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mc:AlternateContent xmlns:mc="http://schemas.openxmlformats.org/markup-compatibility/2006">
    <mc:Choice Requires="x15">
      <x15ac:absPath xmlns:x15ac="http://schemas.microsoft.com/office/spreadsheetml/2010/11/ac" url="C:\Users\Echeverría\Desktop\"/>
    </mc:Choice>
  </mc:AlternateContent>
  <bookViews>
    <workbookView xWindow="0" yWindow="0" windowWidth="20490" windowHeight="7755" activeTab="1"/>
  </bookViews>
  <sheets>
    <sheet name="FY17 PIIRS Project Summary" sheetId="23" r:id="rId1"/>
    <sheet name="FY17 PIIRS Country Summary" sheetId="20" r:id="rId2"/>
    <sheet name="FY17 PIIRS Regional Summary" sheetId="24" r:id="rId3"/>
    <sheet name="PIIRS FY17 Reach" sheetId="1" state="hidden" r:id="rId4"/>
    <sheet name="Reach" sheetId="19" state="hidden" r:id="rId5"/>
    <sheet name="Advocacy" sheetId="7" state="hidden" r:id="rId6"/>
    <sheet name="Civ soc" sheetId="8" state="hidden" r:id="rId7"/>
    <sheet name="Climate" sheetId="14" state="hidden" r:id="rId8"/>
    <sheet name="GBV" sheetId="11" state="hidden" r:id="rId9"/>
    <sheet name="Gender marker" sheetId="15" state="hidden" r:id="rId10"/>
    <sheet name="Governance marker" sheetId="16" state="hidden" r:id="rId11"/>
    <sheet name="Innovation" sheetId="9" state="hidden" r:id="rId12"/>
    <sheet name="Partnership" sheetId="13" state="hidden" r:id="rId13"/>
    <sheet name="Resilience marker" sheetId="18" state="hidden" r:id="rId14"/>
    <sheet name="Scaling" sheetId="12" state="hidden" r:id="rId15"/>
    <sheet name="FY16 summary" sheetId="22" state="hidden" r:id="rId16"/>
    <sheet name="FY15 summary" sheetId="21" state="hidden" r:id="rId17"/>
  </sheets>
  <definedNames>
    <definedName name="_xlnm._FilterDatabase" localSheetId="3" hidden="1">'PIIRS FY17 Reach'!$A$1:$KY$951</definedName>
    <definedName name="CMP_evaluation" localSheetId="6">#REF!</definedName>
    <definedName name="CMP_evaluation" localSheetId="7">#REF!</definedName>
    <definedName name="CMP_evaluation" localSheetId="0">#REF!</definedName>
    <definedName name="CMP_evaluation" localSheetId="2">#REF!</definedName>
    <definedName name="CMP_evaluation" localSheetId="8">#REF!</definedName>
    <definedName name="CMP_evaluation" localSheetId="9">#REF!</definedName>
    <definedName name="CMP_evaluation" localSheetId="10">#REF!</definedName>
    <definedName name="CMP_evaluation" localSheetId="11">#REF!</definedName>
    <definedName name="CMP_evaluation" localSheetId="12">#REF!</definedName>
    <definedName name="CMP_evaluation" localSheetId="4">#REF!</definedName>
    <definedName name="CMP_evaluation" localSheetId="13">#REF!</definedName>
    <definedName name="CMP_evaluation" localSheetId="14">#REF!</definedName>
    <definedName name="CMP_evaluation">#REF!</definedName>
    <definedName name="CMPs" localSheetId="6">#REF!</definedName>
    <definedName name="CMPs" localSheetId="7">#REF!</definedName>
    <definedName name="CMPs" localSheetId="0">#REF!</definedName>
    <definedName name="CMPs" localSheetId="2">#REF!</definedName>
    <definedName name="CMPs" localSheetId="8">#REF!</definedName>
    <definedName name="CMPs" localSheetId="9">#REF!</definedName>
    <definedName name="CMPs" localSheetId="10">#REF!</definedName>
    <definedName name="CMPs" localSheetId="11">#REF!</definedName>
    <definedName name="CMPs" localSheetId="12">#REF!</definedName>
    <definedName name="CMPs" localSheetId="4">#REF!</definedName>
    <definedName name="CMPs" localSheetId="13">#REF!</definedName>
    <definedName name="CMPs" localSheetId="14">#REF!</definedName>
    <definedName name="CMPs">#REF!</definedName>
    <definedName name="Eval" localSheetId="6">#REF!</definedName>
    <definedName name="Eval" localSheetId="7">#REF!</definedName>
    <definedName name="Eval" localSheetId="0">#REF!</definedName>
    <definedName name="Eval" localSheetId="2">#REF!</definedName>
    <definedName name="Eval" localSheetId="8">#REF!</definedName>
    <definedName name="Eval" localSheetId="9">#REF!</definedName>
    <definedName name="Eval" localSheetId="10">#REF!</definedName>
    <definedName name="Eval" localSheetId="11">#REF!</definedName>
    <definedName name="Eval" localSheetId="12">#REF!</definedName>
    <definedName name="Eval" localSheetId="4">#REF!</definedName>
    <definedName name="Eval" localSheetId="13">#REF!</definedName>
    <definedName name="Eval" localSheetId="14">#REF!</definedName>
    <definedName name="Eval">#REF!</definedName>
    <definedName name="Monitoring" localSheetId="6">#REF!</definedName>
    <definedName name="Monitoring" localSheetId="7">#REF!</definedName>
    <definedName name="Monitoring" localSheetId="0">#REF!</definedName>
    <definedName name="Monitoring" localSheetId="2">#REF!</definedName>
    <definedName name="Monitoring" localSheetId="8">#REF!</definedName>
    <definedName name="Monitoring" localSheetId="9">#REF!</definedName>
    <definedName name="Monitoring" localSheetId="10">#REF!</definedName>
    <definedName name="Monitoring" localSheetId="11">#REF!</definedName>
    <definedName name="Monitoring" localSheetId="12">#REF!</definedName>
    <definedName name="Monitoring" localSheetId="4">#REF!</definedName>
    <definedName name="Monitoring" localSheetId="13">#REF!</definedName>
    <definedName name="Monitoring" localSheetId="14">#REF!</definedName>
    <definedName name="Monitoring">#REF!</definedName>
    <definedName name="_xlnm.Print_Area" localSheetId="1">'FY17 PIIRS Country Summary'!$A$3:$X$110</definedName>
    <definedName name="_xlnm.Print_Area" localSheetId="0">'FY17 PIIRS Project Summary'!$A$3:$X$51</definedName>
    <definedName name="_xlnm.Print_Area" localSheetId="2">'FY17 PIIRS Regional Summary'!$A$3:$X$158</definedName>
    <definedName name="Size" localSheetId="6">#REF!</definedName>
    <definedName name="Size" localSheetId="7">#REF!</definedName>
    <definedName name="Size" localSheetId="0">#REF!</definedName>
    <definedName name="Size" localSheetId="2">#REF!</definedName>
    <definedName name="Size" localSheetId="8">#REF!</definedName>
    <definedName name="Size" localSheetId="9">#REF!</definedName>
    <definedName name="Size" localSheetId="10">#REF!</definedName>
    <definedName name="Size" localSheetId="11">#REF!</definedName>
    <definedName name="Size" localSheetId="12">#REF!</definedName>
    <definedName name="Size" localSheetId="4">#REF!</definedName>
    <definedName name="Size" localSheetId="13">#REF!</definedName>
    <definedName name="Size" localSheetId="14">#REF!</definedName>
    <definedName name="Size">#REF!</definedName>
    <definedName name="Training" localSheetId="6">#REF!</definedName>
    <definedName name="Training" localSheetId="7">#REF!</definedName>
    <definedName name="Training" localSheetId="0">#REF!</definedName>
    <definedName name="Training" localSheetId="2">#REF!</definedName>
    <definedName name="Training" localSheetId="8">#REF!</definedName>
    <definedName name="Training" localSheetId="9">#REF!</definedName>
    <definedName name="Training" localSheetId="10">#REF!</definedName>
    <definedName name="Training" localSheetId="11">#REF!</definedName>
    <definedName name="Training" localSheetId="12">#REF!</definedName>
    <definedName name="Training" localSheetId="4">#REF!</definedName>
    <definedName name="Training" localSheetId="13">#REF!</definedName>
    <definedName name="Training" localSheetId="14">#REF!</definedName>
    <definedName name="Training">#REF!</definedName>
    <definedName name="Weight_range" localSheetId="6">#REF!</definedName>
    <definedName name="Weight_range" localSheetId="7">#REF!</definedName>
    <definedName name="Weight_range" localSheetId="0">#REF!</definedName>
    <definedName name="Weight_range" localSheetId="2">#REF!</definedName>
    <definedName name="Weight_range" localSheetId="8">#REF!</definedName>
    <definedName name="Weight_range" localSheetId="9">#REF!</definedName>
    <definedName name="Weight_range" localSheetId="10">#REF!</definedName>
    <definedName name="Weight_range" localSheetId="11">#REF!</definedName>
    <definedName name="Weight_range" localSheetId="12">#REF!</definedName>
    <definedName name="Weight_range" localSheetId="4">#REF!</definedName>
    <definedName name="Weight_range" localSheetId="13">#REF!</definedName>
    <definedName name="Weight_range" localSheetId="14">#REF!</definedName>
    <definedName name="Weight_range">#REF!</definedName>
    <definedName name="Wight" localSheetId="6">#REF!</definedName>
    <definedName name="Wight" localSheetId="7">#REF!</definedName>
    <definedName name="Wight" localSheetId="0">#REF!</definedName>
    <definedName name="Wight" localSheetId="2">#REF!</definedName>
    <definedName name="Wight" localSheetId="8">#REF!</definedName>
    <definedName name="Wight" localSheetId="9">#REF!</definedName>
    <definedName name="Wight" localSheetId="10">#REF!</definedName>
    <definedName name="Wight" localSheetId="11">#REF!</definedName>
    <definedName name="Wight" localSheetId="12">#REF!</definedName>
    <definedName name="Wight" localSheetId="4">#REF!</definedName>
    <definedName name="Wight" localSheetId="13">#REF!</definedName>
    <definedName name="Wight" localSheetId="14">#REF!</definedName>
    <definedName name="Wight">#REF!</definedName>
  </definedNames>
  <calcPr calcId="171027" concurrentCalc="0"/>
  <pivotCaches>
    <pivotCache cacheId="0" r:id="rId18"/>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2" i="24" l="1"/>
  <c r="D20" i="24"/>
  <c r="T10" i="24"/>
  <c r="I141" i="24"/>
  <c r="I133" i="24"/>
  <c r="I100" i="18"/>
  <c r="C217" i="24"/>
  <c r="C215" i="24"/>
  <c r="A133" i="24"/>
  <c r="Y112" i="18"/>
  <c r="Y113" i="18"/>
  <c r="Y114" i="18"/>
  <c r="Y115" i="18"/>
  <c r="R112" i="18"/>
  <c r="Q112" i="18"/>
  <c r="Z112" i="18"/>
  <c r="T112" i="18"/>
  <c r="S112" i="18"/>
  <c r="AA112" i="18"/>
  <c r="V112" i="18"/>
  <c r="U112" i="18"/>
  <c r="AB112" i="18"/>
  <c r="R113" i="18"/>
  <c r="Q113" i="18"/>
  <c r="Z113" i="18"/>
  <c r="T113" i="18"/>
  <c r="S113" i="18"/>
  <c r="AA113" i="18"/>
  <c r="V113" i="18"/>
  <c r="U113" i="18"/>
  <c r="AB113" i="18"/>
  <c r="R114" i="18"/>
  <c r="Q114" i="18"/>
  <c r="Z114" i="18"/>
  <c r="T114" i="18"/>
  <c r="S114" i="18"/>
  <c r="AA114" i="18"/>
  <c r="V114" i="18"/>
  <c r="U114" i="18"/>
  <c r="AB114" i="18"/>
  <c r="R115" i="18"/>
  <c r="Q115" i="18"/>
  <c r="Z115" i="18"/>
  <c r="T115" i="18"/>
  <c r="S115" i="18"/>
  <c r="AA115" i="18"/>
  <c r="V115" i="18"/>
  <c r="U115" i="18"/>
  <c r="AB115" i="18"/>
  <c r="Y116" i="18"/>
  <c r="R116" i="18"/>
  <c r="Q116" i="18"/>
  <c r="Z116" i="18"/>
  <c r="T116" i="18"/>
  <c r="S116" i="18"/>
  <c r="AA116" i="18"/>
  <c r="V116" i="18"/>
  <c r="U116" i="18"/>
  <c r="AB116" i="18"/>
  <c r="Y117" i="18"/>
  <c r="R117" i="18"/>
  <c r="Q117" i="18"/>
  <c r="Z117" i="18"/>
  <c r="T117" i="18"/>
  <c r="S117" i="18"/>
  <c r="AA117" i="18"/>
  <c r="V117" i="18"/>
  <c r="U117" i="18"/>
  <c r="AB117" i="18"/>
  <c r="Y118" i="18"/>
  <c r="R118" i="18"/>
  <c r="Q118" i="18"/>
  <c r="Z118" i="18"/>
  <c r="T118" i="18"/>
  <c r="S118" i="18"/>
  <c r="AA118" i="18"/>
  <c r="V118" i="18"/>
  <c r="U118" i="18"/>
  <c r="AB118" i="18"/>
  <c r="Y119" i="18"/>
  <c r="R119" i="18"/>
  <c r="Q119" i="18"/>
  <c r="Z119" i="18"/>
  <c r="T119" i="18"/>
  <c r="S119" i="18"/>
  <c r="AA119" i="18"/>
  <c r="V119" i="18"/>
  <c r="U119" i="18"/>
  <c r="AB119" i="18"/>
  <c r="Y120" i="18"/>
  <c r="R120" i="18"/>
  <c r="Q120" i="18"/>
  <c r="Z120" i="18"/>
  <c r="T120" i="18"/>
  <c r="S120" i="18"/>
  <c r="AA120" i="18"/>
  <c r="V120" i="18"/>
  <c r="U120" i="18"/>
  <c r="AB120" i="18"/>
  <c r="Y121" i="18"/>
  <c r="R121" i="18"/>
  <c r="Q121" i="18"/>
  <c r="Z121" i="18"/>
  <c r="T121" i="18"/>
  <c r="S121" i="18"/>
  <c r="AA121" i="18"/>
  <c r="V121" i="18"/>
  <c r="U121" i="18"/>
  <c r="AB121" i="18"/>
  <c r="Y122" i="18"/>
  <c r="R122" i="18"/>
  <c r="Q122" i="18"/>
  <c r="Z122" i="18"/>
  <c r="T122" i="18"/>
  <c r="S122" i="18"/>
  <c r="AA122" i="18"/>
  <c r="V122" i="18"/>
  <c r="U122" i="18"/>
  <c r="AB122" i="18"/>
  <c r="Y123" i="18"/>
  <c r="R123" i="18"/>
  <c r="Q123" i="18"/>
  <c r="Z123" i="18"/>
  <c r="T123" i="18"/>
  <c r="S123" i="18"/>
  <c r="AA123" i="18"/>
  <c r="V123" i="18"/>
  <c r="U123" i="18"/>
  <c r="AB123" i="18"/>
  <c r="Y124" i="18"/>
  <c r="R124" i="18"/>
  <c r="Q124" i="18"/>
  <c r="Z124" i="18"/>
  <c r="T124" i="18"/>
  <c r="S124" i="18"/>
  <c r="AA124" i="18"/>
  <c r="V124" i="18"/>
  <c r="U124" i="18"/>
  <c r="AB124" i="18"/>
  <c r="Y125" i="18"/>
  <c r="R125" i="18"/>
  <c r="Q125" i="18"/>
  <c r="Z125" i="18"/>
  <c r="T125" i="18"/>
  <c r="S125" i="18"/>
  <c r="AA125" i="18"/>
  <c r="V125" i="18"/>
  <c r="U125" i="18"/>
  <c r="AB125" i="18"/>
  <c r="Y126" i="18"/>
  <c r="R126" i="18"/>
  <c r="Q126" i="18"/>
  <c r="Z126" i="18"/>
  <c r="T126" i="18"/>
  <c r="S126" i="18"/>
  <c r="AA126" i="18"/>
  <c r="V126" i="18"/>
  <c r="U126" i="18"/>
  <c r="AB126" i="18"/>
  <c r="Y127" i="18"/>
  <c r="R127" i="18"/>
  <c r="Q127" i="18"/>
  <c r="Z127" i="18"/>
  <c r="T127" i="18"/>
  <c r="S127" i="18"/>
  <c r="AA127" i="18"/>
  <c r="V127" i="18"/>
  <c r="U127" i="18"/>
  <c r="AB127" i="18"/>
  <c r="Y128" i="18"/>
  <c r="R128" i="18"/>
  <c r="Q128" i="18"/>
  <c r="Z128" i="18"/>
  <c r="T128" i="18"/>
  <c r="S128" i="18"/>
  <c r="AA128" i="18"/>
  <c r="V128" i="18"/>
  <c r="U128" i="18"/>
  <c r="AB128" i="18"/>
  <c r="Y129" i="18"/>
  <c r="R129" i="18"/>
  <c r="Q129" i="18"/>
  <c r="Z129" i="18"/>
  <c r="T129" i="18"/>
  <c r="S129" i="18"/>
  <c r="AA129" i="18"/>
  <c r="V129" i="18"/>
  <c r="U129" i="18"/>
  <c r="AB129" i="18"/>
  <c r="Y130" i="18"/>
  <c r="R130" i="18"/>
  <c r="Q130" i="18"/>
  <c r="Z130" i="18"/>
  <c r="T130" i="18"/>
  <c r="S130" i="18"/>
  <c r="AA130" i="18"/>
  <c r="V130" i="18"/>
  <c r="U130" i="18"/>
  <c r="AB130" i="18"/>
  <c r="Y131" i="18"/>
  <c r="R131" i="18"/>
  <c r="Q131" i="18"/>
  <c r="Z131" i="18"/>
  <c r="T131" i="18"/>
  <c r="S131" i="18"/>
  <c r="AA131" i="18"/>
  <c r="V131" i="18"/>
  <c r="U131" i="18"/>
  <c r="AB131" i="18"/>
  <c r="Y132" i="18"/>
  <c r="R132" i="18"/>
  <c r="Q132" i="18"/>
  <c r="Z132" i="18"/>
  <c r="T132" i="18"/>
  <c r="S132" i="18"/>
  <c r="AA132" i="18"/>
  <c r="V132" i="18"/>
  <c r="U132" i="18"/>
  <c r="AB132" i="18"/>
  <c r="Y133" i="18"/>
  <c r="R133" i="18"/>
  <c r="Q133" i="18"/>
  <c r="Z133" i="18"/>
  <c r="T133" i="18"/>
  <c r="S133" i="18"/>
  <c r="AA133" i="18"/>
  <c r="V133" i="18"/>
  <c r="U133" i="18"/>
  <c r="AB133" i="18"/>
  <c r="Y134" i="18"/>
  <c r="R134" i="18"/>
  <c r="Q134" i="18"/>
  <c r="Z134" i="18"/>
  <c r="T134" i="18"/>
  <c r="S134" i="18"/>
  <c r="AA134" i="18"/>
  <c r="V134" i="18"/>
  <c r="U134" i="18"/>
  <c r="AB134" i="18"/>
  <c r="Y135" i="18"/>
  <c r="R135" i="18"/>
  <c r="Q135" i="18"/>
  <c r="Z135" i="18"/>
  <c r="T135" i="18"/>
  <c r="S135" i="18"/>
  <c r="AA135" i="18"/>
  <c r="V135" i="18"/>
  <c r="U135" i="18"/>
  <c r="AB135" i="18"/>
  <c r="Y136" i="18"/>
  <c r="R136" i="18"/>
  <c r="Q136" i="18"/>
  <c r="Z136" i="18"/>
  <c r="T136" i="18"/>
  <c r="S136" i="18"/>
  <c r="AA136" i="18"/>
  <c r="V136" i="18"/>
  <c r="U136" i="18"/>
  <c r="AB136" i="18"/>
  <c r="Y137" i="18"/>
  <c r="R137" i="18"/>
  <c r="Q137" i="18"/>
  <c r="Z137" i="18"/>
  <c r="T137" i="18"/>
  <c r="S137" i="18"/>
  <c r="AA137" i="18"/>
  <c r="V137" i="18"/>
  <c r="U137" i="18"/>
  <c r="AB137" i="18"/>
  <c r="Y138" i="18"/>
  <c r="R138" i="18"/>
  <c r="Q138" i="18"/>
  <c r="Z138" i="18"/>
  <c r="T138" i="18"/>
  <c r="S138" i="18"/>
  <c r="AA138" i="18"/>
  <c r="V138" i="18"/>
  <c r="U138" i="18"/>
  <c r="AB138" i="18"/>
  <c r="Y139" i="18"/>
  <c r="R139" i="18"/>
  <c r="Q139" i="18"/>
  <c r="Z139" i="18"/>
  <c r="T139" i="18"/>
  <c r="S139" i="18"/>
  <c r="AA139" i="18"/>
  <c r="V139" i="18"/>
  <c r="U139" i="18"/>
  <c r="AB139" i="18"/>
  <c r="Y140" i="18"/>
  <c r="R140" i="18"/>
  <c r="Q140" i="18"/>
  <c r="Z140" i="18"/>
  <c r="T140" i="18"/>
  <c r="S140" i="18"/>
  <c r="AA140" i="18"/>
  <c r="V140" i="18"/>
  <c r="U140" i="18"/>
  <c r="AB140" i="18"/>
  <c r="Y141" i="18"/>
  <c r="R141" i="18"/>
  <c r="Q141" i="18"/>
  <c r="Z141" i="18"/>
  <c r="T141" i="18"/>
  <c r="S141" i="18"/>
  <c r="AA141" i="18"/>
  <c r="V141" i="18"/>
  <c r="U141" i="18"/>
  <c r="AB141" i="18"/>
  <c r="Y142" i="18"/>
  <c r="R142" i="18"/>
  <c r="Q142" i="18"/>
  <c r="Z142" i="18"/>
  <c r="T142" i="18"/>
  <c r="S142" i="18"/>
  <c r="AA142" i="18"/>
  <c r="V142" i="18"/>
  <c r="U142" i="18"/>
  <c r="AB142" i="18"/>
  <c r="Y143" i="18"/>
  <c r="R143" i="18"/>
  <c r="Q143" i="18"/>
  <c r="Z143" i="18"/>
  <c r="T143" i="18"/>
  <c r="S143" i="18"/>
  <c r="AA143" i="18"/>
  <c r="V143" i="18"/>
  <c r="U143" i="18"/>
  <c r="AB143" i="18"/>
  <c r="Y144" i="18"/>
  <c r="R144" i="18"/>
  <c r="Q144" i="18"/>
  <c r="Z144" i="18"/>
  <c r="T144" i="18"/>
  <c r="S144" i="18"/>
  <c r="AA144" i="18"/>
  <c r="V144" i="18"/>
  <c r="U144" i="18"/>
  <c r="AB144" i="18"/>
  <c r="Y145" i="18"/>
  <c r="R145" i="18"/>
  <c r="Q145" i="18"/>
  <c r="Z145" i="18"/>
  <c r="T145" i="18"/>
  <c r="S145" i="18"/>
  <c r="AA145" i="18"/>
  <c r="V145" i="18"/>
  <c r="U145" i="18"/>
  <c r="AB145" i="18"/>
  <c r="Y146" i="18"/>
  <c r="R146" i="18"/>
  <c r="Q146" i="18"/>
  <c r="Z146" i="18"/>
  <c r="T146" i="18"/>
  <c r="S146" i="18"/>
  <c r="AA146" i="18"/>
  <c r="V146" i="18"/>
  <c r="U146" i="18"/>
  <c r="AB146" i="18"/>
  <c r="Y147" i="18"/>
  <c r="R147" i="18"/>
  <c r="Q147" i="18"/>
  <c r="Z147" i="18"/>
  <c r="T147" i="18"/>
  <c r="S147" i="18"/>
  <c r="AA147" i="18"/>
  <c r="V147" i="18"/>
  <c r="U147" i="18"/>
  <c r="AB147" i="18"/>
  <c r="Y148" i="18"/>
  <c r="R148" i="18"/>
  <c r="Q148" i="18"/>
  <c r="Z148" i="18"/>
  <c r="T148" i="18"/>
  <c r="S148" i="18"/>
  <c r="AA148" i="18"/>
  <c r="V148" i="18"/>
  <c r="U148" i="18"/>
  <c r="AB148" i="18"/>
  <c r="Y149" i="18"/>
  <c r="R149" i="18"/>
  <c r="Q149" i="18"/>
  <c r="Z149" i="18"/>
  <c r="T149" i="18"/>
  <c r="S149" i="18"/>
  <c r="AA149" i="18"/>
  <c r="V149" i="18"/>
  <c r="U149" i="18"/>
  <c r="AB149" i="18"/>
  <c r="Y150" i="18"/>
  <c r="R150" i="18"/>
  <c r="Q150" i="18"/>
  <c r="Z150" i="18"/>
  <c r="T150" i="18"/>
  <c r="S150" i="18"/>
  <c r="AA150" i="18"/>
  <c r="V150" i="18"/>
  <c r="U150" i="18"/>
  <c r="AB150" i="18"/>
  <c r="Y151" i="18"/>
  <c r="R151" i="18"/>
  <c r="Q151" i="18"/>
  <c r="Z151" i="18"/>
  <c r="T151" i="18"/>
  <c r="S151" i="18"/>
  <c r="AA151" i="18"/>
  <c r="V151" i="18"/>
  <c r="U151" i="18"/>
  <c r="AB151" i="18"/>
  <c r="Y152" i="18"/>
  <c r="R152" i="18"/>
  <c r="Q152" i="18"/>
  <c r="Z152" i="18"/>
  <c r="T152" i="18"/>
  <c r="S152" i="18"/>
  <c r="AA152" i="18"/>
  <c r="V152" i="18"/>
  <c r="U152" i="18"/>
  <c r="AB152" i="18"/>
  <c r="Y153" i="18"/>
  <c r="R153" i="18"/>
  <c r="Q153" i="18"/>
  <c r="Z153" i="18"/>
  <c r="T153" i="18"/>
  <c r="S153" i="18"/>
  <c r="AA153" i="18"/>
  <c r="V153" i="18"/>
  <c r="U153" i="18"/>
  <c r="AB153" i="18"/>
  <c r="Y154" i="18"/>
  <c r="R154" i="18"/>
  <c r="Q154" i="18"/>
  <c r="Z154" i="18"/>
  <c r="T154" i="18"/>
  <c r="S154" i="18"/>
  <c r="AA154" i="18"/>
  <c r="V154" i="18"/>
  <c r="U154" i="18"/>
  <c r="AB154" i="18"/>
  <c r="Y155" i="18"/>
  <c r="R155" i="18"/>
  <c r="Q155" i="18"/>
  <c r="Z155" i="18"/>
  <c r="T155" i="18"/>
  <c r="S155" i="18"/>
  <c r="AA155" i="18"/>
  <c r="V155" i="18"/>
  <c r="U155" i="18"/>
  <c r="AB155" i="18"/>
  <c r="Y156" i="18"/>
  <c r="R156" i="18"/>
  <c r="Q156" i="18"/>
  <c r="Z156" i="18"/>
  <c r="T156" i="18"/>
  <c r="S156" i="18"/>
  <c r="AA156" i="18"/>
  <c r="V156" i="18"/>
  <c r="U156" i="18"/>
  <c r="AB156" i="18"/>
  <c r="Y157" i="18"/>
  <c r="R157" i="18"/>
  <c r="Q157" i="18"/>
  <c r="Z157" i="18"/>
  <c r="T157" i="18"/>
  <c r="S157" i="18"/>
  <c r="AA157" i="18"/>
  <c r="V157" i="18"/>
  <c r="U157" i="18"/>
  <c r="AB157" i="18"/>
  <c r="Y158" i="18"/>
  <c r="R158" i="18"/>
  <c r="Q158" i="18"/>
  <c r="Z158" i="18"/>
  <c r="T158" i="18"/>
  <c r="S158" i="18"/>
  <c r="AA158" i="18"/>
  <c r="V158" i="18"/>
  <c r="U158" i="18"/>
  <c r="AB158" i="18"/>
  <c r="Y159" i="18"/>
  <c r="R159" i="18"/>
  <c r="Q159" i="18"/>
  <c r="Z159" i="18"/>
  <c r="T159" i="18"/>
  <c r="S159" i="18"/>
  <c r="AA159" i="18"/>
  <c r="V159" i="18"/>
  <c r="U159" i="18"/>
  <c r="AB159" i="18"/>
  <c r="Y160" i="18"/>
  <c r="R160" i="18"/>
  <c r="Q160" i="18"/>
  <c r="Z160" i="18"/>
  <c r="T160" i="18"/>
  <c r="S160" i="18"/>
  <c r="AA160" i="18"/>
  <c r="V160" i="18"/>
  <c r="U160" i="18"/>
  <c r="AB160" i="18"/>
  <c r="Y161" i="18"/>
  <c r="R161" i="18"/>
  <c r="Q161" i="18"/>
  <c r="Z161" i="18"/>
  <c r="T161" i="18"/>
  <c r="S161" i="18"/>
  <c r="AA161" i="18"/>
  <c r="V161" i="18"/>
  <c r="U161" i="18"/>
  <c r="AB161" i="18"/>
  <c r="Y162" i="18"/>
  <c r="R162" i="18"/>
  <c r="Q162" i="18"/>
  <c r="Z162" i="18"/>
  <c r="T162" i="18"/>
  <c r="S162" i="18"/>
  <c r="AA162" i="18"/>
  <c r="V162" i="18"/>
  <c r="U162" i="18"/>
  <c r="AB162" i="18"/>
  <c r="Y163" i="18"/>
  <c r="R163" i="18"/>
  <c r="Q163" i="18"/>
  <c r="Z163" i="18"/>
  <c r="T163" i="18"/>
  <c r="S163" i="18"/>
  <c r="AA163" i="18"/>
  <c r="V163" i="18"/>
  <c r="U163" i="18"/>
  <c r="AB163" i="18"/>
  <c r="Y164" i="18"/>
  <c r="R164" i="18"/>
  <c r="Q164" i="18"/>
  <c r="Z164" i="18"/>
  <c r="T164" i="18"/>
  <c r="S164" i="18"/>
  <c r="AA164" i="18"/>
  <c r="V164" i="18"/>
  <c r="U164" i="18"/>
  <c r="AB164" i="18"/>
  <c r="Y165" i="18"/>
  <c r="R165" i="18"/>
  <c r="Q165" i="18"/>
  <c r="Z165" i="18"/>
  <c r="T165" i="18"/>
  <c r="S165" i="18"/>
  <c r="AA165" i="18"/>
  <c r="V165" i="18"/>
  <c r="U165" i="18"/>
  <c r="AB165" i="18"/>
  <c r="Y166" i="18"/>
  <c r="R166" i="18"/>
  <c r="Q166" i="18"/>
  <c r="Z166" i="18"/>
  <c r="T166" i="18"/>
  <c r="S166" i="18"/>
  <c r="AA166" i="18"/>
  <c r="V166" i="18"/>
  <c r="U166" i="18"/>
  <c r="AB166" i="18"/>
  <c r="Y167" i="18"/>
  <c r="R167" i="18"/>
  <c r="Q167" i="18"/>
  <c r="Z167" i="18"/>
  <c r="T167" i="18"/>
  <c r="S167" i="18"/>
  <c r="AA167" i="18"/>
  <c r="V167" i="18"/>
  <c r="U167" i="18"/>
  <c r="AB167" i="18"/>
  <c r="Y168" i="18"/>
  <c r="R168" i="18"/>
  <c r="Q168" i="18"/>
  <c r="Z168" i="18"/>
  <c r="T168" i="18"/>
  <c r="S168" i="18"/>
  <c r="AA168" i="18"/>
  <c r="V168" i="18"/>
  <c r="U168" i="18"/>
  <c r="AB168" i="18"/>
  <c r="Y169" i="18"/>
  <c r="R169" i="18"/>
  <c r="Q169" i="18"/>
  <c r="Z169" i="18"/>
  <c r="T169" i="18"/>
  <c r="S169" i="18"/>
  <c r="AA169" i="18"/>
  <c r="V169" i="18"/>
  <c r="U169" i="18"/>
  <c r="AB169" i="18"/>
  <c r="Y170" i="18"/>
  <c r="R170" i="18"/>
  <c r="Q170" i="18"/>
  <c r="Z170" i="18"/>
  <c r="T170" i="18"/>
  <c r="S170" i="18"/>
  <c r="AA170" i="18"/>
  <c r="V170" i="18"/>
  <c r="U170" i="18"/>
  <c r="AB170" i="18"/>
  <c r="Y171" i="18"/>
  <c r="R171" i="18"/>
  <c r="Q171" i="18"/>
  <c r="Z171" i="18"/>
  <c r="T171" i="18"/>
  <c r="S171" i="18"/>
  <c r="AA171" i="18"/>
  <c r="V171" i="18"/>
  <c r="U171" i="18"/>
  <c r="AB171" i="18"/>
  <c r="Y172" i="18"/>
  <c r="R172" i="18"/>
  <c r="Q172" i="18"/>
  <c r="Z172" i="18"/>
  <c r="T172" i="18"/>
  <c r="S172" i="18"/>
  <c r="AA172" i="18"/>
  <c r="V172" i="18"/>
  <c r="U172" i="18"/>
  <c r="AB172" i="18"/>
  <c r="Y173" i="18"/>
  <c r="R173" i="18"/>
  <c r="Q173" i="18"/>
  <c r="Z173" i="18"/>
  <c r="T173" i="18"/>
  <c r="S173" i="18"/>
  <c r="AA173" i="18"/>
  <c r="V173" i="18"/>
  <c r="U173" i="18"/>
  <c r="AB173" i="18"/>
  <c r="Y174" i="18"/>
  <c r="R174" i="18"/>
  <c r="Q174" i="18"/>
  <c r="Z174" i="18"/>
  <c r="T174" i="18"/>
  <c r="S174" i="18"/>
  <c r="AA174" i="18"/>
  <c r="V174" i="18"/>
  <c r="U174" i="18"/>
  <c r="AB174" i="18"/>
  <c r="Y175" i="18"/>
  <c r="R175" i="18"/>
  <c r="Q175" i="18"/>
  <c r="Z175" i="18"/>
  <c r="T175" i="18"/>
  <c r="S175" i="18"/>
  <c r="AA175" i="18"/>
  <c r="V175" i="18"/>
  <c r="U175" i="18"/>
  <c r="AB175" i="18"/>
  <c r="Y176" i="18"/>
  <c r="R176" i="18"/>
  <c r="Q176" i="18"/>
  <c r="Z176" i="18"/>
  <c r="T176" i="18"/>
  <c r="S176" i="18"/>
  <c r="AA176" i="18"/>
  <c r="V176" i="18"/>
  <c r="U176" i="18"/>
  <c r="AB176" i="18"/>
  <c r="Y177" i="18"/>
  <c r="R177" i="18"/>
  <c r="Q177" i="18"/>
  <c r="Z177" i="18"/>
  <c r="T177" i="18"/>
  <c r="S177" i="18"/>
  <c r="AA177" i="18"/>
  <c r="V177" i="18"/>
  <c r="U177" i="18"/>
  <c r="AB177" i="18"/>
  <c r="Y178" i="18"/>
  <c r="R178" i="18"/>
  <c r="Q178" i="18"/>
  <c r="Z178" i="18"/>
  <c r="T178" i="18"/>
  <c r="S178" i="18"/>
  <c r="AA178" i="18"/>
  <c r="V178" i="18"/>
  <c r="U178" i="18"/>
  <c r="AB178" i="18"/>
  <c r="Y179" i="18"/>
  <c r="R179" i="18"/>
  <c r="Q179" i="18"/>
  <c r="Z179" i="18"/>
  <c r="T179" i="18"/>
  <c r="S179" i="18"/>
  <c r="AA179" i="18"/>
  <c r="V179" i="18"/>
  <c r="U179" i="18"/>
  <c r="AB179" i="18"/>
  <c r="Y180" i="18"/>
  <c r="R180" i="18"/>
  <c r="Q180" i="18"/>
  <c r="Z180" i="18"/>
  <c r="T180" i="18"/>
  <c r="S180" i="18"/>
  <c r="AA180" i="18"/>
  <c r="V180" i="18"/>
  <c r="U180" i="18"/>
  <c r="AB180" i="18"/>
  <c r="Y181" i="18"/>
  <c r="R181" i="18"/>
  <c r="Q181" i="18"/>
  <c r="Z181" i="18"/>
  <c r="T181" i="18"/>
  <c r="S181" i="18"/>
  <c r="AA181" i="18"/>
  <c r="V181" i="18"/>
  <c r="U181" i="18"/>
  <c r="AB181" i="18"/>
  <c r="Y182" i="18"/>
  <c r="R182" i="18"/>
  <c r="Q182" i="18"/>
  <c r="Z182" i="18"/>
  <c r="T182" i="18"/>
  <c r="S182" i="18"/>
  <c r="AA182" i="18"/>
  <c r="V182" i="18"/>
  <c r="U182" i="18"/>
  <c r="AB182" i="18"/>
  <c r="Y183" i="18"/>
  <c r="R183" i="18"/>
  <c r="Q183" i="18"/>
  <c r="Z183" i="18"/>
  <c r="T183" i="18"/>
  <c r="S183" i="18"/>
  <c r="AA183" i="18"/>
  <c r="V183" i="18"/>
  <c r="U183" i="18"/>
  <c r="AB183" i="18"/>
  <c r="Y184" i="18"/>
  <c r="R184" i="18"/>
  <c r="Q184" i="18"/>
  <c r="Z184" i="18"/>
  <c r="T184" i="18"/>
  <c r="S184" i="18"/>
  <c r="AA184" i="18"/>
  <c r="V184" i="18"/>
  <c r="U184" i="18"/>
  <c r="AB184" i="18"/>
  <c r="Y185" i="18"/>
  <c r="R185" i="18"/>
  <c r="Q185" i="18"/>
  <c r="Z185" i="18"/>
  <c r="T185" i="18"/>
  <c r="S185" i="18"/>
  <c r="AA185" i="18"/>
  <c r="V185" i="18"/>
  <c r="U185" i="18"/>
  <c r="AB185" i="18"/>
  <c r="Y186" i="18"/>
  <c r="R186" i="18"/>
  <c r="Q186" i="18"/>
  <c r="Z186" i="18"/>
  <c r="T186" i="18"/>
  <c r="S186" i="18"/>
  <c r="AA186" i="18"/>
  <c r="V186" i="18"/>
  <c r="U186" i="18"/>
  <c r="AB186" i="18"/>
  <c r="Y187" i="18"/>
  <c r="R187" i="18"/>
  <c r="Q187" i="18"/>
  <c r="Z187" i="18"/>
  <c r="T187" i="18"/>
  <c r="S187" i="18"/>
  <c r="AA187" i="18"/>
  <c r="V187" i="18"/>
  <c r="U187" i="18"/>
  <c r="AB187" i="18"/>
  <c r="Y188" i="18"/>
  <c r="R188" i="18"/>
  <c r="Q188" i="18"/>
  <c r="Z188" i="18"/>
  <c r="T188" i="18"/>
  <c r="S188" i="18"/>
  <c r="AA188" i="18"/>
  <c r="V188" i="18"/>
  <c r="U188" i="18"/>
  <c r="AB188" i="18"/>
  <c r="Y189" i="18"/>
  <c r="R189" i="18"/>
  <c r="Q189" i="18"/>
  <c r="Z189" i="18"/>
  <c r="T189" i="18"/>
  <c r="S189" i="18"/>
  <c r="AA189" i="18"/>
  <c r="V189" i="18"/>
  <c r="U189" i="18"/>
  <c r="AB189" i="18"/>
  <c r="Y190" i="18"/>
  <c r="R190" i="18"/>
  <c r="Q190" i="18"/>
  <c r="Z190" i="18"/>
  <c r="T190" i="18"/>
  <c r="S190" i="18"/>
  <c r="AA190" i="18"/>
  <c r="V190" i="18"/>
  <c r="U190" i="18"/>
  <c r="AB190" i="18"/>
  <c r="Y191" i="18"/>
  <c r="R191" i="18"/>
  <c r="Q191" i="18"/>
  <c r="Z191" i="18"/>
  <c r="T191" i="18"/>
  <c r="S191" i="18"/>
  <c r="AA191" i="18"/>
  <c r="V191" i="18"/>
  <c r="U191" i="18"/>
  <c r="AB191" i="18"/>
  <c r="Y192" i="18"/>
  <c r="R192" i="18"/>
  <c r="Q192" i="18"/>
  <c r="Z192" i="18"/>
  <c r="T192" i="18"/>
  <c r="S192" i="18"/>
  <c r="AA192" i="18"/>
  <c r="V192" i="18"/>
  <c r="U192" i="18"/>
  <c r="AB192" i="18"/>
  <c r="Y193" i="18"/>
  <c r="R193" i="18"/>
  <c r="Q193" i="18"/>
  <c r="Z193" i="18"/>
  <c r="T193" i="18"/>
  <c r="S193" i="18"/>
  <c r="AA193" i="18"/>
  <c r="V193" i="18"/>
  <c r="U193" i="18"/>
  <c r="AB193" i="18"/>
  <c r="Y194" i="18"/>
  <c r="R194" i="18"/>
  <c r="Q194" i="18"/>
  <c r="Z194" i="18"/>
  <c r="T194" i="18"/>
  <c r="S194" i="18"/>
  <c r="AA194" i="18"/>
  <c r="V194" i="18"/>
  <c r="U194" i="18"/>
  <c r="AB194" i="18"/>
  <c r="Y195" i="18"/>
  <c r="R195" i="18"/>
  <c r="Q195" i="18"/>
  <c r="Z195" i="18"/>
  <c r="T195" i="18"/>
  <c r="S195" i="18"/>
  <c r="AA195" i="18"/>
  <c r="V195" i="18"/>
  <c r="U195" i="18"/>
  <c r="AB195" i="18"/>
  <c r="Y196" i="18"/>
  <c r="R196" i="18"/>
  <c r="Q196" i="18"/>
  <c r="Z196" i="18"/>
  <c r="T196" i="18"/>
  <c r="S196" i="18"/>
  <c r="AA196" i="18"/>
  <c r="V196" i="18"/>
  <c r="U196" i="18"/>
  <c r="AB196" i="18"/>
  <c r="Y197" i="18"/>
  <c r="R197" i="18"/>
  <c r="Q197" i="18"/>
  <c r="Z197" i="18"/>
  <c r="T197" i="18"/>
  <c r="S197" i="18"/>
  <c r="AA197" i="18"/>
  <c r="V197" i="18"/>
  <c r="U197" i="18"/>
  <c r="AB197" i="18"/>
  <c r="Y198" i="18"/>
  <c r="R198" i="18"/>
  <c r="Q198" i="18"/>
  <c r="Z198" i="18"/>
  <c r="T198" i="18"/>
  <c r="S198" i="18"/>
  <c r="AA198" i="18"/>
  <c r="V198" i="18"/>
  <c r="U198" i="18"/>
  <c r="AB198" i="18"/>
  <c r="Y199" i="18"/>
  <c r="R199" i="18"/>
  <c r="Q199" i="18"/>
  <c r="Z199" i="18"/>
  <c r="T199" i="18"/>
  <c r="S199" i="18"/>
  <c r="AA199" i="18"/>
  <c r="V199" i="18"/>
  <c r="U199" i="18"/>
  <c r="AB199" i="18"/>
  <c r="Y200" i="18"/>
  <c r="R200" i="18"/>
  <c r="Q200" i="18"/>
  <c r="Z200" i="18"/>
  <c r="T200" i="18"/>
  <c r="S200" i="18"/>
  <c r="AA200" i="18"/>
  <c r="V200" i="18"/>
  <c r="U200" i="18"/>
  <c r="AB200" i="18"/>
  <c r="Y201" i="18"/>
  <c r="R201" i="18"/>
  <c r="Q201" i="18"/>
  <c r="Z201" i="18"/>
  <c r="T201" i="18"/>
  <c r="S201" i="18"/>
  <c r="AA201" i="18"/>
  <c r="V201" i="18"/>
  <c r="U201" i="18"/>
  <c r="AB201" i="18"/>
  <c r="Y202" i="18"/>
  <c r="R202" i="18"/>
  <c r="Q202" i="18"/>
  <c r="Z202" i="18"/>
  <c r="T202" i="18"/>
  <c r="S202" i="18"/>
  <c r="AA202" i="18"/>
  <c r="V202" i="18"/>
  <c r="U202" i="18"/>
  <c r="AB202" i="18"/>
  <c r="Y203" i="18"/>
  <c r="R203" i="18"/>
  <c r="Q203" i="18"/>
  <c r="Z203" i="18"/>
  <c r="T203" i="18"/>
  <c r="S203" i="18"/>
  <c r="AA203" i="18"/>
  <c r="V203" i="18"/>
  <c r="U203" i="18"/>
  <c r="AB203" i="18"/>
  <c r="Y204" i="18"/>
  <c r="R204" i="18"/>
  <c r="Q204" i="18"/>
  <c r="Z204" i="18"/>
  <c r="T204" i="18"/>
  <c r="S204" i="18"/>
  <c r="AA204" i="18"/>
  <c r="V204" i="18"/>
  <c r="U204" i="18"/>
  <c r="AB204" i="18"/>
  <c r="Y205" i="18"/>
  <c r="R205" i="18"/>
  <c r="Q205" i="18"/>
  <c r="Z205" i="18"/>
  <c r="T205" i="18"/>
  <c r="S205" i="18"/>
  <c r="AA205" i="18"/>
  <c r="V205" i="18"/>
  <c r="U205" i="18"/>
  <c r="AB205" i="18"/>
  <c r="Y206" i="18"/>
  <c r="R206" i="18"/>
  <c r="Q206" i="18"/>
  <c r="Z206" i="18"/>
  <c r="T206" i="18"/>
  <c r="S206" i="18"/>
  <c r="AA206" i="18"/>
  <c r="V206" i="18"/>
  <c r="U206" i="18"/>
  <c r="AB206" i="18"/>
  <c r="Y207" i="18"/>
  <c r="R207" i="18"/>
  <c r="Q207" i="18"/>
  <c r="Z207" i="18"/>
  <c r="T207" i="18"/>
  <c r="S207" i="18"/>
  <c r="AA207" i="18"/>
  <c r="V207" i="18"/>
  <c r="U207" i="18"/>
  <c r="AB207" i="18"/>
  <c r="Y208" i="18"/>
  <c r="R208" i="18"/>
  <c r="Q208" i="18"/>
  <c r="Z208" i="18"/>
  <c r="T208" i="18"/>
  <c r="S208" i="18"/>
  <c r="AA208" i="18"/>
  <c r="V208" i="18"/>
  <c r="U208" i="18"/>
  <c r="AB208" i="18"/>
  <c r="Y209" i="18"/>
  <c r="R209" i="18"/>
  <c r="Q209" i="18"/>
  <c r="Z209" i="18"/>
  <c r="T209" i="18"/>
  <c r="S209" i="18"/>
  <c r="AA209" i="18"/>
  <c r="V209" i="18"/>
  <c r="U209" i="18"/>
  <c r="AB209" i="18"/>
  <c r="Y210" i="18"/>
  <c r="R210" i="18"/>
  <c r="Q210" i="18"/>
  <c r="Z210" i="18"/>
  <c r="T210" i="18"/>
  <c r="S210" i="18"/>
  <c r="AA210" i="18"/>
  <c r="V210" i="18"/>
  <c r="U210" i="18"/>
  <c r="AB210" i="18"/>
  <c r="C239" i="24"/>
  <c r="Y112" i="16"/>
  <c r="Y113" i="16"/>
  <c r="Y114" i="16"/>
  <c r="Y115" i="16"/>
  <c r="R112" i="16"/>
  <c r="Q112" i="16"/>
  <c r="Z112" i="16"/>
  <c r="T112" i="16"/>
  <c r="S112" i="16"/>
  <c r="AA112" i="16"/>
  <c r="V112" i="16"/>
  <c r="U112" i="16"/>
  <c r="AB112" i="16"/>
  <c r="R113" i="16"/>
  <c r="Q113" i="16"/>
  <c r="Z113" i="16"/>
  <c r="T113" i="16"/>
  <c r="S113" i="16"/>
  <c r="AA113" i="16"/>
  <c r="V113" i="16"/>
  <c r="U113" i="16"/>
  <c r="AB113" i="16"/>
  <c r="R114" i="16"/>
  <c r="Q114" i="16"/>
  <c r="Z114" i="16"/>
  <c r="T114" i="16"/>
  <c r="S114" i="16"/>
  <c r="AA114" i="16"/>
  <c r="V114" i="16"/>
  <c r="U114" i="16"/>
  <c r="AB114" i="16"/>
  <c r="R115" i="16"/>
  <c r="Q115" i="16"/>
  <c r="Z115" i="16"/>
  <c r="T115" i="16"/>
  <c r="S115" i="16"/>
  <c r="AA115" i="16"/>
  <c r="V115" i="16"/>
  <c r="U115" i="16"/>
  <c r="AB115" i="16"/>
  <c r="Y116" i="16"/>
  <c r="R116" i="16"/>
  <c r="Q116" i="16"/>
  <c r="Z116" i="16"/>
  <c r="T116" i="16"/>
  <c r="S116" i="16"/>
  <c r="AA116" i="16"/>
  <c r="V116" i="16"/>
  <c r="U116" i="16"/>
  <c r="AB116" i="16"/>
  <c r="Y117" i="16"/>
  <c r="R117" i="16"/>
  <c r="Q117" i="16"/>
  <c r="Z117" i="16"/>
  <c r="T117" i="16"/>
  <c r="S117" i="16"/>
  <c r="AA117" i="16"/>
  <c r="V117" i="16"/>
  <c r="U117" i="16"/>
  <c r="AB117" i="16"/>
  <c r="Y118" i="16"/>
  <c r="R118" i="16"/>
  <c r="Q118" i="16"/>
  <c r="Z118" i="16"/>
  <c r="T118" i="16"/>
  <c r="S118" i="16"/>
  <c r="AA118" i="16"/>
  <c r="V118" i="16"/>
  <c r="U118" i="16"/>
  <c r="AB118" i="16"/>
  <c r="Y119" i="16"/>
  <c r="R119" i="16"/>
  <c r="Q119" i="16"/>
  <c r="Z119" i="16"/>
  <c r="T119" i="16"/>
  <c r="S119" i="16"/>
  <c r="AA119" i="16"/>
  <c r="V119" i="16"/>
  <c r="U119" i="16"/>
  <c r="AB119" i="16"/>
  <c r="Y120" i="16"/>
  <c r="R120" i="16"/>
  <c r="Q120" i="16"/>
  <c r="Z120" i="16"/>
  <c r="T120" i="16"/>
  <c r="S120" i="16"/>
  <c r="AA120" i="16"/>
  <c r="V120" i="16"/>
  <c r="U120" i="16"/>
  <c r="AB120" i="16"/>
  <c r="Y121" i="16"/>
  <c r="R121" i="16"/>
  <c r="Q121" i="16"/>
  <c r="Z121" i="16"/>
  <c r="T121" i="16"/>
  <c r="S121" i="16"/>
  <c r="AA121" i="16"/>
  <c r="V121" i="16"/>
  <c r="U121" i="16"/>
  <c r="AB121" i="16"/>
  <c r="Y122" i="16"/>
  <c r="R122" i="16"/>
  <c r="Q122" i="16"/>
  <c r="Z122" i="16"/>
  <c r="T122" i="16"/>
  <c r="S122" i="16"/>
  <c r="AA122" i="16"/>
  <c r="V122" i="16"/>
  <c r="U122" i="16"/>
  <c r="AB122" i="16"/>
  <c r="Y123" i="16"/>
  <c r="R123" i="16"/>
  <c r="Q123" i="16"/>
  <c r="Z123" i="16"/>
  <c r="T123" i="16"/>
  <c r="S123" i="16"/>
  <c r="AA123" i="16"/>
  <c r="V123" i="16"/>
  <c r="U123" i="16"/>
  <c r="AB123" i="16"/>
  <c r="Y124" i="16"/>
  <c r="R124" i="16"/>
  <c r="Q124" i="16"/>
  <c r="Z124" i="16"/>
  <c r="T124" i="16"/>
  <c r="S124" i="16"/>
  <c r="AA124" i="16"/>
  <c r="V124" i="16"/>
  <c r="U124" i="16"/>
  <c r="AB124" i="16"/>
  <c r="Y125" i="16"/>
  <c r="R125" i="16"/>
  <c r="Q125" i="16"/>
  <c r="Z125" i="16"/>
  <c r="T125" i="16"/>
  <c r="S125" i="16"/>
  <c r="AA125" i="16"/>
  <c r="V125" i="16"/>
  <c r="U125" i="16"/>
  <c r="AB125" i="16"/>
  <c r="Y126" i="16"/>
  <c r="R126" i="16"/>
  <c r="Q126" i="16"/>
  <c r="Z126" i="16"/>
  <c r="T126" i="16"/>
  <c r="S126" i="16"/>
  <c r="AA126" i="16"/>
  <c r="V126" i="16"/>
  <c r="U126" i="16"/>
  <c r="AB126" i="16"/>
  <c r="Y127" i="16"/>
  <c r="R127" i="16"/>
  <c r="Q127" i="16"/>
  <c r="Z127" i="16"/>
  <c r="T127" i="16"/>
  <c r="S127" i="16"/>
  <c r="AA127" i="16"/>
  <c r="V127" i="16"/>
  <c r="U127" i="16"/>
  <c r="AB127" i="16"/>
  <c r="Y128" i="16"/>
  <c r="R128" i="16"/>
  <c r="Q128" i="16"/>
  <c r="Z128" i="16"/>
  <c r="T128" i="16"/>
  <c r="S128" i="16"/>
  <c r="AA128" i="16"/>
  <c r="V128" i="16"/>
  <c r="U128" i="16"/>
  <c r="AB128" i="16"/>
  <c r="Y129" i="16"/>
  <c r="R129" i="16"/>
  <c r="Q129" i="16"/>
  <c r="Z129" i="16"/>
  <c r="T129" i="16"/>
  <c r="S129" i="16"/>
  <c r="AA129" i="16"/>
  <c r="V129" i="16"/>
  <c r="U129" i="16"/>
  <c r="AB129" i="16"/>
  <c r="Y130" i="16"/>
  <c r="R130" i="16"/>
  <c r="Q130" i="16"/>
  <c r="Z130" i="16"/>
  <c r="T130" i="16"/>
  <c r="S130" i="16"/>
  <c r="AA130" i="16"/>
  <c r="V130" i="16"/>
  <c r="U130" i="16"/>
  <c r="AB130" i="16"/>
  <c r="Y131" i="16"/>
  <c r="R131" i="16"/>
  <c r="Q131" i="16"/>
  <c r="Z131" i="16"/>
  <c r="T131" i="16"/>
  <c r="S131" i="16"/>
  <c r="AA131" i="16"/>
  <c r="V131" i="16"/>
  <c r="U131" i="16"/>
  <c r="AB131" i="16"/>
  <c r="Y132" i="16"/>
  <c r="R132" i="16"/>
  <c r="Q132" i="16"/>
  <c r="Z132" i="16"/>
  <c r="T132" i="16"/>
  <c r="S132" i="16"/>
  <c r="AA132" i="16"/>
  <c r="V132" i="16"/>
  <c r="U132" i="16"/>
  <c r="AB132" i="16"/>
  <c r="Y133" i="16"/>
  <c r="R133" i="16"/>
  <c r="Q133" i="16"/>
  <c r="Z133" i="16"/>
  <c r="T133" i="16"/>
  <c r="S133" i="16"/>
  <c r="AA133" i="16"/>
  <c r="V133" i="16"/>
  <c r="U133" i="16"/>
  <c r="AB133" i="16"/>
  <c r="Y134" i="16"/>
  <c r="R134" i="16"/>
  <c r="Q134" i="16"/>
  <c r="Z134" i="16"/>
  <c r="T134" i="16"/>
  <c r="S134" i="16"/>
  <c r="AA134" i="16"/>
  <c r="V134" i="16"/>
  <c r="U134" i="16"/>
  <c r="AB134" i="16"/>
  <c r="Y135" i="16"/>
  <c r="R135" i="16"/>
  <c r="Q135" i="16"/>
  <c r="Z135" i="16"/>
  <c r="T135" i="16"/>
  <c r="S135" i="16"/>
  <c r="AA135" i="16"/>
  <c r="V135" i="16"/>
  <c r="U135" i="16"/>
  <c r="AB135" i="16"/>
  <c r="Y136" i="16"/>
  <c r="R136" i="16"/>
  <c r="Q136" i="16"/>
  <c r="Z136" i="16"/>
  <c r="T136" i="16"/>
  <c r="S136" i="16"/>
  <c r="AA136" i="16"/>
  <c r="V136" i="16"/>
  <c r="U136" i="16"/>
  <c r="AB136" i="16"/>
  <c r="Y137" i="16"/>
  <c r="R137" i="16"/>
  <c r="Q137" i="16"/>
  <c r="Z137" i="16"/>
  <c r="T137" i="16"/>
  <c r="S137" i="16"/>
  <c r="AA137" i="16"/>
  <c r="V137" i="16"/>
  <c r="U137" i="16"/>
  <c r="AB137" i="16"/>
  <c r="Y138" i="16"/>
  <c r="R138" i="16"/>
  <c r="Q138" i="16"/>
  <c r="Z138" i="16"/>
  <c r="T138" i="16"/>
  <c r="S138" i="16"/>
  <c r="AA138" i="16"/>
  <c r="V138" i="16"/>
  <c r="U138" i="16"/>
  <c r="AB138" i="16"/>
  <c r="Y139" i="16"/>
  <c r="R139" i="16"/>
  <c r="Q139" i="16"/>
  <c r="Z139" i="16"/>
  <c r="T139" i="16"/>
  <c r="S139" i="16"/>
  <c r="AA139" i="16"/>
  <c r="V139" i="16"/>
  <c r="U139" i="16"/>
  <c r="AB139" i="16"/>
  <c r="Y140" i="16"/>
  <c r="R140" i="16"/>
  <c r="Q140" i="16"/>
  <c r="Z140" i="16"/>
  <c r="T140" i="16"/>
  <c r="S140" i="16"/>
  <c r="AA140" i="16"/>
  <c r="V140" i="16"/>
  <c r="U140" i="16"/>
  <c r="AB140" i="16"/>
  <c r="Y141" i="16"/>
  <c r="R141" i="16"/>
  <c r="Q141" i="16"/>
  <c r="Z141" i="16"/>
  <c r="T141" i="16"/>
  <c r="S141" i="16"/>
  <c r="AA141" i="16"/>
  <c r="V141" i="16"/>
  <c r="U141" i="16"/>
  <c r="AB141" i="16"/>
  <c r="Y142" i="16"/>
  <c r="R142" i="16"/>
  <c r="Q142" i="16"/>
  <c r="Z142" i="16"/>
  <c r="T142" i="16"/>
  <c r="S142" i="16"/>
  <c r="AA142" i="16"/>
  <c r="V142" i="16"/>
  <c r="U142" i="16"/>
  <c r="AB142" i="16"/>
  <c r="Y143" i="16"/>
  <c r="R143" i="16"/>
  <c r="Q143" i="16"/>
  <c r="Z143" i="16"/>
  <c r="T143" i="16"/>
  <c r="S143" i="16"/>
  <c r="AA143" i="16"/>
  <c r="V143" i="16"/>
  <c r="U143" i="16"/>
  <c r="AB143" i="16"/>
  <c r="Y144" i="16"/>
  <c r="R144" i="16"/>
  <c r="Q144" i="16"/>
  <c r="Z144" i="16"/>
  <c r="T144" i="16"/>
  <c r="S144" i="16"/>
  <c r="AA144" i="16"/>
  <c r="V144" i="16"/>
  <c r="U144" i="16"/>
  <c r="AB144" i="16"/>
  <c r="Y145" i="16"/>
  <c r="R145" i="16"/>
  <c r="Q145" i="16"/>
  <c r="Z145" i="16"/>
  <c r="T145" i="16"/>
  <c r="S145" i="16"/>
  <c r="AA145" i="16"/>
  <c r="V145" i="16"/>
  <c r="U145" i="16"/>
  <c r="AB145" i="16"/>
  <c r="Y146" i="16"/>
  <c r="R146" i="16"/>
  <c r="Q146" i="16"/>
  <c r="Z146" i="16"/>
  <c r="T146" i="16"/>
  <c r="S146" i="16"/>
  <c r="AA146" i="16"/>
  <c r="V146" i="16"/>
  <c r="U146" i="16"/>
  <c r="AB146" i="16"/>
  <c r="Y147" i="16"/>
  <c r="R147" i="16"/>
  <c r="Q147" i="16"/>
  <c r="Z147" i="16"/>
  <c r="T147" i="16"/>
  <c r="S147" i="16"/>
  <c r="AA147" i="16"/>
  <c r="V147" i="16"/>
  <c r="U147" i="16"/>
  <c r="AB147" i="16"/>
  <c r="Y148" i="16"/>
  <c r="R148" i="16"/>
  <c r="Q148" i="16"/>
  <c r="Z148" i="16"/>
  <c r="T148" i="16"/>
  <c r="S148" i="16"/>
  <c r="AA148" i="16"/>
  <c r="V148" i="16"/>
  <c r="U148" i="16"/>
  <c r="AB148" i="16"/>
  <c r="Y149" i="16"/>
  <c r="R149" i="16"/>
  <c r="Q149" i="16"/>
  <c r="Z149" i="16"/>
  <c r="T149" i="16"/>
  <c r="S149" i="16"/>
  <c r="AA149" i="16"/>
  <c r="V149" i="16"/>
  <c r="U149" i="16"/>
  <c r="AB149" i="16"/>
  <c r="Y150" i="16"/>
  <c r="R150" i="16"/>
  <c r="Q150" i="16"/>
  <c r="Z150" i="16"/>
  <c r="T150" i="16"/>
  <c r="S150" i="16"/>
  <c r="AA150" i="16"/>
  <c r="V150" i="16"/>
  <c r="U150" i="16"/>
  <c r="AB150" i="16"/>
  <c r="Y151" i="16"/>
  <c r="R151" i="16"/>
  <c r="Q151" i="16"/>
  <c r="Z151" i="16"/>
  <c r="T151" i="16"/>
  <c r="S151" i="16"/>
  <c r="AA151" i="16"/>
  <c r="V151" i="16"/>
  <c r="U151" i="16"/>
  <c r="AB151" i="16"/>
  <c r="Y152" i="16"/>
  <c r="R152" i="16"/>
  <c r="Q152" i="16"/>
  <c r="Z152" i="16"/>
  <c r="T152" i="16"/>
  <c r="S152" i="16"/>
  <c r="AA152" i="16"/>
  <c r="V152" i="16"/>
  <c r="U152" i="16"/>
  <c r="AB152" i="16"/>
  <c r="Y153" i="16"/>
  <c r="R153" i="16"/>
  <c r="Q153" i="16"/>
  <c r="Z153" i="16"/>
  <c r="T153" i="16"/>
  <c r="S153" i="16"/>
  <c r="AA153" i="16"/>
  <c r="V153" i="16"/>
  <c r="U153" i="16"/>
  <c r="AB153" i="16"/>
  <c r="Y154" i="16"/>
  <c r="R154" i="16"/>
  <c r="Q154" i="16"/>
  <c r="Z154" i="16"/>
  <c r="T154" i="16"/>
  <c r="S154" i="16"/>
  <c r="AA154" i="16"/>
  <c r="V154" i="16"/>
  <c r="U154" i="16"/>
  <c r="AB154" i="16"/>
  <c r="Y155" i="16"/>
  <c r="R155" i="16"/>
  <c r="Q155" i="16"/>
  <c r="Z155" i="16"/>
  <c r="T155" i="16"/>
  <c r="S155" i="16"/>
  <c r="AA155" i="16"/>
  <c r="V155" i="16"/>
  <c r="U155" i="16"/>
  <c r="AB155" i="16"/>
  <c r="Y156" i="16"/>
  <c r="R156" i="16"/>
  <c r="Q156" i="16"/>
  <c r="Z156" i="16"/>
  <c r="T156" i="16"/>
  <c r="S156" i="16"/>
  <c r="AA156" i="16"/>
  <c r="V156" i="16"/>
  <c r="U156" i="16"/>
  <c r="AB156" i="16"/>
  <c r="Y157" i="16"/>
  <c r="R157" i="16"/>
  <c r="Q157" i="16"/>
  <c r="Z157" i="16"/>
  <c r="T157" i="16"/>
  <c r="S157" i="16"/>
  <c r="AA157" i="16"/>
  <c r="V157" i="16"/>
  <c r="U157" i="16"/>
  <c r="AB157" i="16"/>
  <c r="Y158" i="16"/>
  <c r="R158" i="16"/>
  <c r="Q158" i="16"/>
  <c r="Z158" i="16"/>
  <c r="T158" i="16"/>
  <c r="S158" i="16"/>
  <c r="AA158" i="16"/>
  <c r="V158" i="16"/>
  <c r="U158" i="16"/>
  <c r="AB158" i="16"/>
  <c r="Y159" i="16"/>
  <c r="R159" i="16"/>
  <c r="Q159" i="16"/>
  <c r="Z159" i="16"/>
  <c r="T159" i="16"/>
  <c r="S159" i="16"/>
  <c r="AA159" i="16"/>
  <c r="V159" i="16"/>
  <c r="U159" i="16"/>
  <c r="AB159" i="16"/>
  <c r="Y160" i="16"/>
  <c r="R160" i="16"/>
  <c r="Q160" i="16"/>
  <c r="Z160" i="16"/>
  <c r="T160" i="16"/>
  <c r="S160" i="16"/>
  <c r="AA160" i="16"/>
  <c r="V160" i="16"/>
  <c r="U160" i="16"/>
  <c r="AB160" i="16"/>
  <c r="Y161" i="16"/>
  <c r="R161" i="16"/>
  <c r="Q161" i="16"/>
  <c r="Z161" i="16"/>
  <c r="T161" i="16"/>
  <c r="S161" i="16"/>
  <c r="AA161" i="16"/>
  <c r="V161" i="16"/>
  <c r="U161" i="16"/>
  <c r="AB161" i="16"/>
  <c r="Y162" i="16"/>
  <c r="R162" i="16"/>
  <c r="Q162" i="16"/>
  <c r="Z162" i="16"/>
  <c r="T162" i="16"/>
  <c r="S162" i="16"/>
  <c r="AA162" i="16"/>
  <c r="V162" i="16"/>
  <c r="U162" i="16"/>
  <c r="AB162" i="16"/>
  <c r="Y163" i="16"/>
  <c r="R163" i="16"/>
  <c r="Q163" i="16"/>
  <c r="Z163" i="16"/>
  <c r="T163" i="16"/>
  <c r="S163" i="16"/>
  <c r="AA163" i="16"/>
  <c r="V163" i="16"/>
  <c r="U163" i="16"/>
  <c r="AB163" i="16"/>
  <c r="Y164" i="16"/>
  <c r="R164" i="16"/>
  <c r="Q164" i="16"/>
  <c r="Z164" i="16"/>
  <c r="T164" i="16"/>
  <c r="S164" i="16"/>
  <c r="AA164" i="16"/>
  <c r="V164" i="16"/>
  <c r="U164" i="16"/>
  <c r="AB164" i="16"/>
  <c r="Y165" i="16"/>
  <c r="R165" i="16"/>
  <c r="Q165" i="16"/>
  <c r="Z165" i="16"/>
  <c r="T165" i="16"/>
  <c r="S165" i="16"/>
  <c r="AA165" i="16"/>
  <c r="V165" i="16"/>
  <c r="U165" i="16"/>
  <c r="AB165" i="16"/>
  <c r="Y166" i="16"/>
  <c r="R166" i="16"/>
  <c r="Q166" i="16"/>
  <c r="Z166" i="16"/>
  <c r="T166" i="16"/>
  <c r="S166" i="16"/>
  <c r="AA166" i="16"/>
  <c r="V166" i="16"/>
  <c r="U166" i="16"/>
  <c r="AB166" i="16"/>
  <c r="Y167" i="16"/>
  <c r="R167" i="16"/>
  <c r="Q167" i="16"/>
  <c r="Z167" i="16"/>
  <c r="T167" i="16"/>
  <c r="S167" i="16"/>
  <c r="AA167" i="16"/>
  <c r="V167" i="16"/>
  <c r="U167" i="16"/>
  <c r="AB167" i="16"/>
  <c r="Y168" i="16"/>
  <c r="R168" i="16"/>
  <c r="Q168" i="16"/>
  <c r="Z168" i="16"/>
  <c r="T168" i="16"/>
  <c r="S168" i="16"/>
  <c r="AA168" i="16"/>
  <c r="V168" i="16"/>
  <c r="U168" i="16"/>
  <c r="AB168" i="16"/>
  <c r="Y169" i="16"/>
  <c r="R169" i="16"/>
  <c r="Q169" i="16"/>
  <c r="Z169" i="16"/>
  <c r="T169" i="16"/>
  <c r="S169" i="16"/>
  <c r="AA169" i="16"/>
  <c r="V169" i="16"/>
  <c r="U169" i="16"/>
  <c r="AB169" i="16"/>
  <c r="Y170" i="16"/>
  <c r="R170" i="16"/>
  <c r="Q170" i="16"/>
  <c r="Z170" i="16"/>
  <c r="T170" i="16"/>
  <c r="S170" i="16"/>
  <c r="AA170" i="16"/>
  <c r="V170" i="16"/>
  <c r="U170" i="16"/>
  <c r="AB170" i="16"/>
  <c r="Y171" i="16"/>
  <c r="R171" i="16"/>
  <c r="Q171" i="16"/>
  <c r="Z171" i="16"/>
  <c r="T171" i="16"/>
  <c r="S171" i="16"/>
  <c r="AA171" i="16"/>
  <c r="V171" i="16"/>
  <c r="U171" i="16"/>
  <c r="AB171" i="16"/>
  <c r="Y172" i="16"/>
  <c r="R172" i="16"/>
  <c r="Q172" i="16"/>
  <c r="Z172" i="16"/>
  <c r="T172" i="16"/>
  <c r="S172" i="16"/>
  <c r="AA172" i="16"/>
  <c r="V172" i="16"/>
  <c r="U172" i="16"/>
  <c r="AB172" i="16"/>
  <c r="Y173" i="16"/>
  <c r="R173" i="16"/>
  <c r="Q173" i="16"/>
  <c r="Z173" i="16"/>
  <c r="T173" i="16"/>
  <c r="S173" i="16"/>
  <c r="AA173" i="16"/>
  <c r="V173" i="16"/>
  <c r="U173" i="16"/>
  <c r="AB173" i="16"/>
  <c r="Y174" i="16"/>
  <c r="R174" i="16"/>
  <c r="Q174" i="16"/>
  <c r="Z174" i="16"/>
  <c r="T174" i="16"/>
  <c r="S174" i="16"/>
  <c r="AA174" i="16"/>
  <c r="V174" i="16"/>
  <c r="U174" i="16"/>
  <c r="AB174" i="16"/>
  <c r="Y175" i="16"/>
  <c r="R175" i="16"/>
  <c r="Q175" i="16"/>
  <c r="Z175" i="16"/>
  <c r="T175" i="16"/>
  <c r="S175" i="16"/>
  <c r="AA175" i="16"/>
  <c r="V175" i="16"/>
  <c r="U175" i="16"/>
  <c r="AB175" i="16"/>
  <c r="Y176" i="16"/>
  <c r="R176" i="16"/>
  <c r="Q176" i="16"/>
  <c r="Z176" i="16"/>
  <c r="T176" i="16"/>
  <c r="S176" i="16"/>
  <c r="AA176" i="16"/>
  <c r="V176" i="16"/>
  <c r="U176" i="16"/>
  <c r="AB176" i="16"/>
  <c r="Y177" i="16"/>
  <c r="R177" i="16"/>
  <c r="Q177" i="16"/>
  <c r="Z177" i="16"/>
  <c r="T177" i="16"/>
  <c r="S177" i="16"/>
  <c r="AA177" i="16"/>
  <c r="V177" i="16"/>
  <c r="U177" i="16"/>
  <c r="AB177" i="16"/>
  <c r="Y178" i="16"/>
  <c r="R178" i="16"/>
  <c r="Q178" i="16"/>
  <c r="Z178" i="16"/>
  <c r="T178" i="16"/>
  <c r="S178" i="16"/>
  <c r="AA178" i="16"/>
  <c r="V178" i="16"/>
  <c r="U178" i="16"/>
  <c r="AB178" i="16"/>
  <c r="Y179" i="16"/>
  <c r="R179" i="16"/>
  <c r="Q179" i="16"/>
  <c r="Z179" i="16"/>
  <c r="T179" i="16"/>
  <c r="S179" i="16"/>
  <c r="AA179" i="16"/>
  <c r="V179" i="16"/>
  <c r="U179" i="16"/>
  <c r="AB179" i="16"/>
  <c r="Y180" i="16"/>
  <c r="R180" i="16"/>
  <c r="Q180" i="16"/>
  <c r="Z180" i="16"/>
  <c r="T180" i="16"/>
  <c r="S180" i="16"/>
  <c r="AA180" i="16"/>
  <c r="V180" i="16"/>
  <c r="U180" i="16"/>
  <c r="AB180" i="16"/>
  <c r="Y181" i="16"/>
  <c r="R181" i="16"/>
  <c r="Q181" i="16"/>
  <c r="Z181" i="16"/>
  <c r="T181" i="16"/>
  <c r="S181" i="16"/>
  <c r="AA181" i="16"/>
  <c r="V181" i="16"/>
  <c r="U181" i="16"/>
  <c r="AB181" i="16"/>
  <c r="Y182" i="16"/>
  <c r="R182" i="16"/>
  <c r="Q182" i="16"/>
  <c r="Z182" i="16"/>
  <c r="T182" i="16"/>
  <c r="S182" i="16"/>
  <c r="AA182" i="16"/>
  <c r="V182" i="16"/>
  <c r="U182" i="16"/>
  <c r="AB182" i="16"/>
  <c r="Y183" i="16"/>
  <c r="R183" i="16"/>
  <c r="Q183" i="16"/>
  <c r="Z183" i="16"/>
  <c r="T183" i="16"/>
  <c r="S183" i="16"/>
  <c r="AA183" i="16"/>
  <c r="V183" i="16"/>
  <c r="U183" i="16"/>
  <c r="AB183" i="16"/>
  <c r="Y184" i="16"/>
  <c r="R184" i="16"/>
  <c r="Q184" i="16"/>
  <c r="Z184" i="16"/>
  <c r="T184" i="16"/>
  <c r="S184" i="16"/>
  <c r="AA184" i="16"/>
  <c r="V184" i="16"/>
  <c r="U184" i="16"/>
  <c r="AB184" i="16"/>
  <c r="Y185" i="16"/>
  <c r="R185" i="16"/>
  <c r="Q185" i="16"/>
  <c r="Z185" i="16"/>
  <c r="T185" i="16"/>
  <c r="S185" i="16"/>
  <c r="AA185" i="16"/>
  <c r="V185" i="16"/>
  <c r="U185" i="16"/>
  <c r="AB185" i="16"/>
  <c r="Y186" i="16"/>
  <c r="R186" i="16"/>
  <c r="Q186" i="16"/>
  <c r="Z186" i="16"/>
  <c r="T186" i="16"/>
  <c r="S186" i="16"/>
  <c r="AA186" i="16"/>
  <c r="V186" i="16"/>
  <c r="U186" i="16"/>
  <c r="AB186" i="16"/>
  <c r="Y187" i="16"/>
  <c r="R187" i="16"/>
  <c r="Q187" i="16"/>
  <c r="Z187" i="16"/>
  <c r="T187" i="16"/>
  <c r="S187" i="16"/>
  <c r="AA187" i="16"/>
  <c r="V187" i="16"/>
  <c r="U187" i="16"/>
  <c r="AB187" i="16"/>
  <c r="Y188" i="16"/>
  <c r="R188" i="16"/>
  <c r="Q188" i="16"/>
  <c r="Z188" i="16"/>
  <c r="T188" i="16"/>
  <c r="S188" i="16"/>
  <c r="AA188" i="16"/>
  <c r="V188" i="16"/>
  <c r="U188" i="16"/>
  <c r="AB188" i="16"/>
  <c r="Y189" i="16"/>
  <c r="R189" i="16"/>
  <c r="Q189" i="16"/>
  <c r="Z189" i="16"/>
  <c r="T189" i="16"/>
  <c r="S189" i="16"/>
  <c r="AA189" i="16"/>
  <c r="V189" i="16"/>
  <c r="U189" i="16"/>
  <c r="AB189" i="16"/>
  <c r="Y190" i="16"/>
  <c r="R190" i="16"/>
  <c r="Q190" i="16"/>
  <c r="Z190" i="16"/>
  <c r="T190" i="16"/>
  <c r="S190" i="16"/>
  <c r="AA190" i="16"/>
  <c r="V190" i="16"/>
  <c r="U190" i="16"/>
  <c r="AB190" i="16"/>
  <c r="Y191" i="16"/>
  <c r="R191" i="16"/>
  <c r="Q191" i="16"/>
  <c r="Z191" i="16"/>
  <c r="T191" i="16"/>
  <c r="S191" i="16"/>
  <c r="AA191" i="16"/>
  <c r="V191" i="16"/>
  <c r="U191" i="16"/>
  <c r="AB191" i="16"/>
  <c r="Y192" i="16"/>
  <c r="R192" i="16"/>
  <c r="Q192" i="16"/>
  <c r="Z192" i="16"/>
  <c r="T192" i="16"/>
  <c r="S192" i="16"/>
  <c r="AA192" i="16"/>
  <c r="V192" i="16"/>
  <c r="U192" i="16"/>
  <c r="AB192" i="16"/>
  <c r="Y193" i="16"/>
  <c r="R193" i="16"/>
  <c r="Q193" i="16"/>
  <c r="Z193" i="16"/>
  <c r="T193" i="16"/>
  <c r="S193" i="16"/>
  <c r="AA193" i="16"/>
  <c r="V193" i="16"/>
  <c r="U193" i="16"/>
  <c r="AB193" i="16"/>
  <c r="Y194" i="16"/>
  <c r="R194" i="16"/>
  <c r="Q194" i="16"/>
  <c r="Z194" i="16"/>
  <c r="T194" i="16"/>
  <c r="S194" i="16"/>
  <c r="AA194" i="16"/>
  <c r="V194" i="16"/>
  <c r="U194" i="16"/>
  <c r="AB194" i="16"/>
  <c r="Y195" i="16"/>
  <c r="R195" i="16"/>
  <c r="Q195" i="16"/>
  <c r="Z195" i="16"/>
  <c r="T195" i="16"/>
  <c r="S195" i="16"/>
  <c r="AA195" i="16"/>
  <c r="V195" i="16"/>
  <c r="U195" i="16"/>
  <c r="AB195" i="16"/>
  <c r="Y196" i="16"/>
  <c r="R196" i="16"/>
  <c r="Q196" i="16"/>
  <c r="Z196" i="16"/>
  <c r="T196" i="16"/>
  <c r="S196" i="16"/>
  <c r="AA196" i="16"/>
  <c r="V196" i="16"/>
  <c r="U196" i="16"/>
  <c r="AB196" i="16"/>
  <c r="Y197" i="16"/>
  <c r="R197" i="16"/>
  <c r="Q197" i="16"/>
  <c r="Z197" i="16"/>
  <c r="T197" i="16"/>
  <c r="S197" i="16"/>
  <c r="AA197" i="16"/>
  <c r="V197" i="16"/>
  <c r="U197" i="16"/>
  <c r="AB197" i="16"/>
  <c r="Y198" i="16"/>
  <c r="R198" i="16"/>
  <c r="Q198" i="16"/>
  <c r="Z198" i="16"/>
  <c r="T198" i="16"/>
  <c r="S198" i="16"/>
  <c r="AA198" i="16"/>
  <c r="V198" i="16"/>
  <c r="U198" i="16"/>
  <c r="AB198" i="16"/>
  <c r="Y199" i="16"/>
  <c r="R199" i="16"/>
  <c r="Q199" i="16"/>
  <c r="Z199" i="16"/>
  <c r="T199" i="16"/>
  <c r="S199" i="16"/>
  <c r="AA199" i="16"/>
  <c r="V199" i="16"/>
  <c r="U199" i="16"/>
  <c r="AB199" i="16"/>
  <c r="Y200" i="16"/>
  <c r="R200" i="16"/>
  <c r="Q200" i="16"/>
  <c r="Z200" i="16"/>
  <c r="T200" i="16"/>
  <c r="S200" i="16"/>
  <c r="AA200" i="16"/>
  <c r="V200" i="16"/>
  <c r="U200" i="16"/>
  <c r="AB200" i="16"/>
  <c r="Y201" i="16"/>
  <c r="R201" i="16"/>
  <c r="Q201" i="16"/>
  <c r="Z201" i="16"/>
  <c r="T201" i="16"/>
  <c r="S201" i="16"/>
  <c r="AA201" i="16"/>
  <c r="V201" i="16"/>
  <c r="U201" i="16"/>
  <c r="AB201" i="16"/>
  <c r="Y202" i="16"/>
  <c r="R202" i="16"/>
  <c r="Q202" i="16"/>
  <c r="Z202" i="16"/>
  <c r="T202" i="16"/>
  <c r="S202" i="16"/>
  <c r="AA202" i="16"/>
  <c r="V202" i="16"/>
  <c r="U202" i="16"/>
  <c r="AB202" i="16"/>
  <c r="Y203" i="16"/>
  <c r="R203" i="16"/>
  <c r="Q203" i="16"/>
  <c r="Z203" i="16"/>
  <c r="T203" i="16"/>
  <c r="S203" i="16"/>
  <c r="AA203" i="16"/>
  <c r="V203" i="16"/>
  <c r="U203" i="16"/>
  <c r="AB203" i="16"/>
  <c r="Y204" i="16"/>
  <c r="R204" i="16"/>
  <c r="Q204" i="16"/>
  <c r="Z204" i="16"/>
  <c r="T204" i="16"/>
  <c r="S204" i="16"/>
  <c r="AA204" i="16"/>
  <c r="V204" i="16"/>
  <c r="U204" i="16"/>
  <c r="AB204" i="16"/>
  <c r="Y205" i="16"/>
  <c r="R205" i="16"/>
  <c r="Q205" i="16"/>
  <c r="Z205" i="16"/>
  <c r="T205" i="16"/>
  <c r="S205" i="16"/>
  <c r="AA205" i="16"/>
  <c r="V205" i="16"/>
  <c r="U205" i="16"/>
  <c r="AB205" i="16"/>
  <c r="Y206" i="16"/>
  <c r="R206" i="16"/>
  <c r="Q206" i="16"/>
  <c r="Z206" i="16"/>
  <c r="T206" i="16"/>
  <c r="S206" i="16"/>
  <c r="AA206" i="16"/>
  <c r="V206" i="16"/>
  <c r="U206" i="16"/>
  <c r="AB206" i="16"/>
  <c r="Y207" i="16"/>
  <c r="R207" i="16"/>
  <c r="Q207" i="16"/>
  <c r="Z207" i="16"/>
  <c r="T207" i="16"/>
  <c r="S207" i="16"/>
  <c r="AA207" i="16"/>
  <c r="V207" i="16"/>
  <c r="U207" i="16"/>
  <c r="AB207" i="16"/>
  <c r="Y208" i="16"/>
  <c r="R208" i="16"/>
  <c r="Q208" i="16"/>
  <c r="Z208" i="16"/>
  <c r="T208" i="16"/>
  <c r="S208" i="16"/>
  <c r="AA208" i="16"/>
  <c r="V208" i="16"/>
  <c r="U208" i="16"/>
  <c r="AB208" i="16"/>
  <c r="Y209" i="16"/>
  <c r="R209" i="16"/>
  <c r="Q209" i="16"/>
  <c r="Z209" i="16"/>
  <c r="T209" i="16"/>
  <c r="S209" i="16"/>
  <c r="AA209" i="16"/>
  <c r="V209" i="16"/>
  <c r="U209" i="16"/>
  <c r="AB209" i="16"/>
  <c r="Y210" i="16"/>
  <c r="R210" i="16"/>
  <c r="Q210" i="16"/>
  <c r="Z210" i="16"/>
  <c r="T210" i="16"/>
  <c r="S210" i="16"/>
  <c r="AA210" i="16"/>
  <c r="V210" i="16"/>
  <c r="U210" i="16"/>
  <c r="AB210" i="16"/>
  <c r="C232" i="24"/>
  <c r="H187" i="24"/>
  <c r="G187" i="24"/>
  <c r="F187" i="24"/>
  <c r="E187" i="24"/>
  <c r="D187" i="24"/>
  <c r="H186" i="24"/>
  <c r="G186" i="24"/>
  <c r="F186" i="24"/>
  <c r="E186" i="24"/>
  <c r="D186" i="24"/>
  <c r="H185" i="24"/>
  <c r="G185" i="24"/>
  <c r="F185" i="24"/>
  <c r="E185" i="24"/>
  <c r="D185" i="24"/>
  <c r="C187" i="24"/>
  <c r="C186" i="24"/>
  <c r="C185" i="24"/>
  <c r="B187" i="24"/>
  <c r="B186" i="24"/>
  <c r="B185" i="24"/>
  <c r="I100" i="16"/>
  <c r="C210" i="24"/>
  <c r="C208" i="24"/>
  <c r="I128" i="24"/>
  <c r="I100" i="15"/>
  <c r="C203" i="24"/>
  <c r="C201" i="24"/>
  <c r="A128" i="24"/>
  <c r="H182" i="24"/>
  <c r="H181" i="24"/>
  <c r="H180" i="24"/>
  <c r="H179" i="24"/>
  <c r="H178" i="24"/>
  <c r="H177" i="24"/>
  <c r="H175" i="24"/>
  <c r="H174" i="24"/>
  <c r="H173" i="24"/>
  <c r="H172" i="24"/>
  <c r="H171" i="24"/>
  <c r="H170" i="24"/>
  <c r="I104" i="18"/>
  <c r="B182" i="24"/>
  <c r="B181" i="24"/>
  <c r="B180" i="24"/>
  <c r="B179" i="24"/>
  <c r="B178" i="24"/>
  <c r="B177" i="24"/>
  <c r="I69" i="18"/>
  <c r="G182" i="24"/>
  <c r="I55" i="18"/>
  <c r="F182" i="24"/>
  <c r="I36" i="18"/>
  <c r="E182" i="24"/>
  <c r="I24" i="18"/>
  <c r="D182" i="24"/>
  <c r="G181" i="24"/>
  <c r="F181" i="24"/>
  <c r="E181" i="24"/>
  <c r="D181" i="24"/>
  <c r="G180" i="24"/>
  <c r="F180" i="24"/>
  <c r="E180" i="24"/>
  <c r="D180" i="24"/>
  <c r="G179" i="24"/>
  <c r="F179" i="24"/>
  <c r="E179" i="24"/>
  <c r="D179" i="24"/>
  <c r="G178" i="24"/>
  <c r="F178" i="24"/>
  <c r="E178" i="24"/>
  <c r="D178" i="24"/>
  <c r="G177" i="24"/>
  <c r="F177" i="24"/>
  <c r="E177" i="24"/>
  <c r="D177" i="24"/>
  <c r="I15" i="18"/>
  <c r="C182" i="24"/>
  <c r="C181" i="24"/>
  <c r="C180" i="24"/>
  <c r="C179" i="24"/>
  <c r="C178" i="24"/>
  <c r="C177" i="24"/>
  <c r="I104" i="16"/>
  <c r="B170" i="24"/>
  <c r="B175" i="24"/>
  <c r="B174" i="24"/>
  <c r="B173" i="24"/>
  <c r="B172" i="24"/>
  <c r="B171" i="24"/>
  <c r="I69" i="16"/>
  <c r="G175" i="24"/>
  <c r="I55" i="16"/>
  <c r="F175" i="24"/>
  <c r="I36" i="16"/>
  <c r="E175" i="24"/>
  <c r="I24" i="16"/>
  <c r="D175" i="24"/>
  <c r="G174" i="24"/>
  <c r="F174" i="24"/>
  <c r="E174" i="24"/>
  <c r="D174" i="24"/>
  <c r="G173" i="24"/>
  <c r="F173" i="24"/>
  <c r="E173" i="24"/>
  <c r="D173" i="24"/>
  <c r="G172" i="24"/>
  <c r="F172" i="24"/>
  <c r="E172" i="24"/>
  <c r="D172" i="24"/>
  <c r="G171" i="24"/>
  <c r="F171" i="24"/>
  <c r="E171" i="24"/>
  <c r="D171" i="24"/>
  <c r="G170" i="24"/>
  <c r="F170" i="24"/>
  <c r="E170" i="24"/>
  <c r="D170" i="24"/>
  <c r="I15" i="16"/>
  <c r="C175" i="24"/>
  <c r="C174" i="24"/>
  <c r="C173" i="24"/>
  <c r="C172" i="24"/>
  <c r="C171" i="24"/>
  <c r="C170" i="24"/>
  <c r="I104" i="15"/>
  <c r="B168" i="24"/>
  <c r="B167" i="24"/>
  <c r="B166" i="24"/>
  <c r="B165" i="24"/>
  <c r="B164" i="24"/>
  <c r="B163" i="24"/>
  <c r="H168" i="24"/>
  <c r="I69" i="15"/>
  <c r="G168" i="24"/>
  <c r="I55" i="15"/>
  <c r="F168" i="24"/>
  <c r="I36" i="15"/>
  <c r="E168" i="24"/>
  <c r="I24" i="15"/>
  <c r="D168" i="24"/>
  <c r="H167" i="24"/>
  <c r="G167" i="24"/>
  <c r="F167" i="24"/>
  <c r="E167" i="24"/>
  <c r="D167" i="24"/>
  <c r="H166" i="24"/>
  <c r="G166" i="24"/>
  <c r="F166" i="24"/>
  <c r="E166" i="24"/>
  <c r="D166" i="24"/>
  <c r="H165" i="24"/>
  <c r="G165" i="24"/>
  <c r="F165" i="24"/>
  <c r="E165" i="24"/>
  <c r="D165" i="24"/>
  <c r="H164" i="24"/>
  <c r="G164" i="24"/>
  <c r="F164" i="24"/>
  <c r="E164" i="24"/>
  <c r="D164" i="24"/>
  <c r="H163" i="24"/>
  <c r="G163" i="24"/>
  <c r="F163" i="24"/>
  <c r="E163" i="24"/>
  <c r="D163" i="24"/>
  <c r="I15" i="15"/>
  <c r="C168" i="24"/>
  <c r="C167" i="24"/>
  <c r="C166" i="24"/>
  <c r="C165" i="24"/>
  <c r="C164" i="24"/>
  <c r="C163" i="24"/>
  <c r="A105" i="19"/>
  <c r="A106" i="19"/>
  <c r="A107" i="19"/>
  <c r="A108" i="19"/>
  <c r="B105" i="19"/>
  <c r="C105" i="19"/>
  <c r="D105" i="19"/>
  <c r="E105" i="19"/>
  <c r="F105" i="19"/>
  <c r="G105" i="19"/>
  <c r="H105" i="19"/>
  <c r="I105" i="19"/>
  <c r="J105" i="19"/>
  <c r="K105" i="19"/>
  <c r="L105" i="19"/>
  <c r="M105" i="19"/>
  <c r="N105" i="19"/>
  <c r="O105" i="19"/>
  <c r="P105" i="19"/>
  <c r="Q105" i="19"/>
  <c r="R105" i="19"/>
  <c r="S105" i="19"/>
  <c r="T105" i="19"/>
  <c r="U105" i="19"/>
  <c r="B106" i="19"/>
  <c r="C106" i="19"/>
  <c r="D106" i="19"/>
  <c r="E106" i="19"/>
  <c r="F106" i="19"/>
  <c r="G106" i="19"/>
  <c r="H106" i="19"/>
  <c r="I106" i="19"/>
  <c r="J106" i="19"/>
  <c r="K106" i="19"/>
  <c r="L106" i="19"/>
  <c r="M106" i="19"/>
  <c r="N106" i="19"/>
  <c r="O106" i="19"/>
  <c r="P106" i="19"/>
  <c r="Q106" i="19"/>
  <c r="R106" i="19"/>
  <c r="S106" i="19"/>
  <c r="T106" i="19"/>
  <c r="U106" i="19"/>
  <c r="B107" i="19"/>
  <c r="C107" i="19"/>
  <c r="D107" i="19"/>
  <c r="E107" i="19"/>
  <c r="F107" i="19"/>
  <c r="G107" i="19"/>
  <c r="H107" i="19"/>
  <c r="I107" i="19"/>
  <c r="J107" i="19"/>
  <c r="K107" i="19"/>
  <c r="L107" i="19"/>
  <c r="M107" i="19"/>
  <c r="N107" i="19"/>
  <c r="O107" i="19"/>
  <c r="P107" i="19"/>
  <c r="Q107" i="19"/>
  <c r="R107" i="19"/>
  <c r="S107" i="19"/>
  <c r="T107" i="19"/>
  <c r="U107" i="19"/>
  <c r="B108" i="19"/>
  <c r="C108" i="19"/>
  <c r="D108" i="19"/>
  <c r="E108" i="19"/>
  <c r="F108" i="19"/>
  <c r="G108" i="19"/>
  <c r="H108" i="19"/>
  <c r="I108" i="19"/>
  <c r="J108" i="19"/>
  <c r="K108" i="19"/>
  <c r="L108" i="19"/>
  <c r="M108" i="19"/>
  <c r="N108" i="19"/>
  <c r="O108" i="19"/>
  <c r="P108" i="19"/>
  <c r="Q108" i="19"/>
  <c r="R108" i="19"/>
  <c r="S108" i="19"/>
  <c r="T108" i="19"/>
  <c r="U108" i="19"/>
  <c r="A109" i="19"/>
  <c r="B109" i="19"/>
  <c r="C109" i="19"/>
  <c r="D109" i="19"/>
  <c r="E109" i="19"/>
  <c r="F109" i="19"/>
  <c r="G109" i="19"/>
  <c r="H109" i="19"/>
  <c r="I109" i="19"/>
  <c r="J109" i="19"/>
  <c r="K109" i="19"/>
  <c r="L109" i="19"/>
  <c r="M109" i="19"/>
  <c r="N109" i="19"/>
  <c r="O109" i="19"/>
  <c r="P109" i="19"/>
  <c r="Q109" i="19"/>
  <c r="R109" i="19"/>
  <c r="S109" i="19"/>
  <c r="T109" i="19"/>
  <c r="U109" i="19"/>
  <c r="A110" i="19"/>
  <c r="B110" i="19"/>
  <c r="C110" i="19"/>
  <c r="D110" i="19"/>
  <c r="E110" i="19"/>
  <c r="F110" i="19"/>
  <c r="G110" i="19"/>
  <c r="H110" i="19"/>
  <c r="I110" i="19"/>
  <c r="J110" i="19"/>
  <c r="K110" i="19"/>
  <c r="L110" i="19"/>
  <c r="M110" i="19"/>
  <c r="N110" i="19"/>
  <c r="O110" i="19"/>
  <c r="P110" i="19"/>
  <c r="Q110" i="19"/>
  <c r="R110" i="19"/>
  <c r="S110" i="19"/>
  <c r="T110" i="19"/>
  <c r="U110" i="19"/>
  <c r="A111" i="19"/>
  <c r="B111" i="19"/>
  <c r="C111" i="19"/>
  <c r="D111" i="19"/>
  <c r="E111" i="19"/>
  <c r="F111" i="19"/>
  <c r="G111" i="19"/>
  <c r="H111" i="19"/>
  <c r="I111" i="19"/>
  <c r="J111" i="19"/>
  <c r="K111" i="19"/>
  <c r="L111" i="19"/>
  <c r="M111" i="19"/>
  <c r="N111" i="19"/>
  <c r="O111" i="19"/>
  <c r="P111" i="19"/>
  <c r="Q111" i="19"/>
  <c r="R111" i="19"/>
  <c r="S111" i="19"/>
  <c r="T111" i="19"/>
  <c r="U111" i="19"/>
  <c r="Q62" i="24"/>
  <c r="P62" i="24"/>
  <c r="O62" i="24"/>
  <c r="N62" i="24"/>
  <c r="M62" i="24"/>
  <c r="Q61" i="24"/>
  <c r="P61" i="24"/>
  <c r="O61" i="24"/>
  <c r="N61" i="24"/>
  <c r="M61" i="24"/>
  <c r="Q60" i="24"/>
  <c r="P60" i="24"/>
  <c r="O60" i="24"/>
  <c r="N60" i="24"/>
  <c r="M60" i="24"/>
  <c r="Q59" i="24"/>
  <c r="P59" i="24"/>
  <c r="O59" i="24"/>
  <c r="N59" i="24"/>
  <c r="M59" i="24"/>
  <c r="Q58" i="24"/>
  <c r="P58" i="24"/>
  <c r="O58" i="24"/>
  <c r="N58" i="24"/>
  <c r="M58" i="24"/>
  <c r="Q57" i="24"/>
  <c r="P57" i="24"/>
  <c r="O57" i="24"/>
  <c r="N57" i="24"/>
  <c r="M57" i="24"/>
  <c r="Q56" i="24"/>
  <c r="P56" i="24"/>
  <c r="O56" i="24"/>
  <c r="N56" i="24"/>
  <c r="M56" i="24"/>
  <c r="Q55" i="24"/>
  <c r="P55" i="24"/>
  <c r="O55" i="24"/>
  <c r="N55" i="24"/>
  <c r="M55" i="24"/>
  <c r="Q54" i="24"/>
  <c r="P54" i="24"/>
  <c r="O54" i="24"/>
  <c r="N54" i="24"/>
  <c r="M54" i="24"/>
  <c r="Q53" i="24"/>
  <c r="P53" i="24"/>
  <c r="O53" i="24"/>
  <c r="N53" i="24"/>
  <c r="M53" i="24"/>
  <c r="L60" i="24"/>
  <c r="L59" i="24"/>
  <c r="L58" i="24"/>
  <c r="L57" i="24"/>
  <c r="L62" i="24"/>
  <c r="L61" i="24"/>
  <c r="L56" i="24"/>
  <c r="L55" i="24"/>
  <c r="L54" i="24"/>
  <c r="L53" i="24"/>
  <c r="H57" i="24"/>
  <c r="G57" i="24"/>
  <c r="F57" i="24"/>
  <c r="E57" i="24"/>
  <c r="D57" i="24"/>
  <c r="C57" i="24"/>
  <c r="H56" i="24"/>
  <c r="G56" i="24"/>
  <c r="F56" i="24"/>
  <c r="E56" i="24"/>
  <c r="D56" i="24"/>
  <c r="C56" i="24"/>
  <c r="H55" i="24"/>
  <c r="G55" i="24"/>
  <c r="F55" i="24"/>
  <c r="E55" i="24"/>
  <c r="D55" i="24"/>
  <c r="C55" i="24"/>
  <c r="H54" i="24"/>
  <c r="G54" i="24"/>
  <c r="F54" i="24"/>
  <c r="E54" i="24"/>
  <c r="D54" i="24"/>
  <c r="C54" i="24"/>
  <c r="B57" i="24"/>
  <c r="B56" i="24"/>
  <c r="B55" i="24"/>
  <c r="B54" i="24"/>
  <c r="B53" i="24"/>
  <c r="H53" i="24"/>
  <c r="G53" i="24"/>
  <c r="F53" i="24"/>
  <c r="E53" i="24"/>
  <c r="D53" i="24"/>
  <c r="C53" i="24"/>
  <c r="U112" i="19"/>
  <c r="T112" i="19"/>
  <c r="S112" i="19"/>
  <c r="R112" i="19"/>
  <c r="Q112" i="19"/>
  <c r="P112" i="19"/>
  <c r="O112" i="19"/>
  <c r="N112" i="19"/>
  <c r="M112" i="19"/>
  <c r="L112" i="19"/>
  <c r="K112" i="19"/>
  <c r="J112" i="19"/>
  <c r="I112" i="19"/>
  <c r="H112" i="19"/>
  <c r="G112" i="19"/>
  <c r="F112" i="19"/>
  <c r="E112" i="19"/>
  <c r="D112" i="19"/>
  <c r="C112" i="19"/>
  <c r="B112" i="19"/>
  <c r="F10" i="24"/>
  <c r="F22" i="24"/>
  <c r="D10" i="24"/>
  <c r="F20" i="24"/>
  <c r="F24" i="24"/>
  <c r="B22" i="24"/>
  <c r="B20" i="24"/>
  <c r="B24" i="24"/>
  <c r="G24" i="24"/>
  <c r="Y324" i="18"/>
  <c r="Y325" i="18"/>
  <c r="Y326" i="18"/>
  <c r="Y327" i="18"/>
  <c r="R324" i="18"/>
  <c r="Q324" i="18"/>
  <c r="Z324" i="18"/>
  <c r="T324" i="18"/>
  <c r="S324" i="18"/>
  <c r="AA324" i="18"/>
  <c r="V324" i="18"/>
  <c r="U324" i="18"/>
  <c r="AB324" i="18"/>
  <c r="R325" i="18"/>
  <c r="Q325" i="18"/>
  <c r="Z325" i="18"/>
  <c r="T325" i="18"/>
  <c r="S325" i="18"/>
  <c r="AA325" i="18"/>
  <c r="V325" i="18"/>
  <c r="U325" i="18"/>
  <c r="AB325" i="18"/>
  <c r="R326" i="18"/>
  <c r="Q326" i="18"/>
  <c r="Z326" i="18"/>
  <c r="T326" i="18"/>
  <c r="S326" i="18"/>
  <c r="AA326" i="18"/>
  <c r="V326" i="18"/>
  <c r="U326" i="18"/>
  <c r="AB326" i="18"/>
  <c r="R327" i="18"/>
  <c r="Q327" i="18"/>
  <c r="Z327" i="18"/>
  <c r="T327" i="18"/>
  <c r="S327" i="18"/>
  <c r="AA327" i="18"/>
  <c r="V327" i="18"/>
  <c r="U327" i="18"/>
  <c r="AB327" i="18"/>
  <c r="Y328" i="18"/>
  <c r="R328" i="18"/>
  <c r="Q328" i="18"/>
  <c r="Z328" i="18"/>
  <c r="T328" i="18"/>
  <c r="S328" i="18"/>
  <c r="AA328" i="18"/>
  <c r="V328" i="18"/>
  <c r="U328" i="18"/>
  <c r="AB328" i="18"/>
  <c r="Y329" i="18"/>
  <c r="R329" i="18"/>
  <c r="Q329" i="18"/>
  <c r="Z329" i="18"/>
  <c r="T329" i="18"/>
  <c r="S329" i="18"/>
  <c r="AA329" i="18"/>
  <c r="V329" i="18"/>
  <c r="U329" i="18"/>
  <c r="AB329" i="18"/>
  <c r="Y330" i="18"/>
  <c r="R330" i="18"/>
  <c r="Q330" i="18"/>
  <c r="Z330" i="18"/>
  <c r="T330" i="18"/>
  <c r="S330" i="18"/>
  <c r="AA330" i="18"/>
  <c r="V330" i="18"/>
  <c r="U330" i="18"/>
  <c r="AB330" i="18"/>
  <c r="Y331" i="18"/>
  <c r="R331" i="18"/>
  <c r="Q331" i="18"/>
  <c r="Z331" i="18"/>
  <c r="T331" i="18"/>
  <c r="S331" i="18"/>
  <c r="AA331" i="18"/>
  <c r="V331" i="18"/>
  <c r="U331" i="18"/>
  <c r="AB331" i="18"/>
  <c r="Y332" i="18"/>
  <c r="R332" i="18"/>
  <c r="Q332" i="18"/>
  <c r="Z332" i="18"/>
  <c r="T332" i="18"/>
  <c r="S332" i="18"/>
  <c r="AA332" i="18"/>
  <c r="V332" i="18"/>
  <c r="U332" i="18"/>
  <c r="AB332" i="18"/>
  <c r="Y333" i="18"/>
  <c r="R333" i="18"/>
  <c r="Q333" i="18"/>
  <c r="Z333" i="18"/>
  <c r="T333" i="18"/>
  <c r="S333" i="18"/>
  <c r="AA333" i="18"/>
  <c r="V333" i="18"/>
  <c r="U333" i="18"/>
  <c r="AB333" i="18"/>
  <c r="Y334" i="18"/>
  <c r="R334" i="18"/>
  <c r="Q334" i="18"/>
  <c r="Z334" i="18"/>
  <c r="T334" i="18"/>
  <c r="S334" i="18"/>
  <c r="AA334" i="18"/>
  <c r="V334" i="18"/>
  <c r="U334" i="18"/>
  <c r="AB334" i="18"/>
  <c r="Y335" i="18"/>
  <c r="R335" i="18"/>
  <c r="Q335" i="18"/>
  <c r="Z335" i="18"/>
  <c r="T335" i="18"/>
  <c r="S335" i="18"/>
  <c r="AA335" i="18"/>
  <c r="V335" i="18"/>
  <c r="U335" i="18"/>
  <c r="AB335" i="18"/>
  <c r="Y336" i="18"/>
  <c r="R336" i="18"/>
  <c r="Q336" i="18"/>
  <c r="Z336" i="18"/>
  <c r="T336" i="18"/>
  <c r="S336" i="18"/>
  <c r="AA336" i="18"/>
  <c r="V336" i="18"/>
  <c r="U336" i="18"/>
  <c r="AB336" i="18"/>
  <c r="Y337" i="18"/>
  <c r="R337" i="18"/>
  <c r="Q337" i="18"/>
  <c r="Z337" i="18"/>
  <c r="T337" i="18"/>
  <c r="S337" i="18"/>
  <c r="AA337" i="18"/>
  <c r="V337" i="18"/>
  <c r="U337" i="18"/>
  <c r="AB337" i="18"/>
  <c r="Y338" i="18"/>
  <c r="R338" i="18"/>
  <c r="Q338" i="18"/>
  <c r="Z338" i="18"/>
  <c r="T338" i="18"/>
  <c r="S338" i="18"/>
  <c r="AA338" i="18"/>
  <c r="V338" i="18"/>
  <c r="U338" i="18"/>
  <c r="AB338" i="18"/>
  <c r="Y339" i="18"/>
  <c r="R339" i="18"/>
  <c r="Q339" i="18"/>
  <c r="Z339" i="18"/>
  <c r="T339" i="18"/>
  <c r="S339" i="18"/>
  <c r="AA339" i="18"/>
  <c r="V339" i="18"/>
  <c r="U339" i="18"/>
  <c r="AB339" i="18"/>
  <c r="Y340" i="18"/>
  <c r="R340" i="18"/>
  <c r="Q340" i="18"/>
  <c r="Z340" i="18"/>
  <c r="T340" i="18"/>
  <c r="S340" i="18"/>
  <c r="AA340" i="18"/>
  <c r="V340" i="18"/>
  <c r="U340" i="18"/>
  <c r="AB340" i="18"/>
  <c r="Y341" i="18"/>
  <c r="R341" i="18"/>
  <c r="Q341" i="18"/>
  <c r="Z341" i="18"/>
  <c r="T341" i="18"/>
  <c r="S341" i="18"/>
  <c r="AA341" i="18"/>
  <c r="V341" i="18"/>
  <c r="U341" i="18"/>
  <c r="AB341" i="18"/>
  <c r="Y342" i="18"/>
  <c r="R342" i="18"/>
  <c r="Q342" i="18"/>
  <c r="Z342" i="18"/>
  <c r="T342" i="18"/>
  <c r="S342" i="18"/>
  <c r="AA342" i="18"/>
  <c r="V342" i="18"/>
  <c r="U342" i="18"/>
  <c r="AB342" i="18"/>
  <c r="Y343" i="18"/>
  <c r="R343" i="18"/>
  <c r="Q343" i="18"/>
  <c r="Z343" i="18"/>
  <c r="T343" i="18"/>
  <c r="S343" i="18"/>
  <c r="AA343" i="18"/>
  <c r="V343" i="18"/>
  <c r="U343" i="18"/>
  <c r="AB343" i="18"/>
  <c r="Y344" i="18"/>
  <c r="R344" i="18"/>
  <c r="Q344" i="18"/>
  <c r="Z344" i="18"/>
  <c r="T344" i="18"/>
  <c r="S344" i="18"/>
  <c r="AA344" i="18"/>
  <c r="V344" i="18"/>
  <c r="U344" i="18"/>
  <c r="AB344" i="18"/>
  <c r="Y345" i="18"/>
  <c r="R345" i="18"/>
  <c r="Q345" i="18"/>
  <c r="Z345" i="18"/>
  <c r="T345" i="18"/>
  <c r="S345" i="18"/>
  <c r="AA345" i="18"/>
  <c r="V345" i="18"/>
  <c r="U345" i="18"/>
  <c r="AB345" i="18"/>
  <c r="Y346" i="18"/>
  <c r="R346" i="18"/>
  <c r="Q346" i="18"/>
  <c r="Z346" i="18"/>
  <c r="T346" i="18"/>
  <c r="S346" i="18"/>
  <c r="AA346" i="18"/>
  <c r="V346" i="18"/>
  <c r="U346" i="18"/>
  <c r="AB346" i="18"/>
  <c r="Y347" i="18"/>
  <c r="R347" i="18"/>
  <c r="Q347" i="18"/>
  <c r="Z347" i="18"/>
  <c r="T347" i="18"/>
  <c r="S347" i="18"/>
  <c r="AA347" i="18"/>
  <c r="V347" i="18"/>
  <c r="U347" i="18"/>
  <c r="AB347" i="18"/>
  <c r="Y348" i="18"/>
  <c r="R348" i="18"/>
  <c r="Q348" i="18"/>
  <c r="Z348" i="18"/>
  <c r="T348" i="18"/>
  <c r="S348" i="18"/>
  <c r="AA348" i="18"/>
  <c r="V348" i="18"/>
  <c r="U348" i="18"/>
  <c r="AB348" i="18"/>
  <c r="Y349" i="18"/>
  <c r="R349" i="18"/>
  <c r="Q349" i="18"/>
  <c r="Z349" i="18"/>
  <c r="T349" i="18"/>
  <c r="S349" i="18"/>
  <c r="AA349" i="18"/>
  <c r="V349" i="18"/>
  <c r="U349" i="18"/>
  <c r="AB349" i="18"/>
  <c r="Y350" i="18"/>
  <c r="R350" i="18"/>
  <c r="Q350" i="18"/>
  <c r="Z350" i="18"/>
  <c r="T350" i="18"/>
  <c r="S350" i="18"/>
  <c r="AA350" i="18"/>
  <c r="V350" i="18"/>
  <c r="U350" i="18"/>
  <c r="AB350" i="18"/>
  <c r="Y351" i="18"/>
  <c r="R351" i="18"/>
  <c r="Q351" i="18"/>
  <c r="Z351" i="18"/>
  <c r="T351" i="18"/>
  <c r="S351" i="18"/>
  <c r="AA351" i="18"/>
  <c r="V351" i="18"/>
  <c r="U351" i="18"/>
  <c r="AB351" i="18"/>
  <c r="Y352" i="18"/>
  <c r="R352" i="18"/>
  <c r="Q352" i="18"/>
  <c r="Z352" i="18"/>
  <c r="T352" i="18"/>
  <c r="S352" i="18"/>
  <c r="AA352" i="18"/>
  <c r="V352" i="18"/>
  <c r="U352" i="18"/>
  <c r="AB352" i="18"/>
  <c r="Y353" i="18"/>
  <c r="R353" i="18"/>
  <c r="Q353" i="18"/>
  <c r="Z353" i="18"/>
  <c r="T353" i="18"/>
  <c r="S353" i="18"/>
  <c r="AA353" i="18"/>
  <c r="V353" i="18"/>
  <c r="U353" i="18"/>
  <c r="AB353" i="18"/>
  <c r="Y354" i="18"/>
  <c r="R354" i="18"/>
  <c r="Q354" i="18"/>
  <c r="Z354" i="18"/>
  <c r="T354" i="18"/>
  <c r="S354" i="18"/>
  <c r="AA354" i="18"/>
  <c r="V354" i="18"/>
  <c r="U354" i="18"/>
  <c r="AB354" i="18"/>
  <c r="Y355" i="18"/>
  <c r="R355" i="18"/>
  <c r="Q355" i="18"/>
  <c r="Z355" i="18"/>
  <c r="T355" i="18"/>
  <c r="S355" i="18"/>
  <c r="AA355" i="18"/>
  <c r="V355" i="18"/>
  <c r="U355" i="18"/>
  <c r="AB355" i="18"/>
  <c r="Y356" i="18"/>
  <c r="R356" i="18"/>
  <c r="Q356" i="18"/>
  <c r="Z356" i="18"/>
  <c r="T356" i="18"/>
  <c r="S356" i="18"/>
  <c r="AA356" i="18"/>
  <c r="V356" i="18"/>
  <c r="U356" i="18"/>
  <c r="AB356" i="18"/>
  <c r="Y357" i="18"/>
  <c r="R357" i="18"/>
  <c r="Q357" i="18"/>
  <c r="Z357" i="18"/>
  <c r="T357" i="18"/>
  <c r="S357" i="18"/>
  <c r="AA357" i="18"/>
  <c r="V357" i="18"/>
  <c r="U357" i="18"/>
  <c r="AB357" i="18"/>
  <c r="Y358" i="18"/>
  <c r="R358" i="18"/>
  <c r="Q358" i="18"/>
  <c r="Z358" i="18"/>
  <c r="T358" i="18"/>
  <c r="S358" i="18"/>
  <c r="AA358" i="18"/>
  <c r="V358" i="18"/>
  <c r="U358" i="18"/>
  <c r="AB358" i="18"/>
  <c r="Y359" i="18"/>
  <c r="R359" i="18"/>
  <c r="Q359" i="18"/>
  <c r="Z359" i="18"/>
  <c r="T359" i="18"/>
  <c r="S359" i="18"/>
  <c r="AA359" i="18"/>
  <c r="V359" i="18"/>
  <c r="U359" i="18"/>
  <c r="AB359" i="18"/>
  <c r="Y360" i="18"/>
  <c r="R360" i="18"/>
  <c r="Q360" i="18"/>
  <c r="Z360" i="18"/>
  <c r="T360" i="18"/>
  <c r="S360" i="18"/>
  <c r="AA360" i="18"/>
  <c r="V360" i="18"/>
  <c r="U360" i="18"/>
  <c r="AB360" i="18"/>
  <c r="Y361" i="18"/>
  <c r="R361" i="18"/>
  <c r="Q361" i="18"/>
  <c r="Z361" i="18"/>
  <c r="T361" i="18"/>
  <c r="S361" i="18"/>
  <c r="AA361" i="18"/>
  <c r="V361" i="18"/>
  <c r="U361" i="18"/>
  <c r="AB361" i="18"/>
  <c r="Y362" i="18"/>
  <c r="R362" i="18"/>
  <c r="Q362" i="18"/>
  <c r="Z362" i="18"/>
  <c r="T362" i="18"/>
  <c r="S362" i="18"/>
  <c r="AA362" i="18"/>
  <c r="V362" i="18"/>
  <c r="U362" i="18"/>
  <c r="AB362" i="18"/>
  <c r="Y363" i="18"/>
  <c r="R363" i="18"/>
  <c r="Q363" i="18"/>
  <c r="Z363" i="18"/>
  <c r="T363" i="18"/>
  <c r="S363" i="18"/>
  <c r="AA363" i="18"/>
  <c r="V363" i="18"/>
  <c r="U363" i="18"/>
  <c r="AB363" i="18"/>
  <c r="Y364" i="18"/>
  <c r="R364" i="18"/>
  <c r="Q364" i="18"/>
  <c r="Z364" i="18"/>
  <c r="T364" i="18"/>
  <c r="S364" i="18"/>
  <c r="AA364" i="18"/>
  <c r="V364" i="18"/>
  <c r="U364" i="18"/>
  <c r="AB364" i="18"/>
  <c r="Y365" i="18"/>
  <c r="R365" i="18"/>
  <c r="Q365" i="18"/>
  <c r="Z365" i="18"/>
  <c r="T365" i="18"/>
  <c r="S365" i="18"/>
  <c r="AA365" i="18"/>
  <c r="V365" i="18"/>
  <c r="U365" i="18"/>
  <c r="AB365" i="18"/>
  <c r="Y366" i="18"/>
  <c r="R366" i="18"/>
  <c r="Q366" i="18"/>
  <c r="Z366" i="18"/>
  <c r="T366" i="18"/>
  <c r="S366" i="18"/>
  <c r="AA366" i="18"/>
  <c r="V366" i="18"/>
  <c r="U366" i="18"/>
  <c r="AB366" i="18"/>
  <c r="Y367" i="18"/>
  <c r="R367" i="18"/>
  <c r="Q367" i="18"/>
  <c r="Z367" i="18"/>
  <c r="T367" i="18"/>
  <c r="S367" i="18"/>
  <c r="AA367" i="18"/>
  <c r="V367" i="18"/>
  <c r="U367" i="18"/>
  <c r="AB367" i="18"/>
  <c r="Y368" i="18"/>
  <c r="R368" i="18"/>
  <c r="Q368" i="18"/>
  <c r="Z368" i="18"/>
  <c r="T368" i="18"/>
  <c r="S368" i="18"/>
  <c r="AA368" i="18"/>
  <c r="V368" i="18"/>
  <c r="U368" i="18"/>
  <c r="AB368" i="18"/>
  <c r="Y369" i="18"/>
  <c r="R369" i="18"/>
  <c r="Q369" i="18"/>
  <c r="Z369" i="18"/>
  <c r="T369" i="18"/>
  <c r="S369" i="18"/>
  <c r="AA369" i="18"/>
  <c r="V369" i="18"/>
  <c r="U369" i="18"/>
  <c r="AB369" i="18"/>
  <c r="Y370" i="18"/>
  <c r="R370" i="18"/>
  <c r="Q370" i="18"/>
  <c r="Z370" i="18"/>
  <c r="T370" i="18"/>
  <c r="S370" i="18"/>
  <c r="AA370" i="18"/>
  <c r="V370" i="18"/>
  <c r="U370" i="18"/>
  <c r="AB370" i="18"/>
  <c r="Y371" i="18"/>
  <c r="R371" i="18"/>
  <c r="Q371" i="18"/>
  <c r="Z371" i="18"/>
  <c r="T371" i="18"/>
  <c r="S371" i="18"/>
  <c r="AA371" i="18"/>
  <c r="V371" i="18"/>
  <c r="U371" i="18"/>
  <c r="AB371" i="18"/>
  <c r="Y372" i="18"/>
  <c r="R372" i="18"/>
  <c r="Q372" i="18"/>
  <c r="Z372" i="18"/>
  <c r="T372" i="18"/>
  <c r="S372" i="18"/>
  <c r="AA372" i="18"/>
  <c r="V372" i="18"/>
  <c r="U372" i="18"/>
  <c r="AB372" i="18"/>
  <c r="Y373" i="18"/>
  <c r="R373" i="18"/>
  <c r="Q373" i="18"/>
  <c r="Z373" i="18"/>
  <c r="T373" i="18"/>
  <c r="S373" i="18"/>
  <c r="AA373" i="18"/>
  <c r="V373" i="18"/>
  <c r="U373" i="18"/>
  <c r="AB373" i="18"/>
  <c r="Y374" i="18"/>
  <c r="R374" i="18"/>
  <c r="Q374" i="18"/>
  <c r="Z374" i="18"/>
  <c r="T374" i="18"/>
  <c r="S374" i="18"/>
  <c r="AA374" i="18"/>
  <c r="V374" i="18"/>
  <c r="U374" i="18"/>
  <c r="AB374" i="18"/>
  <c r="Y375" i="18"/>
  <c r="R375" i="18"/>
  <c r="Q375" i="18"/>
  <c r="Z375" i="18"/>
  <c r="T375" i="18"/>
  <c r="S375" i="18"/>
  <c r="AA375" i="18"/>
  <c r="V375" i="18"/>
  <c r="U375" i="18"/>
  <c r="AB375" i="18"/>
  <c r="Y376" i="18"/>
  <c r="R376" i="18"/>
  <c r="Q376" i="18"/>
  <c r="Z376" i="18"/>
  <c r="T376" i="18"/>
  <c r="S376" i="18"/>
  <c r="AA376" i="18"/>
  <c r="V376" i="18"/>
  <c r="U376" i="18"/>
  <c r="AB376" i="18"/>
  <c r="Y377" i="18"/>
  <c r="R377" i="18"/>
  <c r="Q377" i="18"/>
  <c r="Z377" i="18"/>
  <c r="T377" i="18"/>
  <c r="S377" i="18"/>
  <c r="AA377" i="18"/>
  <c r="V377" i="18"/>
  <c r="U377" i="18"/>
  <c r="AB377" i="18"/>
  <c r="Y378" i="18"/>
  <c r="R378" i="18"/>
  <c r="Q378" i="18"/>
  <c r="Z378" i="18"/>
  <c r="T378" i="18"/>
  <c r="S378" i="18"/>
  <c r="AA378" i="18"/>
  <c r="V378" i="18"/>
  <c r="U378" i="18"/>
  <c r="AB378" i="18"/>
  <c r="Y379" i="18"/>
  <c r="R379" i="18"/>
  <c r="Q379" i="18"/>
  <c r="Z379" i="18"/>
  <c r="T379" i="18"/>
  <c r="S379" i="18"/>
  <c r="AA379" i="18"/>
  <c r="V379" i="18"/>
  <c r="U379" i="18"/>
  <c r="AB379" i="18"/>
  <c r="Y380" i="18"/>
  <c r="R380" i="18"/>
  <c r="Q380" i="18"/>
  <c r="Z380" i="18"/>
  <c r="T380" i="18"/>
  <c r="S380" i="18"/>
  <c r="AA380" i="18"/>
  <c r="V380" i="18"/>
  <c r="U380" i="18"/>
  <c r="AB380" i="18"/>
  <c r="Y381" i="18"/>
  <c r="R381" i="18"/>
  <c r="Q381" i="18"/>
  <c r="Z381" i="18"/>
  <c r="T381" i="18"/>
  <c r="S381" i="18"/>
  <c r="AA381" i="18"/>
  <c r="V381" i="18"/>
  <c r="U381" i="18"/>
  <c r="AB381" i="18"/>
  <c r="Y382" i="18"/>
  <c r="R382" i="18"/>
  <c r="Q382" i="18"/>
  <c r="Z382" i="18"/>
  <c r="T382" i="18"/>
  <c r="S382" i="18"/>
  <c r="AA382" i="18"/>
  <c r="V382" i="18"/>
  <c r="U382" i="18"/>
  <c r="AB382" i="18"/>
  <c r="Y383" i="18"/>
  <c r="R383" i="18"/>
  <c r="Q383" i="18"/>
  <c r="Z383" i="18"/>
  <c r="T383" i="18"/>
  <c r="S383" i="18"/>
  <c r="AA383" i="18"/>
  <c r="V383" i="18"/>
  <c r="U383" i="18"/>
  <c r="AB383" i="18"/>
  <c r="Y384" i="18"/>
  <c r="R384" i="18"/>
  <c r="Q384" i="18"/>
  <c r="Z384" i="18"/>
  <c r="T384" i="18"/>
  <c r="S384" i="18"/>
  <c r="AA384" i="18"/>
  <c r="V384" i="18"/>
  <c r="U384" i="18"/>
  <c r="AB384" i="18"/>
  <c r="Y385" i="18"/>
  <c r="R385" i="18"/>
  <c r="Q385" i="18"/>
  <c r="Z385" i="18"/>
  <c r="T385" i="18"/>
  <c r="S385" i="18"/>
  <c r="AA385" i="18"/>
  <c r="V385" i="18"/>
  <c r="U385" i="18"/>
  <c r="AB385" i="18"/>
  <c r="Y386" i="18"/>
  <c r="R386" i="18"/>
  <c r="Q386" i="18"/>
  <c r="Z386" i="18"/>
  <c r="T386" i="18"/>
  <c r="S386" i="18"/>
  <c r="AA386" i="18"/>
  <c r="V386" i="18"/>
  <c r="U386" i="18"/>
  <c r="AB386" i="18"/>
  <c r="Y387" i="18"/>
  <c r="R387" i="18"/>
  <c r="Q387" i="18"/>
  <c r="Z387" i="18"/>
  <c r="T387" i="18"/>
  <c r="S387" i="18"/>
  <c r="AA387" i="18"/>
  <c r="V387" i="18"/>
  <c r="U387" i="18"/>
  <c r="AB387" i="18"/>
  <c r="Y388" i="18"/>
  <c r="R388" i="18"/>
  <c r="Q388" i="18"/>
  <c r="Z388" i="18"/>
  <c r="T388" i="18"/>
  <c r="S388" i="18"/>
  <c r="AA388" i="18"/>
  <c r="V388" i="18"/>
  <c r="U388" i="18"/>
  <c r="AB388" i="18"/>
  <c r="Y389" i="18"/>
  <c r="R389" i="18"/>
  <c r="Q389" i="18"/>
  <c r="Z389" i="18"/>
  <c r="T389" i="18"/>
  <c r="S389" i="18"/>
  <c r="AA389" i="18"/>
  <c r="V389" i="18"/>
  <c r="U389" i="18"/>
  <c r="AB389" i="18"/>
  <c r="Y390" i="18"/>
  <c r="R390" i="18"/>
  <c r="Q390" i="18"/>
  <c r="Z390" i="18"/>
  <c r="T390" i="18"/>
  <c r="S390" i="18"/>
  <c r="AA390" i="18"/>
  <c r="V390" i="18"/>
  <c r="U390" i="18"/>
  <c r="AB390" i="18"/>
  <c r="Y391" i="18"/>
  <c r="R391" i="18"/>
  <c r="Q391" i="18"/>
  <c r="Z391" i="18"/>
  <c r="T391" i="18"/>
  <c r="S391" i="18"/>
  <c r="AA391" i="18"/>
  <c r="V391" i="18"/>
  <c r="U391" i="18"/>
  <c r="AB391" i="18"/>
  <c r="Y392" i="18"/>
  <c r="R392" i="18"/>
  <c r="Q392" i="18"/>
  <c r="Z392" i="18"/>
  <c r="T392" i="18"/>
  <c r="S392" i="18"/>
  <c r="AA392" i="18"/>
  <c r="V392" i="18"/>
  <c r="U392" i="18"/>
  <c r="AB392" i="18"/>
  <c r="Y393" i="18"/>
  <c r="R393" i="18"/>
  <c r="Q393" i="18"/>
  <c r="Z393" i="18"/>
  <c r="T393" i="18"/>
  <c r="S393" i="18"/>
  <c r="AA393" i="18"/>
  <c r="V393" i="18"/>
  <c r="U393" i="18"/>
  <c r="AB393" i="18"/>
  <c r="Y394" i="18"/>
  <c r="R394" i="18"/>
  <c r="Q394" i="18"/>
  <c r="Z394" i="18"/>
  <c r="T394" i="18"/>
  <c r="S394" i="18"/>
  <c r="AA394" i="18"/>
  <c r="V394" i="18"/>
  <c r="U394" i="18"/>
  <c r="AB394" i="18"/>
  <c r="Y395" i="18"/>
  <c r="R395" i="18"/>
  <c r="Q395" i="18"/>
  <c r="Z395" i="18"/>
  <c r="T395" i="18"/>
  <c r="S395" i="18"/>
  <c r="AA395" i="18"/>
  <c r="V395" i="18"/>
  <c r="U395" i="18"/>
  <c r="AB395" i="18"/>
  <c r="Y396" i="18"/>
  <c r="R396" i="18"/>
  <c r="Q396" i="18"/>
  <c r="Z396" i="18"/>
  <c r="T396" i="18"/>
  <c r="S396" i="18"/>
  <c r="AA396" i="18"/>
  <c r="V396" i="18"/>
  <c r="U396" i="18"/>
  <c r="AB396" i="18"/>
  <c r="Y397" i="18"/>
  <c r="R397" i="18"/>
  <c r="Q397" i="18"/>
  <c r="Z397" i="18"/>
  <c r="T397" i="18"/>
  <c r="S397" i="18"/>
  <c r="AA397" i="18"/>
  <c r="V397" i="18"/>
  <c r="U397" i="18"/>
  <c r="AB397" i="18"/>
  <c r="Y398" i="18"/>
  <c r="R398" i="18"/>
  <c r="Q398" i="18"/>
  <c r="Z398" i="18"/>
  <c r="T398" i="18"/>
  <c r="S398" i="18"/>
  <c r="AA398" i="18"/>
  <c r="V398" i="18"/>
  <c r="U398" i="18"/>
  <c r="AB398" i="18"/>
  <c r="Y399" i="18"/>
  <c r="R399" i="18"/>
  <c r="Q399" i="18"/>
  <c r="Z399" i="18"/>
  <c r="T399" i="18"/>
  <c r="S399" i="18"/>
  <c r="AA399" i="18"/>
  <c r="V399" i="18"/>
  <c r="U399" i="18"/>
  <c r="AB399" i="18"/>
  <c r="Y400" i="18"/>
  <c r="R400" i="18"/>
  <c r="Q400" i="18"/>
  <c r="Z400" i="18"/>
  <c r="T400" i="18"/>
  <c r="S400" i="18"/>
  <c r="AA400" i="18"/>
  <c r="V400" i="18"/>
  <c r="U400" i="18"/>
  <c r="AB400" i="18"/>
  <c r="Y401" i="18"/>
  <c r="R401" i="18"/>
  <c r="Q401" i="18"/>
  <c r="Z401" i="18"/>
  <c r="T401" i="18"/>
  <c r="S401" i="18"/>
  <c r="AA401" i="18"/>
  <c r="V401" i="18"/>
  <c r="U401" i="18"/>
  <c r="AB401" i="18"/>
  <c r="Y402" i="18"/>
  <c r="R402" i="18"/>
  <c r="Q402" i="18"/>
  <c r="Z402" i="18"/>
  <c r="T402" i="18"/>
  <c r="S402" i="18"/>
  <c r="AA402" i="18"/>
  <c r="V402" i="18"/>
  <c r="U402" i="18"/>
  <c r="AB402" i="18"/>
  <c r="Y403" i="18"/>
  <c r="R403" i="18"/>
  <c r="Q403" i="18"/>
  <c r="Z403" i="18"/>
  <c r="T403" i="18"/>
  <c r="S403" i="18"/>
  <c r="AA403" i="18"/>
  <c r="V403" i="18"/>
  <c r="U403" i="18"/>
  <c r="AB403" i="18"/>
  <c r="Y404" i="18"/>
  <c r="R404" i="18"/>
  <c r="Q404" i="18"/>
  <c r="Z404" i="18"/>
  <c r="T404" i="18"/>
  <c r="S404" i="18"/>
  <c r="AA404" i="18"/>
  <c r="V404" i="18"/>
  <c r="U404" i="18"/>
  <c r="AB404" i="18"/>
  <c r="Y405" i="18"/>
  <c r="R405" i="18"/>
  <c r="Q405" i="18"/>
  <c r="Z405" i="18"/>
  <c r="T405" i="18"/>
  <c r="S405" i="18"/>
  <c r="AA405" i="18"/>
  <c r="V405" i="18"/>
  <c r="U405" i="18"/>
  <c r="AB405" i="18"/>
  <c r="Y406" i="18"/>
  <c r="R406" i="18"/>
  <c r="Q406" i="18"/>
  <c r="Z406" i="18"/>
  <c r="T406" i="18"/>
  <c r="S406" i="18"/>
  <c r="AA406" i="18"/>
  <c r="V406" i="18"/>
  <c r="U406" i="18"/>
  <c r="AB406" i="18"/>
  <c r="Y407" i="18"/>
  <c r="R407" i="18"/>
  <c r="Q407" i="18"/>
  <c r="Z407" i="18"/>
  <c r="T407" i="18"/>
  <c r="S407" i="18"/>
  <c r="AA407" i="18"/>
  <c r="V407" i="18"/>
  <c r="U407" i="18"/>
  <c r="AB407" i="18"/>
  <c r="Y408" i="18"/>
  <c r="R408" i="18"/>
  <c r="Q408" i="18"/>
  <c r="Z408" i="18"/>
  <c r="T408" i="18"/>
  <c r="S408" i="18"/>
  <c r="AA408" i="18"/>
  <c r="V408" i="18"/>
  <c r="U408" i="18"/>
  <c r="AB408" i="18"/>
  <c r="Y409" i="18"/>
  <c r="R409" i="18"/>
  <c r="Q409" i="18"/>
  <c r="Z409" i="18"/>
  <c r="T409" i="18"/>
  <c r="S409" i="18"/>
  <c r="AA409" i="18"/>
  <c r="V409" i="18"/>
  <c r="U409" i="18"/>
  <c r="AB409" i="18"/>
  <c r="Y410" i="18"/>
  <c r="R410" i="18"/>
  <c r="Q410" i="18"/>
  <c r="Z410" i="18"/>
  <c r="T410" i="18"/>
  <c r="S410" i="18"/>
  <c r="AA410" i="18"/>
  <c r="V410" i="18"/>
  <c r="U410" i="18"/>
  <c r="AB410" i="18"/>
  <c r="Y411" i="18"/>
  <c r="R411" i="18"/>
  <c r="Q411" i="18"/>
  <c r="Z411" i="18"/>
  <c r="T411" i="18"/>
  <c r="S411" i="18"/>
  <c r="AA411" i="18"/>
  <c r="V411" i="18"/>
  <c r="U411" i="18"/>
  <c r="AB411" i="18"/>
  <c r="Y412" i="18"/>
  <c r="R412" i="18"/>
  <c r="Q412" i="18"/>
  <c r="Z412" i="18"/>
  <c r="T412" i="18"/>
  <c r="S412" i="18"/>
  <c r="AA412" i="18"/>
  <c r="V412" i="18"/>
  <c r="U412" i="18"/>
  <c r="AB412" i="18"/>
  <c r="Y413" i="18"/>
  <c r="R413" i="18"/>
  <c r="Q413" i="18"/>
  <c r="Z413" i="18"/>
  <c r="T413" i="18"/>
  <c r="S413" i="18"/>
  <c r="AA413" i="18"/>
  <c r="V413" i="18"/>
  <c r="U413" i="18"/>
  <c r="AB413" i="18"/>
  <c r="Y414" i="18"/>
  <c r="R414" i="18"/>
  <c r="Q414" i="18"/>
  <c r="Z414" i="18"/>
  <c r="T414" i="18"/>
  <c r="S414" i="18"/>
  <c r="AA414" i="18"/>
  <c r="V414" i="18"/>
  <c r="U414" i="18"/>
  <c r="AB414" i="18"/>
  <c r="Y415" i="18"/>
  <c r="R415" i="18"/>
  <c r="Q415" i="18"/>
  <c r="Z415" i="18"/>
  <c r="T415" i="18"/>
  <c r="S415" i="18"/>
  <c r="AA415" i="18"/>
  <c r="V415" i="18"/>
  <c r="U415" i="18"/>
  <c r="AB415" i="18"/>
  <c r="Y416" i="18"/>
  <c r="R416" i="18"/>
  <c r="Q416" i="18"/>
  <c r="Z416" i="18"/>
  <c r="T416" i="18"/>
  <c r="S416" i="18"/>
  <c r="AA416" i="18"/>
  <c r="V416" i="18"/>
  <c r="U416" i="18"/>
  <c r="AB416" i="18"/>
  <c r="Y417" i="18"/>
  <c r="R417" i="18"/>
  <c r="Q417" i="18"/>
  <c r="Z417" i="18"/>
  <c r="T417" i="18"/>
  <c r="S417" i="18"/>
  <c r="AA417" i="18"/>
  <c r="V417" i="18"/>
  <c r="U417" i="18"/>
  <c r="AB417" i="18"/>
  <c r="Y418" i="18"/>
  <c r="R418" i="18"/>
  <c r="Q418" i="18"/>
  <c r="Z418" i="18"/>
  <c r="T418" i="18"/>
  <c r="S418" i="18"/>
  <c r="AA418" i="18"/>
  <c r="V418" i="18"/>
  <c r="U418" i="18"/>
  <c r="AB418" i="18"/>
  <c r="Y419" i="18"/>
  <c r="R419" i="18"/>
  <c r="Q419" i="18"/>
  <c r="Z419" i="18"/>
  <c r="T419" i="18"/>
  <c r="S419" i="18"/>
  <c r="AA419" i="18"/>
  <c r="V419" i="18"/>
  <c r="U419" i="18"/>
  <c r="AB419" i="18"/>
  <c r="Y420" i="18"/>
  <c r="R420" i="18"/>
  <c r="Q420" i="18"/>
  <c r="Z420" i="18"/>
  <c r="T420" i="18"/>
  <c r="S420" i="18"/>
  <c r="AA420" i="18"/>
  <c r="V420" i="18"/>
  <c r="U420" i="18"/>
  <c r="AB420" i="18"/>
  <c r="Y421" i="18"/>
  <c r="R421" i="18"/>
  <c r="Q421" i="18"/>
  <c r="Z421" i="18"/>
  <c r="T421" i="18"/>
  <c r="S421" i="18"/>
  <c r="AA421" i="18"/>
  <c r="V421" i="18"/>
  <c r="U421" i="18"/>
  <c r="AB421" i="18"/>
  <c r="Y422" i="18"/>
  <c r="R422" i="18"/>
  <c r="Q422" i="18"/>
  <c r="Z422" i="18"/>
  <c r="T422" i="18"/>
  <c r="S422" i="18"/>
  <c r="AA422" i="18"/>
  <c r="V422" i="18"/>
  <c r="U422" i="18"/>
  <c r="AB422" i="18"/>
  <c r="E241" i="24"/>
  <c r="D241" i="24"/>
  <c r="C241" i="24"/>
  <c r="Y218" i="18"/>
  <c r="Y219" i="18"/>
  <c r="Y220" i="18"/>
  <c r="Y221" i="18"/>
  <c r="R218" i="18"/>
  <c r="Q218" i="18"/>
  <c r="Z218" i="18"/>
  <c r="T218" i="18"/>
  <c r="S218" i="18"/>
  <c r="AA218" i="18"/>
  <c r="V218" i="18"/>
  <c r="U218" i="18"/>
  <c r="AB218" i="18"/>
  <c r="R219" i="18"/>
  <c r="Q219" i="18"/>
  <c r="Z219" i="18"/>
  <c r="T219" i="18"/>
  <c r="S219" i="18"/>
  <c r="AA219" i="18"/>
  <c r="V219" i="18"/>
  <c r="U219" i="18"/>
  <c r="AB219" i="18"/>
  <c r="R220" i="18"/>
  <c r="Q220" i="18"/>
  <c r="Z220" i="18"/>
  <c r="T220" i="18"/>
  <c r="S220" i="18"/>
  <c r="AA220" i="18"/>
  <c r="V220" i="18"/>
  <c r="U220" i="18"/>
  <c r="AB220" i="18"/>
  <c r="R221" i="18"/>
  <c r="Q221" i="18"/>
  <c r="Z221" i="18"/>
  <c r="T221" i="18"/>
  <c r="S221" i="18"/>
  <c r="AA221" i="18"/>
  <c r="V221" i="18"/>
  <c r="U221" i="18"/>
  <c r="AB221" i="18"/>
  <c r="Y222" i="18"/>
  <c r="R222" i="18"/>
  <c r="Q222" i="18"/>
  <c r="Z222" i="18"/>
  <c r="T222" i="18"/>
  <c r="S222" i="18"/>
  <c r="AA222" i="18"/>
  <c r="V222" i="18"/>
  <c r="U222" i="18"/>
  <c r="AB222" i="18"/>
  <c r="Y223" i="18"/>
  <c r="R223" i="18"/>
  <c r="Q223" i="18"/>
  <c r="Z223" i="18"/>
  <c r="T223" i="18"/>
  <c r="S223" i="18"/>
  <c r="AA223" i="18"/>
  <c r="V223" i="18"/>
  <c r="U223" i="18"/>
  <c r="AB223" i="18"/>
  <c r="Y224" i="18"/>
  <c r="R224" i="18"/>
  <c r="Q224" i="18"/>
  <c r="Z224" i="18"/>
  <c r="T224" i="18"/>
  <c r="S224" i="18"/>
  <c r="AA224" i="18"/>
  <c r="V224" i="18"/>
  <c r="U224" i="18"/>
  <c r="AB224" i="18"/>
  <c r="Y225" i="18"/>
  <c r="R225" i="18"/>
  <c r="Q225" i="18"/>
  <c r="Z225" i="18"/>
  <c r="T225" i="18"/>
  <c r="S225" i="18"/>
  <c r="AA225" i="18"/>
  <c r="V225" i="18"/>
  <c r="U225" i="18"/>
  <c r="AB225" i="18"/>
  <c r="Y226" i="18"/>
  <c r="R226" i="18"/>
  <c r="Q226" i="18"/>
  <c r="Z226" i="18"/>
  <c r="T226" i="18"/>
  <c r="S226" i="18"/>
  <c r="AA226" i="18"/>
  <c r="V226" i="18"/>
  <c r="U226" i="18"/>
  <c r="AB226" i="18"/>
  <c r="Y227" i="18"/>
  <c r="R227" i="18"/>
  <c r="Q227" i="18"/>
  <c r="Z227" i="18"/>
  <c r="T227" i="18"/>
  <c r="S227" i="18"/>
  <c r="AA227" i="18"/>
  <c r="V227" i="18"/>
  <c r="U227" i="18"/>
  <c r="AB227" i="18"/>
  <c r="Y228" i="18"/>
  <c r="R228" i="18"/>
  <c r="Q228" i="18"/>
  <c r="Z228" i="18"/>
  <c r="T228" i="18"/>
  <c r="S228" i="18"/>
  <c r="AA228" i="18"/>
  <c r="V228" i="18"/>
  <c r="U228" i="18"/>
  <c r="AB228" i="18"/>
  <c r="Y229" i="18"/>
  <c r="R229" i="18"/>
  <c r="Q229" i="18"/>
  <c r="Z229" i="18"/>
  <c r="T229" i="18"/>
  <c r="S229" i="18"/>
  <c r="AA229" i="18"/>
  <c r="V229" i="18"/>
  <c r="U229" i="18"/>
  <c r="AB229" i="18"/>
  <c r="Y230" i="18"/>
  <c r="R230" i="18"/>
  <c r="Q230" i="18"/>
  <c r="Z230" i="18"/>
  <c r="T230" i="18"/>
  <c r="S230" i="18"/>
  <c r="AA230" i="18"/>
  <c r="V230" i="18"/>
  <c r="U230" i="18"/>
  <c r="AB230" i="18"/>
  <c r="Y231" i="18"/>
  <c r="R231" i="18"/>
  <c r="Q231" i="18"/>
  <c r="Z231" i="18"/>
  <c r="T231" i="18"/>
  <c r="S231" i="18"/>
  <c r="AA231" i="18"/>
  <c r="V231" i="18"/>
  <c r="U231" i="18"/>
  <c r="AB231" i="18"/>
  <c r="Y232" i="18"/>
  <c r="R232" i="18"/>
  <c r="Q232" i="18"/>
  <c r="Z232" i="18"/>
  <c r="T232" i="18"/>
  <c r="S232" i="18"/>
  <c r="AA232" i="18"/>
  <c r="V232" i="18"/>
  <c r="U232" i="18"/>
  <c r="AB232" i="18"/>
  <c r="Y233" i="18"/>
  <c r="R233" i="18"/>
  <c r="Q233" i="18"/>
  <c r="Z233" i="18"/>
  <c r="T233" i="18"/>
  <c r="S233" i="18"/>
  <c r="AA233" i="18"/>
  <c r="V233" i="18"/>
  <c r="U233" i="18"/>
  <c r="AB233" i="18"/>
  <c r="Y234" i="18"/>
  <c r="R234" i="18"/>
  <c r="Q234" i="18"/>
  <c r="Z234" i="18"/>
  <c r="T234" i="18"/>
  <c r="S234" i="18"/>
  <c r="AA234" i="18"/>
  <c r="V234" i="18"/>
  <c r="U234" i="18"/>
  <c r="AB234" i="18"/>
  <c r="Y235" i="18"/>
  <c r="R235" i="18"/>
  <c r="Q235" i="18"/>
  <c r="Z235" i="18"/>
  <c r="T235" i="18"/>
  <c r="S235" i="18"/>
  <c r="AA235" i="18"/>
  <c r="V235" i="18"/>
  <c r="U235" i="18"/>
  <c r="AB235" i="18"/>
  <c r="Y236" i="18"/>
  <c r="R236" i="18"/>
  <c r="Q236" i="18"/>
  <c r="Z236" i="18"/>
  <c r="T236" i="18"/>
  <c r="S236" i="18"/>
  <c r="AA236" i="18"/>
  <c r="V236" i="18"/>
  <c r="U236" i="18"/>
  <c r="AB236" i="18"/>
  <c r="Y237" i="18"/>
  <c r="R237" i="18"/>
  <c r="Q237" i="18"/>
  <c r="Z237" i="18"/>
  <c r="T237" i="18"/>
  <c r="S237" i="18"/>
  <c r="AA237" i="18"/>
  <c r="V237" i="18"/>
  <c r="U237" i="18"/>
  <c r="AB237" i="18"/>
  <c r="Y238" i="18"/>
  <c r="R238" i="18"/>
  <c r="Q238" i="18"/>
  <c r="Z238" i="18"/>
  <c r="T238" i="18"/>
  <c r="S238" i="18"/>
  <c r="AA238" i="18"/>
  <c r="V238" i="18"/>
  <c r="U238" i="18"/>
  <c r="AB238" i="18"/>
  <c r="Y239" i="18"/>
  <c r="R239" i="18"/>
  <c r="Q239" i="18"/>
  <c r="Z239" i="18"/>
  <c r="T239" i="18"/>
  <c r="S239" i="18"/>
  <c r="AA239" i="18"/>
  <c r="V239" i="18"/>
  <c r="U239" i="18"/>
  <c r="AB239" i="18"/>
  <c r="Y240" i="18"/>
  <c r="R240" i="18"/>
  <c r="Q240" i="18"/>
  <c r="Z240" i="18"/>
  <c r="T240" i="18"/>
  <c r="S240" i="18"/>
  <c r="AA240" i="18"/>
  <c r="V240" i="18"/>
  <c r="U240" i="18"/>
  <c r="AB240" i="18"/>
  <c r="Y241" i="18"/>
  <c r="R241" i="18"/>
  <c r="Q241" i="18"/>
  <c r="Z241" i="18"/>
  <c r="T241" i="18"/>
  <c r="S241" i="18"/>
  <c r="AA241" i="18"/>
  <c r="V241" i="18"/>
  <c r="U241" i="18"/>
  <c r="AB241" i="18"/>
  <c r="Y242" i="18"/>
  <c r="R242" i="18"/>
  <c r="Q242" i="18"/>
  <c r="Z242" i="18"/>
  <c r="T242" i="18"/>
  <c r="S242" i="18"/>
  <c r="AA242" i="18"/>
  <c r="V242" i="18"/>
  <c r="U242" i="18"/>
  <c r="AB242" i="18"/>
  <c r="Y243" i="18"/>
  <c r="R243" i="18"/>
  <c r="Q243" i="18"/>
  <c r="Z243" i="18"/>
  <c r="T243" i="18"/>
  <c r="S243" i="18"/>
  <c r="AA243" i="18"/>
  <c r="V243" i="18"/>
  <c r="U243" i="18"/>
  <c r="AB243" i="18"/>
  <c r="Y244" i="18"/>
  <c r="R244" i="18"/>
  <c r="Q244" i="18"/>
  <c r="Z244" i="18"/>
  <c r="T244" i="18"/>
  <c r="S244" i="18"/>
  <c r="AA244" i="18"/>
  <c r="V244" i="18"/>
  <c r="U244" i="18"/>
  <c r="AB244" i="18"/>
  <c r="Y245" i="18"/>
  <c r="R245" i="18"/>
  <c r="Q245" i="18"/>
  <c r="Z245" i="18"/>
  <c r="T245" i="18"/>
  <c r="S245" i="18"/>
  <c r="AA245" i="18"/>
  <c r="V245" i="18"/>
  <c r="U245" i="18"/>
  <c r="AB245" i="18"/>
  <c r="Y246" i="18"/>
  <c r="R246" i="18"/>
  <c r="Q246" i="18"/>
  <c r="Z246" i="18"/>
  <c r="T246" i="18"/>
  <c r="S246" i="18"/>
  <c r="AA246" i="18"/>
  <c r="V246" i="18"/>
  <c r="U246" i="18"/>
  <c r="AB246" i="18"/>
  <c r="Y247" i="18"/>
  <c r="R247" i="18"/>
  <c r="Q247" i="18"/>
  <c r="Z247" i="18"/>
  <c r="T247" i="18"/>
  <c r="S247" i="18"/>
  <c r="AA247" i="18"/>
  <c r="V247" i="18"/>
  <c r="U247" i="18"/>
  <c r="AB247" i="18"/>
  <c r="Y248" i="18"/>
  <c r="R248" i="18"/>
  <c r="Q248" i="18"/>
  <c r="Z248" i="18"/>
  <c r="T248" i="18"/>
  <c r="S248" i="18"/>
  <c r="AA248" i="18"/>
  <c r="V248" i="18"/>
  <c r="U248" i="18"/>
  <c r="AB248" i="18"/>
  <c r="Y249" i="18"/>
  <c r="R249" i="18"/>
  <c r="Q249" i="18"/>
  <c r="Z249" i="18"/>
  <c r="T249" i="18"/>
  <c r="S249" i="18"/>
  <c r="AA249" i="18"/>
  <c r="V249" i="18"/>
  <c r="U249" i="18"/>
  <c r="AB249" i="18"/>
  <c r="Y250" i="18"/>
  <c r="R250" i="18"/>
  <c r="Q250" i="18"/>
  <c r="Z250" i="18"/>
  <c r="T250" i="18"/>
  <c r="S250" i="18"/>
  <c r="AA250" i="18"/>
  <c r="V250" i="18"/>
  <c r="U250" i="18"/>
  <c r="AB250" i="18"/>
  <c r="Y251" i="18"/>
  <c r="R251" i="18"/>
  <c r="Q251" i="18"/>
  <c r="Z251" i="18"/>
  <c r="T251" i="18"/>
  <c r="S251" i="18"/>
  <c r="AA251" i="18"/>
  <c r="V251" i="18"/>
  <c r="U251" i="18"/>
  <c r="AB251" i="18"/>
  <c r="Y252" i="18"/>
  <c r="R252" i="18"/>
  <c r="Q252" i="18"/>
  <c r="Z252" i="18"/>
  <c r="T252" i="18"/>
  <c r="S252" i="18"/>
  <c r="AA252" i="18"/>
  <c r="V252" i="18"/>
  <c r="U252" i="18"/>
  <c r="AB252" i="18"/>
  <c r="Y253" i="18"/>
  <c r="R253" i="18"/>
  <c r="Q253" i="18"/>
  <c r="Z253" i="18"/>
  <c r="T253" i="18"/>
  <c r="S253" i="18"/>
  <c r="AA253" i="18"/>
  <c r="V253" i="18"/>
  <c r="U253" i="18"/>
  <c r="AB253" i="18"/>
  <c r="Y254" i="18"/>
  <c r="R254" i="18"/>
  <c r="Q254" i="18"/>
  <c r="Z254" i="18"/>
  <c r="T254" i="18"/>
  <c r="S254" i="18"/>
  <c r="AA254" i="18"/>
  <c r="V254" i="18"/>
  <c r="U254" i="18"/>
  <c r="AB254" i="18"/>
  <c r="Y255" i="18"/>
  <c r="R255" i="18"/>
  <c r="Q255" i="18"/>
  <c r="Z255" i="18"/>
  <c r="T255" i="18"/>
  <c r="S255" i="18"/>
  <c r="AA255" i="18"/>
  <c r="V255" i="18"/>
  <c r="U255" i="18"/>
  <c r="AB255" i="18"/>
  <c r="Y256" i="18"/>
  <c r="R256" i="18"/>
  <c r="Q256" i="18"/>
  <c r="Z256" i="18"/>
  <c r="T256" i="18"/>
  <c r="S256" i="18"/>
  <c r="AA256" i="18"/>
  <c r="V256" i="18"/>
  <c r="U256" i="18"/>
  <c r="AB256" i="18"/>
  <c r="Y257" i="18"/>
  <c r="R257" i="18"/>
  <c r="Q257" i="18"/>
  <c r="Z257" i="18"/>
  <c r="T257" i="18"/>
  <c r="S257" i="18"/>
  <c r="AA257" i="18"/>
  <c r="V257" i="18"/>
  <c r="U257" i="18"/>
  <c r="AB257" i="18"/>
  <c r="Y258" i="18"/>
  <c r="R258" i="18"/>
  <c r="Q258" i="18"/>
  <c r="Z258" i="18"/>
  <c r="T258" i="18"/>
  <c r="S258" i="18"/>
  <c r="AA258" i="18"/>
  <c r="V258" i="18"/>
  <c r="U258" i="18"/>
  <c r="AB258" i="18"/>
  <c r="Y259" i="18"/>
  <c r="R259" i="18"/>
  <c r="Q259" i="18"/>
  <c r="Z259" i="18"/>
  <c r="T259" i="18"/>
  <c r="S259" i="18"/>
  <c r="AA259" i="18"/>
  <c r="V259" i="18"/>
  <c r="U259" i="18"/>
  <c r="AB259" i="18"/>
  <c r="Y260" i="18"/>
  <c r="R260" i="18"/>
  <c r="Q260" i="18"/>
  <c r="Z260" i="18"/>
  <c r="T260" i="18"/>
  <c r="S260" i="18"/>
  <c r="AA260" i="18"/>
  <c r="V260" i="18"/>
  <c r="U260" i="18"/>
  <c r="AB260" i="18"/>
  <c r="Y261" i="18"/>
  <c r="R261" i="18"/>
  <c r="Q261" i="18"/>
  <c r="Z261" i="18"/>
  <c r="T261" i="18"/>
  <c r="S261" i="18"/>
  <c r="AA261" i="18"/>
  <c r="V261" i="18"/>
  <c r="U261" i="18"/>
  <c r="AB261" i="18"/>
  <c r="Y262" i="18"/>
  <c r="R262" i="18"/>
  <c r="Q262" i="18"/>
  <c r="Z262" i="18"/>
  <c r="T262" i="18"/>
  <c r="S262" i="18"/>
  <c r="AA262" i="18"/>
  <c r="V262" i="18"/>
  <c r="U262" i="18"/>
  <c r="AB262" i="18"/>
  <c r="Y263" i="18"/>
  <c r="R263" i="18"/>
  <c r="Q263" i="18"/>
  <c r="Z263" i="18"/>
  <c r="T263" i="18"/>
  <c r="S263" i="18"/>
  <c r="AA263" i="18"/>
  <c r="V263" i="18"/>
  <c r="U263" i="18"/>
  <c r="AB263" i="18"/>
  <c r="Y264" i="18"/>
  <c r="R264" i="18"/>
  <c r="Q264" i="18"/>
  <c r="Z264" i="18"/>
  <c r="T264" i="18"/>
  <c r="S264" i="18"/>
  <c r="AA264" i="18"/>
  <c r="V264" i="18"/>
  <c r="U264" i="18"/>
  <c r="AB264" i="18"/>
  <c r="Y265" i="18"/>
  <c r="R265" i="18"/>
  <c r="Q265" i="18"/>
  <c r="Z265" i="18"/>
  <c r="T265" i="18"/>
  <c r="S265" i="18"/>
  <c r="AA265" i="18"/>
  <c r="V265" i="18"/>
  <c r="U265" i="18"/>
  <c r="AB265" i="18"/>
  <c r="Y266" i="18"/>
  <c r="R266" i="18"/>
  <c r="Q266" i="18"/>
  <c r="Z266" i="18"/>
  <c r="T266" i="18"/>
  <c r="S266" i="18"/>
  <c r="AA266" i="18"/>
  <c r="V266" i="18"/>
  <c r="U266" i="18"/>
  <c r="AB266" i="18"/>
  <c r="Y267" i="18"/>
  <c r="R267" i="18"/>
  <c r="Q267" i="18"/>
  <c r="Z267" i="18"/>
  <c r="T267" i="18"/>
  <c r="S267" i="18"/>
  <c r="AA267" i="18"/>
  <c r="V267" i="18"/>
  <c r="U267" i="18"/>
  <c r="AB267" i="18"/>
  <c r="Y268" i="18"/>
  <c r="R268" i="18"/>
  <c r="Q268" i="18"/>
  <c r="Z268" i="18"/>
  <c r="T268" i="18"/>
  <c r="S268" i="18"/>
  <c r="AA268" i="18"/>
  <c r="V268" i="18"/>
  <c r="U268" i="18"/>
  <c r="AB268" i="18"/>
  <c r="Y269" i="18"/>
  <c r="R269" i="18"/>
  <c r="Q269" i="18"/>
  <c r="Z269" i="18"/>
  <c r="T269" i="18"/>
  <c r="S269" i="18"/>
  <c r="AA269" i="18"/>
  <c r="V269" i="18"/>
  <c r="U269" i="18"/>
  <c r="AB269" i="18"/>
  <c r="Y270" i="18"/>
  <c r="R270" i="18"/>
  <c r="Q270" i="18"/>
  <c r="Z270" i="18"/>
  <c r="T270" i="18"/>
  <c r="S270" i="18"/>
  <c r="AA270" i="18"/>
  <c r="V270" i="18"/>
  <c r="U270" i="18"/>
  <c r="AB270" i="18"/>
  <c r="Y271" i="18"/>
  <c r="R271" i="18"/>
  <c r="Q271" i="18"/>
  <c r="Z271" i="18"/>
  <c r="T271" i="18"/>
  <c r="S271" i="18"/>
  <c r="AA271" i="18"/>
  <c r="V271" i="18"/>
  <c r="U271" i="18"/>
  <c r="AB271" i="18"/>
  <c r="Y272" i="18"/>
  <c r="R272" i="18"/>
  <c r="Q272" i="18"/>
  <c r="Z272" i="18"/>
  <c r="T272" i="18"/>
  <c r="S272" i="18"/>
  <c r="AA272" i="18"/>
  <c r="V272" i="18"/>
  <c r="U272" i="18"/>
  <c r="AB272" i="18"/>
  <c r="Y273" i="18"/>
  <c r="R273" i="18"/>
  <c r="Q273" i="18"/>
  <c r="Z273" i="18"/>
  <c r="T273" i="18"/>
  <c r="S273" i="18"/>
  <c r="AA273" i="18"/>
  <c r="V273" i="18"/>
  <c r="U273" i="18"/>
  <c r="AB273" i="18"/>
  <c r="Y274" i="18"/>
  <c r="R274" i="18"/>
  <c r="Q274" i="18"/>
  <c r="Z274" i="18"/>
  <c r="T274" i="18"/>
  <c r="S274" i="18"/>
  <c r="AA274" i="18"/>
  <c r="V274" i="18"/>
  <c r="U274" i="18"/>
  <c r="AB274" i="18"/>
  <c r="Y275" i="18"/>
  <c r="R275" i="18"/>
  <c r="Q275" i="18"/>
  <c r="Z275" i="18"/>
  <c r="T275" i="18"/>
  <c r="S275" i="18"/>
  <c r="AA275" i="18"/>
  <c r="V275" i="18"/>
  <c r="U275" i="18"/>
  <c r="AB275" i="18"/>
  <c r="Y276" i="18"/>
  <c r="R276" i="18"/>
  <c r="Q276" i="18"/>
  <c r="Z276" i="18"/>
  <c r="T276" i="18"/>
  <c r="S276" i="18"/>
  <c r="AA276" i="18"/>
  <c r="V276" i="18"/>
  <c r="U276" i="18"/>
  <c r="AB276" i="18"/>
  <c r="Y277" i="18"/>
  <c r="R277" i="18"/>
  <c r="Q277" i="18"/>
  <c r="Z277" i="18"/>
  <c r="T277" i="18"/>
  <c r="S277" i="18"/>
  <c r="AA277" i="18"/>
  <c r="V277" i="18"/>
  <c r="U277" i="18"/>
  <c r="AB277" i="18"/>
  <c r="Y278" i="18"/>
  <c r="R278" i="18"/>
  <c r="Q278" i="18"/>
  <c r="Z278" i="18"/>
  <c r="T278" i="18"/>
  <c r="S278" i="18"/>
  <c r="AA278" i="18"/>
  <c r="V278" i="18"/>
  <c r="U278" i="18"/>
  <c r="AB278" i="18"/>
  <c r="Y279" i="18"/>
  <c r="R279" i="18"/>
  <c r="Q279" i="18"/>
  <c r="Z279" i="18"/>
  <c r="T279" i="18"/>
  <c r="S279" i="18"/>
  <c r="AA279" i="18"/>
  <c r="V279" i="18"/>
  <c r="U279" i="18"/>
  <c r="AB279" i="18"/>
  <c r="Y280" i="18"/>
  <c r="R280" i="18"/>
  <c r="Q280" i="18"/>
  <c r="Z280" i="18"/>
  <c r="T280" i="18"/>
  <c r="S280" i="18"/>
  <c r="AA280" i="18"/>
  <c r="V280" i="18"/>
  <c r="U280" i="18"/>
  <c r="AB280" i="18"/>
  <c r="Y281" i="18"/>
  <c r="R281" i="18"/>
  <c r="Q281" i="18"/>
  <c r="Z281" i="18"/>
  <c r="T281" i="18"/>
  <c r="S281" i="18"/>
  <c r="AA281" i="18"/>
  <c r="V281" i="18"/>
  <c r="U281" i="18"/>
  <c r="AB281" i="18"/>
  <c r="Y282" i="18"/>
  <c r="R282" i="18"/>
  <c r="Q282" i="18"/>
  <c r="Z282" i="18"/>
  <c r="T282" i="18"/>
  <c r="S282" i="18"/>
  <c r="AA282" i="18"/>
  <c r="V282" i="18"/>
  <c r="U282" i="18"/>
  <c r="AB282" i="18"/>
  <c r="Y283" i="18"/>
  <c r="R283" i="18"/>
  <c r="Q283" i="18"/>
  <c r="Z283" i="18"/>
  <c r="T283" i="18"/>
  <c r="S283" i="18"/>
  <c r="AA283" i="18"/>
  <c r="V283" i="18"/>
  <c r="U283" i="18"/>
  <c r="AB283" i="18"/>
  <c r="Y284" i="18"/>
  <c r="R284" i="18"/>
  <c r="Q284" i="18"/>
  <c r="Z284" i="18"/>
  <c r="T284" i="18"/>
  <c r="S284" i="18"/>
  <c r="AA284" i="18"/>
  <c r="V284" i="18"/>
  <c r="U284" i="18"/>
  <c r="AB284" i="18"/>
  <c r="Y285" i="18"/>
  <c r="R285" i="18"/>
  <c r="Q285" i="18"/>
  <c r="Z285" i="18"/>
  <c r="T285" i="18"/>
  <c r="S285" i="18"/>
  <c r="AA285" i="18"/>
  <c r="V285" i="18"/>
  <c r="U285" i="18"/>
  <c r="AB285" i="18"/>
  <c r="Y286" i="18"/>
  <c r="R286" i="18"/>
  <c r="Q286" i="18"/>
  <c r="Z286" i="18"/>
  <c r="T286" i="18"/>
  <c r="S286" i="18"/>
  <c r="AA286" i="18"/>
  <c r="V286" i="18"/>
  <c r="U286" i="18"/>
  <c r="AB286" i="18"/>
  <c r="Y287" i="18"/>
  <c r="R287" i="18"/>
  <c r="Q287" i="18"/>
  <c r="Z287" i="18"/>
  <c r="T287" i="18"/>
  <c r="S287" i="18"/>
  <c r="AA287" i="18"/>
  <c r="V287" i="18"/>
  <c r="U287" i="18"/>
  <c r="AB287" i="18"/>
  <c r="Y288" i="18"/>
  <c r="R288" i="18"/>
  <c r="Q288" i="18"/>
  <c r="Z288" i="18"/>
  <c r="T288" i="18"/>
  <c r="S288" i="18"/>
  <c r="AA288" i="18"/>
  <c r="V288" i="18"/>
  <c r="U288" i="18"/>
  <c r="AB288" i="18"/>
  <c r="Y289" i="18"/>
  <c r="R289" i="18"/>
  <c r="Q289" i="18"/>
  <c r="Z289" i="18"/>
  <c r="T289" i="18"/>
  <c r="S289" i="18"/>
  <c r="AA289" i="18"/>
  <c r="V289" i="18"/>
  <c r="U289" i="18"/>
  <c r="AB289" i="18"/>
  <c r="Y290" i="18"/>
  <c r="R290" i="18"/>
  <c r="Q290" i="18"/>
  <c r="Z290" i="18"/>
  <c r="T290" i="18"/>
  <c r="S290" i="18"/>
  <c r="AA290" i="18"/>
  <c r="V290" i="18"/>
  <c r="U290" i="18"/>
  <c r="AB290" i="18"/>
  <c r="Y291" i="18"/>
  <c r="R291" i="18"/>
  <c r="Q291" i="18"/>
  <c r="Z291" i="18"/>
  <c r="T291" i="18"/>
  <c r="S291" i="18"/>
  <c r="AA291" i="18"/>
  <c r="V291" i="18"/>
  <c r="U291" i="18"/>
  <c r="AB291" i="18"/>
  <c r="Y292" i="18"/>
  <c r="R292" i="18"/>
  <c r="Q292" i="18"/>
  <c r="Z292" i="18"/>
  <c r="T292" i="18"/>
  <c r="S292" i="18"/>
  <c r="AA292" i="18"/>
  <c r="V292" i="18"/>
  <c r="U292" i="18"/>
  <c r="AB292" i="18"/>
  <c r="Y293" i="18"/>
  <c r="R293" i="18"/>
  <c r="Q293" i="18"/>
  <c r="Z293" i="18"/>
  <c r="T293" i="18"/>
  <c r="S293" i="18"/>
  <c r="AA293" i="18"/>
  <c r="V293" i="18"/>
  <c r="U293" i="18"/>
  <c r="AB293" i="18"/>
  <c r="Y294" i="18"/>
  <c r="R294" i="18"/>
  <c r="Q294" i="18"/>
  <c r="Z294" i="18"/>
  <c r="T294" i="18"/>
  <c r="S294" i="18"/>
  <c r="AA294" i="18"/>
  <c r="V294" i="18"/>
  <c r="U294" i="18"/>
  <c r="AB294" i="18"/>
  <c r="Y295" i="18"/>
  <c r="R295" i="18"/>
  <c r="Q295" i="18"/>
  <c r="Z295" i="18"/>
  <c r="T295" i="18"/>
  <c r="S295" i="18"/>
  <c r="AA295" i="18"/>
  <c r="V295" i="18"/>
  <c r="U295" i="18"/>
  <c r="AB295" i="18"/>
  <c r="Y296" i="18"/>
  <c r="R296" i="18"/>
  <c r="Q296" i="18"/>
  <c r="Z296" i="18"/>
  <c r="T296" i="18"/>
  <c r="S296" i="18"/>
  <c r="AA296" i="18"/>
  <c r="V296" i="18"/>
  <c r="U296" i="18"/>
  <c r="AB296" i="18"/>
  <c r="Y297" i="18"/>
  <c r="R297" i="18"/>
  <c r="Q297" i="18"/>
  <c r="Z297" i="18"/>
  <c r="T297" i="18"/>
  <c r="S297" i="18"/>
  <c r="AA297" i="18"/>
  <c r="V297" i="18"/>
  <c r="U297" i="18"/>
  <c r="AB297" i="18"/>
  <c r="Y298" i="18"/>
  <c r="R298" i="18"/>
  <c r="Q298" i="18"/>
  <c r="Z298" i="18"/>
  <c r="T298" i="18"/>
  <c r="S298" i="18"/>
  <c r="AA298" i="18"/>
  <c r="V298" i="18"/>
  <c r="U298" i="18"/>
  <c r="AB298" i="18"/>
  <c r="Y299" i="18"/>
  <c r="R299" i="18"/>
  <c r="Q299" i="18"/>
  <c r="Z299" i="18"/>
  <c r="T299" i="18"/>
  <c r="S299" i="18"/>
  <c r="AA299" i="18"/>
  <c r="V299" i="18"/>
  <c r="U299" i="18"/>
  <c r="AB299" i="18"/>
  <c r="Y300" i="18"/>
  <c r="R300" i="18"/>
  <c r="Q300" i="18"/>
  <c r="Z300" i="18"/>
  <c r="T300" i="18"/>
  <c r="S300" i="18"/>
  <c r="AA300" i="18"/>
  <c r="V300" i="18"/>
  <c r="U300" i="18"/>
  <c r="AB300" i="18"/>
  <c r="Y301" i="18"/>
  <c r="R301" i="18"/>
  <c r="Q301" i="18"/>
  <c r="Z301" i="18"/>
  <c r="T301" i="18"/>
  <c r="S301" i="18"/>
  <c r="AA301" i="18"/>
  <c r="V301" i="18"/>
  <c r="U301" i="18"/>
  <c r="AB301" i="18"/>
  <c r="Y302" i="18"/>
  <c r="R302" i="18"/>
  <c r="Q302" i="18"/>
  <c r="Z302" i="18"/>
  <c r="T302" i="18"/>
  <c r="S302" i="18"/>
  <c r="AA302" i="18"/>
  <c r="V302" i="18"/>
  <c r="U302" i="18"/>
  <c r="AB302" i="18"/>
  <c r="Y303" i="18"/>
  <c r="R303" i="18"/>
  <c r="Q303" i="18"/>
  <c r="Z303" i="18"/>
  <c r="T303" i="18"/>
  <c r="S303" i="18"/>
  <c r="AA303" i="18"/>
  <c r="V303" i="18"/>
  <c r="U303" i="18"/>
  <c r="AB303" i="18"/>
  <c r="Y304" i="18"/>
  <c r="R304" i="18"/>
  <c r="Q304" i="18"/>
  <c r="Z304" i="18"/>
  <c r="T304" i="18"/>
  <c r="S304" i="18"/>
  <c r="AA304" i="18"/>
  <c r="V304" i="18"/>
  <c r="U304" i="18"/>
  <c r="AB304" i="18"/>
  <c r="Y305" i="18"/>
  <c r="R305" i="18"/>
  <c r="Q305" i="18"/>
  <c r="Z305" i="18"/>
  <c r="T305" i="18"/>
  <c r="S305" i="18"/>
  <c r="AA305" i="18"/>
  <c r="V305" i="18"/>
  <c r="U305" i="18"/>
  <c r="AB305" i="18"/>
  <c r="Y306" i="18"/>
  <c r="R306" i="18"/>
  <c r="Q306" i="18"/>
  <c r="Z306" i="18"/>
  <c r="T306" i="18"/>
  <c r="S306" i="18"/>
  <c r="AA306" i="18"/>
  <c r="V306" i="18"/>
  <c r="U306" i="18"/>
  <c r="AB306" i="18"/>
  <c r="Y307" i="18"/>
  <c r="R307" i="18"/>
  <c r="Q307" i="18"/>
  <c r="Z307" i="18"/>
  <c r="T307" i="18"/>
  <c r="S307" i="18"/>
  <c r="AA307" i="18"/>
  <c r="V307" i="18"/>
  <c r="U307" i="18"/>
  <c r="AB307" i="18"/>
  <c r="Y308" i="18"/>
  <c r="R308" i="18"/>
  <c r="Q308" i="18"/>
  <c r="Z308" i="18"/>
  <c r="T308" i="18"/>
  <c r="S308" i="18"/>
  <c r="AA308" i="18"/>
  <c r="V308" i="18"/>
  <c r="U308" i="18"/>
  <c r="AB308" i="18"/>
  <c r="Y309" i="18"/>
  <c r="R309" i="18"/>
  <c r="Q309" i="18"/>
  <c r="Z309" i="18"/>
  <c r="T309" i="18"/>
  <c r="S309" i="18"/>
  <c r="AA309" i="18"/>
  <c r="V309" i="18"/>
  <c r="U309" i="18"/>
  <c r="AB309" i="18"/>
  <c r="Y310" i="18"/>
  <c r="R310" i="18"/>
  <c r="Q310" i="18"/>
  <c r="Z310" i="18"/>
  <c r="T310" i="18"/>
  <c r="S310" i="18"/>
  <c r="AA310" i="18"/>
  <c r="V310" i="18"/>
  <c r="U310" i="18"/>
  <c r="AB310" i="18"/>
  <c r="Y311" i="18"/>
  <c r="R311" i="18"/>
  <c r="Q311" i="18"/>
  <c r="Z311" i="18"/>
  <c r="T311" i="18"/>
  <c r="S311" i="18"/>
  <c r="AA311" i="18"/>
  <c r="V311" i="18"/>
  <c r="U311" i="18"/>
  <c r="AB311" i="18"/>
  <c r="Y312" i="18"/>
  <c r="R312" i="18"/>
  <c r="Q312" i="18"/>
  <c r="Z312" i="18"/>
  <c r="T312" i="18"/>
  <c r="S312" i="18"/>
  <c r="AA312" i="18"/>
  <c r="V312" i="18"/>
  <c r="U312" i="18"/>
  <c r="AB312" i="18"/>
  <c r="Y313" i="18"/>
  <c r="R313" i="18"/>
  <c r="Q313" i="18"/>
  <c r="Z313" i="18"/>
  <c r="T313" i="18"/>
  <c r="S313" i="18"/>
  <c r="AA313" i="18"/>
  <c r="V313" i="18"/>
  <c r="U313" i="18"/>
  <c r="AB313" i="18"/>
  <c r="Y314" i="18"/>
  <c r="R314" i="18"/>
  <c r="Q314" i="18"/>
  <c r="Z314" i="18"/>
  <c r="T314" i="18"/>
  <c r="S314" i="18"/>
  <c r="AA314" i="18"/>
  <c r="V314" i="18"/>
  <c r="U314" i="18"/>
  <c r="AB314" i="18"/>
  <c r="Y315" i="18"/>
  <c r="R315" i="18"/>
  <c r="Q315" i="18"/>
  <c r="Z315" i="18"/>
  <c r="T315" i="18"/>
  <c r="S315" i="18"/>
  <c r="AA315" i="18"/>
  <c r="V315" i="18"/>
  <c r="U315" i="18"/>
  <c r="AB315" i="18"/>
  <c r="Y316" i="18"/>
  <c r="R316" i="18"/>
  <c r="Q316" i="18"/>
  <c r="Z316" i="18"/>
  <c r="T316" i="18"/>
  <c r="S316" i="18"/>
  <c r="AA316" i="18"/>
  <c r="V316" i="18"/>
  <c r="U316" i="18"/>
  <c r="AB316" i="18"/>
  <c r="E240" i="24"/>
  <c r="D240" i="24"/>
  <c r="C240" i="24"/>
  <c r="E239" i="24"/>
  <c r="D239" i="24"/>
  <c r="E238" i="24"/>
  <c r="D238" i="24"/>
  <c r="C238" i="24"/>
  <c r="Y430" i="16"/>
  <c r="Y431" i="16"/>
  <c r="Y432" i="16"/>
  <c r="Y433" i="16"/>
  <c r="R430" i="16"/>
  <c r="Q430" i="16"/>
  <c r="Z430" i="16"/>
  <c r="T430" i="16"/>
  <c r="S430" i="16"/>
  <c r="AA430" i="16"/>
  <c r="V430" i="16"/>
  <c r="U430" i="16"/>
  <c r="AB430" i="16"/>
  <c r="R431" i="16"/>
  <c r="Q431" i="16"/>
  <c r="Z431" i="16"/>
  <c r="T431" i="16"/>
  <c r="S431" i="16"/>
  <c r="AA431" i="16"/>
  <c r="V431" i="16"/>
  <c r="U431" i="16"/>
  <c r="AB431" i="16"/>
  <c r="R432" i="16"/>
  <c r="Q432" i="16"/>
  <c r="Z432" i="16"/>
  <c r="T432" i="16"/>
  <c r="S432" i="16"/>
  <c r="AA432" i="16"/>
  <c r="V432" i="16"/>
  <c r="U432" i="16"/>
  <c r="AB432" i="16"/>
  <c r="R433" i="16"/>
  <c r="Q433" i="16"/>
  <c r="Z433" i="16"/>
  <c r="T433" i="16"/>
  <c r="S433" i="16"/>
  <c r="AA433" i="16"/>
  <c r="V433" i="16"/>
  <c r="U433" i="16"/>
  <c r="AB433" i="16"/>
  <c r="Y434" i="16"/>
  <c r="R434" i="16"/>
  <c r="Q434" i="16"/>
  <c r="Z434" i="16"/>
  <c r="T434" i="16"/>
  <c r="S434" i="16"/>
  <c r="AA434" i="16"/>
  <c r="V434" i="16"/>
  <c r="U434" i="16"/>
  <c r="AB434" i="16"/>
  <c r="Y435" i="16"/>
  <c r="R435" i="16"/>
  <c r="Q435" i="16"/>
  <c r="Z435" i="16"/>
  <c r="T435" i="16"/>
  <c r="S435" i="16"/>
  <c r="AA435" i="16"/>
  <c r="V435" i="16"/>
  <c r="U435" i="16"/>
  <c r="AB435" i="16"/>
  <c r="Y436" i="16"/>
  <c r="R436" i="16"/>
  <c r="Q436" i="16"/>
  <c r="Z436" i="16"/>
  <c r="T436" i="16"/>
  <c r="S436" i="16"/>
  <c r="AA436" i="16"/>
  <c r="V436" i="16"/>
  <c r="U436" i="16"/>
  <c r="AB436" i="16"/>
  <c r="Y437" i="16"/>
  <c r="R437" i="16"/>
  <c r="Q437" i="16"/>
  <c r="Z437" i="16"/>
  <c r="T437" i="16"/>
  <c r="S437" i="16"/>
  <c r="AA437" i="16"/>
  <c r="V437" i="16"/>
  <c r="U437" i="16"/>
  <c r="AB437" i="16"/>
  <c r="Y438" i="16"/>
  <c r="R438" i="16"/>
  <c r="Q438" i="16"/>
  <c r="Z438" i="16"/>
  <c r="T438" i="16"/>
  <c r="S438" i="16"/>
  <c r="AA438" i="16"/>
  <c r="V438" i="16"/>
  <c r="U438" i="16"/>
  <c r="AB438" i="16"/>
  <c r="Y439" i="16"/>
  <c r="R439" i="16"/>
  <c r="Q439" i="16"/>
  <c r="Z439" i="16"/>
  <c r="T439" i="16"/>
  <c r="S439" i="16"/>
  <c r="AA439" i="16"/>
  <c r="V439" i="16"/>
  <c r="U439" i="16"/>
  <c r="AB439" i="16"/>
  <c r="Y440" i="16"/>
  <c r="R440" i="16"/>
  <c r="Q440" i="16"/>
  <c r="Z440" i="16"/>
  <c r="T440" i="16"/>
  <c r="S440" i="16"/>
  <c r="AA440" i="16"/>
  <c r="V440" i="16"/>
  <c r="U440" i="16"/>
  <c r="AB440" i="16"/>
  <c r="Y441" i="16"/>
  <c r="R441" i="16"/>
  <c r="Q441" i="16"/>
  <c r="Z441" i="16"/>
  <c r="T441" i="16"/>
  <c r="S441" i="16"/>
  <c r="AA441" i="16"/>
  <c r="V441" i="16"/>
  <c r="U441" i="16"/>
  <c r="AB441" i="16"/>
  <c r="Y442" i="16"/>
  <c r="R442" i="16"/>
  <c r="Q442" i="16"/>
  <c r="Z442" i="16"/>
  <c r="T442" i="16"/>
  <c r="S442" i="16"/>
  <c r="AA442" i="16"/>
  <c r="V442" i="16"/>
  <c r="U442" i="16"/>
  <c r="AB442" i="16"/>
  <c r="Y443" i="16"/>
  <c r="R443" i="16"/>
  <c r="Q443" i="16"/>
  <c r="Z443" i="16"/>
  <c r="T443" i="16"/>
  <c r="S443" i="16"/>
  <c r="AA443" i="16"/>
  <c r="V443" i="16"/>
  <c r="U443" i="16"/>
  <c r="AB443" i="16"/>
  <c r="Y444" i="16"/>
  <c r="R444" i="16"/>
  <c r="Q444" i="16"/>
  <c r="Z444" i="16"/>
  <c r="T444" i="16"/>
  <c r="S444" i="16"/>
  <c r="AA444" i="16"/>
  <c r="V444" i="16"/>
  <c r="U444" i="16"/>
  <c r="AB444" i="16"/>
  <c r="Y445" i="16"/>
  <c r="R445" i="16"/>
  <c r="Q445" i="16"/>
  <c r="Z445" i="16"/>
  <c r="T445" i="16"/>
  <c r="S445" i="16"/>
  <c r="AA445" i="16"/>
  <c r="V445" i="16"/>
  <c r="U445" i="16"/>
  <c r="AB445" i="16"/>
  <c r="Y446" i="16"/>
  <c r="R446" i="16"/>
  <c r="Q446" i="16"/>
  <c r="Z446" i="16"/>
  <c r="T446" i="16"/>
  <c r="S446" i="16"/>
  <c r="AA446" i="16"/>
  <c r="V446" i="16"/>
  <c r="U446" i="16"/>
  <c r="AB446" i="16"/>
  <c r="Y447" i="16"/>
  <c r="R447" i="16"/>
  <c r="Q447" i="16"/>
  <c r="Z447" i="16"/>
  <c r="T447" i="16"/>
  <c r="S447" i="16"/>
  <c r="AA447" i="16"/>
  <c r="V447" i="16"/>
  <c r="U447" i="16"/>
  <c r="AB447" i="16"/>
  <c r="Y448" i="16"/>
  <c r="R448" i="16"/>
  <c r="Q448" i="16"/>
  <c r="Z448" i="16"/>
  <c r="T448" i="16"/>
  <c r="S448" i="16"/>
  <c r="AA448" i="16"/>
  <c r="V448" i="16"/>
  <c r="U448" i="16"/>
  <c r="AB448" i="16"/>
  <c r="Y449" i="16"/>
  <c r="R449" i="16"/>
  <c r="Q449" i="16"/>
  <c r="Z449" i="16"/>
  <c r="T449" i="16"/>
  <c r="S449" i="16"/>
  <c r="AA449" i="16"/>
  <c r="V449" i="16"/>
  <c r="U449" i="16"/>
  <c r="AB449" i="16"/>
  <c r="Y450" i="16"/>
  <c r="R450" i="16"/>
  <c r="Q450" i="16"/>
  <c r="Z450" i="16"/>
  <c r="T450" i="16"/>
  <c r="S450" i="16"/>
  <c r="AA450" i="16"/>
  <c r="V450" i="16"/>
  <c r="U450" i="16"/>
  <c r="AB450" i="16"/>
  <c r="Y451" i="16"/>
  <c r="R451" i="16"/>
  <c r="Q451" i="16"/>
  <c r="Z451" i="16"/>
  <c r="T451" i="16"/>
  <c r="S451" i="16"/>
  <c r="AA451" i="16"/>
  <c r="V451" i="16"/>
  <c r="U451" i="16"/>
  <c r="AB451" i="16"/>
  <c r="Y452" i="16"/>
  <c r="R452" i="16"/>
  <c r="Q452" i="16"/>
  <c r="Z452" i="16"/>
  <c r="T452" i="16"/>
  <c r="S452" i="16"/>
  <c r="AA452" i="16"/>
  <c r="V452" i="16"/>
  <c r="U452" i="16"/>
  <c r="AB452" i="16"/>
  <c r="Y453" i="16"/>
  <c r="R453" i="16"/>
  <c r="Q453" i="16"/>
  <c r="Z453" i="16"/>
  <c r="T453" i="16"/>
  <c r="S453" i="16"/>
  <c r="AA453" i="16"/>
  <c r="V453" i="16"/>
  <c r="U453" i="16"/>
  <c r="AB453" i="16"/>
  <c r="Y454" i="16"/>
  <c r="R454" i="16"/>
  <c r="Q454" i="16"/>
  <c r="Z454" i="16"/>
  <c r="T454" i="16"/>
  <c r="S454" i="16"/>
  <c r="AA454" i="16"/>
  <c r="V454" i="16"/>
  <c r="U454" i="16"/>
  <c r="AB454" i="16"/>
  <c r="Y455" i="16"/>
  <c r="R455" i="16"/>
  <c r="Q455" i="16"/>
  <c r="Z455" i="16"/>
  <c r="T455" i="16"/>
  <c r="S455" i="16"/>
  <c r="AA455" i="16"/>
  <c r="V455" i="16"/>
  <c r="U455" i="16"/>
  <c r="AB455" i="16"/>
  <c r="Y456" i="16"/>
  <c r="R456" i="16"/>
  <c r="Q456" i="16"/>
  <c r="Z456" i="16"/>
  <c r="T456" i="16"/>
  <c r="S456" i="16"/>
  <c r="AA456" i="16"/>
  <c r="V456" i="16"/>
  <c r="U456" i="16"/>
  <c r="AB456" i="16"/>
  <c r="Y457" i="16"/>
  <c r="R457" i="16"/>
  <c r="Q457" i="16"/>
  <c r="Z457" i="16"/>
  <c r="T457" i="16"/>
  <c r="S457" i="16"/>
  <c r="AA457" i="16"/>
  <c r="V457" i="16"/>
  <c r="U457" i="16"/>
  <c r="AB457" i="16"/>
  <c r="Y458" i="16"/>
  <c r="R458" i="16"/>
  <c r="Q458" i="16"/>
  <c r="Z458" i="16"/>
  <c r="T458" i="16"/>
  <c r="S458" i="16"/>
  <c r="AA458" i="16"/>
  <c r="V458" i="16"/>
  <c r="U458" i="16"/>
  <c r="AB458" i="16"/>
  <c r="Y459" i="16"/>
  <c r="R459" i="16"/>
  <c r="Q459" i="16"/>
  <c r="Z459" i="16"/>
  <c r="T459" i="16"/>
  <c r="S459" i="16"/>
  <c r="AA459" i="16"/>
  <c r="V459" i="16"/>
  <c r="U459" i="16"/>
  <c r="AB459" i="16"/>
  <c r="Y460" i="16"/>
  <c r="R460" i="16"/>
  <c r="Q460" i="16"/>
  <c r="Z460" i="16"/>
  <c r="T460" i="16"/>
  <c r="S460" i="16"/>
  <c r="AA460" i="16"/>
  <c r="V460" i="16"/>
  <c r="U460" i="16"/>
  <c r="AB460" i="16"/>
  <c r="Y461" i="16"/>
  <c r="R461" i="16"/>
  <c r="Q461" i="16"/>
  <c r="Z461" i="16"/>
  <c r="T461" i="16"/>
  <c r="S461" i="16"/>
  <c r="AA461" i="16"/>
  <c r="V461" i="16"/>
  <c r="U461" i="16"/>
  <c r="AB461" i="16"/>
  <c r="Y462" i="16"/>
  <c r="R462" i="16"/>
  <c r="Q462" i="16"/>
  <c r="Z462" i="16"/>
  <c r="T462" i="16"/>
  <c r="S462" i="16"/>
  <c r="AA462" i="16"/>
  <c r="V462" i="16"/>
  <c r="U462" i="16"/>
  <c r="AB462" i="16"/>
  <c r="Y463" i="16"/>
  <c r="R463" i="16"/>
  <c r="Q463" i="16"/>
  <c r="Z463" i="16"/>
  <c r="T463" i="16"/>
  <c r="S463" i="16"/>
  <c r="AA463" i="16"/>
  <c r="V463" i="16"/>
  <c r="U463" i="16"/>
  <c r="AB463" i="16"/>
  <c r="Y464" i="16"/>
  <c r="R464" i="16"/>
  <c r="Q464" i="16"/>
  <c r="Z464" i="16"/>
  <c r="T464" i="16"/>
  <c r="S464" i="16"/>
  <c r="AA464" i="16"/>
  <c r="V464" i="16"/>
  <c r="U464" i="16"/>
  <c r="AB464" i="16"/>
  <c r="Y465" i="16"/>
  <c r="R465" i="16"/>
  <c r="Q465" i="16"/>
  <c r="Z465" i="16"/>
  <c r="T465" i="16"/>
  <c r="S465" i="16"/>
  <c r="AA465" i="16"/>
  <c r="V465" i="16"/>
  <c r="U465" i="16"/>
  <c r="AB465" i="16"/>
  <c r="Y466" i="16"/>
  <c r="R466" i="16"/>
  <c r="Q466" i="16"/>
  <c r="Z466" i="16"/>
  <c r="T466" i="16"/>
  <c r="S466" i="16"/>
  <c r="AA466" i="16"/>
  <c r="V466" i="16"/>
  <c r="U466" i="16"/>
  <c r="AB466" i="16"/>
  <c r="Y467" i="16"/>
  <c r="R467" i="16"/>
  <c r="Q467" i="16"/>
  <c r="Z467" i="16"/>
  <c r="T467" i="16"/>
  <c r="S467" i="16"/>
  <c r="AA467" i="16"/>
  <c r="V467" i="16"/>
  <c r="U467" i="16"/>
  <c r="AB467" i="16"/>
  <c r="Y468" i="16"/>
  <c r="R468" i="16"/>
  <c r="Q468" i="16"/>
  <c r="Z468" i="16"/>
  <c r="T468" i="16"/>
  <c r="S468" i="16"/>
  <c r="AA468" i="16"/>
  <c r="V468" i="16"/>
  <c r="U468" i="16"/>
  <c r="AB468" i="16"/>
  <c r="Y469" i="16"/>
  <c r="R469" i="16"/>
  <c r="Q469" i="16"/>
  <c r="Z469" i="16"/>
  <c r="T469" i="16"/>
  <c r="S469" i="16"/>
  <c r="AA469" i="16"/>
  <c r="V469" i="16"/>
  <c r="U469" i="16"/>
  <c r="AB469" i="16"/>
  <c r="Y470" i="16"/>
  <c r="R470" i="16"/>
  <c r="Q470" i="16"/>
  <c r="Z470" i="16"/>
  <c r="T470" i="16"/>
  <c r="S470" i="16"/>
  <c r="AA470" i="16"/>
  <c r="V470" i="16"/>
  <c r="U470" i="16"/>
  <c r="AB470" i="16"/>
  <c r="Y471" i="16"/>
  <c r="R471" i="16"/>
  <c r="Q471" i="16"/>
  <c r="Z471" i="16"/>
  <c r="T471" i="16"/>
  <c r="S471" i="16"/>
  <c r="AA471" i="16"/>
  <c r="V471" i="16"/>
  <c r="U471" i="16"/>
  <c r="AB471" i="16"/>
  <c r="Y472" i="16"/>
  <c r="R472" i="16"/>
  <c r="Q472" i="16"/>
  <c r="Z472" i="16"/>
  <c r="T472" i="16"/>
  <c r="S472" i="16"/>
  <c r="AA472" i="16"/>
  <c r="V472" i="16"/>
  <c r="U472" i="16"/>
  <c r="AB472" i="16"/>
  <c r="Y473" i="16"/>
  <c r="R473" i="16"/>
  <c r="Q473" i="16"/>
  <c r="Z473" i="16"/>
  <c r="T473" i="16"/>
  <c r="S473" i="16"/>
  <c r="AA473" i="16"/>
  <c r="V473" i="16"/>
  <c r="U473" i="16"/>
  <c r="AB473" i="16"/>
  <c r="Y474" i="16"/>
  <c r="R474" i="16"/>
  <c r="Q474" i="16"/>
  <c r="Z474" i="16"/>
  <c r="T474" i="16"/>
  <c r="S474" i="16"/>
  <c r="AA474" i="16"/>
  <c r="V474" i="16"/>
  <c r="U474" i="16"/>
  <c r="AB474" i="16"/>
  <c r="Y475" i="16"/>
  <c r="R475" i="16"/>
  <c r="Q475" i="16"/>
  <c r="Z475" i="16"/>
  <c r="T475" i="16"/>
  <c r="S475" i="16"/>
  <c r="AA475" i="16"/>
  <c r="V475" i="16"/>
  <c r="U475" i="16"/>
  <c r="AB475" i="16"/>
  <c r="Y476" i="16"/>
  <c r="R476" i="16"/>
  <c r="Q476" i="16"/>
  <c r="Z476" i="16"/>
  <c r="T476" i="16"/>
  <c r="S476" i="16"/>
  <c r="AA476" i="16"/>
  <c r="V476" i="16"/>
  <c r="U476" i="16"/>
  <c r="AB476" i="16"/>
  <c r="Y477" i="16"/>
  <c r="R477" i="16"/>
  <c r="Q477" i="16"/>
  <c r="Z477" i="16"/>
  <c r="T477" i="16"/>
  <c r="S477" i="16"/>
  <c r="AA477" i="16"/>
  <c r="V477" i="16"/>
  <c r="U477" i="16"/>
  <c r="AB477" i="16"/>
  <c r="Y478" i="16"/>
  <c r="R478" i="16"/>
  <c r="Q478" i="16"/>
  <c r="Z478" i="16"/>
  <c r="T478" i="16"/>
  <c r="S478" i="16"/>
  <c r="AA478" i="16"/>
  <c r="V478" i="16"/>
  <c r="U478" i="16"/>
  <c r="AB478" i="16"/>
  <c r="Y479" i="16"/>
  <c r="R479" i="16"/>
  <c r="Q479" i="16"/>
  <c r="Z479" i="16"/>
  <c r="T479" i="16"/>
  <c r="S479" i="16"/>
  <c r="AA479" i="16"/>
  <c r="V479" i="16"/>
  <c r="U479" i="16"/>
  <c r="AB479" i="16"/>
  <c r="Y480" i="16"/>
  <c r="R480" i="16"/>
  <c r="Q480" i="16"/>
  <c r="Z480" i="16"/>
  <c r="T480" i="16"/>
  <c r="S480" i="16"/>
  <c r="AA480" i="16"/>
  <c r="V480" i="16"/>
  <c r="U480" i="16"/>
  <c r="AB480" i="16"/>
  <c r="Y481" i="16"/>
  <c r="R481" i="16"/>
  <c r="Q481" i="16"/>
  <c r="Z481" i="16"/>
  <c r="T481" i="16"/>
  <c r="S481" i="16"/>
  <c r="AA481" i="16"/>
  <c r="V481" i="16"/>
  <c r="U481" i="16"/>
  <c r="AB481" i="16"/>
  <c r="Y482" i="16"/>
  <c r="R482" i="16"/>
  <c r="Q482" i="16"/>
  <c r="Z482" i="16"/>
  <c r="T482" i="16"/>
  <c r="S482" i="16"/>
  <c r="AA482" i="16"/>
  <c r="V482" i="16"/>
  <c r="U482" i="16"/>
  <c r="AB482" i="16"/>
  <c r="Y483" i="16"/>
  <c r="R483" i="16"/>
  <c r="Q483" i="16"/>
  <c r="Z483" i="16"/>
  <c r="T483" i="16"/>
  <c r="S483" i="16"/>
  <c r="AA483" i="16"/>
  <c r="V483" i="16"/>
  <c r="U483" i="16"/>
  <c r="AB483" i="16"/>
  <c r="Y484" i="16"/>
  <c r="R484" i="16"/>
  <c r="Q484" i="16"/>
  <c r="Z484" i="16"/>
  <c r="T484" i="16"/>
  <c r="S484" i="16"/>
  <c r="AA484" i="16"/>
  <c r="V484" i="16"/>
  <c r="U484" i="16"/>
  <c r="AB484" i="16"/>
  <c r="Y485" i="16"/>
  <c r="R485" i="16"/>
  <c r="Q485" i="16"/>
  <c r="Z485" i="16"/>
  <c r="T485" i="16"/>
  <c r="S485" i="16"/>
  <c r="AA485" i="16"/>
  <c r="V485" i="16"/>
  <c r="U485" i="16"/>
  <c r="AB485" i="16"/>
  <c r="Y486" i="16"/>
  <c r="R486" i="16"/>
  <c r="Q486" i="16"/>
  <c r="Z486" i="16"/>
  <c r="T486" i="16"/>
  <c r="S486" i="16"/>
  <c r="AA486" i="16"/>
  <c r="V486" i="16"/>
  <c r="U486" i="16"/>
  <c r="AB486" i="16"/>
  <c r="Y487" i="16"/>
  <c r="R487" i="16"/>
  <c r="Q487" i="16"/>
  <c r="Z487" i="16"/>
  <c r="T487" i="16"/>
  <c r="S487" i="16"/>
  <c r="AA487" i="16"/>
  <c r="V487" i="16"/>
  <c r="U487" i="16"/>
  <c r="AB487" i="16"/>
  <c r="Y488" i="16"/>
  <c r="R488" i="16"/>
  <c r="Q488" i="16"/>
  <c r="Z488" i="16"/>
  <c r="T488" i="16"/>
  <c r="S488" i="16"/>
  <c r="AA488" i="16"/>
  <c r="V488" i="16"/>
  <c r="U488" i="16"/>
  <c r="AB488" i="16"/>
  <c r="Y489" i="16"/>
  <c r="R489" i="16"/>
  <c r="Q489" i="16"/>
  <c r="Z489" i="16"/>
  <c r="T489" i="16"/>
  <c r="S489" i="16"/>
  <c r="AA489" i="16"/>
  <c r="V489" i="16"/>
  <c r="U489" i="16"/>
  <c r="AB489" i="16"/>
  <c r="Y490" i="16"/>
  <c r="R490" i="16"/>
  <c r="Q490" i="16"/>
  <c r="Z490" i="16"/>
  <c r="T490" i="16"/>
  <c r="S490" i="16"/>
  <c r="AA490" i="16"/>
  <c r="V490" i="16"/>
  <c r="U490" i="16"/>
  <c r="AB490" i="16"/>
  <c r="Y491" i="16"/>
  <c r="R491" i="16"/>
  <c r="Q491" i="16"/>
  <c r="Z491" i="16"/>
  <c r="T491" i="16"/>
  <c r="S491" i="16"/>
  <c r="AA491" i="16"/>
  <c r="V491" i="16"/>
  <c r="U491" i="16"/>
  <c r="AB491" i="16"/>
  <c r="Y492" i="16"/>
  <c r="R492" i="16"/>
  <c r="Q492" i="16"/>
  <c r="Z492" i="16"/>
  <c r="T492" i="16"/>
  <c r="S492" i="16"/>
  <c r="AA492" i="16"/>
  <c r="V492" i="16"/>
  <c r="U492" i="16"/>
  <c r="AB492" i="16"/>
  <c r="Y493" i="16"/>
  <c r="R493" i="16"/>
  <c r="Q493" i="16"/>
  <c r="Z493" i="16"/>
  <c r="T493" i="16"/>
  <c r="S493" i="16"/>
  <c r="AA493" i="16"/>
  <c r="V493" i="16"/>
  <c r="U493" i="16"/>
  <c r="AB493" i="16"/>
  <c r="Y494" i="16"/>
  <c r="R494" i="16"/>
  <c r="Q494" i="16"/>
  <c r="Z494" i="16"/>
  <c r="T494" i="16"/>
  <c r="S494" i="16"/>
  <c r="AA494" i="16"/>
  <c r="V494" i="16"/>
  <c r="U494" i="16"/>
  <c r="AB494" i="16"/>
  <c r="Y495" i="16"/>
  <c r="R495" i="16"/>
  <c r="Q495" i="16"/>
  <c r="Z495" i="16"/>
  <c r="T495" i="16"/>
  <c r="S495" i="16"/>
  <c r="AA495" i="16"/>
  <c r="V495" i="16"/>
  <c r="U495" i="16"/>
  <c r="AB495" i="16"/>
  <c r="Y496" i="16"/>
  <c r="R496" i="16"/>
  <c r="Q496" i="16"/>
  <c r="Z496" i="16"/>
  <c r="T496" i="16"/>
  <c r="S496" i="16"/>
  <c r="AA496" i="16"/>
  <c r="V496" i="16"/>
  <c r="U496" i="16"/>
  <c r="AB496" i="16"/>
  <c r="Y497" i="16"/>
  <c r="R497" i="16"/>
  <c r="Q497" i="16"/>
  <c r="Z497" i="16"/>
  <c r="T497" i="16"/>
  <c r="S497" i="16"/>
  <c r="AA497" i="16"/>
  <c r="V497" i="16"/>
  <c r="U497" i="16"/>
  <c r="AB497" i="16"/>
  <c r="Y498" i="16"/>
  <c r="R498" i="16"/>
  <c r="Q498" i="16"/>
  <c r="Z498" i="16"/>
  <c r="T498" i="16"/>
  <c r="S498" i="16"/>
  <c r="AA498" i="16"/>
  <c r="V498" i="16"/>
  <c r="U498" i="16"/>
  <c r="AB498" i="16"/>
  <c r="Y499" i="16"/>
  <c r="R499" i="16"/>
  <c r="Q499" i="16"/>
  <c r="Z499" i="16"/>
  <c r="T499" i="16"/>
  <c r="S499" i="16"/>
  <c r="AA499" i="16"/>
  <c r="V499" i="16"/>
  <c r="U499" i="16"/>
  <c r="AB499" i="16"/>
  <c r="Y500" i="16"/>
  <c r="R500" i="16"/>
  <c r="Q500" i="16"/>
  <c r="Z500" i="16"/>
  <c r="T500" i="16"/>
  <c r="S500" i="16"/>
  <c r="AA500" i="16"/>
  <c r="V500" i="16"/>
  <c r="U500" i="16"/>
  <c r="AB500" i="16"/>
  <c r="Y501" i="16"/>
  <c r="R501" i="16"/>
  <c r="Q501" i="16"/>
  <c r="Z501" i="16"/>
  <c r="T501" i="16"/>
  <c r="S501" i="16"/>
  <c r="AA501" i="16"/>
  <c r="V501" i="16"/>
  <c r="U501" i="16"/>
  <c r="AB501" i="16"/>
  <c r="Y502" i="16"/>
  <c r="R502" i="16"/>
  <c r="Q502" i="16"/>
  <c r="Z502" i="16"/>
  <c r="T502" i="16"/>
  <c r="S502" i="16"/>
  <c r="AA502" i="16"/>
  <c r="V502" i="16"/>
  <c r="U502" i="16"/>
  <c r="AB502" i="16"/>
  <c r="Y503" i="16"/>
  <c r="R503" i="16"/>
  <c r="Q503" i="16"/>
  <c r="Z503" i="16"/>
  <c r="T503" i="16"/>
  <c r="S503" i="16"/>
  <c r="AA503" i="16"/>
  <c r="V503" i="16"/>
  <c r="U503" i="16"/>
  <c r="AB503" i="16"/>
  <c r="Y504" i="16"/>
  <c r="R504" i="16"/>
  <c r="Q504" i="16"/>
  <c r="Z504" i="16"/>
  <c r="T504" i="16"/>
  <c r="S504" i="16"/>
  <c r="AA504" i="16"/>
  <c r="V504" i="16"/>
  <c r="U504" i="16"/>
  <c r="AB504" i="16"/>
  <c r="Y505" i="16"/>
  <c r="R505" i="16"/>
  <c r="Q505" i="16"/>
  <c r="Z505" i="16"/>
  <c r="T505" i="16"/>
  <c r="S505" i="16"/>
  <c r="AA505" i="16"/>
  <c r="V505" i="16"/>
  <c r="U505" i="16"/>
  <c r="AB505" i="16"/>
  <c r="Y506" i="16"/>
  <c r="R506" i="16"/>
  <c r="Q506" i="16"/>
  <c r="Z506" i="16"/>
  <c r="T506" i="16"/>
  <c r="S506" i="16"/>
  <c r="AA506" i="16"/>
  <c r="V506" i="16"/>
  <c r="U506" i="16"/>
  <c r="AB506" i="16"/>
  <c r="Y507" i="16"/>
  <c r="R507" i="16"/>
  <c r="Q507" i="16"/>
  <c r="Z507" i="16"/>
  <c r="T507" i="16"/>
  <c r="S507" i="16"/>
  <c r="AA507" i="16"/>
  <c r="V507" i="16"/>
  <c r="U507" i="16"/>
  <c r="AB507" i="16"/>
  <c r="Y508" i="16"/>
  <c r="R508" i="16"/>
  <c r="Q508" i="16"/>
  <c r="Z508" i="16"/>
  <c r="T508" i="16"/>
  <c r="S508" i="16"/>
  <c r="AA508" i="16"/>
  <c r="V508" i="16"/>
  <c r="U508" i="16"/>
  <c r="AB508" i="16"/>
  <c r="Y509" i="16"/>
  <c r="R509" i="16"/>
  <c r="Q509" i="16"/>
  <c r="Z509" i="16"/>
  <c r="T509" i="16"/>
  <c r="S509" i="16"/>
  <c r="AA509" i="16"/>
  <c r="V509" i="16"/>
  <c r="U509" i="16"/>
  <c r="AB509" i="16"/>
  <c r="Y510" i="16"/>
  <c r="R510" i="16"/>
  <c r="Q510" i="16"/>
  <c r="Z510" i="16"/>
  <c r="T510" i="16"/>
  <c r="S510" i="16"/>
  <c r="AA510" i="16"/>
  <c r="V510" i="16"/>
  <c r="U510" i="16"/>
  <c r="AB510" i="16"/>
  <c r="Y511" i="16"/>
  <c r="R511" i="16"/>
  <c r="Q511" i="16"/>
  <c r="Z511" i="16"/>
  <c r="T511" i="16"/>
  <c r="S511" i="16"/>
  <c r="AA511" i="16"/>
  <c r="V511" i="16"/>
  <c r="U511" i="16"/>
  <c r="AB511" i="16"/>
  <c r="Y512" i="16"/>
  <c r="R512" i="16"/>
  <c r="Q512" i="16"/>
  <c r="Z512" i="16"/>
  <c r="T512" i="16"/>
  <c r="S512" i="16"/>
  <c r="AA512" i="16"/>
  <c r="V512" i="16"/>
  <c r="U512" i="16"/>
  <c r="AB512" i="16"/>
  <c r="Y513" i="16"/>
  <c r="R513" i="16"/>
  <c r="Q513" i="16"/>
  <c r="Z513" i="16"/>
  <c r="T513" i="16"/>
  <c r="S513" i="16"/>
  <c r="AA513" i="16"/>
  <c r="V513" i="16"/>
  <c r="U513" i="16"/>
  <c r="AB513" i="16"/>
  <c r="Y514" i="16"/>
  <c r="R514" i="16"/>
  <c r="Q514" i="16"/>
  <c r="Z514" i="16"/>
  <c r="T514" i="16"/>
  <c r="S514" i="16"/>
  <c r="AA514" i="16"/>
  <c r="V514" i="16"/>
  <c r="U514" i="16"/>
  <c r="AB514" i="16"/>
  <c r="Y515" i="16"/>
  <c r="R515" i="16"/>
  <c r="Q515" i="16"/>
  <c r="Z515" i="16"/>
  <c r="T515" i="16"/>
  <c r="S515" i="16"/>
  <c r="AA515" i="16"/>
  <c r="V515" i="16"/>
  <c r="U515" i="16"/>
  <c r="AB515" i="16"/>
  <c r="Y516" i="16"/>
  <c r="R516" i="16"/>
  <c r="Q516" i="16"/>
  <c r="Z516" i="16"/>
  <c r="T516" i="16"/>
  <c r="S516" i="16"/>
  <c r="AA516" i="16"/>
  <c r="V516" i="16"/>
  <c r="U516" i="16"/>
  <c r="AB516" i="16"/>
  <c r="Y517" i="16"/>
  <c r="R517" i="16"/>
  <c r="Q517" i="16"/>
  <c r="Z517" i="16"/>
  <c r="T517" i="16"/>
  <c r="S517" i="16"/>
  <c r="AA517" i="16"/>
  <c r="V517" i="16"/>
  <c r="U517" i="16"/>
  <c r="AB517" i="16"/>
  <c r="Y518" i="16"/>
  <c r="R518" i="16"/>
  <c r="Q518" i="16"/>
  <c r="Z518" i="16"/>
  <c r="T518" i="16"/>
  <c r="S518" i="16"/>
  <c r="AA518" i="16"/>
  <c r="V518" i="16"/>
  <c r="U518" i="16"/>
  <c r="AB518" i="16"/>
  <c r="Y519" i="16"/>
  <c r="R519" i="16"/>
  <c r="Q519" i="16"/>
  <c r="Z519" i="16"/>
  <c r="T519" i="16"/>
  <c r="S519" i="16"/>
  <c r="AA519" i="16"/>
  <c r="V519" i="16"/>
  <c r="U519" i="16"/>
  <c r="AB519" i="16"/>
  <c r="Y520" i="16"/>
  <c r="R520" i="16"/>
  <c r="Q520" i="16"/>
  <c r="Z520" i="16"/>
  <c r="T520" i="16"/>
  <c r="S520" i="16"/>
  <c r="AA520" i="16"/>
  <c r="V520" i="16"/>
  <c r="U520" i="16"/>
  <c r="AB520" i="16"/>
  <c r="Y521" i="16"/>
  <c r="R521" i="16"/>
  <c r="Q521" i="16"/>
  <c r="Z521" i="16"/>
  <c r="T521" i="16"/>
  <c r="S521" i="16"/>
  <c r="AA521" i="16"/>
  <c r="V521" i="16"/>
  <c r="U521" i="16"/>
  <c r="AB521" i="16"/>
  <c r="Y522" i="16"/>
  <c r="R522" i="16"/>
  <c r="Q522" i="16"/>
  <c r="Z522" i="16"/>
  <c r="T522" i="16"/>
  <c r="S522" i="16"/>
  <c r="AA522" i="16"/>
  <c r="V522" i="16"/>
  <c r="U522" i="16"/>
  <c r="AB522" i="16"/>
  <c r="Y523" i="16"/>
  <c r="R523" i="16"/>
  <c r="Q523" i="16"/>
  <c r="Z523" i="16"/>
  <c r="T523" i="16"/>
  <c r="S523" i="16"/>
  <c r="AA523" i="16"/>
  <c r="V523" i="16"/>
  <c r="U523" i="16"/>
  <c r="AB523" i="16"/>
  <c r="Y524" i="16"/>
  <c r="R524" i="16"/>
  <c r="Q524" i="16"/>
  <c r="Z524" i="16"/>
  <c r="T524" i="16"/>
  <c r="S524" i="16"/>
  <c r="AA524" i="16"/>
  <c r="V524" i="16"/>
  <c r="U524" i="16"/>
  <c r="AB524" i="16"/>
  <c r="Y525" i="16"/>
  <c r="R525" i="16"/>
  <c r="Q525" i="16"/>
  <c r="Z525" i="16"/>
  <c r="T525" i="16"/>
  <c r="S525" i="16"/>
  <c r="AA525" i="16"/>
  <c r="V525" i="16"/>
  <c r="U525" i="16"/>
  <c r="AB525" i="16"/>
  <c r="Y526" i="16"/>
  <c r="R526" i="16"/>
  <c r="Q526" i="16"/>
  <c r="Z526" i="16"/>
  <c r="T526" i="16"/>
  <c r="S526" i="16"/>
  <c r="AA526" i="16"/>
  <c r="V526" i="16"/>
  <c r="U526" i="16"/>
  <c r="AB526" i="16"/>
  <c r="Y527" i="16"/>
  <c r="R527" i="16"/>
  <c r="Q527" i="16"/>
  <c r="Z527" i="16"/>
  <c r="T527" i="16"/>
  <c r="S527" i="16"/>
  <c r="AA527" i="16"/>
  <c r="V527" i="16"/>
  <c r="U527" i="16"/>
  <c r="AB527" i="16"/>
  <c r="Y528" i="16"/>
  <c r="R528" i="16"/>
  <c r="Q528" i="16"/>
  <c r="Z528" i="16"/>
  <c r="T528" i="16"/>
  <c r="S528" i="16"/>
  <c r="AA528" i="16"/>
  <c r="V528" i="16"/>
  <c r="U528" i="16"/>
  <c r="AB528" i="16"/>
  <c r="E235" i="24"/>
  <c r="D235" i="24"/>
  <c r="C235" i="24"/>
  <c r="Y324" i="16"/>
  <c r="Y325" i="16"/>
  <c r="Y326" i="16"/>
  <c r="Y327" i="16"/>
  <c r="R324" i="16"/>
  <c r="Q324" i="16"/>
  <c r="Z324" i="16"/>
  <c r="T324" i="16"/>
  <c r="S324" i="16"/>
  <c r="AA324" i="16"/>
  <c r="V324" i="16"/>
  <c r="U324" i="16"/>
  <c r="AB324" i="16"/>
  <c r="R325" i="16"/>
  <c r="Q325" i="16"/>
  <c r="Z325" i="16"/>
  <c r="T325" i="16"/>
  <c r="S325" i="16"/>
  <c r="AA325" i="16"/>
  <c r="V325" i="16"/>
  <c r="U325" i="16"/>
  <c r="AB325" i="16"/>
  <c r="R326" i="16"/>
  <c r="Q326" i="16"/>
  <c r="Z326" i="16"/>
  <c r="T326" i="16"/>
  <c r="S326" i="16"/>
  <c r="AA326" i="16"/>
  <c r="V326" i="16"/>
  <c r="U326" i="16"/>
  <c r="AB326" i="16"/>
  <c r="R327" i="16"/>
  <c r="Q327" i="16"/>
  <c r="Z327" i="16"/>
  <c r="T327" i="16"/>
  <c r="S327" i="16"/>
  <c r="AA327" i="16"/>
  <c r="V327" i="16"/>
  <c r="U327" i="16"/>
  <c r="AB327" i="16"/>
  <c r="Y328" i="16"/>
  <c r="R328" i="16"/>
  <c r="Q328" i="16"/>
  <c r="Z328" i="16"/>
  <c r="T328" i="16"/>
  <c r="S328" i="16"/>
  <c r="AA328" i="16"/>
  <c r="V328" i="16"/>
  <c r="U328" i="16"/>
  <c r="AB328" i="16"/>
  <c r="Y329" i="16"/>
  <c r="R329" i="16"/>
  <c r="Q329" i="16"/>
  <c r="Z329" i="16"/>
  <c r="T329" i="16"/>
  <c r="S329" i="16"/>
  <c r="AA329" i="16"/>
  <c r="V329" i="16"/>
  <c r="U329" i="16"/>
  <c r="AB329" i="16"/>
  <c r="Y330" i="16"/>
  <c r="R330" i="16"/>
  <c r="Q330" i="16"/>
  <c r="Z330" i="16"/>
  <c r="T330" i="16"/>
  <c r="S330" i="16"/>
  <c r="AA330" i="16"/>
  <c r="V330" i="16"/>
  <c r="U330" i="16"/>
  <c r="AB330" i="16"/>
  <c r="Y331" i="16"/>
  <c r="R331" i="16"/>
  <c r="Q331" i="16"/>
  <c r="Z331" i="16"/>
  <c r="T331" i="16"/>
  <c r="S331" i="16"/>
  <c r="AA331" i="16"/>
  <c r="V331" i="16"/>
  <c r="U331" i="16"/>
  <c r="AB331" i="16"/>
  <c r="Y332" i="16"/>
  <c r="R332" i="16"/>
  <c r="Q332" i="16"/>
  <c r="Z332" i="16"/>
  <c r="T332" i="16"/>
  <c r="S332" i="16"/>
  <c r="AA332" i="16"/>
  <c r="V332" i="16"/>
  <c r="U332" i="16"/>
  <c r="AB332" i="16"/>
  <c r="Y333" i="16"/>
  <c r="R333" i="16"/>
  <c r="Q333" i="16"/>
  <c r="Z333" i="16"/>
  <c r="T333" i="16"/>
  <c r="S333" i="16"/>
  <c r="AA333" i="16"/>
  <c r="V333" i="16"/>
  <c r="U333" i="16"/>
  <c r="AB333" i="16"/>
  <c r="Y334" i="16"/>
  <c r="R334" i="16"/>
  <c r="Q334" i="16"/>
  <c r="Z334" i="16"/>
  <c r="T334" i="16"/>
  <c r="S334" i="16"/>
  <c r="AA334" i="16"/>
  <c r="V334" i="16"/>
  <c r="U334" i="16"/>
  <c r="AB334" i="16"/>
  <c r="Y335" i="16"/>
  <c r="R335" i="16"/>
  <c r="Q335" i="16"/>
  <c r="Z335" i="16"/>
  <c r="T335" i="16"/>
  <c r="S335" i="16"/>
  <c r="AA335" i="16"/>
  <c r="V335" i="16"/>
  <c r="U335" i="16"/>
  <c r="AB335" i="16"/>
  <c r="Y336" i="16"/>
  <c r="R336" i="16"/>
  <c r="Q336" i="16"/>
  <c r="Z336" i="16"/>
  <c r="T336" i="16"/>
  <c r="S336" i="16"/>
  <c r="AA336" i="16"/>
  <c r="V336" i="16"/>
  <c r="U336" i="16"/>
  <c r="AB336" i="16"/>
  <c r="Y337" i="16"/>
  <c r="R337" i="16"/>
  <c r="Q337" i="16"/>
  <c r="Z337" i="16"/>
  <c r="T337" i="16"/>
  <c r="S337" i="16"/>
  <c r="AA337" i="16"/>
  <c r="V337" i="16"/>
  <c r="U337" i="16"/>
  <c r="AB337" i="16"/>
  <c r="Y338" i="16"/>
  <c r="R338" i="16"/>
  <c r="Q338" i="16"/>
  <c r="Z338" i="16"/>
  <c r="T338" i="16"/>
  <c r="S338" i="16"/>
  <c r="AA338" i="16"/>
  <c r="V338" i="16"/>
  <c r="U338" i="16"/>
  <c r="AB338" i="16"/>
  <c r="Y339" i="16"/>
  <c r="R339" i="16"/>
  <c r="Q339" i="16"/>
  <c r="Z339" i="16"/>
  <c r="T339" i="16"/>
  <c r="S339" i="16"/>
  <c r="AA339" i="16"/>
  <c r="V339" i="16"/>
  <c r="U339" i="16"/>
  <c r="AB339" i="16"/>
  <c r="Y340" i="16"/>
  <c r="R340" i="16"/>
  <c r="Q340" i="16"/>
  <c r="Z340" i="16"/>
  <c r="T340" i="16"/>
  <c r="S340" i="16"/>
  <c r="AA340" i="16"/>
  <c r="V340" i="16"/>
  <c r="U340" i="16"/>
  <c r="AB340" i="16"/>
  <c r="Y341" i="16"/>
  <c r="R341" i="16"/>
  <c r="Q341" i="16"/>
  <c r="Z341" i="16"/>
  <c r="T341" i="16"/>
  <c r="S341" i="16"/>
  <c r="AA341" i="16"/>
  <c r="V341" i="16"/>
  <c r="U341" i="16"/>
  <c r="AB341" i="16"/>
  <c r="Y342" i="16"/>
  <c r="R342" i="16"/>
  <c r="Q342" i="16"/>
  <c r="Z342" i="16"/>
  <c r="T342" i="16"/>
  <c r="S342" i="16"/>
  <c r="AA342" i="16"/>
  <c r="V342" i="16"/>
  <c r="U342" i="16"/>
  <c r="AB342" i="16"/>
  <c r="Y343" i="16"/>
  <c r="R343" i="16"/>
  <c r="Q343" i="16"/>
  <c r="Z343" i="16"/>
  <c r="T343" i="16"/>
  <c r="S343" i="16"/>
  <c r="AA343" i="16"/>
  <c r="V343" i="16"/>
  <c r="U343" i="16"/>
  <c r="AB343" i="16"/>
  <c r="Y344" i="16"/>
  <c r="R344" i="16"/>
  <c r="Q344" i="16"/>
  <c r="Z344" i="16"/>
  <c r="T344" i="16"/>
  <c r="S344" i="16"/>
  <c r="AA344" i="16"/>
  <c r="V344" i="16"/>
  <c r="U344" i="16"/>
  <c r="AB344" i="16"/>
  <c r="Y345" i="16"/>
  <c r="R345" i="16"/>
  <c r="Q345" i="16"/>
  <c r="Z345" i="16"/>
  <c r="T345" i="16"/>
  <c r="S345" i="16"/>
  <c r="AA345" i="16"/>
  <c r="V345" i="16"/>
  <c r="U345" i="16"/>
  <c r="AB345" i="16"/>
  <c r="Y346" i="16"/>
  <c r="R346" i="16"/>
  <c r="Q346" i="16"/>
  <c r="Z346" i="16"/>
  <c r="T346" i="16"/>
  <c r="S346" i="16"/>
  <c r="AA346" i="16"/>
  <c r="V346" i="16"/>
  <c r="U346" i="16"/>
  <c r="AB346" i="16"/>
  <c r="Y347" i="16"/>
  <c r="R347" i="16"/>
  <c r="Q347" i="16"/>
  <c r="Z347" i="16"/>
  <c r="T347" i="16"/>
  <c r="S347" i="16"/>
  <c r="AA347" i="16"/>
  <c r="V347" i="16"/>
  <c r="U347" i="16"/>
  <c r="AB347" i="16"/>
  <c r="Y348" i="16"/>
  <c r="R348" i="16"/>
  <c r="Q348" i="16"/>
  <c r="Z348" i="16"/>
  <c r="T348" i="16"/>
  <c r="S348" i="16"/>
  <c r="AA348" i="16"/>
  <c r="V348" i="16"/>
  <c r="U348" i="16"/>
  <c r="AB348" i="16"/>
  <c r="Y349" i="16"/>
  <c r="R349" i="16"/>
  <c r="Q349" i="16"/>
  <c r="Z349" i="16"/>
  <c r="T349" i="16"/>
  <c r="S349" i="16"/>
  <c r="AA349" i="16"/>
  <c r="V349" i="16"/>
  <c r="U349" i="16"/>
  <c r="AB349" i="16"/>
  <c r="Y350" i="16"/>
  <c r="R350" i="16"/>
  <c r="Q350" i="16"/>
  <c r="Z350" i="16"/>
  <c r="T350" i="16"/>
  <c r="S350" i="16"/>
  <c r="AA350" i="16"/>
  <c r="V350" i="16"/>
  <c r="U350" i="16"/>
  <c r="AB350" i="16"/>
  <c r="Y351" i="16"/>
  <c r="R351" i="16"/>
  <c r="Q351" i="16"/>
  <c r="Z351" i="16"/>
  <c r="T351" i="16"/>
  <c r="S351" i="16"/>
  <c r="AA351" i="16"/>
  <c r="V351" i="16"/>
  <c r="U351" i="16"/>
  <c r="AB351" i="16"/>
  <c r="Y352" i="16"/>
  <c r="R352" i="16"/>
  <c r="Q352" i="16"/>
  <c r="Z352" i="16"/>
  <c r="T352" i="16"/>
  <c r="S352" i="16"/>
  <c r="AA352" i="16"/>
  <c r="V352" i="16"/>
  <c r="U352" i="16"/>
  <c r="AB352" i="16"/>
  <c r="Y353" i="16"/>
  <c r="R353" i="16"/>
  <c r="Q353" i="16"/>
  <c r="Z353" i="16"/>
  <c r="T353" i="16"/>
  <c r="S353" i="16"/>
  <c r="AA353" i="16"/>
  <c r="V353" i="16"/>
  <c r="U353" i="16"/>
  <c r="AB353" i="16"/>
  <c r="Y354" i="16"/>
  <c r="R354" i="16"/>
  <c r="Q354" i="16"/>
  <c r="Z354" i="16"/>
  <c r="T354" i="16"/>
  <c r="S354" i="16"/>
  <c r="AA354" i="16"/>
  <c r="V354" i="16"/>
  <c r="U354" i="16"/>
  <c r="AB354" i="16"/>
  <c r="Y355" i="16"/>
  <c r="R355" i="16"/>
  <c r="Q355" i="16"/>
  <c r="Z355" i="16"/>
  <c r="T355" i="16"/>
  <c r="S355" i="16"/>
  <c r="AA355" i="16"/>
  <c r="V355" i="16"/>
  <c r="U355" i="16"/>
  <c r="AB355" i="16"/>
  <c r="Y356" i="16"/>
  <c r="R356" i="16"/>
  <c r="Q356" i="16"/>
  <c r="Z356" i="16"/>
  <c r="T356" i="16"/>
  <c r="S356" i="16"/>
  <c r="AA356" i="16"/>
  <c r="V356" i="16"/>
  <c r="U356" i="16"/>
  <c r="AB356" i="16"/>
  <c r="Y357" i="16"/>
  <c r="R357" i="16"/>
  <c r="Q357" i="16"/>
  <c r="Z357" i="16"/>
  <c r="T357" i="16"/>
  <c r="S357" i="16"/>
  <c r="AA357" i="16"/>
  <c r="V357" i="16"/>
  <c r="U357" i="16"/>
  <c r="AB357" i="16"/>
  <c r="Y358" i="16"/>
  <c r="R358" i="16"/>
  <c r="Q358" i="16"/>
  <c r="Z358" i="16"/>
  <c r="T358" i="16"/>
  <c r="S358" i="16"/>
  <c r="AA358" i="16"/>
  <c r="V358" i="16"/>
  <c r="U358" i="16"/>
  <c r="AB358" i="16"/>
  <c r="Y359" i="16"/>
  <c r="R359" i="16"/>
  <c r="Q359" i="16"/>
  <c r="Z359" i="16"/>
  <c r="T359" i="16"/>
  <c r="S359" i="16"/>
  <c r="AA359" i="16"/>
  <c r="V359" i="16"/>
  <c r="U359" i="16"/>
  <c r="AB359" i="16"/>
  <c r="Y360" i="16"/>
  <c r="R360" i="16"/>
  <c r="Q360" i="16"/>
  <c r="Z360" i="16"/>
  <c r="T360" i="16"/>
  <c r="S360" i="16"/>
  <c r="AA360" i="16"/>
  <c r="V360" i="16"/>
  <c r="U360" i="16"/>
  <c r="AB360" i="16"/>
  <c r="Y361" i="16"/>
  <c r="R361" i="16"/>
  <c r="Q361" i="16"/>
  <c r="Z361" i="16"/>
  <c r="T361" i="16"/>
  <c r="S361" i="16"/>
  <c r="AA361" i="16"/>
  <c r="V361" i="16"/>
  <c r="U361" i="16"/>
  <c r="AB361" i="16"/>
  <c r="Y362" i="16"/>
  <c r="R362" i="16"/>
  <c r="Q362" i="16"/>
  <c r="Z362" i="16"/>
  <c r="T362" i="16"/>
  <c r="S362" i="16"/>
  <c r="AA362" i="16"/>
  <c r="V362" i="16"/>
  <c r="U362" i="16"/>
  <c r="AB362" i="16"/>
  <c r="Y363" i="16"/>
  <c r="R363" i="16"/>
  <c r="Q363" i="16"/>
  <c r="Z363" i="16"/>
  <c r="T363" i="16"/>
  <c r="S363" i="16"/>
  <c r="AA363" i="16"/>
  <c r="V363" i="16"/>
  <c r="U363" i="16"/>
  <c r="AB363" i="16"/>
  <c r="Y364" i="16"/>
  <c r="R364" i="16"/>
  <c r="Q364" i="16"/>
  <c r="Z364" i="16"/>
  <c r="T364" i="16"/>
  <c r="S364" i="16"/>
  <c r="AA364" i="16"/>
  <c r="V364" i="16"/>
  <c r="U364" i="16"/>
  <c r="AB364" i="16"/>
  <c r="Y365" i="16"/>
  <c r="R365" i="16"/>
  <c r="Q365" i="16"/>
  <c r="Z365" i="16"/>
  <c r="T365" i="16"/>
  <c r="S365" i="16"/>
  <c r="AA365" i="16"/>
  <c r="V365" i="16"/>
  <c r="U365" i="16"/>
  <c r="AB365" i="16"/>
  <c r="Y366" i="16"/>
  <c r="R366" i="16"/>
  <c r="Q366" i="16"/>
  <c r="Z366" i="16"/>
  <c r="T366" i="16"/>
  <c r="S366" i="16"/>
  <c r="AA366" i="16"/>
  <c r="V366" i="16"/>
  <c r="U366" i="16"/>
  <c r="AB366" i="16"/>
  <c r="Y367" i="16"/>
  <c r="R367" i="16"/>
  <c r="Q367" i="16"/>
  <c r="Z367" i="16"/>
  <c r="T367" i="16"/>
  <c r="S367" i="16"/>
  <c r="AA367" i="16"/>
  <c r="V367" i="16"/>
  <c r="U367" i="16"/>
  <c r="AB367" i="16"/>
  <c r="Y368" i="16"/>
  <c r="R368" i="16"/>
  <c r="Q368" i="16"/>
  <c r="Z368" i="16"/>
  <c r="T368" i="16"/>
  <c r="S368" i="16"/>
  <c r="AA368" i="16"/>
  <c r="V368" i="16"/>
  <c r="U368" i="16"/>
  <c r="AB368" i="16"/>
  <c r="Y369" i="16"/>
  <c r="R369" i="16"/>
  <c r="Q369" i="16"/>
  <c r="Z369" i="16"/>
  <c r="T369" i="16"/>
  <c r="S369" i="16"/>
  <c r="AA369" i="16"/>
  <c r="V369" i="16"/>
  <c r="U369" i="16"/>
  <c r="AB369" i="16"/>
  <c r="Y370" i="16"/>
  <c r="R370" i="16"/>
  <c r="Q370" i="16"/>
  <c r="Z370" i="16"/>
  <c r="T370" i="16"/>
  <c r="S370" i="16"/>
  <c r="AA370" i="16"/>
  <c r="V370" i="16"/>
  <c r="U370" i="16"/>
  <c r="AB370" i="16"/>
  <c r="Y371" i="16"/>
  <c r="R371" i="16"/>
  <c r="Q371" i="16"/>
  <c r="Z371" i="16"/>
  <c r="T371" i="16"/>
  <c r="S371" i="16"/>
  <c r="AA371" i="16"/>
  <c r="V371" i="16"/>
  <c r="U371" i="16"/>
  <c r="AB371" i="16"/>
  <c r="Y372" i="16"/>
  <c r="R372" i="16"/>
  <c r="Q372" i="16"/>
  <c r="Z372" i="16"/>
  <c r="T372" i="16"/>
  <c r="S372" i="16"/>
  <c r="AA372" i="16"/>
  <c r="V372" i="16"/>
  <c r="U372" i="16"/>
  <c r="AB372" i="16"/>
  <c r="Y373" i="16"/>
  <c r="R373" i="16"/>
  <c r="Q373" i="16"/>
  <c r="Z373" i="16"/>
  <c r="T373" i="16"/>
  <c r="S373" i="16"/>
  <c r="AA373" i="16"/>
  <c r="V373" i="16"/>
  <c r="U373" i="16"/>
  <c r="AB373" i="16"/>
  <c r="Y374" i="16"/>
  <c r="R374" i="16"/>
  <c r="Q374" i="16"/>
  <c r="Z374" i="16"/>
  <c r="T374" i="16"/>
  <c r="S374" i="16"/>
  <c r="AA374" i="16"/>
  <c r="V374" i="16"/>
  <c r="U374" i="16"/>
  <c r="AB374" i="16"/>
  <c r="Y375" i="16"/>
  <c r="R375" i="16"/>
  <c r="Q375" i="16"/>
  <c r="Z375" i="16"/>
  <c r="T375" i="16"/>
  <c r="S375" i="16"/>
  <c r="AA375" i="16"/>
  <c r="V375" i="16"/>
  <c r="U375" i="16"/>
  <c r="AB375" i="16"/>
  <c r="Y376" i="16"/>
  <c r="R376" i="16"/>
  <c r="Q376" i="16"/>
  <c r="Z376" i="16"/>
  <c r="T376" i="16"/>
  <c r="S376" i="16"/>
  <c r="AA376" i="16"/>
  <c r="V376" i="16"/>
  <c r="U376" i="16"/>
  <c r="AB376" i="16"/>
  <c r="Y377" i="16"/>
  <c r="R377" i="16"/>
  <c r="Q377" i="16"/>
  <c r="Z377" i="16"/>
  <c r="T377" i="16"/>
  <c r="S377" i="16"/>
  <c r="AA377" i="16"/>
  <c r="V377" i="16"/>
  <c r="U377" i="16"/>
  <c r="AB377" i="16"/>
  <c r="Y378" i="16"/>
  <c r="R378" i="16"/>
  <c r="Q378" i="16"/>
  <c r="Z378" i="16"/>
  <c r="T378" i="16"/>
  <c r="S378" i="16"/>
  <c r="AA378" i="16"/>
  <c r="V378" i="16"/>
  <c r="U378" i="16"/>
  <c r="AB378" i="16"/>
  <c r="Y379" i="16"/>
  <c r="R379" i="16"/>
  <c r="Q379" i="16"/>
  <c r="Z379" i="16"/>
  <c r="T379" i="16"/>
  <c r="S379" i="16"/>
  <c r="AA379" i="16"/>
  <c r="V379" i="16"/>
  <c r="U379" i="16"/>
  <c r="AB379" i="16"/>
  <c r="Y380" i="16"/>
  <c r="R380" i="16"/>
  <c r="Q380" i="16"/>
  <c r="Z380" i="16"/>
  <c r="T380" i="16"/>
  <c r="S380" i="16"/>
  <c r="AA380" i="16"/>
  <c r="V380" i="16"/>
  <c r="U380" i="16"/>
  <c r="AB380" i="16"/>
  <c r="Y381" i="16"/>
  <c r="R381" i="16"/>
  <c r="Q381" i="16"/>
  <c r="Z381" i="16"/>
  <c r="T381" i="16"/>
  <c r="S381" i="16"/>
  <c r="AA381" i="16"/>
  <c r="V381" i="16"/>
  <c r="U381" i="16"/>
  <c r="AB381" i="16"/>
  <c r="Y382" i="16"/>
  <c r="R382" i="16"/>
  <c r="Q382" i="16"/>
  <c r="Z382" i="16"/>
  <c r="T382" i="16"/>
  <c r="S382" i="16"/>
  <c r="AA382" i="16"/>
  <c r="V382" i="16"/>
  <c r="U382" i="16"/>
  <c r="AB382" i="16"/>
  <c r="Y383" i="16"/>
  <c r="R383" i="16"/>
  <c r="Q383" i="16"/>
  <c r="Z383" i="16"/>
  <c r="T383" i="16"/>
  <c r="S383" i="16"/>
  <c r="AA383" i="16"/>
  <c r="V383" i="16"/>
  <c r="U383" i="16"/>
  <c r="AB383" i="16"/>
  <c r="Y384" i="16"/>
  <c r="R384" i="16"/>
  <c r="Q384" i="16"/>
  <c r="Z384" i="16"/>
  <c r="T384" i="16"/>
  <c r="S384" i="16"/>
  <c r="AA384" i="16"/>
  <c r="V384" i="16"/>
  <c r="U384" i="16"/>
  <c r="AB384" i="16"/>
  <c r="Y385" i="16"/>
  <c r="R385" i="16"/>
  <c r="Q385" i="16"/>
  <c r="Z385" i="16"/>
  <c r="T385" i="16"/>
  <c r="S385" i="16"/>
  <c r="AA385" i="16"/>
  <c r="V385" i="16"/>
  <c r="U385" i="16"/>
  <c r="AB385" i="16"/>
  <c r="Y386" i="16"/>
  <c r="R386" i="16"/>
  <c r="Q386" i="16"/>
  <c r="Z386" i="16"/>
  <c r="T386" i="16"/>
  <c r="S386" i="16"/>
  <c r="AA386" i="16"/>
  <c r="V386" i="16"/>
  <c r="U386" i="16"/>
  <c r="AB386" i="16"/>
  <c r="Y387" i="16"/>
  <c r="R387" i="16"/>
  <c r="Q387" i="16"/>
  <c r="Z387" i="16"/>
  <c r="T387" i="16"/>
  <c r="S387" i="16"/>
  <c r="AA387" i="16"/>
  <c r="V387" i="16"/>
  <c r="U387" i="16"/>
  <c r="AB387" i="16"/>
  <c r="Y388" i="16"/>
  <c r="R388" i="16"/>
  <c r="Q388" i="16"/>
  <c r="Z388" i="16"/>
  <c r="T388" i="16"/>
  <c r="S388" i="16"/>
  <c r="AA388" i="16"/>
  <c r="V388" i="16"/>
  <c r="U388" i="16"/>
  <c r="AB388" i="16"/>
  <c r="Y389" i="16"/>
  <c r="R389" i="16"/>
  <c r="Q389" i="16"/>
  <c r="Z389" i="16"/>
  <c r="T389" i="16"/>
  <c r="S389" i="16"/>
  <c r="AA389" i="16"/>
  <c r="V389" i="16"/>
  <c r="U389" i="16"/>
  <c r="AB389" i="16"/>
  <c r="Y390" i="16"/>
  <c r="R390" i="16"/>
  <c r="Q390" i="16"/>
  <c r="Z390" i="16"/>
  <c r="T390" i="16"/>
  <c r="S390" i="16"/>
  <c r="AA390" i="16"/>
  <c r="V390" i="16"/>
  <c r="U390" i="16"/>
  <c r="AB390" i="16"/>
  <c r="Y391" i="16"/>
  <c r="R391" i="16"/>
  <c r="Q391" i="16"/>
  <c r="Z391" i="16"/>
  <c r="T391" i="16"/>
  <c r="S391" i="16"/>
  <c r="AA391" i="16"/>
  <c r="V391" i="16"/>
  <c r="U391" i="16"/>
  <c r="AB391" i="16"/>
  <c r="Y392" i="16"/>
  <c r="R392" i="16"/>
  <c r="Q392" i="16"/>
  <c r="Z392" i="16"/>
  <c r="T392" i="16"/>
  <c r="S392" i="16"/>
  <c r="AA392" i="16"/>
  <c r="V392" i="16"/>
  <c r="U392" i="16"/>
  <c r="AB392" i="16"/>
  <c r="Y393" i="16"/>
  <c r="R393" i="16"/>
  <c r="Q393" i="16"/>
  <c r="Z393" i="16"/>
  <c r="T393" i="16"/>
  <c r="S393" i="16"/>
  <c r="AA393" i="16"/>
  <c r="V393" i="16"/>
  <c r="U393" i="16"/>
  <c r="AB393" i="16"/>
  <c r="Y394" i="16"/>
  <c r="R394" i="16"/>
  <c r="Q394" i="16"/>
  <c r="Z394" i="16"/>
  <c r="T394" i="16"/>
  <c r="S394" i="16"/>
  <c r="AA394" i="16"/>
  <c r="V394" i="16"/>
  <c r="U394" i="16"/>
  <c r="AB394" i="16"/>
  <c r="Y395" i="16"/>
  <c r="R395" i="16"/>
  <c r="Q395" i="16"/>
  <c r="Z395" i="16"/>
  <c r="T395" i="16"/>
  <c r="S395" i="16"/>
  <c r="AA395" i="16"/>
  <c r="V395" i="16"/>
  <c r="U395" i="16"/>
  <c r="AB395" i="16"/>
  <c r="Y396" i="16"/>
  <c r="R396" i="16"/>
  <c r="Q396" i="16"/>
  <c r="Z396" i="16"/>
  <c r="T396" i="16"/>
  <c r="S396" i="16"/>
  <c r="AA396" i="16"/>
  <c r="V396" i="16"/>
  <c r="U396" i="16"/>
  <c r="AB396" i="16"/>
  <c r="Y397" i="16"/>
  <c r="R397" i="16"/>
  <c r="Q397" i="16"/>
  <c r="Z397" i="16"/>
  <c r="T397" i="16"/>
  <c r="S397" i="16"/>
  <c r="AA397" i="16"/>
  <c r="V397" i="16"/>
  <c r="U397" i="16"/>
  <c r="AB397" i="16"/>
  <c r="Y398" i="16"/>
  <c r="R398" i="16"/>
  <c r="Q398" i="16"/>
  <c r="Z398" i="16"/>
  <c r="T398" i="16"/>
  <c r="S398" i="16"/>
  <c r="AA398" i="16"/>
  <c r="V398" i="16"/>
  <c r="U398" i="16"/>
  <c r="AB398" i="16"/>
  <c r="Y399" i="16"/>
  <c r="R399" i="16"/>
  <c r="Q399" i="16"/>
  <c r="Z399" i="16"/>
  <c r="T399" i="16"/>
  <c r="S399" i="16"/>
  <c r="AA399" i="16"/>
  <c r="V399" i="16"/>
  <c r="U399" i="16"/>
  <c r="AB399" i="16"/>
  <c r="Y400" i="16"/>
  <c r="R400" i="16"/>
  <c r="Q400" i="16"/>
  <c r="Z400" i="16"/>
  <c r="T400" i="16"/>
  <c r="S400" i="16"/>
  <c r="AA400" i="16"/>
  <c r="V400" i="16"/>
  <c r="U400" i="16"/>
  <c r="AB400" i="16"/>
  <c r="Y401" i="16"/>
  <c r="R401" i="16"/>
  <c r="Q401" i="16"/>
  <c r="Z401" i="16"/>
  <c r="T401" i="16"/>
  <c r="S401" i="16"/>
  <c r="AA401" i="16"/>
  <c r="V401" i="16"/>
  <c r="U401" i="16"/>
  <c r="AB401" i="16"/>
  <c r="Y402" i="16"/>
  <c r="R402" i="16"/>
  <c r="Q402" i="16"/>
  <c r="Z402" i="16"/>
  <c r="T402" i="16"/>
  <c r="S402" i="16"/>
  <c r="AA402" i="16"/>
  <c r="V402" i="16"/>
  <c r="U402" i="16"/>
  <c r="AB402" i="16"/>
  <c r="Y403" i="16"/>
  <c r="R403" i="16"/>
  <c r="Q403" i="16"/>
  <c r="Z403" i="16"/>
  <c r="T403" i="16"/>
  <c r="S403" i="16"/>
  <c r="AA403" i="16"/>
  <c r="V403" i="16"/>
  <c r="U403" i="16"/>
  <c r="AB403" i="16"/>
  <c r="Y404" i="16"/>
  <c r="R404" i="16"/>
  <c r="Q404" i="16"/>
  <c r="Z404" i="16"/>
  <c r="T404" i="16"/>
  <c r="S404" i="16"/>
  <c r="AA404" i="16"/>
  <c r="V404" i="16"/>
  <c r="U404" i="16"/>
  <c r="AB404" i="16"/>
  <c r="Y405" i="16"/>
  <c r="R405" i="16"/>
  <c r="Q405" i="16"/>
  <c r="Z405" i="16"/>
  <c r="T405" i="16"/>
  <c r="S405" i="16"/>
  <c r="AA405" i="16"/>
  <c r="V405" i="16"/>
  <c r="U405" i="16"/>
  <c r="AB405" i="16"/>
  <c r="Y406" i="16"/>
  <c r="R406" i="16"/>
  <c r="Q406" i="16"/>
  <c r="Z406" i="16"/>
  <c r="T406" i="16"/>
  <c r="S406" i="16"/>
  <c r="AA406" i="16"/>
  <c r="V406" i="16"/>
  <c r="U406" i="16"/>
  <c r="AB406" i="16"/>
  <c r="Y407" i="16"/>
  <c r="R407" i="16"/>
  <c r="Q407" i="16"/>
  <c r="Z407" i="16"/>
  <c r="T407" i="16"/>
  <c r="S407" i="16"/>
  <c r="AA407" i="16"/>
  <c r="V407" i="16"/>
  <c r="U407" i="16"/>
  <c r="AB407" i="16"/>
  <c r="Y408" i="16"/>
  <c r="R408" i="16"/>
  <c r="Q408" i="16"/>
  <c r="Z408" i="16"/>
  <c r="T408" i="16"/>
  <c r="S408" i="16"/>
  <c r="AA408" i="16"/>
  <c r="V408" i="16"/>
  <c r="U408" i="16"/>
  <c r="AB408" i="16"/>
  <c r="Y409" i="16"/>
  <c r="R409" i="16"/>
  <c r="Q409" i="16"/>
  <c r="Z409" i="16"/>
  <c r="T409" i="16"/>
  <c r="S409" i="16"/>
  <c r="AA409" i="16"/>
  <c r="V409" i="16"/>
  <c r="U409" i="16"/>
  <c r="AB409" i="16"/>
  <c r="Y410" i="16"/>
  <c r="R410" i="16"/>
  <c r="Q410" i="16"/>
  <c r="Z410" i="16"/>
  <c r="T410" i="16"/>
  <c r="S410" i="16"/>
  <c r="AA410" i="16"/>
  <c r="V410" i="16"/>
  <c r="U410" i="16"/>
  <c r="AB410" i="16"/>
  <c r="Y411" i="16"/>
  <c r="R411" i="16"/>
  <c r="Q411" i="16"/>
  <c r="Z411" i="16"/>
  <c r="T411" i="16"/>
  <c r="S411" i="16"/>
  <c r="AA411" i="16"/>
  <c r="V411" i="16"/>
  <c r="U411" i="16"/>
  <c r="AB411" i="16"/>
  <c r="Y412" i="16"/>
  <c r="R412" i="16"/>
  <c r="Q412" i="16"/>
  <c r="Z412" i="16"/>
  <c r="T412" i="16"/>
  <c r="S412" i="16"/>
  <c r="AA412" i="16"/>
  <c r="V412" i="16"/>
  <c r="U412" i="16"/>
  <c r="AB412" i="16"/>
  <c r="Y413" i="16"/>
  <c r="R413" i="16"/>
  <c r="Q413" i="16"/>
  <c r="Z413" i="16"/>
  <c r="T413" i="16"/>
  <c r="S413" i="16"/>
  <c r="AA413" i="16"/>
  <c r="V413" i="16"/>
  <c r="U413" i="16"/>
  <c r="AB413" i="16"/>
  <c r="Y414" i="16"/>
  <c r="R414" i="16"/>
  <c r="Q414" i="16"/>
  <c r="Z414" i="16"/>
  <c r="T414" i="16"/>
  <c r="S414" i="16"/>
  <c r="AA414" i="16"/>
  <c r="V414" i="16"/>
  <c r="U414" i="16"/>
  <c r="AB414" i="16"/>
  <c r="Y415" i="16"/>
  <c r="R415" i="16"/>
  <c r="Q415" i="16"/>
  <c r="Z415" i="16"/>
  <c r="T415" i="16"/>
  <c r="S415" i="16"/>
  <c r="AA415" i="16"/>
  <c r="V415" i="16"/>
  <c r="U415" i="16"/>
  <c r="AB415" i="16"/>
  <c r="Y416" i="16"/>
  <c r="R416" i="16"/>
  <c r="Q416" i="16"/>
  <c r="Z416" i="16"/>
  <c r="T416" i="16"/>
  <c r="S416" i="16"/>
  <c r="AA416" i="16"/>
  <c r="V416" i="16"/>
  <c r="U416" i="16"/>
  <c r="AB416" i="16"/>
  <c r="Y417" i="16"/>
  <c r="R417" i="16"/>
  <c r="Q417" i="16"/>
  <c r="Z417" i="16"/>
  <c r="T417" i="16"/>
  <c r="S417" i="16"/>
  <c r="AA417" i="16"/>
  <c r="V417" i="16"/>
  <c r="U417" i="16"/>
  <c r="AB417" i="16"/>
  <c r="Y418" i="16"/>
  <c r="R418" i="16"/>
  <c r="Q418" i="16"/>
  <c r="Z418" i="16"/>
  <c r="T418" i="16"/>
  <c r="S418" i="16"/>
  <c r="AA418" i="16"/>
  <c r="V418" i="16"/>
  <c r="U418" i="16"/>
  <c r="AB418" i="16"/>
  <c r="Y419" i="16"/>
  <c r="R419" i="16"/>
  <c r="Q419" i="16"/>
  <c r="Z419" i="16"/>
  <c r="T419" i="16"/>
  <c r="S419" i="16"/>
  <c r="AA419" i="16"/>
  <c r="V419" i="16"/>
  <c r="U419" i="16"/>
  <c r="AB419" i="16"/>
  <c r="Y420" i="16"/>
  <c r="R420" i="16"/>
  <c r="Q420" i="16"/>
  <c r="Z420" i="16"/>
  <c r="T420" i="16"/>
  <c r="S420" i="16"/>
  <c r="AA420" i="16"/>
  <c r="V420" i="16"/>
  <c r="U420" i="16"/>
  <c r="AB420" i="16"/>
  <c r="Y421" i="16"/>
  <c r="R421" i="16"/>
  <c r="Q421" i="16"/>
  <c r="Z421" i="16"/>
  <c r="T421" i="16"/>
  <c r="S421" i="16"/>
  <c r="AA421" i="16"/>
  <c r="V421" i="16"/>
  <c r="U421" i="16"/>
  <c r="AB421" i="16"/>
  <c r="Y422" i="16"/>
  <c r="R422" i="16"/>
  <c r="Q422" i="16"/>
  <c r="Z422" i="16"/>
  <c r="T422" i="16"/>
  <c r="S422" i="16"/>
  <c r="AA422" i="16"/>
  <c r="V422" i="16"/>
  <c r="U422" i="16"/>
  <c r="AB422" i="16"/>
  <c r="E234" i="24"/>
  <c r="D234" i="24"/>
  <c r="C234" i="24"/>
  <c r="Y218" i="16"/>
  <c r="Y219" i="16"/>
  <c r="Y220" i="16"/>
  <c r="Y221" i="16"/>
  <c r="R218" i="16"/>
  <c r="Q218" i="16"/>
  <c r="Z218" i="16"/>
  <c r="T218" i="16"/>
  <c r="S218" i="16"/>
  <c r="AA218" i="16"/>
  <c r="V218" i="16"/>
  <c r="U218" i="16"/>
  <c r="AB218" i="16"/>
  <c r="R219" i="16"/>
  <c r="Q219" i="16"/>
  <c r="Z219" i="16"/>
  <c r="T219" i="16"/>
  <c r="S219" i="16"/>
  <c r="AA219" i="16"/>
  <c r="V219" i="16"/>
  <c r="U219" i="16"/>
  <c r="AB219" i="16"/>
  <c r="R220" i="16"/>
  <c r="Q220" i="16"/>
  <c r="Z220" i="16"/>
  <c r="T220" i="16"/>
  <c r="S220" i="16"/>
  <c r="AA220" i="16"/>
  <c r="V220" i="16"/>
  <c r="U220" i="16"/>
  <c r="AB220" i="16"/>
  <c r="R221" i="16"/>
  <c r="Q221" i="16"/>
  <c r="Z221" i="16"/>
  <c r="T221" i="16"/>
  <c r="S221" i="16"/>
  <c r="AA221" i="16"/>
  <c r="V221" i="16"/>
  <c r="U221" i="16"/>
  <c r="AB221" i="16"/>
  <c r="Y222" i="16"/>
  <c r="R222" i="16"/>
  <c r="Q222" i="16"/>
  <c r="Z222" i="16"/>
  <c r="T222" i="16"/>
  <c r="S222" i="16"/>
  <c r="AA222" i="16"/>
  <c r="V222" i="16"/>
  <c r="U222" i="16"/>
  <c r="AB222" i="16"/>
  <c r="Y223" i="16"/>
  <c r="R223" i="16"/>
  <c r="Q223" i="16"/>
  <c r="Z223" i="16"/>
  <c r="T223" i="16"/>
  <c r="S223" i="16"/>
  <c r="AA223" i="16"/>
  <c r="V223" i="16"/>
  <c r="U223" i="16"/>
  <c r="AB223" i="16"/>
  <c r="Y224" i="16"/>
  <c r="R224" i="16"/>
  <c r="Q224" i="16"/>
  <c r="Z224" i="16"/>
  <c r="T224" i="16"/>
  <c r="S224" i="16"/>
  <c r="AA224" i="16"/>
  <c r="V224" i="16"/>
  <c r="U224" i="16"/>
  <c r="AB224" i="16"/>
  <c r="Y225" i="16"/>
  <c r="R225" i="16"/>
  <c r="Q225" i="16"/>
  <c r="Z225" i="16"/>
  <c r="T225" i="16"/>
  <c r="S225" i="16"/>
  <c r="AA225" i="16"/>
  <c r="V225" i="16"/>
  <c r="U225" i="16"/>
  <c r="AB225" i="16"/>
  <c r="Y226" i="16"/>
  <c r="R226" i="16"/>
  <c r="Q226" i="16"/>
  <c r="Z226" i="16"/>
  <c r="T226" i="16"/>
  <c r="S226" i="16"/>
  <c r="AA226" i="16"/>
  <c r="V226" i="16"/>
  <c r="U226" i="16"/>
  <c r="AB226" i="16"/>
  <c r="Y227" i="16"/>
  <c r="R227" i="16"/>
  <c r="Q227" i="16"/>
  <c r="Z227" i="16"/>
  <c r="T227" i="16"/>
  <c r="S227" i="16"/>
  <c r="AA227" i="16"/>
  <c r="V227" i="16"/>
  <c r="U227" i="16"/>
  <c r="AB227" i="16"/>
  <c r="Y228" i="16"/>
  <c r="R228" i="16"/>
  <c r="Q228" i="16"/>
  <c r="Z228" i="16"/>
  <c r="T228" i="16"/>
  <c r="S228" i="16"/>
  <c r="AA228" i="16"/>
  <c r="V228" i="16"/>
  <c r="U228" i="16"/>
  <c r="AB228" i="16"/>
  <c r="Y229" i="16"/>
  <c r="R229" i="16"/>
  <c r="Q229" i="16"/>
  <c r="Z229" i="16"/>
  <c r="T229" i="16"/>
  <c r="S229" i="16"/>
  <c r="AA229" i="16"/>
  <c r="V229" i="16"/>
  <c r="U229" i="16"/>
  <c r="AB229" i="16"/>
  <c r="Y230" i="16"/>
  <c r="R230" i="16"/>
  <c r="Q230" i="16"/>
  <c r="Z230" i="16"/>
  <c r="T230" i="16"/>
  <c r="S230" i="16"/>
  <c r="AA230" i="16"/>
  <c r="V230" i="16"/>
  <c r="U230" i="16"/>
  <c r="AB230" i="16"/>
  <c r="Y231" i="16"/>
  <c r="R231" i="16"/>
  <c r="Q231" i="16"/>
  <c r="Z231" i="16"/>
  <c r="T231" i="16"/>
  <c r="S231" i="16"/>
  <c r="AA231" i="16"/>
  <c r="V231" i="16"/>
  <c r="U231" i="16"/>
  <c r="AB231" i="16"/>
  <c r="Y232" i="16"/>
  <c r="R232" i="16"/>
  <c r="Q232" i="16"/>
  <c r="Z232" i="16"/>
  <c r="T232" i="16"/>
  <c r="S232" i="16"/>
  <c r="AA232" i="16"/>
  <c r="V232" i="16"/>
  <c r="U232" i="16"/>
  <c r="AB232" i="16"/>
  <c r="Y233" i="16"/>
  <c r="R233" i="16"/>
  <c r="Q233" i="16"/>
  <c r="Z233" i="16"/>
  <c r="T233" i="16"/>
  <c r="S233" i="16"/>
  <c r="AA233" i="16"/>
  <c r="V233" i="16"/>
  <c r="U233" i="16"/>
  <c r="AB233" i="16"/>
  <c r="Y234" i="16"/>
  <c r="R234" i="16"/>
  <c r="Q234" i="16"/>
  <c r="Z234" i="16"/>
  <c r="T234" i="16"/>
  <c r="S234" i="16"/>
  <c r="AA234" i="16"/>
  <c r="V234" i="16"/>
  <c r="U234" i="16"/>
  <c r="AB234" i="16"/>
  <c r="Y235" i="16"/>
  <c r="R235" i="16"/>
  <c r="Q235" i="16"/>
  <c r="Z235" i="16"/>
  <c r="T235" i="16"/>
  <c r="S235" i="16"/>
  <c r="AA235" i="16"/>
  <c r="V235" i="16"/>
  <c r="U235" i="16"/>
  <c r="AB235" i="16"/>
  <c r="Y236" i="16"/>
  <c r="R236" i="16"/>
  <c r="Q236" i="16"/>
  <c r="Z236" i="16"/>
  <c r="T236" i="16"/>
  <c r="S236" i="16"/>
  <c r="AA236" i="16"/>
  <c r="V236" i="16"/>
  <c r="U236" i="16"/>
  <c r="AB236" i="16"/>
  <c r="Y237" i="16"/>
  <c r="R237" i="16"/>
  <c r="Q237" i="16"/>
  <c r="Z237" i="16"/>
  <c r="T237" i="16"/>
  <c r="S237" i="16"/>
  <c r="AA237" i="16"/>
  <c r="V237" i="16"/>
  <c r="U237" i="16"/>
  <c r="AB237" i="16"/>
  <c r="Y238" i="16"/>
  <c r="R238" i="16"/>
  <c r="Q238" i="16"/>
  <c r="Z238" i="16"/>
  <c r="T238" i="16"/>
  <c r="S238" i="16"/>
  <c r="AA238" i="16"/>
  <c r="V238" i="16"/>
  <c r="U238" i="16"/>
  <c r="AB238" i="16"/>
  <c r="Y239" i="16"/>
  <c r="R239" i="16"/>
  <c r="Q239" i="16"/>
  <c r="Z239" i="16"/>
  <c r="T239" i="16"/>
  <c r="S239" i="16"/>
  <c r="AA239" i="16"/>
  <c r="V239" i="16"/>
  <c r="U239" i="16"/>
  <c r="AB239" i="16"/>
  <c r="Y240" i="16"/>
  <c r="R240" i="16"/>
  <c r="Q240" i="16"/>
  <c r="Z240" i="16"/>
  <c r="T240" i="16"/>
  <c r="S240" i="16"/>
  <c r="AA240" i="16"/>
  <c r="V240" i="16"/>
  <c r="U240" i="16"/>
  <c r="AB240" i="16"/>
  <c r="Y241" i="16"/>
  <c r="R241" i="16"/>
  <c r="Q241" i="16"/>
  <c r="Z241" i="16"/>
  <c r="T241" i="16"/>
  <c r="S241" i="16"/>
  <c r="AA241" i="16"/>
  <c r="V241" i="16"/>
  <c r="U241" i="16"/>
  <c r="AB241" i="16"/>
  <c r="Y242" i="16"/>
  <c r="R242" i="16"/>
  <c r="Q242" i="16"/>
  <c r="Z242" i="16"/>
  <c r="T242" i="16"/>
  <c r="S242" i="16"/>
  <c r="AA242" i="16"/>
  <c r="V242" i="16"/>
  <c r="U242" i="16"/>
  <c r="AB242" i="16"/>
  <c r="Y243" i="16"/>
  <c r="R243" i="16"/>
  <c r="Q243" i="16"/>
  <c r="Z243" i="16"/>
  <c r="T243" i="16"/>
  <c r="S243" i="16"/>
  <c r="AA243" i="16"/>
  <c r="V243" i="16"/>
  <c r="U243" i="16"/>
  <c r="AB243" i="16"/>
  <c r="Y244" i="16"/>
  <c r="R244" i="16"/>
  <c r="Q244" i="16"/>
  <c r="Z244" i="16"/>
  <c r="T244" i="16"/>
  <c r="S244" i="16"/>
  <c r="AA244" i="16"/>
  <c r="V244" i="16"/>
  <c r="U244" i="16"/>
  <c r="AB244" i="16"/>
  <c r="Y245" i="16"/>
  <c r="R245" i="16"/>
  <c r="Q245" i="16"/>
  <c r="Z245" i="16"/>
  <c r="T245" i="16"/>
  <c r="S245" i="16"/>
  <c r="AA245" i="16"/>
  <c r="V245" i="16"/>
  <c r="U245" i="16"/>
  <c r="AB245" i="16"/>
  <c r="Y246" i="16"/>
  <c r="R246" i="16"/>
  <c r="Q246" i="16"/>
  <c r="Z246" i="16"/>
  <c r="T246" i="16"/>
  <c r="S246" i="16"/>
  <c r="AA246" i="16"/>
  <c r="V246" i="16"/>
  <c r="U246" i="16"/>
  <c r="AB246" i="16"/>
  <c r="Y247" i="16"/>
  <c r="R247" i="16"/>
  <c r="Q247" i="16"/>
  <c r="Z247" i="16"/>
  <c r="T247" i="16"/>
  <c r="S247" i="16"/>
  <c r="AA247" i="16"/>
  <c r="V247" i="16"/>
  <c r="U247" i="16"/>
  <c r="AB247" i="16"/>
  <c r="Y248" i="16"/>
  <c r="R248" i="16"/>
  <c r="Q248" i="16"/>
  <c r="Z248" i="16"/>
  <c r="T248" i="16"/>
  <c r="S248" i="16"/>
  <c r="AA248" i="16"/>
  <c r="V248" i="16"/>
  <c r="U248" i="16"/>
  <c r="AB248" i="16"/>
  <c r="Y249" i="16"/>
  <c r="R249" i="16"/>
  <c r="Q249" i="16"/>
  <c r="Z249" i="16"/>
  <c r="T249" i="16"/>
  <c r="S249" i="16"/>
  <c r="AA249" i="16"/>
  <c r="V249" i="16"/>
  <c r="U249" i="16"/>
  <c r="AB249" i="16"/>
  <c r="Y250" i="16"/>
  <c r="R250" i="16"/>
  <c r="Q250" i="16"/>
  <c r="Z250" i="16"/>
  <c r="T250" i="16"/>
  <c r="S250" i="16"/>
  <c r="AA250" i="16"/>
  <c r="V250" i="16"/>
  <c r="U250" i="16"/>
  <c r="AB250" i="16"/>
  <c r="Y251" i="16"/>
  <c r="R251" i="16"/>
  <c r="Q251" i="16"/>
  <c r="Z251" i="16"/>
  <c r="T251" i="16"/>
  <c r="S251" i="16"/>
  <c r="AA251" i="16"/>
  <c r="V251" i="16"/>
  <c r="U251" i="16"/>
  <c r="AB251" i="16"/>
  <c r="Y252" i="16"/>
  <c r="R252" i="16"/>
  <c r="Q252" i="16"/>
  <c r="Z252" i="16"/>
  <c r="T252" i="16"/>
  <c r="S252" i="16"/>
  <c r="AA252" i="16"/>
  <c r="V252" i="16"/>
  <c r="U252" i="16"/>
  <c r="AB252" i="16"/>
  <c r="Y253" i="16"/>
  <c r="R253" i="16"/>
  <c r="Q253" i="16"/>
  <c r="Z253" i="16"/>
  <c r="T253" i="16"/>
  <c r="S253" i="16"/>
  <c r="AA253" i="16"/>
  <c r="V253" i="16"/>
  <c r="U253" i="16"/>
  <c r="AB253" i="16"/>
  <c r="Y254" i="16"/>
  <c r="R254" i="16"/>
  <c r="Q254" i="16"/>
  <c r="Z254" i="16"/>
  <c r="T254" i="16"/>
  <c r="S254" i="16"/>
  <c r="AA254" i="16"/>
  <c r="V254" i="16"/>
  <c r="U254" i="16"/>
  <c r="AB254" i="16"/>
  <c r="Y255" i="16"/>
  <c r="R255" i="16"/>
  <c r="Q255" i="16"/>
  <c r="Z255" i="16"/>
  <c r="T255" i="16"/>
  <c r="S255" i="16"/>
  <c r="AA255" i="16"/>
  <c r="V255" i="16"/>
  <c r="U255" i="16"/>
  <c r="AB255" i="16"/>
  <c r="Y256" i="16"/>
  <c r="R256" i="16"/>
  <c r="Q256" i="16"/>
  <c r="Z256" i="16"/>
  <c r="T256" i="16"/>
  <c r="S256" i="16"/>
  <c r="AA256" i="16"/>
  <c r="V256" i="16"/>
  <c r="U256" i="16"/>
  <c r="AB256" i="16"/>
  <c r="Y257" i="16"/>
  <c r="R257" i="16"/>
  <c r="Q257" i="16"/>
  <c r="Z257" i="16"/>
  <c r="T257" i="16"/>
  <c r="S257" i="16"/>
  <c r="AA257" i="16"/>
  <c r="V257" i="16"/>
  <c r="U257" i="16"/>
  <c r="AB257" i="16"/>
  <c r="Y258" i="16"/>
  <c r="R258" i="16"/>
  <c r="Q258" i="16"/>
  <c r="Z258" i="16"/>
  <c r="T258" i="16"/>
  <c r="S258" i="16"/>
  <c r="AA258" i="16"/>
  <c r="V258" i="16"/>
  <c r="U258" i="16"/>
  <c r="AB258" i="16"/>
  <c r="Y259" i="16"/>
  <c r="R259" i="16"/>
  <c r="Q259" i="16"/>
  <c r="Z259" i="16"/>
  <c r="T259" i="16"/>
  <c r="S259" i="16"/>
  <c r="AA259" i="16"/>
  <c r="V259" i="16"/>
  <c r="U259" i="16"/>
  <c r="AB259" i="16"/>
  <c r="Y260" i="16"/>
  <c r="R260" i="16"/>
  <c r="Q260" i="16"/>
  <c r="Z260" i="16"/>
  <c r="T260" i="16"/>
  <c r="S260" i="16"/>
  <c r="AA260" i="16"/>
  <c r="V260" i="16"/>
  <c r="U260" i="16"/>
  <c r="AB260" i="16"/>
  <c r="Y261" i="16"/>
  <c r="R261" i="16"/>
  <c r="Q261" i="16"/>
  <c r="Z261" i="16"/>
  <c r="T261" i="16"/>
  <c r="S261" i="16"/>
  <c r="AA261" i="16"/>
  <c r="V261" i="16"/>
  <c r="U261" i="16"/>
  <c r="AB261" i="16"/>
  <c r="Y262" i="16"/>
  <c r="R262" i="16"/>
  <c r="Q262" i="16"/>
  <c r="Z262" i="16"/>
  <c r="T262" i="16"/>
  <c r="S262" i="16"/>
  <c r="AA262" i="16"/>
  <c r="V262" i="16"/>
  <c r="U262" i="16"/>
  <c r="AB262" i="16"/>
  <c r="Y263" i="16"/>
  <c r="R263" i="16"/>
  <c r="Q263" i="16"/>
  <c r="Z263" i="16"/>
  <c r="T263" i="16"/>
  <c r="S263" i="16"/>
  <c r="AA263" i="16"/>
  <c r="V263" i="16"/>
  <c r="U263" i="16"/>
  <c r="AB263" i="16"/>
  <c r="Y264" i="16"/>
  <c r="R264" i="16"/>
  <c r="Q264" i="16"/>
  <c r="Z264" i="16"/>
  <c r="T264" i="16"/>
  <c r="S264" i="16"/>
  <c r="AA264" i="16"/>
  <c r="V264" i="16"/>
  <c r="U264" i="16"/>
  <c r="AB264" i="16"/>
  <c r="Y265" i="16"/>
  <c r="R265" i="16"/>
  <c r="Q265" i="16"/>
  <c r="Z265" i="16"/>
  <c r="T265" i="16"/>
  <c r="S265" i="16"/>
  <c r="AA265" i="16"/>
  <c r="V265" i="16"/>
  <c r="U265" i="16"/>
  <c r="AB265" i="16"/>
  <c r="Y266" i="16"/>
  <c r="R266" i="16"/>
  <c r="Q266" i="16"/>
  <c r="Z266" i="16"/>
  <c r="T266" i="16"/>
  <c r="S266" i="16"/>
  <c r="AA266" i="16"/>
  <c r="V266" i="16"/>
  <c r="U266" i="16"/>
  <c r="AB266" i="16"/>
  <c r="Y267" i="16"/>
  <c r="R267" i="16"/>
  <c r="Q267" i="16"/>
  <c r="Z267" i="16"/>
  <c r="T267" i="16"/>
  <c r="S267" i="16"/>
  <c r="AA267" i="16"/>
  <c r="V267" i="16"/>
  <c r="U267" i="16"/>
  <c r="AB267" i="16"/>
  <c r="Y268" i="16"/>
  <c r="R268" i="16"/>
  <c r="Q268" i="16"/>
  <c r="Z268" i="16"/>
  <c r="T268" i="16"/>
  <c r="S268" i="16"/>
  <c r="AA268" i="16"/>
  <c r="V268" i="16"/>
  <c r="U268" i="16"/>
  <c r="AB268" i="16"/>
  <c r="Y269" i="16"/>
  <c r="R269" i="16"/>
  <c r="Q269" i="16"/>
  <c r="Z269" i="16"/>
  <c r="T269" i="16"/>
  <c r="S269" i="16"/>
  <c r="AA269" i="16"/>
  <c r="V269" i="16"/>
  <c r="U269" i="16"/>
  <c r="AB269" i="16"/>
  <c r="Y270" i="16"/>
  <c r="R270" i="16"/>
  <c r="Q270" i="16"/>
  <c r="Z270" i="16"/>
  <c r="T270" i="16"/>
  <c r="S270" i="16"/>
  <c r="AA270" i="16"/>
  <c r="V270" i="16"/>
  <c r="U270" i="16"/>
  <c r="AB270" i="16"/>
  <c r="Y271" i="16"/>
  <c r="R271" i="16"/>
  <c r="Q271" i="16"/>
  <c r="Z271" i="16"/>
  <c r="T271" i="16"/>
  <c r="S271" i="16"/>
  <c r="AA271" i="16"/>
  <c r="V271" i="16"/>
  <c r="U271" i="16"/>
  <c r="AB271" i="16"/>
  <c r="Y272" i="16"/>
  <c r="R272" i="16"/>
  <c r="Q272" i="16"/>
  <c r="Z272" i="16"/>
  <c r="T272" i="16"/>
  <c r="S272" i="16"/>
  <c r="AA272" i="16"/>
  <c r="V272" i="16"/>
  <c r="U272" i="16"/>
  <c r="AB272" i="16"/>
  <c r="Y273" i="16"/>
  <c r="R273" i="16"/>
  <c r="Q273" i="16"/>
  <c r="Z273" i="16"/>
  <c r="T273" i="16"/>
  <c r="S273" i="16"/>
  <c r="AA273" i="16"/>
  <c r="V273" i="16"/>
  <c r="U273" i="16"/>
  <c r="AB273" i="16"/>
  <c r="Y274" i="16"/>
  <c r="R274" i="16"/>
  <c r="Q274" i="16"/>
  <c r="Z274" i="16"/>
  <c r="T274" i="16"/>
  <c r="S274" i="16"/>
  <c r="AA274" i="16"/>
  <c r="V274" i="16"/>
  <c r="U274" i="16"/>
  <c r="AB274" i="16"/>
  <c r="Y275" i="16"/>
  <c r="R275" i="16"/>
  <c r="Q275" i="16"/>
  <c r="Z275" i="16"/>
  <c r="T275" i="16"/>
  <c r="S275" i="16"/>
  <c r="AA275" i="16"/>
  <c r="V275" i="16"/>
  <c r="U275" i="16"/>
  <c r="AB275" i="16"/>
  <c r="Y276" i="16"/>
  <c r="R276" i="16"/>
  <c r="Q276" i="16"/>
  <c r="Z276" i="16"/>
  <c r="T276" i="16"/>
  <c r="S276" i="16"/>
  <c r="AA276" i="16"/>
  <c r="V276" i="16"/>
  <c r="U276" i="16"/>
  <c r="AB276" i="16"/>
  <c r="Y277" i="16"/>
  <c r="R277" i="16"/>
  <c r="Q277" i="16"/>
  <c r="Z277" i="16"/>
  <c r="T277" i="16"/>
  <c r="S277" i="16"/>
  <c r="AA277" i="16"/>
  <c r="V277" i="16"/>
  <c r="U277" i="16"/>
  <c r="AB277" i="16"/>
  <c r="Y278" i="16"/>
  <c r="R278" i="16"/>
  <c r="Q278" i="16"/>
  <c r="Z278" i="16"/>
  <c r="T278" i="16"/>
  <c r="S278" i="16"/>
  <c r="AA278" i="16"/>
  <c r="V278" i="16"/>
  <c r="U278" i="16"/>
  <c r="AB278" i="16"/>
  <c r="Y279" i="16"/>
  <c r="R279" i="16"/>
  <c r="Q279" i="16"/>
  <c r="Z279" i="16"/>
  <c r="T279" i="16"/>
  <c r="S279" i="16"/>
  <c r="AA279" i="16"/>
  <c r="V279" i="16"/>
  <c r="U279" i="16"/>
  <c r="AB279" i="16"/>
  <c r="Y280" i="16"/>
  <c r="R280" i="16"/>
  <c r="Q280" i="16"/>
  <c r="Z280" i="16"/>
  <c r="T280" i="16"/>
  <c r="S280" i="16"/>
  <c r="AA280" i="16"/>
  <c r="V280" i="16"/>
  <c r="U280" i="16"/>
  <c r="AB280" i="16"/>
  <c r="Y281" i="16"/>
  <c r="R281" i="16"/>
  <c r="Q281" i="16"/>
  <c r="Z281" i="16"/>
  <c r="T281" i="16"/>
  <c r="S281" i="16"/>
  <c r="AA281" i="16"/>
  <c r="V281" i="16"/>
  <c r="U281" i="16"/>
  <c r="AB281" i="16"/>
  <c r="Y282" i="16"/>
  <c r="R282" i="16"/>
  <c r="Q282" i="16"/>
  <c r="Z282" i="16"/>
  <c r="T282" i="16"/>
  <c r="S282" i="16"/>
  <c r="AA282" i="16"/>
  <c r="V282" i="16"/>
  <c r="U282" i="16"/>
  <c r="AB282" i="16"/>
  <c r="Y283" i="16"/>
  <c r="R283" i="16"/>
  <c r="Q283" i="16"/>
  <c r="Z283" i="16"/>
  <c r="T283" i="16"/>
  <c r="S283" i="16"/>
  <c r="AA283" i="16"/>
  <c r="V283" i="16"/>
  <c r="U283" i="16"/>
  <c r="AB283" i="16"/>
  <c r="Y284" i="16"/>
  <c r="R284" i="16"/>
  <c r="Q284" i="16"/>
  <c r="Z284" i="16"/>
  <c r="T284" i="16"/>
  <c r="S284" i="16"/>
  <c r="AA284" i="16"/>
  <c r="V284" i="16"/>
  <c r="U284" i="16"/>
  <c r="AB284" i="16"/>
  <c r="Y285" i="16"/>
  <c r="R285" i="16"/>
  <c r="Q285" i="16"/>
  <c r="Z285" i="16"/>
  <c r="T285" i="16"/>
  <c r="S285" i="16"/>
  <c r="AA285" i="16"/>
  <c r="V285" i="16"/>
  <c r="U285" i="16"/>
  <c r="AB285" i="16"/>
  <c r="Y286" i="16"/>
  <c r="R286" i="16"/>
  <c r="Q286" i="16"/>
  <c r="Z286" i="16"/>
  <c r="T286" i="16"/>
  <c r="S286" i="16"/>
  <c r="AA286" i="16"/>
  <c r="V286" i="16"/>
  <c r="U286" i="16"/>
  <c r="AB286" i="16"/>
  <c r="Y287" i="16"/>
  <c r="R287" i="16"/>
  <c r="Q287" i="16"/>
  <c r="Z287" i="16"/>
  <c r="T287" i="16"/>
  <c r="S287" i="16"/>
  <c r="AA287" i="16"/>
  <c r="V287" i="16"/>
  <c r="U287" i="16"/>
  <c r="AB287" i="16"/>
  <c r="Y288" i="16"/>
  <c r="R288" i="16"/>
  <c r="Q288" i="16"/>
  <c r="Z288" i="16"/>
  <c r="T288" i="16"/>
  <c r="S288" i="16"/>
  <c r="AA288" i="16"/>
  <c r="V288" i="16"/>
  <c r="U288" i="16"/>
  <c r="AB288" i="16"/>
  <c r="Y289" i="16"/>
  <c r="R289" i="16"/>
  <c r="Q289" i="16"/>
  <c r="Z289" i="16"/>
  <c r="T289" i="16"/>
  <c r="S289" i="16"/>
  <c r="AA289" i="16"/>
  <c r="V289" i="16"/>
  <c r="U289" i="16"/>
  <c r="AB289" i="16"/>
  <c r="Y290" i="16"/>
  <c r="R290" i="16"/>
  <c r="Q290" i="16"/>
  <c r="Z290" i="16"/>
  <c r="T290" i="16"/>
  <c r="S290" i="16"/>
  <c r="AA290" i="16"/>
  <c r="V290" i="16"/>
  <c r="U290" i="16"/>
  <c r="AB290" i="16"/>
  <c r="Y291" i="16"/>
  <c r="R291" i="16"/>
  <c r="Q291" i="16"/>
  <c r="Z291" i="16"/>
  <c r="T291" i="16"/>
  <c r="S291" i="16"/>
  <c r="AA291" i="16"/>
  <c r="V291" i="16"/>
  <c r="U291" i="16"/>
  <c r="AB291" i="16"/>
  <c r="Y292" i="16"/>
  <c r="R292" i="16"/>
  <c r="Q292" i="16"/>
  <c r="Z292" i="16"/>
  <c r="T292" i="16"/>
  <c r="S292" i="16"/>
  <c r="AA292" i="16"/>
  <c r="V292" i="16"/>
  <c r="U292" i="16"/>
  <c r="AB292" i="16"/>
  <c r="Y293" i="16"/>
  <c r="R293" i="16"/>
  <c r="Q293" i="16"/>
  <c r="Z293" i="16"/>
  <c r="T293" i="16"/>
  <c r="S293" i="16"/>
  <c r="AA293" i="16"/>
  <c r="V293" i="16"/>
  <c r="U293" i="16"/>
  <c r="AB293" i="16"/>
  <c r="Y294" i="16"/>
  <c r="R294" i="16"/>
  <c r="Q294" i="16"/>
  <c r="Z294" i="16"/>
  <c r="T294" i="16"/>
  <c r="S294" i="16"/>
  <c r="AA294" i="16"/>
  <c r="V294" i="16"/>
  <c r="U294" i="16"/>
  <c r="AB294" i="16"/>
  <c r="Y295" i="16"/>
  <c r="R295" i="16"/>
  <c r="Q295" i="16"/>
  <c r="Z295" i="16"/>
  <c r="T295" i="16"/>
  <c r="S295" i="16"/>
  <c r="AA295" i="16"/>
  <c r="V295" i="16"/>
  <c r="U295" i="16"/>
  <c r="AB295" i="16"/>
  <c r="Y296" i="16"/>
  <c r="R296" i="16"/>
  <c r="Q296" i="16"/>
  <c r="Z296" i="16"/>
  <c r="T296" i="16"/>
  <c r="S296" i="16"/>
  <c r="AA296" i="16"/>
  <c r="V296" i="16"/>
  <c r="U296" i="16"/>
  <c r="AB296" i="16"/>
  <c r="Y297" i="16"/>
  <c r="R297" i="16"/>
  <c r="Q297" i="16"/>
  <c r="Z297" i="16"/>
  <c r="T297" i="16"/>
  <c r="S297" i="16"/>
  <c r="AA297" i="16"/>
  <c r="V297" i="16"/>
  <c r="U297" i="16"/>
  <c r="AB297" i="16"/>
  <c r="Y298" i="16"/>
  <c r="R298" i="16"/>
  <c r="Q298" i="16"/>
  <c r="Z298" i="16"/>
  <c r="T298" i="16"/>
  <c r="S298" i="16"/>
  <c r="AA298" i="16"/>
  <c r="V298" i="16"/>
  <c r="U298" i="16"/>
  <c r="AB298" i="16"/>
  <c r="Y299" i="16"/>
  <c r="R299" i="16"/>
  <c r="Q299" i="16"/>
  <c r="Z299" i="16"/>
  <c r="T299" i="16"/>
  <c r="S299" i="16"/>
  <c r="AA299" i="16"/>
  <c r="V299" i="16"/>
  <c r="U299" i="16"/>
  <c r="AB299" i="16"/>
  <c r="Y300" i="16"/>
  <c r="R300" i="16"/>
  <c r="Q300" i="16"/>
  <c r="Z300" i="16"/>
  <c r="T300" i="16"/>
  <c r="S300" i="16"/>
  <c r="AA300" i="16"/>
  <c r="V300" i="16"/>
  <c r="U300" i="16"/>
  <c r="AB300" i="16"/>
  <c r="Y301" i="16"/>
  <c r="R301" i="16"/>
  <c r="Q301" i="16"/>
  <c r="Z301" i="16"/>
  <c r="T301" i="16"/>
  <c r="S301" i="16"/>
  <c r="AA301" i="16"/>
  <c r="V301" i="16"/>
  <c r="U301" i="16"/>
  <c r="AB301" i="16"/>
  <c r="Y302" i="16"/>
  <c r="R302" i="16"/>
  <c r="Q302" i="16"/>
  <c r="Z302" i="16"/>
  <c r="T302" i="16"/>
  <c r="S302" i="16"/>
  <c r="AA302" i="16"/>
  <c r="V302" i="16"/>
  <c r="U302" i="16"/>
  <c r="AB302" i="16"/>
  <c r="Y303" i="16"/>
  <c r="R303" i="16"/>
  <c r="Q303" i="16"/>
  <c r="Z303" i="16"/>
  <c r="T303" i="16"/>
  <c r="S303" i="16"/>
  <c r="AA303" i="16"/>
  <c r="V303" i="16"/>
  <c r="U303" i="16"/>
  <c r="AB303" i="16"/>
  <c r="Y304" i="16"/>
  <c r="R304" i="16"/>
  <c r="Q304" i="16"/>
  <c r="Z304" i="16"/>
  <c r="T304" i="16"/>
  <c r="S304" i="16"/>
  <c r="AA304" i="16"/>
  <c r="V304" i="16"/>
  <c r="U304" i="16"/>
  <c r="AB304" i="16"/>
  <c r="Y305" i="16"/>
  <c r="R305" i="16"/>
  <c r="Q305" i="16"/>
  <c r="Z305" i="16"/>
  <c r="T305" i="16"/>
  <c r="S305" i="16"/>
  <c r="AA305" i="16"/>
  <c r="V305" i="16"/>
  <c r="U305" i="16"/>
  <c r="AB305" i="16"/>
  <c r="Y306" i="16"/>
  <c r="R306" i="16"/>
  <c r="Q306" i="16"/>
  <c r="Z306" i="16"/>
  <c r="T306" i="16"/>
  <c r="S306" i="16"/>
  <c r="AA306" i="16"/>
  <c r="V306" i="16"/>
  <c r="U306" i="16"/>
  <c r="AB306" i="16"/>
  <c r="Y307" i="16"/>
  <c r="R307" i="16"/>
  <c r="Q307" i="16"/>
  <c r="Z307" i="16"/>
  <c r="T307" i="16"/>
  <c r="S307" i="16"/>
  <c r="AA307" i="16"/>
  <c r="V307" i="16"/>
  <c r="U307" i="16"/>
  <c r="AB307" i="16"/>
  <c r="Y308" i="16"/>
  <c r="R308" i="16"/>
  <c r="Q308" i="16"/>
  <c r="Z308" i="16"/>
  <c r="T308" i="16"/>
  <c r="S308" i="16"/>
  <c r="AA308" i="16"/>
  <c r="V308" i="16"/>
  <c r="U308" i="16"/>
  <c r="AB308" i="16"/>
  <c r="Y309" i="16"/>
  <c r="R309" i="16"/>
  <c r="Q309" i="16"/>
  <c r="Z309" i="16"/>
  <c r="T309" i="16"/>
  <c r="S309" i="16"/>
  <c r="AA309" i="16"/>
  <c r="V309" i="16"/>
  <c r="U309" i="16"/>
  <c r="AB309" i="16"/>
  <c r="Y310" i="16"/>
  <c r="R310" i="16"/>
  <c r="Q310" i="16"/>
  <c r="Z310" i="16"/>
  <c r="T310" i="16"/>
  <c r="S310" i="16"/>
  <c r="AA310" i="16"/>
  <c r="V310" i="16"/>
  <c r="U310" i="16"/>
  <c r="AB310" i="16"/>
  <c r="Y311" i="16"/>
  <c r="R311" i="16"/>
  <c r="Q311" i="16"/>
  <c r="Z311" i="16"/>
  <c r="T311" i="16"/>
  <c r="S311" i="16"/>
  <c r="AA311" i="16"/>
  <c r="V311" i="16"/>
  <c r="U311" i="16"/>
  <c r="AB311" i="16"/>
  <c r="Y312" i="16"/>
  <c r="R312" i="16"/>
  <c r="Q312" i="16"/>
  <c r="Z312" i="16"/>
  <c r="T312" i="16"/>
  <c r="S312" i="16"/>
  <c r="AA312" i="16"/>
  <c r="V312" i="16"/>
  <c r="U312" i="16"/>
  <c r="AB312" i="16"/>
  <c r="Y313" i="16"/>
  <c r="R313" i="16"/>
  <c r="Q313" i="16"/>
  <c r="Z313" i="16"/>
  <c r="T313" i="16"/>
  <c r="S313" i="16"/>
  <c r="AA313" i="16"/>
  <c r="V313" i="16"/>
  <c r="U313" i="16"/>
  <c r="AB313" i="16"/>
  <c r="Y314" i="16"/>
  <c r="R314" i="16"/>
  <c r="Q314" i="16"/>
  <c r="Z314" i="16"/>
  <c r="T314" i="16"/>
  <c r="S314" i="16"/>
  <c r="AA314" i="16"/>
  <c r="V314" i="16"/>
  <c r="U314" i="16"/>
  <c r="AB314" i="16"/>
  <c r="Y315" i="16"/>
  <c r="R315" i="16"/>
  <c r="Q315" i="16"/>
  <c r="Z315" i="16"/>
  <c r="T315" i="16"/>
  <c r="S315" i="16"/>
  <c r="AA315" i="16"/>
  <c r="V315" i="16"/>
  <c r="U315" i="16"/>
  <c r="AB315" i="16"/>
  <c r="Y316" i="16"/>
  <c r="R316" i="16"/>
  <c r="Q316" i="16"/>
  <c r="Z316" i="16"/>
  <c r="T316" i="16"/>
  <c r="S316" i="16"/>
  <c r="AA316" i="16"/>
  <c r="V316" i="16"/>
  <c r="U316" i="16"/>
  <c r="AB316" i="16"/>
  <c r="E233" i="24"/>
  <c r="D233" i="24"/>
  <c r="C233" i="24"/>
  <c r="E232" i="24"/>
  <c r="D232" i="24"/>
  <c r="E231" i="24"/>
  <c r="D231" i="24"/>
  <c r="C231" i="24"/>
  <c r="Y430" i="15"/>
  <c r="Y431" i="15"/>
  <c r="Y432" i="15"/>
  <c r="Y433" i="15"/>
  <c r="R430" i="15"/>
  <c r="Q430" i="15"/>
  <c r="Z430" i="15"/>
  <c r="T430" i="15"/>
  <c r="S430" i="15"/>
  <c r="AA430" i="15"/>
  <c r="V430" i="15"/>
  <c r="U430" i="15"/>
  <c r="AB430" i="15"/>
  <c r="R431" i="15"/>
  <c r="Q431" i="15"/>
  <c r="Z431" i="15"/>
  <c r="T431" i="15"/>
  <c r="S431" i="15"/>
  <c r="AA431" i="15"/>
  <c r="V431" i="15"/>
  <c r="U431" i="15"/>
  <c r="AB431" i="15"/>
  <c r="R432" i="15"/>
  <c r="Q432" i="15"/>
  <c r="Z432" i="15"/>
  <c r="T432" i="15"/>
  <c r="S432" i="15"/>
  <c r="AA432" i="15"/>
  <c r="V432" i="15"/>
  <c r="U432" i="15"/>
  <c r="AB432" i="15"/>
  <c r="R433" i="15"/>
  <c r="Q433" i="15"/>
  <c r="Z433" i="15"/>
  <c r="T433" i="15"/>
  <c r="S433" i="15"/>
  <c r="AA433" i="15"/>
  <c r="V433" i="15"/>
  <c r="U433" i="15"/>
  <c r="AB433" i="15"/>
  <c r="Y434" i="15"/>
  <c r="R434" i="15"/>
  <c r="Q434" i="15"/>
  <c r="Z434" i="15"/>
  <c r="T434" i="15"/>
  <c r="S434" i="15"/>
  <c r="AA434" i="15"/>
  <c r="V434" i="15"/>
  <c r="U434" i="15"/>
  <c r="AB434" i="15"/>
  <c r="Y435" i="15"/>
  <c r="R435" i="15"/>
  <c r="Q435" i="15"/>
  <c r="Z435" i="15"/>
  <c r="T435" i="15"/>
  <c r="S435" i="15"/>
  <c r="AA435" i="15"/>
  <c r="V435" i="15"/>
  <c r="U435" i="15"/>
  <c r="AB435" i="15"/>
  <c r="Y436" i="15"/>
  <c r="R436" i="15"/>
  <c r="Q436" i="15"/>
  <c r="Z436" i="15"/>
  <c r="T436" i="15"/>
  <c r="S436" i="15"/>
  <c r="AA436" i="15"/>
  <c r="V436" i="15"/>
  <c r="U436" i="15"/>
  <c r="AB436" i="15"/>
  <c r="Y437" i="15"/>
  <c r="R437" i="15"/>
  <c r="Q437" i="15"/>
  <c r="Z437" i="15"/>
  <c r="T437" i="15"/>
  <c r="S437" i="15"/>
  <c r="AA437" i="15"/>
  <c r="V437" i="15"/>
  <c r="U437" i="15"/>
  <c r="AB437" i="15"/>
  <c r="Y438" i="15"/>
  <c r="R438" i="15"/>
  <c r="Q438" i="15"/>
  <c r="Z438" i="15"/>
  <c r="T438" i="15"/>
  <c r="S438" i="15"/>
  <c r="AA438" i="15"/>
  <c r="V438" i="15"/>
  <c r="U438" i="15"/>
  <c r="AB438" i="15"/>
  <c r="Y439" i="15"/>
  <c r="R439" i="15"/>
  <c r="Q439" i="15"/>
  <c r="Z439" i="15"/>
  <c r="T439" i="15"/>
  <c r="S439" i="15"/>
  <c r="AA439" i="15"/>
  <c r="V439" i="15"/>
  <c r="U439" i="15"/>
  <c r="AB439" i="15"/>
  <c r="Y440" i="15"/>
  <c r="R440" i="15"/>
  <c r="Q440" i="15"/>
  <c r="Z440" i="15"/>
  <c r="T440" i="15"/>
  <c r="S440" i="15"/>
  <c r="AA440" i="15"/>
  <c r="V440" i="15"/>
  <c r="U440" i="15"/>
  <c r="AB440" i="15"/>
  <c r="Y441" i="15"/>
  <c r="R441" i="15"/>
  <c r="Q441" i="15"/>
  <c r="Z441" i="15"/>
  <c r="T441" i="15"/>
  <c r="S441" i="15"/>
  <c r="AA441" i="15"/>
  <c r="V441" i="15"/>
  <c r="U441" i="15"/>
  <c r="AB441" i="15"/>
  <c r="Y442" i="15"/>
  <c r="R442" i="15"/>
  <c r="Q442" i="15"/>
  <c r="Z442" i="15"/>
  <c r="T442" i="15"/>
  <c r="S442" i="15"/>
  <c r="AA442" i="15"/>
  <c r="V442" i="15"/>
  <c r="U442" i="15"/>
  <c r="AB442" i="15"/>
  <c r="Y443" i="15"/>
  <c r="R443" i="15"/>
  <c r="Q443" i="15"/>
  <c r="Z443" i="15"/>
  <c r="T443" i="15"/>
  <c r="S443" i="15"/>
  <c r="AA443" i="15"/>
  <c r="V443" i="15"/>
  <c r="U443" i="15"/>
  <c r="AB443" i="15"/>
  <c r="Y444" i="15"/>
  <c r="R444" i="15"/>
  <c r="Q444" i="15"/>
  <c r="Z444" i="15"/>
  <c r="T444" i="15"/>
  <c r="S444" i="15"/>
  <c r="AA444" i="15"/>
  <c r="V444" i="15"/>
  <c r="U444" i="15"/>
  <c r="AB444" i="15"/>
  <c r="Y445" i="15"/>
  <c r="R445" i="15"/>
  <c r="Q445" i="15"/>
  <c r="Z445" i="15"/>
  <c r="T445" i="15"/>
  <c r="S445" i="15"/>
  <c r="AA445" i="15"/>
  <c r="V445" i="15"/>
  <c r="U445" i="15"/>
  <c r="AB445" i="15"/>
  <c r="Y446" i="15"/>
  <c r="R446" i="15"/>
  <c r="Q446" i="15"/>
  <c r="Z446" i="15"/>
  <c r="T446" i="15"/>
  <c r="S446" i="15"/>
  <c r="AA446" i="15"/>
  <c r="V446" i="15"/>
  <c r="U446" i="15"/>
  <c r="AB446" i="15"/>
  <c r="Y447" i="15"/>
  <c r="R447" i="15"/>
  <c r="Q447" i="15"/>
  <c r="Z447" i="15"/>
  <c r="T447" i="15"/>
  <c r="S447" i="15"/>
  <c r="AA447" i="15"/>
  <c r="V447" i="15"/>
  <c r="U447" i="15"/>
  <c r="AB447" i="15"/>
  <c r="Y448" i="15"/>
  <c r="R448" i="15"/>
  <c r="Q448" i="15"/>
  <c r="Z448" i="15"/>
  <c r="T448" i="15"/>
  <c r="S448" i="15"/>
  <c r="AA448" i="15"/>
  <c r="V448" i="15"/>
  <c r="U448" i="15"/>
  <c r="AB448" i="15"/>
  <c r="Y449" i="15"/>
  <c r="R449" i="15"/>
  <c r="Q449" i="15"/>
  <c r="Z449" i="15"/>
  <c r="T449" i="15"/>
  <c r="S449" i="15"/>
  <c r="AA449" i="15"/>
  <c r="V449" i="15"/>
  <c r="U449" i="15"/>
  <c r="AB449" i="15"/>
  <c r="Y450" i="15"/>
  <c r="R450" i="15"/>
  <c r="Q450" i="15"/>
  <c r="Z450" i="15"/>
  <c r="T450" i="15"/>
  <c r="S450" i="15"/>
  <c r="AA450" i="15"/>
  <c r="V450" i="15"/>
  <c r="U450" i="15"/>
  <c r="AB450" i="15"/>
  <c r="Y451" i="15"/>
  <c r="R451" i="15"/>
  <c r="Q451" i="15"/>
  <c r="Z451" i="15"/>
  <c r="T451" i="15"/>
  <c r="S451" i="15"/>
  <c r="AA451" i="15"/>
  <c r="V451" i="15"/>
  <c r="U451" i="15"/>
  <c r="AB451" i="15"/>
  <c r="Y452" i="15"/>
  <c r="R452" i="15"/>
  <c r="Q452" i="15"/>
  <c r="Z452" i="15"/>
  <c r="T452" i="15"/>
  <c r="S452" i="15"/>
  <c r="AA452" i="15"/>
  <c r="V452" i="15"/>
  <c r="U452" i="15"/>
  <c r="AB452" i="15"/>
  <c r="Y453" i="15"/>
  <c r="R453" i="15"/>
  <c r="Q453" i="15"/>
  <c r="Z453" i="15"/>
  <c r="T453" i="15"/>
  <c r="S453" i="15"/>
  <c r="AA453" i="15"/>
  <c r="V453" i="15"/>
  <c r="U453" i="15"/>
  <c r="AB453" i="15"/>
  <c r="Y454" i="15"/>
  <c r="R454" i="15"/>
  <c r="Q454" i="15"/>
  <c r="Z454" i="15"/>
  <c r="T454" i="15"/>
  <c r="S454" i="15"/>
  <c r="AA454" i="15"/>
  <c r="V454" i="15"/>
  <c r="U454" i="15"/>
  <c r="AB454" i="15"/>
  <c r="Y455" i="15"/>
  <c r="R455" i="15"/>
  <c r="Q455" i="15"/>
  <c r="Z455" i="15"/>
  <c r="T455" i="15"/>
  <c r="S455" i="15"/>
  <c r="AA455" i="15"/>
  <c r="V455" i="15"/>
  <c r="U455" i="15"/>
  <c r="AB455" i="15"/>
  <c r="Y456" i="15"/>
  <c r="R456" i="15"/>
  <c r="Q456" i="15"/>
  <c r="Z456" i="15"/>
  <c r="T456" i="15"/>
  <c r="S456" i="15"/>
  <c r="AA456" i="15"/>
  <c r="V456" i="15"/>
  <c r="U456" i="15"/>
  <c r="AB456" i="15"/>
  <c r="Y457" i="15"/>
  <c r="R457" i="15"/>
  <c r="Q457" i="15"/>
  <c r="Z457" i="15"/>
  <c r="T457" i="15"/>
  <c r="S457" i="15"/>
  <c r="AA457" i="15"/>
  <c r="V457" i="15"/>
  <c r="U457" i="15"/>
  <c r="AB457" i="15"/>
  <c r="Y458" i="15"/>
  <c r="R458" i="15"/>
  <c r="Q458" i="15"/>
  <c r="Z458" i="15"/>
  <c r="T458" i="15"/>
  <c r="S458" i="15"/>
  <c r="AA458" i="15"/>
  <c r="V458" i="15"/>
  <c r="U458" i="15"/>
  <c r="AB458" i="15"/>
  <c r="Y459" i="15"/>
  <c r="R459" i="15"/>
  <c r="Q459" i="15"/>
  <c r="Z459" i="15"/>
  <c r="T459" i="15"/>
  <c r="S459" i="15"/>
  <c r="AA459" i="15"/>
  <c r="V459" i="15"/>
  <c r="U459" i="15"/>
  <c r="AB459" i="15"/>
  <c r="Y460" i="15"/>
  <c r="R460" i="15"/>
  <c r="Q460" i="15"/>
  <c r="Z460" i="15"/>
  <c r="T460" i="15"/>
  <c r="S460" i="15"/>
  <c r="AA460" i="15"/>
  <c r="V460" i="15"/>
  <c r="U460" i="15"/>
  <c r="AB460" i="15"/>
  <c r="Y461" i="15"/>
  <c r="R461" i="15"/>
  <c r="Q461" i="15"/>
  <c r="Z461" i="15"/>
  <c r="T461" i="15"/>
  <c r="S461" i="15"/>
  <c r="AA461" i="15"/>
  <c r="V461" i="15"/>
  <c r="U461" i="15"/>
  <c r="AB461" i="15"/>
  <c r="Y462" i="15"/>
  <c r="R462" i="15"/>
  <c r="Q462" i="15"/>
  <c r="Z462" i="15"/>
  <c r="T462" i="15"/>
  <c r="S462" i="15"/>
  <c r="AA462" i="15"/>
  <c r="V462" i="15"/>
  <c r="U462" i="15"/>
  <c r="AB462" i="15"/>
  <c r="Y463" i="15"/>
  <c r="R463" i="15"/>
  <c r="Q463" i="15"/>
  <c r="Z463" i="15"/>
  <c r="T463" i="15"/>
  <c r="S463" i="15"/>
  <c r="AA463" i="15"/>
  <c r="V463" i="15"/>
  <c r="U463" i="15"/>
  <c r="AB463" i="15"/>
  <c r="Y464" i="15"/>
  <c r="R464" i="15"/>
  <c r="Q464" i="15"/>
  <c r="Z464" i="15"/>
  <c r="T464" i="15"/>
  <c r="S464" i="15"/>
  <c r="AA464" i="15"/>
  <c r="V464" i="15"/>
  <c r="U464" i="15"/>
  <c r="AB464" i="15"/>
  <c r="Y465" i="15"/>
  <c r="R465" i="15"/>
  <c r="Q465" i="15"/>
  <c r="Z465" i="15"/>
  <c r="T465" i="15"/>
  <c r="S465" i="15"/>
  <c r="AA465" i="15"/>
  <c r="V465" i="15"/>
  <c r="U465" i="15"/>
  <c r="AB465" i="15"/>
  <c r="Y466" i="15"/>
  <c r="R466" i="15"/>
  <c r="Q466" i="15"/>
  <c r="Z466" i="15"/>
  <c r="T466" i="15"/>
  <c r="S466" i="15"/>
  <c r="AA466" i="15"/>
  <c r="V466" i="15"/>
  <c r="U466" i="15"/>
  <c r="AB466" i="15"/>
  <c r="Y467" i="15"/>
  <c r="R467" i="15"/>
  <c r="Q467" i="15"/>
  <c r="Z467" i="15"/>
  <c r="T467" i="15"/>
  <c r="S467" i="15"/>
  <c r="AA467" i="15"/>
  <c r="V467" i="15"/>
  <c r="U467" i="15"/>
  <c r="AB467" i="15"/>
  <c r="Y468" i="15"/>
  <c r="R468" i="15"/>
  <c r="Q468" i="15"/>
  <c r="Z468" i="15"/>
  <c r="T468" i="15"/>
  <c r="S468" i="15"/>
  <c r="AA468" i="15"/>
  <c r="V468" i="15"/>
  <c r="U468" i="15"/>
  <c r="AB468" i="15"/>
  <c r="Y469" i="15"/>
  <c r="R469" i="15"/>
  <c r="Q469" i="15"/>
  <c r="Z469" i="15"/>
  <c r="T469" i="15"/>
  <c r="S469" i="15"/>
  <c r="AA469" i="15"/>
  <c r="V469" i="15"/>
  <c r="U469" i="15"/>
  <c r="AB469" i="15"/>
  <c r="Y470" i="15"/>
  <c r="R470" i="15"/>
  <c r="Q470" i="15"/>
  <c r="Z470" i="15"/>
  <c r="T470" i="15"/>
  <c r="S470" i="15"/>
  <c r="AA470" i="15"/>
  <c r="V470" i="15"/>
  <c r="U470" i="15"/>
  <c r="AB470" i="15"/>
  <c r="Y471" i="15"/>
  <c r="R471" i="15"/>
  <c r="Q471" i="15"/>
  <c r="Z471" i="15"/>
  <c r="T471" i="15"/>
  <c r="S471" i="15"/>
  <c r="AA471" i="15"/>
  <c r="V471" i="15"/>
  <c r="U471" i="15"/>
  <c r="AB471" i="15"/>
  <c r="Y472" i="15"/>
  <c r="R472" i="15"/>
  <c r="Q472" i="15"/>
  <c r="Z472" i="15"/>
  <c r="T472" i="15"/>
  <c r="S472" i="15"/>
  <c r="AA472" i="15"/>
  <c r="V472" i="15"/>
  <c r="U472" i="15"/>
  <c r="AB472" i="15"/>
  <c r="Y473" i="15"/>
  <c r="R473" i="15"/>
  <c r="Q473" i="15"/>
  <c r="Z473" i="15"/>
  <c r="T473" i="15"/>
  <c r="S473" i="15"/>
  <c r="AA473" i="15"/>
  <c r="V473" i="15"/>
  <c r="U473" i="15"/>
  <c r="AB473" i="15"/>
  <c r="Y474" i="15"/>
  <c r="R474" i="15"/>
  <c r="Q474" i="15"/>
  <c r="Z474" i="15"/>
  <c r="T474" i="15"/>
  <c r="S474" i="15"/>
  <c r="AA474" i="15"/>
  <c r="V474" i="15"/>
  <c r="U474" i="15"/>
  <c r="AB474" i="15"/>
  <c r="Y475" i="15"/>
  <c r="R475" i="15"/>
  <c r="Q475" i="15"/>
  <c r="Z475" i="15"/>
  <c r="T475" i="15"/>
  <c r="S475" i="15"/>
  <c r="AA475" i="15"/>
  <c r="V475" i="15"/>
  <c r="U475" i="15"/>
  <c r="AB475" i="15"/>
  <c r="Y476" i="15"/>
  <c r="R476" i="15"/>
  <c r="Q476" i="15"/>
  <c r="Z476" i="15"/>
  <c r="T476" i="15"/>
  <c r="S476" i="15"/>
  <c r="AA476" i="15"/>
  <c r="V476" i="15"/>
  <c r="U476" i="15"/>
  <c r="AB476" i="15"/>
  <c r="Y477" i="15"/>
  <c r="R477" i="15"/>
  <c r="Q477" i="15"/>
  <c r="Z477" i="15"/>
  <c r="T477" i="15"/>
  <c r="S477" i="15"/>
  <c r="AA477" i="15"/>
  <c r="V477" i="15"/>
  <c r="U477" i="15"/>
  <c r="AB477" i="15"/>
  <c r="Y478" i="15"/>
  <c r="R478" i="15"/>
  <c r="Q478" i="15"/>
  <c r="Z478" i="15"/>
  <c r="T478" i="15"/>
  <c r="S478" i="15"/>
  <c r="AA478" i="15"/>
  <c r="V478" i="15"/>
  <c r="U478" i="15"/>
  <c r="AB478" i="15"/>
  <c r="Y479" i="15"/>
  <c r="R479" i="15"/>
  <c r="Q479" i="15"/>
  <c r="Z479" i="15"/>
  <c r="T479" i="15"/>
  <c r="S479" i="15"/>
  <c r="AA479" i="15"/>
  <c r="V479" i="15"/>
  <c r="U479" i="15"/>
  <c r="AB479" i="15"/>
  <c r="Y480" i="15"/>
  <c r="R480" i="15"/>
  <c r="Q480" i="15"/>
  <c r="Z480" i="15"/>
  <c r="T480" i="15"/>
  <c r="S480" i="15"/>
  <c r="AA480" i="15"/>
  <c r="V480" i="15"/>
  <c r="U480" i="15"/>
  <c r="AB480" i="15"/>
  <c r="Y481" i="15"/>
  <c r="R481" i="15"/>
  <c r="Q481" i="15"/>
  <c r="Z481" i="15"/>
  <c r="T481" i="15"/>
  <c r="S481" i="15"/>
  <c r="AA481" i="15"/>
  <c r="V481" i="15"/>
  <c r="U481" i="15"/>
  <c r="AB481" i="15"/>
  <c r="Y482" i="15"/>
  <c r="R482" i="15"/>
  <c r="Q482" i="15"/>
  <c r="Z482" i="15"/>
  <c r="T482" i="15"/>
  <c r="S482" i="15"/>
  <c r="AA482" i="15"/>
  <c r="V482" i="15"/>
  <c r="U482" i="15"/>
  <c r="AB482" i="15"/>
  <c r="Y483" i="15"/>
  <c r="R483" i="15"/>
  <c r="Q483" i="15"/>
  <c r="Z483" i="15"/>
  <c r="T483" i="15"/>
  <c r="S483" i="15"/>
  <c r="AA483" i="15"/>
  <c r="V483" i="15"/>
  <c r="U483" i="15"/>
  <c r="AB483" i="15"/>
  <c r="Y484" i="15"/>
  <c r="R484" i="15"/>
  <c r="Q484" i="15"/>
  <c r="Z484" i="15"/>
  <c r="T484" i="15"/>
  <c r="S484" i="15"/>
  <c r="AA484" i="15"/>
  <c r="V484" i="15"/>
  <c r="U484" i="15"/>
  <c r="AB484" i="15"/>
  <c r="Y485" i="15"/>
  <c r="R485" i="15"/>
  <c r="Q485" i="15"/>
  <c r="Z485" i="15"/>
  <c r="T485" i="15"/>
  <c r="S485" i="15"/>
  <c r="AA485" i="15"/>
  <c r="V485" i="15"/>
  <c r="U485" i="15"/>
  <c r="AB485" i="15"/>
  <c r="Y486" i="15"/>
  <c r="R486" i="15"/>
  <c r="Q486" i="15"/>
  <c r="Z486" i="15"/>
  <c r="T486" i="15"/>
  <c r="S486" i="15"/>
  <c r="AA486" i="15"/>
  <c r="V486" i="15"/>
  <c r="U486" i="15"/>
  <c r="AB486" i="15"/>
  <c r="Y487" i="15"/>
  <c r="R487" i="15"/>
  <c r="Q487" i="15"/>
  <c r="Z487" i="15"/>
  <c r="T487" i="15"/>
  <c r="S487" i="15"/>
  <c r="AA487" i="15"/>
  <c r="V487" i="15"/>
  <c r="U487" i="15"/>
  <c r="AB487" i="15"/>
  <c r="Y488" i="15"/>
  <c r="R488" i="15"/>
  <c r="Q488" i="15"/>
  <c r="Z488" i="15"/>
  <c r="T488" i="15"/>
  <c r="S488" i="15"/>
  <c r="AA488" i="15"/>
  <c r="V488" i="15"/>
  <c r="U488" i="15"/>
  <c r="AB488" i="15"/>
  <c r="Y489" i="15"/>
  <c r="R489" i="15"/>
  <c r="Q489" i="15"/>
  <c r="Z489" i="15"/>
  <c r="T489" i="15"/>
  <c r="S489" i="15"/>
  <c r="AA489" i="15"/>
  <c r="V489" i="15"/>
  <c r="U489" i="15"/>
  <c r="AB489" i="15"/>
  <c r="Y490" i="15"/>
  <c r="R490" i="15"/>
  <c r="Q490" i="15"/>
  <c r="Z490" i="15"/>
  <c r="T490" i="15"/>
  <c r="S490" i="15"/>
  <c r="AA490" i="15"/>
  <c r="V490" i="15"/>
  <c r="U490" i="15"/>
  <c r="AB490" i="15"/>
  <c r="Y491" i="15"/>
  <c r="R491" i="15"/>
  <c r="Q491" i="15"/>
  <c r="Z491" i="15"/>
  <c r="T491" i="15"/>
  <c r="S491" i="15"/>
  <c r="AA491" i="15"/>
  <c r="V491" i="15"/>
  <c r="U491" i="15"/>
  <c r="AB491" i="15"/>
  <c r="Y492" i="15"/>
  <c r="R492" i="15"/>
  <c r="Q492" i="15"/>
  <c r="Z492" i="15"/>
  <c r="T492" i="15"/>
  <c r="S492" i="15"/>
  <c r="AA492" i="15"/>
  <c r="V492" i="15"/>
  <c r="U492" i="15"/>
  <c r="AB492" i="15"/>
  <c r="Y493" i="15"/>
  <c r="R493" i="15"/>
  <c r="Q493" i="15"/>
  <c r="Z493" i="15"/>
  <c r="T493" i="15"/>
  <c r="S493" i="15"/>
  <c r="AA493" i="15"/>
  <c r="V493" i="15"/>
  <c r="U493" i="15"/>
  <c r="AB493" i="15"/>
  <c r="Y494" i="15"/>
  <c r="R494" i="15"/>
  <c r="Q494" i="15"/>
  <c r="Z494" i="15"/>
  <c r="T494" i="15"/>
  <c r="S494" i="15"/>
  <c r="AA494" i="15"/>
  <c r="V494" i="15"/>
  <c r="U494" i="15"/>
  <c r="AB494" i="15"/>
  <c r="Y495" i="15"/>
  <c r="R495" i="15"/>
  <c r="Q495" i="15"/>
  <c r="Z495" i="15"/>
  <c r="T495" i="15"/>
  <c r="S495" i="15"/>
  <c r="AA495" i="15"/>
  <c r="V495" i="15"/>
  <c r="U495" i="15"/>
  <c r="AB495" i="15"/>
  <c r="Y496" i="15"/>
  <c r="R496" i="15"/>
  <c r="Q496" i="15"/>
  <c r="Z496" i="15"/>
  <c r="T496" i="15"/>
  <c r="S496" i="15"/>
  <c r="AA496" i="15"/>
  <c r="V496" i="15"/>
  <c r="U496" i="15"/>
  <c r="AB496" i="15"/>
  <c r="Y497" i="15"/>
  <c r="R497" i="15"/>
  <c r="Q497" i="15"/>
  <c r="Z497" i="15"/>
  <c r="T497" i="15"/>
  <c r="S497" i="15"/>
  <c r="AA497" i="15"/>
  <c r="V497" i="15"/>
  <c r="U497" i="15"/>
  <c r="AB497" i="15"/>
  <c r="Y498" i="15"/>
  <c r="R498" i="15"/>
  <c r="Q498" i="15"/>
  <c r="Z498" i="15"/>
  <c r="T498" i="15"/>
  <c r="S498" i="15"/>
  <c r="AA498" i="15"/>
  <c r="V498" i="15"/>
  <c r="U498" i="15"/>
  <c r="AB498" i="15"/>
  <c r="Y499" i="15"/>
  <c r="R499" i="15"/>
  <c r="Q499" i="15"/>
  <c r="Z499" i="15"/>
  <c r="T499" i="15"/>
  <c r="S499" i="15"/>
  <c r="AA499" i="15"/>
  <c r="V499" i="15"/>
  <c r="U499" i="15"/>
  <c r="AB499" i="15"/>
  <c r="Y500" i="15"/>
  <c r="R500" i="15"/>
  <c r="Q500" i="15"/>
  <c r="Z500" i="15"/>
  <c r="T500" i="15"/>
  <c r="S500" i="15"/>
  <c r="AA500" i="15"/>
  <c r="V500" i="15"/>
  <c r="U500" i="15"/>
  <c r="AB500" i="15"/>
  <c r="Y501" i="15"/>
  <c r="R501" i="15"/>
  <c r="Q501" i="15"/>
  <c r="Z501" i="15"/>
  <c r="T501" i="15"/>
  <c r="S501" i="15"/>
  <c r="AA501" i="15"/>
  <c r="V501" i="15"/>
  <c r="U501" i="15"/>
  <c r="AB501" i="15"/>
  <c r="Y502" i="15"/>
  <c r="R502" i="15"/>
  <c r="Q502" i="15"/>
  <c r="Z502" i="15"/>
  <c r="T502" i="15"/>
  <c r="S502" i="15"/>
  <c r="AA502" i="15"/>
  <c r="V502" i="15"/>
  <c r="U502" i="15"/>
  <c r="AB502" i="15"/>
  <c r="Y503" i="15"/>
  <c r="R503" i="15"/>
  <c r="Q503" i="15"/>
  <c r="Z503" i="15"/>
  <c r="T503" i="15"/>
  <c r="S503" i="15"/>
  <c r="AA503" i="15"/>
  <c r="V503" i="15"/>
  <c r="U503" i="15"/>
  <c r="AB503" i="15"/>
  <c r="Y504" i="15"/>
  <c r="R504" i="15"/>
  <c r="Q504" i="15"/>
  <c r="Z504" i="15"/>
  <c r="T504" i="15"/>
  <c r="S504" i="15"/>
  <c r="AA504" i="15"/>
  <c r="V504" i="15"/>
  <c r="U504" i="15"/>
  <c r="AB504" i="15"/>
  <c r="Y505" i="15"/>
  <c r="R505" i="15"/>
  <c r="Q505" i="15"/>
  <c r="Z505" i="15"/>
  <c r="T505" i="15"/>
  <c r="S505" i="15"/>
  <c r="AA505" i="15"/>
  <c r="V505" i="15"/>
  <c r="U505" i="15"/>
  <c r="AB505" i="15"/>
  <c r="Y506" i="15"/>
  <c r="R506" i="15"/>
  <c r="Q506" i="15"/>
  <c r="Z506" i="15"/>
  <c r="T506" i="15"/>
  <c r="S506" i="15"/>
  <c r="AA506" i="15"/>
  <c r="V506" i="15"/>
  <c r="U506" i="15"/>
  <c r="AB506" i="15"/>
  <c r="Y507" i="15"/>
  <c r="R507" i="15"/>
  <c r="Q507" i="15"/>
  <c r="Z507" i="15"/>
  <c r="T507" i="15"/>
  <c r="S507" i="15"/>
  <c r="AA507" i="15"/>
  <c r="V507" i="15"/>
  <c r="U507" i="15"/>
  <c r="AB507" i="15"/>
  <c r="Y508" i="15"/>
  <c r="R508" i="15"/>
  <c r="Q508" i="15"/>
  <c r="Z508" i="15"/>
  <c r="T508" i="15"/>
  <c r="S508" i="15"/>
  <c r="AA508" i="15"/>
  <c r="V508" i="15"/>
  <c r="U508" i="15"/>
  <c r="AB508" i="15"/>
  <c r="Y509" i="15"/>
  <c r="R509" i="15"/>
  <c r="Q509" i="15"/>
  <c r="Z509" i="15"/>
  <c r="T509" i="15"/>
  <c r="S509" i="15"/>
  <c r="AA509" i="15"/>
  <c r="V509" i="15"/>
  <c r="U509" i="15"/>
  <c r="AB509" i="15"/>
  <c r="Y510" i="15"/>
  <c r="R510" i="15"/>
  <c r="Q510" i="15"/>
  <c r="Z510" i="15"/>
  <c r="T510" i="15"/>
  <c r="S510" i="15"/>
  <c r="AA510" i="15"/>
  <c r="V510" i="15"/>
  <c r="U510" i="15"/>
  <c r="AB510" i="15"/>
  <c r="Y511" i="15"/>
  <c r="R511" i="15"/>
  <c r="Q511" i="15"/>
  <c r="Z511" i="15"/>
  <c r="T511" i="15"/>
  <c r="S511" i="15"/>
  <c r="AA511" i="15"/>
  <c r="V511" i="15"/>
  <c r="U511" i="15"/>
  <c r="AB511" i="15"/>
  <c r="Y512" i="15"/>
  <c r="R512" i="15"/>
  <c r="Q512" i="15"/>
  <c r="Z512" i="15"/>
  <c r="T512" i="15"/>
  <c r="S512" i="15"/>
  <c r="AA512" i="15"/>
  <c r="V512" i="15"/>
  <c r="U512" i="15"/>
  <c r="AB512" i="15"/>
  <c r="Y513" i="15"/>
  <c r="R513" i="15"/>
  <c r="Q513" i="15"/>
  <c r="Z513" i="15"/>
  <c r="T513" i="15"/>
  <c r="S513" i="15"/>
  <c r="AA513" i="15"/>
  <c r="V513" i="15"/>
  <c r="U513" i="15"/>
  <c r="AB513" i="15"/>
  <c r="Y514" i="15"/>
  <c r="R514" i="15"/>
  <c r="Q514" i="15"/>
  <c r="Z514" i="15"/>
  <c r="T514" i="15"/>
  <c r="S514" i="15"/>
  <c r="AA514" i="15"/>
  <c r="V514" i="15"/>
  <c r="U514" i="15"/>
  <c r="AB514" i="15"/>
  <c r="Y515" i="15"/>
  <c r="R515" i="15"/>
  <c r="Q515" i="15"/>
  <c r="Z515" i="15"/>
  <c r="T515" i="15"/>
  <c r="S515" i="15"/>
  <c r="AA515" i="15"/>
  <c r="V515" i="15"/>
  <c r="U515" i="15"/>
  <c r="AB515" i="15"/>
  <c r="Y516" i="15"/>
  <c r="R516" i="15"/>
  <c r="Q516" i="15"/>
  <c r="Z516" i="15"/>
  <c r="T516" i="15"/>
  <c r="S516" i="15"/>
  <c r="AA516" i="15"/>
  <c r="V516" i="15"/>
  <c r="U516" i="15"/>
  <c r="AB516" i="15"/>
  <c r="Y517" i="15"/>
  <c r="R517" i="15"/>
  <c r="Q517" i="15"/>
  <c r="Z517" i="15"/>
  <c r="T517" i="15"/>
  <c r="S517" i="15"/>
  <c r="AA517" i="15"/>
  <c r="V517" i="15"/>
  <c r="U517" i="15"/>
  <c r="AB517" i="15"/>
  <c r="Y518" i="15"/>
  <c r="R518" i="15"/>
  <c r="Q518" i="15"/>
  <c r="Z518" i="15"/>
  <c r="T518" i="15"/>
  <c r="S518" i="15"/>
  <c r="AA518" i="15"/>
  <c r="V518" i="15"/>
  <c r="U518" i="15"/>
  <c r="AB518" i="15"/>
  <c r="Y519" i="15"/>
  <c r="R519" i="15"/>
  <c r="Q519" i="15"/>
  <c r="Z519" i="15"/>
  <c r="T519" i="15"/>
  <c r="S519" i="15"/>
  <c r="AA519" i="15"/>
  <c r="V519" i="15"/>
  <c r="U519" i="15"/>
  <c r="AB519" i="15"/>
  <c r="Y520" i="15"/>
  <c r="R520" i="15"/>
  <c r="Q520" i="15"/>
  <c r="Z520" i="15"/>
  <c r="T520" i="15"/>
  <c r="S520" i="15"/>
  <c r="AA520" i="15"/>
  <c r="V520" i="15"/>
  <c r="U520" i="15"/>
  <c r="AB520" i="15"/>
  <c r="Y521" i="15"/>
  <c r="R521" i="15"/>
  <c r="Q521" i="15"/>
  <c r="Z521" i="15"/>
  <c r="T521" i="15"/>
  <c r="S521" i="15"/>
  <c r="AA521" i="15"/>
  <c r="V521" i="15"/>
  <c r="U521" i="15"/>
  <c r="AB521" i="15"/>
  <c r="Y522" i="15"/>
  <c r="R522" i="15"/>
  <c r="Q522" i="15"/>
  <c r="Z522" i="15"/>
  <c r="T522" i="15"/>
  <c r="S522" i="15"/>
  <c r="AA522" i="15"/>
  <c r="V522" i="15"/>
  <c r="U522" i="15"/>
  <c r="AB522" i="15"/>
  <c r="Y523" i="15"/>
  <c r="R523" i="15"/>
  <c r="Q523" i="15"/>
  <c r="Z523" i="15"/>
  <c r="T523" i="15"/>
  <c r="S523" i="15"/>
  <c r="AA523" i="15"/>
  <c r="V523" i="15"/>
  <c r="U523" i="15"/>
  <c r="AB523" i="15"/>
  <c r="Y524" i="15"/>
  <c r="R524" i="15"/>
  <c r="Q524" i="15"/>
  <c r="Z524" i="15"/>
  <c r="T524" i="15"/>
  <c r="S524" i="15"/>
  <c r="AA524" i="15"/>
  <c r="V524" i="15"/>
  <c r="U524" i="15"/>
  <c r="AB524" i="15"/>
  <c r="Y525" i="15"/>
  <c r="R525" i="15"/>
  <c r="Q525" i="15"/>
  <c r="Z525" i="15"/>
  <c r="T525" i="15"/>
  <c r="S525" i="15"/>
  <c r="AA525" i="15"/>
  <c r="V525" i="15"/>
  <c r="U525" i="15"/>
  <c r="AB525" i="15"/>
  <c r="Y526" i="15"/>
  <c r="R526" i="15"/>
  <c r="Q526" i="15"/>
  <c r="Z526" i="15"/>
  <c r="T526" i="15"/>
  <c r="S526" i="15"/>
  <c r="AA526" i="15"/>
  <c r="V526" i="15"/>
  <c r="U526" i="15"/>
  <c r="AB526" i="15"/>
  <c r="Y527" i="15"/>
  <c r="R527" i="15"/>
  <c r="Q527" i="15"/>
  <c r="Z527" i="15"/>
  <c r="T527" i="15"/>
  <c r="S527" i="15"/>
  <c r="AA527" i="15"/>
  <c r="V527" i="15"/>
  <c r="U527" i="15"/>
  <c r="AB527" i="15"/>
  <c r="Y528" i="15"/>
  <c r="R528" i="15"/>
  <c r="Q528" i="15"/>
  <c r="Z528" i="15"/>
  <c r="T528" i="15"/>
  <c r="S528" i="15"/>
  <c r="AA528" i="15"/>
  <c r="V528" i="15"/>
  <c r="U528" i="15"/>
  <c r="AB528" i="15"/>
  <c r="E228" i="24"/>
  <c r="D228" i="24"/>
  <c r="C228" i="24"/>
  <c r="Y324" i="15"/>
  <c r="Y325" i="15"/>
  <c r="Y326" i="15"/>
  <c r="Y327" i="15"/>
  <c r="R324" i="15"/>
  <c r="Q324" i="15"/>
  <c r="Z324" i="15"/>
  <c r="T324" i="15"/>
  <c r="S324" i="15"/>
  <c r="AA324" i="15"/>
  <c r="V324" i="15"/>
  <c r="U324" i="15"/>
  <c r="AB324" i="15"/>
  <c r="R325" i="15"/>
  <c r="Q325" i="15"/>
  <c r="Z325" i="15"/>
  <c r="T325" i="15"/>
  <c r="S325" i="15"/>
  <c r="AA325" i="15"/>
  <c r="V325" i="15"/>
  <c r="U325" i="15"/>
  <c r="AB325" i="15"/>
  <c r="R326" i="15"/>
  <c r="Q326" i="15"/>
  <c r="Z326" i="15"/>
  <c r="T326" i="15"/>
  <c r="S326" i="15"/>
  <c r="AA326" i="15"/>
  <c r="V326" i="15"/>
  <c r="U326" i="15"/>
  <c r="AB326" i="15"/>
  <c r="R327" i="15"/>
  <c r="Q327" i="15"/>
  <c r="Z327" i="15"/>
  <c r="T327" i="15"/>
  <c r="S327" i="15"/>
  <c r="AA327" i="15"/>
  <c r="V327" i="15"/>
  <c r="U327" i="15"/>
  <c r="AB327" i="15"/>
  <c r="Y328" i="15"/>
  <c r="R328" i="15"/>
  <c r="Q328" i="15"/>
  <c r="Z328" i="15"/>
  <c r="T328" i="15"/>
  <c r="S328" i="15"/>
  <c r="AA328" i="15"/>
  <c r="V328" i="15"/>
  <c r="U328" i="15"/>
  <c r="AB328" i="15"/>
  <c r="Y329" i="15"/>
  <c r="R329" i="15"/>
  <c r="Q329" i="15"/>
  <c r="Z329" i="15"/>
  <c r="T329" i="15"/>
  <c r="S329" i="15"/>
  <c r="AA329" i="15"/>
  <c r="V329" i="15"/>
  <c r="U329" i="15"/>
  <c r="AB329" i="15"/>
  <c r="Y330" i="15"/>
  <c r="R330" i="15"/>
  <c r="Q330" i="15"/>
  <c r="Z330" i="15"/>
  <c r="T330" i="15"/>
  <c r="S330" i="15"/>
  <c r="AA330" i="15"/>
  <c r="V330" i="15"/>
  <c r="U330" i="15"/>
  <c r="AB330" i="15"/>
  <c r="Y331" i="15"/>
  <c r="R331" i="15"/>
  <c r="Q331" i="15"/>
  <c r="Z331" i="15"/>
  <c r="T331" i="15"/>
  <c r="S331" i="15"/>
  <c r="AA331" i="15"/>
  <c r="V331" i="15"/>
  <c r="U331" i="15"/>
  <c r="AB331" i="15"/>
  <c r="Y332" i="15"/>
  <c r="R332" i="15"/>
  <c r="Q332" i="15"/>
  <c r="Z332" i="15"/>
  <c r="T332" i="15"/>
  <c r="S332" i="15"/>
  <c r="AA332" i="15"/>
  <c r="V332" i="15"/>
  <c r="U332" i="15"/>
  <c r="AB332" i="15"/>
  <c r="Y333" i="15"/>
  <c r="R333" i="15"/>
  <c r="Q333" i="15"/>
  <c r="Z333" i="15"/>
  <c r="T333" i="15"/>
  <c r="S333" i="15"/>
  <c r="AA333" i="15"/>
  <c r="V333" i="15"/>
  <c r="U333" i="15"/>
  <c r="AB333" i="15"/>
  <c r="Y334" i="15"/>
  <c r="R334" i="15"/>
  <c r="Q334" i="15"/>
  <c r="Z334" i="15"/>
  <c r="T334" i="15"/>
  <c r="S334" i="15"/>
  <c r="AA334" i="15"/>
  <c r="V334" i="15"/>
  <c r="U334" i="15"/>
  <c r="AB334" i="15"/>
  <c r="Y335" i="15"/>
  <c r="R335" i="15"/>
  <c r="Q335" i="15"/>
  <c r="Z335" i="15"/>
  <c r="T335" i="15"/>
  <c r="S335" i="15"/>
  <c r="AA335" i="15"/>
  <c r="V335" i="15"/>
  <c r="U335" i="15"/>
  <c r="AB335" i="15"/>
  <c r="Y336" i="15"/>
  <c r="R336" i="15"/>
  <c r="Q336" i="15"/>
  <c r="Z336" i="15"/>
  <c r="T336" i="15"/>
  <c r="S336" i="15"/>
  <c r="AA336" i="15"/>
  <c r="V336" i="15"/>
  <c r="U336" i="15"/>
  <c r="AB336" i="15"/>
  <c r="Y337" i="15"/>
  <c r="R337" i="15"/>
  <c r="Q337" i="15"/>
  <c r="Z337" i="15"/>
  <c r="T337" i="15"/>
  <c r="S337" i="15"/>
  <c r="AA337" i="15"/>
  <c r="V337" i="15"/>
  <c r="U337" i="15"/>
  <c r="AB337" i="15"/>
  <c r="Y338" i="15"/>
  <c r="R338" i="15"/>
  <c r="Q338" i="15"/>
  <c r="Z338" i="15"/>
  <c r="T338" i="15"/>
  <c r="S338" i="15"/>
  <c r="AA338" i="15"/>
  <c r="V338" i="15"/>
  <c r="U338" i="15"/>
  <c r="AB338" i="15"/>
  <c r="Y339" i="15"/>
  <c r="R339" i="15"/>
  <c r="Q339" i="15"/>
  <c r="Z339" i="15"/>
  <c r="T339" i="15"/>
  <c r="S339" i="15"/>
  <c r="AA339" i="15"/>
  <c r="V339" i="15"/>
  <c r="U339" i="15"/>
  <c r="AB339" i="15"/>
  <c r="Y340" i="15"/>
  <c r="R340" i="15"/>
  <c r="Q340" i="15"/>
  <c r="Z340" i="15"/>
  <c r="T340" i="15"/>
  <c r="S340" i="15"/>
  <c r="AA340" i="15"/>
  <c r="V340" i="15"/>
  <c r="U340" i="15"/>
  <c r="AB340" i="15"/>
  <c r="Y341" i="15"/>
  <c r="R341" i="15"/>
  <c r="Q341" i="15"/>
  <c r="Z341" i="15"/>
  <c r="T341" i="15"/>
  <c r="S341" i="15"/>
  <c r="AA341" i="15"/>
  <c r="V341" i="15"/>
  <c r="U341" i="15"/>
  <c r="AB341" i="15"/>
  <c r="Y342" i="15"/>
  <c r="R342" i="15"/>
  <c r="Q342" i="15"/>
  <c r="Z342" i="15"/>
  <c r="T342" i="15"/>
  <c r="S342" i="15"/>
  <c r="AA342" i="15"/>
  <c r="V342" i="15"/>
  <c r="U342" i="15"/>
  <c r="AB342" i="15"/>
  <c r="Y343" i="15"/>
  <c r="R343" i="15"/>
  <c r="Q343" i="15"/>
  <c r="Z343" i="15"/>
  <c r="T343" i="15"/>
  <c r="S343" i="15"/>
  <c r="AA343" i="15"/>
  <c r="V343" i="15"/>
  <c r="U343" i="15"/>
  <c r="AB343" i="15"/>
  <c r="Y344" i="15"/>
  <c r="R344" i="15"/>
  <c r="Q344" i="15"/>
  <c r="Z344" i="15"/>
  <c r="T344" i="15"/>
  <c r="S344" i="15"/>
  <c r="AA344" i="15"/>
  <c r="V344" i="15"/>
  <c r="U344" i="15"/>
  <c r="AB344" i="15"/>
  <c r="Y345" i="15"/>
  <c r="R345" i="15"/>
  <c r="Q345" i="15"/>
  <c r="Z345" i="15"/>
  <c r="T345" i="15"/>
  <c r="S345" i="15"/>
  <c r="AA345" i="15"/>
  <c r="V345" i="15"/>
  <c r="U345" i="15"/>
  <c r="AB345" i="15"/>
  <c r="Y346" i="15"/>
  <c r="R346" i="15"/>
  <c r="Q346" i="15"/>
  <c r="Z346" i="15"/>
  <c r="T346" i="15"/>
  <c r="S346" i="15"/>
  <c r="AA346" i="15"/>
  <c r="V346" i="15"/>
  <c r="U346" i="15"/>
  <c r="AB346" i="15"/>
  <c r="Y347" i="15"/>
  <c r="R347" i="15"/>
  <c r="Q347" i="15"/>
  <c r="Z347" i="15"/>
  <c r="T347" i="15"/>
  <c r="S347" i="15"/>
  <c r="AA347" i="15"/>
  <c r="V347" i="15"/>
  <c r="U347" i="15"/>
  <c r="AB347" i="15"/>
  <c r="Y348" i="15"/>
  <c r="R348" i="15"/>
  <c r="Q348" i="15"/>
  <c r="Z348" i="15"/>
  <c r="T348" i="15"/>
  <c r="S348" i="15"/>
  <c r="AA348" i="15"/>
  <c r="V348" i="15"/>
  <c r="U348" i="15"/>
  <c r="AB348" i="15"/>
  <c r="Y349" i="15"/>
  <c r="R349" i="15"/>
  <c r="Q349" i="15"/>
  <c r="Z349" i="15"/>
  <c r="T349" i="15"/>
  <c r="S349" i="15"/>
  <c r="AA349" i="15"/>
  <c r="V349" i="15"/>
  <c r="U349" i="15"/>
  <c r="AB349" i="15"/>
  <c r="Y350" i="15"/>
  <c r="R350" i="15"/>
  <c r="Q350" i="15"/>
  <c r="Z350" i="15"/>
  <c r="T350" i="15"/>
  <c r="S350" i="15"/>
  <c r="AA350" i="15"/>
  <c r="V350" i="15"/>
  <c r="U350" i="15"/>
  <c r="AB350" i="15"/>
  <c r="Y351" i="15"/>
  <c r="R351" i="15"/>
  <c r="Q351" i="15"/>
  <c r="Z351" i="15"/>
  <c r="T351" i="15"/>
  <c r="S351" i="15"/>
  <c r="AA351" i="15"/>
  <c r="V351" i="15"/>
  <c r="U351" i="15"/>
  <c r="AB351" i="15"/>
  <c r="Y352" i="15"/>
  <c r="R352" i="15"/>
  <c r="Q352" i="15"/>
  <c r="Z352" i="15"/>
  <c r="T352" i="15"/>
  <c r="S352" i="15"/>
  <c r="AA352" i="15"/>
  <c r="V352" i="15"/>
  <c r="U352" i="15"/>
  <c r="AB352" i="15"/>
  <c r="Y353" i="15"/>
  <c r="R353" i="15"/>
  <c r="Q353" i="15"/>
  <c r="Z353" i="15"/>
  <c r="T353" i="15"/>
  <c r="S353" i="15"/>
  <c r="AA353" i="15"/>
  <c r="V353" i="15"/>
  <c r="U353" i="15"/>
  <c r="AB353" i="15"/>
  <c r="Y354" i="15"/>
  <c r="R354" i="15"/>
  <c r="Q354" i="15"/>
  <c r="Z354" i="15"/>
  <c r="T354" i="15"/>
  <c r="S354" i="15"/>
  <c r="AA354" i="15"/>
  <c r="V354" i="15"/>
  <c r="U354" i="15"/>
  <c r="AB354" i="15"/>
  <c r="Y355" i="15"/>
  <c r="R355" i="15"/>
  <c r="Q355" i="15"/>
  <c r="Z355" i="15"/>
  <c r="T355" i="15"/>
  <c r="S355" i="15"/>
  <c r="AA355" i="15"/>
  <c r="V355" i="15"/>
  <c r="U355" i="15"/>
  <c r="AB355" i="15"/>
  <c r="Y356" i="15"/>
  <c r="R356" i="15"/>
  <c r="Q356" i="15"/>
  <c r="Z356" i="15"/>
  <c r="T356" i="15"/>
  <c r="S356" i="15"/>
  <c r="AA356" i="15"/>
  <c r="V356" i="15"/>
  <c r="U356" i="15"/>
  <c r="AB356" i="15"/>
  <c r="Y357" i="15"/>
  <c r="R357" i="15"/>
  <c r="Q357" i="15"/>
  <c r="Z357" i="15"/>
  <c r="T357" i="15"/>
  <c r="S357" i="15"/>
  <c r="AA357" i="15"/>
  <c r="V357" i="15"/>
  <c r="U357" i="15"/>
  <c r="AB357" i="15"/>
  <c r="Y358" i="15"/>
  <c r="R358" i="15"/>
  <c r="Q358" i="15"/>
  <c r="Z358" i="15"/>
  <c r="T358" i="15"/>
  <c r="S358" i="15"/>
  <c r="AA358" i="15"/>
  <c r="V358" i="15"/>
  <c r="U358" i="15"/>
  <c r="AB358" i="15"/>
  <c r="Y359" i="15"/>
  <c r="R359" i="15"/>
  <c r="Q359" i="15"/>
  <c r="Z359" i="15"/>
  <c r="T359" i="15"/>
  <c r="S359" i="15"/>
  <c r="AA359" i="15"/>
  <c r="V359" i="15"/>
  <c r="U359" i="15"/>
  <c r="AB359" i="15"/>
  <c r="Y360" i="15"/>
  <c r="R360" i="15"/>
  <c r="Q360" i="15"/>
  <c r="Z360" i="15"/>
  <c r="T360" i="15"/>
  <c r="S360" i="15"/>
  <c r="AA360" i="15"/>
  <c r="V360" i="15"/>
  <c r="U360" i="15"/>
  <c r="AB360" i="15"/>
  <c r="Y361" i="15"/>
  <c r="R361" i="15"/>
  <c r="Q361" i="15"/>
  <c r="Z361" i="15"/>
  <c r="T361" i="15"/>
  <c r="S361" i="15"/>
  <c r="AA361" i="15"/>
  <c r="V361" i="15"/>
  <c r="U361" i="15"/>
  <c r="AB361" i="15"/>
  <c r="Y362" i="15"/>
  <c r="R362" i="15"/>
  <c r="Q362" i="15"/>
  <c r="Z362" i="15"/>
  <c r="T362" i="15"/>
  <c r="S362" i="15"/>
  <c r="AA362" i="15"/>
  <c r="V362" i="15"/>
  <c r="U362" i="15"/>
  <c r="AB362" i="15"/>
  <c r="Y363" i="15"/>
  <c r="R363" i="15"/>
  <c r="Q363" i="15"/>
  <c r="Z363" i="15"/>
  <c r="T363" i="15"/>
  <c r="S363" i="15"/>
  <c r="AA363" i="15"/>
  <c r="V363" i="15"/>
  <c r="U363" i="15"/>
  <c r="AB363" i="15"/>
  <c r="Y364" i="15"/>
  <c r="R364" i="15"/>
  <c r="Q364" i="15"/>
  <c r="Z364" i="15"/>
  <c r="T364" i="15"/>
  <c r="S364" i="15"/>
  <c r="AA364" i="15"/>
  <c r="V364" i="15"/>
  <c r="U364" i="15"/>
  <c r="AB364" i="15"/>
  <c r="Y365" i="15"/>
  <c r="R365" i="15"/>
  <c r="Q365" i="15"/>
  <c r="Z365" i="15"/>
  <c r="T365" i="15"/>
  <c r="S365" i="15"/>
  <c r="AA365" i="15"/>
  <c r="V365" i="15"/>
  <c r="U365" i="15"/>
  <c r="AB365" i="15"/>
  <c r="Y366" i="15"/>
  <c r="R366" i="15"/>
  <c r="Q366" i="15"/>
  <c r="Z366" i="15"/>
  <c r="T366" i="15"/>
  <c r="S366" i="15"/>
  <c r="AA366" i="15"/>
  <c r="V366" i="15"/>
  <c r="U366" i="15"/>
  <c r="AB366" i="15"/>
  <c r="Y367" i="15"/>
  <c r="R367" i="15"/>
  <c r="Q367" i="15"/>
  <c r="Z367" i="15"/>
  <c r="T367" i="15"/>
  <c r="S367" i="15"/>
  <c r="AA367" i="15"/>
  <c r="V367" i="15"/>
  <c r="U367" i="15"/>
  <c r="AB367" i="15"/>
  <c r="Y368" i="15"/>
  <c r="R368" i="15"/>
  <c r="Q368" i="15"/>
  <c r="Z368" i="15"/>
  <c r="T368" i="15"/>
  <c r="S368" i="15"/>
  <c r="AA368" i="15"/>
  <c r="V368" i="15"/>
  <c r="U368" i="15"/>
  <c r="AB368" i="15"/>
  <c r="Y369" i="15"/>
  <c r="R369" i="15"/>
  <c r="Q369" i="15"/>
  <c r="Z369" i="15"/>
  <c r="T369" i="15"/>
  <c r="S369" i="15"/>
  <c r="AA369" i="15"/>
  <c r="V369" i="15"/>
  <c r="U369" i="15"/>
  <c r="AB369" i="15"/>
  <c r="Y370" i="15"/>
  <c r="R370" i="15"/>
  <c r="Q370" i="15"/>
  <c r="Z370" i="15"/>
  <c r="T370" i="15"/>
  <c r="S370" i="15"/>
  <c r="AA370" i="15"/>
  <c r="V370" i="15"/>
  <c r="U370" i="15"/>
  <c r="AB370" i="15"/>
  <c r="Y371" i="15"/>
  <c r="R371" i="15"/>
  <c r="Q371" i="15"/>
  <c r="Z371" i="15"/>
  <c r="T371" i="15"/>
  <c r="S371" i="15"/>
  <c r="AA371" i="15"/>
  <c r="V371" i="15"/>
  <c r="U371" i="15"/>
  <c r="AB371" i="15"/>
  <c r="Y372" i="15"/>
  <c r="R372" i="15"/>
  <c r="Q372" i="15"/>
  <c r="Z372" i="15"/>
  <c r="T372" i="15"/>
  <c r="S372" i="15"/>
  <c r="AA372" i="15"/>
  <c r="V372" i="15"/>
  <c r="U372" i="15"/>
  <c r="AB372" i="15"/>
  <c r="Y373" i="15"/>
  <c r="R373" i="15"/>
  <c r="Q373" i="15"/>
  <c r="Z373" i="15"/>
  <c r="T373" i="15"/>
  <c r="S373" i="15"/>
  <c r="AA373" i="15"/>
  <c r="V373" i="15"/>
  <c r="U373" i="15"/>
  <c r="AB373" i="15"/>
  <c r="Y374" i="15"/>
  <c r="R374" i="15"/>
  <c r="Q374" i="15"/>
  <c r="Z374" i="15"/>
  <c r="T374" i="15"/>
  <c r="S374" i="15"/>
  <c r="AA374" i="15"/>
  <c r="V374" i="15"/>
  <c r="U374" i="15"/>
  <c r="AB374" i="15"/>
  <c r="Y375" i="15"/>
  <c r="R375" i="15"/>
  <c r="Q375" i="15"/>
  <c r="Z375" i="15"/>
  <c r="T375" i="15"/>
  <c r="S375" i="15"/>
  <c r="AA375" i="15"/>
  <c r="V375" i="15"/>
  <c r="U375" i="15"/>
  <c r="AB375" i="15"/>
  <c r="Y376" i="15"/>
  <c r="R376" i="15"/>
  <c r="Q376" i="15"/>
  <c r="Z376" i="15"/>
  <c r="T376" i="15"/>
  <c r="S376" i="15"/>
  <c r="AA376" i="15"/>
  <c r="V376" i="15"/>
  <c r="U376" i="15"/>
  <c r="AB376" i="15"/>
  <c r="Y377" i="15"/>
  <c r="R377" i="15"/>
  <c r="Q377" i="15"/>
  <c r="Z377" i="15"/>
  <c r="T377" i="15"/>
  <c r="S377" i="15"/>
  <c r="AA377" i="15"/>
  <c r="V377" i="15"/>
  <c r="U377" i="15"/>
  <c r="AB377" i="15"/>
  <c r="Y378" i="15"/>
  <c r="R378" i="15"/>
  <c r="Q378" i="15"/>
  <c r="Z378" i="15"/>
  <c r="T378" i="15"/>
  <c r="S378" i="15"/>
  <c r="AA378" i="15"/>
  <c r="V378" i="15"/>
  <c r="U378" i="15"/>
  <c r="AB378" i="15"/>
  <c r="Y379" i="15"/>
  <c r="R379" i="15"/>
  <c r="Q379" i="15"/>
  <c r="Z379" i="15"/>
  <c r="T379" i="15"/>
  <c r="S379" i="15"/>
  <c r="AA379" i="15"/>
  <c r="V379" i="15"/>
  <c r="U379" i="15"/>
  <c r="AB379" i="15"/>
  <c r="Y380" i="15"/>
  <c r="R380" i="15"/>
  <c r="Q380" i="15"/>
  <c r="Z380" i="15"/>
  <c r="T380" i="15"/>
  <c r="S380" i="15"/>
  <c r="AA380" i="15"/>
  <c r="V380" i="15"/>
  <c r="U380" i="15"/>
  <c r="AB380" i="15"/>
  <c r="Y381" i="15"/>
  <c r="R381" i="15"/>
  <c r="Q381" i="15"/>
  <c r="Z381" i="15"/>
  <c r="T381" i="15"/>
  <c r="S381" i="15"/>
  <c r="AA381" i="15"/>
  <c r="V381" i="15"/>
  <c r="U381" i="15"/>
  <c r="AB381" i="15"/>
  <c r="Y382" i="15"/>
  <c r="R382" i="15"/>
  <c r="Q382" i="15"/>
  <c r="Z382" i="15"/>
  <c r="T382" i="15"/>
  <c r="S382" i="15"/>
  <c r="AA382" i="15"/>
  <c r="V382" i="15"/>
  <c r="U382" i="15"/>
  <c r="AB382" i="15"/>
  <c r="Y383" i="15"/>
  <c r="R383" i="15"/>
  <c r="Q383" i="15"/>
  <c r="Z383" i="15"/>
  <c r="T383" i="15"/>
  <c r="S383" i="15"/>
  <c r="AA383" i="15"/>
  <c r="V383" i="15"/>
  <c r="U383" i="15"/>
  <c r="AB383" i="15"/>
  <c r="Y384" i="15"/>
  <c r="R384" i="15"/>
  <c r="Q384" i="15"/>
  <c r="Z384" i="15"/>
  <c r="T384" i="15"/>
  <c r="S384" i="15"/>
  <c r="AA384" i="15"/>
  <c r="V384" i="15"/>
  <c r="U384" i="15"/>
  <c r="AB384" i="15"/>
  <c r="Y385" i="15"/>
  <c r="R385" i="15"/>
  <c r="Q385" i="15"/>
  <c r="Z385" i="15"/>
  <c r="T385" i="15"/>
  <c r="S385" i="15"/>
  <c r="AA385" i="15"/>
  <c r="V385" i="15"/>
  <c r="U385" i="15"/>
  <c r="AB385" i="15"/>
  <c r="Y386" i="15"/>
  <c r="R386" i="15"/>
  <c r="Q386" i="15"/>
  <c r="Z386" i="15"/>
  <c r="T386" i="15"/>
  <c r="S386" i="15"/>
  <c r="AA386" i="15"/>
  <c r="V386" i="15"/>
  <c r="U386" i="15"/>
  <c r="AB386" i="15"/>
  <c r="Y387" i="15"/>
  <c r="R387" i="15"/>
  <c r="Q387" i="15"/>
  <c r="Z387" i="15"/>
  <c r="T387" i="15"/>
  <c r="S387" i="15"/>
  <c r="AA387" i="15"/>
  <c r="V387" i="15"/>
  <c r="U387" i="15"/>
  <c r="AB387" i="15"/>
  <c r="Y388" i="15"/>
  <c r="R388" i="15"/>
  <c r="Q388" i="15"/>
  <c r="Z388" i="15"/>
  <c r="T388" i="15"/>
  <c r="S388" i="15"/>
  <c r="AA388" i="15"/>
  <c r="V388" i="15"/>
  <c r="U388" i="15"/>
  <c r="AB388" i="15"/>
  <c r="Y389" i="15"/>
  <c r="R389" i="15"/>
  <c r="Q389" i="15"/>
  <c r="Z389" i="15"/>
  <c r="T389" i="15"/>
  <c r="S389" i="15"/>
  <c r="AA389" i="15"/>
  <c r="V389" i="15"/>
  <c r="U389" i="15"/>
  <c r="AB389" i="15"/>
  <c r="Y390" i="15"/>
  <c r="R390" i="15"/>
  <c r="Q390" i="15"/>
  <c r="Z390" i="15"/>
  <c r="T390" i="15"/>
  <c r="S390" i="15"/>
  <c r="AA390" i="15"/>
  <c r="V390" i="15"/>
  <c r="U390" i="15"/>
  <c r="AB390" i="15"/>
  <c r="Y391" i="15"/>
  <c r="R391" i="15"/>
  <c r="Q391" i="15"/>
  <c r="Z391" i="15"/>
  <c r="T391" i="15"/>
  <c r="S391" i="15"/>
  <c r="AA391" i="15"/>
  <c r="V391" i="15"/>
  <c r="U391" i="15"/>
  <c r="AB391" i="15"/>
  <c r="Y392" i="15"/>
  <c r="R392" i="15"/>
  <c r="Q392" i="15"/>
  <c r="Z392" i="15"/>
  <c r="T392" i="15"/>
  <c r="S392" i="15"/>
  <c r="AA392" i="15"/>
  <c r="V392" i="15"/>
  <c r="U392" i="15"/>
  <c r="AB392" i="15"/>
  <c r="Y393" i="15"/>
  <c r="R393" i="15"/>
  <c r="Q393" i="15"/>
  <c r="Z393" i="15"/>
  <c r="T393" i="15"/>
  <c r="S393" i="15"/>
  <c r="AA393" i="15"/>
  <c r="V393" i="15"/>
  <c r="U393" i="15"/>
  <c r="AB393" i="15"/>
  <c r="Y394" i="15"/>
  <c r="R394" i="15"/>
  <c r="Q394" i="15"/>
  <c r="Z394" i="15"/>
  <c r="T394" i="15"/>
  <c r="S394" i="15"/>
  <c r="AA394" i="15"/>
  <c r="V394" i="15"/>
  <c r="U394" i="15"/>
  <c r="AB394" i="15"/>
  <c r="Y395" i="15"/>
  <c r="R395" i="15"/>
  <c r="Q395" i="15"/>
  <c r="Z395" i="15"/>
  <c r="T395" i="15"/>
  <c r="S395" i="15"/>
  <c r="AA395" i="15"/>
  <c r="V395" i="15"/>
  <c r="U395" i="15"/>
  <c r="AB395" i="15"/>
  <c r="Y396" i="15"/>
  <c r="R396" i="15"/>
  <c r="Q396" i="15"/>
  <c r="Z396" i="15"/>
  <c r="T396" i="15"/>
  <c r="S396" i="15"/>
  <c r="AA396" i="15"/>
  <c r="V396" i="15"/>
  <c r="U396" i="15"/>
  <c r="AB396" i="15"/>
  <c r="Y397" i="15"/>
  <c r="R397" i="15"/>
  <c r="Q397" i="15"/>
  <c r="Z397" i="15"/>
  <c r="T397" i="15"/>
  <c r="S397" i="15"/>
  <c r="AA397" i="15"/>
  <c r="V397" i="15"/>
  <c r="U397" i="15"/>
  <c r="AB397" i="15"/>
  <c r="Y398" i="15"/>
  <c r="R398" i="15"/>
  <c r="Q398" i="15"/>
  <c r="Z398" i="15"/>
  <c r="T398" i="15"/>
  <c r="S398" i="15"/>
  <c r="AA398" i="15"/>
  <c r="V398" i="15"/>
  <c r="U398" i="15"/>
  <c r="AB398" i="15"/>
  <c r="Y399" i="15"/>
  <c r="R399" i="15"/>
  <c r="Q399" i="15"/>
  <c r="Z399" i="15"/>
  <c r="T399" i="15"/>
  <c r="S399" i="15"/>
  <c r="AA399" i="15"/>
  <c r="V399" i="15"/>
  <c r="U399" i="15"/>
  <c r="AB399" i="15"/>
  <c r="Y400" i="15"/>
  <c r="R400" i="15"/>
  <c r="Q400" i="15"/>
  <c r="Z400" i="15"/>
  <c r="T400" i="15"/>
  <c r="S400" i="15"/>
  <c r="AA400" i="15"/>
  <c r="V400" i="15"/>
  <c r="U400" i="15"/>
  <c r="AB400" i="15"/>
  <c r="Y401" i="15"/>
  <c r="R401" i="15"/>
  <c r="Q401" i="15"/>
  <c r="Z401" i="15"/>
  <c r="T401" i="15"/>
  <c r="S401" i="15"/>
  <c r="AA401" i="15"/>
  <c r="V401" i="15"/>
  <c r="U401" i="15"/>
  <c r="AB401" i="15"/>
  <c r="Y402" i="15"/>
  <c r="R402" i="15"/>
  <c r="Q402" i="15"/>
  <c r="Z402" i="15"/>
  <c r="T402" i="15"/>
  <c r="S402" i="15"/>
  <c r="AA402" i="15"/>
  <c r="V402" i="15"/>
  <c r="U402" i="15"/>
  <c r="AB402" i="15"/>
  <c r="Y403" i="15"/>
  <c r="R403" i="15"/>
  <c r="Q403" i="15"/>
  <c r="Z403" i="15"/>
  <c r="T403" i="15"/>
  <c r="S403" i="15"/>
  <c r="AA403" i="15"/>
  <c r="V403" i="15"/>
  <c r="U403" i="15"/>
  <c r="AB403" i="15"/>
  <c r="Y404" i="15"/>
  <c r="R404" i="15"/>
  <c r="Q404" i="15"/>
  <c r="Z404" i="15"/>
  <c r="T404" i="15"/>
  <c r="S404" i="15"/>
  <c r="AA404" i="15"/>
  <c r="V404" i="15"/>
  <c r="U404" i="15"/>
  <c r="AB404" i="15"/>
  <c r="Y405" i="15"/>
  <c r="R405" i="15"/>
  <c r="Q405" i="15"/>
  <c r="Z405" i="15"/>
  <c r="T405" i="15"/>
  <c r="S405" i="15"/>
  <c r="AA405" i="15"/>
  <c r="V405" i="15"/>
  <c r="U405" i="15"/>
  <c r="AB405" i="15"/>
  <c r="Y406" i="15"/>
  <c r="R406" i="15"/>
  <c r="Q406" i="15"/>
  <c r="Z406" i="15"/>
  <c r="T406" i="15"/>
  <c r="S406" i="15"/>
  <c r="AA406" i="15"/>
  <c r="V406" i="15"/>
  <c r="U406" i="15"/>
  <c r="AB406" i="15"/>
  <c r="Y407" i="15"/>
  <c r="R407" i="15"/>
  <c r="Q407" i="15"/>
  <c r="Z407" i="15"/>
  <c r="T407" i="15"/>
  <c r="S407" i="15"/>
  <c r="AA407" i="15"/>
  <c r="V407" i="15"/>
  <c r="U407" i="15"/>
  <c r="AB407" i="15"/>
  <c r="Y408" i="15"/>
  <c r="R408" i="15"/>
  <c r="Q408" i="15"/>
  <c r="Z408" i="15"/>
  <c r="T408" i="15"/>
  <c r="S408" i="15"/>
  <c r="AA408" i="15"/>
  <c r="V408" i="15"/>
  <c r="U408" i="15"/>
  <c r="AB408" i="15"/>
  <c r="Y409" i="15"/>
  <c r="R409" i="15"/>
  <c r="Q409" i="15"/>
  <c r="Z409" i="15"/>
  <c r="T409" i="15"/>
  <c r="S409" i="15"/>
  <c r="AA409" i="15"/>
  <c r="V409" i="15"/>
  <c r="U409" i="15"/>
  <c r="AB409" i="15"/>
  <c r="Y410" i="15"/>
  <c r="R410" i="15"/>
  <c r="Q410" i="15"/>
  <c r="Z410" i="15"/>
  <c r="T410" i="15"/>
  <c r="S410" i="15"/>
  <c r="AA410" i="15"/>
  <c r="V410" i="15"/>
  <c r="U410" i="15"/>
  <c r="AB410" i="15"/>
  <c r="Y411" i="15"/>
  <c r="R411" i="15"/>
  <c r="Q411" i="15"/>
  <c r="Z411" i="15"/>
  <c r="T411" i="15"/>
  <c r="S411" i="15"/>
  <c r="AA411" i="15"/>
  <c r="V411" i="15"/>
  <c r="U411" i="15"/>
  <c r="AB411" i="15"/>
  <c r="Y412" i="15"/>
  <c r="R412" i="15"/>
  <c r="Q412" i="15"/>
  <c r="Z412" i="15"/>
  <c r="T412" i="15"/>
  <c r="S412" i="15"/>
  <c r="AA412" i="15"/>
  <c r="V412" i="15"/>
  <c r="U412" i="15"/>
  <c r="AB412" i="15"/>
  <c r="Y413" i="15"/>
  <c r="R413" i="15"/>
  <c r="Q413" i="15"/>
  <c r="Z413" i="15"/>
  <c r="T413" i="15"/>
  <c r="S413" i="15"/>
  <c r="AA413" i="15"/>
  <c r="V413" i="15"/>
  <c r="U413" i="15"/>
  <c r="AB413" i="15"/>
  <c r="Y414" i="15"/>
  <c r="R414" i="15"/>
  <c r="Q414" i="15"/>
  <c r="Z414" i="15"/>
  <c r="T414" i="15"/>
  <c r="S414" i="15"/>
  <c r="AA414" i="15"/>
  <c r="V414" i="15"/>
  <c r="U414" i="15"/>
  <c r="AB414" i="15"/>
  <c r="Y415" i="15"/>
  <c r="R415" i="15"/>
  <c r="Q415" i="15"/>
  <c r="Z415" i="15"/>
  <c r="T415" i="15"/>
  <c r="S415" i="15"/>
  <c r="AA415" i="15"/>
  <c r="V415" i="15"/>
  <c r="U415" i="15"/>
  <c r="AB415" i="15"/>
  <c r="Y416" i="15"/>
  <c r="R416" i="15"/>
  <c r="Q416" i="15"/>
  <c r="Z416" i="15"/>
  <c r="T416" i="15"/>
  <c r="S416" i="15"/>
  <c r="AA416" i="15"/>
  <c r="V416" i="15"/>
  <c r="U416" i="15"/>
  <c r="AB416" i="15"/>
  <c r="Y417" i="15"/>
  <c r="R417" i="15"/>
  <c r="Q417" i="15"/>
  <c r="Z417" i="15"/>
  <c r="T417" i="15"/>
  <c r="S417" i="15"/>
  <c r="AA417" i="15"/>
  <c r="V417" i="15"/>
  <c r="U417" i="15"/>
  <c r="AB417" i="15"/>
  <c r="Y418" i="15"/>
  <c r="R418" i="15"/>
  <c r="Q418" i="15"/>
  <c r="Z418" i="15"/>
  <c r="T418" i="15"/>
  <c r="S418" i="15"/>
  <c r="AA418" i="15"/>
  <c r="V418" i="15"/>
  <c r="U418" i="15"/>
  <c r="AB418" i="15"/>
  <c r="Y419" i="15"/>
  <c r="R419" i="15"/>
  <c r="Q419" i="15"/>
  <c r="Z419" i="15"/>
  <c r="T419" i="15"/>
  <c r="S419" i="15"/>
  <c r="AA419" i="15"/>
  <c r="V419" i="15"/>
  <c r="U419" i="15"/>
  <c r="AB419" i="15"/>
  <c r="Y420" i="15"/>
  <c r="R420" i="15"/>
  <c r="Q420" i="15"/>
  <c r="Z420" i="15"/>
  <c r="T420" i="15"/>
  <c r="S420" i="15"/>
  <c r="AA420" i="15"/>
  <c r="V420" i="15"/>
  <c r="U420" i="15"/>
  <c r="AB420" i="15"/>
  <c r="Y421" i="15"/>
  <c r="R421" i="15"/>
  <c r="Q421" i="15"/>
  <c r="Z421" i="15"/>
  <c r="T421" i="15"/>
  <c r="S421" i="15"/>
  <c r="AA421" i="15"/>
  <c r="V421" i="15"/>
  <c r="U421" i="15"/>
  <c r="AB421" i="15"/>
  <c r="Y422" i="15"/>
  <c r="R422" i="15"/>
  <c r="Q422" i="15"/>
  <c r="Z422" i="15"/>
  <c r="T422" i="15"/>
  <c r="S422" i="15"/>
  <c r="AA422" i="15"/>
  <c r="V422" i="15"/>
  <c r="U422" i="15"/>
  <c r="AB422" i="15"/>
  <c r="E227" i="24"/>
  <c r="D227" i="24"/>
  <c r="C227" i="24"/>
  <c r="Y218" i="15"/>
  <c r="Y219" i="15"/>
  <c r="Y220" i="15"/>
  <c r="Y221" i="15"/>
  <c r="R218" i="15"/>
  <c r="Q218" i="15"/>
  <c r="Z218" i="15"/>
  <c r="T218" i="15"/>
  <c r="S218" i="15"/>
  <c r="AA218" i="15"/>
  <c r="V218" i="15"/>
  <c r="U218" i="15"/>
  <c r="AB218" i="15"/>
  <c r="R219" i="15"/>
  <c r="Q219" i="15"/>
  <c r="Z219" i="15"/>
  <c r="T219" i="15"/>
  <c r="S219" i="15"/>
  <c r="AA219" i="15"/>
  <c r="V219" i="15"/>
  <c r="U219" i="15"/>
  <c r="AB219" i="15"/>
  <c r="R220" i="15"/>
  <c r="Q220" i="15"/>
  <c r="Z220" i="15"/>
  <c r="T220" i="15"/>
  <c r="S220" i="15"/>
  <c r="AA220" i="15"/>
  <c r="V220" i="15"/>
  <c r="U220" i="15"/>
  <c r="AB220" i="15"/>
  <c r="R221" i="15"/>
  <c r="Q221" i="15"/>
  <c r="Z221" i="15"/>
  <c r="T221" i="15"/>
  <c r="S221" i="15"/>
  <c r="AA221" i="15"/>
  <c r="V221" i="15"/>
  <c r="U221" i="15"/>
  <c r="AB221" i="15"/>
  <c r="Y222" i="15"/>
  <c r="R222" i="15"/>
  <c r="Q222" i="15"/>
  <c r="Z222" i="15"/>
  <c r="T222" i="15"/>
  <c r="S222" i="15"/>
  <c r="AA222" i="15"/>
  <c r="V222" i="15"/>
  <c r="U222" i="15"/>
  <c r="AB222" i="15"/>
  <c r="Y223" i="15"/>
  <c r="R223" i="15"/>
  <c r="Q223" i="15"/>
  <c r="Z223" i="15"/>
  <c r="T223" i="15"/>
  <c r="S223" i="15"/>
  <c r="AA223" i="15"/>
  <c r="V223" i="15"/>
  <c r="U223" i="15"/>
  <c r="AB223" i="15"/>
  <c r="Y224" i="15"/>
  <c r="R224" i="15"/>
  <c r="Q224" i="15"/>
  <c r="Z224" i="15"/>
  <c r="T224" i="15"/>
  <c r="S224" i="15"/>
  <c r="AA224" i="15"/>
  <c r="V224" i="15"/>
  <c r="U224" i="15"/>
  <c r="AB224" i="15"/>
  <c r="Y225" i="15"/>
  <c r="R225" i="15"/>
  <c r="Q225" i="15"/>
  <c r="Z225" i="15"/>
  <c r="T225" i="15"/>
  <c r="S225" i="15"/>
  <c r="AA225" i="15"/>
  <c r="V225" i="15"/>
  <c r="U225" i="15"/>
  <c r="AB225" i="15"/>
  <c r="Y226" i="15"/>
  <c r="R226" i="15"/>
  <c r="Q226" i="15"/>
  <c r="Z226" i="15"/>
  <c r="T226" i="15"/>
  <c r="S226" i="15"/>
  <c r="AA226" i="15"/>
  <c r="V226" i="15"/>
  <c r="U226" i="15"/>
  <c r="AB226" i="15"/>
  <c r="Y227" i="15"/>
  <c r="R227" i="15"/>
  <c r="Q227" i="15"/>
  <c r="Z227" i="15"/>
  <c r="T227" i="15"/>
  <c r="S227" i="15"/>
  <c r="AA227" i="15"/>
  <c r="V227" i="15"/>
  <c r="U227" i="15"/>
  <c r="AB227" i="15"/>
  <c r="Y228" i="15"/>
  <c r="R228" i="15"/>
  <c r="Q228" i="15"/>
  <c r="Z228" i="15"/>
  <c r="T228" i="15"/>
  <c r="S228" i="15"/>
  <c r="AA228" i="15"/>
  <c r="V228" i="15"/>
  <c r="U228" i="15"/>
  <c r="AB228" i="15"/>
  <c r="Y229" i="15"/>
  <c r="R229" i="15"/>
  <c r="Q229" i="15"/>
  <c r="Z229" i="15"/>
  <c r="T229" i="15"/>
  <c r="S229" i="15"/>
  <c r="AA229" i="15"/>
  <c r="V229" i="15"/>
  <c r="U229" i="15"/>
  <c r="AB229" i="15"/>
  <c r="Y230" i="15"/>
  <c r="R230" i="15"/>
  <c r="Q230" i="15"/>
  <c r="Z230" i="15"/>
  <c r="T230" i="15"/>
  <c r="S230" i="15"/>
  <c r="AA230" i="15"/>
  <c r="V230" i="15"/>
  <c r="U230" i="15"/>
  <c r="AB230" i="15"/>
  <c r="Y231" i="15"/>
  <c r="R231" i="15"/>
  <c r="Q231" i="15"/>
  <c r="Z231" i="15"/>
  <c r="T231" i="15"/>
  <c r="S231" i="15"/>
  <c r="AA231" i="15"/>
  <c r="V231" i="15"/>
  <c r="U231" i="15"/>
  <c r="AB231" i="15"/>
  <c r="Y232" i="15"/>
  <c r="R232" i="15"/>
  <c r="Q232" i="15"/>
  <c r="Z232" i="15"/>
  <c r="T232" i="15"/>
  <c r="S232" i="15"/>
  <c r="AA232" i="15"/>
  <c r="V232" i="15"/>
  <c r="U232" i="15"/>
  <c r="AB232" i="15"/>
  <c r="Y233" i="15"/>
  <c r="R233" i="15"/>
  <c r="Q233" i="15"/>
  <c r="Z233" i="15"/>
  <c r="T233" i="15"/>
  <c r="S233" i="15"/>
  <c r="AA233" i="15"/>
  <c r="V233" i="15"/>
  <c r="U233" i="15"/>
  <c r="AB233" i="15"/>
  <c r="Y234" i="15"/>
  <c r="R234" i="15"/>
  <c r="Q234" i="15"/>
  <c r="Z234" i="15"/>
  <c r="T234" i="15"/>
  <c r="S234" i="15"/>
  <c r="AA234" i="15"/>
  <c r="V234" i="15"/>
  <c r="U234" i="15"/>
  <c r="AB234" i="15"/>
  <c r="Y235" i="15"/>
  <c r="R235" i="15"/>
  <c r="Q235" i="15"/>
  <c r="Z235" i="15"/>
  <c r="T235" i="15"/>
  <c r="S235" i="15"/>
  <c r="AA235" i="15"/>
  <c r="V235" i="15"/>
  <c r="U235" i="15"/>
  <c r="AB235" i="15"/>
  <c r="Y236" i="15"/>
  <c r="R236" i="15"/>
  <c r="Q236" i="15"/>
  <c r="Z236" i="15"/>
  <c r="T236" i="15"/>
  <c r="S236" i="15"/>
  <c r="AA236" i="15"/>
  <c r="V236" i="15"/>
  <c r="U236" i="15"/>
  <c r="AB236" i="15"/>
  <c r="Y237" i="15"/>
  <c r="R237" i="15"/>
  <c r="Q237" i="15"/>
  <c r="Z237" i="15"/>
  <c r="T237" i="15"/>
  <c r="S237" i="15"/>
  <c r="AA237" i="15"/>
  <c r="V237" i="15"/>
  <c r="U237" i="15"/>
  <c r="AB237" i="15"/>
  <c r="Y238" i="15"/>
  <c r="R238" i="15"/>
  <c r="Q238" i="15"/>
  <c r="Z238" i="15"/>
  <c r="T238" i="15"/>
  <c r="S238" i="15"/>
  <c r="AA238" i="15"/>
  <c r="V238" i="15"/>
  <c r="U238" i="15"/>
  <c r="AB238" i="15"/>
  <c r="Y239" i="15"/>
  <c r="R239" i="15"/>
  <c r="Q239" i="15"/>
  <c r="Z239" i="15"/>
  <c r="T239" i="15"/>
  <c r="S239" i="15"/>
  <c r="AA239" i="15"/>
  <c r="V239" i="15"/>
  <c r="U239" i="15"/>
  <c r="AB239" i="15"/>
  <c r="Y240" i="15"/>
  <c r="R240" i="15"/>
  <c r="Q240" i="15"/>
  <c r="Z240" i="15"/>
  <c r="T240" i="15"/>
  <c r="S240" i="15"/>
  <c r="AA240" i="15"/>
  <c r="V240" i="15"/>
  <c r="U240" i="15"/>
  <c r="AB240" i="15"/>
  <c r="Y241" i="15"/>
  <c r="R241" i="15"/>
  <c r="Q241" i="15"/>
  <c r="Z241" i="15"/>
  <c r="T241" i="15"/>
  <c r="S241" i="15"/>
  <c r="AA241" i="15"/>
  <c r="V241" i="15"/>
  <c r="U241" i="15"/>
  <c r="AB241" i="15"/>
  <c r="Y242" i="15"/>
  <c r="R242" i="15"/>
  <c r="Q242" i="15"/>
  <c r="Z242" i="15"/>
  <c r="T242" i="15"/>
  <c r="S242" i="15"/>
  <c r="AA242" i="15"/>
  <c r="V242" i="15"/>
  <c r="U242" i="15"/>
  <c r="AB242" i="15"/>
  <c r="Y243" i="15"/>
  <c r="R243" i="15"/>
  <c r="Q243" i="15"/>
  <c r="Z243" i="15"/>
  <c r="T243" i="15"/>
  <c r="S243" i="15"/>
  <c r="AA243" i="15"/>
  <c r="V243" i="15"/>
  <c r="U243" i="15"/>
  <c r="AB243" i="15"/>
  <c r="Y244" i="15"/>
  <c r="R244" i="15"/>
  <c r="Q244" i="15"/>
  <c r="Z244" i="15"/>
  <c r="T244" i="15"/>
  <c r="S244" i="15"/>
  <c r="AA244" i="15"/>
  <c r="V244" i="15"/>
  <c r="U244" i="15"/>
  <c r="AB244" i="15"/>
  <c r="Y245" i="15"/>
  <c r="R245" i="15"/>
  <c r="Q245" i="15"/>
  <c r="Z245" i="15"/>
  <c r="T245" i="15"/>
  <c r="S245" i="15"/>
  <c r="AA245" i="15"/>
  <c r="V245" i="15"/>
  <c r="U245" i="15"/>
  <c r="AB245" i="15"/>
  <c r="Y246" i="15"/>
  <c r="R246" i="15"/>
  <c r="Q246" i="15"/>
  <c r="Z246" i="15"/>
  <c r="T246" i="15"/>
  <c r="S246" i="15"/>
  <c r="AA246" i="15"/>
  <c r="V246" i="15"/>
  <c r="U246" i="15"/>
  <c r="AB246" i="15"/>
  <c r="Y247" i="15"/>
  <c r="R247" i="15"/>
  <c r="Q247" i="15"/>
  <c r="Z247" i="15"/>
  <c r="T247" i="15"/>
  <c r="S247" i="15"/>
  <c r="AA247" i="15"/>
  <c r="V247" i="15"/>
  <c r="U247" i="15"/>
  <c r="AB247" i="15"/>
  <c r="Y248" i="15"/>
  <c r="R248" i="15"/>
  <c r="Q248" i="15"/>
  <c r="Z248" i="15"/>
  <c r="T248" i="15"/>
  <c r="S248" i="15"/>
  <c r="AA248" i="15"/>
  <c r="V248" i="15"/>
  <c r="U248" i="15"/>
  <c r="AB248" i="15"/>
  <c r="Y249" i="15"/>
  <c r="R249" i="15"/>
  <c r="Q249" i="15"/>
  <c r="Z249" i="15"/>
  <c r="T249" i="15"/>
  <c r="S249" i="15"/>
  <c r="AA249" i="15"/>
  <c r="V249" i="15"/>
  <c r="U249" i="15"/>
  <c r="AB249" i="15"/>
  <c r="Y250" i="15"/>
  <c r="R250" i="15"/>
  <c r="Q250" i="15"/>
  <c r="Z250" i="15"/>
  <c r="T250" i="15"/>
  <c r="S250" i="15"/>
  <c r="AA250" i="15"/>
  <c r="V250" i="15"/>
  <c r="U250" i="15"/>
  <c r="AB250" i="15"/>
  <c r="Y251" i="15"/>
  <c r="R251" i="15"/>
  <c r="Q251" i="15"/>
  <c r="Z251" i="15"/>
  <c r="T251" i="15"/>
  <c r="S251" i="15"/>
  <c r="AA251" i="15"/>
  <c r="V251" i="15"/>
  <c r="U251" i="15"/>
  <c r="AB251" i="15"/>
  <c r="Y252" i="15"/>
  <c r="R252" i="15"/>
  <c r="Q252" i="15"/>
  <c r="Z252" i="15"/>
  <c r="T252" i="15"/>
  <c r="S252" i="15"/>
  <c r="AA252" i="15"/>
  <c r="V252" i="15"/>
  <c r="U252" i="15"/>
  <c r="AB252" i="15"/>
  <c r="Y253" i="15"/>
  <c r="R253" i="15"/>
  <c r="Q253" i="15"/>
  <c r="Z253" i="15"/>
  <c r="T253" i="15"/>
  <c r="S253" i="15"/>
  <c r="AA253" i="15"/>
  <c r="V253" i="15"/>
  <c r="U253" i="15"/>
  <c r="AB253" i="15"/>
  <c r="Y254" i="15"/>
  <c r="R254" i="15"/>
  <c r="Q254" i="15"/>
  <c r="Z254" i="15"/>
  <c r="T254" i="15"/>
  <c r="S254" i="15"/>
  <c r="AA254" i="15"/>
  <c r="V254" i="15"/>
  <c r="U254" i="15"/>
  <c r="AB254" i="15"/>
  <c r="Y255" i="15"/>
  <c r="R255" i="15"/>
  <c r="Q255" i="15"/>
  <c r="Z255" i="15"/>
  <c r="T255" i="15"/>
  <c r="S255" i="15"/>
  <c r="AA255" i="15"/>
  <c r="V255" i="15"/>
  <c r="U255" i="15"/>
  <c r="AB255" i="15"/>
  <c r="Y256" i="15"/>
  <c r="R256" i="15"/>
  <c r="Q256" i="15"/>
  <c r="Z256" i="15"/>
  <c r="T256" i="15"/>
  <c r="S256" i="15"/>
  <c r="AA256" i="15"/>
  <c r="V256" i="15"/>
  <c r="U256" i="15"/>
  <c r="AB256" i="15"/>
  <c r="Y257" i="15"/>
  <c r="R257" i="15"/>
  <c r="Q257" i="15"/>
  <c r="Z257" i="15"/>
  <c r="T257" i="15"/>
  <c r="S257" i="15"/>
  <c r="AA257" i="15"/>
  <c r="V257" i="15"/>
  <c r="U257" i="15"/>
  <c r="AB257" i="15"/>
  <c r="Y258" i="15"/>
  <c r="R258" i="15"/>
  <c r="Q258" i="15"/>
  <c r="Z258" i="15"/>
  <c r="T258" i="15"/>
  <c r="S258" i="15"/>
  <c r="AA258" i="15"/>
  <c r="V258" i="15"/>
  <c r="U258" i="15"/>
  <c r="AB258" i="15"/>
  <c r="Y259" i="15"/>
  <c r="R259" i="15"/>
  <c r="Q259" i="15"/>
  <c r="Z259" i="15"/>
  <c r="T259" i="15"/>
  <c r="S259" i="15"/>
  <c r="AA259" i="15"/>
  <c r="V259" i="15"/>
  <c r="U259" i="15"/>
  <c r="AB259" i="15"/>
  <c r="Y260" i="15"/>
  <c r="R260" i="15"/>
  <c r="Q260" i="15"/>
  <c r="Z260" i="15"/>
  <c r="T260" i="15"/>
  <c r="S260" i="15"/>
  <c r="AA260" i="15"/>
  <c r="V260" i="15"/>
  <c r="U260" i="15"/>
  <c r="AB260" i="15"/>
  <c r="Y261" i="15"/>
  <c r="R261" i="15"/>
  <c r="Q261" i="15"/>
  <c r="Z261" i="15"/>
  <c r="T261" i="15"/>
  <c r="S261" i="15"/>
  <c r="AA261" i="15"/>
  <c r="V261" i="15"/>
  <c r="U261" i="15"/>
  <c r="AB261" i="15"/>
  <c r="Y262" i="15"/>
  <c r="R262" i="15"/>
  <c r="Q262" i="15"/>
  <c r="Z262" i="15"/>
  <c r="T262" i="15"/>
  <c r="S262" i="15"/>
  <c r="AA262" i="15"/>
  <c r="V262" i="15"/>
  <c r="U262" i="15"/>
  <c r="AB262" i="15"/>
  <c r="Y263" i="15"/>
  <c r="R263" i="15"/>
  <c r="Q263" i="15"/>
  <c r="Z263" i="15"/>
  <c r="T263" i="15"/>
  <c r="S263" i="15"/>
  <c r="AA263" i="15"/>
  <c r="V263" i="15"/>
  <c r="U263" i="15"/>
  <c r="AB263" i="15"/>
  <c r="Y264" i="15"/>
  <c r="R264" i="15"/>
  <c r="Q264" i="15"/>
  <c r="Z264" i="15"/>
  <c r="T264" i="15"/>
  <c r="S264" i="15"/>
  <c r="AA264" i="15"/>
  <c r="V264" i="15"/>
  <c r="U264" i="15"/>
  <c r="AB264" i="15"/>
  <c r="Y265" i="15"/>
  <c r="R265" i="15"/>
  <c r="Q265" i="15"/>
  <c r="Z265" i="15"/>
  <c r="T265" i="15"/>
  <c r="S265" i="15"/>
  <c r="AA265" i="15"/>
  <c r="V265" i="15"/>
  <c r="U265" i="15"/>
  <c r="AB265" i="15"/>
  <c r="Y266" i="15"/>
  <c r="R266" i="15"/>
  <c r="Q266" i="15"/>
  <c r="Z266" i="15"/>
  <c r="T266" i="15"/>
  <c r="S266" i="15"/>
  <c r="AA266" i="15"/>
  <c r="V266" i="15"/>
  <c r="U266" i="15"/>
  <c r="AB266" i="15"/>
  <c r="Y267" i="15"/>
  <c r="R267" i="15"/>
  <c r="Q267" i="15"/>
  <c r="Z267" i="15"/>
  <c r="T267" i="15"/>
  <c r="S267" i="15"/>
  <c r="AA267" i="15"/>
  <c r="V267" i="15"/>
  <c r="U267" i="15"/>
  <c r="AB267" i="15"/>
  <c r="Y268" i="15"/>
  <c r="R268" i="15"/>
  <c r="Q268" i="15"/>
  <c r="Z268" i="15"/>
  <c r="T268" i="15"/>
  <c r="S268" i="15"/>
  <c r="AA268" i="15"/>
  <c r="V268" i="15"/>
  <c r="U268" i="15"/>
  <c r="AB268" i="15"/>
  <c r="Y269" i="15"/>
  <c r="R269" i="15"/>
  <c r="Q269" i="15"/>
  <c r="Z269" i="15"/>
  <c r="T269" i="15"/>
  <c r="S269" i="15"/>
  <c r="AA269" i="15"/>
  <c r="V269" i="15"/>
  <c r="U269" i="15"/>
  <c r="AB269" i="15"/>
  <c r="Y270" i="15"/>
  <c r="R270" i="15"/>
  <c r="Q270" i="15"/>
  <c r="Z270" i="15"/>
  <c r="T270" i="15"/>
  <c r="S270" i="15"/>
  <c r="AA270" i="15"/>
  <c r="V270" i="15"/>
  <c r="U270" i="15"/>
  <c r="AB270" i="15"/>
  <c r="Y271" i="15"/>
  <c r="R271" i="15"/>
  <c r="Q271" i="15"/>
  <c r="Z271" i="15"/>
  <c r="T271" i="15"/>
  <c r="S271" i="15"/>
  <c r="AA271" i="15"/>
  <c r="V271" i="15"/>
  <c r="U271" i="15"/>
  <c r="AB271" i="15"/>
  <c r="Y272" i="15"/>
  <c r="R272" i="15"/>
  <c r="Q272" i="15"/>
  <c r="Z272" i="15"/>
  <c r="T272" i="15"/>
  <c r="S272" i="15"/>
  <c r="AA272" i="15"/>
  <c r="V272" i="15"/>
  <c r="U272" i="15"/>
  <c r="AB272" i="15"/>
  <c r="Y273" i="15"/>
  <c r="R273" i="15"/>
  <c r="Q273" i="15"/>
  <c r="Z273" i="15"/>
  <c r="T273" i="15"/>
  <c r="S273" i="15"/>
  <c r="AA273" i="15"/>
  <c r="V273" i="15"/>
  <c r="U273" i="15"/>
  <c r="AB273" i="15"/>
  <c r="Y274" i="15"/>
  <c r="R274" i="15"/>
  <c r="Q274" i="15"/>
  <c r="Z274" i="15"/>
  <c r="T274" i="15"/>
  <c r="S274" i="15"/>
  <c r="AA274" i="15"/>
  <c r="V274" i="15"/>
  <c r="U274" i="15"/>
  <c r="AB274" i="15"/>
  <c r="Y275" i="15"/>
  <c r="R275" i="15"/>
  <c r="Q275" i="15"/>
  <c r="Z275" i="15"/>
  <c r="T275" i="15"/>
  <c r="S275" i="15"/>
  <c r="AA275" i="15"/>
  <c r="V275" i="15"/>
  <c r="U275" i="15"/>
  <c r="AB275" i="15"/>
  <c r="Y276" i="15"/>
  <c r="R276" i="15"/>
  <c r="Q276" i="15"/>
  <c r="Z276" i="15"/>
  <c r="T276" i="15"/>
  <c r="S276" i="15"/>
  <c r="AA276" i="15"/>
  <c r="V276" i="15"/>
  <c r="U276" i="15"/>
  <c r="AB276" i="15"/>
  <c r="Y277" i="15"/>
  <c r="R277" i="15"/>
  <c r="Q277" i="15"/>
  <c r="Z277" i="15"/>
  <c r="T277" i="15"/>
  <c r="S277" i="15"/>
  <c r="AA277" i="15"/>
  <c r="V277" i="15"/>
  <c r="U277" i="15"/>
  <c r="AB277" i="15"/>
  <c r="Y278" i="15"/>
  <c r="R278" i="15"/>
  <c r="Q278" i="15"/>
  <c r="Z278" i="15"/>
  <c r="T278" i="15"/>
  <c r="S278" i="15"/>
  <c r="AA278" i="15"/>
  <c r="V278" i="15"/>
  <c r="U278" i="15"/>
  <c r="AB278" i="15"/>
  <c r="Y279" i="15"/>
  <c r="R279" i="15"/>
  <c r="Q279" i="15"/>
  <c r="Z279" i="15"/>
  <c r="T279" i="15"/>
  <c r="S279" i="15"/>
  <c r="AA279" i="15"/>
  <c r="V279" i="15"/>
  <c r="U279" i="15"/>
  <c r="AB279" i="15"/>
  <c r="Y280" i="15"/>
  <c r="R280" i="15"/>
  <c r="Q280" i="15"/>
  <c r="Z280" i="15"/>
  <c r="T280" i="15"/>
  <c r="S280" i="15"/>
  <c r="AA280" i="15"/>
  <c r="V280" i="15"/>
  <c r="U280" i="15"/>
  <c r="AB280" i="15"/>
  <c r="Y281" i="15"/>
  <c r="R281" i="15"/>
  <c r="Q281" i="15"/>
  <c r="Z281" i="15"/>
  <c r="T281" i="15"/>
  <c r="S281" i="15"/>
  <c r="AA281" i="15"/>
  <c r="V281" i="15"/>
  <c r="U281" i="15"/>
  <c r="AB281" i="15"/>
  <c r="Y282" i="15"/>
  <c r="R282" i="15"/>
  <c r="Q282" i="15"/>
  <c r="Z282" i="15"/>
  <c r="T282" i="15"/>
  <c r="S282" i="15"/>
  <c r="AA282" i="15"/>
  <c r="V282" i="15"/>
  <c r="U282" i="15"/>
  <c r="AB282" i="15"/>
  <c r="Y283" i="15"/>
  <c r="R283" i="15"/>
  <c r="Q283" i="15"/>
  <c r="Z283" i="15"/>
  <c r="T283" i="15"/>
  <c r="S283" i="15"/>
  <c r="AA283" i="15"/>
  <c r="V283" i="15"/>
  <c r="U283" i="15"/>
  <c r="AB283" i="15"/>
  <c r="Y284" i="15"/>
  <c r="R284" i="15"/>
  <c r="Q284" i="15"/>
  <c r="Z284" i="15"/>
  <c r="T284" i="15"/>
  <c r="S284" i="15"/>
  <c r="AA284" i="15"/>
  <c r="V284" i="15"/>
  <c r="U284" i="15"/>
  <c r="AB284" i="15"/>
  <c r="Y285" i="15"/>
  <c r="R285" i="15"/>
  <c r="Q285" i="15"/>
  <c r="Z285" i="15"/>
  <c r="T285" i="15"/>
  <c r="S285" i="15"/>
  <c r="AA285" i="15"/>
  <c r="V285" i="15"/>
  <c r="U285" i="15"/>
  <c r="AB285" i="15"/>
  <c r="Y286" i="15"/>
  <c r="R286" i="15"/>
  <c r="Q286" i="15"/>
  <c r="Z286" i="15"/>
  <c r="T286" i="15"/>
  <c r="S286" i="15"/>
  <c r="AA286" i="15"/>
  <c r="V286" i="15"/>
  <c r="U286" i="15"/>
  <c r="AB286" i="15"/>
  <c r="Y287" i="15"/>
  <c r="R287" i="15"/>
  <c r="Q287" i="15"/>
  <c r="Z287" i="15"/>
  <c r="T287" i="15"/>
  <c r="S287" i="15"/>
  <c r="AA287" i="15"/>
  <c r="V287" i="15"/>
  <c r="U287" i="15"/>
  <c r="AB287" i="15"/>
  <c r="Y288" i="15"/>
  <c r="R288" i="15"/>
  <c r="Q288" i="15"/>
  <c r="Z288" i="15"/>
  <c r="T288" i="15"/>
  <c r="S288" i="15"/>
  <c r="AA288" i="15"/>
  <c r="V288" i="15"/>
  <c r="U288" i="15"/>
  <c r="AB288" i="15"/>
  <c r="Y289" i="15"/>
  <c r="R289" i="15"/>
  <c r="Q289" i="15"/>
  <c r="Z289" i="15"/>
  <c r="T289" i="15"/>
  <c r="S289" i="15"/>
  <c r="AA289" i="15"/>
  <c r="V289" i="15"/>
  <c r="U289" i="15"/>
  <c r="AB289" i="15"/>
  <c r="Y290" i="15"/>
  <c r="R290" i="15"/>
  <c r="Q290" i="15"/>
  <c r="Z290" i="15"/>
  <c r="T290" i="15"/>
  <c r="S290" i="15"/>
  <c r="AA290" i="15"/>
  <c r="V290" i="15"/>
  <c r="U290" i="15"/>
  <c r="AB290" i="15"/>
  <c r="Y291" i="15"/>
  <c r="R291" i="15"/>
  <c r="Q291" i="15"/>
  <c r="Z291" i="15"/>
  <c r="T291" i="15"/>
  <c r="S291" i="15"/>
  <c r="AA291" i="15"/>
  <c r="V291" i="15"/>
  <c r="U291" i="15"/>
  <c r="AB291" i="15"/>
  <c r="Y292" i="15"/>
  <c r="R292" i="15"/>
  <c r="Q292" i="15"/>
  <c r="Z292" i="15"/>
  <c r="T292" i="15"/>
  <c r="S292" i="15"/>
  <c r="AA292" i="15"/>
  <c r="V292" i="15"/>
  <c r="U292" i="15"/>
  <c r="AB292" i="15"/>
  <c r="Y293" i="15"/>
  <c r="R293" i="15"/>
  <c r="Q293" i="15"/>
  <c r="Z293" i="15"/>
  <c r="T293" i="15"/>
  <c r="S293" i="15"/>
  <c r="AA293" i="15"/>
  <c r="V293" i="15"/>
  <c r="U293" i="15"/>
  <c r="AB293" i="15"/>
  <c r="Y294" i="15"/>
  <c r="R294" i="15"/>
  <c r="Q294" i="15"/>
  <c r="Z294" i="15"/>
  <c r="T294" i="15"/>
  <c r="S294" i="15"/>
  <c r="AA294" i="15"/>
  <c r="V294" i="15"/>
  <c r="U294" i="15"/>
  <c r="AB294" i="15"/>
  <c r="Y295" i="15"/>
  <c r="R295" i="15"/>
  <c r="Q295" i="15"/>
  <c r="Z295" i="15"/>
  <c r="T295" i="15"/>
  <c r="S295" i="15"/>
  <c r="AA295" i="15"/>
  <c r="V295" i="15"/>
  <c r="U295" i="15"/>
  <c r="AB295" i="15"/>
  <c r="Y296" i="15"/>
  <c r="R296" i="15"/>
  <c r="Q296" i="15"/>
  <c r="Z296" i="15"/>
  <c r="T296" i="15"/>
  <c r="S296" i="15"/>
  <c r="AA296" i="15"/>
  <c r="V296" i="15"/>
  <c r="U296" i="15"/>
  <c r="AB296" i="15"/>
  <c r="Y297" i="15"/>
  <c r="R297" i="15"/>
  <c r="Q297" i="15"/>
  <c r="Z297" i="15"/>
  <c r="T297" i="15"/>
  <c r="S297" i="15"/>
  <c r="AA297" i="15"/>
  <c r="V297" i="15"/>
  <c r="U297" i="15"/>
  <c r="AB297" i="15"/>
  <c r="Y298" i="15"/>
  <c r="R298" i="15"/>
  <c r="Q298" i="15"/>
  <c r="Z298" i="15"/>
  <c r="T298" i="15"/>
  <c r="S298" i="15"/>
  <c r="AA298" i="15"/>
  <c r="V298" i="15"/>
  <c r="U298" i="15"/>
  <c r="AB298" i="15"/>
  <c r="Y299" i="15"/>
  <c r="R299" i="15"/>
  <c r="Q299" i="15"/>
  <c r="Z299" i="15"/>
  <c r="T299" i="15"/>
  <c r="S299" i="15"/>
  <c r="AA299" i="15"/>
  <c r="V299" i="15"/>
  <c r="U299" i="15"/>
  <c r="AB299" i="15"/>
  <c r="Y300" i="15"/>
  <c r="R300" i="15"/>
  <c r="Q300" i="15"/>
  <c r="Z300" i="15"/>
  <c r="T300" i="15"/>
  <c r="S300" i="15"/>
  <c r="AA300" i="15"/>
  <c r="V300" i="15"/>
  <c r="U300" i="15"/>
  <c r="AB300" i="15"/>
  <c r="Y301" i="15"/>
  <c r="R301" i="15"/>
  <c r="Q301" i="15"/>
  <c r="Z301" i="15"/>
  <c r="T301" i="15"/>
  <c r="S301" i="15"/>
  <c r="AA301" i="15"/>
  <c r="V301" i="15"/>
  <c r="U301" i="15"/>
  <c r="AB301" i="15"/>
  <c r="Y302" i="15"/>
  <c r="R302" i="15"/>
  <c r="Q302" i="15"/>
  <c r="Z302" i="15"/>
  <c r="T302" i="15"/>
  <c r="S302" i="15"/>
  <c r="AA302" i="15"/>
  <c r="V302" i="15"/>
  <c r="U302" i="15"/>
  <c r="AB302" i="15"/>
  <c r="Y303" i="15"/>
  <c r="R303" i="15"/>
  <c r="Q303" i="15"/>
  <c r="Z303" i="15"/>
  <c r="T303" i="15"/>
  <c r="S303" i="15"/>
  <c r="AA303" i="15"/>
  <c r="V303" i="15"/>
  <c r="U303" i="15"/>
  <c r="AB303" i="15"/>
  <c r="Y304" i="15"/>
  <c r="R304" i="15"/>
  <c r="Q304" i="15"/>
  <c r="Z304" i="15"/>
  <c r="T304" i="15"/>
  <c r="S304" i="15"/>
  <c r="AA304" i="15"/>
  <c r="V304" i="15"/>
  <c r="U304" i="15"/>
  <c r="AB304" i="15"/>
  <c r="Y305" i="15"/>
  <c r="R305" i="15"/>
  <c r="Q305" i="15"/>
  <c r="Z305" i="15"/>
  <c r="T305" i="15"/>
  <c r="S305" i="15"/>
  <c r="AA305" i="15"/>
  <c r="V305" i="15"/>
  <c r="U305" i="15"/>
  <c r="AB305" i="15"/>
  <c r="Y306" i="15"/>
  <c r="R306" i="15"/>
  <c r="Q306" i="15"/>
  <c r="Z306" i="15"/>
  <c r="T306" i="15"/>
  <c r="S306" i="15"/>
  <c r="AA306" i="15"/>
  <c r="V306" i="15"/>
  <c r="U306" i="15"/>
  <c r="AB306" i="15"/>
  <c r="Y307" i="15"/>
  <c r="R307" i="15"/>
  <c r="Q307" i="15"/>
  <c r="Z307" i="15"/>
  <c r="T307" i="15"/>
  <c r="S307" i="15"/>
  <c r="AA307" i="15"/>
  <c r="V307" i="15"/>
  <c r="U307" i="15"/>
  <c r="AB307" i="15"/>
  <c r="Y308" i="15"/>
  <c r="R308" i="15"/>
  <c r="Q308" i="15"/>
  <c r="Z308" i="15"/>
  <c r="T308" i="15"/>
  <c r="S308" i="15"/>
  <c r="AA308" i="15"/>
  <c r="V308" i="15"/>
  <c r="U308" i="15"/>
  <c r="AB308" i="15"/>
  <c r="Y309" i="15"/>
  <c r="R309" i="15"/>
  <c r="Q309" i="15"/>
  <c r="Z309" i="15"/>
  <c r="T309" i="15"/>
  <c r="S309" i="15"/>
  <c r="AA309" i="15"/>
  <c r="V309" i="15"/>
  <c r="U309" i="15"/>
  <c r="AB309" i="15"/>
  <c r="Y310" i="15"/>
  <c r="R310" i="15"/>
  <c r="Q310" i="15"/>
  <c r="Z310" i="15"/>
  <c r="T310" i="15"/>
  <c r="S310" i="15"/>
  <c r="AA310" i="15"/>
  <c r="V310" i="15"/>
  <c r="U310" i="15"/>
  <c r="AB310" i="15"/>
  <c r="Y311" i="15"/>
  <c r="R311" i="15"/>
  <c r="Q311" i="15"/>
  <c r="Z311" i="15"/>
  <c r="T311" i="15"/>
  <c r="S311" i="15"/>
  <c r="AA311" i="15"/>
  <c r="V311" i="15"/>
  <c r="U311" i="15"/>
  <c r="AB311" i="15"/>
  <c r="Y312" i="15"/>
  <c r="R312" i="15"/>
  <c r="Q312" i="15"/>
  <c r="Z312" i="15"/>
  <c r="T312" i="15"/>
  <c r="S312" i="15"/>
  <c r="AA312" i="15"/>
  <c r="V312" i="15"/>
  <c r="U312" i="15"/>
  <c r="AB312" i="15"/>
  <c r="Y313" i="15"/>
  <c r="R313" i="15"/>
  <c r="Q313" i="15"/>
  <c r="Z313" i="15"/>
  <c r="T313" i="15"/>
  <c r="S313" i="15"/>
  <c r="AA313" i="15"/>
  <c r="V313" i="15"/>
  <c r="U313" i="15"/>
  <c r="AB313" i="15"/>
  <c r="Y314" i="15"/>
  <c r="R314" i="15"/>
  <c r="Q314" i="15"/>
  <c r="Z314" i="15"/>
  <c r="T314" i="15"/>
  <c r="S314" i="15"/>
  <c r="AA314" i="15"/>
  <c r="V314" i="15"/>
  <c r="U314" i="15"/>
  <c r="AB314" i="15"/>
  <c r="Y315" i="15"/>
  <c r="R315" i="15"/>
  <c r="Q315" i="15"/>
  <c r="Z315" i="15"/>
  <c r="T315" i="15"/>
  <c r="S315" i="15"/>
  <c r="AA315" i="15"/>
  <c r="V315" i="15"/>
  <c r="U315" i="15"/>
  <c r="AB315" i="15"/>
  <c r="Y316" i="15"/>
  <c r="R316" i="15"/>
  <c r="Q316" i="15"/>
  <c r="Z316" i="15"/>
  <c r="T316" i="15"/>
  <c r="S316" i="15"/>
  <c r="AA316" i="15"/>
  <c r="V316" i="15"/>
  <c r="U316" i="15"/>
  <c r="AB316" i="15"/>
  <c r="E226" i="24"/>
  <c r="D226" i="24"/>
  <c r="C226" i="24"/>
  <c r="Y112" i="15"/>
  <c r="Y113" i="15"/>
  <c r="Y114" i="15"/>
  <c r="Y115" i="15"/>
  <c r="R112" i="15"/>
  <c r="Q112" i="15"/>
  <c r="Z112" i="15"/>
  <c r="T112" i="15"/>
  <c r="S112" i="15"/>
  <c r="AA112" i="15"/>
  <c r="V112" i="15"/>
  <c r="U112" i="15"/>
  <c r="AB112" i="15"/>
  <c r="R113" i="15"/>
  <c r="Q113" i="15"/>
  <c r="Z113" i="15"/>
  <c r="T113" i="15"/>
  <c r="S113" i="15"/>
  <c r="AA113" i="15"/>
  <c r="V113" i="15"/>
  <c r="U113" i="15"/>
  <c r="AB113" i="15"/>
  <c r="R114" i="15"/>
  <c r="Q114" i="15"/>
  <c r="Z114" i="15"/>
  <c r="T114" i="15"/>
  <c r="S114" i="15"/>
  <c r="AA114" i="15"/>
  <c r="V114" i="15"/>
  <c r="U114" i="15"/>
  <c r="AB114" i="15"/>
  <c r="R115" i="15"/>
  <c r="Q115" i="15"/>
  <c r="Z115" i="15"/>
  <c r="T115" i="15"/>
  <c r="S115" i="15"/>
  <c r="AA115" i="15"/>
  <c r="V115" i="15"/>
  <c r="U115" i="15"/>
  <c r="AB115" i="15"/>
  <c r="Y116" i="15"/>
  <c r="R116" i="15"/>
  <c r="Q116" i="15"/>
  <c r="Z116" i="15"/>
  <c r="T116" i="15"/>
  <c r="S116" i="15"/>
  <c r="AA116" i="15"/>
  <c r="V116" i="15"/>
  <c r="U116" i="15"/>
  <c r="AB116" i="15"/>
  <c r="Y117" i="15"/>
  <c r="R117" i="15"/>
  <c r="Q117" i="15"/>
  <c r="Z117" i="15"/>
  <c r="T117" i="15"/>
  <c r="S117" i="15"/>
  <c r="AA117" i="15"/>
  <c r="V117" i="15"/>
  <c r="U117" i="15"/>
  <c r="AB117" i="15"/>
  <c r="Y118" i="15"/>
  <c r="R118" i="15"/>
  <c r="Q118" i="15"/>
  <c r="Z118" i="15"/>
  <c r="T118" i="15"/>
  <c r="S118" i="15"/>
  <c r="AA118" i="15"/>
  <c r="V118" i="15"/>
  <c r="U118" i="15"/>
  <c r="AB118" i="15"/>
  <c r="Y119" i="15"/>
  <c r="R119" i="15"/>
  <c r="Q119" i="15"/>
  <c r="Z119" i="15"/>
  <c r="T119" i="15"/>
  <c r="S119" i="15"/>
  <c r="AA119" i="15"/>
  <c r="V119" i="15"/>
  <c r="U119" i="15"/>
  <c r="AB119" i="15"/>
  <c r="Y120" i="15"/>
  <c r="R120" i="15"/>
  <c r="Q120" i="15"/>
  <c r="Z120" i="15"/>
  <c r="T120" i="15"/>
  <c r="S120" i="15"/>
  <c r="AA120" i="15"/>
  <c r="V120" i="15"/>
  <c r="U120" i="15"/>
  <c r="AB120" i="15"/>
  <c r="Y121" i="15"/>
  <c r="R121" i="15"/>
  <c r="Q121" i="15"/>
  <c r="Z121" i="15"/>
  <c r="T121" i="15"/>
  <c r="S121" i="15"/>
  <c r="AA121" i="15"/>
  <c r="V121" i="15"/>
  <c r="U121" i="15"/>
  <c r="AB121" i="15"/>
  <c r="Y122" i="15"/>
  <c r="R122" i="15"/>
  <c r="Q122" i="15"/>
  <c r="Z122" i="15"/>
  <c r="T122" i="15"/>
  <c r="S122" i="15"/>
  <c r="AA122" i="15"/>
  <c r="V122" i="15"/>
  <c r="U122" i="15"/>
  <c r="AB122" i="15"/>
  <c r="Y123" i="15"/>
  <c r="R123" i="15"/>
  <c r="Q123" i="15"/>
  <c r="Z123" i="15"/>
  <c r="T123" i="15"/>
  <c r="S123" i="15"/>
  <c r="AA123" i="15"/>
  <c r="V123" i="15"/>
  <c r="U123" i="15"/>
  <c r="AB123" i="15"/>
  <c r="Y124" i="15"/>
  <c r="R124" i="15"/>
  <c r="Q124" i="15"/>
  <c r="Z124" i="15"/>
  <c r="T124" i="15"/>
  <c r="S124" i="15"/>
  <c r="AA124" i="15"/>
  <c r="V124" i="15"/>
  <c r="U124" i="15"/>
  <c r="AB124" i="15"/>
  <c r="Y125" i="15"/>
  <c r="R125" i="15"/>
  <c r="Q125" i="15"/>
  <c r="Z125" i="15"/>
  <c r="T125" i="15"/>
  <c r="S125" i="15"/>
  <c r="AA125" i="15"/>
  <c r="V125" i="15"/>
  <c r="U125" i="15"/>
  <c r="AB125" i="15"/>
  <c r="Y126" i="15"/>
  <c r="R126" i="15"/>
  <c r="Q126" i="15"/>
  <c r="Z126" i="15"/>
  <c r="T126" i="15"/>
  <c r="S126" i="15"/>
  <c r="AA126" i="15"/>
  <c r="V126" i="15"/>
  <c r="U126" i="15"/>
  <c r="AB126" i="15"/>
  <c r="Y127" i="15"/>
  <c r="R127" i="15"/>
  <c r="Q127" i="15"/>
  <c r="Z127" i="15"/>
  <c r="T127" i="15"/>
  <c r="S127" i="15"/>
  <c r="AA127" i="15"/>
  <c r="V127" i="15"/>
  <c r="U127" i="15"/>
  <c r="AB127" i="15"/>
  <c r="Y128" i="15"/>
  <c r="R128" i="15"/>
  <c r="Q128" i="15"/>
  <c r="Z128" i="15"/>
  <c r="T128" i="15"/>
  <c r="S128" i="15"/>
  <c r="AA128" i="15"/>
  <c r="V128" i="15"/>
  <c r="U128" i="15"/>
  <c r="AB128" i="15"/>
  <c r="Y129" i="15"/>
  <c r="R129" i="15"/>
  <c r="Q129" i="15"/>
  <c r="Z129" i="15"/>
  <c r="T129" i="15"/>
  <c r="S129" i="15"/>
  <c r="AA129" i="15"/>
  <c r="V129" i="15"/>
  <c r="U129" i="15"/>
  <c r="AB129" i="15"/>
  <c r="Y130" i="15"/>
  <c r="R130" i="15"/>
  <c r="Q130" i="15"/>
  <c r="Z130" i="15"/>
  <c r="T130" i="15"/>
  <c r="S130" i="15"/>
  <c r="AA130" i="15"/>
  <c r="V130" i="15"/>
  <c r="U130" i="15"/>
  <c r="AB130" i="15"/>
  <c r="Y131" i="15"/>
  <c r="R131" i="15"/>
  <c r="Q131" i="15"/>
  <c r="Z131" i="15"/>
  <c r="T131" i="15"/>
  <c r="S131" i="15"/>
  <c r="AA131" i="15"/>
  <c r="V131" i="15"/>
  <c r="U131" i="15"/>
  <c r="AB131" i="15"/>
  <c r="Y132" i="15"/>
  <c r="R132" i="15"/>
  <c r="Q132" i="15"/>
  <c r="Z132" i="15"/>
  <c r="T132" i="15"/>
  <c r="S132" i="15"/>
  <c r="AA132" i="15"/>
  <c r="V132" i="15"/>
  <c r="U132" i="15"/>
  <c r="AB132" i="15"/>
  <c r="Y133" i="15"/>
  <c r="R133" i="15"/>
  <c r="Q133" i="15"/>
  <c r="Z133" i="15"/>
  <c r="T133" i="15"/>
  <c r="S133" i="15"/>
  <c r="AA133" i="15"/>
  <c r="V133" i="15"/>
  <c r="U133" i="15"/>
  <c r="AB133" i="15"/>
  <c r="Y134" i="15"/>
  <c r="R134" i="15"/>
  <c r="Q134" i="15"/>
  <c r="Z134" i="15"/>
  <c r="T134" i="15"/>
  <c r="S134" i="15"/>
  <c r="AA134" i="15"/>
  <c r="V134" i="15"/>
  <c r="U134" i="15"/>
  <c r="AB134" i="15"/>
  <c r="Y135" i="15"/>
  <c r="R135" i="15"/>
  <c r="Q135" i="15"/>
  <c r="Z135" i="15"/>
  <c r="T135" i="15"/>
  <c r="S135" i="15"/>
  <c r="AA135" i="15"/>
  <c r="V135" i="15"/>
  <c r="U135" i="15"/>
  <c r="AB135" i="15"/>
  <c r="Y136" i="15"/>
  <c r="R136" i="15"/>
  <c r="Q136" i="15"/>
  <c r="Z136" i="15"/>
  <c r="T136" i="15"/>
  <c r="S136" i="15"/>
  <c r="AA136" i="15"/>
  <c r="V136" i="15"/>
  <c r="U136" i="15"/>
  <c r="AB136" i="15"/>
  <c r="Y137" i="15"/>
  <c r="R137" i="15"/>
  <c r="Q137" i="15"/>
  <c r="Z137" i="15"/>
  <c r="T137" i="15"/>
  <c r="S137" i="15"/>
  <c r="AA137" i="15"/>
  <c r="V137" i="15"/>
  <c r="U137" i="15"/>
  <c r="AB137" i="15"/>
  <c r="Y138" i="15"/>
  <c r="R138" i="15"/>
  <c r="Q138" i="15"/>
  <c r="Z138" i="15"/>
  <c r="T138" i="15"/>
  <c r="S138" i="15"/>
  <c r="AA138" i="15"/>
  <c r="V138" i="15"/>
  <c r="U138" i="15"/>
  <c r="AB138" i="15"/>
  <c r="Y139" i="15"/>
  <c r="R139" i="15"/>
  <c r="Q139" i="15"/>
  <c r="Z139" i="15"/>
  <c r="T139" i="15"/>
  <c r="S139" i="15"/>
  <c r="AA139" i="15"/>
  <c r="V139" i="15"/>
  <c r="U139" i="15"/>
  <c r="AB139" i="15"/>
  <c r="Y140" i="15"/>
  <c r="R140" i="15"/>
  <c r="Q140" i="15"/>
  <c r="Z140" i="15"/>
  <c r="T140" i="15"/>
  <c r="S140" i="15"/>
  <c r="AA140" i="15"/>
  <c r="V140" i="15"/>
  <c r="U140" i="15"/>
  <c r="AB140" i="15"/>
  <c r="Y141" i="15"/>
  <c r="R141" i="15"/>
  <c r="Q141" i="15"/>
  <c r="Z141" i="15"/>
  <c r="T141" i="15"/>
  <c r="S141" i="15"/>
  <c r="AA141" i="15"/>
  <c r="V141" i="15"/>
  <c r="U141" i="15"/>
  <c r="AB141" i="15"/>
  <c r="Y142" i="15"/>
  <c r="R142" i="15"/>
  <c r="Q142" i="15"/>
  <c r="Z142" i="15"/>
  <c r="T142" i="15"/>
  <c r="S142" i="15"/>
  <c r="AA142" i="15"/>
  <c r="V142" i="15"/>
  <c r="U142" i="15"/>
  <c r="AB142" i="15"/>
  <c r="Y143" i="15"/>
  <c r="R143" i="15"/>
  <c r="Q143" i="15"/>
  <c r="Z143" i="15"/>
  <c r="T143" i="15"/>
  <c r="S143" i="15"/>
  <c r="AA143" i="15"/>
  <c r="V143" i="15"/>
  <c r="U143" i="15"/>
  <c r="AB143" i="15"/>
  <c r="Y144" i="15"/>
  <c r="R144" i="15"/>
  <c r="Q144" i="15"/>
  <c r="Z144" i="15"/>
  <c r="T144" i="15"/>
  <c r="S144" i="15"/>
  <c r="AA144" i="15"/>
  <c r="V144" i="15"/>
  <c r="U144" i="15"/>
  <c r="AB144" i="15"/>
  <c r="Y145" i="15"/>
  <c r="R145" i="15"/>
  <c r="Q145" i="15"/>
  <c r="Z145" i="15"/>
  <c r="T145" i="15"/>
  <c r="S145" i="15"/>
  <c r="AA145" i="15"/>
  <c r="V145" i="15"/>
  <c r="U145" i="15"/>
  <c r="AB145" i="15"/>
  <c r="Y146" i="15"/>
  <c r="R146" i="15"/>
  <c r="Q146" i="15"/>
  <c r="Z146" i="15"/>
  <c r="T146" i="15"/>
  <c r="S146" i="15"/>
  <c r="AA146" i="15"/>
  <c r="V146" i="15"/>
  <c r="U146" i="15"/>
  <c r="AB146" i="15"/>
  <c r="Y147" i="15"/>
  <c r="R147" i="15"/>
  <c r="Q147" i="15"/>
  <c r="Z147" i="15"/>
  <c r="T147" i="15"/>
  <c r="S147" i="15"/>
  <c r="AA147" i="15"/>
  <c r="V147" i="15"/>
  <c r="U147" i="15"/>
  <c r="AB147" i="15"/>
  <c r="Y148" i="15"/>
  <c r="R148" i="15"/>
  <c r="Q148" i="15"/>
  <c r="Z148" i="15"/>
  <c r="T148" i="15"/>
  <c r="S148" i="15"/>
  <c r="AA148" i="15"/>
  <c r="V148" i="15"/>
  <c r="U148" i="15"/>
  <c r="AB148" i="15"/>
  <c r="Y149" i="15"/>
  <c r="R149" i="15"/>
  <c r="Q149" i="15"/>
  <c r="Z149" i="15"/>
  <c r="T149" i="15"/>
  <c r="S149" i="15"/>
  <c r="AA149" i="15"/>
  <c r="V149" i="15"/>
  <c r="U149" i="15"/>
  <c r="AB149" i="15"/>
  <c r="Y150" i="15"/>
  <c r="R150" i="15"/>
  <c r="Q150" i="15"/>
  <c r="Z150" i="15"/>
  <c r="T150" i="15"/>
  <c r="S150" i="15"/>
  <c r="AA150" i="15"/>
  <c r="V150" i="15"/>
  <c r="U150" i="15"/>
  <c r="AB150" i="15"/>
  <c r="Y151" i="15"/>
  <c r="R151" i="15"/>
  <c r="Q151" i="15"/>
  <c r="Z151" i="15"/>
  <c r="T151" i="15"/>
  <c r="S151" i="15"/>
  <c r="AA151" i="15"/>
  <c r="V151" i="15"/>
  <c r="U151" i="15"/>
  <c r="AB151" i="15"/>
  <c r="Y152" i="15"/>
  <c r="R152" i="15"/>
  <c r="Q152" i="15"/>
  <c r="Z152" i="15"/>
  <c r="T152" i="15"/>
  <c r="S152" i="15"/>
  <c r="AA152" i="15"/>
  <c r="V152" i="15"/>
  <c r="U152" i="15"/>
  <c r="AB152" i="15"/>
  <c r="Y153" i="15"/>
  <c r="R153" i="15"/>
  <c r="Q153" i="15"/>
  <c r="Z153" i="15"/>
  <c r="T153" i="15"/>
  <c r="S153" i="15"/>
  <c r="AA153" i="15"/>
  <c r="V153" i="15"/>
  <c r="U153" i="15"/>
  <c r="AB153" i="15"/>
  <c r="Y154" i="15"/>
  <c r="R154" i="15"/>
  <c r="Q154" i="15"/>
  <c r="Z154" i="15"/>
  <c r="T154" i="15"/>
  <c r="S154" i="15"/>
  <c r="AA154" i="15"/>
  <c r="V154" i="15"/>
  <c r="U154" i="15"/>
  <c r="AB154" i="15"/>
  <c r="Y155" i="15"/>
  <c r="R155" i="15"/>
  <c r="Q155" i="15"/>
  <c r="Z155" i="15"/>
  <c r="T155" i="15"/>
  <c r="S155" i="15"/>
  <c r="AA155" i="15"/>
  <c r="V155" i="15"/>
  <c r="U155" i="15"/>
  <c r="AB155" i="15"/>
  <c r="Y156" i="15"/>
  <c r="R156" i="15"/>
  <c r="Q156" i="15"/>
  <c r="Z156" i="15"/>
  <c r="T156" i="15"/>
  <c r="S156" i="15"/>
  <c r="AA156" i="15"/>
  <c r="V156" i="15"/>
  <c r="U156" i="15"/>
  <c r="AB156" i="15"/>
  <c r="Y157" i="15"/>
  <c r="R157" i="15"/>
  <c r="Q157" i="15"/>
  <c r="Z157" i="15"/>
  <c r="T157" i="15"/>
  <c r="S157" i="15"/>
  <c r="AA157" i="15"/>
  <c r="V157" i="15"/>
  <c r="U157" i="15"/>
  <c r="AB157" i="15"/>
  <c r="Y158" i="15"/>
  <c r="R158" i="15"/>
  <c r="Q158" i="15"/>
  <c r="Z158" i="15"/>
  <c r="T158" i="15"/>
  <c r="S158" i="15"/>
  <c r="AA158" i="15"/>
  <c r="V158" i="15"/>
  <c r="U158" i="15"/>
  <c r="AB158" i="15"/>
  <c r="Y159" i="15"/>
  <c r="R159" i="15"/>
  <c r="Q159" i="15"/>
  <c r="Z159" i="15"/>
  <c r="T159" i="15"/>
  <c r="S159" i="15"/>
  <c r="AA159" i="15"/>
  <c r="V159" i="15"/>
  <c r="U159" i="15"/>
  <c r="AB159" i="15"/>
  <c r="Y160" i="15"/>
  <c r="R160" i="15"/>
  <c r="Q160" i="15"/>
  <c r="Z160" i="15"/>
  <c r="T160" i="15"/>
  <c r="S160" i="15"/>
  <c r="AA160" i="15"/>
  <c r="V160" i="15"/>
  <c r="U160" i="15"/>
  <c r="AB160" i="15"/>
  <c r="Y161" i="15"/>
  <c r="R161" i="15"/>
  <c r="Q161" i="15"/>
  <c r="Z161" i="15"/>
  <c r="T161" i="15"/>
  <c r="S161" i="15"/>
  <c r="AA161" i="15"/>
  <c r="V161" i="15"/>
  <c r="U161" i="15"/>
  <c r="AB161" i="15"/>
  <c r="Y162" i="15"/>
  <c r="R162" i="15"/>
  <c r="Q162" i="15"/>
  <c r="Z162" i="15"/>
  <c r="T162" i="15"/>
  <c r="S162" i="15"/>
  <c r="AA162" i="15"/>
  <c r="V162" i="15"/>
  <c r="U162" i="15"/>
  <c r="AB162" i="15"/>
  <c r="Y163" i="15"/>
  <c r="R163" i="15"/>
  <c r="Q163" i="15"/>
  <c r="Z163" i="15"/>
  <c r="T163" i="15"/>
  <c r="S163" i="15"/>
  <c r="AA163" i="15"/>
  <c r="V163" i="15"/>
  <c r="U163" i="15"/>
  <c r="AB163" i="15"/>
  <c r="Y164" i="15"/>
  <c r="R164" i="15"/>
  <c r="Q164" i="15"/>
  <c r="Z164" i="15"/>
  <c r="T164" i="15"/>
  <c r="S164" i="15"/>
  <c r="AA164" i="15"/>
  <c r="V164" i="15"/>
  <c r="U164" i="15"/>
  <c r="AB164" i="15"/>
  <c r="Y165" i="15"/>
  <c r="R165" i="15"/>
  <c r="Q165" i="15"/>
  <c r="Z165" i="15"/>
  <c r="T165" i="15"/>
  <c r="S165" i="15"/>
  <c r="AA165" i="15"/>
  <c r="V165" i="15"/>
  <c r="U165" i="15"/>
  <c r="AB165" i="15"/>
  <c r="Y166" i="15"/>
  <c r="R166" i="15"/>
  <c r="Q166" i="15"/>
  <c r="Z166" i="15"/>
  <c r="T166" i="15"/>
  <c r="S166" i="15"/>
  <c r="AA166" i="15"/>
  <c r="V166" i="15"/>
  <c r="U166" i="15"/>
  <c r="AB166" i="15"/>
  <c r="Y167" i="15"/>
  <c r="R167" i="15"/>
  <c r="Q167" i="15"/>
  <c r="Z167" i="15"/>
  <c r="T167" i="15"/>
  <c r="S167" i="15"/>
  <c r="AA167" i="15"/>
  <c r="V167" i="15"/>
  <c r="U167" i="15"/>
  <c r="AB167" i="15"/>
  <c r="Y168" i="15"/>
  <c r="R168" i="15"/>
  <c r="Q168" i="15"/>
  <c r="Z168" i="15"/>
  <c r="T168" i="15"/>
  <c r="S168" i="15"/>
  <c r="AA168" i="15"/>
  <c r="V168" i="15"/>
  <c r="U168" i="15"/>
  <c r="AB168" i="15"/>
  <c r="Y169" i="15"/>
  <c r="R169" i="15"/>
  <c r="Q169" i="15"/>
  <c r="Z169" i="15"/>
  <c r="T169" i="15"/>
  <c r="S169" i="15"/>
  <c r="AA169" i="15"/>
  <c r="V169" i="15"/>
  <c r="U169" i="15"/>
  <c r="AB169" i="15"/>
  <c r="Y170" i="15"/>
  <c r="R170" i="15"/>
  <c r="Q170" i="15"/>
  <c r="Z170" i="15"/>
  <c r="T170" i="15"/>
  <c r="S170" i="15"/>
  <c r="AA170" i="15"/>
  <c r="V170" i="15"/>
  <c r="U170" i="15"/>
  <c r="AB170" i="15"/>
  <c r="Y171" i="15"/>
  <c r="R171" i="15"/>
  <c r="Q171" i="15"/>
  <c r="Z171" i="15"/>
  <c r="T171" i="15"/>
  <c r="S171" i="15"/>
  <c r="AA171" i="15"/>
  <c r="V171" i="15"/>
  <c r="U171" i="15"/>
  <c r="AB171" i="15"/>
  <c r="Y172" i="15"/>
  <c r="R172" i="15"/>
  <c r="Q172" i="15"/>
  <c r="Z172" i="15"/>
  <c r="T172" i="15"/>
  <c r="S172" i="15"/>
  <c r="AA172" i="15"/>
  <c r="V172" i="15"/>
  <c r="U172" i="15"/>
  <c r="AB172" i="15"/>
  <c r="Y173" i="15"/>
  <c r="R173" i="15"/>
  <c r="Q173" i="15"/>
  <c r="Z173" i="15"/>
  <c r="T173" i="15"/>
  <c r="S173" i="15"/>
  <c r="AA173" i="15"/>
  <c r="V173" i="15"/>
  <c r="U173" i="15"/>
  <c r="AB173" i="15"/>
  <c r="Y174" i="15"/>
  <c r="R174" i="15"/>
  <c r="Q174" i="15"/>
  <c r="Z174" i="15"/>
  <c r="T174" i="15"/>
  <c r="S174" i="15"/>
  <c r="AA174" i="15"/>
  <c r="V174" i="15"/>
  <c r="U174" i="15"/>
  <c r="AB174" i="15"/>
  <c r="Y175" i="15"/>
  <c r="R175" i="15"/>
  <c r="Q175" i="15"/>
  <c r="Z175" i="15"/>
  <c r="T175" i="15"/>
  <c r="S175" i="15"/>
  <c r="AA175" i="15"/>
  <c r="V175" i="15"/>
  <c r="U175" i="15"/>
  <c r="AB175" i="15"/>
  <c r="Y176" i="15"/>
  <c r="R176" i="15"/>
  <c r="Q176" i="15"/>
  <c r="Z176" i="15"/>
  <c r="T176" i="15"/>
  <c r="S176" i="15"/>
  <c r="AA176" i="15"/>
  <c r="V176" i="15"/>
  <c r="U176" i="15"/>
  <c r="AB176" i="15"/>
  <c r="Y177" i="15"/>
  <c r="R177" i="15"/>
  <c r="Q177" i="15"/>
  <c r="Z177" i="15"/>
  <c r="T177" i="15"/>
  <c r="S177" i="15"/>
  <c r="AA177" i="15"/>
  <c r="V177" i="15"/>
  <c r="U177" i="15"/>
  <c r="AB177" i="15"/>
  <c r="Y178" i="15"/>
  <c r="R178" i="15"/>
  <c r="Q178" i="15"/>
  <c r="Z178" i="15"/>
  <c r="T178" i="15"/>
  <c r="S178" i="15"/>
  <c r="AA178" i="15"/>
  <c r="V178" i="15"/>
  <c r="U178" i="15"/>
  <c r="AB178" i="15"/>
  <c r="Y179" i="15"/>
  <c r="R179" i="15"/>
  <c r="Q179" i="15"/>
  <c r="Z179" i="15"/>
  <c r="T179" i="15"/>
  <c r="S179" i="15"/>
  <c r="AA179" i="15"/>
  <c r="V179" i="15"/>
  <c r="U179" i="15"/>
  <c r="AB179" i="15"/>
  <c r="Y180" i="15"/>
  <c r="R180" i="15"/>
  <c r="Q180" i="15"/>
  <c r="Z180" i="15"/>
  <c r="T180" i="15"/>
  <c r="S180" i="15"/>
  <c r="AA180" i="15"/>
  <c r="V180" i="15"/>
  <c r="U180" i="15"/>
  <c r="AB180" i="15"/>
  <c r="Y181" i="15"/>
  <c r="R181" i="15"/>
  <c r="Q181" i="15"/>
  <c r="Z181" i="15"/>
  <c r="T181" i="15"/>
  <c r="S181" i="15"/>
  <c r="AA181" i="15"/>
  <c r="V181" i="15"/>
  <c r="U181" i="15"/>
  <c r="AB181" i="15"/>
  <c r="Y182" i="15"/>
  <c r="R182" i="15"/>
  <c r="Q182" i="15"/>
  <c r="Z182" i="15"/>
  <c r="T182" i="15"/>
  <c r="S182" i="15"/>
  <c r="AA182" i="15"/>
  <c r="V182" i="15"/>
  <c r="U182" i="15"/>
  <c r="AB182" i="15"/>
  <c r="Y183" i="15"/>
  <c r="R183" i="15"/>
  <c r="Q183" i="15"/>
  <c r="Z183" i="15"/>
  <c r="T183" i="15"/>
  <c r="S183" i="15"/>
  <c r="AA183" i="15"/>
  <c r="V183" i="15"/>
  <c r="U183" i="15"/>
  <c r="AB183" i="15"/>
  <c r="Y184" i="15"/>
  <c r="R184" i="15"/>
  <c r="Q184" i="15"/>
  <c r="Z184" i="15"/>
  <c r="T184" i="15"/>
  <c r="S184" i="15"/>
  <c r="AA184" i="15"/>
  <c r="V184" i="15"/>
  <c r="U184" i="15"/>
  <c r="AB184" i="15"/>
  <c r="Y185" i="15"/>
  <c r="R185" i="15"/>
  <c r="Q185" i="15"/>
  <c r="Z185" i="15"/>
  <c r="T185" i="15"/>
  <c r="S185" i="15"/>
  <c r="AA185" i="15"/>
  <c r="V185" i="15"/>
  <c r="U185" i="15"/>
  <c r="AB185" i="15"/>
  <c r="Y186" i="15"/>
  <c r="R186" i="15"/>
  <c r="Q186" i="15"/>
  <c r="Z186" i="15"/>
  <c r="T186" i="15"/>
  <c r="S186" i="15"/>
  <c r="AA186" i="15"/>
  <c r="V186" i="15"/>
  <c r="U186" i="15"/>
  <c r="AB186" i="15"/>
  <c r="Y187" i="15"/>
  <c r="R187" i="15"/>
  <c r="Q187" i="15"/>
  <c r="Z187" i="15"/>
  <c r="T187" i="15"/>
  <c r="S187" i="15"/>
  <c r="AA187" i="15"/>
  <c r="V187" i="15"/>
  <c r="U187" i="15"/>
  <c r="AB187" i="15"/>
  <c r="Y188" i="15"/>
  <c r="R188" i="15"/>
  <c r="Q188" i="15"/>
  <c r="Z188" i="15"/>
  <c r="T188" i="15"/>
  <c r="S188" i="15"/>
  <c r="AA188" i="15"/>
  <c r="V188" i="15"/>
  <c r="U188" i="15"/>
  <c r="AB188" i="15"/>
  <c r="Y189" i="15"/>
  <c r="R189" i="15"/>
  <c r="Q189" i="15"/>
  <c r="Z189" i="15"/>
  <c r="T189" i="15"/>
  <c r="S189" i="15"/>
  <c r="AA189" i="15"/>
  <c r="V189" i="15"/>
  <c r="U189" i="15"/>
  <c r="AB189" i="15"/>
  <c r="Y190" i="15"/>
  <c r="R190" i="15"/>
  <c r="Q190" i="15"/>
  <c r="Z190" i="15"/>
  <c r="T190" i="15"/>
  <c r="S190" i="15"/>
  <c r="AA190" i="15"/>
  <c r="V190" i="15"/>
  <c r="U190" i="15"/>
  <c r="AB190" i="15"/>
  <c r="Y191" i="15"/>
  <c r="R191" i="15"/>
  <c r="Q191" i="15"/>
  <c r="Z191" i="15"/>
  <c r="T191" i="15"/>
  <c r="S191" i="15"/>
  <c r="AA191" i="15"/>
  <c r="V191" i="15"/>
  <c r="U191" i="15"/>
  <c r="AB191" i="15"/>
  <c r="Y192" i="15"/>
  <c r="R192" i="15"/>
  <c r="Q192" i="15"/>
  <c r="Z192" i="15"/>
  <c r="T192" i="15"/>
  <c r="S192" i="15"/>
  <c r="AA192" i="15"/>
  <c r="V192" i="15"/>
  <c r="U192" i="15"/>
  <c r="AB192" i="15"/>
  <c r="Y193" i="15"/>
  <c r="R193" i="15"/>
  <c r="Q193" i="15"/>
  <c r="Z193" i="15"/>
  <c r="T193" i="15"/>
  <c r="S193" i="15"/>
  <c r="AA193" i="15"/>
  <c r="V193" i="15"/>
  <c r="U193" i="15"/>
  <c r="AB193" i="15"/>
  <c r="Y194" i="15"/>
  <c r="R194" i="15"/>
  <c r="Q194" i="15"/>
  <c r="Z194" i="15"/>
  <c r="T194" i="15"/>
  <c r="S194" i="15"/>
  <c r="AA194" i="15"/>
  <c r="V194" i="15"/>
  <c r="U194" i="15"/>
  <c r="AB194" i="15"/>
  <c r="Y195" i="15"/>
  <c r="R195" i="15"/>
  <c r="Q195" i="15"/>
  <c r="Z195" i="15"/>
  <c r="T195" i="15"/>
  <c r="S195" i="15"/>
  <c r="AA195" i="15"/>
  <c r="V195" i="15"/>
  <c r="U195" i="15"/>
  <c r="AB195" i="15"/>
  <c r="Y196" i="15"/>
  <c r="R196" i="15"/>
  <c r="Q196" i="15"/>
  <c r="Z196" i="15"/>
  <c r="T196" i="15"/>
  <c r="S196" i="15"/>
  <c r="AA196" i="15"/>
  <c r="V196" i="15"/>
  <c r="U196" i="15"/>
  <c r="AB196" i="15"/>
  <c r="Y197" i="15"/>
  <c r="R197" i="15"/>
  <c r="Q197" i="15"/>
  <c r="Z197" i="15"/>
  <c r="T197" i="15"/>
  <c r="S197" i="15"/>
  <c r="AA197" i="15"/>
  <c r="V197" i="15"/>
  <c r="U197" i="15"/>
  <c r="AB197" i="15"/>
  <c r="Y198" i="15"/>
  <c r="R198" i="15"/>
  <c r="Q198" i="15"/>
  <c r="Z198" i="15"/>
  <c r="T198" i="15"/>
  <c r="S198" i="15"/>
  <c r="AA198" i="15"/>
  <c r="V198" i="15"/>
  <c r="U198" i="15"/>
  <c r="AB198" i="15"/>
  <c r="Y199" i="15"/>
  <c r="R199" i="15"/>
  <c r="Q199" i="15"/>
  <c r="Z199" i="15"/>
  <c r="T199" i="15"/>
  <c r="S199" i="15"/>
  <c r="AA199" i="15"/>
  <c r="V199" i="15"/>
  <c r="U199" i="15"/>
  <c r="AB199" i="15"/>
  <c r="Y200" i="15"/>
  <c r="R200" i="15"/>
  <c r="Q200" i="15"/>
  <c r="Z200" i="15"/>
  <c r="T200" i="15"/>
  <c r="S200" i="15"/>
  <c r="AA200" i="15"/>
  <c r="V200" i="15"/>
  <c r="U200" i="15"/>
  <c r="AB200" i="15"/>
  <c r="Y201" i="15"/>
  <c r="R201" i="15"/>
  <c r="Q201" i="15"/>
  <c r="Z201" i="15"/>
  <c r="T201" i="15"/>
  <c r="S201" i="15"/>
  <c r="AA201" i="15"/>
  <c r="V201" i="15"/>
  <c r="U201" i="15"/>
  <c r="AB201" i="15"/>
  <c r="Y202" i="15"/>
  <c r="R202" i="15"/>
  <c r="Q202" i="15"/>
  <c r="Z202" i="15"/>
  <c r="T202" i="15"/>
  <c r="S202" i="15"/>
  <c r="AA202" i="15"/>
  <c r="V202" i="15"/>
  <c r="U202" i="15"/>
  <c r="AB202" i="15"/>
  <c r="Y203" i="15"/>
  <c r="R203" i="15"/>
  <c r="Q203" i="15"/>
  <c r="Z203" i="15"/>
  <c r="T203" i="15"/>
  <c r="S203" i="15"/>
  <c r="AA203" i="15"/>
  <c r="V203" i="15"/>
  <c r="U203" i="15"/>
  <c r="AB203" i="15"/>
  <c r="Y204" i="15"/>
  <c r="R204" i="15"/>
  <c r="Q204" i="15"/>
  <c r="Z204" i="15"/>
  <c r="T204" i="15"/>
  <c r="S204" i="15"/>
  <c r="AA204" i="15"/>
  <c r="V204" i="15"/>
  <c r="U204" i="15"/>
  <c r="AB204" i="15"/>
  <c r="Y205" i="15"/>
  <c r="R205" i="15"/>
  <c r="Q205" i="15"/>
  <c r="Z205" i="15"/>
  <c r="T205" i="15"/>
  <c r="S205" i="15"/>
  <c r="AA205" i="15"/>
  <c r="V205" i="15"/>
  <c r="U205" i="15"/>
  <c r="AB205" i="15"/>
  <c r="Y206" i="15"/>
  <c r="R206" i="15"/>
  <c r="Q206" i="15"/>
  <c r="Z206" i="15"/>
  <c r="T206" i="15"/>
  <c r="S206" i="15"/>
  <c r="AA206" i="15"/>
  <c r="V206" i="15"/>
  <c r="U206" i="15"/>
  <c r="AB206" i="15"/>
  <c r="Y207" i="15"/>
  <c r="R207" i="15"/>
  <c r="Q207" i="15"/>
  <c r="Z207" i="15"/>
  <c r="T207" i="15"/>
  <c r="S207" i="15"/>
  <c r="AA207" i="15"/>
  <c r="V207" i="15"/>
  <c r="U207" i="15"/>
  <c r="AB207" i="15"/>
  <c r="Y208" i="15"/>
  <c r="R208" i="15"/>
  <c r="Q208" i="15"/>
  <c r="Z208" i="15"/>
  <c r="T208" i="15"/>
  <c r="S208" i="15"/>
  <c r="AA208" i="15"/>
  <c r="V208" i="15"/>
  <c r="U208" i="15"/>
  <c r="AB208" i="15"/>
  <c r="Y209" i="15"/>
  <c r="R209" i="15"/>
  <c r="Q209" i="15"/>
  <c r="Z209" i="15"/>
  <c r="T209" i="15"/>
  <c r="S209" i="15"/>
  <c r="AA209" i="15"/>
  <c r="V209" i="15"/>
  <c r="U209" i="15"/>
  <c r="AB209" i="15"/>
  <c r="Y210" i="15"/>
  <c r="R210" i="15"/>
  <c r="Q210" i="15"/>
  <c r="Z210" i="15"/>
  <c r="T210" i="15"/>
  <c r="S210" i="15"/>
  <c r="AA210" i="15"/>
  <c r="V210" i="15"/>
  <c r="U210" i="15"/>
  <c r="AB210" i="15"/>
  <c r="E225" i="24"/>
  <c r="D225" i="24"/>
  <c r="C225" i="24"/>
  <c r="E224" i="24"/>
  <c r="D224" i="24"/>
  <c r="C224" i="24"/>
  <c r="C10" i="24"/>
  <c r="D13" i="24"/>
  <c r="E10" i="24"/>
  <c r="F13" i="24"/>
  <c r="A17" i="24"/>
  <c r="C220" i="24"/>
  <c r="C219" i="24"/>
  <c r="C218" i="24"/>
  <c r="C216" i="24"/>
  <c r="C213" i="24"/>
  <c r="C212" i="24"/>
  <c r="C211" i="24"/>
  <c r="C209" i="24"/>
  <c r="C206" i="24"/>
  <c r="C205" i="24"/>
  <c r="C204" i="24"/>
  <c r="C202" i="24"/>
  <c r="C200" i="24"/>
  <c r="I154" i="24"/>
  <c r="R10" i="24"/>
  <c r="A154" i="24"/>
  <c r="I147" i="24"/>
  <c r="A147" i="24"/>
  <c r="A141" i="24"/>
  <c r="AB46" i="24"/>
  <c r="AA46" i="24"/>
  <c r="Z46" i="24"/>
  <c r="AB42" i="24"/>
  <c r="AA42" i="24"/>
  <c r="Z42" i="24"/>
  <c r="AB38" i="24"/>
  <c r="AA38" i="24"/>
  <c r="Z38" i="24"/>
  <c r="AB34" i="24"/>
  <c r="AA34" i="24"/>
  <c r="Z34" i="24"/>
  <c r="AB30" i="24"/>
  <c r="AA30" i="24"/>
  <c r="Z30" i="24"/>
  <c r="H13" i="24"/>
  <c r="X10" i="24"/>
  <c r="W10" i="24"/>
  <c r="V10" i="24"/>
  <c r="J100" i="18"/>
  <c r="U10" i="24"/>
  <c r="S10" i="24"/>
  <c r="J100" i="16"/>
  <c r="Q10" i="24"/>
  <c r="P10" i="24"/>
  <c r="J100" i="15"/>
  <c r="O10" i="24"/>
  <c r="B10" i="24"/>
  <c r="H9" i="24"/>
  <c r="L13" i="24"/>
  <c r="A10" i="24"/>
  <c r="L9" i="24"/>
  <c r="E220" i="24"/>
  <c r="D220" i="24"/>
  <c r="E219" i="24"/>
  <c r="D219" i="24"/>
  <c r="E218" i="24"/>
  <c r="D218" i="24"/>
  <c r="E217" i="24"/>
  <c r="D217" i="24"/>
  <c r="E216" i="24"/>
  <c r="D216" i="24"/>
  <c r="E215" i="24"/>
  <c r="D215" i="24"/>
  <c r="E213" i="24"/>
  <c r="D213" i="24"/>
  <c r="E212" i="24"/>
  <c r="D212" i="24"/>
  <c r="E211" i="24"/>
  <c r="D211" i="24"/>
  <c r="E210" i="24"/>
  <c r="D210" i="24"/>
  <c r="E209" i="24"/>
  <c r="D209" i="24"/>
  <c r="E208" i="24"/>
  <c r="D208" i="24"/>
  <c r="E206" i="24"/>
  <c r="D206" i="24"/>
  <c r="E205" i="24"/>
  <c r="D205" i="24"/>
  <c r="E204" i="24"/>
  <c r="D204" i="24"/>
  <c r="E203" i="24"/>
  <c r="D203" i="24"/>
  <c r="E202" i="24"/>
  <c r="D202" i="24"/>
  <c r="E201" i="24"/>
  <c r="D201" i="24"/>
  <c r="J13" i="24"/>
  <c r="X12" i="24"/>
  <c r="W12" i="24"/>
  <c r="V12" i="24"/>
  <c r="J104" i="18"/>
  <c r="U12" i="24"/>
  <c r="T12" i="24"/>
  <c r="S12" i="24"/>
  <c r="R12" i="24"/>
  <c r="J104" i="16"/>
  <c r="Q12" i="24"/>
  <c r="P12" i="24"/>
  <c r="J104" i="15"/>
  <c r="O12" i="24"/>
  <c r="J9" i="24"/>
  <c r="C207" i="24"/>
  <c r="C214" i="24"/>
  <c r="B237" i="24"/>
  <c r="B230" i="24"/>
  <c r="B223" i="24"/>
  <c r="E207" i="24"/>
  <c r="E214" i="24"/>
  <c r="D200" i="24"/>
  <c r="D207" i="24"/>
  <c r="D214" i="24"/>
  <c r="B46" i="24"/>
  <c r="A46" i="24"/>
  <c r="B42" i="24"/>
  <c r="A42" i="24"/>
  <c r="B38" i="24"/>
  <c r="A38" i="24"/>
  <c r="B34" i="24"/>
  <c r="A34" i="24"/>
  <c r="B30" i="24"/>
  <c r="A30" i="24"/>
  <c r="A28" i="24"/>
  <c r="D24" i="24"/>
  <c r="G22" i="24"/>
  <c r="G20" i="24"/>
  <c r="B13" i="24"/>
  <c r="N10" i="24"/>
  <c r="H7" i="24"/>
  <c r="A7" i="24"/>
  <c r="A4" i="24"/>
  <c r="A3" i="24"/>
  <c r="I42" i="18"/>
  <c r="C131" i="20"/>
  <c r="C129" i="20"/>
  <c r="M71" i="20"/>
  <c r="I42" i="16"/>
  <c r="C124" i="20"/>
  <c r="C122" i="20"/>
  <c r="F71" i="20"/>
  <c r="H7" i="20"/>
  <c r="G1" i="23"/>
  <c r="KO331" i="1"/>
  <c r="AB48" i="23"/>
  <c r="AA48" i="23"/>
  <c r="AB43" i="23"/>
  <c r="AA43" i="23"/>
  <c r="AB38" i="23"/>
  <c r="AA38" i="23"/>
  <c r="AB34" i="23"/>
  <c r="AA34" i="23"/>
  <c r="AB30" i="23"/>
  <c r="AA30" i="23"/>
  <c r="L13" i="20"/>
  <c r="E10" i="20"/>
  <c r="C10" i="20"/>
  <c r="A10" i="20"/>
  <c r="L9" i="20"/>
  <c r="IW950" i="1"/>
  <c r="IW949" i="1"/>
  <c r="IW948" i="1"/>
  <c r="IW947" i="1"/>
  <c r="IW946" i="1"/>
  <c r="IW945" i="1"/>
  <c r="IW944" i="1"/>
  <c r="IW943" i="1"/>
  <c r="IW942" i="1"/>
  <c r="IW941" i="1"/>
  <c r="IW940" i="1"/>
  <c r="IW939" i="1"/>
  <c r="IW938" i="1"/>
  <c r="IW937" i="1"/>
  <c r="IW936" i="1"/>
  <c r="IW935" i="1"/>
  <c r="IW934" i="1"/>
  <c r="IW933" i="1"/>
  <c r="IW932" i="1"/>
  <c r="IW931" i="1"/>
  <c r="IW930" i="1"/>
  <c r="IW929" i="1"/>
  <c r="IW928" i="1"/>
  <c r="IW927" i="1"/>
  <c r="IW926" i="1"/>
  <c r="IW925" i="1"/>
  <c r="IW924" i="1"/>
  <c r="IW923" i="1"/>
  <c r="IW922" i="1"/>
  <c r="IW921" i="1"/>
  <c r="IW920" i="1"/>
  <c r="IW919" i="1"/>
  <c r="IW918" i="1"/>
  <c r="IW917" i="1"/>
  <c r="IW916" i="1"/>
  <c r="IW915" i="1"/>
  <c r="IW914" i="1"/>
  <c r="IW913" i="1"/>
  <c r="IW912" i="1"/>
  <c r="IW911" i="1"/>
  <c r="IW910" i="1"/>
  <c r="IW909" i="1"/>
  <c r="IW908" i="1"/>
  <c r="IW907" i="1"/>
  <c r="IW906" i="1"/>
  <c r="IW905" i="1"/>
  <c r="IW904" i="1"/>
  <c r="IW903" i="1"/>
  <c r="IW902" i="1"/>
  <c r="IW901" i="1"/>
  <c r="IW900" i="1"/>
  <c r="IW899" i="1"/>
  <c r="IW898" i="1"/>
  <c r="IW897" i="1"/>
  <c r="IW896" i="1"/>
  <c r="IW895" i="1"/>
  <c r="IW894" i="1"/>
  <c r="IW893" i="1"/>
  <c r="IW892" i="1"/>
  <c r="IW891" i="1"/>
  <c r="IW890" i="1"/>
  <c r="IW889" i="1"/>
  <c r="IW888" i="1"/>
  <c r="IW887" i="1"/>
  <c r="IW886" i="1"/>
  <c r="IW885" i="1"/>
  <c r="IW884" i="1"/>
  <c r="IW883" i="1"/>
  <c r="IW882" i="1"/>
  <c r="IW881" i="1"/>
  <c r="IW880" i="1"/>
  <c r="IW879" i="1"/>
  <c r="IW878" i="1"/>
  <c r="IW877" i="1"/>
  <c r="IW876" i="1"/>
  <c r="IW875" i="1"/>
  <c r="IW874" i="1"/>
  <c r="IW873" i="1"/>
  <c r="IW872" i="1"/>
  <c r="IW871" i="1"/>
  <c r="IW870" i="1"/>
  <c r="IW869" i="1"/>
  <c r="IW868" i="1"/>
  <c r="IW867" i="1"/>
  <c r="IW866" i="1"/>
  <c r="IW865" i="1"/>
  <c r="IW864" i="1"/>
  <c r="IW863" i="1"/>
  <c r="IW862" i="1"/>
  <c r="IW861" i="1"/>
  <c r="IW860" i="1"/>
  <c r="IW859" i="1"/>
  <c r="IW858" i="1"/>
  <c r="IW857" i="1"/>
  <c r="IW856" i="1"/>
  <c r="IW855" i="1"/>
  <c r="IW854" i="1"/>
  <c r="IW853" i="1"/>
  <c r="IW852" i="1"/>
  <c r="IW851" i="1"/>
  <c r="IW850" i="1"/>
  <c r="IW849" i="1"/>
  <c r="IW848" i="1"/>
  <c r="IW847" i="1"/>
  <c r="IW846" i="1"/>
  <c r="IW845" i="1"/>
  <c r="IW844" i="1"/>
  <c r="IW843" i="1"/>
  <c r="IW842" i="1"/>
  <c r="IW841" i="1"/>
  <c r="IW840" i="1"/>
  <c r="IW839" i="1"/>
  <c r="IW838" i="1"/>
  <c r="IW837" i="1"/>
  <c r="IW836" i="1"/>
  <c r="IW835" i="1"/>
  <c r="IW834" i="1"/>
  <c r="IW833" i="1"/>
  <c r="IW832" i="1"/>
  <c r="IW831" i="1"/>
  <c r="IW830" i="1"/>
  <c r="IW829" i="1"/>
  <c r="IW828" i="1"/>
  <c r="IW827" i="1"/>
  <c r="IW826" i="1"/>
  <c r="IW825" i="1"/>
  <c r="IW824" i="1"/>
  <c r="IW823" i="1"/>
  <c r="IW822" i="1"/>
  <c r="IW821" i="1"/>
  <c r="IW820" i="1"/>
  <c r="IW819" i="1"/>
  <c r="IW818" i="1"/>
  <c r="IW817" i="1"/>
  <c r="IW816" i="1"/>
  <c r="IW815" i="1"/>
  <c r="IW814" i="1"/>
  <c r="IW813" i="1"/>
  <c r="IW812" i="1"/>
  <c r="IW811" i="1"/>
  <c r="IW810" i="1"/>
  <c r="IW809" i="1"/>
  <c r="IW808" i="1"/>
  <c r="IW807" i="1"/>
  <c r="IW806" i="1"/>
  <c r="IW805" i="1"/>
  <c r="IW804" i="1"/>
  <c r="IW803" i="1"/>
  <c r="IW802" i="1"/>
  <c r="IW801" i="1"/>
  <c r="IW800" i="1"/>
  <c r="IW799" i="1"/>
  <c r="IW798" i="1"/>
  <c r="IW797" i="1"/>
  <c r="IW796" i="1"/>
  <c r="IW795" i="1"/>
  <c r="IW794" i="1"/>
  <c r="IW793" i="1"/>
  <c r="IW792" i="1"/>
  <c r="IW791" i="1"/>
  <c r="IW790" i="1"/>
  <c r="IW789" i="1"/>
  <c r="IW788" i="1"/>
  <c r="IW787" i="1"/>
  <c r="IW786" i="1"/>
  <c r="IW785" i="1"/>
  <c r="IW784" i="1"/>
  <c r="IW783" i="1"/>
  <c r="IW782" i="1"/>
  <c r="IW781" i="1"/>
  <c r="IW780" i="1"/>
  <c r="IW779" i="1"/>
  <c r="IW778" i="1"/>
  <c r="IW777" i="1"/>
  <c r="IW776" i="1"/>
  <c r="IW775" i="1"/>
  <c r="IW774" i="1"/>
  <c r="IW773" i="1"/>
  <c r="IW772" i="1"/>
  <c r="IW771" i="1"/>
  <c r="IW770" i="1"/>
  <c r="IW769" i="1"/>
  <c r="IW768" i="1"/>
  <c r="IW767" i="1"/>
  <c r="IW766" i="1"/>
  <c r="IW765" i="1"/>
  <c r="IW764" i="1"/>
  <c r="IW763" i="1"/>
  <c r="IW762" i="1"/>
  <c r="IW761" i="1"/>
  <c r="IW760" i="1"/>
  <c r="IW759" i="1"/>
  <c r="IW758" i="1"/>
  <c r="IW757" i="1"/>
  <c r="IW756" i="1"/>
  <c r="IW755" i="1"/>
  <c r="IW754" i="1"/>
  <c r="IW753" i="1"/>
  <c r="IW752" i="1"/>
  <c r="IW751" i="1"/>
  <c r="IW750" i="1"/>
  <c r="IW749" i="1"/>
  <c r="IW748" i="1"/>
  <c r="IW747" i="1"/>
  <c r="IW746" i="1"/>
  <c r="IW745" i="1"/>
  <c r="IW744" i="1"/>
  <c r="IW743" i="1"/>
  <c r="IW742" i="1"/>
  <c r="IW741" i="1"/>
  <c r="IW740" i="1"/>
  <c r="IW739" i="1"/>
  <c r="IW738" i="1"/>
  <c r="IW737" i="1"/>
  <c r="IW736" i="1"/>
  <c r="IW735" i="1"/>
  <c r="IW734" i="1"/>
  <c r="IW733" i="1"/>
  <c r="IW732" i="1"/>
  <c r="IW731" i="1"/>
  <c r="IW730" i="1"/>
  <c r="IW729" i="1"/>
  <c r="IW728" i="1"/>
  <c r="IW727" i="1"/>
  <c r="IW726" i="1"/>
  <c r="IW725" i="1"/>
  <c r="IW724" i="1"/>
  <c r="IW723" i="1"/>
  <c r="IW722" i="1"/>
  <c r="IW721" i="1"/>
  <c r="IW720" i="1"/>
  <c r="IW719" i="1"/>
  <c r="IW718" i="1"/>
  <c r="IW717" i="1"/>
  <c r="IW716" i="1"/>
  <c r="IW715" i="1"/>
  <c r="IW714" i="1"/>
  <c r="IW713" i="1"/>
  <c r="IW712" i="1"/>
  <c r="IW711" i="1"/>
  <c r="IW710" i="1"/>
  <c r="IW709" i="1"/>
  <c r="IW708" i="1"/>
  <c r="IW707" i="1"/>
  <c r="IW706" i="1"/>
  <c r="IW705" i="1"/>
  <c r="IW704" i="1"/>
  <c r="IW703" i="1"/>
  <c r="IW702" i="1"/>
  <c r="IW701" i="1"/>
  <c r="IW700" i="1"/>
  <c r="IW699" i="1"/>
  <c r="IW698" i="1"/>
  <c r="IW697" i="1"/>
  <c r="IW696" i="1"/>
  <c r="IW695" i="1"/>
  <c r="IW694" i="1"/>
  <c r="IW693" i="1"/>
  <c r="IW692" i="1"/>
  <c r="IW691" i="1"/>
  <c r="IW690" i="1"/>
  <c r="IW689" i="1"/>
  <c r="IW688" i="1"/>
  <c r="IW687" i="1"/>
  <c r="IW686" i="1"/>
  <c r="IW685" i="1"/>
  <c r="IW684" i="1"/>
  <c r="IW683" i="1"/>
  <c r="IW682" i="1"/>
  <c r="IW681" i="1"/>
  <c r="IW680" i="1"/>
  <c r="IW679" i="1"/>
  <c r="IW678" i="1"/>
  <c r="IW677" i="1"/>
  <c r="IW676" i="1"/>
  <c r="IW675" i="1"/>
  <c r="IW674" i="1"/>
  <c r="IW673" i="1"/>
  <c r="IW672" i="1"/>
  <c r="IW671" i="1"/>
  <c r="IW670" i="1"/>
  <c r="IW669" i="1"/>
  <c r="IW668" i="1"/>
  <c r="IW667" i="1"/>
  <c r="IW666" i="1"/>
  <c r="IW665" i="1"/>
  <c r="IW664" i="1"/>
  <c r="IW663" i="1"/>
  <c r="IW662" i="1"/>
  <c r="IW661" i="1"/>
  <c r="IW660" i="1"/>
  <c r="IW659" i="1"/>
  <c r="IW658" i="1"/>
  <c r="IW657" i="1"/>
  <c r="IW656" i="1"/>
  <c r="IW655" i="1"/>
  <c r="IW654" i="1"/>
  <c r="IW653" i="1"/>
  <c r="IW652" i="1"/>
  <c r="IW651" i="1"/>
  <c r="IW650" i="1"/>
  <c r="IW649" i="1"/>
  <c r="IW648" i="1"/>
  <c r="IW647" i="1"/>
  <c r="IW646" i="1"/>
  <c r="IW645" i="1"/>
  <c r="IW644" i="1"/>
  <c r="IW643" i="1"/>
  <c r="IW642" i="1"/>
  <c r="IW641" i="1"/>
  <c r="IW640" i="1"/>
  <c r="IW639" i="1"/>
  <c r="IW638" i="1"/>
  <c r="IW637" i="1"/>
  <c r="IW636" i="1"/>
  <c r="IW635" i="1"/>
  <c r="IW634" i="1"/>
  <c r="IW633" i="1"/>
  <c r="IW632" i="1"/>
  <c r="IW631" i="1"/>
  <c r="IW630" i="1"/>
  <c r="IW629" i="1"/>
  <c r="IW628" i="1"/>
  <c r="IW627" i="1"/>
  <c r="IW626" i="1"/>
  <c r="IW625" i="1"/>
  <c r="IW624" i="1"/>
  <c r="IW623" i="1"/>
  <c r="IW622" i="1"/>
  <c r="IW621" i="1"/>
  <c r="IW620" i="1"/>
  <c r="IW619" i="1"/>
  <c r="IW618" i="1"/>
  <c r="IW617" i="1"/>
  <c r="IW616" i="1"/>
  <c r="IW615" i="1"/>
  <c r="IW614" i="1"/>
  <c r="IW613" i="1"/>
  <c r="IW612" i="1"/>
  <c r="IW611" i="1"/>
  <c r="IW610" i="1"/>
  <c r="IW609" i="1"/>
  <c r="IW608" i="1"/>
  <c r="IW607" i="1"/>
  <c r="IW606" i="1"/>
  <c r="IW605" i="1"/>
  <c r="IW604" i="1"/>
  <c r="IW603" i="1"/>
  <c r="IW602" i="1"/>
  <c r="IW601" i="1"/>
  <c r="IW600" i="1"/>
  <c r="IW599" i="1"/>
  <c r="IW598" i="1"/>
  <c r="IW597" i="1"/>
  <c r="IW596" i="1"/>
  <c r="IW595" i="1"/>
  <c r="IW594" i="1"/>
  <c r="IW593" i="1"/>
  <c r="IW592" i="1"/>
  <c r="IW591" i="1"/>
  <c r="IW590" i="1"/>
  <c r="IW589" i="1"/>
  <c r="IW588" i="1"/>
  <c r="IW587" i="1"/>
  <c r="IW586" i="1"/>
  <c r="IW585" i="1"/>
  <c r="IW584" i="1"/>
  <c r="IW583" i="1"/>
  <c r="IW582" i="1"/>
  <c r="IW581" i="1"/>
  <c r="IW580" i="1"/>
  <c r="IW579" i="1"/>
  <c r="IW578" i="1"/>
  <c r="IW577" i="1"/>
  <c r="IW576" i="1"/>
  <c r="IW575" i="1"/>
  <c r="IW574" i="1"/>
  <c r="IW573" i="1"/>
  <c r="IW572" i="1"/>
  <c r="IW571" i="1"/>
  <c r="IW570" i="1"/>
  <c r="IW569" i="1"/>
  <c r="IW568" i="1"/>
  <c r="IW567" i="1"/>
  <c r="IW566" i="1"/>
  <c r="IW565" i="1"/>
  <c r="IW564" i="1"/>
  <c r="IW563" i="1"/>
  <c r="IW562" i="1"/>
  <c r="IW561" i="1"/>
  <c r="IW560" i="1"/>
  <c r="IW559" i="1"/>
  <c r="IW558" i="1"/>
  <c r="IW557" i="1"/>
  <c r="IW556" i="1"/>
  <c r="IW555" i="1"/>
  <c r="IW554" i="1"/>
  <c r="IW553" i="1"/>
  <c r="IW552" i="1"/>
  <c r="IW551" i="1"/>
  <c r="IW550" i="1"/>
  <c r="IW549" i="1"/>
  <c r="IW548" i="1"/>
  <c r="IW547" i="1"/>
  <c r="IW546" i="1"/>
  <c r="IW545" i="1"/>
  <c r="IW544" i="1"/>
  <c r="IW543" i="1"/>
  <c r="IW542" i="1"/>
  <c r="IW541" i="1"/>
  <c r="IW540" i="1"/>
  <c r="IW539" i="1"/>
  <c r="IW538" i="1"/>
  <c r="IW537" i="1"/>
  <c r="IW536" i="1"/>
  <c r="IW535" i="1"/>
  <c r="IW534" i="1"/>
  <c r="IW533" i="1"/>
  <c r="IW532" i="1"/>
  <c r="IW531" i="1"/>
  <c r="IW530" i="1"/>
  <c r="IW529" i="1"/>
  <c r="IW528" i="1"/>
  <c r="IW527" i="1"/>
  <c r="IW526" i="1"/>
  <c r="IW525" i="1"/>
  <c r="IW524" i="1"/>
  <c r="IW523" i="1"/>
  <c r="IW522" i="1"/>
  <c r="IW521" i="1"/>
  <c r="IW520" i="1"/>
  <c r="IW519" i="1"/>
  <c r="IW518" i="1"/>
  <c r="IW517" i="1"/>
  <c r="IW516" i="1"/>
  <c r="IW515" i="1"/>
  <c r="IW514" i="1"/>
  <c r="IW513" i="1"/>
  <c r="IW512" i="1"/>
  <c r="IW511" i="1"/>
  <c r="IW510" i="1"/>
  <c r="IW509" i="1"/>
  <c r="IW508" i="1"/>
  <c r="IW507" i="1"/>
  <c r="IW506" i="1"/>
  <c r="IW505" i="1"/>
  <c r="IW504" i="1"/>
  <c r="IW503" i="1"/>
  <c r="IW502" i="1"/>
  <c r="IW501" i="1"/>
  <c r="IW500" i="1"/>
  <c r="IW499" i="1"/>
  <c r="IW498" i="1"/>
  <c r="IW497" i="1"/>
  <c r="IW496" i="1"/>
  <c r="IW495" i="1"/>
  <c r="IW494" i="1"/>
  <c r="IW493" i="1"/>
  <c r="IW492" i="1"/>
  <c r="IW491" i="1"/>
  <c r="IW490" i="1"/>
  <c r="IW489" i="1"/>
  <c r="IW488" i="1"/>
  <c r="IW487" i="1"/>
  <c r="IW486" i="1"/>
  <c r="IW485" i="1"/>
  <c r="IW484" i="1"/>
  <c r="IW483" i="1"/>
  <c r="IW482" i="1"/>
  <c r="IW481" i="1"/>
  <c r="IW480" i="1"/>
  <c r="IW479" i="1"/>
  <c r="IW478" i="1"/>
  <c r="IW477" i="1"/>
  <c r="IW476" i="1"/>
  <c r="IW475" i="1"/>
  <c r="IW474" i="1"/>
  <c r="IW473" i="1"/>
  <c r="IW472" i="1"/>
  <c r="IW471" i="1"/>
  <c r="IW470" i="1"/>
  <c r="IW469" i="1"/>
  <c r="IW468" i="1"/>
  <c r="IW467" i="1"/>
  <c r="IW466" i="1"/>
  <c r="IW465" i="1"/>
  <c r="IW464" i="1"/>
  <c r="IW463" i="1"/>
  <c r="IW462" i="1"/>
  <c r="IW461" i="1"/>
  <c r="IW460" i="1"/>
  <c r="IW459" i="1"/>
  <c r="IW458" i="1"/>
  <c r="IW457" i="1"/>
  <c r="IW456" i="1"/>
  <c r="IW455" i="1"/>
  <c r="IW454" i="1"/>
  <c r="IW453" i="1"/>
  <c r="IW452" i="1"/>
  <c r="IW451" i="1"/>
  <c r="IW450" i="1"/>
  <c r="IW449" i="1"/>
  <c r="IW448" i="1"/>
  <c r="IW447" i="1"/>
  <c r="IW446" i="1"/>
  <c r="IW445" i="1"/>
  <c r="IW444" i="1"/>
  <c r="IW443" i="1"/>
  <c r="IW442" i="1"/>
  <c r="IW441" i="1"/>
  <c r="IW440" i="1"/>
  <c r="IW439" i="1"/>
  <c r="IW438" i="1"/>
  <c r="IW437" i="1"/>
  <c r="IW436" i="1"/>
  <c r="IW435" i="1"/>
  <c r="IW434" i="1"/>
  <c r="IW433" i="1"/>
  <c r="IW432" i="1"/>
  <c r="IW431" i="1"/>
  <c r="IW430" i="1"/>
  <c r="IW429" i="1"/>
  <c r="IW428" i="1"/>
  <c r="IW427" i="1"/>
  <c r="IW426" i="1"/>
  <c r="IW425" i="1"/>
  <c r="IW424" i="1"/>
  <c r="IW423" i="1"/>
  <c r="IW422" i="1"/>
  <c r="IW421" i="1"/>
  <c r="IW420" i="1"/>
  <c r="IW419" i="1"/>
  <c r="IW418" i="1"/>
  <c r="IW417" i="1"/>
  <c r="IW416" i="1"/>
  <c r="IW415" i="1"/>
  <c r="IW414" i="1"/>
  <c r="IW413" i="1"/>
  <c r="IW412" i="1"/>
  <c r="IW411" i="1"/>
  <c r="IW410" i="1"/>
  <c r="IW409" i="1"/>
  <c r="IW408" i="1"/>
  <c r="IW407" i="1"/>
  <c r="IW406" i="1"/>
  <c r="IW405" i="1"/>
  <c r="IW404" i="1"/>
  <c r="IW403" i="1"/>
  <c r="IW402" i="1"/>
  <c r="IW401" i="1"/>
  <c r="IW400" i="1"/>
  <c r="IW399" i="1"/>
  <c r="IW398" i="1"/>
  <c r="IW397" i="1"/>
  <c r="IW396" i="1"/>
  <c r="IW395" i="1"/>
  <c r="IW394" i="1"/>
  <c r="IW393" i="1"/>
  <c r="IW392" i="1"/>
  <c r="IW391" i="1"/>
  <c r="IW390" i="1"/>
  <c r="IW389" i="1"/>
  <c r="IW388" i="1"/>
  <c r="IW387" i="1"/>
  <c r="IW386" i="1"/>
  <c r="IW385" i="1"/>
  <c r="IW384" i="1"/>
  <c r="IW383" i="1"/>
  <c r="IW382" i="1"/>
  <c r="IW381" i="1"/>
  <c r="IW380" i="1"/>
  <c r="IW379" i="1"/>
  <c r="IW378" i="1"/>
  <c r="IW377" i="1"/>
  <c r="IW376" i="1"/>
  <c r="IW375" i="1"/>
  <c r="IW374" i="1"/>
  <c r="IW373" i="1"/>
  <c r="IW372" i="1"/>
  <c r="IW371" i="1"/>
  <c r="IW370" i="1"/>
  <c r="IW369" i="1"/>
  <c r="IW368" i="1"/>
  <c r="IW367" i="1"/>
  <c r="IW366" i="1"/>
  <c r="IW365" i="1"/>
  <c r="IW364" i="1"/>
  <c r="IW363" i="1"/>
  <c r="IW362" i="1"/>
  <c r="IW361" i="1"/>
  <c r="IW360" i="1"/>
  <c r="IW359" i="1"/>
  <c r="IW358" i="1"/>
  <c r="IW357" i="1"/>
  <c r="IW356" i="1"/>
  <c r="IW355" i="1"/>
  <c r="IW354" i="1"/>
  <c r="IW353" i="1"/>
  <c r="IW352" i="1"/>
  <c r="IW351" i="1"/>
  <c r="IW350" i="1"/>
  <c r="IW349" i="1"/>
  <c r="IW348" i="1"/>
  <c r="IW347" i="1"/>
  <c r="IW346" i="1"/>
  <c r="IW345" i="1"/>
  <c r="IW344" i="1"/>
  <c r="IW343" i="1"/>
  <c r="IW342" i="1"/>
  <c r="IW341" i="1"/>
  <c r="IW340" i="1"/>
  <c r="IW339" i="1"/>
  <c r="IW338" i="1"/>
  <c r="IW337" i="1"/>
  <c r="IW336" i="1"/>
  <c r="IW335" i="1"/>
  <c r="IW334" i="1"/>
  <c r="IW333" i="1"/>
  <c r="IW332" i="1"/>
  <c r="IW331" i="1"/>
  <c r="IW330" i="1"/>
  <c r="IW329" i="1"/>
  <c r="IW328" i="1"/>
  <c r="IW327" i="1"/>
  <c r="IW326" i="1"/>
  <c r="IW325" i="1"/>
  <c r="IW324" i="1"/>
  <c r="IW323" i="1"/>
  <c r="IW322" i="1"/>
  <c r="IW321" i="1"/>
  <c r="IW320" i="1"/>
  <c r="IW319" i="1"/>
  <c r="IW318" i="1"/>
  <c r="IW317" i="1"/>
  <c r="IW316" i="1"/>
  <c r="IW315" i="1"/>
  <c r="IW314" i="1"/>
  <c r="IW313" i="1"/>
  <c r="IW312" i="1"/>
  <c r="IW311" i="1"/>
  <c r="IW310" i="1"/>
  <c r="IW309" i="1"/>
  <c r="IW308" i="1"/>
  <c r="IW307" i="1"/>
  <c r="IW306" i="1"/>
  <c r="IW305" i="1"/>
  <c r="IW304" i="1"/>
  <c r="IW303" i="1"/>
  <c r="IW302" i="1"/>
  <c r="IW301" i="1"/>
  <c r="IW300" i="1"/>
  <c r="IW299" i="1"/>
  <c r="IW298" i="1"/>
  <c r="IW297" i="1"/>
  <c r="IW296" i="1"/>
  <c r="IW295" i="1"/>
  <c r="IW294" i="1"/>
  <c r="IW293" i="1"/>
  <c r="IW292" i="1"/>
  <c r="IW291" i="1"/>
  <c r="IW290" i="1"/>
  <c r="IW289" i="1"/>
  <c r="IW288" i="1"/>
  <c r="IW287" i="1"/>
  <c r="IW286" i="1"/>
  <c r="IW285" i="1"/>
  <c r="IW284" i="1"/>
  <c r="IW283" i="1"/>
  <c r="IW282" i="1"/>
  <c r="IW281" i="1"/>
  <c r="IW280" i="1"/>
  <c r="IW279" i="1"/>
  <c r="IW278" i="1"/>
  <c r="IW277" i="1"/>
  <c r="IW276" i="1"/>
  <c r="IW275" i="1"/>
  <c r="IW274" i="1"/>
  <c r="IW273" i="1"/>
  <c r="IW272" i="1"/>
  <c r="IW271" i="1"/>
  <c r="IW270" i="1"/>
  <c r="IW269" i="1"/>
  <c r="IW268" i="1"/>
  <c r="IW267" i="1"/>
  <c r="IW266" i="1"/>
  <c r="IW265" i="1"/>
  <c r="IW264" i="1"/>
  <c r="IW263" i="1"/>
  <c r="IW262" i="1"/>
  <c r="IW261" i="1"/>
  <c r="IW260" i="1"/>
  <c r="IW259" i="1"/>
  <c r="IW258" i="1"/>
  <c r="IW257" i="1"/>
  <c r="IW256" i="1"/>
  <c r="IW255" i="1"/>
  <c r="IW254" i="1"/>
  <c r="IW253" i="1"/>
  <c r="IW252" i="1"/>
  <c r="IW251" i="1"/>
  <c r="IW250" i="1"/>
  <c r="IW249" i="1"/>
  <c r="IW248" i="1"/>
  <c r="IW247" i="1"/>
  <c r="IW246" i="1"/>
  <c r="IW245" i="1"/>
  <c r="IW244" i="1"/>
  <c r="IW243" i="1"/>
  <c r="IW242" i="1"/>
  <c r="IW241" i="1"/>
  <c r="IW240" i="1"/>
  <c r="IW239" i="1"/>
  <c r="IW238" i="1"/>
  <c r="IW237" i="1"/>
  <c r="IW236" i="1"/>
  <c r="IW235" i="1"/>
  <c r="IW234" i="1"/>
  <c r="IW233" i="1"/>
  <c r="IW232" i="1"/>
  <c r="IW231" i="1"/>
  <c r="IW230" i="1"/>
  <c r="IW229" i="1"/>
  <c r="IW228" i="1"/>
  <c r="IW227" i="1"/>
  <c r="IW226" i="1"/>
  <c r="IW225" i="1"/>
  <c r="IW224" i="1"/>
  <c r="IW223" i="1"/>
  <c r="IW222" i="1"/>
  <c r="IW221" i="1"/>
  <c r="IW220" i="1"/>
  <c r="IW219" i="1"/>
  <c r="IW218" i="1"/>
  <c r="IW217" i="1"/>
  <c r="IW216" i="1"/>
  <c r="IW215" i="1"/>
  <c r="IW214" i="1"/>
  <c r="IW213" i="1"/>
  <c r="IW212" i="1"/>
  <c r="IW211" i="1"/>
  <c r="IW210" i="1"/>
  <c r="IW209" i="1"/>
  <c r="IW208" i="1"/>
  <c r="IW207" i="1"/>
  <c r="IW206" i="1"/>
  <c r="IW205" i="1"/>
  <c r="IW204" i="1"/>
  <c r="IW203" i="1"/>
  <c r="IW202" i="1"/>
  <c r="IW201" i="1"/>
  <c r="IW200" i="1"/>
  <c r="IW199" i="1"/>
  <c r="IW198" i="1"/>
  <c r="IW197" i="1"/>
  <c r="IW196" i="1"/>
  <c r="IW195" i="1"/>
  <c r="IW194" i="1"/>
  <c r="IW193" i="1"/>
  <c r="IW192" i="1"/>
  <c r="IW191" i="1"/>
  <c r="IW190" i="1"/>
  <c r="IW189" i="1"/>
  <c r="IW188" i="1"/>
  <c r="IW187" i="1"/>
  <c r="IW186" i="1"/>
  <c r="IW185" i="1"/>
  <c r="IW184" i="1"/>
  <c r="IW183" i="1"/>
  <c r="IW182" i="1"/>
  <c r="IW181" i="1"/>
  <c r="IW180" i="1"/>
  <c r="IW179" i="1"/>
  <c r="IW178" i="1"/>
  <c r="IW177" i="1"/>
  <c r="IW176" i="1"/>
  <c r="IW175" i="1"/>
  <c r="IW174" i="1"/>
  <c r="IW173" i="1"/>
  <c r="IW172" i="1"/>
  <c r="IW171" i="1"/>
  <c r="IW170" i="1"/>
  <c r="IW169" i="1"/>
  <c r="IW168" i="1"/>
  <c r="IW167" i="1"/>
  <c r="IW166" i="1"/>
  <c r="IW165" i="1"/>
  <c r="IW164" i="1"/>
  <c r="IW163" i="1"/>
  <c r="IW162" i="1"/>
  <c r="IW161" i="1"/>
  <c r="IW160" i="1"/>
  <c r="IW159" i="1"/>
  <c r="IW158" i="1"/>
  <c r="IW157" i="1"/>
  <c r="IW156" i="1"/>
  <c r="IW155" i="1"/>
  <c r="IW154" i="1"/>
  <c r="IW153" i="1"/>
  <c r="IW152" i="1"/>
  <c r="IW151" i="1"/>
  <c r="IW150" i="1"/>
  <c r="IW149" i="1"/>
  <c r="IW148" i="1"/>
  <c r="IW147" i="1"/>
  <c r="IW146" i="1"/>
  <c r="IW145" i="1"/>
  <c r="IW144" i="1"/>
  <c r="IW143" i="1"/>
  <c r="IW142" i="1"/>
  <c r="IW141" i="1"/>
  <c r="IW140" i="1"/>
  <c r="IW139" i="1"/>
  <c r="IW138" i="1"/>
  <c r="IW137" i="1"/>
  <c r="IW136" i="1"/>
  <c r="IW135" i="1"/>
  <c r="IW134" i="1"/>
  <c r="IW133" i="1"/>
  <c r="IW132" i="1"/>
  <c r="IW131" i="1"/>
  <c r="IW130" i="1"/>
  <c r="IW129" i="1"/>
  <c r="IW128" i="1"/>
  <c r="IW127" i="1"/>
  <c r="IW126" i="1"/>
  <c r="IW125" i="1"/>
  <c r="IW124" i="1"/>
  <c r="IW123" i="1"/>
  <c r="IW122" i="1"/>
  <c r="IW121" i="1"/>
  <c r="IW120" i="1"/>
  <c r="IW119" i="1"/>
  <c r="IW118" i="1"/>
  <c r="IW117" i="1"/>
  <c r="IW116" i="1"/>
  <c r="IW115" i="1"/>
  <c r="IW114" i="1"/>
  <c r="IW113" i="1"/>
  <c r="IW112" i="1"/>
  <c r="IW111" i="1"/>
  <c r="IW110" i="1"/>
  <c r="IW109" i="1"/>
  <c r="IW108" i="1"/>
  <c r="IW107" i="1"/>
  <c r="IW106" i="1"/>
  <c r="IW105" i="1"/>
  <c r="IW104" i="1"/>
  <c r="IW103" i="1"/>
  <c r="IW102" i="1"/>
  <c r="IW101" i="1"/>
  <c r="IW100" i="1"/>
  <c r="IW99" i="1"/>
  <c r="IW98" i="1"/>
  <c r="IW97" i="1"/>
  <c r="IW96" i="1"/>
  <c r="IW95" i="1"/>
  <c r="IW94" i="1"/>
  <c r="IW93" i="1"/>
  <c r="IW92" i="1"/>
  <c r="IW91" i="1"/>
  <c r="IW90" i="1"/>
  <c r="IW89" i="1"/>
  <c r="IW88" i="1"/>
  <c r="IW87" i="1"/>
  <c r="IW86" i="1"/>
  <c r="IW85" i="1"/>
  <c r="IW84" i="1"/>
  <c r="IW83" i="1"/>
  <c r="IW82" i="1"/>
  <c r="IW81" i="1"/>
  <c r="IW80" i="1"/>
  <c r="IW79" i="1"/>
  <c r="IW78" i="1"/>
  <c r="IW77" i="1"/>
  <c r="IW76" i="1"/>
  <c r="IW75" i="1"/>
  <c r="IW74" i="1"/>
  <c r="IW73" i="1"/>
  <c r="IW72" i="1"/>
  <c r="IW71" i="1"/>
  <c r="IW70" i="1"/>
  <c r="IW69" i="1"/>
  <c r="IW68" i="1"/>
  <c r="IW67" i="1"/>
  <c r="IW66" i="1"/>
  <c r="IW65" i="1"/>
  <c r="IW64" i="1"/>
  <c r="IW63" i="1"/>
  <c r="IW62" i="1"/>
  <c r="IW61" i="1"/>
  <c r="IW60" i="1"/>
  <c r="IW59" i="1"/>
  <c r="IW58" i="1"/>
  <c r="IW57" i="1"/>
  <c r="IW56" i="1"/>
  <c r="IW55" i="1"/>
  <c r="IW54" i="1"/>
  <c r="IW53" i="1"/>
  <c r="IW52" i="1"/>
  <c r="IW51" i="1"/>
  <c r="IW50" i="1"/>
  <c r="IW49" i="1"/>
  <c r="IW48" i="1"/>
  <c r="IW47" i="1"/>
  <c r="IW46" i="1"/>
  <c r="IW45" i="1"/>
  <c r="IW44" i="1"/>
  <c r="IW43" i="1"/>
  <c r="IW42" i="1"/>
  <c r="IW41" i="1"/>
  <c r="IW40" i="1"/>
  <c r="IW39" i="1"/>
  <c r="IW38" i="1"/>
  <c r="IW37" i="1"/>
  <c r="IW36" i="1"/>
  <c r="IW35" i="1"/>
  <c r="IW34" i="1"/>
  <c r="IW33" i="1"/>
  <c r="IW32" i="1"/>
  <c r="IW31" i="1"/>
  <c r="IW30" i="1"/>
  <c r="IW29" i="1"/>
  <c r="IW28" i="1"/>
  <c r="IW27" i="1"/>
  <c r="IW26" i="1"/>
  <c r="IW25" i="1"/>
  <c r="IW24" i="1"/>
  <c r="IW23" i="1"/>
  <c r="IW22" i="1"/>
  <c r="IW21" i="1"/>
  <c r="IW20" i="1"/>
  <c r="IW19" i="1"/>
  <c r="IW18" i="1"/>
  <c r="IW17" i="1"/>
  <c r="IW16" i="1"/>
  <c r="IW15" i="1"/>
  <c r="IW14" i="1"/>
  <c r="IW13" i="1"/>
  <c r="IW12" i="1"/>
  <c r="IW11" i="1"/>
  <c r="IW10" i="1"/>
  <c r="IW9" i="1"/>
  <c r="IW8" i="1"/>
  <c r="IW7" i="1"/>
  <c r="IW6" i="1"/>
  <c r="IW5" i="1"/>
  <c r="IW4" i="1"/>
  <c r="IW3" i="1"/>
  <c r="IW2" i="1"/>
  <c r="IW951" i="1"/>
  <c r="IQ950" i="1"/>
  <c r="IQ949" i="1"/>
  <c r="IQ948" i="1"/>
  <c r="IQ947" i="1"/>
  <c r="IQ946" i="1"/>
  <c r="IQ945" i="1"/>
  <c r="IQ944" i="1"/>
  <c r="IQ943" i="1"/>
  <c r="IQ942" i="1"/>
  <c r="IQ941" i="1"/>
  <c r="IQ940" i="1"/>
  <c r="IQ939" i="1"/>
  <c r="IQ938" i="1"/>
  <c r="IQ937" i="1"/>
  <c r="IQ936" i="1"/>
  <c r="IQ935" i="1"/>
  <c r="IQ934" i="1"/>
  <c r="IQ933" i="1"/>
  <c r="IQ932" i="1"/>
  <c r="IQ931" i="1"/>
  <c r="IQ930" i="1"/>
  <c r="IQ929" i="1"/>
  <c r="IQ928" i="1"/>
  <c r="IQ927" i="1"/>
  <c r="IQ926" i="1"/>
  <c r="IQ925" i="1"/>
  <c r="IQ924" i="1"/>
  <c r="IQ923" i="1"/>
  <c r="IQ922" i="1"/>
  <c r="IQ921" i="1"/>
  <c r="IQ920" i="1"/>
  <c r="IQ919" i="1"/>
  <c r="IQ918" i="1"/>
  <c r="IQ917" i="1"/>
  <c r="IQ916" i="1"/>
  <c r="IQ915" i="1"/>
  <c r="IQ914" i="1"/>
  <c r="IQ913" i="1"/>
  <c r="IQ912" i="1"/>
  <c r="IQ911" i="1"/>
  <c r="IQ910" i="1"/>
  <c r="IQ909" i="1"/>
  <c r="IQ908" i="1"/>
  <c r="IQ907" i="1"/>
  <c r="IQ906" i="1"/>
  <c r="IQ905" i="1"/>
  <c r="IQ904" i="1"/>
  <c r="IQ903" i="1"/>
  <c r="IQ902" i="1"/>
  <c r="IQ901" i="1"/>
  <c r="IQ900" i="1"/>
  <c r="IQ899" i="1"/>
  <c r="IQ898" i="1"/>
  <c r="IQ897" i="1"/>
  <c r="IQ896" i="1"/>
  <c r="IQ895" i="1"/>
  <c r="IQ894" i="1"/>
  <c r="IQ893" i="1"/>
  <c r="IQ892" i="1"/>
  <c r="IQ891" i="1"/>
  <c r="IQ890" i="1"/>
  <c r="IQ889" i="1"/>
  <c r="IQ888" i="1"/>
  <c r="IQ887" i="1"/>
  <c r="IQ886" i="1"/>
  <c r="IQ885" i="1"/>
  <c r="IQ884" i="1"/>
  <c r="IQ883" i="1"/>
  <c r="IQ882" i="1"/>
  <c r="IQ881" i="1"/>
  <c r="IQ880" i="1"/>
  <c r="IQ879" i="1"/>
  <c r="IQ878" i="1"/>
  <c r="IQ877" i="1"/>
  <c r="IQ876" i="1"/>
  <c r="IQ875" i="1"/>
  <c r="IQ874" i="1"/>
  <c r="IQ873" i="1"/>
  <c r="IQ872" i="1"/>
  <c r="IQ871" i="1"/>
  <c r="IQ870" i="1"/>
  <c r="IQ869" i="1"/>
  <c r="IQ868" i="1"/>
  <c r="IQ867" i="1"/>
  <c r="IQ866" i="1"/>
  <c r="IQ865" i="1"/>
  <c r="IQ864" i="1"/>
  <c r="IQ863" i="1"/>
  <c r="IQ862" i="1"/>
  <c r="IQ861" i="1"/>
  <c r="IQ860" i="1"/>
  <c r="IQ859" i="1"/>
  <c r="IQ858" i="1"/>
  <c r="IQ857" i="1"/>
  <c r="IQ856" i="1"/>
  <c r="IQ855" i="1"/>
  <c r="IQ854" i="1"/>
  <c r="IQ853" i="1"/>
  <c r="IQ852" i="1"/>
  <c r="IQ851" i="1"/>
  <c r="IQ850" i="1"/>
  <c r="IQ849" i="1"/>
  <c r="IQ848" i="1"/>
  <c r="IQ847" i="1"/>
  <c r="IQ846" i="1"/>
  <c r="IQ845" i="1"/>
  <c r="IQ844" i="1"/>
  <c r="IQ843" i="1"/>
  <c r="IQ842" i="1"/>
  <c r="IQ841" i="1"/>
  <c r="IQ840" i="1"/>
  <c r="IQ839" i="1"/>
  <c r="IQ838" i="1"/>
  <c r="IQ837" i="1"/>
  <c r="IQ836" i="1"/>
  <c r="IQ835" i="1"/>
  <c r="IQ834" i="1"/>
  <c r="IQ833" i="1"/>
  <c r="IQ832" i="1"/>
  <c r="IQ831" i="1"/>
  <c r="IQ830" i="1"/>
  <c r="IQ829" i="1"/>
  <c r="IQ828" i="1"/>
  <c r="IQ827" i="1"/>
  <c r="IQ826" i="1"/>
  <c r="IQ825" i="1"/>
  <c r="IQ824" i="1"/>
  <c r="IQ823" i="1"/>
  <c r="IQ822" i="1"/>
  <c r="IQ821" i="1"/>
  <c r="IQ820" i="1"/>
  <c r="IQ819" i="1"/>
  <c r="IQ818" i="1"/>
  <c r="IQ817" i="1"/>
  <c r="IQ816" i="1"/>
  <c r="IQ815" i="1"/>
  <c r="IQ814" i="1"/>
  <c r="IQ813" i="1"/>
  <c r="IQ812" i="1"/>
  <c r="IQ811" i="1"/>
  <c r="IQ810" i="1"/>
  <c r="IQ809" i="1"/>
  <c r="IQ808" i="1"/>
  <c r="IQ807" i="1"/>
  <c r="IQ806" i="1"/>
  <c r="IQ805" i="1"/>
  <c r="IQ804" i="1"/>
  <c r="IQ803" i="1"/>
  <c r="IQ802" i="1"/>
  <c r="IQ801" i="1"/>
  <c r="IQ800" i="1"/>
  <c r="IQ799" i="1"/>
  <c r="IQ798" i="1"/>
  <c r="IQ797" i="1"/>
  <c r="IQ796" i="1"/>
  <c r="IQ795" i="1"/>
  <c r="IQ794" i="1"/>
  <c r="IQ793" i="1"/>
  <c r="IQ792" i="1"/>
  <c r="IQ791" i="1"/>
  <c r="IQ790" i="1"/>
  <c r="IQ789" i="1"/>
  <c r="IQ788" i="1"/>
  <c r="IQ787" i="1"/>
  <c r="IQ786" i="1"/>
  <c r="IQ785" i="1"/>
  <c r="IQ784" i="1"/>
  <c r="IQ783" i="1"/>
  <c r="IQ782" i="1"/>
  <c r="IQ781" i="1"/>
  <c r="IQ780" i="1"/>
  <c r="IQ779" i="1"/>
  <c r="IQ778" i="1"/>
  <c r="IQ777" i="1"/>
  <c r="IQ776" i="1"/>
  <c r="IQ775" i="1"/>
  <c r="IQ774" i="1"/>
  <c r="IQ773" i="1"/>
  <c r="IQ772" i="1"/>
  <c r="IQ771" i="1"/>
  <c r="IQ770" i="1"/>
  <c r="IQ769" i="1"/>
  <c r="IQ768" i="1"/>
  <c r="IQ767" i="1"/>
  <c r="IQ766" i="1"/>
  <c r="IQ765" i="1"/>
  <c r="IQ764" i="1"/>
  <c r="IQ763" i="1"/>
  <c r="IQ762" i="1"/>
  <c r="IQ761" i="1"/>
  <c r="IQ760" i="1"/>
  <c r="IQ759" i="1"/>
  <c r="IQ758" i="1"/>
  <c r="IQ757" i="1"/>
  <c r="IQ756" i="1"/>
  <c r="IQ755" i="1"/>
  <c r="IQ754" i="1"/>
  <c r="IQ753" i="1"/>
  <c r="IQ752" i="1"/>
  <c r="IQ751" i="1"/>
  <c r="IQ750" i="1"/>
  <c r="IQ749" i="1"/>
  <c r="IQ748" i="1"/>
  <c r="IQ747" i="1"/>
  <c r="IQ746" i="1"/>
  <c r="IQ745" i="1"/>
  <c r="IQ744" i="1"/>
  <c r="IQ743" i="1"/>
  <c r="IQ742" i="1"/>
  <c r="IQ741" i="1"/>
  <c r="IQ740" i="1"/>
  <c r="IQ739" i="1"/>
  <c r="IQ738" i="1"/>
  <c r="IQ737" i="1"/>
  <c r="IQ736" i="1"/>
  <c r="IQ735" i="1"/>
  <c r="IQ734" i="1"/>
  <c r="IQ733" i="1"/>
  <c r="IQ732" i="1"/>
  <c r="IQ731" i="1"/>
  <c r="IQ730" i="1"/>
  <c r="IQ729" i="1"/>
  <c r="IQ728" i="1"/>
  <c r="IQ727" i="1"/>
  <c r="IQ726" i="1"/>
  <c r="IQ725" i="1"/>
  <c r="IQ724" i="1"/>
  <c r="IQ723" i="1"/>
  <c r="IQ722" i="1"/>
  <c r="IQ721" i="1"/>
  <c r="IQ720" i="1"/>
  <c r="IQ719" i="1"/>
  <c r="IQ718" i="1"/>
  <c r="IQ717" i="1"/>
  <c r="IQ716" i="1"/>
  <c r="IQ715" i="1"/>
  <c r="IQ714" i="1"/>
  <c r="IQ713" i="1"/>
  <c r="IQ712" i="1"/>
  <c r="IQ711" i="1"/>
  <c r="IQ710" i="1"/>
  <c r="IQ709" i="1"/>
  <c r="IQ708" i="1"/>
  <c r="IQ707" i="1"/>
  <c r="IQ706" i="1"/>
  <c r="IQ705" i="1"/>
  <c r="IQ704" i="1"/>
  <c r="IQ703" i="1"/>
  <c r="IQ702" i="1"/>
  <c r="IQ701" i="1"/>
  <c r="IQ700" i="1"/>
  <c r="IQ699" i="1"/>
  <c r="IQ698" i="1"/>
  <c r="IQ697" i="1"/>
  <c r="IQ696" i="1"/>
  <c r="IQ695" i="1"/>
  <c r="IQ694" i="1"/>
  <c r="IQ693" i="1"/>
  <c r="IQ692" i="1"/>
  <c r="IQ691" i="1"/>
  <c r="IQ690" i="1"/>
  <c r="IQ689" i="1"/>
  <c r="IQ688" i="1"/>
  <c r="IQ687" i="1"/>
  <c r="IQ686" i="1"/>
  <c r="IQ685" i="1"/>
  <c r="IQ684" i="1"/>
  <c r="IQ683" i="1"/>
  <c r="IQ682" i="1"/>
  <c r="IQ681" i="1"/>
  <c r="IQ680" i="1"/>
  <c r="IQ679" i="1"/>
  <c r="IQ678" i="1"/>
  <c r="IQ677" i="1"/>
  <c r="IQ676" i="1"/>
  <c r="IQ675" i="1"/>
  <c r="IQ674" i="1"/>
  <c r="IQ673" i="1"/>
  <c r="IQ672" i="1"/>
  <c r="IQ671" i="1"/>
  <c r="IQ670" i="1"/>
  <c r="IQ669" i="1"/>
  <c r="IQ668" i="1"/>
  <c r="IQ667" i="1"/>
  <c r="IQ666" i="1"/>
  <c r="IQ665" i="1"/>
  <c r="IQ664" i="1"/>
  <c r="IQ663" i="1"/>
  <c r="IQ662" i="1"/>
  <c r="IQ661" i="1"/>
  <c r="IQ660" i="1"/>
  <c r="IQ659" i="1"/>
  <c r="IQ658" i="1"/>
  <c r="IQ657" i="1"/>
  <c r="IQ656" i="1"/>
  <c r="IQ655" i="1"/>
  <c r="IQ654" i="1"/>
  <c r="IQ653" i="1"/>
  <c r="IQ652" i="1"/>
  <c r="IQ651" i="1"/>
  <c r="IQ650" i="1"/>
  <c r="IQ649" i="1"/>
  <c r="IQ648" i="1"/>
  <c r="IQ647" i="1"/>
  <c r="IQ646" i="1"/>
  <c r="IQ645" i="1"/>
  <c r="IQ644" i="1"/>
  <c r="IQ643" i="1"/>
  <c r="IQ642" i="1"/>
  <c r="IQ641" i="1"/>
  <c r="IQ640" i="1"/>
  <c r="IQ639" i="1"/>
  <c r="IQ638" i="1"/>
  <c r="IQ637" i="1"/>
  <c r="IQ636" i="1"/>
  <c r="IQ635" i="1"/>
  <c r="IQ634" i="1"/>
  <c r="IQ633" i="1"/>
  <c r="IQ632" i="1"/>
  <c r="IQ631" i="1"/>
  <c r="IQ630" i="1"/>
  <c r="IQ629" i="1"/>
  <c r="IQ628" i="1"/>
  <c r="IQ627" i="1"/>
  <c r="IQ626" i="1"/>
  <c r="IQ625" i="1"/>
  <c r="IQ624" i="1"/>
  <c r="IQ623" i="1"/>
  <c r="IQ622" i="1"/>
  <c r="IQ621" i="1"/>
  <c r="IQ620" i="1"/>
  <c r="IQ619" i="1"/>
  <c r="IQ618" i="1"/>
  <c r="IQ617" i="1"/>
  <c r="IQ616" i="1"/>
  <c r="IQ615" i="1"/>
  <c r="IQ614" i="1"/>
  <c r="IQ613" i="1"/>
  <c r="IQ612" i="1"/>
  <c r="IQ611" i="1"/>
  <c r="IQ610" i="1"/>
  <c r="IQ609" i="1"/>
  <c r="IQ608" i="1"/>
  <c r="IQ607" i="1"/>
  <c r="IQ606" i="1"/>
  <c r="IQ605" i="1"/>
  <c r="IQ604" i="1"/>
  <c r="IQ603" i="1"/>
  <c r="IQ602" i="1"/>
  <c r="IQ601" i="1"/>
  <c r="IQ600" i="1"/>
  <c r="IQ599" i="1"/>
  <c r="IQ598" i="1"/>
  <c r="IQ597" i="1"/>
  <c r="IQ596" i="1"/>
  <c r="IQ595" i="1"/>
  <c r="IQ594" i="1"/>
  <c r="IQ593" i="1"/>
  <c r="IQ592" i="1"/>
  <c r="IQ591" i="1"/>
  <c r="IQ590" i="1"/>
  <c r="IQ589" i="1"/>
  <c r="IQ588" i="1"/>
  <c r="IQ587" i="1"/>
  <c r="IQ586" i="1"/>
  <c r="IQ585" i="1"/>
  <c r="IQ584" i="1"/>
  <c r="IQ583" i="1"/>
  <c r="IQ582" i="1"/>
  <c r="IQ581" i="1"/>
  <c r="IQ580" i="1"/>
  <c r="IQ579" i="1"/>
  <c r="IQ578" i="1"/>
  <c r="IQ577" i="1"/>
  <c r="IQ576" i="1"/>
  <c r="IQ575" i="1"/>
  <c r="IQ574" i="1"/>
  <c r="IQ573" i="1"/>
  <c r="IQ572" i="1"/>
  <c r="IQ571" i="1"/>
  <c r="IQ570" i="1"/>
  <c r="IQ569" i="1"/>
  <c r="IQ568" i="1"/>
  <c r="IQ567" i="1"/>
  <c r="IQ566" i="1"/>
  <c r="IQ565" i="1"/>
  <c r="IQ564" i="1"/>
  <c r="IQ563" i="1"/>
  <c r="IQ562" i="1"/>
  <c r="IQ561" i="1"/>
  <c r="IQ560" i="1"/>
  <c r="IQ559" i="1"/>
  <c r="IQ558" i="1"/>
  <c r="IQ557" i="1"/>
  <c r="IQ556" i="1"/>
  <c r="IQ555" i="1"/>
  <c r="IQ554" i="1"/>
  <c r="IQ553" i="1"/>
  <c r="IQ552" i="1"/>
  <c r="IQ551" i="1"/>
  <c r="IQ550" i="1"/>
  <c r="IQ549" i="1"/>
  <c r="IQ548" i="1"/>
  <c r="IQ547" i="1"/>
  <c r="IQ546" i="1"/>
  <c r="IQ545" i="1"/>
  <c r="IQ544" i="1"/>
  <c r="IQ543" i="1"/>
  <c r="IQ542" i="1"/>
  <c r="IQ541" i="1"/>
  <c r="IQ540" i="1"/>
  <c r="IQ539" i="1"/>
  <c r="IQ538" i="1"/>
  <c r="IQ537" i="1"/>
  <c r="IQ536" i="1"/>
  <c r="IQ535" i="1"/>
  <c r="IQ534" i="1"/>
  <c r="IQ533" i="1"/>
  <c r="IQ532" i="1"/>
  <c r="IQ531" i="1"/>
  <c r="IQ530" i="1"/>
  <c r="IQ529" i="1"/>
  <c r="IQ528" i="1"/>
  <c r="IQ527" i="1"/>
  <c r="IQ526" i="1"/>
  <c r="IQ525" i="1"/>
  <c r="IQ524" i="1"/>
  <c r="IQ523" i="1"/>
  <c r="IQ522" i="1"/>
  <c r="IQ521" i="1"/>
  <c r="IQ520" i="1"/>
  <c r="IQ519" i="1"/>
  <c r="IQ518" i="1"/>
  <c r="IQ517" i="1"/>
  <c r="IQ516" i="1"/>
  <c r="IQ515" i="1"/>
  <c r="IQ514" i="1"/>
  <c r="IQ513" i="1"/>
  <c r="IQ512" i="1"/>
  <c r="IQ511" i="1"/>
  <c r="IQ510" i="1"/>
  <c r="IQ509" i="1"/>
  <c r="IQ508" i="1"/>
  <c r="IQ507" i="1"/>
  <c r="IQ506" i="1"/>
  <c r="IQ505" i="1"/>
  <c r="IQ504" i="1"/>
  <c r="IQ503" i="1"/>
  <c r="IQ502" i="1"/>
  <c r="IQ501" i="1"/>
  <c r="IQ500" i="1"/>
  <c r="IQ499" i="1"/>
  <c r="IQ498" i="1"/>
  <c r="IQ497" i="1"/>
  <c r="IQ496" i="1"/>
  <c r="IQ495" i="1"/>
  <c r="IQ494" i="1"/>
  <c r="IQ493" i="1"/>
  <c r="IQ492" i="1"/>
  <c r="IQ491" i="1"/>
  <c r="IQ490" i="1"/>
  <c r="IQ489" i="1"/>
  <c r="IQ488" i="1"/>
  <c r="IQ487" i="1"/>
  <c r="IQ486" i="1"/>
  <c r="IQ485" i="1"/>
  <c r="IQ484" i="1"/>
  <c r="IQ483" i="1"/>
  <c r="IQ482" i="1"/>
  <c r="IQ481" i="1"/>
  <c r="IQ480" i="1"/>
  <c r="IQ479" i="1"/>
  <c r="IQ478" i="1"/>
  <c r="IQ477" i="1"/>
  <c r="IQ476" i="1"/>
  <c r="IQ475" i="1"/>
  <c r="IQ474" i="1"/>
  <c r="IQ473" i="1"/>
  <c r="IQ472" i="1"/>
  <c r="IQ471" i="1"/>
  <c r="IQ470" i="1"/>
  <c r="IQ469" i="1"/>
  <c r="IQ468" i="1"/>
  <c r="IQ467" i="1"/>
  <c r="IQ466" i="1"/>
  <c r="IQ465" i="1"/>
  <c r="IQ464" i="1"/>
  <c r="IQ463" i="1"/>
  <c r="IQ462" i="1"/>
  <c r="IQ461" i="1"/>
  <c r="IQ460" i="1"/>
  <c r="IQ459" i="1"/>
  <c r="IQ458" i="1"/>
  <c r="IQ457" i="1"/>
  <c r="IQ456" i="1"/>
  <c r="IQ455" i="1"/>
  <c r="IQ454" i="1"/>
  <c r="IQ453" i="1"/>
  <c r="IQ452" i="1"/>
  <c r="IQ451" i="1"/>
  <c r="IQ450" i="1"/>
  <c r="IQ449" i="1"/>
  <c r="IQ448" i="1"/>
  <c r="IQ447" i="1"/>
  <c r="IQ446" i="1"/>
  <c r="IQ445" i="1"/>
  <c r="IQ444" i="1"/>
  <c r="IQ443" i="1"/>
  <c r="IQ442" i="1"/>
  <c r="IQ441" i="1"/>
  <c r="IQ440" i="1"/>
  <c r="IQ439" i="1"/>
  <c r="IQ438" i="1"/>
  <c r="IQ437" i="1"/>
  <c r="IQ436" i="1"/>
  <c r="IQ435" i="1"/>
  <c r="IQ434" i="1"/>
  <c r="IQ433" i="1"/>
  <c r="IQ432" i="1"/>
  <c r="IQ431" i="1"/>
  <c r="IQ430" i="1"/>
  <c r="IQ429" i="1"/>
  <c r="IQ428" i="1"/>
  <c r="IQ427" i="1"/>
  <c r="IQ426" i="1"/>
  <c r="IQ425" i="1"/>
  <c r="IQ424" i="1"/>
  <c r="IQ423" i="1"/>
  <c r="IQ422" i="1"/>
  <c r="IQ421" i="1"/>
  <c r="IQ420" i="1"/>
  <c r="IQ419" i="1"/>
  <c r="IQ418" i="1"/>
  <c r="IQ417" i="1"/>
  <c r="IQ416" i="1"/>
  <c r="IQ415" i="1"/>
  <c r="IQ414" i="1"/>
  <c r="IQ413" i="1"/>
  <c r="IQ412" i="1"/>
  <c r="IQ411" i="1"/>
  <c r="IQ410" i="1"/>
  <c r="IQ409" i="1"/>
  <c r="IQ408" i="1"/>
  <c r="IQ407" i="1"/>
  <c r="IQ406" i="1"/>
  <c r="IQ405" i="1"/>
  <c r="IQ404" i="1"/>
  <c r="IQ403" i="1"/>
  <c r="IQ402" i="1"/>
  <c r="IQ401" i="1"/>
  <c r="IQ400" i="1"/>
  <c r="IQ399" i="1"/>
  <c r="IQ398" i="1"/>
  <c r="IQ397" i="1"/>
  <c r="IQ396" i="1"/>
  <c r="IQ395" i="1"/>
  <c r="IQ394" i="1"/>
  <c r="IQ393" i="1"/>
  <c r="IQ392" i="1"/>
  <c r="IQ391" i="1"/>
  <c r="IQ390" i="1"/>
  <c r="IQ389" i="1"/>
  <c r="IQ388" i="1"/>
  <c r="IQ387" i="1"/>
  <c r="IQ386" i="1"/>
  <c r="IQ385" i="1"/>
  <c r="IQ384" i="1"/>
  <c r="IQ383" i="1"/>
  <c r="IQ382" i="1"/>
  <c r="IQ381" i="1"/>
  <c r="IQ380" i="1"/>
  <c r="IQ379" i="1"/>
  <c r="IQ378" i="1"/>
  <c r="IQ377" i="1"/>
  <c r="IQ376" i="1"/>
  <c r="IQ375" i="1"/>
  <c r="IQ374" i="1"/>
  <c r="IQ373" i="1"/>
  <c r="IQ372" i="1"/>
  <c r="IQ371" i="1"/>
  <c r="IQ370" i="1"/>
  <c r="IQ369" i="1"/>
  <c r="IQ368" i="1"/>
  <c r="IQ367" i="1"/>
  <c r="IQ366" i="1"/>
  <c r="IQ365" i="1"/>
  <c r="IQ364" i="1"/>
  <c r="IQ363" i="1"/>
  <c r="IQ362" i="1"/>
  <c r="IQ361" i="1"/>
  <c r="IQ360" i="1"/>
  <c r="IQ359" i="1"/>
  <c r="IQ358" i="1"/>
  <c r="IQ357" i="1"/>
  <c r="IQ356" i="1"/>
  <c r="IQ355" i="1"/>
  <c r="IQ354" i="1"/>
  <c r="IQ353" i="1"/>
  <c r="IQ352" i="1"/>
  <c r="IQ351" i="1"/>
  <c r="IQ350" i="1"/>
  <c r="IQ349" i="1"/>
  <c r="IQ348" i="1"/>
  <c r="IQ347" i="1"/>
  <c r="IQ346" i="1"/>
  <c r="IQ345" i="1"/>
  <c r="IQ344" i="1"/>
  <c r="IQ343" i="1"/>
  <c r="IQ342" i="1"/>
  <c r="IQ341" i="1"/>
  <c r="IQ340" i="1"/>
  <c r="IQ339" i="1"/>
  <c r="IQ338" i="1"/>
  <c r="IQ337" i="1"/>
  <c r="IQ336" i="1"/>
  <c r="IQ335" i="1"/>
  <c r="IQ334" i="1"/>
  <c r="IQ333" i="1"/>
  <c r="IQ332" i="1"/>
  <c r="IQ331" i="1"/>
  <c r="IQ330" i="1"/>
  <c r="IQ329" i="1"/>
  <c r="IQ328" i="1"/>
  <c r="IQ327" i="1"/>
  <c r="IQ326" i="1"/>
  <c r="IQ325" i="1"/>
  <c r="IQ324" i="1"/>
  <c r="IQ323" i="1"/>
  <c r="IQ322" i="1"/>
  <c r="IQ321" i="1"/>
  <c r="IQ320" i="1"/>
  <c r="IQ319" i="1"/>
  <c r="IQ318" i="1"/>
  <c r="IQ317" i="1"/>
  <c r="IQ316" i="1"/>
  <c r="IQ315" i="1"/>
  <c r="IQ314" i="1"/>
  <c r="IQ313" i="1"/>
  <c r="IQ312" i="1"/>
  <c r="IQ311" i="1"/>
  <c r="IQ310" i="1"/>
  <c r="IQ309" i="1"/>
  <c r="IQ308" i="1"/>
  <c r="IQ307" i="1"/>
  <c r="IQ306" i="1"/>
  <c r="IQ305" i="1"/>
  <c r="IQ304" i="1"/>
  <c r="IQ303" i="1"/>
  <c r="IQ302" i="1"/>
  <c r="IQ301" i="1"/>
  <c r="IQ300" i="1"/>
  <c r="IQ299" i="1"/>
  <c r="IQ298" i="1"/>
  <c r="IQ297" i="1"/>
  <c r="IQ296" i="1"/>
  <c r="IQ295" i="1"/>
  <c r="IQ294" i="1"/>
  <c r="IQ293" i="1"/>
  <c r="IQ292" i="1"/>
  <c r="IQ291" i="1"/>
  <c r="IQ290" i="1"/>
  <c r="IQ289" i="1"/>
  <c r="IQ288" i="1"/>
  <c r="IQ287" i="1"/>
  <c r="IQ286" i="1"/>
  <c r="IQ285" i="1"/>
  <c r="IQ284" i="1"/>
  <c r="IQ283" i="1"/>
  <c r="IQ282" i="1"/>
  <c r="IQ281" i="1"/>
  <c r="IQ280" i="1"/>
  <c r="IQ279" i="1"/>
  <c r="IQ278" i="1"/>
  <c r="IQ277" i="1"/>
  <c r="IQ276" i="1"/>
  <c r="IQ275" i="1"/>
  <c r="IQ274" i="1"/>
  <c r="IQ273" i="1"/>
  <c r="IQ272" i="1"/>
  <c r="IQ271" i="1"/>
  <c r="IQ270" i="1"/>
  <c r="IQ269" i="1"/>
  <c r="IQ268" i="1"/>
  <c r="IQ267" i="1"/>
  <c r="IQ266" i="1"/>
  <c r="IQ265" i="1"/>
  <c r="IQ264" i="1"/>
  <c r="IQ263" i="1"/>
  <c r="IQ262" i="1"/>
  <c r="IQ261" i="1"/>
  <c r="IQ260" i="1"/>
  <c r="IQ259" i="1"/>
  <c r="IQ258" i="1"/>
  <c r="IQ257" i="1"/>
  <c r="IQ256" i="1"/>
  <c r="IQ255" i="1"/>
  <c r="IQ254" i="1"/>
  <c r="IQ253" i="1"/>
  <c r="IQ252" i="1"/>
  <c r="IQ251" i="1"/>
  <c r="IQ250" i="1"/>
  <c r="IQ249" i="1"/>
  <c r="IQ248" i="1"/>
  <c r="IQ247" i="1"/>
  <c r="IQ246" i="1"/>
  <c r="IQ245" i="1"/>
  <c r="IQ244" i="1"/>
  <c r="IQ243" i="1"/>
  <c r="IQ242" i="1"/>
  <c r="IQ241" i="1"/>
  <c r="IQ240" i="1"/>
  <c r="IQ239" i="1"/>
  <c r="IQ238" i="1"/>
  <c r="IQ237" i="1"/>
  <c r="IQ236" i="1"/>
  <c r="IQ235" i="1"/>
  <c r="IQ234" i="1"/>
  <c r="IQ233" i="1"/>
  <c r="IQ232" i="1"/>
  <c r="IQ231" i="1"/>
  <c r="IQ230" i="1"/>
  <c r="IQ229" i="1"/>
  <c r="IQ228" i="1"/>
  <c r="IQ227" i="1"/>
  <c r="IQ226" i="1"/>
  <c r="IQ225" i="1"/>
  <c r="IQ224" i="1"/>
  <c r="IQ223" i="1"/>
  <c r="IQ222" i="1"/>
  <c r="IQ221" i="1"/>
  <c r="IQ220" i="1"/>
  <c r="IQ219" i="1"/>
  <c r="IQ218" i="1"/>
  <c r="IQ217" i="1"/>
  <c r="IQ216" i="1"/>
  <c r="IQ215" i="1"/>
  <c r="IQ214" i="1"/>
  <c r="IQ213" i="1"/>
  <c r="IQ212" i="1"/>
  <c r="IQ211" i="1"/>
  <c r="IQ210" i="1"/>
  <c r="IQ209" i="1"/>
  <c r="IQ208" i="1"/>
  <c r="IQ207" i="1"/>
  <c r="IQ206" i="1"/>
  <c r="IQ205" i="1"/>
  <c r="IQ204" i="1"/>
  <c r="IQ203" i="1"/>
  <c r="IQ202" i="1"/>
  <c r="IQ201" i="1"/>
  <c r="IQ200" i="1"/>
  <c r="IQ199" i="1"/>
  <c r="IQ198" i="1"/>
  <c r="IQ197" i="1"/>
  <c r="IQ196" i="1"/>
  <c r="IQ195" i="1"/>
  <c r="IQ194" i="1"/>
  <c r="IQ193" i="1"/>
  <c r="IQ192" i="1"/>
  <c r="IQ191" i="1"/>
  <c r="IQ190" i="1"/>
  <c r="IQ189" i="1"/>
  <c r="IQ188" i="1"/>
  <c r="IQ187" i="1"/>
  <c r="IQ186" i="1"/>
  <c r="IQ185" i="1"/>
  <c r="IQ184" i="1"/>
  <c r="IQ183" i="1"/>
  <c r="IQ182" i="1"/>
  <c r="IQ181" i="1"/>
  <c r="IQ180" i="1"/>
  <c r="IQ179" i="1"/>
  <c r="IQ178" i="1"/>
  <c r="IQ177" i="1"/>
  <c r="IQ176" i="1"/>
  <c r="IQ175" i="1"/>
  <c r="IQ174" i="1"/>
  <c r="IQ173" i="1"/>
  <c r="IQ172" i="1"/>
  <c r="IQ171" i="1"/>
  <c r="IQ170" i="1"/>
  <c r="IQ169" i="1"/>
  <c r="IQ168" i="1"/>
  <c r="IQ167" i="1"/>
  <c r="IQ166" i="1"/>
  <c r="IQ165" i="1"/>
  <c r="IQ164" i="1"/>
  <c r="IQ163" i="1"/>
  <c r="IQ162" i="1"/>
  <c r="IQ161" i="1"/>
  <c r="IQ160" i="1"/>
  <c r="IQ159" i="1"/>
  <c r="IQ158" i="1"/>
  <c r="IQ157" i="1"/>
  <c r="IQ156" i="1"/>
  <c r="IQ155" i="1"/>
  <c r="IQ154" i="1"/>
  <c r="IQ153" i="1"/>
  <c r="IQ152" i="1"/>
  <c r="IQ151" i="1"/>
  <c r="IQ150" i="1"/>
  <c r="IQ149" i="1"/>
  <c r="IQ148" i="1"/>
  <c r="IQ147" i="1"/>
  <c r="IQ146" i="1"/>
  <c r="IQ145" i="1"/>
  <c r="IQ144" i="1"/>
  <c r="IQ143" i="1"/>
  <c r="IQ142" i="1"/>
  <c r="IQ141" i="1"/>
  <c r="IQ140" i="1"/>
  <c r="IQ139" i="1"/>
  <c r="IQ138" i="1"/>
  <c r="IQ137" i="1"/>
  <c r="IQ136" i="1"/>
  <c r="IQ135" i="1"/>
  <c r="IQ134" i="1"/>
  <c r="IQ133" i="1"/>
  <c r="IQ132" i="1"/>
  <c r="IQ131" i="1"/>
  <c r="IQ130" i="1"/>
  <c r="IQ129" i="1"/>
  <c r="IQ128" i="1"/>
  <c r="IQ127" i="1"/>
  <c r="IQ126" i="1"/>
  <c r="IQ125" i="1"/>
  <c r="IQ124" i="1"/>
  <c r="IQ123" i="1"/>
  <c r="IQ122" i="1"/>
  <c r="IQ121" i="1"/>
  <c r="IQ120" i="1"/>
  <c r="IQ119" i="1"/>
  <c r="IQ118" i="1"/>
  <c r="IQ117" i="1"/>
  <c r="IQ116" i="1"/>
  <c r="IQ115" i="1"/>
  <c r="IQ114" i="1"/>
  <c r="IQ113" i="1"/>
  <c r="IQ112" i="1"/>
  <c r="IQ111" i="1"/>
  <c r="IQ110" i="1"/>
  <c r="IQ109" i="1"/>
  <c r="IQ108" i="1"/>
  <c r="IQ107" i="1"/>
  <c r="IQ106" i="1"/>
  <c r="IQ105" i="1"/>
  <c r="IQ104" i="1"/>
  <c r="IQ103" i="1"/>
  <c r="IQ102" i="1"/>
  <c r="IQ101" i="1"/>
  <c r="IQ100" i="1"/>
  <c r="IQ99" i="1"/>
  <c r="IQ98" i="1"/>
  <c r="IQ97" i="1"/>
  <c r="IQ96" i="1"/>
  <c r="IQ95" i="1"/>
  <c r="IQ94" i="1"/>
  <c r="IQ93" i="1"/>
  <c r="IQ92" i="1"/>
  <c r="IQ91" i="1"/>
  <c r="IQ90" i="1"/>
  <c r="IQ89" i="1"/>
  <c r="IQ88" i="1"/>
  <c r="IQ87" i="1"/>
  <c r="IQ86" i="1"/>
  <c r="IQ85" i="1"/>
  <c r="IQ84" i="1"/>
  <c r="IQ83" i="1"/>
  <c r="IQ82" i="1"/>
  <c r="IQ81" i="1"/>
  <c r="IQ80" i="1"/>
  <c r="IQ79" i="1"/>
  <c r="IQ78" i="1"/>
  <c r="IQ77" i="1"/>
  <c r="IQ76" i="1"/>
  <c r="IQ75" i="1"/>
  <c r="IQ74" i="1"/>
  <c r="IQ73" i="1"/>
  <c r="IQ72" i="1"/>
  <c r="IQ71" i="1"/>
  <c r="IQ70" i="1"/>
  <c r="IQ69" i="1"/>
  <c r="IQ68" i="1"/>
  <c r="IQ67" i="1"/>
  <c r="IQ66" i="1"/>
  <c r="IQ65" i="1"/>
  <c r="IQ64" i="1"/>
  <c r="IQ63" i="1"/>
  <c r="IQ62" i="1"/>
  <c r="IQ61" i="1"/>
  <c r="IQ60" i="1"/>
  <c r="IQ59" i="1"/>
  <c r="IQ58" i="1"/>
  <c r="IQ57" i="1"/>
  <c r="IQ56" i="1"/>
  <c r="IQ55" i="1"/>
  <c r="IQ54" i="1"/>
  <c r="IQ53" i="1"/>
  <c r="IQ52" i="1"/>
  <c r="IQ51" i="1"/>
  <c r="IQ50" i="1"/>
  <c r="IQ49" i="1"/>
  <c r="IQ48" i="1"/>
  <c r="IQ47" i="1"/>
  <c r="IQ46" i="1"/>
  <c r="IQ45" i="1"/>
  <c r="IQ44" i="1"/>
  <c r="IQ43" i="1"/>
  <c r="IQ42" i="1"/>
  <c r="IQ41" i="1"/>
  <c r="IQ40" i="1"/>
  <c r="IQ39" i="1"/>
  <c r="IQ38" i="1"/>
  <c r="IQ37" i="1"/>
  <c r="IQ36" i="1"/>
  <c r="IQ35" i="1"/>
  <c r="IQ34" i="1"/>
  <c r="IQ33" i="1"/>
  <c r="IQ32" i="1"/>
  <c r="IQ31" i="1"/>
  <c r="IQ30" i="1"/>
  <c r="IQ29" i="1"/>
  <c r="IQ28" i="1"/>
  <c r="IQ27" i="1"/>
  <c r="IQ26" i="1"/>
  <c r="IQ25" i="1"/>
  <c r="IQ24" i="1"/>
  <c r="IQ23" i="1"/>
  <c r="IQ22" i="1"/>
  <c r="IQ21" i="1"/>
  <c r="IQ20" i="1"/>
  <c r="IQ19" i="1"/>
  <c r="IQ18" i="1"/>
  <c r="IQ17" i="1"/>
  <c r="IQ16" i="1"/>
  <c r="IQ15" i="1"/>
  <c r="IQ14" i="1"/>
  <c r="IQ13" i="1"/>
  <c r="IQ12" i="1"/>
  <c r="IQ11" i="1"/>
  <c r="IQ10" i="1"/>
  <c r="IQ9" i="1"/>
  <c r="IQ8" i="1"/>
  <c r="IQ7" i="1"/>
  <c r="IQ6" i="1"/>
  <c r="IQ5" i="1"/>
  <c r="IQ4" i="1"/>
  <c r="IQ3" i="1"/>
  <c r="IQ2" i="1"/>
  <c r="IQ951" i="1"/>
  <c r="IJ951" i="1"/>
  <c r="IJ950" i="1"/>
  <c r="IJ949" i="1"/>
  <c r="IJ948" i="1"/>
  <c r="IJ947" i="1"/>
  <c r="IJ946" i="1"/>
  <c r="IJ945" i="1"/>
  <c r="IJ944" i="1"/>
  <c r="IJ943" i="1"/>
  <c r="IJ942" i="1"/>
  <c r="IJ941" i="1"/>
  <c r="IJ940" i="1"/>
  <c r="IJ939" i="1"/>
  <c r="IJ938" i="1"/>
  <c r="IJ937" i="1"/>
  <c r="IJ936" i="1"/>
  <c r="IJ935" i="1"/>
  <c r="IJ934" i="1"/>
  <c r="IJ933" i="1"/>
  <c r="IJ932" i="1"/>
  <c r="IJ931" i="1"/>
  <c r="IJ930" i="1"/>
  <c r="IJ929" i="1"/>
  <c r="IJ928" i="1"/>
  <c r="IJ927" i="1"/>
  <c r="IJ926" i="1"/>
  <c r="IJ925" i="1"/>
  <c r="IJ924" i="1"/>
  <c r="IJ923" i="1"/>
  <c r="IJ922" i="1"/>
  <c r="IJ921" i="1"/>
  <c r="IJ920" i="1"/>
  <c r="IJ919" i="1"/>
  <c r="IJ918" i="1"/>
  <c r="IJ917" i="1"/>
  <c r="IJ916" i="1"/>
  <c r="IJ915" i="1"/>
  <c r="IJ914" i="1"/>
  <c r="IJ913" i="1"/>
  <c r="IJ912" i="1"/>
  <c r="IJ911" i="1"/>
  <c r="IJ910" i="1"/>
  <c r="IJ909" i="1"/>
  <c r="IJ908" i="1"/>
  <c r="IJ907" i="1"/>
  <c r="IJ906" i="1"/>
  <c r="IJ905" i="1"/>
  <c r="IJ904" i="1"/>
  <c r="IJ903" i="1"/>
  <c r="IJ902" i="1"/>
  <c r="IJ901" i="1"/>
  <c r="IJ900" i="1"/>
  <c r="IJ899" i="1"/>
  <c r="IJ898" i="1"/>
  <c r="IJ897" i="1"/>
  <c r="IJ896" i="1"/>
  <c r="IJ895" i="1"/>
  <c r="IJ894" i="1"/>
  <c r="IJ893" i="1"/>
  <c r="IJ892" i="1"/>
  <c r="IJ891" i="1"/>
  <c r="IJ890" i="1"/>
  <c r="IJ889" i="1"/>
  <c r="IJ888" i="1"/>
  <c r="IJ887" i="1"/>
  <c r="IJ886" i="1"/>
  <c r="IJ885" i="1"/>
  <c r="IJ884" i="1"/>
  <c r="IJ883" i="1"/>
  <c r="IJ882" i="1"/>
  <c r="IJ881" i="1"/>
  <c r="IJ880" i="1"/>
  <c r="IJ879" i="1"/>
  <c r="IJ878" i="1"/>
  <c r="IJ877" i="1"/>
  <c r="IJ876" i="1"/>
  <c r="IJ875" i="1"/>
  <c r="IJ874" i="1"/>
  <c r="IJ872" i="1"/>
  <c r="IJ871" i="1"/>
  <c r="IJ870" i="1"/>
  <c r="IJ869" i="1"/>
  <c r="IJ868" i="1"/>
  <c r="IJ867" i="1"/>
  <c r="IJ866" i="1"/>
  <c r="IJ865" i="1"/>
  <c r="IJ864" i="1"/>
  <c r="IJ863" i="1"/>
  <c r="IJ862" i="1"/>
  <c r="IJ861" i="1"/>
  <c r="IJ860" i="1"/>
  <c r="IJ859" i="1"/>
  <c r="IJ858" i="1"/>
  <c r="IJ857" i="1"/>
  <c r="IJ856" i="1"/>
  <c r="IJ855" i="1"/>
  <c r="IJ854" i="1"/>
  <c r="IJ853" i="1"/>
  <c r="IJ852" i="1"/>
  <c r="IJ851" i="1"/>
  <c r="IJ850" i="1"/>
  <c r="IJ849" i="1"/>
  <c r="IJ848" i="1"/>
  <c r="IJ847" i="1"/>
  <c r="IJ846" i="1"/>
  <c r="IJ845" i="1"/>
  <c r="IJ844" i="1"/>
  <c r="IJ843" i="1"/>
  <c r="IJ842" i="1"/>
  <c r="IJ841" i="1"/>
  <c r="IJ840" i="1"/>
  <c r="IJ839" i="1"/>
  <c r="IJ838" i="1"/>
  <c r="IJ837" i="1"/>
  <c r="IJ836" i="1"/>
  <c r="IJ835" i="1"/>
  <c r="IJ834" i="1"/>
  <c r="IJ833" i="1"/>
  <c r="IJ832" i="1"/>
  <c r="IJ831" i="1"/>
  <c r="IJ830" i="1"/>
  <c r="IJ829" i="1"/>
  <c r="IJ828" i="1"/>
  <c r="IJ827" i="1"/>
  <c r="IJ826" i="1"/>
  <c r="IJ825" i="1"/>
  <c r="IJ824" i="1"/>
  <c r="IJ823" i="1"/>
  <c r="IJ822" i="1"/>
  <c r="IJ821" i="1"/>
  <c r="IJ820" i="1"/>
  <c r="IJ819" i="1"/>
  <c r="IJ818" i="1"/>
  <c r="IJ817" i="1"/>
  <c r="IJ816" i="1"/>
  <c r="IJ815" i="1"/>
  <c r="IJ814" i="1"/>
  <c r="IJ813" i="1"/>
  <c r="IJ812" i="1"/>
  <c r="IJ811" i="1"/>
  <c r="IJ810" i="1"/>
  <c r="IJ809" i="1"/>
  <c r="IJ808" i="1"/>
  <c r="IJ807" i="1"/>
  <c r="IJ806" i="1"/>
  <c r="IJ805" i="1"/>
  <c r="IJ804" i="1"/>
  <c r="IJ803" i="1"/>
  <c r="IJ802" i="1"/>
  <c r="IJ801" i="1"/>
  <c r="IJ800" i="1"/>
  <c r="IJ799" i="1"/>
  <c r="IJ798" i="1"/>
  <c r="IJ797" i="1"/>
  <c r="IJ796" i="1"/>
  <c r="IJ795" i="1"/>
  <c r="IJ794" i="1"/>
  <c r="IJ793" i="1"/>
  <c r="IJ792" i="1"/>
  <c r="IJ791" i="1"/>
  <c r="IJ790" i="1"/>
  <c r="IJ789" i="1"/>
  <c r="IJ788" i="1"/>
  <c r="IJ787" i="1"/>
  <c r="IJ786" i="1"/>
  <c r="IJ785" i="1"/>
  <c r="IJ784" i="1"/>
  <c r="IJ783" i="1"/>
  <c r="IJ782" i="1"/>
  <c r="IJ781" i="1"/>
  <c r="IJ780" i="1"/>
  <c r="IJ779" i="1"/>
  <c r="IJ778" i="1"/>
  <c r="IJ777" i="1"/>
  <c r="IJ776" i="1"/>
  <c r="IJ775" i="1"/>
  <c r="IJ774" i="1"/>
  <c r="IJ773" i="1"/>
  <c r="IJ772" i="1"/>
  <c r="IJ771" i="1"/>
  <c r="IJ770" i="1"/>
  <c r="IJ769" i="1"/>
  <c r="IJ768" i="1"/>
  <c r="IJ767" i="1"/>
  <c r="IJ766" i="1"/>
  <c r="IJ765" i="1"/>
  <c r="IJ764" i="1"/>
  <c r="IJ763" i="1"/>
  <c r="IJ762" i="1"/>
  <c r="IJ761" i="1"/>
  <c r="IJ760" i="1"/>
  <c r="IJ759" i="1"/>
  <c r="IJ758" i="1"/>
  <c r="IJ757" i="1"/>
  <c r="IJ756" i="1"/>
  <c r="IJ755" i="1"/>
  <c r="IJ754" i="1"/>
  <c r="IJ753" i="1"/>
  <c r="IJ752" i="1"/>
  <c r="IJ751" i="1"/>
  <c r="IJ750" i="1"/>
  <c r="IJ749" i="1"/>
  <c r="IJ748" i="1"/>
  <c r="IJ747" i="1"/>
  <c r="IJ746" i="1"/>
  <c r="IJ745" i="1"/>
  <c r="IJ744" i="1"/>
  <c r="IJ743" i="1"/>
  <c r="IJ742" i="1"/>
  <c r="IJ741" i="1"/>
  <c r="IJ740" i="1"/>
  <c r="IJ739" i="1"/>
  <c r="IJ738" i="1"/>
  <c r="IJ737" i="1"/>
  <c r="IJ736" i="1"/>
  <c r="IJ735" i="1"/>
  <c r="IJ734" i="1"/>
  <c r="IJ733" i="1"/>
  <c r="IJ732" i="1"/>
  <c r="IJ731" i="1"/>
  <c r="IJ730" i="1"/>
  <c r="IJ729" i="1"/>
  <c r="IJ728" i="1"/>
  <c r="IJ727" i="1"/>
  <c r="IJ726" i="1"/>
  <c r="IJ725" i="1"/>
  <c r="IJ724" i="1"/>
  <c r="IJ723" i="1"/>
  <c r="IJ722" i="1"/>
  <c r="IJ721" i="1"/>
  <c r="IJ720" i="1"/>
  <c r="IJ719" i="1"/>
  <c r="IJ718" i="1"/>
  <c r="IJ717" i="1"/>
  <c r="IJ716" i="1"/>
  <c r="IJ715" i="1"/>
  <c r="IJ714" i="1"/>
  <c r="IJ713" i="1"/>
  <c r="IJ712" i="1"/>
  <c r="IJ711" i="1"/>
  <c r="IJ710" i="1"/>
  <c r="IJ709" i="1"/>
  <c r="IJ708" i="1"/>
  <c r="IJ707" i="1"/>
  <c r="IJ706" i="1"/>
  <c r="IJ705" i="1"/>
  <c r="IJ704" i="1"/>
  <c r="IJ703" i="1"/>
  <c r="IJ702" i="1"/>
  <c r="IJ701" i="1"/>
  <c r="IJ700" i="1"/>
  <c r="IJ699" i="1"/>
  <c r="IJ698" i="1"/>
  <c r="IJ697" i="1"/>
  <c r="IJ696" i="1"/>
  <c r="IJ695" i="1"/>
  <c r="IJ694" i="1"/>
  <c r="IJ693" i="1"/>
  <c r="IJ692" i="1"/>
  <c r="IJ691" i="1"/>
  <c r="IJ690" i="1"/>
  <c r="IJ689" i="1"/>
  <c r="IJ688" i="1"/>
  <c r="IJ687" i="1"/>
  <c r="IJ686" i="1"/>
  <c r="IJ685" i="1"/>
  <c r="IJ684" i="1"/>
  <c r="IJ683" i="1"/>
  <c r="IJ682" i="1"/>
  <c r="IJ681" i="1"/>
  <c r="IJ680" i="1"/>
  <c r="IJ679" i="1"/>
  <c r="IJ678" i="1"/>
  <c r="IJ677" i="1"/>
  <c r="IJ676" i="1"/>
  <c r="IJ675" i="1"/>
  <c r="IJ674" i="1"/>
  <c r="IJ673" i="1"/>
  <c r="IJ672" i="1"/>
  <c r="IJ671" i="1"/>
  <c r="IJ670" i="1"/>
  <c r="IJ669" i="1"/>
  <c r="IJ668" i="1"/>
  <c r="IJ667" i="1"/>
  <c r="IJ666" i="1"/>
  <c r="IJ665" i="1"/>
  <c r="IJ664" i="1"/>
  <c r="IJ663" i="1"/>
  <c r="IJ662" i="1"/>
  <c r="IJ661" i="1"/>
  <c r="IJ660" i="1"/>
  <c r="IJ659" i="1"/>
  <c r="IJ658" i="1"/>
  <c r="IJ657" i="1"/>
  <c r="IJ656" i="1"/>
  <c r="IJ655" i="1"/>
  <c r="IJ654" i="1"/>
  <c r="IJ653" i="1"/>
  <c r="IJ652" i="1"/>
  <c r="IJ651" i="1"/>
  <c r="IJ650" i="1"/>
  <c r="IJ649" i="1"/>
  <c r="IJ648" i="1"/>
  <c r="IJ647" i="1"/>
  <c r="IJ646" i="1"/>
  <c r="IJ645" i="1"/>
  <c r="IJ644" i="1"/>
  <c r="IJ643" i="1"/>
  <c r="IJ642" i="1"/>
  <c r="IJ641" i="1"/>
  <c r="IJ640" i="1"/>
  <c r="IJ639" i="1"/>
  <c r="IJ638" i="1"/>
  <c r="IJ637" i="1"/>
  <c r="IJ636" i="1"/>
  <c r="IJ635" i="1"/>
  <c r="IJ634" i="1"/>
  <c r="IJ633" i="1"/>
  <c r="IJ632" i="1"/>
  <c r="IJ631" i="1"/>
  <c r="IJ630" i="1"/>
  <c r="IJ629" i="1"/>
  <c r="IJ628" i="1"/>
  <c r="IJ627" i="1"/>
  <c r="IJ626" i="1"/>
  <c r="IJ625" i="1"/>
  <c r="IJ624" i="1"/>
  <c r="IJ623" i="1"/>
  <c r="IJ622" i="1"/>
  <c r="IJ621" i="1"/>
  <c r="IJ620" i="1"/>
  <c r="IJ619" i="1"/>
  <c r="IJ618" i="1"/>
  <c r="IJ617" i="1"/>
  <c r="IJ616" i="1"/>
  <c r="IJ615" i="1"/>
  <c r="IJ614" i="1"/>
  <c r="IJ613" i="1"/>
  <c r="IJ612" i="1"/>
  <c r="IJ611" i="1"/>
  <c r="IJ610" i="1"/>
  <c r="IJ609" i="1"/>
  <c r="IJ608" i="1"/>
  <c r="IJ607" i="1"/>
  <c r="IJ606" i="1"/>
  <c r="IJ605" i="1"/>
  <c r="IJ604" i="1"/>
  <c r="IJ603" i="1"/>
  <c r="IJ602" i="1"/>
  <c r="IJ601" i="1"/>
  <c r="IJ600" i="1"/>
  <c r="IJ599" i="1"/>
  <c r="IJ598" i="1"/>
  <c r="IJ597" i="1"/>
  <c r="IJ596" i="1"/>
  <c r="IJ595" i="1"/>
  <c r="IJ594" i="1"/>
  <c r="IJ593" i="1"/>
  <c r="IJ592" i="1"/>
  <c r="IJ591" i="1"/>
  <c r="IJ590" i="1"/>
  <c r="IJ589" i="1"/>
  <c r="IJ588" i="1"/>
  <c r="IJ587" i="1"/>
  <c r="IJ586" i="1"/>
  <c r="IJ585" i="1"/>
  <c r="IJ584" i="1"/>
  <c r="IJ583" i="1"/>
  <c r="IJ582" i="1"/>
  <c r="IJ581" i="1"/>
  <c r="IJ580" i="1"/>
  <c r="IJ579" i="1"/>
  <c r="IJ578" i="1"/>
  <c r="IJ577" i="1"/>
  <c r="IJ576" i="1"/>
  <c r="IJ575" i="1"/>
  <c r="IJ574" i="1"/>
  <c r="IJ573" i="1"/>
  <c r="IJ572" i="1"/>
  <c r="IJ571" i="1"/>
  <c r="IJ570" i="1"/>
  <c r="IJ569" i="1"/>
  <c r="IJ568" i="1"/>
  <c r="IJ567" i="1"/>
  <c r="IJ566" i="1"/>
  <c r="IJ565" i="1"/>
  <c r="IJ564" i="1"/>
  <c r="IJ563" i="1"/>
  <c r="IJ562" i="1"/>
  <c r="IJ561" i="1"/>
  <c r="IJ560" i="1"/>
  <c r="IJ559" i="1"/>
  <c r="IJ558" i="1"/>
  <c r="IJ557" i="1"/>
  <c r="IJ556" i="1"/>
  <c r="IJ555" i="1"/>
  <c r="IJ554" i="1"/>
  <c r="IJ553" i="1"/>
  <c r="IJ552" i="1"/>
  <c r="IJ551" i="1"/>
  <c r="IJ550" i="1"/>
  <c r="IJ549" i="1"/>
  <c r="IJ548" i="1"/>
  <c r="IJ547" i="1"/>
  <c r="IJ546" i="1"/>
  <c r="IJ545" i="1"/>
  <c r="IJ544" i="1"/>
  <c r="IJ543" i="1"/>
  <c r="IJ542" i="1"/>
  <c r="IJ541" i="1"/>
  <c r="IJ540" i="1"/>
  <c r="IJ539" i="1"/>
  <c r="IJ538" i="1"/>
  <c r="IJ537" i="1"/>
  <c r="IJ536" i="1"/>
  <c r="IJ535" i="1"/>
  <c r="IJ534" i="1"/>
  <c r="IJ533" i="1"/>
  <c r="IJ532" i="1"/>
  <c r="IJ531" i="1"/>
  <c r="IJ530" i="1"/>
  <c r="IJ529" i="1"/>
  <c r="IJ528" i="1"/>
  <c r="IJ527" i="1"/>
  <c r="IJ526" i="1"/>
  <c r="IJ525" i="1"/>
  <c r="IJ524" i="1"/>
  <c r="IJ523" i="1"/>
  <c r="IJ522" i="1"/>
  <c r="IJ521" i="1"/>
  <c r="IJ520" i="1"/>
  <c r="IJ519" i="1"/>
  <c r="IJ518" i="1"/>
  <c r="IJ517" i="1"/>
  <c r="IJ516" i="1"/>
  <c r="IJ515" i="1"/>
  <c r="IJ514" i="1"/>
  <c r="IJ513" i="1"/>
  <c r="IJ512" i="1"/>
  <c r="IJ511" i="1"/>
  <c r="IJ510" i="1"/>
  <c r="IJ509" i="1"/>
  <c r="IJ508" i="1"/>
  <c r="IJ507" i="1"/>
  <c r="IJ506" i="1"/>
  <c r="IJ505" i="1"/>
  <c r="IJ504" i="1"/>
  <c r="IJ503" i="1"/>
  <c r="IJ502" i="1"/>
  <c r="IJ501" i="1"/>
  <c r="IJ500" i="1"/>
  <c r="IJ499" i="1"/>
  <c r="IJ498" i="1"/>
  <c r="IJ497" i="1"/>
  <c r="IJ496" i="1"/>
  <c r="IJ495" i="1"/>
  <c r="IJ494" i="1"/>
  <c r="IJ493" i="1"/>
  <c r="IJ492" i="1"/>
  <c r="IJ491" i="1"/>
  <c r="IJ490" i="1"/>
  <c r="IJ489" i="1"/>
  <c r="IJ488" i="1"/>
  <c r="IJ487" i="1"/>
  <c r="IJ486" i="1"/>
  <c r="IJ485" i="1"/>
  <c r="IJ484" i="1"/>
  <c r="IJ483" i="1"/>
  <c r="IJ482" i="1"/>
  <c r="IJ481" i="1"/>
  <c r="IJ480" i="1"/>
  <c r="IJ479" i="1"/>
  <c r="IJ478" i="1"/>
  <c r="IJ477" i="1"/>
  <c r="IJ476" i="1"/>
  <c r="IJ475" i="1"/>
  <c r="IJ474" i="1"/>
  <c r="IJ473" i="1"/>
  <c r="IJ472" i="1"/>
  <c r="IJ471" i="1"/>
  <c r="IJ470" i="1"/>
  <c r="IJ469" i="1"/>
  <c r="IJ468" i="1"/>
  <c r="IJ467" i="1"/>
  <c r="IJ466" i="1"/>
  <c r="IJ465" i="1"/>
  <c r="IJ464" i="1"/>
  <c r="IJ463" i="1"/>
  <c r="IJ462" i="1"/>
  <c r="IJ461" i="1"/>
  <c r="IJ460" i="1"/>
  <c r="IJ459" i="1"/>
  <c r="IJ458" i="1"/>
  <c r="IJ457" i="1"/>
  <c r="IJ456" i="1"/>
  <c r="IJ455" i="1"/>
  <c r="IJ454" i="1"/>
  <c r="IJ453" i="1"/>
  <c r="IJ452" i="1"/>
  <c r="IJ451" i="1"/>
  <c r="IJ450" i="1"/>
  <c r="IJ449" i="1"/>
  <c r="IJ448" i="1"/>
  <c r="IJ447" i="1"/>
  <c r="IJ446" i="1"/>
  <c r="IJ445" i="1"/>
  <c r="IJ444" i="1"/>
  <c r="IJ443" i="1"/>
  <c r="IJ442" i="1"/>
  <c r="IJ441" i="1"/>
  <c r="IJ440" i="1"/>
  <c r="IJ439" i="1"/>
  <c r="IJ438" i="1"/>
  <c r="IJ437" i="1"/>
  <c r="IJ436" i="1"/>
  <c r="IJ435" i="1"/>
  <c r="IJ434" i="1"/>
  <c r="IJ433" i="1"/>
  <c r="IJ432" i="1"/>
  <c r="IJ431" i="1"/>
  <c r="IJ430" i="1"/>
  <c r="IJ429" i="1"/>
  <c r="IJ428" i="1"/>
  <c r="IJ427" i="1"/>
  <c r="IJ426" i="1"/>
  <c r="IJ425" i="1"/>
  <c r="IJ424" i="1"/>
  <c r="IJ423" i="1"/>
  <c r="IJ422" i="1"/>
  <c r="IJ421" i="1"/>
  <c r="IJ420" i="1"/>
  <c r="IJ419" i="1"/>
  <c r="IJ418" i="1"/>
  <c r="IJ417" i="1"/>
  <c r="IJ416" i="1"/>
  <c r="IJ415" i="1"/>
  <c r="IJ414" i="1"/>
  <c r="IJ413" i="1"/>
  <c r="IJ412" i="1"/>
  <c r="IJ411" i="1"/>
  <c r="IJ410" i="1"/>
  <c r="IJ409" i="1"/>
  <c r="IJ408" i="1"/>
  <c r="IJ407" i="1"/>
  <c r="IJ406" i="1"/>
  <c r="IJ405" i="1"/>
  <c r="IJ404" i="1"/>
  <c r="IJ403" i="1"/>
  <c r="IJ402" i="1"/>
  <c r="IJ401" i="1"/>
  <c r="IJ400" i="1"/>
  <c r="IJ399" i="1"/>
  <c r="IJ398" i="1"/>
  <c r="IJ397" i="1"/>
  <c r="IJ396" i="1"/>
  <c r="IJ395" i="1"/>
  <c r="IJ394" i="1"/>
  <c r="IJ393" i="1"/>
  <c r="IJ392" i="1"/>
  <c r="IJ391" i="1"/>
  <c r="IJ390" i="1"/>
  <c r="IJ389" i="1"/>
  <c r="IJ388" i="1"/>
  <c r="IJ387" i="1"/>
  <c r="IJ386" i="1"/>
  <c r="IJ385" i="1"/>
  <c r="IJ384" i="1"/>
  <c r="IJ383" i="1"/>
  <c r="IJ382" i="1"/>
  <c r="IJ381" i="1"/>
  <c r="IJ380" i="1"/>
  <c r="IJ379" i="1"/>
  <c r="IJ378" i="1"/>
  <c r="IJ377" i="1"/>
  <c r="IJ376" i="1"/>
  <c r="IJ375" i="1"/>
  <c r="IJ374" i="1"/>
  <c r="IJ373" i="1"/>
  <c r="IJ372" i="1"/>
  <c r="IJ371" i="1"/>
  <c r="IJ370" i="1"/>
  <c r="IJ369" i="1"/>
  <c r="IJ368" i="1"/>
  <c r="IJ367" i="1"/>
  <c r="IJ366" i="1"/>
  <c r="IJ365" i="1"/>
  <c r="IJ364" i="1"/>
  <c r="IJ363" i="1"/>
  <c r="IJ362" i="1"/>
  <c r="IJ361" i="1"/>
  <c r="IJ360" i="1"/>
  <c r="IJ359" i="1"/>
  <c r="IJ358" i="1"/>
  <c r="IJ357" i="1"/>
  <c r="IJ356" i="1"/>
  <c r="IJ355" i="1"/>
  <c r="IJ354" i="1"/>
  <c r="IJ353" i="1"/>
  <c r="IJ352" i="1"/>
  <c r="IJ351" i="1"/>
  <c r="IJ350" i="1"/>
  <c r="IJ349" i="1"/>
  <c r="IJ348" i="1"/>
  <c r="IJ347" i="1"/>
  <c r="IJ346" i="1"/>
  <c r="IJ345" i="1"/>
  <c r="IJ344" i="1"/>
  <c r="IJ343" i="1"/>
  <c r="IJ342" i="1"/>
  <c r="IJ341" i="1"/>
  <c r="IJ340" i="1"/>
  <c r="IJ339" i="1"/>
  <c r="IJ338" i="1"/>
  <c r="IJ337" i="1"/>
  <c r="IJ336" i="1"/>
  <c r="IJ335" i="1"/>
  <c r="IJ334" i="1"/>
  <c r="IJ333" i="1"/>
  <c r="IJ332" i="1"/>
  <c r="IJ331" i="1"/>
  <c r="IJ330" i="1"/>
  <c r="IJ329" i="1"/>
  <c r="IJ328" i="1"/>
  <c r="IJ327" i="1"/>
  <c r="IJ326" i="1"/>
  <c r="IJ325" i="1"/>
  <c r="IJ324" i="1"/>
  <c r="IJ323" i="1"/>
  <c r="IJ322" i="1"/>
  <c r="IJ321" i="1"/>
  <c r="IJ320" i="1"/>
  <c r="IJ319" i="1"/>
  <c r="IJ318" i="1"/>
  <c r="IJ317" i="1"/>
  <c r="IJ316" i="1"/>
  <c r="IJ315" i="1"/>
  <c r="IJ314" i="1"/>
  <c r="IJ313" i="1"/>
  <c r="IJ312" i="1"/>
  <c r="IJ311" i="1"/>
  <c r="IJ310" i="1"/>
  <c r="IJ309" i="1"/>
  <c r="IJ308" i="1"/>
  <c r="IJ307" i="1"/>
  <c r="IJ306" i="1"/>
  <c r="IJ305" i="1"/>
  <c r="IJ304" i="1"/>
  <c r="IJ303" i="1"/>
  <c r="IJ302" i="1"/>
  <c r="IJ301" i="1"/>
  <c r="IJ300" i="1"/>
  <c r="IJ299" i="1"/>
  <c r="IJ298" i="1"/>
  <c r="IJ297" i="1"/>
  <c r="IJ296" i="1"/>
  <c r="IJ295" i="1"/>
  <c r="IJ294" i="1"/>
  <c r="IJ293" i="1"/>
  <c r="IJ292" i="1"/>
  <c r="IJ291" i="1"/>
  <c r="IJ290" i="1"/>
  <c r="IJ289" i="1"/>
  <c r="IJ288" i="1"/>
  <c r="IJ287" i="1"/>
  <c r="IJ286" i="1"/>
  <c r="IJ285" i="1"/>
  <c r="IJ284" i="1"/>
  <c r="IJ283" i="1"/>
  <c r="IJ282" i="1"/>
  <c r="IJ281" i="1"/>
  <c r="IJ280" i="1"/>
  <c r="IJ279" i="1"/>
  <c r="IJ278" i="1"/>
  <c r="IJ277" i="1"/>
  <c r="IJ276" i="1"/>
  <c r="IJ275" i="1"/>
  <c r="IJ274" i="1"/>
  <c r="IJ273" i="1"/>
  <c r="IJ272" i="1"/>
  <c r="IJ271" i="1"/>
  <c r="IJ270" i="1"/>
  <c r="IJ269" i="1"/>
  <c r="IJ268" i="1"/>
  <c r="IJ267" i="1"/>
  <c r="IJ266" i="1"/>
  <c r="IJ265" i="1"/>
  <c r="IJ264" i="1"/>
  <c r="IJ263" i="1"/>
  <c r="IJ262" i="1"/>
  <c r="IJ261" i="1"/>
  <c r="IJ260" i="1"/>
  <c r="IJ259" i="1"/>
  <c r="IJ258" i="1"/>
  <c r="IJ257" i="1"/>
  <c r="IJ256" i="1"/>
  <c r="IJ255" i="1"/>
  <c r="IJ254" i="1"/>
  <c r="IJ253" i="1"/>
  <c r="IJ252" i="1"/>
  <c r="IJ251" i="1"/>
  <c r="IJ250" i="1"/>
  <c r="IJ249" i="1"/>
  <c r="IJ248" i="1"/>
  <c r="IJ247" i="1"/>
  <c r="IJ246" i="1"/>
  <c r="IJ245" i="1"/>
  <c r="IJ244" i="1"/>
  <c r="IJ243" i="1"/>
  <c r="IJ242" i="1"/>
  <c r="IJ241" i="1"/>
  <c r="IJ240" i="1"/>
  <c r="IJ239" i="1"/>
  <c r="IJ238" i="1"/>
  <c r="IJ237" i="1"/>
  <c r="IJ236" i="1"/>
  <c r="IJ235" i="1"/>
  <c r="IJ234" i="1"/>
  <c r="IJ233" i="1"/>
  <c r="IJ232" i="1"/>
  <c r="IJ231" i="1"/>
  <c r="IJ230" i="1"/>
  <c r="IJ229" i="1"/>
  <c r="IJ228" i="1"/>
  <c r="IJ227" i="1"/>
  <c r="IJ226" i="1"/>
  <c r="IJ225" i="1"/>
  <c r="IJ224" i="1"/>
  <c r="IJ223" i="1"/>
  <c r="IJ222" i="1"/>
  <c r="IJ221" i="1"/>
  <c r="IJ220" i="1"/>
  <c r="IJ219" i="1"/>
  <c r="IJ218" i="1"/>
  <c r="IJ217" i="1"/>
  <c r="IJ216" i="1"/>
  <c r="IJ215" i="1"/>
  <c r="IJ214" i="1"/>
  <c r="IJ213" i="1"/>
  <c r="IJ212" i="1"/>
  <c r="IJ211" i="1"/>
  <c r="IJ210" i="1"/>
  <c r="IJ209" i="1"/>
  <c r="IJ208" i="1"/>
  <c r="IJ207" i="1"/>
  <c r="IJ206" i="1"/>
  <c r="IJ205" i="1"/>
  <c r="IJ204" i="1"/>
  <c r="IJ203" i="1"/>
  <c r="IJ202" i="1"/>
  <c r="IJ201" i="1"/>
  <c r="IJ200" i="1"/>
  <c r="IJ199" i="1"/>
  <c r="IJ198" i="1"/>
  <c r="IJ197" i="1"/>
  <c r="IJ196" i="1"/>
  <c r="IJ195" i="1"/>
  <c r="IJ194" i="1"/>
  <c r="IJ193" i="1"/>
  <c r="IJ192" i="1"/>
  <c r="IJ191" i="1"/>
  <c r="IJ190" i="1"/>
  <c r="IJ189" i="1"/>
  <c r="IJ188" i="1"/>
  <c r="IJ187" i="1"/>
  <c r="IJ186" i="1"/>
  <c r="IJ185" i="1"/>
  <c r="IJ184" i="1"/>
  <c r="IJ183" i="1"/>
  <c r="IJ182" i="1"/>
  <c r="IJ181" i="1"/>
  <c r="IJ180" i="1"/>
  <c r="IJ179" i="1"/>
  <c r="IJ178" i="1"/>
  <c r="IJ177" i="1"/>
  <c r="IJ176" i="1"/>
  <c r="IJ175" i="1"/>
  <c r="IJ174" i="1"/>
  <c r="IJ173" i="1"/>
  <c r="IJ172" i="1"/>
  <c r="IJ171" i="1"/>
  <c r="IJ170" i="1"/>
  <c r="IJ169" i="1"/>
  <c r="IJ168" i="1"/>
  <c r="IJ167" i="1"/>
  <c r="IJ166" i="1"/>
  <c r="IJ165" i="1"/>
  <c r="IJ164" i="1"/>
  <c r="IJ163" i="1"/>
  <c r="IJ162" i="1"/>
  <c r="IJ161" i="1"/>
  <c r="IJ160" i="1"/>
  <c r="IJ159" i="1"/>
  <c r="IJ158" i="1"/>
  <c r="IJ157" i="1"/>
  <c r="IJ156" i="1"/>
  <c r="IJ155" i="1"/>
  <c r="IJ154" i="1"/>
  <c r="IJ153" i="1"/>
  <c r="IJ152" i="1"/>
  <c r="IJ151" i="1"/>
  <c r="IJ150" i="1"/>
  <c r="IJ149" i="1"/>
  <c r="IJ148" i="1"/>
  <c r="IJ147" i="1"/>
  <c r="IJ146" i="1"/>
  <c r="IJ145" i="1"/>
  <c r="IJ144" i="1"/>
  <c r="IJ143" i="1"/>
  <c r="IJ142" i="1"/>
  <c r="IJ141" i="1"/>
  <c r="IJ140" i="1"/>
  <c r="IJ139" i="1"/>
  <c r="IJ138" i="1"/>
  <c r="IJ137" i="1"/>
  <c r="IJ136" i="1"/>
  <c r="IJ135" i="1"/>
  <c r="IJ134" i="1"/>
  <c r="IJ133" i="1"/>
  <c r="IJ132" i="1"/>
  <c r="IJ131" i="1"/>
  <c r="IJ130" i="1"/>
  <c r="IJ129" i="1"/>
  <c r="IJ128" i="1"/>
  <c r="IJ127" i="1"/>
  <c r="IJ126" i="1"/>
  <c r="IJ125" i="1"/>
  <c r="IJ124" i="1"/>
  <c r="IJ123" i="1"/>
  <c r="IJ122" i="1"/>
  <c r="IJ121" i="1"/>
  <c r="IJ120" i="1"/>
  <c r="IJ119" i="1"/>
  <c r="IJ118" i="1"/>
  <c r="IJ117" i="1"/>
  <c r="IJ116" i="1"/>
  <c r="IJ115" i="1"/>
  <c r="IJ114" i="1"/>
  <c r="IJ113" i="1"/>
  <c r="IJ112" i="1"/>
  <c r="IJ111" i="1"/>
  <c r="IJ110" i="1"/>
  <c r="IJ109" i="1"/>
  <c r="IJ108" i="1"/>
  <c r="IJ107" i="1"/>
  <c r="IJ106" i="1"/>
  <c r="IJ105" i="1"/>
  <c r="IJ104" i="1"/>
  <c r="IJ103" i="1"/>
  <c r="IJ102" i="1"/>
  <c r="IJ101" i="1"/>
  <c r="IJ100" i="1"/>
  <c r="IJ99" i="1"/>
  <c r="IJ98" i="1"/>
  <c r="IJ97" i="1"/>
  <c r="IJ96" i="1"/>
  <c r="IJ95" i="1"/>
  <c r="IJ94" i="1"/>
  <c r="IJ93" i="1"/>
  <c r="IJ92" i="1"/>
  <c r="IJ91" i="1"/>
  <c r="IJ90" i="1"/>
  <c r="IJ89" i="1"/>
  <c r="IJ88" i="1"/>
  <c r="IJ87" i="1"/>
  <c r="IJ86" i="1"/>
  <c r="IJ85" i="1"/>
  <c r="IJ84" i="1"/>
  <c r="IJ83" i="1"/>
  <c r="IJ82" i="1"/>
  <c r="IJ81" i="1"/>
  <c r="IJ80" i="1"/>
  <c r="IJ79" i="1"/>
  <c r="IJ78" i="1"/>
  <c r="IJ77" i="1"/>
  <c r="IJ76" i="1"/>
  <c r="IJ75" i="1"/>
  <c r="IJ74" i="1"/>
  <c r="IJ73" i="1"/>
  <c r="IJ72" i="1"/>
  <c r="IJ71" i="1"/>
  <c r="IJ70" i="1"/>
  <c r="IJ69" i="1"/>
  <c r="IJ68" i="1"/>
  <c r="IJ67" i="1"/>
  <c r="IJ66" i="1"/>
  <c r="IJ65" i="1"/>
  <c r="IJ64" i="1"/>
  <c r="IJ63" i="1"/>
  <c r="IJ62" i="1"/>
  <c r="IJ61" i="1"/>
  <c r="IJ60" i="1"/>
  <c r="IJ59" i="1"/>
  <c r="IJ58" i="1"/>
  <c r="IJ57" i="1"/>
  <c r="IJ56" i="1"/>
  <c r="IJ55" i="1"/>
  <c r="IJ54" i="1"/>
  <c r="IJ53" i="1"/>
  <c r="IJ52" i="1"/>
  <c r="IJ51" i="1"/>
  <c r="IJ50" i="1"/>
  <c r="IJ49" i="1"/>
  <c r="IJ48" i="1"/>
  <c r="IJ47" i="1"/>
  <c r="IJ46" i="1"/>
  <c r="IJ45" i="1"/>
  <c r="IJ44" i="1"/>
  <c r="IJ43" i="1"/>
  <c r="IJ42" i="1"/>
  <c r="IJ41" i="1"/>
  <c r="IJ40" i="1"/>
  <c r="IJ39" i="1"/>
  <c r="IJ38" i="1"/>
  <c r="IJ37" i="1"/>
  <c r="IJ36" i="1"/>
  <c r="IJ35" i="1"/>
  <c r="IJ34" i="1"/>
  <c r="IJ33" i="1"/>
  <c r="IJ32" i="1"/>
  <c r="IJ31" i="1"/>
  <c r="IJ30" i="1"/>
  <c r="IJ29" i="1"/>
  <c r="IJ28" i="1"/>
  <c r="IJ27" i="1"/>
  <c r="IJ26" i="1"/>
  <c r="IJ25" i="1"/>
  <c r="IJ24" i="1"/>
  <c r="IJ23" i="1"/>
  <c r="IJ22" i="1"/>
  <c r="IJ21" i="1"/>
  <c r="IJ20" i="1"/>
  <c r="IJ19" i="1"/>
  <c r="IJ18" i="1"/>
  <c r="IJ17" i="1"/>
  <c r="IJ16" i="1"/>
  <c r="IJ15" i="1"/>
  <c r="IJ14" i="1"/>
  <c r="IJ13" i="1"/>
  <c r="IJ12" i="1"/>
  <c r="IJ11" i="1"/>
  <c r="IJ10" i="1"/>
  <c r="IJ9" i="1"/>
  <c r="IJ8" i="1"/>
  <c r="IJ7" i="1"/>
  <c r="IJ6" i="1"/>
  <c r="IJ5" i="1"/>
  <c r="IJ4" i="1"/>
  <c r="IJ3" i="1"/>
  <c r="IJ2" i="1"/>
  <c r="IJ873" i="1"/>
  <c r="KM951" i="1"/>
  <c r="KM950" i="1"/>
  <c r="KM949" i="1"/>
  <c r="KM948" i="1"/>
  <c r="KM947" i="1"/>
  <c r="KM946" i="1"/>
  <c r="KM945" i="1"/>
  <c r="KM944" i="1"/>
  <c r="KM943" i="1"/>
  <c r="KM942" i="1"/>
  <c r="KM941" i="1"/>
  <c r="KM940" i="1"/>
  <c r="KM939" i="1"/>
  <c r="KM938" i="1"/>
  <c r="KM937" i="1"/>
  <c r="KM936" i="1"/>
  <c r="KM935" i="1"/>
  <c r="KM934" i="1"/>
  <c r="KM933" i="1"/>
  <c r="KM932" i="1"/>
  <c r="KM931" i="1"/>
  <c r="KM930" i="1"/>
  <c r="KM929" i="1"/>
  <c r="KM928" i="1"/>
  <c r="KM927" i="1"/>
  <c r="KM926" i="1"/>
  <c r="KM925" i="1"/>
  <c r="KM924" i="1"/>
  <c r="KM923" i="1"/>
  <c r="KM922" i="1"/>
  <c r="KM921" i="1"/>
  <c r="KM920" i="1"/>
  <c r="KM919" i="1"/>
  <c r="KM918" i="1"/>
  <c r="KM917" i="1"/>
  <c r="KM916" i="1"/>
  <c r="KM915" i="1"/>
  <c r="KM914" i="1"/>
  <c r="KM913" i="1"/>
  <c r="KM912" i="1"/>
  <c r="KM911" i="1"/>
  <c r="KM910" i="1"/>
  <c r="KM909" i="1"/>
  <c r="KM908" i="1"/>
  <c r="KM907" i="1"/>
  <c r="KM906" i="1"/>
  <c r="KM905" i="1"/>
  <c r="KM904" i="1"/>
  <c r="KM903" i="1"/>
  <c r="KM902" i="1"/>
  <c r="KM901" i="1"/>
  <c r="KM900" i="1"/>
  <c r="KM899" i="1"/>
  <c r="KM898" i="1"/>
  <c r="KM897" i="1"/>
  <c r="KM896" i="1"/>
  <c r="KM895" i="1"/>
  <c r="KM894" i="1"/>
  <c r="KM893" i="1"/>
  <c r="KM892" i="1"/>
  <c r="KM891" i="1"/>
  <c r="KM890" i="1"/>
  <c r="KM889" i="1"/>
  <c r="KM888" i="1"/>
  <c r="KM887" i="1"/>
  <c r="KM886" i="1"/>
  <c r="KM885" i="1"/>
  <c r="KM884" i="1"/>
  <c r="KM883" i="1"/>
  <c r="KM882" i="1"/>
  <c r="KM881" i="1"/>
  <c r="KM880" i="1"/>
  <c r="KM879" i="1"/>
  <c r="KM878" i="1"/>
  <c r="KM877" i="1"/>
  <c r="KM876" i="1"/>
  <c r="KM875" i="1"/>
  <c r="KM874" i="1"/>
  <c r="KM873" i="1"/>
  <c r="KM872" i="1"/>
  <c r="KM871" i="1"/>
  <c r="KM870" i="1"/>
  <c r="KM869" i="1"/>
  <c r="KM868" i="1"/>
  <c r="KM867" i="1"/>
  <c r="KM866" i="1"/>
  <c r="KM865" i="1"/>
  <c r="KM864" i="1"/>
  <c r="KM863" i="1"/>
  <c r="KM862" i="1"/>
  <c r="KM861" i="1"/>
  <c r="KM860" i="1"/>
  <c r="KM859" i="1"/>
  <c r="KM858" i="1"/>
  <c r="KM857" i="1"/>
  <c r="KM856" i="1"/>
  <c r="KM855" i="1"/>
  <c r="KM854" i="1"/>
  <c r="KM853" i="1"/>
  <c r="KM852" i="1"/>
  <c r="KM851" i="1"/>
  <c r="KM850" i="1"/>
  <c r="KM849" i="1"/>
  <c r="KM848" i="1"/>
  <c r="KM847" i="1"/>
  <c r="KM846" i="1"/>
  <c r="KM845" i="1"/>
  <c r="KM844" i="1"/>
  <c r="KM843" i="1"/>
  <c r="KM842" i="1"/>
  <c r="KM841" i="1"/>
  <c r="KM840" i="1"/>
  <c r="KM839" i="1"/>
  <c r="KM838" i="1"/>
  <c r="KM837" i="1"/>
  <c r="KM836" i="1"/>
  <c r="KM835" i="1"/>
  <c r="KM834" i="1"/>
  <c r="KM833" i="1"/>
  <c r="KM832" i="1"/>
  <c r="KM831" i="1"/>
  <c r="KM830" i="1"/>
  <c r="KM829" i="1"/>
  <c r="KM828" i="1"/>
  <c r="KM827" i="1"/>
  <c r="KM826" i="1"/>
  <c r="KM825" i="1"/>
  <c r="KM824" i="1"/>
  <c r="KM823" i="1"/>
  <c r="KM822" i="1"/>
  <c r="KM821" i="1"/>
  <c r="KM820" i="1"/>
  <c r="KM819" i="1"/>
  <c r="KM818" i="1"/>
  <c r="KM817" i="1"/>
  <c r="KM816" i="1"/>
  <c r="KM815" i="1"/>
  <c r="KM814" i="1"/>
  <c r="KM813" i="1"/>
  <c r="KM812" i="1"/>
  <c r="KM811" i="1"/>
  <c r="KM810" i="1"/>
  <c r="KM809" i="1"/>
  <c r="KM808" i="1"/>
  <c r="KM807" i="1"/>
  <c r="KM806" i="1"/>
  <c r="KM805" i="1"/>
  <c r="KM804" i="1"/>
  <c r="KM803" i="1"/>
  <c r="KM802" i="1"/>
  <c r="KM801" i="1"/>
  <c r="KM800" i="1"/>
  <c r="KM799" i="1"/>
  <c r="KM798" i="1"/>
  <c r="KM797" i="1"/>
  <c r="KM796" i="1"/>
  <c r="KM795" i="1"/>
  <c r="KM794" i="1"/>
  <c r="KM793" i="1"/>
  <c r="KM792" i="1"/>
  <c r="KM791" i="1"/>
  <c r="KM790" i="1"/>
  <c r="KM789" i="1"/>
  <c r="KM788" i="1"/>
  <c r="KM787" i="1"/>
  <c r="KM786" i="1"/>
  <c r="KM785" i="1"/>
  <c r="KM784" i="1"/>
  <c r="KM783" i="1"/>
  <c r="KM782" i="1"/>
  <c r="KM781" i="1"/>
  <c r="KM780" i="1"/>
  <c r="KM779" i="1"/>
  <c r="KM778" i="1"/>
  <c r="KM777" i="1"/>
  <c r="KM776" i="1"/>
  <c r="KM775" i="1"/>
  <c r="KM774" i="1"/>
  <c r="KM773" i="1"/>
  <c r="KM772" i="1"/>
  <c r="KM771" i="1"/>
  <c r="KM770" i="1"/>
  <c r="KM769" i="1"/>
  <c r="KM768" i="1"/>
  <c r="KM767" i="1"/>
  <c r="KM766" i="1"/>
  <c r="KM765" i="1"/>
  <c r="KM764" i="1"/>
  <c r="KM763" i="1"/>
  <c r="KM762" i="1"/>
  <c r="KM761" i="1"/>
  <c r="KM760" i="1"/>
  <c r="KM759" i="1"/>
  <c r="KM758" i="1"/>
  <c r="KM757" i="1"/>
  <c r="KM756" i="1"/>
  <c r="KM755" i="1"/>
  <c r="KM754" i="1"/>
  <c r="KM753" i="1"/>
  <c r="KM752" i="1"/>
  <c r="KM751" i="1"/>
  <c r="KM750" i="1"/>
  <c r="KM749" i="1"/>
  <c r="KM748" i="1"/>
  <c r="KM747" i="1"/>
  <c r="KM746" i="1"/>
  <c r="KM745" i="1"/>
  <c r="KM744" i="1"/>
  <c r="KM743" i="1"/>
  <c r="KM742" i="1"/>
  <c r="KM741" i="1"/>
  <c r="KM740" i="1"/>
  <c r="KM739" i="1"/>
  <c r="KM738" i="1"/>
  <c r="KM737" i="1"/>
  <c r="KM736" i="1"/>
  <c r="KM735" i="1"/>
  <c r="KM734" i="1"/>
  <c r="KM733" i="1"/>
  <c r="KM732" i="1"/>
  <c r="KM731" i="1"/>
  <c r="KM730" i="1"/>
  <c r="KM729" i="1"/>
  <c r="KM728" i="1"/>
  <c r="KM727" i="1"/>
  <c r="KM726" i="1"/>
  <c r="KM725" i="1"/>
  <c r="KM724" i="1"/>
  <c r="KM723" i="1"/>
  <c r="KM722" i="1"/>
  <c r="KM721" i="1"/>
  <c r="KM720" i="1"/>
  <c r="KM719" i="1"/>
  <c r="KM718" i="1"/>
  <c r="KM717" i="1"/>
  <c r="KM716" i="1"/>
  <c r="KM715" i="1"/>
  <c r="KM714" i="1"/>
  <c r="KM713" i="1"/>
  <c r="KM712" i="1"/>
  <c r="KM711" i="1"/>
  <c r="KM710" i="1"/>
  <c r="KM709" i="1"/>
  <c r="KM708" i="1"/>
  <c r="KM707" i="1"/>
  <c r="KM706" i="1"/>
  <c r="KM705" i="1"/>
  <c r="KM704" i="1"/>
  <c r="KM703" i="1"/>
  <c r="KM702" i="1"/>
  <c r="KM701" i="1"/>
  <c r="KM700" i="1"/>
  <c r="KM699" i="1"/>
  <c r="KM698" i="1"/>
  <c r="KM697" i="1"/>
  <c r="KM696" i="1"/>
  <c r="KM695" i="1"/>
  <c r="KM694" i="1"/>
  <c r="KM693" i="1"/>
  <c r="KM692" i="1"/>
  <c r="KM691" i="1"/>
  <c r="KM690" i="1"/>
  <c r="KM689" i="1"/>
  <c r="KM688" i="1"/>
  <c r="KM687" i="1"/>
  <c r="KM686" i="1"/>
  <c r="KM685" i="1"/>
  <c r="KM684" i="1"/>
  <c r="KM683" i="1"/>
  <c r="KM682" i="1"/>
  <c r="KM681" i="1"/>
  <c r="KM680" i="1"/>
  <c r="KM679" i="1"/>
  <c r="KM678" i="1"/>
  <c r="KM677" i="1"/>
  <c r="KM676" i="1"/>
  <c r="KM675" i="1"/>
  <c r="KM674" i="1"/>
  <c r="KM673" i="1"/>
  <c r="KM672" i="1"/>
  <c r="KM671" i="1"/>
  <c r="KM670" i="1"/>
  <c r="KM669" i="1"/>
  <c r="KM668" i="1"/>
  <c r="KM667" i="1"/>
  <c r="KM666" i="1"/>
  <c r="KM665" i="1"/>
  <c r="KM664" i="1"/>
  <c r="KM663" i="1"/>
  <c r="KM662" i="1"/>
  <c r="KM661" i="1"/>
  <c r="KM660" i="1"/>
  <c r="KM659" i="1"/>
  <c r="KM658" i="1"/>
  <c r="KM657" i="1"/>
  <c r="KM656" i="1"/>
  <c r="KM655" i="1"/>
  <c r="KM654" i="1"/>
  <c r="KM653" i="1"/>
  <c r="KM652" i="1"/>
  <c r="KM651" i="1"/>
  <c r="KM650" i="1"/>
  <c r="KM649" i="1"/>
  <c r="KM648" i="1"/>
  <c r="KM647" i="1"/>
  <c r="KM646" i="1"/>
  <c r="KM645" i="1"/>
  <c r="KM644" i="1"/>
  <c r="KM643" i="1"/>
  <c r="KM642" i="1"/>
  <c r="KM641" i="1"/>
  <c r="KM640" i="1"/>
  <c r="KM639" i="1"/>
  <c r="KM638" i="1"/>
  <c r="KM637" i="1"/>
  <c r="KM636" i="1"/>
  <c r="KM635" i="1"/>
  <c r="KM634" i="1"/>
  <c r="KM633" i="1"/>
  <c r="KM632" i="1"/>
  <c r="KM631" i="1"/>
  <c r="KM630" i="1"/>
  <c r="KM629" i="1"/>
  <c r="KM628" i="1"/>
  <c r="KM627" i="1"/>
  <c r="KM626" i="1"/>
  <c r="KM625" i="1"/>
  <c r="KM624" i="1"/>
  <c r="KM623" i="1"/>
  <c r="KM622" i="1"/>
  <c r="KM621" i="1"/>
  <c r="KM620" i="1"/>
  <c r="KM619" i="1"/>
  <c r="KM618" i="1"/>
  <c r="KM617" i="1"/>
  <c r="KM616" i="1"/>
  <c r="KM615" i="1"/>
  <c r="KM614" i="1"/>
  <c r="KM613" i="1"/>
  <c r="KM612" i="1"/>
  <c r="KM611" i="1"/>
  <c r="KM610" i="1"/>
  <c r="KM609" i="1"/>
  <c r="KM608" i="1"/>
  <c r="KM607" i="1"/>
  <c r="KM606" i="1"/>
  <c r="KM605" i="1"/>
  <c r="KM604" i="1"/>
  <c r="KM603" i="1"/>
  <c r="KM602" i="1"/>
  <c r="KM601" i="1"/>
  <c r="KM600" i="1"/>
  <c r="KM599" i="1"/>
  <c r="KM598" i="1"/>
  <c r="KM597" i="1"/>
  <c r="KM596" i="1"/>
  <c r="KM595" i="1"/>
  <c r="KM594" i="1"/>
  <c r="KM593" i="1"/>
  <c r="KM592" i="1"/>
  <c r="KM591" i="1"/>
  <c r="KM590" i="1"/>
  <c r="KM589" i="1"/>
  <c r="KM588" i="1"/>
  <c r="KM587" i="1"/>
  <c r="KM586" i="1"/>
  <c r="KM585" i="1"/>
  <c r="KM584" i="1"/>
  <c r="KM583" i="1"/>
  <c r="KM582" i="1"/>
  <c r="KM581" i="1"/>
  <c r="KM580" i="1"/>
  <c r="KM579" i="1"/>
  <c r="KM578" i="1"/>
  <c r="KM577" i="1"/>
  <c r="KM576" i="1"/>
  <c r="KM575" i="1"/>
  <c r="KM574" i="1"/>
  <c r="KM573" i="1"/>
  <c r="KM572" i="1"/>
  <c r="KM571" i="1"/>
  <c r="KM570" i="1"/>
  <c r="KM569" i="1"/>
  <c r="KM568" i="1"/>
  <c r="KM567" i="1"/>
  <c r="KM566" i="1"/>
  <c r="KM565" i="1"/>
  <c r="KM564" i="1"/>
  <c r="KM563" i="1"/>
  <c r="KM562" i="1"/>
  <c r="KM561" i="1"/>
  <c r="KM560" i="1"/>
  <c r="KM559" i="1"/>
  <c r="KM558" i="1"/>
  <c r="KM557" i="1"/>
  <c r="KM556" i="1"/>
  <c r="KM555" i="1"/>
  <c r="KM554" i="1"/>
  <c r="KM553" i="1"/>
  <c r="KM552" i="1"/>
  <c r="KM551" i="1"/>
  <c r="KM550" i="1"/>
  <c r="KM549" i="1"/>
  <c r="KM548" i="1"/>
  <c r="KM547" i="1"/>
  <c r="KM546" i="1"/>
  <c r="KM545" i="1"/>
  <c r="KM544" i="1"/>
  <c r="KM543" i="1"/>
  <c r="KM542" i="1"/>
  <c r="KM541" i="1"/>
  <c r="KM540" i="1"/>
  <c r="KM539" i="1"/>
  <c r="KM538" i="1"/>
  <c r="KM537" i="1"/>
  <c r="KM536" i="1"/>
  <c r="KM535" i="1"/>
  <c r="KM534" i="1"/>
  <c r="KM533" i="1"/>
  <c r="KM532" i="1"/>
  <c r="KM531" i="1"/>
  <c r="KM530" i="1"/>
  <c r="KM529" i="1"/>
  <c r="KM528" i="1"/>
  <c r="KM527" i="1"/>
  <c r="KM526" i="1"/>
  <c r="KM525" i="1"/>
  <c r="KM524" i="1"/>
  <c r="KM523" i="1"/>
  <c r="KM522" i="1"/>
  <c r="KM521" i="1"/>
  <c r="KM520" i="1"/>
  <c r="KM519" i="1"/>
  <c r="KM518" i="1"/>
  <c r="KM517" i="1"/>
  <c r="KM516" i="1"/>
  <c r="KM515" i="1"/>
  <c r="KM514" i="1"/>
  <c r="KM513" i="1"/>
  <c r="KM512" i="1"/>
  <c r="KM511" i="1"/>
  <c r="KM510" i="1"/>
  <c r="KM509" i="1"/>
  <c r="KM508" i="1"/>
  <c r="KM507" i="1"/>
  <c r="KM506" i="1"/>
  <c r="KM505" i="1"/>
  <c r="KM504" i="1"/>
  <c r="KM503" i="1"/>
  <c r="KM502" i="1"/>
  <c r="KM501" i="1"/>
  <c r="KM500" i="1"/>
  <c r="KM499" i="1"/>
  <c r="KM498" i="1"/>
  <c r="KM497" i="1"/>
  <c r="KM496" i="1"/>
  <c r="KM495" i="1"/>
  <c r="KM494" i="1"/>
  <c r="KM493" i="1"/>
  <c r="KM492" i="1"/>
  <c r="KM491" i="1"/>
  <c r="KM490" i="1"/>
  <c r="KM489" i="1"/>
  <c r="KM488" i="1"/>
  <c r="KM487" i="1"/>
  <c r="KM486" i="1"/>
  <c r="KM485" i="1"/>
  <c r="KM484" i="1"/>
  <c r="KM483" i="1"/>
  <c r="KM482" i="1"/>
  <c r="KM481" i="1"/>
  <c r="KM480" i="1"/>
  <c r="KM479" i="1"/>
  <c r="KM478" i="1"/>
  <c r="KM477" i="1"/>
  <c r="KM476" i="1"/>
  <c r="KM475" i="1"/>
  <c r="KM474" i="1"/>
  <c r="KM473" i="1"/>
  <c r="KM472" i="1"/>
  <c r="KM471" i="1"/>
  <c r="KM470" i="1"/>
  <c r="KM469" i="1"/>
  <c r="KM468" i="1"/>
  <c r="KM467" i="1"/>
  <c r="KM466" i="1"/>
  <c r="KM465" i="1"/>
  <c r="KM464" i="1"/>
  <c r="KM463" i="1"/>
  <c r="KM462" i="1"/>
  <c r="KM461" i="1"/>
  <c r="KM460" i="1"/>
  <c r="KM459" i="1"/>
  <c r="KM458" i="1"/>
  <c r="KM457" i="1"/>
  <c r="KM456" i="1"/>
  <c r="KM455" i="1"/>
  <c r="KM454" i="1"/>
  <c r="KM453" i="1"/>
  <c r="KM452" i="1"/>
  <c r="KM451" i="1"/>
  <c r="KM450" i="1"/>
  <c r="KM449" i="1"/>
  <c r="KM448" i="1"/>
  <c r="KM447" i="1"/>
  <c r="KM446" i="1"/>
  <c r="KM445" i="1"/>
  <c r="KM444" i="1"/>
  <c r="KM443" i="1"/>
  <c r="KM442" i="1"/>
  <c r="KM441" i="1"/>
  <c r="KM440" i="1"/>
  <c r="KM439" i="1"/>
  <c r="KM438" i="1"/>
  <c r="KM437" i="1"/>
  <c r="KM436" i="1"/>
  <c r="KM435" i="1"/>
  <c r="KM434" i="1"/>
  <c r="KM433" i="1"/>
  <c r="KM432" i="1"/>
  <c r="KM431" i="1"/>
  <c r="KM430" i="1"/>
  <c r="KM429" i="1"/>
  <c r="KM428" i="1"/>
  <c r="KM427" i="1"/>
  <c r="KM426" i="1"/>
  <c r="KM425" i="1"/>
  <c r="KM424" i="1"/>
  <c r="KM423" i="1"/>
  <c r="KM422" i="1"/>
  <c r="KM421" i="1"/>
  <c r="KM420" i="1"/>
  <c r="KM419" i="1"/>
  <c r="KM418" i="1"/>
  <c r="KM417" i="1"/>
  <c r="KM416" i="1"/>
  <c r="KM415" i="1"/>
  <c r="KM414" i="1"/>
  <c r="KM413" i="1"/>
  <c r="KM412" i="1"/>
  <c r="KM411" i="1"/>
  <c r="KM410" i="1"/>
  <c r="KM409" i="1"/>
  <c r="KM408" i="1"/>
  <c r="KM407" i="1"/>
  <c r="KM406" i="1"/>
  <c r="KM405" i="1"/>
  <c r="KM404" i="1"/>
  <c r="KM403" i="1"/>
  <c r="KM402" i="1"/>
  <c r="KM401" i="1"/>
  <c r="KM400" i="1"/>
  <c r="KM399" i="1"/>
  <c r="KM398" i="1"/>
  <c r="KM397" i="1"/>
  <c r="KM396" i="1"/>
  <c r="KM395" i="1"/>
  <c r="KM394" i="1"/>
  <c r="KM393" i="1"/>
  <c r="KM392" i="1"/>
  <c r="KM391" i="1"/>
  <c r="KM390" i="1"/>
  <c r="KM389" i="1"/>
  <c r="KM388" i="1"/>
  <c r="KM387" i="1"/>
  <c r="KM386" i="1"/>
  <c r="KM385" i="1"/>
  <c r="KM384" i="1"/>
  <c r="KM383" i="1"/>
  <c r="KM382" i="1"/>
  <c r="KM381" i="1"/>
  <c r="KM380" i="1"/>
  <c r="KM379" i="1"/>
  <c r="KM378" i="1"/>
  <c r="KM377" i="1"/>
  <c r="KM376" i="1"/>
  <c r="KM375" i="1"/>
  <c r="KM374" i="1"/>
  <c r="KM373" i="1"/>
  <c r="KM372" i="1"/>
  <c r="KM371" i="1"/>
  <c r="KM370" i="1"/>
  <c r="KM369" i="1"/>
  <c r="KM368" i="1"/>
  <c r="KM367" i="1"/>
  <c r="KM366" i="1"/>
  <c r="KM365" i="1"/>
  <c r="KM364" i="1"/>
  <c r="KM363" i="1"/>
  <c r="KM362" i="1"/>
  <c r="KM361" i="1"/>
  <c r="KM360" i="1"/>
  <c r="KM359" i="1"/>
  <c r="KM358" i="1"/>
  <c r="KM357" i="1"/>
  <c r="KM356" i="1"/>
  <c r="KM355" i="1"/>
  <c r="KM354" i="1"/>
  <c r="KM353" i="1"/>
  <c r="KM352" i="1"/>
  <c r="KM351" i="1"/>
  <c r="KM350" i="1"/>
  <c r="KM349" i="1"/>
  <c r="KM348" i="1"/>
  <c r="KM347" i="1"/>
  <c r="KM346" i="1"/>
  <c r="KM345" i="1"/>
  <c r="KM344" i="1"/>
  <c r="KM343" i="1"/>
  <c r="KM342" i="1"/>
  <c r="KM341" i="1"/>
  <c r="KM340" i="1"/>
  <c r="KM339" i="1"/>
  <c r="KM338" i="1"/>
  <c r="KM337" i="1"/>
  <c r="KM336" i="1"/>
  <c r="KM335" i="1"/>
  <c r="KM334" i="1"/>
  <c r="KM333" i="1"/>
  <c r="KM332" i="1"/>
  <c r="KM331" i="1"/>
  <c r="KM330" i="1"/>
  <c r="KM329" i="1"/>
  <c r="KM328" i="1"/>
  <c r="KM327" i="1"/>
  <c r="KM326" i="1"/>
  <c r="KM325" i="1"/>
  <c r="KM324" i="1"/>
  <c r="KM323" i="1"/>
  <c r="KM322" i="1"/>
  <c r="KM321" i="1"/>
  <c r="KM320" i="1"/>
  <c r="KM319" i="1"/>
  <c r="KM318" i="1"/>
  <c r="KM317" i="1"/>
  <c r="KM316" i="1"/>
  <c r="KM315" i="1"/>
  <c r="KM314" i="1"/>
  <c r="KM313" i="1"/>
  <c r="KM312" i="1"/>
  <c r="KM311" i="1"/>
  <c r="KM310" i="1"/>
  <c r="KM309" i="1"/>
  <c r="KM308" i="1"/>
  <c r="KM307" i="1"/>
  <c r="KM306" i="1"/>
  <c r="KM305" i="1"/>
  <c r="KM304" i="1"/>
  <c r="KM303" i="1"/>
  <c r="KM302" i="1"/>
  <c r="KM301" i="1"/>
  <c r="KM300" i="1"/>
  <c r="KM299" i="1"/>
  <c r="KM298" i="1"/>
  <c r="KM297" i="1"/>
  <c r="KM296" i="1"/>
  <c r="KM295" i="1"/>
  <c r="KM294" i="1"/>
  <c r="KM293" i="1"/>
  <c r="KM291" i="1"/>
  <c r="KM290" i="1"/>
  <c r="KM289" i="1"/>
  <c r="KM288" i="1"/>
  <c r="KM287" i="1"/>
  <c r="KM286" i="1"/>
  <c r="KM285" i="1"/>
  <c r="KM284" i="1"/>
  <c r="KM283" i="1"/>
  <c r="KM282" i="1"/>
  <c r="KM281" i="1"/>
  <c r="KM280" i="1"/>
  <c r="KM279" i="1"/>
  <c r="KM278" i="1"/>
  <c r="KM277" i="1"/>
  <c r="KM276" i="1"/>
  <c r="KM275" i="1"/>
  <c r="KM274" i="1"/>
  <c r="KM273" i="1"/>
  <c r="KM272" i="1"/>
  <c r="KM271" i="1"/>
  <c r="KM270" i="1"/>
  <c r="KM269" i="1"/>
  <c r="KM268" i="1"/>
  <c r="KM267" i="1"/>
  <c r="KM266" i="1"/>
  <c r="KM265" i="1"/>
  <c r="KM264" i="1"/>
  <c r="KM263" i="1"/>
  <c r="KM262" i="1"/>
  <c r="KM261" i="1"/>
  <c r="KM260" i="1"/>
  <c r="KM259" i="1"/>
  <c r="KM258" i="1"/>
  <c r="KM257" i="1"/>
  <c r="KM256" i="1"/>
  <c r="KM255" i="1"/>
  <c r="KM254" i="1"/>
  <c r="KM253" i="1"/>
  <c r="KM252" i="1"/>
  <c r="KM251" i="1"/>
  <c r="KM250" i="1"/>
  <c r="KM249" i="1"/>
  <c r="KM248" i="1"/>
  <c r="KM247" i="1"/>
  <c r="KM246" i="1"/>
  <c r="KM245" i="1"/>
  <c r="KM244" i="1"/>
  <c r="KM243" i="1"/>
  <c r="KM242" i="1"/>
  <c r="KM241" i="1"/>
  <c r="KM240" i="1"/>
  <c r="KM239" i="1"/>
  <c r="KM238" i="1"/>
  <c r="KM237" i="1"/>
  <c r="KM236" i="1"/>
  <c r="KM235" i="1"/>
  <c r="KM234" i="1"/>
  <c r="KM233" i="1"/>
  <c r="KM232" i="1"/>
  <c r="KM231" i="1"/>
  <c r="KM230" i="1"/>
  <c r="KM229" i="1"/>
  <c r="KM228" i="1"/>
  <c r="KM227" i="1"/>
  <c r="KM226" i="1"/>
  <c r="KM225" i="1"/>
  <c r="KM224" i="1"/>
  <c r="KM223" i="1"/>
  <c r="KM222" i="1"/>
  <c r="KM221" i="1"/>
  <c r="KM220" i="1"/>
  <c r="KM219" i="1"/>
  <c r="KM218" i="1"/>
  <c r="KM217" i="1"/>
  <c r="KM216" i="1"/>
  <c r="KM215" i="1"/>
  <c r="KM214" i="1"/>
  <c r="KM213" i="1"/>
  <c r="KM212" i="1"/>
  <c r="KM211" i="1"/>
  <c r="KM210" i="1"/>
  <c r="KM209" i="1"/>
  <c r="KM208" i="1"/>
  <c r="KM207" i="1"/>
  <c r="KM206" i="1"/>
  <c r="KM205" i="1"/>
  <c r="KM204" i="1"/>
  <c r="KM203" i="1"/>
  <c r="KM202" i="1"/>
  <c r="KM201" i="1"/>
  <c r="KM200" i="1"/>
  <c r="KM199" i="1"/>
  <c r="KM198" i="1"/>
  <c r="KM197" i="1"/>
  <c r="KM196" i="1"/>
  <c r="KM195" i="1"/>
  <c r="KM194" i="1"/>
  <c r="KM193" i="1"/>
  <c r="KM192" i="1"/>
  <c r="KM191" i="1"/>
  <c r="KM190" i="1"/>
  <c r="KM189" i="1"/>
  <c r="KM188" i="1"/>
  <c r="KM187" i="1"/>
  <c r="KM186" i="1"/>
  <c r="KM185" i="1"/>
  <c r="KM184" i="1"/>
  <c r="KM183" i="1"/>
  <c r="KM182" i="1"/>
  <c r="KM181" i="1"/>
  <c r="KM180" i="1"/>
  <c r="KM179" i="1"/>
  <c r="KM178" i="1"/>
  <c r="KM177" i="1"/>
  <c r="KM176" i="1"/>
  <c r="KM175" i="1"/>
  <c r="KM174" i="1"/>
  <c r="KM173" i="1"/>
  <c r="KM172" i="1"/>
  <c r="KM171" i="1"/>
  <c r="KM170" i="1"/>
  <c r="KM169" i="1"/>
  <c r="KM168" i="1"/>
  <c r="KM167" i="1"/>
  <c r="KM161" i="1"/>
  <c r="KM160" i="1"/>
  <c r="KM159" i="1"/>
  <c r="KM158" i="1"/>
  <c r="KM157" i="1"/>
  <c r="KM156" i="1"/>
  <c r="KM155" i="1"/>
  <c r="KM154" i="1"/>
  <c r="KM153" i="1"/>
  <c r="KM152" i="1"/>
  <c r="KM151" i="1"/>
  <c r="KM150" i="1"/>
  <c r="KM149" i="1"/>
  <c r="KM148" i="1"/>
  <c r="KM147" i="1"/>
  <c r="KM146" i="1"/>
  <c r="KM145" i="1"/>
  <c r="KM144" i="1"/>
  <c r="KM143" i="1"/>
  <c r="KM166" i="1"/>
  <c r="KM165" i="1"/>
  <c r="KM164" i="1"/>
  <c r="KM163" i="1"/>
  <c r="KM162" i="1"/>
  <c r="KM142" i="1"/>
  <c r="KM141" i="1"/>
  <c r="KM140" i="1"/>
  <c r="KM139" i="1"/>
  <c r="KM138" i="1"/>
  <c r="KM137" i="1"/>
  <c r="KM136" i="1"/>
  <c r="KM135" i="1"/>
  <c r="KM134" i="1"/>
  <c r="KM133" i="1"/>
  <c r="KM132" i="1"/>
  <c r="KM131" i="1"/>
  <c r="KM130" i="1"/>
  <c r="KM129" i="1"/>
  <c r="KM128" i="1"/>
  <c r="KM127" i="1"/>
  <c r="KM126" i="1"/>
  <c r="KM125" i="1"/>
  <c r="KM124" i="1"/>
  <c r="KM123" i="1"/>
  <c r="KM122" i="1"/>
  <c r="KM121" i="1"/>
  <c r="KM120" i="1"/>
  <c r="KM119" i="1"/>
  <c r="KM118" i="1"/>
  <c r="KM117" i="1"/>
  <c r="KM116" i="1"/>
  <c r="KM115" i="1"/>
  <c r="KM114" i="1"/>
  <c r="KM113" i="1"/>
  <c r="KM112" i="1"/>
  <c r="KM111" i="1"/>
  <c r="KM110" i="1"/>
  <c r="KM109" i="1"/>
  <c r="KM108" i="1"/>
  <c r="KM107" i="1"/>
  <c r="KM106" i="1"/>
  <c r="KM105" i="1"/>
  <c r="KM104" i="1"/>
  <c r="KM103" i="1"/>
  <c r="KM102" i="1"/>
  <c r="KM101" i="1"/>
  <c r="KM100" i="1"/>
  <c r="KM99" i="1"/>
  <c r="KM98" i="1"/>
  <c r="KM97" i="1"/>
  <c r="KM96" i="1"/>
  <c r="KM95" i="1"/>
  <c r="KM94" i="1"/>
  <c r="KM93" i="1"/>
  <c r="KM92" i="1"/>
  <c r="KM91" i="1"/>
  <c r="KM90" i="1"/>
  <c r="KM89" i="1"/>
  <c r="KM88" i="1"/>
  <c r="KM87" i="1"/>
  <c r="KM86" i="1"/>
  <c r="KM85" i="1"/>
  <c r="KM84" i="1"/>
  <c r="KM83" i="1"/>
  <c r="KM82" i="1"/>
  <c r="KM81" i="1"/>
  <c r="KM80" i="1"/>
  <c r="KM79" i="1"/>
  <c r="KM78" i="1"/>
  <c r="KM77" i="1"/>
  <c r="KM76" i="1"/>
  <c r="KM75" i="1"/>
  <c r="KM74" i="1"/>
  <c r="KM73" i="1"/>
  <c r="KM72" i="1"/>
  <c r="KM71" i="1"/>
  <c r="KM70" i="1"/>
  <c r="KM69" i="1"/>
  <c r="KM68" i="1"/>
  <c r="KM67" i="1"/>
  <c r="KM66" i="1"/>
  <c r="KM65" i="1"/>
  <c r="KM64" i="1"/>
  <c r="KM63" i="1"/>
  <c r="KM62" i="1"/>
  <c r="KM61" i="1"/>
  <c r="KM60" i="1"/>
  <c r="KM59" i="1"/>
  <c r="KM58" i="1"/>
  <c r="KM57" i="1"/>
  <c r="KM56" i="1"/>
  <c r="KM55" i="1"/>
  <c r="KM54" i="1"/>
  <c r="KM53" i="1"/>
  <c r="KM52" i="1"/>
  <c r="KM51" i="1"/>
  <c r="KM50" i="1"/>
  <c r="KM49" i="1"/>
  <c r="KM48" i="1"/>
  <c r="KM47" i="1"/>
  <c r="KM46" i="1"/>
  <c r="KM45" i="1"/>
  <c r="KM44" i="1"/>
  <c r="KM43" i="1"/>
  <c r="KM42" i="1"/>
  <c r="KM41" i="1"/>
  <c r="KM40" i="1"/>
  <c r="KM39" i="1"/>
  <c r="KM38" i="1"/>
  <c r="KM37" i="1"/>
  <c r="KM36" i="1"/>
  <c r="KM35" i="1"/>
  <c r="KM34" i="1"/>
  <c r="KM33" i="1"/>
  <c r="KM32" i="1"/>
  <c r="KM31" i="1"/>
  <c r="KM30" i="1"/>
  <c r="KM29" i="1"/>
  <c r="KM28" i="1"/>
  <c r="KM27" i="1"/>
  <c r="KM26" i="1"/>
  <c r="KM25" i="1"/>
  <c r="KM24" i="1"/>
  <c r="KM23" i="1"/>
  <c r="KM22" i="1"/>
  <c r="KM21" i="1"/>
  <c r="KM20" i="1"/>
  <c r="KM19" i="1"/>
  <c r="KM18" i="1"/>
  <c r="KM17" i="1"/>
  <c r="KM16" i="1"/>
  <c r="KM15" i="1"/>
  <c r="KM14" i="1"/>
  <c r="KM13" i="1"/>
  <c r="KM12" i="1"/>
  <c r="KM11" i="1"/>
  <c r="KM10" i="1"/>
  <c r="KM9" i="1"/>
  <c r="KM8" i="1"/>
  <c r="KM7" i="1"/>
  <c r="KM6" i="1"/>
  <c r="KM5" i="1"/>
  <c r="KM4" i="1"/>
  <c r="KM3" i="1"/>
  <c r="KM2" i="1"/>
  <c r="KI951" i="1"/>
  <c r="KI950" i="1"/>
  <c r="KI949" i="1"/>
  <c r="KI948" i="1"/>
  <c r="KI947" i="1"/>
  <c r="KI946" i="1"/>
  <c r="KI945" i="1"/>
  <c r="KI944" i="1"/>
  <c r="KI943" i="1"/>
  <c r="KI942" i="1"/>
  <c r="KI941" i="1"/>
  <c r="KI940" i="1"/>
  <c r="KI939" i="1"/>
  <c r="KI938" i="1"/>
  <c r="KI937" i="1"/>
  <c r="KI936" i="1"/>
  <c r="KI935" i="1"/>
  <c r="KI934" i="1"/>
  <c r="KI933" i="1"/>
  <c r="KI932" i="1"/>
  <c r="KI931" i="1"/>
  <c r="KI930" i="1"/>
  <c r="KI929" i="1"/>
  <c r="KI928" i="1"/>
  <c r="KI927" i="1"/>
  <c r="KI926" i="1"/>
  <c r="KI925" i="1"/>
  <c r="KI924" i="1"/>
  <c r="KI923" i="1"/>
  <c r="KI922" i="1"/>
  <c r="KI921" i="1"/>
  <c r="KI920" i="1"/>
  <c r="KI919" i="1"/>
  <c r="KI918" i="1"/>
  <c r="KI917" i="1"/>
  <c r="KI916" i="1"/>
  <c r="KI915" i="1"/>
  <c r="KI914" i="1"/>
  <c r="KI913" i="1"/>
  <c r="KI912" i="1"/>
  <c r="KI911" i="1"/>
  <c r="KI910" i="1"/>
  <c r="KI909" i="1"/>
  <c r="KI908" i="1"/>
  <c r="KI907" i="1"/>
  <c r="KI906" i="1"/>
  <c r="KI905" i="1"/>
  <c r="KI904" i="1"/>
  <c r="KI903" i="1"/>
  <c r="KI902" i="1"/>
  <c r="KI901" i="1"/>
  <c r="KI900" i="1"/>
  <c r="KI899" i="1"/>
  <c r="KI898" i="1"/>
  <c r="KI897" i="1"/>
  <c r="KI896" i="1"/>
  <c r="KI895" i="1"/>
  <c r="KI894" i="1"/>
  <c r="KI893" i="1"/>
  <c r="KI892" i="1"/>
  <c r="KI891" i="1"/>
  <c r="KI890" i="1"/>
  <c r="KI889" i="1"/>
  <c r="KI888" i="1"/>
  <c r="KI887" i="1"/>
  <c r="KI886" i="1"/>
  <c r="KI885" i="1"/>
  <c r="KI884" i="1"/>
  <c r="KI883" i="1"/>
  <c r="KI882" i="1"/>
  <c r="KI881" i="1"/>
  <c r="KI880" i="1"/>
  <c r="KI879" i="1"/>
  <c r="KI878" i="1"/>
  <c r="KI877" i="1"/>
  <c r="KI876" i="1"/>
  <c r="KI875" i="1"/>
  <c r="KI874" i="1"/>
  <c r="KI873" i="1"/>
  <c r="KI872" i="1"/>
  <c r="KI871" i="1"/>
  <c r="KI870" i="1"/>
  <c r="KI869" i="1"/>
  <c r="KI868" i="1"/>
  <c r="KI867" i="1"/>
  <c r="KI866" i="1"/>
  <c r="KI865" i="1"/>
  <c r="KI864" i="1"/>
  <c r="KI863" i="1"/>
  <c r="KI862" i="1"/>
  <c r="KI861" i="1"/>
  <c r="KI860" i="1"/>
  <c r="KI859" i="1"/>
  <c r="KI858" i="1"/>
  <c r="KI857" i="1"/>
  <c r="KI856" i="1"/>
  <c r="KI855" i="1"/>
  <c r="KI854" i="1"/>
  <c r="KI853" i="1"/>
  <c r="KI852" i="1"/>
  <c r="KI851" i="1"/>
  <c r="KI850" i="1"/>
  <c r="KI849" i="1"/>
  <c r="KI848" i="1"/>
  <c r="KI847" i="1"/>
  <c r="KI846" i="1"/>
  <c r="KI845" i="1"/>
  <c r="KI844" i="1"/>
  <c r="KI843" i="1"/>
  <c r="KI842" i="1"/>
  <c r="KI841" i="1"/>
  <c r="KI840" i="1"/>
  <c r="KI839" i="1"/>
  <c r="KI838" i="1"/>
  <c r="KI837" i="1"/>
  <c r="KI836" i="1"/>
  <c r="KI835" i="1"/>
  <c r="KI834" i="1"/>
  <c r="KI833" i="1"/>
  <c r="KI832" i="1"/>
  <c r="KI831" i="1"/>
  <c r="KI830" i="1"/>
  <c r="KI829" i="1"/>
  <c r="KI828" i="1"/>
  <c r="KI827" i="1"/>
  <c r="KI826" i="1"/>
  <c r="KI825" i="1"/>
  <c r="KI824" i="1"/>
  <c r="KI823" i="1"/>
  <c r="KI822" i="1"/>
  <c r="KI821" i="1"/>
  <c r="KI820" i="1"/>
  <c r="KI819" i="1"/>
  <c r="KI818" i="1"/>
  <c r="KI817" i="1"/>
  <c r="KI816" i="1"/>
  <c r="KI815" i="1"/>
  <c r="KI814" i="1"/>
  <c r="KI813" i="1"/>
  <c r="KI812" i="1"/>
  <c r="KI811" i="1"/>
  <c r="KI810" i="1"/>
  <c r="KI809" i="1"/>
  <c r="KI808" i="1"/>
  <c r="KI807" i="1"/>
  <c r="KI806" i="1"/>
  <c r="KI805" i="1"/>
  <c r="KI804" i="1"/>
  <c r="KI803" i="1"/>
  <c r="KI802" i="1"/>
  <c r="KI801" i="1"/>
  <c r="KI800" i="1"/>
  <c r="KI799" i="1"/>
  <c r="KI798" i="1"/>
  <c r="KI797" i="1"/>
  <c r="KI796" i="1"/>
  <c r="KI795" i="1"/>
  <c r="KI794" i="1"/>
  <c r="KI793" i="1"/>
  <c r="KI792" i="1"/>
  <c r="KI791" i="1"/>
  <c r="KI790" i="1"/>
  <c r="KI789" i="1"/>
  <c r="KI788" i="1"/>
  <c r="KI787" i="1"/>
  <c r="KI786" i="1"/>
  <c r="KI785" i="1"/>
  <c r="KI784" i="1"/>
  <c r="KI783" i="1"/>
  <c r="KI782" i="1"/>
  <c r="KI781" i="1"/>
  <c r="KI780" i="1"/>
  <c r="KI779" i="1"/>
  <c r="KI778" i="1"/>
  <c r="KI777" i="1"/>
  <c r="KI776" i="1"/>
  <c r="KI775" i="1"/>
  <c r="KI774" i="1"/>
  <c r="KI773" i="1"/>
  <c r="KI772" i="1"/>
  <c r="KI771" i="1"/>
  <c r="KI770" i="1"/>
  <c r="KI769" i="1"/>
  <c r="KI768" i="1"/>
  <c r="KI767" i="1"/>
  <c r="KI766" i="1"/>
  <c r="KI765" i="1"/>
  <c r="KI764" i="1"/>
  <c r="KI763" i="1"/>
  <c r="KI762" i="1"/>
  <c r="KI761" i="1"/>
  <c r="KI760" i="1"/>
  <c r="KI759" i="1"/>
  <c r="KI758" i="1"/>
  <c r="KI757" i="1"/>
  <c r="KI756" i="1"/>
  <c r="KI755" i="1"/>
  <c r="KI754" i="1"/>
  <c r="KI753" i="1"/>
  <c r="KI752" i="1"/>
  <c r="KI751" i="1"/>
  <c r="KI750" i="1"/>
  <c r="KI749" i="1"/>
  <c r="KI748" i="1"/>
  <c r="KI747" i="1"/>
  <c r="KI746" i="1"/>
  <c r="KI745" i="1"/>
  <c r="KI744" i="1"/>
  <c r="KI743" i="1"/>
  <c r="KI742" i="1"/>
  <c r="KI741" i="1"/>
  <c r="KI740" i="1"/>
  <c r="KI739" i="1"/>
  <c r="KI738" i="1"/>
  <c r="KI737" i="1"/>
  <c r="KI736" i="1"/>
  <c r="KI735" i="1"/>
  <c r="KI734" i="1"/>
  <c r="KI733" i="1"/>
  <c r="KI732" i="1"/>
  <c r="KI731" i="1"/>
  <c r="KI730" i="1"/>
  <c r="KI729" i="1"/>
  <c r="KI728" i="1"/>
  <c r="KI727" i="1"/>
  <c r="KI726" i="1"/>
  <c r="KI725" i="1"/>
  <c r="KI724" i="1"/>
  <c r="KI723" i="1"/>
  <c r="KI722" i="1"/>
  <c r="KI721" i="1"/>
  <c r="KI720" i="1"/>
  <c r="KI719" i="1"/>
  <c r="KI718" i="1"/>
  <c r="KI717" i="1"/>
  <c r="KI716" i="1"/>
  <c r="KI715" i="1"/>
  <c r="KI714" i="1"/>
  <c r="KI713" i="1"/>
  <c r="KI712" i="1"/>
  <c r="KI711" i="1"/>
  <c r="KI710" i="1"/>
  <c r="KI709" i="1"/>
  <c r="KI708" i="1"/>
  <c r="KI707" i="1"/>
  <c r="KI706" i="1"/>
  <c r="KI705" i="1"/>
  <c r="KI704" i="1"/>
  <c r="KI703" i="1"/>
  <c r="KI702" i="1"/>
  <c r="KI701" i="1"/>
  <c r="KI700" i="1"/>
  <c r="KI699" i="1"/>
  <c r="KI698" i="1"/>
  <c r="KI697" i="1"/>
  <c r="KI696" i="1"/>
  <c r="KI695" i="1"/>
  <c r="KI694" i="1"/>
  <c r="KI693" i="1"/>
  <c r="KI692" i="1"/>
  <c r="KI691" i="1"/>
  <c r="KI690" i="1"/>
  <c r="KI689" i="1"/>
  <c r="KI688" i="1"/>
  <c r="KI687" i="1"/>
  <c r="KI686" i="1"/>
  <c r="KI685" i="1"/>
  <c r="KI684" i="1"/>
  <c r="KI683" i="1"/>
  <c r="KI682" i="1"/>
  <c r="KI681" i="1"/>
  <c r="KI680" i="1"/>
  <c r="KI679" i="1"/>
  <c r="KI678" i="1"/>
  <c r="KI677" i="1"/>
  <c r="KI676" i="1"/>
  <c r="KI675" i="1"/>
  <c r="KI674" i="1"/>
  <c r="KI673" i="1"/>
  <c r="KI672" i="1"/>
  <c r="KI671" i="1"/>
  <c r="KI670" i="1"/>
  <c r="KI669" i="1"/>
  <c r="KI668" i="1"/>
  <c r="KI667" i="1"/>
  <c r="KI666" i="1"/>
  <c r="KI665" i="1"/>
  <c r="KI664" i="1"/>
  <c r="KI663" i="1"/>
  <c r="KI662" i="1"/>
  <c r="KI661" i="1"/>
  <c r="KI660" i="1"/>
  <c r="KI659" i="1"/>
  <c r="KI658" i="1"/>
  <c r="KI657" i="1"/>
  <c r="KI656" i="1"/>
  <c r="KI655" i="1"/>
  <c r="KI654" i="1"/>
  <c r="KI653" i="1"/>
  <c r="KI652" i="1"/>
  <c r="KI651" i="1"/>
  <c r="KI650" i="1"/>
  <c r="KI649" i="1"/>
  <c r="KI648" i="1"/>
  <c r="KI647" i="1"/>
  <c r="KI646" i="1"/>
  <c r="KI645" i="1"/>
  <c r="KI644" i="1"/>
  <c r="KI643" i="1"/>
  <c r="KI642" i="1"/>
  <c r="KI641" i="1"/>
  <c r="KI640" i="1"/>
  <c r="KI639" i="1"/>
  <c r="KI638" i="1"/>
  <c r="KI637" i="1"/>
  <c r="KI636" i="1"/>
  <c r="KI635" i="1"/>
  <c r="KI634" i="1"/>
  <c r="KI633" i="1"/>
  <c r="KI632" i="1"/>
  <c r="KI631" i="1"/>
  <c r="KI630" i="1"/>
  <c r="KI629" i="1"/>
  <c r="KI628" i="1"/>
  <c r="KI627" i="1"/>
  <c r="KI626" i="1"/>
  <c r="KI625" i="1"/>
  <c r="KI624" i="1"/>
  <c r="KI623" i="1"/>
  <c r="KI622" i="1"/>
  <c r="KI621" i="1"/>
  <c r="KI620" i="1"/>
  <c r="KI619" i="1"/>
  <c r="KI618" i="1"/>
  <c r="KI617" i="1"/>
  <c r="KI616" i="1"/>
  <c r="KI615" i="1"/>
  <c r="KI614" i="1"/>
  <c r="KI613" i="1"/>
  <c r="KI612" i="1"/>
  <c r="KI611" i="1"/>
  <c r="KI610" i="1"/>
  <c r="KI609" i="1"/>
  <c r="KI608" i="1"/>
  <c r="KI607" i="1"/>
  <c r="KI606" i="1"/>
  <c r="KI605" i="1"/>
  <c r="KI604" i="1"/>
  <c r="KI603" i="1"/>
  <c r="KI602" i="1"/>
  <c r="KI601" i="1"/>
  <c r="KI600" i="1"/>
  <c r="KI599" i="1"/>
  <c r="KI598" i="1"/>
  <c r="KI597" i="1"/>
  <c r="KI596" i="1"/>
  <c r="KI595" i="1"/>
  <c r="KI594" i="1"/>
  <c r="KI593" i="1"/>
  <c r="KI592" i="1"/>
  <c r="KI591" i="1"/>
  <c r="KI590" i="1"/>
  <c r="KI589" i="1"/>
  <c r="KI588" i="1"/>
  <c r="KI587" i="1"/>
  <c r="KI586" i="1"/>
  <c r="KI585" i="1"/>
  <c r="KI584" i="1"/>
  <c r="KI583" i="1"/>
  <c r="KI582" i="1"/>
  <c r="KI581" i="1"/>
  <c r="KI580" i="1"/>
  <c r="KI579" i="1"/>
  <c r="KI578" i="1"/>
  <c r="KI577" i="1"/>
  <c r="KI576" i="1"/>
  <c r="KI575" i="1"/>
  <c r="KI574" i="1"/>
  <c r="KI573" i="1"/>
  <c r="KI572" i="1"/>
  <c r="KI571" i="1"/>
  <c r="KI570" i="1"/>
  <c r="KI569" i="1"/>
  <c r="KI568" i="1"/>
  <c r="KI567" i="1"/>
  <c r="KI566" i="1"/>
  <c r="KI565" i="1"/>
  <c r="KI564" i="1"/>
  <c r="KI563" i="1"/>
  <c r="KI562" i="1"/>
  <c r="KI561" i="1"/>
  <c r="KI560" i="1"/>
  <c r="KI559" i="1"/>
  <c r="KI558" i="1"/>
  <c r="KI557" i="1"/>
  <c r="KI556" i="1"/>
  <c r="KI555" i="1"/>
  <c r="KI554" i="1"/>
  <c r="KI553" i="1"/>
  <c r="KI552" i="1"/>
  <c r="KI551" i="1"/>
  <c r="KI550" i="1"/>
  <c r="KI549" i="1"/>
  <c r="KI548" i="1"/>
  <c r="KI547" i="1"/>
  <c r="KI546" i="1"/>
  <c r="KI545" i="1"/>
  <c r="KI544" i="1"/>
  <c r="KI543" i="1"/>
  <c r="KI542" i="1"/>
  <c r="KI541" i="1"/>
  <c r="KI540" i="1"/>
  <c r="KI539" i="1"/>
  <c r="KI538" i="1"/>
  <c r="KI537" i="1"/>
  <c r="KI536" i="1"/>
  <c r="KI535" i="1"/>
  <c r="KI534" i="1"/>
  <c r="KI533" i="1"/>
  <c r="KI532" i="1"/>
  <c r="KI531" i="1"/>
  <c r="KI530" i="1"/>
  <c r="KI529" i="1"/>
  <c r="KI528" i="1"/>
  <c r="KI527" i="1"/>
  <c r="KI526" i="1"/>
  <c r="KI525" i="1"/>
  <c r="KI524" i="1"/>
  <c r="KI523" i="1"/>
  <c r="KI522" i="1"/>
  <c r="KI521" i="1"/>
  <c r="KI520" i="1"/>
  <c r="KI519" i="1"/>
  <c r="KI518" i="1"/>
  <c r="KI517" i="1"/>
  <c r="KI516" i="1"/>
  <c r="KI515" i="1"/>
  <c r="KI514" i="1"/>
  <c r="KI513" i="1"/>
  <c r="KI512" i="1"/>
  <c r="KI511" i="1"/>
  <c r="KI510" i="1"/>
  <c r="KI509" i="1"/>
  <c r="KI508" i="1"/>
  <c r="KI507" i="1"/>
  <c r="KI506" i="1"/>
  <c r="KI505" i="1"/>
  <c r="KI504" i="1"/>
  <c r="KI503" i="1"/>
  <c r="KI502" i="1"/>
  <c r="KI501" i="1"/>
  <c r="KI500" i="1"/>
  <c r="KI499" i="1"/>
  <c r="KI498" i="1"/>
  <c r="KI497" i="1"/>
  <c r="KI496" i="1"/>
  <c r="KI495" i="1"/>
  <c r="KI494" i="1"/>
  <c r="KI493" i="1"/>
  <c r="KI492" i="1"/>
  <c r="KI491" i="1"/>
  <c r="KI490" i="1"/>
  <c r="KI489" i="1"/>
  <c r="KI488" i="1"/>
  <c r="KI487" i="1"/>
  <c r="KI486" i="1"/>
  <c r="KI485" i="1"/>
  <c r="KI484" i="1"/>
  <c r="KI483" i="1"/>
  <c r="KI482" i="1"/>
  <c r="KI481" i="1"/>
  <c r="KI480" i="1"/>
  <c r="KI479" i="1"/>
  <c r="KI478" i="1"/>
  <c r="KI477" i="1"/>
  <c r="KI476" i="1"/>
  <c r="KI475" i="1"/>
  <c r="KI474" i="1"/>
  <c r="KI473" i="1"/>
  <c r="KI472" i="1"/>
  <c r="KI471" i="1"/>
  <c r="KI470" i="1"/>
  <c r="KI469" i="1"/>
  <c r="KI468" i="1"/>
  <c r="KI467" i="1"/>
  <c r="KI466" i="1"/>
  <c r="KI465" i="1"/>
  <c r="KI464" i="1"/>
  <c r="KI463" i="1"/>
  <c r="KI462" i="1"/>
  <c r="KI461" i="1"/>
  <c r="KI460" i="1"/>
  <c r="KI459" i="1"/>
  <c r="KI458" i="1"/>
  <c r="KI457" i="1"/>
  <c r="KI456" i="1"/>
  <c r="KI455" i="1"/>
  <c r="KI454" i="1"/>
  <c r="KI453" i="1"/>
  <c r="KI452" i="1"/>
  <c r="KI451" i="1"/>
  <c r="KI450" i="1"/>
  <c r="KI449" i="1"/>
  <c r="KI448" i="1"/>
  <c r="KI447" i="1"/>
  <c r="KI446" i="1"/>
  <c r="KI445" i="1"/>
  <c r="KI444" i="1"/>
  <c r="KI443" i="1"/>
  <c r="KI442" i="1"/>
  <c r="KI441" i="1"/>
  <c r="KI440" i="1"/>
  <c r="KI439" i="1"/>
  <c r="KI438" i="1"/>
  <c r="KI437" i="1"/>
  <c r="KI436" i="1"/>
  <c r="KI435" i="1"/>
  <c r="KI434" i="1"/>
  <c r="KI433" i="1"/>
  <c r="KI432" i="1"/>
  <c r="KI431" i="1"/>
  <c r="KI430" i="1"/>
  <c r="KI429" i="1"/>
  <c r="KI428" i="1"/>
  <c r="KI427" i="1"/>
  <c r="KI426" i="1"/>
  <c r="KI425" i="1"/>
  <c r="KI424" i="1"/>
  <c r="KI423" i="1"/>
  <c r="KI422" i="1"/>
  <c r="KI421" i="1"/>
  <c r="KI420" i="1"/>
  <c r="KI419" i="1"/>
  <c r="KI418" i="1"/>
  <c r="KI417" i="1"/>
  <c r="KI416" i="1"/>
  <c r="KI415" i="1"/>
  <c r="KI414" i="1"/>
  <c r="KI413" i="1"/>
  <c r="KI412" i="1"/>
  <c r="KI411" i="1"/>
  <c r="KI410" i="1"/>
  <c r="KI409" i="1"/>
  <c r="KI408" i="1"/>
  <c r="KI407" i="1"/>
  <c r="KI406" i="1"/>
  <c r="KI405" i="1"/>
  <c r="KI404" i="1"/>
  <c r="KI403" i="1"/>
  <c r="KI402" i="1"/>
  <c r="KI401" i="1"/>
  <c r="KI400" i="1"/>
  <c r="KI399" i="1"/>
  <c r="KI398" i="1"/>
  <c r="KI397" i="1"/>
  <c r="KI396" i="1"/>
  <c r="KI395" i="1"/>
  <c r="KI394" i="1"/>
  <c r="KI393" i="1"/>
  <c r="KI392" i="1"/>
  <c r="KI391" i="1"/>
  <c r="KI390" i="1"/>
  <c r="KI389" i="1"/>
  <c r="KI388" i="1"/>
  <c r="KI387" i="1"/>
  <c r="KI386" i="1"/>
  <c r="KI385" i="1"/>
  <c r="KI384" i="1"/>
  <c r="KI383" i="1"/>
  <c r="KI382" i="1"/>
  <c r="KI381" i="1"/>
  <c r="KI380" i="1"/>
  <c r="KI379" i="1"/>
  <c r="KI378" i="1"/>
  <c r="KI377" i="1"/>
  <c r="KI376" i="1"/>
  <c r="KI375" i="1"/>
  <c r="KI374" i="1"/>
  <c r="KI373" i="1"/>
  <c r="KI372" i="1"/>
  <c r="KI371" i="1"/>
  <c r="KI370" i="1"/>
  <c r="KI369" i="1"/>
  <c r="KI368" i="1"/>
  <c r="KI367" i="1"/>
  <c r="KI366" i="1"/>
  <c r="KI365" i="1"/>
  <c r="KI364" i="1"/>
  <c r="KI363" i="1"/>
  <c r="KI362" i="1"/>
  <c r="KI361" i="1"/>
  <c r="KI360" i="1"/>
  <c r="KI359" i="1"/>
  <c r="KI358" i="1"/>
  <c r="KI357" i="1"/>
  <c r="KI356" i="1"/>
  <c r="KI355" i="1"/>
  <c r="KI354" i="1"/>
  <c r="KI353" i="1"/>
  <c r="KI352" i="1"/>
  <c r="KI351" i="1"/>
  <c r="KI350" i="1"/>
  <c r="KI349" i="1"/>
  <c r="KI348" i="1"/>
  <c r="KI347" i="1"/>
  <c r="KI346" i="1"/>
  <c r="KI345" i="1"/>
  <c r="KI344" i="1"/>
  <c r="KI343" i="1"/>
  <c r="KI342" i="1"/>
  <c r="KI341" i="1"/>
  <c r="KI340" i="1"/>
  <c r="KI339" i="1"/>
  <c r="KI338" i="1"/>
  <c r="KI337" i="1"/>
  <c r="KI336" i="1"/>
  <c r="KI335" i="1"/>
  <c r="KI334" i="1"/>
  <c r="KI333" i="1"/>
  <c r="KI332" i="1"/>
  <c r="KI331" i="1"/>
  <c r="KI330" i="1"/>
  <c r="KI329" i="1"/>
  <c r="KI328" i="1"/>
  <c r="KI327" i="1"/>
  <c r="KI326" i="1"/>
  <c r="KI325" i="1"/>
  <c r="KI324" i="1"/>
  <c r="KI323" i="1"/>
  <c r="KI322" i="1"/>
  <c r="KI321" i="1"/>
  <c r="KI320" i="1"/>
  <c r="KI319" i="1"/>
  <c r="KI318" i="1"/>
  <c r="KI317" i="1"/>
  <c r="KI316" i="1"/>
  <c r="KI315" i="1"/>
  <c r="KI314" i="1"/>
  <c r="KI313" i="1"/>
  <c r="KI312" i="1"/>
  <c r="KI311" i="1"/>
  <c r="KI310" i="1"/>
  <c r="KI309" i="1"/>
  <c r="KI308" i="1"/>
  <c r="KI307" i="1"/>
  <c r="KI306" i="1"/>
  <c r="KI305" i="1"/>
  <c r="KI304" i="1"/>
  <c r="KI303" i="1"/>
  <c r="KI302" i="1"/>
  <c r="KI301" i="1"/>
  <c r="KI300" i="1"/>
  <c r="KI299" i="1"/>
  <c r="KI298" i="1"/>
  <c r="KI297" i="1"/>
  <c r="KI296" i="1"/>
  <c r="KI295" i="1"/>
  <c r="KI294" i="1"/>
  <c r="KI293" i="1"/>
  <c r="KI292" i="1"/>
  <c r="KI291" i="1"/>
  <c r="KI290" i="1"/>
  <c r="KI289" i="1"/>
  <c r="KI288" i="1"/>
  <c r="KI287" i="1"/>
  <c r="KI286" i="1"/>
  <c r="KI285" i="1"/>
  <c r="KI284" i="1"/>
  <c r="KI283" i="1"/>
  <c r="KI282" i="1"/>
  <c r="KI281" i="1"/>
  <c r="KI280" i="1"/>
  <c r="KI279" i="1"/>
  <c r="KI278" i="1"/>
  <c r="KI277" i="1"/>
  <c r="KI276" i="1"/>
  <c r="KI275" i="1"/>
  <c r="KI274" i="1"/>
  <c r="KI273" i="1"/>
  <c r="KI272" i="1"/>
  <c r="KI271" i="1"/>
  <c r="KI270" i="1"/>
  <c r="KI269" i="1"/>
  <c r="KI268" i="1"/>
  <c r="KI267" i="1"/>
  <c r="KI266" i="1"/>
  <c r="KI265" i="1"/>
  <c r="KI264" i="1"/>
  <c r="KI263" i="1"/>
  <c r="KI262" i="1"/>
  <c r="KI261" i="1"/>
  <c r="KI260" i="1"/>
  <c r="KI259" i="1"/>
  <c r="KI258" i="1"/>
  <c r="KI257" i="1"/>
  <c r="KI256" i="1"/>
  <c r="KI255" i="1"/>
  <c r="KI254" i="1"/>
  <c r="KI253" i="1"/>
  <c r="KI252" i="1"/>
  <c r="KI251" i="1"/>
  <c r="KI250" i="1"/>
  <c r="KI249" i="1"/>
  <c r="KI248" i="1"/>
  <c r="KI247" i="1"/>
  <c r="KI246" i="1"/>
  <c r="KI245" i="1"/>
  <c r="KI244" i="1"/>
  <c r="KI243" i="1"/>
  <c r="KI242" i="1"/>
  <c r="KI241" i="1"/>
  <c r="KI240" i="1"/>
  <c r="KI239" i="1"/>
  <c r="KI238" i="1"/>
  <c r="KI237" i="1"/>
  <c r="KI236" i="1"/>
  <c r="KI235" i="1"/>
  <c r="KI234" i="1"/>
  <c r="KI233" i="1"/>
  <c r="KI232" i="1"/>
  <c r="KI231" i="1"/>
  <c r="KI230" i="1"/>
  <c r="KI229" i="1"/>
  <c r="KI228" i="1"/>
  <c r="KI227" i="1"/>
  <c r="KI226" i="1"/>
  <c r="KI225" i="1"/>
  <c r="KI224" i="1"/>
  <c r="KI223" i="1"/>
  <c r="KI222" i="1"/>
  <c r="KI221" i="1"/>
  <c r="KI220" i="1"/>
  <c r="KI219" i="1"/>
  <c r="KI218" i="1"/>
  <c r="KI217" i="1"/>
  <c r="KI216" i="1"/>
  <c r="KI215" i="1"/>
  <c r="KI214" i="1"/>
  <c r="KI213" i="1"/>
  <c r="KI212" i="1"/>
  <c r="KI211" i="1"/>
  <c r="KI210" i="1"/>
  <c r="KI209" i="1"/>
  <c r="KI208" i="1"/>
  <c r="KI207" i="1"/>
  <c r="KI206" i="1"/>
  <c r="KI205" i="1"/>
  <c r="KI204" i="1"/>
  <c r="KI203" i="1"/>
  <c r="KI202" i="1"/>
  <c r="KI201" i="1"/>
  <c r="KI200" i="1"/>
  <c r="KI199" i="1"/>
  <c r="KI198" i="1"/>
  <c r="KI197" i="1"/>
  <c r="KI196" i="1"/>
  <c r="KI195" i="1"/>
  <c r="KI194" i="1"/>
  <c r="KI193" i="1"/>
  <c r="KI192" i="1"/>
  <c r="KI191" i="1"/>
  <c r="KI190" i="1"/>
  <c r="KI189" i="1"/>
  <c r="KI188" i="1"/>
  <c r="KI187" i="1"/>
  <c r="KI186" i="1"/>
  <c r="KI185" i="1"/>
  <c r="KI184" i="1"/>
  <c r="KI183" i="1"/>
  <c r="KI182" i="1"/>
  <c r="KI181" i="1"/>
  <c r="KI180" i="1"/>
  <c r="KI179" i="1"/>
  <c r="KI178" i="1"/>
  <c r="KI177" i="1"/>
  <c r="KI176" i="1"/>
  <c r="KI175" i="1"/>
  <c r="KI174" i="1"/>
  <c r="KI173" i="1"/>
  <c r="KI172" i="1"/>
  <c r="KI171" i="1"/>
  <c r="KI170" i="1"/>
  <c r="KI169" i="1"/>
  <c r="KI168" i="1"/>
  <c r="KI167" i="1"/>
  <c r="KI161" i="1"/>
  <c r="KI160" i="1"/>
  <c r="KI159" i="1"/>
  <c r="KI158" i="1"/>
  <c r="KI157" i="1"/>
  <c r="KI156" i="1"/>
  <c r="KI155" i="1"/>
  <c r="KI154" i="1"/>
  <c r="KI153" i="1"/>
  <c r="KI152" i="1"/>
  <c r="KI151" i="1"/>
  <c r="KI150" i="1"/>
  <c r="KI149" i="1"/>
  <c r="KI148" i="1"/>
  <c r="KI147" i="1"/>
  <c r="KI146" i="1"/>
  <c r="KI145" i="1"/>
  <c r="KI144" i="1"/>
  <c r="KI143" i="1"/>
  <c r="KI166" i="1"/>
  <c r="KI165" i="1"/>
  <c r="KI164" i="1"/>
  <c r="KI163" i="1"/>
  <c r="KI162" i="1"/>
  <c r="KI142" i="1"/>
  <c r="KI141" i="1"/>
  <c r="KI140" i="1"/>
  <c r="KI139" i="1"/>
  <c r="KI138" i="1"/>
  <c r="KI137" i="1"/>
  <c r="KI136" i="1"/>
  <c r="KI135" i="1"/>
  <c r="KI134" i="1"/>
  <c r="KI133" i="1"/>
  <c r="KI132" i="1"/>
  <c r="KI131" i="1"/>
  <c r="KI130" i="1"/>
  <c r="KI129" i="1"/>
  <c r="KI128" i="1"/>
  <c r="KI127" i="1"/>
  <c r="KI126" i="1"/>
  <c r="KI125" i="1"/>
  <c r="KI124" i="1"/>
  <c r="KI123" i="1"/>
  <c r="KI122" i="1"/>
  <c r="KI121" i="1"/>
  <c r="KI120" i="1"/>
  <c r="KI119" i="1"/>
  <c r="KI118" i="1"/>
  <c r="KI117" i="1"/>
  <c r="KI116" i="1"/>
  <c r="KI115" i="1"/>
  <c r="KI114" i="1"/>
  <c r="KI113" i="1"/>
  <c r="KI112" i="1"/>
  <c r="KI111" i="1"/>
  <c r="KI110" i="1"/>
  <c r="KI109" i="1"/>
  <c r="KI108" i="1"/>
  <c r="KI107" i="1"/>
  <c r="KI106" i="1"/>
  <c r="KI105" i="1"/>
  <c r="KI104" i="1"/>
  <c r="KI103" i="1"/>
  <c r="KI102" i="1"/>
  <c r="KI101" i="1"/>
  <c r="KI100" i="1"/>
  <c r="KI99" i="1"/>
  <c r="KI98" i="1"/>
  <c r="KI97" i="1"/>
  <c r="KI96" i="1"/>
  <c r="KI95" i="1"/>
  <c r="KI94" i="1"/>
  <c r="KI93" i="1"/>
  <c r="KI92" i="1"/>
  <c r="KI91" i="1"/>
  <c r="KI90" i="1"/>
  <c r="KI89" i="1"/>
  <c r="KI88" i="1"/>
  <c r="KI87" i="1"/>
  <c r="KI86" i="1"/>
  <c r="KI85" i="1"/>
  <c r="KI84" i="1"/>
  <c r="KI83" i="1"/>
  <c r="KI82" i="1"/>
  <c r="KI81" i="1"/>
  <c r="KI80" i="1"/>
  <c r="KI79" i="1"/>
  <c r="KI78" i="1"/>
  <c r="KI77" i="1"/>
  <c r="KI76" i="1"/>
  <c r="KI75" i="1"/>
  <c r="KI74" i="1"/>
  <c r="KI73" i="1"/>
  <c r="KI72" i="1"/>
  <c r="KI71" i="1"/>
  <c r="KI70" i="1"/>
  <c r="KI69" i="1"/>
  <c r="KI68" i="1"/>
  <c r="KI67" i="1"/>
  <c r="KI66" i="1"/>
  <c r="KI65" i="1"/>
  <c r="KI64" i="1"/>
  <c r="KI63" i="1"/>
  <c r="KI62" i="1"/>
  <c r="KI61" i="1"/>
  <c r="KI60" i="1"/>
  <c r="KI59" i="1"/>
  <c r="KI58" i="1"/>
  <c r="KI57" i="1"/>
  <c r="KI56" i="1"/>
  <c r="KI55" i="1"/>
  <c r="KI54" i="1"/>
  <c r="KI53" i="1"/>
  <c r="KI52" i="1"/>
  <c r="KI51" i="1"/>
  <c r="KI50" i="1"/>
  <c r="KI49" i="1"/>
  <c r="KI48" i="1"/>
  <c r="KI47" i="1"/>
  <c r="KI46" i="1"/>
  <c r="KI45" i="1"/>
  <c r="KI44" i="1"/>
  <c r="KI43" i="1"/>
  <c r="KI42" i="1"/>
  <c r="KI41" i="1"/>
  <c r="KI40" i="1"/>
  <c r="KI39" i="1"/>
  <c r="KI38" i="1"/>
  <c r="KI37" i="1"/>
  <c r="KI36" i="1"/>
  <c r="KI35" i="1"/>
  <c r="KI34" i="1"/>
  <c r="KI33" i="1"/>
  <c r="KI32" i="1"/>
  <c r="KI31" i="1"/>
  <c r="KI30" i="1"/>
  <c r="KI29" i="1"/>
  <c r="KI28" i="1"/>
  <c r="KI27" i="1"/>
  <c r="KI26" i="1"/>
  <c r="KI25" i="1"/>
  <c r="KI24" i="1"/>
  <c r="KI23" i="1"/>
  <c r="KI22" i="1"/>
  <c r="KI21" i="1"/>
  <c r="KI20" i="1"/>
  <c r="KI19" i="1"/>
  <c r="KI18" i="1"/>
  <c r="KI17" i="1"/>
  <c r="KI16" i="1"/>
  <c r="KI15" i="1"/>
  <c r="KI14" i="1"/>
  <c r="KI13" i="1"/>
  <c r="KI12" i="1"/>
  <c r="KI11" i="1"/>
  <c r="KI10" i="1"/>
  <c r="KI9" i="1"/>
  <c r="KI8" i="1"/>
  <c r="KI7" i="1"/>
  <c r="KI6" i="1"/>
  <c r="KI5" i="1"/>
  <c r="KI4" i="1"/>
  <c r="KI3" i="1"/>
  <c r="KI2" i="1"/>
  <c r="KE951" i="1"/>
  <c r="KE950" i="1"/>
  <c r="KE949" i="1"/>
  <c r="KE948" i="1"/>
  <c r="KE947" i="1"/>
  <c r="KE946" i="1"/>
  <c r="KE945" i="1"/>
  <c r="KE944" i="1"/>
  <c r="KE943" i="1"/>
  <c r="KE942" i="1"/>
  <c r="KE941" i="1"/>
  <c r="KE940" i="1"/>
  <c r="KE939" i="1"/>
  <c r="KE938" i="1"/>
  <c r="KE937" i="1"/>
  <c r="KE936" i="1"/>
  <c r="KE935" i="1"/>
  <c r="KE934" i="1"/>
  <c r="KE933" i="1"/>
  <c r="KE932" i="1"/>
  <c r="KE931" i="1"/>
  <c r="KE930" i="1"/>
  <c r="KE929" i="1"/>
  <c r="KE928" i="1"/>
  <c r="KE927" i="1"/>
  <c r="KE926" i="1"/>
  <c r="KE925" i="1"/>
  <c r="KE924" i="1"/>
  <c r="KE923" i="1"/>
  <c r="KE922" i="1"/>
  <c r="KE921" i="1"/>
  <c r="KE920" i="1"/>
  <c r="KE919" i="1"/>
  <c r="KE918" i="1"/>
  <c r="KE917" i="1"/>
  <c r="KE916" i="1"/>
  <c r="KE915" i="1"/>
  <c r="KE914" i="1"/>
  <c r="KE913" i="1"/>
  <c r="KE912" i="1"/>
  <c r="KE911" i="1"/>
  <c r="KE910" i="1"/>
  <c r="KE909" i="1"/>
  <c r="KE908" i="1"/>
  <c r="KE907" i="1"/>
  <c r="KE906" i="1"/>
  <c r="KE905" i="1"/>
  <c r="KE904" i="1"/>
  <c r="KE903" i="1"/>
  <c r="KE902" i="1"/>
  <c r="KE901" i="1"/>
  <c r="KE900" i="1"/>
  <c r="KE899" i="1"/>
  <c r="KE898" i="1"/>
  <c r="KE897" i="1"/>
  <c r="KE896" i="1"/>
  <c r="KE895" i="1"/>
  <c r="KE894" i="1"/>
  <c r="KE893" i="1"/>
  <c r="KE892" i="1"/>
  <c r="KE891" i="1"/>
  <c r="KE890" i="1"/>
  <c r="KE889" i="1"/>
  <c r="KE888" i="1"/>
  <c r="KE887" i="1"/>
  <c r="KE886" i="1"/>
  <c r="KE885" i="1"/>
  <c r="KE884" i="1"/>
  <c r="KE883" i="1"/>
  <c r="KE882" i="1"/>
  <c r="KE881" i="1"/>
  <c r="KE880" i="1"/>
  <c r="KE879" i="1"/>
  <c r="KE878" i="1"/>
  <c r="KE877" i="1"/>
  <c r="KE876" i="1"/>
  <c r="KE875" i="1"/>
  <c r="KE874" i="1"/>
  <c r="KE873" i="1"/>
  <c r="KE872" i="1"/>
  <c r="KE871" i="1"/>
  <c r="KE870" i="1"/>
  <c r="KE869" i="1"/>
  <c r="KE868" i="1"/>
  <c r="KE867" i="1"/>
  <c r="KE866" i="1"/>
  <c r="KE865" i="1"/>
  <c r="KE864" i="1"/>
  <c r="KE863" i="1"/>
  <c r="KE862" i="1"/>
  <c r="KE861" i="1"/>
  <c r="KE860" i="1"/>
  <c r="KE859" i="1"/>
  <c r="KE858" i="1"/>
  <c r="KE857" i="1"/>
  <c r="KE856" i="1"/>
  <c r="KE855" i="1"/>
  <c r="KE854" i="1"/>
  <c r="KE853" i="1"/>
  <c r="KE852" i="1"/>
  <c r="KE851" i="1"/>
  <c r="KE850" i="1"/>
  <c r="KE849" i="1"/>
  <c r="KE848" i="1"/>
  <c r="KE847" i="1"/>
  <c r="KE846" i="1"/>
  <c r="KE845" i="1"/>
  <c r="KE844" i="1"/>
  <c r="KE843" i="1"/>
  <c r="KE842" i="1"/>
  <c r="KE841" i="1"/>
  <c r="KE840" i="1"/>
  <c r="KE839" i="1"/>
  <c r="KE838" i="1"/>
  <c r="KE837" i="1"/>
  <c r="KE836" i="1"/>
  <c r="KE835" i="1"/>
  <c r="KE834" i="1"/>
  <c r="KE833" i="1"/>
  <c r="KE832" i="1"/>
  <c r="KE831" i="1"/>
  <c r="KE830" i="1"/>
  <c r="KE829" i="1"/>
  <c r="KE828" i="1"/>
  <c r="KE827" i="1"/>
  <c r="KE826" i="1"/>
  <c r="KE825" i="1"/>
  <c r="KE824" i="1"/>
  <c r="KE823" i="1"/>
  <c r="KE822" i="1"/>
  <c r="KE821" i="1"/>
  <c r="KE820" i="1"/>
  <c r="KE819" i="1"/>
  <c r="KE818" i="1"/>
  <c r="KE817" i="1"/>
  <c r="KE816" i="1"/>
  <c r="KE815" i="1"/>
  <c r="KE814" i="1"/>
  <c r="KE813" i="1"/>
  <c r="KE812" i="1"/>
  <c r="KE811" i="1"/>
  <c r="KE810" i="1"/>
  <c r="KE809" i="1"/>
  <c r="KE808" i="1"/>
  <c r="KE807" i="1"/>
  <c r="KE806" i="1"/>
  <c r="KE805" i="1"/>
  <c r="KE804" i="1"/>
  <c r="KE803" i="1"/>
  <c r="KE802" i="1"/>
  <c r="KE801" i="1"/>
  <c r="KE800" i="1"/>
  <c r="KE799" i="1"/>
  <c r="KE798" i="1"/>
  <c r="KE797" i="1"/>
  <c r="KE796" i="1"/>
  <c r="KE795" i="1"/>
  <c r="KE794" i="1"/>
  <c r="KE793" i="1"/>
  <c r="KE792" i="1"/>
  <c r="KE791" i="1"/>
  <c r="KE790" i="1"/>
  <c r="KE789" i="1"/>
  <c r="KE788" i="1"/>
  <c r="KE787" i="1"/>
  <c r="KE786" i="1"/>
  <c r="KE785" i="1"/>
  <c r="KE784" i="1"/>
  <c r="KE783" i="1"/>
  <c r="KE782" i="1"/>
  <c r="KE781" i="1"/>
  <c r="KE780" i="1"/>
  <c r="KE779" i="1"/>
  <c r="KE778" i="1"/>
  <c r="KE777" i="1"/>
  <c r="KE776" i="1"/>
  <c r="KE775" i="1"/>
  <c r="KE774" i="1"/>
  <c r="KE773" i="1"/>
  <c r="KE772" i="1"/>
  <c r="KE771" i="1"/>
  <c r="KE770" i="1"/>
  <c r="KE769" i="1"/>
  <c r="KE768" i="1"/>
  <c r="KE767" i="1"/>
  <c r="KE766" i="1"/>
  <c r="KE765" i="1"/>
  <c r="KE764" i="1"/>
  <c r="KE763" i="1"/>
  <c r="KE762" i="1"/>
  <c r="KE761" i="1"/>
  <c r="KE760" i="1"/>
  <c r="KE759" i="1"/>
  <c r="KE758" i="1"/>
  <c r="KE757" i="1"/>
  <c r="KE756" i="1"/>
  <c r="KE755" i="1"/>
  <c r="KE754" i="1"/>
  <c r="KE753" i="1"/>
  <c r="KE752" i="1"/>
  <c r="KE751" i="1"/>
  <c r="KE750" i="1"/>
  <c r="KE749" i="1"/>
  <c r="KE748" i="1"/>
  <c r="KE747" i="1"/>
  <c r="KE746" i="1"/>
  <c r="KE745" i="1"/>
  <c r="KE744" i="1"/>
  <c r="KE743" i="1"/>
  <c r="KE742" i="1"/>
  <c r="KE741" i="1"/>
  <c r="KE740" i="1"/>
  <c r="KE739" i="1"/>
  <c r="KE738" i="1"/>
  <c r="KE737" i="1"/>
  <c r="KE736" i="1"/>
  <c r="KE735" i="1"/>
  <c r="KE734" i="1"/>
  <c r="KE733" i="1"/>
  <c r="KE732" i="1"/>
  <c r="KE731" i="1"/>
  <c r="KE730" i="1"/>
  <c r="KE729" i="1"/>
  <c r="KE728" i="1"/>
  <c r="KE727" i="1"/>
  <c r="KE726" i="1"/>
  <c r="KE725" i="1"/>
  <c r="KE724" i="1"/>
  <c r="KE723" i="1"/>
  <c r="KE722" i="1"/>
  <c r="KE721" i="1"/>
  <c r="KE720" i="1"/>
  <c r="KE719" i="1"/>
  <c r="KE718" i="1"/>
  <c r="KE717" i="1"/>
  <c r="KE716" i="1"/>
  <c r="KE715" i="1"/>
  <c r="KE714" i="1"/>
  <c r="KE713" i="1"/>
  <c r="KE712" i="1"/>
  <c r="KE711" i="1"/>
  <c r="KE710" i="1"/>
  <c r="KE709" i="1"/>
  <c r="KE708" i="1"/>
  <c r="KE707" i="1"/>
  <c r="KE706" i="1"/>
  <c r="KE705" i="1"/>
  <c r="KE704" i="1"/>
  <c r="KE703" i="1"/>
  <c r="KE702" i="1"/>
  <c r="KE701" i="1"/>
  <c r="KE700" i="1"/>
  <c r="KE699" i="1"/>
  <c r="KE698" i="1"/>
  <c r="KE697" i="1"/>
  <c r="KE696" i="1"/>
  <c r="KE695" i="1"/>
  <c r="KE694" i="1"/>
  <c r="KE693" i="1"/>
  <c r="KE692" i="1"/>
  <c r="KE691" i="1"/>
  <c r="KE690" i="1"/>
  <c r="KE689" i="1"/>
  <c r="KE688" i="1"/>
  <c r="KE687" i="1"/>
  <c r="KE686" i="1"/>
  <c r="KE685" i="1"/>
  <c r="KE684" i="1"/>
  <c r="KE683" i="1"/>
  <c r="KE682" i="1"/>
  <c r="KE681" i="1"/>
  <c r="KE680" i="1"/>
  <c r="KE679" i="1"/>
  <c r="KE678" i="1"/>
  <c r="KE677" i="1"/>
  <c r="KE676" i="1"/>
  <c r="KE675" i="1"/>
  <c r="KE674" i="1"/>
  <c r="KE673" i="1"/>
  <c r="KE672" i="1"/>
  <c r="KE671" i="1"/>
  <c r="KE670" i="1"/>
  <c r="KE669" i="1"/>
  <c r="KE668" i="1"/>
  <c r="KE667" i="1"/>
  <c r="KE666" i="1"/>
  <c r="KE665" i="1"/>
  <c r="KE664" i="1"/>
  <c r="KE663" i="1"/>
  <c r="KE662" i="1"/>
  <c r="KE661" i="1"/>
  <c r="KE660" i="1"/>
  <c r="KE659" i="1"/>
  <c r="KE658" i="1"/>
  <c r="KE657" i="1"/>
  <c r="KE656" i="1"/>
  <c r="KE655" i="1"/>
  <c r="KE654" i="1"/>
  <c r="KE653" i="1"/>
  <c r="KE652" i="1"/>
  <c r="KE651" i="1"/>
  <c r="KE650" i="1"/>
  <c r="KE649" i="1"/>
  <c r="KE648" i="1"/>
  <c r="KE647" i="1"/>
  <c r="KE646" i="1"/>
  <c r="KE645" i="1"/>
  <c r="KE644" i="1"/>
  <c r="KE643" i="1"/>
  <c r="KE642" i="1"/>
  <c r="KE641" i="1"/>
  <c r="KE640" i="1"/>
  <c r="KE639" i="1"/>
  <c r="KE638" i="1"/>
  <c r="KE637" i="1"/>
  <c r="KE636" i="1"/>
  <c r="KE635" i="1"/>
  <c r="KE634" i="1"/>
  <c r="KE633" i="1"/>
  <c r="KE632" i="1"/>
  <c r="KE631" i="1"/>
  <c r="KE630" i="1"/>
  <c r="KE629" i="1"/>
  <c r="KE628" i="1"/>
  <c r="KE627" i="1"/>
  <c r="KE626" i="1"/>
  <c r="KE625" i="1"/>
  <c r="KE624" i="1"/>
  <c r="KE623" i="1"/>
  <c r="KE622" i="1"/>
  <c r="KE621" i="1"/>
  <c r="KE620" i="1"/>
  <c r="KE619" i="1"/>
  <c r="KE618" i="1"/>
  <c r="KE617" i="1"/>
  <c r="KE616" i="1"/>
  <c r="KE615" i="1"/>
  <c r="KE614" i="1"/>
  <c r="KE613" i="1"/>
  <c r="KE612" i="1"/>
  <c r="KE611" i="1"/>
  <c r="KE610" i="1"/>
  <c r="KE609" i="1"/>
  <c r="KE608" i="1"/>
  <c r="KE607" i="1"/>
  <c r="KE606" i="1"/>
  <c r="KE605" i="1"/>
  <c r="KE604" i="1"/>
  <c r="KE603" i="1"/>
  <c r="KE602" i="1"/>
  <c r="KE601" i="1"/>
  <c r="KE600" i="1"/>
  <c r="KE599" i="1"/>
  <c r="KE598" i="1"/>
  <c r="KE597" i="1"/>
  <c r="KE596" i="1"/>
  <c r="KE595" i="1"/>
  <c r="KE594" i="1"/>
  <c r="KE593" i="1"/>
  <c r="KE592" i="1"/>
  <c r="KE591" i="1"/>
  <c r="KE590" i="1"/>
  <c r="KE589" i="1"/>
  <c r="KE588" i="1"/>
  <c r="KE587" i="1"/>
  <c r="KE586" i="1"/>
  <c r="KE585" i="1"/>
  <c r="KE584" i="1"/>
  <c r="KE583" i="1"/>
  <c r="KE582" i="1"/>
  <c r="KE581" i="1"/>
  <c r="KE580" i="1"/>
  <c r="KE579" i="1"/>
  <c r="KE578" i="1"/>
  <c r="KE577" i="1"/>
  <c r="KE576" i="1"/>
  <c r="KE575" i="1"/>
  <c r="KE574" i="1"/>
  <c r="KE573" i="1"/>
  <c r="KE572" i="1"/>
  <c r="KE571" i="1"/>
  <c r="KE570" i="1"/>
  <c r="KE569" i="1"/>
  <c r="KE568" i="1"/>
  <c r="KE567" i="1"/>
  <c r="KE566" i="1"/>
  <c r="KE565" i="1"/>
  <c r="KE564" i="1"/>
  <c r="KE563" i="1"/>
  <c r="KE562" i="1"/>
  <c r="KE561" i="1"/>
  <c r="KE560" i="1"/>
  <c r="KE559" i="1"/>
  <c r="KE558" i="1"/>
  <c r="KE557" i="1"/>
  <c r="KE556" i="1"/>
  <c r="KE555" i="1"/>
  <c r="KE554" i="1"/>
  <c r="KE553" i="1"/>
  <c r="KE552" i="1"/>
  <c r="KE551" i="1"/>
  <c r="KE550" i="1"/>
  <c r="KE549" i="1"/>
  <c r="KE548" i="1"/>
  <c r="KE547" i="1"/>
  <c r="KE546" i="1"/>
  <c r="KE545" i="1"/>
  <c r="KE544" i="1"/>
  <c r="KE543" i="1"/>
  <c r="KE542" i="1"/>
  <c r="KE541" i="1"/>
  <c r="KE540" i="1"/>
  <c r="KE539" i="1"/>
  <c r="KE538" i="1"/>
  <c r="KE537" i="1"/>
  <c r="KE536" i="1"/>
  <c r="KE535" i="1"/>
  <c r="KE534" i="1"/>
  <c r="KE533" i="1"/>
  <c r="KE532" i="1"/>
  <c r="KE531" i="1"/>
  <c r="KE530" i="1"/>
  <c r="KE529" i="1"/>
  <c r="KE528" i="1"/>
  <c r="KE527" i="1"/>
  <c r="KE526" i="1"/>
  <c r="KE525" i="1"/>
  <c r="KE524" i="1"/>
  <c r="KE523" i="1"/>
  <c r="KE522" i="1"/>
  <c r="KE521" i="1"/>
  <c r="KE520" i="1"/>
  <c r="KE519" i="1"/>
  <c r="KE518" i="1"/>
  <c r="KE517" i="1"/>
  <c r="KE516" i="1"/>
  <c r="KE515" i="1"/>
  <c r="KE514" i="1"/>
  <c r="KE513" i="1"/>
  <c r="KE512" i="1"/>
  <c r="KE511" i="1"/>
  <c r="KE510" i="1"/>
  <c r="KE509" i="1"/>
  <c r="KE508" i="1"/>
  <c r="KE507" i="1"/>
  <c r="KE506" i="1"/>
  <c r="KE505" i="1"/>
  <c r="KE504" i="1"/>
  <c r="KE503" i="1"/>
  <c r="KE502" i="1"/>
  <c r="KE501" i="1"/>
  <c r="KE500" i="1"/>
  <c r="KE499" i="1"/>
  <c r="KE498" i="1"/>
  <c r="KE497" i="1"/>
  <c r="KE496" i="1"/>
  <c r="KE495" i="1"/>
  <c r="KE494" i="1"/>
  <c r="KE493" i="1"/>
  <c r="KE492" i="1"/>
  <c r="KE491" i="1"/>
  <c r="KE490" i="1"/>
  <c r="KE489" i="1"/>
  <c r="KE488" i="1"/>
  <c r="KE487" i="1"/>
  <c r="KE486" i="1"/>
  <c r="KE485" i="1"/>
  <c r="KE484" i="1"/>
  <c r="KE483" i="1"/>
  <c r="KE482" i="1"/>
  <c r="KE481" i="1"/>
  <c r="KE480" i="1"/>
  <c r="KE479" i="1"/>
  <c r="KE478" i="1"/>
  <c r="KE477" i="1"/>
  <c r="KE476" i="1"/>
  <c r="KE475" i="1"/>
  <c r="KE474" i="1"/>
  <c r="KE473" i="1"/>
  <c r="KE472" i="1"/>
  <c r="KE471" i="1"/>
  <c r="KE470" i="1"/>
  <c r="KE469" i="1"/>
  <c r="KE468" i="1"/>
  <c r="KE467" i="1"/>
  <c r="KE466" i="1"/>
  <c r="KE465" i="1"/>
  <c r="KE464" i="1"/>
  <c r="KE463" i="1"/>
  <c r="KE462" i="1"/>
  <c r="KE461" i="1"/>
  <c r="KE460" i="1"/>
  <c r="KE459" i="1"/>
  <c r="KE458" i="1"/>
  <c r="KE457" i="1"/>
  <c r="KE456" i="1"/>
  <c r="KE455" i="1"/>
  <c r="KE454" i="1"/>
  <c r="KE453" i="1"/>
  <c r="KE452" i="1"/>
  <c r="KE451" i="1"/>
  <c r="KE450" i="1"/>
  <c r="KE449" i="1"/>
  <c r="KE448" i="1"/>
  <c r="KE447" i="1"/>
  <c r="KE446" i="1"/>
  <c r="KE445" i="1"/>
  <c r="KE444" i="1"/>
  <c r="KE443" i="1"/>
  <c r="KE442" i="1"/>
  <c r="KE441" i="1"/>
  <c r="KE440" i="1"/>
  <c r="KE439" i="1"/>
  <c r="KE438" i="1"/>
  <c r="KE437" i="1"/>
  <c r="KE436" i="1"/>
  <c r="KE435" i="1"/>
  <c r="KE434" i="1"/>
  <c r="KE433" i="1"/>
  <c r="KE432" i="1"/>
  <c r="KE431" i="1"/>
  <c r="KE430" i="1"/>
  <c r="KE429" i="1"/>
  <c r="KE428" i="1"/>
  <c r="KE427" i="1"/>
  <c r="KE426" i="1"/>
  <c r="KE425" i="1"/>
  <c r="KE424" i="1"/>
  <c r="KE423" i="1"/>
  <c r="KE422" i="1"/>
  <c r="KE421" i="1"/>
  <c r="KE420" i="1"/>
  <c r="KE419" i="1"/>
  <c r="KE418" i="1"/>
  <c r="KE417" i="1"/>
  <c r="KE416" i="1"/>
  <c r="KE415" i="1"/>
  <c r="KE414" i="1"/>
  <c r="KE413" i="1"/>
  <c r="KE412" i="1"/>
  <c r="KE411" i="1"/>
  <c r="KE410" i="1"/>
  <c r="KE409" i="1"/>
  <c r="KE408" i="1"/>
  <c r="KE407" i="1"/>
  <c r="KE406" i="1"/>
  <c r="KE405" i="1"/>
  <c r="KE404" i="1"/>
  <c r="KE403" i="1"/>
  <c r="KE402" i="1"/>
  <c r="KE401" i="1"/>
  <c r="KE400" i="1"/>
  <c r="KE399" i="1"/>
  <c r="KE398" i="1"/>
  <c r="KE397" i="1"/>
  <c r="KE396" i="1"/>
  <c r="KE395" i="1"/>
  <c r="KE394" i="1"/>
  <c r="KE393" i="1"/>
  <c r="KE392" i="1"/>
  <c r="KE391" i="1"/>
  <c r="KE390" i="1"/>
  <c r="KE389" i="1"/>
  <c r="KE388" i="1"/>
  <c r="KE387" i="1"/>
  <c r="KE386" i="1"/>
  <c r="KE385" i="1"/>
  <c r="KE384" i="1"/>
  <c r="KE383" i="1"/>
  <c r="KE382" i="1"/>
  <c r="KE381" i="1"/>
  <c r="KE380" i="1"/>
  <c r="KE379" i="1"/>
  <c r="KE378" i="1"/>
  <c r="KE377" i="1"/>
  <c r="KE376" i="1"/>
  <c r="KE375" i="1"/>
  <c r="KE374" i="1"/>
  <c r="KE373" i="1"/>
  <c r="KE372" i="1"/>
  <c r="KE371" i="1"/>
  <c r="KE370" i="1"/>
  <c r="KE369" i="1"/>
  <c r="KE368" i="1"/>
  <c r="KE367" i="1"/>
  <c r="KE366" i="1"/>
  <c r="KE365" i="1"/>
  <c r="KE364" i="1"/>
  <c r="KE363" i="1"/>
  <c r="KE362" i="1"/>
  <c r="KE361" i="1"/>
  <c r="KE360" i="1"/>
  <c r="KE359" i="1"/>
  <c r="KE358" i="1"/>
  <c r="KE357" i="1"/>
  <c r="KE356" i="1"/>
  <c r="KE355" i="1"/>
  <c r="KE354" i="1"/>
  <c r="KE353" i="1"/>
  <c r="KE352" i="1"/>
  <c r="KE351" i="1"/>
  <c r="KE350" i="1"/>
  <c r="KE349" i="1"/>
  <c r="KE348" i="1"/>
  <c r="KE347" i="1"/>
  <c r="KE346" i="1"/>
  <c r="KE345" i="1"/>
  <c r="KE344" i="1"/>
  <c r="KE343" i="1"/>
  <c r="KE342" i="1"/>
  <c r="KE341" i="1"/>
  <c r="KE340" i="1"/>
  <c r="KE339" i="1"/>
  <c r="KE338" i="1"/>
  <c r="KE337" i="1"/>
  <c r="KE336" i="1"/>
  <c r="KE335" i="1"/>
  <c r="KE334" i="1"/>
  <c r="KE333" i="1"/>
  <c r="KE332" i="1"/>
  <c r="KE331" i="1"/>
  <c r="KE330" i="1"/>
  <c r="KE329" i="1"/>
  <c r="KE328" i="1"/>
  <c r="KE327" i="1"/>
  <c r="KE326" i="1"/>
  <c r="KE325" i="1"/>
  <c r="KE324" i="1"/>
  <c r="KE323" i="1"/>
  <c r="KE322" i="1"/>
  <c r="KE321" i="1"/>
  <c r="KE320" i="1"/>
  <c r="KE319" i="1"/>
  <c r="KE318" i="1"/>
  <c r="KE317" i="1"/>
  <c r="KE316" i="1"/>
  <c r="KE315" i="1"/>
  <c r="KE314" i="1"/>
  <c r="KE313" i="1"/>
  <c r="KE312" i="1"/>
  <c r="KE311" i="1"/>
  <c r="KE310" i="1"/>
  <c r="KE309" i="1"/>
  <c r="KE308" i="1"/>
  <c r="KE307" i="1"/>
  <c r="KE306" i="1"/>
  <c r="KE305" i="1"/>
  <c r="KE304" i="1"/>
  <c r="KE303" i="1"/>
  <c r="KE302" i="1"/>
  <c r="KE301" i="1"/>
  <c r="KE300" i="1"/>
  <c r="KE299" i="1"/>
  <c r="KE298" i="1"/>
  <c r="KE297" i="1"/>
  <c r="KE296" i="1"/>
  <c r="KE295" i="1"/>
  <c r="KE294" i="1"/>
  <c r="KE293" i="1"/>
  <c r="KE292" i="1"/>
  <c r="KE291" i="1"/>
  <c r="KE290" i="1"/>
  <c r="KE289" i="1"/>
  <c r="KE288" i="1"/>
  <c r="KE287" i="1"/>
  <c r="KE286" i="1"/>
  <c r="KE285" i="1"/>
  <c r="KE284" i="1"/>
  <c r="KE283" i="1"/>
  <c r="KE282" i="1"/>
  <c r="KE281" i="1"/>
  <c r="KE280" i="1"/>
  <c r="KE279" i="1"/>
  <c r="KE278" i="1"/>
  <c r="KE277" i="1"/>
  <c r="KE276" i="1"/>
  <c r="KE275" i="1"/>
  <c r="KE274" i="1"/>
  <c r="KE273" i="1"/>
  <c r="KE272" i="1"/>
  <c r="KE271" i="1"/>
  <c r="KE270" i="1"/>
  <c r="KE269" i="1"/>
  <c r="KE268" i="1"/>
  <c r="KE267" i="1"/>
  <c r="KE266" i="1"/>
  <c r="KE265" i="1"/>
  <c r="KE264" i="1"/>
  <c r="KE263" i="1"/>
  <c r="KE262" i="1"/>
  <c r="KE261" i="1"/>
  <c r="KE260" i="1"/>
  <c r="KE259" i="1"/>
  <c r="KE258" i="1"/>
  <c r="KE257" i="1"/>
  <c r="KE256" i="1"/>
  <c r="KE255" i="1"/>
  <c r="KE254" i="1"/>
  <c r="KE253" i="1"/>
  <c r="KE252" i="1"/>
  <c r="KE251" i="1"/>
  <c r="KE250" i="1"/>
  <c r="KE249" i="1"/>
  <c r="KE248" i="1"/>
  <c r="KE247" i="1"/>
  <c r="KE246" i="1"/>
  <c r="KE245" i="1"/>
  <c r="KE244" i="1"/>
  <c r="KE243" i="1"/>
  <c r="KE242" i="1"/>
  <c r="KE241" i="1"/>
  <c r="KE240" i="1"/>
  <c r="KE239" i="1"/>
  <c r="KE238" i="1"/>
  <c r="KE237" i="1"/>
  <c r="KE236" i="1"/>
  <c r="KE235" i="1"/>
  <c r="KE234" i="1"/>
  <c r="KE233" i="1"/>
  <c r="KE232" i="1"/>
  <c r="KE231" i="1"/>
  <c r="KE230" i="1"/>
  <c r="KE229" i="1"/>
  <c r="KE228" i="1"/>
  <c r="KE227" i="1"/>
  <c r="KE226" i="1"/>
  <c r="KE225" i="1"/>
  <c r="KE224" i="1"/>
  <c r="KE223" i="1"/>
  <c r="KE222" i="1"/>
  <c r="KE221" i="1"/>
  <c r="KE220" i="1"/>
  <c r="KE219" i="1"/>
  <c r="KE218" i="1"/>
  <c r="KE217" i="1"/>
  <c r="KE216" i="1"/>
  <c r="KE215" i="1"/>
  <c r="KE214" i="1"/>
  <c r="KE213" i="1"/>
  <c r="KE212" i="1"/>
  <c r="KE211" i="1"/>
  <c r="KE210" i="1"/>
  <c r="KE209" i="1"/>
  <c r="KE208" i="1"/>
  <c r="KE207" i="1"/>
  <c r="KE206" i="1"/>
  <c r="KE205" i="1"/>
  <c r="KE204" i="1"/>
  <c r="KE203" i="1"/>
  <c r="KE202" i="1"/>
  <c r="KE201" i="1"/>
  <c r="KE200" i="1"/>
  <c r="KE199" i="1"/>
  <c r="KE198" i="1"/>
  <c r="KE197" i="1"/>
  <c r="KE196" i="1"/>
  <c r="KE195" i="1"/>
  <c r="KE194" i="1"/>
  <c r="KE193" i="1"/>
  <c r="KE192" i="1"/>
  <c r="KE191" i="1"/>
  <c r="KE190" i="1"/>
  <c r="KE189" i="1"/>
  <c r="KE188" i="1"/>
  <c r="KE187" i="1"/>
  <c r="KE186" i="1"/>
  <c r="KE185" i="1"/>
  <c r="KE184" i="1"/>
  <c r="KE183" i="1"/>
  <c r="KE182" i="1"/>
  <c r="KE181" i="1"/>
  <c r="KE180" i="1"/>
  <c r="KE179" i="1"/>
  <c r="KE178" i="1"/>
  <c r="KE177" i="1"/>
  <c r="KE176" i="1"/>
  <c r="KE175" i="1"/>
  <c r="KE174" i="1"/>
  <c r="KE173" i="1"/>
  <c r="KE172" i="1"/>
  <c r="KE171" i="1"/>
  <c r="KE170" i="1"/>
  <c r="KE169" i="1"/>
  <c r="KE168" i="1"/>
  <c r="KE167" i="1"/>
  <c r="KE161" i="1"/>
  <c r="KE160" i="1"/>
  <c r="KE159" i="1"/>
  <c r="KE158" i="1"/>
  <c r="KE157" i="1"/>
  <c r="KE156" i="1"/>
  <c r="KE155" i="1"/>
  <c r="KE154" i="1"/>
  <c r="KE153" i="1"/>
  <c r="KE152" i="1"/>
  <c r="KE151" i="1"/>
  <c r="KE150" i="1"/>
  <c r="KE149" i="1"/>
  <c r="KE148" i="1"/>
  <c r="KE147" i="1"/>
  <c r="KE146" i="1"/>
  <c r="KE145" i="1"/>
  <c r="KE144" i="1"/>
  <c r="KE143" i="1"/>
  <c r="KE166" i="1"/>
  <c r="KE165" i="1"/>
  <c r="KE164" i="1"/>
  <c r="KE163" i="1"/>
  <c r="KE162" i="1"/>
  <c r="KE142" i="1"/>
  <c r="KE141" i="1"/>
  <c r="KE140" i="1"/>
  <c r="KE139" i="1"/>
  <c r="KE138" i="1"/>
  <c r="KE137" i="1"/>
  <c r="KE136" i="1"/>
  <c r="KE135" i="1"/>
  <c r="KE134" i="1"/>
  <c r="KE133" i="1"/>
  <c r="KE132" i="1"/>
  <c r="KE131" i="1"/>
  <c r="KE130" i="1"/>
  <c r="KE129" i="1"/>
  <c r="KE128" i="1"/>
  <c r="KE127" i="1"/>
  <c r="KE126" i="1"/>
  <c r="KE125" i="1"/>
  <c r="KE124" i="1"/>
  <c r="KE123" i="1"/>
  <c r="KE122" i="1"/>
  <c r="KE121" i="1"/>
  <c r="KE120" i="1"/>
  <c r="KE119" i="1"/>
  <c r="KE118" i="1"/>
  <c r="KE117" i="1"/>
  <c r="KE116" i="1"/>
  <c r="KE115" i="1"/>
  <c r="KE114" i="1"/>
  <c r="KE113" i="1"/>
  <c r="KE112" i="1"/>
  <c r="KE111" i="1"/>
  <c r="KE110" i="1"/>
  <c r="KE109" i="1"/>
  <c r="KE108" i="1"/>
  <c r="KE107" i="1"/>
  <c r="KE106" i="1"/>
  <c r="KE105" i="1"/>
  <c r="KE104" i="1"/>
  <c r="KE103" i="1"/>
  <c r="KE102" i="1"/>
  <c r="KE101" i="1"/>
  <c r="KE100" i="1"/>
  <c r="KE99" i="1"/>
  <c r="KE98" i="1"/>
  <c r="KE97" i="1"/>
  <c r="KE96" i="1"/>
  <c r="KE95" i="1"/>
  <c r="KE94" i="1"/>
  <c r="KE93" i="1"/>
  <c r="KE92" i="1"/>
  <c r="KE91" i="1"/>
  <c r="KE90" i="1"/>
  <c r="KE89" i="1"/>
  <c r="KE88" i="1"/>
  <c r="KE87" i="1"/>
  <c r="KE86" i="1"/>
  <c r="KE85" i="1"/>
  <c r="KE84" i="1"/>
  <c r="KE83" i="1"/>
  <c r="KE82" i="1"/>
  <c r="KE81" i="1"/>
  <c r="KE80" i="1"/>
  <c r="KE79" i="1"/>
  <c r="KE78" i="1"/>
  <c r="KE77" i="1"/>
  <c r="KE76" i="1"/>
  <c r="KE75" i="1"/>
  <c r="KE74" i="1"/>
  <c r="KE73" i="1"/>
  <c r="KE72" i="1"/>
  <c r="KE71" i="1"/>
  <c r="KE70" i="1"/>
  <c r="KE69" i="1"/>
  <c r="KE68" i="1"/>
  <c r="KE67" i="1"/>
  <c r="KE66" i="1"/>
  <c r="KE65" i="1"/>
  <c r="KE64" i="1"/>
  <c r="KE63" i="1"/>
  <c r="KE62" i="1"/>
  <c r="KE61" i="1"/>
  <c r="KE60" i="1"/>
  <c r="KE59" i="1"/>
  <c r="KE58" i="1"/>
  <c r="KE57" i="1"/>
  <c r="KE56" i="1"/>
  <c r="KE55" i="1"/>
  <c r="KE54" i="1"/>
  <c r="KE53" i="1"/>
  <c r="KE52" i="1"/>
  <c r="KE51" i="1"/>
  <c r="KE50" i="1"/>
  <c r="KE49" i="1"/>
  <c r="KE48" i="1"/>
  <c r="KE47" i="1"/>
  <c r="KE46" i="1"/>
  <c r="KE45" i="1"/>
  <c r="KE44" i="1"/>
  <c r="KE43" i="1"/>
  <c r="KE42" i="1"/>
  <c r="KE41" i="1"/>
  <c r="KE40" i="1"/>
  <c r="KE39" i="1"/>
  <c r="KE38" i="1"/>
  <c r="KE37" i="1"/>
  <c r="KE36" i="1"/>
  <c r="KE35" i="1"/>
  <c r="KE34" i="1"/>
  <c r="KE33" i="1"/>
  <c r="KE32" i="1"/>
  <c r="KE31" i="1"/>
  <c r="KE30" i="1"/>
  <c r="KE29" i="1"/>
  <c r="KE28" i="1"/>
  <c r="KE27" i="1"/>
  <c r="KE26" i="1"/>
  <c r="KE25" i="1"/>
  <c r="KE24" i="1"/>
  <c r="KE23" i="1"/>
  <c r="KE22" i="1"/>
  <c r="KE21" i="1"/>
  <c r="KE20" i="1"/>
  <c r="KE19" i="1"/>
  <c r="KE18" i="1"/>
  <c r="KE17" i="1"/>
  <c r="KE16" i="1"/>
  <c r="KE15" i="1"/>
  <c r="KE14" i="1"/>
  <c r="KE13" i="1"/>
  <c r="KE12" i="1"/>
  <c r="KE11" i="1"/>
  <c r="KE10" i="1"/>
  <c r="KE9" i="1"/>
  <c r="KE8" i="1"/>
  <c r="KE7" i="1"/>
  <c r="KE6" i="1"/>
  <c r="KE5" i="1"/>
  <c r="KE4" i="1"/>
  <c r="KE3" i="1"/>
  <c r="KE2" i="1"/>
  <c r="KA951" i="1"/>
  <c r="KA950" i="1"/>
  <c r="KA949" i="1"/>
  <c r="KA948" i="1"/>
  <c r="KA947" i="1"/>
  <c r="KA946" i="1"/>
  <c r="KA945" i="1"/>
  <c r="KA944" i="1"/>
  <c r="KA943" i="1"/>
  <c r="KA942" i="1"/>
  <c r="KA941" i="1"/>
  <c r="KA940" i="1"/>
  <c r="KA939" i="1"/>
  <c r="KA938" i="1"/>
  <c r="KA937" i="1"/>
  <c r="KA936" i="1"/>
  <c r="KA935" i="1"/>
  <c r="KA934" i="1"/>
  <c r="KA933" i="1"/>
  <c r="KA932" i="1"/>
  <c r="KA931" i="1"/>
  <c r="KA930" i="1"/>
  <c r="KA929" i="1"/>
  <c r="KA928" i="1"/>
  <c r="KA927" i="1"/>
  <c r="KA926" i="1"/>
  <c r="KA925" i="1"/>
  <c r="KA924" i="1"/>
  <c r="KA923" i="1"/>
  <c r="KA922" i="1"/>
  <c r="KA921" i="1"/>
  <c r="KA920" i="1"/>
  <c r="KA919" i="1"/>
  <c r="KA918" i="1"/>
  <c r="KA917" i="1"/>
  <c r="KA916" i="1"/>
  <c r="KA915" i="1"/>
  <c r="KA914" i="1"/>
  <c r="KA913" i="1"/>
  <c r="KA912" i="1"/>
  <c r="KA911" i="1"/>
  <c r="KA910" i="1"/>
  <c r="KA909" i="1"/>
  <c r="KA908" i="1"/>
  <c r="KA907" i="1"/>
  <c r="KA906" i="1"/>
  <c r="KA905" i="1"/>
  <c r="KA904" i="1"/>
  <c r="KA903" i="1"/>
  <c r="KA902" i="1"/>
  <c r="KA901" i="1"/>
  <c r="KA900" i="1"/>
  <c r="KA899" i="1"/>
  <c r="KA898" i="1"/>
  <c r="KA897" i="1"/>
  <c r="KA896" i="1"/>
  <c r="KA895" i="1"/>
  <c r="KA894" i="1"/>
  <c r="KA893" i="1"/>
  <c r="KA892" i="1"/>
  <c r="KA891" i="1"/>
  <c r="KA890" i="1"/>
  <c r="KA889" i="1"/>
  <c r="KA888" i="1"/>
  <c r="KA887" i="1"/>
  <c r="KA886" i="1"/>
  <c r="KA885" i="1"/>
  <c r="KA884" i="1"/>
  <c r="KA883" i="1"/>
  <c r="KA882" i="1"/>
  <c r="KA881" i="1"/>
  <c r="KA880" i="1"/>
  <c r="KA879" i="1"/>
  <c r="KA878" i="1"/>
  <c r="KA877" i="1"/>
  <c r="KA876" i="1"/>
  <c r="KA875" i="1"/>
  <c r="KA874" i="1"/>
  <c r="KA873" i="1"/>
  <c r="KA872" i="1"/>
  <c r="KA871" i="1"/>
  <c r="KA870" i="1"/>
  <c r="KA869" i="1"/>
  <c r="KA868" i="1"/>
  <c r="KA867" i="1"/>
  <c r="KA866" i="1"/>
  <c r="KA865" i="1"/>
  <c r="KA864" i="1"/>
  <c r="KA863" i="1"/>
  <c r="KA862" i="1"/>
  <c r="KA861" i="1"/>
  <c r="KA860" i="1"/>
  <c r="KA859" i="1"/>
  <c r="KA858" i="1"/>
  <c r="KA857" i="1"/>
  <c r="KA856" i="1"/>
  <c r="KA855" i="1"/>
  <c r="KA854" i="1"/>
  <c r="KA853" i="1"/>
  <c r="KA852" i="1"/>
  <c r="KA851" i="1"/>
  <c r="KA850" i="1"/>
  <c r="KA849" i="1"/>
  <c r="KA848" i="1"/>
  <c r="KA847" i="1"/>
  <c r="KA846" i="1"/>
  <c r="KA845" i="1"/>
  <c r="KA844" i="1"/>
  <c r="KA843" i="1"/>
  <c r="KA842" i="1"/>
  <c r="KA841" i="1"/>
  <c r="KA840" i="1"/>
  <c r="KA839" i="1"/>
  <c r="KA838" i="1"/>
  <c r="KA837" i="1"/>
  <c r="KA836" i="1"/>
  <c r="KA835" i="1"/>
  <c r="KA834" i="1"/>
  <c r="KA833" i="1"/>
  <c r="KA832" i="1"/>
  <c r="KA831" i="1"/>
  <c r="KA830" i="1"/>
  <c r="KA829" i="1"/>
  <c r="KA828" i="1"/>
  <c r="KA827" i="1"/>
  <c r="KA826" i="1"/>
  <c r="KA825" i="1"/>
  <c r="KA824" i="1"/>
  <c r="KA823" i="1"/>
  <c r="KA822" i="1"/>
  <c r="KA821" i="1"/>
  <c r="KA820" i="1"/>
  <c r="KA819" i="1"/>
  <c r="KA818" i="1"/>
  <c r="KA817" i="1"/>
  <c r="KA816" i="1"/>
  <c r="KA815" i="1"/>
  <c r="KA814" i="1"/>
  <c r="KA813" i="1"/>
  <c r="KA812" i="1"/>
  <c r="KA811" i="1"/>
  <c r="KA810" i="1"/>
  <c r="KA809" i="1"/>
  <c r="KA808" i="1"/>
  <c r="KA807" i="1"/>
  <c r="KA806" i="1"/>
  <c r="KA805" i="1"/>
  <c r="KA804" i="1"/>
  <c r="KA803" i="1"/>
  <c r="KA802" i="1"/>
  <c r="KA801" i="1"/>
  <c r="KA800" i="1"/>
  <c r="KA799" i="1"/>
  <c r="KA798" i="1"/>
  <c r="KA797" i="1"/>
  <c r="KA796" i="1"/>
  <c r="KA795" i="1"/>
  <c r="KA794" i="1"/>
  <c r="KA793" i="1"/>
  <c r="KA792" i="1"/>
  <c r="KA791" i="1"/>
  <c r="KA790" i="1"/>
  <c r="KA789" i="1"/>
  <c r="KA788" i="1"/>
  <c r="KA787" i="1"/>
  <c r="KA786" i="1"/>
  <c r="KA785" i="1"/>
  <c r="KA784" i="1"/>
  <c r="KA783" i="1"/>
  <c r="KA782" i="1"/>
  <c r="KA781" i="1"/>
  <c r="KA780" i="1"/>
  <c r="KA779" i="1"/>
  <c r="KA778" i="1"/>
  <c r="KA777" i="1"/>
  <c r="KA776" i="1"/>
  <c r="KA775" i="1"/>
  <c r="KA774" i="1"/>
  <c r="KA773" i="1"/>
  <c r="KA772" i="1"/>
  <c r="KA771" i="1"/>
  <c r="KA770" i="1"/>
  <c r="KA769" i="1"/>
  <c r="KA768" i="1"/>
  <c r="KA767" i="1"/>
  <c r="KA766" i="1"/>
  <c r="KA765" i="1"/>
  <c r="KA764" i="1"/>
  <c r="KA763" i="1"/>
  <c r="KA762" i="1"/>
  <c r="KA761" i="1"/>
  <c r="KA760" i="1"/>
  <c r="KA759" i="1"/>
  <c r="KA758" i="1"/>
  <c r="KA757" i="1"/>
  <c r="KA756" i="1"/>
  <c r="KA755" i="1"/>
  <c r="KA754" i="1"/>
  <c r="KA753" i="1"/>
  <c r="KA752" i="1"/>
  <c r="KA751" i="1"/>
  <c r="KA750" i="1"/>
  <c r="KA749" i="1"/>
  <c r="KA748" i="1"/>
  <c r="KA747" i="1"/>
  <c r="KA746" i="1"/>
  <c r="KA745" i="1"/>
  <c r="KA744" i="1"/>
  <c r="KA743" i="1"/>
  <c r="KA742" i="1"/>
  <c r="KA741" i="1"/>
  <c r="KA740" i="1"/>
  <c r="KA739" i="1"/>
  <c r="KA738" i="1"/>
  <c r="KA737" i="1"/>
  <c r="KA736" i="1"/>
  <c r="KA735" i="1"/>
  <c r="KA734" i="1"/>
  <c r="KA733" i="1"/>
  <c r="KA732" i="1"/>
  <c r="KA731" i="1"/>
  <c r="KA730" i="1"/>
  <c r="KA729" i="1"/>
  <c r="KA728" i="1"/>
  <c r="KA727" i="1"/>
  <c r="KA726" i="1"/>
  <c r="KA725" i="1"/>
  <c r="KA724" i="1"/>
  <c r="KA723" i="1"/>
  <c r="KA722" i="1"/>
  <c r="KA721" i="1"/>
  <c r="KA720" i="1"/>
  <c r="KA719" i="1"/>
  <c r="KA718" i="1"/>
  <c r="KA717" i="1"/>
  <c r="KA716" i="1"/>
  <c r="KA715" i="1"/>
  <c r="KA714" i="1"/>
  <c r="KA713" i="1"/>
  <c r="KA712" i="1"/>
  <c r="KA711" i="1"/>
  <c r="KA710" i="1"/>
  <c r="KA709" i="1"/>
  <c r="KA708" i="1"/>
  <c r="KA707" i="1"/>
  <c r="KA706" i="1"/>
  <c r="KA705" i="1"/>
  <c r="KA704" i="1"/>
  <c r="KA703" i="1"/>
  <c r="KA702" i="1"/>
  <c r="KA701" i="1"/>
  <c r="KA700" i="1"/>
  <c r="KA699" i="1"/>
  <c r="KA698" i="1"/>
  <c r="KA697" i="1"/>
  <c r="KA696" i="1"/>
  <c r="KA695" i="1"/>
  <c r="KA694" i="1"/>
  <c r="KA693" i="1"/>
  <c r="KA692" i="1"/>
  <c r="KA691" i="1"/>
  <c r="KA690" i="1"/>
  <c r="KA689" i="1"/>
  <c r="KA688" i="1"/>
  <c r="KA687" i="1"/>
  <c r="KA686" i="1"/>
  <c r="KA685" i="1"/>
  <c r="KA684" i="1"/>
  <c r="KA683" i="1"/>
  <c r="KA682" i="1"/>
  <c r="KA681" i="1"/>
  <c r="KA680" i="1"/>
  <c r="KA679" i="1"/>
  <c r="KA678" i="1"/>
  <c r="KA677" i="1"/>
  <c r="KA676" i="1"/>
  <c r="KA675" i="1"/>
  <c r="KA674" i="1"/>
  <c r="KA673" i="1"/>
  <c r="KA672" i="1"/>
  <c r="KA671" i="1"/>
  <c r="KA670" i="1"/>
  <c r="KA669" i="1"/>
  <c r="KA668" i="1"/>
  <c r="KA667" i="1"/>
  <c r="KA666" i="1"/>
  <c r="KA665" i="1"/>
  <c r="KA664" i="1"/>
  <c r="KA663" i="1"/>
  <c r="KA662" i="1"/>
  <c r="KA661" i="1"/>
  <c r="KA660" i="1"/>
  <c r="KA659" i="1"/>
  <c r="KA658" i="1"/>
  <c r="KA657" i="1"/>
  <c r="KA656" i="1"/>
  <c r="KA655" i="1"/>
  <c r="KA654" i="1"/>
  <c r="KA653" i="1"/>
  <c r="KA652" i="1"/>
  <c r="KA651" i="1"/>
  <c r="KA650" i="1"/>
  <c r="KA649" i="1"/>
  <c r="KA648" i="1"/>
  <c r="KA647" i="1"/>
  <c r="KA646" i="1"/>
  <c r="KA645" i="1"/>
  <c r="KA644" i="1"/>
  <c r="KA643" i="1"/>
  <c r="KA642" i="1"/>
  <c r="KA641" i="1"/>
  <c r="KA640" i="1"/>
  <c r="KA639" i="1"/>
  <c r="KA638" i="1"/>
  <c r="KA637" i="1"/>
  <c r="KA636" i="1"/>
  <c r="KA635" i="1"/>
  <c r="KA634" i="1"/>
  <c r="KA633" i="1"/>
  <c r="KA632" i="1"/>
  <c r="KA631" i="1"/>
  <c r="KA630" i="1"/>
  <c r="KA629" i="1"/>
  <c r="KA628" i="1"/>
  <c r="KA627" i="1"/>
  <c r="KA626" i="1"/>
  <c r="KA625" i="1"/>
  <c r="KA624" i="1"/>
  <c r="KA623" i="1"/>
  <c r="KA622" i="1"/>
  <c r="KA621" i="1"/>
  <c r="KA620" i="1"/>
  <c r="KA619" i="1"/>
  <c r="KA618" i="1"/>
  <c r="KA617" i="1"/>
  <c r="KA616" i="1"/>
  <c r="KA615" i="1"/>
  <c r="KA614" i="1"/>
  <c r="KA613" i="1"/>
  <c r="KA612" i="1"/>
  <c r="KA611" i="1"/>
  <c r="KA610" i="1"/>
  <c r="KA609" i="1"/>
  <c r="KA608" i="1"/>
  <c r="KA607" i="1"/>
  <c r="KA606" i="1"/>
  <c r="KA605" i="1"/>
  <c r="KA604" i="1"/>
  <c r="KA603" i="1"/>
  <c r="KA602" i="1"/>
  <c r="KA601" i="1"/>
  <c r="KA600" i="1"/>
  <c r="KA599" i="1"/>
  <c r="KA598" i="1"/>
  <c r="KA597" i="1"/>
  <c r="KA596" i="1"/>
  <c r="KA595" i="1"/>
  <c r="KA594" i="1"/>
  <c r="KA593" i="1"/>
  <c r="KA592" i="1"/>
  <c r="KA591" i="1"/>
  <c r="KA590" i="1"/>
  <c r="KA589" i="1"/>
  <c r="KA588" i="1"/>
  <c r="KA587" i="1"/>
  <c r="KA586" i="1"/>
  <c r="KA585" i="1"/>
  <c r="KA584" i="1"/>
  <c r="KA583" i="1"/>
  <c r="KA582" i="1"/>
  <c r="KA581" i="1"/>
  <c r="KA580" i="1"/>
  <c r="KA579" i="1"/>
  <c r="KA578" i="1"/>
  <c r="KA577" i="1"/>
  <c r="KA576" i="1"/>
  <c r="KA575" i="1"/>
  <c r="KA574" i="1"/>
  <c r="KA573" i="1"/>
  <c r="KA572" i="1"/>
  <c r="KA571" i="1"/>
  <c r="KA570" i="1"/>
  <c r="KA569" i="1"/>
  <c r="KA568" i="1"/>
  <c r="KA567" i="1"/>
  <c r="KA566" i="1"/>
  <c r="KA565" i="1"/>
  <c r="KA564" i="1"/>
  <c r="KA563" i="1"/>
  <c r="KA562" i="1"/>
  <c r="KA561" i="1"/>
  <c r="KA560" i="1"/>
  <c r="KA559" i="1"/>
  <c r="KA558" i="1"/>
  <c r="KA557" i="1"/>
  <c r="KA556" i="1"/>
  <c r="KA555" i="1"/>
  <c r="KA554" i="1"/>
  <c r="KA553" i="1"/>
  <c r="KA552" i="1"/>
  <c r="KA551" i="1"/>
  <c r="KA550" i="1"/>
  <c r="KA549" i="1"/>
  <c r="KA548" i="1"/>
  <c r="KA547" i="1"/>
  <c r="KA546" i="1"/>
  <c r="KA545" i="1"/>
  <c r="KA544" i="1"/>
  <c r="KA543" i="1"/>
  <c r="KA542" i="1"/>
  <c r="KA541" i="1"/>
  <c r="KA540" i="1"/>
  <c r="KA539" i="1"/>
  <c r="KA538" i="1"/>
  <c r="KA537" i="1"/>
  <c r="KA536" i="1"/>
  <c r="KA535" i="1"/>
  <c r="KA534" i="1"/>
  <c r="KA533" i="1"/>
  <c r="KA532" i="1"/>
  <c r="KA531" i="1"/>
  <c r="KA530" i="1"/>
  <c r="KA529" i="1"/>
  <c r="KA528" i="1"/>
  <c r="KA527" i="1"/>
  <c r="KA526" i="1"/>
  <c r="KA525" i="1"/>
  <c r="KA524" i="1"/>
  <c r="KA523" i="1"/>
  <c r="KA522" i="1"/>
  <c r="KA521" i="1"/>
  <c r="KA520" i="1"/>
  <c r="KA519" i="1"/>
  <c r="KA518" i="1"/>
  <c r="KA517" i="1"/>
  <c r="KA516" i="1"/>
  <c r="KA515" i="1"/>
  <c r="KA514" i="1"/>
  <c r="KA513" i="1"/>
  <c r="KA512" i="1"/>
  <c r="KA511" i="1"/>
  <c r="KA510" i="1"/>
  <c r="KA509" i="1"/>
  <c r="KA508" i="1"/>
  <c r="KA507" i="1"/>
  <c r="KA506" i="1"/>
  <c r="KA505" i="1"/>
  <c r="KA504" i="1"/>
  <c r="KA503" i="1"/>
  <c r="KA502" i="1"/>
  <c r="KA501" i="1"/>
  <c r="KA500" i="1"/>
  <c r="KA499" i="1"/>
  <c r="KA498" i="1"/>
  <c r="KA497" i="1"/>
  <c r="KA496" i="1"/>
  <c r="KA495" i="1"/>
  <c r="KA494" i="1"/>
  <c r="KA493" i="1"/>
  <c r="KA492" i="1"/>
  <c r="KA491" i="1"/>
  <c r="KA490" i="1"/>
  <c r="KA489" i="1"/>
  <c r="KA488" i="1"/>
  <c r="KA487" i="1"/>
  <c r="KA486" i="1"/>
  <c r="KA485" i="1"/>
  <c r="KA484" i="1"/>
  <c r="KA483" i="1"/>
  <c r="KA482" i="1"/>
  <c r="KA481" i="1"/>
  <c r="KA480" i="1"/>
  <c r="KA479" i="1"/>
  <c r="KA478" i="1"/>
  <c r="KA477" i="1"/>
  <c r="KA476" i="1"/>
  <c r="KA475" i="1"/>
  <c r="KA474" i="1"/>
  <c r="KA473" i="1"/>
  <c r="KA472" i="1"/>
  <c r="KA471" i="1"/>
  <c r="KA470" i="1"/>
  <c r="KA469" i="1"/>
  <c r="KA468" i="1"/>
  <c r="KA467" i="1"/>
  <c r="KA466" i="1"/>
  <c r="KA465" i="1"/>
  <c r="KA464" i="1"/>
  <c r="KA463" i="1"/>
  <c r="KA462" i="1"/>
  <c r="KA461" i="1"/>
  <c r="KA460" i="1"/>
  <c r="KA459" i="1"/>
  <c r="KA458" i="1"/>
  <c r="KA457" i="1"/>
  <c r="KA456" i="1"/>
  <c r="KA455" i="1"/>
  <c r="KA454" i="1"/>
  <c r="KA453" i="1"/>
  <c r="KA452" i="1"/>
  <c r="KA451" i="1"/>
  <c r="KA450" i="1"/>
  <c r="KA449" i="1"/>
  <c r="KA448" i="1"/>
  <c r="KA447" i="1"/>
  <c r="KA446" i="1"/>
  <c r="KA445" i="1"/>
  <c r="KA444" i="1"/>
  <c r="KA443" i="1"/>
  <c r="KA442" i="1"/>
  <c r="KA441" i="1"/>
  <c r="KA440" i="1"/>
  <c r="KA439" i="1"/>
  <c r="KA438" i="1"/>
  <c r="KA437" i="1"/>
  <c r="KA436" i="1"/>
  <c r="KA435" i="1"/>
  <c r="KA434" i="1"/>
  <c r="KA433" i="1"/>
  <c r="KA432" i="1"/>
  <c r="KA431" i="1"/>
  <c r="KA430" i="1"/>
  <c r="KA429" i="1"/>
  <c r="KA428" i="1"/>
  <c r="KA427" i="1"/>
  <c r="KA426" i="1"/>
  <c r="KA425" i="1"/>
  <c r="KA424" i="1"/>
  <c r="KA423" i="1"/>
  <c r="KA422" i="1"/>
  <c r="KA421" i="1"/>
  <c r="KA420" i="1"/>
  <c r="KA419" i="1"/>
  <c r="KA418" i="1"/>
  <c r="KA417" i="1"/>
  <c r="KA416" i="1"/>
  <c r="KA415" i="1"/>
  <c r="KA414" i="1"/>
  <c r="KA413" i="1"/>
  <c r="KA412" i="1"/>
  <c r="KA411" i="1"/>
  <c r="KA410" i="1"/>
  <c r="KA409" i="1"/>
  <c r="KA408" i="1"/>
  <c r="KA407" i="1"/>
  <c r="KA406" i="1"/>
  <c r="KA405" i="1"/>
  <c r="KA404" i="1"/>
  <c r="KA403" i="1"/>
  <c r="KA402" i="1"/>
  <c r="KA401" i="1"/>
  <c r="KA400" i="1"/>
  <c r="KA399" i="1"/>
  <c r="KA398" i="1"/>
  <c r="KA397" i="1"/>
  <c r="KA396" i="1"/>
  <c r="KA395" i="1"/>
  <c r="KA394" i="1"/>
  <c r="KA393" i="1"/>
  <c r="KA392" i="1"/>
  <c r="KA391" i="1"/>
  <c r="KA390" i="1"/>
  <c r="KA389" i="1"/>
  <c r="KA388" i="1"/>
  <c r="KA387" i="1"/>
  <c r="KA386" i="1"/>
  <c r="KA385" i="1"/>
  <c r="KA384" i="1"/>
  <c r="KA383" i="1"/>
  <c r="KA382" i="1"/>
  <c r="KA381" i="1"/>
  <c r="KA380" i="1"/>
  <c r="KA379" i="1"/>
  <c r="KA378" i="1"/>
  <c r="KA377" i="1"/>
  <c r="KA376" i="1"/>
  <c r="KA375" i="1"/>
  <c r="KA374" i="1"/>
  <c r="KA373" i="1"/>
  <c r="KA372" i="1"/>
  <c r="KA371" i="1"/>
  <c r="KA370" i="1"/>
  <c r="KA369" i="1"/>
  <c r="KA368" i="1"/>
  <c r="KA367" i="1"/>
  <c r="KA366" i="1"/>
  <c r="KA365" i="1"/>
  <c r="KA364" i="1"/>
  <c r="KA363" i="1"/>
  <c r="KA362" i="1"/>
  <c r="KA361" i="1"/>
  <c r="KA360" i="1"/>
  <c r="KA359" i="1"/>
  <c r="KA358" i="1"/>
  <c r="KA357" i="1"/>
  <c r="KA356" i="1"/>
  <c r="KA355" i="1"/>
  <c r="KA354" i="1"/>
  <c r="KA353" i="1"/>
  <c r="KA352" i="1"/>
  <c r="KA351" i="1"/>
  <c r="KA350" i="1"/>
  <c r="KA349" i="1"/>
  <c r="KA348" i="1"/>
  <c r="KA347" i="1"/>
  <c r="KA346" i="1"/>
  <c r="KA345" i="1"/>
  <c r="KA344" i="1"/>
  <c r="KA343" i="1"/>
  <c r="KA342" i="1"/>
  <c r="KA341" i="1"/>
  <c r="KA340" i="1"/>
  <c r="KA339" i="1"/>
  <c r="KA338" i="1"/>
  <c r="KA337" i="1"/>
  <c r="KA336" i="1"/>
  <c r="KA335" i="1"/>
  <c r="KA334" i="1"/>
  <c r="KA333" i="1"/>
  <c r="KA332" i="1"/>
  <c r="KA331" i="1"/>
  <c r="KA330" i="1"/>
  <c r="KA329" i="1"/>
  <c r="KA328" i="1"/>
  <c r="KA327" i="1"/>
  <c r="KA326" i="1"/>
  <c r="KA325" i="1"/>
  <c r="KA324" i="1"/>
  <c r="KA323" i="1"/>
  <c r="KA322" i="1"/>
  <c r="KA321" i="1"/>
  <c r="KA320" i="1"/>
  <c r="KA319" i="1"/>
  <c r="KA318" i="1"/>
  <c r="KA317" i="1"/>
  <c r="KA316" i="1"/>
  <c r="KA315" i="1"/>
  <c r="KA314" i="1"/>
  <c r="KA313" i="1"/>
  <c r="KA312" i="1"/>
  <c r="KA311" i="1"/>
  <c r="KA310" i="1"/>
  <c r="KA309" i="1"/>
  <c r="KA308" i="1"/>
  <c r="KA307" i="1"/>
  <c r="KA306" i="1"/>
  <c r="KA305" i="1"/>
  <c r="KA304" i="1"/>
  <c r="KA303" i="1"/>
  <c r="KA302" i="1"/>
  <c r="KA301" i="1"/>
  <c r="KA300" i="1"/>
  <c r="KA299" i="1"/>
  <c r="KA298" i="1"/>
  <c r="KA297" i="1"/>
  <c r="KA296" i="1"/>
  <c r="KA295" i="1"/>
  <c r="KA294" i="1"/>
  <c r="KA293" i="1"/>
  <c r="KA292" i="1"/>
  <c r="KA291" i="1"/>
  <c r="KA290" i="1"/>
  <c r="KA289" i="1"/>
  <c r="KA288" i="1"/>
  <c r="KA287" i="1"/>
  <c r="KA286" i="1"/>
  <c r="KA285" i="1"/>
  <c r="KA284" i="1"/>
  <c r="KA283" i="1"/>
  <c r="KA282" i="1"/>
  <c r="KA281" i="1"/>
  <c r="KA280" i="1"/>
  <c r="KA279" i="1"/>
  <c r="KA278" i="1"/>
  <c r="KA277" i="1"/>
  <c r="KA276" i="1"/>
  <c r="KA275" i="1"/>
  <c r="KA274" i="1"/>
  <c r="KA273" i="1"/>
  <c r="KA272" i="1"/>
  <c r="KA271" i="1"/>
  <c r="KA270" i="1"/>
  <c r="KA269" i="1"/>
  <c r="KA268" i="1"/>
  <c r="KA267" i="1"/>
  <c r="KA266" i="1"/>
  <c r="KA265" i="1"/>
  <c r="KA264" i="1"/>
  <c r="KA263" i="1"/>
  <c r="KA262" i="1"/>
  <c r="KA261" i="1"/>
  <c r="KA260" i="1"/>
  <c r="KA259" i="1"/>
  <c r="KA258" i="1"/>
  <c r="KA257" i="1"/>
  <c r="KA256" i="1"/>
  <c r="KA255" i="1"/>
  <c r="KA254" i="1"/>
  <c r="KA253" i="1"/>
  <c r="KA252" i="1"/>
  <c r="KA251" i="1"/>
  <c r="KA250" i="1"/>
  <c r="KA249" i="1"/>
  <c r="KA248" i="1"/>
  <c r="KA247" i="1"/>
  <c r="KA246" i="1"/>
  <c r="KA245" i="1"/>
  <c r="KA244" i="1"/>
  <c r="KA243" i="1"/>
  <c r="KA242" i="1"/>
  <c r="KA241" i="1"/>
  <c r="KA240" i="1"/>
  <c r="KA239" i="1"/>
  <c r="KA238" i="1"/>
  <c r="KA237" i="1"/>
  <c r="KA236" i="1"/>
  <c r="KA235" i="1"/>
  <c r="KA234" i="1"/>
  <c r="KA233" i="1"/>
  <c r="KA232" i="1"/>
  <c r="KA231" i="1"/>
  <c r="KA230" i="1"/>
  <c r="KA229" i="1"/>
  <c r="KA228" i="1"/>
  <c r="KA227" i="1"/>
  <c r="KA226" i="1"/>
  <c r="KA225" i="1"/>
  <c r="KA224" i="1"/>
  <c r="KA223" i="1"/>
  <c r="KA222" i="1"/>
  <c r="KA221" i="1"/>
  <c r="KA220" i="1"/>
  <c r="KA219" i="1"/>
  <c r="KA218" i="1"/>
  <c r="KA217" i="1"/>
  <c r="KA216" i="1"/>
  <c r="KA215" i="1"/>
  <c r="KA214" i="1"/>
  <c r="KA213" i="1"/>
  <c r="KA212" i="1"/>
  <c r="KA211" i="1"/>
  <c r="KA210" i="1"/>
  <c r="KA209" i="1"/>
  <c r="KA208" i="1"/>
  <c r="KA207" i="1"/>
  <c r="KA206" i="1"/>
  <c r="KA205" i="1"/>
  <c r="KA204" i="1"/>
  <c r="KA203" i="1"/>
  <c r="KA202" i="1"/>
  <c r="KA201" i="1"/>
  <c r="KA200" i="1"/>
  <c r="KA199" i="1"/>
  <c r="KA198" i="1"/>
  <c r="KA197" i="1"/>
  <c r="KA196" i="1"/>
  <c r="KA195" i="1"/>
  <c r="KA194" i="1"/>
  <c r="KA193" i="1"/>
  <c r="KA192" i="1"/>
  <c r="KA191" i="1"/>
  <c r="KA190" i="1"/>
  <c r="KA189" i="1"/>
  <c r="KA188" i="1"/>
  <c r="KA187" i="1"/>
  <c r="KA186" i="1"/>
  <c r="KA185" i="1"/>
  <c r="KA184" i="1"/>
  <c r="KA183" i="1"/>
  <c r="KA182" i="1"/>
  <c r="KA181" i="1"/>
  <c r="KA180" i="1"/>
  <c r="KA179" i="1"/>
  <c r="KA178" i="1"/>
  <c r="KA177" i="1"/>
  <c r="KA176" i="1"/>
  <c r="KA175" i="1"/>
  <c r="KA174" i="1"/>
  <c r="KA173" i="1"/>
  <c r="KA172" i="1"/>
  <c r="KA171" i="1"/>
  <c r="KA170" i="1"/>
  <c r="KA169" i="1"/>
  <c r="KA168" i="1"/>
  <c r="KA167" i="1"/>
  <c r="KA161" i="1"/>
  <c r="KA160" i="1"/>
  <c r="KA159" i="1"/>
  <c r="KA158" i="1"/>
  <c r="KA157" i="1"/>
  <c r="KA156" i="1"/>
  <c r="KA155" i="1"/>
  <c r="KA154" i="1"/>
  <c r="KA153" i="1"/>
  <c r="KA152" i="1"/>
  <c r="KA151" i="1"/>
  <c r="KA150" i="1"/>
  <c r="KA149" i="1"/>
  <c r="KA148" i="1"/>
  <c r="KA147" i="1"/>
  <c r="KA146" i="1"/>
  <c r="KA145" i="1"/>
  <c r="KA144" i="1"/>
  <c r="KA143" i="1"/>
  <c r="KA166" i="1"/>
  <c r="KA165" i="1"/>
  <c r="KA164" i="1"/>
  <c r="KA163" i="1"/>
  <c r="KA162" i="1"/>
  <c r="KA142" i="1"/>
  <c r="KA141" i="1"/>
  <c r="KA140" i="1"/>
  <c r="KA139" i="1"/>
  <c r="KA138" i="1"/>
  <c r="KA137" i="1"/>
  <c r="KA136" i="1"/>
  <c r="KA135" i="1"/>
  <c r="KA134" i="1"/>
  <c r="KA133" i="1"/>
  <c r="KA132" i="1"/>
  <c r="KA131" i="1"/>
  <c r="KA130" i="1"/>
  <c r="KA129" i="1"/>
  <c r="KA128" i="1"/>
  <c r="KA127" i="1"/>
  <c r="KA126" i="1"/>
  <c r="KA125" i="1"/>
  <c r="KA124" i="1"/>
  <c r="KA123" i="1"/>
  <c r="KA122" i="1"/>
  <c r="KA121" i="1"/>
  <c r="KA120" i="1"/>
  <c r="KA119" i="1"/>
  <c r="KA118" i="1"/>
  <c r="KA117" i="1"/>
  <c r="KA116" i="1"/>
  <c r="KA115" i="1"/>
  <c r="KA114" i="1"/>
  <c r="KA113" i="1"/>
  <c r="KA112" i="1"/>
  <c r="KA111" i="1"/>
  <c r="KA110" i="1"/>
  <c r="KA109" i="1"/>
  <c r="KA108" i="1"/>
  <c r="KA107" i="1"/>
  <c r="KA106" i="1"/>
  <c r="KA105" i="1"/>
  <c r="KA104" i="1"/>
  <c r="KA103" i="1"/>
  <c r="KA102" i="1"/>
  <c r="KA101" i="1"/>
  <c r="KA100" i="1"/>
  <c r="KA99" i="1"/>
  <c r="KA98" i="1"/>
  <c r="KA97" i="1"/>
  <c r="KA96" i="1"/>
  <c r="KA95" i="1"/>
  <c r="KA94" i="1"/>
  <c r="KA93" i="1"/>
  <c r="KA92" i="1"/>
  <c r="KA91" i="1"/>
  <c r="KA90" i="1"/>
  <c r="KA89" i="1"/>
  <c r="KA88" i="1"/>
  <c r="KA87" i="1"/>
  <c r="KA86" i="1"/>
  <c r="KA85" i="1"/>
  <c r="KA84" i="1"/>
  <c r="KA83" i="1"/>
  <c r="KA82" i="1"/>
  <c r="KA81" i="1"/>
  <c r="KA80" i="1"/>
  <c r="KA79" i="1"/>
  <c r="KA78" i="1"/>
  <c r="KA77" i="1"/>
  <c r="KA76" i="1"/>
  <c r="KA75" i="1"/>
  <c r="KA74" i="1"/>
  <c r="KA73" i="1"/>
  <c r="KA72" i="1"/>
  <c r="KA71" i="1"/>
  <c r="KA70" i="1"/>
  <c r="KA69" i="1"/>
  <c r="KA68" i="1"/>
  <c r="KA67" i="1"/>
  <c r="KA66" i="1"/>
  <c r="KA65" i="1"/>
  <c r="KA64" i="1"/>
  <c r="KA63" i="1"/>
  <c r="KA62" i="1"/>
  <c r="KA61" i="1"/>
  <c r="KA60" i="1"/>
  <c r="KA59" i="1"/>
  <c r="KA58" i="1"/>
  <c r="KA57" i="1"/>
  <c r="KA56" i="1"/>
  <c r="KA55" i="1"/>
  <c r="KA54" i="1"/>
  <c r="KA53" i="1"/>
  <c r="KA52" i="1"/>
  <c r="KA51" i="1"/>
  <c r="KA50" i="1"/>
  <c r="KA49" i="1"/>
  <c r="KA48" i="1"/>
  <c r="KA47" i="1"/>
  <c r="KA46" i="1"/>
  <c r="KA45" i="1"/>
  <c r="KA44" i="1"/>
  <c r="KA43" i="1"/>
  <c r="KA42" i="1"/>
  <c r="KA41" i="1"/>
  <c r="KA40" i="1"/>
  <c r="KA39" i="1"/>
  <c r="KA38" i="1"/>
  <c r="KA37" i="1"/>
  <c r="KA36" i="1"/>
  <c r="KA35" i="1"/>
  <c r="KA34" i="1"/>
  <c r="KA33" i="1"/>
  <c r="KA32" i="1"/>
  <c r="KA31" i="1"/>
  <c r="KA30" i="1"/>
  <c r="KA29" i="1"/>
  <c r="KA28" i="1"/>
  <c r="KA27" i="1"/>
  <c r="KA26" i="1"/>
  <c r="KA25" i="1"/>
  <c r="KA24" i="1"/>
  <c r="KA23" i="1"/>
  <c r="KA22" i="1"/>
  <c r="KA21" i="1"/>
  <c r="KA20" i="1"/>
  <c r="KA19" i="1"/>
  <c r="KA18" i="1"/>
  <c r="KA17" i="1"/>
  <c r="KA16" i="1"/>
  <c r="KA15" i="1"/>
  <c r="KA14" i="1"/>
  <c r="KA13" i="1"/>
  <c r="KA12" i="1"/>
  <c r="KA11" i="1"/>
  <c r="KA10" i="1"/>
  <c r="KA9" i="1"/>
  <c r="KA8" i="1"/>
  <c r="KA7" i="1"/>
  <c r="KA6" i="1"/>
  <c r="KA5" i="1"/>
  <c r="KA4" i="1"/>
  <c r="KA3" i="1"/>
  <c r="KA2" i="1"/>
  <c r="JW951" i="1"/>
  <c r="JW950" i="1"/>
  <c r="JW949" i="1"/>
  <c r="JW948" i="1"/>
  <c r="JW947" i="1"/>
  <c r="JW946" i="1"/>
  <c r="JW945" i="1"/>
  <c r="JW944" i="1"/>
  <c r="JW943" i="1"/>
  <c r="JW942" i="1"/>
  <c r="JW941" i="1"/>
  <c r="JW940" i="1"/>
  <c r="JW939" i="1"/>
  <c r="JW938" i="1"/>
  <c r="JW937" i="1"/>
  <c r="JW936" i="1"/>
  <c r="JW935" i="1"/>
  <c r="JW934" i="1"/>
  <c r="JW933" i="1"/>
  <c r="JW932" i="1"/>
  <c r="JW931" i="1"/>
  <c r="JW930" i="1"/>
  <c r="JW929" i="1"/>
  <c r="JW928" i="1"/>
  <c r="JW927" i="1"/>
  <c r="JW926" i="1"/>
  <c r="JW925" i="1"/>
  <c r="JW924" i="1"/>
  <c r="JW923" i="1"/>
  <c r="JW922" i="1"/>
  <c r="JW921" i="1"/>
  <c r="JW920" i="1"/>
  <c r="JW919" i="1"/>
  <c r="JW918" i="1"/>
  <c r="JW917" i="1"/>
  <c r="JW916" i="1"/>
  <c r="JW915" i="1"/>
  <c r="JW914" i="1"/>
  <c r="JW913" i="1"/>
  <c r="JW912" i="1"/>
  <c r="JW911" i="1"/>
  <c r="JW910" i="1"/>
  <c r="JW909" i="1"/>
  <c r="JW908" i="1"/>
  <c r="JW907" i="1"/>
  <c r="JW906" i="1"/>
  <c r="JW905" i="1"/>
  <c r="JW904" i="1"/>
  <c r="JW903" i="1"/>
  <c r="JW902" i="1"/>
  <c r="JW901" i="1"/>
  <c r="JW900" i="1"/>
  <c r="JW899" i="1"/>
  <c r="JW898" i="1"/>
  <c r="JW897" i="1"/>
  <c r="JW896" i="1"/>
  <c r="JW895" i="1"/>
  <c r="JW894" i="1"/>
  <c r="JW893" i="1"/>
  <c r="JW892" i="1"/>
  <c r="JW891" i="1"/>
  <c r="JW890" i="1"/>
  <c r="JW889" i="1"/>
  <c r="JW888" i="1"/>
  <c r="JW887" i="1"/>
  <c r="JW886" i="1"/>
  <c r="JW885" i="1"/>
  <c r="JW884" i="1"/>
  <c r="JW883" i="1"/>
  <c r="JW882" i="1"/>
  <c r="JW881" i="1"/>
  <c r="JW880" i="1"/>
  <c r="JW879" i="1"/>
  <c r="JW878" i="1"/>
  <c r="JW877" i="1"/>
  <c r="JW876" i="1"/>
  <c r="JW875" i="1"/>
  <c r="JW874" i="1"/>
  <c r="JW873" i="1"/>
  <c r="JW872" i="1"/>
  <c r="JW871" i="1"/>
  <c r="JW870" i="1"/>
  <c r="JW869" i="1"/>
  <c r="JW868" i="1"/>
  <c r="JW867" i="1"/>
  <c r="JW866" i="1"/>
  <c r="JW865" i="1"/>
  <c r="JW864" i="1"/>
  <c r="JW863" i="1"/>
  <c r="JW862" i="1"/>
  <c r="JW861" i="1"/>
  <c r="JW860" i="1"/>
  <c r="JW859" i="1"/>
  <c r="JW858" i="1"/>
  <c r="JW857" i="1"/>
  <c r="JW856" i="1"/>
  <c r="JW855" i="1"/>
  <c r="JW854" i="1"/>
  <c r="JW853" i="1"/>
  <c r="JW852" i="1"/>
  <c r="JW851" i="1"/>
  <c r="JW850" i="1"/>
  <c r="JW849" i="1"/>
  <c r="JW848" i="1"/>
  <c r="JW847" i="1"/>
  <c r="JW846" i="1"/>
  <c r="JW845" i="1"/>
  <c r="JW844" i="1"/>
  <c r="JW843" i="1"/>
  <c r="JW842" i="1"/>
  <c r="JW841" i="1"/>
  <c r="JW840" i="1"/>
  <c r="JW839" i="1"/>
  <c r="JW838" i="1"/>
  <c r="JW837" i="1"/>
  <c r="JW836" i="1"/>
  <c r="JW835" i="1"/>
  <c r="JW834" i="1"/>
  <c r="JW833" i="1"/>
  <c r="JW832" i="1"/>
  <c r="JW831" i="1"/>
  <c r="JW830" i="1"/>
  <c r="JW829" i="1"/>
  <c r="JW828" i="1"/>
  <c r="JW827" i="1"/>
  <c r="JW826" i="1"/>
  <c r="JW825" i="1"/>
  <c r="JW824" i="1"/>
  <c r="JW823" i="1"/>
  <c r="JW822" i="1"/>
  <c r="JW821" i="1"/>
  <c r="JW820" i="1"/>
  <c r="JW819" i="1"/>
  <c r="JW818" i="1"/>
  <c r="JW817" i="1"/>
  <c r="JW816" i="1"/>
  <c r="JW815" i="1"/>
  <c r="JW814" i="1"/>
  <c r="JW813" i="1"/>
  <c r="JW812" i="1"/>
  <c r="JW811" i="1"/>
  <c r="JW810" i="1"/>
  <c r="JW809" i="1"/>
  <c r="JW808" i="1"/>
  <c r="JW807" i="1"/>
  <c r="JW806" i="1"/>
  <c r="JW805" i="1"/>
  <c r="JW804" i="1"/>
  <c r="JW803" i="1"/>
  <c r="JW802" i="1"/>
  <c r="JW801" i="1"/>
  <c r="JW800" i="1"/>
  <c r="JW799" i="1"/>
  <c r="JW798" i="1"/>
  <c r="JW797" i="1"/>
  <c r="JW796" i="1"/>
  <c r="JW795" i="1"/>
  <c r="JW794" i="1"/>
  <c r="JW793" i="1"/>
  <c r="JW792" i="1"/>
  <c r="JW791" i="1"/>
  <c r="JW790" i="1"/>
  <c r="JW789" i="1"/>
  <c r="JW788" i="1"/>
  <c r="JW787" i="1"/>
  <c r="JW786" i="1"/>
  <c r="JW785" i="1"/>
  <c r="JW784" i="1"/>
  <c r="JW783" i="1"/>
  <c r="JW782" i="1"/>
  <c r="JW781" i="1"/>
  <c r="JW780" i="1"/>
  <c r="JW779" i="1"/>
  <c r="JW778" i="1"/>
  <c r="JW777" i="1"/>
  <c r="JW776" i="1"/>
  <c r="JW775" i="1"/>
  <c r="JW774" i="1"/>
  <c r="JW773" i="1"/>
  <c r="JW772" i="1"/>
  <c r="JW771" i="1"/>
  <c r="JW770" i="1"/>
  <c r="JW769" i="1"/>
  <c r="JW768" i="1"/>
  <c r="JW767" i="1"/>
  <c r="JW766" i="1"/>
  <c r="JW765" i="1"/>
  <c r="JW764" i="1"/>
  <c r="JW763" i="1"/>
  <c r="JW762" i="1"/>
  <c r="JW761" i="1"/>
  <c r="JW760" i="1"/>
  <c r="JW759" i="1"/>
  <c r="JW758" i="1"/>
  <c r="JW757" i="1"/>
  <c r="JW756" i="1"/>
  <c r="JW755" i="1"/>
  <c r="JW754" i="1"/>
  <c r="JW753" i="1"/>
  <c r="JW752" i="1"/>
  <c r="JW751" i="1"/>
  <c r="JW750" i="1"/>
  <c r="JW749" i="1"/>
  <c r="JW748" i="1"/>
  <c r="JW747" i="1"/>
  <c r="JW746" i="1"/>
  <c r="JW745" i="1"/>
  <c r="JW744" i="1"/>
  <c r="JW743" i="1"/>
  <c r="JW742" i="1"/>
  <c r="JW741" i="1"/>
  <c r="JW740" i="1"/>
  <c r="JW739" i="1"/>
  <c r="JW738" i="1"/>
  <c r="JW737" i="1"/>
  <c r="JW736" i="1"/>
  <c r="JW735" i="1"/>
  <c r="JW734" i="1"/>
  <c r="JW733" i="1"/>
  <c r="JW732" i="1"/>
  <c r="JW731" i="1"/>
  <c r="JW730" i="1"/>
  <c r="JW729" i="1"/>
  <c r="JW728" i="1"/>
  <c r="JW727" i="1"/>
  <c r="JW726" i="1"/>
  <c r="JW725" i="1"/>
  <c r="JW724" i="1"/>
  <c r="JW723" i="1"/>
  <c r="JW722" i="1"/>
  <c r="JW721" i="1"/>
  <c r="JW720" i="1"/>
  <c r="JW719" i="1"/>
  <c r="JW718" i="1"/>
  <c r="JW717" i="1"/>
  <c r="JW716" i="1"/>
  <c r="JW715" i="1"/>
  <c r="JW714" i="1"/>
  <c r="JW713" i="1"/>
  <c r="JW712" i="1"/>
  <c r="JW711" i="1"/>
  <c r="JW710" i="1"/>
  <c r="JW709" i="1"/>
  <c r="JW708" i="1"/>
  <c r="JW707" i="1"/>
  <c r="JW706" i="1"/>
  <c r="JW705" i="1"/>
  <c r="JW704" i="1"/>
  <c r="JW703" i="1"/>
  <c r="JW702" i="1"/>
  <c r="JW701" i="1"/>
  <c r="JW700" i="1"/>
  <c r="JW699" i="1"/>
  <c r="JW698" i="1"/>
  <c r="JW697" i="1"/>
  <c r="JW696" i="1"/>
  <c r="JW695" i="1"/>
  <c r="JW694" i="1"/>
  <c r="JW693" i="1"/>
  <c r="JW692" i="1"/>
  <c r="JW691" i="1"/>
  <c r="JW690" i="1"/>
  <c r="JW689" i="1"/>
  <c r="JW688" i="1"/>
  <c r="JW687" i="1"/>
  <c r="JW686" i="1"/>
  <c r="JW685" i="1"/>
  <c r="JW684" i="1"/>
  <c r="JW683" i="1"/>
  <c r="JW682" i="1"/>
  <c r="JW681" i="1"/>
  <c r="JW680" i="1"/>
  <c r="JW679" i="1"/>
  <c r="JW678" i="1"/>
  <c r="JW677" i="1"/>
  <c r="JW676" i="1"/>
  <c r="JW675" i="1"/>
  <c r="JW674" i="1"/>
  <c r="JW673" i="1"/>
  <c r="JW672" i="1"/>
  <c r="JW671" i="1"/>
  <c r="JW670" i="1"/>
  <c r="JW669" i="1"/>
  <c r="JW668" i="1"/>
  <c r="JW667" i="1"/>
  <c r="JW666" i="1"/>
  <c r="JW665" i="1"/>
  <c r="JW664" i="1"/>
  <c r="JW663" i="1"/>
  <c r="JW662" i="1"/>
  <c r="JW661" i="1"/>
  <c r="JW660" i="1"/>
  <c r="JW659" i="1"/>
  <c r="JW658" i="1"/>
  <c r="JW657" i="1"/>
  <c r="JW656" i="1"/>
  <c r="JW655" i="1"/>
  <c r="JW654" i="1"/>
  <c r="JW653" i="1"/>
  <c r="JW652" i="1"/>
  <c r="JW651" i="1"/>
  <c r="JW650" i="1"/>
  <c r="JW649" i="1"/>
  <c r="JW648" i="1"/>
  <c r="JW647" i="1"/>
  <c r="JW646" i="1"/>
  <c r="JW645" i="1"/>
  <c r="JW644" i="1"/>
  <c r="JW643" i="1"/>
  <c r="JW642" i="1"/>
  <c r="JW641" i="1"/>
  <c r="JW640" i="1"/>
  <c r="JW639" i="1"/>
  <c r="JW638" i="1"/>
  <c r="JW637" i="1"/>
  <c r="JW636" i="1"/>
  <c r="JW635" i="1"/>
  <c r="JW634" i="1"/>
  <c r="JW633" i="1"/>
  <c r="JW632" i="1"/>
  <c r="JW631" i="1"/>
  <c r="JW630" i="1"/>
  <c r="JW629" i="1"/>
  <c r="JW628" i="1"/>
  <c r="JW627" i="1"/>
  <c r="JW626" i="1"/>
  <c r="JW625" i="1"/>
  <c r="JW624" i="1"/>
  <c r="JW623" i="1"/>
  <c r="JW622" i="1"/>
  <c r="JW621" i="1"/>
  <c r="JW620" i="1"/>
  <c r="JW619" i="1"/>
  <c r="JW618" i="1"/>
  <c r="JW617" i="1"/>
  <c r="JW616" i="1"/>
  <c r="JW615" i="1"/>
  <c r="JW614" i="1"/>
  <c r="JW613" i="1"/>
  <c r="JW612" i="1"/>
  <c r="JW611" i="1"/>
  <c r="JW610" i="1"/>
  <c r="JW609" i="1"/>
  <c r="JW608" i="1"/>
  <c r="JW607" i="1"/>
  <c r="JW606" i="1"/>
  <c r="JW605" i="1"/>
  <c r="JW604" i="1"/>
  <c r="JW603" i="1"/>
  <c r="JW602" i="1"/>
  <c r="JW601" i="1"/>
  <c r="JW600" i="1"/>
  <c r="JW599" i="1"/>
  <c r="JW598" i="1"/>
  <c r="JW597" i="1"/>
  <c r="JW596" i="1"/>
  <c r="JW595" i="1"/>
  <c r="JW594" i="1"/>
  <c r="JW593" i="1"/>
  <c r="JW592" i="1"/>
  <c r="JW591" i="1"/>
  <c r="JW590" i="1"/>
  <c r="JW589" i="1"/>
  <c r="JW588" i="1"/>
  <c r="JW587" i="1"/>
  <c r="JW586" i="1"/>
  <c r="JW585" i="1"/>
  <c r="JW584" i="1"/>
  <c r="JW583" i="1"/>
  <c r="JW582" i="1"/>
  <c r="JW581" i="1"/>
  <c r="JW580" i="1"/>
  <c r="JW579" i="1"/>
  <c r="JW578" i="1"/>
  <c r="JW577" i="1"/>
  <c r="JW576" i="1"/>
  <c r="JW575" i="1"/>
  <c r="JW574" i="1"/>
  <c r="JW573" i="1"/>
  <c r="JW572" i="1"/>
  <c r="JW571" i="1"/>
  <c r="JW570" i="1"/>
  <c r="JW569" i="1"/>
  <c r="JW568" i="1"/>
  <c r="JW567" i="1"/>
  <c r="JW566" i="1"/>
  <c r="JW565" i="1"/>
  <c r="JW564" i="1"/>
  <c r="JW563" i="1"/>
  <c r="JW562" i="1"/>
  <c r="JW561" i="1"/>
  <c r="JW560" i="1"/>
  <c r="JW559" i="1"/>
  <c r="JW558" i="1"/>
  <c r="JW557" i="1"/>
  <c r="JW556" i="1"/>
  <c r="JW555" i="1"/>
  <c r="JW554" i="1"/>
  <c r="JW553" i="1"/>
  <c r="JW552" i="1"/>
  <c r="JW551" i="1"/>
  <c r="JW550" i="1"/>
  <c r="JW549" i="1"/>
  <c r="JW548" i="1"/>
  <c r="JW547" i="1"/>
  <c r="JW546" i="1"/>
  <c r="JW545" i="1"/>
  <c r="JW544" i="1"/>
  <c r="JW543" i="1"/>
  <c r="JW542" i="1"/>
  <c r="JW541" i="1"/>
  <c r="JW540" i="1"/>
  <c r="JW539" i="1"/>
  <c r="JW538" i="1"/>
  <c r="JW537" i="1"/>
  <c r="JW536" i="1"/>
  <c r="JW535" i="1"/>
  <c r="JW534" i="1"/>
  <c r="JW533" i="1"/>
  <c r="JW532" i="1"/>
  <c r="JW531" i="1"/>
  <c r="JW530" i="1"/>
  <c r="JW529" i="1"/>
  <c r="JW528" i="1"/>
  <c r="JW527" i="1"/>
  <c r="JW526" i="1"/>
  <c r="JW525" i="1"/>
  <c r="JW524" i="1"/>
  <c r="JW523" i="1"/>
  <c r="JW522" i="1"/>
  <c r="JW521" i="1"/>
  <c r="JW520" i="1"/>
  <c r="JW519" i="1"/>
  <c r="JW518" i="1"/>
  <c r="JW517" i="1"/>
  <c r="JW516" i="1"/>
  <c r="JW515" i="1"/>
  <c r="JW514" i="1"/>
  <c r="JW513" i="1"/>
  <c r="JW512" i="1"/>
  <c r="JW511" i="1"/>
  <c r="JW510" i="1"/>
  <c r="JW509" i="1"/>
  <c r="JW508" i="1"/>
  <c r="JW507" i="1"/>
  <c r="JW506" i="1"/>
  <c r="JW505" i="1"/>
  <c r="JW504" i="1"/>
  <c r="JW503" i="1"/>
  <c r="JW502" i="1"/>
  <c r="JW501" i="1"/>
  <c r="JW500" i="1"/>
  <c r="JW499" i="1"/>
  <c r="JW498" i="1"/>
  <c r="JW497" i="1"/>
  <c r="JW496" i="1"/>
  <c r="JW495" i="1"/>
  <c r="JW494" i="1"/>
  <c r="JW493" i="1"/>
  <c r="JW492" i="1"/>
  <c r="JW491" i="1"/>
  <c r="JW490" i="1"/>
  <c r="JW489" i="1"/>
  <c r="JW488" i="1"/>
  <c r="JW487" i="1"/>
  <c r="JW486" i="1"/>
  <c r="JW485" i="1"/>
  <c r="JW484" i="1"/>
  <c r="JW483" i="1"/>
  <c r="JW482" i="1"/>
  <c r="JW481" i="1"/>
  <c r="JW480" i="1"/>
  <c r="JW479" i="1"/>
  <c r="JW478" i="1"/>
  <c r="JW477" i="1"/>
  <c r="JW476" i="1"/>
  <c r="JW475" i="1"/>
  <c r="JW474" i="1"/>
  <c r="JW473" i="1"/>
  <c r="JW472" i="1"/>
  <c r="JW471" i="1"/>
  <c r="JW470" i="1"/>
  <c r="JW469" i="1"/>
  <c r="JW468" i="1"/>
  <c r="JW467" i="1"/>
  <c r="JW466" i="1"/>
  <c r="JW465" i="1"/>
  <c r="JW464" i="1"/>
  <c r="JW463" i="1"/>
  <c r="JW462" i="1"/>
  <c r="JW461" i="1"/>
  <c r="JW460" i="1"/>
  <c r="JW459" i="1"/>
  <c r="JW458" i="1"/>
  <c r="JW457" i="1"/>
  <c r="JW456" i="1"/>
  <c r="JW455" i="1"/>
  <c r="JW454" i="1"/>
  <c r="JW453" i="1"/>
  <c r="JW452" i="1"/>
  <c r="JW451" i="1"/>
  <c r="JW450" i="1"/>
  <c r="JW449" i="1"/>
  <c r="JW448" i="1"/>
  <c r="JW447" i="1"/>
  <c r="JW446" i="1"/>
  <c r="JW445" i="1"/>
  <c r="JW444" i="1"/>
  <c r="JW443" i="1"/>
  <c r="JW442" i="1"/>
  <c r="JW441" i="1"/>
  <c r="JW440" i="1"/>
  <c r="JW439" i="1"/>
  <c r="JW438" i="1"/>
  <c r="JW437" i="1"/>
  <c r="JW436" i="1"/>
  <c r="JW435" i="1"/>
  <c r="JW434" i="1"/>
  <c r="JW433" i="1"/>
  <c r="JW432" i="1"/>
  <c r="JW431" i="1"/>
  <c r="JW430" i="1"/>
  <c r="JW429" i="1"/>
  <c r="JW428" i="1"/>
  <c r="JW427" i="1"/>
  <c r="JW426" i="1"/>
  <c r="JW425" i="1"/>
  <c r="JW424" i="1"/>
  <c r="JW423" i="1"/>
  <c r="JW422" i="1"/>
  <c r="JW421" i="1"/>
  <c r="JW420" i="1"/>
  <c r="JW419" i="1"/>
  <c r="JW418" i="1"/>
  <c r="JW417" i="1"/>
  <c r="JW416" i="1"/>
  <c r="JW415" i="1"/>
  <c r="JW414" i="1"/>
  <c r="JW413" i="1"/>
  <c r="JW412" i="1"/>
  <c r="JW411" i="1"/>
  <c r="JW410" i="1"/>
  <c r="JW409" i="1"/>
  <c r="JW408" i="1"/>
  <c r="JW407" i="1"/>
  <c r="JW406" i="1"/>
  <c r="JW405" i="1"/>
  <c r="JW404" i="1"/>
  <c r="JW403" i="1"/>
  <c r="JW402" i="1"/>
  <c r="JW401" i="1"/>
  <c r="JW400" i="1"/>
  <c r="JW399" i="1"/>
  <c r="JW398" i="1"/>
  <c r="JW397" i="1"/>
  <c r="JW396" i="1"/>
  <c r="JW395" i="1"/>
  <c r="JW394" i="1"/>
  <c r="JW393" i="1"/>
  <c r="JW392" i="1"/>
  <c r="JW391" i="1"/>
  <c r="JW390" i="1"/>
  <c r="JW389" i="1"/>
  <c r="JW388" i="1"/>
  <c r="JW387" i="1"/>
  <c r="JW386" i="1"/>
  <c r="JW385" i="1"/>
  <c r="JW384" i="1"/>
  <c r="JW383" i="1"/>
  <c r="JW382" i="1"/>
  <c r="JW381" i="1"/>
  <c r="JW380" i="1"/>
  <c r="JW379" i="1"/>
  <c r="JW378" i="1"/>
  <c r="JW377" i="1"/>
  <c r="JW376" i="1"/>
  <c r="JW375" i="1"/>
  <c r="JW374" i="1"/>
  <c r="JW373" i="1"/>
  <c r="JW372" i="1"/>
  <c r="JW371" i="1"/>
  <c r="JW370" i="1"/>
  <c r="JW369" i="1"/>
  <c r="JW368" i="1"/>
  <c r="JW367" i="1"/>
  <c r="JW366" i="1"/>
  <c r="JW365" i="1"/>
  <c r="JW364" i="1"/>
  <c r="JW363" i="1"/>
  <c r="JW362" i="1"/>
  <c r="JW361" i="1"/>
  <c r="JW360" i="1"/>
  <c r="JW359" i="1"/>
  <c r="JW358" i="1"/>
  <c r="JW357" i="1"/>
  <c r="JW356" i="1"/>
  <c r="JW355" i="1"/>
  <c r="JW354" i="1"/>
  <c r="JW353" i="1"/>
  <c r="JW352" i="1"/>
  <c r="JW351" i="1"/>
  <c r="JW350" i="1"/>
  <c r="JW349" i="1"/>
  <c r="JW348" i="1"/>
  <c r="JW347" i="1"/>
  <c r="JW346" i="1"/>
  <c r="JW345" i="1"/>
  <c r="JW344" i="1"/>
  <c r="JW343" i="1"/>
  <c r="JW342" i="1"/>
  <c r="JW341" i="1"/>
  <c r="JW340" i="1"/>
  <c r="JW339" i="1"/>
  <c r="JW338" i="1"/>
  <c r="JW337" i="1"/>
  <c r="JW336" i="1"/>
  <c r="JW335" i="1"/>
  <c r="JW334" i="1"/>
  <c r="JW333" i="1"/>
  <c r="JW332" i="1"/>
  <c r="JW331" i="1"/>
  <c r="JW330" i="1"/>
  <c r="JW329" i="1"/>
  <c r="JW328" i="1"/>
  <c r="JW327" i="1"/>
  <c r="JW326" i="1"/>
  <c r="JW325" i="1"/>
  <c r="JW324" i="1"/>
  <c r="JW323" i="1"/>
  <c r="JW322" i="1"/>
  <c r="JW321" i="1"/>
  <c r="JW320" i="1"/>
  <c r="JW319" i="1"/>
  <c r="JW318" i="1"/>
  <c r="JW317" i="1"/>
  <c r="JW316" i="1"/>
  <c r="JW315" i="1"/>
  <c r="JW314" i="1"/>
  <c r="JW313" i="1"/>
  <c r="JW312" i="1"/>
  <c r="JW311" i="1"/>
  <c r="JW310" i="1"/>
  <c r="JW309" i="1"/>
  <c r="JW308" i="1"/>
  <c r="JW307" i="1"/>
  <c r="JW306" i="1"/>
  <c r="JW305" i="1"/>
  <c r="JW304" i="1"/>
  <c r="JW303" i="1"/>
  <c r="JW302" i="1"/>
  <c r="JW301" i="1"/>
  <c r="JW300" i="1"/>
  <c r="JW299" i="1"/>
  <c r="JW298" i="1"/>
  <c r="JW297" i="1"/>
  <c r="JW296" i="1"/>
  <c r="JW295" i="1"/>
  <c r="JW294" i="1"/>
  <c r="JW293" i="1"/>
  <c r="JW292" i="1"/>
  <c r="JW291" i="1"/>
  <c r="JW290" i="1"/>
  <c r="JW289" i="1"/>
  <c r="JW288" i="1"/>
  <c r="JW287" i="1"/>
  <c r="JW286" i="1"/>
  <c r="JW285" i="1"/>
  <c r="JW284" i="1"/>
  <c r="JW283" i="1"/>
  <c r="JW282" i="1"/>
  <c r="JW281" i="1"/>
  <c r="JW280" i="1"/>
  <c r="JW279" i="1"/>
  <c r="JW278" i="1"/>
  <c r="JW277" i="1"/>
  <c r="JW276" i="1"/>
  <c r="JW275" i="1"/>
  <c r="JW274" i="1"/>
  <c r="JW273" i="1"/>
  <c r="JW272" i="1"/>
  <c r="JW271" i="1"/>
  <c r="JW270" i="1"/>
  <c r="JW269" i="1"/>
  <c r="JW268" i="1"/>
  <c r="JW267" i="1"/>
  <c r="JW266" i="1"/>
  <c r="JW265" i="1"/>
  <c r="JW264" i="1"/>
  <c r="JW263" i="1"/>
  <c r="JW262" i="1"/>
  <c r="JW261" i="1"/>
  <c r="JW260" i="1"/>
  <c r="JW259" i="1"/>
  <c r="JW258" i="1"/>
  <c r="JW257" i="1"/>
  <c r="JW256" i="1"/>
  <c r="JW255" i="1"/>
  <c r="JW254" i="1"/>
  <c r="JW253" i="1"/>
  <c r="JW252" i="1"/>
  <c r="JW251" i="1"/>
  <c r="JW250" i="1"/>
  <c r="JW249" i="1"/>
  <c r="JW248" i="1"/>
  <c r="JW247" i="1"/>
  <c r="JW246" i="1"/>
  <c r="JW245" i="1"/>
  <c r="JW244" i="1"/>
  <c r="JW243" i="1"/>
  <c r="JW242" i="1"/>
  <c r="JW241" i="1"/>
  <c r="JW240" i="1"/>
  <c r="JW239" i="1"/>
  <c r="JW238" i="1"/>
  <c r="JW237" i="1"/>
  <c r="JW236" i="1"/>
  <c r="JW235" i="1"/>
  <c r="JW234" i="1"/>
  <c r="JW233" i="1"/>
  <c r="JW232" i="1"/>
  <c r="JW231" i="1"/>
  <c r="JW230" i="1"/>
  <c r="JW229" i="1"/>
  <c r="JW228" i="1"/>
  <c r="JW227" i="1"/>
  <c r="JW226" i="1"/>
  <c r="JW225" i="1"/>
  <c r="JW224" i="1"/>
  <c r="JW223" i="1"/>
  <c r="JW222" i="1"/>
  <c r="JW221" i="1"/>
  <c r="JW220" i="1"/>
  <c r="JW219" i="1"/>
  <c r="JW218" i="1"/>
  <c r="JW217" i="1"/>
  <c r="JW216" i="1"/>
  <c r="JW215" i="1"/>
  <c r="JW214" i="1"/>
  <c r="JW213" i="1"/>
  <c r="JW212" i="1"/>
  <c r="JW211" i="1"/>
  <c r="JW210" i="1"/>
  <c r="JW209" i="1"/>
  <c r="JW208" i="1"/>
  <c r="JW207" i="1"/>
  <c r="JW206" i="1"/>
  <c r="JW205" i="1"/>
  <c r="JW204" i="1"/>
  <c r="JW203" i="1"/>
  <c r="JW202" i="1"/>
  <c r="JW201" i="1"/>
  <c r="JW200" i="1"/>
  <c r="JW199" i="1"/>
  <c r="JW198" i="1"/>
  <c r="JW197" i="1"/>
  <c r="JW196" i="1"/>
  <c r="JW195" i="1"/>
  <c r="JW194" i="1"/>
  <c r="JW193" i="1"/>
  <c r="JW192" i="1"/>
  <c r="JW191" i="1"/>
  <c r="JW190" i="1"/>
  <c r="JW189" i="1"/>
  <c r="JW188" i="1"/>
  <c r="JW187" i="1"/>
  <c r="JW186" i="1"/>
  <c r="JW185" i="1"/>
  <c r="JW184" i="1"/>
  <c r="JW183" i="1"/>
  <c r="JW182" i="1"/>
  <c r="JW181" i="1"/>
  <c r="JW180" i="1"/>
  <c r="JW179" i="1"/>
  <c r="JW178" i="1"/>
  <c r="JW177" i="1"/>
  <c r="JW176" i="1"/>
  <c r="JW175" i="1"/>
  <c r="JW174" i="1"/>
  <c r="JW173" i="1"/>
  <c r="JW172" i="1"/>
  <c r="JW171" i="1"/>
  <c r="JW170" i="1"/>
  <c r="JW169" i="1"/>
  <c r="JW168" i="1"/>
  <c r="JW167" i="1"/>
  <c r="JW161" i="1"/>
  <c r="JW160" i="1"/>
  <c r="JW159" i="1"/>
  <c r="JW158" i="1"/>
  <c r="JW157" i="1"/>
  <c r="JW156" i="1"/>
  <c r="JW155" i="1"/>
  <c r="JW154" i="1"/>
  <c r="JW153" i="1"/>
  <c r="JW152" i="1"/>
  <c r="JW151" i="1"/>
  <c r="JW150" i="1"/>
  <c r="JW149" i="1"/>
  <c r="JW148" i="1"/>
  <c r="JW147" i="1"/>
  <c r="JW146" i="1"/>
  <c r="JW145" i="1"/>
  <c r="JW144" i="1"/>
  <c r="JW143" i="1"/>
  <c r="JW166" i="1"/>
  <c r="JW165" i="1"/>
  <c r="JW164" i="1"/>
  <c r="JW163" i="1"/>
  <c r="JW162" i="1"/>
  <c r="JW142" i="1"/>
  <c r="JW141" i="1"/>
  <c r="JW140" i="1"/>
  <c r="JW139" i="1"/>
  <c r="JW138" i="1"/>
  <c r="JW137" i="1"/>
  <c r="JW136" i="1"/>
  <c r="JW135" i="1"/>
  <c r="JW134" i="1"/>
  <c r="JW133" i="1"/>
  <c r="JW132" i="1"/>
  <c r="JW131" i="1"/>
  <c r="JW130" i="1"/>
  <c r="JW129" i="1"/>
  <c r="JW128" i="1"/>
  <c r="JW127" i="1"/>
  <c r="JW126" i="1"/>
  <c r="JW125" i="1"/>
  <c r="JW124" i="1"/>
  <c r="JW123" i="1"/>
  <c r="JW122" i="1"/>
  <c r="JW121" i="1"/>
  <c r="JW120" i="1"/>
  <c r="JW119" i="1"/>
  <c r="JW118" i="1"/>
  <c r="JW117" i="1"/>
  <c r="JW116" i="1"/>
  <c r="JW115" i="1"/>
  <c r="JW114" i="1"/>
  <c r="JW113" i="1"/>
  <c r="JW112" i="1"/>
  <c r="JW111" i="1"/>
  <c r="JW110" i="1"/>
  <c r="JW109" i="1"/>
  <c r="JW108" i="1"/>
  <c r="JW107" i="1"/>
  <c r="JW106" i="1"/>
  <c r="JW105" i="1"/>
  <c r="JW104" i="1"/>
  <c r="JW103" i="1"/>
  <c r="JW102" i="1"/>
  <c r="JW101" i="1"/>
  <c r="JW100" i="1"/>
  <c r="JW99" i="1"/>
  <c r="JW98" i="1"/>
  <c r="JW97" i="1"/>
  <c r="JW96" i="1"/>
  <c r="JW95" i="1"/>
  <c r="JW94" i="1"/>
  <c r="JW93" i="1"/>
  <c r="JW92" i="1"/>
  <c r="JW91" i="1"/>
  <c r="JW90" i="1"/>
  <c r="JW89" i="1"/>
  <c r="JW88" i="1"/>
  <c r="JW87" i="1"/>
  <c r="JW86" i="1"/>
  <c r="JW85" i="1"/>
  <c r="JW84" i="1"/>
  <c r="JW83" i="1"/>
  <c r="JW82" i="1"/>
  <c r="JW81" i="1"/>
  <c r="JW80" i="1"/>
  <c r="JW79" i="1"/>
  <c r="JW78" i="1"/>
  <c r="JW77" i="1"/>
  <c r="JW76" i="1"/>
  <c r="JW75" i="1"/>
  <c r="JW74" i="1"/>
  <c r="JW73" i="1"/>
  <c r="JW72" i="1"/>
  <c r="JW71" i="1"/>
  <c r="JW70" i="1"/>
  <c r="JW69" i="1"/>
  <c r="JW68" i="1"/>
  <c r="JW67" i="1"/>
  <c r="JW66" i="1"/>
  <c r="JW65" i="1"/>
  <c r="JW64" i="1"/>
  <c r="JW63" i="1"/>
  <c r="JW62" i="1"/>
  <c r="JW61" i="1"/>
  <c r="JW60" i="1"/>
  <c r="JW59" i="1"/>
  <c r="JW58" i="1"/>
  <c r="JW57" i="1"/>
  <c r="JW56" i="1"/>
  <c r="JW55" i="1"/>
  <c r="JW54" i="1"/>
  <c r="JW53" i="1"/>
  <c r="JW52" i="1"/>
  <c r="JW51" i="1"/>
  <c r="JW50" i="1"/>
  <c r="JW49" i="1"/>
  <c r="JW48" i="1"/>
  <c r="JW47" i="1"/>
  <c r="JW46" i="1"/>
  <c r="JW45" i="1"/>
  <c r="JW44" i="1"/>
  <c r="JW43" i="1"/>
  <c r="JW42" i="1"/>
  <c r="JW41" i="1"/>
  <c r="JW40" i="1"/>
  <c r="JW39" i="1"/>
  <c r="JW38" i="1"/>
  <c r="JW37" i="1"/>
  <c r="JW36" i="1"/>
  <c r="JW35" i="1"/>
  <c r="JW34" i="1"/>
  <c r="JW33" i="1"/>
  <c r="JW32" i="1"/>
  <c r="JW31" i="1"/>
  <c r="JW30" i="1"/>
  <c r="JW29" i="1"/>
  <c r="JW28" i="1"/>
  <c r="JW27" i="1"/>
  <c r="JW26" i="1"/>
  <c r="JW25" i="1"/>
  <c r="JW24" i="1"/>
  <c r="JW23" i="1"/>
  <c r="JW22" i="1"/>
  <c r="JW21" i="1"/>
  <c r="JW20" i="1"/>
  <c r="JW19" i="1"/>
  <c r="JW18" i="1"/>
  <c r="JW17" i="1"/>
  <c r="JW16" i="1"/>
  <c r="JW15" i="1"/>
  <c r="JW14" i="1"/>
  <c r="JW13" i="1"/>
  <c r="JW12" i="1"/>
  <c r="JW11" i="1"/>
  <c r="JW10" i="1"/>
  <c r="JW9" i="1"/>
  <c r="JW8" i="1"/>
  <c r="JW7" i="1"/>
  <c r="JW6" i="1"/>
  <c r="JW5" i="1"/>
  <c r="JW4" i="1"/>
  <c r="JW954" i="1"/>
  <c r="JW3" i="1"/>
  <c r="JW2" i="1"/>
  <c r="JV951" i="1"/>
  <c r="JU951" i="1"/>
  <c r="JQ951" i="1"/>
  <c r="JP951" i="1"/>
  <c r="JS951" i="1"/>
  <c r="IX951" i="1"/>
  <c r="IR951" i="1"/>
  <c r="IK951" i="1"/>
  <c r="E951" i="1"/>
  <c r="JV950" i="1"/>
  <c r="JU950" i="1"/>
  <c r="JQ950" i="1"/>
  <c r="JP950" i="1"/>
  <c r="JS950" i="1"/>
  <c r="IX950" i="1"/>
  <c r="IR950" i="1"/>
  <c r="IK950" i="1"/>
  <c r="E950" i="1"/>
  <c r="JV949" i="1"/>
  <c r="JU949" i="1"/>
  <c r="JQ949" i="1"/>
  <c r="JT949" i="1"/>
  <c r="JP949" i="1"/>
  <c r="JS949" i="1"/>
  <c r="IX949" i="1"/>
  <c r="IR949" i="1"/>
  <c r="IK949" i="1"/>
  <c r="E949" i="1"/>
  <c r="JV948" i="1"/>
  <c r="JU948" i="1"/>
  <c r="JQ948" i="1"/>
  <c r="JT948" i="1"/>
  <c r="JP948" i="1"/>
  <c r="JS948" i="1"/>
  <c r="IX948" i="1"/>
  <c r="IR948" i="1"/>
  <c r="IK948" i="1"/>
  <c r="E948" i="1"/>
  <c r="JV947" i="1"/>
  <c r="JU947" i="1"/>
  <c r="JQ947" i="1"/>
  <c r="JP947" i="1"/>
  <c r="JS947" i="1"/>
  <c r="IX947" i="1"/>
  <c r="IR947" i="1"/>
  <c r="IK947" i="1"/>
  <c r="E947" i="1"/>
  <c r="JV946" i="1"/>
  <c r="JU946" i="1"/>
  <c r="JQ946" i="1"/>
  <c r="JT946" i="1"/>
  <c r="JP946" i="1"/>
  <c r="IX946" i="1"/>
  <c r="IR946" i="1"/>
  <c r="IK946" i="1"/>
  <c r="E946" i="1"/>
  <c r="JV945" i="1"/>
  <c r="JU945" i="1"/>
  <c r="JQ945" i="1"/>
  <c r="JP945" i="1"/>
  <c r="JS945" i="1"/>
  <c r="IX945" i="1"/>
  <c r="IR945" i="1"/>
  <c r="IK945" i="1"/>
  <c r="E945" i="1"/>
  <c r="JV944" i="1"/>
  <c r="JU944" i="1"/>
  <c r="JS944" i="1"/>
  <c r="JQ944" i="1"/>
  <c r="JT944" i="1"/>
  <c r="JP944" i="1"/>
  <c r="IX944" i="1"/>
  <c r="IR944" i="1"/>
  <c r="IK944" i="1"/>
  <c r="E944" i="1"/>
  <c r="JV943" i="1"/>
  <c r="JU943" i="1"/>
  <c r="JQ943" i="1"/>
  <c r="JP943" i="1"/>
  <c r="JS943" i="1"/>
  <c r="IX943" i="1"/>
  <c r="IR943" i="1"/>
  <c r="IK943" i="1"/>
  <c r="E943" i="1"/>
  <c r="JV942" i="1"/>
  <c r="JU942" i="1"/>
  <c r="JT942" i="1"/>
  <c r="JQ942" i="1"/>
  <c r="JP942" i="1"/>
  <c r="IX942" i="1"/>
  <c r="IR942" i="1"/>
  <c r="IK942" i="1"/>
  <c r="E942" i="1"/>
  <c r="JV941" i="1"/>
  <c r="JU941" i="1"/>
  <c r="JQ941" i="1"/>
  <c r="JP941" i="1"/>
  <c r="JS941" i="1"/>
  <c r="IX941" i="1"/>
  <c r="IR941" i="1"/>
  <c r="IK941" i="1"/>
  <c r="E941" i="1"/>
  <c r="JV940" i="1"/>
  <c r="JU940" i="1"/>
  <c r="JQ940" i="1"/>
  <c r="JP940" i="1"/>
  <c r="JS940" i="1"/>
  <c r="IX940" i="1"/>
  <c r="IR940" i="1"/>
  <c r="IK940" i="1"/>
  <c r="E940" i="1"/>
  <c r="JV939" i="1"/>
  <c r="JU939" i="1"/>
  <c r="JQ939" i="1"/>
  <c r="JT939" i="1"/>
  <c r="JP939" i="1"/>
  <c r="JS939" i="1"/>
  <c r="IX939" i="1"/>
  <c r="IR939" i="1"/>
  <c r="IK939" i="1"/>
  <c r="E939" i="1"/>
  <c r="JV938" i="1"/>
  <c r="JU938" i="1"/>
  <c r="JQ938" i="1"/>
  <c r="JT938" i="1"/>
  <c r="JP938" i="1"/>
  <c r="JS938" i="1"/>
  <c r="IX938" i="1"/>
  <c r="IR938" i="1"/>
  <c r="IK938" i="1"/>
  <c r="E938" i="1"/>
  <c r="JV937" i="1"/>
  <c r="JU937" i="1"/>
  <c r="JQ937" i="1"/>
  <c r="IX937" i="1"/>
  <c r="IR937" i="1"/>
  <c r="IK937" i="1"/>
  <c r="CF937" i="1"/>
  <c r="E937" i="1"/>
  <c r="JV936" i="1"/>
  <c r="JU936" i="1"/>
  <c r="JQ936" i="1"/>
  <c r="IX936" i="1"/>
  <c r="IR936" i="1"/>
  <c r="IK936" i="1"/>
  <c r="CF936" i="1"/>
  <c r="JP936" i="1"/>
  <c r="JS936" i="1"/>
  <c r="E936" i="1"/>
  <c r="JV935" i="1"/>
  <c r="JU935" i="1"/>
  <c r="JQ935" i="1"/>
  <c r="JP935" i="1"/>
  <c r="JS935" i="1"/>
  <c r="IX935" i="1"/>
  <c r="IR935" i="1"/>
  <c r="IK935" i="1"/>
  <c r="E935" i="1"/>
  <c r="JV934" i="1"/>
  <c r="JU934" i="1"/>
  <c r="JQ934" i="1"/>
  <c r="JT934" i="1"/>
  <c r="JP934" i="1"/>
  <c r="JS934" i="1"/>
  <c r="IX934" i="1"/>
  <c r="IR934" i="1"/>
  <c r="IK934" i="1"/>
  <c r="E934" i="1"/>
  <c r="JV933" i="1"/>
  <c r="JU933" i="1"/>
  <c r="JT933" i="1"/>
  <c r="JQ933" i="1"/>
  <c r="JP933" i="1"/>
  <c r="JS933" i="1"/>
  <c r="IX933" i="1"/>
  <c r="IR933" i="1"/>
  <c r="IK933" i="1"/>
  <c r="E933" i="1"/>
  <c r="JV932" i="1"/>
  <c r="JU932" i="1"/>
  <c r="JQ932" i="1"/>
  <c r="JT932" i="1"/>
  <c r="JP932" i="1"/>
  <c r="JS932" i="1"/>
  <c r="IX932" i="1"/>
  <c r="IR932" i="1"/>
  <c r="IK932" i="1"/>
  <c r="E932" i="1"/>
  <c r="JV931" i="1"/>
  <c r="JU931" i="1"/>
  <c r="JQ931" i="1"/>
  <c r="JP931" i="1"/>
  <c r="JS931" i="1"/>
  <c r="IX931" i="1"/>
  <c r="IR931" i="1"/>
  <c r="IK931" i="1"/>
  <c r="E931" i="1"/>
  <c r="JV930" i="1"/>
  <c r="JU930" i="1"/>
  <c r="JQ930" i="1"/>
  <c r="JT930" i="1"/>
  <c r="JP930" i="1"/>
  <c r="JS930" i="1"/>
  <c r="IX930" i="1"/>
  <c r="IR930" i="1"/>
  <c r="IK930" i="1"/>
  <c r="E930" i="1"/>
  <c r="JV929" i="1"/>
  <c r="JU929" i="1"/>
  <c r="JQ929" i="1"/>
  <c r="JP929" i="1"/>
  <c r="JS929" i="1"/>
  <c r="IX929" i="1"/>
  <c r="IR929" i="1"/>
  <c r="IK929" i="1"/>
  <c r="E929" i="1"/>
  <c r="JV928" i="1"/>
  <c r="JU928" i="1"/>
  <c r="JS928" i="1"/>
  <c r="JQ928" i="1"/>
  <c r="JT928" i="1"/>
  <c r="JP928" i="1"/>
  <c r="IX928" i="1"/>
  <c r="IR928" i="1"/>
  <c r="IK928" i="1"/>
  <c r="E928" i="1"/>
  <c r="JV927" i="1"/>
  <c r="JU927" i="1"/>
  <c r="JQ927" i="1"/>
  <c r="JT927" i="1"/>
  <c r="JP927" i="1"/>
  <c r="JS927" i="1"/>
  <c r="IX927" i="1"/>
  <c r="IR927" i="1"/>
  <c r="IK927" i="1"/>
  <c r="E927" i="1"/>
  <c r="JV926" i="1"/>
  <c r="JU926" i="1"/>
  <c r="JQ926" i="1"/>
  <c r="JT926" i="1"/>
  <c r="JP926" i="1"/>
  <c r="IX926" i="1"/>
  <c r="IR926" i="1"/>
  <c r="IK926" i="1"/>
  <c r="E926" i="1"/>
  <c r="JV925" i="1"/>
  <c r="JU925" i="1"/>
  <c r="JT925" i="1"/>
  <c r="JQ925" i="1"/>
  <c r="JP925" i="1"/>
  <c r="JS925" i="1"/>
  <c r="IX925" i="1"/>
  <c r="IR925" i="1"/>
  <c r="IK925" i="1"/>
  <c r="E925" i="1"/>
  <c r="JV924" i="1"/>
  <c r="JU924" i="1"/>
  <c r="JQ924" i="1"/>
  <c r="JT924" i="1"/>
  <c r="JP924" i="1"/>
  <c r="IX924" i="1"/>
  <c r="IR924" i="1"/>
  <c r="IK924" i="1"/>
  <c r="E924" i="1"/>
  <c r="JV923" i="1"/>
  <c r="JU923" i="1"/>
  <c r="JQ923" i="1"/>
  <c r="JP923" i="1"/>
  <c r="JS923" i="1"/>
  <c r="IX923" i="1"/>
  <c r="IR923" i="1"/>
  <c r="IK923" i="1"/>
  <c r="E923" i="1"/>
  <c r="JV922" i="1"/>
  <c r="JU922" i="1"/>
  <c r="JQ922" i="1"/>
  <c r="JT922" i="1"/>
  <c r="JP922" i="1"/>
  <c r="JS922" i="1"/>
  <c r="IX922" i="1"/>
  <c r="IR922" i="1"/>
  <c r="IK922" i="1"/>
  <c r="E922" i="1"/>
  <c r="JV921" i="1"/>
  <c r="JU921" i="1"/>
  <c r="JQ921" i="1"/>
  <c r="JP921" i="1"/>
  <c r="JS921" i="1"/>
  <c r="IX921" i="1"/>
  <c r="IR921" i="1"/>
  <c r="IK921" i="1"/>
  <c r="E921" i="1"/>
  <c r="JV920" i="1"/>
  <c r="JU920" i="1"/>
  <c r="JQ920" i="1"/>
  <c r="JT920" i="1"/>
  <c r="JP920" i="1"/>
  <c r="JR920" i="1"/>
  <c r="IX920" i="1"/>
  <c r="IR920" i="1"/>
  <c r="IK920" i="1"/>
  <c r="E920" i="1"/>
  <c r="JV919" i="1"/>
  <c r="JU919" i="1"/>
  <c r="JQ919" i="1"/>
  <c r="JP919" i="1"/>
  <c r="JS919" i="1"/>
  <c r="IX919" i="1"/>
  <c r="IR919" i="1"/>
  <c r="IK919" i="1"/>
  <c r="E919" i="1"/>
  <c r="JV918" i="1"/>
  <c r="JU918" i="1"/>
  <c r="JT918" i="1"/>
  <c r="JQ918" i="1"/>
  <c r="JP918" i="1"/>
  <c r="JS918" i="1"/>
  <c r="IX918" i="1"/>
  <c r="IR918" i="1"/>
  <c r="IK918" i="1"/>
  <c r="E918" i="1"/>
  <c r="JV917" i="1"/>
  <c r="JU917" i="1"/>
  <c r="JQ917" i="1"/>
  <c r="JP917" i="1"/>
  <c r="JS917" i="1"/>
  <c r="IX917" i="1"/>
  <c r="IR917" i="1"/>
  <c r="IK917" i="1"/>
  <c r="E917" i="1"/>
  <c r="JV916" i="1"/>
  <c r="JU916" i="1"/>
  <c r="JQ916" i="1"/>
  <c r="JT916" i="1"/>
  <c r="JP916" i="1"/>
  <c r="IX916" i="1"/>
  <c r="IR916" i="1"/>
  <c r="IK916" i="1"/>
  <c r="E916" i="1"/>
  <c r="JV915" i="1"/>
  <c r="JU915" i="1"/>
  <c r="JQ915" i="1"/>
  <c r="JP915" i="1"/>
  <c r="JS915" i="1"/>
  <c r="IX915" i="1"/>
  <c r="IR915" i="1"/>
  <c r="IK915" i="1"/>
  <c r="E915" i="1"/>
  <c r="JV914" i="1"/>
  <c r="JU914" i="1"/>
  <c r="JT914" i="1"/>
  <c r="JQ914" i="1"/>
  <c r="JP914" i="1"/>
  <c r="JS914" i="1"/>
  <c r="IX914" i="1"/>
  <c r="IR914" i="1"/>
  <c r="IK914" i="1"/>
  <c r="E914" i="1"/>
  <c r="JV913" i="1"/>
  <c r="JU913" i="1"/>
  <c r="JQ913" i="1"/>
  <c r="JP913" i="1"/>
  <c r="JS913" i="1"/>
  <c r="IX913" i="1"/>
  <c r="IR913" i="1"/>
  <c r="IK913" i="1"/>
  <c r="E913" i="1"/>
  <c r="JV912" i="1"/>
  <c r="JU912" i="1"/>
  <c r="JQ912" i="1"/>
  <c r="JT912" i="1"/>
  <c r="JP912" i="1"/>
  <c r="IX912" i="1"/>
  <c r="IR912" i="1"/>
  <c r="IK912" i="1"/>
  <c r="E912" i="1"/>
  <c r="JV911" i="1"/>
  <c r="JU911" i="1"/>
  <c r="JQ911" i="1"/>
  <c r="JT911" i="1"/>
  <c r="JP911" i="1"/>
  <c r="JS911" i="1"/>
  <c r="IX911" i="1"/>
  <c r="IR911" i="1"/>
  <c r="IK911" i="1"/>
  <c r="E911" i="1"/>
  <c r="JV910" i="1"/>
  <c r="JU910" i="1"/>
  <c r="JQ910" i="1"/>
  <c r="JT910" i="1"/>
  <c r="JP910" i="1"/>
  <c r="IX910" i="1"/>
  <c r="IR910" i="1"/>
  <c r="IK910" i="1"/>
  <c r="E910" i="1"/>
  <c r="JV909" i="1"/>
  <c r="JU909" i="1"/>
  <c r="JQ909" i="1"/>
  <c r="JT909" i="1"/>
  <c r="JP909" i="1"/>
  <c r="IX909" i="1"/>
  <c r="IR909" i="1"/>
  <c r="IK909" i="1"/>
  <c r="E909" i="1"/>
  <c r="JV908" i="1"/>
  <c r="JU908" i="1"/>
  <c r="JQ908" i="1"/>
  <c r="JT908" i="1"/>
  <c r="JP908" i="1"/>
  <c r="JS908" i="1"/>
  <c r="IX908" i="1"/>
  <c r="IR908" i="1"/>
  <c r="IK908" i="1"/>
  <c r="E908" i="1"/>
  <c r="JV907" i="1"/>
  <c r="JU907" i="1"/>
  <c r="JQ907" i="1"/>
  <c r="JP907" i="1"/>
  <c r="JS907" i="1"/>
  <c r="IX907" i="1"/>
  <c r="IR907" i="1"/>
  <c r="IK907" i="1"/>
  <c r="E907" i="1"/>
  <c r="JV906" i="1"/>
  <c r="JU906" i="1"/>
  <c r="JT906" i="1"/>
  <c r="JQ906" i="1"/>
  <c r="JP906" i="1"/>
  <c r="JS906" i="1"/>
  <c r="IX906" i="1"/>
  <c r="IR906" i="1"/>
  <c r="IK906" i="1"/>
  <c r="E906" i="1"/>
  <c r="JV905" i="1"/>
  <c r="JU905" i="1"/>
  <c r="JQ905" i="1"/>
  <c r="JT905" i="1"/>
  <c r="JP905" i="1"/>
  <c r="JS905" i="1"/>
  <c r="IX905" i="1"/>
  <c r="IR905" i="1"/>
  <c r="IK905" i="1"/>
  <c r="E905" i="1"/>
  <c r="JV904" i="1"/>
  <c r="JU904" i="1"/>
  <c r="JQ904" i="1"/>
  <c r="JT904" i="1"/>
  <c r="JP904" i="1"/>
  <c r="IX904" i="1"/>
  <c r="IR904" i="1"/>
  <c r="IK904" i="1"/>
  <c r="E904" i="1"/>
  <c r="JV903" i="1"/>
  <c r="JU903" i="1"/>
  <c r="JQ903" i="1"/>
  <c r="JP903" i="1"/>
  <c r="JS903" i="1"/>
  <c r="IX903" i="1"/>
  <c r="IR903" i="1"/>
  <c r="IK903" i="1"/>
  <c r="E903" i="1"/>
  <c r="JV902" i="1"/>
  <c r="JU902" i="1"/>
  <c r="JQ902" i="1"/>
  <c r="JT902" i="1"/>
  <c r="JP902" i="1"/>
  <c r="JS902" i="1"/>
  <c r="IX902" i="1"/>
  <c r="IR902" i="1"/>
  <c r="IK902" i="1"/>
  <c r="E902" i="1"/>
  <c r="JV901" i="1"/>
  <c r="JU901" i="1"/>
  <c r="JT901" i="1"/>
  <c r="JQ901" i="1"/>
  <c r="JP901" i="1"/>
  <c r="IX901" i="1"/>
  <c r="IR901" i="1"/>
  <c r="IK901" i="1"/>
  <c r="E901" i="1"/>
  <c r="JV900" i="1"/>
  <c r="JU900" i="1"/>
  <c r="JQ900" i="1"/>
  <c r="JT900" i="1"/>
  <c r="JP900" i="1"/>
  <c r="JS900" i="1"/>
  <c r="IX900" i="1"/>
  <c r="IR900" i="1"/>
  <c r="IK900" i="1"/>
  <c r="E900" i="1"/>
  <c r="JV899" i="1"/>
  <c r="JU899" i="1"/>
  <c r="JQ899" i="1"/>
  <c r="JT899" i="1"/>
  <c r="JP899" i="1"/>
  <c r="JS899" i="1"/>
  <c r="IX899" i="1"/>
  <c r="IR899" i="1"/>
  <c r="IK899" i="1"/>
  <c r="E899" i="1"/>
  <c r="JV898" i="1"/>
  <c r="JU898" i="1"/>
  <c r="JQ898" i="1"/>
  <c r="JT898" i="1"/>
  <c r="JP898" i="1"/>
  <c r="JS898" i="1"/>
  <c r="IX898" i="1"/>
  <c r="IR898" i="1"/>
  <c r="IK898" i="1"/>
  <c r="E898" i="1"/>
  <c r="JV897" i="1"/>
  <c r="JU897" i="1"/>
  <c r="JQ897" i="1"/>
  <c r="JT897" i="1"/>
  <c r="JP897" i="1"/>
  <c r="JS897" i="1"/>
  <c r="IX897" i="1"/>
  <c r="IR897" i="1"/>
  <c r="IK897" i="1"/>
  <c r="E897" i="1"/>
  <c r="JV896" i="1"/>
  <c r="JU896" i="1"/>
  <c r="JQ896" i="1"/>
  <c r="JT896" i="1"/>
  <c r="JP896" i="1"/>
  <c r="IX896" i="1"/>
  <c r="IR896" i="1"/>
  <c r="IK896" i="1"/>
  <c r="E896" i="1"/>
  <c r="JV895" i="1"/>
  <c r="JU895" i="1"/>
  <c r="JQ895" i="1"/>
  <c r="JP895" i="1"/>
  <c r="JS895" i="1"/>
  <c r="IX895" i="1"/>
  <c r="IR895" i="1"/>
  <c r="IK895" i="1"/>
  <c r="E895" i="1"/>
  <c r="JV894" i="1"/>
  <c r="JU894" i="1"/>
  <c r="JQ894" i="1"/>
  <c r="JT894" i="1"/>
  <c r="JP894" i="1"/>
  <c r="JS894" i="1"/>
  <c r="IX894" i="1"/>
  <c r="IR894" i="1"/>
  <c r="IK894" i="1"/>
  <c r="E894" i="1"/>
  <c r="JV893" i="1"/>
  <c r="JU893" i="1"/>
  <c r="JQ893" i="1"/>
  <c r="JT893" i="1"/>
  <c r="JP893" i="1"/>
  <c r="IX893" i="1"/>
  <c r="IR893" i="1"/>
  <c r="IK893" i="1"/>
  <c r="E893" i="1"/>
  <c r="JV892" i="1"/>
  <c r="JU892" i="1"/>
  <c r="JQ892" i="1"/>
  <c r="JT892" i="1"/>
  <c r="JP892" i="1"/>
  <c r="JS892" i="1"/>
  <c r="IX892" i="1"/>
  <c r="IR892" i="1"/>
  <c r="IK892" i="1"/>
  <c r="E892" i="1"/>
  <c r="JV891" i="1"/>
  <c r="JU891" i="1"/>
  <c r="JQ891" i="1"/>
  <c r="JR891" i="1"/>
  <c r="JP891" i="1"/>
  <c r="JS891" i="1"/>
  <c r="IX891" i="1"/>
  <c r="IR891" i="1"/>
  <c r="IK891" i="1"/>
  <c r="E891" i="1"/>
  <c r="JV890" i="1"/>
  <c r="JU890" i="1"/>
  <c r="JQ890" i="1"/>
  <c r="JT890" i="1"/>
  <c r="JP890" i="1"/>
  <c r="JS890" i="1"/>
  <c r="IX890" i="1"/>
  <c r="IR890" i="1"/>
  <c r="IK890" i="1"/>
  <c r="E890" i="1"/>
  <c r="JV889" i="1"/>
  <c r="JU889" i="1"/>
  <c r="JQ889" i="1"/>
  <c r="JP889" i="1"/>
  <c r="JS889" i="1"/>
  <c r="IX889" i="1"/>
  <c r="IR889" i="1"/>
  <c r="IK889" i="1"/>
  <c r="E889" i="1"/>
  <c r="JV888" i="1"/>
  <c r="JU888" i="1"/>
  <c r="JQ888" i="1"/>
  <c r="JT888" i="1"/>
  <c r="JP888" i="1"/>
  <c r="JS888" i="1"/>
  <c r="IX888" i="1"/>
  <c r="IR888" i="1"/>
  <c r="IK888" i="1"/>
  <c r="E888" i="1"/>
  <c r="JV887" i="1"/>
  <c r="JU887" i="1"/>
  <c r="JT887" i="1"/>
  <c r="JQ887" i="1"/>
  <c r="JP887" i="1"/>
  <c r="JS887" i="1"/>
  <c r="IX887" i="1"/>
  <c r="IR887" i="1"/>
  <c r="IK887" i="1"/>
  <c r="E887" i="1"/>
  <c r="JV886" i="1"/>
  <c r="JU886" i="1"/>
  <c r="JQ886" i="1"/>
  <c r="JT886" i="1"/>
  <c r="JP886" i="1"/>
  <c r="JS886" i="1"/>
  <c r="IX886" i="1"/>
  <c r="IR886" i="1"/>
  <c r="IK886" i="1"/>
  <c r="E886" i="1"/>
  <c r="JV885" i="1"/>
  <c r="JU885" i="1"/>
  <c r="JQ885" i="1"/>
  <c r="JP885" i="1"/>
  <c r="JS885" i="1"/>
  <c r="IX885" i="1"/>
  <c r="IR885" i="1"/>
  <c r="IK885" i="1"/>
  <c r="E885" i="1"/>
  <c r="JV884" i="1"/>
  <c r="JU884" i="1"/>
  <c r="JQ884" i="1"/>
  <c r="JP884" i="1"/>
  <c r="JS884" i="1"/>
  <c r="IX884" i="1"/>
  <c r="IR884" i="1"/>
  <c r="IK884" i="1"/>
  <c r="E884" i="1"/>
  <c r="JV883" i="1"/>
  <c r="JU883" i="1"/>
  <c r="JQ883" i="1"/>
  <c r="JP883" i="1"/>
  <c r="JS883" i="1"/>
  <c r="IX883" i="1"/>
  <c r="IR883" i="1"/>
  <c r="IK883" i="1"/>
  <c r="E883" i="1"/>
  <c r="JV882" i="1"/>
  <c r="JU882" i="1"/>
  <c r="JQ882" i="1"/>
  <c r="JT882" i="1"/>
  <c r="JP882" i="1"/>
  <c r="JS882" i="1"/>
  <c r="IX882" i="1"/>
  <c r="IR882" i="1"/>
  <c r="IK882" i="1"/>
  <c r="E882" i="1"/>
  <c r="JV881" i="1"/>
  <c r="JU881" i="1"/>
  <c r="JQ881" i="1"/>
  <c r="JT881" i="1"/>
  <c r="JP881" i="1"/>
  <c r="JS881" i="1"/>
  <c r="IX881" i="1"/>
  <c r="IR881" i="1"/>
  <c r="IK881" i="1"/>
  <c r="E881" i="1"/>
  <c r="JV880" i="1"/>
  <c r="JU880" i="1"/>
  <c r="JQ880" i="1"/>
  <c r="JT880" i="1"/>
  <c r="JP880" i="1"/>
  <c r="JS880" i="1"/>
  <c r="IX880" i="1"/>
  <c r="IR880" i="1"/>
  <c r="IK880" i="1"/>
  <c r="E880" i="1"/>
  <c r="JV879" i="1"/>
  <c r="JU879" i="1"/>
  <c r="JQ879" i="1"/>
  <c r="JP879" i="1"/>
  <c r="JS879" i="1"/>
  <c r="IX879" i="1"/>
  <c r="IR879" i="1"/>
  <c r="IK879" i="1"/>
  <c r="E879" i="1"/>
  <c r="JV878" i="1"/>
  <c r="JU878" i="1"/>
  <c r="JQ878" i="1"/>
  <c r="JT878" i="1"/>
  <c r="JP878" i="1"/>
  <c r="JS878" i="1"/>
  <c r="IX878" i="1"/>
  <c r="IR878" i="1"/>
  <c r="IK878" i="1"/>
  <c r="E878" i="1"/>
  <c r="JV877" i="1"/>
  <c r="JU877" i="1"/>
  <c r="JQ877" i="1"/>
  <c r="JP877" i="1"/>
  <c r="JS877" i="1"/>
  <c r="IX877" i="1"/>
  <c r="IR877" i="1"/>
  <c r="IK877" i="1"/>
  <c r="E877" i="1"/>
  <c r="JV876" i="1"/>
  <c r="JU876" i="1"/>
  <c r="JQ876" i="1"/>
  <c r="JT876" i="1"/>
  <c r="JP876" i="1"/>
  <c r="IX876" i="1"/>
  <c r="IR876" i="1"/>
  <c r="IK876" i="1"/>
  <c r="E876" i="1"/>
  <c r="JV875" i="1"/>
  <c r="JU875" i="1"/>
  <c r="JQ875" i="1"/>
  <c r="JT875" i="1"/>
  <c r="JP875" i="1"/>
  <c r="JS875" i="1"/>
  <c r="IX875" i="1"/>
  <c r="IR875" i="1"/>
  <c r="IK875" i="1"/>
  <c r="E875" i="1"/>
  <c r="JV874" i="1"/>
  <c r="JU874" i="1"/>
  <c r="JQ874" i="1"/>
  <c r="JT874" i="1"/>
  <c r="JP874" i="1"/>
  <c r="IX874" i="1"/>
  <c r="IR874" i="1"/>
  <c r="IK874" i="1"/>
  <c r="E874" i="1"/>
  <c r="JV873" i="1"/>
  <c r="JU873" i="1"/>
  <c r="JQ873" i="1"/>
  <c r="JT873" i="1"/>
  <c r="JP873" i="1"/>
  <c r="JS873" i="1"/>
  <c r="IX873" i="1"/>
  <c r="IR873" i="1"/>
  <c r="IK873" i="1"/>
  <c r="E873" i="1"/>
  <c r="JV872" i="1"/>
  <c r="JU872" i="1"/>
  <c r="JQ872" i="1"/>
  <c r="JP872" i="1"/>
  <c r="JS872" i="1"/>
  <c r="IX872" i="1"/>
  <c r="IR872" i="1"/>
  <c r="IK872" i="1"/>
  <c r="E872" i="1"/>
  <c r="JV871" i="1"/>
  <c r="JU871" i="1"/>
  <c r="JQ871" i="1"/>
  <c r="JT871" i="1"/>
  <c r="JP871" i="1"/>
  <c r="IX871" i="1"/>
  <c r="IR871" i="1"/>
  <c r="IK871" i="1"/>
  <c r="E871" i="1"/>
  <c r="JV870" i="1"/>
  <c r="JU870" i="1"/>
  <c r="JQ870" i="1"/>
  <c r="JT870" i="1"/>
  <c r="JP870" i="1"/>
  <c r="JS870" i="1"/>
  <c r="IX870" i="1"/>
  <c r="IR870" i="1"/>
  <c r="IK870" i="1"/>
  <c r="E870" i="1"/>
  <c r="JV869" i="1"/>
  <c r="JU869" i="1"/>
  <c r="JQ869" i="1"/>
  <c r="JT869" i="1"/>
  <c r="JP869" i="1"/>
  <c r="JS869" i="1"/>
  <c r="IX869" i="1"/>
  <c r="IR869" i="1"/>
  <c r="IK869" i="1"/>
  <c r="E869" i="1"/>
  <c r="JV868" i="1"/>
  <c r="JU868" i="1"/>
  <c r="JQ868" i="1"/>
  <c r="JP868" i="1"/>
  <c r="JS868" i="1"/>
  <c r="IX868" i="1"/>
  <c r="IR868" i="1"/>
  <c r="IK868" i="1"/>
  <c r="E868" i="1"/>
  <c r="JV867" i="1"/>
  <c r="JU867" i="1"/>
  <c r="JQ867" i="1"/>
  <c r="JT867" i="1"/>
  <c r="JP867" i="1"/>
  <c r="IX867" i="1"/>
  <c r="IR867" i="1"/>
  <c r="IK867" i="1"/>
  <c r="E867" i="1"/>
  <c r="JV866" i="1"/>
  <c r="JU866" i="1"/>
  <c r="JQ866" i="1"/>
  <c r="JT866" i="1"/>
  <c r="JP866" i="1"/>
  <c r="JS866" i="1"/>
  <c r="IX866" i="1"/>
  <c r="IR866" i="1"/>
  <c r="IK866" i="1"/>
  <c r="E866" i="1"/>
  <c r="JV865" i="1"/>
  <c r="JU865" i="1"/>
  <c r="JQ865" i="1"/>
  <c r="JT865" i="1"/>
  <c r="JP865" i="1"/>
  <c r="JS865" i="1"/>
  <c r="IX865" i="1"/>
  <c r="IR865" i="1"/>
  <c r="IK865" i="1"/>
  <c r="E865" i="1"/>
  <c r="JV864" i="1"/>
  <c r="JU864" i="1"/>
  <c r="JQ864" i="1"/>
  <c r="JP864" i="1"/>
  <c r="JS864" i="1"/>
  <c r="IX864" i="1"/>
  <c r="IR864" i="1"/>
  <c r="IK864" i="1"/>
  <c r="E864" i="1"/>
  <c r="JV863" i="1"/>
  <c r="JU863" i="1"/>
  <c r="JQ863" i="1"/>
  <c r="JT863" i="1"/>
  <c r="JP863" i="1"/>
  <c r="IX863" i="1"/>
  <c r="IR863" i="1"/>
  <c r="IK863" i="1"/>
  <c r="E863" i="1"/>
  <c r="JV862" i="1"/>
  <c r="JU862" i="1"/>
  <c r="JQ862" i="1"/>
  <c r="JT862" i="1"/>
  <c r="JP862" i="1"/>
  <c r="JS862" i="1"/>
  <c r="IX862" i="1"/>
  <c r="IR862" i="1"/>
  <c r="IK862" i="1"/>
  <c r="E862" i="1"/>
  <c r="JV861" i="1"/>
  <c r="JU861" i="1"/>
  <c r="JQ861" i="1"/>
  <c r="JT861" i="1"/>
  <c r="JP861" i="1"/>
  <c r="JS861" i="1"/>
  <c r="IX861" i="1"/>
  <c r="IR861" i="1"/>
  <c r="IK861" i="1"/>
  <c r="E861" i="1"/>
  <c r="JV860" i="1"/>
  <c r="JU860" i="1"/>
  <c r="JQ860" i="1"/>
  <c r="JP860" i="1"/>
  <c r="JS860" i="1"/>
  <c r="IX860" i="1"/>
  <c r="IR860" i="1"/>
  <c r="IK860" i="1"/>
  <c r="E860" i="1"/>
  <c r="JV859" i="1"/>
  <c r="JU859" i="1"/>
  <c r="JQ859" i="1"/>
  <c r="JT859" i="1"/>
  <c r="JP859" i="1"/>
  <c r="IX859" i="1"/>
  <c r="IR859" i="1"/>
  <c r="IK859" i="1"/>
  <c r="E859" i="1"/>
  <c r="JV858" i="1"/>
  <c r="JU858" i="1"/>
  <c r="JQ858" i="1"/>
  <c r="JT858" i="1"/>
  <c r="JP858" i="1"/>
  <c r="JS858" i="1"/>
  <c r="IX858" i="1"/>
  <c r="IR858" i="1"/>
  <c r="IK858" i="1"/>
  <c r="E858" i="1"/>
  <c r="JV857" i="1"/>
  <c r="JU857" i="1"/>
  <c r="JQ857" i="1"/>
  <c r="JT857" i="1"/>
  <c r="JP857" i="1"/>
  <c r="JS857" i="1"/>
  <c r="IX857" i="1"/>
  <c r="IR857" i="1"/>
  <c r="IK857" i="1"/>
  <c r="E857" i="1"/>
  <c r="JV856" i="1"/>
  <c r="JU856" i="1"/>
  <c r="JQ856" i="1"/>
  <c r="JP856" i="1"/>
  <c r="JS856" i="1"/>
  <c r="IX856" i="1"/>
  <c r="IR856" i="1"/>
  <c r="IK856" i="1"/>
  <c r="E856" i="1"/>
  <c r="JV855" i="1"/>
  <c r="JU855" i="1"/>
  <c r="JQ855" i="1"/>
  <c r="JT855" i="1"/>
  <c r="JP855" i="1"/>
  <c r="IX855" i="1"/>
  <c r="IR855" i="1"/>
  <c r="IK855" i="1"/>
  <c r="E855" i="1"/>
  <c r="JV854" i="1"/>
  <c r="JU854" i="1"/>
  <c r="JQ854" i="1"/>
  <c r="JT854" i="1"/>
  <c r="JP854" i="1"/>
  <c r="JS854" i="1"/>
  <c r="IX854" i="1"/>
  <c r="IR854" i="1"/>
  <c r="IK854" i="1"/>
  <c r="E854" i="1"/>
  <c r="JV853" i="1"/>
  <c r="JU853" i="1"/>
  <c r="JQ853" i="1"/>
  <c r="JT853" i="1"/>
  <c r="JP853" i="1"/>
  <c r="JS853" i="1"/>
  <c r="IX853" i="1"/>
  <c r="IR853" i="1"/>
  <c r="IK853" i="1"/>
  <c r="E853" i="1"/>
  <c r="JV852" i="1"/>
  <c r="JU852" i="1"/>
  <c r="JQ852" i="1"/>
  <c r="JP852" i="1"/>
  <c r="JS852" i="1"/>
  <c r="IX852" i="1"/>
  <c r="IR852" i="1"/>
  <c r="IK852" i="1"/>
  <c r="E852" i="1"/>
  <c r="JV851" i="1"/>
  <c r="JU851" i="1"/>
  <c r="JQ851" i="1"/>
  <c r="JT851" i="1"/>
  <c r="JP851" i="1"/>
  <c r="IX851" i="1"/>
  <c r="IR851" i="1"/>
  <c r="IK851" i="1"/>
  <c r="E851" i="1"/>
  <c r="JV850" i="1"/>
  <c r="JU850" i="1"/>
  <c r="JQ850" i="1"/>
  <c r="JT850" i="1"/>
  <c r="JP850" i="1"/>
  <c r="JS850" i="1"/>
  <c r="IX850" i="1"/>
  <c r="IR850" i="1"/>
  <c r="IK850" i="1"/>
  <c r="E850" i="1"/>
  <c r="JV849" i="1"/>
  <c r="JU849" i="1"/>
  <c r="JQ849" i="1"/>
  <c r="JT849" i="1"/>
  <c r="JP849" i="1"/>
  <c r="JS849" i="1"/>
  <c r="IX849" i="1"/>
  <c r="IR849" i="1"/>
  <c r="IK849" i="1"/>
  <c r="E849" i="1"/>
  <c r="JV848" i="1"/>
  <c r="JU848" i="1"/>
  <c r="JQ848" i="1"/>
  <c r="JP848" i="1"/>
  <c r="JS848" i="1"/>
  <c r="IX848" i="1"/>
  <c r="IR848" i="1"/>
  <c r="IK848" i="1"/>
  <c r="E848" i="1"/>
  <c r="JV847" i="1"/>
  <c r="JU847" i="1"/>
  <c r="JQ847" i="1"/>
  <c r="JT847" i="1"/>
  <c r="JP847" i="1"/>
  <c r="IX847" i="1"/>
  <c r="IR847" i="1"/>
  <c r="IK847" i="1"/>
  <c r="E847" i="1"/>
  <c r="JV846" i="1"/>
  <c r="JU846" i="1"/>
  <c r="JQ846" i="1"/>
  <c r="JT846" i="1"/>
  <c r="JP846" i="1"/>
  <c r="JS846" i="1"/>
  <c r="IX846" i="1"/>
  <c r="IR846" i="1"/>
  <c r="IK846" i="1"/>
  <c r="E846" i="1"/>
  <c r="JV845" i="1"/>
  <c r="JU845" i="1"/>
  <c r="JQ845" i="1"/>
  <c r="JT845" i="1"/>
  <c r="JP845" i="1"/>
  <c r="JS845" i="1"/>
  <c r="IX845" i="1"/>
  <c r="IR845" i="1"/>
  <c r="IK845" i="1"/>
  <c r="E845" i="1"/>
  <c r="JV844" i="1"/>
  <c r="JU844" i="1"/>
  <c r="JQ844" i="1"/>
  <c r="JP844" i="1"/>
  <c r="JS844" i="1"/>
  <c r="IX844" i="1"/>
  <c r="IR844" i="1"/>
  <c r="IK844" i="1"/>
  <c r="E844" i="1"/>
  <c r="JV843" i="1"/>
  <c r="JU843" i="1"/>
  <c r="JQ843" i="1"/>
  <c r="JT843" i="1"/>
  <c r="JP843" i="1"/>
  <c r="IX843" i="1"/>
  <c r="IR843" i="1"/>
  <c r="IK843" i="1"/>
  <c r="E843" i="1"/>
  <c r="JV842" i="1"/>
  <c r="JU842" i="1"/>
  <c r="JQ842" i="1"/>
  <c r="JT842" i="1"/>
  <c r="JP842" i="1"/>
  <c r="JS842" i="1"/>
  <c r="IX842" i="1"/>
  <c r="IR842" i="1"/>
  <c r="IK842" i="1"/>
  <c r="E842" i="1"/>
  <c r="JV841" i="1"/>
  <c r="JU841" i="1"/>
  <c r="JQ841" i="1"/>
  <c r="JT841" i="1"/>
  <c r="JP841" i="1"/>
  <c r="JS841" i="1"/>
  <c r="IX841" i="1"/>
  <c r="IR841" i="1"/>
  <c r="IK841" i="1"/>
  <c r="E841" i="1"/>
  <c r="JV840" i="1"/>
  <c r="JU840" i="1"/>
  <c r="JQ840" i="1"/>
  <c r="JP840" i="1"/>
  <c r="JS840" i="1"/>
  <c r="IX840" i="1"/>
  <c r="IR840" i="1"/>
  <c r="IK840" i="1"/>
  <c r="E840" i="1"/>
  <c r="JV839" i="1"/>
  <c r="JU839" i="1"/>
  <c r="JQ839" i="1"/>
  <c r="JT839" i="1"/>
  <c r="JP839" i="1"/>
  <c r="IX839" i="1"/>
  <c r="IR839" i="1"/>
  <c r="IK839" i="1"/>
  <c r="E839" i="1"/>
  <c r="JV838" i="1"/>
  <c r="JU838" i="1"/>
  <c r="JQ838" i="1"/>
  <c r="JT838" i="1"/>
  <c r="JP838" i="1"/>
  <c r="JS838" i="1"/>
  <c r="IX838" i="1"/>
  <c r="IR838" i="1"/>
  <c r="IK838" i="1"/>
  <c r="E838" i="1"/>
  <c r="JV837" i="1"/>
  <c r="JU837" i="1"/>
  <c r="JQ837" i="1"/>
  <c r="JT837" i="1"/>
  <c r="JP837" i="1"/>
  <c r="JS837" i="1"/>
  <c r="IX837" i="1"/>
  <c r="IR837" i="1"/>
  <c r="IK837" i="1"/>
  <c r="E837" i="1"/>
  <c r="JV836" i="1"/>
  <c r="JU836" i="1"/>
  <c r="JQ836" i="1"/>
  <c r="JP836" i="1"/>
  <c r="JS836" i="1"/>
  <c r="IX836" i="1"/>
  <c r="IR836" i="1"/>
  <c r="IK836" i="1"/>
  <c r="E836" i="1"/>
  <c r="JV835" i="1"/>
  <c r="JU835" i="1"/>
  <c r="JQ835" i="1"/>
  <c r="JT835" i="1"/>
  <c r="JP835" i="1"/>
  <c r="JS835" i="1"/>
  <c r="IX835" i="1"/>
  <c r="IR835" i="1"/>
  <c r="IK835" i="1"/>
  <c r="E835" i="1"/>
  <c r="JV834" i="1"/>
  <c r="JU834" i="1"/>
  <c r="JQ834" i="1"/>
  <c r="JT834" i="1"/>
  <c r="JP834" i="1"/>
  <c r="JS834" i="1"/>
  <c r="IX834" i="1"/>
  <c r="IR834" i="1"/>
  <c r="IK834" i="1"/>
  <c r="E834" i="1"/>
  <c r="JV833" i="1"/>
  <c r="JU833" i="1"/>
  <c r="JQ833" i="1"/>
  <c r="JP833" i="1"/>
  <c r="JS833" i="1"/>
  <c r="IX833" i="1"/>
  <c r="IR833" i="1"/>
  <c r="IK833" i="1"/>
  <c r="E833" i="1"/>
  <c r="JV832" i="1"/>
  <c r="JU832" i="1"/>
  <c r="JQ832" i="1"/>
  <c r="JT832" i="1"/>
  <c r="JP832" i="1"/>
  <c r="IX832" i="1"/>
  <c r="IR832" i="1"/>
  <c r="IK832" i="1"/>
  <c r="E832" i="1"/>
  <c r="JV831" i="1"/>
  <c r="JU831" i="1"/>
  <c r="JQ831" i="1"/>
  <c r="JT831" i="1"/>
  <c r="JP831" i="1"/>
  <c r="IX831" i="1"/>
  <c r="IR831" i="1"/>
  <c r="IK831" i="1"/>
  <c r="E831" i="1"/>
  <c r="JV830" i="1"/>
  <c r="JU830" i="1"/>
  <c r="JQ830" i="1"/>
  <c r="JP830" i="1"/>
  <c r="JS830" i="1"/>
  <c r="IX830" i="1"/>
  <c r="IR830" i="1"/>
  <c r="IK830" i="1"/>
  <c r="E830" i="1"/>
  <c r="JV829" i="1"/>
  <c r="JU829" i="1"/>
  <c r="JQ829" i="1"/>
  <c r="JP829" i="1"/>
  <c r="JS829" i="1"/>
  <c r="IX829" i="1"/>
  <c r="IR829" i="1"/>
  <c r="IK829" i="1"/>
  <c r="E829" i="1"/>
  <c r="JV828" i="1"/>
  <c r="JU828" i="1"/>
  <c r="JQ828" i="1"/>
  <c r="JP828" i="1"/>
  <c r="JS828" i="1"/>
  <c r="IX828" i="1"/>
  <c r="IR828" i="1"/>
  <c r="IK828" i="1"/>
  <c r="E828" i="1"/>
  <c r="JV827" i="1"/>
  <c r="JU827" i="1"/>
  <c r="JQ827" i="1"/>
  <c r="JT827" i="1"/>
  <c r="JP827" i="1"/>
  <c r="IX827" i="1"/>
  <c r="IR827" i="1"/>
  <c r="IK827" i="1"/>
  <c r="E827" i="1"/>
  <c r="JV826" i="1"/>
  <c r="JU826" i="1"/>
  <c r="JQ826" i="1"/>
  <c r="JP826" i="1"/>
  <c r="JS826" i="1"/>
  <c r="IX826" i="1"/>
  <c r="IR826" i="1"/>
  <c r="IK826" i="1"/>
  <c r="E826" i="1"/>
  <c r="JV825" i="1"/>
  <c r="JU825" i="1"/>
  <c r="JQ825" i="1"/>
  <c r="JP825" i="1"/>
  <c r="JS825" i="1"/>
  <c r="IX825" i="1"/>
  <c r="IR825" i="1"/>
  <c r="IK825" i="1"/>
  <c r="E825" i="1"/>
  <c r="JV824" i="1"/>
  <c r="JU824" i="1"/>
  <c r="JQ824" i="1"/>
  <c r="JP824" i="1"/>
  <c r="JS824" i="1"/>
  <c r="IX824" i="1"/>
  <c r="IR824" i="1"/>
  <c r="IK824" i="1"/>
  <c r="E824" i="1"/>
  <c r="JV823" i="1"/>
  <c r="JU823" i="1"/>
  <c r="JQ823" i="1"/>
  <c r="JT823" i="1"/>
  <c r="JP823" i="1"/>
  <c r="JS823" i="1"/>
  <c r="IX823" i="1"/>
  <c r="IR823" i="1"/>
  <c r="IK823" i="1"/>
  <c r="E823" i="1"/>
  <c r="JV822" i="1"/>
  <c r="JU822" i="1"/>
  <c r="JQ822" i="1"/>
  <c r="JP822" i="1"/>
  <c r="JS822" i="1"/>
  <c r="IX822" i="1"/>
  <c r="IR822" i="1"/>
  <c r="IK822" i="1"/>
  <c r="E822" i="1"/>
  <c r="JV821" i="1"/>
  <c r="JU821" i="1"/>
  <c r="JQ821" i="1"/>
  <c r="JT821" i="1"/>
  <c r="JP821" i="1"/>
  <c r="JS821" i="1"/>
  <c r="IX821" i="1"/>
  <c r="IR821" i="1"/>
  <c r="IK821" i="1"/>
  <c r="E821" i="1"/>
  <c r="JV820" i="1"/>
  <c r="JU820" i="1"/>
  <c r="JT820" i="1"/>
  <c r="JQ820" i="1"/>
  <c r="JP820" i="1"/>
  <c r="JS820" i="1"/>
  <c r="IX820" i="1"/>
  <c r="IR820" i="1"/>
  <c r="IK820" i="1"/>
  <c r="E820" i="1"/>
  <c r="JV819" i="1"/>
  <c r="JU819" i="1"/>
  <c r="JQ819" i="1"/>
  <c r="JT819" i="1"/>
  <c r="JP819" i="1"/>
  <c r="JS819" i="1"/>
  <c r="IX819" i="1"/>
  <c r="IR819" i="1"/>
  <c r="IK819" i="1"/>
  <c r="E819" i="1"/>
  <c r="JV818" i="1"/>
  <c r="JU818" i="1"/>
  <c r="JQ818" i="1"/>
  <c r="JP818" i="1"/>
  <c r="JS818" i="1"/>
  <c r="IX818" i="1"/>
  <c r="IR818" i="1"/>
  <c r="IK818" i="1"/>
  <c r="E818" i="1"/>
  <c r="JV817" i="1"/>
  <c r="JU817" i="1"/>
  <c r="JQ817" i="1"/>
  <c r="JT817" i="1"/>
  <c r="JP817" i="1"/>
  <c r="JS817" i="1"/>
  <c r="IX817" i="1"/>
  <c r="IR817" i="1"/>
  <c r="IK817" i="1"/>
  <c r="E817" i="1"/>
  <c r="JV816" i="1"/>
  <c r="JU816" i="1"/>
  <c r="JQ816" i="1"/>
  <c r="JP816" i="1"/>
  <c r="JS816" i="1"/>
  <c r="IX816" i="1"/>
  <c r="IR816" i="1"/>
  <c r="IK816" i="1"/>
  <c r="E816" i="1"/>
  <c r="JV815" i="1"/>
  <c r="JU815" i="1"/>
  <c r="JQ815" i="1"/>
  <c r="JT815" i="1"/>
  <c r="JP815" i="1"/>
  <c r="JS815" i="1"/>
  <c r="IX815" i="1"/>
  <c r="IR815" i="1"/>
  <c r="IK815" i="1"/>
  <c r="E815" i="1"/>
  <c r="JV814" i="1"/>
  <c r="JU814" i="1"/>
  <c r="JQ814" i="1"/>
  <c r="JP814" i="1"/>
  <c r="JS814" i="1"/>
  <c r="IX814" i="1"/>
  <c r="IR814" i="1"/>
  <c r="IK814" i="1"/>
  <c r="E814" i="1"/>
  <c r="JV813" i="1"/>
  <c r="JU813" i="1"/>
  <c r="JQ813" i="1"/>
  <c r="JT813" i="1"/>
  <c r="JP813" i="1"/>
  <c r="JS813" i="1"/>
  <c r="IX813" i="1"/>
  <c r="IR813" i="1"/>
  <c r="IK813" i="1"/>
  <c r="E813" i="1"/>
  <c r="JV812" i="1"/>
  <c r="JU812" i="1"/>
  <c r="JT812" i="1"/>
  <c r="JQ812" i="1"/>
  <c r="JP812" i="1"/>
  <c r="JS812" i="1"/>
  <c r="IX812" i="1"/>
  <c r="IR812" i="1"/>
  <c r="IK812" i="1"/>
  <c r="E812" i="1"/>
  <c r="JV811" i="1"/>
  <c r="JU811" i="1"/>
  <c r="JQ811" i="1"/>
  <c r="JT811" i="1"/>
  <c r="JP811" i="1"/>
  <c r="JS811" i="1"/>
  <c r="IX811" i="1"/>
  <c r="IR811" i="1"/>
  <c r="IK811" i="1"/>
  <c r="E811" i="1"/>
  <c r="JV810" i="1"/>
  <c r="JU810" i="1"/>
  <c r="JQ810" i="1"/>
  <c r="JT810" i="1"/>
  <c r="JP810" i="1"/>
  <c r="JS810" i="1"/>
  <c r="IX810" i="1"/>
  <c r="IR810" i="1"/>
  <c r="IK810" i="1"/>
  <c r="E810" i="1"/>
  <c r="JV809" i="1"/>
  <c r="JU809" i="1"/>
  <c r="JQ809" i="1"/>
  <c r="JT809" i="1"/>
  <c r="JP809" i="1"/>
  <c r="JS809" i="1"/>
  <c r="IX809" i="1"/>
  <c r="IR809" i="1"/>
  <c r="IK809" i="1"/>
  <c r="E809" i="1"/>
  <c r="JV808" i="1"/>
  <c r="JU808" i="1"/>
  <c r="JT808" i="1"/>
  <c r="JQ808" i="1"/>
  <c r="JP808" i="1"/>
  <c r="JS808" i="1"/>
  <c r="IX808" i="1"/>
  <c r="IR808" i="1"/>
  <c r="IK808" i="1"/>
  <c r="E808" i="1"/>
  <c r="JV807" i="1"/>
  <c r="JU807" i="1"/>
  <c r="JQ807" i="1"/>
  <c r="JP807" i="1"/>
  <c r="JS807" i="1"/>
  <c r="IX807" i="1"/>
  <c r="IR807" i="1"/>
  <c r="IK807" i="1"/>
  <c r="E807" i="1"/>
  <c r="JV806" i="1"/>
  <c r="JU806" i="1"/>
  <c r="JS806" i="1"/>
  <c r="JQ806" i="1"/>
  <c r="JT806" i="1"/>
  <c r="JP806" i="1"/>
  <c r="IX806" i="1"/>
  <c r="IR806" i="1"/>
  <c r="IK806" i="1"/>
  <c r="E806" i="1"/>
  <c r="JV805" i="1"/>
  <c r="JU805" i="1"/>
  <c r="JQ805" i="1"/>
  <c r="JP805" i="1"/>
  <c r="JS805" i="1"/>
  <c r="IX805" i="1"/>
  <c r="IR805" i="1"/>
  <c r="IK805" i="1"/>
  <c r="E805" i="1"/>
  <c r="JV804" i="1"/>
  <c r="JU804" i="1"/>
  <c r="JQ804" i="1"/>
  <c r="JT804" i="1"/>
  <c r="JP804" i="1"/>
  <c r="JS804" i="1"/>
  <c r="IX804" i="1"/>
  <c r="IR804" i="1"/>
  <c r="IK804" i="1"/>
  <c r="E804" i="1"/>
  <c r="JV803" i="1"/>
  <c r="JU803" i="1"/>
  <c r="JQ803" i="1"/>
  <c r="JP803" i="1"/>
  <c r="JS803" i="1"/>
  <c r="IX803" i="1"/>
  <c r="IR803" i="1"/>
  <c r="IK803" i="1"/>
  <c r="E803" i="1"/>
  <c r="JV802" i="1"/>
  <c r="JU802" i="1"/>
  <c r="JQ802" i="1"/>
  <c r="JT802" i="1"/>
  <c r="JP802" i="1"/>
  <c r="JS802" i="1"/>
  <c r="IX802" i="1"/>
  <c r="IR802" i="1"/>
  <c r="IK802" i="1"/>
  <c r="E802" i="1"/>
  <c r="JV801" i="1"/>
  <c r="JU801" i="1"/>
  <c r="JQ801" i="1"/>
  <c r="JT801" i="1"/>
  <c r="JP801" i="1"/>
  <c r="JS801" i="1"/>
  <c r="IX801" i="1"/>
  <c r="IR801" i="1"/>
  <c r="IK801" i="1"/>
  <c r="E801" i="1"/>
  <c r="JV800" i="1"/>
  <c r="JU800" i="1"/>
  <c r="JQ800" i="1"/>
  <c r="JT800" i="1"/>
  <c r="JP800" i="1"/>
  <c r="JS800" i="1"/>
  <c r="IX800" i="1"/>
  <c r="IR800" i="1"/>
  <c r="IK800" i="1"/>
  <c r="E800" i="1"/>
  <c r="JV799" i="1"/>
  <c r="JU799" i="1"/>
  <c r="JQ799" i="1"/>
  <c r="JR799" i="1"/>
  <c r="JP799" i="1"/>
  <c r="JS799" i="1"/>
  <c r="IX799" i="1"/>
  <c r="IR799" i="1"/>
  <c r="IK799" i="1"/>
  <c r="E799" i="1"/>
  <c r="JV798" i="1"/>
  <c r="JU798" i="1"/>
  <c r="JQ798" i="1"/>
  <c r="JT798" i="1"/>
  <c r="JP798" i="1"/>
  <c r="JS798" i="1"/>
  <c r="IX798" i="1"/>
  <c r="IR798" i="1"/>
  <c r="IK798" i="1"/>
  <c r="E798" i="1"/>
  <c r="JV797" i="1"/>
  <c r="JU797" i="1"/>
  <c r="JQ797" i="1"/>
  <c r="JT797" i="1"/>
  <c r="JP797" i="1"/>
  <c r="JS797" i="1"/>
  <c r="IX797" i="1"/>
  <c r="IR797" i="1"/>
  <c r="IK797" i="1"/>
  <c r="E797" i="1"/>
  <c r="JV796" i="1"/>
  <c r="JU796" i="1"/>
  <c r="JQ796" i="1"/>
  <c r="JT796" i="1"/>
  <c r="JP796" i="1"/>
  <c r="JS796" i="1"/>
  <c r="IX796" i="1"/>
  <c r="IR796" i="1"/>
  <c r="IK796" i="1"/>
  <c r="E796" i="1"/>
  <c r="JV795" i="1"/>
  <c r="JU795" i="1"/>
  <c r="JQ795" i="1"/>
  <c r="JT795" i="1"/>
  <c r="JP795" i="1"/>
  <c r="JS795" i="1"/>
  <c r="IX795" i="1"/>
  <c r="IR795" i="1"/>
  <c r="IK795" i="1"/>
  <c r="E795" i="1"/>
  <c r="JV794" i="1"/>
  <c r="JU794" i="1"/>
  <c r="JQ794" i="1"/>
  <c r="JT794" i="1"/>
  <c r="JP794" i="1"/>
  <c r="JS794" i="1"/>
  <c r="IX794" i="1"/>
  <c r="IR794" i="1"/>
  <c r="IK794" i="1"/>
  <c r="E794" i="1"/>
  <c r="JV793" i="1"/>
  <c r="JU793" i="1"/>
  <c r="JQ793" i="1"/>
  <c r="JT793" i="1"/>
  <c r="JP793" i="1"/>
  <c r="JS793" i="1"/>
  <c r="IX793" i="1"/>
  <c r="IR793" i="1"/>
  <c r="IK793" i="1"/>
  <c r="E793" i="1"/>
  <c r="JV792" i="1"/>
  <c r="JU792" i="1"/>
  <c r="JQ792" i="1"/>
  <c r="JT792" i="1"/>
  <c r="JP792" i="1"/>
  <c r="IX792" i="1"/>
  <c r="IR792" i="1"/>
  <c r="IK792" i="1"/>
  <c r="E792" i="1"/>
  <c r="JV791" i="1"/>
  <c r="JU791" i="1"/>
  <c r="JQ791" i="1"/>
  <c r="JT791" i="1"/>
  <c r="JP791" i="1"/>
  <c r="JS791" i="1"/>
  <c r="IX791" i="1"/>
  <c r="IR791" i="1"/>
  <c r="IK791" i="1"/>
  <c r="E791" i="1"/>
  <c r="JV790" i="1"/>
  <c r="JU790" i="1"/>
  <c r="JQ790" i="1"/>
  <c r="JT790" i="1"/>
  <c r="JP790" i="1"/>
  <c r="IX790" i="1"/>
  <c r="IR790" i="1"/>
  <c r="IK790" i="1"/>
  <c r="E790" i="1"/>
  <c r="JV789" i="1"/>
  <c r="JU789" i="1"/>
  <c r="JQ789" i="1"/>
  <c r="JT789" i="1"/>
  <c r="JP789" i="1"/>
  <c r="JS789" i="1"/>
  <c r="IX789" i="1"/>
  <c r="IR789" i="1"/>
  <c r="IK789" i="1"/>
  <c r="E789" i="1"/>
  <c r="JV788" i="1"/>
  <c r="JU788" i="1"/>
  <c r="JQ788" i="1"/>
  <c r="JT788" i="1"/>
  <c r="JP788" i="1"/>
  <c r="JS788" i="1"/>
  <c r="IX788" i="1"/>
  <c r="IR788" i="1"/>
  <c r="IK788" i="1"/>
  <c r="E788" i="1"/>
  <c r="JV787" i="1"/>
  <c r="JU787" i="1"/>
  <c r="JQ787" i="1"/>
  <c r="JT787" i="1"/>
  <c r="JP787" i="1"/>
  <c r="JS787" i="1"/>
  <c r="IX787" i="1"/>
  <c r="IR787" i="1"/>
  <c r="IK787" i="1"/>
  <c r="E787" i="1"/>
  <c r="JV786" i="1"/>
  <c r="JU786" i="1"/>
  <c r="JT786" i="1"/>
  <c r="JQ786" i="1"/>
  <c r="JP786" i="1"/>
  <c r="JS786" i="1"/>
  <c r="IX786" i="1"/>
  <c r="IR786" i="1"/>
  <c r="IK786" i="1"/>
  <c r="E786" i="1"/>
  <c r="JV785" i="1"/>
  <c r="JU785" i="1"/>
  <c r="JQ785" i="1"/>
  <c r="JT785" i="1"/>
  <c r="JP785" i="1"/>
  <c r="JS785" i="1"/>
  <c r="IX785" i="1"/>
  <c r="IR785" i="1"/>
  <c r="IK785" i="1"/>
  <c r="E785" i="1"/>
  <c r="JV784" i="1"/>
  <c r="JU784" i="1"/>
  <c r="JQ784" i="1"/>
  <c r="JT784" i="1"/>
  <c r="JP784" i="1"/>
  <c r="IX784" i="1"/>
  <c r="IR784" i="1"/>
  <c r="IK784" i="1"/>
  <c r="E784" i="1"/>
  <c r="JV783" i="1"/>
  <c r="JU783" i="1"/>
  <c r="JQ783" i="1"/>
  <c r="JT783" i="1"/>
  <c r="JP783" i="1"/>
  <c r="JS783" i="1"/>
  <c r="IX783" i="1"/>
  <c r="IR783" i="1"/>
  <c r="IK783" i="1"/>
  <c r="E783" i="1"/>
  <c r="JV782" i="1"/>
  <c r="JU782" i="1"/>
  <c r="JS782" i="1"/>
  <c r="JQ782" i="1"/>
  <c r="JP782" i="1"/>
  <c r="IX782" i="1"/>
  <c r="IR782" i="1"/>
  <c r="IK782" i="1"/>
  <c r="E782" i="1"/>
  <c r="JV781" i="1"/>
  <c r="JU781" i="1"/>
  <c r="JQ781" i="1"/>
  <c r="JT781" i="1"/>
  <c r="JP781" i="1"/>
  <c r="JS781" i="1"/>
  <c r="IX781" i="1"/>
  <c r="IR781" i="1"/>
  <c r="IK781" i="1"/>
  <c r="E781" i="1"/>
  <c r="JV780" i="1"/>
  <c r="JU780" i="1"/>
  <c r="JQ780" i="1"/>
  <c r="JT780" i="1"/>
  <c r="JP780" i="1"/>
  <c r="JS780" i="1"/>
  <c r="IX780" i="1"/>
  <c r="IR780" i="1"/>
  <c r="IK780" i="1"/>
  <c r="E780" i="1"/>
  <c r="JV779" i="1"/>
  <c r="JU779" i="1"/>
  <c r="JQ779" i="1"/>
  <c r="JT779" i="1"/>
  <c r="JP779" i="1"/>
  <c r="JS779" i="1"/>
  <c r="IX779" i="1"/>
  <c r="IR779" i="1"/>
  <c r="IK779" i="1"/>
  <c r="E779" i="1"/>
  <c r="JV778" i="1"/>
  <c r="JU778" i="1"/>
  <c r="JQ778" i="1"/>
  <c r="JT778" i="1"/>
  <c r="JP778" i="1"/>
  <c r="IX778" i="1"/>
  <c r="IR778" i="1"/>
  <c r="IK778" i="1"/>
  <c r="E778" i="1"/>
  <c r="JV777" i="1"/>
  <c r="JU777" i="1"/>
  <c r="JQ777" i="1"/>
  <c r="JP777" i="1"/>
  <c r="JS777" i="1"/>
  <c r="IX777" i="1"/>
  <c r="IR777" i="1"/>
  <c r="IK777" i="1"/>
  <c r="E777" i="1"/>
  <c r="JV776" i="1"/>
  <c r="JU776" i="1"/>
  <c r="JQ776" i="1"/>
  <c r="JT776" i="1"/>
  <c r="JP776" i="1"/>
  <c r="IX776" i="1"/>
  <c r="IR776" i="1"/>
  <c r="IK776" i="1"/>
  <c r="E776" i="1"/>
  <c r="JV775" i="1"/>
  <c r="JU775" i="1"/>
  <c r="JQ775" i="1"/>
  <c r="JT775" i="1"/>
  <c r="JP775" i="1"/>
  <c r="JS775" i="1"/>
  <c r="IX775" i="1"/>
  <c r="IR775" i="1"/>
  <c r="IK775" i="1"/>
  <c r="E775" i="1"/>
  <c r="JV774" i="1"/>
  <c r="JU774" i="1"/>
  <c r="JQ774" i="1"/>
  <c r="JP774" i="1"/>
  <c r="JS774" i="1"/>
  <c r="IX774" i="1"/>
  <c r="IR774" i="1"/>
  <c r="IK774" i="1"/>
  <c r="E774" i="1"/>
  <c r="JV773" i="1"/>
  <c r="JU773" i="1"/>
  <c r="JQ773" i="1"/>
  <c r="JT773" i="1"/>
  <c r="JP773" i="1"/>
  <c r="JS773" i="1"/>
  <c r="IX773" i="1"/>
  <c r="IR773" i="1"/>
  <c r="IK773" i="1"/>
  <c r="E773" i="1"/>
  <c r="JV772" i="1"/>
  <c r="JU772" i="1"/>
  <c r="JQ772" i="1"/>
  <c r="JT772" i="1"/>
  <c r="JP772" i="1"/>
  <c r="JS772" i="1"/>
  <c r="IX772" i="1"/>
  <c r="IR772" i="1"/>
  <c r="IK772" i="1"/>
  <c r="E772" i="1"/>
  <c r="JV771" i="1"/>
  <c r="JU771" i="1"/>
  <c r="JQ771" i="1"/>
  <c r="JT771" i="1"/>
  <c r="JP771" i="1"/>
  <c r="JS771" i="1"/>
  <c r="IX771" i="1"/>
  <c r="IR771" i="1"/>
  <c r="IK771" i="1"/>
  <c r="E771" i="1"/>
  <c r="JV770" i="1"/>
  <c r="JU770" i="1"/>
  <c r="JQ770" i="1"/>
  <c r="JT770" i="1"/>
  <c r="JP770" i="1"/>
  <c r="JS770" i="1"/>
  <c r="IX770" i="1"/>
  <c r="IR770" i="1"/>
  <c r="IK770" i="1"/>
  <c r="E770" i="1"/>
  <c r="JV769" i="1"/>
  <c r="JU769" i="1"/>
  <c r="JQ769" i="1"/>
  <c r="JP769" i="1"/>
  <c r="JS769" i="1"/>
  <c r="IX769" i="1"/>
  <c r="IR769" i="1"/>
  <c r="IK769" i="1"/>
  <c r="E769" i="1"/>
  <c r="JV768" i="1"/>
  <c r="JU768" i="1"/>
  <c r="JQ768" i="1"/>
  <c r="JP768" i="1"/>
  <c r="JS768" i="1"/>
  <c r="IX768" i="1"/>
  <c r="IR768" i="1"/>
  <c r="IK768" i="1"/>
  <c r="E768" i="1"/>
  <c r="JV767" i="1"/>
  <c r="JU767" i="1"/>
  <c r="JQ767" i="1"/>
  <c r="JT767" i="1"/>
  <c r="JP767" i="1"/>
  <c r="JS767" i="1"/>
  <c r="IX767" i="1"/>
  <c r="IR767" i="1"/>
  <c r="IK767" i="1"/>
  <c r="E767" i="1"/>
  <c r="JV766" i="1"/>
  <c r="JU766" i="1"/>
  <c r="JQ766" i="1"/>
  <c r="JP766" i="1"/>
  <c r="JS766" i="1"/>
  <c r="IX766" i="1"/>
  <c r="IR766" i="1"/>
  <c r="IK766" i="1"/>
  <c r="E766" i="1"/>
  <c r="JV765" i="1"/>
  <c r="JU765" i="1"/>
  <c r="JQ765" i="1"/>
  <c r="JT765" i="1"/>
  <c r="JP765" i="1"/>
  <c r="JS765" i="1"/>
  <c r="IX765" i="1"/>
  <c r="IR765" i="1"/>
  <c r="IK765" i="1"/>
  <c r="E765" i="1"/>
  <c r="JV764" i="1"/>
  <c r="JU764" i="1"/>
  <c r="JQ764" i="1"/>
  <c r="JT764" i="1"/>
  <c r="JP764" i="1"/>
  <c r="IX764" i="1"/>
  <c r="IR764" i="1"/>
  <c r="IK764" i="1"/>
  <c r="E764" i="1"/>
  <c r="JV763" i="1"/>
  <c r="JU763" i="1"/>
  <c r="JQ763" i="1"/>
  <c r="JT763" i="1"/>
  <c r="JP763" i="1"/>
  <c r="IX763" i="1"/>
  <c r="IR763" i="1"/>
  <c r="IK763" i="1"/>
  <c r="E763" i="1"/>
  <c r="JV762" i="1"/>
  <c r="JU762" i="1"/>
  <c r="JQ762" i="1"/>
  <c r="JT762" i="1"/>
  <c r="JP762" i="1"/>
  <c r="IX762" i="1"/>
  <c r="IR762" i="1"/>
  <c r="IK762" i="1"/>
  <c r="E762" i="1"/>
  <c r="JV761" i="1"/>
  <c r="JU761" i="1"/>
  <c r="JQ761" i="1"/>
  <c r="JT761" i="1"/>
  <c r="JP761" i="1"/>
  <c r="IX761" i="1"/>
  <c r="IR761" i="1"/>
  <c r="IK761" i="1"/>
  <c r="E761" i="1"/>
  <c r="JV760" i="1"/>
  <c r="JU760" i="1"/>
  <c r="JQ760" i="1"/>
  <c r="JT760" i="1"/>
  <c r="JP760" i="1"/>
  <c r="IX760" i="1"/>
  <c r="IR760" i="1"/>
  <c r="IK760" i="1"/>
  <c r="E760" i="1"/>
  <c r="JV759" i="1"/>
  <c r="JU759" i="1"/>
  <c r="JQ759" i="1"/>
  <c r="JP759" i="1"/>
  <c r="JS759" i="1"/>
  <c r="IX759" i="1"/>
  <c r="IR759" i="1"/>
  <c r="IK759" i="1"/>
  <c r="E759" i="1"/>
  <c r="JV758" i="1"/>
  <c r="JU758" i="1"/>
  <c r="JQ758" i="1"/>
  <c r="JT758" i="1"/>
  <c r="JP758" i="1"/>
  <c r="JS758" i="1"/>
  <c r="IX758" i="1"/>
  <c r="IR758" i="1"/>
  <c r="IK758" i="1"/>
  <c r="E758" i="1"/>
  <c r="JV757" i="1"/>
  <c r="JU757" i="1"/>
  <c r="JS757" i="1"/>
  <c r="JQ757" i="1"/>
  <c r="JT757" i="1"/>
  <c r="JP757" i="1"/>
  <c r="IX757" i="1"/>
  <c r="IR757" i="1"/>
  <c r="IK757" i="1"/>
  <c r="E757" i="1"/>
  <c r="JV756" i="1"/>
  <c r="JU756" i="1"/>
  <c r="JQ756" i="1"/>
  <c r="JT756" i="1"/>
  <c r="JP756" i="1"/>
  <c r="JS756" i="1"/>
  <c r="IX756" i="1"/>
  <c r="IR756" i="1"/>
  <c r="IK756" i="1"/>
  <c r="E756" i="1"/>
  <c r="JV755" i="1"/>
  <c r="JU755" i="1"/>
  <c r="JQ755" i="1"/>
  <c r="JT755" i="1"/>
  <c r="JP755" i="1"/>
  <c r="IX755" i="1"/>
  <c r="IR755" i="1"/>
  <c r="IK755" i="1"/>
  <c r="E755" i="1"/>
  <c r="JV754" i="1"/>
  <c r="JU754" i="1"/>
  <c r="JQ754" i="1"/>
  <c r="JT754" i="1"/>
  <c r="JP754" i="1"/>
  <c r="JS754" i="1"/>
  <c r="IX754" i="1"/>
  <c r="IR754" i="1"/>
  <c r="IK754" i="1"/>
  <c r="E754" i="1"/>
  <c r="JV753" i="1"/>
  <c r="JU753" i="1"/>
  <c r="JQ753" i="1"/>
  <c r="JT753" i="1"/>
  <c r="JP753" i="1"/>
  <c r="JS753" i="1"/>
  <c r="IX753" i="1"/>
  <c r="IR753" i="1"/>
  <c r="IK753" i="1"/>
  <c r="E753" i="1"/>
  <c r="JV752" i="1"/>
  <c r="JU752" i="1"/>
  <c r="JQ752" i="1"/>
  <c r="JT752" i="1"/>
  <c r="JP752" i="1"/>
  <c r="JS752" i="1"/>
  <c r="IX752" i="1"/>
  <c r="IR752" i="1"/>
  <c r="IK752" i="1"/>
  <c r="E752" i="1"/>
  <c r="JV751" i="1"/>
  <c r="JU751" i="1"/>
  <c r="JQ751" i="1"/>
  <c r="JT751" i="1"/>
  <c r="JP751" i="1"/>
  <c r="IX751" i="1"/>
  <c r="IR751" i="1"/>
  <c r="IK751" i="1"/>
  <c r="E751" i="1"/>
  <c r="JV750" i="1"/>
  <c r="JU750" i="1"/>
  <c r="JQ750" i="1"/>
  <c r="JT750" i="1"/>
  <c r="JP750" i="1"/>
  <c r="JS750" i="1"/>
  <c r="IX750" i="1"/>
  <c r="IR750" i="1"/>
  <c r="IK750" i="1"/>
  <c r="E750" i="1"/>
  <c r="JV749" i="1"/>
  <c r="JU749" i="1"/>
  <c r="JS749" i="1"/>
  <c r="JQ749" i="1"/>
  <c r="JP749" i="1"/>
  <c r="IX749" i="1"/>
  <c r="IR749" i="1"/>
  <c r="IK749" i="1"/>
  <c r="E749" i="1"/>
  <c r="JV748" i="1"/>
  <c r="JU748" i="1"/>
  <c r="JQ748" i="1"/>
  <c r="JP748" i="1"/>
  <c r="JS748" i="1"/>
  <c r="IX748" i="1"/>
  <c r="IR748" i="1"/>
  <c r="IK748" i="1"/>
  <c r="E748" i="1"/>
  <c r="JV747" i="1"/>
  <c r="JU747" i="1"/>
  <c r="JQ747" i="1"/>
  <c r="JP747" i="1"/>
  <c r="JS747" i="1"/>
  <c r="IX747" i="1"/>
  <c r="IR747" i="1"/>
  <c r="IK747" i="1"/>
  <c r="E747" i="1"/>
  <c r="JV746" i="1"/>
  <c r="JU746" i="1"/>
  <c r="JQ746" i="1"/>
  <c r="JT746" i="1"/>
  <c r="JP746" i="1"/>
  <c r="JS746" i="1"/>
  <c r="IX746" i="1"/>
  <c r="IR746" i="1"/>
  <c r="IK746" i="1"/>
  <c r="E746" i="1"/>
  <c r="JV745" i="1"/>
  <c r="JU745" i="1"/>
  <c r="JQ745" i="1"/>
  <c r="JT745" i="1"/>
  <c r="JP745" i="1"/>
  <c r="JS745" i="1"/>
  <c r="IX745" i="1"/>
  <c r="IR745" i="1"/>
  <c r="IK745" i="1"/>
  <c r="E745" i="1"/>
  <c r="JV744" i="1"/>
  <c r="JU744" i="1"/>
  <c r="JQ744" i="1"/>
  <c r="JP744" i="1"/>
  <c r="JS744" i="1"/>
  <c r="IX744" i="1"/>
  <c r="IR744" i="1"/>
  <c r="IK744" i="1"/>
  <c r="E744" i="1"/>
  <c r="JV743" i="1"/>
  <c r="JU743" i="1"/>
  <c r="JQ743" i="1"/>
  <c r="JP743" i="1"/>
  <c r="JS743" i="1"/>
  <c r="IX743" i="1"/>
  <c r="IR743" i="1"/>
  <c r="IK743" i="1"/>
  <c r="E743" i="1"/>
  <c r="JV742" i="1"/>
  <c r="JU742" i="1"/>
  <c r="JQ742" i="1"/>
  <c r="JT742" i="1"/>
  <c r="JP742" i="1"/>
  <c r="IX742" i="1"/>
  <c r="IR742" i="1"/>
  <c r="IK742" i="1"/>
  <c r="E742" i="1"/>
  <c r="JV741" i="1"/>
  <c r="JU741" i="1"/>
  <c r="JS741" i="1"/>
  <c r="JQ741" i="1"/>
  <c r="JT741" i="1"/>
  <c r="JP741" i="1"/>
  <c r="IX741" i="1"/>
  <c r="IR741" i="1"/>
  <c r="IK741" i="1"/>
  <c r="E741" i="1"/>
  <c r="JV740" i="1"/>
  <c r="JU740" i="1"/>
  <c r="JQ740" i="1"/>
  <c r="JT740" i="1"/>
  <c r="JP740" i="1"/>
  <c r="IX740" i="1"/>
  <c r="IR740" i="1"/>
  <c r="IK740" i="1"/>
  <c r="E740" i="1"/>
  <c r="JV739" i="1"/>
  <c r="JU739" i="1"/>
  <c r="JT739" i="1"/>
  <c r="JQ739" i="1"/>
  <c r="JP739" i="1"/>
  <c r="JR739" i="1"/>
  <c r="IX739" i="1"/>
  <c r="IR739" i="1"/>
  <c r="IK739" i="1"/>
  <c r="E739" i="1"/>
  <c r="JV738" i="1"/>
  <c r="JU738" i="1"/>
  <c r="JQ738" i="1"/>
  <c r="JT738" i="1"/>
  <c r="JP738" i="1"/>
  <c r="IX738" i="1"/>
  <c r="IR738" i="1"/>
  <c r="IK738" i="1"/>
  <c r="E738" i="1"/>
  <c r="JV737" i="1"/>
  <c r="JU737" i="1"/>
  <c r="JQ737" i="1"/>
  <c r="JT737" i="1"/>
  <c r="JP737" i="1"/>
  <c r="JS737" i="1"/>
  <c r="IX737" i="1"/>
  <c r="IR737" i="1"/>
  <c r="IK737" i="1"/>
  <c r="E737" i="1"/>
  <c r="JV736" i="1"/>
  <c r="JU736" i="1"/>
  <c r="JS736" i="1"/>
  <c r="JQ736" i="1"/>
  <c r="JT736" i="1"/>
  <c r="JP736" i="1"/>
  <c r="IX736" i="1"/>
  <c r="IR736" i="1"/>
  <c r="IK736" i="1"/>
  <c r="E736" i="1"/>
  <c r="JV735" i="1"/>
  <c r="JU735" i="1"/>
  <c r="JT735" i="1"/>
  <c r="JQ735" i="1"/>
  <c r="JP735" i="1"/>
  <c r="JR735" i="1"/>
  <c r="IX735" i="1"/>
  <c r="IR735" i="1"/>
  <c r="IK735" i="1"/>
  <c r="E735" i="1"/>
  <c r="JV734" i="1"/>
  <c r="JU734" i="1"/>
  <c r="JQ734" i="1"/>
  <c r="JT734" i="1"/>
  <c r="JP734" i="1"/>
  <c r="IX734" i="1"/>
  <c r="IR734" i="1"/>
  <c r="IK734" i="1"/>
  <c r="E734" i="1"/>
  <c r="JV733" i="1"/>
  <c r="JU733" i="1"/>
  <c r="JQ733" i="1"/>
  <c r="JT733" i="1"/>
  <c r="JP733" i="1"/>
  <c r="JS733" i="1"/>
  <c r="IX733" i="1"/>
  <c r="IR733" i="1"/>
  <c r="IK733" i="1"/>
  <c r="E733" i="1"/>
  <c r="JV732" i="1"/>
  <c r="JU732" i="1"/>
  <c r="JQ732" i="1"/>
  <c r="JT732" i="1"/>
  <c r="JP732" i="1"/>
  <c r="IX732" i="1"/>
  <c r="IR732" i="1"/>
  <c r="IK732" i="1"/>
  <c r="E732" i="1"/>
  <c r="JV731" i="1"/>
  <c r="JU731" i="1"/>
  <c r="JQ731" i="1"/>
  <c r="JP731" i="1"/>
  <c r="JS731" i="1"/>
  <c r="IX731" i="1"/>
  <c r="IR731" i="1"/>
  <c r="IK731" i="1"/>
  <c r="E731" i="1"/>
  <c r="JV730" i="1"/>
  <c r="JU730" i="1"/>
  <c r="JQ730" i="1"/>
  <c r="JT730" i="1"/>
  <c r="JP730" i="1"/>
  <c r="JS730" i="1"/>
  <c r="IX730" i="1"/>
  <c r="IR730" i="1"/>
  <c r="IK730" i="1"/>
  <c r="E730" i="1"/>
  <c r="JV729" i="1"/>
  <c r="JU729" i="1"/>
  <c r="JQ729" i="1"/>
  <c r="JP729" i="1"/>
  <c r="JS729" i="1"/>
  <c r="IX729" i="1"/>
  <c r="IR729" i="1"/>
  <c r="IK729" i="1"/>
  <c r="E729" i="1"/>
  <c r="JV728" i="1"/>
  <c r="JU728" i="1"/>
  <c r="JQ728" i="1"/>
  <c r="JP728" i="1"/>
  <c r="JS728" i="1"/>
  <c r="IX728" i="1"/>
  <c r="IR728" i="1"/>
  <c r="IK728" i="1"/>
  <c r="E728" i="1"/>
  <c r="JV727" i="1"/>
  <c r="JU727" i="1"/>
  <c r="JQ727" i="1"/>
  <c r="JT727" i="1"/>
  <c r="JP727" i="1"/>
  <c r="JS727" i="1"/>
  <c r="IX727" i="1"/>
  <c r="IR727" i="1"/>
  <c r="IK727" i="1"/>
  <c r="E727" i="1"/>
  <c r="JV726" i="1"/>
  <c r="JU726" i="1"/>
  <c r="JQ726" i="1"/>
  <c r="JT726" i="1"/>
  <c r="JP726" i="1"/>
  <c r="JS726" i="1"/>
  <c r="IX726" i="1"/>
  <c r="IR726" i="1"/>
  <c r="IK726" i="1"/>
  <c r="E726" i="1"/>
  <c r="JV725" i="1"/>
  <c r="JU725" i="1"/>
  <c r="JQ725" i="1"/>
  <c r="JP725" i="1"/>
  <c r="JS725" i="1"/>
  <c r="IX725" i="1"/>
  <c r="IR725" i="1"/>
  <c r="IK725" i="1"/>
  <c r="E725" i="1"/>
  <c r="JV724" i="1"/>
  <c r="JU724" i="1"/>
  <c r="JQ724" i="1"/>
  <c r="JT724" i="1"/>
  <c r="JP724" i="1"/>
  <c r="JS724" i="1"/>
  <c r="IX724" i="1"/>
  <c r="IR724" i="1"/>
  <c r="IK724" i="1"/>
  <c r="E724" i="1"/>
  <c r="JV723" i="1"/>
  <c r="JU723" i="1"/>
  <c r="JQ723" i="1"/>
  <c r="JT723" i="1"/>
  <c r="JP723" i="1"/>
  <c r="JS723" i="1"/>
  <c r="IX723" i="1"/>
  <c r="IR723" i="1"/>
  <c r="IK723" i="1"/>
  <c r="E723" i="1"/>
  <c r="JV722" i="1"/>
  <c r="JU722" i="1"/>
  <c r="JQ722" i="1"/>
  <c r="JT722" i="1"/>
  <c r="JP722" i="1"/>
  <c r="IX722" i="1"/>
  <c r="IR722" i="1"/>
  <c r="IK722" i="1"/>
  <c r="E722" i="1"/>
  <c r="JV721" i="1"/>
  <c r="JU721" i="1"/>
  <c r="JQ721" i="1"/>
  <c r="JP721" i="1"/>
  <c r="JS721" i="1"/>
  <c r="IX721" i="1"/>
  <c r="IR721" i="1"/>
  <c r="IK721" i="1"/>
  <c r="E721" i="1"/>
  <c r="JV720" i="1"/>
  <c r="JU720" i="1"/>
  <c r="JQ720" i="1"/>
  <c r="JT720" i="1"/>
  <c r="JP720" i="1"/>
  <c r="JS720" i="1"/>
  <c r="IX720" i="1"/>
  <c r="IR720" i="1"/>
  <c r="IK720" i="1"/>
  <c r="E720" i="1"/>
  <c r="JV719" i="1"/>
  <c r="JU719" i="1"/>
  <c r="JQ719" i="1"/>
  <c r="JT719" i="1"/>
  <c r="JP719" i="1"/>
  <c r="JS719" i="1"/>
  <c r="IX719" i="1"/>
  <c r="IR719" i="1"/>
  <c r="IK719" i="1"/>
  <c r="E719" i="1"/>
  <c r="JV718" i="1"/>
  <c r="JU718" i="1"/>
  <c r="JQ718" i="1"/>
  <c r="JT718" i="1"/>
  <c r="JP718" i="1"/>
  <c r="IX718" i="1"/>
  <c r="IR718" i="1"/>
  <c r="IK718" i="1"/>
  <c r="E718" i="1"/>
  <c r="JV717" i="1"/>
  <c r="JU717" i="1"/>
  <c r="JQ717" i="1"/>
  <c r="JT717" i="1"/>
  <c r="JP717" i="1"/>
  <c r="JS717" i="1"/>
  <c r="IX717" i="1"/>
  <c r="IR717" i="1"/>
  <c r="IK717" i="1"/>
  <c r="E717" i="1"/>
  <c r="JV716" i="1"/>
  <c r="JU716" i="1"/>
  <c r="JQ716" i="1"/>
  <c r="JT716" i="1"/>
  <c r="JP716" i="1"/>
  <c r="IX716" i="1"/>
  <c r="IR716" i="1"/>
  <c r="IK716" i="1"/>
  <c r="E716" i="1"/>
  <c r="JV715" i="1"/>
  <c r="JU715" i="1"/>
  <c r="JQ715" i="1"/>
  <c r="JP715" i="1"/>
  <c r="JS715" i="1"/>
  <c r="IX715" i="1"/>
  <c r="IR715" i="1"/>
  <c r="IK715" i="1"/>
  <c r="E715" i="1"/>
  <c r="JV714" i="1"/>
  <c r="JU714" i="1"/>
  <c r="JQ714" i="1"/>
  <c r="JT714" i="1"/>
  <c r="JP714" i="1"/>
  <c r="JS714" i="1"/>
  <c r="IX714" i="1"/>
  <c r="IR714" i="1"/>
  <c r="IK714" i="1"/>
  <c r="E714" i="1"/>
  <c r="JV713" i="1"/>
  <c r="JU713" i="1"/>
  <c r="JQ713" i="1"/>
  <c r="JT713" i="1"/>
  <c r="JP713" i="1"/>
  <c r="JS713" i="1"/>
  <c r="IX713" i="1"/>
  <c r="IR713" i="1"/>
  <c r="IK713" i="1"/>
  <c r="E713" i="1"/>
  <c r="JV712" i="1"/>
  <c r="JU712" i="1"/>
  <c r="JQ712" i="1"/>
  <c r="JT712" i="1"/>
  <c r="JP712" i="1"/>
  <c r="IX712" i="1"/>
  <c r="IR712" i="1"/>
  <c r="IK712" i="1"/>
  <c r="E712" i="1"/>
  <c r="JV711" i="1"/>
  <c r="JU711" i="1"/>
  <c r="JQ711" i="1"/>
  <c r="JP711" i="1"/>
  <c r="JS711" i="1"/>
  <c r="IX711" i="1"/>
  <c r="IR711" i="1"/>
  <c r="IK711" i="1"/>
  <c r="E711" i="1"/>
  <c r="JV710" i="1"/>
  <c r="JU710" i="1"/>
  <c r="JQ710" i="1"/>
  <c r="JT710" i="1"/>
  <c r="JP710" i="1"/>
  <c r="JS710" i="1"/>
  <c r="IX710" i="1"/>
  <c r="IR710" i="1"/>
  <c r="IK710" i="1"/>
  <c r="E710" i="1"/>
  <c r="JV709" i="1"/>
  <c r="JU709" i="1"/>
  <c r="JQ709" i="1"/>
  <c r="JT709" i="1"/>
  <c r="JP709" i="1"/>
  <c r="IX709" i="1"/>
  <c r="IR709" i="1"/>
  <c r="IK709" i="1"/>
  <c r="E709" i="1"/>
  <c r="JV708" i="1"/>
  <c r="JU708" i="1"/>
  <c r="JQ708" i="1"/>
  <c r="JP708" i="1"/>
  <c r="JS708" i="1"/>
  <c r="IX708" i="1"/>
  <c r="IR708" i="1"/>
  <c r="IK708" i="1"/>
  <c r="E708" i="1"/>
  <c r="JV707" i="1"/>
  <c r="JU707" i="1"/>
  <c r="JQ707" i="1"/>
  <c r="JT707" i="1"/>
  <c r="JP707" i="1"/>
  <c r="JS707" i="1"/>
  <c r="IX707" i="1"/>
  <c r="IR707" i="1"/>
  <c r="IK707" i="1"/>
  <c r="E707" i="1"/>
  <c r="JV706" i="1"/>
  <c r="JU706" i="1"/>
  <c r="JQ706" i="1"/>
  <c r="JT706" i="1"/>
  <c r="JP706" i="1"/>
  <c r="JS706" i="1"/>
  <c r="IX706" i="1"/>
  <c r="IR706" i="1"/>
  <c r="IK706" i="1"/>
  <c r="E706" i="1"/>
  <c r="JV705" i="1"/>
  <c r="JU705" i="1"/>
  <c r="JQ705" i="1"/>
  <c r="JP705" i="1"/>
  <c r="JS705" i="1"/>
  <c r="IX705" i="1"/>
  <c r="IR705" i="1"/>
  <c r="IK705" i="1"/>
  <c r="E705" i="1"/>
  <c r="JV704" i="1"/>
  <c r="JU704" i="1"/>
  <c r="JQ704" i="1"/>
  <c r="JP704" i="1"/>
  <c r="JS704" i="1"/>
  <c r="IX704" i="1"/>
  <c r="IR704" i="1"/>
  <c r="IK704" i="1"/>
  <c r="E704" i="1"/>
  <c r="JV703" i="1"/>
  <c r="JU703" i="1"/>
  <c r="JQ703" i="1"/>
  <c r="JP703" i="1"/>
  <c r="JS703" i="1"/>
  <c r="IX703" i="1"/>
  <c r="IR703" i="1"/>
  <c r="IK703" i="1"/>
  <c r="E703" i="1"/>
  <c r="JV702" i="1"/>
  <c r="JU702" i="1"/>
  <c r="JT702" i="1"/>
  <c r="JQ702" i="1"/>
  <c r="JP702" i="1"/>
  <c r="IX702" i="1"/>
  <c r="IR702" i="1"/>
  <c r="IK702" i="1"/>
  <c r="E702" i="1"/>
  <c r="JV701" i="1"/>
  <c r="JU701" i="1"/>
  <c r="JQ701" i="1"/>
  <c r="JP701" i="1"/>
  <c r="JS701" i="1"/>
  <c r="IX701" i="1"/>
  <c r="IR701" i="1"/>
  <c r="IK701" i="1"/>
  <c r="E701" i="1"/>
  <c r="JV700" i="1"/>
  <c r="JU700" i="1"/>
  <c r="JQ700" i="1"/>
  <c r="JP700" i="1"/>
  <c r="JS700" i="1"/>
  <c r="IX700" i="1"/>
  <c r="IR700" i="1"/>
  <c r="IK700" i="1"/>
  <c r="E700" i="1"/>
  <c r="JV699" i="1"/>
  <c r="JU699" i="1"/>
  <c r="JQ699" i="1"/>
  <c r="JP699" i="1"/>
  <c r="JS699" i="1"/>
  <c r="IX699" i="1"/>
  <c r="IR699" i="1"/>
  <c r="IK699" i="1"/>
  <c r="E699" i="1"/>
  <c r="JV698" i="1"/>
  <c r="JU698" i="1"/>
  <c r="JQ698" i="1"/>
  <c r="JT698" i="1"/>
  <c r="JP698" i="1"/>
  <c r="JS698" i="1"/>
  <c r="IX698" i="1"/>
  <c r="IR698" i="1"/>
  <c r="IK698" i="1"/>
  <c r="E698" i="1"/>
  <c r="JV697" i="1"/>
  <c r="JU697" i="1"/>
  <c r="JQ697" i="1"/>
  <c r="JP697" i="1"/>
  <c r="JS697" i="1"/>
  <c r="IX697" i="1"/>
  <c r="IR697" i="1"/>
  <c r="IK697" i="1"/>
  <c r="E697" i="1"/>
  <c r="JV696" i="1"/>
  <c r="JU696" i="1"/>
  <c r="JQ696" i="1"/>
  <c r="JP696" i="1"/>
  <c r="JS696" i="1"/>
  <c r="IX696" i="1"/>
  <c r="IR696" i="1"/>
  <c r="IK696" i="1"/>
  <c r="E696" i="1"/>
  <c r="JV695" i="1"/>
  <c r="JU695" i="1"/>
  <c r="JQ695" i="1"/>
  <c r="JP695" i="1"/>
  <c r="JS695" i="1"/>
  <c r="IX695" i="1"/>
  <c r="IR695" i="1"/>
  <c r="IK695" i="1"/>
  <c r="E695" i="1"/>
  <c r="JV694" i="1"/>
  <c r="JU694" i="1"/>
  <c r="JQ694" i="1"/>
  <c r="JT694" i="1"/>
  <c r="JP694" i="1"/>
  <c r="IX694" i="1"/>
  <c r="IR694" i="1"/>
  <c r="IK694" i="1"/>
  <c r="E694" i="1"/>
  <c r="JV693" i="1"/>
  <c r="JU693" i="1"/>
  <c r="JQ693" i="1"/>
  <c r="JP693" i="1"/>
  <c r="JS693" i="1"/>
  <c r="IX693" i="1"/>
  <c r="IR693" i="1"/>
  <c r="IK693" i="1"/>
  <c r="E693" i="1"/>
  <c r="JV692" i="1"/>
  <c r="JU692" i="1"/>
  <c r="JQ692" i="1"/>
  <c r="JT692" i="1"/>
  <c r="JP692" i="1"/>
  <c r="JS692" i="1"/>
  <c r="IX692" i="1"/>
  <c r="IR692" i="1"/>
  <c r="IK692" i="1"/>
  <c r="E692" i="1"/>
  <c r="JV691" i="1"/>
  <c r="JU691" i="1"/>
  <c r="JQ691" i="1"/>
  <c r="JP691" i="1"/>
  <c r="JS691" i="1"/>
  <c r="IX691" i="1"/>
  <c r="IR691" i="1"/>
  <c r="IK691" i="1"/>
  <c r="E691" i="1"/>
  <c r="JV690" i="1"/>
  <c r="JU690" i="1"/>
  <c r="JQ690" i="1"/>
  <c r="JT690" i="1"/>
  <c r="JP690" i="1"/>
  <c r="JS690" i="1"/>
  <c r="IX690" i="1"/>
  <c r="IR690" i="1"/>
  <c r="IK690" i="1"/>
  <c r="E690" i="1"/>
  <c r="JV689" i="1"/>
  <c r="JU689" i="1"/>
  <c r="JQ689" i="1"/>
  <c r="JP689" i="1"/>
  <c r="JS689" i="1"/>
  <c r="IX689" i="1"/>
  <c r="IR689" i="1"/>
  <c r="IK689" i="1"/>
  <c r="E689" i="1"/>
  <c r="JV688" i="1"/>
  <c r="JU688" i="1"/>
  <c r="JQ688" i="1"/>
  <c r="JT688" i="1"/>
  <c r="JP688" i="1"/>
  <c r="JS688" i="1"/>
  <c r="IX688" i="1"/>
  <c r="IR688" i="1"/>
  <c r="IK688" i="1"/>
  <c r="E688" i="1"/>
  <c r="JV687" i="1"/>
  <c r="JU687" i="1"/>
  <c r="JQ687" i="1"/>
  <c r="JP687" i="1"/>
  <c r="JS687" i="1"/>
  <c r="IX687" i="1"/>
  <c r="IR687" i="1"/>
  <c r="IK687" i="1"/>
  <c r="E687" i="1"/>
  <c r="JV686" i="1"/>
  <c r="JU686" i="1"/>
  <c r="JQ686" i="1"/>
  <c r="JT686" i="1"/>
  <c r="JP686" i="1"/>
  <c r="JS686" i="1"/>
  <c r="IX686" i="1"/>
  <c r="IR686" i="1"/>
  <c r="IK686" i="1"/>
  <c r="E686" i="1"/>
  <c r="JV685" i="1"/>
  <c r="JU685" i="1"/>
  <c r="JQ685" i="1"/>
  <c r="JP685" i="1"/>
  <c r="JS685" i="1"/>
  <c r="IX685" i="1"/>
  <c r="IR685" i="1"/>
  <c r="IK685" i="1"/>
  <c r="E685" i="1"/>
  <c r="JV684" i="1"/>
  <c r="JU684" i="1"/>
  <c r="JQ684" i="1"/>
  <c r="JP684" i="1"/>
  <c r="JS684" i="1"/>
  <c r="IX684" i="1"/>
  <c r="IR684" i="1"/>
  <c r="IK684" i="1"/>
  <c r="E684" i="1"/>
  <c r="JV683" i="1"/>
  <c r="JU683" i="1"/>
  <c r="JQ683" i="1"/>
  <c r="JP683" i="1"/>
  <c r="JS683" i="1"/>
  <c r="IX683" i="1"/>
  <c r="IR683" i="1"/>
  <c r="IK683" i="1"/>
  <c r="E683" i="1"/>
  <c r="JV682" i="1"/>
  <c r="JU682" i="1"/>
  <c r="JQ682" i="1"/>
  <c r="JT682" i="1"/>
  <c r="JP682" i="1"/>
  <c r="JS682" i="1"/>
  <c r="IX682" i="1"/>
  <c r="IR682" i="1"/>
  <c r="IK682" i="1"/>
  <c r="E682" i="1"/>
  <c r="JV681" i="1"/>
  <c r="JU681" i="1"/>
  <c r="JQ681" i="1"/>
  <c r="JT681" i="1"/>
  <c r="JP681" i="1"/>
  <c r="JS681" i="1"/>
  <c r="IX681" i="1"/>
  <c r="IR681" i="1"/>
  <c r="IK681" i="1"/>
  <c r="E681" i="1"/>
  <c r="JV680" i="1"/>
  <c r="JU680" i="1"/>
  <c r="JS680" i="1"/>
  <c r="JQ680" i="1"/>
  <c r="JP680" i="1"/>
  <c r="IX680" i="1"/>
  <c r="IR680" i="1"/>
  <c r="IK680" i="1"/>
  <c r="E680" i="1"/>
  <c r="JV679" i="1"/>
  <c r="JU679" i="1"/>
  <c r="JQ679" i="1"/>
  <c r="JT679" i="1"/>
  <c r="JP679" i="1"/>
  <c r="JS679" i="1"/>
  <c r="IX679" i="1"/>
  <c r="IR679" i="1"/>
  <c r="IK679" i="1"/>
  <c r="E679" i="1"/>
  <c r="JV678" i="1"/>
  <c r="JU678" i="1"/>
  <c r="JQ678" i="1"/>
  <c r="JP678" i="1"/>
  <c r="JS678" i="1"/>
  <c r="IX678" i="1"/>
  <c r="IR678" i="1"/>
  <c r="IK678" i="1"/>
  <c r="E678" i="1"/>
  <c r="JV677" i="1"/>
  <c r="JU677" i="1"/>
  <c r="JQ677" i="1"/>
  <c r="JP677" i="1"/>
  <c r="JS677" i="1"/>
  <c r="IX677" i="1"/>
  <c r="IR677" i="1"/>
  <c r="IK677" i="1"/>
  <c r="GW677" i="1"/>
  <c r="FQ677" i="1"/>
  <c r="FI677" i="1"/>
  <c r="FE677" i="1"/>
  <c r="BN677" i="1"/>
  <c r="BK677" i="1"/>
  <c r="E677" i="1"/>
  <c r="JV676" i="1"/>
  <c r="JU676" i="1"/>
  <c r="JQ676" i="1"/>
  <c r="JP676" i="1"/>
  <c r="JS676" i="1"/>
  <c r="IX676" i="1"/>
  <c r="IR676" i="1"/>
  <c r="IK676" i="1"/>
  <c r="E676" i="1"/>
  <c r="JV675" i="1"/>
  <c r="JU675" i="1"/>
  <c r="JQ675" i="1"/>
  <c r="JP675" i="1"/>
  <c r="JS675" i="1"/>
  <c r="IX675" i="1"/>
  <c r="IR675" i="1"/>
  <c r="IK675" i="1"/>
  <c r="E675" i="1"/>
  <c r="JV674" i="1"/>
  <c r="JU674" i="1"/>
  <c r="JQ674" i="1"/>
  <c r="JP674" i="1"/>
  <c r="JS674" i="1"/>
  <c r="IX674" i="1"/>
  <c r="IR674" i="1"/>
  <c r="IK674" i="1"/>
  <c r="E674" i="1"/>
  <c r="JV673" i="1"/>
  <c r="JU673" i="1"/>
  <c r="JQ673" i="1"/>
  <c r="JP673" i="1"/>
  <c r="JS673" i="1"/>
  <c r="IX673" i="1"/>
  <c r="IR673" i="1"/>
  <c r="IK673" i="1"/>
  <c r="E673" i="1"/>
  <c r="JV672" i="1"/>
  <c r="JU672" i="1"/>
  <c r="JQ672" i="1"/>
  <c r="JP672" i="1"/>
  <c r="JS672" i="1"/>
  <c r="IX672" i="1"/>
  <c r="IR672" i="1"/>
  <c r="IK672" i="1"/>
  <c r="E672" i="1"/>
  <c r="JV671" i="1"/>
  <c r="JU671" i="1"/>
  <c r="JT671" i="1"/>
  <c r="JQ671" i="1"/>
  <c r="JP671" i="1"/>
  <c r="JS671" i="1"/>
  <c r="IX671" i="1"/>
  <c r="IR671" i="1"/>
  <c r="IK671" i="1"/>
  <c r="E671" i="1"/>
  <c r="JV670" i="1"/>
  <c r="JU670" i="1"/>
  <c r="JQ670" i="1"/>
  <c r="JP670" i="1"/>
  <c r="JS670" i="1"/>
  <c r="IX670" i="1"/>
  <c r="IR670" i="1"/>
  <c r="IK670" i="1"/>
  <c r="E670" i="1"/>
  <c r="JV669" i="1"/>
  <c r="JU669" i="1"/>
  <c r="JQ669" i="1"/>
  <c r="JT669" i="1"/>
  <c r="JP669" i="1"/>
  <c r="JS669" i="1"/>
  <c r="IX669" i="1"/>
  <c r="IR669" i="1"/>
  <c r="IK669" i="1"/>
  <c r="E669" i="1"/>
  <c r="JV668" i="1"/>
  <c r="JU668" i="1"/>
  <c r="JQ668" i="1"/>
  <c r="JR668" i="1"/>
  <c r="JP668" i="1"/>
  <c r="JS668" i="1"/>
  <c r="IX668" i="1"/>
  <c r="IR668" i="1"/>
  <c r="IK668" i="1"/>
  <c r="E668" i="1"/>
  <c r="JV667" i="1"/>
  <c r="JU667" i="1"/>
  <c r="JQ667" i="1"/>
  <c r="JP667" i="1"/>
  <c r="JS667" i="1"/>
  <c r="IX667" i="1"/>
  <c r="IR667" i="1"/>
  <c r="IK667" i="1"/>
  <c r="E667" i="1"/>
  <c r="JV666" i="1"/>
  <c r="JU666" i="1"/>
  <c r="JQ666" i="1"/>
  <c r="JT666" i="1"/>
  <c r="JP666" i="1"/>
  <c r="JS666" i="1"/>
  <c r="IX666" i="1"/>
  <c r="IR666" i="1"/>
  <c r="IK666" i="1"/>
  <c r="E666" i="1"/>
  <c r="JV665" i="1"/>
  <c r="JU665" i="1"/>
  <c r="JQ665" i="1"/>
  <c r="JP665" i="1"/>
  <c r="JS665" i="1"/>
  <c r="IX665" i="1"/>
  <c r="IR665" i="1"/>
  <c r="IK665" i="1"/>
  <c r="E665" i="1"/>
  <c r="JV664" i="1"/>
  <c r="JU664" i="1"/>
  <c r="JQ664" i="1"/>
  <c r="JP664" i="1"/>
  <c r="JS664" i="1"/>
  <c r="IX664" i="1"/>
  <c r="IR664" i="1"/>
  <c r="IK664" i="1"/>
  <c r="E664" i="1"/>
  <c r="JV663" i="1"/>
  <c r="JU663" i="1"/>
  <c r="JQ663" i="1"/>
  <c r="JP663" i="1"/>
  <c r="JS663" i="1"/>
  <c r="IX663" i="1"/>
  <c r="IR663" i="1"/>
  <c r="IK663" i="1"/>
  <c r="E663" i="1"/>
  <c r="JV662" i="1"/>
  <c r="JU662" i="1"/>
  <c r="JQ662" i="1"/>
  <c r="JP662" i="1"/>
  <c r="JS662" i="1"/>
  <c r="IX662" i="1"/>
  <c r="IR662" i="1"/>
  <c r="IK662" i="1"/>
  <c r="E662" i="1"/>
  <c r="JV661" i="1"/>
  <c r="JU661" i="1"/>
  <c r="JQ661" i="1"/>
  <c r="JT661" i="1"/>
  <c r="JP661" i="1"/>
  <c r="JS661" i="1"/>
  <c r="IX661" i="1"/>
  <c r="IR661" i="1"/>
  <c r="IK661" i="1"/>
  <c r="E661" i="1"/>
  <c r="JV660" i="1"/>
  <c r="JU660" i="1"/>
  <c r="JQ660" i="1"/>
  <c r="JT660" i="1"/>
  <c r="JP660" i="1"/>
  <c r="JS660" i="1"/>
  <c r="IX660" i="1"/>
  <c r="IR660" i="1"/>
  <c r="IK660" i="1"/>
  <c r="E660" i="1"/>
  <c r="JV659" i="1"/>
  <c r="JU659" i="1"/>
  <c r="JQ659" i="1"/>
  <c r="JP659" i="1"/>
  <c r="JS659" i="1"/>
  <c r="IX659" i="1"/>
  <c r="IR659" i="1"/>
  <c r="IK659" i="1"/>
  <c r="E659" i="1"/>
  <c r="JV658" i="1"/>
  <c r="JU658" i="1"/>
  <c r="JQ658" i="1"/>
  <c r="JP658" i="1"/>
  <c r="JS658" i="1"/>
  <c r="IX658" i="1"/>
  <c r="IR658" i="1"/>
  <c r="IK658" i="1"/>
  <c r="E658" i="1"/>
  <c r="JV657" i="1"/>
  <c r="JU657" i="1"/>
  <c r="JQ657" i="1"/>
  <c r="JT657" i="1"/>
  <c r="JP657" i="1"/>
  <c r="JS657" i="1"/>
  <c r="IX657" i="1"/>
  <c r="IR657" i="1"/>
  <c r="IK657" i="1"/>
  <c r="E657" i="1"/>
  <c r="JV656" i="1"/>
  <c r="JU656" i="1"/>
  <c r="JQ656" i="1"/>
  <c r="JP656" i="1"/>
  <c r="JS656" i="1"/>
  <c r="IX656" i="1"/>
  <c r="IR656" i="1"/>
  <c r="IK656" i="1"/>
  <c r="E656" i="1"/>
  <c r="JV655" i="1"/>
  <c r="JU655" i="1"/>
  <c r="JQ655" i="1"/>
  <c r="JT655" i="1"/>
  <c r="JP655" i="1"/>
  <c r="JS655" i="1"/>
  <c r="IX655" i="1"/>
  <c r="IR655" i="1"/>
  <c r="IK655" i="1"/>
  <c r="E655" i="1"/>
  <c r="JV654" i="1"/>
  <c r="JU654" i="1"/>
  <c r="JQ654" i="1"/>
  <c r="JT654" i="1"/>
  <c r="JP654" i="1"/>
  <c r="JS654" i="1"/>
  <c r="IX654" i="1"/>
  <c r="IR654" i="1"/>
  <c r="IK654" i="1"/>
  <c r="E654" i="1"/>
  <c r="JV653" i="1"/>
  <c r="JU653" i="1"/>
  <c r="JQ653" i="1"/>
  <c r="JT653" i="1"/>
  <c r="JP653" i="1"/>
  <c r="JS653" i="1"/>
  <c r="IX653" i="1"/>
  <c r="IR653" i="1"/>
  <c r="IK653" i="1"/>
  <c r="E653" i="1"/>
  <c r="JV652" i="1"/>
  <c r="JU652" i="1"/>
  <c r="JQ652" i="1"/>
  <c r="JT652" i="1"/>
  <c r="JP652" i="1"/>
  <c r="JS652" i="1"/>
  <c r="IX652" i="1"/>
  <c r="IR652" i="1"/>
  <c r="IK652" i="1"/>
  <c r="E652" i="1"/>
  <c r="JV651" i="1"/>
  <c r="JU651" i="1"/>
  <c r="JQ651" i="1"/>
  <c r="JT651" i="1"/>
  <c r="JP651" i="1"/>
  <c r="JS651" i="1"/>
  <c r="IX651" i="1"/>
  <c r="IR651" i="1"/>
  <c r="IK651" i="1"/>
  <c r="E651" i="1"/>
  <c r="JV650" i="1"/>
  <c r="JU650" i="1"/>
  <c r="JQ650" i="1"/>
  <c r="JT650" i="1"/>
  <c r="JP650" i="1"/>
  <c r="IX650" i="1"/>
  <c r="IR650" i="1"/>
  <c r="IK650" i="1"/>
  <c r="E650" i="1"/>
  <c r="JV649" i="1"/>
  <c r="JU649" i="1"/>
  <c r="JQ649" i="1"/>
  <c r="JT649" i="1"/>
  <c r="JP649" i="1"/>
  <c r="IX649" i="1"/>
  <c r="IR649" i="1"/>
  <c r="IK649" i="1"/>
  <c r="E649" i="1"/>
  <c r="JV648" i="1"/>
  <c r="JU648" i="1"/>
  <c r="JQ648" i="1"/>
  <c r="JT648" i="1"/>
  <c r="JP648" i="1"/>
  <c r="JS648" i="1"/>
  <c r="IX648" i="1"/>
  <c r="IR648" i="1"/>
  <c r="IK648" i="1"/>
  <c r="E648" i="1"/>
  <c r="JV647" i="1"/>
  <c r="JU647" i="1"/>
  <c r="JQ647" i="1"/>
  <c r="JT647" i="1"/>
  <c r="JP647" i="1"/>
  <c r="IX647" i="1"/>
  <c r="IR647" i="1"/>
  <c r="IK647" i="1"/>
  <c r="BH647" i="1"/>
  <c r="E647" i="1"/>
  <c r="JV646" i="1"/>
  <c r="JU646" i="1"/>
  <c r="JQ646" i="1"/>
  <c r="JP646" i="1"/>
  <c r="JS646" i="1"/>
  <c r="IX646" i="1"/>
  <c r="IR646" i="1"/>
  <c r="IK646" i="1"/>
  <c r="E646" i="1"/>
  <c r="JV645" i="1"/>
  <c r="JU645" i="1"/>
  <c r="JQ645" i="1"/>
  <c r="JP645" i="1"/>
  <c r="JS645" i="1"/>
  <c r="IX645" i="1"/>
  <c r="IR645" i="1"/>
  <c r="IK645" i="1"/>
  <c r="E645" i="1"/>
  <c r="JV644" i="1"/>
  <c r="JU644" i="1"/>
  <c r="JR644" i="1"/>
  <c r="JQ644" i="1"/>
  <c r="JT644" i="1"/>
  <c r="JP644" i="1"/>
  <c r="JS644" i="1"/>
  <c r="IX644" i="1"/>
  <c r="IR644" i="1"/>
  <c r="IK644" i="1"/>
  <c r="E644" i="1"/>
  <c r="JV643" i="1"/>
  <c r="JU643" i="1"/>
  <c r="JQ643" i="1"/>
  <c r="JT643" i="1"/>
  <c r="JP643" i="1"/>
  <c r="JS643" i="1"/>
  <c r="IX643" i="1"/>
  <c r="IR643" i="1"/>
  <c r="IK643" i="1"/>
  <c r="E643" i="1"/>
  <c r="JV642" i="1"/>
  <c r="JU642" i="1"/>
  <c r="JQ642" i="1"/>
  <c r="JT642" i="1"/>
  <c r="JP642" i="1"/>
  <c r="JS642" i="1"/>
  <c r="IX642" i="1"/>
  <c r="IR642" i="1"/>
  <c r="IK642" i="1"/>
  <c r="E642" i="1"/>
  <c r="JV641" i="1"/>
  <c r="JU641" i="1"/>
  <c r="JQ641" i="1"/>
  <c r="JP641" i="1"/>
  <c r="JS641" i="1"/>
  <c r="IX641" i="1"/>
  <c r="IR641" i="1"/>
  <c r="IK641" i="1"/>
  <c r="E641" i="1"/>
  <c r="JV640" i="1"/>
  <c r="JU640" i="1"/>
  <c r="JQ640" i="1"/>
  <c r="JT640" i="1"/>
  <c r="JP640" i="1"/>
  <c r="IX640" i="1"/>
  <c r="IR640" i="1"/>
  <c r="IK640" i="1"/>
  <c r="E640" i="1"/>
  <c r="JV639" i="1"/>
  <c r="JU639" i="1"/>
  <c r="JQ639" i="1"/>
  <c r="JT639" i="1"/>
  <c r="JP639" i="1"/>
  <c r="JS639" i="1"/>
  <c r="IX639" i="1"/>
  <c r="IR639" i="1"/>
  <c r="IK639" i="1"/>
  <c r="E639" i="1"/>
  <c r="JV638" i="1"/>
  <c r="JU638" i="1"/>
  <c r="JQ638" i="1"/>
  <c r="JT638" i="1"/>
  <c r="JP638" i="1"/>
  <c r="JS638" i="1"/>
  <c r="IX638" i="1"/>
  <c r="IR638" i="1"/>
  <c r="IK638" i="1"/>
  <c r="E638" i="1"/>
  <c r="JV637" i="1"/>
  <c r="JU637" i="1"/>
  <c r="JQ637" i="1"/>
  <c r="JP637" i="1"/>
  <c r="JS637" i="1"/>
  <c r="IX637" i="1"/>
  <c r="IR637" i="1"/>
  <c r="IK637" i="1"/>
  <c r="E637" i="1"/>
  <c r="JV636" i="1"/>
  <c r="JU636" i="1"/>
  <c r="JQ636" i="1"/>
  <c r="JT636" i="1"/>
  <c r="JP636" i="1"/>
  <c r="IX636" i="1"/>
  <c r="IR636" i="1"/>
  <c r="IK636" i="1"/>
  <c r="E636" i="1"/>
  <c r="JV635" i="1"/>
  <c r="JU635" i="1"/>
  <c r="JQ635" i="1"/>
  <c r="JP635" i="1"/>
  <c r="JS635" i="1"/>
  <c r="IX635" i="1"/>
  <c r="IR635" i="1"/>
  <c r="IK635" i="1"/>
  <c r="E635" i="1"/>
  <c r="JV634" i="1"/>
  <c r="JU634" i="1"/>
  <c r="JQ634" i="1"/>
  <c r="JT634" i="1"/>
  <c r="JP634" i="1"/>
  <c r="JS634" i="1"/>
  <c r="IX634" i="1"/>
  <c r="IR634" i="1"/>
  <c r="IK634" i="1"/>
  <c r="E634" i="1"/>
  <c r="JV633" i="1"/>
  <c r="JU633" i="1"/>
  <c r="JQ633" i="1"/>
  <c r="JP633" i="1"/>
  <c r="JS633" i="1"/>
  <c r="IX633" i="1"/>
  <c r="IR633" i="1"/>
  <c r="IK633" i="1"/>
  <c r="E633" i="1"/>
  <c r="JV632" i="1"/>
  <c r="JU632" i="1"/>
  <c r="JQ632" i="1"/>
  <c r="JP632" i="1"/>
  <c r="JS632" i="1"/>
  <c r="IX632" i="1"/>
  <c r="IR632" i="1"/>
  <c r="IK632" i="1"/>
  <c r="E632" i="1"/>
  <c r="JV631" i="1"/>
  <c r="JU631" i="1"/>
  <c r="JQ631" i="1"/>
  <c r="JT631" i="1"/>
  <c r="JP631" i="1"/>
  <c r="JS631" i="1"/>
  <c r="IX631" i="1"/>
  <c r="IR631" i="1"/>
  <c r="IK631" i="1"/>
  <c r="E631" i="1"/>
  <c r="JV630" i="1"/>
  <c r="JU630" i="1"/>
  <c r="JQ630" i="1"/>
  <c r="JT630" i="1"/>
  <c r="JP630" i="1"/>
  <c r="JS630" i="1"/>
  <c r="IX630" i="1"/>
  <c r="IR630" i="1"/>
  <c r="IK630" i="1"/>
  <c r="E630" i="1"/>
  <c r="JV629" i="1"/>
  <c r="JU629" i="1"/>
  <c r="JQ629" i="1"/>
  <c r="JT629" i="1"/>
  <c r="JP629" i="1"/>
  <c r="JS629" i="1"/>
  <c r="IX629" i="1"/>
  <c r="IR629" i="1"/>
  <c r="IK629" i="1"/>
  <c r="E629" i="1"/>
  <c r="JV628" i="1"/>
  <c r="JU628" i="1"/>
  <c r="JQ628" i="1"/>
  <c r="JP628" i="1"/>
  <c r="JS628" i="1"/>
  <c r="IX628" i="1"/>
  <c r="IR628" i="1"/>
  <c r="IK628" i="1"/>
  <c r="E628" i="1"/>
  <c r="JV627" i="1"/>
  <c r="JU627" i="1"/>
  <c r="JQ627" i="1"/>
  <c r="JT627" i="1"/>
  <c r="JP627" i="1"/>
  <c r="JS627" i="1"/>
  <c r="IX627" i="1"/>
  <c r="IR627" i="1"/>
  <c r="IK627" i="1"/>
  <c r="E627" i="1"/>
  <c r="JV626" i="1"/>
  <c r="JU626" i="1"/>
  <c r="JQ626" i="1"/>
  <c r="JP626" i="1"/>
  <c r="JS626" i="1"/>
  <c r="IX626" i="1"/>
  <c r="IR626" i="1"/>
  <c r="IK626" i="1"/>
  <c r="E626" i="1"/>
  <c r="JV625" i="1"/>
  <c r="JU625" i="1"/>
  <c r="JQ625" i="1"/>
  <c r="JP625" i="1"/>
  <c r="JS625" i="1"/>
  <c r="IX625" i="1"/>
  <c r="IR625" i="1"/>
  <c r="IK625" i="1"/>
  <c r="E625" i="1"/>
  <c r="JV624" i="1"/>
  <c r="JU624" i="1"/>
  <c r="JQ624" i="1"/>
  <c r="JP624" i="1"/>
  <c r="JS624" i="1"/>
  <c r="IX624" i="1"/>
  <c r="IR624" i="1"/>
  <c r="IK624" i="1"/>
  <c r="E624" i="1"/>
  <c r="JV623" i="1"/>
  <c r="JU623" i="1"/>
  <c r="JQ623" i="1"/>
  <c r="JT623" i="1"/>
  <c r="JP623" i="1"/>
  <c r="JS623" i="1"/>
  <c r="IX623" i="1"/>
  <c r="IR623" i="1"/>
  <c r="IK623" i="1"/>
  <c r="E623" i="1"/>
  <c r="JV622" i="1"/>
  <c r="JU622" i="1"/>
  <c r="JQ622" i="1"/>
  <c r="JT622" i="1"/>
  <c r="JP622" i="1"/>
  <c r="JS622" i="1"/>
  <c r="IX622" i="1"/>
  <c r="IR622" i="1"/>
  <c r="IK622" i="1"/>
  <c r="E622" i="1"/>
  <c r="JV621" i="1"/>
  <c r="JU621" i="1"/>
  <c r="JQ621" i="1"/>
  <c r="JP621" i="1"/>
  <c r="JS621" i="1"/>
  <c r="IX621" i="1"/>
  <c r="IR621" i="1"/>
  <c r="IK621" i="1"/>
  <c r="E621" i="1"/>
  <c r="JV620" i="1"/>
  <c r="JU620" i="1"/>
  <c r="JQ620" i="1"/>
  <c r="JT620" i="1"/>
  <c r="JP620" i="1"/>
  <c r="JS620" i="1"/>
  <c r="IX620" i="1"/>
  <c r="IR620" i="1"/>
  <c r="IK620" i="1"/>
  <c r="E620" i="1"/>
  <c r="JV619" i="1"/>
  <c r="JU619" i="1"/>
  <c r="JQ619" i="1"/>
  <c r="JT619" i="1"/>
  <c r="JP619" i="1"/>
  <c r="JS619" i="1"/>
  <c r="IX619" i="1"/>
  <c r="IR619" i="1"/>
  <c r="IK619" i="1"/>
  <c r="E619" i="1"/>
  <c r="JV618" i="1"/>
  <c r="JU618" i="1"/>
  <c r="JQ618" i="1"/>
  <c r="JT618" i="1"/>
  <c r="JP618" i="1"/>
  <c r="JS618" i="1"/>
  <c r="IX618" i="1"/>
  <c r="IR618" i="1"/>
  <c r="IK618" i="1"/>
  <c r="E618" i="1"/>
  <c r="JV617" i="1"/>
  <c r="JU617" i="1"/>
  <c r="JQ617" i="1"/>
  <c r="JP617" i="1"/>
  <c r="JS617" i="1"/>
  <c r="IX617" i="1"/>
  <c r="IR617" i="1"/>
  <c r="IK617" i="1"/>
  <c r="E617" i="1"/>
  <c r="JV616" i="1"/>
  <c r="JU616" i="1"/>
  <c r="JQ616" i="1"/>
  <c r="JP616" i="1"/>
  <c r="JS616" i="1"/>
  <c r="IX616" i="1"/>
  <c r="IR616" i="1"/>
  <c r="IK616" i="1"/>
  <c r="E616" i="1"/>
  <c r="JV615" i="1"/>
  <c r="JU615" i="1"/>
  <c r="JQ615" i="1"/>
  <c r="JT615" i="1"/>
  <c r="JP615" i="1"/>
  <c r="JS615" i="1"/>
  <c r="IX615" i="1"/>
  <c r="IR615" i="1"/>
  <c r="IK615" i="1"/>
  <c r="E615" i="1"/>
  <c r="JV614" i="1"/>
  <c r="JU614" i="1"/>
  <c r="JQ614" i="1"/>
  <c r="JT614" i="1"/>
  <c r="JP614" i="1"/>
  <c r="JS614" i="1"/>
  <c r="IX614" i="1"/>
  <c r="IR614" i="1"/>
  <c r="IK614" i="1"/>
  <c r="E614" i="1"/>
  <c r="JV613" i="1"/>
  <c r="JU613" i="1"/>
  <c r="JQ613" i="1"/>
  <c r="JR613" i="1"/>
  <c r="JP613" i="1"/>
  <c r="JS613" i="1"/>
  <c r="IX613" i="1"/>
  <c r="IR613" i="1"/>
  <c r="IK613" i="1"/>
  <c r="E613" i="1"/>
  <c r="JV612" i="1"/>
  <c r="JU612" i="1"/>
  <c r="JQ612" i="1"/>
  <c r="JT612" i="1"/>
  <c r="JP612" i="1"/>
  <c r="JS612" i="1"/>
  <c r="IX612" i="1"/>
  <c r="IR612" i="1"/>
  <c r="IK612" i="1"/>
  <c r="E612" i="1"/>
  <c r="JV611" i="1"/>
  <c r="JU611" i="1"/>
  <c r="JT611" i="1"/>
  <c r="JQ611" i="1"/>
  <c r="JP611" i="1"/>
  <c r="JS611" i="1"/>
  <c r="IX611" i="1"/>
  <c r="IR611" i="1"/>
  <c r="IK611" i="1"/>
  <c r="E611" i="1"/>
  <c r="JV610" i="1"/>
  <c r="JU610" i="1"/>
  <c r="JQ610" i="1"/>
  <c r="JT610" i="1"/>
  <c r="JP610" i="1"/>
  <c r="JS610" i="1"/>
  <c r="IX610" i="1"/>
  <c r="IR610" i="1"/>
  <c r="IK610" i="1"/>
  <c r="E610" i="1"/>
  <c r="JV609" i="1"/>
  <c r="JU609" i="1"/>
  <c r="JQ609" i="1"/>
  <c r="JT609" i="1"/>
  <c r="JP609" i="1"/>
  <c r="JS609" i="1"/>
  <c r="IX609" i="1"/>
  <c r="IR609" i="1"/>
  <c r="IK609" i="1"/>
  <c r="BH609" i="1"/>
  <c r="E609" i="1"/>
  <c r="JV608" i="1"/>
  <c r="JU608" i="1"/>
  <c r="JQ608" i="1"/>
  <c r="JT608" i="1"/>
  <c r="JP608" i="1"/>
  <c r="JS608" i="1"/>
  <c r="IX608" i="1"/>
  <c r="IR608" i="1"/>
  <c r="IK608" i="1"/>
  <c r="E608" i="1"/>
  <c r="JV607" i="1"/>
  <c r="JU607" i="1"/>
  <c r="JQ607" i="1"/>
  <c r="JP607" i="1"/>
  <c r="JS607" i="1"/>
  <c r="IX607" i="1"/>
  <c r="IR607" i="1"/>
  <c r="IK607" i="1"/>
  <c r="E607" i="1"/>
  <c r="JV606" i="1"/>
  <c r="JU606" i="1"/>
  <c r="JQ606" i="1"/>
  <c r="JP606" i="1"/>
  <c r="JS606" i="1"/>
  <c r="IX606" i="1"/>
  <c r="IR606" i="1"/>
  <c r="IK606" i="1"/>
  <c r="E606" i="1"/>
  <c r="JV605" i="1"/>
  <c r="JU605" i="1"/>
  <c r="JQ605" i="1"/>
  <c r="JP605" i="1"/>
  <c r="JS605" i="1"/>
  <c r="IX605" i="1"/>
  <c r="IR605" i="1"/>
  <c r="IK605" i="1"/>
  <c r="E605" i="1"/>
  <c r="JV604" i="1"/>
  <c r="JU604" i="1"/>
  <c r="JQ604" i="1"/>
  <c r="JP604" i="1"/>
  <c r="JS604" i="1"/>
  <c r="IX604" i="1"/>
  <c r="IR604" i="1"/>
  <c r="IK604" i="1"/>
  <c r="E604" i="1"/>
  <c r="JV603" i="1"/>
  <c r="JU603" i="1"/>
  <c r="JQ603" i="1"/>
  <c r="JT603" i="1"/>
  <c r="JP603" i="1"/>
  <c r="IX603" i="1"/>
  <c r="IR603" i="1"/>
  <c r="IK603" i="1"/>
  <c r="E603" i="1"/>
  <c r="JV602" i="1"/>
  <c r="JU602" i="1"/>
  <c r="JQ602" i="1"/>
  <c r="JT602" i="1"/>
  <c r="JP602" i="1"/>
  <c r="JS602" i="1"/>
  <c r="IX602" i="1"/>
  <c r="IR602" i="1"/>
  <c r="IK602" i="1"/>
  <c r="E602" i="1"/>
  <c r="JV601" i="1"/>
  <c r="JU601" i="1"/>
  <c r="JQ601" i="1"/>
  <c r="JT601" i="1"/>
  <c r="JP601" i="1"/>
  <c r="JS601" i="1"/>
  <c r="IX601" i="1"/>
  <c r="IR601" i="1"/>
  <c r="IK601" i="1"/>
  <c r="E601" i="1"/>
  <c r="JV600" i="1"/>
  <c r="JU600" i="1"/>
  <c r="JQ600" i="1"/>
  <c r="JP600" i="1"/>
  <c r="JS600" i="1"/>
  <c r="IX600" i="1"/>
  <c r="IR600" i="1"/>
  <c r="IK600" i="1"/>
  <c r="E600" i="1"/>
  <c r="JV599" i="1"/>
  <c r="JU599" i="1"/>
  <c r="JQ599" i="1"/>
  <c r="JT599" i="1"/>
  <c r="JP599" i="1"/>
  <c r="IX599" i="1"/>
  <c r="IR599" i="1"/>
  <c r="IK599" i="1"/>
  <c r="E599" i="1"/>
  <c r="JV598" i="1"/>
  <c r="JU598" i="1"/>
  <c r="JQ598" i="1"/>
  <c r="JT598" i="1"/>
  <c r="JP598" i="1"/>
  <c r="JS598" i="1"/>
  <c r="IX598" i="1"/>
  <c r="IR598" i="1"/>
  <c r="IK598" i="1"/>
  <c r="E598" i="1"/>
  <c r="JV597" i="1"/>
  <c r="JU597" i="1"/>
  <c r="JS597" i="1"/>
  <c r="JQ597" i="1"/>
  <c r="JT597" i="1"/>
  <c r="JP597" i="1"/>
  <c r="IX597" i="1"/>
  <c r="IR597" i="1"/>
  <c r="IK597" i="1"/>
  <c r="E597" i="1"/>
  <c r="JV596" i="1"/>
  <c r="JU596" i="1"/>
  <c r="JQ596" i="1"/>
  <c r="JT596" i="1"/>
  <c r="JP596" i="1"/>
  <c r="JS596" i="1"/>
  <c r="IX596" i="1"/>
  <c r="IR596" i="1"/>
  <c r="IK596" i="1"/>
  <c r="E596" i="1"/>
  <c r="JV595" i="1"/>
  <c r="JU595" i="1"/>
  <c r="JQ595" i="1"/>
  <c r="JT595" i="1"/>
  <c r="JP595" i="1"/>
  <c r="JS595" i="1"/>
  <c r="IX595" i="1"/>
  <c r="IR595" i="1"/>
  <c r="IK595" i="1"/>
  <c r="E595" i="1"/>
  <c r="JV594" i="1"/>
  <c r="JU594" i="1"/>
  <c r="JQ594" i="1"/>
  <c r="JP594" i="1"/>
  <c r="JS594" i="1"/>
  <c r="IX594" i="1"/>
  <c r="IR594" i="1"/>
  <c r="IK594" i="1"/>
  <c r="E594" i="1"/>
  <c r="JV593" i="1"/>
  <c r="JU593" i="1"/>
  <c r="JQ593" i="1"/>
  <c r="JT593" i="1"/>
  <c r="JP593" i="1"/>
  <c r="JS593" i="1"/>
  <c r="IX593" i="1"/>
  <c r="IR593" i="1"/>
  <c r="IK593" i="1"/>
  <c r="E593" i="1"/>
  <c r="JV592" i="1"/>
  <c r="JU592" i="1"/>
  <c r="JQ592" i="1"/>
  <c r="JP592" i="1"/>
  <c r="JS592" i="1"/>
  <c r="IX592" i="1"/>
  <c r="IR592" i="1"/>
  <c r="IK592" i="1"/>
  <c r="E592" i="1"/>
  <c r="JV591" i="1"/>
  <c r="JU591" i="1"/>
  <c r="JT591" i="1"/>
  <c r="JQ591" i="1"/>
  <c r="JP591" i="1"/>
  <c r="IX591" i="1"/>
  <c r="IR591" i="1"/>
  <c r="IK591" i="1"/>
  <c r="E591" i="1"/>
  <c r="JV590" i="1"/>
  <c r="JU590" i="1"/>
  <c r="JT590" i="1"/>
  <c r="JQ590" i="1"/>
  <c r="JP590" i="1"/>
  <c r="JS590" i="1"/>
  <c r="IX590" i="1"/>
  <c r="IR590" i="1"/>
  <c r="IK590" i="1"/>
  <c r="E590" i="1"/>
  <c r="JV589" i="1"/>
  <c r="JU589" i="1"/>
  <c r="JQ589" i="1"/>
  <c r="JT589" i="1"/>
  <c r="JP589" i="1"/>
  <c r="JS589" i="1"/>
  <c r="IX589" i="1"/>
  <c r="IR589" i="1"/>
  <c r="IK589" i="1"/>
  <c r="E589" i="1"/>
  <c r="JV588" i="1"/>
  <c r="JU588" i="1"/>
  <c r="JQ588" i="1"/>
  <c r="JT588" i="1"/>
  <c r="JP588" i="1"/>
  <c r="JS588" i="1"/>
  <c r="IX588" i="1"/>
  <c r="IR588" i="1"/>
  <c r="IK588" i="1"/>
  <c r="E588" i="1"/>
  <c r="JV587" i="1"/>
  <c r="JU587" i="1"/>
  <c r="JQ587" i="1"/>
  <c r="JT587" i="1"/>
  <c r="JP587" i="1"/>
  <c r="JS587" i="1"/>
  <c r="IX587" i="1"/>
  <c r="IR587" i="1"/>
  <c r="IK587" i="1"/>
  <c r="E587" i="1"/>
  <c r="JV586" i="1"/>
  <c r="JU586" i="1"/>
  <c r="JQ586" i="1"/>
  <c r="JT586" i="1"/>
  <c r="JP586" i="1"/>
  <c r="JS586" i="1"/>
  <c r="IX586" i="1"/>
  <c r="IR586" i="1"/>
  <c r="IK586" i="1"/>
  <c r="E586" i="1"/>
  <c r="JV585" i="1"/>
  <c r="JU585" i="1"/>
  <c r="JQ585" i="1"/>
  <c r="JT585" i="1"/>
  <c r="JP585" i="1"/>
  <c r="JS585" i="1"/>
  <c r="IX585" i="1"/>
  <c r="IR585" i="1"/>
  <c r="IK585" i="1"/>
  <c r="E585" i="1"/>
  <c r="JV584" i="1"/>
  <c r="JU584" i="1"/>
  <c r="JQ584" i="1"/>
  <c r="JT584" i="1"/>
  <c r="JP584" i="1"/>
  <c r="JS584" i="1"/>
  <c r="IX584" i="1"/>
  <c r="IR584" i="1"/>
  <c r="IK584" i="1"/>
  <c r="E584" i="1"/>
  <c r="JV583" i="1"/>
  <c r="JU583" i="1"/>
  <c r="JQ583" i="1"/>
  <c r="JT583" i="1"/>
  <c r="JP583" i="1"/>
  <c r="IX583" i="1"/>
  <c r="IR583" i="1"/>
  <c r="IK583" i="1"/>
  <c r="E583" i="1"/>
  <c r="JV582" i="1"/>
  <c r="JU582" i="1"/>
  <c r="JQ582" i="1"/>
  <c r="JT582" i="1"/>
  <c r="JP582" i="1"/>
  <c r="JS582" i="1"/>
  <c r="IX582" i="1"/>
  <c r="IR582" i="1"/>
  <c r="IK582" i="1"/>
  <c r="E582" i="1"/>
  <c r="JV581" i="1"/>
  <c r="JU581" i="1"/>
  <c r="JQ581" i="1"/>
  <c r="JT581" i="1"/>
  <c r="JP581" i="1"/>
  <c r="JS581" i="1"/>
  <c r="IX581" i="1"/>
  <c r="IR581" i="1"/>
  <c r="IK581" i="1"/>
  <c r="E581" i="1"/>
  <c r="JV580" i="1"/>
  <c r="JU580" i="1"/>
  <c r="JQ580" i="1"/>
  <c r="JT580" i="1"/>
  <c r="JP580" i="1"/>
  <c r="JS580" i="1"/>
  <c r="IX580" i="1"/>
  <c r="IR580" i="1"/>
  <c r="IK580" i="1"/>
  <c r="E580" i="1"/>
  <c r="JV579" i="1"/>
  <c r="JU579" i="1"/>
  <c r="JQ579" i="1"/>
  <c r="JT579" i="1"/>
  <c r="JP579" i="1"/>
  <c r="JS579" i="1"/>
  <c r="IX579" i="1"/>
  <c r="IR579" i="1"/>
  <c r="IK579" i="1"/>
  <c r="E579" i="1"/>
  <c r="JV578" i="1"/>
  <c r="JU578" i="1"/>
  <c r="JQ578" i="1"/>
  <c r="JP578" i="1"/>
  <c r="JS578" i="1"/>
  <c r="IX578" i="1"/>
  <c r="IR578" i="1"/>
  <c r="IK578" i="1"/>
  <c r="E578" i="1"/>
  <c r="JV577" i="1"/>
  <c r="JU577" i="1"/>
  <c r="JQ577" i="1"/>
  <c r="JT577" i="1"/>
  <c r="JP577" i="1"/>
  <c r="JS577" i="1"/>
  <c r="IX577" i="1"/>
  <c r="IR577" i="1"/>
  <c r="IK577" i="1"/>
  <c r="E577" i="1"/>
  <c r="JV576" i="1"/>
  <c r="JU576" i="1"/>
  <c r="JQ576" i="1"/>
  <c r="JT576" i="1"/>
  <c r="JP576" i="1"/>
  <c r="JS576" i="1"/>
  <c r="IX576" i="1"/>
  <c r="IR576" i="1"/>
  <c r="IK576" i="1"/>
  <c r="E576" i="1"/>
  <c r="JV575" i="1"/>
  <c r="JU575" i="1"/>
  <c r="JT575" i="1"/>
  <c r="JQ575" i="1"/>
  <c r="JP575" i="1"/>
  <c r="IX575" i="1"/>
  <c r="IR575" i="1"/>
  <c r="IK575" i="1"/>
  <c r="E575" i="1"/>
  <c r="JV574" i="1"/>
  <c r="JU574" i="1"/>
  <c r="JQ574" i="1"/>
  <c r="JT574" i="1"/>
  <c r="JP574" i="1"/>
  <c r="JS574" i="1"/>
  <c r="IX574" i="1"/>
  <c r="IR574" i="1"/>
  <c r="IK574" i="1"/>
  <c r="E574" i="1"/>
  <c r="JV573" i="1"/>
  <c r="JU573" i="1"/>
  <c r="JQ573" i="1"/>
  <c r="JP573" i="1"/>
  <c r="JS573" i="1"/>
  <c r="IX573" i="1"/>
  <c r="IR573" i="1"/>
  <c r="IK573" i="1"/>
  <c r="E573" i="1"/>
  <c r="JV572" i="1"/>
  <c r="JU572" i="1"/>
  <c r="JQ572" i="1"/>
  <c r="JT572" i="1"/>
  <c r="JP572" i="1"/>
  <c r="JS572" i="1"/>
  <c r="IX572" i="1"/>
  <c r="IR572" i="1"/>
  <c r="IK572" i="1"/>
  <c r="E572" i="1"/>
  <c r="JV571" i="1"/>
  <c r="JU571" i="1"/>
  <c r="JQ571" i="1"/>
  <c r="JP571" i="1"/>
  <c r="JS571" i="1"/>
  <c r="IX571" i="1"/>
  <c r="IR571" i="1"/>
  <c r="IK571" i="1"/>
  <c r="E571" i="1"/>
  <c r="JV570" i="1"/>
  <c r="JU570" i="1"/>
  <c r="JQ570" i="1"/>
  <c r="JT570" i="1"/>
  <c r="JP570" i="1"/>
  <c r="JS570" i="1"/>
  <c r="IX570" i="1"/>
  <c r="IR570" i="1"/>
  <c r="IK570" i="1"/>
  <c r="E570" i="1"/>
  <c r="JV569" i="1"/>
  <c r="JU569" i="1"/>
  <c r="JQ569" i="1"/>
  <c r="JT569" i="1"/>
  <c r="JP569" i="1"/>
  <c r="IX569" i="1"/>
  <c r="IR569" i="1"/>
  <c r="IK569" i="1"/>
  <c r="E569" i="1"/>
  <c r="JV568" i="1"/>
  <c r="JU568" i="1"/>
  <c r="JQ568" i="1"/>
  <c r="JP568" i="1"/>
  <c r="JS568" i="1"/>
  <c r="IX568" i="1"/>
  <c r="IR568" i="1"/>
  <c r="IK568" i="1"/>
  <c r="E568" i="1"/>
  <c r="JV567" i="1"/>
  <c r="JU567" i="1"/>
  <c r="JQ567" i="1"/>
  <c r="JT567" i="1"/>
  <c r="JP567" i="1"/>
  <c r="IX567" i="1"/>
  <c r="IR567" i="1"/>
  <c r="IK567" i="1"/>
  <c r="E567" i="1"/>
  <c r="JV566" i="1"/>
  <c r="JU566" i="1"/>
  <c r="JQ566" i="1"/>
  <c r="JT566" i="1"/>
  <c r="JP566" i="1"/>
  <c r="IX566" i="1"/>
  <c r="IR566" i="1"/>
  <c r="IK566" i="1"/>
  <c r="E566" i="1"/>
  <c r="JV565" i="1"/>
  <c r="JU565" i="1"/>
  <c r="JQ565" i="1"/>
  <c r="JT565" i="1"/>
  <c r="JP565" i="1"/>
  <c r="IX565" i="1"/>
  <c r="IR565" i="1"/>
  <c r="IK565" i="1"/>
  <c r="E565" i="1"/>
  <c r="JV564" i="1"/>
  <c r="JU564" i="1"/>
  <c r="JQ564" i="1"/>
  <c r="JP564" i="1"/>
  <c r="JS564" i="1"/>
  <c r="IX564" i="1"/>
  <c r="IR564" i="1"/>
  <c r="IK564" i="1"/>
  <c r="E564" i="1"/>
  <c r="JV563" i="1"/>
  <c r="JU563" i="1"/>
  <c r="JQ563" i="1"/>
  <c r="JT563" i="1"/>
  <c r="JP563" i="1"/>
  <c r="JS563" i="1"/>
  <c r="IX563" i="1"/>
  <c r="IR563" i="1"/>
  <c r="IK563" i="1"/>
  <c r="E563" i="1"/>
  <c r="JV562" i="1"/>
  <c r="JU562" i="1"/>
  <c r="JQ562" i="1"/>
  <c r="JR562" i="1"/>
  <c r="JP562" i="1"/>
  <c r="JS562" i="1"/>
  <c r="IX562" i="1"/>
  <c r="IR562" i="1"/>
  <c r="IK562" i="1"/>
  <c r="E562" i="1"/>
  <c r="JV561" i="1"/>
  <c r="JU561" i="1"/>
  <c r="JT561" i="1"/>
  <c r="JQ561" i="1"/>
  <c r="JP561" i="1"/>
  <c r="IX561" i="1"/>
  <c r="IR561" i="1"/>
  <c r="IK561" i="1"/>
  <c r="E561" i="1"/>
  <c r="JV560" i="1"/>
  <c r="JU560" i="1"/>
  <c r="JT560" i="1"/>
  <c r="JQ560" i="1"/>
  <c r="JP560" i="1"/>
  <c r="JS560" i="1"/>
  <c r="IX560" i="1"/>
  <c r="IR560" i="1"/>
  <c r="IK560" i="1"/>
  <c r="E560" i="1"/>
  <c r="JV559" i="1"/>
  <c r="JU559" i="1"/>
  <c r="JQ559" i="1"/>
  <c r="JT559" i="1"/>
  <c r="JP559" i="1"/>
  <c r="IX559" i="1"/>
  <c r="IR559" i="1"/>
  <c r="IK559" i="1"/>
  <c r="E559" i="1"/>
  <c r="JV558" i="1"/>
  <c r="JU558" i="1"/>
  <c r="JQ558" i="1"/>
  <c r="JP558" i="1"/>
  <c r="JS558" i="1"/>
  <c r="IX558" i="1"/>
  <c r="IR558" i="1"/>
  <c r="IK558" i="1"/>
  <c r="E558" i="1"/>
  <c r="JV557" i="1"/>
  <c r="JU557" i="1"/>
  <c r="JQ557" i="1"/>
  <c r="JT557" i="1"/>
  <c r="JP557" i="1"/>
  <c r="IX557" i="1"/>
  <c r="IR557" i="1"/>
  <c r="IK557" i="1"/>
  <c r="E557" i="1"/>
  <c r="JV556" i="1"/>
  <c r="JU556" i="1"/>
  <c r="JQ556" i="1"/>
  <c r="JT556" i="1"/>
  <c r="JP556" i="1"/>
  <c r="JS556" i="1"/>
  <c r="IX556" i="1"/>
  <c r="IR556" i="1"/>
  <c r="IK556" i="1"/>
  <c r="E556" i="1"/>
  <c r="JV555" i="1"/>
  <c r="JU555" i="1"/>
  <c r="JQ555" i="1"/>
  <c r="JT555" i="1"/>
  <c r="JP555" i="1"/>
  <c r="IX555" i="1"/>
  <c r="IR555" i="1"/>
  <c r="IK555" i="1"/>
  <c r="E555" i="1"/>
  <c r="JV554" i="1"/>
  <c r="JU554" i="1"/>
  <c r="JQ554" i="1"/>
  <c r="JT554" i="1"/>
  <c r="JP554" i="1"/>
  <c r="IX554" i="1"/>
  <c r="IR554" i="1"/>
  <c r="IK554" i="1"/>
  <c r="E554" i="1"/>
  <c r="JV553" i="1"/>
  <c r="JU553" i="1"/>
  <c r="JQ553" i="1"/>
  <c r="JT553" i="1"/>
  <c r="JP553" i="1"/>
  <c r="JS553" i="1"/>
  <c r="IX553" i="1"/>
  <c r="IR553" i="1"/>
  <c r="IK553" i="1"/>
  <c r="E553" i="1"/>
  <c r="JV552" i="1"/>
  <c r="JU552" i="1"/>
  <c r="JQ552" i="1"/>
  <c r="JT552" i="1"/>
  <c r="JP552" i="1"/>
  <c r="JS552" i="1"/>
  <c r="IX552" i="1"/>
  <c r="IR552" i="1"/>
  <c r="IK552" i="1"/>
  <c r="E552" i="1"/>
  <c r="JV551" i="1"/>
  <c r="JU551" i="1"/>
  <c r="JQ551" i="1"/>
  <c r="JP551" i="1"/>
  <c r="JS551" i="1"/>
  <c r="IX551" i="1"/>
  <c r="IR551" i="1"/>
  <c r="IK551" i="1"/>
  <c r="E551" i="1"/>
  <c r="JV550" i="1"/>
  <c r="JU550" i="1"/>
  <c r="JQ550" i="1"/>
  <c r="JT550" i="1"/>
  <c r="JP550" i="1"/>
  <c r="JS550" i="1"/>
  <c r="IX550" i="1"/>
  <c r="IR550" i="1"/>
  <c r="IK550" i="1"/>
  <c r="E550" i="1"/>
  <c r="JV549" i="1"/>
  <c r="JU549" i="1"/>
  <c r="JQ549" i="1"/>
  <c r="JP549" i="1"/>
  <c r="JS549" i="1"/>
  <c r="IX549" i="1"/>
  <c r="IR549" i="1"/>
  <c r="IK549" i="1"/>
  <c r="E549" i="1"/>
  <c r="JV548" i="1"/>
  <c r="JU548" i="1"/>
  <c r="JS548" i="1"/>
  <c r="JQ548" i="1"/>
  <c r="JT548" i="1"/>
  <c r="JP548" i="1"/>
  <c r="IX548" i="1"/>
  <c r="IR548" i="1"/>
  <c r="IK548" i="1"/>
  <c r="E548" i="1"/>
  <c r="JV547" i="1"/>
  <c r="JU547" i="1"/>
  <c r="JQ547" i="1"/>
  <c r="JP547" i="1"/>
  <c r="JS547" i="1"/>
  <c r="IX547" i="1"/>
  <c r="IR547" i="1"/>
  <c r="IK547" i="1"/>
  <c r="E547" i="1"/>
  <c r="JV546" i="1"/>
  <c r="JU546" i="1"/>
  <c r="JQ546" i="1"/>
  <c r="JT546" i="1"/>
  <c r="JP546" i="1"/>
  <c r="JS546" i="1"/>
  <c r="IX546" i="1"/>
  <c r="IR546" i="1"/>
  <c r="IK546" i="1"/>
  <c r="E546" i="1"/>
  <c r="JV545" i="1"/>
  <c r="JU545" i="1"/>
  <c r="JQ545" i="1"/>
  <c r="JP545" i="1"/>
  <c r="JS545" i="1"/>
  <c r="IX545" i="1"/>
  <c r="IR545" i="1"/>
  <c r="IK545" i="1"/>
  <c r="E545" i="1"/>
  <c r="JV544" i="1"/>
  <c r="JU544" i="1"/>
  <c r="JQ544" i="1"/>
  <c r="JT544" i="1"/>
  <c r="JP544" i="1"/>
  <c r="JS544" i="1"/>
  <c r="IX544" i="1"/>
  <c r="IR544" i="1"/>
  <c r="IK544" i="1"/>
  <c r="BH544" i="1"/>
  <c r="E544" i="1"/>
  <c r="JV543" i="1"/>
  <c r="JU543" i="1"/>
  <c r="JQ543" i="1"/>
  <c r="JT543" i="1"/>
  <c r="JP543" i="1"/>
  <c r="JS543" i="1"/>
  <c r="IX543" i="1"/>
  <c r="IR543" i="1"/>
  <c r="IK543" i="1"/>
  <c r="E543" i="1"/>
  <c r="JV542" i="1"/>
  <c r="JU542" i="1"/>
  <c r="JQ542" i="1"/>
  <c r="JT542" i="1"/>
  <c r="JP542" i="1"/>
  <c r="IX542" i="1"/>
  <c r="IR542" i="1"/>
  <c r="IK542" i="1"/>
  <c r="E542" i="1"/>
  <c r="JV541" i="1"/>
  <c r="JU541" i="1"/>
  <c r="JQ541" i="1"/>
  <c r="JT541" i="1"/>
  <c r="JP541" i="1"/>
  <c r="IX541" i="1"/>
  <c r="IR541" i="1"/>
  <c r="IK541" i="1"/>
  <c r="E541" i="1"/>
  <c r="JV540" i="1"/>
  <c r="JU540" i="1"/>
  <c r="JQ540" i="1"/>
  <c r="JT540" i="1"/>
  <c r="JP540" i="1"/>
  <c r="IX540" i="1"/>
  <c r="IR540" i="1"/>
  <c r="IK540" i="1"/>
  <c r="E540" i="1"/>
  <c r="JV539" i="1"/>
  <c r="JU539" i="1"/>
  <c r="JQ539" i="1"/>
  <c r="JP539" i="1"/>
  <c r="JS539" i="1"/>
  <c r="IX539" i="1"/>
  <c r="IR539" i="1"/>
  <c r="IK539" i="1"/>
  <c r="E539" i="1"/>
  <c r="JV538" i="1"/>
  <c r="JU538" i="1"/>
  <c r="JQ538" i="1"/>
  <c r="JT538" i="1"/>
  <c r="JP538" i="1"/>
  <c r="JS538" i="1"/>
  <c r="IX538" i="1"/>
  <c r="IR538" i="1"/>
  <c r="IK538" i="1"/>
  <c r="E538" i="1"/>
  <c r="JV537" i="1"/>
  <c r="JU537" i="1"/>
  <c r="JQ537" i="1"/>
  <c r="JR537" i="1"/>
  <c r="JP537" i="1"/>
  <c r="JS537" i="1"/>
  <c r="IX537" i="1"/>
  <c r="IR537" i="1"/>
  <c r="IK537" i="1"/>
  <c r="E537" i="1"/>
  <c r="JV536" i="1"/>
  <c r="JU536" i="1"/>
  <c r="JQ536" i="1"/>
  <c r="JT536" i="1"/>
  <c r="JP536" i="1"/>
  <c r="JS536" i="1"/>
  <c r="IX536" i="1"/>
  <c r="IR536" i="1"/>
  <c r="IK536" i="1"/>
  <c r="E536" i="1"/>
  <c r="JV535" i="1"/>
  <c r="JU535" i="1"/>
  <c r="JQ535" i="1"/>
  <c r="JP535" i="1"/>
  <c r="JS535" i="1"/>
  <c r="IX535" i="1"/>
  <c r="IR535" i="1"/>
  <c r="IK535" i="1"/>
  <c r="E535" i="1"/>
  <c r="JV534" i="1"/>
  <c r="JU534" i="1"/>
  <c r="JQ534" i="1"/>
  <c r="JT534" i="1"/>
  <c r="JP534" i="1"/>
  <c r="IX534" i="1"/>
  <c r="IR534" i="1"/>
  <c r="IK534" i="1"/>
  <c r="E534" i="1"/>
  <c r="JV533" i="1"/>
  <c r="JU533" i="1"/>
  <c r="JQ533" i="1"/>
  <c r="JT533" i="1"/>
  <c r="JP533" i="1"/>
  <c r="IX533" i="1"/>
  <c r="IR533" i="1"/>
  <c r="IK533" i="1"/>
  <c r="E533" i="1"/>
  <c r="JV532" i="1"/>
  <c r="JU532" i="1"/>
  <c r="JQ532" i="1"/>
  <c r="JT532" i="1"/>
  <c r="JP532" i="1"/>
  <c r="JS532" i="1"/>
  <c r="IX532" i="1"/>
  <c r="IR532" i="1"/>
  <c r="IK532" i="1"/>
  <c r="E532" i="1"/>
  <c r="JV531" i="1"/>
  <c r="JU531" i="1"/>
  <c r="JQ531" i="1"/>
  <c r="JT531" i="1"/>
  <c r="JP531" i="1"/>
  <c r="JS531" i="1"/>
  <c r="IX531" i="1"/>
  <c r="IR531" i="1"/>
  <c r="IK531" i="1"/>
  <c r="E531" i="1"/>
  <c r="JV530" i="1"/>
  <c r="JU530" i="1"/>
  <c r="JQ530" i="1"/>
  <c r="JP530" i="1"/>
  <c r="JS530" i="1"/>
  <c r="IX530" i="1"/>
  <c r="IR530" i="1"/>
  <c r="IK530" i="1"/>
  <c r="E530" i="1"/>
  <c r="JV529" i="1"/>
  <c r="JU529" i="1"/>
  <c r="JQ529" i="1"/>
  <c r="JT529" i="1"/>
  <c r="JP529" i="1"/>
  <c r="IX529" i="1"/>
  <c r="IR529" i="1"/>
  <c r="IK529" i="1"/>
  <c r="E529" i="1"/>
  <c r="JV528" i="1"/>
  <c r="JU528" i="1"/>
  <c r="JQ528" i="1"/>
  <c r="JP528" i="1"/>
  <c r="JS528" i="1"/>
  <c r="IX528" i="1"/>
  <c r="IR528" i="1"/>
  <c r="IK528" i="1"/>
  <c r="E528" i="1"/>
  <c r="JV527" i="1"/>
  <c r="JU527" i="1"/>
  <c r="JQ527" i="1"/>
  <c r="JT527" i="1"/>
  <c r="JP527" i="1"/>
  <c r="JS527" i="1"/>
  <c r="IX527" i="1"/>
  <c r="IR527" i="1"/>
  <c r="IK527" i="1"/>
  <c r="E527" i="1"/>
  <c r="JV526" i="1"/>
  <c r="JU526" i="1"/>
  <c r="JQ526" i="1"/>
  <c r="JP526" i="1"/>
  <c r="JS526" i="1"/>
  <c r="IX526" i="1"/>
  <c r="IR526" i="1"/>
  <c r="IK526" i="1"/>
  <c r="E526" i="1"/>
  <c r="JV525" i="1"/>
  <c r="JU525" i="1"/>
  <c r="JQ525" i="1"/>
  <c r="JT525" i="1"/>
  <c r="JP525" i="1"/>
  <c r="IX525" i="1"/>
  <c r="IR525" i="1"/>
  <c r="IK525" i="1"/>
  <c r="E525" i="1"/>
  <c r="JV524" i="1"/>
  <c r="JU524" i="1"/>
  <c r="JQ524" i="1"/>
  <c r="JR524" i="1"/>
  <c r="JP524" i="1"/>
  <c r="JS524" i="1"/>
  <c r="IX524" i="1"/>
  <c r="IR524" i="1"/>
  <c r="IK524" i="1"/>
  <c r="E524" i="1"/>
  <c r="JV523" i="1"/>
  <c r="JU523" i="1"/>
  <c r="JR523" i="1"/>
  <c r="JQ523" i="1"/>
  <c r="JT523" i="1"/>
  <c r="JP523" i="1"/>
  <c r="JS523" i="1"/>
  <c r="IX523" i="1"/>
  <c r="IR523" i="1"/>
  <c r="IK523" i="1"/>
  <c r="E523" i="1"/>
  <c r="JV522" i="1"/>
  <c r="JU522" i="1"/>
  <c r="JQ522" i="1"/>
  <c r="JP522" i="1"/>
  <c r="JS522" i="1"/>
  <c r="IX522" i="1"/>
  <c r="IR522" i="1"/>
  <c r="IK522" i="1"/>
  <c r="E522" i="1"/>
  <c r="JV521" i="1"/>
  <c r="JU521" i="1"/>
  <c r="JQ521" i="1"/>
  <c r="JT521" i="1"/>
  <c r="JP521" i="1"/>
  <c r="JS521" i="1"/>
  <c r="IX521" i="1"/>
  <c r="IR521" i="1"/>
  <c r="IK521" i="1"/>
  <c r="E521" i="1"/>
  <c r="JV520" i="1"/>
  <c r="JU520" i="1"/>
  <c r="JQ520" i="1"/>
  <c r="JP520" i="1"/>
  <c r="JS520" i="1"/>
  <c r="IX520" i="1"/>
  <c r="IR520" i="1"/>
  <c r="IK520" i="1"/>
  <c r="E520" i="1"/>
  <c r="JV519" i="1"/>
  <c r="JU519" i="1"/>
  <c r="JQ519" i="1"/>
  <c r="JT519" i="1"/>
  <c r="JP519" i="1"/>
  <c r="JS519" i="1"/>
  <c r="IX519" i="1"/>
  <c r="IR519" i="1"/>
  <c r="IK519" i="1"/>
  <c r="E519" i="1"/>
  <c r="JV518" i="1"/>
  <c r="JU518" i="1"/>
  <c r="JQ518" i="1"/>
  <c r="JT518" i="1"/>
  <c r="JP518" i="1"/>
  <c r="JS518" i="1"/>
  <c r="IX518" i="1"/>
  <c r="IR518" i="1"/>
  <c r="IK518" i="1"/>
  <c r="E518" i="1"/>
  <c r="JV517" i="1"/>
  <c r="JU517" i="1"/>
  <c r="JQ517" i="1"/>
  <c r="JT517" i="1"/>
  <c r="JP517" i="1"/>
  <c r="JS517" i="1"/>
  <c r="IX517" i="1"/>
  <c r="IR517" i="1"/>
  <c r="IK517" i="1"/>
  <c r="E517" i="1"/>
  <c r="JV516" i="1"/>
  <c r="JU516" i="1"/>
  <c r="JQ516" i="1"/>
  <c r="JT516" i="1"/>
  <c r="JP516" i="1"/>
  <c r="JS516" i="1"/>
  <c r="IX516" i="1"/>
  <c r="IR516" i="1"/>
  <c r="IK516" i="1"/>
  <c r="E516" i="1"/>
  <c r="JV515" i="1"/>
  <c r="JU515" i="1"/>
  <c r="JQ515" i="1"/>
  <c r="JP515" i="1"/>
  <c r="JS515" i="1"/>
  <c r="IX515" i="1"/>
  <c r="IR515" i="1"/>
  <c r="IK515" i="1"/>
  <c r="E515" i="1"/>
  <c r="JV514" i="1"/>
  <c r="JU514" i="1"/>
  <c r="JQ514" i="1"/>
  <c r="JT514" i="1"/>
  <c r="JP514" i="1"/>
  <c r="IX514" i="1"/>
  <c r="IR514" i="1"/>
  <c r="IK514" i="1"/>
  <c r="E514" i="1"/>
  <c r="JV513" i="1"/>
  <c r="JU513" i="1"/>
  <c r="JT513" i="1"/>
  <c r="JQ513" i="1"/>
  <c r="JP513" i="1"/>
  <c r="IX513" i="1"/>
  <c r="IR513" i="1"/>
  <c r="IK513" i="1"/>
  <c r="E513" i="1"/>
  <c r="JV512" i="1"/>
  <c r="JU512" i="1"/>
  <c r="JQ512" i="1"/>
  <c r="JP512" i="1"/>
  <c r="JS512" i="1"/>
  <c r="IX512" i="1"/>
  <c r="IR512" i="1"/>
  <c r="IK512" i="1"/>
  <c r="E512" i="1"/>
  <c r="JV511" i="1"/>
  <c r="JU511" i="1"/>
  <c r="JQ511" i="1"/>
  <c r="JT511" i="1"/>
  <c r="JP511" i="1"/>
  <c r="IX511" i="1"/>
  <c r="IR511" i="1"/>
  <c r="IK511" i="1"/>
  <c r="E511" i="1"/>
  <c r="JV510" i="1"/>
  <c r="JU510" i="1"/>
  <c r="JQ510" i="1"/>
  <c r="JT510" i="1"/>
  <c r="JP510" i="1"/>
  <c r="IX510" i="1"/>
  <c r="IR510" i="1"/>
  <c r="IK510" i="1"/>
  <c r="E510" i="1"/>
  <c r="JV509" i="1"/>
  <c r="JU509" i="1"/>
  <c r="JQ509" i="1"/>
  <c r="JT509" i="1"/>
  <c r="JP509" i="1"/>
  <c r="IX509" i="1"/>
  <c r="IR509" i="1"/>
  <c r="IK509" i="1"/>
  <c r="E509" i="1"/>
  <c r="JV508" i="1"/>
  <c r="JU508" i="1"/>
  <c r="JQ508" i="1"/>
  <c r="JP508" i="1"/>
  <c r="JS508" i="1"/>
  <c r="IX508" i="1"/>
  <c r="IR508" i="1"/>
  <c r="IK508" i="1"/>
  <c r="E508" i="1"/>
  <c r="JV507" i="1"/>
  <c r="JU507" i="1"/>
  <c r="JQ507" i="1"/>
  <c r="JT507" i="1"/>
  <c r="JP507" i="1"/>
  <c r="JS507" i="1"/>
  <c r="IX507" i="1"/>
  <c r="IR507" i="1"/>
  <c r="IK507" i="1"/>
  <c r="E507" i="1"/>
  <c r="JV506" i="1"/>
  <c r="JU506" i="1"/>
  <c r="JT506" i="1"/>
  <c r="JQ506" i="1"/>
  <c r="JR506" i="1"/>
  <c r="JP506" i="1"/>
  <c r="JS506" i="1"/>
  <c r="IX506" i="1"/>
  <c r="IR506" i="1"/>
  <c r="IK506" i="1"/>
  <c r="E506" i="1"/>
  <c r="JV505" i="1"/>
  <c r="JU505" i="1"/>
  <c r="JQ505" i="1"/>
  <c r="JT505" i="1"/>
  <c r="JP505" i="1"/>
  <c r="JS505" i="1"/>
  <c r="IX505" i="1"/>
  <c r="IR505" i="1"/>
  <c r="IK505" i="1"/>
  <c r="HB505" i="1"/>
  <c r="GX505" i="1"/>
  <c r="E505" i="1"/>
  <c r="JV504" i="1"/>
  <c r="JU504" i="1"/>
  <c r="JQ504" i="1"/>
  <c r="JT504" i="1"/>
  <c r="JP504" i="1"/>
  <c r="JS504" i="1"/>
  <c r="IX504" i="1"/>
  <c r="IR504" i="1"/>
  <c r="IK504" i="1"/>
  <c r="E504" i="1"/>
  <c r="JV503" i="1"/>
  <c r="JU503" i="1"/>
  <c r="JQ503" i="1"/>
  <c r="JT503" i="1"/>
  <c r="JP503" i="1"/>
  <c r="JS503" i="1"/>
  <c r="IX503" i="1"/>
  <c r="IR503" i="1"/>
  <c r="IK503" i="1"/>
  <c r="E503" i="1"/>
  <c r="JV502" i="1"/>
  <c r="JU502" i="1"/>
  <c r="JQ502" i="1"/>
  <c r="JT502" i="1"/>
  <c r="JP502" i="1"/>
  <c r="JS502" i="1"/>
  <c r="IX502" i="1"/>
  <c r="IR502" i="1"/>
  <c r="IK502" i="1"/>
  <c r="E502" i="1"/>
  <c r="JV501" i="1"/>
  <c r="JU501" i="1"/>
  <c r="JQ501" i="1"/>
  <c r="JP501" i="1"/>
  <c r="JS501" i="1"/>
  <c r="IX501" i="1"/>
  <c r="IR501" i="1"/>
  <c r="IK501" i="1"/>
  <c r="E501" i="1"/>
  <c r="JV500" i="1"/>
  <c r="JU500" i="1"/>
  <c r="JT500" i="1"/>
  <c r="JQ500" i="1"/>
  <c r="JP500" i="1"/>
  <c r="JS500" i="1"/>
  <c r="IX500" i="1"/>
  <c r="IR500" i="1"/>
  <c r="IK500" i="1"/>
  <c r="E500" i="1"/>
  <c r="JV499" i="1"/>
  <c r="JU499" i="1"/>
  <c r="JQ499" i="1"/>
  <c r="JT499" i="1"/>
  <c r="JP499" i="1"/>
  <c r="JS499" i="1"/>
  <c r="IX499" i="1"/>
  <c r="IR499" i="1"/>
  <c r="IK499" i="1"/>
  <c r="E499" i="1"/>
  <c r="JV498" i="1"/>
  <c r="JU498" i="1"/>
  <c r="JQ498" i="1"/>
  <c r="JP498" i="1"/>
  <c r="JS498" i="1"/>
  <c r="IX498" i="1"/>
  <c r="IR498" i="1"/>
  <c r="IK498" i="1"/>
  <c r="E498" i="1"/>
  <c r="JV497" i="1"/>
  <c r="JU497" i="1"/>
  <c r="JQ497" i="1"/>
  <c r="JT497" i="1"/>
  <c r="JP497" i="1"/>
  <c r="JS497" i="1"/>
  <c r="IX497" i="1"/>
  <c r="IR497" i="1"/>
  <c r="IK497" i="1"/>
  <c r="E497" i="1"/>
  <c r="JV496" i="1"/>
  <c r="JU496" i="1"/>
  <c r="JQ496" i="1"/>
  <c r="JP496" i="1"/>
  <c r="JS496" i="1"/>
  <c r="IX496" i="1"/>
  <c r="IR496" i="1"/>
  <c r="IK496" i="1"/>
  <c r="E496" i="1"/>
  <c r="JV495" i="1"/>
  <c r="JU495" i="1"/>
  <c r="JQ495" i="1"/>
  <c r="JT495" i="1"/>
  <c r="JP495" i="1"/>
  <c r="JS495" i="1"/>
  <c r="IX495" i="1"/>
  <c r="IR495" i="1"/>
  <c r="IK495" i="1"/>
  <c r="E495" i="1"/>
  <c r="JV494" i="1"/>
  <c r="JU494" i="1"/>
  <c r="JQ494" i="1"/>
  <c r="JT494" i="1"/>
  <c r="JP494" i="1"/>
  <c r="JS494" i="1"/>
  <c r="IX494" i="1"/>
  <c r="IR494" i="1"/>
  <c r="IK494" i="1"/>
  <c r="E494" i="1"/>
  <c r="JV493" i="1"/>
  <c r="JU493" i="1"/>
  <c r="JQ493" i="1"/>
  <c r="JT493" i="1"/>
  <c r="JP493" i="1"/>
  <c r="IX493" i="1"/>
  <c r="IR493" i="1"/>
  <c r="IK493" i="1"/>
  <c r="E493" i="1"/>
  <c r="JV492" i="1"/>
  <c r="JU492" i="1"/>
  <c r="JT492" i="1"/>
  <c r="JQ492" i="1"/>
  <c r="JP492" i="1"/>
  <c r="JS492" i="1"/>
  <c r="IX492" i="1"/>
  <c r="IR492" i="1"/>
  <c r="IK492" i="1"/>
  <c r="E492" i="1"/>
  <c r="JV491" i="1"/>
  <c r="JU491" i="1"/>
  <c r="JQ491" i="1"/>
  <c r="JT491" i="1"/>
  <c r="JP491" i="1"/>
  <c r="IX491" i="1"/>
  <c r="IR491" i="1"/>
  <c r="IK491" i="1"/>
  <c r="E491" i="1"/>
  <c r="JV490" i="1"/>
  <c r="JU490" i="1"/>
  <c r="JQ490" i="1"/>
  <c r="JP490" i="1"/>
  <c r="JS490" i="1"/>
  <c r="IX490" i="1"/>
  <c r="IR490" i="1"/>
  <c r="IK490" i="1"/>
  <c r="E490" i="1"/>
  <c r="JV489" i="1"/>
  <c r="JU489" i="1"/>
  <c r="JT489" i="1"/>
  <c r="JQ489" i="1"/>
  <c r="JP489" i="1"/>
  <c r="JS489" i="1"/>
  <c r="IX489" i="1"/>
  <c r="IR489" i="1"/>
  <c r="IK489" i="1"/>
  <c r="E489" i="1"/>
  <c r="JV488" i="1"/>
  <c r="JU488" i="1"/>
  <c r="JQ488" i="1"/>
  <c r="JP488" i="1"/>
  <c r="JS488" i="1"/>
  <c r="IX488" i="1"/>
  <c r="IR488" i="1"/>
  <c r="IK488" i="1"/>
  <c r="E488" i="1"/>
  <c r="JV487" i="1"/>
  <c r="JU487" i="1"/>
  <c r="JR487" i="1"/>
  <c r="JQ487" i="1"/>
  <c r="JT487" i="1"/>
  <c r="JP487" i="1"/>
  <c r="JS487" i="1"/>
  <c r="IX487" i="1"/>
  <c r="IR487" i="1"/>
  <c r="IK487" i="1"/>
  <c r="E487" i="1"/>
  <c r="JV486" i="1"/>
  <c r="JU486" i="1"/>
  <c r="JQ486" i="1"/>
  <c r="JT486" i="1"/>
  <c r="JP486" i="1"/>
  <c r="JS486" i="1"/>
  <c r="IX486" i="1"/>
  <c r="IR486" i="1"/>
  <c r="IK486" i="1"/>
  <c r="E486" i="1"/>
  <c r="JV485" i="1"/>
  <c r="JU485" i="1"/>
  <c r="JQ485" i="1"/>
  <c r="JT485" i="1"/>
  <c r="JP485" i="1"/>
  <c r="JS485" i="1"/>
  <c r="IX485" i="1"/>
  <c r="IR485" i="1"/>
  <c r="IK485" i="1"/>
  <c r="E485" i="1"/>
  <c r="JV484" i="1"/>
  <c r="JU484" i="1"/>
  <c r="JQ484" i="1"/>
  <c r="JP484" i="1"/>
  <c r="JS484" i="1"/>
  <c r="IX484" i="1"/>
  <c r="IR484" i="1"/>
  <c r="IK484" i="1"/>
  <c r="E484" i="1"/>
  <c r="JV483" i="1"/>
  <c r="JU483" i="1"/>
  <c r="JQ483" i="1"/>
  <c r="JP483" i="1"/>
  <c r="JS483" i="1"/>
  <c r="IX483" i="1"/>
  <c r="IR483" i="1"/>
  <c r="IK483" i="1"/>
  <c r="E483" i="1"/>
  <c r="JV482" i="1"/>
  <c r="JU482" i="1"/>
  <c r="JQ482" i="1"/>
  <c r="JP482" i="1"/>
  <c r="JS482" i="1"/>
  <c r="IX482" i="1"/>
  <c r="IR482" i="1"/>
  <c r="IK482" i="1"/>
  <c r="E482" i="1"/>
  <c r="JV481" i="1"/>
  <c r="JU481" i="1"/>
  <c r="JQ481" i="1"/>
  <c r="JT481" i="1"/>
  <c r="JP481" i="1"/>
  <c r="JS481" i="1"/>
  <c r="IX481" i="1"/>
  <c r="IR481" i="1"/>
  <c r="IK481" i="1"/>
  <c r="E481" i="1"/>
  <c r="JV480" i="1"/>
  <c r="JU480" i="1"/>
  <c r="JQ480" i="1"/>
  <c r="JT480" i="1"/>
  <c r="JP480" i="1"/>
  <c r="JS480" i="1"/>
  <c r="IX480" i="1"/>
  <c r="IR480" i="1"/>
  <c r="IK480" i="1"/>
  <c r="E480" i="1"/>
  <c r="JV479" i="1"/>
  <c r="JU479" i="1"/>
  <c r="JQ479" i="1"/>
  <c r="JT479" i="1"/>
  <c r="JP479" i="1"/>
  <c r="JS479" i="1"/>
  <c r="IX479" i="1"/>
  <c r="IR479" i="1"/>
  <c r="IK479" i="1"/>
  <c r="E479" i="1"/>
  <c r="JV478" i="1"/>
  <c r="JU478" i="1"/>
  <c r="JQ478" i="1"/>
  <c r="JT478" i="1"/>
  <c r="JP478" i="1"/>
  <c r="IX478" i="1"/>
  <c r="IR478" i="1"/>
  <c r="IK478" i="1"/>
  <c r="E478" i="1"/>
  <c r="JV477" i="1"/>
  <c r="JU477" i="1"/>
  <c r="JT477" i="1"/>
  <c r="JQ477" i="1"/>
  <c r="JP477" i="1"/>
  <c r="JS477" i="1"/>
  <c r="IX477" i="1"/>
  <c r="IR477" i="1"/>
  <c r="IK477" i="1"/>
  <c r="E477" i="1"/>
  <c r="JV476" i="1"/>
  <c r="JU476" i="1"/>
  <c r="JQ476" i="1"/>
  <c r="JP476" i="1"/>
  <c r="JS476" i="1"/>
  <c r="IX476" i="1"/>
  <c r="IR476" i="1"/>
  <c r="IK476" i="1"/>
  <c r="E476" i="1"/>
  <c r="JV475" i="1"/>
  <c r="JU475" i="1"/>
  <c r="JQ475" i="1"/>
  <c r="JT475" i="1"/>
  <c r="JP475" i="1"/>
  <c r="JS475" i="1"/>
  <c r="IX475" i="1"/>
  <c r="IR475" i="1"/>
  <c r="IK475" i="1"/>
  <c r="E475" i="1"/>
  <c r="JV474" i="1"/>
  <c r="JU474" i="1"/>
  <c r="JQ474" i="1"/>
  <c r="JT474" i="1"/>
  <c r="JP474" i="1"/>
  <c r="JS474" i="1"/>
  <c r="IX474" i="1"/>
  <c r="IR474" i="1"/>
  <c r="IK474" i="1"/>
  <c r="E474" i="1"/>
  <c r="JV473" i="1"/>
  <c r="JU473" i="1"/>
  <c r="JQ473" i="1"/>
  <c r="JT473" i="1"/>
  <c r="JP473" i="1"/>
  <c r="JS473" i="1"/>
  <c r="IX473" i="1"/>
  <c r="IR473" i="1"/>
  <c r="IK473" i="1"/>
  <c r="E473" i="1"/>
  <c r="JV472" i="1"/>
  <c r="JU472" i="1"/>
  <c r="JQ472" i="1"/>
  <c r="JP472" i="1"/>
  <c r="JS472" i="1"/>
  <c r="IX472" i="1"/>
  <c r="IR472" i="1"/>
  <c r="IK472" i="1"/>
  <c r="E472" i="1"/>
  <c r="JV471" i="1"/>
  <c r="JU471" i="1"/>
  <c r="JQ471" i="1"/>
  <c r="JT471" i="1"/>
  <c r="JP471" i="1"/>
  <c r="JS471" i="1"/>
  <c r="IX471" i="1"/>
  <c r="IR471" i="1"/>
  <c r="IK471" i="1"/>
  <c r="E471" i="1"/>
  <c r="JV470" i="1"/>
  <c r="JU470" i="1"/>
  <c r="JQ470" i="1"/>
  <c r="JT470" i="1"/>
  <c r="JP470" i="1"/>
  <c r="JS470" i="1"/>
  <c r="IX470" i="1"/>
  <c r="IR470" i="1"/>
  <c r="IK470" i="1"/>
  <c r="E470" i="1"/>
  <c r="JV469" i="1"/>
  <c r="JU469" i="1"/>
  <c r="JQ469" i="1"/>
  <c r="JT469" i="1"/>
  <c r="JP469" i="1"/>
  <c r="JS469" i="1"/>
  <c r="IX469" i="1"/>
  <c r="IR469" i="1"/>
  <c r="IK469" i="1"/>
  <c r="E469" i="1"/>
  <c r="JV468" i="1"/>
  <c r="JU468" i="1"/>
  <c r="JQ468" i="1"/>
  <c r="JT468" i="1"/>
  <c r="JP468" i="1"/>
  <c r="JS468" i="1"/>
  <c r="IX468" i="1"/>
  <c r="IR468" i="1"/>
  <c r="IK468" i="1"/>
  <c r="E468" i="1"/>
  <c r="JV467" i="1"/>
  <c r="JU467" i="1"/>
  <c r="JT467" i="1"/>
  <c r="JQ467" i="1"/>
  <c r="JP467" i="1"/>
  <c r="JS467" i="1"/>
  <c r="IX467" i="1"/>
  <c r="IR467" i="1"/>
  <c r="IK467" i="1"/>
  <c r="E467" i="1"/>
  <c r="JV466" i="1"/>
  <c r="JU466" i="1"/>
  <c r="JQ466" i="1"/>
  <c r="JT466" i="1"/>
  <c r="JP466" i="1"/>
  <c r="JS466" i="1"/>
  <c r="IX466" i="1"/>
  <c r="IR466" i="1"/>
  <c r="IK466" i="1"/>
  <c r="E466" i="1"/>
  <c r="JV465" i="1"/>
  <c r="JU465" i="1"/>
  <c r="JQ465" i="1"/>
  <c r="JT465" i="1"/>
  <c r="JP465" i="1"/>
  <c r="JS465" i="1"/>
  <c r="IX465" i="1"/>
  <c r="IR465" i="1"/>
  <c r="IK465" i="1"/>
  <c r="E465" i="1"/>
  <c r="JV464" i="1"/>
  <c r="JU464" i="1"/>
  <c r="JQ464" i="1"/>
  <c r="JP464" i="1"/>
  <c r="JS464" i="1"/>
  <c r="IX464" i="1"/>
  <c r="IR464" i="1"/>
  <c r="IK464" i="1"/>
  <c r="E464" i="1"/>
  <c r="JV463" i="1"/>
  <c r="JU463" i="1"/>
  <c r="JQ463" i="1"/>
  <c r="JT463" i="1"/>
  <c r="JP463" i="1"/>
  <c r="JS463" i="1"/>
  <c r="IX463" i="1"/>
  <c r="IR463" i="1"/>
  <c r="IK463" i="1"/>
  <c r="E463" i="1"/>
  <c r="JV462" i="1"/>
  <c r="JU462" i="1"/>
  <c r="JQ462" i="1"/>
  <c r="JT462" i="1"/>
  <c r="JP462" i="1"/>
  <c r="JS462" i="1"/>
  <c r="IX462" i="1"/>
  <c r="IR462" i="1"/>
  <c r="IK462" i="1"/>
  <c r="E462" i="1"/>
  <c r="JV461" i="1"/>
  <c r="JU461" i="1"/>
  <c r="JQ461" i="1"/>
  <c r="JT461" i="1"/>
  <c r="JP461" i="1"/>
  <c r="JS461" i="1"/>
  <c r="IX461" i="1"/>
  <c r="IR461" i="1"/>
  <c r="IK461" i="1"/>
  <c r="E461" i="1"/>
  <c r="JV460" i="1"/>
  <c r="JU460" i="1"/>
  <c r="JQ460" i="1"/>
  <c r="JP460" i="1"/>
  <c r="JS460" i="1"/>
  <c r="IX460" i="1"/>
  <c r="IR460" i="1"/>
  <c r="IK460" i="1"/>
  <c r="E460" i="1"/>
  <c r="JV459" i="1"/>
  <c r="JU459" i="1"/>
  <c r="JQ459" i="1"/>
  <c r="JT459" i="1"/>
  <c r="JP459" i="1"/>
  <c r="JS459" i="1"/>
  <c r="IX459" i="1"/>
  <c r="IR459" i="1"/>
  <c r="IK459" i="1"/>
  <c r="E459" i="1"/>
  <c r="JV458" i="1"/>
  <c r="JU458" i="1"/>
  <c r="JQ458" i="1"/>
  <c r="JP458" i="1"/>
  <c r="JS458" i="1"/>
  <c r="IX458" i="1"/>
  <c r="IR458" i="1"/>
  <c r="IK458" i="1"/>
  <c r="E458" i="1"/>
  <c r="JV457" i="1"/>
  <c r="JU457" i="1"/>
  <c r="JQ457" i="1"/>
  <c r="JT457" i="1"/>
  <c r="JP457" i="1"/>
  <c r="JS457" i="1"/>
  <c r="IX457" i="1"/>
  <c r="IR457" i="1"/>
  <c r="IK457" i="1"/>
  <c r="E457" i="1"/>
  <c r="JV456" i="1"/>
  <c r="JU456" i="1"/>
  <c r="JS456" i="1"/>
  <c r="JQ456" i="1"/>
  <c r="JR456" i="1"/>
  <c r="JP456" i="1"/>
  <c r="IX456" i="1"/>
  <c r="IR456" i="1"/>
  <c r="IK456" i="1"/>
  <c r="E456" i="1"/>
  <c r="JV455" i="1"/>
  <c r="JU455" i="1"/>
  <c r="JQ455" i="1"/>
  <c r="JT455" i="1"/>
  <c r="JP455" i="1"/>
  <c r="JS455" i="1"/>
  <c r="IX455" i="1"/>
  <c r="IR455" i="1"/>
  <c r="IK455" i="1"/>
  <c r="E455" i="1"/>
  <c r="JV454" i="1"/>
  <c r="JU454" i="1"/>
  <c r="JQ454" i="1"/>
  <c r="JP454" i="1"/>
  <c r="JS454" i="1"/>
  <c r="IX454" i="1"/>
  <c r="IR454" i="1"/>
  <c r="IK454" i="1"/>
  <c r="E454" i="1"/>
  <c r="JV453" i="1"/>
  <c r="JU453" i="1"/>
  <c r="JQ453" i="1"/>
  <c r="JT453" i="1"/>
  <c r="JP453" i="1"/>
  <c r="JS453" i="1"/>
  <c r="IX453" i="1"/>
  <c r="IR453" i="1"/>
  <c r="IK453" i="1"/>
  <c r="E453" i="1"/>
  <c r="JV452" i="1"/>
  <c r="JU452" i="1"/>
  <c r="JQ452" i="1"/>
  <c r="JP452" i="1"/>
  <c r="JS452" i="1"/>
  <c r="IX452" i="1"/>
  <c r="IR452" i="1"/>
  <c r="IK452" i="1"/>
  <c r="E452" i="1"/>
  <c r="JV451" i="1"/>
  <c r="JU451" i="1"/>
  <c r="JQ451" i="1"/>
  <c r="JP451" i="1"/>
  <c r="JS451" i="1"/>
  <c r="IX451" i="1"/>
  <c r="IR451" i="1"/>
  <c r="IK451" i="1"/>
  <c r="E451" i="1"/>
  <c r="JV450" i="1"/>
  <c r="JU450" i="1"/>
  <c r="JQ450" i="1"/>
  <c r="JT450" i="1"/>
  <c r="JP450" i="1"/>
  <c r="JS450" i="1"/>
  <c r="IX450" i="1"/>
  <c r="IR450" i="1"/>
  <c r="IK450" i="1"/>
  <c r="E450" i="1"/>
  <c r="JV449" i="1"/>
  <c r="JU449" i="1"/>
  <c r="JQ449" i="1"/>
  <c r="JT449" i="1"/>
  <c r="JP449" i="1"/>
  <c r="JS449" i="1"/>
  <c r="IX449" i="1"/>
  <c r="IR449" i="1"/>
  <c r="IK449" i="1"/>
  <c r="E449" i="1"/>
  <c r="JV448" i="1"/>
  <c r="JU448" i="1"/>
  <c r="JQ448" i="1"/>
  <c r="JT448" i="1"/>
  <c r="JP448" i="1"/>
  <c r="JS448" i="1"/>
  <c r="IX448" i="1"/>
  <c r="IR448" i="1"/>
  <c r="IK448" i="1"/>
  <c r="E448" i="1"/>
  <c r="JV447" i="1"/>
  <c r="JU447" i="1"/>
  <c r="JQ447" i="1"/>
  <c r="JT447" i="1"/>
  <c r="JP447" i="1"/>
  <c r="JS447" i="1"/>
  <c r="IX447" i="1"/>
  <c r="IR447" i="1"/>
  <c r="IK447" i="1"/>
  <c r="E447" i="1"/>
  <c r="JV446" i="1"/>
  <c r="JU446" i="1"/>
  <c r="JQ446" i="1"/>
  <c r="JT446" i="1"/>
  <c r="JP446" i="1"/>
  <c r="JS446" i="1"/>
  <c r="IX446" i="1"/>
  <c r="IR446" i="1"/>
  <c r="IK446" i="1"/>
  <c r="E446" i="1"/>
  <c r="JV445" i="1"/>
  <c r="JU445" i="1"/>
  <c r="JQ445" i="1"/>
  <c r="JT445" i="1"/>
  <c r="JP445" i="1"/>
  <c r="JS445" i="1"/>
  <c r="IX445" i="1"/>
  <c r="IR445" i="1"/>
  <c r="IK445" i="1"/>
  <c r="E445" i="1"/>
  <c r="JV444" i="1"/>
  <c r="JU444" i="1"/>
  <c r="JQ444" i="1"/>
  <c r="JP444" i="1"/>
  <c r="JS444" i="1"/>
  <c r="IX444" i="1"/>
  <c r="IR444" i="1"/>
  <c r="IK444" i="1"/>
  <c r="E444" i="1"/>
  <c r="JV443" i="1"/>
  <c r="JU443" i="1"/>
  <c r="JQ443" i="1"/>
  <c r="JT443" i="1"/>
  <c r="JP443" i="1"/>
  <c r="JS443" i="1"/>
  <c r="IX443" i="1"/>
  <c r="IR443" i="1"/>
  <c r="IK443" i="1"/>
  <c r="E443" i="1"/>
  <c r="JV442" i="1"/>
  <c r="JU442" i="1"/>
  <c r="JT442" i="1"/>
  <c r="JQ442" i="1"/>
  <c r="JP442" i="1"/>
  <c r="JS442" i="1"/>
  <c r="IX442" i="1"/>
  <c r="IR442" i="1"/>
  <c r="IK442" i="1"/>
  <c r="E442" i="1"/>
  <c r="JV441" i="1"/>
  <c r="JU441" i="1"/>
  <c r="JQ441" i="1"/>
  <c r="JT441" i="1"/>
  <c r="JP441" i="1"/>
  <c r="JS441" i="1"/>
  <c r="IX441" i="1"/>
  <c r="IR441" i="1"/>
  <c r="IK441" i="1"/>
  <c r="E441" i="1"/>
  <c r="JV440" i="1"/>
  <c r="JU440" i="1"/>
  <c r="JQ440" i="1"/>
  <c r="JT440" i="1"/>
  <c r="JP440" i="1"/>
  <c r="JS440" i="1"/>
  <c r="IX440" i="1"/>
  <c r="IR440" i="1"/>
  <c r="IK440" i="1"/>
  <c r="E440" i="1"/>
  <c r="JV439" i="1"/>
  <c r="JU439" i="1"/>
  <c r="JQ439" i="1"/>
  <c r="JT439" i="1"/>
  <c r="JP439" i="1"/>
  <c r="JS439" i="1"/>
  <c r="IX439" i="1"/>
  <c r="IR439" i="1"/>
  <c r="IK439" i="1"/>
  <c r="E439" i="1"/>
  <c r="JV438" i="1"/>
  <c r="JU438" i="1"/>
  <c r="JQ438" i="1"/>
  <c r="JT438" i="1"/>
  <c r="JP438" i="1"/>
  <c r="JS438" i="1"/>
  <c r="IX438" i="1"/>
  <c r="IR438" i="1"/>
  <c r="IK438" i="1"/>
  <c r="E438" i="1"/>
  <c r="JV437" i="1"/>
  <c r="JU437" i="1"/>
  <c r="JQ437" i="1"/>
  <c r="JT437" i="1"/>
  <c r="JP437" i="1"/>
  <c r="JS437" i="1"/>
  <c r="IX437" i="1"/>
  <c r="IR437" i="1"/>
  <c r="IK437" i="1"/>
  <c r="E437" i="1"/>
  <c r="JV436" i="1"/>
  <c r="JU436" i="1"/>
  <c r="JQ436" i="1"/>
  <c r="JP436" i="1"/>
  <c r="JS436" i="1"/>
  <c r="IX436" i="1"/>
  <c r="IR436" i="1"/>
  <c r="IK436" i="1"/>
  <c r="E436" i="1"/>
  <c r="JV435" i="1"/>
  <c r="JU435" i="1"/>
  <c r="JR435" i="1"/>
  <c r="JQ435" i="1"/>
  <c r="JT435" i="1"/>
  <c r="JP435" i="1"/>
  <c r="JS435" i="1"/>
  <c r="IX435" i="1"/>
  <c r="IR435" i="1"/>
  <c r="IK435" i="1"/>
  <c r="E435" i="1"/>
  <c r="JV434" i="1"/>
  <c r="JU434" i="1"/>
  <c r="JQ434" i="1"/>
  <c r="JP434" i="1"/>
  <c r="JS434" i="1"/>
  <c r="IX434" i="1"/>
  <c r="IR434" i="1"/>
  <c r="IK434" i="1"/>
  <c r="E434" i="1"/>
  <c r="JV433" i="1"/>
  <c r="JU433" i="1"/>
  <c r="JQ433" i="1"/>
  <c r="JT433" i="1"/>
  <c r="JP433" i="1"/>
  <c r="JS433" i="1"/>
  <c r="IX433" i="1"/>
  <c r="IR433" i="1"/>
  <c r="IK433" i="1"/>
  <c r="E433" i="1"/>
  <c r="JV432" i="1"/>
  <c r="JU432" i="1"/>
  <c r="JQ432" i="1"/>
  <c r="JP432" i="1"/>
  <c r="JS432" i="1"/>
  <c r="IX432" i="1"/>
  <c r="IR432" i="1"/>
  <c r="IK432" i="1"/>
  <c r="E432" i="1"/>
  <c r="JV431" i="1"/>
  <c r="JU431" i="1"/>
  <c r="JQ431" i="1"/>
  <c r="JT431" i="1"/>
  <c r="JP431" i="1"/>
  <c r="JS431" i="1"/>
  <c r="IX431" i="1"/>
  <c r="IR431" i="1"/>
  <c r="IK431" i="1"/>
  <c r="E431" i="1"/>
  <c r="JV430" i="1"/>
  <c r="JU430" i="1"/>
  <c r="JQ430" i="1"/>
  <c r="JT430" i="1"/>
  <c r="JP430" i="1"/>
  <c r="JS430" i="1"/>
  <c r="IX430" i="1"/>
  <c r="IR430" i="1"/>
  <c r="IK430" i="1"/>
  <c r="E430" i="1"/>
  <c r="JV429" i="1"/>
  <c r="JU429" i="1"/>
  <c r="JQ429" i="1"/>
  <c r="JT429" i="1"/>
  <c r="JP429" i="1"/>
  <c r="JS429" i="1"/>
  <c r="IX429" i="1"/>
  <c r="IR429" i="1"/>
  <c r="IK429" i="1"/>
  <c r="E429" i="1"/>
  <c r="JV428" i="1"/>
  <c r="JU428" i="1"/>
  <c r="JT428" i="1"/>
  <c r="JQ428" i="1"/>
  <c r="JP428" i="1"/>
  <c r="JS428" i="1"/>
  <c r="IX428" i="1"/>
  <c r="IR428" i="1"/>
  <c r="IK428" i="1"/>
  <c r="E428" i="1"/>
  <c r="JV427" i="1"/>
  <c r="JU427" i="1"/>
  <c r="JQ427" i="1"/>
  <c r="JT427" i="1"/>
  <c r="JP427" i="1"/>
  <c r="JS427" i="1"/>
  <c r="IX427" i="1"/>
  <c r="IR427" i="1"/>
  <c r="IK427" i="1"/>
  <c r="E427" i="1"/>
  <c r="JV426" i="1"/>
  <c r="JU426" i="1"/>
  <c r="JQ426" i="1"/>
  <c r="JT426" i="1"/>
  <c r="JP426" i="1"/>
  <c r="JS426" i="1"/>
  <c r="IX426" i="1"/>
  <c r="IR426" i="1"/>
  <c r="IK426" i="1"/>
  <c r="E426" i="1"/>
  <c r="JV425" i="1"/>
  <c r="JU425" i="1"/>
  <c r="JQ425" i="1"/>
  <c r="JT425" i="1"/>
  <c r="JP425" i="1"/>
  <c r="JS425" i="1"/>
  <c r="IX425" i="1"/>
  <c r="IR425" i="1"/>
  <c r="IK425" i="1"/>
  <c r="BH425" i="1"/>
  <c r="E425" i="1"/>
  <c r="JV424" i="1"/>
  <c r="JU424" i="1"/>
  <c r="JQ424" i="1"/>
  <c r="JP424" i="1"/>
  <c r="JS424" i="1"/>
  <c r="IX424" i="1"/>
  <c r="IR424" i="1"/>
  <c r="IK424" i="1"/>
  <c r="E424" i="1"/>
  <c r="JV423" i="1"/>
  <c r="JU423" i="1"/>
  <c r="JQ423" i="1"/>
  <c r="JT423" i="1"/>
  <c r="JP423" i="1"/>
  <c r="IX423" i="1"/>
  <c r="IR423" i="1"/>
  <c r="IK423" i="1"/>
  <c r="E423" i="1"/>
  <c r="JV422" i="1"/>
  <c r="JU422" i="1"/>
  <c r="JQ422" i="1"/>
  <c r="JT422" i="1"/>
  <c r="JP422" i="1"/>
  <c r="IX422" i="1"/>
  <c r="IR422" i="1"/>
  <c r="IK422" i="1"/>
  <c r="E422" i="1"/>
  <c r="JV421" i="1"/>
  <c r="JU421" i="1"/>
  <c r="JQ421" i="1"/>
  <c r="JP421" i="1"/>
  <c r="JS421" i="1"/>
  <c r="IX421" i="1"/>
  <c r="IR421" i="1"/>
  <c r="IK421" i="1"/>
  <c r="E421" i="1"/>
  <c r="JV420" i="1"/>
  <c r="JU420" i="1"/>
  <c r="JQ420" i="1"/>
  <c r="JT420" i="1"/>
  <c r="JP420" i="1"/>
  <c r="IX420" i="1"/>
  <c r="IR420" i="1"/>
  <c r="IK420" i="1"/>
  <c r="E420" i="1"/>
  <c r="JV419" i="1"/>
  <c r="JU419" i="1"/>
  <c r="JQ419" i="1"/>
  <c r="JP419" i="1"/>
  <c r="JS419" i="1"/>
  <c r="IX419" i="1"/>
  <c r="IR419" i="1"/>
  <c r="IK419" i="1"/>
  <c r="E419" i="1"/>
  <c r="JV418" i="1"/>
  <c r="JU418" i="1"/>
  <c r="JQ418" i="1"/>
  <c r="JT418" i="1"/>
  <c r="JP418" i="1"/>
  <c r="JS418" i="1"/>
  <c r="IX418" i="1"/>
  <c r="IR418" i="1"/>
  <c r="IK418" i="1"/>
  <c r="E418" i="1"/>
  <c r="JV417" i="1"/>
  <c r="JU417" i="1"/>
  <c r="JQ417" i="1"/>
  <c r="JP417" i="1"/>
  <c r="JS417" i="1"/>
  <c r="IX417" i="1"/>
  <c r="IR417" i="1"/>
  <c r="IK417" i="1"/>
  <c r="E417" i="1"/>
  <c r="JV416" i="1"/>
  <c r="JU416" i="1"/>
  <c r="JT416" i="1"/>
  <c r="JQ416" i="1"/>
  <c r="JP416" i="1"/>
  <c r="IX416" i="1"/>
  <c r="IR416" i="1"/>
  <c r="IK416" i="1"/>
  <c r="E416" i="1"/>
  <c r="JV415" i="1"/>
  <c r="JU415" i="1"/>
  <c r="JQ415" i="1"/>
  <c r="JP415" i="1"/>
  <c r="JS415" i="1"/>
  <c r="IX415" i="1"/>
  <c r="IR415" i="1"/>
  <c r="IK415" i="1"/>
  <c r="E415" i="1"/>
  <c r="JV414" i="1"/>
  <c r="JU414" i="1"/>
  <c r="JQ414" i="1"/>
  <c r="JT414" i="1"/>
  <c r="JP414" i="1"/>
  <c r="IX414" i="1"/>
  <c r="IR414" i="1"/>
  <c r="IK414" i="1"/>
  <c r="E414" i="1"/>
  <c r="JV413" i="1"/>
  <c r="JU413" i="1"/>
  <c r="JQ413" i="1"/>
  <c r="JP413" i="1"/>
  <c r="JS413" i="1"/>
  <c r="IX413" i="1"/>
  <c r="IR413" i="1"/>
  <c r="IK413" i="1"/>
  <c r="E413" i="1"/>
  <c r="JV412" i="1"/>
  <c r="JU412" i="1"/>
  <c r="JQ412" i="1"/>
  <c r="JT412" i="1"/>
  <c r="JP412" i="1"/>
  <c r="IX412" i="1"/>
  <c r="IR412" i="1"/>
  <c r="IK412" i="1"/>
  <c r="E412" i="1"/>
  <c r="JV411" i="1"/>
  <c r="JU411" i="1"/>
  <c r="JQ411" i="1"/>
  <c r="JP411" i="1"/>
  <c r="JS411" i="1"/>
  <c r="IX411" i="1"/>
  <c r="IR411" i="1"/>
  <c r="IK411" i="1"/>
  <c r="E411" i="1"/>
  <c r="JV410" i="1"/>
  <c r="JU410" i="1"/>
  <c r="JQ410" i="1"/>
  <c r="JT410" i="1"/>
  <c r="JP410" i="1"/>
  <c r="JS410" i="1"/>
  <c r="IX410" i="1"/>
  <c r="IR410" i="1"/>
  <c r="IK410" i="1"/>
  <c r="E410" i="1"/>
  <c r="JV409" i="1"/>
  <c r="JU409" i="1"/>
  <c r="JQ409" i="1"/>
  <c r="JT409" i="1"/>
  <c r="JP409" i="1"/>
  <c r="JS409" i="1"/>
  <c r="IX409" i="1"/>
  <c r="IR409" i="1"/>
  <c r="IK409" i="1"/>
  <c r="E409" i="1"/>
  <c r="JV408" i="1"/>
  <c r="JU408" i="1"/>
  <c r="JQ408" i="1"/>
  <c r="JT408" i="1"/>
  <c r="JP408" i="1"/>
  <c r="IX408" i="1"/>
  <c r="IR408" i="1"/>
  <c r="IK408" i="1"/>
  <c r="E408" i="1"/>
  <c r="JV407" i="1"/>
  <c r="JU407" i="1"/>
  <c r="JQ407" i="1"/>
  <c r="JT407" i="1"/>
  <c r="JP407" i="1"/>
  <c r="JS407" i="1"/>
  <c r="IX407" i="1"/>
  <c r="IR407" i="1"/>
  <c r="IK407" i="1"/>
  <c r="E407" i="1"/>
  <c r="JV406" i="1"/>
  <c r="JU406" i="1"/>
  <c r="JQ406" i="1"/>
  <c r="JT406" i="1"/>
  <c r="JP406" i="1"/>
  <c r="IX406" i="1"/>
  <c r="IR406" i="1"/>
  <c r="IK406" i="1"/>
  <c r="E406" i="1"/>
  <c r="JV405" i="1"/>
  <c r="JU405" i="1"/>
  <c r="JQ405" i="1"/>
  <c r="JT405" i="1"/>
  <c r="JP405" i="1"/>
  <c r="JS405" i="1"/>
  <c r="IX405" i="1"/>
  <c r="IR405" i="1"/>
  <c r="IK405" i="1"/>
  <c r="E405" i="1"/>
  <c r="JV404" i="1"/>
  <c r="JU404" i="1"/>
  <c r="JQ404" i="1"/>
  <c r="JT404" i="1"/>
  <c r="JP404" i="1"/>
  <c r="JS404" i="1"/>
  <c r="IX404" i="1"/>
  <c r="IR404" i="1"/>
  <c r="IK404" i="1"/>
  <c r="E404" i="1"/>
  <c r="JV403" i="1"/>
  <c r="JU403" i="1"/>
  <c r="JQ403" i="1"/>
  <c r="JT403" i="1"/>
  <c r="JP403" i="1"/>
  <c r="JS403" i="1"/>
  <c r="IX403" i="1"/>
  <c r="IR403" i="1"/>
  <c r="IK403" i="1"/>
  <c r="E403" i="1"/>
  <c r="JV402" i="1"/>
  <c r="JU402" i="1"/>
  <c r="JQ402" i="1"/>
  <c r="JT402" i="1"/>
  <c r="JP402" i="1"/>
  <c r="JR402" i="1"/>
  <c r="IX402" i="1"/>
  <c r="IR402" i="1"/>
  <c r="IK402" i="1"/>
  <c r="E402" i="1"/>
  <c r="JV401" i="1"/>
  <c r="JU401" i="1"/>
  <c r="JQ401" i="1"/>
  <c r="JT401" i="1"/>
  <c r="JP401" i="1"/>
  <c r="JS401" i="1"/>
  <c r="IX401" i="1"/>
  <c r="IR401" i="1"/>
  <c r="IK401" i="1"/>
  <c r="E401" i="1"/>
  <c r="JV400" i="1"/>
  <c r="JU400" i="1"/>
  <c r="JQ400" i="1"/>
  <c r="JP400" i="1"/>
  <c r="JS400" i="1"/>
  <c r="IX400" i="1"/>
  <c r="IR400" i="1"/>
  <c r="IK400" i="1"/>
  <c r="E400" i="1"/>
  <c r="JV399" i="1"/>
  <c r="JU399" i="1"/>
  <c r="JQ399" i="1"/>
  <c r="JT399" i="1"/>
  <c r="JP399" i="1"/>
  <c r="JS399" i="1"/>
  <c r="IX399" i="1"/>
  <c r="IR399" i="1"/>
  <c r="IK399" i="1"/>
  <c r="E399" i="1"/>
  <c r="JV398" i="1"/>
  <c r="JU398" i="1"/>
  <c r="JQ398" i="1"/>
  <c r="JT398" i="1"/>
  <c r="JP398" i="1"/>
  <c r="JS398" i="1"/>
  <c r="IX398" i="1"/>
  <c r="IR398" i="1"/>
  <c r="IK398" i="1"/>
  <c r="E398" i="1"/>
  <c r="JV397" i="1"/>
  <c r="JU397" i="1"/>
  <c r="JQ397" i="1"/>
  <c r="JT397" i="1"/>
  <c r="JP397" i="1"/>
  <c r="JS397" i="1"/>
  <c r="IX397" i="1"/>
  <c r="IR397" i="1"/>
  <c r="IK397" i="1"/>
  <c r="E397" i="1"/>
  <c r="JV396" i="1"/>
  <c r="JU396" i="1"/>
  <c r="JQ396" i="1"/>
  <c r="JT396" i="1"/>
  <c r="JP396" i="1"/>
  <c r="JS396" i="1"/>
  <c r="IX396" i="1"/>
  <c r="IR396" i="1"/>
  <c r="IK396" i="1"/>
  <c r="E396" i="1"/>
  <c r="JV395" i="1"/>
  <c r="JU395" i="1"/>
  <c r="JQ395" i="1"/>
  <c r="JT395" i="1"/>
  <c r="JP395" i="1"/>
  <c r="JS395" i="1"/>
  <c r="IX395" i="1"/>
  <c r="IR395" i="1"/>
  <c r="IK395" i="1"/>
  <c r="E395" i="1"/>
  <c r="JV394" i="1"/>
  <c r="JU394" i="1"/>
  <c r="JQ394" i="1"/>
  <c r="JT394" i="1"/>
  <c r="JP394" i="1"/>
  <c r="IX394" i="1"/>
  <c r="IR394" i="1"/>
  <c r="IK394" i="1"/>
  <c r="E394" i="1"/>
  <c r="JV393" i="1"/>
  <c r="JU393" i="1"/>
  <c r="JQ393" i="1"/>
  <c r="JT393" i="1"/>
  <c r="JP393" i="1"/>
  <c r="JS393" i="1"/>
  <c r="IX393" i="1"/>
  <c r="IR393" i="1"/>
  <c r="IK393" i="1"/>
  <c r="E393" i="1"/>
  <c r="JV392" i="1"/>
  <c r="JU392" i="1"/>
  <c r="JQ392" i="1"/>
  <c r="JT392" i="1"/>
  <c r="JP392" i="1"/>
  <c r="JS392" i="1"/>
  <c r="IX392" i="1"/>
  <c r="IR392" i="1"/>
  <c r="IK392" i="1"/>
  <c r="E392" i="1"/>
  <c r="JV391" i="1"/>
  <c r="JU391" i="1"/>
  <c r="JQ391" i="1"/>
  <c r="JP391" i="1"/>
  <c r="JS391" i="1"/>
  <c r="IX391" i="1"/>
  <c r="IR391" i="1"/>
  <c r="IK391" i="1"/>
  <c r="E391" i="1"/>
  <c r="JV390" i="1"/>
  <c r="JU390" i="1"/>
  <c r="JQ390" i="1"/>
  <c r="JT390" i="1"/>
  <c r="JP390" i="1"/>
  <c r="JS390" i="1"/>
  <c r="IX390" i="1"/>
  <c r="IR390" i="1"/>
  <c r="IK390" i="1"/>
  <c r="E390" i="1"/>
  <c r="JV389" i="1"/>
  <c r="JU389" i="1"/>
  <c r="JQ389" i="1"/>
  <c r="JT389" i="1"/>
  <c r="JP389" i="1"/>
  <c r="JS389" i="1"/>
  <c r="IX389" i="1"/>
  <c r="IR389" i="1"/>
  <c r="IK389" i="1"/>
  <c r="E389" i="1"/>
  <c r="JV388" i="1"/>
  <c r="JU388" i="1"/>
  <c r="JQ388" i="1"/>
  <c r="JP388" i="1"/>
  <c r="JS388" i="1"/>
  <c r="IX388" i="1"/>
  <c r="IR388" i="1"/>
  <c r="IK388" i="1"/>
  <c r="E388" i="1"/>
  <c r="JV387" i="1"/>
  <c r="JU387" i="1"/>
  <c r="JQ387" i="1"/>
  <c r="JT387" i="1"/>
  <c r="JP387" i="1"/>
  <c r="JS387" i="1"/>
  <c r="IX387" i="1"/>
  <c r="IR387" i="1"/>
  <c r="IK387" i="1"/>
  <c r="E387" i="1"/>
  <c r="JV386" i="1"/>
  <c r="JU386" i="1"/>
  <c r="JQ386" i="1"/>
  <c r="JP386" i="1"/>
  <c r="JS386" i="1"/>
  <c r="IX386" i="1"/>
  <c r="IR386" i="1"/>
  <c r="IK386" i="1"/>
  <c r="E386" i="1"/>
  <c r="JV385" i="1"/>
  <c r="JU385" i="1"/>
  <c r="JQ385" i="1"/>
  <c r="JT385" i="1"/>
  <c r="JP385" i="1"/>
  <c r="JS385" i="1"/>
  <c r="IX385" i="1"/>
  <c r="IR385" i="1"/>
  <c r="IK385" i="1"/>
  <c r="E385" i="1"/>
  <c r="JV384" i="1"/>
  <c r="JU384" i="1"/>
  <c r="JT384" i="1"/>
  <c r="JQ384" i="1"/>
  <c r="JP384" i="1"/>
  <c r="JS384" i="1"/>
  <c r="IX384" i="1"/>
  <c r="IR384" i="1"/>
  <c r="IK384" i="1"/>
  <c r="E384" i="1"/>
  <c r="JV383" i="1"/>
  <c r="JU383" i="1"/>
  <c r="JS383" i="1"/>
  <c r="JQ383" i="1"/>
  <c r="JT383" i="1"/>
  <c r="JP383" i="1"/>
  <c r="IX383" i="1"/>
  <c r="IR383" i="1"/>
  <c r="IK383" i="1"/>
  <c r="E383" i="1"/>
  <c r="JV382" i="1"/>
  <c r="JU382" i="1"/>
  <c r="JQ382" i="1"/>
  <c r="JP382" i="1"/>
  <c r="JS382" i="1"/>
  <c r="IX382" i="1"/>
  <c r="IR382" i="1"/>
  <c r="IK382" i="1"/>
  <c r="E382" i="1"/>
  <c r="JV381" i="1"/>
  <c r="JU381" i="1"/>
  <c r="JQ381" i="1"/>
  <c r="JT381" i="1"/>
  <c r="JP381" i="1"/>
  <c r="JS381" i="1"/>
  <c r="IX381" i="1"/>
  <c r="IR381" i="1"/>
  <c r="IK381" i="1"/>
  <c r="E381" i="1"/>
  <c r="JV380" i="1"/>
  <c r="JU380" i="1"/>
  <c r="JQ380" i="1"/>
  <c r="JT380" i="1"/>
  <c r="JP380" i="1"/>
  <c r="JS380" i="1"/>
  <c r="IX380" i="1"/>
  <c r="IR380" i="1"/>
  <c r="IK380" i="1"/>
  <c r="E380" i="1"/>
  <c r="JV379" i="1"/>
  <c r="JU379" i="1"/>
  <c r="JQ379" i="1"/>
  <c r="JT379" i="1"/>
  <c r="JP379" i="1"/>
  <c r="JS379" i="1"/>
  <c r="IX379" i="1"/>
  <c r="IR379" i="1"/>
  <c r="IK379" i="1"/>
  <c r="E379" i="1"/>
  <c r="JV378" i="1"/>
  <c r="JU378" i="1"/>
  <c r="JQ378" i="1"/>
  <c r="JT378" i="1"/>
  <c r="JP378" i="1"/>
  <c r="JS378" i="1"/>
  <c r="IX378" i="1"/>
  <c r="IR378" i="1"/>
  <c r="IK378" i="1"/>
  <c r="E378" i="1"/>
  <c r="JV377" i="1"/>
  <c r="JU377" i="1"/>
  <c r="JQ377" i="1"/>
  <c r="JT377" i="1"/>
  <c r="JP377" i="1"/>
  <c r="JS377" i="1"/>
  <c r="IX377" i="1"/>
  <c r="IR377" i="1"/>
  <c r="IK377" i="1"/>
  <c r="E377" i="1"/>
  <c r="JV376" i="1"/>
  <c r="JU376" i="1"/>
  <c r="JQ376" i="1"/>
  <c r="JT376" i="1"/>
  <c r="JP376" i="1"/>
  <c r="JS376" i="1"/>
  <c r="IX376" i="1"/>
  <c r="IR376" i="1"/>
  <c r="IK376" i="1"/>
  <c r="E376" i="1"/>
  <c r="JV375" i="1"/>
  <c r="JU375" i="1"/>
  <c r="JQ375" i="1"/>
  <c r="JP375" i="1"/>
  <c r="JS375" i="1"/>
  <c r="IX375" i="1"/>
  <c r="IR375" i="1"/>
  <c r="IK375" i="1"/>
  <c r="E375" i="1"/>
  <c r="JV374" i="1"/>
  <c r="JU374" i="1"/>
  <c r="JQ374" i="1"/>
  <c r="JP374" i="1"/>
  <c r="JS374" i="1"/>
  <c r="IX374" i="1"/>
  <c r="IR374" i="1"/>
  <c r="IK374" i="1"/>
  <c r="E374" i="1"/>
  <c r="JV373" i="1"/>
  <c r="JU373" i="1"/>
  <c r="JQ373" i="1"/>
  <c r="JP373" i="1"/>
  <c r="JS373" i="1"/>
  <c r="IX373" i="1"/>
  <c r="IR373" i="1"/>
  <c r="IK373" i="1"/>
  <c r="E373" i="1"/>
  <c r="JV372" i="1"/>
  <c r="JU372" i="1"/>
  <c r="JQ372" i="1"/>
  <c r="JT372" i="1"/>
  <c r="JP372" i="1"/>
  <c r="JS372" i="1"/>
  <c r="IX372" i="1"/>
  <c r="IR372" i="1"/>
  <c r="IK372" i="1"/>
  <c r="E372" i="1"/>
  <c r="JV371" i="1"/>
  <c r="JU371" i="1"/>
  <c r="JQ371" i="1"/>
  <c r="JP371" i="1"/>
  <c r="JS371" i="1"/>
  <c r="IX371" i="1"/>
  <c r="IR371" i="1"/>
  <c r="IK371" i="1"/>
  <c r="E371" i="1"/>
  <c r="JV370" i="1"/>
  <c r="JU370" i="1"/>
  <c r="JQ370" i="1"/>
  <c r="JT370" i="1"/>
  <c r="JP370" i="1"/>
  <c r="JS370" i="1"/>
  <c r="IX370" i="1"/>
  <c r="IR370" i="1"/>
  <c r="IK370" i="1"/>
  <c r="E370" i="1"/>
  <c r="JV369" i="1"/>
  <c r="JU369" i="1"/>
  <c r="JQ369" i="1"/>
  <c r="JT369" i="1"/>
  <c r="JP369" i="1"/>
  <c r="JS369" i="1"/>
  <c r="IX369" i="1"/>
  <c r="IR369" i="1"/>
  <c r="IK369" i="1"/>
  <c r="E369" i="1"/>
  <c r="JV368" i="1"/>
  <c r="JU368" i="1"/>
  <c r="JQ368" i="1"/>
  <c r="JT368" i="1"/>
  <c r="JP368" i="1"/>
  <c r="JS368" i="1"/>
  <c r="IX368" i="1"/>
  <c r="IR368" i="1"/>
  <c r="IK368" i="1"/>
  <c r="E368" i="1"/>
  <c r="JV367" i="1"/>
  <c r="JU367" i="1"/>
  <c r="JQ367" i="1"/>
  <c r="JT367" i="1"/>
  <c r="JP367" i="1"/>
  <c r="JS367" i="1"/>
  <c r="IX367" i="1"/>
  <c r="IR367" i="1"/>
  <c r="IK367" i="1"/>
  <c r="E367" i="1"/>
  <c r="JV366" i="1"/>
  <c r="JU366" i="1"/>
  <c r="JQ366" i="1"/>
  <c r="JT366" i="1"/>
  <c r="JP366" i="1"/>
  <c r="JS366" i="1"/>
  <c r="IX366" i="1"/>
  <c r="IR366" i="1"/>
  <c r="IK366" i="1"/>
  <c r="E366" i="1"/>
  <c r="JV365" i="1"/>
  <c r="JU365" i="1"/>
  <c r="JQ365" i="1"/>
  <c r="JP365" i="1"/>
  <c r="JS365" i="1"/>
  <c r="IX365" i="1"/>
  <c r="IR365" i="1"/>
  <c r="IK365" i="1"/>
  <c r="E365" i="1"/>
  <c r="JV364" i="1"/>
  <c r="JU364" i="1"/>
  <c r="JQ364" i="1"/>
  <c r="JT364" i="1"/>
  <c r="JP364" i="1"/>
  <c r="JS364" i="1"/>
  <c r="IX364" i="1"/>
  <c r="IR364" i="1"/>
  <c r="IK364" i="1"/>
  <c r="E364" i="1"/>
  <c r="JV363" i="1"/>
  <c r="JU363" i="1"/>
  <c r="JQ363" i="1"/>
  <c r="JT363" i="1"/>
  <c r="JP363" i="1"/>
  <c r="JS363" i="1"/>
  <c r="IX363" i="1"/>
  <c r="IR363" i="1"/>
  <c r="IK363" i="1"/>
  <c r="E363" i="1"/>
  <c r="JV362" i="1"/>
  <c r="JU362" i="1"/>
  <c r="JQ362" i="1"/>
  <c r="JT362" i="1"/>
  <c r="JP362" i="1"/>
  <c r="JS362" i="1"/>
  <c r="IX362" i="1"/>
  <c r="IR362" i="1"/>
  <c r="IK362" i="1"/>
  <c r="E362" i="1"/>
  <c r="JV361" i="1"/>
  <c r="JU361" i="1"/>
  <c r="JQ361" i="1"/>
  <c r="JT361" i="1"/>
  <c r="JP361" i="1"/>
  <c r="JS361" i="1"/>
  <c r="IX361" i="1"/>
  <c r="IR361" i="1"/>
  <c r="IK361" i="1"/>
  <c r="E361" i="1"/>
  <c r="JV360" i="1"/>
  <c r="JU360" i="1"/>
  <c r="JQ360" i="1"/>
  <c r="JT360" i="1"/>
  <c r="JP360" i="1"/>
  <c r="JS360" i="1"/>
  <c r="IX360" i="1"/>
  <c r="IR360" i="1"/>
  <c r="IK360" i="1"/>
  <c r="E360" i="1"/>
  <c r="JV359" i="1"/>
  <c r="JU359" i="1"/>
  <c r="JQ359" i="1"/>
  <c r="JT359" i="1"/>
  <c r="JP359" i="1"/>
  <c r="IX359" i="1"/>
  <c r="IR359" i="1"/>
  <c r="IK359" i="1"/>
  <c r="E359" i="1"/>
  <c r="JV358" i="1"/>
  <c r="JU358" i="1"/>
  <c r="JQ358" i="1"/>
  <c r="JT358" i="1"/>
  <c r="JP358" i="1"/>
  <c r="JS358" i="1"/>
  <c r="IX358" i="1"/>
  <c r="IR358" i="1"/>
  <c r="IK358" i="1"/>
  <c r="E358" i="1"/>
  <c r="JV357" i="1"/>
  <c r="JU357" i="1"/>
  <c r="JT357" i="1"/>
  <c r="JQ357" i="1"/>
  <c r="JP357" i="1"/>
  <c r="JS357" i="1"/>
  <c r="IX357" i="1"/>
  <c r="IR357" i="1"/>
  <c r="IK357" i="1"/>
  <c r="E357" i="1"/>
  <c r="JV356" i="1"/>
  <c r="JU356" i="1"/>
  <c r="JQ356" i="1"/>
  <c r="JT356" i="1"/>
  <c r="JP356" i="1"/>
  <c r="JS356" i="1"/>
  <c r="IX356" i="1"/>
  <c r="IR356" i="1"/>
  <c r="IK356" i="1"/>
  <c r="E356" i="1"/>
  <c r="JV355" i="1"/>
  <c r="JU355" i="1"/>
  <c r="JQ355" i="1"/>
  <c r="JT355" i="1"/>
  <c r="JP355" i="1"/>
  <c r="IX355" i="1"/>
  <c r="IR355" i="1"/>
  <c r="IK355" i="1"/>
  <c r="E355" i="1"/>
  <c r="JV354" i="1"/>
  <c r="JU354" i="1"/>
  <c r="JQ354" i="1"/>
  <c r="JT354" i="1"/>
  <c r="JP354" i="1"/>
  <c r="JS354" i="1"/>
  <c r="IX354" i="1"/>
  <c r="IR354" i="1"/>
  <c r="IK354" i="1"/>
  <c r="E354" i="1"/>
  <c r="JV353" i="1"/>
  <c r="JU353" i="1"/>
  <c r="JQ353" i="1"/>
  <c r="JT353" i="1"/>
  <c r="JP353" i="1"/>
  <c r="JS353" i="1"/>
  <c r="IX353" i="1"/>
  <c r="IR353" i="1"/>
  <c r="IK353" i="1"/>
  <c r="E353" i="1"/>
  <c r="JV352" i="1"/>
  <c r="JU352" i="1"/>
  <c r="JQ352" i="1"/>
  <c r="JT352" i="1"/>
  <c r="JP352" i="1"/>
  <c r="JS352" i="1"/>
  <c r="IX352" i="1"/>
  <c r="IR352" i="1"/>
  <c r="IK352" i="1"/>
  <c r="E352" i="1"/>
  <c r="JV351" i="1"/>
  <c r="JU351" i="1"/>
  <c r="JQ351" i="1"/>
  <c r="JT351" i="1"/>
  <c r="JP351" i="1"/>
  <c r="JS351" i="1"/>
  <c r="IX351" i="1"/>
  <c r="IR351" i="1"/>
  <c r="IK351" i="1"/>
  <c r="E351" i="1"/>
  <c r="JV350" i="1"/>
  <c r="JU350" i="1"/>
  <c r="JQ350" i="1"/>
  <c r="JT350" i="1"/>
  <c r="JP350" i="1"/>
  <c r="JS350" i="1"/>
  <c r="IX350" i="1"/>
  <c r="IR350" i="1"/>
  <c r="IK350" i="1"/>
  <c r="E350" i="1"/>
  <c r="JV349" i="1"/>
  <c r="JU349" i="1"/>
  <c r="JQ349" i="1"/>
  <c r="JT349" i="1"/>
  <c r="JP349" i="1"/>
  <c r="JR349" i="1"/>
  <c r="IX349" i="1"/>
  <c r="IR349" i="1"/>
  <c r="IK349" i="1"/>
  <c r="E349" i="1"/>
  <c r="JV348" i="1"/>
  <c r="JU348" i="1"/>
  <c r="JQ348" i="1"/>
  <c r="JT348" i="1"/>
  <c r="JP348" i="1"/>
  <c r="JS348" i="1"/>
  <c r="IX348" i="1"/>
  <c r="IR348" i="1"/>
  <c r="IK348" i="1"/>
  <c r="E348" i="1"/>
  <c r="JV347" i="1"/>
  <c r="JU347" i="1"/>
  <c r="JQ347" i="1"/>
  <c r="JT347" i="1"/>
  <c r="JP347" i="1"/>
  <c r="IX347" i="1"/>
  <c r="IR347" i="1"/>
  <c r="IK347" i="1"/>
  <c r="E347" i="1"/>
  <c r="JV346" i="1"/>
  <c r="JU346" i="1"/>
  <c r="JQ346" i="1"/>
  <c r="JT346" i="1"/>
  <c r="JP346" i="1"/>
  <c r="JS346" i="1"/>
  <c r="IX346" i="1"/>
  <c r="IR346" i="1"/>
  <c r="IK346" i="1"/>
  <c r="E346" i="1"/>
  <c r="JV345" i="1"/>
  <c r="JU345" i="1"/>
  <c r="JQ345" i="1"/>
  <c r="JT345" i="1"/>
  <c r="JP345" i="1"/>
  <c r="IX345" i="1"/>
  <c r="IR345" i="1"/>
  <c r="IK345" i="1"/>
  <c r="E345" i="1"/>
  <c r="JV344" i="1"/>
  <c r="JU344" i="1"/>
  <c r="JT344" i="1"/>
  <c r="JQ344" i="1"/>
  <c r="JP344" i="1"/>
  <c r="JS344" i="1"/>
  <c r="IX344" i="1"/>
  <c r="IR344" i="1"/>
  <c r="IK344" i="1"/>
  <c r="E344" i="1"/>
  <c r="JV343" i="1"/>
  <c r="JU343" i="1"/>
  <c r="JQ343" i="1"/>
  <c r="JT343" i="1"/>
  <c r="JP343" i="1"/>
  <c r="IX343" i="1"/>
  <c r="IR343" i="1"/>
  <c r="IK343" i="1"/>
  <c r="E343" i="1"/>
  <c r="JV342" i="1"/>
  <c r="JU342" i="1"/>
  <c r="JQ342" i="1"/>
  <c r="JP342" i="1"/>
  <c r="JS342" i="1"/>
  <c r="IX342" i="1"/>
  <c r="IR342" i="1"/>
  <c r="IK342" i="1"/>
  <c r="E342" i="1"/>
  <c r="JV341" i="1"/>
  <c r="JU341" i="1"/>
  <c r="JQ341" i="1"/>
  <c r="JT341" i="1"/>
  <c r="JP341" i="1"/>
  <c r="IX341" i="1"/>
  <c r="IR341" i="1"/>
  <c r="IK341" i="1"/>
  <c r="E341" i="1"/>
  <c r="JV340" i="1"/>
  <c r="JU340" i="1"/>
  <c r="JQ340" i="1"/>
  <c r="JT340" i="1"/>
  <c r="JP340" i="1"/>
  <c r="JS340" i="1"/>
  <c r="IX340" i="1"/>
  <c r="IR340" i="1"/>
  <c r="IK340" i="1"/>
  <c r="E340" i="1"/>
  <c r="JV339" i="1"/>
  <c r="JU339" i="1"/>
  <c r="JQ339" i="1"/>
  <c r="JT339" i="1"/>
  <c r="JP339" i="1"/>
  <c r="IX339" i="1"/>
  <c r="IR339" i="1"/>
  <c r="IK339" i="1"/>
  <c r="E339" i="1"/>
  <c r="JV338" i="1"/>
  <c r="JU338" i="1"/>
  <c r="JQ338" i="1"/>
  <c r="JT338" i="1"/>
  <c r="JP338" i="1"/>
  <c r="JS338" i="1"/>
  <c r="IX338" i="1"/>
  <c r="IR338" i="1"/>
  <c r="IK338" i="1"/>
  <c r="E338" i="1"/>
  <c r="JV337" i="1"/>
  <c r="JU337" i="1"/>
  <c r="JQ337" i="1"/>
  <c r="JT337" i="1"/>
  <c r="JP337" i="1"/>
  <c r="IX337" i="1"/>
  <c r="IR337" i="1"/>
  <c r="IK337" i="1"/>
  <c r="E337" i="1"/>
  <c r="JV336" i="1"/>
  <c r="JU336" i="1"/>
  <c r="JQ336" i="1"/>
  <c r="JT336" i="1"/>
  <c r="JP336" i="1"/>
  <c r="JS336" i="1"/>
  <c r="IX336" i="1"/>
  <c r="IR336" i="1"/>
  <c r="IK336" i="1"/>
  <c r="E336" i="1"/>
  <c r="JV335" i="1"/>
  <c r="JU335" i="1"/>
  <c r="JQ335" i="1"/>
  <c r="JT335" i="1"/>
  <c r="JP335" i="1"/>
  <c r="IX335" i="1"/>
  <c r="IR335" i="1"/>
  <c r="IK335" i="1"/>
  <c r="E335" i="1"/>
  <c r="JV334" i="1"/>
  <c r="JU334" i="1"/>
  <c r="JQ334" i="1"/>
  <c r="JR334" i="1"/>
  <c r="JP334" i="1"/>
  <c r="JS334" i="1"/>
  <c r="IX334" i="1"/>
  <c r="IR334" i="1"/>
  <c r="IK334" i="1"/>
  <c r="E334" i="1"/>
  <c r="JV333" i="1"/>
  <c r="JU333" i="1"/>
  <c r="JQ333" i="1"/>
  <c r="JT333" i="1"/>
  <c r="JP333" i="1"/>
  <c r="IX333" i="1"/>
  <c r="IR333" i="1"/>
  <c r="IK333" i="1"/>
  <c r="E333" i="1"/>
  <c r="JV332" i="1"/>
  <c r="JU332" i="1"/>
  <c r="JT332" i="1"/>
  <c r="JQ332" i="1"/>
  <c r="JP332" i="1"/>
  <c r="JS332" i="1"/>
  <c r="IX332" i="1"/>
  <c r="IR332" i="1"/>
  <c r="IK332" i="1"/>
  <c r="E332" i="1"/>
  <c r="JV331" i="1"/>
  <c r="JU331" i="1"/>
  <c r="JQ331" i="1"/>
  <c r="JT331" i="1"/>
  <c r="JP331" i="1"/>
  <c r="IX331" i="1"/>
  <c r="IR331" i="1"/>
  <c r="IK331" i="1"/>
  <c r="E331" i="1"/>
  <c r="JV330" i="1"/>
  <c r="JU330" i="1"/>
  <c r="JQ330" i="1"/>
  <c r="JT330" i="1"/>
  <c r="JP330" i="1"/>
  <c r="JS330" i="1"/>
  <c r="IX330" i="1"/>
  <c r="IR330" i="1"/>
  <c r="IK330" i="1"/>
  <c r="E330" i="1"/>
  <c r="JV329" i="1"/>
  <c r="JU329" i="1"/>
  <c r="JQ329" i="1"/>
  <c r="JT329" i="1"/>
  <c r="JP329" i="1"/>
  <c r="IX329" i="1"/>
  <c r="IR329" i="1"/>
  <c r="IK329" i="1"/>
  <c r="E329" i="1"/>
  <c r="JV328" i="1"/>
  <c r="JU328" i="1"/>
  <c r="JQ328" i="1"/>
  <c r="JT328" i="1"/>
  <c r="JP328" i="1"/>
  <c r="JS328" i="1"/>
  <c r="IX328" i="1"/>
  <c r="IR328" i="1"/>
  <c r="IK328" i="1"/>
  <c r="E328" i="1"/>
  <c r="JV327" i="1"/>
  <c r="JU327" i="1"/>
  <c r="JQ327" i="1"/>
  <c r="JT327" i="1"/>
  <c r="JP327" i="1"/>
  <c r="IX327" i="1"/>
  <c r="IR327" i="1"/>
  <c r="IK327" i="1"/>
  <c r="E327" i="1"/>
  <c r="JV326" i="1"/>
  <c r="JU326" i="1"/>
  <c r="JQ326" i="1"/>
  <c r="JP326" i="1"/>
  <c r="JS326" i="1"/>
  <c r="IX326" i="1"/>
  <c r="IR326" i="1"/>
  <c r="IK326" i="1"/>
  <c r="E326" i="1"/>
  <c r="JV325" i="1"/>
  <c r="JU325" i="1"/>
  <c r="JQ325" i="1"/>
  <c r="JT325" i="1"/>
  <c r="JP325" i="1"/>
  <c r="IX325" i="1"/>
  <c r="IR325" i="1"/>
  <c r="IK325" i="1"/>
  <c r="E325" i="1"/>
  <c r="JV324" i="1"/>
  <c r="JU324" i="1"/>
  <c r="JQ324" i="1"/>
  <c r="JT324" i="1"/>
  <c r="JP324" i="1"/>
  <c r="JS324" i="1"/>
  <c r="IX324" i="1"/>
  <c r="IR324" i="1"/>
  <c r="IK324" i="1"/>
  <c r="E324" i="1"/>
  <c r="JV323" i="1"/>
  <c r="JU323" i="1"/>
  <c r="JQ323" i="1"/>
  <c r="JT323" i="1"/>
  <c r="JP323" i="1"/>
  <c r="IX323" i="1"/>
  <c r="IR323" i="1"/>
  <c r="IK323" i="1"/>
  <c r="E323" i="1"/>
  <c r="JV322" i="1"/>
  <c r="JU322" i="1"/>
  <c r="JQ322" i="1"/>
  <c r="JT322" i="1"/>
  <c r="JP322" i="1"/>
  <c r="JS322" i="1"/>
  <c r="IX322" i="1"/>
  <c r="IR322" i="1"/>
  <c r="IK322" i="1"/>
  <c r="E322" i="1"/>
  <c r="JV321" i="1"/>
  <c r="JU321" i="1"/>
  <c r="JQ321" i="1"/>
  <c r="JT321" i="1"/>
  <c r="JP321" i="1"/>
  <c r="IX321" i="1"/>
  <c r="IR321" i="1"/>
  <c r="IK321" i="1"/>
  <c r="E321" i="1"/>
  <c r="JV320" i="1"/>
  <c r="JU320" i="1"/>
  <c r="JQ320" i="1"/>
  <c r="JT320" i="1"/>
  <c r="JP320" i="1"/>
  <c r="JS320" i="1"/>
  <c r="IX320" i="1"/>
  <c r="IR320" i="1"/>
  <c r="IK320" i="1"/>
  <c r="E320" i="1"/>
  <c r="JV319" i="1"/>
  <c r="JU319" i="1"/>
  <c r="JS319" i="1"/>
  <c r="JQ319" i="1"/>
  <c r="JP319" i="1"/>
  <c r="IX319" i="1"/>
  <c r="IR319" i="1"/>
  <c r="IK319" i="1"/>
  <c r="E319" i="1"/>
  <c r="JV318" i="1"/>
  <c r="JU318" i="1"/>
  <c r="JQ318" i="1"/>
  <c r="JT318" i="1"/>
  <c r="JP318" i="1"/>
  <c r="JS318" i="1"/>
  <c r="IX318" i="1"/>
  <c r="IR318" i="1"/>
  <c r="IK318" i="1"/>
  <c r="E318" i="1"/>
  <c r="JV317" i="1"/>
  <c r="JU317" i="1"/>
  <c r="JQ317" i="1"/>
  <c r="JP317" i="1"/>
  <c r="JS317" i="1"/>
  <c r="IX317" i="1"/>
  <c r="IR317" i="1"/>
  <c r="IK317" i="1"/>
  <c r="E317" i="1"/>
  <c r="JV316" i="1"/>
  <c r="JU316" i="1"/>
  <c r="JQ316" i="1"/>
  <c r="JT316" i="1"/>
  <c r="JP316" i="1"/>
  <c r="JS316" i="1"/>
  <c r="IX316" i="1"/>
  <c r="IR316" i="1"/>
  <c r="IK316" i="1"/>
  <c r="E316" i="1"/>
  <c r="JV315" i="1"/>
  <c r="JU315" i="1"/>
  <c r="JQ315" i="1"/>
  <c r="JT315" i="1"/>
  <c r="JP315" i="1"/>
  <c r="JS315" i="1"/>
  <c r="IX315" i="1"/>
  <c r="IR315" i="1"/>
  <c r="IK315" i="1"/>
  <c r="E315" i="1"/>
  <c r="JV314" i="1"/>
  <c r="JU314" i="1"/>
  <c r="JQ314" i="1"/>
  <c r="JT314" i="1"/>
  <c r="JP314" i="1"/>
  <c r="IX314" i="1"/>
  <c r="IR314" i="1"/>
  <c r="IK314" i="1"/>
  <c r="E314" i="1"/>
  <c r="JV313" i="1"/>
  <c r="JU313" i="1"/>
  <c r="JQ313" i="1"/>
  <c r="JT313" i="1"/>
  <c r="JP313" i="1"/>
  <c r="JS313" i="1"/>
  <c r="IX313" i="1"/>
  <c r="IR313" i="1"/>
  <c r="IK313" i="1"/>
  <c r="E313" i="1"/>
  <c r="JV312" i="1"/>
  <c r="JU312" i="1"/>
  <c r="JQ312" i="1"/>
  <c r="JT312" i="1"/>
  <c r="JP312" i="1"/>
  <c r="JS312" i="1"/>
  <c r="IX312" i="1"/>
  <c r="IR312" i="1"/>
  <c r="IK312" i="1"/>
  <c r="E312" i="1"/>
  <c r="JV311" i="1"/>
  <c r="JU311" i="1"/>
  <c r="JQ311" i="1"/>
  <c r="JT311" i="1"/>
  <c r="JP311" i="1"/>
  <c r="JS311" i="1"/>
  <c r="IX311" i="1"/>
  <c r="IR311" i="1"/>
  <c r="IK311" i="1"/>
  <c r="E311" i="1"/>
  <c r="JV310" i="1"/>
  <c r="JU310" i="1"/>
  <c r="JQ310" i="1"/>
  <c r="JP310" i="1"/>
  <c r="JS310" i="1"/>
  <c r="IX310" i="1"/>
  <c r="IR310" i="1"/>
  <c r="IK310" i="1"/>
  <c r="E310" i="1"/>
  <c r="JV309" i="1"/>
  <c r="JU309" i="1"/>
  <c r="JQ309" i="1"/>
  <c r="JT309" i="1"/>
  <c r="JP309" i="1"/>
  <c r="JS309" i="1"/>
  <c r="IX309" i="1"/>
  <c r="IR309" i="1"/>
  <c r="IK309" i="1"/>
  <c r="E309" i="1"/>
  <c r="JV308" i="1"/>
  <c r="JU308" i="1"/>
  <c r="JQ308" i="1"/>
  <c r="JT308" i="1"/>
  <c r="JP308" i="1"/>
  <c r="JS308" i="1"/>
  <c r="IX308" i="1"/>
  <c r="IR308" i="1"/>
  <c r="IK308" i="1"/>
  <c r="E308" i="1"/>
  <c r="JV307" i="1"/>
  <c r="JU307" i="1"/>
  <c r="JQ307" i="1"/>
  <c r="JP307" i="1"/>
  <c r="JS307" i="1"/>
  <c r="IX307" i="1"/>
  <c r="IR307" i="1"/>
  <c r="IK307" i="1"/>
  <c r="E307" i="1"/>
  <c r="JV306" i="1"/>
  <c r="JU306" i="1"/>
  <c r="JQ306" i="1"/>
  <c r="JT306" i="1"/>
  <c r="JP306" i="1"/>
  <c r="JS306" i="1"/>
  <c r="IX306" i="1"/>
  <c r="IR306" i="1"/>
  <c r="IK306" i="1"/>
  <c r="E306" i="1"/>
  <c r="JV305" i="1"/>
  <c r="JU305" i="1"/>
  <c r="JT305" i="1"/>
  <c r="JQ305" i="1"/>
  <c r="JP305" i="1"/>
  <c r="JS305" i="1"/>
  <c r="IX305" i="1"/>
  <c r="IR305" i="1"/>
  <c r="IK305" i="1"/>
  <c r="E305" i="1"/>
  <c r="JV304" i="1"/>
  <c r="JU304" i="1"/>
  <c r="JQ304" i="1"/>
  <c r="JT304" i="1"/>
  <c r="JP304" i="1"/>
  <c r="JS304" i="1"/>
  <c r="IX304" i="1"/>
  <c r="IR304" i="1"/>
  <c r="IK304" i="1"/>
  <c r="E304" i="1"/>
  <c r="JV303" i="1"/>
  <c r="JU303" i="1"/>
  <c r="JQ303" i="1"/>
  <c r="JT303" i="1"/>
  <c r="JP303" i="1"/>
  <c r="JS303" i="1"/>
  <c r="IX303" i="1"/>
  <c r="IR303" i="1"/>
  <c r="IK303" i="1"/>
  <c r="E303" i="1"/>
  <c r="JV302" i="1"/>
  <c r="JU302" i="1"/>
  <c r="JQ302" i="1"/>
  <c r="JT302" i="1"/>
  <c r="JP302" i="1"/>
  <c r="JS302" i="1"/>
  <c r="IX302" i="1"/>
  <c r="IR302" i="1"/>
  <c r="IK302" i="1"/>
  <c r="E302" i="1"/>
  <c r="JV301" i="1"/>
  <c r="JU301" i="1"/>
  <c r="JQ301" i="1"/>
  <c r="JP301" i="1"/>
  <c r="JS301" i="1"/>
  <c r="IX301" i="1"/>
  <c r="IR301" i="1"/>
  <c r="IK301" i="1"/>
  <c r="E301" i="1"/>
  <c r="JV300" i="1"/>
  <c r="JU300" i="1"/>
  <c r="JQ300" i="1"/>
  <c r="JP300" i="1"/>
  <c r="JS300" i="1"/>
  <c r="IX300" i="1"/>
  <c r="IR300" i="1"/>
  <c r="IK300" i="1"/>
  <c r="E300" i="1"/>
  <c r="JV299" i="1"/>
  <c r="JU299" i="1"/>
  <c r="JQ299" i="1"/>
  <c r="JP299" i="1"/>
  <c r="JS299" i="1"/>
  <c r="IX299" i="1"/>
  <c r="IR299" i="1"/>
  <c r="IK299" i="1"/>
  <c r="E299" i="1"/>
  <c r="JV298" i="1"/>
  <c r="JU298" i="1"/>
  <c r="JQ298" i="1"/>
  <c r="JP298" i="1"/>
  <c r="JS298" i="1"/>
  <c r="IX298" i="1"/>
  <c r="IR298" i="1"/>
  <c r="IK298" i="1"/>
  <c r="E298" i="1"/>
  <c r="JV297" i="1"/>
  <c r="JU297" i="1"/>
  <c r="JQ297" i="1"/>
  <c r="JP297" i="1"/>
  <c r="JS297" i="1"/>
  <c r="IX297" i="1"/>
  <c r="IR297" i="1"/>
  <c r="IK297" i="1"/>
  <c r="E297" i="1"/>
  <c r="JV296" i="1"/>
  <c r="JU296" i="1"/>
  <c r="JQ296" i="1"/>
  <c r="JP296" i="1"/>
  <c r="JS296" i="1"/>
  <c r="IX296" i="1"/>
  <c r="IR296" i="1"/>
  <c r="IK296" i="1"/>
  <c r="E296" i="1"/>
  <c r="JV295" i="1"/>
  <c r="JU295" i="1"/>
  <c r="JQ295" i="1"/>
  <c r="JP295" i="1"/>
  <c r="JS295" i="1"/>
  <c r="IX295" i="1"/>
  <c r="IR295" i="1"/>
  <c r="IK295" i="1"/>
  <c r="E295" i="1"/>
  <c r="JV294" i="1"/>
  <c r="JU294" i="1"/>
  <c r="JQ294" i="1"/>
  <c r="JP294" i="1"/>
  <c r="JS294" i="1"/>
  <c r="IX294" i="1"/>
  <c r="IR294" i="1"/>
  <c r="IK294" i="1"/>
  <c r="E294" i="1"/>
  <c r="JV293" i="1"/>
  <c r="JU293" i="1"/>
  <c r="JQ293" i="1"/>
  <c r="JP293" i="1"/>
  <c r="JS293" i="1"/>
  <c r="IX293" i="1"/>
  <c r="IR293" i="1"/>
  <c r="IK293" i="1"/>
  <c r="E293" i="1"/>
  <c r="JV292" i="1"/>
  <c r="JU292" i="1"/>
  <c r="JQ292" i="1"/>
  <c r="JT292" i="1"/>
  <c r="JP292" i="1"/>
  <c r="JS292" i="1"/>
  <c r="IX292" i="1"/>
  <c r="IR292" i="1"/>
  <c r="IK292" i="1"/>
  <c r="E292" i="1"/>
  <c r="JV291" i="1"/>
  <c r="JU291" i="1"/>
  <c r="JQ291" i="1"/>
  <c r="JT291" i="1"/>
  <c r="JP291" i="1"/>
  <c r="JS291" i="1"/>
  <c r="IX291" i="1"/>
  <c r="IR291" i="1"/>
  <c r="IK291" i="1"/>
  <c r="E291" i="1"/>
  <c r="JV290" i="1"/>
  <c r="JU290" i="1"/>
  <c r="JQ290" i="1"/>
  <c r="JT290" i="1"/>
  <c r="JP290" i="1"/>
  <c r="JS290" i="1"/>
  <c r="IX290" i="1"/>
  <c r="IR290" i="1"/>
  <c r="IK290" i="1"/>
  <c r="E290" i="1"/>
  <c r="JV289" i="1"/>
  <c r="JU289" i="1"/>
  <c r="JQ289" i="1"/>
  <c r="JT289" i="1"/>
  <c r="JP289" i="1"/>
  <c r="JS289" i="1"/>
  <c r="IX289" i="1"/>
  <c r="IR289" i="1"/>
  <c r="IK289" i="1"/>
  <c r="E289" i="1"/>
  <c r="JV288" i="1"/>
  <c r="JU288" i="1"/>
  <c r="JQ288" i="1"/>
  <c r="JT288" i="1"/>
  <c r="JP288" i="1"/>
  <c r="JS288" i="1"/>
  <c r="IX288" i="1"/>
  <c r="IR288" i="1"/>
  <c r="IK288" i="1"/>
  <c r="E288" i="1"/>
  <c r="JV287" i="1"/>
  <c r="JU287" i="1"/>
  <c r="JQ287" i="1"/>
  <c r="JT287" i="1"/>
  <c r="JP287" i="1"/>
  <c r="JS287" i="1"/>
  <c r="IX287" i="1"/>
  <c r="IR287" i="1"/>
  <c r="IK287" i="1"/>
  <c r="E287" i="1"/>
  <c r="JV286" i="1"/>
  <c r="JU286" i="1"/>
  <c r="JQ286" i="1"/>
  <c r="JP286" i="1"/>
  <c r="JS286" i="1"/>
  <c r="IX286" i="1"/>
  <c r="IR286" i="1"/>
  <c r="IK286" i="1"/>
  <c r="E286" i="1"/>
  <c r="JV285" i="1"/>
  <c r="JU285" i="1"/>
  <c r="JQ285" i="1"/>
  <c r="JT285" i="1"/>
  <c r="JP285" i="1"/>
  <c r="JS285" i="1"/>
  <c r="IX285" i="1"/>
  <c r="IR285" i="1"/>
  <c r="IK285" i="1"/>
  <c r="E285" i="1"/>
  <c r="JV284" i="1"/>
  <c r="JU284" i="1"/>
  <c r="JQ284" i="1"/>
  <c r="JT284" i="1"/>
  <c r="JP284" i="1"/>
  <c r="JS284" i="1"/>
  <c r="IX284" i="1"/>
  <c r="IR284" i="1"/>
  <c r="IK284" i="1"/>
  <c r="E284" i="1"/>
  <c r="JV283" i="1"/>
  <c r="JU283" i="1"/>
  <c r="JQ283" i="1"/>
  <c r="JT283" i="1"/>
  <c r="JP283" i="1"/>
  <c r="JS283" i="1"/>
  <c r="IX283" i="1"/>
  <c r="IR283" i="1"/>
  <c r="IK283" i="1"/>
  <c r="E283" i="1"/>
  <c r="JV282" i="1"/>
  <c r="JU282" i="1"/>
  <c r="JQ282" i="1"/>
  <c r="JT282" i="1"/>
  <c r="IX282" i="1"/>
  <c r="IR282" i="1"/>
  <c r="IK282" i="1"/>
  <c r="EM282" i="1"/>
  <c r="JP282" i="1"/>
  <c r="JS282" i="1"/>
  <c r="E282" i="1"/>
  <c r="JV281" i="1"/>
  <c r="JU281" i="1"/>
  <c r="JQ281" i="1"/>
  <c r="JP281" i="1"/>
  <c r="JS281" i="1"/>
  <c r="IX281" i="1"/>
  <c r="IR281" i="1"/>
  <c r="IK281" i="1"/>
  <c r="E281" i="1"/>
  <c r="JV280" i="1"/>
  <c r="JU280" i="1"/>
  <c r="JQ280" i="1"/>
  <c r="JP280" i="1"/>
  <c r="JS280" i="1"/>
  <c r="IX280" i="1"/>
  <c r="IR280" i="1"/>
  <c r="IK280" i="1"/>
  <c r="E280" i="1"/>
  <c r="JV279" i="1"/>
  <c r="JU279" i="1"/>
  <c r="JQ279" i="1"/>
  <c r="JP279" i="1"/>
  <c r="JS279" i="1"/>
  <c r="IX279" i="1"/>
  <c r="IR279" i="1"/>
  <c r="IK279" i="1"/>
  <c r="E279" i="1"/>
  <c r="JV278" i="1"/>
  <c r="JU278" i="1"/>
  <c r="JQ278" i="1"/>
  <c r="JP278" i="1"/>
  <c r="JS278" i="1"/>
  <c r="IX278" i="1"/>
  <c r="IR278" i="1"/>
  <c r="IK278" i="1"/>
  <c r="E278" i="1"/>
  <c r="JV277" i="1"/>
  <c r="JU277" i="1"/>
  <c r="JQ277" i="1"/>
  <c r="JP277" i="1"/>
  <c r="JS277" i="1"/>
  <c r="IX277" i="1"/>
  <c r="IR277" i="1"/>
  <c r="IK277" i="1"/>
  <c r="E277" i="1"/>
  <c r="JV276" i="1"/>
  <c r="JU276" i="1"/>
  <c r="JQ276" i="1"/>
  <c r="JP276" i="1"/>
  <c r="JS276" i="1"/>
  <c r="IX276" i="1"/>
  <c r="IR276" i="1"/>
  <c r="IK276" i="1"/>
  <c r="E276" i="1"/>
  <c r="JV275" i="1"/>
  <c r="JU275" i="1"/>
  <c r="JQ275" i="1"/>
  <c r="JP275" i="1"/>
  <c r="JS275" i="1"/>
  <c r="IX275" i="1"/>
  <c r="IR275" i="1"/>
  <c r="IK275" i="1"/>
  <c r="E275" i="1"/>
  <c r="JV274" i="1"/>
  <c r="JU274" i="1"/>
  <c r="JQ274" i="1"/>
  <c r="JP274" i="1"/>
  <c r="JS274" i="1"/>
  <c r="IX274" i="1"/>
  <c r="IR274" i="1"/>
  <c r="IK274" i="1"/>
  <c r="E274" i="1"/>
  <c r="JV273" i="1"/>
  <c r="JU273" i="1"/>
  <c r="JQ273" i="1"/>
  <c r="JP273" i="1"/>
  <c r="JS273" i="1"/>
  <c r="IX273" i="1"/>
  <c r="IR273" i="1"/>
  <c r="IK273" i="1"/>
  <c r="E273" i="1"/>
  <c r="JV272" i="1"/>
  <c r="JU272" i="1"/>
  <c r="JQ272" i="1"/>
  <c r="JP272" i="1"/>
  <c r="JS272" i="1"/>
  <c r="IX272" i="1"/>
  <c r="IR272" i="1"/>
  <c r="IK272" i="1"/>
  <c r="E272" i="1"/>
  <c r="JV271" i="1"/>
  <c r="JU271" i="1"/>
  <c r="JQ271" i="1"/>
  <c r="JP271" i="1"/>
  <c r="JS271" i="1"/>
  <c r="IX271" i="1"/>
  <c r="IR271" i="1"/>
  <c r="IK271" i="1"/>
  <c r="E271" i="1"/>
  <c r="JV270" i="1"/>
  <c r="JU270" i="1"/>
  <c r="JQ270" i="1"/>
  <c r="JP270" i="1"/>
  <c r="JS270" i="1"/>
  <c r="IX270" i="1"/>
  <c r="IR270" i="1"/>
  <c r="IK270" i="1"/>
  <c r="E270" i="1"/>
  <c r="JV269" i="1"/>
  <c r="JU269" i="1"/>
  <c r="JQ269" i="1"/>
  <c r="JP269" i="1"/>
  <c r="JS269" i="1"/>
  <c r="IX269" i="1"/>
  <c r="IR269" i="1"/>
  <c r="IK269" i="1"/>
  <c r="E269" i="1"/>
  <c r="JV268" i="1"/>
  <c r="JU268" i="1"/>
  <c r="JQ268" i="1"/>
  <c r="JP268" i="1"/>
  <c r="JS268" i="1"/>
  <c r="IX268" i="1"/>
  <c r="IR268" i="1"/>
  <c r="IK268" i="1"/>
  <c r="E268" i="1"/>
  <c r="JV267" i="1"/>
  <c r="JU267" i="1"/>
  <c r="JQ267" i="1"/>
  <c r="JP267" i="1"/>
  <c r="JS267" i="1"/>
  <c r="IX267" i="1"/>
  <c r="IR267" i="1"/>
  <c r="IK267" i="1"/>
  <c r="E267" i="1"/>
  <c r="JV266" i="1"/>
  <c r="JU266" i="1"/>
  <c r="JQ266" i="1"/>
  <c r="JP266" i="1"/>
  <c r="JS266" i="1"/>
  <c r="IX266" i="1"/>
  <c r="IR266" i="1"/>
  <c r="IK266" i="1"/>
  <c r="E266" i="1"/>
  <c r="JV265" i="1"/>
  <c r="JU265" i="1"/>
  <c r="JQ265" i="1"/>
  <c r="JP265" i="1"/>
  <c r="JS265" i="1"/>
  <c r="IX265" i="1"/>
  <c r="IR265" i="1"/>
  <c r="IK265" i="1"/>
  <c r="E265" i="1"/>
  <c r="JV264" i="1"/>
  <c r="JU264" i="1"/>
  <c r="JQ264" i="1"/>
  <c r="JT264" i="1"/>
  <c r="JP264" i="1"/>
  <c r="JS264" i="1"/>
  <c r="IX264" i="1"/>
  <c r="IR264" i="1"/>
  <c r="IK264" i="1"/>
  <c r="E264" i="1"/>
  <c r="JV263" i="1"/>
  <c r="JU263" i="1"/>
  <c r="JQ263" i="1"/>
  <c r="JT263" i="1"/>
  <c r="JP263" i="1"/>
  <c r="JS263" i="1"/>
  <c r="IX263" i="1"/>
  <c r="IR263" i="1"/>
  <c r="IK263" i="1"/>
  <c r="E263" i="1"/>
  <c r="JV262" i="1"/>
  <c r="JU262" i="1"/>
  <c r="JQ262" i="1"/>
  <c r="JP262" i="1"/>
  <c r="JS262" i="1"/>
  <c r="IX262" i="1"/>
  <c r="IR262" i="1"/>
  <c r="IK262" i="1"/>
  <c r="E262" i="1"/>
  <c r="JV261" i="1"/>
  <c r="JU261" i="1"/>
  <c r="JQ261" i="1"/>
  <c r="JT261" i="1"/>
  <c r="JP261" i="1"/>
  <c r="JS261" i="1"/>
  <c r="IX261" i="1"/>
  <c r="IR261" i="1"/>
  <c r="IK261" i="1"/>
  <c r="E261" i="1"/>
  <c r="JV260" i="1"/>
  <c r="JU260" i="1"/>
  <c r="JQ260" i="1"/>
  <c r="JT260" i="1"/>
  <c r="JP260" i="1"/>
  <c r="IX260" i="1"/>
  <c r="IR260" i="1"/>
  <c r="IK260" i="1"/>
  <c r="E260" i="1"/>
  <c r="JV259" i="1"/>
  <c r="JU259" i="1"/>
  <c r="JQ259" i="1"/>
  <c r="JT259" i="1"/>
  <c r="JP259" i="1"/>
  <c r="JS259" i="1"/>
  <c r="IX259" i="1"/>
  <c r="IR259" i="1"/>
  <c r="IK259" i="1"/>
  <c r="E259" i="1"/>
  <c r="JV258" i="1"/>
  <c r="JU258" i="1"/>
  <c r="JQ258" i="1"/>
  <c r="JT258" i="1"/>
  <c r="JP258" i="1"/>
  <c r="JS258" i="1"/>
  <c r="IX258" i="1"/>
  <c r="IR258" i="1"/>
  <c r="IK258" i="1"/>
  <c r="E258" i="1"/>
  <c r="JV257" i="1"/>
  <c r="JU257" i="1"/>
  <c r="JQ257" i="1"/>
  <c r="JT257" i="1"/>
  <c r="JP257" i="1"/>
  <c r="JS257" i="1"/>
  <c r="IX257" i="1"/>
  <c r="IR257" i="1"/>
  <c r="IK257" i="1"/>
  <c r="E257" i="1"/>
  <c r="JV256" i="1"/>
  <c r="JU256" i="1"/>
  <c r="JQ256" i="1"/>
  <c r="JT256" i="1"/>
  <c r="JP256" i="1"/>
  <c r="IX256" i="1"/>
  <c r="IR256" i="1"/>
  <c r="IK256" i="1"/>
  <c r="E256" i="1"/>
  <c r="JV255" i="1"/>
  <c r="JU255" i="1"/>
  <c r="JQ255" i="1"/>
  <c r="JT255" i="1"/>
  <c r="JP255" i="1"/>
  <c r="JS255" i="1"/>
  <c r="IX255" i="1"/>
  <c r="IR255" i="1"/>
  <c r="IK255" i="1"/>
  <c r="E255" i="1"/>
  <c r="JV254" i="1"/>
  <c r="JU254" i="1"/>
  <c r="JQ254" i="1"/>
  <c r="JT254" i="1"/>
  <c r="JP254" i="1"/>
  <c r="IX254" i="1"/>
  <c r="IR254" i="1"/>
  <c r="IK254" i="1"/>
  <c r="E254" i="1"/>
  <c r="JV253" i="1"/>
  <c r="JU253" i="1"/>
  <c r="JQ253" i="1"/>
  <c r="JP253" i="1"/>
  <c r="JS253" i="1"/>
  <c r="IX253" i="1"/>
  <c r="IR253" i="1"/>
  <c r="IK253" i="1"/>
  <c r="E253" i="1"/>
  <c r="JV252" i="1"/>
  <c r="JU252" i="1"/>
  <c r="JQ252" i="1"/>
  <c r="JT252" i="1"/>
  <c r="JP252" i="1"/>
  <c r="JS252" i="1"/>
  <c r="IX252" i="1"/>
  <c r="IR252" i="1"/>
  <c r="IK252" i="1"/>
  <c r="E252" i="1"/>
  <c r="JV251" i="1"/>
  <c r="JU251" i="1"/>
  <c r="JQ251" i="1"/>
  <c r="JP251" i="1"/>
  <c r="JS251" i="1"/>
  <c r="IX251" i="1"/>
  <c r="IR251" i="1"/>
  <c r="IK251" i="1"/>
  <c r="E251" i="1"/>
  <c r="JV250" i="1"/>
  <c r="JU250" i="1"/>
  <c r="JQ250" i="1"/>
  <c r="JT250" i="1"/>
  <c r="JP250" i="1"/>
  <c r="JS250" i="1"/>
  <c r="IX250" i="1"/>
  <c r="IR250" i="1"/>
  <c r="IK250" i="1"/>
  <c r="E250" i="1"/>
  <c r="JV249" i="1"/>
  <c r="JU249" i="1"/>
  <c r="JQ249" i="1"/>
  <c r="JT249" i="1"/>
  <c r="JP249" i="1"/>
  <c r="IX249" i="1"/>
  <c r="IR249" i="1"/>
  <c r="IK249" i="1"/>
  <c r="E249" i="1"/>
  <c r="JV248" i="1"/>
  <c r="JU248" i="1"/>
  <c r="JQ248" i="1"/>
  <c r="JT248" i="1"/>
  <c r="JP248" i="1"/>
  <c r="JS248" i="1"/>
  <c r="IX248" i="1"/>
  <c r="IR248" i="1"/>
  <c r="IK248" i="1"/>
  <c r="E248" i="1"/>
  <c r="JV247" i="1"/>
  <c r="JU247" i="1"/>
  <c r="JQ247" i="1"/>
  <c r="JT247" i="1"/>
  <c r="JP247" i="1"/>
  <c r="IX247" i="1"/>
  <c r="IR247" i="1"/>
  <c r="IK247" i="1"/>
  <c r="E247" i="1"/>
  <c r="JV246" i="1"/>
  <c r="JU246" i="1"/>
  <c r="JQ246" i="1"/>
  <c r="JP246" i="1"/>
  <c r="JS246" i="1"/>
  <c r="IX246" i="1"/>
  <c r="IR246" i="1"/>
  <c r="IK246" i="1"/>
  <c r="E246" i="1"/>
  <c r="JV245" i="1"/>
  <c r="JU245" i="1"/>
  <c r="JS245" i="1"/>
  <c r="JQ245" i="1"/>
  <c r="JT245" i="1"/>
  <c r="JP245" i="1"/>
  <c r="IX245" i="1"/>
  <c r="IR245" i="1"/>
  <c r="IK245" i="1"/>
  <c r="E245" i="1"/>
  <c r="JV244" i="1"/>
  <c r="JU244" i="1"/>
  <c r="JQ244" i="1"/>
  <c r="JT244" i="1"/>
  <c r="JP244" i="1"/>
  <c r="JS244" i="1"/>
  <c r="IX244" i="1"/>
  <c r="IR244" i="1"/>
  <c r="IK244" i="1"/>
  <c r="E244" i="1"/>
  <c r="JV243" i="1"/>
  <c r="JU243" i="1"/>
  <c r="JQ243" i="1"/>
  <c r="JT243" i="1"/>
  <c r="JP243" i="1"/>
  <c r="JS243" i="1"/>
  <c r="IX243" i="1"/>
  <c r="IR243" i="1"/>
  <c r="IK243" i="1"/>
  <c r="E243" i="1"/>
  <c r="JV242" i="1"/>
  <c r="JU242" i="1"/>
  <c r="JQ242" i="1"/>
  <c r="JP242" i="1"/>
  <c r="JS242" i="1"/>
  <c r="IX242" i="1"/>
  <c r="IR242" i="1"/>
  <c r="IK242" i="1"/>
  <c r="E242" i="1"/>
  <c r="JV241" i="1"/>
  <c r="JU241" i="1"/>
  <c r="JQ241" i="1"/>
  <c r="JT241" i="1"/>
  <c r="JP241" i="1"/>
  <c r="IX241" i="1"/>
  <c r="IR241" i="1"/>
  <c r="IK241" i="1"/>
  <c r="E241" i="1"/>
  <c r="JV240" i="1"/>
  <c r="JU240" i="1"/>
  <c r="JQ240" i="1"/>
  <c r="JT240" i="1"/>
  <c r="JP240" i="1"/>
  <c r="JS240" i="1"/>
  <c r="IX240" i="1"/>
  <c r="IR240" i="1"/>
  <c r="IK240" i="1"/>
  <c r="E240" i="1"/>
  <c r="JV239" i="1"/>
  <c r="JU239" i="1"/>
  <c r="JT239" i="1"/>
  <c r="JQ239" i="1"/>
  <c r="JP239" i="1"/>
  <c r="JS239" i="1"/>
  <c r="IX239" i="1"/>
  <c r="IR239" i="1"/>
  <c r="IK239" i="1"/>
  <c r="E239" i="1"/>
  <c r="JV238" i="1"/>
  <c r="JU238" i="1"/>
  <c r="JQ238" i="1"/>
  <c r="JP238" i="1"/>
  <c r="JS238" i="1"/>
  <c r="IX238" i="1"/>
  <c r="IR238" i="1"/>
  <c r="IK238" i="1"/>
  <c r="E238" i="1"/>
  <c r="JV237" i="1"/>
  <c r="JU237" i="1"/>
  <c r="JQ237" i="1"/>
  <c r="JT237" i="1"/>
  <c r="JP237" i="1"/>
  <c r="JS237" i="1"/>
  <c r="IX237" i="1"/>
  <c r="IR237" i="1"/>
  <c r="IK237" i="1"/>
  <c r="E237" i="1"/>
  <c r="JV236" i="1"/>
  <c r="JU236" i="1"/>
  <c r="JQ236" i="1"/>
  <c r="JT236" i="1"/>
  <c r="JP236" i="1"/>
  <c r="IX236" i="1"/>
  <c r="IR236" i="1"/>
  <c r="IK236" i="1"/>
  <c r="E236" i="1"/>
  <c r="JV235" i="1"/>
  <c r="JU235" i="1"/>
  <c r="JQ235" i="1"/>
  <c r="JT235" i="1"/>
  <c r="JP235" i="1"/>
  <c r="JS235" i="1"/>
  <c r="IX235" i="1"/>
  <c r="IR235" i="1"/>
  <c r="IK235" i="1"/>
  <c r="E235" i="1"/>
  <c r="JV234" i="1"/>
  <c r="JU234" i="1"/>
  <c r="JQ234" i="1"/>
  <c r="JT234" i="1"/>
  <c r="JP234" i="1"/>
  <c r="JS234" i="1"/>
  <c r="IX234" i="1"/>
  <c r="IR234" i="1"/>
  <c r="IK234" i="1"/>
  <c r="E234" i="1"/>
  <c r="JV233" i="1"/>
  <c r="JU233" i="1"/>
  <c r="JQ233" i="1"/>
  <c r="JP233" i="1"/>
  <c r="JS233" i="1"/>
  <c r="IX233" i="1"/>
  <c r="IR233" i="1"/>
  <c r="IK233" i="1"/>
  <c r="E233" i="1"/>
  <c r="JV232" i="1"/>
  <c r="JU232" i="1"/>
  <c r="JQ232" i="1"/>
  <c r="JT232" i="1"/>
  <c r="JP232" i="1"/>
  <c r="JS232" i="1"/>
  <c r="IX232" i="1"/>
  <c r="IR232" i="1"/>
  <c r="IK232" i="1"/>
  <c r="E232" i="1"/>
  <c r="JV231" i="1"/>
  <c r="JU231" i="1"/>
  <c r="JQ231" i="1"/>
  <c r="JT231" i="1"/>
  <c r="JP231" i="1"/>
  <c r="JS231" i="1"/>
  <c r="IX231" i="1"/>
  <c r="IR231" i="1"/>
  <c r="IK231" i="1"/>
  <c r="E231" i="1"/>
  <c r="JV230" i="1"/>
  <c r="JU230" i="1"/>
  <c r="JQ230" i="1"/>
  <c r="JP230" i="1"/>
  <c r="JS230" i="1"/>
  <c r="IX230" i="1"/>
  <c r="IR230" i="1"/>
  <c r="IK230" i="1"/>
  <c r="E230" i="1"/>
  <c r="JV229" i="1"/>
  <c r="JU229" i="1"/>
  <c r="JQ229" i="1"/>
  <c r="JT229" i="1"/>
  <c r="JP229" i="1"/>
  <c r="JS229" i="1"/>
  <c r="IX229" i="1"/>
  <c r="IR229" i="1"/>
  <c r="IK229" i="1"/>
  <c r="E229" i="1"/>
  <c r="JV228" i="1"/>
  <c r="JU228" i="1"/>
  <c r="JQ228" i="1"/>
  <c r="JP228" i="1"/>
  <c r="JS228" i="1"/>
  <c r="IX228" i="1"/>
  <c r="IR228" i="1"/>
  <c r="IK228" i="1"/>
  <c r="E228" i="1"/>
  <c r="JV227" i="1"/>
  <c r="JU227" i="1"/>
  <c r="JQ227" i="1"/>
  <c r="JP227" i="1"/>
  <c r="JS227" i="1"/>
  <c r="IX227" i="1"/>
  <c r="IR227" i="1"/>
  <c r="IK227" i="1"/>
  <c r="E227" i="1"/>
  <c r="JV226" i="1"/>
  <c r="JU226" i="1"/>
  <c r="JQ226" i="1"/>
  <c r="JT226" i="1"/>
  <c r="JP226" i="1"/>
  <c r="JS226" i="1"/>
  <c r="IX226" i="1"/>
  <c r="IR226" i="1"/>
  <c r="IK226" i="1"/>
  <c r="E226" i="1"/>
  <c r="JV225" i="1"/>
  <c r="JU225" i="1"/>
  <c r="JQ225" i="1"/>
  <c r="JP225" i="1"/>
  <c r="JS225" i="1"/>
  <c r="IX225" i="1"/>
  <c r="IR225" i="1"/>
  <c r="IK225" i="1"/>
  <c r="E225" i="1"/>
  <c r="JV224" i="1"/>
  <c r="JU224" i="1"/>
  <c r="JQ224" i="1"/>
  <c r="JT224" i="1"/>
  <c r="JP224" i="1"/>
  <c r="IX224" i="1"/>
  <c r="IR224" i="1"/>
  <c r="IK224" i="1"/>
  <c r="E224" i="1"/>
  <c r="JV223" i="1"/>
  <c r="JU223" i="1"/>
  <c r="JQ223" i="1"/>
  <c r="JP223" i="1"/>
  <c r="JS223" i="1"/>
  <c r="IX223" i="1"/>
  <c r="IR223" i="1"/>
  <c r="IK223" i="1"/>
  <c r="E223" i="1"/>
  <c r="JV222" i="1"/>
  <c r="JU222" i="1"/>
  <c r="JQ222" i="1"/>
  <c r="JT222" i="1"/>
  <c r="JP222" i="1"/>
  <c r="IX222" i="1"/>
  <c r="IR222" i="1"/>
  <c r="IK222" i="1"/>
  <c r="E222" i="1"/>
  <c r="JV221" i="1"/>
  <c r="JU221" i="1"/>
  <c r="JQ221" i="1"/>
  <c r="JP221" i="1"/>
  <c r="JS221" i="1"/>
  <c r="IX221" i="1"/>
  <c r="IR221" i="1"/>
  <c r="IK221" i="1"/>
  <c r="E221" i="1"/>
  <c r="JV220" i="1"/>
  <c r="JU220" i="1"/>
  <c r="JQ220" i="1"/>
  <c r="JT220" i="1"/>
  <c r="JP220" i="1"/>
  <c r="JS220" i="1"/>
  <c r="IX220" i="1"/>
  <c r="IR220" i="1"/>
  <c r="IK220" i="1"/>
  <c r="E220" i="1"/>
  <c r="JV219" i="1"/>
  <c r="JU219" i="1"/>
  <c r="JQ219" i="1"/>
  <c r="JP219" i="1"/>
  <c r="JS219" i="1"/>
  <c r="IX219" i="1"/>
  <c r="IR219" i="1"/>
  <c r="IK219" i="1"/>
  <c r="E219" i="1"/>
  <c r="JV218" i="1"/>
  <c r="JU218" i="1"/>
  <c r="JQ218" i="1"/>
  <c r="JT218" i="1"/>
  <c r="JP218" i="1"/>
  <c r="JS218" i="1"/>
  <c r="IX218" i="1"/>
  <c r="IR218" i="1"/>
  <c r="IK218" i="1"/>
  <c r="E218" i="1"/>
  <c r="JV217" i="1"/>
  <c r="JU217" i="1"/>
  <c r="JQ217" i="1"/>
  <c r="JP217" i="1"/>
  <c r="JS217" i="1"/>
  <c r="IX217" i="1"/>
  <c r="IR217" i="1"/>
  <c r="IK217" i="1"/>
  <c r="E217" i="1"/>
  <c r="JV216" i="1"/>
  <c r="JU216" i="1"/>
  <c r="JQ216" i="1"/>
  <c r="JT216" i="1"/>
  <c r="JP216" i="1"/>
  <c r="JS216" i="1"/>
  <c r="IX216" i="1"/>
  <c r="IR216" i="1"/>
  <c r="IK216" i="1"/>
  <c r="E216" i="1"/>
  <c r="JV215" i="1"/>
  <c r="JU215" i="1"/>
  <c r="JQ215" i="1"/>
  <c r="JT215" i="1"/>
  <c r="JP215" i="1"/>
  <c r="JS215" i="1"/>
  <c r="IX215" i="1"/>
  <c r="IR215" i="1"/>
  <c r="IK215" i="1"/>
  <c r="E215" i="1"/>
  <c r="JV214" i="1"/>
  <c r="JU214" i="1"/>
  <c r="JQ214" i="1"/>
  <c r="JT214" i="1"/>
  <c r="JP214" i="1"/>
  <c r="JS214" i="1"/>
  <c r="IX214" i="1"/>
  <c r="IR214" i="1"/>
  <c r="IK214" i="1"/>
  <c r="E214" i="1"/>
  <c r="JV213" i="1"/>
  <c r="JU213" i="1"/>
  <c r="JQ213" i="1"/>
  <c r="JP213" i="1"/>
  <c r="JS213" i="1"/>
  <c r="IX213" i="1"/>
  <c r="IR213" i="1"/>
  <c r="IK213" i="1"/>
  <c r="E213" i="1"/>
  <c r="JV212" i="1"/>
  <c r="JU212" i="1"/>
  <c r="JQ212" i="1"/>
  <c r="JT212" i="1"/>
  <c r="JP212" i="1"/>
  <c r="JS212" i="1"/>
  <c r="IX212" i="1"/>
  <c r="IR212" i="1"/>
  <c r="IK212" i="1"/>
  <c r="E212" i="1"/>
  <c r="JV211" i="1"/>
  <c r="JU211" i="1"/>
  <c r="JQ211" i="1"/>
  <c r="JT211" i="1"/>
  <c r="JP211" i="1"/>
  <c r="JS211" i="1"/>
  <c r="IX211" i="1"/>
  <c r="IR211" i="1"/>
  <c r="IK211" i="1"/>
  <c r="E211" i="1"/>
  <c r="JV210" i="1"/>
  <c r="JU210" i="1"/>
  <c r="JQ210" i="1"/>
  <c r="JT210" i="1"/>
  <c r="JP210" i="1"/>
  <c r="JS210" i="1"/>
  <c r="IX210" i="1"/>
  <c r="IR210" i="1"/>
  <c r="IK210" i="1"/>
  <c r="E210" i="1"/>
  <c r="JV209" i="1"/>
  <c r="JU209" i="1"/>
  <c r="JQ209" i="1"/>
  <c r="JT209" i="1"/>
  <c r="JP209" i="1"/>
  <c r="JS209" i="1"/>
  <c r="IX209" i="1"/>
  <c r="IR209" i="1"/>
  <c r="IK209" i="1"/>
  <c r="E209" i="1"/>
  <c r="JV208" i="1"/>
  <c r="JU208" i="1"/>
  <c r="JQ208" i="1"/>
  <c r="JT208" i="1"/>
  <c r="JP208" i="1"/>
  <c r="JS208" i="1"/>
  <c r="IX208" i="1"/>
  <c r="IR208" i="1"/>
  <c r="IK208" i="1"/>
  <c r="E208" i="1"/>
  <c r="JV207" i="1"/>
  <c r="JU207" i="1"/>
  <c r="JQ207" i="1"/>
  <c r="JT207" i="1"/>
  <c r="JP207" i="1"/>
  <c r="JS207" i="1"/>
  <c r="IX207" i="1"/>
  <c r="IR207" i="1"/>
  <c r="IK207" i="1"/>
  <c r="E207" i="1"/>
  <c r="JV206" i="1"/>
  <c r="JU206" i="1"/>
  <c r="JQ206" i="1"/>
  <c r="JT206" i="1"/>
  <c r="JP206" i="1"/>
  <c r="JS206" i="1"/>
  <c r="IX206" i="1"/>
  <c r="IR206" i="1"/>
  <c r="IK206" i="1"/>
  <c r="E206" i="1"/>
  <c r="JV205" i="1"/>
  <c r="JU205" i="1"/>
  <c r="JQ205" i="1"/>
  <c r="JP205" i="1"/>
  <c r="JS205" i="1"/>
  <c r="IX205" i="1"/>
  <c r="IR205" i="1"/>
  <c r="IK205" i="1"/>
  <c r="E205" i="1"/>
  <c r="JV204" i="1"/>
  <c r="JU204" i="1"/>
  <c r="JQ204" i="1"/>
  <c r="JT204" i="1"/>
  <c r="JP204" i="1"/>
  <c r="JS204" i="1"/>
  <c r="IX204" i="1"/>
  <c r="IR204" i="1"/>
  <c r="IK204" i="1"/>
  <c r="E204" i="1"/>
  <c r="JV203" i="1"/>
  <c r="JU203" i="1"/>
  <c r="JQ203" i="1"/>
  <c r="JT203" i="1"/>
  <c r="JP203" i="1"/>
  <c r="JS203" i="1"/>
  <c r="IX203" i="1"/>
  <c r="IR203" i="1"/>
  <c r="IK203" i="1"/>
  <c r="E203" i="1"/>
  <c r="JV202" i="1"/>
  <c r="JU202" i="1"/>
  <c r="JQ202" i="1"/>
  <c r="JT202" i="1"/>
  <c r="JP202" i="1"/>
  <c r="JS202" i="1"/>
  <c r="IX202" i="1"/>
  <c r="IR202" i="1"/>
  <c r="IK202" i="1"/>
  <c r="E202" i="1"/>
  <c r="JV201" i="1"/>
  <c r="JU201" i="1"/>
  <c r="JQ201" i="1"/>
  <c r="JT201" i="1"/>
  <c r="JP201" i="1"/>
  <c r="JS201" i="1"/>
  <c r="IX201" i="1"/>
  <c r="IR201" i="1"/>
  <c r="IK201" i="1"/>
  <c r="E201" i="1"/>
  <c r="JV200" i="1"/>
  <c r="JU200" i="1"/>
  <c r="JQ200" i="1"/>
  <c r="JT200" i="1"/>
  <c r="JP200" i="1"/>
  <c r="JS200" i="1"/>
  <c r="IX200" i="1"/>
  <c r="IR200" i="1"/>
  <c r="IK200" i="1"/>
  <c r="E200" i="1"/>
  <c r="JV199" i="1"/>
  <c r="JU199" i="1"/>
  <c r="JS199" i="1"/>
  <c r="JQ199" i="1"/>
  <c r="JP199" i="1"/>
  <c r="IX199" i="1"/>
  <c r="IR199" i="1"/>
  <c r="IK199" i="1"/>
  <c r="E199" i="1"/>
  <c r="JV198" i="1"/>
  <c r="JU198" i="1"/>
  <c r="JQ198" i="1"/>
  <c r="JT198" i="1"/>
  <c r="JP198" i="1"/>
  <c r="JS198" i="1"/>
  <c r="IX198" i="1"/>
  <c r="IR198" i="1"/>
  <c r="IK198" i="1"/>
  <c r="E198" i="1"/>
  <c r="JV197" i="1"/>
  <c r="JU197" i="1"/>
  <c r="JQ197" i="1"/>
  <c r="JP197" i="1"/>
  <c r="JS197" i="1"/>
  <c r="IX197" i="1"/>
  <c r="IR197" i="1"/>
  <c r="IK197" i="1"/>
  <c r="E197" i="1"/>
  <c r="JV196" i="1"/>
  <c r="JU196" i="1"/>
  <c r="JQ196" i="1"/>
  <c r="JT196" i="1"/>
  <c r="JP196" i="1"/>
  <c r="JS196" i="1"/>
  <c r="IX196" i="1"/>
  <c r="IR196" i="1"/>
  <c r="IK196" i="1"/>
  <c r="E196" i="1"/>
  <c r="JV195" i="1"/>
  <c r="JU195" i="1"/>
  <c r="JQ195" i="1"/>
  <c r="JP195" i="1"/>
  <c r="JS195" i="1"/>
  <c r="IX195" i="1"/>
  <c r="IR195" i="1"/>
  <c r="IK195" i="1"/>
  <c r="E195" i="1"/>
  <c r="JV194" i="1"/>
  <c r="JU194" i="1"/>
  <c r="JQ194" i="1"/>
  <c r="JT194" i="1"/>
  <c r="JP194" i="1"/>
  <c r="JS194" i="1"/>
  <c r="IX194" i="1"/>
  <c r="IR194" i="1"/>
  <c r="IK194" i="1"/>
  <c r="E194" i="1"/>
  <c r="JV193" i="1"/>
  <c r="JU193" i="1"/>
  <c r="JQ193" i="1"/>
  <c r="JT193" i="1"/>
  <c r="JP193" i="1"/>
  <c r="JS193" i="1"/>
  <c r="IX193" i="1"/>
  <c r="IR193" i="1"/>
  <c r="IK193" i="1"/>
  <c r="E193" i="1"/>
  <c r="JV192" i="1"/>
  <c r="JU192" i="1"/>
  <c r="JQ192" i="1"/>
  <c r="JT192" i="1"/>
  <c r="JP192" i="1"/>
  <c r="JS192" i="1"/>
  <c r="IX192" i="1"/>
  <c r="IR192" i="1"/>
  <c r="IK192" i="1"/>
  <c r="E192" i="1"/>
  <c r="JV191" i="1"/>
  <c r="JU191" i="1"/>
  <c r="JQ191" i="1"/>
  <c r="JT191" i="1"/>
  <c r="JP191" i="1"/>
  <c r="JS191" i="1"/>
  <c r="IX191" i="1"/>
  <c r="IR191" i="1"/>
  <c r="IK191" i="1"/>
  <c r="E191" i="1"/>
  <c r="JV190" i="1"/>
  <c r="JU190" i="1"/>
  <c r="JQ190" i="1"/>
  <c r="JT190" i="1"/>
  <c r="JP190" i="1"/>
  <c r="JS190" i="1"/>
  <c r="IX190" i="1"/>
  <c r="IR190" i="1"/>
  <c r="IK190" i="1"/>
  <c r="E190" i="1"/>
  <c r="JV189" i="1"/>
  <c r="JU189" i="1"/>
  <c r="JQ189" i="1"/>
  <c r="JT189" i="1"/>
  <c r="JP189" i="1"/>
  <c r="JS189" i="1"/>
  <c r="IX189" i="1"/>
  <c r="IR189" i="1"/>
  <c r="IK189" i="1"/>
  <c r="E189" i="1"/>
  <c r="JV188" i="1"/>
  <c r="JU188" i="1"/>
  <c r="JQ188" i="1"/>
  <c r="JT188" i="1"/>
  <c r="JP188" i="1"/>
  <c r="JS188" i="1"/>
  <c r="IX188" i="1"/>
  <c r="IR188" i="1"/>
  <c r="IK188" i="1"/>
  <c r="E188" i="1"/>
  <c r="JV187" i="1"/>
  <c r="JU187" i="1"/>
  <c r="JQ187" i="1"/>
  <c r="JT187" i="1"/>
  <c r="JP187" i="1"/>
  <c r="JS187" i="1"/>
  <c r="IX187" i="1"/>
  <c r="IR187" i="1"/>
  <c r="IK187" i="1"/>
  <c r="E187" i="1"/>
  <c r="JV186" i="1"/>
  <c r="JU186" i="1"/>
  <c r="JQ186" i="1"/>
  <c r="JT186" i="1"/>
  <c r="JP186" i="1"/>
  <c r="JS186" i="1"/>
  <c r="IX186" i="1"/>
  <c r="IR186" i="1"/>
  <c r="IK186" i="1"/>
  <c r="E186" i="1"/>
  <c r="JV185" i="1"/>
  <c r="JU185" i="1"/>
  <c r="JQ185" i="1"/>
  <c r="JT185" i="1"/>
  <c r="JP185" i="1"/>
  <c r="JS185" i="1"/>
  <c r="IX185" i="1"/>
  <c r="IR185" i="1"/>
  <c r="IK185" i="1"/>
  <c r="E185" i="1"/>
  <c r="JV184" i="1"/>
  <c r="JU184" i="1"/>
  <c r="JQ184" i="1"/>
  <c r="JP184" i="1"/>
  <c r="JS184" i="1"/>
  <c r="IX184" i="1"/>
  <c r="IR184" i="1"/>
  <c r="IK184" i="1"/>
  <c r="E184" i="1"/>
  <c r="JV183" i="1"/>
  <c r="JU183" i="1"/>
  <c r="JQ183" i="1"/>
  <c r="JT183" i="1"/>
  <c r="JP183" i="1"/>
  <c r="JS183" i="1"/>
  <c r="IX183" i="1"/>
  <c r="IR183" i="1"/>
  <c r="IK183" i="1"/>
  <c r="E183" i="1"/>
  <c r="JV182" i="1"/>
  <c r="JU182" i="1"/>
  <c r="JQ182" i="1"/>
  <c r="JP182" i="1"/>
  <c r="JS182" i="1"/>
  <c r="IX182" i="1"/>
  <c r="IR182" i="1"/>
  <c r="IK182" i="1"/>
  <c r="E182" i="1"/>
  <c r="JV181" i="1"/>
  <c r="JU181" i="1"/>
  <c r="JQ181" i="1"/>
  <c r="JT181" i="1"/>
  <c r="JP181" i="1"/>
  <c r="JS181" i="1"/>
  <c r="IX181" i="1"/>
  <c r="IR181" i="1"/>
  <c r="IK181" i="1"/>
  <c r="E181" i="1"/>
  <c r="JV180" i="1"/>
  <c r="JU180" i="1"/>
  <c r="JQ180" i="1"/>
  <c r="JT180" i="1"/>
  <c r="JP180" i="1"/>
  <c r="JS180" i="1"/>
  <c r="IX180" i="1"/>
  <c r="IR180" i="1"/>
  <c r="IK180" i="1"/>
  <c r="E180" i="1"/>
  <c r="JV179" i="1"/>
  <c r="JU179" i="1"/>
  <c r="JQ179" i="1"/>
  <c r="JT179" i="1"/>
  <c r="JP179" i="1"/>
  <c r="JS179" i="1"/>
  <c r="IX179" i="1"/>
  <c r="IR179" i="1"/>
  <c r="IK179" i="1"/>
  <c r="E179" i="1"/>
  <c r="JV178" i="1"/>
  <c r="JU178" i="1"/>
  <c r="JQ178" i="1"/>
  <c r="JT178" i="1"/>
  <c r="JP178" i="1"/>
  <c r="JS178" i="1"/>
  <c r="IX178" i="1"/>
  <c r="IR178" i="1"/>
  <c r="IK178" i="1"/>
  <c r="E178" i="1"/>
  <c r="JV177" i="1"/>
  <c r="JU177" i="1"/>
  <c r="JQ177" i="1"/>
  <c r="JT177" i="1"/>
  <c r="JP177" i="1"/>
  <c r="JS177" i="1"/>
  <c r="IX177" i="1"/>
  <c r="IR177" i="1"/>
  <c r="IK177" i="1"/>
  <c r="E177" i="1"/>
  <c r="JV176" i="1"/>
  <c r="JU176" i="1"/>
  <c r="JT176" i="1"/>
  <c r="JQ176" i="1"/>
  <c r="JP176" i="1"/>
  <c r="JS176" i="1"/>
  <c r="IX176" i="1"/>
  <c r="IR176" i="1"/>
  <c r="IK176" i="1"/>
  <c r="E176" i="1"/>
  <c r="JV175" i="1"/>
  <c r="JU175" i="1"/>
  <c r="JT175" i="1"/>
  <c r="JQ175" i="1"/>
  <c r="JP175" i="1"/>
  <c r="JS175" i="1"/>
  <c r="IX175" i="1"/>
  <c r="IR175" i="1"/>
  <c r="IK175" i="1"/>
  <c r="E175" i="1"/>
  <c r="JV174" i="1"/>
  <c r="JU174" i="1"/>
  <c r="JT174" i="1"/>
  <c r="JQ174" i="1"/>
  <c r="JP174" i="1"/>
  <c r="JS174" i="1"/>
  <c r="IX174" i="1"/>
  <c r="IR174" i="1"/>
  <c r="IK174" i="1"/>
  <c r="E174" i="1"/>
  <c r="JV173" i="1"/>
  <c r="JU173" i="1"/>
  <c r="JQ173" i="1"/>
  <c r="JT173" i="1"/>
  <c r="JP173" i="1"/>
  <c r="JS173" i="1"/>
  <c r="IX173" i="1"/>
  <c r="IR173" i="1"/>
  <c r="IK173" i="1"/>
  <c r="E173" i="1"/>
  <c r="JV172" i="1"/>
  <c r="JU172" i="1"/>
  <c r="JQ172" i="1"/>
  <c r="JT172" i="1"/>
  <c r="JP172" i="1"/>
  <c r="JS172" i="1"/>
  <c r="IX172" i="1"/>
  <c r="IR172" i="1"/>
  <c r="IK172" i="1"/>
  <c r="E172" i="1"/>
  <c r="JV171" i="1"/>
  <c r="JU171" i="1"/>
  <c r="JQ171" i="1"/>
  <c r="JT171" i="1"/>
  <c r="JP171" i="1"/>
  <c r="JS171" i="1"/>
  <c r="IX171" i="1"/>
  <c r="IR171" i="1"/>
  <c r="IK171" i="1"/>
  <c r="E171" i="1"/>
  <c r="JV170" i="1"/>
  <c r="JU170" i="1"/>
  <c r="JQ170" i="1"/>
  <c r="JT170" i="1"/>
  <c r="JP170" i="1"/>
  <c r="JS170" i="1"/>
  <c r="IX170" i="1"/>
  <c r="IR170" i="1"/>
  <c r="IK170" i="1"/>
  <c r="E170" i="1"/>
  <c r="JV169" i="1"/>
  <c r="JU169" i="1"/>
  <c r="JQ169" i="1"/>
  <c r="JT169" i="1"/>
  <c r="JP169" i="1"/>
  <c r="JS169" i="1"/>
  <c r="IX169" i="1"/>
  <c r="IR169" i="1"/>
  <c r="IK169" i="1"/>
  <c r="E169" i="1"/>
  <c r="JV168" i="1"/>
  <c r="JU168" i="1"/>
  <c r="JQ168" i="1"/>
  <c r="JP168" i="1"/>
  <c r="JS168" i="1"/>
  <c r="IX168" i="1"/>
  <c r="IR168" i="1"/>
  <c r="IK168" i="1"/>
  <c r="E168" i="1"/>
  <c r="JV167" i="1"/>
  <c r="JU167" i="1"/>
  <c r="JQ167" i="1"/>
  <c r="JT167" i="1"/>
  <c r="JP167" i="1"/>
  <c r="JS167" i="1"/>
  <c r="IX167" i="1"/>
  <c r="IR167" i="1"/>
  <c r="IK167" i="1"/>
  <c r="E167" i="1"/>
  <c r="JV161" i="1"/>
  <c r="JU161" i="1"/>
  <c r="JQ161" i="1"/>
  <c r="JP161" i="1"/>
  <c r="JS161" i="1"/>
  <c r="IX161" i="1"/>
  <c r="IR161" i="1"/>
  <c r="IK161" i="1"/>
  <c r="E161" i="1"/>
  <c r="JV160" i="1"/>
  <c r="JU160" i="1"/>
  <c r="JQ160" i="1"/>
  <c r="JP160" i="1"/>
  <c r="JS160" i="1"/>
  <c r="IX160" i="1"/>
  <c r="IR160" i="1"/>
  <c r="IK160" i="1"/>
  <c r="E160" i="1"/>
  <c r="JV159" i="1"/>
  <c r="JU159" i="1"/>
  <c r="JQ159" i="1"/>
  <c r="JT159" i="1"/>
  <c r="JP159" i="1"/>
  <c r="JS159" i="1"/>
  <c r="IX159" i="1"/>
  <c r="IR159" i="1"/>
  <c r="IK159" i="1"/>
  <c r="E159" i="1"/>
  <c r="JV158" i="1"/>
  <c r="JU158" i="1"/>
  <c r="JQ158" i="1"/>
  <c r="JP158" i="1"/>
  <c r="JS158" i="1"/>
  <c r="IX158" i="1"/>
  <c r="IR158" i="1"/>
  <c r="IK158" i="1"/>
  <c r="E158" i="1"/>
  <c r="JV157" i="1"/>
  <c r="JU157" i="1"/>
  <c r="JQ157" i="1"/>
  <c r="JT157" i="1"/>
  <c r="JP157" i="1"/>
  <c r="JS157" i="1"/>
  <c r="IX157" i="1"/>
  <c r="IR157" i="1"/>
  <c r="IK157" i="1"/>
  <c r="E157" i="1"/>
  <c r="JV156" i="1"/>
  <c r="JU156" i="1"/>
  <c r="JQ156" i="1"/>
  <c r="JP156" i="1"/>
  <c r="JS156" i="1"/>
  <c r="IX156" i="1"/>
  <c r="IR156" i="1"/>
  <c r="IK156" i="1"/>
  <c r="E156" i="1"/>
  <c r="JV155" i="1"/>
  <c r="JU155" i="1"/>
  <c r="JQ155" i="1"/>
  <c r="JT155" i="1"/>
  <c r="JP155" i="1"/>
  <c r="JS155" i="1"/>
  <c r="IX155" i="1"/>
  <c r="IR155" i="1"/>
  <c r="IK155" i="1"/>
  <c r="E155" i="1"/>
  <c r="JV154" i="1"/>
  <c r="JU154" i="1"/>
  <c r="JQ154" i="1"/>
  <c r="JR154" i="1"/>
  <c r="JP154" i="1"/>
  <c r="JS154" i="1"/>
  <c r="IX154" i="1"/>
  <c r="IR154" i="1"/>
  <c r="IK154" i="1"/>
  <c r="E154" i="1"/>
  <c r="JV153" i="1"/>
  <c r="JU153" i="1"/>
  <c r="JQ153" i="1"/>
  <c r="JT153" i="1"/>
  <c r="JP153" i="1"/>
  <c r="JS153" i="1"/>
  <c r="IX153" i="1"/>
  <c r="IR153" i="1"/>
  <c r="IK153" i="1"/>
  <c r="E153" i="1"/>
  <c r="JV152" i="1"/>
  <c r="JU152" i="1"/>
  <c r="JQ152" i="1"/>
  <c r="JP152" i="1"/>
  <c r="JS152" i="1"/>
  <c r="IX152" i="1"/>
  <c r="IR152" i="1"/>
  <c r="IK152" i="1"/>
  <c r="E152" i="1"/>
  <c r="JV151" i="1"/>
  <c r="JU151" i="1"/>
  <c r="JQ151" i="1"/>
  <c r="JT151" i="1"/>
  <c r="JP151" i="1"/>
  <c r="JS151" i="1"/>
  <c r="IX151" i="1"/>
  <c r="IR151" i="1"/>
  <c r="IK151" i="1"/>
  <c r="E151" i="1"/>
  <c r="JV150" i="1"/>
  <c r="JU150" i="1"/>
  <c r="JQ150" i="1"/>
  <c r="JR150" i="1"/>
  <c r="JP150" i="1"/>
  <c r="JS150" i="1"/>
  <c r="IX150" i="1"/>
  <c r="IR150" i="1"/>
  <c r="IK150" i="1"/>
  <c r="E150" i="1"/>
  <c r="JV149" i="1"/>
  <c r="JU149" i="1"/>
  <c r="JQ149" i="1"/>
  <c r="JT149" i="1"/>
  <c r="JP149" i="1"/>
  <c r="JS149" i="1"/>
  <c r="IX149" i="1"/>
  <c r="IR149" i="1"/>
  <c r="IK149" i="1"/>
  <c r="E149" i="1"/>
  <c r="JV148" i="1"/>
  <c r="JU148" i="1"/>
  <c r="JQ148" i="1"/>
  <c r="JP148" i="1"/>
  <c r="JS148" i="1"/>
  <c r="IX148" i="1"/>
  <c r="IR148" i="1"/>
  <c r="IK148" i="1"/>
  <c r="E148" i="1"/>
  <c r="JV147" i="1"/>
  <c r="JU147" i="1"/>
  <c r="JQ147" i="1"/>
  <c r="JT147" i="1"/>
  <c r="JP147" i="1"/>
  <c r="JS147" i="1"/>
  <c r="IX147" i="1"/>
  <c r="IR147" i="1"/>
  <c r="IK147" i="1"/>
  <c r="E147" i="1"/>
  <c r="JV146" i="1"/>
  <c r="JU146" i="1"/>
  <c r="JQ146" i="1"/>
  <c r="JR146" i="1"/>
  <c r="JP146" i="1"/>
  <c r="JS146" i="1"/>
  <c r="IX146" i="1"/>
  <c r="IR146" i="1"/>
  <c r="IK146" i="1"/>
  <c r="E146" i="1"/>
  <c r="JV145" i="1"/>
  <c r="JU145" i="1"/>
  <c r="JQ145" i="1"/>
  <c r="JT145" i="1"/>
  <c r="JP145" i="1"/>
  <c r="JS145" i="1"/>
  <c r="IX145" i="1"/>
  <c r="IR145" i="1"/>
  <c r="IK145" i="1"/>
  <c r="E145" i="1"/>
  <c r="JV144" i="1"/>
  <c r="JU144" i="1"/>
  <c r="JQ144" i="1"/>
  <c r="JP144" i="1"/>
  <c r="JS144" i="1"/>
  <c r="IX144" i="1"/>
  <c r="IR144" i="1"/>
  <c r="IK144" i="1"/>
  <c r="E144" i="1"/>
  <c r="JV143" i="1"/>
  <c r="JU143" i="1"/>
  <c r="JQ143" i="1"/>
  <c r="JT143" i="1"/>
  <c r="JP143" i="1"/>
  <c r="JS143" i="1"/>
  <c r="IX143" i="1"/>
  <c r="IR143" i="1"/>
  <c r="IK143" i="1"/>
  <c r="E143" i="1"/>
  <c r="JV166" i="1"/>
  <c r="JU166" i="1"/>
  <c r="JQ166" i="1"/>
  <c r="JP166" i="1"/>
  <c r="JS166" i="1"/>
  <c r="IX166" i="1"/>
  <c r="IR166" i="1"/>
  <c r="IK166" i="1"/>
  <c r="E166" i="1"/>
  <c r="JV165" i="1"/>
  <c r="JU165" i="1"/>
  <c r="JQ165" i="1"/>
  <c r="JT165" i="1"/>
  <c r="JP165" i="1"/>
  <c r="JS165" i="1"/>
  <c r="IX165" i="1"/>
  <c r="IR165" i="1"/>
  <c r="IK165" i="1"/>
  <c r="E165" i="1"/>
  <c r="JV164" i="1"/>
  <c r="JU164" i="1"/>
  <c r="JQ164" i="1"/>
  <c r="JP164" i="1"/>
  <c r="JS164" i="1"/>
  <c r="IX164" i="1"/>
  <c r="IR164" i="1"/>
  <c r="IK164" i="1"/>
  <c r="E164" i="1"/>
  <c r="JV163" i="1"/>
  <c r="JU163" i="1"/>
  <c r="JQ163" i="1"/>
  <c r="JT163" i="1"/>
  <c r="JP163" i="1"/>
  <c r="JS163" i="1"/>
  <c r="IX163" i="1"/>
  <c r="IR163" i="1"/>
  <c r="IK163" i="1"/>
  <c r="E163" i="1"/>
  <c r="JV162" i="1"/>
  <c r="JU162" i="1"/>
  <c r="JQ162" i="1"/>
  <c r="JP162" i="1"/>
  <c r="JS162" i="1"/>
  <c r="IX162" i="1"/>
  <c r="IR162" i="1"/>
  <c r="IK162" i="1"/>
  <c r="E162" i="1"/>
  <c r="JV142" i="1"/>
  <c r="JU142" i="1"/>
  <c r="JQ142" i="1"/>
  <c r="JT142" i="1"/>
  <c r="JP142" i="1"/>
  <c r="JS142" i="1"/>
  <c r="IX142" i="1"/>
  <c r="IR142" i="1"/>
  <c r="IK142" i="1"/>
  <c r="E142" i="1"/>
  <c r="JV141" i="1"/>
  <c r="JU141" i="1"/>
  <c r="JQ141" i="1"/>
  <c r="JP141" i="1"/>
  <c r="JS141" i="1"/>
  <c r="IX141" i="1"/>
  <c r="IR141" i="1"/>
  <c r="IK141" i="1"/>
  <c r="E141" i="1"/>
  <c r="JV140" i="1"/>
  <c r="JU140" i="1"/>
  <c r="JQ140" i="1"/>
  <c r="JT140" i="1"/>
  <c r="JP140" i="1"/>
  <c r="JS140" i="1"/>
  <c r="IX140" i="1"/>
  <c r="IR140" i="1"/>
  <c r="IK140" i="1"/>
  <c r="E140" i="1"/>
  <c r="JV139" i="1"/>
  <c r="JU139" i="1"/>
  <c r="JQ139" i="1"/>
  <c r="JR139" i="1"/>
  <c r="JP139" i="1"/>
  <c r="JS139" i="1"/>
  <c r="IX139" i="1"/>
  <c r="IR139" i="1"/>
  <c r="IK139" i="1"/>
  <c r="E139" i="1"/>
  <c r="JV138" i="1"/>
  <c r="JU138" i="1"/>
  <c r="JQ138" i="1"/>
  <c r="JT138" i="1"/>
  <c r="JP138" i="1"/>
  <c r="JS138" i="1"/>
  <c r="IX138" i="1"/>
  <c r="IR138" i="1"/>
  <c r="IK138" i="1"/>
  <c r="E138" i="1"/>
  <c r="JV137" i="1"/>
  <c r="JU137" i="1"/>
  <c r="JT137" i="1"/>
  <c r="JQ137" i="1"/>
  <c r="JP137" i="1"/>
  <c r="JS137" i="1"/>
  <c r="IX137" i="1"/>
  <c r="IR137" i="1"/>
  <c r="IK137" i="1"/>
  <c r="E137" i="1"/>
  <c r="JV136" i="1"/>
  <c r="JU136" i="1"/>
  <c r="JQ136" i="1"/>
  <c r="JT136" i="1"/>
  <c r="JP136" i="1"/>
  <c r="JS136" i="1"/>
  <c r="IX136" i="1"/>
  <c r="IR136" i="1"/>
  <c r="IK136" i="1"/>
  <c r="E136" i="1"/>
  <c r="JV135" i="1"/>
  <c r="JU135" i="1"/>
  <c r="JQ135" i="1"/>
  <c r="JT135" i="1"/>
  <c r="JP135" i="1"/>
  <c r="JS135" i="1"/>
  <c r="IX135" i="1"/>
  <c r="IR135" i="1"/>
  <c r="IK135" i="1"/>
  <c r="E135" i="1"/>
  <c r="JV134" i="1"/>
  <c r="JU134" i="1"/>
  <c r="JQ134" i="1"/>
  <c r="JT134" i="1"/>
  <c r="JP134" i="1"/>
  <c r="JS134" i="1"/>
  <c r="IX134" i="1"/>
  <c r="IR134" i="1"/>
  <c r="IK134" i="1"/>
  <c r="E134" i="1"/>
  <c r="JV133" i="1"/>
  <c r="JU133" i="1"/>
  <c r="JQ133" i="1"/>
  <c r="JT133" i="1"/>
  <c r="JP133" i="1"/>
  <c r="JS133" i="1"/>
  <c r="IX133" i="1"/>
  <c r="IR133" i="1"/>
  <c r="IK133" i="1"/>
  <c r="E133" i="1"/>
  <c r="JV132" i="1"/>
  <c r="JU132" i="1"/>
  <c r="JQ132" i="1"/>
  <c r="JT132" i="1"/>
  <c r="JP132" i="1"/>
  <c r="JS132" i="1"/>
  <c r="IX132" i="1"/>
  <c r="IR132" i="1"/>
  <c r="IK132" i="1"/>
  <c r="E132" i="1"/>
  <c r="JV131" i="1"/>
  <c r="JU131" i="1"/>
  <c r="JQ131" i="1"/>
  <c r="JT131" i="1"/>
  <c r="JP131" i="1"/>
  <c r="JS131" i="1"/>
  <c r="IX131" i="1"/>
  <c r="IR131" i="1"/>
  <c r="IK131" i="1"/>
  <c r="E131" i="1"/>
  <c r="JV130" i="1"/>
  <c r="JU130" i="1"/>
  <c r="JQ130" i="1"/>
  <c r="JT130" i="1"/>
  <c r="JP130" i="1"/>
  <c r="JS130" i="1"/>
  <c r="IX130" i="1"/>
  <c r="IR130" i="1"/>
  <c r="IK130" i="1"/>
  <c r="E130" i="1"/>
  <c r="JV129" i="1"/>
  <c r="JU129" i="1"/>
  <c r="JQ129" i="1"/>
  <c r="JT129" i="1"/>
  <c r="JP129" i="1"/>
  <c r="JS129" i="1"/>
  <c r="IX129" i="1"/>
  <c r="IR129" i="1"/>
  <c r="IK129" i="1"/>
  <c r="E129" i="1"/>
  <c r="JV128" i="1"/>
  <c r="JU128" i="1"/>
  <c r="JQ128" i="1"/>
  <c r="JT128" i="1"/>
  <c r="JP128" i="1"/>
  <c r="JS128" i="1"/>
  <c r="IX128" i="1"/>
  <c r="IR128" i="1"/>
  <c r="IK128" i="1"/>
  <c r="E128" i="1"/>
  <c r="JV127" i="1"/>
  <c r="JU127" i="1"/>
  <c r="JQ127" i="1"/>
  <c r="JT127" i="1"/>
  <c r="JP127" i="1"/>
  <c r="JS127" i="1"/>
  <c r="IX127" i="1"/>
  <c r="IR127" i="1"/>
  <c r="IK127" i="1"/>
  <c r="E127" i="1"/>
  <c r="JV126" i="1"/>
  <c r="JU126" i="1"/>
  <c r="JQ126" i="1"/>
  <c r="JT126" i="1"/>
  <c r="JP126" i="1"/>
  <c r="JS126" i="1"/>
  <c r="IX126" i="1"/>
  <c r="IR126" i="1"/>
  <c r="IK126" i="1"/>
  <c r="E126" i="1"/>
  <c r="JV125" i="1"/>
  <c r="JU125" i="1"/>
  <c r="JQ125" i="1"/>
  <c r="JT125" i="1"/>
  <c r="JP125" i="1"/>
  <c r="JS125" i="1"/>
  <c r="IX125" i="1"/>
  <c r="IR125" i="1"/>
  <c r="IK125" i="1"/>
  <c r="E125" i="1"/>
  <c r="JV124" i="1"/>
  <c r="JU124" i="1"/>
  <c r="JQ124" i="1"/>
  <c r="JT124" i="1"/>
  <c r="JP124" i="1"/>
  <c r="JS124" i="1"/>
  <c r="IX124" i="1"/>
  <c r="IR124" i="1"/>
  <c r="IK124" i="1"/>
  <c r="E124" i="1"/>
  <c r="JV123" i="1"/>
  <c r="JU123" i="1"/>
  <c r="JQ123" i="1"/>
  <c r="JT123" i="1"/>
  <c r="JP123" i="1"/>
  <c r="JS123" i="1"/>
  <c r="IX123" i="1"/>
  <c r="IR123" i="1"/>
  <c r="IK123" i="1"/>
  <c r="E123" i="1"/>
  <c r="JV122" i="1"/>
  <c r="JU122" i="1"/>
  <c r="JQ122" i="1"/>
  <c r="JP122" i="1"/>
  <c r="JS122" i="1"/>
  <c r="IX122" i="1"/>
  <c r="IR122" i="1"/>
  <c r="IK122" i="1"/>
  <c r="E122" i="1"/>
  <c r="JV121" i="1"/>
  <c r="JU121" i="1"/>
  <c r="JQ121" i="1"/>
  <c r="JT121" i="1"/>
  <c r="JP121" i="1"/>
  <c r="JS121" i="1"/>
  <c r="IX121" i="1"/>
  <c r="IR121" i="1"/>
  <c r="IK121" i="1"/>
  <c r="E121" i="1"/>
  <c r="JV120" i="1"/>
  <c r="JU120" i="1"/>
  <c r="JQ120" i="1"/>
  <c r="JT120" i="1"/>
  <c r="JP120" i="1"/>
  <c r="JS120" i="1"/>
  <c r="IX120" i="1"/>
  <c r="IR120" i="1"/>
  <c r="IK120" i="1"/>
  <c r="E120" i="1"/>
  <c r="JV119" i="1"/>
  <c r="JU119" i="1"/>
  <c r="JQ119" i="1"/>
  <c r="JT119" i="1"/>
  <c r="JP119" i="1"/>
  <c r="JS119" i="1"/>
  <c r="IX119" i="1"/>
  <c r="IR119" i="1"/>
  <c r="IK119" i="1"/>
  <c r="E119" i="1"/>
  <c r="JV118" i="1"/>
  <c r="JU118" i="1"/>
  <c r="JQ118" i="1"/>
  <c r="JT118" i="1"/>
  <c r="JP118" i="1"/>
  <c r="JS118" i="1"/>
  <c r="IX118" i="1"/>
  <c r="IR118" i="1"/>
  <c r="IK118" i="1"/>
  <c r="E118" i="1"/>
  <c r="JV117" i="1"/>
  <c r="JU117" i="1"/>
  <c r="JQ117" i="1"/>
  <c r="JT117" i="1"/>
  <c r="JP117" i="1"/>
  <c r="JS117" i="1"/>
  <c r="IX117" i="1"/>
  <c r="IR117" i="1"/>
  <c r="IK117" i="1"/>
  <c r="E117" i="1"/>
  <c r="JV116" i="1"/>
  <c r="JU116" i="1"/>
  <c r="JQ116" i="1"/>
  <c r="JT116" i="1"/>
  <c r="JP116" i="1"/>
  <c r="JS116" i="1"/>
  <c r="IX116" i="1"/>
  <c r="IR116" i="1"/>
  <c r="IK116" i="1"/>
  <c r="E116" i="1"/>
  <c r="JV115" i="1"/>
  <c r="JU115" i="1"/>
  <c r="JQ115" i="1"/>
  <c r="JT115" i="1"/>
  <c r="JP115" i="1"/>
  <c r="JS115" i="1"/>
  <c r="IX115" i="1"/>
  <c r="IR115" i="1"/>
  <c r="IK115" i="1"/>
  <c r="E115" i="1"/>
  <c r="JV114" i="1"/>
  <c r="JU114" i="1"/>
  <c r="JQ114" i="1"/>
  <c r="JT114" i="1"/>
  <c r="JP114" i="1"/>
  <c r="JS114" i="1"/>
  <c r="IX114" i="1"/>
  <c r="IR114" i="1"/>
  <c r="IK114" i="1"/>
  <c r="E114" i="1"/>
  <c r="JV113" i="1"/>
  <c r="JU113" i="1"/>
  <c r="JQ113" i="1"/>
  <c r="JT113" i="1"/>
  <c r="JP113" i="1"/>
  <c r="JS113" i="1"/>
  <c r="IX113" i="1"/>
  <c r="IR113" i="1"/>
  <c r="IK113" i="1"/>
  <c r="E113" i="1"/>
  <c r="JV112" i="1"/>
  <c r="JU112" i="1"/>
  <c r="JQ112" i="1"/>
  <c r="JT112" i="1"/>
  <c r="JP112" i="1"/>
  <c r="JS112" i="1"/>
  <c r="IX112" i="1"/>
  <c r="IR112" i="1"/>
  <c r="IK112" i="1"/>
  <c r="E112" i="1"/>
  <c r="JV111" i="1"/>
  <c r="JU111" i="1"/>
  <c r="JQ111" i="1"/>
  <c r="JT111" i="1"/>
  <c r="JP111" i="1"/>
  <c r="JS111" i="1"/>
  <c r="IX111" i="1"/>
  <c r="IR111" i="1"/>
  <c r="IK111" i="1"/>
  <c r="E111" i="1"/>
  <c r="JV110" i="1"/>
  <c r="JU110" i="1"/>
  <c r="JQ110" i="1"/>
  <c r="JT110" i="1"/>
  <c r="JP110" i="1"/>
  <c r="JS110" i="1"/>
  <c r="IX110" i="1"/>
  <c r="IR110" i="1"/>
  <c r="IK110" i="1"/>
  <c r="E110" i="1"/>
  <c r="JV109" i="1"/>
  <c r="JU109" i="1"/>
  <c r="JQ109" i="1"/>
  <c r="JT109" i="1"/>
  <c r="JP109" i="1"/>
  <c r="JS109" i="1"/>
  <c r="IX109" i="1"/>
  <c r="IR109" i="1"/>
  <c r="IK109" i="1"/>
  <c r="E109" i="1"/>
  <c r="JV108" i="1"/>
  <c r="JU108" i="1"/>
  <c r="JQ108" i="1"/>
  <c r="JT108" i="1"/>
  <c r="JP108" i="1"/>
  <c r="JS108" i="1"/>
  <c r="IX108" i="1"/>
  <c r="IR108" i="1"/>
  <c r="IK108" i="1"/>
  <c r="E108" i="1"/>
  <c r="JV107" i="1"/>
  <c r="JU107" i="1"/>
  <c r="JQ107" i="1"/>
  <c r="JT107" i="1"/>
  <c r="JP107" i="1"/>
  <c r="JS107" i="1"/>
  <c r="IX107" i="1"/>
  <c r="IR107" i="1"/>
  <c r="IK107" i="1"/>
  <c r="E107" i="1"/>
  <c r="JV106" i="1"/>
  <c r="JU106" i="1"/>
  <c r="JQ106" i="1"/>
  <c r="JT106" i="1"/>
  <c r="JP106" i="1"/>
  <c r="JS106" i="1"/>
  <c r="IX106" i="1"/>
  <c r="IR106" i="1"/>
  <c r="IK106" i="1"/>
  <c r="E106" i="1"/>
  <c r="JV105" i="1"/>
  <c r="JU105" i="1"/>
  <c r="JQ105" i="1"/>
  <c r="JT105" i="1"/>
  <c r="JP105" i="1"/>
  <c r="JS105" i="1"/>
  <c r="IX105" i="1"/>
  <c r="IR105" i="1"/>
  <c r="IK105" i="1"/>
  <c r="E105" i="1"/>
  <c r="JV104" i="1"/>
  <c r="JU104" i="1"/>
  <c r="JT104" i="1"/>
  <c r="JQ104" i="1"/>
  <c r="JP104" i="1"/>
  <c r="JS104" i="1"/>
  <c r="IX104" i="1"/>
  <c r="IR104" i="1"/>
  <c r="IK104" i="1"/>
  <c r="E104" i="1"/>
  <c r="JV103" i="1"/>
  <c r="JU103" i="1"/>
  <c r="JQ103" i="1"/>
  <c r="JT103" i="1"/>
  <c r="JP103" i="1"/>
  <c r="JS103" i="1"/>
  <c r="IX103" i="1"/>
  <c r="IR103" i="1"/>
  <c r="IK103" i="1"/>
  <c r="E103" i="1"/>
  <c r="JV102" i="1"/>
  <c r="JU102" i="1"/>
  <c r="JQ102" i="1"/>
  <c r="JP102" i="1"/>
  <c r="JS102" i="1"/>
  <c r="IX102" i="1"/>
  <c r="IR102" i="1"/>
  <c r="IK102" i="1"/>
  <c r="E102" i="1"/>
  <c r="JV101" i="1"/>
  <c r="JU101" i="1"/>
  <c r="JQ101" i="1"/>
  <c r="JT101" i="1"/>
  <c r="JP101" i="1"/>
  <c r="JS101" i="1"/>
  <c r="IX101" i="1"/>
  <c r="IR101" i="1"/>
  <c r="IK101" i="1"/>
  <c r="E101" i="1"/>
  <c r="JV100" i="1"/>
  <c r="JU100" i="1"/>
  <c r="JQ100" i="1"/>
  <c r="JT100" i="1"/>
  <c r="JP100" i="1"/>
  <c r="JS100" i="1"/>
  <c r="IX100" i="1"/>
  <c r="IR100" i="1"/>
  <c r="IK100" i="1"/>
  <c r="E100" i="1"/>
  <c r="JV99" i="1"/>
  <c r="JU99" i="1"/>
  <c r="JQ99" i="1"/>
  <c r="JT99" i="1"/>
  <c r="JP99" i="1"/>
  <c r="JS99" i="1"/>
  <c r="IX99" i="1"/>
  <c r="IR99" i="1"/>
  <c r="IK99" i="1"/>
  <c r="E99" i="1"/>
  <c r="JV98" i="1"/>
  <c r="JU98" i="1"/>
  <c r="JQ98" i="1"/>
  <c r="JP98" i="1"/>
  <c r="JS98" i="1"/>
  <c r="IX98" i="1"/>
  <c r="IR98" i="1"/>
  <c r="IK98" i="1"/>
  <c r="E98" i="1"/>
  <c r="JV97" i="1"/>
  <c r="JU97" i="1"/>
  <c r="JQ97" i="1"/>
  <c r="JT97" i="1"/>
  <c r="JP97" i="1"/>
  <c r="JS97" i="1"/>
  <c r="IX97" i="1"/>
  <c r="IR97" i="1"/>
  <c r="IK97" i="1"/>
  <c r="E97" i="1"/>
  <c r="JV96" i="1"/>
  <c r="JU96" i="1"/>
  <c r="JQ96" i="1"/>
  <c r="JP96" i="1"/>
  <c r="JS96" i="1"/>
  <c r="IX96" i="1"/>
  <c r="IR96" i="1"/>
  <c r="IK96" i="1"/>
  <c r="E96" i="1"/>
  <c r="JV95" i="1"/>
  <c r="JU95" i="1"/>
  <c r="JS95" i="1"/>
  <c r="JQ95" i="1"/>
  <c r="JT95" i="1"/>
  <c r="JP95" i="1"/>
  <c r="IX95" i="1"/>
  <c r="IR95" i="1"/>
  <c r="IK95" i="1"/>
  <c r="E95" i="1"/>
  <c r="JV94" i="1"/>
  <c r="JU94" i="1"/>
  <c r="JQ94" i="1"/>
  <c r="JP94" i="1"/>
  <c r="JS94" i="1"/>
  <c r="IX94" i="1"/>
  <c r="IR94" i="1"/>
  <c r="IK94" i="1"/>
  <c r="E94" i="1"/>
  <c r="JV93" i="1"/>
  <c r="JU93" i="1"/>
  <c r="JQ93" i="1"/>
  <c r="JT93" i="1"/>
  <c r="JP93" i="1"/>
  <c r="JS93" i="1"/>
  <c r="IX93" i="1"/>
  <c r="IR93" i="1"/>
  <c r="IK93" i="1"/>
  <c r="E93" i="1"/>
  <c r="JV92" i="1"/>
  <c r="JU92" i="1"/>
  <c r="JQ92" i="1"/>
  <c r="JP92" i="1"/>
  <c r="JS92" i="1"/>
  <c r="IX92" i="1"/>
  <c r="IR92" i="1"/>
  <c r="IK92" i="1"/>
  <c r="E92" i="1"/>
  <c r="JV91" i="1"/>
  <c r="JU91" i="1"/>
  <c r="JQ91" i="1"/>
  <c r="JT91" i="1"/>
  <c r="JP91" i="1"/>
  <c r="JS91" i="1"/>
  <c r="IX91" i="1"/>
  <c r="IR91" i="1"/>
  <c r="IK91" i="1"/>
  <c r="E91" i="1"/>
  <c r="JV90" i="1"/>
  <c r="JU90" i="1"/>
  <c r="JQ90" i="1"/>
  <c r="JP90" i="1"/>
  <c r="JS90" i="1"/>
  <c r="IX90" i="1"/>
  <c r="IR90" i="1"/>
  <c r="IK90" i="1"/>
  <c r="E90" i="1"/>
  <c r="JV89" i="1"/>
  <c r="JU89" i="1"/>
  <c r="JQ89" i="1"/>
  <c r="JT89" i="1"/>
  <c r="JP89" i="1"/>
  <c r="JS89" i="1"/>
  <c r="IX89" i="1"/>
  <c r="IR89" i="1"/>
  <c r="IK89" i="1"/>
  <c r="E89" i="1"/>
  <c r="JV88" i="1"/>
  <c r="JU88" i="1"/>
  <c r="JQ88" i="1"/>
  <c r="JP88" i="1"/>
  <c r="JS88" i="1"/>
  <c r="IX88" i="1"/>
  <c r="IR88" i="1"/>
  <c r="IK88" i="1"/>
  <c r="E88" i="1"/>
  <c r="JV87" i="1"/>
  <c r="JU87" i="1"/>
  <c r="JQ87" i="1"/>
  <c r="JT87" i="1"/>
  <c r="JP87" i="1"/>
  <c r="JS87" i="1"/>
  <c r="IX87" i="1"/>
  <c r="IR87" i="1"/>
  <c r="IK87" i="1"/>
  <c r="E87" i="1"/>
  <c r="JV86" i="1"/>
  <c r="JU86" i="1"/>
  <c r="JQ86" i="1"/>
  <c r="JP86" i="1"/>
  <c r="JS86" i="1"/>
  <c r="IX86" i="1"/>
  <c r="IR86" i="1"/>
  <c r="IK86" i="1"/>
  <c r="E86" i="1"/>
  <c r="JV85" i="1"/>
  <c r="JU85" i="1"/>
  <c r="JQ85" i="1"/>
  <c r="JT85" i="1"/>
  <c r="JP85" i="1"/>
  <c r="JS85" i="1"/>
  <c r="IX85" i="1"/>
  <c r="IR85" i="1"/>
  <c r="IK85" i="1"/>
  <c r="E85" i="1"/>
  <c r="JV84" i="1"/>
  <c r="JU84" i="1"/>
  <c r="JQ84" i="1"/>
  <c r="JP84" i="1"/>
  <c r="JS84" i="1"/>
  <c r="IX84" i="1"/>
  <c r="IR84" i="1"/>
  <c r="IK84" i="1"/>
  <c r="E84" i="1"/>
  <c r="JV83" i="1"/>
  <c r="JU83" i="1"/>
  <c r="JQ83" i="1"/>
  <c r="JT83" i="1"/>
  <c r="JP83" i="1"/>
  <c r="JS83" i="1"/>
  <c r="IX83" i="1"/>
  <c r="IR83" i="1"/>
  <c r="IK83" i="1"/>
  <c r="E83" i="1"/>
  <c r="JV82" i="1"/>
  <c r="JU82" i="1"/>
  <c r="JQ82" i="1"/>
  <c r="JP82" i="1"/>
  <c r="JS82" i="1"/>
  <c r="IX82" i="1"/>
  <c r="IR82" i="1"/>
  <c r="IK82" i="1"/>
  <c r="E82" i="1"/>
  <c r="JV81" i="1"/>
  <c r="JU81" i="1"/>
  <c r="JQ81" i="1"/>
  <c r="JT81" i="1"/>
  <c r="JP81" i="1"/>
  <c r="JS81" i="1"/>
  <c r="IX81" i="1"/>
  <c r="IR81" i="1"/>
  <c r="IK81" i="1"/>
  <c r="E81" i="1"/>
  <c r="JV80" i="1"/>
  <c r="JU80" i="1"/>
  <c r="JQ80" i="1"/>
  <c r="JT80" i="1"/>
  <c r="JP80" i="1"/>
  <c r="JS80" i="1"/>
  <c r="IX80" i="1"/>
  <c r="IR80" i="1"/>
  <c r="IK80" i="1"/>
  <c r="E80" i="1"/>
  <c r="JV79" i="1"/>
  <c r="JU79" i="1"/>
  <c r="JQ79" i="1"/>
  <c r="JT79" i="1"/>
  <c r="JP79" i="1"/>
  <c r="JS79" i="1"/>
  <c r="IX79" i="1"/>
  <c r="IR79" i="1"/>
  <c r="IK79" i="1"/>
  <c r="E79" i="1"/>
  <c r="JV78" i="1"/>
  <c r="JU78" i="1"/>
  <c r="JQ78" i="1"/>
  <c r="JT78" i="1"/>
  <c r="JP78" i="1"/>
  <c r="JS78" i="1"/>
  <c r="IX78" i="1"/>
  <c r="IR78" i="1"/>
  <c r="IK78" i="1"/>
  <c r="E78" i="1"/>
  <c r="JV77" i="1"/>
  <c r="JU77" i="1"/>
  <c r="JQ77" i="1"/>
  <c r="JT77" i="1"/>
  <c r="JP77" i="1"/>
  <c r="JS77" i="1"/>
  <c r="IX77" i="1"/>
  <c r="IR77" i="1"/>
  <c r="IK77" i="1"/>
  <c r="E77" i="1"/>
  <c r="JV76" i="1"/>
  <c r="JU76" i="1"/>
  <c r="JQ76" i="1"/>
  <c r="JT76" i="1"/>
  <c r="JP76" i="1"/>
  <c r="JS76" i="1"/>
  <c r="IX76" i="1"/>
  <c r="IR76" i="1"/>
  <c r="IK76" i="1"/>
  <c r="E76" i="1"/>
  <c r="JV75" i="1"/>
  <c r="JU75" i="1"/>
  <c r="JQ75" i="1"/>
  <c r="JT75" i="1"/>
  <c r="JP75" i="1"/>
  <c r="JS75" i="1"/>
  <c r="IX75" i="1"/>
  <c r="IR75" i="1"/>
  <c r="IK75" i="1"/>
  <c r="E75" i="1"/>
  <c r="JV74" i="1"/>
  <c r="JU74" i="1"/>
  <c r="JQ74" i="1"/>
  <c r="JT74" i="1"/>
  <c r="JP74" i="1"/>
  <c r="JS74" i="1"/>
  <c r="IX74" i="1"/>
  <c r="IR74" i="1"/>
  <c r="IK74" i="1"/>
  <c r="E74" i="1"/>
  <c r="JV73" i="1"/>
  <c r="JU73" i="1"/>
  <c r="JQ73" i="1"/>
  <c r="JT73" i="1"/>
  <c r="JP73" i="1"/>
  <c r="JS73" i="1"/>
  <c r="IX73" i="1"/>
  <c r="IR73" i="1"/>
  <c r="IK73" i="1"/>
  <c r="E73" i="1"/>
  <c r="JV72" i="1"/>
  <c r="JU72" i="1"/>
  <c r="JS72" i="1"/>
  <c r="JQ72" i="1"/>
  <c r="JP72" i="1"/>
  <c r="IX72" i="1"/>
  <c r="IR72" i="1"/>
  <c r="IK72" i="1"/>
  <c r="E72" i="1"/>
  <c r="JV71" i="1"/>
  <c r="JU71" i="1"/>
  <c r="JQ71" i="1"/>
  <c r="JT71" i="1"/>
  <c r="JP71" i="1"/>
  <c r="JS71" i="1"/>
  <c r="IX71" i="1"/>
  <c r="IR71" i="1"/>
  <c r="IK71" i="1"/>
  <c r="E71" i="1"/>
  <c r="JV70" i="1"/>
  <c r="JU70" i="1"/>
  <c r="JQ70" i="1"/>
  <c r="JP70" i="1"/>
  <c r="JS70" i="1"/>
  <c r="IX70" i="1"/>
  <c r="IR70" i="1"/>
  <c r="IK70" i="1"/>
  <c r="E70" i="1"/>
  <c r="JV69" i="1"/>
  <c r="JU69" i="1"/>
  <c r="JQ69" i="1"/>
  <c r="JT69" i="1"/>
  <c r="JP69" i="1"/>
  <c r="JS69" i="1"/>
  <c r="IX69" i="1"/>
  <c r="IR69" i="1"/>
  <c r="IK69" i="1"/>
  <c r="E69" i="1"/>
  <c r="JV68" i="1"/>
  <c r="JU68" i="1"/>
  <c r="JQ68" i="1"/>
  <c r="JP68" i="1"/>
  <c r="JS68" i="1"/>
  <c r="IX68" i="1"/>
  <c r="IR68" i="1"/>
  <c r="IK68" i="1"/>
  <c r="E68" i="1"/>
  <c r="JV67" i="1"/>
  <c r="JU67" i="1"/>
  <c r="JQ67" i="1"/>
  <c r="JT67" i="1"/>
  <c r="JP67" i="1"/>
  <c r="JS67" i="1"/>
  <c r="IX67" i="1"/>
  <c r="IR67" i="1"/>
  <c r="IK67" i="1"/>
  <c r="E67" i="1"/>
  <c r="JV66" i="1"/>
  <c r="JU66" i="1"/>
  <c r="JQ66" i="1"/>
  <c r="JT66" i="1"/>
  <c r="JP66" i="1"/>
  <c r="JS66" i="1"/>
  <c r="IX66" i="1"/>
  <c r="IR66" i="1"/>
  <c r="IK66" i="1"/>
  <c r="E66" i="1"/>
  <c r="JV65" i="1"/>
  <c r="JU65" i="1"/>
  <c r="JQ65" i="1"/>
  <c r="JP65" i="1"/>
  <c r="JS65" i="1"/>
  <c r="IX65" i="1"/>
  <c r="IR65" i="1"/>
  <c r="IK65" i="1"/>
  <c r="E65" i="1"/>
  <c r="JV64" i="1"/>
  <c r="JU64" i="1"/>
  <c r="JQ64" i="1"/>
  <c r="JT64" i="1"/>
  <c r="JP64" i="1"/>
  <c r="JS64" i="1"/>
  <c r="IX64" i="1"/>
  <c r="IR64" i="1"/>
  <c r="IK64" i="1"/>
  <c r="E64" i="1"/>
  <c r="JV63" i="1"/>
  <c r="JU63" i="1"/>
  <c r="JQ63" i="1"/>
  <c r="JP63" i="1"/>
  <c r="JS63" i="1"/>
  <c r="IX63" i="1"/>
  <c r="IR63" i="1"/>
  <c r="IK63" i="1"/>
  <c r="E63" i="1"/>
  <c r="JV62" i="1"/>
  <c r="JU62" i="1"/>
  <c r="JQ62" i="1"/>
  <c r="JT62" i="1"/>
  <c r="JP62" i="1"/>
  <c r="JS62" i="1"/>
  <c r="IX62" i="1"/>
  <c r="IR62" i="1"/>
  <c r="IK62" i="1"/>
  <c r="E62" i="1"/>
  <c r="JV61" i="1"/>
  <c r="JU61" i="1"/>
  <c r="JQ61" i="1"/>
  <c r="JT61" i="1"/>
  <c r="JP61" i="1"/>
  <c r="JS61" i="1"/>
  <c r="IX61" i="1"/>
  <c r="IR61" i="1"/>
  <c r="IK61" i="1"/>
  <c r="E61" i="1"/>
  <c r="JV60" i="1"/>
  <c r="JU60" i="1"/>
  <c r="JQ60" i="1"/>
  <c r="JP60" i="1"/>
  <c r="JS60" i="1"/>
  <c r="IX60" i="1"/>
  <c r="IR60" i="1"/>
  <c r="IK60" i="1"/>
  <c r="E60" i="1"/>
  <c r="JV59" i="1"/>
  <c r="JU59" i="1"/>
  <c r="JQ59" i="1"/>
  <c r="JT59" i="1"/>
  <c r="JP59" i="1"/>
  <c r="JS59" i="1"/>
  <c r="IX59" i="1"/>
  <c r="IR59" i="1"/>
  <c r="IK59" i="1"/>
  <c r="E59" i="1"/>
  <c r="JV58" i="1"/>
  <c r="JU58" i="1"/>
  <c r="JQ58" i="1"/>
  <c r="JP58" i="1"/>
  <c r="JS58" i="1"/>
  <c r="IX58" i="1"/>
  <c r="IR58" i="1"/>
  <c r="IK58" i="1"/>
  <c r="E58" i="1"/>
  <c r="JV57" i="1"/>
  <c r="JU57" i="1"/>
  <c r="JQ57" i="1"/>
  <c r="JT57" i="1"/>
  <c r="JP57" i="1"/>
  <c r="JS57" i="1"/>
  <c r="IX57" i="1"/>
  <c r="IR57" i="1"/>
  <c r="IK57" i="1"/>
  <c r="E57" i="1"/>
  <c r="JV56" i="1"/>
  <c r="JU56" i="1"/>
  <c r="JQ56" i="1"/>
  <c r="JT56" i="1"/>
  <c r="JP56" i="1"/>
  <c r="JS56" i="1"/>
  <c r="IX56" i="1"/>
  <c r="IR56" i="1"/>
  <c r="IK56" i="1"/>
  <c r="E56" i="1"/>
  <c r="JV55" i="1"/>
  <c r="JU55" i="1"/>
  <c r="JQ55" i="1"/>
  <c r="JP55" i="1"/>
  <c r="JS55" i="1"/>
  <c r="IX55" i="1"/>
  <c r="IR55" i="1"/>
  <c r="IK55" i="1"/>
  <c r="E55" i="1"/>
  <c r="JV54" i="1"/>
  <c r="JU54" i="1"/>
  <c r="JQ54" i="1"/>
  <c r="JT54" i="1"/>
  <c r="JP54" i="1"/>
  <c r="JS54" i="1"/>
  <c r="IX54" i="1"/>
  <c r="IR54" i="1"/>
  <c r="IK54" i="1"/>
  <c r="E54" i="1"/>
  <c r="JV53" i="1"/>
  <c r="JU53" i="1"/>
  <c r="JQ53" i="1"/>
  <c r="JT53" i="1"/>
  <c r="JP53" i="1"/>
  <c r="JS53" i="1"/>
  <c r="IX53" i="1"/>
  <c r="IR53" i="1"/>
  <c r="IK53" i="1"/>
  <c r="E53" i="1"/>
  <c r="JV52" i="1"/>
  <c r="JU52" i="1"/>
  <c r="JQ52" i="1"/>
  <c r="JT52" i="1"/>
  <c r="JP52" i="1"/>
  <c r="JS52" i="1"/>
  <c r="IX52" i="1"/>
  <c r="IR52" i="1"/>
  <c r="IK52" i="1"/>
  <c r="E52" i="1"/>
  <c r="JV51" i="1"/>
  <c r="JU51" i="1"/>
  <c r="JQ51" i="1"/>
  <c r="JP51" i="1"/>
  <c r="JS51" i="1"/>
  <c r="IX51" i="1"/>
  <c r="IR51" i="1"/>
  <c r="IK51" i="1"/>
  <c r="E51" i="1"/>
  <c r="JV50" i="1"/>
  <c r="JU50" i="1"/>
  <c r="JQ50" i="1"/>
  <c r="JP50" i="1"/>
  <c r="JS50" i="1"/>
  <c r="IX50" i="1"/>
  <c r="IR50" i="1"/>
  <c r="IK50" i="1"/>
  <c r="E50" i="1"/>
  <c r="JV49" i="1"/>
  <c r="JU49" i="1"/>
  <c r="JQ49" i="1"/>
  <c r="JT49" i="1"/>
  <c r="JP49" i="1"/>
  <c r="JS49" i="1"/>
  <c r="IX49" i="1"/>
  <c r="IR49" i="1"/>
  <c r="IK49" i="1"/>
  <c r="E49" i="1"/>
  <c r="JV48" i="1"/>
  <c r="JU48" i="1"/>
  <c r="JS48" i="1"/>
  <c r="JQ48" i="1"/>
  <c r="JT48" i="1"/>
  <c r="JP48" i="1"/>
  <c r="IX48" i="1"/>
  <c r="IR48" i="1"/>
  <c r="IK48" i="1"/>
  <c r="E48" i="1"/>
  <c r="JV47" i="1"/>
  <c r="JU47" i="1"/>
  <c r="JQ47" i="1"/>
  <c r="JP47" i="1"/>
  <c r="JS47" i="1"/>
  <c r="IX47" i="1"/>
  <c r="IR47" i="1"/>
  <c r="IK47" i="1"/>
  <c r="E47" i="1"/>
  <c r="JV46" i="1"/>
  <c r="JU46" i="1"/>
  <c r="JT46" i="1"/>
  <c r="JQ46" i="1"/>
  <c r="JP46" i="1"/>
  <c r="JS46" i="1"/>
  <c r="IX46" i="1"/>
  <c r="IR46" i="1"/>
  <c r="IK46" i="1"/>
  <c r="E46" i="1"/>
  <c r="JV45" i="1"/>
  <c r="JU45" i="1"/>
  <c r="JQ45" i="1"/>
  <c r="JT45" i="1"/>
  <c r="JP45" i="1"/>
  <c r="JS45" i="1"/>
  <c r="IX45" i="1"/>
  <c r="IR45" i="1"/>
  <c r="IK45" i="1"/>
  <c r="E45" i="1"/>
  <c r="JV44" i="1"/>
  <c r="JU44" i="1"/>
  <c r="JQ44" i="1"/>
  <c r="JP44" i="1"/>
  <c r="JS44" i="1"/>
  <c r="IX44" i="1"/>
  <c r="IR44" i="1"/>
  <c r="IK44" i="1"/>
  <c r="E44" i="1"/>
  <c r="JV43" i="1"/>
  <c r="JU43" i="1"/>
  <c r="JQ43" i="1"/>
  <c r="JT43" i="1"/>
  <c r="JP43" i="1"/>
  <c r="JS43" i="1"/>
  <c r="IX43" i="1"/>
  <c r="IR43" i="1"/>
  <c r="IK43" i="1"/>
  <c r="E43" i="1"/>
  <c r="JV42" i="1"/>
  <c r="JU42" i="1"/>
  <c r="JQ42" i="1"/>
  <c r="JP42" i="1"/>
  <c r="JS42" i="1"/>
  <c r="IX42" i="1"/>
  <c r="IR42" i="1"/>
  <c r="IK42" i="1"/>
  <c r="E42" i="1"/>
  <c r="JV41" i="1"/>
  <c r="JU41" i="1"/>
  <c r="JQ41" i="1"/>
  <c r="JT41" i="1"/>
  <c r="JP41" i="1"/>
  <c r="JS41" i="1"/>
  <c r="IX41" i="1"/>
  <c r="IR41" i="1"/>
  <c r="IK41" i="1"/>
  <c r="E41" i="1"/>
  <c r="JV40" i="1"/>
  <c r="JU40" i="1"/>
  <c r="JQ40" i="1"/>
  <c r="JP40" i="1"/>
  <c r="JS40" i="1"/>
  <c r="IX40" i="1"/>
  <c r="IR40" i="1"/>
  <c r="IK40" i="1"/>
  <c r="E40" i="1"/>
  <c r="JV39" i="1"/>
  <c r="JU39" i="1"/>
  <c r="JQ39" i="1"/>
  <c r="JT39" i="1"/>
  <c r="JP39" i="1"/>
  <c r="JS39" i="1"/>
  <c r="IX39" i="1"/>
  <c r="IR39" i="1"/>
  <c r="IK39" i="1"/>
  <c r="E39" i="1"/>
  <c r="JV38" i="1"/>
  <c r="JU38" i="1"/>
  <c r="JQ38" i="1"/>
  <c r="JP38" i="1"/>
  <c r="JS38" i="1"/>
  <c r="IX38" i="1"/>
  <c r="IR38" i="1"/>
  <c r="IK38" i="1"/>
  <c r="E38" i="1"/>
  <c r="JV37" i="1"/>
  <c r="JU37" i="1"/>
  <c r="JQ37" i="1"/>
  <c r="JT37" i="1"/>
  <c r="JP37" i="1"/>
  <c r="JS37" i="1"/>
  <c r="IX37" i="1"/>
  <c r="IR37" i="1"/>
  <c r="IK37" i="1"/>
  <c r="E37" i="1"/>
  <c r="JV36" i="1"/>
  <c r="JU36" i="1"/>
  <c r="JQ36" i="1"/>
  <c r="JT36" i="1"/>
  <c r="JP36" i="1"/>
  <c r="JS36" i="1"/>
  <c r="IX36" i="1"/>
  <c r="IR36" i="1"/>
  <c r="IK36" i="1"/>
  <c r="E36" i="1"/>
  <c r="JV35" i="1"/>
  <c r="JU35" i="1"/>
  <c r="JQ35" i="1"/>
  <c r="JT35" i="1"/>
  <c r="JP35" i="1"/>
  <c r="JS35" i="1"/>
  <c r="IX35" i="1"/>
  <c r="IR35" i="1"/>
  <c r="IK35" i="1"/>
  <c r="E35" i="1"/>
  <c r="JV34" i="1"/>
  <c r="JU34" i="1"/>
  <c r="JQ34" i="1"/>
  <c r="JP34" i="1"/>
  <c r="JS34" i="1"/>
  <c r="IX34" i="1"/>
  <c r="IR34" i="1"/>
  <c r="IK34" i="1"/>
  <c r="E34" i="1"/>
  <c r="JV33" i="1"/>
  <c r="JU33" i="1"/>
  <c r="JQ33" i="1"/>
  <c r="JT33" i="1"/>
  <c r="JP33" i="1"/>
  <c r="JS33" i="1"/>
  <c r="IX33" i="1"/>
  <c r="IR33" i="1"/>
  <c r="IK33" i="1"/>
  <c r="E33" i="1"/>
  <c r="JV32" i="1"/>
  <c r="JU32" i="1"/>
  <c r="JQ32" i="1"/>
  <c r="JT32" i="1"/>
  <c r="JP32" i="1"/>
  <c r="JS32" i="1"/>
  <c r="IX32" i="1"/>
  <c r="IR32" i="1"/>
  <c r="IK32" i="1"/>
  <c r="E32" i="1"/>
  <c r="JV31" i="1"/>
  <c r="JU31" i="1"/>
  <c r="JQ31" i="1"/>
  <c r="JT31" i="1"/>
  <c r="JP31" i="1"/>
  <c r="JS31" i="1"/>
  <c r="IX31" i="1"/>
  <c r="IR31" i="1"/>
  <c r="IK31" i="1"/>
  <c r="E31" i="1"/>
  <c r="JV30" i="1"/>
  <c r="JU30" i="1"/>
  <c r="JQ30" i="1"/>
  <c r="JT30" i="1"/>
  <c r="JP30" i="1"/>
  <c r="JS30" i="1"/>
  <c r="IX30" i="1"/>
  <c r="IR30" i="1"/>
  <c r="IK30" i="1"/>
  <c r="E30" i="1"/>
  <c r="JV29" i="1"/>
  <c r="JU29" i="1"/>
  <c r="JQ29" i="1"/>
  <c r="JP29" i="1"/>
  <c r="JS29" i="1"/>
  <c r="IX29" i="1"/>
  <c r="IR29" i="1"/>
  <c r="IK29" i="1"/>
  <c r="E29" i="1"/>
  <c r="JV28" i="1"/>
  <c r="JU28" i="1"/>
  <c r="JQ28" i="1"/>
  <c r="JT28" i="1"/>
  <c r="JP28" i="1"/>
  <c r="JS28" i="1"/>
  <c r="IX28" i="1"/>
  <c r="IR28" i="1"/>
  <c r="IK28" i="1"/>
  <c r="E28" i="1"/>
  <c r="JV27" i="1"/>
  <c r="JU27" i="1"/>
  <c r="JQ27" i="1"/>
  <c r="JP27" i="1"/>
  <c r="JS27" i="1"/>
  <c r="IX27" i="1"/>
  <c r="IR27" i="1"/>
  <c r="IK27" i="1"/>
  <c r="E27" i="1"/>
  <c r="JV26" i="1"/>
  <c r="JU26" i="1"/>
  <c r="JQ26" i="1"/>
  <c r="JT26" i="1"/>
  <c r="JP26" i="1"/>
  <c r="JS26" i="1"/>
  <c r="IX26" i="1"/>
  <c r="IR26" i="1"/>
  <c r="IK26" i="1"/>
  <c r="E26" i="1"/>
  <c r="JV25" i="1"/>
  <c r="JU25" i="1"/>
  <c r="JQ25" i="1"/>
  <c r="JP25" i="1"/>
  <c r="JS25" i="1"/>
  <c r="IX25" i="1"/>
  <c r="IR25" i="1"/>
  <c r="IK25" i="1"/>
  <c r="E25" i="1"/>
  <c r="JV24" i="1"/>
  <c r="JU24" i="1"/>
  <c r="JQ24" i="1"/>
  <c r="JT24" i="1"/>
  <c r="JP24" i="1"/>
  <c r="JS24" i="1"/>
  <c r="IX24" i="1"/>
  <c r="IR24" i="1"/>
  <c r="IK24" i="1"/>
  <c r="E24" i="1"/>
  <c r="JV23" i="1"/>
  <c r="JU23" i="1"/>
  <c r="JQ23" i="1"/>
  <c r="JT23" i="1"/>
  <c r="JP23" i="1"/>
  <c r="JS23" i="1"/>
  <c r="IX23" i="1"/>
  <c r="IR23" i="1"/>
  <c r="IK23" i="1"/>
  <c r="E23" i="1"/>
  <c r="JV22" i="1"/>
  <c r="JU22" i="1"/>
  <c r="JQ22" i="1"/>
  <c r="JP22" i="1"/>
  <c r="JS22" i="1"/>
  <c r="IX22" i="1"/>
  <c r="IR22" i="1"/>
  <c r="IK22" i="1"/>
  <c r="E22" i="1"/>
  <c r="JV21" i="1"/>
  <c r="JU21" i="1"/>
  <c r="JQ21" i="1"/>
  <c r="JT21" i="1"/>
  <c r="JP21" i="1"/>
  <c r="JS21" i="1"/>
  <c r="IX21" i="1"/>
  <c r="IR21" i="1"/>
  <c r="IK21" i="1"/>
  <c r="E21" i="1"/>
  <c r="JV20" i="1"/>
  <c r="JU20" i="1"/>
  <c r="JQ20" i="1"/>
  <c r="JP20" i="1"/>
  <c r="JS20" i="1"/>
  <c r="IX20" i="1"/>
  <c r="IR20" i="1"/>
  <c r="IK20" i="1"/>
  <c r="E20" i="1"/>
  <c r="JV19" i="1"/>
  <c r="JU19" i="1"/>
  <c r="JQ19" i="1"/>
  <c r="JT19" i="1"/>
  <c r="JP19" i="1"/>
  <c r="JS19" i="1"/>
  <c r="IX19" i="1"/>
  <c r="IR19" i="1"/>
  <c r="IK19" i="1"/>
  <c r="E19" i="1"/>
  <c r="JV18" i="1"/>
  <c r="JU18" i="1"/>
  <c r="JQ18" i="1"/>
  <c r="JT18" i="1"/>
  <c r="JP18" i="1"/>
  <c r="JS18" i="1"/>
  <c r="IX18" i="1"/>
  <c r="IR18" i="1"/>
  <c r="IK18" i="1"/>
  <c r="E18" i="1"/>
  <c r="JV17" i="1"/>
  <c r="JU17" i="1"/>
  <c r="JQ17" i="1"/>
  <c r="JT17" i="1"/>
  <c r="JP17" i="1"/>
  <c r="JS17" i="1"/>
  <c r="IX17" i="1"/>
  <c r="IR17" i="1"/>
  <c r="IK17" i="1"/>
  <c r="E17" i="1"/>
  <c r="JV16" i="1"/>
  <c r="JU16" i="1"/>
  <c r="JQ16" i="1"/>
  <c r="JP16" i="1"/>
  <c r="JS16" i="1"/>
  <c r="IX16" i="1"/>
  <c r="IR16" i="1"/>
  <c r="IK16" i="1"/>
  <c r="E16" i="1"/>
  <c r="JV15" i="1"/>
  <c r="JU15" i="1"/>
  <c r="JQ15" i="1"/>
  <c r="JT15" i="1"/>
  <c r="JP15" i="1"/>
  <c r="JS15" i="1"/>
  <c r="IX15" i="1"/>
  <c r="IR15" i="1"/>
  <c r="IK15" i="1"/>
  <c r="E15" i="1"/>
  <c r="JV14" i="1"/>
  <c r="JU14" i="1"/>
  <c r="JQ14" i="1"/>
  <c r="JP14" i="1"/>
  <c r="JS14" i="1"/>
  <c r="IX14" i="1"/>
  <c r="IR14" i="1"/>
  <c r="IK14" i="1"/>
  <c r="E14" i="1"/>
  <c r="JV13" i="1"/>
  <c r="JU13" i="1"/>
  <c r="JQ13" i="1"/>
  <c r="JT13" i="1"/>
  <c r="JP13" i="1"/>
  <c r="JS13" i="1"/>
  <c r="IX13" i="1"/>
  <c r="IR13" i="1"/>
  <c r="IK13" i="1"/>
  <c r="E13" i="1"/>
  <c r="JV12" i="1"/>
  <c r="JU12" i="1"/>
  <c r="JQ12" i="1"/>
  <c r="JP12" i="1"/>
  <c r="JS12" i="1"/>
  <c r="IX12" i="1"/>
  <c r="IR12" i="1"/>
  <c r="IK12" i="1"/>
  <c r="E12" i="1"/>
  <c r="JV11" i="1"/>
  <c r="JU11" i="1"/>
  <c r="JQ11" i="1"/>
  <c r="JT11" i="1"/>
  <c r="JP11" i="1"/>
  <c r="JS11" i="1"/>
  <c r="IX11" i="1"/>
  <c r="IR11" i="1"/>
  <c r="IK11" i="1"/>
  <c r="E11" i="1"/>
  <c r="JV10" i="1"/>
  <c r="JU10" i="1"/>
  <c r="JQ10" i="1"/>
  <c r="JP10" i="1"/>
  <c r="JS10" i="1"/>
  <c r="IX10" i="1"/>
  <c r="IR10" i="1"/>
  <c r="IK10" i="1"/>
  <c r="E10" i="1"/>
  <c r="JV9" i="1"/>
  <c r="JU9" i="1"/>
  <c r="JQ9" i="1"/>
  <c r="JP9" i="1"/>
  <c r="JS9" i="1"/>
  <c r="IX9" i="1"/>
  <c r="IR9" i="1"/>
  <c r="IK9" i="1"/>
  <c r="E9" i="1"/>
  <c r="JV8" i="1"/>
  <c r="JU8" i="1"/>
  <c r="JQ8" i="1"/>
  <c r="JT8" i="1"/>
  <c r="JP8" i="1"/>
  <c r="JS8" i="1"/>
  <c r="IX8" i="1"/>
  <c r="IR8" i="1"/>
  <c r="IK8" i="1"/>
  <c r="E8" i="1"/>
  <c r="JV7" i="1"/>
  <c r="JU7" i="1"/>
  <c r="JQ7" i="1"/>
  <c r="JP7" i="1"/>
  <c r="JS7" i="1"/>
  <c r="IX7" i="1"/>
  <c r="IR7" i="1"/>
  <c r="IK7" i="1"/>
  <c r="E7" i="1"/>
  <c r="JV6" i="1"/>
  <c r="JU6" i="1"/>
  <c r="JQ6" i="1"/>
  <c r="JT6" i="1"/>
  <c r="JP6" i="1"/>
  <c r="JS6" i="1"/>
  <c r="IX6" i="1"/>
  <c r="IR6" i="1"/>
  <c r="IK6" i="1"/>
  <c r="E6" i="1"/>
  <c r="JV5" i="1"/>
  <c r="JU5" i="1"/>
  <c r="JQ5" i="1"/>
  <c r="JP5" i="1"/>
  <c r="JS5" i="1"/>
  <c r="IX5" i="1"/>
  <c r="IR5" i="1"/>
  <c r="IK5" i="1"/>
  <c r="E5" i="1"/>
  <c r="JV4" i="1"/>
  <c r="JU4" i="1"/>
  <c r="JT4" i="1"/>
  <c r="JQ4" i="1"/>
  <c r="JP4" i="1"/>
  <c r="JS4" i="1"/>
  <c r="IX4" i="1"/>
  <c r="IR4" i="1"/>
  <c r="IK4" i="1"/>
  <c r="E4" i="1"/>
  <c r="JV3" i="1"/>
  <c r="JU3" i="1"/>
  <c r="JQ3" i="1"/>
  <c r="JT3" i="1"/>
  <c r="JP3" i="1"/>
  <c r="JS3" i="1"/>
  <c r="IX3" i="1"/>
  <c r="IR3" i="1"/>
  <c r="IK3" i="1"/>
  <c r="E3" i="1"/>
  <c r="JV2" i="1"/>
  <c r="JU2" i="1"/>
  <c r="JQ2" i="1"/>
  <c r="JT2" i="1"/>
  <c r="JP2" i="1"/>
  <c r="JS2" i="1"/>
  <c r="IX2" i="1"/>
  <c r="IR2" i="1"/>
  <c r="IK2" i="1"/>
  <c r="E2" i="1"/>
  <c r="JT310" i="1"/>
  <c r="JR310" i="1"/>
  <c r="JR55" i="1"/>
  <c r="JR98" i="1"/>
  <c r="JR184" i="1"/>
  <c r="JR68" i="1"/>
  <c r="JR72" i="1"/>
  <c r="JT286" i="1"/>
  <c r="JR286" i="1"/>
  <c r="JR326" i="1"/>
  <c r="JR375" i="1"/>
  <c r="JR432" i="1"/>
  <c r="JR480" i="1"/>
  <c r="JR484" i="1"/>
  <c r="JR516" i="1"/>
  <c r="JR539" i="1"/>
  <c r="JR588" i="1"/>
  <c r="JR618" i="1"/>
  <c r="JR814" i="1"/>
  <c r="JR824" i="1"/>
  <c r="JR846" i="1"/>
  <c r="JR931" i="1"/>
  <c r="JR166" i="1"/>
  <c r="JR213" i="1"/>
  <c r="JT326" i="1"/>
  <c r="JR434" i="1"/>
  <c r="JR444" i="1"/>
  <c r="JR454" i="1"/>
  <c r="JT484" i="1"/>
  <c r="JR504" i="1"/>
  <c r="JR535" i="1"/>
  <c r="JT539" i="1"/>
  <c r="JR575" i="1"/>
  <c r="JR651" i="1"/>
  <c r="JR682" i="1"/>
  <c r="JR705" i="1"/>
  <c r="JR862" i="1"/>
  <c r="JR894" i="1"/>
  <c r="KE954" i="1"/>
  <c r="JR241" i="1"/>
  <c r="JR359" i="1"/>
  <c r="JR926" i="1"/>
  <c r="JR27" i="1"/>
  <c r="JR104" i="1"/>
  <c r="JR122" i="1"/>
  <c r="JT184" i="1"/>
  <c r="JR192" i="1"/>
  <c r="JR207" i="1"/>
  <c r="JR221" i="1"/>
  <c r="JR236" i="1"/>
  <c r="JR246" i="1"/>
  <c r="JR249" i="1"/>
  <c r="JR336" i="1"/>
  <c r="JR416" i="1"/>
  <c r="JS416" i="1"/>
  <c r="JR130" i="1"/>
  <c r="JR136" i="1"/>
  <c r="JR170" i="1"/>
  <c r="JR176" i="1"/>
  <c r="JR240" i="1"/>
  <c r="JR343" i="1"/>
  <c r="JR347" i="1"/>
  <c r="JR7" i="1"/>
  <c r="JT55" i="1"/>
  <c r="JR102" i="1"/>
  <c r="JR112" i="1"/>
  <c r="JR134" i="1"/>
  <c r="JR162" i="1"/>
  <c r="JR260" i="1"/>
  <c r="JR317" i="1"/>
  <c r="JR319" i="1"/>
  <c r="JR323" i="1"/>
  <c r="JT334" i="1"/>
  <c r="JR344" i="1"/>
  <c r="JR365" i="1"/>
  <c r="JR400" i="1"/>
  <c r="JR500" i="1"/>
  <c r="JR519" i="1"/>
  <c r="JR526" i="1"/>
  <c r="JR530" i="1"/>
  <c r="JR543" i="1"/>
  <c r="JR638" i="1"/>
  <c r="JR642" i="1"/>
  <c r="JR659" i="1"/>
  <c r="JR666" i="1"/>
  <c r="JR706" i="1"/>
  <c r="JR806" i="1"/>
  <c r="JR818" i="1"/>
  <c r="JR827" i="1"/>
  <c r="JR831" i="1"/>
  <c r="JT891" i="1"/>
  <c r="JR928" i="1"/>
  <c r="JR935" i="1"/>
  <c r="JR949" i="1"/>
  <c r="JR394" i="1"/>
  <c r="JR408" i="1"/>
  <c r="JR507" i="1"/>
  <c r="JR589" i="1"/>
  <c r="JR622" i="1"/>
  <c r="JR653" i="1"/>
  <c r="JR713" i="1"/>
  <c r="JR838" i="1"/>
  <c r="JR854" i="1"/>
  <c r="JR870" i="1"/>
  <c r="JR924" i="1"/>
  <c r="JR559" i="1"/>
  <c r="JR776" i="1"/>
  <c r="JR875" i="1"/>
  <c r="JR940" i="1"/>
  <c r="JR16" i="1"/>
  <c r="JR23" i="1"/>
  <c r="JR40" i="1"/>
  <c r="JR60" i="1"/>
  <c r="JR74" i="1"/>
  <c r="JR84" i="1"/>
  <c r="JR96" i="1"/>
  <c r="JT102" i="1"/>
  <c r="JR114" i="1"/>
  <c r="JT168" i="1"/>
  <c r="JR168" i="1"/>
  <c r="JT7" i="1"/>
  <c r="JT27" i="1"/>
  <c r="JR44" i="1"/>
  <c r="JR63" i="1"/>
  <c r="JR76" i="1"/>
  <c r="JR78" i="1"/>
  <c r="JR88" i="1"/>
  <c r="JR92" i="1"/>
  <c r="JR110" i="1"/>
  <c r="JT122" i="1"/>
  <c r="JR128" i="1"/>
  <c r="JR160" i="1"/>
  <c r="JR161" i="1"/>
  <c r="JT161" i="1"/>
  <c r="JR35" i="1"/>
  <c r="JR57" i="1"/>
  <c r="JR106" i="1"/>
  <c r="JT472" i="1"/>
  <c r="JR472" i="1"/>
  <c r="JS525" i="1"/>
  <c r="JR525" i="1"/>
  <c r="JS529" i="1"/>
  <c r="JR529" i="1"/>
  <c r="JR195" i="1"/>
  <c r="JT213" i="1"/>
  <c r="JR215" i="1"/>
  <c r="JR368" i="1"/>
  <c r="JT400" i="1"/>
  <c r="JS541" i="1"/>
  <c r="JR541" i="1"/>
  <c r="JR158" i="1"/>
  <c r="JR182" i="1"/>
  <c r="JR197" i="1"/>
  <c r="JR205" i="1"/>
  <c r="JR253" i="1"/>
  <c r="JS260" i="1"/>
  <c r="JR320" i="1"/>
  <c r="JR335" i="1"/>
  <c r="JR342" i="1"/>
  <c r="JR351" i="1"/>
  <c r="JR355" i="1"/>
  <c r="JS359" i="1"/>
  <c r="JR363" i="1"/>
  <c r="JR445" i="1"/>
  <c r="JT490" i="1"/>
  <c r="JR490" i="1"/>
  <c r="JT501" i="1"/>
  <c r="JR501" i="1"/>
  <c r="JR515" i="1"/>
  <c r="JT515" i="1"/>
  <c r="JT520" i="1"/>
  <c r="JR520" i="1"/>
  <c r="JS534" i="1"/>
  <c r="JR534" i="1"/>
  <c r="JR174" i="1"/>
  <c r="JT182" i="1"/>
  <c r="JR190" i="1"/>
  <c r="JT205" i="1"/>
  <c r="JR218" i="1"/>
  <c r="JR226" i="1"/>
  <c r="JS236" i="1"/>
  <c r="JR239" i="1"/>
  <c r="JR245" i="1"/>
  <c r="JR252" i="1"/>
  <c r="JT253" i="1"/>
  <c r="JR256" i="1"/>
  <c r="JR309" i="1"/>
  <c r="JR328" i="1"/>
  <c r="JR331" i="1"/>
  <c r="JR339" i="1"/>
  <c r="JT342" i="1"/>
  <c r="JT391" i="1"/>
  <c r="JR391" i="1"/>
  <c r="JS402" i="1"/>
  <c r="JR722" i="1"/>
  <c r="JS722" i="1"/>
  <c r="JR373" i="1"/>
  <c r="JR374" i="1"/>
  <c r="JR377" i="1"/>
  <c r="JR382" i="1"/>
  <c r="JR458" i="1"/>
  <c r="JR460" i="1"/>
  <c r="JR488" i="1"/>
  <c r="JR528" i="1"/>
  <c r="JR545" i="1"/>
  <c r="JR554" i="1"/>
  <c r="JR573" i="1"/>
  <c r="JR592" i="1"/>
  <c r="JT616" i="1"/>
  <c r="JR616" i="1"/>
  <c r="JT628" i="1"/>
  <c r="JR628" i="1"/>
  <c r="JR648" i="1"/>
  <c r="JT659" i="1"/>
  <c r="JT673" i="1"/>
  <c r="JR673" i="1"/>
  <c r="JT684" i="1"/>
  <c r="JR684" i="1"/>
  <c r="JR702" i="1"/>
  <c r="JS702" i="1"/>
  <c r="JR556" i="1"/>
  <c r="JR612" i="1"/>
  <c r="JR633" i="1"/>
  <c r="JT633" i="1"/>
  <c r="JR670" i="1"/>
  <c r="JT670" i="1"/>
  <c r="JR410" i="1"/>
  <c r="JR412" i="1"/>
  <c r="JR420" i="1"/>
  <c r="JR423" i="1"/>
  <c r="JR436" i="1"/>
  <c r="JR549" i="1"/>
  <c r="JR558" i="1"/>
  <c r="JR564" i="1"/>
  <c r="JR596" i="1"/>
  <c r="JR597" i="1"/>
  <c r="JR614" i="1"/>
  <c r="JR617" i="1"/>
  <c r="JR620" i="1"/>
  <c r="JR621" i="1"/>
  <c r="JT624" i="1"/>
  <c r="JR624" i="1"/>
  <c r="JR675" i="1"/>
  <c r="JT675" i="1"/>
  <c r="JR629" i="1"/>
  <c r="JR637" i="1"/>
  <c r="JR641" i="1"/>
  <c r="JR715" i="1"/>
  <c r="JR795" i="1"/>
  <c r="JR797" i="1"/>
  <c r="JR805" i="1"/>
  <c r="JT824" i="1"/>
  <c r="JR842" i="1"/>
  <c r="JR850" i="1"/>
  <c r="JR858" i="1"/>
  <c r="JR866" i="1"/>
  <c r="JR889" i="1"/>
  <c r="JR932" i="1"/>
  <c r="JR942" i="1"/>
  <c r="JR946" i="1"/>
  <c r="JR634" i="1"/>
  <c r="JT637" i="1"/>
  <c r="JR660" i="1"/>
  <c r="JR671" i="1"/>
  <c r="JR690" i="1"/>
  <c r="JR710" i="1"/>
  <c r="JR730" i="1"/>
  <c r="JR753" i="1"/>
  <c r="JR757" i="1"/>
  <c r="JR790" i="1"/>
  <c r="JR807" i="1"/>
  <c r="JR816" i="1"/>
  <c r="JR825" i="1"/>
  <c r="JR835" i="1"/>
  <c r="JR877" i="1"/>
  <c r="JR878" i="1"/>
  <c r="JR880" i="1"/>
  <c r="JR882" i="1"/>
  <c r="JR902" i="1"/>
  <c r="JR912" i="1"/>
  <c r="JR916" i="1"/>
  <c r="JS926" i="1"/>
  <c r="KI954" i="1"/>
  <c r="KM954" i="1"/>
  <c r="JR694" i="1"/>
  <c r="JR698" i="1"/>
  <c r="JR727" i="1"/>
  <c r="JR736" i="1"/>
  <c r="JS776" i="1"/>
  <c r="JR779" i="1"/>
  <c r="JR792" i="1"/>
  <c r="JS831" i="1"/>
  <c r="JR12" i="1"/>
  <c r="JR20" i="1"/>
  <c r="JT38" i="1"/>
  <c r="JR38" i="1"/>
  <c r="JT51" i="1"/>
  <c r="JR51" i="1"/>
  <c r="JT5" i="1"/>
  <c r="JR5" i="1"/>
  <c r="JT25" i="1"/>
  <c r="JR25" i="1"/>
  <c r="JR32" i="1"/>
  <c r="JR53" i="1"/>
  <c r="JR178" i="1"/>
  <c r="JR186" i="1"/>
  <c r="JR201" i="1"/>
  <c r="JR209" i="1"/>
  <c r="JT217" i="1"/>
  <c r="JR217" i="1"/>
  <c r="JR222" i="1"/>
  <c r="JS222" i="1"/>
  <c r="JT238" i="1"/>
  <c r="JR238" i="1"/>
  <c r="JT242" i="1"/>
  <c r="JR242" i="1"/>
  <c r="JR9" i="1"/>
  <c r="JR47" i="1"/>
  <c r="JR58" i="1"/>
  <c r="JR70" i="1"/>
  <c r="JR80" i="1"/>
  <c r="JR82" i="1"/>
  <c r="JR86" i="1"/>
  <c r="JR90" i="1"/>
  <c r="JR100" i="1"/>
  <c r="JR108" i="1"/>
  <c r="JR116" i="1"/>
  <c r="JR132" i="1"/>
  <c r="JR141" i="1"/>
  <c r="JR164" i="1"/>
  <c r="JR172" i="1"/>
  <c r="JR180" i="1"/>
  <c r="JR188" i="1"/>
  <c r="JR203" i="1"/>
  <c r="JR211" i="1"/>
  <c r="JR254" i="1"/>
  <c r="JS254" i="1"/>
  <c r="JT262" i="1"/>
  <c r="JR262" i="1"/>
  <c r="JR10" i="1"/>
  <c r="JR14" i="1"/>
  <c r="JR22" i="1"/>
  <c r="JR29" i="1"/>
  <c r="JR34" i="1"/>
  <c r="JR42" i="1"/>
  <c r="JR50" i="1"/>
  <c r="JR65" i="1"/>
  <c r="JR94" i="1"/>
  <c r="JR144" i="1"/>
  <c r="JR148" i="1"/>
  <c r="JR152" i="1"/>
  <c r="JR156" i="1"/>
  <c r="JR199" i="1"/>
  <c r="JR223" i="1"/>
  <c r="JR224" i="1"/>
  <c r="JS224" i="1"/>
  <c r="JR229" i="1"/>
  <c r="JR247" i="1"/>
  <c r="JS247" i="1"/>
  <c r="JT251" i="1"/>
  <c r="JR251" i="1"/>
  <c r="JT451" i="1"/>
  <c r="JR451" i="1"/>
  <c r="JT483" i="1"/>
  <c r="JR483" i="1"/>
  <c r="JR491" i="1"/>
  <c r="JS491" i="1"/>
  <c r="JR228" i="1"/>
  <c r="JR289" i="1"/>
  <c r="JR304" i="1"/>
  <c r="JR313" i="1"/>
  <c r="JR322" i="1"/>
  <c r="JR325" i="1"/>
  <c r="JR330" i="1"/>
  <c r="JR333" i="1"/>
  <c r="JR338" i="1"/>
  <c r="JR341" i="1"/>
  <c r="JR346" i="1"/>
  <c r="JR357" i="1"/>
  <c r="JR369" i="1"/>
  <c r="JT374" i="1"/>
  <c r="JT375" i="1"/>
  <c r="JR378" i="1"/>
  <c r="JR381" i="1"/>
  <c r="JR383" i="1"/>
  <c r="JR397" i="1"/>
  <c r="JR414" i="1"/>
  <c r="JR422" i="1"/>
  <c r="JR425" i="1"/>
  <c r="JR429" i="1"/>
  <c r="JT434" i="1"/>
  <c r="JR438" i="1"/>
  <c r="JR439" i="1"/>
  <c r="JR442" i="1"/>
  <c r="JT444" i="1"/>
  <c r="JR448" i="1"/>
  <c r="JR449" i="1"/>
  <c r="JR453" i="1"/>
  <c r="JR462" i="1"/>
  <c r="JR469" i="1"/>
  <c r="JT476" i="1"/>
  <c r="JR476" i="1"/>
  <c r="JS478" i="1"/>
  <c r="JR478" i="1"/>
  <c r="JR485" i="1"/>
  <c r="JS493" i="1"/>
  <c r="JR493" i="1"/>
  <c r="JR225" i="1"/>
  <c r="JT228" i="1"/>
  <c r="JR235" i="1"/>
  <c r="JR243" i="1"/>
  <c r="JR250" i="1"/>
  <c r="JR257" i="1"/>
  <c r="JR259" i="1"/>
  <c r="JR282" i="1"/>
  <c r="JR290" i="1"/>
  <c r="JR305" i="1"/>
  <c r="JR315" i="1"/>
  <c r="JR324" i="1"/>
  <c r="JR327" i="1"/>
  <c r="JR332" i="1"/>
  <c r="JR340" i="1"/>
  <c r="JR348" i="1"/>
  <c r="JS355" i="1"/>
  <c r="JT382" i="1"/>
  <c r="JR385" i="1"/>
  <c r="JS394" i="1"/>
  <c r="JR398" i="1"/>
  <c r="JR405" i="1"/>
  <c r="JS408" i="1"/>
  <c r="JS412" i="1"/>
  <c r="JS420" i="1"/>
  <c r="JS423" i="1"/>
  <c r="JR433" i="1"/>
  <c r="JR437" i="1"/>
  <c r="JR443" i="1"/>
  <c r="JT498" i="1"/>
  <c r="JR498" i="1"/>
  <c r="JT512" i="1"/>
  <c r="JR512" i="1"/>
  <c r="JS514" i="1"/>
  <c r="JR514" i="1"/>
  <c r="JR219" i="1"/>
  <c r="JR220" i="1"/>
  <c r="JR227" i="1"/>
  <c r="JR230" i="1"/>
  <c r="JR233" i="1"/>
  <c r="JR285" i="1"/>
  <c r="JR321" i="1"/>
  <c r="JR329" i="1"/>
  <c r="JR337" i="1"/>
  <c r="JR345" i="1"/>
  <c r="JR353" i="1"/>
  <c r="JR361" i="1"/>
  <c r="JR388" i="1"/>
  <c r="JR390" i="1"/>
  <c r="JR399" i="1"/>
  <c r="JR406" i="1"/>
  <c r="JS414" i="1"/>
  <c r="JR418" i="1"/>
  <c r="JS422" i="1"/>
  <c r="JR427" i="1"/>
  <c r="JR431" i="1"/>
  <c r="JT432" i="1"/>
  <c r="JT436" i="1"/>
  <c r="JR440" i="1"/>
  <c r="JR441" i="1"/>
  <c r="JR446" i="1"/>
  <c r="JR447" i="1"/>
  <c r="JR452" i="1"/>
  <c r="JT452" i="1"/>
  <c r="JT454" i="1"/>
  <c r="JT464" i="1"/>
  <c r="JR464" i="1"/>
  <c r="JR474" i="1"/>
  <c r="JR495" i="1"/>
  <c r="JS510" i="1"/>
  <c r="JR510" i="1"/>
  <c r="JS603" i="1"/>
  <c r="JR603" i="1"/>
  <c r="JT646" i="1"/>
  <c r="JR646" i="1"/>
  <c r="JR450" i="1"/>
  <c r="JR492" i="1"/>
  <c r="JR496" i="1"/>
  <c r="JR499" i="1"/>
  <c r="JR518" i="1"/>
  <c r="JR521" i="1"/>
  <c r="JR522" i="1"/>
  <c r="JR527" i="1"/>
  <c r="JR531" i="1"/>
  <c r="JR536" i="1"/>
  <c r="JR547" i="1"/>
  <c r="JR551" i="1"/>
  <c r="JR553" i="1"/>
  <c r="JR555" i="1"/>
  <c r="JT558" i="1"/>
  <c r="JR560" i="1"/>
  <c r="JR571" i="1"/>
  <c r="JT573" i="1"/>
  <c r="JR578" i="1"/>
  <c r="JT578" i="1"/>
  <c r="JR581" i="1"/>
  <c r="JS591" i="1"/>
  <c r="JR591" i="1"/>
  <c r="JR600" i="1"/>
  <c r="JT600" i="1"/>
  <c r="JR610" i="1"/>
  <c r="JR632" i="1"/>
  <c r="JT632" i="1"/>
  <c r="JT662" i="1"/>
  <c r="JR662" i="1"/>
  <c r="JR532" i="1"/>
  <c r="JR533" i="1"/>
  <c r="JR540" i="1"/>
  <c r="JR542" i="1"/>
  <c r="JR544" i="1"/>
  <c r="JR557" i="1"/>
  <c r="JS565" i="1"/>
  <c r="JR565" i="1"/>
  <c r="JS569" i="1"/>
  <c r="JR569" i="1"/>
  <c r="JR594" i="1"/>
  <c r="JT594" i="1"/>
  <c r="JR604" i="1"/>
  <c r="JT604" i="1"/>
  <c r="JT605" i="1"/>
  <c r="JR605" i="1"/>
  <c r="JR626" i="1"/>
  <c r="JT626" i="1"/>
  <c r="JS636" i="1"/>
  <c r="JR636" i="1"/>
  <c r="JR664" i="1"/>
  <c r="JT664" i="1"/>
  <c r="JS567" i="1"/>
  <c r="JR567" i="1"/>
  <c r="JS599" i="1"/>
  <c r="JR599" i="1"/>
  <c r="JR606" i="1"/>
  <c r="JT606" i="1"/>
  <c r="JT607" i="1"/>
  <c r="JR607" i="1"/>
  <c r="JS640" i="1"/>
  <c r="JR640" i="1"/>
  <c r="JT658" i="1"/>
  <c r="JR658" i="1"/>
  <c r="JR583" i="1"/>
  <c r="JR654" i="1"/>
  <c r="JR655" i="1"/>
  <c r="JT680" i="1"/>
  <c r="JR680" i="1"/>
  <c r="JR686" i="1"/>
  <c r="JR688" i="1"/>
  <c r="JS694" i="1"/>
  <c r="JR696" i="1"/>
  <c r="JT696" i="1"/>
  <c r="JT708" i="1"/>
  <c r="JR708" i="1"/>
  <c r="JR732" i="1"/>
  <c r="JS732" i="1"/>
  <c r="JT769" i="1"/>
  <c r="JR769" i="1"/>
  <c r="JT668" i="1"/>
  <c r="JR700" i="1"/>
  <c r="JT700" i="1"/>
  <c r="JR716" i="1"/>
  <c r="JS716" i="1"/>
  <c r="JR774" i="1"/>
  <c r="JT774" i="1"/>
  <c r="JR704" i="1"/>
  <c r="JT704" i="1"/>
  <c r="JT766" i="1"/>
  <c r="JR766" i="1"/>
  <c r="JR561" i="1"/>
  <c r="JR566" i="1"/>
  <c r="JR568" i="1"/>
  <c r="JR590" i="1"/>
  <c r="JR602" i="1"/>
  <c r="JR625" i="1"/>
  <c r="JR669" i="1"/>
  <c r="JT683" i="1"/>
  <c r="JR683" i="1"/>
  <c r="JR692" i="1"/>
  <c r="JR740" i="1"/>
  <c r="JS740" i="1"/>
  <c r="JT744" i="1"/>
  <c r="JR744" i="1"/>
  <c r="JR751" i="1"/>
  <c r="JS751" i="1"/>
  <c r="JR755" i="1"/>
  <c r="JS755" i="1"/>
  <c r="JR782" i="1"/>
  <c r="JT782" i="1"/>
  <c r="JT715" i="1"/>
  <c r="JR733" i="1"/>
  <c r="JR741" i="1"/>
  <c r="JR749" i="1"/>
  <c r="JR752" i="1"/>
  <c r="JR756" i="1"/>
  <c r="JR765" i="1"/>
  <c r="JR784" i="1"/>
  <c r="JS790" i="1"/>
  <c r="JR791" i="1"/>
  <c r="JR798" i="1"/>
  <c r="JT807" i="1"/>
  <c r="JR819" i="1"/>
  <c r="JR821" i="1"/>
  <c r="JT825" i="1"/>
  <c r="JR879" i="1"/>
  <c r="JT879" i="1"/>
  <c r="JR808" i="1"/>
  <c r="JR811" i="1"/>
  <c r="JR707" i="1"/>
  <c r="JR737" i="1"/>
  <c r="JT749" i="1"/>
  <c r="JR750" i="1"/>
  <c r="JR754" i="1"/>
  <c r="JR758" i="1"/>
  <c r="JS784" i="1"/>
  <c r="JR787" i="1"/>
  <c r="JR789" i="1"/>
  <c r="JT799" i="1"/>
  <c r="JR800" i="1"/>
  <c r="JT805" i="1"/>
  <c r="JR823" i="1"/>
  <c r="JS827" i="1"/>
  <c r="JT829" i="1"/>
  <c r="JR829" i="1"/>
  <c r="JR679" i="1"/>
  <c r="JR717" i="1"/>
  <c r="JR718" i="1"/>
  <c r="JR720" i="1"/>
  <c r="JR724" i="1"/>
  <c r="JS792" i="1"/>
  <c r="JT803" i="1"/>
  <c r="JR803" i="1"/>
  <c r="JR886" i="1"/>
  <c r="JR892" i="1"/>
  <c r="JR897" i="1"/>
  <c r="JR905" i="1"/>
  <c r="JR907" i="1"/>
  <c r="JT931" i="1"/>
  <c r="JT935" i="1"/>
  <c r="JT940" i="1"/>
  <c r="JR951" i="1"/>
  <c r="JR822" i="1"/>
  <c r="JR834" i="1"/>
  <c r="JR885" i="1"/>
  <c r="JR887" i="1"/>
  <c r="JR888" i="1"/>
  <c r="JT889" i="1"/>
  <c r="JR890" i="1"/>
  <c r="JR899" i="1"/>
  <c r="JT907" i="1"/>
  <c r="JR908" i="1"/>
  <c r="JS912" i="1"/>
  <c r="JR914" i="1"/>
  <c r="JS916" i="1"/>
  <c r="JR918" i="1"/>
  <c r="JS920" i="1"/>
  <c r="JR922" i="1"/>
  <c r="JS924" i="1"/>
  <c r="JR930" i="1"/>
  <c r="JR934" i="1"/>
  <c r="JR939" i="1"/>
  <c r="JS946" i="1"/>
  <c r="JR948" i="1"/>
  <c r="KA954" i="1"/>
  <c r="JR837" i="1"/>
  <c r="JR841" i="1"/>
  <c r="JR845" i="1"/>
  <c r="JR849" i="1"/>
  <c r="JR853" i="1"/>
  <c r="JR857" i="1"/>
  <c r="JR861" i="1"/>
  <c r="JR865" i="1"/>
  <c r="JR869" i="1"/>
  <c r="JR873" i="1"/>
  <c r="JR900" i="1"/>
  <c r="JR910" i="1"/>
  <c r="JS942" i="1"/>
  <c r="JR944" i="1"/>
  <c r="JR101" i="1"/>
  <c r="JR103" i="1"/>
  <c r="JR105" i="1"/>
  <c r="JR107" i="1"/>
  <c r="JR109" i="1"/>
  <c r="JR111" i="1"/>
  <c r="JR113" i="1"/>
  <c r="JR115" i="1"/>
  <c r="JR117" i="1"/>
  <c r="JR119" i="1"/>
  <c r="JR121" i="1"/>
  <c r="JR123" i="1"/>
  <c r="JR125" i="1"/>
  <c r="JR127" i="1"/>
  <c r="JR129" i="1"/>
  <c r="JR131" i="1"/>
  <c r="JR133" i="1"/>
  <c r="JR135" i="1"/>
  <c r="JR137" i="1"/>
  <c r="JR167" i="1"/>
  <c r="JR169" i="1"/>
  <c r="JR171" i="1"/>
  <c r="JR173" i="1"/>
  <c r="JR175" i="1"/>
  <c r="JR177" i="1"/>
  <c r="JR179" i="1"/>
  <c r="JR181" i="1"/>
  <c r="JR183" i="1"/>
  <c r="JR185" i="1"/>
  <c r="JR187" i="1"/>
  <c r="JR189" i="1"/>
  <c r="JR191" i="1"/>
  <c r="JR193" i="1"/>
  <c r="JR200" i="1"/>
  <c r="JR202" i="1"/>
  <c r="JR204" i="1"/>
  <c r="JR206" i="1"/>
  <c r="JR208" i="1"/>
  <c r="JR210" i="1"/>
  <c r="JR212" i="1"/>
  <c r="JR214" i="1"/>
  <c r="JR216" i="1"/>
  <c r="JT219" i="1"/>
  <c r="JT221" i="1"/>
  <c r="JT223" i="1"/>
  <c r="JT225" i="1"/>
  <c r="JT227" i="1"/>
  <c r="JT230" i="1"/>
  <c r="JS241" i="1"/>
  <c r="JR244" i="1"/>
  <c r="JT246" i="1"/>
  <c r="JS249" i="1"/>
  <c r="JS256" i="1"/>
  <c r="JR265" i="1"/>
  <c r="JT265" i="1"/>
  <c r="JR269" i="1"/>
  <c r="JT269" i="1"/>
  <c r="JR273" i="1"/>
  <c r="JT273" i="1"/>
  <c r="JR277" i="1"/>
  <c r="JT277" i="1"/>
  <c r="JR281" i="1"/>
  <c r="JT281" i="1"/>
  <c r="JR284" i="1"/>
  <c r="JR288" i="1"/>
  <c r="JR292" i="1"/>
  <c r="JR296" i="1"/>
  <c r="JT296" i="1"/>
  <c r="JR300" i="1"/>
  <c r="JT300" i="1"/>
  <c r="JR303" i="1"/>
  <c r="JR308" i="1"/>
  <c r="JR312" i="1"/>
  <c r="JR314" i="1"/>
  <c r="JS314" i="1"/>
  <c r="JR2" i="1"/>
  <c r="JT9" i="1"/>
  <c r="JT10" i="1"/>
  <c r="JR11" i="1"/>
  <c r="JT12" i="1"/>
  <c r="JR13" i="1"/>
  <c r="JT14" i="1"/>
  <c r="JR15" i="1"/>
  <c r="JT16" i="1"/>
  <c r="JR17" i="1"/>
  <c r="JR18" i="1"/>
  <c r="JR19" i="1"/>
  <c r="JT20" i="1"/>
  <c r="JR21" i="1"/>
  <c r="JT22" i="1"/>
  <c r="JR28" i="1"/>
  <c r="JT29" i="1"/>
  <c r="JR30" i="1"/>
  <c r="JR33" i="1"/>
  <c r="JT34" i="1"/>
  <c r="JR36" i="1"/>
  <c r="JT40" i="1"/>
  <c r="JR41" i="1"/>
  <c r="JT42" i="1"/>
  <c r="JR43" i="1"/>
  <c r="JT44" i="1"/>
  <c r="JR45" i="1"/>
  <c r="JT47" i="1"/>
  <c r="JR48" i="1"/>
  <c r="JT50" i="1"/>
  <c r="JT58" i="1"/>
  <c r="JR59" i="1"/>
  <c r="JT60" i="1"/>
  <c r="JR61" i="1"/>
  <c r="JT63" i="1"/>
  <c r="JR64" i="1"/>
  <c r="JT65" i="1"/>
  <c r="JR66" i="1"/>
  <c r="JT68" i="1"/>
  <c r="JR69" i="1"/>
  <c r="JT70" i="1"/>
  <c r="JR71" i="1"/>
  <c r="JT72" i="1"/>
  <c r="JR73" i="1"/>
  <c r="JR81" i="1"/>
  <c r="JT82" i="1"/>
  <c r="JR83" i="1"/>
  <c r="JT84" i="1"/>
  <c r="JR85" i="1"/>
  <c r="JT86" i="1"/>
  <c r="JR87" i="1"/>
  <c r="JT88" i="1"/>
  <c r="JR89" i="1"/>
  <c r="JT90" i="1"/>
  <c r="JR91" i="1"/>
  <c r="JT92" i="1"/>
  <c r="JR93" i="1"/>
  <c r="JT94" i="1"/>
  <c r="JR95" i="1"/>
  <c r="JT96" i="1"/>
  <c r="JR97" i="1"/>
  <c r="JT98" i="1"/>
  <c r="JR99" i="1"/>
  <c r="JR138" i="1"/>
  <c r="JT139" i="1"/>
  <c r="JR140" i="1"/>
  <c r="JT141" i="1"/>
  <c r="JR142" i="1"/>
  <c r="JT162" i="1"/>
  <c r="JR163" i="1"/>
  <c r="JT164" i="1"/>
  <c r="JR165" i="1"/>
  <c r="JT166" i="1"/>
  <c r="JR143" i="1"/>
  <c r="JT144" i="1"/>
  <c r="JR145" i="1"/>
  <c r="JT146" i="1"/>
  <c r="JR147" i="1"/>
  <c r="JT148" i="1"/>
  <c r="JR149" i="1"/>
  <c r="JT150" i="1"/>
  <c r="JR151" i="1"/>
  <c r="JT152" i="1"/>
  <c r="JR153" i="1"/>
  <c r="JT154" i="1"/>
  <c r="JR155" i="1"/>
  <c r="JT156" i="1"/>
  <c r="JR157" i="1"/>
  <c r="JT158" i="1"/>
  <c r="JR159" i="1"/>
  <c r="JT160" i="1"/>
  <c r="JR194" i="1"/>
  <c r="JT195" i="1"/>
  <c r="JR196" i="1"/>
  <c r="JT197" i="1"/>
  <c r="JR198" i="1"/>
  <c r="JT199" i="1"/>
  <c r="JT266" i="1"/>
  <c r="JR266" i="1"/>
  <c r="JT270" i="1"/>
  <c r="JR270" i="1"/>
  <c r="JT274" i="1"/>
  <c r="JR274" i="1"/>
  <c r="JT278" i="1"/>
  <c r="JR278" i="1"/>
  <c r="JT293" i="1"/>
  <c r="JR293" i="1"/>
  <c r="JT297" i="1"/>
  <c r="JR297" i="1"/>
  <c r="JT301" i="1"/>
  <c r="JR301" i="1"/>
  <c r="JR8" i="1"/>
  <c r="JR26" i="1"/>
  <c r="JR31" i="1"/>
  <c r="JR39" i="1"/>
  <c r="JR49" i="1"/>
  <c r="JR54" i="1"/>
  <c r="JR56" i="1"/>
  <c r="JR62" i="1"/>
  <c r="JR67" i="1"/>
  <c r="JR75" i="1"/>
  <c r="JR77" i="1"/>
  <c r="JR118" i="1"/>
  <c r="JR120" i="1"/>
  <c r="JR124" i="1"/>
  <c r="JR126" i="1"/>
  <c r="JR231" i="1"/>
  <c r="JR234" i="1"/>
  <c r="JR248" i="1"/>
  <c r="JR255" i="1"/>
  <c r="JR258" i="1"/>
  <c r="JR263" i="1"/>
  <c r="JR267" i="1"/>
  <c r="JT267" i="1"/>
  <c r="JR271" i="1"/>
  <c r="JT271" i="1"/>
  <c r="JR275" i="1"/>
  <c r="JT275" i="1"/>
  <c r="JR279" i="1"/>
  <c r="JT279" i="1"/>
  <c r="JR294" i="1"/>
  <c r="JT294" i="1"/>
  <c r="JR298" i="1"/>
  <c r="JT298" i="1"/>
  <c r="JT307" i="1"/>
  <c r="JR307" i="1"/>
  <c r="JR3" i="1"/>
  <c r="JR4" i="1"/>
  <c r="JR6" i="1"/>
  <c r="JR24" i="1"/>
  <c r="JR37" i="1"/>
  <c r="JR46" i="1"/>
  <c r="JR52" i="1"/>
  <c r="JR79" i="1"/>
  <c r="JR232" i="1"/>
  <c r="JT233" i="1"/>
  <c r="JR237" i="1"/>
  <c r="JR261" i="1"/>
  <c r="JR264" i="1"/>
  <c r="JT268" i="1"/>
  <c r="JR268" i="1"/>
  <c r="JT272" i="1"/>
  <c r="JR272" i="1"/>
  <c r="JT276" i="1"/>
  <c r="JR276" i="1"/>
  <c r="JT280" i="1"/>
  <c r="JR280" i="1"/>
  <c r="JR283" i="1"/>
  <c r="JR287" i="1"/>
  <c r="JR291" i="1"/>
  <c r="JT295" i="1"/>
  <c r="JR295" i="1"/>
  <c r="JT299" i="1"/>
  <c r="JR299" i="1"/>
  <c r="JR302" i="1"/>
  <c r="JR306" i="1"/>
  <c r="JR311" i="1"/>
  <c r="JR316" i="1"/>
  <c r="JT317" i="1"/>
  <c r="JR318" i="1"/>
  <c r="JT319" i="1"/>
  <c r="JS321" i="1"/>
  <c r="JS323" i="1"/>
  <c r="JS325" i="1"/>
  <c r="JS327" i="1"/>
  <c r="JS329" i="1"/>
  <c r="JS331" i="1"/>
  <c r="JS333" i="1"/>
  <c r="JS335" i="1"/>
  <c r="JS337" i="1"/>
  <c r="JS339" i="1"/>
  <c r="JS341" i="1"/>
  <c r="JS343" i="1"/>
  <c r="JS345" i="1"/>
  <c r="JS347" i="1"/>
  <c r="JS349" i="1"/>
  <c r="JR419" i="1"/>
  <c r="JT419" i="1"/>
  <c r="JR350" i="1"/>
  <c r="JR352" i="1"/>
  <c r="JR354" i="1"/>
  <c r="JR356" i="1"/>
  <c r="JR358" i="1"/>
  <c r="JR360" i="1"/>
  <c r="JR362" i="1"/>
  <c r="JR364" i="1"/>
  <c r="JT365" i="1"/>
  <c r="JR366" i="1"/>
  <c r="JR371" i="1"/>
  <c r="JR379" i="1"/>
  <c r="JR386" i="1"/>
  <c r="JR389" i="1"/>
  <c r="JR395" i="1"/>
  <c r="JR403" i="1"/>
  <c r="JR409" i="1"/>
  <c r="JR413" i="1"/>
  <c r="JT413" i="1"/>
  <c r="JR421" i="1"/>
  <c r="JT421" i="1"/>
  <c r="JR424" i="1"/>
  <c r="JT424" i="1"/>
  <c r="JR428" i="1"/>
  <c r="JR367" i="1"/>
  <c r="JR372" i="1"/>
  <c r="JT373" i="1"/>
  <c r="JR376" i="1"/>
  <c r="JR380" i="1"/>
  <c r="JR384" i="1"/>
  <c r="JR387" i="1"/>
  <c r="JT388" i="1"/>
  <c r="JR393" i="1"/>
  <c r="JR396" i="1"/>
  <c r="JR401" i="1"/>
  <c r="JR404" i="1"/>
  <c r="JS406" i="1"/>
  <c r="JR407" i="1"/>
  <c r="JR415" i="1"/>
  <c r="JT415" i="1"/>
  <c r="JR370" i="1"/>
  <c r="JT371" i="1"/>
  <c r="JT386" i="1"/>
  <c r="JR392" i="1"/>
  <c r="JR411" i="1"/>
  <c r="JT411" i="1"/>
  <c r="JR417" i="1"/>
  <c r="JT417" i="1"/>
  <c r="JR426" i="1"/>
  <c r="JR430" i="1"/>
  <c r="JR461" i="1"/>
  <c r="JR463" i="1"/>
  <c r="JR465" i="1"/>
  <c r="JR467" i="1"/>
  <c r="JR471" i="1"/>
  <c r="JR473" i="1"/>
  <c r="JR475" i="1"/>
  <c r="JR477" i="1"/>
  <c r="JR479" i="1"/>
  <c r="JR486" i="1"/>
  <c r="JT488" i="1"/>
  <c r="JR489" i="1"/>
  <c r="JR494" i="1"/>
  <c r="JT496" i="1"/>
  <c r="JR497" i="1"/>
  <c r="JR503" i="1"/>
  <c r="JR505" i="1"/>
  <c r="JR455" i="1"/>
  <c r="JT456" i="1"/>
  <c r="JR457" i="1"/>
  <c r="JT458" i="1"/>
  <c r="JR459" i="1"/>
  <c r="JT460" i="1"/>
  <c r="JR482" i="1"/>
  <c r="JR466" i="1"/>
  <c r="JR468" i="1"/>
  <c r="JR470" i="1"/>
  <c r="JR508" i="1"/>
  <c r="JT508" i="1"/>
  <c r="JR509" i="1"/>
  <c r="JS509" i="1"/>
  <c r="JR511" i="1"/>
  <c r="JS511" i="1"/>
  <c r="JR481" i="1"/>
  <c r="JT482" i="1"/>
  <c r="JR502" i="1"/>
  <c r="JR513" i="1"/>
  <c r="JS513" i="1"/>
  <c r="JR517" i="1"/>
  <c r="JT522" i="1"/>
  <c r="JT524" i="1"/>
  <c r="JT526" i="1"/>
  <c r="JT528" i="1"/>
  <c r="JT530" i="1"/>
  <c r="JS533" i="1"/>
  <c r="JT535" i="1"/>
  <c r="JT537" i="1"/>
  <c r="JR538" i="1"/>
  <c r="JS540" i="1"/>
  <c r="JS542" i="1"/>
  <c r="JT545" i="1"/>
  <c r="JR546" i="1"/>
  <c r="JT547" i="1"/>
  <c r="JR548" i="1"/>
  <c r="JT549" i="1"/>
  <c r="JR550" i="1"/>
  <c r="JT551" i="1"/>
  <c r="JR552" i="1"/>
  <c r="JS554" i="1"/>
  <c r="JS555" i="1"/>
  <c r="JS557" i="1"/>
  <c r="JS559" i="1"/>
  <c r="JS561" i="1"/>
  <c r="JT562" i="1"/>
  <c r="JR563" i="1"/>
  <c r="JT564" i="1"/>
  <c r="JS566" i="1"/>
  <c r="JS575" i="1"/>
  <c r="JS583" i="1"/>
  <c r="JR586" i="1"/>
  <c r="JR609" i="1"/>
  <c r="JS647" i="1"/>
  <c r="JR647" i="1"/>
  <c r="JT663" i="1"/>
  <c r="JR663" i="1"/>
  <c r="JT667" i="1"/>
  <c r="JR667" i="1"/>
  <c r="JT687" i="1"/>
  <c r="JR687" i="1"/>
  <c r="JS709" i="1"/>
  <c r="JR709" i="1"/>
  <c r="JR734" i="1"/>
  <c r="JS734" i="1"/>
  <c r="JR742" i="1"/>
  <c r="JS742" i="1"/>
  <c r="JR576" i="1"/>
  <c r="JR579" i="1"/>
  <c r="JR584" i="1"/>
  <c r="JR587" i="1"/>
  <c r="JT592" i="1"/>
  <c r="JR595" i="1"/>
  <c r="JT613" i="1"/>
  <c r="JT617" i="1"/>
  <c r="JT621" i="1"/>
  <c r="JT625" i="1"/>
  <c r="JR631" i="1"/>
  <c r="JR635" i="1"/>
  <c r="JT641" i="1"/>
  <c r="JT645" i="1"/>
  <c r="JR645" i="1"/>
  <c r="JS649" i="1"/>
  <c r="JR649" i="1"/>
  <c r="JR652" i="1"/>
  <c r="JT656" i="1"/>
  <c r="JR656" i="1"/>
  <c r="JT674" i="1"/>
  <c r="JR674" i="1"/>
  <c r="JT691" i="1"/>
  <c r="JR691" i="1"/>
  <c r="JT695" i="1"/>
  <c r="JR695" i="1"/>
  <c r="JT699" i="1"/>
  <c r="JR699" i="1"/>
  <c r="JT703" i="1"/>
  <c r="JR703" i="1"/>
  <c r="JT711" i="1"/>
  <c r="JR711" i="1"/>
  <c r="JS712" i="1"/>
  <c r="JR712" i="1"/>
  <c r="JR570" i="1"/>
  <c r="JT571" i="1"/>
  <c r="JR574" i="1"/>
  <c r="JR577" i="1"/>
  <c r="JR582" i="1"/>
  <c r="JR585" i="1"/>
  <c r="JR593" i="1"/>
  <c r="JR598" i="1"/>
  <c r="JR601" i="1"/>
  <c r="JR608" i="1"/>
  <c r="JR611" i="1"/>
  <c r="JR615" i="1"/>
  <c r="JR619" i="1"/>
  <c r="JR623" i="1"/>
  <c r="JT635" i="1"/>
  <c r="JR639" i="1"/>
  <c r="JR643" i="1"/>
  <c r="JR657" i="1"/>
  <c r="JR661" i="1"/>
  <c r="JT665" i="1"/>
  <c r="JR665" i="1"/>
  <c r="JR681" i="1"/>
  <c r="JT685" i="1"/>
  <c r="JR685" i="1"/>
  <c r="JR721" i="1"/>
  <c r="JT721" i="1"/>
  <c r="JR725" i="1"/>
  <c r="JT725" i="1"/>
  <c r="JR738" i="1"/>
  <c r="JS738" i="1"/>
  <c r="JT568" i="1"/>
  <c r="JR572" i="1"/>
  <c r="JR580" i="1"/>
  <c r="JR627" i="1"/>
  <c r="JR630" i="1"/>
  <c r="JS650" i="1"/>
  <c r="JR650" i="1"/>
  <c r="JT672" i="1"/>
  <c r="JR672" i="1"/>
  <c r="JT676" i="1"/>
  <c r="JR676" i="1"/>
  <c r="JT677" i="1"/>
  <c r="JR677" i="1"/>
  <c r="JT678" i="1"/>
  <c r="JR678" i="1"/>
  <c r="JT689" i="1"/>
  <c r="JR689" i="1"/>
  <c r="JT693" i="1"/>
  <c r="JR693" i="1"/>
  <c r="JT697" i="1"/>
  <c r="JR697" i="1"/>
  <c r="JT701" i="1"/>
  <c r="JR701" i="1"/>
  <c r="JT747" i="1"/>
  <c r="JR747" i="1"/>
  <c r="JT705" i="1"/>
  <c r="JR714" i="1"/>
  <c r="JS718" i="1"/>
  <c r="JS735" i="1"/>
  <c r="JS739" i="1"/>
  <c r="JR748" i="1"/>
  <c r="JT748" i="1"/>
  <c r="JT759" i="1"/>
  <c r="JR759" i="1"/>
  <c r="JS760" i="1"/>
  <c r="JR760" i="1"/>
  <c r="JS762" i="1"/>
  <c r="JR762" i="1"/>
  <c r="JS764" i="1"/>
  <c r="JR764" i="1"/>
  <c r="JR719" i="1"/>
  <c r="JR723" i="1"/>
  <c r="JT731" i="1"/>
  <c r="JR731" i="1"/>
  <c r="JR767" i="1"/>
  <c r="JT777" i="1"/>
  <c r="JR777" i="1"/>
  <c r="JS778" i="1"/>
  <c r="JR778" i="1"/>
  <c r="JR728" i="1"/>
  <c r="JT728" i="1"/>
  <c r="JT729" i="1"/>
  <c r="JR729" i="1"/>
  <c r="JR743" i="1"/>
  <c r="JT743" i="1"/>
  <c r="JS761" i="1"/>
  <c r="JR761" i="1"/>
  <c r="JS763" i="1"/>
  <c r="JR763" i="1"/>
  <c r="JT768" i="1"/>
  <c r="JR768" i="1"/>
  <c r="JT833" i="1"/>
  <c r="JR833" i="1"/>
  <c r="JR883" i="1"/>
  <c r="JT883" i="1"/>
  <c r="JT884" i="1"/>
  <c r="JR884" i="1"/>
  <c r="JS909" i="1"/>
  <c r="JR909" i="1"/>
  <c r="JT929" i="1"/>
  <c r="JR929" i="1"/>
  <c r="JT937" i="1"/>
  <c r="JT941" i="1"/>
  <c r="JR941" i="1"/>
  <c r="JT947" i="1"/>
  <c r="JR947" i="1"/>
  <c r="JR770" i="1"/>
  <c r="JR771" i="1"/>
  <c r="JR772" i="1"/>
  <c r="JR780" i="1"/>
  <c r="JR785" i="1"/>
  <c r="JR788" i="1"/>
  <c r="JR793" i="1"/>
  <c r="JR796" i="1"/>
  <c r="JR801" i="1"/>
  <c r="JR804" i="1"/>
  <c r="JR809" i="1"/>
  <c r="JR812" i="1"/>
  <c r="JT814" i="1"/>
  <c r="JT816" i="1"/>
  <c r="JT818" i="1"/>
  <c r="JT822" i="1"/>
  <c r="JT826" i="1"/>
  <c r="JR826" i="1"/>
  <c r="JT830" i="1"/>
  <c r="JR830" i="1"/>
  <c r="JT836" i="1"/>
  <c r="JR836" i="1"/>
  <c r="JT840" i="1"/>
  <c r="JR840" i="1"/>
  <c r="JT844" i="1"/>
  <c r="JR844" i="1"/>
  <c r="JT848" i="1"/>
  <c r="JR848" i="1"/>
  <c r="JT852" i="1"/>
  <c r="JR852" i="1"/>
  <c r="JT856" i="1"/>
  <c r="JR856" i="1"/>
  <c r="JT860" i="1"/>
  <c r="JR860" i="1"/>
  <c r="JT864" i="1"/>
  <c r="JR864" i="1"/>
  <c r="JT868" i="1"/>
  <c r="JR868" i="1"/>
  <c r="JT872" i="1"/>
  <c r="JR872" i="1"/>
  <c r="JS901" i="1"/>
  <c r="JR901" i="1"/>
  <c r="JT913" i="1"/>
  <c r="JR913" i="1"/>
  <c r="JR726" i="1"/>
  <c r="JR746" i="1"/>
  <c r="JR775" i="1"/>
  <c r="JR783" i="1"/>
  <c r="JR786" i="1"/>
  <c r="JR794" i="1"/>
  <c r="JR802" i="1"/>
  <c r="JR810" i="1"/>
  <c r="JR813" i="1"/>
  <c r="JR815" i="1"/>
  <c r="JR817" i="1"/>
  <c r="JR820" i="1"/>
  <c r="JS832" i="1"/>
  <c r="JR832" i="1"/>
  <c r="JS874" i="1"/>
  <c r="JR874" i="1"/>
  <c r="JR745" i="1"/>
  <c r="JR773" i="1"/>
  <c r="JR781" i="1"/>
  <c r="JT828" i="1"/>
  <c r="JR828" i="1"/>
  <c r="JS839" i="1"/>
  <c r="JR839" i="1"/>
  <c r="JS843" i="1"/>
  <c r="JR843" i="1"/>
  <c r="JS847" i="1"/>
  <c r="JR847" i="1"/>
  <c r="JS851" i="1"/>
  <c r="JR851" i="1"/>
  <c r="JS855" i="1"/>
  <c r="JR855" i="1"/>
  <c r="JS859" i="1"/>
  <c r="JR859" i="1"/>
  <c r="JS863" i="1"/>
  <c r="JR863" i="1"/>
  <c r="JS867" i="1"/>
  <c r="JR867" i="1"/>
  <c r="JS871" i="1"/>
  <c r="JR871" i="1"/>
  <c r="JS876" i="1"/>
  <c r="JR876" i="1"/>
  <c r="JS893" i="1"/>
  <c r="JR893" i="1"/>
  <c r="JT895" i="1"/>
  <c r="JR895" i="1"/>
  <c r="JS896" i="1"/>
  <c r="JR896" i="1"/>
  <c r="JT903" i="1"/>
  <c r="JR903" i="1"/>
  <c r="JS904" i="1"/>
  <c r="JR904" i="1"/>
  <c r="JT877" i="1"/>
  <c r="JR881" i="1"/>
  <c r="JT885" i="1"/>
  <c r="JR898" i="1"/>
  <c r="JR906" i="1"/>
  <c r="JS910" i="1"/>
  <c r="JT917" i="1"/>
  <c r="JR917" i="1"/>
  <c r="JT921" i="1"/>
  <c r="JR921" i="1"/>
  <c r="JR933" i="1"/>
  <c r="JR938" i="1"/>
  <c r="JR911" i="1"/>
  <c r="JR925" i="1"/>
  <c r="JR927" i="1"/>
  <c r="JT936" i="1"/>
  <c r="JR936" i="1"/>
  <c r="JP937" i="1"/>
  <c r="JS937" i="1"/>
  <c r="CE937" i="1"/>
  <c r="JT943" i="1"/>
  <c r="JR943" i="1"/>
  <c r="JT915" i="1"/>
  <c r="JR915" i="1"/>
  <c r="JT919" i="1"/>
  <c r="JR919" i="1"/>
  <c r="JT923" i="1"/>
  <c r="JR923" i="1"/>
  <c r="JT945" i="1"/>
  <c r="JR945" i="1"/>
  <c r="JT950" i="1"/>
  <c r="JR950" i="1"/>
  <c r="JT951" i="1"/>
  <c r="I107" i="20"/>
  <c r="A101" i="20"/>
  <c r="I101" i="20"/>
  <c r="M95" i="20"/>
  <c r="A95" i="20"/>
  <c r="JR937" i="1"/>
  <c r="D22" i="20"/>
  <c r="B22" i="20"/>
  <c r="D20" i="20"/>
  <c r="B20" i="20"/>
  <c r="F10" i="20"/>
  <c r="D10" i="20"/>
  <c r="AB46" i="20"/>
  <c r="AA46" i="20"/>
  <c r="A46" i="20"/>
  <c r="Z46" i="20"/>
  <c r="AB42" i="20"/>
  <c r="AA42" i="20"/>
  <c r="A42" i="20"/>
  <c r="Z42" i="20"/>
  <c r="AB38" i="20"/>
  <c r="AA38" i="20"/>
  <c r="A38" i="20"/>
  <c r="Z38" i="20"/>
  <c r="Z34" i="20"/>
  <c r="Z30" i="20"/>
  <c r="AB34" i="20"/>
  <c r="AA34" i="20"/>
  <c r="A34" i="20"/>
  <c r="AB30" i="20"/>
  <c r="AA30" i="20"/>
  <c r="A30" i="20"/>
  <c r="W10" i="20"/>
  <c r="T10" i="20"/>
  <c r="F95" i="20"/>
  <c r="P10" i="20"/>
  <c r="H9" i="20"/>
  <c r="B10" i="20"/>
  <c r="B12" i="20"/>
  <c r="A3" i="20"/>
  <c r="F1" i="20"/>
  <c r="J6" i="18"/>
  <c r="I6" i="18"/>
  <c r="KW2" i="1"/>
  <c r="B24" i="20"/>
  <c r="D24" i="20"/>
  <c r="B38" i="20"/>
  <c r="B46" i="20"/>
  <c r="B30" i="20"/>
  <c r="B34" i="20"/>
  <c r="B42" i="20"/>
  <c r="D13" i="20"/>
  <c r="Y423" i="18"/>
  <c r="V423" i="18"/>
  <c r="U423" i="18"/>
  <c r="T423" i="18"/>
  <c r="S423" i="18"/>
  <c r="R423" i="18"/>
  <c r="Q423" i="18"/>
  <c r="AB323" i="18"/>
  <c r="AA323" i="18"/>
  <c r="Z323" i="18"/>
  <c r="Q321" i="18"/>
  <c r="Y317" i="18"/>
  <c r="V317" i="18"/>
  <c r="U317" i="18"/>
  <c r="T317" i="18"/>
  <c r="S317" i="18"/>
  <c r="R317" i="18"/>
  <c r="Q317" i="18"/>
  <c r="AB217" i="18"/>
  <c r="AA217" i="18"/>
  <c r="Z217" i="18"/>
  <c r="Q215" i="18"/>
  <c r="Y211" i="18"/>
  <c r="V211" i="18"/>
  <c r="U211" i="18"/>
  <c r="T211" i="18"/>
  <c r="S211" i="18"/>
  <c r="R211" i="18"/>
  <c r="Q211" i="18"/>
  <c r="AB111" i="18"/>
  <c r="AA111" i="18"/>
  <c r="Z111" i="18"/>
  <c r="Q109" i="18"/>
  <c r="K105" i="18"/>
  <c r="J105" i="18"/>
  <c r="I105" i="18"/>
  <c r="K104" i="18"/>
  <c r="K103" i="18"/>
  <c r="J103" i="18"/>
  <c r="I103" i="18"/>
  <c r="K102" i="18"/>
  <c r="J102" i="18"/>
  <c r="I102" i="18"/>
  <c r="K101" i="18"/>
  <c r="J101" i="18"/>
  <c r="I101" i="18"/>
  <c r="K100" i="18"/>
  <c r="K99" i="18"/>
  <c r="J99" i="18"/>
  <c r="I99" i="18"/>
  <c r="K98" i="18"/>
  <c r="J98" i="18"/>
  <c r="I98" i="18"/>
  <c r="K97" i="18"/>
  <c r="J97" i="18"/>
  <c r="I97" i="18"/>
  <c r="K96" i="18"/>
  <c r="J96" i="18"/>
  <c r="I96" i="18"/>
  <c r="K95" i="18"/>
  <c r="J95" i="18"/>
  <c r="I95" i="18"/>
  <c r="K94" i="18"/>
  <c r="J94" i="18"/>
  <c r="I94" i="18"/>
  <c r="K93" i="18"/>
  <c r="J93" i="18"/>
  <c r="I93" i="18"/>
  <c r="K92" i="18"/>
  <c r="J92" i="18"/>
  <c r="I92" i="18"/>
  <c r="K91" i="18"/>
  <c r="J91" i="18"/>
  <c r="I91" i="18"/>
  <c r="K90" i="18"/>
  <c r="J90" i="18"/>
  <c r="I90" i="18"/>
  <c r="K89" i="18"/>
  <c r="J89" i="18"/>
  <c r="I89" i="18"/>
  <c r="K88" i="18"/>
  <c r="J88" i="18"/>
  <c r="I88" i="18"/>
  <c r="K87" i="18"/>
  <c r="J87" i="18"/>
  <c r="I87" i="18"/>
  <c r="K86" i="18"/>
  <c r="J86" i="18"/>
  <c r="I86" i="18"/>
  <c r="K85" i="18"/>
  <c r="J85" i="18"/>
  <c r="I85" i="18"/>
  <c r="K84" i="18"/>
  <c r="J84" i="18"/>
  <c r="I84" i="18"/>
  <c r="K83" i="18"/>
  <c r="J83" i="18"/>
  <c r="I83" i="18"/>
  <c r="K82" i="18"/>
  <c r="J82" i="18"/>
  <c r="I82" i="18"/>
  <c r="K81" i="18"/>
  <c r="J81" i="18"/>
  <c r="I81" i="18"/>
  <c r="K80" i="18"/>
  <c r="J80" i="18"/>
  <c r="I80" i="18"/>
  <c r="K79" i="18"/>
  <c r="J79" i="18"/>
  <c r="I79" i="18"/>
  <c r="K78" i="18"/>
  <c r="J78" i="18"/>
  <c r="I78" i="18"/>
  <c r="K77" i="18"/>
  <c r="J77" i="18"/>
  <c r="I77" i="18"/>
  <c r="K76" i="18"/>
  <c r="J76" i="18"/>
  <c r="I76" i="18"/>
  <c r="K75" i="18"/>
  <c r="J75" i="18"/>
  <c r="I75" i="18"/>
  <c r="K74" i="18"/>
  <c r="J74" i="18"/>
  <c r="I74" i="18"/>
  <c r="K73" i="18"/>
  <c r="J73" i="18"/>
  <c r="I73" i="18"/>
  <c r="K72" i="18"/>
  <c r="J72" i="18"/>
  <c r="I72" i="18"/>
  <c r="K71" i="18"/>
  <c r="J71" i="18"/>
  <c r="I71" i="18"/>
  <c r="K70" i="18"/>
  <c r="J70" i="18"/>
  <c r="I70" i="18"/>
  <c r="K69" i="18"/>
  <c r="J69" i="18"/>
  <c r="K68" i="18"/>
  <c r="J68" i="18"/>
  <c r="I68" i="18"/>
  <c r="K67" i="18"/>
  <c r="J67" i="18"/>
  <c r="I67" i="18"/>
  <c r="K66" i="18"/>
  <c r="J66" i="18"/>
  <c r="I66" i="18"/>
  <c r="K65" i="18"/>
  <c r="J65" i="18"/>
  <c r="I65" i="18"/>
  <c r="K64" i="18"/>
  <c r="J64" i="18"/>
  <c r="I64" i="18"/>
  <c r="K63" i="18"/>
  <c r="J63" i="18"/>
  <c r="I63" i="18"/>
  <c r="K62" i="18"/>
  <c r="J62" i="18"/>
  <c r="I62" i="18"/>
  <c r="K61" i="18"/>
  <c r="J61" i="18"/>
  <c r="I61" i="18"/>
  <c r="K60" i="18"/>
  <c r="J60" i="18"/>
  <c r="I60" i="18"/>
  <c r="K59" i="18"/>
  <c r="J59" i="18"/>
  <c r="I59" i="18"/>
  <c r="K58" i="18"/>
  <c r="J58" i="18"/>
  <c r="I58" i="18"/>
  <c r="K57" i="18"/>
  <c r="J57" i="18"/>
  <c r="I57" i="18"/>
  <c r="K56" i="18"/>
  <c r="J56" i="18"/>
  <c r="I56" i="18"/>
  <c r="K55" i="18"/>
  <c r="J55" i="18"/>
  <c r="K54" i="18"/>
  <c r="J54" i="18"/>
  <c r="I54" i="18"/>
  <c r="K53" i="18"/>
  <c r="J53" i="18"/>
  <c r="I53" i="18"/>
  <c r="K52" i="18"/>
  <c r="J52" i="18"/>
  <c r="I52" i="18"/>
  <c r="K51" i="18"/>
  <c r="J51" i="18"/>
  <c r="I51" i="18"/>
  <c r="K50" i="18"/>
  <c r="J50" i="18"/>
  <c r="I50" i="18"/>
  <c r="K49" i="18"/>
  <c r="J49" i="18"/>
  <c r="I49" i="18"/>
  <c r="K48" i="18"/>
  <c r="J48" i="18"/>
  <c r="I48" i="18"/>
  <c r="K47" i="18"/>
  <c r="J47" i="18"/>
  <c r="I47" i="18"/>
  <c r="K46" i="18"/>
  <c r="J46" i="18"/>
  <c r="I46" i="18"/>
  <c r="K45" i="18"/>
  <c r="J45" i="18"/>
  <c r="I45" i="18"/>
  <c r="K44" i="18"/>
  <c r="J44" i="18"/>
  <c r="I44" i="18"/>
  <c r="K43" i="18"/>
  <c r="J43" i="18"/>
  <c r="I43" i="18"/>
  <c r="K42" i="18"/>
  <c r="J42" i="18"/>
  <c r="K41" i="18"/>
  <c r="J41" i="18"/>
  <c r="I41" i="18"/>
  <c r="K40" i="18"/>
  <c r="J40" i="18"/>
  <c r="I40" i="18"/>
  <c r="K39" i="18"/>
  <c r="J39" i="18"/>
  <c r="I39" i="18"/>
  <c r="K38" i="18"/>
  <c r="J38" i="18"/>
  <c r="I38" i="18"/>
  <c r="K37" i="18"/>
  <c r="J37" i="18"/>
  <c r="I37" i="18"/>
  <c r="K36" i="18"/>
  <c r="J36" i="18"/>
  <c r="K35" i="18"/>
  <c r="J35" i="18"/>
  <c r="I35" i="18"/>
  <c r="K34" i="18"/>
  <c r="J34" i="18"/>
  <c r="I34" i="18"/>
  <c r="K33" i="18"/>
  <c r="J33" i="18"/>
  <c r="I33" i="18"/>
  <c r="K32" i="18"/>
  <c r="J32" i="18"/>
  <c r="I32" i="18"/>
  <c r="K31" i="18"/>
  <c r="J31" i="18"/>
  <c r="I31" i="18"/>
  <c r="K30" i="18"/>
  <c r="J30" i="18"/>
  <c r="I30" i="18"/>
  <c r="K29" i="18"/>
  <c r="J29" i="18"/>
  <c r="I29" i="18"/>
  <c r="K28" i="18"/>
  <c r="J28" i="18"/>
  <c r="I28" i="18"/>
  <c r="K27" i="18"/>
  <c r="J27" i="18"/>
  <c r="I27" i="18"/>
  <c r="K26" i="18"/>
  <c r="J26" i="18"/>
  <c r="I26" i="18"/>
  <c r="K25" i="18"/>
  <c r="J25" i="18"/>
  <c r="I25" i="18"/>
  <c r="K24" i="18"/>
  <c r="J24" i="18"/>
  <c r="K23" i="18"/>
  <c r="J23" i="18"/>
  <c r="I23" i="18"/>
  <c r="K22" i="18"/>
  <c r="J22" i="18"/>
  <c r="I22" i="18"/>
  <c r="K21" i="18"/>
  <c r="J21" i="18"/>
  <c r="I21" i="18"/>
  <c r="K20" i="18"/>
  <c r="J20" i="18"/>
  <c r="I20" i="18"/>
  <c r="K19" i="18"/>
  <c r="J19" i="18"/>
  <c r="I19" i="18"/>
  <c r="K18" i="18"/>
  <c r="J18" i="18"/>
  <c r="I18" i="18"/>
  <c r="K17" i="18"/>
  <c r="J17" i="18"/>
  <c r="I17" i="18"/>
  <c r="K16" i="18"/>
  <c r="J16" i="18"/>
  <c r="I16" i="18"/>
  <c r="K15" i="18"/>
  <c r="J15" i="18"/>
  <c r="K14" i="18"/>
  <c r="J14" i="18"/>
  <c r="I14" i="18"/>
  <c r="K13" i="18"/>
  <c r="J13" i="18"/>
  <c r="I13" i="18"/>
  <c r="K12" i="18"/>
  <c r="J12" i="18"/>
  <c r="I12" i="18"/>
  <c r="K11" i="18"/>
  <c r="J11" i="18"/>
  <c r="I11" i="18"/>
  <c r="K10" i="18"/>
  <c r="J10" i="18"/>
  <c r="I10" i="18"/>
  <c r="K9" i="18"/>
  <c r="J9" i="18"/>
  <c r="I9" i="18"/>
  <c r="K8" i="18"/>
  <c r="J8" i="18"/>
  <c r="I8" i="18"/>
  <c r="K7" i="18"/>
  <c r="J7" i="18"/>
  <c r="I7" i="18"/>
  <c r="K6" i="18"/>
  <c r="Y529" i="16"/>
  <c r="V529" i="16"/>
  <c r="U529" i="16"/>
  <c r="T529" i="16"/>
  <c r="S529" i="16"/>
  <c r="R529" i="16"/>
  <c r="Q529" i="16"/>
  <c r="AB429" i="16"/>
  <c r="AA429" i="16"/>
  <c r="Z429" i="16"/>
  <c r="Q427" i="16"/>
  <c r="Y423" i="16"/>
  <c r="V423" i="16"/>
  <c r="U423" i="16"/>
  <c r="T423" i="16"/>
  <c r="S423" i="16"/>
  <c r="R423" i="16"/>
  <c r="Q423" i="16"/>
  <c r="AB323" i="16"/>
  <c r="AA323" i="16"/>
  <c r="Z323" i="16"/>
  <c r="Q321" i="16"/>
  <c r="Y317" i="16"/>
  <c r="V317" i="16"/>
  <c r="U317" i="16"/>
  <c r="T317" i="16"/>
  <c r="S317" i="16"/>
  <c r="R317" i="16"/>
  <c r="Q317" i="16"/>
  <c r="AB217" i="16"/>
  <c r="AA217" i="16"/>
  <c r="Z217" i="16"/>
  <c r="Q215" i="16"/>
  <c r="Y211" i="16"/>
  <c r="V211" i="16"/>
  <c r="U211" i="16"/>
  <c r="T211" i="16"/>
  <c r="S211" i="16"/>
  <c r="R211" i="16"/>
  <c r="Q211" i="16"/>
  <c r="AB111" i="16"/>
  <c r="AA111" i="16"/>
  <c r="Z111" i="16"/>
  <c r="Q109" i="16"/>
  <c r="K105" i="16"/>
  <c r="J105" i="16"/>
  <c r="I105" i="16"/>
  <c r="K104" i="16"/>
  <c r="K103" i="16"/>
  <c r="J103" i="16"/>
  <c r="I103" i="16"/>
  <c r="K102" i="16"/>
  <c r="J102" i="16"/>
  <c r="I102" i="16"/>
  <c r="K101" i="16"/>
  <c r="J101" i="16"/>
  <c r="I101" i="16"/>
  <c r="K100" i="16"/>
  <c r="K99" i="16"/>
  <c r="J99" i="16"/>
  <c r="I99" i="16"/>
  <c r="K98" i="16"/>
  <c r="J98" i="16"/>
  <c r="I98" i="16"/>
  <c r="K97" i="16"/>
  <c r="J97" i="16"/>
  <c r="I97" i="16"/>
  <c r="K96" i="16"/>
  <c r="J96" i="16"/>
  <c r="I96" i="16"/>
  <c r="K95" i="16"/>
  <c r="J95" i="16"/>
  <c r="I95" i="16"/>
  <c r="K94" i="16"/>
  <c r="J94" i="16"/>
  <c r="I94" i="16"/>
  <c r="K93" i="16"/>
  <c r="J93" i="16"/>
  <c r="I93" i="16"/>
  <c r="K92" i="16"/>
  <c r="J92" i="16"/>
  <c r="I92" i="16"/>
  <c r="K91" i="16"/>
  <c r="J91" i="16"/>
  <c r="I91" i="16"/>
  <c r="K90" i="16"/>
  <c r="J90" i="16"/>
  <c r="I90" i="16"/>
  <c r="K89" i="16"/>
  <c r="J89" i="16"/>
  <c r="I89" i="16"/>
  <c r="K88" i="16"/>
  <c r="J88" i="16"/>
  <c r="I88" i="16"/>
  <c r="K87" i="16"/>
  <c r="J87" i="16"/>
  <c r="I87" i="16"/>
  <c r="K86" i="16"/>
  <c r="J86" i="16"/>
  <c r="I86" i="16"/>
  <c r="K85" i="16"/>
  <c r="J85" i="16"/>
  <c r="I85" i="16"/>
  <c r="K84" i="16"/>
  <c r="J84" i="16"/>
  <c r="I84" i="16"/>
  <c r="K83" i="16"/>
  <c r="J83" i="16"/>
  <c r="I83" i="16"/>
  <c r="K82" i="16"/>
  <c r="J82" i="16"/>
  <c r="I82" i="16"/>
  <c r="K81" i="16"/>
  <c r="J81" i="16"/>
  <c r="I81" i="16"/>
  <c r="K80" i="16"/>
  <c r="J80" i="16"/>
  <c r="I80" i="16"/>
  <c r="K79" i="16"/>
  <c r="J79" i="16"/>
  <c r="I79" i="16"/>
  <c r="K78" i="16"/>
  <c r="J78" i="16"/>
  <c r="I78" i="16"/>
  <c r="K77" i="16"/>
  <c r="J77" i="16"/>
  <c r="I77" i="16"/>
  <c r="K76" i="16"/>
  <c r="J76" i="16"/>
  <c r="I76" i="16"/>
  <c r="K75" i="16"/>
  <c r="J75" i="16"/>
  <c r="I75" i="16"/>
  <c r="K74" i="16"/>
  <c r="J74" i="16"/>
  <c r="I74" i="16"/>
  <c r="K73" i="16"/>
  <c r="J73" i="16"/>
  <c r="I73" i="16"/>
  <c r="K72" i="16"/>
  <c r="J72" i="16"/>
  <c r="I72" i="16"/>
  <c r="K71" i="16"/>
  <c r="J71" i="16"/>
  <c r="I71" i="16"/>
  <c r="K70" i="16"/>
  <c r="J70" i="16"/>
  <c r="I70" i="16"/>
  <c r="K69" i="16"/>
  <c r="J69" i="16"/>
  <c r="K68" i="16"/>
  <c r="J68" i="16"/>
  <c r="I68" i="16"/>
  <c r="K67" i="16"/>
  <c r="J67" i="16"/>
  <c r="I67" i="16"/>
  <c r="K66" i="16"/>
  <c r="J66" i="16"/>
  <c r="I66" i="16"/>
  <c r="K65" i="16"/>
  <c r="J65" i="16"/>
  <c r="I65" i="16"/>
  <c r="K64" i="16"/>
  <c r="J64" i="16"/>
  <c r="I64" i="16"/>
  <c r="K63" i="16"/>
  <c r="J63" i="16"/>
  <c r="I63" i="16"/>
  <c r="K62" i="16"/>
  <c r="J62" i="16"/>
  <c r="I62" i="16"/>
  <c r="K61" i="16"/>
  <c r="J61" i="16"/>
  <c r="I61" i="16"/>
  <c r="K60" i="16"/>
  <c r="J60" i="16"/>
  <c r="I60" i="16"/>
  <c r="K59" i="16"/>
  <c r="J59" i="16"/>
  <c r="I59" i="16"/>
  <c r="K58" i="16"/>
  <c r="J58" i="16"/>
  <c r="I58" i="16"/>
  <c r="K57" i="16"/>
  <c r="J57" i="16"/>
  <c r="I57" i="16"/>
  <c r="K56" i="16"/>
  <c r="J56" i="16"/>
  <c r="I56" i="16"/>
  <c r="K55" i="16"/>
  <c r="J55" i="16"/>
  <c r="K54" i="16"/>
  <c r="J54" i="16"/>
  <c r="I54" i="16"/>
  <c r="K53" i="16"/>
  <c r="J53" i="16"/>
  <c r="I53" i="16"/>
  <c r="K52" i="16"/>
  <c r="J52" i="16"/>
  <c r="I52" i="16"/>
  <c r="K51" i="16"/>
  <c r="J51" i="16"/>
  <c r="I51" i="16"/>
  <c r="K50" i="16"/>
  <c r="J50" i="16"/>
  <c r="I50" i="16"/>
  <c r="K49" i="16"/>
  <c r="J49" i="16"/>
  <c r="I49" i="16"/>
  <c r="K48" i="16"/>
  <c r="J48" i="16"/>
  <c r="I48" i="16"/>
  <c r="K47" i="16"/>
  <c r="J47" i="16"/>
  <c r="I47" i="16"/>
  <c r="K46" i="16"/>
  <c r="J46" i="16"/>
  <c r="I46" i="16"/>
  <c r="K45" i="16"/>
  <c r="J45" i="16"/>
  <c r="I45" i="16"/>
  <c r="K44" i="16"/>
  <c r="J44" i="16"/>
  <c r="I44" i="16"/>
  <c r="K43" i="16"/>
  <c r="J43" i="16"/>
  <c r="I43" i="16"/>
  <c r="K42" i="16"/>
  <c r="J42" i="16"/>
  <c r="K41" i="16"/>
  <c r="J41" i="16"/>
  <c r="I41" i="16"/>
  <c r="K40" i="16"/>
  <c r="J40" i="16"/>
  <c r="I40" i="16"/>
  <c r="K39" i="16"/>
  <c r="J39" i="16"/>
  <c r="I39" i="16"/>
  <c r="K38" i="16"/>
  <c r="J38" i="16"/>
  <c r="I38" i="16"/>
  <c r="K37" i="16"/>
  <c r="J37" i="16"/>
  <c r="I37" i="16"/>
  <c r="K36" i="16"/>
  <c r="J36" i="16"/>
  <c r="K35" i="16"/>
  <c r="J35" i="16"/>
  <c r="I35" i="16"/>
  <c r="K34" i="16"/>
  <c r="J34" i="16"/>
  <c r="I34" i="16"/>
  <c r="K33" i="16"/>
  <c r="J33" i="16"/>
  <c r="I33" i="16"/>
  <c r="K32" i="16"/>
  <c r="J32" i="16"/>
  <c r="I32" i="16"/>
  <c r="K31" i="16"/>
  <c r="J31" i="16"/>
  <c r="I31" i="16"/>
  <c r="K30" i="16"/>
  <c r="J30" i="16"/>
  <c r="I30" i="16"/>
  <c r="K29" i="16"/>
  <c r="J29" i="16"/>
  <c r="I29" i="16"/>
  <c r="K28" i="16"/>
  <c r="J28" i="16"/>
  <c r="I28" i="16"/>
  <c r="K27" i="16"/>
  <c r="J27" i="16"/>
  <c r="I27" i="16"/>
  <c r="K26" i="16"/>
  <c r="J26" i="16"/>
  <c r="I26" i="16"/>
  <c r="K25" i="16"/>
  <c r="J25" i="16"/>
  <c r="I25" i="16"/>
  <c r="K24" i="16"/>
  <c r="J24" i="16"/>
  <c r="K23" i="16"/>
  <c r="J23" i="16"/>
  <c r="I23" i="16"/>
  <c r="K22" i="16"/>
  <c r="J22" i="16"/>
  <c r="I22" i="16"/>
  <c r="K21" i="16"/>
  <c r="J21" i="16"/>
  <c r="I21" i="16"/>
  <c r="K20" i="16"/>
  <c r="J20" i="16"/>
  <c r="I20" i="16"/>
  <c r="K19" i="16"/>
  <c r="J19" i="16"/>
  <c r="I19" i="16"/>
  <c r="K18" i="16"/>
  <c r="J18" i="16"/>
  <c r="I18" i="16"/>
  <c r="K17" i="16"/>
  <c r="J17" i="16"/>
  <c r="I17" i="16"/>
  <c r="K16" i="16"/>
  <c r="J16" i="16"/>
  <c r="I16" i="16"/>
  <c r="K15" i="16"/>
  <c r="J15" i="16"/>
  <c r="K14" i="16"/>
  <c r="J14" i="16"/>
  <c r="I14" i="16"/>
  <c r="K13" i="16"/>
  <c r="J13" i="16"/>
  <c r="I13" i="16"/>
  <c r="K12" i="16"/>
  <c r="J12" i="16"/>
  <c r="I12" i="16"/>
  <c r="K11" i="16"/>
  <c r="J11" i="16"/>
  <c r="I11" i="16"/>
  <c r="K10" i="16"/>
  <c r="J10" i="16"/>
  <c r="I10" i="16"/>
  <c r="K9" i="16"/>
  <c r="J9" i="16"/>
  <c r="I9" i="16"/>
  <c r="K8" i="16"/>
  <c r="J8" i="16"/>
  <c r="I8" i="16"/>
  <c r="K7" i="16"/>
  <c r="J7" i="16"/>
  <c r="I7" i="16"/>
  <c r="K6" i="16"/>
  <c r="J6" i="16"/>
  <c r="I6" i="16"/>
  <c r="Y529" i="15"/>
  <c r="V529" i="15"/>
  <c r="U529" i="15"/>
  <c r="T529" i="15"/>
  <c r="S529" i="15"/>
  <c r="R529" i="15"/>
  <c r="Q529" i="15"/>
  <c r="AB429" i="15"/>
  <c r="AA429" i="15"/>
  <c r="Z429" i="15"/>
  <c r="Q427" i="15"/>
  <c r="Y423" i="15"/>
  <c r="V423" i="15"/>
  <c r="U423" i="15"/>
  <c r="T423" i="15"/>
  <c r="S423" i="15"/>
  <c r="R423" i="15"/>
  <c r="Q423" i="15"/>
  <c r="AB323" i="15"/>
  <c r="AA323" i="15"/>
  <c r="Z323" i="15"/>
  <c r="Q321" i="15"/>
  <c r="Y317" i="15"/>
  <c r="V317" i="15"/>
  <c r="U317" i="15"/>
  <c r="T317" i="15"/>
  <c r="S317" i="15"/>
  <c r="R317" i="15"/>
  <c r="Q317" i="15"/>
  <c r="AB217" i="15"/>
  <c r="AA217" i="15"/>
  <c r="Z217" i="15"/>
  <c r="Q215" i="15"/>
  <c r="Y211" i="15"/>
  <c r="V211" i="15"/>
  <c r="U211" i="15"/>
  <c r="T211" i="15"/>
  <c r="S211" i="15"/>
  <c r="R211" i="15"/>
  <c r="Q211" i="15"/>
  <c r="AB111" i="15"/>
  <c r="AA111" i="15"/>
  <c r="Z111" i="15"/>
  <c r="Q109" i="15"/>
  <c r="K105" i="15"/>
  <c r="J105" i="15"/>
  <c r="I105" i="15"/>
  <c r="K104" i="15"/>
  <c r="K103" i="15"/>
  <c r="J103" i="15"/>
  <c r="I103" i="15"/>
  <c r="K102" i="15"/>
  <c r="J102" i="15"/>
  <c r="I102" i="15"/>
  <c r="K101" i="15"/>
  <c r="J101" i="15"/>
  <c r="I101" i="15"/>
  <c r="K100" i="15"/>
  <c r="K99" i="15"/>
  <c r="J99" i="15"/>
  <c r="I99" i="15"/>
  <c r="K98" i="15"/>
  <c r="J98" i="15"/>
  <c r="I98" i="15"/>
  <c r="K97" i="15"/>
  <c r="J97" i="15"/>
  <c r="I97" i="15"/>
  <c r="K96" i="15"/>
  <c r="J96" i="15"/>
  <c r="I96" i="15"/>
  <c r="K95" i="15"/>
  <c r="J95" i="15"/>
  <c r="I95" i="15"/>
  <c r="K94" i="15"/>
  <c r="J94" i="15"/>
  <c r="I94" i="15"/>
  <c r="K93" i="15"/>
  <c r="J93" i="15"/>
  <c r="I93" i="15"/>
  <c r="K92" i="15"/>
  <c r="J92" i="15"/>
  <c r="I92" i="15"/>
  <c r="K91" i="15"/>
  <c r="J91" i="15"/>
  <c r="I91" i="15"/>
  <c r="K90" i="15"/>
  <c r="J90" i="15"/>
  <c r="I90" i="15"/>
  <c r="K89" i="15"/>
  <c r="J89" i="15"/>
  <c r="I89" i="15"/>
  <c r="K88" i="15"/>
  <c r="J88" i="15"/>
  <c r="I88" i="15"/>
  <c r="K87" i="15"/>
  <c r="J87" i="15"/>
  <c r="I87" i="15"/>
  <c r="K86" i="15"/>
  <c r="J86" i="15"/>
  <c r="I86" i="15"/>
  <c r="K85" i="15"/>
  <c r="J85" i="15"/>
  <c r="I85" i="15"/>
  <c r="K84" i="15"/>
  <c r="J84" i="15"/>
  <c r="I84" i="15"/>
  <c r="K83" i="15"/>
  <c r="J83" i="15"/>
  <c r="I83" i="15"/>
  <c r="K82" i="15"/>
  <c r="J82" i="15"/>
  <c r="I82" i="15"/>
  <c r="K81" i="15"/>
  <c r="J81" i="15"/>
  <c r="I81" i="15"/>
  <c r="K80" i="15"/>
  <c r="J80" i="15"/>
  <c r="I80" i="15"/>
  <c r="K79" i="15"/>
  <c r="J79" i="15"/>
  <c r="I79" i="15"/>
  <c r="K78" i="15"/>
  <c r="J78" i="15"/>
  <c r="I78" i="15"/>
  <c r="K77" i="15"/>
  <c r="J77" i="15"/>
  <c r="I77" i="15"/>
  <c r="K76" i="15"/>
  <c r="J76" i="15"/>
  <c r="I76" i="15"/>
  <c r="K75" i="15"/>
  <c r="J75" i="15"/>
  <c r="I75" i="15"/>
  <c r="K74" i="15"/>
  <c r="J74" i="15"/>
  <c r="I74" i="15"/>
  <c r="K73" i="15"/>
  <c r="J73" i="15"/>
  <c r="I73" i="15"/>
  <c r="K72" i="15"/>
  <c r="J72" i="15"/>
  <c r="I72" i="15"/>
  <c r="K71" i="15"/>
  <c r="J71" i="15"/>
  <c r="I71" i="15"/>
  <c r="K70" i="15"/>
  <c r="J70" i="15"/>
  <c r="I70" i="15"/>
  <c r="K69" i="15"/>
  <c r="J69" i="15"/>
  <c r="K68" i="15"/>
  <c r="J68" i="15"/>
  <c r="I68" i="15"/>
  <c r="K67" i="15"/>
  <c r="J67" i="15"/>
  <c r="I67" i="15"/>
  <c r="K66" i="15"/>
  <c r="J66" i="15"/>
  <c r="I66" i="15"/>
  <c r="K65" i="15"/>
  <c r="J65" i="15"/>
  <c r="I65" i="15"/>
  <c r="K64" i="15"/>
  <c r="J64" i="15"/>
  <c r="I64" i="15"/>
  <c r="K63" i="15"/>
  <c r="J63" i="15"/>
  <c r="I63" i="15"/>
  <c r="K62" i="15"/>
  <c r="J62" i="15"/>
  <c r="I62" i="15"/>
  <c r="K61" i="15"/>
  <c r="J61" i="15"/>
  <c r="I61" i="15"/>
  <c r="K60" i="15"/>
  <c r="J60" i="15"/>
  <c r="I60" i="15"/>
  <c r="K59" i="15"/>
  <c r="J59" i="15"/>
  <c r="I59" i="15"/>
  <c r="K58" i="15"/>
  <c r="J58" i="15"/>
  <c r="I58" i="15"/>
  <c r="K57" i="15"/>
  <c r="J57" i="15"/>
  <c r="I57" i="15"/>
  <c r="K56" i="15"/>
  <c r="J56" i="15"/>
  <c r="I56" i="15"/>
  <c r="K55" i="15"/>
  <c r="J55" i="15"/>
  <c r="K54" i="15"/>
  <c r="J54" i="15"/>
  <c r="I54" i="15"/>
  <c r="K53" i="15"/>
  <c r="J53" i="15"/>
  <c r="I53" i="15"/>
  <c r="K52" i="15"/>
  <c r="J52" i="15"/>
  <c r="I52" i="15"/>
  <c r="K51" i="15"/>
  <c r="J51" i="15"/>
  <c r="I51" i="15"/>
  <c r="K50" i="15"/>
  <c r="J50" i="15"/>
  <c r="I50" i="15"/>
  <c r="K49" i="15"/>
  <c r="J49" i="15"/>
  <c r="I49" i="15"/>
  <c r="K48" i="15"/>
  <c r="J48" i="15"/>
  <c r="I48" i="15"/>
  <c r="K47" i="15"/>
  <c r="J47" i="15"/>
  <c r="I47" i="15"/>
  <c r="K46" i="15"/>
  <c r="J46" i="15"/>
  <c r="I46" i="15"/>
  <c r="K45" i="15"/>
  <c r="J45" i="15"/>
  <c r="I45" i="15"/>
  <c r="K44" i="15"/>
  <c r="J44" i="15"/>
  <c r="I44" i="15"/>
  <c r="K43" i="15"/>
  <c r="J43" i="15"/>
  <c r="I43" i="15"/>
  <c r="K42" i="15"/>
  <c r="J42" i="15"/>
  <c r="I42" i="15"/>
  <c r="K41" i="15"/>
  <c r="J41" i="15"/>
  <c r="I41" i="15"/>
  <c r="K40" i="15"/>
  <c r="J40" i="15"/>
  <c r="I40" i="15"/>
  <c r="K39" i="15"/>
  <c r="J39" i="15"/>
  <c r="I39" i="15"/>
  <c r="K38" i="15"/>
  <c r="J38" i="15"/>
  <c r="I38" i="15"/>
  <c r="K37" i="15"/>
  <c r="J37" i="15"/>
  <c r="I37" i="15"/>
  <c r="K36" i="15"/>
  <c r="J36" i="15"/>
  <c r="K35" i="15"/>
  <c r="J35" i="15"/>
  <c r="I35" i="15"/>
  <c r="K34" i="15"/>
  <c r="J34" i="15"/>
  <c r="I34" i="15"/>
  <c r="K33" i="15"/>
  <c r="J33" i="15"/>
  <c r="I33" i="15"/>
  <c r="K32" i="15"/>
  <c r="J32" i="15"/>
  <c r="I32" i="15"/>
  <c r="K31" i="15"/>
  <c r="J31" i="15"/>
  <c r="I31" i="15"/>
  <c r="K30" i="15"/>
  <c r="J30" i="15"/>
  <c r="I30" i="15"/>
  <c r="K29" i="15"/>
  <c r="J29" i="15"/>
  <c r="I29" i="15"/>
  <c r="K28" i="15"/>
  <c r="J28" i="15"/>
  <c r="I28" i="15"/>
  <c r="K27" i="15"/>
  <c r="J27" i="15"/>
  <c r="I27" i="15"/>
  <c r="K26" i="15"/>
  <c r="J26" i="15"/>
  <c r="I26" i="15"/>
  <c r="K25" i="15"/>
  <c r="J25" i="15"/>
  <c r="I25" i="15"/>
  <c r="K24" i="15"/>
  <c r="J24" i="15"/>
  <c r="K23" i="15"/>
  <c r="J23" i="15"/>
  <c r="I23" i="15"/>
  <c r="K22" i="15"/>
  <c r="J22" i="15"/>
  <c r="I22" i="15"/>
  <c r="K21" i="15"/>
  <c r="J21" i="15"/>
  <c r="I21" i="15"/>
  <c r="K20" i="15"/>
  <c r="J20" i="15"/>
  <c r="I20" i="15"/>
  <c r="K19" i="15"/>
  <c r="J19" i="15"/>
  <c r="I19" i="15"/>
  <c r="K18" i="15"/>
  <c r="J18" i="15"/>
  <c r="I18" i="15"/>
  <c r="K17" i="15"/>
  <c r="J17" i="15"/>
  <c r="I17" i="15"/>
  <c r="K16" i="15"/>
  <c r="J16" i="15"/>
  <c r="I16" i="15"/>
  <c r="K15" i="15"/>
  <c r="J15" i="15"/>
  <c r="K14" i="15"/>
  <c r="J14" i="15"/>
  <c r="I14" i="15"/>
  <c r="K13" i="15"/>
  <c r="J13" i="15"/>
  <c r="I13" i="15"/>
  <c r="K12" i="15"/>
  <c r="J12" i="15"/>
  <c r="I12" i="15"/>
  <c r="K11" i="15"/>
  <c r="J11" i="15"/>
  <c r="I11" i="15"/>
  <c r="K10" i="15"/>
  <c r="J10" i="15"/>
  <c r="I10" i="15"/>
  <c r="K9" i="15"/>
  <c r="J9" i="15"/>
  <c r="I9" i="15"/>
  <c r="K8" i="15"/>
  <c r="J8" i="15"/>
  <c r="I8" i="15"/>
  <c r="K7" i="15"/>
  <c r="J7" i="15"/>
  <c r="I7" i="15"/>
  <c r="K6" i="15"/>
  <c r="J6" i="15"/>
  <c r="I6" i="15"/>
  <c r="IV954" i="1"/>
  <c r="IU954" i="1"/>
  <c r="IT954" i="1"/>
  <c r="IP954" i="1"/>
  <c r="IO954" i="1"/>
  <c r="IN954" i="1"/>
  <c r="IM954" i="1"/>
  <c r="II954" i="1"/>
  <c r="IH954" i="1"/>
  <c r="IG954" i="1"/>
  <c r="IF954" i="1"/>
  <c r="HX954" i="1"/>
  <c r="HW954" i="1"/>
  <c r="HV954" i="1"/>
  <c r="HU954" i="1"/>
  <c r="HT954" i="1"/>
  <c r="HS954" i="1"/>
  <c r="HR954" i="1"/>
  <c r="HQ954" i="1"/>
  <c r="HL954" i="1"/>
  <c r="HK954" i="1"/>
  <c r="HH954" i="1"/>
  <c r="HG954" i="1"/>
  <c r="HF954" i="1"/>
  <c r="HE954" i="1"/>
  <c r="HD954" i="1"/>
  <c r="HC954" i="1"/>
  <c r="HA954" i="1"/>
  <c r="GZ954" i="1"/>
  <c r="GY954" i="1"/>
  <c r="GV954" i="1"/>
  <c r="GU954" i="1"/>
  <c r="GT954" i="1"/>
  <c r="GS954" i="1"/>
  <c r="GR954" i="1"/>
  <c r="GQ954" i="1"/>
  <c r="GP954" i="1"/>
  <c r="GO954" i="1"/>
  <c r="GN954" i="1"/>
  <c r="GM954" i="1"/>
  <c r="GL954" i="1"/>
  <c r="GK954" i="1"/>
  <c r="GJ954" i="1"/>
  <c r="GI954" i="1"/>
  <c r="GH954" i="1"/>
  <c r="GG954" i="1"/>
  <c r="GF954" i="1"/>
  <c r="GE954" i="1"/>
  <c r="GD954" i="1"/>
  <c r="GC954" i="1"/>
  <c r="GB954" i="1"/>
  <c r="GA954" i="1"/>
  <c r="FZ954" i="1"/>
  <c r="FY954" i="1"/>
  <c r="FX954" i="1"/>
  <c r="FW954" i="1"/>
  <c r="FV954" i="1"/>
  <c r="FU954" i="1"/>
  <c r="FT954" i="1"/>
  <c r="FS954" i="1"/>
  <c r="FR954" i="1"/>
  <c r="FP954" i="1"/>
  <c r="FO954" i="1"/>
  <c r="FN954" i="1"/>
  <c r="FM954" i="1"/>
  <c r="FL954" i="1"/>
  <c r="FK954" i="1"/>
  <c r="FJ954" i="1"/>
  <c r="FH954" i="1"/>
  <c r="FG954" i="1"/>
  <c r="FF954" i="1"/>
  <c r="FD954" i="1"/>
  <c r="FC954" i="1"/>
  <c r="FB954" i="1"/>
  <c r="FA954" i="1"/>
  <c r="EZ954" i="1"/>
  <c r="EY954" i="1"/>
  <c r="EX954" i="1"/>
  <c r="EW954" i="1"/>
  <c r="EV954" i="1"/>
  <c r="EU954" i="1"/>
  <c r="ET954" i="1"/>
  <c r="ES954" i="1"/>
  <c r="ER954" i="1"/>
  <c r="EQ954" i="1"/>
  <c r="EP954" i="1"/>
  <c r="EO954" i="1"/>
  <c r="EN954" i="1"/>
  <c r="EM954" i="1"/>
  <c r="EL954" i="1"/>
  <c r="EK954" i="1"/>
  <c r="EJ954" i="1"/>
  <c r="EI954" i="1"/>
  <c r="EH954" i="1"/>
  <c r="EG954" i="1"/>
  <c r="EF954" i="1"/>
  <c r="EE954" i="1"/>
  <c r="ED954" i="1"/>
  <c r="EC954" i="1"/>
  <c r="EB954" i="1"/>
  <c r="EA954" i="1"/>
  <c r="DZ954" i="1"/>
  <c r="DY954" i="1"/>
  <c r="DX954" i="1"/>
  <c r="DW954" i="1"/>
  <c r="DV954" i="1"/>
  <c r="DU954" i="1"/>
  <c r="DT954" i="1"/>
  <c r="DS954" i="1"/>
  <c r="DR954" i="1"/>
  <c r="DQ954" i="1"/>
  <c r="DP954" i="1"/>
  <c r="DO954" i="1"/>
  <c r="DN954" i="1"/>
  <c r="DM954" i="1"/>
  <c r="DL954" i="1"/>
  <c r="DK954" i="1"/>
  <c r="DJ954" i="1"/>
  <c r="DI954" i="1"/>
  <c r="DH954" i="1"/>
  <c r="DG954" i="1"/>
  <c r="DF954" i="1"/>
  <c r="DE954" i="1"/>
  <c r="DD954" i="1"/>
  <c r="DC954" i="1"/>
  <c r="DB954" i="1"/>
  <c r="DA954" i="1"/>
  <c r="CZ954" i="1"/>
  <c r="CY954" i="1"/>
  <c r="CX954" i="1"/>
  <c r="CW954" i="1"/>
  <c r="CV954" i="1"/>
  <c r="CU954" i="1"/>
  <c r="CT954" i="1"/>
  <c r="CS954" i="1"/>
  <c r="CR954" i="1"/>
  <c r="CQ954" i="1"/>
  <c r="CP954" i="1"/>
  <c r="CO954" i="1"/>
  <c r="CN954" i="1"/>
  <c r="CM954" i="1"/>
  <c r="CL954" i="1"/>
  <c r="CK954" i="1"/>
  <c r="CJ954" i="1"/>
  <c r="CI954" i="1"/>
  <c r="CH954" i="1"/>
  <c r="CG954" i="1"/>
  <c r="CF954" i="1"/>
  <c r="CE954" i="1"/>
  <c r="CD954" i="1"/>
  <c r="CC954" i="1"/>
  <c r="CA954" i="1"/>
  <c r="BZ954" i="1"/>
  <c r="BY954" i="1"/>
  <c r="BX954" i="1"/>
  <c r="BW954" i="1"/>
  <c r="BV954" i="1"/>
  <c r="BT954" i="1"/>
  <c r="BS954" i="1"/>
  <c r="BR954" i="1"/>
  <c r="BQ954" i="1"/>
  <c r="BP954" i="1"/>
  <c r="BO954" i="1"/>
  <c r="KY951" i="1"/>
  <c r="KX951" i="1"/>
  <c r="KW951" i="1"/>
  <c r="KV951" i="1"/>
  <c r="KU951" i="1"/>
  <c r="KT951" i="1"/>
  <c r="KO951" i="1"/>
  <c r="KN951" i="1"/>
  <c r="KK951" i="1"/>
  <c r="KJ951" i="1"/>
  <c r="KG951" i="1"/>
  <c r="KF951" i="1"/>
  <c r="KC951" i="1"/>
  <c r="KB951" i="1"/>
  <c r="JY951" i="1"/>
  <c r="JX951" i="1"/>
  <c r="KS951" i="1"/>
  <c r="KR951" i="1"/>
  <c r="KQ951" i="1"/>
  <c r="KY950" i="1"/>
  <c r="KX950" i="1"/>
  <c r="KW950" i="1"/>
  <c r="KV950" i="1"/>
  <c r="KU950" i="1"/>
  <c r="KT950" i="1"/>
  <c r="KS950" i="1"/>
  <c r="KR950" i="1"/>
  <c r="KQ950" i="1"/>
  <c r="KO950" i="1"/>
  <c r="KN950" i="1"/>
  <c r="KK950" i="1"/>
  <c r="KJ950" i="1"/>
  <c r="KG950" i="1"/>
  <c r="KF950" i="1"/>
  <c r="KC950" i="1"/>
  <c r="KB950" i="1"/>
  <c r="JY950" i="1"/>
  <c r="JX950" i="1"/>
  <c r="KY949" i="1"/>
  <c r="KX949" i="1"/>
  <c r="KW949" i="1"/>
  <c r="KV949" i="1"/>
  <c r="KU949" i="1"/>
  <c r="KT949" i="1"/>
  <c r="KS949" i="1"/>
  <c r="KR949" i="1"/>
  <c r="KQ949" i="1"/>
  <c r="KO949" i="1"/>
  <c r="KN949" i="1"/>
  <c r="KK949" i="1"/>
  <c r="KJ949" i="1"/>
  <c r="KG949" i="1"/>
  <c r="KF949" i="1"/>
  <c r="KC949" i="1"/>
  <c r="KB949" i="1"/>
  <c r="JY949" i="1"/>
  <c r="JX949" i="1"/>
  <c r="KY948" i="1"/>
  <c r="KX948" i="1"/>
  <c r="KW948" i="1"/>
  <c r="KV948" i="1"/>
  <c r="KU948" i="1"/>
  <c r="KT948" i="1"/>
  <c r="KO948" i="1"/>
  <c r="KN948" i="1"/>
  <c r="KK948" i="1"/>
  <c r="KJ948" i="1"/>
  <c r="KG948" i="1"/>
  <c r="KF948" i="1"/>
  <c r="KC948" i="1"/>
  <c r="KB948" i="1"/>
  <c r="JY948" i="1"/>
  <c r="JX948" i="1"/>
  <c r="KS948" i="1"/>
  <c r="KR948" i="1"/>
  <c r="KQ948" i="1"/>
  <c r="KY947" i="1"/>
  <c r="KX947" i="1"/>
  <c r="KW947" i="1"/>
  <c r="KV947" i="1"/>
  <c r="KU947" i="1"/>
  <c r="KT947" i="1"/>
  <c r="KS947" i="1"/>
  <c r="KO947" i="1"/>
  <c r="KN947" i="1"/>
  <c r="KK947" i="1"/>
  <c r="KJ947" i="1"/>
  <c r="KG947" i="1"/>
  <c r="KF947" i="1"/>
  <c r="KC947" i="1"/>
  <c r="KB947" i="1"/>
  <c r="JY947" i="1"/>
  <c r="JX947" i="1"/>
  <c r="KR947" i="1"/>
  <c r="KQ947" i="1"/>
  <c r="KY946" i="1"/>
  <c r="KX946" i="1"/>
  <c r="KW946" i="1"/>
  <c r="KV946" i="1"/>
  <c r="KU946" i="1"/>
  <c r="KT946" i="1"/>
  <c r="KS946" i="1"/>
  <c r="KO946" i="1"/>
  <c r="KN946" i="1"/>
  <c r="KK946" i="1"/>
  <c r="KJ946" i="1"/>
  <c r="KG946" i="1"/>
  <c r="KF946" i="1"/>
  <c r="KC946" i="1"/>
  <c r="KB946" i="1"/>
  <c r="JY946" i="1"/>
  <c r="JX946" i="1"/>
  <c r="KR946" i="1"/>
  <c r="KQ946" i="1"/>
  <c r="KY945" i="1"/>
  <c r="KX945" i="1"/>
  <c r="KW945" i="1"/>
  <c r="KV945" i="1"/>
  <c r="KU945" i="1"/>
  <c r="KT945" i="1"/>
  <c r="KO945" i="1"/>
  <c r="KN945" i="1"/>
  <c r="KK945" i="1"/>
  <c r="KJ945" i="1"/>
  <c r="KG945" i="1"/>
  <c r="KF945" i="1"/>
  <c r="KC945" i="1"/>
  <c r="KB945" i="1"/>
  <c r="JY945" i="1"/>
  <c r="JX945" i="1"/>
  <c r="KS945" i="1"/>
  <c r="KR945" i="1"/>
  <c r="KQ945" i="1"/>
  <c r="KY944" i="1"/>
  <c r="KX944" i="1"/>
  <c r="KW944" i="1"/>
  <c r="KV944" i="1"/>
  <c r="KU944" i="1"/>
  <c r="KT944" i="1"/>
  <c r="KO944" i="1"/>
  <c r="KN944" i="1"/>
  <c r="KK944" i="1"/>
  <c r="KJ944" i="1"/>
  <c r="KG944" i="1"/>
  <c r="KF944" i="1"/>
  <c r="KC944" i="1"/>
  <c r="KB944" i="1"/>
  <c r="JY944" i="1"/>
  <c r="JX944" i="1"/>
  <c r="KS944" i="1"/>
  <c r="KR944" i="1"/>
  <c r="KQ944" i="1"/>
  <c r="KY943" i="1"/>
  <c r="KX943" i="1"/>
  <c r="KW943" i="1"/>
  <c r="KV943" i="1"/>
  <c r="KU943" i="1"/>
  <c r="KT943" i="1"/>
  <c r="KS943" i="1"/>
  <c r="KO943" i="1"/>
  <c r="KN943" i="1"/>
  <c r="KK943" i="1"/>
  <c r="KJ943" i="1"/>
  <c r="KG943" i="1"/>
  <c r="KF943" i="1"/>
  <c r="KC943" i="1"/>
  <c r="KB943" i="1"/>
  <c r="JY943" i="1"/>
  <c r="JX943" i="1"/>
  <c r="KR943" i="1"/>
  <c r="KQ943" i="1"/>
  <c r="KY942" i="1"/>
  <c r="KX942" i="1"/>
  <c r="KW942" i="1"/>
  <c r="KV942" i="1"/>
  <c r="KU942" i="1"/>
  <c r="KT942" i="1"/>
  <c r="KS942" i="1"/>
  <c r="KR942" i="1"/>
  <c r="KQ942" i="1"/>
  <c r="KO942" i="1"/>
  <c r="KN942" i="1"/>
  <c r="KK942" i="1"/>
  <c r="KJ942" i="1"/>
  <c r="KG942" i="1"/>
  <c r="KF942" i="1"/>
  <c r="KC942" i="1"/>
  <c r="KB942" i="1"/>
  <c r="JY942" i="1"/>
  <c r="JX942" i="1"/>
  <c r="KY941" i="1"/>
  <c r="KX941" i="1"/>
  <c r="KW941" i="1"/>
  <c r="KV941" i="1"/>
  <c r="KU941" i="1"/>
  <c r="KT941" i="1"/>
  <c r="KS941" i="1"/>
  <c r="KO941" i="1"/>
  <c r="KN941" i="1"/>
  <c r="KK941" i="1"/>
  <c r="KJ941" i="1"/>
  <c r="KG941" i="1"/>
  <c r="KF941" i="1"/>
  <c r="KC941" i="1"/>
  <c r="KB941" i="1"/>
  <c r="JY941" i="1"/>
  <c r="JX941" i="1"/>
  <c r="KR941" i="1"/>
  <c r="KQ941" i="1"/>
  <c r="KY940" i="1"/>
  <c r="KX940" i="1"/>
  <c r="KW940" i="1"/>
  <c r="KV940" i="1"/>
  <c r="KU940" i="1"/>
  <c r="KT940" i="1"/>
  <c r="KO940" i="1"/>
  <c r="KN940" i="1"/>
  <c r="KK940" i="1"/>
  <c r="KJ940" i="1"/>
  <c r="KG940" i="1"/>
  <c r="KF940" i="1"/>
  <c r="KC940" i="1"/>
  <c r="KB940" i="1"/>
  <c r="JY940" i="1"/>
  <c r="JX940" i="1"/>
  <c r="KS940" i="1"/>
  <c r="KR940" i="1"/>
  <c r="KQ940" i="1"/>
  <c r="KY939" i="1"/>
  <c r="KX939" i="1"/>
  <c r="KW939" i="1"/>
  <c r="KV939" i="1"/>
  <c r="KU939" i="1"/>
  <c r="KT939" i="1"/>
  <c r="KS939" i="1"/>
  <c r="KO939" i="1"/>
  <c r="KN939" i="1"/>
  <c r="KK939" i="1"/>
  <c r="KJ939" i="1"/>
  <c r="KG939" i="1"/>
  <c r="KF939" i="1"/>
  <c r="KC939" i="1"/>
  <c r="KB939" i="1"/>
  <c r="JY939" i="1"/>
  <c r="JX939" i="1"/>
  <c r="KR939" i="1"/>
  <c r="KQ939" i="1"/>
  <c r="KY938" i="1"/>
  <c r="KX938" i="1"/>
  <c r="KW938" i="1"/>
  <c r="KV938" i="1"/>
  <c r="KU938" i="1"/>
  <c r="KT938" i="1"/>
  <c r="KS938" i="1"/>
  <c r="KO938" i="1"/>
  <c r="KN938" i="1"/>
  <c r="KK938" i="1"/>
  <c r="KJ938" i="1"/>
  <c r="KG938" i="1"/>
  <c r="KF938" i="1"/>
  <c r="KC938" i="1"/>
  <c r="KB938" i="1"/>
  <c r="JY938" i="1"/>
  <c r="JX938" i="1"/>
  <c r="KR938" i="1"/>
  <c r="KQ938" i="1"/>
  <c r="KY937" i="1"/>
  <c r="KX937" i="1"/>
  <c r="KW937" i="1"/>
  <c r="KV937" i="1"/>
  <c r="KU937" i="1"/>
  <c r="KT937" i="1"/>
  <c r="KO937" i="1"/>
  <c r="KN937" i="1"/>
  <c r="KK937" i="1"/>
  <c r="KJ937" i="1"/>
  <c r="KG937" i="1"/>
  <c r="KF937" i="1"/>
  <c r="KC937" i="1"/>
  <c r="KB937" i="1"/>
  <c r="JY937" i="1"/>
  <c r="JX937" i="1"/>
  <c r="KS937" i="1"/>
  <c r="KR937" i="1"/>
  <c r="KQ937" i="1"/>
  <c r="KY936" i="1"/>
  <c r="KX936" i="1"/>
  <c r="KW936" i="1"/>
  <c r="KV936" i="1"/>
  <c r="KU936" i="1"/>
  <c r="KT936" i="1"/>
  <c r="KO936" i="1"/>
  <c r="KN936" i="1"/>
  <c r="KK936" i="1"/>
  <c r="KJ936" i="1"/>
  <c r="KG936" i="1"/>
  <c r="KF936" i="1"/>
  <c r="KC936" i="1"/>
  <c r="KB936" i="1"/>
  <c r="JY936" i="1"/>
  <c r="JX936" i="1"/>
  <c r="KS936" i="1"/>
  <c r="KR936" i="1"/>
  <c r="KQ936" i="1"/>
  <c r="KY935" i="1"/>
  <c r="KX935" i="1"/>
  <c r="KW935" i="1"/>
  <c r="KV935" i="1"/>
  <c r="KU935" i="1"/>
  <c r="KT935" i="1"/>
  <c r="KS935" i="1"/>
  <c r="KO935" i="1"/>
  <c r="KN935" i="1"/>
  <c r="KK935" i="1"/>
  <c r="KJ935" i="1"/>
  <c r="KG935" i="1"/>
  <c r="KF935" i="1"/>
  <c r="KC935" i="1"/>
  <c r="KB935" i="1"/>
  <c r="JY935" i="1"/>
  <c r="JX935" i="1"/>
  <c r="KR935" i="1"/>
  <c r="KQ935" i="1"/>
  <c r="KY934" i="1"/>
  <c r="KX934" i="1"/>
  <c r="KW934" i="1"/>
  <c r="KV934" i="1"/>
  <c r="KU934" i="1"/>
  <c r="KT934" i="1"/>
  <c r="KS934" i="1"/>
  <c r="KO934" i="1"/>
  <c r="KN934" i="1"/>
  <c r="KK934" i="1"/>
  <c r="KJ934" i="1"/>
  <c r="KG934" i="1"/>
  <c r="KF934" i="1"/>
  <c r="KC934" i="1"/>
  <c r="KB934" i="1"/>
  <c r="JY934" i="1"/>
  <c r="JX934" i="1"/>
  <c r="KR934" i="1"/>
  <c r="KQ934" i="1"/>
  <c r="KY933" i="1"/>
  <c r="KX933" i="1"/>
  <c r="KW933" i="1"/>
  <c r="KV933" i="1"/>
  <c r="KU933" i="1"/>
  <c r="KT933" i="1"/>
  <c r="KO933" i="1"/>
  <c r="KN933" i="1"/>
  <c r="KK933" i="1"/>
  <c r="KJ933" i="1"/>
  <c r="KG933" i="1"/>
  <c r="KF933" i="1"/>
  <c r="KC933" i="1"/>
  <c r="KB933" i="1"/>
  <c r="JY933" i="1"/>
  <c r="JX933" i="1"/>
  <c r="KS933" i="1"/>
  <c r="KR933" i="1"/>
  <c r="KQ933" i="1"/>
  <c r="KY932" i="1"/>
  <c r="KX932" i="1"/>
  <c r="KW932" i="1"/>
  <c r="KV932" i="1"/>
  <c r="KU932" i="1"/>
  <c r="KT932" i="1"/>
  <c r="KO932" i="1"/>
  <c r="KN932" i="1"/>
  <c r="KK932" i="1"/>
  <c r="KJ932" i="1"/>
  <c r="KG932" i="1"/>
  <c r="KF932" i="1"/>
  <c r="KC932" i="1"/>
  <c r="KB932" i="1"/>
  <c r="JY932" i="1"/>
  <c r="JX932" i="1"/>
  <c r="KS932" i="1"/>
  <c r="KR932" i="1"/>
  <c r="KQ932" i="1"/>
  <c r="KY931" i="1"/>
  <c r="KX931" i="1"/>
  <c r="KW931" i="1"/>
  <c r="KV931" i="1"/>
  <c r="KU931" i="1"/>
  <c r="KT931" i="1"/>
  <c r="KS931" i="1"/>
  <c r="KR931" i="1"/>
  <c r="KQ931" i="1"/>
  <c r="KO931" i="1"/>
  <c r="KN931" i="1"/>
  <c r="KK931" i="1"/>
  <c r="KJ931" i="1"/>
  <c r="KG931" i="1"/>
  <c r="KF931" i="1"/>
  <c r="KC931" i="1"/>
  <c r="KB931" i="1"/>
  <c r="JY931" i="1"/>
  <c r="JX931" i="1"/>
  <c r="KY930" i="1"/>
  <c r="KX930" i="1"/>
  <c r="KW930" i="1"/>
  <c r="KV930" i="1"/>
  <c r="KU930" i="1"/>
  <c r="KT930" i="1"/>
  <c r="KS930" i="1"/>
  <c r="KO930" i="1"/>
  <c r="KN930" i="1"/>
  <c r="KK930" i="1"/>
  <c r="KJ930" i="1"/>
  <c r="KG930" i="1"/>
  <c r="KF930" i="1"/>
  <c r="KC930" i="1"/>
  <c r="KB930" i="1"/>
  <c r="JY930" i="1"/>
  <c r="JX930" i="1"/>
  <c r="KR930" i="1"/>
  <c r="KQ930" i="1"/>
  <c r="KY929" i="1"/>
  <c r="KX929" i="1"/>
  <c r="KW929" i="1"/>
  <c r="KV929" i="1"/>
  <c r="KU929" i="1"/>
  <c r="KT929" i="1"/>
  <c r="KO929" i="1"/>
  <c r="KN929" i="1"/>
  <c r="KK929" i="1"/>
  <c r="KJ929" i="1"/>
  <c r="KG929" i="1"/>
  <c r="KF929" i="1"/>
  <c r="KC929" i="1"/>
  <c r="KB929" i="1"/>
  <c r="JY929" i="1"/>
  <c r="JX929" i="1"/>
  <c r="KS929" i="1"/>
  <c r="KR929" i="1"/>
  <c r="KQ929" i="1"/>
  <c r="KY928" i="1"/>
  <c r="KX928" i="1"/>
  <c r="KW928" i="1"/>
  <c r="KV928" i="1"/>
  <c r="KU928" i="1"/>
  <c r="KT928" i="1"/>
  <c r="KO928" i="1"/>
  <c r="KN928" i="1"/>
  <c r="KK928" i="1"/>
  <c r="KJ928" i="1"/>
  <c r="KG928" i="1"/>
  <c r="KF928" i="1"/>
  <c r="KC928" i="1"/>
  <c r="KB928" i="1"/>
  <c r="JY928" i="1"/>
  <c r="JX928" i="1"/>
  <c r="KS928" i="1"/>
  <c r="KR928" i="1"/>
  <c r="KQ928" i="1"/>
  <c r="KY927" i="1"/>
  <c r="KX927" i="1"/>
  <c r="KW927" i="1"/>
  <c r="KV927" i="1"/>
  <c r="KU927" i="1"/>
  <c r="KT927" i="1"/>
  <c r="KS927" i="1"/>
  <c r="KO927" i="1"/>
  <c r="KN927" i="1"/>
  <c r="KK927" i="1"/>
  <c r="KJ927" i="1"/>
  <c r="KG927" i="1"/>
  <c r="KF927" i="1"/>
  <c r="KC927" i="1"/>
  <c r="KB927" i="1"/>
  <c r="JY927" i="1"/>
  <c r="JX927" i="1"/>
  <c r="KR927" i="1"/>
  <c r="KQ927" i="1"/>
  <c r="KY926" i="1"/>
  <c r="KX926" i="1"/>
  <c r="KW926" i="1"/>
  <c r="KV926" i="1"/>
  <c r="KU926" i="1"/>
  <c r="KT926" i="1"/>
  <c r="KS926" i="1"/>
  <c r="KR926" i="1"/>
  <c r="KQ926" i="1"/>
  <c r="KO926" i="1"/>
  <c r="KN926" i="1"/>
  <c r="KK926" i="1"/>
  <c r="KJ926" i="1"/>
  <c r="KG926" i="1"/>
  <c r="KF926" i="1"/>
  <c r="KC926" i="1"/>
  <c r="KB926" i="1"/>
  <c r="JY926" i="1"/>
  <c r="JX926" i="1"/>
  <c r="KY925" i="1"/>
  <c r="KX925" i="1"/>
  <c r="KW925" i="1"/>
  <c r="KV925" i="1"/>
  <c r="KU925" i="1"/>
  <c r="KT925" i="1"/>
  <c r="KS925" i="1"/>
  <c r="KO925" i="1"/>
  <c r="KN925" i="1"/>
  <c r="KK925" i="1"/>
  <c r="KJ925" i="1"/>
  <c r="KG925" i="1"/>
  <c r="KF925" i="1"/>
  <c r="KC925" i="1"/>
  <c r="KB925" i="1"/>
  <c r="JY925" i="1"/>
  <c r="JX925" i="1"/>
  <c r="KR925" i="1"/>
  <c r="KQ925" i="1"/>
  <c r="KY924" i="1"/>
  <c r="KX924" i="1"/>
  <c r="KW924" i="1"/>
  <c r="KV924" i="1"/>
  <c r="KU924" i="1"/>
  <c r="KT924" i="1"/>
  <c r="KO924" i="1"/>
  <c r="KN924" i="1"/>
  <c r="KK924" i="1"/>
  <c r="KJ924" i="1"/>
  <c r="KG924" i="1"/>
  <c r="KF924" i="1"/>
  <c r="KC924" i="1"/>
  <c r="KB924" i="1"/>
  <c r="JY924" i="1"/>
  <c r="JX924" i="1"/>
  <c r="KS924" i="1"/>
  <c r="KR924" i="1"/>
  <c r="KQ924" i="1"/>
  <c r="KY923" i="1"/>
  <c r="KX923" i="1"/>
  <c r="KW923" i="1"/>
  <c r="KV923" i="1"/>
  <c r="KU923" i="1"/>
  <c r="KT923" i="1"/>
  <c r="KO923" i="1"/>
  <c r="KP923" i="1"/>
  <c r="KN923" i="1"/>
  <c r="KK923" i="1"/>
  <c r="KJ923" i="1"/>
  <c r="KG923" i="1"/>
  <c r="KF923" i="1"/>
  <c r="KC923" i="1"/>
  <c r="KB923" i="1"/>
  <c r="JY923" i="1"/>
  <c r="JX923" i="1"/>
  <c r="KS923" i="1"/>
  <c r="KR923" i="1"/>
  <c r="KQ923" i="1"/>
  <c r="KY922" i="1"/>
  <c r="KX922" i="1"/>
  <c r="KW922" i="1"/>
  <c r="KV922" i="1"/>
  <c r="KU922" i="1"/>
  <c r="KT922" i="1"/>
  <c r="KS922" i="1"/>
  <c r="KO922" i="1"/>
  <c r="KN922" i="1"/>
  <c r="KK922" i="1"/>
  <c r="KJ922" i="1"/>
  <c r="KG922" i="1"/>
  <c r="KF922" i="1"/>
  <c r="KC922" i="1"/>
  <c r="KB922" i="1"/>
  <c r="JY922" i="1"/>
  <c r="JX922" i="1"/>
  <c r="KR922" i="1"/>
  <c r="KQ922" i="1"/>
  <c r="KY921" i="1"/>
  <c r="KX921" i="1"/>
  <c r="KW921" i="1"/>
  <c r="KV921" i="1"/>
  <c r="KU921" i="1"/>
  <c r="KT921" i="1"/>
  <c r="KS921" i="1"/>
  <c r="KO921" i="1"/>
  <c r="KN921" i="1"/>
  <c r="KK921" i="1"/>
  <c r="KJ921" i="1"/>
  <c r="KG921" i="1"/>
  <c r="KF921" i="1"/>
  <c r="KC921" i="1"/>
  <c r="KB921" i="1"/>
  <c r="JY921" i="1"/>
  <c r="JX921" i="1"/>
  <c r="KR921" i="1"/>
  <c r="KQ921" i="1"/>
  <c r="KY920" i="1"/>
  <c r="KX920" i="1"/>
  <c r="KW920" i="1"/>
  <c r="KV920" i="1"/>
  <c r="KU920" i="1"/>
  <c r="KT920" i="1"/>
  <c r="KO920" i="1"/>
  <c r="KN920" i="1"/>
  <c r="KK920" i="1"/>
  <c r="KJ920" i="1"/>
  <c r="KG920" i="1"/>
  <c r="KF920" i="1"/>
  <c r="KC920" i="1"/>
  <c r="KB920" i="1"/>
  <c r="JY920" i="1"/>
  <c r="JX920" i="1"/>
  <c r="KS920" i="1"/>
  <c r="KR920" i="1"/>
  <c r="KQ920" i="1"/>
  <c r="KY919" i="1"/>
  <c r="KX919" i="1"/>
  <c r="KW919" i="1"/>
  <c r="KV919" i="1"/>
  <c r="KU919" i="1"/>
  <c r="KT919" i="1"/>
  <c r="KO919" i="1"/>
  <c r="KN919" i="1"/>
  <c r="KK919" i="1"/>
  <c r="KJ919" i="1"/>
  <c r="KG919" i="1"/>
  <c r="KF919" i="1"/>
  <c r="KC919" i="1"/>
  <c r="KB919" i="1"/>
  <c r="JY919" i="1"/>
  <c r="JX919" i="1"/>
  <c r="KS919" i="1"/>
  <c r="KR919" i="1"/>
  <c r="KQ919" i="1"/>
  <c r="KY918" i="1"/>
  <c r="KX918" i="1"/>
  <c r="KW918" i="1"/>
  <c r="KV918" i="1"/>
  <c r="KU918" i="1"/>
  <c r="KT918" i="1"/>
  <c r="KS918" i="1"/>
  <c r="KO918" i="1"/>
  <c r="KN918" i="1"/>
  <c r="KK918" i="1"/>
  <c r="KJ918" i="1"/>
  <c r="KG918" i="1"/>
  <c r="KF918" i="1"/>
  <c r="KC918" i="1"/>
  <c r="KB918" i="1"/>
  <c r="JY918" i="1"/>
  <c r="JX918" i="1"/>
  <c r="KR918" i="1"/>
  <c r="KQ918" i="1"/>
  <c r="KY917" i="1"/>
  <c r="KX917" i="1"/>
  <c r="KW917" i="1"/>
  <c r="KV917" i="1"/>
  <c r="KU917" i="1"/>
  <c r="KT917" i="1"/>
  <c r="KS917" i="1"/>
  <c r="KO917" i="1"/>
  <c r="KN917" i="1"/>
  <c r="KK917" i="1"/>
  <c r="KJ917" i="1"/>
  <c r="KG917" i="1"/>
  <c r="KF917" i="1"/>
  <c r="KC917" i="1"/>
  <c r="KB917" i="1"/>
  <c r="JY917" i="1"/>
  <c r="JX917" i="1"/>
  <c r="KR917" i="1"/>
  <c r="KQ917" i="1"/>
  <c r="KY916" i="1"/>
  <c r="KX916" i="1"/>
  <c r="KW916" i="1"/>
  <c r="KV916" i="1"/>
  <c r="KU916" i="1"/>
  <c r="KT916" i="1"/>
  <c r="KO916" i="1"/>
  <c r="KN916" i="1"/>
  <c r="KK916" i="1"/>
  <c r="KJ916" i="1"/>
  <c r="KG916" i="1"/>
  <c r="KF916" i="1"/>
  <c r="KC916" i="1"/>
  <c r="KB916" i="1"/>
  <c r="JY916" i="1"/>
  <c r="JX916" i="1"/>
  <c r="KS916" i="1"/>
  <c r="KR916" i="1"/>
  <c r="KQ916" i="1"/>
  <c r="KY915" i="1"/>
  <c r="KX915" i="1"/>
  <c r="KW915" i="1"/>
  <c r="KV915" i="1"/>
  <c r="KU915" i="1"/>
  <c r="KT915" i="1"/>
  <c r="KO915" i="1"/>
  <c r="KN915" i="1"/>
  <c r="KK915" i="1"/>
  <c r="KJ915" i="1"/>
  <c r="KG915" i="1"/>
  <c r="KF915" i="1"/>
  <c r="KH915" i="1"/>
  <c r="KC915" i="1"/>
  <c r="KB915" i="1"/>
  <c r="JY915" i="1"/>
  <c r="JX915" i="1"/>
  <c r="KS915" i="1"/>
  <c r="KR915" i="1"/>
  <c r="KQ915" i="1"/>
  <c r="KY914" i="1"/>
  <c r="KX914" i="1"/>
  <c r="KW914" i="1"/>
  <c r="KV914" i="1"/>
  <c r="KU914" i="1"/>
  <c r="KT914" i="1"/>
  <c r="KS914" i="1"/>
  <c r="KO914" i="1"/>
  <c r="KN914" i="1"/>
  <c r="KK914" i="1"/>
  <c r="KJ914" i="1"/>
  <c r="KG914" i="1"/>
  <c r="KF914" i="1"/>
  <c r="KC914" i="1"/>
  <c r="KB914" i="1"/>
  <c r="JY914" i="1"/>
  <c r="JX914" i="1"/>
  <c r="KR914" i="1"/>
  <c r="KQ914" i="1"/>
  <c r="KY913" i="1"/>
  <c r="KX913" i="1"/>
  <c r="KW913" i="1"/>
  <c r="KV913" i="1"/>
  <c r="KU913" i="1"/>
  <c r="KT913" i="1"/>
  <c r="KS913" i="1"/>
  <c r="KO913" i="1"/>
  <c r="KP913" i="1"/>
  <c r="KN913" i="1"/>
  <c r="KK913" i="1"/>
  <c r="KJ913" i="1"/>
  <c r="KG913" i="1"/>
  <c r="KH913" i="1"/>
  <c r="KF913" i="1"/>
  <c r="KC913" i="1"/>
  <c r="KB913" i="1"/>
  <c r="JY913" i="1"/>
  <c r="JZ913" i="1"/>
  <c r="JX913" i="1"/>
  <c r="KR913" i="1"/>
  <c r="KQ913" i="1"/>
  <c r="KY912" i="1"/>
  <c r="KX912" i="1"/>
  <c r="KW912" i="1"/>
  <c r="KV912" i="1"/>
  <c r="KU912" i="1"/>
  <c r="KT912" i="1"/>
  <c r="KO912" i="1"/>
  <c r="KN912" i="1"/>
  <c r="KK912" i="1"/>
  <c r="KJ912" i="1"/>
  <c r="KG912" i="1"/>
  <c r="KF912" i="1"/>
  <c r="KC912" i="1"/>
  <c r="KB912" i="1"/>
  <c r="JY912" i="1"/>
  <c r="JX912" i="1"/>
  <c r="KS912" i="1"/>
  <c r="KR912" i="1"/>
  <c r="KQ912" i="1"/>
  <c r="KY911" i="1"/>
  <c r="KX911" i="1"/>
  <c r="KW911" i="1"/>
  <c r="KV911" i="1"/>
  <c r="KU911" i="1"/>
  <c r="KT911" i="1"/>
  <c r="KO911" i="1"/>
  <c r="KN911" i="1"/>
  <c r="KK911" i="1"/>
  <c r="KJ911" i="1"/>
  <c r="KG911" i="1"/>
  <c r="KF911" i="1"/>
  <c r="KC911" i="1"/>
  <c r="KB911" i="1"/>
  <c r="JY911" i="1"/>
  <c r="JX911" i="1"/>
  <c r="KS911" i="1"/>
  <c r="KR911" i="1"/>
  <c r="KQ911" i="1"/>
  <c r="KY910" i="1"/>
  <c r="KX910" i="1"/>
  <c r="KW910" i="1"/>
  <c r="KV910" i="1"/>
  <c r="KU910" i="1"/>
  <c r="KT910" i="1"/>
  <c r="KS910" i="1"/>
  <c r="KO910" i="1"/>
  <c r="KN910" i="1"/>
  <c r="KK910" i="1"/>
  <c r="KJ910" i="1"/>
  <c r="KG910" i="1"/>
  <c r="KF910" i="1"/>
  <c r="KC910" i="1"/>
  <c r="KB910" i="1"/>
  <c r="JY910" i="1"/>
  <c r="JX910" i="1"/>
  <c r="KR910" i="1"/>
  <c r="KQ910" i="1"/>
  <c r="KY909" i="1"/>
  <c r="KX909" i="1"/>
  <c r="KW909" i="1"/>
  <c r="KV909" i="1"/>
  <c r="KU909" i="1"/>
  <c r="KT909" i="1"/>
  <c r="KS909" i="1"/>
  <c r="KO909" i="1"/>
  <c r="KN909" i="1"/>
  <c r="KK909" i="1"/>
  <c r="KJ909" i="1"/>
  <c r="KG909" i="1"/>
  <c r="KF909" i="1"/>
  <c r="KC909" i="1"/>
  <c r="KB909" i="1"/>
  <c r="JY909" i="1"/>
  <c r="JX909" i="1"/>
  <c r="KR909" i="1"/>
  <c r="KQ909" i="1"/>
  <c r="KY908" i="1"/>
  <c r="KX908" i="1"/>
  <c r="KW908" i="1"/>
  <c r="KV908" i="1"/>
  <c r="KU908" i="1"/>
  <c r="KT908" i="1"/>
  <c r="KO908" i="1"/>
  <c r="KN908" i="1"/>
  <c r="KK908" i="1"/>
  <c r="KJ908" i="1"/>
  <c r="KG908" i="1"/>
  <c r="KF908" i="1"/>
  <c r="KC908" i="1"/>
  <c r="KB908" i="1"/>
  <c r="JY908" i="1"/>
  <c r="JX908" i="1"/>
  <c r="KS908" i="1"/>
  <c r="KR908" i="1"/>
  <c r="KQ908" i="1"/>
  <c r="KY907" i="1"/>
  <c r="KX907" i="1"/>
  <c r="KW907" i="1"/>
  <c r="KV907" i="1"/>
  <c r="KU907" i="1"/>
  <c r="KT907" i="1"/>
  <c r="KO907" i="1"/>
  <c r="KN907" i="1"/>
  <c r="KK907" i="1"/>
  <c r="KJ907" i="1"/>
  <c r="KG907" i="1"/>
  <c r="KF907" i="1"/>
  <c r="KC907" i="1"/>
  <c r="KB907" i="1"/>
  <c r="JY907" i="1"/>
  <c r="JZ907" i="1"/>
  <c r="JX907" i="1"/>
  <c r="KS907" i="1"/>
  <c r="KR907" i="1"/>
  <c r="KQ907" i="1"/>
  <c r="KY906" i="1"/>
  <c r="KX906" i="1"/>
  <c r="KW906" i="1"/>
  <c r="KV906" i="1"/>
  <c r="KU906" i="1"/>
  <c r="KT906" i="1"/>
  <c r="KS906" i="1"/>
  <c r="KO906" i="1"/>
  <c r="KP906" i="1"/>
  <c r="KN906" i="1"/>
  <c r="KK906" i="1"/>
  <c r="KJ906" i="1"/>
  <c r="KG906" i="1"/>
  <c r="KF906" i="1"/>
  <c r="KC906" i="1"/>
  <c r="KB906" i="1"/>
  <c r="JY906" i="1"/>
  <c r="JX906" i="1"/>
  <c r="KR906" i="1"/>
  <c r="KQ906" i="1"/>
  <c r="KY905" i="1"/>
  <c r="KX905" i="1"/>
  <c r="KW905" i="1"/>
  <c r="KV905" i="1"/>
  <c r="KU905" i="1"/>
  <c r="KT905" i="1"/>
  <c r="KS905" i="1"/>
  <c r="KO905" i="1"/>
  <c r="KN905" i="1"/>
  <c r="KK905" i="1"/>
  <c r="KJ905" i="1"/>
  <c r="KG905" i="1"/>
  <c r="KF905" i="1"/>
  <c r="KC905" i="1"/>
  <c r="KB905" i="1"/>
  <c r="JY905" i="1"/>
  <c r="JX905" i="1"/>
  <c r="KR905" i="1"/>
  <c r="KQ905" i="1"/>
  <c r="KY904" i="1"/>
  <c r="KX904" i="1"/>
  <c r="KW904" i="1"/>
  <c r="KV904" i="1"/>
  <c r="KU904" i="1"/>
  <c r="KT904" i="1"/>
  <c r="KO904" i="1"/>
  <c r="KN904" i="1"/>
  <c r="KK904" i="1"/>
  <c r="KJ904" i="1"/>
  <c r="KG904" i="1"/>
  <c r="KF904" i="1"/>
  <c r="KC904" i="1"/>
  <c r="KB904" i="1"/>
  <c r="JY904" i="1"/>
  <c r="JX904" i="1"/>
  <c r="KS904" i="1"/>
  <c r="KR904" i="1"/>
  <c r="KQ904" i="1"/>
  <c r="KY903" i="1"/>
  <c r="KX903" i="1"/>
  <c r="KW903" i="1"/>
  <c r="KV903" i="1"/>
  <c r="KU903" i="1"/>
  <c r="KT903" i="1"/>
  <c r="KO903" i="1"/>
  <c r="KN903" i="1"/>
  <c r="KK903" i="1"/>
  <c r="KJ903" i="1"/>
  <c r="KL903" i="1"/>
  <c r="KG903" i="1"/>
  <c r="KF903" i="1"/>
  <c r="KC903" i="1"/>
  <c r="KB903" i="1"/>
  <c r="JY903" i="1"/>
  <c r="JX903" i="1"/>
  <c r="KS903" i="1"/>
  <c r="KR903" i="1"/>
  <c r="KQ903" i="1"/>
  <c r="KY902" i="1"/>
  <c r="KX902" i="1"/>
  <c r="KW902" i="1"/>
  <c r="KV902" i="1"/>
  <c r="KU902" i="1"/>
  <c r="KT902" i="1"/>
  <c r="KS902" i="1"/>
  <c r="KO902" i="1"/>
  <c r="KN902" i="1"/>
  <c r="KK902" i="1"/>
  <c r="KJ902" i="1"/>
  <c r="KG902" i="1"/>
  <c r="KF902" i="1"/>
  <c r="KC902" i="1"/>
  <c r="KB902" i="1"/>
  <c r="JY902" i="1"/>
  <c r="JX902" i="1"/>
  <c r="KR902" i="1"/>
  <c r="KQ902" i="1"/>
  <c r="KY901" i="1"/>
  <c r="KX901" i="1"/>
  <c r="KW901" i="1"/>
  <c r="KV901" i="1"/>
  <c r="KU901" i="1"/>
  <c r="KT901" i="1"/>
  <c r="KS901" i="1"/>
  <c r="KO901" i="1"/>
  <c r="KN901" i="1"/>
  <c r="KK901" i="1"/>
  <c r="KJ901" i="1"/>
  <c r="KG901" i="1"/>
  <c r="KF901" i="1"/>
  <c r="KC901" i="1"/>
  <c r="KB901" i="1"/>
  <c r="JY901" i="1"/>
  <c r="JX901" i="1"/>
  <c r="KR901" i="1"/>
  <c r="KQ901" i="1"/>
  <c r="KY900" i="1"/>
  <c r="KX900" i="1"/>
  <c r="KW900" i="1"/>
  <c r="KV900" i="1"/>
  <c r="KU900" i="1"/>
  <c r="KT900" i="1"/>
  <c r="KO900" i="1"/>
  <c r="KN900" i="1"/>
  <c r="KK900" i="1"/>
  <c r="KJ900" i="1"/>
  <c r="KG900" i="1"/>
  <c r="KF900" i="1"/>
  <c r="KC900" i="1"/>
  <c r="KB900" i="1"/>
  <c r="JY900" i="1"/>
  <c r="JX900" i="1"/>
  <c r="KS900" i="1"/>
  <c r="KR900" i="1"/>
  <c r="KQ900" i="1"/>
  <c r="KY899" i="1"/>
  <c r="KX899" i="1"/>
  <c r="KW899" i="1"/>
  <c r="KV899" i="1"/>
  <c r="KU899" i="1"/>
  <c r="KT899" i="1"/>
  <c r="KO899" i="1"/>
  <c r="KN899" i="1"/>
  <c r="KK899" i="1"/>
  <c r="KJ899" i="1"/>
  <c r="KG899" i="1"/>
  <c r="KF899" i="1"/>
  <c r="KC899" i="1"/>
  <c r="KB899" i="1"/>
  <c r="JY899" i="1"/>
  <c r="JX899" i="1"/>
  <c r="KS899" i="1"/>
  <c r="KR899" i="1"/>
  <c r="KQ899" i="1"/>
  <c r="KY898" i="1"/>
  <c r="KX898" i="1"/>
  <c r="KW898" i="1"/>
  <c r="KV898" i="1"/>
  <c r="KU898" i="1"/>
  <c r="KT898" i="1"/>
  <c r="KO898" i="1"/>
  <c r="KN898" i="1"/>
  <c r="KK898" i="1"/>
  <c r="KJ898" i="1"/>
  <c r="KG898" i="1"/>
  <c r="KF898" i="1"/>
  <c r="KC898" i="1"/>
  <c r="KB898" i="1"/>
  <c r="JY898" i="1"/>
  <c r="JX898" i="1"/>
  <c r="KS898" i="1"/>
  <c r="KR898" i="1"/>
  <c r="KQ898" i="1"/>
  <c r="KY897" i="1"/>
  <c r="KX897" i="1"/>
  <c r="KW897" i="1"/>
  <c r="KV897" i="1"/>
  <c r="KU897" i="1"/>
  <c r="KT897" i="1"/>
  <c r="KS897" i="1"/>
  <c r="KO897" i="1"/>
  <c r="KN897" i="1"/>
  <c r="KK897" i="1"/>
  <c r="KJ897" i="1"/>
  <c r="KG897" i="1"/>
  <c r="KF897" i="1"/>
  <c r="KC897" i="1"/>
  <c r="KB897" i="1"/>
  <c r="JY897" i="1"/>
  <c r="JX897" i="1"/>
  <c r="KR897" i="1"/>
  <c r="KQ897" i="1"/>
  <c r="KY896" i="1"/>
  <c r="KX896" i="1"/>
  <c r="KW896" i="1"/>
  <c r="KV896" i="1"/>
  <c r="KU896" i="1"/>
  <c r="KT896" i="1"/>
  <c r="KO896" i="1"/>
  <c r="KN896" i="1"/>
  <c r="KK896" i="1"/>
  <c r="KJ896" i="1"/>
  <c r="KG896" i="1"/>
  <c r="KF896" i="1"/>
  <c r="KC896" i="1"/>
  <c r="KB896" i="1"/>
  <c r="JY896" i="1"/>
  <c r="JX896" i="1"/>
  <c r="KS896" i="1"/>
  <c r="KR896" i="1"/>
  <c r="KQ896" i="1"/>
  <c r="KY895" i="1"/>
  <c r="KX895" i="1"/>
  <c r="KW895" i="1"/>
  <c r="KV895" i="1"/>
  <c r="KU895" i="1"/>
  <c r="KT895" i="1"/>
  <c r="KO895" i="1"/>
  <c r="KN895" i="1"/>
  <c r="KK895" i="1"/>
  <c r="KJ895" i="1"/>
  <c r="KG895" i="1"/>
  <c r="KF895" i="1"/>
  <c r="KC895" i="1"/>
  <c r="KB895" i="1"/>
  <c r="JY895" i="1"/>
  <c r="JX895" i="1"/>
  <c r="KS895" i="1"/>
  <c r="KR895" i="1"/>
  <c r="KQ895" i="1"/>
  <c r="KY894" i="1"/>
  <c r="KX894" i="1"/>
  <c r="KW894" i="1"/>
  <c r="KV894" i="1"/>
  <c r="KU894" i="1"/>
  <c r="KT894" i="1"/>
  <c r="KS894" i="1"/>
  <c r="KO894" i="1"/>
  <c r="KN894" i="1"/>
  <c r="KK894" i="1"/>
  <c r="KJ894" i="1"/>
  <c r="KG894" i="1"/>
  <c r="KF894" i="1"/>
  <c r="KC894" i="1"/>
  <c r="KB894" i="1"/>
  <c r="JY894" i="1"/>
  <c r="JX894" i="1"/>
  <c r="KR894" i="1"/>
  <c r="KQ894" i="1"/>
  <c r="KY893" i="1"/>
  <c r="KX893" i="1"/>
  <c r="KW893" i="1"/>
  <c r="KV893" i="1"/>
  <c r="KU893" i="1"/>
  <c r="KT893" i="1"/>
  <c r="KS893" i="1"/>
  <c r="KO893" i="1"/>
  <c r="KN893" i="1"/>
  <c r="KK893" i="1"/>
  <c r="KJ893" i="1"/>
  <c r="KG893" i="1"/>
  <c r="KF893" i="1"/>
  <c r="KC893" i="1"/>
  <c r="KB893" i="1"/>
  <c r="JY893" i="1"/>
  <c r="JX893" i="1"/>
  <c r="KR893" i="1"/>
  <c r="KQ893" i="1"/>
  <c r="KY892" i="1"/>
  <c r="KX892" i="1"/>
  <c r="KW892" i="1"/>
  <c r="KV892" i="1"/>
  <c r="KU892" i="1"/>
  <c r="KT892" i="1"/>
  <c r="KS892" i="1"/>
  <c r="KR892" i="1"/>
  <c r="KO892" i="1"/>
  <c r="KN892" i="1"/>
  <c r="KK892" i="1"/>
  <c r="KJ892" i="1"/>
  <c r="KG892" i="1"/>
  <c r="KF892" i="1"/>
  <c r="KC892" i="1"/>
  <c r="KB892" i="1"/>
  <c r="JY892" i="1"/>
  <c r="JX892" i="1"/>
  <c r="KQ892" i="1"/>
  <c r="KY891" i="1"/>
  <c r="KX891" i="1"/>
  <c r="KW891" i="1"/>
  <c r="KV891" i="1"/>
  <c r="KU891" i="1"/>
  <c r="KT891" i="1"/>
  <c r="KS891" i="1"/>
  <c r="KO891" i="1"/>
  <c r="KN891" i="1"/>
  <c r="KK891" i="1"/>
  <c r="KJ891" i="1"/>
  <c r="KG891" i="1"/>
  <c r="KF891" i="1"/>
  <c r="KC891" i="1"/>
  <c r="KB891" i="1"/>
  <c r="JY891" i="1"/>
  <c r="JX891" i="1"/>
  <c r="KR891" i="1"/>
  <c r="KQ891" i="1"/>
  <c r="KY890" i="1"/>
  <c r="KX890" i="1"/>
  <c r="KW890" i="1"/>
  <c r="KV890" i="1"/>
  <c r="KU890" i="1"/>
  <c r="KT890" i="1"/>
  <c r="KS890" i="1"/>
  <c r="KO890" i="1"/>
  <c r="KN890" i="1"/>
  <c r="KK890" i="1"/>
  <c r="KJ890" i="1"/>
  <c r="KG890" i="1"/>
  <c r="KF890" i="1"/>
  <c r="KC890" i="1"/>
  <c r="KB890" i="1"/>
  <c r="JY890" i="1"/>
  <c r="JX890" i="1"/>
  <c r="KR890" i="1"/>
  <c r="KQ890" i="1"/>
  <c r="KY889" i="1"/>
  <c r="KX889" i="1"/>
  <c r="KW889" i="1"/>
  <c r="KV889" i="1"/>
  <c r="KU889" i="1"/>
  <c r="KT889" i="1"/>
  <c r="KO889" i="1"/>
  <c r="KN889" i="1"/>
  <c r="KK889" i="1"/>
  <c r="KJ889" i="1"/>
  <c r="KG889" i="1"/>
  <c r="KF889" i="1"/>
  <c r="KC889" i="1"/>
  <c r="KB889" i="1"/>
  <c r="JY889" i="1"/>
  <c r="JX889" i="1"/>
  <c r="KS889" i="1"/>
  <c r="KR889" i="1"/>
  <c r="KQ889" i="1"/>
  <c r="KY888" i="1"/>
  <c r="KX888" i="1"/>
  <c r="KW888" i="1"/>
  <c r="KV888" i="1"/>
  <c r="KU888" i="1"/>
  <c r="KT888" i="1"/>
  <c r="KO888" i="1"/>
  <c r="KN888" i="1"/>
  <c r="KK888" i="1"/>
  <c r="KJ888" i="1"/>
  <c r="KG888" i="1"/>
  <c r="KF888" i="1"/>
  <c r="KC888" i="1"/>
  <c r="KB888" i="1"/>
  <c r="JY888" i="1"/>
  <c r="JX888" i="1"/>
  <c r="KS888" i="1"/>
  <c r="KR888" i="1"/>
  <c r="KQ888" i="1"/>
  <c r="KY887" i="1"/>
  <c r="KX887" i="1"/>
  <c r="KW887" i="1"/>
  <c r="KV887" i="1"/>
  <c r="KU887" i="1"/>
  <c r="KT887" i="1"/>
  <c r="KS887" i="1"/>
  <c r="KO887" i="1"/>
  <c r="KN887" i="1"/>
  <c r="KK887" i="1"/>
  <c r="KJ887" i="1"/>
  <c r="KG887" i="1"/>
  <c r="KF887" i="1"/>
  <c r="KC887" i="1"/>
  <c r="KB887" i="1"/>
  <c r="JY887" i="1"/>
  <c r="JX887" i="1"/>
  <c r="KR887" i="1"/>
  <c r="KQ887" i="1"/>
  <c r="KY886" i="1"/>
  <c r="KX886" i="1"/>
  <c r="KW886" i="1"/>
  <c r="KV886" i="1"/>
  <c r="KU886" i="1"/>
  <c r="KT886" i="1"/>
  <c r="KS886" i="1"/>
  <c r="KO886" i="1"/>
  <c r="KN886" i="1"/>
  <c r="KK886" i="1"/>
  <c r="KJ886" i="1"/>
  <c r="KG886" i="1"/>
  <c r="KF886" i="1"/>
  <c r="KC886" i="1"/>
  <c r="KB886" i="1"/>
  <c r="JY886" i="1"/>
  <c r="JX886" i="1"/>
  <c r="KR886" i="1"/>
  <c r="KQ886" i="1"/>
  <c r="KY885" i="1"/>
  <c r="KX885" i="1"/>
  <c r="KW885" i="1"/>
  <c r="KV885" i="1"/>
  <c r="KU885" i="1"/>
  <c r="KT885" i="1"/>
  <c r="KO885" i="1"/>
  <c r="KN885" i="1"/>
  <c r="KK885" i="1"/>
  <c r="KJ885" i="1"/>
  <c r="KG885" i="1"/>
  <c r="KF885" i="1"/>
  <c r="KC885" i="1"/>
  <c r="KB885" i="1"/>
  <c r="JY885" i="1"/>
  <c r="JX885" i="1"/>
  <c r="KS885" i="1"/>
  <c r="KR885" i="1"/>
  <c r="KQ885" i="1"/>
  <c r="KY884" i="1"/>
  <c r="KX884" i="1"/>
  <c r="KW884" i="1"/>
  <c r="KV884" i="1"/>
  <c r="KU884" i="1"/>
  <c r="KT884" i="1"/>
  <c r="KO884" i="1"/>
  <c r="KN884" i="1"/>
  <c r="KK884" i="1"/>
  <c r="KJ884" i="1"/>
  <c r="KG884" i="1"/>
  <c r="KF884" i="1"/>
  <c r="KC884" i="1"/>
  <c r="KB884" i="1"/>
  <c r="JY884" i="1"/>
  <c r="JX884" i="1"/>
  <c r="KS884" i="1"/>
  <c r="KR884" i="1"/>
  <c r="KQ884" i="1"/>
  <c r="KY883" i="1"/>
  <c r="KX883" i="1"/>
  <c r="KW883" i="1"/>
  <c r="KV883" i="1"/>
  <c r="KU883" i="1"/>
  <c r="KT883" i="1"/>
  <c r="KS883" i="1"/>
  <c r="KO883" i="1"/>
  <c r="KN883" i="1"/>
  <c r="KK883" i="1"/>
  <c r="KJ883" i="1"/>
  <c r="KG883" i="1"/>
  <c r="KF883" i="1"/>
  <c r="KC883" i="1"/>
  <c r="KB883" i="1"/>
  <c r="JY883" i="1"/>
  <c r="JX883" i="1"/>
  <c r="KR883" i="1"/>
  <c r="KQ883" i="1"/>
  <c r="KY882" i="1"/>
  <c r="KX882" i="1"/>
  <c r="KW882" i="1"/>
  <c r="KV882" i="1"/>
  <c r="KU882" i="1"/>
  <c r="KT882" i="1"/>
  <c r="KO882" i="1"/>
  <c r="KN882" i="1"/>
  <c r="KK882" i="1"/>
  <c r="KJ882" i="1"/>
  <c r="KG882" i="1"/>
  <c r="KF882" i="1"/>
  <c r="KC882" i="1"/>
  <c r="KB882" i="1"/>
  <c r="JY882" i="1"/>
  <c r="JX882" i="1"/>
  <c r="KS882" i="1"/>
  <c r="KR882" i="1"/>
  <c r="KQ882" i="1"/>
  <c r="KY881" i="1"/>
  <c r="KX881" i="1"/>
  <c r="KW881" i="1"/>
  <c r="KV881" i="1"/>
  <c r="KU881" i="1"/>
  <c r="KT881" i="1"/>
  <c r="KO881" i="1"/>
  <c r="KN881" i="1"/>
  <c r="KK881" i="1"/>
  <c r="KJ881" i="1"/>
  <c r="KG881" i="1"/>
  <c r="KF881" i="1"/>
  <c r="KC881" i="1"/>
  <c r="KB881" i="1"/>
  <c r="JY881" i="1"/>
  <c r="JX881" i="1"/>
  <c r="KS881" i="1"/>
  <c r="KR881" i="1"/>
  <c r="KQ881" i="1"/>
  <c r="KY880" i="1"/>
  <c r="KX880" i="1"/>
  <c r="KW880" i="1"/>
  <c r="KV880" i="1"/>
  <c r="KU880" i="1"/>
  <c r="KT880" i="1"/>
  <c r="KO880" i="1"/>
  <c r="KN880" i="1"/>
  <c r="KK880" i="1"/>
  <c r="KJ880" i="1"/>
  <c r="KG880" i="1"/>
  <c r="KF880" i="1"/>
  <c r="KC880" i="1"/>
  <c r="KB880" i="1"/>
  <c r="JY880" i="1"/>
  <c r="JX880" i="1"/>
  <c r="KS880" i="1"/>
  <c r="KR880" i="1"/>
  <c r="KQ880" i="1"/>
  <c r="KY879" i="1"/>
  <c r="KX879" i="1"/>
  <c r="KW879" i="1"/>
  <c r="KV879" i="1"/>
  <c r="KU879" i="1"/>
  <c r="KT879" i="1"/>
  <c r="KS879" i="1"/>
  <c r="KO879" i="1"/>
  <c r="KN879" i="1"/>
  <c r="KK879" i="1"/>
  <c r="KJ879" i="1"/>
  <c r="KG879" i="1"/>
  <c r="KF879" i="1"/>
  <c r="KC879" i="1"/>
  <c r="KB879" i="1"/>
  <c r="JY879" i="1"/>
  <c r="JX879" i="1"/>
  <c r="KR879" i="1"/>
  <c r="KQ879" i="1"/>
  <c r="KY878" i="1"/>
  <c r="KX878" i="1"/>
  <c r="KW878" i="1"/>
  <c r="KV878" i="1"/>
  <c r="KU878" i="1"/>
  <c r="KT878" i="1"/>
  <c r="KS878" i="1"/>
  <c r="KO878" i="1"/>
  <c r="KN878" i="1"/>
  <c r="KK878" i="1"/>
  <c r="KJ878" i="1"/>
  <c r="KG878" i="1"/>
  <c r="KF878" i="1"/>
  <c r="KC878" i="1"/>
  <c r="KB878" i="1"/>
  <c r="JY878" i="1"/>
  <c r="JX878" i="1"/>
  <c r="KR878" i="1"/>
  <c r="KQ878" i="1"/>
  <c r="KY877" i="1"/>
  <c r="KX877" i="1"/>
  <c r="KW877" i="1"/>
  <c r="KV877" i="1"/>
  <c r="KU877" i="1"/>
  <c r="KT877" i="1"/>
  <c r="KO877" i="1"/>
  <c r="KN877" i="1"/>
  <c r="KK877" i="1"/>
  <c r="KJ877" i="1"/>
  <c r="KG877" i="1"/>
  <c r="KF877" i="1"/>
  <c r="KC877" i="1"/>
  <c r="KB877" i="1"/>
  <c r="JY877" i="1"/>
  <c r="JX877" i="1"/>
  <c r="KS877" i="1"/>
  <c r="KR877" i="1"/>
  <c r="KQ877" i="1"/>
  <c r="KY876" i="1"/>
  <c r="KX876" i="1"/>
  <c r="KW876" i="1"/>
  <c r="KV876" i="1"/>
  <c r="KU876" i="1"/>
  <c r="KT876" i="1"/>
  <c r="KO876" i="1"/>
  <c r="KN876" i="1"/>
  <c r="KK876" i="1"/>
  <c r="KJ876" i="1"/>
  <c r="KG876" i="1"/>
  <c r="KF876" i="1"/>
  <c r="KC876" i="1"/>
  <c r="KB876" i="1"/>
  <c r="JY876" i="1"/>
  <c r="JX876" i="1"/>
  <c r="KS876" i="1"/>
  <c r="KR876" i="1"/>
  <c r="KQ876" i="1"/>
  <c r="KY875" i="1"/>
  <c r="KX875" i="1"/>
  <c r="KW875" i="1"/>
  <c r="KV875" i="1"/>
  <c r="KU875" i="1"/>
  <c r="KT875" i="1"/>
  <c r="KS875" i="1"/>
  <c r="KO875" i="1"/>
  <c r="KN875" i="1"/>
  <c r="KK875" i="1"/>
  <c r="KJ875" i="1"/>
  <c r="KG875" i="1"/>
  <c r="KF875" i="1"/>
  <c r="KC875" i="1"/>
  <c r="KB875" i="1"/>
  <c r="JY875" i="1"/>
  <c r="JX875" i="1"/>
  <c r="KR875" i="1"/>
  <c r="KQ875" i="1"/>
  <c r="KY874" i="1"/>
  <c r="KX874" i="1"/>
  <c r="KW874" i="1"/>
  <c r="KV874" i="1"/>
  <c r="KU874" i="1"/>
  <c r="KT874" i="1"/>
  <c r="KS874" i="1"/>
  <c r="KR874" i="1"/>
  <c r="KQ874" i="1"/>
  <c r="KO874" i="1"/>
  <c r="KN874" i="1"/>
  <c r="KK874" i="1"/>
  <c r="KJ874" i="1"/>
  <c r="KG874" i="1"/>
  <c r="KF874" i="1"/>
  <c r="KC874" i="1"/>
  <c r="KB874" i="1"/>
  <c r="JY874" i="1"/>
  <c r="JX874" i="1"/>
  <c r="KY873" i="1"/>
  <c r="KX873" i="1"/>
  <c r="KW873" i="1"/>
  <c r="KV873" i="1"/>
  <c r="KU873" i="1"/>
  <c r="KT873" i="1"/>
  <c r="KS873" i="1"/>
  <c r="KR873" i="1"/>
  <c r="KQ873" i="1"/>
  <c r="KO873" i="1"/>
  <c r="KN873" i="1"/>
  <c r="KK873" i="1"/>
  <c r="KJ873" i="1"/>
  <c r="KG873" i="1"/>
  <c r="KF873" i="1"/>
  <c r="KC873" i="1"/>
  <c r="KB873" i="1"/>
  <c r="JY873" i="1"/>
  <c r="JX873" i="1"/>
  <c r="KY872" i="1"/>
  <c r="KX872" i="1"/>
  <c r="KW872" i="1"/>
  <c r="KV872" i="1"/>
  <c r="KU872" i="1"/>
  <c r="KT872" i="1"/>
  <c r="KS872" i="1"/>
  <c r="KR872" i="1"/>
  <c r="KQ872" i="1"/>
  <c r="KO872" i="1"/>
  <c r="KN872" i="1"/>
  <c r="KK872" i="1"/>
  <c r="KJ872" i="1"/>
  <c r="KG872" i="1"/>
  <c r="KF872" i="1"/>
  <c r="KC872" i="1"/>
  <c r="KB872" i="1"/>
  <c r="JY872" i="1"/>
  <c r="JX872" i="1"/>
  <c r="KY871" i="1"/>
  <c r="KX871" i="1"/>
  <c r="KW871" i="1"/>
  <c r="KV871" i="1"/>
  <c r="KU871" i="1"/>
  <c r="KT871" i="1"/>
  <c r="KS871" i="1"/>
  <c r="KR871" i="1"/>
  <c r="KQ871" i="1"/>
  <c r="KO871" i="1"/>
  <c r="KN871" i="1"/>
  <c r="KK871" i="1"/>
  <c r="KJ871" i="1"/>
  <c r="KG871" i="1"/>
  <c r="KF871" i="1"/>
  <c r="KC871" i="1"/>
  <c r="KB871" i="1"/>
  <c r="JY871" i="1"/>
  <c r="JX871" i="1"/>
  <c r="KY870" i="1"/>
  <c r="KX870" i="1"/>
  <c r="KW870" i="1"/>
  <c r="KV870" i="1"/>
  <c r="KU870" i="1"/>
  <c r="KT870" i="1"/>
  <c r="KS870" i="1"/>
  <c r="KR870" i="1"/>
  <c r="KQ870" i="1"/>
  <c r="KO870" i="1"/>
  <c r="KN870" i="1"/>
  <c r="KK870" i="1"/>
  <c r="KJ870" i="1"/>
  <c r="KG870" i="1"/>
  <c r="KF870" i="1"/>
  <c r="KC870" i="1"/>
  <c r="KB870" i="1"/>
  <c r="JY870" i="1"/>
  <c r="JX870" i="1"/>
  <c r="KY869" i="1"/>
  <c r="KX869" i="1"/>
  <c r="KW869" i="1"/>
  <c r="KV869" i="1"/>
  <c r="KU869" i="1"/>
  <c r="KT869" i="1"/>
  <c r="KS869" i="1"/>
  <c r="KR869" i="1"/>
  <c r="KQ869" i="1"/>
  <c r="KO869" i="1"/>
  <c r="KN869" i="1"/>
  <c r="KK869" i="1"/>
  <c r="KJ869" i="1"/>
  <c r="KG869" i="1"/>
  <c r="KF869" i="1"/>
  <c r="KC869" i="1"/>
  <c r="KB869" i="1"/>
  <c r="JY869" i="1"/>
  <c r="JX869" i="1"/>
  <c r="KY868" i="1"/>
  <c r="KX868" i="1"/>
  <c r="KW868" i="1"/>
  <c r="KV868" i="1"/>
  <c r="KU868" i="1"/>
  <c r="KT868" i="1"/>
  <c r="KS868" i="1"/>
  <c r="KR868" i="1"/>
  <c r="KQ868" i="1"/>
  <c r="KO868" i="1"/>
  <c r="KN868" i="1"/>
  <c r="KK868" i="1"/>
  <c r="KJ868" i="1"/>
  <c r="KG868" i="1"/>
  <c r="KF868" i="1"/>
  <c r="KC868" i="1"/>
  <c r="KB868" i="1"/>
  <c r="JY868" i="1"/>
  <c r="JX868" i="1"/>
  <c r="KY867" i="1"/>
  <c r="KX867" i="1"/>
  <c r="KW867" i="1"/>
  <c r="KV867" i="1"/>
  <c r="KU867" i="1"/>
  <c r="KT867" i="1"/>
  <c r="KS867" i="1"/>
  <c r="KR867" i="1"/>
  <c r="KQ867" i="1"/>
  <c r="KO867" i="1"/>
  <c r="KN867" i="1"/>
  <c r="KK867" i="1"/>
  <c r="KJ867" i="1"/>
  <c r="KG867" i="1"/>
  <c r="KF867" i="1"/>
  <c r="KC867" i="1"/>
  <c r="KB867" i="1"/>
  <c r="JY867" i="1"/>
  <c r="JX867" i="1"/>
  <c r="KY866" i="1"/>
  <c r="KX866" i="1"/>
  <c r="KW866" i="1"/>
  <c r="KV866" i="1"/>
  <c r="KU866" i="1"/>
  <c r="KT866" i="1"/>
  <c r="KS866" i="1"/>
  <c r="KR866" i="1"/>
  <c r="KQ866" i="1"/>
  <c r="KO866" i="1"/>
  <c r="KN866" i="1"/>
  <c r="KK866" i="1"/>
  <c r="KJ866" i="1"/>
  <c r="KG866" i="1"/>
  <c r="KF866" i="1"/>
  <c r="KC866" i="1"/>
  <c r="KB866" i="1"/>
  <c r="JY866" i="1"/>
  <c r="JX866" i="1"/>
  <c r="KY865" i="1"/>
  <c r="KX865" i="1"/>
  <c r="KW865" i="1"/>
  <c r="KV865" i="1"/>
  <c r="KU865" i="1"/>
  <c r="KT865" i="1"/>
  <c r="KS865" i="1"/>
  <c r="KR865" i="1"/>
  <c r="KQ865" i="1"/>
  <c r="KO865" i="1"/>
  <c r="KN865" i="1"/>
  <c r="KK865" i="1"/>
  <c r="KJ865" i="1"/>
  <c r="KG865" i="1"/>
  <c r="KF865" i="1"/>
  <c r="KC865" i="1"/>
  <c r="KB865" i="1"/>
  <c r="JY865" i="1"/>
  <c r="JX865" i="1"/>
  <c r="KY864" i="1"/>
  <c r="KX864" i="1"/>
  <c r="KW864" i="1"/>
  <c r="KV864" i="1"/>
  <c r="KU864" i="1"/>
  <c r="KT864" i="1"/>
  <c r="KS864" i="1"/>
  <c r="KR864" i="1"/>
  <c r="KQ864" i="1"/>
  <c r="KO864" i="1"/>
  <c r="KN864" i="1"/>
  <c r="KK864" i="1"/>
  <c r="KJ864" i="1"/>
  <c r="KG864" i="1"/>
  <c r="KF864" i="1"/>
  <c r="KC864" i="1"/>
  <c r="KB864" i="1"/>
  <c r="JY864" i="1"/>
  <c r="JX864" i="1"/>
  <c r="KY863" i="1"/>
  <c r="KX863" i="1"/>
  <c r="KW863" i="1"/>
  <c r="KV863" i="1"/>
  <c r="KU863" i="1"/>
  <c r="KT863" i="1"/>
  <c r="KS863" i="1"/>
  <c r="KR863" i="1"/>
  <c r="KQ863" i="1"/>
  <c r="KO863" i="1"/>
  <c r="KN863" i="1"/>
  <c r="KK863" i="1"/>
  <c r="KJ863" i="1"/>
  <c r="KG863" i="1"/>
  <c r="KF863" i="1"/>
  <c r="KC863" i="1"/>
  <c r="KB863" i="1"/>
  <c r="JY863" i="1"/>
  <c r="JX863" i="1"/>
  <c r="KY862" i="1"/>
  <c r="KX862" i="1"/>
  <c r="KW862" i="1"/>
  <c r="KV862" i="1"/>
  <c r="KU862" i="1"/>
  <c r="KT862" i="1"/>
  <c r="KS862" i="1"/>
  <c r="KR862" i="1"/>
  <c r="KQ862" i="1"/>
  <c r="KO862" i="1"/>
  <c r="KN862" i="1"/>
  <c r="KK862" i="1"/>
  <c r="KJ862" i="1"/>
  <c r="KG862" i="1"/>
  <c r="KF862" i="1"/>
  <c r="KC862" i="1"/>
  <c r="KB862" i="1"/>
  <c r="JY862" i="1"/>
  <c r="JX862" i="1"/>
  <c r="KY861" i="1"/>
  <c r="KX861" i="1"/>
  <c r="KW861" i="1"/>
  <c r="KV861" i="1"/>
  <c r="KU861" i="1"/>
  <c r="KT861" i="1"/>
  <c r="KS861" i="1"/>
  <c r="KR861" i="1"/>
  <c r="KQ861" i="1"/>
  <c r="KO861" i="1"/>
  <c r="KN861" i="1"/>
  <c r="KK861" i="1"/>
  <c r="KJ861" i="1"/>
  <c r="KG861" i="1"/>
  <c r="KF861" i="1"/>
  <c r="KC861" i="1"/>
  <c r="KB861" i="1"/>
  <c r="JY861" i="1"/>
  <c r="JX861" i="1"/>
  <c r="KY860" i="1"/>
  <c r="KX860" i="1"/>
  <c r="KW860" i="1"/>
  <c r="KV860" i="1"/>
  <c r="KU860" i="1"/>
  <c r="KT860" i="1"/>
  <c r="KS860" i="1"/>
  <c r="KR860" i="1"/>
  <c r="KQ860" i="1"/>
  <c r="KO860" i="1"/>
  <c r="KN860" i="1"/>
  <c r="KK860" i="1"/>
  <c r="KJ860" i="1"/>
  <c r="KG860" i="1"/>
  <c r="KF860" i="1"/>
  <c r="KC860" i="1"/>
  <c r="KB860" i="1"/>
  <c r="JY860" i="1"/>
  <c r="JX860" i="1"/>
  <c r="KY859" i="1"/>
  <c r="KX859" i="1"/>
  <c r="KW859" i="1"/>
  <c r="KV859" i="1"/>
  <c r="KU859" i="1"/>
  <c r="KT859" i="1"/>
  <c r="KS859" i="1"/>
  <c r="KR859" i="1"/>
  <c r="KQ859" i="1"/>
  <c r="KO859" i="1"/>
  <c r="KN859" i="1"/>
  <c r="KK859" i="1"/>
  <c r="KJ859" i="1"/>
  <c r="KG859" i="1"/>
  <c r="KF859" i="1"/>
  <c r="KC859" i="1"/>
  <c r="KB859" i="1"/>
  <c r="JY859" i="1"/>
  <c r="JX859" i="1"/>
  <c r="KY858" i="1"/>
  <c r="KX858" i="1"/>
  <c r="KW858" i="1"/>
  <c r="KV858" i="1"/>
  <c r="KU858" i="1"/>
  <c r="KT858" i="1"/>
  <c r="KS858" i="1"/>
  <c r="KR858" i="1"/>
  <c r="KQ858" i="1"/>
  <c r="KO858" i="1"/>
  <c r="KN858" i="1"/>
  <c r="KK858" i="1"/>
  <c r="KJ858" i="1"/>
  <c r="KG858" i="1"/>
  <c r="KF858" i="1"/>
  <c r="KC858" i="1"/>
  <c r="KB858" i="1"/>
  <c r="JY858" i="1"/>
  <c r="JX858" i="1"/>
  <c r="KY857" i="1"/>
  <c r="KX857" i="1"/>
  <c r="KW857" i="1"/>
  <c r="KV857" i="1"/>
  <c r="KU857" i="1"/>
  <c r="KT857" i="1"/>
  <c r="KS857" i="1"/>
  <c r="KR857" i="1"/>
  <c r="KQ857" i="1"/>
  <c r="KO857" i="1"/>
  <c r="KN857" i="1"/>
  <c r="KK857" i="1"/>
  <c r="KJ857" i="1"/>
  <c r="KG857" i="1"/>
  <c r="KF857" i="1"/>
  <c r="KC857" i="1"/>
  <c r="KB857" i="1"/>
  <c r="JY857" i="1"/>
  <c r="JX857" i="1"/>
  <c r="KY856" i="1"/>
  <c r="KX856" i="1"/>
  <c r="KW856" i="1"/>
  <c r="KV856" i="1"/>
  <c r="KU856" i="1"/>
  <c r="KT856" i="1"/>
  <c r="KS856" i="1"/>
  <c r="KR856" i="1"/>
  <c r="KQ856" i="1"/>
  <c r="KO856" i="1"/>
  <c r="KN856" i="1"/>
  <c r="KK856" i="1"/>
  <c r="KJ856" i="1"/>
  <c r="KG856" i="1"/>
  <c r="KF856" i="1"/>
  <c r="KC856" i="1"/>
  <c r="KB856" i="1"/>
  <c r="JY856" i="1"/>
  <c r="JX856" i="1"/>
  <c r="KY855" i="1"/>
  <c r="KX855" i="1"/>
  <c r="KW855" i="1"/>
  <c r="KV855" i="1"/>
  <c r="KU855" i="1"/>
  <c r="KT855" i="1"/>
  <c r="KS855" i="1"/>
  <c r="KR855" i="1"/>
  <c r="KQ855" i="1"/>
  <c r="KO855" i="1"/>
  <c r="KN855" i="1"/>
  <c r="KK855" i="1"/>
  <c r="KJ855" i="1"/>
  <c r="KG855" i="1"/>
  <c r="KF855" i="1"/>
  <c r="KC855" i="1"/>
  <c r="KB855" i="1"/>
  <c r="JY855" i="1"/>
  <c r="JX855" i="1"/>
  <c r="KY854" i="1"/>
  <c r="KX854" i="1"/>
  <c r="KW854" i="1"/>
  <c r="KV854" i="1"/>
  <c r="KU854" i="1"/>
  <c r="KT854" i="1"/>
  <c r="KS854" i="1"/>
  <c r="KR854" i="1"/>
  <c r="KQ854" i="1"/>
  <c r="KO854" i="1"/>
  <c r="KN854" i="1"/>
  <c r="KK854" i="1"/>
  <c r="KJ854" i="1"/>
  <c r="KG854" i="1"/>
  <c r="KF854" i="1"/>
  <c r="KC854" i="1"/>
  <c r="KB854" i="1"/>
  <c r="JY854" i="1"/>
  <c r="JX854" i="1"/>
  <c r="KY853" i="1"/>
  <c r="KX853" i="1"/>
  <c r="KW853" i="1"/>
  <c r="KV853" i="1"/>
  <c r="KU853" i="1"/>
  <c r="KT853" i="1"/>
  <c r="KS853" i="1"/>
  <c r="KR853" i="1"/>
  <c r="KQ853" i="1"/>
  <c r="KO853" i="1"/>
  <c r="KN853" i="1"/>
  <c r="KK853" i="1"/>
  <c r="KJ853" i="1"/>
  <c r="KG853" i="1"/>
  <c r="KF853" i="1"/>
  <c r="KC853" i="1"/>
  <c r="KB853" i="1"/>
  <c r="JY853" i="1"/>
  <c r="JX853" i="1"/>
  <c r="KY852" i="1"/>
  <c r="KX852" i="1"/>
  <c r="KW852" i="1"/>
  <c r="KV852" i="1"/>
  <c r="KU852" i="1"/>
  <c r="KT852" i="1"/>
  <c r="KS852" i="1"/>
  <c r="KR852" i="1"/>
  <c r="KQ852" i="1"/>
  <c r="KO852" i="1"/>
  <c r="KN852" i="1"/>
  <c r="KK852" i="1"/>
  <c r="KJ852" i="1"/>
  <c r="KG852" i="1"/>
  <c r="KF852" i="1"/>
  <c r="KC852" i="1"/>
  <c r="KB852" i="1"/>
  <c r="JY852" i="1"/>
  <c r="JX852" i="1"/>
  <c r="KY851" i="1"/>
  <c r="KX851" i="1"/>
  <c r="KW851" i="1"/>
  <c r="KV851" i="1"/>
  <c r="KU851" i="1"/>
  <c r="KT851" i="1"/>
  <c r="KS851" i="1"/>
  <c r="KR851" i="1"/>
  <c r="KQ851" i="1"/>
  <c r="KO851" i="1"/>
  <c r="KN851" i="1"/>
  <c r="KK851" i="1"/>
  <c r="KJ851" i="1"/>
  <c r="KG851" i="1"/>
  <c r="KF851" i="1"/>
  <c r="KC851" i="1"/>
  <c r="KB851" i="1"/>
  <c r="JY851" i="1"/>
  <c r="JX851" i="1"/>
  <c r="KY850" i="1"/>
  <c r="KX850" i="1"/>
  <c r="KW850" i="1"/>
  <c r="KV850" i="1"/>
  <c r="KU850" i="1"/>
  <c r="KT850" i="1"/>
  <c r="KS850" i="1"/>
  <c r="KR850" i="1"/>
  <c r="KQ850" i="1"/>
  <c r="KO850" i="1"/>
  <c r="KN850" i="1"/>
  <c r="KK850" i="1"/>
  <c r="KJ850" i="1"/>
  <c r="KG850" i="1"/>
  <c r="KF850" i="1"/>
  <c r="KC850" i="1"/>
  <c r="KB850" i="1"/>
  <c r="JY850" i="1"/>
  <c r="JX850" i="1"/>
  <c r="KY849" i="1"/>
  <c r="KX849" i="1"/>
  <c r="KW849" i="1"/>
  <c r="KV849" i="1"/>
  <c r="KU849" i="1"/>
  <c r="KT849" i="1"/>
  <c r="KS849" i="1"/>
  <c r="KR849" i="1"/>
  <c r="KQ849" i="1"/>
  <c r="KO849" i="1"/>
  <c r="KN849" i="1"/>
  <c r="KK849" i="1"/>
  <c r="KJ849" i="1"/>
  <c r="KG849" i="1"/>
  <c r="KF849" i="1"/>
  <c r="KC849" i="1"/>
  <c r="KB849" i="1"/>
  <c r="JY849" i="1"/>
  <c r="JX849" i="1"/>
  <c r="KY848" i="1"/>
  <c r="KX848" i="1"/>
  <c r="KW848" i="1"/>
  <c r="KV848" i="1"/>
  <c r="KU848" i="1"/>
  <c r="KT848" i="1"/>
  <c r="KS848" i="1"/>
  <c r="KR848" i="1"/>
  <c r="KQ848" i="1"/>
  <c r="KO848" i="1"/>
  <c r="KN848" i="1"/>
  <c r="KK848" i="1"/>
  <c r="KJ848" i="1"/>
  <c r="KG848" i="1"/>
  <c r="KF848" i="1"/>
  <c r="KC848" i="1"/>
  <c r="KB848" i="1"/>
  <c r="JY848" i="1"/>
  <c r="JX848" i="1"/>
  <c r="KY847" i="1"/>
  <c r="KX847" i="1"/>
  <c r="KW847" i="1"/>
  <c r="KV847" i="1"/>
  <c r="KU847" i="1"/>
  <c r="KT847" i="1"/>
  <c r="KS847" i="1"/>
  <c r="KR847" i="1"/>
  <c r="KQ847" i="1"/>
  <c r="KO847" i="1"/>
  <c r="KN847" i="1"/>
  <c r="KK847" i="1"/>
  <c r="KJ847" i="1"/>
  <c r="KG847" i="1"/>
  <c r="KF847" i="1"/>
  <c r="KC847" i="1"/>
  <c r="KB847" i="1"/>
  <c r="JY847" i="1"/>
  <c r="JX847" i="1"/>
  <c r="KY846" i="1"/>
  <c r="KX846" i="1"/>
  <c r="KW846" i="1"/>
  <c r="KV846" i="1"/>
  <c r="KU846" i="1"/>
  <c r="KT846" i="1"/>
  <c r="KS846" i="1"/>
  <c r="KR846" i="1"/>
  <c r="KQ846" i="1"/>
  <c r="KO846" i="1"/>
  <c r="KN846" i="1"/>
  <c r="KK846" i="1"/>
  <c r="KJ846" i="1"/>
  <c r="KG846" i="1"/>
  <c r="KF846" i="1"/>
  <c r="KC846" i="1"/>
  <c r="KB846" i="1"/>
  <c r="JY846" i="1"/>
  <c r="JX846" i="1"/>
  <c r="KY845" i="1"/>
  <c r="KX845" i="1"/>
  <c r="KW845" i="1"/>
  <c r="KV845" i="1"/>
  <c r="KU845" i="1"/>
  <c r="KT845" i="1"/>
  <c r="KS845" i="1"/>
  <c r="KR845" i="1"/>
  <c r="KQ845" i="1"/>
  <c r="KO845" i="1"/>
  <c r="KN845" i="1"/>
  <c r="KK845" i="1"/>
  <c r="KJ845" i="1"/>
  <c r="KG845" i="1"/>
  <c r="KF845" i="1"/>
  <c r="KC845" i="1"/>
  <c r="KB845" i="1"/>
  <c r="JY845" i="1"/>
  <c r="JX845" i="1"/>
  <c r="KY844" i="1"/>
  <c r="KX844" i="1"/>
  <c r="KW844" i="1"/>
  <c r="KV844" i="1"/>
  <c r="KU844" i="1"/>
  <c r="KT844" i="1"/>
  <c r="KS844" i="1"/>
  <c r="KR844" i="1"/>
  <c r="KQ844" i="1"/>
  <c r="KO844" i="1"/>
  <c r="KN844" i="1"/>
  <c r="KK844" i="1"/>
  <c r="KJ844" i="1"/>
  <c r="KG844" i="1"/>
  <c r="KF844" i="1"/>
  <c r="KC844" i="1"/>
  <c r="KB844" i="1"/>
  <c r="JY844" i="1"/>
  <c r="JX844" i="1"/>
  <c r="KY843" i="1"/>
  <c r="KX843" i="1"/>
  <c r="KW843" i="1"/>
  <c r="KV843" i="1"/>
  <c r="KU843" i="1"/>
  <c r="KT843" i="1"/>
  <c r="KS843" i="1"/>
  <c r="KR843" i="1"/>
  <c r="KQ843" i="1"/>
  <c r="KO843" i="1"/>
  <c r="KN843" i="1"/>
  <c r="KK843" i="1"/>
  <c r="KJ843" i="1"/>
  <c r="KG843" i="1"/>
  <c r="KF843" i="1"/>
  <c r="KC843" i="1"/>
  <c r="KB843" i="1"/>
  <c r="JY843" i="1"/>
  <c r="JX843" i="1"/>
  <c r="KY842" i="1"/>
  <c r="KX842" i="1"/>
  <c r="KW842" i="1"/>
  <c r="KV842" i="1"/>
  <c r="KU842" i="1"/>
  <c r="KT842" i="1"/>
  <c r="KS842" i="1"/>
  <c r="KR842" i="1"/>
  <c r="KQ842" i="1"/>
  <c r="KO842" i="1"/>
  <c r="KN842" i="1"/>
  <c r="KK842" i="1"/>
  <c r="KJ842" i="1"/>
  <c r="KG842" i="1"/>
  <c r="KF842" i="1"/>
  <c r="KC842" i="1"/>
  <c r="KB842" i="1"/>
  <c r="JY842" i="1"/>
  <c r="JX842" i="1"/>
  <c r="KY841" i="1"/>
  <c r="KX841" i="1"/>
  <c r="KW841" i="1"/>
  <c r="KV841" i="1"/>
  <c r="KU841" i="1"/>
  <c r="KT841" i="1"/>
  <c r="KS841" i="1"/>
  <c r="KR841" i="1"/>
  <c r="KQ841" i="1"/>
  <c r="KO841" i="1"/>
  <c r="KN841" i="1"/>
  <c r="KK841" i="1"/>
  <c r="KJ841" i="1"/>
  <c r="KG841" i="1"/>
  <c r="KF841" i="1"/>
  <c r="KC841" i="1"/>
  <c r="KB841" i="1"/>
  <c r="JY841" i="1"/>
  <c r="JX841" i="1"/>
  <c r="KY840" i="1"/>
  <c r="KX840" i="1"/>
  <c r="KW840" i="1"/>
  <c r="KV840" i="1"/>
  <c r="KU840" i="1"/>
  <c r="KT840" i="1"/>
  <c r="KS840" i="1"/>
  <c r="KR840" i="1"/>
  <c r="KQ840" i="1"/>
  <c r="KO840" i="1"/>
  <c r="KN840" i="1"/>
  <c r="KK840" i="1"/>
  <c r="KJ840" i="1"/>
  <c r="KG840" i="1"/>
  <c r="KF840" i="1"/>
  <c r="KC840" i="1"/>
  <c r="KB840" i="1"/>
  <c r="JY840" i="1"/>
  <c r="JX840" i="1"/>
  <c r="KY839" i="1"/>
  <c r="KX839" i="1"/>
  <c r="KW839" i="1"/>
  <c r="KV839" i="1"/>
  <c r="KU839" i="1"/>
  <c r="KT839" i="1"/>
  <c r="KS839" i="1"/>
  <c r="KR839" i="1"/>
  <c r="KQ839" i="1"/>
  <c r="KO839" i="1"/>
  <c r="KN839" i="1"/>
  <c r="KK839" i="1"/>
  <c r="KJ839" i="1"/>
  <c r="KG839" i="1"/>
  <c r="KF839" i="1"/>
  <c r="KC839" i="1"/>
  <c r="KB839" i="1"/>
  <c r="JY839" i="1"/>
  <c r="JX839" i="1"/>
  <c r="KY838" i="1"/>
  <c r="KX838" i="1"/>
  <c r="KW838" i="1"/>
  <c r="KV838" i="1"/>
  <c r="KU838" i="1"/>
  <c r="KT838" i="1"/>
  <c r="KS838" i="1"/>
  <c r="KR838" i="1"/>
  <c r="KQ838" i="1"/>
  <c r="KO838" i="1"/>
  <c r="KN838" i="1"/>
  <c r="KK838" i="1"/>
  <c r="KJ838" i="1"/>
  <c r="KG838" i="1"/>
  <c r="KF838" i="1"/>
  <c r="KC838" i="1"/>
  <c r="KB838" i="1"/>
  <c r="JY838" i="1"/>
  <c r="JX838" i="1"/>
  <c r="KY837" i="1"/>
  <c r="KX837" i="1"/>
  <c r="KW837" i="1"/>
  <c r="KV837" i="1"/>
  <c r="KU837" i="1"/>
  <c r="KT837" i="1"/>
  <c r="KS837" i="1"/>
  <c r="KO837" i="1"/>
  <c r="KN837" i="1"/>
  <c r="KK837" i="1"/>
  <c r="KJ837" i="1"/>
  <c r="KG837" i="1"/>
  <c r="KF837" i="1"/>
  <c r="KC837" i="1"/>
  <c r="KB837" i="1"/>
  <c r="JY837" i="1"/>
  <c r="JX837" i="1"/>
  <c r="KR837" i="1"/>
  <c r="KQ837" i="1"/>
  <c r="KY836" i="1"/>
  <c r="KX836" i="1"/>
  <c r="KW836" i="1"/>
  <c r="KV836" i="1"/>
  <c r="KU836" i="1"/>
  <c r="KT836" i="1"/>
  <c r="KS836" i="1"/>
  <c r="KR836" i="1"/>
  <c r="KQ836" i="1"/>
  <c r="KO836" i="1"/>
  <c r="KN836" i="1"/>
  <c r="KK836" i="1"/>
  <c r="KJ836" i="1"/>
  <c r="KG836" i="1"/>
  <c r="KF836" i="1"/>
  <c r="KC836" i="1"/>
  <c r="KB836" i="1"/>
  <c r="JY836" i="1"/>
  <c r="JX836" i="1"/>
  <c r="KY835" i="1"/>
  <c r="KX835" i="1"/>
  <c r="KW835" i="1"/>
  <c r="KV835" i="1"/>
  <c r="KU835" i="1"/>
  <c r="KT835" i="1"/>
  <c r="KS835" i="1"/>
  <c r="KR835" i="1"/>
  <c r="KQ835" i="1"/>
  <c r="KO835" i="1"/>
  <c r="KN835" i="1"/>
  <c r="KK835" i="1"/>
  <c r="KJ835" i="1"/>
  <c r="KG835" i="1"/>
  <c r="KF835" i="1"/>
  <c r="KC835" i="1"/>
  <c r="KB835" i="1"/>
  <c r="JY835" i="1"/>
  <c r="JX835" i="1"/>
  <c r="KY834" i="1"/>
  <c r="KX834" i="1"/>
  <c r="KW834" i="1"/>
  <c r="KV834" i="1"/>
  <c r="KU834" i="1"/>
  <c r="KT834" i="1"/>
  <c r="KS834" i="1"/>
  <c r="KR834" i="1"/>
  <c r="KQ834" i="1"/>
  <c r="KO834" i="1"/>
  <c r="KN834" i="1"/>
  <c r="KK834" i="1"/>
  <c r="KJ834" i="1"/>
  <c r="KG834" i="1"/>
  <c r="KF834" i="1"/>
  <c r="KC834" i="1"/>
  <c r="KB834" i="1"/>
  <c r="JY834" i="1"/>
  <c r="JX834" i="1"/>
  <c r="KY833" i="1"/>
  <c r="KX833" i="1"/>
  <c r="KW833" i="1"/>
  <c r="KV833" i="1"/>
  <c r="KU833" i="1"/>
  <c r="KT833" i="1"/>
  <c r="KS833" i="1"/>
  <c r="KR833" i="1"/>
  <c r="KQ833" i="1"/>
  <c r="KO833" i="1"/>
  <c r="KN833" i="1"/>
  <c r="KK833" i="1"/>
  <c r="KJ833" i="1"/>
  <c r="KG833" i="1"/>
  <c r="KF833" i="1"/>
  <c r="KC833" i="1"/>
  <c r="KB833" i="1"/>
  <c r="JY833" i="1"/>
  <c r="JX833" i="1"/>
  <c r="KY832" i="1"/>
  <c r="KX832" i="1"/>
  <c r="KW832" i="1"/>
  <c r="KV832" i="1"/>
  <c r="KU832" i="1"/>
  <c r="KT832" i="1"/>
  <c r="KR832" i="1"/>
  <c r="KQ832" i="1"/>
  <c r="KO832" i="1"/>
  <c r="KN832" i="1"/>
  <c r="KK832" i="1"/>
  <c r="KJ832" i="1"/>
  <c r="KG832" i="1"/>
  <c r="KF832" i="1"/>
  <c r="KC832" i="1"/>
  <c r="KB832" i="1"/>
  <c r="JY832" i="1"/>
  <c r="JX832" i="1"/>
  <c r="KS832" i="1"/>
  <c r="KY831" i="1"/>
  <c r="KX831" i="1"/>
  <c r="KW831" i="1"/>
  <c r="KV831" i="1"/>
  <c r="KU831" i="1"/>
  <c r="KT831" i="1"/>
  <c r="KO831" i="1"/>
  <c r="KN831" i="1"/>
  <c r="KK831" i="1"/>
  <c r="KJ831" i="1"/>
  <c r="KG831" i="1"/>
  <c r="KF831" i="1"/>
  <c r="KC831" i="1"/>
  <c r="KB831" i="1"/>
  <c r="JY831" i="1"/>
  <c r="JX831" i="1"/>
  <c r="KS831" i="1"/>
  <c r="KR831" i="1"/>
  <c r="KQ831" i="1"/>
  <c r="KY830" i="1"/>
  <c r="KX830" i="1"/>
  <c r="KW830" i="1"/>
  <c r="KV830" i="1"/>
  <c r="KU830" i="1"/>
  <c r="KT830" i="1"/>
  <c r="KO830" i="1"/>
  <c r="KN830" i="1"/>
  <c r="KK830" i="1"/>
  <c r="KJ830" i="1"/>
  <c r="KG830" i="1"/>
  <c r="KF830" i="1"/>
  <c r="KC830" i="1"/>
  <c r="KB830" i="1"/>
  <c r="JY830" i="1"/>
  <c r="JX830" i="1"/>
  <c r="KS830" i="1"/>
  <c r="KR830" i="1"/>
  <c r="KQ830" i="1"/>
  <c r="KY829" i="1"/>
  <c r="KX829" i="1"/>
  <c r="KW829" i="1"/>
  <c r="KV829" i="1"/>
  <c r="KU829" i="1"/>
  <c r="KT829" i="1"/>
  <c r="KS829" i="1"/>
  <c r="KO829" i="1"/>
  <c r="KN829" i="1"/>
  <c r="KK829" i="1"/>
  <c r="KJ829" i="1"/>
  <c r="KG829" i="1"/>
  <c r="KH829" i="1"/>
  <c r="KF829" i="1"/>
  <c r="KC829" i="1"/>
  <c r="KB829" i="1"/>
  <c r="JY829" i="1"/>
  <c r="JX829" i="1"/>
  <c r="KR829" i="1"/>
  <c r="KQ829" i="1"/>
  <c r="KY828" i="1"/>
  <c r="KX828" i="1"/>
  <c r="KW828" i="1"/>
  <c r="KV828" i="1"/>
  <c r="KU828" i="1"/>
  <c r="KT828" i="1"/>
  <c r="KQ828" i="1"/>
  <c r="KO828" i="1"/>
  <c r="KN828" i="1"/>
  <c r="KK828" i="1"/>
  <c r="KJ828" i="1"/>
  <c r="KG828" i="1"/>
  <c r="KF828" i="1"/>
  <c r="KC828" i="1"/>
  <c r="KB828" i="1"/>
  <c r="JY828" i="1"/>
  <c r="JX828" i="1"/>
  <c r="KS828" i="1"/>
  <c r="KR828" i="1"/>
  <c r="KY827" i="1"/>
  <c r="KX827" i="1"/>
  <c r="KW827" i="1"/>
  <c r="KV827" i="1"/>
  <c r="KU827" i="1"/>
  <c r="KT827" i="1"/>
  <c r="KQ827" i="1"/>
  <c r="KO827" i="1"/>
  <c r="KN827" i="1"/>
  <c r="KK827" i="1"/>
  <c r="KJ827" i="1"/>
  <c r="KG827" i="1"/>
  <c r="KF827" i="1"/>
  <c r="KC827" i="1"/>
  <c r="KB827" i="1"/>
  <c r="JY827" i="1"/>
  <c r="JX827" i="1"/>
  <c r="KS827" i="1"/>
  <c r="KR827" i="1"/>
  <c r="KY826" i="1"/>
  <c r="KX826" i="1"/>
  <c r="KW826" i="1"/>
  <c r="KV826" i="1"/>
  <c r="KU826" i="1"/>
  <c r="KT826" i="1"/>
  <c r="KO826" i="1"/>
  <c r="KN826" i="1"/>
  <c r="KK826" i="1"/>
  <c r="KJ826" i="1"/>
  <c r="KG826" i="1"/>
  <c r="KF826" i="1"/>
  <c r="KC826" i="1"/>
  <c r="KB826" i="1"/>
  <c r="JY826" i="1"/>
  <c r="JX826" i="1"/>
  <c r="KS826" i="1"/>
  <c r="KR826" i="1"/>
  <c r="KQ826" i="1"/>
  <c r="KY825" i="1"/>
  <c r="KX825" i="1"/>
  <c r="KW825" i="1"/>
  <c r="KV825" i="1"/>
  <c r="KU825" i="1"/>
  <c r="KT825" i="1"/>
  <c r="KO825" i="1"/>
  <c r="KN825" i="1"/>
  <c r="KK825" i="1"/>
  <c r="KJ825" i="1"/>
  <c r="KG825" i="1"/>
  <c r="KF825" i="1"/>
  <c r="KC825" i="1"/>
  <c r="KB825" i="1"/>
  <c r="JY825" i="1"/>
  <c r="JX825" i="1"/>
  <c r="KS825" i="1"/>
  <c r="KR825" i="1"/>
  <c r="KQ825" i="1"/>
  <c r="KY824" i="1"/>
  <c r="KX824" i="1"/>
  <c r="KW824" i="1"/>
  <c r="KV824" i="1"/>
  <c r="KU824" i="1"/>
  <c r="KT824" i="1"/>
  <c r="KO824" i="1"/>
  <c r="KN824" i="1"/>
  <c r="KK824" i="1"/>
  <c r="KJ824" i="1"/>
  <c r="KG824" i="1"/>
  <c r="KF824" i="1"/>
  <c r="KC824" i="1"/>
  <c r="KB824" i="1"/>
  <c r="JY824" i="1"/>
  <c r="JX824" i="1"/>
  <c r="KS824" i="1"/>
  <c r="KR824" i="1"/>
  <c r="KQ824" i="1"/>
  <c r="KY823" i="1"/>
  <c r="KX823" i="1"/>
  <c r="KW823" i="1"/>
  <c r="KV823" i="1"/>
  <c r="KU823" i="1"/>
  <c r="KT823" i="1"/>
  <c r="KR823" i="1"/>
  <c r="KO823" i="1"/>
  <c r="KN823" i="1"/>
  <c r="KK823" i="1"/>
  <c r="KJ823" i="1"/>
  <c r="KG823" i="1"/>
  <c r="KF823" i="1"/>
  <c r="KC823" i="1"/>
  <c r="KB823" i="1"/>
  <c r="JY823" i="1"/>
  <c r="JX823" i="1"/>
  <c r="KS823" i="1"/>
  <c r="KQ823" i="1"/>
  <c r="KY822" i="1"/>
  <c r="KX822" i="1"/>
  <c r="KW822" i="1"/>
  <c r="KV822" i="1"/>
  <c r="KU822" i="1"/>
  <c r="KT822" i="1"/>
  <c r="KO822" i="1"/>
  <c r="KN822" i="1"/>
  <c r="KK822" i="1"/>
  <c r="KJ822" i="1"/>
  <c r="KG822" i="1"/>
  <c r="KF822" i="1"/>
  <c r="KC822" i="1"/>
  <c r="KB822" i="1"/>
  <c r="JY822" i="1"/>
  <c r="JX822" i="1"/>
  <c r="KS822" i="1"/>
  <c r="KR822" i="1"/>
  <c r="KQ822" i="1"/>
  <c r="KY821" i="1"/>
  <c r="KX821" i="1"/>
  <c r="KW821" i="1"/>
  <c r="KV821" i="1"/>
  <c r="KU821" i="1"/>
  <c r="KT821" i="1"/>
  <c r="KO821" i="1"/>
  <c r="KN821" i="1"/>
  <c r="KK821" i="1"/>
  <c r="KJ821" i="1"/>
  <c r="KG821" i="1"/>
  <c r="KF821" i="1"/>
  <c r="KC821" i="1"/>
  <c r="KB821" i="1"/>
  <c r="JY821" i="1"/>
  <c r="JX821" i="1"/>
  <c r="KS821" i="1"/>
  <c r="KR821" i="1"/>
  <c r="KQ821" i="1"/>
  <c r="KY820" i="1"/>
  <c r="KX820" i="1"/>
  <c r="KW820" i="1"/>
  <c r="KV820" i="1"/>
  <c r="KU820" i="1"/>
  <c r="KT820" i="1"/>
  <c r="KO820" i="1"/>
  <c r="KN820" i="1"/>
  <c r="KK820" i="1"/>
  <c r="KL820" i="1"/>
  <c r="KJ820" i="1"/>
  <c r="KG820" i="1"/>
  <c r="KF820" i="1"/>
  <c r="KC820" i="1"/>
  <c r="KB820" i="1"/>
  <c r="JY820" i="1"/>
  <c r="JX820" i="1"/>
  <c r="KS820" i="1"/>
  <c r="KR820" i="1"/>
  <c r="KQ820" i="1"/>
  <c r="KY819" i="1"/>
  <c r="KX819" i="1"/>
  <c r="KW819" i="1"/>
  <c r="KV819" i="1"/>
  <c r="KU819" i="1"/>
  <c r="KT819" i="1"/>
  <c r="KS819" i="1"/>
  <c r="KR819" i="1"/>
  <c r="KO819" i="1"/>
  <c r="KN819" i="1"/>
  <c r="KK819" i="1"/>
  <c r="KL819" i="1"/>
  <c r="KJ819" i="1"/>
  <c r="KG819" i="1"/>
  <c r="KF819" i="1"/>
  <c r="KD819" i="1"/>
  <c r="KC819" i="1"/>
  <c r="KB819" i="1"/>
  <c r="JY819" i="1"/>
  <c r="JX819" i="1"/>
  <c r="KQ819" i="1"/>
  <c r="KY818" i="1"/>
  <c r="KX818" i="1"/>
  <c r="KW818" i="1"/>
  <c r="KV818" i="1"/>
  <c r="KU818" i="1"/>
  <c r="KT818" i="1"/>
  <c r="KS818" i="1"/>
  <c r="KR818" i="1"/>
  <c r="KO818" i="1"/>
  <c r="KN818" i="1"/>
  <c r="KK818" i="1"/>
  <c r="KJ818" i="1"/>
  <c r="KG818" i="1"/>
  <c r="KF818" i="1"/>
  <c r="KD818" i="1"/>
  <c r="KC818" i="1"/>
  <c r="KB818" i="1"/>
  <c r="JY818" i="1"/>
  <c r="JX818" i="1"/>
  <c r="KQ818" i="1"/>
  <c r="KY817" i="1"/>
  <c r="KX817" i="1"/>
  <c r="KW817" i="1"/>
  <c r="KV817" i="1"/>
  <c r="KU817" i="1"/>
  <c r="KT817" i="1"/>
  <c r="KS817" i="1"/>
  <c r="KR817" i="1"/>
  <c r="KO817" i="1"/>
  <c r="KN817" i="1"/>
  <c r="KK817" i="1"/>
  <c r="KJ817" i="1"/>
  <c r="KG817" i="1"/>
  <c r="KF817" i="1"/>
  <c r="KC817" i="1"/>
  <c r="KB817" i="1"/>
  <c r="JY817" i="1"/>
  <c r="JX817" i="1"/>
  <c r="KQ817" i="1"/>
  <c r="KY816" i="1"/>
  <c r="KX816" i="1"/>
  <c r="KW816" i="1"/>
  <c r="KV816" i="1"/>
  <c r="KU816" i="1"/>
  <c r="KT816" i="1"/>
  <c r="KS816" i="1"/>
  <c r="KR816" i="1"/>
  <c r="KO816" i="1"/>
  <c r="KN816" i="1"/>
  <c r="KK816" i="1"/>
  <c r="KJ816" i="1"/>
  <c r="KG816" i="1"/>
  <c r="KF816" i="1"/>
  <c r="KC816" i="1"/>
  <c r="KB816" i="1"/>
  <c r="JY816" i="1"/>
  <c r="JX816" i="1"/>
  <c r="KQ816" i="1"/>
  <c r="KY815" i="1"/>
  <c r="KX815" i="1"/>
  <c r="KW815" i="1"/>
  <c r="KV815" i="1"/>
  <c r="KU815" i="1"/>
  <c r="KT815" i="1"/>
  <c r="KS815" i="1"/>
  <c r="KR815" i="1"/>
  <c r="KO815" i="1"/>
  <c r="KN815" i="1"/>
  <c r="KK815" i="1"/>
  <c r="KJ815" i="1"/>
  <c r="KG815" i="1"/>
  <c r="KH815" i="1"/>
  <c r="KF815" i="1"/>
  <c r="KC815" i="1"/>
  <c r="KB815" i="1"/>
  <c r="JY815" i="1"/>
  <c r="JX815" i="1"/>
  <c r="KQ815" i="1"/>
  <c r="KY814" i="1"/>
  <c r="KX814" i="1"/>
  <c r="KW814" i="1"/>
  <c r="KV814" i="1"/>
  <c r="KU814" i="1"/>
  <c r="KT814" i="1"/>
  <c r="KO814" i="1"/>
  <c r="KN814" i="1"/>
  <c r="KK814" i="1"/>
  <c r="KJ814" i="1"/>
  <c r="KG814" i="1"/>
  <c r="KF814" i="1"/>
  <c r="KC814" i="1"/>
  <c r="KD814" i="1"/>
  <c r="KB814" i="1"/>
  <c r="JY814" i="1"/>
  <c r="JX814" i="1"/>
  <c r="KS814" i="1"/>
  <c r="KR814" i="1"/>
  <c r="KQ814" i="1"/>
  <c r="KY813" i="1"/>
  <c r="KX813" i="1"/>
  <c r="KW813" i="1"/>
  <c r="KV813" i="1"/>
  <c r="KU813" i="1"/>
  <c r="KT813" i="1"/>
  <c r="KO813" i="1"/>
  <c r="KN813" i="1"/>
  <c r="KK813" i="1"/>
  <c r="KJ813" i="1"/>
  <c r="KG813" i="1"/>
  <c r="KH813" i="1"/>
  <c r="KF813" i="1"/>
  <c r="KC813" i="1"/>
  <c r="KB813" i="1"/>
  <c r="JY813" i="1"/>
  <c r="JX813" i="1"/>
  <c r="KS813" i="1"/>
  <c r="KR813" i="1"/>
  <c r="KQ813" i="1"/>
  <c r="KY812" i="1"/>
  <c r="KX812" i="1"/>
  <c r="KW812" i="1"/>
  <c r="KV812" i="1"/>
  <c r="KU812" i="1"/>
  <c r="KT812" i="1"/>
  <c r="KS812" i="1"/>
  <c r="KO812" i="1"/>
  <c r="KN812" i="1"/>
  <c r="KK812" i="1"/>
  <c r="KJ812" i="1"/>
  <c r="KG812" i="1"/>
  <c r="KF812" i="1"/>
  <c r="KC812" i="1"/>
  <c r="KB812" i="1"/>
  <c r="JY812" i="1"/>
  <c r="JX812" i="1"/>
  <c r="KR812" i="1"/>
  <c r="KQ812" i="1"/>
  <c r="KY811" i="1"/>
  <c r="KX811" i="1"/>
  <c r="KW811" i="1"/>
  <c r="KV811" i="1"/>
  <c r="KU811" i="1"/>
  <c r="KT811" i="1"/>
  <c r="KR811" i="1"/>
  <c r="KO811" i="1"/>
  <c r="KN811" i="1"/>
  <c r="KK811" i="1"/>
  <c r="KJ811" i="1"/>
  <c r="KG811" i="1"/>
  <c r="KF811" i="1"/>
  <c r="KC811" i="1"/>
  <c r="KB811" i="1"/>
  <c r="JY811" i="1"/>
  <c r="JX811" i="1"/>
  <c r="KS811" i="1"/>
  <c r="KQ811" i="1"/>
  <c r="KY810" i="1"/>
  <c r="KX810" i="1"/>
  <c r="KW810" i="1"/>
  <c r="KV810" i="1"/>
  <c r="KU810" i="1"/>
  <c r="KT810" i="1"/>
  <c r="KO810" i="1"/>
  <c r="KN810" i="1"/>
  <c r="KK810" i="1"/>
  <c r="KJ810" i="1"/>
  <c r="KG810" i="1"/>
  <c r="KF810" i="1"/>
  <c r="KC810" i="1"/>
  <c r="KB810" i="1"/>
  <c r="JY810" i="1"/>
  <c r="JX810" i="1"/>
  <c r="KS810" i="1"/>
  <c r="KR810" i="1"/>
  <c r="KQ810" i="1"/>
  <c r="KY809" i="1"/>
  <c r="KX809" i="1"/>
  <c r="KW809" i="1"/>
  <c r="KV809" i="1"/>
  <c r="KU809" i="1"/>
  <c r="KT809" i="1"/>
  <c r="KO809" i="1"/>
  <c r="KN809" i="1"/>
  <c r="KK809" i="1"/>
  <c r="KJ809" i="1"/>
  <c r="KG809" i="1"/>
  <c r="KF809" i="1"/>
  <c r="KC809" i="1"/>
  <c r="KB809" i="1"/>
  <c r="JY809" i="1"/>
  <c r="JZ809" i="1"/>
  <c r="JX809" i="1"/>
  <c r="KS809" i="1"/>
  <c r="KR809" i="1"/>
  <c r="KQ809" i="1"/>
  <c r="KY808" i="1"/>
  <c r="KX808" i="1"/>
  <c r="KW808" i="1"/>
  <c r="KV808" i="1"/>
  <c r="KU808" i="1"/>
  <c r="KT808" i="1"/>
  <c r="KS808" i="1"/>
  <c r="KO808" i="1"/>
  <c r="KN808" i="1"/>
  <c r="KK808" i="1"/>
  <c r="KJ808" i="1"/>
  <c r="KG808" i="1"/>
  <c r="KF808" i="1"/>
  <c r="KC808" i="1"/>
  <c r="KB808" i="1"/>
  <c r="JY808" i="1"/>
  <c r="JX808" i="1"/>
  <c r="KR808" i="1"/>
  <c r="KQ808" i="1"/>
  <c r="KY807" i="1"/>
  <c r="KX807" i="1"/>
  <c r="KW807" i="1"/>
  <c r="KV807" i="1"/>
  <c r="KU807" i="1"/>
  <c r="KT807" i="1"/>
  <c r="KR807" i="1"/>
  <c r="KO807" i="1"/>
  <c r="KN807" i="1"/>
  <c r="KK807" i="1"/>
  <c r="KJ807" i="1"/>
  <c r="KG807" i="1"/>
  <c r="KF807" i="1"/>
  <c r="KC807" i="1"/>
  <c r="KB807" i="1"/>
  <c r="JY807" i="1"/>
  <c r="JX807" i="1"/>
  <c r="KS807" i="1"/>
  <c r="KQ807" i="1"/>
  <c r="KY806" i="1"/>
  <c r="KX806" i="1"/>
  <c r="KW806" i="1"/>
  <c r="KV806" i="1"/>
  <c r="KU806" i="1"/>
  <c r="KT806" i="1"/>
  <c r="KO806" i="1"/>
  <c r="KN806" i="1"/>
  <c r="KK806" i="1"/>
  <c r="KJ806" i="1"/>
  <c r="KG806" i="1"/>
  <c r="KF806" i="1"/>
  <c r="KC806" i="1"/>
  <c r="KB806" i="1"/>
  <c r="JY806" i="1"/>
  <c r="JX806" i="1"/>
  <c r="KS806" i="1"/>
  <c r="KR806" i="1"/>
  <c r="KQ806" i="1"/>
  <c r="KY805" i="1"/>
  <c r="KX805" i="1"/>
  <c r="KW805" i="1"/>
  <c r="KV805" i="1"/>
  <c r="KU805" i="1"/>
  <c r="KT805" i="1"/>
  <c r="KO805" i="1"/>
  <c r="KN805" i="1"/>
  <c r="KK805" i="1"/>
  <c r="KJ805" i="1"/>
  <c r="KG805" i="1"/>
  <c r="KH805" i="1"/>
  <c r="KF805" i="1"/>
  <c r="KC805" i="1"/>
  <c r="KB805" i="1"/>
  <c r="JY805" i="1"/>
  <c r="JX805" i="1"/>
  <c r="KS805" i="1"/>
  <c r="KR805" i="1"/>
  <c r="KQ805" i="1"/>
  <c r="KY804" i="1"/>
  <c r="KX804" i="1"/>
  <c r="KW804" i="1"/>
  <c r="KV804" i="1"/>
  <c r="KU804" i="1"/>
  <c r="KT804" i="1"/>
  <c r="KS804" i="1"/>
  <c r="KO804" i="1"/>
  <c r="KN804" i="1"/>
  <c r="KK804" i="1"/>
  <c r="KJ804" i="1"/>
  <c r="KG804" i="1"/>
  <c r="KF804" i="1"/>
  <c r="KC804" i="1"/>
  <c r="KB804" i="1"/>
  <c r="JY804" i="1"/>
  <c r="JX804" i="1"/>
  <c r="KR804" i="1"/>
  <c r="KQ804" i="1"/>
  <c r="KY803" i="1"/>
  <c r="KX803" i="1"/>
  <c r="KW803" i="1"/>
  <c r="KV803" i="1"/>
  <c r="KU803" i="1"/>
  <c r="KT803" i="1"/>
  <c r="KO803" i="1"/>
  <c r="KN803" i="1"/>
  <c r="KK803" i="1"/>
  <c r="KJ803" i="1"/>
  <c r="KG803" i="1"/>
  <c r="KF803" i="1"/>
  <c r="KC803" i="1"/>
  <c r="KB803" i="1"/>
  <c r="JY803" i="1"/>
  <c r="JX803" i="1"/>
  <c r="KS803" i="1"/>
  <c r="KR803" i="1"/>
  <c r="KQ803" i="1"/>
  <c r="KY802" i="1"/>
  <c r="KX802" i="1"/>
  <c r="KW802" i="1"/>
  <c r="KV802" i="1"/>
  <c r="KU802" i="1"/>
  <c r="KT802" i="1"/>
  <c r="KQ802" i="1"/>
  <c r="KO802" i="1"/>
  <c r="KN802" i="1"/>
  <c r="KK802" i="1"/>
  <c r="KJ802" i="1"/>
  <c r="KG802" i="1"/>
  <c r="KF802" i="1"/>
  <c r="KC802" i="1"/>
  <c r="KB802" i="1"/>
  <c r="JY802" i="1"/>
  <c r="JX802" i="1"/>
  <c r="KS802" i="1"/>
  <c r="KR802" i="1"/>
  <c r="KY801" i="1"/>
  <c r="KX801" i="1"/>
  <c r="KW801" i="1"/>
  <c r="KV801" i="1"/>
  <c r="KU801" i="1"/>
  <c r="KT801" i="1"/>
  <c r="KO801" i="1"/>
  <c r="KN801" i="1"/>
  <c r="KK801" i="1"/>
  <c r="KJ801" i="1"/>
  <c r="KG801" i="1"/>
  <c r="KH801" i="1"/>
  <c r="KF801" i="1"/>
  <c r="KC801" i="1"/>
  <c r="KB801" i="1"/>
  <c r="JY801" i="1"/>
  <c r="JX801" i="1"/>
  <c r="KS801" i="1"/>
  <c r="KR801" i="1"/>
  <c r="KQ801" i="1"/>
  <c r="KY800" i="1"/>
  <c r="KX800" i="1"/>
  <c r="KW800" i="1"/>
  <c r="KV800" i="1"/>
  <c r="KU800" i="1"/>
  <c r="KT800" i="1"/>
  <c r="KO800" i="1"/>
  <c r="KN800" i="1"/>
  <c r="KK800" i="1"/>
  <c r="KJ800" i="1"/>
  <c r="KG800" i="1"/>
  <c r="KF800" i="1"/>
  <c r="KC800" i="1"/>
  <c r="KB800" i="1"/>
  <c r="JY800" i="1"/>
  <c r="JX800" i="1"/>
  <c r="KS800" i="1"/>
  <c r="KR800" i="1"/>
  <c r="KQ800" i="1"/>
  <c r="KY799" i="1"/>
  <c r="KX799" i="1"/>
  <c r="KW799" i="1"/>
  <c r="KV799" i="1"/>
  <c r="KU799" i="1"/>
  <c r="KT799" i="1"/>
  <c r="KR799" i="1"/>
  <c r="KO799" i="1"/>
  <c r="KN799" i="1"/>
  <c r="KK799" i="1"/>
  <c r="KJ799" i="1"/>
  <c r="KG799" i="1"/>
  <c r="KF799" i="1"/>
  <c r="KC799" i="1"/>
  <c r="KB799" i="1"/>
  <c r="JY799" i="1"/>
  <c r="JX799" i="1"/>
  <c r="KS799" i="1"/>
  <c r="KQ799" i="1"/>
  <c r="KY798" i="1"/>
  <c r="KX798" i="1"/>
  <c r="KW798" i="1"/>
  <c r="KV798" i="1"/>
  <c r="KU798" i="1"/>
  <c r="KT798" i="1"/>
  <c r="KO798" i="1"/>
  <c r="KN798" i="1"/>
  <c r="KK798" i="1"/>
  <c r="KJ798" i="1"/>
  <c r="KG798" i="1"/>
  <c r="KF798" i="1"/>
  <c r="KC798" i="1"/>
  <c r="KB798" i="1"/>
  <c r="JY798" i="1"/>
  <c r="JX798" i="1"/>
  <c r="KS798" i="1"/>
  <c r="KR798" i="1"/>
  <c r="KQ798" i="1"/>
  <c r="KY797" i="1"/>
  <c r="KX797" i="1"/>
  <c r="KW797" i="1"/>
  <c r="KV797" i="1"/>
  <c r="KU797" i="1"/>
  <c r="KT797" i="1"/>
  <c r="KO797" i="1"/>
  <c r="KN797" i="1"/>
  <c r="KK797" i="1"/>
  <c r="KJ797" i="1"/>
  <c r="KG797" i="1"/>
  <c r="KH797" i="1"/>
  <c r="KF797" i="1"/>
  <c r="KC797" i="1"/>
  <c r="KB797" i="1"/>
  <c r="JY797" i="1"/>
  <c r="JX797" i="1"/>
  <c r="KS797" i="1"/>
  <c r="KR797" i="1"/>
  <c r="KQ797" i="1"/>
  <c r="KY796" i="1"/>
  <c r="KX796" i="1"/>
  <c r="KW796" i="1"/>
  <c r="KV796" i="1"/>
  <c r="KU796" i="1"/>
  <c r="KT796" i="1"/>
  <c r="KS796" i="1"/>
  <c r="KO796" i="1"/>
  <c r="KN796" i="1"/>
  <c r="KK796" i="1"/>
  <c r="KJ796" i="1"/>
  <c r="KG796" i="1"/>
  <c r="KF796" i="1"/>
  <c r="KC796" i="1"/>
  <c r="KB796" i="1"/>
  <c r="JY796" i="1"/>
  <c r="JX796" i="1"/>
  <c r="KR796" i="1"/>
  <c r="KQ796" i="1"/>
  <c r="KY795" i="1"/>
  <c r="KX795" i="1"/>
  <c r="KW795" i="1"/>
  <c r="KV795" i="1"/>
  <c r="KU795" i="1"/>
  <c r="KT795" i="1"/>
  <c r="KO795" i="1"/>
  <c r="KN795" i="1"/>
  <c r="KK795" i="1"/>
  <c r="KJ795" i="1"/>
  <c r="KG795" i="1"/>
  <c r="KF795" i="1"/>
  <c r="KC795" i="1"/>
  <c r="KB795" i="1"/>
  <c r="JY795" i="1"/>
  <c r="JX795" i="1"/>
  <c r="KS795" i="1"/>
  <c r="KR795" i="1"/>
  <c r="KQ795" i="1"/>
  <c r="KY794" i="1"/>
  <c r="KX794" i="1"/>
  <c r="KW794" i="1"/>
  <c r="KV794" i="1"/>
  <c r="KU794" i="1"/>
  <c r="KT794" i="1"/>
  <c r="KQ794" i="1"/>
  <c r="KO794" i="1"/>
  <c r="KN794" i="1"/>
  <c r="KK794" i="1"/>
  <c r="KJ794" i="1"/>
  <c r="KG794" i="1"/>
  <c r="KF794" i="1"/>
  <c r="KC794" i="1"/>
  <c r="KB794" i="1"/>
  <c r="JY794" i="1"/>
  <c r="JX794" i="1"/>
  <c r="KS794" i="1"/>
  <c r="KR794" i="1"/>
  <c r="KY793" i="1"/>
  <c r="KX793" i="1"/>
  <c r="KW793" i="1"/>
  <c r="KV793" i="1"/>
  <c r="KU793" i="1"/>
  <c r="KT793" i="1"/>
  <c r="KO793" i="1"/>
  <c r="KN793" i="1"/>
  <c r="KK793" i="1"/>
  <c r="KJ793" i="1"/>
  <c r="KG793" i="1"/>
  <c r="KF793" i="1"/>
  <c r="KC793" i="1"/>
  <c r="KB793" i="1"/>
  <c r="JY793" i="1"/>
  <c r="JX793" i="1"/>
  <c r="KS793" i="1"/>
  <c r="KR793" i="1"/>
  <c r="KQ793" i="1"/>
  <c r="KY792" i="1"/>
  <c r="KX792" i="1"/>
  <c r="KW792" i="1"/>
  <c r="KV792" i="1"/>
  <c r="KU792" i="1"/>
  <c r="KT792" i="1"/>
  <c r="KO792" i="1"/>
  <c r="KN792" i="1"/>
  <c r="KK792" i="1"/>
  <c r="KJ792" i="1"/>
  <c r="KG792" i="1"/>
  <c r="KF792" i="1"/>
  <c r="KC792" i="1"/>
  <c r="KB792" i="1"/>
  <c r="JY792" i="1"/>
  <c r="JX792" i="1"/>
  <c r="KS792" i="1"/>
  <c r="KR792" i="1"/>
  <c r="KQ792" i="1"/>
  <c r="KY791" i="1"/>
  <c r="KX791" i="1"/>
  <c r="KW791" i="1"/>
  <c r="KV791" i="1"/>
  <c r="KU791" i="1"/>
  <c r="KT791" i="1"/>
  <c r="KR791" i="1"/>
  <c r="KO791" i="1"/>
  <c r="KN791" i="1"/>
  <c r="KK791" i="1"/>
  <c r="KJ791" i="1"/>
  <c r="KG791" i="1"/>
  <c r="KF791" i="1"/>
  <c r="KC791" i="1"/>
  <c r="KB791" i="1"/>
  <c r="JY791" i="1"/>
  <c r="JX791" i="1"/>
  <c r="KS791" i="1"/>
  <c r="KQ791" i="1"/>
  <c r="KY790" i="1"/>
  <c r="KX790" i="1"/>
  <c r="KW790" i="1"/>
  <c r="KV790" i="1"/>
  <c r="KU790" i="1"/>
  <c r="KT790" i="1"/>
  <c r="KO790" i="1"/>
  <c r="KN790" i="1"/>
  <c r="KK790" i="1"/>
  <c r="KJ790" i="1"/>
  <c r="KG790" i="1"/>
  <c r="KF790" i="1"/>
  <c r="KC790" i="1"/>
  <c r="KB790" i="1"/>
  <c r="JY790" i="1"/>
  <c r="JX790" i="1"/>
  <c r="KS790" i="1"/>
  <c r="KR790" i="1"/>
  <c r="KQ790" i="1"/>
  <c r="KY789" i="1"/>
  <c r="KX789" i="1"/>
  <c r="KW789" i="1"/>
  <c r="KV789" i="1"/>
  <c r="KU789" i="1"/>
  <c r="KT789" i="1"/>
  <c r="KO789" i="1"/>
  <c r="KN789" i="1"/>
  <c r="KK789" i="1"/>
  <c r="KJ789" i="1"/>
  <c r="KG789" i="1"/>
  <c r="KF789" i="1"/>
  <c r="KC789" i="1"/>
  <c r="KB789" i="1"/>
  <c r="JY789" i="1"/>
  <c r="JX789" i="1"/>
  <c r="KS789" i="1"/>
  <c r="KR789" i="1"/>
  <c r="KQ789" i="1"/>
  <c r="KY788" i="1"/>
  <c r="KX788" i="1"/>
  <c r="KW788" i="1"/>
  <c r="KV788" i="1"/>
  <c r="KU788" i="1"/>
  <c r="KT788" i="1"/>
  <c r="KS788" i="1"/>
  <c r="KO788" i="1"/>
  <c r="KN788" i="1"/>
  <c r="KK788" i="1"/>
  <c r="KJ788" i="1"/>
  <c r="KG788" i="1"/>
  <c r="KF788" i="1"/>
  <c r="KC788" i="1"/>
  <c r="KB788" i="1"/>
  <c r="JY788" i="1"/>
  <c r="JX788" i="1"/>
  <c r="KR788" i="1"/>
  <c r="KQ788" i="1"/>
  <c r="KY787" i="1"/>
  <c r="KX787" i="1"/>
  <c r="KW787" i="1"/>
  <c r="KV787" i="1"/>
  <c r="KU787" i="1"/>
  <c r="KT787" i="1"/>
  <c r="KO787" i="1"/>
  <c r="KN787" i="1"/>
  <c r="KK787" i="1"/>
  <c r="KJ787" i="1"/>
  <c r="KG787" i="1"/>
  <c r="KF787" i="1"/>
  <c r="KC787" i="1"/>
  <c r="KB787" i="1"/>
  <c r="JY787" i="1"/>
  <c r="JX787" i="1"/>
  <c r="KS787" i="1"/>
  <c r="KR787" i="1"/>
  <c r="KQ787" i="1"/>
  <c r="KY786" i="1"/>
  <c r="KX786" i="1"/>
  <c r="KW786" i="1"/>
  <c r="KV786" i="1"/>
  <c r="KU786" i="1"/>
  <c r="KT786" i="1"/>
  <c r="KQ786" i="1"/>
  <c r="KO786" i="1"/>
  <c r="KN786" i="1"/>
  <c r="KK786" i="1"/>
  <c r="KJ786" i="1"/>
  <c r="KG786" i="1"/>
  <c r="KF786" i="1"/>
  <c r="KC786" i="1"/>
  <c r="KB786" i="1"/>
  <c r="JY786" i="1"/>
  <c r="JX786" i="1"/>
  <c r="KS786" i="1"/>
  <c r="KR786" i="1"/>
  <c r="KY785" i="1"/>
  <c r="KX785" i="1"/>
  <c r="KW785" i="1"/>
  <c r="KV785" i="1"/>
  <c r="KU785" i="1"/>
  <c r="KT785" i="1"/>
  <c r="KO785" i="1"/>
  <c r="KN785" i="1"/>
  <c r="KK785" i="1"/>
  <c r="KJ785" i="1"/>
  <c r="KG785" i="1"/>
  <c r="KF785" i="1"/>
  <c r="KC785" i="1"/>
  <c r="KB785" i="1"/>
  <c r="JY785" i="1"/>
  <c r="JX785" i="1"/>
  <c r="KS785" i="1"/>
  <c r="KR785" i="1"/>
  <c r="KQ785" i="1"/>
  <c r="KY784" i="1"/>
  <c r="KX784" i="1"/>
  <c r="KW784" i="1"/>
  <c r="KV784" i="1"/>
  <c r="KU784" i="1"/>
  <c r="KT784" i="1"/>
  <c r="KS784" i="1"/>
  <c r="KO784" i="1"/>
  <c r="KN784" i="1"/>
  <c r="KK784" i="1"/>
  <c r="KJ784" i="1"/>
  <c r="KG784" i="1"/>
  <c r="KF784" i="1"/>
  <c r="KC784" i="1"/>
  <c r="KB784" i="1"/>
  <c r="JY784" i="1"/>
  <c r="JX784" i="1"/>
  <c r="KR784" i="1"/>
  <c r="KQ784" i="1"/>
  <c r="KY783" i="1"/>
  <c r="KX783" i="1"/>
  <c r="KW783" i="1"/>
  <c r="KV783" i="1"/>
  <c r="KU783" i="1"/>
  <c r="KT783" i="1"/>
  <c r="KO783" i="1"/>
  <c r="KN783" i="1"/>
  <c r="KK783" i="1"/>
  <c r="KJ783" i="1"/>
  <c r="KG783" i="1"/>
  <c r="KF783" i="1"/>
  <c r="KC783" i="1"/>
  <c r="KB783" i="1"/>
  <c r="JY783" i="1"/>
  <c r="JX783" i="1"/>
  <c r="KS783" i="1"/>
  <c r="KR783" i="1"/>
  <c r="KQ783" i="1"/>
  <c r="KY782" i="1"/>
  <c r="KX782" i="1"/>
  <c r="KW782" i="1"/>
  <c r="KV782" i="1"/>
  <c r="KU782" i="1"/>
  <c r="KT782" i="1"/>
  <c r="KS782" i="1"/>
  <c r="KO782" i="1"/>
  <c r="KN782" i="1"/>
  <c r="KK782" i="1"/>
  <c r="KJ782" i="1"/>
  <c r="KG782" i="1"/>
  <c r="KF782" i="1"/>
  <c r="KC782" i="1"/>
  <c r="KB782" i="1"/>
  <c r="JY782" i="1"/>
  <c r="JX782" i="1"/>
  <c r="KR782" i="1"/>
  <c r="KQ782" i="1"/>
  <c r="KY781" i="1"/>
  <c r="KX781" i="1"/>
  <c r="KW781" i="1"/>
  <c r="KV781" i="1"/>
  <c r="KU781" i="1"/>
  <c r="KT781" i="1"/>
  <c r="KO781" i="1"/>
  <c r="KN781" i="1"/>
  <c r="KK781" i="1"/>
  <c r="KJ781" i="1"/>
  <c r="KG781" i="1"/>
  <c r="KF781" i="1"/>
  <c r="KC781" i="1"/>
  <c r="KB781" i="1"/>
  <c r="JY781" i="1"/>
  <c r="JX781" i="1"/>
  <c r="KS781" i="1"/>
  <c r="KR781" i="1"/>
  <c r="KQ781" i="1"/>
  <c r="KY780" i="1"/>
  <c r="KX780" i="1"/>
  <c r="KW780" i="1"/>
  <c r="KV780" i="1"/>
  <c r="KU780" i="1"/>
  <c r="KT780" i="1"/>
  <c r="KO780" i="1"/>
  <c r="KN780" i="1"/>
  <c r="KK780" i="1"/>
  <c r="KJ780" i="1"/>
  <c r="KG780" i="1"/>
  <c r="KF780" i="1"/>
  <c r="KC780" i="1"/>
  <c r="KB780" i="1"/>
  <c r="JY780" i="1"/>
  <c r="JX780" i="1"/>
  <c r="KS780" i="1"/>
  <c r="KR780" i="1"/>
  <c r="KQ780" i="1"/>
  <c r="KY779" i="1"/>
  <c r="KX779" i="1"/>
  <c r="KW779" i="1"/>
  <c r="KV779" i="1"/>
  <c r="KU779" i="1"/>
  <c r="KT779" i="1"/>
  <c r="KO779" i="1"/>
  <c r="KN779" i="1"/>
  <c r="KK779" i="1"/>
  <c r="KJ779" i="1"/>
  <c r="KG779" i="1"/>
  <c r="KF779" i="1"/>
  <c r="KC779" i="1"/>
  <c r="KB779" i="1"/>
  <c r="JY779" i="1"/>
  <c r="JX779" i="1"/>
  <c r="KS779" i="1"/>
  <c r="KR779" i="1"/>
  <c r="KQ779" i="1"/>
  <c r="KY778" i="1"/>
  <c r="KX778" i="1"/>
  <c r="KW778" i="1"/>
  <c r="KV778" i="1"/>
  <c r="KU778" i="1"/>
  <c r="KT778" i="1"/>
  <c r="KO778" i="1"/>
  <c r="KN778" i="1"/>
  <c r="KK778" i="1"/>
  <c r="KJ778" i="1"/>
  <c r="KG778" i="1"/>
  <c r="KF778" i="1"/>
  <c r="KC778" i="1"/>
  <c r="KB778" i="1"/>
  <c r="JY778" i="1"/>
  <c r="JX778" i="1"/>
  <c r="KS778" i="1"/>
  <c r="KR778" i="1"/>
  <c r="KQ778" i="1"/>
  <c r="KY777" i="1"/>
  <c r="KX777" i="1"/>
  <c r="KW777" i="1"/>
  <c r="KV777" i="1"/>
  <c r="KU777" i="1"/>
  <c r="KT777" i="1"/>
  <c r="KO777" i="1"/>
  <c r="KN777" i="1"/>
  <c r="KK777" i="1"/>
  <c r="KJ777" i="1"/>
  <c r="KG777" i="1"/>
  <c r="KF777" i="1"/>
  <c r="KC777" i="1"/>
  <c r="KB777" i="1"/>
  <c r="JY777" i="1"/>
  <c r="JX777" i="1"/>
  <c r="KS777" i="1"/>
  <c r="KR777" i="1"/>
  <c r="KQ777" i="1"/>
  <c r="KY776" i="1"/>
  <c r="KX776" i="1"/>
  <c r="KW776" i="1"/>
  <c r="KV776" i="1"/>
  <c r="KU776" i="1"/>
  <c r="KT776" i="1"/>
  <c r="KQ776" i="1"/>
  <c r="KO776" i="1"/>
  <c r="KN776" i="1"/>
  <c r="KK776" i="1"/>
  <c r="KJ776" i="1"/>
  <c r="KG776" i="1"/>
  <c r="KF776" i="1"/>
  <c r="KC776" i="1"/>
  <c r="KB776" i="1"/>
  <c r="JY776" i="1"/>
  <c r="JX776" i="1"/>
  <c r="KS776" i="1"/>
  <c r="KR776" i="1"/>
  <c r="KY775" i="1"/>
  <c r="KX775" i="1"/>
  <c r="KW775" i="1"/>
  <c r="KV775" i="1"/>
  <c r="KU775" i="1"/>
  <c r="KT775" i="1"/>
  <c r="KO775" i="1"/>
  <c r="KN775" i="1"/>
  <c r="KK775" i="1"/>
  <c r="KJ775" i="1"/>
  <c r="KG775" i="1"/>
  <c r="KF775" i="1"/>
  <c r="KC775" i="1"/>
  <c r="KB775" i="1"/>
  <c r="JY775" i="1"/>
  <c r="JX775" i="1"/>
  <c r="KS775" i="1"/>
  <c r="KR775" i="1"/>
  <c r="KQ775" i="1"/>
  <c r="KY774" i="1"/>
  <c r="KX774" i="1"/>
  <c r="KW774" i="1"/>
  <c r="KV774" i="1"/>
  <c r="KU774" i="1"/>
  <c r="KT774" i="1"/>
  <c r="KO774" i="1"/>
  <c r="KN774" i="1"/>
  <c r="KK774" i="1"/>
  <c r="KJ774" i="1"/>
  <c r="KG774" i="1"/>
  <c r="KF774" i="1"/>
  <c r="KC774" i="1"/>
  <c r="KB774" i="1"/>
  <c r="JY774" i="1"/>
  <c r="JX774" i="1"/>
  <c r="KS774" i="1"/>
  <c r="KR774" i="1"/>
  <c r="KQ774" i="1"/>
  <c r="KY773" i="1"/>
  <c r="KX773" i="1"/>
  <c r="KW773" i="1"/>
  <c r="KV773" i="1"/>
  <c r="KU773" i="1"/>
  <c r="KT773" i="1"/>
  <c r="KS773" i="1"/>
  <c r="KR773" i="1"/>
  <c r="KO773" i="1"/>
  <c r="KN773" i="1"/>
  <c r="KK773" i="1"/>
  <c r="KJ773" i="1"/>
  <c r="KG773" i="1"/>
  <c r="KF773" i="1"/>
  <c r="KC773" i="1"/>
  <c r="KB773" i="1"/>
  <c r="JY773" i="1"/>
  <c r="JX773" i="1"/>
  <c r="KQ773" i="1"/>
  <c r="KY772" i="1"/>
  <c r="KX772" i="1"/>
  <c r="KW772" i="1"/>
  <c r="KV772" i="1"/>
  <c r="KU772" i="1"/>
  <c r="KT772" i="1"/>
  <c r="KS772" i="1"/>
  <c r="KR772" i="1"/>
  <c r="KO772" i="1"/>
  <c r="KN772" i="1"/>
  <c r="KK772" i="1"/>
  <c r="KJ772" i="1"/>
  <c r="KG772" i="1"/>
  <c r="KF772" i="1"/>
  <c r="KC772" i="1"/>
  <c r="KB772" i="1"/>
  <c r="JY772" i="1"/>
  <c r="JX772" i="1"/>
  <c r="KQ772" i="1"/>
  <c r="KY771" i="1"/>
  <c r="KX771" i="1"/>
  <c r="KW771" i="1"/>
  <c r="KV771" i="1"/>
  <c r="KU771" i="1"/>
  <c r="KT771" i="1"/>
  <c r="KO771" i="1"/>
  <c r="KN771" i="1"/>
  <c r="KK771" i="1"/>
  <c r="KJ771" i="1"/>
  <c r="KG771" i="1"/>
  <c r="KF771" i="1"/>
  <c r="KC771" i="1"/>
  <c r="KB771" i="1"/>
  <c r="JY771" i="1"/>
  <c r="JX771" i="1"/>
  <c r="KS771" i="1"/>
  <c r="KR771" i="1"/>
  <c r="KQ771" i="1"/>
  <c r="KY770" i="1"/>
  <c r="KX770" i="1"/>
  <c r="KW770" i="1"/>
  <c r="KV770" i="1"/>
  <c r="KU770" i="1"/>
  <c r="KT770" i="1"/>
  <c r="KS770" i="1"/>
  <c r="KR770" i="1"/>
  <c r="KQ770" i="1"/>
  <c r="KO770" i="1"/>
  <c r="KN770" i="1"/>
  <c r="KK770" i="1"/>
  <c r="KJ770" i="1"/>
  <c r="KG770" i="1"/>
  <c r="KF770" i="1"/>
  <c r="KC770" i="1"/>
  <c r="KB770" i="1"/>
  <c r="JY770" i="1"/>
  <c r="JX770" i="1"/>
  <c r="KY769" i="1"/>
  <c r="KX769" i="1"/>
  <c r="KW769" i="1"/>
  <c r="KV769" i="1"/>
  <c r="KU769" i="1"/>
  <c r="KT769" i="1"/>
  <c r="KS769" i="1"/>
  <c r="KR769" i="1"/>
  <c r="KO769" i="1"/>
  <c r="KN769" i="1"/>
  <c r="KK769" i="1"/>
  <c r="KJ769" i="1"/>
  <c r="KG769" i="1"/>
  <c r="KF769" i="1"/>
  <c r="KC769" i="1"/>
  <c r="KB769" i="1"/>
  <c r="JY769" i="1"/>
  <c r="JX769" i="1"/>
  <c r="KQ769" i="1"/>
  <c r="KY768" i="1"/>
  <c r="KX768" i="1"/>
  <c r="KW768" i="1"/>
  <c r="KV768" i="1"/>
  <c r="KU768" i="1"/>
  <c r="KT768" i="1"/>
  <c r="KS768" i="1"/>
  <c r="KR768" i="1"/>
  <c r="KO768" i="1"/>
  <c r="KN768" i="1"/>
  <c r="KK768" i="1"/>
  <c r="KJ768" i="1"/>
  <c r="KG768" i="1"/>
  <c r="KF768" i="1"/>
  <c r="KC768" i="1"/>
  <c r="KB768" i="1"/>
  <c r="JY768" i="1"/>
  <c r="JX768" i="1"/>
  <c r="KQ768" i="1"/>
  <c r="KY767" i="1"/>
  <c r="KX767" i="1"/>
  <c r="KW767" i="1"/>
  <c r="KV767" i="1"/>
  <c r="KU767" i="1"/>
  <c r="KT767" i="1"/>
  <c r="KS767" i="1"/>
  <c r="KR767" i="1"/>
  <c r="KO767" i="1"/>
  <c r="KN767" i="1"/>
  <c r="KK767" i="1"/>
  <c r="KJ767" i="1"/>
  <c r="KG767" i="1"/>
  <c r="KF767" i="1"/>
  <c r="KC767" i="1"/>
  <c r="KB767" i="1"/>
  <c r="JY767" i="1"/>
  <c r="JX767" i="1"/>
  <c r="KQ767" i="1"/>
  <c r="KY766" i="1"/>
  <c r="KX766" i="1"/>
  <c r="KW766" i="1"/>
  <c r="KV766" i="1"/>
  <c r="KU766" i="1"/>
  <c r="KT766" i="1"/>
  <c r="KO766" i="1"/>
  <c r="KN766" i="1"/>
  <c r="KK766" i="1"/>
  <c r="KJ766" i="1"/>
  <c r="KG766" i="1"/>
  <c r="KF766" i="1"/>
  <c r="KC766" i="1"/>
  <c r="KB766" i="1"/>
  <c r="JY766" i="1"/>
  <c r="JX766" i="1"/>
  <c r="KS766" i="1"/>
  <c r="KR766" i="1"/>
  <c r="KQ766" i="1"/>
  <c r="KY765" i="1"/>
  <c r="KX765" i="1"/>
  <c r="KW765" i="1"/>
  <c r="KV765" i="1"/>
  <c r="KU765" i="1"/>
  <c r="KT765" i="1"/>
  <c r="KS765" i="1"/>
  <c r="KR765" i="1"/>
  <c r="KO765" i="1"/>
  <c r="KN765" i="1"/>
  <c r="KK765" i="1"/>
  <c r="KJ765" i="1"/>
  <c r="KG765" i="1"/>
  <c r="KF765" i="1"/>
  <c r="KC765" i="1"/>
  <c r="KB765" i="1"/>
  <c r="JY765" i="1"/>
  <c r="JX765" i="1"/>
  <c r="KQ765" i="1"/>
  <c r="KY764" i="1"/>
  <c r="KX764" i="1"/>
  <c r="KW764" i="1"/>
  <c r="KV764" i="1"/>
  <c r="KU764" i="1"/>
  <c r="KT764" i="1"/>
  <c r="KS764" i="1"/>
  <c r="KR764" i="1"/>
  <c r="KO764" i="1"/>
  <c r="KN764" i="1"/>
  <c r="KK764" i="1"/>
  <c r="KJ764" i="1"/>
  <c r="KG764" i="1"/>
  <c r="KF764" i="1"/>
  <c r="KC764" i="1"/>
  <c r="KB764" i="1"/>
  <c r="JY764" i="1"/>
  <c r="JX764" i="1"/>
  <c r="KQ764" i="1"/>
  <c r="KY763" i="1"/>
  <c r="KX763" i="1"/>
  <c r="KW763" i="1"/>
  <c r="KV763" i="1"/>
  <c r="KU763" i="1"/>
  <c r="KT763" i="1"/>
  <c r="KS763" i="1"/>
  <c r="KR763" i="1"/>
  <c r="KQ763" i="1"/>
  <c r="KO763" i="1"/>
  <c r="KN763" i="1"/>
  <c r="KK763" i="1"/>
  <c r="KJ763" i="1"/>
  <c r="KG763" i="1"/>
  <c r="KF763" i="1"/>
  <c r="KC763" i="1"/>
  <c r="KB763" i="1"/>
  <c r="JY763" i="1"/>
  <c r="JX763" i="1"/>
  <c r="KY762" i="1"/>
  <c r="KX762" i="1"/>
  <c r="KW762" i="1"/>
  <c r="KV762" i="1"/>
  <c r="KU762" i="1"/>
  <c r="KT762" i="1"/>
  <c r="KS762" i="1"/>
  <c r="KR762" i="1"/>
  <c r="KO762" i="1"/>
  <c r="KN762" i="1"/>
  <c r="KK762" i="1"/>
  <c r="KJ762" i="1"/>
  <c r="KG762" i="1"/>
  <c r="KF762" i="1"/>
  <c r="KC762" i="1"/>
  <c r="KB762" i="1"/>
  <c r="JY762" i="1"/>
  <c r="JX762" i="1"/>
  <c r="KQ762" i="1"/>
  <c r="KY761" i="1"/>
  <c r="KX761" i="1"/>
  <c r="KW761" i="1"/>
  <c r="KV761" i="1"/>
  <c r="KU761" i="1"/>
  <c r="KT761" i="1"/>
  <c r="KO761" i="1"/>
  <c r="KN761" i="1"/>
  <c r="KK761" i="1"/>
  <c r="KJ761" i="1"/>
  <c r="KG761" i="1"/>
  <c r="KF761" i="1"/>
  <c r="KC761" i="1"/>
  <c r="KB761" i="1"/>
  <c r="JY761" i="1"/>
  <c r="JX761" i="1"/>
  <c r="KS761" i="1"/>
  <c r="KR761" i="1"/>
  <c r="KQ761" i="1"/>
  <c r="KY760" i="1"/>
  <c r="KX760" i="1"/>
  <c r="KW760" i="1"/>
  <c r="KV760" i="1"/>
  <c r="KU760" i="1"/>
  <c r="KT760" i="1"/>
  <c r="KQ760" i="1"/>
  <c r="KO760" i="1"/>
  <c r="KN760" i="1"/>
  <c r="KK760" i="1"/>
  <c r="KJ760" i="1"/>
  <c r="KG760" i="1"/>
  <c r="KF760" i="1"/>
  <c r="KC760" i="1"/>
  <c r="KB760" i="1"/>
  <c r="JY760" i="1"/>
  <c r="JX760" i="1"/>
  <c r="KS760" i="1"/>
  <c r="KR760" i="1"/>
  <c r="KY759" i="1"/>
  <c r="KX759" i="1"/>
  <c r="KW759" i="1"/>
  <c r="KV759" i="1"/>
  <c r="KU759" i="1"/>
  <c r="KT759" i="1"/>
  <c r="KS759" i="1"/>
  <c r="KR759" i="1"/>
  <c r="KO759" i="1"/>
  <c r="KN759" i="1"/>
  <c r="KK759" i="1"/>
  <c r="KJ759" i="1"/>
  <c r="KG759" i="1"/>
  <c r="KF759" i="1"/>
  <c r="KC759" i="1"/>
  <c r="KB759" i="1"/>
  <c r="JY759" i="1"/>
  <c r="JX759" i="1"/>
  <c r="KQ759" i="1"/>
  <c r="KY758" i="1"/>
  <c r="KX758" i="1"/>
  <c r="KW758" i="1"/>
  <c r="KV758" i="1"/>
  <c r="KU758" i="1"/>
  <c r="KT758" i="1"/>
  <c r="KS758" i="1"/>
  <c r="KR758" i="1"/>
  <c r="KO758" i="1"/>
  <c r="KN758" i="1"/>
  <c r="KK758" i="1"/>
  <c r="KJ758" i="1"/>
  <c r="KG758" i="1"/>
  <c r="KF758" i="1"/>
  <c r="KC758" i="1"/>
  <c r="KB758" i="1"/>
  <c r="JY758" i="1"/>
  <c r="JX758" i="1"/>
  <c r="KQ758" i="1"/>
  <c r="KY757" i="1"/>
  <c r="KX757" i="1"/>
  <c r="KW757" i="1"/>
  <c r="KV757" i="1"/>
  <c r="KU757" i="1"/>
  <c r="KT757" i="1"/>
  <c r="KS757" i="1"/>
  <c r="KR757" i="1"/>
  <c r="KO757" i="1"/>
  <c r="KN757" i="1"/>
  <c r="KK757" i="1"/>
  <c r="KJ757" i="1"/>
  <c r="KG757" i="1"/>
  <c r="KF757" i="1"/>
  <c r="KC757" i="1"/>
  <c r="KB757" i="1"/>
  <c r="JY757" i="1"/>
  <c r="JX757" i="1"/>
  <c r="KQ757" i="1"/>
  <c r="KY756" i="1"/>
  <c r="KX756" i="1"/>
  <c r="KW756" i="1"/>
  <c r="KV756" i="1"/>
  <c r="KU756" i="1"/>
  <c r="KT756" i="1"/>
  <c r="KS756" i="1"/>
  <c r="KR756" i="1"/>
  <c r="KO756" i="1"/>
  <c r="KN756" i="1"/>
  <c r="KK756" i="1"/>
  <c r="KJ756" i="1"/>
  <c r="KG756" i="1"/>
  <c r="KF756" i="1"/>
  <c r="KC756" i="1"/>
  <c r="KB756" i="1"/>
  <c r="JY756" i="1"/>
  <c r="JX756" i="1"/>
  <c r="KQ756" i="1"/>
  <c r="KY755" i="1"/>
  <c r="KX755" i="1"/>
  <c r="KW755" i="1"/>
  <c r="KV755" i="1"/>
  <c r="KU755" i="1"/>
  <c r="KT755" i="1"/>
  <c r="KS755" i="1"/>
  <c r="KR755" i="1"/>
  <c r="KQ755" i="1"/>
  <c r="KO755" i="1"/>
  <c r="KN755" i="1"/>
  <c r="KP755" i="1"/>
  <c r="KK755" i="1"/>
  <c r="KJ755" i="1"/>
  <c r="KG755" i="1"/>
  <c r="KF755" i="1"/>
  <c r="KC755" i="1"/>
  <c r="KB755" i="1"/>
  <c r="JY755" i="1"/>
  <c r="JX755" i="1"/>
  <c r="KY754" i="1"/>
  <c r="KX754" i="1"/>
  <c r="KW754" i="1"/>
  <c r="KV754" i="1"/>
  <c r="KU754" i="1"/>
  <c r="KT754" i="1"/>
  <c r="KS754" i="1"/>
  <c r="KR754" i="1"/>
  <c r="KO754" i="1"/>
  <c r="KN754" i="1"/>
  <c r="KK754" i="1"/>
  <c r="KJ754" i="1"/>
  <c r="KG754" i="1"/>
  <c r="KF754" i="1"/>
  <c r="KC754" i="1"/>
  <c r="KB754" i="1"/>
  <c r="JY754" i="1"/>
  <c r="JX754" i="1"/>
  <c r="KQ754" i="1"/>
  <c r="KY753" i="1"/>
  <c r="KX753" i="1"/>
  <c r="KW753" i="1"/>
  <c r="KV753" i="1"/>
  <c r="KU753" i="1"/>
  <c r="KT753" i="1"/>
  <c r="KS753" i="1"/>
  <c r="KR753" i="1"/>
  <c r="KO753" i="1"/>
  <c r="KN753" i="1"/>
  <c r="KK753" i="1"/>
  <c r="KJ753" i="1"/>
  <c r="KG753" i="1"/>
  <c r="KF753" i="1"/>
  <c r="KC753" i="1"/>
  <c r="KB753" i="1"/>
  <c r="JY753" i="1"/>
  <c r="JX753" i="1"/>
  <c r="KQ753" i="1"/>
  <c r="KY752" i="1"/>
  <c r="KX752" i="1"/>
  <c r="KW752" i="1"/>
  <c r="KV752" i="1"/>
  <c r="KU752" i="1"/>
  <c r="KT752" i="1"/>
  <c r="KS752" i="1"/>
  <c r="KR752" i="1"/>
  <c r="KQ752" i="1"/>
  <c r="KO752" i="1"/>
  <c r="KN752" i="1"/>
  <c r="KK752" i="1"/>
  <c r="KJ752" i="1"/>
  <c r="KG752" i="1"/>
  <c r="KF752" i="1"/>
  <c r="KC752" i="1"/>
  <c r="KB752" i="1"/>
  <c r="JY752" i="1"/>
  <c r="JX752" i="1"/>
  <c r="KY751" i="1"/>
  <c r="KX751" i="1"/>
  <c r="KW751" i="1"/>
  <c r="KV751" i="1"/>
  <c r="KU751" i="1"/>
  <c r="KT751" i="1"/>
  <c r="KS751" i="1"/>
  <c r="KO751" i="1"/>
  <c r="KN751" i="1"/>
  <c r="KK751" i="1"/>
  <c r="KL751" i="1"/>
  <c r="KJ751" i="1"/>
  <c r="KG751" i="1"/>
  <c r="KF751" i="1"/>
  <c r="KC751" i="1"/>
  <c r="KB751" i="1"/>
  <c r="JY751" i="1"/>
  <c r="JX751" i="1"/>
  <c r="KR751" i="1"/>
  <c r="KQ751" i="1"/>
  <c r="KY750" i="1"/>
  <c r="KX750" i="1"/>
  <c r="KW750" i="1"/>
  <c r="KV750" i="1"/>
  <c r="KU750" i="1"/>
  <c r="KT750" i="1"/>
  <c r="KS750" i="1"/>
  <c r="KR750" i="1"/>
  <c r="KO750" i="1"/>
  <c r="KN750" i="1"/>
  <c r="KK750" i="1"/>
  <c r="KJ750" i="1"/>
  <c r="KG750" i="1"/>
  <c r="KF750" i="1"/>
  <c r="KC750" i="1"/>
  <c r="KB750" i="1"/>
  <c r="JY750" i="1"/>
  <c r="JX750" i="1"/>
  <c r="KQ750" i="1"/>
  <c r="KY749" i="1"/>
  <c r="KX749" i="1"/>
  <c r="KW749" i="1"/>
  <c r="KV749" i="1"/>
  <c r="KU749" i="1"/>
  <c r="KT749" i="1"/>
  <c r="KS749" i="1"/>
  <c r="KR749" i="1"/>
  <c r="KO749" i="1"/>
  <c r="KN749" i="1"/>
  <c r="KK749" i="1"/>
  <c r="KJ749" i="1"/>
  <c r="KG749" i="1"/>
  <c r="KF749" i="1"/>
  <c r="KC749" i="1"/>
  <c r="KB749" i="1"/>
  <c r="JY749" i="1"/>
  <c r="JX749" i="1"/>
  <c r="KQ749" i="1"/>
  <c r="KY748" i="1"/>
  <c r="KX748" i="1"/>
  <c r="KW748" i="1"/>
  <c r="KV748" i="1"/>
  <c r="KU748" i="1"/>
  <c r="KT748" i="1"/>
  <c r="KS748" i="1"/>
  <c r="KR748" i="1"/>
  <c r="KO748" i="1"/>
  <c r="KN748" i="1"/>
  <c r="KK748" i="1"/>
  <c r="KJ748" i="1"/>
  <c r="KG748" i="1"/>
  <c r="KF748" i="1"/>
  <c r="KC748" i="1"/>
  <c r="KB748" i="1"/>
  <c r="JY748" i="1"/>
  <c r="JX748" i="1"/>
  <c r="KQ748" i="1"/>
  <c r="KY747" i="1"/>
  <c r="KX747" i="1"/>
  <c r="KW747" i="1"/>
  <c r="KV747" i="1"/>
  <c r="KU747" i="1"/>
  <c r="KT747" i="1"/>
  <c r="KS747" i="1"/>
  <c r="KQ747" i="1"/>
  <c r="KO747" i="1"/>
  <c r="KN747" i="1"/>
  <c r="KK747" i="1"/>
  <c r="KJ747" i="1"/>
  <c r="KG747" i="1"/>
  <c r="KF747" i="1"/>
  <c r="KC747" i="1"/>
  <c r="KB747" i="1"/>
  <c r="JY747" i="1"/>
  <c r="JX747" i="1"/>
  <c r="KR747" i="1"/>
  <c r="KY746" i="1"/>
  <c r="KX746" i="1"/>
  <c r="KW746" i="1"/>
  <c r="KV746" i="1"/>
  <c r="KU746" i="1"/>
  <c r="KT746" i="1"/>
  <c r="KS746" i="1"/>
  <c r="KR746" i="1"/>
  <c r="KO746" i="1"/>
  <c r="KP746" i="1"/>
  <c r="KN746" i="1"/>
  <c r="KK746" i="1"/>
  <c r="KJ746" i="1"/>
  <c r="KG746" i="1"/>
  <c r="KF746" i="1"/>
  <c r="KC746" i="1"/>
  <c r="KB746" i="1"/>
  <c r="JY746" i="1"/>
  <c r="JX746" i="1"/>
  <c r="KQ746" i="1"/>
  <c r="KY745" i="1"/>
  <c r="KX745" i="1"/>
  <c r="KW745" i="1"/>
  <c r="KV745" i="1"/>
  <c r="KU745" i="1"/>
  <c r="KT745" i="1"/>
  <c r="KS745" i="1"/>
  <c r="KR745" i="1"/>
  <c r="KQ745" i="1"/>
  <c r="KO745" i="1"/>
  <c r="KN745" i="1"/>
  <c r="KK745" i="1"/>
  <c r="KJ745" i="1"/>
  <c r="KG745" i="1"/>
  <c r="KH745" i="1"/>
  <c r="KF745" i="1"/>
  <c r="KC745" i="1"/>
  <c r="KB745" i="1"/>
  <c r="JY745" i="1"/>
  <c r="JX745" i="1"/>
  <c r="KY744" i="1"/>
  <c r="KX744" i="1"/>
  <c r="KW744" i="1"/>
  <c r="KV744" i="1"/>
  <c r="KU744" i="1"/>
  <c r="KT744" i="1"/>
  <c r="KS744" i="1"/>
  <c r="KR744" i="1"/>
  <c r="KQ744" i="1"/>
  <c r="KO744" i="1"/>
  <c r="KN744" i="1"/>
  <c r="KK744" i="1"/>
  <c r="KJ744" i="1"/>
  <c r="KG744" i="1"/>
  <c r="KF744" i="1"/>
  <c r="KC744" i="1"/>
  <c r="KB744" i="1"/>
  <c r="JY744" i="1"/>
  <c r="JX744" i="1"/>
  <c r="KY743" i="1"/>
  <c r="KX743" i="1"/>
  <c r="KW743" i="1"/>
  <c r="KV743" i="1"/>
  <c r="KU743" i="1"/>
  <c r="KT743" i="1"/>
  <c r="KS743" i="1"/>
  <c r="KR743" i="1"/>
  <c r="KO743" i="1"/>
  <c r="KN743" i="1"/>
  <c r="KK743" i="1"/>
  <c r="KJ743" i="1"/>
  <c r="KG743" i="1"/>
  <c r="KF743" i="1"/>
  <c r="KC743" i="1"/>
  <c r="KB743" i="1"/>
  <c r="JY743" i="1"/>
  <c r="JX743" i="1"/>
  <c r="KQ743" i="1"/>
  <c r="KY742" i="1"/>
  <c r="KX742" i="1"/>
  <c r="KW742" i="1"/>
  <c r="KV742" i="1"/>
  <c r="KU742" i="1"/>
  <c r="KT742" i="1"/>
  <c r="KS742" i="1"/>
  <c r="KR742" i="1"/>
  <c r="KO742" i="1"/>
  <c r="KN742" i="1"/>
  <c r="KK742" i="1"/>
  <c r="KJ742" i="1"/>
  <c r="KG742" i="1"/>
  <c r="KF742" i="1"/>
  <c r="KC742" i="1"/>
  <c r="KB742" i="1"/>
  <c r="JY742" i="1"/>
  <c r="JX742" i="1"/>
  <c r="KQ742" i="1"/>
  <c r="KY741" i="1"/>
  <c r="KX741" i="1"/>
  <c r="KW741" i="1"/>
  <c r="KV741" i="1"/>
  <c r="KU741" i="1"/>
  <c r="KT741" i="1"/>
  <c r="KS741" i="1"/>
  <c r="KR741" i="1"/>
  <c r="KO741" i="1"/>
  <c r="KN741" i="1"/>
  <c r="KK741" i="1"/>
  <c r="KJ741" i="1"/>
  <c r="KG741" i="1"/>
  <c r="KF741" i="1"/>
  <c r="KC741" i="1"/>
  <c r="KB741" i="1"/>
  <c r="JY741" i="1"/>
  <c r="JX741" i="1"/>
  <c r="KQ741" i="1"/>
  <c r="KY740" i="1"/>
  <c r="KX740" i="1"/>
  <c r="KW740" i="1"/>
  <c r="KV740" i="1"/>
  <c r="KU740" i="1"/>
  <c r="KT740" i="1"/>
  <c r="KS740" i="1"/>
  <c r="KR740" i="1"/>
  <c r="KO740" i="1"/>
  <c r="KN740" i="1"/>
  <c r="KK740" i="1"/>
  <c r="KJ740" i="1"/>
  <c r="KG740" i="1"/>
  <c r="KF740" i="1"/>
  <c r="KC740" i="1"/>
  <c r="KB740" i="1"/>
  <c r="JY740" i="1"/>
  <c r="JX740" i="1"/>
  <c r="KQ740" i="1"/>
  <c r="KY739" i="1"/>
  <c r="KX739" i="1"/>
  <c r="KW739" i="1"/>
  <c r="KV739" i="1"/>
  <c r="KU739" i="1"/>
  <c r="KT739" i="1"/>
  <c r="KS739" i="1"/>
  <c r="KR739" i="1"/>
  <c r="KO739" i="1"/>
  <c r="KN739" i="1"/>
  <c r="KK739" i="1"/>
  <c r="KJ739" i="1"/>
  <c r="KG739" i="1"/>
  <c r="KF739" i="1"/>
  <c r="KC739" i="1"/>
  <c r="KB739" i="1"/>
  <c r="JY739" i="1"/>
  <c r="JX739" i="1"/>
  <c r="KQ739" i="1"/>
  <c r="KY738" i="1"/>
  <c r="KX738" i="1"/>
  <c r="KW738" i="1"/>
  <c r="KV738" i="1"/>
  <c r="KU738" i="1"/>
  <c r="KT738" i="1"/>
  <c r="KS738" i="1"/>
  <c r="KR738" i="1"/>
  <c r="KO738" i="1"/>
  <c r="KN738" i="1"/>
  <c r="KK738" i="1"/>
  <c r="KJ738" i="1"/>
  <c r="KG738" i="1"/>
  <c r="KF738" i="1"/>
  <c r="KC738" i="1"/>
  <c r="KB738" i="1"/>
  <c r="JY738" i="1"/>
  <c r="JX738" i="1"/>
  <c r="KQ738" i="1"/>
  <c r="KY737" i="1"/>
  <c r="KX737" i="1"/>
  <c r="KW737" i="1"/>
  <c r="KV737" i="1"/>
  <c r="KU737" i="1"/>
  <c r="KT737" i="1"/>
  <c r="KS737" i="1"/>
  <c r="KR737" i="1"/>
  <c r="KO737" i="1"/>
  <c r="KN737" i="1"/>
  <c r="KK737" i="1"/>
  <c r="KJ737" i="1"/>
  <c r="KG737" i="1"/>
  <c r="KF737" i="1"/>
  <c r="KC737" i="1"/>
  <c r="KB737" i="1"/>
  <c r="JY737" i="1"/>
  <c r="JX737" i="1"/>
  <c r="KQ737" i="1"/>
  <c r="KY736" i="1"/>
  <c r="KX736" i="1"/>
  <c r="KW736" i="1"/>
  <c r="KV736" i="1"/>
  <c r="KU736" i="1"/>
  <c r="KT736" i="1"/>
  <c r="KS736" i="1"/>
  <c r="KR736" i="1"/>
  <c r="KO736" i="1"/>
  <c r="KN736" i="1"/>
  <c r="KK736" i="1"/>
  <c r="KJ736" i="1"/>
  <c r="KG736" i="1"/>
  <c r="KF736" i="1"/>
  <c r="KC736" i="1"/>
  <c r="KB736" i="1"/>
  <c r="JY736" i="1"/>
  <c r="JX736" i="1"/>
  <c r="KQ736" i="1"/>
  <c r="KY735" i="1"/>
  <c r="KX735" i="1"/>
  <c r="KW735" i="1"/>
  <c r="KV735" i="1"/>
  <c r="KU735" i="1"/>
  <c r="KT735" i="1"/>
  <c r="KS735" i="1"/>
  <c r="KR735" i="1"/>
  <c r="KO735" i="1"/>
  <c r="KN735" i="1"/>
  <c r="KK735" i="1"/>
  <c r="KJ735" i="1"/>
  <c r="KG735" i="1"/>
  <c r="KF735" i="1"/>
  <c r="KC735" i="1"/>
  <c r="KB735" i="1"/>
  <c r="JY735" i="1"/>
  <c r="JX735" i="1"/>
  <c r="KQ735" i="1"/>
  <c r="KY734" i="1"/>
  <c r="KX734" i="1"/>
  <c r="KW734" i="1"/>
  <c r="KV734" i="1"/>
  <c r="KU734" i="1"/>
  <c r="KT734" i="1"/>
  <c r="KS734" i="1"/>
  <c r="KR734" i="1"/>
  <c r="KO734" i="1"/>
  <c r="KN734" i="1"/>
  <c r="KK734" i="1"/>
  <c r="KJ734" i="1"/>
  <c r="KG734" i="1"/>
  <c r="KF734" i="1"/>
  <c r="KC734" i="1"/>
  <c r="KB734" i="1"/>
  <c r="JY734" i="1"/>
  <c r="JX734" i="1"/>
  <c r="KQ734" i="1"/>
  <c r="KY733" i="1"/>
  <c r="KX733" i="1"/>
  <c r="KW733" i="1"/>
  <c r="KV733" i="1"/>
  <c r="KU733" i="1"/>
  <c r="KT733" i="1"/>
  <c r="KS733" i="1"/>
  <c r="KR733" i="1"/>
  <c r="KO733" i="1"/>
  <c r="KN733" i="1"/>
  <c r="KK733" i="1"/>
  <c r="KJ733" i="1"/>
  <c r="KG733" i="1"/>
  <c r="KF733" i="1"/>
  <c r="KC733" i="1"/>
  <c r="KB733" i="1"/>
  <c r="JY733" i="1"/>
  <c r="JX733" i="1"/>
  <c r="KQ733" i="1"/>
  <c r="KY732" i="1"/>
  <c r="KX732" i="1"/>
  <c r="KW732" i="1"/>
  <c r="KV732" i="1"/>
  <c r="KU732" i="1"/>
  <c r="KT732" i="1"/>
  <c r="KO732" i="1"/>
  <c r="KN732" i="1"/>
  <c r="KK732" i="1"/>
  <c r="KJ732" i="1"/>
  <c r="KG732" i="1"/>
  <c r="KF732" i="1"/>
  <c r="KC732" i="1"/>
  <c r="KB732" i="1"/>
  <c r="JY732" i="1"/>
  <c r="JZ732" i="1"/>
  <c r="JX732" i="1"/>
  <c r="KS732" i="1"/>
  <c r="KR732" i="1"/>
  <c r="KQ732" i="1"/>
  <c r="KY731" i="1"/>
  <c r="KX731" i="1"/>
  <c r="KW731" i="1"/>
  <c r="KV731" i="1"/>
  <c r="KU731" i="1"/>
  <c r="KT731" i="1"/>
  <c r="KO731" i="1"/>
  <c r="KN731" i="1"/>
  <c r="KK731" i="1"/>
  <c r="KJ731" i="1"/>
  <c r="KG731" i="1"/>
  <c r="KF731" i="1"/>
  <c r="KC731" i="1"/>
  <c r="KB731" i="1"/>
  <c r="JY731" i="1"/>
  <c r="JX731" i="1"/>
  <c r="KS731" i="1"/>
  <c r="KR731" i="1"/>
  <c r="KQ731" i="1"/>
  <c r="KY730" i="1"/>
  <c r="KX730" i="1"/>
  <c r="KW730" i="1"/>
  <c r="KV730" i="1"/>
  <c r="KU730" i="1"/>
  <c r="KT730" i="1"/>
  <c r="KS730" i="1"/>
  <c r="KR730" i="1"/>
  <c r="KQ730" i="1"/>
  <c r="KO730" i="1"/>
  <c r="KN730" i="1"/>
  <c r="KK730" i="1"/>
  <c r="KJ730" i="1"/>
  <c r="KG730" i="1"/>
  <c r="KF730" i="1"/>
  <c r="KC730" i="1"/>
  <c r="KB730" i="1"/>
  <c r="JY730" i="1"/>
  <c r="JX730" i="1"/>
  <c r="KY729" i="1"/>
  <c r="KX729" i="1"/>
  <c r="KW729" i="1"/>
  <c r="KV729" i="1"/>
  <c r="KU729" i="1"/>
  <c r="KT729" i="1"/>
  <c r="KO729" i="1"/>
  <c r="KN729" i="1"/>
  <c r="KK729" i="1"/>
  <c r="KJ729" i="1"/>
  <c r="KG729" i="1"/>
  <c r="KF729" i="1"/>
  <c r="KC729" i="1"/>
  <c r="KB729" i="1"/>
  <c r="JY729" i="1"/>
  <c r="JX729" i="1"/>
  <c r="KS729" i="1"/>
  <c r="KR729" i="1"/>
  <c r="KQ729" i="1"/>
  <c r="KY728" i="1"/>
  <c r="KX728" i="1"/>
  <c r="KW728" i="1"/>
  <c r="KV728" i="1"/>
  <c r="KU728" i="1"/>
  <c r="KT728" i="1"/>
  <c r="KO728" i="1"/>
  <c r="KN728" i="1"/>
  <c r="KK728" i="1"/>
  <c r="KJ728" i="1"/>
  <c r="KG728" i="1"/>
  <c r="KF728" i="1"/>
  <c r="KC728" i="1"/>
  <c r="KB728" i="1"/>
  <c r="JY728" i="1"/>
  <c r="JX728" i="1"/>
  <c r="KS728" i="1"/>
  <c r="KR728" i="1"/>
  <c r="KQ728" i="1"/>
  <c r="KY727" i="1"/>
  <c r="KX727" i="1"/>
  <c r="KW727" i="1"/>
  <c r="KV727" i="1"/>
  <c r="KU727" i="1"/>
  <c r="KT727" i="1"/>
  <c r="KO727" i="1"/>
  <c r="KN727" i="1"/>
  <c r="KK727" i="1"/>
  <c r="KJ727" i="1"/>
  <c r="KG727" i="1"/>
  <c r="KF727" i="1"/>
  <c r="KC727" i="1"/>
  <c r="KB727" i="1"/>
  <c r="JY727" i="1"/>
  <c r="JX727" i="1"/>
  <c r="KS727" i="1"/>
  <c r="KR727" i="1"/>
  <c r="KQ727" i="1"/>
  <c r="KY726" i="1"/>
  <c r="KX726" i="1"/>
  <c r="KW726" i="1"/>
  <c r="KV726" i="1"/>
  <c r="KU726" i="1"/>
  <c r="KT726" i="1"/>
  <c r="KO726" i="1"/>
  <c r="KN726" i="1"/>
  <c r="KK726" i="1"/>
  <c r="KJ726" i="1"/>
  <c r="KG726" i="1"/>
  <c r="KF726" i="1"/>
  <c r="KC726" i="1"/>
  <c r="KB726" i="1"/>
  <c r="JY726" i="1"/>
  <c r="JX726" i="1"/>
  <c r="KS726" i="1"/>
  <c r="KR726" i="1"/>
  <c r="KQ726" i="1"/>
  <c r="KY725" i="1"/>
  <c r="KX725" i="1"/>
  <c r="KW725" i="1"/>
  <c r="KV725" i="1"/>
  <c r="KU725" i="1"/>
  <c r="KT725" i="1"/>
  <c r="KO725" i="1"/>
  <c r="KN725" i="1"/>
  <c r="KK725" i="1"/>
  <c r="KJ725" i="1"/>
  <c r="KG725" i="1"/>
  <c r="KF725" i="1"/>
  <c r="KC725" i="1"/>
  <c r="KB725" i="1"/>
  <c r="JY725" i="1"/>
  <c r="JX725" i="1"/>
  <c r="KS725" i="1"/>
  <c r="KR725" i="1"/>
  <c r="KQ725" i="1"/>
  <c r="KY724" i="1"/>
  <c r="KX724" i="1"/>
  <c r="KW724" i="1"/>
  <c r="KV724" i="1"/>
  <c r="KU724" i="1"/>
  <c r="KT724" i="1"/>
  <c r="KO724" i="1"/>
  <c r="KN724" i="1"/>
  <c r="KK724" i="1"/>
  <c r="KJ724" i="1"/>
  <c r="KG724" i="1"/>
  <c r="KF724" i="1"/>
  <c r="KC724" i="1"/>
  <c r="KB724" i="1"/>
  <c r="JY724" i="1"/>
  <c r="JX724" i="1"/>
  <c r="KS724" i="1"/>
  <c r="KR724" i="1"/>
  <c r="KQ724" i="1"/>
  <c r="KY723" i="1"/>
  <c r="KX723" i="1"/>
  <c r="KW723" i="1"/>
  <c r="KV723" i="1"/>
  <c r="KU723" i="1"/>
  <c r="KT723" i="1"/>
  <c r="KO723" i="1"/>
  <c r="KN723" i="1"/>
  <c r="KK723" i="1"/>
  <c r="KJ723" i="1"/>
  <c r="KG723" i="1"/>
  <c r="KF723" i="1"/>
  <c r="KC723" i="1"/>
  <c r="KB723" i="1"/>
  <c r="JY723" i="1"/>
  <c r="JZ723" i="1"/>
  <c r="JX723" i="1"/>
  <c r="KS723" i="1"/>
  <c r="KR723" i="1"/>
  <c r="KQ723" i="1"/>
  <c r="KY722" i="1"/>
  <c r="KX722" i="1"/>
  <c r="KW722" i="1"/>
  <c r="KV722" i="1"/>
  <c r="KU722" i="1"/>
  <c r="KT722" i="1"/>
  <c r="KO722" i="1"/>
  <c r="KN722" i="1"/>
  <c r="KK722" i="1"/>
  <c r="KJ722" i="1"/>
  <c r="KG722" i="1"/>
  <c r="KF722" i="1"/>
  <c r="KC722" i="1"/>
  <c r="KB722" i="1"/>
  <c r="JY722" i="1"/>
  <c r="JX722" i="1"/>
  <c r="KS722" i="1"/>
  <c r="KR722" i="1"/>
  <c r="KQ722" i="1"/>
  <c r="KY721" i="1"/>
  <c r="KX721" i="1"/>
  <c r="KW721" i="1"/>
  <c r="KV721" i="1"/>
  <c r="KU721" i="1"/>
  <c r="KT721" i="1"/>
  <c r="KO721" i="1"/>
  <c r="KN721" i="1"/>
  <c r="KK721" i="1"/>
  <c r="KJ721" i="1"/>
  <c r="KG721" i="1"/>
  <c r="KF721" i="1"/>
  <c r="KC721" i="1"/>
  <c r="KB721" i="1"/>
  <c r="JY721" i="1"/>
  <c r="JX721" i="1"/>
  <c r="KS721" i="1"/>
  <c r="KR721" i="1"/>
  <c r="KQ721" i="1"/>
  <c r="KY720" i="1"/>
  <c r="KX720" i="1"/>
  <c r="KW720" i="1"/>
  <c r="KV720" i="1"/>
  <c r="KU720" i="1"/>
  <c r="KT720" i="1"/>
  <c r="KO720" i="1"/>
  <c r="KN720" i="1"/>
  <c r="KK720" i="1"/>
  <c r="KJ720" i="1"/>
  <c r="KG720" i="1"/>
  <c r="KF720" i="1"/>
  <c r="KC720" i="1"/>
  <c r="KB720" i="1"/>
  <c r="JY720" i="1"/>
  <c r="JX720" i="1"/>
  <c r="KS720" i="1"/>
  <c r="KR720" i="1"/>
  <c r="KQ720" i="1"/>
  <c r="KY719" i="1"/>
  <c r="KX719" i="1"/>
  <c r="KW719" i="1"/>
  <c r="KV719" i="1"/>
  <c r="KU719" i="1"/>
  <c r="KT719" i="1"/>
  <c r="KS719" i="1"/>
  <c r="KR719" i="1"/>
  <c r="KQ719" i="1"/>
  <c r="KO719" i="1"/>
  <c r="KN719" i="1"/>
  <c r="KK719" i="1"/>
  <c r="KJ719" i="1"/>
  <c r="KG719" i="1"/>
  <c r="KF719" i="1"/>
  <c r="KC719" i="1"/>
  <c r="KB719" i="1"/>
  <c r="JY719" i="1"/>
  <c r="JX719" i="1"/>
  <c r="KY718" i="1"/>
  <c r="KX718" i="1"/>
  <c r="KW718" i="1"/>
  <c r="KV718" i="1"/>
  <c r="KU718" i="1"/>
  <c r="KT718" i="1"/>
  <c r="KO718" i="1"/>
  <c r="KN718" i="1"/>
  <c r="KK718" i="1"/>
  <c r="KJ718" i="1"/>
  <c r="KG718" i="1"/>
  <c r="KF718" i="1"/>
  <c r="KC718" i="1"/>
  <c r="KB718" i="1"/>
  <c r="JY718" i="1"/>
  <c r="JX718" i="1"/>
  <c r="KS718" i="1"/>
  <c r="KR718" i="1"/>
  <c r="KQ718" i="1"/>
  <c r="KY717" i="1"/>
  <c r="KX717" i="1"/>
  <c r="KW717" i="1"/>
  <c r="KV717" i="1"/>
  <c r="KU717" i="1"/>
  <c r="KT717" i="1"/>
  <c r="KO717" i="1"/>
  <c r="KP717" i="1"/>
  <c r="KN717" i="1"/>
  <c r="KK717" i="1"/>
  <c r="KJ717" i="1"/>
  <c r="KG717" i="1"/>
  <c r="KF717" i="1"/>
  <c r="KC717" i="1"/>
  <c r="KB717" i="1"/>
  <c r="JY717" i="1"/>
  <c r="JZ717" i="1"/>
  <c r="JX717" i="1"/>
  <c r="KS717" i="1"/>
  <c r="KR717" i="1"/>
  <c r="KQ717" i="1"/>
  <c r="KY716" i="1"/>
  <c r="KX716" i="1"/>
  <c r="KW716" i="1"/>
  <c r="KV716" i="1"/>
  <c r="KU716" i="1"/>
  <c r="KT716" i="1"/>
  <c r="KO716" i="1"/>
  <c r="KN716" i="1"/>
  <c r="KK716" i="1"/>
  <c r="KJ716" i="1"/>
  <c r="KG716" i="1"/>
  <c r="KF716" i="1"/>
  <c r="KC716" i="1"/>
  <c r="KB716" i="1"/>
  <c r="JY716" i="1"/>
  <c r="JX716" i="1"/>
  <c r="KS716" i="1"/>
  <c r="KR716" i="1"/>
  <c r="KQ716" i="1"/>
  <c r="KY715" i="1"/>
  <c r="KX715" i="1"/>
  <c r="KW715" i="1"/>
  <c r="KV715" i="1"/>
  <c r="KU715" i="1"/>
  <c r="KT715" i="1"/>
  <c r="KO715" i="1"/>
  <c r="KN715" i="1"/>
  <c r="KK715" i="1"/>
  <c r="KJ715" i="1"/>
  <c r="KG715" i="1"/>
  <c r="KF715" i="1"/>
  <c r="KC715" i="1"/>
  <c r="KB715" i="1"/>
  <c r="JY715" i="1"/>
  <c r="JX715" i="1"/>
  <c r="KS715" i="1"/>
  <c r="KR715" i="1"/>
  <c r="KQ715" i="1"/>
  <c r="KY714" i="1"/>
  <c r="KX714" i="1"/>
  <c r="KW714" i="1"/>
  <c r="KV714" i="1"/>
  <c r="KU714" i="1"/>
  <c r="KT714" i="1"/>
  <c r="KO714" i="1"/>
  <c r="KN714" i="1"/>
  <c r="KK714" i="1"/>
  <c r="KJ714" i="1"/>
  <c r="KG714" i="1"/>
  <c r="KF714" i="1"/>
  <c r="KC714" i="1"/>
  <c r="KB714" i="1"/>
  <c r="JY714" i="1"/>
  <c r="JX714" i="1"/>
  <c r="KS714" i="1"/>
  <c r="KR714" i="1"/>
  <c r="KQ714" i="1"/>
  <c r="KY713" i="1"/>
  <c r="KX713" i="1"/>
  <c r="KW713" i="1"/>
  <c r="KV713" i="1"/>
  <c r="KU713" i="1"/>
  <c r="KT713" i="1"/>
  <c r="KO713" i="1"/>
  <c r="KN713" i="1"/>
  <c r="KK713" i="1"/>
  <c r="KJ713" i="1"/>
  <c r="KG713" i="1"/>
  <c r="KF713" i="1"/>
  <c r="KC713" i="1"/>
  <c r="KD713" i="1"/>
  <c r="KB713" i="1"/>
  <c r="JY713" i="1"/>
  <c r="JX713" i="1"/>
  <c r="KS713" i="1"/>
  <c r="KR713" i="1"/>
  <c r="KQ713" i="1"/>
  <c r="KY712" i="1"/>
  <c r="KX712" i="1"/>
  <c r="KW712" i="1"/>
  <c r="KV712" i="1"/>
  <c r="KU712" i="1"/>
  <c r="KT712" i="1"/>
  <c r="KO712" i="1"/>
  <c r="KN712" i="1"/>
  <c r="KK712" i="1"/>
  <c r="KJ712" i="1"/>
  <c r="KG712" i="1"/>
  <c r="KF712" i="1"/>
  <c r="KC712" i="1"/>
  <c r="KB712" i="1"/>
  <c r="JY712" i="1"/>
  <c r="JX712" i="1"/>
  <c r="KS712" i="1"/>
  <c r="KR712" i="1"/>
  <c r="KQ712" i="1"/>
  <c r="KY711" i="1"/>
  <c r="KX711" i="1"/>
  <c r="KW711" i="1"/>
  <c r="KV711" i="1"/>
  <c r="KU711" i="1"/>
  <c r="KT711" i="1"/>
  <c r="KO711" i="1"/>
  <c r="KP711" i="1"/>
  <c r="KN711" i="1"/>
  <c r="KK711" i="1"/>
  <c r="KJ711" i="1"/>
  <c r="KG711" i="1"/>
  <c r="KH711" i="1"/>
  <c r="KF711" i="1"/>
  <c r="KC711" i="1"/>
  <c r="KB711" i="1"/>
  <c r="JY711" i="1"/>
  <c r="JZ711" i="1"/>
  <c r="JX711" i="1"/>
  <c r="KS711" i="1"/>
  <c r="KR711" i="1"/>
  <c r="KQ711" i="1"/>
  <c r="KY710" i="1"/>
  <c r="KX710" i="1"/>
  <c r="KW710" i="1"/>
  <c r="KV710" i="1"/>
  <c r="KU710" i="1"/>
  <c r="KT710" i="1"/>
  <c r="KO710" i="1"/>
  <c r="KN710" i="1"/>
  <c r="KK710" i="1"/>
  <c r="KJ710" i="1"/>
  <c r="KG710" i="1"/>
  <c r="KF710" i="1"/>
  <c r="KC710" i="1"/>
  <c r="KB710" i="1"/>
  <c r="JY710" i="1"/>
  <c r="JX710" i="1"/>
  <c r="KS710" i="1"/>
  <c r="KR710" i="1"/>
  <c r="KQ710" i="1"/>
  <c r="KY709" i="1"/>
  <c r="KX709" i="1"/>
  <c r="KW709" i="1"/>
  <c r="KV709" i="1"/>
  <c r="KU709" i="1"/>
  <c r="KT709" i="1"/>
  <c r="KS709" i="1"/>
  <c r="KO709" i="1"/>
  <c r="KN709" i="1"/>
  <c r="KK709" i="1"/>
  <c r="KJ709" i="1"/>
  <c r="KG709" i="1"/>
  <c r="KF709" i="1"/>
  <c r="KC709" i="1"/>
  <c r="KB709" i="1"/>
  <c r="JY709" i="1"/>
  <c r="JX709" i="1"/>
  <c r="KR709" i="1"/>
  <c r="KQ709" i="1"/>
  <c r="KY708" i="1"/>
  <c r="KX708" i="1"/>
  <c r="KW708" i="1"/>
  <c r="KV708" i="1"/>
  <c r="KU708" i="1"/>
  <c r="KT708" i="1"/>
  <c r="KO708" i="1"/>
  <c r="KN708" i="1"/>
  <c r="KK708" i="1"/>
  <c r="KJ708" i="1"/>
  <c r="KG708" i="1"/>
  <c r="KF708" i="1"/>
  <c r="KC708" i="1"/>
  <c r="KB708" i="1"/>
  <c r="JY708" i="1"/>
  <c r="JX708" i="1"/>
  <c r="KS708" i="1"/>
  <c r="KR708" i="1"/>
  <c r="KQ708" i="1"/>
  <c r="KY707" i="1"/>
  <c r="KX707" i="1"/>
  <c r="KW707" i="1"/>
  <c r="KV707" i="1"/>
  <c r="KU707" i="1"/>
  <c r="KT707" i="1"/>
  <c r="KO707" i="1"/>
  <c r="KN707" i="1"/>
  <c r="KK707" i="1"/>
  <c r="KJ707" i="1"/>
  <c r="KG707" i="1"/>
  <c r="KF707" i="1"/>
  <c r="KC707" i="1"/>
  <c r="KB707" i="1"/>
  <c r="JY707" i="1"/>
  <c r="JX707" i="1"/>
  <c r="KS707" i="1"/>
  <c r="KR707" i="1"/>
  <c r="KQ707" i="1"/>
  <c r="KY706" i="1"/>
  <c r="KX706" i="1"/>
  <c r="KW706" i="1"/>
  <c r="KV706" i="1"/>
  <c r="KU706" i="1"/>
  <c r="KT706" i="1"/>
  <c r="KO706" i="1"/>
  <c r="KN706" i="1"/>
  <c r="KK706" i="1"/>
  <c r="KJ706" i="1"/>
  <c r="KG706" i="1"/>
  <c r="KF706" i="1"/>
  <c r="KC706" i="1"/>
  <c r="KB706" i="1"/>
  <c r="JY706" i="1"/>
  <c r="JX706" i="1"/>
  <c r="KS706" i="1"/>
  <c r="KR706" i="1"/>
  <c r="KQ706" i="1"/>
  <c r="KY705" i="1"/>
  <c r="KX705" i="1"/>
  <c r="KW705" i="1"/>
  <c r="KV705" i="1"/>
  <c r="KU705" i="1"/>
  <c r="KT705" i="1"/>
  <c r="KO705" i="1"/>
  <c r="KN705" i="1"/>
  <c r="KK705" i="1"/>
  <c r="KJ705" i="1"/>
  <c r="KG705" i="1"/>
  <c r="KF705" i="1"/>
  <c r="KC705" i="1"/>
  <c r="KB705" i="1"/>
  <c r="JY705" i="1"/>
  <c r="JX705" i="1"/>
  <c r="KS705" i="1"/>
  <c r="KR705" i="1"/>
  <c r="KQ705" i="1"/>
  <c r="KY704" i="1"/>
  <c r="KX704" i="1"/>
  <c r="KW704" i="1"/>
  <c r="KV704" i="1"/>
  <c r="KU704" i="1"/>
  <c r="KT704" i="1"/>
  <c r="KO704" i="1"/>
  <c r="KN704" i="1"/>
  <c r="KK704" i="1"/>
  <c r="KJ704" i="1"/>
  <c r="KG704" i="1"/>
  <c r="KF704" i="1"/>
  <c r="KC704" i="1"/>
  <c r="KB704" i="1"/>
  <c r="JY704" i="1"/>
  <c r="JX704" i="1"/>
  <c r="KS704" i="1"/>
  <c r="KR704" i="1"/>
  <c r="KQ704" i="1"/>
  <c r="KY703" i="1"/>
  <c r="KX703" i="1"/>
  <c r="KW703" i="1"/>
  <c r="KV703" i="1"/>
  <c r="KU703" i="1"/>
  <c r="KT703" i="1"/>
  <c r="KP703" i="1"/>
  <c r="KO703" i="1"/>
  <c r="KN703" i="1"/>
  <c r="KK703" i="1"/>
  <c r="KJ703" i="1"/>
  <c r="KG703" i="1"/>
  <c r="KF703" i="1"/>
  <c r="KC703" i="1"/>
  <c r="KB703" i="1"/>
  <c r="JY703" i="1"/>
  <c r="JX703" i="1"/>
  <c r="KS703" i="1"/>
  <c r="KR703" i="1"/>
  <c r="KQ703" i="1"/>
  <c r="KY702" i="1"/>
  <c r="KX702" i="1"/>
  <c r="KW702" i="1"/>
  <c r="KV702" i="1"/>
  <c r="KU702" i="1"/>
  <c r="KT702" i="1"/>
  <c r="KO702" i="1"/>
  <c r="KN702" i="1"/>
  <c r="KK702" i="1"/>
  <c r="KJ702" i="1"/>
  <c r="KG702" i="1"/>
  <c r="KF702" i="1"/>
  <c r="KC702" i="1"/>
  <c r="KB702" i="1"/>
  <c r="JY702" i="1"/>
  <c r="JZ702" i="1"/>
  <c r="JX702" i="1"/>
  <c r="KS702" i="1"/>
  <c r="KR702" i="1"/>
  <c r="KQ702" i="1"/>
  <c r="KY701" i="1"/>
  <c r="KX701" i="1"/>
  <c r="KW701" i="1"/>
  <c r="KV701" i="1"/>
  <c r="KU701" i="1"/>
  <c r="KT701" i="1"/>
  <c r="KO701" i="1"/>
  <c r="KN701" i="1"/>
  <c r="KK701" i="1"/>
  <c r="KJ701" i="1"/>
  <c r="KG701" i="1"/>
  <c r="KF701" i="1"/>
  <c r="KC701" i="1"/>
  <c r="KB701" i="1"/>
  <c r="JY701" i="1"/>
  <c r="JX701" i="1"/>
  <c r="KS701" i="1"/>
  <c r="KR701" i="1"/>
  <c r="KQ701" i="1"/>
  <c r="KY700" i="1"/>
  <c r="KX700" i="1"/>
  <c r="KW700" i="1"/>
  <c r="KV700" i="1"/>
  <c r="KU700" i="1"/>
  <c r="KT700" i="1"/>
  <c r="KO700" i="1"/>
  <c r="KN700" i="1"/>
  <c r="KK700" i="1"/>
  <c r="KJ700" i="1"/>
  <c r="KG700" i="1"/>
  <c r="KF700" i="1"/>
  <c r="KC700" i="1"/>
  <c r="KB700" i="1"/>
  <c r="JY700" i="1"/>
  <c r="JX700" i="1"/>
  <c r="KS700" i="1"/>
  <c r="KR700" i="1"/>
  <c r="KQ700" i="1"/>
  <c r="KY699" i="1"/>
  <c r="KX699" i="1"/>
  <c r="KW699" i="1"/>
  <c r="KV699" i="1"/>
  <c r="KU699" i="1"/>
  <c r="KT699" i="1"/>
  <c r="KO699" i="1"/>
  <c r="KN699" i="1"/>
  <c r="KK699" i="1"/>
  <c r="KJ699" i="1"/>
  <c r="KG699" i="1"/>
  <c r="KF699" i="1"/>
  <c r="KC699" i="1"/>
  <c r="KB699" i="1"/>
  <c r="JY699" i="1"/>
  <c r="JX699" i="1"/>
  <c r="KS699" i="1"/>
  <c r="KR699" i="1"/>
  <c r="KQ699" i="1"/>
  <c r="KY698" i="1"/>
  <c r="KX698" i="1"/>
  <c r="KW698" i="1"/>
  <c r="KV698" i="1"/>
  <c r="KU698" i="1"/>
  <c r="KT698" i="1"/>
  <c r="KO698" i="1"/>
  <c r="KN698" i="1"/>
  <c r="KK698" i="1"/>
  <c r="KJ698" i="1"/>
  <c r="KG698" i="1"/>
  <c r="KF698" i="1"/>
  <c r="KC698" i="1"/>
  <c r="KB698" i="1"/>
  <c r="JY698" i="1"/>
  <c r="JX698" i="1"/>
  <c r="KS698" i="1"/>
  <c r="KR698" i="1"/>
  <c r="KQ698" i="1"/>
  <c r="KY697" i="1"/>
  <c r="KX697" i="1"/>
  <c r="KW697" i="1"/>
  <c r="KV697" i="1"/>
  <c r="KU697" i="1"/>
  <c r="KT697" i="1"/>
  <c r="KO697" i="1"/>
  <c r="KN697" i="1"/>
  <c r="KK697" i="1"/>
  <c r="KJ697" i="1"/>
  <c r="KG697" i="1"/>
  <c r="KF697" i="1"/>
  <c r="KC697" i="1"/>
  <c r="KB697" i="1"/>
  <c r="JY697" i="1"/>
  <c r="JX697" i="1"/>
  <c r="KS697" i="1"/>
  <c r="KR697" i="1"/>
  <c r="KQ697" i="1"/>
  <c r="KY696" i="1"/>
  <c r="KX696" i="1"/>
  <c r="KW696" i="1"/>
  <c r="KV696" i="1"/>
  <c r="KU696" i="1"/>
  <c r="KT696" i="1"/>
  <c r="KO696" i="1"/>
  <c r="KN696" i="1"/>
  <c r="KK696" i="1"/>
  <c r="KJ696" i="1"/>
  <c r="KG696" i="1"/>
  <c r="KH696" i="1"/>
  <c r="KF696" i="1"/>
  <c r="KC696" i="1"/>
  <c r="KB696" i="1"/>
  <c r="JY696" i="1"/>
  <c r="JX696" i="1"/>
  <c r="KS696" i="1"/>
  <c r="KR696" i="1"/>
  <c r="KQ696" i="1"/>
  <c r="KY695" i="1"/>
  <c r="KX695" i="1"/>
  <c r="KW695" i="1"/>
  <c r="KV695" i="1"/>
  <c r="KU695" i="1"/>
  <c r="KT695" i="1"/>
  <c r="KO695" i="1"/>
  <c r="KN695" i="1"/>
  <c r="KK695" i="1"/>
  <c r="KJ695" i="1"/>
  <c r="KG695" i="1"/>
  <c r="KF695" i="1"/>
  <c r="KC695" i="1"/>
  <c r="KB695" i="1"/>
  <c r="JY695" i="1"/>
  <c r="JX695" i="1"/>
  <c r="KS695" i="1"/>
  <c r="KR695" i="1"/>
  <c r="KQ695" i="1"/>
  <c r="KY694" i="1"/>
  <c r="KX694" i="1"/>
  <c r="KW694" i="1"/>
  <c r="KV694" i="1"/>
  <c r="KU694" i="1"/>
  <c r="KT694" i="1"/>
  <c r="KO694" i="1"/>
  <c r="KN694" i="1"/>
  <c r="KK694" i="1"/>
  <c r="KJ694" i="1"/>
  <c r="KG694" i="1"/>
  <c r="KH694" i="1"/>
  <c r="KF694" i="1"/>
  <c r="KC694" i="1"/>
  <c r="KD694" i="1"/>
  <c r="KB694" i="1"/>
  <c r="JY694" i="1"/>
  <c r="JX694" i="1"/>
  <c r="KS694" i="1"/>
  <c r="KR694" i="1"/>
  <c r="KQ694" i="1"/>
  <c r="KY693" i="1"/>
  <c r="KX693" i="1"/>
  <c r="KW693" i="1"/>
  <c r="KV693" i="1"/>
  <c r="KU693" i="1"/>
  <c r="KT693" i="1"/>
  <c r="KO693" i="1"/>
  <c r="KN693" i="1"/>
  <c r="KK693" i="1"/>
  <c r="KJ693" i="1"/>
  <c r="KG693" i="1"/>
  <c r="KF693" i="1"/>
  <c r="KC693" i="1"/>
  <c r="KB693" i="1"/>
  <c r="JY693" i="1"/>
  <c r="JX693" i="1"/>
  <c r="KS693" i="1"/>
  <c r="KR693" i="1"/>
  <c r="KQ693" i="1"/>
  <c r="KY692" i="1"/>
  <c r="KX692" i="1"/>
  <c r="KW692" i="1"/>
  <c r="KV692" i="1"/>
  <c r="KU692" i="1"/>
  <c r="KT692" i="1"/>
  <c r="KO692" i="1"/>
  <c r="KP692" i="1"/>
  <c r="KN692" i="1"/>
  <c r="KK692" i="1"/>
  <c r="KJ692" i="1"/>
  <c r="KG692" i="1"/>
  <c r="KH692" i="1"/>
  <c r="KF692" i="1"/>
  <c r="KC692" i="1"/>
  <c r="KB692" i="1"/>
  <c r="JY692" i="1"/>
  <c r="JZ692" i="1"/>
  <c r="JX692" i="1"/>
  <c r="KS692" i="1"/>
  <c r="KR692" i="1"/>
  <c r="KQ692" i="1"/>
  <c r="KY691" i="1"/>
  <c r="KX691" i="1"/>
  <c r="KW691" i="1"/>
  <c r="KV691" i="1"/>
  <c r="KU691" i="1"/>
  <c r="KT691" i="1"/>
  <c r="KO691" i="1"/>
  <c r="KN691" i="1"/>
  <c r="KK691" i="1"/>
  <c r="KJ691" i="1"/>
  <c r="KG691" i="1"/>
  <c r="KF691" i="1"/>
  <c r="KC691" i="1"/>
  <c r="KB691" i="1"/>
  <c r="JY691" i="1"/>
  <c r="JX691" i="1"/>
  <c r="KS691" i="1"/>
  <c r="KR691" i="1"/>
  <c r="KQ691" i="1"/>
  <c r="KY690" i="1"/>
  <c r="KX690" i="1"/>
  <c r="KW690" i="1"/>
  <c r="KV690" i="1"/>
  <c r="KU690" i="1"/>
  <c r="KT690" i="1"/>
  <c r="KO690" i="1"/>
  <c r="KN690" i="1"/>
  <c r="KK690" i="1"/>
  <c r="KJ690" i="1"/>
  <c r="KG690" i="1"/>
  <c r="KF690" i="1"/>
  <c r="KC690" i="1"/>
  <c r="KB690" i="1"/>
  <c r="JY690" i="1"/>
  <c r="JX690" i="1"/>
  <c r="KS690" i="1"/>
  <c r="KR690" i="1"/>
  <c r="KQ690" i="1"/>
  <c r="KY689" i="1"/>
  <c r="KX689" i="1"/>
  <c r="KW689" i="1"/>
  <c r="KV689" i="1"/>
  <c r="KU689" i="1"/>
  <c r="KT689" i="1"/>
  <c r="KO689" i="1"/>
  <c r="KN689" i="1"/>
  <c r="KK689" i="1"/>
  <c r="KJ689" i="1"/>
  <c r="KG689" i="1"/>
  <c r="KF689" i="1"/>
  <c r="KC689" i="1"/>
  <c r="KB689" i="1"/>
  <c r="JY689" i="1"/>
  <c r="JX689" i="1"/>
  <c r="KS689" i="1"/>
  <c r="KR689" i="1"/>
  <c r="KQ689" i="1"/>
  <c r="KY688" i="1"/>
  <c r="KX688" i="1"/>
  <c r="KW688" i="1"/>
  <c r="KV688" i="1"/>
  <c r="KU688" i="1"/>
  <c r="KT688" i="1"/>
  <c r="KS688" i="1"/>
  <c r="KO688" i="1"/>
  <c r="KN688" i="1"/>
  <c r="KK688" i="1"/>
  <c r="KJ688" i="1"/>
  <c r="KG688" i="1"/>
  <c r="KF688" i="1"/>
  <c r="KC688" i="1"/>
  <c r="KB688" i="1"/>
  <c r="JY688" i="1"/>
  <c r="JX688" i="1"/>
  <c r="KR688" i="1"/>
  <c r="KQ688" i="1"/>
  <c r="KY687" i="1"/>
  <c r="KX687" i="1"/>
  <c r="KW687" i="1"/>
  <c r="KV687" i="1"/>
  <c r="KU687" i="1"/>
  <c r="KT687" i="1"/>
  <c r="KO687" i="1"/>
  <c r="KN687" i="1"/>
  <c r="KK687" i="1"/>
  <c r="KJ687" i="1"/>
  <c r="KG687" i="1"/>
  <c r="KF687" i="1"/>
  <c r="KC687" i="1"/>
  <c r="KB687" i="1"/>
  <c r="JY687" i="1"/>
  <c r="JZ687" i="1"/>
  <c r="JX687" i="1"/>
  <c r="KS687" i="1"/>
  <c r="KR687" i="1"/>
  <c r="KQ687" i="1"/>
  <c r="KY686" i="1"/>
  <c r="KX686" i="1"/>
  <c r="KW686" i="1"/>
  <c r="KV686" i="1"/>
  <c r="KU686" i="1"/>
  <c r="KT686" i="1"/>
  <c r="KO686" i="1"/>
  <c r="KN686" i="1"/>
  <c r="KK686" i="1"/>
  <c r="KJ686" i="1"/>
  <c r="KG686" i="1"/>
  <c r="KF686" i="1"/>
  <c r="KC686" i="1"/>
  <c r="KB686" i="1"/>
  <c r="JY686" i="1"/>
  <c r="JX686" i="1"/>
  <c r="KS686" i="1"/>
  <c r="KR686" i="1"/>
  <c r="KQ686" i="1"/>
  <c r="KY685" i="1"/>
  <c r="KX685" i="1"/>
  <c r="KW685" i="1"/>
  <c r="KV685" i="1"/>
  <c r="KU685" i="1"/>
  <c r="KT685" i="1"/>
  <c r="KO685" i="1"/>
  <c r="KN685" i="1"/>
  <c r="KK685" i="1"/>
  <c r="KJ685" i="1"/>
  <c r="KG685" i="1"/>
  <c r="KF685" i="1"/>
  <c r="KC685" i="1"/>
  <c r="KB685" i="1"/>
  <c r="JY685" i="1"/>
  <c r="JX685" i="1"/>
  <c r="KS685" i="1"/>
  <c r="KR685" i="1"/>
  <c r="KQ685" i="1"/>
  <c r="KY684" i="1"/>
  <c r="KX684" i="1"/>
  <c r="KW684" i="1"/>
  <c r="KV684" i="1"/>
  <c r="KU684" i="1"/>
  <c r="KT684" i="1"/>
  <c r="KS684" i="1"/>
  <c r="KR684" i="1"/>
  <c r="KQ684" i="1"/>
  <c r="KO684" i="1"/>
  <c r="KN684" i="1"/>
  <c r="KK684" i="1"/>
  <c r="KJ684" i="1"/>
  <c r="KG684" i="1"/>
  <c r="KF684" i="1"/>
  <c r="KC684" i="1"/>
  <c r="KB684" i="1"/>
  <c r="JY684" i="1"/>
  <c r="JX684" i="1"/>
  <c r="KY683" i="1"/>
  <c r="KX683" i="1"/>
  <c r="KW683" i="1"/>
  <c r="KV683" i="1"/>
  <c r="KU683" i="1"/>
  <c r="KT683" i="1"/>
  <c r="KS683" i="1"/>
  <c r="KQ683" i="1"/>
  <c r="KO683" i="1"/>
  <c r="KN683" i="1"/>
  <c r="KK683" i="1"/>
  <c r="KJ683" i="1"/>
  <c r="KG683" i="1"/>
  <c r="KF683" i="1"/>
  <c r="KC683" i="1"/>
  <c r="KB683" i="1"/>
  <c r="JY683" i="1"/>
  <c r="JX683" i="1"/>
  <c r="KR683" i="1"/>
  <c r="KY682" i="1"/>
  <c r="KX682" i="1"/>
  <c r="KW682" i="1"/>
  <c r="KV682" i="1"/>
  <c r="KU682" i="1"/>
  <c r="KT682" i="1"/>
  <c r="KO682" i="1"/>
  <c r="KN682" i="1"/>
  <c r="KK682" i="1"/>
  <c r="KJ682" i="1"/>
  <c r="KG682" i="1"/>
  <c r="KF682" i="1"/>
  <c r="KC682" i="1"/>
  <c r="KB682" i="1"/>
  <c r="JY682" i="1"/>
  <c r="JX682" i="1"/>
  <c r="KS682" i="1"/>
  <c r="KR682" i="1"/>
  <c r="KQ682" i="1"/>
  <c r="KY681" i="1"/>
  <c r="KX681" i="1"/>
  <c r="KW681" i="1"/>
  <c r="KV681" i="1"/>
  <c r="KU681" i="1"/>
  <c r="KT681" i="1"/>
  <c r="KO681" i="1"/>
  <c r="KN681" i="1"/>
  <c r="KK681" i="1"/>
  <c r="KJ681" i="1"/>
  <c r="KG681" i="1"/>
  <c r="KF681" i="1"/>
  <c r="KC681" i="1"/>
  <c r="KB681" i="1"/>
  <c r="JY681" i="1"/>
  <c r="JX681" i="1"/>
  <c r="KS681" i="1"/>
  <c r="KR681" i="1"/>
  <c r="KQ681" i="1"/>
  <c r="KY680" i="1"/>
  <c r="KX680" i="1"/>
  <c r="KW680" i="1"/>
  <c r="KV680" i="1"/>
  <c r="KU680" i="1"/>
  <c r="KT680" i="1"/>
  <c r="KO680" i="1"/>
  <c r="KN680" i="1"/>
  <c r="KK680" i="1"/>
  <c r="KJ680" i="1"/>
  <c r="KG680" i="1"/>
  <c r="KF680" i="1"/>
  <c r="KC680" i="1"/>
  <c r="KB680" i="1"/>
  <c r="JY680" i="1"/>
  <c r="JX680" i="1"/>
  <c r="KS680" i="1"/>
  <c r="KR680" i="1"/>
  <c r="KQ680" i="1"/>
  <c r="KY679" i="1"/>
  <c r="KX679" i="1"/>
  <c r="KW679" i="1"/>
  <c r="KV679" i="1"/>
  <c r="KU679" i="1"/>
  <c r="KT679" i="1"/>
  <c r="KS679" i="1"/>
  <c r="KO679" i="1"/>
  <c r="KN679" i="1"/>
  <c r="KK679" i="1"/>
  <c r="KJ679" i="1"/>
  <c r="KG679" i="1"/>
  <c r="KF679" i="1"/>
  <c r="KC679" i="1"/>
  <c r="KB679" i="1"/>
  <c r="JY679" i="1"/>
  <c r="JX679" i="1"/>
  <c r="KR679" i="1"/>
  <c r="KQ679" i="1"/>
  <c r="KY678" i="1"/>
  <c r="KX678" i="1"/>
  <c r="KW678" i="1"/>
  <c r="KV678" i="1"/>
  <c r="KU678" i="1"/>
  <c r="KT678" i="1"/>
  <c r="KS678" i="1"/>
  <c r="KR678" i="1"/>
  <c r="KO678" i="1"/>
  <c r="KN678" i="1"/>
  <c r="KK678" i="1"/>
  <c r="KJ678" i="1"/>
  <c r="KG678" i="1"/>
  <c r="KF678" i="1"/>
  <c r="KC678" i="1"/>
  <c r="KB678" i="1"/>
  <c r="JY678" i="1"/>
  <c r="JX678" i="1"/>
  <c r="KQ678" i="1"/>
  <c r="KY677" i="1"/>
  <c r="KX677" i="1"/>
  <c r="KW677" i="1"/>
  <c r="KV677" i="1"/>
  <c r="KU677" i="1"/>
  <c r="KT677" i="1"/>
  <c r="KO677" i="1"/>
  <c r="KN677" i="1"/>
  <c r="KK677" i="1"/>
  <c r="KJ677" i="1"/>
  <c r="KG677" i="1"/>
  <c r="KF677" i="1"/>
  <c r="KC677" i="1"/>
  <c r="KB677" i="1"/>
  <c r="JY677" i="1"/>
  <c r="JX677" i="1"/>
  <c r="KS677" i="1"/>
  <c r="KR677" i="1"/>
  <c r="KQ677" i="1"/>
  <c r="GW954" i="1"/>
  <c r="FQ954" i="1"/>
  <c r="FI954" i="1"/>
  <c r="FE954" i="1"/>
  <c r="KY676" i="1"/>
  <c r="KX676" i="1"/>
  <c r="KW676" i="1"/>
  <c r="KV676" i="1"/>
  <c r="KU676" i="1"/>
  <c r="KT676" i="1"/>
  <c r="KO676" i="1"/>
  <c r="KN676" i="1"/>
  <c r="KK676" i="1"/>
  <c r="KL676" i="1"/>
  <c r="KJ676" i="1"/>
  <c r="KG676" i="1"/>
  <c r="KF676" i="1"/>
  <c r="KC676" i="1"/>
  <c r="KB676" i="1"/>
  <c r="JY676" i="1"/>
  <c r="JX676" i="1"/>
  <c r="KS676" i="1"/>
  <c r="KR676" i="1"/>
  <c r="KQ676" i="1"/>
  <c r="KY675" i="1"/>
  <c r="KX675" i="1"/>
  <c r="KW675" i="1"/>
  <c r="KV675" i="1"/>
  <c r="KU675" i="1"/>
  <c r="KT675" i="1"/>
  <c r="KO675" i="1"/>
  <c r="KN675" i="1"/>
  <c r="KK675" i="1"/>
  <c r="KJ675" i="1"/>
  <c r="KG675" i="1"/>
  <c r="KF675" i="1"/>
  <c r="KC675" i="1"/>
  <c r="KB675" i="1"/>
  <c r="JY675" i="1"/>
  <c r="JX675" i="1"/>
  <c r="KS675" i="1"/>
  <c r="KR675" i="1"/>
  <c r="KQ675" i="1"/>
  <c r="KY674" i="1"/>
  <c r="KX674" i="1"/>
  <c r="KW674" i="1"/>
  <c r="KV674" i="1"/>
  <c r="KU674" i="1"/>
  <c r="KT674" i="1"/>
  <c r="KO674" i="1"/>
  <c r="KP674" i="1"/>
  <c r="KN674" i="1"/>
  <c r="KK674" i="1"/>
  <c r="KJ674" i="1"/>
  <c r="KG674" i="1"/>
  <c r="KF674" i="1"/>
  <c r="KC674" i="1"/>
  <c r="KB674" i="1"/>
  <c r="JY674" i="1"/>
  <c r="JZ674" i="1"/>
  <c r="JX674" i="1"/>
  <c r="KS674" i="1"/>
  <c r="KR674" i="1"/>
  <c r="KQ674" i="1"/>
  <c r="KY673" i="1"/>
  <c r="KX673" i="1"/>
  <c r="KW673" i="1"/>
  <c r="KV673" i="1"/>
  <c r="KU673" i="1"/>
  <c r="KT673" i="1"/>
  <c r="KO673" i="1"/>
  <c r="KN673" i="1"/>
  <c r="KK673" i="1"/>
  <c r="KJ673" i="1"/>
  <c r="KG673" i="1"/>
  <c r="KF673" i="1"/>
  <c r="KC673" i="1"/>
  <c r="KB673" i="1"/>
  <c r="JY673" i="1"/>
  <c r="JX673" i="1"/>
  <c r="KS673" i="1"/>
  <c r="KR673" i="1"/>
  <c r="KQ673" i="1"/>
  <c r="KY672" i="1"/>
  <c r="KX672" i="1"/>
  <c r="KW672" i="1"/>
  <c r="KV672" i="1"/>
  <c r="KU672" i="1"/>
  <c r="KT672" i="1"/>
  <c r="KO672" i="1"/>
  <c r="KN672" i="1"/>
  <c r="KK672" i="1"/>
  <c r="KL672" i="1"/>
  <c r="KJ672" i="1"/>
  <c r="KG672" i="1"/>
  <c r="KF672" i="1"/>
  <c r="KC672" i="1"/>
  <c r="KD672" i="1"/>
  <c r="KB672" i="1"/>
  <c r="JY672" i="1"/>
  <c r="JX672" i="1"/>
  <c r="KS672" i="1"/>
  <c r="KR672" i="1"/>
  <c r="KQ672" i="1"/>
  <c r="KY671" i="1"/>
  <c r="KX671" i="1"/>
  <c r="KW671" i="1"/>
  <c r="KV671" i="1"/>
  <c r="KU671" i="1"/>
  <c r="KT671" i="1"/>
  <c r="KS671" i="1"/>
  <c r="KO671" i="1"/>
  <c r="KN671" i="1"/>
  <c r="KK671" i="1"/>
  <c r="KJ671" i="1"/>
  <c r="KG671" i="1"/>
  <c r="KF671" i="1"/>
  <c r="KC671" i="1"/>
  <c r="KB671" i="1"/>
  <c r="JY671" i="1"/>
  <c r="JX671" i="1"/>
  <c r="KR671" i="1"/>
  <c r="KQ671" i="1"/>
  <c r="KY670" i="1"/>
  <c r="KX670" i="1"/>
  <c r="KW670" i="1"/>
  <c r="KV670" i="1"/>
  <c r="KU670" i="1"/>
  <c r="KT670" i="1"/>
  <c r="KP670" i="1"/>
  <c r="KO670" i="1"/>
  <c r="KN670" i="1"/>
  <c r="KK670" i="1"/>
  <c r="KJ670" i="1"/>
  <c r="KG670" i="1"/>
  <c r="KF670" i="1"/>
  <c r="KC670" i="1"/>
  <c r="KB670" i="1"/>
  <c r="JY670" i="1"/>
  <c r="JX670" i="1"/>
  <c r="KS670" i="1"/>
  <c r="KR670" i="1"/>
  <c r="KQ670" i="1"/>
  <c r="KY669" i="1"/>
  <c r="KX669" i="1"/>
  <c r="KW669" i="1"/>
  <c r="KV669" i="1"/>
  <c r="KU669" i="1"/>
  <c r="KT669" i="1"/>
  <c r="KS669" i="1"/>
  <c r="KO669" i="1"/>
  <c r="KN669" i="1"/>
  <c r="KK669" i="1"/>
  <c r="KJ669" i="1"/>
  <c r="KG669" i="1"/>
  <c r="KF669" i="1"/>
  <c r="KC669" i="1"/>
  <c r="KB669" i="1"/>
  <c r="JY669" i="1"/>
  <c r="JX669" i="1"/>
  <c r="KR669" i="1"/>
  <c r="KQ669" i="1"/>
  <c r="KY668" i="1"/>
  <c r="KX668" i="1"/>
  <c r="KW668" i="1"/>
  <c r="KV668" i="1"/>
  <c r="KU668" i="1"/>
  <c r="KT668" i="1"/>
  <c r="KO668" i="1"/>
  <c r="KN668" i="1"/>
  <c r="KK668" i="1"/>
  <c r="KJ668" i="1"/>
  <c r="KG668" i="1"/>
  <c r="KF668" i="1"/>
  <c r="KC668" i="1"/>
  <c r="KB668" i="1"/>
  <c r="JY668" i="1"/>
  <c r="JX668" i="1"/>
  <c r="KS668" i="1"/>
  <c r="KR668" i="1"/>
  <c r="KQ668" i="1"/>
  <c r="KY667" i="1"/>
  <c r="KX667" i="1"/>
  <c r="KW667" i="1"/>
  <c r="KV667" i="1"/>
  <c r="KU667" i="1"/>
  <c r="KT667" i="1"/>
  <c r="KO667" i="1"/>
  <c r="KN667" i="1"/>
  <c r="KK667" i="1"/>
  <c r="KL667" i="1"/>
  <c r="KJ667" i="1"/>
  <c r="KG667" i="1"/>
  <c r="KF667" i="1"/>
  <c r="KD667" i="1"/>
  <c r="KC667" i="1"/>
  <c r="KB667" i="1"/>
  <c r="JY667" i="1"/>
  <c r="JZ667" i="1"/>
  <c r="JX667" i="1"/>
  <c r="KS667" i="1"/>
  <c r="KR667" i="1"/>
  <c r="KQ667" i="1"/>
  <c r="KY666" i="1"/>
  <c r="KX666" i="1"/>
  <c r="KW666" i="1"/>
  <c r="KV666" i="1"/>
  <c r="KU666" i="1"/>
  <c r="KT666" i="1"/>
  <c r="KO666" i="1"/>
  <c r="KN666" i="1"/>
  <c r="KK666" i="1"/>
  <c r="KJ666" i="1"/>
  <c r="KG666" i="1"/>
  <c r="KF666" i="1"/>
  <c r="KC666" i="1"/>
  <c r="KB666" i="1"/>
  <c r="JY666" i="1"/>
  <c r="JX666" i="1"/>
  <c r="KS666" i="1"/>
  <c r="KR666" i="1"/>
  <c r="KQ666" i="1"/>
  <c r="KY665" i="1"/>
  <c r="KX665" i="1"/>
  <c r="KW665" i="1"/>
  <c r="KV665" i="1"/>
  <c r="KU665" i="1"/>
  <c r="KT665" i="1"/>
  <c r="KO665" i="1"/>
  <c r="KN665" i="1"/>
  <c r="KK665" i="1"/>
  <c r="KJ665" i="1"/>
  <c r="KG665" i="1"/>
  <c r="KF665" i="1"/>
  <c r="KC665" i="1"/>
  <c r="KB665" i="1"/>
  <c r="JY665" i="1"/>
  <c r="JX665" i="1"/>
  <c r="KS665" i="1"/>
  <c r="KR665" i="1"/>
  <c r="KQ665" i="1"/>
  <c r="KY664" i="1"/>
  <c r="KX664" i="1"/>
  <c r="KW664" i="1"/>
  <c r="KV664" i="1"/>
  <c r="KU664" i="1"/>
  <c r="KT664" i="1"/>
  <c r="KO664" i="1"/>
  <c r="KN664" i="1"/>
  <c r="KK664" i="1"/>
  <c r="KJ664" i="1"/>
  <c r="KG664" i="1"/>
  <c r="KF664" i="1"/>
  <c r="KC664" i="1"/>
  <c r="KB664" i="1"/>
  <c r="JY664" i="1"/>
  <c r="JX664" i="1"/>
  <c r="KS664" i="1"/>
  <c r="KR664" i="1"/>
  <c r="KQ664" i="1"/>
  <c r="KY663" i="1"/>
  <c r="KX663" i="1"/>
  <c r="KW663" i="1"/>
  <c r="KV663" i="1"/>
  <c r="KU663" i="1"/>
  <c r="KT663" i="1"/>
  <c r="KS663" i="1"/>
  <c r="KO663" i="1"/>
  <c r="KN663" i="1"/>
  <c r="KK663" i="1"/>
  <c r="KJ663" i="1"/>
  <c r="KG663" i="1"/>
  <c r="KF663" i="1"/>
  <c r="KC663" i="1"/>
  <c r="KB663" i="1"/>
  <c r="JY663" i="1"/>
  <c r="JZ663" i="1"/>
  <c r="JX663" i="1"/>
  <c r="KR663" i="1"/>
  <c r="KQ663" i="1"/>
  <c r="KY662" i="1"/>
  <c r="KX662" i="1"/>
  <c r="KW662" i="1"/>
  <c r="KV662" i="1"/>
  <c r="KU662" i="1"/>
  <c r="KT662" i="1"/>
  <c r="KO662" i="1"/>
  <c r="KN662" i="1"/>
  <c r="KK662" i="1"/>
  <c r="KJ662" i="1"/>
  <c r="KG662" i="1"/>
  <c r="KF662" i="1"/>
  <c r="KC662" i="1"/>
  <c r="KB662" i="1"/>
  <c r="JY662" i="1"/>
  <c r="JX662" i="1"/>
  <c r="KS662" i="1"/>
  <c r="KR662" i="1"/>
  <c r="KQ662" i="1"/>
  <c r="KY661" i="1"/>
  <c r="KX661" i="1"/>
  <c r="KW661" i="1"/>
  <c r="KV661" i="1"/>
  <c r="KU661" i="1"/>
  <c r="KT661" i="1"/>
  <c r="KO661" i="1"/>
  <c r="KN661" i="1"/>
  <c r="KK661" i="1"/>
  <c r="KJ661" i="1"/>
  <c r="KG661" i="1"/>
  <c r="KF661" i="1"/>
  <c r="KC661" i="1"/>
  <c r="KB661" i="1"/>
  <c r="JY661" i="1"/>
  <c r="JX661" i="1"/>
  <c r="KS661" i="1"/>
  <c r="KR661" i="1"/>
  <c r="KQ661" i="1"/>
  <c r="KY660" i="1"/>
  <c r="KX660" i="1"/>
  <c r="KW660" i="1"/>
  <c r="KV660" i="1"/>
  <c r="KU660" i="1"/>
  <c r="KT660" i="1"/>
  <c r="KO660" i="1"/>
  <c r="KN660" i="1"/>
  <c r="KK660" i="1"/>
  <c r="KJ660" i="1"/>
  <c r="KG660" i="1"/>
  <c r="KF660" i="1"/>
  <c r="KC660" i="1"/>
  <c r="KB660" i="1"/>
  <c r="JY660" i="1"/>
  <c r="JX660" i="1"/>
  <c r="KS660" i="1"/>
  <c r="KR660" i="1"/>
  <c r="KQ660" i="1"/>
  <c r="KY659" i="1"/>
  <c r="KX659" i="1"/>
  <c r="KW659" i="1"/>
  <c r="KV659" i="1"/>
  <c r="KU659" i="1"/>
  <c r="KT659" i="1"/>
  <c r="KO659" i="1"/>
  <c r="KN659" i="1"/>
  <c r="KK659" i="1"/>
  <c r="KJ659" i="1"/>
  <c r="KG659" i="1"/>
  <c r="KF659" i="1"/>
  <c r="KC659" i="1"/>
  <c r="KB659" i="1"/>
  <c r="JY659" i="1"/>
  <c r="JX659" i="1"/>
  <c r="KS659" i="1"/>
  <c r="KR659" i="1"/>
  <c r="KQ659" i="1"/>
  <c r="KY658" i="1"/>
  <c r="KX658" i="1"/>
  <c r="KW658" i="1"/>
  <c r="KV658" i="1"/>
  <c r="KU658" i="1"/>
  <c r="KT658" i="1"/>
  <c r="KO658" i="1"/>
  <c r="KN658" i="1"/>
  <c r="KK658" i="1"/>
  <c r="KJ658" i="1"/>
  <c r="KG658" i="1"/>
  <c r="KF658" i="1"/>
  <c r="KC658" i="1"/>
  <c r="KB658" i="1"/>
  <c r="JY658" i="1"/>
  <c r="JX658" i="1"/>
  <c r="KS658" i="1"/>
  <c r="KR658" i="1"/>
  <c r="KQ658" i="1"/>
  <c r="KY657" i="1"/>
  <c r="KX657" i="1"/>
  <c r="KW657" i="1"/>
  <c r="KV657" i="1"/>
  <c r="KU657" i="1"/>
  <c r="KT657" i="1"/>
  <c r="KS657" i="1"/>
  <c r="KQ657" i="1"/>
  <c r="KO657" i="1"/>
  <c r="KN657" i="1"/>
  <c r="KK657" i="1"/>
  <c r="KJ657" i="1"/>
  <c r="KG657" i="1"/>
  <c r="KF657" i="1"/>
  <c r="KC657" i="1"/>
  <c r="KB657" i="1"/>
  <c r="JY657" i="1"/>
  <c r="JX657" i="1"/>
  <c r="KR657" i="1"/>
  <c r="KY656" i="1"/>
  <c r="KX656" i="1"/>
  <c r="KW656" i="1"/>
  <c r="KV656" i="1"/>
  <c r="KU656" i="1"/>
  <c r="KT656" i="1"/>
  <c r="KS656" i="1"/>
  <c r="KO656" i="1"/>
  <c r="KN656" i="1"/>
  <c r="KK656" i="1"/>
  <c r="KJ656" i="1"/>
  <c r="KG656" i="1"/>
  <c r="KF656" i="1"/>
  <c r="KC656" i="1"/>
  <c r="KB656" i="1"/>
  <c r="JY656" i="1"/>
  <c r="JX656" i="1"/>
  <c r="KR656" i="1"/>
  <c r="KQ656" i="1"/>
  <c r="KY655" i="1"/>
  <c r="KX655" i="1"/>
  <c r="KW655" i="1"/>
  <c r="KV655" i="1"/>
  <c r="KU655" i="1"/>
  <c r="KT655" i="1"/>
  <c r="KO655" i="1"/>
  <c r="KN655" i="1"/>
  <c r="KK655" i="1"/>
  <c r="KJ655" i="1"/>
  <c r="KG655" i="1"/>
  <c r="KF655" i="1"/>
  <c r="KC655" i="1"/>
  <c r="KB655" i="1"/>
  <c r="JY655" i="1"/>
  <c r="JX655" i="1"/>
  <c r="KS655" i="1"/>
  <c r="KR655" i="1"/>
  <c r="KQ655" i="1"/>
  <c r="KY654" i="1"/>
  <c r="KX654" i="1"/>
  <c r="KW654" i="1"/>
  <c r="KV654" i="1"/>
  <c r="KU654" i="1"/>
  <c r="KT654" i="1"/>
  <c r="KO654" i="1"/>
  <c r="KN654" i="1"/>
  <c r="KK654" i="1"/>
  <c r="KL654" i="1"/>
  <c r="KJ654" i="1"/>
  <c r="KG654" i="1"/>
  <c r="KF654" i="1"/>
  <c r="KC654" i="1"/>
  <c r="KB654" i="1"/>
  <c r="JY654" i="1"/>
  <c r="JX654" i="1"/>
  <c r="KS654" i="1"/>
  <c r="KR654" i="1"/>
  <c r="KQ654" i="1"/>
  <c r="KY653" i="1"/>
  <c r="KX653" i="1"/>
  <c r="KW653" i="1"/>
  <c r="KV653" i="1"/>
  <c r="KU653" i="1"/>
  <c r="KT653" i="1"/>
  <c r="KO653" i="1"/>
  <c r="KN653" i="1"/>
  <c r="KK653" i="1"/>
  <c r="KJ653" i="1"/>
  <c r="KG653" i="1"/>
  <c r="KF653" i="1"/>
  <c r="KC653" i="1"/>
  <c r="KB653" i="1"/>
  <c r="JY653" i="1"/>
  <c r="JX653" i="1"/>
  <c r="KS653" i="1"/>
  <c r="KR653" i="1"/>
  <c r="KQ653" i="1"/>
  <c r="KY652" i="1"/>
  <c r="KX652" i="1"/>
  <c r="KW652" i="1"/>
  <c r="KV652" i="1"/>
  <c r="KU652" i="1"/>
  <c r="KT652" i="1"/>
  <c r="KO652" i="1"/>
  <c r="KN652" i="1"/>
  <c r="KK652" i="1"/>
  <c r="KJ652" i="1"/>
  <c r="KG652" i="1"/>
  <c r="KF652" i="1"/>
  <c r="KC652" i="1"/>
  <c r="KB652" i="1"/>
  <c r="JY652" i="1"/>
  <c r="JX652" i="1"/>
  <c r="KS652" i="1"/>
  <c r="KR652" i="1"/>
  <c r="KQ652" i="1"/>
  <c r="KY651" i="1"/>
  <c r="KX651" i="1"/>
  <c r="KW651" i="1"/>
  <c r="KV651" i="1"/>
  <c r="KU651" i="1"/>
  <c r="KT651" i="1"/>
  <c r="KQ651" i="1"/>
  <c r="KO651" i="1"/>
  <c r="KN651" i="1"/>
  <c r="KK651" i="1"/>
  <c r="KJ651" i="1"/>
  <c r="KG651" i="1"/>
  <c r="KF651" i="1"/>
  <c r="KC651" i="1"/>
  <c r="KB651" i="1"/>
  <c r="JY651" i="1"/>
  <c r="JX651" i="1"/>
  <c r="KS651" i="1"/>
  <c r="KR651" i="1"/>
  <c r="KY650" i="1"/>
  <c r="KX650" i="1"/>
  <c r="KW650" i="1"/>
  <c r="KV650" i="1"/>
  <c r="KU650" i="1"/>
  <c r="KT650" i="1"/>
  <c r="KS650" i="1"/>
  <c r="KR650" i="1"/>
  <c r="KO650" i="1"/>
  <c r="KN650" i="1"/>
  <c r="KK650" i="1"/>
  <c r="KJ650" i="1"/>
  <c r="KG650" i="1"/>
  <c r="KF650" i="1"/>
  <c r="KC650" i="1"/>
  <c r="KB650" i="1"/>
  <c r="JY650" i="1"/>
  <c r="JX650" i="1"/>
  <c r="KQ650" i="1"/>
  <c r="KY649" i="1"/>
  <c r="KX649" i="1"/>
  <c r="KW649" i="1"/>
  <c r="KV649" i="1"/>
  <c r="KU649" i="1"/>
  <c r="KT649" i="1"/>
  <c r="KQ649" i="1"/>
  <c r="KO649" i="1"/>
  <c r="KN649" i="1"/>
  <c r="KK649" i="1"/>
  <c r="KJ649" i="1"/>
  <c r="KG649" i="1"/>
  <c r="KF649" i="1"/>
  <c r="KC649" i="1"/>
  <c r="KB649" i="1"/>
  <c r="JY649" i="1"/>
  <c r="JX649" i="1"/>
  <c r="KS649" i="1"/>
  <c r="KR649" i="1"/>
  <c r="KY648" i="1"/>
  <c r="KX648" i="1"/>
  <c r="KW648" i="1"/>
  <c r="KV648" i="1"/>
  <c r="KU648" i="1"/>
  <c r="KT648" i="1"/>
  <c r="KO648" i="1"/>
  <c r="KN648" i="1"/>
  <c r="KK648" i="1"/>
  <c r="KJ648" i="1"/>
  <c r="KG648" i="1"/>
  <c r="KF648" i="1"/>
  <c r="KC648" i="1"/>
  <c r="KB648" i="1"/>
  <c r="JY648" i="1"/>
  <c r="JX648" i="1"/>
  <c r="KS648" i="1"/>
  <c r="KR648" i="1"/>
  <c r="KQ648" i="1"/>
  <c r="KY647" i="1"/>
  <c r="KX647" i="1"/>
  <c r="KW647" i="1"/>
  <c r="KV647" i="1"/>
  <c r="KU647" i="1"/>
  <c r="KT647" i="1"/>
  <c r="KS647" i="1"/>
  <c r="KO647" i="1"/>
  <c r="KN647" i="1"/>
  <c r="KK647" i="1"/>
  <c r="KJ647" i="1"/>
  <c r="KG647" i="1"/>
  <c r="KF647" i="1"/>
  <c r="KC647" i="1"/>
  <c r="KB647" i="1"/>
  <c r="JY647" i="1"/>
  <c r="JX647" i="1"/>
  <c r="KR647" i="1"/>
  <c r="KQ647" i="1"/>
  <c r="KY646" i="1"/>
  <c r="KX646" i="1"/>
  <c r="KW646" i="1"/>
  <c r="KV646" i="1"/>
  <c r="KU646" i="1"/>
  <c r="KT646" i="1"/>
  <c r="KS646" i="1"/>
  <c r="KO646" i="1"/>
  <c r="KN646" i="1"/>
  <c r="KK646" i="1"/>
  <c r="KJ646" i="1"/>
  <c r="KG646" i="1"/>
  <c r="KF646" i="1"/>
  <c r="KC646" i="1"/>
  <c r="KB646" i="1"/>
  <c r="JY646" i="1"/>
  <c r="JX646" i="1"/>
  <c r="KR646" i="1"/>
  <c r="KQ646" i="1"/>
  <c r="KY645" i="1"/>
  <c r="KX645" i="1"/>
  <c r="KW645" i="1"/>
  <c r="KV645" i="1"/>
  <c r="KU645" i="1"/>
  <c r="KT645" i="1"/>
  <c r="KR645" i="1"/>
  <c r="KO645" i="1"/>
  <c r="KN645" i="1"/>
  <c r="KK645" i="1"/>
  <c r="KJ645" i="1"/>
  <c r="KG645" i="1"/>
  <c r="KF645" i="1"/>
  <c r="KC645" i="1"/>
  <c r="KB645" i="1"/>
  <c r="JY645" i="1"/>
  <c r="JX645" i="1"/>
  <c r="KS645" i="1"/>
  <c r="KQ645" i="1"/>
  <c r="KY644" i="1"/>
  <c r="KX644" i="1"/>
  <c r="KW644" i="1"/>
  <c r="KV644" i="1"/>
  <c r="KU644" i="1"/>
  <c r="KT644" i="1"/>
  <c r="KO644" i="1"/>
  <c r="KN644" i="1"/>
  <c r="KK644" i="1"/>
  <c r="KJ644" i="1"/>
  <c r="KG644" i="1"/>
  <c r="KF644" i="1"/>
  <c r="KC644" i="1"/>
  <c r="KB644" i="1"/>
  <c r="JY644" i="1"/>
  <c r="JX644" i="1"/>
  <c r="KS644" i="1"/>
  <c r="KR644" i="1"/>
  <c r="KQ644" i="1"/>
  <c r="KY643" i="1"/>
  <c r="KX643" i="1"/>
  <c r="KW643" i="1"/>
  <c r="KV643" i="1"/>
  <c r="KU643" i="1"/>
  <c r="KT643" i="1"/>
  <c r="KO643" i="1"/>
  <c r="KN643" i="1"/>
  <c r="KK643" i="1"/>
  <c r="KJ643" i="1"/>
  <c r="KG643" i="1"/>
  <c r="KF643" i="1"/>
  <c r="KC643" i="1"/>
  <c r="KB643" i="1"/>
  <c r="JY643" i="1"/>
  <c r="JX643" i="1"/>
  <c r="KS643" i="1"/>
  <c r="KR643" i="1"/>
  <c r="KQ643" i="1"/>
  <c r="KY642" i="1"/>
  <c r="KX642" i="1"/>
  <c r="KW642" i="1"/>
  <c r="KV642" i="1"/>
  <c r="KU642" i="1"/>
  <c r="KT642" i="1"/>
  <c r="KO642" i="1"/>
  <c r="KN642" i="1"/>
  <c r="KK642" i="1"/>
  <c r="KJ642" i="1"/>
  <c r="KG642" i="1"/>
  <c r="KF642" i="1"/>
  <c r="KC642" i="1"/>
  <c r="KB642" i="1"/>
  <c r="JY642" i="1"/>
  <c r="JX642" i="1"/>
  <c r="KS642" i="1"/>
  <c r="KR642" i="1"/>
  <c r="KQ642" i="1"/>
  <c r="KY641" i="1"/>
  <c r="KX641" i="1"/>
  <c r="KW641" i="1"/>
  <c r="KV641" i="1"/>
  <c r="KU641" i="1"/>
  <c r="KT641" i="1"/>
  <c r="KO641" i="1"/>
  <c r="KN641" i="1"/>
  <c r="KK641" i="1"/>
  <c r="KJ641" i="1"/>
  <c r="KG641" i="1"/>
  <c r="KF641" i="1"/>
  <c r="KC641" i="1"/>
  <c r="KB641" i="1"/>
  <c r="JY641" i="1"/>
  <c r="JX641" i="1"/>
  <c r="KS641" i="1"/>
  <c r="KR641" i="1"/>
  <c r="KQ641" i="1"/>
  <c r="KY640" i="1"/>
  <c r="KX640" i="1"/>
  <c r="KW640" i="1"/>
  <c r="KV640" i="1"/>
  <c r="KU640" i="1"/>
  <c r="KT640" i="1"/>
  <c r="KO640" i="1"/>
  <c r="KN640" i="1"/>
  <c r="KK640" i="1"/>
  <c r="KJ640" i="1"/>
  <c r="KG640" i="1"/>
  <c r="KF640" i="1"/>
  <c r="KC640" i="1"/>
  <c r="KB640" i="1"/>
  <c r="JY640" i="1"/>
  <c r="JX640" i="1"/>
  <c r="KS640" i="1"/>
  <c r="KR640" i="1"/>
  <c r="KQ640" i="1"/>
  <c r="KY639" i="1"/>
  <c r="KX639" i="1"/>
  <c r="KW639" i="1"/>
  <c r="KV639" i="1"/>
  <c r="KU639" i="1"/>
  <c r="KT639" i="1"/>
  <c r="KO639" i="1"/>
  <c r="KN639" i="1"/>
  <c r="KK639" i="1"/>
  <c r="KL639" i="1"/>
  <c r="KJ639" i="1"/>
  <c r="KG639" i="1"/>
  <c r="KH639" i="1"/>
  <c r="KF639" i="1"/>
  <c r="KC639" i="1"/>
  <c r="KB639" i="1"/>
  <c r="JY639" i="1"/>
  <c r="JX639" i="1"/>
  <c r="KS639" i="1"/>
  <c r="KR639" i="1"/>
  <c r="KQ639" i="1"/>
  <c r="KY638" i="1"/>
  <c r="KX638" i="1"/>
  <c r="KW638" i="1"/>
  <c r="KV638" i="1"/>
  <c r="KU638" i="1"/>
  <c r="KT638" i="1"/>
  <c r="KO638" i="1"/>
  <c r="KN638" i="1"/>
  <c r="KK638" i="1"/>
  <c r="KJ638" i="1"/>
  <c r="KG638" i="1"/>
  <c r="KF638" i="1"/>
  <c r="KC638" i="1"/>
  <c r="KB638" i="1"/>
  <c r="JY638" i="1"/>
  <c r="JX638" i="1"/>
  <c r="KS638" i="1"/>
  <c r="KR638" i="1"/>
  <c r="KQ638" i="1"/>
  <c r="KY637" i="1"/>
  <c r="KX637" i="1"/>
  <c r="KW637" i="1"/>
  <c r="KV637" i="1"/>
  <c r="KU637" i="1"/>
  <c r="KT637" i="1"/>
  <c r="KO637" i="1"/>
  <c r="KN637" i="1"/>
  <c r="KK637" i="1"/>
  <c r="KJ637" i="1"/>
  <c r="KG637" i="1"/>
  <c r="KF637" i="1"/>
  <c r="KC637" i="1"/>
  <c r="KB637" i="1"/>
  <c r="JY637" i="1"/>
  <c r="JX637" i="1"/>
  <c r="KS637" i="1"/>
  <c r="KR637" i="1"/>
  <c r="KQ637" i="1"/>
  <c r="KY636" i="1"/>
  <c r="KX636" i="1"/>
  <c r="KW636" i="1"/>
  <c r="KV636" i="1"/>
  <c r="KU636" i="1"/>
  <c r="KT636" i="1"/>
  <c r="KQ636" i="1"/>
  <c r="KO636" i="1"/>
  <c r="KP636" i="1"/>
  <c r="KN636" i="1"/>
  <c r="KK636" i="1"/>
  <c r="KJ636" i="1"/>
  <c r="KG636" i="1"/>
  <c r="KF636" i="1"/>
  <c r="KC636" i="1"/>
  <c r="KB636" i="1"/>
  <c r="JY636" i="1"/>
  <c r="JX636" i="1"/>
  <c r="KS636" i="1"/>
  <c r="KR636" i="1"/>
  <c r="KY635" i="1"/>
  <c r="KX635" i="1"/>
  <c r="KW635" i="1"/>
  <c r="KV635" i="1"/>
  <c r="KU635" i="1"/>
  <c r="KT635" i="1"/>
  <c r="KO635" i="1"/>
  <c r="KN635" i="1"/>
  <c r="KK635" i="1"/>
  <c r="KJ635" i="1"/>
  <c r="KG635" i="1"/>
  <c r="KF635" i="1"/>
  <c r="KC635" i="1"/>
  <c r="KD635" i="1"/>
  <c r="KB635" i="1"/>
  <c r="JY635" i="1"/>
  <c r="JX635" i="1"/>
  <c r="KS635" i="1"/>
  <c r="KR635" i="1"/>
  <c r="KQ635" i="1"/>
  <c r="KY634" i="1"/>
  <c r="KX634" i="1"/>
  <c r="KW634" i="1"/>
  <c r="KV634" i="1"/>
  <c r="KU634" i="1"/>
  <c r="KT634" i="1"/>
  <c r="KQ634" i="1"/>
  <c r="KO634" i="1"/>
  <c r="KN634" i="1"/>
  <c r="KK634" i="1"/>
  <c r="KJ634" i="1"/>
  <c r="KG634" i="1"/>
  <c r="KF634" i="1"/>
  <c r="KC634" i="1"/>
  <c r="KD634" i="1"/>
  <c r="KB634" i="1"/>
  <c r="JY634" i="1"/>
  <c r="JX634" i="1"/>
  <c r="KS634" i="1"/>
  <c r="KR634" i="1"/>
  <c r="KY633" i="1"/>
  <c r="KX633" i="1"/>
  <c r="KW633" i="1"/>
  <c r="KV633" i="1"/>
  <c r="KU633" i="1"/>
  <c r="KT633" i="1"/>
  <c r="KO633" i="1"/>
  <c r="KN633" i="1"/>
  <c r="KK633" i="1"/>
  <c r="KJ633" i="1"/>
  <c r="KG633" i="1"/>
  <c r="KH633" i="1"/>
  <c r="KF633" i="1"/>
  <c r="KC633" i="1"/>
  <c r="KB633" i="1"/>
  <c r="JY633" i="1"/>
  <c r="JX633" i="1"/>
  <c r="KS633" i="1"/>
  <c r="KR633" i="1"/>
  <c r="KQ633" i="1"/>
  <c r="KY632" i="1"/>
  <c r="KX632" i="1"/>
  <c r="KW632" i="1"/>
  <c r="KV632" i="1"/>
  <c r="KU632" i="1"/>
  <c r="KT632" i="1"/>
  <c r="KS632" i="1"/>
  <c r="KO632" i="1"/>
  <c r="KP632" i="1"/>
  <c r="KN632" i="1"/>
  <c r="KK632" i="1"/>
  <c r="KJ632" i="1"/>
  <c r="KG632" i="1"/>
  <c r="KF632" i="1"/>
  <c r="KC632" i="1"/>
  <c r="KB632" i="1"/>
  <c r="JY632" i="1"/>
  <c r="JZ632" i="1"/>
  <c r="JX632" i="1"/>
  <c r="KR632" i="1"/>
  <c r="KQ632" i="1"/>
  <c r="KY631" i="1"/>
  <c r="KX631" i="1"/>
  <c r="KW631" i="1"/>
  <c r="KV631" i="1"/>
  <c r="KU631" i="1"/>
  <c r="KT631" i="1"/>
  <c r="KR631" i="1"/>
  <c r="KO631" i="1"/>
  <c r="KN631" i="1"/>
  <c r="KK631" i="1"/>
  <c r="KJ631" i="1"/>
  <c r="KG631" i="1"/>
  <c r="KF631" i="1"/>
  <c r="KC631" i="1"/>
  <c r="KB631" i="1"/>
  <c r="JY631" i="1"/>
  <c r="JX631" i="1"/>
  <c r="KS631" i="1"/>
  <c r="KQ631" i="1"/>
  <c r="KY630" i="1"/>
  <c r="KX630" i="1"/>
  <c r="KW630" i="1"/>
  <c r="KV630" i="1"/>
  <c r="KU630" i="1"/>
  <c r="KT630" i="1"/>
  <c r="KO630" i="1"/>
  <c r="KN630" i="1"/>
  <c r="KK630" i="1"/>
  <c r="KJ630" i="1"/>
  <c r="KG630" i="1"/>
  <c r="KF630" i="1"/>
  <c r="KC630" i="1"/>
  <c r="KB630" i="1"/>
  <c r="JY630" i="1"/>
  <c r="JX630" i="1"/>
  <c r="KS630" i="1"/>
  <c r="KR630" i="1"/>
  <c r="KQ630" i="1"/>
  <c r="KY629" i="1"/>
  <c r="KX629" i="1"/>
  <c r="KW629" i="1"/>
  <c r="KV629" i="1"/>
  <c r="KU629" i="1"/>
  <c r="KT629" i="1"/>
  <c r="KS629" i="1"/>
  <c r="KO629" i="1"/>
  <c r="KN629" i="1"/>
  <c r="KK629" i="1"/>
  <c r="KJ629" i="1"/>
  <c r="KG629" i="1"/>
  <c r="KF629" i="1"/>
  <c r="KC629" i="1"/>
  <c r="KB629" i="1"/>
  <c r="JY629" i="1"/>
  <c r="JX629" i="1"/>
  <c r="KR629" i="1"/>
  <c r="KQ629" i="1"/>
  <c r="KY628" i="1"/>
  <c r="KX628" i="1"/>
  <c r="KW628" i="1"/>
  <c r="KV628" i="1"/>
  <c r="KU628" i="1"/>
  <c r="KT628" i="1"/>
  <c r="KR628" i="1"/>
  <c r="KO628" i="1"/>
  <c r="KN628" i="1"/>
  <c r="KK628" i="1"/>
  <c r="KJ628" i="1"/>
  <c r="KG628" i="1"/>
  <c r="KF628" i="1"/>
  <c r="KH628" i="1"/>
  <c r="KC628" i="1"/>
  <c r="KB628" i="1"/>
  <c r="JY628" i="1"/>
  <c r="JX628" i="1"/>
  <c r="KS628" i="1"/>
  <c r="KQ628" i="1"/>
  <c r="KY627" i="1"/>
  <c r="KX627" i="1"/>
  <c r="KW627" i="1"/>
  <c r="KV627" i="1"/>
  <c r="KU627" i="1"/>
  <c r="KT627" i="1"/>
  <c r="KS627" i="1"/>
  <c r="KR627" i="1"/>
  <c r="KQ627" i="1"/>
  <c r="KO627" i="1"/>
  <c r="KN627" i="1"/>
  <c r="KK627" i="1"/>
  <c r="KJ627" i="1"/>
  <c r="KG627" i="1"/>
  <c r="KF627" i="1"/>
  <c r="KC627" i="1"/>
  <c r="KB627" i="1"/>
  <c r="JY627" i="1"/>
  <c r="JX627" i="1"/>
  <c r="KY626" i="1"/>
  <c r="KX626" i="1"/>
  <c r="KW626" i="1"/>
  <c r="KV626" i="1"/>
  <c r="KU626" i="1"/>
  <c r="KT626" i="1"/>
  <c r="KS626" i="1"/>
  <c r="KO626" i="1"/>
  <c r="KN626" i="1"/>
  <c r="KK626" i="1"/>
  <c r="KJ626" i="1"/>
  <c r="KG626" i="1"/>
  <c r="KF626" i="1"/>
  <c r="KC626" i="1"/>
  <c r="KB626" i="1"/>
  <c r="JY626" i="1"/>
  <c r="JX626" i="1"/>
  <c r="KR626" i="1"/>
  <c r="KQ626" i="1"/>
  <c r="KY625" i="1"/>
  <c r="KX625" i="1"/>
  <c r="KW625" i="1"/>
  <c r="KV625" i="1"/>
  <c r="KU625" i="1"/>
  <c r="KT625" i="1"/>
  <c r="KR625" i="1"/>
  <c r="KO625" i="1"/>
  <c r="KN625" i="1"/>
  <c r="KK625" i="1"/>
  <c r="KJ625" i="1"/>
  <c r="KG625" i="1"/>
  <c r="KF625" i="1"/>
  <c r="KC625" i="1"/>
  <c r="KB625" i="1"/>
  <c r="JY625" i="1"/>
  <c r="JX625" i="1"/>
  <c r="KS625" i="1"/>
  <c r="KQ625" i="1"/>
  <c r="KY624" i="1"/>
  <c r="KX624" i="1"/>
  <c r="KW624" i="1"/>
  <c r="KV624" i="1"/>
  <c r="KU624" i="1"/>
  <c r="KT624" i="1"/>
  <c r="KS624" i="1"/>
  <c r="KO624" i="1"/>
  <c r="KN624" i="1"/>
  <c r="KK624" i="1"/>
  <c r="KJ624" i="1"/>
  <c r="KG624" i="1"/>
  <c r="KF624" i="1"/>
  <c r="KC624" i="1"/>
  <c r="KB624" i="1"/>
  <c r="JY624" i="1"/>
  <c r="JX624" i="1"/>
  <c r="KR624" i="1"/>
  <c r="KQ624" i="1"/>
  <c r="KY623" i="1"/>
  <c r="KX623" i="1"/>
  <c r="KW623" i="1"/>
  <c r="KV623" i="1"/>
  <c r="KU623" i="1"/>
  <c r="KT623" i="1"/>
  <c r="KO623" i="1"/>
  <c r="KN623" i="1"/>
  <c r="KK623" i="1"/>
  <c r="KJ623" i="1"/>
  <c r="KG623" i="1"/>
  <c r="KF623" i="1"/>
  <c r="KC623" i="1"/>
  <c r="KB623" i="1"/>
  <c r="JY623" i="1"/>
  <c r="JX623" i="1"/>
  <c r="KS623" i="1"/>
  <c r="KR623" i="1"/>
  <c r="KQ623" i="1"/>
  <c r="KY622" i="1"/>
  <c r="KX622" i="1"/>
  <c r="KW622" i="1"/>
  <c r="KV622" i="1"/>
  <c r="KU622" i="1"/>
  <c r="KT622" i="1"/>
  <c r="KO622" i="1"/>
  <c r="KN622" i="1"/>
  <c r="KK622" i="1"/>
  <c r="KL622" i="1"/>
  <c r="KJ622" i="1"/>
  <c r="KG622" i="1"/>
  <c r="KF622" i="1"/>
  <c r="KC622" i="1"/>
  <c r="KD622" i="1"/>
  <c r="KB622" i="1"/>
  <c r="JY622" i="1"/>
  <c r="JX622" i="1"/>
  <c r="KS622" i="1"/>
  <c r="KR622" i="1"/>
  <c r="KQ622" i="1"/>
  <c r="KY621" i="1"/>
  <c r="KX621" i="1"/>
  <c r="KW621" i="1"/>
  <c r="KV621" i="1"/>
  <c r="KU621" i="1"/>
  <c r="KT621" i="1"/>
  <c r="KO621" i="1"/>
  <c r="KN621" i="1"/>
  <c r="KK621" i="1"/>
  <c r="KL621" i="1"/>
  <c r="KJ621" i="1"/>
  <c r="KG621" i="1"/>
  <c r="KF621" i="1"/>
  <c r="KC621" i="1"/>
  <c r="KD621" i="1"/>
  <c r="KB621" i="1"/>
  <c r="JY621" i="1"/>
  <c r="JX621" i="1"/>
  <c r="KS621" i="1"/>
  <c r="KR621" i="1"/>
  <c r="KQ621" i="1"/>
  <c r="KY620" i="1"/>
  <c r="KX620" i="1"/>
  <c r="KW620" i="1"/>
  <c r="KV620" i="1"/>
  <c r="KU620" i="1"/>
  <c r="KT620" i="1"/>
  <c r="KS620" i="1"/>
  <c r="KO620" i="1"/>
  <c r="KN620" i="1"/>
  <c r="KK620" i="1"/>
  <c r="KL620" i="1"/>
  <c r="KJ620" i="1"/>
  <c r="KG620" i="1"/>
  <c r="KF620" i="1"/>
  <c r="KC620" i="1"/>
  <c r="KD620" i="1"/>
  <c r="KB620" i="1"/>
  <c r="JY620" i="1"/>
  <c r="JX620" i="1"/>
  <c r="KR620" i="1"/>
  <c r="KQ620" i="1"/>
  <c r="KY619" i="1"/>
  <c r="KX619" i="1"/>
  <c r="KW619" i="1"/>
  <c r="KV619" i="1"/>
  <c r="KU619" i="1"/>
  <c r="KT619" i="1"/>
  <c r="KS619" i="1"/>
  <c r="KQ619" i="1"/>
  <c r="KO619" i="1"/>
  <c r="KN619" i="1"/>
  <c r="KK619" i="1"/>
  <c r="KL619" i="1"/>
  <c r="KJ619" i="1"/>
  <c r="KG619" i="1"/>
  <c r="KF619" i="1"/>
  <c r="KC619" i="1"/>
  <c r="KD619" i="1"/>
  <c r="KB619" i="1"/>
  <c r="JY619" i="1"/>
  <c r="JX619" i="1"/>
  <c r="KR619" i="1"/>
  <c r="KY618" i="1"/>
  <c r="KX618" i="1"/>
  <c r="KW618" i="1"/>
  <c r="KV618" i="1"/>
  <c r="KU618" i="1"/>
  <c r="KT618" i="1"/>
  <c r="KO618" i="1"/>
  <c r="KN618" i="1"/>
  <c r="KK618" i="1"/>
  <c r="KJ618" i="1"/>
  <c r="KG618" i="1"/>
  <c r="KF618" i="1"/>
  <c r="KC618" i="1"/>
  <c r="KB618" i="1"/>
  <c r="JY618" i="1"/>
  <c r="JX618" i="1"/>
  <c r="KS618" i="1"/>
  <c r="KR618" i="1"/>
  <c r="KQ618" i="1"/>
  <c r="KY617" i="1"/>
  <c r="KX617" i="1"/>
  <c r="KW617" i="1"/>
  <c r="KV617" i="1"/>
  <c r="KU617" i="1"/>
  <c r="KT617" i="1"/>
  <c r="KO617" i="1"/>
  <c r="KN617" i="1"/>
  <c r="KK617" i="1"/>
  <c r="KJ617" i="1"/>
  <c r="KG617" i="1"/>
  <c r="KF617" i="1"/>
  <c r="KC617" i="1"/>
  <c r="KB617" i="1"/>
  <c r="JY617" i="1"/>
  <c r="JX617" i="1"/>
  <c r="KS617" i="1"/>
  <c r="KR617" i="1"/>
  <c r="KQ617" i="1"/>
  <c r="KY616" i="1"/>
  <c r="KX616" i="1"/>
  <c r="KW616" i="1"/>
  <c r="KV616" i="1"/>
  <c r="KU616" i="1"/>
  <c r="KT616" i="1"/>
  <c r="KS616" i="1"/>
  <c r="KO616" i="1"/>
  <c r="KN616" i="1"/>
  <c r="KK616" i="1"/>
  <c r="KJ616" i="1"/>
  <c r="KG616" i="1"/>
  <c r="KF616" i="1"/>
  <c r="KC616" i="1"/>
  <c r="KB616" i="1"/>
  <c r="JY616" i="1"/>
  <c r="JX616" i="1"/>
  <c r="KR616" i="1"/>
  <c r="KQ616" i="1"/>
  <c r="KY615" i="1"/>
  <c r="KX615" i="1"/>
  <c r="KW615" i="1"/>
  <c r="KV615" i="1"/>
  <c r="KU615" i="1"/>
  <c r="KT615" i="1"/>
  <c r="KO615" i="1"/>
  <c r="KN615" i="1"/>
  <c r="KK615" i="1"/>
  <c r="KJ615" i="1"/>
  <c r="KG615" i="1"/>
  <c r="KF615" i="1"/>
  <c r="KC615" i="1"/>
  <c r="KB615" i="1"/>
  <c r="JY615" i="1"/>
  <c r="JX615" i="1"/>
  <c r="KS615" i="1"/>
  <c r="KR615" i="1"/>
  <c r="KQ615" i="1"/>
  <c r="KY614" i="1"/>
  <c r="KX614" i="1"/>
  <c r="KW614" i="1"/>
  <c r="KV614" i="1"/>
  <c r="KU614" i="1"/>
  <c r="KT614" i="1"/>
  <c r="KO614" i="1"/>
  <c r="KN614" i="1"/>
  <c r="KK614" i="1"/>
  <c r="KJ614" i="1"/>
  <c r="KG614" i="1"/>
  <c r="KF614" i="1"/>
  <c r="KC614" i="1"/>
  <c r="KB614" i="1"/>
  <c r="JY614" i="1"/>
  <c r="JX614" i="1"/>
  <c r="KS614" i="1"/>
  <c r="KR614" i="1"/>
  <c r="KQ614" i="1"/>
  <c r="KY613" i="1"/>
  <c r="KX613" i="1"/>
  <c r="KW613" i="1"/>
  <c r="KV613" i="1"/>
  <c r="KU613" i="1"/>
  <c r="KT613" i="1"/>
  <c r="KO613" i="1"/>
  <c r="KN613" i="1"/>
  <c r="KK613" i="1"/>
  <c r="KJ613" i="1"/>
  <c r="KG613" i="1"/>
  <c r="KF613" i="1"/>
  <c r="KC613" i="1"/>
  <c r="KB613" i="1"/>
  <c r="JY613" i="1"/>
  <c r="JX613" i="1"/>
  <c r="KS613" i="1"/>
  <c r="KR613" i="1"/>
  <c r="KQ613" i="1"/>
  <c r="KY612" i="1"/>
  <c r="KX612" i="1"/>
  <c r="KW612" i="1"/>
  <c r="KV612" i="1"/>
  <c r="KU612" i="1"/>
  <c r="KT612" i="1"/>
  <c r="KS612" i="1"/>
  <c r="KO612" i="1"/>
  <c r="KN612" i="1"/>
  <c r="KK612" i="1"/>
  <c r="KJ612" i="1"/>
  <c r="KG612" i="1"/>
  <c r="KF612" i="1"/>
  <c r="KC612" i="1"/>
  <c r="KB612" i="1"/>
  <c r="JY612" i="1"/>
  <c r="JX612" i="1"/>
  <c r="KR612" i="1"/>
  <c r="KQ612" i="1"/>
  <c r="KY611" i="1"/>
  <c r="KX611" i="1"/>
  <c r="KW611" i="1"/>
  <c r="KV611" i="1"/>
  <c r="KU611" i="1"/>
  <c r="KT611" i="1"/>
  <c r="KO611" i="1"/>
  <c r="KP611" i="1"/>
  <c r="KN611" i="1"/>
  <c r="KK611" i="1"/>
  <c r="KJ611" i="1"/>
  <c r="KG611" i="1"/>
  <c r="KH611" i="1"/>
  <c r="KF611" i="1"/>
  <c r="KC611" i="1"/>
  <c r="KB611" i="1"/>
  <c r="JY611" i="1"/>
  <c r="JZ611" i="1"/>
  <c r="JX611" i="1"/>
  <c r="KS611" i="1"/>
  <c r="KR611" i="1"/>
  <c r="KQ611" i="1"/>
  <c r="KY610" i="1"/>
  <c r="KX610" i="1"/>
  <c r="KW610" i="1"/>
  <c r="KV610" i="1"/>
  <c r="KU610" i="1"/>
  <c r="KT610" i="1"/>
  <c r="KQ610" i="1"/>
  <c r="KO610" i="1"/>
  <c r="KN610" i="1"/>
  <c r="KK610" i="1"/>
  <c r="KJ610" i="1"/>
  <c r="KG610" i="1"/>
  <c r="KF610" i="1"/>
  <c r="KC610" i="1"/>
  <c r="KB610" i="1"/>
  <c r="KD610" i="1"/>
  <c r="JY610" i="1"/>
  <c r="JX610" i="1"/>
  <c r="KS610" i="1"/>
  <c r="KR610" i="1"/>
  <c r="KY609" i="1"/>
  <c r="KX609" i="1"/>
  <c r="KW609" i="1"/>
  <c r="KV609" i="1"/>
  <c r="KU609" i="1"/>
  <c r="KT609" i="1"/>
  <c r="KO609" i="1"/>
  <c r="KN609" i="1"/>
  <c r="KK609" i="1"/>
  <c r="KJ609" i="1"/>
  <c r="KG609" i="1"/>
  <c r="KF609" i="1"/>
  <c r="KC609" i="1"/>
  <c r="KB609" i="1"/>
  <c r="JY609" i="1"/>
  <c r="JX609" i="1"/>
  <c r="KS609" i="1"/>
  <c r="KR609" i="1"/>
  <c r="KQ609" i="1"/>
  <c r="KY608" i="1"/>
  <c r="KX608" i="1"/>
  <c r="KW608" i="1"/>
  <c r="KV608" i="1"/>
  <c r="KU608" i="1"/>
  <c r="KT608" i="1"/>
  <c r="KO608" i="1"/>
  <c r="KP608" i="1"/>
  <c r="KN608" i="1"/>
  <c r="KK608" i="1"/>
  <c r="KJ608" i="1"/>
  <c r="KG608" i="1"/>
  <c r="KH608" i="1"/>
  <c r="KF608" i="1"/>
  <c r="KC608" i="1"/>
  <c r="KB608" i="1"/>
  <c r="JY608" i="1"/>
  <c r="JZ608" i="1"/>
  <c r="JX608" i="1"/>
  <c r="KS608" i="1"/>
  <c r="KR608" i="1"/>
  <c r="KQ608" i="1"/>
  <c r="KY607" i="1"/>
  <c r="KX607" i="1"/>
  <c r="KW607" i="1"/>
  <c r="KV607" i="1"/>
  <c r="KU607" i="1"/>
  <c r="KT607" i="1"/>
  <c r="KS607" i="1"/>
  <c r="KO607" i="1"/>
  <c r="KP607" i="1"/>
  <c r="KN607" i="1"/>
  <c r="KK607" i="1"/>
  <c r="KJ607" i="1"/>
  <c r="KG607" i="1"/>
  <c r="KF607" i="1"/>
  <c r="KC607" i="1"/>
  <c r="KB607" i="1"/>
  <c r="JY607" i="1"/>
  <c r="JX607" i="1"/>
  <c r="KR607" i="1"/>
  <c r="KQ607" i="1"/>
  <c r="KY606" i="1"/>
  <c r="KX606" i="1"/>
  <c r="KW606" i="1"/>
  <c r="KV606" i="1"/>
  <c r="KU606" i="1"/>
  <c r="KT606" i="1"/>
  <c r="KS606" i="1"/>
  <c r="KO606" i="1"/>
  <c r="KN606" i="1"/>
  <c r="KK606" i="1"/>
  <c r="KJ606" i="1"/>
  <c r="KG606" i="1"/>
  <c r="KF606" i="1"/>
  <c r="KC606" i="1"/>
  <c r="KB606" i="1"/>
  <c r="JY606" i="1"/>
  <c r="JX606" i="1"/>
  <c r="KR606" i="1"/>
  <c r="KQ606" i="1"/>
  <c r="KY605" i="1"/>
  <c r="KX605" i="1"/>
  <c r="KW605" i="1"/>
  <c r="KV605" i="1"/>
  <c r="KU605" i="1"/>
  <c r="KT605" i="1"/>
  <c r="KO605" i="1"/>
  <c r="KN605" i="1"/>
  <c r="KK605" i="1"/>
  <c r="KJ605" i="1"/>
  <c r="KG605" i="1"/>
  <c r="KF605" i="1"/>
  <c r="KH605" i="1"/>
  <c r="KC605" i="1"/>
  <c r="KB605" i="1"/>
  <c r="JY605" i="1"/>
  <c r="JX605" i="1"/>
  <c r="KS605" i="1"/>
  <c r="KR605" i="1"/>
  <c r="KQ605" i="1"/>
  <c r="KY604" i="1"/>
  <c r="KX604" i="1"/>
  <c r="KW604" i="1"/>
  <c r="KV604" i="1"/>
  <c r="KU604" i="1"/>
  <c r="KT604" i="1"/>
  <c r="KO604" i="1"/>
  <c r="KP604" i="1"/>
  <c r="KN604" i="1"/>
  <c r="KK604" i="1"/>
  <c r="KJ604" i="1"/>
  <c r="KG604" i="1"/>
  <c r="KF604" i="1"/>
  <c r="KC604" i="1"/>
  <c r="KB604" i="1"/>
  <c r="JY604" i="1"/>
  <c r="JX604" i="1"/>
  <c r="KS604" i="1"/>
  <c r="KR604" i="1"/>
  <c r="KQ604" i="1"/>
  <c r="KY603" i="1"/>
  <c r="KX603" i="1"/>
  <c r="KW603" i="1"/>
  <c r="KV603" i="1"/>
  <c r="KU603" i="1"/>
  <c r="KT603" i="1"/>
  <c r="KS603" i="1"/>
  <c r="KO603" i="1"/>
  <c r="KN603" i="1"/>
  <c r="KK603" i="1"/>
  <c r="KJ603" i="1"/>
  <c r="KG603" i="1"/>
  <c r="KF603" i="1"/>
  <c r="KC603" i="1"/>
  <c r="KB603" i="1"/>
  <c r="JY603" i="1"/>
  <c r="JX603" i="1"/>
  <c r="KR603" i="1"/>
  <c r="KQ603" i="1"/>
  <c r="KY602" i="1"/>
  <c r="KX602" i="1"/>
  <c r="KW602" i="1"/>
  <c r="KV602" i="1"/>
  <c r="KU602" i="1"/>
  <c r="KT602" i="1"/>
  <c r="KR602" i="1"/>
  <c r="KO602" i="1"/>
  <c r="KN602" i="1"/>
  <c r="KK602" i="1"/>
  <c r="KJ602" i="1"/>
  <c r="KG602" i="1"/>
  <c r="KF602" i="1"/>
  <c r="KC602" i="1"/>
  <c r="KB602" i="1"/>
  <c r="JY602" i="1"/>
  <c r="JX602" i="1"/>
  <c r="KS602" i="1"/>
  <c r="KQ602" i="1"/>
  <c r="KY601" i="1"/>
  <c r="KX601" i="1"/>
  <c r="KW601" i="1"/>
  <c r="KV601" i="1"/>
  <c r="KU601" i="1"/>
  <c r="KT601" i="1"/>
  <c r="KO601" i="1"/>
  <c r="KN601" i="1"/>
  <c r="KK601" i="1"/>
  <c r="KJ601" i="1"/>
  <c r="KG601" i="1"/>
  <c r="KF601" i="1"/>
  <c r="KC601" i="1"/>
  <c r="KB601" i="1"/>
  <c r="JY601" i="1"/>
  <c r="JX601" i="1"/>
  <c r="KS601" i="1"/>
  <c r="KR601" i="1"/>
  <c r="KQ601" i="1"/>
  <c r="KY600" i="1"/>
  <c r="KX600" i="1"/>
  <c r="KW600" i="1"/>
  <c r="KV600" i="1"/>
  <c r="KU600" i="1"/>
  <c r="KT600" i="1"/>
  <c r="KO600" i="1"/>
  <c r="KN600" i="1"/>
  <c r="KP600" i="1"/>
  <c r="KK600" i="1"/>
  <c r="KJ600" i="1"/>
  <c r="KG600" i="1"/>
  <c r="KF600" i="1"/>
  <c r="KC600" i="1"/>
  <c r="KB600" i="1"/>
  <c r="JY600" i="1"/>
  <c r="JX600" i="1"/>
  <c r="KS600" i="1"/>
  <c r="KR600" i="1"/>
  <c r="KQ600" i="1"/>
  <c r="KY599" i="1"/>
  <c r="KX599" i="1"/>
  <c r="KW599" i="1"/>
  <c r="KV599" i="1"/>
  <c r="KU599" i="1"/>
  <c r="KT599" i="1"/>
  <c r="KS599" i="1"/>
  <c r="KO599" i="1"/>
  <c r="KN599" i="1"/>
  <c r="KK599" i="1"/>
  <c r="KJ599" i="1"/>
  <c r="KG599" i="1"/>
  <c r="KF599" i="1"/>
  <c r="KC599" i="1"/>
  <c r="KB599" i="1"/>
  <c r="JY599" i="1"/>
  <c r="JX599" i="1"/>
  <c r="KR599" i="1"/>
  <c r="KQ599" i="1"/>
  <c r="KY598" i="1"/>
  <c r="KX598" i="1"/>
  <c r="KW598" i="1"/>
  <c r="KV598" i="1"/>
  <c r="KU598" i="1"/>
  <c r="KT598" i="1"/>
  <c r="KO598" i="1"/>
  <c r="KN598" i="1"/>
  <c r="KK598" i="1"/>
  <c r="KJ598" i="1"/>
  <c r="KG598" i="1"/>
  <c r="KF598" i="1"/>
  <c r="KC598" i="1"/>
  <c r="KB598" i="1"/>
  <c r="JY598" i="1"/>
  <c r="JX598" i="1"/>
  <c r="KS598" i="1"/>
  <c r="KR598" i="1"/>
  <c r="KQ598" i="1"/>
  <c r="KY597" i="1"/>
  <c r="KX597" i="1"/>
  <c r="KW597" i="1"/>
  <c r="KV597" i="1"/>
  <c r="KU597" i="1"/>
  <c r="KT597" i="1"/>
  <c r="KO597" i="1"/>
  <c r="KN597" i="1"/>
  <c r="KK597" i="1"/>
  <c r="KJ597" i="1"/>
  <c r="KG597" i="1"/>
  <c r="KF597" i="1"/>
  <c r="KC597" i="1"/>
  <c r="KB597" i="1"/>
  <c r="JY597" i="1"/>
  <c r="JX597" i="1"/>
  <c r="KS597" i="1"/>
  <c r="KR597" i="1"/>
  <c r="KQ597" i="1"/>
  <c r="KY596" i="1"/>
  <c r="KX596" i="1"/>
  <c r="KW596" i="1"/>
  <c r="KV596" i="1"/>
  <c r="KU596" i="1"/>
  <c r="KT596" i="1"/>
  <c r="KO596" i="1"/>
  <c r="KP596" i="1"/>
  <c r="KN596" i="1"/>
  <c r="KK596" i="1"/>
  <c r="KJ596" i="1"/>
  <c r="KG596" i="1"/>
  <c r="KH596" i="1"/>
  <c r="KF596" i="1"/>
  <c r="KC596" i="1"/>
  <c r="KB596" i="1"/>
  <c r="JY596" i="1"/>
  <c r="JZ596" i="1"/>
  <c r="JX596" i="1"/>
  <c r="KS596" i="1"/>
  <c r="KR596" i="1"/>
  <c r="KQ596" i="1"/>
  <c r="KY595" i="1"/>
  <c r="KX595" i="1"/>
  <c r="KW595" i="1"/>
  <c r="KV595" i="1"/>
  <c r="KU595" i="1"/>
  <c r="KT595" i="1"/>
  <c r="KO595" i="1"/>
  <c r="KN595" i="1"/>
  <c r="KK595" i="1"/>
  <c r="KJ595" i="1"/>
  <c r="KG595" i="1"/>
  <c r="KF595" i="1"/>
  <c r="KC595" i="1"/>
  <c r="KB595" i="1"/>
  <c r="JY595" i="1"/>
  <c r="JX595" i="1"/>
  <c r="KS595" i="1"/>
  <c r="KR595" i="1"/>
  <c r="KQ595" i="1"/>
  <c r="KY594" i="1"/>
  <c r="KX594" i="1"/>
  <c r="KW594" i="1"/>
  <c r="KV594" i="1"/>
  <c r="KU594" i="1"/>
  <c r="KT594" i="1"/>
  <c r="KQ594" i="1"/>
  <c r="KO594" i="1"/>
  <c r="KN594" i="1"/>
  <c r="KK594" i="1"/>
  <c r="KJ594" i="1"/>
  <c r="KG594" i="1"/>
  <c r="KF594" i="1"/>
  <c r="KC594" i="1"/>
  <c r="KB594" i="1"/>
  <c r="JY594" i="1"/>
  <c r="JX594" i="1"/>
  <c r="KS594" i="1"/>
  <c r="KR594" i="1"/>
  <c r="KY593" i="1"/>
  <c r="KX593" i="1"/>
  <c r="KW593" i="1"/>
  <c r="KV593" i="1"/>
  <c r="KU593" i="1"/>
  <c r="KT593" i="1"/>
  <c r="KS593" i="1"/>
  <c r="KR593" i="1"/>
  <c r="KQ593" i="1"/>
  <c r="KO593" i="1"/>
  <c r="KN593" i="1"/>
  <c r="KK593" i="1"/>
  <c r="KJ593" i="1"/>
  <c r="KG593" i="1"/>
  <c r="KF593" i="1"/>
  <c r="KC593" i="1"/>
  <c r="KB593" i="1"/>
  <c r="JY593" i="1"/>
  <c r="JX593" i="1"/>
  <c r="KY592" i="1"/>
  <c r="KX592" i="1"/>
  <c r="KW592" i="1"/>
  <c r="KV592" i="1"/>
  <c r="KU592" i="1"/>
  <c r="KT592" i="1"/>
  <c r="KO592" i="1"/>
  <c r="KP592" i="1"/>
  <c r="KN592" i="1"/>
  <c r="KK592" i="1"/>
  <c r="KJ592" i="1"/>
  <c r="KG592" i="1"/>
  <c r="KH592" i="1"/>
  <c r="KF592" i="1"/>
  <c r="KC592" i="1"/>
  <c r="KB592" i="1"/>
  <c r="JY592" i="1"/>
  <c r="JZ592" i="1"/>
  <c r="JX592" i="1"/>
  <c r="KS592" i="1"/>
  <c r="KR592" i="1"/>
  <c r="KQ592" i="1"/>
  <c r="KY591" i="1"/>
  <c r="KX591" i="1"/>
  <c r="KW591" i="1"/>
  <c r="KV591" i="1"/>
  <c r="KU591" i="1"/>
  <c r="KT591" i="1"/>
  <c r="KO591" i="1"/>
  <c r="KN591" i="1"/>
  <c r="KK591" i="1"/>
  <c r="KJ591" i="1"/>
  <c r="KG591" i="1"/>
  <c r="KF591" i="1"/>
  <c r="KC591" i="1"/>
  <c r="KB591" i="1"/>
  <c r="JY591" i="1"/>
  <c r="JX591" i="1"/>
  <c r="KS591" i="1"/>
  <c r="KR591" i="1"/>
  <c r="KQ591" i="1"/>
  <c r="KY590" i="1"/>
  <c r="KX590" i="1"/>
  <c r="KW590" i="1"/>
  <c r="KV590" i="1"/>
  <c r="KU590" i="1"/>
  <c r="KT590" i="1"/>
  <c r="KO590" i="1"/>
  <c r="KN590" i="1"/>
  <c r="KK590" i="1"/>
  <c r="KJ590" i="1"/>
  <c r="KG590" i="1"/>
  <c r="KF590" i="1"/>
  <c r="KC590" i="1"/>
  <c r="KB590" i="1"/>
  <c r="JY590" i="1"/>
  <c r="JX590" i="1"/>
  <c r="KS590" i="1"/>
  <c r="KR590" i="1"/>
  <c r="KQ590" i="1"/>
  <c r="KY589" i="1"/>
  <c r="KX589" i="1"/>
  <c r="KW589" i="1"/>
  <c r="KV589" i="1"/>
  <c r="KU589" i="1"/>
  <c r="KT589" i="1"/>
  <c r="KO589" i="1"/>
  <c r="KN589" i="1"/>
  <c r="KK589" i="1"/>
  <c r="KJ589" i="1"/>
  <c r="KG589" i="1"/>
  <c r="KF589" i="1"/>
  <c r="KC589" i="1"/>
  <c r="KB589" i="1"/>
  <c r="JY589" i="1"/>
  <c r="JX589" i="1"/>
  <c r="KS589" i="1"/>
  <c r="KR589" i="1"/>
  <c r="KQ589" i="1"/>
  <c r="KY588" i="1"/>
  <c r="KX588" i="1"/>
  <c r="KW588" i="1"/>
  <c r="KV588" i="1"/>
  <c r="KU588" i="1"/>
  <c r="KT588" i="1"/>
  <c r="KO588" i="1"/>
  <c r="KN588" i="1"/>
  <c r="KK588" i="1"/>
  <c r="KJ588" i="1"/>
  <c r="KG588" i="1"/>
  <c r="KF588" i="1"/>
  <c r="KC588" i="1"/>
  <c r="KB588" i="1"/>
  <c r="JY588" i="1"/>
  <c r="JX588" i="1"/>
  <c r="KS588" i="1"/>
  <c r="KR588" i="1"/>
  <c r="KQ588" i="1"/>
  <c r="KY587" i="1"/>
  <c r="KX587" i="1"/>
  <c r="KW587" i="1"/>
  <c r="KV587" i="1"/>
  <c r="KU587" i="1"/>
  <c r="KT587" i="1"/>
  <c r="KO587" i="1"/>
  <c r="KN587" i="1"/>
  <c r="KK587" i="1"/>
  <c r="KJ587" i="1"/>
  <c r="KG587" i="1"/>
  <c r="KF587" i="1"/>
  <c r="KC587" i="1"/>
  <c r="KB587" i="1"/>
  <c r="JY587" i="1"/>
  <c r="JX587" i="1"/>
  <c r="KS587" i="1"/>
  <c r="KR587" i="1"/>
  <c r="KQ587" i="1"/>
  <c r="KY586" i="1"/>
  <c r="KX586" i="1"/>
  <c r="KW586" i="1"/>
  <c r="KV586" i="1"/>
  <c r="KU586" i="1"/>
  <c r="KT586" i="1"/>
  <c r="KO586" i="1"/>
  <c r="KN586" i="1"/>
  <c r="KK586" i="1"/>
  <c r="KJ586" i="1"/>
  <c r="KG586" i="1"/>
  <c r="KF586" i="1"/>
  <c r="KC586" i="1"/>
  <c r="KB586" i="1"/>
  <c r="JY586" i="1"/>
  <c r="JX586" i="1"/>
  <c r="KS586" i="1"/>
  <c r="KR586" i="1"/>
  <c r="KQ586" i="1"/>
  <c r="KY585" i="1"/>
  <c r="KX585" i="1"/>
  <c r="KW585" i="1"/>
  <c r="KV585" i="1"/>
  <c r="KU585" i="1"/>
  <c r="KT585" i="1"/>
  <c r="KO585" i="1"/>
  <c r="KN585" i="1"/>
  <c r="KK585" i="1"/>
  <c r="KJ585" i="1"/>
  <c r="KG585" i="1"/>
  <c r="KF585" i="1"/>
  <c r="KC585" i="1"/>
  <c r="KB585" i="1"/>
  <c r="JY585" i="1"/>
  <c r="JX585" i="1"/>
  <c r="KS585" i="1"/>
  <c r="KR585" i="1"/>
  <c r="KQ585" i="1"/>
  <c r="KY584" i="1"/>
  <c r="KX584" i="1"/>
  <c r="KW584" i="1"/>
  <c r="KV584" i="1"/>
  <c r="KU584" i="1"/>
  <c r="KT584" i="1"/>
  <c r="KO584" i="1"/>
  <c r="KN584" i="1"/>
  <c r="KK584" i="1"/>
  <c r="KJ584" i="1"/>
  <c r="KG584" i="1"/>
  <c r="KF584" i="1"/>
  <c r="KC584" i="1"/>
  <c r="KB584" i="1"/>
  <c r="JY584" i="1"/>
  <c r="JX584" i="1"/>
  <c r="KS584" i="1"/>
  <c r="KR584" i="1"/>
  <c r="KQ584" i="1"/>
  <c r="KY583" i="1"/>
  <c r="KX583" i="1"/>
  <c r="KW583" i="1"/>
  <c r="KV583" i="1"/>
  <c r="KU583" i="1"/>
  <c r="KT583" i="1"/>
  <c r="KO583" i="1"/>
  <c r="KN583" i="1"/>
  <c r="KK583" i="1"/>
  <c r="KJ583" i="1"/>
  <c r="KG583" i="1"/>
  <c r="KF583" i="1"/>
  <c r="KC583" i="1"/>
  <c r="KB583" i="1"/>
  <c r="JY583" i="1"/>
  <c r="JX583" i="1"/>
  <c r="KS583" i="1"/>
  <c r="KR583" i="1"/>
  <c r="KQ583" i="1"/>
  <c r="KY582" i="1"/>
  <c r="KX582" i="1"/>
  <c r="KW582" i="1"/>
  <c r="KV582" i="1"/>
  <c r="KU582" i="1"/>
  <c r="KT582" i="1"/>
  <c r="KO582" i="1"/>
  <c r="KN582" i="1"/>
  <c r="KK582" i="1"/>
  <c r="KJ582" i="1"/>
  <c r="KG582" i="1"/>
  <c r="KF582" i="1"/>
  <c r="KC582" i="1"/>
  <c r="KD582" i="1"/>
  <c r="KB582" i="1"/>
  <c r="JY582" i="1"/>
  <c r="JX582" i="1"/>
  <c r="KS582" i="1"/>
  <c r="KR582" i="1"/>
  <c r="KQ582" i="1"/>
  <c r="KY581" i="1"/>
  <c r="KX581" i="1"/>
  <c r="KW581" i="1"/>
  <c r="KV581" i="1"/>
  <c r="KU581" i="1"/>
  <c r="KT581" i="1"/>
  <c r="KO581" i="1"/>
  <c r="KN581" i="1"/>
  <c r="KK581" i="1"/>
  <c r="KJ581" i="1"/>
  <c r="KG581" i="1"/>
  <c r="KF581" i="1"/>
  <c r="KC581" i="1"/>
  <c r="KB581" i="1"/>
  <c r="JY581" i="1"/>
  <c r="JX581" i="1"/>
  <c r="KS581" i="1"/>
  <c r="KR581" i="1"/>
  <c r="KQ581" i="1"/>
  <c r="KY580" i="1"/>
  <c r="KX580" i="1"/>
  <c r="KW580" i="1"/>
  <c r="KV580" i="1"/>
  <c r="KU580" i="1"/>
  <c r="KT580" i="1"/>
  <c r="KO580" i="1"/>
  <c r="KN580" i="1"/>
  <c r="KK580" i="1"/>
  <c r="KJ580" i="1"/>
  <c r="KG580" i="1"/>
  <c r="KF580" i="1"/>
  <c r="KC580" i="1"/>
  <c r="KB580" i="1"/>
  <c r="JY580" i="1"/>
  <c r="JX580" i="1"/>
  <c r="KS580" i="1"/>
  <c r="KR580" i="1"/>
  <c r="KQ580" i="1"/>
  <c r="KY579" i="1"/>
  <c r="KX579" i="1"/>
  <c r="KW579" i="1"/>
  <c r="KV579" i="1"/>
  <c r="KU579" i="1"/>
  <c r="KT579" i="1"/>
  <c r="KO579" i="1"/>
  <c r="KN579" i="1"/>
  <c r="KK579" i="1"/>
  <c r="KJ579" i="1"/>
  <c r="KG579" i="1"/>
  <c r="KF579" i="1"/>
  <c r="KC579" i="1"/>
  <c r="KB579" i="1"/>
  <c r="JY579" i="1"/>
  <c r="JX579" i="1"/>
  <c r="KS579" i="1"/>
  <c r="KR579" i="1"/>
  <c r="KQ579" i="1"/>
  <c r="KY578" i="1"/>
  <c r="KX578" i="1"/>
  <c r="KW578" i="1"/>
  <c r="KV578" i="1"/>
  <c r="KU578" i="1"/>
  <c r="KT578" i="1"/>
  <c r="KO578" i="1"/>
  <c r="KN578" i="1"/>
  <c r="KK578" i="1"/>
  <c r="KJ578" i="1"/>
  <c r="KG578" i="1"/>
  <c r="KF578" i="1"/>
  <c r="KC578" i="1"/>
  <c r="KB578" i="1"/>
  <c r="JY578" i="1"/>
  <c r="JX578" i="1"/>
  <c r="KS578" i="1"/>
  <c r="KR578" i="1"/>
  <c r="KQ578" i="1"/>
  <c r="KY577" i="1"/>
  <c r="KX577" i="1"/>
  <c r="KW577" i="1"/>
  <c r="KV577" i="1"/>
  <c r="KU577" i="1"/>
  <c r="KT577" i="1"/>
  <c r="KO577" i="1"/>
  <c r="KN577" i="1"/>
  <c r="KK577" i="1"/>
  <c r="KJ577" i="1"/>
  <c r="KG577" i="1"/>
  <c r="KF577" i="1"/>
  <c r="KC577" i="1"/>
  <c r="KB577" i="1"/>
  <c r="JY577" i="1"/>
  <c r="JX577" i="1"/>
  <c r="KS577" i="1"/>
  <c r="KR577" i="1"/>
  <c r="KQ577" i="1"/>
  <c r="KY576" i="1"/>
  <c r="KX576" i="1"/>
  <c r="KW576" i="1"/>
  <c r="KV576" i="1"/>
  <c r="KU576" i="1"/>
  <c r="KT576" i="1"/>
  <c r="KO576" i="1"/>
  <c r="KN576" i="1"/>
  <c r="KK576" i="1"/>
  <c r="KJ576" i="1"/>
  <c r="KG576" i="1"/>
  <c r="KF576" i="1"/>
  <c r="KC576" i="1"/>
  <c r="KB576" i="1"/>
  <c r="JY576" i="1"/>
  <c r="JX576" i="1"/>
  <c r="KS576" i="1"/>
  <c r="KR576" i="1"/>
  <c r="KQ576" i="1"/>
  <c r="KY575" i="1"/>
  <c r="KX575" i="1"/>
  <c r="KW575" i="1"/>
  <c r="KV575" i="1"/>
  <c r="KU575" i="1"/>
  <c r="KT575" i="1"/>
  <c r="KS575" i="1"/>
  <c r="KO575" i="1"/>
  <c r="KN575" i="1"/>
  <c r="KK575" i="1"/>
  <c r="KJ575" i="1"/>
  <c r="KG575" i="1"/>
  <c r="KF575" i="1"/>
  <c r="KC575" i="1"/>
  <c r="KB575" i="1"/>
  <c r="JY575" i="1"/>
  <c r="JX575" i="1"/>
  <c r="KR575" i="1"/>
  <c r="KQ575" i="1"/>
  <c r="KY574" i="1"/>
  <c r="KX574" i="1"/>
  <c r="KW574" i="1"/>
  <c r="KV574" i="1"/>
  <c r="KU574" i="1"/>
  <c r="KT574" i="1"/>
  <c r="KO574" i="1"/>
  <c r="KN574" i="1"/>
  <c r="KK574" i="1"/>
  <c r="KJ574" i="1"/>
  <c r="KG574" i="1"/>
  <c r="KF574" i="1"/>
  <c r="KC574" i="1"/>
  <c r="KB574" i="1"/>
  <c r="JY574" i="1"/>
  <c r="JX574" i="1"/>
  <c r="KS574" i="1"/>
  <c r="KR574" i="1"/>
  <c r="KQ574" i="1"/>
  <c r="KY573" i="1"/>
  <c r="KX573" i="1"/>
  <c r="KW573" i="1"/>
  <c r="KV573" i="1"/>
  <c r="KU573" i="1"/>
  <c r="KT573" i="1"/>
  <c r="KS573" i="1"/>
  <c r="KO573" i="1"/>
  <c r="KN573" i="1"/>
  <c r="KK573" i="1"/>
  <c r="KJ573" i="1"/>
  <c r="KG573" i="1"/>
  <c r="KF573" i="1"/>
  <c r="KC573" i="1"/>
  <c r="KD573" i="1"/>
  <c r="KB573" i="1"/>
  <c r="JY573" i="1"/>
  <c r="JX573" i="1"/>
  <c r="KR573" i="1"/>
  <c r="KQ573" i="1"/>
  <c r="KY572" i="1"/>
  <c r="KX572" i="1"/>
  <c r="KW572" i="1"/>
  <c r="KV572" i="1"/>
  <c r="KU572" i="1"/>
  <c r="KT572" i="1"/>
  <c r="KS572" i="1"/>
  <c r="KR572" i="1"/>
  <c r="KQ572" i="1"/>
  <c r="KO572" i="1"/>
  <c r="KN572" i="1"/>
  <c r="KK572" i="1"/>
  <c r="KJ572" i="1"/>
  <c r="KG572" i="1"/>
  <c r="KF572" i="1"/>
  <c r="KC572" i="1"/>
  <c r="KB572" i="1"/>
  <c r="JY572" i="1"/>
  <c r="JX572" i="1"/>
  <c r="KY571" i="1"/>
  <c r="KX571" i="1"/>
  <c r="KW571" i="1"/>
  <c r="KV571" i="1"/>
  <c r="KU571" i="1"/>
  <c r="KT571" i="1"/>
  <c r="KO571" i="1"/>
  <c r="KN571" i="1"/>
  <c r="KK571" i="1"/>
  <c r="KJ571" i="1"/>
  <c r="KG571" i="1"/>
  <c r="KF571" i="1"/>
  <c r="KC571" i="1"/>
  <c r="KB571" i="1"/>
  <c r="JY571" i="1"/>
  <c r="JX571" i="1"/>
  <c r="KS571" i="1"/>
  <c r="KR571" i="1"/>
  <c r="KQ571" i="1"/>
  <c r="KY570" i="1"/>
  <c r="KX570" i="1"/>
  <c r="KW570" i="1"/>
  <c r="KV570" i="1"/>
  <c r="KU570" i="1"/>
  <c r="KT570" i="1"/>
  <c r="KS570" i="1"/>
  <c r="KR570" i="1"/>
  <c r="KQ570" i="1"/>
  <c r="KO570" i="1"/>
  <c r="KN570" i="1"/>
  <c r="KK570" i="1"/>
  <c r="KJ570" i="1"/>
  <c r="KG570" i="1"/>
  <c r="KF570" i="1"/>
  <c r="KC570" i="1"/>
  <c r="KB570" i="1"/>
  <c r="JY570" i="1"/>
  <c r="JX570" i="1"/>
  <c r="KY569" i="1"/>
  <c r="KX569" i="1"/>
  <c r="KW569" i="1"/>
  <c r="KV569" i="1"/>
  <c r="KU569" i="1"/>
  <c r="KT569" i="1"/>
  <c r="KS569" i="1"/>
  <c r="KR569" i="1"/>
  <c r="KQ569" i="1"/>
  <c r="KO569" i="1"/>
  <c r="KN569" i="1"/>
  <c r="KK569" i="1"/>
  <c r="KJ569" i="1"/>
  <c r="KG569" i="1"/>
  <c r="KF569" i="1"/>
  <c r="KC569" i="1"/>
  <c r="KB569" i="1"/>
  <c r="JY569" i="1"/>
  <c r="JX569" i="1"/>
  <c r="KY568" i="1"/>
  <c r="KX568" i="1"/>
  <c r="KW568" i="1"/>
  <c r="KV568" i="1"/>
  <c r="KU568" i="1"/>
  <c r="KT568" i="1"/>
  <c r="KS568" i="1"/>
  <c r="KQ568" i="1"/>
  <c r="KO568" i="1"/>
  <c r="KN568" i="1"/>
  <c r="KK568" i="1"/>
  <c r="KJ568" i="1"/>
  <c r="KG568" i="1"/>
  <c r="KF568" i="1"/>
  <c r="KC568" i="1"/>
  <c r="KB568" i="1"/>
  <c r="JY568" i="1"/>
  <c r="JX568" i="1"/>
  <c r="KR568" i="1"/>
  <c r="KY567" i="1"/>
  <c r="KX567" i="1"/>
  <c r="KW567" i="1"/>
  <c r="KV567" i="1"/>
  <c r="KU567" i="1"/>
  <c r="KT567" i="1"/>
  <c r="KO567" i="1"/>
  <c r="KN567" i="1"/>
  <c r="KK567" i="1"/>
  <c r="KJ567" i="1"/>
  <c r="KG567" i="1"/>
  <c r="KF567" i="1"/>
  <c r="KC567" i="1"/>
  <c r="KB567" i="1"/>
  <c r="JY567" i="1"/>
  <c r="JX567" i="1"/>
  <c r="KS567" i="1"/>
  <c r="KR567" i="1"/>
  <c r="KQ567" i="1"/>
  <c r="KY566" i="1"/>
  <c r="KX566" i="1"/>
  <c r="KW566" i="1"/>
  <c r="KV566" i="1"/>
  <c r="KU566" i="1"/>
  <c r="KT566" i="1"/>
  <c r="KO566" i="1"/>
  <c r="KN566" i="1"/>
  <c r="KK566" i="1"/>
  <c r="KJ566" i="1"/>
  <c r="KG566" i="1"/>
  <c r="KF566" i="1"/>
  <c r="KC566" i="1"/>
  <c r="KD566" i="1"/>
  <c r="KB566" i="1"/>
  <c r="JY566" i="1"/>
  <c r="JX566" i="1"/>
  <c r="KS566" i="1"/>
  <c r="KR566" i="1"/>
  <c r="KQ566" i="1"/>
  <c r="KY565" i="1"/>
  <c r="KX565" i="1"/>
  <c r="KW565" i="1"/>
  <c r="KV565" i="1"/>
  <c r="KU565" i="1"/>
  <c r="KT565" i="1"/>
  <c r="KS565" i="1"/>
  <c r="KR565" i="1"/>
  <c r="KQ565" i="1"/>
  <c r="KO565" i="1"/>
  <c r="KN565" i="1"/>
  <c r="KK565" i="1"/>
  <c r="KJ565" i="1"/>
  <c r="KG565" i="1"/>
  <c r="KF565" i="1"/>
  <c r="KC565" i="1"/>
  <c r="KB565" i="1"/>
  <c r="JY565" i="1"/>
  <c r="JX565" i="1"/>
  <c r="KY564" i="1"/>
  <c r="KX564" i="1"/>
  <c r="KW564" i="1"/>
  <c r="KV564" i="1"/>
  <c r="KU564" i="1"/>
  <c r="KT564" i="1"/>
  <c r="KO564" i="1"/>
  <c r="KN564" i="1"/>
  <c r="KK564" i="1"/>
  <c r="KJ564" i="1"/>
  <c r="KG564" i="1"/>
  <c r="KF564" i="1"/>
  <c r="KC564" i="1"/>
  <c r="KB564" i="1"/>
  <c r="JY564" i="1"/>
  <c r="JX564" i="1"/>
  <c r="KS564" i="1"/>
  <c r="KR564" i="1"/>
  <c r="KQ564" i="1"/>
  <c r="KY563" i="1"/>
  <c r="KX563" i="1"/>
  <c r="KW563" i="1"/>
  <c r="KV563" i="1"/>
  <c r="KU563" i="1"/>
  <c r="KT563" i="1"/>
  <c r="KO563" i="1"/>
  <c r="KN563" i="1"/>
  <c r="KK563" i="1"/>
  <c r="KJ563" i="1"/>
  <c r="KG563" i="1"/>
  <c r="KF563" i="1"/>
  <c r="KC563" i="1"/>
  <c r="KB563" i="1"/>
  <c r="JY563" i="1"/>
  <c r="JX563" i="1"/>
  <c r="KS563" i="1"/>
  <c r="KR563" i="1"/>
  <c r="KQ563" i="1"/>
  <c r="KY562" i="1"/>
  <c r="KX562" i="1"/>
  <c r="KW562" i="1"/>
  <c r="KV562" i="1"/>
  <c r="KU562" i="1"/>
  <c r="KT562" i="1"/>
  <c r="KS562" i="1"/>
  <c r="KR562" i="1"/>
  <c r="KQ562" i="1"/>
  <c r="KO562" i="1"/>
  <c r="KN562" i="1"/>
  <c r="KK562" i="1"/>
  <c r="KJ562" i="1"/>
  <c r="KG562" i="1"/>
  <c r="KF562" i="1"/>
  <c r="KC562" i="1"/>
  <c r="KB562" i="1"/>
  <c r="JY562" i="1"/>
  <c r="JX562" i="1"/>
  <c r="KY561" i="1"/>
  <c r="KX561" i="1"/>
  <c r="KW561" i="1"/>
  <c r="KV561" i="1"/>
  <c r="KU561" i="1"/>
  <c r="KT561" i="1"/>
  <c r="KO561" i="1"/>
  <c r="KN561" i="1"/>
  <c r="KK561" i="1"/>
  <c r="KJ561" i="1"/>
  <c r="KG561" i="1"/>
  <c r="KF561" i="1"/>
  <c r="KC561" i="1"/>
  <c r="KB561" i="1"/>
  <c r="JY561" i="1"/>
  <c r="JX561" i="1"/>
  <c r="KS561" i="1"/>
  <c r="KR561" i="1"/>
  <c r="KQ561" i="1"/>
  <c r="KY560" i="1"/>
  <c r="KX560" i="1"/>
  <c r="KW560" i="1"/>
  <c r="KV560" i="1"/>
  <c r="KU560" i="1"/>
  <c r="KT560" i="1"/>
  <c r="KO560" i="1"/>
  <c r="KP560" i="1"/>
  <c r="KN560" i="1"/>
  <c r="KK560" i="1"/>
  <c r="KJ560" i="1"/>
  <c r="KG560" i="1"/>
  <c r="KF560" i="1"/>
  <c r="KC560" i="1"/>
  <c r="KB560" i="1"/>
  <c r="JY560" i="1"/>
  <c r="JX560" i="1"/>
  <c r="KS560" i="1"/>
  <c r="KR560" i="1"/>
  <c r="KQ560" i="1"/>
  <c r="KY559" i="1"/>
  <c r="KX559" i="1"/>
  <c r="KW559" i="1"/>
  <c r="KV559" i="1"/>
  <c r="KU559" i="1"/>
  <c r="KT559" i="1"/>
  <c r="KO559" i="1"/>
  <c r="KN559" i="1"/>
  <c r="KK559" i="1"/>
  <c r="KJ559" i="1"/>
  <c r="KG559" i="1"/>
  <c r="KF559" i="1"/>
  <c r="KC559" i="1"/>
  <c r="KB559" i="1"/>
  <c r="JY559" i="1"/>
  <c r="JX559" i="1"/>
  <c r="KS559" i="1"/>
  <c r="KR559" i="1"/>
  <c r="KQ559" i="1"/>
  <c r="KY558" i="1"/>
  <c r="KX558" i="1"/>
  <c r="KW558" i="1"/>
  <c r="KV558" i="1"/>
  <c r="KU558" i="1"/>
  <c r="KT558" i="1"/>
  <c r="KO558" i="1"/>
  <c r="KN558" i="1"/>
  <c r="KK558" i="1"/>
  <c r="KJ558" i="1"/>
  <c r="KG558" i="1"/>
  <c r="KF558" i="1"/>
  <c r="KC558" i="1"/>
  <c r="KD558" i="1"/>
  <c r="KB558" i="1"/>
  <c r="JY558" i="1"/>
  <c r="JX558" i="1"/>
  <c r="KS558" i="1"/>
  <c r="KR558" i="1"/>
  <c r="KQ558" i="1"/>
  <c r="KY557" i="1"/>
  <c r="KX557" i="1"/>
  <c r="KW557" i="1"/>
  <c r="KV557" i="1"/>
  <c r="KU557" i="1"/>
  <c r="KT557" i="1"/>
  <c r="KO557" i="1"/>
  <c r="KN557" i="1"/>
  <c r="KK557" i="1"/>
  <c r="KJ557" i="1"/>
  <c r="KG557" i="1"/>
  <c r="KF557" i="1"/>
  <c r="KC557" i="1"/>
  <c r="KB557" i="1"/>
  <c r="JY557" i="1"/>
  <c r="JX557" i="1"/>
  <c r="KS557" i="1"/>
  <c r="KR557" i="1"/>
  <c r="KQ557" i="1"/>
  <c r="KY556" i="1"/>
  <c r="KX556" i="1"/>
  <c r="KW556" i="1"/>
  <c r="KV556" i="1"/>
  <c r="KU556" i="1"/>
  <c r="KT556" i="1"/>
  <c r="KO556" i="1"/>
  <c r="KN556" i="1"/>
  <c r="KK556" i="1"/>
  <c r="KJ556" i="1"/>
  <c r="KG556" i="1"/>
  <c r="KF556" i="1"/>
  <c r="KC556" i="1"/>
  <c r="KB556" i="1"/>
  <c r="JY556" i="1"/>
  <c r="JX556" i="1"/>
  <c r="KS556" i="1"/>
  <c r="KR556" i="1"/>
  <c r="KQ556" i="1"/>
  <c r="KY555" i="1"/>
  <c r="KX555" i="1"/>
  <c r="KW555" i="1"/>
  <c r="KV555" i="1"/>
  <c r="KU555" i="1"/>
  <c r="KT555" i="1"/>
  <c r="KS555" i="1"/>
  <c r="KQ555" i="1"/>
  <c r="KO555" i="1"/>
  <c r="KN555" i="1"/>
  <c r="KK555" i="1"/>
  <c r="KJ555" i="1"/>
  <c r="KG555" i="1"/>
  <c r="KF555" i="1"/>
  <c r="KC555" i="1"/>
  <c r="KB555" i="1"/>
  <c r="JY555" i="1"/>
  <c r="JX555" i="1"/>
  <c r="KR555" i="1"/>
  <c r="KY554" i="1"/>
  <c r="KX554" i="1"/>
  <c r="KW554" i="1"/>
  <c r="KV554" i="1"/>
  <c r="KU554" i="1"/>
  <c r="KT554" i="1"/>
  <c r="KO554" i="1"/>
  <c r="KN554" i="1"/>
  <c r="KK554" i="1"/>
  <c r="KJ554" i="1"/>
  <c r="KG554" i="1"/>
  <c r="KF554" i="1"/>
  <c r="KC554" i="1"/>
  <c r="KB554" i="1"/>
  <c r="JY554" i="1"/>
  <c r="JX554" i="1"/>
  <c r="KS554" i="1"/>
  <c r="KR554" i="1"/>
  <c r="KQ554" i="1"/>
  <c r="KY553" i="1"/>
  <c r="KX553" i="1"/>
  <c r="KW553" i="1"/>
  <c r="KV553" i="1"/>
  <c r="KU553" i="1"/>
  <c r="KT553" i="1"/>
  <c r="KR553" i="1"/>
  <c r="KO553" i="1"/>
  <c r="KN553" i="1"/>
  <c r="KK553" i="1"/>
  <c r="KJ553" i="1"/>
  <c r="KG553" i="1"/>
  <c r="KF553" i="1"/>
  <c r="KC553" i="1"/>
  <c r="KB553" i="1"/>
  <c r="JY553" i="1"/>
  <c r="JX553" i="1"/>
  <c r="KS553" i="1"/>
  <c r="KQ553" i="1"/>
  <c r="KY552" i="1"/>
  <c r="KX552" i="1"/>
  <c r="KW552" i="1"/>
  <c r="KV552" i="1"/>
  <c r="KU552" i="1"/>
  <c r="KT552" i="1"/>
  <c r="KO552" i="1"/>
  <c r="KN552" i="1"/>
  <c r="KK552" i="1"/>
  <c r="KJ552" i="1"/>
  <c r="KG552" i="1"/>
  <c r="KF552" i="1"/>
  <c r="KC552" i="1"/>
  <c r="KB552" i="1"/>
  <c r="JY552" i="1"/>
  <c r="JX552" i="1"/>
  <c r="KS552" i="1"/>
  <c r="KR552" i="1"/>
  <c r="KQ552" i="1"/>
  <c r="KY551" i="1"/>
  <c r="KX551" i="1"/>
  <c r="KW551" i="1"/>
  <c r="KV551" i="1"/>
  <c r="KU551" i="1"/>
  <c r="KT551" i="1"/>
  <c r="KO551" i="1"/>
  <c r="KN551" i="1"/>
  <c r="KK551" i="1"/>
  <c r="KJ551" i="1"/>
  <c r="KG551" i="1"/>
  <c r="KF551" i="1"/>
  <c r="KC551" i="1"/>
  <c r="KB551" i="1"/>
  <c r="JY551" i="1"/>
  <c r="JX551" i="1"/>
  <c r="KS551" i="1"/>
  <c r="KR551" i="1"/>
  <c r="KQ551" i="1"/>
  <c r="KY550" i="1"/>
  <c r="KX550" i="1"/>
  <c r="KW550" i="1"/>
  <c r="KV550" i="1"/>
  <c r="KU550" i="1"/>
  <c r="KT550" i="1"/>
  <c r="KO550" i="1"/>
  <c r="KN550" i="1"/>
  <c r="KK550" i="1"/>
  <c r="KJ550" i="1"/>
  <c r="KG550" i="1"/>
  <c r="KF550" i="1"/>
  <c r="KC550" i="1"/>
  <c r="KB550" i="1"/>
  <c r="JY550" i="1"/>
  <c r="JX550" i="1"/>
  <c r="KS550" i="1"/>
  <c r="KR550" i="1"/>
  <c r="KQ550" i="1"/>
  <c r="KY549" i="1"/>
  <c r="KX549" i="1"/>
  <c r="KW549" i="1"/>
  <c r="KV549" i="1"/>
  <c r="KU549" i="1"/>
  <c r="KT549" i="1"/>
  <c r="KO549" i="1"/>
  <c r="KN549" i="1"/>
  <c r="KK549" i="1"/>
  <c r="KJ549" i="1"/>
  <c r="KG549" i="1"/>
  <c r="KF549" i="1"/>
  <c r="KC549" i="1"/>
  <c r="KB549" i="1"/>
  <c r="JY549" i="1"/>
  <c r="JX549" i="1"/>
  <c r="KS549" i="1"/>
  <c r="KR549" i="1"/>
  <c r="KQ549" i="1"/>
  <c r="KY548" i="1"/>
  <c r="KX548" i="1"/>
  <c r="KW548" i="1"/>
  <c r="KV548" i="1"/>
  <c r="KU548" i="1"/>
  <c r="KT548" i="1"/>
  <c r="KO548" i="1"/>
  <c r="KN548" i="1"/>
  <c r="KK548" i="1"/>
  <c r="KJ548" i="1"/>
  <c r="KG548" i="1"/>
  <c r="KF548" i="1"/>
  <c r="KC548" i="1"/>
  <c r="KB548" i="1"/>
  <c r="JY548" i="1"/>
  <c r="JX548" i="1"/>
  <c r="KS548" i="1"/>
  <c r="KR548" i="1"/>
  <c r="KQ548" i="1"/>
  <c r="KY547" i="1"/>
  <c r="KX547" i="1"/>
  <c r="KW547" i="1"/>
  <c r="KV547" i="1"/>
  <c r="KU547" i="1"/>
  <c r="KT547" i="1"/>
  <c r="KO547" i="1"/>
  <c r="KN547" i="1"/>
  <c r="KK547" i="1"/>
  <c r="KJ547" i="1"/>
  <c r="KG547" i="1"/>
  <c r="KF547" i="1"/>
  <c r="KC547" i="1"/>
  <c r="KB547" i="1"/>
  <c r="JY547" i="1"/>
  <c r="JX547" i="1"/>
  <c r="KS547" i="1"/>
  <c r="KR547" i="1"/>
  <c r="KQ547" i="1"/>
  <c r="KY546" i="1"/>
  <c r="KX546" i="1"/>
  <c r="KW546" i="1"/>
  <c r="KV546" i="1"/>
  <c r="KU546" i="1"/>
  <c r="KT546" i="1"/>
  <c r="KO546" i="1"/>
  <c r="KN546" i="1"/>
  <c r="KK546" i="1"/>
  <c r="KJ546" i="1"/>
  <c r="KG546" i="1"/>
  <c r="KF546" i="1"/>
  <c r="KC546" i="1"/>
  <c r="KB546" i="1"/>
  <c r="JY546" i="1"/>
  <c r="JX546" i="1"/>
  <c r="KS546" i="1"/>
  <c r="KR546" i="1"/>
  <c r="KQ546" i="1"/>
  <c r="KY545" i="1"/>
  <c r="KX545" i="1"/>
  <c r="KW545" i="1"/>
  <c r="KV545" i="1"/>
  <c r="KU545" i="1"/>
  <c r="KT545" i="1"/>
  <c r="KO545" i="1"/>
  <c r="KN545" i="1"/>
  <c r="KK545" i="1"/>
  <c r="KJ545" i="1"/>
  <c r="KG545" i="1"/>
  <c r="KF545" i="1"/>
  <c r="KC545" i="1"/>
  <c r="KB545" i="1"/>
  <c r="JY545" i="1"/>
  <c r="JX545" i="1"/>
  <c r="KS545" i="1"/>
  <c r="KR545" i="1"/>
  <c r="KQ545" i="1"/>
  <c r="KY544" i="1"/>
  <c r="KX544" i="1"/>
  <c r="KW544" i="1"/>
  <c r="KV544" i="1"/>
  <c r="KU544" i="1"/>
  <c r="KT544" i="1"/>
  <c r="KO544" i="1"/>
  <c r="KN544" i="1"/>
  <c r="KK544" i="1"/>
  <c r="KJ544" i="1"/>
  <c r="KG544" i="1"/>
  <c r="KF544" i="1"/>
  <c r="KC544" i="1"/>
  <c r="KB544" i="1"/>
  <c r="JY544" i="1"/>
  <c r="JX544" i="1"/>
  <c r="KS544" i="1"/>
  <c r="KR544" i="1"/>
  <c r="KQ544" i="1"/>
  <c r="KY543" i="1"/>
  <c r="KX543" i="1"/>
  <c r="KW543" i="1"/>
  <c r="KV543" i="1"/>
  <c r="KU543" i="1"/>
  <c r="KT543" i="1"/>
  <c r="KO543" i="1"/>
  <c r="KN543" i="1"/>
  <c r="KK543" i="1"/>
  <c r="KJ543" i="1"/>
  <c r="KG543" i="1"/>
  <c r="KF543" i="1"/>
  <c r="KC543" i="1"/>
  <c r="KB543" i="1"/>
  <c r="JY543" i="1"/>
  <c r="JX543" i="1"/>
  <c r="KS543" i="1"/>
  <c r="KR543" i="1"/>
  <c r="KQ543" i="1"/>
  <c r="KY542" i="1"/>
  <c r="KX542" i="1"/>
  <c r="KW542" i="1"/>
  <c r="KV542" i="1"/>
  <c r="KU542" i="1"/>
  <c r="KT542" i="1"/>
  <c r="KO542" i="1"/>
  <c r="KN542" i="1"/>
  <c r="KK542" i="1"/>
  <c r="KJ542" i="1"/>
  <c r="KG542" i="1"/>
  <c r="KF542" i="1"/>
  <c r="KC542" i="1"/>
  <c r="KD542" i="1"/>
  <c r="KB542" i="1"/>
  <c r="JY542" i="1"/>
  <c r="JX542" i="1"/>
  <c r="KS542" i="1"/>
  <c r="KR542" i="1"/>
  <c r="KQ542" i="1"/>
  <c r="KY541" i="1"/>
  <c r="KX541" i="1"/>
  <c r="KW541" i="1"/>
  <c r="KV541" i="1"/>
  <c r="KU541" i="1"/>
  <c r="KT541" i="1"/>
  <c r="KO541" i="1"/>
  <c r="KN541" i="1"/>
  <c r="KK541" i="1"/>
  <c r="KJ541" i="1"/>
  <c r="KG541" i="1"/>
  <c r="KF541" i="1"/>
  <c r="KC541" i="1"/>
  <c r="KB541" i="1"/>
  <c r="JY541" i="1"/>
  <c r="JX541" i="1"/>
  <c r="KS541" i="1"/>
  <c r="KR541" i="1"/>
  <c r="KQ541" i="1"/>
  <c r="KY540" i="1"/>
  <c r="KX540" i="1"/>
  <c r="KW540" i="1"/>
  <c r="KV540" i="1"/>
  <c r="KU540" i="1"/>
  <c r="KT540" i="1"/>
  <c r="KO540" i="1"/>
  <c r="KP540" i="1"/>
  <c r="KN540" i="1"/>
  <c r="KK540" i="1"/>
  <c r="KJ540" i="1"/>
  <c r="KG540" i="1"/>
  <c r="KH540" i="1"/>
  <c r="KF540" i="1"/>
  <c r="KC540" i="1"/>
  <c r="KB540" i="1"/>
  <c r="JY540" i="1"/>
  <c r="JX540" i="1"/>
  <c r="KS540" i="1"/>
  <c r="KR540" i="1"/>
  <c r="KQ540" i="1"/>
  <c r="KY539" i="1"/>
  <c r="KX539" i="1"/>
  <c r="KW539" i="1"/>
  <c r="KV539" i="1"/>
  <c r="KU539" i="1"/>
  <c r="KT539" i="1"/>
  <c r="KS539" i="1"/>
  <c r="KR539" i="1"/>
  <c r="KO539" i="1"/>
  <c r="KN539" i="1"/>
  <c r="KK539" i="1"/>
  <c r="KJ539" i="1"/>
  <c r="KG539" i="1"/>
  <c r="KF539" i="1"/>
  <c r="KC539" i="1"/>
  <c r="KB539" i="1"/>
  <c r="JY539" i="1"/>
  <c r="JX539" i="1"/>
  <c r="KQ539" i="1"/>
  <c r="KY538" i="1"/>
  <c r="KX538" i="1"/>
  <c r="KW538" i="1"/>
  <c r="KV538" i="1"/>
  <c r="KU538" i="1"/>
  <c r="KT538" i="1"/>
  <c r="KO538" i="1"/>
  <c r="KN538" i="1"/>
  <c r="KK538" i="1"/>
  <c r="KJ538" i="1"/>
  <c r="KG538" i="1"/>
  <c r="KF538" i="1"/>
  <c r="KC538" i="1"/>
  <c r="KB538" i="1"/>
  <c r="JY538" i="1"/>
  <c r="JX538" i="1"/>
  <c r="KS538" i="1"/>
  <c r="KR538" i="1"/>
  <c r="KQ538" i="1"/>
  <c r="KY537" i="1"/>
  <c r="KX537" i="1"/>
  <c r="KW537" i="1"/>
  <c r="KV537" i="1"/>
  <c r="KU537" i="1"/>
  <c r="KT537" i="1"/>
  <c r="KO537" i="1"/>
  <c r="KN537" i="1"/>
  <c r="KK537" i="1"/>
  <c r="KJ537" i="1"/>
  <c r="KG537" i="1"/>
  <c r="KF537" i="1"/>
  <c r="KC537" i="1"/>
  <c r="KB537" i="1"/>
  <c r="JY537" i="1"/>
  <c r="JX537" i="1"/>
  <c r="KS537" i="1"/>
  <c r="KR537" i="1"/>
  <c r="KQ537" i="1"/>
  <c r="KY536" i="1"/>
  <c r="KX536" i="1"/>
  <c r="KW536" i="1"/>
  <c r="KV536" i="1"/>
  <c r="KU536" i="1"/>
  <c r="KT536" i="1"/>
  <c r="KO536" i="1"/>
  <c r="KN536" i="1"/>
  <c r="KK536" i="1"/>
  <c r="KJ536" i="1"/>
  <c r="KG536" i="1"/>
  <c r="KF536" i="1"/>
  <c r="KC536" i="1"/>
  <c r="KB536" i="1"/>
  <c r="JY536" i="1"/>
  <c r="JX536" i="1"/>
  <c r="KS536" i="1"/>
  <c r="KR536" i="1"/>
  <c r="KQ536" i="1"/>
  <c r="KY535" i="1"/>
  <c r="KX535" i="1"/>
  <c r="KW535" i="1"/>
  <c r="KV535" i="1"/>
  <c r="KU535" i="1"/>
  <c r="KT535" i="1"/>
  <c r="KQ535" i="1"/>
  <c r="KO535" i="1"/>
  <c r="KN535" i="1"/>
  <c r="KK535" i="1"/>
  <c r="KJ535" i="1"/>
  <c r="KG535" i="1"/>
  <c r="KF535" i="1"/>
  <c r="KC535" i="1"/>
  <c r="KB535" i="1"/>
  <c r="JY535" i="1"/>
  <c r="JX535" i="1"/>
  <c r="KS535" i="1"/>
  <c r="KR535" i="1"/>
  <c r="KY534" i="1"/>
  <c r="KX534" i="1"/>
  <c r="KW534" i="1"/>
  <c r="KV534" i="1"/>
  <c r="KU534" i="1"/>
  <c r="KT534" i="1"/>
  <c r="KO534" i="1"/>
  <c r="KP534" i="1"/>
  <c r="KN534" i="1"/>
  <c r="KK534" i="1"/>
  <c r="KJ534" i="1"/>
  <c r="KG534" i="1"/>
  <c r="KF534" i="1"/>
  <c r="KC534" i="1"/>
  <c r="KB534" i="1"/>
  <c r="JY534" i="1"/>
  <c r="JZ534" i="1"/>
  <c r="JX534" i="1"/>
  <c r="KS534" i="1"/>
  <c r="KR534" i="1"/>
  <c r="KQ534" i="1"/>
  <c r="KY533" i="1"/>
  <c r="KX533" i="1"/>
  <c r="KW533" i="1"/>
  <c r="KV533" i="1"/>
  <c r="KU533" i="1"/>
  <c r="KT533" i="1"/>
  <c r="KS533" i="1"/>
  <c r="KR533" i="1"/>
  <c r="KQ533" i="1"/>
  <c r="KO533" i="1"/>
  <c r="KP533" i="1"/>
  <c r="KN533" i="1"/>
  <c r="KK533" i="1"/>
  <c r="KL533" i="1"/>
  <c r="KJ533" i="1"/>
  <c r="KG533" i="1"/>
  <c r="KH533" i="1"/>
  <c r="KF533" i="1"/>
  <c r="KC533" i="1"/>
  <c r="KB533" i="1"/>
  <c r="JY533" i="1"/>
  <c r="JZ533" i="1"/>
  <c r="JX533" i="1"/>
  <c r="KY532" i="1"/>
  <c r="KX532" i="1"/>
  <c r="KW532" i="1"/>
  <c r="KV532" i="1"/>
  <c r="KU532" i="1"/>
  <c r="KT532" i="1"/>
  <c r="KS532" i="1"/>
  <c r="KR532" i="1"/>
  <c r="KQ532" i="1"/>
  <c r="KO532" i="1"/>
  <c r="KN532" i="1"/>
  <c r="KK532" i="1"/>
  <c r="KJ532" i="1"/>
  <c r="KG532" i="1"/>
  <c r="KF532" i="1"/>
  <c r="KC532" i="1"/>
  <c r="KB532" i="1"/>
  <c r="JY532" i="1"/>
  <c r="JZ532" i="1"/>
  <c r="JX532" i="1"/>
  <c r="KY531" i="1"/>
  <c r="KX531" i="1"/>
  <c r="KW531" i="1"/>
  <c r="KV531" i="1"/>
  <c r="KU531" i="1"/>
  <c r="KT531" i="1"/>
  <c r="KS531" i="1"/>
  <c r="KR531" i="1"/>
  <c r="KQ531" i="1"/>
  <c r="KO531" i="1"/>
  <c r="KN531" i="1"/>
  <c r="KK531" i="1"/>
  <c r="KJ531" i="1"/>
  <c r="KG531" i="1"/>
  <c r="KF531" i="1"/>
  <c r="KC531" i="1"/>
  <c r="KD531" i="1"/>
  <c r="KB531" i="1"/>
  <c r="JY531" i="1"/>
  <c r="JX531" i="1"/>
  <c r="KY530" i="1"/>
  <c r="KX530" i="1"/>
  <c r="KW530" i="1"/>
  <c r="KV530" i="1"/>
  <c r="KU530" i="1"/>
  <c r="KT530" i="1"/>
  <c r="KO530" i="1"/>
  <c r="KN530" i="1"/>
  <c r="KK530" i="1"/>
  <c r="KJ530" i="1"/>
  <c r="KG530" i="1"/>
  <c r="KF530" i="1"/>
  <c r="KC530" i="1"/>
  <c r="KB530" i="1"/>
  <c r="JY530" i="1"/>
  <c r="JZ530" i="1"/>
  <c r="JX530" i="1"/>
  <c r="KS530" i="1"/>
  <c r="KR530" i="1"/>
  <c r="KQ530" i="1"/>
  <c r="KY529" i="1"/>
  <c r="KX529" i="1"/>
  <c r="KW529" i="1"/>
  <c r="KV529" i="1"/>
  <c r="KU529" i="1"/>
  <c r="KT529" i="1"/>
  <c r="KO529" i="1"/>
  <c r="KN529" i="1"/>
  <c r="KK529" i="1"/>
  <c r="KJ529" i="1"/>
  <c r="KG529" i="1"/>
  <c r="KF529" i="1"/>
  <c r="KC529" i="1"/>
  <c r="KB529" i="1"/>
  <c r="JY529" i="1"/>
  <c r="JX529" i="1"/>
  <c r="KS529" i="1"/>
  <c r="KR529" i="1"/>
  <c r="KQ529" i="1"/>
  <c r="KY528" i="1"/>
  <c r="KX528" i="1"/>
  <c r="KW528" i="1"/>
  <c r="KV528" i="1"/>
  <c r="KU528" i="1"/>
  <c r="KT528" i="1"/>
  <c r="KO528" i="1"/>
  <c r="KN528" i="1"/>
  <c r="KK528" i="1"/>
  <c r="KJ528" i="1"/>
  <c r="KG528" i="1"/>
  <c r="KF528" i="1"/>
  <c r="KC528" i="1"/>
  <c r="KB528" i="1"/>
  <c r="JY528" i="1"/>
  <c r="JX528" i="1"/>
  <c r="KS528" i="1"/>
  <c r="KR528" i="1"/>
  <c r="KQ528" i="1"/>
  <c r="KY527" i="1"/>
  <c r="KX527" i="1"/>
  <c r="KW527" i="1"/>
  <c r="KV527" i="1"/>
  <c r="KU527" i="1"/>
  <c r="KT527" i="1"/>
  <c r="KO527" i="1"/>
  <c r="KN527" i="1"/>
  <c r="KK527" i="1"/>
  <c r="KJ527" i="1"/>
  <c r="KG527" i="1"/>
  <c r="KF527" i="1"/>
  <c r="KC527" i="1"/>
  <c r="KB527" i="1"/>
  <c r="JY527" i="1"/>
  <c r="JX527" i="1"/>
  <c r="KS527" i="1"/>
  <c r="KR527" i="1"/>
  <c r="KQ527" i="1"/>
  <c r="KY526" i="1"/>
  <c r="KX526" i="1"/>
  <c r="KW526" i="1"/>
  <c r="KV526" i="1"/>
  <c r="KU526" i="1"/>
  <c r="KT526" i="1"/>
  <c r="KO526" i="1"/>
  <c r="KP526" i="1"/>
  <c r="KN526" i="1"/>
  <c r="KK526" i="1"/>
  <c r="KJ526" i="1"/>
  <c r="KG526" i="1"/>
  <c r="KH526" i="1"/>
  <c r="KF526" i="1"/>
  <c r="KC526" i="1"/>
  <c r="KB526" i="1"/>
  <c r="JY526" i="1"/>
  <c r="JZ526" i="1"/>
  <c r="JX526" i="1"/>
  <c r="KS526" i="1"/>
  <c r="KR526" i="1"/>
  <c r="KQ526" i="1"/>
  <c r="KY525" i="1"/>
  <c r="KX525" i="1"/>
  <c r="KW525" i="1"/>
  <c r="KV525" i="1"/>
  <c r="KU525" i="1"/>
  <c r="KT525" i="1"/>
  <c r="KS525" i="1"/>
  <c r="KO525" i="1"/>
  <c r="KP525" i="1"/>
  <c r="KN525" i="1"/>
  <c r="KK525" i="1"/>
  <c r="KJ525" i="1"/>
  <c r="KG525" i="1"/>
  <c r="KF525" i="1"/>
  <c r="KC525" i="1"/>
  <c r="KB525" i="1"/>
  <c r="JY525" i="1"/>
  <c r="JX525" i="1"/>
  <c r="KR525" i="1"/>
  <c r="KQ525" i="1"/>
  <c r="KY524" i="1"/>
  <c r="KX524" i="1"/>
  <c r="KW524" i="1"/>
  <c r="KV524" i="1"/>
  <c r="KU524" i="1"/>
  <c r="KT524" i="1"/>
  <c r="KO524" i="1"/>
  <c r="KN524" i="1"/>
  <c r="KK524" i="1"/>
  <c r="KJ524" i="1"/>
  <c r="KG524" i="1"/>
  <c r="KF524" i="1"/>
  <c r="KC524" i="1"/>
  <c r="KB524" i="1"/>
  <c r="JY524" i="1"/>
  <c r="JX524" i="1"/>
  <c r="KS524" i="1"/>
  <c r="KR524" i="1"/>
  <c r="KQ524" i="1"/>
  <c r="KY523" i="1"/>
  <c r="KX523" i="1"/>
  <c r="KW523" i="1"/>
  <c r="KV523" i="1"/>
  <c r="KU523" i="1"/>
  <c r="KT523" i="1"/>
  <c r="KS523" i="1"/>
  <c r="KO523" i="1"/>
  <c r="KN523" i="1"/>
  <c r="KK523" i="1"/>
  <c r="KJ523" i="1"/>
  <c r="KG523" i="1"/>
  <c r="KF523" i="1"/>
  <c r="KC523" i="1"/>
  <c r="KB523" i="1"/>
  <c r="JY523" i="1"/>
  <c r="JX523" i="1"/>
  <c r="KR523" i="1"/>
  <c r="KQ523" i="1"/>
  <c r="KY522" i="1"/>
  <c r="KX522" i="1"/>
  <c r="KW522" i="1"/>
  <c r="KV522" i="1"/>
  <c r="KU522" i="1"/>
  <c r="KT522" i="1"/>
  <c r="KO522" i="1"/>
  <c r="KN522" i="1"/>
  <c r="KK522" i="1"/>
  <c r="KJ522" i="1"/>
  <c r="KG522" i="1"/>
  <c r="KF522" i="1"/>
  <c r="KC522" i="1"/>
  <c r="KB522" i="1"/>
  <c r="JY522" i="1"/>
  <c r="JX522" i="1"/>
  <c r="KS522" i="1"/>
  <c r="KR522" i="1"/>
  <c r="KQ522" i="1"/>
  <c r="KY521" i="1"/>
  <c r="KX521" i="1"/>
  <c r="KW521" i="1"/>
  <c r="KV521" i="1"/>
  <c r="KU521" i="1"/>
  <c r="KT521" i="1"/>
  <c r="KS521" i="1"/>
  <c r="KR521" i="1"/>
  <c r="KQ521" i="1"/>
  <c r="KO521" i="1"/>
  <c r="KP521" i="1"/>
  <c r="KN521" i="1"/>
  <c r="KK521" i="1"/>
  <c r="KJ521" i="1"/>
  <c r="KG521" i="1"/>
  <c r="KF521" i="1"/>
  <c r="KC521" i="1"/>
  <c r="KB521" i="1"/>
  <c r="JY521" i="1"/>
  <c r="JX521" i="1"/>
  <c r="KY520" i="1"/>
  <c r="KX520" i="1"/>
  <c r="KW520" i="1"/>
  <c r="KV520" i="1"/>
  <c r="KU520" i="1"/>
  <c r="KT520" i="1"/>
  <c r="KO520" i="1"/>
  <c r="KN520" i="1"/>
  <c r="KK520" i="1"/>
  <c r="KL520" i="1"/>
  <c r="KJ520" i="1"/>
  <c r="KG520" i="1"/>
  <c r="KF520" i="1"/>
  <c r="KC520" i="1"/>
  <c r="KB520" i="1"/>
  <c r="JY520" i="1"/>
  <c r="JX520" i="1"/>
  <c r="KS520" i="1"/>
  <c r="KR520" i="1"/>
  <c r="KQ520" i="1"/>
  <c r="KY519" i="1"/>
  <c r="KX519" i="1"/>
  <c r="KW519" i="1"/>
  <c r="KV519" i="1"/>
  <c r="KU519" i="1"/>
  <c r="KT519" i="1"/>
  <c r="KS519" i="1"/>
  <c r="KO519" i="1"/>
  <c r="KN519" i="1"/>
  <c r="KK519" i="1"/>
  <c r="KJ519" i="1"/>
  <c r="KG519" i="1"/>
  <c r="KF519" i="1"/>
  <c r="KC519" i="1"/>
  <c r="KD519" i="1"/>
  <c r="KB519" i="1"/>
  <c r="JY519" i="1"/>
  <c r="JX519" i="1"/>
  <c r="KR519" i="1"/>
  <c r="KQ519" i="1"/>
  <c r="KY518" i="1"/>
  <c r="KX518" i="1"/>
  <c r="KW518" i="1"/>
  <c r="KV518" i="1"/>
  <c r="KU518" i="1"/>
  <c r="KT518" i="1"/>
  <c r="KO518" i="1"/>
  <c r="KP518" i="1"/>
  <c r="KN518" i="1"/>
  <c r="KK518" i="1"/>
  <c r="KJ518" i="1"/>
  <c r="KG518" i="1"/>
  <c r="KH518" i="1"/>
  <c r="KF518" i="1"/>
  <c r="KC518" i="1"/>
  <c r="KB518" i="1"/>
  <c r="JY518" i="1"/>
  <c r="JZ518" i="1"/>
  <c r="JX518" i="1"/>
  <c r="KS518" i="1"/>
  <c r="KR518" i="1"/>
  <c r="KQ518" i="1"/>
  <c r="KY517" i="1"/>
  <c r="KX517" i="1"/>
  <c r="KW517" i="1"/>
  <c r="KV517" i="1"/>
  <c r="KU517" i="1"/>
  <c r="KT517" i="1"/>
  <c r="KQ517" i="1"/>
  <c r="KO517" i="1"/>
  <c r="KN517" i="1"/>
  <c r="KK517" i="1"/>
  <c r="KJ517" i="1"/>
  <c r="KG517" i="1"/>
  <c r="KF517" i="1"/>
  <c r="KC517" i="1"/>
  <c r="KB517" i="1"/>
  <c r="JY517" i="1"/>
  <c r="JX517" i="1"/>
  <c r="KS517" i="1"/>
  <c r="KR517" i="1"/>
  <c r="KY516" i="1"/>
  <c r="KX516" i="1"/>
  <c r="KW516" i="1"/>
  <c r="KV516" i="1"/>
  <c r="KU516" i="1"/>
  <c r="KT516" i="1"/>
  <c r="KO516" i="1"/>
  <c r="KP516" i="1"/>
  <c r="KN516" i="1"/>
  <c r="KK516" i="1"/>
  <c r="KL516" i="1"/>
  <c r="KJ516" i="1"/>
  <c r="KG516" i="1"/>
  <c r="KH516" i="1"/>
  <c r="KF516" i="1"/>
  <c r="KC516" i="1"/>
  <c r="KD516" i="1"/>
  <c r="KB516" i="1"/>
  <c r="JY516" i="1"/>
  <c r="JZ516" i="1"/>
  <c r="JX516" i="1"/>
  <c r="KS516" i="1"/>
  <c r="KR516" i="1"/>
  <c r="KQ516" i="1"/>
  <c r="KY515" i="1"/>
  <c r="KX515" i="1"/>
  <c r="KW515" i="1"/>
  <c r="KV515" i="1"/>
  <c r="KU515" i="1"/>
  <c r="KT515" i="1"/>
  <c r="KS515" i="1"/>
  <c r="KO515" i="1"/>
  <c r="KP515" i="1"/>
  <c r="KN515" i="1"/>
  <c r="KK515" i="1"/>
  <c r="KJ515" i="1"/>
  <c r="KG515" i="1"/>
  <c r="KH515" i="1"/>
  <c r="KF515" i="1"/>
  <c r="KC515" i="1"/>
  <c r="KB515" i="1"/>
  <c r="JY515" i="1"/>
  <c r="JZ515" i="1"/>
  <c r="JX515" i="1"/>
  <c r="KR515" i="1"/>
  <c r="KQ515" i="1"/>
  <c r="KY514" i="1"/>
  <c r="KX514" i="1"/>
  <c r="KW514" i="1"/>
  <c r="KV514" i="1"/>
  <c r="KU514" i="1"/>
  <c r="KT514" i="1"/>
  <c r="KS514" i="1"/>
  <c r="KO514" i="1"/>
  <c r="KN514" i="1"/>
  <c r="KK514" i="1"/>
  <c r="KJ514" i="1"/>
  <c r="KG514" i="1"/>
  <c r="KF514" i="1"/>
  <c r="KC514" i="1"/>
  <c r="KB514" i="1"/>
  <c r="JY514" i="1"/>
  <c r="JX514" i="1"/>
  <c r="KR514" i="1"/>
  <c r="KQ514" i="1"/>
  <c r="KY513" i="1"/>
  <c r="KX513" i="1"/>
  <c r="KW513" i="1"/>
  <c r="KV513" i="1"/>
  <c r="KU513" i="1"/>
  <c r="KT513" i="1"/>
  <c r="KQ513" i="1"/>
  <c r="KO513" i="1"/>
  <c r="KN513" i="1"/>
  <c r="KK513" i="1"/>
  <c r="KJ513" i="1"/>
  <c r="KG513" i="1"/>
  <c r="KF513" i="1"/>
  <c r="KC513" i="1"/>
  <c r="KD513" i="1"/>
  <c r="KB513" i="1"/>
  <c r="JY513" i="1"/>
  <c r="JX513" i="1"/>
  <c r="KS513" i="1"/>
  <c r="KR513" i="1"/>
  <c r="KY512" i="1"/>
  <c r="KX512" i="1"/>
  <c r="KW512" i="1"/>
  <c r="KV512" i="1"/>
  <c r="KU512" i="1"/>
  <c r="KT512" i="1"/>
  <c r="KO512" i="1"/>
  <c r="KN512" i="1"/>
  <c r="KK512" i="1"/>
  <c r="KJ512" i="1"/>
  <c r="KG512" i="1"/>
  <c r="KH512" i="1"/>
  <c r="KF512" i="1"/>
  <c r="KC512" i="1"/>
  <c r="KB512" i="1"/>
  <c r="JY512" i="1"/>
  <c r="JZ512" i="1"/>
  <c r="JX512" i="1"/>
  <c r="KS512" i="1"/>
  <c r="KR512" i="1"/>
  <c r="KQ512" i="1"/>
  <c r="KY511" i="1"/>
  <c r="KX511" i="1"/>
  <c r="KW511" i="1"/>
  <c r="KV511" i="1"/>
  <c r="KU511" i="1"/>
  <c r="KT511" i="1"/>
  <c r="KS511" i="1"/>
  <c r="KO511" i="1"/>
  <c r="KP511" i="1"/>
  <c r="KN511" i="1"/>
  <c r="KK511" i="1"/>
  <c r="KJ511" i="1"/>
  <c r="KG511" i="1"/>
  <c r="KF511" i="1"/>
  <c r="KC511" i="1"/>
  <c r="KB511" i="1"/>
  <c r="JY511" i="1"/>
  <c r="JZ511" i="1"/>
  <c r="JX511" i="1"/>
  <c r="KR511" i="1"/>
  <c r="KQ511" i="1"/>
  <c r="KY510" i="1"/>
  <c r="KX510" i="1"/>
  <c r="KW510" i="1"/>
  <c r="KV510" i="1"/>
  <c r="KU510" i="1"/>
  <c r="KT510" i="1"/>
  <c r="KS510" i="1"/>
  <c r="KR510" i="1"/>
  <c r="KO510" i="1"/>
  <c r="KN510" i="1"/>
  <c r="KK510" i="1"/>
  <c r="KJ510" i="1"/>
  <c r="KG510" i="1"/>
  <c r="KF510" i="1"/>
  <c r="KC510" i="1"/>
  <c r="KB510" i="1"/>
  <c r="JY510" i="1"/>
  <c r="JX510" i="1"/>
  <c r="KQ510" i="1"/>
  <c r="KY509" i="1"/>
  <c r="KX509" i="1"/>
  <c r="KW509" i="1"/>
  <c r="KV509" i="1"/>
  <c r="KU509" i="1"/>
  <c r="KT509" i="1"/>
  <c r="KS509" i="1"/>
  <c r="KR509" i="1"/>
  <c r="KQ509" i="1"/>
  <c r="KO509" i="1"/>
  <c r="KN509" i="1"/>
  <c r="KK509" i="1"/>
  <c r="KJ509" i="1"/>
  <c r="KG509" i="1"/>
  <c r="KF509" i="1"/>
  <c r="KC509" i="1"/>
  <c r="KB509" i="1"/>
  <c r="JY509" i="1"/>
  <c r="JX509" i="1"/>
  <c r="KY508" i="1"/>
  <c r="KX508" i="1"/>
  <c r="KW508" i="1"/>
  <c r="KV508" i="1"/>
  <c r="KU508" i="1"/>
  <c r="KT508" i="1"/>
  <c r="KS508" i="1"/>
  <c r="KQ508" i="1"/>
  <c r="KO508" i="1"/>
  <c r="KN508" i="1"/>
  <c r="KK508" i="1"/>
  <c r="KJ508" i="1"/>
  <c r="KG508" i="1"/>
  <c r="KF508" i="1"/>
  <c r="KC508" i="1"/>
  <c r="KB508" i="1"/>
  <c r="JY508" i="1"/>
  <c r="JZ508" i="1"/>
  <c r="JX508" i="1"/>
  <c r="KR508" i="1"/>
  <c r="KY507" i="1"/>
  <c r="KX507" i="1"/>
  <c r="KW507" i="1"/>
  <c r="KV507" i="1"/>
  <c r="KU507" i="1"/>
  <c r="KT507" i="1"/>
  <c r="KQ507" i="1"/>
  <c r="KO507" i="1"/>
  <c r="KN507" i="1"/>
  <c r="KK507" i="1"/>
  <c r="KJ507" i="1"/>
  <c r="KG507" i="1"/>
  <c r="KF507" i="1"/>
  <c r="KC507" i="1"/>
  <c r="KB507" i="1"/>
  <c r="JY507" i="1"/>
  <c r="JX507" i="1"/>
  <c r="KS507" i="1"/>
  <c r="KR507" i="1"/>
  <c r="KY506" i="1"/>
  <c r="KX506" i="1"/>
  <c r="KW506" i="1"/>
  <c r="KV506" i="1"/>
  <c r="KU506" i="1"/>
  <c r="KT506" i="1"/>
  <c r="KO506" i="1"/>
  <c r="KN506" i="1"/>
  <c r="KK506" i="1"/>
  <c r="KJ506" i="1"/>
  <c r="KG506" i="1"/>
  <c r="KF506" i="1"/>
  <c r="KC506" i="1"/>
  <c r="KB506" i="1"/>
  <c r="JY506" i="1"/>
  <c r="JX506" i="1"/>
  <c r="KS506" i="1"/>
  <c r="KR506" i="1"/>
  <c r="KQ506" i="1"/>
  <c r="KY505" i="1"/>
  <c r="KX505" i="1"/>
  <c r="KW505" i="1"/>
  <c r="KV505" i="1"/>
  <c r="KU505" i="1"/>
  <c r="KT505" i="1"/>
  <c r="KS505" i="1"/>
  <c r="KN505" i="1"/>
  <c r="KK505" i="1"/>
  <c r="KJ505" i="1"/>
  <c r="KG505" i="1"/>
  <c r="KF505" i="1"/>
  <c r="KC505" i="1"/>
  <c r="KB505" i="1"/>
  <c r="JY505" i="1"/>
  <c r="JX505" i="1"/>
  <c r="KR505" i="1"/>
  <c r="KQ505" i="1"/>
  <c r="HB954" i="1"/>
  <c r="GX954" i="1"/>
  <c r="KY504" i="1"/>
  <c r="KX504" i="1"/>
  <c r="KW504" i="1"/>
  <c r="KV504" i="1"/>
  <c r="KU504" i="1"/>
  <c r="KT504" i="1"/>
  <c r="KO504" i="1"/>
  <c r="KP504" i="1"/>
  <c r="KN504" i="1"/>
  <c r="KK504" i="1"/>
  <c r="KL504" i="1"/>
  <c r="KJ504" i="1"/>
  <c r="KG504" i="1"/>
  <c r="KH504" i="1"/>
  <c r="KF504" i="1"/>
  <c r="KC504" i="1"/>
  <c r="KB504" i="1"/>
  <c r="JY504" i="1"/>
  <c r="JZ504" i="1"/>
  <c r="JX504" i="1"/>
  <c r="KS504" i="1"/>
  <c r="KR504" i="1"/>
  <c r="KQ504" i="1"/>
  <c r="KY503" i="1"/>
  <c r="KX503" i="1"/>
  <c r="KW503" i="1"/>
  <c r="KV503" i="1"/>
  <c r="KU503" i="1"/>
  <c r="KT503" i="1"/>
  <c r="KS503" i="1"/>
  <c r="KO503" i="1"/>
  <c r="KP503" i="1"/>
  <c r="KN503" i="1"/>
  <c r="KK503" i="1"/>
  <c r="KJ503" i="1"/>
  <c r="KG503" i="1"/>
  <c r="KH503" i="1"/>
  <c r="KF503" i="1"/>
  <c r="KC503" i="1"/>
  <c r="KB503" i="1"/>
  <c r="JY503" i="1"/>
  <c r="JZ503" i="1"/>
  <c r="JX503" i="1"/>
  <c r="KR503" i="1"/>
  <c r="KQ503" i="1"/>
  <c r="KY502" i="1"/>
  <c r="KX502" i="1"/>
  <c r="KW502" i="1"/>
  <c r="KV502" i="1"/>
  <c r="KU502" i="1"/>
  <c r="KT502" i="1"/>
  <c r="KS502" i="1"/>
  <c r="KO502" i="1"/>
  <c r="KN502" i="1"/>
  <c r="KK502" i="1"/>
  <c r="KJ502" i="1"/>
  <c r="KG502" i="1"/>
  <c r="KF502" i="1"/>
  <c r="KC502" i="1"/>
  <c r="KB502" i="1"/>
  <c r="JY502" i="1"/>
  <c r="JX502" i="1"/>
  <c r="KR502" i="1"/>
  <c r="KQ502" i="1"/>
  <c r="KY501" i="1"/>
  <c r="KX501" i="1"/>
  <c r="KW501" i="1"/>
  <c r="KV501" i="1"/>
  <c r="KU501" i="1"/>
  <c r="KT501" i="1"/>
  <c r="KO501" i="1"/>
  <c r="KN501" i="1"/>
  <c r="KK501" i="1"/>
  <c r="KJ501" i="1"/>
  <c r="KG501" i="1"/>
  <c r="KF501" i="1"/>
  <c r="KC501" i="1"/>
  <c r="KB501" i="1"/>
  <c r="JY501" i="1"/>
  <c r="JX501" i="1"/>
  <c r="KS501" i="1"/>
  <c r="KR501" i="1"/>
  <c r="KQ501" i="1"/>
  <c r="KY500" i="1"/>
  <c r="KX500" i="1"/>
  <c r="KW500" i="1"/>
  <c r="KV500" i="1"/>
  <c r="KU500" i="1"/>
  <c r="KT500" i="1"/>
  <c r="KO500" i="1"/>
  <c r="KP500" i="1"/>
  <c r="KN500" i="1"/>
  <c r="KK500" i="1"/>
  <c r="KJ500" i="1"/>
  <c r="KG500" i="1"/>
  <c r="KH500" i="1"/>
  <c r="KF500" i="1"/>
  <c r="KC500" i="1"/>
  <c r="KB500" i="1"/>
  <c r="JY500" i="1"/>
  <c r="JZ500" i="1"/>
  <c r="JX500" i="1"/>
  <c r="KS500" i="1"/>
  <c r="KR500" i="1"/>
  <c r="KQ500" i="1"/>
  <c r="KY499" i="1"/>
  <c r="KX499" i="1"/>
  <c r="KW499" i="1"/>
  <c r="KV499" i="1"/>
  <c r="KU499" i="1"/>
  <c r="KT499" i="1"/>
  <c r="KS499" i="1"/>
  <c r="KO499" i="1"/>
  <c r="KP499" i="1"/>
  <c r="KN499" i="1"/>
  <c r="KK499" i="1"/>
  <c r="KJ499" i="1"/>
  <c r="KG499" i="1"/>
  <c r="KH499" i="1"/>
  <c r="KF499" i="1"/>
  <c r="KC499" i="1"/>
  <c r="KB499" i="1"/>
  <c r="JY499" i="1"/>
  <c r="JZ499" i="1"/>
  <c r="JX499" i="1"/>
  <c r="KR499" i="1"/>
  <c r="KQ499" i="1"/>
  <c r="KY498" i="1"/>
  <c r="KX498" i="1"/>
  <c r="KW498" i="1"/>
  <c r="KV498" i="1"/>
  <c r="KU498" i="1"/>
  <c r="KT498" i="1"/>
  <c r="KS498" i="1"/>
  <c r="KR498" i="1"/>
  <c r="KO498" i="1"/>
  <c r="KN498" i="1"/>
  <c r="KK498" i="1"/>
  <c r="KJ498" i="1"/>
  <c r="KG498" i="1"/>
  <c r="KF498" i="1"/>
  <c r="KC498" i="1"/>
  <c r="KB498" i="1"/>
  <c r="JY498" i="1"/>
  <c r="JX498" i="1"/>
  <c r="KQ498" i="1"/>
  <c r="KY497" i="1"/>
  <c r="KX497" i="1"/>
  <c r="KW497" i="1"/>
  <c r="KV497" i="1"/>
  <c r="KU497" i="1"/>
  <c r="KT497" i="1"/>
  <c r="KQ497" i="1"/>
  <c r="KO497" i="1"/>
  <c r="KN497" i="1"/>
  <c r="KK497" i="1"/>
  <c r="KJ497" i="1"/>
  <c r="KG497" i="1"/>
  <c r="KF497" i="1"/>
  <c r="KC497" i="1"/>
  <c r="KB497" i="1"/>
  <c r="JY497" i="1"/>
  <c r="JX497" i="1"/>
  <c r="KS497" i="1"/>
  <c r="KR497" i="1"/>
  <c r="KY496" i="1"/>
  <c r="KX496" i="1"/>
  <c r="KW496" i="1"/>
  <c r="KV496" i="1"/>
  <c r="KU496" i="1"/>
  <c r="KT496" i="1"/>
  <c r="KO496" i="1"/>
  <c r="KP496" i="1"/>
  <c r="KN496" i="1"/>
  <c r="KK496" i="1"/>
  <c r="KJ496" i="1"/>
  <c r="KG496" i="1"/>
  <c r="KH496" i="1"/>
  <c r="KF496" i="1"/>
  <c r="KC496" i="1"/>
  <c r="KB496" i="1"/>
  <c r="JY496" i="1"/>
  <c r="JZ496" i="1"/>
  <c r="JX496" i="1"/>
  <c r="KS496" i="1"/>
  <c r="KR496" i="1"/>
  <c r="KQ496" i="1"/>
  <c r="KY495" i="1"/>
  <c r="KX495" i="1"/>
  <c r="KW495" i="1"/>
  <c r="KV495" i="1"/>
  <c r="KU495" i="1"/>
  <c r="KT495" i="1"/>
  <c r="KS495" i="1"/>
  <c r="KO495" i="1"/>
  <c r="KP495" i="1"/>
  <c r="KN495" i="1"/>
  <c r="KK495" i="1"/>
  <c r="KJ495" i="1"/>
  <c r="KG495" i="1"/>
  <c r="KH495" i="1"/>
  <c r="KF495" i="1"/>
  <c r="KC495" i="1"/>
  <c r="KB495" i="1"/>
  <c r="JY495" i="1"/>
  <c r="JZ495" i="1"/>
  <c r="JX495" i="1"/>
  <c r="KR495" i="1"/>
  <c r="KQ495" i="1"/>
  <c r="KY494" i="1"/>
  <c r="KX494" i="1"/>
  <c r="KW494" i="1"/>
  <c r="KV494" i="1"/>
  <c r="KU494" i="1"/>
  <c r="KT494" i="1"/>
  <c r="KR494" i="1"/>
  <c r="KO494" i="1"/>
  <c r="KN494" i="1"/>
  <c r="KK494" i="1"/>
  <c r="KJ494" i="1"/>
  <c r="KG494" i="1"/>
  <c r="KF494" i="1"/>
  <c r="KC494" i="1"/>
  <c r="KB494" i="1"/>
  <c r="JY494" i="1"/>
  <c r="JX494" i="1"/>
  <c r="KS494" i="1"/>
  <c r="KQ494" i="1"/>
  <c r="KY493" i="1"/>
  <c r="KX493" i="1"/>
  <c r="KW493" i="1"/>
  <c r="KV493" i="1"/>
  <c r="KU493" i="1"/>
  <c r="KT493" i="1"/>
  <c r="KO493" i="1"/>
  <c r="KN493" i="1"/>
  <c r="KK493" i="1"/>
  <c r="KJ493" i="1"/>
  <c r="KG493" i="1"/>
  <c r="KF493" i="1"/>
  <c r="KC493" i="1"/>
  <c r="KB493" i="1"/>
  <c r="JY493" i="1"/>
  <c r="JX493" i="1"/>
  <c r="KS493" i="1"/>
  <c r="KR493" i="1"/>
  <c r="KQ493" i="1"/>
  <c r="KY492" i="1"/>
  <c r="KX492" i="1"/>
  <c r="KW492" i="1"/>
  <c r="KV492" i="1"/>
  <c r="KU492" i="1"/>
  <c r="KT492" i="1"/>
  <c r="KO492" i="1"/>
  <c r="KN492" i="1"/>
  <c r="KK492" i="1"/>
  <c r="KJ492" i="1"/>
  <c r="KL492" i="1"/>
  <c r="KG492" i="1"/>
  <c r="KF492" i="1"/>
  <c r="KC492" i="1"/>
  <c r="KB492" i="1"/>
  <c r="JY492" i="1"/>
  <c r="JZ492" i="1"/>
  <c r="JX492" i="1"/>
  <c r="KS492" i="1"/>
  <c r="KR492" i="1"/>
  <c r="KQ492" i="1"/>
  <c r="KY491" i="1"/>
  <c r="KX491" i="1"/>
  <c r="KW491" i="1"/>
  <c r="KV491" i="1"/>
  <c r="KU491" i="1"/>
  <c r="KT491" i="1"/>
  <c r="KS491" i="1"/>
  <c r="KO491" i="1"/>
  <c r="KN491" i="1"/>
  <c r="KK491" i="1"/>
  <c r="KJ491" i="1"/>
  <c r="KG491" i="1"/>
  <c r="KF491" i="1"/>
  <c r="KC491" i="1"/>
  <c r="KB491" i="1"/>
  <c r="JY491" i="1"/>
  <c r="JX491" i="1"/>
  <c r="KR491" i="1"/>
  <c r="KQ491" i="1"/>
  <c r="KY490" i="1"/>
  <c r="KX490" i="1"/>
  <c r="KW490" i="1"/>
  <c r="KV490" i="1"/>
  <c r="KU490" i="1"/>
  <c r="KT490" i="1"/>
  <c r="KO490" i="1"/>
  <c r="KN490" i="1"/>
  <c r="KK490" i="1"/>
  <c r="KJ490" i="1"/>
  <c r="KG490" i="1"/>
  <c r="KF490" i="1"/>
  <c r="KC490" i="1"/>
  <c r="KB490" i="1"/>
  <c r="JY490" i="1"/>
  <c r="JX490" i="1"/>
  <c r="KS490" i="1"/>
  <c r="KR490" i="1"/>
  <c r="KQ490" i="1"/>
  <c r="KY489" i="1"/>
  <c r="KX489" i="1"/>
  <c r="KW489" i="1"/>
  <c r="KV489" i="1"/>
  <c r="KU489" i="1"/>
  <c r="KT489" i="1"/>
  <c r="KO489" i="1"/>
  <c r="KN489" i="1"/>
  <c r="KK489" i="1"/>
  <c r="KJ489" i="1"/>
  <c r="KG489" i="1"/>
  <c r="KF489" i="1"/>
  <c r="KC489" i="1"/>
  <c r="KB489" i="1"/>
  <c r="JY489" i="1"/>
  <c r="JX489" i="1"/>
  <c r="KS489" i="1"/>
  <c r="KR489" i="1"/>
  <c r="KQ489" i="1"/>
  <c r="KY488" i="1"/>
  <c r="KX488" i="1"/>
  <c r="KW488" i="1"/>
  <c r="KV488" i="1"/>
  <c r="KU488" i="1"/>
  <c r="KT488" i="1"/>
  <c r="KP488" i="1"/>
  <c r="KO488" i="1"/>
  <c r="KN488" i="1"/>
  <c r="KK488" i="1"/>
  <c r="KL488" i="1"/>
  <c r="KJ488" i="1"/>
  <c r="KG488" i="1"/>
  <c r="KF488" i="1"/>
  <c r="KC488" i="1"/>
  <c r="KB488" i="1"/>
  <c r="JY488" i="1"/>
  <c r="JX488" i="1"/>
  <c r="KS488" i="1"/>
  <c r="KR488" i="1"/>
  <c r="KQ488" i="1"/>
  <c r="KY487" i="1"/>
  <c r="KX487" i="1"/>
  <c r="KW487" i="1"/>
  <c r="KV487" i="1"/>
  <c r="KU487" i="1"/>
  <c r="KT487" i="1"/>
  <c r="KS487" i="1"/>
  <c r="KO487" i="1"/>
  <c r="KP487" i="1"/>
  <c r="KN487" i="1"/>
  <c r="KK487" i="1"/>
  <c r="KL487" i="1"/>
  <c r="KJ487" i="1"/>
  <c r="KG487" i="1"/>
  <c r="KH487" i="1"/>
  <c r="KF487" i="1"/>
  <c r="KC487" i="1"/>
  <c r="KD487" i="1"/>
  <c r="KB487" i="1"/>
  <c r="JY487" i="1"/>
  <c r="JZ487" i="1"/>
  <c r="JX487" i="1"/>
  <c r="KR487" i="1"/>
  <c r="KQ487" i="1"/>
  <c r="KY486" i="1"/>
  <c r="KX486" i="1"/>
  <c r="KW486" i="1"/>
  <c r="KV486" i="1"/>
  <c r="KU486" i="1"/>
  <c r="KT486" i="1"/>
  <c r="KR486" i="1"/>
  <c r="KO486" i="1"/>
  <c r="KN486" i="1"/>
  <c r="KK486" i="1"/>
  <c r="KJ486" i="1"/>
  <c r="KG486" i="1"/>
  <c r="KF486" i="1"/>
  <c r="KC486" i="1"/>
  <c r="KB486" i="1"/>
  <c r="JY486" i="1"/>
  <c r="JX486" i="1"/>
  <c r="KS486" i="1"/>
  <c r="KQ486" i="1"/>
  <c r="KY485" i="1"/>
  <c r="KX485" i="1"/>
  <c r="KW485" i="1"/>
  <c r="KV485" i="1"/>
  <c r="KU485" i="1"/>
  <c r="KT485" i="1"/>
  <c r="KQ485" i="1"/>
  <c r="KO485" i="1"/>
  <c r="KN485" i="1"/>
  <c r="KK485" i="1"/>
  <c r="KJ485" i="1"/>
  <c r="KG485" i="1"/>
  <c r="KF485" i="1"/>
  <c r="KC485" i="1"/>
  <c r="KB485" i="1"/>
  <c r="JY485" i="1"/>
  <c r="JX485" i="1"/>
  <c r="KS485" i="1"/>
  <c r="KR485" i="1"/>
  <c r="KY484" i="1"/>
  <c r="KX484" i="1"/>
  <c r="KW484" i="1"/>
  <c r="KV484" i="1"/>
  <c r="KU484" i="1"/>
  <c r="KT484" i="1"/>
  <c r="KS484" i="1"/>
  <c r="KO484" i="1"/>
  <c r="KN484" i="1"/>
  <c r="KK484" i="1"/>
  <c r="KL484" i="1"/>
  <c r="KJ484" i="1"/>
  <c r="KG484" i="1"/>
  <c r="KF484" i="1"/>
  <c r="KC484" i="1"/>
  <c r="KB484" i="1"/>
  <c r="JY484" i="1"/>
  <c r="JX484" i="1"/>
  <c r="KR484" i="1"/>
  <c r="KQ484" i="1"/>
  <c r="KY483" i="1"/>
  <c r="KX483" i="1"/>
  <c r="KW483" i="1"/>
  <c r="KV483" i="1"/>
  <c r="KU483" i="1"/>
  <c r="KT483" i="1"/>
  <c r="KS483" i="1"/>
  <c r="KO483" i="1"/>
  <c r="KN483" i="1"/>
  <c r="KK483" i="1"/>
  <c r="KJ483" i="1"/>
  <c r="KG483" i="1"/>
  <c r="KF483" i="1"/>
  <c r="KC483" i="1"/>
  <c r="KB483" i="1"/>
  <c r="JY483" i="1"/>
  <c r="JX483" i="1"/>
  <c r="KR483" i="1"/>
  <c r="KQ483" i="1"/>
  <c r="KY482" i="1"/>
  <c r="KX482" i="1"/>
  <c r="KW482" i="1"/>
  <c r="KV482" i="1"/>
  <c r="KU482" i="1"/>
  <c r="KT482" i="1"/>
  <c r="KR482" i="1"/>
  <c r="KO482" i="1"/>
  <c r="KN482" i="1"/>
  <c r="KK482" i="1"/>
  <c r="KJ482" i="1"/>
  <c r="KG482" i="1"/>
  <c r="KF482" i="1"/>
  <c r="KC482" i="1"/>
  <c r="KB482" i="1"/>
  <c r="JY482" i="1"/>
  <c r="JX482" i="1"/>
  <c r="KS482" i="1"/>
  <c r="KQ482" i="1"/>
  <c r="KY481" i="1"/>
  <c r="KX481" i="1"/>
  <c r="KW481" i="1"/>
  <c r="KV481" i="1"/>
  <c r="KU481" i="1"/>
  <c r="KT481" i="1"/>
  <c r="KO481" i="1"/>
  <c r="KN481" i="1"/>
  <c r="KK481" i="1"/>
  <c r="KJ481" i="1"/>
  <c r="KG481" i="1"/>
  <c r="KF481" i="1"/>
  <c r="KC481" i="1"/>
  <c r="KB481" i="1"/>
  <c r="JY481" i="1"/>
  <c r="JX481" i="1"/>
  <c r="KS481" i="1"/>
  <c r="KR481" i="1"/>
  <c r="KQ481" i="1"/>
  <c r="KY480" i="1"/>
  <c r="KX480" i="1"/>
  <c r="KW480" i="1"/>
  <c r="KV480" i="1"/>
  <c r="KU480" i="1"/>
  <c r="KT480" i="1"/>
  <c r="KS480" i="1"/>
  <c r="KO480" i="1"/>
  <c r="KN480" i="1"/>
  <c r="KK480" i="1"/>
  <c r="KJ480" i="1"/>
  <c r="KG480" i="1"/>
  <c r="KF480" i="1"/>
  <c r="KC480" i="1"/>
  <c r="KB480" i="1"/>
  <c r="JY480" i="1"/>
  <c r="JX480" i="1"/>
  <c r="KR480" i="1"/>
  <c r="KQ480" i="1"/>
  <c r="KY479" i="1"/>
  <c r="KX479" i="1"/>
  <c r="KW479" i="1"/>
  <c r="KV479" i="1"/>
  <c r="KU479" i="1"/>
  <c r="KT479" i="1"/>
  <c r="KS479" i="1"/>
  <c r="KO479" i="1"/>
  <c r="KN479" i="1"/>
  <c r="KK479" i="1"/>
  <c r="KJ479" i="1"/>
  <c r="KG479" i="1"/>
  <c r="KF479" i="1"/>
  <c r="KC479" i="1"/>
  <c r="KB479" i="1"/>
  <c r="JY479" i="1"/>
  <c r="JX479" i="1"/>
  <c r="KR479" i="1"/>
  <c r="KQ479" i="1"/>
  <c r="KY478" i="1"/>
  <c r="KX478" i="1"/>
  <c r="KW478" i="1"/>
  <c r="KV478" i="1"/>
  <c r="KU478" i="1"/>
  <c r="KT478" i="1"/>
  <c r="KQ478" i="1"/>
  <c r="KO478" i="1"/>
  <c r="KN478" i="1"/>
  <c r="KK478" i="1"/>
  <c r="KJ478" i="1"/>
  <c r="KG478" i="1"/>
  <c r="KF478" i="1"/>
  <c r="KC478" i="1"/>
  <c r="KB478" i="1"/>
  <c r="JY478" i="1"/>
  <c r="JX478" i="1"/>
  <c r="KS478" i="1"/>
  <c r="KR478" i="1"/>
  <c r="KY477" i="1"/>
  <c r="KX477" i="1"/>
  <c r="KW477" i="1"/>
  <c r="KV477" i="1"/>
  <c r="KU477" i="1"/>
  <c r="KT477" i="1"/>
  <c r="KO477" i="1"/>
  <c r="KN477" i="1"/>
  <c r="KK477" i="1"/>
  <c r="KL477" i="1"/>
  <c r="KJ477" i="1"/>
  <c r="KG477" i="1"/>
  <c r="KF477" i="1"/>
  <c r="KC477" i="1"/>
  <c r="KB477" i="1"/>
  <c r="JY477" i="1"/>
  <c r="JX477" i="1"/>
  <c r="KS477" i="1"/>
  <c r="KR477" i="1"/>
  <c r="KQ477" i="1"/>
  <c r="KY476" i="1"/>
  <c r="KX476" i="1"/>
  <c r="KW476" i="1"/>
  <c r="KV476" i="1"/>
  <c r="KU476" i="1"/>
  <c r="KT476" i="1"/>
  <c r="KO476" i="1"/>
  <c r="KN476" i="1"/>
  <c r="KK476" i="1"/>
  <c r="KJ476" i="1"/>
  <c r="KG476" i="1"/>
  <c r="KF476" i="1"/>
  <c r="KC476" i="1"/>
  <c r="KB476" i="1"/>
  <c r="JY476" i="1"/>
  <c r="JZ476" i="1"/>
  <c r="JX476" i="1"/>
  <c r="KS476" i="1"/>
  <c r="KR476" i="1"/>
  <c r="KQ476" i="1"/>
  <c r="KY475" i="1"/>
  <c r="KX475" i="1"/>
  <c r="KW475" i="1"/>
  <c r="KV475" i="1"/>
  <c r="KU475" i="1"/>
  <c r="KT475" i="1"/>
  <c r="KO475" i="1"/>
  <c r="KN475" i="1"/>
  <c r="KK475" i="1"/>
  <c r="KJ475" i="1"/>
  <c r="KG475" i="1"/>
  <c r="KF475" i="1"/>
  <c r="KC475" i="1"/>
  <c r="KB475" i="1"/>
  <c r="JY475" i="1"/>
  <c r="JX475" i="1"/>
  <c r="KS475" i="1"/>
  <c r="KR475" i="1"/>
  <c r="KQ475" i="1"/>
  <c r="KY474" i="1"/>
  <c r="KX474" i="1"/>
  <c r="KW474" i="1"/>
  <c r="KV474" i="1"/>
  <c r="KU474" i="1"/>
  <c r="KT474" i="1"/>
  <c r="KO474" i="1"/>
  <c r="KN474" i="1"/>
  <c r="KK474" i="1"/>
  <c r="KJ474" i="1"/>
  <c r="KG474" i="1"/>
  <c r="KF474" i="1"/>
  <c r="KC474" i="1"/>
  <c r="KB474" i="1"/>
  <c r="JY474" i="1"/>
  <c r="JX474" i="1"/>
  <c r="KS474" i="1"/>
  <c r="KR474" i="1"/>
  <c r="KQ474" i="1"/>
  <c r="KY473" i="1"/>
  <c r="KX473" i="1"/>
  <c r="KW473" i="1"/>
  <c r="KV473" i="1"/>
  <c r="KU473" i="1"/>
  <c r="KT473" i="1"/>
  <c r="KO473" i="1"/>
  <c r="KN473" i="1"/>
  <c r="KK473" i="1"/>
  <c r="KJ473" i="1"/>
  <c r="KG473" i="1"/>
  <c r="KF473" i="1"/>
  <c r="KC473" i="1"/>
  <c r="KB473" i="1"/>
  <c r="JY473" i="1"/>
  <c r="JX473" i="1"/>
  <c r="KS473" i="1"/>
  <c r="KR473" i="1"/>
  <c r="KQ473" i="1"/>
  <c r="KY472" i="1"/>
  <c r="KX472" i="1"/>
  <c r="KW472" i="1"/>
  <c r="KV472" i="1"/>
  <c r="KU472" i="1"/>
  <c r="KT472" i="1"/>
  <c r="KO472" i="1"/>
  <c r="KN472" i="1"/>
  <c r="KK472" i="1"/>
  <c r="KJ472" i="1"/>
  <c r="KG472" i="1"/>
  <c r="KF472" i="1"/>
  <c r="KC472" i="1"/>
  <c r="KB472" i="1"/>
  <c r="JY472" i="1"/>
  <c r="JZ472" i="1"/>
  <c r="JX472" i="1"/>
  <c r="KS472" i="1"/>
  <c r="KR472" i="1"/>
  <c r="KQ472" i="1"/>
  <c r="KY471" i="1"/>
  <c r="KX471" i="1"/>
  <c r="KW471" i="1"/>
  <c r="KV471" i="1"/>
  <c r="KU471" i="1"/>
  <c r="KT471" i="1"/>
  <c r="KO471" i="1"/>
  <c r="KN471" i="1"/>
  <c r="KK471" i="1"/>
  <c r="KJ471" i="1"/>
  <c r="KG471" i="1"/>
  <c r="KF471" i="1"/>
  <c r="KC471" i="1"/>
  <c r="KB471" i="1"/>
  <c r="JY471" i="1"/>
  <c r="JX471" i="1"/>
  <c r="KS471" i="1"/>
  <c r="KR471" i="1"/>
  <c r="KQ471" i="1"/>
  <c r="KY470" i="1"/>
  <c r="KX470" i="1"/>
  <c r="KW470" i="1"/>
  <c r="KV470" i="1"/>
  <c r="KU470" i="1"/>
  <c r="KT470" i="1"/>
  <c r="KO470" i="1"/>
  <c r="KP470" i="1"/>
  <c r="KN470" i="1"/>
  <c r="KK470" i="1"/>
  <c r="KJ470" i="1"/>
  <c r="KG470" i="1"/>
  <c r="KH470" i="1"/>
  <c r="KF470" i="1"/>
  <c r="KC470" i="1"/>
  <c r="KB470" i="1"/>
  <c r="JY470" i="1"/>
  <c r="JX470" i="1"/>
  <c r="KS470" i="1"/>
  <c r="KR470" i="1"/>
  <c r="KQ470" i="1"/>
  <c r="KY469" i="1"/>
  <c r="KX469" i="1"/>
  <c r="KW469" i="1"/>
  <c r="KV469" i="1"/>
  <c r="KU469" i="1"/>
  <c r="KT469" i="1"/>
  <c r="KO469" i="1"/>
  <c r="KN469" i="1"/>
  <c r="KK469" i="1"/>
  <c r="KL469" i="1"/>
  <c r="KJ469" i="1"/>
  <c r="KG469" i="1"/>
  <c r="KF469" i="1"/>
  <c r="KC469" i="1"/>
  <c r="KB469" i="1"/>
  <c r="JY469" i="1"/>
  <c r="JX469" i="1"/>
  <c r="KS469" i="1"/>
  <c r="KR469" i="1"/>
  <c r="KQ469" i="1"/>
  <c r="KY468" i="1"/>
  <c r="KX468" i="1"/>
  <c r="KW468" i="1"/>
  <c r="KV468" i="1"/>
  <c r="KU468" i="1"/>
  <c r="KT468" i="1"/>
  <c r="KO468" i="1"/>
  <c r="KN468" i="1"/>
  <c r="KK468" i="1"/>
  <c r="KJ468" i="1"/>
  <c r="KG468" i="1"/>
  <c r="KF468" i="1"/>
  <c r="KC468" i="1"/>
  <c r="KB468" i="1"/>
  <c r="JY468" i="1"/>
  <c r="JX468" i="1"/>
  <c r="KS468" i="1"/>
  <c r="KR468" i="1"/>
  <c r="KQ468" i="1"/>
  <c r="KY467" i="1"/>
  <c r="KX467" i="1"/>
  <c r="KW467" i="1"/>
  <c r="KV467" i="1"/>
  <c r="KU467" i="1"/>
  <c r="KT467" i="1"/>
  <c r="KO467" i="1"/>
  <c r="KP467" i="1"/>
  <c r="KN467" i="1"/>
  <c r="KK467" i="1"/>
  <c r="KJ467" i="1"/>
  <c r="KG467" i="1"/>
  <c r="KF467" i="1"/>
  <c r="KC467" i="1"/>
  <c r="KB467" i="1"/>
  <c r="JY467" i="1"/>
  <c r="JZ467" i="1"/>
  <c r="JX467" i="1"/>
  <c r="KS467" i="1"/>
  <c r="KR467" i="1"/>
  <c r="KQ467" i="1"/>
  <c r="KY466" i="1"/>
  <c r="KX466" i="1"/>
  <c r="KW466" i="1"/>
  <c r="KV466" i="1"/>
  <c r="KU466" i="1"/>
  <c r="KT466" i="1"/>
  <c r="KO466" i="1"/>
  <c r="KP466" i="1"/>
  <c r="KN466" i="1"/>
  <c r="KK466" i="1"/>
  <c r="KJ466" i="1"/>
  <c r="KG466" i="1"/>
  <c r="KH466" i="1"/>
  <c r="KF466" i="1"/>
  <c r="KC466" i="1"/>
  <c r="KB466" i="1"/>
  <c r="JZ466" i="1"/>
  <c r="JY466" i="1"/>
  <c r="JX466" i="1"/>
  <c r="KS466" i="1"/>
  <c r="KR466" i="1"/>
  <c r="KQ466" i="1"/>
  <c r="KY465" i="1"/>
  <c r="KX465" i="1"/>
  <c r="KW465" i="1"/>
  <c r="KV465" i="1"/>
  <c r="KU465" i="1"/>
  <c r="KT465" i="1"/>
  <c r="KO465" i="1"/>
  <c r="KP465" i="1"/>
  <c r="KN465" i="1"/>
  <c r="KK465" i="1"/>
  <c r="KJ465" i="1"/>
  <c r="KG465" i="1"/>
  <c r="KF465" i="1"/>
  <c r="KC465" i="1"/>
  <c r="KB465" i="1"/>
  <c r="JY465" i="1"/>
  <c r="JZ465" i="1"/>
  <c r="JX465" i="1"/>
  <c r="KS465" i="1"/>
  <c r="KR465" i="1"/>
  <c r="KQ465" i="1"/>
  <c r="KY464" i="1"/>
  <c r="KX464" i="1"/>
  <c r="KW464" i="1"/>
  <c r="KV464" i="1"/>
  <c r="KU464" i="1"/>
  <c r="KT464" i="1"/>
  <c r="KO464" i="1"/>
  <c r="KN464" i="1"/>
  <c r="KK464" i="1"/>
  <c r="KJ464" i="1"/>
  <c r="KG464" i="1"/>
  <c r="KF464" i="1"/>
  <c r="KC464" i="1"/>
  <c r="KB464" i="1"/>
  <c r="JY464" i="1"/>
  <c r="JX464" i="1"/>
  <c r="KS464" i="1"/>
  <c r="KR464" i="1"/>
  <c r="KQ464" i="1"/>
  <c r="KY463" i="1"/>
  <c r="KX463" i="1"/>
  <c r="KW463" i="1"/>
  <c r="KV463" i="1"/>
  <c r="KU463" i="1"/>
  <c r="KT463" i="1"/>
  <c r="KO463" i="1"/>
  <c r="KN463" i="1"/>
  <c r="KK463" i="1"/>
  <c r="KJ463" i="1"/>
  <c r="KG463" i="1"/>
  <c r="KF463" i="1"/>
  <c r="KC463" i="1"/>
  <c r="KD463" i="1"/>
  <c r="KB463" i="1"/>
  <c r="JY463" i="1"/>
  <c r="JX463" i="1"/>
  <c r="KS463" i="1"/>
  <c r="KR463" i="1"/>
  <c r="KQ463" i="1"/>
  <c r="KY462" i="1"/>
  <c r="KX462" i="1"/>
  <c r="KW462" i="1"/>
  <c r="KV462" i="1"/>
  <c r="KU462" i="1"/>
  <c r="KT462" i="1"/>
  <c r="KO462" i="1"/>
  <c r="KP462" i="1"/>
  <c r="KN462" i="1"/>
  <c r="KK462" i="1"/>
  <c r="KJ462" i="1"/>
  <c r="KG462" i="1"/>
  <c r="KF462" i="1"/>
  <c r="KC462" i="1"/>
  <c r="KB462" i="1"/>
  <c r="JY462" i="1"/>
  <c r="JZ462" i="1"/>
  <c r="JX462" i="1"/>
  <c r="KS462" i="1"/>
  <c r="KR462" i="1"/>
  <c r="KQ462" i="1"/>
  <c r="KY461" i="1"/>
  <c r="KX461" i="1"/>
  <c r="KW461" i="1"/>
  <c r="KV461" i="1"/>
  <c r="KU461" i="1"/>
  <c r="KT461" i="1"/>
  <c r="KS461" i="1"/>
  <c r="KO461" i="1"/>
  <c r="KP461" i="1"/>
  <c r="KN461" i="1"/>
  <c r="KK461" i="1"/>
  <c r="KJ461" i="1"/>
  <c r="KG461" i="1"/>
  <c r="KF461" i="1"/>
  <c r="KC461" i="1"/>
  <c r="KB461" i="1"/>
  <c r="JY461" i="1"/>
  <c r="JX461" i="1"/>
  <c r="KR461" i="1"/>
  <c r="KQ461" i="1"/>
  <c r="KY460" i="1"/>
  <c r="KX460" i="1"/>
  <c r="KW460" i="1"/>
  <c r="KV460" i="1"/>
  <c r="KU460" i="1"/>
  <c r="KT460" i="1"/>
  <c r="KO460" i="1"/>
  <c r="KN460" i="1"/>
  <c r="KK460" i="1"/>
  <c r="KJ460" i="1"/>
  <c r="KG460" i="1"/>
  <c r="KF460" i="1"/>
  <c r="KC460" i="1"/>
  <c r="KD460" i="1"/>
  <c r="KB460" i="1"/>
  <c r="JY460" i="1"/>
  <c r="JX460" i="1"/>
  <c r="KS460" i="1"/>
  <c r="KR460" i="1"/>
  <c r="KQ460" i="1"/>
  <c r="KY459" i="1"/>
  <c r="KX459" i="1"/>
  <c r="KW459" i="1"/>
  <c r="KV459" i="1"/>
  <c r="KU459" i="1"/>
  <c r="KT459" i="1"/>
  <c r="KO459" i="1"/>
  <c r="KN459" i="1"/>
  <c r="KK459" i="1"/>
  <c r="KJ459" i="1"/>
  <c r="KG459" i="1"/>
  <c r="KF459" i="1"/>
  <c r="KC459" i="1"/>
  <c r="KB459" i="1"/>
  <c r="JY459" i="1"/>
  <c r="JX459" i="1"/>
  <c r="KS459" i="1"/>
  <c r="KR459" i="1"/>
  <c r="KQ459" i="1"/>
  <c r="KY458" i="1"/>
  <c r="KX458" i="1"/>
  <c r="KW458" i="1"/>
  <c r="KV458" i="1"/>
  <c r="KU458" i="1"/>
  <c r="KT458" i="1"/>
  <c r="KO458" i="1"/>
  <c r="KN458" i="1"/>
  <c r="KK458" i="1"/>
  <c r="KJ458" i="1"/>
  <c r="KG458" i="1"/>
  <c r="KF458" i="1"/>
  <c r="KC458" i="1"/>
  <c r="KB458" i="1"/>
  <c r="JY458" i="1"/>
  <c r="JX458" i="1"/>
  <c r="KS458" i="1"/>
  <c r="KR458" i="1"/>
  <c r="KQ458" i="1"/>
  <c r="KY457" i="1"/>
  <c r="KX457" i="1"/>
  <c r="KW457" i="1"/>
  <c r="KV457" i="1"/>
  <c r="KU457" i="1"/>
  <c r="KT457" i="1"/>
  <c r="KO457" i="1"/>
  <c r="KN457" i="1"/>
  <c r="KK457" i="1"/>
  <c r="KJ457" i="1"/>
  <c r="KG457" i="1"/>
  <c r="KF457" i="1"/>
  <c r="KC457" i="1"/>
  <c r="KB457" i="1"/>
  <c r="JY457" i="1"/>
  <c r="JX457" i="1"/>
  <c r="KS457" i="1"/>
  <c r="KR457" i="1"/>
  <c r="KQ457" i="1"/>
  <c r="KY456" i="1"/>
  <c r="KX456" i="1"/>
  <c r="KW456" i="1"/>
  <c r="KV456" i="1"/>
  <c r="KU456" i="1"/>
  <c r="KT456" i="1"/>
  <c r="KO456" i="1"/>
  <c r="KN456" i="1"/>
  <c r="KK456" i="1"/>
  <c r="KJ456" i="1"/>
  <c r="KG456" i="1"/>
  <c r="KF456" i="1"/>
  <c r="KC456" i="1"/>
  <c r="KB456" i="1"/>
  <c r="JY456" i="1"/>
  <c r="JX456" i="1"/>
  <c r="KS456" i="1"/>
  <c r="KR456" i="1"/>
  <c r="KQ456" i="1"/>
  <c r="KY455" i="1"/>
  <c r="KX455" i="1"/>
  <c r="KW455" i="1"/>
  <c r="KV455" i="1"/>
  <c r="KU455" i="1"/>
  <c r="KT455" i="1"/>
  <c r="KO455" i="1"/>
  <c r="KN455" i="1"/>
  <c r="KK455" i="1"/>
  <c r="KJ455" i="1"/>
  <c r="KG455" i="1"/>
  <c r="KF455" i="1"/>
  <c r="KC455" i="1"/>
  <c r="KB455" i="1"/>
  <c r="JY455" i="1"/>
  <c r="JX455" i="1"/>
  <c r="KS455" i="1"/>
  <c r="KR455" i="1"/>
  <c r="KQ455" i="1"/>
  <c r="KY454" i="1"/>
  <c r="KX454" i="1"/>
  <c r="KW454" i="1"/>
  <c r="KV454" i="1"/>
  <c r="KU454" i="1"/>
  <c r="KT454" i="1"/>
  <c r="KO454" i="1"/>
  <c r="KN454" i="1"/>
  <c r="KK454" i="1"/>
  <c r="KJ454" i="1"/>
  <c r="KG454" i="1"/>
  <c r="KH454" i="1"/>
  <c r="KF454" i="1"/>
  <c r="KC454" i="1"/>
  <c r="KB454" i="1"/>
  <c r="JY454" i="1"/>
  <c r="JZ454" i="1"/>
  <c r="JX454" i="1"/>
  <c r="KS454" i="1"/>
  <c r="KR454" i="1"/>
  <c r="KQ454" i="1"/>
  <c r="KY453" i="1"/>
  <c r="KX453" i="1"/>
  <c r="KW453" i="1"/>
  <c r="KV453" i="1"/>
  <c r="KU453" i="1"/>
  <c r="KT453" i="1"/>
  <c r="KO453" i="1"/>
  <c r="KN453" i="1"/>
  <c r="KK453" i="1"/>
  <c r="KJ453" i="1"/>
  <c r="KG453" i="1"/>
  <c r="KF453" i="1"/>
  <c r="KC453" i="1"/>
  <c r="KB453" i="1"/>
  <c r="JY453" i="1"/>
  <c r="JX453" i="1"/>
  <c r="KS453" i="1"/>
  <c r="KR453" i="1"/>
  <c r="KQ453" i="1"/>
  <c r="KY452" i="1"/>
  <c r="KX452" i="1"/>
  <c r="KW452" i="1"/>
  <c r="KV452" i="1"/>
  <c r="KU452" i="1"/>
  <c r="KT452" i="1"/>
  <c r="KS452" i="1"/>
  <c r="KO452" i="1"/>
  <c r="KN452" i="1"/>
  <c r="KK452" i="1"/>
  <c r="KJ452" i="1"/>
  <c r="KG452" i="1"/>
  <c r="KF452" i="1"/>
  <c r="KC452" i="1"/>
  <c r="KB452" i="1"/>
  <c r="JY452" i="1"/>
  <c r="JX452" i="1"/>
  <c r="KR452" i="1"/>
  <c r="KQ452" i="1"/>
  <c r="KY451" i="1"/>
  <c r="KX451" i="1"/>
  <c r="KW451" i="1"/>
  <c r="KV451" i="1"/>
  <c r="KU451" i="1"/>
  <c r="KT451" i="1"/>
  <c r="KO451" i="1"/>
  <c r="KN451" i="1"/>
  <c r="KK451" i="1"/>
  <c r="KL451" i="1"/>
  <c r="KJ451" i="1"/>
  <c r="KG451" i="1"/>
  <c r="KH451" i="1"/>
  <c r="KF451" i="1"/>
  <c r="KC451" i="1"/>
  <c r="KB451" i="1"/>
  <c r="JY451" i="1"/>
  <c r="JZ451" i="1"/>
  <c r="JX451" i="1"/>
  <c r="KS451" i="1"/>
  <c r="KR451" i="1"/>
  <c r="KQ451" i="1"/>
  <c r="KY450" i="1"/>
  <c r="KX450" i="1"/>
  <c r="KW450" i="1"/>
  <c r="KV450" i="1"/>
  <c r="KU450" i="1"/>
  <c r="KT450" i="1"/>
  <c r="KO450" i="1"/>
  <c r="KN450" i="1"/>
  <c r="KK450" i="1"/>
  <c r="KJ450" i="1"/>
  <c r="KG450" i="1"/>
  <c r="KF450" i="1"/>
  <c r="KC450" i="1"/>
  <c r="KB450" i="1"/>
  <c r="JY450" i="1"/>
  <c r="JX450" i="1"/>
  <c r="KS450" i="1"/>
  <c r="KR450" i="1"/>
  <c r="KQ450" i="1"/>
  <c r="KY449" i="1"/>
  <c r="KX449" i="1"/>
  <c r="KW449" i="1"/>
  <c r="KV449" i="1"/>
  <c r="KU449" i="1"/>
  <c r="KT449" i="1"/>
  <c r="KO449" i="1"/>
  <c r="KN449" i="1"/>
  <c r="KK449" i="1"/>
  <c r="KJ449" i="1"/>
  <c r="KG449" i="1"/>
  <c r="KF449" i="1"/>
  <c r="KC449" i="1"/>
  <c r="KB449" i="1"/>
  <c r="JY449" i="1"/>
  <c r="JX449" i="1"/>
  <c r="KS449" i="1"/>
  <c r="KR449" i="1"/>
  <c r="KQ449" i="1"/>
  <c r="KY448" i="1"/>
  <c r="KX448" i="1"/>
  <c r="KW448" i="1"/>
  <c r="KV448" i="1"/>
  <c r="KU448" i="1"/>
  <c r="KT448" i="1"/>
  <c r="KO448" i="1"/>
  <c r="KN448" i="1"/>
  <c r="KK448" i="1"/>
  <c r="KJ448" i="1"/>
  <c r="KG448" i="1"/>
  <c r="KF448" i="1"/>
  <c r="KC448" i="1"/>
  <c r="KB448" i="1"/>
  <c r="JY448" i="1"/>
  <c r="JX448" i="1"/>
  <c r="KS448" i="1"/>
  <c r="KR448" i="1"/>
  <c r="KQ448" i="1"/>
  <c r="KY447" i="1"/>
  <c r="KX447" i="1"/>
  <c r="KW447" i="1"/>
  <c r="KV447" i="1"/>
  <c r="KU447" i="1"/>
  <c r="KT447" i="1"/>
  <c r="KO447" i="1"/>
  <c r="KN447" i="1"/>
  <c r="KK447" i="1"/>
  <c r="KL447" i="1"/>
  <c r="KJ447" i="1"/>
  <c r="KG447" i="1"/>
  <c r="KF447" i="1"/>
  <c r="KC447" i="1"/>
  <c r="KD447" i="1"/>
  <c r="KB447" i="1"/>
  <c r="JY447" i="1"/>
  <c r="JZ447" i="1"/>
  <c r="JX447" i="1"/>
  <c r="KS447" i="1"/>
  <c r="KR447" i="1"/>
  <c r="KQ447" i="1"/>
  <c r="KY446" i="1"/>
  <c r="KX446" i="1"/>
  <c r="KW446" i="1"/>
  <c r="KV446" i="1"/>
  <c r="KU446" i="1"/>
  <c r="KT446" i="1"/>
  <c r="KS446" i="1"/>
  <c r="KO446" i="1"/>
  <c r="KN446" i="1"/>
  <c r="KK446" i="1"/>
  <c r="KJ446" i="1"/>
  <c r="KG446" i="1"/>
  <c r="KF446" i="1"/>
  <c r="KC446" i="1"/>
  <c r="KB446" i="1"/>
  <c r="JY446" i="1"/>
  <c r="JX446" i="1"/>
  <c r="KR446" i="1"/>
  <c r="KQ446" i="1"/>
  <c r="KY445" i="1"/>
  <c r="KX445" i="1"/>
  <c r="KW445" i="1"/>
  <c r="KV445" i="1"/>
  <c r="KU445" i="1"/>
  <c r="KT445" i="1"/>
  <c r="KO445" i="1"/>
  <c r="KN445" i="1"/>
  <c r="KK445" i="1"/>
  <c r="KJ445" i="1"/>
  <c r="KG445" i="1"/>
  <c r="KF445" i="1"/>
  <c r="KC445" i="1"/>
  <c r="KB445" i="1"/>
  <c r="JY445" i="1"/>
  <c r="JX445" i="1"/>
  <c r="KS445" i="1"/>
  <c r="KR445" i="1"/>
  <c r="KQ445" i="1"/>
  <c r="KY444" i="1"/>
  <c r="KX444" i="1"/>
  <c r="KW444" i="1"/>
  <c r="KV444" i="1"/>
  <c r="KU444" i="1"/>
  <c r="KT444" i="1"/>
  <c r="KO444" i="1"/>
  <c r="KN444" i="1"/>
  <c r="KK444" i="1"/>
  <c r="KJ444" i="1"/>
  <c r="KG444" i="1"/>
  <c r="KF444" i="1"/>
  <c r="KC444" i="1"/>
  <c r="KD444" i="1"/>
  <c r="KB444" i="1"/>
  <c r="JY444" i="1"/>
  <c r="JX444" i="1"/>
  <c r="KS444" i="1"/>
  <c r="KR444" i="1"/>
  <c r="KQ444" i="1"/>
  <c r="KY443" i="1"/>
  <c r="KX443" i="1"/>
  <c r="KW443" i="1"/>
  <c r="KV443" i="1"/>
  <c r="KU443" i="1"/>
  <c r="KT443" i="1"/>
  <c r="KO443" i="1"/>
  <c r="KN443" i="1"/>
  <c r="KK443" i="1"/>
  <c r="KJ443" i="1"/>
  <c r="KG443" i="1"/>
  <c r="KF443" i="1"/>
  <c r="KC443" i="1"/>
  <c r="KD443" i="1"/>
  <c r="KB443" i="1"/>
  <c r="JY443" i="1"/>
  <c r="JX443" i="1"/>
  <c r="KS443" i="1"/>
  <c r="KR443" i="1"/>
  <c r="KQ443" i="1"/>
  <c r="KY442" i="1"/>
  <c r="KX442" i="1"/>
  <c r="KW442" i="1"/>
  <c r="KV442" i="1"/>
  <c r="KU442" i="1"/>
  <c r="KT442" i="1"/>
  <c r="KO442" i="1"/>
  <c r="KN442" i="1"/>
  <c r="KK442" i="1"/>
  <c r="KJ442" i="1"/>
  <c r="KG442" i="1"/>
  <c r="KF442" i="1"/>
  <c r="KC442" i="1"/>
  <c r="KB442" i="1"/>
  <c r="JY442" i="1"/>
  <c r="JX442" i="1"/>
  <c r="KS442" i="1"/>
  <c r="KR442" i="1"/>
  <c r="KQ442" i="1"/>
  <c r="KY441" i="1"/>
  <c r="KX441" i="1"/>
  <c r="KW441" i="1"/>
  <c r="KV441" i="1"/>
  <c r="KU441" i="1"/>
  <c r="KT441" i="1"/>
  <c r="KO441" i="1"/>
  <c r="KN441" i="1"/>
  <c r="KK441" i="1"/>
  <c r="KJ441" i="1"/>
  <c r="KG441" i="1"/>
  <c r="KF441" i="1"/>
  <c r="KC441" i="1"/>
  <c r="KB441" i="1"/>
  <c r="JY441" i="1"/>
  <c r="JX441" i="1"/>
  <c r="KS441" i="1"/>
  <c r="KR441" i="1"/>
  <c r="KQ441" i="1"/>
  <c r="KY440" i="1"/>
  <c r="KX440" i="1"/>
  <c r="KW440" i="1"/>
  <c r="KV440" i="1"/>
  <c r="KU440" i="1"/>
  <c r="KT440" i="1"/>
  <c r="KO440" i="1"/>
  <c r="KN440" i="1"/>
  <c r="KK440" i="1"/>
  <c r="KJ440" i="1"/>
  <c r="KG440" i="1"/>
  <c r="KF440" i="1"/>
  <c r="KC440" i="1"/>
  <c r="KB440" i="1"/>
  <c r="JY440" i="1"/>
  <c r="JX440" i="1"/>
  <c r="KS440" i="1"/>
  <c r="KR440" i="1"/>
  <c r="KQ440" i="1"/>
  <c r="KY439" i="1"/>
  <c r="KX439" i="1"/>
  <c r="KW439" i="1"/>
  <c r="KV439" i="1"/>
  <c r="KU439" i="1"/>
  <c r="KT439" i="1"/>
  <c r="KO439" i="1"/>
  <c r="KN439" i="1"/>
  <c r="KK439" i="1"/>
  <c r="KJ439" i="1"/>
  <c r="KG439" i="1"/>
  <c r="KH439" i="1"/>
  <c r="KF439" i="1"/>
  <c r="KC439" i="1"/>
  <c r="KB439" i="1"/>
  <c r="JY439" i="1"/>
  <c r="JZ439" i="1"/>
  <c r="JX439" i="1"/>
  <c r="KS439" i="1"/>
  <c r="KR439" i="1"/>
  <c r="KQ439" i="1"/>
  <c r="KY438" i="1"/>
  <c r="KX438" i="1"/>
  <c r="KW438" i="1"/>
  <c r="KV438" i="1"/>
  <c r="KU438" i="1"/>
  <c r="KT438" i="1"/>
  <c r="KS438" i="1"/>
  <c r="KO438" i="1"/>
  <c r="KN438" i="1"/>
  <c r="KK438" i="1"/>
  <c r="KJ438" i="1"/>
  <c r="KG438" i="1"/>
  <c r="KF438" i="1"/>
  <c r="KC438" i="1"/>
  <c r="KB438" i="1"/>
  <c r="JY438" i="1"/>
  <c r="JX438" i="1"/>
  <c r="KR438" i="1"/>
  <c r="KQ438" i="1"/>
  <c r="KY437" i="1"/>
  <c r="KX437" i="1"/>
  <c r="KW437" i="1"/>
  <c r="KV437" i="1"/>
  <c r="KU437" i="1"/>
  <c r="KT437" i="1"/>
  <c r="KO437" i="1"/>
  <c r="KN437" i="1"/>
  <c r="KK437" i="1"/>
  <c r="KJ437" i="1"/>
  <c r="KG437" i="1"/>
  <c r="KF437" i="1"/>
  <c r="KC437" i="1"/>
  <c r="KB437" i="1"/>
  <c r="JY437" i="1"/>
  <c r="JX437" i="1"/>
  <c r="KS437" i="1"/>
  <c r="KR437" i="1"/>
  <c r="KQ437" i="1"/>
  <c r="KY436" i="1"/>
  <c r="KX436" i="1"/>
  <c r="KW436" i="1"/>
  <c r="KV436" i="1"/>
  <c r="KU436" i="1"/>
  <c r="KT436" i="1"/>
  <c r="KO436" i="1"/>
  <c r="KN436" i="1"/>
  <c r="KK436" i="1"/>
  <c r="KJ436" i="1"/>
  <c r="KG436" i="1"/>
  <c r="KF436" i="1"/>
  <c r="KC436" i="1"/>
  <c r="KB436" i="1"/>
  <c r="JY436" i="1"/>
  <c r="JX436" i="1"/>
  <c r="KS436" i="1"/>
  <c r="KR436" i="1"/>
  <c r="KQ436" i="1"/>
  <c r="KY435" i="1"/>
  <c r="KX435" i="1"/>
  <c r="KW435" i="1"/>
  <c r="KV435" i="1"/>
  <c r="KU435" i="1"/>
  <c r="KT435" i="1"/>
  <c r="KO435" i="1"/>
  <c r="KP435" i="1"/>
  <c r="KN435" i="1"/>
  <c r="KK435" i="1"/>
  <c r="KJ435" i="1"/>
  <c r="KG435" i="1"/>
  <c r="KH435" i="1"/>
  <c r="KF435" i="1"/>
  <c r="KC435" i="1"/>
  <c r="KB435" i="1"/>
  <c r="JY435" i="1"/>
  <c r="JX435" i="1"/>
  <c r="KS435" i="1"/>
  <c r="KR435" i="1"/>
  <c r="KQ435" i="1"/>
  <c r="KY434" i="1"/>
  <c r="KX434" i="1"/>
  <c r="KW434" i="1"/>
  <c r="KV434" i="1"/>
  <c r="KU434" i="1"/>
  <c r="KT434" i="1"/>
  <c r="KO434" i="1"/>
  <c r="KP434" i="1"/>
  <c r="KN434" i="1"/>
  <c r="KK434" i="1"/>
  <c r="KJ434" i="1"/>
  <c r="KG434" i="1"/>
  <c r="KF434" i="1"/>
  <c r="KC434" i="1"/>
  <c r="KB434" i="1"/>
  <c r="JY434" i="1"/>
  <c r="JX434" i="1"/>
  <c r="KS434" i="1"/>
  <c r="KR434" i="1"/>
  <c r="KQ434" i="1"/>
  <c r="KY433" i="1"/>
  <c r="KX433" i="1"/>
  <c r="KW433" i="1"/>
  <c r="KV433" i="1"/>
  <c r="KU433" i="1"/>
  <c r="KT433" i="1"/>
  <c r="KO433" i="1"/>
  <c r="KN433" i="1"/>
  <c r="KK433" i="1"/>
  <c r="KJ433" i="1"/>
  <c r="KG433" i="1"/>
  <c r="KF433" i="1"/>
  <c r="KC433" i="1"/>
  <c r="KB433" i="1"/>
  <c r="JY433" i="1"/>
  <c r="JX433" i="1"/>
  <c r="KS433" i="1"/>
  <c r="KR433" i="1"/>
  <c r="KQ433" i="1"/>
  <c r="KY432" i="1"/>
  <c r="KX432" i="1"/>
  <c r="KW432" i="1"/>
  <c r="KV432" i="1"/>
  <c r="KU432" i="1"/>
  <c r="KT432" i="1"/>
  <c r="KS432" i="1"/>
  <c r="KO432" i="1"/>
  <c r="KN432" i="1"/>
  <c r="KK432" i="1"/>
  <c r="KL432" i="1"/>
  <c r="KJ432" i="1"/>
  <c r="KG432" i="1"/>
  <c r="KF432" i="1"/>
  <c r="KC432" i="1"/>
  <c r="KD432" i="1"/>
  <c r="KB432" i="1"/>
  <c r="JY432" i="1"/>
  <c r="JX432" i="1"/>
  <c r="KR432" i="1"/>
  <c r="KQ432" i="1"/>
  <c r="KY431" i="1"/>
  <c r="KX431" i="1"/>
  <c r="KW431" i="1"/>
  <c r="KV431" i="1"/>
  <c r="KU431" i="1"/>
  <c r="KT431" i="1"/>
  <c r="KO431" i="1"/>
  <c r="KN431" i="1"/>
  <c r="KP431" i="1"/>
  <c r="KK431" i="1"/>
  <c r="KJ431" i="1"/>
  <c r="KG431" i="1"/>
  <c r="KF431" i="1"/>
  <c r="KC431" i="1"/>
  <c r="KB431" i="1"/>
  <c r="JY431" i="1"/>
  <c r="JX431" i="1"/>
  <c r="KS431" i="1"/>
  <c r="KR431" i="1"/>
  <c r="KQ431" i="1"/>
  <c r="KY430" i="1"/>
  <c r="KX430" i="1"/>
  <c r="KW430" i="1"/>
  <c r="KV430" i="1"/>
  <c r="KU430" i="1"/>
  <c r="KT430" i="1"/>
  <c r="KO430" i="1"/>
  <c r="KP430" i="1"/>
  <c r="KN430" i="1"/>
  <c r="KK430" i="1"/>
  <c r="KJ430" i="1"/>
  <c r="KG430" i="1"/>
  <c r="KF430" i="1"/>
  <c r="KC430" i="1"/>
  <c r="KB430" i="1"/>
  <c r="JY430" i="1"/>
  <c r="JX430" i="1"/>
  <c r="KS430" i="1"/>
  <c r="KR430" i="1"/>
  <c r="KQ430" i="1"/>
  <c r="KY429" i="1"/>
  <c r="KX429" i="1"/>
  <c r="KW429" i="1"/>
  <c r="KV429" i="1"/>
  <c r="KU429" i="1"/>
  <c r="KT429" i="1"/>
  <c r="KO429" i="1"/>
  <c r="KN429" i="1"/>
  <c r="KK429" i="1"/>
  <c r="KJ429" i="1"/>
  <c r="KG429" i="1"/>
  <c r="KF429" i="1"/>
  <c r="KC429" i="1"/>
  <c r="KB429" i="1"/>
  <c r="JY429" i="1"/>
  <c r="JX429" i="1"/>
  <c r="KS429" i="1"/>
  <c r="KR429" i="1"/>
  <c r="KQ429" i="1"/>
  <c r="KY428" i="1"/>
  <c r="KX428" i="1"/>
  <c r="KW428" i="1"/>
  <c r="KV428" i="1"/>
  <c r="KU428" i="1"/>
  <c r="KT428" i="1"/>
  <c r="KO428" i="1"/>
  <c r="KN428" i="1"/>
  <c r="KK428" i="1"/>
  <c r="KJ428" i="1"/>
  <c r="KG428" i="1"/>
  <c r="KF428" i="1"/>
  <c r="KC428" i="1"/>
  <c r="KB428" i="1"/>
  <c r="JY428" i="1"/>
  <c r="JX428" i="1"/>
  <c r="KS428" i="1"/>
  <c r="KR428" i="1"/>
  <c r="KQ428" i="1"/>
  <c r="KY427" i="1"/>
  <c r="KX427" i="1"/>
  <c r="KW427" i="1"/>
  <c r="KV427" i="1"/>
  <c r="KU427" i="1"/>
  <c r="KT427" i="1"/>
  <c r="KO427" i="1"/>
  <c r="KN427" i="1"/>
  <c r="KK427" i="1"/>
  <c r="KJ427" i="1"/>
  <c r="KG427" i="1"/>
  <c r="KF427" i="1"/>
  <c r="KC427" i="1"/>
  <c r="KD427" i="1"/>
  <c r="KB427" i="1"/>
  <c r="JY427" i="1"/>
  <c r="JX427" i="1"/>
  <c r="KS427" i="1"/>
  <c r="KR427" i="1"/>
  <c r="KQ427" i="1"/>
  <c r="KY426" i="1"/>
  <c r="KX426" i="1"/>
  <c r="KW426" i="1"/>
  <c r="KV426" i="1"/>
  <c r="KU426" i="1"/>
  <c r="KT426" i="1"/>
  <c r="KO426" i="1"/>
  <c r="KN426" i="1"/>
  <c r="KK426" i="1"/>
  <c r="KJ426" i="1"/>
  <c r="KG426" i="1"/>
  <c r="KH426" i="1"/>
  <c r="KF426" i="1"/>
  <c r="KC426" i="1"/>
  <c r="KB426" i="1"/>
  <c r="JY426" i="1"/>
  <c r="JX426" i="1"/>
  <c r="KS426" i="1"/>
  <c r="KR426" i="1"/>
  <c r="KQ426" i="1"/>
  <c r="KY425" i="1"/>
  <c r="KX425" i="1"/>
  <c r="KW425" i="1"/>
  <c r="KV425" i="1"/>
  <c r="KU425" i="1"/>
  <c r="KT425" i="1"/>
  <c r="KO425" i="1"/>
  <c r="KN425" i="1"/>
  <c r="KK425" i="1"/>
  <c r="KJ425" i="1"/>
  <c r="KG425" i="1"/>
  <c r="KF425" i="1"/>
  <c r="KC425" i="1"/>
  <c r="KB425" i="1"/>
  <c r="JY425" i="1"/>
  <c r="JX425" i="1"/>
  <c r="KS425" i="1"/>
  <c r="KR425" i="1"/>
  <c r="KQ425" i="1"/>
  <c r="BH954" i="1"/>
  <c r="KY424" i="1"/>
  <c r="KX424" i="1"/>
  <c r="KW424" i="1"/>
  <c r="KV424" i="1"/>
  <c r="KU424" i="1"/>
  <c r="KT424" i="1"/>
  <c r="KO424" i="1"/>
  <c r="KN424" i="1"/>
  <c r="KK424" i="1"/>
  <c r="KJ424" i="1"/>
  <c r="KG424" i="1"/>
  <c r="KF424" i="1"/>
  <c r="KC424" i="1"/>
  <c r="KB424" i="1"/>
  <c r="JY424" i="1"/>
  <c r="JX424" i="1"/>
  <c r="KS424" i="1"/>
  <c r="KR424" i="1"/>
  <c r="KQ424" i="1"/>
  <c r="KY423" i="1"/>
  <c r="KX423" i="1"/>
  <c r="KW423" i="1"/>
  <c r="KV423" i="1"/>
  <c r="KU423" i="1"/>
  <c r="KT423" i="1"/>
  <c r="KS423" i="1"/>
  <c r="KR423" i="1"/>
  <c r="KO423" i="1"/>
  <c r="KP423" i="1"/>
  <c r="KN423" i="1"/>
  <c r="KK423" i="1"/>
  <c r="KJ423" i="1"/>
  <c r="KG423" i="1"/>
  <c r="KH423" i="1"/>
  <c r="KF423" i="1"/>
  <c r="KC423" i="1"/>
  <c r="KB423" i="1"/>
  <c r="JY423" i="1"/>
  <c r="JZ423" i="1"/>
  <c r="JX423" i="1"/>
  <c r="KQ423" i="1"/>
  <c r="KY422" i="1"/>
  <c r="KX422" i="1"/>
  <c r="KW422" i="1"/>
  <c r="KV422" i="1"/>
  <c r="KU422" i="1"/>
  <c r="KT422" i="1"/>
  <c r="KO422" i="1"/>
  <c r="KN422" i="1"/>
  <c r="KK422" i="1"/>
  <c r="KJ422" i="1"/>
  <c r="KG422" i="1"/>
  <c r="KF422" i="1"/>
  <c r="KC422" i="1"/>
  <c r="KB422" i="1"/>
  <c r="JY422" i="1"/>
  <c r="JX422" i="1"/>
  <c r="KS422" i="1"/>
  <c r="KR422" i="1"/>
  <c r="KQ422" i="1"/>
  <c r="KY421" i="1"/>
  <c r="KX421" i="1"/>
  <c r="KW421" i="1"/>
  <c r="KV421" i="1"/>
  <c r="KU421" i="1"/>
  <c r="KT421" i="1"/>
  <c r="KO421" i="1"/>
  <c r="KP421" i="1"/>
  <c r="KN421" i="1"/>
  <c r="KK421" i="1"/>
  <c r="KJ421" i="1"/>
  <c r="KG421" i="1"/>
  <c r="KF421" i="1"/>
  <c r="KC421" i="1"/>
  <c r="KB421" i="1"/>
  <c r="JY421" i="1"/>
  <c r="JZ421" i="1"/>
  <c r="JX421" i="1"/>
  <c r="KS421" i="1"/>
  <c r="KR421" i="1"/>
  <c r="KQ421" i="1"/>
  <c r="KY420" i="1"/>
  <c r="KX420" i="1"/>
  <c r="KW420" i="1"/>
  <c r="KV420" i="1"/>
  <c r="KU420" i="1"/>
  <c r="KT420" i="1"/>
  <c r="KO420" i="1"/>
  <c r="KN420" i="1"/>
  <c r="KK420" i="1"/>
  <c r="KJ420" i="1"/>
  <c r="KG420" i="1"/>
  <c r="KF420" i="1"/>
  <c r="KC420" i="1"/>
  <c r="KB420" i="1"/>
  <c r="JY420" i="1"/>
  <c r="JX420" i="1"/>
  <c r="KS420" i="1"/>
  <c r="KR420" i="1"/>
  <c r="KQ420" i="1"/>
  <c r="KY419" i="1"/>
  <c r="KX419" i="1"/>
  <c r="KW419" i="1"/>
  <c r="KV419" i="1"/>
  <c r="KU419" i="1"/>
  <c r="KT419" i="1"/>
  <c r="KO419" i="1"/>
  <c r="KN419" i="1"/>
  <c r="KK419" i="1"/>
  <c r="KJ419" i="1"/>
  <c r="KG419" i="1"/>
  <c r="KF419" i="1"/>
  <c r="KC419" i="1"/>
  <c r="KB419" i="1"/>
  <c r="JY419" i="1"/>
  <c r="JX419" i="1"/>
  <c r="KS419" i="1"/>
  <c r="KR419" i="1"/>
  <c r="KQ419" i="1"/>
  <c r="KY418" i="1"/>
  <c r="KX418" i="1"/>
  <c r="KW418" i="1"/>
  <c r="KV418" i="1"/>
  <c r="KU418" i="1"/>
  <c r="KT418" i="1"/>
  <c r="KO418" i="1"/>
  <c r="KN418" i="1"/>
  <c r="KK418" i="1"/>
  <c r="KJ418" i="1"/>
  <c r="KG418" i="1"/>
  <c r="KF418" i="1"/>
  <c r="KC418" i="1"/>
  <c r="KB418" i="1"/>
  <c r="JY418" i="1"/>
  <c r="JX418" i="1"/>
  <c r="KS418" i="1"/>
  <c r="KR418" i="1"/>
  <c r="KQ418" i="1"/>
  <c r="KY417" i="1"/>
  <c r="KX417" i="1"/>
  <c r="KW417" i="1"/>
  <c r="KV417" i="1"/>
  <c r="KU417" i="1"/>
  <c r="KT417" i="1"/>
  <c r="KQ417" i="1"/>
  <c r="KO417" i="1"/>
  <c r="KN417" i="1"/>
  <c r="KK417" i="1"/>
  <c r="KJ417" i="1"/>
  <c r="KG417" i="1"/>
  <c r="KF417" i="1"/>
  <c r="KC417" i="1"/>
  <c r="KB417" i="1"/>
  <c r="JY417" i="1"/>
  <c r="JX417" i="1"/>
  <c r="KS417" i="1"/>
  <c r="KR417" i="1"/>
  <c r="KY416" i="1"/>
  <c r="KX416" i="1"/>
  <c r="KW416" i="1"/>
  <c r="KV416" i="1"/>
  <c r="KU416" i="1"/>
  <c r="KT416" i="1"/>
  <c r="KO416" i="1"/>
  <c r="KN416" i="1"/>
  <c r="KK416" i="1"/>
  <c r="KJ416" i="1"/>
  <c r="KG416" i="1"/>
  <c r="KF416" i="1"/>
  <c r="KC416" i="1"/>
  <c r="KB416" i="1"/>
  <c r="JY416" i="1"/>
  <c r="JZ416" i="1"/>
  <c r="JX416" i="1"/>
  <c r="KS416" i="1"/>
  <c r="KR416" i="1"/>
  <c r="KQ416" i="1"/>
  <c r="KY415" i="1"/>
  <c r="KX415" i="1"/>
  <c r="KW415" i="1"/>
  <c r="KV415" i="1"/>
  <c r="KU415" i="1"/>
  <c r="KT415" i="1"/>
  <c r="KQ415" i="1"/>
  <c r="KO415" i="1"/>
  <c r="KN415" i="1"/>
  <c r="KK415" i="1"/>
  <c r="KJ415" i="1"/>
  <c r="KG415" i="1"/>
  <c r="KF415" i="1"/>
  <c r="KC415" i="1"/>
  <c r="KB415" i="1"/>
  <c r="JY415" i="1"/>
  <c r="JX415" i="1"/>
  <c r="KS415" i="1"/>
  <c r="KR415" i="1"/>
  <c r="KY414" i="1"/>
  <c r="KX414" i="1"/>
  <c r="KW414" i="1"/>
  <c r="KV414" i="1"/>
  <c r="KU414" i="1"/>
  <c r="KT414" i="1"/>
  <c r="KO414" i="1"/>
  <c r="KN414" i="1"/>
  <c r="KK414" i="1"/>
  <c r="KJ414" i="1"/>
  <c r="KG414" i="1"/>
  <c r="KF414" i="1"/>
  <c r="KC414" i="1"/>
  <c r="KB414" i="1"/>
  <c r="JY414" i="1"/>
  <c r="JX414" i="1"/>
  <c r="KS414" i="1"/>
  <c r="KR414" i="1"/>
  <c r="KQ414" i="1"/>
  <c r="KY413" i="1"/>
  <c r="KX413" i="1"/>
  <c r="KW413" i="1"/>
  <c r="KV413" i="1"/>
  <c r="KU413" i="1"/>
  <c r="KT413" i="1"/>
  <c r="KQ413" i="1"/>
  <c r="KO413" i="1"/>
  <c r="KN413" i="1"/>
  <c r="KK413" i="1"/>
  <c r="KJ413" i="1"/>
  <c r="KG413" i="1"/>
  <c r="KF413" i="1"/>
  <c r="KC413" i="1"/>
  <c r="KB413" i="1"/>
  <c r="JY413" i="1"/>
  <c r="JX413" i="1"/>
  <c r="KS413" i="1"/>
  <c r="KR413" i="1"/>
  <c r="KY412" i="1"/>
  <c r="KX412" i="1"/>
  <c r="KW412" i="1"/>
  <c r="KV412" i="1"/>
  <c r="KU412" i="1"/>
  <c r="KT412" i="1"/>
  <c r="KO412" i="1"/>
  <c r="KN412" i="1"/>
  <c r="KK412" i="1"/>
  <c r="KJ412" i="1"/>
  <c r="KG412" i="1"/>
  <c r="KF412" i="1"/>
  <c r="KC412" i="1"/>
  <c r="KB412" i="1"/>
  <c r="KD412" i="1"/>
  <c r="JY412" i="1"/>
  <c r="JX412" i="1"/>
  <c r="KS412" i="1"/>
  <c r="KR412" i="1"/>
  <c r="KQ412" i="1"/>
  <c r="KY411" i="1"/>
  <c r="KX411" i="1"/>
  <c r="KW411" i="1"/>
  <c r="KV411" i="1"/>
  <c r="KU411" i="1"/>
  <c r="KT411" i="1"/>
  <c r="KS411" i="1"/>
  <c r="KO411" i="1"/>
  <c r="KN411" i="1"/>
  <c r="KK411" i="1"/>
  <c r="KJ411" i="1"/>
  <c r="KG411" i="1"/>
  <c r="KF411" i="1"/>
  <c r="KC411" i="1"/>
  <c r="KB411" i="1"/>
  <c r="JY411" i="1"/>
  <c r="JX411" i="1"/>
  <c r="KR411" i="1"/>
  <c r="KQ411" i="1"/>
  <c r="KY410" i="1"/>
  <c r="KX410" i="1"/>
  <c r="KW410" i="1"/>
  <c r="KV410" i="1"/>
  <c r="KU410" i="1"/>
  <c r="KT410" i="1"/>
  <c r="KO410" i="1"/>
  <c r="KN410" i="1"/>
  <c r="KK410" i="1"/>
  <c r="KJ410" i="1"/>
  <c r="KG410" i="1"/>
  <c r="KF410" i="1"/>
  <c r="KC410" i="1"/>
  <c r="KB410" i="1"/>
  <c r="JY410" i="1"/>
  <c r="JX410" i="1"/>
  <c r="KS410" i="1"/>
  <c r="KR410" i="1"/>
  <c r="KQ410" i="1"/>
  <c r="KY409" i="1"/>
  <c r="KX409" i="1"/>
  <c r="KW409" i="1"/>
  <c r="KV409" i="1"/>
  <c r="KU409" i="1"/>
  <c r="KT409" i="1"/>
  <c r="KO409" i="1"/>
  <c r="KN409" i="1"/>
  <c r="KK409" i="1"/>
  <c r="KJ409" i="1"/>
  <c r="KG409" i="1"/>
  <c r="KH409" i="1"/>
  <c r="KF409" i="1"/>
  <c r="KC409" i="1"/>
  <c r="KB409" i="1"/>
  <c r="JY409" i="1"/>
  <c r="JZ409" i="1"/>
  <c r="JX409" i="1"/>
  <c r="KS409" i="1"/>
  <c r="KR409" i="1"/>
  <c r="KQ409" i="1"/>
  <c r="KY408" i="1"/>
  <c r="KX408" i="1"/>
  <c r="KW408" i="1"/>
  <c r="KV408" i="1"/>
  <c r="KU408" i="1"/>
  <c r="KT408" i="1"/>
  <c r="KO408" i="1"/>
  <c r="KN408" i="1"/>
  <c r="KK408" i="1"/>
  <c r="KJ408" i="1"/>
  <c r="KG408" i="1"/>
  <c r="KF408" i="1"/>
  <c r="KC408" i="1"/>
  <c r="KB408" i="1"/>
  <c r="JY408" i="1"/>
  <c r="JX408" i="1"/>
  <c r="KS408" i="1"/>
  <c r="KR408" i="1"/>
  <c r="KQ408" i="1"/>
  <c r="KY407" i="1"/>
  <c r="KX407" i="1"/>
  <c r="KW407" i="1"/>
  <c r="KV407" i="1"/>
  <c r="KU407" i="1"/>
  <c r="KT407" i="1"/>
  <c r="KS407" i="1"/>
  <c r="KO407" i="1"/>
  <c r="KN407" i="1"/>
  <c r="KK407" i="1"/>
  <c r="KJ407" i="1"/>
  <c r="KG407" i="1"/>
  <c r="KF407" i="1"/>
  <c r="KC407" i="1"/>
  <c r="KB407" i="1"/>
  <c r="JY407" i="1"/>
  <c r="JX407" i="1"/>
  <c r="KR407" i="1"/>
  <c r="KQ407" i="1"/>
  <c r="KY406" i="1"/>
  <c r="KX406" i="1"/>
  <c r="KW406" i="1"/>
  <c r="KV406" i="1"/>
  <c r="KU406" i="1"/>
  <c r="KT406" i="1"/>
  <c r="KO406" i="1"/>
  <c r="KN406" i="1"/>
  <c r="KK406" i="1"/>
  <c r="KJ406" i="1"/>
  <c r="KG406" i="1"/>
  <c r="KF406" i="1"/>
  <c r="KC406" i="1"/>
  <c r="KB406" i="1"/>
  <c r="JY406" i="1"/>
  <c r="JX406" i="1"/>
  <c r="KS406" i="1"/>
  <c r="KR406" i="1"/>
  <c r="KQ406" i="1"/>
  <c r="KY405" i="1"/>
  <c r="KX405" i="1"/>
  <c r="KW405" i="1"/>
  <c r="KV405" i="1"/>
  <c r="KU405" i="1"/>
  <c r="KT405" i="1"/>
  <c r="KS405" i="1"/>
  <c r="KO405" i="1"/>
  <c r="KN405" i="1"/>
  <c r="KK405" i="1"/>
  <c r="KJ405" i="1"/>
  <c r="KG405" i="1"/>
  <c r="KF405" i="1"/>
  <c r="KC405" i="1"/>
  <c r="KB405" i="1"/>
  <c r="JY405" i="1"/>
  <c r="JX405" i="1"/>
  <c r="KR405" i="1"/>
  <c r="KQ405" i="1"/>
  <c r="KY404" i="1"/>
  <c r="KX404" i="1"/>
  <c r="KW404" i="1"/>
  <c r="KV404" i="1"/>
  <c r="KU404" i="1"/>
  <c r="KT404" i="1"/>
  <c r="KO404" i="1"/>
  <c r="KN404" i="1"/>
  <c r="KK404" i="1"/>
  <c r="KJ404" i="1"/>
  <c r="KG404" i="1"/>
  <c r="KF404" i="1"/>
  <c r="KC404" i="1"/>
  <c r="KB404" i="1"/>
  <c r="JY404" i="1"/>
  <c r="JZ404" i="1"/>
  <c r="JX404" i="1"/>
  <c r="KS404" i="1"/>
  <c r="KR404" i="1"/>
  <c r="KQ404" i="1"/>
  <c r="KY403" i="1"/>
  <c r="KX403" i="1"/>
  <c r="KW403" i="1"/>
  <c r="KV403" i="1"/>
  <c r="KU403" i="1"/>
  <c r="KT403" i="1"/>
  <c r="KS403" i="1"/>
  <c r="KO403" i="1"/>
  <c r="KP403" i="1"/>
  <c r="KN403" i="1"/>
  <c r="KK403" i="1"/>
  <c r="KJ403" i="1"/>
  <c r="KG403" i="1"/>
  <c r="KF403" i="1"/>
  <c r="KC403" i="1"/>
  <c r="KB403" i="1"/>
  <c r="JY403" i="1"/>
  <c r="JX403" i="1"/>
  <c r="KR403" i="1"/>
  <c r="KQ403" i="1"/>
  <c r="KY402" i="1"/>
  <c r="KX402" i="1"/>
  <c r="KW402" i="1"/>
  <c r="KV402" i="1"/>
  <c r="KU402" i="1"/>
  <c r="KT402" i="1"/>
  <c r="KO402" i="1"/>
  <c r="KN402" i="1"/>
  <c r="KK402" i="1"/>
  <c r="KJ402" i="1"/>
  <c r="KG402" i="1"/>
  <c r="KF402" i="1"/>
  <c r="KC402" i="1"/>
  <c r="KB402" i="1"/>
  <c r="JY402" i="1"/>
  <c r="JX402" i="1"/>
  <c r="KS402" i="1"/>
  <c r="KR402" i="1"/>
  <c r="KQ402" i="1"/>
  <c r="KY401" i="1"/>
  <c r="KX401" i="1"/>
  <c r="KW401" i="1"/>
  <c r="KV401" i="1"/>
  <c r="KU401" i="1"/>
  <c r="KT401" i="1"/>
  <c r="KO401" i="1"/>
  <c r="KP401" i="1"/>
  <c r="KN401" i="1"/>
  <c r="KK401" i="1"/>
  <c r="KJ401" i="1"/>
  <c r="KG401" i="1"/>
  <c r="KH401" i="1"/>
  <c r="KF401" i="1"/>
  <c r="KC401" i="1"/>
  <c r="KB401" i="1"/>
  <c r="JY401" i="1"/>
  <c r="JZ401" i="1"/>
  <c r="JX401" i="1"/>
  <c r="KS401" i="1"/>
  <c r="KR401" i="1"/>
  <c r="KQ401" i="1"/>
  <c r="KY400" i="1"/>
  <c r="KX400" i="1"/>
  <c r="KW400" i="1"/>
  <c r="KV400" i="1"/>
  <c r="KU400" i="1"/>
  <c r="KT400" i="1"/>
  <c r="KP400" i="1"/>
  <c r="KO400" i="1"/>
  <c r="KN400" i="1"/>
  <c r="KK400" i="1"/>
  <c r="KJ400" i="1"/>
  <c r="KG400" i="1"/>
  <c r="KF400" i="1"/>
  <c r="KC400" i="1"/>
  <c r="KB400" i="1"/>
  <c r="JY400" i="1"/>
  <c r="JX400" i="1"/>
  <c r="KS400" i="1"/>
  <c r="KR400" i="1"/>
  <c r="KQ400" i="1"/>
  <c r="KY399" i="1"/>
  <c r="KX399" i="1"/>
  <c r="KW399" i="1"/>
  <c r="KV399" i="1"/>
  <c r="KU399" i="1"/>
  <c r="KT399" i="1"/>
  <c r="KS399" i="1"/>
  <c r="KO399" i="1"/>
  <c r="KN399" i="1"/>
  <c r="KK399" i="1"/>
  <c r="KJ399" i="1"/>
  <c r="KG399" i="1"/>
  <c r="KF399" i="1"/>
  <c r="KC399" i="1"/>
  <c r="KB399" i="1"/>
  <c r="JY399" i="1"/>
  <c r="JX399" i="1"/>
  <c r="KR399" i="1"/>
  <c r="KQ399" i="1"/>
  <c r="KY398" i="1"/>
  <c r="KX398" i="1"/>
  <c r="KW398" i="1"/>
  <c r="KV398" i="1"/>
  <c r="KU398" i="1"/>
  <c r="KT398" i="1"/>
  <c r="KO398" i="1"/>
  <c r="KN398" i="1"/>
  <c r="KK398" i="1"/>
  <c r="KJ398" i="1"/>
  <c r="KG398" i="1"/>
  <c r="KF398" i="1"/>
  <c r="KC398" i="1"/>
  <c r="KB398" i="1"/>
  <c r="JY398" i="1"/>
  <c r="JX398" i="1"/>
  <c r="KS398" i="1"/>
  <c r="KR398" i="1"/>
  <c r="KQ398" i="1"/>
  <c r="KY397" i="1"/>
  <c r="KX397" i="1"/>
  <c r="KW397" i="1"/>
  <c r="KV397" i="1"/>
  <c r="KU397" i="1"/>
  <c r="KT397" i="1"/>
  <c r="KO397" i="1"/>
  <c r="KN397" i="1"/>
  <c r="KK397" i="1"/>
  <c r="KJ397" i="1"/>
  <c r="KG397" i="1"/>
  <c r="KF397" i="1"/>
  <c r="KC397" i="1"/>
  <c r="KD397" i="1"/>
  <c r="KB397" i="1"/>
  <c r="JY397" i="1"/>
  <c r="JX397" i="1"/>
  <c r="KS397" i="1"/>
  <c r="KR397" i="1"/>
  <c r="KQ397" i="1"/>
  <c r="KY396" i="1"/>
  <c r="KX396" i="1"/>
  <c r="KW396" i="1"/>
  <c r="KV396" i="1"/>
  <c r="KU396" i="1"/>
  <c r="KT396" i="1"/>
  <c r="KO396" i="1"/>
  <c r="KP396" i="1"/>
  <c r="KN396" i="1"/>
  <c r="KK396" i="1"/>
  <c r="KJ396" i="1"/>
  <c r="KG396" i="1"/>
  <c r="KF396" i="1"/>
  <c r="KH396" i="1"/>
  <c r="KD396" i="1"/>
  <c r="KC396" i="1"/>
  <c r="KB396" i="1"/>
  <c r="JY396" i="1"/>
  <c r="JX396" i="1"/>
  <c r="KS396" i="1"/>
  <c r="KR396" i="1"/>
  <c r="KQ396" i="1"/>
  <c r="KY395" i="1"/>
  <c r="KX395" i="1"/>
  <c r="KW395" i="1"/>
  <c r="KV395" i="1"/>
  <c r="KU395" i="1"/>
  <c r="KT395" i="1"/>
  <c r="KO395" i="1"/>
  <c r="KN395" i="1"/>
  <c r="KK395" i="1"/>
  <c r="KJ395" i="1"/>
  <c r="KG395" i="1"/>
  <c r="KF395" i="1"/>
  <c r="KC395" i="1"/>
  <c r="KD395" i="1"/>
  <c r="KB395" i="1"/>
  <c r="JY395" i="1"/>
  <c r="JX395" i="1"/>
  <c r="KS395" i="1"/>
  <c r="KR395" i="1"/>
  <c r="KQ395" i="1"/>
  <c r="KY394" i="1"/>
  <c r="KX394" i="1"/>
  <c r="KW394" i="1"/>
  <c r="KV394" i="1"/>
  <c r="KU394" i="1"/>
  <c r="KT394" i="1"/>
  <c r="KO394" i="1"/>
  <c r="KN394" i="1"/>
  <c r="KK394" i="1"/>
  <c r="KJ394" i="1"/>
  <c r="KG394" i="1"/>
  <c r="KF394" i="1"/>
  <c r="KC394" i="1"/>
  <c r="KB394" i="1"/>
  <c r="JY394" i="1"/>
  <c r="JX394" i="1"/>
  <c r="KS394" i="1"/>
  <c r="KR394" i="1"/>
  <c r="KQ394" i="1"/>
  <c r="KY393" i="1"/>
  <c r="KX393" i="1"/>
  <c r="KW393" i="1"/>
  <c r="KV393" i="1"/>
  <c r="KU393" i="1"/>
  <c r="KT393" i="1"/>
  <c r="KS393" i="1"/>
  <c r="KR393" i="1"/>
  <c r="KQ393" i="1"/>
  <c r="KO393" i="1"/>
  <c r="KN393" i="1"/>
  <c r="KK393" i="1"/>
  <c r="KJ393" i="1"/>
  <c r="KG393" i="1"/>
  <c r="KF393" i="1"/>
  <c r="KC393" i="1"/>
  <c r="KB393" i="1"/>
  <c r="JY393" i="1"/>
  <c r="JX393" i="1"/>
  <c r="KY392" i="1"/>
  <c r="KX392" i="1"/>
  <c r="KW392" i="1"/>
  <c r="KV392" i="1"/>
  <c r="KU392" i="1"/>
  <c r="KT392" i="1"/>
  <c r="KS392" i="1"/>
  <c r="KO392" i="1"/>
  <c r="KN392" i="1"/>
  <c r="KK392" i="1"/>
  <c r="KJ392" i="1"/>
  <c r="KG392" i="1"/>
  <c r="KF392" i="1"/>
  <c r="KC392" i="1"/>
  <c r="KB392" i="1"/>
  <c r="JY392" i="1"/>
  <c r="JX392" i="1"/>
  <c r="KR392" i="1"/>
  <c r="KQ392" i="1"/>
  <c r="KY391" i="1"/>
  <c r="KX391" i="1"/>
  <c r="KW391" i="1"/>
  <c r="KV391" i="1"/>
  <c r="KU391" i="1"/>
  <c r="KT391" i="1"/>
  <c r="KO391" i="1"/>
  <c r="KN391" i="1"/>
  <c r="KP391" i="1"/>
  <c r="KK391" i="1"/>
  <c r="KL391" i="1"/>
  <c r="KJ391" i="1"/>
  <c r="KG391" i="1"/>
  <c r="KF391" i="1"/>
  <c r="KC391" i="1"/>
  <c r="KB391" i="1"/>
  <c r="JY391" i="1"/>
  <c r="JX391" i="1"/>
  <c r="KS391" i="1"/>
  <c r="KR391" i="1"/>
  <c r="KQ391" i="1"/>
  <c r="KY390" i="1"/>
  <c r="KX390" i="1"/>
  <c r="KW390" i="1"/>
  <c r="KV390" i="1"/>
  <c r="KU390" i="1"/>
  <c r="KT390" i="1"/>
  <c r="KO390" i="1"/>
  <c r="KP390" i="1"/>
  <c r="KN390" i="1"/>
  <c r="KK390" i="1"/>
  <c r="KJ390" i="1"/>
  <c r="KG390" i="1"/>
  <c r="KF390" i="1"/>
  <c r="KC390" i="1"/>
  <c r="KB390" i="1"/>
  <c r="JY390" i="1"/>
  <c r="JZ390" i="1"/>
  <c r="JX390" i="1"/>
  <c r="KS390" i="1"/>
  <c r="KR390" i="1"/>
  <c r="KQ390" i="1"/>
  <c r="KY389" i="1"/>
  <c r="KX389" i="1"/>
  <c r="KW389" i="1"/>
  <c r="KV389" i="1"/>
  <c r="KU389" i="1"/>
  <c r="KT389" i="1"/>
  <c r="KO389" i="1"/>
  <c r="KN389" i="1"/>
  <c r="KK389" i="1"/>
  <c r="KJ389" i="1"/>
  <c r="KG389" i="1"/>
  <c r="KF389" i="1"/>
  <c r="KC389" i="1"/>
  <c r="KB389" i="1"/>
  <c r="JY389" i="1"/>
  <c r="JX389" i="1"/>
  <c r="KS389" i="1"/>
  <c r="KR389" i="1"/>
  <c r="KQ389" i="1"/>
  <c r="KY388" i="1"/>
  <c r="KX388" i="1"/>
  <c r="KW388" i="1"/>
  <c r="KV388" i="1"/>
  <c r="KU388" i="1"/>
  <c r="KT388" i="1"/>
  <c r="KO388" i="1"/>
  <c r="KN388" i="1"/>
  <c r="KK388" i="1"/>
  <c r="KJ388" i="1"/>
  <c r="KG388" i="1"/>
  <c r="KF388" i="1"/>
  <c r="KC388" i="1"/>
  <c r="KB388" i="1"/>
  <c r="JY388" i="1"/>
  <c r="JX388" i="1"/>
  <c r="KS388" i="1"/>
  <c r="KR388" i="1"/>
  <c r="KQ388" i="1"/>
  <c r="KY387" i="1"/>
  <c r="KX387" i="1"/>
  <c r="KW387" i="1"/>
  <c r="KV387" i="1"/>
  <c r="KU387" i="1"/>
  <c r="KT387" i="1"/>
  <c r="KO387" i="1"/>
  <c r="KN387" i="1"/>
  <c r="KK387" i="1"/>
  <c r="KJ387" i="1"/>
  <c r="KG387" i="1"/>
  <c r="KF387" i="1"/>
  <c r="KC387" i="1"/>
  <c r="KD387" i="1"/>
  <c r="KB387" i="1"/>
  <c r="JY387" i="1"/>
  <c r="JX387" i="1"/>
  <c r="KS387" i="1"/>
  <c r="KR387" i="1"/>
  <c r="KQ387" i="1"/>
  <c r="KY386" i="1"/>
  <c r="KX386" i="1"/>
  <c r="KW386" i="1"/>
  <c r="KV386" i="1"/>
  <c r="KU386" i="1"/>
  <c r="KT386" i="1"/>
  <c r="KO386" i="1"/>
  <c r="KN386" i="1"/>
  <c r="KK386" i="1"/>
  <c r="KJ386" i="1"/>
  <c r="KG386" i="1"/>
  <c r="KF386" i="1"/>
  <c r="KC386" i="1"/>
  <c r="KB386" i="1"/>
  <c r="JY386" i="1"/>
  <c r="JX386" i="1"/>
  <c r="KS386" i="1"/>
  <c r="KR386" i="1"/>
  <c r="KQ386" i="1"/>
  <c r="KY385" i="1"/>
  <c r="KX385" i="1"/>
  <c r="KW385" i="1"/>
  <c r="KV385" i="1"/>
  <c r="KU385" i="1"/>
  <c r="KT385" i="1"/>
  <c r="KO385" i="1"/>
  <c r="KN385" i="1"/>
  <c r="KK385" i="1"/>
  <c r="KJ385" i="1"/>
  <c r="KG385" i="1"/>
  <c r="KF385" i="1"/>
  <c r="KC385" i="1"/>
  <c r="KB385" i="1"/>
  <c r="JY385" i="1"/>
  <c r="JX385" i="1"/>
  <c r="KS385" i="1"/>
  <c r="KR385" i="1"/>
  <c r="KQ385" i="1"/>
  <c r="KY384" i="1"/>
  <c r="KX384" i="1"/>
  <c r="KW384" i="1"/>
  <c r="KV384" i="1"/>
  <c r="KU384" i="1"/>
  <c r="KT384" i="1"/>
  <c r="KO384" i="1"/>
  <c r="KN384" i="1"/>
  <c r="KK384" i="1"/>
  <c r="KJ384" i="1"/>
  <c r="KG384" i="1"/>
  <c r="KH384" i="1"/>
  <c r="KF384" i="1"/>
  <c r="KC384" i="1"/>
  <c r="KB384" i="1"/>
  <c r="JY384" i="1"/>
  <c r="JX384" i="1"/>
  <c r="KS384" i="1"/>
  <c r="KR384" i="1"/>
  <c r="KQ384" i="1"/>
  <c r="KY383" i="1"/>
  <c r="KX383" i="1"/>
  <c r="KW383" i="1"/>
  <c r="KV383" i="1"/>
  <c r="KU383" i="1"/>
  <c r="KT383" i="1"/>
  <c r="KO383" i="1"/>
  <c r="KN383" i="1"/>
  <c r="KK383" i="1"/>
  <c r="KJ383" i="1"/>
  <c r="KG383" i="1"/>
  <c r="KF383" i="1"/>
  <c r="KC383" i="1"/>
  <c r="KB383" i="1"/>
  <c r="JY383" i="1"/>
  <c r="JX383" i="1"/>
  <c r="KS383" i="1"/>
  <c r="KR383" i="1"/>
  <c r="KQ383" i="1"/>
  <c r="KY382" i="1"/>
  <c r="KX382" i="1"/>
  <c r="KW382" i="1"/>
  <c r="KV382" i="1"/>
  <c r="KU382" i="1"/>
  <c r="KT382" i="1"/>
  <c r="KS382" i="1"/>
  <c r="KO382" i="1"/>
  <c r="KN382" i="1"/>
  <c r="KK382" i="1"/>
  <c r="KJ382" i="1"/>
  <c r="KG382" i="1"/>
  <c r="KF382" i="1"/>
  <c r="KC382" i="1"/>
  <c r="KB382" i="1"/>
  <c r="JY382" i="1"/>
  <c r="JX382" i="1"/>
  <c r="KR382" i="1"/>
  <c r="KQ382" i="1"/>
  <c r="KY381" i="1"/>
  <c r="KX381" i="1"/>
  <c r="KW381" i="1"/>
  <c r="KV381" i="1"/>
  <c r="KU381" i="1"/>
  <c r="KT381" i="1"/>
  <c r="KO381" i="1"/>
  <c r="KN381" i="1"/>
  <c r="KK381" i="1"/>
  <c r="KJ381" i="1"/>
  <c r="KG381" i="1"/>
  <c r="KH381" i="1"/>
  <c r="KF381" i="1"/>
  <c r="KC381" i="1"/>
  <c r="KB381" i="1"/>
  <c r="JY381" i="1"/>
  <c r="JX381" i="1"/>
  <c r="KS381" i="1"/>
  <c r="KR381" i="1"/>
  <c r="KQ381" i="1"/>
  <c r="KY380" i="1"/>
  <c r="KX380" i="1"/>
  <c r="KW380" i="1"/>
  <c r="KV380" i="1"/>
  <c r="KU380" i="1"/>
  <c r="KT380" i="1"/>
  <c r="KO380" i="1"/>
  <c r="KP380" i="1"/>
  <c r="KN380" i="1"/>
  <c r="KK380" i="1"/>
  <c r="KJ380" i="1"/>
  <c r="KH380" i="1"/>
  <c r="KG380" i="1"/>
  <c r="KF380" i="1"/>
  <c r="KC380" i="1"/>
  <c r="KB380" i="1"/>
  <c r="JY380" i="1"/>
  <c r="JX380" i="1"/>
  <c r="KS380" i="1"/>
  <c r="KR380" i="1"/>
  <c r="KQ380" i="1"/>
  <c r="KY379" i="1"/>
  <c r="KX379" i="1"/>
  <c r="KW379" i="1"/>
  <c r="KV379" i="1"/>
  <c r="KU379" i="1"/>
  <c r="KT379" i="1"/>
  <c r="KO379" i="1"/>
  <c r="KN379" i="1"/>
  <c r="KK379" i="1"/>
  <c r="KJ379" i="1"/>
  <c r="KG379" i="1"/>
  <c r="KF379" i="1"/>
  <c r="KC379" i="1"/>
  <c r="KB379" i="1"/>
  <c r="JY379" i="1"/>
  <c r="JX379" i="1"/>
  <c r="KS379" i="1"/>
  <c r="KR379" i="1"/>
  <c r="KQ379" i="1"/>
  <c r="KY378" i="1"/>
  <c r="KX378" i="1"/>
  <c r="KW378" i="1"/>
  <c r="KV378" i="1"/>
  <c r="KU378" i="1"/>
  <c r="KT378" i="1"/>
  <c r="KS378" i="1"/>
  <c r="KR378" i="1"/>
  <c r="KO378" i="1"/>
  <c r="KN378" i="1"/>
  <c r="KK378" i="1"/>
  <c r="KJ378" i="1"/>
  <c r="KG378" i="1"/>
  <c r="KF378" i="1"/>
  <c r="KC378" i="1"/>
  <c r="KB378" i="1"/>
  <c r="JY378" i="1"/>
  <c r="JX378" i="1"/>
  <c r="KQ378" i="1"/>
  <c r="KY377" i="1"/>
  <c r="KX377" i="1"/>
  <c r="KW377" i="1"/>
  <c r="KV377" i="1"/>
  <c r="KU377" i="1"/>
  <c r="KT377" i="1"/>
  <c r="KS377" i="1"/>
  <c r="KQ377" i="1"/>
  <c r="KO377" i="1"/>
  <c r="KN377" i="1"/>
  <c r="KK377" i="1"/>
  <c r="KJ377" i="1"/>
  <c r="KG377" i="1"/>
  <c r="KF377" i="1"/>
  <c r="KC377" i="1"/>
  <c r="KB377" i="1"/>
  <c r="JY377" i="1"/>
  <c r="JZ377" i="1"/>
  <c r="JX377" i="1"/>
  <c r="KR377" i="1"/>
  <c r="KY376" i="1"/>
  <c r="KX376" i="1"/>
  <c r="KW376" i="1"/>
  <c r="KV376" i="1"/>
  <c r="KU376" i="1"/>
  <c r="KT376" i="1"/>
  <c r="KO376" i="1"/>
  <c r="KN376" i="1"/>
  <c r="KK376" i="1"/>
  <c r="KJ376" i="1"/>
  <c r="KG376" i="1"/>
  <c r="KF376" i="1"/>
  <c r="KC376" i="1"/>
  <c r="KB376" i="1"/>
  <c r="JY376" i="1"/>
  <c r="JX376" i="1"/>
  <c r="KS376" i="1"/>
  <c r="KR376" i="1"/>
  <c r="KQ376" i="1"/>
  <c r="KY375" i="1"/>
  <c r="KX375" i="1"/>
  <c r="KW375" i="1"/>
  <c r="KV375" i="1"/>
  <c r="KU375" i="1"/>
  <c r="KT375" i="1"/>
  <c r="KS375" i="1"/>
  <c r="KR375" i="1"/>
  <c r="KO375" i="1"/>
  <c r="KN375" i="1"/>
  <c r="KK375" i="1"/>
  <c r="KL375" i="1"/>
  <c r="KJ375" i="1"/>
  <c r="KG375" i="1"/>
  <c r="KF375" i="1"/>
  <c r="KC375" i="1"/>
  <c r="KB375" i="1"/>
  <c r="JY375" i="1"/>
  <c r="JX375" i="1"/>
  <c r="KQ375" i="1"/>
  <c r="KY374" i="1"/>
  <c r="KX374" i="1"/>
  <c r="KW374" i="1"/>
  <c r="KV374" i="1"/>
  <c r="KU374" i="1"/>
  <c r="KT374" i="1"/>
  <c r="KS374" i="1"/>
  <c r="KO374" i="1"/>
  <c r="KN374" i="1"/>
  <c r="KK374" i="1"/>
  <c r="KJ374" i="1"/>
  <c r="KG374" i="1"/>
  <c r="KF374" i="1"/>
  <c r="KC374" i="1"/>
  <c r="KB374" i="1"/>
  <c r="JY374" i="1"/>
  <c r="JX374" i="1"/>
  <c r="KR374" i="1"/>
  <c r="KQ374" i="1"/>
  <c r="KY373" i="1"/>
  <c r="KX373" i="1"/>
  <c r="KW373" i="1"/>
  <c r="KV373" i="1"/>
  <c r="KU373" i="1"/>
  <c r="KT373" i="1"/>
  <c r="KO373" i="1"/>
  <c r="KN373" i="1"/>
  <c r="KK373" i="1"/>
  <c r="KJ373" i="1"/>
  <c r="KG373" i="1"/>
  <c r="KF373" i="1"/>
  <c r="KC373" i="1"/>
  <c r="KD373" i="1"/>
  <c r="KB373" i="1"/>
  <c r="JY373" i="1"/>
  <c r="JX373" i="1"/>
  <c r="KS373" i="1"/>
  <c r="KR373" i="1"/>
  <c r="KQ373" i="1"/>
  <c r="KY372" i="1"/>
  <c r="KX372" i="1"/>
  <c r="KW372" i="1"/>
  <c r="KV372" i="1"/>
  <c r="KU372" i="1"/>
  <c r="KT372" i="1"/>
  <c r="KO372" i="1"/>
  <c r="KN372" i="1"/>
  <c r="KK372" i="1"/>
  <c r="KJ372" i="1"/>
  <c r="KG372" i="1"/>
  <c r="KF372" i="1"/>
  <c r="KC372" i="1"/>
  <c r="KB372" i="1"/>
  <c r="JY372" i="1"/>
  <c r="JX372" i="1"/>
  <c r="KS372" i="1"/>
  <c r="KR372" i="1"/>
  <c r="KQ372" i="1"/>
  <c r="KY371" i="1"/>
  <c r="KX371" i="1"/>
  <c r="KW371" i="1"/>
  <c r="KV371" i="1"/>
  <c r="KU371" i="1"/>
  <c r="KT371" i="1"/>
  <c r="KO371" i="1"/>
  <c r="KN371" i="1"/>
  <c r="KK371" i="1"/>
  <c r="KJ371" i="1"/>
  <c r="KG371" i="1"/>
  <c r="KF371" i="1"/>
  <c r="KC371" i="1"/>
  <c r="KB371" i="1"/>
  <c r="JY371" i="1"/>
  <c r="JX371" i="1"/>
  <c r="KS371" i="1"/>
  <c r="KR371" i="1"/>
  <c r="KQ371" i="1"/>
  <c r="KY370" i="1"/>
  <c r="KX370" i="1"/>
  <c r="KW370" i="1"/>
  <c r="KV370" i="1"/>
  <c r="KU370" i="1"/>
  <c r="KT370" i="1"/>
  <c r="KO370" i="1"/>
  <c r="KN370" i="1"/>
  <c r="KK370" i="1"/>
  <c r="KJ370" i="1"/>
  <c r="KG370" i="1"/>
  <c r="KF370" i="1"/>
  <c r="KC370" i="1"/>
  <c r="KB370" i="1"/>
  <c r="JY370" i="1"/>
  <c r="JX370" i="1"/>
  <c r="KS370" i="1"/>
  <c r="KR370" i="1"/>
  <c r="KQ370" i="1"/>
  <c r="KY369" i="1"/>
  <c r="KX369" i="1"/>
  <c r="KW369" i="1"/>
  <c r="KV369" i="1"/>
  <c r="KU369" i="1"/>
  <c r="KT369" i="1"/>
  <c r="KO369" i="1"/>
  <c r="KN369" i="1"/>
  <c r="KK369" i="1"/>
  <c r="KJ369" i="1"/>
  <c r="KG369" i="1"/>
  <c r="KH369" i="1"/>
  <c r="KF369" i="1"/>
  <c r="KC369" i="1"/>
  <c r="KD369" i="1"/>
  <c r="KB369" i="1"/>
  <c r="JY369" i="1"/>
  <c r="JX369" i="1"/>
  <c r="KS369" i="1"/>
  <c r="KR369" i="1"/>
  <c r="KQ369" i="1"/>
  <c r="KY368" i="1"/>
  <c r="KX368" i="1"/>
  <c r="KW368" i="1"/>
  <c r="KV368" i="1"/>
  <c r="KU368" i="1"/>
  <c r="KT368" i="1"/>
  <c r="KO368" i="1"/>
  <c r="KN368" i="1"/>
  <c r="KK368" i="1"/>
  <c r="KJ368" i="1"/>
  <c r="KG368" i="1"/>
  <c r="KF368" i="1"/>
  <c r="KC368" i="1"/>
  <c r="KB368" i="1"/>
  <c r="JY368" i="1"/>
  <c r="JX368" i="1"/>
  <c r="KS368" i="1"/>
  <c r="KR368" i="1"/>
  <c r="KQ368" i="1"/>
  <c r="KY367" i="1"/>
  <c r="KX367" i="1"/>
  <c r="KW367" i="1"/>
  <c r="KV367" i="1"/>
  <c r="KU367" i="1"/>
  <c r="KT367" i="1"/>
  <c r="KR367" i="1"/>
  <c r="KO367" i="1"/>
  <c r="KN367" i="1"/>
  <c r="KK367" i="1"/>
  <c r="KJ367" i="1"/>
  <c r="KG367" i="1"/>
  <c r="KF367" i="1"/>
  <c r="KC367" i="1"/>
  <c r="KB367" i="1"/>
  <c r="JY367" i="1"/>
  <c r="JX367" i="1"/>
  <c r="KS367" i="1"/>
  <c r="KQ367" i="1"/>
  <c r="KY366" i="1"/>
  <c r="KX366" i="1"/>
  <c r="KW366" i="1"/>
  <c r="KV366" i="1"/>
  <c r="KU366" i="1"/>
  <c r="KT366" i="1"/>
  <c r="KO366" i="1"/>
  <c r="KN366" i="1"/>
  <c r="KK366" i="1"/>
  <c r="KJ366" i="1"/>
  <c r="KG366" i="1"/>
  <c r="KF366" i="1"/>
  <c r="KC366" i="1"/>
  <c r="KB366" i="1"/>
  <c r="JY366" i="1"/>
  <c r="JX366" i="1"/>
  <c r="KS366" i="1"/>
  <c r="KR366" i="1"/>
  <c r="KQ366" i="1"/>
  <c r="KY365" i="1"/>
  <c r="KX365" i="1"/>
  <c r="KW365" i="1"/>
  <c r="KV365" i="1"/>
  <c r="KU365" i="1"/>
  <c r="KT365" i="1"/>
  <c r="KO365" i="1"/>
  <c r="KP365" i="1"/>
  <c r="KN365" i="1"/>
  <c r="KK365" i="1"/>
  <c r="KJ365" i="1"/>
  <c r="KG365" i="1"/>
  <c r="KH365" i="1"/>
  <c r="KF365" i="1"/>
  <c r="KC365" i="1"/>
  <c r="KB365" i="1"/>
  <c r="JY365" i="1"/>
  <c r="JX365" i="1"/>
  <c r="KS365" i="1"/>
  <c r="KR365" i="1"/>
  <c r="KQ365" i="1"/>
  <c r="KY364" i="1"/>
  <c r="KX364" i="1"/>
  <c r="KW364" i="1"/>
  <c r="KV364" i="1"/>
  <c r="KU364" i="1"/>
  <c r="KT364" i="1"/>
  <c r="KO364" i="1"/>
  <c r="KN364" i="1"/>
  <c r="KK364" i="1"/>
  <c r="KJ364" i="1"/>
  <c r="KG364" i="1"/>
  <c r="KF364" i="1"/>
  <c r="KC364" i="1"/>
  <c r="KB364" i="1"/>
  <c r="JY364" i="1"/>
  <c r="JX364" i="1"/>
  <c r="KS364" i="1"/>
  <c r="KR364" i="1"/>
  <c r="KQ364" i="1"/>
  <c r="KY363" i="1"/>
  <c r="KX363" i="1"/>
  <c r="KW363" i="1"/>
  <c r="KV363" i="1"/>
  <c r="KU363" i="1"/>
  <c r="KT363" i="1"/>
  <c r="KO363" i="1"/>
  <c r="KN363" i="1"/>
  <c r="KK363" i="1"/>
  <c r="KJ363" i="1"/>
  <c r="KG363" i="1"/>
  <c r="KF363" i="1"/>
  <c r="KC363" i="1"/>
  <c r="KB363" i="1"/>
  <c r="JY363" i="1"/>
  <c r="JX363" i="1"/>
  <c r="KS363" i="1"/>
  <c r="KR363" i="1"/>
  <c r="KQ363" i="1"/>
  <c r="KY362" i="1"/>
  <c r="KX362" i="1"/>
  <c r="KW362" i="1"/>
  <c r="KV362" i="1"/>
  <c r="KU362" i="1"/>
  <c r="KT362" i="1"/>
  <c r="KO362" i="1"/>
  <c r="KN362" i="1"/>
  <c r="KP362" i="1"/>
  <c r="KK362" i="1"/>
  <c r="KJ362" i="1"/>
  <c r="KG362" i="1"/>
  <c r="KF362" i="1"/>
  <c r="KC362" i="1"/>
  <c r="KB362" i="1"/>
  <c r="JY362" i="1"/>
  <c r="JX362" i="1"/>
  <c r="JZ362" i="1"/>
  <c r="KS362" i="1"/>
  <c r="KR362" i="1"/>
  <c r="KQ362" i="1"/>
  <c r="KY361" i="1"/>
  <c r="KX361" i="1"/>
  <c r="KW361" i="1"/>
  <c r="KV361" i="1"/>
  <c r="KU361" i="1"/>
  <c r="KT361" i="1"/>
  <c r="KO361" i="1"/>
  <c r="KP361" i="1"/>
  <c r="KN361" i="1"/>
  <c r="KK361" i="1"/>
  <c r="KL361" i="1"/>
  <c r="KJ361" i="1"/>
  <c r="KG361" i="1"/>
  <c r="KF361" i="1"/>
  <c r="KC361" i="1"/>
  <c r="KB361" i="1"/>
  <c r="JY361" i="1"/>
  <c r="JZ361" i="1"/>
  <c r="JX361" i="1"/>
  <c r="KS361" i="1"/>
  <c r="KR361" i="1"/>
  <c r="KQ361" i="1"/>
  <c r="KY360" i="1"/>
  <c r="KX360" i="1"/>
  <c r="KW360" i="1"/>
  <c r="KV360" i="1"/>
  <c r="KU360" i="1"/>
  <c r="KT360" i="1"/>
  <c r="KO360" i="1"/>
  <c r="KN360" i="1"/>
  <c r="KK360" i="1"/>
  <c r="KJ360" i="1"/>
  <c r="KG360" i="1"/>
  <c r="KF360" i="1"/>
  <c r="KC360" i="1"/>
  <c r="KB360" i="1"/>
  <c r="JY360" i="1"/>
  <c r="JX360" i="1"/>
  <c r="KS360" i="1"/>
  <c r="KR360" i="1"/>
  <c r="KQ360" i="1"/>
  <c r="KY359" i="1"/>
  <c r="KX359" i="1"/>
  <c r="KW359" i="1"/>
  <c r="KV359" i="1"/>
  <c r="KU359" i="1"/>
  <c r="KT359" i="1"/>
  <c r="KQ359" i="1"/>
  <c r="KO359" i="1"/>
  <c r="KN359" i="1"/>
  <c r="KK359" i="1"/>
  <c r="KJ359" i="1"/>
  <c r="KG359" i="1"/>
  <c r="KF359" i="1"/>
  <c r="KC359" i="1"/>
  <c r="KB359" i="1"/>
  <c r="JY359" i="1"/>
  <c r="JX359" i="1"/>
  <c r="KS359" i="1"/>
  <c r="KR359" i="1"/>
  <c r="KY358" i="1"/>
  <c r="KX358" i="1"/>
  <c r="KW358" i="1"/>
  <c r="KV358" i="1"/>
  <c r="KU358" i="1"/>
  <c r="KT358" i="1"/>
  <c r="KO358" i="1"/>
  <c r="KN358" i="1"/>
  <c r="KK358" i="1"/>
  <c r="KJ358" i="1"/>
  <c r="KG358" i="1"/>
  <c r="KF358" i="1"/>
  <c r="KC358" i="1"/>
  <c r="KB358" i="1"/>
  <c r="JY358" i="1"/>
  <c r="JX358" i="1"/>
  <c r="KS358" i="1"/>
  <c r="KR358" i="1"/>
  <c r="KQ358" i="1"/>
  <c r="KY357" i="1"/>
  <c r="KX357" i="1"/>
  <c r="KW357" i="1"/>
  <c r="KV357" i="1"/>
  <c r="KU357" i="1"/>
  <c r="KT357" i="1"/>
  <c r="KO357" i="1"/>
  <c r="KN357" i="1"/>
  <c r="KK357" i="1"/>
  <c r="KJ357" i="1"/>
  <c r="KG357" i="1"/>
  <c r="KF357" i="1"/>
  <c r="KC357" i="1"/>
  <c r="KB357" i="1"/>
  <c r="JY357" i="1"/>
  <c r="JX357" i="1"/>
  <c r="KS357" i="1"/>
  <c r="KR357" i="1"/>
  <c r="KQ357" i="1"/>
  <c r="KY356" i="1"/>
  <c r="KX356" i="1"/>
  <c r="KW356" i="1"/>
  <c r="KV356" i="1"/>
  <c r="KU356" i="1"/>
  <c r="KT356" i="1"/>
  <c r="KR356" i="1"/>
  <c r="KO356" i="1"/>
  <c r="KN356" i="1"/>
  <c r="KK356" i="1"/>
  <c r="KJ356" i="1"/>
  <c r="KG356" i="1"/>
  <c r="KF356" i="1"/>
  <c r="KC356" i="1"/>
  <c r="KB356" i="1"/>
  <c r="JY356" i="1"/>
  <c r="JX356" i="1"/>
  <c r="KS356" i="1"/>
  <c r="KQ356" i="1"/>
  <c r="KY355" i="1"/>
  <c r="KX355" i="1"/>
  <c r="KW355" i="1"/>
  <c r="KV355" i="1"/>
  <c r="KU355" i="1"/>
  <c r="KT355" i="1"/>
  <c r="KQ355" i="1"/>
  <c r="KO355" i="1"/>
  <c r="KN355" i="1"/>
  <c r="KK355" i="1"/>
  <c r="KJ355" i="1"/>
  <c r="KG355" i="1"/>
  <c r="KF355" i="1"/>
  <c r="KC355" i="1"/>
  <c r="KB355" i="1"/>
  <c r="JY355" i="1"/>
  <c r="JX355" i="1"/>
  <c r="KS355" i="1"/>
  <c r="KR355" i="1"/>
  <c r="KY354" i="1"/>
  <c r="KX354" i="1"/>
  <c r="KW354" i="1"/>
  <c r="KV354" i="1"/>
  <c r="KU354" i="1"/>
  <c r="KT354" i="1"/>
  <c r="KO354" i="1"/>
  <c r="KN354" i="1"/>
  <c r="KK354" i="1"/>
  <c r="KJ354" i="1"/>
  <c r="KG354" i="1"/>
  <c r="KF354" i="1"/>
  <c r="KC354" i="1"/>
  <c r="KB354" i="1"/>
  <c r="JY354" i="1"/>
  <c r="JX354" i="1"/>
  <c r="KS354" i="1"/>
  <c r="KR354" i="1"/>
  <c r="KQ354" i="1"/>
  <c r="KY353" i="1"/>
  <c r="KX353" i="1"/>
  <c r="KW353" i="1"/>
  <c r="KV353" i="1"/>
  <c r="KU353" i="1"/>
  <c r="KT353" i="1"/>
  <c r="KS353" i="1"/>
  <c r="KO353" i="1"/>
  <c r="KN353" i="1"/>
  <c r="KK353" i="1"/>
  <c r="KJ353" i="1"/>
  <c r="KG353" i="1"/>
  <c r="KF353" i="1"/>
  <c r="KC353" i="1"/>
  <c r="KB353" i="1"/>
  <c r="JY353" i="1"/>
  <c r="JX353" i="1"/>
  <c r="KR353" i="1"/>
  <c r="KQ353" i="1"/>
  <c r="KY352" i="1"/>
  <c r="KX352" i="1"/>
  <c r="KW352" i="1"/>
  <c r="KV352" i="1"/>
  <c r="KU352" i="1"/>
  <c r="KT352" i="1"/>
  <c r="KR352" i="1"/>
  <c r="KO352" i="1"/>
  <c r="KN352" i="1"/>
  <c r="KK352" i="1"/>
  <c r="KJ352" i="1"/>
  <c r="KG352" i="1"/>
  <c r="KF352" i="1"/>
  <c r="KC352" i="1"/>
  <c r="KB352" i="1"/>
  <c r="JY352" i="1"/>
  <c r="JX352" i="1"/>
  <c r="KS352" i="1"/>
  <c r="KQ352" i="1"/>
  <c r="KY351" i="1"/>
  <c r="KX351" i="1"/>
  <c r="KW351" i="1"/>
  <c r="KV351" i="1"/>
  <c r="KU351" i="1"/>
  <c r="KT351" i="1"/>
  <c r="KQ351" i="1"/>
  <c r="KO351" i="1"/>
  <c r="KN351" i="1"/>
  <c r="KK351" i="1"/>
  <c r="KJ351" i="1"/>
  <c r="KG351" i="1"/>
  <c r="KF351" i="1"/>
  <c r="KC351" i="1"/>
  <c r="KB351" i="1"/>
  <c r="JY351" i="1"/>
  <c r="JX351" i="1"/>
  <c r="KS351" i="1"/>
  <c r="KR351" i="1"/>
  <c r="KY350" i="1"/>
  <c r="KX350" i="1"/>
  <c r="KW350" i="1"/>
  <c r="KV350" i="1"/>
  <c r="KU350" i="1"/>
  <c r="KT350" i="1"/>
  <c r="KO350" i="1"/>
  <c r="KN350" i="1"/>
  <c r="KK350" i="1"/>
  <c r="KJ350" i="1"/>
  <c r="KG350" i="1"/>
  <c r="KF350" i="1"/>
  <c r="KC350" i="1"/>
  <c r="KB350" i="1"/>
  <c r="JY350" i="1"/>
  <c r="JX350" i="1"/>
  <c r="KS350" i="1"/>
  <c r="KR350" i="1"/>
  <c r="KQ350" i="1"/>
  <c r="KY349" i="1"/>
  <c r="KX349" i="1"/>
  <c r="KW349" i="1"/>
  <c r="KV349" i="1"/>
  <c r="KU349" i="1"/>
  <c r="KT349" i="1"/>
  <c r="KO349" i="1"/>
  <c r="KN349" i="1"/>
  <c r="KK349" i="1"/>
  <c r="KJ349" i="1"/>
  <c r="KG349" i="1"/>
  <c r="KF349" i="1"/>
  <c r="KC349" i="1"/>
  <c r="KB349" i="1"/>
  <c r="JY349" i="1"/>
  <c r="JX349" i="1"/>
  <c r="KS349" i="1"/>
  <c r="KR349" i="1"/>
  <c r="KQ349" i="1"/>
  <c r="KY348" i="1"/>
  <c r="KX348" i="1"/>
  <c r="KW348" i="1"/>
  <c r="KV348" i="1"/>
  <c r="KU348" i="1"/>
  <c r="KT348" i="1"/>
  <c r="KR348" i="1"/>
  <c r="KO348" i="1"/>
  <c r="KN348" i="1"/>
  <c r="KK348" i="1"/>
  <c r="KJ348" i="1"/>
  <c r="KG348" i="1"/>
  <c r="KF348" i="1"/>
  <c r="KC348" i="1"/>
  <c r="KB348" i="1"/>
  <c r="JY348" i="1"/>
  <c r="JX348" i="1"/>
  <c r="KS348" i="1"/>
  <c r="KQ348" i="1"/>
  <c r="KY347" i="1"/>
  <c r="KX347" i="1"/>
  <c r="KW347" i="1"/>
  <c r="KV347" i="1"/>
  <c r="KU347" i="1"/>
  <c r="KT347" i="1"/>
  <c r="KO347" i="1"/>
  <c r="KN347" i="1"/>
  <c r="KK347" i="1"/>
  <c r="KJ347" i="1"/>
  <c r="KG347" i="1"/>
  <c r="KF347" i="1"/>
  <c r="KC347" i="1"/>
  <c r="KB347" i="1"/>
  <c r="JY347" i="1"/>
  <c r="JX347" i="1"/>
  <c r="KS347" i="1"/>
  <c r="KR347" i="1"/>
  <c r="KQ347" i="1"/>
  <c r="KY346" i="1"/>
  <c r="KX346" i="1"/>
  <c r="KW346" i="1"/>
  <c r="KV346" i="1"/>
  <c r="KU346" i="1"/>
  <c r="KT346" i="1"/>
  <c r="KO346" i="1"/>
  <c r="KN346" i="1"/>
  <c r="KK346" i="1"/>
  <c r="KJ346" i="1"/>
  <c r="KG346" i="1"/>
  <c r="KF346" i="1"/>
  <c r="KC346" i="1"/>
  <c r="KB346" i="1"/>
  <c r="JY346" i="1"/>
  <c r="JZ346" i="1"/>
  <c r="JX346" i="1"/>
  <c r="KS346" i="1"/>
  <c r="KR346" i="1"/>
  <c r="KQ346" i="1"/>
  <c r="KY345" i="1"/>
  <c r="KX345" i="1"/>
  <c r="KW345" i="1"/>
  <c r="KV345" i="1"/>
  <c r="KU345" i="1"/>
  <c r="KT345" i="1"/>
  <c r="KS345" i="1"/>
  <c r="KO345" i="1"/>
  <c r="KN345" i="1"/>
  <c r="KK345" i="1"/>
  <c r="KJ345" i="1"/>
  <c r="KG345" i="1"/>
  <c r="KF345" i="1"/>
  <c r="KC345" i="1"/>
  <c r="KB345" i="1"/>
  <c r="JY345" i="1"/>
  <c r="JX345" i="1"/>
  <c r="KR345" i="1"/>
  <c r="KQ345" i="1"/>
  <c r="KY344" i="1"/>
  <c r="KX344" i="1"/>
  <c r="KW344" i="1"/>
  <c r="KV344" i="1"/>
  <c r="KU344" i="1"/>
  <c r="KT344" i="1"/>
  <c r="KR344" i="1"/>
  <c r="KO344" i="1"/>
  <c r="KN344" i="1"/>
  <c r="KK344" i="1"/>
  <c r="KJ344" i="1"/>
  <c r="KG344" i="1"/>
  <c r="KF344" i="1"/>
  <c r="KC344" i="1"/>
  <c r="KB344" i="1"/>
  <c r="JY344" i="1"/>
  <c r="JX344" i="1"/>
  <c r="KS344" i="1"/>
  <c r="KQ344" i="1"/>
  <c r="KY343" i="1"/>
  <c r="KX343" i="1"/>
  <c r="KW343" i="1"/>
  <c r="KV343" i="1"/>
  <c r="KU343" i="1"/>
  <c r="KT343" i="1"/>
  <c r="KS343" i="1"/>
  <c r="KO343" i="1"/>
  <c r="KN343" i="1"/>
  <c r="KK343" i="1"/>
  <c r="KJ343" i="1"/>
  <c r="KG343" i="1"/>
  <c r="KF343" i="1"/>
  <c r="KC343" i="1"/>
  <c r="KB343" i="1"/>
  <c r="JY343" i="1"/>
  <c r="JX343" i="1"/>
  <c r="KR343" i="1"/>
  <c r="KQ343" i="1"/>
  <c r="KY342" i="1"/>
  <c r="KX342" i="1"/>
  <c r="KW342" i="1"/>
  <c r="KV342" i="1"/>
  <c r="KU342" i="1"/>
  <c r="KT342" i="1"/>
  <c r="KR342" i="1"/>
  <c r="KO342" i="1"/>
  <c r="KN342" i="1"/>
  <c r="KK342" i="1"/>
  <c r="KJ342" i="1"/>
  <c r="KG342" i="1"/>
  <c r="KF342" i="1"/>
  <c r="KC342" i="1"/>
  <c r="KB342" i="1"/>
  <c r="JY342" i="1"/>
  <c r="JX342" i="1"/>
  <c r="KS342" i="1"/>
  <c r="KQ342" i="1"/>
  <c r="KY341" i="1"/>
  <c r="KX341" i="1"/>
  <c r="KW341" i="1"/>
  <c r="KV341" i="1"/>
  <c r="KU341" i="1"/>
  <c r="KT341" i="1"/>
  <c r="KS341" i="1"/>
  <c r="KO341" i="1"/>
  <c r="KN341" i="1"/>
  <c r="KK341" i="1"/>
  <c r="KJ341" i="1"/>
  <c r="KG341" i="1"/>
  <c r="KH341" i="1"/>
  <c r="KF341" i="1"/>
  <c r="KC341" i="1"/>
  <c r="KB341" i="1"/>
  <c r="JY341" i="1"/>
  <c r="JX341" i="1"/>
  <c r="KR341" i="1"/>
  <c r="KQ341" i="1"/>
  <c r="KY340" i="1"/>
  <c r="KX340" i="1"/>
  <c r="KW340" i="1"/>
  <c r="KV340" i="1"/>
  <c r="KU340" i="1"/>
  <c r="KT340" i="1"/>
  <c r="KR340" i="1"/>
  <c r="KO340" i="1"/>
  <c r="KN340" i="1"/>
  <c r="KK340" i="1"/>
  <c r="KJ340" i="1"/>
  <c r="KG340" i="1"/>
  <c r="KF340" i="1"/>
  <c r="KC340" i="1"/>
  <c r="KB340" i="1"/>
  <c r="JY340" i="1"/>
  <c r="JX340" i="1"/>
  <c r="KS340" i="1"/>
  <c r="KQ340" i="1"/>
  <c r="KY339" i="1"/>
  <c r="KX339" i="1"/>
  <c r="KW339" i="1"/>
  <c r="KV339" i="1"/>
  <c r="KU339" i="1"/>
  <c r="KT339" i="1"/>
  <c r="KS339" i="1"/>
  <c r="KQ339" i="1"/>
  <c r="KO339" i="1"/>
  <c r="KN339" i="1"/>
  <c r="KK339" i="1"/>
  <c r="KJ339" i="1"/>
  <c r="KG339" i="1"/>
  <c r="KF339" i="1"/>
  <c r="KC339" i="1"/>
  <c r="KB339" i="1"/>
  <c r="JY339" i="1"/>
  <c r="JX339" i="1"/>
  <c r="KR339" i="1"/>
  <c r="KY338" i="1"/>
  <c r="KX338" i="1"/>
  <c r="KW338" i="1"/>
  <c r="KV338" i="1"/>
  <c r="KU338" i="1"/>
  <c r="KT338" i="1"/>
  <c r="KO338" i="1"/>
  <c r="KN338" i="1"/>
  <c r="KK338" i="1"/>
  <c r="KL338" i="1"/>
  <c r="KJ338" i="1"/>
  <c r="KG338" i="1"/>
  <c r="KF338" i="1"/>
  <c r="KC338" i="1"/>
  <c r="KB338" i="1"/>
  <c r="JY338" i="1"/>
  <c r="JZ338" i="1"/>
  <c r="JX338" i="1"/>
  <c r="KS338" i="1"/>
  <c r="KR338" i="1"/>
  <c r="KQ338" i="1"/>
  <c r="KY337" i="1"/>
  <c r="KX337" i="1"/>
  <c r="KW337" i="1"/>
  <c r="KV337" i="1"/>
  <c r="KU337" i="1"/>
  <c r="KT337" i="1"/>
  <c r="KQ337" i="1"/>
  <c r="KO337" i="1"/>
  <c r="KP337" i="1"/>
  <c r="KN337" i="1"/>
  <c r="KK337" i="1"/>
  <c r="KJ337" i="1"/>
  <c r="KG337" i="1"/>
  <c r="KF337" i="1"/>
  <c r="KC337" i="1"/>
  <c r="KB337" i="1"/>
  <c r="JY337" i="1"/>
  <c r="JZ337" i="1"/>
  <c r="JX337" i="1"/>
  <c r="KS337" i="1"/>
  <c r="KR337" i="1"/>
  <c r="KY336" i="1"/>
  <c r="KX336" i="1"/>
  <c r="KW336" i="1"/>
  <c r="KV336" i="1"/>
  <c r="KU336" i="1"/>
  <c r="KT336" i="1"/>
  <c r="KO336" i="1"/>
  <c r="KN336" i="1"/>
  <c r="KK336" i="1"/>
  <c r="KJ336" i="1"/>
  <c r="KG336" i="1"/>
  <c r="KF336" i="1"/>
  <c r="KC336" i="1"/>
  <c r="KB336" i="1"/>
  <c r="JY336" i="1"/>
  <c r="JX336" i="1"/>
  <c r="KS336" i="1"/>
  <c r="KR336" i="1"/>
  <c r="KQ336" i="1"/>
  <c r="KY335" i="1"/>
  <c r="KX335" i="1"/>
  <c r="KW335" i="1"/>
  <c r="KV335" i="1"/>
  <c r="KU335" i="1"/>
  <c r="KT335" i="1"/>
  <c r="KQ335" i="1"/>
  <c r="KO335" i="1"/>
  <c r="KN335" i="1"/>
  <c r="KK335" i="1"/>
  <c r="KJ335" i="1"/>
  <c r="KG335" i="1"/>
  <c r="KF335" i="1"/>
  <c r="KC335" i="1"/>
  <c r="KD335" i="1"/>
  <c r="KB335" i="1"/>
  <c r="JY335" i="1"/>
  <c r="JX335" i="1"/>
  <c r="KS335" i="1"/>
  <c r="KR335" i="1"/>
  <c r="KY334" i="1"/>
  <c r="KX334" i="1"/>
  <c r="KW334" i="1"/>
  <c r="KV334" i="1"/>
  <c r="KU334" i="1"/>
  <c r="KT334" i="1"/>
  <c r="KO334" i="1"/>
  <c r="KN334" i="1"/>
  <c r="KK334" i="1"/>
  <c r="KJ334" i="1"/>
  <c r="KG334" i="1"/>
  <c r="KF334" i="1"/>
  <c r="KC334" i="1"/>
  <c r="KD334" i="1"/>
  <c r="KB334" i="1"/>
  <c r="JY334" i="1"/>
  <c r="JX334" i="1"/>
  <c r="KS334" i="1"/>
  <c r="KR334" i="1"/>
  <c r="KQ334" i="1"/>
  <c r="KY333" i="1"/>
  <c r="KX333" i="1"/>
  <c r="KW333" i="1"/>
  <c r="KV333" i="1"/>
  <c r="KU333" i="1"/>
  <c r="KT333" i="1"/>
  <c r="KS333" i="1"/>
  <c r="KO333" i="1"/>
  <c r="KN333" i="1"/>
  <c r="KK333" i="1"/>
  <c r="KJ333" i="1"/>
  <c r="KG333" i="1"/>
  <c r="KF333" i="1"/>
  <c r="KC333" i="1"/>
  <c r="KB333" i="1"/>
  <c r="JY333" i="1"/>
  <c r="JZ333" i="1"/>
  <c r="JX333" i="1"/>
  <c r="KR333" i="1"/>
  <c r="KQ333" i="1"/>
  <c r="KY332" i="1"/>
  <c r="KX332" i="1"/>
  <c r="KW332" i="1"/>
  <c r="KV332" i="1"/>
  <c r="KU332" i="1"/>
  <c r="KT332" i="1"/>
  <c r="KO332" i="1"/>
  <c r="KN332" i="1"/>
  <c r="KK332" i="1"/>
  <c r="KL332" i="1"/>
  <c r="KJ332" i="1"/>
  <c r="KG332" i="1"/>
  <c r="KF332" i="1"/>
  <c r="KC332" i="1"/>
  <c r="KD332" i="1"/>
  <c r="KB332" i="1"/>
  <c r="JY332" i="1"/>
  <c r="JX332" i="1"/>
  <c r="KS332" i="1"/>
  <c r="KR332" i="1"/>
  <c r="KQ332" i="1"/>
  <c r="KY331" i="1"/>
  <c r="KX331" i="1"/>
  <c r="KW331" i="1"/>
  <c r="KV331" i="1"/>
  <c r="KU331" i="1"/>
  <c r="KT331" i="1"/>
  <c r="KN331" i="1"/>
  <c r="KK331" i="1"/>
  <c r="KJ331" i="1"/>
  <c r="KG331" i="1"/>
  <c r="KF331" i="1"/>
  <c r="KC331" i="1"/>
  <c r="KB331" i="1"/>
  <c r="JY331" i="1"/>
  <c r="JX331" i="1"/>
  <c r="KS331" i="1"/>
  <c r="KR331" i="1"/>
  <c r="KQ331" i="1"/>
  <c r="KY330" i="1"/>
  <c r="KX330" i="1"/>
  <c r="KW330" i="1"/>
  <c r="KV330" i="1"/>
  <c r="KU330" i="1"/>
  <c r="KT330" i="1"/>
  <c r="KS330" i="1"/>
  <c r="KO330" i="1"/>
  <c r="KN330" i="1"/>
  <c r="KK330" i="1"/>
  <c r="KJ330" i="1"/>
  <c r="KG330" i="1"/>
  <c r="KF330" i="1"/>
  <c r="KC330" i="1"/>
  <c r="KB330" i="1"/>
  <c r="JY330" i="1"/>
  <c r="JX330" i="1"/>
  <c r="KR330" i="1"/>
  <c r="KQ330" i="1"/>
  <c r="KY329" i="1"/>
  <c r="KX329" i="1"/>
  <c r="KW329" i="1"/>
  <c r="KV329" i="1"/>
  <c r="KU329" i="1"/>
  <c r="KT329" i="1"/>
  <c r="KS329" i="1"/>
  <c r="KO329" i="1"/>
  <c r="KN329" i="1"/>
  <c r="KK329" i="1"/>
  <c r="KJ329" i="1"/>
  <c r="KG329" i="1"/>
  <c r="KF329" i="1"/>
  <c r="KC329" i="1"/>
  <c r="KB329" i="1"/>
  <c r="JY329" i="1"/>
  <c r="JX329" i="1"/>
  <c r="KR329" i="1"/>
  <c r="KQ329" i="1"/>
  <c r="KY328" i="1"/>
  <c r="KX328" i="1"/>
  <c r="KW328" i="1"/>
  <c r="KV328" i="1"/>
  <c r="KU328" i="1"/>
  <c r="KT328" i="1"/>
  <c r="KO328" i="1"/>
  <c r="KN328" i="1"/>
  <c r="KK328" i="1"/>
  <c r="KJ328" i="1"/>
  <c r="KG328" i="1"/>
  <c r="KF328" i="1"/>
  <c r="KC328" i="1"/>
  <c r="KB328" i="1"/>
  <c r="JY328" i="1"/>
  <c r="JX328" i="1"/>
  <c r="KS328" i="1"/>
  <c r="KR328" i="1"/>
  <c r="KQ328" i="1"/>
  <c r="KY327" i="1"/>
  <c r="KX327" i="1"/>
  <c r="KW327" i="1"/>
  <c r="KV327" i="1"/>
  <c r="KU327" i="1"/>
  <c r="KT327" i="1"/>
  <c r="KO327" i="1"/>
  <c r="KN327" i="1"/>
  <c r="KK327" i="1"/>
  <c r="KJ327" i="1"/>
  <c r="KG327" i="1"/>
  <c r="KF327" i="1"/>
  <c r="KC327" i="1"/>
  <c r="KB327" i="1"/>
  <c r="JY327" i="1"/>
  <c r="JX327" i="1"/>
  <c r="KS327" i="1"/>
  <c r="KR327" i="1"/>
  <c r="KQ327" i="1"/>
  <c r="KY326" i="1"/>
  <c r="KX326" i="1"/>
  <c r="KW326" i="1"/>
  <c r="KV326" i="1"/>
  <c r="KU326" i="1"/>
  <c r="KT326" i="1"/>
  <c r="KS326" i="1"/>
  <c r="KO326" i="1"/>
  <c r="KN326" i="1"/>
  <c r="KK326" i="1"/>
  <c r="KJ326" i="1"/>
  <c r="KG326" i="1"/>
  <c r="KF326" i="1"/>
  <c r="KC326" i="1"/>
  <c r="KB326" i="1"/>
  <c r="JY326" i="1"/>
  <c r="JX326" i="1"/>
  <c r="KR326" i="1"/>
  <c r="KQ326" i="1"/>
  <c r="KY325" i="1"/>
  <c r="KX325" i="1"/>
  <c r="KW325" i="1"/>
  <c r="KV325" i="1"/>
  <c r="KU325" i="1"/>
  <c r="KT325" i="1"/>
  <c r="KS325" i="1"/>
  <c r="KO325" i="1"/>
  <c r="KP325" i="1"/>
  <c r="KN325" i="1"/>
  <c r="KK325" i="1"/>
  <c r="KJ325" i="1"/>
  <c r="KG325" i="1"/>
  <c r="KH325" i="1"/>
  <c r="KF325" i="1"/>
  <c r="KC325" i="1"/>
  <c r="KB325" i="1"/>
  <c r="JY325" i="1"/>
  <c r="JZ325" i="1"/>
  <c r="JX325" i="1"/>
  <c r="KR325" i="1"/>
  <c r="KQ325" i="1"/>
  <c r="KY324" i="1"/>
  <c r="KX324" i="1"/>
  <c r="KW324" i="1"/>
  <c r="KV324" i="1"/>
  <c r="KU324" i="1"/>
  <c r="KT324" i="1"/>
  <c r="KO324" i="1"/>
  <c r="KN324" i="1"/>
  <c r="KK324" i="1"/>
  <c r="KJ324" i="1"/>
  <c r="KG324" i="1"/>
  <c r="KF324" i="1"/>
  <c r="KC324" i="1"/>
  <c r="KD324" i="1"/>
  <c r="KB324" i="1"/>
  <c r="JY324" i="1"/>
  <c r="JZ324" i="1"/>
  <c r="JX324" i="1"/>
  <c r="KS324" i="1"/>
  <c r="KR324" i="1"/>
  <c r="KQ324" i="1"/>
  <c r="KY323" i="1"/>
  <c r="KX323" i="1"/>
  <c r="KW323" i="1"/>
  <c r="KV323" i="1"/>
  <c r="KU323" i="1"/>
  <c r="KT323" i="1"/>
  <c r="KO323" i="1"/>
  <c r="KP323" i="1"/>
  <c r="KN323" i="1"/>
  <c r="KK323" i="1"/>
  <c r="KJ323" i="1"/>
  <c r="KH323" i="1"/>
  <c r="KG323" i="1"/>
  <c r="KF323" i="1"/>
  <c r="KC323" i="1"/>
  <c r="KD323" i="1"/>
  <c r="KB323" i="1"/>
  <c r="JY323" i="1"/>
  <c r="JX323" i="1"/>
  <c r="KS323" i="1"/>
  <c r="KR323" i="1"/>
  <c r="KQ323" i="1"/>
  <c r="KY322" i="1"/>
  <c r="KX322" i="1"/>
  <c r="KW322" i="1"/>
  <c r="KV322" i="1"/>
  <c r="KU322" i="1"/>
  <c r="KT322" i="1"/>
  <c r="KS322" i="1"/>
  <c r="KO322" i="1"/>
  <c r="KN322" i="1"/>
  <c r="KK322" i="1"/>
  <c r="KJ322" i="1"/>
  <c r="KG322" i="1"/>
  <c r="KF322" i="1"/>
  <c r="KC322" i="1"/>
  <c r="KB322" i="1"/>
  <c r="JY322" i="1"/>
  <c r="JX322" i="1"/>
  <c r="KR322" i="1"/>
  <c r="KQ322" i="1"/>
  <c r="KY321" i="1"/>
  <c r="KX321" i="1"/>
  <c r="KW321" i="1"/>
  <c r="KV321" i="1"/>
  <c r="KU321" i="1"/>
  <c r="KT321" i="1"/>
  <c r="KS321" i="1"/>
  <c r="KO321" i="1"/>
  <c r="KP321" i="1"/>
  <c r="KN321" i="1"/>
  <c r="KK321" i="1"/>
  <c r="KJ321" i="1"/>
  <c r="KG321" i="1"/>
  <c r="KH321" i="1"/>
  <c r="KF321" i="1"/>
  <c r="KC321" i="1"/>
  <c r="KB321" i="1"/>
  <c r="JY321" i="1"/>
  <c r="JX321" i="1"/>
  <c r="KR321" i="1"/>
  <c r="KQ321" i="1"/>
  <c r="KY320" i="1"/>
  <c r="KX320" i="1"/>
  <c r="KW320" i="1"/>
  <c r="KV320" i="1"/>
  <c r="KU320" i="1"/>
  <c r="KT320" i="1"/>
  <c r="KS320" i="1"/>
  <c r="KR320" i="1"/>
  <c r="KQ320" i="1"/>
  <c r="KO320" i="1"/>
  <c r="KN320" i="1"/>
  <c r="KK320" i="1"/>
  <c r="KJ320" i="1"/>
  <c r="KG320" i="1"/>
  <c r="KF320" i="1"/>
  <c r="KC320" i="1"/>
  <c r="KD320" i="1"/>
  <c r="KB320" i="1"/>
  <c r="JY320" i="1"/>
  <c r="JX320" i="1"/>
  <c r="KY319" i="1"/>
  <c r="KX319" i="1"/>
  <c r="KW319" i="1"/>
  <c r="KV319" i="1"/>
  <c r="KU319" i="1"/>
  <c r="KT319" i="1"/>
  <c r="KO319" i="1"/>
  <c r="KN319" i="1"/>
  <c r="KK319" i="1"/>
  <c r="KJ319" i="1"/>
  <c r="KG319" i="1"/>
  <c r="KF319" i="1"/>
  <c r="KC319" i="1"/>
  <c r="KB319" i="1"/>
  <c r="KD319" i="1"/>
  <c r="JY319" i="1"/>
  <c r="JX319" i="1"/>
  <c r="KS319" i="1"/>
  <c r="KR319" i="1"/>
  <c r="KQ319" i="1"/>
  <c r="KY318" i="1"/>
  <c r="KX318" i="1"/>
  <c r="KW318" i="1"/>
  <c r="KV318" i="1"/>
  <c r="KU318" i="1"/>
  <c r="KT318" i="1"/>
  <c r="KO318" i="1"/>
  <c r="KN318" i="1"/>
  <c r="KK318" i="1"/>
  <c r="KJ318" i="1"/>
  <c r="KG318" i="1"/>
  <c r="KF318" i="1"/>
  <c r="KC318" i="1"/>
  <c r="KB318" i="1"/>
  <c r="JY318" i="1"/>
  <c r="JX318" i="1"/>
  <c r="KS318" i="1"/>
  <c r="KR318" i="1"/>
  <c r="KQ318" i="1"/>
  <c r="KY317" i="1"/>
  <c r="KX317" i="1"/>
  <c r="KW317" i="1"/>
  <c r="KV317" i="1"/>
  <c r="KU317" i="1"/>
  <c r="KT317" i="1"/>
  <c r="KS317" i="1"/>
  <c r="KO317" i="1"/>
  <c r="KN317" i="1"/>
  <c r="KK317" i="1"/>
  <c r="KJ317" i="1"/>
  <c r="KG317" i="1"/>
  <c r="KF317" i="1"/>
  <c r="KC317" i="1"/>
  <c r="KB317" i="1"/>
  <c r="JY317" i="1"/>
  <c r="JX317" i="1"/>
  <c r="KR317" i="1"/>
  <c r="KQ317" i="1"/>
  <c r="KY316" i="1"/>
  <c r="KX316" i="1"/>
  <c r="KW316" i="1"/>
  <c r="KV316" i="1"/>
  <c r="KU316" i="1"/>
  <c r="KT316" i="1"/>
  <c r="KS316" i="1"/>
  <c r="KR316" i="1"/>
  <c r="KQ316" i="1"/>
  <c r="KO316" i="1"/>
  <c r="KN316" i="1"/>
  <c r="KK316" i="1"/>
  <c r="KJ316" i="1"/>
  <c r="KG316" i="1"/>
  <c r="KF316" i="1"/>
  <c r="KC316" i="1"/>
  <c r="KB316" i="1"/>
  <c r="JY316" i="1"/>
  <c r="JX316" i="1"/>
  <c r="KY315" i="1"/>
  <c r="KX315" i="1"/>
  <c r="KW315" i="1"/>
  <c r="KV315" i="1"/>
  <c r="KU315" i="1"/>
  <c r="KT315" i="1"/>
  <c r="KS315" i="1"/>
  <c r="KO315" i="1"/>
  <c r="KN315" i="1"/>
  <c r="KK315" i="1"/>
  <c r="KJ315" i="1"/>
  <c r="KG315" i="1"/>
  <c r="KF315" i="1"/>
  <c r="KC315" i="1"/>
  <c r="KB315" i="1"/>
  <c r="JY315" i="1"/>
  <c r="JX315" i="1"/>
  <c r="KR315" i="1"/>
  <c r="KQ315" i="1"/>
  <c r="KY314" i="1"/>
  <c r="KX314" i="1"/>
  <c r="KW314" i="1"/>
  <c r="KV314" i="1"/>
  <c r="KU314" i="1"/>
  <c r="KT314" i="1"/>
  <c r="KO314" i="1"/>
  <c r="KN314" i="1"/>
  <c r="KK314" i="1"/>
  <c r="KJ314" i="1"/>
  <c r="KG314" i="1"/>
  <c r="KF314" i="1"/>
  <c r="KC314" i="1"/>
  <c r="KB314" i="1"/>
  <c r="JY314" i="1"/>
  <c r="JX314" i="1"/>
  <c r="KS314" i="1"/>
  <c r="KR314" i="1"/>
  <c r="KQ314" i="1"/>
  <c r="KY313" i="1"/>
  <c r="KX313" i="1"/>
  <c r="KW313" i="1"/>
  <c r="KV313" i="1"/>
  <c r="KU313" i="1"/>
  <c r="KT313" i="1"/>
  <c r="KO313" i="1"/>
  <c r="KP313" i="1"/>
  <c r="KN313" i="1"/>
  <c r="KK313" i="1"/>
  <c r="KJ313" i="1"/>
  <c r="KG313" i="1"/>
  <c r="KH313" i="1"/>
  <c r="KF313" i="1"/>
  <c r="KC313" i="1"/>
  <c r="KB313" i="1"/>
  <c r="JY313" i="1"/>
  <c r="JZ313" i="1"/>
  <c r="JX313" i="1"/>
  <c r="KS313" i="1"/>
  <c r="KR313" i="1"/>
  <c r="KQ313" i="1"/>
  <c r="KY312" i="1"/>
  <c r="KX312" i="1"/>
  <c r="KW312" i="1"/>
  <c r="KV312" i="1"/>
  <c r="KU312" i="1"/>
  <c r="KT312" i="1"/>
  <c r="KS312" i="1"/>
  <c r="KO312" i="1"/>
  <c r="KP312" i="1"/>
  <c r="KN312" i="1"/>
  <c r="KK312" i="1"/>
  <c r="KJ312" i="1"/>
  <c r="KG312" i="1"/>
  <c r="KF312" i="1"/>
  <c r="KC312" i="1"/>
  <c r="KB312" i="1"/>
  <c r="JY312" i="1"/>
  <c r="JX312" i="1"/>
  <c r="KR312" i="1"/>
  <c r="KQ312" i="1"/>
  <c r="KY311" i="1"/>
  <c r="KX311" i="1"/>
  <c r="KW311" i="1"/>
  <c r="KV311" i="1"/>
  <c r="KU311" i="1"/>
  <c r="KT311" i="1"/>
  <c r="KS311" i="1"/>
  <c r="KO311" i="1"/>
  <c r="KN311" i="1"/>
  <c r="KK311" i="1"/>
  <c r="KJ311" i="1"/>
  <c r="KG311" i="1"/>
  <c r="KF311" i="1"/>
  <c r="KC311" i="1"/>
  <c r="KB311" i="1"/>
  <c r="JY311" i="1"/>
  <c r="JX311" i="1"/>
  <c r="KR311" i="1"/>
  <c r="KQ311" i="1"/>
  <c r="KY310" i="1"/>
  <c r="KX310" i="1"/>
  <c r="KW310" i="1"/>
  <c r="KV310" i="1"/>
  <c r="KU310" i="1"/>
  <c r="KT310" i="1"/>
  <c r="KO310" i="1"/>
  <c r="KN310" i="1"/>
  <c r="KK310" i="1"/>
  <c r="KJ310" i="1"/>
  <c r="KG310" i="1"/>
  <c r="KF310" i="1"/>
  <c r="KC310" i="1"/>
  <c r="KB310" i="1"/>
  <c r="JY310" i="1"/>
  <c r="JX310" i="1"/>
  <c r="KS310" i="1"/>
  <c r="KR310" i="1"/>
  <c r="KQ310" i="1"/>
  <c r="KY309" i="1"/>
  <c r="KX309" i="1"/>
  <c r="KW309" i="1"/>
  <c r="KV309" i="1"/>
  <c r="KU309" i="1"/>
  <c r="KT309" i="1"/>
  <c r="KO309" i="1"/>
  <c r="KP309" i="1"/>
  <c r="KN309" i="1"/>
  <c r="KK309" i="1"/>
  <c r="KJ309" i="1"/>
  <c r="KG309" i="1"/>
  <c r="KH309" i="1"/>
  <c r="KF309" i="1"/>
  <c r="KC309" i="1"/>
  <c r="KB309" i="1"/>
  <c r="JY309" i="1"/>
  <c r="JZ309" i="1"/>
  <c r="JX309" i="1"/>
  <c r="KS309" i="1"/>
  <c r="KR309" i="1"/>
  <c r="KQ309" i="1"/>
  <c r="KY308" i="1"/>
  <c r="KX308" i="1"/>
  <c r="KW308" i="1"/>
  <c r="KV308" i="1"/>
  <c r="KU308" i="1"/>
  <c r="KT308" i="1"/>
  <c r="KS308" i="1"/>
  <c r="KR308" i="1"/>
  <c r="KQ308" i="1"/>
  <c r="KO308" i="1"/>
  <c r="KN308" i="1"/>
  <c r="KK308" i="1"/>
  <c r="KJ308" i="1"/>
  <c r="KG308" i="1"/>
  <c r="KF308" i="1"/>
  <c r="KC308" i="1"/>
  <c r="KB308" i="1"/>
  <c r="JY308" i="1"/>
  <c r="JX308" i="1"/>
  <c r="KY307" i="1"/>
  <c r="KX307" i="1"/>
  <c r="KW307" i="1"/>
  <c r="KV307" i="1"/>
  <c r="KU307" i="1"/>
  <c r="KT307" i="1"/>
  <c r="KS307" i="1"/>
  <c r="KO307" i="1"/>
  <c r="KN307" i="1"/>
  <c r="KK307" i="1"/>
  <c r="KJ307" i="1"/>
  <c r="KG307" i="1"/>
  <c r="KF307" i="1"/>
  <c r="KC307" i="1"/>
  <c r="KB307" i="1"/>
  <c r="JY307" i="1"/>
  <c r="JX307" i="1"/>
  <c r="KR307" i="1"/>
  <c r="KQ307" i="1"/>
  <c r="KY306" i="1"/>
  <c r="KX306" i="1"/>
  <c r="KW306" i="1"/>
  <c r="KV306" i="1"/>
  <c r="KU306" i="1"/>
  <c r="KT306" i="1"/>
  <c r="KO306" i="1"/>
  <c r="KN306" i="1"/>
  <c r="KK306" i="1"/>
  <c r="KJ306" i="1"/>
  <c r="KG306" i="1"/>
  <c r="KF306" i="1"/>
  <c r="KC306" i="1"/>
  <c r="KB306" i="1"/>
  <c r="JY306" i="1"/>
  <c r="JX306" i="1"/>
  <c r="KS306" i="1"/>
  <c r="KR306" i="1"/>
  <c r="KQ306" i="1"/>
  <c r="KY305" i="1"/>
  <c r="KX305" i="1"/>
  <c r="KW305" i="1"/>
  <c r="KV305" i="1"/>
  <c r="KU305" i="1"/>
  <c r="KT305" i="1"/>
  <c r="KO305" i="1"/>
  <c r="KP305" i="1"/>
  <c r="KN305" i="1"/>
  <c r="KK305" i="1"/>
  <c r="KL305" i="1"/>
  <c r="KJ305" i="1"/>
  <c r="KG305" i="1"/>
  <c r="KF305" i="1"/>
  <c r="KC305" i="1"/>
  <c r="KB305" i="1"/>
  <c r="JY305" i="1"/>
  <c r="JX305" i="1"/>
  <c r="KS305" i="1"/>
  <c r="KR305" i="1"/>
  <c r="KQ305" i="1"/>
  <c r="KY304" i="1"/>
  <c r="KX304" i="1"/>
  <c r="KW304" i="1"/>
  <c r="KV304" i="1"/>
  <c r="KU304" i="1"/>
  <c r="KT304" i="1"/>
  <c r="KS304" i="1"/>
  <c r="KO304" i="1"/>
  <c r="KN304" i="1"/>
  <c r="KK304" i="1"/>
  <c r="KJ304" i="1"/>
  <c r="KG304" i="1"/>
  <c r="KF304" i="1"/>
  <c r="KC304" i="1"/>
  <c r="KB304" i="1"/>
  <c r="JY304" i="1"/>
  <c r="JX304" i="1"/>
  <c r="KR304" i="1"/>
  <c r="KQ304" i="1"/>
  <c r="KY303" i="1"/>
  <c r="KX303" i="1"/>
  <c r="KW303" i="1"/>
  <c r="KV303" i="1"/>
  <c r="KU303" i="1"/>
  <c r="KT303" i="1"/>
  <c r="KS303" i="1"/>
  <c r="KO303" i="1"/>
  <c r="KN303" i="1"/>
  <c r="KK303" i="1"/>
  <c r="KJ303" i="1"/>
  <c r="KG303" i="1"/>
  <c r="KF303" i="1"/>
  <c r="KC303" i="1"/>
  <c r="KB303" i="1"/>
  <c r="JY303" i="1"/>
  <c r="JX303" i="1"/>
  <c r="KR303" i="1"/>
  <c r="KQ303" i="1"/>
  <c r="KY302" i="1"/>
  <c r="KX302" i="1"/>
  <c r="KW302" i="1"/>
  <c r="KV302" i="1"/>
  <c r="KU302" i="1"/>
  <c r="KT302" i="1"/>
  <c r="KS302" i="1"/>
  <c r="KR302" i="1"/>
  <c r="KQ302" i="1"/>
  <c r="KO302" i="1"/>
  <c r="KN302" i="1"/>
  <c r="KK302" i="1"/>
  <c r="KJ302" i="1"/>
  <c r="KG302" i="1"/>
  <c r="KF302" i="1"/>
  <c r="KC302" i="1"/>
  <c r="KB302" i="1"/>
  <c r="JY302" i="1"/>
  <c r="JX302" i="1"/>
  <c r="KY301" i="1"/>
  <c r="KX301" i="1"/>
  <c r="KW301" i="1"/>
  <c r="KV301" i="1"/>
  <c r="KU301" i="1"/>
  <c r="KT301" i="1"/>
  <c r="KO301" i="1"/>
  <c r="KN301" i="1"/>
  <c r="KK301" i="1"/>
  <c r="KJ301" i="1"/>
  <c r="KG301" i="1"/>
  <c r="KF301" i="1"/>
  <c r="KC301" i="1"/>
  <c r="KD301" i="1"/>
  <c r="KB301" i="1"/>
  <c r="JY301" i="1"/>
  <c r="JX301" i="1"/>
  <c r="KS301" i="1"/>
  <c r="KR301" i="1"/>
  <c r="KQ301" i="1"/>
  <c r="KY300" i="1"/>
  <c r="KX300" i="1"/>
  <c r="KW300" i="1"/>
  <c r="KV300" i="1"/>
  <c r="KU300" i="1"/>
  <c r="KT300" i="1"/>
  <c r="KO300" i="1"/>
  <c r="KN300" i="1"/>
  <c r="KK300" i="1"/>
  <c r="KJ300" i="1"/>
  <c r="KG300" i="1"/>
  <c r="KH300" i="1"/>
  <c r="KF300" i="1"/>
  <c r="KC300" i="1"/>
  <c r="KB300" i="1"/>
  <c r="JY300" i="1"/>
  <c r="JX300" i="1"/>
  <c r="KS300" i="1"/>
  <c r="KR300" i="1"/>
  <c r="KQ300" i="1"/>
  <c r="KY299" i="1"/>
  <c r="KX299" i="1"/>
  <c r="KW299" i="1"/>
  <c r="KV299" i="1"/>
  <c r="KU299" i="1"/>
  <c r="KT299" i="1"/>
  <c r="KS299" i="1"/>
  <c r="KO299" i="1"/>
  <c r="KN299" i="1"/>
  <c r="KK299" i="1"/>
  <c r="KJ299" i="1"/>
  <c r="KG299" i="1"/>
  <c r="KH299" i="1"/>
  <c r="KF299" i="1"/>
  <c r="KC299" i="1"/>
  <c r="KB299" i="1"/>
  <c r="JY299" i="1"/>
  <c r="JX299" i="1"/>
  <c r="KR299" i="1"/>
  <c r="KQ299" i="1"/>
  <c r="KY298" i="1"/>
  <c r="KX298" i="1"/>
  <c r="KW298" i="1"/>
  <c r="KV298" i="1"/>
  <c r="KU298" i="1"/>
  <c r="KT298" i="1"/>
  <c r="KS298" i="1"/>
  <c r="KO298" i="1"/>
  <c r="KN298" i="1"/>
  <c r="KK298" i="1"/>
  <c r="KJ298" i="1"/>
  <c r="KG298" i="1"/>
  <c r="KF298" i="1"/>
  <c r="KC298" i="1"/>
  <c r="KB298" i="1"/>
  <c r="JY298" i="1"/>
  <c r="JX298" i="1"/>
  <c r="KR298" i="1"/>
  <c r="KQ298" i="1"/>
  <c r="KY297" i="1"/>
  <c r="KX297" i="1"/>
  <c r="KW297" i="1"/>
  <c r="KV297" i="1"/>
  <c r="KU297" i="1"/>
  <c r="KT297" i="1"/>
  <c r="KO297" i="1"/>
  <c r="KN297" i="1"/>
  <c r="KK297" i="1"/>
  <c r="KJ297" i="1"/>
  <c r="KG297" i="1"/>
  <c r="KF297" i="1"/>
  <c r="KC297" i="1"/>
  <c r="KB297" i="1"/>
  <c r="JY297" i="1"/>
  <c r="JX297" i="1"/>
  <c r="KS297" i="1"/>
  <c r="KR297" i="1"/>
  <c r="KQ297" i="1"/>
  <c r="KY296" i="1"/>
  <c r="KX296" i="1"/>
  <c r="KW296" i="1"/>
  <c r="KV296" i="1"/>
  <c r="KU296" i="1"/>
  <c r="KT296" i="1"/>
  <c r="KO296" i="1"/>
  <c r="KN296" i="1"/>
  <c r="KK296" i="1"/>
  <c r="KJ296" i="1"/>
  <c r="KG296" i="1"/>
  <c r="KH296" i="1"/>
  <c r="KF296" i="1"/>
  <c r="KC296" i="1"/>
  <c r="KB296" i="1"/>
  <c r="JY296" i="1"/>
  <c r="JX296" i="1"/>
  <c r="KS296" i="1"/>
  <c r="KR296" i="1"/>
  <c r="KQ296" i="1"/>
  <c r="KY295" i="1"/>
  <c r="KX295" i="1"/>
  <c r="KW295" i="1"/>
  <c r="KV295" i="1"/>
  <c r="KU295" i="1"/>
  <c r="KT295" i="1"/>
  <c r="KS295" i="1"/>
  <c r="KO295" i="1"/>
  <c r="KN295" i="1"/>
  <c r="KK295" i="1"/>
  <c r="KJ295" i="1"/>
  <c r="KG295" i="1"/>
  <c r="KF295" i="1"/>
  <c r="KC295" i="1"/>
  <c r="KB295" i="1"/>
  <c r="JY295" i="1"/>
  <c r="JX295" i="1"/>
  <c r="KR295" i="1"/>
  <c r="KQ295" i="1"/>
  <c r="KY294" i="1"/>
  <c r="KX294" i="1"/>
  <c r="KW294" i="1"/>
  <c r="KV294" i="1"/>
  <c r="KU294" i="1"/>
  <c r="KT294" i="1"/>
  <c r="KS294" i="1"/>
  <c r="KO294" i="1"/>
  <c r="KN294" i="1"/>
  <c r="KK294" i="1"/>
  <c r="KL294" i="1"/>
  <c r="KJ294" i="1"/>
  <c r="KG294" i="1"/>
  <c r="KF294" i="1"/>
  <c r="KC294" i="1"/>
  <c r="KD294" i="1"/>
  <c r="KB294" i="1"/>
  <c r="JY294" i="1"/>
  <c r="JX294" i="1"/>
  <c r="KR294" i="1"/>
  <c r="KQ294" i="1"/>
  <c r="KY293" i="1"/>
  <c r="KX293" i="1"/>
  <c r="KW293" i="1"/>
  <c r="KV293" i="1"/>
  <c r="KU293" i="1"/>
  <c r="KT293" i="1"/>
  <c r="KS293" i="1"/>
  <c r="KR293" i="1"/>
  <c r="KQ293" i="1"/>
  <c r="KO293" i="1"/>
  <c r="KN293" i="1"/>
  <c r="KK293" i="1"/>
  <c r="KJ293" i="1"/>
  <c r="KG293" i="1"/>
  <c r="KF293" i="1"/>
  <c r="KC293" i="1"/>
  <c r="KB293" i="1"/>
  <c r="JY293" i="1"/>
  <c r="JX293" i="1"/>
  <c r="KY292" i="1"/>
  <c r="KX292" i="1"/>
  <c r="KW292" i="1"/>
  <c r="KV292" i="1"/>
  <c r="KU292" i="1"/>
  <c r="KT292" i="1"/>
  <c r="KO292" i="1"/>
  <c r="KN292" i="1"/>
  <c r="KK292" i="1"/>
  <c r="KJ292" i="1"/>
  <c r="KG292" i="1"/>
  <c r="KF292" i="1"/>
  <c r="KC292" i="1"/>
  <c r="KB292" i="1"/>
  <c r="JY292" i="1"/>
  <c r="JX292" i="1"/>
  <c r="KS292" i="1"/>
  <c r="KR292" i="1"/>
  <c r="KQ292" i="1"/>
  <c r="KY291" i="1"/>
  <c r="KX291" i="1"/>
  <c r="KW291" i="1"/>
  <c r="KV291" i="1"/>
  <c r="KU291" i="1"/>
  <c r="KT291" i="1"/>
  <c r="KO291" i="1"/>
  <c r="KP291" i="1"/>
  <c r="KN291" i="1"/>
  <c r="KK291" i="1"/>
  <c r="KJ291" i="1"/>
  <c r="KG291" i="1"/>
  <c r="KF291" i="1"/>
  <c r="KC291" i="1"/>
  <c r="KB291" i="1"/>
  <c r="JY291" i="1"/>
  <c r="JX291" i="1"/>
  <c r="KS291" i="1"/>
  <c r="KR291" i="1"/>
  <c r="KQ291" i="1"/>
  <c r="KY290" i="1"/>
  <c r="KX290" i="1"/>
  <c r="KW290" i="1"/>
  <c r="KV290" i="1"/>
  <c r="KU290" i="1"/>
  <c r="KT290" i="1"/>
  <c r="KS290" i="1"/>
  <c r="KO290" i="1"/>
  <c r="KN290" i="1"/>
  <c r="KK290" i="1"/>
  <c r="KJ290" i="1"/>
  <c r="KG290" i="1"/>
  <c r="KF290" i="1"/>
  <c r="KC290" i="1"/>
  <c r="KB290" i="1"/>
  <c r="JY290" i="1"/>
  <c r="JX290" i="1"/>
  <c r="KR290" i="1"/>
  <c r="KQ290" i="1"/>
  <c r="KY289" i="1"/>
  <c r="KX289" i="1"/>
  <c r="KW289" i="1"/>
  <c r="KV289" i="1"/>
  <c r="KU289" i="1"/>
  <c r="KT289" i="1"/>
  <c r="KS289" i="1"/>
  <c r="KO289" i="1"/>
  <c r="KN289" i="1"/>
  <c r="KK289" i="1"/>
  <c r="KJ289" i="1"/>
  <c r="KG289" i="1"/>
  <c r="KF289" i="1"/>
  <c r="KC289" i="1"/>
  <c r="KB289" i="1"/>
  <c r="JY289" i="1"/>
  <c r="JX289" i="1"/>
  <c r="KR289" i="1"/>
  <c r="KQ289" i="1"/>
  <c r="KY288" i="1"/>
  <c r="KX288" i="1"/>
  <c r="KW288" i="1"/>
  <c r="KV288" i="1"/>
  <c r="KU288" i="1"/>
  <c r="KT288" i="1"/>
  <c r="KO288" i="1"/>
  <c r="KN288" i="1"/>
  <c r="KK288" i="1"/>
  <c r="KJ288" i="1"/>
  <c r="KG288" i="1"/>
  <c r="KF288" i="1"/>
  <c r="KC288" i="1"/>
  <c r="KB288" i="1"/>
  <c r="JY288" i="1"/>
  <c r="JX288" i="1"/>
  <c r="KS288" i="1"/>
  <c r="KR288" i="1"/>
  <c r="KQ288" i="1"/>
  <c r="KY287" i="1"/>
  <c r="KX287" i="1"/>
  <c r="KW287" i="1"/>
  <c r="KV287" i="1"/>
  <c r="KU287" i="1"/>
  <c r="KT287" i="1"/>
  <c r="KO287" i="1"/>
  <c r="KN287" i="1"/>
  <c r="KK287" i="1"/>
  <c r="KJ287" i="1"/>
  <c r="KL287" i="1"/>
  <c r="KG287" i="1"/>
  <c r="KF287" i="1"/>
  <c r="KC287" i="1"/>
  <c r="KB287" i="1"/>
  <c r="JY287" i="1"/>
  <c r="JX287" i="1"/>
  <c r="KS287" i="1"/>
  <c r="KR287" i="1"/>
  <c r="KQ287" i="1"/>
  <c r="KY286" i="1"/>
  <c r="KX286" i="1"/>
  <c r="KW286" i="1"/>
  <c r="KV286" i="1"/>
  <c r="KU286" i="1"/>
  <c r="KT286" i="1"/>
  <c r="KS286" i="1"/>
  <c r="KO286" i="1"/>
  <c r="KP286" i="1"/>
  <c r="KN286" i="1"/>
  <c r="KK286" i="1"/>
  <c r="KJ286" i="1"/>
  <c r="KG286" i="1"/>
  <c r="KF286" i="1"/>
  <c r="KC286" i="1"/>
  <c r="KB286" i="1"/>
  <c r="JY286" i="1"/>
  <c r="JX286" i="1"/>
  <c r="KR286" i="1"/>
  <c r="KQ286" i="1"/>
  <c r="KY285" i="1"/>
  <c r="KX285" i="1"/>
  <c r="KW285" i="1"/>
  <c r="KV285" i="1"/>
  <c r="KU285" i="1"/>
  <c r="KT285" i="1"/>
  <c r="KS285" i="1"/>
  <c r="KO285" i="1"/>
  <c r="KN285" i="1"/>
  <c r="KK285" i="1"/>
  <c r="KJ285" i="1"/>
  <c r="KG285" i="1"/>
  <c r="KF285" i="1"/>
  <c r="KC285" i="1"/>
  <c r="KB285" i="1"/>
  <c r="JY285" i="1"/>
  <c r="JX285" i="1"/>
  <c r="KR285" i="1"/>
  <c r="KQ285" i="1"/>
  <c r="KY284" i="1"/>
  <c r="KX284" i="1"/>
  <c r="KW284" i="1"/>
  <c r="KV284" i="1"/>
  <c r="KU284" i="1"/>
  <c r="KT284" i="1"/>
  <c r="KO284" i="1"/>
  <c r="KN284" i="1"/>
  <c r="KK284" i="1"/>
  <c r="KJ284" i="1"/>
  <c r="KG284" i="1"/>
  <c r="KF284" i="1"/>
  <c r="KC284" i="1"/>
  <c r="KB284" i="1"/>
  <c r="JY284" i="1"/>
  <c r="JX284" i="1"/>
  <c r="KS284" i="1"/>
  <c r="KR284" i="1"/>
  <c r="KQ284" i="1"/>
  <c r="KY283" i="1"/>
  <c r="KX283" i="1"/>
  <c r="KW283" i="1"/>
  <c r="KV283" i="1"/>
  <c r="KU283" i="1"/>
  <c r="KT283" i="1"/>
  <c r="KO283" i="1"/>
  <c r="KN283" i="1"/>
  <c r="KK283" i="1"/>
  <c r="KL283" i="1"/>
  <c r="KJ283" i="1"/>
  <c r="KG283" i="1"/>
  <c r="KF283" i="1"/>
  <c r="KC283" i="1"/>
  <c r="KB283" i="1"/>
  <c r="JY283" i="1"/>
  <c r="JZ283" i="1"/>
  <c r="JX283" i="1"/>
  <c r="KS283" i="1"/>
  <c r="KR283" i="1"/>
  <c r="KQ283" i="1"/>
  <c r="KY282" i="1"/>
  <c r="KX282" i="1"/>
  <c r="KW282" i="1"/>
  <c r="KV282" i="1"/>
  <c r="KU282" i="1"/>
  <c r="KT282" i="1"/>
  <c r="KS282" i="1"/>
  <c r="KO282" i="1"/>
  <c r="KN282" i="1"/>
  <c r="KK282" i="1"/>
  <c r="KJ282" i="1"/>
  <c r="KG282" i="1"/>
  <c r="KF282" i="1"/>
  <c r="KC282" i="1"/>
  <c r="KD282" i="1"/>
  <c r="KB282" i="1"/>
  <c r="JY282" i="1"/>
  <c r="JX282" i="1"/>
  <c r="KR282" i="1"/>
  <c r="KQ282" i="1"/>
  <c r="KY281" i="1"/>
  <c r="KX281" i="1"/>
  <c r="KW281" i="1"/>
  <c r="KV281" i="1"/>
  <c r="KU281" i="1"/>
  <c r="KT281" i="1"/>
  <c r="KS281" i="1"/>
  <c r="KO281" i="1"/>
  <c r="KN281" i="1"/>
  <c r="KK281" i="1"/>
  <c r="KJ281" i="1"/>
  <c r="KG281" i="1"/>
  <c r="KF281" i="1"/>
  <c r="KC281" i="1"/>
  <c r="KB281" i="1"/>
  <c r="JY281" i="1"/>
  <c r="JX281" i="1"/>
  <c r="KR281" i="1"/>
  <c r="KQ281" i="1"/>
  <c r="KY280" i="1"/>
  <c r="KX280" i="1"/>
  <c r="KW280" i="1"/>
  <c r="KV280" i="1"/>
  <c r="KU280" i="1"/>
  <c r="KT280" i="1"/>
  <c r="KO280" i="1"/>
  <c r="KN280" i="1"/>
  <c r="KK280" i="1"/>
  <c r="KJ280" i="1"/>
  <c r="KG280" i="1"/>
  <c r="KF280" i="1"/>
  <c r="KC280" i="1"/>
  <c r="KB280" i="1"/>
  <c r="JY280" i="1"/>
  <c r="JX280" i="1"/>
  <c r="KS280" i="1"/>
  <c r="KR280" i="1"/>
  <c r="KQ280" i="1"/>
  <c r="KY279" i="1"/>
  <c r="KX279" i="1"/>
  <c r="KW279" i="1"/>
  <c r="KV279" i="1"/>
  <c r="KU279" i="1"/>
  <c r="KT279" i="1"/>
  <c r="KO279" i="1"/>
  <c r="KN279" i="1"/>
  <c r="KK279" i="1"/>
  <c r="KJ279" i="1"/>
  <c r="KG279" i="1"/>
  <c r="KH279" i="1"/>
  <c r="KF279" i="1"/>
  <c r="KC279" i="1"/>
  <c r="KD279" i="1"/>
  <c r="KB279" i="1"/>
  <c r="JY279" i="1"/>
  <c r="JZ279" i="1"/>
  <c r="JX279" i="1"/>
  <c r="KS279" i="1"/>
  <c r="KR279" i="1"/>
  <c r="KQ279" i="1"/>
  <c r="KY278" i="1"/>
  <c r="KX278" i="1"/>
  <c r="KW278" i="1"/>
  <c r="KV278" i="1"/>
  <c r="KU278" i="1"/>
  <c r="KT278" i="1"/>
  <c r="KS278" i="1"/>
  <c r="KO278" i="1"/>
  <c r="KN278" i="1"/>
  <c r="KK278" i="1"/>
  <c r="KL278" i="1"/>
  <c r="KJ278" i="1"/>
  <c r="KG278" i="1"/>
  <c r="KF278" i="1"/>
  <c r="KC278" i="1"/>
  <c r="KD278" i="1"/>
  <c r="KB278" i="1"/>
  <c r="JY278" i="1"/>
  <c r="JX278" i="1"/>
  <c r="KR278" i="1"/>
  <c r="KQ278" i="1"/>
  <c r="KY277" i="1"/>
  <c r="KX277" i="1"/>
  <c r="KW277" i="1"/>
  <c r="KV277" i="1"/>
  <c r="KU277" i="1"/>
  <c r="KT277" i="1"/>
  <c r="KS277" i="1"/>
  <c r="KO277" i="1"/>
  <c r="KN277" i="1"/>
  <c r="KK277" i="1"/>
  <c r="KJ277" i="1"/>
  <c r="KG277" i="1"/>
  <c r="KF277" i="1"/>
  <c r="KC277" i="1"/>
  <c r="KB277" i="1"/>
  <c r="JY277" i="1"/>
  <c r="JX277" i="1"/>
  <c r="KR277" i="1"/>
  <c r="KQ277" i="1"/>
  <c r="KY276" i="1"/>
  <c r="KX276" i="1"/>
  <c r="KW276" i="1"/>
  <c r="KV276" i="1"/>
  <c r="KU276" i="1"/>
  <c r="KT276" i="1"/>
  <c r="KO276" i="1"/>
  <c r="KN276" i="1"/>
  <c r="KK276" i="1"/>
  <c r="KJ276" i="1"/>
  <c r="KG276" i="1"/>
  <c r="KF276" i="1"/>
  <c r="KC276" i="1"/>
  <c r="KB276" i="1"/>
  <c r="JY276" i="1"/>
  <c r="JX276" i="1"/>
  <c r="KS276" i="1"/>
  <c r="KR276" i="1"/>
  <c r="KQ276" i="1"/>
  <c r="KY275" i="1"/>
  <c r="KX275" i="1"/>
  <c r="KW275" i="1"/>
  <c r="KV275" i="1"/>
  <c r="KU275" i="1"/>
  <c r="KT275" i="1"/>
  <c r="KO275" i="1"/>
  <c r="KP275" i="1"/>
  <c r="KN275" i="1"/>
  <c r="KK275" i="1"/>
  <c r="KJ275" i="1"/>
  <c r="KG275" i="1"/>
  <c r="KF275" i="1"/>
  <c r="KC275" i="1"/>
  <c r="KD275" i="1"/>
  <c r="KB275" i="1"/>
  <c r="JY275" i="1"/>
  <c r="JX275" i="1"/>
  <c r="KS275" i="1"/>
  <c r="KR275" i="1"/>
  <c r="KQ275" i="1"/>
  <c r="KY274" i="1"/>
  <c r="KX274" i="1"/>
  <c r="KW274" i="1"/>
  <c r="KV274" i="1"/>
  <c r="KU274" i="1"/>
  <c r="KT274" i="1"/>
  <c r="KS274" i="1"/>
  <c r="KO274" i="1"/>
  <c r="KN274" i="1"/>
  <c r="KK274" i="1"/>
  <c r="KL274" i="1"/>
  <c r="KJ274" i="1"/>
  <c r="KG274" i="1"/>
  <c r="KF274" i="1"/>
  <c r="KC274" i="1"/>
  <c r="KD274" i="1"/>
  <c r="KB274" i="1"/>
  <c r="JY274" i="1"/>
  <c r="JX274" i="1"/>
  <c r="KR274" i="1"/>
  <c r="KQ274" i="1"/>
  <c r="KY273" i="1"/>
  <c r="KX273" i="1"/>
  <c r="KW273" i="1"/>
  <c r="KV273" i="1"/>
  <c r="KU273" i="1"/>
  <c r="KT273" i="1"/>
  <c r="KS273" i="1"/>
  <c r="KO273" i="1"/>
  <c r="KN273" i="1"/>
  <c r="KK273" i="1"/>
  <c r="KJ273" i="1"/>
  <c r="KG273" i="1"/>
  <c r="KF273" i="1"/>
  <c r="KC273" i="1"/>
  <c r="KB273" i="1"/>
  <c r="JY273" i="1"/>
  <c r="JX273" i="1"/>
  <c r="KR273" i="1"/>
  <c r="KQ273" i="1"/>
  <c r="KY272" i="1"/>
  <c r="KX272" i="1"/>
  <c r="KW272" i="1"/>
  <c r="KV272" i="1"/>
  <c r="KU272" i="1"/>
  <c r="KT272" i="1"/>
  <c r="KO272" i="1"/>
  <c r="KN272" i="1"/>
  <c r="KK272" i="1"/>
  <c r="KJ272" i="1"/>
  <c r="KG272" i="1"/>
  <c r="KF272" i="1"/>
  <c r="KC272" i="1"/>
  <c r="KB272" i="1"/>
  <c r="JY272" i="1"/>
  <c r="JX272" i="1"/>
  <c r="KS272" i="1"/>
  <c r="KR272" i="1"/>
  <c r="KQ272" i="1"/>
  <c r="KY271" i="1"/>
  <c r="KX271" i="1"/>
  <c r="KW271" i="1"/>
  <c r="KV271" i="1"/>
  <c r="KU271" i="1"/>
  <c r="KT271" i="1"/>
  <c r="KO271" i="1"/>
  <c r="KP271" i="1"/>
  <c r="KN271" i="1"/>
  <c r="KK271" i="1"/>
  <c r="KJ271" i="1"/>
  <c r="KG271" i="1"/>
  <c r="KF271" i="1"/>
  <c r="KC271" i="1"/>
  <c r="KD271" i="1"/>
  <c r="KB271" i="1"/>
  <c r="JY271" i="1"/>
  <c r="JZ271" i="1"/>
  <c r="JX271" i="1"/>
  <c r="KS271" i="1"/>
  <c r="KR271" i="1"/>
  <c r="KQ271" i="1"/>
  <c r="KY270" i="1"/>
  <c r="KX270" i="1"/>
  <c r="KW270" i="1"/>
  <c r="KV270" i="1"/>
  <c r="KU270" i="1"/>
  <c r="KT270" i="1"/>
  <c r="KS270" i="1"/>
  <c r="KO270" i="1"/>
  <c r="KN270" i="1"/>
  <c r="KK270" i="1"/>
  <c r="KL270" i="1"/>
  <c r="KJ270" i="1"/>
  <c r="KG270" i="1"/>
  <c r="KF270" i="1"/>
  <c r="KC270" i="1"/>
  <c r="KB270" i="1"/>
  <c r="JY270" i="1"/>
  <c r="JX270" i="1"/>
  <c r="KR270" i="1"/>
  <c r="KQ270" i="1"/>
  <c r="KY269" i="1"/>
  <c r="KX269" i="1"/>
  <c r="KW269" i="1"/>
  <c r="KV269" i="1"/>
  <c r="KU269" i="1"/>
  <c r="KT269" i="1"/>
  <c r="KS269" i="1"/>
  <c r="KO269" i="1"/>
  <c r="KN269" i="1"/>
  <c r="KK269" i="1"/>
  <c r="KJ269" i="1"/>
  <c r="KG269" i="1"/>
  <c r="KF269" i="1"/>
  <c r="KC269" i="1"/>
  <c r="KB269" i="1"/>
  <c r="JY269" i="1"/>
  <c r="JX269" i="1"/>
  <c r="KR269" i="1"/>
  <c r="KQ269" i="1"/>
  <c r="KY268" i="1"/>
  <c r="KX268" i="1"/>
  <c r="KW268" i="1"/>
  <c r="KV268" i="1"/>
  <c r="KU268" i="1"/>
  <c r="KT268" i="1"/>
  <c r="KO268" i="1"/>
  <c r="KN268" i="1"/>
  <c r="KK268" i="1"/>
  <c r="KJ268" i="1"/>
  <c r="KG268" i="1"/>
  <c r="KF268" i="1"/>
  <c r="KC268" i="1"/>
  <c r="KB268" i="1"/>
  <c r="JY268" i="1"/>
  <c r="JX268" i="1"/>
  <c r="KS268" i="1"/>
  <c r="KR268" i="1"/>
  <c r="KQ268" i="1"/>
  <c r="KY267" i="1"/>
  <c r="KX267" i="1"/>
  <c r="KW267" i="1"/>
  <c r="KV267" i="1"/>
  <c r="KU267" i="1"/>
  <c r="KT267" i="1"/>
  <c r="KO267" i="1"/>
  <c r="KP267" i="1"/>
  <c r="KN267" i="1"/>
  <c r="KK267" i="1"/>
  <c r="KL267" i="1"/>
  <c r="KJ267" i="1"/>
  <c r="KG267" i="1"/>
  <c r="KH267" i="1"/>
  <c r="KF267" i="1"/>
  <c r="KC267" i="1"/>
  <c r="KB267" i="1"/>
  <c r="JY267" i="1"/>
  <c r="JZ267" i="1"/>
  <c r="JX267" i="1"/>
  <c r="KS267" i="1"/>
  <c r="KR267" i="1"/>
  <c r="KQ267" i="1"/>
  <c r="KY266" i="1"/>
  <c r="KX266" i="1"/>
  <c r="KW266" i="1"/>
  <c r="KV266" i="1"/>
  <c r="KU266" i="1"/>
  <c r="KT266" i="1"/>
  <c r="KS266" i="1"/>
  <c r="KO266" i="1"/>
  <c r="KN266" i="1"/>
  <c r="KK266" i="1"/>
  <c r="KJ266" i="1"/>
  <c r="KG266" i="1"/>
  <c r="KF266" i="1"/>
  <c r="KC266" i="1"/>
  <c r="KB266" i="1"/>
  <c r="JY266" i="1"/>
  <c r="JX266" i="1"/>
  <c r="KR266" i="1"/>
  <c r="KQ266" i="1"/>
  <c r="KY265" i="1"/>
  <c r="KX265" i="1"/>
  <c r="KW265" i="1"/>
  <c r="KV265" i="1"/>
  <c r="KU265" i="1"/>
  <c r="KT265" i="1"/>
  <c r="KS265" i="1"/>
  <c r="KO265" i="1"/>
  <c r="KN265" i="1"/>
  <c r="KK265" i="1"/>
  <c r="KJ265" i="1"/>
  <c r="KG265" i="1"/>
  <c r="KF265" i="1"/>
  <c r="KC265" i="1"/>
  <c r="KB265" i="1"/>
  <c r="JY265" i="1"/>
  <c r="JX265" i="1"/>
  <c r="KR265" i="1"/>
  <c r="KQ265" i="1"/>
  <c r="KY264" i="1"/>
  <c r="KX264" i="1"/>
  <c r="KW264" i="1"/>
  <c r="KV264" i="1"/>
  <c r="KU264" i="1"/>
  <c r="KT264" i="1"/>
  <c r="KO264" i="1"/>
  <c r="KN264" i="1"/>
  <c r="KK264" i="1"/>
  <c r="KJ264" i="1"/>
  <c r="KG264" i="1"/>
  <c r="KF264" i="1"/>
  <c r="KC264" i="1"/>
  <c r="KB264" i="1"/>
  <c r="JY264" i="1"/>
  <c r="JX264" i="1"/>
  <c r="KS264" i="1"/>
  <c r="KR264" i="1"/>
  <c r="KQ264" i="1"/>
  <c r="KY263" i="1"/>
  <c r="KX263" i="1"/>
  <c r="KW263" i="1"/>
  <c r="KV263" i="1"/>
  <c r="KU263" i="1"/>
  <c r="KT263" i="1"/>
  <c r="KO263" i="1"/>
  <c r="KN263" i="1"/>
  <c r="KK263" i="1"/>
  <c r="KJ263" i="1"/>
  <c r="KG263" i="1"/>
  <c r="KH263" i="1"/>
  <c r="KF263" i="1"/>
  <c r="KC263" i="1"/>
  <c r="KD263" i="1"/>
  <c r="KB263" i="1"/>
  <c r="JY263" i="1"/>
  <c r="JZ263" i="1"/>
  <c r="JX263" i="1"/>
  <c r="KS263" i="1"/>
  <c r="KR263" i="1"/>
  <c r="KQ263" i="1"/>
  <c r="KY262" i="1"/>
  <c r="KX262" i="1"/>
  <c r="KW262" i="1"/>
  <c r="KV262" i="1"/>
  <c r="KU262" i="1"/>
  <c r="KT262" i="1"/>
  <c r="KS262" i="1"/>
  <c r="KO262" i="1"/>
  <c r="KN262" i="1"/>
  <c r="KK262" i="1"/>
  <c r="KL262" i="1"/>
  <c r="KJ262" i="1"/>
  <c r="KG262" i="1"/>
  <c r="KF262" i="1"/>
  <c r="KC262" i="1"/>
  <c r="KD262" i="1"/>
  <c r="KB262" i="1"/>
  <c r="JY262" i="1"/>
  <c r="JX262" i="1"/>
  <c r="KR262" i="1"/>
  <c r="KQ262" i="1"/>
  <c r="KY261" i="1"/>
  <c r="KX261" i="1"/>
  <c r="KW261" i="1"/>
  <c r="KV261" i="1"/>
  <c r="KU261" i="1"/>
  <c r="KT261" i="1"/>
  <c r="KS261" i="1"/>
  <c r="KR261" i="1"/>
  <c r="KQ261" i="1"/>
  <c r="KO261" i="1"/>
  <c r="KN261" i="1"/>
  <c r="KK261" i="1"/>
  <c r="KJ261" i="1"/>
  <c r="KG261" i="1"/>
  <c r="KF261" i="1"/>
  <c r="KC261" i="1"/>
  <c r="KB261" i="1"/>
  <c r="JY261" i="1"/>
  <c r="JX261" i="1"/>
  <c r="KY260" i="1"/>
  <c r="KX260" i="1"/>
  <c r="KW260" i="1"/>
  <c r="KV260" i="1"/>
  <c r="KU260" i="1"/>
  <c r="KT260" i="1"/>
  <c r="KS260" i="1"/>
  <c r="KO260" i="1"/>
  <c r="KN260" i="1"/>
  <c r="KK260" i="1"/>
  <c r="KJ260" i="1"/>
  <c r="KG260" i="1"/>
  <c r="KH260" i="1"/>
  <c r="KF260" i="1"/>
  <c r="KC260" i="1"/>
  <c r="KB260" i="1"/>
  <c r="JY260" i="1"/>
  <c r="JZ260" i="1"/>
  <c r="JX260" i="1"/>
  <c r="KR260" i="1"/>
  <c r="KQ260" i="1"/>
  <c r="KY259" i="1"/>
  <c r="KX259" i="1"/>
  <c r="KW259" i="1"/>
  <c r="KV259" i="1"/>
  <c r="KU259" i="1"/>
  <c r="KT259" i="1"/>
  <c r="KO259" i="1"/>
  <c r="KN259" i="1"/>
  <c r="KK259" i="1"/>
  <c r="KJ259" i="1"/>
  <c r="KG259" i="1"/>
  <c r="KH259" i="1"/>
  <c r="KF259" i="1"/>
  <c r="KC259" i="1"/>
  <c r="KB259" i="1"/>
  <c r="JY259" i="1"/>
  <c r="JZ259" i="1"/>
  <c r="JX259" i="1"/>
  <c r="KS259" i="1"/>
  <c r="KR259" i="1"/>
  <c r="KQ259" i="1"/>
  <c r="KY258" i="1"/>
  <c r="KX258" i="1"/>
  <c r="KW258" i="1"/>
  <c r="KV258" i="1"/>
  <c r="KU258" i="1"/>
  <c r="KT258" i="1"/>
  <c r="KO258" i="1"/>
  <c r="KN258" i="1"/>
  <c r="KK258" i="1"/>
  <c r="KJ258" i="1"/>
  <c r="KG258" i="1"/>
  <c r="KF258" i="1"/>
  <c r="KC258" i="1"/>
  <c r="KB258" i="1"/>
  <c r="JY258" i="1"/>
  <c r="JX258" i="1"/>
  <c r="KS258" i="1"/>
  <c r="KR258" i="1"/>
  <c r="KQ258" i="1"/>
  <c r="KY257" i="1"/>
  <c r="KX257" i="1"/>
  <c r="KW257" i="1"/>
  <c r="KV257" i="1"/>
  <c r="KU257" i="1"/>
  <c r="KT257" i="1"/>
  <c r="KS257" i="1"/>
  <c r="KO257" i="1"/>
  <c r="KN257" i="1"/>
  <c r="KK257" i="1"/>
  <c r="KJ257" i="1"/>
  <c r="KG257" i="1"/>
  <c r="KF257" i="1"/>
  <c r="KC257" i="1"/>
  <c r="KB257" i="1"/>
  <c r="JY257" i="1"/>
  <c r="JX257" i="1"/>
  <c r="KR257" i="1"/>
  <c r="KQ257" i="1"/>
  <c r="KY256" i="1"/>
  <c r="KX256" i="1"/>
  <c r="KW256" i="1"/>
  <c r="KV256" i="1"/>
  <c r="KU256" i="1"/>
  <c r="KT256" i="1"/>
  <c r="KS256" i="1"/>
  <c r="KO256" i="1"/>
  <c r="KP256" i="1"/>
  <c r="KN256" i="1"/>
  <c r="KK256" i="1"/>
  <c r="KJ256" i="1"/>
  <c r="KG256" i="1"/>
  <c r="KH256" i="1"/>
  <c r="KF256" i="1"/>
  <c r="KC256" i="1"/>
  <c r="KB256" i="1"/>
  <c r="JY256" i="1"/>
  <c r="JZ256" i="1"/>
  <c r="JX256" i="1"/>
  <c r="KR256" i="1"/>
  <c r="KQ256" i="1"/>
  <c r="KY255" i="1"/>
  <c r="KX255" i="1"/>
  <c r="KW255" i="1"/>
  <c r="KV255" i="1"/>
  <c r="KU255" i="1"/>
  <c r="KT255" i="1"/>
  <c r="KO255" i="1"/>
  <c r="KN255" i="1"/>
  <c r="KK255" i="1"/>
  <c r="KJ255" i="1"/>
  <c r="KG255" i="1"/>
  <c r="KH255" i="1"/>
  <c r="KF255" i="1"/>
  <c r="KC255" i="1"/>
  <c r="KB255" i="1"/>
  <c r="JY255" i="1"/>
  <c r="JZ255" i="1"/>
  <c r="JX255" i="1"/>
  <c r="KS255" i="1"/>
  <c r="KR255" i="1"/>
  <c r="KQ255" i="1"/>
  <c r="KY254" i="1"/>
  <c r="KX254" i="1"/>
  <c r="KW254" i="1"/>
  <c r="KV254" i="1"/>
  <c r="KU254" i="1"/>
  <c r="KT254" i="1"/>
  <c r="KO254" i="1"/>
  <c r="KN254" i="1"/>
  <c r="KK254" i="1"/>
  <c r="KJ254" i="1"/>
  <c r="KG254" i="1"/>
  <c r="KF254" i="1"/>
  <c r="KC254" i="1"/>
  <c r="KB254" i="1"/>
  <c r="JY254" i="1"/>
  <c r="JX254" i="1"/>
  <c r="KS254" i="1"/>
  <c r="KR254" i="1"/>
  <c r="KQ254" i="1"/>
  <c r="KY253" i="1"/>
  <c r="KX253" i="1"/>
  <c r="KW253" i="1"/>
  <c r="KV253" i="1"/>
  <c r="KU253" i="1"/>
  <c r="KT253" i="1"/>
  <c r="KS253" i="1"/>
  <c r="KO253" i="1"/>
  <c r="KN253" i="1"/>
  <c r="KK253" i="1"/>
  <c r="KJ253" i="1"/>
  <c r="KG253" i="1"/>
  <c r="KF253" i="1"/>
  <c r="KC253" i="1"/>
  <c r="KB253" i="1"/>
  <c r="JY253" i="1"/>
  <c r="JX253" i="1"/>
  <c r="KR253" i="1"/>
  <c r="KQ253" i="1"/>
  <c r="KY252" i="1"/>
  <c r="KX252" i="1"/>
  <c r="KW252" i="1"/>
  <c r="KV252" i="1"/>
  <c r="KU252" i="1"/>
  <c r="KT252" i="1"/>
  <c r="KS252" i="1"/>
  <c r="KO252" i="1"/>
  <c r="KP252" i="1"/>
  <c r="KN252" i="1"/>
  <c r="KK252" i="1"/>
  <c r="KJ252" i="1"/>
  <c r="KG252" i="1"/>
  <c r="KH252" i="1"/>
  <c r="KF252" i="1"/>
  <c r="KC252" i="1"/>
  <c r="KB252" i="1"/>
  <c r="JY252" i="1"/>
  <c r="JZ252" i="1"/>
  <c r="JX252" i="1"/>
  <c r="KR252" i="1"/>
  <c r="KQ252" i="1"/>
  <c r="KY251" i="1"/>
  <c r="KX251" i="1"/>
  <c r="KW251" i="1"/>
  <c r="KV251" i="1"/>
  <c r="KU251" i="1"/>
  <c r="KT251" i="1"/>
  <c r="KS251" i="1"/>
  <c r="KR251" i="1"/>
  <c r="KQ251" i="1"/>
  <c r="KO251" i="1"/>
  <c r="KN251" i="1"/>
  <c r="KK251" i="1"/>
  <c r="KJ251" i="1"/>
  <c r="KG251" i="1"/>
  <c r="KF251" i="1"/>
  <c r="KC251" i="1"/>
  <c r="KB251" i="1"/>
  <c r="JY251" i="1"/>
  <c r="JX251" i="1"/>
  <c r="KY250" i="1"/>
  <c r="KX250" i="1"/>
  <c r="KW250" i="1"/>
  <c r="KV250" i="1"/>
  <c r="KU250" i="1"/>
  <c r="KT250" i="1"/>
  <c r="KS250" i="1"/>
  <c r="KO250" i="1"/>
  <c r="KN250" i="1"/>
  <c r="KK250" i="1"/>
  <c r="KJ250" i="1"/>
  <c r="KG250" i="1"/>
  <c r="KF250" i="1"/>
  <c r="KC250" i="1"/>
  <c r="KB250" i="1"/>
  <c r="JY250" i="1"/>
  <c r="JX250" i="1"/>
  <c r="KR250" i="1"/>
  <c r="KQ250" i="1"/>
  <c r="KY249" i="1"/>
  <c r="KX249" i="1"/>
  <c r="KW249" i="1"/>
  <c r="KV249" i="1"/>
  <c r="KU249" i="1"/>
  <c r="KT249" i="1"/>
  <c r="KO249" i="1"/>
  <c r="KN249" i="1"/>
  <c r="KK249" i="1"/>
  <c r="KL249" i="1"/>
  <c r="KJ249" i="1"/>
  <c r="KG249" i="1"/>
  <c r="KF249" i="1"/>
  <c r="KC249" i="1"/>
  <c r="KD249" i="1"/>
  <c r="KB249" i="1"/>
  <c r="JY249" i="1"/>
  <c r="JX249" i="1"/>
  <c r="KS249" i="1"/>
  <c r="KR249" i="1"/>
  <c r="KQ249" i="1"/>
  <c r="KY248" i="1"/>
  <c r="KX248" i="1"/>
  <c r="KW248" i="1"/>
  <c r="KV248" i="1"/>
  <c r="KU248" i="1"/>
  <c r="KT248" i="1"/>
  <c r="KO248" i="1"/>
  <c r="KN248" i="1"/>
  <c r="KK248" i="1"/>
  <c r="KJ248" i="1"/>
  <c r="KG248" i="1"/>
  <c r="KF248" i="1"/>
  <c r="KC248" i="1"/>
  <c r="KB248" i="1"/>
  <c r="JY248" i="1"/>
  <c r="JX248" i="1"/>
  <c r="KS248" i="1"/>
  <c r="KR248" i="1"/>
  <c r="KQ248" i="1"/>
  <c r="KY247" i="1"/>
  <c r="KX247" i="1"/>
  <c r="KW247" i="1"/>
  <c r="KV247" i="1"/>
  <c r="KU247" i="1"/>
  <c r="KT247" i="1"/>
  <c r="KS247" i="1"/>
  <c r="KO247" i="1"/>
  <c r="KN247" i="1"/>
  <c r="KK247" i="1"/>
  <c r="KJ247" i="1"/>
  <c r="KG247" i="1"/>
  <c r="KF247" i="1"/>
  <c r="KC247" i="1"/>
  <c r="KB247" i="1"/>
  <c r="JY247" i="1"/>
  <c r="JX247" i="1"/>
  <c r="KR247" i="1"/>
  <c r="KQ247" i="1"/>
  <c r="KY246" i="1"/>
  <c r="KX246" i="1"/>
  <c r="KW246" i="1"/>
  <c r="KV246" i="1"/>
  <c r="KU246" i="1"/>
  <c r="KT246" i="1"/>
  <c r="KS246" i="1"/>
  <c r="KO246" i="1"/>
  <c r="KN246" i="1"/>
  <c r="KK246" i="1"/>
  <c r="KJ246" i="1"/>
  <c r="KG246" i="1"/>
  <c r="KF246" i="1"/>
  <c r="KC246" i="1"/>
  <c r="KB246" i="1"/>
  <c r="JY246" i="1"/>
  <c r="JX246" i="1"/>
  <c r="KR246" i="1"/>
  <c r="KQ246" i="1"/>
  <c r="KY245" i="1"/>
  <c r="KX245" i="1"/>
  <c r="KW245" i="1"/>
  <c r="KV245" i="1"/>
  <c r="KU245" i="1"/>
  <c r="KT245" i="1"/>
  <c r="KS245" i="1"/>
  <c r="KO245" i="1"/>
  <c r="KN245" i="1"/>
  <c r="KK245" i="1"/>
  <c r="KJ245" i="1"/>
  <c r="KG245" i="1"/>
  <c r="KF245" i="1"/>
  <c r="KC245" i="1"/>
  <c r="KB245" i="1"/>
  <c r="JY245" i="1"/>
  <c r="JX245" i="1"/>
  <c r="KR245" i="1"/>
  <c r="KQ245" i="1"/>
  <c r="KY244" i="1"/>
  <c r="KX244" i="1"/>
  <c r="KW244" i="1"/>
  <c r="KV244" i="1"/>
  <c r="KU244" i="1"/>
  <c r="KT244" i="1"/>
  <c r="KO244" i="1"/>
  <c r="KN244" i="1"/>
  <c r="KK244" i="1"/>
  <c r="KJ244" i="1"/>
  <c r="KG244" i="1"/>
  <c r="KF244" i="1"/>
  <c r="KC244" i="1"/>
  <c r="KB244" i="1"/>
  <c r="JY244" i="1"/>
  <c r="JX244" i="1"/>
  <c r="KS244" i="1"/>
  <c r="KR244" i="1"/>
  <c r="KQ244" i="1"/>
  <c r="KY243" i="1"/>
  <c r="KX243" i="1"/>
  <c r="KW243" i="1"/>
  <c r="KV243" i="1"/>
  <c r="KU243" i="1"/>
  <c r="KT243" i="1"/>
  <c r="KS243" i="1"/>
  <c r="KO243" i="1"/>
  <c r="KN243" i="1"/>
  <c r="KK243" i="1"/>
  <c r="KJ243" i="1"/>
  <c r="KG243" i="1"/>
  <c r="KF243" i="1"/>
  <c r="KC243" i="1"/>
  <c r="KB243" i="1"/>
  <c r="JY243" i="1"/>
  <c r="JX243" i="1"/>
  <c r="KR243" i="1"/>
  <c r="KQ243" i="1"/>
  <c r="KY242" i="1"/>
  <c r="KX242" i="1"/>
  <c r="KW242" i="1"/>
  <c r="KV242" i="1"/>
  <c r="KU242" i="1"/>
  <c r="KT242" i="1"/>
  <c r="KS242" i="1"/>
  <c r="KO242" i="1"/>
  <c r="KN242" i="1"/>
  <c r="KK242" i="1"/>
  <c r="KJ242" i="1"/>
  <c r="KG242" i="1"/>
  <c r="KF242" i="1"/>
  <c r="KC242" i="1"/>
  <c r="KB242" i="1"/>
  <c r="JY242" i="1"/>
  <c r="JX242" i="1"/>
  <c r="KR242" i="1"/>
  <c r="KQ242" i="1"/>
  <c r="KY241" i="1"/>
  <c r="KX241" i="1"/>
  <c r="KW241" i="1"/>
  <c r="KV241" i="1"/>
  <c r="KU241" i="1"/>
  <c r="KT241" i="1"/>
  <c r="KS241" i="1"/>
  <c r="KR241" i="1"/>
  <c r="KQ241" i="1"/>
  <c r="KO241" i="1"/>
  <c r="KN241" i="1"/>
  <c r="KK241" i="1"/>
  <c r="KJ241" i="1"/>
  <c r="KG241" i="1"/>
  <c r="KF241" i="1"/>
  <c r="KC241" i="1"/>
  <c r="KB241" i="1"/>
  <c r="JY241" i="1"/>
  <c r="JX241" i="1"/>
  <c r="KY240" i="1"/>
  <c r="KX240" i="1"/>
  <c r="KW240" i="1"/>
  <c r="KV240" i="1"/>
  <c r="KU240" i="1"/>
  <c r="KT240" i="1"/>
  <c r="KO240" i="1"/>
  <c r="KN240" i="1"/>
  <c r="KK240" i="1"/>
  <c r="KJ240" i="1"/>
  <c r="KG240" i="1"/>
  <c r="KF240" i="1"/>
  <c r="KC240" i="1"/>
  <c r="KB240" i="1"/>
  <c r="JY240" i="1"/>
  <c r="JX240" i="1"/>
  <c r="KS240" i="1"/>
  <c r="KR240" i="1"/>
  <c r="KQ240" i="1"/>
  <c r="KY239" i="1"/>
  <c r="KX239" i="1"/>
  <c r="KW239" i="1"/>
  <c r="KV239" i="1"/>
  <c r="KU239" i="1"/>
  <c r="KT239" i="1"/>
  <c r="KO239" i="1"/>
  <c r="KP239" i="1"/>
  <c r="KN239" i="1"/>
  <c r="KK239" i="1"/>
  <c r="KJ239" i="1"/>
  <c r="KG239" i="1"/>
  <c r="KF239" i="1"/>
  <c r="KC239" i="1"/>
  <c r="KB239" i="1"/>
  <c r="JY239" i="1"/>
  <c r="JZ239" i="1"/>
  <c r="JX239" i="1"/>
  <c r="KS239" i="1"/>
  <c r="KR239" i="1"/>
  <c r="KQ239" i="1"/>
  <c r="KY238" i="1"/>
  <c r="KX238" i="1"/>
  <c r="KW238" i="1"/>
  <c r="KV238" i="1"/>
  <c r="KU238" i="1"/>
  <c r="KT238" i="1"/>
  <c r="KS238" i="1"/>
  <c r="KO238" i="1"/>
  <c r="KN238" i="1"/>
  <c r="KK238" i="1"/>
  <c r="KJ238" i="1"/>
  <c r="KG238" i="1"/>
  <c r="KF238" i="1"/>
  <c r="KC238" i="1"/>
  <c r="KB238" i="1"/>
  <c r="JY238" i="1"/>
  <c r="JX238" i="1"/>
  <c r="KR238" i="1"/>
  <c r="KQ238" i="1"/>
  <c r="KY237" i="1"/>
  <c r="KX237" i="1"/>
  <c r="KW237" i="1"/>
  <c r="KV237" i="1"/>
  <c r="KU237" i="1"/>
  <c r="KT237" i="1"/>
  <c r="KS237" i="1"/>
  <c r="KO237" i="1"/>
  <c r="KN237" i="1"/>
  <c r="KK237" i="1"/>
  <c r="KJ237" i="1"/>
  <c r="KG237" i="1"/>
  <c r="KF237" i="1"/>
  <c r="KC237" i="1"/>
  <c r="KB237" i="1"/>
  <c r="JY237" i="1"/>
  <c r="JX237" i="1"/>
  <c r="KR237" i="1"/>
  <c r="KQ237" i="1"/>
  <c r="KY236" i="1"/>
  <c r="KX236" i="1"/>
  <c r="KW236" i="1"/>
  <c r="KV236" i="1"/>
  <c r="KU236" i="1"/>
  <c r="KT236" i="1"/>
  <c r="KO236" i="1"/>
  <c r="KN236" i="1"/>
  <c r="KK236" i="1"/>
  <c r="KJ236" i="1"/>
  <c r="KG236" i="1"/>
  <c r="KF236" i="1"/>
  <c r="KC236" i="1"/>
  <c r="KB236" i="1"/>
  <c r="JY236" i="1"/>
  <c r="JX236" i="1"/>
  <c r="KS236" i="1"/>
  <c r="KR236" i="1"/>
  <c r="KQ236" i="1"/>
  <c r="KY235" i="1"/>
  <c r="KX235" i="1"/>
  <c r="KW235" i="1"/>
  <c r="KV235" i="1"/>
  <c r="KU235" i="1"/>
  <c r="KT235" i="1"/>
  <c r="KO235" i="1"/>
  <c r="KN235" i="1"/>
  <c r="KK235" i="1"/>
  <c r="KJ235" i="1"/>
  <c r="KG235" i="1"/>
  <c r="KH235" i="1"/>
  <c r="KF235" i="1"/>
  <c r="KC235" i="1"/>
  <c r="KB235" i="1"/>
  <c r="JY235" i="1"/>
  <c r="JZ235" i="1"/>
  <c r="JX235" i="1"/>
  <c r="KS235" i="1"/>
  <c r="KR235" i="1"/>
  <c r="KQ235" i="1"/>
  <c r="KY234" i="1"/>
  <c r="KX234" i="1"/>
  <c r="KW234" i="1"/>
  <c r="KV234" i="1"/>
  <c r="KU234" i="1"/>
  <c r="KT234" i="1"/>
  <c r="KS234" i="1"/>
  <c r="KO234" i="1"/>
  <c r="KN234" i="1"/>
  <c r="KK234" i="1"/>
  <c r="KJ234" i="1"/>
  <c r="KG234" i="1"/>
  <c r="KF234" i="1"/>
  <c r="KC234" i="1"/>
  <c r="KB234" i="1"/>
  <c r="JY234" i="1"/>
  <c r="JX234" i="1"/>
  <c r="KR234" i="1"/>
  <c r="KQ234" i="1"/>
  <c r="KY233" i="1"/>
  <c r="KX233" i="1"/>
  <c r="KW233" i="1"/>
  <c r="KV233" i="1"/>
  <c r="KU233" i="1"/>
  <c r="KT233" i="1"/>
  <c r="KS233" i="1"/>
  <c r="KO233" i="1"/>
  <c r="KN233" i="1"/>
  <c r="KK233" i="1"/>
  <c r="KJ233" i="1"/>
  <c r="KG233" i="1"/>
  <c r="KF233" i="1"/>
  <c r="KC233" i="1"/>
  <c r="KB233" i="1"/>
  <c r="JY233" i="1"/>
  <c r="JX233" i="1"/>
  <c r="KR233" i="1"/>
  <c r="KQ233" i="1"/>
  <c r="KY232" i="1"/>
  <c r="KX232" i="1"/>
  <c r="KW232" i="1"/>
  <c r="KV232" i="1"/>
  <c r="KU232" i="1"/>
  <c r="KT232" i="1"/>
  <c r="KO232" i="1"/>
  <c r="KN232" i="1"/>
  <c r="KK232" i="1"/>
  <c r="KJ232" i="1"/>
  <c r="KG232" i="1"/>
  <c r="KF232" i="1"/>
  <c r="KC232" i="1"/>
  <c r="KB232" i="1"/>
  <c r="JY232" i="1"/>
  <c r="JX232" i="1"/>
  <c r="KS232" i="1"/>
  <c r="KR232" i="1"/>
  <c r="KQ232" i="1"/>
  <c r="KY231" i="1"/>
  <c r="KX231" i="1"/>
  <c r="KW231" i="1"/>
  <c r="KV231" i="1"/>
  <c r="KU231" i="1"/>
  <c r="KT231" i="1"/>
  <c r="KS231" i="1"/>
  <c r="KO231" i="1"/>
  <c r="KN231" i="1"/>
  <c r="KK231" i="1"/>
  <c r="KJ231" i="1"/>
  <c r="KG231" i="1"/>
  <c r="KF231" i="1"/>
  <c r="KC231" i="1"/>
  <c r="KB231" i="1"/>
  <c r="JY231" i="1"/>
  <c r="JX231" i="1"/>
  <c r="KR231" i="1"/>
  <c r="KQ231" i="1"/>
  <c r="KY230" i="1"/>
  <c r="KX230" i="1"/>
  <c r="KW230" i="1"/>
  <c r="KV230" i="1"/>
  <c r="KU230" i="1"/>
  <c r="KT230" i="1"/>
  <c r="KS230" i="1"/>
  <c r="KO230" i="1"/>
  <c r="KN230" i="1"/>
  <c r="KK230" i="1"/>
  <c r="KJ230" i="1"/>
  <c r="KG230" i="1"/>
  <c r="KF230" i="1"/>
  <c r="KC230" i="1"/>
  <c r="KB230" i="1"/>
  <c r="JY230" i="1"/>
  <c r="JX230" i="1"/>
  <c r="KR230" i="1"/>
  <c r="KQ230" i="1"/>
  <c r="KY229" i="1"/>
  <c r="KX229" i="1"/>
  <c r="KW229" i="1"/>
  <c r="KV229" i="1"/>
  <c r="KU229" i="1"/>
  <c r="KT229" i="1"/>
  <c r="KO229" i="1"/>
  <c r="KN229" i="1"/>
  <c r="KK229" i="1"/>
  <c r="KJ229" i="1"/>
  <c r="KG229" i="1"/>
  <c r="KF229" i="1"/>
  <c r="KC229" i="1"/>
  <c r="KB229" i="1"/>
  <c r="JY229" i="1"/>
  <c r="JX229" i="1"/>
  <c r="KS229" i="1"/>
  <c r="KR229" i="1"/>
  <c r="KQ229" i="1"/>
  <c r="KY228" i="1"/>
  <c r="KX228" i="1"/>
  <c r="KW228" i="1"/>
  <c r="KV228" i="1"/>
  <c r="KU228" i="1"/>
  <c r="KT228" i="1"/>
  <c r="KO228" i="1"/>
  <c r="KN228" i="1"/>
  <c r="KK228" i="1"/>
  <c r="KJ228" i="1"/>
  <c r="KG228" i="1"/>
  <c r="KF228" i="1"/>
  <c r="KC228" i="1"/>
  <c r="KB228" i="1"/>
  <c r="JY228" i="1"/>
  <c r="JX228" i="1"/>
  <c r="KS228" i="1"/>
  <c r="KR228" i="1"/>
  <c r="KQ228" i="1"/>
  <c r="KY227" i="1"/>
  <c r="KX227" i="1"/>
  <c r="KW227" i="1"/>
  <c r="KV227" i="1"/>
  <c r="KU227" i="1"/>
  <c r="KT227" i="1"/>
  <c r="KS227" i="1"/>
  <c r="KO227" i="1"/>
  <c r="KN227" i="1"/>
  <c r="KK227" i="1"/>
  <c r="KJ227" i="1"/>
  <c r="KG227" i="1"/>
  <c r="KF227" i="1"/>
  <c r="KC227" i="1"/>
  <c r="KB227" i="1"/>
  <c r="JY227" i="1"/>
  <c r="JX227" i="1"/>
  <c r="KR227" i="1"/>
  <c r="KQ227" i="1"/>
  <c r="KY226" i="1"/>
  <c r="KX226" i="1"/>
  <c r="KW226" i="1"/>
  <c r="KV226" i="1"/>
  <c r="KU226" i="1"/>
  <c r="KT226" i="1"/>
  <c r="KS226" i="1"/>
  <c r="KO226" i="1"/>
  <c r="KN226" i="1"/>
  <c r="KK226" i="1"/>
  <c r="KJ226" i="1"/>
  <c r="KG226" i="1"/>
  <c r="KF226" i="1"/>
  <c r="KC226" i="1"/>
  <c r="KB226" i="1"/>
  <c r="JY226" i="1"/>
  <c r="JX226" i="1"/>
  <c r="KR226" i="1"/>
  <c r="KQ226" i="1"/>
  <c r="KY225" i="1"/>
  <c r="KX225" i="1"/>
  <c r="KW225" i="1"/>
  <c r="KV225" i="1"/>
  <c r="KU225" i="1"/>
  <c r="KT225" i="1"/>
  <c r="KO225" i="1"/>
  <c r="KN225" i="1"/>
  <c r="KK225" i="1"/>
  <c r="KJ225" i="1"/>
  <c r="KG225" i="1"/>
  <c r="KF225" i="1"/>
  <c r="KC225" i="1"/>
  <c r="KD225" i="1"/>
  <c r="KB225" i="1"/>
  <c r="JY225" i="1"/>
  <c r="JX225" i="1"/>
  <c r="KS225" i="1"/>
  <c r="KR225" i="1"/>
  <c r="KQ225" i="1"/>
  <c r="KY224" i="1"/>
  <c r="KX224" i="1"/>
  <c r="KW224" i="1"/>
  <c r="KV224" i="1"/>
  <c r="KU224" i="1"/>
  <c r="KT224" i="1"/>
  <c r="KO224" i="1"/>
  <c r="KN224" i="1"/>
  <c r="KK224" i="1"/>
  <c r="KJ224" i="1"/>
  <c r="KG224" i="1"/>
  <c r="KF224" i="1"/>
  <c r="KC224" i="1"/>
  <c r="KB224" i="1"/>
  <c r="JY224" i="1"/>
  <c r="JX224" i="1"/>
  <c r="KS224" i="1"/>
  <c r="KR224" i="1"/>
  <c r="KQ224" i="1"/>
  <c r="KY223" i="1"/>
  <c r="KX223" i="1"/>
  <c r="KW223" i="1"/>
  <c r="KV223" i="1"/>
  <c r="KU223" i="1"/>
  <c r="KT223" i="1"/>
  <c r="KS223" i="1"/>
  <c r="KO223" i="1"/>
  <c r="KN223" i="1"/>
  <c r="KK223" i="1"/>
  <c r="KJ223" i="1"/>
  <c r="KG223" i="1"/>
  <c r="KF223" i="1"/>
  <c r="KC223" i="1"/>
  <c r="KB223" i="1"/>
  <c r="JY223" i="1"/>
  <c r="JX223" i="1"/>
  <c r="KR223" i="1"/>
  <c r="KQ223" i="1"/>
  <c r="KY222" i="1"/>
  <c r="KX222" i="1"/>
  <c r="KW222" i="1"/>
  <c r="KV222" i="1"/>
  <c r="KU222" i="1"/>
  <c r="KT222" i="1"/>
  <c r="KS222" i="1"/>
  <c r="KO222" i="1"/>
  <c r="KN222" i="1"/>
  <c r="KK222" i="1"/>
  <c r="KJ222" i="1"/>
  <c r="KG222" i="1"/>
  <c r="KF222" i="1"/>
  <c r="KC222" i="1"/>
  <c r="KB222" i="1"/>
  <c r="JY222" i="1"/>
  <c r="JX222" i="1"/>
  <c r="KR222" i="1"/>
  <c r="KQ222" i="1"/>
  <c r="KY221" i="1"/>
  <c r="KX221" i="1"/>
  <c r="KW221" i="1"/>
  <c r="KV221" i="1"/>
  <c r="KU221" i="1"/>
  <c r="KT221" i="1"/>
  <c r="KO221" i="1"/>
  <c r="KN221" i="1"/>
  <c r="KK221" i="1"/>
  <c r="KJ221" i="1"/>
  <c r="KG221" i="1"/>
  <c r="KF221" i="1"/>
  <c r="KC221" i="1"/>
  <c r="KB221" i="1"/>
  <c r="JY221" i="1"/>
  <c r="JX221" i="1"/>
  <c r="KS221" i="1"/>
  <c r="KR221" i="1"/>
  <c r="KQ221" i="1"/>
  <c r="KY220" i="1"/>
  <c r="KX220" i="1"/>
  <c r="KW220" i="1"/>
  <c r="KV220" i="1"/>
  <c r="KU220" i="1"/>
  <c r="KT220" i="1"/>
  <c r="KO220" i="1"/>
  <c r="KN220" i="1"/>
  <c r="KK220" i="1"/>
  <c r="KJ220" i="1"/>
  <c r="KG220" i="1"/>
  <c r="KH220" i="1"/>
  <c r="KF220" i="1"/>
  <c r="KC220" i="1"/>
  <c r="KB220" i="1"/>
  <c r="JY220" i="1"/>
  <c r="JZ220" i="1"/>
  <c r="JX220" i="1"/>
  <c r="KS220" i="1"/>
  <c r="KR220" i="1"/>
  <c r="KQ220" i="1"/>
  <c r="KY219" i="1"/>
  <c r="KX219" i="1"/>
  <c r="KW219" i="1"/>
  <c r="KV219" i="1"/>
  <c r="KU219" i="1"/>
  <c r="KT219" i="1"/>
  <c r="KO219" i="1"/>
  <c r="KN219" i="1"/>
  <c r="KK219" i="1"/>
  <c r="KJ219" i="1"/>
  <c r="KG219" i="1"/>
  <c r="KF219" i="1"/>
  <c r="KC219" i="1"/>
  <c r="KB219" i="1"/>
  <c r="JY219" i="1"/>
  <c r="JX219" i="1"/>
  <c r="KS219" i="1"/>
  <c r="KR219" i="1"/>
  <c r="KQ219" i="1"/>
  <c r="KY218" i="1"/>
  <c r="KX218" i="1"/>
  <c r="KW218" i="1"/>
  <c r="KV218" i="1"/>
  <c r="KU218" i="1"/>
  <c r="KT218" i="1"/>
  <c r="KS218" i="1"/>
  <c r="KO218" i="1"/>
  <c r="KN218" i="1"/>
  <c r="KK218" i="1"/>
  <c r="KJ218" i="1"/>
  <c r="KG218" i="1"/>
  <c r="KF218" i="1"/>
  <c r="KC218" i="1"/>
  <c r="KB218" i="1"/>
  <c r="JY218" i="1"/>
  <c r="JX218" i="1"/>
  <c r="KR218" i="1"/>
  <c r="KQ218" i="1"/>
  <c r="KY217" i="1"/>
  <c r="KX217" i="1"/>
  <c r="KW217" i="1"/>
  <c r="KV217" i="1"/>
  <c r="KU217" i="1"/>
  <c r="KT217" i="1"/>
  <c r="KO217" i="1"/>
  <c r="KN217" i="1"/>
  <c r="KK217" i="1"/>
  <c r="KJ217" i="1"/>
  <c r="KG217" i="1"/>
  <c r="KF217" i="1"/>
  <c r="KC217" i="1"/>
  <c r="KB217" i="1"/>
  <c r="JY217" i="1"/>
  <c r="JX217" i="1"/>
  <c r="KS217" i="1"/>
  <c r="KR217" i="1"/>
  <c r="KQ217" i="1"/>
  <c r="KY216" i="1"/>
  <c r="KX216" i="1"/>
  <c r="KW216" i="1"/>
  <c r="KV216" i="1"/>
  <c r="KU216" i="1"/>
  <c r="KT216" i="1"/>
  <c r="KO216" i="1"/>
  <c r="KP216" i="1"/>
  <c r="KN216" i="1"/>
  <c r="KK216" i="1"/>
  <c r="KJ216" i="1"/>
  <c r="KG216" i="1"/>
  <c r="KF216" i="1"/>
  <c r="KC216" i="1"/>
  <c r="KB216" i="1"/>
  <c r="JY216" i="1"/>
  <c r="JX216" i="1"/>
  <c r="KS216" i="1"/>
  <c r="KR216" i="1"/>
  <c r="KQ216" i="1"/>
  <c r="KY215" i="1"/>
  <c r="KX215" i="1"/>
  <c r="KW215" i="1"/>
  <c r="KV215" i="1"/>
  <c r="KU215" i="1"/>
  <c r="KT215" i="1"/>
  <c r="KO215" i="1"/>
  <c r="KN215" i="1"/>
  <c r="KK215" i="1"/>
  <c r="KJ215" i="1"/>
  <c r="KG215" i="1"/>
  <c r="KF215" i="1"/>
  <c r="KC215" i="1"/>
  <c r="KB215" i="1"/>
  <c r="JY215" i="1"/>
  <c r="JZ215" i="1"/>
  <c r="JX215" i="1"/>
  <c r="KS215" i="1"/>
  <c r="KR215" i="1"/>
  <c r="KQ215" i="1"/>
  <c r="KY214" i="1"/>
  <c r="KX214" i="1"/>
  <c r="KW214" i="1"/>
  <c r="KV214" i="1"/>
  <c r="KU214" i="1"/>
  <c r="KT214" i="1"/>
  <c r="KS214" i="1"/>
  <c r="KO214" i="1"/>
  <c r="KN214" i="1"/>
  <c r="KK214" i="1"/>
  <c r="KJ214" i="1"/>
  <c r="KG214" i="1"/>
  <c r="KF214" i="1"/>
  <c r="KC214" i="1"/>
  <c r="KB214" i="1"/>
  <c r="JY214" i="1"/>
  <c r="JX214" i="1"/>
  <c r="KR214" i="1"/>
  <c r="KQ214" i="1"/>
  <c r="KY213" i="1"/>
  <c r="KX213" i="1"/>
  <c r="KW213" i="1"/>
  <c r="KV213" i="1"/>
  <c r="KU213" i="1"/>
  <c r="KT213" i="1"/>
  <c r="KO213" i="1"/>
  <c r="KN213" i="1"/>
  <c r="KK213" i="1"/>
  <c r="KJ213" i="1"/>
  <c r="KG213" i="1"/>
  <c r="KF213" i="1"/>
  <c r="KC213" i="1"/>
  <c r="KB213" i="1"/>
  <c r="JY213" i="1"/>
  <c r="JX213" i="1"/>
  <c r="KS213" i="1"/>
  <c r="KR213" i="1"/>
  <c r="KQ213" i="1"/>
  <c r="KY212" i="1"/>
  <c r="KX212" i="1"/>
  <c r="KW212" i="1"/>
  <c r="KV212" i="1"/>
  <c r="KU212" i="1"/>
  <c r="KT212" i="1"/>
  <c r="KO212" i="1"/>
  <c r="KN212" i="1"/>
  <c r="KK212" i="1"/>
  <c r="KJ212" i="1"/>
  <c r="KG212" i="1"/>
  <c r="KH212" i="1"/>
  <c r="KF212" i="1"/>
  <c r="KC212" i="1"/>
  <c r="KB212" i="1"/>
  <c r="JY212" i="1"/>
  <c r="JZ212" i="1"/>
  <c r="JX212" i="1"/>
  <c r="KS212" i="1"/>
  <c r="KR212" i="1"/>
  <c r="KQ212" i="1"/>
  <c r="KY211" i="1"/>
  <c r="KX211" i="1"/>
  <c r="KW211" i="1"/>
  <c r="KV211" i="1"/>
  <c r="KU211" i="1"/>
  <c r="KT211" i="1"/>
  <c r="KO211" i="1"/>
  <c r="KN211" i="1"/>
  <c r="KK211" i="1"/>
  <c r="KJ211" i="1"/>
  <c r="KG211" i="1"/>
  <c r="KF211" i="1"/>
  <c r="KC211" i="1"/>
  <c r="KB211" i="1"/>
  <c r="JY211" i="1"/>
  <c r="JX211" i="1"/>
  <c r="KS211" i="1"/>
  <c r="KR211" i="1"/>
  <c r="KQ211" i="1"/>
  <c r="KY210" i="1"/>
  <c r="KX210" i="1"/>
  <c r="KW210" i="1"/>
  <c r="KV210" i="1"/>
  <c r="KU210" i="1"/>
  <c r="KT210" i="1"/>
  <c r="KS210" i="1"/>
  <c r="KO210" i="1"/>
  <c r="KN210" i="1"/>
  <c r="KK210" i="1"/>
  <c r="KJ210" i="1"/>
  <c r="KG210" i="1"/>
  <c r="KF210" i="1"/>
  <c r="KC210" i="1"/>
  <c r="KB210" i="1"/>
  <c r="JY210" i="1"/>
  <c r="JX210" i="1"/>
  <c r="KR210" i="1"/>
  <c r="KQ210" i="1"/>
  <c r="KY209" i="1"/>
  <c r="KX209" i="1"/>
  <c r="KW209" i="1"/>
  <c r="KV209" i="1"/>
  <c r="KU209" i="1"/>
  <c r="KT209" i="1"/>
  <c r="KO209" i="1"/>
  <c r="KN209" i="1"/>
  <c r="KK209" i="1"/>
  <c r="KJ209" i="1"/>
  <c r="KG209" i="1"/>
  <c r="KF209" i="1"/>
  <c r="KC209" i="1"/>
  <c r="KB209" i="1"/>
  <c r="JY209" i="1"/>
  <c r="JX209" i="1"/>
  <c r="KS209" i="1"/>
  <c r="KR209" i="1"/>
  <c r="KQ209" i="1"/>
  <c r="KY208" i="1"/>
  <c r="KX208" i="1"/>
  <c r="KW208" i="1"/>
  <c r="KV208" i="1"/>
  <c r="KU208" i="1"/>
  <c r="KT208" i="1"/>
  <c r="KO208" i="1"/>
  <c r="KP208" i="1"/>
  <c r="KN208" i="1"/>
  <c r="KK208" i="1"/>
  <c r="KJ208" i="1"/>
  <c r="KG208" i="1"/>
  <c r="KF208" i="1"/>
  <c r="KC208" i="1"/>
  <c r="KB208" i="1"/>
  <c r="JY208" i="1"/>
  <c r="JX208" i="1"/>
  <c r="KS208" i="1"/>
  <c r="KR208" i="1"/>
  <c r="KQ208" i="1"/>
  <c r="KY207" i="1"/>
  <c r="KX207" i="1"/>
  <c r="KW207" i="1"/>
  <c r="KV207" i="1"/>
  <c r="KU207" i="1"/>
  <c r="KT207" i="1"/>
  <c r="KO207" i="1"/>
  <c r="KN207" i="1"/>
  <c r="KK207" i="1"/>
  <c r="KJ207" i="1"/>
  <c r="KG207" i="1"/>
  <c r="KF207" i="1"/>
  <c r="KC207" i="1"/>
  <c r="KB207" i="1"/>
  <c r="JY207" i="1"/>
  <c r="JZ207" i="1"/>
  <c r="JX207" i="1"/>
  <c r="KS207" i="1"/>
  <c r="KR207" i="1"/>
  <c r="KQ207" i="1"/>
  <c r="KY206" i="1"/>
  <c r="KX206" i="1"/>
  <c r="KW206" i="1"/>
  <c r="KV206" i="1"/>
  <c r="KU206" i="1"/>
  <c r="KT206" i="1"/>
  <c r="KS206" i="1"/>
  <c r="KO206" i="1"/>
  <c r="KN206" i="1"/>
  <c r="KK206" i="1"/>
  <c r="KJ206" i="1"/>
  <c r="KG206" i="1"/>
  <c r="KF206" i="1"/>
  <c r="KC206" i="1"/>
  <c r="KB206" i="1"/>
  <c r="JY206" i="1"/>
  <c r="JX206" i="1"/>
  <c r="KR206" i="1"/>
  <c r="KQ206" i="1"/>
  <c r="KY205" i="1"/>
  <c r="KX205" i="1"/>
  <c r="KW205" i="1"/>
  <c r="KV205" i="1"/>
  <c r="KU205" i="1"/>
  <c r="KT205" i="1"/>
  <c r="KO205" i="1"/>
  <c r="KN205" i="1"/>
  <c r="KK205" i="1"/>
  <c r="KJ205" i="1"/>
  <c r="KG205" i="1"/>
  <c r="KF205" i="1"/>
  <c r="KC205" i="1"/>
  <c r="KB205" i="1"/>
  <c r="JY205" i="1"/>
  <c r="JX205" i="1"/>
  <c r="KS205" i="1"/>
  <c r="KR205" i="1"/>
  <c r="KQ205" i="1"/>
  <c r="KY204" i="1"/>
  <c r="KX204" i="1"/>
  <c r="KW204" i="1"/>
  <c r="KV204" i="1"/>
  <c r="KU204" i="1"/>
  <c r="KT204" i="1"/>
  <c r="KO204" i="1"/>
  <c r="KN204" i="1"/>
  <c r="KK204" i="1"/>
  <c r="KJ204" i="1"/>
  <c r="KG204" i="1"/>
  <c r="KH204" i="1"/>
  <c r="KF204" i="1"/>
  <c r="KC204" i="1"/>
  <c r="KB204" i="1"/>
  <c r="JY204" i="1"/>
  <c r="JZ204" i="1"/>
  <c r="JX204" i="1"/>
  <c r="KS204" i="1"/>
  <c r="KR204" i="1"/>
  <c r="KQ204" i="1"/>
  <c r="KY203" i="1"/>
  <c r="KX203" i="1"/>
  <c r="KW203" i="1"/>
  <c r="KV203" i="1"/>
  <c r="KU203" i="1"/>
  <c r="KT203" i="1"/>
  <c r="KO203" i="1"/>
  <c r="KN203" i="1"/>
  <c r="KK203" i="1"/>
  <c r="KJ203" i="1"/>
  <c r="KG203" i="1"/>
  <c r="KF203" i="1"/>
  <c r="KC203" i="1"/>
  <c r="KB203" i="1"/>
  <c r="JY203" i="1"/>
  <c r="JX203" i="1"/>
  <c r="KS203" i="1"/>
  <c r="KR203" i="1"/>
  <c r="KQ203" i="1"/>
  <c r="KY202" i="1"/>
  <c r="KX202" i="1"/>
  <c r="KW202" i="1"/>
  <c r="KV202" i="1"/>
  <c r="KU202" i="1"/>
  <c r="KT202" i="1"/>
  <c r="KS202" i="1"/>
  <c r="KO202" i="1"/>
  <c r="KN202" i="1"/>
  <c r="KK202" i="1"/>
  <c r="KJ202" i="1"/>
  <c r="KG202" i="1"/>
  <c r="KF202" i="1"/>
  <c r="KC202" i="1"/>
  <c r="KB202" i="1"/>
  <c r="JY202" i="1"/>
  <c r="JX202" i="1"/>
  <c r="KR202" i="1"/>
  <c r="KQ202" i="1"/>
  <c r="KY201" i="1"/>
  <c r="KX201" i="1"/>
  <c r="KW201" i="1"/>
  <c r="KV201" i="1"/>
  <c r="KU201" i="1"/>
  <c r="KT201" i="1"/>
  <c r="KS201" i="1"/>
  <c r="KO201" i="1"/>
  <c r="KN201" i="1"/>
  <c r="KK201" i="1"/>
  <c r="KJ201" i="1"/>
  <c r="KG201" i="1"/>
  <c r="KF201" i="1"/>
  <c r="KC201" i="1"/>
  <c r="KB201" i="1"/>
  <c r="JY201" i="1"/>
  <c r="JX201" i="1"/>
  <c r="KR201" i="1"/>
  <c r="KQ201" i="1"/>
  <c r="KY200" i="1"/>
  <c r="KX200" i="1"/>
  <c r="KW200" i="1"/>
  <c r="KV200" i="1"/>
  <c r="KU200" i="1"/>
  <c r="KT200" i="1"/>
  <c r="KS200" i="1"/>
  <c r="KO200" i="1"/>
  <c r="KN200" i="1"/>
  <c r="KK200" i="1"/>
  <c r="KJ200" i="1"/>
  <c r="KG200" i="1"/>
  <c r="KF200" i="1"/>
  <c r="KC200" i="1"/>
  <c r="KB200" i="1"/>
  <c r="JY200" i="1"/>
  <c r="JX200" i="1"/>
  <c r="KR200" i="1"/>
  <c r="KQ200" i="1"/>
  <c r="KY199" i="1"/>
  <c r="KX199" i="1"/>
  <c r="KW199" i="1"/>
  <c r="KV199" i="1"/>
  <c r="KU199" i="1"/>
  <c r="KT199" i="1"/>
  <c r="KS199" i="1"/>
  <c r="KO199" i="1"/>
  <c r="KP199" i="1"/>
  <c r="KN199" i="1"/>
  <c r="KK199" i="1"/>
  <c r="KJ199" i="1"/>
  <c r="KG199" i="1"/>
  <c r="KH199" i="1"/>
  <c r="KF199" i="1"/>
  <c r="KC199" i="1"/>
  <c r="KB199" i="1"/>
  <c r="JY199" i="1"/>
  <c r="JZ199" i="1"/>
  <c r="JX199" i="1"/>
  <c r="KR199" i="1"/>
  <c r="KQ199" i="1"/>
  <c r="KY198" i="1"/>
  <c r="KX198" i="1"/>
  <c r="KW198" i="1"/>
  <c r="KV198" i="1"/>
  <c r="KU198" i="1"/>
  <c r="KT198" i="1"/>
  <c r="KS198" i="1"/>
  <c r="KO198" i="1"/>
  <c r="KN198" i="1"/>
  <c r="KK198" i="1"/>
  <c r="KJ198" i="1"/>
  <c r="KG198" i="1"/>
  <c r="KF198" i="1"/>
  <c r="KC198" i="1"/>
  <c r="KB198" i="1"/>
  <c r="JY198" i="1"/>
  <c r="JX198" i="1"/>
  <c r="KR198" i="1"/>
  <c r="KQ198" i="1"/>
  <c r="KY197" i="1"/>
  <c r="KX197" i="1"/>
  <c r="KW197" i="1"/>
  <c r="KV197" i="1"/>
  <c r="KU197" i="1"/>
  <c r="KT197" i="1"/>
  <c r="KO197" i="1"/>
  <c r="KN197" i="1"/>
  <c r="KK197" i="1"/>
  <c r="KJ197" i="1"/>
  <c r="KG197" i="1"/>
  <c r="KF197" i="1"/>
  <c r="KC197" i="1"/>
  <c r="KB197" i="1"/>
  <c r="JY197" i="1"/>
  <c r="JX197" i="1"/>
  <c r="KS197" i="1"/>
  <c r="KR197" i="1"/>
  <c r="KQ197" i="1"/>
  <c r="KY196" i="1"/>
  <c r="KX196" i="1"/>
  <c r="KW196" i="1"/>
  <c r="KV196" i="1"/>
  <c r="KU196" i="1"/>
  <c r="KT196" i="1"/>
  <c r="KO196" i="1"/>
  <c r="KP196" i="1"/>
  <c r="KN196" i="1"/>
  <c r="KK196" i="1"/>
  <c r="KJ196" i="1"/>
  <c r="KG196" i="1"/>
  <c r="KH196" i="1"/>
  <c r="KF196" i="1"/>
  <c r="KC196" i="1"/>
  <c r="KB196" i="1"/>
  <c r="KD196" i="1"/>
  <c r="JY196" i="1"/>
  <c r="JX196" i="1"/>
  <c r="KS196" i="1"/>
  <c r="KR196" i="1"/>
  <c r="KQ196" i="1"/>
  <c r="KY195" i="1"/>
  <c r="KX195" i="1"/>
  <c r="KW195" i="1"/>
  <c r="KV195" i="1"/>
  <c r="KU195" i="1"/>
  <c r="KT195" i="1"/>
  <c r="KS195" i="1"/>
  <c r="KO195" i="1"/>
  <c r="KN195" i="1"/>
  <c r="KK195" i="1"/>
  <c r="KJ195" i="1"/>
  <c r="KG195" i="1"/>
  <c r="KF195" i="1"/>
  <c r="KC195" i="1"/>
  <c r="KB195" i="1"/>
  <c r="JY195" i="1"/>
  <c r="JX195" i="1"/>
  <c r="KR195" i="1"/>
  <c r="KQ195" i="1"/>
  <c r="KY194" i="1"/>
  <c r="KX194" i="1"/>
  <c r="KW194" i="1"/>
  <c r="KV194" i="1"/>
  <c r="KU194" i="1"/>
  <c r="KT194" i="1"/>
  <c r="KQ194" i="1"/>
  <c r="KO194" i="1"/>
  <c r="KN194" i="1"/>
  <c r="KK194" i="1"/>
  <c r="KJ194" i="1"/>
  <c r="KG194" i="1"/>
  <c r="KF194" i="1"/>
  <c r="KC194" i="1"/>
  <c r="KB194" i="1"/>
  <c r="JY194" i="1"/>
  <c r="JX194" i="1"/>
  <c r="KS194" i="1"/>
  <c r="KR194" i="1"/>
  <c r="KY193" i="1"/>
  <c r="KX193" i="1"/>
  <c r="KW193" i="1"/>
  <c r="KV193" i="1"/>
  <c r="KU193" i="1"/>
  <c r="KT193" i="1"/>
  <c r="KO193" i="1"/>
  <c r="KN193" i="1"/>
  <c r="KK193" i="1"/>
  <c r="KJ193" i="1"/>
  <c r="KG193" i="1"/>
  <c r="KF193" i="1"/>
  <c r="KC193" i="1"/>
  <c r="KB193" i="1"/>
  <c r="JY193" i="1"/>
  <c r="JZ193" i="1"/>
  <c r="JX193" i="1"/>
  <c r="KS193" i="1"/>
  <c r="KR193" i="1"/>
  <c r="KQ193" i="1"/>
  <c r="KY192" i="1"/>
  <c r="KX192" i="1"/>
  <c r="KW192" i="1"/>
  <c r="KV192" i="1"/>
  <c r="KU192" i="1"/>
  <c r="KT192" i="1"/>
  <c r="KO192" i="1"/>
  <c r="KN192" i="1"/>
  <c r="KK192" i="1"/>
  <c r="KJ192" i="1"/>
  <c r="KG192" i="1"/>
  <c r="KF192" i="1"/>
  <c r="KC192" i="1"/>
  <c r="KB192" i="1"/>
  <c r="JY192" i="1"/>
  <c r="JX192" i="1"/>
  <c r="KS192" i="1"/>
  <c r="KR192" i="1"/>
  <c r="KQ192" i="1"/>
  <c r="KY191" i="1"/>
  <c r="KX191" i="1"/>
  <c r="KW191" i="1"/>
  <c r="KV191" i="1"/>
  <c r="KU191" i="1"/>
  <c r="KT191" i="1"/>
  <c r="KO191" i="1"/>
  <c r="KN191" i="1"/>
  <c r="KK191" i="1"/>
  <c r="KJ191" i="1"/>
  <c r="KG191" i="1"/>
  <c r="KF191" i="1"/>
  <c r="KC191" i="1"/>
  <c r="KB191" i="1"/>
  <c r="JY191" i="1"/>
  <c r="JX191" i="1"/>
  <c r="KS191" i="1"/>
  <c r="KR191" i="1"/>
  <c r="KQ191" i="1"/>
  <c r="KY190" i="1"/>
  <c r="KX190" i="1"/>
  <c r="KW190" i="1"/>
  <c r="KV190" i="1"/>
  <c r="KU190" i="1"/>
  <c r="KT190" i="1"/>
  <c r="KO190" i="1"/>
  <c r="KN190" i="1"/>
  <c r="KK190" i="1"/>
  <c r="KJ190" i="1"/>
  <c r="KG190" i="1"/>
  <c r="KF190" i="1"/>
  <c r="KC190" i="1"/>
  <c r="KB190" i="1"/>
  <c r="JY190" i="1"/>
  <c r="JX190" i="1"/>
  <c r="KS190" i="1"/>
  <c r="KR190" i="1"/>
  <c r="KQ190" i="1"/>
  <c r="KY189" i="1"/>
  <c r="KX189" i="1"/>
  <c r="KW189" i="1"/>
  <c r="KV189" i="1"/>
  <c r="KU189" i="1"/>
  <c r="KT189" i="1"/>
  <c r="KO189" i="1"/>
  <c r="KN189" i="1"/>
  <c r="KK189" i="1"/>
  <c r="KJ189" i="1"/>
  <c r="KG189" i="1"/>
  <c r="KF189" i="1"/>
  <c r="KC189" i="1"/>
  <c r="KB189" i="1"/>
  <c r="JY189" i="1"/>
  <c r="JZ189" i="1"/>
  <c r="JX189" i="1"/>
  <c r="KS189" i="1"/>
  <c r="KR189" i="1"/>
  <c r="KQ189" i="1"/>
  <c r="KY188" i="1"/>
  <c r="KX188" i="1"/>
  <c r="KW188" i="1"/>
  <c r="KV188" i="1"/>
  <c r="KU188" i="1"/>
  <c r="KT188" i="1"/>
  <c r="KO188" i="1"/>
  <c r="KN188" i="1"/>
  <c r="KK188" i="1"/>
  <c r="KJ188" i="1"/>
  <c r="KG188" i="1"/>
  <c r="KF188" i="1"/>
  <c r="KC188" i="1"/>
  <c r="KB188" i="1"/>
  <c r="JY188" i="1"/>
  <c r="JX188" i="1"/>
  <c r="KS188" i="1"/>
  <c r="KR188" i="1"/>
  <c r="KQ188" i="1"/>
  <c r="KY187" i="1"/>
  <c r="KX187" i="1"/>
  <c r="KW187" i="1"/>
  <c r="KV187" i="1"/>
  <c r="KU187" i="1"/>
  <c r="KT187" i="1"/>
  <c r="KO187" i="1"/>
  <c r="KN187" i="1"/>
  <c r="KK187" i="1"/>
  <c r="KJ187" i="1"/>
  <c r="KG187" i="1"/>
  <c r="KF187" i="1"/>
  <c r="KC187" i="1"/>
  <c r="KB187" i="1"/>
  <c r="JY187" i="1"/>
  <c r="JX187" i="1"/>
  <c r="KS187" i="1"/>
  <c r="KR187" i="1"/>
  <c r="KQ187" i="1"/>
  <c r="KY186" i="1"/>
  <c r="KX186" i="1"/>
  <c r="KW186" i="1"/>
  <c r="KV186" i="1"/>
  <c r="KU186" i="1"/>
  <c r="KT186" i="1"/>
  <c r="KO186" i="1"/>
  <c r="KN186" i="1"/>
  <c r="KK186" i="1"/>
  <c r="KJ186" i="1"/>
  <c r="KG186" i="1"/>
  <c r="KF186" i="1"/>
  <c r="KC186" i="1"/>
  <c r="KB186" i="1"/>
  <c r="JY186" i="1"/>
  <c r="JX186" i="1"/>
  <c r="KS186" i="1"/>
  <c r="KR186" i="1"/>
  <c r="KQ186" i="1"/>
  <c r="KY185" i="1"/>
  <c r="KX185" i="1"/>
  <c r="KW185" i="1"/>
  <c r="KV185" i="1"/>
  <c r="KU185" i="1"/>
  <c r="KT185" i="1"/>
  <c r="KO185" i="1"/>
  <c r="KN185" i="1"/>
  <c r="KK185" i="1"/>
  <c r="KJ185" i="1"/>
  <c r="KG185" i="1"/>
  <c r="KH185" i="1"/>
  <c r="KF185" i="1"/>
  <c r="KC185" i="1"/>
  <c r="KB185" i="1"/>
  <c r="JY185" i="1"/>
  <c r="JX185" i="1"/>
  <c r="KS185" i="1"/>
  <c r="KR185" i="1"/>
  <c r="KQ185" i="1"/>
  <c r="KY184" i="1"/>
  <c r="KX184" i="1"/>
  <c r="KW184" i="1"/>
  <c r="KV184" i="1"/>
  <c r="KU184" i="1"/>
  <c r="KT184" i="1"/>
  <c r="KO184" i="1"/>
  <c r="KN184" i="1"/>
  <c r="KK184" i="1"/>
  <c r="KJ184" i="1"/>
  <c r="KG184" i="1"/>
  <c r="KF184" i="1"/>
  <c r="KC184" i="1"/>
  <c r="KB184" i="1"/>
  <c r="JY184" i="1"/>
  <c r="JX184" i="1"/>
  <c r="KS184" i="1"/>
  <c r="KR184" i="1"/>
  <c r="KQ184" i="1"/>
  <c r="KY183" i="1"/>
  <c r="KX183" i="1"/>
  <c r="KW183" i="1"/>
  <c r="KV183" i="1"/>
  <c r="KU183" i="1"/>
  <c r="KT183" i="1"/>
  <c r="KO183" i="1"/>
  <c r="KN183" i="1"/>
  <c r="KK183" i="1"/>
  <c r="KJ183" i="1"/>
  <c r="KG183" i="1"/>
  <c r="KF183" i="1"/>
  <c r="KC183" i="1"/>
  <c r="KB183" i="1"/>
  <c r="JY183" i="1"/>
  <c r="JX183" i="1"/>
  <c r="KS183" i="1"/>
  <c r="KR183" i="1"/>
  <c r="KQ183" i="1"/>
  <c r="KY182" i="1"/>
  <c r="KX182" i="1"/>
  <c r="KW182" i="1"/>
  <c r="KV182" i="1"/>
  <c r="KU182" i="1"/>
  <c r="KT182" i="1"/>
  <c r="KO182" i="1"/>
  <c r="KN182" i="1"/>
  <c r="KK182" i="1"/>
  <c r="KJ182" i="1"/>
  <c r="KG182" i="1"/>
  <c r="KF182" i="1"/>
  <c r="KC182" i="1"/>
  <c r="KB182" i="1"/>
  <c r="JY182" i="1"/>
  <c r="JX182" i="1"/>
  <c r="KS182" i="1"/>
  <c r="KR182" i="1"/>
  <c r="KQ182" i="1"/>
  <c r="KY181" i="1"/>
  <c r="KX181" i="1"/>
  <c r="KW181" i="1"/>
  <c r="KV181" i="1"/>
  <c r="KU181" i="1"/>
  <c r="KT181" i="1"/>
  <c r="KO181" i="1"/>
  <c r="KN181" i="1"/>
  <c r="KK181" i="1"/>
  <c r="KJ181" i="1"/>
  <c r="KG181" i="1"/>
  <c r="KH181" i="1"/>
  <c r="KF181" i="1"/>
  <c r="KC181" i="1"/>
  <c r="KB181" i="1"/>
  <c r="JY181" i="1"/>
  <c r="JZ181" i="1"/>
  <c r="JX181" i="1"/>
  <c r="KS181" i="1"/>
  <c r="KR181" i="1"/>
  <c r="KQ181" i="1"/>
  <c r="KY180" i="1"/>
  <c r="KX180" i="1"/>
  <c r="KW180" i="1"/>
  <c r="KV180" i="1"/>
  <c r="KU180" i="1"/>
  <c r="KT180" i="1"/>
  <c r="KS180" i="1"/>
  <c r="KO180" i="1"/>
  <c r="KP180" i="1"/>
  <c r="KN180" i="1"/>
  <c r="KK180" i="1"/>
  <c r="KJ180" i="1"/>
  <c r="KG180" i="1"/>
  <c r="KF180" i="1"/>
  <c r="KC180" i="1"/>
  <c r="KB180" i="1"/>
  <c r="JY180" i="1"/>
  <c r="JX180" i="1"/>
  <c r="KR180" i="1"/>
  <c r="KQ180" i="1"/>
  <c r="KY179" i="1"/>
  <c r="KX179" i="1"/>
  <c r="KW179" i="1"/>
  <c r="KV179" i="1"/>
  <c r="KU179" i="1"/>
  <c r="KT179" i="1"/>
  <c r="KS179" i="1"/>
  <c r="KO179" i="1"/>
  <c r="KN179" i="1"/>
  <c r="KK179" i="1"/>
  <c r="KJ179" i="1"/>
  <c r="KG179" i="1"/>
  <c r="KF179" i="1"/>
  <c r="KC179" i="1"/>
  <c r="KB179" i="1"/>
  <c r="JY179" i="1"/>
  <c r="JX179" i="1"/>
  <c r="KR179" i="1"/>
  <c r="KQ179" i="1"/>
  <c r="KY178" i="1"/>
  <c r="KX178" i="1"/>
  <c r="KW178" i="1"/>
  <c r="KV178" i="1"/>
  <c r="KU178" i="1"/>
  <c r="KT178" i="1"/>
  <c r="KO178" i="1"/>
  <c r="KN178" i="1"/>
  <c r="KK178" i="1"/>
  <c r="KJ178" i="1"/>
  <c r="KG178" i="1"/>
  <c r="KF178" i="1"/>
  <c r="KC178" i="1"/>
  <c r="KB178" i="1"/>
  <c r="JY178" i="1"/>
  <c r="JX178" i="1"/>
  <c r="KS178" i="1"/>
  <c r="KR178" i="1"/>
  <c r="KQ178" i="1"/>
  <c r="KY177" i="1"/>
  <c r="KX177" i="1"/>
  <c r="KW177" i="1"/>
  <c r="KV177" i="1"/>
  <c r="KU177" i="1"/>
  <c r="KT177" i="1"/>
  <c r="KO177" i="1"/>
  <c r="KN177" i="1"/>
  <c r="KP177" i="1"/>
  <c r="KK177" i="1"/>
  <c r="KJ177" i="1"/>
  <c r="KG177" i="1"/>
  <c r="KF177" i="1"/>
  <c r="KC177" i="1"/>
  <c r="KB177" i="1"/>
  <c r="JY177" i="1"/>
  <c r="JX177" i="1"/>
  <c r="KS177" i="1"/>
  <c r="KR177" i="1"/>
  <c r="KQ177" i="1"/>
  <c r="KY176" i="1"/>
  <c r="KX176" i="1"/>
  <c r="KW176" i="1"/>
  <c r="KV176" i="1"/>
  <c r="KU176" i="1"/>
  <c r="KT176" i="1"/>
  <c r="KS176" i="1"/>
  <c r="KO176" i="1"/>
  <c r="KN176" i="1"/>
  <c r="KK176" i="1"/>
  <c r="KJ176" i="1"/>
  <c r="KG176" i="1"/>
  <c r="KF176" i="1"/>
  <c r="KC176" i="1"/>
  <c r="KB176" i="1"/>
  <c r="JY176" i="1"/>
  <c r="JX176" i="1"/>
  <c r="KR176" i="1"/>
  <c r="KQ176" i="1"/>
  <c r="KY175" i="1"/>
  <c r="KX175" i="1"/>
  <c r="KW175" i="1"/>
  <c r="KV175" i="1"/>
  <c r="KU175" i="1"/>
  <c r="KT175" i="1"/>
  <c r="KS175" i="1"/>
  <c r="KO175" i="1"/>
  <c r="KN175" i="1"/>
  <c r="KK175" i="1"/>
  <c r="KJ175" i="1"/>
  <c r="KG175" i="1"/>
  <c r="KF175" i="1"/>
  <c r="KC175" i="1"/>
  <c r="KB175" i="1"/>
  <c r="JY175" i="1"/>
  <c r="JX175" i="1"/>
  <c r="KR175" i="1"/>
  <c r="KQ175" i="1"/>
  <c r="KY174" i="1"/>
  <c r="KX174" i="1"/>
  <c r="KW174" i="1"/>
  <c r="KV174" i="1"/>
  <c r="KU174" i="1"/>
  <c r="KT174" i="1"/>
  <c r="KO174" i="1"/>
  <c r="KN174" i="1"/>
  <c r="KK174" i="1"/>
  <c r="KJ174" i="1"/>
  <c r="KG174" i="1"/>
  <c r="KF174" i="1"/>
  <c r="KC174" i="1"/>
  <c r="KB174" i="1"/>
  <c r="JY174" i="1"/>
  <c r="JX174" i="1"/>
  <c r="KS174" i="1"/>
  <c r="KR174" i="1"/>
  <c r="KQ174" i="1"/>
  <c r="KY173" i="1"/>
  <c r="KX173" i="1"/>
  <c r="KW173" i="1"/>
  <c r="KV173" i="1"/>
  <c r="KU173" i="1"/>
  <c r="KT173" i="1"/>
  <c r="KO173" i="1"/>
  <c r="KN173" i="1"/>
  <c r="KK173" i="1"/>
  <c r="KJ173" i="1"/>
  <c r="KL173" i="1"/>
  <c r="KG173" i="1"/>
  <c r="KF173" i="1"/>
  <c r="KC173" i="1"/>
  <c r="KB173" i="1"/>
  <c r="JY173" i="1"/>
  <c r="JX173" i="1"/>
  <c r="KS173" i="1"/>
  <c r="KR173" i="1"/>
  <c r="KQ173" i="1"/>
  <c r="KY172" i="1"/>
  <c r="KX172" i="1"/>
  <c r="KW172" i="1"/>
  <c r="KV172" i="1"/>
  <c r="KU172" i="1"/>
  <c r="KT172" i="1"/>
  <c r="KS172" i="1"/>
  <c r="KO172" i="1"/>
  <c r="KN172" i="1"/>
  <c r="KK172" i="1"/>
  <c r="KJ172" i="1"/>
  <c r="KG172" i="1"/>
  <c r="KF172" i="1"/>
  <c r="KC172" i="1"/>
  <c r="KB172" i="1"/>
  <c r="JY172" i="1"/>
  <c r="JX172" i="1"/>
  <c r="KR172" i="1"/>
  <c r="KQ172" i="1"/>
  <c r="KY171" i="1"/>
  <c r="KX171" i="1"/>
  <c r="KW171" i="1"/>
  <c r="KV171" i="1"/>
  <c r="KU171" i="1"/>
  <c r="KT171" i="1"/>
  <c r="KO171" i="1"/>
  <c r="KN171" i="1"/>
  <c r="KK171" i="1"/>
  <c r="KJ171" i="1"/>
  <c r="KG171" i="1"/>
  <c r="KF171" i="1"/>
  <c r="KC171" i="1"/>
  <c r="KB171" i="1"/>
  <c r="JY171" i="1"/>
  <c r="JX171" i="1"/>
  <c r="KS171" i="1"/>
  <c r="KR171" i="1"/>
  <c r="KQ171" i="1"/>
  <c r="KY170" i="1"/>
  <c r="KX170" i="1"/>
  <c r="KW170" i="1"/>
  <c r="KV170" i="1"/>
  <c r="KU170" i="1"/>
  <c r="KT170" i="1"/>
  <c r="KO170" i="1"/>
  <c r="KN170" i="1"/>
  <c r="KK170" i="1"/>
  <c r="KJ170" i="1"/>
  <c r="KG170" i="1"/>
  <c r="KF170" i="1"/>
  <c r="KC170" i="1"/>
  <c r="KB170" i="1"/>
  <c r="JY170" i="1"/>
  <c r="JX170" i="1"/>
  <c r="KS170" i="1"/>
  <c r="KR170" i="1"/>
  <c r="KQ170" i="1"/>
  <c r="KY169" i="1"/>
  <c r="KX169" i="1"/>
  <c r="KW169" i="1"/>
  <c r="KV169" i="1"/>
  <c r="KU169" i="1"/>
  <c r="KT169" i="1"/>
  <c r="KS169" i="1"/>
  <c r="KO169" i="1"/>
  <c r="KN169" i="1"/>
  <c r="KK169" i="1"/>
  <c r="KJ169" i="1"/>
  <c r="KG169" i="1"/>
  <c r="KF169" i="1"/>
  <c r="KC169" i="1"/>
  <c r="KB169" i="1"/>
  <c r="JY169" i="1"/>
  <c r="JX169" i="1"/>
  <c r="KR169" i="1"/>
  <c r="KQ169" i="1"/>
  <c r="KY168" i="1"/>
  <c r="KX168" i="1"/>
  <c r="KW168" i="1"/>
  <c r="KV168" i="1"/>
  <c r="KU168" i="1"/>
  <c r="KT168" i="1"/>
  <c r="KS168" i="1"/>
  <c r="KO168" i="1"/>
  <c r="KN168" i="1"/>
  <c r="KK168" i="1"/>
  <c r="KJ168" i="1"/>
  <c r="KG168" i="1"/>
  <c r="KF168" i="1"/>
  <c r="KC168" i="1"/>
  <c r="KB168" i="1"/>
  <c r="JY168" i="1"/>
  <c r="JX168" i="1"/>
  <c r="KR168" i="1"/>
  <c r="KQ168" i="1"/>
  <c r="KY167" i="1"/>
  <c r="KX167" i="1"/>
  <c r="KW167" i="1"/>
  <c r="KV167" i="1"/>
  <c r="KU167" i="1"/>
  <c r="KT167" i="1"/>
  <c r="KO167" i="1"/>
  <c r="KN167" i="1"/>
  <c r="KK167" i="1"/>
  <c r="KJ167" i="1"/>
  <c r="KG167" i="1"/>
  <c r="KF167" i="1"/>
  <c r="KC167" i="1"/>
  <c r="KB167" i="1"/>
  <c r="JY167" i="1"/>
  <c r="JX167" i="1"/>
  <c r="KS167" i="1"/>
  <c r="KR167" i="1"/>
  <c r="KQ167" i="1"/>
  <c r="KY161" i="1"/>
  <c r="KX161" i="1"/>
  <c r="KW161" i="1"/>
  <c r="KV161" i="1"/>
  <c r="KU161" i="1"/>
  <c r="KT161" i="1"/>
  <c r="KO161" i="1"/>
  <c r="KN161" i="1"/>
  <c r="KK161" i="1"/>
  <c r="KJ161" i="1"/>
  <c r="KG161" i="1"/>
  <c r="KF161" i="1"/>
  <c r="KC161" i="1"/>
  <c r="KD161" i="1"/>
  <c r="KB161" i="1"/>
  <c r="JY161" i="1"/>
  <c r="JX161" i="1"/>
  <c r="KS161" i="1"/>
  <c r="KR161" i="1"/>
  <c r="KQ161" i="1"/>
  <c r="KY160" i="1"/>
  <c r="KX160" i="1"/>
  <c r="KW160" i="1"/>
  <c r="KV160" i="1"/>
  <c r="KU160" i="1"/>
  <c r="KT160" i="1"/>
  <c r="KS160" i="1"/>
  <c r="KO160" i="1"/>
  <c r="KN160" i="1"/>
  <c r="KK160" i="1"/>
  <c r="KJ160" i="1"/>
  <c r="KG160" i="1"/>
  <c r="KF160" i="1"/>
  <c r="KC160" i="1"/>
  <c r="KB160" i="1"/>
  <c r="JY160" i="1"/>
  <c r="JX160" i="1"/>
  <c r="KR160" i="1"/>
  <c r="KQ160" i="1"/>
  <c r="KY159" i="1"/>
  <c r="KX159" i="1"/>
  <c r="KW159" i="1"/>
  <c r="KV159" i="1"/>
  <c r="KU159" i="1"/>
  <c r="KT159" i="1"/>
  <c r="KS159" i="1"/>
  <c r="KO159" i="1"/>
  <c r="KN159" i="1"/>
  <c r="KK159" i="1"/>
  <c r="KJ159" i="1"/>
  <c r="KG159" i="1"/>
  <c r="KF159" i="1"/>
  <c r="KC159" i="1"/>
  <c r="KB159" i="1"/>
  <c r="JY159" i="1"/>
  <c r="JX159" i="1"/>
  <c r="KR159" i="1"/>
  <c r="KQ159" i="1"/>
  <c r="KY158" i="1"/>
  <c r="KX158" i="1"/>
  <c r="KW158" i="1"/>
  <c r="KV158" i="1"/>
  <c r="KU158" i="1"/>
  <c r="KT158" i="1"/>
  <c r="KO158" i="1"/>
  <c r="KN158" i="1"/>
  <c r="KK158" i="1"/>
  <c r="KJ158" i="1"/>
  <c r="KG158" i="1"/>
  <c r="KF158" i="1"/>
  <c r="KC158" i="1"/>
  <c r="KB158" i="1"/>
  <c r="JY158" i="1"/>
  <c r="JX158" i="1"/>
  <c r="KS158" i="1"/>
  <c r="KR158" i="1"/>
  <c r="KQ158" i="1"/>
  <c r="KY157" i="1"/>
  <c r="KX157" i="1"/>
  <c r="KW157" i="1"/>
  <c r="KV157" i="1"/>
  <c r="KU157" i="1"/>
  <c r="KT157" i="1"/>
  <c r="KO157" i="1"/>
  <c r="KN157" i="1"/>
  <c r="KK157" i="1"/>
  <c r="KJ157" i="1"/>
  <c r="KG157" i="1"/>
  <c r="KF157" i="1"/>
  <c r="KC157" i="1"/>
  <c r="KB157" i="1"/>
  <c r="JY157" i="1"/>
  <c r="JX157" i="1"/>
  <c r="KS157" i="1"/>
  <c r="KR157" i="1"/>
  <c r="KQ157" i="1"/>
  <c r="KY156" i="1"/>
  <c r="KX156" i="1"/>
  <c r="KW156" i="1"/>
  <c r="KV156" i="1"/>
  <c r="KU156" i="1"/>
  <c r="KT156" i="1"/>
  <c r="KS156" i="1"/>
  <c r="KR156" i="1"/>
  <c r="KQ156" i="1"/>
  <c r="KO156" i="1"/>
  <c r="KN156" i="1"/>
  <c r="KK156" i="1"/>
  <c r="KJ156" i="1"/>
  <c r="KG156" i="1"/>
  <c r="KF156" i="1"/>
  <c r="KC156" i="1"/>
  <c r="KB156" i="1"/>
  <c r="JY156" i="1"/>
  <c r="JX156" i="1"/>
  <c r="KY155" i="1"/>
  <c r="KX155" i="1"/>
  <c r="KW155" i="1"/>
  <c r="KV155" i="1"/>
  <c r="KU155" i="1"/>
  <c r="KT155" i="1"/>
  <c r="KS155" i="1"/>
  <c r="KO155" i="1"/>
  <c r="KN155" i="1"/>
  <c r="KK155" i="1"/>
  <c r="KJ155" i="1"/>
  <c r="KG155" i="1"/>
  <c r="KF155" i="1"/>
  <c r="KC155" i="1"/>
  <c r="KB155" i="1"/>
  <c r="JY155" i="1"/>
  <c r="JX155" i="1"/>
  <c r="KR155" i="1"/>
  <c r="KQ155" i="1"/>
  <c r="KY154" i="1"/>
  <c r="KX154" i="1"/>
  <c r="KW154" i="1"/>
  <c r="KV154" i="1"/>
  <c r="KU154" i="1"/>
  <c r="KT154" i="1"/>
  <c r="KS154" i="1"/>
  <c r="KO154" i="1"/>
  <c r="KN154" i="1"/>
  <c r="KK154" i="1"/>
  <c r="KJ154" i="1"/>
  <c r="KG154" i="1"/>
  <c r="KF154" i="1"/>
  <c r="KC154" i="1"/>
  <c r="KB154" i="1"/>
  <c r="JY154" i="1"/>
  <c r="JX154" i="1"/>
  <c r="KR154" i="1"/>
  <c r="KQ154" i="1"/>
  <c r="KY153" i="1"/>
  <c r="KX153" i="1"/>
  <c r="KW153" i="1"/>
  <c r="KV153" i="1"/>
  <c r="KU153" i="1"/>
  <c r="KT153" i="1"/>
  <c r="KO153" i="1"/>
  <c r="KN153" i="1"/>
  <c r="KK153" i="1"/>
  <c r="KJ153" i="1"/>
  <c r="KG153" i="1"/>
  <c r="KF153" i="1"/>
  <c r="KC153" i="1"/>
  <c r="KD153" i="1"/>
  <c r="KB153" i="1"/>
  <c r="JY153" i="1"/>
  <c r="JX153" i="1"/>
  <c r="KS153" i="1"/>
  <c r="KR153" i="1"/>
  <c r="KQ153" i="1"/>
  <c r="KY152" i="1"/>
  <c r="KX152" i="1"/>
  <c r="KW152" i="1"/>
  <c r="KV152" i="1"/>
  <c r="KU152" i="1"/>
  <c r="KT152" i="1"/>
  <c r="KO152" i="1"/>
  <c r="KN152" i="1"/>
  <c r="KK152" i="1"/>
  <c r="KJ152" i="1"/>
  <c r="KG152" i="1"/>
  <c r="KF152" i="1"/>
  <c r="KC152" i="1"/>
  <c r="KB152" i="1"/>
  <c r="JY152" i="1"/>
  <c r="JX152" i="1"/>
  <c r="KS152" i="1"/>
  <c r="KR152" i="1"/>
  <c r="KQ152" i="1"/>
  <c r="KY151" i="1"/>
  <c r="KX151" i="1"/>
  <c r="KW151" i="1"/>
  <c r="KV151" i="1"/>
  <c r="KU151" i="1"/>
  <c r="KT151" i="1"/>
  <c r="KS151" i="1"/>
  <c r="KO151" i="1"/>
  <c r="KN151" i="1"/>
  <c r="KK151" i="1"/>
  <c r="KJ151" i="1"/>
  <c r="KG151" i="1"/>
  <c r="KF151" i="1"/>
  <c r="KC151" i="1"/>
  <c r="KB151" i="1"/>
  <c r="JY151" i="1"/>
  <c r="JX151" i="1"/>
  <c r="KR151" i="1"/>
  <c r="KQ151" i="1"/>
  <c r="KY150" i="1"/>
  <c r="KX150" i="1"/>
  <c r="KW150" i="1"/>
  <c r="KV150" i="1"/>
  <c r="KU150" i="1"/>
  <c r="KT150" i="1"/>
  <c r="KS150" i="1"/>
  <c r="KO150" i="1"/>
  <c r="KN150" i="1"/>
  <c r="KK150" i="1"/>
  <c r="KJ150" i="1"/>
  <c r="KG150" i="1"/>
  <c r="KF150" i="1"/>
  <c r="KC150" i="1"/>
  <c r="KB150" i="1"/>
  <c r="JY150" i="1"/>
  <c r="JX150" i="1"/>
  <c r="KR150" i="1"/>
  <c r="KQ150" i="1"/>
  <c r="KY149" i="1"/>
  <c r="KX149" i="1"/>
  <c r="KW149" i="1"/>
  <c r="KV149" i="1"/>
  <c r="KU149" i="1"/>
  <c r="KT149" i="1"/>
  <c r="KO149" i="1"/>
  <c r="KN149" i="1"/>
  <c r="KK149" i="1"/>
  <c r="KL149" i="1"/>
  <c r="KJ149" i="1"/>
  <c r="KG149" i="1"/>
  <c r="KF149" i="1"/>
  <c r="KC149" i="1"/>
  <c r="KB149" i="1"/>
  <c r="JY149" i="1"/>
  <c r="JX149" i="1"/>
  <c r="KS149" i="1"/>
  <c r="KR149" i="1"/>
  <c r="KQ149" i="1"/>
  <c r="KY148" i="1"/>
  <c r="KX148" i="1"/>
  <c r="KW148" i="1"/>
  <c r="KV148" i="1"/>
  <c r="KU148" i="1"/>
  <c r="KT148" i="1"/>
  <c r="KO148" i="1"/>
  <c r="KN148" i="1"/>
  <c r="KK148" i="1"/>
  <c r="KJ148" i="1"/>
  <c r="KG148" i="1"/>
  <c r="KF148" i="1"/>
  <c r="KC148" i="1"/>
  <c r="KB148" i="1"/>
  <c r="JY148" i="1"/>
  <c r="JX148" i="1"/>
  <c r="KS148" i="1"/>
  <c r="KR148" i="1"/>
  <c r="KQ148" i="1"/>
  <c r="KY147" i="1"/>
  <c r="KX147" i="1"/>
  <c r="KW147" i="1"/>
  <c r="KV147" i="1"/>
  <c r="KU147" i="1"/>
  <c r="KT147" i="1"/>
  <c r="KS147" i="1"/>
  <c r="KO147" i="1"/>
  <c r="KN147" i="1"/>
  <c r="KK147" i="1"/>
  <c r="KJ147" i="1"/>
  <c r="KG147" i="1"/>
  <c r="KF147" i="1"/>
  <c r="KC147" i="1"/>
  <c r="KB147" i="1"/>
  <c r="JY147" i="1"/>
  <c r="JX147" i="1"/>
  <c r="KR147" i="1"/>
  <c r="KQ147" i="1"/>
  <c r="KY146" i="1"/>
  <c r="KX146" i="1"/>
  <c r="KW146" i="1"/>
  <c r="KV146" i="1"/>
  <c r="KU146" i="1"/>
  <c r="KT146" i="1"/>
  <c r="KS146" i="1"/>
  <c r="KO146" i="1"/>
  <c r="KP146" i="1"/>
  <c r="KN146" i="1"/>
  <c r="KK146" i="1"/>
  <c r="KJ146" i="1"/>
  <c r="KG146" i="1"/>
  <c r="KH146" i="1"/>
  <c r="KF146" i="1"/>
  <c r="KC146" i="1"/>
  <c r="KB146" i="1"/>
  <c r="JY146" i="1"/>
  <c r="JZ146" i="1"/>
  <c r="JX146" i="1"/>
  <c r="KR146" i="1"/>
  <c r="KQ146" i="1"/>
  <c r="KY145" i="1"/>
  <c r="KX145" i="1"/>
  <c r="KW145" i="1"/>
  <c r="KV145" i="1"/>
  <c r="KU145" i="1"/>
  <c r="KT145" i="1"/>
  <c r="KS145" i="1"/>
  <c r="KO145" i="1"/>
  <c r="KN145" i="1"/>
  <c r="KK145" i="1"/>
  <c r="KJ145" i="1"/>
  <c r="KG145" i="1"/>
  <c r="KF145" i="1"/>
  <c r="KC145" i="1"/>
  <c r="KB145" i="1"/>
  <c r="JY145" i="1"/>
  <c r="JX145" i="1"/>
  <c r="KR145" i="1"/>
  <c r="KQ145" i="1"/>
  <c r="KY144" i="1"/>
  <c r="KX144" i="1"/>
  <c r="KW144" i="1"/>
  <c r="KV144" i="1"/>
  <c r="KU144" i="1"/>
  <c r="KT144" i="1"/>
  <c r="KO144" i="1"/>
  <c r="KN144" i="1"/>
  <c r="KK144" i="1"/>
  <c r="KJ144" i="1"/>
  <c r="KG144" i="1"/>
  <c r="KF144" i="1"/>
  <c r="KC144" i="1"/>
  <c r="KB144" i="1"/>
  <c r="JY144" i="1"/>
  <c r="JX144" i="1"/>
  <c r="KS144" i="1"/>
  <c r="KR144" i="1"/>
  <c r="KQ144" i="1"/>
  <c r="KY143" i="1"/>
  <c r="KX143" i="1"/>
  <c r="KW143" i="1"/>
  <c r="KV143" i="1"/>
  <c r="KU143" i="1"/>
  <c r="KT143" i="1"/>
  <c r="KS143" i="1"/>
  <c r="KO143" i="1"/>
  <c r="KN143" i="1"/>
  <c r="KK143" i="1"/>
  <c r="KJ143" i="1"/>
  <c r="KG143" i="1"/>
  <c r="KF143" i="1"/>
  <c r="KC143" i="1"/>
  <c r="KB143" i="1"/>
  <c r="JY143" i="1"/>
  <c r="JX143" i="1"/>
  <c r="KR143" i="1"/>
  <c r="KQ143" i="1"/>
  <c r="KY166" i="1"/>
  <c r="KX166" i="1"/>
  <c r="KW166" i="1"/>
  <c r="KV166" i="1"/>
  <c r="KU166" i="1"/>
  <c r="KT166" i="1"/>
  <c r="KS166" i="1"/>
  <c r="KO166" i="1"/>
  <c r="KN166" i="1"/>
  <c r="KK166" i="1"/>
  <c r="KJ166" i="1"/>
  <c r="KG166" i="1"/>
  <c r="KF166" i="1"/>
  <c r="KC166" i="1"/>
  <c r="KB166" i="1"/>
  <c r="JY166" i="1"/>
  <c r="JX166" i="1"/>
  <c r="KR166" i="1"/>
  <c r="KQ166" i="1"/>
  <c r="KY165" i="1"/>
  <c r="KX165" i="1"/>
  <c r="KW165" i="1"/>
  <c r="KV165" i="1"/>
  <c r="KU165" i="1"/>
  <c r="KT165" i="1"/>
  <c r="KO165" i="1"/>
  <c r="KN165" i="1"/>
  <c r="KK165" i="1"/>
  <c r="KJ165" i="1"/>
  <c r="KG165" i="1"/>
  <c r="KF165" i="1"/>
  <c r="KC165" i="1"/>
  <c r="KB165" i="1"/>
  <c r="JY165" i="1"/>
  <c r="JX165" i="1"/>
  <c r="KS165" i="1"/>
  <c r="KR165" i="1"/>
  <c r="KQ165" i="1"/>
  <c r="KY164" i="1"/>
  <c r="KX164" i="1"/>
  <c r="KW164" i="1"/>
  <c r="KV164" i="1"/>
  <c r="KU164" i="1"/>
  <c r="KT164" i="1"/>
  <c r="KO164" i="1"/>
  <c r="KP164" i="1"/>
  <c r="KN164" i="1"/>
  <c r="KK164" i="1"/>
  <c r="KJ164" i="1"/>
  <c r="KG164" i="1"/>
  <c r="KH164" i="1"/>
  <c r="KF164" i="1"/>
  <c r="KC164" i="1"/>
  <c r="KB164" i="1"/>
  <c r="JY164" i="1"/>
  <c r="JZ164" i="1"/>
  <c r="JX164" i="1"/>
  <c r="KS164" i="1"/>
  <c r="KR164" i="1"/>
  <c r="KQ164" i="1"/>
  <c r="KY163" i="1"/>
  <c r="KX163" i="1"/>
  <c r="KW163" i="1"/>
  <c r="KV163" i="1"/>
  <c r="KU163" i="1"/>
  <c r="KT163" i="1"/>
  <c r="KS163" i="1"/>
  <c r="KO163" i="1"/>
  <c r="KN163" i="1"/>
  <c r="KK163" i="1"/>
  <c r="KJ163" i="1"/>
  <c r="KG163" i="1"/>
  <c r="KF163" i="1"/>
  <c r="KC163" i="1"/>
  <c r="KB163" i="1"/>
  <c r="JY163" i="1"/>
  <c r="JX163" i="1"/>
  <c r="KR163" i="1"/>
  <c r="KQ163" i="1"/>
  <c r="KY162" i="1"/>
  <c r="KX162" i="1"/>
  <c r="KW162" i="1"/>
  <c r="KV162" i="1"/>
  <c r="KU162" i="1"/>
  <c r="KT162" i="1"/>
  <c r="KO162" i="1"/>
  <c r="KN162" i="1"/>
  <c r="KK162" i="1"/>
  <c r="KJ162" i="1"/>
  <c r="KG162" i="1"/>
  <c r="KF162" i="1"/>
  <c r="KC162" i="1"/>
  <c r="KB162" i="1"/>
  <c r="JY162" i="1"/>
  <c r="JX162" i="1"/>
  <c r="KS162" i="1"/>
  <c r="KR162" i="1"/>
  <c r="KQ162" i="1"/>
  <c r="KY142" i="1"/>
  <c r="KX142" i="1"/>
  <c r="KW142" i="1"/>
  <c r="KV142" i="1"/>
  <c r="KU142" i="1"/>
  <c r="KT142" i="1"/>
  <c r="KO142" i="1"/>
  <c r="KN142" i="1"/>
  <c r="KK142" i="1"/>
  <c r="KJ142" i="1"/>
  <c r="KG142" i="1"/>
  <c r="KF142" i="1"/>
  <c r="KC142" i="1"/>
  <c r="KB142" i="1"/>
  <c r="JY142" i="1"/>
  <c r="JX142" i="1"/>
  <c r="KS142" i="1"/>
  <c r="KR142" i="1"/>
  <c r="KQ142" i="1"/>
  <c r="KY141" i="1"/>
  <c r="KX141" i="1"/>
  <c r="KW141" i="1"/>
  <c r="KV141" i="1"/>
  <c r="KU141" i="1"/>
  <c r="KT141" i="1"/>
  <c r="KO141" i="1"/>
  <c r="KN141" i="1"/>
  <c r="KK141" i="1"/>
  <c r="KJ141" i="1"/>
  <c r="KG141" i="1"/>
  <c r="KF141" i="1"/>
  <c r="KC141" i="1"/>
  <c r="KB141" i="1"/>
  <c r="JY141" i="1"/>
  <c r="JX141" i="1"/>
  <c r="KS141" i="1"/>
  <c r="KR141" i="1"/>
  <c r="KQ141" i="1"/>
  <c r="KY140" i="1"/>
  <c r="KX140" i="1"/>
  <c r="KW140" i="1"/>
  <c r="KV140" i="1"/>
  <c r="KU140" i="1"/>
  <c r="KT140" i="1"/>
  <c r="KS140" i="1"/>
  <c r="KO140" i="1"/>
  <c r="KN140" i="1"/>
  <c r="KK140" i="1"/>
  <c r="KJ140" i="1"/>
  <c r="KG140" i="1"/>
  <c r="KF140" i="1"/>
  <c r="KC140" i="1"/>
  <c r="KB140" i="1"/>
  <c r="JY140" i="1"/>
  <c r="JX140" i="1"/>
  <c r="KR140" i="1"/>
  <c r="KQ140" i="1"/>
  <c r="KY139" i="1"/>
  <c r="KX139" i="1"/>
  <c r="KW139" i="1"/>
  <c r="KV139" i="1"/>
  <c r="KU139" i="1"/>
  <c r="KT139" i="1"/>
  <c r="KS139" i="1"/>
  <c r="KO139" i="1"/>
  <c r="KN139" i="1"/>
  <c r="KK139" i="1"/>
  <c r="KJ139" i="1"/>
  <c r="KG139" i="1"/>
  <c r="KF139" i="1"/>
  <c r="KC139" i="1"/>
  <c r="KB139" i="1"/>
  <c r="JY139" i="1"/>
  <c r="JZ139" i="1"/>
  <c r="JX139" i="1"/>
  <c r="KR139" i="1"/>
  <c r="KQ139" i="1"/>
  <c r="KY138" i="1"/>
  <c r="KX138" i="1"/>
  <c r="KW138" i="1"/>
  <c r="KV138" i="1"/>
  <c r="KU138" i="1"/>
  <c r="KT138" i="1"/>
  <c r="KS138" i="1"/>
  <c r="KR138" i="1"/>
  <c r="KO138" i="1"/>
  <c r="KP138" i="1"/>
  <c r="KN138" i="1"/>
  <c r="KK138" i="1"/>
  <c r="KJ138" i="1"/>
  <c r="KG138" i="1"/>
  <c r="KF138" i="1"/>
  <c r="KC138" i="1"/>
  <c r="KB138" i="1"/>
  <c r="JY138" i="1"/>
  <c r="JX138" i="1"/>
  <c r="KQ138" i="1"/>
  <c r="KY137" i="1"/>
  <c r="KX137" i="1"/>
  <c r="KW137" i="1"/>
  <c r="KV137" i="1"/>
  <c r="KU137" i="1"/>
  <c r="KT137" i="1"/>
  <c r="KS137" i="1"/>
  <c r="KO137" i="1"/>
  <c r="KN137" i="1"/>
  <c r="KK137" i="1"/>
  <c r="KJ137" i="1"/>
  <c r="KG137" i="1"/>
  <c r="KF137" i="1"/>
  <c r="KC137" i="1"/>
  <c r="KB137" i="1"/>
  <c r="JY137" i="1"/>
  <c r="JX137" i="1"/>
  <c r="KR137" i="1"/>
  <c r="KQ137" i="1"/>
  <c r="KY136" i="1"/>
  <c r="KX136" i="1"/>
  <c r="KW136" i="1"/>
  <c r="KV136" i="1"/>
  <c r="KU136" i="1"/>
  <c r="KT136" i="1"/>
  <c r="KS136" i="1"/>
  <c r="KO136" i="1"/>
  <c r="KN136" i="1"/>
  <c r="KK136" i="1"/>
  <c r="KJ136" i="1"/>
  <c r="KG136" i="1"/>
  <c r="KF136" i="1"/>
  <c r="KC136" i="1"/>
  <c r="KB136" i="1"/>
  <c r="JY136" i="1"/>
  <c r="JX136" i="1"/>
  <c r="KR136" i="1"/>
  <c r="KQ136" i="1"/>
  <c r="KY135" i="1"/>
  <c r="KX135" i="1"/>
  <c r="KW135" i="1"/>
  <c r="KV135" i="1"/>
  <c r="KU135" i="1"/>
  <c r="KT135" i="1"/>
  <c r="KO135" i="1"/>
  <c r="KN135" i="1"/>
  <c r="KK135" i="1"/>
  <c r="KJ135" i="1"/>
  <c r="KG135" i="1"/>
  <c r="KF135" i="1"/>
  <c r="KC135" i="1"/>
  <c r="KB135" i="1"/>
  <c r="JY135" i="1"/>
  <c r="JX135" i="1"/>
  <c r="KS135" i="1"/>
  <c r="KR135" i="1"/>
  <c r="KQ135" i="1"/>
  <c r="KY134" i="1"/>
  <c r="KX134" i="1"/>
  <c r="KW134" i="1"/>
  <c r="KV134" i="1"/>
  <c r="KU134" i="1"/>
  <c r="KT134" i="1"/>
  <c r="KO134" i="1"/>
  <c r="KN134" i="1"/>
  <c r="KK134" i="1"/>
  <c r="KL134" i="1"/>
  <c r="KJ134" i="1"/>
  <c r="KG134" i="1"/>
  <c r="KF134" i="1"/>
  <c r="KC134" i="1"/>
  <c r="KB134" i="1"/>
  <c r="JY134" i="1"/>
  <c r="JX134" i="1"/>
  <c r="KS134" i="1"/>
  <c r="KR134" i="1"/>
  <c r="KQ134" i="1"/>
  <c r="KY133" i="1"/>
  <c r="KX133" i="1"/>
  <c r="KW133" i="1"/>
  <c r="KV133" i="1"/>
  <c r="KU133" i="1"/>
  <c r="KT133" i="1"/>
  <c r="KS133" i="1"/>
  <c r="KO133" i="1"/>
  <c r="KN133" i="1"/>
  <c r="KK133" i="1"/>
  <c r="KJ133" i="1"/>
  <c r="KG133" i="1"/>
  <c r="KF133" i="1"/>
  <c r="KC133" i="1"/>
  <c r="KB133" i="1"/>
  <c r="JY133" i="1"/>
  <c r="JX133" i="1"/>
  <c r="KR133" i="1"/>
  <c r="KQ133" i="1"/>
  <c r="KY132" i="1"/>
  <c r="KX132" i="1"/>
  <c r="KW132" i="1"/>
  <c r="KV132" i="1"/>
  <c r="KU132" i="1"/>
  <c r="KT132" i="1"/>
  <c r="KS132" i="1"/>
  <c r="KO132" i="1"/>
  <c r="KN132" i="1"/>
  <c r="KK132" i="1"/>
  <c r="KJ132" i="1"/>
  <c r="KG132" i="1"/>
  <c r="KF132" i="1"/>
  <c r="KC132" i="1"/>
  <c r="KB132" i="1"/>
  <c r="JY132" i="1"/>
  <c r="JX132" i="1"/>
  <c r="KR132" i="1"/>
  <c r="KQ132" i="1"/>
  <c r="KY131" i="1"/>
  <c r="KX131" i="1"/>
  <c r="KW131" i="1"/>
  <c r="KV131" i="1"/>
  <c r="KU131" i="1"/>
  <c r="KT131" i="1"/>
  <c r="KO131" i="1"/>
  <c r="KN131" i="1"/>
  <c r="KK131" i="1"/>
  <c r="KJ131" i="1"/>
  <c r="KG131" i="1"/>
  <c r="KF131" i="1"/>
  <c r="KC131" i="1"/>
  <c r="KB131" i="1"/>
  <c r="JY131" i="1"/>
  <c r="JX131" i="1"/>
  <c r="KS131" i="1"/>
  <c r="KR131" i="1"/>
  <c r="KQ131" i="1"/>
  <c r="KY130" i="1"/>
  <c r="KX130" i="1"/>
  <c r="KW130" i="1"/>
  <c r="KV130" i="1"/>
  <c r="KU130" i="1"/>
  <c r="KT130" i="1"/>
  <c r="KO130" i="1"/>
  <c r="KN130" i="1"/>
  <c r="KK130" i="1"/>
  <c r="KL130" i="1"/>
  <c r="KJ130" i="1"/>
  <c r="KG130" i="1"/>
  <c r="KF130" i="1"/>
  <c r="KC130" i="1"/>
  <c r="KD130" i="1"/>
  <c r="KB130" i="1"/>
  <c r="JY130" i="1"/>
  <c r="JX130" i="1"/>
  <c r="JZ130" i="1"/>
  <c r="KS130" i="1"/>
  <c r="KR130" i="1"/>
  <c r="KQ130" i="1"/>
  <c r="KY129" i="1"/>
  <c r="KX129" i="1"/>
  <c r="KW129" i="1"/>
  <c r="KV129" i="1"/>
  <c r="KU129" i="1"/>
  <c r="KT129" i="1"/>
  <c r="KS129" i="1"/>
  <c r="KO129" i="1"/>
  <c r="KN129" i="1"/>
  <c r="KK129" i="1"/>
  <c r="KJ129" i="1"/>
  <c r="KG129" i="1"/>
  <c r="KF129" i="1"/>
  <c r="KC129" i="1"/>
  <c r="KB129" i="1"/>
  <c r="JY129" i="1"/>
  <c r="JX129" i="1"/>
  <c r="KR129" i="1"/>
  <c r="KQ129" i="1"/>
  <c r="KY128" i="1"/>
  <c r="KX128" i="1"/>
  <c r="KW128" i="1"/>
  <c r="KV128" i="1"/>
  <c r="KU128" i="1"/>
  <c r="KT128" i="1"/>
  <c r="KS128" i="1"/>
  <c r="KO128" i="1"/>
  <c r="KN128" i="1"/>
  <c r="KK128" i="1"/>
  <c r="KJ128" i="1"/>
  <c r="KG128" i="1"/>
  <c r="KF128" i="1"/>
  <c r="KC128" i="1"/>
  <c r="KB128" i="1"/>
  <c r="JY128" i="1"/>
  <c r="JX128" i="1"/>
  <c r="KR128" i="1"/>
  <c r="KQ128" i="1"/>
  <c r="KY127" i="1"/>
  <c r="KX127" i="1"/>
  <c r="KW127" i="1"/>
  <c r="KV127" i="1"/>
  <c r="KU127" i="1"/>
  <c r="KT127" i="1"/>
  <c r="KO127" i="1"/>
  <c r="KN127" i="1"/>
  <c r="KK127" i="1"/>
  <c r="KJ127" i="1"/>
  <c r="KG127" i="1"/>
  <c r="KF127" i="1"/>
  <c r="KC127" i="1"/>
  <c r="KB127" i="1"/>
  <c r="JY127" i="1"/>
  <c r="JX127" i="1"/>
  <c r="KS127" i="1"/>
  <c r="KR127" i="1"/>
  <c r="KQ127" i="1"/>
  <c r="KY126" i="1"/>
  <c r="KX126" i="1"/>
  <c r="KW126" i="1"/>
  <c r="KV126" i="1"/>
  <c r="KU126" i="1"/>
  <c r="KT126" i="1"/>
  <c r="KO126" i="1"/>
  <c r="KN126" i="1"/>
  <c r="KK126" i="1"/>
  <c r="KL126" i="1"/>
  <c r="KJ126" i="1"/>
  <c r="KG126" i="1"/>
  <c r="KF126" i="1"/>
  <c r="KC126" i="1"/>
  <c r="KD126" i="1"/>
  <c r="KB126" i="1"/>
  <c r="JY126" i="1"/>
  <c r="JX126" i="1"/>
  <c r="KS126" i="1"/>
  <c r="KR126" i="1"/>
  <c r="KQ126" i="1"/>
  <c r="KY125" i="1"/>
  <c r="KX125" i="1"/>
  <c r="KW125" i="1"/>
  <c r="KV125" i="1"/>
  <c r="KU125" i="1"/>
  <c r="KT125" i="1"/>
  <c r="KS125" i="1"/>
  <c r="KO125" i="1"/>
  <c r="KN125" i="1"/>
  <c r="KK125" i="1"/>
  <c r="KJ125" i="1"/>
  <c r="KG125" i="1"/>
  <c r="KF125" i="1"/>
  <c r="KC125" i="1"/>
  <c r="KB125" i="1"/>
  <c r="JY125" i="1"/>
  <c r="JX125" i="1"/>
  <c r="KR125" i="1"/>
  <c r="KQ125" i="1"/>
  <c r="KY124" i="1"/>
  <c r="KX124" i="1"/>
  <c r="KW124" i="1"/>
  <c r="KV124" i="1"/>
  <c r="KU124" i="1"/>
  <c r="KT124" i="1"/>
  <c r="KS124" i="1"/>
  <c r="KO124" i="1"/>
  <c r="KN124" i="1"/>
  <c r="KK124" i="1"/>
  <c r="KJ124" i="1"/>
  <c r="KG124" i="1"/>
  <c r="KF124" i="1"/>
  <c r="KC124" i="1"/>
  <c r="KB124" i="1"/>
  <c r="JY124" i="1"/>
  <c r="JX124" i="1"/>
  <c r="KR124" i="1"/>
  <c r="KQ124" i="1"/>
  <c r="KY123" i="1"/>
  <c r="KX123" i="1"/>
  <c r="KW123" i="1"/>
  <c r="KV123" i="1"/>
  <c r="KU123" i="1"/>
  <c r="KT123" i="1"/>
  <c r="KO123" i="1"/>
  <c r="KN123" i="1"/>
  <c r="KK123" i="1"/>
  <c r="KJ123" i="1"/>
  <c r="KG123" i="1"/>
  <c r="KF123" i="1"/>
  <c r="KC123" i="1"/>
  <c r="KB123" i="1"/>
  <c r="JY123" i="1"/>
  <c r="JX123" i="1"/>
  <c r="KS123" i="1"/>
  <c r="KR123" i="1"/>
  <c r="KQ123" i="1"/>
  <c r="KY122" i="1"/>
  <c r="KX122" i="1"/>
  <c r="KW122" i="1"/>
  <c r="KV122" i="1"/>
  <c r="KU122" i="1"/>
  <c r="KT122" i="1"/>
  <c r="KO122" i="1"/>
  <c r="KN122" i="1"/>
  <c r="KK122" i="1"/>
  <c r="KJ122" i="1"/>
  <c r="KG122" i="1"/>
  <c r="KF122" i="1"/>
  <c r="KC122" i="1"/>
  <c r="KB122" i="1"/>
  <c r="JY122" i="1"/>
  <c r="JX122" i="1"/>
  <c r="JZ122" i="1"/>
  <c r="KS122" i="1"/>
  <c r="KR122" i="1"/>
  <c r="KQ122" i="1"/>
  <c r="KY121" i="1"/>
  <c r="KX121" i="1"/>
  <c r="KW121" i="1"/>
  <c r="KV121" i="1"/>
  <c r="KU121" i="1"/>
  <c r="KT121" i="1"/>
  <c r="KS121" i="1"/>
  <c r="KO121" i="1"/>
  <c r="KN121" i="1"/>
  <c r="KK121" i="1"/>
  <c r="KJ121" i="1"/>
  <c r="KG121" i="1"/>
  <c r="KF121" i="1"/>
  <c r="KC121" i="1"/>
  <c r="KB121" i="1"/>
  <c r="JY121" i="1"/>
  <c r="JX121" i="1"/>
  <c r="KR121" i="1"/>
  <c r="KQ121" i="1"/>
  <c r="KY120" i="1"/>
  <c r="KX120" i="1"/>
  <c r="KW120" i="1"/>
  <c r="KV120" i="1"/>
  <c r="KU120" i="1"/>
  <c r="KT120" i="1"/>
  <c r="KS120" i="1"/>
  <c r="KR120" i="1"/>
  <c r="KO120" i="1"/>
  <c r="KN120" i="1"/>
  <c r="KK120" i="1"/>
  <c r="KJ120" i="1"/>
  <c r="KG120" i="1"/>
  <c r="KF120" i="1"/>
  <c r="KC120" i="1"/>
  <c r="KB120" i="1"/>
  <c r="JY120" i="1"/>
  <c r="JX120" i="1"/>
  <c r="KQ120" i="1"/>
  <c r="KY119" i="1"/>
  <c r="KX119" i="1"/>
  <c r="KW119" i="1"/>
  <c r="KV119" i="1"/>
  <c r="KU119" i="1"/>
  <c r="KT119" i="1"/>
  <c r="KO119" i="1"/>
  <c r="KN119" i="1"/>
  <c r="KK119" i="1"/>
  <c r="KJ119" i="1"/>
  <c r="KG119" i="1"/>
  <c r="KF119" i="1"/>
  <c r="KC119" i="1"/>
  <c r="KB119" i="1"/>
  <c r="JY119" i="1"/>
  <c r="JX119" i="1"/>
  <c r="KS119" i="1"/>
  <c r="KR119" i="1"/>
  <c r="KQ119" i="1"/>
  <c r="KY118" i="1"/>
  <c r="KX118" i="1"/>
  <c r="KW118" i="1"/>
  <c r="KV118" i="1"/>
  <c r="KU118" i="1"/>
  <c r="KT118" i="1"/>
  <c r="KO118" i="1"/>
  <c r="KN118" i="1"/>
  <c r="KK118" i="1"/>
  <c r="KJ118" i="1"/>
  <c r="KG118" i="1"/>
  <c r="KF118" i="1"/>
  <c r="KC118" i="1"/>
  <c r="KB118" i="1"/>
  <c r="JY118" i="1"/>
  <c r="JX118" i="1"/>
  <c r="KS118" i="1"/>
  <c r="KR118" i="1"/>
  <c r="KQ118" i="1"/>
  <c r="KY117" i="1"/>
  <c r="KX117" i="1"/>
  <c r="KW117" i="1"/>
  <c r="KV117" i="1"/>
  <c r="KU117" i="1"/>
  <c r="KT117" i="1"/>
  <c r="KS117" i="1"/>
  <c r="KO117" i="1"/>
  <c r="KN117" i="1"/>
  <c r="KK117" i="1"/>
  <c r="KJ117" i="1"/>
  <c r="KG117" i="1"/>
  <c r="KF117" i="1"/>
  <c r="KC117" i="1"/>
  <c r="KB117" i="1"/>
  <c r="JY117" i="1"/>
  <c r="JX117" i="1"/>
  <c r="KR117" i="1"/>
  <c r="KQ117" i="1"/>
  <c r="KY116" i="1"/>
  <c r="KX116" i="1"/>
  <c r="KW116" i="1"/>
  <c r="KV116" i="1"/>
  <c r="KU116" i="1"/>
  <c r="KT116" i="1"/>
  <c r="KS116" i="1"/>
  <c r="KR116" i="1"/>
  <c r="KO116" i="1"/>
  <c r="KN116" i="1"/>
  <c r="KK116" i="1"/>
  <c r="KJ116" i="1"/>
  <c r="KG116" i="1"/>
  <c r="KF116" i="1"/>
  <c r="KC116" i="1"/>
  <c r="KB116" i="1"/>
  <c r="JY116" i="1"/>
  <c r="JX116" i="1"/>
  <c r="KQ116" i="1"/>
  <c r="KY115" i="1"/>
  <c r="KX115" i="1"/>
  <c r="KW115" i="1"/>
  <c r="KV115" i="1"/>
  <c r="KU115" i="1"/>
  <c r="KT115" i="1"/>
  <c r="KO115" i="1"/>
  <c r="KN115" i="1"/>
  <c r="KK115" i="1"/>
  <c r="KJ115" i="1"/>
  <c r="KG115" i="1"/>
  <c r="KF115" i="1"/>
  <c r="KC115" i="1"/>
  <c r="KB115" i="1"/>
  <c r="JY115" i="1"/>
  <c r="JX115" i="1"/>
  <c r="KS115" i="1"/>
  <c r="KR115" i="1"/>
  <c r="KQ115" i="1"/>
  <c r="KY114" i="1"/>
  <c r="KX114" i="1"/>
  <c r="KW114" i="1"/>
  <c r="KV114" i="1"/>
  <c r="KU114" i="1"/>
  <c r="KT114" i="1"/>
  <c r="KO114" i="1"/>
  <c r="KN114" i="1"/>
  <c r="KK114" i="1"/>
  <c r="KJ114" i="1"/>
  <c r="KG114" i="1"/>
  <c r="KF114" i="1"/>
  <c r="KC114" i="1"/>
  <c r="KB114" i="1"/>
  <c r="JY114" i="1"/>
  <c r="JX114" i="1"/>
  <c r="KS114" i="1"/>
  <c r="KR114" i="1"/>
  <c r="KQ114" i="1"/>
  <c r="KY113" i="1"/>
  <c r="KX113" i="1"/>
  <c r="KW113" i="1"/>
  <c r="KV113" i="1"/>
  <c r="KU113" i="1"/>
  <c r="KT113" i="1"/>
  <c r="KS113" i="1"/>
  <c r="KO113" i="1"/>
  <c r="KN113" i="1"/>
  <c r="KK113" i="1"/>
  <c r="KJ113" i="1"/>
  <c r="KG113" i="1"/>
  <c r="KF113" i="1"/>
  <c r="KC113" i="1"/>
  <c r="KD113" i="1"/>
  <c r="KB113" i="1"/>
  <c r="JY113" i="1"/>
  <c r="JX113" i="1"/>
  <c r="KR113" i="1"/>
  <c r="KQ113" i="1"/>
  <c r="KY112" i="1"/>
  <c r="KX112" i="1"/>
  <c r="KW112" i="1"/>
  <c r="KV112" i="1"/>
  <c r="KU112" i="1"/>
  <c r="KT112" i="1"/>
  <c r="KS112" i="1"/>
  <c r="KO112" i="1"/>
  <c r="KN112" i="1"/>
  <c r="KK112" i="1"/>
  <c r="KJ112" i="1"/>
  <c r="KG112" i="1"/>
  <c r="KF112" i="1"/>
  <c r="KC112" i="1"/>
  <c r="KB112" i="1"/>
  <c r="JY112" i="1"/>
  <c r="JX112" i="1"/>
  <c r="KR112" i="1"/>
  <c r="KQ112" i="1"/>
  <c r="KY111" i="1"/>
  <c r="KX111" i="1"/>
  <c r="KW111" i="1"/>
  <c r="KV111" i="1"/>
  <c r="KU111" i="1"/>
  <c r="KT111" i="1"/>
  <c r="KS111" i="1"/>
  <c r="KQ111" i="1"/>
  <c r="KO111" i="1"/>
  <c r="KN111" i="1"/>
  <c r="KK111" i="1"/>
  <c r="KJ111" i="1"/>
  <c r="KG111" i="1"/>
  <c r="KF111" i="1"/>
  <c r="KC111" i="1"/>
  <c r="KB111" i="1"/>
  <c r="JY111" i="1"/>
  <c r="JX111" i="1"/>
  <c r="KR111" i="1"/>
  <c r="KY110" i="1"/>
  <c r="KX110" i="1"/>
  <c r="KW110" i="1"/>
  <c r="KV110" i="1"/>
  <c r="KU110" i="1"/>
  <c r="KT110" i="1"/>
  <c r="KO110" i="1"/>
  <c r="KN110" i="1"/>
  <c r="KK110" i="1"/>
  <c r="KJ110" i="1"/>
  <c r="KG110" i="1"/>
  <c r="KF110" i="1"/>
  <c r="KC110" i="1"/>
  <c r="KD110" i="1"/>
  <c r="KB110" i="1"/>
  <c r="JY110" i="1"/>
  <c r="JX110" i="1"/>
  <c r="KS110" i="1"/>
  <c r="KR110" i="1"/>
  <c r="KQ110" i="1"/>
  <c r="KY109" i="1"/>
  <c r="KX109" i="1"/>
  <c r="KW109" i="1"/>
  <c r="KV109" i="1"/>
  <c r="KU109" i="1"/>
  <c r="KT109" i="1"/>
  <c r="KS109" i="1"/>
  <c r="KO109" i="1"/>
  <c r="KN109" i="1"/>
  <c r="KK109" i="1"/>
  <c r="KJ109" i="1"/>
  <c r="KG109" i="1"/>
  <c r="KF109" i="1"/>
  <c r="KC109" i="1"/>
  <c r="KB109" i="1"/>
  <c r="JY109" i="1"/>
  <c r="JX109" i="1"/>
  <c r="KR109" i="1"/>
  <c r="KQ109" i="1"/>
  <c r="KY108" i="1"/>
  <c r="KX108" i="1"/>
  <c r="KW108" i="1"/>
  <c r="KV108" i="1"/>
  <c r="KU108" i="1"/>
  <c r="KT108" i="1"/>
  <c r="KS108" i="1"/>
  <c r="KO108" i="1"/>
  <c r="KN108" i="1"/>
  <c r="KK108" i="1"/>
  <c r="KJ108" i="1"/>
  <c r="KG108" i="1"/>
  <c r="KF108" i="1"/>
  <c r="KC108" i="1"/>
  <c r="KB108" i="1"/>
  <c r="JY108" i="1"/>
  <c r="JX108" i="1"/>
  <c r="KR108" i="1"/>
  <c r="KQ108" i="1"/>
  <c r="KY107" i="1"/>
  <c r="KX107" i="1"/>
  <c r="KW107" i="1"/>
  <c r="KV107" i="1"/>
  <c r="KU107" i="1"/>
  <c r="KT107" i="1"/>
  <c r="KQ107" i="1"/>
  <c r="KO107" i="1"/>
  <c r="KN107" i="1"/>
  <c r="KK107" i="1"/>
  <c r="KJ107" i="1"/>
  <c r="KG107" i="1"/>
  <c r="KF107" i="1"/>
  <c r="KC107" i="1"/>
  <c r="KB107" i="1"/>
  <c r="JY107" i="1"/>
  <c r="JX107" i="1"/>
  <c r="KS107" i="1"/>
  <c r="KR107" i="1"/>
  <c r="KY106" i="1"/>
  <c r="KX106" i="1"/>
  <c r="KW106" i="1"/>
  <c r="KV106" i="1"/>
  <c r="KU106" i="1"/>
  <c r="KT106" i="1"/>
  <c r="KO106" i="1"/>
  <c r="KN106" i="1"/>
  <c r="KK106" i="1"/>
  <c r="KJ106" i="1"/>
  <c r="KG106" i="1"/>
  <c r="KF106" i="1"/>
  <c r="KC106" i="1"/>
  <c r="KD106" i="1"/>
  <c r="KB106" i="1"/>
  <c r="JY106" i="1"/>
  <c r="JX106" i="1"/>
  <c r="KS106" i="1"/>
  <c r="KR106" i="1"/>
  <c r="KQ106" i="1"/>
  <c r="KY105" i="1"/>
  <c r="KX105" i="1"/>
  <c r="KW105" i="1"/>
  <c r="KV105" i="1"/>
  <c r="KU105" i="1"/>
  <c r="KT105" i="1"/>
  <c r="KS105" i="1"/>
  <c r="KO105" i="1"/>
  <c r="KN105" i="1"/>
  <c r="KK105" i="1"/>
  <c r="KJ105" i="1"/>
  <c r="KG105" i="1"/>
  <c r="KF105" i="1"/>
  <c r="KC105" i="1"/>
  <c r="KB105" i="1"/>
  <c r="JY105" i="1"/>
  <c r="JX105" i="1"/>
  <c r="KR105" i="1"/>
  <c r="KQ105" i="1"/>
  <c r="KY104" i="1"/>
  <c r="KX104" i="1"/>
  <c r="KW104" i="1"/>
  <c r="KV104" i="1"/>
  <c r="KU104" i="1"/>
  <c r="KT104" i="1"/>
  <c r="KS104" i="1"/>
  <c r="KO104" i="1"/>
  <c r="KN104" i="1"/>
  <c r="KK104" i="1"/>
  <c r="KJ104" i="1"/>
  <c r="KG104" i="1"/>
  <c r="KF104" i="1"/>
  <c r="KC104" i="1"/>
  <c r="KB104" i="1"/>
  <c r="JY104" i="1"/>
  <c r="JX104" i="1"/>
  <c r="KR104" i="1"/>
  <c r="KQ104" i="1"/>
  <c r="KY103" i="1"/>
  <c r="KX103" i="1"/>
  <c r="KW103" i="1"/>
  <c r="KV103" i="1"/>
  <c r="KU103" i="1"/>
  <c r="KT103" i="1"/>
  <c r="KQ103" i="1"/>
  <c r="KO103" i="1"/>
  <c r="KN103" i="1"/>
  <c r="KK103" i="1"/>
  <c r="KJ103" i="1"/>
  <c r="KG103" i="1"/>
  <c r="KH103" i="1"/>
  <c r="KF103" i="1"/>
  <c r="KC103" i="1"/>
  <c r="KB103" i="1"/>
  <c r="JY103" i="1"/>
  <c r="JX103" i="1"/>
  <c r="KS103" i="1"/>
  <c r="KR103" i="1"/>
  <c r="KY102" i="1"/>
  <c r="KX102" i="1"/>
  <c r="KW102" i="1"/>
  <c r="KV102" i="1"/>
  <c r="KU102" i="1"/>
  <c r="KT102" i="1"/>
  <c r="KO102" i="1"/>
  <c r="KN102" i="1"/>
  <c r="KK102" i="1"/>
  <c r="KJ102" i="1"/>
  <c r="KG102" i="1"/>
  <c r="KF102" i="1"/>
  <c r="KC102" i="1"/>
  <c r="KD102" i="1"/>
  <c r="KB102" i="1"/>
  <c r="JY102" i="1"/>
  <c r="JX102" i="1"/>
  <c r="KS102" i="1"/>
  <c r="KR102" i="1"/>
  <c r="KQ102" i="1"/>
  <c r="KY101" i="1"/>
  <c r="KX101" i="1"/>
  <c r="KW101" i="1"/>
  <c r="KV101" i="1"/>
  <c r="KU101" i="1"/>
  <c r="KT101" i="1"/>
  <c r="KS101" i="1"/>
  <c r="KO101" i="1"/>
  <c r="KN101" i="1"/>
  <c r="KK101" i="1"/>
  <c r="KL101" i="1"/>
  <c r="KJ101" i="1"/>
  <c r="KG101" i="1"/>
  <c r="KF101" i="1"/>
  <c r="KC101" i="1"/>
  <c r="KB101" i="1"/>
  <c r="JY101" i="1"/>
  <c r="JX101" i="1"/>
  <c r="KR101" i="1"/>
  <c r="KQ101" i="1"/>
  <c r="KY100" i="1"/>
  <c r="KX100" i="1"/>
  <c r="KW100" i="1"/>
  <c r="KV100" i="1"/>
  <c r="KU100" i="1"/>
  <c r="KT100" i="1"/>
  <c r="KS100" i="1"/>
  <c r="KQ100" i="1"/>
  <c r="KO100" i="1"/>
  <c r="KN100" i="1"/>
  <c r="KK100" i="1"/>
  <c r="KJ100" i="1"/>
  <c r="KG100" i="1"/>
  <c r="KF100" i="1"/>
  <c r="KC100" i="1"/>
  <c r="KB100" i="1"/>
  <c r="JY100" i="1"/>
  <c r="JX100" i="1"/>
  <c r="KR100" i="1"/>
  <c r="KY99" i="1"/>
  <c r="KX99" i="1"/>
  <c r="KW99" i="1"/>
  <c r="KV99" i="1"/>
  <c r="KU99" i="1"/>
  <c r="KT99" i="1"/>
  <c r="KO99" i="1"/>
  <c r="KN99" i="1"/>
  <c r="KK99" i="1"/>
  <c r="KJ99" i="1"/>
  <c r="KG99" i="1"/>
  <c r="KF99" i="1"/>
  <c r="KC99" i="1"/>
  <c r="KB99" i="1"/>
  <c r="JY99" i="1"/>
  <c r="JX99" i="1"/>
  <c r="KS99" i="1"/>
  <c r="KR99" i="1"/>
  <c r="KQ99" i="1"/>
  <c r="KY98" i="1"/>
  <c r="KX98" i="1"/>
  <c r="KW98" i="1"/>
  <c r="KV98" i="1"/>
  <c r="KU98" i="1"/>
  <c r="KT98" i="1"/>
  <c r="KS98" i="1"/>
  <c r="KO98" i="1"/>
  <c r="KN98" i="1"/>
  <c r="KK98" i="1"/>
  <c r="KJ98" i="1"/>
  <c r="KG98" i="1"/>
  <c r="KF98" i="1"/>
  <c r="KC98" i="1"/>
  <c r="KB98" i="1"/>
  <c r="JY98" i="1"/>
  <c r="JX98" i="1"/>
  <c r="KR98" i="1"/>
  <c r="KQ98" i="1"/>
  <c r="KY97" i="1"/>
  <c r="KX97" i="1"/>
  <c r="KW97" i="1"/>
  <c r="KV97" i="1"/>
  <c r="KU97" i="1"/>
  <c r="KT97" i="1"/>
  <c r="KS97" i="1"/>
  <c r="KO97" i="1"/>
  <c r="KN97" i="1"/>
  <c r="KK97" i="1"/>
  <c r="KJ97" i="1"/>
  <c r="KG97" i="1"/>
  <c r="KF97" i="1"/>
  <c r="KC97" i="1"/>
  <c r="KB97" i="1"/>
  <c r="JY97" i="1"/>
  <c r="JX97" i="1"/>
  <c r="KR97" i="1"/>
  <c r="KQ97" i="1"/>
  <c r="KY96" i="1"/>
  <c r="KX96" i="1"/>
  <c r="KW96" i="1"/>
  <c r="KV96" i="1"/>
  <c r="KU96" i="1"/>
  <c r="KT96" i="1"/>
  <c r="KQ96" i="1"/>
  <c r="KO96" i="1"/>
  <c r="KN96" i="1"/>
  <c r="KK96" i="1"/>
  <c r="KJ96" i="1"/>
  <c r="KG96" i="1"/>
  <c r="KF96" i="1"/>
  <c r="KC96" i="1"/>
  <c r="KB96" i="1"/>
  <c r="JY96" i="1"/>
  <c r="JX96" i="1"/>
  <c r="KS96" i="1"/>
  <c r="KR96" i="1"/>
  <c r="KY95" i="1"/>
  <c r="KX95" i="1"/>
  <c r="KW95" i="1"/>
  <c r="KV95" i="1"/>
  <c r="KU95" i="1"/>
  <c r="KT95" i="1"/>
  <c r="KO95" i="1"/>
  <c r="KN95" i="1"/>
  <c r="KK95" i="1"/>
  <c r="KJ95" i="1"/>
  <c r="KG95" i="1"/>
  <c r="KF95" i="1"/>
  <c r="KC95" i="1"/>
  <c r="KB95" i="1"/>
  <c r="JY95" i="1"/>
  <c r="JX95" i="1"/>
  <c r="KS95" i="1"/>
  <c r="KR95" i="1"/>
  <c r="KQ95" i="1"/>
  <c r="KY94" i="1"/>
  <c r="KX94" i="1"/>
  <c r="KW94" i="1"/>
  <c r="KV94" i="1"/>
  <c r="KU94" i="1"/>
  <c r="KT94" i="1"/>
  <c r="KS94" i="1"/>
  <c r="KO94" i="1"/>
  <c r="KN94" i="1"/>
  <c r="KK94" i="1"/>
  <c r="KJ94" i="1"/>
  <c r="KG94" i="1"/>
  <c r="KF94" i="1"/>
  <c r="KC94" i="1"/>
  <c r="KB94" i="1"/>
  <c r="JY94" i="1"/>
  <c r="JX94" i="1"/>
  <c r="KR94" i="1"/>
  <c r="KQ94" i="1"/>
  <c r="KY93" i="1"/>
  <c r="KX93" i="1"/>
  <c r="KW93" i="1"/>
  <c r="KV93" i="1"/>
  <c r="KU93" i="1"/>
  <c r="KT93" i="1"/>
  <c r="KS93" i="1"/>
  <c r="KO93" i="1"/>
  <c r="KN93" i="1"/>
  <c r="KK93" i="1"/>
  <c r="KJ93" i="1"/>
  <c r="KG93" i="1"/>
  <c r="KF93" i="1"/>
  <c r="KC93" i="1"/>
  <c r="KB93" i="1"/>
  <c r="JY93" i="1"/>
  <c r="JX93" i="1"/>
  <c r="KR93" i="1"/>
  <c r="KQ93" i="1"/>
  <c r="KY92" i="1"/>
  <c r="KX92" i="1"/>
  <c r="KW92" i="1"/>
  <c r="KV92" i="1"/>
  <c r="KU92" i="1"/>
  <c r="KT92" i="1"/>
  <c r="KO92" i="1"/>
  <c r="KN92" i="1"/>
  <c r="KK92" i="1"/>
  <c r="KJ92" i="1"/>
  <c r="KG92" i="1"/>
  <c r="KF92" i="1"/>
  <c r="KC92" i="1"/>
  <c r="KB92" i="1"/>
  <c r="JY92" i="1"/>
  <c r="JX92" i="1"/>
  <c r="KS92" i="1"/>
  <c r="KR92" i="1"/>
  <c r="KQ92" i="1"/>
  <c r="KY91" i="1"/>
  <c r="KX91" i="1"/>
  <c r="KW91" i="1"/>
  <c r="KV91" i="1"/>
  <c r="KU91" i="1"/>
  <c r="KT91" i="1"/>
  <c r="KO91" i="1"/>
  <c r="KN91" i="1"/>
  <c r="KK91" i="1"/>
  <c r="KJ91" i="1"/>
  <c r="KG91" i="1"/>
  <c r="KF91" i="1"/>
  <c r="KC91" i="1"/>
  <c r="KB91" i="1"/>
  <c r="JY91" i="1"/>
  <c r="JX91" i="1"/>
  <c r="KS91" i="1"/>
  <c r="KR91" i="1"/>
  <c r="KQ91" i="1"/>
  <c r="KY90" i="1"/>
  <c r="KX90" i="1"/>
  <c r="KW90" i="1"/>
  <c r="KV90" i="1"/>
  <c r="KU90" i="1"/>
  <c r="KT90" i="1"/>
  <c r="KS90" i="1"/>
  <c r="KO90" i="1"/>
  <c r="KN90" i="1"/>
  <c r="KK90" i="1"/>
  <c r="KJ90" i="1"/>
  <c r="KG90" i="1"/>
  <c r="KF90" i="1"/>
  <c r="KC90" i="1"/>
  <c r="KB90" i="1"/>
  <c r="JY90" i="1"/>
  <c r="JX90" i="1"/>
  <c r="KR90" i="1"/>
  <c r="KQ90" i="1"/>
  <c r="KY89" i="1"/>
  <c r="KX89" i="1"/>
  <c r="KW89" i="1"/>
  <c r="KV89" i="1"/>
  <c r="KU89" i="1"/>
  <c r="KT89" i="1"/>
  <c r="KS89" i="1"/>
  <c r="KO89" i="1"/>
  <c r="KN89" i="1"/>
  <c r="KK89" i="1"/>
  <c r="KJ89" i="1"/>
  <c r="KG89" i="1"/>
  <c r="KF89" i="1"/>
  <c r="KC89" i="1"/>
  <c r="KB89" i="1"/>
  <c r="JY89" i="1"/>
  <c r="JX89" i="1"/>
  <c r="KR89" i="1"/>
  <c r="KQ89" i="1"/>
  <c r="KY88" i="1"/>
  <c r="KX88" i="1"/>
  <c r="KW88" i="1"/>
  <c r="KV88" i="1"/>
  <c r="KU88" i="1"/>
  <c r="KT88" i="1"/>
  <c r="KO88" i="1"/>
  <c r="KN88" i="1"/>
  <c r="KK88" i="1"/>
  <c r="KJ88" i="1"/>
  <c r="KG88" i="1"/>
  <c r="KF88" i="1"/>
  <c r="KC88" i="1"/>
  <c r="KB88" i="1"/>
  <c r="JY88" i="1"/>
  <c r="JX88" i="1"/>
  <c r="KS88" i="1"/>
  <c r="KR88" i="1"/>
  <c r="KQ88" i="1"/>
  <c r="KY87" i="1"/>
  <c r="KX87" i="1"/>
  <c r="KW87" i="1"/>
  <c r="KV87" i="1"/>
  <c r="KU87" i="1"/>
  <c r="KT87" i="1"/>
  <c r="KO87" i="1"/>
  <c r="KN87" i="1"/>
  <c r="KK87" i="1"/>
  <c r="KJ87" i="1"/>
  <c r="KG87" i="1"/>
  <c r="KF87" i="1"/>
  <c r="KC87" i="1"/>
  <c r="KB87" i="1"/>
  <c r="JY87" i="1"/>
  <c r="JX87" i="1"/>
  <c r="KS87" i="1"/>
  <c r="KR87" i="1"/>
  <c r="KQ87" i="1"/>
  <c r="KY86" i="1"/>
  <c r="KX86" i="1"/>
  <c r="KW86" i="1"/>
  <c r="KV86" i="1"/>
  <c r="KU86" i="1"/>
  <c r="KT86" i="1"/>
  <c r="KS86" i="1"/>
  <c r="KO86" i="1"/>
  <c r="KN86" i="1"/>
  <c r="KK86" i="1"/>
  <c r="KJ86" i="1"/>
  <c r="KG86" i="1"/>
  <c r="KF86" i="1"/>
  <c r="KC86" i="1"/>
  <c r="KB86" i="1"/>
  <c r="JY86" i="1"/>
  <c r="JX86" i="1"/>
  <c r="KR86" i="1"/>
  <c r="KQ86" i="1"/>
  <c r="KY85" i="1"/>
  <c r="KX85" i="1"/>
  <c r="KW85" i="1"/>
  <c r="KV85" i="1"/>
  <c r="KU85" i="1"/>
  <c r="KT85" i="1"/>
  <c r="KS85" i="1"/>
  <c r="KO85" i="1"/>
  <c r="KN85" i="1"/>
  <c r="KK85" i="1"/>
  <c r="KJ85" i="1"/>
  <c r="KG85" i="1"/>
  <c r="KF85" i="1"/>
  <c r="KC85" i="1"/>
  <c r="KB85" i="1"/>
  <c r="JY85" i="1"/>
  <c r="JX85" i="1"/>
  <c r="KR85" i="1"/>
  <c r="KQ85" i="1"/>
  <c r="KY84" i="1"/>
  <c r="KX84" i="1"/>
  <c r="KW84" i="1"/>
  <c r="KV84" i="1"/>
  <c r="KU84" i="1"/>
  <c r="KT84" i="1"/>
  <c r="KO84" i="1"/>
  <c r="KN84" i="1"/>
  <c r="KK84" i="1"/>
  <c r="KJ84" i="1"/>
  <c r="KG84" i="1"/>
  <c r="KF84" i="1"/>
  <c r="KC84" i="1"/>
  <c r="KB84" i="1"/>
  <c r="JY84" i="1"/>
  <c r="JX84" i="1"/>
  <c r="KS84" i="1"/>
  <c r="KR84" i="1"/>
  <c r="KQ84" i="1"/>
  <c r="KY83" i="1"/>
  <c r="KX83" i="1"/>
  <c r="KW83" i="1"/>
  <c r="KV83" i="1"/>
  <c r="KU83" i="1"/>
  <c r="KT83" i="1"/>
  <c r="KO83" i="1"/>
  <c r="KN83" i="1"/>
  <c r="KK83" i="1"/>
  <c r="KJ83" i="1"/>
  <c r="KG83" i="1"/>
  <c r="KF83" i="1"/>
  <c r="KC83" i="1"/>
  <c r="KB83" i="1"/>
  <c r="JY83" i="1"/>
  <c r="JX83" i="1"/>
  <c r="KS83" i="1"/>
  <c r="KR83" i="1"/>
  <c r="KQ83" i="1"/>
  <c r="KY82" i="1"/>
  <c r="KX82" i="1"/>
  <c r="KW82" i="1"/>
  <c r="KV82" i="1"/>
  <c r="KU82" i="1"/>
  <c r="KT82" i="1"/>
  <c r="KS82" i="1"/>
  <c r="KO82" i="1"/>
  <c r="KN82" i="1"/>
  <c r="KK82" i="1"/>
  <c r="KJ82" i="1"/>
  <c r="KG82" i="1"/>
  <c r="KF82" i="1"/>
  <c r="KC82" i="1"/>
  <c r="KB82" i="1"/>
  <c r="JY82" i="1"/>
  <c r="JX82" i="1"/>
  <c r="KR82" i="1"/>
  <c r="KQ82" i="1"/>
  <c r="KY81" i="1"/>
  <c r="KX81" i="1"/>
  <c r="KW81" i="1"/>
  <c r="KV81" i="1"/>
  <c r="KU81" i="1"/>
  <c r="KT81" i="1"/>
  <c r="KS81" i="1"/>
  <c r="KO81" i="1"/>
  <c r="KN81" i="1"/>
  <c r="KK81" i="1"/>
  <c r="KJ81" i="1"/>
  <c r="KG81" i="1"/>
  <c r="KF81" i="1"/>
  <c r="KC81" i="1"/>
  <c r="KB81" i="1"/>
  <c r="JY81" i="1"/>
  <c r="JX81" i="1"/>
  <c r="KR81" i="1"/>
  <c r="KQ81" i="1"/>
  <c r="KY80" i="1"/>
  <c r="KX80" i="1"/>
  <c r="KW80" i="1"/>
  <c r="KV80" i="1"/>
  <c r="KU80" i="1"/>
  <c r="KT80" i="1"/>
  <c r="KO80" i="1"/>
  <c r="KP80" i="1"/>
  <c r="KN80" i="1"/>
  <c r="KK80" i="1"/>
  <c r="KJ80" i="1"/>
  <c r="KG80" i="1"/>
  <c r="KH80" i="1"/>
  <c r="KF80" i="1"/>
  <c r="KC80" i="1"/>
  <c r="KB80" i="1"/>
  <c r="JY80" i="1"/>
  <c r="JX80" i="1"/>
  <c r="KS80" i="1"/>
  <c r="KR80" i="1"/>
  <c r="KQ80" i="1"/>
  <c r="KY79" i="1"/>
  <c r="KX79" i="1"/>
  <c r="KW79" i="1"/>
  <c r="KV79" i="1"/>
  <c r="KU79" i="1"/>
  <c r="KT79" i="1"/>
  <c r="KO79" i="1"/>
  <c r="KN79" i="1"/>
  <c r="KK79" i="1"/>
  <c r="KJ79" i="1"/>
  <c r="KG79" i="1"/>
  <c r="KF79" i="1"/>
  <c r="KC79" i="1"/>
  <c r="KB79" i="1"/>
  <c r="JY79" i="1"/>
  <c r="JX79" i="1"/>
  <c r="KS79" i="1"/>
  <c r="KR79" i="1"/>
  <c r="KQ79" i="1"/>
  <c r="KY78" i="1"/>
  <c r="KX78" i="1"/>
  <c r="KW78" i="1"/>
  <c r="KV78" i="1"/>
  <c r="KU78" i="1"/>
  <c r="KT78" i="1"/>
  <c r="KS78" i="1"/>
  <c r="KO78" i="1"/>
  <c r="KN78" i="1"/>
  <c r="KK78" i="1"/>
  <c r="KJ78" i="1"/>
  <c r="KG78" i="1"/>
  <c r="KF78" i="1"/>
  <c r="KC78" i="1"/>
  <c r="KB78" i="1"/>
  <c r="JY78" i="1"/>
  <c r="JX78" i="1"/>
  <c r="KR78" i="1"/>
  <c r="KQ78" i="1"/>
  <c r="KY77" i="1"/>
  <c r="KX77" i="1"/>
  <c r="KW77" i="1"/>
  <c r="KV77" i="1"/>
  <c r="KU77" i="1"/>
  <c r="KT77" i="1"/>
  <c r="KS77" i="1"/>
  <c r="KR77" i="1"/>
  <c r="KQ77" i="1"/>
  <c r="KO77" i="1"/>
  <c r="KN77" i="1"/>
  <c r="KK77" i="1"/>
  <c r="KJ77" i="1"/>
  <c r="KG77" i="1"/>
  <c r="KF77" i="1"/>
  <c r="KC77" i="1"/>
  <c r="KB77" i="1"/>
  <c r="JY77" i="1"/>
  <c r="JX77" i="1"/>
  <c r="KY76" i="1"/>
  <c r="KX76" i="1"/>
  <c r="KW76" i="1"/>
  <c r="KV76" i="1"/>
  <c r="KU76" i="1"/>
  <c r="KT76" i="1"/>
  <c r="KO76" i="1"/>
  <c r="KN76" i="1"/>
  <c r="KK76" i="1"/>
  <c r="KJ76" i="1"/>
  <c r="KG76" i="1"/>
  <c r="KF76" i="1"/>
  <c r="KC76" i="1"/>
  <c r="KB76" i="1"/>
  <c r="JY76" i="1"/>
  <c r="JX76" i="1"/>
  <c r="KS76" i="1"/>
  <c r="KR76" i="1"/>
  <c r="KQ76" i="1"/>
  <c r="KY75" i="1"/>
  <c r="KX75" i="1"/>
  <c r="KW75" i="1"/>
  <c r="KV75" i="1"/>
  <c r="KU75" i="1"/>
  <c r="KT75" i="1"/>
  <c r="KO75" i="1"/>
  <c r="KN75" i="1"/>
  <c r="KK75" i="1"/>
  <c r="KJ75" i="1"/>
  <c r="KG75" i="1"/>
  <c r="KF75" i="1"/>
  <c r="KC75" i="1"/>
  <c r="KB75" i="1"/>
  <c r="JY75" i="1"/>
  <c r="JX75" i="1"/>
  <c r="KS75" i="1"/>
  <c r="KR75" i="1"/>
  <c r="KQ75" i="1"/>
  <c r="KY74" i="1"/>
  <c r="KX74" i="1"/>
  <c r="KW74" i="1"/>
  <c r="KV74" i="1"/>
  <c r="KU74" i="1"/>
  <c r="KT74" i="1"/>
  <c r="KS74" i="1"/>
  <c r="KR74" i="1"/>
  <c r="KQ74" i="1"/>
  <c r="KO74" i="1"/>
  <c r="KN74" i="1"/>
  <c r="KK74" i="1"/>
  <c r="KJ74" i="1"/>
  <c r="KG74" i="1"/>
  <c r="KF74" i="1"/>
  <c r="KC74" i="1"/>
  <c r="KB74" i="1"/>
  <c r="JY74" i="1"/>
  <c r="JX74" i="1"/>
  <c r="KY73" i="1"/>
  <c r="KX73" i="1"/>
  <c r="KW73" i="1"/>
  <c r="KV73" i="1"/>
  <c r="KU73" i="1"/>
  <c r="KT73" i="1"/>
  <c r="KS73" i="1"/>
  <c r="KR73" i="1"/>
  <c r="KO73" i="1"/>
  <c r="KN73" i="1"/>
  <c r="KK73" i="1"/>
  <c r="KJ73" i="1"/>
  <c r="KG73" i="1"/>
  <c r="KF73" i="1"/>
  <c r="KC73" i="1"/>
  <c r="KB73" i="1"/>
  <c r="JY73" i="1"/>
  <c r="JX73" i="1"/>
  <c r="KQ73" i="1"/>
  <c r="KY72" i="1"/>
  <c r="KX72" i="1"/>
  <c r="KW72" i="1"/>
  <c r="KV72" i="1"/>
  <c r="KU72" i="1"/>
  <c r="KT72" i="1"/>
  <c r="KR72" i="1"/>
  <c r="KO72" i="1"/>
  <c r="KN72" i="1"/>
  <c r="KK72" i="1"/>
  <c r="KJ72" i="1"/>
  <c r="KG72" i="1"/>
  <c r="KF72" i="1"/>
  <c r="KC72" i="1"/>
  <c r="KB72" i="1"/>
  <c r="JY72" i="1"/>
  <c r="JX72" i="1"/>
  <c r="KS72" i="1"/>
  <c r="KQ72" i="1"/>
  <c r="KY71" i="1"/>
  <c r="KX71" i="1"/>
  <c r="KW71" i="1"/>
  <c r="KV71" i="1"/>
  <c r="KU71" i="1"/>
  <c r="KT71" i="1"/>
  <c r="KO71" i="1"/>
  <c r="KN71" i="1"/>
  <c r="KK71" i="1"/>
  <c r="KJ71" i="1"/>
  <c r="KG71" i="1"/>
  <c r="KF71" i="1"/>
  <c r="KC71" i="1"/>
  <c r="KB71" i="1"/>
  <c r="JY71" i="1"/>
  <c r="JX71" i="1"/>
  <c r="KS71" i="1"/>
  <c r="KR71" i="1"/>
  <c r="KQ71" i="1"/>
  <c r="KY70" i="1"/>
  <c r="KX70" i="1"/>
  <c r="KW70" i="1"/>
  <c r="KV70" i="1"/>
  <c r="KU70" i="1"/>
  <c r="KT70" i="1"/>
  <c r="KO70" i="1"/>
  <c r="KN70" i="1"/>
  <c r="KK70" i="1"/>
  <c r="KJ70" i="1"/>
  <c r="KG70" i="1"/>
  <c r="KF70" i="1"/>
  <c r="KC70" i="1"/>
  <c r="KB70" i="1"/>
  <c r="JY70" i="1"/>
  <c r="JX70" i="1"/>
  <c r="KS70" i="1"/>
  <c r="KR70" i="1"/>
  <c r="KQ70" i="1"/>
  <c r="KY69" i="1"/>
  <c r="KX69" i="1"/>
  <c r="KW69" i="1"/>
  <c r="KV69" i="1"/>
  <c r="KU69" i="1"/>
  <c r="KT69" i="1"/>
  <c r="KS69" i="1"/>
  <c r="KR69" i="1"/>
  <c r="KO69" i="1"/>
  <c r="KN69" i="1"/>
  <c r="KK69" i="1"/>
  <c r="KJ69" i="1"/>
  <c r="KG69" i="1"/>
  <c r="KF69" i="1"/>
  <c r="KC69" i="1"/>
  <c r="KB69" i="1"/>
  <c r="JY69" i="1"/>
  <c r="JX69" i="1"/>
  <c r="KQ69" i="1"/>
  <c r="KY68" i="1"/>
  <c r="KX68" i="1"/>
  <c r="KW68" i="1"/>
  <c r="KV68" i="1"/>
  <c r="KU68" i="1"/>
  <c r="KT68" i="1"/>
  <c r="KS68" i="1"/>
  <c r="KR68" i="1"/>
  <c r="KO68" i="1"/>
  <c r="KN68" i="1"/>
  <c r="KK68" i="1"/>
  <c r="KJ68" i="1"/>
  <c r="KG68" i="1"/>
  <c r="KF68" i="1"/>
  <c r="KC68" i="1"/>
  <c r="KB68" i="1"/>
  <c r="JY68" i="1"/>
  <c r="JX68" i="1"/>
  <c r="KQ68" i="1"/>
  <c r="KY67" i="1"/>
  <c r="KX67" i="1"/>
  <c r="KW67" i="1"/>
  <c r="KV67" i="1"/>
  <c r="KU67" i="1"/>
  <c r="KT67" i="1"/>
  <c r="KS67" i="1"/>
  <c r="KO67" i="1"/>
  <c r="KN67" i="1"/>
  <c r="KK67" i="1"/>
  <c r="KJ67" i="1"/>
  <c r="KG67" i="1"/>
  <c r="KF67" i="1"/>
  <c r="KC67" i="1"/>
  <c r="KB67" i="1"/>
  <c r="JY67" i="1"/>
  <c r="JX67" i="1"/>
  <c r="KR67" i="1"/>
  <c r="KQ67" i="1"/>
  <c r="KY66" i="1"/>
  <c r="KX66" i="1"/>
  <c r="KW66" i="1"/>
  <c r="KV66" i="1"/>
  <c r="KU66" i="1"/>
  <c r="KT66" i="1"/>
  <c r="KQ66" i="1"/>
  <c r="KO66" i="1"/>
  <c r="KN66" i="1"/>
  <c r="KK66" i="1"/>
  <c r="KJ66" i="1"/>
  <c r="KG66" i="1"/>
  <c r="KF66" i="1"/>
  <c r="KC66" i="1"/>
  <c r="KB66" i="1"/>
  <c r="JY66" i="1"/>
  <c r="JX66" i="1"/>
  <c r="KS66" i="1"/>
  <c r="KR66" i="1"/>
  <c r="KY65" i="1"/>
  <c r="KX65" i="1"/>
  <c r="KW65" i="1"/>
  <c r="KV65" i="1"/>
  <c r="KU65" i="1"/>
  <c r="KT65" i="1"/>
  <c r="KO65" i="1"/>
  <c r="KN65" i="1"/>
  <c r="KK65" i="1"/>
  <c r="KJ65" i="1"/>
  <c r="KG65" i="1"/>
  <c r="KF65" i="1"/>
  <c r="KC65" i="1"/>
  <c r="KB65" i="1"/>
  <c r="JY65" i="1"/>
  <c r="JX65" i="1"/>
  <c r="KS65" i="1"/>
  <c r="KR65" i="1"/>
  <c r="KQ65" i="1"/>
  <c r="KY64" i="1"/>
  <c r="KX64" i="1"/>
  <c r="KW64" i="1"/>
  <c r="KV64" i="1"/>
  <c r="KU64" i="1"/>
  <c r="KT64" i="1"/>
  <c r="KO64" i="1"/>
  <c r="KN64" i="1"/>
  <c r="KK64" i="1"/>
  <c r="KJ64" i="1"/>
  <c r="KG64" i="1"/>
  <c r="KF64" i="1"/>
  <c r="KC64" i="1"/>
  <c r="KB64" i="1"/>
  <c r="JY64" i="1"/>
  <c r="JX64" i="1"/>
  <c r="KS64" i="1"/>
  <c r="KR64" i="1"/>
  <c r="KQ64" i="1"/>
  <c r="KY63" i="1"/>
  <c r="KX63" i="1"/>
  <c r="KW63" i="1"/>
  <c r="KV63" i="1"/>
  <c r="KU63" i="1"/>
  <c r="KT63" i="1"/>
  <c r="KS63" i="1"/>
  <c r="KO63" i="1"/>
  <c r="KN63" i="1"/>
  <c r="KK63" i="1"/>
  <c r="KJ63" i="1"/>
  <c r="KG63" i="1"/>
  <c r="KF63" i="1"/>
  <c r="KC63" i="1"/>
  <c r="KB63" i="1"/>
  <c r="JY63" i="1"/>
  <c r="JX63" i="1"/>
  <c r="KR63" i="1"/>
  <c r="KQ63" i="1"/>
  <c r="KY62" i="1"/>
  <c r="KX62" i="1"/>
  <c r="KW62" i="1"/>
  <c r="KV62" i="1"/>
  <c r="KU62" i="1"/>
  <c r="KT62" i="1"/>
  <c r="KS62" i="1"/>
  <c r="KQ62" i="1"/>
  <c r="KO62" i="1"/>
  <c r="KN62" i="1"/>
  <c r="KK62" i="1"/>
  <c r="KJ62" i="1"/>
  <c r="KG62" i="1"/>
  <c r="KF62" i="1"/>
  <c r="KC62" i="1"/>
  <c r="KB62" i="1"/>
  <c r="JY62" i="1"/>
  <c r="JX62" i="1"/>
  <c r="KR62" i="1"/>
  <c r="KY61" i="1"/>
  <c r="KX61" i="1"/>
  <c r="KW61" i="1"/>
  <c r="KV61" i="1"/>
  <c r="KU61" i="1"/>
  <c r="KT61" i="1"/>
  <c r="KO61" i="1"/>
  <c r="KN61" i="1"/>
  <c r="KK61" i="1"/>
  <c r="KJ61" i="1"/>
  <c r="KG61" i="1"/>
  <c r="KF61" i="1"/>
  <c r="KC61" i="1"/>
  <c r="KB61" i="1"/>
  <c r="JY61" i="1"/>
  <c r="JX61" i="1"/>
  <c r="KS61" i="1"/>
  <c r="KR61" i="1"/>
  <c r="KQ61" i="1"/>
  <c r="KY60" i="1"/>
  <c r="KX60" i="1"/>
  <c r="KW60" i="1"/>
  <c r="KV60" i="1"/>
  <c r="KU60" i="1"/>
  <c r="KT60" i="1"/>
  <c r="KQ60" i="1"/>
  <c r="KO60" i="1"/>
  <c r="KN60" i="1"/>
  <c r="KK60" i="1"/>
  <c r="KJ60" i="1"/>
  <c r="KG60" i="1"/>
  <c r="KF60" i="1"/>
  <c r="KC60" i="1"/>
  <c r="KB60" i="1"/>
  <c r="JY60" i="1"/>
  <c r="JX60" i="1"/>
  <c r="KS60" i="1"/>
  <c r="KR60" i="1"/>
  <c r="KY59" i="1"/>
  <c r="KX59" i="1"/>
  <c r="KW59" i="1"/>
  <c r="KV59" i="1"/>
  <c r="KU59" i="1"/>
  <c r="KT59" i="1"/>
  <c r="KO59" i="1"/>
  <c r="KN59" i="1"/>
  <c r="KK59" i="1"/>
  <c r="KJ59" i="1"/>
  <c r="KG59" i="1"/>
  <c r="KF59" i="1"/>
  <c r="KC59" i="1"/>
  <c r="KB59" i="1"/>
  <c r="JY59" i="1"/>
  <c r="JX59" i="1"/>
  <c r="KS59" i="1"/>
  <c r="KR59" i="1"/>
  <c r="KQ59" i="1"/>
  <c r="KY58" i="1"/>
  <c r="KX58" i="1"/>
  <c r="KW58" i="1"/>
  <c r="KV58" i="1"/>
  <c r="KU58" i="1"/>
  <c r="KT58" i="1"/>
  <c r="KS58" i="1"/>
  <c r="KR58" i="1"/>
  <c r="KQ58" i="1"/>
  <c r="KO58" i="1"/>
  <c r="KN58" i="1"/>
  <c r="KK58" i="1"/>
  <c r="KJ58" i="1"/>
  <c r="KG58" i="1"/>
  <c r="KF58" i="1"/>
  <c r="KC58" i="1"/>
  <c r="KB58" i="1"/>
  <c r="JY58" i="1"/>
  <c r="JX58" i="1"/>
  <c r="KY57" i="1"/>
  <c r="KX57" i="1"/>
  <c r="KW57" i="1"/>
  <c r="KV57" i="1"/>
  <c r="KU57" i="1"/>
  <c r="KT57" i="1"/>
  <c r="KS57" i="1"/>
  <c r="KO57" i="1"/>
  <c r="KN57" i="1"/>
  <c r="KK57" i="1"/>
  <c r="KJ57" i="1"/>
  <c r="KG57" i="1"/>
  <c r="KF57" i="1"/>
  <c r="KC57" i="1"/>
  <c r="KB57" i="1"/>
  <c r="JY57" i="1"/>
  <c r="JX57" i="1"/>
  <c r="KR57" i="1"/>
  <c r="KQ57" i="1"/>
  <c r="KY56" i="1"/>
  <c r="KX56" i="1"/>
  <c r="KW56" i="1"/>
  <c r="KV56" i="1"/>
  <c r="KU56" i="1"/>
  <c r="KT56" i="1"/>
  <c r="KS56" i="1"/>
  <c r="KO56" i="1"/>
  <c r="KN56" i="1"/>
  <c r="KK56" i="1"/>
  <c r="KJ56" i="1"/>
  <c r="KG56" i="1"/>
  <c r="KF56" i="1"/>
  <c r="KC56" i="1"/>
  <c r="KB56" i="1"/>
  <c r="JY56" i="1"/>
  <c r="JX56" i="1"/>
  <c r="KR56" i="1"/>
  <c r="KQ56" i="1"/>
  <c r="KY55" i="1"/>
  <c r="KX55" i="1"/>
  <c r="KW55" i="1"/>
  <c r="KV55" i="1"/>
  <c r="KU55" i="1"/>
  <c r="KT55" i="1"/>
  <c r="KO55" i="1"/>
  <c r="KN55" i="1"/>
  <c r="KK55" i="1"/>
  <c r="KJ55" i="1"/>
  <c r="KG55" i="1"/>
  <c r="KF55" i="1"/>
  <c r="KC55" i="1"/>
  <c r="KB55" i="1"/>
  <c r="JY55" i="1"/>
  <c r="JX55" i="1"/>
  <c r="KS55" i="1"/>
  <c r="KR55" i="1"/>
  <c r="KQ55" i="1"/>
  <c r="KY54" i="1"/>
  <c r="KX54" i="1"/>
  <c r="KW54" i="1"/>
  <c r="KV54" i="1"/>
  <c r="KU54" i="1"/>
  <c r="KT54" i="1"/>
  <c r="KO54" i="1"/>
  <c r="KN54" i="1"/>
  <c r="KK54" i="1"/>
  <c r="KJ54" i="1"/>
  <c r="KG54" i="1"/>
  <c r="KF54" i="1"/>
  <c r="KC54" i="1"/>
  <c r="KB54" i="1"/>
  <c r="JY54" i="1"/>
  <c r="JX54" i="1"/>
  <c r="KS54" i="1"/>
  <c r="KR54" i="1"/>
  <c r="KQ54" i="1"/>
  <c r="KY53" i="1"/>
  <c r="KX53" i="1"/>
  <c r="KW53" i="1"/>
  <c r="KV53" i="1"/>
  <c r="KU53" i="1"/>
  <c r="KT53" i="1"/>
  <c r="KS53" i="1"/>
  <c r="KO53" i="1"/>
  <c r="KN53" i="1"/>
  <c r="KK53" i="1"/>
  <c r="KJ53" i="1"/>
  <c r="KG53" i="1"/>
  <c r="KF53" i="1"/>
  <c r="KC53" i="1"/>
  <c r="KD53" i="1"/>
  <c r="KB53" i="1"/>
  <c r="JY53" i="1"/>
  <c r="JX53" i="1"/>
  <c r="KR53" i="1"/>
  <c r="KQ53" i="1"/>
  <c r="KY52" i="1"/>
  <c r="KX52" i="1"/>
  <c r="KW52" i="1"/>
  <c r="KV52" i="1"/>
  <c r="KU52" i="1"/>
  <c r="KT52" i="1"/>
  <c r="KS52" i="1"/>
  <c r="KO52" i="1"/>
  <c r="KN52" i="1"/>
  <c r="KK52" i="1"/>
  <c r="KJ52" i="1"/>
  <c r="KG52" i="1"/>
  <c r="KF52" i="1"/>
  <c r="KC52" i="1"/>
  <c r="KB52" i="1"/>
  <c r="JY52" i="1"/>
  <c r="JX52" i="1"/>
  <c r="KR52" i="1"/>
  <c r="KQ52" i="1"/>
  <c r="KY51" i="1"/>
  <c r="KX51" i="1"/>
  <c r="KW51" i="1"/>
  <c r="KV51" i="1"/>
  <c r="KU51" i="1"/>
  <c r="KT51" i="1"/>
  <c r="KS51" i="1"/>
  <c r="KR51" i="1"/>
  <c r="KO51" i="1"/>
  <c r="KN51" i="1"/>
  <c r="KK51" i="1"/>
  <c r="KJ51" i="1"/>
  <c r="KG51" i="1"/>
  <c r="KF51" i="1"/>
  <c r="KC51" i="1"/>
  <c r="KB51" i="1"/>
  <c r="JY51" i="1"/>
  <c r="JX51" i="1"/>
  <c r="KQ51" i="1"/>
  <c r="KY50" i="1"/>
  <c r="KX50" i="1"/>
  <c r="KW50" i="1"/>
  <c r="KV50" i="1"/>
  <c r="KU50" i="1"/>
  <c r="KT50" i="1"/>
  <c r="KS50" i="1"/>
  <c r="KO50" i="1"/>
  <c r="KN50" i="1"/>
  <c r="KK50" i="1"/>
  <c r="KJ50" i="1"/>
  <c r="KG50" i="1"/>
  <c r="KF50" i="1"/>
  <c r="KC50" i="1"/>
  <c r="KB50" i="1"/>
  <c r="JY50" i="1"/>
  <c r="JX50" i="1"/>
  <c r="KR50" i="1"/>
  <c r="KQ50" i="1"/>
  <c r="KY49" i="1"/>
  <c r="KX49" i="1"/>
  <c r="KW49" i="1"/>
  <c r="KV49" i="1"/>
  <c r="KU49" i="1"/>
  <c r="KT49" i="1"/>
  <c r="KS49" i="1"/>
  <c r="KR49" i="1"/>
  <c r="KO49" i="1"/>
  <c r="KN49" i="1"/>
  <c r="KK49" i="1"/>
  <c r="KJ49" i="1"/>
  <c r="KG49" i="1"/>
  <c r="KF49" i="1"/>
  <c r="KC49" i="1"/>
  <c r="KB49" i="1"/>
  <c r="JY49" i="1"/>
  <c r="JX49" i="1"/>
  <c r="KQ49" i="1"/>
  <c r="KY48" i="1"/>
  <c r="KX48" i="1"/>
  <c r="KW48" i="1"/>
  <c r="KV48" i="1"/>
  <c r="KU48" i="1"/>
  <c r="KT48" i="1"/>
  <c r="KS48" i="1"/>
  <c r="KO48" i="1"/>
  <c r="KN48" i="1"/>
  <c r="KK48" i="1"/>
  <c r="KJ48" i="1"/>
  <c r="KG48" i="1"/>
  <c r="KF48" i="1"/>
  <c r="KC48" i="1"/>
  <c r="KB48" i="1"/>
  <c r="JY48" i="1"/>
  <c r="JX48" i="1"/>
  <c r="KR48" i="1"/>
  <c r="KQ48" i="1"/>
  <c r="KY47" i="1"/>
  <c r="KX47" i="1"/>
  <c r="KW47" i="1"/>
  <c r="KV47" i="1"/>
  <c r="KU47" i="1"/>
  <c r="KT47" i="1"/>
  <c r="KS47" i="1"/>
  <c r="KR47" i="1"/>
  <c r="KO47" i="1"/>
  <c r="KN47" i="1"/>
  <c r="KK47" i="1"/>
  <c r="KJ47" i="1"/>
  <c r="KG47" i="1"/>
  <c r="KF47" i="1"/>
  <c r="KC47" i="1"/>
  <c r="KB47" i="1"/>
  <c r="JY47" i="1"/>
  <c r="JX47" i="1"/>
  <c r="KQ47" i="1"/>
  <c r="KY46" i="1"/>
  <c r="KX46" i="1"/>
  <c r="KW46" i="1"/>
  <c r="KV46" i="1"/>
  <c r="KU46" i="1"/>
  <c r="KT46" i="1"/>
  <c r="KS46" i="1"/>
  <c r="KO46" i="1"/>
  <c r="KN46" i="1"/>
  <c r="KK46" i="1"/>
  <c r="KJ46" i="1"/>
  <c r="KG46" i="1"/>
  <c r="KF46" i="1"/>
  <c r="KC46" i="1"/>
  <c r="KB46" i="1"/>
  <c r="JY46" i="1"/>
  <c r="JX46" i="1"/>
  <c r="KR46" i="1"/>
  <c r="KQ46" i="1"/>
  <c r="KY45" i="1"/>
  <c r="KX45" i="1"/>
  <c r="KW45" i="1"/>
  <c r="KV45" i="1"/>
  <c r="KU45" i="1"/>
  <c r="KT45" i="1"/>
  <c r="KS45" i="1"/>
  <c r="KO45" i="1"/>
  <c r="KN45" i="1"/>
  <c r="KK45" i="1"/>
  <c r="KJ45" i="1"/>
  <c r="KG45" i="1"/>
  <c r="KF45" i="1"/>
  <c r="KC45" i="1"/>
  <c r="KB45" i="1"/>
  <c r="JY45" i="1"/>
  <c r="JX45" i="1"/>
  <c r="KR45" i="1"/>
  <c r="KQ45" i="1"/>
  <c r="KY44" i="1"/>
  <c r="KX44" i="1"/>
  <c r="KW44" i="1"/>
  <c r="KV44" i="1"/>
  <c r="KU44" i="1"/>
  <c r="KT44" i="1"/>
  <c r="KO44" i="1"/>
  <c r="KN44" i="1"/>
  <c r="KK44" i="1"/>
  <c r="KJ44" i="1"/>
  <c r="KG44" i="1"/>
  <c r="KF44" i="1"/>
  <c r="KC44" i="1"/>
  <c r="KB44" i="1"/>
  <c r="JY44" i="1"/>
  <c r="JX44" i="1"/>
  <c r="KS44" i="1"/>
  <c r="KR44" i="1"/>
  <c r="KQ44" i="1"/>
  <c r="KY43" i="1"/>
  <c r="KX43" i="1"/>
  <c r="KW43" i="1"/>
  <c r="KV43" i="1"/>
  <c r="KU43" i="1"/>
  <c r="KT43" i="1"/>
  <c r="KO43" i="1"/>
  <c r="KN43" i="1"/>
  <c r="KK43" i="1"/>
  <c r="KJ43" i="1"/>
  <c r="KL43" i="1"/>
  <c r="KG43" i="1"/>
  <c r="KF43" i="1"/>
  <c r="KH43" i="1"/>
  <c r="KC43" i="1"/>
  <c r="KB43" i="1"/>
  <c r="KD43" i="1"/>
  <c r="JY43" i="1"/>
  <c r="JX43" i="1"/>
  <c r="JZ43" i="1"/>
  <c r="KS43" i="1"/>
  <c r="KR43" i="1"/>
  <c r="KQ43" i="1"/>
  <c r="KY42" i="1"/>
  <c r="KX42" i="1"/>
  <c r="KW42" i="1"/>
  <c r="KV42" i="1"/>
  <c r="KU42" i="1"/>
  <c r="KT42" i="1"/>
  <c r="KS42" i="1"/>
  <c r="KO42" i="1"/>
  <c r="KN42" i="1"/>
  <c r="KK42" i="1"/>
  <c r="KJ42" i="1"/>
  <c r="KG42" i="1"/>
  <c r="KF42" i="1"/>
  <c r="KC42" i="1"/>
  <c r="KB42" i="1"/>
  <c r="JY42" i="1"/>
  <c r="JX42" i="1"/>
  <c r="KR42" i="1"/>
  <c r="KQ42" i="1"/>
  <c r="KY41" i="1"/>
  <c r="KX41" i="1"/>
  <c r="KW41" i="1"/>
  <c r="KV41" i="1"/>
  <c r="KU41" i="1"/>
  <c r="KT41" i="1"/>
  <c r="KS41" i="1"/>
  <c r="KO41" i="1"/>
  <c r="KN41" i="1"/>
  <c r="KK41" i="1"/>
  <c r="KJ41" i="1"/>
  <c r="KG41" i="1"/>
  <c r="KF41" i="1"/>
  <c r="KC41" i="1"/>
  <c r="KB41" i="1"/>
  <c r="JY41" i="1"/>
  <c r="JX41" i="1"/>
  <c r="KR41" i="1"/>
  <c r="KQ41" i="1"/>
  <c r="KY40" i="1"/>
  <c r="KX40" i="1"/>
  <c r="KW40" i="1"/>
  <c r="KV40" i="1"/>
  <c r="KU40" i="1"/>
  <c r="KT40" i="1"/>
  <c r="KS40" i="1"/>
  <c r="KR40" i="1"/>
  <c r="KO40" i="1"/>
  <c r="KN40" i="1"/>
  <c r="KK40" i="1"/>
  <c r="KJ40" i="1"/>
  <c r="KG40" i="1"/>
  <c r="KF40" i="1"/>
  <c r="KC40" i="1"/>
  <c r="KB40" i="1"/>
  <c r="JY40" i="1"/>
  <c r="JX40" i="1"/>
  <c r="KQ40" i="1"/>
  <c r="KY39" i="1"/>
  <c r="KX39" i="1"/>
  <c r="KW39" i="1"/>
  <c r="KV39" i="1"/>
  <c r="KU39" i="1"/>
  <c r="KT39" i="1"/>
  <c r="KS39" i="1"/>
  <c r="KO39" i="1"/>
  <c r="KN39" i="1"/>
  <c r="KK39" i="1"/>
  <c r="KJ39" i="1"/>
  <c r="KG39" i="1"/>
  <c r="KF39" i="1"/>
  <c r="KC39" i="1"/>
  <c r="KB39" i="1"/>
  <c r="JY39" i="1"/>
  <c r="JX39" i="1"/>
  <c r="KR39" i="1"/>
  <c r="KQ39" i="1"/>
  <c r="KY38" i="1"/>
  <c r="KX38" i="1"/>
  <c r="KW38" i="1"/>
  <c r="KV38" i="1"/>
  <c r="KU38" i="1"/>
  <c r="KT38" i="1"/>
  <c r="KS38" i="1"/>
  <c r="KO38" i="1"/>
  <c r="KN38" i="1"/>
  <c r="KK38" i="1"/>
  <c r="KJ38" i="1"/>
  <c r="KG38" i="1"/>
  <c r="KF38" i="1"/>
  <c r="KC38" i="1"/>
  <c r="KB38" i="1"/>
  <c r="JY38" i="1"/>
  <c r="JX38" i="1"/>
  <c r="KR38" i="1"/>
  <c r="KQ38" i="1"/>
  <c r="KY37" i="1"/>
  <c r="KX37" i="1"/>
  <c r="KW37" i="1"/>
  <c r="KV37" i="1"/>
  <c r="KU37" i="1"/>
  <c r="KT37" i="1"/>
  <c r="KS37" i="1"/>
  <c r="KR37" i="1"/>
  <c r="KO37" i="1"/>
  <c r="KN37" i="1"/>
  <c r="KK37" i="1"/>
  <c r="KJ37" i="1"/>
  <c r="KG37" i="1"/>
  <c r="KF37" i="1"/>
  <c r="KC37" i="1"/>
  <c r="KB37" i="1"/>
  <c r="JY37" i="1"/>
  <c r="JX37" i="1"/>
  <c r="KQ37" i="1"/>
  <c r="KY36" i="1"/>
  <c r="KX36" i="1"/>
  <c r="KW36" i="1"/>
  <c r="KV36" i="1"/>
  <c r="KU36" i="1"/>
  <c r="KT36" i="1"/>
  <c r="KS36" i="1"/>
  <c r="KO36" i="1"/>
  <c r="KN36" i="1"/>
  <c r="KK36" i="1"/>
  <c r="KJ36" i="1"/>
  <c r="KG36" i="1"/>
  <c r="KF36" i="1"/>
  <c r="KC36" i="1"/>
  <c r="KB36" i="1"/>
  <c r="JY36" i="1"/>
  <c r="JX36" i="1"/>
  <c r="KR36" i="1"/>
  <c r="KQ36" i="1"/>
  <c r="KY35" i="1"/>
  <c r="KX35" i="1"/>
  <c r="KW35" i="1"/>
  <c r="KV35" i="1"/>
  <c r="KU35" i="1"/>
  <c r="KT35" i="1"/>
  <c r="KS35" i="1"/>
  <c r="KO35" i="1"/>
  <c r="KP35" i="1"/>
  <c r="KN35" i="1"/>
  <c r="KK35" i="1"/>
  <c r="KJ35" i="1"/>
  <c r="KG35" i="1"/>
  <c r="KF35" i="1"/>
  <c r="KC35" i="1"/>
  <c r="KB35" i="1"/>
  <c r="JY35" i="1"/>
  <c r="JX35" i="1"/>
  <c r="KR35" i="1"/>
  <c r="KQ35" i="1"/>
  <c r="KY34" i="1"/>
  <c r="KX34" i="1"/>
  <c r="KW34" i="1"/>
  <c r="KV34" i="1"/>
  <c r="KU34" i="1"/>
  <c r="KT34" i="1"/>
  <c r="KS34" i="1"/>
  <c r="KO34" i="1"/>
  <c r="KN34" i="1"/>
  <c r="KK34" i="1"/>
  <c r="KJ34" i="1"/>
  <c r="KG34" i="1"/>
  <c r="KF34" i="1"/>
  <c r="KC34" i="1"/>
  <c r="KB34" i="1"/>
  <c r="JY34" i="1"/>
  <c r="JX34" i="1"/>
  <c r="KR34" i="1"/>
  <c r="KQ34" i="1"/>
  <c r="KY33" i="1"/>
  <c r="KX33" i="1"/>
  <c r="KW33" i="1"/>
  <c r="KV33" i="1"/>
  <c r="KU33" i="1"/>
  <c r="KT33" i="1"/>
  <c r="KS33" i="1"/>
  <c r="KR33" i="1"/>
  <c r="KO33" i="1"/>
  <c r="KN33" i="1"/>
  <c r="KK33" i="1"/>
  <c r="KJ33" i="1"/>
  <c r="KG33" i="1"/>
  <c r="KF33" i="1"/>
  <c r="KC33" i="1"/>
  <c r="KB33" i="1"/>
  <c r="JY33" i="1"/>
  <c r="JX33" i="1"/>
  <c r="KQ33" i="1"/>
  <c r="KY32" i="1"/>
  <c r="KX32" i="1"/>
  <c r="KW32" i="1"/>
  <c r="KV32" i="1"/>
  <c r="KU32" i="1"/>
  <c r="KT32" i="1"/>
  <c r="KO32" i="1"/>
  <c r="KN32" i="1"/>
  <c r="KK32" i="1"/>
  <c r="KJ32" i="1"/>
  <c r="KG32" i="1"/>
  <c r="KF32" i="1"/>
  <c r="KC32" i="1"/>
  <c r="KB32" i="1"/>
  <c r="JY32" i="1"/>
  <c r="JZ32" i="1"/>
  <c r="JX32" i="1"/>
  <c r="KS32" i="1"/>
  <c r="KR32" i="1"/>
  <c r="KQ32" i="1"/>
  <c r="KY31" i="1"/>
  <c r="KX31" i="1"/>
  <c r="KW31" i="1"/>
  <c r="KV31" i="1"/>
  <c r="KU31" i="1"/>
  <c r="KT31" i="1"/>
  <c r="KS31" i="1"/>
  <c r="KO31" i="1"/>
  <c r="KN31" i="1"/>
  <c r="KK31" i="1"/>
  <c r="KJ31" i="1"/>
  <c r="KG31" i="1"/>
  <c r="KF31" i="1"/>
  <c r="KC31" i="1"/>
  <c r="KB31" i="1"/>
  <c r="JY31" i="1"/>
  <c r="JX31" i="1"/>
  <c r="KR31" i="1"/>
  <c r="KQ31" i="1"/>
  <c r="KY30" i="1"/>
  <c r="KX30" i="1"/>
  <c r="KW30" i="1"/>
  <c r="KV30" i="1"/>
  <c r="KU30" i="1"/>
  <c r="KT30" i="1"/>
  <c r="KO30" i="1"/>
  <c r="KN30" i="1"/>
  <c r="KK30" i="1"/>
  <c r="KJ30" i="1"/>
  <c r="KG30" i="1"/>
  <c r="KF30" i="1"/>
  <c r="KC30" i="1"/>
  <c r="KB30" i="1"/>
  <c r="JY30" i="1"/>
  <c r="JX30" i="1"/>
  <c r="KS30" i="1"/>
  <c r="KR30" i="1"/>
  <c r="KQ30" i="1"/>
  <c r="KY29" i="1"/>
  <c r="KX29" i="1"/>
  <c r="KW29" i="1"/>
  <c r="KV29" i="1"/>
  <c r="KU29" i="1"/>
  <c r="KT29" i="1"/>
  <c r="KO29" i="1"/>
  <c r="KN29" i="1"/>
  <c r="KK29" i="1"/>
  <c r="KJ29" i="1"/>
  <c r="KG29" i="1"/>
  <c r="KF29" i="1"/>
  <c r="KC29" i="1"/>
  <c r="KB29" i="1"/>
  <c r="JY29" i="1"/>
  <c r="JX29" i="1"/>
  <c r="KS29" i="1"/>
  <c r="KR29" i="1"/>
  <c r="KQ29" i="1"/>
  <c r="KY28" i="1"/>
  <c r="KX28" i="1"/>
  <c r="KW28" i="1"/>
  <c r="KV28" i="1"/>
  <c r="KU28" i="1"/>
  <c r="KT28" i="1"/>
  <c r="KS28" i="1"/>
  <c r="KO28" i="1"/>
  <c r="KN28" i="1"/>
  <c r="KK28" i="1"/>
  <c r="KJ28" i="1"/>
  <c r="KG28" i="1"/>
  <c r="KF28" i="1"/>
  <c r="KC28" i="1"/>
  <c r="KB28" i="1"/>
  <c r="JY28" i="1"/>
  <c r="JX28" i="1"/>
  <c r="KR28" i="1"/>
  <c r="KQ28" i="1"/>
  <c r="KY27" i="1"/>
  <c r="KX27" i="1"/>
  <c r="KW27" i="1"/>
  <c r="KV27" i="1"/>
  <c r="KU27" i="1"/>
  <c r="KT27" i="1"/>
  <c r="KO27" i="1"/>
  <c r="KN27" i="1"/>
  <c r="KK27" i="1"/>
  <c r="KJ27" i="1"/>
  <c r="KG27" i="1"/>
  <c r="KF27" i="1"/>
  <c r="KC27" i="1"/>
  <c r="KB27" i="1"/>
  <c r="JY27" i="1"/>
  <c r="JX27" i="1"/>
  <c r="KS27" i="1"/>
  <c r="KR27" i="1"/>
  <c r="KQ27" i="1"/>
  <c r="KY26" i="1"/>
  <c r="KX26" i="1"/>
  <c r="KW26" i="1"/>
  <c r="KV26" i="1"/>
  <c r="KU26" i="1"/>
  <c r="KT26" i="1"/>
  <c r="KO26" i="1"/>
  <c r="KN26" i="1"/>
  <c r="KP26" i="1"/>
  <c r="KK26" i="1"/>
  <c r="KJ26" i="1"/>
  <c r="KG26" i="1"/>
  <c r="KF26" i="1"/>
  <c r="KC26" i="1"/>
  <c r="KB26" i="1"/>
  <c r="JY26" i="1"/>
  <c r="JX26" i="1"/>
  <c r="KS26" i="1"/>
  <c r="KR26" i="1"/>
  <c r="KQ26" i="1"/>
  <c r="KY25" i="1"/>
  <c r="KX25" i="1"/>
  <c r="KW25" i="1"/>
  <c r="KV25" i="1"/>
  <c r="KU25" i="1"/>
  <c r="KT25" i="1"/>
  <c r="KS25" i="1"/>
  <c r="KO25" i="1"/>
  <c r="KN25" i="1"/>
  <c r="KK25" i="1"/>
  <c r="KJ25" i="1"/>
  <c r="KG25" i="1"/>
  <c r="KF25" i="1"/>
  <c r="KC25" i="1"/>
  <c r="KB25" i="1"/>
  <c r="JY25" i="1"/>
  <c r="JX25" i="1"/>
  <c r="KR25" i="1"/>
  <c r="KQ25" i="1"/>
  <c r="KY24" i="1"/>
  <c r="KX24" i="1"/>
  <c r="KW24" i="1"/>
  <c r="KV24" i="1"/>
  <c r="KU24" i="1"/>
  <c r="KT24" i="1"/>
  <c r="KS24" i="1"/>
  <c r="KO24" i="1"/>
  <c r="KN24" i="1"/>
  <c r="KK24" i="1"/>
  <c r="KJ24" i="1"/>
  <c r="KG24" i="1"/>
  <c r="KF24" i="1"/>
  <c r="KC24" i="1"/>
  <c r="KB24" i="1"/>
  <c r="JY24" i="1"/>
  <c r="JX24" i="1"/>
  <c r="KR24" i="1"/>
  <c r="KQ24" i="1"/>
  <c r="KY23" i="1"/>
  <c r="KX23" i="1"/>
  <c r="KW23" i="1"/>
  <c r="KV23" i="1"/>
  <c r="KU23" i="1"/>
  <c r="KT23" i="1"/>
  <c r="KS23" i="1"/>
  <c r="KR23" i="1"/>
  <c r="KO23" i="1"/>
  <c r="KN23" i="1"/>
  <c r="KK23" i="1"/>
  <c r="KJ23" i="1"/>
  <c r="KG23" i="1"/>
  <c r="KF23" i="1"/>
  <c r="KC23" i="1"/>
  <c r="KB23" i="1"/>
  <c r="JY23" i="1"/>
  <c r="JX23" i="1"/>
  <c r="KQ23" i="1"/>
  <c r="KY22" i="1"/>
  <c r="KX22" i="1"/>
  <c r="KW22" i="1"/>
  <c r="KV22" i="1"/>
  <c r="KU22" i="1"/>
  <c r="KT22" i="1"/>
  <c r="KS22" i="1"/>
  <c r="KO22" i="1"/>
  <c r="KN22" i="1"/>
  <c r="KK22" i="1"/>
  <c r="KJ22" i="1"/>
  <c r="KG22" i="1"/>
  <c r="KF22" i="1"/>
  <c r="KC22" i="1"/>
  <c r="KB22" i="1"/>
  <c r="JY22" i="1"/>
  <c r="JX22" i="1"/>
  <c r="KR22" i="1"/>
  <c r="KQ22" i="1"/>
  <c r="KY21" i="1"/>
  <c r="KX21" i="1"/>
  <c r="KW21" i="1"/>
  <c r="KV21" i="1"/>
  <c r="KU21" i="1"/>
  <c r="KT21" i="1"/>
  <c r="KS21" i="1"/>
  <c r="KO21" i="1"/>
  <c r="KN21" i="1"/>
  <c r="KK21" i="1"/>
  <c r="KJ21" i="1"/>
  <c r="KG21" i="1"/>
  <c r="KF21" i="1"/>
  <c r="KC21" i="1"/>
  <c r="KB21" i="1"/>
  <c r="JY21" i="1"/>
  <c r="JX21" i="1"/>
  <c r="KR21" i="1"/>
  <c r="KQ21" i="1"/>
  <c r="KY20" i="1"/>
  <c r="KX20" i="1"/>
  <c r="KW20" i="1"/>
  <c r="KV20" i="1"/>
  <c r="KU20" i="1"/>
  <c r="KT20" i="1"/>
  <c r="KO20" i="1"/>
  <c r="KN20" i="1"/>
  <c r="KK20" i="1"/>
  <c r="KJ20" i="1"/>
  <c r="KG20" i="1"/>
  <c r="KF20" i="1"/>
  <c r="KC20" i="1"/>
  <c r="KB20" i="1"/>
  <c r="JY20" i="1"/>
  <c r="JX20" i="1"/>
  <c r="KS20" i="1"/>
  <c r="KR20" i="1"/>
  <c r="KQ20" i="1"/>
  <c r="KY19" i="1"/>
  <c r="KX19" i="1"/>
  <c r="KW19" i="1"/>
  <c r="KV19" i="1"/>
  <c r="KU19" i="1"/>
  <c r="KT19" i="1"/>
  <c r="KS19" i="1"/>
  <c r="KR19" i="1"/>
  <c r="KQ19" i="1"/>
  <c r="KO19" i="1"/>
  <c r="KN19" i="1"/>
  <c r="KK19" i="1"/>
  <c r="KJ19" i="1"/>
  <c r="KG19" i="1"/>
  <c r="KF19" i="1"/>
  <c r="KC19" i="1"/>
  <c r="KB19" i="1"/>
  <c r="JY19" i="1"/>
  <c r="JX19" i="1"/>
  <c r="KY18" i="1"/>
  <c r="KX18" i="1"/>
  <c r="KW18" i="1"/>
  <c r="KV18" i="1"/>
  <c r="KU18" i="1"/>
  <c r="KT18" i="1"/>
  <c r="KS18" i="1"/>
  <c r="KR18" i="1"/>
  <c r="KQ18" i="1"/>
  <c r="KO18" i="1"/>
  <c r="KN18" i="1"/>
  <c r="KK18" i="1"/>
  <c r="KJ18" i="1"/>
  <c r="KG18" i="1"/>
  <c r="KF18" i="1"/>
  <c r="KC18" i="1"/>
  <c r="KB18" i="1"/>
  <c r="JY18" i="1"/>
  <c r="JX18" i="1"/>
  <c r="KY17" i="1"/>
  <c r="KX17" i="1"/>
  <c r="KW17" i="1"/>
  <c r="KV17" i="1"/>
  <c r="KU17" i="1"/>
  <c r="KT17" i="1"/>
  <c r="KS17" i="1"/>
  <c r="KO17" i="1"/>
  <c r="KN17" i="1"/>
  <c r="KK17" i="1"/>
  <c r="KJ17" i="1"/>
  <c r="KG17" i="1"/>
  <c r="KF17" i="1"/>
  <c r="KC17" i="1"/>
  <c r="KB17" i="1"/>
  <c r="JY17" i="1"/>
  <c r="JX17" i="1"/>
  <c r="KR17" i="1"/>
  <c r="KQ17" i="1"/>
  <c r="KY16" i="1"/>
  <c r="KX16" i="1"/>
  <c r="KW16" i="1"/>
  <c r="KV16" i="1"/>
  <c r="KU16" i="1"/>
  <c r="KT16" i="1"/>
  <c r="KO16" i="1"/>
  <c r="KN16" i="1"/>
  <c r="KK16" i="1"/>
  <c r="KJ16" i="1"/>
  <c r="KG16" i="1"/>
  <c r="KF16" i="1"/>
  <c r="KC16" i="1"/>
  <c r="KB16" i="1"/>
  <c r="JY16" i="1"/>
  <c r="JX16" i="1"/>
  <c r="KS16" i="1"/>
  <c r="KR16" i="1"/>
  <c r="KQ16" i="1"/>
  <c r="KY15" i="1"/>
  <c r="KX15" i="1"/>
  <c r="KW15" i="1"/>
  <c r="KV15" i="1"/>
  <c r="KU15" i="1"/>
  <c r="KT15" i="1"/>
  <c r="KO15" i="1"/>
  <c r="KN15" i="1"/>
  <c r="KK15" i="1"/>
  <c r="KJ15" i="1"/>
  <c r="KG15" i="1"/>
  <c r="KF15" i="1"/>
  <c r="KC15" i="1"/>
  <c r="KB15" i="1"/>
  <c r="JY15" i="1"/>
  <c r="JX15" i="1"/>
  <c r="KS15" i="1"/>
  <c r="KR15" i="1"/>
  <c r="KQ15" i="1"/>
  <c r="KY14" i="1"/>
  <c r="KX14" i="1"/>
  <c r="KW14" i="1"/>
  <c r="KV14" i="1"/>
  <c r="KU14" i="1"/>
  <c r="KT14" i="1"/>
  <c r="KS14" i="1"/>
  <c r="KO14" i="1"/>
  <c r="KN14" i="1"/>
  <c r="KK14" i="1"/>
  <c r="KJ14" i="1"/>
  <c r="KG14" i="1"/>
  <c r="KF14" i="1"/>
  <c r="KC14" i="1"/>
  <c r="KB14" i="1"/>
  <c r="JY14" i="1"/>
  <c r="JX14" i="1"/>
  <c r="KR14" i="1"/>
  <c r="KQ14" i="1"/>
  <c r="KY13" i="1"/>
  <c r="KX13" i="1"/>
  <c r="KW13" i="1"/>
  <c r="KV13" i="1"/>
  <c r="KU13" i="1"/>
  <c r="KT13" i="1"/>
  <c r="KS13" i="1"/>
  <c r="KO13" i="1"/>
  <c r="KN13" i="1"/>
  <c r="KK13" i="1"/>
  <c r="KJ13" i="1"/>
  <c r="KG13" i="1"/>
  <c r="KF13" i="1"/>
  <c r="KC13" i="1"/>
  <c r="KB13" i="1"/>
  <c r="JY13" i="1"/>
  <c r="JX13" i="1"/>
  <c r="KR13" i="1"/>
  <c r="KQ13" i="1"/>
  <c r="KY12" i="1"/>
  <c r="KX12" i="1"/>
  <c r="KW12" i="1"/>
  <c r="KV12" i="1"/>
  <c r="KU12" i="1"/>
  <c r="KT12" i="1"/>
  <c r="KO12" i="1"/>
  <c r="KN12" i="1"/>
  <c r="KK12" i="1"/>
  <c r="KJ12" i="1"/>
  <c r="KG12" i="1"/>
  <c r="KF12" i="1"/>
  <c r="KC12" i="1"/>
  <c r="KB12" i="1"/>
  <c r="JY12" i="1"/>
  <c r="JX12" i="1"/>
  <c r="KS12" i="1"/>
  <c r="KR12" i="1"/>
  <c r="KQ12" i="1"/>
  <c r="KY11" i="1"/>
  <c r="KX11" i="1"/>
  <c r="KW11" i="1"/>
  <c r="KV11" i="1"/>
  <c r="KU11" i="1"/>
  <c r="KT11" i="1"/>
  <c r="KO11" i="1"/>
  <c r="KN11" i="1"/>
  <c r="KK11" i="1"/>
  <c r="KJ11" i="1"/>
  <c r="KG11" i="1"/>
  <c r="KF11" i="1"/>
  <c r="KC11" i="1"/>
  <c r="KB11" i="1"/>
  <c r="JY11" i="1"/>
  <c r="JX11" i="1"/>
  <c r="KS11" i="1"/>
  <c r="KR11" i="1"/>
  <c r="KQ11" i="1"/>
  <c r="KY10" i="1"/>
  <c r="KX10" i="1"/>
  <c r="KW10" i="1"/>
  <c r="KV10" i="1"/>
  <c r="KU10" i="1"/>
  <c r="KT10" i="1"/>
  <c r="KS10" i="1"/>
  <c r="KR10" i="1"/>
  <c r="KO10" i="1"/>
  <c r="KN10" i="1"/>
  <c r="KK10" i="1"/>
  <c r="KJ10" i="1"/>
  <c r="KG10" i="1"/>
  <c r="KH10" i="1"/>
  <c r="KF10" i="1"/>
  <c r="KC10" i="1"/>
  <c r="KB10" i="1"/>
  <c r="JY10" i="1"/>
  <c r="JZ10" i="1"/>
  <c r="JX10" i="1"/>
  <c r="KQ10" i="1"/>
  <c r="KY9" i="1"/>
  <c r="KX9" i="1"/>
  <c r="KW9" i="1"/>
  <c r="KV9" i="1"/>
  <c r="KU9" i="1"/>
  <c r="KT9" i="1"/>
  <c r="KS9" i="1"/>
  <c r="KO9" i="1"/>
  <c r="KN9" i="1"/>
  <c r="KK9" i="1"/>
  <c r="KJ9" i="1"/>
  <c r="KG9" i="1"/>
  <c r="KF9" i="1"/>
  <c r="KC9" i="1"/>
  <c r="KD9" i="1"/>
  <c r="KB9" i="1"/>
  <c r="JY9" i="1"/>
  <c r="JX9" i="1"/>
  <c r="KR9" i="1"/>
  <c r="KQ9" i="1"/>
  <c r="KY8" i="1"/>
  <c r="KX8" i="1"/>
  <c r="KW8" i="1"/>
  <c r="KV8" i="1"/>
  <c r="KU8" i="1"/>
  <c r="KT8" i="1"/>
  <c r="KS8" i="1"/>
  <c r="KO8" i="1"/>
  <c r="KN8" i="1"/>
  <c r="KK8" i="1"/>
  <c r="KJ8" i="1"/>
  <c r="KG8" i="1"/>
  <c r="KF8" i="1"/>
  <c r="KC8" i="1"/>
  <c r="KB8" i="1"/>
  <c r="JY8" i="1"/>
  <c r="JX8" i="1"/>
  <c r="KR8" i="1"/>
  <c r="KQ8" i="1"/>
  <c r="KY7" i="1"/>
  <c r="KX7" i="1"/>
  <c r="KW7" i="1"/>
  <c r="KV7" i="1"/>
  <c r="KU7" i="1"/>
  <c r="KT7" i="1"/>
  <c r="KO7" i="1"/>
  <c r="KN7" i="1"/>
  <c r="KK7" i="1"/>
  <c r="KJ7" i="1"/>
  <c r="KG7" i="1"/>
  <c r="KF7" i="1"/>
  <c r="KC7" i="1"/>
  <c r="KB7" i="1"/>
  <c r="JY7" i="1"/>
  <c r="JX7" i="1"/>
  <c r="KS7" i="1"/>
  <c r="KR7" i="1"/>
  <c r="KQ7" i="1"/>
  <c r="KY6" i="1"/>
  <c r="KX6" i="1"/>
  <c r="KW6" i="1"/>
  <c r="KV6" i="1"/>
  <c r="KU6" i="1"/>
  <c r="KT6" i="1"/>
  <c r="KO6" i="1"/>
  <c r="KN6" i="1"/>
  <c r="KK6" i="1"/>
  <c r="KJ6" i="1"/>
  <c r="KG6" i="1"/>
  <c r="KF6" i="1"/>
  <c r="KC6" i="1"/>
  <c r="KB6" i="1"/>
  <c r="JY6" i="1"/>
  <c r="JX6" i="1"/>
  <c r="KS6" i="1"/>
  <c r="KR6" i="1"/>
  <c r="KQ6" i="1"/>
  <c r="KY5" i="1"/>
  <c r="KX5" i="1"/>
  <c r="KW5" i="1"/>
  <c r="KV5" i="1"/>
  <c r="KU5" i="1"/>
  <c r="KT5" i="1"/>
  <c r="KS5" i="1"/>
  <c r="KO5" i="1"/>
  <c r="KN5" i="1"/>
  <c r="KK5" i="1"/>
  <c r="KJ5" i="1"/>
  <c r="KG5" i="1"/>
  <c r="KF5" i="1"/>
  <c r="KC5" i="1"/>
  <c r="KB5" i="1"/>
  <c r="JY5" i="1"/>
  <c r="JX5" i="1"/>
  <c r="KR5" i="1"/>
  <c r="KQ5" i="1"/>
  <c r="KY4" i="1"/>
  <c r="KX4" i="1"/>
  <c r="KW4" i="1"/>
  <c r="KV4" i="1"/>
  <c r="KU4" i="1"/>
  <c r="KT4" i="1"/>
  <c r="KS4" i="1"/>
  <c r="KR4" i="1"/>
  <c r="KO4" i="1"/>
  <c r="KN4" i="1"/>
  <c r="KK4" i="1"/>
  <c r="KJ4" i="1"/>
  <c r="KG4" i="1"/>
  <c r="KF4" i="1"/>
  <c r="KC4" i="1"/>
  <c r="KB4" i="1"/>
  <c r="JY4" i="1"/>
  <c r="JX4" i="1"/>
  <c r="KQ4" i="1"/>
  <c r="KY3" i="1"/>
  <c r="KX3" i="1"/>
  <c r="KW3" i="1"/>
  <c r="KV3" i="1"/>
  <c r="KU3" i="1"/>
  <c r="KT3" i="1"/>
  <c r="KS3" i="1"/>
  <c r="KO3" i="1"/>
  <c r="KN3" i="1"/>
  <c r="KK3" i="1"/>
  <c r="KJ3" i="1"/>
  <c r="KG3" i="1"/>
  <c r="KF3" i="1"/>
  <c r="KC3" i="1"/>
  <c r="KB3" i="1"/>
  <c r="JY3" i="1"/>
  <c r="JX3" i="1"/>
  <c r="KR3" i="1"/>
  <c r="KQ3" i="1"/>
  <c r="KY2" i="1"/>
  <c r="KX2" i="1"/>
  <c r="KV2" i="1"/>
  <c r="KU2" i="1"/>
  <c r="KT2" i="1"/>
  <c r="KS2" i="1"/>
  <c r="KR2" i="1"/>
  <c r="KQ2" i="1"/>
  <c r="KO2" i="1"/>
  <c r="KN2" i="1"/>
  <c r="KK2" i="1"/>
  <c r="KJ2" i="1"/>
  <c r="KG2" i="1"/>
  <c r="KF2" i="1"/>
  <c r="KC2" i="1"/>
  <c r="KB2" i="1"/>
  <c r="JY2" i="1"/>
  <c r="JX2" i="1"/>
  <c r="E1" i="1"/>
  <c r="E134" i="20"/>
  <c r="C134" i="20"/>
  <c r="E133" i="20"/>
  <c r="C133" i="20"/>
  <c r="E132" i="20"/>
  <c r="D132" i="20"/>
  <c r="C132" i="20"/>
  <c r="E131" i="20"/>
  <c r="E130" i="20"/>
  <c r="C130" i="20"/>
  <c r="E129" i="20"/>
  <c r="D129" i="20"/>
  <c r="E127" i="20"/>
  <c r="C127" i="20"/>
  <c r="E126" i="20"/>
  <c r="C126" i="20"/>
  <c r="E125" i="20"/>
  <c r="D125" i="20"/>
  <c r="E124" i="20"/>
  <c r="E123" i="20"/>
  <c r="C123" i="20"/>
  <c r="E122" i="20"/>
  <c r="D122" i="20"/>
  <c r="E121" i="20"/>
  <c r="E128" i="20"/>
  <c r="E120" i="20"/>
  <c r="D120" i="20"/>
  <c r="E119" i="20"/>
  <c r="E118" i="20"/>
  <c r="E117" i="20"/>
  <c r="C117" i="20"/>
  <c r="E116" i="20"/>
  <c r="D116" i="20"/>
  <c r="C115" i="20"/>
  <c r="D114" i="20"/>
  <c r="D121" i="20"/>
  <c r="D128" i="20"/>
  <c r="C114" i="20"/>
  <c r="C121" i="20"/>
  <c r="C128" i="20"/>
  <c r="A28" i="20"/>
  <c r="A17" i="20"/>
  <c r="J13" i="20"/>
  <c r="H13" i="20"/>
  <c r="X12" i="20"/>
  <c r="W12" i="20"/>
  <c r="V12" i="20"/>
  <c r="U12" i="20"/>
  <c r="T12" i="20"/>
  <c r="S12" i="20"/>
  <c r="R12" i="20"/>
  <c r="Q12" i="20"/>
  <c r="P12" i="20"/>
  <c r="O12" i="20"/>
  <c r="F12" i="20"/>
  <c r="D12" i="20"/>
  <c r="U11" i="20"/>
  <c r="S11" i="20"/>
  <c r="H11" i="20"/>
  <c r="X10" i="20"/>
  <c r="V10" i="20"/>
  <c r="U10" i="20"/>
  <c r="S10" i="20"/>
  <c r="R10" i="20"/>
  <c r="A107" i="20"/>
  <c r="O10" i="20"/>
  <c r="N10" i="20"/>
  <c r="F13" i="20"/>
  <c r="B13" i="20"/>
  <c r="J9" i="20"/>
  <c r="A7" i="20"/>
  <c r="A4" i="20"/>
  <c r="D131" i="20"/>
  <c r="C80" i="23"/>
  <c r="C87" i="23"/>
  <c r="D41" i="23"/>
  <c r="D40" i="23"/>
  <c r="D39" i="23"/>
  <c r="A17" i="23"/>
  <c r="H7" i="23"/>
  <c r="A4" i="23"/>
  <c r="A3" i="23"/>
  <c r="C120" i="20"/>
  <c r="D117" i="20"/>
  <c r="C125" i="20"/>
  <c r="D124" i="20"/>
  <c r="C116" i="20"/>
  <c r="C119" i="20"/>
  <c r="C118" i="20"/>
  <c r="Q10" i="20"/>
  <c r="E115" i="20"/>
  <c r="B106" i="15"/>
  <c r="F106" i="15"/>
  <c r="D106" i="15"/>
  <c r="C106" i="15"/>
  <c r="G106" i="15"/>
  <c r="E106" i="15"/>
  <c r="O11" i="20"/>
  <c r="C145" i="20"/>
  <c r="KH291" i="1"/>
  <c r="JZ296" i="1"/>
  <c r="KD459" i="1"/>
  <c r="KP492" i="1"/>
  <c r="KL755" i="1"/>
  <c r="KH895" i="1"/>
  <c r="KP907" i="1"/>
  <c r="KD949" i="1"/>
  <c r="KP127" i="1"/>
  <c r="KH131" i="1"/>
  <c r="KL141" i="1"/>
  <c r="KL164" i="1"/>
  <c r="KD185" i="1"/>
  <c r="KD189" i="1"/>
  <c r="KD193" i="1"/>
  <c r="KP5" i="1"/>
  <c r="KP6" i="1"/>
  <c r="KL12" i="1"/>
  <c r="KL16" i="1"/>
  <c r="JZ26" i="1"/>
  <c r="KP40" i="1"/>
  <c r="JZ41" i="1"/>
  <c r="KH41" i="1"/>
  <c r="KP41" i="1"/>
  <c r="JZ45" i="1"/>
  <c r="KH45" i="1"/>
  <c r="KP45" i="1"/>
  <c r="KP54" i="1"/>
  <c r="KD62" i="1"/>
  <c r="KD84" i="1"/>
  <c r="KL88" i="1"/>
  <c r="JZ106" i="1"/>
  <c r="KH114" i="1"/>
  <c r="KP114" i="1"/>
  <c r="KP117" i="1"/>
  <c r="JZ118" i="1"/>
  <c r="KH122" i="1"/>
  <c r="JZ125" i="1"/>
  <c r="JZ126" i="1"/>
  <c r="KH134" i="1"/>
  <c r="KP134" i="1"/>
  <c r="KH141" i="1"/>
  <c r="KD156" i="1"/>
  <c r="KP157" i="1"/>
  <c r="KH170" i="1"/>
  <c r="KD204" i="1"/>
  <c r="KL208" i="1"/>
  <c r="KD212" i="1"/>
  <c r="KL212" i="1"/>
  <c r="KD220" i="1"/>
  <c r="KL220" i="1"/>
  <c r="KD288" i="1"/>
  <c r="JZ294" i="1"/>
  <c r="KH294" i="1"/>
  <c r="KP294" i="1"/>
  <c r="KP300" i="1"/>
  <c r="KD310" i="1"/>
  <c r="JZ311" i="1"/>
  <c r="KH311" i="1"/>
  <c r="KL314" i="1"/>
  <c r="JZ315" i="1"/>
  <c r="KD327" i="1"/>
  <c r="KH339" i="1"/>
  <c r="KP339" i="1"/>
  <c r="KH340" i="1"/>
  <c r="KL342" i="1"/>
  <c r="KH346" i="1"/>
  <c r="KP346" i="1"/>
  <c r="KH350" i="1"/>
  <c r="JZ405" i="1"/>
  <c r="KH405" i="1"/>
  <c r="KP405" i="1"/>
  <c r="KL416" i="1"/>
  <c r="JZ417" i="1"/>
  <c r="KP417" i="1"/>
  <c r="KP427" i="1"/>
  <c r="JZ436" i="1"/>
  <c r="KP436" i="1"/>
  <c r="KH440" i="1"/>
  <c r="JZ456" i="1"/>
  <c r="JZ469" i="1"/>
  <c r="KH473" i="1"/>
  <c r="KH477" i="1"/>
  <c r="KP477" i="1"/>
  <c r="JZ480" i="1"/>
  <c r="KH480" i="1"/>
  <c r="JZ481" i="1"/>
  <c r="JZ484" i="1"/>
  <c r="KH484" i="1"/>
  <c r="KP484" i="1"/>
  <c r="JZ529" i="1"/>
  <c r="KP529" i="1"/>
  <c r="KP537" i="1"/>
  <c r="JZ539" i="1"/>
  <c r="KP545" i="1"/>
  <c r="KH549" i="1"/>
  <c r="KL563" i="1"/>
  <c r="KD647" i="1"/>
  <c r="KL647" i="1"/>
  <c r="KD648" i="1"/>
  <c r="JZ649" i="1"/>
  <c r="KP649" i="1"/>
  <c r="KD650" i="1"/>
  <c r="KL650" i="1"/>
  <c r="KL663" i="1"/>
  <c r="JZ666" i="1"/>
  <c r="KP666" i="1"/>
  <c r="KP668" i="1"/>
  <c r="KL669" i="1"/>
  <c r="KD670" i="1"/>
  <c r="KH673" i="1"/>
  <c r="KP673" i="1"/>
  <c r="KL770" i="1"/>
  <c r="JZ773" i="1"/>
  <c r="KH773" i="1"/>
  <c r="KP773" i="1"/>
  <c r="JZ775" i="1"/>
  <c r="KH775" i="1"/>
  <c r="KP775" i="1"/>
  <c r="KL785" i="1"/>
  <c r="KH786" i="1"/>
  <c r="KD789" i="1"/>
  <c r="KL789" i="1"/>
  <c r="KD793" i="1"/>
  <c r="JZ821" i="1"/>
  <c r="KH825" i="1"/>
  <c r="KH828" i="1"/>
  <c r="KL923" i="1"/>
  <c r="KL193" i="1"/>
  <c r="KP173" i="1"/>
  <c r="KD234" i="1"/>
  <c r="KP260" i="1"/>
  <c r="KL263" i="1"/>
  <c r="KD266" i="1"/>
  <c r="KL271" i="1"/>
  <c r="KL296" i="1"/>
  <c r="JZ327" i="1"/>
  <c r="KP327" i="1"/>
  <c r="KD428" i="1"/>
  <c r="KH455" i="1"/>
  <c r="KH482" i="1"/>
  <c r="KD484" i="1"/>
  <c r="KL625" i="1"/>
  <c r="KL643" i="1"/>
  <c r="KD646" i="1"/>
  <c r="KL646" i="1"/>
  <c r="JZ648" i="1"/>
  <c r="KL727" i="1"/>
  <c r="JZ747" i="1"/>
  <c r="KP747" i="1"/>
  <c r="KD749" i="1"/>
  <c r="JZ755" i="1"/>
  <c r="KH755" i="1"/>
  <c r="JZ797" i="1"/>
  <c r="KH814" i="1"/>
  <c r="KH820" i="1"/>
  <c r="KP820" i="1"/>
  <c r="KD825" i="1"/>
  <c r="KP900" i="1"/>
  <c r="KD901" i="1"/>
  <c r="KL901" i="1"/>
  <c r="JZ903" i="1"/>
  <c r="JZ912" i="1"/>
  <c r="KH920" i="1"/>
  <c r="KP920" i="1"/>
  <c r="KD921" i="1"/>
  <c r="KL921" i="1"/>
  <c r="JZ923" i="1"/>
  <c r="KD3" i="1"/>
  <c r="JZ6" i="1"/>
  <c r="JZ119" i="1"/>
  <c r="KL122" i="1"/>
  <c r="KL160" i="1"/>
  <c r="KD169" i="1"/>
  <c r="KD215" i="1"/>
  <c r="KL215" i="1"/>
  <c r="KL235" i="1"/>
  <c r="KD238" i="1"/>
  <c r="KL239" i="1"/>
  <c r="KD287" i="1"/>
  <c r="KL291" i="1"/>
  <c r="JZ326" i="1"/>
  <c r="KH326" i="1"/>
  <c r="KP326" i="1"/>
  <c r="KL327" i="1"/>
  <c r="KL330" i="1"/>
  <c r="KP345" i="1"/>
  <c r="JZ347" i="1"/>
  <c r="KP347" i="1"/>
  <c r="KD354" i="1"/>
  <c r="KP355" i="1"/>
  <c r="KD358" i="1"/>
  <c r="KL358" i="1"/>
  <c r="JZ359" i="1"/>
  <c r="KP359" i="1"/>
  <c r="KD362" i="1"/>
  <c r="KL362" i="1"/>
  <c r="KD366" i="1"/>
  <c r="KP372" i="1"/>
  <c r="KD438" i="1"/>
  <c r="KL439" i="1"/>
  <c r="JZ470" i="1"/>
  <c r="KH492" i="1"/>
  <c r="KD532" i="1"/>
  <c r="KD543" i="1"/>
  <c r="KD653" i="1"/>
  <c r="KL653" i="1"/>
  <c r="KD128" i="1"/>
  <c r="KL128" i="1"/>
  <c r="KL181" i="1"/>
  <c r="KD300" i="1"/>
  <c r="KL304" i="1"/>
  <c r="KP311" i="1"/>
  <c r="KH315" i="1"/>
  <c r="KP315" i="1"/>
  <c r="KL317" i="1"/>
  <c r="KD318" i="1"/>
  <c r="KL318" i="1"/>
  <c r="KD321" i="1"/>
  <c r="KL321" i="1"/>
  <c r="JZ388" i="1"/>
  <c r="KH388" i="1"/>
  <c r="KP388" i="1"/>
  <c r="KD390" i="1"/>
  <c r="KL390" i="1"/>
  <c r="KL409" i="1"/>
  <c r="KP416" i="1"/>
  <c r="KH420" i="1"/>
  <c r="KP420" i="1"/>
  <c r="KL443" i="1"/>
  <c r="KL459" i="1"/>
  <c r="KL476" i="1"/>
  <c r="KD492" i="1"/>
  <c r="KL526" i="1"/>
  <c r="KL597" i="1"/>
  <c r="KH600" i="1"/>
  <c r="KD601" i="1"/>
  <c r="KL601" i="1"/>
  <c r="JZ610" i="1"/>
  <c r="KP32" i="1"/>
  <c r="KH126" i="1"/>
  <c r="KH130" i="1"/>
  <c r="KP130" i="1"/>
  <c r="KH137" i="1"/>
  <c r="KD146" i="1"/>
  <c r="KL146" i="1"/>
  <c r="KP170" i="1"/>
  <c r="KL204" i="1"/>
  <c r="KL216" i="1"/>
  <c r="KH283" i="1"/>
  <c r="JZ287" i="1"/>
  <c r="KH287" i="1"/>
  <c r="KP287" i="1"/>
  <c r="KP296" i="1"/>
  <c r="KL300" i="1"/>
  <c r="KD303" i="1"/>
  <c r="KL303" i="1"/>
  <c r="KH308" i="1"/>
  <c r="KD309" i="1"/>
  <c r="KL309" i="1"/>
  <c r="KD313" i="1"/>
  <c r="KL313" i="1"/>
  <c r="JZ318" i="1"/>
  <c r="KH318" i="1"/>
  <c r="KL341" i="1"/>
  <c r="JZ343" i="1"/>
  <c r="KP343" i="1"/>
  <c r="KL345" i="1"/>
  <c r="KD347" i="1"/>
  <c r="KL347" i="1"/>
  <c r="KH349" i="1"/>
  <c r="KP349" i="1"/>
  <c r="KD351" i="1"/>
  <c r="KL351" i="1"/>
  <c r="JZ353" i="1"/>
  <c r="KP353" i="1"/>
  <c r="JZ354" i="1"/>
  <c r="KP354" i="1"/>
  <c r="JZ358" i="1"/>
  <c r="KH366" i="1"/>
  <c r="KH370" i="1"/>
  <c r="KD372" i="1"/>
  <c r="JZ373" i="1"/>
  <c r="KD380" i="1"/>
  <c r="JZ382" i="1"/>
  <c r="KP382" i="1"/>
  <c r="JZ383" i="1"/>
  <c r="KP383" i="1"/>
  <c r="JZ387" i="1"/>
  <c r="KP387" i="1"/>
  <c r="KH397" i="1"/>
  <c r="KL408" i="1"/>
  <c r="KD426" i="1"/>
  <c r="KL427" i="1"/>
  <c r="KD431" i="1"/>
  <c r="KP456" i="1"/>
  <c r="KD458" i="1"/>
  <c r="KP469" i="1"/>
  <c r="KD479" i="1"/>
  <c r="KL479" i="1"/>
  <c r="KD483" i="1"/>
  <c r="KL483" i="1"/>
  <c r="JZ488" i="1"/>
  <c r="KH532" i="1"/>
  <c r="KD30" i="1"/>
  <c r="KP43" i="1"/>
  <c r="JZ44" i="1"/>
  <c r="KL57" i="1"/>
  <c r="KD68" i="1"/>
  <c r="KL105" i="1"/>
  <c r="KL106" i="1"/>
  <c r="KL109" i="1"/>
  <c r="KD118" i="1"/>
  <c r="KD134" i="1"/>
  <c r="JZ144" i="1"/>
  <c r="JZ177" i="1"/>
  <c r="KL207" i="1"/>
  <c r="JZ300" i="1"/>
  <c r="KP301" i="1"/>
  <c r="KH302" i="1"/>
  <c r="KH305" i="1"/>
  <c r="KL340" i="1"/>
  <c r="KH408" i="1"/>
  <c r="KL420" i="1"/>
  <c r="KD477" i="1"/>
  <c r="KD504" i="1"/>
  <c r="KL507" i="1"/>
  <c r="KP508" i="1"/>
  <c r="KD512" i="1"/>
  <c r="KL512" i="1"/>
  <c r="KL519" i="1"/>
  <c r="KD521" i="1"/>
  <c r="KD523" i="1"/>
  <c r="KH531" i="1"/>
  <c r="JZ554" i="1"/>
  <c r="KP554" i="1"/>
  <c r="KH558" i="1"/>
  <c r="KD560" i="1"/>
  <c r="KH568" i="1"/>
  <c r="KP568" i="1"/>
  <c r="KD569" i="1"/>
  <c r="KH582" i="1"/>
  <c r="KP582" i="1"/>
  <c r="KD599" i="1"/>
  <c r="KL599" i="1"/>
  <c r="KD600" i="1"/>
  <c r="KL600" i="1"/>
  <c r="KD603" i="1"/>
  <c r="KD630" i="1"/>
  <c r="KH631" i="1"/>
  <c r="KP648" i="1"/>
  <c r="JZ651" i="1"/>
  <c r="KP651" i="1"/>
  <c r="KD655" i="1"/>
  <c r="KL655" i="1"/>
  <c r="KP663" i="1"/>
  <c r="KL723" i="1"/>
  <c r="KL732" i="1"/>
  <c r="KH736" i="1"/>
  <c r="KD755" i="1"/>
  <c r="KL757" i="1"/>
  <c r="KH761" i="1"/>
  <c r="KL765" i="1"/>
  <c r="KD769" i="1"/>
  <c r="KH785" i="1"/>
  <c r="KP793" i="1"/>
  <c r="KH806" i="1"/>
  <c r="KD815" i="1"/>
  <c r="KD663" i="1"/>
  <c r="KD678" i="1"/>
  <c r="KL678" i="1"/>
  <c r="KD679" i="1"/>
  <c r="KD680" i="1"/>
  <c r="KL680" i="1"/>
  <c r="JZ686" i="1"/>
  <c r="KP686" i="1"/>
  <c r="KH687" i="1"/>
  <c r="KP687" i="1"/>
  <c r="KH691" i="1"/>
  <c r="KP699" i="1"/>
  <c r="KP704" i="1"/>
  <c r="KP708" i="1"/>
  <c r="KD709" i="1"/>
  <c r="KL709" i="1"/>
  <c r="KD718" i="1"/>
  <c r="KP814" i="1"/>
  <c r="KH830" i="1"/>
  <c r="KD831" i="1"/>
  <c r="KL831" i="1"/>
  <c r="KP835" i="1"/>
  <c r="KL876" i="1"/>
  <c r="KL879" i="1"/>
  <c r="KD880" i="1"/>
  <c r="JZ882" i="1"/>
  <c r="KH882" i="1"/>
  <c r="KP882" i="1"/>
  <c r="KD883" i="1"/>
  <c r="KL883" i="1"/>
  <c r="KD884" i="1"/>
  <c r="KD887" i="1"/>
  <c r="KL888" i="1"/>
  <c r="KH892" i="1"/>
  <c r="KP892" i="1"/>
  <c r="JZ893" i="1"/>
  <c r="KH893" i="1"/>
  <c r="KP893" i="1"/>
  <c r="KH899" i="1"/>
  <c r="KD911" i="1"/>
  <c r="KD919" i="1"/>
  <c r="KL919" i="1"/>
  <c r="JZ925" i="1"/>
  <c r="KH925" i="1"/>
  <c r="KP925" i="1"/>
  <c r="KD927" i="1"/>
  <c r="KL927" i="1"/>
  <c r="KD928" i="1"/>
  <c r="KL932" i="1"/>
  <c r="KL936" i="1"/>
  <c r="KL940" i="1"/>
  <c r="JZ656" i="1"/>
  <c r="KH656" i="1"/>
  <c r="KL657" i="1"/>
  <c r="KH661" i="1"/>
  <c r="KP661" i="1"/>
  <c r="JZ670" i="1"/>
  <c r="KD695" i="1"/>
  <c r="KL695" i="1"/>
  <c r="KD699" i="1"/>
  <c r="KD703" i="1"/>
  <c r="KL703" i="1"/>
  <c r="KH714" i="1"/>
  <c r="JZ718" i="1"/>
  <c r="JZ719" i="1"/>
  <c r="KH719" i="1"/>
  <c r="KD724" i="1"/>
  <c r="KL724" i="1"/>
  <c r="JZ726" i="1"/>
  <c r="KH726" i="1"/>
  <c r="JZ731" i="1"/>
  <c r="KP731" i="1"/>
  <c r="JZ733" i="1"/>
  <c r="KH733" i="1"/>
  <c r="KP733" i="1"/>
  <c r="KD735" i="1"/>
  <c r="KH737" i="1"/>
  <c r="KD739" i="1"/>
  <c r="JZ740" i="1"/>
  <c r="JZ741" i="1"/>
  <c r="KH750" i="1"/>
  <c r="KP750" i="1"/>
  <c r="JZ751" i="1"/>
  <c r="KD753" i="1"/>
  <c r="KL753" i="1"/>
  <c r="JZ756" i="1"/>
  <c r="KH756" i="1"/>
  <c r="KH764" i="1"/>
  <c r="KP764" i="1"/>
  <c r="JZ772" i="1"/>
  <c r="KH772" i="1"/>
  <c r="KP772" i="1"/>
  <c r="JZ778" i="1"/>
  <c r="KH778" i="1"/>
  <c r="KP778" i="1"/>
  <c r="KD809" i="1"/>
  <c r="KL814" i="1"/>
  <c r="KD820" i="1"/>
  <c r="JZ833" i="1"/>
  <c r="KD851" i="1"/>
  <c r="KL851" i="1"/>
  <c r="KD855" i="1"/>
  <c r="KL855" i="1"/>
  <c r="KD859" i="1"/>
  <c r="KL859" i="1"/>
  <c r="KD863" i="1"/>
  <c r="KL863" i="1"/>
  <c r="KD867" i="1"/>
  <c r="KL867" i="1"/>
  <c r="KD871" i="1"/>
  <c r="KL871" i="1"/>
  <c r="JZ876" i="1"/>
  <c r="KP876" i="1"/>
  <c r="KP880" i="1"/>
  <c r="KH884" i="1"/>
  <c r="JZ888" i="1"/>
  <c r="KH888" i="1"/>
  <c r="KD899" i="1"/>
  <c r="KD907" i="1"/>
  <c r="KH910" i="1"/>
  <c r="KP910" i="1"/>
  <c r="JZ911" i="1"/>
  <c r="JZ918" i="1"/>
  <c r="KH919" i="1"/>
  <c r="JZ924" i="1"/>
  <c r="KH924" i="1"/>
  <c r="KL931" i="1"/>
  <c r="JZ932" i="1"/>
  <c r="KH932" i="1"/>
  <c r="JZ936" i="1"/>
  <c r="KP936" i="1"/>
  <c r="KP943" i="1"/>
  <c r="KP947" i="1"/>
  <c r="JZ949" i="1"/>
  <c r="I1" i="23"/>
  <c r="D86" i="23"/>
  <c r="KL2" i="1"/>
  <c r="N30" i="23"/>
  <c r="KD6" i="1"/>
  <c r="KL6" i="1"/>
  <c r="JZ8" i="1"/>
  <c r="KH8" i="1"/>
  <c r="KP8" i="1"/>
  <c r="KD11" i="1"/>
  <c r="KD14" i="1"/>
  <c r="KD15" i="1"/>
  <c r="KL22" i="1"/>
  <c r="JZ23" i="1"/>
  <c r="KH26" i="1"/>
  <c r="KH27" i="1"/>
  <c r="KL29" i="1"/>
  <c r="KH32" i="1"/>
  <c r="KH36" i="1"/>
  <c r="JZ48" i="1"/>
  <c r="KD59" i="1"/>
  <c r="JZ61" i="1"/>
  <c r="KD70" i="1"/>
  <c r="KL70" i="1"/>
  <c r="KD71" i="1"/>
  <c r="KD75" i="1"/>
  <c r="KL82" i="1"/>
  <c r="KD83" i="1"/>
  <c r="KL83" i="1"/>
  <c r="KD86" i="1"/>
  <c r="KL86" i="1"/>
  <c r="KD87" i="1"/>
  <c r="KL90" i="1"/>
  <c r="KD91" i="1"/>
  <c r="KD94" i="1"/>
  <c r="JZ96" i="1"/>
  <c r="KP96" i="1"/>
  <c r="KD98" i="1"/>
  <c r="KL115" i="1"/>
  <c r="KH118" i="1"/>
  <c r="KP118" i="1"/>
  <c r="KH121" i="1"/>
  <c r="KH123" i="1"/>
  <c r="KP133" i="1"/>
  <c r="JZ134" i="1"/>
  <c r="JZ135" i="1"/>
  <c r="KD165" i="1"/>
  <c r="KL165" i="1"/>
  <c r="KD145" i="1"/>
  <c r="JZ148" i="1"/>
  <c r="KH148" i="1"/>
  <c r="KP148" i="1"/>
  <c r="JZ152" i="1"/>
  <c r="KL171" i="1"/>
  <c r="JZ172" i="1"/>
  <c r="JZ173" i="1"/>
  <c r="KH173" i="1"/>
  <c r="KP174" i="1"/>
  <c r="KD175" i="1"/>
  <c r="KL175" i="1"/>
  <c r="KD177" i="1"/>
  <c r="KL177" i="1"/>
  <c r="KH184" i="1"/>
  <c r="JZ187" i="1"/>
  <c r="KH187" i="1"/>
  <c r="KP187" i="1"/>
  <c r="KH192" i="1"/>
  <c r="JZ195" i="1"/>
  <c r="KH195" i="1"/>
  <c r="KP195" i="1"/>
  <c r="JZ196" i="1"/>
  <c r="JZ197" i="1"/>
  <c r="KH200" i="1"/>
  <c r="KP200" i="1"/>
  <c r="KL203" i="1"/>
  <c r="KD208" i="1"/>
  <c r="JZ211" i="1"/>
  <c r="KP212" i="1"/>
  <c r="JZ216" i="1"/>
  <c r="KH216" i="1"/>
  <c r="KL219" i="1"/>
  <c r="KL223" i="1"/>
  <c r="KD224" i="1"/>
  <c r="KL224" i="1"/>
  <c r="KD227" i="1"/>
  <c r="KD228" i="1"/>
  <c r="KL232" i="1"/>
  <c r="KD236" i="1"/>
  <c r="KL236" i="1"/>
  <c r="KD240" i="1"/>
  <c r="KL240" i="1"/>
  <c r="KD243" i="1"/>
  <c r="KL243" i="1"/>
  <c r="KD244" i="1"/>
  <c r="KH245" i="1"/>
  <c r="KP245" i="1"/>
  <c r="KD247" i="1"/>
  <c r="KL248" i="1"/>
  <c r="KH253" i="1"/>
  <c r="KP253" i="1"/>
  <c r="KH257" i="1"/>
  <c r="KP257" i="1"/>
  <c r="KL264" i="1"/>
  <c r="KD268" i="1"/>
  <c r="KL268" i="1"/>
  <c r="KD272" i="1"/>
  <c r="KL276" i="1"/>
  <c r="KL280" i="1"/>
  <c r="KL284" i="1"/>
  <c r="JZ285" i="1"/>
  <c r="KH285" i="1"/>
  <c r="KP285" i="1"/>
  <c r="KD291" i="1"/>
  <c r="KP292" i="1"/>
  <c r="KH293" i="1"/>
  <c r="KP295" i="1"/>
  <c r="KD297" i="1"/>
  <c r="JZ305" i="1"/>
  <c r="KD386" i="1"/>
  <c r="KD407" i="1"/>
  <c r="JZ411" i="1"/>
  <c r="KP411" i="1"/>
  <c r="JZ412" i="1"/>
  <c r="KH412" i="1"/>
  <c r="JZ415" i="1"/>
  <c r="KP415" i="1"/>
  <c r="KD419" i="1"/>
  <c r="KL419" i="1"/>
  <c r="JZ420" i="1"/>
  <c r="JZ427" i="1"/>
  <c r="KH428" i="1"/>
  <c r="KD430" i="1"/>
  <c r="JZ431" i="1"/>
  <c r="JZ432" i="1"/>
  <c r="KP432" i="1"/>
  <c r="KD435" i="1"/>
  <c r="KL435" i="1"/>
  <c r="KP439" i="1"/>
  <c r="JZ443" i="1"/>
  <c r="KP448" i="1"/>
  <c r="KD450" i="1"/>
  <c r="KL450" i="1"/>
  <c r="JZ452" i="1"/>
  <c r="KH452" i="1"/>
  <c r="KP452" i="1"/>
  <c r="KD455" i="1"/>
  <c r="KL455" i="1"/>
  <c r="KL434" i="1"/>
  <c r="JZ435" i="1"/>
  <c r="KH6" i="1"/>
  <c r="KH7" i="1"/>
  <c r="KP11" i="1"/>
  <c r="KH15" i="1"/>
  <c r="KD18" i="1"/>
  <c r="KL18" i="1"/>
  <c r="KD24" i="1"/>
  <c r="KL24" i="1"/>
  <c r="KD26" i="1"/>
  <c r="KL26" i="1"/>
  <c r="JZ29" i="1"/>
  <c r="KP29" i="1"/>
  <c r="KD32" i="1"/>
  <c r="KL32" i="1"/>
  <c r="KH42" i="1"/>
  <c r="KH46" i="1"/>
  <c r="JZ50" i="1"/>
  <c r="KP50" i="1"/>
  <c r="KD51" i="1"/>
  <c r="KD65" i="1"/>
  <c r="JZ70" i="1"/>
  <c r="KH70" i="1"/>
  <c r="KP70" i="1"/>
  <c r="KD76" i="1"/>
  <c r="KL76" i="1"/>
  <c r="KP79" i="1"/>
  <c r="JZ83" i="1"/>
  <c r="KP83" i="1"/>
  <c r="KP87" i="1"/>
  <c r="KH95" i="1"/>
  <c r="KP95" i="1"/>
  <c r="KP99" i="1"/>
  <c r="KD111" i="1"/>
  <c r="KL118" i="1"/>
  <c r="KD122" i="1"/>
  <c r="KP126" i="1"/>
  <c r="JZ136" i="1"/>
  <c r="KH136" i="1"/>
  <c r="KP136" i="1"/>
  <c r="JZ142" i="1"/>
  <c r="KP142" i="1"/>
  <c r="KL144" i="1"/>
  <c r="KD152" i="1"/>
  <c r="KL152" i="1"/>
  <c r="KD173" i="1"/>
  <c r="KH177" i="1"/>
  <c r="KH178" i="1"/>
  <c r="JZ186" i="1"/>
  <c r="KP186" i="1"/>
  <c r="KD187" i="1"/>
  <c r="KL187" i="1"/>
  <c r="KD195" i="1"/>
  <c r="KL195" i="1"/>
  <c r="KD197" i="1"/>
  <c r="KL197" i="1"/>
  <c r="JZ203" i="1"/>
  <c r="KP204" i="1"/>
  <c r="JZ208" i="1"/>
  <c r="KH208" i="1"/>
  <c r="KL211" i="1"/>
  <c r="KD216" i="1"/>
  <c r="JZ219" i="1"/>
  <c r="KP220" i="1"/>
  <c r="JZ224" i="1"/>
  <c r="KP224" i="1"/>
  <c r="KP228" i="1"/>
  <c r="JZ241" i="1"/>
  <c r="KH241" i="1"/>
  <c r="JZ248" i="1"/>
  <c r="KH248" i="1"/>
  <c r="KP248" i="1"/>
  <c r="KD251" i="1"/>
  <c r="KL251" i="1"/>
  <c r="JZ290" i="1"/>
  <c r="KH290" i="1"/>
  <c r="KD292" i="1"/>
  <c r="KL295" i="1"/>
  <c r="KD296" i="1"/>
  <c r="JZ297" i="1"/>
  <c r="KP297" i="1"/>
  <c r="KD298" i="1"/>
  <c r="KL298" i="1"/>
  <c r="JZ306" i="1"/>
  <c r="KP306" i="1"/>
  <c r="KD307" i="1"/>
  <c r="KL307" i="1"/>
  <c r="JZ317" i="1"/>
  <c r="KH317" i="1"/>
  <c r="KP319" i="1"/>
  <c r="KH320" i="1"/>
  <c r="JZ322" i="1"/>
  <c r="KH322" i="1"/>
  <c r="KP322" i="1"/>
  <c r="JZ323" i="1"/>
  <c r="KL326" i="1"/>
  <c r="JZ328" i="1"/>
  <c r="KP328" i="1"/>
  <c r="KD329" i="1"/>
  <c r="KL329" i="1"/>
  <c r="JZ332" i="1"/>
  <c r="KH332" i="1"/>
  <c r="KD333" i="1"/>
  <c r="KH342" i="1"/>
  <c r="KD350" i="1"/>
  <c r="JZ357" i="1"/>
  <c r="KH357" i="1"/>
  <c r="KP357" i="1"/>
  <c r="KH358" i="1"/>
  <c r="KP358" i="1"/>
  <c r="KH362" i="1"/>
  <c r="JZ363" i="1"/>
  <c r="KP363" i="1"/>
  <c r="KP369" i="1"/>
  <c r="KH373" i="1"/>
  <c r="KP373" i="1"/>
  <c r="KD379" i="1"/>
  <c r="KD384" i="1"/>
  <c r="KH386" i="1"/>
  <c r="KP386" i="1"/>
  <c r="JZ391" i="1"/>
  <c r="KH391" i="1"/>
  <c r="JZ393" i="1"/>
  <c r="KP393" i="1"/>
  <c r="KD399" i="1"/>
  <c r="KL399" i="1"/>
  <c r="KD400" i="1"/>
  <c r="KH404" i="1"/>
  <c r="KP404" i="1"/>
  <c r="KH407" i="1"/>
  <c r="KD411" i="1"/>
  <c r="KL412" i="1"/>
  <c r="JZ413" i="1"/>
  <c r="KP413" i="1"/>
  <c r="KD415" i="1"/>
  <c r="KL415" i="1"/>
  <c r="KD416" i="1"/>
  <c r="JZ419" i="1"/>
  <c r="KP419" i="1"/>
  <c r="KH335" i="1"/>
  <c r="KL337" i="1"/>
  <c r="KL349" i="1"/>
  <c r="KD368" i="1"/>
  <c r="KD370" i="1"/>
  <c r="KD383" i="1"/>
  <c r="KL383" i="1"/>
  <c r="KL403" i="1"/>
  <c r="KH459" i="1"/>
  <c r="KP459" i="1"/>
  <c r="KD465" i="1"/>
  <c r="KD488" i="1"/>
  <c r="KL535" i="1"/>
  <c r="KD605" i="1"/>
  <c r="JZ607" i="1"/>
  <c r="KH607" i="1"/>
  <c r="KP621" i="1"/>
  <c r="KP624" i="1"/>
  <c r="KH630" i="1"/>
  <c r="KH638" i="1"/>
  <c r="KP638" i="1"/>
  <c r="JZ643" i="1"/>
  <c r="KP643" i="1"/>
  <c r="JZ646" i="1"/>
  <c r="KP646" i="1"/>
  <c r="KD649" i="1"/>
  <c r="KL649" i="1"/>
  <c r="KH650" i="1"/>
  <c r="KD660" i="1"/>
  <c r="KL660" i="1"/>
  <c r="KH664" i="1"/>
  <c r="KD668" i="1"/>
  <c r="JZ669" i="1"/>
  <c r="KH670" i="1"/>
  <c r="KL673" i="1"/>
  <c r="KP676" i="1"/>
  <c r="KP679" i="1"/>
  <c r="JZ680" i="1"/>
  <c r="KH680" i="1"/>
  <c r="KH688" i="1"/>
  <c r="KD691" i="1"/>
  <c r="JZ703" i="1"/>
  <c r="KD707" i="1"/>
  <c r="KL707" i="1"/>
  <c r="KP714" i="1"/>
  <c r="KL718" i="1"/>
  <c r="KD719" i="1"/>
  <c r="KD736" i="1"/>
  <c r="KH739" i="1"/>
  <c r="KP739" i="1"/>
  <c r="JZ743" i="1"/>
  <c r="KP743" i="1"/>
  <c r="KD751" i="1"/>
  <c r="JZ764" i="1"/>
  <c r="KD767" i="1"/>
  <c r="JZ769" i="1"/>
  <c r="KD772" i="1"/>
  <c r="KL772" i="1"/>
  <c r="KL774" i="1"/>
  <c r="KP780" i="1"/>
  <c r="KP788" i="1"/>
  <c r="JZ789" i="1"/>
  <c r="JZ793" i="1"/>
  <c r="KL797" i="1"/>
  <c r="KL801" i="1"/>
  <c r="KD805" i="1"/>
  <c r="KP809" i="1"/>
  <c r="JZ814" i="1"/>
  <c r="KH818" i="1"/>
  <c r="KP818" i="1"/>
  <c r="KP819" i="1"/>
  <c r="JZ477" i="1"/>
  <c r="KD485" i="1"/>
  <c r="KL489" i="1"/>
  <c r="KD493" i="1"/>
  <c r="KL501" i="1"/>
  <c r="KL506" i="1"/>
  <c r="KL517" i="1"/>
  <c r="KD526" i="1"/>
  <c r="KP530" i="1"/>
  <c r="KL532" i="1"/>
  <c r="KP539" i="1"/>
  <c r="KP581" i="1"/>
  <c r="KD594" i="1"/>
  <c r="KL595" i="1"/>
  <c r="JZ600" i="1"/>
  <c r="KL609" i="1"/>
  <c r="KD612" i="1"/>
  <c r="KL612" i="1"/>
  <c r="KD613" i="1"/>
  <c r="KL613" i="1"/>
  <c r="JZ614" i="1"/>
  <c r="KP618" i="1"/>
  <c r="KD643" i="1"/>
  <c r="JZ673" i="1"/>
  <c r="KL681" i="1"/>
  <c r="KL683" i="1"/>
  <c r="KL706" i="1"/>
  <c r="KD710" i="1"/>
  <c r="KD714" i="1"/>
  <c r="KL719" i="1"/>
  <c r="JZ720" i="1"/>
  <c r="KP720" i="1"/>
  <c r="KD732" i="1"/>
  <c r="KP756" i="1"/>
  <c r="KH766" i="1"/>
  <c r="KL794" i="1"/>
  <c r="KL808" i="1"/>
  <c r="JZ820" i="1"/>
  <c r="KP821" i="1"/>
  <c r="KL822" i="1"/>
  <c r="KD827" i="1"/>
  <c r="KL827" i="1"/>
  <c r="KD838" i="1"/>
  <c r="KL838" i="1"/>
  <c r="JZ840" i="1"/>
  <c r="KH840" i="1"/>
  <c r="KP840" i="1"/>
  <c r="KD842" i="1"/>
  <c r="KL842" i="1"/>
  <c r="JZ844" i="1"/>
  <c r="KH844" i="1"/>
  <c r="KP844" i="1"/>
  <c r="KD846" i="1"/>
  <c r="KL846" i="1"/>
  <c r="KD877" i="1"/>
  <c r="KL885" i="1"/>
  <c r="KD889" i="1"/>
  <c r="KL889" i="1"/>
  <c r="JZ894" i="1"/>
  <c r="KH894" i="1"/>
  <c r="JZ895" i="1"/>
  <c r="KP896" i="1"/>
  <c r="KD897" i="1"/>
  <c r="KL897" i="1"/>
  <c r="KD898" i="1"/>
  <c r="KL898" i="1"/>
  <c r="KH907" i="1"/>
  <c r="JZ908" i="1"/>
  <c r="KH908" i="1"/>
  <c r="KD915" i="1"/>
  <c r="KP922" i="1"/>
  <c r="KH929" i="1"/>
  <c r="KP929" i="1"/>
  <c r="KD930" i="1"/>
  <c r="JZ942" i="1"/>
  <c r="KH942" i="1"/>
  <c r="KP942" i="1"/>
  <c r="KH945" i="1"/>
  <c r="KP945" i="1"/>
  <c r="KD946" i="1"/>
  <c r="KL946" i="1"/>
  <c r="KL949" i="1"/>
  <c r="KD462" i="1"/>
  <c r="JZ471" i="1"/>
  <c r="KH471" i="1"/>
  <c r="KD472" i="1"/>
  <c r="KD480" i="1"/>
  <c r="KD481" i="1"/>
  <c r="KH488" i="1"/>
  <c r="KD491" i="1"/>
  <c r="KL491" i="1"/>
  <c r="KD496" i="1"/>
  <c r="KL496" i="1"/>
  <c r="KD500" i="1"/>
  <c r="KL500" i="1"/>
  <c r="JZ501" i="1"/>
  <c r="KD503" i="1"/>
  <c r="KL503" i="1"/>
  <c r="KD505" i="1"/>
  <c r="KP506" i="1"/>
  <c r="KD530" i="1"/>
  <c r="KL530" i="1"/>
  <c r="KP531" i="1"/>
  <c r="KP532" i="1"/>
  <c r="KD533" i="1"/>
  <c r="KD539" i="1"/>
  <c r="KL539" i="1"/>
  <c r="JZ543" i="1"/>
  <c r="KP543" i="1"/>
  <c r="KD545" i="1"/>
  <c r="KL549" i="1"/>
  <c r="JZ563" i="1"/>
  <c r="KD570" i="1"/>
  <c r="KD577" i="1"/>
  <c r="JZ579" i="1"/>
  <c r="KP579" i="1"/>
  <c r="KH583" i="1"/>
  <c r="KP583" i="1"/>
  <c r="KD585" i="1"/>
  <c r="KL585" i="1"/>
  <c r="JZ587" i="1"/>
  <c r="KP587" i="1"/>
  <c r="KD589" i="1"/>
  <c r="KL589" i="1"/>
  <c r="JZ591" i="1"/>
  <c r="KD606" i="1"/>
  <c r="KL606" i="1"/>
  <c r="JZ609" i="1"/>
  <c r="KH609" i="1"/>
  <c r="KP609" i="1"/>
  <c r="KD615" i="1"/>
  <c r="JZ616" i="1"/>
  <c r="KH616" i="1"/>
  <c r="KP616" i="1"/>
  <c r="JZ617" i="1"/>
  <c r="KH617" i="1"/>
  <c r="KP617" i="1"/>
  <c r="JZ621" i="1"/>
  <c r="KH621" i="1"/>
  <c r="JZ627" i="1"/>
  <c r="KP634" i="1"/>
  <c r="JZ635" i="1"/>
  <c r="KP635" i="1"/>
  <c r="KH640" i="1"/>
  <c r="KD651" i="1"/>
  <c r="KL651" i="1"/>
  <c r="JZ654" i="1"/>
  <c r="KH654" i="1"/>
  <c r="JZ659" i="1"/>
  <c r="KP659" i="1"/>
  <c r="KH663" i="1"/>
  <c r="JZ672" i="1"/>
  <c r="KP672" i="1"/>
  <c r="KH681" i="1"/>
  <c r="KD684" i="1"/>
  <c r="JZ690" i="1"/>
  <c r="KH690" i="1"/>
  <c r="KP690" i="1"/>
  <c r="JZ695" i="1"/>
  <c r="KP695" i="1"/>
  <c r="JZ699" i="1"/>
  <c r="KP700" i="1"/>
  <c r="KL704" i="1"/>
  <c r="KL708" i="1"/>
  <c r="KH715" i="1"/>
  <c r="KP719" i="1"/>
  <c r="KD720" i="1"/>
  <c r="KP723" i="1"/>
  <c r="KH727" i="1"/>
  <c r="KP736" i="1"/>
  <c r="KP740" i="1"/>
  <c r="KD746" i="1"/>
  <c r="KL746" i="1"/>
  <c r="KP749" i="1"/>
  <c r="JZ762" i="1"/>
  <c r="KH762" i="1"/>
  <c r="KD763" i="1"/>
  <c r="KL763" i="1"/>
  <c r="KD766" i="1"/>
  <c r="KL769" i="1"/>
  <c r="JZ777" i="1"/>
  <c r="KH781" i="1"/>
  <c r="KL782" i="1"/>
  <c r="KL796" i="1"/>
  <c r="KH800" i="1"/>
  <c r="KP805" i="1"/>
  <c r="KL813" i="1"/>
  <c r="KD816" i="1"/>
  <c r="KL816" i="1"/>
  <c r="JZ818" i="1"/>
  <c r="JZ819" i="1"/>
  <c r="KP822" i="1"/>
  <c r="KL826" i="1"/>
  <c r="JZ827" i="1"/>
  <c r="KH827" i="1"/>
  <c r="KP827" i="1"/>
  <c r="KH834" i="1"/>
  <c r="KD895" i="1"/>
  <c r="KP899" i="1"/>
  <c r="JZ902" i="1"/>
  <c r="KH903" i="1"/>
  <c r="KH904" i="1"/>
  <c r="KP904" i="1"/>
  <c r="KD905" i="1"/>
  <c r="KL905" i="1"/>
  <c r="KL907" i="1"/>
  <c r="JZ909" i="1"/>
  <c r="KH909" i="1"/>
  <c r="KP909" i="1"/>
  <c r="KP911" i="1"/>
  <c r="JZ914" i="1"/>
  <c r="KH914" i="1"/>
  <c r="JZ915" i="1"/>
  <c r="KP916" i="1"/>
  <c r="KD917" i="1"/>
  <c r="KL917" i="1"/>
  <c r="JZ919" i="1"/>
  <c r="KD923" i="1"/>
  <c r="KD933" i="1"/>
  <c r="KL933" i="1"/>
  <c r="KD937" i="1"/>
  <c r="Z317" i="16"/>
  <c r="AB317" i="16"/>
  <c r="Z423" i="16"/>
  <c r="AB423" i="16"/>
  <c r="Z529" i="16"/>
  <c r="AB529" i="16"/>
  <c r="D152" i="20"/>
  <c r="AA423" i="18"/>
  <c r="Z211" i="18"/>
  <c r="E152" i="20"/>
  <c r="C152" i="20"/>
  <c r="D138" i="20"/>
  <c r="D145" i="20"/>
  <c r="AA423" i="16"/>
  <c r="AB211" i="15"/>
  <c r="KD2" i="1"/>
  <c r="KH5" i="1"/>
  <c r="JZ9" i="1"/>
  <c r="KL9" i="1"/>
  <c r="JZ11" i="1"/>
  <c r="KL11" i="1"/>
  <c r="KD12" i="1"/>
  <c r="KP15" i="1"/>
  <c r="KL20" i="1"/>
  <c r="KP23" i="1"/>
  <c r="JZ24" i="1"/>
  <c r="KH24" i="1"/>
  <c r="KP24" i="1"/>
  <c r="KH25" i="1"/>
  <c r="KL28" i="1"/>
  <c r="KD29" i="1"/>
  <c r="KH31" i="1"/>
  <c r="KH34" i="1"/>
  <c r="JZ35" i="1"/>
  <c r="KL37" i="1"/>
  <c r="KL39" i="1"/>
  <c r="JZ40" i="1"/>
  <c r="KD41" i="1"/>
  <c r="KL41" i="1"/>
  <c r="KP44" i="1"/>
  <c r="KD45" i="1"/>
  <c r="KL45" i="1"/>
  <c r="KP46" i="1"/>
  <c r="KL49" i="1"/>
  <c r="JZ7" i="1"/>
  <c r="KH9" i="1"/>
  <c r="KH11" i="1"/>
  <c r="JZ15" i="1"/>
  <c r="KL15" i="1"/>
  <c r="KD16" i="1"/>
  <c r="KD22" i="1"/>
  <c r="KP25" i="1"/>
  <c r="JZ27" i="1"/>
  <c r="KP31" i="1"/>
  <c r="KP34" i="1"/>
  <c r="KH35" i="1"/>
  <c r="JZ36" i="1"/>
  <c r="KH40" i="1"/>
  <c r="JZ42" i="1"/>
  <c r="JZ46" i="1"/>
  <c r="KL46" i="1"/>
  <c r="KL3" i="1"/>
  <c r="JZ5" i="1"/>
  <c r="KP7" i="1"/>
  <c r="KD8" i="1"/>
  <c r="KL8" i="1"/>
  <c r="KP9" i="1"/>
  <c r="KP10" i="1"/>
  <c r="KL14" i="1"/>
  <c r="KD20" i="1"/>
  <c r="KH23" i="1"/>
  <c r="JZ25" i="1"/>
  <c r="KP27" i="1"/>
  <c r="KD28" i="1"/>
  <c r="KH29" i="1"/>
  <c r="KL30" i="1"/>
  <c r="JZ31" i="1"/>
  <c r="JZ34" i="1"/>
  <c r="KP36" i="1"/>
  <c r="KD37" i="1"/>
  <c r="KD39" i="1"/>
  <c r="KP42" i="1"/>
  <c r="KH44" i="1"/>
  <c r="KD46" i="1"/>
  <c r="KH48" i="1"/>
  <c r="KP48" i="1"/>
  <c r="KD49" i="1"/>
  <c r="KL51" i="1"/>
  <c r="KL53" i="1"/>
  <c r="KD54" i="1"/>
  <c r="KD57" i="1"/>
  <c r="KH59" i="1"/>
  <c r="KD61" i="1"/>
  <c r="KH62" i="1"/>
  <c r="KP64" i="1"/>
  <c r="KH65" i="1"/>
  <c r="KH71" i="1"/>
  <c r="KH75" i="1"/>
  <c r="JZ76" i="1"/>
  <c r="KH76" i="1"/>
  <c r="KP76" i="1"/>
  <c r="KH79" i="1"/>
  <c r="JZ80" i="1"/>
  <c r="KL80" i="1"/>
  <c r="KD90" i="1"/>
  <c r="KH91" i="1"/>
  <c r="KL92" i="1"/>
  <c r="JZ95" i="1"/>
  <c r="KL95" i="1"/>
  <c r="KL98" i="1"/>
  <c r="KD99" i="1"/>
  <c r="KD100" i="1"/>
  <c r="KL100" i="1"/>
  <c r="KD101" i="1"/>
  <c r="KH102" i="1"/>
  <c r="JZ103" i="1"/>
  <c r="KP106" i="1"/>
  <c r="KP107" i="1"/>
  <c r="KD109" i="1"/>
  <c r="KH110" i="1"/>
  <c r="JZ114" i="1"/>
  <c r="KL114" i="1"/>
  <c r="KD115" i="1"/>
  <c r="JZ117" i="1"/>
  <c r="JZ121" i="1"/>
  <c r="KP123" i="1"/>
  <c r="KD124" i="1"/>
  <c r="KL124" i="1"/>
  <c r="KH127" i="1"/>
  <c r="KP129" i="1"/>
  <c r="JZ131" i="1"/>
  <c r="JZ132" i="1"/>
  <c r="KH132" i="1"/>
  <c r="KP132" i="1"/>
  <c r="KH133" i="1"/>
  <c r="JZ137" i="1"/>
  <c r="JZ140" i="1"/>
  <c r="KH140" i="1"/>
  <c r="KP140" i="1"/>
  <c r="JZ143" i="1"/>
  <c r="KH143" i="1"/>
  <c r="KP143" i="1"/>
  <c r="KL145" i="1"/>
  <c r="KL148" i="1"/>
  <c r="KD149" i="1"/>
  <c r="KP152" i="1"/>
  <c r="KL155" i="1"/>
  <c r="KD157" i="1"/>
  <c r="KD160" i="1"/>
  <c r="KH161" i="1"/>
  <c r="KL167" i="1"/>
  <c r="JZ170" i="1"/>
  <c r="KL170" i="1"/>
  <c r="KD171" i="1"/>
  <c r="KH174" i="1"/>
  <c r="KP176" i="1"/>
  <c r="JZ178" i="1"/>
  <c r="JZ179" i="1"/>
  <c r="KH179" i="1"/>
  <c r="KP179" i="1"/>
  <c r="KH180" i="1"/>
  <c r="KL182" i="1"/>
  <c r="JZ184" i="1"/>
  <c r="KL185" i="1"/>
  <c r="KL188" i="1"/>
  <c r="KL190" i="1"/>
  <c r="JZ192" i="1"/>
  <c r="KP193" i="1"/>
  <c r="KP197" i="1"/>
  <c r="JZ200" i="1"/>
  <c r="KL200" i="1"/>
  <c r="KD201" i="1"/>
  <c r="KL201" i="1"/>
  <c r="KP203" i="1"/>
  <c r="KP207" i="1"/>
  <c r="KP211" i="1"/>
  <c r="KP215" i="1"/>
  <c r="KP219" i="1"/>
  <c r="KL227" i="1"/>
  <c r="KP336" i="1"/>
  <c r="KH383" i="1"/>
  <c r="KH427" i="1"/>
  <c r="KL346" i="1"/>
  <c r="KH50" i="1"/>
  <c r="JZ54" i="1"/>
  <c r="KL54" i="1"/>
  <c r="KD55" i="1"/>
  <c r="KD58" i="1"/>
  <c r="KP59" i="1"/>
  <c r="KP62" i="1"/>
  <c r="JZ64" i="1"/>
  <c r="KP65" i="1"/>
  <c r="KD67" i="1"/>
  <c r="KP71" i="1"/>
  <c r="KP75" i="1"/>
  <c r="KD80" i="1"/>
  <c r="KD82" i="1"/>
  <c r="KH83" i="1"/>
  <c r="KL84" i="1"/>
  <c r="JZ87" i="1"/>
  <c r="KL87" i="1"/>
  <c r="KD88" i="1"/>
  <c r="KP91" i="1"/>
  <c r="KL94" i="1"/>
  <c r="KD95" i="1"/>
  <c r="KH96" i="1"/>
  <c r="JZ99" i="1"/>
  <c r="KL99" i="1"/>
  <c r="JZ100" i="1"/>
  <c r="KH100" i="1"/>
  <c r="KP100" i="1"/>
  <c r="KP102" i="1"/>
  <c r="KP103" i="1"/>
  <c r="KD105" i="1"/>
  <c r="KH106" i="1"/>
  <c r="JZ107" i="1"/>
  <c r="KP110" i="1"/>
  <c r="KL111" i="1"/>
  <c r="KL113" i="1"/>
  <c r="KD114" i="1"/>
  <c r="KL117" i="1"/>
  <c r="KH119" i="1"/>
  <c r="KP121" i="1"/>
  <c r="JZ123" i="1"/>
  <c r="JZ124" i="1"/>
  <c r="KH124" i="1"/>
  <c r="KP124" i="1"/>
  <c r="KH125" i="1"/>
  <c r="JZ129" i="1"/>
  <c r="KP131" i="1"/>
  <c r="KD132" i="1"/>
  <c r="KL132" i="1"/>
  <c r="KH135" i="1"/>
  <c r="KP137" i="1"/>
  <c r="KD138" i="1"/>
  <c r="KD140" i="1"/>
  <c r="KL140" i="1"/>
  <c r="KH142" i="1"/>
  <c r="KD164" i="1"/>
  <c r="KD143" i="1"/>
  <c r="KL143" i="1"/>
  <c r="KD148" i="1"/>
  <c r="KD151" i="1"/>
  <c r="KH152" i="1"/>
  <c r="KL153" i="1"/>
  <c r="KL156" i="1"/>
  <c r="JZ157" i="1"/>
  <c r="KL157" i="1"/>
  <c r="KD158" i="1"/>
  <c r="KP161" i="1"/>
  <c r="KL169" i="1"/>
  <c r="KD170" i="1"/>
  <c r="KH172" i="1"/>
  <c r="JZ176" i="1"/>
  <c r="KP178" i="1"/>
  <c r="KD179" i="1"/>
  <c r="KL179" i="1"/>
  <c r="KP181" i="1"/>
  <c r="KP184" i="1"/>
  <c r="KH186" i="1"/>
  <c r="KH189" i="1"/>
  <c r="KP189" i="1"/>
  <c r="KP192" i="1"/>
  <c r="KH193" i="1"/>
  <c r="KH197" i="1"/>
  <c r="KD200" i="1"/>
  <c r="JZ201" i="1"/>
  <c r="KH201" i="1"/>
  <c r="KP201" i="1"/>
  <c r="KH203" i="1"/>
  <c r="KH207" i="1"/>
  <c r="KH211" i="1"/>
  <c r="KH215" i="1"/>
  <c r="KH219" i="1"/>
  <c r="KD223" i="1"/>
  <c r="KH224" i="1"/>
  <c r="KL225" i="1"/>
  <c r="JZ228" i="1"/>
  <c r="KL228" i="1"/>
  <c r="KD229" i="1"/>
  <c r="KL234" i="1"/>
  <c r="KD235" i="1"/>
  <c r="KP244" i="1"/>
  <c r="JZ291" i="1"/>
  <c r="KP318" i="1"/>
  <c r="KL323" i="1"/>
  <c r="KH327" i="1"/>
  <c r="KH54" i="1"/>
  <c r="KL55" i="1"/>
  <c r="KL58" i="1"/>
  <c r="JZ59" i="1"/>
  <c r="KL59" i="1"/>
  <c r="KL60" i="1"/>
  <c r="JZ62" i="1"/>
  <c r="KL62" i="1"/>
  <c r="KH64" i="1"/>
  <c r="JZ65" i="1"/>
  <c r="KL65" i="1"/>
  <c r="KL66" i="1"/>
  <c r="KL67" i="1"/>
  <c r="JZ71" i="1"/>
  <c r="KL71" i="1"/>
  <c r="JZ75" i="1"/>
  <c r="KL75" i="1"/>
  <c r="JZ79" i="1"/>
  <c r="KH87" i="1"/>
  <c r="JZ91" i="1"/>
  <c r="KL91" i="1"/>
  <c r="KD92" i="1"/>
  <c r="KH99" i="1"/>
  <c r="JZ102" i="1"/>
  <c r="KL102" i="1"/>
  <c r="KH107" i="1"/>
  <c r="JZ110" i="1"/>
  <c r="KL110" i="1"/>
  <c r="KP119" i="1"/>
  <c r="KP122" i="1"/>
  <c r="KP125" i="1"/>
  <c r="JZ127" i="1"/>
  <c r="JZ128" i="1"/>
  <c r="KH128" i="1"/>
  <c r="KP128" i="1"/>
  <c r="KH129" i="1"/>
  <c r="JZ133" i="1"/>
  <c r="KP135" i="1"/>
  <c r="KD136" i="1"/>
  <c r="KL136" i="1"/>
  <c r="KL138" i="1"/>
  <c r="KP144" i="1"/>
  <c r="KL151" i="1"/>
  <c r="KD155" i="1"/>
  <c r="KH157" i="1"/>
  <c r="KL158" i="1"/>
  <c r="JZ161" i="1"/>
  <c r="KL161" i="1"/>
  <c r="KD167" i="1"/>
  <c r="KP172" i="1"/>
  <c r="JZ174" i="1"/>
  <c r="JZ175" i="1"/>
  <c r="KH175" i="1"/>
  <c r="KP175" i="1"/>
  <c r="KH176" i="1"/>
  <c r="JZ180" i="1"/>
  <c r="KD182" i="1"/>
  <c r="KD188" i="1"/>
  <c r="KD190" i="1"/>
  <c r="KL196" i="1"/>
  <c r="KD199" i="1"/>
  <c r="KL199" i="1"/>
  <c r="KD203" i="1"/>
  <c r="KD207" i="1"/>
  <c r="KD211" i="1"/>
  <c r="KD219" i="1"/>
  <c r="KH228" i="1"/>
  <c r="KL229" i="1"/>
  <c r="KH239" i="1"/>
  <c r="KP241" i="1"/>
  <c r="KD305" i="1"/>
  <c r="JZ400" i="1"/>
  <c r="KL404" i="1"/>
  <c r="KD232" i="1"/>
  <c r="KP235" i="1"/>
  <c r="KL238" i="1"/>
  <c r="KD239" i="1"/>
  <c r="JZ244" i="1"/>
  <c r="KL244" i="1"/>
  <c r="KL247" i="1"/>
  <c r="KD248" i="1"/>
  <c r="KD252" i="1"/>
  <c r="KL252" i="1"/>
  <c r="KP255" i="1"/>
  <c r="KD256" i="1"/>
  <c r="KL256" i="1"/>
  <c r="KP259" i="1"/>
  <c r="KD260" i="1"/>
  <c r="KL260" i="1"/>
  <c r="KP263" i="1"/>
  <c r="KL266" i="1"/>
  <c r="KD267" i="1"/>
  <c r="KD270" i="1"/>
  <c r="KH271" i="1"/>
  <c r="KL272" i="1"/>
  <c r="JZ275" i="1"/>
  <c r="KL275" i="1"/>
  <c r="KD276" i="1"/>
  <c r="KP279" i="1"/>
  <c r="KL282" i="1"/>
  <c r="KD283" i="1"/>
  <c r="KL286" i="1"/>
  <c r="JZ289" i="1"/>
  <c r="KH289" i="1"/>
  <c r="KP289" i="1"/>
  <c r="KP290" i="1"/>
  <c r="KD293" i="1"/>
  <c r="JZ295" i="1"/>
  <c r="KH295" i="1"/>
  <c r="JZ298" i="1"/>
  <c r="KH298" i="1"/>
  <c r="KP298" i="1"/>
  <c r="KP299" i="1"/>
  <c r="KD302" i="1"/>
  <c r="JZ304" i="1"/>
  <c r="KH304" i="1"/>
  <c r="KD306" i="1"/>
  <c r="KD308" i="1"/>
  <c r="KH310" i="1"/>
  <c r="KL312" i="1"/>
  <c r="KD314" i="1"/>
  <c r="KD316" i="1"/>
  <c r="KL316" i="1"/>
  <c r="KP317" i="1"/>
  <c r="JZ319" i="1"/>
  <c r="KL322" i="1"/>
  <c r="KH324" i="1"/>
  <c r="KP324" i="1"/>
  <c r="KD325" i="1"/>
  <c r="KL325" i="1"/>
  <c r="KD328" i="1"/>
  <c r="KH330" i="1"/>
  <c r="KH333" i="1"/>
  <c r="KP333" i="1"/>
  <c r="KD339" i="1"/>
  <c r="KP341" i="1"/>
  <c r="KL343" i="1"/>
  <c r="JZ345" i="1"/>
  <c r="KH345" i="1"/>
  <c r="KL350" i="1"/>
  <c r="KL354" i="1"/>
  <c r="JZ355" i="1"/>
  <c r="KL359" i="1"/>
  <c r="KL363" i="1"/>
  <c r="JZ365" i="1"/>
  <c r="KL366" i="1"/>
  <c r="JZ369" i="1"/>
  <c r="KL369" i="1"/>
  <c r="KH377" i="1"/>
  <c r="KD381" i="1"/>
  <c r="KD382" i="1"/>
  <c r="JZ386" i="1"/>
  <c r="KL387" i="1"/>
  <c r="KD388" i="1"/>
  <c r="KD393" i="1"/>
  <c r="KL393" i="1"/>
  <c r="KH395" i="1"/>
  <c r="JZ396" i="1"/>
  <c r="KL396" i="1"/>
  <c r="JZ399" i="1"/>
  <c r="KP399" i="1"/>
  <c r="KL400" i="1"/>
  <c r="KD401" i="1"/>
  <c r="JZ403" i="1"/>
  <c r="KH403" i="1"/>
  <c r="KL405" i="1"/>
  <c r="KL407" i="1"/>
  <c r="KD408" i="1"/>
  <c r="KP409" i="1"/>
  <c r="KP412" i="1"/>
  <c r="KD413" i="1"/>
  <c r="KD417" i="1"/>
  <c r="KL417" i="1"/>
  <c r="KD421" i="1"/>
  <c r="KL421" i="1"/>
  <c r="KD423" i="1"/>
  <c r="JZ430" i="1"/>
  <c r="KL431" i="1"/>
  <c r="JZ434" i="1"/>
  <c r="KL436" i="1"/>
  <c r="KD439" i="1"/>
  <c r="KD442" i="1"/>
  <c r="KH443" i="1"/>
  <c r="KP443" i="1"/>
  <c r="KL446" i="1"/>
  <c r="KH447" i="1"/>
  <c r="JZ448" i="1"/>
  <c r="KP450" i="1"/>
  <c r="KP451" i="1"/>
  <c r="KL452" i="1"/>
  <c r="KP454" i="1"/>
  <c r="KH456" i="1"/>
  <c r="JZ459" i="1"/>
  <c r="JZ461" i="1"/>
  <c r="KL462" i="1"/>
  <c r="KL466" i="1"/>
  <c r="KD467" i="1"/>
  <c r="KD470" i="1"/>
  <c r="KD473" i="1"/>
  <c r="KP474" i="1"/>
  <c r="JZ475" i="1"/>
  <c r="KH475" i="1"/>
  <c r="KP475" i="1"/>
  <c r="KH476" i="1"/>
  <c r="KP476" i="1"/>
  <c r="JZ478" i="1"/>
  <c r="KH478" i="1"/>
  <c r="KH481" i="1"/>
  <c r="KP481" i="1"/>
  <c r="JZ497" i="1"/>
  <c r="KL497" i="1"/>
  <c r="JZ502" i="1"/>
  <c r="KH502" i="1"/>
  <c r="KP502" i="1"/>
  <c r="JZ506" i="1"/>
  <c r="KH506" i="1"/>
  <c r="KD507" i="1"/>
  <c r="KL509" i="1"/>
  <c r="KP512" i="1"/>
  <c r="KH513" i="1"/>
  <c r="JZ514" i="1"/>
  <c r="KH514" i="1"/>
  <c r="KP514" i="1"/>
  <c r="KD518" i="1"/>
  <c r="KL518" i="1"/>
  <c r="JZ519" i="1"/>
  <c r="KH519" i="1"/>
  <c r="KP519" i="1"/>
  <c r="JZ520" i="1"/>
  <c r="KP520" i="1"/>
  <c r="JZ521" i="1"/>
  <c r="KL523" i="1"/>
  <c r="JZ525" i="1"/>
  <c r="KD527" i="1"/>
  <c r="KD529" i="1"/>
  <c r="JZ531" i="1"/>
  <c r="KL531" i="1"/>
  <c r="KP535" i="1"/>
  <c r="KH539" i="1"/>
  <c r="JZ547" i="1"/>
  <c r="KH551" i="1"/>
  <c r="KL554" i="1"/>
  <c r="KL556" i="1"/>
  <c r="KP563" i="1"/>
  <c r="KL568" i="1"/>
  <c r="KL573" i="1"/>
  <c r="JZ575" i="1"/>
  <c r="JZ577" i="1"/>
  <c r="JZ578" i="1"/>
  <c r="KH578" i="1"/>
  <c r="KP578" i="1"/>
  <c r="KL582" i="1"/>
  <c r="JZ586" i="1"/>
  <c r="KH586" i="1"/>
  <c r="KP586" i="1"/>
  <c r="JZ590" i="1"/>
  <c r="KH590" i="1"/>
  <c r="KP590" i="1"/>
  <c r="KP591" i="1"/>
  <c r="KH594" i="1"/>
  <c r="KH595" i="1"/>
  <c r="JZ604" i="1"/>
  <c r="KL604" i="1"/>
  <c r="KD609" i="1"/>
  <c r="KL624" i="1"/>
  <c r="JZ626" i="1"/>
  <c r="KH627" i="1"/>
  <c r="KD629" i="1"/>
  <c r="KL632" i="1"/>
  <c r="KL636" i="1"/>
  <c r="KD639" i="1"/>
  <c r="KP640" i="1"/>
  <c r="KD642" i="1"/>
  <c r="KD644" i="1"/>
  <c r="JZ647" i="1"/>
  <c r="KP647" i="1"/>
  <c r="KL648" i="1"/>
  <c r="JZ653" i="1"/>
  <c r="KP653" i="1"/>
  <c r="KP654" i="1"/>
  <c r="KP656" i="1"/>
  <c r="KD657" i="1"/>
  <c r="KH659" i="1"/>
  <c r="JZ661" i="1"/>
  <c r="KD664" i="1"/>
  <c r="KD666" i="1"/>
  <c r="KH667" i="1"/>
  <c r="JZ668" i="1"/>
  <c r="KP669" i="1"/>
  <c r="KL670" i="1"/>
  <c r="KL674" i="1"/>
  <c r="JZ676" i="1"/>
  <c r="KH676" i="1"/>
  <c r="KP680" i="1"/>
  <c r="KH683" i="1"/>
  <c r="KL690" i="1"/>
  <c r="JZ698" i="1"/>
  <c r="KL699" i="1"/>
  <c r="KD700" i="1"/>
  <c r="KH707" i="1"/>
  <c r="KL710" i="1"/>
  <c r="KD740" i="1"/>
  <c r="KD764" i="1"/>
  <c r="KL764" i="1"/>
  <c r="KP797" i="1"/>
  <c r="KL818" i="1"/>
  <c r="KP895" i="1"/>
  <c r="KD903" i="1"/>
  <c r="KL911" i="1"/>
  <c r="KP915" i="1"/>
  <c r="KH923" i="1"/>
  <c r="KH244" i="1"/>
  <c r="JZ245" i="1"/>
  <c r="JZ253" i="1"/>
  <c r="JZ257" i="1"/>
  <c r="KD264" i="1"/>
  <c r="KH275" i="1"/>
  <c r="KL279" i="1"/>
  <c r="KD280" i="1"/>
  <c r="KP283" i="1"/>
  <c r="KP284" i="1"/>
  <c r="KD285" i="1"/>
  <c r="KL285" i="1"/>
  <c r="KL290" i="1"/>
  <c r="JZ292" i="1"/>
  <c r="KL299" i="1"/>
  <c r="JZ301" i="1"/>
  <c r="JZ303" i="1"/>
  <c r="KH303" i="1"/>
  <c r="KP303" i="1"/>
  <c r="KP304" i="1"/>
  <c r="JZ307" i="1"/>
  <c r="KP307" i="1"/>
  <c r="JZ372" i="1"/>
  <c r="KL373" i="1"/>
  <c r="KP377" i="1"/>
  <c r="KH379" i="1"/>
  <c r="JZ380" i="1"/>
  <c r="KL380" i="1"/>
  <c r="KP447" i="1"/>
  <c r="KL470" i="1"/>
  <c r="KP480" i="1"/>
  <c r="JZ485" i="1"/>
  <c r="KH493" i="1"/>
  <c r="KP501" i="1"/>
  <c r="KH517" i="1"/>
  <c r="KL537" i="1"/>
  <c r="KL543" i="1"/>
  <c r="JZ545" i="1"/>
  <c r="KP547" i="1"/>
  <c r="KD551" i="1"/>
  <c r="KH556" i="1"/>
  <c r="JZ560" i="1"/>
  <c r="KH569" i="1"/>
  <c r="KH570" i="1"/>
  <c r="KP575" i="1"/>
  <c r="KP577" i="1"/>
  <c r="KL579" i="1"/>
  <c r="KH581" i="1"/>
  <c r="JZ582" i="1"/>
  <c r="JZ583" i="1"/>
  <c r="JZ585" i="1"/>
  <c r="KH585" i="1"/>
  <c r="KP585" i="1"/>
  <c r="KL587" i="1"/>
  <c r="KD591" i="1"/>
  <c r="KD592" i="1"/>
  <c r="KL592" i="1"/>
  <c r="KD596" i="1"/>
  <c r="KL596" i="1"/>
  <c r="KD598" i="1"/>
  <c r="KL598" i="1"/>
  <c r="JZ599" i="1"/>
  <c r="KH599" i="1"/>
  <c r="KP599" i="1"/>
  <c r="JZ602" i="1"/>
  <c r="KH602" i="1"/>
  <c r="KP602" i="1"/>
  <c r="KH604" i="1"/>
  <c r="KD607" i="1"/>
  <c r="KL607" i="1"/>
  <c r="KD608" i="1"/>
  <c r="KL608" i="1"/>
  <c r="KD611" i="1"/>
  <c r="KL611" i="1"/>
  <c r="JZ612" i="1"/>
  <c r="KH612" i="1"/>
  <c r="KP612" i="1"/>
  <c r="JZ613" i="1"/>
  <c r="KH613" i="1"/>
  <c r="KP613" i="1"/>
  <c r="KD614" i="1"/>
  <c r="KD617" i="1"/>
  <c r="KL617" i="1"/>
  <c r="JZ618" i="1"/>
  <c r="KL618" i="1"/>
  <c r="JZ619" i="1"/>
  <c r="KH619" i="1"/>
  <c r="KP619" i="1"/>
  <c r="JZ620" i="1"/>
  <c r="KH620" i="1"/>
  <c r="KP620" i="1"/>
  <c r="JZ622" i="1"/>
  <c r="KH622" i="1"/>
  <c r="KP622" i="1"/>
  <c r="KH625" i="1"/>
  <c r="KP627" i="1"/>
  <c r="KL628" i="1"/>
  <c r="KL629" i="1"/>
  <c r="KL631" i="1"/>
  <c r="KD633" i="1"/>
  <c r="JZ634" i="1"/>
  <c r="KH660" i="1"/>
  <c r="KP667" i="1"/>
  <c r="JZ678" i="1"/>
  <c r="KP678" i="1"/>
  <c r="JZ679" i="1"/>
  <c r="KD681" i="1"/>
  <c r="KH684" i="1"/>
  <c r="KL686" i="1"/>
  <c r="KD687" i="1"/>
  <c r="KL688" i="1"/>
  <c r="KL691" i="1"/>
  <c r="KP698" i="1"/>
  <c r="KP718" i="1"/>
  <c r="KP732" i="1"/>
  <c r="JZ746" i="1"/>
  <c r="KL749" i="1"/>
  <c r="KD775" i="1"/>
  <c r="KL775" i="1"/>
  <c r="KH789" i="1"/>
  <c r="KD284" i="1"/>
  <c r="KD289" i="1"/>
  <c r="KL289" i="1"/>
  <c r="JZ312" i="1"/>
  <c r="KH314" i="1"/>
  <c r="JZ316" i="1"/>
  <c r="KH316" i="1"/>
  <c r="KP316" i="1"/>
  <c r="KL335" i="1"/>
  <c r="KD336" i="1"/>
  <c r="JZ339" i="1"/>
  <c r="KD375" i="1"/>
  <c r="JZ474" i="1"/>
  <c r="KL474" i="1"/>
  <c r="KL478" i="1"/>
  <c r="KL481" i="1"/>
  <c r="JZ482" i="1"/>
  <c r="KP497" i="1"/>
  <c r="KD506" i="1"/>
  <c r="KH508" i="1"/>
  <c r="KL547" i="1"/>
  <c r="KD590" i="1"/>
  <c r="KL590" i="1"/>
  <c r="KH597" i="1"/>
  <c r="KH601" i="1"/>
  <c r="KD604" i="1"/>
  <c r="KP610" i="1"/>
  <c r="KL614" i="1"/>
  <c r="KH618" i="1"/>
  <c r="KP626" i="1"/>
  <c r="JZ636" i="1"/>
  <c r="KH636" i="1"/>
  <c r="KL687" i="1"/>
  <c r="KH695" i="1"/>
  <c r="JZ899" i="1"/>
  <c r="KL692" i="1"/>
  <c r="KD696" i="1"/>
  <c r="KD698" i="1"/>
  <c r="KH699" i="1"/>
  <c r="JZ700" i="1"/>
  <c r="KP702" i="1"/>
  <c r="KH703" i="1"/>
  <c r="JZ706" i="1"/>
  <c r="KH706" i="1"/>
  <c r="KH709" i="1"/>
  <c r="KL711" i="1"/>
  <c r="KD715" i="1"/>
  <c r="KD717" i="1"/>
  <c r="JZ722" i="1"/>
  <c r="KP722" i="1"/>
  <c r="KH723" i="1"/>
  <c r="KP726" i="1"/>
  <c r="JZ728" i="1"/>
  <c r="KH728" i="1"/>
  <c r="KD731" i="1"/>
  <c r="KL733" i="1"/>
  <c r="KL735" i="1"/>
  <c r="KD737" i="1"/>
  <c r="KP741" i="1"/>
  <c r="KL743" i="1"/>
  <c r="KL744" i="1"/>
  <c r="KL747" i="1"/>
  <c r="KH751" i="1"/>
  <c r="KH752" i="1"/>
  <c r="KD758" i="1"/>
  <c r="KL761" i="1"/>
  <c r="JZ765" i="1"/>
  <c r="KH765" i="1"/>
  <c r="KP765" i="1"/>
  <c r="KH767" i="1"/>
  <c r="KP767" i="1"/>
  <c r="JZ770" i="1"/>
  <c r="KH774" i="1"/>
  <c r="KP777" i="1"/>
  <c r="KD781" i="1"/>
  <c r="KH782" i="1"/>
  <c r="KD785" i="1"/>
  <c r="KP785" i="1"/>
  <c r="KD786" i="1"/>
  <c r="KD788" i="1"/>
  <c r="JZ792" i="1"/>
  <c r="KL793" i="1"/>
  <c r="KH796" i="1"/>
  <c r="JZ798" i="1"/>
  <c r="JZ801" i="1"/>
  <c r="JZ804" i="1"/>
  <c r="KD806" i="1"/>
  <c r="KH809" i="1"/>
  <c r="JZ810" i="1"/>
  <c r="KD812" i="1"/>
  <c r="KL812" i="1"/>
  <c r="KD813" i="1"/>
  <c r="JZ815" i="1"/>
  <c r="KL815" i="1"/>
  <c r="KD822" i="1"/>
  <c r="JZ824" i="1"/>
  <c r="KD829" i="1"/>
  <c r="KH832" i="1"/>
  <c r="KP833" i="1"/>
  <c r="KH837" i="1"/>
  <c r="KD849" i="1"/>
  <c r="KL849" i="1"/>
  <c r="KD853" i="1"/>
  <c r="KL853" i="1"/>
  <c r="KD857" i="1"/>
  <c r="KL857" i="1"/>
  <c r="KD861" i="1"/>
  <c r="KL861" i="1"/>
  <c r="KD865" i="1"/>
  <c r="KL865" i="1"/>
  <c r="KD869" i="1"/>
  <c r="KL869" i="1"/>
  <c r="KD873" i="1"/>
  <c r="KL873" i="1"/>
  <c r="KD875" i="1"/>
  <c r="KH876" i="1"/>
  <c r="KL877" i="1"/>
  <c r="JZ880" i="1"/>
  <c r="KL880" i="1"/>
  <c r="KD881" i="1"/>
  <c r="KD882" i="1"/>
  <c r="KL882" i="1"/>
  <c r="KP884" i="1"/>
  <c r="KL887" i="1"/>
  <c r="KD888" i="1"/>
  <c r="KD891" i="1"/>
  <c r="KP894" i="1"/>
  <c r="JZ896" i="1"/>
  <c r="JZ897" i="1"/>
  <c r="KH897" i="1"/>
  <c r="KP897" i="1"/>
  <c r="JZ900" i="1"/>
  <c r="JZ901" i="1"/>
  <c r="KH901" i="1"/>
  <c r="KP901" i="1"/>
  <c r="KH902" i="1"/>
  <c r="JZ906" i="1"/>
  <c r="KP908" i="1"/>
  <c r="KD909" i="1"/>
  <c r="KL909" i="1"/>
  <c r="KH912" i="1"/>
  <c r="KP914" i="1"/>
  <c r="JZ916" i="1"/>
  <c r="JZ917" i="1"/>
  <c r="KH917" i="1"/>
  <c r="KP917" i="1"/>
  <c r="KH918" i="1"/>
  <c r="JZ922" i="1"/>
  <c r="KP924" i="1"/>
  <c r="KD925" i="1"/>
  <c r="KL925" i="1"/>
  <c r="KL928" i="1"/>
  <c r="KL930" i="1"/>
  <c r="KD932" i="1"/>
  <c r="KD935" i="1"/>
  <c r="KH936" i="1"/>
  <c r="KL937" i="1"/>
  <c r="JZ943" i="1"/>
  <c r="JZ947" i="1"/>
  <c r="KH949" i="1"/>
  <c r="KP949" i="1"/>
  <c r="KP950" i="1"/>
  <c r="KL702" i="1"/>
  <c r="JZ704" i="1"/>
  <c r="KP706" i="1"/>
  <c r="JZ708" i="1"/>
  <c r="KH708" i="1"/>
  <c r="KH713" i="1"/>
  <c r="JZ714" i="1"/>
  <c r="KL714" i="1"/>
  <c r="JZ724" i="1"/>
  <c r="KP724" i="1"/>
  <c r="KL726" i="1"/>
  <c r="KD727" i="1"/>
  <c r="KP728" i="1"/>
  <c r="KH735" i="1"/>
  <c r="JZ736" i="1"/>
  <c r="KL737" i="1"/>
  <c r="JZ739" i="1"/>
  <c r="KL740" i="1"/>
  <c r="KD741" i="1"/>
  <c r="KH744" i="1"/>
  <c r="KL745" i="1"/>
  <c r="KH746" i="1"/>
  <c r="JZ749" i="1"/>
  <c r="KL750" i="1"/>
  <c r="KD752" i="1"/>
  <c r="KH753" i="1"/>
  <c r="KH754" i="1"/>
  <c r="KP754" i="1"/>
  <c r="KD756" i="1"/>
  <c r="KL756" i="1"/>
  <c r="JZ763" i="1"/>
  <c r="KH763" i="1"/>
  <c r="KP763" i="1"/>
  <c r="KH769" i="1"/>
  <c r="KP770" i="1"/>
  <c r="KL773" i="1"/>
  <c r="KD776" i="1"/>
  <c r="KD778" i="1"/>
  <c r="KL778" i="1"/>
  <c r="KH784" i="1"/>
  <c r="KP789" i="1"/>
  <c r="KH790" i="1"/>
  <c r="KP792" i="1"/>
  <c r="JZ794" i="1"/>
  <c r="KD797" i="1"/>
  <c r="KP798" i="1"/>
  <c r="KH802" i="1"/>
  <c r="KP804" i="1"/>
  <c r="JZ805" i="1"/>
  <c r="KL805" i="1"/>
  <c r="JZ808" i="1"/>
  <c r="KP810" i="1"/>
  <c r="JZ816" i="1"/>
  <c r="KH816" i="1"/>
  <c r="KP816" i="1"/>
  <c r="KH819" i="1"/>
  <c r="KD821" i="1"/>
  <c r="KP824" i="1"/>
  <c r="JZ826" i="1"/>
  <c r="KD828" i="1"/>
  <c r="KD830" i="1"/>
  <c r="KD833" i="1"/>
  <c r="JZ838" i="1"/>
  <c r="KH838" i="1"/>
  <c r="KP838" i="1"/>
  <c r="KD840" i="1"/>
  <c r="KL840" i="1"/>
  <c r="JZ842" i="1"/>
  <c r="KH842" i="1"/>
  <c r="KP842" i="1"/>
  <c r="KD844" i="1"/>
  <c r="KL844" i="1"/>
  <c r="JZ846" i="1"/>
  <c r="KH846" i="1"/>
  <c r="KP846" i="1"/>
  <c r="KL875" i="1"/>
  <c r="KD876" i="1"/>
  <c r="KD879" i="1"/>
  <c r="KH880" i="1"/>
  <c r="KL881" i="1"/>
  <c r="JZ884" i="1"/>
  <c r="KL884" i="1"/>
  <c r="KD885" i="1"/>
  <c r="KP888" i="1"/>
  <c r="KL891" i="1"/>
  <c r="JZ892" i="1"/>
  <c r="KD893" i="1"/>
  <c r="KL893" i="1"/>
  <c r="KH896" i="1"/>
  <c r="KH900" i="1"/>
  <c r="KP902" i="1"/>
  <c r="JZ904" i="1"/>
  <c r="JZ905" i="1"/>
  <c r="KH905" i="1"/>
  <c r="KP905" i="1"/>
  <c r="KH906" i="1"/>
  <c r="JZ910" i="1"/>
  <c r="KP912" i="1"/>
  <c r="KD913" i="1"/>
  <c r="KL913" i="1"/>
  <c r="KH916" i="1"/>
  <c r="KP918" i="1"/>
  <c r="JZ920" i="1"/>
  <c r="JZ921" i="1"/>
  <c r="KH921" i="1"/>
  <c r="KP921" i="1"/>
  <c r="KH922" i="1"/>
  <c r="JZ929" i="1"/>
  <c r="KD931" i="1"/>
  <c r="KP932" i="1"/>
  <c r="KL935" i="1"/>
  <c r="KD936" i="1"/>
  <c r="KD940" i="1"/>
  <c r="KD942" i="1"/>
  <c r="KL942" i="1"/>
  <c r="KH943" i="1"/>
  <c r="JZ945" i="1"/>
  <c r="JZ946" i="1"/>
  <c r="KH946" i="1"/>
  <c r="KP946" i="1"/>
  <c r="KH947" i="1"/>
  <c r="KH710" i="1"/>
  <c r="KH720" i="1"/>
  <c r="KD722" i="1"/>
  <c r="KL722" i="1"/>
  <c r="KL728" i="1"/>
  <c r="KH749" i="1"/>
  <c r="KP751" i="1"/>
  <c r="KP769" i="1"/>
  <c r="KP781" i="1"/>
  <c r="KD784" i="1"/>
  <c r="JZ785" i="1"/>
  <c r="JZ788" i="1"/>
  <c r="KD790" i="1"/>
  <c r="KD792" i="1"/>
  <c r="KH793" i="1"/>
  <c r="KP794" i="1"/>
  <c r="KL798" i="1"/>
  <c r="KL800" i="1"/>
  <c r="KD801" i="1"/>
  <c r="KP801" i="1"/>
  <c r="KD802" i="1"/>
  <c r="KD804" i="1"/>
  <c r="KP808" i="1"/>
  <c r="KL809" i="1"/>
  <c r="KD810" i="1"/>
  <c r="KP815" i="1"/>
  <c r="JZ822" i="1"/>
  <c r="KH822" i="1"/>
  <c r="KD824" i="1"/>
  <c r="KP825" i="1"/>
  <c r="KP826" i="1"/>
  <c r="KL830" i="1"/>
  <c r="JZ831" i="1"/>
  <c r="KH831" i="1"/>
  <c r="KP831" i="1"/>
  <c r="KL832" i="1"/>
  <c r="JZ835" i="1"/>
  <c r="KH836" i="1"/>
  <c r="KL895" i="1"/>
  <c r="KL899" i="1"/>
  <c r="KP903" i="1"/>
  <c r="KH911" i="1"/>
  <c r="KL915" i="1"/>
  <c r="KP919" i="1"/>
  <c r="KH928" i="1"/>
  <c r="KL950" i="1"/>
  <c r="A71" i="20"/>
  <c r="C138" i="20"/>
  <c r="E138" i="20"/>
  <c r="Z529" i="15"/>
  <c r="AB529" i="15"/>
  <c r="E145" i="20"/>
  <c r="Z211" i="16"/>
  <c r="AB211" i="16"/>
  <c r="JZ2" i="1"/>
  <c r="KP2" i="1"/>
  <c r="KH3" i="1"/>
  <c r="JZ4" i="1"/>
  <c r="KH4" i="1"/>
  <c r="KP4" i="1"/>
  <c r="KD5" i="1"/>
  <c r="KL7" i="1"/>
  <c r="KD10" i="1"/>
  <c r="JZ12" i="1"/>
  <c r="KP12" i="1"/>
  <c r="KD13" i="1"/>
  <c r="KL13" i="1"/>
  <c r="KH14" i="1"/>
  <c r="JZ16" i="1"/>
  <c r="KP16" i="1"/>
  <c r="KD17" i="1"/>
  <c r="KL17" i="1"/>
  <c r="JZ18" i="1"/>
  <c r="KP18" i="1"/>
  <c r="JZ20" i="1"/>
  <c r="KP20" i="1"/>
  <c r="KD21" i="1"/>
  <c r="KL21" i="1"/>
  <c r="KH22" i="1"/>
  <c r="KD23" i="1"/>
  <c r="KD25" i="1"/>
  <c r="KL27" i="1"/>
  <c r="KH28" i="1"/>
  <c r="JZ30" i="1"/>
  <c r="KP30" i="1"/>
  <c r="KL31" i="1"/>
  <c r="KD33" i="1"/>
  <c r="KL33" i="1"/>
  <c r="KL34" i="1"/>
  <c r="KL35" i="1"/>
  <c r="KL36" i="1"/>
  <c r="KH37" i="1"/>
  <c r="KD38" i="1"/>
  <c r="KL38" i="1"/>
  <c r="KH39" i="1"/>
  <c r="KD40" i="1"/>
  <c r="KD42" i="1"/>
  <c r="KL44" i="1"/>
  <c r="JZ47" i="1"/>
  <c r="KH47" i="1"/>
  <c r="KP47" i="1"/>
  <c r="KD48" i="1"/>
  <c r="JZ49" i="1"/>
  <c r="KP49" i="1"/>
  <c r="KD50" i="1"/>
  <c r="JZ51" i="1"/>
  <c r="KP51" i="1"/>
  <c r="JZ52" i="1"/>
  <c r="KH52" i="1"/>
  <c r="KP52" i="1"/>
  <c r="JZ53" i="1"/>
  <c r="KP53" i="1"/>
  <c r="KH55" i="1"/>
  <c r="JZ56" i="1"/>
  <c r="KH56" i="1"/>
  <c r="KP56" i="1"/>
  <c r="JZ57" i="1"/>
  <c r="KP57" i="1"/>
  <c r="KH58" i="1"/>
  <c r="KD64" i="1"/>
  <c r="JZ67" i="1"/>
  <c r="KP67" i="1"/>
  <c r="JZ69" i="1"/>
  <c r="KH69" i="1"/>
  <c r="KP69" i="1"/>
  <c r="KH72" i="1"/>
  <c r="JZ73" i="1"/>
  <c r="KH73" i="1"/>
  <c r="KP73" i="1"/>
  <c r="KL77" i="1"/>
  <c r="KD79" i="1"/>
  <c r="JZ82" i="1"/>
  <c r="KP82" i="1"/>
  <c r="KH84" i="1"/>
  <c r="JZ86" i="1"/>
  <c r="KP86" i="1"/>
  <c r="KH88" i="1"/>
  <c r="JZ90" i="1"/>
  <c r="KP90" i="1"/>
  <c r="KH92" i="1"/>
  <c r="JZ94" i="1"/>
  <c r="KP94" i="1"/>
  <c r="KD96" i="1"/>
  <c r="JZ97" i="1"/>
  <c r="KH97" i="1"/>
  <c r="KP97" i="1"/>
  <c r="JZ98" i="1"/>
  <c r="KP98" i="1"/>
  <c r="JZ101" i="1"/>
  <c r="KP101" i="1"/>
  <c r="KD103" i="1"/>
  <c r="JZ104" i="1"/>
  <c r="KH104" i="1"/>
  <c r="KP104" i="1"/>
  <c r="JZ105" i="1"/>
  <c r="KP105" i="1"/>
  <c r="KD107" i="1"/>
  <c r="JZ108" i="1"/>
  <c r="KH108" i="1"/>
  <c r="KP108" i="1"/>
  <c r="JZ109" i="1"/>
  <c r="KP109" i="1"/>
  <c r="JZ111" i="1"/>
  <c r="KP111" i="1"/>
  <c r="JZ112" i="1"/>
  <c r="KH112" i="1"/>
  <c r="KP112" i="1"/>
  <c r="JZ113" i="1"/>
  <c r="KP113" i="1"/>
  <c r="KH115" i="1"/>
  <c r="KD144" i="1"/>
  <c r="JZ19" i="1"/>
  <c r="KD19" i="1"/>
  <c r="KH19" i="1"/>
  <c r="KL19" i="1"/>
  <c r="KP19" i="1"/>
  <c r="KD119" i="1"/>
  <c r="KL121" i="1"/>
  <c r="KD123" i="1"/>
  <c r="KL125" i="1"/>
  <c r="KD127" i="1"/>
  <c r="KL129" i="1"/>
  <c r="KD131" i="1"/>
  <c r="KL133" i="1"/>
  <c r="KD135" i="1"/>
  <c r="KL137" i="1"/>
  <c r="KD141" i="1"/>
  <c r="KD231" i="1"/>
  <c r="KL231" i="1"/>
  <c r="KH2" i="1"/>
  <c r="JZ3" i="1"/>
  <c r="KP3" i="1"/>
  <c r="KD4" i="1"/>
  <c r="KL4" i="1"/>
  <c r="KL5" i="1"/>
  <c r="KD7" i="1"/>
  <c r="KL10" i="1"/>
  <c r="KH12" i="1"/>
  <c r="JZ13" i="1"/>
  <c r="KH13" i="1"/>
  <c r="KP13" i="1"/>
  <c r="JZ14" i="1"/>
  <c r="KP14" i="1"/>
  <c r="KH16" i="1"/>
  <c r="JZ17" i="1"/>
  <c r="KH17" i="1"/>
  <c r="KP17" i="1"/>
  <c r="KH18" i="1"/>
  <c r="KH20" i="1"/>
  <c r="JZ21" i="1"/>
  <c r="KH21" i="1"/>
  <c r="KP21" i="1"/>
  <c r="JZ22" i="1"/>
  <c r="KP22" i="1"/>
  <c r="KL23" i="1"/>
  <c r="KL25" i="1"/>
  <c r="KD27" i="1"/>
  <c r="JZ28" i="1"/>
  <c r="KP28" i="1"/>
  <c r="KH30" i="1"/>
  <c r="KD31" i="1"/>
  <c r="JZ33" i="1"/>
  <c r="KH33" i="1"/>
  <c r="KP33" i="1"/>
  <c r="KD34" i="1"/>
  <c r="KD35" i="1"/>
  <c r="KD36" i="1"/>
  <c r="JZ37" i="1"/>
  <c r="KP37" i="1"/>
  <c r="JZ38" i="1"/>
  <c r="KH38" i="1"/>
  <c r="KP38" i="1"/>
  <c r="JZ39" i="1"/>
  <c r="KP39" i="1"/>
  <c r="KL40" i="1"/>
  <c r="KL42" i="1"/>
  <c r="KD44" i="1"/>
  <c r="KD47" i="1"/>
  <c r="KL47" i="1"/>
  <c r="KL48" i="1"/>
  <c r="KH49" i="1"/>
  <c r="KL50" i="1"/>
  <c r="KH51" i="1"/>
  <c r="KD52" i="1"/>
  <c r="KL52" i="1"/>
  <c r="KH53" i="1"/>
  <c r="JZ55" i="1"/>
  <c r="KP55" i="1"/>
  <c r="KD56" i="1"/>
  <c r="KL56" i="1"/>
  <c r="KH57" i="1"/>
  <c r="JZ58" i="1"/>
  <c r="KP58" i="1"/>
  <c r="KL64" i="1"/>
  <c r="KH67" i="1"/>
  <c r="KD78" i="1"/>
  <c r="KL78" i="1"/>
  <c r="KL79" i="1"/>
  <c r="KD81" i="1"/>
  <c r="KL81" i="1"/>
  <c r="KH82" i="1"/>
  <c r="JZ84" i="1"/>
  <c r="KP84" i="1"/>
  <c r="KD85" i="1"/>
  <c r="KL85" i="1"/>
  <c r="KH86" i="1"/>
  <c r="JZ88" i="1"/>
  <c r="KP88" i="1"/>
  <c r="KD89" i="1"/>
  <c r="KL89" i="1"/>
  <c r="KH90" i="1"/>
  <c r="JZ92" i="1"/>
  <c r="KP92" i="1"/>
  <c r="KD93" i="1"/>
  <c r="KL93" i="1"/>
  <c r="KH94" i="1"/>
  <c r="KL96" i="1"/>
  <c r="KD97" i="1"/>
  <c r="KL97" i="1"/>
  <c r="KH98" i="1"/>
  <c r="KH101" i="1"/>
  <c r="KL103" i="1"/>
  <c r="KD104" i="1"/>
  <c r="KL104" i="1"/>
  <c r="KH105" i="1"/>
  <c r="KL107" i="1"/>
  <c r="KD108" i="1"/>
  <c r="KL108" i="1"/>
  <c r="KH109" i="1"/>
  <c r="KH111" i="1"/>
  <c r="KD112" i="1"/>
  <c r="KL112" i="1"/>
  <c r="KH113" i="1"/>
  <c r="JZ115" i="1"/>
  <c r="KP115" i="1"/>
  <c r="KH117" i="1"/>
  <c r="JZ141" i="1"/>
  <c r="KP141" i="1"/>
  <c r="KD181" i="1"/>
  <c r="JZ185" i="1"/>
  <c r="KD117" i="1"/>
  <c r="KL119" i="1"/>
  <c r="KD121" i="1"/>
  <c r="KL123" i="1"/>
  <c r="KD125" i="1"/>
  <c r="KL127" i="1"/>
  <c r="KD129" i="1"/>
  <c r="KL131" i="1"/>
  <c r="KD133" i="1"/>
  <c r="KL135" i="1"/>
  <c r="KD137" i="1"/>
  <c r="JZ138" i="1"/>
  <c r="KH144" i="1"/>
  <c r="KP185" i="1"/>
  <c r="KL189" i="1"/>
  <c r="JZ231" i="1"/>
  <c r="KH231" i="1"/>
  <c r="KP231" i="1"/>
  <c r="KH139" i="1"/>
  <c r="KP139" i="1"/>
  <c r="KD142" i="1"/>
  <c r="JZ162" i="1"/>
  <c r="KH162" i="1"/>
  <c r="KP162" i="1"/>
  <c r="KD163" i="1"/>
  <c r="KL163" i="1"/>
  <c r="JZ165" i="1"/>
  <c r="KP165" i="1"/>
  <c r="KD166" i="1"/>
  <c r="KL166" i="1"/>
  <c r="KH145" i="1"/>
  <c r="JZ147" i="1"/>
  <c r="KH147" i="1"/>
  <c r="KP147" i="1"/>
  <c r="KH149" i="1"/>
  <c r="JZ150" i="1"/>
  <c r="KH150" i="1"/>
  <c r="KP150" i="1"/>
  <c r="JZ151" i="1"/>
  <c r="KP151" i="1"/>
  <c r="KH153" i="1"/>
  <c r="JZ154" i="1"/>
  <c r="KH154" i="1"/>
  <c r="KP154" i="1"/>
  <c r="JZ155" i="1"/>
  <c r="KP155" i="1"/>
  <c r="KH156" i="1"/>
  <c r="KH158" i="1"/>
  <c r="JZ159" i="1"/>
  <c r="KH159" i="1"/>
  <c r="KP159" i="1"/>
  <c r="JZ160" i="1"/>
  <c r="KP160" i="1"/>
  <c r="KH167" i="1"/>
  <c r="JZ168" i="1"/>
  <c r="KH168" i="1"/>
  <c r="KP168" i="1"/>
  <c r="JZ169" i="1"/>
  <c r="KP169" i="1"/>
  <c r="KH171" i="1"/>
  <c r="KD172" i="1"/>
  <c r="KL174" i="1"/>
  <c r="KD176" i="1"/>
  <c r="KL178" i="1"/>
  <c r="KD180" i="1"/>
  <c r="KH182" i="1"/>
  <c r="JZ183" i="1"/>
  <c r="KH183" i="1"/>
  <c r="KP183" i="1"/>
  <c r="KD184" i="1"/>
  <c r="KD186" i="1"/>
  <c r="JZ188" i="1"/>
  <c r="KP188" i="1"/>
  <c r="JZ190" i="1"/>
  <c r="KP190" i="1"/>
  <c r="KD191" i="1"/>
  <c r="KL191" i="1"/>
  <c r="KL192" i="1"/>
  <c r="KD194" i="1"/>
  <c r="KL194" i="1"/>
  <c r="KD198" i="1"/>
  <c r="KL198" i="1"/>
  <c r="JZ202" i="1"/>
  <c r="KH202" i="1"/>
  <c r="KP202" i="1"/>
  <c r="KD205" i="1"/>
  <c r="KL205" i="1"/>
  <c r="JZ206" i="1"/>
  <c r="KH206" i="1"/>
  <c r="KP206" i="1"/>
  <c r="KD209" i="1"/>
  <c r="KL209" i="1"/>
  <c r="JZ210" i="1"/>
  <c r="KH210" i="1"/>
  <c r="KP210" i="1"/>
  <c r="KD213" i="1"/>
  <c r="KL213" i="1"/>
  <c r="JZ214" i="1"/>
  <c r="KH214" i="1"/>
  <c r="KP214" i="1"/>
  <c r="KD217" i="1"/>
  <c r="KL217" i="1"/>
  <c r="JZ218" i="1"/>
  <c r="KH218" i="1"/>
  <c r="KP218" i="1"/>
  <c r="KD221" i="1"/>
  <c r="KL221" i="1"/>
  <c r="JZ222" i="1"/>
  <c r="KH222" i="1"/>
  <c r="KP222" i="1"/>
  <c r="JZ223" i="1"/>
  <c r="KP223" i="1"/>
  <c r="KH225" i="1"/>
  <c r="JZ226" i="1"/>
  <c r="KH226" i="1"/>
  <c r="KP226" i="1"/>
  <c r="JZ227" i="1"/>
  <c r="KP227" i="1"/>
  <c r="KH229" i="1"/>
  <c r="JZ230" i="1"/>
  <c r="KH230" i="1"/>
  <c r="KP230" i="1"/>
  <c r="KH232" i="1"/>
  <c r="JZ233" i="1"/>
  <c r="KH233" i="1"/>
  <c r="KP233" i="1"/>
  <c r="JZ234" i="1"/>
  <c r="KP234" i="1"/>
  <c r="KH236" i="1"/>
  <c r="JZ237" i="1"/>
  <c r="KH237" i="1"/>
  <c r="KP237" i="1"/>
  <c r="JZ238" i="1"/>
  <c r="KP238" i="1"/>
  <c r="KH240" i="1"/>
  <c r="KL241" i="1"/>
  <c r="JZ242" i="1"/>
  <c r="KH242" i="1"/>
  <c r="KP242" i="1"/>
  <c r="JZ243" i="1"/>
  <c r="KP243" i="1"/>
  <c r="KD245" i="1"/>
  <c r="JZ246" i="1"/>
  <c r="KH246" i="1"/>
  <c r="KP246" i="1"/>
  <c r="JZ247" i="1"/>
  <c r="KP247" i="1"/>
  <c r="KH249" i="1"/>
  <c r="JZ250" i="1"/>
  <c r="KH250" i="1"/>
  <c r="KP250" i="1"/>
  <c r="KH251" i="1"/>
  <c r="KL253" i="1"/>
  <c r="KD255" i="1"/>
  <c r="KL257" i="1"/>
  <c r="KD259" i="1"/>
  <c r="JZ261" i="1"/>
  <c r="KH261" i="1"/>
  <c r="KP261" i="1"/>
  <c r="KH262" i="1"/>
  <c r="JZ264" i="1"/>
  <c r="KP264" i="1"/>
  <c r="KD265" i="1"/>
  <c r="KL265" i="1"/>
  <c r="KH266" i="1"/>
  <c r="JZ268" i="1"/>
  <c r="KP268" i="1"/>
  <c r="KD269" i="1"/>
  <c r="KL269" i="1"/>
  <c r="KH270" i="1"/>
  <c r="JZ272" i="1"/>
  <c r="KP272" i="1"/>
  <c r="KD273" i="1"/>
  <c r="KL273" i="1"/>
  <c r="KH274" i="1"/>
  <c r="JZ276" i="1"/>
  <c r="KP276" i="1"/>
  <c r="KD277" i="1"/>
  <c r="KL277" i="1"/>
  <c r="KH278" i="1"/>
  <c r="JZ280" i="1"/>
  <c r="KP280" i="1"/>
  <c r="KD281" i="1"/>
  <c r="KL281" i="1"/>
  <c r="KH282" i="1"/>
  <c r="JZ284" i="1"/>
  <c r="KP288" i="1"/>
  <c r="JZ254" i="1"/>
  <c r="KD254" i="1"/>
  <c r="KH254" i="1"/>
  <c r="KL254" i="1"/>
  <c r="KP254" i="1"/>
  <c r="JZ258" i="1"/>
  <c r="KD258" i="1"/>
  <c r="KH258" i="1"/>
  <c r="KL258" i="1"/>
  <c r="KP258" i="1"/>
  <c r="JZ336" i="1"/>
  <c r="JZ350" i="1"/>
  <c r="KH138" i="1"/>
  <c r="KD139" i="1"/>
  <c r="KL139" i="1"/>
  <c r="KL142" i="1"/>
  <c r="KD162" i="1"/>
  <c r="KL162" i="1"/>
  <c r="JZ163" i="1"/>
  <c r="KH163" i="1"/>
  <c r="KP163" i="1"/>
  <c r="KH165" i="1"/>
  <c r="JZ166" i="1"/>
  <c r="KH166" i="1"/>
  <c r="KP166" i="1"/>
  <c r="JZ145" i="1"/>
  <c r="KP145" i="1"/>
  <c r="KD147" i="1"/>
  <c r="KL147" i="1"/>
  <c r="JZ149" i="1"/>
  <c r="KP149" i="1"/>
  <c r="KD150" i="1"/>
  <c r="KL150" i="1"/>
  <c r="KH151" i="1"/>
  <c r="JZ153" i="1"/>
  <c r="KP153" i="1"/>
  <c r="KD154" i="1"/>
  <c r="KL154" i="1"/>
  <c r="KH155" i="1"/>
  <c r="JZ156" i="1"/>
  <c r="KP156" i="1"/>
  <c r="JZ158" i="1"/>
  <c r="KP158" i="1"/>
  <c r="KD159" i="1"/>
  <c r="KL159" i="1"/>
  <c r="KH160" i="1"/>
  <c r="JZ167" i="1"/>
  <c r="KP167" i="1"/>
  <c r="KD168" i="1"/>
  <c r="KL168" i="1"/>
  <c r="KH169" i="1"/>
  <c r="JZ171" i="1"/>
  <c r="KP171" i="1"/>
  <c r="KL172" i="1"/>
  <c r="KD174" i="1"/>
  <c r="KL176" i="1"/>
  <c r="KD178" i="1"/>
  <c r="KL180" i="1"/>
  <c r="JZ182" i="1"/>
  <c r="KP182" i="1"/>
  <c r="KD183" i="1"/>
  <c r="KL183" i="1"/>
  <c r="KL184" i="1"/>
  <c r="KL186" i="1"/>
  <c r="KH188" i="1"/>
  <c r="KH190" i="1"/>
  <c r="JZ191" i="1"/>
  <c r="KH191" i="1"/>
  <c r="KP191" i="1"/>
  <c r="KD192" i="1"/>
  <c r="JZ194" i="1"/>
  <c r="KH194" i="1"/>
  <c r="KP194" i="1"/>
  <c r="JZ198" i="1"/>
  <c r="KH198" i="1"/>
  <c r="KP198" i="1"/>
  <c r="KD202" i="1"/>
  <c r="KL202" i="1"/>
  <c r="JZ205" i="1"/>
  <c r="KH205" i="1"/>
  <c r="KP205" i="1"/>
  <c r="KD206" i="1"/>
  <c r="KL206" i="1"/>
  <c r="JZ209" i="1"/>
  <c r="KH209" i="1"/>
  <c r="KP209" i="1"/>
  <c r="KD210" i="1"/>
  <c r="KL210" i="1"/>
  <c r="JZ213" i="1"/>
  <c r="KH213" i="1"/>
  <c r="KP213" i="1"/>
  <c r="KD214" i="1"/>
  <c r="KL214" i="1"/>
  <c r="JZ217" i="1"/>
  <c r="KH217" i="1"/>
  <c r="KP217" i="1"/>
  <c r="KD218" i="1"/>
  <c r="KL218" i="1"/>
  <c r="JZ221" i="1"/>
  <c r="KH221" i="1"/>
  <c r="KP221" i="1"/>
  <c r="KD222" i="1"/>
  <c r="KL222" i="1"/>
  <c r="KH223" i="1"/>
  <c r="JZ225" i="1"/>
  <c r="KP225" i="1"/>
  <c r="KD226" i="1"/>
  <c r="KL226" i="1"/>
  <c r="KH227" i="1"/>
  <c r="JZ229" i="1"/>
  <c r="KP229" i="1"/>
  <c r="KD230" i="1"/>
  <c r="KL230" i="1"/>
  <c r="JZ232" i="1"/>
  <c r="KP232" i="1"/>
  <c r="KD233" i="1"/>
  <c r="KL233" i="1"/>
  <c r="KH234" i="1"/>
  <c r="JZ236" i="1"/>
  <c r="KP236" i="1"/>
  <c r="KD237" i="1"/>
  <c r="KL237" i="1"/>
  <c r="KH238" i="1"/>
  <c r="JZ240" i="1"/>
  <c r="KP240" i="1"/>
  <c r="KD241" i="1"/>
  <c r="KD242" i="1"/>
  <c r="KL242" i="1"/>
  <c r="KH243" i="1"/>
  <c r="KL245" i="1"/>
  <c r="KD246" i="1"/>
  <c r="KL246" i="1"/>
  <c r="KH247" i="1"/>
  <c r="JZ249" i="1"/>
  <c r="KP249" i="1"/>
  <c r="KD250" i="1"/>
  <c r="KL250" i="1"/>
  <c r="JZ251" i="1"/>
  <c r="KP251" i="1"/>
  <c r="KD253" i="1"/>
  <c r="KL255" i="1"/>
  <c r="KD257" i="1"/>
  <c r="KL259" i="1"/>
  <c r="KD261" i="1"/>
  <c r="KL261" i="1"/>
  <c r="JZ262" i="1"/>
  <c r="KP262" i="1"/>
  <c r="KH264" i="1"/>
  <c r="JZ265" i="1"/>
  <c r="KH265" i="1"/>
  <c r="KP265" i="1"/>
  <c r="JZ266" i="1"/>
  <c r="KP266" i="1"/>
  <c r="KH268" i="1"/>
  <c r="JZ269" i="1"/>
  <c r="KH269" i="1"/>
  <c r="KP269" i="1"/>
  <c r="JZ270" i="1"/>
  <c r="KP270" i="1"/>
  <c r="KH272" i="1"/>
  <c r="JZ273" i="1"/>
  <c r="KH273" i="1"/>
  <c r="KP273" i="1"/>
  <c r="JZ274" i="1"/>
  <c r="KP274" i="1"/>
  <c r="KH276" i="1"/>
  <c r="JZ277" i="1"/>
  <c r="KH277" i="1"/>
  <c r="KP277" i="1"/>
  <c r="JZ278" i="1"/>
  <c r="KP278" i="1"/>
  <c r="KH280" i="1"/>
  <c r="JZ281" i="1"/>
  <c r="KH281" i="1"/>
  <c r="KP281" i="1"/>
  <c r="JZ282" i="1"/>
  <c r="KP282" i="1"/>
  <c r="KH284" i="1"/>
  <c r="KH286" i="1"/>
  <c r="JZ288" i="1"/>
  <c r="KH334" i="1"/>
  <c r="KD346" i="1"/>
  <c r="KP350" i="1"/>
  <c r="KP338" i="1"/>
  <c r="KH351" i="1"/>
  <c r="KD353" i="1"/>
  <c r="KH354" i="1"/>
  <c r="KD355" i="1"/>
  <c r="KD357" i="1"/>
  <c r="KL365" i="1"/>
  <c r="KH368" i="1"/>
  <c r="KH375" i="1"/>
  <c r="KD377" i="1"/>
  <c r="KH438" i="1"/>
  <c r="KL440" i="1"/>
  <c r="KH442" i="1"/>
  <c r="KH444" i="1"/>
  <c r="JZ446" i="1"/>
  <c r="KP446" i="1"/>
  <c r="KD448" i="1"/>
  <c r="JZ450" i="1"/>
  <c r="KL454" i="1"/>
  <c r="KL456" i="1"/>
  <c r="KH458" i="1"/>
  <c r="KH460" i="1"/>
  <c r="KD461" i="1"/>
  <c r="KH462" i="1"/>
  <c r="KH463" i="1"/>
  <c r="KD466" i="1"/>
  <c r="KD474" i="1"/>
  <c r="KD478" i="1"/>
  <c r="KL482" i="1"/>
  <c r="KP485" i="1"/>
  <c r="JZ489" i="1"/>
  <c r="KP489" i="1"/>
  <c r="KL493" i="1"/>
  <c r="KD497" i="1"/>
  <c r="KD501" i="1"/>
  <c r="KH505" i="1"/>
  <c r="KH507" i="1"/>
  <c r="KD508" i="1"/>
  <c r="JZ509" i="1"/>
  <c r="KP509" i="1"/>
  <c r="KD511" i="1"/>
  <c r="JZ517" i="1"/>
  <c r="KP517" i="1"/>
  <c r="KH523" i="1"/>
  <c r="KD525" i="1"/>
  <c r="KH527" i="1"/>
  <c r="KD534" i="1"/>
  <c r="JZ535" i="1"/>
  <c r="JZ537" i="1"/>
  <c r="KL540" i="1"/>
  <c r="KH542" i="1"/>
  <c r="KH543" i="1"/>
  <c r="KP597" i="1"/>
  <c r="KD286" i="1"/>
  <c r="KL288" i="1"/>
  <c r="KD290" i="1"/>
  <c r="KL292" i="1"/>
  <c r="JZ293" i="1"/>
  <c r="KP293" i="1"/>
  <c r="KD295" i="1"/>
  <c r="KL297" i="1"/>
  <c r="KD299" i="1"/>
  <c r="KL301" i="1"/>
  <c r="JZ302" i="1"/>
  <c r="KP302" i="1"/>
  <c r="KD304" i="1"/>
  <c r="KL306" i="1"/>
  <c r="KH307" i="1"/>
  <c r="JZ308" i="1"/>
  <c r="KP308" i="1"/>
  <c r="JZ310" i="1"/>
  <c r="KP310" i="1"/>
  <c r="KD311" i="1"/>
  <c r="KL311" i="1"/>
  <c r="KH312" i="1"/>
  <c r="JZ314" i="1"/>
  <c r="KP314" i="1"/>
  <c r="KD315" i="1"/>
  <c r="KL315" i="1"/>
  <c r="KD317" i="1"/>
  <c r="KL319" i="1"/>
  <c r="JZ320" i="1"/>
  <c r="KP320" i="1"/>
  <c r="KD322" i="1"/>
  <c r="KL324" i="1"/>
  <c r="KD326" i="1"/>
  <c r="KL328" i="1"/>
  <c r="KD330" i="1"/>
  <c r="KD331" i="1"/>
  <c r="KP332" i="1"/>
  <c r="KL333" i="1"/>
  <c r="JZ335" i="1"/>
  <c r="KP335" i="1"/>
  <c r="KH337" i="1"/>
  <c r="KL339" i="1"/>
  <c r="KD341" i="1"/>
  <c r="KH343" i="1"/>
  <c r="KD345" i="1"/>
  <c r="KH347" i="1"/>
  <c r="KD349" i="1"/>
  <c r="JZ351" i="1"/>
  <c r="KP351" i="1"/>
  <c r="KL353" i="1"/>
  <c r="KL355" i="1"/>
  <c r="KL357" i="1"/>
  <c r="KH359" i="1"/>
  <c r="KH361" i="1"/>
  <c r="KH363" i="1"/>
  <c r="KD365" i="1"/>
  <c r="JZ368" i="1"/>
  <c r="KP368" i="1"/>
  <c r="JZ370" i="1"/>
  <c r="KP370" i="1"/>
  <c r="KL372" i="1"/>
  <c r="JZ375" i="1"/>
  <c r="KP375" i="1"/>
  <c r="KL377" i="1"/>
  <c r="JZ379" i="1"/>
  <c r="KP379" i="1"/>
  <c r="JZ381" i="1"/>
  <c r="KP381" i="1"/>
  <c r="KL382" i="1"/>
  <c r="JZ384" i="1"/>
  <c r="KP384" i="1"/>
  <c r="KL386" i="1"/>
  <c r="KL388" i="1"/>
  <c r="KH390" i="1"/>
  <c r="KH393" i="1"/>
  <c r="JZ395" i="1"/>
  <c r="KP395" i="1"/>
  <c r="JZ397" i="1"/>
  <c r="KP397" i="1"/>
  <c r="KH399" i="1"/>
  <c r="KL401" i="1"/>
  <c r="KD403" i="1"/>
  <c r="KD405" i="1"/>
  <c r="JZ407" i="1"/>
  <c r="KP407" i="1"/>
  <c r="KD409" i="1"/>
  <c r="KL411" i="1"/>
  <c r="KL413" i="1"/>
  <c r="KH415" i="1"/>
  <c r="KH417" i="1"/>
  <c r="KH419" i="1"/>
  <c r="KH421" i="1"/>
  <c r="KL423" i="1"/>
  <c r="JZ426" i="1"/>
  <c r="KP426" i="1"/>
  <c r="JZ428" i="1"/>
  <c r="KP428" i="1"/>
  <c r="KL430" i="1"/>
  <c r="KH432" i="1"/>
  <c r="KH434" i="1"/>
  <c r="KH436" i="1"/>
  <c r="JZ438" i="1"/>
  <c r="KP438" i="1"/>
  <c r="KD440" i="1"/>
  <c r="JZ442" i="1"/>
  <c r="KP442" i="1"/>
  <c r="JZ444" i="1"/>
  <c r="KP444" i="1"/>
  <c r="KH446" i="1"/>
  <c r="KL448" i="1"/>
  <c r="KH450" i="1"/>
  <c r="KD452" i="1"/>
  <c r="KD454" i="1"/>
  <c r="KD456" i="1"/>
  <c r="JZ458" i="1"/>
  <c r="KP458" i="1"/>
  <c r="JZ460" i="1"/>
  <c r="KP460" i="1"/>
  <c r="KL461" i="1"/>
  <c r="JZ463" i="1"/>
  <c r="KP463" i="1"/>
  <c r="KL465" i="1"/>
  <c r="KL467" i="1"/>
  <c r="KH469" i="1"/>
  <c r="KP471" i="1"/>
  <c r="KH472" i="1"/>
  <c r="KP472" i="1"/>
  <c r="JZ473" i="1"/>
  <c r="KP473" i="1"/>
  <c r="KL480" i="1"/>
  <c r="KL485" i="1"/>
  <c r="KH489" i="1"/>
  <c r="JZ491" i="1"/>
  <c r="KH491" i="1"/>
  <c r="KP491" i="1"/>
  <c r="KD499" i="1"/>
  <c r="KL499" i="1"/>
  <c r="KD502" i="1"/>
  <c r="KL502" i="1"/>
  <c r="JZ505" i="1"/>
  <c r="JZ507" i="1"/>
  <c r="KP507" i="1"/>
  <c r="KL508" i="1"/>
  <c r="KH509" i="1"/>
  <c r="KL511" i="1"/>
  <c r="JZ513" i="1"/>
  <c r="KP513" i="1"/>
  <c r="KD515" i="1"/>
  <c r="KL515" i="1"/>
  <c r="KH520" i="1"/>
  <c r="KL521" i="1"/>
  <c r="JZ523" i="1"/>
  <c r="KP523" i="1"/>
  <c r="KL525" i="1"/>
  <c r="JZ527" i="1"/>
  <c r="KP527" i="1"/>
  <c r="KL529" i="1"/>
  <c r="KL534" i="1"/>
  <c r="KH535" i="1"/>
  <c r="KH537" i="1"/>
  <c r="KD540" i="1"/>
  <c r="JZ542" i="1"/>
  <c r="KP542" i="1"/>
  <c r="KL545" i="1"/>
  <c r="KH547" i="1"/>
  <c r="KD549" i="1"/>
  <c r="JZ551" i="1"/>
  <c r="KP551" i="1"/>
  <c r="KH554" i="1"/>
  <c r="KD556" i="1"/>
  <c r="JZ558" i="1"/>
  <c r="KP558" i="1"/>
  <c r="KL560" i="1"/>
  <c r="JZ286" i="1"/>
  <c r="KH288" i="1"/>
  <c r="KH292" i="1"/>
  <c r="KL293" i="1"/>
  <c r="KH297" i="1"/>
  <c r="JZ299" i="1"/>
  <c r="KH301" i="1"/>
  <c r="KL302" i="1"/>
  <c r="KH306" i="1"/>
  <c r="KL308" i="1"/>
  <c r="KL310" i="1"/>
  <c r="KD312" i="1"/>
  <c r="KH319" i="1"/>
  <c r="KL320" i="1"/>
  <c r="JZ321" i="1"/>
  <c r="KH328" i="1"/>
  <c r="JZ329" i="1"/>
  <c r="KH329" i="1"/>
  <c r="KP329" i="1"/>
  <c r="JZ330" i="1"/>
  <c r="KP330" i="1"/>
  <c r="KD337" i="1"/>
  <c r="JZ341" i="1"/>
  <c r="KD343" i="1"/>
  <c r="JZ349" i="1"/>
  <c r="KH353" i="1"/>
  <c r="KH355" i="1"/>
  <c r="KD359" i="1"/>
  <c r="KD361" i="1"/>
  <c r="KD363" i="1"/>
  <c r="JZ366" i="1"/>
  <c r="KP366" i="1"/>
  <c r="KL368" i="1"/>
  <c r="KL370" i="1"/>
  <c r="KH372" i="1"/>
  <c r="KL379" i="1"/>
  <c r="KL381" i="1"/>
  <c r="KH382" i="1"/>
  <c r="KL384" i="1"/>
  <c r="KH387" i="1"/>
  <c r="KD391" i="1"/>
  <c r="KL395" i="1"/>
  <c r="KL397" i="1"/>
  <c r="KH400" i="1"/>
  <c r="KD404" i="1"/>
  <c r="JZ408" i="1"/>
  <c r="KP408" i="1"/>
  <c r="KH411" i="1"/>
  <c r="KH413" i="1"/>
  <c r="KH416" i="1"/>
  <c r="KD420" i="1"/>
  <c r="KL426" i="1"/>
  <c r="KL428" i="1"/>
  <c r="KH430" i="1"/>
  <c r="KH431" i="1"/>
  <c r="KD434" i="1"/>
  <c r="KD436" i="1"/>
  <c r="KL438" i="1"/>
  <c r="JZ440" i="1"/>
  <c r="KP440" i="1"/>
  <c r="KL442" i="1"/>
  <c r="KL444" i="1"/>
  <c r="KD446" i="1"/>
  <c r="KH448" i="1"/>
  <c r="KD451" i="1"/>
  <c r="JZ455" i="1"/>
  <c r="KP455" i="1"/>
  <c r="KL458" i="1"/>
  <c r="KL460" i="1"/>
  <c r="KH461" i="1"/>
  <c r="KL463" i="1"/>
  <c r="KH465" i="1"/>
  <c r="KH467" i="1"/>
  <c r="KD469" i="1"/>
  <c r="KL473" i="1"/>
  <c r="KH474" i="1"/>
  <c r="KD475" i="1"/>
  <c r="KL475" i="1"/>
  <c r="KD476" i="1"/>
  <c r="KP478" i="1"/>
  <c r="JZ479" i="1"/>
  <c r="KH479" i="1"/>
  <c r="KP479" i="1"/>
  <c r="KD482" i="1"/>
  <c r="KP482" i="1"/>
  <c r="JZ483" i="1"/>
  <c r="KH483" i="1"/>
  <c r="KP483" i="1"/>
  <c r="KH485" i="1"/>
  <c r="KD489" i="1"/>
  <c r="JZ493" i="1"/>
  <c r="KP493" i="1"/>
  <c r="KD495" i="1"/>
  <c r="KL495" i="1"/>
  <c r="KH497" i="1"/>
  <c r="KH501" i="1"/>
  <c r="KL505" i="1"/>
  <c r="KD509" i="1"/>
  <c r="KH511" i="1"/>
  <c r="KL513" i="1"/>
  <c r="KD514" i="1"/>
  <c r="KL514" i="1"/>
  <c r="KD517" i="1"/>
  <c r="KD520" i="1"/>
  <c r="KH521" i="1"/>
  <c r="KH525" i="1"/>
  <c r="KL527" i="1"/>
  <c r="KH529" i="1"/>
  <c r="KH530" i="1"/>
  <c r="KH534" i="1"/>
  <c r="KD535" i="1"/>
  <c r="KD537" i="1"/>
  <c r="JZ540" i="1"/>
  <c r="KL542" i="1"/>
  <c r="KH545" i="1"/>
  <c r="KD547" i="1"/>
  <c r="JZ549" i="1"/>
  <c r="KP549" i="1"/>
  <c r="KL551" i="1"/>
  <c r="KD554" i="1"/>
  <c r="JZ556" i="1"/>
  <c r="KP556" i="1"/>
  <c r="KL558" i="1"/>
  <c r="KH560" i="1"/>
  <c r="JZ597" i="1"/>
  <c r="KH566" i="1"/>
  <c r="KH573" i="1"/>
  <c r="KD575" i="1"/>
  <c r="KL581" i="1"/>
  <c r="KL583" i="1"/>
  <c r="KD597" i="1"/>
  <c r="JZ601" i="1"/>
  <c r="KP601" i="1"/>
  <c r="KL603" i="1"/>
  <c r="KL605" i="1"/>
  <c r="KH610" i="1"/>
  <c r="KH614" i="1"/>
  <c r="KL615" i="1"/>
  <c r="KD618" i="1"/>
  <c r="JZ624" i="1"/>
  <c r="KD626" i="1"/>
  <c r="KL627" i="1"/>
  <c r="KH629" i="1"/>
  <c r="KL638" i="1"/>
  <c r="KL640" i="1"/>
  <c r="KH642" i="1"/>
  <c r="KH643" i="1"/>
  <c r="KH644" i="1"/>
  <c r="JZ655" i="1"/>
  <c r="KP655" i="1"/>
  <c r="KL656" i="1"/>
  <c r="KH657" i="1"/>
  <c r="KL659" i="1"/>
  <c r="KL661" i="1"/>
  <c r="KP928" i="1"/>
  <c r="JZ944" i="1"/>
  <c r="KH944" i="1"/>
  <c r="KP944" i="1"/>
  <c r="KD948" i="1"/>
  <c r="KL948" i="1"/>
  <c r="KD951" i="1"/>
  <c r="KL951" i="1"/>
  <c r="KL847" i="1"/>
  <c r="KD939" i="1"/>
  <c r="KL939" i="1"/>
  <c r="KH563" i="1"/>
  <c r="JZ566" i="1"/>
  <c r="KP566" i="1"/>
  <c r="KD568" i="1"/>
  <c r="JZ569" i="1"/>
  <c r="KP569" i="1"/>
  <c r="JZ570" i="1"/>
  <c r="KP570" i="1"/>
  <c r="JZ573" i="1"/>
  <c r="KP573" i="1"/>
  <c r="KL575" i="1"/>
  <c r="KL577" i="1"/>
  <c r="KD578" i="1"/>
  <c r="KL578" i="1"/>
  <c r="KH579" i="1"/>
  <c r="KD581" i="1"/>
  <c r="KD583" i="1"/>
  <c r="KD586" i="1"/>
  <c r="KL586" i="1"/>
  <c r="KH587" i="1"/>
  <c r="JZ589" i="1"/>
  <c r="KH589" i="1"/>
  <c r="KP589" i="1"/>
  <c r="KL591" i="1"/>
  <c r="KL594" i="1"/>
  <c r="KD595" i="1"/>
  <c r="JZ603" i="1"/>
  <c r="KH603" i="1"/>
  <c r="KP603" i="1"/>
  <c r="KP614" i="1"/>
  <c r="JZ615" i="1"/>
  <c r="KH615" i="1"/>
  <c r="KP615" i="1"/>
  <c r="KD616" i="1"/>
  <c r="KL616" i="1"/>
  <c r="KH624" i="1"/>
  <c r="KL626" i="1"/>
  <c r="KD627" i="1"/>
  <c r="JZ629" i="1"/>
  <c r="KP629" i="1"/>
  <c r="KH632" i="1"/>
  <c r="KL634" i="1"/>
  <c r="KD636" i="1"/>
  <c r="KD638" i="1"/>
  <c r="KD640" i="1"/>
  <c r="JZ642" i="1"/>
  <c r="KP642" i="1"/>
  <c r="JZ644" i="1"/>
  <c r="KP644" i="1"/>
  <c r="KH646" i="1"/>
  <c r="KH647" i="1"/>
  <c r="KH649" i="1"/>
  <c r="KH651" i="1"/>
  <c r="KH653" i="1"/>
  <c r="KH655" i="1"/>
  <c r="KD656" i="1"/>
  <c r="JZ657" i="1"/>
  <c r="KP657" i="1"/>
  <c r="KD659" i="1"/>
  <c r="KD661" i="1"/>
  <c r="JZ664" i="1"/>
  <c r="KP664" i="1"/>
  <c r="KL666" i="1"/>
  <c r="KL668" i="1"/>
  <c r="KH669" i="1"/>
  <c r="KH672" i="1"/>
  <c r="KH674" i="1"/>
  <c r="KD676" i="1"/>
  <c r="KH678" i="1"/>
  <c r="KL679" i="1"/>
  <c r="JZ681" i="1"/>
  <c r="KP681" i="1"/>
  <c r="KD683" i="1"/>
  <c r="JZ684" i="1"/>
  <c r="KP684" i="1"/>
  <c r="KH686" i="1"/>
  <c r="KD688" i="1"/>
  <c r="KD690" i="1"/>
  <c r="KD692" i="1"/>
  <c r="JZ694" i="1"/>
  <c r="KP694" i="1"/>
  <c r="JZ696" i="1"/>
  <c r="KP696" i="1"/>
  <c r="KL698" i="1"/>
  <c r="KL700" i="1"/>
  <c r="KH702" i="1"/>
  <c r="KH704" i="1"/>
  <c r="KD706" i="1"/>
  <c r="KD708" i="1"/>
  <c r="JZ709" i="1"/>
  <c r="KP709" i="1"/>
  <c r="KD711" i="1"/>
  <c r="JZ713" i="1"/>
  <c r="KP713" i="1"/>
  <c r="JZ715" i="1"/>
  <c r="KP715" i="1"/>
  <c r="KL717" i="1"/>
  <c r="KL720" i="1"/>
  <c r="KH722" i="1"/>
  <c r="KH724" i="1"/>
  <c r="KD726" i="1"/>
  <c r="KD728" i="1"/>
  <c r="KL731" i="1"/>
  <c r="KD733" i="1"/>
  <c r="JZ735" i="1"/>
  <c r="KP735" i="1"/>
  <c r="JZ737" i="1"/>
  <c r="KP737" i="1"/>
  <c r="KL739" i="1"/>
  <c r="KL741" i="1"/>
  <c r="KH743" i="1"/>
  <c r="KD744" i="1"/>
  <c r="KD745" i="1"/>
  <c r="KH747" i="1"/>
  <c r="KD750" i="1"/>
  <c r="JZ752" i="1"/>
  <c r="KP752" i="1"/>
  <c r="JZ757" i="1"/>
  <c r="KH757" i="1"/>
  <c r="KL758" i="1"/>
  <c r="KD760" i="1"/>
  <c r="KP762" i="1"/>
  <c r="JZ766" i="1"/>
  <c r="KP766" i="1"/>
  <c r="KD768" i="1"/>
  <c r="KH770" i="1"/>
  <c r="KD774" i="1"/>
  <c r="KL776" i="1"/>
  <c r="JZ780" i="1"/>
  <c r="KD782" i="1"/>
  <c r="JZ784" i="1"/>
  <c r="KP784" i="1"/>
  <c r="JZ786" i="1"/>
  <c r="KP786" i="1"/>
  <c r="KL788" i="1"/>
  <c r="JZ790" i="1"/>
  <c r="KP790" i="1"/>
  <c r="KL792" i="1"/>
  <c r="KH794" i="1"/>
  <c r="KD796" i="1"/>
  <c r="KH798" i="1"/>
  <c r="KD800" i="1"/>
  <c r="JZ802" i="1"/>
  <c r="KP802" i="1"/>
  <c r="KL804" i="1"/>
  <c r="JZ806" i="1"/>
  <c r="KP806" i="1"/>
  <c r="KH808" i="1"/>
  <c r="KL810" i="1"/>
  <c r="JZ812" i="1"/>
  <c r="KH812" i="1"/>
  <c r="KP812" i="1"/>
  <c r="JZ825" i="1"/>
  <c r="KH826" i="1"/>
  <c r="KL828" i="1"/>
  <c r="JZ830" i="1"/>
  <c r="KP830" i="1"/>
  <c r="KL834" i="1"/>
  <c r="KD837" i="1"/>
  <c r="KD944" i="1"/>
  <c r="KL944" i="1"/>
  <c r="JZ948" i="1"/>
  <c r="KH948" i="1"/>
  <c r="KP948" i="1"/>
  <c r="JZ951" i="1"/>
  <c r="KH951" i="1"/>
  <c r="KP951" i="1"/>
  <c r="KD563" i="1"/>
  <c r="KL566" i="1"/>
  <c r="JZ568" i="1"/>
  <c r="KL569" i="1"/>
  <c r="KL570" i="1"/>
  <c r="KH575" i="1"/>
  <c r="KH577" i="1"/>
  <c r="KD579" i="1"/>
  <c r="JZ581" i="1"/>
  <c r="KD587" i="1"/>
  <c r="KH591" i="1"/>
  <c r="JZ605" i="1"/>
  <c r="KP605" i="1"/>
  <c r="KL610" i="1"/>
  <c r="KD624" i="1"/>
  <c r="KH626" i="1"/>
  <c r="KD632" i="1"/>
  <c r="KH634" i="1"/>
  <c r="JZ638" i="1"/>
  <c r="JZ639" i="1"/>
  <c r="KP639" i="1"/>
  <c r="JZ640" i="1"/>
  <c r="KL642" i="1"/>
  <c r="KL644" i="1"/>
  <c r="KH648" i="1"/>
  <c r="JZ650" i="1"/>
  <c r="KP650" i="1"/>
  <c r="KD654" i="1"/>
  <c r="JZ660" i="1"/>
  <c r="KP660" i="1"/>
  <c r="KL664" i="1"/>
  <c r="KH666" i="1"/>
  <c r="KH668" i="1"/>
  <c r="KD669" i="1"/>
  <c r="KD673" i="1"/>
  <c r="KD674" i="1"/>
  <c r="KH679" i="1"/>
  <c r="JZ683" i="1"/>
  <c r="KP683" i="1"/>
  <c r="KL684" i="1"/>
  <c r="KD686" i="1"/>
  <c r="JZ688" i="1"/>
  <c r="KP688" i="1"/>
  <c r="JZ691" i="1"/>
  <c r="KP691" i="1"/>
  <c r="KL694" i="1"/>
  <c r="KL696" i="1"/>
  <c r="KH698" i="1"/>
  <c r="KH700" i="1"/>
  <c r="KD702" i="1"/>
  <c r="KD704" i="1"/>
  <c r="JZ707" i="1"/>
  <c r="KP707" i="1"/>
  <c r="JZ710" i="1"/>
  <c r="KP710" i="1"/>
  <c r="KL713" i="1"/>
  <c r="KL715" i="1"/>
  <c r="KH717" i="1"/>
  <c r="KH718" i="1"/>
  <c r="KD723" i="1"/>
  <c r="JZ727" i="1"/>
  <c r="KP727" i="1"/>
  <c r="KH731" i="1"/>
  <c r="KH732" i="1"/>
  <c r="KL736" i="1"/>
  <c r="KH740" i="1"/>
  <c r="KH741" i="1"/>
  <c r="KD743" i="1"/>
  <c r="JZ744" i="1"/>
  <c r="KP744" i="1"/>
  <c r="JZ745" i="1"/>
  <c r="KP745" i="1"/>
  <c r="KD747" i="1"/>
  <c r="JZ750" i="1"/>
  <c r="KL752" i="1"/>
  <c r="JZ754" i="1"/>
  <c r="KP757" i="1"/>
  <c r="KL760" i="1"/>
  <c r="KD761" i="1"/>
  <c r="KL766" i="1"/>
  <c r="JZ767" i="1"/>
  <c r="KL768" i="1"/>
  <c r="KD770" i="1"/>
  <c r="JZ774" i="1"/>
  <c r="KP774" i="1"/>
  <c r="KD777" i="1"/>
  <c r="KL777" i="1"/>
  <c r="KH780" i="1"/>
  <c r="JZ781" i="1"/>
  <c r="JZ782" i="1"/>
  <c r="KP782" i="1"/>
  <c r="KL784" i="1"/>
  <c r="KL786" i="1"/>
  <c r="KH788" i="1"/>
  <c r="KL790" i="1"/>
  <c r="KH792" i="1"/>
  <c r="KD794" i="1"/>
  <c r="JZ796" i="1"/>
  <c r="KP796" i="1"/>
  <c r="KD798" i="1"/>
  <c r="JZ800" i="1"/>
  <c r="KP800" i="1"/>
  <c r="KL802" i="1"/>
  <c r="KH804" i="1"/>
  <c r="KL806" i="1"/>
  <c r="KD808" i="1"/>
  <c r="KH810" i="1"/>
  <c r="JZ813" i="1"/>
  <c r="KP813" i="1"/>
  <c r="KL821" i="1"/>
  <c r="KD826" i="1"/>
  <c r="KL829" i="1"/>
  <c r="JZ928" i="1"/>
  <c r="JZ939" i="1"/>
  <c r="KH939" i="1"/>
  <c r="KP939" i="1"/>
  <c r="KD835" i="1"/>
  <c r="KP837" i="1"/>
  <c r="JZ839" i="1"/>
  <c r="KH839" i="1"/>
  <c r="KP839" i="1"/>
  <c r="KD841" i="1"/>
  <c r="KL841" i="1"/>
  <c r="JZ843" i="1"/>
  <c r="KH843" i="1"/>
  <c r="KP843" i="1"/>
  <c r="KD845" i="1"/>
  <c r="KL845" i="1"/>
  <c r="KH847" i="1"/>
  <c r="KD850" i="1"/>
  <c r="KL850" i="1"/>
  <c r="KD854" i="1"/>
  <c r="KL854" i="1"/>
  <c r="KD858" i="1"/>
  <c r="KL858" i="1"/>
  <c r="KD862" i="1"/>
  <c r="KL862" i="1"/>
  <c r="KD866" i="1"/>
  <c r="KL866" i="1"/>
  <c r="KD870" i="1"/>
  <c r="KL870" i="1"/>
  <c r="KD874" i="1"/>
  <c r="KL874" i="1"/>
  <c r="JZ875" i="1"/>
  <c r="KP875" i="1"/>
  <c r="KH877" i="1"/>
  <c r="JZ878" i="1"/>
  <c r="KH878" i="1"/>
  <c r="KP878" i="1"/>
  <c r="JZ879" i="1"/>
  <c r="KP879" i="1"/>
  <c r="KH881" i="1"/>
  <c r="JZ883" i="1"/>
  <c r="KP883" i="1"/>
  <c r="KH885" i="1"/>
  <c r="JZ886" i="1"/>
  <c r="KH886" i="1"/>
  <c r="KP886" i="1"/>
  <c r="JZ887" i="1"/>
  <c r="KP887" i="1"/>
  <c r="KH889" i="1"/>
  <c r="JZ890" i="1"/>
  <c r="KH890" i="1"/>
  <c r="KP890" i="1"/>
  <c r="JZ891" i="1"/>
  <c r="KP891" i="1"/>
  <c r="KL892" i="1"/>
  <c r="KL894" i="1"/>
  <c r="KD896" i="1"/>
  <c r="JZ898" i="1"/>
  <c r="KP898" i="1"/>
  <c r="KD900" i="1"/>
  <c r="KL902" i="1"/>
  <c r="KD904" i="1"/>
  <c r="KL906" i="1"/>
  <c r="KD908" i="1"/>
  <c r="KL910" i="1"/>
  <c r="KD912" i="1"/>
  <c r="KL914" i="1"/>
  <c r="KD916" i="1"/>
  <c r="KL918" i="1"/>
  <c r="KD920" i="1"/>
  <c r="KL922" i="1"/>
  <c r="KD924" i="1"/>
  <c r="JZ926" i="1"/>
  <c r="KH926" i="1"/>
  <c r="KP926" i="1"/>
  <c r="KH927" i="1"/>
  <c r="KL929" i="1"/>
  <c r="KH930" i="1"/>
  <c r="JZ931" i="1"/>
  <c r="KP931" i="1"/>
  <c r="JZ933" i="1"/>
  <c r="KP933" i="1"/>
  <c r="KD934" i="1"/>
  <c r="KL934" i="1"/>
  <c r="KH935" i="1"/>
  <c r="JZ937" i="1"/>
  <c r="KP937" i="1"/>
  <c r="KD938" i="1"/>
  <c r="KL938" i="1"/>
  <c r="JZ940" i="1"/>
  <c r="KP940" i="1"/>
  <c r="KD941" i="1"/>
  <c r="KL941" i="1"/>
  <c r="KD943" i="1"/>
  <c r="KL945" i="1"/>
  <c r="KD947" i="1"/>
  <c r="KD950" i="1"/>
  <c r="KL836" i="1"/>
  <c r="JZ837" i="1"/>
  <c r="KL837" i="1"/>
  <c r="KD839" i="1"/>
  <c r="KL839" i="1"/>
  <c r="JZ841" i="1"/>
  <c r="KH841" i="1"/>
  <c r="KP841" i="1"/>
  <c r="KD843" i="1"/>
  <c r="KL843" i="1"/>
  <c r="JZ845" i="1"/>
  <c r="KH845" i="1"/>
  <c r="KP845" i="1"/>
  <c r="KD848" i="1"/>
  <c r="KL848" i="1"/>
  <c r="KD852" i="1"/>
  <c r="KL852" i="1"/>
  <c r="KD856" i="1"/>
  <c r="KL856" i="1"/>
  <c r="KD860" i="1"/>
  <c r="KL860" i="1"/>
  <c r="KD864" i="1"/>
  <c r="KL864" i="1"/>
  <c r="KD868" i="1"/>
  <c r="KL868" i="1"/>
  <c r="KD872" i="1"/>
  <c r="KL872" i="1"/>
  <c r="KH875" i="1"/>
  <c r="JZ877" i="1"/>
  <c r="KP877" i="1"/>
  <c r="KD878" i="1"/>
  <c r="KL878" i="1"/>
  <c r="KH879" i="1"/>
  <c r="JZ881" i="1"/>
  <c r="KP881" i="1"/>
  <c r="KH883" i="1"/>
  <c r="JZ885" i="1"/>
  <c r="KP885" i="1"/>
  <c r="KD886" i="1"/>
  <c r="KL886" i="1"/>
  <c r="KH887" i="1"/>
  <c r="JZ889" i="1"/>
  <c r="KP889" i="1"/>
  <c r="KD890" i="1"/>
  <c r="KL890" i="1"/>
  <c r="KH891" i="1"/>
  <c r="KD892" i="1"/>
  <c r="KD894" i="1"/>
  <c r="KL896" i="1"/>
  <c r="KH898" i="1"/>
  <c r="KL900" i="1"/>
  <c r="KD902" i="1"/>
  <c r="KL904" i="1"/>
  <c r="KD906" i="1"/>
  <c r="KL908" i="1"/>
  <c r="KD910" i="1"/>
  <c r="KL912" i="1"/>
  <c r="KD914" i="1"/>
  <c r="KL916" i="1"/>
  <c r="KD918" i="1"/>
  <c r="KL920" i="1"/>
  <c r="KD922" i="1"/>
  <c r="KL924" i="1"/>
  <c r="KD926" i="1"/>
  <c r="KL926" i="1"/>
  <c r="JZ927" i="1"/>
  <c r="KP927" i="1"/>
  <c r="KD929" i="1"/>
  <c r="JZ930" i="1"/>
  <c r="KP930" i="1"/>
  <c r="KH931" i="1"/>
  <c r="KH933" i="1"/>
  <c r="JZ934" i="1"/>
  <c r="KH934" i="1"/>
  <c r="KP934" i="1"/>
  <c r="JZ935" i="1"/>
  <c r="KP935" i="1"/>
  <c r="KH937" i="1"/>
  <c r="JZ938" i="1"/>
  <c r="KH938" i="1"/>
  <c r="KP938" i="1"/>
  <c r="KH940" i="1"/>
  <c r="JZ941" i="1"/>
  <c r="KH941" i="1"/>
  <c r="KP941" i="1"/>
  <c r="KL943" i="1"/>
  <c r="KD945" i="1"/>
  <c r="KL947" i="1"/>
  <c r="JZ950" i="1"/>
  <c r="KH950" i="1"/>
  <c r="AA211" i="15"/>
  <c r="AA317" i="15"/>
  <c r="AA529" i="15"/>
  <c r="AA529" i="16"/>
  <c r="AB317" i="18"/>
  <c r="Z423" i="18"/>
  <c r="AB423" i="18"/>
  <c r="F20" i="20"/>
  <c r="G20" i="20"/>
  <c r="Q11" i="20"/>
  <c r="V11" i="20"/>
  <c r="D134" i="20"/>
  <c r="R11" i="20"/>
  <c r="W11" i="20"/>
  <c r="D118" i="20"/>
  <c r="D126" i="20"/>
  <c r="D130" i="20"/>
  <c r="D133" i="20"/>
  <c r="E139" i="20"/>
  <c r="Z211" i="15"/>
  <c r="D140" i="20"/>
  <c r="Z423" i="15"/>
  <c r="Z317" i="15"/>
  <c r="AB317" i="15"/>
  <c r="E141" i="20"/>
  <c r="D146" i="20"/>
  <c r="E146" i="20"/>
  <c r="AA317" i="16"/>
  <c r="AB211" i="18"/>
  <c r="AA211" i="18"/>
  <c r="AA317" i="18"/>
  <c r="Z317" i="18"/>
  <c r="B144" i="20"/>
  <c r="B137" i="20"/>
  <c r="B151" i="20"/>
  <c r="F22" i="20"/>
  <c r="F24" i="20"/>
  <c r="JQ954" i="1"/>
  <c r="P11" i="20"/>
  <c r="T11" i="20"/>
  <c r="X11" i="20"/>
  <c r="D115" i="20"/>
  <c r="D119" i="20"/>
  <c r="D123" i="20"/>
  <c r="D127" i="20"/>
  <c r="JV954" i="1"/>
  <c r="JT954" i="1"/>
  <c r="JZ60" i="1"/>
  <c r="KP60" i="1"/>
  <c r="KL61" i="1"/>
  <c r="KD63" i="1"/>
  <c r="KL63" i="1"/>
  <c r="JZ66" i="1"/>
  <c r="KP66" i="1"/>
  <c r="KH68" i="1"/>
  <c r="KL72" i="1"/>
  <c r="JZ74" i="1"/>
  <c r="KH74" i="1"/>
  <c r="KP74" i="1"/>
  <c r="JZ77" i="1"/>
  <c r="KP77" i="1"/>
  <c r="KD116" i="1"/>
  <c r="KL116" i="1"/>
  <c r="KD120" i="1"/>
  <c r="KL120" i="1"/>
  <c r="KH60" i="1"/>
  <c r="KH61" i="1"/>
  <c r="KP61" i="1"/>
  <c r="JZ63" i="1"/>
  <c r="KH63" i="1"/>
  <c r="KP63" i="1"/>
  <c r="KH66" i="1"/>
  <c r="JZ68" i="1"/>
  <c r="KP68" i="1"/>
  <c r="KD72" i="1"/>
  <c r="KD74" i="1"/>
  <c r="KL74" i="1"/>
  <c r="KH77" i="1"/>
  <c r="JZ116" i="1"/>
  <c r="KH116" i="1"/>
  <c r="KP116" i="1"/>
  <c r="JZ120" i="1"/>
  <c r="KH120" i="1"/>
  <c r="KP120" i="1"/>
  <c r="JP954" i="1"/>
  <c r="JX954" i="1"/>
  <c r="KB954" i="1"/>
  <c r="KF954" i="1"/>
  <c r="KJ954" i="1"/>
  <c r="KN954" i="1"/>
  <c r="JU954" i="1"/>
  <c r="JY954" i="1"/>
  <c r="KC954" i="1"/>
  <c r="KG954" i="1"/>
  <c r="KH954" i="1"/>
  <c r="KK954" i="1"/>
  <c r="KD60" i="1"/>
  <c r="KD66" i="1"/>
  <c r="KL68" i="1"/>
  <c r="KD69" i="1"/>
  <c r="KL69" i="1"/>
  <c r="JZ72" i="1"/>
  <c r="KP72" i="1"/>
  <c r="KD73" i="1"/>
  <c r="KL73" i="1"/>
  <c r="KD77" i="1"/>
  <c r="JZ78" i="1"/>
  <c r="KH78" i="1"/>
  <c r="KP78" i="1"/>
  <c r="JZ81" i="1"/>
  <c r="KH81" i="1"/>
  <c r="KP81" i="1"/>
  <c r="JZ85" i="1"/>
  <c r="KH85" i="1"/>
  <c r="KP85" i="1"/>
  <c r="JZ89" i="1"/>
  <c r="KH89" i="1"/>
  <c r="KP89" i="1"/>
  <c r="JZ93" i="1"/>
  <c r="KH93" i="1"/>
  <c r="KP93" i="1"/>
  <c r="JS954" i="1"/>
  <c r="JZ344" i="1"/>
  <c r="KH344" i="1"/>
  <c r="KP344" i="1"/>
  <c r="KD348" i="1"/>
  <c r="KL348" i="1"/>
  <c r="JZ356" i="1"/>
  <c r="KH356" i="1"/>
  <c r="KP356" i="1"/>
  <c r="JZ331" i="1"/>
  <c r="KP331" i="1"/>
  <c r="KD352" i="1"/>
  <c r="KL352" i="1"/>
  <c r="JZ360" i="1"/>
  <c r="KH360" i="1"/>
  <c r="KP360" i="1"/>
  <c r="KL331" i="1"/>
  <c r="JZ334" i="1"/>
  <c r="KP334" i="1"/>
  <c r="KL336" i="1"/>
  <c r="KH338" i="1"/>
  <c r="KD340" i="1"/>
  <c r="KD342" i="1"/>
  <c r="KD344" i="1"/>
  <c r="KL344" i="1"/>
  <c r="JZ348" i="1"/>
  <c r="KH348" i="1"/>
  <c r="KP348" i="1"/>
  <c r="KD356" i="1"/>
  <c r="KL356" i="1"/>
  <c r="KH331" i="1"/>
  <c r="KL334" i="1"/>
  <c r="KH336" i="1"/>
  <c r="KD338" i="1"/>
  <c r="JZ340" i="1"/>
  <c r="KP340" i="1"/>
  <c r="JZ342" i="1"/>
  <c r="KP342" i="1"/>
  <c r="JZ352" i="1"/>
  <c r="KH352" i="1"/>
  <c r="KP352" i="1"/>
  <c r="KD360" i="1"/>
  <c r="KL360" i="1"/>
  <c r="KL471" i="1"/>
  <c r="KD486" i="1"/>
  <c r="KL486" i="1"/>
  <c r="JZ490" i="1"/>
  <c r="KH490" i="1"/>
  <c r="KP490" i="1"/>
  <c r="KD494" i="1"/>
  <c r="KL494" i="1"/>
  <c r="JZ498" i="1"/>
  <c r="KH498" i="1"/>
  <c r="KP498" i="1"/>
  <c r="KO505" i="1"/>
  <c r="KP505" i="1"/>
  <c r="KD510" i="1"/>
  <c r="KL510" i="1"/>
  <c r="JZ364" i="1"/>
  <c r="KD364" i="1"/>
  <c r="KH364" i="1"/>
  <c r="KL364" i="1"/>
  <c r="KP364" i="1"/>
  <c r="JZ367" i="1"/>
  <c r="KD367" i="1"/>
  <c r="KH367" i="1"/>
  <c r="KL367" i="1"/>
  <c r="KP367" i="1"/>
  <c r="JZ371" i="1"/>
  <c r="KD371" i="1"/>
  <c r="KH371" i="1"/>
  <c r="KL371" i="1"/>
  <c r="KP371" i="1"/>
  <c r="JZ374" i="1"/>
  <c r="KD374" i="1"/>
  <c r="KH374" i="1"/>
  <c r="KL374" i="1"/>
  <c r="KP374" i="1"/>
  <c r="JZ376" i="1"/>
  <c r="KD376" i="1"/>
  <c r="KH376" i="1"/>
  <c r="KL376" i="1"/>
  <c r="KP376" i="1"/>
  <c r="JZ378" i="1"/>
  <c r="KD378" i="1"/>
  <c r="KH378" i="1"/>
  <c r="KL378" i="1"/>
  <c r="KP378" i="1"/>
  <c r="JZ385" i="1"/>
  <c r="KD385" i="1"/>
  <c r="KH385" i="1"/>
  <c r="KL385" i="1"/>
  <c r="KP385" i="1"/>
  <c r="JZ389" i="1"/>
  <c r="KD389" i="1"/>
  <c r="KH389" i="1"/>
  <c r="KL389" i="1"/>
  <c r="KP389" i="1"/>
  <c r="JZ392" i="1"/>
  <c r="KD392" i="1"/>
  <c r="KH392" i="1"/>
  <c r="KL392" i="1"/>
  <c r="KP392" i="1"/>
  <c r="JZ394" i="1"/>
  <c r="KD394" i="1"/>
  <c r="KH394" i="1"/>
  <c r="KL394" i="1"/>
  <c r="KP394" i="1"/>
  <c r="JZ398" i="1"/>
  <c r="KD398" i="1"/>
  <c r="KH398" i="1"/>
  <c r="KL398" i="1"/>
  <c r="KP398" i="1"/>
  <c r="JZ402" i="1"/>
  <c r="KD402" i="1"/>
  <c r="KH402" i="1"/>
  <c r="KL402" i="1"/>
  <c r="KP402" i="1"/>
  <c r="JZ406" i="1"/>
  <c r="KD406" i="1"/>
  <c r="KH406" i="1"/>
  <c r="KL406" i="1"/>
  <c r="KP406" i="1"/>
  <c r="JZ410" i="1"/>
  <c r="KD410" i="1"/>
  <c r="KH410" i="1"/>
  <c r="KL410" i="1"/>
  <c r="KP410" i="1"/>
  <c r="JZ414" i="1"/>
  <c r="KD414" i="1"/>
  <c r="KH414" i="1"/>
  <c r="KL414" i="1"/>
  <c r="KP414" i="1"/>
  <c r="JZ418" i="1"/>
  <c r="KD418" i="1"/>
  <c r="KH418" i="1"/>
  <c r="KL418" i="1"/>
  <c r="KP418" i="1"/>
  <c r="JZ422" i="1"/>
  <c r="KD422" i="1"/>
  <c r="KH422" i="1"/>
  <c r="KL422" i="1"/>
  <c r="KP422" i="1"/>
  <c r="JZ424" i="1"/>
  <c r="KD424" i="1"/>
  <c r="KH424" i="1"/>
  <c r="KL424" i="1"/>
  <c r="KP424" i="1"/>
  <c r="JZ425" i="1"/>
  <c r="KD425" i="1"/>
  <c r="KH425" i="1"/>
  <c r="KL425" i="1"/>
  <c r="KP425" i="1"/>
  <c r="JZ429" i="1"/>
  <c r="KD429" i="1"/>
  <c r="KH429" i="1"/>
  <c r="KL429" i="1"/>
  <c r="KP429" i="1"/>
  <c r="JZ433" i="1"/>
  <c r="KD433" i="1"/>
  <c r="KH433" i="1"/>
  <c r="KL433" i="1"/>
  <c r="KP433" i="1"/>
  <c r="JZ437" i="1"/>
  <c r="KD437" i="1"/>
  <c r="KH437" i="1"/>
  <c r="KL437" i="1"/>
  <c r="KP437" i="1"/>
  <c r="JZ441" i="1"/>
  <c r="KD441" i="1"/>
  <c r="KH441" i="1"/>
  <c r="KL441" i="1"/>
  <c r="KP441" i="1"/>
  <c r="JZ445" i="1"/>
  <c r="KD445" i="1"/>
  <c r="KH445" i="1"/>
  <c r="KL445" i="1"/>
  <c r="KP445" i="1"/>
  <c r="JZ449" i="1"/>
  <c r="KD449" i="1"/>
  <c r="KH449" i="1"/>
  <c r="KL449" i="1"/>
  <c r="KP449" i="1"/>
  <c r="JZ453" i="1"/>
  <c r="KD453" i="1"/>
  <c r="KH453" i="1"/>
  <c r="KL453" i="1"/>
  <c r="KP453" i="1"/>
  <c r="JZ457" i="1"/>
  <c r="KD457" i="1"/>
  <c r="KH457" i="1"/>
  <c r="KL457" i="1"/>
  <c r="KP457" i="1"/>
  <c r="JZ464" i="1"/>
  <c r="KD464" i="1"/>
  <c r="KH464" i="1"/>
  <c r="KL464" i="1"/>
  <c r="KP464" i="1"/>
  <c r="JZ468" i="1"/>
  <c r="KD468" i="1"/>
  <c r="KH468" i="1"/>
  <c r="KL468" i="1"/>
  <c r="KP468" i="1"/>
  <c r="KL472" i="1"/>
  <c r="KD471" i="1"/>
  <c r="JZ486" i="1"/>
  <c r="KH486" i="1"/>
  <c r="KP486" i="1"/>
  <c r="KD490" i="1"/>
  <c r="KL490" i="1"/>
  <c r="JZ494" i="1"/>
  <c r="KH494" i="1"/>
  <c r="KP494" i="1"/>
  <c r="KD498" i="1"/>
  <c r="KL498" i="1"/>
  <c r="JZ510" i="1"/>
  <c r="KH510" i="1"/>
  <c r="KP510" i="1"/>
  <c r="JZ522" i="1"/>
  <c r="KD522" i="1"/>
  <c r="KH522" i="1"/>
  <c r="KL522" i="1"/>
  <c r="KP522" i="1"/>
  <c r="JZ536" i="1"/>
  <c r="KD536" i="1"/>
  <c r="KH536" i="1"/>
  <c r="KL536" i="1"/>
  <c r="KP536" i="1"/>
  <c r="JZ544" i="1"/>
  <c r="KD544" i="1"/>
  <c r="KH544" i="1"/>
  <c r="KL544" i="1"/>
  <c r="KP544" i="1"/>
  <c r="JZ548" i="1"/>
  <c r="KD548" i="1"/>
  <c r="KH548" i="1"/>
  <c r="KL548" i="1"/>
  <c r="KP548" i="1"/>
  <c r="JZ552" i="1"/>
  <c r="KD552" i="1"/>
  <c r="KH552" i="1"/>
  <c r="KL552" i="1"/>
  <c r="KP552" i="1"/>
  <c r="JZ557" i="1"/>
  <c r="KD557" i="1"/>
  <c r="KH557" i="1"/>
  <c r="KL557" i="1"/>
  <c r="KP557" i="1"/>
  <c r="JZ561" i="1"/>
  <c r="KD561" i="1"/>
  <c r="KH561" i="1"/>
  <c r="KL561" i="1"/>
  <c r="KP561" i="1"/>
  <c r="JZ562" i="1"/>
  <c r="KD562" i="1"/>
  <c r="KH562" i="1"/>
  <c r="KL562" i="1"/>
  <c r="KP562" i="1"/>
  <c r="JZ567" i="1"/>
  <c r="KD567" i="1"/>
  <c r="KH567" i="1"/>
  <c r="KL567" i="1"/>
  <c r="KP567" i="1"/>
  <c r="JZ574" i="1"/>
  <c r="KD574" i="1"/>
  <c r="KH574" i="1"/>
  <c r="KL574" i="1"/>
  <c r="KP574" i="1"/>
  <c r="JZ598" i="1"/>
  <c r="KH598" i="1"/>
  <c r="KP598" i="1"/>
  <c r="KD602" i="1"/>
  <c r="KL602" i="1"/>
  <c r="JZ606" i="1"/>
  <c r="KH606" i="1"/>
  <c r="KP606" i="1"/>
  <c r="JZ594" i="1"/>
  <c r="KP594" i="1"/>
  <c r="JZ524" i="1"/>
  <c r="KD524" i="1"/>
  <c r="KH524" i="1"/>
  <c r="KL524" i="1"/>
  <c r="KP524" i="1"/>
  <c r="JZ528" i="1"/>
  <c r="KD528" i="1"/>
  <c r="KH528" i="1"/>
  <c r="KL528" i="1"/>
  <c r="KP528" i="1"/>
  <c r="JZ538" i="1"/>
  <c r="KD538" i="1"/>
  <c r="KH538" i="1"/>
  <c r="KL538" i="1"/>
  <c r="KP538" i="1"/>
  <c r="JZ541" i="1"/>
  <c r="KD541" i="1"/>
  <c r="KH541" i="1"/>
  <c r="KL541" i="1"/>
  <c r="KP541" i="1"/>
  <c r="JZ546" i="1"/>
  <c r="KD546" i="1"/>
  <c r="KH546" i="1"/>
  <c r="KL546" i="1"/>
  <c r="KP546" i="1"/>
  <c r="JZ550" i="1"/>
  <c r="KD550" i="1"/>
  <c r="KH550" i="1"/>
  <c r="KL550" i="1"/>
  <c r="KP550" i="1"/>
  <c r="JZ553" i="1"/>
  <c r="KD553" i="1"/>
  <c r="KH553" i="1"/>
  <c r="KL553" i="1"/>
  <c r="KP553" i="1"/>
  <c r="JZ555" i="1"/>
  <c r="KD555" i="1"/>
  <c r="KH555" i="1"/>
  <c r="KL555" i="1"/>
  <c r="KP555" i="1"/>
  <c r="JZ559" i="1"/>
  <c r="KD559" i="1"/>
  <c r="KH559" i="1"/>
  <c r="KL559" i="1"/>
  <c r="KP559" i="1"/>
  <c r="JZ564" i="1"/>
  <c r="KD564" i="1"/>
  <c r="KH564" i="1"/>
  <c r="KL564" i="1"/>
  <c r="KP564" i="1"/>
  <c r="JZ565" i="1"/>
  <c r="KD565" i="1"/>
  <c r="KH565" i="1"/>
  <c r="KL565" i="1"/>
  <c r="KP565" i="1"/>
  <c r="JZ571" i="1"/>
  <c r="KD571" i="1"/>
  <c r="KH571" i="1"/>
  <c r="KL571" i="1"/>
  <c r="KP571" i="1"/>
  <c r="JZ572" i="1"/>
  <c r="KD572" i="1"/>
  <c r="KH572" i="1"/>
  <c r="KL572" i="1"/>
  <c r="KP572" i="1"/>
  <c r="JZ576" i="1"/>
  <c r="KD576" i="1"/>
  <c r="KH576" i="1"/>
  <c r="KL576" i="1"/>
  <c r="KP576" i="1"/>
  <c r="JZ580" i="1"/>
  <c r="KD580" i="1"/>
  <c r="KH580" i="1"/>
  <c r="KL580" i="1"/>
  <c r="KP580" i="1"/>
  <c r="JZ584" i="1"/>
  <c r="KD584" i="1"/>
  <c r="KH584" i="1"/>
  <c r="KL584" i="1"/>
  <c r="KP584" i="1"/>
  <c r="JZ588" i="1"/>
  <c r="KD588" i="1"/>
  <c r="KH588" i="1"/>
  <c r="KL588" i="1"/>
  <c r="KP588" i="1"/>
  <c r="JZ593" i="1"/>
  <c r="KD593" i="1"/>
  <c r="KH593" i="1"/>
  <c r="KL593" i="1"/>
  <c r="KP593" i="1"/>
  <c r="JZ595" i="1"/>
  <c r="KP595" i="1"/>
  <c r="JZ623" i="1"/>
  <c r="KD623" i="1"/>
  <c r="KH623" i="1"/>
  <c r="KL623" i="1"/>
  <c r="KP623" i="1"/>
  <c r="JZ625" i="1"/>
  <c r="KP625" i="1"/>
  <c r="JZ628" i="1"/>
  <c r="KP628" i="1"/>
  <c r="KL630" i="1"/>
  <c r="JZ631" i="1"/>
  <c r="KP631" i="1"/>
  <c r="KL633" i="1"/>
  <c r="KH635" i="1"/>
  <c r="KD637" i="1"/>
  <c r="KL637" i="1"/>
  <c r="JZ645" i="1"/>
  <c r="KH645" i="1"/>
  <c r="KP645" i="1"/>
  <c r="KD652" i="1"/>
  <c r="KL652" i="1"/>
  <c r="KD658" i="1"/>
  <c r="KL658" i="1"/>
  <c r="KD641" i="1"/>
  <c r="KL641" i="1"/>
  <c r="JZ637" i="1"/>
  <c r="KH637" i="1"/>
  <c r="KP637" i="1"/>
  <c r="KD645" i="1"/>
  <c r="KL645" i="1"/>
  <c r="JZ652" i="1"/>
  <c r="KH652" i="1"/>
  <c r="KP652" i="1"/>
  <c r="JZ658" i="1"/>
  <c r="KH658" i="1"/>
  <c r="KP658" i="1"/>
  <c r="KD625" i="1"/>
  <c r="KD628" i="1"/>
  <c r="JZ630" i="1"/>
  <c r="KP630" i="1"/>
  <c r="KD631" i="1"/>
  <c r="JZ633" i="1"/>
  <c r="KP633" i="1"/>
  <c r="KL635" i="1"/>
  <c r="JZ641" i="1"/>
  <c r="KH641" i="1"/>
  <c r="KP641" i="1"/>
  <c r="JZ791" i="1"/>
  <c r="KH791" i="1"/>
  <c r="KP791" i="1"/>
  <c r="KD799" i="1"/>
  <c r="KL799" i="1"/>
  <c r="JZ807" i="1"/>
  <c r="KH807" i="1"/>
  <c r="KP807" i="1"/>
  <c r="KD817" i="1"/>
  <c r="KL817" i="1"/>
  <c r="KH821" i="1"/>
  <c r="KL754" i="1"/>
  <c r="JZ758" i="1"/>
  <c r="KP758" i="1"/>
  <c r="JZ760" i="1"/>
  <c r="KP760" i="1"/>
  <c r="KL762" i="1"/>
  <c r="KH768" i="1"/>
  <c r="KH776" i="1"/>
  <c r="KL780" i="1"/>
  <c r="KD783" i="1"/>
  <c r="KL783" i="1"/>
  <c r="KD787" i="1"/>
  <c r="KL787" i="1"/>
  <c r="JZ795" i="1"/>
  <c r="KH795" i="1"/>
  <c r="KP795" i="1"/>
  <c r="KD803" i="1"/>
  <c r="KL803" i="1"/>
  <c r="KD811" i="1"/>
  <c r="KL811" i="1"/>
  <c r="KD823" i="1"/>
  <c r="KL823" i="1"/>
  <c r="KL825" i="1"/>
  <c r="JZ829" i="1"/>
  <c r="JZ662" i="1"/>
  <c r="KD662" i="1"/>
  <c r="KH662" i="1"/>
  <c r="KL662" i="1"/>
  <c r="KP662" i="1"/>
  <c r="JZ665" i="1"/>
  <c r="KD665" i="1"/>
  <c r="KH665" i="1"/>
  <c r="KL665" i="1"/>
  <c r="KP665" i="1"/>
  <c r="JZ671" i="1"/>
  <c r="KD671" i="1"/>
  <c r="KH671" i="1"/>
  <c r="KL671" i="1"/>
  <c r="KP671" i="1"/>
  <c r="JZ675" i="1"/>
  <c r="KD675" i="1"/>
  <c r="KH675" i="1"/>
  <c r="KL675" i="1"/>
  <c r="KP675" i="1"/>
  <c r="JZ677" i="1"/>
  <c r="KD677" i="1"/>
  <c r="KH677" i="1"/>
  <c r="KL677" i="1"/>
  <c r="KP677" i="1"/>
  <c r="JZ682" i="1"/>
  <c r="KD682" i="1"/>
  <c r="KH682" i="1"/>
  <c r="KL682" i="1"/>
  <c r="KP682" i="1"/>
  <c r="JZ685" i="1"/>
  <c r="KD685" i="1"/>
  <c r="KH685" i="1"/>
  <c r="KL685" i="1"/>
  <c r="KP685" i="1"/>
  <c r="JZ689" i="1"/>
  <c r="KD689" i="1"/>
  <c r="KH689" i="1"/>
  <c r="KL689" i="1"/>
  <c r="KP689" i="1"/>
  <c r="JZ693" i="1"/>
  <c r="KD693" i="1"/>
  <c r="KH693" i="1"/>
  <c r="KL693" i="1"/>
  <c r="KP693" i="1"/>
  <c r="JZ697" i="1"/>
  <c r="KD697" i="1"/>
  <c r="KH697" i="1"/>
  <c r="KL697" i="1"/>
  <c r="KP697" i="1"/>
  <c r="JZ701" i="1"/>
  <c r="KD701" i="1"/>
  <c r="KH701" i="1"/>
  <c r="KL701" i="1"/>
  <c r="KP701" i="1"/>
  <c r="JZ705" i="1"/>
  <c r="KD705" i="1"/>
  <c r="KH705" i="1"/>
  <c r="KL705" i="1"/>
  <c r="KP705" i="1"/>
  <c r="JZ712" i="1"/>
  <c r="KD712" i="1"/>
  <c r="KH712" i="1"/>
  <c r="KL712" i="1"/>
  <c r="KP712" i="1"/>
  <c r="JZ716" i="1"/>
  <c r="KD716" i="1"/>
  <c r="KH716" i="1"/>
  <c r="KL716" i="1"/>
  <c r="KP716" i="1"/>
  <c r="JZ721" i="1"/>
  <c r="KD721" i="1"/>
  <c r="KH721" i="1"/>
  <c r="KL721" i="1"/>
  <c r="KP721" i="1"/>
  <c r="JZ725" i="1"/>
  <c r="KD725" i="1"/>
  <c r="KH725" i="1"/>
  <c r="KL725" i="1"/>
  <c r="KP725" i="1"/>
  <c r="JZ729" i="1"/>
  <c r="KD729" i="1"/>
  <c r="KH729" i="1"/>
  <c r="KL729" i="1"/>
  <c r="KP729" i="1"/>
  <c r="JZ730" i="1"/>
  <c r="KD730" i="1"/>
  <c r="KH730" i="1"/>
  <c r="KL730" i="1"/>
  <c r="KP730" i="1"/>
  <c r="JZ734" i="1"/>
  <c r="KD734" i="1"/>
  <c r="KH734" i="1"/>
  <c r="KL734" i="1"/>
  <c r="KP734" i="1"/>
  <c r="JZ738" i="1"/>
  <c r="KD738" i="1"/>
  <c r="KH738" i="1"/>
  <c r="KL738" i="1"/>
  <c r="KP738" i="1"/>
  <c r="JZ742" i="1"/>
  <c r="KD742" i="1"/>
  <c r="KH742" i="1"/>
  <c r="KL742" i="1"/>
  <c r="KP742" i="1"/>
  <c r="JZ748" i="1"/>
  <c r="KD748" i="1"/>
  <c r="KH748" i="1"/>
  <c r="KL748" i="1"/>
  <c r="KP748" i="1"/>
  <c r="JZ753" i="1"/>
  <c r="KP753" i="1"/>
  <c r="KD757" i="1"/>
  <c r="JZ759" i="1"/>
  <c r="KD759" i="1"/>
  <c r="KH759" i="1"/>
  <c r="KL759" i="1"/>
  <c r="KP759" i="1"/>
  <c r="JZ761" i="1"/>
  <c r="KP761" i="1"/>
  <c r="KD765" i="1"/>
  <c r="KL767" i="1"/>
  <c r="JZ771" i="1"/>
  <c r="KD771" i="1"/>
  <c r="KH771" i="1"/>
  <c r="KL771" i="1"/>
  <c r="KP771" i="1"/>
  <c r="KD773" i="1"/>
  <c r="KH777" i="1"/>
  <c r="JZ779" i="1"/>
  <c r="KD779" i="1"/>
  <c r="KH779" i="1"/>
  <c r="KL779" i="1"/>
  <c r="KP779" i="1"/>
  <c r="KL781" i="1"/>
  <c r="KD791" i="1"/>
  <c r="KL791" i="1"/>
  <c r="JZ799" i="1"/>
  <c r="KH799" i="1"/>
  <c r="KP799" i="1"/>
  <c r="KD807" i="1"/>
  <c r="KL807" i="1"/>
  <c r="JZ817" i="1"/>
  <c r="KH817" i="1"/>
  <c r="KP817" i="1"/>
  <c r="KD754" i="1"/>
  <c r="KH758" i="1"/>
  <c r="KH760" i="1"/>
  <c r="KD762" i="1"/>
  <c r="JZ768" i="1"/>
  <c r="KP768" i="1"/>
  <c r="JZ776" i="1"/>
  <c r="KP776" i="1"/>
  <c r="KD780" i="1"/>
  <c r="JZ783" i="1"/>
  <c r="KH783" i="1"/>
  <c r="KP783" i="1"/>
  <c r="JZ787" i="1"/>
  <c r="KH787" i="1"/>
  <c r="KP787" i="1"/>
  <c r="KD795" i="1"/>
  <c r="KL795" i="1"/>
  <c r="JZ803" i="1"/>
  <c r="KH803" i="1"/>
  <c r="KP803" i="1"/>
  <c r="JZ811" i="1"/>
  <c r="KH811" i="1"/>
  <c r="KP811" i="1"/>
  <c r="JZ823" i="1"/>
  <c r="KH823" i="1"/>
  <c r="KP823" i="1"/>
  <c r="KP829" i="1"/>
  <c r="KL824" i="1"/>
  <c r="JZ828" i="1"/>
  <c r="KP828" i="1"/>
  <c r="KD832" i="1"/>
  <c r="KL833" i="1"/>
  <c r="KD834" i="1"/>
  <c r="KL835" i="1"/>
  <c r="KD836" i="1"/>
  <c r="KD847" i="1"/>
  <c r="KH824" i="1"/>
  <c r="JZ832" i="1"/>
  <c r="KP832" i="1"/>
  <c r="KH833" i="1"/>
  <c r="JZ834" i="1"/>
  <c r="KP834" i="1"/>
  <c r="KH835" i="1"/>
  <c r="JZ836" i="1"/>
  <c r="KP836" i="1"/>
  <c r="KP847" i="1"/>
  <c r="JZ848" i="1"/>
  <c r="KH848" i="1"/>
  <c r="KP848" i="1"/>
  <c r="JZ849" i="1"/>
  <c r="KH849" i="1"/>
  <c r="KP849" i="1"/>
  <c r="JZ850" i="1"/>
  <c r="KH850" i="1"/>
  <c r="KP850" i="1"/>
  <c r="JZ851" i="1"/>
  <c r="KH851" i="1"/>
  <c r="KP851" i="1"/>
  <c r="JZ852" i="1"/>
  <c r="KH852" i="1"/>
  <c r="KP852" i="1"/>
  <c r="JZ853" i="1"/>
  <c r="KH853" i="1"/>
  <c r="KP853" i="1"/>
  <c r="JZ854" i="1"/>
  <c r="KH854" i="1"/>
  <c r="KP854" i="1"/>
  <c r="JZ855" i="1"/>
  <c r="KH855" i="1"/>
  <c r="KP855" i="1"/>
  <c r="JZ856" i="1"/>
  <c r="KH856" i="1"/>
  <c r="KP856" i="1"/>
  <c r="JZ857" i="1"/>
  <c r="KH857" i="1"/>
  <c r="KP857" i="1"/>
  <c r="JZ858" i="1"/>
  <c r="KH858" i="1"/>
  <c r="KP858" i="1"/>
  <c r="JZ859" i="1"/>
  <c r="KH859" i="1"/>
  <c r="KP859" i="1"/>
  <c r="JZ860" i="1"/>
  <c r="KH860" i="1"/>
  <c r="KP860" i="1"/>
  <c r="JZ861" i="1"/>
  <c r="KH861" i="1"/>
  <c r="KP861" i="1"/>
  <c r="JZ862" i="1"/>
  <c r="KH862" i="1"/>
  <c r="KP862" i="1"/>
  <c r="JZ863" i="1"/>
  <c r="KH863" i="1"/>
  <c r="KP863" i="1"/>
  <c r="JZ864" i="1"/>
  <c r="KH864" i="1"/>
  <c r="KP864" i="1"/>
  <c r="JZ865" i="1"/>
  <c r="KH865" i="1"/>
  <c r="KP865" i="1"/>
  <c r="JZ866" i="1"/>
  <c r="KH866" i="1"/>
  <c r="KP866" i="1"/>
  <c r="JZ867" i="1"/>
  <c r="KH867" i="1"/>
  <c r="KP867" i="1"/>
  <c r="JZ868" i="1"/>
  <c r="KH868" i="1"/>
  <c r="KP868" i="1"/>
  <c r="JZ869" i="1"/>
  <c r="KH869" i="1"/>
  <c r="KP869" i="1"/>
  <c r="JZ870" i="1"/>
  <c r="KH870" i="1"/>
  <c r="KP870" i="1"/>
  <c r="JZ871" i="1"/>
  <c r="KH871" i="1"/>
  <c r="KP871" i="1"/>
  <c r="JZ872" i="1"/>
  <c r="KH872" i="1"/>
  <c r="KP872" i="1"/>
  <c r="JZ873" i="1"/>
  <c r="KH873" i="1"/>
  <c r="KP873" i="1"/>
  <c r="JZ874" i="1"/>
  <c r="KH874" i="1"/>
  <c r="KP874" i="1"/>
  <c r="JZ847" i="1"/>
  <c r="AB423" i="15"/>
  <c r="AA211" i="16"/>
  <c r="AA423" i="15"/>
  <c r="C142" i="20"/>
  <c r="E140" i="20"/>
  <c r="D148" i="20"/>
  <c r="E147" i="20"/>
  <c r="D155" i="20"/>
  <c r="C149" i="20"/>
  <c r="D141" i="20"/>
  <c r="C147" i="20"/>
  <c r="C146" i="20"/>
  <c r="C140" i="20"/>
  <c r="E142" i="20"/>
  <c r="C139" i="20"/>
  <c r="E154" i="20"/>
  <c r="C154" i="20"/>
  <c r="D139" i="20"/>
  <c r="E153" i="20"/>
  <c r="D154" i="20"/>
  <c r="D142" i="20"/>
  <c r="D147" i="20"/>
  <c r="H13" i="23"/>
  <c r="B39" i="23"/>
  <c r="F45" i="23"/>
  <c r="C89" i="23"/>
  <c r="V10" i="23"/>
  <c r="B37" i="23"/>
  <c r="E43" i="23"/>
  <c r="B33" i="23"/>
  <c r="C40" i="23"/>
  <c r="C78" i="23"/>
  <c r="D10" i="23"/>
  <c r="C32" i="23"/>
  <c r="E36" i="23"/>
  <c r="C41" i="23"/>
  <c r="E45" i="23"/>
  <c r="F50" i="23"/>
  <c r="H30" i="23"/>
  <c r="L50" i="23"/>
  <c r="H9" i="23"/>
  <c r="B36" i="23"/>
  <c r="E46" i="23"/>
  <c r="C93" i="23"/>
  <c r="B34" i="23"/>
  <c r="F43" i="23"/>
  <c r="C81" i="23"/>
  <c r="V11" i="23"/>
  <c r="D79" i="23"/>
  <c r="D74" i="23"/>
  <c r="D83" i="23"/>
  <c r="D92" i="23"/>
  <c r="R11" i="23"/>
  <c r="D75" i="23"/>
  <c r="D89" i="23"/>
  <c r="P11" i="23"/>
  <c r="A21" i="23"/>
  <c r="E34" i="23"/>
  <c r="F39" i="23"/>
  <c r="F47" i="23"/>
  <c r="C91" i="23"/>
  <c r="H32" i="23"/>
  <c r="F38" i="23"/>
  <c r="E44" i="23"/>
  <c r="C36" i="23"/>
  <c r="F41" i="23"/>
  <c r="C83" i="23"/>
  <c r="P10" i="23"/>
  <c r="C33" i="23"/>
  <c r="E37" i="23"/>
  <c r="B42" i="23"/>
  <c r="E47" i="23"/>
  <c r="E33" i="23"/>
  <c r="E32" i="23"/>
  <c r="C75" i="23"/>
  <c r="R10" i="23"/>
  <c r="C39" i="23"/>
  <c r="C50" i="23"/>
  <c r="S10" i="23"/>
  <c r="C35" i="23"/>
  <c r="F44" i="23"/>
  <c r="C85" i="23"/>
  <c r="D73" i="23"/>
  <c r="D80" i="23"/>
  <c r="D87" i="23"/>
  <c r="A7" i="23"/>
  <c r="D76" i="23"/>
  <c r="D85" i="23"/>
  <c r="E10" i="23"/>
  <c r="O11" i="23"/>
  <c r="D77" i="23"/>
  <c r="D91" i="23"/>
  <c r="X11" i="23"/>
  <c r="B44" i="23"/>
  <c r="F48" i="23"/>
  <c r="E38" i="23"/>
  <c r="C43" i="23"/>
  <c r="C82" i="23"/>
  <c r="F10" i="23"/>
  <c r="F13" i="23"/>
  <c r="B35" i="23"/>
  <c r="E41" i="23"/>
  <c r="N32" i="23"/>
  <c r="B38" i="23"/>
  <c r="C74" i="23"/>
  <c r="C92" i="23"/>
  <c r="X10" i="23"/>
  <c r="E35" i="23"/>
  <c r="E39" i="23"/>
  <c r="H43" i="23"/>
  <c r="N50" i="23"/>
  <c r="C42" i="23"/>
  <c r="N43" i="23"/>
  <c r="C84" i="23"/>
  <c r="F34" i="23"/>
  <c r="E42" i="23"/>
  <c r="C86" i="23"/>
  <c r="B32" i="23"/>
  <c r="F42" i="23"/>
  <c r="C76" i="23"/>
  <c r="A10" i="23"/>
  <c r="T11" i="23"/>
  <c r="U11" i="23"/>
  <c r="D81" i="23"/>
  <c r="D90" i="23"/>
  <c r="L1" i="23"/>
  <c r="E80" i="23"/>
  <c r="J13" i="23"/>
  <c r="D84" i="23"/>
  <c r="C10" i="23"/>
  <c r="D93" i="23"/>
  <c r="C44" i="23"/>
  <c r="A23" i="23"/>
  <c r="N38" i="23"/>
  <c r="F35" i="23"/>
  <c r="E40" i="23"/>
  <c r="B50" i="23"/>
  <c r="B10" i="23"/>
  <c r="B13" i="23"/>
  <c r="F33" i="23"/>
  <c r="B40" i="23"/>
  <c r="W10" i="23"/>
  <c r="C37" i="23"/>
  <c r="F46" i="23"/>
  <c r="C88" i="23"/>
  <c r="T10" i="23"/>
  <c r="C34" i="23"/>
  <c r="C38" i="23"/>
  <c r="B43" i="23"/>
  <c r="J50" i="23"/>
  <c r="F37" i="23"/>
  <c r="F36" i="23"/>
  <c r="C77" i="23"/>
  <c r="F32" i="23"/>
  <c r="F40" i="23"/>
  <c r="C79" i="23"/>
  <c r="U30" i="23"/>
  <c r="B41" i="23"/>
  <c r="E50" i="23"/>
  <c r="C90" i="23"/>
  <c r="S11" i="23"/>
  <c r="Q11" i="23"/>
  <c r="D78" i="23"/>
  <c r="D88" i="23"/>
  <c r="A11" i="23"/>
  <c r="W11" i="23"/>
  <c r="D82" i="23"/>
  <c r="J9" i="23"/>
  <c r="B23" i="23"/>
  <c r="E48" i="23"/>
  <c r="B27" i="23"/>
  <c r="H38" i="23"/>
  <c r="C141" i="20"/>
  <c r="D149" i="20"/>
  <c r="C153" i="20"/>
  <c r="E149" i="20"/>
  <c r="D153" i="20"/>
  <c r="C148" i="20"/>
  <c r="E155" i="20"/>
  <c r="C155" i="20"/>
  <c r="E148" i="20"/>
  <c r="KL954" i="1"/>
  <c r="KD954" i="1"/>
  <c r="JZ954" i="1"/>
  <c r="D13" i="23"/>
  <c r="B19" i="23"/>
  <c r="A19" i="23"/>
  <c r="B21" i="23"/>
  <c r="A27" i="23"/>
  <c r="B25" i="23"/>
  <c r="A25" i="23"/>
  <c r="JR954" i="1"/>
  <c r="KO954" i="1"/>
  <c r="KP954" i="1"/>
  <c r="G24" i="20"/>
  <c r="G22" i="20"/>
  <c r="P12" i="23"/>
  <c r="U12" i="23"/>
  <c r="X12" i="23"/>
  <c r="O12" i="23"/>
  <c r="V12" i="23"/>
  <c r="T12" i="23"/>
  <c r="L9" i="23"/>
  <c r="E73" i="23"/>
  <c r="R12" i="23"/>
  <c r="S12" i="23"/>
  <c r="E87" i="23"/>
  <c r="A86" i="23"/>
  <c r="Q10" i="23"/>
  <c r="Q12" i="23"/>
  <c r="L13" i="23"/>
  <c r="W12" i="23"/>
  <c r="A79" i="23"/>
  <c r="O10" i="23"/>
  <c r="A93" i="23"/>
  <c r="U10" i="23"/>
</calcChain>
</file>

<file path=xl/comments1.xml><?xml version="1.0" encoding="utf-8"?>
<comments xmlns="http://schemas.openxmlformats.org/spreadsheetml/2006/main">
  <authors>
    <author>Jay Goulden</author>
  </authors>
  <commentList>
    <comment ref="FO295" authorId="0" shapeId="0">
      <text>
        <r>
          <rPr>
            <b/>
            <sz val="9"/>
            <color indexed="81"/>
            <rFont val="Tahoma"/>
            <family val="2"/>
          </rPr>
          <t>Jay Goulden:</t>
        </r>
        <r>
          <rPr>
            <sz val="9"/>
            <color indexed="81"/>
            <rFont val="Tahoma"/>
            <family val="2"/>
          </rPr>
          <t xml:space="preserve">
Removed, as per CO email 180105</t>
        </r>
      </text>
    </comment>
    <comment ref="FO303" authorId="0" shapeId="0">
      <text>
        <r>
          <rPr>
            <b/>
            <sz val="9"/>
            <color indexed="81"/>
            <rFont val="Tahoma"/>
            <family val="2"/>
          </rPr>
          <t>Jay Goulden:</t>
        </r>
        <r>
          <rPr>
            <sz val="9"/>
            <color indexed="81"/>
            <rFont val="Tahoma"/>
            <family val="2"/>
          </rPr>
          <t xml:space="preserve">
Removed, as per CO email 180105</t>
        </r>
      </text>
    </comment>
    <comment ref="FO310" authorId="0" shapeId="0">
      <text>
        <r>
          <rPr>
            <b/>
            <sz val="9"/>
            <color indexed="81"/>
            <rFont val="Tahoma"/>
            <family val="2"/>
          </rPr>
          <t>Jay Goulden:</t>
        </r>
        <r>
          <rPr>
            <sz val="9"/>
            <color indexed="81"/>
            <rFont val="Tahoma"/>
            <family val="2"/>
          </rPr>
          <t xml:space="preserve">
Removed, as per CO email 180105</t>
        </r>
      </text>
    </comment>
    <comment ref="FO319" authorId="0" shapeId="0">
      <text>
        <r>
          <rPr>
            <b/>
            <sz val="9"/>
            <color indexed="81"/>
            <rFont val="Tahoma"/>
            <family val="2"/>
          </rPr>
          <t>Jay Goulden:</t>
        </r>
        <r>
          <rPr>
            <sz val="9"/>
            <color indexed="81"/>
            <rFont val="Tahoma"/>
            <family val="2"/>
          </rPr>
          <t xml:space="preserve">
Removed, as per CO email 180105</t>
        </r>
      </text>
    </comment>
  </commentList>
</comments>
</file>

<file path=xl/sharedStrings.xml><?xml version="1.0" encoding="utf-8"?>
<sst xmlns="http://schemas.openxmlformats.org/spreadsheetml/2006/main" count="70506" uniqueCount="14804">
  <si>
    <t>Country</t>
  </si>
  <si>
    <t>Region</t>
  </si>
  <si>
    <t xml:space="preserve">Code in PIIRS system </t>
  </si>
  <si>
    <t>Project/Initiative Name</t>
  </si>
  <si>
    <t>Project/Initiative ID, number or code (coding system in your country) (1)</t>
  </si>
  <si>
    <t>CARE International Member related to the project/initiative (acting as contract holder or leading) (1)</t>
  </si>
  <si>
    <t>Type of donor (1)</t>
  </si>
  <si>
    <t>Donor(s) generic name (1)</t>
  </si>
  <si>
    <t>Donor(s) full name (1)</t>
  </si>
  <si>
    <t>Project/Initiative ID, number or code (coding system in your country) (2)</t>
  </si>
  <si>
    <t>CARE International Member related to the project/initiative (acting as contract holder or leading) (2)</t>
  </si>
  <si>
    <t>Type of donor (2)</t>
  </si>
  <si>
    <t>Donor(s) generic name (2)</t>
  </si>
  <si>
    <t>Donor(s) full name (2)</t>
  </si>
  <si>
    <t>Project/Initiative ID, number or code (coding system in your country) (3)</t>
  </si>
  <si>
    <t>CARE International Member related to the project/initiative (acting as contract holder or leading) (3)</t>
  </si>
  <si>
    <t>Type of donor (3)</t>
  </si>
  <si>
    <t>Donor(s) generic name (3)</t>
  </si>
  <si>
    <t>Donor(s) full name (3)</t>
  </si>
  <si>
    <t>Project/Initiative ID, number or code (coding system in your country) (4)</t>
  </si>
  <si>
    <t>CARE International Member related to the project/initiative (acting as contract holder or leading) (4)</t>
  </si>
  <si>
    <t>Type of donor (4)</t>
  </si>
  <si>
    <t>Donor(s) generic name (4)</t>
  </si>
  <si>
    <t>Donor(s) full name (4)</t>
  </si>
  <si>
    <t>Project/Initiative ID, number or code (coding system in your country) (5)</t>
  </si>
  <si>
    <t>CARE International Member related to the project/initiative (acting as contract holder or leading) (5)</t>
  </si>
  <si>
    <t>Type of donor (5)</t>
  </si>
  <si>
    <t>Donor(s) generic name (5)</t>
  </si>
  <si>
    <t>Donor(s) full name (5)</t>
  </si>
  <si>
    <t>Project/Initiative ID, number or code (coding system in your country) (6)</t>
  </si>
  <si>
    <t>CARE International Member related to the project/initiative (acting as contract holder or leading) (6)</t>
  </si>
  <si>
    <t>Type of donor (6)</t>
  </si>
  <si>
    <t>Donor(s) generic name (6)</t>
  </si>
  <si>
    <t>Donor(s) full name (6)</t>
  </si>
  <si>
    <t>Project/Initiative ID, number or code (coding system in your country) (7)</t>
  </si>
  <si>
    <t>CARE International Member related to the project/initiative (acting as contract holder or leading) (7)</t>
  </si>
  <si>
    <t>Type of donor (7)</t>
  </si>
  <si>
    <t>Donor(s) generic name (7)</t>
  </si>
  <si>
    <t>Donor(s) full name (7)</t>
  </si>
  <si>
    <t>Project/Initiative ID, number or code (coding system in your country) (8)</t>
  </si>
  <si>
    <t>CARE International Member related to the project/initiative (acting as contract holder or leading) (8)</t>
  </si>
  <si>
    <t>Type of donor (8)</t>
  </si>
  <si>
    <t>Donor(s) generic name (8)</t>
  </si>
  <si>
    <t>Donor(s) full name (8)</t>
  </si>
  <si>
    <t>Project/Initiative ID, number or code (coding system in your country) (9)</t>
  </si>
  <si>
    <t>CARE International Member related to the project/initiative (acting as contract holder or leading) (9)</t>
  </si>
  <si>
    <t>Type of donor (9)</t>
  </si>
  <si>
    <t>Donor(s) generic name (9)</t>
  </si>
  <si>
    <t>Donor(s) full name (9)</t>
  </si>
  <si>
    <t>Project/Initiative ID, number or code (coding system in your country) (10)</t>
  </si>
  <si>
    <t>CARE International Member related to the project/initiative (acting as contract holder or leading) (10)</t>
  </si>
  <si>
    <t>Type of donor (10)</t>
  </si>
  <si>
    <t>Donor(s) generic name (10)</t>
  </si>
  <si>
    <t>Donor(s) full name (10)</t>
  </si>
  <si>
    <t>Project/initiative start date (dd/mm/yy)</t>
  </si>
  <si>
    <t>Project/initiative end date (dd/mm/yy)</t>
  </si>
  <si>
    <t>New End date (In case of extension) (dd/mm/yy)</t>
  </si>
  <si>
    <t>Program Type classification: Please indicate the predominant programmatic area in which the project concentrates its investments</t>
  </si>
  <si>
    <t xml:space="preserve"> Total budget for the life of the project/initiative (in US dollars)</t>
  </si>
  <si>
    <t>Contact 1 - Name</t>
  </si>
  <si>
    <t>Contact 1 - Position</t>
  </si>
  <si>
    <t>Contact 1 - EMail</t>
  </si>
  <si>
    <t>Contact 2 - Name</t>
  </si>
  <si>
    <t>Contact 2 - Position</t>
  </si>
  <si>
    <t>Contact 2 - EMail</t>
  </si>
  <si>
    <t>Does the project/initiative focus its actions in long-term development, humanitarian or both types of work? (Humanitarian)</t>
  </si>
  <si>
    <t>Does the project/initiative focus its actions in long-term development, humanitarian or both types of work? (Long-term development)</t>
  </si>
  <si>
    <t>Does the project/initiative focus its actions in long-term development, humanitarian or both types of work? (Both long-term development and humanitarian outcomes/impacts)</t>
  </si>
  <si>
    <t>What is the main goal of the project/initiative? Please describe.</t>
  </si>
  <si>
    <t>Select from the list the geographical scope of the project/initiative</t>
  </si>
  <si>
    <t>Please describe the specific location of the project/initiative (e.g. countries, regions, provinces, cities or municipalities)</t>
  </si>
  <si>
    <t>Please describe the main impact group of the project/initiative, that is, the people who are expected to experience positive and lasting change supported by the project/initiative</t>
  </si>
  <si>
    <t>Direct participants in the life of the project/initiative, by sex - # women and girls</t>
  </si>
  <si>
    <t>Direct participants in the life of the project/initiative, by sex - # men and boys</t>
  </si>
  <si>
    <t>Direct participants in the life of the project/initiative, by sex - # total</t>
  </si>
  <si>
    <t>Indirect participants in the life of the project/initiative, by sex - # women and girls</t>
  </si>
  <si>
    <t>Indirect participants in the life of the project/initiative, by sex - # men and boys</t>
  </si>
  <si>
    <t>Indirect participants in the life of the project/initiative, by sex - # total</t>
  </si>
  <si>
    <t>Please describe who the direct &amp; indirect participants are, and how they are calculated</t>
  </si>
  <si>
    <t>Fiscal Year</t>
  </si>
  <si>
    <t>Humanitarian - Direct participants of the project/initiative in the fiscal year - # women and girls</t>
  </si>
  <si>
    <t>Humanitarian - Direct participants of the project/initiative in the fiscal year - # men and boys</t>
  </si>
  <si>
    <t>Humanitarian - Direct participants of the project/initiative in the fiscal year - # total</t>
  </si>
  <si>
    <t>Humanitarian - Indirect participants of the project/initiative in the fiscal year - # women and girls</t>
  </si>
  <si>
    <t>Humanitarian - Indirect participants of the project/initiative in the fiscal year - # men and boys</t>
  </si>
  <si>
    <t>Humanitarian - Indirect participants of the project/initiative in the fiscal year - # total</t>
  </si>
  <si>
    <t>Humanitarian - Camp management and coordination</t>
  </si>
  <si>
    <t>Humanitarian - Direct participants reached in the FY (Camp management and coordination)</t>
  </si>
  <si>
    <t>Humanitarian - % of direct participants that are women (Camp management and coordination)</t>
  </si>
  <si>
    <t>Humanitarian - Indirect participants reached in the FY (Camp management and coordination)</t>
  </si>
  <si>
    <t>Humanitarian - Cash/Voucher distribution</t>
  </si>
  <si>
    <t>Humanitarian - Direct participants reached in the FY (Cash/Voucher distribution)</t>
  </si>
  <si>
    <t>Humanitarian - % of direct participants that are women (Cash/Voucher distribution)</t>
  </si>
  <si>
    <t>Humanitarian - Indirect participants reached in the FY (Cash/Voucher distribution)</t>
  </si>
  <si>
    <t>Humanitarian - Education</t>
  </si>
  <si>
    <t>Humanitarian - Direct participants reached in the FY (Education)</t>
  </si>
  <si>
    <t>Humanitarian - % of direct participants that are women (Education)</t>
  </si>
  <si>
    <t>Humanitarian - Indirect participants reached in the FY (Education)</t>
  </si>
  <si>
    <t>Humanitarian - Food and nutrition security</t>
  </si>
  <si>
    <t>Humanitarian - Direct participants reached in the FY (Food and nutrition security)</t>
  </si>
  <si>
    <t>Humanitarian - % of direct participants that are women (Food and nutrition security)</t>
  </si>
  <si>
    <t>Humanitarian - Indirect participants reached in the FY (Food and nutrition security)</t>
  </si>
  <si>
    <t>Humanitarian - Gender based violence</t>
  </si>
  <si>
    <t>Humanitarian - Direct participants reached in the FY (Gender based violence)</t>
  </si>
  <si>
    <t>Humanitarian - % of direct participants that are women (Gender based violence)</t>
  </si>
  <si>
    <t>Humanitarian - Indirect participants reached in the FY (Gender based violence)</t>
  </si>
  <si>
    <t>Humanitarian - Gender equality (other than GBV)</t>
  </si>
  <si>
    <t>Humanitarian - Direct participants reached in the FY (Gender equality (other than GBV))</t>
  </si>
  <si>
    <t>Humanitarian - % of direct participants that are women (Gender equality (other than GBV))</t>
  </si>
  <si>
    <t>Humanitarian - Indirect participants reached in the FY (Gender equality (other than GBV))</t>
  </si>
  <si>
    <t>Humanitarian - Health (other than SRMH)</t>
  </si>
  <si>
    <t>Humanitarian - Direct participants reached in the FY (Health (other than SRMH))</t>
  </si>
  <si>
    <t>Humanitarian - % of direct participants that are women (Health (other than SRMH))</t>
  </si>
  <si>
    <t>Humanitarian - Indirect participants reached in the FY (Health (other than SRMH))</t>
  </si>
  <si>
    <t>Humanitarian - Livelihood recovery</t>
  </si>
  <si>
    <t>Humanitarian - Direct participants reached in the FY (Livelihood recovery)</t>
  </si>
  <si>
    <t>Humanitarian - % of direct participants that are women (Livelihood recovery)</t>
  </si>
  <si>
    <t>Humanitarian - Indirect participants reached in the FY (Livelihood recovery)</t>
  </si>
  <si>
    <t>Humanitarian - Protection</t>
  </si>
  <si>
    <t>Humanitarian - Direct participants reached in the FY (Protection)</t>
  </si>
  <si>
    <t>Humanitarian - % of direct participants that are women (Protection)</t>
  </si>
  <si>
    <t>Humanitarian - Indirect participants reached in the FY (Protection)</t>
  </si>
  <si>
    <t>Humanitarian - Sexual, reproductive and maternal health (SRMH)</t>
  </si>
  <si>
    <t>Humanitarian - Direct participants reached in the FY (Sexual, reproductive and maternal health (SRMH))</t>
  </si>
  <si>
    <t>Humanitarian - % of direct participants that are women (Sexual, reproductive and maternal health (SRMH))</t>
  </si>
  <si>
    <t>Humanitarian - Indirect participants reached in the FY (Sexual, reproductive and maternal health (SRMH))</t>
  </si>
  <si>
    <t>Humanitarian - Shelter</t>
  </si>
  <si>
    <t>Humanitarian - Direct participants reached in the FY (Shelter)</t>
  </si>
  <si>
    <t>Humanitarian - % of direct participants that are women (Shelter)</t>
  </si>
  <si>
    <t>Humanitarian - Indirect participants reached in the FY (Shelter)</t>
  </si>
  <si>
    <t>Humanitarian - Water, sanitation and hygiene (WASH)</t>
  </si>
  <si>
    <t>Humanitarian - Direct participants reached in the FY (Water, sanitation and hygiene (WASH))</t>
  </si>
  <si>
    <t>Humanitarian - % of direct participants that are women (Water, sanitation and hygiene (WASH))</t>
  </si>
  <si>
    <t>Humanitarian - Indirect participants reached in the FY (Water, sanitation and hygiene (WASH))</t>
  </si>
  <si>
    <t>Humanitarian - Other</t>
  </si>
  <si>
    <t>Humanitarian - Other (describe)</t>
  </si>
  <si>
    <t>Humanitarian - Direct participants reached in the FY (Other)</t>
  </si>
  <si>
    <t>Humanitarian - % of direct participants that are women (Other)</t>
  </si>
  <si>
    <t>Humanitarian - Indirect participants reached in the FY (Other)</t>
  </si>
  <si>
    <t>Development - Direct participants of the project or initiative in the fiscal year (long-term development) - # women and girls</t>
  </si>
  <si>
    <t>Development - Direct participants of the project or initiative in the fiscal year (long-term development) - # men and boys</t>
  </si>
  <si>
    <t>Development - Direct participants of the project or initiative in the fiscal year (long-term development) - # total</t>
  </si>
  <si>
    <t>Development - Indirect participants of the project or initiative in the fiscal year (long-term development) - # women and girls</t>
  </si>
  <si>
    <t>Development - Indirect participants of the project or initiative in the fiscal year (long-term development) - # men and boys</t>
  </si>
  <si>
    <t>Development - Indirect participants of the project or initiative in the fiscal year (long-term development) - # total</t>
  </si>
  <si>
    <t>Development - Agriculture</t>
  </si>
  <si>
    <t>Development - Direct participants reached in the FY (Agriculture)</t>
  </si>
  <si>
    <t>Development - % of direct participants that are women (Agriculture)</t>
  </si>
  <si>
    <t>Development - Indirect participants reached in the FY (Agriculture)</t>
  </si>
  <si>
    <t>Development - Climate change and resilience</t>
  </si>
  <si>
    <t>Development - Direct participants reached in the FY (Climate change and resilience)</t>
  </si>
  <si>
    <t>Development - % of direct participants that are women (Climate change and resilience)</t>
  </si>
  <si>
    <t>Development - Indirect participants reached in the FY (Climate change and resilience)</t>
  </si>
  <si>
    <t>Development - Conflict and peace building</t>
  </si>
  <si>
    <t>Development - Direct participants reached in the FY (Conflict and peace building)</t>
  </si>
  <si>
    <t>Development - % of direct participants that are women (Conflict and peace building)</t>
  </si>
  <si>
    <t>Development - Indirect participants reached in the FY (Conflict and peace building)</t>
  </si>
  <si>
    <t>Development - Disaster risk reduction</t>
  </si>
  <si>
    <t>Development - Direct participants reached in the FY (Disaster risk reduction)</t>
  </si>
  <si>
    <t>Development - % of direct participants that are women (Disaster risk reduction)</t>
  </si>
  <si>
    <t>Development - Indirect participants reached in the FY (Disaster risk reduction)</t>
  </si>
  <si>
    <t>Development - Economic development (other than WEE)</t>
  </si>
  <si>
    <t>Development - Direct participants reached in the FY (Economic development (other than WEE))</t>
  </si>
  <si>
    <t>Development - % of direct participants that are women (Economic development (other than WEE))</t>
  </si>
  <si>
    <t>Development - Indirect participants reached in the FY (Economic development (other than WEE))</t>
  </si>
  <si>
    <t>Development - Education</t>
  </si>
  <si>
    <t>Development - Direct participants reached in the FY (Education)</t>
  </si>
  <si>
    <t>Development - % of direct participants that are women (Education)</t>
  </si>
  <si>
    <t>Development - Indirect participants reached in the FY (Education)</t>
  </si>
  <si>
    <t>Development - Food and nutrition security</t>
  </si>
  <si>
    <t>Development - Direct participants reached in the FY (Food and nutrition security)</t>
  </si>
  <si>
    <t>Development - % of direct participants that are women (Food and nutrition security)</t>
  </si>
  <si>
    <t>Development - Indirect participants reached in the FY (Food and nutrition security)</t>
  </si>
  <si>
    <t>Development - Gender based violence (GBV)</t>
  </si>
  <si>
    <t>Development - Direct participants reached in the FY (Gender based violence (GBV))</t>
  </si>
  <si>
    <t>Development - % of direct participants that are women (Gender based violence (GBV))</t>
  </si>
  <si>
    <t>Development - Indirect participants reached in the FY (Gender based violence (GBV))</t>
  </si>
  <si>
    <t>Development - Gender equality (other than GBV)</t>
  </si>
  <si>
    <t>Development - Direct participants reached in the FY (Gender equality (other than GBV))</t>
  </si>
  <si>
    <t>Development - % of direct participants that are women (Gender equality (other than GBV))</t>
  </si>
  <si>
    <t>Development - Indirect participants reached in the FY (Gender equality (other than GBV))</t>
  </si>
  <si>
    <t>Development - Health (other than SRMH)</t>
  </si>
  <si>
    <t>Development - Direct participants reached in the FY (Health (other than SRMH))</t>
  </si>
  <si>
    <t>Development - % of direct participants that are women (Health (other than SRMH))</t>
  </si>
  <si>
    <t>Development - Indirect participants reached in the FY (Health (other than SRMH))</t>
  </si>
  <si>
    <t>Development - Infrastructure</t>
  </si>
  <si>
    <t>Development - Direct participants reached in the FY (Infrastructure)</t>
  </si>
  <si>
    <t>Development - % of direct participants that are women (Infrastructure)</t>
  </si>
  <si>
    <t>Development - Indirect participants reached in the FY (Infrastructure)</t>
  </si>
  <si>
    <t>Development - Natural resource management</t>
  </si>
  <si>
    <t>Development - Direct participants reached in the FY (Natural resource management)</t>
  </si>
  <si>
    <t>Development - % of direct participants that are women (Natural resource management)</t>
  </si>
  <si>
    <t>Development - Indirect participants reached in the FY (Natural resource management)</t>
  </si>
  <si>
    <t>Development - Participation and good governance</t>
  </si>
  <si>
    <t>Development - Direct participants reached in the FY (Participation and good governance)</t>
  </si>
  <si>
    <t>Development - % of direct participants that are women (Participation and good governance)</t>
  </si>
  <si>
    <t>Development - Indirect participants reached in the FY (Participation and good governance)</t>
  </si>
  <si>
    <t>Development - Sexual, reproductive and maternal health (SRMH)</t>
  </si>
  <si>
    <t>Development - Direct participants reached in the FY (Sexual, reproductive and maternal health (SRMH))</t>
  </si>
  <si>
    <t>Development - % of direct participants that are women (Sexual, reproductive and maternal health (SRMH))</t>
  </si>
  <si>
    <t>Development - Indirect participants reached in the FY (Sexual, reproductive and maternal health (SRMH))</t>
  </si>
  <si>
    <t>Development - Water, sanitation and hygiene (WASH)</t>
  </si>
  <si>
    <t>Development - Direct participants reached in the FY (Water, sanitation and hygiene (WASH))</t>
  </si>
  <si>
    <t>Development - % of direct participants that are women (Water, sanitation and hygiene (WASH))</t>
  </si>
  <si>
    <t>Development - Indirect participants reached in the FY (Water, sanitation and hygiene (WASH))</t>
  </si>
  <si>
    <t>Development - Women's economic empowerment (WEE)</t>
  </si>
  <si>
    <t>Development - Direct participants reached in the FY (Women's economic empowerment (WEE))</t>
  </si>
  <si>
    <t>Development - % of direct participants that are women (Women's economic empowerment (WEE))</t>
  </si>
  <si>
    <t>Development - Indirect participants reached in the FY (Women's economic empowerment (WEE))</t>
  </si>
  <si>
    <t>Development - Other</t>
  </si>
  <si>
    <t>Development - Other (describe)</t>
  </si>
  <si>
    <t>Development - Direct participants reached in the FY (Other)</t>
  </si>
  <si>
    <t>Development - % of direct participants that are women (Other)</t>
  </si>
  <si>
    <t>Development - Indirect participants reached in the FY (Other)</t>
  </si>
  <si>
    <t xml:space="preserve">Has any baseline or evaluation taken place for this project in this FY? </t>
  </si>
  <si>
    <t xml:space="preserve">Month </t>
  </si>
  <si>
    <t xml:space="preserve">Year </t>
  </si>
  <si>
    <t>If a baseline or evaluation has taken place, has it compiled and documented evidence of impact/outcomes/lasting change for any of the 25 global indicators of the CARE 2020 Program Strategy? Or any other indicator that relates to the outcomes and approach of the CARE 2020 Program Strategy?</t>
  </si>
  <si>
    <t xml:space="preserve">Is any evaluation for this project planned for the next FY? </t>
  </si>
  <si>
    <t>Month</t>
  </si>
  <si>
    <t>Year</t>
  </si>
  <si>
    <t>Please provide any further comments or information related to future evaluations for this project (methodological issues, complexity of the evaluation, comparability with baseline, support required, etc.).</t>
  </si>
  <si>
    <t>To what extent did the project/initiative engage in advocacy in this FY?</t>
  </si>
  <si>
    <t>Adoption of new policy</t>
  </si>
  <si>
    <t>Advocay against harmful policy</t>
  </si>
  <si>
    <t>Adoption of a CARE program model/approach</t>
  </si>
  <si>
    <t>Implementation of existing policy</t>
  </si>
  <si>
    <t>Influencing national or international programs</t>
  </si>
  <si>
    <t>Influencing government's participation in regional/global policy platforms (UN,WHO,etc)</t>
  </si>
  <si>
    <t>Budget allocation for policy</t>
  </si>
  <si>
    <t>Other (please describe)</t>
  </si>
  <si>
    <t>Other (please describe) describe</t>
  </si>
  <si>
    <t>To what extent did the project/initiative develop innovations for fighting poverty and inequality  in this FY?</t>
  </si>
  <si>
    <t>Please describe the main innovations</t>
  </si>
  <si>
    <t>To what extent did the project/initiative link or work with strategic alliances and partners to take tested and effective solutions to scale in this FY?</t>
  </si>
  <si>
    <t>Please describe the tested solutions taken to scale</t>
  </si>
  <si>
    <t>To what extent did the project/initiative focus on addressing sexual and gender based violence (GBV) in this FY?</t>
  </si>
  <si>
    <t>Please select the statement that best describes this year's actions for strengthening women's empowerment and gender equality</t>
  </si>
  <si>
    <t>Gender Marker – Analysis</t>
  </si>
  <si>
    <t>Gender Marker – Activities</t>
  </si>
  <si>
    <t>Gender Marker – Participation</t>
  </si>
  <si>
    <t>Gender Marker – M&amp;E Systems</t>
  </si>
  <si>
    <t>Gender marker score</t>
  </si>
  <si>
    <t>Number of YES answers</t>
  </si>
  <si>
    <t>Please select the statement that best describes this year's actions for promoting inclusive governance this FY?</t>
  </si>
  <si>
    <t>Governance Marker – Analysis</t>
  </si>
  <si>
    <t>Governance Marker – Activities</t>
  </si>
  <si>
    <t>Governance Marker – Integration</t>
  </si>
  <si>
    <t>Governance Marker – CARE’s own accountability</t>
  </si>
  <si>
    <t>Governance marker score</t>
  </si>
  <si>
    <t>Number of YES  answers</t>
  </si>
  <si>
    <t>Please select the statement that best describes this year's actions for increasing resilience this FY</t>
  </si>
  <si>
    <t>Resilience marker - Analysis</t>
  </si>
  <si>
    <t>Resilience marker - Activities</t>
  </si>
  <si>
    <t>Resilience marker - Risk Landscape</t>
  </si>
  <si>
    <t>Resilience marker score</t>
  </si>
  <si>
    <t>Number  of YES answers</t>
  </si>
  <si>
    <t>To what extent did the project/initiative have a strategy yo address current or future social and environmental vulnerability caudes by climate change in this FY?</t>
  </si>
  <si>
    <t>To what extent was the project/initiative implemented with and/or through partners in this FY?</t>
  </si>
  <si>
    <t>Please indicate the number of partners the project/initiative worked with in this FY</t>
  </si>
  <si>
    <t>Type of partners (1)</t>
  </si>
  <si>
    <t>Type of partners (2)</t>
  </si>
  <si>
    <t>Type of partners (3)</t>
  </si>
  <si>
    <t>To what extent did the project contribute to strengthening civil society in the FY?</t>
  </si>
  <si>
    <t>Please share any example of the types of support and/or activities CARE has provided to strengthen civil society in the FY</t>
  </si>
  <si>
    <t>Please describe any important changes or adjustments the project/initiative has experienced in this FY, as a result of reflecting on the extent to which it is addressing CARE's approach and roles.</t>
  </si>
  <si>
    <t>Learning - strategies or models  proven to be the most effective/impactful  1</t>
  </si>
  <si>
    <t>Learning - strategies or models  proven to be the most effective/impactful  2</t>
  </si>
  <si>
    <t>Learning - strategies or models  proven to be the most effective/impactful  3</t>
  </si>
  <si>
    <t>Lesson learned 1</t>
  </si>
  <si>
    <t>Lesson learned 2</t>
  </si>
  <si>
    <t>Lesson learned 3</t>
  </si>
  <si>
    <t>Please share any additional comments you my have about this year's implementation of the project/initiative, or about the data provided in this form.</t>
  </si>
  <si>
    <t>Please provide with references to any key documents and/or links from the project/initiative, related to the data provided in this form: proposal, log frame progress reports, evaluations, vetting forms of the markers, etc.</t>
  </si>
  <si>
    <t>Total Direct Participants in the Fiscal Year</t>
  </si>
  <si>
    <t>Total Indirect Participants in the Fiscal Year</t>
  </si>
  <si>
    <t>Total Indirect/Direct Participants ratio in the Fiscal Year</t>
  </si>
  <si>
    <t>% women from total participants (Direct)</t>
  </si>
  <si>
    <t>% women from total participants (Indirect)</t>
  </si>
  <si>
    <t>Outcome area - Humanitarian</t>
  </si>
  <si>
    <t>Total Participants Humanitarian Direct</t>
  </si>
  <si>
    <t>Total Participants Humanitarian Indirect</t>
  </si>
  <si>
    <t>Total Participants Humanitarian Indirect/Direct participants ratio</t>
  </si>
  <si>
    <t>Outcome area - FNS</t>
  </si>
  <si>
    <t>Total Participants Food and Nutrition Security and Climate Change Resilience Direct</t>
  </si>
  <si>
    <t>Total Participants Food and Nutrition Security and Climate Change Resilience Indirect</t>
  </si>
  <si>
    <t>Total Participants Food and Nutrition Security and Climate Change Resilience Indirect/Direct participants ratio</t>
  </si>
  <si>
    <t>Outcome area - SRMH</t>
  </si>
  <si>
    <t>Total Participants Sexual, Reproductive and Maternal Health Rights Direct</t>
  </si>
  <si>
    <t>Total Participants Sexual, Reproductive and Maternal Health Rights Indirect</t>
  </si>
  <si>
    <t>Total Participants Sexual, Reproductive and Maternal Health Rights Indirect/Direct participants ratio</t>
  </si>
  <si>
    <t>Outcome area - LFFV</t>
  </si>
  <si>
    <t>Total Participants A Life Free From Violence Direct</t>
  </si>
  <si>
    <t>Total Participants A Life Free From Violence Indirect</t>
  </si>
  <si>
    <t>Total Participants A Life Free From Violence Indirect/Direct participants ratio</t>
  </si>
  <si>
    <t>Outcome area - WEE</t>
  </si>
  <si>
    <t>Total Participants Women's Economic Empowerment Direct</t>
  </si>
  <si>
    <t>Total Participants Women's Economic Empowerment Indirect</t>
  </si>
  <si>
    <t>Total Participants Women's Economic Empowerment Indirect/Direct participants ratio</t>
  </si>
  <si>
    <t>Integration of the CARE Approach (Gender)</t>
  </si>
  <si>
    <t>Integration of the CARE Approach (Governance)</t>
  </si>
  <si>
    <t>Integration of the CARE Approach (Resilience)</t>
  </si>
  <si>
    <t>Multiplying Impact (Innovation)</t>
  </si>
  <si>
    <t>Multiplying Impact (Advocacy)</t>
  </si>
  <si>
    <t>Multiplying Impact (Scale up)</t>
  </si>
  <si>
    <t>Afghanistan</t>
  </si>
  <si>
    <t>Asia and the Pacific</t>
  </si>
  <si>
    <t>Empowerment Through Education in Afghanistan</t>
  </si>
  <si>
    <t>CAUSAF0030, AU116</t>
  </si>
  <si>
    <t>CARE Australia</t>
  </si>
  <si>
    <t>Government</t>
  </si>
  <si>
    <t>Government - Australia</t>
  </si>
  <si>
    <t>Development Other</t>
  </si>
  <si>
    <t>Wahidullah Wahid</t>
  </si>
  <si>
    <t>Sr.Program Coordinator</t>
  </si>
  <si>
    <t>wahidullah.wahid@care.org</t>
  </si>
  <si>
    <t>Azizullah Nadiri</t>
  </si>
  <si>
    <t>Project  Manager</t>
  </si>
  <si>
    <t>azizullah.nadiri@care.org</t>
  </si>
  <si>
    <t>NO</t>
  </si>
  <si>
    <t>YES</t>
  </si>
  <si>
    <t>The core aim of the project is to provide greater access to quality basic education for school-aged girls and boys in remote and rural communities across the five provinces of Parwan, Kapisa, Ghazni, Paktya and Khost in northern and south-eastern Afghanistan. The project built upon CAREs experience over 19 years developing Community Based Education (CBE) programs in Afghanistan. CARE had well-established partnerships with communities in these provinces and had their strong commitment to deliver community-based education.</t>
  </si>
  <si>
    <t>National</t>
  </si>
  <si>
    <t>Country: Afghanistan, Province: Parwan, Kapisa, Ghazni, Paktya and Khost, District: Chaharikar, Jabalussaraj, Bagram, Salang, Hisa-i-Awali Kohestan, Hisa-i-Dowumi Kohestan,Kohband, Gardiz, Ghazni Center, Matun, Tani, Mando Zai</t>
  </si>
  <si>
    <t>Community Based Education (CBE) Early Child Care Education (ECCE) and Lower Secondary Community Based Educations (LSCBE) students, teachers, School Management Committee (SMC) members and their families</t>
  </si>
  <si>
    <t>Direct participants include students, teachers and village education committee members or School Management Committee. Indirect participants are the family members of the direct beneficiaries. Multiplying the number of direct beneficiaries ( students, teachers, Village Education Committee (VEC)  or School Management Committee  (SMC) members) by the size of the household on an average of 7 people per household. ( as per the national statistics 2015 repot 49 % women and 51 % men)</t>
  </si>
  <si>
    <t>Yes</t>
  </si>
  <si>
    <t>October</t>
  </si>
  <si>
    <t>November</t>
  </si>
  <si>
    <t>Based on project work plan, the EEA project will conduct Baseline and Early Grade Reading Assessment (EGRA) and Early Grade Math Assessment ( EGMA) during November 2017.</t>
  </si>
  <si>
    <t>Moderate advocacy</t>
  </si>
  <si>
    <t>It tested new ways for fighting poverty and measured results of innovation</t>
  </si>
  <si>
    <t>The project is working in building capacities of teachers and VEC members and advocating and empowering the most vulnerable including women and girls.</t>
  </si>
  <si>
    <t>It did not take tested solutions to scale</t>
  </si>
  <si>
    <t>It mainstreamed GBV in other actions/thematic areas</t>
  </si>
  <si>
    <t>ii) The project/initiative WORKED WITH existing gender roles and relations</t>
  </si>
  <si>
    <t>ii) The project/initiative WORKED WITHIN existing institutions, structures and power relations</t>
  </si>
  <si>
    <t>ii) The project/initiative WORKED on addressing the resilience of individuals and communities at risk.</t>
  </si>
  <si>
    <t>Did not have a strategy to address vulnerability caused by climate change</t>
  </si>
  <si>
    <t>CARE implemented all activities directly</t>
  </si>
  <si>
    <t>Civil society strengthening was one of the explicit objectives in the project/initiative, and it carried out actions in this FY</t>
  </si>
  <si>
    <t>provideing ongoing support to VEC members including on the job and formal trainings and involving of girls in peer group activities and monthly VEC meetings</t>
  </si>
  <si>
    <t>The project did not carry out actions in this FY to strengthen civil society</t>
  </si>
  <si>
    <t>Community engagement particulary men and women engagement in class management</t>
  </si>
  <si>
    <t>Implementation of Community score cards system in the project target areas.</t>
  </si>
  <si>
    <t>Shortage of qualified teachers is a nationwide problem in rural and remote areas of the country. The recruitment of qualified teachers is an issue that has become increasingly important to the Ministry of Education and CBE providers supporting educational development. This is particularly so because of the impact of teachers can have on children's education. Beyond recruitment strategy, there are other issues which are important to be addressed if teachers are going to be empowered in their roles as CBE teachers. Throughout EEA project, CARE strives to hire qualified individuals as CBE teachers. CARE has been able to hire a number of undergraduate or high school students to teach CBE classes. In certain cases, it was reported that a number of teachers have either irregular attendance in the training sessions and issues with applying the new methods and skills back in the classrooms though their qualification level was high.  After thorough analysis of the issue, it was specified that sometimes due to a scheduling conflict between training sessions and university mid semester exam,   these teachers were trying to attend both training sessions to the extent possible and also not miss their university exams. To address the raised issue, the project team undertook a series of activities including coordination meetings with concerned CBE teachers and VEC members and consequently could come to the following conclusion: Identification of all teachers who have the same situation will help project team in planning and delivery of trainings at a time to work best for them. Identification of all teachers who have the same situation will help project team in planning and delivery of trainings at a time to work best for them. Follow up on the job trainings for those who were not able to attend some training sessions properly in the past. Trainings should be planned and conducted either before the start or after completion of mid and final semester examination. More flexible class timing to allow teachers better manage their own education and classrooms affairs. Delivery of trainings during summer or winter breaks.</t>
  </si>
  <si>
    <t>The CBE primary classes established in the first phase of the project are now upgraded to grade five and six with more number of school subjects. Based on Project initial design, CARE has considered one teacher per class who is responsible to teach all subjects. In one of the communities, it has been reported that the school teacher has difficulty in teaching math subject. Despite, the subject upgrading training and on the job mentoring delivered by trainers some of the school teachers continue to have problems in teaching math subject. Given that, Project staff explored an alternate solution to solve the issue and noticed that there are two CBE classes in one community. Project trainers held a meeting with both school teachers and made an agreement that the teacher for boys' class who has good math skills to teach the math subject to girls class while the teacher for girls class with weaker math skills in turn will teach Dari language to boys class. In addition to that, the teacher with better math skills should work with him during school off time for a certain period. After a month we observed that the CBE teacher for girls class had improved his math skills as per basic competency indicators for math subject and his certain academic difficulties in math subject have been solved. He applies the same teaching method as the teacher for boys class does and could teach math subject well. In upper primary grades, the number of school subjects increases and it would be difficult for one school teacher to manage all and have expertise in all subjects. Therefore, project should consider one full time paid teacher and one assistant (paid half of the full salary) for upper primary grade classes in the next phase of the project. The teacher with better math skills cooperated with the teacher who had difficulties in teaching math subject for a period of around two months, which helped the project solving the issue through using available capacities and resources. Project will manage certain issues in communities where there are two or more CBE classes but it does not seem to be a long term solution and applicable in communities with only one CBE class. Therefore, we suggest considering one full time teacher and one assistant for upper primary grades in the next phase of the project.</t>
  </si>
  <si>
    <t>Proposal, logfram, baseline survey , report</t>
  </si>
  <si>
    <t>Resilient Livelihoods Project for Vulnerable Rural Communities in Balkh Province, Afghanistan</t>
  </si>
  <si>
    <t>CAUSAF0029, AU217</t>
  </si>
  <si>
    <t>Development Access to and Control over Economic Resources</t>
  </si>
  <si>
    <t>Mohammad Wakil</t>
  </si>
  <si>
    <t>mwakil@care.org</t>
  </si>
  <si>
    <t>Mohammad  Mustafa</t>
  </si>
  <si>
    <t>Project Manager</t>
  </si>
  <si>
    <t>mustafa.taheri@care.org</t>
  </si>
  <si>
    <t>To contribute to access and sustainable livelihoods for , and strenghtened resilience of , vulnerable rural communities in Charkint and Khulm districts  of Balkh province.</t>
  </si>
  <si>
    <t>Sub-National</t>
  </si>
  <si>
    <t>Khulm and Charkint districts of Balkh Province.</t>
  </si>
  <si>
    <t>Farmers, women headed household, people with disability, community elders</t>
  </si>
  <si>
    <t>Direct beneficiaries are farmers, vulenarabel women, community leaders and extension workers. Indirect are households benefiting from improved food security .The indirect beneficiaries are calculated by multiplying the number of direct beneficiaries by 8 (is the size of the household, and usually on an average 8 people per household is assumed).  ( as per the national statistics 2015 repot 49 % women and 51 % men)</t>
  </si>
  <si>
    <t>December</t>
  </si>
  <si>
    <t>Final evaluation</t>
  </si>
  <si>
    <t>It did not develop any specific innovation</t>
  </si>
  <si>
    <t>It didn't address GBV</t>
  </si>
  <si>
    <t>Civil society strengthening was not one of the explicit objectives in the project/initiative, yet it carried out actions in this FY to strengthen civil society</t>
  </si>
  <si>
    <t>Solidarity Groups (Women have membership only) are established and capacitated in terms of women/human rights, gender, conflict resolution, child protection, leadership in order to engage in decision making at household and community level. At the same time community leaders and influential trained on the same topics to make the decision making process more inclusive.  </t>
  </si>
  <si>
    <t>At the beginning, the expected number of Common Intrest Groups to be estalbishe was 30, but due to less interests of farmers project could established 10 CIG and just worked with these established groups.</t>
  </si>
  <si>
    <t>Distributing improved wheat seeds to farmers and conducting Farmer Field School are the most effective activities of project. As the agriculture sectors in Afghanistan is not improved, still farmers have used the old methods of cultivations, and are not aware about the modern practices regarding irrigation, cultivation and harvesting of plants;  in addition of distributing improved wheat seeds, project gather methods and concepts from different areas such as agroecology and community development, so farmers will be able to reduce their capacity and knowledge which leads to empowerment of farmers, integrate their own experience and information with the new methods and concept,  make a decision collectively,  improves self-confidence of farmers and improved the sustainability of crops.  </t>
  </si>
  <si>
    <t>VSLA activity eases better access of women to financial resources due to their membership in VSLA groups; it enhances Self-support, self-confidential and their participation in decision making process of household. VSLA activity supports development of micro economic activities among the target areas and decreases vulnerability of target households and mitigates impact of shocks by improving their socio-economic status in their community.</t>
  </si>
  <si>
    <t>Solidarity group also contributes to achieve objective of project which is increase influence of vulnerable people in decision making process of community. this goal achieved by conducting training and improving public awareness regarding different issues such as child rights, women rights and community advocacy. It gives a chance to marginalized members of community to share their idea and problems with the community.</t>
  </si>
  <si>
    <t>in some case livestock beneficiaries sold their livestock due to the tight financial status of their family and problem of preparing food for their livestock during winter, so selection of beneficiaries should be done properly and the selected beneficiaires at least should be able to prepare fodder for the animal in order to prevent such a evnet in future.</t>
  </si>
  <si>
    <t>in some demo plot weeding has not done properlay due to famer's lack of attention so staffs and famrers jointly decided to hire labour to remove weeds mechanically.</t>
  </si>
  <si>
    <t>Proposal, logfram, baseline survey , report and assessment.</t>
  </si>
  <si>
    <t>Community Based Education Enrichment Program in Afghanistan</t>
  </si>
  <si>
    <t>CCANAF0106, CA313</t>
  </si>
  <si>
    <t>CARE Canada</t>
  </si>
  <si>
    <t>Government - Canada</t>
  </si>
  <si>
    <t>UNCFAF0003, US1RS</t>
  </si>
  <si>
    <t>CARE USA</t>
  </si>
  <si>
    <t>Multilateral agency</t>
  </si>
  <si>
    <t>UN - United Nations agencies/offices</t>
  </si>
  <si>
    <t>PERLAF0001, US1SG</t>
  </si>
  <si>
    <t>Foundation</t>
  </si>
  <si>
    <t>Other</t>
  </si>
  <si>
    <t>Frees Foundation and Peierls Foundation</t>
  </si>
  <si>
    <t>W&amp;GE Program Senior Coordinator</t>
  </si>
  <si>
    <t>Sayed Shafi</t>
  </si>
  <si>
    <t>Shafi.Hashimi@care.org</t>
  </si>
  <si>
    <t>Increased equitable access to safe, quality basic education and learning opportunities for Afghan children, especially girls.</t>
  </si>
  <si>
    <t>Country: Afghanistan, Province: Parwan and Kapisa, District:  Chaharikar, Jabalussaraj, Bagram, Salang, Sayed Khel, Mahmud Raqi, Kohband, Hisa-i-Awal Kohestan, and Hisa-i-Dowum Kohestan.</t>
  </si>
  <si>
    <t>Chirldren (Both girls and boys), Community Based Education (CBE) teachers, School Management Committee (SMC) members, Community Librarians, and Ministry of Education (MoE) Staff.</t>
  </si>
  <si>
    <t>Direct participants include students, teachers and  School Management Committee members, Community Librarian and MoE staff. Indirect participants are the family members of the direct beneficiaries. Multiplying the number of direct beneficiaries ( students, teachers, SMC members, Community Librarains and MoE staff) by the size of the household on an average of 7 people per household.  ( as per the national statistics 2015 repot 49 % women and 51 % men)</t>
  </si>
  <si>
    <t>N/A</t>
  </si>
  <si>
    <t>It tested new ways for fighting poverty, but did not measure results of innovation</t>
  </si>
  <si>
    <t>CARE works with New York University for implementation of a research project called ALSE that works on research on out-of-school children and whether and how provision of Community Based Education (CBE) classes can be integrated into the Citizen's Charter National Priority Program framework in Afghanistan as a strategy for sustaining the classes. The Citizens Charter aims to expand the role of the Community Development Councils (CDCs), originally established by the Ministry of Rural Rehabilitation and Development (MRRD) as part of the National Solidarity Program (NSP). The Citizens Charter extends the purview of the CDCs from rural infrastructure development to delivery of social services. Accordingly, each CDC will have an Education Subcommittee that is responsible for facilitating childrens education, liaising between the CDC and the government school shura, and providing the CDC with planning and financing information. CBEEP Project, handed over 36 classes of proect along with 36 teachers and 1008 students for the first time in Afghanistan to CDCs in close coordination with the NYU Afghanistan team.</t>
  </si>
  <si>
    <t>It linked and worked with strategic alliances and partners to take tested and effective solutions to scale</t>
  </si>
  <si>
    <t>NYU will test whether this arrangement is an effective strategy for boosting the sustainability of CBE classes. At the end of the study, ALSE will make recommendations for whether and how to scale this model for integrating CBE into the Citizens Charter framework. Beyond the pilot year, the objective is that CDCs will receive funding under Citizen Charter for the future. CAREs role during and after this transition would likely be more coordination between ALSE and the communities, and at least quarterly monitoring of the CBE classes, however this will be determined during the implementation of the ALSE second phase.</t>
  </si>
  <si>
    <t>Building the capacities of local community people through formation and training of School Management Committess are part of project immidiate outcomes. The project worked intensively with SMC members through implementation of formal training workshops and also on-site support. In addition, the project porvided capaicity building to local community librarians and also facilitated social audit sessions. The project also facilitated joint monitoirng of CBE classes between SMC members and staff from government schools.</t>
  </si>
  <si>
    <t>Establishment of School Management Committees (SMCs) can be pointed out as a great successes of the CBE towards ensuring full community participation and support. CBE used the establishment of SMCs as the first entry point towards achiveing sustainability and full support of community people for education of the children particularly girls in rural areas. Capacity building of SMCs on different topics   which were completely new for the rural people resulted more community participation in terms of support to girls education, monitoring, and  provision of class venue. The inclusion of females on the SMC and the establishment of separate male and female SMCs are important achievements for increasing education access for the girls and for long-term sustainability of the CBE primary classes.</t>
  </si>
  <si>
    <t>Working with the MoE at all levels has been very effective. Sharing of the plans with the MoE provincial and district education departments as well as inclusion of MoE staff during  site selection was a major contributor to the success of the project to reach the communities with lack of access to government education facilities and increase access to education. The project was able to create and maintain a positive and ongoing relationship with the MoE at the national, provincial, and district levels by involving  MoE staff at all stages of project implementation. This includes involvement in establishment of CBE  classes, hiring of teachers, community mobilization, joint monitoring of CBE and classes, certification of trainings, clustering of CBE classes with nearst MoE schools, capacity building workshops, and regularly attending the coordination meetings.</t>
  </si>
  <si>
    <t>Availability and access to a variety of books on different topics and related to school subjects through community and classroom libraries helped teachers and students solve problems raised during the teaching. Religious books with content on the importance of education and girls right to education, constituted a particular investment toward increasing the awareness of SMC and community members on the importance and support of education.</t>
  </si>
  <si>
    <t>The project has learned that implementation of winter activities for students during the winter vacation was very helpful in keeping them connected to and excited about their education. CBE teachers expressed satisfaction with the academic results of students during the year and linked this result to students preparedness during the winter activities. In addition, the activity was also very helpful in getting teachers familiar with the contents of the books for the next academic year and improving their understanding through discussions and asking questions to project teacher trainers.</t>
  </si>
  <si>
    <t>The Adult Reading Group (ARG) activity of CBEEP has been very well received and is seen as very effective in supporting the education of community members. This activity, which is being implemented for the first time in some target areas of CBEEP, has helped to increase the vocabulary and reading skills of children with one or more family members attending ARG meetings.</t>
  </si>
  <si>
    <t>Proposal, logfram, baseline survey, report</t>
  </si>
  <si>
    <t>Emergency WASH NFI &amp; Shelter and Livelihood Assistance for Disaster and Conflict Affected Households 2016</t>
  </si>
  <si>
    <t>CCANAF0110, CA354</t>
  </si>
  <si>
    <t>Humanitarian Access to and Control over Economic Resources</t>
  </si>
  <si>
    <t>Khawani</t>
  </si>
  <si>
    <t>Huamanitarian Manager</t>
  </si>
  <si>
    <t>Khawani.Rashed@care.org</t>
  </si>
  <si>
    <t>To respond to the immediate needs of the vulnerable disaster affacted population through provision of  WASH ,Shelter / NFI  and livelihoods assisstance .</t>
  </si>
  <si>
    <t>Afghanistan provinces of Balkh , Ghazni , Paktya ,Parwan , Kapisa ,Khost and Kabul .</t>
  </si>
  <si>
    <t>Disaster affected households including IDPs, undocumented returnees and their host communities with more focus on women headed house hold, disable headed household and elderly headed house hold.</t>
  </si>
  <si>
    <t>Direct participants include men and women who are affected by natural and manmade disaster. Indirect participants are the family members of the direct beneficiaries. Multiplying the number of direct beneficiaries (men and women) by the size of the household on an average of 6 people per household.</t>
  </si>
  <si>
    <t>July</t>
  </si>
  <si>
    <t>March</t>
  </si>
  <si>
    <t>Project staff will be conduct Post Distribution Assessment in Marc,2018</t>
  </si>
  <si>
    <t>Little or no advocacy</t>
  </si>
  <si>
    <t>Partially addressed vulnerability caused by climate change</t>
  </si>
  <si>
    <t>The project/initiative did not carry out actions in this FY to strengthen civil society</t>
  </si>
  <si>
    <t>Emergency WASH NFI &amp; Shelter and livelihood assistance for Disaster and Conflict Affected Households 2016  project staff have provided  NFI, Tentand Winterization assistance  to 1778 affacted families . additionaly  2400 families have succefuly participated in Health Hygiene traing, 1199 families have benefited from the CFW  and UCG activities.</t>
  </si>
  <si>
    <t>Proposal, logfram,post distrubtion assessment , report</t>
  </si>
  <si>
    <t>Afghanistan Joint Response (AFJR)</t>
  </si>
  <si>
    <t>CNLDAF0012, NL231</t>
  </si>
  <si>
    <t>CARE Nederland</t>
  </si>
  <si>
    <t>Government - Netherlands</t>
  </si>
  <si>
    <t>Supports vulnerable returnee families to fulfil their basic needs and reduce the vulnerability of households to emergency shocks.</t>
  </si>
  <si>
    <t>Afghanistan provinces of  Paktya and Nangarhar</t>
  </si>
  <si>
    <t>Recent IDPs, undocumented returnees and their host communities with more focus on women headed house hold, disable headed household and elderly headed house hold.</t>
  </si>
  <si>
    <t>Direct participants include men and women who are affected by  manmade disaster. Indirect participants are the family members of the direct beneficiaries. Multiplying the number of direct beneficiaries (men and women) by the size of the household on an average of 7 people per household. (1210 households (8470 individuals)</t>
  </si>
  <si>
    <t>May</t>
  </si>
  <si>
    <t>Some activities were implemented with and/or through partners</t>
  </si>
  <si>
    <t>Local NGO(s)/CSO(s)</t>
  </si>
  <si>
    <t>DHSA partner have implemented directly the project in Nangarhar provinces. They have provided Cash for Work and Unconditional Cash grant activities along with Health and haygiene awareness sessions.</t>
  </si>
  <si>
    <t>According the post assessment result, the project have positive impact on the affacted people, who have displaced and return from Pakistan country. 85.8% of the respondents indicated they are using soap after the coming toilet, after cleaning child &amp; before food eating. Etc. While 94 respondents (51% of total) indicated that 40% cleanliness increase, while 84 respondents (45% of total) declared that 60% of cleanliness increase in targeted area and 4% respondent declared that 80% cleanliness increase and also most of interviewees (80.8% of respondents) illustrated that the diarrhea incident 60% decreased compare of past time.</t>
  </si>
  <si>
    <t>Using of training banners during training added to the teaching and understaing of training quality and also it was appriciated by Paktya DoRR compared to other NGOs/organs.B98</t>
  </si>
  <si>
    <t>Un-documented returnee and IDP families arent living in the camps collectively, though they are living separately with their relatives, host communities and some under tents, so in this case the assessment survey take long time which will cause delay in providing assistance to them and should be considered for the future projects.  </t>
  </si>
  <si>
    <t>(Joint survey)invitation of NGOs and governmental departments for cooperation and joint survey of beneficiaries and stablishing coordination with them caused from duplication/ repetition of assistance to IDP &amp; Un-documented HHs and all gaps were filled</t>
  </si>
  <si>
    <t>This project was usefull for IDP and returnee, because those families urgently need to fullfil their basic need such as purchasing ( food, medicine, transportation cost, pay for house rent, winter cloths and Gas or other utilities for stove).</t>
  </si>
  <si>
    <t>Proposal, logfram, post distribution assessment , report</t>
  </si>
  <si>
    <t>Every Voice Counts (EVC)</t>
  </si>
  <si>
    <t>CNLDAF0008, NL173</t>
  </si>
  <si>
    <t>Gulzamir Haqbayan</t>
  </si>
  <si>
    <t>Program Manager</t>
  </si>
  <si>
    <t>Gulzamir.Haqbayan@care.org</t>
  </si>
  <si>
    <t>Sr. Program Coordinator</t>
  </si>
  <si>
    <t>Increased inclusion and meaningful participation of women and girls in decision-making process in Khost, Kabul, Balkh and Parwan province by the year 2020</t>
  </si>
  <si>
    <t>Kabul, Khost, Parwan &amp; Balkh Provinces</t>
  </si>
  <si>
    <t>Community Development Council, Community women and girls and men and boys, Education Peer Groups, Civil Society Organizations, Partners NGOs, Community Participator Monitoring Team, District Development Assembly, Traditional leaders, Local authorities, religious leaders</t>
  </si>
  <si>
    <t>Direct beneficiaries were calculated based on the provision of training, and capacity strengthenining activities to targeted groups such as community women and girls, community men and boys, Local CSOs, partner NGOs, Religious leaders, Local aurthorities. Indirect beneficiaires are the family members of the direct beneficiares. Indirect beneficiaries = direct beneficiaries x 7  ( as per the national statistics 2015 repot 49 % women and 51 % men)</t>
  </si>
  <si>
    <t>June</t>
  </si>
  <si>
    <t>Baseline conducted in October 2016 Training Needs Assessment conducted in August 2017 on inclusive Governance for CSOs. Until June 2018, program will have the report of capacity building of CSCs on inclusive governance to measure changes.</t>
  </si>
  <si>
    <t>Intensive advocacy</t>
  </si>
  <si>
    <t>Social Accountability (Community Scorecard and Social Audit), Advocacy efforts for excluded groups</t>
  </si>
  <si>
    <t>As Every Voice Counts Program is advocacy project, therefore, involving local partners and alliances are more beneficial. Local Partners can reach grass root beneficiaries more comfortably. Thus, local partners initiated to work with other local CSOs at provincial level to strength the advocacy network under the program. Work with partner NGOs and Local CSO for advocacy and lobbying activities. Engage grassroots CSOs for their capacity building and awarness raising</t>
  </si>
  <si>
    <t>i) The project/initiative did NOT address the resilience of individuals and communities at risk</t>
  </si>
  <si>
    <t>All activities were implemented with and/or through partners</t>
  </si>
  <si>
    <t>Strengthen civil socity organization, Alliances and network successfully influence decision maker on excluded groups (women and girls) concerns and demands. Assess and provide capacity building interventions for partner NGOs and local CSOs. Engage local CSO in social acccountability and advocacy efforts</t>
  </si>
  <si>
    <t>CSO engagement and capacity strengthening, Engaging men &amp; boys, advocacy and lobbying for women and girls</t>
  </si>
  <si>
    <t>Inclusive Governance training for CSO, local authorities and community based organizations.</t>
  </si>
  <si>
    <t>Community scorecard and Social Audit</t>
  </si>
  <si>
    <t>in the societies such Afghanistan with a conservative, traditional and religious culture, it is certainly difficult and sensitive to raise the issues related to the women. During the EVC implementation in the communiities it has been learned that, taking in consideration the role of religious and community leaders is very significant and they should be involved in as many as possible field consultation. Otherwise, they may create challenges when they do not have enough information do not have enough information about the interventions.</t>
  </si>
  <si>
    <t>In some of the EVC targeted communities due to traditional thoughts, people are very sensitive towards women and their participation and/or any ralated activity that promote women in the community. Therefore, while celebrating women's day in the communities, mostly the organizer of the women's day celebration linked to the event to mother's day in order to avoid any conflict or sensitivity in the communities.</t>
  </si>
  <si>
    <t>The local CSOs which have been identified for the program have financial expectation from the program. The purpose of CSOs involvement is to reach excluded groups more cohesively for better advocacy efforts in the fragile setting. The CSO member are requesting for minimal financial support to cover their costs by visiting to communities and purchasing essential items for their offices. Since , in the current design of the program , there is nothing considered for the locsl CSOs which were presumed to have voluntarily inputs to the local partner organizations. CARE Afghanistan recommend to CNL to consider the locsl CSOs demands in the next year plans. it is very important for the program to maintain productive relationship with local CSO, which ensure their active participation in advocacy efforts for the excluded groups.</t>
  </si>
  <si>
    <t>Strengthening the Widows Association for Advocacy in Afghanistan</t>
  </si>
  <si>
    <t>CNORAF0012, NO158</t>
  </si>
  <si>
    <t>CARE Norge</t>
  </si>
  <si>
    <t>Government - Norway</t>
  </si>
  <si>
    <t>Saeeda Serat</t>
  </si>
  <si>
    <t>Deputy Project Manager</t>
  </si>
  <si>
    <t>Saeeda.serat@care.org</t>
  </si>
  <si>
    <t>To strengthen the WAFAA (Women Association for Advoacay in Afghanistan) to effectively monitor, report on and participate in decision making processes around Women Peace &amp; Security concerns at policy level</t>
  </si>
  <si>
    <t>Country: Afghanistan, Province: Kabul (1th, 5th, 6th, 7th, 8th, 13th, 16th sub-districts) and Bagrami, Mirbacha Kot districts.</t>
  </si>
  <si>
    <t>Female-headed households, Widows, marginalize girls and men.</t>
  </si>
  <si>
    <t>Direct participants include widows and women headed household. The indirect beneficiaries are calculated by multiplying the number of direct beneficiaries by 7 (is the size of the household, and usually on an average 7 people per household is assumed).  ( as per the national statistics 2015 repot 49 % women and 51 % men)</t>
  </si>
  <si>
    <t>strenghtened linkages among Kabul Women Association (KWA), MoWA, national and international organisation working for women rights. The said alliance conducted number of trainings and orientation sessions for KWA, and have provide technical support in solving and referrring GBV casses.</t>
  </si>
  <si>
    <t>It was fully GBV-focused</t>
  </si>
  <si>
    <t>iii) The project/initiative CHALLENGED existing gender roles and relations</t>
  </si>
  <si>
    <t>Provided capacity building trainings (leadership, time management, decision making, effective problem solving and others ),Technical (registering the association with the government, linking the association with other parties, such as government ministries, other CSOs and NGOs) and financial support (Establishment of VSLAs and distribution of livestock to the most needy women) to Kabul Women Association (KWA)</t>
  </si>
  <si>
    <t>Working through close coordintation with the government</t>
  </si>
  <si>
    <t>Inclusion of 38 champions of KWA in most of the project activities</t>
  </si>
  <si>
    <t>Inclusion of male local leaders and male family members of beneficiaries directed the advocacy efforts of women  to success and resulted to fully participation of them to project activities</t>
  </si>
  <si>
    <t>Inclusion of income generation activities with advocacy efforts</t>
  </si>
  <si>
    <t>In initial phase of the project worked with men to pave the opportunities for improvement of women right advocacy efforts. Meanwhile, men indirectly support the project and regular participation of women in project prove the support of men.</t>
  </si>
  <si>
    <t>Proposal, result framework, Project MIS.</t>
  </si>
  <si>
    <t>GSK 20% Reinvestment-ACCESS (OMID)</t>
  </si>
  <si>
    <t>GB313, CGBRAF0022</t>
  </si>
  <si>
    <t>CARE UK</t>
  </si>
  <si>
    <t>Corporation</t>
  </si>
  <si>
    <t>Development Sexual, Reproductive and Maternal Health (SRMH)</t>
  </si>
  <si>
    <t>Dr M Anwar Haneef</t>
  </si>
  <si>
    <t>mohammad.anwer@care.org</t>
  </si>
  <si>
    <t>To contribute to the reduction of maternal and infant mortality and morbidity through community based interventions facilitated and delivered by Community Based Educators and Community Midwives in 20 communities .</t>
  </si>
  <si>
    <t>District 2  of Kabul City (Kabul  Province)</t>
  </si>
  <si>
    <t>Mother in reproductive age and their Children upto 2 years of life</t>
  </si>
  <si>
    <t>The direct beneficiaries include women of reproductive age and their infants up to 2years of age of both sex. Indirect beneficiaries include member of the direct beneficiaries their neighbors and relatives. The indirect beneficiaries are multiplying by an average of 7 person per household. Also some of the indirect beneficiaries are located in the outreach areas.   ( as per the national statistics 2015 repot 49 % women and 51 % men)</t>
  </si>
  <si>
    <t>The project final evaluation will gage changes compare to baseline as well as overall  effectiveness of the project in improving maternal and chilld health</t>
  </si>
  <si>
    <t>improving access of the women of reproductive age to receiving conslutation about safe motherhood throuhg using mobile phone services</t>
  </si>
  <si>
    <t>The project in partnership with Etisalat mobile service provider has launched the mobile health services system which focuses on dissemination of health messages to the target beneficiaries as well as provision of counseling by health providers.</t>
  </si>
  <si>
    <t>working with young women of reproductive age through family health action groups can improve healthy behaviors among women and their families</t>
  </si>
  <si>
    <t>inclusion of religious leaders can provide strong support for the acceptance of the project activities by the communities</t>
  </si>
  <si>
    <t>strengthning refferal between community health workers and community midwives can increase the effectiveness of the services delivery</t>
  </si>
  <si>
    <t>the project implementation progress is on track</t>
  </si>
  <si>
    <t>Provision of Assistance to Kunduz IDPs</t>
  </si>
  <si>
    <t>CGBRAF0025,GB639</t>
  </si>
  <si>
    <t>Government - UK</t>
  </si>
  <si>
    <t>Quicky Supports vulnerable displaced  families to fulfil their basic needs and reduce the vulnerability of households to emergency shocks.</t>
  </si>
  <si>
    <t>Kabul, Balkh and Parwan provinces</t>
  </si>
  <si>
    <t>CARE's response is aiming at addressing the urgent basic needs of  Kunduz province conflict affected families</t>
  </si>
  <si>
    <t>Direct participants include men and women who are affected by natural and manmade disaster. Indirect participants are the family members of the direct beneficiaries. Multiplying the number of direct beneficiaries (men and women) by the size of the household on an average of 7 people per household.</t>
  </si>
  <si>
    <t>The project staf have proformed Post distribution Assessmen.</t>
  </si>
  <si>
    <t>In result of the Post Distribution Assessment, the Beneficiareis confirmed that they have receive UCG and NFI assisstance from CARE colleageus. They have diclared that the received amount  used for purchsing of Food, Medicine and loan Payment and all NFI Package items were so usefull.</t>
  </si>
  <si>
    <t>The project life time was so short, and project beneficieires recommended for long term projects.</t>
  </si>
  <si>
    <t>This project was usefull for IDP because those families urgently need to fullfil their basic need such as purchasing ( food, medicine, transportation cost, pay for house rent, winter cloths and Gas or other utilities for stove).</t>
  </si>
  <si>
    <t>Responsive and Accountable Processes for Inclusive Development(RAPID)</t>
  </si>
  <si>
    <t>CGBRAF0023,CGBRAF0024, GB510</t>
  </si>
  <si>
    <t>EU - European Union (other than ECHO)</t>
  </si>
  <si>
    <t>To create an enabling environment for inclusive civil society, responsive development and improved accountability between local power holders and communities  </t>
  </si>
  <si>
    <t>Parwan &amp; Balkh Provinces</t>
  </si>
  <si>
    <t>Community Development Council,  Community Participatory Monitoring,  Traditional leaders, School Management Committee, Women Committee, local authorities</t>
  </si>
  <si>
    <t>Direct participants include civil society groups (local entities) and community members and local authorities who benefit from the project capacity building activities (training) and social accountability processes (Community Score Card and Social Audit). Since, local entities and CSOs are working for the entire community, and the social accountability mechanisms are also for the whole community therefore, the community pupolation calcuated as indirect beneficiaries.   ( as per the national statistics 2015 repot 49 % women and 51 % men)</t>
  </si>
  <si>
    <t>August</t>
  </si>
  <si>
    <t>Local entity Capacity assessment conducted in August 2016. Institutional Majurity Index (IMI) baseline is going to be conducted in septmber 17. Social Audit and Community Scorecard are also going to be conducted in FY 18</t>
  </si>
  <si>
    <t>Take community problems into local authorities with Community members to influence local authorities to take action in their planning process</t>
  </si>
  <si>
    <t>The project attempts to create vertical linkage between local entities and local authorities. The project also innovate to implement Community Score Card and Social Audit in the targeted communities and will measured results.</t>
  </si>
  <si>
    <t>The project is implemented in partnership with local NGO in order to reach targeted groups properly for the effective implementation of the activities.</t>
  </si>
  <si>
    <t>Most activities were implemented with and/or through partners</t>
  </si>
  <si>
    <t>1. Strengthening the capacity of the local CSO (grassroot entities) in all targeted communities 
2. Enhance community based groups roles in local decision-making processes and monitoring service delivery 
3. Engage Local entities in social accountability mechanisms</t>
  </si>
  <si>
    <t>Capacity building of local entiies</t>
  </si>
  <si>
    <t>Aweraness raising, Coordination meeting among the local entities.</t>
  </si>
  <si>
    <t>Community Scorecard and Social Audit</t>
  </si>
  <si>
    <t>As most of the local entities are illiterate, Project staff have used visual material for better understanding of the topic. It was realized that for any new project, the level education of the target groups should be considered and the activities should be aligned with.</t>
  </si>
  <si>
    <t>Community Scorecard was a new activities, and it was learned that some power holders do not have good feeling. However, project continue to mobilize power holders and community to make them well prepared for CSC processes.</t>
  </si>
  <si>
    <t>during the reporting period Project team did good job in term of implementation of the porject, the project team both (Balkh and Parwan) has organized:
- Trianing session on Human/Women rights friom Islamic Prospective
- Training sesssion on Effective Communication
-  Monthly Coordiantiono meeting at communiy level
-  Quarterly coordination meeting at District level
- Cross community learning visit 
- Commencing Community Scorecard, Social Audit and IMI in this year.</t>
  </si>
  <si>
    <t>Proposal, logfram, report</t>
  </si>
  <si>
    <t>Steps Towards Afghan Girls' Educational Success (STAGES)</t>
  </si>
  <si>
    <t>CAUSAF0029, GB225</t>
  </si>
  <si>
    <t>Abdul Naser Salamyar</t>
  </si>
  <si>
    <t>naser.salamyar@care.org</t>
  </si>
  <si>
    <t>The project aims to transform the educational status of marginalised girls in a number of communities across 14 provinces of Afghanistan through improved access to a flexible range of quality education options, equipping girls and young women with the knowledge, skills and confidence to become future models and advocates of girls education and contributing members of Afghan society. CARE IMPLEMENTS THIS PROJECT IN 5 PROVINCES (SEE BELOW).</t>
  </si>
  <si>
    <t>Country: Afghanistan, Province: Kapisa, Khost, Parwan, Paktya and Ghazni, District: Mahmud Raqi, Kohband, Hisa-i-Awal Kohestan, Hisa-i-Dowum Kohestan, Matun, Mandozayi, Tani, Nader Shah Kot, Gurbuz, Chaharikar, Jabalussaraj, Bagram, Gardez, Ghazni Center.</t>
  </si>
  <si>
    <t>Children and adults (both girls and boys) WITH A PARTICULAR FOCUS ON GIRLS' EDUCATIONAL EXPERIENCE</t>
  </si>
  <si>
    <t>Direct participants include students, teachers and  members of School Management Committees (SMC). Indirect participants are the family members of the direct beneficiaries. Multiplying the number of direct beneficiaries ( students, teachers and members of SMC) by the size of the household (on an average 7 people per household). ( as per the national statistics 2015 repot 49 % women and 51 % men)</t>
  </si>
  <si>
    <t>January</t>
  </si>
  <si>
    <t>The first phase of the project is closed already</t>
  </si>
  <si>
    <t>Regular coordination meetings and also joints visits with Ministry of Education (MoE) representatives such as provincial education departments and district education departments. Regular social audit sessions with key stakehoders at community level such as SMC, local govenment authorities, community elders, community influentials and students parents.</t>
  </si>
  <si>
    <t>Establishment of SMCs helps CARE to monitor the activities of community based classes and lower secondary community based education classes to effectively implement their activities. The SMCs also advocates for girls' rights to education at community level</t>
  </si>
  <si>
    <t>Lessons learned 1: Most of the teachers used to apply specific theoretical methods of teaching science subject. This includes several methods of teaching science within traditional form.  As a result of this teaching methodologies, students were only learning theories and concepts, many of which were difficult to understand. In addition, in most of communities the literacy rate is low and expecting parents and community people to help their children is unrealistic. 
As part of library enhancement activity and to help students learn science subjects and experiment more efficiently in each session, project staff equipped already all existing libraries with 246 laboratories across five provinces. Project procured and equipped libraries with materials including chairs, desks, human body model, microscopes, different kinds of posters andetc. In addition during the reporting quarter project staff remained to place strong emphasis on teachers capacity building and delivered a training on how to utilize laboratory materials while teaching of science subjects for all CBE teachers across five target provinces. 
Now, STAGES CBE students enjoy having access to more learning materials and using lab-materials for Biology, Chemistry and Physics subject experiments. As a consequence, students enhanced their knowledge of science concepts and engaged in team works for virtual experience on scientific matters. By more practical learning students observe and understand better new concepts. It is realized that, the advantages of theoretical and practical learning is much high and important for science subject teaching and learning by doing helps students perform better in science</t>
  </si>
  <si>
    <t>Lessones learned 2: Winter activity is a CARE initiative that offers students and teachers to explore opportunities for activities that contribute to enhance further learning and preparedness for next academic year. Project staff conducted regular visits from CBE classes as well as they provided students with necessary materials for winter activities. However during first year of project implementation, project faced with lack of monitoring visits from PED in Paktya province. In response, CARE planned to share this concern with PED staff through sectorial meetings. This was a good opportunity for project staff to review project challenges and find a proper solution accordingly; likewise project staff discussed with PED staff on winter activities with specific aim to broaden their knowledge on components and outcomes of winter activity. As a result, MOE staff were encouraged and motivated to conduct monitoring visits and determine how well the winter activities are going on within CBE classes. This is a significant outcome to ensure quality control measures.</t>
  </si>
  <si>
    <t>Lesssons learned 3: The CBE primary classes established in the first year of project implementation, have now been upgraded to grade four with a greater number of school subjects. Based on the projects initial design, CARE considered that one teacher per class would be responsible for teaching all subjects. In one of the communities, it has been reported that the school teacher has difficulty in teaching math. In spite of the subject upgrading training and on the job mentoring delivered by the trainers, some of the school teachers continue to have problems in teaching math. In consequence, project staff explored an alternate solution to solve the issue and noticed that there are two CBE classes in one community. Project trainers held a meeting with both school teachers and made an agreement that the teacher for the boys' class who has good math skills would teach the math subject to the girls class, while the teacher for the girls class with weaker math skills in turn would teach Dari language to the boys class. In addition to that, the teacher with better math skills should work with his colleague during the school breaks for a certain period in order to improve his math skills. After the first month, it is observed, that the CBE teacher for the girls class had improved his math skills as per basic competency indicators for math and his certain academic difficulties in math had been solved. He applies the same teaching method as the teacher for the boys class and can now teach math well. In upper primary grades, the number of school subjects increases and it would be difficult for one school teacher to manage all and have expertise in all subjects. Therefore, the project should consider one full time paid teacher and one assistant (paid half of the full salary) for upper primary grade classes in the next phase of the project. In this case, the teacher with better math skills cooperated with the teacher who had difficulties in teaching math for a period of around two months, which helped the project solve the issue through the use of the available capacities and resources. The project will manage certain issues in this way in communities where there are two or more CBE classes but it does not seem to be a long term solution and applicable in communities with only one CBE class. Therefore, we suggest considering one full time teacher and one assistant for upper primary grades in the next phase of the project.</t>
  </si>
  <si>
    <t>Proposal, logfram,  baseline, midline and endline assessment reports and other project solid reports</t>
  </si>
  <si>
    <t>Lower Secondary Community-Based Education (LSCBE)</t>
  </si>
  <si>
    <t>HUSCAF0012, US1OB, HUSCAF0014, US1X7</t>
  </si>
  <si>
    <t>Individual supporter</t>
  </si>
  <si>
    <t>Justin "Dusty" Huscher</t>
  </si>
  <si>
    <t>The main object of this project is to improve quality secondary education for girls from grade 7-9 where the government has no access.</t>
  </si>
  <si>
    <t>Country: Afghanistan, Province:  Khost, District:  Matun, Tani, Mando Zai, Nadir shah kot, Gurbuz</t>
  </si>
  <si>
    <t>Students, Teachers, School Management Committee (SMC) members and their families</t>
  </si>
  <si>
    <t>Direct participants include students, teachers and village education committee members or School Management Committee members. Indirect participants are the family members of the direct beneficiaries. Multiplying the number of direct beneficiaries ( students, teachers, Village Education Committee or School Management Committee members) by the size of the household on an average of 7 people per household. ( as per the national statistics 2015 repot 49 % women and 51 % men)</t>
  </si>
  <si>
    <t>February</t>
  </si>
  <si>
    <t>Based on the project workplan a need assessment will be conducted for establishment of New Lower Secondary Community-Based Education (LSCBE) classes during February, 2018</t>
  </si>
  <si>
    <t>Shortage of qualified teachers is a nationwide problem in rural and remote areas of the country. The recruitment of qualified teachers is an issue that has become increasingly important to the Ministry of Education and CBE providers supporting educational development. This is particularly so because of the impact of teachers can have on girls education. Beyond recruitment strategy, there are other issues which are important to be addressed if teachers are going to be empowered in their roles as CBE teachers. Throughout LSCBE project, CARE strives to hire qualified individuals as LSCBE teachers. CARE has been able to hire a number of university or 14th graduated teachers to teach LSCBE classes. In certain cases, it was reported that a number of 14th graduted teachers have either irregular attendance in the training sessions and issues with applying the new methods and skills back in the classrooms though their qualification level was high.  After thorough analysis of the issue, it was specified that sometimes due to a scheduling conflict between training sessions and university exam,   these teachers were trying to attend both training sessions to the extent possible and also not miss their university exams. To address the raised issue, the project team undertook a series of activities including coordination meetings with concerned LSCBE teachers and VEC members and consequently could come to the following conclusion: Identification of all teachers who have the same situation will help project team in planning and delivery of trainings at a time to work best for them. Follow up on the job trainings for those who were not able to attend some training sessions properly in the past. Trainings should be planned and conducted either before the start or after completion of mid and final semester examination. More flexible class timing to allow teachers better manage their own education and classrooms affairs. Delivery of trainings during summer or winter breaks.</t>
  </si>
  <si>
    <t>Proposal, logfram, Need assessment, report</t>
  </si>
  <si>
    <t>National Solidarity Program Phase Three (NSP III)</t>
  </si>
  <si>
    <t>MRRDAF0009, US196</t>
  </si>
  <si>
    <t>Eng. Suliman Zahid</t>
  </si>
  <si>
    <t>suliman.zahid@care.org</t>
  </si>
  <si>
    <t>By the end of Sep 30, 2016, rural communities in 4 provinces ( Ghazni, Paktia, Parwan, Balkh) will have strengthened community capacity by undertaking community led development activities.</t>
  </si>
  <si>
    <t>Afghanistan : Ghazni, Paktia, Parwan and Balkh Provinces.</t>
  </si>
  <si>
    <t>CDCs,CPM, women sub community and entire community members</t>
  </si>
  <si>
    <t>Direct participants include men and women who directly involved in project implementation. Indirect beneficiaries are community members who are not directly benefited from the project activities and capcity building but indirectly they are benefiting from CDCs and infrastructure.  One Community Development Council consist of an average 70 family which multiply by 6 person.</t>
  </si>
  <si>
    <t>The IMI was applied to 346 CDCs and . As result 85.8 % CDCs was  successully.</t>
  </si>
  <si>
    <t>Trust can be built between communities and NSP FP by clearly communicating the goal of NSP and making sure not to make promises that will not be realized.</t>
  </si>
  <si>
    <t>The disbursement of the BG should also be made properly and on time so that communities could proceed with their implementation within the planned time. It would also contribute to prevent conflict among the community residents</t>
  </si>
  <si>
    <t>The government/implementing agency had trust over the CDCs, and all the projects survey and implementation process is done through the NSP Community Development Council.</t>
  </si>
  <si>
    <t>University Scholarship Fund for LSCBE Students</t>
  </si>
  <si>
    <t>HUSCAF0011, US1OA, HUSCAF0013,US1X8</t>
  </si>
  <si>
    <t>The main goal of the project is support to those universities  girls students  who completed LSCBE and continue higher education in government school up to g12th  then continue their education at private universities or colleges.</t>
  </si>
  <si>
    <t>Country: Afghanistan, Province:Khost,  District: Center, Matun, Tani, Mando Zai, Nadir shah kot</t>
  </si>
  <si>
    <t>Students and their families</t>
  </si>
  <si>
    <t>Direct participants include students. Indirect participants are the family members of the direct beneficiaries. Multiplying the number of direct beneficiaries by the size of the household on an average of 7 people per household.  ( as per the national statistics 2015 repot 49 % women and 51 % men)</t>
  </si>
  <si>
    <t>Based on the project work plan a need assessment will be conducted for selecting New scholarship recipients  during June, 2018</t>
  </si>
  <si>
    <t>The project provide scholarship opportunity for girls to complete their higher education, through intervention. The students will be able to complete their higher education and work as a midwife nurse, doctor, teacher and etc at their rural and remote community. This will reduce their poverty level and will improve the education and health system in community.  </t>
  </si>
  <si>
    <t>The project is closly working with private Universities and participate in events including graduation cermoney which direclty influence broader social change. CARE also contrubute to deeper and sustainaable impact by documenting  the successful model of scholarship project</t>
  </si>
  <si>
    <t>University/research institution(s)</t>
  </si>
  <si>
    <t>provideing ongoing support to scholarship recipients through private universities and participating in events including teacher day, peace day and graduation ceremonies.</t>
  </si>
  <si>
    <t>Out of the total 40 graduted scholarship recipients 20 graduted recipients have managed to get jobs in the private and public sector, NGOs, clinics and hospitals. The remaining 20  graduates are currently undergoing practical training in the Khost governmental hospital and some private clinics. . After completion of the training, these graduates will be deployed to remote clinics and hospitals of Khost province to provide primary health care to women and newborns. The result indicates that, majority of scholarship graduates got job opportunities in Health Care and social work</t>
  </si>
  <si>
    <t>According Ministry of Higher Education new policy, during this year the public University Exam result announced on 4 August, 2017, which caused some problem in scholarship operations and the team was not able to select the potential candidates at the beginning of academic year as in the previous years. Since announcement of the public universities the project team is working to finalize the scholarship exam result and introduce the potential candidates to private universities to continue their higher education.</t>
  </si>
  <si>
    <t>Proposal, logfram,option chart for selection of eligible students, report</t>
  </si>
  <si>
    <t>Womens Income Generation through Livelihood Development</t>
  </si>
  <si>
    <t>BYNDAF0002, US683</t>
  </si>
  <si>
    <t>Beyond the 11th Foundation</t>
  </si>
  <si>
    <t>To contribute to the economic development of vulnerable women through increasing women's income through establishing community based saving groups in Kabul district 6</t>
  </si>
  <si>
    <t>Kabul City district 6</t>
  </si>
  <si>
    <t>Widows and Female-headed household</t>
  </si>
  <si>
    <t>Direct participants include widows and women headed household who are benefiting directly from project interventions such trainings, membership of VSLA groups, literacy. The indirect beneficiaries are calculated by multiplying the number of direct beneficiaries by 6 (is the size of the household, and usually on an average 7 people per household is assumed). ( as per the national statistics 2015 repot 49 % women and 51 % men)</t>
  </si>
  <si>
    <t>Formation of 10 VSLA groups which includes 200 women. Through this groups the women have access to income generation activities, which contributes to their economic status .</t>
  </si>
  <si>
    <t>Support gained from men, communities and religious leaders for WIGLD project through their inclusion in project implementation and awareness raising sessions on women economic rights that resulting in support for project activities.  </t>
  </si>
  <si>
    <t>Strengthen coordination with line ministries and sectorial departments, resulted for smooth implementation of project activities.</t>
  </si>
  <si>
    <t>Proposal and Report.</t>
  </si>
  <si>
    <t>Albania</t>
  </si>
  <si>
    <t>Middle East, North Africa and Europe</t>
  </si>
  <si>
    <t>The Boys and Men as Allies in Violence Prevention and Gender Transformation in the Western Balkans</t>
  </si>
  <si>
    <t>PN: BIH105 FC: BA305</t>
  </si>
  <si>
    <t>CARE Österreich</t>
  </si>
  <si>
    <t>Government - Austria</t>
  </si>
  <si>
    <t>PN: BIH116 FC: BA316</t>
  </si>
  <si>
    <t>No CARE member related to the project/initiative</t>
  </si>
  <si>
    <t>Development A Life Free From Violence (GBV)</t>
  </si>
  <si>
    <t>Sumka Bučan</t>
  </si>
  <si>
    <t>Regional Director</t>
  </si>
  <si>
    <t>sbucan@carenwb.org</t>
  </si>
  <si>
    <t>spetkovic@carenwb.org</t>
  </si>
  <si>
    <t>The project purpose is to increase the uptake of healthy, non-violent and gender equitable lifestyles amongst boys and men (and girls and women) participating in the program. This will be achieved through 3 inter-related results: ER1: Gender Transformative Life Skills program (Program M) adopted, accredited and teachers trained by Ministry of Education for use in secondary schools; ER 2: Lifestyle and social norms campaigns to engage boys and men on issues of violence prevention, gender equality and fatherhood are developed and reach the targeted audience; ER3: Local NGO partners act as national resource centres and promote practice, policy and research work engaging boys and men. The project purpose is to increase the uptake of healthy, non-violent and gender equitable lifestyles amongst boys and men (and girls and women) participating in the program. This will be achieved through 3 inter-related results: ER1: Gender Transformative Life Skills program (Program M) adopted, accredited and teachers trained by Ministry of Education for use in secondary schools; ER 2: Lifestyle and social norms campaigns to engage boys and men on issues of violence prevention, gender equality and fatherhood are developed and reach the targeted audience; ER3: Local NGO partners act as national resource centres and promote practice, policy and research work engaging boys and men.</t>
  </si>
  <si>
    <t>Multiple countries</t>
  </si>
  <si>
    <t>Serbia, Croatia, Kosovo, Bosnia &amp; Herzegovina and Albania</t>
  </si>
  <si>
    <t>The major target groups of the project are the five local partner organisations, 25,000 secondary school age youth, especially those from lower socio-economic background who face higher levels of social exclusion in Serbia, Croatia, Kosovo, Bosnia and Herzegovina and Albania, with an emphasis on young men; in addition 2000 fathers and other male care givers. Secondary target groups include 500 educators that will be trained in the Young Men Initiative methodology, based on the Program M Manual. Additionally 200 pedagogy students will be targeted, in order to provide them practical skills before entering the profession. Also the capacities of 20 educators will be strengthened to become trainers of trainers (ToT), thus to create a group of peer educators that would act as catalysts for disseminating the Gender Transformative Life Skills program (Program M) in schools. A key target group is staff from the Ministry for Education and Gender Agencies and ministries dealing with gender equality as well as decentralised governmental gender structures at entity/canton/municipality level. With the aim of mainstreaming gender equitable approaches in the educational system, educators and pedagogy students will be directly targeted with capacity building. The main beneficiaries are young men in the targeted 4 countries.</t>
  </si>
  <si>
    <t>In this project, 5 local organisations are partners in the implementation of the planned results. In each country (Kosovo, Albania, Serbia and Bosnia and Herzegovina). They have a network of over 1000 peer educators around the country that supports its primary focus on youth health and violence prevention. These organisations are both, implementing partners of CARE but also a target group of the project, since CARE continues to focus on building their capacity to be the leading CSOs and partners of choice of different stakeholders in addressing violence and work with boys and men with a gender equality framework. Another target group are 500 secondary school educators and 200 students of pedagogical faculties in the countries. In addition 20 selected educators will be targeted and provided with capacity building as trainers of trainers (ToT). In addition 2000 fathers and male care givers will be targeted in educational and campaign related activities.  The project anticipates reaching over 25,000 youth over 3 years by educational workshops and campaigns. The final beneficiaries include the wider family environment of the participating 25,000 youth and the 2000 fathers.  It is around 5,400 direct and indirect beneficiaries per state including Croatia - OAK component opf the YMI regional project).</t>
  </si>
  <si>
    <t>September</t>
  </si>
  <si>
    <t>End line assessment and Final evaluation are done in October 2016.</t>
  </si>
  <si>
    <t>iii) The project/initiative CHALLENGED institutions, structures and power relations</t>
  </si>
  <si>
    <t>iii) The project/initiative WORKED on addressing the resilience of individuals and communities, as well as the underlying causes of the risks they face</t>
  </si>
  <si>
    <t>National government</t>
  </si>
  <si>
    <t>Grassroots organization(s)</t>
  </si>
  <si>
    <t xml:space="preserve">During the course of 3 years of project implementation CARE was building the capacities of local partners to lead the debates and engage with policy makers and other important stakeholders on violence prevention and promotion of healthy lifestyles among youth. The capacity building was done through regular consultative meetings between CARE and partners, at the Partners meetings (twice per year), through online communication. Furthermore during the every visit of CARE staff to the project site, CARE and partners had attended the meetings with relevant stakeholders (Ministries of Education, Gender Centres etc.), where the discussion about action plans and sustainability and as well evaluation of the project implementation were discussed. The trainings were also done, two related to Most Significant Change Methodology, two related to Child Protection Policy Development, one related to Youth Extremism and 3 related to Youth Mental Health. </t>
  </si>
  <si>
    <t>The project has not experienced any important changes/adjustments in this FY</t>
  </si>
  <si>
    <t xml:space="preserve">Innovative strategic approach is important for the success of initiatives striving to bring about social change. The YMI Project has been unique on multiple levels and that has contributed a lot to the recognition and support in the arena overpopulated with policies and CSOs.  </t>
  </si>
  <si>
    <t>Most Significant Change Methodology – this methodology was presented and introduced at the project start as part of the capacity building program of partner organizations and an innovative monitoring tool. Based on the discussion with partners, it was decided that only one segment of this method would be used and tested during the project. The methodology was piloted in a way to focus on gathering personal stories from beneficiaries, mainly young men, with help of a specific interviewing template. The benefit was twofold, first of all the team leaders and coordinators got trained on using the technique; they learned how to observe and practice interviewing beneficiaries in search of different type of changes. Secondly, the partner organizations embraced this monitoring tool as a great method of qualitative data gathering and recording, but also as a useful technique that can and should be built upon and expanded in the future to also include wider organizational monitoring and development aspects. During the project period, the partner organizations gathered more than 50 stories describing different types of changes that have happened to the beneficiaries as a direct result of participating in the project. The project team has selected four, one representing each country as a sample in Annex 7. We would also like to emphasize that this methodology enabled that Dragan Kisin, young men from Banja Luka tells his story which was used by Thomson Reuters Foundation for making a short documentary Story of "Dragan": Balkan boys challenge post-war machismo that premiered in May of 2016. This short film tells Dragan’s story in his own words about how his involvement in the project has had a positive impact on his life. The film won the 1st prize Ron Kovic Peace Prize at 12th Annual My Hero International Film Festival in USA in 2016. https://www.consciousgood.com/post-war-machismo-be-a-man/</t>
  </si>
  <si>
    <t>Youth from all cities pointed out that the project had a great impact. They mentioned different indicators of project’s impact. The most concrete impact relates to change of attitudes and behaviours of youth who directly participated in the programme. Special credit for sucess goest to "Be a man" clubs.</t>
  </si>
  <si>
    <t>1. Clear and good structure of the program produces results in the long run, even when the envisaged goals are ambitious. YMI Project has been positively valued by its participants because of its "firm structure and coordination". By also applying a flexible approach when it comes to implementation, based on specific needs and contexts, the YMI Project has ensured proper coordination and a more effective results. The project has a strong coordination function with the key activities implemented and standards ensured, but it also promoted tailored-made approach at the local level.</t>
  </si>
  <si>
    <t>2. What you measure is what you get. During the implementation of such complex project as YMI is, a regular and adequate monitoring is of greatest importance. YMI Project has succeeded to develop comprehensive but user friendly measuring instruments which enabled a regular and accurate monitoring and reporting. The YMI has even managed to reach the most socially excluded youth groups through different activities. The approaches on how to involve Roma, Ashkali and Egyptian community in the Project activities differ among the countries, since they were based on the local circumstances (presence of Roma children in selected schools) as well as the of the local stakeholders’ capacities.</t>
  </si>
  <si>
    <t>3. Piloting before rolling-out decreases the cost of implementation. Piloting can contribute to the cost decrease and avoidance of unnecessary transactional costs during the process of implementation. This can improve productivity and efficiency of some specific services and products before scaling-up at the wider territory. The cost of some YMI project activities were decreased through step by step approach and development of products and services on a smaller scale. Such models were then further implemented and scaled-up.</t>
  </si>
  <si>
    <t>• Efforts should be invested in mainstreaming gender equality and GBV issues into existing curricula and programs of various organizations which implement activities in schools. This could significantly contribute to further sustainability of the project results. Every year different organizations and institutions develop number of programs and new curricula and schools have lot of issues with identifying the most suitable and relevant ones. Instead of producing new education programs and investing lot of efforts in its accreditation, mainstreaming serve as a more strategic and feasible option. • As per the content of the educational programs, respondents recognized the need for including/emphasizing following topics: psychological violence, Internet safety, safety of youth in general. • One could ensure even greater and more strategic involvement of media in the program. For the long term success of the program it is not enough only to have a number of media releases about the project activities, but also to have editors and journalists setting the societal values. Additional strategies for media sensitization and participation could be also added value for the next phases of the YMI initiative. • Public advocacy space is still to be explored and comprehensive strategies as well as national advocacy action plans to be developed and coordinated, since this would be logical next step in the project concept further development. Attention should be specifically put on the involvement of the primer constituency group in the advocacy initiatives. Students should be supported to formulate their own initiatives and to advocate for sustainable systemic changes. Most significant change methodology could also be used in this process as a good communication tool for gaining wider public support. • Continue the work in the area of community involvement. The idea of BMCs which function as local youth clubs and resource centers for youth in the domain of promotion of gender equality, healthy lifestyles and violence prevention, should be additionally supported. In addition, CARE could support additional capacity development of  BMCs to become key actors of local referral mechanisms for youth in need of additional support – mediation, counseling, etc. Interest members’ capacities for the provision of this type of peer support could be also developed and the communities as a whole could benefit a lot from this approach. • Partner organizations need continuous support in becoming learning organizations. Namely, their M&amp;E capacities and members’ capacities for continues learning and development need additional support from CARE. In addition, their knowledge on gender equality, relevant international standards in this area, as well as regional legislation and strategic framework, should also be further developed. Cooperation with women’s organizations should be intensify in the future, since feminist expertise could provide the Project with additional impetus and quality Also, local partner organizations should be additionally supported to advance their position in the civil society and become sectorial leaders which promote participation, wide consultations and innovative approaches. • In future, some efforts should be invested in creating relevant links with existing mechanisms for violence prevention. For example, General and Specific Protocols for Protection of Children against Abuse and Neglect in Serbia envisage specific mechanism for dealing with violence in school context. Apart from potential advancement of such norms, activities could be coordinated with similar mechanisms in the region in order to become integral part of future practices. • Apart from high school students, younger youth could be involved more actively in the Project implementation in the next phase. Good examples from Banjaluka in this regard could be a roadmap for further program development. Namely, Perpetuum Mobile had implemented set of educational activities in the primary school in Banjaluka and had great success with this activity. One could argue that the social change starts with the formation of attitudes in early stages of childhood. CARE’s capacities should be utilized for this purposes. • Existing structure for education programs’ implementation needs continues support in development. It would be of great importance to further utilize established structure of educators, including peer educators and this would require: a. Development of clear criteria for the selection of future educators; b. Educators’ continues capacity development in training design, working methods and tools, reporting and evaluation; c. Educators’ continues development in wider understanding of the training topics, including policy framework and school mechanism for protection against discrimination and violence. • Regional networking events should be organized in future, since this approach influence reconciliation and peace building in the whole region and motivate young men to adopt new values and to be more active and involved within their communities.</t>
  </si>
  <si>
    <t>http://www.youngmeninitiative.net/en/?page=36</t>
  </si>
  <si>
    <t>Austria</t>
  </si>
  <si>
    <t>Learning for Change - Strengthening Women's Voices in East Africa</t>
  </si>
  <si>
    <t>AUT916</t>
  </si>
  <si>
    <t>Karen Knipp-Rentrop</t>
  </si>
  <si>
    <t>Technical Advisor Advocacy and Organisational Development</t>
  </si>
  <si>
    <t>karen.knipp-rentrop@care.at</t>
  </si>
  <si>
    <t>Women’s voices influence strategic forums concerning women peace and security at national and international level (contributing to the implementation of UN 1325 and 1820)</t>
  </si>
  <si>
    <t xml:space="preserve">Austria, occasionally EU.The advocacy initiative is part of Learning for Change Program which is mainly implemented in Ethiopia, Uganda and Rwanda as a capacity development initiative </t>
  </si>
  <si>
    <t xml:space="preserve">the advocacy initiative is part of Learning for Change Program which is mainly implemented in Ethiopia, Uganda and Rwanda as a capacity development initiative </t>
  </si>
  <si>
    <t>Letters to the Government regarding Migration</t>
  </si>
  <si>
    <t>Thomas Haunschmid</t>
  </si>
  <si>
    <t>Communication Director</t>
  </si>
  <si>
    <t>thomas.haunschmid@care.at</t>
  </si>
  <si>
    <t xml:space="preserve">Government should improve its migration policy </t>
  </si>
  <si>
    <t>Austria, occasionally EU</t>
  </si>
  <si>
    <t>Migration</t>
  </si>
  <si>
    <t>Local alliance(s)/Platform(s)/Network(s) of  NGOs/CSOs</t>
  </si>
  <si>
    <t>Bangladesh</t>
  </si>
  <si>
    <t>NGO Health Service Delivery Project (NHSDP)</t>
  </si>
  <si>
    <t>PTHFBD0001</t>
  </si>
  <si>
    <t>Government - US</t>
  </si>
  <si>
    <t>Dr. Jahangir Hossain</t>
  </si>
  <si>
    <t>Director, Health Program, CARE BD</t>
  </si>
  <si>
    <t>Jahangir.Hossain@care.org</t>
  </si>
  <si>
    <t>ARMM Kamal</t>
  </si>
  <si>
    <t>Community Mobilization Advisor</t>
  </si>
  <si>
    <t>ARMM.Kamal@care.org</t>
  </si>
  <si>
    <t>To enable Bangladeshi NGOs to improve health status of poor and underserved population by providing cost effective quality health care services as well as to complement GOB efforts to improve maternal, newborn, child health and family planning status.</t>
  </si>
  <si>
    <t>This project is being implemented in all districts (64) in Bangladesh.</t>
  </si>
  <si>
    <t>Pregnant women, youth (18-25) ages, new born baby, Adolscent girls &amp; boys, specially poor, poorest of the poor, not poor people living in rural and urban areas of Surjer Hashi Clinics.</t>
  </si>
  <si>
    <t>Approximately 20 million people are in catching area and 80 percent are female will receive service those are direct participant and there famali member are indirect participants</t>
  </si>
  <si>
    <t>An end line evaluation is going on. To be finished by November 2017</t>
  </si>
  <si>
    <t>It took tested solutions to scale on its own</t>
  </si>
  <si>
    <t>CARE provided technical assistance to partner NGOs to form Surjer Hashi Community Support Group (SHCSGs) at clinic level in which civil society memmbers are member of the the group. CAREBD also provided them training on planning and implementation of project activities.</t>
  </si>
  <si>
    <t>Formation of community support groups and preparing Community Action Plans (CAP) process</t>
  </si>
  <si>
    <t>GBV case screeining and counceling</t>
  </si>
  <si>
    <t>Tools and techniques of identifying poor and poorest of the poor by support groups using participatory process.</t>
  </si>
  <si>
    <t>Involvement of communities and other stakeholders increases number of clients and sustainability.</t>
  </si>
  <si>
    <t>After screening GBV cases, it is difficult to send them referral centers.</t>
  </si>
  <si>
    <t>Invlovement of Local Government Instituion brings more validity of works intiatied by project.</t>
  </si>
  <si>
    <t>This is basically the last year of this project. All the milestones are very close to be achieved against the targets. May be extended for three months to accompolish the tasks related to documentation.</t>
  </si>
  <si>
    <t>Data provided from the following sources: Quarterly Progress Report, Annual Report, Project Document</t>
  </si>
  <si>
    <t>Improving Maternal and Infant Health in Bangladesh (IMIHB)</t>
  </si>
  <si>
    <t>CAUSBD0001/CAUSBD0002</t>
  </si>
  <si>
    <t>Dr. Jahirul Alam Azad</t>
  </si>
  <si>
    <t>Team Leader - Urban Health</t>
  </si>
  <si>
    <t>JahirulAlam.Azad@care.org</t>
  </si>
  <si>
    <t>Program Director - Health</t>
  </si>
  <si>
    <t>Improve the health status of vulnerable women aged 15 – 49 and children under 5 in Gazipur, including female readymade garment (RMG) factory workers, through strengthening the CmSS.</t>
  </si>
  <si>
    <t>Gazipur District, Bangladesh</t>
  </si>
  <si>
    <t>Pregnant women and infant</t>
  </si>
  <si>
    <t>Direct participant: Pregenent women and childer under 5. Indirect participant: Family memebrs and community people. Calculation of direct participant: PW  reciving service from Community Clinincs and referred to Upazila Health Complex, District Hospital and other referral center. Information collected from monthly health and Family planning MIS. Calculation of indirect population: Family members and community people participated in birth planning session, awareness raising events and take services from Community Clinics. Information colleted from project records and CC patient register.</t>
  </si>
  <si>
    <t>Local government(s)</t>
  </si>
  <si>
    <t>Project introduced Social accountability tools: Community Score Card and Community Dialouge for strengthening the exisitng community platforms.</t>
  </si>
  <si>
    <t>Capacity building of Health managers and supervisors through formation of CORE Team</t>
  </si>
  <si>
    <t>Community Referral System</t>
  </si>
  <si>
    <t>Community Score Card</t>
  </si>
  <si>
    <t>Coordination among relevant stakeholders is key to ensure consistence in service quality</t>
  </si>
  <si>
    <t>Effective conduction of birth planning session significantly increase number of births conducted by skilled providers</t>
  </si>
  <si>
    <t>Establishments of Community Clinic corner at Upazila health complex significantly improve client satisfaction and changes in health seeking behaviour</t>
  </si>
  <si>
    <t>'Performance Report – FY16-17</t>
  </si>
  <si>
    <t>Response to Flooding in North-west Bangladesh 2016</t>
  </si>
  <si>
    <t>CCANBD0012</t>
  </si>
  <si>
    <t>Humanitarian Coalition</t>
  </si>
  <si>
    <t>Md. Mahbubur Rahman</t>
  </si>
  <si>
    <t>Emergency Response Program Manager</t>
  </si>
  <si>
    <t>mahbubur.rahman@care.org</t>
  </si>
  <si>
    <t>To support with Unconditional Cash Grant, Shelter and Non-food items to the flood affected people.</t>
  </si>
  <si>
    <t>Kurigram Sadar Sub-district of Kurigram District and Islampur Sub district of Jamalpur District</t>
  </si>
  <si>
    <t>3600 flood affected families in Northern Bangladesh.</t>
  </si>
  <si>
    <t>Thus the project reached to 13,718 people (male- 6,798 and female-6,920) from 3,600 families</t>
  </si>
  <si>
    <t>Initially, this project has plan to support 2000 families in 03 unions of Kurigram Sadar upazila (sub-district) through local partner- SOLIDARITY. But considering the severe needs in other areas too, the project provided Non-food item support to 1500 additional families in additional 03 unions of Islampur upazila (sub-distric) under Jamalpur district.</t>
  </si>
  <si>
    <t>Multi-sector unconditional cash support provided to the most vulnerable flood affected families to empower them to meet their immediate family needs.</t>
  </si>
  <si>
    <t>NFI support provided to flood affected, displaced and most vulnerable families to meet their critical immediate shelter needs</t>
  </si>
  <si>
    <t>Dispalying of a set of NFIs at distribution center enabled beneficiries to check if they have received what they were entitled to. Orientation to beneficiaries before distribution on how to make the best use the NFI's  was also very helpful.</t>
  </si>
  <si>
    <t>The Project Implementation Guideline was in English, not in local language (Bangla). Field staff with less english language skill faced difficulty.</t>
  </si>
  <si>
    <t>Providing local partner extended control over resources enables them to stretch their legs and ensure staff wellbeing in humanitarian responses. For Emergency proejcts with cash distribution components there should be less percentage of budget kept on hold (to be disbursed after the final financial settlements with partner). It needs to be decided based on the nature and budget of the prject inconsultaion with the involved partner.</t>
  </si>
  <si>
    <t>1. CHAF Project Report</t>
  </si>
  <si>
    <t>CFRABD0017</t>
  </si>
  <si>
    <t>CARE France</t>
  </si>
  <si>
    <t>Md. Elias</t>
  </si>
  <si>
    <t>Technical coordinator</t>
  </si>
  <si>
    <t>elias@care.org</t>
  </si>
  <si>
    <t>To contribute in sustainable economic growth of JDP workers with special emphasis on women workers &amp; SMEs under Switch Asia project in Northwest and Southwest region as well as greater Dhaka, Bangladesh.</t>
  </si>
  <si>
    <t>Rangpur, Jessore, Khulna, Dhaka, Satkhira and Kurigram in Bangladesh</t>
  </si>
  <si>
    <t>SMEs and Artisan of JDP workers</t>
  </si>
  <si>
    <t>Direct participants have got the capacity development support from the projcet in directly. And indirect participants got the support from the direct participants as workers, suppliers and sometimes coustomers</t>
  </si>
  <si>
    <t>SWITCH to jute- A consortium who make business to their own interest</t>
  </si>
  <si>
    <t>i) The project/initiative did NOT consider governance or power relations</t>
  </si>
  <si>
    <t>Private sector</t>
  </si>
  <si>
    <t>Regional alliance(s)/Platform(s)/Network(s) of  NGOs/CSOs</t>
  </si>
  <si>
    <t>SWITCH to Jute consortium</t>
  </si>
  <si>
    <t>Producers group</t>
  </si>
  <si>
    <t>Skill development training</t>
  </si>
  <si>
    <t>Marketing</t>
  </si>
  <si>
    <t>Private sector engagements</t>
  </si>
  <si>
    <t>Final evuauation report</t>
  </si>
  <si>
    <t>Promoting Sustainable Consumption and Production of Jute Diversified Product</t>
  </si>
  <si>
    <t>CFRABD008</t>
  </si>
  <si>
    <t>Elias</t>
  </si>
  <si>
    <t>TC</t>
  </si>
  <si>
    <t>To contribute to pro-poor economic growth social business promotion with an emphasis on sustainable agricultural sector growth and poverty reduction in Northwest &amp; Southwest region of Bangladesh (MDGs 1 &amp; 7).</t>
  </si>
  <si>
    <t>Northwest (Rangpur &amp; Kurigram) &amp; Southwest (Jessore &amp; Satkhira). And the nine sub-districts are – (i) Rangpur Sadar (ii) Pirgacha (iii) kawnia &amp; (iv) Mithapukur under Rangpur district; (v) Kurigram Sadar &amp; (vi) Ulipur under Kurigra district; (vii) Monirampur under Jessore district (vii) Tala &amp; (ix) Kolaroa under Satkhira district. Under this nine sub-districts each implementing partners are working in 10 unions (40 unions in total).</t>
  </si>
  <si>
    <t>The project is working for 16000 jute producers, 2000 Jute Diversified Products (JDPs) workers &amp; 60 Organic Fertilizer Producer, 20 SMEs, 3 jute mills and others national associations and public agencies that are active in the jute industry of the country</t>
  </si>
  <si>
    <t>Participants who received the benefit from the project in directly are describe direct project participants. And those who benefited from the project acitivites and from the project participants are described indirect participants.</t>
  </si>
  <si>
    <t>Value chain approach</t>
  </si>
  <si>
    <t>Market systeem approach</t>
  </si>
  <si>
    <t>Engaging the stakeholders</t>
  </si>
  <si>
    <t>Market driven products developed</t>
  </si>
  <si>
    <t>Sustainable linkage: It was evident that SMEs are now more knowledgeable about JDP workers that help them catering large and middle sized orders inbound and outbound. JDP workers have also seen heightened confidence as they have participated in different fairs and exhibitions and are now more connected with buying groups acquiring versatile knowledge on products, price and other specifications required to remain competitive in the market. SME Consortium brought 20 SMEs together under one umbrella and now has more open and integrated platform to discuss about the sectoral growth, threats and how to tap potentials.</t>
  </si>
  <si>
    <t>SME Consortium: SME consortium has the structure and intention of promoting the sector development activities in future. The consortium has already shown keen interest in working with other small enterprises in regional level and directly with the JDP workers also. It has been working on increasing the financial and management strength as orgnaization and building a robust platform to uphold the interest of JDP sector.</t>
  </si>
  <si>
    <t>Final Evaluation</t>
  </si>
  <si>
    <t>Where the Rain Falls (WtRF)</t>
  </si>
  <si>
    <t>CFRABD0013</t>
  </si>
  <si>
    <t>Development Food &amp; Nutrition Security and Resilience to Climate Change</t>
  </si>
  <si>
    <t>Md. Nure Alam Siddique</t>
  </si>
  <si>
    <t>Team Leader</t>
  </si>
  <si>
    <t>nooraalam.siddiqui@care.org</t>
  </si>
  <si>
    <t>To improve the resilience of targeted vulnerable communities to the increasing consequences of rainfall variability by promting adapive agricultural practices and efficient water resource  (irrigation) management.</t>
  </si>
  <si>
    <t>Kurigram in the nothern region of Bangladesh</t>
  </si>
  <si>
    <t>The small and marginal farmers (poor &amp; extreme poor), whose cultivation practices depends on rain water and face challenges of drought, flood, irregular rainfall river errotion, cold &amp; fog. The positive changes expected from project activities is the farmers and community will be able to analyse and adapt with the climatic vulnerability in agriculture specially cropping system (variety, pattern and technolog</t>
  </si>
  <si>
    <t>It introduced new disaster-resilient varieties of crops created by the state-run agro-research lab to field-test their effectiveness</t>
  </si>
  <si>
    <t>1585 FFS farmers (selected and trained by project) preserved Mustard seed (BINA-4) for next season cultivation and have a plan to sell these to other communities. 167 FFS farmers (selected and trained by project) preserved BRRI dhan 52 (rice seed) and have a same plan.</t>
  </si>
  <si>
    <t>Fully addressed vulnerability caused by climate change</t>
  </si>
  <si>
    <t>Use of Farmer Field Schools (FFS)</t>
  </si>
  <si>
    <t>Community Based Adaptation (CBA)</t>
  </si>
  <si>
    <t>Agro-input support, demo plots and Coordination meeting with DAE, UP and research institutes</t>
  </si>
  <si>
    <t>1. Adaptive seeds, especially flood tolerant rice varieties were not available in Research Institutes. We made the seeds available by purchasing from certified local seed agency. As a way to make seeds available in the locality the project also facilitated the establishment of Seed banks at two Union Parishads.</t>
  </si>
  <si>
    <t>2. Sudden flash flood in WtRF working areas is a regular phenomenon. During Aman season in 2016, 65% seed beds of demo plots and 90% seed beds of trial plots got totally damaged by flash flood. As a way of recovering the loss, we arranged seedling from BADC for few farmers. Many farmers collected seedlings from neighboring districts on their own.</t>
  </si>
  <si>
    <t>3. We did not reach the target of involving 25% of women in terms of our target beneficiaries as women from “middle and rich” families are not directly involved with the agriculture cultivation and thus show low interest to join FFD for example.  Thus the target was too optimistic given the context. Though, we have reached the 50% target in terms of % of women within the FFS members.</t>
  </si>
  <si>
    <t>Local NGO Narrative Report
Final Evaluation Report</t>
  </si>
  <si>
    <t>Where the Rain Falls (WtRF) - Phase III</t>
  </si>
  <si>
    <t>CFRABD0020</t>
  </si>
  <si>
    <t>Prince Albert II of Monaco Foundation</t>
  </si>
  <si>
    <t>Palash Mondal</t>
  </si>
  <si>
    <t>Coordinator - Resilience and Climate Change</t>
  </si>
  <si>
    <t>palash.mondal@care.org</t>
  </si>
  <si>
    <t>Dipan Kumar Shaha</t>
  </si>
  <si>
    <t>Project Officer - Monitoring and Learning, WtRF III</t>
  </si>
  <si>
    <t>dipankumar.shaha@care.org</t>
  </si>
  <si>
    <t>To improve resilience of 20 communities, especially women, from Kurigram district against increasing vulnerability of rainfall patterns by promoting SuPER agriculture approach and community based adaptation. [SuPER stands - Sustainable, Profitable, Equitable and Resilient]</t>
  </si>
  <si>
    <t>Kurigram district, Bangladesh</t>
  </si>
  <si>
    <t>Small holder farmers, with particular focus on women.</t>
  </si>
  <si>
    <t>Direct Participants- The small holder farmers who are members of Farmers Field School (FFS) receiving various trainings and involved directly with project activities, and the Union Parishad members who are to receive trainings for capacity building and to disseminate the agricultural practices covered by the projects through establishing demonstration plots. Indirect participants- The small holder farmers who are not directlly involved with the project activities but learn from the FFS members and attend Farmers Field Day.</t>
  </si>
  <si>
    <t>The project has a plan to conduct final evaluation at the end the project life that is tentatively scheduled in month of December, 2018.</t>
  </si>
  <si>
    <t>Farmers to farmers learning mechanism, Women to be recognized as farmers</t>
  </si>
  <si>
    <t>Community Based Adaptation (CBA), Adaptive agriculture in terms of improved variety and pattern</t>
  </si>
  <si>
    <t>No, we haven't made any such changes.</t>
  </si>
  <si>
    <t>Farmers Field School</t>
  </si>
  <si>
    <t>Climate Adaption Action Planning (using CVCA)</t>
  </si>
  <si>
    <t>Integrating CBA activitities into union parishad annual planning</t>
  </si>
  <si>
    <t>Not just passive contributor; women have potentials to lead agriculture innovation if their meaningful participation is ensured</t>
  </si>
  <si>
    <t>If community raise a strong voice and take a solid stand for their betterment, it results into the adoption of activities in the annual plan by the Union Parishad</t>
  </si>
  <si>
    <t>Repeated flash floods cause lots of damages to the crops of the farmers during the aman season</t>
  </si>
  <si>
    <t>Proposal and logframe to be submitted</t>
  </si>
  <si>
    <t>OIKKO("Unity")- united for translating rights into action NOW!</t>
  </si>
  <si>
    <t>CAUTBD0018</t>
  </si>
  <si>
    <t>Austrian Development Agency (ADA)</t>
  </si>
  <si>
    <t>CARE Austria</t>
  </si>
  <si>
    <t>Md. Abu Taher</t>
  </si>
  <si>
    <t>abu.taher@care.org</t>
  </si>
  <si>
    <t>Ms. Humaira Aziz</t>
  </si>
  <si>
    <t>Director-Women and Girls' Empowerment Program</t>
  </si>
  <si>
    <t>humaira.aziz@care.org</t>
  </si>
  <si>
    <t>A strong and united civil society promotes the implementation of fundamental labour rights in the ready-made garment (RMG) sector in Bangladesh.</t>
  </si>
  <si>
    <t>Three Districts: Dhaka, Gazipur and Chittagong of Bangladesh</t>
  </si>
  <si>
    <t>Female Readymade Garment workers and Trade Union/Federation Leaders</t>
  </si>
  <si>
    <t>The direct participants are working with OIKKO from the begaining of the project. 100 EKATA groups have covered 3000 female RMG workers directly and 600 trade union leaders got trainings from the project. These 3600 are direct participants. The EKATA members will reach 18000 workers as per plan (6 each). The trade union leaders will reach 22500 by their outreach of their trade unin</t>
  </si>
  <si>
    <t>The end line evaluation will include both qualitative and quantitative method and will compare the baseline data. Also the evaluation will focus on the project log frame and Expected Result Indicators related data.</t>
  </si>
  <si>
    <t>OIKKO is doing a study on living wage (which is new in this country) of RMG workers. The study will be used by CARE and other NGOs/CSOs to ensure living wage for RMG workers. Also the project is collecting evidences from field to bring it up in national level.</t>
  </si>
  <si>
    <t>OIKKO project is maintaining a Civil Society Organization Platform to strengthen the advocacy to implement the labour act and living wage. The Advocacy partner of OIKKO also working to scale up the project innovation to the Trade Unions and Civil Society Actors.</t>
  </si>
  <si>
    <t>The project is facilitating a CSO platform and providing evidence to them to advocate for workers rights</t>
  </si>
  <si>
    <t>Community Workers Association (CWA) for Female RMG workers</t>
  </si>
  <si>
    <t>Managing Platform and Evidence Based Advocacy</t>
  </si>
  <si>
    <t>Outreach of Trade Union/Federation</t>
  </si>
  <si>
    <t>Female Ready Made Garment (RMG) workers can bargain collectively if we can increase their rights awareness and linkages with service providers.</t>
  </si>
  <si>
    <t>Trade unions and federations need more skills to make the RMG workers aware about their right and outreach to motivate the workers.</t>
  </si>
  <si>
    <t>Ensure sustainability of the solidarity groups as an organizational entity is really challenging work. We need to work to create a vision to the group members and increase more ownership to the groups.</t>
  </si>
  <si>
    <t>It was tough to collect data about the indirect beneficiaries of the project as there are lots of federations and groups working with the project. However the project tried to collect data through regular monitoring and reflection with the stakes.</t>
  </si>
  <si>
    <t>2 and year narrative report, quartrly reprot (Q 9) and data sheet attached, CSO platfrom ToR</t>
  </si>
  <si>
    <t>BANGLADESH NEEDS ASSESSMENT SUPPORT PROJECT – CONSULTATION Phase</t>
  </si>
  <si>
    <t>CGBRBD0098</t>
  </si>
  <si>
    <t>Humanitarian Other</t>
  </si>
  <si>
    <t>Mahbubur Rahman</t>
  </si>
  <si>
    <t>Emergency Response and Preparedness Coordinator</t>
  </si>
  <si>
    <t>Soliatire Morton</t>
  </si>
  <si>
    <t>Humanitarian Programme Coordinator</t>
  </si>
  <si>
    <t>smorton@careinternational.org</t>
  </si>
  <si>
    <t>Impact: Enhanced resilience of communities affected by, and vulnerable to, disasters through evidence-based response. Outcome: An assessment framework for Bangladesh which provides timely and appropriate humanitarian assessment information. Output-1: A comprehensive assessment preparedness framework developed based on understanding of Bangladesh stakeholders’ assessment capacity-gaps. Output-2: Updated BNASP proposal to reflect key findings of the consultation vis-à-vis Government capacity gaps</t>
  </si>
  <si>
    <t>'It's a national level consultation initiative.  All activities are centered at the capital Dhaka.</t>
  </si>
  <si>
    <t>Goverenment officials and other stakeholders who are connected to humanitarian assessment prior to response will be able to do their work better, resulting in improved evidence-based humanitarian response to disasters</t>
  </si>
  <si>
    <t>This is an initiative with the oblective of developing a project that fulfills/supports the advancement of Joint Needs Assessment (JNA) approach in Bangladesh. No direct support is being provided, rather the project (that will be based on this consultaion) will be helpful to identify appropriate needs of disaster affected community.</t>
  </si>
  <si>
    <t>Joint Needs Assessment Capacity Building - YES</t>
  </si>
  <si>
    <t>As an assessment initiative, the project had to direct work with impact groups only with enabling stakeholders. As such, the initiative did not have a baseline or Evaluations held</t>
  </si>
  <si>
    <t>Through better pre-response assessment, it aims to have more poverty and gender focused response to disaster</t>
  </si>
  <si>
    <t>The initiative is not like any regular projects that has specific targeted direct or indirect beneficiaries. Also it doesn't have adirect focus on gender, governance etc marker. The project focused on completing broadly four major tasks: =- Select/identify key informants/stakeholder for interview and undertake meetings / workshops with key stakeholders including from government actors and development partners =- Map current projects/initiatives containing assessment activities, including GIS and information management and developed  a comprehensive assessment preparedness framework based on understanding of Bangladesh stakeholders’ assessment capacity-gaps =- Update/ Re-design BNASP proposal to reflect key findings of the consultation vis-à-vis government capacity gaps =- Retain the in-country capacity to lead/coordinate any Joint Needs assessment (JNA) when it is launched. and also continue to advocate for the JNA approach as well as support in capacity development of various stakeholders.</t>
  </si>
  <si>
    <t>International NGO(s)</t>
  </si>
  <si>
    <t>Multilateral organization(s)</t>
  </si>
  <si>
    <t>The initiative developed a framework of Needs Assesment and identified areas where capacity building support is required fro the civil society</t>
  </si>
  <si>
    <t>A well consulted Bangladesh Assessment Framework is crucial for understanding the lnkage and realtionship among various initiatives on Assessment</t>
  </si>
  <si>
    <t>Conceptual clarification, buy in and ownership from various stakeholders, especialy governement authorities, are very much essential for achieving the goal.</t>
  </si>
  <si>
    <t>Continuous facilitaion support is required for developing the methodologoes/tools, caapcity building of stakeholders, regular updating of secondary information bank.</t>
  </si>
  <si>
    <t>A Need Assessment Working Group (NAWG),  comparising of representatives from all stakeholders, is very much crucial for taking the initiative forward and establish a platform who looks into and looks after the needs assessment issues including JNA.</t>
  </si>
  <si>
    <t>A dedicated project, a center of excellence/secretariate of NAWG, and continuous facilitation is required.</t>
  </si>
  <si>
    <t>Regular updating of methodlogies and tools is important to incorporate new technologies, mechanisms, policies and trends.</t>
  </si>
  <si>
    <t>Capturing the Effects of Inclusive Governance</t>
  </si>
  <si>
    <t>CGBRBD0104</t>
  </si>
  <si>
    <t>Murad Bin Aziz</t>
  </si>
  <si>
    <t>Governance Coordinator, Extreme Rural Poverty Program</t>
  </si>
  <si>
    <t>MuradBin.Aziz@care.org</t>
  </si>
  <si>
    <t>Anowarul Haq</t>
  </si>
  <si>
    <t>Director,Extreme Rural Poverty Program</t>
  </si>
  <si>
    <t>anowarul.haq@care.org</t>
  </si>
  <si>
    <t>Union Parishad public finance management systems are strengthened, transparent and aligned with the Local Government Act 2009. UP will benefit from institutional strengthening through establishing transparent and participatory budget process-es which will ultimately improve their legitimacy,  their effectiveness in delivering services  and ultimately their income rev-enues</t>
  </si>
  <si>
    <t>Global</t>
  </si>
  <si>
    <t>The priority countries for this initiative are Bangladesh and Ghana. We aim to include a mixture of live and closed projects in order to strike a balance between ex post evaluation and adaptive programming. As the initiative evolves, further countries and programming contexts may be added.</t>
  </si>
  <si>
    <t>The CARE International 2020 Program Strategy outlines three elements of CARE’s core approach: strengthening gender equality and women’s voice; promoting inclusive governance (IG); and increasing resilience. The promotion of inclusive governance is therefore a central component of CARE’s work everywhere. CARE has extensive experience in empowerment and accountability, what CARE calls inclusive governance, programming. In fiscal year 2015, for example, CARE was implementing 339 projects in 63 countries addressing to different extents issues of inclusive governance.</t>
  </si>
  <si>
    <t>n/a</t>
  </si>
  <si>
    <t>The project has introduced political economy analysis to formulate pro poor vision and planning in each union under the operation of JATRA project. The analysis encourages and validates local government councils to allocate resources and implement more programs for marginalized and poor communities. As a follow up for accountability, the project initiated participatory self evaluation of local councils on a six monthly basis. The learning was shared to Horizontal Learning program (HLP), a peer to peer learning program coordinated by local government division, more than 100 chairmen from different corner of the project have visited JATRA operated union and learn the practice for adapting in their respective union. As a best practice, HLP has published into the fact sheet and circulated to all unions under the program of the project.</t>
  </si>
  <si>
    <t>Aim to include a mixture of live and closed projects in order to strike a balance between ex post evaluation and adaptive programming.</t>
  </si>
  <si>
    <t>In terms of programming approaches and models, CARE frequently employs a variety of social accountability tools such as community score cards, community action planning, social audits, and citizen charters</t>
  </si>
  <si>
    <t>CARE also uses ICTs extensively and this may be seen either as an important source of data, but also a platform for feedback loops for future programming.</t>
  </si>
  <si>
    <t>CARE - GlaxoSmithKline Community Health Worker Initiaitve</t>
  </si>
  <si>
    <t>CGBRBD0099</t>
  </si>
  <si>
    <t>Program Director- Health</t>
  </si>
  <si>
    <t>jahangir.hossain@care.org</t>
  </si>
  <si>
    <t>Dr. Md. Ahsanul Islam</t>
  </si>
  <si>
    <t>Coordinator- Health System Strengthening</t>
  </si>
  <si>
    <t>ahsanul.islam@care.org</t>
  </si>
  <si>
    <t>To improve health and nutrition outcomes of the population in remote, poor and underserved areas with special attention to maternal and child health.</t>
  </si>
  <si>
    <t>88 Unions of all the 11 sub-districts of Sunamganj District</t>
  </si>
  <si>
    <t>Women of Reproductive Age (WRA), Pregnant Women (PW), Eligible Cauple (ELCO), Children &lt;5</t>
  </si>
  <si>
    <t>Direct Participants: Pregnant Women, Newborn &amp; Under 5 children, communitysupport group members, Private CSBAs and CHWs, Participants of different community engagement sessions. Indirect Participants: WRA who are not pregnant, 25% Pregnant Women,  50% Under 5 children &amp; Male partners of eligible couple</t>
  </si>
  <si>
    <t>Engaging local government in mitigating the negetive effect of traditional providers</t>
  </si>
  <si>
    <t>Develop a holistic partnership model to increase health services access in remote communities which can be replicated by the government, donors and other stakeholders in other areas.</t>
  </si>
  <si>
    <t>The project is well aligned with CARE's approach and roles from the beginning.</t>
  </si>
  <si>
    <t>Develop sustainable health care providers to provide affordable and high-quality MNCH services in the remote and poor communities.</t>
  </si>
  <si>
    <t>Integrate new services into P-CSBAs’ service packages to address unmet needs and demands for health and nutrition services.</t>
  </si>
  <si>
    <t>Increase commitment and support of the Private CSBA scheme by the local government for long-term sustainably</t>
  </si>
  <si>
    <t xml:space="preserve"> Private CSBA’s personal motivation, readiness and family support is crucial and selection of appropriate candidate appears to be the key to long term sustainability.</t>
  </si>
  <si>
    <t>Quality of Care is at the center of market development of a community based skilled service provider.</t>
  </si>
  <si>
    <t>Some local level effective collaborations with the NGOs working in Sunamganj district are setting examples of cost sharing   in organizing community gatherings, showcasing the success of the initiative,  advocacy and Private CSBAs promotional activity</t>
  </si>
  <si>
    <t>Proposal, Progress Report (Jun - Nov 2016) and Progess Report (Dec'16 - May 2017)</t>
  </si>
  <si>
    <t>CARE-GSK RMG Workers Health Initiative</t>
  </si>
  <si>
    <t>CGBRBD0096</t>
  </si>
  <si>
    <t>Enhance quality of life of 50,000 RMG workers and their family members through improved knowledge and access to health and nutrition services, community support, and conducive policy environment that enables them to live a dignified life.</t>
  </si>
  <si>
    <t>Gazipur, Bangladesh</t>
  </si>
  <si>
    <t>Ready Made Garments Workers and their family members</t>
  </si>
  <si>
    <t>Direct Participant: Targeted factory workers and their family members. Indirect Participant: Community people where targeted factory workers are live in</t>
  </si>
  <si>
    <t>Peer Education</t>
  </si>
  <si>
    <t>Urban Health System Strengthening</t>
  </si>
  <si>
    <t>Community Support System</t>
  </si>
  <si>
    <t>Agreement on common interest is value adding for creating service access from multiple service providers including government and non-government</t>
  </si>
  <si>
    <t xml:space="preserve"> Continuous strategy evaluation and reviewing action plan are significantly important to get effective result in urban context due to diversified and critical dynamism of population</t>
  </si>
  <si>
    <t>Personal interest and biasness of stakeholders affects smooth functioning of project activities at community level. It can take significant time to bring all stakeholders on the same page, share common interest/goals and set priorities to address RMG workers’ health and social issues</t>
  </si>
  <si>
    <t>Prgress reports</t>
  </si>
  <si>
    <t>Emergency Response to Monsoon Flooding in Northern Bangladesh</t>
  </si>
  <si>
    <t>CGBRBD0102</t>
  </si>
  <si>
    <t>Solitaire Morton</t>
  </si>
  <si>
    <t>As an emergency response project, the project supports 12,500 people from 2500 households with immediate readymade food item and similarly 12,500 people from 2500 households with emergency shelter facilities in response to northern flood.</t>
  </si>
  <si>
    <t>Kurigram Sadar District (Unions, Holokhana &amp; Pachgachi)  &amp; Bogra District (Sariakandi Sub-district - Unions, Chalubari &amp; Hatsherpur)</t>
  </si>
  <si>
    <t>Distribution of dryfoods (a seven days package including 10.5 kg Flattened Rice, 3.5 kg Molasses and 33 pack of Biscuits per family)</t>
  </si>
  <si>
    <t>All participant are direct '12,500 people (from 2500 households) received emergency dry foods across two targeted locations and ration of male and female in national 51:49</t>
  </si>
  <si>
    <t>As an emergency respose project, the focus was on distribution of releif based on the prior assessments made of affected populations. And the project was closed with documented evidence of relief distributed.</t>
  </si>
  <si>
    <t>Community Based needs assessment</t>
  </si>
  <si>
    <t>Gender Disaggregated data used in analysis, implementation, monitoring and follow up</t>
  </si>
  <si>
    <t>Needs assessment are essential for providing appropriate assistance,</t>
  </si>
  <si>
    <t>Pre-arrangements and planning are a vital to ensure a timely response. CAREs initial surge (even before this project started) allowed distribution to take place within 3 days of the project start date</t>
  </si>
  <si>
    <t>Development of emergency resource in organisation level can ensure a fast, quality response. CARE has an emergency focal point at each field office as well as the programme support managers who were oriented earlier on emergency response activities, which helped to have a smooth start to implementation</t>
  </si>
  <si>
    <t>Start Fund - Report Form - Alert 100 Bangladesh CARE (original report form)</t>
  </si>
  <si>
    <t>Enhancing Inclusive Disaster Resilience in Bangladesh</t>
  </si>
  <si>
    <t>CGBRBD0093</t>
  </si>
  <si>
    <t>ECHO - European Commission for Humanitarian Aid and Civil Protection</t>
  </si>
  <si>
    <t>Humanitarian Food &amp; Nutrition Security and Resilience to Climate Change</t>
  </si>
  <si>
    <t>Mr. Palash Mondal</t>
  </si>
  <si>
    <t>Coordinator-Resilience and Climate Change</t>
  </si>
  <si>
    <t>Md. Zahangir Alam</t>
  </si>
  <si>
    <t>Programme Manager</t>
  </si>
  <si>
    <t>zahangir.alam@care.org</t>
  </si>
  <si>
    <t>To enhance the resilience of most at risk groups to the recurring and escalating disaster risks by advancing the DRR institutionalization process in Bangladesh.</t>
  </si>
  <si>
    <t>Districts -kurigram , 1 Upazilla (Sathkira Sadar), 08 unions</t>
  </si>
  <si>
    <t>The local Disaster Management Committees (District Disaster Management Committee, Upazila Disaster Management Committee, Union Disaster Management Committee, Education Officers),School Management Committee,Teachers, Students of Primary schools, Community People</t>
  </si>
  <si>
    <t>DMC+CCDMC+Rural Volunteers +Beneficiaries  of co-financing initiatives - small scale mitigation  (at least 1% of total population) +SMC members+District Education Office &amp; District Primary Education Office+ Beneficiaries  of co-financing initiatives (students + teachers)+Students +Teachers+Livelihood Groups members +Livelihood Groups members (their family only)+Agriculture Officers in 1 upazila+ Livestock Officers in 1 upazila+Sub Assistant Agriculture Officers in 1upazilla are  direct participants AND Population of the Target Union/CC Ward are indirect</t>
  </si>
  <si>
    <t>No base line and End evaluation as described in Final report.</t>
  </si>
  <si>
    <t>Formation of UDMCs</t>
  </si>
  <si>
    <t>The female and person with disabilities (PWD) in the local Disaster Management Committees (DMC's) for inclusion and this will create enabling environment of   Inclusive Resilience Amongst Water Logged Communities regarding DRM</t>
  </si>
  <si>
    <t>1.Endorsement of the CBDP models from the DDM (Department of Disaster Management) generated high level acceptability and motivated both the government institutions and communities to engage with the DRR and DP (Disaster Preparedness) activities</t>
  </si>
  <si>
    <t>2.School based disaster preparedness (SBDP) created a safe learning environment on the face of disaster by promoting a culture of safety at school.</t>
  </si>
  <si>
    <t>3.Co-funding for RRAP implementation, matching fund from Government of Bangladesh, was effective in generating financial support to decrease locally identified risks.</t>
  </si>
  <si>
    <t>1. Activating the Union level DMC's which is very supportive to existing upazila level DMC's.As per SoD, UDMC is  mandatory. This project has taken this activity with importance to test how the structures bring benefits to the populations at risk.</t>
  </si>
  <si>
    <t>2.Conduction of Community Risk Assessment (CRA) as well as RRAP development and preparing the DM plan. Through these initiatives the community are able to prioritize the local risk factors and also make a plan for mitigation as per RRAP schemes implementation through ADP budget/external funds.</t>
  </si>
  <si>
    <t>3.DRR awareness and resilient livelihood practices targeting multiple stakeholders including local community, DMCs, local government bodies etc.</t>
  </si>
  <si>
    <t>All relevent documents are enclosed herewith</t>
  </si>
  <si>
    <t>.01. NARRI_DIPECHO_VIII_CARE Final Narrative Report_FINAL 2.NARRI Revised Proposal eSingle 15032015</t>
  </si>
  <si>
    <t>Establishing National Mechanism on Loss and Damage in Bangladesh</t>
  </si>
  <si>
    <t>CGBRBD0103</t>
  </si>
  <si>
    <t>Sheri, Lim</t>
  </si>
  <si>
    <t>Climate Change and Resilience Team Leader</t>
  </si>
  <si>
    <t>lim@careinternational.org</t>
  </si>
  <si>
    <t>To address loss and damage associated with impacts of climate change, including extreme events and slow onset events, in developing countries that are particularly vulnerable to the adverse effects of climate change.</t>
  </si>
  <si>
    <t>Four divisional consultation workshops in Sylhel, Rangpur, Chittagong and Khulna and national level consultation workshop at Dhaka. Develop a scoping study on L&amp;D mechanism and present the findings of the paper in CoP 22 in Marrakech.</t>
  </si>
  <si>
    <t>This initiative contribute in the process of scoping out the possibility of setting up a National Mechanism for addressing loss and damage associated with climate change impacts in Bangladesh.</t>
  </si>
  <si>
    <t>Workshop</t>
  </si>
  <si>
    <t>District consultation findings on risk transfer of sharing: Insurance
Insurance is not a popular idea at sub-national level as there are mixed experiences shared by many. However, an ‘index-based insurance’ (after sharing the idea) led to a more positive response from the participants in all four districts, noting that it needs to be tested on the ground before they can trust an insurance mechanism.</t>
  </si>
  <si>
    <t>Insurance supports adaptation through allowing farmers to be more innovative: a randomised control experiment in Andhra Pradesh, India, showed that weather index-based insurance prompted a shift toward more profitable, higher risk farm production systems.</t>
  </si>
  <si>
    <t>The fund is financed from the national budget of Bangladesh as well as donor funds and is used for implementing short, medium, and long-term goals and actions relating to climate change. The composition of the Fund’s Board of Trustees can be criticised for the fact that it is overwhelmingly dominated by Ministers and other government officials and has no representation from civil society. A technical committee to assist the Board is also composed of government officials and has no civil society representatives. The technical committee has not been given any mandate to assess loss and damage or establish baselines for assessing it in the future.</t>
  </si>
  <si>
    <t>Approaches to dealing with non-economic loss and damage</t>
  </si>
  <si>
    <t>Approaches to dealing with migration and displacement</t>
  </si>
  <si>
    <t>The functions and activities of the proposed National Mechanism identified above demand the design of an appropriate institutional structure. Initially, a National Steering Committee of the National Mechanism for Loss and Damage can be formed consisting of the highest policy makers and relevant experts and this Steering Committee can provide oversight and guidance to a Technical Working Group, consisting of relevant experts. The Technical Working Group can develop a work-plan to identify the appropriate structures and functions of the National Mechanism for Loss and Damage, which can be subject to approval by the National Steering Committee</t>
  </si>
  <si>
    <t>'HALOW+ (Health Access and Linkage Opportunities for Workers)</t>
  </si>
  <si>
    <t>CGBRBD0105</t>
  </si>
  <si>
    <t>GlaxoSmithKline and Marks &amp; Spencer</t>
  </si>
  <si>
    <t>Humanitarian Sexual, Reproductive and Maternal Health (SRMH)</t>
  </si>
  <si>
    <t>Empower workers, particularly women, to improve individual and community health, increase factory productivity and strengthen urban health systems</t>
  </si>
  <si>
    <t>Linkage with multiple stakeholders</t>
  </si>
  <si>
    <t>JATRA (Journey for Advancement in Transperency Representation and Accontibility )</t>
  </si>
  <si>
    <t>IBRBD0001</t>
  </si>
  <si>
    <t>The World Bank</t>
  </si>
  <si>
    <t>Sub-national level: Nilphamari and Gaibandha districts of Northwest of Bangladesh, will cover 15 Union Parishad, under 3 upazilas (sub-district) of those 2 Districts</t>
  </si>
  <si>
    <t>The primary beneficiaries of project are approximately 30,000 extremely poor households, especially the most marginalized women,local advance citizen, natural leader, Union parishad functioneries in the targeted 15 unions. The total population of the targeted 15 unions (approximately around 400,000) will beindirectly  benefiting from the overall improve-ment of the UP’s governance by accessing improved services and better-targeted resources.</t>
  </si>
  <si>
    <t>We are calculating our Direct and Indirect beneficiaries based on assumption. We determine that wardsava and open budget session participants counted as direct beneficiary and indirect beneficiary are 1/3 population of project constituents.</t>
  </si>
  <si>
    <t>Social Audit</t>
  </si>
  <si>
    <t>Self Evaluation</t>
  </si>
  <si>
    <t>According to tax model schedule 2012, every union should make list of potential tax payer, assessment of possible revenue collection based on tax base provided by government on prescribed formats. The tax collection is incentivized in UP performance grant, higher number for at least 10% increase of collection each year. In reality, most of the Parishad shows tax collection and expenditures in paper, the Union Parishad do not enforces citizen to pay taxes for fear of loss of popularity in potential election campaign.  The project has taken initiative by forming a committee in each Union with support of citizen forum to encourage and             raise awareness to citizen, and taken one ward for each union for tax schedule preparation and collection. a. According to tax model schedule 2012, every union should make list of potential tax payer, assessment of possible revenue collection based on tax base provided by government on prescribed formats. The tax collection is incentivized in UP performance grant, higher number for at least 10% increase of collection each year. In reality, most of the Parishad shows tax collection and expenditures in paper, the Union Parishad do not enforces citizen to pay taxes for fear of loss of popularity in potential election campaign.  The project has taken initiative by forming a committee in each Union with support of citizen forum to encourage and             raise awareness to citizen, and taken one ward for each union for tax schedule preparation and collection.</t>
  </si>
  <si>
    <t>Block grant of LGSP-II of the year 2014-15 has been disbursed 7 months later, as stated by UP for procedural complication of meeting the conditional requirement of Block grant disbursement that includes proper resolution of schemes in ward shabha, design of projects, and other factors. Consequently, time constraints limit timely completion construction and the quality of work. The project has assisted in this financial year 2015-16 by involving citizen forum to make proper resolution of ward shabha, and is taken plan to do exercise of community score card on block grant to identify proper barriers on use of block grant.</t>
  </si>
  <si>
    <t>Scaling up Inclusive Resilience Amongst Water Logged Communities in South Western Bangladesh</t>
  </si>
  <si>
    <t>CGBRBD0101</t>
  </si>
  <si>
    <t>Md. Mahabbat Ali</t>
  </si>
  <si>
    <t>mahabbat.ali@care.org</t>
  </si>
  <si>
    <t>To enhance inclusive resilience of the most waterlogged affected communities in South Western Bangladesh.</t>
  </si>
  <si>
    <t>Region: South West Bangladesh:  Districts -Satkhira , 2 Upazillas (Sathkira Sadar, Kolaroa),26 unions and 2 municipalities.</t>
  </si>
  <si>
    <t>The most waterlogged affected vulnerable communities emphasizing the female and person with disabilities (PWD) in the local Disaster Management Committees for inclusion and this will create enabling environment of   Inclusive Resilience Amongst Water Logged Communities regarding DRM</t>
  </si>
  <si>
    <t>Individuals (Disaster Managent Committee(DMC) &amp; School Management Comittee(SMC) member + Volunteers + population benefited directly from small scale mitigation etc ) are the direct participants and Total Indirect beneficiaries is  population of CARE Implemented  rural areas minus Directs participants. The calculation have made as per Annex 5_benificiary Calculation_CARE which is also attached herewith.</t>
  </si>
  <si>
    <t>Small Scale Mitigation work (Earthen road repairing ,School field raising,Canal Re-excavation cum road construction,Construction of Pacca drain , Construct palisading ,Latrine maintenance,Construction of Eidgah) with co-financing with respective UDMC's)</t>
  </si>
  <si>
    <t>End line report would be regulated by External Consultant and NARRI Secretariat at the last month of the project.</t>
  </si>
  <si>
    <t>Innovative agriculture option from DIPECHO- households are  introduced to alternative agricultural, livestock and fisheries options when developing their livelihood business plan considering hazards, their household constraints as well as opportunities. Innovative agriculture practices includes e.g. bag gardening (360 degree) (for those with limited arable homestead areas), floating gardens (for those with limited arable land but access to water body), saline tolerant varieties, adaptive agriculture not previously in area but found to have promising results based on other projects/findings of research bodies such as BARI/BIRI. Crop production gap and/or crop failure could be removed by applying some techniques in agriculture for example use of salt tolerant crops and varieties, sex pheromone trap (organic pest control) and designing cropping schedule to maintain the growing and transplanting schedules closely.</t>
  </si>
  <si>
    <t>Conducting Upazilla and Municipalities implemented (Community Base Disaster Preparednedd) CBDP &amp; (School base Disaster Preparedness)SBDP Institutionalisation model are effectively works and sacleup this model.</t>
  </si>
  <si>
    <t>NARRI have developing a platform called South West Bangladesh Water Logging Platform and link with wider network of civil societies, government institutions, research institutions, and strategic advocacy alliances to influence decision making at the local and national level. The activities of this platform will supplemented through continuous publicity and media mileage, lobbying to push the water -logging issue.</t>
  </si>
  <si>
    <t>1. Activating the Word level DMC's which is very supportive to existing union level DMC's.As per SoD, WDMC is not mandatory. This project has taken this activity with importance to test how the structures bring benefits to the populations at risk.</t>
  </si>
  <si>
    <t>2.Conduction of Community Risk Assessment (CRA/URA) as well as RRAP development and preparing the DM plan. Through these initiatives the community are able to prioritize the local risk factors and also make a plan for mitigation as per RRAP schemes implementation through ADP budget/external funds.</t>
  </si>
  <si>
    <t>All relevent data are enclosed herewith.</t>
  </si>
  <si>
    <t>1.Proposal 2.M&amp; Plan 3.Base line Report 4.Benificiary Calculation Work sheet 4. Interim Report 5. 4th Qtr Narrative rreeport 6. DMC_database 7.150 livelihood beneficiaries database.</t>
  </si>
  <si>
    <t>Supporting Bangladesh Rapid Needs Assessment (SUBARNA) Project</t>
  </si>
  <si>
    <t>CGBRBD0107</t>
  </si>
  <si>
    <t>Arshad Muhammad</t>
  </si>
  <si>
    <t>Assistant Country Director</t>
  </si>
  <si>
    <t>arshad.muhammad@care.org</t>
  </si>
  <si>
    <t>Emergency Programme Coordinator</t>
  </si>
  <si>
    <t>To make significant contributions towards helping key stakeholders in Bangladesh develop a joint needs assessment framework</t>
  </si>
  <si>
    <t>It's work enter Bangladesh</t>
  </si>
  <si>
    <t>All humanitarian stakeholders in Bangladesh</t>
  </si>
  <si>
    <t>The direct participants will the local and national level government representatives, UN, NGO, INGO members who will get training for their assessment capacity building. Indirect participant The logic is that where SUBARNA project’s assessment products are used they directly contribute to improved decision making and better responses for disaster-affected populations. It is also recognised that assessment is one part of the response plan and that funding availability, agency capacity and access will also shape a response. Specific attention to vulnerable groups has been included in the programme design.</t>
  </si>
  <si>
    <t>Thihs project will work with partner organizations to build their capacity in Assessment process.</t>
  </si>
  <si>
    <t>This is a very new project. This will be updated in the next year.</t>
  </si>
  <si>
    <t>Accelerating Actions towards Ending Child Marriage (AECM)</t>
  </si>
  <si>
    <t>UNCFBD0019</t>
  </si>
  <si>
    <t>Impact Director, ERPP</t>
  </si>
  <si>
    <t>Abdul Matin Ahardar</t>
  </si>
  <si>
    <t>AbdulMatin.Shardar@care.org</t>
  </si>
  <si>
    <t>Adolescent girls and wider community members are sensitized and aware of the negative effect of child marriage and agreed for continuation of girls’ education Selected schools are supported with WASH facilities and accessed by all, particularly girls’ student.</t>
  </si>
  <si>
    <t>Kishoreganj sub-district of Nilphamari district; Dacope sub-district of Khulna district</t>
  </si>
  <si>
    <t> 39, 150 adolescents and 25, 122 (with 5-10% overlap)= ~ 57,850 adolescents and young children are directly sensitized  47 secondary schools (100% of secondary schools of the sub-district) of Dacope sub-districtare supported with comprehensive WASH facilities (Water Supply, Hygiene corners, Gender-segregated latrines, Disable latrine facilities, Menstrual hygiene facilities, group hand washing devices)</t>
  </si>
  <si>
    <t>School Student: 25122 (Direct) Adolescent: 7830 (Direct), 31320 (Indirect) Parents: 15660 (Direct) (both parents of each adolescent) PTA: 1269 (Direct) (Parents-Teachers' association) Teachers+SMC = 188 (Indirect) 25,122 (Indirect-Students) (*SMC = School Management Committee)</t>
  </si>
  <si>
    <t>Through SaniMart, adolescent girls produced their own hygienic sanitary pads which they sold at various locations to girls and women at an affordable price. Thus, bringing positive effect on Hygiene and sexual reproductive health using economic development approach. Over 200,000 sanitary pads have been sold till now</t>
  </si>
  <si>
    <t>Each of the selected 7830 adolescents had to impart what they learned to 4 of their friends each without overlaps, thus scaling project's goal of sensitization</t>
  </si>
  <si>
    <t>The project was originally inteded to end in September 2016. However, it was extended to do additional infrastructure work to cover all secondary schools in the sub-district of Dacope.</t>
  </si>
  <si>
    <t>7830 adolescents (of whom 7700 were girls) were engaged as peer volunteers, supported by adolescent clubs who disseminated key messages on WASH and prevention of Child Marriage and mainstreaming menstrual issues for girls among their peers reaching out to 30,942 adolescents.</t>
  </si>
  <si>
    <t>Multi-point contact: 25,122 students were reached out through direct message by project staff on WASH and prevention of Child Marriage and mainstreaming menstrual issues and then follow-up messaging was conducted by trained teachers and chosen student cabinet members for repeat communication to enhance recall</t>
  </si>
  <si>
    <t>All 47 schools were assessed and according to their needs WASH facilities were set up. The facilities were then handed over to School Management Committee for maintainance and operation</t>
  </si>
  <si>
    <t xml:space="preserve">Wash in School promotes MHM and other hygiene practices both at school and community:Ensuring proper MHM facilities, followed by repeated sensitization of girls', parents and boys on menstrual hygiene created enabling environment for full use of MHM facilities. </t>
  </si>
  <si>
    <t>Hygiene corners at schools with trained female teachers to handle menstrual concerns and curiousity of girls was crucial in mainstreaming issues of sexual, reproductive health and hygiene</t>
  </si>
  <si>
    <t>Engaging students, parents and teachers through student cabinet, Parents-teachers association and School Management committee is essential to ensuring sustainable impact of sensitization goals of the AECM</t>
  </si>
  <si>
    <t>As a follow-on offshoot of another project (CATS), AECM had limited M&amp;E structure with focus on monitoring activities rather than monitoring and measuring results. As such, some of the data is not gender-disaggregated and changes in action due to sensitization is not measured.</t>
  </si>
  <si>
    <t>AECM Project Completion Report</t>
  </si>
  <si>
    <t>Building Resilience of the Urban Poor (BRUP) project</t>
  </si>
  <si>
    <t>COCOBD0001</t>
  </si>
  <si>
    <t>C&amp;A Foundation/Constanter Cooperative</t>
  </si>
  <si>
    <t>Mr. Jon R. Elam General Manager, Tamalpais Community Services District</t>
  </si>
  <si>
    <t xml:space="preserve">Coordinator - Resilience and Climate Change </t>
  </si>
  <si>
    <t>Melanie Minzes</t>
  </si>
  <si>
    <t>Senior Director, Strategic Partnerships &amp; Alliances, Washington DC, USA</t>
  </si>
  <si>
    <t>Melanie.Minzes@care.org</t>
  </si>
  <si>
    <t>Enhanced resilience of six targeted urban communities and three targeted institutions reaching a total of 8,000 individuals (directly and indirectly) who can prepare for, mitigate, respond to and recover from shocks and stresses</t>
  </si>
  <si>
    <t>Gazipur City Corporation</t>
  </si>
  <si>
    <t>Urban individuals, poor and extremely poor women in the six targeted communities, three targeted institutions (Gazipur City Corporation, two Fire Service and Civil Defence at Gazipur Sadar and Tongi)</t>
  </si>
  <si>
    <t xml:space="preserve">Direct participants:Those who are different group members, attended in regular meetings/sessions, received training and/or support either in cash or kind. Indirect participants: All household members who have participated/benefited in/through different awareness events/interventions. </t>
  </si>
  <si>
    <t xml:space="preserve">Community Development Committee (CDC) managed emergency food, cloth support for fire affected households by mobilizing community, govt. and private sector.  </t>
  </si>
  <si>
    <t>Following global indicators will be condsidered in final evaluation: 16. # and % of women who are active users of financial services (disaggregated by informal and formal services) (related to SDG indicator 8.10.2). 17. % of women who report they are able to equally participate in household financial decision-making. 21. % of people that have actively engaged in reducing their vulnerabilities to the shocks that affect them</t>
  </si>
  <si>
    <t xml:space="preserve">Facilitating participatory risk assessment and inclusive planinng process that address particular problems of women and girls. E.g women has identified darkness as hazard and installation of street solar light reduced voilance against women and girls.    </t>
  </si>
  <si>
    <t>Inlitially, project demonestrated Ward Disaster Management Committee in two wards and provided technical assistance to scale-up in all 57 wards in Gazipur City Corporation.</t>
  </si>
  <si>
    <t xml:space="preserve">INGOS, Academicians, practiononers, stakehlders, policy analyst are attending in the Urban INGO forum dialogue and National Urban Resilience Conference to find out the gaps and influence appropriate authority to take measurement. </t>
  </si>
  <si>
    <t>Urban Community Volunteers (UCVs) works as first line defence and extended force of Fire Service and Civil Defence (FSCD), e.g. UCVs worked with FSCD in Tampaco tragedy.</t>
  </si>
  <si>
    <t>Community-led garbage and water management system run as self sustained model.</t>
  </si>
  <si>
    <t>Demonstrate Ward Disaster Management Committee in two wards and scale-up in all 57 wards in Gazipur City Corporation.</t>
  </si>
  <si>
    <t>Inclusive participatory planning and implementation is essential for community ownership a must for impact sustainability.</t>
  </si>
  <si>
    <t>Women have the potential to be a force for urban resilience beyond traditional roles.</t>
  </si>
  <si>
    <t>Formal partnership with institute is useful for smooth and effective execution of program intervention.</t>
  </si>
  <si>
    <t>Community based Interventions to Improve Effective Coverage of Maternal, New-born and Child Health services (IECMNCH)</t>
  </si>
  <si>
    <t>UNCABD0020</t>
  </si>
  <si>
    <t>Dr.Ismat Ara Hena</t>
  </si>
  <si>
    <t>ismatara.hena@care.org</t>
  </si>
  <si>
    <t>The purpose of this initiative is Maternal, neonatal and under-five child mortality and morbidity are reduced and young child growth and development is improved in selected districts.The purpose of the community MNCH project is to create an enabling environment for improving effective coverage of MNCH through a community development approach.</t>
  </si>
  <si>
    <t>Khulna District (9 Upazila)</t>
  </si>
  <si>
    <t>Pregnant Woman, New born and Under 5 years childrean.</t>
  </si>
  <si>
    <t>Total participant direct and indirect 2.3 million (23,00,000) population of Khulna district. Direct Beneficiaries:  675,036 women of 15-49 years (WRA),  55,859 Pregnant Women, 50, 388 Newborn, 48,598 Under 1 year Infant, 213,474 Under-5 Children, Health and FP frontline staffs HA &amp;FWA = 544. Health and Family Planning Providers FWV, CHCP, SACMO&amp;CSBA = 399. Health and Family Planning Supervisor AHI, FPI&amp; HI=  172. Local Government UP chairman, members, Mayor, ward councilors,  = 992. Community Health Volunteer CHV = 730. Community Group members CG, CSG members = 10348. Community Caregivers: Teachers, religious leaders, village doctors, women, adolescents and community change agents etc=  1360</t>
  </si>
  <si>
    <t>Innovative social mobilization approaches and involvement of Union parashad in community level health system stengthening</t>
  </si>
  <si>
    <t>730 Community Health Volunteer are trainied on Maternal and Child Health (Ref: Training Report)</t>
  </si>
  <si>
    <t>1. Deman Creation and Readyness of facilities.</t>
  </si>
  <si>
    <t>2. Local Government were positive.</t>
  </si>
  <si>
    <t>3. Community based Health Volunteer (CHV) can work replacement of vaccant positions of Government Health and family Planning Front line Staff.</t>
  </si>
  <si>
    <t>If you give longtime training facilitation then local governance will be faverable possition</t>
  </si>
  <si>
    <t>When working with Community Health Volunteers, while they could retain and impart knowledge regarding MNCH, IMCI, Use of BCC materials and birth registration, when it came time to hold the courtyard meeting to impart these information, they faced problems in facilitating the sessions. Thus, it is important in ToTs to not only impart the information but also capacitize their facilitation skills.</t>
  </si>
  <si>
    <t>Rigorous monitoring helps identify the benefirciaries with strong uptake of training from those whose understanding or uptake was weak. This helped to classify the beneficiaries into specific needs for revisits and greater focus to ensure the project results to move from awareness to understanding to change in behaviour.</t>
  </si>
  <si>
    <t>Technecal proposal</t>
  </si>
  <si>
    <t>Empowering Marginalized Women Garment Workers and Women Financial Services Agents in Bangladesh(VISA)</t>
  </si>
  <si>
    <t>VISA Worldwide Inc.</t>
  </si>
  <si>
    <t>Humaira Aziz</t>
  </si>
  <si>
    <t>Director-WE</t>
  </si>
  <si>
    <t>Md. Mahadi Hasan</t>
  </si>
  <si>
    <t>TM-M&amp;E, Workforce Empowerment</t>
  </si>
  <si>
    <t>mahadi.hasan@care.org</t>
  </si>
  <si>
    <t>This project aims to socially and economically empower female RMG workers through increased financial inclusion, by improving their financial literacy and by designing a financial services product in which female agents, including RMG sector workers, play a key role.</t>
  </si>
  <si>
    <t>Gazipur district under Dhaka Division.</t>
  </si>
  <si>
    <t>Women garment workers</t>
  </si>
  <si>
    <t>Direct beneficiaries are those who got any direct support or benefits such as training and  other moods. Indirect beneficiaries are those who have not got any direct benefits from the project but project somehow reached them through campaigning, awareness building, street drama and community mobilzation.</t>
  </si>
  <si>
    <t>Baseline was conducted in 2015 and enline is being currently conducted by external consultant however has not finished yet.</t>
  </si>
  <si>
    <t>Project developed financial literacy module and introduced family budget with the participants with male engagemet that  assist woment taking financial decision in the household level.</t>
  </si>
  <si>
    <t>Project developed an app on financial literacy and uploaded in the youtube for grater use.</t>
  </si>
  <si>
    <t>For the community awareness program CARE contacted with the local civil society such as local elits and influential people like land lord and others to make the campaigne more fruitfull and acceptable</t>
  </si>
  <si>
    <t>Project got a NOC for finve months to execute some of the activites for the greater impact.</t>
  </si>
  <si>
    <t>National sharing event</t>
  </si>
  <si>
    <t>Development of App</t>
  </si>
  <si>
    <t>Partnership woth the factory management</t>
  </si>
  <si>
    <t>Male engagement is important</t>
  </si>
  <si>
    <t>Family budgeting attrcted both women and their husbands.</t>
  </si>
  <si>
    <t>Financial skills enhance the life standard.</t>
  </si>
  <si>
    <t>Project end report Draft, FINANCIAL INCLUSION for RMG</t>
  </si>
  <si>
    <t>GoB-UNICEF CATS (Communty  Approaches to Total Sanitation) Project</t>
  </si>
  <si>
    <t>UNCFBD0018</t>
  </si>
  <si>
    <t>ANM Kaiser Zillany</t>
  </si>
  <si>
    <t>kaiser.zillany@care.org</t>
  </si>
  <si>
    <t>The purpose of the project is to sustainably improve sanitation and hygiene behaviors among women, children and youth located in 500 communtiies and 180 schools in 4 upazilas in Bogra and Khulna divisions by March 2016 through Community Approaches to Total Sanitation (CLTS/SLTS), WASH in school and hygiene promotion</t>
  </si>
  <si>
    <t>Gangachara upazila of Rangpur district; Kishoreganj upazila of Nilphamari district; Dacop and Rupsha upzila of Khulna district</t>
  </si>
  <si>
    <t>100000 people are ODF; 333000 people are reached with HP focusing on hand washing (including 70,000 school children); 84000 people practice hand washing after the use of toilet; 43000 students from 180 schoools</t>
  </si>
  <si>
    <t>The project directly worked in schools and communities to directly</t>
  </si>
  <si>
    <t>Project has closed on September-2016.</t>
  </si>
  <si>
    <t>The community-based approach to to CLTS was tested and scaled with government officials and synchronized with other projects to have a holistic approach to CLTS that enhanced sustainability of government-mandated policies of sanitation facilities by engaging communities and schools respectively in their operation and maintainance</t>
  </si>
  <si>
    <t>1. Engaging women and children in the community led process</t>
  </si>
  <si>
    <t>2. Using local resources, skills and opportunities to address certain needs of the communities on sanitation.</t>
  </si>
  <si>
    <t>3. Facilitating "community to community" learning to scale up the process quickly and efficiently using natural leaders who become "local experts".</t>
  </si>
  <si>
    <t>The community approach to total sanitation or CLTS relies heavily on natural leaders and para sanitation committee who have a significant level of acceptability and influence in the community.</t>
  </si>
  <si>
    <t>Decision making process is become easier and effective if people beyond class, sex and age participate actively in the CLTS ignition session and Community Action Plan (CAP) review meeting. Engagement of local government bodies and union &amp; upazilla WatSan committees boosts the WASH interventions</t>
  </si>
  <si>
    <t>Private sector (local sanitary entrepreneurs) linkage and involvement of local elites helps to implement project activity smoothly.</t>
  </si>
  <si>
    <t>Implementation of career, capital and confidence: Empowering women garment workers through career mobility, financial literacy, and reduced violence against women - Empowering Women - RMG</t>
  </si>
  <si>
    <t>UNWNB0001</t>
  </si>
  <si>
    <t>Director Women and Girl's Empowerment Program</t>
  </si>
  <si>
    <t>Israt Jahan Biju</t>
  </si>
  <si>
    <t>isratjahan.biju@care.org</t>
  </si>
  <si>
    <t>To contribute to the economic empowerment of 6000 women garment workers (directly and indirectly) in Dhaka division by investing in their career advancement, building their capital base, and increasing their confidence and ability to address harassment and violence at the workplace and in their living environments.</t>
  </si>
  <si>
    <t>Dhaka, Gazipur</t>
  </si>
  <si>
    <t>'Women garment workers, men garment workers, factory management, family members of the main target groups</t>
  </si>
  <si>
    <t>800 Female and 200 Male RMG workers are direct participant and family member are indirect participants</t>
  </si>
  <si>
    <t>(a) Support women garment workers to access training for garment workers, and begin to build paths forward to increase work value, income and career mobility.</t>
  </si>
  <si>
    <t>(b) Build longer term financial security for women garments workers by connecting them to formal financial sector savings, insurance and loan products that will help them build long term assets.</t>
  </si>
  <si>
    <t>(c) Develop mechanisms to reduce violence against women workers in workplaces and public places that are most relevant to workforce participation and career development.</t>
  </si>
  <si>
    <t>Justice for Domestic Violence Survivors</t>
  </si>
  <si>
    <t>GATEBD0018</t>
  </si>
  <si>
    <t>Bill &amp; Melinda Gates Foundation</t>
  </si>
  <si>
    <t>Director, Women and Girl's Empowerment</t>
  </si>
  <si>
    <t>huamira.aziz@care.org</t>
  </si>
  <si>
    <t>Rawnak Jahan</t>
  </si>
  <si>
    <t>rawnak.jahan@cre.org</t>
  </si>
  <si>
    <t>To advocate for the effective implementation of national laws pertaining to the prevention, prohibition and criminalisation of domestic violence in India, Nepal, Bangladesh and Sri Lanka.</t>
  </si>
  <si>
    <t>Sunamganj and Dhaka, Bangladesh</t>
  </si>
  <si>
    <t>Women of Bangladesh</t>
  </si>
  <si>
    <t>Direct: 2500 garments workers (all women) were sensitized on Domestic Violence Act
Direct: 500 female students at universities were sensitized on Domestic Violence Act
Direct: over 200 lawyers, media personnel and other stakeholders(mostly male) were directly sensitized and trained in using DV Act
Direct: around 650 male univestity students  were sensitized on Domestic Violence Act+A57
Indirect: The project assumption is each person sensitized will talk to atleast 5 others within their family and friends</t>
  </si>
  <si>
    <t>It used ToT cascading model to enforce Domestice Violence model</t>
  </si>
  <si>
    <t>It trained association like MoWCA who would handle potential victimsof DV</t>
  </si>
  <si>
    <t>Media or journalist network(s)</t>
  </si>
  <si>
    <t>Enhancing sensitization of GBV laws will strengthen Civil Society</t>
  </si>
  <si>
    <t>• Raise awareness among women and communities regarding their rights under the domestic violence laws.</t>
  </si>
  <si>
    <t>• Strengthen the capacity of service providers to carry out their duties and obligations to register, investigate and prosecute when cases are reported by survivors.</t>
  </si>
  <si>
    <t>• Enhance institutional structures to ensure timely delivery of justice to domestic violence survivors.</t>
  </si>
  <si>
    <t>Bangladesh: The issue of implementation of the act is a broader issue and therefore can not be addressed by a single organization. Therefore the partnership with the network CIDV contributed a lot to bring the Ministry on the table of discussions. This however is a time consuming process and the advocacy efforts do not always result in concrete discussions. The project have been able to successfully reach consensus of members on the gaps of implementation of the act and compensation tool. While on many issues consensus were made, CARE Bangladesh will continue advocacy to make recommendations in to actions. 
Domestic violence is still considered as a personal matter even with lawyers, judges and media- the actors that either deliver justice or play an important role in influencing people’s mindset. People in general still have low awareness on what constitutes domestic violence. Mostly physical violence is considered as domestic violence therefore there is much to be done in sensitizing the actors on not just the provision but also the spirit behind the act. Some actions need to be taken so that women are not further victimized when they seek services under the act. Therefore more work is needed to safeguard women’s interests. More work needs to be done to improve the effectiveness of the act which will need more consensus building to place a collective demand for revision of the act, Since these laws are shown by the governments as measures taken to advance the interest of women there is a reluctance to revise these laws as that would be admitting that the acts are not working. So more consensus needs to be built around the need for revision.</t>
  </si>
  <si>
    <t>Annual narrative report for the “Justice for Domestic Violence Survivors” Project
Paving Ways to Implementation of Domestic Violence (Protection and Prevention) Act, 2010</t>
  </si>
  <si>
    <t>Krishi Utsho</t>
  </si>
  <si>
    <t>EKNBBD0001</t>
  </si>
  <si>
    <t>CISCBD0001</t>
  </si>
  <si>
    <t>CISCO</t>
  </si>
  <si>
    <t>Maruf Azam</t>
  </si>
  <si>
    <t>Project-Coordinator</t>
  </si>
  <si>
    <t>maruf.azam@care.org</t>
  </si>
  <si>
    <t>Sabrina Sahrin Sarna</t>
  </si>
  <si>
    <t>Project Support Officer(learing and documentation)</t>
  </si>
  <si>
    <t>sabrinasahrin.sarna@care.org</t>
  </si>
  <si>
    <t>65,000 smallholder farmers, including 26,000 women farmers, have improved agriculture income.</t>
  </si>
  <si>
    <t>At present Krishi Utsho is operating in following six districts of Bangladesh:
• Shirajganj
• Bogra
• Pabna
• Rangpur
• Jessore 
• Satkhira</t>
  </si>
  <si>
    <t>65,000 marginal smallholder farmers, among them 26,000 women farmers</t>
  </si>
  <si>
    <t>Total  no of direct participants -65,000 
Total no of  Indirect participants- 195,000 (multiple by Household size ,from the data of bangladesh Bureau of Statisticsnatis at national level per household size is 4)
Among total direct participants 20% are wome so,
Total no of male participants 48,750and indirect 175,000
Total no of female participant 26,000 and indirect 117,000</t>
  </si>
  <si>
    <t>Customized business plan for beneficiaries</t>
  </si>
  <si>
    <t>Smart Bundle of package for customer specially women</t>
  </si>
  <si>
    <t>organized visits of Upazilla livestock officers and Agricultural extention officers</t>
  </si>
  <si>
    <t>Transforming in  to social enterprise</t>
  </si>
  <si>
    <t>Engaging women in financial sector</t>
  </si>
  <si>
    <t>Lack of information of consumer behaviour in the agricultural sector makes it difficult to understand and predict market. The lesson learnt is that a customer database needs to be created.</t>
  </si>
  <si>
    <t>'Baseline study Report, Impact assessment report 2014-17, Progress report</t>
  </si>
  <si>
    <t>Living Blue</t>
  </si>
  <si>
    <t>SYEDBD0001</t>
  </si>
  <si>
    <t>Syed Zaman</t>
  </si>
  <si>
    <t>TRFFBD0001</t>
  </si>
  <si>
    <t>Trehan Family Foundation</t>
  </si>
  <si>
    <t>CFRABD0016</t>
  </si>
  <si>
    <t>Galeries Lafayette</t>
  </si>
  <si>
    <t>Mishael Aziz Ahmad</t>
  </si>
  <si>
    <t>MishaelAziz.Ahmad@care.org</t>
  </si>
  <si>
    <t>Syed Murtaza Jahangir</t>
  </si>
  <si>
    <t>Technical Officer</t>
  </si>
  <si>
    <t>Murtaza.Jahangir@care.org</t>
  </si>
  <si>
    <t>Facilitate the transformation of Indigo farmers and Artisans owned "Living Blue (Pvt.) Ltd." into a sustainable social business organization</t>
  </si>
  <si>
    <t>Rangpur Region; North-west of Bangladesh, Rajendrapur in Rangpur, Syedpur in Nilphamari, Chirir Bondor in Dinajpur, Aditmari in Lalmnir Hat, and Palashbari in Gaibandha.</t>
  </si>
  <si>
    <t>Indigo farmers, Artisans involved in quilting</t>
  </si>
  <si>
    <t>Direct participants are the artisans and dyers who are involved with Living Blue's productions activity, 750 men and boys are landless farmers who do the indigo farming and bee keeping for Living Blue.
Indirect participants are famers who do indigo farming as buffer crop, and act as indigo leaf supplier for Living Blue during the indigo processing season.</t>
  </si>
  <si>
    <t>Engaged in decision making process and governance</t>
  </si>
  <si>
    <t>Transparent working hours and wages</t>
  </si>
  <si>
    <t>Women leadership approach</t>
  </si>
  <si>
    <t>Main challenges of the project is to maintain  twelve month work order</t>
  </si>
  <si>
    <t>Introduce high quality/international quality silk</t>
  </si>
  <si>
    <t>High indigo used for dyeing purposes in this textile collection has been produced in Bangladesh and is of the highest quality, with the indigotin content of Living Blue indigo being unmatched in the subcontinent.</t>
  </si>
  <si>
    <t>MOUKA+ (JITA Social Business Bangladesh Ltd.)</t>
  </si>
  <si>
    <t>NA</t>
  </si>
  <si>
    <t>Riad Rouf</t>
  </si>
  <si>
    <t>CEO</t>
  </si>
  <si>
    <t>riad.rouf@jitabangladesh.com</t>
  </si>
  <si>
    <t>Mazed Hossain Mahin</t>
  </si>
  <si>
    <t>Business Development Manager</t>
  </si>
  <si>
    <t>mazed.mahin@jitabangladesh.com</t>
  </si>
  <si>
    <t>JITA aims to demonstrate that rural trading women have a considerable commercial opportunity to build their entrepreneurial skills, increase their income and provide improved access to rural markets for participating companies. The social enterprise employs a unique distribution model, at the center of which are Aparajitas(APJ) or “women who do not accept defeat”. Aparajitas are generally women who are most marginalized and disenfranchised from the formal economy and act as last mile sales agents, selling products from door-to-door. JITA plays a key facilitating role in the initiative by identifying women with the greatest potential, training them in sales, accounting, and business negotiations as well as health information and integrating them into a value chain.</t>
  </si>
  <si>
    <t>Division: Rangpur Districts: Rangpur,Gaibandha,Thakurgaon,Nilphamari,Saidpur,Dinajpur</t>
  </si>
  <si>
    <t>Main impact group of the project are:
1. APARAJITAS(APJ)/Sales Women (Employment,Skills Development &amp; Empowerment)
2. BoP women Consumers ( Access to essetial goods, services &amp; information.)</t>
  </si>
  <si>
    <t>1. Direct Participants:
# APARAJITAS:100 individuals 
2. Indirect Participants:
Average HHs member per HHs: 5 
Total # of HH members of 100 APJ: 5*100=500
# HHs covered per APJ: 200 (Total HHs covered: 100*200=20,000)
Total # of individuals: 5*20,000=1,00,000
Average men member per HHs: 3 (60%)
Average women members per HHs : 2 (40%)
Total women members:1,00,500*40%=40,200
Total men members:1,00,500*60%= 60,300</t>
  </si>
  <si>
    <t>April</t>
  </si>
  <si>
    <t>Next evaluation will be taken place on NOV'17 with the sample coverage of JITA's direct beneficiaries (Aparajitas) &amp; indirect beneficiaries (Consumers). Indirect beneficiaries will be selected through randomized snow ball sampling method. Retrospective methodology will also apply to get the some baseline information.</t>
  </si>
  <si>
    <t>1. Engaging women as door to door sales and service agents to the rural BoP consumers.
2.Development of Micro Enterprise into the value chain.</t>
  </si>
  <si>
    <t>1. A platform of women working as last mile agent and influencer.</t>
  </si>
  <si>
    <t>Introduction of Door to Door Distribution Model to BoP households.</t>
  </si>
  <si>
    <t>Engaging marginalized rural women in Door to Door Distribution Model.</t>
  </si>
  <si>
    <t>Awareness Raising Activities through activation programs.</t>
  </si>
  <si>
    <t>Learning 1: Women can work as door-to-door distribution and sales agent.</t>
  </si>
  <si>
    <t>Learning 2: Increased acceptance of the 'Door-to-Door' business model by the BoP households.</t>
  </si>
  <si>
    <t>Challenge: Religious and social attitudes towards women working outside the house.</t>
  </si>
  <si>
    <t>Nutrition at the Center</t>
  </si>
  <si>
    <t>SALLBD0005</t>
  </si>
  <si>
    <t>Sall Family Foundation</t>
  </si>
  <si>
    <t>Nazneen Rahman</t>
  </si>
  <si>
    <t>Senior Technical Manager</t>
  </si>
  <si>
    <t>Nazneen.Rahman@care.org</t>
  </si>
  <si>
    <t>The goal of the project is to improve the nutritional status for women (15-49) and children less than two years of age in identified resouce poor geographical areas. The objective of the project aim to 1. Improve nutrition related behaviour 2. Improve use of maternal and child health and nutrition services 3. Increase household adaption of appropriate water and sanitation practices 4. Increase availability and equitability access to quality food.</t>
  </si>
  <si>
    <t>Derai and Bishwambarpur upazila under Sunamganj district in Bangladesh, Benin, Zambia, Ethiopis</t>
  </si>
  <si>
    <t>Women reporductive age group (15 - 49 Year) and children less than 2 years of age</t>
  </si>
  <si>
    <t>Direct particiapnts: All pregnant, Lactating mother and under 2 children under Derai and Bishwwambarpur upazila
Indirect participants: Family members of direct project participants (considering 6 member in a family)</t>
  </si>
  <si>
    <t>Project is planning for final evaluation. Project has baseline data and it will compare with final evaluation to measure the progress</t>
  </si>
  <si>
    <t>Multisectoral approach for improving nutritional stataus</t>
  </si>
  <si>
    <t>Planning and implementing the project activities. In this FY, NAC project started to work on one new area namely Food Security funded by other Donor. Another three new areas are: School based adolescent programming, Supportive Supervision, Mentoring &amp; Montoring and Multisectoral approach</t>
  </si>
  <si>
    <t>Supportive Supervision, Mentoring and Monitoring to increase quality and quantity nutrition services by service provder</t>
  </si>
  <si>
    <t>Sectoral coordination to promot nutrition specific and sensitive interventions through Nutrition Coordination Committees at sub - district level</t>
  </si>
  <si>
    <t>Functionalize Community Support Group (CSG) and create linkage with different stakeholders and community to increase health services uptake from CC, inclusion of PEP under different safety nets program.</t>
  </si>
  <si>
    <t>Supportive Supervision can increase the quality of nutrition services</t>
  </si>
  <si>
    <t>Nutrition coordination committee at sub - district level would be a potential platform for all sectoral coordination to pormot nutrition specific and sensitive interventions</t>
  </si>
  <si>
    <t>Nutrition at the Center: Homegrown</t>
  </si>
  <si>
    <t>MCARBD0002</t>
  </si>
  <si>
    <t>Dr. Sheikh Shahed Rahman</t>
  </si>
  <si>
    <t>National Nutrition Coordinator</t>
  </si>
  <si>
    <t>SheikhShahed.Rahman@care.org</t>
  </si>
  <si>
    <t>The goal of the project is to reduce stunting and anemia among women of reproductive age, and children under two by increasing dietary diversity through homestead food production within an integrated nutrition program.</t>
  </si>
  <si>
    <t>3 unions under Derai and 4 unions under Bishwambarpur upazila under Sunamganj districct</t>
  </si>
  <si>
    <t>3000 poor and extreme poor pregnant and lactating mother</t>
  </si>
  <si>
    <t>Direct particiapnts: 3000 poor and extreme poor pregnant and Lactating mother and under 2 children under Derai and Bishwwambarpur upazila
Indirect participants: Family members of direct project participants (considering 6 member in a family)</t>
  </si>
  <si>
    <t>Innovative agriculture for homestead vegetable production</t>
  </si>
  <si>
    <t>Planning and implementing the project activities. In this FY, project started to work on CVCA based action plan from community level with Montoring of the plan</t>
  </si>
  <si>
    <t>Linkage of selected project participants with other GoB, NGO and local government led safetynet program</t>
  </si>
  <si>
    <t>CVCA at community level female farmer nutrition schools to mobilize local resources</t>
  </si>
  <si>
    <t>Innovative agriculture can produce some vegetables for the family during scarcity though the amount is very minimum</t>
  </si>
  <si>
    <t>Replication of innovative approach by non project participants form the community</t>
  </si>
  <si>
    <t>'P.A.C.E (Personal Advancement and Career Enhancement) at Community</t>
  </si>
  <si>
    <t>GAPFBD0007</t>
  </si>
  <si>
    <t>Gap Inc.</t>
  </si>
  <si>
    <t>Drector</t>
  </si>
  <si>
    <t>Afsana Chowdhury</t>
  </si>
  <si>
    <t>afsana.chowdhury@care.org</t>
  </si>
  <si>
    <t>To socially and economically empower marginalized urban women migrant workers</t>
  </si>
  <si>
    <t>Gazipur District (Tongi and Gazipur)</t>
  </si>
  <si>
    <t>Urban Women Migrant worker  who are working in formal and informal sector and those are not employee currently but planned to work in near future.</t>
  </si>
  <si>
    <t>Direct Participants: the women who are work in formal and informal sector or currently not working but planned to work (360 women).  Indirect participants has been multiply with direct participants (360*4=1440 men and women together and 370*4= 1480+ 370= 1850. 30/70 ratio) total Indirect (1440+1850=3290)  (husband and male family members of project participants, community women, key community people etc).</t>
  </si>
  <si>
    <t>In community level project has intiate to form a group with community key influencials (house ownwe, Land owner, Teacher, Bussiness person, employeer, religious leaders, women leader, ward councilor, shop keeper etc) . Project has also intiate biomonthl meeting with key influencials  and discussed about various issues related to women worker who are living in community. The community key influencials are becomeing more aware and active now to protect and prevent any kind of unfair practices are being carried in the society.</t>
  </si>
  <si>
    <t>1. Men sensitization was initiated within community in this phase. As a result, male  become supportive to female migrant workers in family and community</t>
  </si>
  <si>
    <t>2. PACE module completed participants are now leading in the community by taking active role in formal  gathering, meeting and participating in different community forums as members</t>
  </si>
  <si>
    <t>4. Due to including City Corporation as a service provider since first phase, now, various services from the city corporation are become more available in communities of the project area. As such introduction of regular waste collection, supply of waste bins, road maintenance, participation of women ward councilors etc.</t>
  </si>
  <si>
    <t>Reaching Urban Women migrant workers and implement capacity bulding initiatve at evening is challlenging.</t>
  </si>
  <si>
    <t>Difficulties in linking migrants women with service providers specially the RMG workers cann't access the facilities durring day time.</t>
  </si>
  <si>
    <t>Men Engagement in the community level needs huge involvement and continuous communication and coordination</t>
  </si>
  <si>
    <t>Final Report, Monthly report</t>
  </si>
  <si>
    <t>P.A.C.E at Community</t>
  </si>
  <si>
    <t>GAPFBD0009</t>
  </si>
  <si>
    <t>Director</t>
  </si>
  <si>
    <t>To socially and economically empower marginalized urban women migrant workers.</t>
  </si>
  <si>
    <t>1. Urban migrant women who are employed in the formal sector (e.g. RMG sector, other industry workers)
2. Urban migrant women who are employed in the informal sector (e.g. brick fields, day laborers, tailors)
3. Urban migrant women who are not currently employed but either have interest and plan to work or are unable to work due to family responsibilities</t>
  </si>
  <si>
    <t>Direct Participants (1857 women): the women who are work in formal and informal sector or currently not working but planned to work.  Indirect participants (13800: men-30% and women 70%): has been multiply with direct participants (1875*4= 7500) and other 1260 women who will attend in the sessions as indirect participants (1260*4= 5040) eg; husband and male family members of project participants, community women, key community people etc).  Total Indirect Calculat as: (1875*4=) 7500+(1260*4=)5040+1260= 13800 (Women 70%  and Men 30%)</t>
  </si>
  <si>
    <t>Monitoring plan has developed, project has keep the data base of Direct participants and regular plan and report are preparing and keep as recored for final report.</t>
  </si>
  <si>
    <t>P.A.C.E modules are implementing in community set up which is not only help to personal advancement and carrer enhancement of formal sector worker, its also useful for the women who are working in informal sector and nonworking women in the community.</t>
  </si>
  <si>
    <t>2. Group has formatted with the women who are not employee for P.A.C.E sessions, and after the sessions complete those women are more confident now to solve their problem and reduce stress.</t>
  </si>
  <si>
    <t>3. Women councilor of the City corporationi are more active to participate in project activities and take various initiative to create enabling environment for women worker.</t>
  </si>
  <si>
    <t>Project Proposal. Final Report</t>
  </si>
  <si>
    <t>Pathways to Secure and Resilient livelihoods Project</t>
  </si>
  <si>
    <t>MCARBD0001</t>
  </si>
  <si>
    <t>Kakuly Tanvin</t>
  </si>
  <si>
    <t>kakuly.tanvin@care.rog</t>
  </si>
  <si>
    <t>Md. Arshad Hossain</t>
  </si>
  <si>
    <t>Technical Manager- M&amp;E</t>
  </si>
  <si>
    <t>arshad.hossain@care.org</t>
  </si>
  <si>
    <t>Pathways to Secure and Resilient Livelihoods’ will work with smallholder farmers, especially women, from poor households to reduce their vulnerability and susceptibility to natural disasters and increase their resilience in the face of climate change</t>
  </si>
  <si>
    <t>Satkhira (Southwest Region) and Kurigram (Northwest region) of Bangladesh</t>
  </si>
  <si>
    <t>(Rice, Dairy, Potato and Wage) total 199 groups</t>
  </si>
  <si>
    <t>Practicing Climate SMART agriculture and build resilient for sustainable agriculture</t>
  </si>
  <si>
    <t>Existence of strong savings mechanism is a great opportunity for a group to invest in agriculture (VSLA)</t>
  </si>
  <si>
    <t>Counterpart of the targeted community makes success the event like mass gathering on wage issues</t>
  </si>
  <si>
    <t>Resource mobilization and team work with community volunteers help create additional impact</t>
  </si>
  <si>
    <t>Engaging Administration may strengthen the wage movement process</t>
  </si>
  <si>
    <t>Unrest during Union Parishad governing body (local government) elections delayed project planned activities</t>
  </si>
  <si>
    <t>No major changes in leadership, keystaff  or strategic direction are noteable for this reporting period. Only three FF resigned from this project and join another project of CARE</t>
  </si>
  <si>
    <t>Patsy Collins Trust Fund Initiatives (PCTFI)</t>
  </si>
  <si>
    <t>PCTFBD0002</t>
  </si>
  <si>
    <t>Director-Women and Girls Empowerent</t>
  </si>
  <si>
    <t>Acting Team Leader</t>
  </si>
  <si>
    <t>To empower girls to claim rights and choices challenging barriers of gender norms, facilitate supportive relationships and an enabling structure.</t>
  </si>
  <si>
    <t>Jamal ganj and Derai upazilla of Sunamganj disrict</t>
  </si>
  <si>
    <t>Girls of government primary schools will be benifitted. PCTFI project is working with 36 Primary school and 12 scondary school in two upazilla of Sunamganj district, Sylhet division, Bangladesh. It is expected that through out a fruitful interventions positive changes will com in girls life and perception and practice will be changed at family and commuinty level regarding girl`s education and empowerment.</t>
  </si>
  <si>
    <t>Direct beneficiaries are those who got any direct support from the projects. Specially girls, boys, parents, school managin committee members and others who got training and other direct support form the projects have been incorporated as direct beneficiaries. Others are calculated as indirect beneficiares who did not get any direct support but somehow benefiteed from the project.</t>
  </si>
  <si>
    <t>It develop a mechansins which is scalable to promote girl firendly school enviroment in the primary schools.</t>
  </si>
  <si>
    <t>Project developed a training manual which was tested and later project advocated with the government for further use.</t>
  </si>
  <si>
    <t>The project was supposed to be ned in June, 2017 however due to budget crisis an amendment was done and new BAM was signed which eventually limit the project by October, 2016. Due to this new amendment project customized the work plan and completed the closing activities accordingly.</t>
  </si>
  <si>
    <t>Formation of student council</t>
  </si>
  <si>
    <t>Enhance skill of school managing committee</t>
  </si>
  <si>
    <t>Robust community action plan</t>
  </si>
  <si>
    <t>Effective self monitoring system will leverage SMC performance and assist to ensure child friendly environment in School</t>
  </si>
  <si>
    <t>Strong participation of the community members will encourage the continuation of girls education</t>
  </si>
  <si>
    <t>Regular monitoring and support of local education department will enhance quality education and ensure necessary infrastructure in school</t>
  </si>
  <si>
    <t>PCTFI initiatives started in 2007 and continued till October, 2016. In the FY-17 project worked only 4 months and dis not executed any new activities other than the current activities. In this four months, project did the colsoing activities and executed some ongoing activities.</t>
  </si>
  <si>
    <t>PCTFI Baseline Study Report 2015, PCTFI Cohort 2 Final Report</t>
  </si>
  <si>
    <t>SDC – Shomoshti -Prosperity for the poor and disadvantaged</t>
  </si>
  <si>
    <t>SDCXBD004</t>
  </si>
  <si>
    <t>Government - Switzerland</t>
  </si>
  <si>
    <t>Giasuddin Talukder</t>
  </si>
  <si>
    <t>Senior Team Leader</t>
  </si>
  <si>
    <t>giasuddin.talukder@care.org</t>
  </si>
  <si>
    <t>Md.Mizanur Rahman</t>
  </si>
  <si>
    <t>Monitoring and Evaluation Specialist, SDC-Shomoshti Project</t>
  </si>
  <si>
    <t>mizanur.rahman2@care.org</t>
  </si>
  <si>
    <t>Rural households, particularly the poor and disadvantaged, benefit from a better wellbeing due to higher incomes, better nutrition, improved health and more education. This improved wellbeing includes increased capacities to sustain and further improve the gains in income and social aspects.</t>
  </si>
  <si>
    <t>Northwest: Kurigram, Lalmonirhat, Nilphamari, Dinajpur, Rangpur and  Gaibandha;  
Mid north west: Natore and Rajshahi; 
Southwest: Sunamgonj, Moulavibazar and  Sylhet; 
Northeast:  Khulna, Jessore and Shatkhira</t>
  </si>
  <si>
    <t>Poor, disadvantaged and marginalized women households</t>
  </si>
  <si>
    <t>Direct participants are the directly impacted household member by the project intervention (in this case one person from each household considered as direct participants). The indirect participans are calculated by multiplying the average members of each household (in this case an average of 4.4 per household collected from national average household, census report, BBS 2011) with the number of households.</t>
  </si>
  <si>
    <t>Project has the plan to conduct bi-annual assessment along with mid-tem and final evaluation.  These assessments shall be conducted through sample household survey.</t>
  </si>
  <si>
    <t>At the initial approval of project, there was three outcomes and eight outputs and the project was plan to reach 200000  poor disadvantaged and marginalized households, however, project has revised its outcomes, outputs and it targeting consultation with donor. Now the main phase of project has 2 outcomes, 4 outputs and it has plan to reach 180000 poor, disadvantaged and marginalized households</t>
  </si>
  <si>
    <t>Participatory Poverty Analysis (PPA) process</t>
  </si>
  <si>
    <t>M4P approach</t>
  </si>
  <si>
    <t>Cmss Model</t>
  </si>
  <si>
    <t>Multi-tiered inception process has created a supportive environment for the project. This point was mentioned by each of the regions. Several points were observed. First that the inception meeting and social and resource map sharing at the union level is effective in helping UP members to understand the project, and to gain their support. Second, the inception meetings have also been helpful in involving Upazila level GOB personnel.</t>
  </si>
  <si>
    <t>Community members and participants have shown a positive and supportive attitude and supportive role in the PPA process, wherever they have had previous exposure to CARE and its partners, since collectively they have a good reputation with communities in terms of the prior capacity building and empowerment processes in which they have engaged</t>
  </si>
  <si>
    <t>Need for improved technology and knowledge. Following from the above point, rural production in many value chains is hampered by the lack of improved technology and knowledge amongst those who have the ability to engage in the value chains. This can be solved only by linking more effectively producers with the those who are the source of these improved technologies. The holding of agricultural fairs can be helpful in creating these linkages and brokering better understandings of the local market and production contexts.</t>
  </si>
  <si>
    <t>1. Project Proposal 1st Approved-SDC-Shomoshti Project
2. Analysis Sectors and Markets Systems by Collecting Pro-poor Relevant Data 
3. C S monitoring matrix Target and Results
4. Gender Report for SDC-Shomoshti Project
5. Inception final Report
6. Baseline report</t>
  </si>
  <si>
    <t>SHOUHARDO III</t>
  </si>
  <si>
    <t>UFFPBD0034, UFFPBD0035, UFFPBD0036</t>
  </si>
  <si>
    <t>Government of Bangladesh</t>
  </si>
  <si>
    <t>Walter Mwasaa</t>
  </si>
  <si>
    <t>Chief of Party</t>
  </si>
  <si>
    <t>walter.mwasaa@care.org</t>
  </si>
  <si>
    <t>H.J.M. Kamal</t>
  </si>
  <si>
    <t>Deputy Chief of Party</t>
  </si>
  <si>
    <t>hjm.kamal@care.org</t>
  </si>
  <si>
    <t xml:space="preserve"> Improved gender equitable food and nutrition security and resilience of the vulnerable people living in the Char and Haor in Bangladesh by 2020</t>
  </si>
  <si>
    <t>Number of Districts-08 (Kurigram, Gaibandha, Sirajganj, Jamalpur, Netrakona, Habiganj, Kishoreganj, Sunamganj) and 23 Upazila</t>
  </si>
  <si>
    <t>Poor and Extreme Poor (PEP) households in 08 district of  the vulnerable Char and Haor area in Bangladesh</t>
  </si>
  <si>
    <t>SHOUHARDO III conduct a census survey and found a Total of 674,856 Poor and Extreme poor participants in the working area. Program has plan to direct reached 407000 participants within the program period. And rest of the 267856 participants will indirectly benefited from direct particpants.</t>
  </si>
  <si>
    <t>The methods employed will sample the participant population. The MTE will take place approximately during March-May 2018. CARE will finalize the timing of the MTE data collection after consultation with and approval of the AoR and the USAID Mission. The midterm evaluation will be managed by CARE through an externally contracted third party firm.</t>
  </si>
  <si>
    <t>VSLA and FFBS model</t>
  </si>
  <si>
    <t>Program advisory and Coordination Committee (PACC) meeting</t>
  </si>
  <si>
    <t>Provide technical support to form Village development committee (VDC) continuing their regular activity with local government institute</t>
  </si>
  <si>
    <t>During this period program refined strategy and finalized LOA activity plan</t>
  </si>
  <si>
    <t>VSLA</t>
  </si>
  <si>
    <t>FFBS</t>
  </si>
  <si>
    <t>Engage men and boys and Influence local decision makers</t>
  </si>
  <si>
    <t>Procurement of maize seed as a group has given the farmers better negotiation with seed vendors. The vendors provided follow up visits to the farmers’ fields and provided tips to solve problems.</t>
  </si>
  <si>
    <t>Established better linkages with GoB departments through holding USCC, DSCC and Divisional PACC meeting and updating them on program progress. By tapping them and working with them closely, sustainability planning can be done earlier to ensure smooth transition in service delivery in program areas.</t>
  </si>
  <si>
    <t>Vegetables and maize cultivation may be more profitable than rice cultivation considering early flash floods, particularly in Haor region.</t>
  </si>
  <si>
    <t>1) FINAL REPORT Baseline Study of Food for Peace Development Food Assistance Projects in Bangladesh
2) CARE Gender Marker Vetting Form
3) CARE Resilience Marker Vetting Form
4) CARE Inclusive Goverrnance Marker Vetting Form</t>
  </si>
  <si>
    <t>Social and Economic Transformation of the Ultra-poor (SETU) Phase II</t>
  </si>
  <si>
    <t>HILXBD0014</t>
  </si>
  <si>
    <t>HILXBD0015</t>
  </si>
  <si>
    <t>HILXBD0016</t>
  </si>
  <si>
    <t>Swiss Agency for Development and Cooperation (SDC)</t>
  </si>
  <si>
    <t>Abdul Matin Sharder</t>
  </si>
  <si>
    <t>Team Leader, AECM</t>
  </si>
  <si>
    <t>Anowarul.Haq@care.org</t>
  </si>
  <si>
    <t>Goal: "Government of Bangladesh MDG targets 1 and 2 on income poverty reduction and hunger achieved by 2015". Purpose: '45,000 extreme poor beneficiary households of north-west Bangladesh will be economically, socially and politically empowered'.</t>
  </si>
  <si>
    <t>Four districts of northwest of Bangladesh namely Rangpur, Gaibandha, Lalmonirhat and Nilphamari.</t>
  </si>
  <si>
    <t>Rural extremely poor women, men and children who may be economically active or dependent, and highly marginalised and vulnerable due to factors of economic, social and
 political exclusion, which sustain them in the bottom 10% of society.</t>
  </si>
  <si>
    <t>Direct participant who are benefitated from the project and indirect participant household member of the benefitated participant</t>
  </si>
  <si>
    <t>The project only had two closing months during this reporting period. So there was no changes happened here.</t>
  </si>
  <si>
    <t>between CARE and respective entrepreneur; and some others were employed in CARE-facilitated social enterprise, e.g. NCVI/Living Blue.</t>
  </si>
  <si>
    <t>development of community groups, and economic empowerment.</t>
  </si>
  <si>
    <t>handed over to the respective UP so that they can continue monitoring and supporting after the end of this project.</t>
  </si>
  <si>
    <t>change in lives of project beneficiaries.</t>
  </si>
  <si>
    <t>logically sequenced and mutually reinforcing. Also, balancing between community-led and market-led interventions is of critical importance.</t>
  </si>
  <si>
    <t>input support in installments (at least two) can be more effective in asset and capital management for IGAs using input support.</t>
  </si>
  <si>
    <t>To strengthen household resilience against health shocks, CARE has taken an initiative of ‘micro health insurance’ for SETU beneficiaries. A total of 2477 BHHs enrolled in 100 community-based savings groups have been brought under micro health insurance support. This insurance was not included in the original plan, CARE planned for this initiative while it was planning for the extension (NCE) phase. CARE has signed a MoU with Pragati Life Insurance Limited. The insurance coverage started on August 10, 2016. The insured members are receiving health services from NHSDP Smiling Sun Clinics (in Rangpur, Lalmonirhat and Nilphamari Districts) and Marie Stopes Clinics (in Gaibandha District) under this insurance coverage. 
Partner organization implementing the 60% of total worked.</t>
  </si>
  <si>
    <t>Strengthening the Community Support System to Improve Maternal and Infant Health</t>
  </si>
  <si>
    <t>CUPFBD0006</t>
  </si>
  <si>
    <t>David Whichs and Geoffrey Chorbajian</t>
  </si>
  <si>
    <t>Patlyn Gamble</t>
  </si>
  <si>
    <t>Grants Coordinator</t>
  </si>
  <si>
    <t>pgamble@care.org</t>
  </si>
  <si>
    <t>Ahsanul Islam</t>
  </si>
  <si>
    <t>Coodinator- HSS</t>
  </si>
  <si>
    <t>The overall goal is to improve the health status of woman and children under age 5 of one poor-performing and remote district of Bangladesh</t>
  </si>
  <si>
    <t>Gaibandha District, Bangladesh</t>
  </si>
  <si>
    <t>During the two years project implementation period, the project will reach total 17,160 pregnant women and more than 20,000 under 5 children directly through health services</t>
  </si>
  <si>
    <t>Direct participant are how received direct treatment and indirect participant who received health messages and counseling.</t>
  </si>
  <si>
    <t>featured a community support system (CmSS) approach</t>
  </si>
  <si>
    <t>Strengthening the Dairy Value Chain project II (SDVC II)</t>
  </si>
  <si>
    <t>GATEBD0016</t>
  </si>
  <si>
    <t>MSKWBD0001</t>
  </si>
  <si>
    <t>Mosakawski Family Foundation</t>
  </si>
  <si>
    <t>Directior-Extreme Rural Poverty Program</t>
  </si>
  <si>
    <t>Coordinator-Agriculture and Value Chain</t>
  </si>
  <si>
    <t>ahmadsadequl.amin@care.org</t>
  </si>
  <si>
    <t>30,000 targeted smallholder dairy producers (approximately 70% women) in seven districts of North and Northwest Bangladesh have dairy household milk sales income increased by 75% and more sustainable livelihoods through their inclusion in a sustainable pro-poor Dairy Hub value chain model.</t>
  </si>
  <si>
    <t>Northwest Region of Bangladesh – Rangpur, Kurigram, Borga, Joypurhat,  Pabna, Natore and  Sirajgonj district</t>
  </si>
  <si>
    <t>Smallholder dairy producers (70% women), competitive community-level service provision across input supplies and collection (Livestock Health Worker (LHW), Artificial Insemination Worker (AIW), Collection point manager), upgrading local level businesses (Input shop owner) and creating opportunities for women in more advantageous roles.</t>
  </si>
  <si>
    <t>Direct participants are the directly selected by the project Households (in this case 1 person from each household). The indirect participans are calculated by multiplying the average members of each house hold (in this case an average of 4 per household collected from national average household) with the number of households.</t>
  </si>
  <si>
    <t>1. Introducing Digital Fat Tester to create a transparent market system
2. Dairy hub model implementation for developing a better market system
3. Establishing Krishi Utsho microfrancise for better input market access</t>
  </si>
  <si>
    <t>In particular SDVC I’s Digital Fat Testing (DFT) initiative expanded from 6 to 22 chilling plants and 16 to 89 collection points during the concomitant three year phase. The network of retail input shops is ensuring that farmers have timely and adequate access to necessary inputs such as quality feeds, tools, medicines, training and provides them with an opportunity to compete in fast-growing and ever changing markets. The initiative has been able to the serve the majority of the project beneficiaries and is also extending its services to other marginal farmers of the community.
The DFT pilot results was shared with other big processors like MilkVita, PRAN, Grameen, and DANONE to create a better market portfolio and tap them into a systemized milk supply system, starting at the bottom of the pyramid. Impressive result has been observed as BRAC, the 2nd largest dairy processor is already initiated the replication of the model and till dates installed 48 of their 60 machines imported by their own initiative. The project also had project exit meeting with PRAN and they are very much enthusiastic about the replication of the model and seeking for CARE’s assistance in this regard. MilkVita the largest dairy processor of Bangladesh already imported few DFT systems to test the possibility of such.</t>
  </si>
  <si>
    <t>No adjustments and changes were made</t>
  </si>
  <si>
    <t>Dairy Hub Model. Ref: Innovation brief: Dairy Hub Model Strategy</t>
  </si>
  <si>
    <t>Participatory Performance Tracking. Ref: PPT Innovation Brief</t>
  </si>
  <si>
    <t>ICT Application: GIS Innovation Brief</t>
  </si>
  <si>
    <t>1. The testing, implementation and handover of sustainable and replicable technology required a well-focused iterative approach with private sector’s partners. At the beginning investing into testing the right prototype of fat testing technologies was a concern for the private sectors. A series of a successful piloting of the different technology prototypes helped build the confidence of the private sector to understand the benefit and reduced uncertainty. The process also helps to build the confidence of the associated teams to move forward. The successful implementation and shared value process developed the inner confidence and organizational strength of the private sector partner to finally carry over and to play more proactive role to run the technology smoothly in an independent manner. A formal handover process between CARE and BRAC has also built trust and confidence between private sector and technology user and it also made the private sector more accountable for their commitment. To speed up adoption it was necessary to have equipment, materials, as well as market and entrepreneurship development capacities available along with the transfer of knowledge and technology on improved practice. Absence of lab and testing facilities is still a major obstacle for ensuring service quality as well as service market development. Determining the causes of specific diseases, checking feed ingredient quality, and determining semen quality are still areas of interest for the producers and service providers to receive and offer improved service.</t>
  </si>
  <si>
    <t>2. Three components of dairy hub model are the dairy producers and their communities, digital milk collection points and input shops. Businesses of mentioned three parties are interdependent. Producers need to use the services of input shops to keep their cow healthy and to improve the quality of milk so that they can get better price from the DFT collection points. Meanwhile input shops need more farmers’ access to grow their business and the DFT collection point needs more quality milk to make more profit. So each associated parties have their own interest of benefit in this model. The interconnectedness of the three pillars were key to the success of the project deliverables. The project also needed to take specific attention to adopt the technology by producers as well. Producer’s communities have to be well oriented regarding the technology and its benefit. Then they needed to be well trained on production technology to produce and supply good quality product to attract the processors attention. To maintain continuous production flow convenient access to quality inputs and services must be ensured for farmers. Finally progress tracking and experience sharing with both parties can strengthen the adoption process.</t>
  </si>
  <si>
    <t>3. To understand how international market affects national milk market in relation to pricing and market saturation is a core trend to make the dairy farmers resilient. The first step of increasing resiliency is to analyze the market and orient the producers about the previous and possible upcoming trends and develop their capacity on alternative market linkage, smart and climate adaptive farm management practices, better negotiation and so on and how to handle each of those crisis in any given situation. From the first phase the project collected huge number of market data which helped the project to understand the market dynamics to orient the producers accordingly. In addition from the earlier stage project introduced savings to the producers groups and that was an advantage for them to run their farm during any unbalance market situation or overcome shocks. Fresh milk campaign posters, leaflets, dramas, rallies discussing milk consumption related topics and awareness on nutritional value of milk insist that producers maintain the minimum requirement of household demand as well as increase the household consumption with the increase of productivity. SDVC producers especially women are very much market aware and anxious about meeting the nutritional needs of their children and family members.</t>
  </si>
  <si>
    <t>https://www.dropbox.com/sh/dhcxgrda4wih6qg/AADtuBeFogGN6Glrg7tJO32Ca?dl=0</t>
  </si>
  <si>
    <t>Supporting Married iparous Adolescent Project</t>
  </si>
  <si>
    <t>GATEBD00019</t>
  </si>
  <si>
    <t>Dr. Syeda Nabin Ara Nitu</t>
  </si>
  <si>
    <t>nabinara.nitu@care.org</t>
  </si>
  <si>
    <t>To develop a model(s) for a scalable and effective intervention to delay first birth among married adolescent couples through voluntary use of modern contraceptive methods.</t>
  </si>
  <si>
    <t>District-Kurigram, Division-Rangpur, Country-Bangladesh.</t>
  </si>
  <si>
    <t>Adolescent girls aged between 15-19 who are married or soon to be married in Kurigram district who will potentially receive benefit from our intervention.</t>
  </si>
  <si>
    <t>This project will implement in Kurigram district of Rangpur Division. The total population of Kurigram was 2,069,273 at the last census conducted 2011. Based on these data, there are 74,432 girls aged 15-19. During the year 2013, UNICEF Multiple Indicator Cluster Survey estimated that, in Kurigram, 78% of young women were married before age 18. These estimates together suggest that there are approximately 58,057 adolescent girls who are married or soon to be married in the district who could potentially benefit from our intervention but yet to be decided after project design workshop during November'17. so these 58,057 married adolescent girls were considered as direct beneficiaries. On the other hand, indirect beneficiaries were counted by multiplying direct beneficiaries with 4 (for married adolescents their husband, both father &amp; mother in laws and one positive deviant was cosidered) diving them equally into women &amp; girls and men &amp; boys.</t>
  </si>
  <si>
    <t>scalable and effective intervention to delay first birth among married adolescent couples through voluntary use of modern contraceptive methods</t>
  </si>
  <si>
    <t>Tipping Point Project: Innovation and advocacy in addressing underlying causes of child marriage</t>
  </si>
  <si>
    <t>KENDBD0001</t>
  </si>
  <si>
    <t>Kendeda Foundation</t>
  </si>
  <si>
    <t>Abu Nur Muhammad KaiserZillany</t>
  </si>
  <si>
    <t>The goal of the project is to address child marriage through a dynamic process of innovation, insite (Analysis and learning) and influence through advocacy</t>
  </si>
  <si>
    <t>03 sub-districts (Derai, Dowarabazar and Jamalganj) of remote Sunamganj district in Sylhet Division of Bangladesh</t>
  </si>
  <si>
    <t>Adolescent girls and boys, EVAW Forums (A group of community peoples fighting for the rights of adolescent), Parents of adolescent girls and boys, National and local level service providers and policy makers.</t>
  </si>
  <si>
    <t>A.1. Direct Participants (women and girls): Total adolescent girls (1980) are from 90 Fun Centers; 22 from each Fun Center. Total women (2970) are from Ending Violence Against Women (EVAW) forum members and from Project Mothers Groups.                                                                                                                                                                                                                                                                                                           A.2: Direct Participants (men and boys): Total adolescent boys (1980) are from 90 Fun Centers; 22 from each Fun Center. Total men (1980) are from Ending Violence Against Women (EVAW) forum members and from Project Fathers Groups.                                                                                                                                                                                                                                                                                                                                    B.1: Indirect Participants (women and girls): Total girls (9900) and women (9900) are from other girls (other than Fun Center) and mothers of project 90 villages.                                                                                                                                                                 B.2: Indirect Participants (men and boys): Total boys (8910) and men (7920) are from other boys (other than Fun Center) and men of project 90 villages.</t>
  </si>
  <si>
    <t>Adolescent Sexual Reproductive Health Rights (ASRHR)</t>
  </si>
  <si>
    <t>Based on evaluation findings, learning will be used for designing strategy for phase-02</t>
  </si>
  <si>
    <t>Mobilize community through changing their behavioural practices focusing on social norms approach where parents will treat girls as assets and giving equal opportunity in all aspects.</t>
  </si>
  <si>
    <t>CARE is a strategic partner of GNB and playing a vital role at national level advocacy related to women rights. Tipping Point project has implemented by partnership approach where selected partner's have adequate knowledge and expertise on local context.</t>
  </si>
  <si>
    <t>Different Day observances with engagement of civil society and design some campaigns covering large community which has challenged existing social norms those are obstracle for gender equity.</t>
  </si>
  <si>
    <t>Harmful gender practices has been changed, Increase girls mobility, boys and girls are treated equaly. Giving priority to increase knowledge on SRHR issues,  Girls are giving more focus to develop them as assets rather than early marriage.</t>
  </si>
  <si>
    <t>Personal Reflection and development of Adolescent Girls and boys through fun centers and create safe space for them</t>
  </si>
  <si>
    <t>Transforming relationships and building a base for adolescent rights through families, community forum and institutional support</t>
  </si>
  <si>
    <t>Mobilizing for social change through forum theatre, community dialogues and celebrating local champions for adolescent empowerment  as well as district and national level advocacy</t>
  </si>
  <si>
    <t>Adolescents Sexual Reproductive Health Rights (ASRHR) session is not only working to increase the knowledge of adolescent but it also contributing to change social norms related to child marriage.</t>
  </si>
  <si>
    <t>Household chores are supposed to be women’s job has been the belief and hence when it was discussed by project staff that work at home is everyone’s responsibility, reflected on their own beliefs and behaviors related to household chores. Challenging the norm that boys and men do not involve in household chores, some of them started doing their own laundry and cleaning their own utensils to start with. Gradually it was felt to bring the positive practices in open and hence the team wanted to give it a name of a campaign where the men said 'Amra o korchi' that means ‘we too do’ for all that only women used to do till now. The campaign has created a positive change among the community people. Now community people believes that household chores are not supposed to do by only girl or women; rather men and boys can do the household chores with a view to sharing the responsibilities among them.</t>
  </si>
  <si>
    <t>Demonstrating positive practices are playing as driver to change the social norms. In the working area of the project boys has started to do household work which was considered earlier as women work, Even male member has started to support their wife to do the household work that was not happened in the community earlier. These positive practice are influencing other community people to be gender sensitive by understanding their roles and responsibilities.</t>
  </si>
  <si>
    <t>The project is operating outcome mapping aproach for planning, monitoring and evaluating the project and gathering data and evidence systemetically by folloing progress marker of each boundary partner. The system has collected lot of qualitative and quantitative information by using outcome mapping tools and techniques.</t>
  </si>
  <si>
    <t>Innovation brief (Draft), Evaluation report (Draft), event report/video of outdoor games. Poster developed with positive messages.</t>
  </si>
  <si>
    <t>USAID Agricultural Extension Support Activity (Ag Extension/ AESA) Project</t>
  </si>
  <si>
    <t>DAMXBD0001</t>
  </si>
  <si>
    <t>Dhaka Ahsania Mission</t>
  </si>
  <si>
    <t>Director - Extreme Rural Poverty Program, CARE B</t>
  </si>
  <si>
    <t xml:space="preserve">anowarul.haq@care.org </t>
  </si>
  <si>
    <t>Tania Sharmin</t>
  </si>
  <si>
    <t>National Technical Cordinator, AESA Project, CARE B</t>
  </si>
  <si>
    <t xml:space="preserve">tania.sharmin@care.org </t>
  </si>
  <si>
    <t>Strengthen the existing agriculture extension system in southwest and central Bangladesh to sustainably improve food security and nutrition for smallholder farmers with an emphasis on women.</t>
  </si>
  <si>
    <t>231 Unions of 26 Upazilas in 12 districts (Jessore, Magura, Faridpur, Rajbari, Khulna, Satkhira, Narail, Barisal, Bhola, Pirojpur, Barguna and Patuakhali) in central and southwest Bangladesh through 3 regions (Jessore, Khulna, and Barisal).</t>
  </si>
  <si>
    <t>i) Smallholder farmers (both men and women) and ii) Public and Private Extension Agents</t>
  </si>
  <si>
    <t xml:space="preserve">The men and women farmers and the male and female public and private extension agents who are directly benefitted from the project's initiatives are the direct participants of the project. Direct participants include all people whose lives are affected by the project's initiatives. Individuals who are not directly involved with project activities and who do not receive direct support from the project but are some way linked with the project (e.g. household members and neighboring farmers of direct participants, etc. who adopt project's initiatives from the direct participants or get benefitted by the project, etc.) are considered as indirect participants. Indirect participants are calculated by multiplying the direct participants by 3.5. </t>
  </si>
  <si>
    <t xml:space="preserve">i) "A-card: smallholders' access to finance through Bank" - it is a unique initiative of the AESA project where the farmers receive agricultural loans directly from the commercial Bank – Bank Asia with the assistance of the local MFIs with a low interest rate (10% per annum) and with a flexible payback period of six months. Through the A-card initiative, the farmers can buy necessary agricultural inputs from selected local retailers using the NFC (near field communications) enabled smartphones and this is the first time that an NFC has been used for financial transaction for the farmers in rural Bangladesh. ii) AESC: A total of 139 Agricultural Extension Service Centers (AESCs) were established in four demonstrated upazilas: Barisal Sadar, Barisal, Faridpur Sadar, Faridpur, Kalia, Narail and Chougachha, Jessore to demonstrate improved agricultural extension services to the smallholder farmers. iii) ICT applications: Project promoted innovative ICT apps are being used by both farmers and public and private extension agents. </t>
  </si>
  <si>
    <t>i) The A-card initiative has been tested and taken to scale. ii) The project developed mobile based ICT apps - especially, the farmer query system (FQS) has been tested and taken to scale.</t>
  </si>
  <si>
    <t xml:space="preserve">1. Categorization of FPGs were done during this FY and as per the recommendation of the categorization, technical and other related supports were provided to the FPGs. 2. A new initiative named A-card was introduced for the smallholder farmers so that they can have access to flexible loan products from a formal financial institution at lower interest rate and with flexible repayment method. The smallholders are also able to access quality inputs through the A-card initiative. 3. In order to create a pool of local service providers, the project along with the private sector and a public university organized capacity building of the women livestock LSPs and provided them certificates and toolkits so that they can provide better service to the community. </t>
  </si>
  <si>
    <t>Creating opportunities for the smallholders to access finance through Bank through the A-card is a unique strategy. Through the A-card initiative, the farmers can buy necessary agricultural inputs from selected local retailers using the NFC (near field communications) enabled smartphones and this is the first time that an NFC has been used for financial transaction for the farmers in rural Bangladesh.</t>
  </si>
  <si>
    <t>A formal set up for the frontline government grassroots employees provide them self esteem and enthusiasm to work more effectively and efficiently.</t>
  </si>
  <si>
    <t>Sensitizing men to gender roles and activities and involving them in household chores proven to be quite effective.</t>
  </si>
  <si>
    <t>Smallolders with proper support to accessing flexible loan products can easily aquire quality output to increase their productivity.</t>
  </si>
  <si>
    <t>The close proximity of public and private extension agents help smallholder farmers to access them more easily.</t>
  </si>
  <si>
    <t>Engaging men to the household activities allows women to have leisure time.</t>
  </si>
  <si>
    <t>The project worked in partnership to implement its activities properly at fields and signed formal agreements with different partners in this year. The data provided in this form are collected from the M&amp;E unit of the project.</t>
  </si>
  <si>
    <t>Project documents attached - Annual Report Year 4 (with data of July-September 2016 Quarter) and Quaterly Reports - October-December 2016, January-March 2017, April-June 2017 and vetting forms of the markers.</t>
  </si>
  <si>
    <t>Women in Factories (Phase-2)</t>
  </si>
  <si>
    <t>WALMBD0008, WALMBD0009, WALMBD0010</t>
  </si>
  <si>
    <t>WALMART Foundation</t>
  </si>
  <si>
    <t>TM-M&amp;E, Workforce Empowermet</t>
  </si>
  <si>
    <t>Create  an ecosystem in which women attain their full protential, positivitly contributing their career and personal life.</t>
  </si>
  <si>
    <t>City corporation of Dhaka, Chittagong, Naryangounj and Gazipur</t>
  </si>
  <si>
    <t>Women  garment workers</t>
  </si>
  <si>
    <t>Direct beneficiaries are those who got any direct assistance through training, workshop and outreach activities. Indirect participants are those who were reached  through campaigning, community mobilzation, male engagement and other linkage services.</t>
  </si>
  <si>
    <t>Endline evaluation is being conducted by TUFT University and they did not submit the report yet.</t>
  </si>
  <si>
    <t>Project pilotted a training program and developed training module for both garment workers and supervisors. After initial analysis it found the WIFI model very effective to mitigate the inequality between women</t>
  </si>
  <si>
    <t>Project  arrenged a national level learning sharing event. Project initiated to new phase to ensure the sustainability of the model.</t>
  </si>
  <si>
    <t>Project engaged civil society at different level. At field level it incorporated civil society to ensure service linkage for the beneficiaries. At national level, project initiated to share the WIFI  model with linkminded organization, government and other civiil society organizaiton.</t>
  </si>
  <si>
    <t>Project got no cost extention for few months to ensure quality accomplishmen tof the some planned activities.</t>
  </si>
  <si>
    <t>Development of WIFI model which later found very effective in the garemnt setting.</t>
  </si>
  <si>
    <t>Advocacy with the factory management</t>
  </si>
  <si>
    <t>Return of investemnt analysis also found effective as it was sellable to the owners and higher management of the garemnt factories.</t>
  </si>
  <si>
    <t>Time management was very important as factory had a tight schedule to reach their target production.</t>
  </si>
  <si>
    <t>Support from the supervisors were very crutial .</t>
  </si>
  <si>
    <t>Capacity of the partners was very crutial. If the partner was more efficient the we could have achieved some more fruittul result.</t>
  </si>
  <si>
    <t>Baseline Summary Report, Project Final report</t>
  </si>
  <si>
    <t>Women in Factories Initiative-Sustainability phase</t>
  </si>
  <si>
    <t>WALMBD0011</t>
  </si>
  <si>
    <t>Himaira Aziz</t>
  </si>
  <si>
    <t>Director-WGEP</t>
  </si>
  <si>
    <t>Nadia Afrin Shams</t>
  </si>
  <si>
    <t>Program Coordinator-Workforce Empowerment Program</t>
  </si>
  <si>
    <t>nadiaafrin.shams@care.org</t>
  </si>
  <si>
    <t>Empower women working in factories to: Obtain skills necessary for career advancement and increase earning potential; Gain practical knowledge that, when implemented, can enhance quality of life for workers and their families; Access support networks; Share knowledge with others in the factory and community.</t>
  </si>
  <si>
    <t>Dhaka, Gazipur and Chittagang district</t>
  </si>
  <si>
    <t>Female and male garment worker as direct benificiaries. Community people and family members of the direct beneficiaries will be counted as indirect beneficiaries.</t>
  </si>
  <si>
    <t>Project has not started the implementation yet</t>
  </si>
  <si>
    <t>Project did not start implementation yet.</t>
  </si>
  <si>
    <t>HIV Prevention Program for People Who Inject Drugs (PWID) and Their Partners</t>
  </si>
  <si>
    <t>SAVEBD0026</t>
  </si>
  <si>
    <t>The Global Fund to Fight AIDS, Tuberculosis and Malaria</t>
  </si>
  <si>
    <t>Sakina Sultana</t>
  </si>
  <si>
    <t>sakina.sultana@care.org</t>
  </si>
  <si>
    <t>Dr. Md. Rajwanul Haque</t>
  </si>
  <si>
    <t>Technical Coordinator-M&amp;E</t>
  </si>
  <si>
    <t>rajwanul.haque@care.org</t>
  </si>
  <si>
    <t>Goal: Minimize the spread of HIV and minimize the impact of AIDS on the individual, family, community and society. Purpose: -Continuing HIV prevention services for key populations at higher risk –male and female PWID (8,750). - Continuing required Care, Treatment and Support activities – for PLHIV in order to ensure delivery and adherence to ART. -Building the capacity of partners in order to increase the scale of the National Response to the HIV/AIDS epidemic – including capacity Building initiatives for implementing partners, higher level advocacy for creating an enabling environment and maintaining the National HIV Management and Information System (MIS)</t>
  </si>
  <si>
    <t>CARE Bangladesh consortium along with its member organizations APOSH, KMSS  and MAB has been providing essential harm reduction services among the PWID through operating  24 Drop-In-Centers under 13 districts including  six  City Corporations, Dhaka , Khulna, Barisal, Chittagong, Mymensingh and Rajshahi in Bangladesh.</t>
  </si>
  <si>
    <t>The GFPWID project works for the most marginalized and particularly vulnerable group of population associated with injection drug use behavior both male and female in urban area that represent CARE’s two key impact population group.</t>
  </si>
  <si>
    <t xml:space="preserve">Direct Participant:  People Who Inject Drugs (PWID) are receiving service through DICs/Sub-DICs and Outreach. Indirect participant: Different types of stakeholders such as DIC Advisory Committee members, local elites, law enforcing agency people, civil surgeon officer, DNC officers, local faith members, government high authority, media personals, PWID partners,  etc . </t>
  </si>
  <si>
    <t>As part of strengthening civil society organization, CARE-B provided proper support to establish as well as strengthen such such organizations such as MAB as Community Based Organization (CBO) and APOSH as Self Help Group (SHG) who are now working under CARE-B consortium as Sub-Sub Recipient (SSR). During this reporting period, continuous capacity building supports have been ensured through bilateral meeting, consortium meeting, OJT, orientation, etc. In addition, CARE-B facilitated to strengthen/sensitize the community/government orginizations/peoples through natinnal, district and local level advocacy workhop and bilateral meeting.</t>
  </si>
  <si>
    <t>No change</t>
  </si>
  <si>
    <t>Peer approach</t>
  </si>
  <si>
    <t>HIV Testing and Counseling (HTC)- HIV testing has been ensured through Satellite centers.</t>
  </si>
  <si>
    <t>CARE-B initiated service linkage with NHSDP and UPHCP in Satkhira, Benapol and Dhaka in order to ensure maximum coverage with limited cost and address PWID’s family health problem as well</t>
  </si>
  <si>
    <t>Comprehensive service for ILWHA from one stop center where  ILWHA is being assessed with TB test then enrolled in OST, ART, rotation based nutrition support  and need based Opportunistic Infections (OIs) management in order to control the HIV transmission and keep the virus suppressed.</t>
  </si>
  <si>
    <t>Source: Quarterly Reports, Project Proposal , M&amp;E Framework, Work Plan</t>
  </si>
  <si>
    <t>Promoting Enabling Environment for Women in Factories (PEEWF) Project</t>
  </si>
  <si>
    <t>CFRABD0015</t>
  </si>
  <si>
    <t>Director , Women and Girls Empowerment</t>
  </si>
  <si>
    <t>Md.Mehedi Hasan</t>
  </si>
  <si>
    <t>Project Manager-PEEWF project</t>
  </si>
  <si>
    <t>mehedi.hasan@care.org</t>
  </si>
  <si>
    <t>To promote gender equality, dignified work and social empowerment of the workers in RMG and Ceramic Industries.</t>
  </si>
  <si>
    <t>27 Ward Gazipur City Corporation &amp; 4 Union of Gazipur Sadar Upazizl, Gazipur,Dhaka, Bnagladesh</t>
  </si>
  <si>
    <t>Women and Men garments &amp; ceramics workers, Management &amp; supervisors of RMG &amp; Ceramics factories, Men family member of women workers and  Community Support grpup members.</t>
  </si>
  <si>
    <t>Direct Participants of PEEWF project are 6 factories workers. Indirect Participants are male houshold members of workers, community peoples, service providers and community support group members.</t>
  </si>
  <si>
    <t>This is an endline evaluation. This will be condcuted by following the qualitative and quantitative research tools and methods.</t>
  </si>
  <si>
    <t>PEEWF project has institutionalize and strengthening the participation committee and Anti-harrasmsnt committee of factories to fighting against inequlity within factory.</t>
  </si>
  <si>
    <t>Awareness development on women rights, violence against women etc.</t>
  </si>
  <si>
    <t>Peer facilitator has ensured the sustainability of PEEWF project by sharing their learning with all workers</t>
  </si>
  <si>
    <t>Institutionalization and capacity development  of  factory level committes ( such as Participation committees and Anti-harrasmsnt committees) have mobilized the enabling working environment indictors for ensuring the enabling environment.</t>
  </si>
  <si>
    <t>Community support group has fostered to create an enabling living enviroment for women workers through their initiatives.</t>
  </si>
  <si>
    <t>Cpacity development of Peer facilitator can ensure the program sustainability within factories by sharing the learning among the workers.</t>
  </si>
  <si>
    <t>Leadesrship development of Women workers  can ensure the women workers rights</t>
  </si>
  <si>
    <t>Institutionalization of factory level committes ( such as Participation committees and Anti-harrasmsnt committees) can create an enabling culture by promoting the indicators of enabling working environment within factory.</t>
  </si>
  <si>
    <t>PEEWF_annual report2016_CARE</t>
  </si>
  <si>
    <t>Strengthening Multisectoral Nutrition Programming through Implementation Science Activity</t>
  </si>
  <si>
    <t>FHIXBD0001</t>
  </si>
  <si>
    <t>Program Director-Health</t>
  </si>
  <si>
    <t>jahagir.hossain@care.org</t>
  </si>
  <si>
    <t>To improve nutrtional status of women and children under 5</t>
  </si>
  <si>
    <t>South west part of Bangladesh. 13 districts: Barguna, Barisal, Patuakhali, Pirojpur, Bagerhat, Chuadanga, Jessore, Jhenaidah, Khulna, Kushtia, Meherpur, Narail, Satkhira</t>
  </si>
  <si>
    <t>Adoelscent, women of reproductive age and children under 2</t>
  </si>
  <si>
    <t>Direct participants are: the adolescent married women and pregnant women, lacating women and children under 2; Indirect participants are other family members of the households from where the adolescent married women are selected.</t>
  </si>
  <si>
    <t>This project is a randomized Controlled Trial to see the effectiveness of multosectoral approach and its impact on child nutritional improvement</t>
  </si>
  <si>
    <t>We have awarded this project from June 2017, working on finalization of intervention that will be tested and inclued into the unified packaage of interventions (combination of multisectoral nutrition specific and sensitive interventions) in the Randomized Controlled Trial (RCT) to observe the cumulative impact on child growth and stunting of a</t>
  </si>
  <si>
    <t>Project proposal</t>
  </si>
  <si>
    <t>SDC – Shomoshti, Prosperity for the poor and disadvantaged</t>
  </si>
  <si>
    <t>SDCXBD0010</t>
  </si>
  <si>
    <t>Rural households improve their wellbeing as a result of greater income, dietary diversity and social service opportunities</t>
  </si>
  <si>
    <t>Direct participants are the directly impacted household by the project intervention (in this case one person from each household considered as direct participants). The indirect participans are calculated by multiplying the average members of each household (in this case an average of 4.4 per household collected from national average household) with the number of households.</t>
  </si>
  <si>
    <t>Project baseline complete n February 2017 and plan to conduct midterm evaluation on July 2018 and also has plan to end line study on the last quarter of project.</t>
  </si>
  <si>
    <t>To early to say any learning</t>
  </si>
  <si>
    <t>1. Project Proposal revised _SDC-Shomoshti project
2. Analysis Sectors and Markets Systems by Collecting Pro-poor Relevant Data 
3. Gender Report for SDC-Shomoshti Project
4. Baseline report</t>
  </si>
  <si>
    <t>Belgium</t>
  </si>
  <si>
    <t>Brussels Syria Conference - EU Syria Strategy</t>
  </si>
  <si>
    <t>CI Secretariat</t>
  </si>
  <si>
    <t>31/04/2017</t>
  </si>
  <si>
    <t>Inge BREES</t>
  </si>
  <si>
    <t>Senior EU Advocacy Officer</t>
  </si>
  <si>
    <t>brees@careinternational.org</t>
  </si>
  <si>
    <t>To influence new EU Strategy on Syria and outcome of Brussels Syria conference</t>
  </si>
  <si>
    <t>Regional</t>
  </si>
  <si>
    <t>Brussels and Amman</t>
  </si>
  <si>
    <t>Syrian population inside Syria and in exile , particularly women</t>
  </si>
  <si>
    <t>Direct participants: EEAS, ECHO, NEAR, Norway, COHAFA, Syrian CSOs, UN Women, other international NGOs, EU Member States (from capital or Permrep, particularly UK and Germany), other donors (eg Switzerland)   / Indirect participants: Journalists</t>
  </si>
  <si>
    <t>Displacement, Funding</t>
  </si>
  <si>
    <t>We will monitor the EU's rhetoric and practice (in terms of funding and policy dialogue), to see whether the EU Strategy is being implemented and respected</t>
  </si>
  <si>
    <t>In line with CARE WHS commitment to localisation, we have sought to ensure to bring a Syrian CSO speaker for every speaking slot and event we organised on Syria (and other Type 4s), which turned out to be very impactful and positively received by the EU presidencies</t>
  </si>
  <si>
    <t>Advocacy effort on EU Syria strategy</t>
  </si>
  <si>
    <t>Advocacy effort on Brussels Syria conference</t>
  </si>
  <si>
    <t>Greater engagement with Syrian CSOs and enabling their advocacy and coordination without visibility for CARE</t>
  </si>
  <si>
    <t>Journalists are interested in talking to affected local CSOs, and facilitating those links can also lead to access to media for CARE</t>
  </si>
  <si>
    <t>Allies are crucial to achieve impact on EU policies</t>
  </si>
  <si>
    <t>The influencing of the EU strategy was mostly done in Brussels, but with input from across CARE, including from the Syria region, and via direct linkage to the regional NGO Forum SIRF. In addition, a high level event was organised by CARE UK, UN Women and the Norwegian government, which was one of the co-sponsors of the event, focusing on women's perspective on the crisis, bringing in plenty of women's organisations.Furthermore, we did work to support Syrian CSOs without visibility for CARE, to enable their reach to decision makers such as the US delegation to the conference.</t>
  </si>
  <si>
    <t>http://www.consilium.europa.eu/en/meetings/fac/2017/04/st07922_en17_pdf - http://www.consilium.europa.eu/en/press/press-releases/2017/04/05-syria-conference-co-chairs-declaration/ -  https://www.norway.no/en/missions/eu/about-the-mission/news-events-statements/news2/including-women-a-prerequisite-for-lasting-peace-in-syria/</t>
  </si>
  <si>
    <t>EU resilience policy</t>
  </si>
  <si>
    <t>Influence EU Global strategy strand on resilience, Resilience Communication, and Resilience Council Conclusions</t>
  </si>
  <si>
    <t>Everywhere</t>
  </si>
  <si>
    <t>Anyone benefiting from development funding from the European Commission or EU Member States or experiencing impact of EU external action policy, including development policy</t>
  </si>
  <si>
    <t>Direct participants: European External Action Service, European Commission (ECHO and DEVCO), international NGOs, Perm Reps/EU Member States</t>
  </si>
  <si>
    <t>Migration and forced displacement</t>
  </si>
  <si>
    <t>The project is still ongoing as we are seeking to influence Member States' position on resilience, after which we will make an evaluation of how we influenced the council conclusions</t>
  </si>
  <si>
    <t>CARE influenced the text of the European Commission and European External Action Service Communication, which is the basis for the discussions with Member States and the European Parliament. We ensured effective damage control as the Communication is truly global and not just focusing on migrant-producing regions, and is not just about security but also reinforces a lot of points relating to CARE's position on resilience, including the gender dimension of resilience. Moreover, we successfully got VOICE and CONCORD to adopt our view on 'state resilience' being really about inclusive governance (CARE approach).</t>
  </si>
  <si>
    <t>Advocacy</t>
  </si>
  <si>
    <t>Working in CSO alliances</t>
  </si>
  <si>
    <t>Position CARE as a thought-leader to gain access to policy writers and decision-makers</t>
  </si>
  <si>
    <t>Have clear and impactful messaging</t>
  </si>
  <si>
    <t>Influence alliances and peers to strengthen voice and impact</t>
  </si>
  <si>
    <t>https://eeas.europa.eu/sites/eeas/files/join_2017_21_f1_communication_from_commission_to_inst_en_v7_p1_916039.pdf  /  http://minerva.care.ca/livelink1/livelink.exe?func=ll&amp;objaction=overview&amp;objid=6815471</t>
  </si>
  <si>
    <t>European Consensus on Development</t>
  </si>
  <si>
    <t>To influence the new development policy of the European Commission and Member States. The policy is for at least 10 years.</t>
  </si>
  <si>
    <t>Brussels and (via CONCORD) other European capitals</t>
  </si>
  <si>
    <t>Anyone benefiting from development funding of the European Commission or Member States and citizens of EU partner countries influenced through EU development policy dialogue</t>
  </si>
  <si>
    <t>Direct participants: Concord NGO umbrella, European Commission (DEVCO and NEAR), European Parliament (DEVE committee), European External Action Service, 28 EU Member States (particularly Malta as EU presidency and in particular the CODEV representatives of the 28 Member States)</t>
  </si>
  <si>
    <t>Migration; Aid effectiveness; Financing for Development; Role of the Private Sector</t>
  </si>
  <si>
    <t>We will monitor funding  and policy decisions and rhetoric by the European Commission (EC) and the EU more broadly at topline level, combined with intell and evidence from the CONCORD network and the EC itself via its annual reports, to see whether EU action is in line with the commitments made in the European Consensus on Development.</t>
  </si>
  <si>
    <t>Regional alliance(s)/Platform(s)/Network(s) of  NGOs/CSOs</t>
  </si>
  <si>
    <t>Yes, less staff capacity due to the end of the Gates project, and as a result less engagement with Parliament and Council in the final negotiations of the Consensus.</t>
  </si>
  <si>
    <t>Intensive advocacy towards the European Parliament can pay off, as showcased by explicit CARE language in final position of the Parliament on the Consensus, which ultimately influenced the final policy document</t>
  </si>
  <si>
    <t>https://www.care-international.org/files/files/CARE_the_European_Consensus_on_Development.pdf   /   http://concordeurope.org/wp-content/uploads/2016/09/European-Consensus-on-Development-CONCORD-political-position-paper-Aug-2016.pdf</t>
  </si>
  <si>
    <t>Gender in emergencies- EU advocacy</t>
  </si>
  <si>
    <t>To monitor the implementation of the WHS and gender and emergencies policies</t>
  </si>
  <si>
    <t>Anyone benefiting from humanitarian and peacebuilding funding from the European Commission or EU Member States via EU aid beneficiaries</t>
  </si>
  <si>
    <t>Direct participants:  EEAS, Permrep, ECHO, COHAFA, DEVCO, NEAR, IRC, EPLO, EuroNGOs network, VOICE, Syrian CSOs</t>
  </si>
  <si>
    <t>It is self-monitoring. We will monitor funding decisions and rhetoric by the European Commission, combined with intell and evidence from the VOICE network.</t>
  </si>
  <si>
    <t>Speaking together with local partners</t>
  </si>
  <si>
    <t>CARE is a thought leader at EU level when it comes to implementation of gender commitments at the World Humanitarian Summit, demonstrated for example via the opportunity to brief EU Member States twice in one year with concrete recommendations on that topic, focusing respectively on Syria and Jordan.</t>
  </si>
  <si>
    <t>http://www.agendaforhumanity.org/sites/default/files/CARE_She-is-a-humanitarian-report_Feb-2017.pdf</t>
  </si>
  <si>
    <t>Humanitarian Advocacy (Global Support to Yemen Program)</t>
  </si>
  <si>
    <t>To influence EU policy and programming on Yemen, in line with CO advocacy direction</t>
  </si>
  <si>
    <t>Brussels</t>
  </si>
  <si>
    <t>Yemeni population</t>
  </si>
  <si>
    <t>Direct participants: EP, CO &amp; C-US, ad hoc NGO group Brussels, EC/EEAS/EU delegation, COHAFA (EU Member States)</t>
  </si>
  <si>
    <t>Increasing Aid</t>
  </si>
  <si>
    <t>Positive impact on EU positions for Yemen, including humanitarian demarche and Council conclusions
- CARE s advocacy in partnership with other international NGOs was the key factor that prevented EU development funding for Yemen being shifted to other crises
- European Parliament event on situation of women and girls in Yemen, making the EP a key ally in our advocacy for more awareness of this crisis
- CARE is considered as a key player on Yemen by the EU, for advocacy and funding</t>
  </si>
  <si>
    <t>Partnership with other NGOs</t>
  </si>
  <si>
    <t>Strong investment in relationshipbuilding with Yemen desks in ECHO, DEVCO, EEAS and with the political head of the (evacuated) EU Delegation for Yemen</t>
  </si>
  <si>
    <t>An active CD who sees the value of briefing CARE advocacy people is priceless, and so are the donor sitreps which the CO produced</t>
  </si>
  <si>
    <t>a good and co-owned advocacy strategy that regularly gets updated, regular advocacy calls, dedicated support of C-NL, CI UK, and CI EU</t>
  </si>
  <si>
    <t>Challenge will be to keep the intel flowing while the EU Delegation is moving to Amman and CARE has no regional advocacy capacity to do advocacy work with key donors or multilaterals</t>
  </si>
  <si>
    <t>http://www.consilium.europa.eu/press-releases-pdf/2017/4/47244657148_en.pdf</t>
  </si>
  <si>
    <t>Benin</t>
  </si>
  <si>
    <t>Africa - Western</t>
  </si>
  <si>
    <t>Travaillons ensemble contre les mariages précoces (TEMPS)</t>
  </si>
  <si>
    <t>AHOUNOU Madinatou</t>
  </si>
  <si>
    <t>Program Initiative Manager</t>
  </si>
  <si>
    <t>Madinatou.Ahounou@care.org</t>
  </si>
  <si>
    <t>Bonaventure Nzavugambonyimana</t>
  </si>
  <si>
    <t>Program Director</t>
  </si>
  <si>
    <t>bonaventure.nzavuga@care.org</t>
  </si>
  <si>
    <t>contribuer au renforcement de la prévention et de l’atténuation des effets du mariage précoce/forcé des jeunes filles dans les zones à fortes prévalences</t>
  </si>
  <si>
    <t>Au Bénin: Département de l'Alibori ( communes Malanville et Karimama) ; Département du Borgou (communes de NIkki et Kalalé); Département du Couffo (Aplahoué, Djakotomey, Dogbo et Lalo)
Au Mali, huit (8) communes des régions de Mopti et Tombouctou</t>
  </si>
  <si>
    <t>Bénéficiaires directs: 10,200 femmes, hommes, filles et garçons et 40 organisations
Bénéficiaires indirects: 467,560 femmes, filles, hommes et garçons</t>
  </si>
  <si>
    <t>Les bénéficiaires directs de l'initiative les filles survivantes assistées, les femmes, membres des AVEC, les élèves de clubs scolaires, les bénéficiaires des dialogues communautaires
Les bénéficiaires indirects de l’initiative au Bénin incluent les autorités communales et locales, les organisations de la société civile (OSC),, les réseaux d’ONG, les services étatiques et privés intervenant dans la prise en charge des cas de violence basée sur le genre (VBG), en particulier le mariage précoce forcé et les partenaires locaux les leaders communautaire, les radios locales, les Ministères stratégiques (de la Famille, de la Solidarité, des Personnes Âgée; de la Justice, de la Législation et des Droits de l’Homme, l’Éducation et Santé, l’Intérieur et la Sécurité Publique, la Défense Nationale).</t>
  </si>
  <si>
    <t>Le projet a utilisé une nouvelle approche notamment, l'analyse Sociale et Action (SAA) pour adresser les questions de normes socio culturelles qui vont en défaveur des filles mineures. en effet, des dialogues communautaires ont été organisés avec les gardiens de la tradition, leaders femmes et hommes sur les normes sociales et la pratique du mariage précoce/forcé et la protection des filles, enfants et adolescents.</t>
  </si>
  <si>
    <t>Le projet devant lutter contre le mariage précoce des filles, il s'est avérer important de travailler avec des structures et personnalité clées dans les zones d'intervention. A cet égard, des cadres de concertations multi acteurs ont été créés dans les 8 communes d'intervention du projet et ont constitué des creusés d'échanges et de prise de décision pour lutter efficacement contre ce phénomène de mariage précoce</t>
  </si>
  <si>
    <t>Des visites d’échanges/de partage et de meilleure pratique organisés entre les communautés
Développement des stratégies avec des responsables des écoles pour une prise en compte de l’équité de genre en milieu scolaire
Etablissement/redynamisation et formation des clubs scolaires sur leurs droits sexuels et éducatifs et les méfaits du mariage précoce
Formation et accompagnement des Centres de Promotion Sociale (CPS) et services d’aide juridique et judiciaire (Police, Gendarmerie, Tribunal, Centres de Santé, Centre d’accueil et de réhabilitation des survivantes de mariage précoce) 
Formation des AVEC sur un paquet technique (genre, VBG, Santé Sexuelle de la Reproduction/VIH SIDA) avec un focus sur le mariage précoce des filles et la protection de leurs droits
Des OSC et des praticiens de droits sont dotés des packages sur les lois et textes en rapport avec les VBG dont le mariage précoce et la protection des droits des filles</t>
  </si>
  <si>
    <t>Il n'y a pas eu de changement important pendant ce fiscal year</t>
  </si>
  <si>
    <t>Analyse sociale et Action (SAA) a travers les dialogues communautaires</t>
  </si>
  <si>
    <t>LA mise en place des clubs scolaires dans les établissements scolaires pour sensibiliser les élèves et écoliers. Ces clubs étaient aussi des cnaux fiables de dénonciation des cas de mariages précoces dans les localité d'intervention du projet</t>
  </si>
  <si>
    <t>L'utilisation de la plate forme des AVEC pour accompagner les filles victimes de mariage précoce</t>
  </si>
  <si>
    <t>Les autorités locales, les responsables des services déconcentrés de l’Etat (OPJ, CPS, Responsable Centre de santé etc.), les OSC doivent poursuivre la veille auprès des communautés pour s’assurer que les acquis vont perdurer pour le respect du code des enfants.</t>
  </si>
  <si>
    <t>Le partage d’expériences et de bonnes pratiques est une approche d’apprentissage (visite d’échanges) à renforcer pour changer les mentalités des communautés, car les moins performants voient que dans leurs communautés, il y a des groupements/ leaders performants sur qui le projet peut s’appuyer pour atteindre des résultats, des témoignages sur les bienfaits de ces visites sont faits par presque toutes les AVE&amp;C parcourues lors du sondage sur la pertinence de ces visites d’échanges.</t>
  </si>
  <si>
    <t>L’éducation est primordiale afin de briser le cercle vicieux de la perpétration des mauvaises pratiques de génération en génération.</t>
  </si>
  <si>
    <t>Rien à signaler</t>
  </si>
  <si>
    <t>Partenariat Contre le Trafic, l'Exploitation des Enfants et les Violences faites aux Filles et aux Femmes (PACTE pour les Enfants et les Femmes) au Bénin</t>
  </si>
  <si>
    <t>CFRABJ0055</t>
  </si>
  <si>
    <t>NZAVUGAMBONYIMANA</t>
  </si>
  <si>
    <t>Bonaventure</t>
  </si>
  <si>
    <t>Bona.nzavuga@care.org</t>
  </si>
  <si>
    <t>LEVEQUE</t>
  </si>
  <si>
    <t>Philippe</t>
  </si>
  <si>
    <t>Contribuer à l’éradication de l’exploitation et des violences envers les enfants et les femmes au Bénin.</t>
  </si>
  <si>
    <t>Département de l'Alibori ( communes Malanville et Karimama) ; Département du Borgou (communes de NIkki et Kalalé); Département de la Donga (Djougou et Ouaké); Département du Plateau (Pobè et kétou)</t>
  </si>
  <si>
    <t> 2000 femmes membres de 80 AVEC ; 
 200 hommes champions, engagés dans la lutte contre l'exploitation des enfants et les violences faites aux femmes ; 
 2 400 enfants, de 10 à 16 ans, membres de 80 Clubs scolaires (dont 1 200 garçons et 1 200 filles) ; 
 300 femmes et enfants  survivant(e)s assisté(e)s ; 
 80 Autorités locales (maires, conseillers communaux, chefs de villages) ; 
 240 hommes et femmes (leaders traditionnels et religieux, leaders d’opinion) dépositaires des valeurs morales endogènes.</t>
  </si>
  <si>
    <t>Bénéficiaires directs:                                                                                                                                                                                                                2000 femmes membres de 80 AVEC ; 
 200 hommes champions, engagés dans la lutte contre l'exploitation des enfants et les violences faites aux femmes ; 
 2 400 enfants, de 10 à 16 ans, membres de 80 Clubs scolaires (dont 1 200 garçons et 1 200 filles) ; 
 300 femmes et enfants  survivant(e)s assisté(e)s ; 
 80 Autorités locales (maires, conseillers communaux, chefs de villages) ; 
 240 hommes et femmes (leaders traditionnels et religieux, leaders d’opinion) dépositaires des valeurs morales endogènes .                                                                                                                                                                                                                                                         Bénéficiaires idirects: 12% de la population des 8 communes d'intervention.</t>
  </si>
  <si>
    <t>Une évaluation à mi parcours devrait se réaliser.</t>
  </si>
  <si>
    <t>HINNOU VIVO</t>
  </si>
  <si>
    <t>PFIZBJ0002</t>
  </si>
  <si>
    <t>Marius GNINTOUNGBE</t>
  </si>
  <si>
    <t>Programme Initiative Manager</t>
  </si>
  <si>
    <t>marius.gnintoungbe@care.org</t>
  </si>
  <si>
    <t>Modeste ANATO</t>
  </si>
  <si>
    <t>Superviseur de zone</t>
  </si>
  <si>
    <t>modeste.anato@care .org</t>
  </si>
  <si>
    <t>Contribuer à la réduction de la mortalité maternelle et infantile en améliorant l’offre des services de PF et de vaccination et  en créant un environnement favorable qui encourage les pratiques de vaccination durables et aborde les obstacles à la demande de méthodes de PF</t>
  </si>
  <si>
    <t>Le projet a été mis en œuvre dans 20 aires sanitaires de la zone sanitaire Adjohoun-Bonou-Dangbo dans le département de l'ouémé</t>
  </si>
  <si>
    <t>Les Femmes de 15 à 49 ans</t>
  </si>
  <si>
    <t xml:space="preserve">Les participants directs sont les femmes en âges de procréer et ayant reçu les méthodes contraceptives ainsi que lles agents de sannté des 20 centres de santé bénéficiaires
Les participants indirects sont les membres des les communautés des 20 aires sanitaires (femmesn hommes et jeunes)  </t>
  </si>
  <si>
    <t>Il s'agit d'une évaluation de l'approche d'intégration qui a été developpée et mise en œuvre par CARE Bénin/Togo. Elle sera réalisée par LTSHM et a été commanditée par le bailleur.</t>
  </si>
  <si>
    <t>L'approche d'intégration des services de vaccination et de PF a été une inovation mise en oeuvre pour la première fois dans le pays et à permis d'augmenter l'intervalle intergénisique entre deux grossesses et favoriser l'autonomisation économique des femmes et filles de la zone sanitaire où elle a été développée.</t>
  </si>
  <si>
    <t>L'approche d'intégration des services de vaccination et de PF a permis d'enroler des nouvelles clientes pour la contraception, contribuant ainsi à l'atteinte de l'objectif global de CARE international de 100 millions de femmes ayant exercé leurs droits en santé sexuelle et reproductive</t>
  </si>
  <si>
    <t>Intégration des services de PF et de vaccination dans les centres de santé</t>
  </si>
  <si>
    <t>utilisation des VSLA comme plate forme pour les dialogues réflectifs sur les barrières socio culturelles identifiées</t>
  </si>
  <si>
    <t>L'utilisation de l'approche Analyse sociale et Action pour engager les communautés dans la lutte contre les barrières socio culturelles et de genre</t>
  </si>
  <si>
    <t>L'engagement des hommes contribue à lutter contre les barrières socio-culturelles et de genre non favorables à la demande de PF</t>
  </si>
  <si>
    <t>L'implication des assistants cliniques dans le coaching des agents de santé formés dans les centres de santé permet de maintenir et d'améliorer les compétences reçues</t>
  </si>
  <si>
    <t>Le maintien des acquis du projet au niveau communautaire sans une motivation pour les catalyseurs; continuité des activités de dialogues réflectifs dans les communautés après la fin du projet</t>
  </si>
  <si>
    <t>Rapport d'activités du projet VIVO de Décembre 2016</t>
  </si>
  <si>
    <t>Nutrition au Centre (N@C)</t>
  </si>
  <si>
    <t>SALLBJ002</t>
  </si>
  <si>
    <t>Directeur des Programme de la Mission CARE Bénin/Togo</t>
  </si>
  <si>
    <t>Huguette SEKPE</t>
  </si>
  <si>
    <t>huguette.sekpe@care.org</t>
  </si>
  <si>
    <t>Réduire le retard de croissance chez les enfants de moins de 2 ans et l'anémie maternelle et infantile dans les zones à faible revenu</t>
  </si>
  <si>
    <t>Deux communes de la vallée de l'Ouémé (Bonou et Dangbo) et 32 villages dans ces communes</t>
  </si>
  <si>
    <t>les femmes de 15 à 49 ans et les enfants de moins de 2 ans</t>
  </si>
  <si>
    <t>Women in Reproductive age : (5 VSLA of pregnant and lactating women x 25 members X 32 villages = 4000 individuals)
Children under 24 months:  880  Bonou + 760 Dangbo = 1640  children &lt; 2yrs
Direct beneficiaries : 9200 direct beneficiaries (224 VSLA x 25 members = 5600 individuals ) + ( 720  households  with challenge books totaling 5 members  x 720 = 3600 members )
Indirect beneficiaries: 46854 indirect beneficiaries ( 224 VSLA  X  25 family x 4 other members  of family = 22400) + (224 VSLA x 25 members  x 1 partner  per member = 5600 individuals) + total number of households without challenge book  in Participatory Diagnosis Villages =3771 totaling  5 members x 3771 = 18854 individuals)
Total  to be reached =  direct + indirect  = 9200+ 46854= 56054  individuals to be reached by N@C activities
% of population to be reached= 56054 / 71256 = 78.7 % of total population for N@C villages
% of men 5 for direct participants and 30% men for indirect participants</t>
  </si>
  <si>
    <t>L'évaluation finale du projet la Nutrition au centre en 2018 sera faite sous le leadership de CARE USA</t>
  </si>
  <si>
    <t>l'approche SAA, développement d'une stratégie avancée pour le suivi de la croissance de l'enfant à l'image de ce qui est fait pour la vaccination</t>
  </si>
  <si>
    <t>Mise en place de plateforme d'Alliances pour l'Apprentissage et le Plaidoyer (LPA)</t>
  </si>
  <si>
    <t>Le projet a étendu la mise en œuvre de l'approche SAA à tous ses groupes AVEC</t>
  </si>
  <si>
    <t>Les AVEC sont une bonne stratégie pou l'autonomisation des femmes</t>
  </si>
  <si>
    <t>La stratégie avancée pour le suivi de la croissance des enfants</t>
  </si>
  <si>
    <t>Les AVEC doivent être accompagnées pour devenir des entraprises sociales ou organisées en PEA (pôle d'expertise agricole)</t>
  </si>
  <si>
    <t>La Carte Communautaire de Performance doit être utilisé dans les projets où l'utilisation des services de santé doit être accru et elle doit etre adapté à des services de santé en communauté</t>
  </si>
  <si>
    <t>Protéines pour la Population (P4P)</t>
  </si>
  <si>
    <t xml:space="preserve"> CLDSBJ0001</t>
  </si>
  <si>
    <t>Peierls Foundation</t>
  </si>
  <si>
    <t>Réduire le retard de croissance chez les enfants et l'anémie maternelle et infantile chez les enfants de moins de 2 ans, et l'anémie chez les femmes en âge de procréer, par l’augmentation de la disponibilité et de l'accès équitable aux aliments d'origine animale.</t>
  </si>
  <si>
    <t>Direct beneficiaries  for fish: 32 VSLA of 453 members in Bonou and 415 in Dangbo; total of 868 directs beneficiairies
Direct beneficiaries for poultry: 562 members in Bonou and 691 in Dangbo; total of 1253 directs beneficiaries
Total Direct beneficiaries: 868+1253= 2121 beneficiairies (689 women in fishries and 1016 women in poultry; 179 men in fishries and 237 in poultry)
Indirect beneficiaries:2121 (directs members/families)*4 (person reach per family)=10605 indirect beneficiaries</t>
  </si>
  <si>
    <t>L'évaluation initiale de la phase 2 du projet P4P en partenariat avec la Faculté des Sciences Agronomiques</t>
  </si>
  <si>
    <t>l'approche SAA dans le domaine de la sécurité alimentaire et nutritionnelle</t>
  </si>
  <si>
    <t>Le projet a inclue la mise en œuvre de l'approche SAA comme n objectif specifique, ce qui a permis de l'étendre à tous les groupes AVEC de la nutrition au centre</t>
  </si>
  <si>
    <t>Le développement de la pisciculture par les femmes des AVEC a été une innovation pour elles</t>
  </si>
  <si>
    <t>Les AVEC doivent être accompagnées pour devenir des entreprises sociales ou organisées en PEA (pôle d'expertise agricole)</t>
  </si>
  <si>
    <t>La Carte Communautaire de Performance doit être utilisée dans les projets où l'utilisation des services agricoles doit être accrus</t>
  </si>
  <si>
    <t>Approche Communale pour le Marché Agricole (ACMA)</t>
  </si>
  <si>
    <t>IFDCBJ0001</t>
  </si>
  <si>
    <t>Huguette SEKPE Sossouhounto</t>
  </si>
  <si>
    <t>Program Team Manager  Securite Alimentaire Nutritionnelle &amp; Aadaptation au Changement Climatique</t>
  </si>
  <si>
    <t>Huguette.Sekpe@care.org</t>
  </si>
  <si>
    <t>Bonaventure NZavuga</t>
  </si>
  <si>
    <t>Amélioration de la sécurité alimentaire et l’accroissement des revenus agricoles des acteurs directs</t>
  </si>
  <si>
    <t>Le programme ACMA intervient dans les départements de l'Ouémé, du Plateau et du Zou qui comprennent au total 22 communes. Il s'agit pour la plupart de communes frontalières du Nigéria (Ouémé, Plateau et Zou)</t>
  </si>
  <si>
    <t>Le groupe d'impact du projet sont surtout Les acteurs  économiques directs regroupés sous forme de Pôles d'Entreprises Agricoles (PEA) y compris les groupes vulnérables notamment les femmes productrices, les transformatrices et commerçantes et autres petits acteurs. C'est également des groupes sensibles n'ayant pas accès au marché et au crédit. Le projet s'investit dans leur coaching pour la mobilisation de volume de prroduits agricole de qualité pour le marché béninois et nigérian.</t>
  </si>
  <si>
    <t>Les participants directs sont les acteurs économiques béninois qui commercialisent leur produits sur le marché local et le marché nigérian. Ils participent dans les formations organisées par le projet, ils recoivent les équipements des infrastructures de stockage de la part du projet. ces acteurs s'inscrivent dans une dynamique de travailler dans les Pôles d'Entreprise Agricoles en renforcant les relation d'affaire entre les acteurs d'une même chaine de valeur.</t>
  </si>
  <si>
    <t>Une évaluation finale du projet a été réalisée par le bailleurs courant le mois de Juiln2017</t>
  </si>
  <si>
    <t>Le financement est un outil important pour accroître les activités commerciales des PEA appuyés par le programme ACMA aussi bien au niveau de la production, de la transformation que de la commercialisation des produits agricoles ;</t>
  </si>
  <si>
    <t>L’accès des produits warrantés à un bon marché est un élément capital qui motive l’adhésion de nouveaux acteurs économiques au système de warrantage ;</t>
  </si>
  <si>
    <t>L’organisation de l’offre de certains produits peut être un facteur de régulation de leur prix sur le marché comme c’est le cas cette année avec la mobilisation de l’huile de palme à travers le warrantage qui favorise une meilleure négociation du prix de vente par les acteurs des PEA huile de palme ;</t>
  </si>
  <si>
    <t>Rapports détaillés des axes du projet, rapport semestriel Janvier -Juin 2017</t>
  </si>
  <si>
    <t>Programme d’Appui au Secteur de la Gouvernance Locale et de la Décentralisation, phase 3 (ASGoL 3)</t>
  </si>
  <si>
    <t>DDCXBJ0002</t>
  </si>
  <si>
    <t>Daniel Djodjouhouin</t>
  </si>
  <si>
    <t>Coordinateur Mesure de l'Impact, Apprentissage et Redevabilité - Point Focal ASGoL3</t>
  </si>
  <si>
    <t>Daniel.Djodjouhouin@care.org</t>
  </si>
  <si>
    <t>Directeur des Programmes</t>
  </si>
  <si>
    <t>L'objectif du programme est de « contribuer à l’amélioration de la gouvernance locale en vue de la délivrance de services sociaux dans les domaines de l’éducation, de la santé et de l’état civil, dans les départements du Borgou et de l’Alibori ».</t>
  </si>
  <si>
    <t>Le programme ASGoL3 intervient dans les départements du Borgou et de l'Alibori, notamment dans les 14 communes</t>
  </si>
  <si>
    <t>Populations du Borgou et de l'Alibori, notamment celles bénéficiant des services sociaux dans les domaines de l’éducation, de la santé et de l’état civi</t>
  </si>
  <si>
    <t>Les participants directs sont les populations bénéficiaires des services sociaux dans les secteurs de l'éducation, de la santé et de l'état civile ; Les participants indirects sont les acteurs de mise en œuvre que sont les associations de communes, l'UFeC ABC et les ministères concernés, de même que leurs services déconcentrés. Il est difficile de calculer ces bénéficiaires, surtout les bénéficiaires directs</t>
  </si>
  <si>
    <t>Etat civil</t>
  </si>
  <si>
    <t>Il s'agit d'une évaluation de base ( de référence) sur les indicateurs du cadre logique du programme</t>
  </si>
  <si>
    <t>Le long délai de finalisation et de validation des planifications des partenaires a influencé les délais de mise en œuvre des actions planifiées pour l’année 2017, ce qui nécessite un recadrage et une relecture des formats et la priorisation des actions qui contribuent au renseignement des indicateurs du cadre logique</t>
  </si>
  <si>
    <t>L’esprit de synergie d’actions doit gouverner certains partenaires travaillant sur les mêmes thématiques comme c’est le cas pour la DAT et des deux associations de communes (ADECOB et APIDA), de même que le Ministère en charge de la décentralisation autour des préoccupations de l’aménagement du territoire et de l’intercommunalité ;</t>
  </si>
  <si>
    <t>Les prérequis et les insuffisances des actions de renforcement des capacités menées au profit de l’ADECOB et de l’UFeC/ABC au cours des deux phases antérieures méritent d’être exploités pour améliorer les actions futures.</t>
  </si>
  <si>
    <t>Document technique du programme</t>
  </si>
  <si>
    <t>Programme de Renforcement de Capacité d'Action des Femmes au Bénin (RECAFEM)</t>
  </si>
  <si>
    <t>PID</t>
  </si>
  <si>
    <t>Bonaventure NZAVUGAMBONYIMANA</t>
  </si>
  <si>
    <t>Directeur des programmes</t>
  </si>
  <si>
    <t>Aquéline BEHANZIN</t>
  </si>
  <si>
    <t>Chief Of Party</t>
  </si>
  <si>
    <t>aqueline.behanzin@care.org</t>
  </si>
  <si>
    <t>Le programme de Renforcement des Capacités d’Action des femmes (RECAFEM) vise à atteindre des progrès significatifs en vue de l’égalité homme/femme dans les domaines social, culturel, juridique et économique.</t>
  </si>
  <si>
    <t>Les 12 départements du Bénin:Alibori, Borgou, Atacora, Donga, Collines, Zou, Littoral, Atlantique, Ouémé, Plateau,Mono, Couffo; Soit dans 77 communes du Bénin</t>
  </si>
  <si>
    <t>243 jeunes filles et femmes béninoises âgées de 18 à 40 ans 
Environ 200 parents proches des bénéficiaires directes 
Au moins 100 coaches (média, politique, éthique/moral) et 2000 membres de la communauté ciblée.</t>
  </si>
  <si>
    <t xml:space="preserve">243 jeunes filles et femmes béninoises âgées de 18 à 40 ans et 500 femmes </t>
  </si>
  <si>
    <t>Leadership des femmes</t>
  </si>
  <si>
    <t>Il sera réalisé une évaluation a mi parcours classique
La méthodologie va se basée sur la collecte de données pour apprécier l'évolution des indicateur du programme</t>
  </si>
  <si>
    <t>Une mission d'identification est en cours pour les domaines d'inovations ci après:
dans le domaine de la production
Dans le domaine de l'artisanat
Dans le domaine de la transformation
Dans le commaine de la commercialisation</t>
  </si>
  <si>
    <t>Pas de changement</t>
  </si>
  <si>
    <t>Partenariat avec les Organisations de la société civile</t>
  </si>
  <si>
    <t>Partenariat avec un Centre de recherche scientifique pour les innovations en matière d'autonomisation économique de la Femme</t>
  </si>
  <si>
    <t>Partenariat avec le Gouvernement</t>
  </si>
  <si>
    <t>Le partage d’expériences, des bonnes pratiques et outils entre les partenaires de mise en œuvre est gage d’un succès en matière de réalisation des objectifs du programme.</t>
  </si>
  <si>
    <t>Les partenaires OSC se focalisent plus sur leurs activités sur le terrain et ont de difficultés à partager leurs pratiques et expériences avec les autres intervenants sur la même thématique</t>
  </si>
  <si>
    <t>Un nouveau gouvernement est mis en place le 06 Avril 2016. Les attributions du Ministère qui s’occupe des questions liées au genre ont changé depuis le 06 Avril 2016. Le Ministère est devenu « Ministère du Travail, de la Fonction Publique et des Affaires Sociales ».</t>
  </si>
  <si>
    <t>Le programme a démarré en Avril 2016, Au cours du FY17, les formations des bénéficiaires, les rencontres des coaches et participants et les réunions de sensibilisation des époux et des parents proches ainsi que les émissions radios sont les principales activités menées.</t>
  </si>
  <si>
    <t>Cadre de Mesure de Rendement, Cadre logique, rapport d'étude de référence, Plans annuels et plans pluriannuels, rapport opérationnel et financier.</t>
  </si>
  <si>
    <t>Bosnia and Herzegovina</t>
  </si>
  <si>
    <t>Young Men Initiative - Promoting Healthier Lifestyles among Youth in Bosnia and Herzegovina by Challenging Gender Stereotypes</t>
  </si>
  <si>
    <t>PN: BIH115, FC: BA315</t>
  </si>
  <si>
    <t>CARE Deutschland-Luxemburg</t>
  </si>
  <si>
    <t>Saša Petković</t>
  </si>
  <si>
    <t>To increase the uptake of healthy, nonviolent and gender equitable lifestyles among young men and women in Bosnia and Herzegovina and our intention is to reach that goal. The goal will be reached through a combination of three expected outcomes: 
Expected Outcome 1: Youth NGOs have increased capacities and resources for delivery of non-formal education to youth (including vulnerable and out of school youth) related to healthy, non-violent lifestyles.
Expected Outcome 2: Ministries and agencies of education, youth and gender (entity and cantonal) and the Agency for pre-primary, primary and secondary education (state level) support the program methodology and have integrated life skills education into formal or non-formal school curricula.    
Expected outcome 3: Youth have increased awareness and improved attitudes related to health, violence and gender equality through participation in group education and youth led-campaigns, on healthy lifestyles, violence prevention and gender equality at the local and national level.</t>
  </si>
  <si>
    <t>CARE works in partnership with three experienced local youth non-governmental organizations (NGOs) from Sarajevo, Banja Luka and Mostar that are further building capacities of other youth NGOS in 10- 15 locations in BiH.</t>
  </si>
  <si>
    <t>The target group of the project includes state, entity and cantonal ministries responsible for youth, education and health; the state-level agency for education with its coordinating role, educational professionals/teachers;youth aged 15-26 with an emphasis on boys and men in vocational schools; parents; and NGO partners who are developing as national resource centres related to this work.</t>
  </si>
  <si>
    <t>Beneficiaries: Through educational workshops and campaigns targeting  young men and women in 10-15 secondary schools/communities, reaching over 10,000 youth (approx. 70% male and 30% female) over 3 years (we are working in two school years -  with around 5000 students). Through campaigns and other related activities 50,000 youth will be targeted indirectly. In addition Roma youth, as minority representatives, are integrated into all activities. Teachers and youth in the entire country have also be included  through diffferent awareness raising and community work. 
CARE has developed a monitoring tool/table that partners use for regular monitoring of all of the activities/beneficiaries by gender and type for each project indicator. One table calculated one time only beneficiary and the other repeatitive beneficiaries, in order to have a clearer idea of the reach. The tables are being updated on a weekly and monthly basis and used for reporting, both of partners to CARE and CARE to donors.</t>
  </si>
  <si>
    <t>End line assessment and Final evaluation were done in May and June 2016.</t>
  </si>
  <si>
    <t>YMI Project achieved great success by getting first official support by Ministry of education of Herzegovina-Neretva Canton, BiH that officially supported (accredited) Program Y and above mentioned program has been included in the draft of Strategy and Action Plan on prevention of violence and juvenile delinquency in Herzegovina-Neretva Canton (HNC). Thanks to dedication of our partner organization, Youth Power from Mostar and patience and systematic work by CARE on lobbying and advocacy, Program Y as innovative, more modern and more inclusive option of Program M that was the “heart” of our project became mandatory part of education of young men and women’s education in GBV prevention and promotion of healthier lifestyles in all high schools in HNC ( Program Y is available at http://www.youngmeninitiative.net/en/?page=36). In other words, all schools undertook a commitment to plan implementation of workshops during school headteacher classes that amounts to 25% of all classes with head teacher during school year. Mandatory application of this program in all high schools in HNC is important because that model might in future be an example for responsible ministries in other parts of BiH as well as in our wider environment, like countries in the region of Western Balkans.</t>
  </si>
  <si>
    <t>All three key partner organizations and CARE as a mentor’s organization responsible for M&amp;E are engaged in implementation of UNWOMEN Program “Standards and Engagement for Ending Violence against Women and Domestic Violence in Bosnia and Herzegovina”. To be more precise, three main partners will work during 27 months (October 2016-December 2018) on implementation of project: “Comprehensive Approach in Engaging Young Men and Media in Ending Violence against Women and Domestic Violence in Bosnia and Herzegovina”. Main partner organizations will be involved in the development of advocacy strategy that will support the inclusion of Program Youth (Program Y - gender transformative educational methodology for preventing GBV, SGBV and VAW) in formal education in selected communities (Istočno Sarajevo, Travnik, Bijeljina and Tomislavgrad/Livno).</t>
  </si>
  <si>
    <t>CARE is supporting networking and mutual joint actions implemented by CARE three main partners NGOs from Banja Luka, Mostar and Sarajevo and 8 Youth NGOs from 8 cities from BiH as well as formal cooperation with entities and cantonal governments.</t>
  </si>
  <si>
    <t>YMI Project achieved great success by getting first official support by Ministry of education of Herzeg-Neretva Canton that officially supported (accredited) Programme Y. Ministry of education and culture of Republic of Srpska officially supported Programme Y, next step is inclusion in curriculum for secondary schools in Republic of Srpska. In Canton Sarajevo, progress in getting official support has not been achieved yet. Accreditations of Program Y should be top priority in future work.</t>
  </si>
  <si>
    <t>One of the aspects of sustainability are developed human, organisational and technical resources that exist and devotedly act even after finalisation of the programme. In all cities it was underlined that through this programme the organisations have grown and developed in all aspects of work. During the program, different didactic, educational and promotional stationary and material have been created and they will serve their purpose after completion of the programme. The most important legacy is manual “Programme Y”. Besides this manual, numerous smaller brochures, thousands of leaflets and dozens of video materials that promote different campaigns will remain after the project.</t>
  </si>
  <si>
    <t>1. Flexibility is also our virtue and during the next year we will work on adaptation of Program Y to work with higher grades of elementary schools. We want to shift focus from high schools partly to elementary schools because there are more acts of intolerance, violence and unhealthy lifestyles in higher grades of elementary schools than in high schools.</t>
  </si>
  <si>
    <t>2. Unpredictability of the representatives from official institutions is something that always “surprises” us. Frequent elections in BiH (every two years) lead to changes in key people we worked with in the previous period and we always have to be ready for a change. Success of the model in Herzegovina-Neretva Canton gives us hope that we will be able to accredit Program Y in whole of BiH.</t>
  </si>
  <si>
    <t>3. Increasing visibility of program in schools has become important for maintaining messages and trying to change culture in school and social norms.  This has included getting wall space from the school for highlighting club events and actions; to place posters, and school anti violence declaration.  The workshops are only one element in promoting attitudinal and behavior change. We have to be innovative and we have to use digital media much more.</t>
  </si>
  <si>
    <t>RECOMMENDATIONS
In the course of implementation of the research (focus groups and interviews, document analyses) and results’ analyses we identified significant number of recommendations for future work. Majority of recommendations are result of direct work and experience of participants who were implementing the programme or participated in it. We divided the recommendations into strategic and specific. Strategic recommendations are those that can be of great importance for future progress of this project and the overall result. Specific recommendations are related to some details and should be considered during implementation of some concrete activities such as workshops, campaigns, and similar.
Strategic recommendations
The most important recommendation is to come up with detailed plan of advocacy which would contribute that key decision makers include this project in regular school curriculum. This can imply establishment of coalitions, identification of allies and potential enemies, identification of primary and secondary decision makers, planned media pressure, etc.
Having in mind that in BIH there are several organisations that implement different workshops in schools, it is maybe needed that those non-governmental organisations work closer and make one joint and integrated programme that would then be presented to respective ministries. Otherwise, respective ministries of education will most probably take a stand that they cannot include couple of different programmes, implemented by different organisation, into a school system. This recommendation is not a simple one, but it probably represents a path how this idea could be successfully solved in a long run.
There is a great need that this programme is implemented with pupils of final grades in primary schools. This age period (13-15 years of age) represents beginning of adolescent period and is very important for development of attitudes and life values with youth. In this period new attitudes of youth towards different life spheres (violence, ethnic relations, sexuality, gender equality, etc.) are created and it is important to direct the youth in a right way. Work with younger categories would probably imply additional adaptation of manual that is used in secondary school.
In several cities project coordinators were underlining importance of greater inclusion of parents in project activities. This is important for several reasons. It is difficult to expect long-term change in attitude of young people if their parents present violent behaviour, gender prejudice, etc. Additionally, parents can be useful ally in the process of introduction of the programme into school system.
Important strategic question is whether to work with bigger or smaller number of schools. This directly relates to intensity of work. The bigger the number is it is more difficult to organise it and to guarantee success and quality of work. It is necessary to dedicate great attention to the process of selection of schools and partner organisations in the future. The work should be done only where there are conditions for successful realisation of the programme. Including partners that do not have sufficient capacities and commitment to the programme can only bring negative image to the project.
In the context of expending and sustainability of the programme, one of the possibilities is to more include young unemployed psychologists, pedagogues and social workers. Before getting a formal employment they need to do their internship. One of the possibilities is to make an agreement with the ministry of education and define a possibility that the internship programme can be conducted in schools that implement Programme Y. In this way it would be easier to expend the programme, and it would also be very useful for young expert associates.
It is important to continue the work in the area of community involvement. The idea of BMCs, which function as local youth clubs and resource centres for youth in the domain of promotion of gender equality, healthy lifestyles and violence prevention, should be additionally supported. In addition, CARE could support additional capacity development of BMCs to become key actors of local referral mechanisms for youth in need of additional support.
One recommendation related to methodology of work. Participative and flexible principle of work that was being used in the project gave excellent results and that practice should be continued. Method of work where youth plan their own actions is obviously an additional motivation, develops their commitment and identification with the project. Outcome is that in planned actions and campaigns there was 3-4 times more youth than originally planned. This should continue. It would be ideal if this could be linked with workshops, i.e. that each workshop is followed by some practical action youth came up with, and the last phase is presentation in media. This is similar to what has been done by BMC from Sarajevo, under the name “3D”. 
Existing structure for education programs’ implementation needs continuous support in development. It would be of great importance to further utilize established structure of educators and this would require development of clear selection criteria of future educators, their capacity development in conducting workshops and development in wider understanding of the training topics and policy framework.
Specific recommendations
In some workshops it is necessary to pay more attention to understanding and control of emotions. They are often a root to violent and discriminatory behaviour. By raising emotional maturity their problems could be solved.
In the end line research, consumption of alcohol came out as significant problem the programme could not influence a lot. Youngsters often drink under the influence of peers. In working with youth more attention should be given in explaining them how to oppose peer pressure.
It should be re-examined if the workshop “What is gender/sex” is an optimal solution for the first workshop in education. That first workshop, depending on peer educator, can be pretty confusing and boarding (that was feedback from interviewed young men and young women). It is maybe better to start with a workshop that would be interesting to youth.
In majority of cities youth pointed out that workshop on violence on internet (cyber bulling) should be included in the programme. One of the proposals is to also include workshop “Healthy eating” in the programme as there is a lot of obesity with youth.
In order to know how to act once serious problem between students is identified it is necessary to have better cooperation with expert associates (pedagogies / psychologist / social worker).
In some cities project participants feel that peer educators were not trained enough to work in schools. Thus, it is necessary to pay more attention to selection of peer educators and their education. It is necessary to synchronise education in all cities to make it as similar as possible. Joint educations of peer educators proved to be a good thing, and this should continue.
In some situations peer educators were confronted with psychological problems of students. Their job was definitely not to go deeper into those problems, but it would maybe be useful to have psychologist supervisor who could occasionally give advice how to behave in those situations. It would be useful that qualified psychologist holds a workshop on this topic during joint education of peer educators.
Numerous professors distanced themselves and their attention should be drawn and importance of such programmes should be highlighted. Also, some expert associates were not well informed about the programme. This aspect of work should be improved. 
Practice of including youth in other activities, not only workshops, should be continued. As mentioned above, through BMC activities significant change in the minds of young people happens.
It would be good that future camps gather even more youth from each city.
Budget for youth network partners should be increased.
One of the possibilities for better promotion and coordination is to create an application through which youngsters could over the phone receive necessary and important information about the programme. 
Attention should be paid to what to emphasize during first presentations of the programme in schools and media. Have in mind that in first presentations ‘attack on traditional norms’ or reduction of homophobia should not be mentioned immediately in first presentations. That will most probably cause resistance and scepticism at first, as was the case in some schools in the past. Main focus of opening presentations should be development of healthy life styles, reduction of violence and use of psychoactive substances, and development of more human relations between men and women.
Concerning promotion of the programme, the most efficient way to reach youth is via internet and different social networks. But, television should not be neglected as that is source of information mostly used by parents, professors and representatives of education institutions.</t>
  </si>
  <si>
    <t>For Active Inclusion and Rights of Roma Women in the Western Balkans II (FAIR II)</t>
  </si>
  <si>
    <t>BIH131, BA331</t>
  </si>
  <si>
    <t>Austrian Development Cooperation</t>
  </si>
  <si>
    <t>Humanitarian A Life Free From Violence (GBV)</t>
  </si>
  <si>
    <t>Jadranka Miličević</t>
  </si>
  <si>
    <t>jmilicevic@carenwb.org</t>
  </si>
  <si>
    <t>Maja Petek</t>
  </si>
  <si>
    <t>Project Officer</t>
  </si>
  <si>
    <t>mpetek@carenwb.org</t>
  </si>
  <si>
    <t>To strenghten Roma women NGO's capacities to address the national and European level strategies and interventions related to Roma women rights and social inclusion of Roma communities</t>
  </si>
  <si>
    <t>Balkan Region; Countries: Bosnia and Herzegovina, Republic of Serbia and Montenegro; throughout three countries</t>
  </si>
  <si>
    <t>Local partners -Roma women lead non-governmental organizations, Roma women, girls, boys and men</t>
  </si>
  <si>
    <t>Direct participants: Roma women and girls, men and boys in targeted localities, women Roma organizations, representatives of non Roma organizations and institutions addressing Roma issues, national governmental representatives.
Indirect participants: family members of Roma individuals, colleagues of representatives of NGOs and institutional representatives, general public in Roma and majority population.
The project team developed tailor maide monitoring tables for all implemented project activities with special tables for multiple and individual count of persons who directly participated at some project activities.</t>
  </si>
  <si>
    <t>Assistance in Ensuring Access to Social Rights</t>
  </si>
  <si>
    <t>Midterm evaluation is ongoing and conducted by the Regional Gender Program Coordinator and the project team</t>
  </si>
  <si>
    <t>We are testing working with men and fighting inequality ???</t>
  </si>
  <si>
    <t>FAIR II project is strenghtening local CSO through a range of  tailor made capacity building actions directed at improving their organizational management and advocacy skills, reporting, monitoring and evaluation procedures, providing support in networking of organizations and institutions working on similar issues, nationally and regionally.</t>
  </si>
  <si>
    <t>Men engagement; to bring the change into the community and to support women empowerment and contribute to decrease GBV it is necessary to include men into workshops and work on changing their attitudes. This goes not only for adult men but also for young men.</t>
  </si>
  <si>
    <t>Inter-Sectoral Commissions; This is a local coordination mechanism, a body, consisted of representatives of local partner organization and institions which address certain related issues but have different roles. The representatives of this body jointly addrees individual issue and solve cases and/or start theirown initiatives</t>
  </si>
  <si>
    <t>Peer to peer education is conducted in high schools attended by Roma students as well and in Roma communities targeting youth that do not attend schools. Information on sensitive issues are best transfered from peers to peers, open discussion is more frequent during peer to peer educations.</t>
  </si>
  <si>
    <t>Men engagement targets men in Roma community working on sensitive issues such as GBV and gender roles. One of the lessons learned is taking light approach in establishment of trust; meaning men were not interested to participate in GBV workshops thus partner organization now approached men through organization of workshops for men on different topics (mental health and support), after building trust targeted topics will be introduced.</t>
  </si>
  <si>
    <t>Roma Community Mediators are proven to be one of the assessts of this project to Roma community directly. Roma Mediators work in Roma communities and assist Roma population in different areas: education, gender based violence, gender equality, access to social rights and sometimes even provision of support. Roma Mediators act as the link between institutions and Roma individuals and are supported by main project partner in regards to transfer of knowledge and information. Unfortunatelly, this model, even proven to be supportive and very helpful to Roma community it is highely unlikely to be taken over by instutions due to lack of funds.</t>
  </si>
  <si>
    <t>Resistence of our longterm partners to test new tools, for example: Community Score Card i Most Significant Change has been noticed.</t>
  </si>
  <si>
    <t>Women Roma organizations that are main parnters in this project have been our partners for years during which CARE has been supporting these organizations and built their capacities. This capacity building has enabled these organizations now to be leaders in implemetation of succesfull projects of economic empowerment of women in their communities.</t>
  </si>
  <si>
    <t>Inclusive Economic Growth and Employment Generation in Eastern Bosnia and Herzegovina – Birac Region</t>
  </si>
  <si>
    <t>2013/336-866</t>
  </si>
  <si>
    <t>Branislav Tanasijevic</t>
  </si>
  <si>
    <t>btanasijevic@carenwb.org</t>
  </si>
  <si>
    <t>Vesna Jovanovic</t>
  </si>
  <si>
    <t>Regional Program Coordinator Social and Economic Inclusion</t>
  </si>
  <si>
    <t>vjovanovic@care.rs</t>
  </si>
  <si>
    <t>The main goal of the Action was to enhance inclusive economic growth and employment generation in eastern Bosnia and Herzegovina in the Birac Region and to improve competitiveness of agricultural SMEs and producers through the establishment of sustainable support mechanisms and the provision of technical support in 4 target municipalities – Bratunac, Srebrenica, Milici and Vlasenica.</t>
  </si>
  <si>
    <t>The project targeted four municipalities – Srebrenica, Bratunac, Vlasenica and Milici, often referred to as “the Birac region”, one of the least developed in Bosnia and Herzegovina (BiH). Since 1999 CARE has been involved in the region in inclusive local economic development, fighting poverty and strengthening civil society and municipalities´ capacities to assist local agricultural SMEs and producers. CARE has, in previous actions, facilitated the establishment of the Regional Advisory Service (former Agro-Business Centre), a technical assistance provider, one of the co-applicants in the proposed Action. As part of its programming strategy CARE is focusing on the economic empowerment of women, returnees and other disadvantaged groups. One of its key partners has been the women NGO MAJA, another co-applicant in this project, which in 2013 established the first women cooperative in BiH, in Bratunac municipality. The third co-applicant, the municipality of Vlasenica, has been a cooperation partner of CARE since 2006. The municipalities of Bratunac, Srebrenica, Milici will support project implementation as Associates. In preparation of the action CARE and partners met also with SMEs, cooperatives, individual producers, CSO’s in the target area and. built the project idea on the research done.</t>
  </si>
  <si>
    <t>Agricultural producers from the target regions and their households,  members of women's agricultural cooperative, food production SMEs, other cooperatives and their members,  project partner organizations and municipalities Vlasenica and Bratunac</t>
  </si>
  <si>
    <t>Calculation was made based on number of events held in FY counting participants and one mayor event supported by project –agricultural fair which happened in this FY.</t>
  </si>
  <si>
    <t>No further evaluations since project is finished in December 2016</t>
  </si>
  <si>
    <t>Activities to promote women's economic empowerment in the sector of agriculture, particularly around social agricultural cooperatives, on the local, regional and national level in Bosnia and Hercegovina.</t>
  </si>
  <si>
    <t>Agricultural advisory services are made available for the entire target area and their work promoted among the agro-producers and local authorities.
Involvement of women from rural areas and their representative organisations in social cooperative entrepreneurship was promoted largely in BIH.
The project advocated for the recognition of social entrepreneurship in local legislature of BIH and lead a public debate on formulations for the new law on social entrepreneurship.</t>
  </si>
  <si>
    <t>The project 'patented' forum exchange meetings, particular social dialogue forums, gathering agricultural producers, cooperatives and food production SMEs on the one side and local and national authorities' and institutions' representatives, finance institutions, large market chains. they discussed priorities for improving environment for development of food production, larger investments in agri-businesses of marginalised groups etc.</t>
  </si>
  <si>
    <t>Both NGO partners received core financial support. One of the partner NGOs (women's association MAJA) received trainings to become resource centre for women's entrepreneurship and a sub-grant to support their agricultural social cooperative. The other partner, Advisory Service, was supported to spread their service portfolio and target territory.</t>
  </si>
  <si>
    <t>CARE tacked rural development by co-financing small cooling facilities for individual agri-producers (including women), in order to enable them to sell their products in a more organised manner and obtain higher price.</t>
  </si>
  <si>
    <t>Forum exchange meetings enabled successful women who were supported by the project to speak about their challenges, obstacles and plans for the future in front of local authority representatives, other NGOs, other women, financial institutions and present media who will spread positive impact to wider audience.  Often meetings are very emotional due to the fact that not often poor women are given chance to speak about their success.</t>
  </si>
  <si>
    <t>Cluster support and various promotional project activities, such as round tables, exchange forums helped partners to be linked to main institutions of their interest.</t>
  </si>
  <si>
    <t>It is all about the partner NGOs you choose, the more they are focused and interested, the better results will be achieved.</t>
  </si>
  <si>
    <t>Constant presence at local media and with decisions makers is important</t>
  </si>
  <si>
    <t>Training, advocacy campaign, awareness raising actions or else without visible direct support is not 100% productive. People wish to see in practice immediate change with their neighbour and then they will be more interested to participate and allocate their time.</t>
  </si>
  <si>
    <t>The project undertook a case study on the agricultural (social) cooperative "Woman", founded by our partner organisation Women's Association MAJA Kravica (Bratunac, Bosnia and Herzegovina): http://care-balkan.org/dok/adc-eng.pdf</t>
  </si>
  <si>
    <t>The project purpose is to increase the uptake of healthy, non-violent and gender equitable lifestyles amongst boys and men (and girls and women) participating in the program. 
This will be achieved through 3 inter-related results:
ER1: Gender Transformative Life Skills program (Program M) adopted, accredited and teachers trained by Ministry of Education for use in secondary schools;
ER 2: Lifestyle and social norms campaigns to engage boys and men on issues of violence prevention, gender equality and fatherhood are developed and reach the targeted audience;
ER3: Local NGO partners act as national resource centres and promote practice, policy and research work engaging boys and men.
The project purpose is to increase the uptake of healthy, non-violent and gender equitable lifestyles amongst boys and men (and girls and women) participating in the program. 
This will be achieved through 3 inter-related results:
ER1: Gender Transformative Life Skills program (Program M) adopted, accredited and teachers trained by Ministry of Education for use in secondary schools;
ER 2: Lifestyle and social norms campaigns to engage boys and men on issues of violence prevention, gender equality and fatherhood are developed and reach the targeted audience;
ER3: Local NGO partners act as national resource centres and promote practice, policy and research work engaging boys and men.</t>
  </si>
  <si>
    <t>YMI Project achieved great success by getting first official support by Ministry of education of Herzegovina-Neretva Canton, BiH that officially supported (accredited) Program Y and above mentioned program has been included in the draft of Strategy and Action Plan on prevention of violence and juvenile delinquency in Herzegovina-Neretva Canton (HNC). Thanks to dedication of our partner organization, Youth Power from Mostar and patient and systematic work by CARE on lobbying and advocacy, Program Y as innovative, more modern and more inclusive option of Program M that was the “heart” of our project became mandatory part of education of young men and women’s education in GBV prevention and promotion of healthier lifestyles in all high schools in HNC ( Program Y is available at http://www.youngmeninitiative.net/en/?page=36). In other words, all schools undertook a commitment to plan implementation of workshops during school headteacher classes (“časovi odjeljenske zajednice, local language) that amounts to 25% of all classes with head teacher during school year. Mandatory application of this program in all high schools in HNC is important because that model might in future be an example for responsible ministries in other parts of BiH as well as in our wider environment, like countries in the region of Western Balkans.</t>
  </si>
  <si>
    <t>All three key partner organizations and CARE as a mentor’s organization responsible for M&amp;E are engaged in implementation of UNWOMEN Program “Standards and Engagement for Ending Violence against Women and Domestic Violence in Bosnia and Herzegovina”. To be more precise, three main partners will work in 27 months (October 2016-December 2018) on implementation of project: “Comprehensive Approach in Engaging Young Men and Media in Ending Violence against Women and Domestic Violence in Bosnia and Herzegovina”. Main partner organizations will be involved in the development of advocacy strategy that will support the inclusion of Program Youth (Program Y - gender transformative educational methodology for preventing GBV, SGBV and VAW) in formal education in selected communities (Istočno Sarajevo, Travnik, Bijeljina and Tomislavgrad/Livno). This is the proof that main partner organizations have strengthened a lot but that they are also capable of further development. Partner organizations have more room for improvement of knowledge and skills in project proposal writing (even though they have written and implemented great number of projects so far). We are planning to improve project proposal writing skills in the next phase through CARE’s in-house trainings and/or trainings by top fundraisers.</t>
  </si>
  <si>
    <t>CARE is supporting networking and mutual join actions implemented by CARE three main partners NGOs from Banja Luka, Mostar and Sarajevo and 8 Youth NGOs from 8 cities from BiH as well as formal cooperation with entities and cantonal governments.</t>
  </si>
  <si>
    <t>One of the aspects of sustainability are developed human, organisational and technical resources that exists and devotedly act even after finalisation of the programme. In all cities it was underlined that through this programme the organisations have grown and developed in all aspects of work. During the program, different didactic, educational and promotional stationary and material have been created and they will serve their purpose after completion of the programme. The most important legacy is manual “Programme Y”. Besides this manual, numerous smaller brochures, thousands of leaflets and dozens of video materials that promote different campaigns will remain after the project.</t>
  </si>
  <si>
    <t>Women's economic empowerment (WEE)</t>
  </si>
  <si>
    <t>BA 310</t>
  </si>
  <si>
    <t>BA322</t>
  </si>
  <si>
    <t>Dubravka Kovacevic</t>
  </si>
  <si>
    <t>dkovacevic@carenwb.org</t>
  </si>
  <si>
    <t>To increase economic opportunities for socially deprived and marginalized women vulnerable to violence by fostering their economic empowerment, enabling them to achieve their economic rights and financial independence.</t>
  </si>
  <si>
    <t>Bosnia and Herzegovina - Bijeljina, Bratunac, Konjevic polje and Rogatica (in Republika Srpska) and Tuzla and Visoko (in Federation of BiH )</t>
  </si>
  <si>
    <t>Project partner NGOs - women's grass root organisations; women vulnerable to violence from the project target areas.</t>
  </si>
  <si>
    <t>Direct participants ( from workshops' participant lists and provided grants and services): 30 members of 6 CSOs, 160 individual woman who  received trainings, 15 members of 3 co-operatives and 150 co-operants, 30 members of DMCs, 800 members of 6 local communities who received support from women who started up own businesses. Indirect participants: 1500 of women and 400 of men in 6 local communities enabled with access to the vocational and financial services by 3 co-operatives and 6 municipalities.</t>
  </si>
  <si>
    <t>Intense involvement of marginalised women, vulnerable to violence in income generation activities, through women's cooperatives founded within the project: women from Roma communities, from rural communities, women beneficiaries of safe houses against family violence.</t>
  </si>
  <si>
    <t>Experience and knowledge from the first agricultural women's cooperative (agricultural cooperative Zena from Kravica - BIH) was conveyed to other partner NGOs, who founded their own women's cooperatives and attracted a number of members - women vulnerable to violence.</t>
  </si>
  <si>
    <t>We strenghtened the capacities of 6 women CSOs and 3 women lead co-operatives (2 of which were formed within the project, with direct support from the project).</t>
  </si>
  <si>
    <t>CARE program strategy in the Balkans lays on gender equality and job creations that is the core of the project and activities. In this FY, the project managed to mainstream the necessity of association within women's economic empowerment and to facilitate formation of two new women's cooperatives from the side of two project partner organisations.  (As addition to the one cooperative that had already existed prior to the project start)</t>
  </si>
  <si>
    <t>Capacity building of women's NGOs in economic empowerment of women issues is a key  in combating poverty among  vulnerable and deprived women.</t>
  </si>
  <si>
    <t>In order to improve women's self confidence to participate in a sustainable economic activity and to increase their family incom, they need to be equiped with vocational training skills, mentoring and finance support to start their own business.</t>
  </si>
  <si>
    <t>Networking  and exchange of experience, as well as cooperation with local stakeholders ( local government institutions, center for social work, etc) and increasing their capacities and knowledge is important to address the economic needs of women in the project target municipalities.</t>
  </si>
  <si>
    <t>Promissing practice: 6 partner organizations with capacity strengthened within the project, and 3cooperatives (social entreprises) strengthened founded/strengthened within the project are acting as  resource business centers for women and are encouraging and advising women how to become economically included.</t>
  </si>
  <si>
    <t>Effective market linking, management and marketing support leads to sustainability of the newly established women's businesses.</t>
  </si>
  <si>
    <t>CARE and partners formed communication with local (state organised) Employment Bureay offices in 6 target areas, to facilitate involvement of women in  eventual governmental opportunities for employment and financial support.</t>
  </si>
  <si>
    <t>The project supported  activities and actions to promote greater women’s participation and contributed to better women’s living conditions, such as support in establishment of the Roma Women´s Cooperative by the NGO Better Future from Tuzla and Women Victims of Domestic Violence cooperative by NGO Lara from Bijeljina. The cooperatives seek to foster local entrepreneurship, supporting the needs of vulnerable and marginalised women to diversify and expand their economic base by leveraging the resources.</t>
  </si>
  <si>
    <t>http://www.care-balkan.org/</t>
  </si>
  <si>
    <t>Burkina Faso</t>
  </si>
  <si>
    <t>Initiative Paix et Diversité au Sahel (IPAD)</t>
  </si>
  <si>
    <t>CAUTNE0007</t>
  </si>
  <si>
    <t>Saratou Malam Goni</t>
  </si>
  <si>
    <t>Chargée de programme LEFF</t>
  </si>
  <si>
    <t>Saratou,MalamGoni@care,org</t>
  </si>
  <si>
    <t>Zakari Insa</t>
  </si>
  <si>
    <t>Chef de projet</t>
  </si>
  <si>
    <t>Zakari.Insa@care.org    </t>
  </si>
  <si>
    <t>Renforcer les capacités d'au moins 200 femmes au Niger et au Burkina en vue de leur participation dans la consolidation de la paix  et de leur influence pour changer les comportements et changements des acteurs acteurs publics  </t>
  </si>
  <si>
    <t>Le projet intervient dans deux régions : pour le Niger: la région de Tillabéri avec 5 commununes (Namaro, Say, Hamdallaye, Liboré, Tamou); Pour le Burkina, la région de Dori dans deux provinces (Séno et Yagha) au sein de trois communes (Sampelga, Boundoré, Falangountou).</t>
  </si>
  <si>
    <t>les groupes d'impact du projet se situent à deux niveaux : au niveau communautaire : les femmes au sein de 160 organisations et groupements communautaires. Au niveau National et Sous Régional : les femmes leaders issues de 40 réseaux et fédérations.</t>
  </si>
  <si>
    <t>Une etude des effets de l'intervention  du projet interviendra en fin septembre 2017 avec pour objectif de capitaliser leschangements perceptibles, les bonnes pratiques et les leçons apprises en matière de participation inclusive des femmes et des hommes dans la consolidation de la paix pendant la periode d'intervention du projet, ensuite suivra une evaluation finale du projet en fin octobre au Niger et au Burkina ,</t>
  </si>
  <si>
    <t>la mobilisation des beneficiares à travers une approche participative et la responsabilisation des learders communautaires,</t>
  </si>
  <si>
    <t>Evaluation du fonctionnement du contrôle interne du partenaire sur le plan financier et appui dans l'amélioration des insuffisances constatées et dans l'utilisation de checlist de liquidation des dépenses plus adapté.</t>
  </si>
  <si>
    <t>forte implication des femmes dans les instances de prise de decision et de gestion de conflits au niveau local, renforment des capacites sur les procedures de gestion rationnelle des fonds</t>
  </si>
  <si>
    <t>Une intervention centrée sur les communautés pour influencer les niveaux national et sous régional : le projet travaillera avec les groupements féminins et les hommes champions et le Reseau des Femmes Elues du Niger pour démultiplier l'impact sur la participation des femmes dans la gestion de la paix et la vulgarisation des resolutions 1325 et annexes des UN.</t>
  </si>
  <si>
    <t>Travailler avec uns société civile dynamique : les groupements, les réseaux et fédérations MMD du Niger ainsi que leurs homologues du Burkina sont les partenaires clés du projet.</t>
  </si>
  <si>
    <t>Une mise à l'échelle de l'approche Engaging Men: un élément essentiel du projet réside dans le dialogue inclusif entre les femmes leaders et les hommes champions, prêts  à soutenir l'innovation et à s'engager dans des changements transformationnels.</t>
  </si>
  <si>
    <t>Adoption de nouveaux comportements par les populations (hommes et femmes) qui consistent à s'écouter, à dialoguer et à résoudre eux - mêmes les conflits. Ce qui a effet la dimunition des conflits dans les communautés.  </t>
  </si>
  <si>
    <t>Les femmes  participent pleinement  au sein des instances de règlement des conflits en même temps que les hommes et elles expriment leurs points de vue.</t>
  </si>
  <si>
    <t>La leçon apprise : l'engagement et le soutien des autorités et des chefs de village qu ont un leadership au sein de leurs communautés constitue u gage d'implication effective des femmes dans les mécanismes de prévention et gestion des conflits.</t>
  </si>
  <si>
    <t>une forte implication des autorites communales et des services techniques dans l'accompagnement et l'encadrement des acteurs dans la gestions et la resoltuions des conflits dans la zone d'intervention. No data on budget or participant was included beacuase this project is managed from Niger and that data has already been reporeted by Niger</t>
  </si>
  <si>
    <t>l'evaluation à mi-parcour du projet, le rapport narratif et financier du avril juin du projet</t>
  </si>
  <si>
    <t>Programme de Gestion Equitable des Ressources Naturelles et de Renforcement de la Société Civile PHASE 2</t>
  </si>
  <si>
    <t>CDNKNE0092</t>
  </si>
  <si>
    <t>CARE Danmark</t>
  </si>
  <si>
    <t>Government - Denmark</t>
  </si>
  <si>
    <t>ABOUBACAR DJIMRAOU</t>
  </si>
  <si>
    <t>ACD</t>
  </si>
  <si>
    <t>Djimraou,Aboubacar@care,org</t>
  </si>
  <si>
    <t>Souley GARBA</t>
  </si>
  <si>
    <t>Souley.Garba@care.org</t>
  </si>
  <si>
    <t>Contribuer à la promotion dune société civile forte, diversifiée, engagée qui représente et défend les droits et intérêts des pasteurs</t>
  </si>
  <si>
    <t>Le Programme intervient dans quatre régions sur les huit que compte le Niger, mais des actions transversales s'étendent sur 7 régions notemment dans le cadre du plaidoyer qui intègre également des zones transfrontalières au niveau de l'Afrique de l'Ouest principalement au Burkina Faso, Mali et Sénégal à travers le Réseau des organisations pastorales de ces pays.</t>
  </si>
  <si>
    <t>Familles et ménages des pasteurs les plus pauvres et vulnérables composées de femmes et hommes adultes, de jeunes filles et garçons, de jeunes enfants des 2 sexes, dhommes et femmes âgés et de personnes victimes de handicaps physiques et /ou psychiques</t>
  </si>
  <si>
    <t>Bénéficiaires directs: Ce sont les familles et ménages des pasteurs les plus pauvres et vulnérables composées de femmes et hommes adultes, de jeunes filles et garçons, de jeunes enfants des 2 sexes, dhommes et femmes âgés et de personnes victimes de handicaps physiques et /ou psychiques. Il sagit aussi de familles déleveurs qui se déplacent  vers le  Nigéria, le Tchad, le Cameroun,  le Burkina, le Benin et le Togo avec femmes et enfants, victimes dexactions et de tracasseries  de toutes sortes dans leur mobilité et  prises entre les tenailles dune double justice traditionnelle et moderne. Bénéficiaires indirects : Toutes les familles et ménages des pasteurs et agro-pasteurs au Niger et dans lespace CEDEAO qui peuvent jouir des avantages dun plaidoyer abouti.  </t>
  </si>
  <si>
    <t>L'évaluation future de PROGRESII qui est l'évaluation finale intégrera les indicateurs de CARE 2020 notamment les N°2;  19 et 20 relatifs aux domaines d'impact, approche et rôle de CARE. Sa particularité se caractérise par la mesure des indicateurs clés de CARE DANMARK et l'approche outcome mapping adoptée en cours d'exécution du programme sera au centre des mesures de changements induits.</t>
  </si>
  <si>
    <t>le programme n'a pas connu des changements/ajustement dans sa strategie de mise en oeuvre ou au niveau de son document.</t>
  </si>
  <si>
    <t>Partenariat stratégique basé sur la mis en uvre de plan stratégique des partenaires, sur la stratégie de CARE Niger, CARE Sahel et la vision 2020 de CARE plus globalement; les rôles joués par CARE</t>
  </si>
  <si>
    <t>Les alliances stratégiques pour la conduite des actions de plaidoyer; la collecte des évidences;</t>
  </si>
  <si>
    <t>L'engagement de CARE et ses partenaires dans le cadre de PROGRES; l'approche outcome mapping qui permet de suivre plus aisement les changements induit au niveau de chaque partenaire.</t>
  </si>
  <si>
    <t>Les actions de plaidoyer, si réussies, sont de véritables moyens de mobilisation des acteurs à tous les niveaux. Lexemple illustratif est la campagne Sauvons les terres qui a vu la mobilisation des communautés membres et non membres dAREN, des OSC pastorales en coalition, des médias,  des magistrats, des membres de COFO et même le Gouvernemnt dans une certaine mesure à travers les ministres du Domaine public et celui de lEnvironnement ;</t>
  </si>
  <si>
    <t>Changements climatiques : La mobilisation des ministères et des délégués africains autour des initiatives africaines et de la solidarité Sud-Sud dans le cadre du plaidoyer sur les questions de CC est gage de succès surtout avec linfluence des élections americaines et larrivée de TRUMP au pouvoir.</t>
  </si>
  <si>
    <t>linstitutionnalisation de la rencontre de haut niveau sur la transhumance transfrontalière, ladoption du PRIDEC, lélaboration du PREDIP, la mise en place des cadres de concertation transfrontaliers, la participation à la formulation du PRIASAN et du PCD TASAN contribuent à la sécurisation de la mobilité pastorale même si le nombre de conflits liés à la transhumance dans les pays côtiers na pas encore nettement diminué.</t>
  </si>
  <si>
    <t>No data on budget or participant was included beacuase this project is managed from Niger and that data has already been reporeted by Niger</t>
  </si>
  <si>
    <t>Burundi</t>
  </si>
  <si>
    <t>Africa - East and Central</t>
  </si>
  <si>
    <t>Promoting Opportunities for Women's economic Emporment  In Rural Africa (POWER Africa)</t>
  </si>
  <si>
    <t>CA305</t>
  </si>
  <si>
    <t>UWUMUREMYI Laurent</t>
  </si>
  <si>
    <t>Directeur de CARE Burundi</t>
  </si>
  <si>
    <t>Laurent.Uwumuremyi@care.org</t>
  </si>
  <si>
    <t>NKURUNZIZA Nicedore</t>
  </si>
  <si>
    <t>Economic Empowerment and VSLA Technical Advisor</t>
  </si>
  <si>
    <t>Le Projet POWER- Africa  vise à accroître l'inclusion financière au Burundi à travers l’approche  VSLA construit  autour des groupes d’épargne et crédit et  sera une voie pour l'inclusion financière informelle et formelle</t>
  </si>
  <si>
    <t>Le projet Power-Africa intervient dans 7 provinces (Bujumbura, Gitega, Kayanza, Kirundo,Muyinga,Ngozi,  Rumonge) et dans 27 communes.</t>
  </si>
  <si>
    <t>Le groupe d'impact de Power-Africa est composé de 75 000 jeunes filles de 14 a 22 ans  et 25 000  femmes.</t>
  </si>
  <si>
    <t>Les participants directs ce sont les jeunes filles adolescentes et les femmes. Quant aux participants indirects ce sont des membres des ménages dont sont issus les participants directs. Pour y arriver , il faut multiplier par 5.1 qui est la moyenne nationale des membres du ménage. Pour distinguer les participants femmes et hommes , nous avons tenu compte des réultats du recensement national à raison de 52 % femmes et 48% Hommes.</t>
  </si>
  <si>
    <t>L'evaluation se basera sur des indicatteurs du programme de CARE Burundi.</t>
  </si>
  <si>
    <t>L'innovation est liée à la connexion des groupes communautaires d'épargne et crédit aux institutions de micro-finance pour accroître le capital des membres des personnes vulnérables.</t>
  </si>
  <si>
    <t>Les solutions testées sont liées à l'utilisation du mobile banking au niveau communautaire dans la connexion des groupes aux IMFs.</t>
  </si>
  <si>
    <t>Octroi des subventions, renforcement des capacités sur des thématiques diverses telles que:  les outils de connexion  et  l'entreprenariat.</t>
  </si>
  <si>
    <t>La connexion  des groupes  VSLA aux services financiers formels a commence  alors wuelle n'etait pas palanifiee pour donner acces aux finances pour les plus vulnerabless</t>
  </si>
  <si>
    <t>Reseautage des agents encadreurs des VSLA au niveau de chaque commune</t>
  </si>
  <si>
    <t>L'implication des hommes et garçons pour l'empowerment économique des femmes et filles.</t>
  </si>
  <si>
    <t>La connexion  des groupes  VSLA aux services financiers formels et adaptation des produits financiers aux groupes VSLAs</t>
  </si>
  <si>
    <t>La mise en réseau des agents encadreurs des VSLAs au niveau communal a réduit sensiblement le coût du modèle VSLAs (diminution des staffs rémunérés) et une appropriation du modèle par les filles. Cela a permis aussi aux VSLAs d'être plus efficaces à cause du suivi de proximité des groupes. C'est une stratégie de durabilité parce qu'ils vont continuer les VSLAs après le projet et vont constituer des réseaux forts de plaidoyer.</t>
  </si>
  <si>
    <t>La connexion des VSLAs aux IMFs nécessite une mise en place des produits adaptés aux groupes d'impacts (aux populations vulnérables qui dorénavant n'avait pas à ces institutions bancaires).</t>
  </si>
  <si>
    <t>Addressing roots causes/Nyubahiriza</t>
  </si>
  <si>
    <t>NL195</t>
  </si>
  <si>
    <t>UWUMUREMYI LAURENT</t>
  </si>
  <si>
    <t>Country Director</t>
  </si>
  <si>
    <t>NDAYIRAGIJE  REMY</t>
  </si>
  <si>
    <t>Team Leader_Nyubahiriza &amp; OSC</t>
  </si>
  <si>
    <t>Remy.Ndayiragije@care.org</t>
  </si>
  <si>
    <t>Contribuer à la réduction de la violence, l'instabilité et à la migration forcée auxquelles font face les Burundais.</t>
  </si>
  <si>
    <t>Le projet Nyubahiriza est exécuté en consortium de 3 ONGs internationales (OXFAM, Impunity Watch et CARE). CARE intervient dans la province de muyinga et dans les communes de Buhinyuza, Muyinga, Gasorwe, Butihinda, Giteranyi</t>
  </si>
  <si>
    <t>Le groupe d'impact du projet est les femmes, les jeunes(garçons et filles), les jeunes affiliés aux partis politiques</t>
  </si>
  <si>
    <t>Pour les bénéficiaires directs, nous avons pris les cibles du projet par activité et nous avons divisé par 3 provinces. Pour les bénéficiaires indirects, il y a déjà des cibles dans le document de projet, nous avons divisé par 3 provinces pour avoir les bénéficiaires de chaque province. Le projet est encore nouveau, il n'y a pas eu des cibles atteints pendant l'année en cours</t>
  </si>
  <si>
    <t>Le projet est à la phase de démarrage</t>
  </si>
  <si>
    <t>On n'a pas encore testé des innovations</t>
  </si>
  <si>
    <t>i) The project/initiative did NOT work with gender roles and relations</t>
  </si>
  <si>
    <t>CARE est train de mettre en place les structures de base Communautaire</t>
  </si>
  <si>
    <t>L'approche clubs de paix</t>
  </si>
  <si>
    <t>L'approche engagement des hommes - abatangamuco</t>
  </si>
  <si>
    <t>Le projet Nyubahiriza est à la phase de démarrage. Il est en train de négocier les contrats de partenariats et de mettre en place les structures communautaires et explication du projet à l'administration.</t>
  </si>
  <si>
    <t>Every Voice Counts</t>
  </si>
  <si>
    <t>NL 173</t>
  </si>
  <si>
    <t>Laurent.uwumuremyi@care.org</t>
  </si>
  <si>
    <t>CIVUZE THADDEE</t>
  </si>
  <si>
    <t>Civuze.Thaddee@care.org</t>
  </si>
  <si>
    <t>D’ici 2020, la voix et l'autonomisation de 25.600 femmes et filles vulnérables est augmentée pour atteindre le processus de gouvernance plus inclusif et efficace en provinces de Gitega (Giheta, Gitega, Bukirasazi), Muyinga (Gasorwe, Giteranyi) et Kirundo (Vumbi, Kirundo)</t>
  </si>
  <si>
    <t>Le projet est implaté dans 3 provinces du pays qui sont:Gitega ( communes :Gitega,Giheta,Bukirasazi);Muyinga(communes:Muyinga,Giteranyi et Gasorwe);Kirundo (Communes:Kirundo et Vumbi).Au total 80 collines sont couvertes par le projet.</t>
  </si>
  <si>
    <t>Les femmes et  filles vulnerables</t>
  </si>
  <si>
    <t>Le projet a ciblé 25600 filles et femmes vulnerables comme participants directs a raison de 320 filles et femmes vulnérables par colline. Le projet intervient sur les cibles des projets GEWEP et POWER AFRICA, raison pour laquelle les lignes 32 et 33 n'ont pas ete completé pour éviter le double comptage.</t>
  </si>
  <si>
    <t>Le projet EVC organise des activites pour influencer le ministere du développement communal  à intégrer dans les plans et budget annuels des communes , les plans d'action issus des cartes de scores communautaires visant à améliorer les droits des femmes et filles</t>
  </si>
  <si>
    <t>Octroi des subventions 
Renforcement des capacites organisationelles et institutionelles
Appui institutionnel</t>
  </si>
  <si>
    <t>Aucun changement n'a ete opere au sein du projet</t>
  </si>
  <si>
    <t>L'approche  cartes de scores communautaires</t>
  </si>
  <si>
    <t>Lecons apprises:</t>
  </si>
  <si>
    <t>Pratiques prometeuses:
-Les réunions de sensibilisation communautaire sur les droits des femmes devraient etre menees séparemment avec celles des hommes au depart et mettre les femmes et les hommes après pour favoriser la libre expression des femmes et des hommes. Les réunions ensemble doivent être aussi faites sur consensus des deux groupes.
-L'approche rôle modèle est une approche qu'on devrait promouvoir/repliquer à grande échelle pour la multiplication d'impact
-L'implication des membres communautaires dans la facilitation des cartes de scores communautaires permet l'appropriation des interventions par la communauté.</t>
  </si>
  <si>
    <t>Défis ou apprentissage:
Le contexte politique actuel a eu des implication sur le démarrage des activités dans la province de Kirundo frontalière avec le Rwanda. Le projet a démarré avec un retard de 9 mois dans cette province.</t>
  </si>
  <si>
    <t>Le projet est implanté dans 3 provinces du pays qui sont:Gitega ( communes :Gitega,Giheta,Bukirasazi);Muyinga(communes:Muyinga,Giteranyi et Gasorwe);Kirundo (Communes:Kirundo et Vumbi).Au total 80 collines sont couvertes par le projet et c'est une zone d'intervention des autres projets en cours .Les participants directs sont 25600 femme et filles vulnerables qui sont dans les groupes de solidarites mises en place par les autres projets comme POWER AFRICA et GEWEP.Raison pour laquelle on n'a pas mis dans la partie participants directs pour eviter des doublons.</t>
  </si>
  <si>
    <t>1.Theorie de changement de EVC
2.Rapport de l'étude de base
3.Rapport annuel</t>
  </si>
  <si>
    <t>NARATEYINTAMBWE "I MADE A STEP FORWARD"</t>
  </si>
  <si>
    <t>NL798</t>
  </si>
  <si>
    <t>Laurent UWUMUREMYI</t>
  </si>
  <si>
    <t>NINON NDAYIKENGURUKIYE</t>
  </si>
  <si>
    <t>Communications and Advocacy Advisor</t>
  </si>
  <si>
    <t>Ninon.Ndayikengurukiye@care.org</t>
  </si>
  <si>
    <t>Le projet a été mis en œuvre dans 6 provinces du Burundi ( Gitega, Ngozi, Kayanza, Muyinga, Bujumbura Mairie et Rumonge)</t>
  </si>
  <si>
    <t>Le projet était mis en œuvre dans les 6 provinces de la zone d'action de GEWEP  ( Provinces Gitega, Ngozi, Kayanza, Muyinga, Kirundo et Bujumbura rural) et dans deux autres provinces ( Mairie de Bujumbura et Rumonge)</t>
  </si>
  <si>
    <t>Nous avons appris pendant la mise en œuvre du projet qu'on ne peut pas promouvoir l'entreprenariat avec les femmes sans travailler sur les barrières socio-culturelles. Les hommes (les maris des femmes) bloquent les femmes à développer l'entreprenariat, ce qui causent beaucoup de conflit et déteriore les relations hommes-femmes. Nous avons organisé des formations sur le genre transformatif à l'endroit des couples et nous avons eu des résultats extraordinaires à la fin du projet. Cette activité n'était pas prévu dans le budget, nous avons exprimé sa nécessité et le bailleur nous a accordé un budget supplémentaire pour conduire l'activité.</t>
  </si>
  <si>
    <t>L'approche des rôles modèles est une solution pour faire l'extension de NAWE NUZE à grande l'échelle. Avec un seul jour de road show, un minimun de 2 VSLA ont été créés.  Les médias, les organisations féminines, les autorités publiques et les représentants de la communauté ont été impliqués</t>
  </si>
  <si>
    <t>La subvention des activités de deux organisations partenaires de mise en œuvre et renforcement des capacités sur la gestion financière.</t>
  </si>
  <si>
    <t>Le lobbying et plaidoyer ne faisaient pas partie des activités ciblées par le projet, mais cela a été faite suite aux réflexions faites avec les partenaires et les femmes modèles.</t>
  </si>
  <si>
    <t>L'approche VSLA</t>
  </si>
  <si>
    <t>La participation communautaire</t>
  </si>
  <si>
    <t>L'implication de la communauté, les organisations féminines, les IMFs, les autorités locales dans le choix des femmes rôles modèles était une excellente idée  car cela nous a permis d'obtenir les profils qui reflètent le visage réel des femmes entrepreneuses burundaises. Nous avons pu avoir une jeune fille, les divorcées, les veuve, femmes mariées, mère célibataire</t>
  </si>
  <si>
    <t>L'utilisation des panneaux publicitaires avec des photos des femmes rôles modèles ont été aussi un succès car dans chaque place, il y a eu au moins 2 nouveau VSLA crées</t>
  </si>
  <si>
    <t>L'approche rôles modèles a été très innovatrice, elle a pu rappeler aux femmes entrepreneuses leur rôle dans la communauté d'aider les autres femmes à devenir des entrepreneurs. Un mois après leur élection, chaque modèle avait au minimum 40 femmes qu'elles entraînaient/coaching.</t>
  </si>
  <si>
    <t>Programme Conjoint d'amélioration de la Santé sexuelle et reproductive des adolescents et des jeunes: MENYUMENYESHE</t>
  </si>
  <si>
    <t>NL199</t>
  </si>
  <si>
    <t>Jacqueline NINTUNZE</t>
  </si>
  <si>
    <t>Jacqueline.Nintunze@care.org</t>
  </si>
  <si>
    <t>Les adolescents et  jeunes de 10-24 ans du Burundi sont autonomes (empowered) et jouissent d'une bonne santé sexuelle et reproductive</t>
  </si>
  <si>
    <t>La zone d'intervention de CARE s'etend sur 65 communes de 8 provinces: Bujumbura Mairie, Bujumbura Rural, Bubanza, Cibitoke, Gitega, Kayanza, Muyinga et Kirundo</t>
  </si>
  <si>
    <t>Les adolescents et les  jeunes  scolarisés et non scolarisés de 10-24 ans</t>
  </si>
  <si>
    <t>Les participants directs  ont ete calculés sur base des personnes cibles qui participent directement lors de nos activites: ils incluent les enseignants; les prestataires de services de sante, les parents, les leaders ad,inistratifs, communautaires, leaders religieux mais surtout les jeunes pairs educateurs de 10-24 ans. Pour calculer les participants indirects, nous nous referons au recessement national qui montrent que la taille du menage est de 5.1 et nous avons suppose qu'une personne touches directement peut toucher au moins les membres de son menage. Par après, pour calculer le pourcentage Homme/Femmes , nous avons utilise le pourecentage de la population generale du burundi ou 52% sont des femmes et 48% sont des hommes</t>
  </si>
  <si>
    <t>Approche de Reseautage socio-communautaire (Centre de Sante amis des Jeunes, les ecoles au tour, la communaute et l'administration) pour ameliorer la sante sexuelle et reproductive des jeunes: … L'autre innovation c'est la frabrication des serviettes hygieniques lavables et reutilisables  pour la periode menstruelle des jeunes filles des clubs scolaires.</t>
  </si>
  <si>
    <t>Reseautage socio communautaire et Serviette hygienique dans les ecoles</t>
  </si>
  <si>
    <t>Renforcement des capacités institutionnelles et fonctionnelles  en terme de foctionnement des bureaux des organisations partenaires et des formations adaptées en fonction des besoins pour l'implementation du projet</t>
  </si>
  <si>
    <t>Les association VSLA comme porte d'entrée pour renforcer les jeunes en Santé sexuelle et reproductive des adolescents et des jeunes</t>
  </si>
  <si>
    <t xml:space="preserve">Deux approches  ''Le Monde Commence par Moi'' et SASA, </t>
  </si>
  <si>
    <t>Le Réseautage Socio-Communautaire (le réseau école, communauté et centre de santé Amis des Jeunes)</t>
  </si>
  <si>
    <t>Si tu veux avoir des changements dans l'adoption du comporment sexuel et reproductif responsable, on doit former un réseau des différents acteurs pour créer un espace de d'échange/discussion entre les adultes et les jeunes. Cela pemet de casser les tabous, des créer des interactions et d'adresser les normes socio-culturelles autour de la santé sexuelle et reproductive chez les jeunes.</t>
  </si>
  <si>
    <t>L'implication des Ministères techniques, des organisations nationales et internationales et les jeunes est un élement crucial pour la réussite et la durabilité des interventions dans le domaine aussi sensible  de la promotion de la santé sexuelle et reproductive des jeunes.</t>
  </si>
  <si>
    <t>Si on veut que les jeunes participent avec intérêt dans les activités de santé sexuelle et reproductive, on doit utiliser des stratégies et des outils attractifs (théatres interactifs, musiques, SMS, ....)</t>
  </si>
  <si>
    <t>TERA INTAMBWE project (Kirundi for “Go ahead”)</t>
  </si>
  <si>
    <t>Josée Ntabahungu</t>
  </si>
  <si>
    <t>Josee.Ntabahungu@care.org</t>
  </si>
  <si>
    <t>Le projet TERA INTAMBWE permettra à 10 000 femmes entrepreneuses d'atteindre leur autonomisation économique et d'étendre leurs business.</t>
  </si>
  <si>
    <t>250 femmes (18-49 ans) dont 50% ne sont pas impliquées dans les projet de CARE), qui répondent aux critères, ont été sélectionnées pour un paquet maximun de services.      9750 femmes qui sont des participants dans les projets CARE inexistants, ont été identifiées à partir d'un groupe d'impact plus large et comprend: les femmes extrêmement pauvres et les femmes pauvres du milieu rurales des ménages économiquement marginalisés, ayant moins de 0,5 hectares de terres et sans accès ni contrôle d'autres sources de revenus.</t>
  </si>
  <si>
    <t>Pour les participants directs, les membres sont déjà identifiés dans le document de projet, ce sont les participants dans les VSLA. Les proportions par sexe sont aussi connues. Pour les participants indirects, nous avons multipliés les membres par la taille du ménage donc la moyenne (5.1).</t>
  </si>
  <si>
    <t>L'évaluation du projet Terintambwe était plus qualitative. On a recueilli des histoires des changements significatifs des femmes entrepreuneuses et de leurs maris</t>
  </si>
  <si>
    <t>Au cours de la mise en œuvre du projet, les femmes ont exprimé les violences qu'elles subissent de la part de leurs maris et leurs inquiétudes de pouvoir avancer dans leur business sans sensibiliser leurs maris sur les normes de genre, les violences basées sur le genre, etc. Nous avons exprimé ces inquiétudes auprès du bailleur, il a acdepté de nous accordé un budget suplémentaire et nous avons alors intégré des activités sur le genre transformatif, les VBGs, etc. c'était des activités de formations et d'échanges pour les couples dont la femme est entrepreuneuse. A la fin, les hommes soutenaiet et appréciaient les entreprises de leurs femmes et les violences avaient sensiblement diminués;</t>
  </si>
  <si>
    <t>La connection des participantes aux IMFs et aux banques</t>
  </si>
  <si>
    <t>Formation par pair</t>
  </si>
  <si>
    <t>On ne peut pas espérer avoir des résultats dans le domaine de l'autonomisation économique de la femme sans impliquer leurs maris. Ils constituent des fois des blocages au développement de l'entreprenariat de leurs femmes à cause des normes socio-culturelles qui disent que quand une femme a plus d'argent que son mari, elle ne va plus le respecter, elle va se méconduire, etc.</t>
  </si>
  <si>
    <t>Nous avons appris que le renforcement des capacités entre pairs par le coaching et le mentorat est primordial pour renforcer l'esprit d'entreprise des femmes. Toutefois, le projet ne disposait pas d'un budget suffisant pour accroître l'échange d'expériences entre les 250 femmes ciblées comme coach entre elles; entre les 9750 femmes et entre  250 femmes et 9750 femmes.</t>
  </si>
  <si>
    <t>Le projet de TERA INTAMBWE aurait dû alloué plus de budget et du temps pour atteindre un cible important, compte tenu des besoins exprimés par les femmes, de la pertinence en termes d'autonomisation économique des femmes et de développement de l'esprit de l'entreprenariat féminin</t>
  </si>
  <si>
    <t>FC N0 161</t>
  </si>
  <si>
    <t>Uwumuremyi Laurent</t>
  </si>
  <si>
    <t>Ntabahungu Josee</t>
  </si>
  <si>
    <t>By 2019, 331,825 women  and female youth in Ngozi, Kayanza, Kirundo, Muyinga, Gitega and Bujumbura provinces have improved the realization of their rights to education, health, economic activity, security and participation in decision making</t>
  </si>
  <si>
    <t>Burundi, Province:  Rumonge (Dans les communes de Muhuta et Bugarama) et provinces de Bujumbura rural, Gitega, Ngozi, Muyinga, Kirundo, Kayanza dans toutes les communes. En tout c'est 54 communes.</t>
  </si>
  <si>
    <t>331,825 femmes et jeunes filles don’t 298 643 femmes et 33 182 jeunes filles</t>
  </si>
  <si>
    <t>Connexion des VSLAs au institutions financieres et mise en place des usines de transformation agro alimentaire avec les femmes membres des VSLAs.</t>
  </si>
  <si>
    <t>La mise a l'echelle de l'approche VSLAs par des ONGI, Onusienne et associations locales au niveau national pour l'autonomisation de la femme.</t>
  </si>
  <si>
    <t>Renforcement sur la gestion financiere, la redevabilite, la recolte des donnees sur terrain.</t>
  </si>
  <si>
    <t>Associations villageoises (Nawe nuze)</t>
  </si>
  <si>
    <t>L'engagement des hommes (Abatangamuco)</t>
  </si>
  <si>
    <t>Carte de score</t>
  </si>
  <si>
    <t>Si tu veux atteindre l'empowerment de la femme et la lutte contre les VBGs, l'engagement des hommes et des leaders d'opinion est un atout important pour l'atteinte des résultats durables</t>
  </si>
  <si>
    <t>Si tu veux promouvoir l'épanouissement de la femme, il faut travailler sur l'autonomisation économique comme porte d'entrée de tout autre changement qu'on cherche autour de la femme. Ce n'est qu'après avoir satisfait aux besoins primaires, qu'une femme peut aspirer aux besoins secondaires et tertiaires. L'autonomisation économique crée un espace pour la femme pour réclamer ses droits et refuser certaines injustices autour d'elle et lui confert un statut social considérable. Leadership, self estime</t>
  </si>
  <si>
    <t>Un rapport semestriel est partage avec les bailleurs ainsi que des histoires de changement, des indicateurs d'avancement des activites sont mesure et reportes dans le Result framework mais certains indicateurs d'impact seront mesure avec l'evaluation a mi parcours et l'evalauation finale.</t>
  </si>
  <si>
    <t>Renforcement des Organisations de la Société Civile pour accroître leur contribution au processus de gouvernance et au développement</t>
  </si>
  <si>
    <t>NO105</t>
  </si>
  <si>
    <t>NDAYIRAGIJE Rémy</t>
  </si>
  <si>
    <t>Consortium Team Leader</t>
  </si>
  <si>
    <t>Directeur Pays</t>
  </si>
  <si>
    <t>Les OSC burundaises sont des partenaires efficaces et reconnues en matière de Plaidoyer et lobbying dans le domaine de la bonne gouvernance, des droits de l'Homme et dans la livraison de services aux communautés</t>
  </si>
  <si>
    <t>Le projet est mis en œuvre dans toutes les 18 provinces du pays mais CARE intervient dans 7 provinces qui sont Kayanza, Ngozi, Muyinga, Kirundo, Mwaro, Muramvya et Gitega</t>
  </si>
  <si>
    <t>Le groupe d'impact est constitué des organisations de la société civile</t>
  </si>
  <si>
    <t>Les participants directs sont des membres des structures des organisations de la société civile au Burundi enregistrées dans la base de données du Projet OSCAR; les participants indirects sont la société civile au sens large; les autorités locales, provinciales et nationales, les communautés touchées par les projets de développement, citoyens du Burundi affectés par les effets du plaidoyer</t>
  </si>
  <si>
    <t>Identification des besoins en renforcement de capacites</t>
  </si>
  <si>
    <t>Le projet a demarre au mois de decembre 2016 et donc coincidait avec le 2e semestre de l'annee fiscale en cours. Ce semestre a donc ete consacre aux diverses activites de demarrage et identification des besoins des organisations de la societe civile.</t>
  </si>
  <si>
    <t>cadre logique, Description de l'action</t>
  </si>
  <si>
    <t>Le projet INTORE 2</t>
  </si>
  <si>
    <t>AT573</t>
  </si>
  <si>
    <t>Domitille NTACOBAKINVUNA</t>
  </si>
  <si>
    <t>Domitille.Ntacobakimvuna@care.org</t>
  </si>
  <si>
    <t>Contribuer à l'établissement d'un environnement éducatif et reacréatif pour les enfants orphelins et vulnérables</t>
  </si>
  <si>
    <t>Le projet Intore 2 travaille es provinces de Bujumbura Mairie (les communes de Muha et Ntahangwa) et dans la province Gitega (les communes de Giheta et Itaba)</t>
  </si>
  <si>
    <t>Les enfants orphelins et vulnérables et autres enfants non accompagnés</t>
  </si>
  <si>
    <t>Les participants directs (4000) et indirects (80000) sont déjà précisés dans le document de projet.</t>
  </si>
  <si>
    <t>Encadrement des jeunes par des activités socio-culturelles et sportives</t>
  </si>
  <si>
    <t>L'approche aménagement des kitchen garden dans les ménages urbains est une innovation qui permet à ces ménages de valoriser les espaces des parcelles et le matériel getable ou usager pour produire des légumes. c'est aussi une stratégie qui permet aux ménages d'équilibrer l'alimentation. C'est un apprentissage car ces ménages ne savaient que cela était possible.</t>
  </si>
  <si>
    <t>L'implication des services techniques étatiques tels que les enseignants, les techniciens agronomes dans la mise en oeuvre des activités du projet</t>
  </si>
  <si>
    <t>La sensibilisation des jeunes à travers les activités socio-culturelles et sportives</t>
  </si>
  <si>
    <t>La stratégie d'utiliser les activités socio-culturelles et sportives dans la sensibilisation des jeunes permet de toucher beaucoup de personnes et de transmettre les messages très faciliement. C'est une stratégie très adaptée à la communauté rurale.</t>
  </si>
  <si>
    <t>L'approche kitchnen garden est très adaptée dans les villes où il n'y a pas des espaces cultivables et est en train de pemettre aux ménages des élèves du milieu urbain de produire des légumes pour équilibrer l'alimentation.</t>
  </si>
  <si>
    <t>Grand Challenges - Women &amp; Girls at the Center of Development : A Win-Win for Gender, Agriculture and Nutrition: Testing a Gender-Transformative Approach from Asia in Africa</t>
  </si>
  <si>
    <t>US1M2</t>
  </si>
  <si>
    <t>Domitille NTACOBAKIMVUNA</t>
  </si>
  <si>
    <t>Domitille.Ntacobakinvuna@care.org</t>
  </si>
  <si>
    <t>Adapter une approche prouvée de genre transformative (EKATA) pour améliorer le bien-être économique, la sécurité alimentaire et la nutrition chez les femmes, petits exploitants agricoles au Burundi.                                                                                                                                                                                                                                                                                     Evaluer les différences dans les résultats et les processus de l’approche genre transformative EKATA comparée à une approche standard Genre Léger dans les domaines de l’équité genre, la sécurité alimentaire et le bien-être économique                                                                                                                                                                             Déterminer les coûts et les capacités requises pour produire des changements durables dans l’équité genre et l’amélioration des résultats sectoriels à travers une approche transformative du genre en comparaison avec l'approche Genre Léger.</t>
  </si>
  <si>
    <t>Le projet Win Win est un projet de recherche qui est en train de tester la valeur ajouté d'une approche genre transformatif dans une intervention agricole. Il est exécuté dan 2 provinces du Burundi à savoir la province de Kirundo (dans 3 communes : Kirundo, Bwambarangwe et Ntega) ;  et celle de Gitega dans les communes de Bugendana, Mutaho et Buraza</t>
  </si>
  <si>
    <t>Les femmes membres des VSLAs et leurs maris</t>
  </si>
  <si>
    <t>Le projet Win Win est un projet de recherche qui est en train de tester la valeur ajoutée d'une approche genre transformatif (EKATA) dans une intervention agricole en comparant 3 traitements. 12 collines avec des interventions intensives de genre transformatif, 12 collines avec des interventions genre modéré (Gender light), 12 collines d'observations sans aucune intervention en genre</t>
  </si>
  <si>
    <t>Win Win travaille avec des institutions de recherche : la Faculté d'agronomie de l'université du Burundi, Africa Gender Center de Nairobi, les partenaires locaux, CARE Bangladesh. Le staff du Ministère du Genre est aussi impliqué pour favoriser l'appropriation des résultats</t>
  </si>
  <si>
    <t>Renforcement des capacités institutionnelles et fonctionnelles  en terme de foctionnement des bureaux des organisations partenaires et des formations adaptées en fonction des besoins  pour l'implementation du projet</t>
  </si>
  <si>
    <t>L'approche genre transformatif  ''EKATA" : Une approche de reflexion critique pour éveiller la conscience des femmes à identifier les problèmes, à faire des plans d'actions et à nouer des alliances pour changer leur situation. Nous avons combiné à l'approche EKATA , L'approche ''Engagement des hommes" qui a ciblé les hommes qui commettent les violences pour défier la masculinité, les normes socio-culturelles et devenir des agents de changement. L'approche abatangamuco qui utilise les histoires de vie personnelles pour le changement de comportement des autres hommes.</t>
  </si>
  <si>
    <t>L'approche FARN "Foyer d'Apprentissage et de Réhabilitation Nutritionnelle" pour les mamans ayant des enfants malnoutris. C'est une approche pour renforcer la capacités des mères sur la nutrition des enfants à base des aliments locaux</t>
  </si>
  <si>
    <t>L'approche Farm Field School (FFS) : Les champs écoles pour les femmes productrices de riz et la spécialisation dans la production des semences de riz.</t>
  </si>
  <si>
    <t>Les interventions qui ciblent les femmes doivent impérativement avoir une dose d'actions d'implication des hommes pour avoir des changements durables chez les femmes. Nous avons appris par exemple que les femmes qui sont dans les VSLAs quand leurs maris ne sont pas d'accord ou qui violentent souvent leurs femmes, elles vont continuer à participer dans les VSLAs à cause du soutien émotionnel du groupe mais ne peuvent pas aller plus loin avec les activités économiques.  Il faut prévoir des séances d'explication du projet à leurs maris et d'autres sur le genre transformatif et sur les VBGs</t>
  </si>
  <si>
    <t>Cibler explicitement les hommes qui commettent des violences envers leurs femmes dans les séances de transformation de genre est une stratégie efficace pour impulser le changement chez ces hommes donc pour atténuer les violences faites aux femmes.</t>
  </si>
  <si>
    <t>Le gardiennage de petits enfants pemet aux jeunes femmes du milieu rural de participer dans les activités de développement. La plupart d'intervenants ne ciblent pas ces femmes dans les formations car il est difficile de faciliter la formation quand les enfants pleurent, veulent dormir, etc. Elles sont donc victimes alors qu'elles sont encore plus actives. Lors d'une formation qque nous avons dispensées à l'endroit des facilitatrices EKATA, elles ont mis en place une stratégie consensuelle de recruter une gardienne des enfants. Elles ont mis ensemble de petites contributions pour la payer.</t>
  </si>
  <si>
    <t>Le rapport de l'étude de base                                                                                                                                                                                                                                                                                                                                                                                              Win Win factsheet                                                                                                                                                                                                                                                                                                                                                                                                                                                                                                                                                                                                                                                                 Rapport annuel</t>
  </si>
  <si>
    <t>ISHAKA II: A Promising Innovation for Girls’ Social and Economic   Empowerment “ Courage pour le future”</t>
  </si>
  <si>
    <t>Tim and Debbie Kiss/Oliver Kiss Endowment</t>
  </si>
  <si>
    <t>Gestionnaire de Power-Africa Burundi</t>
  </si>
  <si>
    <t>Nicedore.Nkurunziza@care.org</t>
  </si>
  <si>
    <t>Contribuer à empowerment (social, économique) de 1500 filles adolescentes (âgées de 14 à 18 ans) dans les zones urbaines et rurales de Bujumbura et Gitega.</t>
  </si>
  <si>
    <t>Le projet est mis en œuvre en Mairie de Bujumbura dans les trois communes Mukaza, Muha et Ntahangwa, dans 6 zones urbaines (anciennement des communes urbaines) : Buyenzi, Buterere, Cibitoke, Gihosha, Kinama et Rohero), et en province de Gitega dans 2 commune (Gitega, Giheta et Makebuko)</t>
  </si>
  <si>
    <t>Jeunes filles vulnérables âgées de14 à 24 ans</t>
  </si>
  <si>
    <t>Le projet a participé au test d'une phase pilote d'inclusion financiere à travers un partenariat entre CARE et une banque (Kenyan Commercial Bank)</t>
  </si>
  <si>
    <t>Les associations villageoises (VSLA)</t>
  </si>
  <si>
    <t>Investir dans les adolescentes est le meilleur moyen de développer un pays. CARE International a organisé une compétition de femmes entrepreneurs rôles modèles. Ces femmes ont été élus par les femmes elles-mêmes et la majorité des gagnantes étaient celles qui avaient participé dans les VSLA depuis un âge relativement jeunes. Elles sont plus innovatrices et dynamiques en matière d’entreprenariat.</t>
  </si>
  <si>
    <t>La majorité des problèmes auxquels font face les filles est les iniquités genre, des grossesses non désirées dus à des abus, l’impossibilité pour les filles d’être propriétaire de biens et le mariage précoce. Pour assurer l’empowerment économique, la méthodologie VSLA doit inclure des activités liées à la transformation des relations de genre.</t>
  </si>
  <si>
    <t>Formation et accompagnement des partenaires de la FAO sur l'approche VSLA</t>
  </si>
  <si>
    <t>US1RL</t>
  </si>
  <si>
    <t>Economic Empowerment and VSLA Tchnical Advisor</t>
  </si>
  <si>
    <t>NYABENDA Tite</t>
  </si>
  <si>
    <t>Gestionnaire du projet avec la FAO</t>
  </si>
  <si>
    <t>Tite.Nyabenda@care.org</t>
  </si>
  <si>
    <t>Le projet a pour objectif de renforcer les moyens d'existence et la résilience des communautés à travers l'amélioration de la disponibilité et accessibilité à une alimentation régulière diversifiée ainsi qu'à travers un réseau d'organisations locales dynamiques, solidaires  et responsables vis à vis de l'environnement.</t>
  </si>
  <si>
    <t>Le projet intervient dans 5 provinces (Kirundo, Muyinga, Karusi, Makamba et Rutana).</t>
  </si>
  <si>
    <t>Le groupe d'impact du projet est composé de 2500 ménages faisant parties de 100 groupes VSLA encadrés par 7 partenaires de mise en œuvre du projet PRO-ACT.</t>
  </si>
  <si>
    <t>La gestion du projet est faite par la FAO d'où toutes les études sont planifiées et réalisées par cette dernière. CARE fourni un appui dans la formation et l'accompagnement des partenaires sur la méthodologie VSLA.</t>
  </si>
  <si>
    <t>L'innovation est liée à la méthodologie VSLA dans les programmes de la FAO.</t>
  </si>
  <si>
    <t>Les solutions testées sont liées à l'utilisation de l'approche VSLA pour financer le domaine agricole dans la communauté.</t>
  </si>
  <si>
    <t>CARE a signé le protocole d'accort pour renforcer les capacités des partenaires de la FAO sur l'approche VSLA et l'outil MIS pour le suivi évaluation des groupes.</t>
  </si>
  <si>
    <t>Formation des facilitateurs communautaires des groupements sur l'approche VSLA</t>
  </si>
  <si>
    <t>Eveiller la sensibilité des partenaires de mise en œuvre des projets de la FAO sur le genre.</t>
  </si>
  <si>
    <t>Utilisation de l'approche rôle-modèle pour eveiller la conscience des membres des VSLAs sur la performance du modèle VSLA dans l'autonomisation économique des ménages.</t>
  </si>
  <si>
    <t>Utilisation de l'approche rôle-modèle est prometteur si on veut provoquer un changement rapide ou une adoption d'une bonne pratique par la communauté.</t>
  </si>
  <si>
    <t>Les témoignages des succès enregistrés par les membres dans l'exercice des activités génératrices des revenus (AGRs) encourage les autres membres réticents à pendre le risque de crédit pour s'engager à exercer les AGRs</t>
  </si>
  <si>
    <t>Le projet PRO-ACT/FAO a pris fin ce 30 juin 2017 et nous attendons un renouvellement du protocile d'accord.</t>
  </si>
  <si>
    <t>Wottro research project: Young Burundians tactil agency regarding Sexual relations and decision making</t>
  </si>
  <si>
    <t>US1XF</t>
  </si>
  <si>
    <t>Dutch research Council(NOW-WOTTRO)</t>
  </si>
  <si>
    <t>Generer une connaissance approfondie sur la facon dont les structures  de pouvoir et les processus sociaux inhibent ou permettent l'interiorisation et l'application des connaissances et competences en Sante Sexuelle et Reproductive pour les jeunes burundais. Transformer ces resultats en strategies pour renforcer l'actuel module d'edcation sur la Sante Sexuelle et Reproductive des Adolescents et Jeunes.</t>
  </si>
  <si>
    <t>Le projet est executé en consortium avec l'Universite d'Amsterdam, en tant que lead, Universite de MAKERERE/UGANDA, Rutgers et CARE. Le projet se focalisera sur 3provinces de la zone d'action du programme conjoint d'Amelioration de la Sante Sexuelle et Reproductivedes Adolescents et Jeunes. CARE BURUNDI va faciliter l'acces sur terrain en collaboration avec les organisations locales.</t>
  </si>
  <si>
    <t>Les adolescents et les  jeunes  scolarisés  de 12-17 ans au BURUNDI</t>
  </si>
  <si>
    <t>La recerche se focalisera sur 30 ecoles(15 d'intervention et 15 de comparaison).Les jeunes seront touches directement par des interviews. Les calculs de pondération sont faits avec une moyenne de 22 interviews par école par vague, ce qui totalise 660 interviews par vague et ainsi 1980 interviews au total (3 vagues). Le projet est encore en phase preparatoire. Il n'a pas encore commence sur terrain suite aux echanges encore en cours avec le ministere de l'education qui doit nommer une comite de pilotage de l'etudes.</t>
  </si>
  <si>
    <t>INITIATIVE SISI VIJANA</t>
  </si>
  <si>
    <t>NO161</t>
  </si>
  <si>
    <t>Jean NIMUBONA</t>
  </si>
  <si>
    <t>Jean.Nimubona@care.org</t>
  </si>
  <si>
    <t>Les jeunes hommes et jeunes filles âgés 13 à 23 ans acceptent les normes sociales égalitaires entre les genres  et font preuve d'intolérence  aux violences sexuelles et basées sur le genre</t>
  </si>
  <si>
    <t>Le projet était exécuté au Burundi et en République Démocratique du Congo. Au Burundi, il était exécuté dans deux provinces de GITEGA et NGOZI.</t>
  </si>
  <si>
    <t>Les jeunes hommes et jeunes femmes âgées de 13- 24 ans</t>
  </si>
  <si>
    <t>Les participants directs  ont été calculés sur base des personnes  qui participent directement lors de nos activites ou qui ont bénéficié des services et des interventions du programme. Ils incluent les jeunes ayant participé dans les clubs, les parents, les enseignants. Pour calculer  les participants indirects, nous comptions les collègues de classe de ces jeunes qui sont estimés à  20000, les frères et soeurs de ce ces jeunes estimés à 18500, les enseignants estimés à 300 ainsi que les parents estimés à 7200</t>
  </si>
  <si>
    <t>L'initiative a clôturé en Novembre 2016, et ne prévoit pas une évaluation dans le futur</t>
  </si>
  <si>
    <t>Recherche PLA et développement d'un modèle adapté aux jeunes, utilisé par les jeunes eux-mêmes pour renforcer les capacitése des pairs sur l'égalité des genres et la lutte contre les VSBG</t>
  </si>
  <si>
    <t>Introduction du modèle d'engagement des jeunes dans les clubs extra-scolaires</t>
  </si>
  <si>
    <t>Renforcement des capacités institutionnelles et fonctionnelles  en terme de foctionnement des bureaux des organisations partenaires et des formations adaptées en fonction des besoins pour l'implementation du projet et pour développer les capacités en plaidoyer</t>
  </si>
  <si>
    <t>Le projet a initié les dialogues intergénerationnels entre les jeunes hommes et leurs parents ainsi et entre les jeunes femmes et les femmes mentors pour échager sur les contributions de chacun dans l'éradication des barrières socioculturelles qui freinent l'empowerment de la femme et de la fille</t>
  </si>
  <si>
    <t>L'engagement des hommes et garçons pour une tolérance zéro face aux violences sexuelles et basées sur le genre</t>
  </si>
  <si>
    <t>L'approche VSLA pour aider les jeunes hommes et jeunes filles à répondre à leurs besoins et être responsables de leurs corps</t>
  </si>
  <si>
    <t>Le plaidoyer pour l'intégration du genre dans le curriculum scolaire</t>
  </si>
  <si>
    <t>Le Burundi enregistre beaucoup de jeunes qui sont sans emploi. Pour aborder d'autres thématiques, il est important d'introduire d'abord des activités de VSLAs/entreprenariat comme point d'entrée de toute autre intervention sinon il y a réticence des jeunes dans la participation dans l'intervention</t>
  </si>
  <si>
    <t>Bien que le changement des normes socioculturelles soit un résultat atteignable à long terme, travailler avec les jeunes, et en particulier les garçons est une bonne stratégie pour la tansformation des barrières socioculturelles, particulièrement l'approche intergénérationnelle permet d'éveiller la conscience des jeunes et des adultes et de défier certaines normes. Le changement se produit chez les jeunes et chez les adultes.</t>
  </si>
  <si>
    <t>Cambodia</t>
  </si>
  <si>
    <t>Education for Ethnic Minorities (2818) and Scholarship Program (2815)</t>
  </si>
  <si>
    <t>KHM040/ KH321</t>
  </si>
  <si>
    <t>KHM040/ KH350</t>
  </si>
  <si>
    <t>Ping Y. Tai Foundation</t>
  </si>
  <si>
    <t>Hemrin Aun</t>
  </si>
  <si>
    <t>Monitoring and Evaluation Advisor</t>
  </si>
  <si>
    <t>hemrin.aun@careint.org</t>
  </si>
  <si>
    <t>Jan Noorlander</t>
  </si>
  <si>
    <t>Assistant Country Director-Programs</t>
  </si>
  <si>
    <t>Jan.Noorlander@careint.org</t>
  </si>
  <si>
    <t>Multilingual education in primary schools and scholarships will enable remote ethnic minority children to access basic education and beyond,  capacity of teachers at secondary schools will ensure an ethnic minority sensitive environment, free of discrimination and gender inequity.</t>
  </si>
  <si>
    <t>Ratanak Kiri and Mondule Kiri provinces.</t>
  </si>
  <si>
    <t>Ethnic minority girls and boys in lower secondary schools and both primary and lower secondary  teachers</t>
  </si>
  <si>
    <t>The direct beneficiary is a total number of students at low secondary schools that study at the target schools in both RTK and MDK where CARE provide training to teachers about gender and ethnic, cultural sensitivity and/or number student received  scholarship from projects.
The indirect beneficiary is estimated base on the average of number of members of family size (5.1 people per housewhole) by multiply to the total number of students,  as assume that each students will get indirect impact to their family members in their community.</t>
  </si>
  <si>
    <t>Provision of scholarship to teste if student continue to continue studying till completed  lower secondary school?
Provision of  social, ethnic and gender stereotype to teachers, help to better to student participation and less drop out and better education outcome.</t>
  </si>
  <si>
    <t>The project  work in collaboration with POE/DOE in selected school, if this project success, we will convince POE and DOE to apply to other schools, and even other provinces</t>
  </si>
  <si>
    <t>no important change</t>
  </si>
  <si>
    <t>The MoEYS has already committed to developing a second MENAP (2019-2021).  Over the next two years (FY17/18 and FY18/19) CARE will provide technical assistance to the MoEYS in their efforts to develop this policy framework.  This initiative will be complimented with three national workshops and a study tour, which brings together MLE experts and SED officials to strengthen their understanding of MLE and its theoretical approach.  This exit strategy will conclude CARE’s 15-year-commitment to developing MLE in the northeast of Cambodia and working with the government to secure its continuation into the future.</t>
  </si>
  <si>
    <t>CARE aims to strengthen the capacity of government and support its efforts to improve access to education for children in the northeast of Cambodia, to ensure the impact of CARE’s work is sustained beyond individual projects.  Part of this approach involves understanding and working within existing government structures/processes, and building positive relationships and mutual understanding with key departments.  In the EEM project, CARE enacts this approach through ToT to lower secondary school core trainers, to ensure they are able to train teachers when the project finishes.  This same approach is also used for the MLE component of this project: CARE conducts ToT with national and sub-national trainers for the MLE, to strengthen their theoretical understanding of MLE and capacity to train primary school teachers across the four provinces implementing this program.  This activity aligns the government’s MENAP 2015-2018 that identifies education for ethnic minorities as a priority for the government, highlighting their value of and commitment to the expansion of this program.</t>
  </si>
  <si>
    <t>In June 2017, commune elections were conducted across Cambodia.  During this period, all NGOs were instructed to cease activities that involved meeting with government officials, including all MoEYS officials which this project works with.  This restriction caused some delay in implementing project activities.</t>
  </si>
  <si>
    <t>The newly-created Special Education Department (SED) will play central role in implementing MLE in the future.  Some staff within the department have limited or no understanding of MLE, which could hinder the expansion and quality of this program.</t>
  </si>
  <si>
    <t>baseline report is available up on request.</t>
  </si>
  <si>
    <t>Emergency Response to the Water Shortage Crisis in Koh Kong Province / Gender in Emergencies Training to CARE's Emergency Response Partners</t>
  </si>
  <si>
    <t>KHM221   KH364</t>
  </si>
  <si>
    <t>Project goal: To mitigate the impacts of the ongoing El Nino weather events on the most vulnerable households in Koh Kong province.
Aim of Gender in Emergency training: To bring together the CARE staff and partner staff to share working experiences and improve understanding about the importance of providing inclusive responses to gender in emergencies. (The GIE training is the project extention activity)</t>
  </si>
  <si>
    <t>Koh Kong was a target province for emergency response to the water shortage crisis (i.e. provided water containers, water filter, …). This was reported in FY16.
Mondul Kiri, Ratanak Kiri, Stung Treng, Kratie, Prey Veng, Phnom Penh, Kampot, and Koh Kong are the provinces where CARE Cambodia's emergency response partners working in. These partners were built up the capacity of gender in emergencies (GIE).</t>
  </si>
  <si>
    <t>Poor households including the elderly and woman-headed households, do not have big water tanks (this is for emergency response to water shortage crisis in Koh Kong province)
CARE Cambodia's emergency response partners from local NGOs in Mondul Kiri, Ratanak Kiri, Stung Treng, Kratie, Prey Veng, Phnom Penh, Kampot, and Koh Kong provinces (this is for building up the capacity to CARE staff and partner staff on gender in emergencies)</t>
  </si>
  <si>
    <t>The headed person of poor households receives WASH kits in Koh Kong province were calculated as direct beneficiaries. A total of 880 (690 women household-headed) households headed. Whereas, the household members were counted as indirect beneficiaries. This was already reported in FY16.
Official staff, technical staff, and managment staff of CARE Cambodia and CARE Cambodia's Emergency Response Partners attended the training are calculated as direct beneficiaries. A total of 27 (8 women) participants attended. Whereas, the indirect participants are calculated in a way of trained CARE staff and partner staff provide and share knowledge on gender in emergencies to their staff and team members. Assuming at least 2 indirect participants get sharing knowledge from trained CARE staff and partner staff.</t>
  </si>
  <si>
    <t>the identified local NGOs in target provinces where CARE works were provided capacity building on gender in emergencies. These partners can be selected for assisting CARE's emergency response in their respective province.</t>
  </si>
  <si>
    <t>Provided induction on rapid gender assessment to the Koh Kong rapid assessment team comprised of members from PIN and Save the Children.
Provided training on gender in emergencies to local NOGs working in CARE's target areas.</t>
  </si>
  <si>
    <t>Due to lack capacity of gender in emergency , CARE Cambodia requested the remaining fund of emergency assessment to conduct training on Gender in Emergency to CARE staff and CARE NGO partners staff in September 2016.</t>
  </si>
  <si>
    <t>Establish community committee in village level and engage them in the process of beneficiaries selection to receive emergency WASH packages. The community committee help select right poor household in their village to be beneficiaries for the project.</t>
  </si>
  <si>
    <t>Local communities, authorities (village/commune chiefs) and Selection and Complaint Committees can identify the complaint response mechanism (CRM) process and that communities are actively using it.</t>
  </si>
  <si>
    <t>Some participants met the selection criteria but lived far away from a well and others didn’t. The selection criteria could have accounted for this by including an ‘other’ extra vulnerability selection criteria to pre-empt these circumstances, as the “real poor” were hard to reach in some circumstances.</t>
  </si>
  <si>
    <t>https://www.dropbox.com/sh/rkqj00xy4k0njve/AADFLnFKUMGQuvvmTwLU_VTOa?dl=0</t>
  </si>
  <si>
    <t>Local Economic Leadership for Marginalised Rural Women (2829) and Personal Advancement &amp; Career Enhancement (PACE) in the Community year four (2830)</t>
  </si>
  <si>
    <t>KHM193/KH322</t>
  </si>
  <si>
    <t>US1NL GAPFKH0009, KHM177</t>
  </si>
  <si>
    <t>The Impact Group are benefitting equitably from growth, and have greater control over decisions that affect them  and maximize the impact of Village Saving and Loan Associations for community members, particularly women, to enhance their personal agency and economic empowerment.</t>
  </si>
  <si>
    <t>Koh Kong province</t>
  </si>
  <si>
    <t>Socially Marginalised Women poor rural women at risk of violence,  and denied SRM health rights, and voice</t>
  </si>
  <si>
    <t>Direct participants: are those female farmers (SDK/Women Demonstration Farmers and other femal farmers interest group/FIGs) who have increased the availability of local agriculture services resulted from receiving numbers of training e.g. on Agriculture Extension Services (both livestock and horticulture techniques), improving women’s skills to deal with middlemen as they market their products. This also included training on negotiation skills, small business, marketing and financial literacy. Livestock and horticulture training were provided for demonstration farms focused on women as farmers and they continues delivering these techniques to their farmers interest group called "FIGs"  through farmer field day events and follow-up coaching.  
Indirect participants: are those family members including husbands, and addtional VSLA groups members who are not belong to LEL's beneficiaries.</t>
  </si>
  <si>
    <t>• Technically sound, low cost, locally appropriate solutions – Market based income options and jobs promoted through LEL are selected on the basis that they are locally feasible, low cost, and sustainable, and are well within the resource capacities of target groups to implement. This is supported through investment in current and thorough participatory market analysis studies conducted by experts; assessment led by CARE’s Livelihoods Advisor, and analysis of previous initiatives. 
• Quality capacity building approaches - Recognising the importance of facilitating sustainable changes in practice amongst target MRW and duty bearers, LEL’s approach is to move beyond a focus on training, and uses a range of capacity building methods to support change (such as training, coaching, locally appropriate IEC materials, refresher skills development, linkages to supportive services, linkages to peer support, exposure to successful experience, follow-up on action plan implementation). The approach varies over time, with intensive support provided in early stages, to build skills, develop confidence and support action planning. The level of support is scaled back over time to focus on consolidation of results, problem solving, and allow space for target groups to take more independent action. The focus of capacity building varies, spanning technical skills, as well as associated facilitation and communication skills, particularly to support MRW and local authorities to deliver quality training and outreach. Target topics are tailored to meet the different capacity levels and interests of target groups.
• Advancing innovative approaches - Building on learning from other initiatives, LEL had designed, pilot and capture learning about proven approaches on a range of programming areas addressing MRW priorities.  Examples include approaches to elevated economic options, safe migration, community accountability on livelihood services, and mobilising men and communities to support women’s economic empowerment.
• Investment in learning and credible evidence - LEL introduces a number of programming innovations.  As such, investment in learning around pilot initiatives is key to ensure innovations are grounded in streamlined, effective processes relevant to the local context and that evidence to support national dialogue is targeted, robust, and that presentation of findings is accessible and convincing to key stakeholders.</t>
  </si>
  <si>
    <t>The focus of capacity building varies, spanning technical skills, as well as associated facilitation and communication skills, particularly to support MRW and local authorities to deliver quality training and outreach. Target topics are tailored to meet the different capacity levels and interests of target groups.</t>
  </si>
  <si>
    <t>Project continue to build the capacity of  VSLA, and Demonstration Farms, through a numbers of training, follow-up coaching...etc. so that they could tranfer knowledg and skills to Farmer interest groups with confidence and applying their skills for their living.</t>
  </si>
  <si>
    <t>The project design was developed  in line with CI 2020  and CARE's approach  therefore, no important adjustments or changes have  been required during the implementation. A mid term review provided minor areas for  consideration to move towards a  greater gender transformation outcome. However, under PACE project, housewhole financial decision marking has been addressed to responsed to CARE 2020.</t>
  </si>
  <si>
    <t>VSLAs  model is more than a saving group, it is a model and approach enable and motivate more  participation of women toward community activities particularly pushing women into financial decision making, taking up and dealing with leadership roles at household, at group and community level.</t>
  </si>
  <si>
    <t>Men's dialogue meetings clearly demonstrated that engagement with men was one of the significant contributing factors to strengthen women’s position as an economic actor in the family and improve women's status (i.e. roles and value) in household and community.</t>
  </si>
  <si>
    <t>Farmer school or farmer field day -   supported the capacity development of Women Demonstration Farmers (SDKs) and Farmer Interest Group (FIG) members through training on a wide variety of topics, including technical skills in livestock rearing and vegetable and fruit tree production. These skills are learnt through a cascading model training model (SDK to FIG member) and through Farmer Field Days led by SDKs and supported by CARE. 
This multi-faceted and multi-teared approach provided a comprehensive approach that promoted women’s economic empowerment in very practical and sustainable ways.</t>
  </si>
  <si>
    <t>Findings from men's dialogue meetings clearly demonstrated that engagement with men was one of the significant contributing factors to strengthen women’s position as an economic actor in the family and improve women's status (i.e. roles and value) in household and community. However, this was not easily achieved as communities were used to be gender-stereotype deeply rooted within culture and norm e.g. patriarchy.</t>
  </si>
  <si>
    <t>Engagement of the trained Village Agents as the VSLA trainers is an effective and sustainable mechanism to expand VSLAs outreaches.</t>
  </si>
  <si>
    <t>A better livelihood options through improved agriculture knowledge and skills impact migration decision making – this has given people more options and influence on the decision marking to migration.</t>
  </si>
  <si>
    <t>LEL:  EoP Review Report was written-up with highlighted recommendations,  2 page fact sheet outline stats and evidence of success of its approach and model.,  Impact video documentary - visual summary of how CARE’s approach is supporting Rural Marginalised Women to become female leaders – improving women's leadership and value explicitly higher economic roles and voice at household and at community level – and highlight the impact this is having through personal stories.
PACE:  Gap Inc.–Proposal P.A.C.E. in the Community – Year IV: October 2016 - September 2017 available on request  from Cambodia office and Endline Survey Results for  P.A.C.E. Program Evaluation in the Community - Sep 2016 available on request  from Cambodia office.</t>
  </si>
  <si>
    <t>Partnering to Save Lives (PSL)</t>
  </si>
  <si>
    <t>KHM 200/KH325</t>
  </si>
  <si>
    <t>To save the lives of women and neonates in Cambodia through improved quality, access and utilisation of reproductive, maternal and neonatal health services through a partnership approach</t>
  </si>
  <si>
    <t>Phnom Penh, Ratanakiri and Mondulkiri provices</t>
  </si>
  <si>
    <t>Ethnic Minority  and garment factory workers</t>
  </si>
  <si>
    <t>Direct participants: The female workering at the 16 factories and the women in the reproductive age in the target villages of Ratanakiri and Mondulkiri. The caculation was caculated 26% of the total population as the direct participant in both at the factory and at the province.</t>
  </si>
  <si>
    <t>The project will conducte the endline survey and end of project evaluation and this evaluation is under coordination of Coordination of Learnining Unit (CLU).</t>
  </si>
  <si>
    <t>The project has developed Behavior Change Communication (BCC) package at both rural where the majority of population is ethnic minority and the urban at the garment factory called Chat package. The package aim to improve the knowledge around RMNH and modern contraceptive and decision-making around RMNH and contraceptive by women and men that this will contribute the living condition of community and factory workers and contribute for poverty reduction.</t>
  </si>
  <si>
    <t>The project is working in partnershing for effective resource mobilization and dealing on the rights issues by expertise NGO partners. Furthermore, we have work in partnership with the government who may influence on the policy improvement.</t>
  </si>
  <si>
    <t>The project has initiate the BCC package call male engagement in both urban and rural locations the idea is to engage men the processes around RMNH and modern contraceptive to make them understand about his role and give the space for women to make her own decision.</t>
  </si>
  <si>
    <t>The Chat contraceptive reproductive health package aims to improve the health of garment factory workers though empowering women to make healthy sexual choices, access reliable reproductive health services, and prevent unplanned pregnancies.</t>
  </si>
  <si>
    <t>Male engagement: ensure men are understand about their roles supportive of the reproductive health decisions made by women, removing any social barriers within the family and community</t>
  </si>
  <si>
    <t>Tranditional Birth Attendant (TBA): engage with social influencers who traditionally advise on reproductive health decisions, removing any social barriers within the community.</t>
  </si>
  <si>
    <t>PSL garment factory - infirmary and referal system to improve access for garment factory workers to seek for appropriate health care services and the Chat Package for garment factory workers to improve seually reproductive health and rights of garment factory workers.</t>
  </si>
  <si>
    <t>PSL non emergency referal systems-community transportation and financial barrieer through VSLA activities contribute to the improvement of community members accessing health services at the health facilities.</t>
  </si>
  <si>
    <t>Midwife coaching at the health centre is vital mechanism to provide the direct and the rights support to the midwife to improve their clinical skill around ANC, delivery, and PNC.</t>
  </si>
  <si>
    <t>The program designed, case study, policies brief, midterm evaluation, the report are available at the CARE Cambodia Country Office.</t>
  </si>
  <si>
    <t>Safe Homes, Safe Communities (SHSC)</t>
  </si>
  <si>
    <t>KHM217</t>
  </si>
  <si>
    <t>To reduce Violence Agaist Women (VAW) through prevention, improved response and increased access to quality services.</t>
  </si>
  <si>
    <t>The project will be carried out in 19 communes in Phnom Penh Municipality (including three Health Operational Districts, 17 Health Centres, and four Referral Hospitals) using CARE Cambodia’s strengths working in urban environments with marginalised urban women (MUW).</t>
  </si>
  <si>
    <t>Marginalised urban women (MUW) who living in project targeted areas and will receive benefits through strengthening health delivery systems’ response to VAW in selected communes,strengthening commune authorities’ response to Violence Agaist Women (VAW), and empowering men and women to prevent and respond to VAW in their communities.</t>
  </si>
  <si>
    <t>Direct participants are the people who direct participated with project actvities such as commune authorities staff including commune council members, polices, Commune Committee for Women and Choildren, staff of Health Center, refereal hospital, and Minicipality authority and women and men group leaders/ members at the grassroots level.
Indirect participants are the general citizen who living the Sangkat where CARE implementing the project. They can benifit from improved local authrity services, health center services as well as received such activities including awareness, information, counciling, refferal cases, respond to case,  recieving services from indirect participant and their events/activities.</t>
  </si>
  <si>
    <t>The project plans to conduct end of the project evaluation, using desk review and qualitative method, FGD and KII. There is no budget to conduct a large scale household survey to capture prevance or incidence for GBV as in the CARE 2020 indicators under life free from violence.</t>
  </si>
  <si>
    <t>SHSC testing to design the Violence Againt Women form for Operational Department of health for apply at their health center and referal hospital. Project also explore the new approach to develop the action respond to violece's vedoe to play on LED-TV, 41 Ing at HC while the client of violce could learn and recieved information when they are waiting the service providers at the health centers. However, these could not measure the impact due to the project period only 18 months.</t>
  </si>
  <si>
    <t>SHSC is the pilot project under EVAW which is the national committee working to prevent Violence Againt Women 2014-2018. The National Action Plan develop aligned to the Cambodia national program and  Nariratanak4. All lesson learnt and good practice will be distribute via EVAW and gender working roup at National level.</t>
  </si>
  <si>
    <t>No any adjustment or change to project goal.</t>
  </si>
  <si>
    <t>The project has been effective in building the skills and knowledge of health service providers and commune authorities to effectively identify, respond and refer VAW survivors in their communities. The combination of training followed by coaching and mentoring helped both commune authorities and health service providers to build their confidence and put their knowledge into practices.</t>
  </si>
  <si>
    <t>The establishment of the Clinical Handbook working group, the Referral Network and the VHSG were effective mechanisms to provide leadership and support to the various beneficiaries (health staff, commune authorities and community members).</t>
  </si>
  <si>
    <t>All health staff and commune authorities interviewed commented on the effectiveness of monthly follow up and mentoring, in particular how the consistency and quality time with the trainer contributed to reinforcing the material learnt during the initial training and allowed for opportunities to get feedback on real individual cases.</t>
  </si>
  <si>
    <t>Training versus mentoring: more time should be given to mentoring component with less time for training. Participants commented that the formal trainings were too long and took up too much time, both in terms of travel time and time away from work. Given that follow up training and mentoring proved to be more appreciated, the length of training workshops could be reduced.</t>
  </si>
  <si>
    <t>Men’s groups: men’s engagement in the community men’s groups was difficult during the project, however those men that were involved in the project were very engaged and found the activities very useful and interesting.</t>
  </si>
  <si>
    <t>Preparation of IEC - due to project staff changes in CARE, as well as internal restructure within MOWA, there was some miscommunication between teams which caused some delays in the finalisation of the IEC materials. A solution has now been identified to rectify the situation. During September and October 2017, CARE will work closely with MOWA to review the documents to ensure that they meet a standard that enables their endorsement.</t>
  </si>
  <si>
    <t>CARE project design should consider to allocate cost to ensure monitoring and follow-up the impact or change reqularly. Interm of GBV, case follow-up and impact on domestic violence is very importance to project to record to ensure project able to mesure the resulf if the case increase or decrease.</t>
  </si>
  <si>
    <t>Will provided up on requested.</t>
  </si>
  <si>
    <t>WASH in Schools and Communities to Elevate Ethnic Minority Women (WISC) (2814) and WASH in schools supported by UNICEF (2813)</t>
  </si>
  <si>
    <t>KH348</t>
  </si>
  <si>
    <t>KH365</t>
  </si>
  <si>
    <t>Increased gender equity, through better health and quality of life for ethnic minority women and girls, througn improve availability and accessibility to quality water and higiene practice in schools and community.</t>
  </si>
  <si>
    <t>The project is located in Ratanak Kiri province , North-East of Cambodia. Currently, the project is working in 11 villages and 10 primary and Lower Secondary schools in Bar Kaev district and  5 Lower Secondary schools in Andoung Meas, O Yadav, Ta Vaeang, and Lumphat district.</t>
  </si>
  <si>
    <t>Ethnic minirity women, students and community members</t>
  </si>
  <si>
    <t>* The direct beneficiary who direct benefit from the project implementation through training activities,awareness raising,  construction facilities and  those who received materials such as water jar. At community  are included whole village member if we buiilt a large community pond that served people in whole village, 25 families of 5.1 persons  if we build a dig bore hole and a family for 5.1 people if we provide a water jar and/or received education and awareness raising activities including established water uses committee. At shools, we included all students in the schools if we established a water system , build or renovate well or toilet and/or provided education to students in the schools.
* Indirect beneficiary are estimated based on the nature of the activities. At community:indirect beneficiary are other commune members living  in the villages of the project coverage areas who were not counted as direct beneficiary; and at school  is calculated their famility member of the student by mutiply the average family size (5.1) and deducted those students.</t>
  </si>
  <si>
    <t>Solar power used to operate water pumps to address the issue of power outages in remote locations.  This approach is also more sustainable, because schools do not have to pay electricity to operate the pumps.</t>
  </si>
  <si>
    <t>Ensuring broad ownership of intent, key processes and models, amongst CARE, authorities and communities and strong investment phased capacity building and leadership for marginalised rural women, men, and local authorities to build momentum for change, and support sustainable local action.</t>
  </si>
  <si>
    <t>A focus on the identification of lessons learned and the sharing of these amongst key stakeholders will contribute to broader sustainability. Specific studies and targeted learning processes will ensure key lessons learned are captured, documented and linked to focused engagement in national and provincial dialogue.</t>
  </si>
  <si>
    <t>The project had reviewed and adjusted such activities to include WASH minimum standard the target school. This lead to better plan to teacher to allocate time  to provide education to student and  help to improve better practices of student learing in the schools</t>
  </si>
  <si>
    <t>CARE implemented many activities from the community to the national level. To be more sustainable, CARE had been identified the local and governmental partner to implement the project activities. To ensure the cooperation between CARE and partners, the inception phase to present CARE activities with the director/vice director of the relevant department should be done at the planning stage. The MOU should also have in place before project implementation.</t>
  </si>
  <si>
    <t>Forecasting the growth or reducing of the school population is important to ensure there is no shortage of toilets per student once the project is finished because of students has increased.</t>
  </si>
  <si>
    <t>Enhancing adaptive capacity of women and ethnic minority smallholder farmers through improved agro-climate information System in South-East Asia (ACIS project)</t>
  </si>
  <si>
    <t>KH354</t>
  </si>
  <si>
    <t>Climate Change, Agriculture and Food Security (CCAFS)</t>
  </si>
  <si>
    <t>KH371</t>
  </si>
  <si>
    <t>The ACIS project aims to enhance the adaptive capacity of women and ethnic minority (W&amp;EM) farmers to better anticipate and respond to risks and opportunities from climatic variability.</t>
  </si>
  <si>
    <t>The project is located in Ratanak Kiri province , North-East of Cambodia. The project is currently working in 15 villages, three communes of Koun Mom and Lumphat district.</t>
  </si>
  <si>
    <t>Ethnic Minority women and community members</t>
  </si>
  <si>
    <t>* The direct beneficiary is estimated  the total population in 3 communes where project implementing ACIS activities, including training activities, PSP, and emabling them to used broacasting information in appling agriculture.
* Indirect beneficiary was estimate the total pupulation the the two districts where project implemented, but excluded the estimated number of direct beneficiary. The local authories and government department involved the project will learn and apply in other commune within the two districts.</t>
  </si>
  <si>
    <t>Using weather information for improving farming practise of the community people</t>
  </si>
  <si>
    <t>The project is testing use of weather broacasting to apply agriculture and then measure the yiel of the crop. The project is piloting in two communes,we are gathering the result, if success, CARE will convince donnor, goverment and implementing in other areas.</t>
  </si>
  <si>
    <t>Participatory Scenario Planning (PSP) is a tool to strengthening the capacity of farmer learning network (FLN) at the community level.</t>
  </si>
  <si>
    <t>There is no important change in this FY.</t>
  </si>
  <si>
    <t>Participatory Scenario Planning (PSP) is a key tool that mobilize the participatory action from all relevant actors/stakeholders in the discussion on how to improve agriculture productivities through using agro-climate informaiton.</t>
  </si>
  <si>
    <t>The agro-advisory is important on how to scale up the project activities. More picture or simple on the agro-advisory is much more useful for the community people, especially for illiteracy people.</t>
  </si>
  <si>
    <t>Implementation of Social Accountability Framework (ISAF)</t>
  </si>
  <si>
    <t>KHM 218</t>
  </si>
  <si>
    <t>To reduce poverty through democratic, inclusive and equitable local governance and more accessible and equitable public service delivery.</t>
  </si>
  <si>
    <t>Ratanak Kiri, Mondul Kiri, Koh Kong, and Kampot  provinces</t>
  </si>
  <si>
    <t>women, youth and ethnic minoirties, rural people in community in the coverage areas.</t>
  </si>
  <si>
    <t>• Direct beneficiary of ISAF project particular refer to specific individual participant, government, non-profit organization, and community members who funded and participated with ISAF activities funded and facilitated by ISAF project. It is covered in 71 communes 20 district within the 4 provinces calculation of participants included numbers of volunteers and staff of 25 NGOs partners, community members who regularly participated with ISAF activities/training and local authority that participate activities/training. 
• Indirect beneficiary of ISAF project defined based on the population of coverage areas of the project. Because the project advocate and implement at national policy level and the awareness raising activities such as radio talk show, educational videos on social accountability are broadcasted national wide. The program strategically focus on governance system strengthening on the standard performance of the local service delivery such as primary school, health centre, and commune administrative. The whole population of the target areas covered impact from the project implementing. Each household and family access to local public services thus the result from the project might directly or indirectly influence.</t>
  </si>
  <si>
    <t>The Impact Evaluation (endline) for Implementation of Social Accountability Framework (ISAF) will be a joined assessment by INGOs members namely CARE, RACHA, World Vision,and Save the Children. This endline baseline will use similar method as baseline randomised control trial with simlar sample size with comparision before and afer as well as intervention and control areas. The endline plan to conduct after project ended (2 year after implementation, Dec 2018)</t>
  </si>
  <si>
    <t>Not avialable, the project is working based on the national policy that have gape on demand side - citizen participation.</t>
  </si>
  <si>
    <t>The ISAF have undertake the process audit to test what's work, what's not work, and what've should be done better for the sustainability of the project. Some communes were piloting analysis to observe impact and find the strategic to be scale up and sustainable in the furture.</t>
  </si>
  <si>
    <t>The main tasks under this project are to build the capacity of LNGOs (CARE’s sub-grantees) in the area of financial management and monitoring and evaluation enabling their capacity to be able to work effectively and efficiency. They trained to use Community Scorecard in the their advocacy, citizen engagement and strengthen local governances, improving service deliveries. 
The 27 local NGOs partnered Implementation Social Accountability Framework in Cambodia which aims to empower citizens, strengthen partnerships between sub-national administrations (SNAs) and citizens, and enhance the accountability of local service providers and to implement the full four components:
(1) Access to information and open budgets
(2) Citizen monitoring
(3) Facilitation and capacity building 
(4) Learning and monitoring.</t>
  </si>
  <si>
    <t>During the implementation of the activities, there is no change yet to happen. However, the program team did proposed an amendment on partnership agreement. The program want to select two consultant firm to provide more capacity building to local NGOs specifically on financial management and monitoring and evaluation. However, it is rejected by EU – the donor of the project.</t>
  </si>
  <si>
    <t>Community Accountability Facilitators (CAFs)</t>
  </si>
  <si>
    <t>Community Score Cards (CSCs)</t>
  </si>
  <si>
    <t>Information for Citizen (I4C) packages awareness raising on rights of citizen access to service dileveries and and standard performance of local service deliveries in primary school, health centre, and commune administrative.</t>
  </si>
  <si>
    <t>Supply side collaboration: strengthening relationship between supply-side and demand-side creates enabling environment to smoother social accountability implementation process, this helps strengthen civil society and creates a more democratic relationship between government agencies and the community. Experience shows that there are several good practices of approaching and engaging officials. It starts with  informing the authorities about implementing activities clearly and in a timely way, from the senior level down to the local level; it increases the responsiveness of officials and promotes partnership. Besides, using formal invitation letters and sharing progress reports regularly with government officials help to better engage with the authorities.</t>
  </si>
  <si>
    <t>CAF Selection: trustful and active CAFs are important in ensuring successful social accountability framework implementation. It turned out that people who have good reputations and are well-known in their community were able to mobilize citizen more effectively. For Ratanak Kiri and Mondul Kiri, CAFs who are from ethnic minority communities have high potential to mobilize citizens and use multiple languages to communicate information for citizen and facilitate scorecards.  In addition to this, CARE Cambodia became aware that having a wide range of age groups represented in CAF selection was beneficial to facilitate and mobilize citizen to participate with I-SAF activites.</t>
  </si>
  <si>
    <t>Peer learning improved skill of community accountability facilitators (CAFs):  besides the training through demand side operational guideline, Implementing Partners reported found that peer to peer learning helps community accountability facilitators to gain confidence in social accountability framework implementation particularly information for citizen dissemination and facilitation of community score card. Thus, providing more time for community accountability facilitators to meet and discuss is helpful to build trust and build skills to facilitate the process.</t>
  </si>
  <si>
    <t>The baseline evaluation of the project should conduct earlier. As a lesson learn from this, it is recommended that the baseline should conduct by CARE individually because when cooperate with other CSOs who implement ISAF CARE could not control the timeline to deliver the result of the baseline. Anyway, there is pro and con in term of budgeting.</t>
  </si>
  <si>
    <t>ISAF annual report 2016 
ISAF semi-annual report 2017</t>
  </si>
  <si>
    <t>Labour Rights for Female Cosntruction Workers</t>
  </si>
  <si>
    <t>KHM219,   KH360</t>
  </si>
  <si>
    <t>To advocate for and promote implementation of fundalmental labour rights and protections for women in the construction sector in Cambodia.</t>
  </si>
  <si>
    <t>Seven districts covered in Phnom Pehn city</t>
  </si>
  <si>
    <t>Female Construction Workers</t>
  </si>
  <si>
    <t>3,000 female construction direct contact through, a database (Visual Basic Application) and Microsoft Excell developed by project partner (CWDP) to ensure no double counting. CARE ATS will countitue to store the number. The data from Ministry of Urband planning in late 2016 Have said construction sector have provide a job to 190,000 to 200,000 workers per day across country and in Phnom Penh it has provided to 140,000 to 150,000 per day. The assumption of 20% are women.</t>
  </si>
  <si>
    <t>Occupational Safety and Health</t>
  </si>
  <si>
    <t>Endline evaluation to confirm project logframe, as compare to the baseline, CARE plan to conduct Dec 2018.</t>
  </si>
  <si>
    <t>BWTUC (a construction worker union) is a strategies alline with CARE in promoting Female union leaders and will be represent FCWs voice and at the federation level</t>
  </si>
  <si>
    <t>Labor union(s)</t>
  </si>
  <si>
    <t>Srtenthening the capacity of local partner/ Union Labour on gender sensitivity and increase Trade Union female Leadership</t>
  </si>
  <si>
    <t>No. The project new project in new sector which CARE need to learn and explore of how to the best acheivement.</t>
  </si>
  <si>
    <t>continue to make relationship with private sector in construction sector.</t>
  </si>
  <si>
    <t>Working with Project technical working group to be able to collect evidence to inform for law change, while Union sitting in national tripatized dialogue</t>
  </si>
  <si>
    <t>Business analysis informing the engagment of private sector to protect their female workers working condition.</t>
  </si>
  <si>
    <t>Simliar to first PIIRs, The construction sector in Cambodia is a new industry for CARE so we are learning lessons about the structure of companies and how things work. Most challenging is to find out how the supply chain down the line is working.</t>
  </si>
  <si>
    <t>Gender equality sensitivties in construction is not an priority but working condition for worker is more important for protection that should be gieven by employer.</t>
  </si>
  <si>
    <t>The role of Trade union is very important to kick off the action plan to advocate to better protection by the law.</t>
  </si>
  <si>
    <t>Business analysis http://docs.wixstatic.com/ugd/ff000a_7b76539ee8aa4cfe9f3bed735ce7947b.pdf</t>
  </si>
  <si>
    <t>Healthy Women Healthy Workplace (HWHW)</t>
  </si>
  <si>
    <t>KHM220/GSK3K/KH362</t>
  </si>
  <si>
    <t>GlaxoSmithKline (GSK)</t>
  </si>
  <si>
    <t>Improve the SRMH and nutrition status of young, urban garment factory workers</t>
  </si>
  <si>
    <t>Phnom Penh</t>
  </si>
  <si>
    <t>Urban garment factory workers</t>
  </si>
  <si>
    <t>Direct participants: is the female factory workers. It is caculated as 90% of average number of total female workers from 15 target factories
Indirect participants: indirect participants for BCC activities inlcude male workers and two additional friends or family members the female workers will share with through vaious medium. Indirect participants for capacity building at health centers include the estimated number of non-factory clients who will recieve services for SRMH or nutrition.</t>
  </si>
  <si>
    <t>N.A</t>
  </si>
  <si>
    <t>The project used the human-centered design (HCD) approach to develop the maternal &amp; newborn health (MNH) and nutrtion package. The products from HCD includes: video dramma for MNH and nutrition, counselling App for infirmary staff, food vendor experience and the works with Ring Tone Guy (RTG). We expect this pilot approach would bring positive changes to reach more factory female workers</t>
  </si>
  <si>
    <t>In the factory: the project would work closely with factory management team to implement the SRH chat! Contraceptive package
With health service providers: the project work closely with Govt. health officials to implement youth friendly service activities at health facilities</t>
  </si>
  <si>
    <t>The project is modified by using the Human Center Design (HCD) for the development of BCC packages as an innovative solution. In addition , we also including CARE CI 2020 indicators in the baseline. Another area the project is looking for is to incoorpate SAA tool into the exisitng relevant project actvities. That  would address the existing gender norm for female workers to utilize SRMH services</t>
  </si>
  <si>
    <t>Regular engagment the top factory management team in desgining and implementing of project activities is good way to increase mutuall understanding on the benefits project has had to the factory. It enhances a remarkable cooperation and coordination</t>
  </si>
  <si>
    <t>Using Human Center Design (HCD) to develop the BCC package for MNH and Nutrition is innovative solution to refill the target needs and demand of factory workers for the service. It gives better chance to the target audience and relevant stakeholds at the begining stage of development to engage in a full process of activity design. The products of HCDs were under process of development and that inlcuded: Video drama, couselling Apps, food vendor experience and Ring Tone Service</t>
  </si>
  <si>
    <t>Working with the factories need to be very flexible and often challenges to the delay of project activities implementation especially when the high season of factory production is coming. There is not specific timeframe for high season production. It usually vary depends on the orders from the buyer</t>
  </si>
  <si>
    <t>Factory is a private and profitable firm that mostly emphasize on generating business income rathern a focus on improving worker's wellbeing. Thefore, it's always time consuming to explain and convince the factory managent team to collaborate and support the implementation of project health's activites in their factory. Sometimes, approaching to the factory through buyers or influencing Govt entity could be also a good solution</t>
  </si>
  <si>
    <t>Inboxing female as the priority programming is what we have to do. But, engaging men in project activities is another considerable elements that project/program should take into account since the designing stage. So, working with female and male should start at same time. When male partners understands well on benefits and needs to female, they could support fully to female's decision making. For example, using modern contraceptive.</t>
  </si>
  <si>
    <t>Due to the time consumming to proceed the administrative procedure with 02 key ministiries (ministry of health and ministry of labor and vocational traininng) and to approach the new factories, The project start-up is 5 month behind the schedule. Therefore, the number of participants reached reflect to the period from Sep 16-Jun 17</t>
  </si>
  <si>
    <t>Project proposal and key M&amp;E document, progress report are available at CARE Cambodia Office.</t>
  </si>
  <si>
    <t>Improvement for Health Service Delivery in Remote and Marginalized Communities of Cambodia (GSK 20% REINVESTMENT INITITIATIVE ), and MCAT and sustainability (a new extention from Mar to Oct 2017)</t>
  </si>
  <si>
    <t>KHM 200, GSK3K/KH333</t>
  </si>
  <si>
    <t>KHM225,GS3K/KH373</t>
  </si>
  <si>
    <t>To contribute to the reduction of maternal and neonatal mortality through increasing access to and the quality of sexual, reproductive, maternal, neonatal and child health services</t>
  </si>
  <si>
    <t>The project has undertaken in Koh Koh Province located in the southwestern of Cambodia. It covered 02 operational districts, 12 health centers and 62 villages</t>
  </si>
  <si>
    <t>Rural women of Reproductive age and children under 5</t>
  </si>
  <si>
    <t>Direct participants: women, girl, men and boys who directly utilized the health services at target health facilities
Indirect participants: family members percieved the benefits from project participants who attended the community health education. It's estimated to have 4 members per households as an indirect beneficiaries</t>
  </si>
  <si>
    <t>No adjustment was made as the project was finished by Nov 2016</t>
  </si>
  <si>
    <t>Midwifery Coordination Alliance Team (MCAT) meeting and on-job-coaching supportive suppervision at health center base (including the follow-up on the clinical skill practice) are the effective mechanism/approach to build the clinincal capacity and improve confidence of frontline midwives in delivering the quality of health care service, particularly for those freshly graduating from training programs with the lack of practical opportunities to deliver babies during the trainings. This mechanism is seen to sustain reductions in maternal and neonatal mortality</t>
  </si>
  <si>
    <t>Capacity building of HC midwives through MCAT meetings is a great way of learning, providing all midwives the opportunity to practice their clinical skills and share their</t>
  </si>
  <si>
    <t>The project was finished by Nov 2016. A new extented agreement was contracted from Mar - Oct 2017 to support Midwifery Coordination Alliance Team Meeting and support to health center to build capacity of Midwives on sexual reproductive, maternal and newborn health, which is part of the previous project. The new contract aim to advocate to provinical health department to keep continue this activities after the project ended.</t>
  </si>
  <si>
    <t>The 6-month progress report and annual report are available at CARE CO stored drive, to be provided up on request</t>
  </si>
  <si>
    <t>Lendwithcare</t>
  </si>
  <si>
    <t>The Jimmy Choo Foundation</t>
  </si>
  <si>
    <t>Tracey Horner</t>
  </si>
  <si>
    <t>Head of Lendwithcare</t>
  </si>
  <si>
    <t>horner@careinternational.org</t>
  </si>
  <si>
    <t>Provide loan capital to poor and low-income individuals, mainly women, who want to start or expand a small business.</t>
  </si>
  <si>
    <t>The province of Battambang.</t>
  </si>
  <si>
    <t>Women and men with existing income-generating activities who are excluded from the formal financial sector. The main impact group in Cambodia are rural farmers.</t>
  </si>
  <si>
    <t>Direct participants are those who received a loan to invest in their business from Lendwithcare lenders.
Indirect participants have been calculated by adding up all of the dependents of the entrepreneurs who received a loan in FY17 and the people who have been employed in their businesses. We are not able to disaggregate the data for indirect participants by male and female so I have disaggregated the dependents number based on a UN consensus and the number of employees by 10:90 (female:male) since most of the work is casual farm labour, which is predominantly done by men.</t>
  </si>
  <si>
    <t>There were no important changes or adjustments made.</t>
  </si>
  <si>
    <t>Microfinance was used as the strategy to meet our Financial Inclusion and WEE objevtives.</t>
  </si>
  <si>
    <t>Peer-to-peer lending was used as the strategy to raise loan capital for the beneficiaries businesses.</t>
  </si>
  <si>
    <t>A Social Performance and Impact rating was used to monitor the social impact of our implementing partner.</t>
  </si>
  <si>
    <t>Changes to the operating status of an implementing partner can have an impact on how effectively they can meet their social mission.</t>
  </si>
  <si>
    <t>Big fluctuations in foreign currency (especially during politically uncertain times) impacts on the amount of money received by our implementing partners.</t>
  </si>
  <si>
    <t>This is an on-going project so we do not have a budget for the life-time of the project. The number given here is how much loan capital was raised through the Lendwithcare platform for Cambodia in FY17.
Lendwithcare does not use gender, resilience or governance scorecards as part of its programming so we have had to answer no to all the questions related to these. However, an outcome of 'harmful' (particularly with regards to women's empowerment and gender equality) seems in accurate since this initiatve focuses heavily on Women's Economic Empowerment, with 72% beneficiaries that are female.</t>
  </si>
  <si>
    <t>Catapult to Impact in Cambodia</t>
  </si>
  <si>
    <t>KHM 214   KH 352</t>
  </si>
  <si>
    <t>To strenthen CARE Cambodia's role in emergency response, and to lessen the impact of increasing hazards on vulnerable communities</t>
  </si>
  <si>
    <t>Prey Veng and Ratanak Kiri provinces of Cambodia</t>
  </si>
  <si>
    <t>Members of disaster management committee at sub-national level in project target areas
Emergency response team (ERT) and staff of CARE Cambodia
CARE's pre-partner staff for emergency response</t>
  </si>
  <si>
    <t>Members of disaster management committee at sub-national level, CARE staff, and CARE's pre-partner staff for emergency response, attended the project activities such as, trainings and workshops are caculated as direct participants.
The indirect participants are calculated to people receive sharing knowledge from direct participants; people receive and use emergency preparedness and response plan (EPRP). This indirect participants are government official and agencies at sub-national level and communities people.</t>
  </si>
  <si>
    <t>In July 2017, the Emergency Coordinator organized the end project reflection and learning workshop in Mondul Kiri in order to bring together the disaster management committees who have involved in the project implementation at the provincial and district levels come to one place for discussion. A total of 19 (7 women) participant from PCDMs, DCDMs, and CARE staff reviewed and discussed on key issues of partnership and cooperation, and participation.
The workshop aims to reflect and learn on project achievements; to identify and reflect on key issues affecting implementation; and to identify areas for improvements.
The workshop applied a methodology of reviewing and presenting the key achievements; two divided groups by geographic areas for discussions; sharing and clarifications in the plenary discussion.</t>
  </si>
  <si>
    <t>CARE Cambodia is a part of HRF and JAG working on DRR and emergencies to raise up concerns/issues to govt and stakeholders.
Establishment of Mekong Emergency Response Team (MERT) of CARE Countries Offices. This aims to improve resources for emergency response and to share information of disaster crossboundaries.</t>
  </si>
  <si>
    <t>Provided training on gender in emergencies to local NOGs working in CARE's target areas.
CARE has contributed the knowledge and experience on gender in emergencies to the members of humanitarian response forum (HRF).</t>
  </si>
  <si>
    <t>Due to the Tropical Storm SUNCA happening in July 2017 and heavy rainfall in the moonson season, the donor of this project has provided cost extension for two months from August to September 2017. This extension aims to better prepare subnational disaster management committees in Ratanak Kiri and Prey Veng provinces to respond to flooding that is likely to occur in this monsoon season, lessening the impact that extreme weather may have on communities in remote Cambodia.</t>
  </si>
  <si>
    <t>Emergency Preparedness and Response Plan (EPRP) has been updated and made for hundreds workbooks for distribution to all concerned stakeholders in four target districts. This EPRP development is made on a right time of moonson season coming.</t>
  </si>
  <si>
    <t>CARE Cambodia has an updated EPP for using this moonson season.</t>
  </si>
  <si>
    <t>Documents of Mekong Emergency Response Team (MERT) plateform has been finalized. A proposal to form the MERT was presented to the Mekong Leadership Team (MLT) in Melbourne in April 2016. However, this plateform seems do not have commitment and resource funding supports from heads of COs and MLM (the Mekong Leadership Team).</t>
  </si>
  <si>
    <t>Empowerment and resource provision to PCDM and DCDM on updating/developing emergency preparedness and response plan (EPRP) has been shown the ownership and productive.</t>
  </si>
  <si>
    <t>The completion of gender, governance and resilience marker provided as requested.</t>
  </si>
  <si>
    <t>Sewing for a Brighter Future (2828) and Healthy Food Healthy Workplace (new)</t>
  </si>
  <si>
    <t>KHM 186/KH368</t>
  </si>
  <si>
    <t>Levi Strauss Foundation</t>
  </si>
  <si>
    <t>KHM 223/KH367</t>
  </si>
  <si>
    <t>The Children Place (TCP)</t>
  </si>
  <si>
    <t>Improving Worker Well being throug knowledge, understanding and reflect positive behaviour changes on: Sexual/reproductive health (SRH), Maternal and Newborn health, Nutrition and Hygiene, Financial literacy, and sexual harassment, HIV/ AIDs.</t>
  </si>
  <si>
    <t>Phnom Penh and Kandal province, Cambodia</t>
  </si>
  <si>
    <t>The garment factory workers have improved knowledge, understanding and reflect positive behaviour changes on: 1. Sexual/reproductive health (SRH), 2. Maternal and child health (MCH), 3. Nutrition and Hygiene, 4. HIV/ AIDs, 5. Financial Literacy</t>
  </si>
  <si>
    <t>Direct participants in SBF are the workers who attent the training which conduct by the factory training team including the training team. The participants the topic cover in project such as:
Workers who have 18 - 30 age receive 1 hours awareness session on reproductive health.
Worker recieve 1 hours awareness session on the financial literacy.
Pregnant worker or female or male workers who will be a parent recieve the 2 hours awareness session on Maternal &amp; New Born Health.
Nutrition awareness sesssion at Lunch time to worker have lunch at the canteen, aim they can reflected their lunch behaviors.
Adm, compliance, HR staff, security gards, Line Leaders, and 3 workers in the each line recieve the 5 session of Sexual Harrassment awarenession.
Indirect participants in SBF are all workers who recieved information from the workers who attend in the training session and they share what they learned.
Direct participants in HFHW are workers who attend the training with the project training on Nutrition and Hygiene and through the awareness session.  
Indirect participants in HFHW all workers and family member who recieved information from the worker who attended the session through the project.</t>
  </si>
  <si>
    <t>CARE plan to conduct a quantitative survery for baseline of HFHW project focus on knowledge and practive of food consumption among female factorty worker in the project coverage areas.</t>
  </si>
  <si>
    <t>SBF Adoption of a new way to implement the project such as: 
Revise the training material make more simple and easy to understand base on the target situation.
Finding the new way to implementation activities by specific on the target:
Sexual reproductive health (contraceptive and Safe abortion) with the workers limited age 18 - 30 year olds.
Maternal and New born health focus on the pregnant workers and worker who interest to this topic. Including counselling from the midwife to better understand around birth prepareness, ANC, PNC, and new born care.
Develop the financial literacy manual that comply with the workers suituation and reflect their behavior.
Adupt Nutrition and Food hygiene session plan to reflect thier eating behavior and let them know on how healthy eating is.
HFHW will conduct Human Center Designe to find out what is the workers issue, barria and practice related gainst nutrient through their daily behavior.
Human Center Designe will find method for improving their knowledge on nutrition and food hygiene among worker and food vendor.</t>
  </si>
  <si>
    <t>we conducted training to workers on sexual reproductive health ( contraceptive and safe abortion), financial literacy, nutrition and food hygiene, maternal &amp; new born, sexual harrassment. And the workers who attended the training share information what they learn to thier family and friend in the factory and communities.</t>
  </si>
  <si>
    <t>In this FY, the project has been meet the project expected results on providing knowledge to garment factory workers in the target 6 factories that contributing to addressing CARE's approach on improving sexual reproductive health, gender role and women empowerment.</t>
  </si>
  <si>
    <t>Factory training team capacity building and Research development of a BCC framework</t>
  </si>
  <si>
    <t>Management, facilitate, support and encouragement and BCC media</t>
  </si>
  <si>
    <t>Formal training approach and orientation and Working with food vendors</t>
  </si>
  <si>
    <t>Meeting and develop activities plan with the factory and agreed on the implement plan. Regularly update the progress and challenges and solving basis.</t>
  </si>
  <si>
    <t>Factories management teams are aware of the SBF project and implementation support required from the factory.</t>
  </si>
  <si>
    <t>Strong networking and community with the project partners and stakeholders like GMAC, and local sub-grantee</t>
  </si>
  <si>
    <t>The roll out for the SBF project for the year 2016 – 17 started in November 2016. There has been  changes in implementation approach from the previous years align with Improved Worker well being, which is a supply chain program introduced by LS &amp; Co. A detailed impact and needs assessment has been conducted to define focus areas under each of the training topics to ensure trainings meet the specific needs of workers.The capacity, skills and expertise of project sub-grantee (CWPD) on specific topics have been improved through Master Class and observation visits  conducted by CARE staff and technical experts. The training process as the following:
- Sexual Reproductive Health  - 1 hour awareness session - focus on limitted age 18-30 of garment workers.
- Maternal and New born Health - 2 hours awareness session - focus on the pregnant workers and the workers who interest or just married .
- Nutrition &amp;Hygiene - conducted lunch time to reflect workers behavior of their eating.
- Financial literacy - coducted the 1 hours awareness in working time to 50% of total workers in each factory.
- Sexual Harassment - 5 session conduct to Office staff, Line leaders, security gards, and workers.</t>
  </si>
  <si>
    <t>Need Assessment report, Project proposal, Project SBF interim report (Nov 2016- Mar 2017)</t>
  </si>
  <si>
    <t>Consultancy Work (Technical Assistance to Plan International on Multilingual Education pre school) (2819), PCTFI Additional Grant (2820) ,  Technical Assistance to the Ministry of Education on Multilingual Education (2821) Multilingual Education Teacher Training (2822) , and Educate a Child – Ethnic Minority Children in Cambodia  (2823)</t>
  </si>
  <si>
    <t>KHM040/ KH363</t>
  </si>
  <si>
    <t>KHM040/ KH344</t>
  </si>
  <si>
    <t>Patsy Collins Trust Fund Initiative</t>
  </si>
  <si>
    <t>KHM040/ KH358</t>
  </si>
  <si>
    <t>KHM040/ KH349</t>
  </si>
  <si>
    <t>Maitri Trust</t>
  </si>
  <si>
    <t>KHM212/ KH345</t>
  </si>
  <si>
    <t>Educate a Child</t>
  </si>
  <si>
    <t>To improve education  for ethnic minority students in Multi-Lingual Education (MLE) schools through buidling capacity of teachers, provision of technical assitants to district, provincial offic of education and Ministry of Education, Youth and Sport to implement the Multilingual Education National Action Plan (MENAP) which envisages expanding the MLE in more schools and more languages.</t>
  </si>
  <si>
    <t>Ratanak Kiri , Stung Treng, Kratie and Mondul Kiri Provinces</t>
  </si>
  <si>
    <t>Indigenous pre-school teachers, Indigenous teachers , Indigenous state school teachers , community leaders , indigenous students in remote areas of Cambodia and Government officials of the Ministry of Education, government officials at provincial level.</t>
  </si>
  <si>
    <t>Direct beneficiaries refer on number of student attent MLE schools in four north-eastern provinces in Cambodia, namely Ratanak Kiri, Mondul Kiri, Kratie, and Stung Treng to improve the accessibility of school in ethnic minority communities. In addtion, the MLE teachers and core trainer from national and local education department who received training from project were included in the direct beneficiary.
 Indirect: was calculated by multiplying total beneficiaries to 5.1 and minus the total of direct beneficary, the average size of a household in the project coverage areas. It is expected that the other members of the family will benefit in the future from students attending school.</t>
  </si>
  <si>
    <t>Delivery process and project implementation of activities and provided the technical advice to national core trainers on how to train sub-national core trainers and then supported the national core trainers to conduct ToT training to sub-national core trainers and then nation and sub-national core trainer to delivered training workshops to teachers. This approach builds the capacity of educational actors at multiple levels of government, to encourage the MoEYS to take ownership of the program and ensure the future in Cambodia. CARE Cambodia works towards the sustainability of the program by holding talks with the MoEYS, PoEs, and DoEs for the transition of MLE community teachers to contract teachers and state school teachers. 130 community teachers (46 women) from four provinces—Ratanak Kiri, Mondul Kiri, Kratie and Stung Treng—were recognised as contract teachers by the MoEYS and are now on the government’s payroll.  Also, in February 2017, 20 community teachers (five women) were promoted to state school teacher positions, which provides them with a greater level of job security and elevates their social standing in school, their communities, and with the government.  During an interview with CARE, one teacher said that the promotion meant she could provide a better standard of living for her young family.  The promotion of these teachers highlights the fact that the government is extending their support for and ownership of multilingual education in Cambodia. CARE advocated with the Provincial Office of Education (PoE), Ratanak Kiri, Mondul Kiri and Stung Treng to recruit indigenous students to attend Regional Teacher Training College in Stung Treng, Along with this, indigenous students who study at  the Regional Teacher Training College have significantly contributed in increasing the schooling/enrolment of the ethnic minority children in the MLE program</t>
  </si>
  <si>
    <t>CARE has been a member of the Chiild Friendly Schools Steering Committee but this meeting is rarely convened by the Ministry anymore. These discussions are taken to other platforms such as the Education Sector Working Group (ESWG) and the Joint Technical Working Group (JTFW). The ESWG is the meeting among Development Partners currently chaired by UNICEF and representation of civil society agencies through the NHO Education Partnership (NEP), a membership organisation for NGOs working on education. The JTWG is the meeting between ESWG and the Ministry chaired by the Minister and the highest platform for policy dialogue. CARE is now a member of these meetings and represented by the Assistant Country Director Programs. NEP is currently discussing how to best select representatives through NEP for this platform.</t>
  </si>
  <si>
    <t>Delivery process and project implementation of activities and provided the technical advice to national core trainers on how to train sub-national core trainers and then supported the national core trainers to conduct ToT training to sub-national core trainers and then nation and sub-national core trainer to delivered training workshops to teachers. This approach builds the capacity of educational actors at multiple levels of government, to encourage the MoEYS to take ownership of the program and ensure the future in Cambodia.</t>
  </si>
  <si>
    <t>Build the capacity of government officials to take over the training of the Multilingual Education (MLE) to Indigenous teachers in pre-school and primary school , Indigenous state school teachers , community leaders , indigenous students  in remote areas of Cambodia.</t>
  </si>
  <si>
    <t>Advocated with the Provincial Office of Education (PoE), Ratanak Kiri, Mondul Kiri and Stung Treng to recruit indigenous students to attend Regional Teacher Training College in Stung Treng, and works towards the sustainability of the program by holding talks with the MoEYS, PoEs, and DoEs for the transition of MLE community teachers to contract teachers and state school teachers on the government’s payroll.  and promoted to state school teacher positions, which provides them with a greater level of job security and elevates their social standing in school, their communities, and with the government.</t>
  </si>
  <si>
    <t>Providing technical support to the MoEYS in replicating this model of multilingual  education in Cambodia to ensure complete ownership of the MLE program by the Ministry of Education.</t>
  </si>
  <si>
    <t>The Minister of Education continues to strongly endorse the MLE program. MoEYS has taken ownership of Multilingual Education and the goal of handing over MLE to the MoEYS is on target for full handover by July 2017.  The Multilingual Education National Action Plan (MENAP) was approved by minister of MoEYS by October 2015, and launched on 1 March 2016 at Kratie province, one of CARE coverage province.The Multilingual Education National Action Plan is very essential for the implementation of the MLE program, as well as to promote the plan which aims to expand MLE in Cambodia so that more children can access education in their own language</t>
  </si>
  <si>
    <t>The MLE program in Cambodia is widely recognized by agencies such as UNESCO and UNICEF, especially because the Ministry is now taking ownership of the program. CARE has been invited to share this learning by UNESCO and CIES to tended the Fifth International Conference for Language and Sustainable Development in Bangkok Thailand. This conference brought together about 350 government officials, implementers and scholars from 34 countries, mainly from the Asia Pacific region, Europe, Australia and the USA, to discuss language policies, and good practices on multilingual education. Cambodia are seen as guiding countries because of their success on policy development, replicable models and experience supported by evidence based research.</t>
  </si>
  <si>
    <t>Commune elections were conducted across Cambodia in June 17.  During this period, all NGOs were instructed to cease activities that involved meeting with government officials, including all MoEYS officials which this project works with.  This restriction caused some delay in implementing project activities. To overcome this challenge, project staff rescheduled those activities which required the participation of MoEYS and other government department officials to later dates.  This process was handled smoothly, made possible through CARE’s positive, long-standing relationship with the ministries.</t>
  </si>
  <si>
    <t>After 15 years of developing school programs and working with teachers to make the shift to multilingual education, CARE is now in the process of handing over the program to be administered by the Ministry of Education, Youth and Sport (MoEYS). CARE has a Memorandum of Understanding with the MoEYS, which outlines facilitation guidelines, CARE employment counterpart designation, efficiency and transparency and open communication to assist planning, management and problem solving and that community teachers are recognised by MoEYS by the end of the project. The 2016/17 financial year is the third of a three-year handover period, in which CARE will work with communities, teachers and the government to best train and develop a system for a sustainable multilingual education. Multilingual education is in 78 primary schools in four provinces in Cambodia reaching 5,600 students (2,683 of which are girls), supported by the Patsy Collins Trust Fund Initiative(PCTFI), the Maitri Trust Fund, the UNICEF, the Australian government, Aide et Action International and private donors.</t>
  </si>
  <si>
    <t>Project documents and progress report; to be provided up on request.</t>
  </si>
  <si>
    <t>Safe Workplaces, Safe Communities (SWSC) (2831) and Protections for Marginalised Urban Women Project (PMUW)  (2832)</t>
  </si>
  <si>
    <t>KHM207</t>
  </si>
  <si>
    <t>KHM210</t>
  </si>
  <si>
    <t>The overarching goal of these projects is that marginalised urban women in Cambodia, especially female migrants working in garment factories and hospitality/tourism industries, are benefitting from improved gender-based violence and sexual harassment protections in the workplace and outside work settings.</t>
  </si>
  <si>
    <t>9 districts across  Phnom Penh, one activities Whystop campaign and Whystop short film competition was organised across country.</t>
  </si>
  <si>
    <t>Female workers from garment, hospitality and tourism industries</t>
  </si>
  <si>
    <t>Direct beneficiary: female worker under tourism and entertainment and factory industry in Phnom Penh.
Indirect benificaries : refered to individual woman who is impacted by the project implement while indirect benificaries refers to individual who is make or participate in women's life including polices, governement officials, employers and tuk tuk driver etc.</t>
  </si>
  <si>
    <t>The project has developed a prevention and respond package to address Sexual Harassment with consultating with senior represenatives in garment industry.</t>
  </si>
  <si>
    <t>The project is currently working closely with stakeholders event projects finished but the dialouge mongnst stakeholders is still going on. Now the package has been scaled up to the regional in upcoming ANCP funding</t>
  </si>
  <si>
    <t>The multi-media BCC package is now scaling up to implement within the regional “STOP” project including, Laos, Vietnam, Myanmar within the government sector. Through the STOP project, CARE Cambodia will conduct a M&amp;E system to capture better on learning of the BCC package while other countries are preparing the SH consultation policy development. The PMUW project staff will play an important role share learning from the PMUW implementation.</t>
  </si>
  <si>
    <t>#WhyStop Campaign ideally to engage men better to say why sexual harassment is bad and how it affects women’s life, now has moved to schools and it linked to the national curriculum in the ethical training session.</t>
  </si>
  <si>
    <t>To engage men, and to influence a behavior change, CARE needs to focus our messaging to men on WHY sexual harassment must stop.</t>
  </si>
  <si>
    <t xml:space="preserve"> Basing project activities on clear evidence leads to greater buy-in from stakeholders.</t>
  </si>
  <si>
    <t>Evidence based research coupled with focussed and piloted activities can provide great leverage for new funding or scaling-up of activities by other projects.</t>
  </si>
  <si>
    <t>Safe Workplaces, Safe Communities Endline : will get approve from ACD-P and PMUW endline study : Will get approval to share from ACD-P</t>
  </si>
  <si>
    <t>School Governance Phase III (the project was continue from last  year porject school govvernance phase I and phase II code 2824, that ended in Dec 2016, and continue another year</t>
  </si>
  <si>
    <t>KHM040/KH372</t>
  </si>
  <si>
    <t>Improved community participation in school management and governance – and therefore capacity-building of SSC (School support committees) DTMT1s (District Training and Monitoring Team) and DTMT2 and Ministry of Education Youth and Sport National Core Trainer backing, in all primary schools in Ratanak Kiri and Mondul Kiri provinces.</t>
  </si>
  <si>
    <t>All primary schools in Ratanak Kiri province and  Mondul Kiri province, Cambodia</t>
  </si>
  <si>
    <t>Ministry of Education Youth and Sport National Core Trainer, District Training and Monitoring Team (DTMT1)  and DTMT2 and School Support Committees (SSC).</t>
  </si>
  <si>
    <t>Direct beneficiaries refer on number of school support committee (SSC) in 291 state primary schools in two north-eastern provinces in Cambodia, Ratanak Kiri and Mondul Kiri, and  DTMT1 and DTMT2  core trainer from national and sub-national levels of government who attended ToT training from project.                                                                                                                                                                                                
 Indirect: was students who study in the schools that benefit from improved capacity of SSC and core trainer of DTMT at national and subnational of MoEYS.</t>
  </si>
  <si>
    <t>Delivery process and project implementation of the project built capacity of school support committees in all primary schools in the two provinces and built capacity of national core trainers on how to train sub-national core trainers (DTMT1 and DTMT2) and then supported the national core trainers to conduct ToT training to sub-national core trainers (DTMT1 and DTMT2) and then nation and sub-national core trainer to delivered training workshops to school support committee. This approach builds the capacity of educational actors at multiple levels of government, to encourage the MoEYS to take ownership of the program and ensure the future in Cambodia.</t>
  </si>
  <si>
    <t>CARE has been a member of the Child Friendly Schools Steering Committee but this meeting is rarely convened by the Ministry anymore. These discussions are taken to other platforms such as the Education Sector Working Group (ESWG) and the Joint Technical Working Group (JTFW). The ESWG is the meeting among Development Partners currently chaired by UNICEF and representation of civil society agencies through the NHO Education Partnership (NEP), a membership organisation for NGOs working on education. The JTWG is the meeting between ESWG and the Ministry chaired by the Minister and the highest platform for policy dialogue. CARE is now a member of these meetings and represented by the Assistant Country Director Programs. NEP is currently discussing how to best select representatives through NEP for this platform.</t>
  </si>
  <si>
    <t>The project built capacity of school support committees in all primary schools in the two provinces and built capacity of national core trainers on how to train sub-national core trainers (DTMT1 and DTMT2) and then supported the national core trainers to conduct ToT training to sub-national core trainers (DTMT1 and DTMT2) and then nation and sub-national core trainer to delivered training workshops to school support committee. This approach builds the capacity of educational actors at multiple levels of government, to encourage the MoEYS to take ownership of the program and ensure the future in Cambodia.</t>
  </si>
  <si>
    <t>no important change.</t>
  </si>
  <si>
    <t>Build capacity of DTMT1 and DTMT2 members (District Training and Monitoring Team) to promote community involvement for education with special focus on culturally diverse SSCs (School Support Committees) and staff from the Regional Teacher Training College knowledge of participatory approaches, diversity and gender.  Improved results of existing DTMT1 and DTMT2 members, MoEYS core trainers and staff from the Regional Teacher Training College knowledge on delivering more effective of teaching and learning.</t>
  </si>
  <si>
    <t>Build capacity of Functioning School Support Committees who understand the roles and responsibilities following the Ministry Guideline on the Establishment and Functioning of Primary School Support Committees. In the school and then find good solution the address in this problem.</t>
  </si>
  <si>
    <t>Strengthen the utilisation of existing materials and manuals for community participation in school development of the Ministry of Education.</t>
  </si>
  <si>
    <t>The District Training and Monitoring Teams (DTMT1 and DTMT2) from which the Core Trainers are selected are appointed by government officials with other responsibilities as well. This puts enormous workloads on these core trainers. The Ministry of Education, Provincial Office of Education and District Office of Education knew clearly about their roles and responsibilities for the Primary Education activities. CARE Cambodia has supported to the MoEYS,DTMT1,DTMT2 and School Support Committee and help them to get well functioning with their tasks, We all should regained that the CARE's work activities is not only belong to CARE it is really for us altogether.</t>
  </si>
  <si>
    <t>In June 2017, commune elections were conducted across Cambodia.  During this period, all NGOs were instructed to cease activities that involved meeting with government officials, including all MoEYS officials which this project works with.  This restriction caused some delay in implementing project activities. To overcome this challenge, project staff rescheduled those activities which required the participation of MoEYS and other government department officials to later dates.  This process was handled smoothly, made possible through CARE’s positive, long-standing relationship with the ministries. It should also be noted that according to election observers these commune elections were largely free and fair. This evaluation is collaborated with the outcome that the ruling party after thirty years lost a third of their votes in the commune elections. This indicated no fraud in the elections as it reflects the decreasing popularity of the ruling party.</t>
  </si>
  <si>
    <t>Although it is very positive that now all School Support Committee members are informed about their roles and responsibilities, they have opportunity to join with all the school activities such as: support children's access to school, the monitoring of children's attendance and performance, the monitoring of teachers' attendance, the creating and implementing of School Improvement Plan and monitoring to the school budget expenditure. This means there is still a need for greater understanding on the roles of the School Support Committee. This means that without refreshers and prolonged follow up by the District Training and Monitoring Teams the knowledge may sink away after some time. CARE has a Memorandum of Understanding with the MoEYS, which outlines facilitation guidelines, CARE employment counterpart designation, efficiency and transparency and open communication to assist planning, management and problem solving and that community teachers are recognised by MoEYS by the end of the project. The 2016/17 financial year is the School Governance Phase III period, in which CARE working with school support communities, teachers and the government to best train and develop a system for a sustainable of education MoEYS core trainers and staff from the Regional Teacher Training College knowledge on delivering more effective of teaching and learning. School Governance education Phase III project is in 295 primary schools in two provinces in Cambodia reaching 1,983 (418 of which are women) supported by the Capacity Building Partnership Fund (EU and SIDA) through UNICEF.</t>
  </si>
  <si>
    <t>Know &amp; Grow (2817), Microscopes Project (2816) and Team4Teach (new project)</t>
  </si>
  <si>
    <t>KHM 213  KH351</t>
  </si>
  <si>
    <t>KHM040/ KH361</t>
  </si>
  <si>
    <t>KHM224/KH369</t>
  </si>
  <si>
    <t>Team 4 Tech</t>
  </si>
  <si>
    <t>To improve marginalized ethnic minority adolescent girls and boys to expand their life options through access to quality learning for the 21st Century and equip them with the knowledge and skills needed to be engaged ASEAN citizens in preparation for ASEAN integration 2015</t>
  </si>
  <si>
    <t>Ratanak Kiri province of Cambodia covering 11 lower secondary schools.</t>
  </si>
  <si>
    <t>Ethnic minority girls and boys enrolled in 11 target lower secondary schools (grade 7-9) in rural areas of Ratanak Kiri Province</t>
  </si>
  <si>
    <t>The direct beneficiary is an estimated total number of students and teachers grade 7-9 that study at the 11 schools and one more high school in Banlong under the project converage areas for period 2015-2020 under the life of the project. 
The indirect beneficiary is estimated based on the average of number of members of family size (5.1 people per housewhole) by multiply to the total number of students,  as assume that each students will get indirect impact to their family members in their community.</t>
  </si>
  <si>
    <t>The project aims to improve application of ICT into lower secondary schools, thus will measure education outcome of the student as compare with students/schools that did not use the ICT. In addition, SRH subject were included into the training to improve knowledge of student, that expect delay early age of pregnency,  as it is one of the concern issue.</t>
  </si>
  <si>
    <t>Due to the delay of consutant selection to conduct baseline, the project activities was also delayed, there was no top strategy or model to be indentify and prove effective yet.</t>
  </si>
  <si>
    <t>The project is relied on consultant to develop application for career counseling; however, after the consultant completed their task, they could not manage to develop the prototype for developement the mobile app yet. This lead to deley some activities at the ground.</t>
  </si>
  <si>
    <t>Cameroon</t>
  </si>
  <si>
    <t>Projet d'Aide d’urgence aux populations déplacées et communautés hôtes affectées par l’insécurité au Cameroun 2015/2016</t>
  </si>
  <si>
    <t>CCANCM0001 - CA 357</t>
  </si>
  <si>
    <t>CCANCM0001 - FR 777</t>
  </si>
  <si>
    <t>Government - France</t>
  </si>
  <si>
    <t>Mairie de Paris – MdP</t>
  </si>
  <si>
    <t>CCANCM001 - FR 786</t>
  </si>
  <si>
    <t>Direct Aid Programme - DAP du Haut-Commissariat d’Australie au Nigeria</t>
  </si>
  <si>
    <t>Robert PALE</t>
  </si>
  <si>
    <t>Gestionnaire de projet</t>
  </si>
  <si>
    <t>pale@carecameroun.org</t>
  </si>
  <si>
    <t>Dr Yssouf OUATTARA</t>
  </si>
  <si>
    <t>Directeur-Pays Adjoint Programme et Partenariat</t>
  </si>
  <si>
    <t>ouattara@carecameroun.org</t>
  </si>
  <si>
    <t>Eviter que les populations ne s’engagent dans des stratégies de survie négatives et puissent vivre avec un minimum de dignité</t>
  </si>
  <si>
    <t>Départements du Mayo Sava (Arrondissement de Tokombéré et Mora (canton de Mémé) et du Diamaré (arrondissement de Maroua II et Maroua III)</t>
  </si>
  <si>
    <t>Populations déplacées (IDP et retournés) et communautés hôtes vulnérables</t>
  </si>
  <si>
    <t>Les participants directs sont les déplacés internes, les rétournés et les populations hôtes qui bénéficient directement de l'action et des interventions du Projet: Les comités de gestions des points d'eau, les déplacés internes, les femmes, les hommes, les jeunes filles et femmes, les usagers de l'eau, les populations sensibilisées sur les thématiques en lein avec l'eau, hygiène et assainissement.                                                                                                                                        Les participants indirects sont ce qui appui l'action et joue le rôle d'interface entre l'équipe du Projet et les bénéficiaires directs: Artisans réparateurs, les Agents Communautaires Eau, Hygiène et Assanissement, les élus locaux, les leaders traditionnels, les leaders réligieux, les leaders d'opignion, les autorités administratives et les services déconcentrés de l'Etat (MINEE, MINSANTE etc... .)</t>
  </si>
  <si>
    <t>Distrubtion en nature et bons / vouchers</t>
  </si>
  <si>
    <t xml:space="preserve"> Les Unités d’analyse sont :
o Les ménages, Les structures de dialogue communautaire (Comité des Aires de Santé (COSA), Comité de Santé de District (COSADI) et Comité de Gestion de District de Santé (COGEDI), Les Comités de Gestion des Points d’eau (liste à établir par commune); Les formations sanitaires.
TYPE D’ENQUETE 
 L’enquête sera basée sur deux types d’étude :
Rétrospective (révision documentaire) et Transversale (Qualitative et Quantitative).
COLLECTE DES DONNEES
• Révision des documents existant relatifs à la gestion de l’eau, décision de création de comité de gestion de l’eau, rapports  d’activités, rapport de formation sanitaire etc. Une grille sera  utilisée pour collecter les données lors de la révision. 
• Groupes de discussions avec un guide de discussion.
• Interviews avec les répondants clés avec un guide de l’interview.
• Interviews individuels par une enquête en grappe de la population adulte à l’âge de maturité (20 ans et plus) dans les ménages avec un questionnaire
TAILLE D’ECHANTILLONS
Groupe de Discussion:
• Population hôte du Village,Comité de gestion de point eau, Président du Comité de Développement du Village, Chef du village, Chef du District de Santé ou Responsable du Centre de Santé
Enquête en grappe de la population 
Chaque commune et sa population sera considéré comme une unité (strate). Le nombre de sujets nécessaires pour chaque commune sera déduit de la formule de l’intervalle de confiance à 95%
n = t² x p (1-p); m²; n = la taille  de l’échantillon; t = écart réduite pour le risqué consenti (valeur standard 1.96); p = proportion présumée chaque commune (en absence d’une proportion présumée pour chaque commune la valeur de p est assignée à 50% - valeur standard 0.5); m = risqué d’erreur à 6% (valeur standard à 0.06); Effet de grappe (Z) = 2
En appliquant cette formule au total 534 ménages seront tirés en 30 grappes (18 ménages par grappe), selon la technique de sondage mise au point par Henderson et Sundaresan en 1982.</t>
  </si>
  <si>
    <t>La micro assurance, un processus de mutualisation des comités de gestion des points d’eau qui se mette ensemble au niveau communal pour garantir la durabilité de la pompe et la santé de la communauté.
Elle repose sur six fondements suivants : 1) La durabilité de l'approvisionnement en eau potable dans les milieux ruraux, l’amélioration des services grâce à la participation du bénéficiaire ; 2) La viabilité de nos activités et de nos interventions ; 3) L’amélioration, et le maintien de la sante des communautés vulnérables, à travers la consommation des eaux saines ; 4) L’appui à la décentralisation des communes en matière de la gouvernance sur l’approvisionnement en eau potable ; 5) L’appropriation par les communautés bénéficiaires des interventions et ouvrages d’eau potable ; 6) Et la prise de conscience sur la responsabilité primaire, et le développement de la résilience des communautés des pays du tiers monde sortant des crises.</t>
  </si>
  <si>
    <t>La mise en œuvre de l’approche ATPC, approche qui ne nécessite pas une subvention, mais combinée à la méthode PHAST (Participatory Hygiene and Sanitation Transformation) ou Transformation Participative de l’Hygiène et Assainissement en français est une méthode participative introduite dans le projet pour accompagner les populations locales à identifier toutes les problématiques liées à l'hygiène et l'assainissement et proposer des solutions réalistes et réalisables pour apporter des changements réels dans leurs communautés respectives. Cette démarche qui a permis de retenir que les populations sont capables de construire leur latrine avec les matériaux locaux, cependant afin d’améliorer les pratiques d’hygiène, l’accès à un assainissement et de réduire les risques liés aux maladies diarrhéiques et de protéger leur environnement, le projet en concertation avec les populations a opté pour la subvention des dalles "SANPLAT"en bétons lavables aux bénéficiaires afin de réduire la pression sur les ressources forestières existantes pour protéger l’environnement et de réduire le risque de désertification. L’approche Haute Intensité de Main d’œuvre (HIMO) a été développée autour des constructions des points d’eau que ce soit les travaux nécessitant la main d’œuvre, les locaux étaient sollicités pour les travaux de construction des superstructures et la sensibilisation sur le reboisement autour des points d’eau pour l’ombrage.</t>
  </si>
  <si>
    <t>Le projet a mis un accent sur les activités de confection de dalles des latrines et de construction des superstructures des points d’eau à travers l’approche « CASH FOR WORK » et cela a permis une très bonne participation de la communauté aux travaux et l’impact se mesure au niveau d’amélioration des revenus des ménages et valorisation du métier de maçonnerie. La mobilisation des matériaux locaux étaient directement fait par les bénéficiaires.
D’autre part dans la mise en œuvre effective, parmi les 31 Agents Communautaires, les femmes représentent une proportion de 35 %.</t>
  </si>
  <si>
    <t>Dans nos interventions la prise en compte du genre pilier des interventions de CARE s’est améliorée grâce aux plaidoyers en direction des leaders, des époux et des sensibilisations pendant les activités de regroupement. Bien que le contexte de cette zone reste particulier le projet à travers ces interventions a pu faire participer de 25 % les femmes dans la mise en place des comités de gestion des points d’eau. 
Le projet s’est inspiré de l’analyse genre réalisée dans la zone d’intervention et s’est aussi appuyée sur le fait que la problématique du genre fait actuellement l’objet de plusieurs débats dans la région de l’Extrême-Nord. Pour cela, un taux acceptable de 30% de représentation des femmes était fixé. L’intégration des femmes dans les comités de gestion des points d’eau s’est fait sans difficulté. 
Les relations entre les hommes et les femmes ont contribuées à la réussite du projet. En effet, les hommes et les femmes se sont mis ensemble ou ont réunis leurs dynamismes afin de chercher l’excellence pour leurs communautés à travers un changement de comportement. Cette recherche de l’excellence a ainsi contribué à atteindre l’impact de 25 %</t>
  </si>
  <si>
    <t>Les stratégies développées dans la cadre de cette intervention étaient basées sur le travail en binôme lors d’organisation des activités de formations et d’envergure dans les sites d’intervention en direction des groupes d’impact. Cette stratégie a été adopté du fait que certains staff du projet ne connaissant pas la langue locale qui est d’autre terme une langue commerciale de la région notamment le « Foufouldé » ne pouvant pas animer une session de formation ou trianguler les informations collectées lors de ces sessions d’envergure descendait sur le terrain avec un autre membre de l’équipe du projet pour faciliter des éventuelles échanges. Parfois, des recourt aux personnes ressources bénévoles et agents communautaires comme acteurs du projet, parfois même les journaliers et des leaders qui pouvaient aider pour faciliter la communication.</t>
  </si>
  <si>
    <t>Une autre stratégie est l’accompagnement du Projet par les acteurs institutionnels, notamment le MINEE et le MINSANTE dans le cadre du renforcement des capacités de l’équipe notamment dans la réhabilitation des points d’eau, la construction et la mise en place de l’ATPC qui requiert leur compétence pour validation des normes standard prévue par la réglementation en vigueur au Cameroun.
Toutefois, il est à signaler l’accompagnement par l’équipe senior de CARE Cameroun dans le renforcement au quotidien de l’équipe de terrain en planification, suivi évaluation et de séances de renforcement de capacité interne</t>
  </si>
  <si>
    <t>L’Approche ATPC est réalisable dans les localités : En effet, la mise en œuvre de cette démarche a permis de retenir que les populations sont capables de construire leur latrine avec les matériaux locaux. Cependant, la sensibilisation sur l’importance des latrines est nécessaire pour déclencher les changements de comportements chez les populations et un appui en dalle lavable pour améliorer les pratiques d’hygiène, l’accès à un assainissement de base et la préservation des ressources naturelles existantes pour réduire la pression sur les formations boisées dans l’optique de réduire les risques liés aux maladies diarrhéiques.</t>
  </si>
  <si>
    <t>Mise en place du ciblage: Les bénéficiaires et les parties prenantes ont appréciés les résultats du ciblage, les plaintes et résident sur le ratissage où la plupart des personnes enquêtés ont pensé que c’était déjà l’enregistrement et accuse les personnes concernés d’avoir tronquée leur nom dans la liste finale. Il est important de mener de bonne campagne de sensibilisation sur le processus avant, pendant et après l’opération de ciblage.</t>
  </si>
  <si>
    <t>Les comités de suivi/plainte: Le projet a testé dans le cadre de la distribution directe et par coupons valeurs, le fonctionnement des comités des plaintes dans les villages concernées. Il ressort de l’analyse des résultats obtenus que, pour que les comités soient efficaces, il faut absolument retenir que des personnes qui ne sont pas impliquées dans la mise en œuvre pour éviter des accusations d’impartialité et nous pensons que les comités de plaintes ainsi qu’un numéro vert gratuit doit être disponible et mis à la disposition des populations dès le début des interventions.                                                                                                                                            La mise en place des comités de plainte ou la recevabilité : En réalité, la qualité des services rendus aux usagers peut être améliorée lorsque les voies de recours sont possibles et connues. Et quand les résultats des traitements sont diffusés aux plaignants ou aux usagers. Cette approche devrait être bien renforcée.</t>
  </si>
  <si>
    <t>Projet Communes et Organisations de la Société Civile Performantes pour des Populations Engagées et Résilientes (COOPERER)</t>
  </si>
  <si>
    <t>MAEX0002/FR817</t>
  </si>
  <si>
    <t>ANNE PERROT BIHINA</t>
  </si>
  <si>
    <t>Directrice Nationale de Care Internation Cameroun</t>
  </si>
  <si>
    <t>perrot@carecameroun.org</t>
  </si>
  <si>
    <t>PEINE Marceline</t>
  </si>
  <si>
    <t>Chef de Base CARE Maroua</t>
  </si>
  <si>
    <t>peine@carecameroun.org</t>
  </si>
  <si>
    <t>Contribuer à la stabilité sociale et économique des jeunes et des femmes dans les zones de vulnérabilités complexes et combinées (sécurité, climat, déficit structurel grave) au Cameroun.</t>
  </si>
  <si>
    <t>Cameroun, Région de l'Extrême-Nord, Départements du Mayo Kani (commune de Kaélé) et Département du Mayo Danay (Commune de Gobo)</t>
  </si>
  <si>
    <t>L'initiative compte toucher 30000 personnes pour l'amélioration de l'accès aux services de base (eau, santé) et 800 ménages pour l'amélioration du statut économique et la sécurité alimentaire</t>
  </si>
  <si>
    <t>L'initiative a travaillé avec les services étatiques (Ministère de l'Agriculture, Ministère de l'Energie et Eau) avec des activités de résilience (formaition en agro-écologie) et accès à l'eau potable</t>
  </si>
  <si>
    <t>L'initiative a renforcé les capacités de l'OSC Sana Logone pour pouvoir directement inclure les femmes et les jeunes dans les activités de la société civile : comités de gestion des points d'eau, associations villageoises d'épargne et de crédit, relais communautaire santé et eau</t>
  </si>
  <si>
    <t>Mise en place des Associations Villageoises d'Epargne et de Crédit (AVEC)</t>
  </si>
  <si>
    <t>Mise en place des Commissions Communales de Développement Economique et Social (CCODES)</t>
  </si>
  <si>
    <t>Mise en place des Comités de Gestion des Points d'Eau (CGPE)</t>
  </si>
  <si>
    <t>La mise en œuvre de l’action dans une commune dont les capacités institutionnelles et organisationnelles ont été renforcées et qui a pérennisé les acquis des initiatives antérieures est plus favorable à accompagner un nouveau projet et à financer les actions même au-delà de la vie du projet</t>
  </si>
  <si>
    <t>L'appropriation du projet par les bénéficiaires directs constitue une garantie pour la durabilité du projet</t>
  </si>
  <si>
    <t>o Note de Projet auprès du SCAC (Service de Coopération de d’Action Culturelle), Ambassade de France au Cameroun (Yaounde)
o Rapport Intermédiaire COOPERER, Novembre à Juillet 2017
o Cadre de performance du projet</t>
  </si>
  <si>
    <t>Projet d’accompagnement des bénéficiaires dans la mise en œuvre des activités du volet HIMO au Programme National de Développement Participatif (PNDP)</t>
  </si>
  <si>
    <t>CMR 788</t>
  </si>
  <si>
    <t>PEINE MARCELINE</t>
  </si>
  <si>
    <t>Coordonnatrice du programme résilience</t>
  </si>
  <si>
    <t>ACHILI ASANJI MELVIN</t>
  </si>
  <si>
    <t>Gestionnaire du projet HIMO</t>
  </si>
  <si>
    <t>achili@carecameroun.org</t>
  </si>
  <si>
    <t>Contribuer  à l’insertion des jeunes désœuvrés par la création d’emplois durables dans la partie septentrionale du Cameroun marquée par la sévérité du climat et l’insécurité engendrée par les attaques terroristes</t>
  </si>
  <si>
    <t>Région de l’Extrême-Nord à travers les Communes de Moutourwa, Mindif, Hina, Guidiguis, Gobo, Wina, Kaélé, Kar hay et Mokolo</t>
  </si>
  <si>
    <t>Les Jeunes femmes et hommes Camerounais âgés de 18 à 35 ans employés comme ouvriers sur les différents chantiers de réalisation des routes, mares d'eau et de construction du magasin dans les zones ciblées par le projet HIMO</t>
  </si>
  <si>
    <t>Les participants directs: sont les personnes pour qui CARE s'est engagé à s'améliorer et mesurer les changements pendant la durée du projet. Ce nombre a été déterminé par les objectifs fixés par le bailleur; soit 1350 bénéficiaires avec 30% (405) femmes de femmes et 70% (945) hommes.                                                                                                                                                                                                                                                                                          Les participants indirects: incluent toutes les personnes qui NE SONT PAS directement impliquées dans les activités du projet, qui NE REÇOIVENT PAS de soutien direct, des services, des biens, des ressources du projet, mais sont affectés par le projet. Par exemple :
- Les membres du ménage qui ne sont pas directement impliqués dans les activités du projet
- Les membres de la Communauté qui ne sont pas directement impliqués dans les activités du projet</t>
  </si>
  <si>
    <t>Cette évaluation sera faite par le PNDP</t>
  </si>
  <si>
    <t>Plaidoyé auprès des Communes pour la pérénisation des acquis du projet à travers la création des Commissions Communales HIMO (instance de prise en compte/ de suivi du processus d'insertion socio économique des jeunes au sein de l'exécutif communale); Plaidoyé auprès des leaders traditionnelles et des hommes dans les communautés pour l'enregistrement d'au moins 30% de femme comme bénéficiaires du projet;</t>
  </si>
  <si>
    <t>L'insertion socioéconomique des jeunes via la méthode haute Intensité de la Main d'oeuvre</t>
  </si>
  <si>
    <t>L'implication des Collectivités Térritoriales Decentralisées (CDT), des partenaires au développement (AFOP, FNE, GIZ), des sectoriels du gouvernement (MINFOP, MINEPIA, MINADER) et acteurs locaux dans la mise en œuvre du projet. Ceci à travers la création des cadres de reflexions au sein des Communes (Commission Communales HIMO) au au niveau communautaire (Comité Villageois HIMO) et entre les acteurs de developpement (Groupe sectoriel relèvement précoce).</t>
  </si>
  <si>
    <t>Formation, transfere de compétances technique sur divers thématique à savoir: La méthodologie et les outils du projet, La prise en compte du genre.</t>
  </si>
  <si>
    <t>La sensibilisation des leaders traditionnels, des membres des communautés a favoriser l'implication des femmes comme bénéficiaires du projet. Cela a contribuer à changer les préjugés des populations qui jusque là considérais certain metiers comme reservés aux hommes.</t>
  </si>
  <si>
    <t>La stratégie d'insertion socioéconomique en utilisant l'approche HIMO a permis d'inserer plus de jeunes que prévus. Cela a permi de lutter contre l'oisiveté des jeunes, la délinquance.</t>
  </si>
  <si>
    <t>La mise en place des Commissions Communales HIMO (CC HIMO) auprès de l'executif communale a permis a constitué un cadre de suivi des activités du projet, a constitué un cadre de reflexion sur la mise en œuvre du projet.</t>
  </si>
  <si>
    <t>La mise en place des Associations villageoises d'épargne et de crédit (AVEC) a permi de renforcer le pouvoir économique des femmes dans les ménages et celles des communautés cibles du projet. Cela a aussi permi d'impulser l'esprit d'initiative commune dans les localités cible, et en fin elle a permis de toucher un grand nombre de bénéficiaires par les méssages de sensibilisations</t>
  </si>
  <si>
    <t>Encourager les AVEC à dévelloper des AGR/microprojet pour booster d'avantage leurs pouvoirs économiques et faciliter la mise en place d'un reseau des AVEC</t>
  </si>
  <si>
    <t>Encourager les femmes à s'inscrire plus dans les AVEC</t>
  </si>
  <si>
    <t>Approfondire l'étude sur les filières porteuses dans les sites du projet afin d'orienter plus éfficacement les bénéficiaires vers les secteurs porteurs</t>
  </si>
  <si>
    <t>L'approche HIMO telle que décrite par la note méthodologique du projet est une innovation, elle a été expérimenté avec un grand succès au vu des résultats obtenus.</t>
  </si>
  <si>
    <t>Rapport final de la phase I du projet HIMO, Note méthodologique du projet</t>
  </si>
  <si>
    <t>Projet de Résilience et Autonomisation des femmes et des jeunes par la Formation et l'Epargne (RESAFE)</t>
  </si>
  <si>
    <t>FR242/SGNRCM001</t>
  </si>
  <si>
    <t>Directeur National Adjoint, Chargé des programmes et Partenariats</t>
  </si>
  <si>
    <t>Samuel LONDO</t>
  </si>
  <si>
    <t>Gestionnaire du Projet</t>
  </si>
  <si>
    <t>londo.carecameroun@gmail.com</t>
  </si>
  <si>
    <t>D'améliorer les opportunités d’insertion et de développement d'activités économiques génératrices de revenus des femmes et des jeunes en décrochage scolaire  dans trois (3) communes de la région du Nord.</t>
  </si>
  <si>
    <t>Le projet est situé dans les communes de Garoua I, Garoua II et Pitoa, dans le département de la Bénoué, Région du Nord, Cameroun</t>
  </si>
  <si>
    <t>Les femmes vulnérables et des jeunes en décrochage scolaire</t>
  </si>
  <si>
    <t>Les participants directs du projet RESAFE sont les femmes  et jeunes vulnérables (membres d'AVEC et/ou ceux formés pour les activités augmentant la résilience). le projet a prévu 22 AVEC( 12 AVEC femmes et 10 AVEC Jeunes) mais a permis la mis en place de 93 AVEC ; ce qui explique le fait que le nombre de bénéficiaires direct touché soit largement au dessus du nombre prevu.                                                                                                                                                          les bénéficiaires indirects du projet sont les membres des ménages dont sont issus les bénéficiaires directs (en moyenne 6 personne par ménage au nord selon le dernier recensement de la population). les femmes et filles représentent 51,4% de cette population</t>
  </si>
  <si>
    <t>Une évaluation est prévue en 2018 dans le cadre du projet Résilience financé en partie par l'AFD. Cette évaluation permettrra de comparer l'étude finale du Résafé.</t>
  </si>
  <si>
    <t>la mise en place des AVEC;</t>
  </si>
  <si>
    <t>les parteanaires des mise en œuvre(OSC), les agents d'encadrement de groupes</t>
  </si>
  <si>
    <t>formations à l'endroit des OSC, voyages d'echanges en côte d'Ivoire pour le renforcement des capacités à la mise en œuvre des AVEC, les descentes de suivis et supervisions à l'endroit de ces derniers</t>
  </si>
  <si>
    <t>On a pu obtenir  l'extension sans cout d'une periode de 6 Mois allant de Janv à Juin 2017 dü à l'insecurité dans la zone, le projet a pu mieux accompagner les communautés et ancrer  ainsi l'approche et le rôle de CARE</t>
  </si>
  <si>
    <t>Implication des agents d'encadrement de groupes AVEC</t>
  </si>
  <si>
    <t>La participation des hommes</t>
  </si>
  <si>
    <t>les AVEC/VSLA et le reseautage des AVEC</t>
  </si>
  <si>
    <t>La promotion des associations d’épargne et crédit est un moyen efficace de dynamisation des activités génératrices de revenus et de mobilisation sociale au sein des communautés qui a pu être adapté en milieu rurale et urbaine / péri-urbaine.</t>
  </si>
  <si>
    <t>Lorsque les femmes se mettent ensemble en associations ou en réseaux, elles deviennent plus confiantes, plus entreprenantes et peuvent plus contribuer aux revenues de leurs ménages</t>
  </si>
  <si>
    <t>l'insertion des jeunes a été suvies de prêt et a connue une forte implication de la delegation départementale de la Jeunesse de pitoa</t>
  </si>
  <si>
    <t>Cadre logique, Rapport semestriel juillet-décembre 2016, état d'avancement du projet (janvier-mars 2017)</t>
  </si>
  <si>
    <t>Projet de Résilience et résistance des femmes face aux aléas climatiques/ environnementaux (RESOFEMMES)</t>
  </si>
  <si>
    <t>FR170/CACFCM0001</t>
  </si>
  <si>
    <t>Cartier Charitable Foundation (CCF)</t>
  </si>
  <si>
    <t>Renforcer les capacités économiques et d’adaptation des femmes et de leurs communautés pour mieux  faire face aux aléas climatiques, et agir sur l’insécurité alimentaire</t>
  </si>
  <si>
    <t>Les femmes et leurs communautés</t>
  </si>
  <si>
    <t>Les participants directs du projet RESOFEMMES sont les femmes  et leur communauté (membres d'AVEC , les bénéficiaires de renforcement ABC et les bénéficiaires directs du SCAP).                                                                                                                                                          Les bénéficiaires indirects du projet RESOFEMMES sont les membres des ménages dont sont issus les bénéficiaires directs (en moyenne 6 personne par ménage au nord selon le dernier recensement de la population). les femmes et filles représentent 51,4% de cette population</t>
  </si>
  <si>
    <t>Une évaluation est prévue en 2018 dans le cadre du projet Résilience financé en partie par l'AFD. Cette évaluation permettrra de comparer l'étude finale du Résofemmes.</t>
  </si>
  <si>
    <t>les actions pour ameliorer l'anticipation et l'adaptation des communautés dans les pratiques agricoles  a travers la collecté des données pluviometriques</t>
  </si>
  <si>
    <t>la mise en place des AVEC; l'adaptation a base communautaire</t>
  </si>
  <si>
    <t>les agents d'encadrement de groupe; les partenaires de mise en œuvre (Organisations à base communautaires), les Volontaires communautaires</t>
  </si>
  <si>
    <t>les formations à l'endroit des OSC ,les suivis et supervisions d'activités</t>
  </si>
  <si>
    <t>On a pu obtenir  l'extension sans cout d'une periode de 4 Mois allant de Janv à Mars dü à l'insecurité dans la zone, le projet a pu mieux accompagner les communautés et ancrer  ainsi l'approche et le rôle de CARE</t>
  </si>
  <si>
    <t>les agents d'encadrement de groupe des AVEC</t>
  </si>
  <si>
    <t>l'implication des hommes</t>
  </si>
  <si>
    <t>les AVEC/VSLA</t>
  </si>
  <si>
    <t>Les populations des communautés rurales perçoivent plus aisément les effets des aléas climatiques sur leurs activités que celles des communautés urbaines. En conséquence, il faut adapter l’approche en milieu urbaine</t>
  </si>
  <si>
    <t>Le succès de la mise œuvre des plans d’adaptations dans les communautés n’est pas possible sans l’appropriation préalable des communes pour appuyer le co-financement et la pérennisation des solutions proposés.</t>
  </si>
  <si>
    <t>La promotion des AVEC (Associations d'Epargne et de Crédit) est une porte d'entrée efficace pour toucher les ménages et lutter contre la malnutrition</t>
  </si>
  <si>
    <t>la perception de la communauté par rapport aux Changements Climatiques a été plus visible en cette fin d'année fiscale qui marque également la fin du  projet (forte implication de la population)</t>
  </si>
  <si>
    <t>Cadre logique du projet, Rapport final du projet Résofemmes, Rappot dévaluation finale Résofemmes.</t>
  </si>
  <si>
    <t>Continuum of prevention, Care and Treatment (CoPCT) of HIV/AIDS with most at risk populations</t>
  </si>
  <si>
    <t>CMR074/217</t>
  </si>
  <si>
    <t>President Emergency Program for AIDS Relief PEPFAR</t>
  </si>
  <si>
    <t>Denis HYNES</t>
  </si>
  <si>
    <t>Chief of party</t>
  </si>
  <si>
    <t>dhynes@care.org</t>
  </si>
  <si>
    <t>Sandra Georges</t>
  </si>
  <si>
    <t>Deputy Chief of Party, Finace and administration</t>
  </si>
  <si>
    <t>sgeorges@care.org</t>
  </si>
  <si>
    <t>Réduire les infections VIH/IST et la morbidité y relative , et atténuer l'impact du VIH sur le developpement socio-économique du Cameroun</t>
  </si>
  <si>
    <t>Régions du Centre (Yaoundé), le Littoral (Douala),le Nord-Ouest (Bamenda)</t>
  </si>
  <si>
    <t>Les populations clés: les hommes ayant des relations sexuelles avec les hommes (HSH) et les travailleurs de sexe (TS)</t>
  </si>
  <si>
    <t>Les cibles du programme viennent d'un étude de base faite par le bailleur sur les populations clés au Cameroun. Les participants directs (population clés, les travailleuss de sexe et leur clients), sont les cibles du programme , ils sont calculés en termes de nouvelles personnes touchées au cours du trimestre au cours des activités de sensibilisation .Les participants indirects sont les agants de l'Etat , les formations sanitaires , les hopitaux  les journalistes , les staffs des OBC elles meme.</t>
  </si>
  <si>
    <t>Developpement du plan stratégique de plaidoyer ,  facilitation des ateliers de palidoyers en direction des autorité judiciares et des forces de l'orde  organisés par les partenaires (CAMNAFAW), la troisieme conference internationale sur les populations clés avec pour thème “Leaving No One Behind: Bringing Key Population programs in West and Central Africa to scale to meet the 90-90-90 targets”, Participation à l'atelier de validation du rapport de l'analyse situationnelle dans le cadre du projet SOGIR Africa du PNUD, Formation des journalistes et production des documentaires /articles et émissions radios dans le but d'améliorer la visibilité du projet et promouvoir un environement favorable pour les populations clés,</t>
  </si>
  <si>
    <t>Implémentions des principes de « test &amp; treat » pour le VIH chez les bénéficiaires directe et indirecte a amélioré le cascade 90 90 90</t>
  </si>
  <si>
    <t>Collaboration avec CAMNAFAW dans la fourniture des Kits IST aux ONC partenaires</t>
  </si>
  <si>
    <t>Formation sur le plaidoyer , formation des nouvelles OBC sur tous le programmes, Voyages/conferences internationaux des partenaires, founitures et financement des partenaires , supervisions formatives , renforcement des capacités en rapid finger prick test, formation sur le KP Friendly services pour les staff des formations sanitaires</t>
  </si>
  <si>
    <t>La réorientation du bailleur par rapports aux activites attendues du projet , les OEV inclus dans les indicateurs du projet, extension du partenariat de mise en œuvre du projet à d'autres OBC,</t>
  </si>
  <si>
    <t>L'approche de l'Education et Mobilisation Avancée des Pairs (EMAP) qui a amélioré la mobisation ciblée vers le dépistage</t>
  </si>
  <si>
    <t>La stratégie de la paire Navigation , qui a aidé a l'observance et rétention des clients positifs sous traitement ,</t>
  </si>
  <si>
    <t>Le suivi rapprochant des OBC , en mettant a la disposition des OBC  des stagiaires M&amp;E qui les accompagnent au quotidien sur la qualité des données</t>
  </si>
  <si>
    <t>Renforcer la collaboration avec le système de santé national et les programme et opportunites existentes a permis d'ameiolrer la qualite du programme en ce qi concerne le lien aux ARV</t>
  </si>
  <si>
    <t>le processus d'assurance et d'amelioration de la qualité du programme a également permi aux partenaires de mieux délivrer les services auprès des bénéficiares</t>
  </si>
  <si>
    <t>Le plaidoyer pour l'environnement favorables des populations clés a été renforcé par l'implication du ministeres en charges des VBG et aussi de la contribution du programme du Fonds Mondial</t>
  </si>
  <si>
    <t>La stratégie qui a été developpée pour mieux identifier la prévalence des client  des travailleuses de sexe est celle du Sex &amp; Test , ce qui nous a permi de mieux identifier les clients des travailleuses de sexes et d'avoir des informations sur le r taux de prévalence de ette cible( Il ya eu des coupons qui ont été remis aux travailleuses de sexe lors de l'activité , le taux d'acceptation du test a augmanté et les indicateurs des clients des travailleuses de sexe a tester ont été atteint avant la fin de l'année fiscale). Une autre stratégie a été mise en place pour mieux ciibler le dépistage des enfants des travailleuses de sexe (les counselling ont été fait aux travailleuses de sexe positives au VIH pour emmener leurs enfants se faire dépister). Pour améliorer la rétention des populations clés testées positives au VIH, il a été recruté des conseillers relais pour le suivi de proximité des respects des rendez-vous de la prise des médicaments des cohortes des personnes infectées.</t>
  </si>
  <si>
    <t>Rapport trimestres 1,2,3(FY17)</t>
  </si>
  <si>
    <t>Chad</t>
  </si>
  <si>
    <t>Protection et solutions mixtes pour les refugiés centrafricains vivant au sud du Tchad</t>
  </si>
  <si>
    <t>Nénodji Celine</t>
  </si>
  <si>
    <t>Coordinatrice Pillier Droit Empowerment des femmes et des filles</t>
  </si>
  <si>
    <t>coordo.deffi@care-tchad.org</t>
  </si>
  <si>
    <t>Iretie Lokonon</t>
  </si>
  <si>
    <t>ACD- Program</t>
  </si>
  <si>
    <t>iretie.lokonon@care-tchad.org</t>
  </si>
  <si>
    <t>Le projet « Protection et solutions mixtes pour les réfugiés Centrafricains vivant au sud du Tchad » est mis en œuvre dans les régions du Logone Oriental, du Moyen Chari, Mandoul  et du Salamat notamment à travers les bureaux de Goré, de Maro et de Haraze au bénéfice des réfugiés  et population hôtes installés dans les camps et les villages d’installation  environnant : Doholo, Dosseyé, Gondjé ,Amboko, Vom  dans les Département de la Nya Pendé et Baibokoum au Logone Oriental , 10 villages de Moissala dans le Département de Barh Sara:Bekourou, Dilingala,Doubadene5, Koldaga,Dembo,Bata1, Doubadene4;Guidikouti,kaba3 et Mbetikandja, Maro dans  le Département de la grande Sido et à Haraze dans le departement d'Haraze Magaye.</t>
  </si>
  <si>
    <t>Au début de la mise en œuvre du présent projet, le nombre total des personnes relevant de la compétence de CARE et du HCR qui vivent dans les 5 camps et 19 villages hôtes, enregistrées dans la base des données ProGres est de 89 114 dont 15 224 arrivées en 2014. Cependant, au 30 Septembre 2016, avec les résultats de la biométrie et avec l'arrivé des refugiés de Vom, ce nombre est revu à 65,584 et réparti entre les 6 camps et villages hôtes</t>
  </si>
  <si>
    <t>Les beneficiaires sont calculés sur la base des données de  la statistique du HCR en date du 30 Septembre 2016, tandisque les bénéficiaires sont la population hotes de la zone du projet.</t>
  </si>
  <si>
    <t>Le projet etant finis en fin decembre 2016 donc nous n'avons pas planifié des evaluations futures</t>
  </si>
  <si>
    <t>Gestion des points d'eau, l'assainissement dans les camps et les points d'eau, la reconnaissance juridique des associations des usagers de l'eau, la mise en place de la production des semences améliorées, l'auto prise en charge à travers la production agricole, le renforcement des capacités techniques au niveau de l'élévage et de l'agriculture, l'appuis au PBS à travers la foire des petits ruminants. L'octroi de cash transfert conditionnel et la mise en place des groupes de VSLA pour renforcer la resilience des femmes membres et  developper la capacité de leadership feminin, la formation des jeunes filles refugiées sur la fabrication des serviettes hygiéniques recyclables  permettant à la fois d’assurer le bien être psychosocial, l’hygiène corporelle et surtout une ouverture aux opportunités économiques.</t>
  </si>
  <si>
    <t>Le projet a travaillé les differents acteurs (l'Etat et le secteur privé), à differents niveaux (au moins reliant la communauté avec les changements au niveau sous national). La distribution de cash transfert conditionnel a permis aux beneficiaires de prendre en charge leurs besoins éssentiels et le VSLA qui est le moteur d'autopromotion</t>
  </si>
  <si>
    <t>L'atelier sur l'aunomisation des refugiés, l'implication des délégués regionaux dans nos activités, le renforcement des capcités des leaders communautaires sur l'approche ATPC, la reconnaissance juridique des usagers de l'eau.</t>
  </si>
  <si>
    <t>La methodologie de VSLA s'est revelée etre un franc succés dans la lutte contre la pauvreté et les faits sortir de la vulnérabilité. Selon les entretiens ménées avec les femmes de Dosseye qui participent au VSLA, "plus de 64% des menages mangent 2 fois par jours contre 34% en 2014, toutes les femmes bénéficiaires ont pu maintenir leurs enfants à l'école. 43,7% des femmes ont au moins une ou deux activités génératrice de revenues: car elle font l'élévage des petits ruminants et d'autres ont acheté un boeuf.</t>
  </si>
  <si>
    <t>L'engagement des leaders religieux, des autorités tradionnelles et administratives a été tres efficace dans le domaine de la prevention et de lutte contre les SGBV</t>
  </si>
  <si>
    <t>Le renforcement et le redynamisation des comités de gestion de point d'eau à travers la mise à disposition d'outils de gestion du recouvrement du cout de l'eau. La securisation des fonds issus du recouvrement à travers l'ouverture des comptes bancaires de chaque camps excepter le camp de Moyo par manque d'institution banquaire.</t>
  </si>
  <si>
    <t>La néccessité de renforcer les capacités de population locales et leur mécanisme de reponse face aux mouvements de la population fréquent dans la zone.</t>
  </si>
  <si>
    <t>La connaissance du domaine d'intervention de Care par tous les intervenants et les autorités.</t>
  </si>
  <si>
    <t>Le changement de comportement des beneficiaires par rapport aux questions de SGBV.</t>
  </si>
  <si>
    <t>Soutien alimentaire additionnel aux enfants à risque ou affectés par la malnutrition dans le WADI-FIRA</t>
  </si>
  <si>
    <t>TD 514</t>
  </si>
  <si>
    <t>Pierre Valiquette</t>
  </si>
  <si>
    <t>pierre.valiquette@care.ca</t>
  </si>
  <si>
    <t>Contribuer au renforcement de la résilience des ménages très pauvres et pauvres à risque de malnutrition pour faire face aux chocs futurs. Appuyer les ménages Très pauvres et Pauvres en déficit de survie et de protection de leurs moyens d'existence et à risque de malnutrition. Cette initiative couvrira leurs besoins alimentaires et non alimentaires essentiels pendant la période de soudure 2016 afin d'améliorer leur sécurité alimentaire et nutritionnelle, dans la région du Wadi Fira, Département de Biltine, Sous-préfecture d’Amzoer : Canton Wadi Bouboula, Aboucharib1 et Aboucharib 2</t>
  </si>
  <si>
    <t>CHAD; Wadi Fira; Départements de Biltine, Sous-préfecture d’Amzoer : Canton Wadi Bouboula, Aboucharib1 et Aboucharib 2</t>
  </si>
  <si>
    <t>Bénéficiaires du cash: 3 600 ménages (21600 individus) vulnérables</t>
  </si>
  <si>
    <t>les participants directs sont les membres des ménages bénéficiaires des cash et les membres des organisations bénéficiaires des formations. Le calcul du nombre des participants directs a été sur la base de comptage individuel des membres de ménages et les personnes ayant bénéficiées des formations ( ceux qui ne sont pas comptabilisés parmi les bénéficiaires de cash). les participants indirects sont l'ensemble de la population de la population de tous les villages retenus pour bénéficier de l'assistance alimentaire et cela est estimé à 46000</t>
  </si>
  <si>
    <t>Il s'agissait d'inciter la population vulnérable en plus de l'achat de la nourriture, à aussi investir le cash reçu dans les biens productifs tels que le matériel agricole, les sémences et aussi aà initier des AGR telles que l'élevage des petits ruminants.</t>
  </si>
  <si>
    <t>Durant ce projet une étude sur les impacts du transfert monetaires a été réalisée et les résultats de cette étude ont été diffusés dans toutes les instances de rencontre telles que le cluster securité alimentaire, au bureau ECHO et à l'alliance des ONG pratiquant les transferts monetaires</t>
  </si>
  <si>
    <t>L'intégration des autorités dans tout le processus de mise en oeuvre des activités, la transparence et la communication juste ont permis de résoudre des litiges les équipes et la communauté.</t>
  </si>
  <si>
    <t>Le choix de plus d'animatrices que d'animateurs dans les équipes a facilité la communication entre les bénéficiaires et le staff car culturellement dans cette zone beaucoup islamisée les femmes ne s'adressent à des hommes inconnus même en présence de leur mari.</t>
  </si>
  <si>
    <t>La distribution du cash se deroule les jours des marchés, ce qui permet aux bénéficiaires une fois le cash reçu de se rendre directement sur le marché pour faire ses achats avant de rentrer à la maison. A cela s'ajoute aussi des séances de sensibilisation et de suivi des prix des denrées alimentaires sur les marché de la zone d(intervention afin d'éviter que les commercants augmentent les prix durant les périodes de distribution.</t>
  </si>
  <si>
    <t>Le ciblage prend énormément de temps et constitue la partie essentielle des projets d'assistance humanitaire. La durée de la période de soudure étant 3 mois de juillet à septembre pour la plupart des saisons. Il arrive parfois que le mois de juillet arrive et que le ciblage ne soit pas encore terminé et ce retard accusé joue sur le chronogramme des activités et pour la plupart du temps la période de soudure passe et les distributions sont toujours en cours. C'est une situation vécue et qui met une forte pression sur les équipes d'implémentation qui pour palier à cela font souvent recours à des raccourcis en ciblant des bénéficiaires qui ne sont pas nécessairement vulnérables. Pour ce faire un plaidoyer à l'endroit de l'état et des partenaires techniques et financiers afin de mettre en place au préalable une liste de bénéficiaires vulnérables de toutes les régions.
Le ciblage doit se faire de façon biométrique avec reconnaissance faciale ou par empreintes du bénéficiaire cela permet de résoudre le problème des doublons, des homonymes et de la distribution du cash aux mauvais bénéficiaires.</t>
  </si>
  <si>
    <t>La production de la farine enrichie a joué un rôle surtout pendant les retards et les insuffisances des vivres PAM. Les mères payaient les farines enrichies pour palier ce gap. Pour cela la mise en place des unités semi industrielles de productions de farine enrichie dans les zones d'interventions (par exemple une unité à Abéché ou à Biltine) parait opportun. Les vivres à distribuer aux enfants et aux femmes enceintes seront achetés auprès de ces unités ce qui permettra de minimiser les fréquentes ruptures d'intrants et les retards d'approvisionnements due au fait que ces vivres sont commandés à l'étranger.</t>
  </si>
  <si>
    <t>Les communautés de la région de Wadi Fira ne fréquente pas les centres de santé ce qui fait que les femmes enceintes ou allaitantes n'observent pas les consultations pré et post natales et surtout les vaccins ne sont pas administrés aux enfants. Et au cours des distributions de cash et de vivres dont les bénéficiaires sont essentiellement les femmes, les agents de santé profitent de ces rassemblement pour faire les consultations pré et post natales et administrer les vaccins ce qui constitue un bel exemple d'intégration.</t>
  </si>
  <si>
    <t>Il faut ajouter que cette année les bénéficiaires ont investi une partie de leur cash dans les biens productifs. Ce qui constitue des investissements qui leurs permettront d'être relevés précocement et de tendre vers la résilience.</t>
  </si>
  <si>
    <t>i) Enquête SMART Unicef Août/Sept 2015;
ii) Situation de la campagne agro-pastorale 2015-2016, rapport ONDR Biltine (Octobre 2016);
iii) Tchad Perspectives sur la sécurité Alimentaire Oct. 2015 à mars 2016 " FEWS NET";
iv) Analyse du Cadre Harmonisé d'identification des zones à risque et des populations vulnérables au Sahel et en Afrique de l'Ouest (CH-CILSS nov. 2015);
v) Résultats préliminaires de la campagne agricole et l'analyse consensuelle de la situation alimentaire et nutritionnelle (CASAGC Novembre 2015); vi) Enquête Nationale sur la sécurité alimentaire des ménages ruraux ENSA, (SISAAP-PAM,Oct 2015); vii) Outcome Analysis AEM, (Novembre 2015);
vi) PDM's CARE Tchad; ix) Etude élargie de la vulnérabilité au changement climatique et de réduction des risques face aux chocs futurs ( CARE Tchad février 2015); Rapport suivi du marché au Tchad ( PAM, mai 2015);
vii) Screening Nutritionnel chez les enfants de 6 à 59 mois, (CARE, Août 2015).
viii) Rapport final PAM 2016
ix) Etude des impacts des Programmes de Transfert monétaires sur les ménages, Decembre 2016</t>
  </si>
  <si>
    <t>Appui à l'amélioration et aux bonnes pratiques d'hygiène pour la population de Danamadji, Djékédjéké, Maro et Sido.</t>
  </si>
  <si>
    <t>TCD 306 TD 516</t>
  </si>
  <si>
    <t>EURO</t>
  </si>
  <si>
    <t>NENODJI   CELINE</t>
  </si>
  <si>
    <t>COORDINATRICE DU PILIER DEFFI</t>
  </si>
  <si>
    <t>MAINOUDJI  LUCIE</t>
  </si>
  <si>
    <t>CHEF DE PROJET GIZ</t>
  </si>
  <si>
    <t>expert.wash@care-tchad.org</t>
  </si>
  <si>
    <t>Projet  a pour but d’améliorer l'accés aux services sociaux de bases pour les populations deplacées et hotes de la region du Moyen Chari</t>
  </si>
  <si>
    <t>Le projet est localisé à dans les sous prefectures de Maro, Danamadji, Djékédjéké et Sido dans le département de la  Grande Sido, région du Moyen Chari</t>
  </si>
  <si>
    <t>50.000 bénéficiaires  retournés et population hotes (sites des retournés de Sido, villages hotes: Maro, Gourourou, Moyo, Danamadji et Sido)</t>
  </si>
  <si>
    <t>Une enquête CAP initiale et une enquête CAP finale ont été réalisées au debut et à la fin du projet</t>
  </si>
  <si>
    <t>Cash for work</t>
  </si>
  <si>
    <t>Aucun</t>
  </si>
  <si>
    <t>Implication des bénéficiaires dans la mise en œuvre du projet</t>
  </si>
  <si>
    <t>Formation sur le prossesus d'autonomisation des bénéficiaires dans tous les domaines de WaSH et autres activités</t>
  </si>
  <si>
    <t>Aborder le lien entre le Wash et la nutrition lors des formations et sensibilisations</t>
  </si>
  <si>
    <t>L'implication des bénéficiaires dans la mise en œuvre des activités ( Cash for work par exemple) a permis d'avoir un impact économique sur les ménages.</t>
  </si>
  <si>
    <t>MOFA LAC</t>
  </si>
  <si>
    <t>TCD306</t>
  </si>
  <si>
    <t>Government - Germany</t>
  </si>
  <si>
    <t>iretie LOKONON</t>
  </si>
  <si>
    <t>ACD Program</t>
  </si>
  <si>
    <t>iretie.lokonon@care.ca</t>
  </si>
  <si>
    <t>Céline NENODJI</t>
  </si>
  <si>
    <t>Coordinatrice Pillier DEFFI</t>
  </si>
  <si>
    <t>L'amélioration des conditions de vie des réfugiés, rapatriés, et personnes déplacées grace une meilleure dotation dans le domaine de shelter et NFI's ainsi qu'une amélioration psychosociaux et de la santé sexuelle, particulièrement des femmes</t>
  </si>
  <si>
    <t>Le projet est implementé dans la région du Lac plus précisement dans trois département de Fouli, Mamdi et Kaya</t>
  </si>
  <si>
    <t>Le groupe principal d'iimpact du projet est les personnes très vulnérables afféctées par la crise causé par le groupe de Boko Haram dans la région du Lac</t>
  </si>
  <si>
    <t>RAS</t>
  </si>
  <si>
    <t>Appui en médicament essentiel, matériles médicaux et le renforcement de capacité des prestataires de santé et la mobilisation communautaire sur la santé de reproduction et le SGBV</t>
  </si>
  <si>
    <t>En ce qui concerne le progrés en abris, plus de 1662 ménages ont reduit leur degrés de vulnerabilité en terme de logment</t>
  </si>
  <si>
    <t>Plus 2000 femmes/filles ont reçu des NFI's et ceci à amélioré leur besoin d'urgence</t>
  </si>
  <si>
    <t>Plus de 60% de bénéficiaires ont l'accès aux soins dans les FoSa les plus proches de leurs sites</t>
  </si>
  <si>
    <t>Le modele des abris réalisés était apprécié par les bénéficiaires et voir les partenaires humanitaires</t>
  </si>
  <si>
    <t>Les femmes/filles sont informées et sensibilisées sur les formes de violences et prennent des mesures pour le suivi des cas rapportés</t>
  </si>
  <si>
    <t>5% des femmes/filles  sont soumises aux méthodes de planification et fréquentent les centres de santé lors de consultations prénatales</t>
  </si>
  <si>
    <t>PAIR-PPD : Projet d'Appui a l'Integration/Autonomisation des retournes Pour une Paix Durable</t>
  </si>
  <si>
    <t>TD515</t>
  </si>
  <si>
    <t>ACD program</t>
  </si>
  <si>
    <t>Celine Nenodjo</t>
  </si>
  <si>
    <t>coordonatrice Pilier Droit et empowerment des femmes et des filles</t>
  </si>
  <si>
    <t>Contribuer à la création des conditions d’une réelle intégration locale et ou réintégration dans le milieu de leur choix (y compris en RCA) à travers un appui conséquent et dégressif qui promeut l’autonomisation et la résilience socio-économiques et psychologique des  femmes, filles et des jeunes des sites de Maingama, Sido et des villages hôtes.</t>
  </si>
  <si>
    <t>Projet d’Appui a l’Integration /Autonomisation des Retournees –Pour une Paix Durable (PAIR – PPD)  intervient qu Sud du Tchad plus précisement das la reion du Moyen chari , Departement de la grande et spécifiquement dans les sous-prefectures de Maro et  sido</t>
  </si>
  <si>
    <t>Le  projer  PAIR-PPD  a pour  objet  de Contribuer à la création des conditions d’une réelle intégration locale et ou réintégration dans le milieu de leur choix (y compris en RCA) à travers un appui conséquent et dégressif qui promeut l’autonomisation et la résilience socio-économiques et psychologique des  femmes, filles et des jeunes des sites de Maingama, Sido et des villages hôtes pour  un developpement durable</t>
  </si>
  <si>
    <t>les beneficiares  sont les  retournés et populations hoes  ayant reçu de l'appui  en cash inconditionel  , maraichage  , prise en harge  en santé de la reproduction , prise en charge des enfants lmalnutri moderés, l'accés à l'eau , aux latrines ,  distribution des dalles mozambicaines</t>
  </si>
  <si>
    <t>analyse portera sur les opportunites et defits lies a l'integration des retournes dans le milieu de leur choix. Une enquete sera menee aupres des retournes pour recueillir des information sur liees a la thematique du projet</t>
  </si>
  <si>
    <t>Le projet a facilite la mise en place des AGR et la subvention des micro-projet</t>
  </si>
  <si>
    <t>Le projet a eu l'appui technique de l'Office National de Developpement Rural</t>
  </si>
  <si>
    <t>Appui aux associations des jeunes, des autorites administratives et locales</t>
  </si>
  <si>
    <t>VSLA : en espace de trois mois les femmes membres des groupements ont pu epargner et actuellement les groupements octroient de credit aux membres pour le developpement des AGR et remboursement a taux d'interet faible, tout cela grace aux differentes formation sur la vie associative et l'education financiere</t>
  </si>
  <si>
    <t>Micro-projet : les subventions aux micro-projets a permis aux differents porteurs de se relencer economiquement</t>
  </si>
  <si>
    <t>Developpement du maraichage: cette activite a permis de subvenir aux besoins alimentaires des menages membres ainsi d'autres besoins qu'alimentaires.</t>
  </si>
  <si>
    <t>L'absence d'une filiere economique</t>
  </si>
  <si>
    <t>Faible niveau d'assimilation de procedure de subvention de micro-projet</t>
  </si>
  <si>
    <t>Faible niveau d'assainissement et d'hygiene sur les sites.</t>
  </si>
  <si>
    <t>Rapports mensuels d'activites, Rapports programmatiques, les resultats d'enquetes.</t>
  </si>
  <si>
    <t>Appui aux ménages en déficit alimentaire et à risque de malnutrition aiguë dans la Région de Wadi Fira, Départements de Biltine, Mégri et Kobé.</t>
  </si>
  <si>
    <t>TD 508</t>
  </si>
  <si>
    <t>31/02/2017</t>
  </si>
  <si>
    <t>Aristide Rassou Pierre Yameogo</t>
  </si>
  <si>
    <t>Chef de base Wadi Fira</t>
  </si>
  <si>
    <t>base.biltine@care-tchad.org</t>
  </si>
  <si>
    <t>Contribuer au renforcement de la résilience des ménages très pauvres et pauvres à risque de malnutrition pour faire face aux chocs futurs. Appuyer les ménages Très pauvres et Pauvres en déficit de survie et de protection de leurs moyens d'existence et à risque de malnutrition. Cette initiative couvrira leurs besoins alimentaires et non alimentaires essentiels pendant la période de soudure 2016 afin d'améliorer leur sécurité alimentaire et nutritionnelle, dans la région du Wadi Fira, les départements de Biltine, Mégri et Kobe</t>
  </si>
  <si>
    <t>CHAD; Wadi Fira; Départements de Biltine, Mégri &amp;amp; Kobé; sous-préfectures de Biltine rural, d'Arada,  de Matadjana, de Martibé , de Tronga et d'Iriba</t>
  </si>
  <si>
    <t>Bénéficiaires du cash: 11 833 ménages (66 156 individus) vulnérables  repartis en 6.762 Très pauvres et 5.071 Pauvres à risque de Malnutrition, notamment ceux ayant des enfants de 0 à 59 mois et ou avec des Femmes Enceintes et/ou Allaitantes. Bénéficiaires des formations: 125 mamans lumières toutes des femmes, 20 relais communautaires tous des hommes, 77 membres des comités de gestion des centres de santé</t>
  </si>
  <si>
    <t>les participants directs sont les membres des ménages bénéficiaires des cash et les membres des organisations bénéficiaires des formations. Le calcul du nombre des participants directs a été sur la base de comptage individuel des membres de ménages et les personnes ayant bénéficiées des formations ( ceux qui ne sont pas comptabilisés parmi les bénéficiaires de cash). les participants indirects sont l'ensemble de la population de la population de tous les villages retenus pour bénéficier de l'assistance alimentaire et cela est estimé à 106 093</t>
  </si>
  <si>
    <t>i) Enquête SMART Unicef Août/Sept 2015;
ii) Situation de la campagne agro-pastorale 2015-2016, rapport ONDR Biltine (Octobre 2016);
iii) Tchad Perspectives sur la sécurité Alimentaire Oct. 2015 à mars 2016 " FEWS NET";
iv) Analyse du Cadre Harmonisé d'identification des zones à risque et des populations vulnérables au Sahel et en Afrique de l'Ouest (CH-CILSS nov. 2015);
v) Résultats préliminaires de la campagne agricole et l'analyse consensuelle de la situation alimentaire et nutritionnelle (CASAGC Novembre 2015); vi) Enquête Nationale sur la sécurité alimentaire des ménages ruraux ENSA, (SISAAP-PAM,Oct 2015); vii) Outcome Analysis AEM, (Novembre 2015);
vi) PDM's CARE Tchad; ix) Etude élargie de la vulnérabilité au changement climatique et de réduction des risques face aux chocs futurs ( CARE Tchad février 2015); Rapport suivi du marché au Tchad ( PAM, mai 2015);
vii) Screening Nutritionnel chez les enfants de 6 à 59 mois, (CARE, Août 2015).
viii) ECHO/-CF/EDF/2015/01001 : Appui aux ménages en déficit alimentaire et à risque de malnutrition aiguë dans la Région de Wadi Fira, Départements de Biltine, Mégri et Kobé.
ix) Etude des impacts des Programmes de Transfert monétaires sur les ménages, Decembre 2016
x) Rapport d’enquête base line, Juin 2016
xi) Rapport de PDM 1, 2 et 3
xii) Rapport d’enquête CAP Décembre 2016</t>
  </si>
  <si>
    <t>PROJET D'APPUI A LA RELANCE ECONOMIQUE AU TCHAD/RENFORCEMENT DE CAPACITES DES MENAGES TRES VULNERABLES VICTIMES DE LA CRISE DANS LA REGION DU LAC TCHAD</t>
  </si>
  <si>
    <t>TD507</t>
  </si>
  <si>
    <t>TD510</t>
  </si>
  <si>
    <t>Mass Bwikanye</t>
  </si>
  <si>
    <t>Coordonnateur pilier RACC</t>
  </si>
  <si>
    <t>coordo.racc@care-tchad.org</t>
  </si>
  <si>
    <t>Augmenter le pouvoir d'achat et realncer la production agro-pastorales des ménages très pauvres et pauvres dans la région du Lac</t>
  </si>
  <si>
    <t>, les sites et vilages hôtes du département de Mamdi dans la région du lac sont bénéficiaires.</t>
  </si>
  <si>
    <t>Femme et Hommes déplacés, retournés et hôtes très pauvre et pauvres</t>
  </si>
  <si>
    <t>l'introduction de l'approche VSLA est une nouvelle innovante tendant à autonomiser les femmes qui sont des couches vulnérables et marginalisées dans la zone du projet</t>
  </si>
  <si>
    <t>Implication des ervices de l'etat pour la perrenisation des aquis</t>
  </si>
  <si>
    <t>les capacités des  structures locales CLA,CDA,CRA ont été renforcées</t>
  </si>
  <si>
    <t>Implication des services techniques de l'état notamment la Délégation de l'élevage et la SODELAC est une stratégie qui permet de reduire des risques surtout dans la prise en charge sanitaire des petits ruminants (vaccination et déparasitage) et rassure la pérénnisation de l'action</t>
  </si>
  <si>
    <t>l'identification des ménages vulnérables exclusivement tenus par des femmes pour la distribution de petits ruminants afin d'augmenter le bétail pour l'amélioration de la sécurité alimentaire est une stratégie efficace</t>
  </si>
  <si>
    <t>Les plaidoyers pour l'accès à la terre sont réalisés dans les villages bénéficiaires, des parcelles ont été mis à la disposition des bénéficiaires à l'issue de ces exercices mais l'accès à la terre fertiles reste toujours un défis à rélever pour l'atteinte des objectifs du projet.</t>
  </si>
  <si>
    <t>Le manque de maitrise de l'eau  pour production agricole, le respect des calendriers culturau dans la mise en eouvre des activités
Vulgariser les cultures maraichères en alternatif des cultures pluviales dépandantes des eaux de pluie de plus en plus rares, sans oublier le défis lié à la maîtrise de l'eau</t>
  </si>
  <si>
    <t>La passation de petits ruminants après mise bas a permis l'accès aux ménages plus vulnérables notamment les femmes aux animaux grâce au dispositif organisationnel et a favorisé la cohésion entre les membres de la communauté</t>
  </si>
  <si>
    <t>Projet d'appui à la sécurité des conditions de vie et moyens d'existence des femmes des groupements ruraux le long de l'axe butimé de la route Sarh-Kyabé</t>
  </si>
  <si>
    <t>TD492</t>
  </si>
  <si>
    <t>IRETIE LOKONON</t>
  </si>
  <si>
    <t>ADC - Program</t>
  </si>
  <si>
    <t>NENODJI CELINE</t>
  </si>
  <si>
    <t>Coordinatrice DEFFI</t>
  </si>
  <si>
    <t>Atténuer et/ou compenser les impacts négatifs générés par le projet de bitumage de l'axe Sarh-Kyabé et amplifier les impacts positifs attendus</t>
  </si>
  <si>
    <t>Départements du Lac Iro et du  Barh Koh, dans 4 cantons: Banda, Kotngoro, Makoubou et Marabé</t>
  </si>
  <si>
    <t>22 organisations de 330 femmes Productrices et filles-mères identifiées de façon concertée avec la communauté locale à l’issue de l’atelier de mise en place de l’observatoire genre dans chaque village; les membres des 3 comités des leaders religieux (CLR) et les 2 organisations de gestion du terroir (OGT) existantes</t>
  </si>
  <si>
    <t>les participants directs sont les personnes identifiées, formées et appartenant aux structures mises en place et appuyées par le projet d'une part et d'autres part les personnes qui soutiennent le projet de part leur position.</t>
  </si>
  <si>
    <t>le projet a initié les actions pour la mise en place des AVEC pour aider les femmes à mener des AGR et s'octroyer des crédits à partir de la mobilisation de leur épargne.La mise en place des observatoires genre pour dénoncer les mauvaises pratiques et encourager les bonnes protiques liées au genre dans une zone où lles droits de la femme sont méconnus.</t>
  </si>
  <si>
    <t>la mise en place des observatoires genre et les ateliers communautaires ont permis à certains hommes de s'engager pour défendre les hommes et cela nous l'avons constaté à travers leurs témoignages</t>
  </si>
  <si>
    <t>le VSLA a été une innovation dans la zone et cela a permis aux femmes et aussi certains hommes à avoir la notion de l'épargne et surtout développer l'esprit associatif</t>
  </si>
  <si>
    <t>Projet d'assistance humanitaire et de renforcment de la résilience  des  populations deplacées et hôtes  affectées par la crise de la région du lac Tchad</t>
  </si>
  <si>
    <t>TCD 509</t>
  </si>
  <si>
    <t>Programm Director</t>
  </si>
  <si>
    <t>PERPETUE  nombre YAMMA</t>
  </si>
  <si>
    <t>Pillar Coordinator RACC</t>
  </si>
  <si>
    <t>Contribuer à l'amélioration des conditions de vie des personnes en situation de  vulnérabilité aigue suite à la crise du basin du lac Tchad</t>
  </si>
  <si>
    <t>Région du Lac-Tchad, départements de Fouli, Cantons de Liwa, Kiskra et Magui</t>
  </si>
  <si>
    <t>Le projet vise à améliorer la couverture des besoins et services essentiels et renforcer la resilience des ménages deplacés/retournés,hôtes très pauvres et pauvres</t>
  </si>
  <si>
    <t>les participants directes sont les personnes qui sont enrôlées par le projet et  bénéficieront de l'aide prevue dans le narratif  du projet. La formule utilisée pour faire le calcul se repose sur le nombre de ménage * la taille de ménage(taille de ménage selon les enquetes HEA)</t>
  </si>
  <si>
    <t>Des évaluations internes et externes  seront realisées durant le cycle du projet  afin d'analyser la pertinence  de l'action, mesurer l'impact et l'efficience du projet par rapport à  la situation de référence et  Finale. Des enquêtes post distribution monitoring et de suivi de proximité des ménages ayant bénéficié  des activités du projet seront également conduits afin de renseigner le progrès des indicateurs prévus dans le narratif du projet.</t>
  </si>
  <si>
    <t>pas à ce stade de la mise en œuvre de ce projet</t>
  </si>
  <si>
    <t>la redevalibilité de CARE vis-à-vis des bénéficiaires</t>
  </si>
  <si>
    <t>L'implication active des femmes dans les diffrentes activités du projet</t>
  </si>
  <si>
    <t>L'implication de toutes les parties prenantes dans la mise en œuvre des activités ( bénéficiares, autorités administratives,  traditionnelles et partenaires humanitaires)</t>
  </si>
  <si>
    <t>l'assistance des ménages très pauvres et pauvres à travres  le cash inconditionnel et l'iniative de l'enrolement des beneficiaires par l'outils SCOPE permet à CARE de se positionner comme lead dans la zone</t>
  </si>
  <si>
    <t>la mise en place des comités de gestion de plainte et feedbact dans les sites/villages d'intervention, l'implication des autorités traditionnelles et administratives dans les differentes activités  ont permis d'atteindre l'objectif fixé  d'une part et  renforcer la rédevabilité de CARE vis-à-vis des populations bénéficiaires d'autre part</t>
  </si>
  <si>
    <t>la vulgarisation des bonnes pratiques d'hygiène alimentaire et les  démonstrations culinaires à base des produits agricoles locaux</t>
  </si>
  <si>
    <t xml:space="preserve"> Des stratégies mises en place par les deux  organisations en consortium à travers les  missions conjointes et l'utilisation de meme outil pour la  collecte des données de terrain permettent de mener à bien les activités sur le terrain</t>
  </si>
  <si>
    <t>Projet Femme, Elevage et Activités Génératrices de Revenus</t>
  </si>
  <si>
    <t>TD496</t>
  </si>
  <si>
    <t>Azzedine ALAIA</t>
  </si>
  <si>
    <t>DIRECTRICE PROGRAMME</t>
  </si>
  <si>
    <t>Perpetue Nombre Yamma</t>
  </si>
  <si>
    <t>COORDONNATRICE RACC</t>
  </si>
  <si>
    <t>Ameliorer de manière durable la securitéalimentaire des menages tenus par les femmes dans la region de Wadi Fira</t>
  </si>
  <si>
    <t>Le projet est logé dans la région du Wadi Fira, Département de biltine, Canton de Mimi Hadjer sur 18 villages</t>
  </si>
  <si>
    <t xml:space="preserve"> Femmes chefs de menages agropastoraux des zones rurales ayant atteint le seuil de protection de leurs moyens d'existences</t>
  </si>
  <si>
    <t>Les participants directs du projet sont 500 femmes agropasteurs chefs de menages identifiées suite aux inondations de 2012 dans le canton.  Par contre les beneficiaires indirects sont les membres des ménages dirigés par les femmes bénéficiaires directs  dont la moyenne dans le departement est estimée à 7 personnes par ménage.</t>
  </si>
  <si>
    <t>Structuration des groupements pour une meilleure rentabilité des activités qui se faisaient par le passé de façon individuelle</t>
  </si>
  <si>
    <t>Dans le cadre de la mise en œuvre de cette action les alliances etaient etablie a plusieurs niveau notamment avec les services deconcentré de l'Etat  ( secteur de l'élélevage, direction des protection des vegetaux et du conditionnement) avec une forte collaboration de la communauté locale ainsi que les autorités administratives et traditionnels</t>
  </si>
  <si>
    <t>Le projet dans sa globalité a contribuer a l'atteinte de la vision 2020 de CARE  par le developpement d'une dynamique organisationnelle feminine a travers les groupements VSLA . Il ya eu une tranformation dans la communauté en ce qui conserne le volet genre dans la mentalité de la communauté et une prise de conscience collective dans la responsabilité des activites productive et reprodutive.</t>
  </si>
  <si>
    <t>Les progres sont enregistrés au sein des communautés beneficiaires par la vulgarisation des varietés des semences ameliorées, la diversification des cultures et l'augmentation des rendements agricoles.</t>
  </si>
  <si>
    <t>Le volet production agricole basée sur les techniques innovantes (itinéraires techniques, structuration des bénéficiaires en groupements, techniques de conduite des troupaux)costitut un cadre d'ecole d'agriculture pour les beneficiaires et non beneficiaires. En meme temps ces groupements communautaires qui developpenet les champs, exercent aussi les activités VSLA dont les seuils de de cotisations leur ont permis de passer de la phase intensive à la phase de developpement</t>
  </si>
  <si>
    <t>Les groupements VSLA s'octroient des credits pour permettre aux membres de developper des AGR. Le remboursement de se fait avec un taux d'interet de 10% pour renflouer la caisse de chaque groupement VSLA</t>
  </si>
  <si>
    <t>Consernant les leçons apprises un accent particulier doit etre mis sur les produits pytho-sanitaires pour permetre  aux groupements de combattre les ennemis de culture et d'avoir un bon rendement ;</t>
  </si>
  <si>
    <t>pour rendre coherent les fonctionnements des groupements VSLA un agent villageois doit avoir sous sa responsabilité un groupement pour faciliter le suivi de la cotisation des membres.</t>
  </si>
  <si>
    <t>L'incitation cash pour les activités d'alphabétisation a donné de bons résultats</t>
  </si>
  <si>
    <t>Dans le cadre de la mise en ouevre des activites du projet ALAIA, plusieurs activités ont été meneées, l'education, l'agriculture, des groupements VSLA , la fabrication des blocs nutritionnelles, l'organisation des foires au petits ruminants. Des resitances se developpent sur l'approche relative à la fabrication de bloc nutritionnel. Des sensibilisations sont encours pour permettre à la communauté de s'adonner à cette approche qui est prometteuse</t>
  </si>
  <si>
    <t>Femmes Adaptation aux Changements Climatique, Eaux et Resiliences</t>
  </si>
  <si>
    <t>TD491</t>
  </si>
  <si>
    <t>ACD programme</t>
  </si>
  <si>
    <t>Iretie-lokonon@care.ca</t>
  </si>
  <si>
    <t>Perpetue NOMBRE YAMMA</t>
  </si>
  <si>
    <t>Coordonnatrice RACC</t>
  </si>
  <si>
    <t>le projet FACER vise a restaurer la securité alimentaire et nutritionnelle en milieu rural Tchadien et qu'elle soit assurée de manière durable, notamment a travers la resilience des familles pauvres/tres pauvres et le renversement de la tendance de la feminisation de la pauvrété.</t>
  </si>
  <si>
    <t>Le projet intervient dans la region du Wadi-Fira située à l'Est du pays à environ 1000 Kilometres de la capitale (N'djamena). Geographiquement, le projet couvre le departement de Biltine avec trois sous prefecture notamment Arada, Amzoer et Biltine rurale. six cantons sont logés à l'interieur dessous prefecteures avec 109 villages.</t>
  </si>
  <si>
    <t>Hommes, femmes et enfants des menages agropastoraux des zones rurales ayant atteint le seuil de protection de leurs moyens d'existence.</t>
  </si>
  <si>
    <t>les beneficiaires directs sont les cibles du projet identifiées suite à des sensibilisations suivies des enquétes de ciblages specifiques en fonction des activités. Par contre, les participants indirects sont determinés a travers la moyenne des tailles de menages (7membres/menages) des beneficiares direct.</t>
  </si>
  <si>
    <t>l'organisation de la semaine nationale de la femme pour une autonomisation economisation de la femme.</t>
  </si>
  <si>
    <t>dans le cadre de la mise œuvre de cette action, les alliances etaient etablies a plusieurs niveaux notamment avec les services déconcentrés de l'Etat, les partenaires de mise en œuvre avec une forte collaboration de la communauté locale ainsi que les autorités administratives et traditionnelles.</t>
  </si>
  <si>
    <t>le projet dans sa globalité a contribue a l'atteinte de la vision 2020 de Care par le developpement d'une dynamique organisationnelle feminine a travers les groupements VSLA qui ont renforcé leur autonomisation par une mobilisation financiére endogéne aux groupements, le renforcement des activités generatrices de revenus. En ce qui concerne le volet genre, Il y'a eu une transformation dans la mentalité de la communauté et une prise de conscience collective dans la responsabilité des activités productive. Il existe un debut d'implication réelle des femmes aux instances de gouvernance communautaire à travers les comités villageois et la participation aux discussions communautaires</t>
  </si>
  <si>
    <t>les progrés sont enregistrés au sein des communautés beneficiaires par la vulgarisatioon des varieté des semences  ameliorées, la divertification des cultures et l'augmentation des rendement agricole.</t>
  </si>
  <si>
    <t>Ce volet de production agricole basé sur les techniques innovantes constitue un cadre d'ecole d'agriculture pour les beneficiaires et non beneficiaires</t>
  </si>
  <si>
    <t>Un constat a été fait dans la responsabilisation de comités cantonaux dans la planification et collecte des données pour les previsions saisonnieres climatiques. d'autres progrés sont focalisés au niveau des FARN a travers les mamans lumieres et relais communautaires qui prennent en charge les enfants malnutris.</t>
  </si>
  <si>
    <t>Concernant, les lecons apprises, un accent particulier doit etre mis sur la construction des seuils d'epandages en serie pour stabiliser le sol, casser la vitesse de l'eau et faciliter la recharge des nappes en amont et en aval.</t>
  </si>
  <si>
    <t>Pour rendre coherent, le fonctionnement des groupements VSLA, un agent villageois doit avoir sous sa responsabilité un groupement pour faciliter le suivi de la cotisation des membres; alors que dans le cas de l'espece douze agents villageois suivent 120 groupements VSLA.</t>
  </si>
  <si>
    <t>referencement des enfants malnutris dans les centres de santé n'obtiennent pas dans tout les cas les resultats satisfaisant a cause de la rupture des intrants.</t>
  </si>
  <si>
    <t>Dans le cadre du projet FACER, un succés assez capitale est à souligner notamment l'introduction des activités cash for work et cash for learning. Ces deux approches innovantes sont incitatives pour la communauté rurale pauvre et très pauvre qui etaient plus habituées au cash inconditionnel (ECHO). Ces activités de resilience sont à poursuivre dans les communautés touchées pour permettre à la communauté d'atteindre un niveau elevé de resilience. Autre chose qui requiert notre attention est l'implication réelle des autorités traditionnelles et administratives dans la mise en oeuvre des activités. Il faut aussi noter qu'on pourrait atteindre plus d'impact avec une diversification en serie des seuils d'epandage au niveau communautaire car le plus grand probléme de la communauté reste l'accés à l'eau. Un travail de sensibilisation sur les pratiques traditionnelles nefastes doit etre poursuivi à long terme.</t>
  </si>
  <si>
    <t>Women on Move for Women</t>
  </si>
  <si>
    <t>TD502</t>
  </si>
  <si>
    <t>Celine Nenodji</t>
  </si>
  <si>
    <t>Coordonatrice DEFFI</t>
  </si>
  <si>
    <t>Justin Mumbere</t>
  </si>
  <si>
    <t>Chef de programme Sante</t>
  </si>
  <si>
    <t>pm.sante@care-tchad.org</t>
  </si>
  <si>
    <t>Contribuer a la reduction de la mortalite maternelle et infantile</t>
  </si>
  <si>
    <t>District santiare de Gore (Dans la Region du Logone Oriental) dans les aires de responsabilites des centres de sante de Dosseye, Beureuh et Kagpal</t>
  </si>
  <si>
    <t>Femmes en age de procreer</t>
  </si>
  <si>
    <t>Les femmes en âge de procreer constituent les bénéficiaires directs du projet et les bénéficiaires indirects sont les membres de leurs ménages respectifs</t>
  </si>
  <si>
    <t>Evaluation finale</t>
  </si>
  <si>
    <t>Appui a la mise en place d'un système de référence communautaire qui peut assurer que les femmes de ménages ruraux pauvres peuvent accéder à des soins d'urgence en temps opportun</t>
  </si>
  <si>
    <t>Le projet s'appui sur les formations sanitaires existantes</t>
  </si>
  <si>
    <t>Appui a la creation et au financement des groupements VSLA dans les 15 villages des aires de sante appuyees</t>
  </si>
  <si>
    <t>Associations villageaoises</t>
  </si>
  <si>
    <t>Planification communautaire</t>
  </si>
  <si>
    <t>Dialogues reflexifs dans les villages</t>
  </si>
  <si>
    <t>La mise en place d'un systeme de referencement a partir de la communaute  peut ameliorer l'acces aux soins</t>
  </si>
  <si>
    <t>Les us et coutumes constituent une des barrieres a defier pour l'amelioration de l'utilsation des services CPN et maternite afin de reduire les accochements a domicile et la mortalite maternelle et neonatale</t>
  </si>
  <si>
    <t>Importance de la mise en place d'un systeme de suivi et evaluation en impliquant les populations beneficaires a toutes les etapes.</t>
  </si>
  <si>
    <t>Construction d'un environnement protecteur pour les femmes et filles des sites des retournés, et villages hôtes, au Sud du Tchad dans les situation de risques aux VBG au Sud du Tchad(MADJI LODJI)</t>
  </si>
  <si>
    <t>TD499</t>
  </si>
  <si>
    <t>Nenodji Celine</t>
  </si>
  <si>
    <t>Coordinatrice du pillier Droit et empowerment des Femmes et des Filles</t>
  </si>
  <si>
    <t>Directrice adjointe aux programmes</t>
  </si>
  <si>
    <t>Reduire les risques de Violences basées sur le Genre en construisant un environnement protecteur pour les femmes et filles dans les villages hôtes, les communautés des retournés et réfugiés.</t>
  </si>
  <si>
    <t>2 camps de réfugiés à savoir Dosseye et Doholo à Goré dans le Logone Oriental 10 villages hôtes de Moissala ayant accueilli les réfugiés et retournés de la RCA à savoir Dilingala, Bekourou, Doubadéné5, Dembo, Bata, Kaba, Mbetikandja, Guidikouti, Kaba3 et Doubadéné5 Sud du Tchad(Nya-pendé et le Barh Sara)</t>
  </si>
  <si>
    <t>Les femmes et les filles</t>
  </si>
  <si>
    <t>Les participants directs sont la population de la zone du projetournés et ceux des villages hôtes. Les bénéficiaires indirects incluent outre les bénéficiaires directs, les populations des villages periphériques à notre zone d'intervention.</t>
  </si>
  <si>
    <t>Les VSLA accompagnés d'un appui financier, le cash tranfer pour des bénéficiaires dans la zone du projet</t>
  </si>
  <si>
    <t>Partenariat avec la Cellule de Liaison et des Actions Féminines(CELIAF)</t>
  </si>
  <si>
    <t>Formations, Appui en matériel (pour activité de sensibilisation…)</t>
  </si>
  <si>
    <t>Au constat du démarrage des activités faits avec retard, il a été proposé une petite extension qui a permis d'accompagner les groupements VSLA ayant bénéficié de l'appui financier.</t>
  </si>
  <si>
    <t>Collaboration/partenariat avec les organisations internationales, nationales et locales, permettant de définir les techniques et méthodes d'intervention sur le terrain. Cela a permis d'avoir une même vision, objectif et d'atteindre plus de personnes sur le terrain à travers toutes les activités mises en oeuvre en faveur des bénéficiaires</t>
  </si>
  <si>
    <t>Les séries de discussions de couples ont permis d'évaluer les niveaux de prise de décision dans les couples et leur permettre d'avoir les mêmes visions en rapport avec les besoins dans les ménages. Cette méthode a réduit les risques de violences dans les couples quant à la gestion des revenus des ménages</t>
  </si>
  <si>
    <t>Les consultances ont permis d'avoir des vues externes à l'équipe. Ces consultants ont donné des appuis techniques considérables qui ont permis aux structures (VSLA en particulier) de faire des choix judicieux des AGR durables pour leur emporwerment soicoéconomique et mettre sur pied des microprojets. En outre l'évaluation et les renforcement de capacités des organisations à base communautaire et de la société civile a permis de renforcer les capacités des structures communautaires et société civile pour des partenariats efficaces.</t>
  </si>
  <si>
    <t>L'alphabétisation des femmes dans les groupements VSLA a été un atout pour ces femmes qui ont appris à lire et à écrire</t>
  </si>
  <si>
    <t>L’audit de sécurité SGBV a permis aux femmes et filles de connaitre les risques réels auxquels elles sont exposées dans leurs milieux de vie</t>
  </si>
  <si>
    <t>Les femmes et filles membres des groupements ont pu identifier les AGRs durables qui leur permettent d’exercer pour leur autonomisation socioéconomique. Il faut ajouter à cela, l'appui donné par CARE en termes de fond d'appui qui a le plus soutenu qui sont tout au départ vulnérable et donc dans une grande difficulté de cotiser pour s'octroyer les crédit. Cela a revélé une autre forme de VSLA qu'on pourra désigner de ''VSLA subventionné''</t>
  </si>
  <si>
    <t>Projet d'appui à la planification familiale et aux soins après avortement</t>
  </si>
  <si>
    <t>Thomson Foundation</t>
  </si>
  <si>
    <t>Directrice Adjointe-Programme ACD-P</t>
  </si>
  <si>
    <t>Justin MUMBERE</t>
  </si>
  <si>
    <t>Chef de Projet</t>
  </si>
  <si>
    <t>Contribuer a la reduire de la mortalite maternelle par la reduction des grosseses non desirees.</t>
  </si>
  <si>
    <t>Regions de: Moyen Chari et Logone Oriental au Tchad</t>
  </si>
  <si>
    <t>Pour les paticipants directs nous avons fait la sommes des beneficiaires directes (cibles du projet) soit pres de 81085 clients beneficiares des services de planifications familiales (femmes et hommes), des soins apres avortement; des prestataires des soins, des facilitateurs de dialogues communautaires pour la creation de la demande. 
Les bénéficiaires indirect sont estimés par les membres des familles et des communautes qui vont beneficier indirectement des retombees des bienfaits de services</t>
  </si>
  <si>
    <t>L'utilisation des dialogues reflexifs au niveau communautaire pour tacler les barieres limitant l'acces aux services SSR</t>
  </si>
  <si>
    <t>Alliances strategiques avec UNFPA et la DSR (Ministere de la Sante Publique). Des actions synergiques sont mene pour l'approvisionnement en produits contraceptifs mais aussi dans le cadre du plaidoyer.</t>
  </si>
  <si>
    <t>L'organisation des comites de leaders en Association reconnue par l'Etat. Le regroupement des association en reseaux. La mise en place des activites generatrices des revenues pour l'autonomie finaciere de ces associations.</t>
  </si>
  <si>
    <t>Dialogue reflexif au sein des communautes pour la creation de la demande</t>
  </si>
  <si>
    <t>Engagement des hommes</t>
  </si>
  <si>
    <t>Engagement communautaires grace a des discussions reflexives pour l'amelioration de l'acces des femmes et des filles aux services complets SSR</t>
  </si>
  <si>
    <t>Le regroupement des associations en  reseaux</t>
  </si>
  <si>
    <t>Partenariat strategique avec UNFPA et la DSR</t>
  </si>
  <si>
    <t>Support to the most vulnerable households affected by the successive food crisis in WadiFira</t>
  </si>
  <si>
    <t>TD500</t>
  </si>
  <si>
    <t>ACD/Programmes</t>
  </si>
  <si>
    <t>Sue Gloor</t>
  </si>
  <si>
    <t>Programmes</t>
  </si>
  <si>
    <t>sgloor@care.org</t>
  </si>
  <si>
    <t>Soutenir les ménages les plus vulnérables affectées par les chocs successifs de la bande sahélienne du Tchad pour récupérer et protéger leurs moyens de subsistance pour atteindre la sécurité alimentaire et les niveaux nutritionnels adéquats.</t>
  </si>
  <si>
    <t>Tchad, Région de Wadi-Fira, Département de Biltine et de Kobé, sous-préfecture Rurale de Biltine et de Kobé (Canton Margouille, Kobé sud 1, Mimi-Hadjer, Ourba,</t>
  </si>
  <si>
    <t>Le projet a touché les groupes cibles suivants : les femmes, les filles, les  hommes et les enfants de 0 à 59 mois</t>
  </si>
  <si>
    <t>Les participants directs de l'action sont les ménages pauvres et très pauvres de la zone d'intervention, ils ont calculé sur la base de la méthodologie HEA. Les bénéficiaires indirects sont les populations de la Région Wadi-Fira.</t>
  </si>
  <si>
    <t>Evaluatin finale du projet faisant recours à un consultant externe</t>
  </si>
  <si>
    <t>Accès à la terre pour les femmes pauvres et très pauvres</t>
  </si>
  <si>
    <t>Prise en compte des caste ou des personnes marginalisées par la société comme nos bénéficiaires qui représentent autour de 30%.</t>
  </si>
  <si>
    <t>L'inmplication effective des groupes marginalisés dans les prises de décisions, à la participation dans les activités. Chose qui n'était pas possible avant ce projet.</t>
  </si>
  <si>
    <t>Les VSLA</t>
  </si>
  <si>
    <t>Engagement des hommes dans l'intégration des castes dans la communauté</t>
  </si>
  <si>
    <t>Participation des castes</t>
  </si>
  <si>
    <t>La gouvernance locale à travers l'accès des femmes pauvres et très pauvres à la terre</t>
  </si>
  <si>
    <t>La participation active des castes dans les prises de décisions au niveau communautaire</t>
  </si>
  <si>
    <t>Colombia</t>
  </si>
  <si>
    <t>Latin America and the Caribbean</t>
  </si>
  <si>
    <t>INICIATIVA IGS LAC - Programa regional de Trabajo Digno</t>
  </si>
  <si>
    <t>Claudia Sanchez</t>
  </si>
  <si>
    <t>Regional Coordinator Program Quality &amp; Impact</t>
  </si>
  <si>
    <t>Claudia.Sanchez@care.org</t>
  </si>
  <si>
    <t>Viviana Osorio</t>
  </si>
  <si>
    <t>Regional Advocacy Advisor LAC</t>
  </si>
  <si>
    <t>Viviana.Osorio@care.org</t>
  </si>
  <si>
    <t>Al 2030, mujeres trabajadoras del hogar de 6 paises en LAC  (Colombia, Mexico, Ecuador, Guatemala, Honduras y Brasil),  conocen, ejercen y demandan sus derechos humanos y laborales, impulsando un sistema de protección social que garantiza una vida digna y libre de violencia. La iniciativa gestiona un conjunto de estrategias enfocados en la creacion de alianzas y asocios nacionales y regionales para la incidencia politica para la ratificacion del convenio 189 y su implementacion en politica publica en cada pais, la comunicacion para el cambio de comportamiento de las y los empleadores, el aprendizaje y la gestion de conocimiento entre paises, el fortaleciento de las organizaciones de trabajadoras del hogar, que permitan lograr que 10 millones de trabajadoras del hogar al 2030 logren acceso a salario justo, acceso a seguridad social y acceso a un contrato digno de trabajo. Las condiciones en cada pais son distintas para alcanzar estas metas, por los cual los avances y estrategia por pais difieren segun los contextos y realidades especificos.</t>
  </si>
  <si>
    <t>Ecuador, Colombia, Guatemala, Honduras, Mexico y Brasil</t>
  </si>
  <si>
    <t>Trabajadoras del Hogar remuneradas</t>
  </si>
  <si>
    <t>Participantes directos&gt; Numero de Trabajadoras del hogar afiliadas a las organizaciones, Numero de tomadores de decision de Gobiernos en 6 paises (Congresistas, Ministros, otros politicos), numero de representantes de organizaciones socias afines a la problematica de los derechos de las trabajadoras del hogar, Numero de influenciadores / lideres de opinion sensibilizados, numero de personas que participan en actividades desarrolladas por con socios y aliados en favor de los derechos de las trabajadoras. Participantes indirectos&gt; Numero de personas (empleadores) sensibilizadas por campañas comunicacionales en favor de los derechos de las trabajadoras, Numero de trabajadoras del hogar sensibilizadas en sus derechos por alcance indirecto de otras trabajadoras del hogar, numero de trabajadoras del hogar que logran tener al menos 1 de 3 indicadores considerados: acceso a contrato de trabajo, acceso a seguridad social, acceso a un salario justo en los 6 paises en los que se desarrolla la iniciativa.
NOTA: Todos los participantes totales de la IGS han sido reportados desde Ecuador. Para evitar doble conteo, este formulario no incluye cifras especificas para Honduras</t>
  </si>
  <si>
    <t>1) Desarrollar la linea de base por pais. 2) Desarrollar Encuestas de percepcion y cambio de actitudes y practicas (CAP) en diferentes actores involucrados en la inicitiva, para evaluar nivel de sensibilizacion e involucramiento respecto a la problematica de las trabajadoras del hogar</t>
  </si>
  <si>
    <t>agenda politica comun entre org regionales de trabajadoras del hogar asi como entre las org en Colombia. Acompañamiento al fortalecimiento de las organizaciones de trabajadoras del hogar para el desarrollo de agendas de incidencia.</t>
  </si>
  <si>
    <t>El apoyo a las organizaciones de trabajadoras domésticas de México y Colombia para la expansión de sus afiliadas y la formación de los liderazgos femeninos en las organizaciones, así como la impementación de acciones de comunicación pública para sensibilizar a la sociedad civil sobre la problemetica y la falta de derechos de las trabajadoras del hogar. Se espera realizar una evaluacion en af18 para medir el cambio de actitudes y practicas sobre eun conjunto de actores involucrados en la iniciativa.</t>
  </si>
  <si>
    <t>En el primer año se han conformado las alianzas estratégicas bajo prioridades y enfoques comunes de actuación, vinculando a las organizaciones nacionales de trabajadoras del hogar con las organizaciones regionales en la propuesta de agendas y planes de accion comunes. Recordar que esta iniciativa se contruye sobre una primera fase que abarco acciones entre el 2010 al 2015 en 3 paises: Bolivia, Peru y Ecuador. Las lecciones aprendidas de esta experiencia, son las bases del diseño de la estrategia 2017 - 2030 en los 6 paises previstos para esta fase: Ecuador, Honduras, Guatemala, Colombia, Mexico y Brasil. Se ha trabajado en el acercamiento de las dos redes latinoamericanas de trabajo domestico *FITH y CONLACTRAO, asi como con la OIT. El acercamiento con Brasil se ha dado en los ultimos meses, se esta buscando movilizar nuevos recursos para poder afianzar un proyecto mayor con las organizaciones en Brasil (con apoyo de CARE Francia)</t>
  </si>
  <si>
    <t>El apoyo a las organizaciones de trabajadoras domésticas de Honduras, Guatemala, Ecuador, México y Colombia para la expansión de sus afiliadas y la formación de los liderazgos femeninos en las organizaciones, así como la impementación de acciones de comunicación pública para sensibilizar a la sociedad a cerca del valor del trabajo doméstico</t>
  </si>
  <si>
    <t>La inicitiva tuvo mucho interes en consolidar las acciones de fortalecimiento del nivel regional de las organizaciones de trabajadoras del hogar, lo mismo establacer las alianzas con paises de no presencia de CARE como los son Mexico y Colombia, donde se han desarrollado los asocios con las organizaciones y sindicatos de trabajadoras en cada pais, asi como con organizaciones afines de fortalecimiento organizacional, ademas de continuar con los asocios con las organizaciones en Guatemala, Ecuador y Honduras. Un primer a;o de sentar las bases del asocio en 6 paises, lo mismo consolidar los asocios con OIT en el nivel regional fueron las prioridades del equipo en este primer año. Otro tema fue el apoyo a las campañas de sensibilizacion y eventos publicos (foros abiertos) dirigidas a la sociedad civil sobre la situacion de las trabajadoras del hogar, en especial en Mexico, Guatemala, Colombia y Honduras. Un tema importante ha sido diseñar un conjunto de indicadores de resultado que permitan consolidar los avances de la incidencia politica en cada pais. Si bien en el año 1 estos indicadores estuvieron mas concentrados en la generacion de redes y asocios, en el año 2 se proponen nuevas metas como son definir cambios en las politicas publicas existentes, formar plataformas de incidencia por pais, incrementar el numero de afiliadas a las organizaciones, desarrollar mayores investigaciones sobre la situacion de las trabajadoras en cada pais que sirvan como evidencia para la incidencia politica, involucrar a mayor numero de congresistas y actores de gobierno al movimiento por los derechos de las trabajadoras, entre otros.....ello con el fin de trabajar los 2 proximos años en los cambios necesarios en las leyes y la normativa existente que puedan generar las condiciones para el cumplimiento de los 3 indicadores propuestos: incremento de salario basico, incremento de acceso a seguridad social, incremento en numerode contratos. se esera que al 2020 al menos 5 millones de trabajadoras sean alcanzadas por estos beneficios en los 6 paises en los que trabaja la iniciativa.</t>
  </si>
  <si>
    <t>El poder catalizador de las alianzas es un modelo de actuación vital para el logro de los objetivos del programa, en especial considerando la estrategia multidimensional expresada en nuestra teoría de cambio para transformar las condiciones laborales y la vida de las trabajadoras del hogar. Además de hace posible la mayor movilización de recursos, la experiencia y el conocimiento de los diversos actores es el activo mas valioso que las alianzas estratégicas permiten capitalizar para el desarrollo de la IGS.                                                                                                                                                                                                                                             Adicionalmente, la unidad y la articulación de las organizaciones de las trabajadoras domésticas es el enfoque más exitoso para la representación política, ya que incrementa la visibilidad política, el poder de negociación de las mismas y propicia agendas políticas menos diversas. La apuesta del Programa es que las organizaciones existentes amplíen sus bases, desarrollen sus liderazgos, sean sostenibles y avancen en redes y alianzas para su mayor capacidad de incidencia.</t>
  </si>
  <si>
    <t>El desarrollo de un nuevo modelo de presencia de CARE para expandir la acción a países en los cuales no se cuenta con oficina, ha sido exitoso en el primer año del proyecto. De esta manera, en México y Colombia, con la actuación con socios estratégicos y los sindicatos más fuertes de trabajadoras domésticas, los objetivos del programa avanzan de manera exitosa e incluso generando experiencias exitosas para replicar en otros países de la región.</t>
  </si>
  <si>
    <t>El social business aplicado a las organizaciones de trabajadoras domésticas  hace possible la formalización laboral, la profesionalización y cualificación de las trabajadoras. Asimismo, tiene importantes efectos en la organización sindical, como su sostenibilidad financiera, la ampliación de sus bases, el ejercicio de la negociación colectiva, entre otros. Tras su sistematización, será un modelo susceptible de ser replicado</t>
  </si>
  <si>
    <t>Es fundamental que los procesos de diseño y la implementación de las estrategias de incidencia y de comunicación pública se articulen a los procesos de este tipo que ya adelantan las organizaciones en sus respetivos países, reconociendo su conocimiento, experiencia y comprensión del contexto. Desde este reconocimiento, nuestras estrategias deben recoger las prioridades comunes, potenciar las capacidades de los actores y proporcionar una visión del panorama político regional y global para una articulación colectiva en propósitos comunes.  De otro lado, el proceso de conformación de alianzas y asocios hace posible ver con mayor claridad las necesidades de la región a partir del conocimiento de lo que los múltiples actores han adelantado para promover los derechos d elas trabjaadoras domésticas.</t>
  </si>
  <si>
    <t>La conformación de plataformas a nivel nacional y regional determinarán formas de actuación y roles distintos para CARE, dependiendo del modelo de presencia y la relación con los socios y aliados en cada país. En el caso de los países donde tenemos oficina, es el equipo nacional quien tiene la iniciativa y el equipo regional apoya sus decisiones; en el caso de los países donde tenemos asocios fuertes, apoyaremos la constitución de las plataformas brindando soporte técnico, político y financiero. En el nivel regional se privilegiará nuestro rol articulador y dinamizador de procesos, pues esta es una gestión que no está siendo realizada por otros actores y es el valor agregado del trabajo que CARE puede realizar y posicionarse desde este espacio en la temática y en el contexto latinoamericano.</t>
  </si>
  <si>
    <t>Se requiere generar espacios de diálogo, intercambio y trabajo conjunto entre FITH y CONLACTRAHO, tomando en cuenta los ritmos y situación organizativa de cada una y aportando técnica y políticamente para su consolidación como expresión regional de las trabajadoras del hogar. Esto considerando además la improtancia de traducir en estrategias y actividades conjuntas el acuerdo de articulación para la acción en América Latina.</t>
  </si>
  <si>
    <t>EL FORMULARIO NO INCLUYE DATA DE PRESUPUESTO NI PARTICIPANTES PORQUE TODOS ESTAN REPORTADOS BAJO EL CONSOLIDADO REPORTADO POR ECUADOR
La gestión del conocimiento y la experiencia adquirida (ver sistematización de la experiencia del Programa Regional de Trabajo Digno 2009-2017), ha permitido avanzar más rápido en la relación con las organizaciones y consolidación de acuerdos de confianza y trabajo conjunto.
Los procesos de formación que impulsamos al considerar a los seres humanos como un todo integral, potencia las capacidades individuales y colectivas y aporta a la conformación de liderazgos de nuevo tipo, que enfrentan desde una práctica distinta, a las prácticas de los sindicatos tradicionales jerárquicos, patriarcales y que invisibilizan el trabajo doméstico.
La necesidad de contar con indicadores de resultado anual para dar cuenta de los logros y resultados de incidencia de manera cuantitativa y cualitativa. Se ha trabajado una matriz de indicadores en este sentido que han sido completados al final del primer año por los 5 paises en los que se ha implementado la iniciative este año. Se han propuesto un conjunto nuevo de indicadores de resultado de incidencia para el año 2 como parte del sistema de MyE escalonado (o en fases) diseñado para la iniciativa. Se propone monitorear estos avances de manera trimestral en el AF18.</t>
  </si>
  <si>
    <t>i) Marco lógico; ii) Informe anual regional y por país. iii) sistematización de la experiencia del Programa Regional de Trabajo Digno 2009-2017) iv) Video Trabajadoras del Hogar:  https://www.dropbox.com/s/b9loiehxnohuknc/CARE_WORKSHOP_1080P_h264_FINAL_Spanish.mov?dl=0</t>
  </si>
  <si>
    <t>MAWE TATU</t>
  </si>
  <si>
    <t>CNLDCD0048</t>
  </si>
  <si>
    <t>Jean Makelele</t>
  </si>
  <si>
    <t>jean.makelele@care.org</t>
  </si>
  <si>
    <t>Les femmes, hommes et jeunes dans cinq territoires du Nord et du Sud Kivu seront en 2019, des  acteurs clés des relations  femmes- hommes plus égales qui préviennent les violences basées sur le genre, promeuvent une gestion économique des ménages améliorée et des comportements qui améliorent la santé sexuelle et reproductive(SSR) saine, y compris le planning  familial, dans une perspective trans-générationnelle.</t>
  </si>
  <si>
    <t>Nord Kivu : ville  de Goma ( zone de santé de Goma, Karisimbiet Territoires de Nyiragongo ( zone de santé de Nyiragongo) et de Rutshuru ( zone de santé de Rutshuru.
Sud Kivu: ville de Bukavu ( zones de santé de Bukavu, Bagira, Ibanda) et Territoire de Walungu ( zone de santé de Walungu).</t>
  </si>
  <si>
    <t>FEMMES, groupe d’impact principal de participants de “Mawe Tatu”: femmes et jeunes femmes âgées de 13 – 49 ans, dont la vulnérabilité est due à la pauvrette et la violence basée sur le genre dans leurs communautés. 
HOMMES : âgés de plus de 25 ans qui adoptent des attitudes et comportements  contribuant à améliorer les relations hommes-femmes et réduire les violences Basées sur le Genre (VSBG). 
JEUNES : filles et garçons âgés de 10-24 ans des écoles et non-scolarisés fréquent les centres d’échange des jeunes.</t>
  </si>
  <si>
    <t>N O</t>
  </si>
  <si>
    <t>Le constat lors de ces visites a été moins positif pour les activités concernant l’outcome 3, relatif à l’éducation complète à la sexualité au sein des jeunes. Pour cette raison la stratégie a été révisée et le budget adapté aux modifications apportées à la stratégie.                                                                                                                                                                                                                                                                                                                                                                                                                                           Le partenaire qui été responsable de la mise en œuvre de la composante jeunesse n'a pas produit des bons résultats et CARE a pris la décision d'arrêter le contrat de partenariat.                                                                                                                                                                                                                                                                                                                                                                                                                                                                                                                                   Des modifications budgétaires ont été apportée au budget concernant l'outcome 1 (Développement économique) suite à la mis en œuvre des stratégies permettant d'atteindre la cible de 23900 femmes organisées dans les VSLA.</t>
  </si>
  <si>
    <t>Associations Villageoises d’Epargne et de Crédit. Le modèle d’AVEC de CARE est bien adapté (et très accepté dans les communautés) comme un véhicule pour l’avancement/le développement économique des femmes pauvres et  de leur capacité d’opérer leur changement individuel, relationnel et structurel. 422 VSLA ont été mises en place et leurs membres ont été formé sur differents themes à savoir: la Gouvernance participative, l'économie de menage, le Genre, les droits humains, les violences basés sur le genre, la planification familale, communication et plaidoyer et partenariat.</t>
  </si>
  <si>
    <t>Engagement des hommes à la masculinité positive et lutte contre les SGBV: Le cadre de CARE pour la capacitation des femmes rend clair que  les hommes doivent prendre part à la déconstruction/destruction des masculinités négatives et des normes sociales injustes, et à la redéfinition des relations interpersonnelles. Les changements par les femmes, seules, ne suffisent pas pour surmonter les relations inégales et les structures sociales qui donnent beaucoup de pouvoir, prestige et ressources aux hommes. CARE travaille avec les hommes et les garçons comme ses partenaires et alliés parce que leur leadership et leur adhésion sont essentiels pour réduire les inégalités et lutter contre la pauvreté.</t>
  </si>
  <si>
    <t>L’Education Complete à la Sexualité pour les jeunes dans les écoles et en dehors de l'école afin de leur permettre d'acquérir une information exacte, de développer des compétences essentielles et de cultiver des attitudes et valeurs positives qui leur permettraient de prendre des décisions bonnes et renseignées. l’Education complete à la sexualité couvre le grand éventail de sujets qui affectent la sexualité et la santé sexuelle, y compris l'information et les préoccupations concernant l'abstinence, l'image corporelle, la contraception, le sexe, la croissance humaine et le développement, la reproduction humaine, la grossesse, les relations, les relations sexuelles plus sûres (prévention des infections sexuellement transmissibles), les attitudes et les valeurs sexuelles, l’anatomie  et la physiologie sexuelle, le comportement sexuel, la santé sexuelle, l'orientation sexuelle et le plaisir sexuel.</t>
  </si>
  <si>
    <t>The reflection group is breaking the social barriers in so much that members of the same group become friends and share confidence, and communicate experiences, help in the healing process of inner wounds among the members. During the discussions “leaders throw away their leaders’ hats” and behave like ordinary group members.</t>
  </si>
  <si>
    <t>Women's empowerment programs need to deepen and take into account the activities of economic interest of men in order to prevent men's efforts from being vain because idleness and precariousness of life corroborate the violence of men.</t>
  </si>
  <si>
    <t>Unexpected activities may arise from other approaches or projects executed in the area: civil marriage demanded by men to express their degree of change of behavior and new vision of harmonious life.</t>
  </si>
  <si>
    <t>Le projet a connu assez des défis dans la mise en œuvre pendant cette année concernant les partenaires de mis en œuvre. Un partenaire a été disqualifié suite aux faibles capacités de mis en œuvre des activités et megestion. Un cas de fraude a été identifié chez un autre partenaire. Ces évènements ont eu un impact négatif, notamment le retard dans la mise en œuvre du projet.</t>
  </si>
  <si>
    <t>'- Le Proposal du projet Mawe Tatu,                                                                                                                                                                                                                                                                                                                                                                                                                                                                            '- Le Workplan du projet Mawe Tatu,                                                                                                                                                                                                                                                                                                                                                                 '- Monitoring protocol tool                                                                                                                                                                                                                                                                                                                                                                                                                                                                                                               '- Bases de Données</t>
  </si>
  <si>
    <t>TUONGOZE PAMOJA</t>
  </si>
  <si>
    <t>CNLD0047</t>
  </si>
  <si>
    <t>Bernard Kimongo</t>
  </si>
  <si>
    <t>Contribuer au développement du système de gouvernance concertée entre Acteurs Etatiques (AE) et Organisations  de la Société Civile (OSC) afin de répondre efficacement aux besoins sociaux de base de 297.700 ménages  vulnérables des Territoires de Rutshuru et Lubero dans la Province du Nord Kivu</t>
  </si>
  <si>
    <t>Le projet intervient dans le territoire de Rutshuru(Chefferie de Bwisha) et celui de Lubero( chefferies de Baswagha,Bamate et Batangi), province du Nord-Kivu en RDCongo</t>
  </si>
  <si>
    <t>30 OSC,15 AL,2 reseaux d'OSC et 100 CLD</t>
  </si>
  <si>
    <t>Les participants directs sont constitues des membres de 30 organisations de la societe civile selectionnees dans les deux territoires(Lubero et Rutshuru) et formant deux reseaux, des autorites locales de deux territoires et de 100 comites locaux de development situes dans les villages. Tandisque les participants indirects sont constitues des membres de 297.700 menages vulnerables identifies dans les 4 chefferies qui constituent le rayon d'action du projet, soit 1786000 personnes a raison de 6 personnes par menage.</t>
  </si>
  <si>
    <t>L'evaluation finale nous permttra de mesurer le progres realise par rapport aux indicateurs definis dans le cadre logique notamment: le changement sur l'utilisation des ecoles et des centres de sante, le fonctionnement des cadres de dialogue social, la redevabilite et la receptivite des autlrites locales, la capacite d'analyse et d'influence de la societe civile aupres des autorites locales et provinciales etc</t>
  </si>
  <si>
    <t>Le projet a contribue a deux innovations importantes a savoir: Implication totale de la societe civile dans le processus d'elaboration et de suivi des budgets des chefferies, la signature et la mise en oeuvre  des conventions avec les chefs des chefferies sur l'appui financier et moral des plans conjoints d'amelioration des services elabores par les populations vulnerables dans les ecoles et les centres de sante, la creation d'une ligne budgetaire sur le fonctionnement continue des cadres de dialogue social mis en place par le projet</t>
  </si>
  <si>
    <t>L'approche community score a permis aux membres des communautes de base d'evaluer, d'une maniere participative et responsible, les services organises dans les ecoles et les centres et de produire les plans conjoints d'ameioration des services don’t les actions verticales ont fait l'objet d'un plaidoyer aupres des autorites locales et provinciales. Cet outil de la citoyennete responsable contribue a l'amelioration de la culture de redevabilite des autorites locales et autres prestatuires des services envers les populations vulnerables</t>
  </si>
  <si>
    <t>La tenue des seances trimestrielles de dialogue social  a permis a la societe civile de s'impliquer reellellement dans le processus d'elaboration, de mise en oeuvre et de suivi-evaluation des budgets et des plans de develpement local des cheferies. C'est une activite qui reenforce les relations entre  la societe civile, les autorites locales et les membres des  communautes dont le niveau de confiance ne cesse d'augmenter</t>
  </si>
  <si>
    <t>Le renforcement des capapcites organisationnelles des membres des communautes a contribue significativement a leur engagement et  contribution dans le processus de mise en oeuvre des microprojets pilotes issus des plans conjoints d'amelioration des servicves elaboires dans les ecoles et les centres de sante.</t>
  </si>
  <si>
    <t>Le projet contribue significativement a la cohesion sociale dans les 4 chefferies</t>
  </si>
  <si>
    <t>Le projet permet aux membres de la societe civile de jouer efficacement leur role d'accompagner les autorites locales  dans la mobilisation et la gestion transparente des ressources publiques.</t>
  </si>
  <si>
    <t>La crise politique  qui persiste dans toute la RDC risque de fragiliser les efforts fournis par les acteurs de la gouvernance locale de deux territoires par rapport au processus de mise en oeuvre de la decentralisation territoriale.</t>
  </si>
  <si>
    <t>Bien que les cadres de dalogue social mis en place par le projet aient bien fonctionne durant cette annee fiscale, la double casquette des chefs des chefferies  qui sont en meme temps autorites politico-administratives et presidents des comites  locaux  de developement constitue encore un risque potentiel sur le bon fonctionement de ces cadre dans le futur et merite d'attirer l'attention de tous les intervenants.</t>
  </si>
  <si>
    <t>Pendant cette annee fiscale, nous nous sommes referes, dans le cadre de  la mise en oeuvere des activites du projet, aux documents suivants:  cadre logique, le proposol, le Budget, le plan de suivi et le plan global d'activites.</t>
  </si>
  <si>
    <t>Gender Equality Women Empowerment Program ( GEWEP)</t>
  </si>
  <si>
    <t>CNORCD0017</t>
  </si>
  <si>
    <t>Alexis Kisubi</t>
  </si>
  <si>
    <t>alexis.kisubi@care.org</t>
  </si>
  <si>
    <t>D'ici 2020, 70 550 femmes et filles de 9 zones de sante de la province du Nord Kivu beneficieront d'une transformation en faveur du genre dans leur communaute</t>
  </si>
  <si>
    <t>Province du North Kivu, a l'Est de la RDC, dans 9 zones de sante reparties dans les territoires de Rutshuru, Lubero, Masisi, et Nyiragongo, et dans la ville de Goma.</t>
  </si>
  <si>
    <t>Les femmes et filles vulnerables de 15 a 49 ans ( filles meres, veuves, victimes ou survivantes des GBV, economiquement pauvre)</t>
  </si>
  <si>
    <t>le groupe d'impact comprend :  - les femmes et filles vulerables en age de procreation ( de 13 a 49 ans )                                                                                                                                                                        -The male heads of households where women are part of the impact group;
-    Women who are already organized into VSLA,
-    Men who are members of gender mixed VSLA;
-    Young people (boys and girls) through the Young Men Engage initiative
-    Community leaders (local and religious authorities, activists) and leaders of civil society</t>
  </si>
  <si>
    <t>il est prevu une evaluation finale du programme vers fin 2018-2019. Deja en septembre 2017, une reunion des experts M&amp;E sera tenue a Dubai pour fixer les outils , le calendrier et les agenda de conduite de ces evaluations finales des GEWEP dns tous les pays concernees : Mali, Niger, RDC, Burundi, Rwanda, Ouganda, Tanzanie, Myanmar. l'un des defis de cet exercice pour GEWEP RDC est la contextualisation de certains indicateurs et la documentation des indicateurs globaux dont les resultats ne sont pas n'ont pas d'activites consequentes</t>
  </si>
  <si>
    <t>GEWEP II a experimentee l'approche VSLA dans un contexte  fragile en iniitiant par exemple l'opertaionnalisation du fond de cohesion sociale entre les membres des reseaux des VSLA pour les rendre beaucoup plus resilients face aux crises et chocs qui les affectent.</t>
  </si>
  <si>
    <t>GEWEP II a developpee des collaborations strategiques avec des organisations telles que ONU femmes et LPI specialement sur l'approche engagemet des hommes dans la lutte contre les VBG. La Synergie des reseaux des VSLA est devenu preque un mouvement social a Goma et au Nord-Kivu.</t>
  </si>
  <si>
    <t>CARE a (i) renforcé les capacités des membres des alliances des organisations de la societe civile en leadership feminin; en marketing social et negociaion; en droits des femmes , genre et gouvernance; (ii) appuyé la mise en reseaux et en alliances  des organisations de la societe civile y compris les jeunes organisations dont les reseaux des associations villageaoise d epargne et de credit (VSLA) et (iii) soutenu la synergie des reseaux des associations villageoises d'epargne et de crédit dans leur institutionnalisation et operationnalisation en faveur des VSLA ; (iv) appuyé l'integration du genre dans les politiaues des orgnisations non gouvernemetales et celles a assises communautaires  et dans le plaidoyer</t>
  </si>
  <si>
    <t>Au cours de cette annee fiscale ; les changements introduits sont notamment : (i) l'integration des activités et ligne bugdtaires relatives a l'appui a la planification locle dans certaines entités territoriales décentralisées ciblées  et a la mise en oeuvre de la declaration de Kampala et la Resolution 1325 du Conseil de Securite de Nations-Unies , (ii) revision budgetaire pour integrer et renforcer le suivi et la docu,entation des resultats sur terrain</t>
  </si>
  <si>
    <t>le modele VSLA a servi des point d'entrée pour le reste de composantes</t>
  </si>
  <si>
    <t>les approches communautaires ci-dessous : (i) Analyse sociale et Action-dialogue communautaire-fora et plaidoyer pour defier les normes socilaes discriminatoires ; (ii) planification locale du developpement moyennant le guide methodologique de plainification locale et provinaile de la RDC ; (iii) approche communautaire de la resilience et getion des crises ; (iv) l'opertaionnalisation du fonds de cohesion sociale entre les reseaux des associations villageoises d'epargne et de crédit pour la preparation a la prise en charge des persones deplacees internes ; (v) restructuratin de la communauté locale a travers les comités locaux de paix et de développement</t>
  </si>
  <si>
    <t>Les dogmes de certaines communautés ecclésiastiques ne sont pas favorables à certains thèmes surtout ceux qui ont trait à la planification familiale, à la santé sexuelle et reproductive et à l’éducation sexuelle des jeunes. Les normes sociales dont les racines profondes sont les coutumes et usages discriminatoires sont des freins à l’engagement des hommes. La peur de la disparition des us et coutumes autochtones, et par ricochet les éléments des identités tribales, le plus souvent discriminatoires envers les femmes –filles en faveurs des cultures occidentales sont aussi un frein dans le changement (surtout pour les vieux hommes). La méconnaissance des lois qui protègent les droits des femmes même par les femmes elles même (à la cause : les lois ne sont pas vulgarisées et le taux élevé d’analphabétisme)</t>
  </si>
  <si>
    <t>Le rôle de la société civile celui de chien de garde (Watch dog ) et contrepouvoir-dans le sens de suivre et influencer les politiques publiques dans la droite ligne des intérêts des communautés locales. Les Organisations de la Société civile ne sont pas toujours à la hauteur pour satisfaire ce besoin et bien jouer ce rôle que les communautés attendent d’elles. Ce qui nécessite de la part de CARE d’appuyer les espaces de discussion sur le rôle et la responsabilité de la société civile et sa redevabilité par rapport aux demandes des populations locales.</t>
  </si>
  <si>
    <t>etant donné le faible niveau dùinstruction des femmes et filles dans les milieux ruraux , l'égalité du genre et le renforcement du pouvoir socio)economiaue de cescategories importantes de notre groupe dùimpact recquierent des mecanismes alternatifs notamment la miseen oeuvre des cercles et/ou centres d'alphabetisation  pour aue pouvoir et avoir soient soutenus par le savoir. Ce trio de pouvoir, avoir et savoir sont interconnectés pour l'égalité du genre et l'équité entre hommes et femmes soient effectives.</t>
  </si>
  <si>
    <t>le modèle de programme GEWEP expériementé dans 09 wones de santé de la province du Nord-Kivu en RDC devrait etre mis à l'échelle sur d'autres provinces du Pays en l'adaptant à ce contexte a la fois humanitaire /urgences et developpement</t>
  </si>
  <si>
    <t>https://drive.google.com/file/d/0B4va3gO-1mh6Skt2Q3pUODlYSUk/view  ; https://drive.google.com/file/d/0B4va3gO-1mh6Skt2Q3pUODlYSUk/view ; https://drive.google.com/file/d/0B4va3gO-1mh6dUVNY2kyMWVWVEU/view ; https://drive.google.com/file/d/0B4va3gO-1mh6VHNRYW9CeUI2cTQ/view  ;    pour la cellule C77 ; veuillez noter que les bqselines pour GEWEP II ont ete conduites en 2015</t>
  </si>
  <si>
    <t>AID MATCH</t>
  </si>
  <si>
    <t>CGBRCD0013</t>
  </si>
  <si>
    <t>Raoza Vololona, Denise MATHE</t>
  </si>
  <si>
    <t>Program Manager,Superviseur de zone</t>
  </si>
  <si>
    <t>raoza.vololona@care.org , denise.kavira@care.org</t>
  </si>
  <si>
    <t>Papy Boendi et Blaise KIBISWA</t>
  </si>
  <si>
    <t>Chargé d'engagement communautaire</t>
  </si>
  <si>
    <t>Papy.boendi@care.org , blaise.kibiswa@care.org</t>
  </si>
  <si>
    <t>Contribuer à améliorer la qualité et l'accès aux services de santé génésique pour assurer que les adolescents et jeunes ont un meilleur choix à la planification familiale à Goma.</t>
  </si>
  <si>
    <t>RDCongo - Nord Kivu /Goma</t>
  </si>
  <si>
    <t>Adolescents et jeunes</t>
  </si>
  <si>
    <t>_ Les participants directs representent les Jeunes et  Adolescents ciblés par le projet soit 14000 pour les deux années (7000 pour une année) (cfr Logfram Aidmatch). Nous avons consideré que les filles représent 52 % (3640 ) et les garcons 48 % (3360).                                                                                                                                                                                                                                                                                                                                                                                                                                                           _ Les participants indirects representent les membres de la communauté ciblés par les message de sensibilisation sur l'utilisation des servives dans les aires de santé appuyés par le projet, 171576 dont 44610 filles et 41178 garcons</t>
  </si>
  <si>
    <t>Le Endline a eu lieu au mois d'Aoiut , les resulats de cette etude seront compares aux Donnees de depart ( baseline ) pour evaluer l'impact du projet</t>
  </si>
  <si>
    <t>Le community Score card a ete utilise comme un outil pour renforcer la redevabilite . Ce processus participatif impliquant les Pears leaders et les prestetataires a apporte un changement significatif dans la gouvernance et la redevablite et ameliorer la qualite de l'offre de services .</t>
  </si>
  <si>
    <t>Comminity score card, sensibilisation par Pairs,approche champions, cartographie  sociale , approche competences de vie courantes</t>
  </si>
  <si>
    <t>Le CSC ameliore la gouvernance et la redevabilite de services SR de jeunes</t>
  </si>
  <si>
    <t>L'apport de confessions religieuses est un facteur cle pour le changement et l'adoption des attitudes / normes qui limitent l'acces de jeunes / adolescents aux services SR</t>
  </si>
  <si>
    <t>L'utilisation de l'approche champions et de Youth mentor comme modele positif constituent un soutien pour le developpement futurs de jeunes</t>
  </si>
  <si>
    <t>Le projet constitue un modele qui merite d'etre mis en echelle</t>
  </si>
  <si>
    <t>Supporting Access To Family Planning and Post Abortion Care (SAFPAC III)</t>
  </si>
  <si>
    <t>ANO1CD0002</t>
  </si>
  <si>
    <t>Raoza VOLOLONA RAFANOHARANA</t>
  </si>
  <si>
    <t>raoza.vololona@care.org</t>
  </si>
  <si>
    <t>Bergson KAKULE</t>
  </si>
  <si>
    <t>Coordonnateur de zone</t>
  </si>
  <si>
    <t>bergson.kakule@care.org</t>
  </si>
  <si>
    <t>Contribuer à la réduction de la morbidité et de la  mortalité maternelle et infantile</t>
  </si>
  <si>
    <t>RD-Congo / Nord Kivu (Goma, Kayna, Lubero et  Butembo)</t>
  </si>
  <si>
    <t>Les femmes en âge de procréer</t>
  </si>
  <si>
    <t>_ Les participants directs  sont constitués par nos différentes cibles devant utilisé les services de PF et SAA  soit 107280 dont  101520 nouveaux clients  attendus pour l'utilisation  des des méthodes PF  et 6768 clientes attendus pour les services SAA. Les bénéficiaires de sexe féminin représentant 99,5% (clientes PF et clientes SAA) tandisque ceux de sexe masculin représente seulement 0,5 % (utilisateurs de la vasectomie).                                                                                                                                                                                                                                                                                                                                                                                                                                                                                             _ Les participants indirects representent toutes les femmes et les hommes en âge de procréer dans les 4 sites d'intervention de SAFPAC parmi lesquelles  nous comnptions atteindre 60 % soit 122151 parmi lesquels 73291 femmes (35%) et filles (25%) et 48860 hommes (25%) et garçons (15%).</t>
  </si>
  <si>
    <t>Ce sera une recherche qualitative/LQAS</t>
  </si>
  <si>
    <t>Le projet a  poursuivi deux initiatives de plaidoyer au niveau provincial afin d'influencer les decisions sur l'adoption du realignement budgetaire pour l'achat des contraceptifs d'une part et d'autre part au niveau national pour l'adoption de la loi SR incluant l'acces au droit a  l'avortement .Grace aux efforts de plaidoyer de la Coalition, le parlement national a repris la discussion sur la loi SR incluant  l'acces au SAC”</t>
  </si>
  <si>
    <t>Nous avons travaillé avec des groupoes de VSLA en faisant le lien entre la PF et le dividende démographique</t>
  </si>
  <si>
    <t xml:space="preserve">_ Le projet a fait des alliances avec d'autres organisations nationales et internationales pour ouvrir le débat sur les droits des femmes et des filles à l'avortement thérapeutique                                                                                                           _ La coalition a soumis une proposition de loi sur la SR incluant l'accès à l'avortement thérapeutique.                                                                       -- Le projet a su tisser des Alliances avec le Projet Sante sexuelle et Reproductive des Adolescents permettant a nos cible l'utilisation de la phonie mobile (1-5-5)                                                                                                                                                                 </t>
  </si>
  <si>
    <t>_ Renforcement des capacités des membres de la coalition Grossesses non désirées incluant les Organisation de la socité civile nationale sur les droits à la SSR                                                                                                                                  _ La coalition a appuyé la Société civile sous le lead de "Si jeunesse savait" pour la rédaction des argumantaires pour l'application du protocole de Maputo dans son intégralité</t>
  </si>
  <si>
    <t>_ Le projet a orgqnisé un atelier d'harmonisation des outils de gestion de collecte des données avec les autres organisations non gouvernementales (Save the Clildren, RESCUE, MSF, Cordaid) et le ministère provinciale de la santé du Nord Kivu</t>
  </si>
  <si>
    <t>_ L'utilisation des travailleurs de santé communautaire avec des audiences spécifiques  contribue à l'amélioration de  l'accessibilité  aux services de certaines de presque toutes les couches de la population</t>
  </si>
  <si>
    <t>_ L'appui aux membres de la communauté  de différentes  aires de santé appuyées  à travers  l'identification  des besoins et l'élaboration des stratégies d'amélioration a permis aux différents comité de santé de se doter des Plans conjoints d'amélioration des services</t>
  </si>
  <si>
    <t>_ La cartographie de pouvoir nous a permis d'identifier des Leaders avec lesquels nous avons ouvert le débat autour des questions de SR et la bonne compréhension des aspects y relatifs a été à la base de leur implication dans la mise en œuvre des activités</t>
  </si>
  <si>
    <t>_ La Migration des équipes du projet vers les bureaux de BCZ dans les Zones de santé de Butembo , Lubero &amp; Kayna , a contribué favorablement à l'appropiation du projet par le partenaire du ministère et de travailler différemment et de devenir plus efficace dans la planification des actvités ,  la supervision  de FOSA  et la collecte de données.</t>
  </si>
  <si>
    <t>_ L'implication de la Communauté dans la planification communautaire est un facteur essentiel pour un engagement accru de la communauté pour l'amélioration de la qualité de l'offre des services ( La participation de la communauté a plus de 50 % dans la réhabilitation / l'amélioration de l'environnement physique de travail )</t>
  </si>
  <si>
    <t>_ L'intégration des autres services (SGBV, DMU, SONU) dans le projet SAFPAC est une necessité pour améliorer l'utilisation des services PF et SAA dans les structures sanitaires appuyées</t>
  </si>
  <si>
    <t>_ Le projet SAFPAC travaille actuellement avec 66 partenaires avec accord formel à savoir: Le ministère national de la santé Publique, Le minstère Provincial de la santé du Nord Kivu, 5 Bureaux Centraux de zone de santé, 48 structures sanitaires, 2 confessions religieues (CBCA et Eglise Adventiste), le PNSR et le PNSA pronvinciaux du nord Kivu.                                                                                                                                                                                                                                                                                                                                                                                                                                                                                                                                    _ Care international est membre de la coalition " Grossesses Non Désirées "avec d'autres organisations internationales notamment: Pathfinder, RESCUE, ABF, Si Jeunesse savait, SGF, MdM etc..</t>
  </si>
  <si>
    <t>Les différentes  documents clés desquels sont tirés ces informations sont :  _ Le Proposal du projet SAFPAC, _ Le Workplan du projet SAFPAC, _  Les Bases de Donnees  clinique et communautaire de SAFPAC RDC</t>
  </si>
  <si>
    <t>Costa Rica</t>
  </si>
  <si>
    <t>Proyecto Nutriendo El Futuro</t>
  </si>
  <si>
    <t>CARGILL</t>
  </si>
  <si>
    <t>Manuel Enamorado</t>
  </si>
  <si>
    <t>Oficial Monitoreo</t>
  </si>
  <si>
    <t>Manuel.Enamorado@care.org</t>
  </si>
  <si>
    <t>Jose Antonio Sauceda</t>
  </si>
  <si>
    <t>Gerente</t>
  </si>
  <si>
    <t>jose.sauceda@care.org</t>
  </si>
  <si>
    <t>Los productores y productoras rurales empoderadas, micro-empresarios y comunidades locales garantizan la seguridad alimentaria de sus familias, con igualdad de acceso a los mercados, el control de sus recursos y el aumento de la resiliencia al cambio climático.</t>
  </si>
  <si>
    <t>3 países: Honduras, Nicaragua y Costa Rica: Honduras: Villanueva, Siguatepeque, Santa Cruz de Yojoa, Quimistan y San Marcos; Nicaragua: Tipitapa, Masaya, Nindiri,  Ticuatepe, Chinandega, El Viejo y  Chichigalpa;  Costa Rica: 2 Provincias: Alajuela y Heredia.</t>
  </si>
  <si>
    <t>Hombres y Mujeres Productores agricolas, mujeres emprendedoras y niños y niñas en edad escolar  de hogares de escuelas atendidas por el proyecto.</t>
  </si>
  <si>
    <t>Participantes directos son los grupos poblacionales de impacto, que participan directamente de las actividades del proyecto, están integrados por 3 grupos: a) niños y niñas de las escuelas; b) Hombres y Mujeres productoras agrícolas y c) Mujeres microempresarias, que son madres de niños y niñas de las escuelas.                                                                                                                                                                                                                                                                     Los participantes indirectos; son los otros miembros de los hogares de los grupos de impacto y familias de comunidades donde interviene el proyecto, que aunque no participan en las actividades del proyecto, si se benefician de las actividades y resultados del mismo.</t>
  </si>
  <si>
    <t>Gobernanza gremial y comunitaria</t>
  </si>
  <si>
    <t>Para el periodo Junio-Julio/18 esta programado realizar evaluación de medio termino.</t>
  </si>
  <si>
    <t>Modelo de  educación inclusiva, promoviendo buenas prácticas alimentarias y nutricionales en manuales institucionales con los Ministerios de Educación.  Igual el modelo de negocios inclusivos llevado a plataformas con el sector empresarial y de responsbailidad social empresarial.</t>
  </si>
  <si>
    <t>Educación en SAN y Promoción de habitos y buenas prácticas alimentarias; se integro a manuales institucionales de los Minsitrios de Educación.</t>
  </si>
  <si>
    <t>Realizo acciones de fortalecimiento a organizaciones de base gremial y redes de ellas, enfocado a la gestión empresarial y gremial de pequeños productores agrícolas.</t>
  </si>
  <si>
    <t>A nivel de Nicaragua y Costa Rica, los ajustes son en cuanto al modelo de implementación, pasando a  un modelo de implementación con socios locales del PNF. No hay cambios de objetivos y resultados. Solo de actividades, incorporando el tema de violencia infantil en las escuelas.</t>
  </si>
  <si>
    <t>Modelo de negocios inclusivos, de cadenas de valor:  Teniendo como eje la asociatividad empresarial de los pequeños productores hobres y mujeres agricolas; con un enfoque de Win to Win, con CARGILL.</t>
  </si>
  <si>
    <t>La metodologia de extensión, de "Escuelas de Campo", es un éxito entre los pequeños agrícultores, en la transferencia de tecnologias agricolas, producción de calidad y adpatación al cambio climatico.</t>
  </si>
  <si>
    <t>En el trabajo en las escuelas, las metodologias ludicas utilizando juegos infantiles han tenido aceptación en la comunidad educativa de los 3 países.</t>
  </si>
  <si>
    <t>El Modelo de trabajo con socios locales implementando las acciones del proyecto, requiere asesoria y transferencia de capacidades programaticas y adminsitrativas de CARE; para mantener los estandares de gestión requridos por CARE USA.</t>
  </si>
  <si>
    <t>Los pequeños productores (hombres y mujeres) tienen la capacidad de cumplir los  contratos comerciales y  estandares de calidad, requeridos por CARGILL; previa transferencia de capacidades técnicas.</t>
  </si>
  <si>
    <t>No se reporta data de presupuesto o participantes porque esa data esta ya reportada por el mismo proyecto en Honduras, desde donde se gestionan las acciones</t>
  </si>
  <si>
    <t>Cote d'Ivoire</t>
  </si>
  <si>
    <t>Autonomisation de la femme et développement économique</t>
  </si>
  <si>
    <t>Jacob NIAMIEN</t>
  </si>
  <si>
    <t>Coordonnateur de Projet</t>
  </si>
  <si>
    <t>jnamien@care.org</t>
  </si>
  <si>
    <t>Contribuer à l’autonomisation et au développement économique des femmes de la Côte d’Ivoire et de la Sierra Leone.</t>
  </si>
  <si>
    <t>District Autonome d'Abidjan, Région de GBEKE, Région du PORO</t>
  </si>
  <si>
    <t>filles et femmes de 15-49 ans vivant en milieu rural et périurbain</t>
  </si>
  <si>
    <t>Les participants directs au projets sont:                                                                                                                                                                                                                                                                                                                                                                                                    - La cible identifiée: ce sont les femmes issues des VSLA Matures et des partenaires locaux que sont les associations de femmes légalement constituées ayant un mode de fonctionnement qui s'apparente à la stratégie VSLA de CARE.                                                                                                                                                                                                                                                                                                                             - les bénéficiaires directes pour suivre la formation au développement des complétences entrepreneuriales: le nombre par zone a été déterminé à l'issu du processus d'identification sur la base d'un certain nombre de critères ( nombre de groupements VSLA identifiés par zone; Effectif global, ancienneté du VSLA, âge des femmes et jeunes filles; activités individuelles ou de groupe réalisée; disponibilité à participer au processus)                                                                                                                                                                                                                                                                                                                                               - les autorités administratives (Préfets, Sous-préfets, DR Administrations centrales): Sous l'autorité de chaque préfet de région eu égard au groupements VSLA présentent dans chaque circonscription administrative avec à sa tête un Sous préfet en vue de leur implication; les DR des Ministères techniques et de partenaires sur les bases des activités que pratiquent les bénéficiaires finaux (Agriculture, Elevage, Commerce, Service à la personne)                                                                                                                                                                                                                                                                                                                                               - Les chefs coutumiers, religieux, leaders communautaires...: pour appuyer l'initiative étant les dépositaires de l'administration de la communauté pour donner leur caution aux initiatives des femmes et partant susciter auprès de toute la communauté sonadhésion au projet                                                                                                                                                                                                                                                                                              Les participants indirects: Ce sont les hommes et les femmes touchées par les émissions radios et télévisées, les articles de presse ainsi que par la diffusion des spots sur les informations économiques du marché; les message de sensibilisation pour le soutrien aux femmes entrepreneures.  selon le rapport d'activité, 7 775 113 personnes ont bénéficiées indirectement des activités du projet. en s'appuyant sur le Recensement Général de la Popoulation et de l'Habitat (RGPH 2014), on a en Côte d'ivoire une proportion de 51,7% hommes et de 48,3% de femmes. partant de ce principe, on obtient les bénéficiaires indirects par sexe (voir D33 et F33)</t>
  </si>
  <si>
    <t>Accès équitable au biens de production (la terre)</t>
  </si>
  <si>
    <t>Des partenariats stratégiques avec le Ministère de la Femme, de la Protection de l'Enfant et de la Solidarité à travers les Instituts de Formations Feminins pour multiplier l'impact. partenariats tecniques avec l'ANADER et l'OCPV pour un encdrement et accompagnement spécialisés des bénéficiares, la disponibilité de l'information de marché et avec des ONGs locales pour démultiplier la formation et augmenter l'impact recherché. Implication des autorités administratives, des élus locaux et leaders communautaires dans la mise en oeuvre des activités</t>
  </si>
  <si>
    <t>Renforcement des capacités des acteurs en techniques entrepreneuriales et commerciales; Plaidoyer pour l'inclusion financière des femmes</t>
  </si>
  <si>
    <t>1- Objectif et résultats du projet: nous avons apporté un ajustement au niveau du nombre de bénéficiaires finaux ayant été sélectionné pour participer aux formations sur le développement des compétences entrepreneuriales. On est passé de 15 000 à un échantillon de 3000 femmes et jeunes filles                                                                                                                                                                                                                                                                                           2- La planification et la mise en oeuvre du projet: La formation de formateurs en vue de multiplier l'impact au-delà du cadre du projet circonscris à un échantillon défini                                                                                                                                                                                3- Le suivi et l'évaluation: Le recrutement d'un consulatant pour mener l'évaluation finale                                                                                                                                                                                                                                                                                                                    4- Les capacités et les rôles des personnels: L'appui de stagiaires au staff projet pour palier le défaut de recrutementlié à la contrainte budgétaire                                                                                                                                                                                                  5- Les changement dans la manière dont les participants donnent des feedback ou prennent des décisions concernant le projet: Evolution des mentalités et cahangement qualitatif de comportement dû à l'initiative du projet. Meilleure acceptation par les hommes de voir des femmes développer des AGR traduit par la participation directe aux activités des femmes et la mise à disposition de moyens de production</t>
  </si>
  <si>
    <t>Engagement des hommes, des autorités et leaders communautaires à faciliter l'intégration des femmes dans le système productif</t>
  </si>
  <si>
    <t>les cartes score de la communauté</t>
  </si>
  <si>
    <t>Le désir des autres femmes à créer des associations sur le modèles des VSLA; de bénéficier de formetions et être mis en lien avec des structures bancaires formelles</t>
  </si>
  <si>
    <t>l'ancrage insitutionnel du projet: A permis de travailler globalement avec le Ministère de la Femme, de la Protection de l’Enfant et de la Solidarité et particulièrement avec les DR, DD et surtout les auditrices des IFEF comme formatrices,</t>
  </si>
  <si>
    <t>L’utilisation des radios de proximité pour diffuser les informations sur le marché,</t>
  </si>
  <si>
    <t>L’implication de l’OCPV dans la collecte et la diffusion des informations sur le marché,</t>
  </si>
  <si>
    <t>le rapport de l'évaluation de base                                                                                                                                                                                                                                                                                                                                                                                                                                                                                        - Les rapports périodiques d'activités                                                                                                                                                                                                                                                                                                                                                                                                            - Les convention de partenariat avec des tructures techniques                                                                                                                                                                                                                                                                                                                                                                                                                                                                                                               - Les comptes rendus de réunions                                                                                                                                                                                                                                                                                                                                                                                                                                                                                                                                                         - Les outils de formation                                                                                                                                                                                                                                                                                                                                                                                                                                                                                                                                                            - Les supports d'émissions et de diffusions radios et presse écrite                                                                                                                                                                                                                                                                                                                                                                                                                                                                                                                                   - Le rapport de l'évaluation finale</t>
  </si>
  <si>
    <t>COCOA LIFE EXTENSION</t>
  </si>
  <si>
    <t>Youssouf NDJORE</t>
  </si>
  <si>
    <t>Coordonnateur Programme Cacao et Secteur Privé</t>
  </si>
  <si>
    <t>youssouf.ndjore@care.org</t>
  </si>
  <si>
    <t>Mamadou TRAORE</t>
  </si>
  <si>
    <t>Coordonateur Activités Terrain</t>
  </si>
  <si>
    <t>mamadou.traore@care.org</t>
  </si>
  <si>
    <t>Renforcer la durabilité de la chaîne d'approvisionnement du cacao à travers l'amélioration des moyens de subsistance et la capacité des producteurs et de leurs communautés</t>
  </si>
  <si>
    <t>Zone Ecom: Départements de Daloa (Centre- Ouest, 79 localités dans 09 terroirs, avec 3 coopératives + La Case du Planteur) et de Méagui (Sud-Ouest, 23 localités dans 3 terroirs, avec 2 coopératives);
Zone Cargill: Département d'Aboisso (Ouest, 33 localités dans 05 terroirs, avec 2 coopératives) et de Duékoué (Sud-Est, 46 localités dans 05 terroirs, avec 2 coopératives).</t>
  </si>
  <si>
    <t>Femmes des communautés productrices de cacao et producteurs de cacao</t>
  </si>
  <si>
    <t>Les participants directs sont tous ceux qui ont été sensibilisés, formés, qui ont reçus un appui matériel ou technique ou qui participent aux AVEC. Ils sont calculés en faisant un simple comptage. Les mêmes individus ayant participé à plusieurs activités ou ayant bénéficié de divers appusi sont comptés une seule fois.                                                                                                                             Les participants indirects sont ceux qui bénéficient indirectement du projet à travers les participants directs. Nous nous sommes appuyés sur l'approche ménage (quand un membre de ménage bénéficie d'un appui, indirectement les autres membres en bénéficient).  En référence aux statistiques nationales relatives à la taille des ménages en Côte d'ivoire (RGPH 2014), nous avons considéré 06 membres par ménage. Ainsi, hormi le participant direct, il en reste 05. Autrement dit, nous avons un ratio dde 01 participant pour 05 participants indirects. Pour calculer le nombre de participants indirects, le nombre de participants directs a été multiplié par 05.</t>
  </si>
  <si>
    <t>Nous souhaiterions être associés aux prochaines évaluations pilotées par le Bailleur</t>
  </si>
  <si>
    <t>le renforcement des capacités des CDCOM (représantant les communautés rurales) pour conduire elles mêmes des actions de lobbying en vue d'impliquer divers partenaires au developpement dans la recherche de solutions à leurs besoins</t>
  </si>
  <si>
    <t>le projet est mis en œuvre dans les zones d'Aboisso et de Duékoué où il a été demandé au Partenaire de mise en œuvre de repliquer les différentes stratégies developpées par CARE, en vue d'accroître le nombre de bénéficiaires du projet</t>
  </si>
  <si>
    <t>le projet a contribué au renforcement des capacités des leaders communautaires et des membres des CDCOM terroirs sur le statut de la chefferie, la procédure d’obtention d’une infrastructure, la procédure d’érection d’une localité en village et l’exploitation forestière</t>
  </si>
  <si>
    <t>le projet connaît une restructuration budgétaire qui entraine une réorganisation du plan d'action et le suivi de celui-ci</t>
  </si>
  <si>
    <t>L'action des Comités de Développement Communautaire (CDCOM) dans la réalisation des Plans d'Actions</t>
  </si>
  <si>
    <t>Le developpement du partenariat</t>
  </si>
  <si>
    <t>L'identification et le renforcement des capacités des Chargés de Suivi Evaluation (CSE) au niveau communautaire</t>
  </si>
  <si>
    <t>L'engagement des membres des Comités de Développement Communautaire (CDCOM) permet son bon fonctionnement et la mise en œuvre effective du Plan d'Action Communautaire (PAC)</t>
  </si>
  <si>
    <t>La collaboration avec les partenaires (coopératives et trader) a facilité la réalisation des Diagnostics Participatifs. Les réunions de coordination ont contribué à une bonne synergie d'actions dans le cadre de la réalisation des activités</t>
  </si>
  <si>
    <t>Le renforcement des capacités des CSE contribue à collecter des données de meilleures qualités au plan local</t>
  </si>
  <si>
    <t>le renforcement des capacités des femmes en matière de construction et d'utilisation des foyers améliorés contribuant à réduire la dégradation et la pollution de l'environnement</t>
  </si>
  <si>
    <t>le workplan 2017, le plan de suivi evaluation, le manuel de procedure de gestion des données, les rapports d'activités et rapports trimestriels, les rapports des diagnostics participatifs</t>
  </si>
  <si>
    <t>POWER AFRICA</t>
  </si>
  <si>
    <t>ABDOU FATI KARINE</t>
  </si>
  <si>
    <t>CHEF DE PROJET</t>
  </si>
  <si>
    <t>fati.abdou@care.org</t>
  </si>
  <si>
    <t>TAKIKAN LEONARD</t>
  </si>
  <si>
    <t>RESPONSABLE DE SUIVI ET EVALUATION</t>
  </si>
  <si>
    <t>ltaki@care.org</t>
  </si>
  <si>
    <t>Mise à échelle de 6000 groupement d'Association Villageois d'Epargne et Crédit et la mise  en lien de 25 000 membres aux FSP</t>
  </si>
  <si>
    <t>Le projet est mise en oeuvre en milieu rural, peri-urbain et urbain des régions de Man; Bouaké;Korhogo; et Abidjan.</t>
  </si>
  <si>
    <t>Les filles et femmes chefs de menages en milieu rural et peri urbain                                                                                                                                                                                                                                 Les hommes et jeunes garçons descolarisés et defavorises intervenant dans les tarvaux précaires et/ou petits boulots peu valorisant</t>
  </si>
  <si>
    <t>Les participants directs sont ciblés par le projet , les jeunes et femmes chef de menage, les hommes sans emplois , soit 125 000 membres (70% femmes et 30% hommes)                                                                                                                                                                                                                                                                                                                                               Les participants indirects sont estimés à partir du nombre moyen par menage qui est de 6.On a  appliquer la formule suivante: Participants indirects= Participant direct X 6 .</t>
  </si>
  <si>
    <t>Plaidoyer pour l'adoption de la strategie de l'inclusion financière en faveur des femmes vulnérables.</t>
  </si>
  <si>
    <t>Au compte des innvations , le projet est en train d'implementation la strategie à travers l'approche district visant à impliquer les collectivités territoriales.Le document de plaidoyer sur l'inclusion financière en faveur des femmes vulnerable.</t>
  </si>
  <si>
    <t>Au niveau interne, le projet travaille avec les autres initiatives du bureau en terme de synergie des actions et de complementarité des activités visant à multiplier l'impact.Au niveau externe, le prjet travaille avec 4 partenaires opérationnelles  pour assurer une présence de proximité sur le terrain et garantir un impact plus large.</t>
  </si>
  <si>
    <t>La société civil au cours de cette année fiscale a bénéficié des seances d'information sur les actions et résultats du projet,des ateliers d'apprentissage ont été organsés par les partenaires de mise en œuvre (à l'égard de la société civile); des renforecment de leurs capacité sur le genre ont été organisés.</t>
  </si>
  <si>
    <t>Au cours de cette année fiscale, deux changements majeurs sont intervenus au niveaux des activités liées aux  objectifs et resultats du projet.Les activités de mise en place des groupements ont été suspendue et l'accent a été mis sur le suivi de la qualité des groupes déja mis en place.Ensuite, les activités liées au renforcement de capacité sur l'éducation financière ont été arretées au profit du renforcement de capacité sur l'entrepreneuriat. Un consultant a été aussi recruté pour implémenter et faire le suivi du plan de renforcement de capcité des partenaires de mise en eouvre.</t>
  </si>
  <si>
    <t>La mise en place de la strategie sur l'inclusion financière pour l'autonomisation des femmes vulnerable et qui fait en ce moment l'objet d'un plaidoyer au près du Gouvernement pour son adoption au niveau national.Lorsqu'elle sera opérationnelle,les collectivités decentralisées pourraient s'approprier de cette strategie pour contribuer à la multiplication de l'impact et à l'atteinte des objectifs de CARE 2020.</t>
  </si>
  <si>
    <t>L'approche de partenariat avec les Conseils Généraux et Communes utilisée par les 4 partenaires de mise en eouvre va fortement contribuer à l'atteinte des objectifs de CARE 2020.Cette approche va scuciter les leaders d'opinion,les associaions feminimes , les chefs coutumiers et  les communatés bénéficiaires de s'approprier et d'assurer la durabilités des actions du projet.</t>
  </si>
  <si>
    <t>Le renforcement de capacité organisationnelle et institutionnelle des 4 partenaires (ONG ) durant cette année fiscale leurs ont fait disposer de tous les outils de recherches et capter des financements; d'assurer la bonne gouvernance et la durabilité des actions du projet.Il a permis aux partenaires d'acquerir d'autres financements et d'autres son en phase de negociation de d'autres financements avec d'autres bailleurs.</t>
  </si>
  <si>
    <t>Nous retenons qu'en plus de la facilitation de CARE aux groupes AVEC pour l'accès aux services financiers formels, les actions du projet ont conduit certains groupes non facilités à accéder de façon spontanée à certains services financier (ouverture de compte, epargne et créit ).Ces groupes sont dotés d'une bonne performance en terme de mouvement sur leurs compte.</t>
  </si>
  <si>
    <t>La prise en compte du marqueur genre dans l'analyse des informations (genre) a permis à l'équipe projet de se rendre compte l'action des activités de l'entrepreneuriat et de l'edcucation financière ont fortement participé à la bonne gestions des AGRs ainsi que le controle des ressources  par les bénéficiaires.</t>
  </si>
  <si>
    <t>Pour cette année la mise en œuvre du projet s'est focalisée sur la qualité des groupes mis en place  pendant les années anterieurs et la qualité du processus du lien financier.La strategie de plaidoyer sur l'inclusion financière a crée une dynamique dans le processus du lien de nos membres aus FSP.</t>
  </si>
  <si>
    <t>• Client survey report 2017;  Workshop of strengthening of capacities in management of conflicts and governance (https://youtu.be/XVusVQv3dc8);
• The workshop of strengthening of capacity of the partners of implementation in Monitoring and Evaluation (https://youtu.be/NQVgm9jp2ak).                                                                 • Linkage Awareness (https://www.youtube.com/watch?v=lmM1rhgQS0k) 
• Signing of an ANADER-CARE agreement (https://www.youtube.com/watch?v=C9zL-2XV44Q)
• Media coverage on the event of Memorandum of understanding (MoU) signing between CARE International and ADVANS. ANADER transmitted this in the local media including RTI 1 and  on YouTube platform: https://www.youtube.com/watch?v=C9zL-2XV44Q</t>
  </si>
  <si>
    <t>Projet d'appui à l'engagement soutenu des femmes dans la consolidation de la paix et de la sécurité à l'ouest de la Côte d'Ivoire (SWEEP)</t>
  </si>
  <si>
    <t>UNDPCI0003</t>
  </si>
  <si>
    <t>COULIBALY Losseni</t>
  </si>
  <si>
    <t>Coordonnateur</t>
  </si>
  <si>
    <t>losseni.coulibaly@care.org</t>
  </si>
  <si>
    <t>SEKONGO Tchorna</t>
  </si>
  <si>
    <t>Chargé de Suivi Evaluation et Gestion des Connaissances</t>
  </si>
  <si>
    <t>sekongo.tchorna@care.org</t>
  </si>
  <si>
    <t>L'objectif principal du projet SWEEP est de renforcer la consolidation de la paix et la sécurité à travers l'implication des femmes et des jeunes dans les initiatives communautaires et administratives et la liberté d'exercices de leurs activités commerciales</t>
  </si>
  <si>
    <t>Le projet se déroule à l'ouest de la Côte d'Ivoire dans les départements de Bloléquin, Guiglo, Taï, Toulepleu et Tabou. Ses activités se déroulent dans 50 villages desdits départements en raison de 10 villages par Département.</t>
  </si>
  <si>
    <t>Le projet SWEEP vise spécifiquement les femmes et les jeunes impliqués dans le petit commerce dans et à travers les communautés cibles frontalières dans les départements de Bloléquin, Guiglo, Taï, Toulepleu et Tabou, en raison de leur rôle central dans l'économie locale de leurs communautés. Les femmes et les jeunes sont particulièrement vulnérables aux crises sécuritaires et de violence périodiques causées soit par des incursions de groupes armés à travers la frontière du Libéria soit par des abus du personnel de sécurité.</t>
  </si>
  <si>
    <t>Les bénéficiaires directs sont les femmes et les jeunes bénéficieront directement des actions du projet à travers les séances de formation et leur restitution, les séances de sensiblisation, la participation aux espaces de dialogues sociosécuritaires, les panels d'enregistrement radio et diffusion. Le nombre des bénéficiaires directs est calculé sur la base des comptages obtenus à partir des listes de présence et les outils primaires de collecte des données
Les bénéficiaires indirects sont toutes les personnes qui seront affectées par les actions du projet à travers les réponses aux rapports des incidents sécuritaires, l'effet des diffusions et publications des messages radiophoniques, les notes circulaires de resolution des incidents, les actions de prévention sécuritaires liées aux messages d'allerte;...
Le nombre des bénéficiaires indirects est calculé par estimation de la taille moyenne des menages des bénéficiaires directes des femmes et des jeunes, soit (3500x8 + 5000x8)- 8500.</t>
  </si>
  <si>
    <t>Une étude de base est prévue sur le projet et elle est prévu pour la période de Juillet à Septembre 2017. Ces études portent sur l'implication des femmes et des jeunes dans les initiatives gouvernementales de consolidation de la paix et de la sécurité à l'Ouest.</t>
  </si>
  <si>
    <t>Le projet prévoit la mise en place d'un système de collecte d'informations de base sur la sécurité, rapportée par les femmes et les jeunes des milieux communautaires éloignés des centres de décisions. Ainsi, avec un système électronique basé sur le web, les femmes et les jeunes de milieu rural pourront contribuer, en temps réel, à l'influence sur les décisions de sécurité les concernants.</t>
  </si>
  <si>
    <t>Ce projet est dans sa phase de démarrage. Il prendra fin en Août 2018</t>
  </si>
  <si>
    <t>RAS, pas encore de leçon apprise à ce stade.</t>
  </si>
  <si>
    <t>Prosperous Cocoa-Farming Communities (PROCOCO) &amp; Community Substainability Initiative (CSI)</t>
  </si>
  <si>
    <t>N'DJORE Youssouf</t>
  </si>
  <si>
    <t>Coordinateur Programme Cacao et Secteur Privé</t>
  </si>
  <si>
    <t>SILUE Gninaguignon</t>
  </si>
  <si>
    <t>Coordinateur Activités Terrain</t>
  </si>
  <si>
    <t>gsilue@care.org</t>
  </si>
  <si>
    <t>Contribuer à l'amelioration des conditions de vie des communautés productrices de cacao</t>
  </si>
  <si>
    <t>06 régions que sont: Worodougou, Haut-Sassandra, Gôh, Marahoué, Mê et Lôh-Djiboua.</t>
  </si>
  <si>
    <t>Les hommes, les femmes, les jeunes et les enfants des communautés productrices de cacao</t>
  </si>
  <si>
    <t>1/3 des populations des localités participantes et des campements satellites représente les participants directs et le reste les participants indirects. Pour avoir l'effectif des participants du sexe feminin, un taux de 48,3% (selon le dernier recensement de la population, 2014, les femmes représente 48,3% de la population totale) a été appliqué à l'effectif total. A titre de rappel, le projet n'a pas fait d'étude de base; seulement une évaluation a mi-parcours a été faite en comparant la localités cibles et des localités temoins.</t>
  </si>
  <si>
    <t>L'administration des questionnaires doit s'adapter au langage ou au niveau de compréhension des communautés; les revenus générés à partir des productions vivrières ne seront pas exhaustives au niveau de la banane plantain, car toute la vente ne sera pas effective pour cause de maturation.  Le nombre de participants (directs et indirects) n'a pas été déterminé dans l'étude de reference, représentée par l'évaluation a mi-parcours.</t>
  </si>
  <si>
    <t>Cadre de concertation communautés productrices de cultures de rente et partenaires commerciaux pour le financement de plan d'action communautaire.</t>
  </si>
  <si>
    <t>Dans le but d'être resilient aux changements climatiques, le projet a initié des retenues d'eau en terre battue (dont la mise en place a été enseignée aux communautés) pour leur permettre de produire des vivriers durant toute l'année.</t>
  </si>
  <si>
    <t>renforcement des capacités des membres des Comités de Développement Communautaire et leaders communautaire pour la mise en œuvre de plans d'action communautaire.</t>
  </si>
  <si>
    <t>le projet PROCOCO a apporté un veritable changement dans les communautés participantes au projet dans la mesure où les hommes aident leurs femmes à : transporter les vivres du champ à la maison, approvisionner le menage en eau, draisser le lit, laver leurs enfants de 01 à 05 ans et surtout tenir compte de l'avis de la femme dans les prises de decision. Ce qui n'était pas possible auparavant, car il revenait à l'homme seul de prendre les decisions et les toutes les travaux ménagères étaient réserveé exclusivement aux femmes.</t>
  </si>
  <si>
    <t>Les comités de développement communautaires et relais communautaires</t>
  </si>
  <si>
    <t>Le cadre de concertation Communauté productrice de cacao et Coopérative de cacao pour le financement de plan d'action communautaire</t>
  </si>
  <si>
    <t>l'approche CDCOM est efficace dans la mise en œuvre de plan d'action communautaires</t>
  </si>
  <si>
    <t>Le Cadre de concertation Communauté productrice de culture de rente et leurs Partenaires commerciaux est un moyen efficace pour mobiliser des financements dediés à la réalisation d'infrastructures communautaires de bases.</t>
  </si>
  <si>
    <t>les enseignements en matière de nutrition sont mieux dispensés au sein des VSLA</t>
  </si>
  <si>
    <t>l'évaluation à mi-parcours et les rapports semestriels soumis aux bailleurs</t>
  </si>
  <si>
    <t>SAFPAC</t>
  </si>
  <si>
    <t>YAO N'DRI</t>
  </si>
  <si>
    <t>ndri.yao@care.org</t>
  </si>
  <si>
    <t>TOURE ODETTE</t>
  </si>
  <si>
    <t>SUPERVISEUR COMMUNAUTAIRE</t>
  </si>
  <si>
    <t>odette.toure@care.org</t>
  </si>
  <si>
    <t>Accompagner le gouvernement  dans l’accélération de ses engagements en matière de Planification Familiale d’ici 2020.</t>
  </si>
  <si>
    <t>Le projet est mis en œuvre dans 10 Formation Sanitaire du département de Méagui dans le district sanitaire de Soubré</t>
  </si>
  <si>
    <t>Toute femme ou fille en activités sexuelles et/ou en âge de reproduction agées de  15 à 49 ans</t>
  </si>
  <si>
    <t>Les participants directs sont les femmes âgées de 15 à 49 ans vivant dans le département de Méagui.  
Les participants indirects sont les couples des femmes bénéficiaires d'une méthode de contraception, les facilitateurs communautaires identifiés sur le projet, les membres des associations et groupements de femmes et leur famille.  Dans l'ensemble, toute la population du département de Méagui fréquentant les formations sanitaires cibles du projet.</t>
  </si>
  <si>
    <t>1. Evaluer les attitudes des prestataires des Formations Sanitaires du département de Méagui,
2.  Evaluer les capacités des Formations Sanitaires du département de Méagui.</t>
  </si>
  <si>
    <t>Plaidoyer pour l'adoption de la loi sur l'avortement médicalisé</t>
  </si>
  <si>
    <t>Développement de dialogue communuataire sur la base des histoires vécues par les femmes pour promouvoir la santé sexuelle reproductive.</t>
  </si>
  <si>
    <t>Faire face aux pesenteurs socio-culturels exigent la pleine implication des leaders communautaires et réligieux . Ils ont été sollicité pour l'identification des facilitateurs qui sont eux-mêmes issues des associations et groupements formels et informels constitués.</t>
  </si>
  <si>
    <t>Phase de démarrage des activités classiques du projet. La présentation du projet a été faite. Une réunion de coordination et de présentation des résultats est prévue au FY18.</t>
  </si>
  <si>
    <t>L'année fiscale a été marquée par la présentation du projet aux autorités administratives, sanitaires, leaders communautaires. Les prestaires de santé ont bénéficiés d'une formation en PF/SAA.</t>
  </si>
  <si>
    <t>1. Planification Familiale: Pour une offre de nouvelles méthodes de contraception dans les FOSA il s'agissait de rendre disponible les contraceptifs dans les 10 FOSA et faire la dispensation selon les portes d'entrées traditionnelles des activités cliniques, promotionnelles et préventives.</t>
  </si>
  <si>
    <t>2. Soins post-Avortement: Pour lutter contre les décès matenelles, il faut assurer une prise en charge des cas d'avortement provoqués et spontannés dans un environnement sanitaire sans risque.</t>
  </si>
  <si>
    <t>3. S'agissant des références des cas malades et besoins de produits contraceptifs vers les FOSA, les leaders communuatiares ont été approchés pour l'identification des facilitatires communautaires qui bénéficieront d'une formation en PF/SAA et technique de dialogue communautaire au cours du FY18</t>
  </si>
  <si>
    <t>Associer les autorités sanitaires dans l'identification de la zone d'intervention du projet permet d'accompagner le Ministère de la santé dans l'atteinte des objectifs 2020 en planification familiale</t>
  </si>
  <si>
    <t>Le développement du dialogue communautaire sur la base des associations et groupements constitués facilite la mobilisation des femmes et permet solutionner les pesenteurs socio-culturels</t>
  </si>
  <si>
    <t>Le processus d'apprentissage à échelle réduit dans un seul département ne permet pas de faire face aux besoins globaux du district sanitaire</t>
  </si>
  <si>
    <t>Women for change</t>
  </si>
  <si>
    <t>GADOU LEOPODINE</t>
  </si>
  <si>
    <t>leopodine.gadou@care.org</t>
  </si>
  <si>
    <t>OULAI BOH ALEXIS</t>
  </si>
  <si>
    <t>CHARGE SUIVI EVALUATION</t>
  </si>
  <si>
    <t>alexis.oulai@care.org</t>
  </si>
  <si>
    <t>Habiliter les femmes issues des ménages producteurs de cacao  à accroître leur participation dans le développement communautaire et la prise de décision dans la gestion du ménage  en augmentant leur capacité de leadership et de contrôle de leur propre revenu</t>
  </si>
  <si>
    <t>Côte d'Ivoire, Region de la Nawa, Départements de  Gueyo, Soubré et Méagui</t>
  </si>
  <si>
    <t>Femmes issues des menages producteurs de cacao</t>
  </si>
  <si>
    <t>Bénéficiaires directs: Membres de VSLA                                   Beneficiaire indirect = ( Benificiaire total-total jeune/2*6)-(Benificiaire total-total jeune/2)</t>
  </si>
  <si>
    <t>Méthodologie VSLA, Education financière, lien financier et entrepreneuriat</t>
  </si>
  <si>
    <t>cette étude combinera l’approche quantitative et l’approche qualitative. Un  questionnaire et l’entretien seront les outils de collecte des données. Elle portera  sur le même échantillon de la première évaluation. Elle sera réalisée par des consultants.</t>
  </si>
  <si>
    <t>Création de comission  pour chaque thématique ( ex:comssion genre, comission lien financier)  création de responsable ou chef de secteur pour palier l'inssufisance de ressources humaines au niveau de l'équipe projet</t>
  </si>
  <si>
    <t>mise en place des VSLA, formation sur la methodologie et les modules additionnelles (entrepreunariat, lien financier)</t>
  </si>
  <si>
    <t>revu de la strategie et de certains indicateurs sur le genre (dialogues de couple). Identification de certaines valeurs de reference. La revision du cadre logique</t>
  </si>
  <si>
    <t>l'implication des leaders communautaires dans toutes les activités du projet</t>
  </si>
  <si>
    <t>la mise en reseau des promoteurs qui assure le relais des activités (la formation des VSLA, le suivi et la collecte des données etc…)</t>
  </si>
  <si>
    <t>la mise en place des comités genre qui facilitent toutes les activités genre</t>
  </si>
  <si>
    <t xml:space="preserve"> La formation sur l’entrepreneuriat a suscité le développement des activités collectives dans les groupements  (30 activités collectives) et individuelles (706 à Guéyo et 118 à Soubré)
Après l’assurance suscitée par le partage, les membres mobilisent plus de fonds pour le deuxième cycle (augmentation des mises,  plus de 2 mises pour la plupart)</t>
  </si>
  <si>
    <t>La participation de plus en plus des chefs aux activités et leur intégration aux AVEC. Par exemple, à Oussoukonankro (Soubré), presque tout le village est membre d’AVEC, y compris le chef et certains notables.</t>
  </si>
  <si>
    <t>3. La collaboration avec ICRAF a contribué favorablement à la mobilisation des communautés et des chefs dans la plupart des localités. En l’occurrence à Kouadiokro (Soubré), les communautés des campements environnants informées par ICRAF, ont loué des véhicules afin de rencontrer l’équipe projet à Kouadiokro.</t>
  </si>
  <si>
    <t>le cadre logique, les rapports</t>
  </si>
  <si>
    <t>Projet de Promotion de l'Accès aux Toilettes et aux Emplois à Bouaké et Katiola par la Réutilisation des boues et des urines (PATER)</t>
  </si>
  <si>
    <t>UVICCI0001</t>
  </si>
  <si>
    <t>Coordonnateur du Projet</t>
  </si>
  <si>
    <t>Guillaume AGUETTANT</t>
  </si>
  <si>
    <t>CD</t>
  </si>
  <si>
    <t>aguettant.guillaume@care.org</t>
  </si>
  <si>
    <t>L'objectif principal du projet est l'amélioration des conditions de vie des populations des communes urbaines des régions septentrionales de la Côte d’Ivoire à travers la promotion d’activités économiques le long de la chaîne de gestion des produits de vidange</t>
  </si>
  <si>
    <t>Le projet se déroule dans le centre de la Côte d'Ivoire dans les Communes de Bouaké et de Katiola. Le projet mènera des études dans 6 autres communes que sont Sinématiali, Odienne, Man, Bangolo, Daloa et Vavoua</t>
  </si>
  <si>
    <t>Le projet vise essentiellement la création d’activités économiques et des emplois à même d’améliorer durablement l’assainissement des populations défavorisées dans les zones urbaines. Il s'agit essentiellement des populations pauvres des quartiers défavorisées et populaires des zones d'intervention.</t>
  </si>
  <si>
    <t>Les bénéficiaires directs sont les femmes et les jeunes qui bénéficieront de l'appui du projet dans les domaines de la création de microentreprises sur la chaine de valeur de gestion des boues de vidange. Le nombre des bénéficiaires directs est calculé sur la base des comptages obtenus à partir des listes des membres des microentreprises et des bénéficiaires des latrines qui seront construites par le projet. Pour les latrines, le calcul se base sur les statistiques officielles de la composition par sexe de la population ivoirienne. 
Les bénéficiaires indirects sont toutes les personnes qui seront affectées directement par les actions du projet d'assainissement dans les quartiers d'intervention. Il s'agit des populations des quartiers d'intervention du projet dans les deux communes. 
Le nombre des bénéficiaires indirects est calculé par estimation à partir des données statistiques des Communes pour les quartiers concernés par l'intervention.</t>
  </si>
  <si>
    <t>Le projet prévoit la réalisation d'enquêtes CAP sur la situation de l'assainissement dans les quartiers populaires des villes de Bouaké et de Katiola. Ceci permettra de comprendre le comportement des ménages relativement aux problèmes d'assainissement. Par ailleurs, les études situationnelles permettront de mettre en relief les conditions d'entrée du secteur privé dans la chaîne de gestion des boues de vidanges.</t>
  </si>
  <si>
    <t>Du fait du grand retard retard accusé dans la sélection du maître d'œuvre pour les études, la formation, le contrôle des travaux et le suivi accompagnement du projet, le projet a soumis une demande d'extension sans coût pour une période de 12 mois. Cette modification a été acceptée. Ce retard a également entrainé un décallage dans l'ensemble des activités à conduire sous ce projet.</t>
  </si>
  <si>
    <t>Le projet est dans sa phase de démarrage normale avec la mise en place du contrat du consultant. C'est à partir des travaux de ce dernier que les autres exercices seront conduits.</t>
  </si>
  <si>
    <t>Aucune véritable leçon tirée à ce stade de la mise en œuvre du projet.</t>
  </si>
  <si>
    <t>PARSSI (Appui à la Redynamisation des établissements sanitaire à base communautaire de la commune de San de la Commune de San Pedro)</t>
  </si>
  <si>
    <t>GUILLAUME AGUETTANT</t>
  </si>
  <si>
    <t>DIRECTEUR PAYS</t>
  </si>
  <si>
    <t>gaguettant@care.org</t>
  </si>
  <si>
    <t>YAO NDRI</t>
  </si>
  <si>
    <t>CONSEILLER TECHNIQUE</t>
  </si>
  <si>
    <t>Contribuer à améliorer l’offre de soins dans le district de San Pedro en général et en particulier dans le quartier de Bardot au profit des groupes vulnérables</t>
  </si>
  <si>
    <t>Le projet est mis en œuvre dans la Commune de San Pedro, Région Sanitaire du Gboklê Nawa San Pedro</t>
  </si>
  <si>
    <t>Cibles: les 4 ESCom du quartier Bardot de la commune de San Pedro, la Direction régionale, le District sanitaire de San Pedro, les structures communautaires impliquées dans la gestion des ESCom et les Collectivités locales notamment la Mairie et le Conseil Régional
Bénéficiaires finaux: La population générale de la commune de San Pedro, en particulier les femmes et les enfants de moins de 5 ans.</t>
  </si>
  <si>
    <t>Participants directs: Femmes en âge de reproduction, les enfants de 0-5 ans; les femmes enceintes, tous  les malades et population bénéficiant des soins préventifs, promotionnels et curatifs dans les ESCOM cibles du projet
Participants indirects: prestataires de santé, les membres des COGES, CCDQ, population générale de la commune de San Pédro et tous les parents qui habitent le département de San Pédro</t>
  </si>
  <si>
    <t>Il s'agira de faire une évaluation finale du projet pour apprécier l'impact des actions. Elle se fera aux niveaux des ESCOM cibles et auprès des bénéficiaires directs et indirects.</t>
  </si>
  <si>
    <t>Redynamisation des comités de gestion des centres de santé sur la base de la mise en place des Comités Communautaires de développement de quartier (CCDQ). Ce qui a faciliter l'implication véritable des communautés aux problèmes de santé. Les comités d'assainissement ont été installés pour lutter contre les maladies dirrhéiques dans les pricipaux quartiers de la commune.</t>
  </si>
  <si>
    <t>Durant la période de mise en œuvre, les affiliés que sont les collectivités locales, les responsables administratifs et sanitaires  et communautaires ont bénéficié de renforement de capacités. Les actions de plaidoyer ont permis d'obtenir gratuitement un terrain pour la construction d'un nouveau centre de santé dans une zone de silence sanitaire.</t>
  </si>
  <si>
    <t>Implémentation de la méthodologie PHAST (PARTICIPATION A LA TRANSFORMATION DE L'HYGIENE ET DE L'ASSAINISSEMENT)  pour lutter contre les maladies diarrhéiques
Rédynamisation des COGES des centres de santé avec l'appui des CCDQ installés</t>
  </si>
  <si>
    <t>L'année fiscale a été marquée par des interventions allant dans le sens du changement de comportement des bénéficiaires, à la mobilisation et à la fréquentation des centres de santé ciblés. L'approche qualité basée sur les droits des clients et les besoins des prestataires a été mise en place et permis de renforcer les capacité d'accueil et à la fréquentation des services de santé.Ensuite, les activités liées au renforcement de capacité sur la vie associative et la bonne gouvernance, la gestion financière et le paquet minimum d'activité ont été addrsssées.</t>
  </si>
  <si>
    <t>La mise en œuvre de la méthode PHAST vise de façon participative à donner à la communauté, les connaissances, l'autonomie et la responsabilité nécessaires. Ainsi, grâce à cette méthode, nous avons contribuer de façon significative aux efforts communs pour améliorer l'environnement et la santé.</t>
  </si>
  <si>
    <t>Le COPE est une approche d’amélioration de la qualité des services de santé basée sur l’auto-évaluation du personnel de santé. Il a été initié en 1998 par un organisme appelé EngenderHealth qui  a identifié sept (07) DROITS des clients et des trois (03) BESOINS du personnel sanitaires afin d’améliorer la qualité des services de santé. Chaque ESCOM a identifié entre  dix-neuf (19) à quarante-cinq (45) problèmes, dont les actions et/ou les recommandations sont formulées pour leur résolution selon les responsabilités partagées dans le temps. Voilà pourquoi après trois (03) mois de mise en œuvre, la plupart des problèmes identifiés par les centres de santé ont été résolus, d’autres ont été partiellement résolus et d’autres enfin n’ont pas été du tout résolus.</t>
  </si>
  <si>
    <t>L'approche de partenariat avec les collectivités locales dans la mise en oeuvre de ce projet a permis d'obtenir un terrain pour la construction d'un centre de santé dans la zone de silence sanitaire au quartier DAFCI.</t>
  </si>
  <si>
    <t>L'expérience de collaboration avec une ONG locale récipiendaire principale avec une ONG intervationale CARE a permis de relever les défis de gouvernance et bonne gestion.</t>
  </si>
  <si>
    <t>La population des quartiers précaires qui ont bénéficié de la mise en ouvre de la méthode PHAST ont un environnement sain.</t>
  </si>
  <si>
    <t>L'implication effective des communautés dans le fonctionnement des COGES facilite la mobilisation de la population et la fréquentation des centres de santé.</t>
  </si>
  <si>
    <t>Pour cette année la mise en œuvre du projet s'est focalisée sur le renforcement de capacités des acteurs clés du projet. Le renforcement du plateau technique et la prise en compte des équipements techniques des centres de santé.</t>
  </si>
  <si>
    <t>Croatia</t>
  </si>
  <si>
    <t>The project purpose is to increase the uptake of healthy, non-violent and gender equitable lifestyles amongst boys and men (and girls and women) participating in the program. 
This will be achieved through 3 inter-related results:
ER1: Gender Transformative Life Skills program (Program M) adopted, accredited and teachers trained by Ministry of Education for use in secondary schools;
ER 2: Lifestyle and social norms campaigns to engage boys and men on issues of violence prevention, gender equality and fatherhood are developed and reach the targeted audience;
ER3: Local NGO partners act as national resource centres and promote practice, policy and research work engaging boys and men.</t>
  </si>
  <si>
    <t>In this project, 6 local organisations are partners in the implementation of the planned results. In each country (Croatia, Kosovo, Albania, Serbia and Bosnia and Herzegovina). They have a network of over 1000 peer educators around the country that supports its primary focus on youth health and violence prevention. These organisations are both, implementing partners of CARE but also a target group of the project, since CARE continues to focus on building their capacity to be the leading CSOs and partners of choice of different stakeholders in addressing violence and work with boys and men with a gender equality framework. Another target group are 500 secondary school educators and 200 students of pedagogical faculties in the countries. In addition 20 selected educators will be targeted and provided with capacity building as trainers of trainers (ToT). In addition 2000 fathers and male care givers will be targeted in educational and campaign related activities.  The project anticipates reaching over 25,000 youth over 3 years by educational workshops and campaigns. The final beneficiaries include the wider family environment of the participating 25,000 youth and the 2000 fathers.  It is around 5,400 direct and indirect beneficiaries per state including Croatia - OAK component opf the YMI regional project).</t>
  </si>
  <si>
    <t>Our partner organization from Zagreb, Status M, besides classic workshops for teachers and peer educators implements Program Y via online platform and education of prisoners.</t>
  </si>
  <si>
    <t>During the course of 3 years of project implementation CARE was building the capacities of local partners to lead the debates and engage with policy makers and other important stakeholders on violence prevention and promotion of healthy lifestyles among youth. The capacity building was done through regular consultative meetings between CARE and partners, at the Partners meetings (twice per year), through online communication. Furthermore during the every visit of CARE staff to the project site, CARE and partners had attended the meetings with relevant stakeholders (Ministries of Education, Gender Centres etc.), where the discussion about action plans and sustainability and as well evaluation of the project implementation were discussed. The trainings were also done, two related to Most Significant Change Methodology, two related to Child Protection Policy Development, one related to Youth Extremism and 3 related to Youth Mental Health.</t>
  </si>
  <si>
    <t>Innovative strategic approach is important for the success of initiatives striving to bring about social change. The YMI Project has been unique on multiple levels and that has contributed a lot to the recognition and support in the arena overpopulated with policies and CSOs.</t>
  </si>
  <si>
    <t>3. Piloting before rolling-out decreases the cost of implementation. Piloting can contribute to the cost decrease and avoidance of unnecessary transactional costs during the process of implementation. This can improve productivity and efficiency of some specific services and products before scaling-up at the wider territory. The cost of some YMI project activities were decreased through step by step approach and development of products and services on a smaller scale. Such models were then further implemented and scaled-up</t>
  </si>
  <si>
    <t>• Efforts should be invested in mainstreaming gender equality and GBV issues into existing curricula and programs of various organizations which implement activities in schools. This could significantly contribute to further sustainability of the project results. Every year different organizations and institutions develop number of programs and new curricula and schools have lot of issues with identifying the most suitable and relevant ones. Instead of producing new education programs and investing lot of efforts in its accreditation, mainstreaming serve as a more strategic and feasible option. 
• As per the content of the educational programs, respondents recognized the need for including/emphasizing following topics: psychological violence, Internet safety, safety of youth in general. 
• One could ensure even greater and more strategic involvement of media in the program. For the long term success of the program it is not enough only to have a number of media releases about the project activities, but also to have editors and journalists setting the societal values. Additional strategies for media sensitization and participation could be also added value for the next phases of the YMI initiative. 
• Public advocacy space is still to be explored and comprehensive strategies as well as national advocacy action plans to be developed and coordinated, since this would be logical next step in the project concept further development. Attention should be specifically put on the involvement of the primer constituency group in the advocacy initiatives. Students should be supported to formulate their own initiatives and to advocate for sustainable systemic changes. Most significant change methodology could also be used in this process as a good communication tool for gaining wider public support. 
• Continue the work in the area of community involvement. The idea of BMCs which function as local youth clubs and resource centers for youth in the domain of promotion of gender equality, healthy lifestyles and violence prevention, should be additionally supported. In addition, CARE could support additional capacity development of  BMCs to become key actors of local referral mechanisms for youth in need of additional support – mediation, counseling, etc. Interest members’ capacities for the provision of this type of peer support could be also developed and the communities as a whole could benefit a lot from this approach. 
• Partner organizations need continuous support in becoming learning organizations. Namely, their M&amp;E capacities and members’ capacities for continues learning and development need additional support from CARE. In addition, their knowledge on gender equality, relevant international standards in this area, as well as regional legislation and strategic framework, should also be further developed. Cooperation with women’s organizations should be intensify in the future, since feminist expertise could provide the Project with additional impetus and quality
Also, local partner organizations should be additionally supported to advance their position in the civil society and become sectorial leaders which promote participation, wide consultations and innovative approaches.
• In future, some efforts should be invested in creating relevant links with existing mechanisms for violence prevention. For example, General and Specific Protocols for Protection of Children against Abuse and Neglect in Serbia envisage specific mechanism for dealing with violence in school context. Apart from potential advancement of such norms, activities could be coordinated with similar mechanisms in the region in order to become integral part of future practices.
• Apart from high school students, younger youth could be involved more actively in the Project implementation in the next phase. Good examples from Banjaluka in this regard could be a roadmap for further program development. Namely, Perpetuum Mobile had implemented set of educational activities in the primary school in Banjaluka and had great success with this activity. One could argue that the social change starts with the formation of attitudes in early stages of childhood. CARE’s capacities should be utilized for this purposes. 
• Existing structure for education programs’ implementation needs continues support in development. It would be of great importance to further utilize established structure of educators, including peer educators and this would require: a. Development of clear criteria for the selection of future educators; b. Educators’ continues capacity development in training design, working methods and tools, reporting and evaluation; c. Educators’ continues development in wider understanding of the training topics, including policy framework and school mechanism for protection against discrimination and violence.
• Regional networking events should be organized in future, since this approach influence reconciliation and peace building in the whole region and motivate young men to adopt new values and to be more active and involved within their communities.</t>
  </si>
  <si>
    <t>Cuba</t>
  </si>
  <si>
    <t>Mujeres Exitosas por el empoderamiento de mujeres y su aporte al desarrollo económico local sostenible en el contexto cubano actual</t>
  </si>
  <si>
    <t>Guadalupe González Fernández</t>
  </si>
  <si>
    <t>Encargada de Programas</t>
  </si>
  <si>
    <t>lupe.carecuba@gmail.com</t>
  </si>
  <si>
    <t>Resultado Final (Objetivo General)- Incrementado el empoderamiento socioeconómico de las mujeres cubanas.
Resultado Intermedio (Objetivo del Proyecto)- Estimulada la credibilidad de mujeres cubanas diversas y la confianza de actores estatales y no estatales a diferentes niveles, para asumir y apoyar las oportunidades y desafíos que ofrecen los nuevos modelos de gestión en el contexto cubano actual.</t>
  </si>
  <si>
    <t>La Habana, Cuba</t>
  </si>
  <si>
    <t>El impacto del proyecto será más enfocado hacia las mujeres protagonistas y receptoras fundamentales del producto audiovisual previsto a realizar para incentivar el debate y sus mensajes fundamentales. Significará un escenario donde las representaciones sociales, económicas y culturales se evidencian como sujetas de cambio hacia los espacios públicos, en los diversos ámbitos de la sociedad cubana.
En los hombres resultará de conocimientos para lograr un ejercicio pleno de igualdad sustantiva con respecto a la igualdad de oportunidades, señalando alcanzar el bienestar social. Sensibiliza a los hombres sobre el potencial emprendedor de las mujeres, que de una manera general está sumergido. Además de incentivarlos a facilitar y/o apoyar acciones a favor de estas actividades en las mujeres.
Algunos de los beneficiarios y de las beneficiarias citadas han demandado de estos espacios en diferentes momentos. Con la aprobación del proyecto las mujeres testimoniantes serán parte del diseño del documental y su uso para el debate en diferentees espacios y niveles.  Parte de los grupos beneficiarios directos citados serán protagonistas de los primeros espacios de debate y reflexión sobre la temática, y otros, serán receptores del documental y sus mensajes fundamentales. Todos y todas tendrán la oportunidad de convertirse en activistas de la temática dando continuidad al debate en sus territorios y espacios de actuación.</t>
  </si>
  <si>
    <t>Beneficiarios directos
Al mínimo 15 mujeres (de diferentes procedencias territoriales, capacidades, edades, color de piel, orientación sexual y situación económica)- que expresarán sus testimonios, experiencias claves para la fundamentación del documental y tendrán la oportunidad de visibilizar sus buenas prácticas y lecciones aprendidas con diferentes públicos.
Un mínimo de 500 mujeres que ven el documental en diferentes espacios- se encuentran con las testimoniantes y quedan mejor informadas, motivadas y con la confianza de hacer o seguir sus proyectos económicos.
Personal decisor de 16 gobiernos provinciales, y del 50 % de los gobiernos municipales- que podrán disponer del documental para informarse y debatir sobre el tema como parte de un proceso de sensibilización.
Personal decisor de 8 ministerios e institutos cubanos con los que se viene trabajando la temática (Ministerio de la Agricultura, Ministerio de la Industria Alimenticia, Ministerio de Economía y Planificación, Ministerio del Trabajo y la Seguridad Social, Ministerio de Educación Superior, Ministerio de Cultura, Instituto Nacional de Recursos Hidráulicos, ICAIC)-  participaran en el taller de reflexión propiciado por el proyecto  y podrán debatir sobre el tema como parte de un proceso de sensibilización.
7 Cátedras que en diferentes Universidades del país (Pinar del Río, Habana, Villa Clara, Camagüey, Ciego de Ávila, Las Tunas, Santiago de Cuba) están potenciando la temática, como base para sus investigaciones, formaciones y proyectos, que podrán disponer del documental para informarse, participaran el espacio de reflexión propiciado por el proyecto y podrán debatir sobre el tema como parte de un proceso de sensibilización.
CETED de la Universidad de La Habana (Centro de Estudios de Técnicas de Dirección) que se dedica específicamente a la investigación y la formación de capacidades sobre emprendimientos- podrán disponer del documental para informarse, participaran el espacio de reflexión propiciado por el proyecto  y podrán debatir sobre el tema como parte de un proceso de sensibilización,
SEMlac y su red de mujeres emprendedoras- que podrán disponer del documental para informarse, participaran el espacio de reflexión propiciado por el proyecto y podrán debatir sobre el tema como parte de un proceso de sensibilización.
EDITORIAL DE LA MUJER- que podrán disponer del documental para informarse, participaran el espacio de reflexión propiciado por el proyecto y podrán debatir sobre el tema como parte de un proceso de sensibilización.
Escuela Internacional de Cine y Televisión de San Antonio de los Baños- especialmente la Cátedra de Audiovisuales que podrán disponer del documental para informarse y motivarse en la temática.
4 Oficinas del Historiador (Santiago de Cuba, Camagüey, Cienfuegos, La Habana), interesados en la temática y con acciones puntuales, que podrán disponer del documental para informarse, participaran el espacio de reflexión propiciado por el proyecto y podrán debatir sobre el tema como parte de un proceso de sensibilización.
15 organizaciones de la sociedad civil cubana que trabajan la temática y utilizaran el documental como base de sus acciones de sensibilización y/o formación, y participaran el espacio de reflexión propiciado por el proyecto (ANEC, CIERIC, CEDEL, Asociación de Pedagogos de Cuba, ACPA, ACTAF, ANAP, Consejo Científico Veterinario, Consejo de Iglesias de Cuba, Centro Martin Luther King, Centro La Bastida en Santiago de Cuba, Unión de Escritores y Artistas de Cuba, Central de Trabajadores de Cuba, Centro de Estudios sobre la Juventud Cubana, Fundación Nicolás Guillén)
12 organizaciones de la cooperación internacional que en Cuba promueven cambios a favor de las mujeres y los emprendimientos y utilizaran el documental como base de sus acciones de sensibilización y/o formación y participaran el espacio de reflexión propiciado por el proyecto (CARE, OXFAM, HIVOS, Agro Acción Alemana, OIKOS, MUNDUBAT, MPDL, CIPS, GVC, COSPE, TECNALIA, Grupos de Solidaridad Cuba Sí de Alemania)
11 donantes interesados en continuar apoyando las temáticas en Cuba que se estima se sensibilicen más con la temática y su apoyo, y participaran el espacio de reflexión propiciado por el proyecto (Unión Europea, Cooperación Canadiense, Cooperación Española, Embajada de Reino Unido, Embajada de Francia, Embajada de Holanda, Embajada de Bélgica, Embajada de Noruega, Fondo de Desarrollo de las Naciones Unidas, UNESCO, Partido de Izquierda Alemana)
3 Universidades de países latinoamericanos que trabajan la temática (Universidad Nacional Autónoma de México, Universidad de Santo Tomás de Bogotá en Colombia, Universidad Autónoma de Medellín en Colombia) y la Filial Dominicana de la Fundación Nicolás Guillén - dispondrán del documental, conocerán de la realidad cubana y aportarán al debate.
Beneficiarios indirectos- mujeres y hombres de todo el país vinculados a proyectos y población general que será partícipe de la proyección del documental y de los espacios de reflexión que se estima se potencien a partir del mismo</t>
  </si>
  <si>
    <t>Se aportan testimonios de mujeres que desde diferentes procedencias, capacidades, niveles económicos, color de la piel, edades y orientación sexual, han desafiado barreras al optar por los nuevos modelos de gestión no estatal que se promueven en el país. Comparten experiencias exitosas, lecciones aprendidas, para de esta forma estimular la credibilidad de otras a optar por este camino y la confianza de decisores y decisoras en apoyarlas para que lo puedan realizar bajo principios responsables y solidarios, no incompatibles con las políticas estatales. Palomas ha dado un espacio a la voz de las emprendedoras cubanas.</t>
  </si>
  <si>
    <t>Estuvo orientado hacia el estímulo de la credibilidad de mujeres cubanas diversas y la confianza de actores estatales y no estatales a diferentes niveles, para asumir y apoyar las oportunidades y desafíos que ofrecen los nuevos modelos de gestión en Cuba. El producto fundamental fue el documental Mujeres los poderes vitales del éxito realizado y subtitulado al inglés bajo la dirección de Lizette Vila e Ingrid León, centrado en experiencias actuales de mujeres exitosas de diferentes estratos sociales, edades, razas y orientación sexual. El documental tuvo la colaboración de SEMlac y servirá de base material para el debate en diferentes espacios del país después de su presentación especial en el Cine 23 y 12 de La Habana, en conmemoración al Día Naranja (25 marzo), además de distribuirse 150 copias actores a los que interesa el tema.
Adicionalmente se dejaron preparadas las condiciones para realizar una Conferencia de Prensa para la presentación del documental a periodistas y comunicadores relacionados con la temática y una tercera presentación a personal clave en la implementación de los lineamientos en Cuba, que se realizará por Lizette Vila con el apoyo de la Presidencia del ICAIC en el mes de abril.
El amplio proceso investigativo realizado deja las bases para nuevos materiales que servirán al activismo social que caracteriza al Proyecto Palomas y que se espera poder seguir siendo apoyado por CARE. Se prevén presentaciones especiales fuera del país con apoyo de la comunidad de aprendizaje de CARE sobre empoderamiento socio económico de mujeres.</t>
  </si>
  <si>
    <t>Desarrolló un producto de alta demanda para el debate en el marco de la sociedad civil cubana</t>
  </si>
  <si>
    <t>Programar acciones paralelas y post presentaciòn del documental, con seguimiento de CARE y rendición de cuentas al donante.</t>
  </si>
  <si>
    <t>Formó parte de una plataforma de debate en el contexto cubano actual, con amplia participación de lideres de opinión y actores que pudieran incidir en el cambio. El audiovisual es un producto efectivo para levantar historias de vida que testimonian la necesidad de promover transformaciones socio económicas en la sociedad cubana actual, siempre que es desarrollado con personalidades que tienen alta incidencia en los medios de comunicación y en los espacios de dialógo entre gobierno y sociedad civil</t>
  </si>
  <si>
    <t>Las historias de vida con una buena conducción en la forma de divulgarlas, siguen siendo una herramienta importante para el cambio.</t>
  </si>
  <si>
    <t>La participación de periodistas que trabajan la investigaciòn en la temática de género y la consulta con personalidades reconocidas por la Academia le dan fundamento científico al producto realizado, facilitando la incidencia</t>
  </si>
  <si>
    <t>Estas iniciativas deben ser sistemáticas en el accionar de CARE en Cuba como parte del Programa de Empoderamiento Socioeconómico de Mujeres, no ser acciones aisladas.</t>
  </si>
  <si>
    <t>Estas iniciativas deben cpmplementarse con apoyo a la difusion y el debate, post realización, tanto a nivel regional como nacional e internacional.</t>
  </si>
  <si>
    <t>PROSAM - Acelerar la producción sostenible de alimentos en municipios cubanos</t>
  </si>
  <si>
    <t>CU089</t>
  </si>
  <si>
    <t>Gregory Spira</t>
  </si>
  <si>
    <t>gregory.spira@care.ca</t>
  </si>
  <si>
    <t>Richard Paterson</t>
  </si>
  <si>
    <t>Richard.paterson@care.ca</t>
  </si>
  <si>
    <t>Incremento de la producción agrícola sostenible para mujeres y hombres en los municipios urbanos y suburbanos seleccionados.</t>
  </si>
  <si>
    <t>Cuba, provincias La Habana, Artemisa y Mayabeque. Municipios Artemisa, Bejucal, Guanabacoa, Guines y Madruga.</t>
  </si>
  <si>
    <t>El proyecto beneficiará aproximadamente a 5,200 personas, directamente a través de sus dos resultados intermedios (fortalecimiento de la gestión del desarrollo agrícola municipal sostenible e incrementada la producción sostenible de productos alimenticios diversificados, especialmente por parte de las mujeres) y 323,456 personas (163,158 mujeres y 160,298 hombres), indirectamente de la población de los cinco municipios meta del proyecto</t>
  </si>
  <si>
    <t>Beneficiarios Directos: Aproximadamente 5,200 personas distribuidas de la siguiente forma: Personal del IS (35 mujeres, 15 hombres); Productores y productoras de los municipios (1000 mujeres, 1000 hombres); Familias residentes en las comunidades y cooperativas (1000 mujeres, 1000 hombres); Personal de las entidades municipales que producen y/o comercializan insumos y servicios (260 mujeres, 170 hombres) Personal   de   las  empresas  agropecuarias  municipales   (17 mujeres, 8 hombres); Personal de las Direcciones/Delegaciones de la Agricultura (45 mujeres, 30 hombres); Personas  que  laboran  en  las  mini-industrias  y  centros  de beneficio (100 mujeres, 50 hombres); Personas que laboran en los mercados y puntos de venta (100 mujeres, 50 hombres); Personal de los gobiernos municipales (10 mujeres, 10 hombres) Decisores y decisoras de las cooperativas de los municipios (150 mujeres, 150 hombres).
Beneficiarios Indirectos: Toda la población de los cinco municipios, 323,456 personas, 163,158 mujeres y 160,298 hombres. Instituciones: MINAG provincial y nacional, CITMA, ANAP, ACPA, ACTAF, FMC</t>
  </si>
  <si>
    <t>Los cambios en el contexto de la colaboración en Cuba, llevaron a reajustes en el personal que por CARE y OXFAM participan en el proyecto, y durante un proceso de análisis de esta situación y su reajuste, el proyecto se encuentra con su plan de trabajo practicamente detenido y con el mínimo de actividades. Un grupo de ellas han sido retrasadas.</t>
  </si>
  <si>
    <t>Planificación Comunitaria</t>
  </si>
  <si>
    <t>Escuelas de Campo</t>
  </si>
  <si>
    <t>El trabajo sistemático de seguimiento e intercambio por parte del equipo de proyecto con actores locales/beneficiarios genera confianza en las acciones del proyecto</t>
  </si>
  <si>
    <t>La Estrategia de Género del Sistema de la Agricultura, es una oportunidad para PROSAM, ya que permite conectar el rol político de las DMA con el trabajo por la IG. Esa estrategia no tiene aún plan de implementación muy claro y su difusión no se está aparentemente priorizada</t>
  </si>
  <si>
    <t>Es necesario dedicar tiempo a formar el equipo de proyecto, distribuir claramente los roles y establecer los mecanismos de comunicación para su mejor funcionamiento, no resulta la mejor opción arrancar el proyecto y formarlo sobre la marcha</t>
  </si>
  <si>
    <t>Ciudades Preparadas y Alertas ante el riesgo sísmico en el oriente cubano</t>
  </si>
  <si>
    <t>Objetivo General: Incrementar la resiliencia de ciudades y comunidades vulnerables de la región oriental de Cuba desde un enfoque de derechos e igualdad de género
Objetivo Específico: Fortalecer la capacidad gestión ante riesgo sísmico de autoridades, instituciones técnicas, y población vulnerable (con énfasis en mujeres y personas con discapacidad) en las ciudades de Santiago, Guantánamo y Baracoa</t>
  </si>
  <si>
    <t>3 municipios (Santiago de Cuba, Guantánamo y Baracoa), 2 provincias (Santiago de Cuba y Guantánamo), región oriental de Cuba</t>
  </si>
  <si>
    <t>80,321 personas (aproximadamente 10% de la población residente de las tres ciudades), y 23 instituciones de los centros urbanos de Santiago, Guantánamo y Baracoa. De ellas, 51% son mujeres; 23.6% son niños y jóvenes; 31% son personas mayores; y 16.2% son personas con discapacidad, incluyendo 6273 mujeres con discapacidad.  Esta población se beneficiará por contar con gobiernos y actores territoriales mejor preparados para la gestión del riesgo sísmico y para brindar servicios de respuesta a la población, respondiendo a sus necesidades específicas. Estos beneficiarios también mejorarán su percepción y preparación para enfrentar el riesgo sísmico a través de la información que reciben por diferentes medios y la campaña de sensibilización.</t>
  </si>
  <si>
    <t>Defensa Civil. Avala el proyecto; participa en la implementación del sistema de monitoreo y alerta sísmica; apoya en la difusión de las buenas practicas a nivel cubano y región Caribe.
Gobiernos provinciales y municipales. Facilitan la coordinación entre provincia y municipio. Participan en capacitaciones. Organizaran las comunidades para la sensibilización.
CGRR e Grupos Multidisciplinarios. Participan en capacitaciones para fortalecer su entendimiento del riesgo sísmico; usan los conocimientos adquiridos para la toma de decisión. Participan con la Cruz Roja en la sensibilización comunitaria.
CENAIS y CITMA. Socio técnico responsable de la implementación del sistema de monitoreo y alerta sísmica. Avala todos materiales de capacitación por su precisión técnica. Apoya a la Cruz Roja y a la Universidad en sus programas de sensibilización y formación la campaña de sensibilización a través de su plataforma de comunicación existente.
Facultad de Construcción de la Universidad de Oriente. Desarrolla de conjunto con el CENAIS la capacitación a técnicos y decisores locales y otros especialistas de Cuba, del Caribe y Centroamérica a través del diseño e implementación de un Diplomado y talleres de capacitación.
Coordinadores y voluntarios de la Cruz Roja Cubana. Su capacitación será coordinada con el proyecto propuesto por la Cruz Roja Noruega. Serán capacitados en riesgo sísmico (con apoyo del CENAIS),  el salvamento de PCD (con apoyo de Handicap Internacional), y responsable de aplicar herramientas de sensibilización comunitaria.
Miembro de asociaciones cubanas de personas con discapacidad (ANSOC, ANCI, ACLIFIM). serán capacitados en Educación y Comunicación Inclusiva, preparación de planes de contingencia familiares inclusivos, e inclusión de PCD en los planes locales de contingencia.
Pobladores de las ciudades de Santiago, Guantánamo y Baracoa. Participan en actividades de sensibilización y transmiten la información a otros pobladores.
Los beneficiarios diretos en SECTOR HUMANITARIO son  pobladores que se calcularon teniendo en cuenta la cantidad de población a la que se podía llegar en 18 meses con acciones directas de Los beneficiarios indirectos en SECTOR DESARROLLO son pobladores que se calcularon  teniendo en cuenta la población que se beneficia con el fortalecimiento de la red del servicio sismológico nacional. sensibilización comunitaria directa en las ciudades donde se iban a implementar el proyecto.
Los beneficiarios directos en SECTOR DESARROLLO son organizaciones que  se calcularon teniendo en cuenta quienes eran las organizaciones más involucradas en la gestiòn del riesgo sísmico en las ciudades seleccionadas y que necesitaban fortalecer sus potencialidades para gestionar mejor el riesgo del territorio.
Los beneficiarios indirectos en SECTOR HUMANITARIO son pobladores de las tres ciudades de accionamiento a la que se podía llegar por medios de comunicación en las acciones de sensibillización comunitaria</t>
  </si>
  <si>
    <t>Sensibilizó y creó capacidades para la Gestión Inclusiva de la Gestión de Riesgo desde el nivel local hasta el nacional
Incertó en las Asociaciones de Personas con Discapacidad la planificación para la gestión del riesgo
Realizó pilotaje tecnológico para mejorar el monitoreo sismológico y la información en tiempo real</t>
  </si>
  <si>
    <t>Se implemento en consorcio internacional CARE OXFAM comparitiendo prácticas internacionales con CENAIS y Defensa Civil Cubana
Faciitó el dialogo, elaboración de programass de trabajo conjunto y materiales educativos y de sensibilización  entre Universidad y Centro de Investigaciones Sismológicas con el Sistema de Defensa Civil, la Cruz Roja Cubana, los Bomberos y las Asociaciones de Personas con Discapacidad para acciones de preparación y sensibilización comunitaria Proporcionó la inclusión del riesgo sísmico con mayor profundidad en los planes de la Defensa Civil Cubana</t>
  </si>
  <si>
    <t>Capacitación en gestion inclusiva del riesgo sísmico a la Cruz Roja Cubana
Formación de promotores voluntarios de las Asociaciones de Personas con Discapacidad para la gestión inclusiva del riesgo sísmico
Elboración de material para continuar la formación de promotores voluntarios
Elaboración de material didáctico para continuar utilizando en la sensibilización a nivel local por la sociedad civil cubana (Cruz Roja, Asociaciones de Personas con Discapacida)
Preposicionados medios en la Asociación de Personas con Discapacidad Físico Motora (ACLIFIM)</t>
  </si>
  <si>
    <t>Diversificó e incrmentó  los tipos de actividades para llegar a una mayor cantidad de grupos metas identificados e incrementar el impacto previsto, previa coordinación con socios locale y a partir de un análisis del contexto y necesidades existentes.</t>
  </si>
  <si>
    <t>El proceso de sensibilización liderado por la Cruz Roja, un espacio de aprendizaje mutuo donde actores y grupos de impacto ganaron en cultura sismológica y capacidades en gestión inclusiva de reducción de riesgos, desde una perspectiva de igualdad de género. Específicamente se destacan, el rabajo de formaciòn de  capacidades con las Asociaciones de Personas con Discapacidad, que se convierten en voluntarios y voluntarias para la reducción de riesgo sísmico, y los métodos y herramientas utilizados para la sensibilización y formación de capacidades, inclusivos a necesidades específicas de los grupos más vulnerables.
Es la primera vez en el país que las Asociaciones de Personas con Discapacidad son beneficiarias de acciones relacionadas con la gestión de riesgo, viven una experiencia de aprendizaje mutuo e interactúan con la Cruz Roja y entre ellas mismas. La clave del éxito ha sido el trabajo sostenido, asesorado metodológicamente por Handicap Internacional y el CENAIS, en interlocución con las recomendaciones de los propios asociados y asociadas para seleccionar métodos y herramientas adecuados.
Se ha incrementado la percepción del riesgo y la sensibilidad sobre cómo abordarlo con atención diferenciada a las necesidades e intereses diferenciados de mujeres y hombres. Es la primera vez que las Asociaciones cuentan con un plan de reducción de riesgos con enfoque de género y sus asociados/das cuentan con planes familiares, y participan con simulacros en el Ejercicio METEORO organizado por el Sistema Cubano de la Defensa Civil.</t>
  </si>
  <si>
    <t>La Estrategia de Comunicación con enfoque de género, que rompe las barreras del proyecto y se convierte en una estrategia territorial al servicio del Sistema de la Defensa Civil para la reducción de riesgo sísmico.
Por primera vez la sensibilización en gestión de riesgos se trabaja con profundidad dentro de la plataforma de comunicación del Ministerio de Ciencia, Tecnología y Medioambiente, lo que amplía su alcance, la valida y le da rigor científico. Se potencia el Consejo de Comunicación liderado por este Ministerio y sus ventajas para un trabajo estructurado y coordinado entre las diversas instituciones que lo conforman. Se cultiva de manera efectiva su relación estrecha y sistemática con el Círculo de la Prensa. Se diversifican de manera significativa los espacios y medios de comunicación con interés en abordar la temática.</t>
  </si>
  <si>
    <t>El Diplomado en Gestión Inclusiva de Riegos de Desastres y Resiliencia Comunitaria, donde docentes y estudiantes aprenden juntos y juntas, incorporan enfoques de igualdad de género e inclusión de personas con discapacidad y proponen modificaciones para una nueva edición del Diplomado con una Convocatoria Regional.</t>
  </si>
  <si>
    <t>El reconocimiento sobre la importancia de fortalecer la metodología de trabajo de la Cruz Roja y el uso de herramientas y materiales adaptados a diferentes públicos y necesidades para ampliar la escala de trabajo y la cantidad de personas a beneficiar de sus esfuerzos, en el período de un año
Aún quedan como desafíos mejorar sus métodos y herramientas de trabajo desde el enfoque de la educación popular, e institucionalizar una metodología común para el trabajo con cada grupo objetivo. Importante sería comprender la importancia de modificar la herramienta AVC para convertirla en un AVC inclusivo, con enfoque de género, y a partir de ahí retomar la formación en su uso.</t>
  </si>
  <si>
    <t>El reconocimiento de la importancia de integrar a las Asociaciones de Personas con Discapacidad para llegar a grupos generalmente autoexcluidas o excluidas de los espacios comunitarios y con dificultades para beneficiarse de productos comunicacionales que no tienen en cuenta sus necesidades y capacidades específicas</t>
  </si>
  <si>
    <t>La necesidad de continuar desarrollando materiales de apoyo a la sensibilización y formación de capacidades. Los materiales elaborados con apoyo del proyecto fueron validados con muy buena calidad y aceptación por la población, tanto en su formato, contenido, como en su diseño. Igualmente, para bien de la implementación no dejaron de destacarse, algunos otros materiales que comienzan a producirse por medios propios tanto por parte del Sistema de la Defensa Civil como por los grupos de personas promotoras y voluntarias, que se sumaron de manera progresiva al trabajo en terreno, y que tomaron como base informativa los productos elaborados por el proyecto.  Quedaron como desafíos, el diseño de materiales relacionadas con el tema de ayuda psicológica durante los primeros auxilios y otros, que faciliten un acercamiento más práctico al enfoque de igualdad de género y sus conexiones con la gestión de riesgos.</t>
  </si>
  <si>
    <t>Se identicaron como los mayores resultados del proyecto:
1- Haber garantizado mayor precisión en el dato sísmico obtenido a partir del monitoreo continuo, mejores resultados en las investigaciones sismológicas, y un incremento de la efectividad en el aviso y la toma de decisiones por el Sistema de la Defensa Civil ante la emergencia, ofreciendo mayor seguridad a la población, en particular las personas con discapacidad y las mujeres.
2- Haber proporcionado una formación teórico práctica en talleres, conferencias e intercambios de experiencias en Cuba y la Región, donde se destacó de manera significativa la contribución de la Facultad de Construcciones de la Universidad de Oriente con formaciones específicas para personas en puestos de decisión y la primera edición de un Diplomado, que con el liderazgo de docentes sensibilizados/as, devino al final del proyecto en su preparación para una Convocatoria Regional con el nombre Gestión Inclusiva de Riesgos de Desastres y Resiliencia Comunitaria.
3- Haber facilitado mayores capacidades para la preparación y atención de la población ante un sismo, con atención a necesidades diferenciadas de mujeres, personas con discapacidad y de la tercera edad.
- Sistema de la Defensa Civil con materiales pre-posicionados en la región oriental del país para responder ante un sismo, con especial atención a las necesidades diferenciadas de mujeres y personas con discapacidad.
- Creadas y en funcionamiento comisiones municipales intersectoriales para una gestión de riesgo sísmico con igualdad de género.
Organizado en dos niveles, el primero para la formación de formadores/es y, el segundo con la facilitación sistemática de intercambios de experiencias que ayudaron a validar lo aprendido, e ir construyendo de manera progresiva metodologías y herramientas inclusivas utilizadas posteriormente en los territorios. Se destaca la formación coordinada de Cruz Roja- Bomberos- Asociaciones de Personas con Discapacidad- Sistema de Defensa Civil para la gestión inclusiva de reducción de riesgo sísmico.
Al finalizar el proyecto quedan como desafíos:
Por Cruz Roja seguir capacitándose y extender su trabajo a otros equipos en la zona de riesgo en coordinación con los Centros de Gestión de Reducción de Riesgo y seguir apoyando a las Asociaciones de Personas con Discapacidad sobre la temática
Por los Centros de Gestión de Reducción de Riesgos mantener actualizado el tema sísmico con enfoque inclusivo en las Comisiones Municipales, así como mantener un trabajo sistemático con las Asociaciones de Personas con Discapacidad.
Por las Asociaciones dar continuidad en el trabajo de elaboración, actualización e implementación de los planes de reducción de riesgos. Se resalta la necesidad de incluir las vulnerabilidades, oportunidades y capacidades de las personas con discapacidad en situaciones de emergencias. Se facilita que estas personas incorporen e incrementen conocimientos sobre el peligro sísmico y la gestión inclusiva del riesgo de desastres. Se aumenta la percepción del riesgo y se logran cambios de actitud en sus integrantes.
Potenciar la confianza y fertilizar la esperanza que las personas con discapacidad han depositado en las instituciones responsabilizadas con la Gestión Inclusiva de Reducción de Riesgos, y de este modo, aportar a una sociedad más inclusiva.</t>
  </si>
  <si>
    <t>Hurricane Matthew Emergency Response</t>
  </si>
  <si>
    <t>CU091</t>
  </si>
  <si>
    <t>CU092</t>
  </si>
  <si>
    <t>CU093</t>
  </si>
  <si>
    <t>CU095</t>
  </si>
  <si>
    <t>ADH</t>
  </si>
  <si>
    <t>CU096</t>
  </si>
  <si>
    <t>Country Representative</t>
  </si>
  <si>
    <t>richard.paterson@care.ca</t>
  </si>
  <si>
    <t>to support livesaving interventions and house reconstruction, addressing immediate WASH and household item needs as well as roofing materials</t>
  </si>
  <si>
    <t>Provincia de Guantanamo, municipios de Baracoa y Maisi</t>
  </si>
  <si>
    <t>the most vulnerable members of the affected communities, prioritising single mothers, women caring for elderly parents, and the handicapped</t>
  </si>
  <si>
    <t>the cell '# de mujeres y niñas' allowed me to insert some text that was destined for another cell, but then it wouldn't let me remove it, I tried to unprotect it but it required a password.  The cell '# mujeres y niñas' should have the number 3,234.       Los participantes son los comunitarios que recibieron kits de WASH y kits de hogar (NFIs) como beneficiarios/as de nuestra respuesta a la emergencia.  Ademas recibieron informacion e instructivos sobre el buen uso de los mosquiteros, como purificar el agua y de convivencia.</t>
  </si>
  <si>
    <t>como mencionamos, no se ha realizado una evaluacion ni se esta planificando una.  Si, se hizo un 'After Action Review' de la respuesta.</t>
  </si>
  <si>
    <t>se promovio la priorizacion de grupos mas vulnerables en particular adultos mayores y personas con discapacidad.  Ademas, se introdujeron mecanismos para reducir el estres en particular en las mujeres y de promover una convivencia entre hombres y mujeres y entre vecinos.</t>
  </si>
  <si>
    <t>ver arriba</t>
  </si>
  <si>
    <t>incorporamos a aliados estrategicos en la respuesta, y en particular en la atencion a mujeres, pero no se llevaron a escala</t>
  </si>
  <si>
    <t>ajustamos el contenido de los kits, tanto WASH como los NFIs, para proximas emergencias;  mejoramos la preparacion de la OP para futuras emergencias (stock de combustible, dinero en efectivo, tarjetas celular, mochila/kit de emergencia)</t>
  </si>
  <si>
    <t>involucrar a miembros de la comunidad en los procesos de analisis, distribucion de articulos, recogida de informacion, etc</t>
  </si>
  <si>
    <t>apoyo psicosocial para las familias (hombres, mujeres y niños)</t>
  </si>
  <si>
    <t>revisar con cuidado el contenido de los 'kits' que se distribuyen - ajustar segun las caracteristicas de cada emergencia, zona, grupo, etc.</t>
  </si>
  <si>
    <t>que no hay que acatar a ciegas los consejos de los especialistas de CI</t>
  </si>
  <si>
    <t>pensar en la visibilidad desde el comienzo de las intervenciones</t>
  </si>
  <si>
    <t>no hay que pensar solamente en la cantidad de personas o familias que ayudamos sino tambien en la calidad de las intervenciones.   </t>
  </si>
  <si>
    <t>Hay varios documentos relacionado con el 'proyecto' ya que fueron varios pequeños financiamientos - el mas grande fue de US$ 100,000.  Entonces son 5 propuestas, una estrategia, 5 propuestas, 5 IPIAs, 5 informes (por lo menos), etc.  Pero no tenemos los links para acceder a ellos, quizas CARE Canada.</t>
  </si>
  <si>
    <t>Strengthening early warning system, adaptation, preparedness and response actions to increase drought resilience and reduce its impact on food and nutrition security and water supply in eastern provinces of Cuba.</t>
  </si>
  <si>
    <t>Mejorar la preparación de autoridades, instituciones y población  para la adaptación y respuesta al riesgo de sequía</t>
  </si>
  <si>
    <t>Centro Urbano Abel Santamaría, municipio Santiago de Cuba, provincia Santiago de Cuba</t>
  </si>
  <si>
    <t>Directamente- 3000 personas residentes en el Centro Urbano Abel Santamaría. Esta población  se beneficiará por contar con autoridades, instituciones y población mejor preparados para la gestión del riesgo de sequía y para adoptar medidas de adaptación y respuesta, respondiendo a las necesidades específicas de cada localidad. Estos beneficiarios también mejorarán su percepción y preparación para enfrentar el riesgo de sequía a través de la información que recibirán de los diferentes medios y del sistema de gestión del conocimiento.
Indirectamente- 25 % de la población residente en la ciudad de Santiago de Cuba  y 13 instituciones del centro urbano de Santiago.  </t>
  </si>
  <si>
    <t>Defensa Civil. Avala el proyecto y apoya la implementación; apoya en la difusión de las buenas prácticas a nivel cubano y región Caribe.  
Gobierno provincial y municipal. Facilitan la coordinación entre provincia y municipio. Participan en las capacitaciones. Organizan las comunidades para la sensibilización a través de los consejos populares y el apoyo de los CGRRD.
CGRRD y Grupos Multidisciplinarios. Participan en capacitaciones para fortalecer su entendimiento del riesgo de sequía; usan los conocimientos adquiridos  para la toma de decisiones.  Participan los Comités de Gestión Comunitaria del Agua en la sensibilización comunitaria.
Voluntarios de la Cruz Roja Cubana. Se integran y aportan su experiencia en los Comités de Gestión Comunitaria del Agua. Son capacitados para fortalecer el enfoque multiriesgo de su trabajo.
Miembros de asociaciones cubanas de personas con discapacidad (ANSOC, ANCI, ACLIFIM). Se integran a los Comités de Gestión Comunitaria del Agua, garantizando la inclusión de las necesidades y expectativas de las personas con discapacidad.  
Pobladores de la ciudad de Santiago de Cuba. Participan en actividades de sensibilización y capacitación, y transmiten la información a otros pobladores.
Consejos populares, escuelas, instituciones y asociaciones de personas con discapacidad. Participan en la implementación de la estrategia comunitaria de sensibilización y divulgación.
Se decidió reducir el alcance a la ciudad de Santiago de Cuba, tratando de hacer sinergias y aprovechar las capacidades creadas por los dos proyectos DIPECHO en GRRD implementados por CARE (HIP 2013 y HIP 2015), y por ser la ciudad de mayor afectación en estos momentos con el abasto de agua a la población y hacia destinos económicos.
Por la dimensión geográfica de la ciudad de Santiago de Cuba, la alta densidad de población, el tiempo limitado para la implementación del proyecto y el marco financiero, se seleccionarán los 14 consejos populares más vulnerables ante la sequía (selección que aportará la Dirección Provincial de Recursos Hidráulicos), de los 29 existentes para el resultado 1, relacionado con el aumento de la percepción de riesgo y la preparación para la adaptación, aunque toda la ciudad será beneficiada indirectamente con la campaña de sensibilización. Para el resultado 2, se selecciona el Centro Urbano Abel Santamaría, por su densidad de población y condiciones críticas de abasto de agua a la población. Para el resultado 3, se prevé incidir en el municipio Santiago de Cuba, y tener un alcance nacional a través del sistema de gestión del conocimiento a desarrollar.</t>
  </si>
  <si>
    <t>Sensibilizó y creó capacidades para la Gestión Inclusiva de la Gestión de Riesgo desde el nivel local hasta el nacional, enfocado en sequía pero con un enfoque multiriesgo
Incertó en las Asociaciones de Personas con Discapacidad la planificación para la gestión del riesgo</t>
  </si>
  <si>
    <t>Se implemento en el marco de un proyecto que se implementa por un consorcio internacional liderado por MPDL  y OIKOS y donde participan además de CARE, las organizaciones internacionales OXFAM, MUNDUBAT, CIPS, GVC junto a dos programas multilaterales PNUD y PMA, comparitiendo prácticas internacionales con Recursos Hidráulicos y Defensa Civil Cubana
Faciitó el dialogo, elaboración de programass de trabajo conjunto y materiales educativos y de sensibilización  entre Recursos Hidráulicos con el Sistema de Defensa Civil, la Cruz Roja Cubana, las Asociaciones de Personas con Discapacidad  y la Asociación de Técnicos Agrícolas y Forestales para acciones de preparación y sensibilización comunitaria
Proporcionó la inclusión del riesgo sequía con mayor profundidad en los planes de la Defensa Civil Cubana</t>
  </si>
  <si>
    <t>Capacitación en gestion inclusiva del riesgo de sequía a la Cruz Roja Cubana
Formación de promotores voluntarios de las Asociaciones de Personas con Discapacidad para la gestión inclusiva de la sequía
Elaboración de material didáctico para continuar utilizando en la sensibilización a nivel local por la sociedad civil cubana (Cruz Roja, Asociaciones de Personas con Discapacida, ACTAF)</t>
  </si>
  <si>
    <t>Czech Republic</t>
  </si>
  <si>
    <t>Support of expert capacities of CARE (Czech Rep.) in networking, partnerships and cooperation</t>
  </si>
  <si>
    <t>KAP17</t>
  </si>
  <si>
    <t>Jan Koubek Kejzlar</t>
  </si>
  <si>
    <t>director</t>
  </si>
  <si>
    <t>jan.kejzlar@care.cz</t>
  </si>
  <si>
    <t>Strenghtening of expert capacities within CARE Czech Republic team, focused on resources mobilisation, EU partnership and advocacy. Establishing the Czech consortium of the NGOs (ADRA, CARE, Diaconia)</t>
  </si>
  <si>
    <t>Czech Republic in cooperation with other CARE members, focused on European level</t>
  </si>
  <si>
    <t>Internal CARE capacities, partners (NGOs) and within CARE International network</t>
  </si>
  <si>
    <t>Direct participants: CARE team members, cooparating NGOs partners (within trainings, consortium development; advocacy initiatives) No indirect due to character of the project activities and goals.</t>
  </si>
  <si>
    <t>capacity building</t>
  </si>
  <si>
    <t>Best practices in cooperation, joint advocacy initiative (for programmes changes) and workshop on gender issues organised for CSOs and institutional participants.</t>
  </si>
  <si>
    <t>Workshop on gender in development; networking and capacity building with partners.</t>
  </si>
  <si>
    <t>At the initial stage of activities planning, the need for gender issues awareness within the sector (humanitarian and development) became important add on for the capacity building goals.</t>
  </si>
  <si>
    <t>Interactive workshop for key partners on gender issues in development.</t>
  </si>
  <si>
    <t>Joint advocacy with strategic partners in platform/consortium helped to raise voice (issues) towards the governmental representatives.</t>
  </si>
  <si>
    <t>Variety of knowledge basis on gender mainstreaming and gender in development issues even within expert partners. Need for segmented approach.</t>
  </si>
  <si>
    <t>Building trust with partners in cooperation led to promising cooperation.</t>
  </si>
  <si>
    <t>Denmark</t>
  </si>
  <si>
    <t>CARE DK report on the impact of climate change on migration ("Fleeing Climate Change: The Impacts on Migration and Displacement")</t>
  </si>
  <si>
    <t>Sarah Kristine Johansen</t>
  </si>
  <si>
    <t>Head of Advocacy</t>
  </si>
  <si>
    <t>skjohansen@care.dk</t>
  </si>
  <si>
    <t>1) change the discourse around migration and improve the general understanding of push factors driving migration (Africa, Asia), 2) the policy ask was to get the Danish government to prioritize - by allocating additional funding to Climate Change adaptation in developing countries and actively contribute to the discussions around Loss and Damage under the UNFCCC framework. The initiative generated good media coverage and CARE DK will organize a round table discussion in the fall of 2017 to influence the new Danish Foreign Affairs and Security Policy.</t>
  </si>
  <si>
    <t>The primary target group was Danish decision-makers/politicians
The potential impact group is people from Africa and Asia benefiting from additional funding and improved cooperation policies from CARE DK</t>
  </si>
  <si>
    <t>Direct participants are the politicians/decision-makers CARE DK met with directly and attempted to influence through this initiative.
NB: Indirect participants in this case is the Danish public reached through mass media coverage. This should not be counted as people benefiting from the initiative. It does not make sense to estimate the number of people who are likely to benefit from a change in Danish development policy.</t>
  </si>
  <si>
    <t>Bi-lateral meetings with politicians and direct lobbying</t>
  </si>
  <si>
    <t>Leveraging an international event/agenda (COP22) to influence a national agenda around climate and migration in Denmark</t>
  </si>
  <si>
    <t>Just to clarify, the initiative described above was about the following: CARE DK developed and launched a report on the impact of climate change on migration ("Fleeing Climate Change: The Impacts on Migration and Displacement") - the primary target group was Danish decision-makers/politicians and it served the purpose to 1) change the discourse around migration and improve the general understanding of push factors driving migration (Africa, Asia), 2) the policy ask was to get the Danish government to prioritize - by allocating additional funding to Climate Change adaptation in developing countries and actively contribute to the discussions around Loss and Damage under the UNFCCC framework. The initiative generated good media coverage and CARE DK will organize a round table discussion in the fall of 2017 to influence the new Danish Foreign Affairs and Security Policy.</t>
  </si>
  <si>
    <t>Link to report: http://careclimatechange.org/publications/fleeing-climate-change-impacts-migration-displacement/</t>
  </si>
  <si>
    <t>Dominican Republic</t>
  </si>
  <si>
    <t>Amway Nutrilite Little Bits</t>
  </si>
  <si>
    <t>Rebecca Feinberg</t>
  </si>
  <si>
    <t>Director of Development</t>
  </si>
  <si>
    <t>rebecca.feinberg@care.org</t>
  </si>
  <si>
    <t>Aliya Firozvi</t>
  </si>
  <si>
    <t>Project Manager, Nutrilite Little Bits</t>
  </si>
  <si>
    <t>afirozvi@care.org</t>
  </si>
  <si>
    <t>CARE and Amway have embarked on a strategic partnership based on the shared goals of helping people live better lives and finding sustainable solutions to hunger and malnutrition. The partnership strives to expand the use of Amway’s Nutrilite Little Bits (NLB) micronutrient product in robust infant and young child feeding (IYCF) programs.</t>
  </si>
  <si>
    <t>Regions within several countries.</t>
  </si>
  <si>
    <t>The main impact group is children 0-5 years old, and young school-aged children above 5 years old.</t>
  </si>
  <si>
    <t>Ecuador</t>
  </si>
  <si>
    <t>Participantes directos&gt; Numero de Trabajadoras del hogar afiliadas a las organizaciones, Numero de tomadores de decision de Gobiernos en 6 paises (Congresistas, Ministros, otros politicos), numero de representantes de organizaciones socias afines a la problematica de los derechos de las trabajadoras del hogar, Numero de influenciadores / lideres de opinion sensibilizados, numero de personas que participan en actividades desarrolladas por con socios y aliados en favor de los derechos de las trabajadoras. Participantes indirectos&gt; Numero de personas (empleadores) sensibilizadas por campañas comunicacionales en favor de los derechos de las trabajadoras, Numero de trabajadoras del hogar sensibilizadas en sus derechos por alcance indirecto de otras trabajadoras del hogar, numero de trabajadoras del hogar que logran tener al menos 1 de 3 indicadores considerados: acceso a contrato de trabajo, acceso a seguridad social, acceso a un salario justo en los 6 paises en los que se desarrolla la iniciativa</t>
  </si>
  <si>
    <t>La gestión del conocimiento y la experiencia adquirida (ver sistematización de la experiencia del Programa Regional de Trabajo Digno 2009-2017), ha permitido avanzar más rápido en la relación con las organizaciones y consolidación de acuerdos de confianza y trabajo conjunto.
Los procesos de formación que impulsamos al considerar a los seres humanos como un todo integral, potencia las capacidades individuales y colectivas y aporta a la conformación de liderazgos de nuevo tipo, que enfrentan desde una práctica distinta, a las prácticas de los sindicatos tradicionales jerárquicos, patriarcales y que invisibilizan el trabajo doméstico.
La necesidad de contar con indicadores de resultado anual para dar cuenta de los logros y resultados de incidencia de manera cuantitativa y cualitativa. Se ha trabajado una matriz de indicadores en este sentido que han sido completados al final del primer año por los 5 paises en los que se ha implementado la iniciative este año. Se han propuesto un conjunto nuevo de indicadores de resultado de incidencia para el año 2 como parte del sistema de MyE escalonado (o en fases) diseñado para la iniciativa. Se propone monitorear estos avances de manera trimestral en el AF18.</t>
  </si>
  <si>
    <t>Mujeres con Voz</t>
  </si>
  <si>
    <t>CFRAEC0015</t>
  </si>
  <si>
    <t>Nubia Zambrano</t>
  </si>
  <si>
    <t>Coordinadora de Programa</t>
  </si>
  <si>
    <t>nubia.zambrano@care.org</t>
  </si>
  <si>
    <t>Catalina Vargas</t>
  </si>
  <si>
    <t>Gerente de Programas y movilización de recursos</t>
  </si>
  <si>
    <t>catalina.vargas@care.org</t>
  </si>
  <si>
    <t>Contribuir al ejercicio de derechos de las mujeres en su diversidad , a la igualdad entre los géneros y a la prevención de las violencias desde su empoderamiento y resiliencia.</t>
  </si>
  <si>
    <t>Nacional, provincias de Imbabura, Pichincha, Esmeraldas, Sucumbios y Chimborazo</t>
  </si>
  <si>
    <t>250 mujeres y jóvenes líderes, lideresas defensores de derechos humanos; 28.000 mujeres y jóvenes pertenecientes a las nacionalidades y pueblos ancestrales:  Awa, Secoya, Cofan, Siona, Shuar, Puruha, Chachi, Karamki, Natabuela, Otavalo,  Kitukara, pueblo afro, mestizo y en movilidad humana.</t>
  </si>
  <si>
    <t>Directos: De las 5 provincias, se escogio 50 lideresas y lideres defensores de derechos humanos y se hizo una estimación de mujeres y jóvenes (28000) de las universidades pertenecientes a las nacionalidades y pueblos ancestrales, pueblo afro, mestizo y en movilidad humana. 
Indirectos: Total de las personas a las cuales se llega a traves de procesos de comunicacion (TV, radio, prensa, etc) provenientes de las diversidades culturales</t>
  </si>
  <si>
    <t>1. Contextualización de rutas para respuesta a la violencia de género.
2. Conformación de Observatorios para politicas publicas referidas a violencia de género.</t>
  </si>
  <si>
    <t>1. Construcción participativa de normativas locales referidas a violencia de género.</t>
  </si>
  <si>
    <t>1. Fortalecer capacidades para construcción de normativas para prevención de la violencia de género.
2. Aportes a nivel nacional para la prevención de la violencia de género.</t>
  </si>
  <si>
    <t>E1. Construccion de Política Publica con la participacion de Organizaciones de la sociedad civil, a nivel local y nacional</t>
  </si>
  <si>
    <t>E2: Formación: Desarrollo de capacidades y prevención de violencias de género</t>
  </si>
  <si>
    <t>E3:  Observatorios: para el control social y rendición de cuentas: Jóvenes hombres y mujeres vinculados con OSC desarrollan e implementan un sistema de veeduría y control social</t>
  </si>
  <si>
    <t>1. Es fundamental que la actoria y base social de las organizaciones de mujeres sean el elemento clave en la construcción de normativas.</t>
  </si>
  <si>
    <t>2. Los procesos de formación on line da alternativas para formación y actualización de lideresas</t>
  </si>
  <si>
    <t>3. Los medios virtuales son importantes en la sensibilización de la violencia de género</t>
  </si>
  <si>
    <t>Propuesta Inicial; Marco logico</t>
  </si>
  <si>
    <t>2016 Ecuador Earthquake Response</t>
  </si>
  <si>
    <t>CA359</t>
  </si>
  <si>
    <t>Gerente de Calidad Programática y Movilización de Recursos</t>
  </si>
  <si>
    <t>Andrés Córdova</t>
  </si>
  <si>
    <t>Coordinador</t>
  </si>
  <si>
    <t>andres.cordova@care.org</t>
  </si>
  <si>
    <t>Responder a las necesidades básicas de las poblaciones afectadas por el terremoto en las ciudades de San Vicente y Jama, Manabí.</t>
  </si>
  <si>
    <t>Provincia de Manabí. Cantones San Vicente y Jama</t>
  </si>
  <si>
    <t>Población  afectada por el terremoto del 16 de abril ubicada en la provincia de Manabí, específicamente en los cantones de Jama, San Vicente</t>
  </si>
  <si>
    <t>Directos: población afectada (mujeres y hombres - adultos y niños) por el terremoto del 16 de abril ubicados específicamente en los cantones de Jama, San Vicente en la provincia de Manabí.
Indirectos: población de los cantones de Jama y San Vicente favorecidos por las acciones del proyecto. el numero total de la poblacion (45278) se ha dividido entre los 5 proyectos de emergencia que se desarrollaron en estos mismos cantones, para evitar doble conteo.</t>
  </si>
  <si>
    <t>Coordinación con otros actcores humanitarios para determinar áreas de intervención y estandarización de kits humanitarios a ser entregados a los participantes.</t>
  </si>
  <si>
    <t>Planificación y participación comunitaria en conjunto con organizaciones de base</t>
  </si>
  <si>
    <t>La importancia de trabajar en alianza y coordinación con otras organizaciones humanitarias presentes en el área de intervención, así como con los Gobiernos Locales.</t>
  </si>
  <si>
    <t>Los kits entrergados fueron elaborados en consenso a través de las Mesas Técnicas de respuesta humanitaria.</t>
  </si>
  <si>
    <t>Es necesario mejorar los mecanismos de rendición de cuentas a los participantes del proyecto.</t>
  </si>
  <si>
    <t xml:space="preserve">La intervención se realizó en base al análisis de las áreas afectadas y las condiciones de vulnerabilidad de las comunidades que sufrieron mayor impacto como consecuencia del terremoto del 16 de Abril de 2016. La asistencia humanitaria proporcionada por CARE fue muy importante para la recuperación de las familias que sufrieron pérdidas importantes luego del evento adverso, entre otras: apoyo psicosocial, techo seguro, colchones, sábanas, mosquiteros, kits de cocina, limpieza e higiene. Estos componentes contribuyeron en absorber el impacto del terremoto (shocks) y en adaptarse a nuevas condiciones de vida en su nuevo entorno. </t>
  </si>
  <si>
    <t>Sistema de monitoreo (base de datos de los beneficiarios/participantes desglosados por sexo y edad de comunidades intervenidas inicialmente) - Matriz de intervención - Registro fotográfico y actas de entrega</t>
  </si>
  <si>
    <t>Augmentation "Fortalecimiento de capacidades locales para la gestión de sistemas de agua y saneamiento en comunidades afectadas por el terremoto provincia de Manabí Ecuador".</t>
  </si>
  <si>
    <t>CDEUEC0006</t>
  </si>
  <si>
    <t>Government - Luxemburg</t>
  </si>
  <si>
    <t>Gerente de Calidad Programática y movilización de recursos</t>
  </si>
  <si>
    <t>Andres Cordova</t>
  </si>
  <si>
    <t>Coordinador Proyecto</t>
  </si>
  <si>
    <t>Analizar los procesos que permitan mejorar la organización y gestión comunitaria en la administración eficiente y sostenible de los sistemas comunitarios de agua potable, fortalecer las capacidades de los operadores/as del agua, que permitan un manejo adecuado y funcionalidad de los sistemas de agua y la calidad del servicio para las familias beneficiarias de los sistemas de agua.</t>
  </si>
  <si>
    <t>Provincia de Manabí, cantones San Vicente, Jama, Chone y Portoviejo.</t>
  </si>
  <si>
    <t>Población afectada por el terremoto del 16 de Abril ubicada en los cantones San Vicente, Jama, Chone y Portoviejo de la Provincia de Manabí.</t>
  </si>
  <si>
    <t>Directos: Total de hombres y mujeres que conforman las 36 Juntas Administradoras de agua en los cantones Jama, San Vicente, Chone y Portoviejo.
Directos por efecto: número de usuarios de las 36 Juntas Administradoras de Agua de los cantones Jama, San Vicente, Chone y Portoviejo.
Indirectos: población de los cantones de Chone, Portoviejo, Jama y San Vicente favorecidos por las acciones del proyecto. para los dos ultimos, el numero total de la poblacion (45278) se ha dividido entre los 5 proyectos de emergencia que se desarrollaron en estos mismos cantones, para evitar doble conteo.</t>
  </si>
  <si>
    <t>Programa de fortalecimiento de capcidades impartido a las 36 JAAPs avalado por CARE y la SENAGUA.</t>
  </si>
  <si>
    <t>Fortalecimiento de capacidades para las Juntas administradoras de agua para toma de desiciones y gestión.
Espacios de encuentro e intercambio de experiencias a nivel nacional de las JAAPS.</t>
  </si>
  <si>
    <t>Se ajusto el número de JAAPs, de 45 inicialmente a 36, porque en el CLUSTER de WASH se coordino con las otras organizaciones de cooperación  y se amplio la cobertura a los cantones Chone y Portoviejo. Se extendió el proyecto de 2 meses por llegar a los objetivos en los procesos organizativos y de fortalecimiento de capacidades con las juntas de agua participantes.</t>
  </si>
  <si>
    <t>Participación de las JAAPs como organizaciones legalmente constituídas y reconocidas por el ente rector la SENAGUA</t>
  </si>
  <si>
    <t>Muchas Juntas Adminsitradoras de Agua, conocen sobre la normativa y han elaborado sus reglamentos internos</t>
  </si>
  <si>
    <t>Estrategia integral desde la rehabillitación del sistema de agua,  hasta el fortalecimiento organizativo de las Juntas Administradoras de Agua.</t>
  </si>
  <si>
    <t>Socialización de las normativas vigentes por parte de la SENAGUA, que permitio la actualizacion de los conocimientos a las juntas de agua, con respecto a la nueva ley de recursos hidricos.</t>
  </si>
  <si>
    <t>Débil estructura organizativa de las JAAPs en los territorios de Manabí.</t>
  </si>
  <si>
    <t>Promover mayor participación de las mujeres en espacios de toma de desición en temas referentes al manejo de Agua.</t>
  </si>
  <si>
    <t>Registros de participantes
Actas de entrega de materiales y heramientas
Informe final
Propuesta</t>
  </si>
  <si>
    <t>Ecuador Earthquake Emergency Wash Assistance</t>
  </si>
  <si>
    <t>DE715</t>
  </si>
  <si>
    <t>WALMEC0001</t>
  </si>
  <si>
    <t>Permitir a las familias afectadas a recuperarse de los efectos del terremoto y reanudar su vida con dignidad.</t>
  </si>
  <si>
    <t>Provincia de Manabí, cantones San Vicente y Jama</t>
  </si>
  <si>
    <t>Población  afectada por el terremoto del 16 de abril ubicada en la provincia de Manabí,  en los cantones de Jama, San Vicente.</t>
  </si>
  <si>
    <t>Fortalecer las capacidades, incidir en las políticas públicas y gestionar el conocimiento desde el género, la interculturalidad, los derechos humanos, lo intergeneracional, para alcanzar cambios resilientes y sostenibles</t>
  </si>
  <si>
    <t>1. Formación a jóvenes, adultos y niños de etnias destinatarias, en enfoques intercultural, diversidad, derechos, género, generacional, diálogo interétnico, ambiente</t>
  </si>
  <si>
    <t>2. Conformación y/o fortalecimiento de “agentes culturales y  de comunicación” de grupos étnicos que permite sistematizar los procesos culturales vividos</t>
  </si>
  <si>
    <t>3.  Organización de “Focos intergeneracionales de rescate y producción cultural” (intercambios, concursos, eventos públicos, diseño gráfico, diálogo intercultural y generacional)</t>
  </si>
  <si>
    <t>1. Impulso a elaboración/divulgación de productos culturales en etnias que rescaten y prestigien sus culturas (costumbrismos, espiritualidad, imaginarios, música, comics, poesía, programas radiales, radio-teatro, producción audiovisual, otros)</t>
  </si>
  <si>
    <t>2. Manejo de redes sociales para el intercambio y diálogo interétnico es de amplia difusión</t>
  </si>
  <si>
    <t>3. El sustento más importante para incidencia son las  investigaciones de patrones culturales de cada etnia, con enfoque generacional, derechos y de género</t>
  </si>
  <si>
    <t>IPIA; Propuesta Inicial; Informes intermedio y final; Investigaciones sobre temas culturales e identitarios publicadas; Modelo de intervención sistematizado y publicado</t>
  </si>
  <si>
    <t>POOL Alemania (REACTIVACIÓN ECONOMICA DESDE LA ACTORIA DE LAS MUJERES PRODUCTORAS-EMPRENDEDORAS DE MANABÍ)</t>
  </si>
  <si>
    <t>CDEUEC0005</t>
  </si>
  <si>
    <t>Reactivar la economia de los territorios afectados por el terremoto, fortaleciendo el trabajo de mujeres productoras / emprendedoras en procesos ligados a la cadena de valor de turismo.</t>
  </si>
  <si>
    <t>Provincia de Manabí, canton San Vicente.</t>
  </si>
  <si>
    <t>Población afectada por el terremoto del 16 de Abril ubicada en los canton San Vicente, Provincia de Manabí.</t>
  </si>
  <si>
    <t>Directos: total de hombres y mujeres que conforman las 3 asociaciones de productoras y/o emprendedoras del cantón San Vicente.
Indirectos:Las 3 asociaciones en 10 comunidades, en las cuales se desarrolla la actividad economica de las asociaciones participantes. Toda la comunidad es tomada en cuenta ya que recibe algun beneficio de la actividad economica de las asociaciones (compra de insumos, ingresos generados gastados dentro de la comunidad, etc.)</t>
  </si>
  <si>
    <t>Se establecio un modelo de gestión de las asociaciones de productoras con el Gobierno Autonomo descentralizado de San Vicente.
Fortalecio las capacidades en temas de comercialización y emprendimientos con las asociaciones de productoras, ademas de proporcionarles equipos e insumos para su actividad económica.</t>
  </si>
  <si>
    <t>Fortalecimiento de capacidades para las asociaciones de mujeres productoras y/o emprendedoras del cantón para mejorar su gestión en temas de empoderamiento, emprendimiento y comercialización.</t>
  </si>
  <si>
    <t>Por el proceso de respuesta a la emergencia, el accionar en la recuperación de los medios de vida estuvo tardía. Se esperó varios meses para poder implementar acciones en desarrollo economico local, por lo que el proyecto se amplió de 5 meses para cumplir con los objetivos.</t>
  </si>
  <si>
    <t>Realización de modelos de gestión con enfoque a mediano plazo construido con las mujeres que conforman las Asociaciónes, los cuales ayudan a mejorar sus actividades e implementar nuevas acciones de emprendimiento.</t>
  </si>
  <si>
    <t>Involucramiento directo del GAD de San Vicente en los procesos productivos con un enfoque fuerte hacia el emprendimiento de mujeres campesinas afectadas por el terremotpo del 16A.</t>
  </si>
  <si>
    <t>Contraparte del GAD de San Vicente en todos los procesos desde la legalización de las asociaciones hasta la comeraciliazación, basada en la ordenaza de economia popular y solidaria del cantón.</t>
  </si>
  <si>
    <t>Promover espacios de comercialización mas equitativos que apoyen a los pequeños y pequeñas productores del cantón.</t>
  </si>
  <si>
    <t>Trabajo en asocio con el GAD local que fomenta el empoderamiento y sostenibilidad de las acciones.</t>
  </si>
  <si>
    <t>Fortalecer los procesos de seguimiento y monitoreo  de capacidades adquiridas por las asociaciones de mujeres productoras.</t>
  </si>
  <si>
    <t>El proceso de reactivación economica de las zonas afectadas por el terremoto del 16A es un trabajo a mediano plazo que necesita un tiempo coherente para poder evaluar los impactos.</t>
  </si>
  <si>
    <t>Registros de participantes
Actas de entrega de materiales, heramientas e insumos
Informe final
IPIA</t>
  </si>
  <si>
    <t>ADAPTACION AL CAMBIO CLIMATICO DE POBLACIONES ANDINAS, MEDIANTE EL  MANEJO, CONSERVACIÓN Y RESTAURACIÓN DE PÁRAMOS</t>
  </si>
  <si>
    <t>FR747</t>
  </si>
  <si>
    <t>COORDINADOR</t>
  </si>
  <si>
    <t>Reducir la vulnerabilidad de las comunidades ubicadas en los páramos alto andinos  de las parroquias de Tupigachi y Tabacundo, del catón Pedro Moncayo,  frente a los impactos del cambio climático en sus medios de vida.</t>
  </si>
  <si>
    <t>Provincia de Pichincha, Cantón Pedro Moncayo, Parroquias de Tupigachi y Tabacundo</t>
  </si>
  <si>
    <t>Mujeres productoras y productores agropecuarios del cantón Pedro Moncayo</t>
  </si>
  <si>
    <t>Directos: Son las 200 familias (5 miembros de promedio) que participan en el programa de agricultura sostenible de altura, implementado por el GAD de Pedro Moncayo. Actores de gobernalibidad: 2 alcaldes: Pedro Moncayo y Otavalo; 2 presidentes de juntas parroquiales: Tupigachi y La Esperanza; 1 jefe politico de Pedro Moncayo; 3 concejales de Pedro Moncayo; 4 tenientes politicos de las 4 parroquias
Directos por efecto: 400 familias (5 miembros de promedio) de las 4 parroquias
Indirectos: toda la población de las 5 parroquias del canton. Para este FY, se tomó en cuenta el 40% de la población del cantón (14000)</t>
  </si>
  <si>
    <t>Evaluacion interna (no requerido por el donante) de avances en los procesos y resultados. La metodologia aun esta por definirse.</t>
  </si>
  <si>
    <t>Programa de capacitación cantonal en agroecología; fortalecimiento de capacidades de brigadistas forestales para la prevención, control y combate de incendios forestales; alternativas de comercialización solidarias con procesos de emprendimientos locales que fortalezcan las dinámicas económicas de la zona.</t>
  </si>
  <si>
    <t>Establecimiento de modelo de gestión territorial con el GAD de Pedro Moncayo, Declaratoria del Area Protegida de Mojanda, Creación del Fondo de Agua</t>
  </si>
  <si>
    <t>1)Campañas de sencibilización y conciención a la población para la Declaratoria del Area de conservación de Uso Sustentable Mojanda, 2)Capacitación a Brigadistas forestales para la prevención, control y combate de incendios forestales, y conformacion de la mesa de seguridad cantonal para incidir a nivel politica y financiero con el gobierno local</t>
  </si>
  <si>
    <t>Programa de Capacitación en Agroecología con la participación de hombres y mujeres de las Parroquias de Tabacundo y Tupigachi</t>
  </si>
  <si>
    <t>Involucramiento y participación  de los propietarios, dirigentes comunitarios en la limitación de la frontera agrícola en las parroquias de Tabacundo y Tupigachi</t>
  </si>
  <si>
    <t>Capacitar a brigadistas forestales para la prevención, control y combate de incendios forestales</t>
  </si>
  <si>
    <t>La conformación de una mesa técnica para la implementación del proceso y replica de capacitación a brigadistas forestales</t>
  </si>
  <si>
    <t>Conocer en insitu la realidad del crecimiento de la frontera agrícola y la construcción de propuestas desde los y las propietarios en coordinación con el Gad Municipal de Pedro Moncayo</t>
  </si>
  <si>
    <t>Inclusión en el equipo técnico de la Escuela Cantonal de Agroecología para la reorganización metodologica del Programa de Capacitación.</t>
  </si>
  <si>
    <t>Diagnóstico/Linea Base
Informe Anual
Registros de actividades y participantes
Actas de entrega de materiales
Actas de reuniones</t>
  </si>
  <si>
    <t>Autonomía social y económica de mujeres indígenas, afrodescendientes y mestizas en situación de pobreza y vulnerabilidad</t>
  </si>
  <si>
    <t>CFRAEC0002</t>
  </si>
  <si>
    <t>Gerente de programas y de movilización de recursos</t>
  </si>
  <si>
    <t>Contribuir al buen vivir de mujeres indígenas, afrodescendientes y mestizas en situación de pobreza y vulnerabilidad a partir del fomento de actividades generadoras de ingresos y el desarrollo de negocios inclusivos y de cadenas de valor.</t>
  </si>
  <si>
    <t>Provincia de Pichincha: cantones Pedro Moncayo y Cayambe; provincia de Imbabura: cantones Otavalo, Cotacachi, Antonioo Ante, Ibarra, Pimampiro, Urcuquí; provincia del Carchi: cantón Mira.</t>
  </si>
  <si>
    <t>Mujeres jefas de hogar vinculadas a cadenas de valor.</t>
  </si>
  <si>
    <t>Directos: miembros de las 17 aosciaciones que recibieron capacitaciones y realizaron procesos de replicas con sus socios directos
Indirectos: poblacion de las parroquias beneficiadas por las politicas publicas validadas y aprobadas. 18.500 familias del: Cantón cotacachi (Parroquia San Francisco, Garcia Moreno, Plaza Gutierres, Vacas Galindo, Apuela, Peñaherrera, Quiroga, Imantag, Cuellaje) Cantón Ibarra (Parroquia Salinas), Canton Cayambe (Parroquia  Cangahua, Olmedo, Otón, Cusubamba), Canton Urcuqui (Parroquia Cahuasqui), Cantón Antonio Ante (Parroquia San Roque, Chaltura, Natabuela).</t>
  </si>
  <si>
    <t>Formacion de 14 organizaciones dentro de 4 cadenas de valores a traves de fortalecimento de capacidades de sus miembros, concientizacion y fortalcimiento de las estructuras existentes; Inovación productiva a través del vinculo entre la universidad y productores locales (sistemas de recuperacion de agua)</t>
  </si>
  <si>
    <t>El programa de formacion del proyecto se articula en los derechos de las mujeres, sus derechos respecto al agua, tierra, agrobiodiversidad y la microfinanzas y educacion financiera</t>
  </si>
  <si>
    <t>La combinacion de la formacion en derechos con la tecnica financiera fomenta la participacion y el dialogo, orientado a una mejor organizacion de las empresas y un mayor reconocimiento social de las mujeres en el hogar y en la comunidad</t>
  </si>
  <si>
    <t>Para fomentar las iniciativas dentro de las 4 cadenas de valores, varias alianzas estrategicas fueron desarrolladas con actores del mercado y responsables del marketing asociativo</t>
  </si>
  <si>
    <t>El fortalecimiento de las directivas de las empresas encabezadas por mujeres y el desarrollo de capacidades para influir en las políticas públicas de desarrollo productivo contribuyen para que estas políticas consideren el enfoque cultural y de género, y alienta la promoción de actividades productivas dentro la esfera pública con los actores sociales</t>
  </si>
  <si>
    <t>Las iniciativas de apoyo a las cadenas de valor requieren un trabajo en asocio con diversos actores (sector privado, organizaciones pares, sector público) para formar espacios de diálogo, establecer acuerdos concretos, y desarrollar planes de trabajo que se traducen en compromisos entre las partes interesadas, promoviendo la institucionalización de los procesos.</t>
  </si>
  <si>
    <t>El fortalecimiento de la capacidad técnica y de gestión de las organizaciones, cuyo objetivo es prevenir la dependencia y lograr la mejora de la autonomía social y económica de las mujeres productoras, requieren estrategias combinadas de intercambio de conocimientos y experiencias, aprendizaje práctico y consolidación de conocimientos.</t>
  </si>
  <si>
    <t>Las solicitudes de fortalecimiento de capacidad son constantes, y cambiando con el contexto. Es por esto que es muy importante que las organizaciones pueden transmitir los conocimientos y prácticas adquiridos. Es esencial promover directivas con esta capacidad. Asociadas a un soporte técnico, serán capaces de asegurar la sostenibilidad de los procesos</t>
  </si>
  <si>
    <t>Propuesta Inicial; Informe final; Evaluacion del Proyecto</t>
  </si>
  <si>
    <t>Democratización, Derechos y Diálogo Intercultural para la Inclusión Étnica en Áreas de Frontera Norte del Ecuador</t>
  </si>
  <si>
    <t>CFRAE0004</t>
  </si>
  <si>
    <t>Nubia Zambrano Mendoza</t>
  </si>
  <si>
    <t>Contribuir al fortalecimiento de procesos orientados a superar la opresión étnica y de género en indígenas y afrodescendientes, apoyando la cultura y la comunicación y los derechos como condición de los procesos de democratización, revalorización de la diversidad e interculturalidad y desarrollo socioeconómico</t>
  </si>
  <si>
    <t>Sucumbios, Pichincha, Esmeraldas, Carchi, Imbabura</t>
  </si>
  <si>
    <t>Poblaciones afrodescendientes, awás e indígenas kichwas de la sierra y de amazonía ubicadas en las provincias del norte del Ecuador.</t>
  </si>
  <si>
    <t>Directos: Indígenas: Awá (1.630), provincias Carchi, Esmeraldas e Imbabura. Kichwas de la sierra (2.445), provincia Imbabura. Kichwas amazónicos (815), Provincia Sucumbíos. Afrodescendiente (3.260), provincias  Carchi, Esmeraldas, Imbabura y área urbana marginal de Quito.
Indirectos: Espectro amplio de grupos étnicos destinatarios; habitantes ecuatorianos y colombianos de la frontera norte, sociedad civil, personal de entidades públicas. Total: 37.966 personas. 
Agregamos en la parte de indirectos del FY por la aprobación de ordenanza del cantón de Mira: 13.364 indirectos (población total del cantón) y la ordenanza del cantón Sucumbios: 176.472  (población total del cantón). Además, en los cantones dónde no se ha aprobado aún las ordenanzas, contabilizamos la cobertura (según la población beneficiada por cada ordenanza) de las agendas politicas de mújeres: Cotacachi (población feminina total del cantón 19,996); Ibarra (7% mujeres del canton 6,537); Carchi (7% mujeres del canton 5835); Pichincha (7% mujeres del canton 92,440); Ibarra (población total del canton 181,175)</t>
  </si>
  <si>
    <t>Visibilizacion del papel determinante de la cultura, la identidad cultural y el diálogo intercultural en la construcción de una sociedad verdaderamente plurinacional e intercultural, basada en el reconocimiento de las diversidades de pueblos y nacionalidades y el ejercicio efectivo de sus derechos individuales y colectivos.</t>
  </si>
  <si>
    <t>En el ámbito institucional, se creó un modelo que recopila numerosas experiencias y busca convertirlas en lecciones aprendidas. A su vez, formularlas dentro de una metodología de procesos que evidencie sus efectos en la equidad de las relaciones de poder. En ese sentido, es una herramienta necesaria para generar procesos de réplicas a escala provincial y nacional, que garanticen la efectividad de iniciativas similares</t>
  </si>
  <si>
    <t>Resiliencia desde la Educación</t>
  </si>
  <si>
    <t>CFRAEC0014</t>
  </si>
  <si>
    <t>Contribuir en la respuesta al terremoto garantizando el acceso a agua, con un enfoque de defensa de derechos, en escuelas de la zona de Esmeraldas.</t>
  </si>
  <si>
    <t>Provincia de Esmeraldas, cantón Muisne.</t>
  </si>
  <si>
    <t>Niñas, niños, familias y docentes de las Unidades Educativas de Canton Muisne.</t>
  </si>
  <si>
    <t>Directos: NNA, familias y docentes de centros educativos de comunidades afectadas por el terremoto del Canton Muisne.</t>
  </si>
  <si>
    <t>1. Abordar desde la cultura (música, danza, tradicion oral) el apoyo psicosocial en respuesta al terremoto.</t>
  </si>
  <si>
    <t>1. Diseño de proceso metodologico para talleres de sensibilización a familias, en respuestas a terremoto: manual de familia para replicas a otros territorios entregado al distrito de educación</t>
  </si>
  <si>
    <t>1. Construcción participativa (mingas) de espacios recreativos con materiales reciclados para los centros educativos
2. Fortalecimiento identitario desde la valoración de los saberes ancestrales.</t>
  </si>
  <si>
    <t>1. Respuesta post emergencias desde las expresiones culturales para encontrar un equilibrio comunitario</t>
  </si>
  <si>
    <t>2. El abordamiento integral (restauracion baterias sanitarias, dotacion de agua segura, capacitacion maestros, sensibilizacion familias, construccion de espacios recreativos para NNA) permitió un accionar en las ejes claves de las comunidades</t>
  </si>
  <si>
    <t xml:space="preserve">3. Los espacios recreativos y ludicos fortalecen el desarrollo integral </t>
  </si>
  <si>
    <t>Marco logico; Propuesta; Informe intermedio y final; Manual de familia y libros de cuentos infantiles</t>
  </si>
  <si>
    <t>Construyendo resiliencia en gestión del riesgo de desastres en barrios peri-urbanos y comunidades rurales de Manabí y Esmeraldas</t>
  </si>
  <si>
    <t>CNLDEC0008</t>
  </si>
  <si>
    <t>Gerente de Calidad Porgramática y Movilización y Recursos</t>
  </si>
  <si>
    <t>Xavier Muenala</t>
  </si>
  <si>
    <t>Coordinador de Programa</t>
  </si>
  <si>
    <t>xavier.muenala@care.org</t>
  </si>
  <si>
    <t>Contribuir a una sociedad civil resiliente en gestión del riesgo de desastres con enfoque en derechos, protección y género</t>
  </si>
  <si>
    <t>Provincia de Manabí: Municipios de Portoviejo, San Vicente y Jama
Provincia de Esmeraldas: Municipio de Muisne</t>
  </si>
  <si>
    <t>Población local: hombres, mujeres, niños, niñas y adolescentes viviendo en zonas de riesgo ante inundaciones, deslizamiento, terremotos o tsunamis. Incluye población mestiza, afro-descendiente y montubios.</t>
  </si>
  <si>
    <t>Población local: hombres, mujeres, niños, niñas y adolescentes viviendo en zonas de riesgo ante inundaciones, deslizamiento, terremotos o tsunamis. Incluye población mestiza, afro-descendiente y montubios.
Los datos de la población beneficiaria fueron calculados en base a estimaciones de número de población en los cantones y parroquias donde interviene el proyecto, en base a la proyección del Censo de Población y Vivienda del año 2010.</t>
  </si>
  <si>
    <t>Evaluación Intermedia</t>
  </si>
  <si>
    <t>Firma de Convenios de Cooperación con Municipios</t>
  </si>
  <si>
    <t>Luego de la soclialización del proyecto a los Gobiernos Locales, fue evidente la necesidad de fortalecer las estructuras municipales de Gestión de Riesgos de Desastres</t>
  </si>
  <si>
    <t>Se abordará la resiliencia de la población de impacto desde las vertientes social, individual, afectiva y económica. La resiliencia en la gestión de riesgos será vista además como la capacidad para enfrentar las adversidades de manera creativa y proactiva. Las acciones considerarán la elaboración de un Plan Operativo Anual cuya supervisión general es responsabilidad de CARE. Para ello, se realizarán reuniones de seguimiento mensuales complementando las acciones de seguimiento establecidas. Las reuniones de seguimiento incluirán la revisión técnica y presupuestaria. De conformidad con los sistemas y políticas de gestión de CARE, se llevarán a cabo procesos de control técnico, administrativo y financiero para garantizar la calidad y transparencia de la intervención. Estos componentes se enmarcan dentro de los siguiente ámbitos del marco de Gobernabilidad: Ciudadanos empoderados y organizados; y Espacios de negociación efectivos e inclusivos. Está acción parte de un análisis de vulnerabilidad y particularmente (como punto de partida) la capacidad demostrada en la respuesta al terremoto del 16 de Abril por parte de actores sociales, ya sea de manera individual y/o colectiva, para resistir, absorber, adaptarse y recuperarse de sus efectos de manera oportuna y eficaz, lo que incluye la preservación y la restauración de sus estructuras y medios de vida. En base a los aprendizajes identificados esta iniciativa trabajará para que barrios y comunidades cuenten con los recursos cognitivos y materiales necesarios para organizarse tanto antes como durante los momentos apremiantes que se generan en la preparación y respuesta para la gestión de riesgos. Es decir, que estén en mejores condiciones para absorber el impacto de un evento adverso/crisis y, posteriormente, de poder adaptarse a condiciones cambiantes  e intentar retomar sus condiciones normales de vida. Durante el período de implementación, CARE realizará procesos de rendición de cuentas (avances, logros, dificultades y presupuesto destinado) sobre los componentes más relevantes del proyecto, tanto a nivel comunitario como institucional. Esto se hará a través de mecanismos de retroalimentación, a nivel comunitario, centros educativos y GADs municipales beneficiarios del proyecto.</t>
  </si>
  <si>
    <t>Como documentos de soporte del proyecto se cuenta con la siguiente información: Propuesta del proyecto (Single Form de ECHO), Workplan, IPIA con CARE Holanda</t>
  </si>
  <si>
    <t>UNRTGB0076</t>
  </si>
  <si>
    <t>Loja, Zamora-Chinchipe, El Oro, Imbabura and Carchi.</t>
  </si>
  <si>
    <t>Women and men with existing income-generating activities who are excluded from the formal financial sector. The main impact groups are individuals engaged insmall-scale farming, animal husbandry and petty trading.</t>
  </si>
  <si>
    <t>Direct participants are those who received a loan to invest in their business from Lendwithcare lenders in FY17.
Indirect participants have been calculated by adding up all of the dependents of the entrepreneurs who received a loan in FY17 and the people who have been employed in their businesses. We are not able to disaggregate the data for indirect participants by female and male, so I have used the ratio of 49:51 that is in the CIA World Factbook for Ecuador https://www.cia.gov/library/publications/the-world-factbook/geos/ec.html 
This is an on-going project so I have given the numbers of participants just in this FY as there is no end date to the project.</t>
  </si>
  <si>
    <t>Microfinance was used as the strategy to meet our Financial Inclusion and WEE objectives.</t>
  </si>
  <si>
    <t>Peer-to-peer lending was used as the strategy to raise loan capital for the project's participants.</t>
  </si>
  <si>
    <t>Our partners in Ecuador are subject to a 5% tax on all transfers out of the country. This adds significant cost to them as we often require repayments on the loan capital we have raised for them.</t>
  </si>
  <si>
    <t>Due to the interest free capital one of our partner's receives, they have reduced their interest rates for lendwithcare funded entrepreneurs.</t>
  </si>
  <si>
    <t>The interest free capital has also allowed one of our partners in Ecuador to focus on promoting financial inclusion in the poorest areas and among the most vulnerable groups and extend the non-financial services it offers, such a campaigning against domestic violence and the development of affordable health insurance.</t>
  </si>
  <si>
    <t>This is an on-going project so we do not have a budget for the lifetime of the project. The number we have reported is how much loan capital was raised through the Lendwithcare platform for Ecuador in FY17.
Lendwithcare does not use gender, resilience or governance scorecards as part of its programming so we have had to answer no to all the questions related to these. However, an outcome of 'harmful' (particularly with regards to women's empowerment and gender equality) seems in accurate since this initiatve focuses heavily on Women's Economic Empowerment, with 54% beneficiaries that are female.</t>
  </si>
  <si>
    <t>WOMAN</t>
  </si>
  <si>
    <t>US1R5</t>
  </si>
  <si>
    <t>Johanna Aguirre</t>
  </si>
  <si>
    <t>Tecnica Proyecto</t>
  </si>
  <si>
    <t>johanna.aguirre@care.org</t>
  </si>
  <si>
    <t xml:space="preserve">Promover la actoría de las mujeres indígenas, afroecuatorianas y refugiadas sobrevivientes de violencia en la construcción de normativas nacionales que garanticen sus derechos. </t>
  </si>
  <si>
    <t>Ecuador, en las provincias de Pichincha, Carchi, Sucumbios, Esmeraldas e Imbabura.</t>
  </si>
  <si>
    <t>a) 3.000 mujeres indígenas, afroecuatorianas y refugiadas, en Pichincha, Imbabura y Sucumbíos;
b) 200 funcionarios/as de la asamblea, gobiernos autónomos descentralizados, operadores/as de justicia y funcionarios/as de entidades de Gobierno vinculadas con los derechos de las mujeres.</t>
  </si>
  <si>
    <t>Directos: Son niñas, adolescentes y mujeres que participen en procesos de formación, en talleres de sensibilización y de construcción de normativas a nivel local.
Indirectos: Población cantonal de mújeres que se beneficien de normativas locales y de campañas de sensibilización a traves de medios de comunicación, redes virtuales.</t>
  </si>
  <si>
    <t>Construcción de politicas publicas para la prevención de la violencia de género</t>
  </si>
  <si>
    <t>Desarrollo desde una coparticipación de gobiernos locales, consejos de proteccion de derechos y organización de mujeres, para la construción de normativas a nivel local</t>
  </si>
  <si>
    <t>Formación de lideresas y sociedad civil en la normativa y marco conceptual para prevención de violencia de género.</t>
  </si>
  <si>
    <t xml:space="preserve">A) Consolidar a nivel local los procesos organizativos de mujeres indígenas, afroecuatorianas y refugiadas sobrevivientes de violencia. </t>
  </si>
  <si>
    <t>B) Promover la implementación de normativas aprobadas a nivel local en las provincias de Pichincha, Imbabura y Sucumbíos.</t>
  </si>
  <si>
    <t>C) Desarrollar procesos de investigación participativa que den insumos para la incidencia en la toma de decisiones en torno a las normativas locales y nacionales a favor de los derechos de las mujeres refugiadas.</t>
  </si>
  <si>
    <t xml:space="preserve">1. La urgencia de contar con una normativa nacional para la prevención de la violencia de género dados los indicadores de violencia. </t>
  </si>
  <si>
    <t>2. Construcción conjunta con organizaciones de mujeres de normativas locales</t>
  </si>
  <si>
    <t>3. La formación ONLINE genera un proceso profundo de cambio de actitudes y comportamientos</t>
  </si>
  <si>
    <t>Marco lógico; PAL; 2 Informe intermedios; Investigacion sobre los derechos de las mujeres en las provincias de intervencion</t>
  </si>
  <si>
    <t>Adquisición y distribución de kits de alojamiento de emergencia a 1000 hogares en San Vicente y Jama.</t>
  </si>
  <si>
    <t>US1PI</t>
  </si>
  <si>
    <t>Adquisición y distribución de kits de aojamiento de emergencia a 1000 hogares en sitios urbanos y rurales de  los cantones de  San Vicente y Jama.</t>
  </si>
  <si>
    <t>Todas las intervenciones en el marco de la asistencia humanitaria por el terremoto del 16 de abril, incluyeron componentes de reducción de riesgo de desastres, promoviendo medidas de prevención en caso de nuevos eventos y brindando mensajes de sensibilización que buscan generar actitudes resilientes en la sociedad afectada.  El proyecto contribuyó indirectamente en la recuperación de activos al entregar artículos no alimentarios (carretillas, palas, colchones). El ahorro de dinero en estos artículos permite a los participantes (beneficiarios afectados por el terremoto) a destinar parte de ese dinero en la recuperación de sus actividades productivas. Esto contribuyó a la adaptación de nuevas condiciones y a absorber el impacto del shock causado por el terremoto.</t>
  </si>
  <si>
    <t>Como soporte a la intervención se cuentan con los siguientes documentos: Propuesta del proyecto, informes y actas de entrega-recepción de la asistencia suministraba a los participantes/beneficiarios.</t>
  </si>
  <si>
    <t>Programa l “Redoblando Esfuerzos por Ecuador ”</t>
  </si>
  <si>
    <t>KALFEC0001</t>
  </si>
  <si>
    <t>Contribuir con el diseño y la entrega de materiales del proyecto  que, posterior a su instalación, permita a los habitantes del proyecto Ceibo Renacer Si Vivienda de la ciudad de Manta, contar con un sistema de agua potable y alcantarillado, además de un sistema de tratamiento de aguas servidas en óptimo estado.</t>
  </si>
  <si>
    <t>Provincia de Manabí, canton Manta</t>
  </si>
  <si>
    <t>Población afectada por el terremoto del 16 de Abril ubicada en el cantón Manta, Provincia de Manabí.</t>
  </si>
  <si>
    <t>Directos: total de la población que actuamente se encuentra en los terrenos de Si Vivienda urbanización CEIBOS RENACER la cual esta proyectada para 255 familias y actualmente se encuentran 199 familias.
Indirectos: no existe en esta iniciativa ya que es un beneficio directo para la población ubicada en este sitio.</t>
  </si>
  <si>
    <t>Se implemento un sistema de saneamiento mediante biodigestores muy innovadores para los territorios con una vida util de 20 años.</t>
  </si>
  <si>
    <t>Se implemento un  sistema de saneamiento y manejo de agua residuales, mediante biodigestores probado por el donante Mexichem en otros paises.</t>
  </si>
  <si>
    <t>Se fortalecieron las capacidades de la población de Ceibos Renacer en procesos organizativos, gestión, derechos y convivencia.</t>
  </si>
  <si>
    <t>En el trascurso del año se ajusto algunos procesos del proyecto para la implementación del sistema de agua potable y saneamiento con el apoyo de la Empresa Publica Municipal de Agua Potable EPAM.</t>
  </si>
  <si>
    <t>El proceso de articulación público privado entre la EPAM, Municipio de Manta y la Empresa Mexichem.</t>
  </si>
  <si>
    <t>Procesos organizativos de las familias de CEIBOS RENACER, para la implementación de manual de convivencia.</t>
  </si>
  <si>
    <t>Trabajo de sensibilización en temas de género, emprendimiento, higiene y control de vectores para prevenir el Zika.</t>
  </si>
  <si>
    <t>Estabelcer un mayor seguimiento a los compromisos asumidos por los GADs y empresas públicas para cumplir con los tiempos del proyecto.</t>
  </si>
  <si>
    <t>Mejorar la implementación del manual de convivencia que contemple los enfoques de no discriminación, género y resiliencia.</t>
  </si>
  <si>
    <t>Las actividades prácticas (Mingas, giras, etc.)para el control y prevención de Zika fueron muy acogidas por la población.</t>
  </si>
  <si>
    <t>Este es un proyecto novedoso donde CARE trabaja esclusivamente a través de socios, por ende los procesos de seguimiento y cumplimiento de acuerdos debe ser mucho mas estricto.  
Aunque pusimos una prorroga arriba, no existe una duracion limite en la ejecucion de las actividades sino en la parte financiera.</t>
  </si>
  <si>
    <t>Registros de participantes talleres
Actas de entrega de materiales.
Manual de convivencia
Informe parcial</t>
  </si>
  <si>
    <t>PROGRAMA WASH EN ESCUELAS AFECTADAS POR EL SISMO EN LA PROVINCIA DE MANABÍ</t>
  </si>
  <si>
    <t>UNCFEC0003</t>
  </si>
  <si>
    <t>Mejorar el acceso a agua segura, saneamiento e higiene, conocimientos de control de vectores de al menos 6.000 individuos de los cantones Jama, San Vicente, Chone y Sucre Provincia de Manabí.</t>
  </si>
  <si>
    <t>Provincia de Manabí, cantones Jama, San Vicente, Chone y Sucre.</t>
  </si>
  <si>
    <t>Población afectada por el terremoto del 16 de Abril ubicada en los cantones de Jama, San Vicente, Chone y Sucre de la Provincia de Manabí.</t>
  </si>
  <si>
    <t>Los participantes directos es el total de los estudiantes (niño-niñas) y docentes de las intervenciones realizadas.
Los participantes indirectos se los calculo con el numero promedio (3,7) de miembros de las familias de los estudiantes que fueron capacitados en las campañas de higiene, prevención y control de vectores, a su vez reproducidos en casa.</t>
  </si>
  <si>
    <t>Mejora y rehabilitación de baterias sanitarias escolares mediante procesos y modelos de CARE implementados en otros territorios.
Procesos de sensibilización mediante campañas de educación sanitaria con temas de higiene y control de vectores de manera lúdica y practica.</t>
  </si>
  <si>
    <t>Existio una ampliación de tiempo (1 mes) por varias razones: la presencia de fuertes lluvias en la zona que impidieron el normal desenvolvimiento de las acciones; las negociaciones de rehabilitacion con los actores locales.</t>
  </si>
  <si>
    <t>La participación inclusiva de hombres, mujeres, niños y niñas en talleres y acciones (mingas, control de vectores).</t>
  </si>
  <si>
    <t>Metodologias ludicas y practicas en temas de higiene y control de vectores</t>
  </si>
  <si>
    <t>Modelos de infrestructura para baterias sanitarias escolares (aprobados por CARE en otros proyectos).</t>
  </si>
  <si>
    <t>La rehabilitación completa de baterias necesita mantenimiento de las mismas en continuidad del proyecto para que su vida util se alarge.</t>
  </si>
  <si>
    <t>Reforzar los procesos con el personal docente y estudiantes para fortalecer sus conocimientos en temas de higiene, prevención y control de vectores con respecto al Zika. no se tuvo el suficiente tiempo para esta actividad.</t>
  </si>
  <si>
    <t>Necesidad de mayor involucramiento de los gobiernos seccionales en procesos de educación y control de vectores.</t>
  </si>
  <si>
    <t>Registros de participantes
Actas de entrega de baterias rehabilitadas
Informe final
Propuesta inicial</t>
  </si>
  <si>
    <t>Proyecto de Recuperación Temprana Implementación de Plantas de purificación de agua en tres sitios afectados por el terremoto 16.A, en los cantones San Vicente y Jama</t>
  </si>
  <si>
    <t>COKEEC0004</t>
  </si>
  <si>
    <t>Catalina.Vargas@care.org</t>
  </si>
  <si>
    <t>Andres.cordova@care.org</t>
  </si>
  <si>
    <t>Establecer los procesos de sostenibilidad social y técnica de  las plantas de purificación de agua potable implementadas en 4 sistemas comunitarios de agua del área de intervención que incluye los cantones de: San Vicente y Jama</t>
  </si>
  <si>
    <t>Población afectada por el terremoto del 16 de Abril ubicada en los cantones San Vicente y Jama de la Provincia de Manabí.</t>
  </si>
  <si>
    <t>Directos: Total de la población urbana de Jama centro, población de la comunidad de Tabuga y los pobladores de la comunidad de San Felipe, pertenecientes al cantón San Vicente.
Indirectos: Población total del cantón Jama (Menos los beneficiarios directpos de Jama centro y Tabuga) y la población urbana de San Vicente.</t>
  </si>
  <si>
    <t>Modelo de gestión implementado con participación de los actores locales y el compromiso político de los GADs de Jama y San Vicente.</t>
  </si>
  <si>
    <t>Implementación de Planta purificadora de agua en sitios vulnerables con uso eficientes de energia solar y modelo de gestión participativo y sostenible.</t>
  </si>
  <si>
    <t>Se implemento 3 plantas de purificación de agua validada por el grupo corporativo Coca-Cola, en otros paises del mundo.</t>
  </si>
  <si>
    <t>Conformación de 3 espacios de gestión y manejo de Plantas purificadoras de agua, basadas en un modelo de gestión público/social, que de sustento a la veeduría ciudadana y al enfoque de inclusión de CARE.</t>
  </si>
  <si>
    <t>De acuerdo al area de intervención de CARE en el proceso de respuesta a la emergencia, incialmente se planificó la implementación en 4 cantones (Jama, San Vicente, Portoviejo, Manta). Por la alta vulnerabilidad en calidad y acceso al agua, se decidió la implementacion de las 4 Plantas de purificación solo en en los dos primeros cantones.</t>
  </si>
  <si>
    <t>Se llevo a cabo un proceso participativo de modelos de gestión para las plantas purificadoras de agua, con procesos de veeduría y decisión equitativos.</t>
  </si>
  <si>
    <t>Involucramiento de las comunidades y los Gobiernos locales desde la selección de los sitios, implementación, manejo y sostenibilidad de las plantas de purificación de agua.</t>
  </si>
  <si>
    <t>Elaboración de herramientas didácticas para el manejo y mantenimento de las plantas de purificación de agua.</t>
  </si>
  <si>
    <t>Identificar sitios en los cuales el abastecimiento de agua sea constante para evitar daños en las plantas de tratamiento.</t>
  </si>
  <si>
    <t>Hacer análisis completos de la calidad del agua antes de tener un proceso de distribución, para verificar el correcto funcionamiento de las plantas.</t>
  </si>
  <si>
    <t>Procurar mantener protocolos de almacenamiento y purificación de agua estrictos con los operadores locales.</t>
  </si>
  <si>
    <t>Es clave dar continuidad a los procesos sociales, ya que son dinámicos y cambiantes de acuerdos a las epocas. Este tema ha sido delegado a las autoridades locales (Gobiernos seccionales), para que lo puedan ir monitoreando en el tiempo de implementación.</t>
  </si>
  <si>
    <t>Registros de participantes talleres
Actas de entrega de materiales, heramientas e insumos.
Modelos de gestión.
Informe de avance de actividades
Propuesta</t>
  </si>
  <si>
    <t>Proyecto para la respuesta humanitaria.</t>
  </si>
  <si>
    <t>US1P8</t>
  </si>
  <si>
    <t>Mejorar el acceso a agua segura, saneamiento e higiene de al menos 8.000 individuos de los cantones de Jama, San Vicente, Provincia de Manabí.</t>
  </si>
  <si>
    <t>La intervención se realizó en base al análisis de las áreas afectadas y las condiciones de vulnerabilidad de las comunidades que sufrieron mayor impacto como consecuencia del terremoto del 16 de Abril de 2016. La asistencia humanitaria proporcionada por CARE fue muy importante para la recuperación de las familias que sufrieron pérdidas importantes luego del evento adverso, como: rehabilitacion baterías sanitarias de escuelas, lavandería en el albergue de canoa, talleres de capacidades (cocina, belleza y costura). Esto contribuyó a la adaptación de nuevas condiciones y a absorber el impacto del shock causado por el terremoto.</t>
  </si>
  <si>
    <t>Sistema de monitoreo (base de datos desglosados por sexo y edad de comunidades intervenidas inicialmente); Matriz de intervención; Anexos fotográficos; Actas de entrega.</t>
  </si>
  <si>
    <t>Zika Response in Ecuador and Peru.</t>
  </si>
  <si>
    <t>US1RJ</t>
  </si>
  <si>
    <t>Program Quality and Resources Mob. Manager</t>
  </si>
  <si>
    <t>Cecilia Tamayo</t>
  </si>
  <si>
    <t>Project Director</t>
  </si>
  <si>
    <t>cecilia.tamayo@care.org</t>
  </si>
  <si>
    <t>Aumentar las capacidades comunitarias, locales y nacionales para responder de manera efectiva y oportuna al brote del virus zika y otras enfermedades transmitidas por vectores. Fortalecer la participación directa de las comunidades para la prevención y control del Zika. Fortalecer los esfuerzos regionales y nacionales de reducción de la transmisión del Zika.</t>
  </si>
  <si>
    <t>País: Ecuador
Provincia de Manabí; Cantones: Portoviejo, Manta, Sucre, San Vicente, Jama, Pedernales
Provincia de Esmeraldas;Cantón: Muisne
Provincia de El Oro; Cantones: Huaquillas, Arenilla y Las Lajas</t>
  </si>
  <si>
    <t>Mujeres y hombres en edad reproductiva, embarazadas, adolescentes hombres y mujeres.</t>
  </si>
  <si>
    <t>Los participantes directos constituyen  los grupos poblacionales vulnerables (Mujeres embarazadas, población en edad reproductiva, adolescentes hombres y mujeres) y los participantes indirectos el resto de la población del aréa de intervención seleccionada.</t>
  </si>
  <si>
    <t>Se realizará recolección de información para evaluación de medio término a travez de encuestas CAP y estudios EBA.</t>
  </si>
  <si>
    <t>Con municipios se acordó trabajar en mejorar los aspectos relacionados a la recolección de desechos sólidos( potenciales criaderos), y proporcionar infromación a la población sobre manejo adecuado del agua.</t>
  </si>
  <si>
    <t>SE fortaleció a las OSC propiciando espacios de diálogo y discusión de los temas relevantes que atñen a la comunidad con otros actores tanto del nivle público comom privado( MSP, Municipios, Gobernación, Universidades y otros)</t>
  </si>
  <si>
    <t>Frente a la falta de evidencias y experiencias de trabajo preventivo de zika, con enfoque de género en adolescentes, desarrollar trabajo con mujeres y adolescentes para generar evidencias.</t>
  </si>
  <si>
    <t>Se identificó de la necesidad de trabajar con enfoque de género desde fase de formulación del proyecto para lo cual se requiere vincular con presupuesto.</t>
  </si>
  <si>
    <t xml:space="preserve"> Se debe Fortalecer el proceso de rendición de cuentas para lo cual se debe realizar ajustes en la planificación para incorporar dichos procesos, así como definir metodología y herramientas adecuadas.</t>
  </si>
  <si>
    <t>Aunque el proyecto tenga una duración de 3 años decidimos referir que el proyecto es humanitario y no desarrollo ya que los sectores propuestos en desarrollo no corresponden a lo que realiza el proyecto y sí en la parte humanitaria.</t>
  </si>
  <si>
    <t>POA año 1; IPIA Proyecto; Acuerdo firmado con el donante; Diseño EBA y KAP; Workplan</t>
  </si>
  <si>
    <t>Egypt</t>
  </si>
  <si>
    <t>Towards socio-economic wellbeing and women empowerment in Upper Egypt (Hayat Kareema)</t>
  </si>
  <si>
    <t>CAUTEG0013</t>
  </si>
  <si>
    <t>Amr Lashin</t>
  </si>
  <si>
    <t>Strategies and Governance Unit Director</t>
  </si>
  <si>
    <t>amr.lashin@care.org</t>
  </si>
  <si>
    <t>Howaida Nagy</t>
  </si>
  <si>
    <t>Initiatives Manager</t>
  </si>
  <si>
    <t>howaida.nagy@care.org</t>
  </si>
  <si>
    <t>Socio-economic wellbeing in the target communities in Beni Suef and Assiut is improved.</t>
  </si>
  <si>
    <t>Beni Suef &amp; Assiut governorates</t>
  </si>
  <si>
    <t>130 CSOs - 15000 women - 1500 small farmers - 200 youth</t>
  </si>
  <si>
    <t>o Civil society organizations in Beni-Suef and Assiut governorates.
o Smallholder farmer groups and cooperatives.
o CSOs supporting women’s groups.
o CSOs supported to train youth in community-based monitoring. Through these CSOs, youth (aged 18-30) will be reached.
o Household members in Beni-Suef and Assiut governorates.</t>
  </si>
  <si>
    <t>An evaluation study will take place by the end of the project using various methodologies such as comparability with baseline, project documents review and focus group discussions.</t>
  </si>
  <si>
    <t>Needs assessment took place by our partner organizations to prepare a capacity building plan for the project’s local CSOs. This plan is supposed to be conducted by next FY.</t>
  </si>
  <si>
    <t>An effective grant scheme mechanism has been established to disburse funds to socio-economic development micro projects.</t>
  </si>
  <si>
    <t>The launch of the project’s national launch event; where 35 stakeholders attended the event in Cairo governorate. The stakeholders ranged from the governmental officials from Ministry of Social Solidatity and Ministry of International Cooperation, Partner Organizations’ representatives, media representatives and selected CARE staff. Many media publications were issued covering Hayat Kareema launching event; highlighting the importance of this project and its impact.</t>
  </si>
  <si>
    <t>Deign of a data collection tool to be disseminated widely during the launch of the different grants’ rounds with Request for Applications to be filled-in by all interested applicant CSOs /cooperatives. The main purpose of this tool is to help potential grantees, grassroots CSOs/Cooperatives with situational analysis and thus determine their communities’ needs.</t>
  </si>
  <si>
    <t>More technical support will be exerted for the grassroots organizations during the proposal writing and budgeting of their projects’ ideas due to their limited experience in this area.</t>
  </si>
  <si>
    <t>Agricultural cooperatives are very potential candidates; that the project will maximize its efforts with them. Fortunately, this will result in positive impact on the farmers as a result of the direct work between these cooperatives and the farmers.</t>
  </si>
  <si>
    <t>CARE and the partner organizations have exchanged their experiences with the first round of the application from launching the RFA to the signing of the grant agreements. This workshop aimed at to enhance the process during the second round.</t>
  </si>
  <si>
    <t>Project Proposal, Logframe, Updated Monitoring Matrix, Progress Reports and 1st Interim Narrative Report</t>
  </si>
  <si>
    <t>Improving Syrian and Egyptian Children's Access to Formal and Informal Education</t>
  </si>
  <si>
    <t>Amira Hussein</t>
  </si>
  <si>
    <t>Director of the Education Program</t>
  </si>
  <si>
    <t xml:space="preserve">amira.hussein@care.org </t>
  </si>
  <si>
    <t>Samar Dowidar</t>
  </si>
  <si>
    <t>Initiative's Manager</t>
  </si>
  <si>
    <t>samar.dowidar@care.org</t>
  </si>
  <si>
    <t>Improved access to quality formal and non-formal education in a protective learning environment for vulnerable school-aged girls and boys from Syrian and Egypt</t>
  </si>
  <si>
    <t>Cairo, Giza, Qalyubia, Sharqiya</t>
  </si>
  <si>
    <t>Syrian and Egyptian students, teachers, social workers, school administrators, supervisors, parents</t>
  </si>
  <si>
    <t>Direct Participants: 196 BoT members (30% women), 56 supervisors (50% women), 56 social workers (50% women), 152 teachers (50% women), 84 school management members (30% women), 20,000 students (50% girls), and 5600 parents (50% women). 
Indirect Participants: total number of students in all 28 schools (33,604 - 50% girls) as renovation is part of the project activities and it impacts all students, 54 supervisors usually work in 4 schools each, which has 6 arabic teachers on average - meaning that each supervisor can reach 24 teachers (thus, 54*24), all 196 BoT members have spouses who they can cascade the trainings to (thus, 196*2)</t>
  </si>
  <si>
    <t>The final evaluation will be conducted in March 2018. The most noteworthy issue with the evaluation is that this project aims to improve enrollment levels of Syrians in Egyptian schools; however, significant demographic changes has happened since the start of the project and thus it is likely to receive data of enrollment dropping in some of the target schools. Unfortunately, there is no available data to cross check on whether the Syrian population has also reduced from the target communities to confirm that the change is an externality.</t>
  </si>
  <si>
    <t>It applied the readability program in Asmarat in cooperation with the Ministry of Education. Additionally, it applied child protection committees in the ten target schools and activated Student Unions.</t>
  </si>
  <si>
    <t>The project team has exerted a great deal of effort in creating training material for raising gender awareness. It was noted in the previous assessment of the project that CARE's gender material needs to be tailored to fit the true needs of the beneficiaries.</t>
  </si>
  <si>
    <t>Cultural events to create bonds between Syrians and Egyptians students. This proejct relied heavily on student camps, open days, theatre, art etc. to build social cohesion between Syrian refugees and the host community</t>
  </si>
  <si>
    <t>Mainstreaming child protection policies and mechanisms in school</t>
  </si>
  <si>
    <t>Partnering with the Ministry of Education to reach positive results in the readability program</t>
  </si>
  <si>
    <t>Conducting awareness events with beneficiaries on how to maintain the school is a necessary step that must be taken before starting school renovation</t>
  </si>
  <si>
    <t>Engaging relevant government partners is essential to take trainings on new pedagogical tools and methods to scale</t>
  </si>
  <si>
    <t>Relying on distribution of unifrms and educational kits for incentivizing students to go to school should only occur in  a confined manner where students are unaware of who is receiving the kits or otherwise to the entire school to avoid potential discrimination between students who received kits an those who didnt.</t>
  </si>
  <si>
    <t>All Children Reading: Improving School Literacy Through Community Engagement</t>
  </si>
  <si>
    <t>Ali Abdelmohsen</t>
  </si>
  <si>
    <t>ali.mohsen@care.org</t>
  </si>
  <si>
    <t>Amira.hussein@care.org</t>
  </si>
  <si>
    <t>Improved quality of educational services in El Warraq and Gaziret El Dahab, especially for children and youth and people with special needs</t>
  </si>
  <si>
    <t>Giza</t>
  </si>
  <si>
    <t>students in grades 4, 5 and 6 from the 28 target schools; teachers (mainly Arabic language teachers) from the 28 target schools; social workers; school administrators; MOE Supervisors; school administrations and MOE Readability Department; Members of 20 BOTs (approximately 7 members per BOT); representatives of the MOE, government and key education experts</t>
  </si>
  <si>
    <t>Direct:
- 6,500 Students in public primary and preparatory schools; 195 teachers; 20 social workers; 57 school administrators; 133 Board of Trustee (BOT) members; 30 community development associations (CDAs) members; 15 supervisors; and 20 representatives of the Ministry of Education (MOE).
Indirect:
- Number of Students from 20 schools renovated (32,988)
- Number of teachers supervised and supported by the 35 supervisors and readability coordinators trained (363)
- Training on positive discipline and gender awareness to be casacaded to 300 teachers and social workers (300)</t>
  </si>
  <si>
    <t>Training on social accountability and public hearings</t>
  </si>
  <si>
    <t>Engaging government partners</t>
  </si>
  <si>
    <t>Participatory implementation of the project's interventions</t>
  </si>
  <si>
    <t>Readability Program</t>
  </si>
  <si>
    <t>Training MOE supersivers is crucial to precede training teachers in order to enable supervisors to give teachers timely needed support and monitor their performance</t>
  </si>
  <si>
    <t>Renovating school infrastructure without formation of a maintenance team in the school jeopradizes sustainability of renovation</t>
  </si>
  <si>
    <t>Addressing teachers' motivation is important for implementing the Readability Program, especailly in urban settings where private tutoring is more common</t>
  </si>
  <si>
    <t>Supporting Participation and Accountability for Communities’ Education (SPACE)</t>
  </si>
  <si>
    <t>To strengthen the capacity of Egyptian local actors including Civil Society Organisations (CSOs) in Egypt to participate in defining, implementing and monitoring education services and strategies.</t>
  </si>
  <si>
    <t>Rural Upper Egypt, Governorates of Minya, Benisueif, Fayoum and Giza – Egypt</t>
  </si>
  <si>
    <t>Egyptian local actors including Civil Society Organisations (CSOs), and schools Board of Trustees (BOTs)</t>
  </si>
  <si>
    <t>Direct:
20 Community Based Organizations (CBOs) with 200 members; 40 Boards of Trustees (BoTs) with 400 members; 40 Student Unions (SUs) with 400 members, 200 young men and women aged 18-30, 20 education committees in local elected bodies with 100 members, 4 governorate level BoTs with 40 members, 4 Intermediate Organizations (IOs) from Education For All Coalition (EFAC) and 5 Civil Society Departments in the Ministry of Education (MoE) at governorate and national level.
Indirect:
6,000 community members, 10,000 girls and boys aged 4-18 years attending and not attending schools, particularly vulnerable children in rural Upper Egypt who will benefit from increased community participation and accountability for better education.</t>
  </si>
  <si>
    <t>Community Score Cards</t>
  </si>
  <si>
    <t>Capacity building of technical support teams comprising of CBO members, MoE members and partner NGOs
- Supporting technical support teams as they build capacities of youth groups in target communities
                                                                                                                                                                                                                                                                Capacity building packages included resource mobilization, advocacy and community initiatives</t>
  </si>
  <si>
    <t>Community score cards</t>
  </si>
  <si>
    <t>Carrying capicity building activities through technical support teams</t>
  </si>
  <si>
    <t>Community score cards, while eventually gaining support among various project's beneficiaries, could initially be met with some resistance</t>
  </si>
  <si>
    <t>Community score cards were more challenging when implemented in an urban setting</t>
  </si>
  <si>
    <t>It is important to manage and address expectations of communities and schools before implementing community score cards, as some of the participants expect direct service delivery from CSOs</t>
  </si>
  <si>
    <t>While an evaluation was conducetd in the current period, it was more qualitative in nature and did not gather new quantitative data to be included in the IMPACT/OUTCOMES form for FY17</t>
  </si>
  <si>
    <t>Engaging Men and Boys (EMB) in combatting GBV in Egypt</t>
  </si>
  <si>
    <t>DEUEEG0002</t>
  </si>
  <si>
    <t>CARE Egypt</t>
  </si>
  <si>
    <t>Sandra Azmy</t>
  </si>
  <si>
    <t>Women's Rights Program Director</t>
  </si>
  <si>
    <t>sandra.azmy@care.org</t>
  </si>
  <si>
    <t>To reduce gender-based violence and promote gender equity in rural and low-income communities in Egypt.</t>
  </si>
  <si>
    <t>The project is implemented in five target areas (Cairo, Giza, Sohag, Assiut, and Minia)</t>
  </si>
  <si>
    <t>The impact group is 6000 beneficiaries (1500 women and girls + 4500 men and boys) from the five targeted governorates. This will be achieved through the development of two curricula for engaging men and boys for age groups 10-18 and 19-35 in a participatory manner in conjunction with four NGOs. The successful finalization of the manual willl follow subsequent trainings to another 40 NGOs, which will guarantee the scaling and widespread impact of the initiatives as an outreach endeavour that targets the wider community.</t>
  </si>
  <si>
    <t>The indirect beneficiaries will be measured as per the unfolding of the project, and upon evaluations. For this fiscal year, the project is at its preparatory phase wherein only capacity building trainings for NGOs' staff were implemented; thus, no indirect beneficiaries have been reached. Starting from the new fiscal year, CARE will incorporate a question on the transfer of knowledge in order to accurately calculate the indirect beneficiaries.</t>
  </si>
  <si>
    <t>This project aims to end gender-based violence in Egypt through a holistic and synchronized approach to social change, including a practical model for engaging men and boys (EMB) culturally adapted to the Middle Easter context.</t>
  </si>
  <si>
    <t>A first draft of engaging men (aged 19 to 35) manual has been developed along with the toolkit, in a participatory manner in conjunction with four NGOs. CARE is currently testing the manual and obtaining feedback on it.</t>
  </si>
  <si>
    <t>NGOs were provided with a capacity building training on proposal writing in order to assist them with developing their pilot ideas and drafting their concept notes in regards to engaging men and boys. In addition, a training on character-building skills benefited NGOs' staff between the 26th of February and the 2nd of March 2017. That was in order to increase their self-awareness and to grasp the extent of how much their backgrounds and life experiences could trigger violence. Through the training, participants were cognized on ways to channel their internal energy in positive ways rather than expressing themselves in coercive methods such as violence. They also became aware of their identity and self-image, and comprehended their rights and responsibilities. They were subsequently provided with practical ways to deal with anger, respect boundaries and privacy, and challenge cultural expectations that reinforce certain pre-determined gender roles both within and outside the family.</t>
  </si>
  <si>
    <t>Parterning with four local NGOs to develop engaging men and boys curricula.</t>
  </si>
  <si>
    <t>Scaling the innovation of engaging men and boys requires an in-depth, gender transformative, and focused cirriculum, which takes a prolonged time to develop and test.</t>
  </si>
  <si>
    <t>Capacity building is crucial for NGOs in Egypt as there is a general lack in the knowhow and needed skills to integrate EMB among most NGOs working on women rights in Egypt today.</t>
  </si>
  <si>
    <t>The project is still in its preparatory phase, as CARE is currently in the process of developing and testing engaging men and boys curricula.</t>
  </si>
  <si>
    <t>Human Security through Inclusive Socioeconomic Development in Upper Egypt: 2915
Kadam ElKhier: 2916</t>
  </si>
  <si>
    <t>UNWNEG0006</t>
  </si>
  <si>
    <t>UNWNEG0004</t>
  </si>
  <si>
    <t>Marwa Saleh</t>
  </si>
  <si>
    <t>Initiative Manager</t>
  </si>
  <si>
    <t>marwa.saleh@care.org</t>
  </si>
  <si>
    <t>To improve women’s economic and social security in the targeted communities.</t>
  </si>
  <si>
    <t>HAYAT was implemented in Minia governorate, wherein Kadam ElKhier is in Assiut and Beni Suef.</t>
  </si>
  <si>
    <t>Poorest and most marginalized women in Upper Egypt (especially in Minia, Assiut, and Beni Suef)</t>
  </si>
  <si>
    <t>The indirect beneficiaries are the household members of VSLA members as VSLA in fact improves the socioeconomic of the whole familiy. Thus, the indirect is the direct multiplied by 4 (5 'average household numbers' - 1 'direct beneficiary').</t>
  </si>
  <si>
    <t>A capacity-building program for community-based organizations (CBOs) has proven influential to address their actual needs and to assist them in realizing the relevance of the project’s interventions to their communities’ needs was crucial to reach the project’s target and impact</t>
  </si>
  <si>
    <t>Financial literacy and social empowerment were stepping stones for women’s success in VSLA groups.</t>
  </si>
  <si>
    <t>Creating partnerships with local and international NGOs provided VSLA members with access to other activities/services including vocational trainings, issuing of national identifications, etc.</t>
  </si>
  <si>
    <t>Engaging community leaders and CBOs from the beginning of the project increases their ownership of the project</t>
  </si>
  <si>
    <t>Communities and CBOs must be carefully selected, as many value philanthropy over development activities.</t>
  </si>
  <si>
    <t>Prevalence of religious misconceptions regarding interest on loans refrained some people from joining VSLA groups.</t>
  </si>
  <si>
    <t>When determining the indirect beneficiaries during the fiscal year, it was calculated as such:
- Household members of VSLA members (an average of 4 members), as VSLA does not only benefit direct beneficiaries; but, it also reaches out to their households and improves their economic securities. 
- A comic awareness-raising book on human security was distributed among 1,750 families in the targeted communities; thus, the indirect is 7000 individuals (not yet disaggregated as per sex and age)</t>
  </si>
  <si>
    <t>Men and Women for Gender Equality</t>
  </si>
  <si>
    <t>UNWNEG0014</t>
  </si>
  <si>
    <t>Emy Yanni</t>
  </si>
  <si>
    <t>emy.yanni@care.org</t>
  </si>
  <si>
    <t>Women and men in Arab societies are given equal Rights and opportunities to live a life free of violence and to engage equally as active citizens in their communities and countries.</t>
  </si>
  <si>
    <t>It is implemented in five governorates in Egypt (Cairo, Qalybia, Alexandria, Assiut, and Sohag)</t>
  </si>
  <si>
    <t>Community-based organizations</t>
  </si>
  <si>
    <t>The target for this project is not individuals but 15 community-based organizations (three in each targeted area). 
For this fiscal year, only capacity building trainings for NGOs' staff were implemented; thus, no indirect beneficiaries have been reached. Starting from the new fiscal year, CARE will incorporate a question on the transfer of knowledge in order to accurately calculate the indirect beneficiaries.</t>
  </si>
  <si>
    <t>Preventing SGBV among Syrian Refugees in Egypt: 2912
Prevention and Response to SGBV: 2913</t>
  </si>
  <si>
    <t>UNHCEG0006</t>
  </si>
  <si>
    <t>BPRMEG0002</t>
  </si>
  <si>
    <t>Bureau of Population Refugees and Migration</t>
  </si>
  <si>
    <t>Silvia Doss</t>
  </si>
  <si>
    <t>silvia.doss@care.org</t>
  </si>
  <si>
    <t>To reduce SGBV amongs refugees in Cairo and Alexandria</t>
  </si>
  <si>
    <t>Cairo and Alexandria</t>
  </si>
  <si>
    <t>Female and male refugees, especially SGBV survivors</t>
  </si>
  <si>
    <t>In the proposals, the indirect was calculated by multiplying the direct by 4 (5 'average household numbers' - 1 'direct beneficiary').
For this fiscal year, the confimed indirect beneficiaries are:
- The 1,510 whom brochures were distributed to. 
- 200 views (not disaggregated by sex) on CARE's Youtube Channe: https://www.youtube.com/user/TheCareEgypt
- The families of the 179 SGBV survivors who were provided with housing assistance (716 individuals)
For this fiscal year, CARE wished to only include the confirmed indirect instead of calculating the direct by 4 (5 'average household numbers' - 1 'direct beneficiary'). Starting from the new fiscal year, CARE will incorporate a question on the transfer of knowledge in order to accurately calculate the indirect beneficiaries.</t>
  </si>
  <si>
    <t>The project did not make any adjustments to its  goals or activities. It is continuing to work towards its main goal: "Syrian and non-Syrian refugees are safe from sexual and gender based violence."</t>
  </si>
  <si>
    <t>Innovative measures such as art therapy, psychodrama, and sports for change have enabled us to tackle sensitive topics with refugees and delve into the roots of problems that may be considered taboo topics among refugee communities.</t>
  </si>
  <si>
    <t>Engaging men and boys has proven to be crucial in raising awareness on SGBV and promoting behavioral change among the community.</t>
  </si>
  <si>
    <t>Building the capacities of local partners and volunteers working among the Syrian community in Cairo and Alexandria has enabled them to create channels of communication with refugee communities.</t>
  </si>
  <si>
    <t>Awareness raising activities have permitted refugees to gain knowledge on SGBV and to express themselves in a non-judgemental environment.</t>
  </si>
  <si>
    <t>African refugees in various areas of Cairo and Alexandria are excluded from services by International NGOs.</t>
  </si>
  <si>
    <t>The integration of Egyptian nationals is key in order to truly reduce SGBV among refugees, as almost half of the perpetrators are Egyptians.</t>
  </si>
  <si>
    <t>Safe Cities Free From Violence Against Women and Girls</t>
  </si>
  <si>
    <t>UNWNEG0001</t>
  </si>
  <si>
    <t>Rights holders gain knowledge, skills, and organizational capacities to demand their rights and entitlements in relation to responding to, and preventing violence against women and girls in public spaces</t>
  </si>
  <si>
    <t>Three locations in Cairo and Giza (Imbaba, Mansheyet Nasser, and Ezbet ElHagana)</t>
  </si>
  <si>
    <t>1) Volunteers 
2) Community members</t>
  </si>
  <si>
    <t>When the proposal was written in 2012, quantitative targets were not included. For the previous years, the direct was multiplied by 4 (5 'average household numbers' - 1 'direct beneficiary') in order to attain the indirect data. Nonetheless, this year, the indirect is as following:
- Street campaigns that were held by tok tok drivers during the fiscal year targeted: 251 men and 939 women.
For this fiscal year, CARE wished to only include the confirmed indirect instead of calculating the direct by 4 (5 'average household numbers' - 1 'direct beneficiary'). Starting from the new fiscal year, CARE will incorporate a question on the transfer of knowledge in order to accurately calculate the indirect beneficiaries.</t>
  </si>
  <si>
    <t>Supporting local communities to voice their demands through trainings on the state system, eligibility to run for elections, etc.</t>
  </si>
  <si>
    <t>The project has made a change in its activities, wherein it began building coalitions in the intervention sites in order to assure advocacy against harassment, and sustainability.</t>
  </si>
  <si>
    <t>A theoretical model of engaging men and boys has been developed based on the past experience, and has been tested in one of the intervention sites.</t>
  </si>
  <si>
    <t>Creating volunteer units has proven successful as volunteers become dedicated to work and more enthusiastic  in carrying out activities.</t>
  </si>
  <si>
    <t>Life coaching for partners and volunteers ventured into the unique intricacies of every participant and gave s/he self-knowledge, in which s/he was able to identify his/her strengths and areas of development. That did not only affect individual change; but, it simultaneously worked on improving interpersonal relations among the team (e.g. identifying common goals and objectives, dividing responsibilities, adopting communication skills, and establishing a decision-making mechanism).</t>
  </si>
  <si>
    <t>A genuine bottom-up impact has proven to be more achievable when creating and empowering groups of youth volunteers to lead community awareness.</t>
  </si>
  <si>
    <t>Building coalitions in the targeted areas is key for sustainability and advocacy.</t>
  </si>
  <si>
    <t>Using innovative measures such as art therapy, theatre, etc. are more effective in tackling harassment.</t>
  </si>
  <si>
    <t>Women Friendly Spaces for Syrian Refugees</t>
  </si>
  <si>
    <t>UNFPEG0003</t>
  </si>
  <si>
    <t>The main goal is to provide Syrian female refugees with safe spaces, where they benefit from empowering, awareness-raising, and resilience activities.</t>
  </si>
  <si>
    <t>Maadi and Nasr City in Cairo as well as Agami in Alexandria.</t>
  </si>
  <si>
    <t>Syrian refugee women</t>
  </si>
  <si>
    <t>When the proposal was written in 2012, quantitative targets were not included. The direct was multiplied by 4 (5 'average household numbers' - 1 'direct beneficiary') in order to attain the indirect data.</t>
  </si>
  <si>
    <t>Social empowerment activities equipped beneficiaries with social and life skills as well as experience necessary for them to make percise life choices and adopt enhanced self-esteem. Participants gained the knowledge and acquired resilience to handle different life situations.</t>
  </si>
  <si>
    <t>The engagement of Egyptian nationals initiated a dialogue between refugees and nationals, working towards creating an inclusive host community.</t>
  </si>
  <si>
    <t>Vocational trainings provided refugee women with the opportunity to develop new competencies that aimed for them to become self-reliant.</t>
  </si>
  <si>
    <t>Women friendly spaces acted as recreational and eductional hubs, where beneficiaries gained knowledge on GBV, built resilience, and felt empowered in a non-judgemental environment.</t>
  </si>
  <si>
    <t>Hiring Syrian volunteers provided the spaces with the opportunity to become renowned amongst Syrian refugee communities, as that created prompt channels of communication.</t>
  </si>
  <si>
    <t>Acceptance and cultural understanding between Egyptians and refugees is a prolonged a process.</t>
  </si>
  <si>
    <t>Milk Collection communities (MCC)</t>
  </si>
  <si>
    <t>Danone Ecosysteme</t>
  </si>
  <si>
    <t>Heba El Beheidy</t>
  </si>
  <si>
    <t>Heba.ElBeheidy@care.org</t>
  </si>
  <si>
    <t>Improve to socio-economic development of small-holder dairy producers and to the development of raw milk trade in Egypt</t>
  </si>
  <si>
    <t>4 Governorates in Egypt, 2 in Delta and 2 in Upper Egypt: Behera, Kafr el-Sheikh, Beni Suef, and Fayoum</t>
  </si>
  <si>
    <t>The impact group is smallholder dairy farmers and their households in rural Upper Egypt and Delta regions that supply milk to Milk Collection Centers established by the project</t>
  </si>
  <si>
    <t>Direct beneficiaries are headcounts of Dairy farmers that supply milk to the milk collection Centers. Indirect beneficiaries are household members of dairy farmers who are calculated as 4 members excluding the direct beneficiary</t>
  </si>
  <si>
    <t>Milk Collection Centers were utilized as an innovative hub for smallholder dairy farmers to increease their income</t>
  </si>
  <si>
    <t>This FY the project focused on getting the MCCs sustainable</t>
  </si>
  <si>
    <t>The project operates Milk Collection Centers through partner agricultural cooperatives. Ongoing capacity building and business capacity development is an essential part of the project</t>
  </si>
  <si>
    <t>No changes took place during this FY</t>
  </si>
  <si>
    <t>Partnership with corporate as a main buyer in value chain development remains an efficient way to empower BoP</t>
  </si>
  <si>
    <t>Establishing longterm commitment between smallholder farmers and agricultural cooperatives to ensure sustainable milk supply to collection centers and to Danone</t>
  </si>
  <si>
    <t>Revolving funds to agricultural cooperatives to ensure timely development of milk collection centers to mitigate gaps pertainingto early stage cash flow challenges and services provided</t>
  </si>
  <si>
    <t>Direct supply of milk by smallholder farmers to collection centers ensures quality control</t>
  </si>
  <si>
    <t>Commitment to payment schedule for farmers is critical to control drop out rate from collection centers</t>
  </si>
  <si>
    <t>Acting ahead of market prices is essential to ensure commitment of smallholder farmers to collection centers</t>
  </si>
  <si>
    <t>Strengthening Civil Society Participation in the Agricultural Sector in Egypt</t>
  </si>
  <si>
    <t>CAUTEG0010</t>
  </si>
  <si>
    <t>Mays Abou Hegab</t>
  </si>
  <si>
    <t>Governance Department Manager</t>
  </si>
  <si>
    <t>mays.abouhegab@care.org</t>
  </si>
  <si>
    <t>This project’s overall objective is to improve local governance and accountability within the agricultural sector in Egypt through greater participation of a stronger civil society in policy-making processes and policy dialogue. That will be accomplished through strengthening the capacities of civil society and government authorities in the governorates of Beni Suef and Minya - pilot governorates - to engage in more structured, visible and inclusive dialogue(s) targeting the reform of the agriculture sector.</t>
  </si>
  <si>
    <t>This pilot project is being implemented in 2 Governorates namely Beni Suef (El Fashn and Ihnasia Districts) and Minya (Matay and Maghagha Districts)</t>
  </si>
  <si>
    <t>(1) 16 Civil Society Organisations (Community Development Associations  and cooperatives) providing agricultural services. 
(2) At least 30 representatives of local government authorities at governorate and district level responsible for providing extension services to farmers</t>
  </si>
  <si>
    <t>(1) Farmers/ landowners within selected districts. 
(2) Local Communities in the selected districts  who will benefit from improved agricultural services</t>
  </si>
  <si>
    <t>Final evaluation will build on: Baseline study (satisfaction survey and governance pillars study in services); and End line study (yet to be conducted)</t>
  </si>
  <si>
    <t>Influencing agricultural cooperatives' participation to serve the farmers</t>
  </si>
  <si>
    <t>• Through capacity-building which aims of assessing and strengthening the capacities of both local state and non-state actors to apply inclusive governance mechanisms (both internal and external) to improve their own governance and to engage in governance and social accountability initiatives and policy dialogue. 
• Through the development and implementation of a scheme for introducing citizens’ engagement mechanisms (including satisfaction surveys and complaints mechanisms) and establishing a platform for dialogue between CSOs, government authorities and the media.</t>
  </si>
  <si>
    <t>Through the farmers-led Platforms by identifying platform policy topics, developing policy briefs:
In order to identify the platform policy topics, a series of local village/district/governorate/among the two governorates level FGDs and/or roundtables and/or public hearings were held in order to identify farmers specific problems. Based on the identified problems, these problems were listed and prioritized. Once all problem issues have been prioritized at local and sub-national levels, the first platform policy topic and brief will be identified and drafted. This will take place in the next FY.</t>
  </si>
  <si>
    <t>1. Assessment of internal and external governance practice; 2. capacity building trainings</t>
  </si>
  <si>
    <t>Creating a demand on policy dialogue and changes</t>
  </si>
  <si>
    <t>Creating demand on good governance practices (transparency; accountability, responsiveness and participation mechanisms)</t>
  </si>
  <si>
    <t>Creating demand on increasing service users' satisfaction</t>
  </si>
  <si>
    <t>Engaging farmers in discussion forums at local, sub-national and national level, and introducing immediate corrective actions has been very successful</t>
  </si>
  <si>
    <t>Exchange of experience taking place between countires; where study tour took place to the Netherlands and attended by local stakeholders participants. This study tour exposed the participants to know an effective cooperative system.</t>
  </si>
  <si>
    <t>Post the study tour, local exchange of experience took place between the study tour participants and other local stakeholders. Several topics were discussed as listed below:
• The most important things that impressed participants in Netherlands.
• The most important things that impressed participants in the agricultural cooperatives in the Netherlands. 
• Differences in the agricultural cooperation laws between Egypt and Netherlands. 
• The study tour participants visits, in Netherlands, to the Rose Stock Market, Cheese Factory, Rabobank, Broccoli Farms and Dairy Farms. 
• The possibility to apply the different systems they explored in Egypt.</t>
  </si>
  <si>
    <t>Progress Report; Baselie Surveys (satisfaction report and governance pillars report &amp; guide) and Updated Monitoring Matrix</t>
  </si>
  <si>
    <t>Ensuring Supportive and Safe Quality Education for Girls</t>
  </si>
  <si>
    <t>Dubai Cares</t>
  </si>
  <si>
    <t>Government - Japan</t>
  </si>
  <si>
    <t>The Japanese Embassy in Egypt</t>
  </si>
  <si>
    <t>Sawiris Foundation</t>
  </si>
  <si>
    <t>Hesham El Zeftawi</t>
  </si>
  <si>
    <t>hesham.elzeftawi@care.org</t>
  </si>
  <si>
    <t>Improve quality of education for girls in a safe and engaging school environment across 3 governorates in Upper Egypt</t>
  </si>
  <si>
    <t>Giza, Sharqiah, Minya, Beni Suief, Assiut</t>
  </si>
  <si>
    <t>Students, teachers, social workers, school administrators, supervisors, parents, grassroots organizations and youth groups, NGOs</t>
  </si>
  <si>
    <t>These numbers are an aggregation for two projects, one titled Ensuring Safe and Support Quality Education (DC), and another titled Promoting Equitable Education for Girls (UNW). The breakdown is as follows: 
DC Direct: 1500 students (50% female), 250 teachers (50% female), 50 social workers, (50% female), 60 school management staff (50% female), 60 P.E. teachers (50% female), 90 girl community leaders, 90 members of the maintenance team (50% female)
UNW direct: 25 community CDA members (12 female), 70 BoT members (30 female), 600 students (50% female), 100 community youth (50% female), 12 social workers (50% female), 60 teachers (50% female), 12 school management staff (50% female)
Indirect for both: there are a total of 36 schools that will receive renovation; with an average number of 1000 students per school (amounting to 36,000, 50% female). Additionally, 60 social workers will be trained (50 DC and 10 UNW) who coach an average of 24 teachers each.</t>
  </si>
  <si>
    <t>The baseline conducted in November 2016 and the final evaluation that will be conducted in December 2017 will only be for the "promoting equitable education for girls" project while the "ensuring safe and support quality education for girls" project is yet to have its baseline results revealed and its final evaluation will likely be in 2019</t>
  </si>
  <si>
    <t>Developed a manual for Student Union activation, accredited it in the Professional Academy for Teachers, and trained a group of MoE trainers on cascading the manual; advocating for the establishment of a central level child protection unit.</t>
  </si>
  <si>
    <t>It applied the readability program in cooperation with the MoE. It activated child protection policies and trained local level social workers' supervisors on the CP mechanisms</t>
  </si>
  <si>
    <t>It trained members of community development associations on resource mobilization, initiative planning, and awareness campaigns.</t>
  </si>
  <si>
    <t>While CDAs were initially only going to participate in the project as volunteers in activities, CARE established MoUs with all 4 partner CDAs and supported them in leading their own awareness campaigns</t>
  </si>
  <si>
    <t>CSO engagement</t>
  </si>
  <si>
    <t>MoE partnership in building teacher capacity</t>
  </si>
  <si>
    <t>Strengthening child protection mechanisms in school through engagement of social workers</t>
  </si>
  <si>
    <t>MoE support is necessary to activate change to current school protection mechanisms - which led us to start an advocacy plan in creating a child protection unit in the MoE central level</t>
  </si>
  <si>
    <t>Relying on volunteers is better for sustainability as they are more present in the community. Youth volunteers and CDAs were very useful in reaching out to the community when conducting awareness campaigns. Additionally, CDAs conducted awareness campaigns independently of CARE's work.</t>
  </si>
  <si>
    <t>A maintenance team that is capable of simple maintenance is a good tool to preserve school renovations</t>
  </si>
  <si>
    <t>Mainstreaming Social Accountability in the Emergency Labor Intensive Investment Project</t>
  </si>
  <si>
    <t>FORDEG0014</t>
  </si>
  <si>
    <t>CGBREG0026</t>
  </si>
  <si>
    <t>CARE International in Egypt is working with the Social Fund for Development (SFD) and other partners to establish mechanisms and processes for citizens to provide feedback and oversight of the implementation of public works and basic services infrastructure in poor communities.  In doing so it contributes to raising awareness among government and civil society stakeholders of the impact of social accountability mechanisms in improving development outcomes.</t>
  </si>
  <si>
    <t>This pilot project is being implemented in 3 Governorates namely Assuit, Beni-Suef and Sharkeya</t>
  </si>
  <si>
    <t>• 9 Civil Society Organizations (CSOs) and independent youth groups (project partners)
• 15 SFD staff in the headquarters and in the 3 regional offices engaged in project implementation
• SFD Implementing partners (CSOs personnel and Government officials) in the target governorates. An average of 100 representatives of CSOs and local government authorities (SFD programme implementation units (irrigation, housing etc.) and local administration staff from the Governorate/district/village level in the 3 target governorates. 
• Unskilled and semi-skilled youth obtaining temporary employment opportunities through the Emergency Labor Intensive Investment Programme (ELIIP) being implemented by SFD in the 3 target governorates. These youth are going to benefit from the application/integration of SA within the implemented project(s); thus ensuring the equity and transparency of the employment process, which will in turn have a positive impact on the overall process.
• Male, female and children beneficiaries of community social service projects being implemented by ELIIP in the 3 target governorates. The SAc process will ensure their satisfaction, knowledge, understanding and acceptance of the implemented projects.</t>
  </si>
  <si>
    <t>• CSOs in the 3 governorates.
• Independent Youth groups (aged below 30).
• SFD staff in the headquarters and in the 3 regional offices in addition to adjacent/nearby SFD regional offices. The nearby offices will benefit from the Social Accountability (SAc) awareness sessions and introductory trainings that will be conducted in the target governorates.
• SFD Implementing partners (CSOs personnel and Government officials) in the target governorates. 
• Unskilled and semi-skilled youth obtaining temporary employment opportunities through the Emergency Labor Intensive Investment Programme (ELIIP) being implemented by SFD in the 3 target governorates. These youth are going to benefit from the application/integration of SA within the implemented project(s); thus ensuring the equity and transparency of the employment process, which will in turn have a positive impact on the overall process.
• Male, female and children beneficiaries of community social service projects being implemented by ELIIP in the 3 target governorates. The SAc process will ensure their satisfaction, knowledge, understanding and acceptance of the implemented projects.</t>
  </si>
  <si>
    <t>The whole project's idea is unique and innovative; which is based on the idea of third party monitoring</t>
  </si>
  <si>
    <t>CARE International in Egypt designed the Social Accountability Model; which includes input tracking meetings, site visits, public hearings and review and coordination meetings. As a result of this model, lots of recommendations were highlighted and most of these recommendations were acted upon as corrective actions taken by the SFD and/or its implementing partners</t>
  </si>
  <si>
    <t>1. Technical assistance to youth groups; 2. Technical assistance to the Social Fund for Development regional staff</t>
  </si>
  <si>
    <t>Coordination startegies with the multiple stakeholders (government; media and civil society)</t>
  </si>
  <si>
    <t>Building the capacity of the Social Fund for Development's officials to lead Social Accountability activities within its offices</t>
  </si>
  <si>
    <t>Third party monitoring strategies building on youth civic engagement aspirations</t>
  </si>
  <si>
    <t>Institutionalization of Social Accountability (SA) within the SFD offices: As part of CARE’s work on completing our duty to institutionalize SA within the SFD offices, CARE organized an exchange visit workshop in order to transfer SA knowledge from the three regional offices (Beni Suef, Sharkeya and Assiut) to two new offices (Qena and Minia). This exchange visit has assisted a lot at speeding the process of drafting the technical assistance required by the two new regional offices in order to start their SA work; similarly to the other three regional offices.</t>
  </si>
  <si>
    <t>As some of the youth members missed project activities due to their study commitments. CARE Egypt will plan afterwards; when the project’s activities require youth implementers, to take into consideration the projects’ activities implementation timing.</t>
  </si>
  <si>
    <t>During review meetings, it is important to mention for CSOs’ staff and/or SFD’s officials the positives notes on their work before listing the negatives; as this encourages them to take the recommended corrective actions into consideration better than just listing the negatives.</t>
  </si>
  <si>
    <t>Annual Progress Report and Updated Monitoring Matrix</t>
  </si>
  <si>
    <t>Origination and development of the soya bean smallholder farmers in Egypt</t>
  </si>
  <si>
    <t>CTLCEG0001</t>
  </si>
  <si>
    <t>Cargill, Inc.</t>
  </si>
  <si>
    <t>Ihab Anwar</t>
  </si>
  <si>
    <t>Initatives Manager</t>
  </si>
  <si>
    <t>ehab.anwar@care.org</t>
  </si>
  <si>
    <t>Improve socio-economic conditions for rural communities through attaining 6,000mt of soya beans in project life and developing an effective and sustainable social enterprise model</t>
  </si>
  <si>
    <t>3 governorates in Egypt: Beni Suef, Minya, and Beheira</t>
  </si>
  <si>
    <t>Smallholder farmers</t>
  </si>
  <si>
    <t>Direct participants are headcounts of farmers receiving technical assitance and training from the project.</t>
  </si>
  <si>
    <t>Final Evaluation was intended to take place during current FY but had to be pushed back due to  varied limitations and challenges. The final evaluation consultant proved to be incompetent and was not able to deliver the evaluation report. Hence, project team developed a mitigation plan and another consultant was hired accordingly. Final Evaluation report will be developed during upcoming FY and shall be included in upcoming PIIRS.</t>
  </si>
  <si>
    <t>Project built upon innovation from previous years of the project.</t>
  </si>
  <si>
    <t>The project is still testing for scalability</t>
  </si>
  <si>
    <t>Developing the technical capacity of extension agents and board of partner agricultural cooperatives and local NGOs</t>
  </si>
  <si>
    <t>The project was built upon Cargill's commitment as the main buyer of soya beans from farmers. However, due to foreign reserve challenges at the national level and local business challenges, project team negotiated with cargill to be able to include other marketing channels for farmers in future phases.</t>
  </si>
  <si>
    <t>Developing local capacities (i.e. extension officers) continued to prove effectiveness</t>
  </si>
  <si>
    <t>Farmer schools is the most effective mean in delivering technical information to farmers</t>
  </si>
  <si>
    <t>Setting prices at the beginning of marketing season increased general price of soya beans in the market</t>
  </si>
  <si>
    <t>Marketing channels need to be diversified to mitigate economic challenges and allow the chance to farmers to make their decisions accordingly</t>
  </si>
  <si>
    <t>Soya bean proved to have a very high potential for expansion and as a better summer substitution for farmers due to the relatively lower cost and higher profit</t>
  </si>
  <si>
    <t>Technical assistance need to be further expanded for farmers to ensure farmer understanding of climate smart agriculture. Capacity building for cooperatives need to include marketing skills</t>
  </si>
  <si>
    <t>Our Children's Wheat (Phase II)</t>
  </si>
  <si>
    <t>MOIFEG00011</t>
  </si>
  <si>
    <t>Mondelez International</t>
  </si>
  <si>
    <t>Support Egypt in self-sufficiency in wheat through increase production by 5%  in 1 year in 5 governorates</t>
  </si>
  <si>
    <t>5 governorates in Egypt: Aswan, Luxor, Suhag, Minya and Beheira</t>
  </si>
  <si>
    <t>Direct beneficiaries are headcounts of smallholder farmers receiving direct training and technical assitance from the project. Indirect beneficiaries are household members of direct beneficiaries calculated at 4 additional household members</t>
  </si>
  <si>
    <t>This FY is an extension to interventions of previous Our Children's Wheat. The project expanded on previous innovations that increase productivity</t>
  </si>
  <si>
    <t>This FY expanded interventions of previous phase of the project.</t>
  </si>
  <si>
    <t>The project operates mainly through agricultural cooperatives and public agricultural extension. The project provided capacity building for both parties</t>
  </si>
  <si>
    <t>The project addressed healthy nutritional needs of beneficiaries in 11 communities in 5 governorates. As a result 665 women benefitted directly out of which 345 were able to reduce their BMI by 1 to 2.2 points</t>
  </si>
  <si>
    <t>Farmer Schools</t>
  </si>
  <si>
    <t>Estension fields</t>
  </si>
  <si>
    <t>Community leaders' led nutrition programs</t>
  </si>
  <si>
    <t>Nutrition education classes to rural women showed major changes in their eating habits: vegetable and fruit intakes increased; ensuring nutritionally balanced meals; decreasing sugar and salts in their diets</t>
  </si>
  <si>
    <t>Extension agents and farms continued to be effective means in delivering technical information and training to farmers</t>
  </si>
  <si>
    <t>Improved varieties provided by government-funded research centers continued to receive great interest from farmers</t>
  </si>
  <si>
    <t>Sustainable Transformation of Egypt’s Aquaculture Market System (STREAMS)</t>
  </si>
  <si>
    <t>WFSHEG0010</t>
  </si>
  <si>
    <t>continue to support women fish retailers who are vulnerable players in the farmed fish value chains</t>
  </si>
  <si>
    <t>3 governorates in Egypt: Kafr El Sheikh, Fayoum, and Minya</t>
  </si>
  <si>
    <t>Women Fish retailers and their households who are part of the farmed fish value chain</t>
  </si>
  <si>
    <t>Direct beneficiaries are women fish retailers directly benefiting from project interventions through capacity building and VSLA groups. Indirect beneficiaries are household members of direct beneficiaries calculated as 4 excluding direct beneficiary.</t>
  </si>
  <si>
    <t>The project supported stakeholder to negotiate with state representatives to advocate against a policy that was harming fish farmers and supported women fish retailers to form a labor union (syndicate)</t>
  </si>
  <si>
    <t>The project supported women fish retailers to form a committee to act as a platform that advocates for fish retailer rights. WRC was supported by formation of VSLA groups and taking steps to establish a market place</t>
  </si>
  <si>
    <t>Women Retail committees were utilized as an empowerment platform to advocate for women retailers' rights. WRC in once governorate is taking steps to formalize theire status as registered street vendors.</t>
  </si>
  <si>
    <t>Capacity building and governance training</t>
  </si>
  <si>
    <t>Interactive theatre continued to prove as one of the best means to address community challenges and ensure community buy-in</t>
  </si>
  <si>
    <t>Fish Farmer Organization led value chain development improved conditions for fish farmers in Minya</t>
  </si>
  <si>
    <t>VSLA not only acted as a method for women economic empowerment but also acted as knowledge management platform</t>
  </si>
  <si>
    <t>Women fish retailers were introduced to varied recipes for preparing fish by professional chefs that helped them improve their nutritional needs and diversify their income generating streams</t>
  </si>
  <si>
    <t>Women retailer committees were very effective in arranging and advocating for the rights of women retailers</t>
  </si>
  <si>
    <t>VSLA acted as a knowledge management platform that helped increase awareness of women fish retailers</t>
  </si>
  <si>
    <t>Women’s Employment Promotion Programme</t>
  </si>
  <si>
    <t>UNWNEG0012</t>
  </si>
  <si>
    <t>Georgina Louis</t>
  </si>
  <si>
    <t>geogina.louis@care.org</t>
  </si>
  <si>
    <t>Moustafa Osama</t>
  </si>
  <si>
    <t>DME Officer</t>
  </si>
  <si>
    <t>moustafa.osama@care.org</t>
  </si>
  <si>
    <t>Contribute to achieving the overarching goal for the USAID-UN Women agreement, i.e. a more gender-inclusive environment along agricultural value chains reflected through enhanced work environment for female employees in the agribusiness firms receiving USG assistance</t>
  </si>
  <si>
    <t>3 Governorates in Egypt: Minya, Beni Sueif, and Giza</t>
  </si>
  <si>
    <t>Women laborers in agribusiness firms and farms</t>
  </si>
  <si>
    <t>Direct participants are women laborers receiving capacity building trainings from the project directly, as well as community members participating in interactive theatres and sports days (activities of the project). Indirect participants are household members of direct participants</t>
  </si>
  <si>
    <t>The project worked to improve working condition for women working in agribusiness firms. The intervention aims to improve producitivity, attendance and retention of women laborers</t>
  </si>
  <si>
    <t>The project ois testing methods for improving working condition for women in partner agribusiness firms. Lessons learned by the end of the project can be taken to scale</t>
  </si>
  <si>
    <t>The project built the capacity of local NGOs establish in areas of operation of partner agribusiness firms. Local NGOs were targeted to support better working conditions for women laborers working in agribusiness firms</t>
  </si>
  <si>
    <t>Interactive theatres and sports days proved to be very effective in enhancing awareness on gender roles and GBV in target communities</t>
  </si>
  <si>
    <t>Labor committees proved to be effective in mainstreaming gender equality in agribusiness firms</t>
  </si>
  <si>
    <t>Paricipatory needs assessment with women laborers proved to have a significant impact on women's self-image and commitment to the work place</t>
  </si>
  <si>
    <t>Interactive theatres should be mainstreamed in addressing community-based and cultural challenges</t>
  </si>
  <si>
    <t>Agribusinesses are willing to find alternatives for labor contractors (that source women laborers). However, this kind of intervention requires a longer timeframe to be materialized</t>
  </si>
  <si>
    <t>Providing gender sensitive services at the work place (such as nurseries for mothers with children) increased commitment of women laborers and encouraged new entrants</t>
  </si>
  <si>
    <t>Youth Employment in Aswan Project (YEP)</t>
  </si>
  <si>
    <t>SDCXEG0002</t>
  </si>
  <si>
    <t>Osama Abdou</t>
  </si>
  <si>
    <t>osama.abdou@care.org</t>
  </si>
  <si>
    <t>provide increased and sustainable income for 2,500 disadvantaged youth and employment for a further 4,000 youth</t>
  </si>
  <si>
    <t>The project operated in the soutern region of Egypt in Aswan governorate</t>
  </si>
  <si>
    <t>Men and women under the age of 40 who depend on agriculture as their main source of income</t>
  </si>
  <si>
    <t>The project introduced new opportunties for stakeholders in horticulture, livestock and fisheries value chains from input to end-user markets</t>
  </si>
  <si>
    <t>The project worked closely with local research centers, other itnernational NGOs, local Microfinance Institutions and local businesses to test new opportunities in agricultural value chai.s However, the results did not meet expectations to fit marginalized youth</t>
  </si>
  <si>
    <t>The project continued to build the capacity of local Community Development Associations, MFIs, and Agricultural Cooperatives. Sustainability plans were developed for post-project activities in a participatory manner to ensure impact group continues to benefit from established services</t>
  </si>
  <si>
    <t>Financial rewards deemed successful to encourage women to expand poultry rearing from sustenance to commerncail purposes</t>
  </si>
  <si>
    <t>VSLA groups proved to be very successful in building social capital that helped women become more business oriented</t>
  </si>
  <si>
    <t>Zero-interest loans proved successful in encouraging agricultural cooperatives in utilizing their idle assets</t>
  </si>
  <si>
    <t>Job creation is a very complex process that requires deeper analysis for future programming and a flexible method of measurement</t>
  </si>
  <si>
    <t>Behavioural change require longterm programming particularly in changing attitude and perception in job creation</t>
  </si>
  <si>
    <t>In-kind micro-loans to women are successful, particularly in poultry, if presented as a comprehensive package including veterinarian services</t>
  </si>
  <si>
    <t>Ethiopia</t>
  </si>
  <si>
    <t>Learning for change ( L4C) strengthening Women's voices in East Africa</t>
  </si>
  <si>
    <t>CAUTET0022</t>
  </si>
  <si>
    <t>Girma Hailu</t>
  </si>
  <si>
    <t>girma.hailu@care.org</t>
  </si>
  <si>
    <t>Hewan Tesfaye</t>
  </si>
  <si>
    <t>Project coordinator</t>
  </si>
  <si>
    <t>hewan.tesfaye@care.org</t>
  </si>
  <si>
    <t>Promotion of meaningful participation of women in decsion making proecess at disfferent levels. At a result of the intervention, women shall benefit of increased participation in decsion making, better acess to resources and equality in different parts of life.</t>
  </si>
  <si>
    <t>The regional program is applying an integrated program approach and is implemented by CARE Austria in cooperation with CARE country offices in Ethiopia, Uganda and Rwanda and also at EU level and in the Great Lakes Region</t>
  </si>
  <si>
    <t>Staffs of  CARE Ethiopia and FSF+ five government partners offices  in Amhara region, South Gonder Zone, Ebinat, Tach Gayint and Simada district.</t>
  </si>
  <si>
    <t xml:space="preserve">Direct participants are staffs of CARE Ethiopia and  5 partner organizations at  Amhara regional state of Ethiopia, South Gonder. At impact level All 5 government partners are supported in three districts (Weredas) of South Gondar Zone. The project is implemented in 91 Kebeles (villages) of Amhara Region. As all government partners work with the same target groups and L4C supports own field officers and community facilitators to backstop the program activities of last phase the impact level  implementation </t>
  </si>
  <si>
    <t>capacity building related activities for CARE and partners</t>
  </si>
  <si>
    <t>Gender capacity assessments was worked on CARE and 5 partners, which helped to indetify the gaps and  validate, priortized thematic areas to work on develop actions plans together with partners.</t>
  </si>
  <si>
    <t>Work plan &amp; budget is revised with the relevance of the project objectives and planned interventions based on the impact level baselines study and organizational assesments which confirmed the needs of partners to be addressed also at impact level,</t>
  </si>
  <si>
    <t>Social action and Analyis (SAA),and Gender Equity and Diversity (GED) trainings</t>
  </si>
  <si>
    <t>Emergency nutrition and livelihood support for drought affected communities of East and West Hararghe, Ethiopia, 2017-18</t>
  </si>
  <si>
    <t>CA377</t>
  </si>
  <si>
    <t>Global Affairs Canada (GAC)</t>
  </si>
  <si>
    <t>Teyent Tadesse</t>
  </si>
  <si>
    <t>Emergency Program Coordinator</t>
  </si>
  <si>
    <t>teyent.tadesse@care.org</t>
  </si>
  <si>
    <t>Ayele Getahun</t>
  </si>
  <si>
    <t>Emergency Nutrition Technical Advisor</t>
  </si>
  <si>
    <t>ayele.getahun@care.org</t>
  </si>
  <si>
    <t>The ultimate outcome of this project will be to ensure that lives are saved, suffering alleviated and human dignity maintained in Ethiopia. 
The intermediate outcome of this project is to reduce the vulnerability of crisis-affected people, especially women, girls and boys in East and West Hararghe zones, Oromiya Region, Ethiopia</t>
  </si>
  <si>
    <t>This project seeks to address immediate humanitarian needs of populations affected by the El-Nino drought and its prolonged aftermath in East and West Hararghe, Oromiya region, Ethiopia.  (Jarso, Kurfa chelle, Haromaya, Kombolcha, Goro gutu and Kerssa woredas from East Hararghe and Gemechis, Chiro, Doba and  Mieso woredas from West Hararghe zone)</t>
  </si>
  <si>
    <t>Chronically Food Insecure Rural Women</t>
  </si>
  <si>
    <t>This is a new project started recently and we are hopping to generate lessons at the end of the prroject</t>
  </si>
  <si>
    <t>CCANET0026</t>
  </si>
  <si>
    <t>Food Sufficiency for Farmers (FSF)</t>
  </si>
  <si>
    <t>Hailu Girma</t>
  </si>
  <si>
    <t>Girma.Hailu@care.org</t>
  </si>
  <si>
    <t>Nathan Samson</t>
  </si>
  <si>
    <t>MEL specialist</t>
  </si>
  <si>
    <t>nathan.samson@care.org</t>
  </si>
  <si>
    <t>Sustained food security for chronically food insecure households</t>
  </si>
  <si>
    <t>Amhara region, South Gonder Zone, Ebinat, Tach Gayint and Simada district, Oromiya region east Harerge Zone Kurfachele, Meta, Deder and Haromaya district, Oromiya region in west Harerge Zone, Messela, Tullo, Odabultum, Doba districts</t>
  </si>
  <si>
    <t>The upcamong evaluation focusing on assessing the achivement of the project in terms of meeting its overall goal. The evaluation will be done by independent consultant contracted by the project. At this time not possible to mdefine about the methodology that will be employed in thi evaluation. But since this is endline evaluation, we assume the methodology will be consistent with baseline.</t>
  </si>
  <si>
    <t>Focusing on CFIRW-the project engages women VSLA to generate own income and particpate in different/diversified income generating activies(proting of women centered value chain approach)</t>
  </si>
  <si>
    <t>Working throgh government structure hepls to scale up the Women focused VSLA and market oriented approch. Currently, this approch has got acceptance at national level for  the process of scale up in PSNP phase 4 nationaly.</t>
  </si>
  <si>
    <t>Capacity building training</t>
  </si>
  <si>
    <t>Given that the project is at its last implemntation year, no adjustment was made.</t>
  </si>
  <si>
    <t>Diversification and increasing an income of target houeholds</t>
  </si>
  <si>
    <t>building the capacity of counterpart government office to improve provision of food security service to traget beneficiaries</t>
  </si>
  <si>
    <t>Building resilience of target beneficiaries aginst drought and other forms of shocks</t>
  </si>
  <si>
    <t>while providing training to school environmental and gender clubs, its better prioritize lower grade student. They provide long years services as they stay longer to graduate from the school</t>
  </si>
  <si>
    <t>learning the success of VSLA  groups, the community has started being  organied in VSLA by their oun intiative. This tell how much a VSLA approach is got acceptance in rural community.</t>
  </si>
  <si>
    <t>AP, annual report, and outcome survey brief</t>
  </si>
  <si>
    <t>Growing Nutrition for Mothers and Children (GROW)</t>
  </si>
  <si>
    <t>Caitlin Goggin</t>
  </si>
  <si>
    <t>caitlin.goggin@care.org</t>
  </si>
  <si>
    <t>Martha Alemayehu</t>
  </si>
  <si>
    <t>LDM manager</t>
  </si>
  <si>
    <t>martha.alemayehu@care.org</t>
  </si>
  <si>
    <t>Improve nutritional status of women and children in Ethiopia</t>
  </si>
  <si>
    <t>West Hararge zone, East Hararge zone and Afar Region in Ethiopia</t>
  </si>
  <si>
    <t>Women of reporductive age ( WRA) ( 15-49) and boys and girls under 5 in Ethiopia (Chronically Food Insecure Rural Women-CFIRW)</t>
  </si>
  <si>
    <t>Indirect beneficiaries are calculated using the conversion factors that are set nationally to calculate population by age group in Ethiopia. 
And also considering  children  between the age of 6-14  as an indirect beneficiaries.</t>
  </si>
  <si>
    <t>The project starting from the stage of designing has conisdered gender in its planning, implementation and monitoring and evaluation.</t>
  </si>
  <si>
    <t>Mother to Mother groups</t>
  </si>
  <si>
    <t>Father to father groups</t>
  </si>
  <si>
    <t>Collaboration with the government Nutrition Coordination and Technical committees at Zone and woreda level</t>
  </si>
  <si>
    <t>Reaching direct beneficiaries i.e  women of reproductive age groups ( 15-49) through Mother to Mother groups</t>
  </si>
  <si>
    <t>Men engagement  through formation of father to father discussion groups (F2F)</t>
  </si>
  <si>
    <t>Implementation of the project activities in through the government structure for  effectiveness, efficiency and sustainability</t>
  </si>
  <si>
    <t>The project major direct beneficiaries are M2M and F2F groups and are used as an entry point for other project interventions. Hence, the groups are formed in year one and are going to be continuous target until end of the project life.
Currently GROW project is in its year 2 -first quarter implementation period. GROW project is launched  in Jan 2016 during the first year the project was mostly focused on creating a strong foundation through establishing close coordination with relevant government line departments as well as with the community level stakeholders. This helps ensuring a participatory and demand driven quality project delivery approach. in addition to that in year 1, the project engaged in emergency seed (shorter-maturing crop seeds)provision due to the severity of the El Nino-induced drought that affected the country. Thus, the project has started implementing the strategies  that it originally intended to address in this FY.</t>
  </si>
  <si>
    <t>Quantitative baseline report 
Annual progress report 
Project Implementation Plan- for reference of direct and indirect beneficiaries of the project</t>
  </si>
  <si>
    <t>CCANET0028</t>
  </si>
  <si>
    <t>POWER Africa: Promoting Opportunities for Women's Economic Empowerment in Rural Africa</t>
  </si>
  <si>
    <t>Helal Haque</t>
  </si>
  <si>
    <t>helal.haque@care.org</t>
  </si>
  <si>
    <t>Natthan Samson</t>
  </si>
  <si>
    <t>LDM specialist</t>
  </si>
  <si>
    <t>Increase financial inclusion for 75,000 individuals and their families</t>
  </si>
  <si>
    <t>End line assessment</t>
  </si>
  <si>
    <t>VSLA has contrubuted for the formation and strengthining of RUSACCO</t>
  </si>
  <si>
    <t>Some VSLA members have more saving and demanding larger loan sizes that will enable them to engage in different IGA activites</t>
  </si>
  <si>
    <t>AP, MIS data , annual report, and outcome survey brief</t>
  </si>
  <si>
    <t>Resilience building &amp; creation of Economic opportunities in Ethiopia</t>
  </si>
  <si>
    <t>CNLDET0018</t>
  </si>
  <si>
    <t>Benedict Irwin</t>
  </si>
  <si>
    <t>Pastoral Unit Coordinator</t>
  </si>
  <si>
    <t>benedict.irwin@care.org</t>
  </si>
  <si>
    <t>Did Boru</t>
  </si>
  <si>
    <t>RESET II Programme Manager</t>
  </si>
  <si>
    <t>did.boru@care.org</t>
  </si>
  <si>
    <t>To address the root causes of displacement and irregular migration in Borana Zone, Oromia Region through the craetion of economic opportunities and increased resilience capacity of volunerable communities</t>
  </si>
  <si>
    <t>Ethiopia, Oromia Regional State, Borana Zone, Dillo, Arero and Moyale woredas</t>
  </si>
  <si>
    <t>Pastoral School Age Girls</t>
  </si>
  <si>
    <t>RESET II started its operation after March 2017 and thus, the mid term evalution period may extend beyond March 2018.</t>
  </si>
  <si>
    <t>Moving out of the traditional ways of doing things and promoting community participations and empwering senses of ownerships, for instance scaling-up on the best practices and innovatve ideas of PLI and PRIME projects like working with and through customary institutions of natrual resources management units.</t>
  </si>
  <si>
    <t>Participatory natuiral resources management whereby rangelands are divided into traditional grazing units of Dheedas, Reera and resources are managed accordingly and customary leaders taking lead roles and seasonal management systems being upgraded.</t>
  </si>
  <si>
    <t>The project is at its early stage to make adjustments-this will be considered based on the outcome of baseline survey and other resaerch results.</t>
  </si>
  <si>
    <t>Impacts are yet to be seen, however, there are some positve signals that community-led total hygiene and sanitation is demonstrating clear impact of making open defecation free environment.</t>
  </si>
  <si>
    <t>Clsoe work relationships with government, community and NGO partners have higher potentail impact on sustainability of project activties after project phase-out or project action ends</t>
  </si>
  <si>
    <t>Late inception of the project and failures of two consecutive rainfalls</t>
  </si>
  <si>
    <t>Captalizing on exisitng good practices and joint planning and implementations of project actions with relevant stakeholders will have high sustainability impacts.</t>
  </si>
  <si>
    <t>Women for Women: Creating Opportunity for Women in Enterprise Development in Addis Ababa, Ethiopia</t>
  </si>
  <si>
    <t>H&amp;M Conscious Foundation</t>
  </si>
  <si>
    <t>Silke Hhandley</t>
  </si>
  <si>
    <t>Handley, Silke &lt;Silke.Handley@care.org</t>
  </si>
  <si>
    <t>Misrach Mekonnen</t>
  </si>
  <si>
    <t>misrach.mekonnen@care.org</t>
  </si>
  <si>
    <t>Economic Empowerment of Low Income Women</t>
  </si>
  <si>
    <t>Three Sub Cities of (Lideta woreda 5&amp;7, Kirkos wereda 9 &amp; 10 and Arada wreda 5&amp;10) Addis Ababa City Adminstration, Ethiopia</t>
  </si>
  <si>
    <t>(Resource poor urban youth female) Women from low-income communities in urban areas of Addis Ababa, Ethiopia</t>
  </si>
  <si>
    <t>Direct:Direct Beneficiaries:
• 5000 women to be organized into VSLAs, SHGs, SACCOs
• 500 women led enterprises (in groups and individual)
• 50 Women led Social Service Providers
Indirect Beneficiaires: 
• Family members of 5,000 women, Micro and Small Scale Enterprise, WCYAO, Training Institutes like DOT, Micro Finance Institutions like Addis Credit and Saving Institute, Banks and the Addis Ababa community at large are targets which indirectly benefit from this project.</t>
  </si>
  <si>
    <t>Using Enterprise Development as a means of eradicating poverty and gender inequality</t>
  </si>
  <si>
    <t>One of the strategies we used was providing an intensive capacity building trainings which helped our target to generate innovative ideas to diversify their livelihood strategies and this innovative approach inspired the wider community for change. 
• Partners incorporated “Women-led Enterprise Development” strategy as a key tool in promoting pro-poor solutions.</t>
  </si>
  <si>
    <t>Yes, as it was difficult to meet the planned 5000 targets based on the  pre-defined selection criteria, a “cascading” mechanism was developed to reache the unmet targets whereby women who were previously involved in VSLA start-up and in VSLA trainings provide/share experiences with other women.</t>
  </si>
  <si>
    <t>Organizing targets in to VSLA groups and also formation of SACCOs</t>
  </si>
  <si>
    <t>Engaging men</t>
  </si>
  <si>
    <t>Community scord training is provided at the end of this FY and implementation will be in the next FY</t>
  </si>
  <si>
    <t>We learned that working in partnership including collaboration with government is very advantageous to use available opportunities, for example, this year by collaborating with the Women and Children affairs office, we were able to organize bazaar for our targets which may not be impossible to conduct the bazaar for us as our targets are involved in informal activities.</t>
  </si>
  <si>
    <t>Being flexiable to change strategies and adabtive according to situations  is very much infulencial in meeting the project objectives.</t>
  </si>
  <si>
    <t>Though effort was made to link targets with micro finance institutions to access soft loan, it became challenging as the targets were having different expectation in terms of service provision.</t>
  </si>
  <si>
    <t>Project proposal, Base line survey document</t>
  </si>
  <si>
    <t>Seed Emergency Response with the Government of Ethiopia (SERGE) Project</t>
  </si>
  <si>
    <t>AT568</t>
  </si>
  <si>
    <t>Worku Abebaw</t>
  </si>
  <si>
    <t>Emergency Program and Operations Manager</t>
  </si>
  <si>
    <t>worku.abebaw@care.org</t>
  </si>
  <si>
    <t>To contribute to the food security and livelihood recovery of drought-affected smallholder farmers in target woredas of Amhara, Oromiya, Tigray and SNNP Regions, preventing further asset depletion and food shortages.</t>
  </si>
  <si>
    <t>Babile, Fedis, Grawa, Haramaya, Jarso, Kurfachele woredas from East Hararghe zone  and , Anchar, Chiro, Gemechis, Mesela, Mieso, Odabultum, Tullo and Doba  woredas from west Hararghe zone in Oromia Region. Loke Abaya, Hawassa Zuria, Shebedino and Hawela tula from SNNPR  and Ebinat woreda from South Gonder in Ethiopia</t>
  </si>
  <si>
    <t>Chironically Food Insecure Rural Women</t>
  </si>
  <si>
    <t>The project direct participants are those housholdes a) severely affected households with low purchasing power; b) nutritional hotspot kebeles, communities and malnourished families; c) households enrolled in either the current emergency food aid or the government Productive Safety Net Programme (PSNP); d) women-headed households who are vulnerable to shocks/recurrent droughts; e) seed insecure households; and f) households with family members with disabilities or PLW.   The indirect project participants are members of the householdes who are selected as a s project participants</t>
  </si>
  <si>
    <t xml:space="preserve"> Targeted households gained increased access to adequate seed quality and quantity enabling increased food production following the Meher 2016 harvest period.</t>
  </si>
  <si>
    <t>WASH and livelihood support to drought affected communities in  South Gondar</t>
  </si>
  <si>
    <t>AT574</t>
  </si>
  <si>
    <t>Desta Baye</t>
  </si>
  <si>
    <t>Emergency WaSH Technical Advisor</t>
  </si>
  <si>
    <t>desta.baye@care.org</t>
  </si>
  <si>
    <t>To address critical WASH and food security/livelihood needs and opportunities in a gender sensitive way for the most dorught-affected popualtion in target woredas</t>
  </si>
  <si>
    <t>Amhara region, South Gondar zone, Tach Gayint and Ebinat woredas</t>
  </si>
  <si>
    <t>This project addressed critical WASH and Food Security / Livelihood needs and opportunities in a gender sensitive way for the most drought-affected populations in the two woredas. Particularly women headed households who are vulnarable were given priority for livelihoods support</t>
  </si>
  <si>
    <t>The direct beneficaries are those who are directkly benefited from the  WASH and Livelihood activities undertaken by the project and, thereby improving thier health, income and food and livelihood security and strengthening household and community resilience to current and future droughts</t>
  </si>
  <si>
    <t>Lack of documented well history data on the selected water schemes were the big challenge and affected timliness of the project. History of the water well is the base for any mainatinance work and documentation of the history is very helpful and will easy the mainatinace work</t>
  </si>
  <si>
    <t>Improved and Sustainable Water, Sanitation and Hygiene Plus Services within a Women and Girls’ Empowerment Programme in the Pastoral Lowlands of Dalifagie Woreda of Afar Region</t>
  </si>
  <si>
    <t>GB433</t>
  </si>
  <si>
    <t>GB424</t>
  </si>
  <si>
    <t>The Betitudes Fund</t>
  </si>
  <si>
    <t>Abebaw Kebede</t>
  </si>
  <si>
    <t>WaTER+ Program Coordinator</t>
  </si>
  <si>
    <t>Abebaw.Kebede@care.org</t>
  </si>
  <si>
    <t>Sintayehu Mesele</t>
  </si>
  <si>
    <t>Sintayehu.Mesele@care.org</t>
  </si>
  <si>
    <t>Improve the health status and gender equity among pastoralist communities in Dalifagie woreda of Afar regional state through integrated WASH implementation with high community and government participation and leadership</t>
  </si>
  <si>
    <t>Ethiopia ,Afar Regional State; Zone 5;  Dalifagie Woreda</t>
  </si>
  <si>
    <t>Pasturalist School Age Girls</t>
  </si>
  <si>
    <t>The direct participants are those who access to safe and sustainable water sources and partcipants of any training both at communities and schools. Students who are benefiting from the constructed latrines are also considered as direct partcipants fro this project. Indirect beneficaries are partcipants who are benefiting from sanitation and hygiene promotions, sanitation facilities (community level), NRM activities and family members of training partcipants.</t>
  </si>
  <si>
    <t>It is a project final evaluation surveyconducted to measure the sucsess of the intended results of the project-to measure relavance, efficency, effectivness, outcome and sustinability. It will use both quanitatative qualitative information.</t>
  </si>
  <si>
    <t>Community demand responsive apparoch and alternative use of technologies like the solar system and CLTSH approches are found relevant in providing WASH services in cost effective way and sustainable way.</t>
  </si>
  <si>
    <t>The project is in line with GTP-2 and SDG in providing WASH services in sustained mannaer with the active participation and engagemnt of governments at all levels, communities/target groups, private sectors and community based instituations.</t>
  </si>
  <si>
    <t>No important changes or adjustements are made in FY17</t>
  </si>
  <si>
    <t>Demand responsive apparoch/strategy-the importance of conducting need assessemnts/situational assessemnts with the active partcipation of the target groups, mainly women and girls, are highly important in addressing the critical needs of the communities in a very cost effective and sustained mannaer.</t>
  </si>
  <si>
    <t>Empowering and engaging/partcipation of the communities an dtarget groups highly vital in acheving the intended results and for ensuring ownership</t>
  </si>
  <si>
    <t>The startegies employed working with the existing government structure at all levels and community based instituatiins like religious and clan leaaders contributed highly for acheving the saniatation and hygiene promotion and success.</t>
  </si>
  <si>
    <t>Adoption of new technology for pastoralist water supply ensure access to safe and sustinable water supply in sustained manner like using solars</t>
  </si>
  <si>
    <t>The need for empowering women and girls with men involvement is crucial in adressing the challenges of the communities in sustained manner, and also to adress the practical and strategic needs of women and girls.</t>
  </si>
  <si>
    <t>The importance of working with the existing government structure and communities through empowering approch in acheving the intended results in cost effectve and sustained mannaer</t>
  </si>
  <si>
    <t>Though it is in its early stage of the project period, the demand responsive approch, working with the existing government structures, working with communities, community based instituations, and empowering omen and girls are very imprortant in acheving the intended results of the project.</t>
  </si>
  <si>
    <t>The baseline survey is conducted by CARE staffs (internally) in colaboration with the government and it is in its analysis stage (not finaliyzed). Results will be shared within a short period of time.</t>
  </si>
  <si>
    <t>Pastoralist Afar girls' education support (PAGES)</t>
  </si>
  <si>
    <t>CGBRET0043, GB234</t>
  </si>
  <si>
    <t>Alem Agazi</t>
  </si>
  <si>
    <t>SRH and Nutrition Coordinators</t>
  </si>
  <si>
    <t>Alem.Agazi@care.org</t>
  </si>
  <si>
    <t>Zemed Yemenu</t>
  </si>
  <si>
    <t>zemed.yimenu@care.org</t>
  </si>
  <si>
    <t>To contribute to the improvement of 18,500 girls' life chances in Afar through achievement of their rights to education.</t>
  </si>
  <si>
    <t>Eight woredas (Dewe, Adear, Mile, Semurobi, Hadelela, Chifra, Gewane and Burimedayitu woredas) of Afar region of Ethiopia</t>
  </si>
  <si>
    <t>Marginalized pastoralist girls</t>
  </si>
  <si>
    <t>Social Analysis and action</t>
  </si>
  <si>
    <t>• Having strong partnership between the woreda implementing consortium member and government partners is helped to implment the project implmentation activities at  community level</t>
  </si>
  <si>
    <t>Creating the room for reviewing achievements with the SAA facilitator is important to share experiences among the facilitators and provide support and guidance for the challenges raised. It will also contribute for handing over of the project results to the woreda partners.</t>
  </si>
  <si>
    <t>•  Maintaining a monthly woreda level review meeting between implementing project staffs and woreda partners is also important to follow the progress of our intervention and took timely action for the challenges observed</t>
  </si>
  <si>
    <t>• Due to the current drought and lack of regular follow up most of currently assessed SAAs and VSLAs are not functioning to the desired level. Hence it would be helpful for CARE and implementing consortium to critical analyse the assessments result and provide support based on their gaps and needs</t>
  </si>
  <si>
    <t>• Assigning responsible project staffs and woreda partner for each SAA and VSLA groups is crucial so as to let the responsible person to be accountable for the success and failure of the groups. Hence initiating this is an important step to improve our impact on the larger community.</t>
  </si>
  <si>
    <t>CGBRET0047</t>
  </si>
  <si>
    <t>Support to Early Recovery and Socio-Economic Stability of the Drought Affected Population in Ethiopia</t>
  </si>
  <si>
    <t>Meron Kidane</t>
  </si>
  <si>
    <t>EU Recovery Program coordinator</t>
  </si>
  <si>
    <t>meron.kidane@care.org</t>
  </si>
  <si>
    <t>To foster social and economic stability of communities in the drought affected areas</t>
  </si>
  <si>
    <t>Oromiya region: East Hararge zone (Fadis, Kurfa Chale, Meta, and Deder Woredas) and West hararge zone (Boke, Chiro, Doba and Oba bultum Woredas); Tigray region: East Tigray zone (Atsbi Wenberta, Ganta Afeshum, Gulomekada and Hawzen Woredas); Amhara region: Waghimra zone (Dahina, Gazgible, Sekota and Ziquala ) and North wollo zone (Meket and Bugna woredas)</t>
  </si>
  <si>
    <t>Voucher based procurment that engaged local vendors positively impacting local economy</t>
  </si>
  <si>
    <t>SAA dialogue at household and community level</t>
  </si>
  <si>
    <t>Layered set of interventions on recovery planning</t>
  </si>
  <si>
    <t>Estie, Farta, Andabet and Dera (EFAD) Water and Sanitation Project</t>
  </si>
  <si>
    <t>US1BM</t>
  </si>
  <si>
    <t>Conrad N. Hilton Foundation;  Johnson &amp; Johnson Foundation, Chales Lamr Family Foundation, Perlis Foundation, and Guernsey Overseas Aid Commission (GOAC)</t>
  </si>
  <si>
    <t>abebaw.kebede@care.org</t>
  </si>
  <si>
    <t>Gardachew Tiruneh</t>
  </si>
  <si>
    <t>Learning, Design and Mesuerment (LDM) Manager</t>
  </si>
  <si>
    <t>gardachew.tiruneh@care.org</t>
  </si>
  <si>
    <t>Increase access to safe water, sanitation and hygiene facilities in Estie, Farta, Andabet and Dera of South Gondar Zone in Amhara Regional State</t>
  </si>
  <si>
    <t>Ethiopia; Amhara National Regional State of South Gondar Zone in four districts of Estie, Farta, Andabet and Dera</t>
  </si>
  <si>
    <t>The direct participants are those persons (adult men and women; young boys and girls, and cgildren who are geeting services from constructed/rehabilitated water supply schemes and saniation facilities both at community and instituational levels. The dircet partcipants are caluculated by counting the households and multiplying it by the regional family size standard. There is national standards for each water supply technology type and then the # of HHs served by the constructed/rehabilitated scheme are multiplies by the avrage family size of the region. And those beneficararies at instituational levels are counted by head count.</t>
  </si>
  <si>
    <t>Final evaluation of the project will be conducted from September-October, 2017 using quanitative and qualitative methodologies in order to measure the relevance, effecicency, effcetivness, impact and ustinability of the project. All the achivements of the project are done in comparision with the baseline data. The challanges and lessons learn from the implmenttaion of the project also assessed for future use. The final evaluation will be conducted by MWA in cllobartion with CARE and other partners.</t>
  </si>
  <si>
    <t>It is testing the Self Supply Accelaeration (SSA) approch, which is self/household levele investement for WASH services</t>
  </si>
  <si>
    <t>It is testing the Self Supply Accelaeration (SSA) approch, which is self/household levele investement for WASH services by linking it with  governments 2014 policy on SSA introduced by MoWIE</t>
  </si>
  <si>
    <t>No changes made</t>
  </si>
  <si>
    <t>Women engagement and empowerement-partcipation and leadership roles</t>
  </si>
  <si>
    <t>Community enaggement and contribution</t>
  </si>
  <si>
    <t>Partnership and capacity  building</t>
  </si>
  <si>
    <t>The importance of working with communities through out the project phase enhances and ensures ownership, sustinability and community contributions. The community contribution reached 30-40% reached interms of labor and locally avilable construction materials, which is very important in ensuring ownership among the user communities. The project also involve and partcipate pertinenet local governments at region, zone and district levels during design, implmenttaion, monitoring/supervision and evaluation of the project, and this enhances and ensures greter collaboration/partnership, sustinability, accountibility, trnasparency, participation/engagement and ownership.</t>
  </si>
  <si>
    <t>The imprtance of working with local governments starting from the design of the project through out the whole implmentation of the project. The project involve and partcipate pertinenet local governments at region, zone and district levels during design, implmenttaion, monitoring/supervision and evaluation of the project, and this enhances and ensures greter collaboration/partnership, sustinability, accountibility, trnasparency, participation/engagement and ownership.</t>
  </si>
  <si>
    <t>High potential of realizing self-supply acceleration (SSA) approach-self investements for WASH services. The achivements of CARE Ethiopia on SSA showed the existance of high potenatial of implmenting the 2014 SSA policy, if promotions are executing properly. CARE's achivement is serving as evidence based promotions and advocacy for SSA implmenttaion and achivements of GTP-2.</t>
  </si>
  <si>
    <t>The project is piloting two initatives in such as Chlorine dispancers and Tesing-Integrating NTDs with WASH services models; and also implmenting self supply acceleration (self investemnt for WASH services). Both the pilots and self supply acceleration interventions are found very relavant and important interms of adressing water quality issues (chlorine dispernsers), cost-effectivness of integrating NTDs with the existing WASH services (only 8-10% addational cost is required for NTD interventions), and the high potentials on self invetsemnts for WASH services, which all should be incorporated in future interventions within CARE and beyond.</t>
  </si>
  <si>
    <t>Graduation with Resilience to Achieve Sustanable Development (GRAD)</t>
  </si>
  <si>
    <t>USLMET0007</t>
  </si>
  <si>
    <t>John Meyer</t>
  </si>
  <si>
    <t>john.meyer@care.org</t>
  </si>
  <si>
    <t>Elisabeth Farmer</t>
  </si>
  <si>
    <t>elisabeth.farmer@care.org</t>
  </si>
  <si>
    <t>helping 65,000 households to graduate from the government -run Productive Safety Net Program (PSNP) in part by increasing each household's income by at least $365 per year</t>
  </si>
  <si>
    <t>Southern Nation and Nationality Peoples region, in Sidama Zone  in Shebedino, Loka Abaya, Hawale Tula districts and in Hawassa zone in Hawassa Zuria district; in Guraghe zone in Meskan and Mareko districts; Tigray region, So. Tigray zone in Ofla, Alamata, Enda Mehoni and Raya Azebo districts; Amhara region, South Gonder Zone, Libo Kemkem and Lay Gayint districts; and in Oromia region Arsi zone, Arsi-Negele, Zeway Dugda and Shalla districts and Oromiya region, East Showa zone, Adami Tulu district</t>
  </si>
  <si>
    <t>Chronically Food Insecure Rural women</t>
  </si>
  <si>
    <t>Direct participants: Chronically food insecure households; Indirect participants: members of the family Eg. Children, youths, etc.members of direct project participants</t>
  </si>
  <si>
    <t xml:space="preserve">The project has been completed </t>
  </si>
  <si>
    <t xml:space="preserve">Adopted video based extension appproach to create awareness on improved technologies and practices </t>
  </si>
  <si>
    <t>Video based extension</t>
  </si>
  <si>
    <t>VESA discussions, Social Analysis and Action and CARE's women empowerment framework have been helpful in addressing gender inequality</t>
  </si>
  <si>
    <t xml:space="preserve">VESA as an entry point to facilitate different activities such as saving, access to credit, awareness raising session and trainings that have been  effective for the economic and social empowerment of poor households </t>
  </si>
  <si>
    <t xml:space="preserve">Loan guarantee fund was an effective strategy to extending loans to poor households </t>
  </si>
  <si>
    <t xml:space="preserve">The linkage of VESAs with RuSACCO s  is an effictive approach to improve the saving culture of the community and  provide an additional option for credt access; Livestock collection centers promote modern livestock marketing, enhancin the participation of poor househols in sustainable markets, and adding value along the chain. </t>
  </si>
  <si>
    <t>GRAD Final Evaluation</t>
  </si>
  <si>
    <t>Improving Adolescent Reproductive Health and Nutrition in Ethiopia through Structural solutions /Abdiboru/ Research Project</t>
  </si>
  <si>
    <t>GATEET0002</t>
  </si>
  <si>
    <t>Ribka Dinku</t>
  </si>
  <si>
    <t>Ribka.Dinku@care.org</t>
  </si>
  <si>
    <t>The goal of the project is to establish cost effective model to reduce the vulnerability of girls age 10 -14 years, ensure their empowerment, and improve their health and development outcome.</t>
  </si>
  <si>
    <t>Chiro, Doba,Mesela and Boke Woredas of West Hararge Zone of  Oromia regional state of Ethiopia</t>
  </si>
  <si>
    <t>Adolosent girls age 10-14 (Both in and out of school)</t>
  </si>
  <si>
    <t>The direct beneficiaries of  the project calculated  taking in to consideration the  total population of  the four project intervetnion Woredas in  West Hararghe is 570,459  of whi ch 6.1 % of them are girls age 10-14 years of old, This equal to 34,798. As the project is a research project and one of the Woreda is control ARM . Thus 3/4 of 34,798 equal to 26,098 add 435  taking in to consideration  acceptable errors of targeting direct beneficiaries. The indirect beneficiaries were calculated based on  the estimated average household family size (4.6) . Thus the total indirect beneficiaries is 4.6 X 26,533=122,051.</t>
  </si>
  <si>
    <t>Social norms</t>
  </si>
  <si>
    <t>The planned evaluation is light qualitative proceess evaluation with the purpose  to improve dose and fidelity of implementation, as well as reach of the intervention into the target population</t>
  </si>
  <si>
    <t>The project is a research project /learning project works on early adolocent age 10-14 years to empower and significantly to contribute to education, sexual &amp; reproductive health and nutrition outcomes of very young adolescent girls and to develop evidence base model for social norms programming that can be scaled up by the government in a cost effective way by 2020.So large scale quantitative baseline survey both in qualitative and quantiative was done  and regional level dissmination workshop conducted to share the finding of  the research and further to buy in the regional partners to work closely with then and to faciliatae scale up the project .</t>
  </si>
  <si>
    <t>Delay in getting the baseline qualitative and survey report because of a security-related issues, large data base about 10,000 participants  coupled with the rainy season and rough topography of some study areas, especially Doba and Mesela, caused challenges in accessing study sites caused a delay in program startup. Due to these reason, development of training materials, cascading training and community group formation has been included in the second year plan.</t>
  </si>
  <si>
    <t>VSLA  approach.</t>
  </si>
  <si>
    <t>SAA approach.</t>
  </si>
  <si>
    <t>Working in partnership with the government sector offcies are the top three strategies or model that have proven to be most effectives</t>
  </si>
  <si>
    <t>Early adolescents are physicaly, emotionaly and cognitively immature so it is important to increase the community level man power for close followup and coach/mentor them until graduation of the group</t>
  </si>
  <si>
    <t>To be more sucessful boys should be part of the implementation, Even they can support their sisters,classmates and neighbors</t>
  </si>
  <si>
    <t>If their parents participate in the VSLA tool. They will understand the tool properly and will support the adolescents as per expectations</t>
  </si>
  <si>
    <t>USLMET0023</t>
  </si>
  <si>
    <t xml:space="preserve">Livelihoods for Resilience Activity (GRAD 2) </t>
  </si>
  <si>
    <t>Reducing food insecurity and increasing resilience for households (HHs) in highland areas of three regions in rural Ethiopia</t>
  </si>
  <si>
    <t>Southern Nation and Nationality Peoples Region (Gedio zone- Kochire, Wonago, Dilla Zuria;  Sidama Zone- Aleta Wendo, Dara, Boricha, and Chuko; and Hadiya zone- Soru, Duna, Misha, Lemu, Anlemu); Tigray region (South Tigray- Ofla, ALamata, Enda Mehoni, Emba Alage, Hintalo Wojerat; and East Tigray-  Genta Afeshum, Hawzen, Gulomekeda); Amhara region ( North Wollo- Guba Lafto, Harbu, Raya Kobo, Meket, Wadla; North Shewa-  Menz Mama and menz Gera)</t>
  </si>
  <si>
    <t>Direct participants are household heads who directly particpating in the project. Indirect participats are as guiding notes refering are family members of direct project participants</t>
  </si>
  <si>
    <t>Livelihoods for Resilience Activity is a new project that launched at mid of the fiscal year. In order to track the progress of the project, baseline survey will be conducted in the coming fiscal year. During time of compiling this freport, shartlisting potential consultant who could do the survey was finalized. Atthis point of time it won't be possible to provide detail information regarding methodological issue of this survey.</t>
  </si>
  <si>
    <t>no adjustment has been made so far</t>
  </si>
  <si>
    <t>''VESA groups'' serving as a plat form to bring social transformation and build the resilience capacity of target households</t>
  </si>
  <si>
    <t>using role models testimonies in order to inspire households to make changes in their savings habits, livelihoods investments, nutrition practices, and gender norms.</t>
  </si>
  <si>
    <t>Collaboration and layering plan helped the project to identify other projects, and areas of integration which inturn facilitate replication of impact</t>
  </si>
  <si>
    <t>Since the project was at start up phase, lessons and or best practices will be collected and reported in the up coming project period.</t>
  </si>
  <si>
    <t>Quarterly progress report</t>
  </si>
  <si>
    <t>Nutrition at the center</t>
  </si>
  <si>
    <t>SALLET0001</t>
  </si>
  <si>
    <t>SRH and Nutrition unit coordinantors</t>
  </si>
  <si>
    <t>Sisay Mengesha</t>
  </si>
  <si>
    <t>Nutrition at the center manager</t>
  </si>
  <si>
    <t>Sisay.Mengesha@care.org</t>
  </si>
  <si>
    <t>Improve nutrition status of women of  reproductive age and children under two  years of age by reducing stunting among children and anemia among mothers of reproductive age and under two children</t>
  </si>
  <si>
    <t>Ebinet and Simada Woredas of South Gonder Zone of Amhara Regional State</t>
  </si>
  <si>
    <t>Mothers with reproductive age (15-49) and children under two years of age</t>
  </si>
  <si>
    <t>The direct beneficiairieries are  women of reproductive age group 15 to 49 years old of 67,675 and children under two years both girls and boys of 16,632.and the indirect beneficiaries are 113,442. The caluculation is done based on  the total population of  women and girls in Ebinet and Simada-254,552. of which 24.1% are women of reporductive age, which equal to 61,347 , howerver based on evidance given by the woredas the estimated number of women of reproductive age is 61,347 and similarly under two children are 16,632.The indirect beneficiaries of the program include household members who live with the direct beneficiaries, who are estimated to be 113,442 (male = 76,866, female= 36,576).</t>
  </si>
  <si>
    <t>The futrue evaluation is the project final evaluation to measures program effects in the target population by assessing the progress in the outcomes or outcome objectives that the program is to achieve.</t>
  </si>
  <si>
    <t>We promote food diversity  for target beneficiaries through awarness raising and support poultry and vegetable and fruit seedlings to increase access to dietary diversity.</t>
  </si>
  <si>
    <t>Engaging religious leaders to teach the population  on the importance of feeding pregnant and lactating women with diversified foods, using pit latrines, women and equality.Husbands have started to give priority to their wives in providing adequate diversified foods, husbands gave space to their wives for day time rest by partaking in household chores.</t>
  </si>
  <si>
    <t>M2M, VSLA and SAA platforms are found to be a good communication media in bringing the intended behavioural chang</t>
  </si>
  <si>
    <t>Strong ,bright child and healthy  mother's day/Village Model event to ensure N@C's targeted beneficiaries have access to comprehensive services</t>
  </si>
  <si>
    <t>Engaging religious leaders to teach on key nutrition related  messages  to the population during  Sunday mass and  church specific holidays and funeral events.</t>
  </si>
  <si>
    <t>Working with community level structures such as Women Health Development Armies/M2M groups is found promising to implement nutrition related programs</t>
  </si>
  <si>
    <t>Working with the local university ( Bahardar University ) on  wild edible plants and its contribution for maternal and child nutrition and on promotion is  promising activities in  securing food in area where  draought affected</t>
  </si>
  <si>
    <t>Using religious leaders is also the other promising practice to realize adequate nutrition for pregnant and lactating women. Religious leaders engagement in teaching the mass can accelerate the progresses of positive nutritional out comes. Religious leaders are high acceptance in community - pregnant women become reliable to eat animal products in time of fasting, men have changed their attitude, become interested to provide support to their wives and children for better nutritional out comes.</t>
  </si>
  <si>
    <t>PRIME (Pastoralist Areas Resilience Improvement and Market Expansion)</t>
  </si>
  <si>
    <t>PRIME Program Manager</t>
  </si>
  <si>
    <t>Ben.irwin@care.org</t>
  </si>
  <si>
    <t>Enhanced Pastoralists’ Adaptation to Climate Change and  Increase Household Incomes</t>
  </si>
  <si>
    <t>Oromia, Afar and Somali regions of Ethiopia</t>
  </si>
  <si>
    <t>Direct Beneficiaries: Pastoralists and agro-pastoralist households who directly involve in PRIME project activities. These includes, VSLA members, Milk collectors, Rangeland system members who are directly benefited from Livestock productivity and marketing interventions, NRM and CCA activities, Self and recruited employment opportunities to youth transitioning out Pastoralism in private sectors, Nutrition interventions etc. PRIME calculates its direct beneficiary households, not individuals. However, according the project baseline report, the average household size in its implementation area is thought to be seven (7). Hence, we multiplied the total households reached during the fiscal year by seven (7). To segregate the number of women and men beneficiaries, we used 51% and 49% respectively according to the national population survey report (2007).
Indirect Beneficiaries: PRIME has been working with different intuitions such as Afar Micro Finance, Addis Kidan milk processor, Private veterinary Pharmacies, livestock trader and other business institutions to create access to finance, market and animal health etc. According to the project M&amp;E plan, these intuitions are not accounted as direct or indirect beneficiaries, but as number of intuitions supported.</t>
  </si>
  <si>
    <t>The End line evaluation has already been conducted on June, 2017. However, compilation of the report is yet to be finalized on October, 2017</t>
  </si>
  <si>
    <t>PRIME project works to expand input and output market opportunities to poor pastoralist households in Ethiopia's Dry land by partnering up with local private business development; like Private Veterinary Pharmacy expansion to enhance pastoralist access to animal health and also feeds. The project also supported set markets for pastoralist by improving local livestock markets infrastructure and increase linkages with milk processing companies; like Addis Kidan which is more sustainable than direct service delivery. The project measured these integrated interventions that has resulted in household income and resilience capacities even in the presence of frequent drought in its implementation areas.</t>
  </si>
  <si>
    <t>PRIME project by itself is implemented through multi stakeholders and work closely with government institutions such as NMA and DRM.
PSP (Participatory Scenario Planning): PRIME provides information service that is down skilled, blended, and contextualized for its end users (pastoralists, local government, local businesses and farmers) through creating a link for indigenous forecasters in the community and metrological forecasts to be blended and disseminated in a user friendly manner. 
SAA (The project organized both men and women groups that focus on behavioural change regarding adaptation like water conservation before dry seasons, saving and other gender cross cutting issues as early marriage etc.)
VSLA:  Unlike the traditional village saving and loan associations, the project helps its beneficiaries save by making institutional and systematic saving accessible.
NRM-PRM (Participatory Rangeland Management): Conservation of rangeland through participation of community, government and stakeholders, a process which has three phases (investigation, negotiation and implementation phases) and 10 steps.
Step1. Rangeland resource identification 2. Participatory mapping 3. Institutional Analysis 4. Map digitalization and verification 5. Institutional strengthening 6. Community rangeland management plan and bylaw development 7. Legitimizing the plans and bylaws with stakeholders 8. Building stakeholders’ capacity 9. Support implementation of management plan by stakeholders 10. Monitoring and evaluation</t>
  </si>
  <si>
    <t>CARE PRIME project grated three local NGOs, namely AISDA, SOS SAHEL and FSA to implemented PRIME project in Afar and Oromia regions. Besides, CARE gave technical suppport to these local NGOs in strenthening their financial management, human resource development and leadership skills.</t>
  </si>
  <si>
    <t>The total budget that was modified for the 12th time. Crisis Modifier applied to drought situation in Eastern and Southern Clusters</t>
  </si>
  <si>
    <t>Participatory Rangeland Management</t>
  </si>
  <si>
    <t>Participatory Senario Planning</t>
  </si>
  <si>
    <t>VSLA/SAA</t>
  </si>
  <si>
    <t>Observed behavioural changes regarding culture of saving and spending as a result of dialogs from SAA groups</t>
  </si>
  <si>
    <t>Institutionalisation of PSP catalysed by exhange visit to Kenya projects</t>
  </si>
  <si>
    <t>Need to biulding close collaborative and learning relationships with Government at the Federal and Regional levels</t>
  </si>
  <si>
    <t>PRIME Quarter 17, 18 and 19 reports, PRIME Project Proposal and http://prime.ki-projects.com/Home.aspx</t>
  </si>
  <si>
    <t>Safe Drinking Water for Vulnerable Communities in Afar region</t>
  </si>
  <si>
    <t>USL72</t>
  </si>
  <si>
    <t>The overall goal of the project is to improve and sustain the health and livelihoods of families affected by severe drought in the four targeted Woredas of zone three, Afar region through WASH interventions</t>
  </si>
  <si>
    <t>Afar region, Zone 3, Amibara, Awash Fentale, Buremedaitu, Mille and Gewane woredas</t>
  </si>
  <si>
    <t>The direct beneficaries are those who are directly benefiting from the WaSH activities undertaken in their locality</t>
  </si>
  <si>
    <t>This project is under implimenation and we are hoping to generate lessons in the upcoming timre</t>
  </si>
  <si>
    <t>Recurrent drought as a result of consequative  3 seasons rain failure in the area has been a big challenge</t>
  </si>
  <si>
    <t>Towards Improved Economic and Sexual Reproductive Health Outcomes for Adolescent Girls (TESFA ) in Ethiopia</t>
  </si>
  <si>
    <t>JHJHE0005</t>
  </si>
  <si>
    <t>Taye mengiste</t>
  </si>
  <si>
    <t>Project officer</t>
  </si>
  <si>
    <t xml:space="preserve">taye.mengist@care.org </t>
  </si>
  <si>
    <t>To  reach 3000 ever-married adolescent girls to bring measurable, positive change to their economic status and SRH.</t>
  </si>
  <si>
    <t>Farta district , South Gonder of Amhara regional state of Ethiopia</t>
  </si>
  <si>
    <t>Ever married adolescent girls 10-19 years old.</t>
  </si>
  <si>
    <t>The direct beneficiaries of TESFA project is 3000 ever married adolecent girls of age 10-19  and community groups of 1440 men and women. The project direct beneficiaries are based on the estimated numbers of ever married adolocent girls who lives in the selected interventioin kebeles  based on the local government estimates. The indirect beneficiaries 7200 housholdes who received information from the community group members. The indirect beneficaries calculated based on the government 1 to 5 structures. Thus the 1440  direct beneficiarie of community group members expected to  dissminate the information they learnt to 7200 (i.e 1440*5=7200).</t>
  </si>
  <si>
    <t>This project is based on the previous TESFA project (2010-2013),which tested the intervention model using robust research methods with the research component of the project aimed to provide directly actionable and relevant evidence on the effectiveness of providing EE and SRH programming.This project is based on the previous TESFA and scale up to reach additionational ever married girls age 10-19 years in farta districts</t>
  </si>
  <si>
    <t>VSLA approach is the  most effective approach in the project, most of the VSLA girls group members engaged in different Income generating activities which changes the life of the adolescent girls.</t>
  </si>
  <si>
    <t>Cross learning visit among the different enrolled groups  was the best approach to share the experience and to encourage the ever married adolescent girls in engaging in different Income genrating activities</t>
  </si>
  <si>
    <t>SAA appraoch-Facilitating the SAA groups members to support the ever married adolescent girls increased retention of the girls group members in the group and encourage them to engage in different IGA activities and to get acceptance in challenge the existing norms.</t>
  </si>
  <si>
    <t>Using the SAA plat form as VSLA is one of the lesson for the economic empowerment of  women and men and to support the ever married adoloecent girls</t>
  </si>
  <si>
    <t>Working closely with the government partners resulted in accessiblity of SRH services e.g Accessible youth friendly services</t>
  </si>
  <si>
    <t>Forming the community members in SAA groups helps to challenge the  existing norms in the community and to mobilize the community for the development activities e.g the SAA groups able to construct second cycle school to avoid school drop out because of distance.</t>
  </si>
  <si>
    <t>USAID LOWLAND WATER, SANITATION, AND HYGIENE ACTIVITY</t>
  </si>
  <si>
    <t>US1L4</t>
  </si>
  <si>
    <t>Enhance resilience and reduce conflict through improved sustinable access to safe water and sanitation, environmentally sustainable natural resources managemnt and improved hygiene behavior for targeted pasoralist communities in Afar region</t>
  </si>
  <si>
    <t>Ethiopia; Afar Regional State; Zone 1, 2, 3 and 4; Mile, Adahar, Dubit, Teru, Kunaba , Erebit, Dalol, Gewane, Gelalo and Buremudayitu Woredas</t>
  </si>
  <si>
    <t>The direct participants are those who access to safe and sustainable water sources and partcipants of any training. Partciapants who are benefiting from the small irrigation schemes are also direct partcipants. Indirect participants are benefiting from sanitation and hygiene promotions, sanitation facilities, NRM activities and family members of small scale irrigation schemes and any particiapants of any training.</t>
  </si>
  <si>
    <t>It is a follow-up/midterm evaluation conducted to measure the progress of the project and make adustemnts/actions, if any thing reqiured based on the findings of the survey.</t>
  </si>
  <si>
    <t>Introducing optional and new technology for safe water supply like disalenation plant for safe water supply, Sollar panles as alternative and cost effective power supplies, Pioonner water tankers for qualiaty and sustained water storages, etc. It also  intrduces new accountability mechanisms (CSC) and gender empowerment tools (SSA).</t>
  </si>
  <si>
    <t>The project is working towards GTP-2 and SDG on access to safe water supply and saniation facilities</t>
  </si>
  <si>
    <t>No important changes or adjustements are made in this FY</t>
  </si>
  <si>
    <t>Demand responsive approch</t>
  </si>
  <si>
    <t>Community participation and engagemnt</t>
  </si>
  <si>
    <t>Ensuring ocial accountability and transparency</t>
  </si>
  <si>
    <t>Adoption of new technology for pastoralist water supply ensure access to safe and sustinable water supply</t>
  </si>
  <si>
    <t>Women and girls empowerment and engagements</t>
  </si>
  <si>
    <t>The importance of working with the government structures, engaging/participating communities/target groups and community based instituations</t>
  </si>
  <si>
    <t>The pasoralist communities like in Afar are very vulnerable and affected communities in many ways, mainly women and girls. One of the priority needs of the target communities is accessing sustinable safe water supply for domestic use and their animals. It is the priority stratagic intervention plans of the regional and local governments. The project is tried its maximum efforts to address the needs (the practical needs) and also strtagic needs of women and girls, and the monitoring results revaled that the project is contributing highly in addressing the needs, but more interventions are needed and required.</t>
  </si>
  <si>
    <t>Afar Region Emergency Nutrition Response project</t>
  </si>
  <si>
    <t>31/11/2017</t>
  </si>
  <si>
    <t>The overall objective of this project is to support and stregthen government's health system to manage increasing cases of acute malnutrition among children less than 5 years, and pregnant and lactating women in the six drought affected Woredas (Gomole, Ele-woye, Teltele, Arero Dubluk, and Wachile) of Borena Zone.</t>
  </si>
  <si>
    <t>Teltele, El Waye, Gomole, Dubluk, Arero, Wachile woredas in Borena  zone of Oromiya Region, Ethiopia</t>
  </si>
  <si>
    <t>The project targets male and female children less than five years, pregnant women, and lactating women for direct nutrition support and mothers of children less than 2 years (regardless of their nutritional status) for IYCF-E, Health, and Nutrition counseling.</t>
  </si>
  <si>
    <t>The proposed project will directly  reach to: 
• 1226 moderately malnourished children age between 6 to 59 months
• 600 severely acute malnourished children less than five years
• 1580 moderately malnourished pregnant and lactating women 
• 500 women with children less than two years</t>
  </si>
  <si>
    <t>This a new project under implimentation and we are hopping to genarate lessons after or at the end of the project period</t>
  </si>
  <si>
    <t>AWD response in East and West Hararghe</t>
  </si>
  <si>
    <t>US1RE</t>
  </si>
  <si>
    <t>The main objective of the Emergency Water, Sanitation and Hygiene interventions is to reduce morbidity and mortality due to WaSHrelated hazards by increasing access to safe drinking water.</t>
  </si>
  <si>
    <t>Meiso, Doba, Chiro, Gemechis  from West Hararghe zone and  Fedis, Babile, Kombolcha and Jarso from East Hararghe zone</t>
  </si>
  <si>
    <t>The direct beneficaries are those who are directly reached by the project either through provision of different  resources ( water treatment chemicals and treatment medication in the CTCs) or through training and eduction</t>
  </si>
  <si>
    <t>Coordinated effort by the different actors, information sharing  and regular coordnation meeting were some of the strategies helped to make the AWD respose more effective. The spread of the epidemic in many parts of the country at same time was a big challenge for the NGOs and the government as well</t>
  </si>
  <si>
    <t>Borena zone Emergency Nutrition Réponse Project</t>
  </si>
  <si>
    <t>US1VD</t>
  </si>
  <si>
    <t>The proposed project will reach the following direct beneficaries through Nutritional support, IYCF-E, Health and Nutritional Counceling: Beneficaries will be targeted based on thier nutritional status 
• 9973 moderately malnourished children age between 6 to 59 months
• 1342 severely acute malnourished children less than five years
• 13686 moderately malnourished pregnant and lactating women 
• 1500 women of reproductive age and men will receive maternal and child nutrition education</t>
  </si>
  <si>
    <t>This is a six month emergency nutrition project ; the after action workshop that will be done at the end of the project will help us to generate lessons</t>
  </si>
  <si>
    <t>Emegency WASH response for drought affected people of East and West Hararge</t>
  </si>
  <si>
    <t>US10M</t>
  </si>
  <si>
    <t>The overall objective is to improve the health and wellbeing of drought affected communities in 4 targeted Woredas across East and West Hararghe: Meiso, Doba (West), Fedis and Babile (East), by increasing access to safe drinking water and improving hygiene and sanitation awareness and practices.</t>
  </si>
  <si>
    <t>Two zones of Oromiya Region    Meiso, Doba from West Hararghe zone and  Fedis and Babile from East Hararghe zone</t>
  </si>
  <si>
    <t>The direct beneficaries are those who are directly benefiting from the WaSH interventions through the project</t>
  </si>
  <si>
    <t>The  project interventions enhanced  access to safe drinking water to drought affected population in East and West Harraghe zone. The involvment of government stakeholders from the outset of the project was crutial to achice the inteded project objectives.</t>
  </si>
  <si>
    <t>Lack of reliabele data regarding the maintained water schemes were a big challenge</t>
  </si>
  <si>
    <t>Emergency livestock response in southern parts (Oromiya, region) of Ethiopia</t>
  </si>
  <si>
    <t>US1UT</t>
  </si>
  <si>
    <t>The main objective of this project is to prevent further deterioration of the food security situation of targeted HH in the southern pastoral areas of Borena zone of Oromia region (9 woredas). CARE will be working in three woredas while ACF, SOS Sahel will cover the remaining six woredas.</t>
  </si>
  <si>
    <t>This project targeted the most vulnerable households, with a specific attention to women headed households and pregnant women.</t>
  </si>
  <si>
    <t>Theproject direct participants are those households received  fodder and veterinary drugs for the core breeding animals from the projcet and those who attended trainig/ awarness eductation through the project            Households who have livestock that have a potential to recover with support of feed (including concentrates) and targeted househoids were supported to preserve their core breeding animals. Households with livestock that are severely affected by the drought were  offered cash to slaughter weakened animals and to share the meat. Clear and transparent selection criteria was developed with the community leaders and government partners, to identify those that have the greatest need.</t>
  </si>
  <si>
    <t>Because of the prolonged drought in the area pasture availabilty is highly deteriorted  as a result there is a big demand for the supply that wahat has been provided so far. This project is under implimentation now and hope to generate lesson at the end of the project period</t>
  </si>
  <si>
    <t>Emergency nutrition and cash assistance for people affected by drought in Afar, Ethiopia, 2016</t>
  </si>
  <si>
    <t>CA368</t>
  </si>
  <si>
    <t>Is to reduce the vulnerability of crisis-affected people, especially women, girls and boys in Zone 3 of Afar region, Ethiopia (In response to continued deterioration of food and nutrition insecurity in Afar, and to meet the immediate needs of communities affected and/or at risk of malnutrition, CARE proposes to implement an emergency nutrition response through a Community Based Management of Acute Malnutrition (CMAM) intervention, which will be complemented by a cash transfer component and implemented in Zone 3 of Afar region.</t>
  </si>
  <si>
    <t>Argoba and Dulecha woredas in Zone 3 of Afar region, Ethiopia</t>
  </si>
  <si>
    <t>Pastorial School Age Girls</t>
  </si>
  <si>
    <t>The project direct beneficaries are those  direcly targeted and benefit from niutrition intervention (Severe and moderate acute malnutritioned  children, pregnant lactating women) and other vulnerable groups (men, women, boys and girls)  who will benefit from the cash transfer programing.</t>
  </si>
  <si>
    <t>This is a new project under implimentatiomn and we are hopping to have lessons in the future</t>
  </si>
  <si>
    <t>Emergency WASH response for drought affected people of Borena zone, Oromiya National Regional State</t>
  </si>
  <si>
    <t>NL197</t>
  </si>
  <si>
    <t>The overall objective is to improve the health and wellbeing of drought affected communities in 3 targeted Woredas in Borena Zone by increasing access to safe drinking water and improving hygiene and sanitation awareness and practices.</t>
  </si>
  <si>
    <t>Arero, Dhas and Moyale Woredas of Borena Zone , Oromia Region in Ethiopia</t>
  </si>
  <si>
    <t>Through this project, 10 non-functional water schemes were  rehabilitated to provide enough water for the communities and supplying of 900,000.00 sachet water treatment chemicals of Arero, Dhas and Moyale Woreda were done. The direct beneficaries were those who directly benfited from these activities in those 3 woredas</t>
  </si>
  <si>
    <t>Lack of documented data on the selected water schemes were the big challenge and affected timliness of the project. History of the water well is the base for any mainatinance work and documentation of the history is very helpful and will easy the mainatinace work</t>
  </si>
  <si>
    <t>Joint Emergency Operation Plan (JEOP)</t>
  </si>
  <si>
    <t>US17Y</t>
  </si>
  <si>
    <t>The main Goal of the project is to Protect Lives and livelihoods of emergency affected rural Ethiopians</t>
  </si>
  <si>
    <t>Grawa, Bedeno, Kurfa Chale, Haramaya and Kombolcha woredas from East Hararghe zone; Chiro, Gmichis, Doba, Miesso, Tullo woredas from West Hararge zone and Dire, Miyo, Yabelo and Teltele from Borena zone of Oromia Region in Ethiopia</t>
  </si>
  <si>
    <t>Transitory Food Insecured Households ( Transitory food insecured houselds who are selected as JEOP beneficaries in those 15 CARE operational woredas are recieving full basket of food commodities comprising of 15kg wheat, 1.5kg pulses, and 0.45kg of edible oil per per son per month)</t>
  </si>
  <si>
    <t>The direct beneficaries are those who are directly reciving the project resources (Cereal, Oil and Peas) in this case. (Targeting/ selection  related works are mainly done by government bodies (by woreda and kebele Food Security Task Forces where CARE is a member). Those households who are transitory food insecured including women headed households will be given priority in the selection process. The will  participate in the process through verification of selected households  and this will  be done through posting the list &amp;/or reading the targeted list in public gatherings.</t>
  </si>
  <si>
    <t>This project is run by a consotium of 5 NGOs and CARE will not do a separate final evaluation  rather the lead agency/ CRS the evaluation work and CARE will the process in its operaational  sampled woredas. The evaluation work will consis both qualitative and quantitative methods and will be done by external consultant</t>
  </si>
  <si>
    <t>Timely   public verification during targeting is critical to  reduce inclusion and exclusion errors
 Timely food distribution enhances protection of life and livelihoods of  vulnerable households, minimizes negative cooping measures
 Setting up compliant and response mechanism  improves accountability towards beneficary, Donor  and other stakeholders and hence enhances quality of the project implimenation.</t>
  </si>
  <si>
    <t>The main challege in this project has beeln lack of full family targetion and registartion; family size reduction  during targeting  has been  experienced to reach out more households with the limited resources at hand  as a result, in most cases, the food baskets run out earlier than the supposed 30 days.</t>
  </si>
  <si>
    <t>Strengthining PSNP Institutions and Resilance</t>
  </si>
  <si>
    <t>Tadele Taye</t>
  </si>
  <si>
    <t>program coordinator</t>
  </si>
  <si>
    <t>tadele.taye@care.org</t>
  </si>
  <si>
    <t>Beza Shimelis</t>
  </si>
  <si>
    <t>LDM manger</t>
  </si>
  <si>
    <t>beza.shimelis@care.org</t>
  </si>
  <si>
    <t>Resilience to shocks and livelihoods enhanced, and food security and nutrition improved for rural households vulnerable to food insecurity</t>
  </si>
  <si>
    <t>West Hararge zone(Chiro &amp; Gemechis), East Hararge zone(Kurfachale &amp; Grawa)</t>
  </si>
  <si>
    <t>DFSA-SPIR is using government identified PSNP beneficiaries (chronically food insecure rural population) and the project is using all government identified beneficaries in its implementaion areas</t>
  </si>
  <si>
    <t>the project will have two evaluations (midterm and final) both evaluations will be conducted by external party. The final evaluation will be conducted to compare the project achivement against the base values</t>
  </si>
  <si>
    <t>by using VESA model, SPIR is trying to break the social and economic barriers of the community.</t>
  </si>
  <si>
    <t>World vision's FMNR model and ORDA's CLH models for effective natural resource management</t>
  </si>
  <si>
    <t>since the project is in its initial stage there is no significant change made in this FY.</t>
  </si>
  <si>
    <t>Fiji</t>
  </si>
  <si>
    <t>Tropical Cyclone Winston (Fiji) Response</t>
  </si>
  <si>
    <t>FJI001/FJ002 (DFAT)</t>
  </si>
  <si>
    <t>FJI001/ FJI003 (CA Restricted)</t>
  </si>
  <si>
    <t>FJI001/FJ006 (IHG/CARE UK)</t>
  </si>
  <si>
    <t>Cathy Boyle</t>
  </si>
  <si>
    <t>Country Programs Manager</t>
  </si>
  <si>
    <t>cathy.boyle@care.org.au</t>
  </si>
  <si>
    <t>Mary Larkin</t>
  </si>
  <si>
    <t>Pacific and Timor-Leste Coordinator</t>
  </si>
  <si>
    <t>mary.larkin@care.org.au</t>
  </si>
  <si>
    <t>To provide immediate essential assistance through improving access to clean and safe water, sanitation and hygiene, food security and emergency shelter solutions to the most vulnerable people, especially women and girls, affected by Tropical Cyclone Winston.</t>
  </si>
  <si>
    <t>Northern and Western Divisions – Cakaudrove, Macuata, Ba and Ra Provinces.</t>
  </si>
  <si>
    <t>Impact group was identified as those with highest need with a particular focus on the most vulnerable people, especially women and girls. They include communities in rural areas and informal settlements in the project sites.</t>
  </si>
  <si>
    <t>The participants are members of of vulnerable, cyclone-affected communities in Fiji in areas worst affected by the cyclone. Direct participants were calculated (BY HEADCOUNT??) as those reached with i) delivery of goods (e.g. hygiene kits, seeds); ii) services (e.g. access to sanitation and clean water via rehabilitated water systems and construction of sanitation facilities; access to nurseries contructed in target communities); and iii)training and information.</t>
  </si>
  <si>
    <t>Localisation in practice' in which national responders take the lead, with appropriate support from international actors to enhance the effectiveness and sustainability of the disaster response.</t>
  </si>
  <si>
    <t>The project was implemented through our local partner Live &amp; Learn Fiji. CARE and LL had a project agreement with an objective for CARE to strengthen LL's capacity to respond to a humanitarian emergency. CARE provided technical expertise, capacity building (training; mentoring); tools and technical guidance; and access to donors funds.</t>
  </si>
  <si>
    <t>No important changes or adjustments in this FY.</t>
  </si>
  <si>
    <t>The 'localisation in practice model and building on Live &amp; Learn's relationships with communities and provincial government to access areas and identify needs.</t>
  </si>
  <si>
    <t>Development and dissemination of a rapid gender analysis. CARE and LL had broad engagement across the cluster system in Fiji on the findings of our RGA</t>
  </si>
  <si>
    <t>Investing time in nurturing the partnership between CARE and LL.  Holding an after action review (AAR) that focussed on the partnership helped strengthen the partnership.</t>
  </si>
  <si>
    <t>CARE’s TC Winston response demonstrated that effective localisation (response in partnership) can be achieved – however, it comes on the back of significant investment and capacity building. This is necessary for suistainability and will ensure that local partners  will be able to respond effectively to future emergencies, including the rapid scale up that this involves.</t>
  </si>
  <si>
    <t>Strong synergies between development programming and emergency programming should be leveraged to ensure coherent programming. Bridging the gap between existing development programming and emergency response also fosters learning across the teams. For future responses, Live &amp; Learn is exploring the potential to bring development staff into the emergency response teams in order to prevent team silos from forming.</t>
  </si>
  <si>
    <t>As this was a response and recovery program working in partnership, this needed to be appropriately presented to the media and in communications. CARE’s model, which relies on sharing real-time stories at a high pace, contrasted with Live &amp; Learn's approach. This showed the need for clear communication protocols. Both partners agreed that issues linked to media, visibility and branding of the partnership must be discussed and agreed to pre-emergency. Terms of Reference should establish how the partnership will be portrayed including the appropriate use of the CARE and L&amp;L’s logos and brands.</t>
  </si>
  <si>
    <t>Mid term report for DFAT reporting on progress from 1 March to 1 September 2016. Individual_Agency_L2__Joint_Learning_Report. Project Completion Report April 2017. Case study on localisation - see https://www.care.org.au/wp-content/uploads/2016/10/Localisation-Case-Study-October-2016-13.10.pdf.</t>
  </si>
  <si>
    <t>France</t>
  </si>
  <si>
    <t>PAMOC</t>
  </si>
  <si>
    <t>Aurélie Ceinos</t>
  </si>
  <si>
    <t>responsable changement climatique</t>
  </si>
  <si>
    <t>ceinos@carefrance.org</t>
  </si>
  <si>
    <t>Contribuer au sein d'un consortium d'ONG francaises, à l'identification, la diffusion et la mise en œuvre de modèles de développement sobre en carbone et résilients face aux impacts du changement climatique en sensibilisant et formant les acteur du dévelopemment et en influencant les politiques nationales et internationales.</t>
  </si>
  <si>
    <t>Les ONG Francaises, pouvoir publics francais et le grand public francais sont principalement visés par les activités de sensibilisation et plaidoyer.</t>
  </si>
  <si>
    <t>Le principal group d'impact sont les praticiens d'ONG. Ils sont un intermédiaire pour améliorer les pratiques de développement (en intégrant le risque climatique) et infine augmenter l'impact à long terme auprès des populations vulnérables</t>
  </si>
  <si>
    <t>Projet multi acteurs impliquand plusieurs ONG et ayant œuvré à établir des partenariats avec des insitutions publiques française.</t>
  </si>
  <si>
    <t>Formations, construction de stratégies et positions communes entre membres de la société civile, organisation d'ateliers internes, construction de savoir collectifs.</t>
  </si>
  <si>
    <t>Lors de l'année fiscale, seule a été mise en œuvre une extension du projets ur 6 mois, durant laquelle les composantes du projet n'ont pas été significativement modifiés.</t>
  </si>
  <si>
    <t>La production, la valorisation et les échanges de savoirs collectifs sur les enjeux et pratiques climat-développement.</t>
  </si>
  <si>
    <t>Le dialogue avec les pouvoirs publics français sur les enjeux climat et développement et le plaidoyer.</t>
  </si>
  <si>
    <t>Renforcer les capacités non seulement des OSC du Nord, mais aussi des OSC du Sud (difficulté)</t>
  </si>
  <si>
    <t>Pratique prometteuse: Les relations tissées entre les membres actifs du consortium du projet, le secteur de la recherche et les négociateurs climat</t>
  </si>
  <si>
    <t>Welcome jeunes</t>
  </si>
  <si>
    <t>Pastoureau Laure</t>
  </si>
  <si>
    <t>pastoureau@carefrance.org</t>
  </si>
  <si>
    <t>Le programme Welcome Jeunes, permet à des jeunes, qu’ils soient demandeurs d’asile ou réfugiés, étudiants ou jeunes professionnels français, de se rencontrer et d’apprendre à se connaitre au travers d’activités communes et ludiques qu’ils coaniment (sorties culturelles, ateliers de conversation, évènements sportifs …). En favorisant le « Faire avec » plutôt que le « Faire pour », l’association permet aux participants de reprendre confiance en eux et en la vie.</t>
  </si>
  <si>
    <t>Paris</t>
  </si>
  <si>
    <t>Demandeurs d'asile, réfugiés</t>
  </si>
  <si>
    <t>directs : demandeurs d'asile et réfugiés ; indirects : bénévoles et partenaires</t>
  </si>
  <si>
    <t>Renforcement des capacités de décisions, de mise en débat, d'échanges</t>
  </si>
  <si>
    <t>CARE Learning Tours in Europe: Building Champions and Deepening the Connection for International Development Assistance</t>
  </si>
  <si>
    <t>CUSAFR0007</t>
  </si>
  <si>
    <t>Fanny PETITBON</t>
  </si>
  <si>
    <t>Advocacy Manager</t>
  </si>
  <si>
    <t>petitbon@carefrance.org</t>
  </si>
  <si>
    <t>Sophie CHASSOT</t>
  </si>
  <si>
    <t>Advocacy Officer</t>
  </si>
  <si>
    <t>chassot@carefrance.org</t>
  </si>
  <si>
    <t>To cultivate Parliamentarian champions and other influential individuals in Europe to improve policies and increase funding for foreign aid  with the aim of empowering women and girls, reducing poverty, and achieving sustainable development and social justice globally for women and their families, through uniquely designed trips and follow-up opportunities to deepen engagement with trip participants.</t>
  </si>
  <si>
    <t>France (Paris) / Germany (Berlin and Bonn)/ Belgium (Brussels) as well as the countries where the Learning Tours took place (Madagascar, Ivory Coast, Chad, Sierra Leone, Malawi)</t>
  </si>
  <si>
    <t>French Members of Parliament</t>
  </si>
  <si>
    <t>Direct participants: MPs that CARE France took on a Learning Tour/ Indirect participants: MPs that CARE France mobilized during the post-trip phase and took action in favour of increased French Overseas Development Assistance (submitted amendments for French budget law, signed op-eds, financially supported CARE projects)</t>
  </si>
  <si>
    <t>Overseas Development Assistance</t>
  </si>
  <si>
    <t>Replicating CARE USA's Learning Tour model and adapting it to the European context.</t>
  </si>
  <si>
    <t>During the Learning Tours, local CSOs had the opportunity to present their work to French MPs and the challenges tey face every day. They strengthened their representation, communication and advocacy capacities.</t>
  </si>
  <si>
    <t>Engaging Members of Parliament</t>
  </si>
  <si>
    <t>Building coalitions with peer NGOs to advocate for increased ODA</t>
  </si>
  <si>
    <t>Soutien au programme "Traitements médicaux en France pour enfants roumains"</t>
  </si>
  <si>
    <t>Florian Pena</t>
  </si>
  <si>
    <t>Directeur Adjoint Service Prévention</t>
  </si>
  <si>
    <t>florian.pena@sauvegarde01.fr</t>
  </si>
  <si>
    <t>Ce programme est un programme à part, issu de la fusion entre CARE France et SERA France en 2003. Il suit des enfants et des jeunes de Roumanie accueilli.e.s en France entre 1991 et 2011, pour raisons médicales et dont l'accueil a été un accueil à long terme. Ces jeunes sont dans des familles d'accueil bénévole et le suivi concerne les jeunes et les familles, inclut des projets de vie pour les jeunes (dont la recherche des origines si besoin) et un suivi avec les autorités roumaines (et avec le partenaire local SERA ROMANIA).</t>
  </si>
  <si>
    <t>en FY17 le projet s'est déroulé dans 17 départements français (enfants et jeunes répartis dans 17 départements)</t>
  </si>
  <si>
    <t>Enfants et jeunes venu.e.s en France entre 1991 et 2011 pour raisons médicales, intégré.e.s dans des familles ou structures françaises et nécessitant un suivi notamment pour faire le lien avec les autorités roumaines.</t>
  </si>
  <si>
    <t>les participant.e.s direct.e.s sont les jeunes. Les participant.e.s indirect.e.s sont les familles d'accueil.</t>
  </si>
  <si>
    <t>protection de l'enfance/ désinstitutionnalisation, prévention</t>
  </si>
  <si>
    <t>développement de modèles réplicables au niveau départemental pour l'amélioration des pratiques liées à la protection de l'enfant (développement de services alternatifs, prévention et désinstitutionnalisation, prévention des grossesses non désirées)</t>
  </si>
  <si>
    <t>modèles de programmes de prévention, désinstitutionnalisation, développement de services (maisons de type familial, centres thérapeutiques pour enfants en situation de handicap), à l'échelle du département et réplicables dans d'autres départements</t>
  </si>
  <si>
    <t>CARE France a changé d'organisation partenaire dans un souci de meilleur suivi des jeunes pour un nouveau partenariat démarrant début juillet 2017</t>
  </si>
  <si>
    <t>les tableaux ne sont malheureusement pas vraiment adaptés aux programmes liés à la protection de l'enfance, notamment entre la France et la Roumanie, donc j'ai adapté aussi bien que possible.</t>
  </si>
  <si>
    <t>Georgia</t>
  </si>
  <si>
    <t>Cooperation for Rural Prosperity in Georgia</t>
  </si>
  <si>
    <t>AT472 / CAUTGE0045</t>
  </si>
  <si>
    <t>USN28 / REPLGE0001</t>
  </si>
  <si>
    <t>CAR USA</t>
  </si>
  <si>
    <t>AT807 / CAUTGE0046</t>
  </si>
  <si>
    <t>CARE Österreich (CIC Shared Cost)</t>
  </si>
  <si>
    <t>US000 / UNRTGE0010(11/12/13)</t>
  </si>
  <si>
    <t>Silvia Sanjuan Munoz</t>
  </si>
  <si>
    <t>Silvia.Sanjuan@care.org</t>
  </si>
  <si>
    <t>Natia Katsia</t>
  </si>
  <si>
    <t>M&amp;E Coordinator</t>
  </si>
  <si>
    <t>Natia.Katsia@care.org</t>
  </si>
  <si>
    <t>The overall objective of the project is the sustained increase of food production and rural poverty reduction in Georgia. The specific objective is that business-oriented smallholder farmer groups within a sustainable support framework cooperate and compete well in markets</t>
  </si>
  <si>
    <t>Republic of Georgia. 9 municipalities: Khobi, Abasha, Senaki and Martvili in Samegrelo Region; Ozurgeti, Lanchkhuti and Chokhatauri in Guria Region; Tsageri and Lentekhi in Racha-Lechkhumi &amp; Kvemo Svaneti Region. Advocacy actions and the work with the Georgian Farmers' Association have a national scope.</t>
  </si>
  <si>
    <t>Business-oriented stallholder farmers in the project target area and Georgian Farmers Association (GFA), entity to represent and support farmer groups, whose capacities to represent and advocate for an enabling policy framework for smallholder farmers will be enhanced.</t>
  </si>
  <si>
    <t>Direct Participants: Current member of granted cooperatives, training participants, forum participant, informational campaigns participants, Regional tour participants, Farmers who used agronomic consultations, personnel from Georgian Farmers' Association (GFA). Indirect Participants: Members of GFA, members of Agriculture Cooperative Development Agency (ACDA), household members of direct participants, comunity members hired by cooperative, community members providing inputs for supported cooperatives, community members replicating production systems from supported cooperatives, personnel from Infomational and Consultation Centers (ICCs), farmers benefiting from advocacy actions and improved policy environment, member of farmer groups applied grant competition, farmers users of GFA website and call center, farmers users of GFA, ISET, CARE websites and facebook sites, readers of tea and trout value chains analysis, infographics and articles developed in the frame of the project.</t>
  </si>
  <si>
    <t>As an ongoing process the project carries out two types of assessments: 
• The Direct Beneficiary survey (by interviewing each member of the selected cooperative first at initial stage and then by the end of project implementation). Main challenges of the survey is the new cooperatives (members of 12 cooperatives), financed at the beginning of 2017 (5th competition). In order not to waste money and time for interviewing those twice in a short period, project decided to do it once with retrospective questionnaire. As an exception, the largest cooperative with 132 official members will be evaluated through focus group discussions. 
• The Cooperative Level survey (in-depth interviews with heads of each cooperative) conducting at the beginning of the interventions, with follow up evaluations (on an annual basis) and by the end of project (will take place in October 2017). 
• Beside these two, the baseline General Household level Survey (GHS) has conducted in project target area. The end line survey for GHS will take place at the end of 2017.</t>
  </si>
  <si>
    <t>Establishment of Agricultural Cooperatives - Promoting cooperation among farmers to achieve economies of scale. The cooperative model provides an effective mechanism for reducing poverty in rural areas, strengthening social capital and triggering broader rural development.
Supporting the establishment of a General Assembly (named Farmers’ Council) as a decision making body integrated in the governance structure of the Georgian Farmers’ Association. 
Developing a fund, through funds returned by payments from the beneficiaries, for re-investing in already supported agricultural cooperatives and therefore ensuring their sustainability</t>
  </si>
  <si>
    <t>Cooperatives and unions or associations of farmers are tested and proved to be successful tools for improving living conditions of farmers all around the world. Cooperatives enable access to markets for small scale farmers and make them part of larger economic development. Farmers’ Associations allow the defense of the rights and interests from farmers and cooperatives and are essential for an inclusive policy making. In both processes, the project is establishing synergies and working together with national and international entities such as civil society organizations, governmental bodies (ACDA), Ministry of Agriculture and the European confederation of farmers and cooperatives (COPA-COGECA). CARE in the Caucasus as a member of Georgian Alliance on Agriculture and Rural Development (GAARD) working to empower rural communities, particularly smallholder farmers, to reinforce their capacities for representing their interests in the policy development and its implementation process.</t>
  </si>
  <si>
    <t>Capacity building, technical assistance and coaching addressed to strengthening the governance, structure, decision making, advocacy capabilities, and in overall the economic and organizational sustainablity of agricultural cooperatives and GFA.</t>
  </si>
  <si>
    <t>Although GFA has been since its establishment a national umbrella association, its organizational and governance structure didn't have a representative structure. Therefore, farmers could be members of GFA but not participate (at least not in a systematic manner) in GFA decision making or advocacy agenda. During the FY, and with the support of an international consultant with expertise in European farmers' associations, the process of defining the engagement of farmers in GFA's governance structure and decision making has been initiated, and farmers throughout all the country have been mobilized to integrate GFA General Assembly (named Farmers' Council), structured by regions and sectors, which will be a main body in the definition of GFA's action plan and advocacy agenda.</t>
  </si>
  <si>
    <t>The capacity building and assistance for cooperative members - duration, methodology, subjects, and monitoring - have been and are under continuous improvement during the project implementation. In the current FY, the project has conducted visits to successful agricultural experiences and on-the-job trainings, which have proven to be more effective than traditional trainings on transforming practices and views from project beneficiaries. At the same time, these activities have allowed the establishment of (still) informal linkages among farmers which with project support can evolve into associations or entities with an improved economy of scale and access to markets.</t>
  </si>
  <si>
    <t>The fact that the cooperatives supported by the initiative have to repay the financial support received from the initiative - for the establishment of a common fund for financing cooperatives in Georgia - is challenging the competition, selection and further support of cooperatives, also in the current FY. However, it's a guarantee of the feasibility of the selected cooperatives (only the ones showing a financial projection allowing the repayment will be selected) and will help with the sustainability of the financial support to cooperatives in Georgia, since it's planned to establish a fund for financing cooperatives with the returned funds. During the FY the first funds returned from beneficiary cooperatives have been received. This process has proven to be very challenging, with quite a high percentage of cooperatives requesting postponing payments and making changes in the repayment schedule. The fact that, agriculturally, it has been a very difficult year for many different value chains, has increased this problem. Thanks to the close contact and effective monitoring of the beneficiaries' business activities, the project could determine if the requests for delays were justified. In all these cases, the project has accepted delayed payments and softer repayment schedule with lower amounts during a certain period. This has allowed an increased trust from beneficiaries while encouraging return of funds. The future launching of a call for financing beneficiary cooperatives with the returned funds is strenghtening the trust in the process from beneficiaries side and it's also encouraging the repayment of perceived funds.</t>
  </si>
  <si>
    <t>Study tours and field visit are effective mechanisms of providing information to farmers. The learning and changes in practices and views are faster than with more traditional trainings (which can still be necessary for certain fields), since the beneficiaries can perceive the results of those changes. Due to this, the project has maximized this kind of actions during the FY and plan to conduct also study tours abroad to countries with a higher agricultural development, for representatives of the most relevant value chains.</t>
  </si>
  <si>
    <t>The existence of appropriate technical expertise for certain agricultural practices has been a great challenge during the project implementation, also in the FY. Georgia doesn't have experts on relatively new value chains, like strawberry production, and even on other more consolidated value chains, the experts can difer on how to tackle a certain problem. The country is at this moment implementing different actions to improve the quality of the agricultural expertise. Bringing experts from other countries can be a temporary solution; although in experiences conducted by other projects, it didn't work that well due to the lack of awareness from international experts on the local context. Therefore, for future CIC interventions, capacity building of agricultural experts might be considered.</t>
  </si>
  <si>
    <t>GFA's financial sustainability is being one of the main aims of the project. Initially it was planned to provide paid services to farmers, or to request a paid membership, for ensuring this financial sustainability. However, considering the Georgian context, CARE and GFA determined that this should happen only when Georgian farmers would have complete trust in this association. Given the existence of numerous donors in the country aiming to provide funds for local organizations, the project decided to change the strategy and build GFA's financial sustainability through projects and donors' funds, while providing free services to farmers. By the end of the FY GFA has reached financial sustainability at least for the few years to come. Since farmers are using those free services and can check the quality and need of the same, in the near future GFA can consider to request a fee for the services or for the membership, since by then Georgian farmers will have a clear understanding on how GFA can benefit them.</t>
  </si>
  <si>
    <t>Articles/Blogs/Researches/Studies  on agriculture: 
Blogs http://iset-pi.ge/index.php/en/iset-economist-blog-2/entry/innovation-starts-here-and-now-in-lisi-lake-greenhouses
Article http://www.iset-pi.ge/index.php/en/agriculture-news/1164-strengthening-the-system-of-parliamentary-democracy-in-georgia
Blogs http://iset-pi.ge/index.php/en/iset-economist-blog-2/entry/georgian-wine-plan-for-the-worst-hope-for-the-best; 
Blogs http://iset-pi.ge/index.php/en/iset-economist-blog-2/entry/thin-but-strong-georgian-silk; http://georgiatoday.ge/news/1865/Georgian-Tea%3A-Finding-New-Strength-In-Unity%3F;
Article http://iset-pi.ge/index.php/en/agriculture-news/1261-private-sector-led-agricultural-extension-in-georgia
Blogs http://iset-pi.ge/index.php/en/iset-economist-blog-2/entry/let-it-be
Blogs http://iset-pi.ge/index.php/en/iset-economist-blog-2/entry/young-seedlings-of-georgia-s-agriculture
Blogs http://iset-pi.ge/index.php/en/iset-economist-blog-2/entry/a-portrait-of-a-tushetian-farmer-as-an-entrepreneur
Blogs http://iset-pi.ge/index.php/en/iset-economist-blog-2/entry/how-safe-is-your-food
Blogs http://iset-pi.ge/index.php/en/iset-economist-blog-2/entry/hunger-games-speculation-in-food-markets
Blogs http://iset-pi.ge/index.php/en/iset-economist-blog-2/entry/working-together-for-a-bigger-pie
Blogs http://iset-pi.ge/index.php/en/iset-economist-blog-2/entry/joint-marketing-a-key-to-success
Blogs http://iset-pi.ge/index.php/en/iset-economist-blog-2/entry/rising-generation-of-georgian-agripreneurs
Blogs http://iset-pi.ge/index.php/en/iset-economist-blog-2/entry/two-heads-one-public-one-private-are-better-than-one
Blogs http://iset-pi.ge/index.php/en/iset-economist-blog-2/entry/professionals-for-georgian-agriculture
Blogs http://iset-pi.ge/index.php/en/iset-economist-blog-2/entry/to-cut-or-not-to-cut-shifting-government-priorities
Blogs http://iset-pi.ge/index.php/en/iset-economist-blog-2/entry/the-shortest-road-to-strawberry-field-isn-t-always-the-sweetest-or-quickest
Blogs http://iset-pi.ge/index.php/en/iset-economist-blog-2/entry/back-to-the-future-will-an-old-farming-practice-provide-a-market-niche-for-georgian-farmers
Blogs http://iset-pi.ge/index.php/en/iset-economist-blog-2/entry/to-bee-or-not-to-bee
Agri Index http://iset-pi.ge/index.php/en/agr-index/1888-cheese-prices-follow-milk-prices-but-what-about-other-milk-products-2
Study http://enpard.ge/en/studies-and-other-documents1/
Study http://enpard.ge/en/wp-content/uploads/2015/05/TroutValueChainAnalysis_ENG.pdf
GFA facebook page https://www.facebook.com/gfa.com.ge/?ref=br_tf
CARE facebook page https://www.facebook.com/CARE-International-in-the-Caucasus-112080732201576/
Stories http://enpard.ge/en/brochures-and-newsletters1/ 
Stories http://enpard.ge/en/media/a-blooming-industry-georgia-faces-a-growing-demand-for-flowers/
Stories http://enpard.ge/en/media/story-about-cooperative-samegobro-2014/
Stories http://enpard.ge/en/media/story-about-cooperative-dk-qolga/ 
 Forum 
Tea Forum http://iset-pi.ge/index.php/en/agricultural-policy-briefs/1702-stakeholders-forum-on-the-tea-sector
Access to finance http://iset-pi.ge/index.php/en/publications/policy-briefs/212-policy-briefs/aprc-policy-briefs/1647-access-to-finance-for-agricultural-cooperatives
Round Table discussion-Tea http://iset-pi.ge/index.php/en/agricultural-policy-briefs/1700-tea-cooperatives-round-table-discussion
Trout Forum http://iset-pi.ge/index.php/en/agricultural-policy-briefs/1701-stakeholders-forum-on-the-trout-sector
 Project Reports 
 https://drive.google.com/drive/folders/0B6kEHmPLQgU5bnpQTnp3WUxHZU0?usp=sharing
 Survey: 
HH Survey (Baseline)  http://enpard.ge/en/wp-content/uploads/2015/05/Agriculture-and-Rural-Development-in-Western-Georgia-A-Baseline-Assessment.pdf
Annual Cooperative Survey-Follow up 2016 http://iset-pi.ge/index.php/en/agricultural-policy-briefs/1925-enpard-annual-cooperative-survey-results
Annual Cooperative Survey-Follow up 2015 http://enpard.ge/en/wp-content/uploads/2017/03/Key-Findings-of-Cooperative-Survey.-ENG.pdf
 http://enpard.ge/en/wp-content/uploads/2017/03/ENPARD-Cooperatives-Survey-Results-2014-2015.-ENG.pdf
Direct Beneficiary Survey (Baseline) https://drive.google.com/open?id=0B6kEHmPLQgU5Q0VoMmpNbW50Z3c
 Proposal and Logframe
 https://drive.google.com/drive/folders/0B6kEHmPLQgU5Ymp5OFFNZ1JFUFk?usp=sharing</t>
  </si>
  <si>
    <t>Increasing Quality and Work Opportunities for Women with Disabilities in Georgia</t>
  </si>
  <si>
    <t>CAUTGE0065</t>
  </si>
  <si>
    <t>Teona Makatsaria</t>
  </si>
  <si>
    <t>Project Coordinator</t>
  </si>
  <si>
    <t>Teona.Makatsara@care.org</t>
  </si>
  <si>
    <t>A goal of the project is that women with disabilities are benefiting from increased utilization of employment and income generating opportunities in three target municipalities of Georgia (Samtredia, Abasha, Senaki). It will be reached through identification of their priority needs and creating employment opportunities for them.</t>
  </si>
  <si>
    <t>Samtredia (Imereti region), Senaki and Abasha (Samegrelo-Zemo Svaneti region) Municipalities in West Georgia</t>
  </si>
  <si>
    <t>The main impact group of the project is the general population residing in  three target muncipalities of West Georgia-Samtredia, Senaki and Abasha.</t>
  </si>
  <si>
    <t>The direct beneficiaries of the projects are participants of informational campaign, capacity-building trainings, business plan competition, leaders and members of beneficiary social enterprises, local authorities of target municipalities, civil society and private sector representatives. 
Indirect participants of the project are target population reached out across 3 target municipalities.</t>
  </si>
  <si>
    <t>Qualitative approach such as focus group discussions will be used to establish an evidence about the project impact and track changes to key outcome areas. Research will be conducted with all women with disabilities who got employed through the project.</t>
  </si>
  <si>
    <t>The project is based on the business model of CARE International in the Caucasus (CIC) to incubate and accelerate social enterprises in vulnerable groups. Acknowledging the power of people to change their own lives and their communities, it capacitates women with disabilities to make a long lasting change by providing the necessary outlets, skills, funding and connection to run a social enterprise. The capacity-building component of the project had the greatest impact in terms of empowering the beneficiary women, improving their entrepreneur and social skills, increase their competitiveness at job market as well.</t>
  </si>
  <si>
    <t>This project started breaking the stereotypes and myths about the working capacities of disabled people by engaging women with disabilities in the income generation opportunities. The beneficiary women with disabilities and supported social enterprises became a role model for both target community from and beyond target area.</t>
  </si>
  <si>
    <t>Civil society strengthening was not one of the project's explicit objectives, yet it carried out actions in this FY to strengthen civil society.</t>
  </si>
  <si>
    <t>Based on the selected priorities a concrete plan is created for including the women with disabilities into existing program of CARE Caucasus.</t>
  </si>
  <si>
    <t>Conducting community meetings on a regular basis (quarterly)  to encourage and promote idea submission from rural populations with special focus on women with disabilities.</t>
  </si>
  <si>
    <t>Providing capacity building trainings to women with disabilities aimed at increasing their awareness on: a) the rights of people with disabilities; b) women’s rights and gender equality; c) basic management skills to run small-scale enterprises.</t>
  </si>
  <si>
    <t>More resources werr  needed for implementation an in-depth analysis and rapid assessments of baseline situation with regard to women with disabilities residing in target area.</t>
  </si>
  <si>
    <t>The intensive awareness raising seminars and non-formal education are needed for changing existing stereotypes and increasing the awareness on rights of PPLD and gender equality.</t>
  </si>
  <si>
    <t>The capacities of local NGOs/CSOs should be incraesed.</t>
  </si>
  <si>
    <t>All the lessons learnt from previous year are reflected in  extension project  activities for ensuring the sustainability of project impacts. As  a result of monitoring missions, it has been assessed the creation and strengthening of market linkages, marketing and promotion as well as business planning is crucial for ensuring the sustainability of beneficiary  enterprises.  Therefore , extension project  "Better access to local/central markets and expansion of operations for beneficiary social enterprises” is designed / aims to secure the sustainability of the social enterprises established in the women with disabilities .</t>
  </si>
  <si>
    <t>Project Reports: monthly reports, mid-term reports and final reports. (see N drive Women With Disabilities  folder 2016  ) 
Logframe a(see N drive Women With Disabilities  folder  )</t>
  </si>
  <si>
    <t>Participatory Rural Development</t>
  </si>
  <si>
    <t>AT555 / CAUTGE0064</t>
  </si>
  <si>
    <t>Juba Maruashvili</t>
  </si>
  <si>
    <t>CARE International in the Caucasus, Georgia Office, Project Manager</t>
  </si>
  <si>
    <t>juba.maruashvili@care.org</t>
  </si>
  <si>
    <t>Julia Weber</t>
  </si>
  <si>
    <t>CARE Österreich  Project Officer</t>
  </si>
  <si>
    <t>julia.weber@care.at</t>
  </si>
  <si>
    <t>The project’s goal is to create an enabling environment for sustainable pro-poor socio-economic development in the district of Lagodekhi. The project promotes and uses an integrated approach to socio-economic development which takes into account not only the creation of employment and income-generation opportunities, but also factors such as community relations and development, human development, preservation of natural resources, cultural cooperation, civic integration etc. All these factors influence economic development and poverty reduction, even if indirectly, and are essential for the long-term sustainable development of the territory.</t>
  </si>
  <si>
    <t>Republic of Georgia, Kakheti Region, Lagodekhi Municipality. Lagodekhi is located at the eastern-most tip of Kakheti region, bordering Azerbaijan to the east. Its population numbers approximately 46,678, living in 15 communities (67 villages) and the town of Lagodekhi (population ca.7,000).</t>
  </si>
  <si>
    <t>The impact  groups of the program are the  population of Lagodekhi municipality, different actors from private, civil and municipality sectors, business communities, small farmers, women’s groups, ethnic minorities etc.</t>
  </si>
  <si>
    <t>Direct patricipants are those individuals who are actively involved in project related activities: seminars, workshops, trainings, etc. The indirect participants are those people who benefit from project related activities indirectly through information campaigns, community mobilization meetings, and funded social projects in targeted areas.</t>
  </si>
  <si>
    <t>At the end of the project the final evaluation is planned in August - September, 2017</t>
  </si>
  <si>
    <t>The European model of LEADER approach was put into practice and work of Local Action Group - LAG, and promoted the idea of bottom-up approach in targeted area.</t>
  </si>
  <si>
    <t>Project has supported establishment of alliances with European LAGs(Spanish) as well as has strengthened cooperation with other international organizations</t>
  </si>
  <si>
    <t>capacity building trainings and community mobilization activities throughout the project target area</t>
  </si>
  <si>
    <t>More training activities for strengthening local communities (engaging more youth and women) was added to the implementation plan, and conducted successfully.</t>
  </si>
  <si>
    <t>Engaging more women in project related activities, such as: trainings, meetings, LAG general assembly meetings, etc.</t>
  </si>
  <si>
    <t>Empowering youth through capacity building trainings on leadership and participation</t>
  </si>
  <si>
    <t>Tailor-made trainings for project beneficiaries about project management, financial management, budgeting, proposal writing, etc.</t>
  </si>
  <si>
    <t>Promotion the idea of Local Action Group - LAG and bring the LEADER approach throughout the Kakheti region and all Kakhetian municipalities. Making the work of Lagodekhi LAG more visible and attractive for all interested individuals.</t>
  </si>
  <si>
    <t>Put on agenda the formal adoption of Lagodekhi local development plan as a guiding document for local authorities</t>
  </si>
  <si>
    <t>Support the local initiatives and create employment opportunities for local population through successfully funded projects</t>
  </si>
  <si>
    <t>The project implementation is on-going smoothly: a). For reducing the poverty and support the local project ideas two grant competitions were conducted successfully, resulting 31 projects funded locally. The main areas covered were: agricultural commercial, agricultural non-commercial, infrastructural, social, social infrastructural, environmental spheres. b). Yhe Local Action Group - Lagodekhi LAG is functional and provides periodic reporting to its members - local action group general assembly and board; drafts internal documents and regulations for better management. c). Local development plan - Strategy was developed and presented to local self-government as the major needs and assessment of local municipality for further discussion and implementation. d). The connection between other local action groups (in Borjomi and Kazbegi), as well as European (Spanish) LAGs were set which enabled Lagodekhi LAG to share its own experience and get more information for better management and its development.</t>
  </si>
  <si>
    <t>The periodic reports are prepared and submitted, as well as the evaluation was made. Moreover the final evaluation is upcoming in nearest months.</t>
  </si>
  <si>
    <t>Gender Theme Group in Georgia</t>
  </si>
  <si>
    <t>Khatuna Madurashvili</t>
  </si>
  <si>
    <t>Impact Opportunities Manager</t>
  </si>
  <si>
    <t>khatuna.madurashvili@care.org</t>
  </si>
  <si>
    <t>To strengthen coordinated action of the GTG towards greater gender equality and women’s empowerment in Georgia</t>
  </si>
  <si>
    <t>Population of Georgia, with main focus to women, girls and all genders.</t>
  </si>
  <si>
    <t>Direct participants are: parliamentarians, representatives of Georgian Government, Civil Society organizations and donor organizations.
Indirect participants are: General population of Georgia, ethnic and religuos minorities, LGBTI community members, women, girls, victims of GBV etc.</t>
  </si>
  <si>
    <t>As result of the Gender Theme Group advocacy work Parliament of Georgia ratified Istanbul Convention and package of legislation ammdendments to harmonize existing legislation with Istanbul Convention provisions.</t>
  </si>
  <si>
    <t>Germany</t>
  </si>
  <si>
    <t>Social support for refugees and migrants in Germany (Saxony)</t>
  </si>
  <si>
    <t>DEU3286</t>
  </si>
  <si>
    <t>Wolfgang Tyderle</t>
  </si>
  <si>
    <t>Emergency Director</t>
  </si>
  <si>
    <t>tyderle@care.de</t>
  </si>
  <si>
    <t>To provide social services to refugees that have recently arrived in Germany</t>
  </si>
  <si>
    <t>North Rhine Westphalia in West Germany</t>
  </si>
  <si>
    <t>Refugees/migrants in Germany</t>
  </si>
  <si>
    <t>Direct participants are the refugees/migrants themselves.</t>
  </si>
  <si>
    <t>The innovation consisted in doing refugee work within Germany based on best-practice examples of inclusion and transferring experience with migrant/refugee work in the Global South.refugee work within Germany based on best-practice examples of inclusion and working wih ethnic minorities in other geographic locations.</t>
  </si>
  <si>
    <t>The project provided short-term social support to newly arrived refugees in Germany and was very limited in scope and finance volume.</t>
  </si>
  <si>
    <t>Engaging men was key</t>
  </si>
  <si>
    <t>Working with refugees/migrants is part of CARE's work and mandate.</t>
  </si>
  <si>
    <t>Lessons from other parts of the world can be transferred to refugee work within Germany, e.g. YMI</t>
  </si>
  <si>
    <t>Social support for refugees and migrants in Germany (Bonn)</t>
  </si>
  <si>
    <t>DEU3287</t>
  </si>
  <si>
    <t>The main goal was to reach as many refugee networks in the state of Saxony and to strengthen local civil society.</t>
  </si>
  <si>
    <t>Saxony in East Germany</t>
  </si>
  <si>
    <t>Direct participants are the refugees and migrants themselves.</t>
  </si>
  <si>
    <t>The innovation consisted in doing refugee work within Germany based on best-practice examples of inclusion and transferring experience with migrant/refugee work in the Global South.</t>
  </si>
  <si>
    <t>Bisher sind bereits verschiedenste Aktivitäten wie eine Selbsthilfewerkstatt, ein Begegnungscafé, Theaterkurse, Sportevents und Deutschkurse durch den Förderfonds Flüchtlingshilfe in Sachsen ermöglicht worden. Darüber hinaus wurde auch ein Netzwerktreffen der Initiativen mit Workshops und Arbeitsgruppen zu Beginn des Jahres veranstaltet.</t>
  </si>
  <si>
    <t>The project provided short-term social support to newly arrived refugee/migrants in Germany and was very limited in scope and finance volume.</t>
  </si>
  <si>
    <t>Working with refugees/migrants is part of CARE's work and mandate</t>
  </si>
  <si>
    <t>Lessons from other parts of the world can be transferred to refugee work within Germany, e.g. YMI in the Balkans</t>
  </si>
  <si>
    <t>KIWI - Kids andYoungsters Welcome Initiative: Life skills, education and the promotion of integration of refugees in Germany</t>
  </si>
  <si>
    <t>DEU3297</t>
  </si>
  <si>
    <t>Thomas Knoll</t>
  </si>
  <si>
    <t>knoll@care.de</t>
  </si>
  <si>
    <t>Achieve positive change among migrant students concerning equal rights and gender equality, conflict resolution/prevention of violence, tolerance and respect and 2) promote integration through working in mixed groups of students and empowerment in decision-making and carrying out student projects.</t>
  </si>
  <si>
    <t>North-Rhine Westphalia</t>
  </si>
  <si>
    <t>Migrant students in Germany</t>
  </si>
  <si>
    <t>Direct participants are teachers in German schools who have newly arrived refugees in their classes as well as migrant students and German students who participated in KIWI trainings. The number of teachers was counted, for students we have approximate numbers. Indirect particpants were teachers and students who did not receive direct support /training), but received materials etc.</t>
  </si>
  <si>
    <t>The innovation consisted in doing refugee work within Germany based on best-practice examples of inclusion and working wih ethnic minorities in other geographic locations.</t>
  </si>
  <si>
    <t>a) standardization and deepening of the process consulting in the schools</t>
  </si>
  <si>
    <t>Employment of volunteers ("Bundesfreiwilligendienst") with migrant background as co-trainers and ressource persons</t>
  </si>
  <si>
    <t>Establishment of a program in order to support students' projects financially</t>
  </si>
  <si>
    <t>Engaging men: Working with mixed student groups (students both with and without migrant background)</t>
  </si>
  <si>
    <t>Language barrier for students with little German language skills</t>
  </si>
  <si>
    <t>Demand for additional content (professional orientation, facts about migration and asylum)</t>
  </si>
  <si>
    <t>Exchange among schools as unintended impact</t>
  </si>
  <si>
    <t>For the follow-up project and scaling-up this meant: Revision of handbook, simplification of workshops, development of additional content and a new module 6 (myfuture),</t>
  </si>
  <si>
    <t>Contact: kiwi@care.de</t>
  </si>
  <si>
    <t>Ghana</t>
  </si>
  <si>
    <t>Adaptation Learning Programme for Africa</t>
  </si>
  <si>
    <t>CDNKGH0064</t>
  </si>
  <si>
    <t>Romanus Gyang</t>
  </si>
  <si>
    <t>National Coordinator - Adaptation Learning Programme for Africa</t>
  </si>
  <si>
    <t>romanusgyang@yahoo.co.uk</t>
  </si>
  <si>
    <t>Capacity of vulnerable people in Sub-Saharan Africa to adapt to climate variability and change increased</t>
  </si>
  <si>
    <t>Ghana {East Mamprusi (Saamini, Dimea, Jawani and Zambulugu communities), Garu-Tempane (Akara, Kugri, Tariganga and Farfar communities) and Nadowli-Kaleo (Zambogu, Duong, Chaang, Kanyini, Takpo and Nanville communities) districts}, Kenya, Mozambique and Niger</t>
  </si>
  <si>
    <t>The district assembly and the department of agriculture at the district level, Ghana meterological Agency from the regional and national level, ABANTU for development that looks at the advocacy aspect of ALP, the Ministry of Finance, Institute for Local Government Studies and community members in the 14 ALP sites in the above listed three districts</t>
  </si>
  <si>
    <t>Direct participants are beneficiaries directly engaged in the project, benefitted  and participated in project activities and initiatives. The indirect beneficiaries was calculated by decucting the total males from the total beneficiaries and multiplied by the average household size of 6.</t>
  </si>
  <si>
    <t>From the baseline in the Nadowli-Kaleo District it was realized that women had little access to climate information and for this reason the ALP identified VSLA members with phones in various sections of the community and included them on the climate information dissemination list by Ghana Meterological Agency. Also the ALP collaborated with the community to establish the Climate Information Centre (CIC) to further record and disseminate climate information at times which were convinient especially for women</t>
  </si>
  <si>
    <t>The participatory scenario planning which looks at analysing the seasonal forecast, developing advisories and disseminating climate information has been upscaled. The development of budget codes for tracking the use of adaptation financeby MMDAs and National Implementing Entities of the Adaptaton Fund project. The adoption of rain gauges by INGOs (OXFAM) and CSO (PARED). Farmers and District Chief Executives adoption and propmtion of dry season farming and the cultivation of the early maturing (6 months variety) variety of cassava</t>
  </si>
  <si>
    <t>Together with ABANTU for Development, CARE built the capacity of its platform members in Climate change adaptation and finance. It also built their capacity on advocacy in this regard and on climate change issues in the global arena. This led CSOs such as Community Development Alliance advocating for tranparency and access to information in the implementation of the Adaptation Fund project.</t>
  </si>
  <si>
    <t>Participatory Scenario Planning (PSP) which was done at the regional and district level is more effective when facilitated at community level as observed by Trade Aid Integrated. Thus, the ALP in this FY facilitated the facilitators training at the regional level and these trainees facilitators PSP at the community level unlike the district level.</t>
  </si>
  <si>
    <t>Early bulking cassava variety that takes six months to mature aid food security. The leaves start sprouting early and are harvested for soup and the tubers suitable for various local dishes.</t>
  </si>
  <si>
    <t>climate information platform established by GMET with farmers on the platform who receive daily weather information and early warning for free.</t>
  </si>
  <si>
    <t>Dry season garden (water melon/ onion). This serves as a source of income for farmers and in the upper west region is a great way to make jusicious use of the several water points in the area.</t>
  </si>
  <si>
    <t>From a study, the project realized VSLA was a source of maladaptation. This is to say it was sustainable since most of the members engaged in charcoal buring to earn income to save into the VSLA boxes. This though realized at the later stage of the project, got management thinking of how to ensure source of contribution to VSLA are sustainable.</t>
  </si>
  <si>
    <t>It was realized that empowerment should be done along all the components of the agriculture value chain and not just at the stage of production. we ought to empower individuals within the value chain especially the components or role women play within this chain.</t>
  </si>
  <si>
    <t>It is necessary to have civil society to start monitoring on the ground policy implementation and tracking the flow and use of climate funds. Most climate-oriented CSOs are strictly advocacy-focused and based in Accra while the well-placed rural CBOs are more focused on service delivery.</t>
  </si>
  <si>
    <t>The numbers reported reflects beneficiaries for the initial phase of ALP and the extension. The ALP under the estension used VSLAs as its direct beneficiaries.</t>
  </si>
  <si>
    <t>ALP Ghana 2017  Logframe report         ALP 2017 Narrative Report       Programme Document ALP extension 2015 to 2017 public     ALP LOGFRAME extension and 2015 milestones 210915 with notes</t>
  </si>
  <si>
    <t>YenSore Programme</t>
  </si>
  <si>
    <t>CDNKGH0062</t>
  </si>
  <si>
    <t>DANIDA</t>
  </si>
  <si>
    <t>31/12/201</t>
  </si>
  <si>
    <t>Zakaria Yakubu</t>
  </si>
  <si>
    <t>Programme Coordinator, Yensore</t>
  </si>
  <si>
    <t>yakubu.zakaria@care.org</t>
  </si>
  <si>
    <t>Rights of community members affected by forestry and extractive industries are respected, protected and fulfilled”. The YenSore Programme seek to empower  local civil society be able to provide an effective and legitimate voice around forest, mining and oil and gas and promote the rights of affected communities, and environmental justice at international, regional, national and local levels.</t>
  </si>
  <si>
    <t>Forest / Logging and mining areas in southern Ghana and six coastal districts in western region affected by Oil and Gas activities. National level policy enagagement on climate change and Policy influencing for Good natural resources and environmental governance</t>
  </si>
  <si>
    <t>1) Poor and vulnerable women , men and children affected by Mining and Oil and Gas extractive activities, and also poor and vulnerable women and men dependant on Forest and other natural resouces for their livelihoods.</t>
  </si>
  <si>
    <t>1) Poor and vulnerable women , men and children affected by Mining and Oil and Gas extractive activities, 2) poor and vulnerable women and men dependant on Forest and other natural resouces for their livelihoods. 3) Local Government (Distrist Assemblies) authorities in forest, mining, oil and gas activities; 4) Traditional authorities/community leaders; 5) local NGOs / CSOs network&amp; coalitions in the NRE sector; 6) women groups/Community Groups 6) Staff of Government /Regulary agencies in the NRE sector, Parliament select committees on Enviroment and natural resources, offcials of extractive sector companies. 8) forest-fringed community members and communities affected by mining 6 regions of Ghana.</t>
  </si>
  <si>
    <t>To be supported by CARE Denmark as part of multi country evaluation of Danida framework funded initiatives.</t>
  </si>
  <si>
    <t>strategic partnership with selected civil society groups with core funding and capacity building for joint advocacy initiatives based on partners strategic plans and alignment with CARE's goal for the imapct group. Also include strengtheing CSOs networks/coalitions and social movements to advocacy for equitable benefits, transparency and accountability in natural resource governance.</t>
  </si>
  <si>
    <t>Promoted the adoptoin and scale out of VSLAs model by other CSOs partner. 5 CSOs coalitions / partners organisations requested and received technial support from CARE to rollout VSLAs in their own projects.  Also a national platform for CSOs coordinate engagement on NRE policy dialogue established with the support of CARE, has been accepted and adopted by Govt and DPs and CSOs as the mechanism for consultations with Govt. on NRE issues.</t>
  </si>
  <si>
    <t>Financial support for organisational development as well as for program design and implementation.Tecnical assistance for Fund rising; Capacity building &amp; Organisational Development support; Join advocacy initiatives, sharing of Innovative tools and joint reviews and learning events.Also supporting to strengthen CSOs networks and platforms for coordinated engagement with duty bearers on policy.  CARE's Core roles in this partnership has been mainly that of: faciliationa;Capacity building/training/coaching/knowledge broker, convennor and being fellow advocate with partners. CARe also provides linkages to international space &amp; opportuinities for local CSOs engagements, eg on climate change; UN Universal Periodic Review of Humam Rights, etc.</t>
  </si>
  <si>
    <t>Yensor program initially did not include VSLA approach /strateg, but due to the interest and request of the strategic partners, CARE had to include the provision of technical support for partners to integrate and rollout VSLAs in their own projects.  2) through lessons learnt and feeback from strategic partners, CARE and partners have taken steps to ensure more responsive sub-grants managment in the context of 'strategic' partnerships.</t>
  </si>
  <si>
    <t>Strategic partnership approach of CARE had promoted more trust, openness, mutual accountability and ownership of the Yensore Program among the Strategic partners. In this model of strategic partnerships, CARE makes a contribution to partners based on their own strategic plans and programming agenda that are aligned with CARE's Yesnore program goal.</t>
  </si>
  <si>
    <t>The strategy of moblising and supporting CSOs coalitions / platforms for coordinated engagements and policy influencing in the Natural Resoucre and Environment governance in Ghana. Government and other stakeholders now recongnise and use these platform for consultative involvement of citizen groups in the NRE sector policy dialogue</t>
  </si>
  <si>
    <t>CARE together with the strategic partners Developed capacity assessment tools and faciliated Partners to adopt annual Organisational self-assessment to gauge their levels of capacity for Advocacy and Organisational Development. The tool enable partners to score their current capacity and their preferred / targeted capacity level by end of year, and then develop action plans for improvements. CARE provide technical assistance based on demand by a partners and there is also a joint learning and peer review and partnership feedback mechanism, where partners meet quarterly to discuss progress and plans for the year, including joint advocacy agenda.</t>
  </si>
  <si>
    <t>Strategic Partnerships relationship strives best in an organisational culture of open and respectful communication together with effective mechanism for regular joint reviews and reflections on the partnership. This helps to narrow the 'power' distance btn CARE and local partners and also promotes a sense of mutual accountability responsibility for achieving program objectives.</t>
  </si>
  <si>
    <t>The legacy of most poor communities still expecting ‘handouts’ from NGOs still lingers in some communities, and mobilisation and sustaining interest of such communities for advocacy, can be more challenging and will need to be linked to some project with immediate benefits to the communities. Strategic partners of Yensore (UCSOND and WACAM) have therefore integrated ‘livelihoods empowerments’ in their projects communities and have also received technical support from CARE for roll out of VSLAs in their project areas, as a way of addressing some immediate interest of poor communities, whilst moblising and empowering them for policy advocacy.</t>
  </si>
  <si>
    <t>In the context of the Yensore Strategic partnerships, CARE is carefully balancing the need for attributable information on outcomes or results of CARE’s support to strategic partners and also promoting a harmonised and wholistic reports of partners organisation’s activities that may compass the needs of all 'funding' partners and other stakeholders. Yensore has leant that strategic parnerships using the "program approach' has  better multiplier effects on results, than a "project-focused partnership where partners become mere "implementers'' or subcontractors of a specific CARE's project.. Partners are in the driving seat, setting their own agenda for CARE's role and collaborative engaments. as such partner are more motivated to provided share information with CARE beyond the specific activities funded by CARE. Strategic Partners have changed from activity-based reporting to 'Results / outcome-oriented reporting with acknowledgement of CARE's contribution.</t>
  </si>
  <si>
    <t>see 2016 annual report of Yensore.</t>
  </si>
  <si>
    <t>Good Growh Project</t>
  </si>
  <si>
    <t>CJPNGH0006</t>
  </si>
  <si>
    <t>CARE Japan</t>
  </si>
  <si>
    <t>CJPNGH0007</t>
  </si>
  <si>
    <t>Ajinomoto Foundation</t>
  </si>
  <si>
    <t>Mercy Nyamikeh</t>
  </si>
  <si>
    <t>Nutrition and Communications Manager</t>
  </si>
  <si>
    <t>mercy.nyamikeh@care.org</t>
  </si>
  <si>
    <t>Naoto Usami</t>
  </si>
  <si>
    <t>MOFA Project Manager for Good Growth</t>
  </si>
  <si>
    <t>n.usami@careintjp.org</t>
  </si>
  <si>
    <t>Mortality among children under two years of age is reduced within the East Mamprusi district of Ghana.</t>
  </si>
  <si>
    <t>Project is implemented in East Mamprusi district of the northern region of Ghana. 60 communities are beneficiaries with estimated population of 78,078 people.Eight pecent (8%) are the estimated children under the age of two years who are the impact group.</t>
  </si>
  <si>
    <t>Children under 2 years of age.</t>
  </si>
  <si>
    <t>Direct Participants ( see attacehed excel sheet). 1. Members of 117 new VSLA groups formed; members of 20 existing VSLAs revived. 2. 145 Community Health volunteers  trained to disseminate nutrition messages to comunty members 3. 135 male champions trained to disseminate messages among men. Indrect participants ( see attached excel sheet): - Sixty percent ( 60%) of beneficiary population; 49% being male; 51% being female.</t>
  </si>
  <si>
    <t>An  endline survey is scheduled for October 2018 where we can measure impact and outcomes</t>
  </si>
  <si>
    <t>Trainings to decrease negative cultural practices against infant and young child nutrition</t>
  </si>
  <si>
    <t>Using the VSLA as a platfrom to disseminate nutrition messages and products to communities. Piloted in 13 communities; scaled up to 60 communities in the FY; working with the government agencies (Ghana Health Service)</t>
  </si>
  <si>
    <t>Formation of new VSLA; reviving exisiting VSLAs</t>
  </si>
  <si>
    <t>Training of selected members of communities- such as Community health volunteers, peer educators, ale champions -  for mobilization, nutrition education and community planning.</t>
  </si>
  <si>
    <t>Working with exisiting community structures such Traditional Authority towards sustainability</t>
  </si>
  <si>
    <t>Promising pratices: communities learn best by doing ( Social Analysis and Acton and Socil &amp; Bheaviour Change Techniques Techniques facilitate change toward receommneded behaviours</t>
  </si>
  <si>
    <t>Challenges- Low literacy of beneficiary communities delays adoption of VSLA methodology and maturity</t>
  </si>
  <si>
    <t>Learning:Community members playing the role of peer educators and male champions faciltate change. These Community workers are also very enthusiastic compared to those "selected" an "trained" by government agencies who expect some kind of standard remuneration for their roles.</t>
  </si>
  <si>
    <t>1. Project narrative document 2. Monthly Monitoring Data ( June 2017)  3.  Project Database ( February 2017)  4. Training report June 2017.</t>
  </si>
  <si>
    <t>COCOA LIFE</t>
  </si>
  <si>
    <t>CGBRGHOO67</t>
  </si>
  <si>
    <t>Gifty Blekpe</t>
  </si>
  <si>
    <t>Head of Programs/ACD</t>
  </si>
  <si>
    <t>gifty.blekpe@care.org</t>
  </si>
  <si>
    <t>Dr. Theophilus Nkansah</t>
  </si>
  <si>
    <t>tnkansah@care.org</t>
  </si>
  <si>
    <t>Cocoa Life's goal is to empower and ensure thriving communities as essential foundation for sustainable cocoa supply.</t>
  </si>
  <si>
    <t>CARE's operational scope of the project falls within 2 regions namely the Ashanti Region and the Brong Ahafo Region. The project operated in 35 communities in the Amansie West District in the Ashanti Region and 41 communities in the Asunafo North Municipality in the Brong Ahafo Region.</t>
  </si>
  <si>
    <t>The main impact groups of the project are:  
Youth between the ages of 15 to 35
Children of school going age.
Women and men of reproductive age.</t>
  </si>
  <si>
    <t>The direct participants represents farmers, youth (15-35 years), women and men of reproductive age who were directly involved in activities implemented by the project.
The indirect participants was calculated using an average household size of 5.8, with 60% alloted for women and girls and 40% representing men and boys based on Ghana Population and Housing Census (2010)</t>
  </si>
  <si>
    <t>1. Cocoa life formalised women's roles and contributions to development by forming and strengthening women's groups via leadership training
2.  Community Development Committees (CDCs) were formed ,  trained and linked to all the key local government institutions at the district level to spearhead development initiatives at the community level.</t>
  </si>
  <si>
    <t>1. An engagement forum that brings all the key district government officials together with community representatives to dialogue and provide feedback on critical development issues affecting community members. Actions points are drafted, shared and pursued to ensure that community concerns and feedback are addressed. This promotes accountability between power holders and duty bearers.</t>
  </si>
  <si>
    <t>2. District-level partners (officials) are frequently used in carrying out most interventions and trainings. This promotes sustainability of interventions.</t>
  </si>
  <si>
    <t>3. Women were facilitated to form women's groups to give them viisbility and voice as well as build their collective and individual agency to participate actively in dedcision making processes and local governance.</t>
  </si>
  <si>
    <t>1. Empowered women leaders are able to take new development initiatives</t>
  </si>
  <si>
    <t>2. Women extension volunteer (WEV) groups are adapting the VSLA concept to suit their farming needs. This is being done by using their group farming proceeds as revolving funds that provide loans (with little interest) to group members. Some have started new businesses like 'frying and selling of doughnuts' among several interesting outcomes.</t>
  </si>
  <si>
    <t>3. Communities can be self-reliant if the needed awareness creation is done and capacities built. Many communities are now initiating projects instead of depending entirely on government.</t>
  </si>
  <si>
    <t>As the project comes to a close, all activities that were implemented were done with sustainability at the back of our minds. This informed the formation of women's groups and community development committees and linking them to all local government stakeholders in the district/ Municipality. This way, they become visible and they also know where to go for supp</t>
  </si>
  <si>
    <t>1. Cocoa Life Annual Technical Narrative Report 2017</t>
  </si>
  <si>
    <t>Household Economic Security for Poor women (HESP)</t>
  </si>
  <si>
    <t>CGBGH0066</t>
  </si>
  <si>
    <t>Big Lottery Foundation</t>
  </si>
  <si>
    <t>Agnes Loriba</t>
  </si>
  <si>
    <t>Project Manajer</t>
  </si>
  <si>
    <t>Loriba.Agnes@care.org</t>
  </si>
  <si>
    <t>Gladys Assibi Atia</t>
  </si>
  <si>
    <t>Gender Advisor</t>
  </si>
  <si>
    <t>Assibi.Gladys@care.org</t>
  </si>
  <si>
    <t>Improved Economic Security of Women Smallholder Farmers and their Households in Northern Ghana.</t>
  </si>
  <si>
    <t>HESP in Ghana is implemented in 32 communities in 2 districts; Garu Tempany and Lambussie in the Upper East and Upper West regions respectively</t>
  </si>
  <si>
    <t>HESP will reach out to 3000 female direct beneficiaries(women and girls). These are active female members of the village savings and loans association located in the operational communities</t>
  </si>
  <si>
    <t>The project direct participants are women participants in the Village Savings and Loans Association. These women are actively engaged in agricultural activities, marketing, cooking demonstrations and gender related issues. The direct participants are calculated by counting the number of active women in all the groups. The indirect participants are family members or household members of the direct participants. This is calculated by multiplying the average household size of the district ie 6 by the number of direct participants.</t>
  </si>
  <si>
    <t>The evaluation will use the same tool that was used for the baseline and the same respondents who were interviewed for baseline will be interviewed during the endline. The endline tool will be based on the women's empowerment in Agriculture framework. The project will employ both quantitative and qualitative methods to collect primary data.</t>
  </si>
  <si>
    <t>The project initiated an input dealer scheme, Community seed grower scheme and Value addition on soy and groundnuts. Results from these inovations are yet to be measured</t>
  </si>
  <si>
    <t>The project in a quest to make available certified seeds for community farmers collaborated with Heritage seed company to initiate the seed growers scheme. The project started with 10 seed growers in 2016. The number has been scaled to 30 in 2017, following the success in the previous year. This model has been shared with Care USA and other platforms.</t>
  </si>
  <si>
    <t>Care provides leadership training for the leaders of VSLA on roles and responsibilities of a leader, advocacy and lobbying skills. These trainings empowered the VSLA members that enable them negotiate for lands from land owners for group members.</t>
  </si>
  <si>
    <t>The HESP project from the onset did not include community gender dialogue as a strategy to address gender challenges. Having realised the effect of community gender dialogues and gender champions for the project to realize its objectives, the project adopted the community gender dialogue and gender champions strategy.</t>
  </si>
  <si>
    <t>The formation of tractor owners operators association in Lambussie district improved access to traction services which hitherto was a serious challenge. This association worked with partner staff to assign tractors to women farmers in project communities. This has eased the challenge of women accessing traction services.</t>
  </si>
  <si>
    <t>The input dealer scheme is yet another strategy that made available inputs in project communities.This scheme resulted in the establishment of an agro-input shop by one of the beneficiaries of the scheme. The community input dealers are linked to major input dealers who supply the community input dealers with products on credit. The community input dealers pay up the credit and request for supplies.</t>
  </si>
  <si>
    <t>The seed grower scheme offered an opportunity for beneficiaries to increase their income from soy yields. Whilst a 100kg of soy was bought for 100 Ghana cedis ($ 22), the seed growers 100kg was bought at 240 Ghana cedis($ 54) representing more than 100% increase over the open market price. eventhough the scheme is to make available certified seeds at the community level, it also gives opportunity to beneficiaries to make more income.</t>
  </si>
  <si>
    <t>The Market Research Committee strategy has improved access to market information and reduced the drudgery farmers experince by traveling distances in search for market. Thus community members are able to sell in bulk to buyers at the community level.</t>
  </si>
  <si>
    <t>The use of Community Based Extension Agents model has made available extension to women farmers who hitherto found it difficult to access extension services from the Department of Agriculture</t>
  </si>
  <si>
    <t>The Participatory Scenario Planing is a platform for multistakeholders to learn and share information on the onset and cessation period of rainfall in a geographical area. This has enabled farmers to decide on the right crop variety (drought resistant, early maturing), and crop water requirement.</t>
  </si>
  <si>
    <t>The project employs the community gender dialogues to make available productive resources for women farmers. This strategy brings together Traditional Leaders, community elders, family heads , men and women to engage in a peaceful discussion. The dialogues focuses on how to reduce women work load, women participating in decision  making, improving intra household and inter household relations. The project also contributes to the SDGs 1,2,5 and 13.</t>
  </si>
  <si>
    <t>Semi-annual and Annual report</t>
  </si>
  <si>
    <t>TCAOGH0004 and TCAOGH0002</t>
  </si>
  <si>
    <t>COMPLEMENTARY BASIC EDUCATION (CBE)</t>
  </si>
  <si>
    <t>TCAOGH0004/TCAOGH002</t>
  </si>
  <si>
    <t>GEORGE APPIAH KWASI</t>
  </si>
  <si>
    <t>PROGRAM MANAGER</t>
  </si>
  <si>
    <t>George.Appiah@care.org</t>
  </si>
  <si>
    <t>GERALD TETTEH-ASHONG</t>
  </si>
  <si>
    <t>M&amp;E OFFICER</t>
  </si>
  <si>
    <t>Gerald.Tetteh-Ashong@care.org</t>
  </si>
  <si>
    <t>.   Facilitate the expansion of Complementary Basic Education (CBE) to cover all out-of-school children aged 8 to 14 (the age range for basic education);
.   Harmonise existing CBE provision through a Government-approved approach for the delivery of CBE by non-state providers;
.   Ensure effective non-state provision and governmental management of the programme; Ensure quality of teaching and learning outcomes;
.   Strengthen community ownership; and
.   Through these means, achieve the Free Compulsory and Basic Education (FCUBE) goal and thereby strengthen:
           - Social and economic development of the poorer regions of Ghana;
           - Social integration in these regions with a consequent reduction in urban migration, unemployment and crime;
           - Gender equity and its associated quality of life, health and other benefits; and Improved opportunities for children with disability</t>
  </si>
  <si>
    <t>West Mamprusi District in the Northern Region; Tain and Nkoranza North Districts in the Brong-Ahafo Region of Ghana</t>
  </si>
  <si>
    <t>The main impact  group is made up of  the  cohort of out of school children(8-14 years)  and  Community  Facilitators(young women)</t>
  </si>
  <si>
    <t>The Direct Participants are made up of 3230 (1672 boys and 1578 girls) Out of School Children(8-14 years)  who participated in the Complementray Basic Education (CBE) Program; 127 (94 young men and 33 young women)                                                                                                                                                                          who were trained  to teach the out of school children in the CBE classes established in 92   partner communities within 3 administrative districts in Ghana;  and 600 ( 240 men and 360 women) Local Management Committees who were also trained to ensure the  effective implementation of the program in  the above partner communities. The Indirect participants was  produced  by multiplying  the average household  of 4 by the number of Out of School Children who enrolled unto the CBE program</t>
  </si>
  <si>
    <t>The District Education Directorate and District Assembly  of pilot districts were strengthened to take the lead in implementing the core CBE activities during the FY. Over the past years, the above has been the main contributory factor to  the effective implementation of the program in CARE's partner districts.  During the FY, all IPS  were asked to employ the above strategy to implement the program in their respective PILOT districts</t>
  </si>
  <si>
    <t>To meet the target of 20% representation of females among the Community Facilitators who are recriuted and trained to manage the CBE classes, CARE in collaboration with the District Education Directorate, District Assembly and the Local Management Communitty considered for selection communities that are able to select a female volunteer as a facilitator. CARE  provided  nanny services to females to effectively participate in the Facilitator tarining workshop. In addition, communities that were selected to participate were made up of those that had more gilrs(8-14 years) who are out of school.. This contributed  in  identifying more out of school  children (3230 )than expected(2900) . More girls were identified(1558) than expected(1450)</t>
  </si>
  <si>
    <t>Forgiing very close working relationship with district institutions (the diastrict assembly and district education office) and making them lead the implementation all field activitie.</t>
  </si>
  <si>
    <t>Employing the PLA methodology in conducting community animation exercise in all the partner districts to encourage awareness, commitment and far reaching participation among stakeholders at the community level to effectively deliver the Complementary Basic Education program</t>
  </si>
  <si>
    <t>The formation of the CBE LOCAL COMMITTEES with 60% women representation  to support, manage and advocate for the successful implementation of the program</t>
  </si>
  <si>
    <t>Economic and social conditions are influencing the willingness and ability of parents and guardians in farming communities  in hard to reach areas to enroll and retain their children in school</t>
  </si>
  <si>
    <t>A significant number of out of school children exist in the partner communities. Most of these children are supporting their parents on their farms and also child labour</t>
  </si>
  <si>
    <t>The CBE programme as an innovative tool for fighting poverty and injustice and a cost-effective strategy for reaching those who face the greatest obstacles to access education. It also provides strong evidence that a second chance strategy is effective for addressing marginalization and also the fact that Volunteer CBE Facilitators with minimum qualification can be effective at delivering accelerated literacy instruction provided they receive both pre and in-service training. The programme also provides evidence that Community participation in management of education can increase time on task, ensuring that there is a teacher in the classroom who is regularly engaging the children in learning activities. Opening classroom doors to all out of school children especially girls through the CBE programme will help break the intergenerational chains of poverty because education is intrinsically linked to all development goals</t>
  </si>
  <si>
    <t>According to the CBE enrolment targets, CARE is expected to create 116 CBE classes to serve 2900 Out of School Children(OOSC) with at least 1450 representing 50% being females.During the current  FY,  CARE  delivered  a  highly effective CBE programme  within 127 CBE classes  which  served 3230 as against the contractual target of 2900 out of school children in  92 communities within 3 administrative districts. The female proportion is 1558 representing 48.2%. Comparing the actuals with the planned targets, the result show that more females were mobilized than expected.  The results  produced by the M&amp;E system reveals  out of  3230 OOSC   who  participated  in the program 3227  with 1556  representing  girls  were able  to  complete the nine months basic literacy and numeracy program. CARE ' s effective partnership with the District Assembly, Education Drrectorate and the partner communities contributed to the above achievement. Our expectation is at least 95% of the learners will  transition to the formal school in September 2017.  The  CBE program contributes to the achievement of SDG  1, 4 and 5.</t>
  </si>
  <si>
    <t>CBE Baseline Reports</t>
  </si>
  <si>
    <t>Ghana's  Strengthening Accountability Mechanisms(GSAM)  Project</t>
  </si>
  <si>
    <t>PID: USLMGH0005</t>
  </si>
  <si>
    <t>Clement Nana Tandoh</t>
  </si>
  <si>
    <t>clement.tandoh@care.org</t>
  </si>
  <si>
    <t>Samuel Addai Boateng</t>
  </si>
  <si>
    <t>Monitoring and Evaluation Specialist</t>
  </si>
  <si>
    <t>samuel.boateng@care.org</t>
  </si>
  <si>
    <t>The goal of  GSAM  is to strengthen citizens oversight of  Capital development projects to improve local government transparency, accountability and performance in 100 districts in Ghana</t>
  </si>
  <si>
    <t>The project is located in 100 out of the 216 Districts in Ghana with its  presence in all 10 regions of Ghana  .</t>
  </si>
  <si>
    <t>The main impact groups of the project are citizens , District Assemblies  and Civil Society Oranizations</t>
  </si>
  <si>
    <t>The direct participants are Citizens, Civil Society Organizations, opinion leaders and local government actors at the sub-national levels who participates directly in GSAM project activities: This include those who participate in bi-weekly project monitoring, generation of community scorecards, capacity building sessions, townhall meetings, radio discussions as well as citizens who directly receive project performance updates during community durbars. 
The indirect beneficiaries are the estimated number of citizens  that the project expect to reach through its numerous information and advocacy campaigns such as playing of jingles and mounting of project information on billboards. The indirect  project participants were arrived at after considering the population 16years and above within the 100 districts and applying the 50.6% coverage of the radio set ownership within the impact communities.</t>
  </si>
  <si>
    <t>Report on the mid-term evaluation which was commissioned by USAID is still being finalized. The end - line evaluation which is scheduled for  2019 respectively shall also be conducted by the  Impact Evaluation Team , a third party consultant hired by USAID to undertake all project evaluations. Findings of these evaluations will be compared with project baseline levels for effective project decision making.</t>
  </si>
  <si>
    <t>1. Working with the Ghana Audit Service to conduct Performance Auditing on local government institutions promoted vertical accountability(top -down) and also enabled an interface between the Audit Service,local government authorities and citizens.
2. The community scorecard and citizen report scorecard methodology  adopted by the project promoted lateral(bottom-up) accountability in capital project design and execution.</t>
  </si>
  <si>
    <t>1.Collaborating with Ghana Audit Service which is a state institution to conduct performance auditing on local governance performance and facilitating the dissemination of the performance audit findings to citizens through citizens report cards has has received both regional and national attention and the concept being integrated into other project designs. 
2.To instutionalize the Performance Auditing on local government institutions,  the project identified Africa Centre for Parliamentary Affairs (ACEPA), and GIZ's project on 'Support for Decentralization Reforms (SfDR )as strategic partners, which can scale up this issues to the Parliament of Ghana.</t>
  </si>
  <si>
    <t>CARE under the GSAM Initiative supported 26 civil society organizations across the country with sub-grant to facilitate citizen monitoring of capital projects initiated by district assemblies. The project also built the capacity of these CSOs in District Assemblies’ participatory planning, budgeting, monitoring and the use of social accountability tools for citizen monitoring to hold duty bearers accountable</t>
  </si>
  <si>
    <t>To improve women participation in project activities, the project adjusted its strategy of using mainly formal spaces for citizen engagements to the use of alternative spaces such as churches, mosques, markets and VSLA groups in instances where those spaces were assessed as the best medium for women participation.</t>
  </si>
  <si>
    <t>Working with the Ghana Audit Service to conduct Performance Auditing on local government institutions promoted vertical accountability(top -down) and also enabled an interface between the Audit Service,local government authorities and citizens.</t>
  </si>
  <si>
    <t>District steering committees and Network of Community Development monitors, which were formed at the district level to address project challenges and to lead others to demand accountability from the relevant duty bearers has been very useful in facilitating project delivery within the year.</t>
  </si>
  <si>
    <t>The use of Community  and citizen report cards with  self explainatory info-graphics  contributed to  effective dialouge between duty bearers and right holders.</t>
  </si>
  <si>
    <t>Change of government sometimes leads to leadership gap (i.e. unavailability of District Chief Executives) in most districts, which slowed down decisions on capital project implementation. Using the non-political heads such as the community-based structures such as District Coordinating Directors (DCDs) and community structures such as network of community development monitors and district steering committees was useful in bridging the gap.</t>
  </si>
  <si>
    <t>We have learnt from our project implementation that, efforts  to reduce corruption and improve accountability within our local governance system will be more effective if performance auditing is  added to the current financal auditing of local government institutions in Ghana with mechanisms for disseminating the findings of the audit.</t>
  </si>
  <si>
    <t>Active and well informed citizens can be a catalyst of change in the capital project design, implementation and monitoring.</t>
  </si>
  <si>
    <t>GSAM's intervention is currently linked to the achievement of SDG 9 which focuses on industry ,innovation and infrastructure and 16 with special focus on peace, justice and strong institutions. The project also plays active roles in the national SDG platform and in local level SDG platforms, especially in the districts where the project is implemented.</t>
  </si>
  <si>
    <t>The main reference to  the design and implementation of the project is the GSAM Activity Monitoring and Evaluation Plan(March, 2016). The Y3Q1  to Y3Q3 and Year 2 Annual progress reports of GSAM  also contains information on all data presented.</t>
  </si>
  <si>
    <t>NORTHERN GHANA GOVERNANCE ACTIVITY</t>
  </si>
  <si>
    <t>USLMGHOOO8</t>
  </si>
  <si>
    <t>Michael Alandu</t>
  </si>
  <si>
    <t>michael.alandu@care.org</t>
  </si>
  <si>
    <t>Thomas Ayamga</t>
  </si>
  <si>
    <t>thomas.ayamga@care.org</t>
  </si>
  <si>
    <t>Strengthened responsive governance for improved agriculture development in Northern Ghana</t>
  </si>
  <si>
    <t>The project is implemented in 28 districts in Northern Ghana (ie. The Upper East, Upper West and Northern regions). It cover 15 Metropoloitan/Municipal/District Assemblies in Northern Region, 6 in Upper West and 7 in Upper East Region.</t>
  </si>
  <si>
    <t>The main impact group are the smallholder farmers including producers, markets,processors, input dealers who are mostly women. The reach targets women groups and CSOs in agriculture, government institutions and tradional authorities.</t>
  </si>
  <si>
    <t>The direct participants are small holder farmers, input dealers, processors and women in agriculture platforms members the project formed in 28 districts with a membership of at least 30 in a group. The groups per a district number over 240. the indirect reach includes members of the women platfroms who receive step down training and information sharing from the women platforms that are directly engaged by the project.  this also include the household beneficiaries of the women groups that the project works with. An average calculation of the indirct reach is based on the total number of direct participants by the average household size of 5.7.</t>
  </si>
  <si>
    <t>the evaluation is a midline to assess the progress towards achieving project results. This is to evluation the relevance, effectiveness of processes as well as efficiency in the approaches adopted. It assesses progress towards performance (targets against which performance will be measured), assess the level of project stakeholders and beneficiaries' acquaintance with the Goal, objectives and key intervention strategy of NGGA. The midline will further enable the project to identify innovative aproaches by NGGA, the lessons and recommendation for project enhancement. These will enable project attribution or contribution of results.</t>
  </si>
  <si>
    <t>The innovation that was tested the District Agricultural Governance Index (DAGI).It is an Index/ composite Indicator that combines two or more data sources into a single measure to define what should make up a Responsive Agricultural District. It is an innovative tool that seeks to promote agriculture and share experience among Metropolitan/Municipal/District Assemblies in the areas of planning, budgeting and expose the gaps in governing agriculture in a district.</t>
  </si>
  <si>
    <t>THE innovation that was tested is the District Agricultural Governance Index (DAGI) which is being developed in partnership with the District assemblies and the department of agriculture. Higher level consultations are yet to be done with the Ministry of Local Government and Rural Development and the Ministry of Food and Agriculture. The higher level engagement with the Ministries and USAID together with other development partners is to seek expert opinion for buy-inn and adoption as a national model used as an assessment tool for all the district assemblies in Ghana.</t>
  </si>
  <si>
    <t>one of the objectives  of the project is to Strengthen CSO and private sector capacity to demand accountability from duty bearers. CSOs and civic groups have therefore been trained on how to use social acountability mechanism tools to improve the decentralisation process for agriculture development.</t>
  </si>
  <si>
    <t>The porject has factored in a grants making component for women groups and cooporatives which is geared towards women empowerment. The project has also incorporated its gender strategy and the gender integration framework from USAID to improve gender maintreaming into the project's activities.</t>
  </si>
  <si>
    <t>DAGI- the index is to increase local and central governments’ prioritization for agriculture as well as increase accountability between decision-makers and citizens to improve  supply of quality agricultural services. It is a tool for assessing a Responsive Agricultural District.</t>
  </si>
  <si>
    <t>Regional Multi-stakeholder Agricultural Sector Governance Platforms (RASSGOP) and District Agricultural Sector Multi-stakeholder Governance Platform (DASSGOP). This is to strengthen the multi stakeholder actors in the agricultural sector to enahnce particiaption , inclusiveness and voice</t>
  </si>
  <si>
    <t>CSO and Women platforms- this is to stregthen Civil Soceity and civic groups towards active participation in decision making and demanding accountabiltiy from duty bearers.</t>
  </si>
  <si>
    <t>Empowering women groups and given them a voice in decision making to demand accountability requires some level of economic/ financial reliance of the women groups that the project is supporting.</t>
  </si>
  <si>
    <t>Government staff are willing to support the process of improving agricultural governance only when they feel they have been consulted in the process of change.</t>
  </si>
  <si>
    <t>Project baseline report, Activity Monitoring, Evalaution and Leraning Plan, Project Implementation Mannual</t>
  </si>
  <si>
    <t>Pathways to Secure  Resilient Livelihoods</t>
  </si>
  <si>
    <t>MCARGH0001</t>
  </si>
  <si>
    <t>Margaret A. Cargill Philanthropies (MACP)</t>
  </si>
  <si>
    <t>Food and Nutrition Security Manager</t>
  </si>
  <si>
    <t>agnes.loriba@care.org</t>
  </si>
  <si>
    <t>assibi.gladys@care.org</t>
  </si>
  <si>
    <t>To increase women smallholder farmers’, from poor households, resilience in the face of climate change to reduce their vulnerability and susceptibility to natural disasters</t>
  </si>
  <si>
    <t>The Pathways MAC project  in Ghana is being implemented in 30 communities in 2 districts (Garu Tempane and Lambussie) in Upper East and upper west Regions respectively.</t>
  </si>
  <si>
    <t>The project targets to impact 3000 poor and vulnerable smallholder women farmers and their households. These  farmers depend on a single increasingly erratic rainy season typically produce enough grain to meet five to eight months’ of their households’ annual requirements (less in bad years).  Floods often submerge large areas of farmland, washing away food crops, crumbling homes, driving up food prices, and leaving the poor hungry and destitute.Women and female-headed households engaged in subsistence agriculture constitute the majority of the poorest and most vulnerable populations.</t>
  </si>
  <si>
    <t>The direct participants are smallholder women farmers (3000) who are part of the VSLAs  in the project communities. The project  directly involved them in the implementation of  activities such as establishment and management of Farmer Field and Business Schools (FFBS), preparation and utilization of bio-insecticides, cultivation of Groundnut and soya and value added interventions. They are also engaged in gender activities such dialogues and radio discussions.  The indrect participants are all family/household members of direct participants, who are not directly involved in project activities. The indrect participants are calculated by multiplying the direct participants by 6. The multiplier (6) is the average household size of the direct participants calculated during the project baseline study.</t>
  </si>
  <si>
    <t>The project  work closely with  WILDAF, Netright, tradtional authorities (Chiefs, queen mothers, landlords), local governent and women leaders to influence changes in commmunity norms that inhibit the development of community members espercially women. The team  also work to  influence policies that promote women rights. The project employ strategies such as community gender dialogues and  engaging men and boys to reach out to households and duty bearers to negotiate with land owners to release productive resources (fertile lands and traction services)  to women.</t>
  </si>
  <si>
    <t>Farmer Field and Business School model focus on a learning by doing approach, putting farmers at the heart of learning and decision-making around new agricultural techniques. The strength of the model is that it integrates multiple components including sustainable agriculture practices, market engagement, gender and equity, food and nutrition security, group empowerment and Monitoring &amp;Evaluation. Pathways engaged a number of  strategic partners;   Food and Agricultural Organisation(FAO), Savannah Agricultural Research Institute (SARI, Ghana) IFPRI,University for Dvelopment Studies (UDS, Ghana), Savannah Accelerated Development Authority (SADA) and Internation Institute for Tropical Agriculture  (IITA) to develop  and dessiminate the FFBS model.                                  Literacy bridge signed an MOU with UNICEF  to incoporate maternal health issues into the Talking book so that the project participants can benefit.</t>
  </si>
  <si>
    <t>Participatory Scenario Planning (PSP): It is a multi-stakeholder platform that employs both indigenous and scientific knowledge in determining weather patterns and advisories for a particular geographical area. The platform brings togther traditional rain callers, the Ghana Meteorological Service Agency, the District Assembly, District Department of Agriculture, National Disaster Management Organization, Community development to develop advisories for the season. The platform identifies opportunities, hazards and impacts of scenarios for normal, above normal and below normal rainfall parterns). The advisories are developed based on the impact on the livelihoods identified. These advisories state the variety of seed to plant, time to plant, sources of inputs, livestock management etc. These final advisories are then disseminated through meetings, the radio Farmer Base Organization (FBO) meetings and all available medium for farmers to adequately prepare towards the impending season.</t>
  </si>
  <si>
    <t>Farmer Field and Business School (FFBS): This model  focus on a learning by doing approach, putting farmers at the heart of learning and decision-making around new agricultural techniques. The strength of the model is that it integrates multiple components including sustainable agriculture practices, market engagement, gender and equity, food and nutrition security, group empowerment and M&amp;E. It builds on existing VSLAs based Garu-Tempane and Lambussie districts. The project built on this model by incorporating resilience  issues such as using local knowledge in  weather forecasting,dry season gardening, value addition, use of local materials for composing and bio-insecticides.</t>
  </si>
  <si>
    <t>Market Research Committees (MRCs): They are two representatives from each group in the same communities. They are responsible for market activities  that is by supporting their groups to plan their production, sensitize members of the VSLA in their communities on market issues, aggregation and keeping sales records of their groups at the community level, monitor production of their members.</t>
  </si>
  <si>
    <t>There is so much local knowledge  that can be harnessed to improve CARE’s promoted technologies. Evidence from indigenous practices point to a rich but localized knowledge and technologies that have a potential of enriching project interventions. For instance the project adopted the use of neem and sand  to preserve  seeds as one of the methods that can help store seeds.</t>
  </si>
  <si>
    <t>Community level input dealership scheme piloted by the project is improving farmers access to quality agro inputs.</t>
  </si>
  <si>
    <t>The project engagement of Market Research Committees have made it possible for farmers to improve their collective sales and incomes.</t>
  </si>
  <si>
    <t>Annual reports, baseline report, evaluation report and end of project report.</t>
  </si>
  <si>
    <t>Pathways to Secure Livelihoods</t>
  </si>
  <si>
    <t>GATEGH0003</t>
  </si>
  <si>
    <t>Food and Nutrition Security program manager</t>
  </si>
  <si>
    <t>The main goal Pathways is to increase poor women farmers’ productivity and empowerment in more equitable agriculture systems at scale.</t>
  </si>
  <si>
    <t>The Pathways to Secure Livelihoods project is  being implemented in Garu-Tempane and Lambussie districts of  Upper East and Upper West regions of Ghana. These regions comprises 15.4 percent of national land area.  Rainfall occurs in one season and therefore, short-season arable crops (cereals, legumes, roots and tubers) are dominant in the region. The short agricultural season also limits employment opportunities for families.  The Pathways initiative is been implemented  in these regions because of the high levels of poverty and malnutrition in the context of a high regional productivity potential, particularly for high quality nutritious foods and economic opportunities for women and their families.</t>
  </si>
  <si>
    <t>The project targets to impact 7000 poor and vulnerable smallholder women farmers (and their households) who  are particularly vulnerable to food insecurity. These  included female-headed households who have been identified as some of the most vulnerable, regardless of poverty ranking, and CARE  considers them a unique sub-set of priority women smallholders with tailored interventions to address their particular opportunities and constraints.</t>
  </si>
  <si>
    <t>The direct participants are smallholder women farmers (7000) who are part of the VSLAs  in the project communities. The project  directly involved them in the implementation of  activities such as establishment and management of Farmer Field and Business Schools (FFBS), Cooking demonstrations, cultivation of Groundnut and soya and value added interventions. They participate  in gender activities such dialogues and radio discussions.  The indrect participants are all family/household members of direct participants, who are not directly involved in project activities. The multiplier (6) is the average household size of the direct participants calculated during the project baseline study.</t>
  </si>
  <si>
    <t>Talking book (audio device for extension services dellivery): It is  developed by litracy bridge  which helps to  improve smallholder farmers' access to agricultural technologies, nutrition messages, market information and gender related issues.It is a device that women can easily carry along for listening and discussions on the above mentioned topics.  According to literacy bridge,  usage statistics information reveals high level of usage of the device by project participants. Almost all the women who listened to the Talking Book reported satisfaction with the service. They further indicated that Talking Book has enlighten them and broaden their minds so now they engage their spouses and other men effectively on issues bothering them as women.</t>
  </si>
  <si>
    <t>The project work closely with women leaders, Gender champions and tradtional leaders to adovcate for  peoductive resources such fertille lands for women in the project communities.</t>
  </si>
  <si>
    <t>The "Talking Book" device used by the project to complement the work of CBEAs  in the dessimination of Good Agronomic Practices, markteting , gender and nutrition information has contributed significantly to  improve farmers access to timely extension services. The  device enable  farmers  to listen to  the mesaages repeatedly  espercially during their leisure hours.  Usage statistics information provided by Literacy bridge reveals high level of usage of the device by project participants.</t>
  </si>
  <si>
    <t>Farmer Field and Business School (FFBS): This model  focus on a learning by doing approach, putting farmers at the heart of learning and decision-making around new agricultural techniques. The strength of the model is that it integrates multiple components including sustainable agriculture practices, market engagement, gender and equity, food and nutrition security, group empowerment and M&amp;E. The training cycle follows the seasonal cycle (before, during &amp; after) ensuring that learning and other activities are done in real time without requiring extra time from already time constrained women farmers. It builds on existing VSLAs based Garu-Tempane and Lambussie districts.These groups already have established social capital and governance mechanisms and focuses on the added value of the other Pathways components. It is based on adult learning principles that offer practical lessons through participatory approaches. Monitoring and evaluation are built into the FFBS enabling farmers to track progress, costs as well as profit and loss and to use this information to make decisions based on farmers’ specific circumstances.</t>
  </si>
  <si>
    <t>Community Gender Dialogues and radio discussions: A gender dialogue is an exchange of ideas or opinions on socio-cultural and religious issues between men, women, boys and girls with a view of reaching an amicable agreement or settlement within a given society.During gender dialogues, community members are able to freely discuss issues that they identify as factors that affect the development of all citizens which include gender in-equalities. These platforms are where collective decisions are taken, bylaws are enacted, and laws are reformed and enforced.</t>
  </si>
  <si>
    <t>The team learnt that   radio discussions  is a very strong for development because it covers beyond the project operations areas. Through   phone in sessions listeners are able to contribute and make constructive criticisms to help shape our programming.</t>
  </si>
  <si>
    <t>As a result of Participatory Scenario Plannning, farmers are well informed about the weather patterns and that has enable them to be able plan as to when to start their cropping  season and the variety of seed to use on their farms.</t>
  </si>
  <si>
    <t>Engagement of community Market Research Committees have made it possible for farmers to improve their collective sales.The MRCs are  supporting their groups to plan their production, sensitize members of the VSLA in their communities on market issues, aggregation and keeping sales records of their groups at the community level, monitor production of their members.</t>
  </si>
  <si>
    <t>we are contributing to SDG 1….</t>
  </si>
  <si>
    <t>Annual and semi-annual reports, baseline and evaluation reports.</t>
  </si>
  <si>
    <t>Promoting a Sustainable and Food Secure World (PROSPER)</t>
  </si>
  <si>
    <t>CAPGGH00008</t>
  </si>
  <si>
    <t>Eunice Oduro</t>
  </si>
  <si>
    <t>Monitoring and Evaluation Officer</t>
  </si>
  <si>
    <t>eunice.oduro@care.org</t>
  </si>
  <si>
    <t>The main goal of the PROSPER project is to increased gender equitable food security &amp; resilience to climate change</t>
  </si>
  <si>
    <t>The project operates 108 communities in the Western region of Ghana in 7 political districts-Sefwi Wiawso Municipal, Bibiani-Anhwiaso Bekwai, Amenfi Central, Bodi, Sefwi Akontombra, Amenfi West and Juaboso districts</t>
  </si>
  <si>
    <t>The main impact groups of the project are:  
Women and men of reproductive age
Children under five
Children of school going age.</t>
  </si>
  <si>
    <t>The  direct participants are the women groups,  community leaders and community members  who are directly involved in activities implemented by the project.
The indirect participants represents the families/ households of the direct participants  who are not directly involved in the project's activities,  using a multiplier of 4 ( average household size), with 48.3% representing  men and boys and 51.7% representing  women and girls.  (GLSS-6)</t>
  </si>
  <si>
    <t>Strengthened communities through the formation and training of Community Development Committees and women's groups to empower women and the community at large+A58:H85</t>
  </si>
  <si>
    <t>Partnered with the Community Development, Planning Unit of the District Assembly in the formation and training of Women's groups and Community Development Committees whiles facilitating the inclusion of Community Action Plans into the District Medium Term Development Plans</t>
  </si>
  <si>
    <t>CARE facilitated the formation and training of Community Development Committees and Women's groups to voice their concerns, advocate for their rights and also defend their interest+</t>
  </si>
  <si>
    <t>I. PROSPER  formalised women's roles and contributions to development by forming and strengthening women's groups through leadership training
II.  Community Development Committees (CDCs) were formed ,  trained and linked to all the key local government institutions at the district level to spearhead development initiatives at the community level.</t>
  </si>
  <si>
    <t>I. Women were facilitated to form women's groups to give them visIbility and voice as well as build their collective and individual agency to participate actively in decision making processes and local governance.</t>
  </si>
  <si>
    <t>II.  An engagement forum that brings all the key district government officials together with community representatives to dialogue and provide feedback on critical development issues affecting community members. This promotes accountability between power holders and duty bearers.</t>
  </si>
  <si>
    <t>III. District-level partners (officials) are frequently used in carrying out most interventions and trainings and this promotes sustainability of interventions.</t>
  </si>
  <si>
    <t>I. Stakeholder collaboration has improved and this is a positive step in promoting  sustainability of  project interventions</t>
  </si>
  <si>
    <t>II. Community Organizational Development processes has raised the interest of community members in mobilizing local resources to address their developmental challenges.</t>
  </si>
  <si>
    <t>The project contributed to SDG goal 1(No poverty) goal 4(quality education) and goal 5(Gender Equality)</t>
  </si>
  <si>
    <t>PROSPER Proposal, 2016
PROSPER Monitoring and Evaluation Framework</t>
  </si>
  <si>
    <t>Prosperous Cocoa Farming Communties (PROCOCO)</t>
  </si>
  <si>
    <t>The goal of PROCOCO is to promote more prosperous, sustainable and resilient cocoa-farming communities</t>
  </si>
  <si>
    <t>The project operates in four of Ghana's cocoa districts two in Ashanti Region (Ahafo Ano North and South), one in the Brong Ahafo region (Tano North) and one in the Central region (Asikuma Odoben Brakwa). The project covers 110 communities in the 4 districts with 35 communities in Ahafo Ano North district, 35 communities in the Ahafo Ano South district, 20 communities in the Tano North district and 20 communities in the Asikuma Odoben Brakwa district.</t>
  </si>
  <si>
    <t>Women, Children under 5 years, Children 5-15 years, Households of farmer groups</t>
  </si>
  <si>
    <t>The direct participants are the women groups, farmer groups, community leaders and community members  who are directly involved in activities implemented by the project.
The indirect participants represents  all family/household members of direct participants, who are not directly involved in project activities. The average household size for the project communities with reference to the an Evaluation studyis 4.8 which is higher than the national average of 3.7 and rural average of 4.019. The large household size in the surveyed district may be indicative of high fertility rate. women constitute 51% while their male counterpart forms 48%. of the indirect participants.</t>
  </si>
  <si>
    <t>Introduced VSLA to some project communities and measured the results of the VSLA</t>
  </si>
  <si>
    <t>CARE facilitated the formation and training of Community Development Committees and Women's groups to voice their concerns, advocate for their rights and also defend their interest</t>
  </si>
  <si>
    <t>The use of VSLAs was an effective means of financial empowerment and created a platform  for implementing project interventions.</t>
  </si>
  <si>
    <t>The use of community driven approach to development has contributed to the mobilization of local resources in addressing community needs</t>
  </si>
  <si>
    <t>Presence of strong institutional linkages that facilitates the sustainability and scalability of project interventions.</t>
  </si>
  <si>
    <t>PROCOCO Final Evaluation Report, 2016</t>
  </si>
  <si>
    <t>MICROLEAD EXPANSION PROGRAM</t>
  </si>
  <si>
    <t>Head of Programs</t>
  </si>
  <si>
    <t>Gifty.Blekpe@care.org</t>
  </si>
  <si>
    <t>Ellen Sedziafa</t>
  </si>
  <si>
    <t>Ellen.Sedziafa@care.org</t>
  </si>
  <si>
    <t>To provide acces to  Financial Educiation and basic financial services through VSLAs to 72,500 completely excluded people and access to formal financial services to 30,000 members of VSLAs in the rural areas of Ghana with focus on Northern sector</t>
  </si>
  <si>
    <t>Northern, Upper East, Upper West and Brong Ahafo Region</t>
  </si>
  <si>
    <t>The impact group includes women and their households. The household include both male and females who are part of the family.</t>
  </si>
  <si>
    <t>An endline survey will be conducted by the Donor</t>
  </si>
  <si>
    <t>The use of the Financial Education manual, Linkage  manual, Financial Edcuation picture/cards for easy facilitation of trainings. The use of the savix also enabled effective data collection on VSL groups which could be accessed on online. The use of Fildelity smart card and linkage of groups to GN Bank using mobile bankers were also effective. The setting up of some Village Agents to operate Fidelity Smart card and MTN Mobile money was also good.</t>
  </si>
  <si>
    <t>Microlead made inputs and presentations to the Ghana inclusive growth strategy, it made presentations to the ministry of Finance and also invited the Ministry to take part in the project planning meetings. Microlead also made presentations to SADA and participated in round table meetings on  inclusive finance organized by USAID.</t>
  </si>
  <si>
    <t>Trainings</t>
  </si>
  <si>
    <t>The project initially targeted remote areas with technology for improving economic empowerment of women but the technology could not be roolled out successfully in these areas and had to adapt peri-urban areas to test the tecnology.</t>
  </si>
  <si>
    <t>VSLA is a small group of 25 to 30 members that come together to save on weekly basis. VSL groups have management committee members and a constitution that guides the group meetings. Members ste rules for loans and fines. There is social fund which is an emergency fund for members in times of distress and loan fund for members to access on monthly basis. The groups operate within 9 to 12 months in which the loan amounts are shares out and a new cycle begins.</t>
  </si>
  <si>
    <t>Technology for financial inclusion</t>
  </si>
  <si>
    <t>The use of private sector partnerships</t>
  </si>
  <si>
    <t>Consider locations before rolling out new technologies especially on financial inclusion</t>
  </si>
  <si>
    <t>The effective  engagement of the private sector could promote the roll out of financial inclusion strategies</t>
  </si>
  <si>
    <t>The use of financial education cards, pictures demonstrations and sharing of experriences of participants made trainings very participatory and also improved on group attendance to trainings</t>
  </si>
  <si>
    <t>The project supported the in achieving the SDG goal 1 (No poverty) and goal 5 (Gender equality) through improving the livelihoods of members and empowering women. Microlead shared experiences with USAID at VSLA forum that led to the adoption of the Microlead strategies for rolling out Community Managed Savings and Loans Associations in the Feed the Future Project.</t>
  </si>
  <si>
    <t>VSL Access Africa manual, CARE Financial Education manual and CARE Linkage manual</t>
  </si>
  <si>
    <t>Greece</t>
  </si>
  <si>
    <t>Refugee response in Greece</t>
  </si>
  <si>
    <t>DE744</t>
  </si>
  <si>
    <t>DE799</t>
  </si>
  <si>
    <t>DE735</t>
  </si>
  <si>
    <t>Centre de Crise</t>
  </si>
  <si>
    <t>BNP</t>
  </si>
  <si>
    <t>DE734</t>
  </si>
  <si>
    <t>Neighbours in Need Foundation</t>
  </si>
  <si>
    <t>DE723</t>
  </si>
  <si>
    <t>DE775</t>
  </si>
  <si>
    <t>NL676</t>
  </si>
  <si>
    <t>Public collection by CARE NL</t>
  </si>
  <si>
    <t>BA340</t>
  </si>
  <si>
    <t>LDS</t>
  </si>
  <si>
    <t>FR767</t>
  </si>
  <si>
    <t>Rescue telecom</t>
  </si>
  <si>
    <t>Aleksandra Godziejewska</t>
  </si>
  <si>
    <t>Head of Mission</t>
  </si>
  <si>
    <t>godziejewska@care.de</t>
  </si>
  <si>
    <t>Ben Mascall</t>
  </si>
  <si>
    <t>Program and Partnership Manager</t>
  </si>
  <si>
    <t>mascall@care.de</t>
  </si>
  <si>
    <t>Support to refugees and migrants linked to the recent influx with tailored case management and targeted support for basic needs (accomodation, protection and cash)</t>
  </si>
  <si>
    <t>The main focus is on urban areas of Athens and Thessaloniki</t>
  </si>
  <si>
    <t>Refugees in the urban areas of Athens and Thessaloniki</t>
  </si>
  <si>
    <t>capacity building trainigs for the partner organizations, support in developing M&amp;E system of the local partner, support provided to Melissa strenghtening advocacy skills among beneficiaries</t>
  </si>
  <si>
    <t>21 apartments for vulnerable women, modification of the program at the end of the FY to include SGBV case management component, continuation of cooperation with Melissa Migrant Women Network, assessing new partner capacties and developing a new proposal for the next FY focusing on pregnant and lactating women</t>
  </si>
  <si>
    <t>urban cash program</t>
  </si>
  <si>
    <t>shelter and accomodation of particularly vulnerable refugees (single women with newly born babies and unaccompanied youth exiting minors shelters)</t>
  </si>
  <si>
    <t>use of CommCare as a data collection and monitoring tool</t>
  </si>
  <si>
    <t>local partners not reporting on time and preventing joint engagement on project implemenation, therefore, impacting project monitoring, quality and timely spending</t>
  </si>
  <si>
    <t>donors approving short timeframes of the projects, therefore, not allowing to properly scale up to meet the needs (cash program)</t>
  </si>
  <si>
    <t>use of CommCare as a data collection and monitoring tool has been beneficial but complicated therefore it took long time to properly adjust it to the project needs</t>
  </si>
  <si>
    <t>Guatemala</t>
  </si>
  <si>
    <t>Fortalecimiento al Sistema Nacional de Prevención y Control de Incendios Forestales -SIPECIF- en los Departamentos de Quiche y Totonicapan, Guatemala.</t>
  </si>
  <si>
    <t>AID-OFDA-G-16-00236</t>
  </si>
  <si>
    <t>US1QE - OFDAGT0003</t>
  </si>
  <si>
    <t>Ada Zambrano</t>
  </si>
  <si>
    <t>Directora de Pais</t>
  </si>
  <si>
    <t>ada.zambrano@care.org</t>
  </si>
  <si>
    <t>Amilcar Mirón</t>
  </si>
  <si>
    <t>Coordinador de Calidad Programatica</t>
  </si>
  <si>
    <t>wilfredo.miron@care.org</t>
  </si>
  <si>
    <t>Prevencion y preparacion ante los incendios forestales a nivel comunitaria, y a anivel municipal.</t>
  </si>
  <si>
    <t>Departamanentos de Quiche (Municipios de Santa Cruz del Quiche, Sacapulas, San Antonio Illotenango, Chinique, Chiche, San Bartolome Jocotenango y San Pedro Jocopilas). En el Departamento de Totonicapan (Municipios de Totonicapan y Santa Maria Chiquimula).</t>
  </si>
  <si>
    <t>Se procedio a sencibilizar  y acapacitar  a 5 lideres o lideresas de  60 comunidades que participaron durante el desarrollo del proyecto, asi mismo se procedio a capacitar a personal tecnicos de los departamentos en prevencion, control y respuesta a incendios forestales y fuegos de interfaz o urbano-forestal.</t>
  </si>
  <si>
    <t>El proyecto se desarrollo en 60 comunidades de 10 municipios de los departamentos de Totonicapan, y Quiche; aquí participaron 5 lideres y lideresas representantetes de cada comunidad, esto da como resultado  300 lideres y lideresas capacitadas y sencibilizadas, sumando a  este proceso  se  agrega personal tecnico y operativo en prevencion de incendios forestales representados por intitutiones de gobierno como el SIPECIF, INAB, CONAP, MAGA, MARN entre otros. Agregamos  la difusion radial a travez de spots radiales, reuniones con comisiones gubernamentales o  comunales para dar  a conocer y sencibilizar lo relacionado a la prevencion de incendios forestales.(Ver Anexo Excel del calculo)</t>
  </si>
  <si>
    <t>Prevención Incendios Forstales</t>
  </si>
  <si>
    <t>Por ser un proyecto de respuesta a emergencias OFDA no requiere evaluacion</t>
  </si>
  <si>
    <t>La proteccion de los recursos naturales como lo es la masa boscosa de las comunidades, con prevencion de incendios forestales para evitar su degradacion y perdida</t>
  </si>
  <si>
    <t>La conformacion de equipos o cuadrillas comunitarias para dar respuesta a los incendios forestales en sus localidades.</t>
  </si>
  <si>
    <t>Proceso de capacitacion desde nivel tecnico gubenamental y municipal hasta el nivel comunitario. Equipamiento de herramientas y equipo basico de seguridad para la prevencion y control de incendios forestales (Personal tecnio departamental, Bomberos Estructurales, Municipalidades y comunidades participantes en el proyecto).</t>
  </si>
  <si>
    <t>Construcción de alianzas con organizaciones gubernamentales para la implementación y promoción del proyecto</t>
  </si>
  <si>
    <t>Implementación de campañas de sensibilización sobre la prevención de incendios forestales con la población, lideres, lideresas y funcionarios municipales.</t>
  </si>
  <si>
    <t>Promoción de la participación de las mujeres en las acción de preparación para la prevención de incendios forestales.</t>
  </si>
  <si>
    <t>El apoyo a mujeres y hombres para ser convocados, participar,trabajar en tareas de prevencion y control de incendios forstales.</t>
  </si>
  <si>
    <t>El acercamiento y la sensibilizacion en tareas preventivas de incendios forestales y fuegos de interfaz urbano-forestal son tareas que requieren el trabajo, periodico y constante ya que son medidas preventivas que debemos aplicar todo el tiempo y siempre.</t>
  </si>
  <si>
    <t>Documentos del proyecto: https://www.dropbox.com/sh/q2dnini2tcvq3d9/AABaUCC1vNJHt6-XN4oI5Phsa?dl=0</t>
  </si>
  <si>
    <t>Mejorando la Capacidad de Resisliencia y a la Respuesta a Desastres de Poblaciones expuestas a Multi-Amenazas en el Departamento de Quiché, Guatemala.</t>
  </si>
  <si>
    <t>FR779 - CFRAGT0008</t>
  </si>
  <si>
    <t>Coordinador de Calidad Programatica y Movilizacion de Recursos</t>
  </si>
  <si>
    <t>Reducir las vulnerabilidades institucionales, educativas, y sociales; mejorar la capacidad de resiliencia ante escenarios de multi-amenazas de las comunidades de los municipios de San Pedro Jocopilas y San Bartolomé Jocotenango, del departamento de Quiché, al final del proyecto.</t>
  </si>
  <si>
    <t>Municipios de San Pedro Jocopilas y San Bartolome Jocotenango departamento de Quiché, Guatemala</t>
  </si>
  <si>
    <t>Población expuesta a altos grados de riesgo y vulnerbilidad por amenaza de sequía, incendios forestales, sismos y derrumbes, dentro del área de cobertura (mujeres, hombres, niños, niñas, adolescentes, personas con discapacidad y adultos mayores).</t>
  </si>
  <si>
    <t>Los participantes directos son todos los hombres, mujeres, adolescentes, niños/as y autoridades municipales que componen la población total de las 22 comunidades priorizadas por el proyecto y sus cabeceras municipales; ya que de acuerdo al objetivo del proyecto y su naturaleza, la organización y capacitación de las coordinadoras locales favorece directamente a toda la población que componen el sector priorizado. El equipamiento y las obras trabajadas son de beneficio para la comunidad y el trabajo con autoridades municipales permite que el alcance sea total. Para realizar el cálculo, se cuenta con un censo de la población total de las áreas de intervención, planillas de participantes y cuadros de registro de la población que queda acreditada y reconocida por medio del ente rector. 
Los participantes indirectos son todos los que se ha beneficiado, o son impactados por el proyecto, por medio de acciones específicas, como lo son las campañas de sensibilización (spots radiales y televisivos, ferias temáticas, celebraciones del día internacional para la reduccion de riesgo a desastres, perifonéos, etc.). Estos son calculados en un monitoreo de población que asiste a días de plaza, y constancias de alcance radial y televisivo de las empresas contratadas.</t>
  </si>
  <si>
    <t>Como parte del cierre del proyecto a septiembre 2017, se llevarppa a cabo la evaluación final del proyecto, así como la evaluación CAP final.</t>
  </si>
  <si>
    <t>Se promueve la creación de Unidades Municipales para la Gestión Integral del Riesgo, en las cuales es asignado un técnico municipal para asumir responsabilidad, y en donde en ambas municipalidades se plantea asignar presupuesta para su funcionalidad.</t>
  </si>
  <si>
    <t>Se promueven acciones para la práctica de protección de medios de vida, y adaptación al cambio climático (sistemas de cosecha de agua de lluvia, implmentación de huertos familiares, siembra de árboles frutales adaptados a condiciones de sequía, entrega de botiquines pecuarios para el cuidado de animales para consumo y venta.)</t>
  </si>
  <si>
    <t>Se trabaja coordinadamente con las instituciones rectoras para asegurar la vinculación y sostenibilidad de los procesos; así como el empoderamiento y relación de instituciones y comunidades. En el tema de protección de medios de vida, se trabaja fuertemente con el acompañamiento del Ministerio de Agricultura; los proceosos de formación y conformación de coordinadoras para respuesta son trabajados con la CONRED y Ministerio de Educación. Las otras oficinas fuertemente ligadas son: Dirección Municipal de la Mujer, Oficina Municipal de la Niñez y Juventud, Ofcina Forestal, Dirección de Planificación Municipal, Ministerio de Salud.</t>
  </si>
  <si>
    <t>El proyecto contempla la conformación y formación de Coordinadoras Locales para la Respuesta, así como la conformación de los Comités Escolares para Respuesta y formación de un grupo de voluntarios a nivel municipal. Todo este fortalecimeinto y organización es a nivel comunitario, y es a partir del fortalecimiento de la sociedad civil.</t>
  </si>
  <si>
    <t>Por medio de la metodología de diagnósticos de medios de vida, se identifcaron algunas prácticas que son factibles y sostenibles, para el cuidado y mejora de la calidad de animales de patio; se realizaron ajustes y coordinaciones con el Ministerio de Agricultura, para proveeer y capacitar a los comunitarios, en el uso y manejo de un botiquín pecuario; acción que no se contemplaba dentro del proyecto, pero que fortalecia las prácticas de protección a medios de vida. Además de permitir trabajar con las comunidades, en la identificación de prácticas sostenibles que pueden mejorar significativamente sus nivles de incremento en la optimización de medios de vida.</t>
  </si>
  <si>
    <t>Organización comunitaria, inclusiva (considerar a las poblaciones más vulnerables dentro de la planificación y preaparación a desastres, permite ser más inclusivos y reconocer realemnte las necesidades de todos/as)</t>
  </si>
  <si>
    <t>Intercambios de experiencias con socios que implementan acciones similares, para fortalecer procesos y establecer lineamientos homogéneos con el ente rector.</t>
  </si>
  <si>
    <t>Diagnósticos participativos que permitan que los y las involucradas se apropien y hagan uso de la información obtenida.</t>
  </si>
  <si>
    <t>Dentro de las necesidades que no pudieron abordarse al 100% con el proyecto, al querer abordar el tema de inclusión y equidad de género, son el balance entre las responsabilidades que las mujeres tienen dentro de la familia y la recarga que podría impmlicar participar en los procesos de formación del proyecto, tales como: volver a casa y encontrarse con las tareas que dejaron al salir; el cuidado de hijos que deben hacer, aún cuando participan con el proyecto; la carga de asumir un cargo de toma de decisiones dentro de las coordinadoras, cuando se reconoce que las tareas del hogar no son equitativamente distribuidas.</t>
  </si>
  <si>
    <t>La metodología utilizada para la elaboración y socialización del diagnóstico de medios de vida, permitió contar con representación significativa de las comunidades y autoridades municipales; promoviendo así el empoderamiento en el uso del mismo y el manejo de la información.</t>
  </si>
  <si>
    <t>El contar con un asocio durante la implementación del proyecto, se identifica como una práctica exitosa, en la busca de la sostenibilidad y empoderamiento de organizaciones locales.</t>
  </si>
  <si>
    <t>Aún cuando el proyecto inicia en abril del año 2016; las actividades de campo e intervención con comunidades, da inicio en el mes de junio 2017; por lo que todos los beneficiarios se ven reflejados directamente en el año fiscal actual. Es importante considerar que debido a encontrarse en su fase de cierre, los datos no varian en este período restante.</t>
  </si>
  <si>
    <t>Documentos del proyecto: https://www.dropbox.com/sh/7gvw5t27l5udfet/AAA7F4rUGUpuTkdqiXcQ28lia?dl=0</t>
  </si>
  <si>
    <t>Proyecto Mujeres Mayas y Garífunas, construyendo una vida digna y con justicia</t>
  </si>
  <si>
    <t>CFRAGT0007</t>
  </si>
  <si>
    <t>Ada.Zambrano@care.org</t>
  </si>
  <si>
    <t>Juana Sales</t>
  </si>
  <si>
    <t>Coordinator Project</t>
  </si>
  <si>
    <t>juanasmorales@yahoo.com</t>
  </si>
  <si>
    <t>12 municipalities of two departments, Quiché and Izabal, both in the northern of the country, with high rates of indigenous population, poverty and exclusion.</t>
  </si>
  <si>
    <t>20 indigenous women organisations, human rights defenders, articulated to the Movimiento de Mujeres Indígenas Tz'ununija' and the formation of 40 indigenous women human rights defenders.</t>
  </si>
  <si>
    <t>Development A Life Free From Violence (GBV)
Direct participants: 474 indigenous women that are part of 20 women organisations, commnity based, articulated to the Movimiento de Mujeres Indígenas Tz'ununija', participating as follows: 400 indigenous women that are part of these 20 women organistaions; 40 indigenous women  identified and formated as human rights defenders, who are leaders  of their orgaisations and communities; 28 indigenous women from the different decision-making structures of the Tz'ununija' Movement: 20 of them participate in the Political Council of Tz'ununija', 8 indigenous women, leaders, who participate in the Consejo Menor, and 6 women, part of the technical staff of the project.
The indirect participants were calculated as follows:  4500 indirect participants are part of the families of the women organisations leaders and associated members, affected possitively by the indigenous women directly participating of the project; 3,000 people from the civil society, NGO leaders, community leaders, public sector officials or employees, specifically justice sector employees (prosecuting attorney, judges, magistrates, etc.), invited to participate in the different public events of the project (forums, information media campaign, etc.).</t>
  </si>
  <si>
    <t>The final evaluation will take place by May, 2018, and it wil be a comparable evaluation with baseline, also evaluating the effectiveness and impact.  The same instruments are to be used in the final evaluation.</t>
  </si>
  <si>
    <t>La diagnóstico de mujeres garífunas en el acceso a la justicia, y el proceso de formación de mujeres garífunas defensoras de DDHH, es una iniciativa que por primera vez se impulsa.  Especialmente el estudio, ha permitido a las mujeres comprender lo histórico de la injusticia, discriminación racial y de género y fortalecer la exigibilidad de sus derechos.  El Movimiento Tz'ununija' ha ampliado la agenda de incidencia en el Organismo Judicial, demandando la formación de intérpretes en idioma Garífuna, que a la fecha no existe personal formado, siendo una responsabilidad del Estado atender a los pueblos indígenas en sus propios idiomas.</t>
  </si>
  <si>
    <t>El protocolo de atención paa mujeres indígenas y su acceso a la justicia, inicialmente propuesto para el Organismo Judicial (OJ) se realizó para el Miniserio Público, debido a que el OJ ya contaba con un protocolo de atención para mujeres indígenas y el acceso a la justicia, se dio apoyo al OJ para mejorarlo y se trabajo en su socialización y mayor exigibilidad.  Actualmente se continúa con la incidencia para que se apruebe el protocolo de atención en el Ministerio Públic para su posterior implementación.  Ambos protocolos beneficiarán a las mujeres indígenas del país de ser implementados, puesto que se trata de mecanismos de política pública en el sector justicia.</t>
  </si>
  <si>
    <t>El Movimiento de Mujeres Indígenas Tz'ununija', es un movimiento social integrado por más de 80 organizaciones de mujeres de 13 departamentos del país.  El fortalecimiento de sus estructuras organizativas que están conformadas por reprsentantes de las diferentes comunidades lingüisticas es uno de los objetivos del proyecto (Consejo Político, Consejo Menor y 20 organizaciones locales articuladas).</t>
  </si>
  <si>
    <t>El primer año estaban planificados los foros y diálogos con operadores de justicia, jueces, magistrados del Organismo Judicial y fiscales del Ministerio Público.  Estos fueron trasladados para el segundo año, para profundizar en la formación y fortalecimiento de capacidades y de sanación de las 40 mujeres indígenas defensoras de derechos humanos (2016), durante los foros realizados en el primer semestre de 2017, las mujeres defensoras formadas, que provienen de comunidades remotas, fueron ponentes, en las mesas de discusión con los operadores de justicia, algunas tomaron la palabra para expresar sus opiniones durante los foros con operadores de justicia.  Asimismo, las defensoras de DDHH, sobrepasaron las metas de acompañamiento de casos en sus comunidades a otras mujeres víctimas de violencia, acompañando hasta 57 casos de diversa índole, logrando una sentencia favorable en uno de los casos asesorado por el equipo legal del proyecto.</t>
  </si>
  <si>
    <t>Formación de mujeres indígenas defensoras de derechos humanos de las comunidades remotas.</t>
  </si>
  <si>
    <t>La investigación como una herramienta para fortalecer la incidencia en políticas.</t>
  </si>
  <si>
    <t>Un movimiento de mujeres indígenas articulado, que tiene una agenda política comprometida y de largo plazo y un conjunto de relaciones estratégicas claves que ya existín antes del inicio del proyecto y que fueron claves en los avances de sus objetivos y resultados.</t>
  </si>
  <si>
    <t>La incidencia política con los operadores de justicia a nivel local/departamental, por las debilidades del sector justicia en este nive (falta de recursos, escasa cobertura, compromiso con el tema en el nivel local/departamenta)l, no ha avanzado como se esperaba, mientras en el nivel nacional el proyecto alcanzó un adecuado grado de efectividad.</t>
  </si>
  <si>
    <t>Indicadores y metas bien formuladas, versus un limitado presupuesto, y que debido a la pérdida cambiaria de Euros a Dólares afectó la disponibilidad financiera para algunas de las metas, como los encuentros y planes de las 20 organizaciones de mujeres para dar seguimiento al proyecto.  Un reto a considera en el año 3 del proyecto.</t>
  </si>
  <si>
    <t>Los procesos de investigación han contribuido a fortalecer otros procesos del proyecto como la formación de las defensoras y la incidencia política en los protocolos de atención de las mujeres indígenas y el acceso a la justicia, para la exigibilidad de sus derechos humanos con los estándares internacionales ratificados por el país.</t>
  </si>
  <si>
    <t>Empoderamiento  de pequeñas productoras rurales</t>
  </si>
  <si>
    <t>NL798 - CNLDGT0007</t>
  </si>
  <si>
    <t>Marta Verónica Iscamey Pérez</t>
  </si>
  <si>
    <t>Asesora del Proyecto</t>
  </si>
  <si>
    <t>veronica.iscamey@care.org</t>
  </si>
  <si>
    <t>Haroldo Chiquin</t>
  </si>
  <si>
    <t>Gerente de Programa WEE</t>
  </si>
  <si>
    <t>haroldo.chiquin@care.org</t>
  </si>
  <si>
    <t>Fortalecer  capacidades  y habilidades de producción  relacionamiento y negociación de mujeres productoras indígeneas que viven en pobreza y condiciones de vulnerabilidad, para mejorar sus condiciones de vida.</t>
  </si>
  <si>
    <t>Municiipios de Sacatepéquez, Chimaltenango y Sololá,  Guatamala</t>
  </si>
  <si>
    <t>*Mujeres Pequeñas productoras rurales
-Lideresas de las organizaciones de Mujeres
-Mujeres integrantes de los Centros de Aprendizaje para el desarrollo del Ministerios de Agricultura y ganadería</t>
  </si>
  <si>
    <t>Directos:
-Las mujeres pequeñas productoras rurales,  que tienen actividades productivas  agrícolas y no agrícolas, vínculdas a organizacioanes y asociaciones de mujeres formales y no formales en el departamento de Chimaltenango, Sacatepéquez y Sololá.
-Las mujeres  integrantes de los Centros de  aprendizaje para el desarrollo rural -CADERES- del Minsterio de Agricultura, Alimentación y Ganadería -MAGA-
-Lideresas e integrantes de las Juntas Lidectivas de organizaciones  formales y no formales de mujeres del área de intervención.
-Lideresas de las Direcciones Municipales de la Mujer -DMM-
-Educadoras de los CADRES del MAGA
Indirectos
-Mujeres con nuevos empleos  indirectos para mujeres que se estarán incorporando al trabajo en campo y otros  servicios como  alimentación, material de empaque, uniformes, material de imprenta, entre otros, como resultado de la implementación de actividades directas
-Las Familias de las  beneficiarias directas: Hijas, hijos, hermanas, madres y espososo</t>
  </si>
  <si>
    <t>Para la segunda fase del proyecto que inicia  conjuntamente con el nuevo año fiscal, se tiene establecido aplicar una línea base incial, además de  sistematizar los modelos que  funcionan para el empoderaiento económico de las mujeres, la implementación de las Storytelling y realizar investigación cuali-cuantitativa para tener mayor  mecanimos de soporte y de evidencia.</t>
  </si>
  <si>
    <t>El proyecto implemento procesos de empoderamiento de mujeres y formas novedosas de diversificacion de la producción</t>
  </si>
  <si>
    <t>Se coordinaron acciones con El Ministerio de Agricultura -MAGA y la Secretaria  presidencial de la mujer para promover acciones de empoderamiento de las mujeres  con personal de estas instituciones (equipo técnio, quienes  transfirieron  conocimientos a grupos de mujeres  a nivel municipal y departamental que contribuyo a multiplicar el conocimiento.</t>
  </si>
  <si>
    <t>Se identificaron nuevos grupos de mujeres vinculados a Organizaciones Gubernamentales del MAGA (Ministerio de Agricultura) para poder ampliar la cobertura del proyecto y  tener procesos con mayor sostenibilidad.</t>
  </si>
  <si>
    <t>Aplicar las dimenciones del marco estrategico para el  Empoderamiento de las mujeres de CARE Internacional</t>
  </si>
  <si>
    <t>Realizar intercambios de experiencias con grupos de mujeres</t>
  </si>
  <si>
    <t>Las escuelas de campo, para el aprendizaje de mujer a mujer,</t>
  </si>
  <si>
    <t>Que se deben generar procesos  que  contribuyan al  empoderamiento personal de las mujeres para que poseter y gradualmente se puedan ir estableciendo acciones para el empoderamiento social y económico.</t>
  </si>
  <si>
    <t>Es importante e indispensable  establecer alianzas estrategicas con organizaciones del sector gubernamental, local y sector privado para que conjuntamente se puedan realizar acciones que contribuyan a alcanzar los objetivos del proyecto, pero sobre todo para establecer mecanismo de sostenibilidad.</t>
  </si>
  <si>
    <t>Se deben alinear y/o ajustar  los indicadores del proyecto especialmente de gobernanza y de Resiliencia, que no estan definidos desde la propuesta inicial</t>
  </si>
  <si>
    <t>Documentos del proyecto: https://www.dropbox.com/sh/cjcwa52t1z4zncm/AABXVVYV78AuKKUV1TkGFdLma?dl=0</t>
  </si>
  <si>
    <t>Partners for Resilience Strategic Partnership</t>
  </si>
  <si>
    <t>NL178 - CNLDGT0009</t>
  </si>
  <si>
    <t>Edwin Kestler</t>
  </si>
  <si>
    <t>Coordinador de Iniciativas</t>
  </si>
  <si>
    <t>edwin.kestler@care.org</t>
  </si>
  <si>
    <t>Carmen Wilson</t>
  </si>
  <si>
    <t>Especialista MEL</t>
  </si>
  <si>
    <t>carmen.wilson@care.org</t>
  </si>
  <si>
    <t>La población guatemalteca más vulnerable al cambio climático, degradación ambiental y desastres, incrementan su resiliencia luego de incorporar la gestión integral de riesgo en los procesos de desarrollo.</t>
  </si>
  <si>
    <t>Guatemala a nivel nacional, los municipios Santa Catarina Ixtahuacan y Nahualá en el departamento de Sololá, los municipios de San Cristobal Acasaguastlan en el municipio en el departamento de El Progreso, los municipios de Zacapa, Usumatlán y Cabañas en el departamento de Zacapa, los municipios de Taxisco y Chiquimulilla en el departamento de Santa Rosa, municipio de Moyuta en el departamento de Jutiapa y municipio de Puerto Barrios en el departamento de Izabal.  Y a nivel regional los países  que conforman el Sistema de Integración Centroamericano (SICA)</t>
  </si>
  <si>
    <t>La población guatemalteca y regional más vulnerable al cambio climático, degradación ambiental y desastres.</t>
  </si>
  <si>
    <t>Participantes directos: Organizaciones de la sociedad civil, organizaciones locales (COCODES y COLREDES), empleados técnicos de los 10 municipios (OMM, DMP, OFM), tomadores de decisiones de los 10 municipios (COMUDES), funcionarios del sector público: MARN, CONRED, CONAP y SEGEPLAN y funcionarios regionales de CEPREDENAC.</t>
  </si>
  <si>
    <t>Se tiene planificada una evaluación de medio término en 2018, la metodología principal utilizada para el sistema de M&amp;E de PfR es Cosecha de Alcances.</t>
  </si>
  <si>
    <t>Elaboración y promoción de módulos de apoyo metodologico para la formación de niños y niñas en temas de Reducción de Riesgos de Desastres, Adapatación al Cambio Climático y Ecosistemas</t>
  </si>
  <si>
    <t>Intercambio de información y experiencias en la aplicación de la herramienta para la incorporación de la equidad de género: Igualdad Casa Adentro</t>
  </si>
  <si>
    <t>Fortalecimiento de capacidades en RRD, ACC, MRE de Asociación de Mujeres Madre Tierra</t>
  </si>
  <si>
    <t>Fortalecimiento de capacidades de sociedad civil y organizaciones locales</t>
  </si>
  <si>
    <t>Dialogo y trabajo coordinado con instituciones del gobierno central</t>
  </si>
  <si>
    <t>Incidencia para incorporar los enfoques de gestión integral de riesgo y género en herramientas gubernamentales de planificación territorial</t>
  </si>
  <si>
    <t>Se inició la construcción del plan regional del programa que se llevará a nivel de la subregión centroamericana</t>
  </si>
  <si>
    <t>Los módulos educativos para la formación en RRD, ACC, MRE se mantiene como un producto importante para promover a diferentes niveles</t>
  </si>
  <si>
    <t>El trabajo en alianza con todos los socios requiere de mayor comunicación y coordinación para la implementación de las actividades conjuntas</t>
  </si>
  <si>
    <t>Existe la expectativa, de parte del donante y los socios en Holanda, por el plan regional centroamericano del PFR SP.  Hasta ahora los resultados a nivel nacional han sido satisfactorios pero se deben llevar a escala para aumentar su impacto en la región.</t>
  </si>
  <si>
    <t>Documento de diseño del programa.
Documentos de la Iniciativa: https://www.dropbox.com/sh/p5vmtwykctmvn1o/AAA1uZtCHpVaPz8crj4AqrC4a?dl=0</t>
  </si>
  <si>
    <t>Conservación y restauración de la biodiversidad y conectividad del bosque nuboso de la Sierra María Tecún para la provisión de bienes y servicios naturales de los municipios de Totonicapán y Santa María Chiquimula.</t>
  </si>
  <si>
    <t>US1QB - FCBXGT0009</t>
  </si>
  <si>
    <t>Directora Nacional</t>
  </si>
  <si>
    <t>Roberto Chuc</t>
  </si>
  <si>
    <t>Coordinador de Proyecto</t>
  </si>
  <si>
    <t>jose.chuc@care.org</t>
  </si>
  <si>
    <t>Recuperar y conservar la biodiversidad de los ecosistemas forestales y su conectividad para mantener la integridad y funcionalidad del bosque nuboso de la Sierra María Tecún y asegurar la provisión de bienes y servicios ambientales para las poblaciones indígenas en especial mujeres y jóvenes de los municipios de Totonicapán y Santa María Chiquimula.</t>
  </si>
  <si>
    <t>Municipios de Santa María Chiquimula y Totonicapán, del departamento de Totonicapán, en el Occidente de Guatemala</t>
  </si>
  <si>
    <t>Hogares y comunidades indígenas vulnerables, especialmente mujeres y jóvenes que dependen de la agricultura y de los bienes y servicios de los bosques</t>
  </si>
  <si>
    <t>Los participantes directos, son las personas hombres, mujeres, jóvenes y niños, que participan en las actividades del proyecto, principalmente en las actividades de manejo de terreno, acceso a incentivos forestales, producción de planfas forestales en viveros, restauración del paisaje forestal a través de reforestaciones masivas y regeneración natural, los comités de agua y forestales que reciben capacitación y estudiantes que reciben periódicamente  capacitaciónes de medio ambiente y participan en campañas de reforestación.  se han calculado dichos participantes a nivel de cada comunidad y posteriormente a nivel de municipio.  Los participantes indirectos se han estimado como los habitantes de una comunidad que reciben los beneficios de la protección de los bosques, especialmente la protección de las zonas de recarga hidríca, así tambien se incluyen a los miembros de una familila que realiza planes de manejo de finca.</t>
  </si>
  <si>
    <t>La referencia utilizada es geográfica, utilizando sistemas satelitales y ortofotografías para medir impactos en el paisaje forestal para beneficio de las poblaciones priorizadas</t>
  </si>
  <si>
    <t>Modelos de adaptación basado en ecosistémas, principalmente en restauración del paisaje, en áreas de tenencia colectiva administradas por comunidades indígenas y locales.</t>
  </si>
  <si>
    <t>Se impulsaron acciones de mitigacion a adaptación a través de oficinas técnicas forestales y ambientales municipales</t>
  </si>
  <si>
    <t>El proyecto ha apoyado a comités de agua potable, comités ambientales y grupos de mujeres para el tema de cambio climático y manejo de recursos naturales</t>
  </si>
  <si>
    <t>Fortalecimiento de Capacidades de Oficinas Técnicas Municipales</t>
  </si>
  <si>
    <t>Planificación a nivel de comunidades priorizadas</t>
  </si>
  <si>
    <t>Planificacíon a nivel de finca utililzando herramientas de planificación</t>
  </si>
  <si>
    <t>Los estudios de valoración de la biodiversidad por parte de la academia han servido como motivante para que las comunidades gestionen y protegan sus recursos naturales</t>
  </si>
  <si>
    <t>El intercambio de experiencias comunitarias a través de giras educativas a permitido la implementación de sistemas agroforestal como medida para mejorar la adaptación al cambio climático</t>
  </si>
  <si>
    <t>La participación de hombres en los talleres de género  ha mejorado la sensibilidad hacia una nueva masculinidad</t>
  </si>
  <si>
    <t>Aunque el proyecto está enfocado a los recursos naturales, se ha logrado insertar la pertinencia cultural y consideraciones de género</t>
  </si>
  <si>
    <t>El proyecto es parte de un fondo nacional de conservación de bosques tropicales:      http://www.fondofcaguatemala.org/documentos/Reporte/10AnosFCAGuatemala20062016.pdf     
Documentos del proyecto: https://www.dropbox.com/sh/tp645gdjd6rvks9/AAB2EFREWkhSRLTo9Sx6D8rqa?dl=0</t>
  </si>
  <si>
    <t>Gobernabilidad del Agua + Género</t>
  </si>
  <si>
    <t>US0R2 - KIESGT0003</t>
  </si>
  <si>
    <t>Joseph &amp; Bonnie Kies Endow</t>
  </si>
  <si>
    <t>US1T2 - LIONGT0004</t>
  </si>
  <si>
    <t>Multiple District 19 Lions</t>
  </si>
  <si>
    <t>Adolfo Ochoa</t>
  </si>
  <si>
    <t>Coordinator of Governability of Water + Gender</t>
  </si>
  <si>
    <t>adolfo.ochoa@care.org</t>
  </si>
  <si>
    <t>Stephanie Ogden</t>
  </si>
  <si>
    <t>Senior Water Policy Advisor</t>
  </si>
  <si>
    <t>sogden@care.org</t>
  </si>
  <si>
    <t>Fortalecimiento de la gobernabilidad para la gestión sostenible de los servicios de agua potable, higiene y saneamiento básico, promoviendo el empoderamiento de mujeres y niñas en el departamento de San Marcos, en Guatemala.</t>
  </si>
  <si>
    <t>País: Guatemala
Departamento: San Marcos
Municipios: Tacaná, San José Ojetenam, Concepción Tutuapa, San Miguel Ixtahuacán, Sipacapa, Tejutla, Sibinal, Tajumulco, Comitancillo, Río Blanco, San Lorenzo, San Antonio Sacatepéquez, San Pablo, Esquipulas Palo Gordo y El Tumbador
Comunidades de Tacaná: Las Tablas, Chiquilau, Pin Pin, Tuipíc y Tojoj Florida</t>
  </si>
  <si>
    <t>Personal Técnico de Unidades Técnicas Municipales (Oficina Municipal de Agua y Saneamiento y Dirección Municipal de la Mujer) y Personal del Ministerio de Salud Pública y Asistencia Social -MSPAS- (Inspectores de Saneamiento Ambiental y Vigilantes de Agua).</t>
  </si>
  <si>
    <t>Participantes directos: 
Personal Técnico de Unidades Técnicas Municipales (Oficina Municipal de Agua y Saneamiento y Dirección Municipal de la Mujer) y Personal del Ministerio de Salud Pública y Asistencia Social -MSPAS- (Inspectores de Saneamiento Ambiental y Vigilantes de Agua) que están participando directamente en los procesos de fortalecimiento de capacidades en temas de gobernabilidad del agua y género, y familias de 5 comunidades del municipios de Tacaná que están siendo beneficiadas con acciones para la mejora de la calidad del agua y promoción para el cambio de comportamiento en prácticas de higiene y saneamiento (se calcularon de acuerdo a registro de participantes en proceso de fortalecimiento de capacidades)
Participantes indirectos:
Población comunitaria que es atendida por el personal de las Unidades Ténicas Municipales y personas del Ministerio de Salud Pública y Asistencia Social (se calcularón en base a la población atendida por el personal de las Unidades Técnicas Municipales y del Ministerio de Salud)</t>
  </si>
  <si>
    <t>Se tiene planificado realizar una evaluación final en el FY19 a través de encuestas dirigidas al Personal Técnico de Unidades Técnicas Municipales (Oficina Municipal de Agua y Saneamiento y Dirección Municipal de la Mujer) y Personal del Ministerio de Salud Pública y Asistencia Social -MSPAS- (Inspectores de Saneamiento Ambiental y Vigilantes de Agua).</t>
  </si>
  <si>
    <t>Fortalecimiento de capacidades de personal clave para la promoción de buenas prácticas en la gestión de los servicios de agua y saneamiento a traves de grupos y redes de forma escalonada.</t>
  </si>
  <si>
    <t>Para la implementación de las acciones de la iniciativa, se coordina de manera escalonada con la Red de Agua Potable y Saneamiento de Guatemala -RASGUA-, Global Water Partnership -GWP-, Red de Agua y Saneamiento Marquense -RASMARQ- y Unidades Técnicas Municipales.</t>
  </si>
  <si>
    <t>Fortalecimiento de capacidades de gestión de los Consejos Comunitarios de Desarrollo -COCODE- y Comisiones de Agua y Saneamiento -CAS- con y a través de las Unidades Técnicas Municipales.</t>
  </si>
  <si>
    <t>Incidencia a nivel nacional y departamental para la mejora en la prestación de los servicios de agua potable y saneamiento a través de las Redes nacional y departamentales de agua y saneamiento.</t>
  </si>
  <si>
    <t>Fortalecimiento de capacidades del personal de Unidades Técnicas Municipales y del Ministerio de Salud a través del desarrollo del Diplomado "Fortalecimiento de la Gobernanza para la Gestión Municipal en Agua y Saneamiento.</t>
  </si>
  <si>
    <t>Generación del modelo de intervención integral en agua, saneamiento e higiene a nivel nacional desarrollado conjuntamente con otras organizaciones gubernamentales y no gubernamentales que implementan acciones en el sector.</t>
  </si>
  <si>
    <t>El involucramiento de las autoridades y unidades técnicas municipales (Oficina Municipal de Agua y Saneamiento -OMAS-, Oficina Forestal Municipal -OFM-, Oficina Municipal de la Mujer -DMM-) para la solución de la problemática de agua y saneamiento es muy importante para garantizar el seguimiento y sostenibilidad de las intervenciones.</t>
  </si>
  <si>
    <t>El fortalecimiento del personal del Ministerio de Salud para la promocion de cambios de comportamiento social alrededor de la mejora de las prácticas de higiene y saneamiento utilizando las herramientas de la metodología SARAR-PHAST, contribuirá en la mejora de la calidad de vida de los habitantes de comunidades rurales.</t>
  </si>
  <si>
    <t>El implementar una estrategia para el fortalecimiento de capacidades del personal de las Unidades Técnicas Municipales y del Ministerio de Salud permite llevar a escala temas claves para la gestión de los servicios de agua y saneamiento y alcanzar indirectamente a mayor población.</t>
  </si>
  <si>
    <t>Documentos de la Iniciativa: https://www.dropbox.com/sh/yxjaynf2zrxlm6c/AACMMNYAq2Yg7COy8gae_1Sna?dl=0</t>
  </si>
  <si>
    <t>Participantes directos&gt; Numero de Trabajadoras del hogar afiliadas a las organizaciones, Numero de tomadores de decision de Gobiernos en 6 paises (Congresistas, Ministros, otros politicos), numero de representantes de organizaciones socias afines a la problematica de los derechos de las trabajadoras del hogar, Numero de influenciadores / lideres de opinion sensibilizados, numero de personas que participan en actividades desarrolladas por con socios y aliados en favor de los derechos de las trabajadoras. Participantes indirectos&gt; Numero de personas (empleadores) sensibilizadas por campañas comunicacionales en favor de los derechos de las trabajadoras, Numero de trabajadoras del hogar sensibilizadas en sus derechos por alcance indirecto de otras trabajadoras del hogar, numero de trabajadoras del hogar que logran tener al menos 1 de 3 indicadores considerados: acceso a contrato de trabajo, acceso a seguridad social, acceso a un salario justo en los 6 paises en los que se desarrolla la iniciativa.
NOTA: Todos los participantes totales de la IGS han sido reportados desde Ecuador. Para evitar doble conteo, este formulario no incluye cifras especificas para Colombia</t>
  </si>
  <si>
    <t>Mejora de la Seguridad Alimentaria y la Resiliencia a traves de agricultura sostenible en comunidades rurales del corredor seco en El Quiché, Guatemala</t>
  </si>
  <si>
    <t>OFDAGT0002</t>
  </si>
  <si>
    <t>Reducir la inseguridad alimentaria mediante la mejora de la resiliencia y los medios de subsistencia de pequeños agricultores.</t>
  </si>
  <si>
    <t>Pequeños agricultores, hombres y mujeres indigenas de las comunidades rural ubicadas en el corredor seco ampliado del altiplano occidental de Guatemala que viven en condiciones de pobreza e inseguridad alimentaria.</t>
  </si>
  <si>
    <t>Los participantes directos son las personas, hombres y mujeres que participan y se benefician de las actividades que implementa el proyecto, que por la naturaleza del proyecto se han tomado en cuenta todos los miembros de las familias que participan, las cuales fueron definidas por sus condiciones precarias de inseguridad alimentaria, número de miembros, condiciones de pobreza y vulnerables ante los efectos de la sequia, especialmente en la produccion de alimentos. participantes indirectos son todas las demás familias que integran las comunidades en donde el proyecto tiene intervencion, quienes obtienen un beneficio al obtener ejemplos enseñanzas y  practicas que desarrollan los participantes directos del proyecro.</t>
  </si>
  <si>
    <t>Como parte del cierre del proyecto a septiembre 2017, actualmente se estaran sistematizando algunas experiencias e historias de vida de personas partipantes con base a la metodologia del Cambio Mas Significativo CMS, el cual busca aportar información cualitativa relacionada a os resultados del proyecto en la vida de las personas y familias.</t>
  </si>
  <si>
    <t>desd las municipalidades promovió el apoyo complementario de algunas acciones que el proyecto desarrolló, por ejemplo la dotación de canales para recopilar el agua de lluvia de los techos para almacenarlo y usar en los huertos familiares, de los participantes que no pueden comprar</t>
  </si>
  <si>
    <t>Practica de cosecha de agua de lluvia y microriego para la producción de alimentos, practicas familiares para el mejor aprovechamiento nutricional de la produccion agrícola local, introducción de nuevas variedades de semillas resistentes a sequia, estructuras de secado y almacenamiento de granos, implementacion de la metodologia VSLA, implementación de Sistema de alerta temprana en codisiones de INSAN.</t>
  </si>
  <si>
    <t>Mejor aprovechamiento nutricional de la producción agrícola mediante técnicas de preparación de alimentos con base a un recetario de preparacion de alimentos elaborado dentro del proyecto y de manera participativa. Sistemas familiares de cosecha de agua de lluvia que asegura el ciclo de produccion de hortalizas. Introduccion de nuevas variedades de maiz y frijol adaptadas a las condiciones de sequia que mejora la produccion y disponibilidad de granos.</t>
  </si>
  <si>
    <t>Promoción de grupos de mujeres organizados en torno a la metodología del VSLA. Formación y capacitacion a un grupo de promotores agrícolas.</t>
  </si>
  <si>
    <t>Se promovio y se aseguro una mejor participación de las mujeres en los espacios de tomas de decisiones grupales, fundamentalmente en los grupos VSLA en donde  la conformacion de las juntas directivas estan integradas por una amplia mayoria de mujeres y hacia quienes se les ha dado acompañamiento y capacitación para mejora sus conocimientos y tener mejora capacidad de particiación y toma de decisiones.</t>
  </si>
  <si>
    <t>Formacion de promotores agricolas comunitarios.</t>
  </si>
  <si>
    <t>La implementación de la metodología VSLA</t>
  </si>
  <si>
    <t>Intercambios de experiencias y giras educativas</t>
  </si>
  <si>
    <t>El proceso de formación desarrollado con los pequeños agricultores, mediante demostraciones y prácticas concretas sobre el mejoramiento de la producción agrícola a pequeña escala, demuestra cambios en su manera de pensar y actuar en el manejo de sus parcelas agrícolas, beneficiando el mejoramiento de vida familiar</t>
  </si>
  <si>
    <t>La aplicación de la metodologia VSLA especialmente con grupos de mujeres, ha demostrado resultados significativos en las personas participantes, quienes además de promoverles conciencia y práctica ordinaria en el ahorro, tambien les ha permitido mayor autoestima, participación y liderazgo, transformando su manera de actuar en el ambiente grupal y comunitario.</t>
  </si>
  <si>
    <t>para que el asocio o alianza con las entidades gubernamentales sea efectivo, requiere desarrollarlo tanto desde la parte formal, mediante convenios, así como desde el establecimiento de relaciones amistosas que facilite la coordinación y ejecución de actividades conjuntas.</t>
  </si>
  <si>
    <t>el proyecto Seguridad Alimentaria y Resiliencia, estará culminando el 30 de septiembre del 2017 por lo que los datos de participantes acá indicados, son practicamente definitivos, por lo que el período julio-septiembe- no presentará mayor movimiento de este dato.</t>
  </si>
  <si>
    <t>Metodologia de VSLA, Narrativa del proyecto, Informe trimestrales, linea base, Informe post cosecha, Marco lógico, Base de datos de Monitoreo y evaluación.
Documentos del proyecto: https://www.dropbox.com/sh/fspoya5mpmhp9u8/AAB977vfQDADxTCZQO_JE8sKa?dl=0</t>
  </si>
  <si>
    <t>Nutriendo el Futuro</t>
  </si>
  <si>
    <t>CAPGGT0009, US865</t>
  </si>
  <si>
    <t>Aumento de la Seguridad Alimentaria con Equidad de Género y Resiliencia al Cambio Climático</t>
  </si>
  <si>
    <t>El proyecto se implementó en los municipios de San Martín Jilotepeque, San Juan Comalapa de Chimaltenango, y zona 03 de ciudad de Guatemala. El proyecto tambien se implementó en Honduras, y Nicaragua.</t>
  </si>
  <si>
    <t>El proyecto se dirigió a dos grupos de impacto: Productores y productoras agrícolas de minivegetales y berries; piscicultores y porcicultores;  y familias con riesgo a inseguridad alimentaria y nutricional, tanto del área rural como del área urbana especialmente de Guatemala. La población de impacto son: productores, productoras, mujeres, niñas y niños escolares, padres de familia, docentes jovenes hombres y mujeres, lideres, lideresas y autoridades municipales.</t>
  </si>
  <si>
    <t>Productores y productoras de minivegetales y berries de 3 cadenas de valor
Familias con riesgo a inseguridad alimentaria y nutricional que tengan hijos matriculados en la escuela primaria</t>
  </si>
  <si>
    <t xml:space="preserve"> - Mejoró su capacidad de relacionamiento con otros actores claves, con el propósito de involucrarlos como aliados estrategicos para multiplicar el impacto del proyecto Nutriendo el Futuro.
- Fortaleció las capacidades de lideres y Lideresas locales a quien se les transfirío el conocimiento sobre las metodologías existosas para la producción y cambio de comportamiento.
- se fortalecieron los roles del equipo técnicos y personal técnicos de los aliados estratégicos sobre monitoreo y evaluación para el seguimiento de los procesos, la transparencia y la rendición de cuentas.</t>
  </si>
  <si>
    <t>Estrategia de comunicación social para el cambio de comportamiento, basada en 04 mensajes claves</t>
  </si>
  <si>
    <t>Metodología lúdica para trabajar la seguridad alimentaria y nutricional</t>
  </si>
  <si>
    <t>Educación alimentaria y nutricional</t>
  </si>
  <si>
    <t>Los cuatro mensajes clave difundidos en los territorios, incrementó la mejora de hábitos de consumo de frutas, vegetales, y mayor consumo de agua</t>
  </si>
  <si>
    <t>Incorporar la metodología lúdica en la estrategia programática del proyecto, fue determinante para provocar cambios de comportamientos en la población de impacto.</t>
  </si>
  <si>
    <t>Formar a jóvenes y apoyar las redes júveniles fue importante para dejar capacidad instalada en los territorios. Los jóvenes son agentes multiplicadores de las técnicas y conocimientos en las comunidades locales.</t>
  </si>
  <si>
    <t>Documentos del proyecto: https://www.dropbox.com/sh/6ylupxh4qujit0v/AABjdFNXJtVh-tQCaC09NdGea?dl=0</t>
  </si>
  <si>
    <t>Preparativos para la reducción de riesgos a desastres/Catapult to impact</t>
  </si>
  <si>
    <t>MCARGT0001</t>
  </si>
  <si>
    <t>Coordinador Programático y Monivilización de recursos</t>
  </si>
  <si>
    <t>Gerente proyecto PFR</t>
  </si>
  <si>
    <t>Fortalecimiento de capacidades a lo interno del personal de CARE Guatemala y CARE Honduras, así como el fortalecimiento de las coordinaciones entre organizaciones que trabajan por los derechos de las mujeres en la acción humanitaria</t>
  </si>
  <si>
    <t>Guatemala y Honduras</t>
  </si>
  <si>
    <t>Personal que integra el equipo de respuesta ante emergencias de CARE Guatemala y CARE Honduras.  Personal del ente rector de reducción de riesgos a desastres</t>
  </si>
  <si>
    <t>Los participantes directos son: personal central del ente rector para la reducción de riesgos de desastres (SE CONRED) que participó en las capacitaciones de género en la GIR y género en emergencias, delegados territoriales del Ministerio de Ambiente y Recursos Naturales y SE CONRED, representantes de las organizaciones que integran la Mesa Interinstitucional de Medio ambiente y género.  Personal que implementa proyecto "reducción de reisgosa desastres con enfoque de género en comunidades rurales de dos municipios del Quiché expuesta a multiamenazas.  Personal que integra al equipo de respuesta a emergencias de CARE Guatemala y CARE Honduras.</t>
  </si>
  <si>
    <t>Se adaptó la metodología de las Directrices del IASC en una herramienta práctica que permite a los actores humanitarios guiar su accionar desde la mirada de género</t>
  </si>
  <si>
    <t>Se realizaron alianzas con organizaciones a favor de los derechos de las mujeres como CEPREDENAC, OCHA, ONU Mujeres, quienes compartieron su experiencia a los equipos de respuesta de los paises centroamericanos</t>
  </si>
  <si>
    <t>En algunos procesos de fortalecimiento de capacidades se incluyo a la Asociación de Mujeres Rurales Madre Tierra</t>
  </si>
  <si>
    <t>Se gestionó un aumento en el presupuesto para implementar un Encuentro Regional sobre la incorporación del enfoque de género en la evaluación de necesidades con el fin de construir un plan de acción regional cuyo objetivo sea incorporar la perspectiva de género en las evaluaciones durante la emergencia</t>
  </si>
  <si>
    <t>Involucramiento de hombres en los procesos de sensibilización e incorporación del enfoque de género</t>
  </si>
  <si>
    <t>Que es necesario realizar mas procesos de sensibilización en las instituciones para la incorporación del enfoque de género</t>
  </si>
  <si>
    <t>Que dentro de las instituciones las oficinas/puntos focales de género no sean un elemento aislado, si no que se le brinde el acompañamiento para que su trabajo sea transversal a todo el quehacer institucional</t>
  </si>
  <si>
    <t>Que si las herramientas se construyen de forma participativa, dentro del proceso se va generando mayor sensibilidad y se logra que quienes pudieran estar reacios a usarlas, las implementen en sus trabajos</t>
  </si>
  <si>
    <t>Documentos del proyecto: https://www.dropbox.com/sh/lltln2gtara91cs/AAAl5FixA9gqCG1E7XRM0iATa?dl=0</t>
  </si>
  <si>
    <t>Programa Regional de Cambio Climático -PRCC-</t>
  </si>
  <si>
    <t>US26C - TTARGT0001</t>
  </si>
  <si>
    <t>USAID</t>
  </si>
  <si>
    <t>Coordinador Técnico</t>
  </si>
  <si>
    <t>Incidencia política en los temas de REDD y Salvaguardas Sociales y  Ambientales con multiples actores a nivel regional.  Armonizar e integrar regionalmente las estrategias REDD y sus protocolos de monitoreo, reporte y verificación.</t>
  </si>
  <si>
    <t>El proyecto se implementa en conjunto con CATIE, UICN, DAI, TERRA GLOBAL, en los paises de Guatemala, El Salvador, Honduras, Costa Rica y República Domicana.</t>
  </si>
  <si>
    <t>Gobiernos nacionales y grupos representantivos de diversos sectores de sociedad civil,  entre ellos la academia, sector mujeres, pueblos indígenas y comunidades locales, sector privado, ambientalistas.</t>
  </si>
  <si>
    <t>Los participantes directos, son las personas hombres y mujeres  representantes de partes interesadas de distintos sectores  de cada país de intervención, con quienes se incidión en la construccion de Enfoques Nacionales de Salvaguardas REDD+.  Los participantes indirectos se estimaron en base a los miembros de las familias de un proyecto piloto REDD+ que se impulsó en el Caribe de Guatemala, más un aproximado de integrantes de las organizaciones sociales participantes en las discusiones nacionales de Salvaguardas REDD+, tales como la Mesa Nacional Indígena de Cambio Climático de Guatemala -MNICC-, las redes indígenas de Honduras (REMBLAH, REDMIAH, CONPAH) y mesa Nacional Indígena de El Salvador.</t>
  </si>
  <si>
    <t>Se llevará a cabo una Evaluación final de Proyecto, que involucra los objetivos y resultados bajo responsabilidad de todos los integrantes del consorcio.</t>
  </si>
  <si>
    <t>Los enfoques Nacionales de Salvaguardas que el programa contribuyó en su construcción, son requerimientos de la Convención Marco de Cambio Climático para que los paises puedan acceder a proyectos REDD+ que beneficiarán a comunidades indígenas y locales.</t>
  </si>
  <si>
    <t>Los procesos de Consulta participativa, inclusiva con enfoque de género, han sido adoptados en otros procesos de país.</t>
  </si>
  <si>
    <t>Relacionamiento de alto nivel con Ministerios de Ambiente</t>
  </si>
  <si>
    <t>Hojas de ruta y planificaciones anuales en cada país</t>
  </si>
  <si>
    <t>Involucramiento directo de sectores y lideres de género para enriquecer el enfoque de Salvaguardas a nivel de cada país.</t>
  </si>
  <si>
    <t>La construccion de Enfoques de Salvaguardas  ha sido exitosa debido a un estructurado proceso de capacitación de partes interesadas en temas conceptuales para una correcta interpretación de las salvaguardas de Cancún.</t>
  </si>
  <si>
    <t>El involucramiento de líderes de organizaciones indígenas y comunidades locales en las discusiones de Salvaguardas ha facilitado la aprobación de las mismas.</t>
  </si>
  <si>
    <t>El diseño de una Guía de construcción de Enfoques de Salvaguardas ha sido de alta utilidad para los gobiernos en su proceso de preparación para REDD+</t>
  </si>
  <si>
    <t>La experiencia de CARE de asegurar la participación de la mayoría de sectores en los procesos de construcción de Enfoques de Salvaguardas ha sido muy bien vista por el Banco Mundial y los Gobiernos Nacionales quienes han solicitado un apoyo adicional de la Institución para las siguientes fases REDD+ con fondos de los ministerios.</t>
  </si>
  <si>
    <t>El programa Regional de Cambio Climático es un consorcio con CATIE como prime. Su página web es:  https://www.catie.ac.cr/prcc/
Documentos del proyecto: https://www.dropbox.com/sh/oluarwvoferfuih/AAAuneSlgohf1caNQPhuv5Eta?dl=0</t>
  </si>
  <si>
    <t>Proyecto Esperanza para Mujeres Jóvenes</t>
  </si>
  <si>
    <t>CUPFGT0007</t>
  </si>
  <si>
    <t>Agustina Tipáz Rojas</t>
  </si>
  <si>
    <t>Coordinadora de Proyecto</t>
  </si>
  <si>
    <t>agustina.tipaz@care.org</t>
  </si>
  <si>
    <t>Coordinador Calidad programatica</t>
  </si>
  <si>
    <t>Contribuir en la creación de un entorno que facilite mejores oportunidades educativas y de desarrollo económico para cambiar la vida de las niñas y mujeres jóvenes indígenas y evitar que migren y trabajen como empleadas de hogares en Guatemala.</t>
  </si>
  <si>
    <t>Municipio Santa María Chiquimula, Departamento Totonicapán, Guatemala.</t>
  </si>
  <si>
    <t>Niñas y mujeres jóvenes de siete comunidades de la cobertura del proyecto</t>
  </si>
  <si>
    <t>Directos: Niñas, niños, mujeres jóvenes, docentes, padres y madres de familia que oarticipan en escuela de padres.                                                                                                                                                                                                                                                                                                               Indirectos: Niñas, niños (hermanos, hermanas), padres y madres de familia que no participan en la escuela de padres, lideres comunitarios y docentes capacitados de otras comunidades del municipio.</t>
  </si>
  <si>
    <t>Emprendimiento y oportunidades económicas</t>
  </si>
  <si>
    <t>Los resultados obtenidos en la evalucación inicial se comparará con los finales, para medir los niveles de impacto o resultados obtenidos en la intervención del proyecto.</t>
  </si>
  <si>
    <t>Escuela para padres y madres de familia.                                                   Cursos de formación técnicas y vocacional para mujeres jóvenes.</t>
  </si>
  <si>
    <t>Integrar la parte de emprendimiento en formación técnica vocacional de las mujeres jóvenes, para vincular la parte práctica con la planificación de su propio negocio.</t>
  </si>
  <si>
    <t>Atención a niñas de tercero a sexto primaria, con problemas de aprendizaje de los establecimientos de cobertura.</t>
  </si>
  <si>
    <t>Escuela para padres y madres</t>
  </si>
  <si>
    <t>Capacitaciones técnicas vocacionales para mujeres jóvenes.</t>
  </si>
  <si>
    <t>La coordinación de actividades tanto con el Ministerio de Educación de Totonicapán, como con otras organizaciones afines requiere más tiempo para cultivar la relación y crear confianza</t>
  </si>
  <si>
    <t>Integrar en las capacitaciones técnicas de las mujeres jóvenes la parte de comercialización y emprendimiento, despertó más interés y motivación de las jóvenes participantes, además ha permitido facilitar la toma de decisiones para iniciar su propio negocio.</t>
  </si>
  <si>
    <t>Se han identificado familias con mucha vulnerabilidad en la zona de implementación del proyecto, esto ha permitido beneficiarlas con mochilas, utiles escolares para sus hijos que asisten a la escuela y buscar coordinación y enlace de organizaciones existentes en el municipio para que les brinden apoyo directo.</t>
  </si>
  <si>
    <t>Documentos del proyecto: https://www.dropbox.com/sh/ohmbonc9lvaj7bk/AAB53EcD-Kk_YHtcxh0s0AFga?dl=0</t>
  </si>
  <si>
    <t>Proyecto Nutriendo el Futuro</t>
  </si>
  <si>
    <t>US1PQ - CAPGGT0011</t>
  </si>
  <si>
    <t>El empoderamiento de los productores rurales, micro-empresarios y comunidades locales, garantizar la seguridad alimentaria de sus familias, con igualdad de acceso a los mercados, el control de sus recursos y el aumento de la resiliencia al cambio climático</t>
  </si>
  <si>
    <t>En el pais de Guatemala el proyecto se implementa en los municipios: San Martín Jilotepeque, San Juan Comalapa de Chimaltenango, Masagua de Escuintla y zona 3 de ciudad de Guatemala. El proyecto tambien se implementa en los paises de Honduras, Nicaragua y Costa Rica</t>
  </si>
  <si>
    <t>* productoras y productores agricolas de minivegetales y pecuarios
- Microempresarias
- Familias con niños matriculados en la escuela primaria.</t>
  </si>
  <si>
    <t>Directos: Niños y niñas matriculados en la escuela primaria, productores de minivegetales y pecuarios, microempresarias, docentes del ministerio de educación, padre y madres de familia de niños matriculados en la escuela, lidres y lideresas comunitarias, representantes de gobieernos municipales.
Indirectos: Jovenes matriculados en la escuela, representantes de oficinas y secretarias de gobierno, voluntarios de empresas nacionales de Cargill, integrantes del conseco comunitario de desarrollo de las comunidades de intervención, integrantes de equipo basico de salud del ministerio de Salud Pública y Asistencia Social -MSPAS-. 
El calculo para participantes directos e indirectos fueron definidos en base listados de miembros de asociaciones de productores, listados de niños matriculados en la escuela primaria, actores clave identificados.</t>
  </si>
  <si>
    <t>Inicio acciones de alfabetización financiera y de negocios con microempresarias de la zona 3 de Guatemala, estas estan vinculadas a la cadena de clientes de Cargill a través de una de las marcas nacionales.
Se inicio con el fortalecimiento de capacidades a productores y productoras de crianza de cerdos, a traves del mejoramiento de razas de porcinos y capacitaciones sobre el manejo adecuado durante la implementación de la acticidad</t>
  </si>
  <si>
    <t>A través de la vinculación del proyecto a la mesa técnica, se esta construyendo el programa de refacción escolar con el cual se proyecta beneficiar a mas de 2.5 Millones de niños y niñas.</t>
  </si>
  <si>
    <t>Empoderamiento de mujeres a traves de circulos de reflexión y análisis sobre: roles de género, violencia basada en género, uso y control de los recursos.</t>
  </si>
  <si>
    <t>Diplomado con docentes del ministerio de educación de escuelas de cobertura con el abal del ministerio de educación de Guatemala, Secretaria de seguridad alimentaria y CARE</t>
  </si>
  <si>
    <t>El impacto del diplomado de seguridad alimentaria y nutricional fue una determinante para lograr participación de docentes en las acciones de fortalecimiento de capacidades y conocimientos.</t>
  </si>
  <si>
    <t>Las sesiones demostraciones sobre manipulación y preparación de alimentos locales a traves de recetas nutritivas es promuevió que la persona encargada de preparar alimentos asista a las reuniones por ser a traves de metologias participativas y prácticas.</t>
  </si>
  <si>
    <t>Utilización de técnicas de agricultura urbana para el establecimiento de huertos en escuelas de cobertura logró el involucramiento de la comunidad educativa y generó expectativa por ser una técnica innovadora en un contexto urbano.</t>
  </si>
  <si>
    <t>Documentos del proyecto: https://www.dropbox.com/sh/d922kcz86zic9wv/AADaBsgallkbCQ25iwgpa2Coa?dl=0</t>
  </si>
  <si>
    <t>Tres Pasos para la Salud</t>
  </si>
  <si>
    <t>US1AI - HCTXGT0001</t>
  </si>
  <si>
    <t>Helmsley Charitable Trust</t>
  </si>
  <si>
    <t>Coordinador Calidad Programatica y Movilización de Recursos</t>
  </si>
  <si>
    <t>Apoyar en el mejoramiento del nivel de vida de 1,500 niños, niñas, mujeres y hombres de 400 familias vulnerables, residentes en comunidades rurales del occidente de Guatemala.</t>
  </si>
  <si>
    <t>Municipio de Nahualá, departamento de Sololá, Guatemala</t>
  </si>
  <si>
    <t>Familias rurales indigenas. Hombres y Mujeres productoras Rurales. Niños y niñas en edad escolar.</t>
  </si>
  <si>
    <t>los participantes directos son 2,139 niños y niñas y 400 hombres y mujeres productores. 
Los participantes directos 
-son las familias de los niños y las mujeres y hombres productores. En Guatemala el promedio de miembros en la familia en el area rural es de 6 miembros por lo cual los 2,539 participantes directos se multiplica por 5 = 12,695
- Maestros de las escuelas participantes = 40 maestros</t>
  </si>
  <si>
    <t xml:space="preserve"> Vinculación de productores locales con agroexportadoras que incluian un incentivo economico para la producción de las mujeres.</t>
  </si>
  <si>
    <t>Junto con el ministerio de agricultura se implementaron procesos post-cosecha. Se implemento la estrategia VSLA con grupos de mujeres.</t>
  </si>
  <si>
    <t>Construcción de alianzas de trabajo: el proyecto establecio alianzas de trabajo con el ministerio de salud, educación y agricultura para la implementación conjunta de actividades del proyecto, lo cual permitio el involucramiento y toma de responsabilidad de parte de estos entes rectores.</t>
  </si>
  <si>
    <t>Capacitacion especializada a maestros utilizando  técnicas y metodologías activas en la enseñanza-aprendizaje.</t>
  </si>
  <si>
    <t>Estrategia de grupos de autoahorro (VSLA) permitio el fortalecimiento del liderazgo, organización y autoestima de las Mujeres. Como resultado se tiene una red de Mujeres que busca el beneficio de sus asociadas con proyectos productivos, como el de engorde de ovejas y estufas ahorradoras de leña.</t>
  </si>
  <si>
    <t>práctica prometedora: apoyo a las prácticas de salud tradicionales a traves de fortalecer capacidades de 38 comadronas que atienden a mujeres en gestación y brindan la atención a los partos. Esto ha reducido la cantidad de niñas y niños que nacen con desnutrición.</t>
  </si>
  <si>
    <t>Desafio: Los maestros continuan utilizando un sistema tradicional de enseñanza-aprendizaje, centrado en la transmisión de conocimientos y no potencia la capacidad de niñas niños lo que es reflejado en el rendimiento académico. Esto se constituye en un reto para el proyecto.</t>
  </si>
  <si>
    <t>En Generación de ingresos, la metodología del Autoahorro (VSLA) ha sido una práctica exitosa en 8 grupos de mujeres de pobreza extrema. Les ha permitido organizarse, capacitarse en liderazgo, autoestima y otros temas importantes para su vida.</t>
  </si>
  <si>
    <t>Debido a que este proyecto inicio en el 2014 sus indicadores no estan alineados a los indicadores CI, y no fue posible ajustarlos dado el cierre del proyecto en abril del 2017.</t>
  </si>
  <si>
    <t>Documentos del proyecto: https://www.dropbox.com/sh/a0588u32uh93yzh/AABrdCLvyh5rOG8nw9AS5mcja?dl=0</t>
  </si>
  <si>
    <t>Haiti</t>
  </si>
  <si>
    <t>KORE LAVI</t>
  </si>
  <si>
    <t>UFFPHT0017/UFFPHT0018</t>
  </si>
  <si>
    <t>Supreme Roseval</t>
  </si>
  <si>
    <t>supreme.roseval@care.org</t>
  </si>
  <si>
    <t>Réduire l'insécurité alimentaire et la vulnérabilité en soutenant le gouvernement d'Haïti dans l’établissement  d’ un système de filet de sécurité reproductible et l'expansion des capacités à prévenir la dénutrition des enfants.</t>
  </si>
  <si>
    <t>Département : Artibonite, Nord-Ouest, Centre, Sud-Est et Ouest
Communes : Anse Rouge, Gonaives, Terre-Neuve / Baie de Henne, Bassin Bleu, Bombardopolis, Jean Rabel, Mole Saint-Nicolas, Port-de-Paix / Anse-à-Pitre, Cote de fer, Grand Gossier, La Vallée, Thiotte, Belle Anse, Cayes Jacmel / Boucan Carré, CercaCarvajal, Thomonde, Thomassique, Cerca la Source, Hinche / Anse a gallet, Pointe a Raquette</t>
  </si>
  <si>
    <t>Les familles les plus vulnerables des zones d'intervention, les femmes enceintes et allaitantes, les enfents moins de 2ans et moins de 5 ans</t>
  </si>
  <si>
    <t>Il y a des bénéficiaires du programme coupon qui ont été gradué car ils ont vu leur situation s’améliorée. Ces personnes se transforment en vendeurs du programme. On peut aussi mentionner l'effort de former les groupes VSLA sur l'entrepreunariat et accompagner les membres a monter leur plan d'affaire. L'autre element d'innovation qu'il convient d'enoncer est la mise en place d'un nouveau modele de cantine conjointement avec le projet education. En effet, ce modele est base sur des restauratrices externes qui sont formees, recoivent des materiels et equipements et qui fournissent le service de cantine. C'est une innovation car elle enleve cette responsabilite aux directeurs qui peuvent s'occcuper des questions admnistratives et pedagogiques de l'ecole et cela permet aussi de generer un revenu au niveau de la communaute en creant cette activite generatrice de revenus. Il faut aussi mentionner qu'on utilise des produits locaux, ce qui sert de levier sur l'agriculture dans la zone.</t>
  </si>
  <si>
    <t>Le programme a un volet d'institutionnalisation qui consiste a renforcer le Ministere des affaires sociales pour qu'il puisse appliquer le modele de protection sociale de Kore lavi</t>
  </si>
  <si>
    <t>Appuis en formation et materiels  fournis aux structures communautaires (CADEC)</t>
  </si>
  <si>
    <t>Le renforcement de la capacite du MAST de maniere a reprendre le programme pour le mettre a l'echel</t>
  </si>
  <si>
    <t>La strategie de definir des indicateurs quantitatifs pour mesurer les progres et mieux cerner les obstacles a surmonter au niveau du renforcement institutionnel du MAST/Structure etatique pour la reprise du programme</t>
  </si>
  <si>
    <t>L'integration des vivres dans la promotion du changement de comportement nutritionnel exige un shema simplifie de gestion des commodites dans lequel les communautes ont un role majeur (l'agence responsable de lamobilisation pour le cahngement de comportement soit la meme qui est responsable pour les distributions</t>
  </si>
  <si>
    <t>L'encouragement des goupes VSLA a s'eriger en vendeurs de produits sec dans le programme</t>
  </si>
  <si>
    <t>La composante SO1/Le Système d’Information géré par le MAST(SIMAST). Ce système a permis de doter le Ministère des Affaires  Sociales et du Travail d'une base de données centralisée pouvant identifier les ménages les plus pauvres. Ce système contribue grandement dans le choix des ménages les plus vulnérables non seulement pour l'Etat Haïtien dans le cadre de la protection sociale mais également aux ONGs qui comptent apporter leurs supports aux familles défavorisées.</t>
  </si>
  <si>
    <t>Recours aux services des stagiaires. L'utilisation des stagiaires qualifiés gérant le système d'Information au MAST était une approche efficace et efficiente.  Cette stratégie a beaucoup aidé MAST/Kore Lavi car le cout qui devait être alloué en embauchant des salariés a complétement réduit. Le choix d’avoir recours aux services des étudiants finissants qualifiés sont hautement recommandés, tout en faisant choix des universités locales. Ces étudiants grâce à leurs habiletés et leurs expériences acquises pourraient être embauchés afin d'assurer la gestion du SIMAST à l’avenir.</t>
  </si>
  <si>
    <t>Approche groupe de soin est une stratégie efficace (Mères et Pères Leaders). Dans les zones reculées en Haiti, la santé publique reste et demeure un problème majeur. Kore lavi durant ses quatre ans contribue grandement à apporter une solution en ce sens, car la constitution des groupes de soin était une meilleure stratégie pour toucher les ménages qui se trouvent dans ces zones. Les responsables ont surtout mis l’accent sur des activités de soin de santé primaire non curatives c’est-à-dire la prévention et la réalisation des séances éducatives de formation au profit des gens habitant dans des zones les plus reculées.</t>
  </si>
  <si>
    <t>Un des elements cles a considerer dans ce projet est sa capacite a travailler sur certaines thematiques de facon innovante: pour remettre en question les rapports de genre en faisant la sensibilisation/formation sur la nutrition equitable en promouvant la coresponsabilite parentale et impliquer les peres particulierement dans le soin des enfants et en renforcant le leadership des femmes . On peut aussi mentionner le partenariat strategique avec le gouvernement car le modele de vis a vis et de renforcement continu de capacite des cadres du ministere est un modele tres interressant.</t>
  </si>
  <si>
    <t>Cash-based response to hurricane Matthew emergency project / Ansanm Nap Kanpe Ak Diyite (ANKAD)</t>
  </si>
  <si>
    <t>UFFPHT0034</t>
  </si>
  <si>
    <t>Laura SEWELL</t>
  </si>
  <si>
    <t>Assistant Country Director (CARE Haïti)</t>
  </si>
  <si>
    <t>laura.sewell@care.org</t>
  </si>
  <si>
    <t>Magalie François BENJAMIN</t>
  </si>
  <si>
    <t>Emergency Team Leader, Grand'Anse</t>
  </si>
  <si>
    <t>magalie.benjamin@care.org</t>
  </si>
  <si>
    <t>Contribuer à l'assistance des populations affectées pour qu'elles puissent satisfaire leurs besoins alimentaires de base.</t>
  </si>
  <si>
    <t>Nous intervenons dans 3 départements (Grand'Anse, Nippes, Sud) à travers 18 communes (Abricots, Chambellan, Dame-Marie, Jérémie, Les Irois, Moron, Roseaux pour la Grand'Anse; Petit Trou de Nippes pour les Nippes; Cavaillon, Chantal, Chardonnières, Côteau, Iles-à-Vache, Les Anglais, Maniche, Port-à-Piment, Roche-à-Bateau, Tiburon pour le Sud).</t>
  </si>
  <si>
    <t>Les ménages pauvres et vulnérables de la Grand'Anse, des Nippes et du Sud affectés par l'ouragan Matthew.</t>
  </si>
  <si>
    <t>Le programme ANKAD est implémenté dans 18 Communes de trois départements du Pays. Tous les ménages touchés lors du passage de louragan Matthew sont considérés comme des bénéficiaires directes. En effet, selon les chiffres de lInstitut Haïtien de Statistique et dInformatique (IHSI) (Estimation population totale, 18 ans, ménages 2015), le nombre total de ménages, pour les 18 communes dintervention sélèvent à 128,435. Le gouvernement haïtien estime que 80% des ménages étaient victimes lors du passage de Matthew. Cest donc la raison pour laquelle le nombre total de bénéficiaires directs du programme sélève à 102,748 ménages ou encore 482,916 personnes à raison de 4.7 personnes par ménages (RGPH 2003).
En ce qui a trait aux bénéficiaires indirects, on a considéré le reste de 20% soit 25687 ménages qui représentent 120,729 personnes avec encore 4.7 personnes par ménages (RGPH 2003).</t>
  </si>
  <si>
    <t>L'évaluation finale du projet sera réalisée au cours du mois de Juillet 2017. Les données seront collectées fondamentalement au niveau primaire selon une méthodologie mixte (quantitative et qualitative).
Les questionnaires individuels seront administrés aux bénéficiaires des 18 communes d'intervention (Choisis suivant un tirage aléatoire en fonction des communes d'intervention).
Un Focus group sera réalisé au niveau de chaque commune avec un échantillon représentatif de l'ensemble des sections communales).
Par ailleurs, des entretiens individuels seront effectués avec les autorites locales et/ou leaders communautaires impliqués dans l'implémentation du projet.</t>
  </si>
  <si>
    <t>Dans le cadre de ce programme, on a fait des plaidoyers aux près des partenaires pour que 30% des membres des Comités de Coordination Communautaires soient des femmes.  </t>
  </si>
  <si>
    <t>Le programme est mis en place sur deux phases. Une première où lon a fait de la distribution de cash léger à 80% de la population totale des zones cibles et une deuxième phase où seulement 15% de ces ménages ont reçu de largent en échange des travaux communautaires effectués au niveau des zones. L'innovation est a deux niveaux: le premier porte sur le modele cash for work leger ou les beneficiaires travaillent pendant 1 ou 2 jours pour accomplir un travail leger et le suivi est fait sur le resultat et non sur les personnes. Le deuxieme est sur le modele d'implication de la communaute dans la reponse d'urgence a travers un "conseil consultatif communautaire (CCC) qui comprend un representant de toutes les localites de la commune et ce CCC est implique dans la selection des beneficiaires, le choix des sites de travail, la communication etc.  </t>
  </si>
  <si>
    <t>Le programme est implémenté de concert avec 4 ONG partenaires, les autorités étatiques au niveau National et local et des organisations de la société civile. Ca a permis dêtre plus proche de la population et toucher les ménages les plus vulnérables.  </t>
  </si>
  <si>
    <t>Nous avons particulièrement formé des Comités de Coordination Communal à travers les différentes structures communautaires dans nos zones d'intervention en vue de la mobilisation des bénéficiaires et de profiter de leur appui quant à la mise en oeuvre des activités.</t>
  </si>
  <si>
    <t>Pour faire face au problème d'identification des bénéficiaires qui n'ont pas eu de pièces d'identité valides, les Organisations-partenaires ont eu recours à des autorités locales (notamment les membres des Comités de Coordination Communal) comme personne de référence.
Au cours du programme, les partenaires ont compris la nécessité de se mettre d'accord sur un protocole M&amp;E harmonisé. Cela a permis aux différents partenaires d'avoir une compréhension commune des différents indicateurs, d'utiliser les mêmes outils de collecte et de rapportage. Les évaluations post distributions légères réalisées à l'issue de chaque distribution nous ont ainsi permis de connaitre le niveau de satisfaction des bénéficiaires par rapport à l'implémentation du programme. Par ailleurs, les résultats des évaluations (post distribution, intermédiaire) ont été utilisés respectivement pour améliorer la qualité du programme et voir l'évolution des indicateurs de résultats.
Dans le but de recueillir les plaintes, les feed-back et les commentaires des communautés notamment des bénéficiaires directs, un mécanisme comportant plusieurs éléments (Boîtes à suggestion, lignes téléphoniques gratuites) a été mis en place. Grâce à ce mécanisme, les partenaires étaient plus proches et à l'écoute des bénéficiaires et des autorités locales. Pour les plaintes non sensibles, les feed-back étaient donnés à travers les kiosques communautaires ou le téléphone. En revanche pour les plaintes non sensibles, les partenaires ont créé un comité pour les traiter.</t>
  </si>
  <si>
    <t>L'implication des autorités locales dans la planification des activités, la préparation des séances de distribution, le choix des sites de distribution, et la mise en uvre des activités nous a facilité le travail et nous a permis d'assurer l'appropriation du programme par les communautés.</t>
  </si>
  <si>
    <t>Le recours à la formation des structures communautaires (Comité de Coordination Communal) proches des communautés, capables de mobiliser les bénéficiaires nous ont beaucoup aidé durant tout le processus d'implémentation du programme (du recensement des ménages à la mobilisation des bénéficiaires pour les séances de distribution en passant par les enquêtes de contre vérification des listes, et la préparation des kiosques communautaires).</t>
  </si>
  <si>
    <t>L'utilisation des Institutions de Micro Finances pour les distribution de cash. Grâce à l'expertise et la flexibilité des IMF, nous avons pu desservir les bénéficiaires sans trop grande difficulté.</t>
  </si>
  <si>
    <t>La formation des CCC (Comité de Coordination Communal) au sein de structures communautaires avec lesquelles nous avons l'habitude de travailler. Nous devons nous assurer aussi que les CCC comprennent bien leurs rôles et leurs responsabilités, disposent de ressources nécessaires pour effectuer leurs tâches.</t>
  </si>
  <si>
    <t>La définition d'une stratégie de communication claire de concert avec tous les partenaires locaux prenant en compte tous les paramètres de la sélection des bénéficiaires.</t>
  </si>
  <si>
    <t>La mise en place d'un mécanisme de veille pour s'assurer que le protocole M&amp;E est respecté à la lettre.</t>
  </si>
  <si>
    <t>Hurricane Matthew Emergency Response and Recovery Project / Réponses d'urgence à l'ouragan Matthew</t>
  </si>
  <si>
    <t>GATEHT0002</t>
  </si>
  <si>
    <t>INTLHT0001</t>
  </si>
  <si>
    <t>Intel Corporation</t>
  </si>
  <si>
    <t>WALMHT0001</t>
  </si>
  <si>
    <t>CDEUHT0062</t>
  </si>
  <si>
    <t>Jean Elie Joseph</t>
  </si>
  <si>
    <t>Coordonnateur de terrain</t>
  </si>
  <si>
    <t>Apporter une assistance d'urgence aux ménages vulnérables affectés par l'ouragan Matthew.</t>
  </si>
  <si>
    <t>Nous intervenons au niveau de 5 communes du département de la Grand'Anse (Chambellan, Dame-Marie, Jérémie, Moron, Roseaux)</t>
  </si>
  <si>
    <t>Les ménages pauvres et vulnérables de la Grand'Anse affectés par l'ouragan Matthew.</t>
  </si>
  <si>
    <t>Le programme est implémenté de concert avec 4 ONG partenaires, les autorités étatiques au niveau National et local et des organisations de la société civile. Ca a permis d’être plus proche de la population et toucher les ménages les plus vulnérables.</t>
  </si>
  <si>
    <t>Dans le but de recueillir les plaintes, les feed-back et les commentaires des communautés notamment des bénéficiaires directs, un mécanisme comportant plusieurs éléments (Boîtes à suggestion, lignes téléphoniques gratuites) a été mis en place. Grâce à ce mécanisme, CARE devient plus proche et à l'écoute des bénéficiaires et des autorités locales. Pour les plaintes non sensibles, les feed-back étaient donnés à travers les kiosques communautaires ou le téléphone. En revanche pour les plaintes non sensibles, les partenaires ont créé un comité pour les traiter.
Nous avons mis en place des bureaux de référencement en vue de recueillir les doléances des personnes vulnérables non pris en compte dans le processus de sélection des bénéficiaires et de procéder ainsi au remplacement des cas de doublon par de nouveaux bénéficiaires.</t>
  </si>
  <si>
    <t>L'implication des autorités locales dans la planification des activités, la préparation des séances de distribution, le choix des sites de distribution, et la mise en œuvre des activités nous a facilité le travail et nous a permis d'assurer l'appropriation du programme par les communautés.</t>
  </si>
  <si>
    <t>L'utilisation des Institutions de Micro Finances et les Vendeurs locaux respectivement pour les distribution de cash et les échanges de coupons alimentaires. Grâce à l'expertise et la flexibilité des IMF et des vendeurs, nous avons pu desservi les bénéficiaires sans trop grande difficulté.</t>
  </si>
  <si>
    <t>Les évaluations post distribution  qui nous ont permis de mesurer le niveau de satisfaction des bénéficiaires, de voir l'évolution des indicateurs de résultats, et d'améliorer ainsi la qualité du programme.</t>
  </si>
  <si>
    <t>Partners for Learning: Improving Quality, Equity, and Access to Primary Education for Out-of-School Girls and Boys in Haiti</t>
  </si>
  <si>
    <t>EACFHT0001</t>
  </si>
  <si>
    <t>Magalie Benjamin</t>
  </si>
  <si>
    <t>Deputy Chief of Party (DCOP)</t>
  </si>
  <si>
    <t>Contribuer à améliorer l'accès à une éducation de qualité et équitable primaire pour les filles et les garçons en Haïti. Plus spécifiquement, le programme vise à accroître la scolarisation et l'achèvement d'un cycle primaire de l'éducation de qualité pour les filles et les garçons hors de l'école en Haïti</t>
  </si>
  <si>
    <t>Departements :Artibonite/ Centre/ Grand'Anse/Ouest               
Communes: Petite-Riviere de l'Artibonite, Gonaives, Gros-Mornes, Anse-Rouge/ Hinche, Thomassique, Cerca-La-Source, Boucan-Carre, Thomonde/ Pestel, Jeremie, Corail, Roseaux, Beaumont/ Port-Au-Prince, Carrefour, Pointe-a-Raquette, Anse-a-Galets</t>
  </si>
  <si>
    <t>Filles et garcons non-scolarises (OOSGB) dans les zones d'intervention</t>
  </si>
  <si>
    <t>Une approche fondamentalement quantitative sera utilisée pour mener cette évaluation. On va réaliser des enquêtes auprès des Directeurs et des professeurs des écoles partenaires, des élèves et des parents.</t>
  </si>
  <si>
    <t>Plaidoyer intensif pour le vote et l’application de la loi sur le Fond National d’Education (FNE). La loi a ete votee cette annee, mais la mobilisation continue sur son application.</t>
  </si>
  <si>
    <t>Facilitation de la mise en place des structures participatives telles Conseils Ecoles(CE), Commision Municipale d'Education (CME).</t>
  </si>
  <si>
    <t>IMPLICATION DES PERSONNELS DES ECOLES DANS LES ACTIVITES DU PROJET telles que les remontees d'informations sur la la promotion, le redoublement et la graduation, implication dans la distribution aux enfants.</t>
  </si>
  <si>
    <t>UTILISATION D'UNE STRATEGIE DEFINIE POUR LA DISTRIBUTION: La redaction et la mise en place d'une strategie de la distribution a permis de mieux realiser les distributions avec un personnel reduit dans un temps plus court avec l'implication du personnel scolaire.</t>
  </si>
  <si>
    <t>REVISION DE LA STRATEGIE DE RETENTION: Le changement dans la strategie a permis aux agents de terrain d'avoir plus de temps pour suivre les enfants abandonnes et les faire revenir.</t>
  </si>
  <si>
    <t>Nécessité d'avoir des strategies en fonction du profil des ecoles en ce qui a rapport a la distribution, aux collectes de donnees et a la gestion des mini-bibliotheques.</t>
  </si>
  <si>
    <t>Nécessité d'impliquer un peu plus les membres de la communaute dans notre strategie de retention et dans nos autres activites</t>
  </si>
  <si>
    <t>L'utilisation du Staff de projet comme formateur dans certaines formations constitue un plus pour CARE et aide a avoir un meilleur suivi.</t>
  </si>
  <si>
    <t>PACE in the community - Haïti Phase III</t>
  </si>
  <si>
    <t>GAPFHT0002</t>
  </si>
  <si>
    <t xml:space="preserve">Enhance women’s life skills, personal agency, and economic empowerment through the incorporation of the P.A.C.E. modules within the VSLA methodology. </t>
  </si>
  <si>
    <t>Nous intervenons au niveau de 4 communes du département de la Grand'Anse (Jérémie, Marfranc, Moron, Roseaux)</t>
  </si>
  <si>
    <t>Les membres des groupes AVEC</t>
  </si>
  <si>
    <t>Le fait de renforcer les groupes VSLA qui sont des structures volontairement créés par les gens de la communauté, cela va renforcer la volonté des gens à se mettre ensemble pour réaliser des choses.</t>
  </si>
  <si>
    <t>Veuillez fournir des références aux documents clés et/ou des liens relatifs à la conception et à la mise en uvre du projet/initiative pendant l'exercice fiscal : les propositions, les cadres logiques, les rapports, les évaluations, les formulaires de vérification des marqueurs, etc.</t>
  </si>
  <si>
    <t>Merci de fournir les informations et remplir le formulaire sur LA PORTÉE !
Veuillez voir ci-dessous pour un aperçu sur les données déclarées. Si vous trouvez des incohérences dans l'aperçu, veuillez ajuster les données indiquées dans le formulaire, en conséquence.
Si vous avez répondu OUI dans la cellule C77, veuillez consulter le formulaire dIMPACT.</t>
  </si>
  <si>
    <t>Haiti Gagne: Lire, Ecrire et Reussir</t>
  </si>
  <si>
    <t>UNCFHT0011</t>
  </si>
  <si>
    <t>Maude MORIN</t>
  </si>
  <si>
    <t>Chief Of Party (COP)</t>
  </si>
  <si>
    <t>maude.morin@care.org</t>
  </si>
  <si>
    <t>Marie Nelie JEANTILLON</t>
  </si>
  <si>
    <t>Specialiste en Education de Qualite et Formation</t>
  </si>
  <si>
    <t>MarieNelie.Jeantillon@care.org</t>
  </si>
  <si>
    <t>En 2021, les filles et les garcons en milieu rural acquièrent les compétences de base requises dans un systeme éducatif inclusif de qualité</t>
  </si>
  <si>
    <t>Département : Nord et Sud'est.
Communes : Cap-Haitien, Limbe, Quartier Morin, Milot, Plaisance, Pilate, Port-Margot, Dondon, Borgne, Thiotte, Anse-a-Pitre, Grand Gosier et Belle-Anse.</t>
  </si>
  <si>
    <t>Les éleves de la 1ere année à la 4e annee</t>
  </si>
  <si>
    <t>Les bénéficiaires directs dans le cadre de projet sont lensemble des élèves des 57 écoles partenaires. En faisant le calcul, on a abouti à un total de 16390 élèves.
Lobjectif du projet étant de permettre aux garçons et aux filles dacquérir les compétences de base requises dans un système éducatif inclusif de qualité, on a considéré comme bénéficiaires indirect toutes les parties prenantes avec lesquelles on va travailler pour atteindre cet objectif. Et ces parties prenantes sont: les Professeurs, les Directeurs et les Inspecteurs des écoles concernées. La somme donne 376.</t>
  </si>
  <si>
    <t>Pas de changements</t>
  </si>
  <si>
    <t>La collecte dinformations detaillées sur le statut des enseignants pour faire le plaidoyer auprès des DDE pour obtenir des enseignants réguliers et stables dans le projet. CARE a fourni un etat des lieux detaillé de la situation des enseignats au sud-est qui a permis a la DDE de prendre des decisions sur le transfert denseignants dun niveau a un autre pour garantir que les 1AF et 2AF aient des enseignants fiables</t>
  </si>
  <si>
    <t>Lappui institutionnel aux DDE/ BDS/BIZ au travers de commissions au sein desquelles CARE apporte son appui technique pour la définition des besoins et du budget afférent ce qui a permis de completer le projet et de responsabiliser les entités etatiques pour leur participation au projet</t>
  </si>
  <si>
    <t>Le travail sur la gouvernance locale et la redevabilité des agents du MENFP doit rester un point dattention sur toute la durée du projet et les relations avec les DDE et inspecteurs sont cruciales pour latteinte des résultats du projet</t>
  </si>
  <si>
    <t>Le projet etant basé sur la qualité, les interventions ne doivent pas nécessairement être mises en uvre dans toutes les écoles et à destination de tous les enfants, des approches pilotes sont recommandées pour tester des solutions efficaces (camps dété, système dalerte précoce, clubs de lectures</t>
  </si>
  <si>
    <t>Assistance Sociale dUrgence Sécheresse</t>
  </si>
  <si>
    <t>UFFPHT0031</t>
  </si>
  <si>
    <t>Afurika Juvenal</t>
  </si>
  <si>
    <t>Directeur de Programme</t>
  </si>
  <si>
    <t>juvenal@pap.care.org  </t>
  </si>
  <si>
    <t>Fénold Clerval</t>
  </si>
  <si>
    <t>Commodity Manager</t>
  </si>
  <si>
    <t>fenold.clerval@care.org</t>
  </si>
  <si>
    <t>Le projet dASUS a pour objectif de répondre aux besoins urgents des ménages  vulnérables touchés par la sécheresse à travers des travaux à haute intensité de mains  duvre payant cash permettant une recapitalisation de ces derniers et une meilleur résilience communautaire aux sécheresses.</t>
  </si>
  <si>
    <t>Le département du sudest à travers les communes de Belle-Anse, Grand Grosier, Thiotte et Anse-à-Pitre et le département du Centre au niveau des communes de Thomassique et Cerca La Source.  </t>
  </si>
  <si>
    <t>Les ménages vulnérables touchés par la sécheresse et ceux venant de la République Dominicaine</t>
  </si>
  <si>
    <t>Le programme est implémenté pour supporté les ménages victimes de la sécheresse. Selon les données collectées dans les zones affectées, 14785 personnes sont touchées par ce phénomène.
Chaque personne fait partie dun ménage. Avec 4.7 personnes par ménages, on a touché indirectement 69490 personnes.</t>
  </si>
  <si>
    <t>Le programme est implémenté de concert avec les autorités étatiques au niveau National et local et des organisations de la société civile. Ca a permis dêtre plus proche de la population et toucher les ménages les plus vulnérables.  </t>
  </si>
  <si>
    <t>Nous avons travaillé et formé les membres des CADEC et de la Marie pour renforcer leur capacité en matière de suivi et évaluation des programmes durgence. Grace aux formations reçues, ils ont pu faire réaliser des visites de supervision des activités réalisées dans le cadre du Cash For Work du programme.  </t>
  </si>
  <si>
    <t>Limplication des autorités locales dans le choix des bénéficiaires et des sites dintervention</t>
  </si>
  <si>
    <t>Le choix des institutions de microfinance des zones dintervention pour effectuer le payroll des travailleurs cash for work</t>
  </si>
  <si>
    <t>La réalisation des focus group et entretien individuel pour connaitre la perception des bénéficiaires et des leaders communautaires sur limplémentation du projet</t>
  </si>
  <si>
    <t>Le choix dun site dans un projet cash for work doit être fait de concert avec le staff du projet, les autorités locales et les propriétaires des sites</t>
  </si>
  <si>
    <t>Le staff dun projet doit être partie prenante du comité ayant pour objectif de choisir les bénéficiaires</t>
  </si>
  <si>
    <t>Un projet durgence ne doit pas être assujetti à des procédures destinées à des projets de développement</t>
  </si>
  <si>
    <t>Assistance durgence à la sécurité alimentaire, Education Abris aux personnes vulnérables affectées par lOuragan Matthew dans la Grande Anse</t>
  </si>
  <si>
    <t>CFRAHT0026</t>
  </si>
  <si>
    <t>ECHO</t>
  </si>
  <si>
    <t>Apporter une assistance d'urgence aux ménages vulnérables affectés par l'ouragan Matthew via une réponse intégrée qui permettra également de renforcer leurs moyens de subsistance.</t>
  </si>
  <si>
    <t>Nous intervenons au niveau de 3 communautés de la commune de Jéréme (Le Centre-ville à travers le Quartier Sainte Hélène, la 1ère Section Basse Voldrogue, et la 3ème Section Haute Guinaudée) - Département de la Grand'Anse.</t>
  </si>
  <si>
    <t>Dans le cadre de ce programme, les personnes visées sont celles victimes par louragan Matthew dans la commune de Jérémie particulièrement la première, la troisième section et le centre ville. Lensemble de ces personnes est au nombre de 2029. Considérant que chacune delle est issue dune famille, et avec la moyenne de 4.7 personnes par famille, le nombre de bénéficiaires indirectement touché par le programme sélève à 9536.</t>
  </si>
  <si>
    <t>L'évaluation finale du projet sera réalisée au cours du mois de Décembre 2017. Les données seront collectées fondamentalement au niveau primaire selon une méthodologie mixte (quantitative et qualitative).
Les questionnaires individuels seront administrés aux bénéficiaires des 3 communautés d'intervention (Choisis suivant un tirage aléatoire en fonction du nombre de services reçus par les bénéficiaires).
Un Focus group sera réalisé au niveau des chaque section communales avec un échantillon représentatif de l'ensemble des bénéficiaires touchés et en fonction des services offerts.
Par ailleurs, des entretiens individuels seront effectués avec les autorites locales et/ou leaders communautaires impliqués dans l'implémentation du projet.
La Coordination du projet sera appuyée par le PQL pour la conduite de l'évaluation notamment dans l'élaboration de la méthodologie et des outils de collecte, et la finalisation du rapport.</t>
  </si>
  <si>
    <t>Dans le but de recueillir les plaintes, les feed-back et les commentaires des communautés notamment des bénéficiaires directs, un mécanisme comportant plusieurs éléments (Boîtes à suggestion, lignes téléphoniques gratuites) a été mis en place. Grâce à ce mécanisme, CARE devient plus proche et à l'écoute des bénéficiaires et des autorités locales. Pour les plaintes non sensibles, les feed-back étaient donnés à travers les kiosques communautaires ou le téléphone. En revanche pour les plaintes non sensibles, les partenaires ont créé un comité pour les traiter.
Nous avons mis en place des bureaux de référencement en vue de recueillir les doléances des personnes vulnérables non pris en compte dans le processus de sélection des bénéficiaires et de procéder ainsi au remplacement des cas de doublon par de nouveaux bénéficiaires.</t>
  </si>
  <si>
    <t>Les évaluations post distribution  qui nous ont permis de mesurer le niveau de satisfaction des bénéficiaires, de voir l'évolution des indicateurs de résultats, et d'améliorer ainsi la qualité du programme.</t>
  </si>
  <si>
    <t>Honduras</t>
  </si>
  <si>
    <t>“Contribuyendo al fortalecimiento de las estructuras del SINAGER y a la resiliencia de familias vulnerables ante los efectos de sequías en 15 comunidades de los municipios Langue, Aramecina, Caridad y San Francisco de Coray  del Departamento de Valle en el corredor seco de Honduras”.</t>
  </si>
  <si>
    <t>FR780</t>
  </si>
  <si>
    <t>ADOLFO PACHECHO</t>
  </si>
  <si>
    <t>DIRECTOR GENERAL DE CARE EN HONDURAS</t>
  </si>
  <si>
    <t>TANIUSKA MARIA ARCIA GOMEZ</t>
  </si>
  <si>
    <t>COORDINADORA INICIATIVA</t>
  </si>
  <si>
    <t>taniuska.arcia@care.org</t>
  </si>
  <si>
    <t>Estructuras del SINAGER y familias vulnerables en comunidades del corredor seco de Honduras han reducido sus vulnerabilidades institucionales, educativas y organizativas, mejorando sus capacidades a través de la preparación para hacerle frente a la amenaza por sequía y peligros asociados, al final del proyecto.</t>
  </si>
  <si>
    <t>Municipios de Caridad, Aramecina, Langue y San Francisco de Coray del departamento de Valle, Honduras</t>
  </si>
  <si>
    <t>Lideres comunitarios, familias de 15 comuniades, sector educativo de comunidades, Gobiernos Municipales e Instituciones de Gobierno, Sociedad Civil y Privados.</t>
  </si>
  <si>
    <t>Los participantes directos son personas que fueron capacitadas, que fueron beneficiadas con obras de infraestructura  y fortalecidas con buenas practicas y herramientas para la preparacion, siembra y cosecha en el tema de gestion de riesgo y, si la persona fue beneficiada y fortalecida se hace mas resiliente y por lo tanto los miembros de la familia tambien seran resilientes a la sequia por lo tanto se toma como participante directo tanto a la persona beneficiada como a la familia del actor beneficado. 
Los participantes indirectos serian todas aquellas personas que fueron alcanzadas con información que proveen los equipos metereologicos que se otorgados a los CODEL y al CODEM y la Estrucutra que monitoreo el clima a nivel nacional COPECO el cual se dono 7 estaciones climatologicas que transmiten datos sobre el clima del corredor seco de honduras y se repararon 9 estaciones mas que se encuentran distribuidas en el corredor seco.</t>
  </si>
  <si>
    <t>Monitoreo meteorologico aumentando resiliencia en cambio climatico</t>
  </si>
  <si>
    <t>La iniciativa dio inicio operativo el 01 de julio 2017 por tanto la Linea de Base Inicial se desarrollo en el período del año fiscal agosto 2017.  La evaluación está planificada para el FY18 en el mes de diciembre del 2017, contratando un colsultor externo previa autorización de los TDR.</t>
  </si>
  <si>
    <t>Apartir de la implementación del sistema de alerta temprana ante sequia se contribuye a la construccion de la resiliencia en las  comunidades quienes han puesto en practica los conocimientos adquiridos en los procesos de capacitacion asi como la implementación de buenas practicas agricolas y uso de tecnologia para cosecha de agua.</t>
  </si>
  <si>
    <t>CARE  a traves del proyecto esta en el proceso de validación de la herramienta SAT SEQUIA SAN en la cual se coordina con diferentes actores del sistema nacional de gestion de riesgo con el objetivo de institucionalizar la herramienta.</t>
  </si>
  <si>
    <t>Como una estrategia de implemetnacion de las acciones del proyecto, CARE firmo convenio de colaboración con la Mesa Nacional de Incidencia para la Gestión del Riesgo la cual esta conformada por organizaciones de sociedad civil, quienes participan como implementadores de acciones asi como parte del grupo de beneficiarios en procesos de formación.</t>
  </si>
  <si>
    <t>Involucramiento en el desarrollo de las actividades del proyecto a los actores claves como: alcaldes,  tenicos municipales,  Instituciones publicas referentes, asi como el apoyo de organismos internacionales y nacionales.</t>
  </si>
  <si>
    <t>La construcción de obras demostrativas y mitigacion ante sequia fueron desarrolladas en las comunidades con la contribución de mano de obra y materiales los cuales fueron gestionados por los lideres y lideresas miembros de los comité de emergencia.</t>
  </si>
  <si>
    <t>La inicitiva esta enfocada al tema de preparación y respuesta ante la amenaza por sequía en el corredor seco de Honduras, y su tiempo de ejecución es muy corto para poder visualizar el imapcto obtenido dao que fue de 18 meses. Sin embargo la apertura hacia la participación de las mujeres, niños y niñas dentro del proyecto logró hacer un cambio en la visión del fenómeno, y hacer consiencia que se debe preparar a la población para hacerle frente a la sequía</t>
  </si>
  <si>
    <t>El involucrar a las autoridades y diferentes actores,  (potenciales socios), dentro de la formulación del proyecto permitió el empoderamiento del mismo, lo cual se manifestó en los niveles de apoyo obtenido por parte de las instancias del SINAGER dentro del desarrollo de las actividades y de los compromisos asumidos.</t>
  </si>
  <si>
    <t>El aprendizaje que CARE ha tenido en el manejo de SAT ante distintos escenarios permitió la construcción del SAT ante sequía, el cual tubo lugar al organizar las acciones desarrolladas en proyectos ya ejecutados dentro corredor seco de Honduras y darle un valor agregado, el cual fue poder visualizar la sequía como una amenaza la cual puede ser atendida desde la Gestión del Riesgo.</t>
  </si>
  <si>
    <t>HOGARES GESTORES DE ATENCION EN SALUD (HOGASA)</t>
  </si>
  <si>
    <t>GHONHN0017</t>
  </si>
  <si>
    <t>Sandra Isabel Mendoza Meraz</t>
  </si>
  <si>
    <t>Gerenta de Calidad Programatica y Movilizacion de Recursos</t>
  </si>
  <si>
    <t>Sandra.Mendoza@care.org</t>
  </si>
  <si>
    <t>Carmen Aleida Hernandez Ardon</t>
  </si>
  <si>
    <t>Coordinadora de Iniciativa</t>
  </si>
  <si>
    <t>Carmen.Hernandez@care.org</t>
  </si>
  <si>
    <t>Contribuir al mejoramiento de la salud, expandiendo la experiencia HOGASA y alineando los componentes y estrategias de cuidado de la salud comunitaria mediante un ejercicio de transferencia técnica a socios locales y de un sostenido proceso de facilitación de acciones para el cuidado de la  salud en la primera infancia con especial énfasis en el corredor seco que  responde a la visión de CARE de incorporar un enfoque integral que trascienda la sumatoria de acciones sectoriales generando una la articulación de medidas en beneficio de la salud de los niños y niñas y sus familias, lo cual está en consonancia con la política de salud de la SESAL que enfatiza las estrategias dirigidas al hogar para apoyar a los responsables de la atención y cuidado del niño.</t>
  </si>
  <si>
    <t>Departamento Lempira:Municipios:Erandique, Santa Cruz, Gualcinse, San Francisco,
Departamento La Paz: Municpios: Yarula, Opatoro, Chinacla, Guajiquiro
Departamento Intibuca:Municpios:Yamaranguila, San Marcos,Masaguara,San Isidro,Dolores,San Juan</t>
  </si>
  <si>
    <t>Embarazadas, Madres y padres de familia de niños menores de cinco años, Niñas y Niños Menores de cinco años, Voluntarios de Salud, Jóvenes menores de 19 años, Personal de la Secretaria de Salud y Gestores descentralizados de servicios de salud</t>
  </si>
  <si>
    <t>Directos:Los participantes directos son los individuos hombres, mujeres, niños y niñas en quienes se espera generar cambios en función de los indicadores propuestos por el proyecto, que son seleccionados de acuerdo a los criterios de postergación establecidos por la Secretaría de salud de Honduras en sus niveles nacional, regional y municipal Embarazadas, población ubicada en el corredor seco del pais, categorizado como de extrema probreza por sus condiciones climáticas y de exclusión étnica y geográfica
Indirectos: Hombres y mujeres niños y niñas de municipios y comunidades circundantes a la zona de influencia del proyecto referidos a comunidades y municipios</t>
  </si>
  <si>
    <t>La metodologia utilizada  para medir el indicadores de impacto sobre el Estado Nutricional en menores de cinco años es la medicion antropométrica (del peso y talla); el procesamiento  y resultados de la informacion se realiza en el Programa WHO ANTRHO.  
La metodologia utilizada para medir indicador de impacto sobre conocimiento de signos y sintomas de enfermedades infecciosas (IRAs Y DIARREAS) son entrevistas individuales a madres con niños menores de cinco; y el procesamiento y resultados se generan en el Programa SPSS.
Para los indicadores de salud sexual reproductivo como reducción de embarazo en adolesccentes, mortalidad materna e infantil, se urilizan los registros, reportes y protocolos establecidos en la Secretaría de Salud</t>
  </si>
  <si>
    <t>Adaptación del enfoque de Análisis Social y Acción (SAA) para el Abordaje de la Nutrición infantil y Materna, derechos de salud sexual reproductiva para adolescentes desde la perspectiva de la participación comunitaria con el propósito de generar consciencia en la sociedad hacia la protección de niños, niña y jóvenes, impulsando conocimientos y promoviendo prácticas enmarcadas en el derecho a una infancia y juventud libre de violencia, en un ambiente afectivo en el seno de la familia, Reforzando conocimientos y practicas adecuadas de salud, nutrición y SSR para asegurar un ambiente óptimo que contribuya a mejorar las condiciones y la calidad de vida.
Una innovación importante es la implementación de normas de vigilancia y programas de meddición nutricional que no habían sido implementadas en la zona de influencia del proyecto como el programa WHO Antrho y el desarrollo de estudios de estado nutricional a nivel municipal</t>
  </si>
  <si>
    <t>Fortalecimiento de la Capacidad del Prestador de Servicios de Salud para el abordaje de la Nutricion desde la implementación de la nueva norma de vigilancia nutricional aprobada en el pais
Generación de información nutricional actualizada mediante el desarrollo de estudios de estado nutricional que escaló desde lo commuitario hasta lo municipal y regional</t>
  </si>
  <si>
    <t>Fortalecimiento de la capacidades técnicas de los gestores descentralizados y voluntarios de Salud en temas de vigilancia nutricional, gerencia e inducción de personal, salud sexual reprooductiva.
Fortalecimiento de las mesas de protección social a nivel regional y las mesas temáticas de salud a nivel municipal como instancias para la revisión de indicadores y toma de desiciones para la coordinación institucional</t>
  </si>
  <si>
    <t>Uno de los cambios más significativos está alineado con asumir plenamente el rol facilitador que nos ha permitido desarrollar un proceso de transferencia metodológica que incluye algunas adaptaciones en los temas de vigilancia nutricional, salud sexual y reproductiva, con metododolgías propias de Care como el enfoque de SAA y la utilización de algunas de las herramientas del enfoque de género casa adentro, además de trabajar fuertemente en procesos de fortalecimiento en estructuras de sociedad civil en el sector salud. 
Impulsar la iniciativa de servicios amigables de salud para la juventud, insentivando a los gestores descentralizados a trabajar de manera diferenciada con la población juvenil y su derecho a un acceso oportuno a servicios de salud sexual reproductiva</t>
  </si>
  <si>
    <t>Estudios de estado nutricional: utilizzando los estandares internacionales de medición antropométrica y el programa WHO Anthro, nos permite proporcionar información nutricional actualizada, fundamental para influenciar la toma de decisiones con respecto al cuidado de la salud y la nutrición infantil</t>
  </si>
  <si>
    <t>Utilización del enfoque de análisis social y acción: Como la principal metodología de educación en salud que permite utilizar, adaptar y crear herramientas de reflexión y análisis para abordar la problemática de salud con ejercicios que confrontan los conocimientos con las prácticas que afectan positiva o negativamente la salud y el bienestar de las familias</t>
  </si>
  <si>
    <t>Fortalecimiento de mesas de protección social y mesas temáticas: instanciass para el análisis, la concertación y el asocio que facilitan la implementación de acciones conjuntas para incrementar las coberturas, el acceso y el mejoramiento de los indicadores de salud en general</t>
  </si>
  <si>
    <t>El trabajo en asocio es fundamental para mejorar las posibilidades de alcanzar logros significativos en ls intervenciones planteadas</t>
  </si>
  <si>
    <t>Incrementar la gestión de recusos para potenciar la sostenibilidad de las acciones, pero adicionalmente acompañar el escalamiento y la documentación de las experiencias validadas por el proyecto</t>
  </si>
  <si>
    <t>Un reto importante para el proyecto es retomar la documentación relacionada con la identificación de historias de intrés humano, pero tambien la sistematización de las innovaciones implementadas como elemento básico para la sustentación de los resultados ante Care pero tambien ante el rector y donante de esta iniciativa, La Secretaría ed salud</t>
  </si>
  <si>
    <t>Para el proyecto HOGASA existe una fuerte demanda de apoyo por parte de los gestores descentralizados de servicios de salud, autoridades municipales y de la secretaría de educación en términos de apoyo a la implementación del componente de salud sexual y reproductiva para la población juvenil, demanda que no puede ser satisfecha en su totalidad debido a las limitaciones presupuestarias con ls que se opera, por lo que se tiene un importante reto para encontrar fuentes financieras que nos permitan incrementar la capacidad de atención a otras zonas y poblaciones</t>
  </si>
  <si>
    <t>Los documentos de referencia con que cuenta el proyecto son: Marco lógico, Plan Operativo anual, informes trimestrales, informes de evaluaciones anuales, informes narrativos mensuales, informes cuantitativos</t>
  </si>
  <si>
    <t>Participantes directos&gt; Numero de Trabajadoras del hogar afiliadas a las organizaciones, Numero de tomadores de decision de Gobiernos en 6 paises (Congresistas, Ministros, otros politicos), numero de representantes de organizaciones socias afines a la problematica de los derechos de las trabajadoras del hogar, Numero de influenciadores / lideres de opinion sensibilizados, numero de personas que participan en actividades desarrolladas por con socios y aliados en favor de los derechos de las trabajadoras. Participantes indirectos&gt; Numero de personas (empleadores) sensibilizadas por campañas comunicacionales en favor de los derechos de las trabajadoras, Numero de trabajadoras del hogar sensibilizadas en sus derechos por alcance indirecto de otras trabajadoras del hogar, numero de trabajadoras del hogar que logran tener al menos 1 de 3 indicadores considerados: acceso a contrato de trabajo, acceso a seguridad social, acceso a un salario justo en los 6 paises en los que se desarrolla la iniciativa.
NOTA: Todos los participantes totales de la IGS han sido reportados desde Ecuador. Para evitar doble conteo, este formulario no incluye cifras especificas para Guatemala</t>
  </si>
  <si>
    <t>PROMOCIÓN DE LA SEGURIDAD ALIMENTARIA E INCLUSIÓN SOCIAL EN LA REGION LEMPA DE HONDURAS</t>
  </si>
  <si>
    <t>GHONHN0018</t>
  </si>
  <si>
    <t>GHONSEDIS</t>
  </si>
  <si>
    <t>Ovilso Dimedis Zuniga López</t>
  </si>
  <si>
    <t>Coordinador de Iniciativa</t>
  </si>
  <si>
    <t>ovilso.zuniga@care.org</t>
  </si>
  <si>
    <t>Sandra Mendoza</t>
  </si>
  <si>
    <t>Gerente de Calidad Programatica</t>
  </si>
  <si>
    <t>sandra.mendoza@care.org</t>
  </si>
  <si>
    <t>Contribuir a mejorar la calidad de vida de hombres, mujeres, niñas, niños, jóvenes y pueblos indígenas, que viven en condiciones de pobreza, exclusión, vulnerabilidad y riesgo social, en la Región del Corredor Seco en la Región Lempa, generando condiciones para la seguridad alimentaria, salud y nutrición, mediante  el abordaje de los riesgos derivados de la sequía.</t>
  </si>
  <si>
    <t>Departamento de Intibuca/Municipios: San marcos de la Sierra, Concepcion, camasca, Colomoncagua, Magdalena, Santa Lucia, San Antonio.
Departamento de Lempira/Municipios:  San ta Cruz, Erandique, San Francisco, San Andres, Piraera, Gualcinse, Candelaria, Mapulaca, Virginia, La Virtud, Valladolid, tambla, Tomala, Guarita, San Juan Guarita y Cololaca.</t>
  </si>
  <si>
    <t>6466 familias productoras agroalimentarias con los beneficios finales.
Desarrollo de capacidades a los actores locales: 23 Gobiernos Municipales, 4 Mancomunidades, 1 Consejo Regional, 111 Grupos y Asociaciones de  productores y productoras, 23 Redes y Movimientos de Mujeres, 119 Cajas de Ahorro y Crédito (CAC), 5 Proveedores descentralizados de servicios de Salud, 23 Redes de voluntarios de salud local, 23 municipio con Sistema de Alerta Temprana ante sequia, 23 Comites de Emergencia Municipal, 304 Comites de Emergencia Local. 
 1150 niñas y niños menores de cinco años  de 45 comunidades , 1755 niñas y niños de 23 centros educativos.
249 Especialistas en Seguridad alimentaria y Cambio Climatico (60 SAT, 62 Produccion,11 DER y 116 Promotores de Salud)</t>
  </si>
  <si>
    <t>Los beneficiarios directos representan el 38.3% de la poblacion  de los municipios de intervencion, son las personas que reciben beneficio directo del proyecto y hacen uso inmediato de los recursos: Familias productoras (grupos de mujeres, Cajas Rurales), desarrollo de capacidades (gobiernos locales, mancomunidades, consejo regional, Redes y  Proveedores de servicios de salud, redes de voluntarios de Salud, CODEM, CODELs, Centros educativos y Unidades municipales de Salud), atencion de ninas y niños menores de 5 años y en edad escolar y la formacion de especialistas locales.
Los banaficiarios indirectos son el 61.7% (considerando el area geografica de intervencion del proyecto y el Censo INE 2013), representan la poblacion beneficiada con Escuelas de campo, estrategias de atencion de salud, politicas municipales, planes y presupuestos y sistemas de alerta temprana.</t>
  </si>
  <si>
    <t>Elevo un modelo desarrollado en 10 municipios a un decreto nacional y lo replico en 23 municipios con financiamiento del Gobierno.</t>
  </si>
  <si>
    <t>La Implementacion del sistema de alerta temprana ante sequia "SAT"
Implementacion de tecnologias de gestion del agua lluvia para fortalecer la autonomia de gricultores y agricultoras ante la sequia.
Vinculacion de Instancias Locales con espacios regionales y de coordinacion nacional de gobierno.
Esquemas de capitalizacion de instancias locales para fortalecer la autonomia economica de las mujeres.
Empoderamiento de gobiernos locales para invertir la ejecucion del proyectos agricolas, DER, gobernabilidad y gestion del conocimiento.
Ejecucion del proyecto a traves de socios brindando un rol protagonico a MANCOMUNIDADES y Prestadores de servicios de salud.</t>
  </si>
  <si>
    <t>Desarrollo de capacidades a los actores locales:A100</t>
  </si>
  <si>
    <t>La iniciativa nos ha permitido, posesionar en nuestro enfoque institucional, el trabajo con grupos y redes de mujeres, fortaleciendo su autonomia fisica, economica y de participacion.
Se elevo la capacidad de formulacion y gestion  de las redes de mujeres, a un nivel de ministerios y secretarias gubernamentales.
Todas las acciones de resiliencia desarrolladas, estan bajo las normativas de las diferentes mesas tematicas regionales y a nivel nacional por Ejemplo: COPECO, Consejo Regional de Desarrollo, Mesas Agroclimatica, Mesa SAN, Mesa DER, UTPR, Regionales de Salud, SAG-DICTA.</t>
  </si>
  <si>
    <t>En la selección de participantes se consideraron las estructuras locales existentes</t>
  </si>
  <si>
    <t>La estrategia de implementacion del proyecto a nivel de socios locales, Sub regional y Nacional.</t>
  </si>
  <si>
    <t>Esquema de asesoria y asistencia tecnica basado en la contratacion de especialistas locales y expertos a nivel nacional e internacional.</t>
  </si>
  <si>
    <t>Es importante la gestion de contrapartidas locales para garantizar su sostenibilidad</t>
  </si>
  <si>
    <t>Fortalecimiento de las capacidades de recursos humanos locales y la transferencia de recursos bajo un esquema de fondo revolvente, garantiza la ejecucion efectiva y el uso efectivo de los recursos transferidos.</t>
  </si>
  <si>
    <t>La inestabilidad politica y financiera del donante (Gobierno de Honduras) demando esfuerzos adicionales para minimisar riesgos en el proceso de implementacion.</t>
  </si>
  <si>
    <t>Proyecto de Oportunidades de Desarrollo y Empleo Rural "PODER"</t>
  </si>
  <si>
    <t>GHONHN0023</t>
  </si>
  <si>
    <t>Fortalecer la capacidad institucional de las Municipalidades, Mancomunidades, Gobernaciones y Consejos Regionales para impulsar en el corredor seco del país los procesos de Democracia, Gobernabilidad, Ciudadanía y Desarrollo Económico Local que contribuyan para que mujeres productoras rurales  ejerzan sus derechos, participen equitativamente  y  se beneficien  del crecimiento económico  en el marco de modelos de desarrollo más inclusivos y resilientes.</t>
  </si>
  <si>
    <t>Departamento Lempira:Municipios:Erandique, Santa Cruz, Gualcinse, San Francisco, San Andres, Piraera, Candelaria, Mapulaca, La virtud, Valladolid, Virginia, La virtud, Tambla, Tomala, San Juan Guarita, Guarita, Cololaca, San Marcos de Caiquin, San Sebastian, San Marcos de Colohete
Departamento La Paz: Municpios: Yarula, Opatoro, Marcala, Cabañas, Santa Ana, Santa Elena
Departamento Intibuca:Municpios:Yamaranguila, San Marcos Sierras, Masaguara, San Isidro,Dolores, San Juan, Jesus de Otoro, La Esperanza, Intibuca, San Francisco de Opalaca, San Miguelito, Concepcion, Camasca, Colomoncagua, San Antonio, Magdalena, Santa Lucia    
Departamentos de Francisco Morazan y Cortes</t>
  </si>
  <si>
    <t>Mujeres y Hombres funcionarios municipales responsables de gestionar el desarrollo municipal en la Region Lempa.
Mujeres rurales que emprenden iniciativas productivas para mejorar el ingreso en los departamentos de Francisco Morazan y Cortes.
Organizaciones de sociedad civil que participan en la plataforma del consejo regional Lempa.</t>
  </si>
  <si>
    <t>Implementacion de la politica nacional en Desarrollo Economico
Implementacion de la politica de descentralizacion del pais
Implementacion de la ley vision de pais y plan de nacion</t>
  </si>
  <si>
    <t>Coordinacion con la Unidades tecnicas permanente regionales para implementar la vision de pais y plan de nacion
Coordinacion directa en la ejecucion de intervenciones con instancias normadoras de gobierno.</t>
  </si>
  <si>
    <t>Participar en el consejo nacional de vision de pais y plan de nacion
Miembro de la plataforma institucional para la descentralizacion</t>
  </si>
  <si>
    <t>Modelo a seguir para el posisionamiento en instancias nacionales.</t>
  </si>
  <si>
    <t>Acompañamiento al consejo regional como instancia que aglutina la sociedad civil, sector gobierno y cooperacion y facilita la cohesion social</t>
  </si>
  <si>
    <t>Apoyar los procesos de empoderamiento de las mujeres y Facilitar capital semilla a los grupos.</t>
  </si>
  <si>
    <t>Fortalecer las asociaciones de municipios como instancias de gestion territorial.</t>
  </si>
  <si>
    <t>Las iniciativas son mas exitosas si se desarrollan considerando los analisis de contexto en espacios territoriales amplios y de las condiciones y la posicion social de los actores.</t>
  </si>
  <si>
    <t>El empoderamiento de las poblaciones de impacto se debe de promover basado en el establecimiento de alianzas amplias con capacidad de brindar las respuestas que no facilita la iniciativa.</t>
  </si>
  <si>
    <t>Se debe de fortalecer la coordinacion interna de programas y proyectos en los territorios y establecer metas de manera coordinada.</t>
  </si>
  <si>
    <t>3 países: Honduras, Nicaragua y Costa Rica: Honduras: Villanueva, Siguatepeque, Santa Cruz de Yojoa, Quimistan y San Marcos; Nicaragua: Tipitapa, Masaya, Nindiri,  Ticuatepe, Chinandega, El Viejo y  Chichigalpa;  Costa Rica: 2 Provincias: Alajuela y Heredia.</t>
  </si>
  <si>
    <t>Hombres y Mujeres Productores agricolas, mujeres emprendedoras y niños y niñas en edad escolar  de hogares de escuelas atendidas por el proyecto.</t>
  </si>
  <si>
    <t>Participantes directos son los grupos poblacionales de impacto, que participan directamente de las actividades del proyecto, están integrados por 3 grupos: a) niños y niñas de las escuelas; b) Hombres y Mujeres productoras agrícolas y c) Mujeres microempresarias, que son madres de niños y niñas de las escuelas.                                                                                                                                                                                                                                                                     Los participantes indirectos; son los otros miembros de los hogares de los grupos de impacto y familias de comunidades donde interviene el proyecto, que aunque no participan en las actividades del proyecto, si se benefician de las actividades y resultados del mismo.</t>
  </si>
  <si>
    <t>Modelo de  educación inclusiva, promoviendo buenas prácticas alimentarias y nutricionales en manuales institucionales con los Ministerios de Educación.  Igual el modelo de negocios inclusivos llevado a plataformas con el sector empresarial y de responsbailidad social empresarial.</t>
  </si>
  <si>
    <t>A nivel de Nicaragua y Costa Rica, los ajustes son en cuanto al modelo de implementación, pasando a  un modelo de implementación con socios locales del PNF. No hay cambios de objetivos y resultados. Solo de actividades, incorporando el tema de violencia infantil en las escuelas.</t>
  </si>
  <si>
    <t>Modelo de negocios inclusivos, de cadenas de valor:  Teniendo como eje la asociatividad empresarial de los pequeños productores hobres y mujeres agricolas; con un enfoque de Win to Win, con CARGILL.</t>
  </si>
  <si>
    <t>Los pequeños productores (hombres y mujeres) tienen la capacidad de cumplir los  contratos comerciales y  estandares de calidad, requeridos por CARGILL; previa transferencia de capacidades técnicas.</t>
  </si>
  <si>
    <t>DESARROLLO DEL ENFOQUE NACIONAL DE SALVAGUARDAS DE HONDURAS, DISEÑO DEL SISTEMA DE INFORMACIÓN DE SALVAGUARDAS (SIS) Y DESARROLLO DE LOS MECANISMOS DE QUEJAS PARA LAS SALVAGUARDAS EN EL MARCO DE LA ESTRATEGIA NACIONAL REDD+ DE HONDURAS</t>
  </si>
  <si>
    <t>Gerente de Calidad Programática</t>
  </si>
  <si>
    <t>Ana María Tablada</t>
  </si>
  <si>
    <t>ana.tablada@care.org</t>
  </si>
  <si>
    <t>Desarrollar el Enfoque Nacional de Salvaguardas REDD+ de Honduras como base para diseñar el Sistema Nacional de Salvaguardas (SNS) y su capítulo del Sistema de información sobre Salvaguardas (SIS) y el mecanismo de Quejas asociado a las Salvaguardas REDD+ con la participación de las partes interesadas.</t>
  </si>
  <si>
    <t>Plataforma nacional con sede en Tegucigalpa, Francisco Morazán</t>
  </si>
  <si>
    <t>Pueblos indígenas, Afrohondureños, Asociaciones agroforestales, comunidades que viven en relación con el bosque; ONG, instituciones estatales, grupos de mujeres.</t>
  </si>
  <si>
    <t>Plataformas de dialogos, participación de multiactores del sector forestal</t>
  </si>
  <si>
    <t>recomendaciones del Comité Nacional de Salvaguardas a la Secretaria de Estado a cargo del tema de Cambio Climático.</t>
  </si>
  <si>
    <t>Promover la participación de organizaciones de base y sociedad civil junto a la academia y el gobierno para implementar la Estrategia REDD+ y velar el cumplimiento del respeto de las Salvaguardas que aseguren su particvipación y beneficios en el tema REDD+.</t>
  </si>
  <si>
    <t>Comité Nacional de Salvaguardas</t>
  </si>
  <si>
    <t>Revisiones de Marcos Juridicos Existentes</t>
  </si>
  <si>
    <t>Análisis de vacios para respetar derechos de actores interesados en REDD+</t>
  </si>
  <si>
    <t>La flexibilidad en la incorporación de temas de interés en las reuniones con el CONASASH</t>
  </si>
  <si>
    <t>Conformar un equipo multiactor: gobierno-sociedad civil-cooperación para liderar al Comité</t>
  </si>
  <si>
    <t>Trabajo en equipo CARE y Contraparte Nacional</t>
  </si>
  <si>
    <t>Informes Técnicos Proyecto Salvaguardas; Análisis del Marco Legal, institucional y de Cumplimiento; Recomendaciones CONASASH a MiAmbiente; Conceptos construidos con recomendaciones a la participación de la mujer en el tema REDD+.</t>
  </si>
  <si>
    <t>India</t>
  </si>
  <si>
    <t>KHUSHI (Chittorgarh)</t>
  </si>
  <si>
    <t>CARE India</t>
  </si>
  <si>
    <t>Dr. Jayant Upadhyay</t>
  </si>
  <si>
    <t>State Programme Manager</t>
  </si>
  <si>
    <t>jupadhyay@careindia.org</t>
  </si>
  <si>
    <t>Md Ehteshamuddin</t>
  </si>
  <si>
    <t>Monitoring &amp; Evaluation officer</t>
  </si>
  <si>
    <t>mehteshamuddin@careindia.org</t>
  </si>
  <si>
    <t>To strengthen the efficacy of government’s Integrated Child Development Scheme (ICDS) Program, so as to improve the health and well-being of children below 6 years of age in Chittorgarh, Rajasthan</t>
  </si>
  <si>
    <t>District- Chittorgarh, Rajasthan, India</t>
  </si>
  <si>
    <t>Children 0 -6 years, Pregnant women, Lactating mothers</t>
  </si>
  <si>
    <t>Direct paeticipants: 
Children 0 -6 years are calculated from the ICDS survey data. Pregnant women, Lactating mothers  are calculated through the formula to find out total number of prengant women in specific population. Based on the formula, expected pregnancy in three intervention blocs were calculated.  (Total Population * Crude birth rate/ 1000). Estimation is done for the project life cycle of three years till 2020. 
Indirect Participants: Parents of children in 0-6 years age group, Husband of pregnanct and lactating women, 504 Angwadi workers and ICDS staffs were calculated as indirect participants. 
 Project is yet to roll out at field. The numbers may vary</t>
  </si>
  <si>
    <t>MoU has been signed with donor for FY 2017-18  The project is yet to roll out at ground level .</t>
  </si>
  <si>
    <t>Technical Assistance and Research for Indian Nutrition and Agriculture (TARINA)</t>
  </si>
  <si>
    <t>CS181</t>
  </si>
  <si>
    <t>Anup Kumar Das</t>
  </si>
  <si>
    <t>Deputy Director-TARINA</t>
  </si>
  <si>
    <t>anup@careindia.org</t>
  </si>
  <si>
    <t>Improved access, affordability and consumption of quality diet</t>
  </si>
  <si>
    <t>72 villages from Kalahandi and Kandhamal district of Odisha</t>
  </si>
  <si>
    <t>Women Smallholder farmers from economically weaker section and marginal community</t>
  </si>
  <si>
    <t>Project participants in the implmenting area whom CARE provide support directly interms of seeds, fertiliser, training and behavour change communication messaging to change thier life and livilihood  with specially focus on women small holder farmers are called direct participants. Indirect participants are those participants who are getting benefit indirectly out of the project interventions particularly the family members of the intervetions households.</t>
  </si>
  <si>
    <t>Complition of Intervention Specific Baseline Study by 1st week of October 2017</t>
  </si>
  <si>
    <t>Drip irrigation as effective irrigation system for addressing irrigation crisis particulary in year round kitchen gardening</t>
  </si>
  <si>
    <t>Farmer Field School model</t>
  </si>
  <si>
    <t>Crop diversification into pulses/vegetables and legumes</t>
  </si>
  <si>
    <t>Cultivation of post paddy pulses in implementing areas; particularly in Kandhamal district</t>
  </si>
  <si>
    <t>Year round kitchen garden practices among women smallholder farmers due to water scarcity</t>
  </si>
  <si>
    <t>Crop diversification practices among women smallholder farmers</t>
  </si>
  <si>
    <t>Although, TARINA has started since December  2015 and we are in year two (as per the actual start date) but the actual pace of implemenation starts in second quarter of year two and many things are grounded just couple months back in year two hence much of the reporting information not able to provide as this is not in grounded.</t>
  </si>
  <si>
    <t>Scale up of Visceral Leishmaniasis control activities (VL)</t>
  </si>
  <si>
    <t>CS078</t>
  </si>
  <si>
    <t>Dr.Hemant Shah</t>
  </si>
  <si>
    <t>Chief of Party, Bihar Technical Support Program (TSU)</t>
  </si>
  <si>
    <t>hshah@careindia.org</t>
  </si>
  <si>
    <t>Sunil Babu</t>
  </si>
  <si>
    <t>Senior Technical Director : SPM</t>
  </si>
  <si>
    <t>sunilb@careindia.org</t>
  </si>
  <si>
    <t>To support the Bihar government in reducing the burden of Visceral Leishmaniasis (VL) through scale up and coverage of effective VL control and elimination interventions</t>
  </si>
  <si>
    <t>The project works in the 534 blocks across the 38 districts and 9 divisions of the state of Bihar, India with a special focus on the 33 districts and blocks defined as being endemic to the disease of Kala Azar</t>
  </si>
  <si>
    <t>The poorest and most vulnerable sections of the community in the state of Bihar who are most exposed to contracting the disease</t>
  </si>
  <si>
    <t>the project operates at scale from the beginning and reaches to all the geographies in the state with vulnerability for the disease.</t>
  </si>
  <si>
    <t>Considering the difficulty in reaching elimination targets for all the geographies and absence of reliable elimination strategies, discussions to extend the project with additional resources have been initiated by the government and funding partner.</t>
  </si>
  <si>
    <t>CARE India has been helping the government in preparation of micro-plan for the Indoor Residual Spray (IRS) for vector (sand-fly). This has helped in streamlining  the government's efforts towards the geographies where it is needed most.</t>
  </si>
  <si>
    <t>Active case detection has been carried out to identify the suspected VL patients. Once identified, these suspected cases are sent for the diagnosis in the nearest health facility. This strategy has helped in treating the VL patients who might be acting as a reservoir of infection for the new cases. Hence, active cases detection might help in achieving the objective of VL elimination.</t>
  </si>
  <si>
    <t>Kala azar management information system (KAMIS) is now functional, and efforts are being made to register each and every identified patient on it. This will not only provide valuable data for research purpose, but it also aids in the preparation of accurate micro-plan.</t>
  </si>
  <si>
    <t>Preparation of effective micro-plan and optimal utilization of resources</t>
  </si>
  <si>
    <t>The team is constantly involved with government to bring ground-level changes in the community. This has provided us with the opportunity to learn the methods to work effectively with the government.</t>
  </si>
  <si>
    <t>Data-driven planning and implementation of activities to attain the objective of block level VL elimination.</t>
  </si>
  <si>
    <t>Tamil Nadu Flood Recovery Project</t>
  </si>
  <si>
    <t>BNP Paribas</t>
  </si>
  <si>
    <t>Nabesh Bohidar</t>
  </si>
  <si>
    <t>nbohidar@careindia.org</t>
  </si>
  <si>
    <t>Wasi MD Alam</t>
  </si>
  <si>
    <t>M&amp;E Officer</t>
  </si>
  <si>
    <t>walam@careindia.org</t>
  </si>
  <si>
    <t>Enhanced disaster résilience for marginalized communities especially women and girls affected by the floods in Tamil Nadu, India.</t>
  </si>
  <si>
    <t>The project works in Cuddalore District, Tamil Nadu</t>
  </si>
  <si>
    <t>The Impact group belong to the the marginalized population (Dalits), especially womn and girls,  who are flood affected.</t>
  </si>
  <si>
    <t>The Direct Participants are the Impact Population whose house construction was supported and those who benefitted from cash for work activity</t>
  </si>
  <si>
    <t>civil society organizations invited to participate in the Project Dissemination workshop where in project learning and challenges were shared along with experiences by the beneficiaries and community leaders.</t>
  </si>
  <si>
    <t>Purposefully over 80% of the beneiciaries selected for Shelter repair and Cash for work  were women.
Women masons were identified and trained on Disaster Resilient construction. 50% participants were women.</t>
  </si>
  <si>
    <t>Ownership of the community in the process of shelter construction</t>
  </si>
  <si>
    <t>Monitoring through Social Monitoring Committees (consisting of community members with 50% women members)</t>
  </si>
  <si>
    <t>Due to closing of sand quarries by the government of Tamil Nadu the shelter renovation got struck without any progress for over a month and badly affected the economic condition of the community as mot of them were daily wage labourers.</t>
  </si>
  <si>
    <t>The community contribution for shelter repair became a major challenge. Due to drought condition the beneficiaries capacity to contribute for shelter repair reduced as they had to spend on meeting food requirements for their families.</t>
  </si>
  <si>
    <t>Proposal, budget, Quarterly report, Evaluation</t>
  </si>
  <si>
    <t>Where the Rain Falls (WtRF) II-III</t>
  </si>
  <si>
    <t>CS211</t>
  </si>
  <si>
    <t>AXA</t>
  </si>
  <si>
    <t>Bharati Joshi</t>
  </si>
  <si>
    <t>Technical Director - Economic Development Unit</t>
  </si>
  <si>
    <t>bjoshi@careindia.org</t>
  </si>
  <si>
    <t>Devabalan. R</t>
  </si>
  <si>
    <t>rdevabalan@careindia.org</t>
  </si>
  <si>
    <t>General objective:  To enhance the resilience of marginalized population from Central India to climate risks and climate change by building their adaptive capacities. 
Specific objective(s) (SOs): (1) ; To support communities to move towards more climate-resilient livelihoods and (2): To contribute to the integration of climate risks &amp; climate change in policies &amp; practices of other stakeholders</t>
  </si>
  <si>
    <t>50 Villages from Bagicha (20) and Pathalgaon (20) Blocks of Jashpur district of Chhattisgarh state and  Jalgaon Jamod (10) block of Buldhana district of Maharashtra state in India</t>
  </si>
  <si>
    <t>The main impact group of the project is women from Adivasi (Scheduled Tribe) communities from remotest regions of Chattisgarsh and Maharashtra state</t>
  </si>
  <si>
    <t>Direct participants are Adivasi women targeted by the project for strengthening their resilience through agriculture, livelihood, governance and natrual resource management, those who participated in project activities &amp; trainings. 
Indirect participants are other members of the household (spouses and children) of adivasi women who benefitted from project activities.</t>
  </si>
  <si>
    <t>The project is planing to carry out several impact assessment studies in this phase of the project to understaand what extent community resilience is strengthened through collective actions and the team also developed M&amp;E / Results frame work to guide learning agenda for the project</t>
  </si>
  <si>
    <t>The project introduced Participatory Scenario Based Planning for helping local community to engage with public service providers for better management of risks</t>
  </si>
  <si>
    <t>The current phase of the project is aiming for scaling up current activities through alliance and partnership building</t>
  </si>
  <si>
    <t>CARE Trained elected representative of Panchayat Raj Institutions on their roles and responsbilities and CARE also helped communities to develop Community Action Plans to help community to influence planing of Gram panchayat further CARE trained Adivasi women on their rights to access forest resources besides training them on Forest Rights Act</t>
  </si>
  <si>
    <t>The project organized reflection exercises in April 2017 to determine key activites for strengthening resilience of women and it has been decided to develop Gender Dialogue tool for facilitating interaction between men and women from adivasi communities to discuss and identify GBV against women and the project also planning to test its best working strategies on water conservation and community based adpatation planning at another disaster prone area in Maharashtra state</t>
  </si>
  <si>
    <t>Water &amp; soil  conservation efforts are helping farmers to double cropping season</t>
  </si>
  <si>
    <t>Farmer Field Schools are effective in reducing crop investment cost and minimizing use of chemical fertilizers</t>
  </si>
  <si>
    <t>Village Development Committee role is critical in promoting community participation in Planning adapatation measure</t>
  </si>
  <si>
    <t>(1) Increasing community participation in developing community based adaptation plan for addressing climate change remains greatest challenge and the project is revising its strategy to strengthen village development committee to take up leadership and ownership to take up community led action against climate change</t>
  </si>
  <si>
    <t>(2) Engaging with government department is crticial for deepening impact the project collaborated with district agriculture department and KVK ( Krishi Vigyan Kendra) for training farmers on new cropping methods and besides helping them to benefit from subsidized schemes 400 farmers in Pathalgaon block benefitted from seeds and other agriculture input services</t>
  </si>
  <si>
    <t>(3) Gender integration is critical in sustaining the impact, both spouses needs to be trained on agricuture practices, this leads to greater participation of men in sharing responsibilities with women particularly on transplantation and de weeding</t>
  </si>
  <si>
    <t>The project has introduced standardized  data collection tools and reporting process for collecting, analysing and reporting reliable data besides that the project also developed results frame work to help the team in focusing on M&amp;E activities by defining indicators, frequency of data collection and how data will be used for different purpose</t>
  </si>
  <si>
    <t>https://careindia.sharepoint.com/teams/projects/wtrf/Pages/Home.aspx</t>
  </si>
  <si>
    <t>AXSHYA India Project</t>
  </si>
  <si>
    <t>CS023</t>
  </si>
  <si>
    <t>SHARAD KISLAYA</t>
  </si>
  <si>
    <t>skislaya@careindia.org</t>
  </si>
  <si>
    <t>Susmita Mukherjee</t>
  </si>
  <si>
    <t>Head Program Operations</t>
  </si>
  <si>
    <t>susmita@careindia.org</t>
  </si>
  <si>
    <t>Enhancing access to quality TB care for vulnerable and marginalized populations through innovative and sustainable interventions, community participation and engagement of all healthcare providers</t>
  </si>
  <si>
    <t>Chhattisgarh State (Sarguja, Korea, Jashpur, Dhamtari, Kanker &amp; Baloda Bazar Districts)
Jharkhand State (East Singhbhum, Bokaro, Dhanbad, Ramgarh &amp; Koderma District)
Madhya Pradesh State (Dhar, Mandsaur, Khargaon &amp; Badwani Districts)</t>
  </si>
  <si>
    <t>Adivasis, dalits, marginalized population from tribal villages, villages located to difficult-to-reach areas leading to poor access to TB services, villages not reported TB cases in the last 3-5 years, urban Slums, people living with HIV &amp; AIDS and their networks, HIV high risk groups currently being covered under Targeted Intervention projects of NACP (National AIDS Control Program), homeless, migrants, prisons, other co-morbidities (Diabetes, occupational lung diseases), refugees/IDP (Internally Displaced Population), unorganized job sectors, schools.</t>
  </si>
  <si>
    <t>Direct Participants: The participants who were identified symptomatic TB cases during house hold screening at village/slum level and got tested for TB in lab through the efforts of the projects and DR-TB (Drug Resistant TB)  cases being counselled and provided nutritionl support.
Indirect Participants: House hold screening at village/urban slum are done using the verbal screen tool to reach, inform/ aware them about TB and srceening for symptomatic TB cases  at village/slum by the project. An average of 5 family members for rural and 4 for urban slums has been taken per house hold for Indirect Participants.</t>
  </si>
  <si>
    <t>The project is a disease (Tuberculosis) control project and TB can happen to anybody irrespective of castes, creed, ethnic groups, religions, male/females, class, etc.  The project addresses the impact population at different levels but still it focusses the marginalized women especially tribal, hard to reach areas in terms of training for directly ensuring active participation of women members in all its training, meeting, campaigns, screening and testing/diagnosis etc. Women are focused for counselling for continuing treatment for family members.</t>
  </si>
  <si>
    <t>Enhance TB case detection through Active Case Finding from the High-risk groups of the targeted villages &amp; cities</t>
  </si>
  <si>
    <t>Private sector engagement - Assist qualified private doctors and hospital in TB case notification</t>
  </si>
  <si>
    <t>Treatment support through counselling of the DR-TB cases, INH prophylaxis of the child-contacts &amp; HIV C &amp; T of TB cases</t>
  </si>
  <si>
    <t>Active Case Finding is key to identifying the symptomatic TB patients</t>
  </si>
  <si>
    <t>Nutritional Support increases the drug adherence among DR TB patients</t>
  </si>
  <si>
    <t>The expected number of participants for direct and indirect is for the NFM (New Funding Model) phase which has started from 01 October 2015.</t>
  </si>
  <si>
    <t>Bihar - Employability, resilient livelihood and improved health for women and girls in Madhepura (B-ERLIH)</t>
  </si>
  <si>
    <t>Alstom</t>
  </si>
  <si>
    <t>Ravi Subbiah</t>
  </si>
  <si>
    <t>Technical Directir-Health</t>
  </si>
  <si>
    <t>rsubbiah@careindia.org</t>
  </si>
  <si>
    <t>Enhancing employability of 5000 women and girls for dignified livelihoods and improved health.</t>
  </si>
  <si>
    <t>7 villages in Madhepura district in Bihar</t>
  </si>
  <si>
    <t>Women and girls from poor and disadvantaged households</t>
  </si>
  <si>
    <t>Direct- Pregnant, lactating mothers and children in 0-6 years; Indirect - Members of the target households</t>
  </si>
  <si>
    <t>The project has just begun. There has been no activities on ground. Hence reporting on fiscal year intervention is not applicable.</t>
  </si>
  <si>
    <t>Disaster Preparedness and Resilience Project (DPRP)</t>
  </si>
  <si>
    <t>CS201</t>
  </si>
  <si>
    <t>Federation of Indian Chambers of Commerce &amp; Industry (FICCI)</t>
  </si>
  <si>
    <t>Eilia Jafar</t>
  </si>
  <si>
    <t>Head - Disaster Management Unit</t>
  </si>
  <si>
    <t>ejafar@careindia.org</t>
  </si>
  <si>
    <t>Aditya Ranjan</t>
  </si>
  <si>
    <t>Project Officer, Bahraich, Uttar Pradesh</t>
  </si>
  <si>
    <t>aditya@careindia.org</t>
  </si>
  <si>
    <t>To enhance CARE India's institutional preparedness to manage future disasters and build resilience in dalit women and girls and their communities.</t>
  </si>
  <si>
    <t>Bahraich District, Uttar Pradesh, India</t>
  </si>
  <si>
    <t>Dalit women and girls and their communities</t>
  </si>
  <si>
    <t>Direct Participants: 127 Girls participants from the School Awareness Program+21 Women Member of the Social Monitoring Committee+ 122 Boys participants from the school awareness program+19 Men Member of the formed SMC (127+21+122+19=289)                                                                                                                                                                                                                                                                                                                                                                                                          Indirect Participants:( Total Women &amp; Girls population in both the intervened villages is 539- Direct Participants from Women &amp; Girls is 148)+ (Total Men &amp; Boys Population in both the intervened villages is 558 - Direct Participants from Men &amp; Boys is 141)                                                                                                                                                                                                                                                                                                                                                                                                  Indirect Participants = (539 - 148) + ( 558-148)= 808</t>
  </si>
  <si>
    <t>Local level advocacy issues will be identified with the help of community based Social Monitoring Committee and will be addressed at the Panchayat, Block, Sub-Division, District and State level such as construction of toilet, Community Shelter, Safe Drinking water and strengthening of embankment etc.</t>
  </si>
  <si>
    <t>Formation and Strengthening of Social Monitoring Committee with good women participation and with clear rules and regulation for the proper functioning of the same. It also includes the roles and responsibilities of the committee members.</t>
  </si>
  <si>
    <t>As most of the initial activities were carried out by the partner organization and without addressing gender balance in the formed Social Mpnitoring Committee. After the initial observation made by the project officer, CARE India and the recent visit of M&amp;E officer from CARE India to the intervened villages and based on the FGD with SMCs and in-depth interview with key stakeholders, it was decided to strengthen the formed SMCs with healthy women participation and for that most of the activities has to be carried out once again with clear objectives under the supervision of Project Officer and with timely guidence from M&amp;E officer, CARE India and timeline was also changed accordingly and shared with CIHQ and get approved at the state level and HQ level.</t>
  </si>
  <si>
    <t>Individual Meeting with women group (Total 6 in both villages) to ensure their participation in SMCs</t>
  </si>
  <si>
    <t>Rules and Regulation for the formed SMCs was also introduced and very appriciated by the SMCs and community people.</t>
  </si>
  <si>
    <t>Transparency in sharing of the initiatives under this project with the community along with available budget has greatly help to gain the trust of the community and which will have good outcomes in the long run of the project. Feedback mechanism at organizational, SMCs level and community level was another initiatives.</t>
  </si>
  <si>
    <t>Feedback mechanism has helped to gain the trust of the community and they are willing to contribute for the same.</t>
  </si>
  <si>
    <t>Transparency in sharing of the initiatives under this project with the community along with available budget has greatly help to gain the trust of the community and which will have good outcomes in the long run of the project.</t>
  </si>
  <si>
    <t>Mixed meeting with the community for ensuring women participation was practice in the initial part of the project and women turnout was very poor, but individual meeting with women has shown great participation and they are also sharing their basic need while formulating action plan at the community level.</t>
  </si>
  <si>
    <t>Drought Response - Water Supply to Villages in Maharashtra</t>
  </si>
  <si>
    <t>Ratnakar Bank Limited (RBL)</t>
  </si>
  <si>
    <t>CISSD UNR</t>
  </si>
  <si>
    <t>Wasi Md Alam</t>
  </si>
  <si>
    <t>Monitoring and Evalutaion Officer - Disaster Management Unit</t>
  </si>
  <si>
    <t>To supply drinking water to identified households in two villages.</t>
  </si>
  <si>
    <t>Solapur district, Maharashtra</t>
  </si>
  <si>
    <t>Drought affected communities</t>
  </si>
  <si>
    <t>Direct Participants- Affected people who received drinking water and jerry cans.</t>
  </si>
  <si>
    <t>CARE networked with National IAG/Sphere on drought situation and updated Unified response Matrix.</t>
  </si>
  <si>
    <t>Field partner agency was facilitated and guided by CARE's project team in implementation of activities to ensure quality.</t>
  </si>
  <si>
    <t>Emergency Preparedness Project- Vulnerability and Capacity Assessment (VCA)</t>
  </si>
  <si>
    <t>CS-156</t>
  </si>
  <si>
    <t>Citi Bank</t>
  </si>
  <si>
    <t>M&amp;E  Officer, DMU</t>
  </si>
  <si>
    <t>To enhance capacities of communities and stakeholders in the project areas of three states of India to deal and respond to emergencies and contribute to District Disaster Management Plans</t>
  </si>
  <si>
    <t>Bahraich District - Uttar Pradesh; Jalpaiguri District - West Bengal &amp; Supaul District - Bihar</t>
  </si>
  <si>
    <t>District Disaster Management Authority (DDMA), Community Based Staff of Local organizations and Community</t>
  </si>
  <si>
    <t>Direct participants include volunteers/staff from partner organization from the community who were trained on Vulnerability and capacity assessment. There were no indirect participants.</t>
  </si>
  <si>
    <t>Advocacy for gender sensitive District Disaster Management Plan</t>
  </si>
  <si>
    <t>Training &amp; simulation of staff members from civil society on Vulnerability and capacity assessment and developing Village disaster Management Plans</t>
  </si>
  <si>
    <t>Identification of Partners across districts who will be better equipped to conduct Vulnerability and Capacity Assessment (VCA) and respond in case of an emergency in their districts as well as neighbouring districts.</t>
  </si>
  <si>
    <t>Operationalize District Emergency Operation Centers District Disaster Management Units will have improved coordination and communication mechanisms for preparedness, response and recovery.</t>
  </si>
  <si>
    <t>Influence District Disaster Management Plan to include strategies for addressing needs of women and girls who are most vulnerable in disaster situation.</t>
  </si>
  <si>
    <t>• Linkage of trained participants, training module and further collaboration to strengthen district level emergency preparedness planning</t>
  </si>
  <si>
    <t>• Mapping of existing capacities and presence of partner NGOs is essential for preparedness planning as well as for their facilitating their leadership’s engagement with planning and trainings to sustain the process. 
• Organizational systems need to be robust and responsive to the diversity of local needs and capabilities, with agility in coordination and sharing of resources.</t>
  </si>
  <si>
    <t>• • There is wide variation in the capacities of local staff of NGO partners, and their leadership is engaged in an uneven manner.</t>
  </si>
  <si>
    <t>Enhancing Community Well Being in Rural Tamilnadu</t>
  </si>
  <si>
    <t>Amazon</t>
  </si>
  <si>
    <t>Mr.Nabesh Bohidar</t>
  </si>
  <si>
    <t>Mr.Prabusankar</t>
  </si>
  <si>
    <t>prabusankar@careindia.org</t>
  </si>
  <si>
    <t>Wellbeing of 700 Households are enhanced and women in these households are empowered.</t>
  </si>
  <si>
    <t>Ponneri Taluk , Tiruvallur Distrcit , Tamilnadu</t>
  </si>
  <si>
    <t>Men, women and children from the identified marginalized 700 households from 8 villages</t>
  </si>
  <si>
    <t>Women from the marginalized community in the selected households in intervention villages  are the direct participants and all family members in the household  of the direct participants are calculated as indirect participants</t>
  </si>
  <si>
    <t>Planning to conduct village wise cohort study for outcome monitoring in the next FY</t>
  </si>
  <si>
    <t>A study on underlying causes of poverty was conducted and sensitization and awareness creation meeting based on learning’s identified from the study underlying causes of poverty cinducted in  project villages</t>
  </si>
  <si>
    <t>Various training program organized to the village level committees to be participatory in approach in their decision making processes</t>
  </si>
  <si>
    <t>Enabling environment created for the community members to approach Government officials to solve their welfare schemes related issues through interface meetings and now women groups are together demanding their entiltlements</t>
  </si>
  <si>
    <t>Strengthening women SHGs for effetive operations and Governance</t>
  </si>
  <si>
    <t>Interface meeting between service providers and community members created positive environment</t>
  </si>
  <si>
    <t>Enable access to entitlements through capacity building and  other strategy</t>
  </si>
  <si>
    <t>The local Panchayat elections are due since last year. As the term of the earlier functionaries are over, the officials are delaying the processing of applications for schemes.</t>
  </si>
  <si>
    <t>Baseline survey report</t>
  </si>
  <si>
    <t>Evolving a Women-centered Model of Extension of Improved Cook Stoves (ICS) for Sustained Adoption at Scale</t>
  </si>
  <si>
    <t>CS170</t>
  </si>
  <si>
    <t>Sushmita Mukerjee</t>
  </si>
  <si>
    <t>Rekha Panigrahi</t>
  </si>
  <si>
    <t>rpanigrahi@careindia.org</t>
  </si>
  <si>
    <t>To promote sustainable adoption of Improved Cook Stoves (ICS) as a clean cooking energy solution among forest-dependent households (FDH), through a combination of capacity building, collectivization, market development, and multi-stakeholder engagement actions, resulting in 10,000 women from FDHs using ICS and developing a sustainable ICS adoption model for replication among 800 million rural households in the country who use traditional and polluting cook stoves.</t>
  </si>
  <si>
    <t>Country: India
States:Chhattisgarh and Odisha
Districts:Jashpur (Chhattisgarh) and Kalahandi &amp; Kandhamal (Odisha)</t>
  </si>
  <si>
    <t>10,000 forest dependent women and their households</t>
  </si>
  <si>
    <t>Direct participants include women from forest dependent households, who is primarily responsible for cooking in her house and with whom the project is directly engaging with. Indirect participants include other family members both men and women of these forest dependent households who are indirectly benefited and Improved Cook Stove Value Chain actors with whom the project is engaging with.</t>
  </si>
  <si>
    <t>KAP and Cohort studies are planned to be undertaken in December 2017.</t>
  </si>
  <si>
    <t>1. Constituting Sustainable Household Energy Schools consisting of  women from forest dependent housholds  as a learning platform promoting practice based capacity building of women on clean energy and improved cook stove (ICS) options leading to adoption of clean energy practices and options.                                                                                                 2. In-situ perfromance assessment of varied improved cook stoves by the women users  to facilitate identification of the season specific/fuel requirement/maintenance &amp; repairing requirement suitablility ICS options for scale (based on user’s year long experience)</t>
  </si>
  <si>
    <t>Promoting Sustainable Household Energy (SHE) Schools providing a collective learning platform to women exchanging dialogue, experiences and learning among each other on clean energy and improved cook stove options</t>
  </si>
  <si>
    <t>Improved Cook Stoves performance assessment across different seasons by users at household level through pictorial tool</t>
  </si>
  <si>
    <t>Holding Joint Sessions to bring together consumers (women users) and ICS manufacturers for building knowledge of the latter around ICS</t>
  </si>
  <si>
    <t>Men's engagement as a strategy is found to be effective in encouraging men to support their spouse in ICS performance testing</t>
  </si>
  <si>
    <t>BCC interventions should go hand-in-hand with capacity building to enable women to accept change</t>
  </si>
  <si>
    <t>Affordability is a critical factor that influence adoption of accepted option so, interventions towards enhancing the purchasing capacity of poor households has to be a focused intervention.</t>
  </si>
  <si>
    <t>The project started in January 2016 and is in second year of implementation. Varied activities enhancing the capacities and skills of women from forest dependent households, enhancing knowledge of men in the housholds, promoting and strengthening collective learning platform of women have been undertaken during the reporting period.</t>
  </si>
  <si>
    <t>CARE International Gender marker, PQPAT, Log frame</t>
  </si>
  <si>
    <t>Improved Agriculture and Inclusive Dairy Value Chain Promotion (IAIDVC)</t>
  </si>
  <si>
    <t>CS216</t>
  </si>
  <si>
    <t>Mr.Nabesh  Bohidar</t>
  </si>
  <si>
    <t>Mr Arun Tiwari</t>
  </si>
  <si>
    <t>arunk@careindia.org</t>
  </si>
  <si>
    <t>Enhance the incomes and productivity of women smallholders and workers</t>
  </si>
  <si>
    <t>Jambusar Block of Gujarat, India</t>
  </si>
  <si>
    <t>Women smallholders and workers especially from the marginalized communities (SC,ST,OBC and BPL)</t>
  </si>
  <si>
    <t>Direct Participants : Community  specially  women belongs to  ST,SC,OBC family with having less than one hectare land, less numbers of animal holding , land less and wage laborers categories. Direct participant would be eligible to avail directly all provision, interventions and service from the project.  These participants will be organized in collectives (SHGs) and members of these collectives would avail the productivity input and improved technologies, financial and marketing linkages, technical knowhow and capacity building aspects by the project directly. These direct participants are calculated on the basis of head count maintained by project MIS when the inputs received from project.                                                                    
Indirect participants: are those who associated with households of direct participants, Households those are not included as direct participants but they fall under same category/socio economic conditions, farmers and livestock rearers of project area. Indirect participant will be eligible to avail and benefited from convergence and linkages activities of the project with different stakeholders, capacity building programme and project extension activities 
Project would work directly with 3000 households in 59 villages. As per the secondary data of Jambusar block, project villages have about 19500 households with 25 percent family belongs to ST, SC (18 percent)and OBC category. Out of these 19500 H/Hs, Project has identified about 16 percent most marginal H/Hs (3000 households) as impact group’s population and these household will be considered as direct participants. 
Total 20352 Indirect participants are identified from women H/Hs who are left out in impact groups of project (direct participants),male associated with  impact population H/Hs, Small and Marginal Farmers, small animal holders and laborers from marginalised H/Hs in project villages  were included as indirect participant for the project.</t>
  </si>
  <si>
    <t>Project did not create any innovations in this period as the projectstarted in April2017.</t>
  </si>
  <si>
    <t>NA for project in current financial year as project just initiated in April,2017</t>
  </si>
  <si>
    <t>The project is in the early stage of implemenation</t>
  </si>
  <si>
    <t>IAIDVC project is initaied in April 2017 in Jambusar Gujarat.Project has identified the villages for first year implementation throgh intensive village mappng exercise done by project and impact population is identified  by  project through adopting systemetic approach. Base line excercise is planned in September month this year. At point of time we are not in position to rate progress on Gender, Governance, Outreach and Resilience markers, since project not reached yet on ground as began in April, 2017. We would able to provide these data in next round</t>
  </si>
  <si>
    <t>Quartely Progress  report (April-June 2017)</t>
  </si>
  <si>
    <t>Improving Maternal Health through Engaging Family and Community</t>
  </si>
  <si>
    <t>CS159</t>
  </si>
  <si>
    <t>Eros</t>
  </si>
  <si>
    <t>Biswa Ranjan Patnaik</t>
  </si>
  <si>
    <t>Regional Project Director</t>
  </si>
  <si>
    <t>bpatnaik@careindia.org</t>
  </si>
  <si>
    <t>To improve Maternal and Neo natal health by engaging men along side women for better maternal and no natal health outcomes</t>
  </si>
  <si>
    <t>The project is being implemented in Deva block of Barabanki district in Uttar Pradesh India.</t>
  </si>
  <si>
    <t>The main impact groups of the project are pregnant women and new born children. The project  aims to build local capacities of the service providers to enhance their skills for addressing maternal and neo natal health issues. The training builds capacity  to counsel and involve husbands of pregnant and lactating mothers. The project addresses inequal gender norms and promote positive role models amongst men in the community.</t>
  </si>
  <si>
    <t>Direct participants of the project are pregnant women and new born children in the project location.</t>
  </si>
  <si>
    <t>The project strengthened the mother's groups, men's groups and adolescent girls groups. The service providers were motivated and trained to hand hold the groups and support activism.</t>
  </si>
  <si>
    <t>The project was expected to start with support funding but finally had to start on its own. Given the realities the implementation design focussed more on engaging communities into challenging unequal social norms and supporting service providers to take up the responsibility of hand holding the processes with the groups. The service providers were trained and were observed. supported while they conducted sessions with the community/ groups of mothers/ adolescents.</t>
  </si>
  <si>
    <t>Enhance service providers capacities: this included the technical capacities as well as addressing gender and sexuality norms in their own lives plus practicing skills to engage men and address unequal social norms along with health behaviour messaging</t>
  </si>
  <si>
    <t>Work with communities to strengthen demand and activism</t>
  </si>
  <si>
    <t>Male involvement to celebrate role models who come forward for equitable gender roles, participating in household chores and joint decision making</t>
  </si>
  <si>
    <t>Identifying and celebrating role models</t>
  </si>
  <si>
    <t>investment in staff and service providers capacity</t>
  </si>
  <si>
    <t>Short time for implementation does not help in laying out long term sustainable strategies</t>
  </si>
  <si>
    <t>The implementation period was very short, by the time the communities and the service providers came forward, the project was towards closing formalities. If there were some more time, the processes could have been better instutionalised.</t>
  </si>
  <si>
    <t>Justice for Domestic Violence Survivor in India</t>
  </si>
  <si>
    <t>CS133</t>
  </si>
  <si>
    <t>Saibal Baroi</t>
  </si>
  <si>
    <t>Director Advocacy</t>
  </si>
  <si>
    <t>sbaroi@careindia.org</t>
  </si>
  <si>
    <t>Lata Krishnan</t>
  </si>
  <si>
    <t>Manager Advocacy</t>
  </si>
  <si>
    <t>lkrishnan@careindia.org</t>
  </si>
  <si>
    <t>The specific objectives of this advocacy initiative will be as follows:
• Raise awareness among women and communities regarding their rights under the domestic violence laws.
•Sensitizing the relevant service providers to carry out their duties and obligations to register, investigate and prosecute when cases are reported by survivors.</t>
  </si>
  <si>
    <t>This is implemented in four South Asian countries -Sri Lanka, Nepal, Bangladesh and India. CARE India is implementing in two districts- Patna and Samastipur of Bihar state of India</t>
  </si>
  <si>
    <t>This is an advocacy initiative to raise awareness among the community and senstize the relevant stakeholders about the Protection of Women against Domestic Violence Act, 2005 implemented by Govt. Of India. The direct impact group of the project is women and stakeholders who play a key role in improving, changing, implementing policy, or influencing social norms, as well as those clearly benefiting from a policy change. Parliamentarians,  Community leader, Community frontline workers, teachers, Doctors, Protection Officer, Advocates, Police, Media,  Civil Society representatives</t>
  </si>
  <si>
    <t>This is an advocacy based initiatve. Direct participants in initiative include individuals that benefit from advocacy, research, organizational strengthening or communicational strategies. Examples:
- Recipients of media coverage and study report findings
- Women in a district who accessed service, after being part of awareness events
- Civil Society Representatives from other states participated in state and national consultation</t>
  </si>
  <si>
    <t>For the first time, the project aimed at policy advocacy for effective implementation of one particular law on domestic violence against women in one state of the country through generating awareness about the provisions of law in one hand and on the other end sensitizing the responsible stakeholders with different approach and working with inflencers like media, parliamentarians etc.</t>
  </si>
  <si>
    <t>The project partnered with local NGO as implementing partner and collaborated with exisitng networks and alliance working on women issue in the state of Bihar. At National level, it also brought few prominent NGOs from other states to contribute and learn from project outcomes. CARE India has now become part of 'PWDVA group' an advocacy forum at national level, where all prominent organization of India is part of to advocate around the issue of domestic violence.</t>
  </si>
  <si>
    <t>Civil sociiety has been part of all events organized to generate awareness about the Act including study finding dissemination event.</t>
  </si>
  <si>
    <t>The project period extended for additional 3 months looking desired result and relevant time period and  included few new activities - consultation with political representatives, working with media through consultation and press conference to enhance the effectivess of influencing strategy beforethe  union and state budget sessionduring beginning of 2017</t>
  </si>
  <si>
    <t>Street meetings in the villages followed by community events on generating awareness about the law</t>
  </si>
  <si>
    <t>Working with media supported in bring forefront the issue in public domain and generated awareness about the status of the law after decade of implementation</t>
  </si>
  <si>
    <t>Working with networks and alliances help to broadbase the outcome</t>
  </si>
  <si>
    <t>Generating awareness about the law among the community front line workers and village level council (Panchayats) members ensured increased outreach and  sustainable source and flow of infomration for the community</t>
  </si>
  <si>
    <t>Increased awareness about the law will not impact the outcome of the project if the service providers are not sensitized at the same time</t>
  </si>
  <si>
    <t>Flexibility in design to incorporate relevant changes in policy advocacy related initiatives will support in being relevant in our approach to achieve desired results</t>
  </si>
  <si>
    <t>Formally the project ended in the month of December 2016. Looking at union budget session- a relevant time for policy advocacy; CARE India has supported for additional three months till March 2017 to continue the process and share the project learning at National level.</t>
  </si>
  <si>
    <t>The project supported to conduct two studies on the status of implementation of PWDV Act in 9 districts of Bihar. To download these reports, please follow the below links :
1. https://www.careindia.org/wp-content/uploads/2017/05/SFSSU-ACT_f.pdf</t>
  </si>
  <si>
    <t>KHUSHI-Bhilwara</t>
  </si>
  <si>
    <t>CS193</t>
  </si>
  <si>
    <t>To strengthen the efficacy of government’s Integrated Child Development Scheme (ICDS) Program, so as to improve the health and well-being of children below 6 years of age in Bhilwara, Rajasthan</t>
  </si>
  <si>
    <t>District- Bhilwara, Rajasthan, India</t>
  </si>
  <si>
    <t>Direct paeticipants: 
Children 0 -6 years are calculated from the ICDS survey data. Pregnant women, Lactating mothers  are calculated through the formula to find out total number of prengant women in specific population. Based on the formula, expected pregnancy in three intervention blocs were calculated.  (Total Population * Crude birth rate/ 1000). Estimation is done for the project life cycle of three years till 2010. 
Indirect Participants: Parents of children in 0-6 years age group, Husband of pregnanct and lactating women, 504 Angwadi workers and ICDS staffs were calculated as indirect participants.</t>
  </si>
  <si>
    <t>MoU has been revised with donor in FY 2017-18 to implement Supplimentry nutrition supply based on the experience in 2016-17 by limiting the role of CARE work in Supplimentry nutrition supply at AWC</t>
  </si>
  <si>
    <t>Engaging community at Anganwadi centers through ownership and contribution.</t>
  </si>
  <si>
    <t>Child tracking score card institutionalisation at AWC</t>
  </si>
  <si>
    <t>Capcity building of Angwandi workers and Angwadi helpers on pre school education, health and nutrition</t>
  </si>
  <si>
    <t>Outcome based expectations gap between CARE long term goal and Donor perspective</t>
  </si>
  <si>
    <t>Irregularity of Angwandi workers at centers due to political intervention.</t>
  </si>
  <si>
    <t>Retention of boys at Anganwadi centers due to availability of private school locally and mind set of parents to promote education maog boys.</t>
  </si>
  <si>
    <t>Proposal, MoU, LF, Quarterly progress reports have been uploaded on CARE Insite. If required, it can be shared separately.</t>
  </si>
  <si>
    <t>Madhya Pradesh Nutrition Project (MPNP)</t>
  </si>
  <si>
    <t>Cargill Foundation</t>
  </si>
  <si>
    <t>Reginal Project Director</t>
  </si>
  <si>
    <t>Dr. Jayanta Upadhyay</t>
  </si>
  <si>
    <t>Reduce number of underwieght and severly underweight among U5 children in 3 high burden districts of Madhya Pradesh, India.</t>
  </si>
  <si>
    <t>Tikamgarh, Chattarpur and Panna districts of Madhya Pradesh</t>
  </si>
  <si>
    <t>Children 0 -6 years, Pregnant women, Lactating mothers, Men and boys</t>
  </si>
  <si>
    <t>Project closed in May 2017</t>
  </si>
  <si>
    <t>Built capacities in financial and project management. Improved technical and operational understanding of community based nutrition projects</t>
  </si>
  <si>
    <t>Built local capacities for sustenance of the gains made out of this project</t>
  </si>
  <si>
    <t>Scaling down of  direct intervention form  300 to 76 villages and focus  more on government system stregthening.</t>
  </si>
  <si>
    <t>Building the capacities of government front line workers engaged in long term effort to reduce malnutrition</t>
  </si>
  <si>
    <t>Efforts made to sensitize government officials on poor quality of data genearted by the system and how data quality can be improved.</t>
  </si>
  <si>
    <t>For sustenability of gains made through direct project interventions, strengthening government system is absolutely necessary</t>
  </si>
  <si>
    <t>Community based monitoring system remains weak that demands focussed attention by government and civil societies organization</t>
  </si>
  <si>
    <t>A differential startegy needed to reduce vulnerability of children who are prone to be malnourished due to distressed migration of their parents.</t>
  </si>
  <si>
    <t>The project strategy to partially work throught direct intervention by project staff and indirectly through governmnet system worked well.</t>
  </si>
  <si>
    <t>Evaluation report conforms that the project has accomplished its intended objectives.</t>
  </si>
  <si>
    <t>Maitri - Regional Advocacy Project (PCTFI cohort 3)</t>
  </si>
  <si>
    <t>CS198</t>
  </si>
  <si>
    <t>Seema Rajput</t>
  </si>
  <si>
    <t>Technical Specialist</t>
  </si>
  <si>
    <t>srajput@careindia.org</t>
  </si>
  <si>
    <t>Vandana Mishra</t>
  </si>
  <si>
    <t>vmishra@careindia.org</t>
  </si>
  <si>
    <t>Dalit girls in selected regions of India and Nepal  have access to safe and secure education that enables them to develop necessary skills for improved life opportunities.”</t>
  </si>
  <si>
    <t>Bahraich district of Uttar Pradesh (This project is also implemented in two districts of Nepal by CARE Nepal)</t>
  </si>
  <si>
    <t>Girls especially from dalit and marginalised communities</t>
  </si>
  <si>
    <t>Direct participants: The direct figure includes girls from 20 collectives, teachers and SMC members who were the part of different training programs and meetings during the reporting period.                                                          Indirect particpants: The indirect figure includes children of Upper Primary Schools and their parents ( intervention blocks).</t>
  </si>
  <si>
    <t>Establishment of "Regional Forum for Advocacy"</t>
  </si>
  <si>
    <t>Training of Girls' collectives on "Participatory Action Research" to identify issues prevailing in their community which are hampering the growth and to draw critical path for solving the issue.</t>
  </si>
  <si>
    <t>Collection of evidences for advocacy from the commuity via enganging the community itself and IEC event to sensitize them</t>
  </si>
  <si>
    <t>The exposure visit to "Women Power Line", boosted the confidence of girls. They experienced that girls of similar background (as they have) are working there which inspired them to become independent in future, they learned few techniques of self-defence and built faith in government system that their complain will be recorded and action will be taken, as they saw the handling of complains by personnel in WPL.  Further, it is a learning for us as well, that these kind of exposure visits will be  helpful in building confidence among girls and to mitigate their issues related with safety and security.</t>
  </si>
  <si>
    <t>Through "Public Hearing" event issues related with safety and security recorded and different government and education functionaries witnessed the same.</t>
  </si>
  <si>
    <t>Challenges faced in evidence collection due to lack of research apptitde among the girls, lack of skill to retrieve information from community, poor documentation and data collection skills</t>
  </si>
  <si>
    <t>National Level Technical Support to National Rural Livelihoods Mission (NRLM) to Integrate Health Interventions in Self-Help Groups</t>
  </si>
  <si>
    <t>CS125</t>
  </si>
  <si>
    <t>Ratna Mathur</t>
  </si>
  <si>
    <t>Deputy Program Director</t>
  </si>
  <si>
    <t>rmathur@careindia.org</t>
  </si>
  <si>
    <t>Director Health</t>
  </si>
  <si>
    <t>Provide national level technical support to the National Rural Livelihoods Mission (NRLM) in order to strengthen health, nutrition, and social inclusion strategies in its programming with community platforms</t>
  </si>
  <si>
    <t>the project is focussed on rural areas across all states of the country, particularly Bihar, Chattisgarh, Uttar Pradesh, Jharkhand, West Bengal, Odisha, Maharashtra</t>
  </si>
  <si>
    <t>Women's Selh Help Groups in rural areas</t>
  </si>
  <si>
    <t>The project worked with Women's Self Help Groups and their Federations; and built their capacity to demand for better health, nutrition and WASH Services, and also adopt appropriate behaviours impacting sexual, maternal and child health.</t>
  </si>
  <si>
    <t>1. The contributions of the TST led to the Government of India requesting CARE India to place an expanded Team at the Ministry, so as to increase the support to the Mission in the areas of Sexual, Maternal and Child Health; and WASH.                2. Two Members of the TST moved onto other Programmes in the Mission, reducing the TST to a 1 Member Team for a temporary period.</t>
  </si>
  <si>
    <t>Understanding the NRLM system and requirements</t>
  </si>
  <si>
    <t>Supporting the NRLM develop institutional mechanisms, systems, and capacities to integrate inclusive health, nutrition, and social inclusion strategies in its programming</t>
  </si>
  <si>
    <t>Building capacities staff at state level to promote health and nutrition strategies in NRLM programming</t>
  </si>
  <si>
    <t>Core understanding of government system and ability to tap opportunities provided by the system requires agility and technical rigour to influence policies</t>
  </si>
  <si>
    <t>The Federal System of the Government, leading to some States moving ahead earlier with Project supported Interventions</t>
  </si>
  <si>
    <t>Convergence of the Mission with related Ministries of the Government needs dedicated time and skills at all levels - Centre, State, District and Block Levels.</t>
  </si>
  <si>
    <t>The nature of the project was conceptulaized to evolve in response to needs of the National Rural Health Mission (NRLM). The flexibility provided by the donor allowed CARE India to take up the opportunities provided inspite of severe challenges during the course of the year. The year was marked by extensive changes in the leadership, approach, policy, and funding pattern of NRLM, and CARE India's technical support to NRLM had to be calibrated to be in sync with the larger policy shifts in direction pertaining to the role and mandate of NRLM in the overall efforts of government to fight poverty. These changes have impacted the process of implementation of the project, and thus, the agility and coordination required to ensure effectiveness of this investment and support. Towards the end of Year 1, from July 2015 onwards, NRLM made a series of changes in its approach – the most significant and positive change being universalization of health, nutrition, social inclusion as its core approach – and this project directly contributes to this through development of the concepts, appropriate</t>
  </si>
  <si>
    <t>New Born Survival Project (NBSP)</t>
  </si>
  <si>
    <t>CS158</t>
  </si>
  <si>
    <t>Dr. Sribash Chandra Saha</t>
  </si>
  <si>
    <t>scsaha@careindia.org</t>
  </si>
  <si>
    <t>Md Faiz Alam Ashrafi</t>
  </si>
  <si>
    <t>Monitoring &amp; Evaluation Officer</t>
  </si>
  <si>
    <t>faiz@careindia.org</t>
  </si>
  <si>
    <t>To reduce newborn mortality among poor and marginalized community in panna district of Madhya Pradesh.</t>
  </si>
  <si>
    <t>The  intervention area is at Ajaygarh block of Panna District,  Madhya Pradesh.</t>
  </si>
  <si>
    <t>The main target group of the intervention are
                                                                                                         1.  Pregnant Woman
                                                                                                         2.  Lactating Woman 
                                                                                                         3.  Newborn</t>
  </si>
  <si>
    <t>Direct participants are the total number of head count of population who are reached with delivery of services or goods, resources or other.
Indirect participants in projects should includes all individuals who are NOT directly involved in project activities, who DO NOT receive direct support, services, goods, resources from the project BUT are still impacted in some way by the project as they are the household members of direct participants. It is calculated by mutiplying the total number of direct participants with 5. sex disaggregation is done on the basis of sex ratio i.e. 874 females per 1000 male.</t>
  </si>
  <si>
    <t>Management of Low Birth Weight (LBWs) babies by providing them with KMC (Kangaroo Mother Care)
Strengthening of VHSCs (Village Health and Sanitation Committees) for better coordination in seeking health care among the villagers</t>
  </si>
  <si>
    <t>1. Forming mother groups in community with participation of Pregnant women and Lactating women
2. Awareness events at community level about the Pregnancy care and newborn care</t>
  </si>
  <si>
    <t>Advocate and disseminate on gender related issues in all existing platform relevant to project activities.</t>
  </si>
  <si>
    <t>Establishing contact and coordination with local village level health workers and community representatives has enabled the project to roll out community based activities targeting maternal and newborn health</t>
  </si>
  <si>
    <t>Prioritizing selection of field level staffs from the intervention block and distribution of villages based proximity to their home place has given advantage of better understanding of the intervention area and also ease of field coverage for the field staffs.</t>
  </si>
  <si>
    <t>For strategic advantage, project office was establsihed in the intervention block itself though it is a remote block with difficulties in support services and procurement.</t>
  </si>
  <si>
    <t>Formation of Mothers' Group as an advocacy and collective knoweldge sharing, seeking of health care is important for Rural Indian context</t>
  </si>
  <si>
    <t>Proper tracking of Low Birth Weight babies help in inmproving the survival chances of such babies by early identification of any complication and consequent referral</t>
  </si>
  <si>
    <t>Social rituals and Misconception in the society based on the years old practices are hinderance in changing the behaviour pattern of rural India particularly with reference to maternal and child health</t>
  </si>
  <si>
    <t>Pragathi</t>
  </si>
  <si>
    <t>CS206</t>
  </si>
  <si>
    <t>The Hans Foundation</t>
  </si>
  <si>
    <t>Ms. Seema Rajput</t>
  </si>
  <si>
    <t>Technical Specialist-Girls Education Programme</t>
  </si>
  <si>
    <t>Jainendra Kumar</t>
  </si>
  <si>
    <t>jkumar@careindia.org</t>
  </si>
  <si>
    <t>Out of school children especially girls from Dalit Communities in selected districts of Bihar have age and grade appropriate learning levels and leadership skills to negotiate and continue education”</t>
  </si>
  <si>
    <t>Bihar - Jehanabad, Gaya, Nalanda, Nawada districts</t>
  </si>
  <si>
    <t>Out of school children aged between 8 to 11 years old, Educational volunteers, Head Teachers, Cluster Resource center Coordinators, Block Resource Persons, AIE Coordinators, District Program Officers (EE/SSA), State Resource Group and Community Members</t>
  </si>
  <si>
    <t>The direct participants are children of age group 8-11 years, Educational volunteers, teachers in associated schools, head teachers, State Resource Group members,  Govt. functionaries, SMC members and parent &amp; guardians. 
The indrect participants are out of school children in the four intervention districts through cluster/block and district level officials.[Each year Bihar Education Project Council conducts a survey to find out the total no. of OoSC in each of districts and identified no. and details are recorded to their book. Among these no. of OoSC CARE team works with few and selective children through Special Training Centers. The children are selected by particular block/cluster level officials. The rest are left untouched by us. Therefore, CARE train State Resource Group and District/Block/Cluster level officials to reach them. To know how these groups are working and what are their outcomes, these officials conduct a monthly meeting in which CARE also participates and try to know what is actually happening. As we focus only on the children therefore they are taken as Indirect participants where we reach through a group of medium. ]</t>
  </si>
  <si>
    <t>It will be endline assessment of project including interaction with children, Educational volunteers, school functionaries, district level education fucntionaries and community.</t>
  </si>
  <si>
    <t>The Govt. has organized joint trainings of State Resource Groups who were responsible to monitor, scale up of the program and provide trainings to the beneficiaries across state.</t>
  </si>
  <si>
    <t>The project has partnered with RtE State Forum Chapter cosnisting of local NGOs to advocate the issues related to quality Education and Safety &amp; Security of children with State Govt.</t>
  </si>
  <si>
    <t>The on-site support to centers is a package which delivers the leadership ability amongst the children in terms of being more vibrant and able to raise their voice for their education, against social taboo and gender discrimiation and being the role model for others. Working with Educational volunteers and educational fucnationaries have sentized them for girls' education and providing mutliple opportunities for education and manistreaming them into the neighbourhood formal school systems. Approx 80% of chidlren have been manistreamed into the formal eductaion system where as 100% of the girls of previous batch are continuing their eductaion.</t>
  </si>
  <si>
    <t>Organzing community seminar</t>
  </si>
  <si>
    <t>Training of System Functionaries</t>
  </si>
  <si>
    <t>on-site support to centers</t>
  </si>
  <si>
    <t>Regular training of the key stakeholders are very important to carry forward the planned activities.</t>
  </si>
  <si>
    <t>Training plan should be based on need of the participants and contextulaize to the local environment</t>
  </si>
  <si>
    <t>Regular staff capacity building is very essential to take forward the agenda.</t>
  </si>
  <si>
    <t>Due to delay approval from donor, Closure of schools because of cold weather and delay in FCRA approval, the program has expereinces the up-downs and not been staedy.</t>
  </si>
  <si>
    <t>Proposal, MIS, progress reports, meeting minutes and Govt. Letters</t>
  </si>
  <si>
    <t>Read and Lead (RL)</t>
  </si>
  <si>
    <t>CS191</t>
  </si>
  <si>
    <t>General Mills Foundation</t>
  </si>
  <si>
    <t>Geeta Verma</t>
  </si>
  <si>
    <t>gverma@careindia.org</t>
  </si>
  <si>
    <t>To empower Dalit girls by building capacities, self-esteem and leadership skills that enable them to influence change at individual, social and systemic levels.</t>
  </si>
  <si>
    <t>Bahraich, Balrampur and Shravasti districts of Uttar Pradesh</t>
  </si>
  <si>
    <t>Marginalised children especially girls enrolled in elementary schools</t>
  </si>
  <si>
    <t>To measure the enhancement in learning attainment of children (grade 1-4 ) for language from baseline (Year 2015), the  annual assessment of children is being conducted (on standard EGRA tools) in March 2017 under the other project (Start Early: Read in Time). Since the project share similar geography and intervention therefore the findings have been considered for this project as well.</t>
  </si>
  <si>
    <t>1) Development of training modules and further to be scaled up by state governement.                                                                            2) Establishment of 100 community librararies with education department in Shravasti districts                                                                     3)  Through state Quality Cell, State has proposed budget in AWP&amp;B (Annual Work Plan &amp; Budget) for development of reading corners in primary schools to create print rich environment for promoting reading habits among the children and government has given approval for the same.</t>
  </si>
  <si>
    <t>Development of specific skill module for hands on training of teachers</t>
  </si>
  <si>
    <t>Development of "reading corner"s in primary schools to create "print rich environment" for promoting reading habits among the children</t>
  </si>
  <si>
    <t>Establishing 'Community libraries" to promote reading culture in community</t>
  </si>
  <si>
    <t>CARE has provided technical support for developing Reading kit on EGR and SCERT used CARE’s selected material as reference base for kit.</t>
  </si>
  <si>
    <t>Training of Teachers (KGBVs) and Collectives on specific skills</t>
  </si>
  <si>
    <t>Irregular SMC meeting hampering in skill development on safety and security and other issues.</t>
  </si>
  <si>
    <t>Reproductive and Child Health Nutrition Awareness (RACHNA)</t>
  </si>
  <si>
    <t>CS075</t>
  </si>
  <si>
    <t>The project goal is to contribute to significant reductions in maternal and infant mortality and improve menstrual hygiene and reproductive health of adolescent girls and women in Barmer district</t>
  </si>
  <si>
    <t>District Barmer, State-Rajasthan (3 Intervention blocks - Baitu, Sindhari and Gudamalain/Dhorimanna)</t>
  </si>
  <si>
    <t>Pregnant women, Lactating mothers, Mother of children upto one year, Women at reproductive age, adolescent school going and out of school girls, Adolescent school going and out of school boys and men</t>
  </si>
  <si>
    <t>Project focus was to reduce IMR and IMR in three blocks of district Barmer. Direct participants of the project are Pregnant women, Lactating mothers, Mother of children upto one year, Women in reproductive age (15-49 years), adolescent school going &amp; out-of-school girls and adolescent school going &amp; out-of-school boys.  To calculate the direct reach, Pregnant and lactating women in three blocks calculated based on fertility rate, adolsecent girls and boys from the registration in school were considered. 
Indirect Participants: we have referred the census 2011 data and NFHS-4 data. Based on fertility rate, pregnancy rate, institutional delivery data, school admission and drop out data were considered. Therefore in project life cycle 2,45,000 women and girls were expected to reach while male target was 2,98,000. Men were also targeted to challange the gender related barriers in bringing the change.</t>
  </si>
  <si>
    <t>PROJECT CLOSING ON 31 AUGUST 2017</t>
  </si>
  <si>
    <t>Project extension for the period Septemeber 16- August 17 was done with revised interventions strategy to engage school going boys and men in capacity building on maternal and child health.</t>
  </si>
  <si>
    <t>Engaging community in social audit for project outcome</t>
  </si>
  <si>
    <t>interface with government health system and information sharing on monthly basis</t>
  </si>
  <si>
    <t>Creating role models among school going girls and boys</t>
  </si>
  <si>
    <t>Project has no focus on income generation intitiaitve which limites the community engagement</t>
  </si>
  <si>
    <t>Application of ICT based monitoring may help in dta management due to scattered villages</t>
  </si>
  <si>
    <t>Developing capacity of government health and ICDS functionires on regular basis especially on data management.</t>
  </si>
  <si>
    <t>Project closing by August 2017 without any mid term or endline evaluation which is mutually agreed by partners.</t>
  </si>
  <si>
    <t>Proposal, MoU, LF, Quarterly progress reports have been uploaded on CARE INSITE. If required, it can be shared separately.</t>
  </si>
  <si>
    <t>Research Study of Gender Roles in Basmati RiceValue Chain in Haryana (BRVC)</t>
  </si>
  <si>
    <t>Sushmita Mukherjee</t>
  </si>
  <si>
    <t>Head - Programme Operations</t>
  </si>
  <si>
    <t>Manoj Singh</t>
  </si>
  <si>
    <t>Technical Specialist - Economic Development Unit</t>
  </si>
  <si>
    <t>msingh@careindia.org</t>
  </si>
  <si>
    <t>The goal of the project is is to identify the role played by farmers and workers, especially women, in the Basmati rice value chain and to explore possibilities for enhancing their role through appropriate interventions</t>
  </si>
  <si>
    <t>49 villages spread over in the districts of Panipat, Jind, Kaithal, Karnal and Kurukshetra of Haryana state of India</t>
  </si>
  <si>
    <t>Scheduled Caste(SC) women smallholders and landless workers  are the main Impact Group of the project</t>
  </si>
  <si>
    <t>This is a research based study. There were no direct and indirect participants in the project.</t>
  </si>
  <si>
    <t>Since the project did not entail any on-ground intervention, there are no direct and indirect participants in the project. Hence, actions relation to advocacy, gender score, governance score and resilience score does not apply to to this research based study.</t>
  </si>
  <si>
    <t>School Improvement Program (Pasty Collins Trust Fund Initiative -Cohort 2)</t>
  </si>
  <si>
    <t>CS160</t>
  </si>
  <si>
    <t>S Gayathri</t>
  </si>
  <si>
    <t>Senior Technical Specialist</t>
  </si>
  <si>
    <t>sgayathri@careindia.org</t>
  </si>
  <si>
    <t>To address Early Grade Reading, leadership skills and safety  &amp; security of children, especially girls, from the marginalized Dalit communities in selected geography of Uttar Pradesh (UP) by enhancing understanding and capacities of teachers in the Government Primary schools and Kasturba Gandhi Balika Vidyalayas (KGBVs)</t>
  </si>
  <si>
    <t>Marginalised children especially girls enrolled in Primary schools and KGBVs of intervention districts</t>
  </si>
  <si>
    <t>To measure the enhancement in learning attainment of children (grade 1-4 ) for language from baseline (Year 2015), the  annual assessment of children is being conducted (on standard EGRA tools) in March 2017 under the other project. Since the project share similar geography and intervention therefore the findings have been considered for this project as well.</t>
  </si>
  <si>
    <t>1) Training of KGBV Teachers on Specific skills, safety and security and Hindi language in all 746 KGBV.               2) Leverage of budget of Rs. 1,19,61,840.00 lacs to SIEMAT Allahabad for teachers training on above subjects. (through SRC-KGBV cell</t>
  </si>
  <si>
    <t>Creation of Print rich environment in schools and appropriate reading resources for children</t>
  </si>
  <si>
    <t>Creating monthly cluster based Teacher development approach</t>
  </si>
  <si>
    <t>Promoting reading culture in community through community libraries and IEC events.</t>
  </si>
  <si>
    <t>Training of KGBV Teachers on Specific skills, safety and security (developed by CARE) and Hindi language in all 746 KGBVs of Uttar Pradesh</t>
  </si>
  <si>
    <t>Leverage of budget of Rs. 1,19,61,840.00 lacs to SIEMAT Allahabad for teachers training on above subjects and domains through SRC-KGBV cell.</t>
  </si>
  <si>
    <t>Challenges faced in monitoring and follow up of post training development.</t>
  </si>
  <si>
    <t>Start Early:Read in Time</t>
  </si>
  <si>
    <t>CS111</t>
  </si>
  <si>
    <t>To improve Early Grade Reading skills of children ((6-9 years of age) especially girls from marginalized Dalit and Adivasi communities in the formal primary schools in UP and Odisha.”</t>
  </si>
  <si>
    <t>Bahraich, Balrampur, Shravasti, Gonda and Hardoi districts of Uttar Pradesh</t>
  </si>
  <si>
    <t>Most marginalized children in select formal schools in Uttar Pradesh</t>
  </si>
  <si>
    <t>Direct participants - Chilldren (Grade 1-4) of all the primary schools (1048 schools) in directly supporting Clusters in intervention districts have been included in direct participants. The program has expanded in new districts- Gonda and Hardoi. The data of new expansion districts is also included in reach figure.  Teachers in intervention schools (PS) are also included as direct participants.
Indirect participants - Children of all other Clusters of the intervention districts in which CARE is supporting through system have been included in indirect participants..</t>
  </si>
  <si>
    <t>The project's baseline has been conducted in April 2015 and Two annual assement has been conducted in Year 2016 and 2017 to measure the enhancement in learning attainment of children in language from baseline.</t>
  </si>
  <si>
    <t>The state government of Uttar Pradesh recognised and scaling up :                                                            1) Community Library has been acknowledged by State Government-Sarva Shiksha Abhiyan and has recognised as best practices in innovation category. It has been featured in ShaGun Portal (a web-portal for Sarva Shiksha Abhiyan).    Education Department and CARE India will establish 100 community libraries in the Shravasti district.                                                   2) Reading corners in all governement schools.</t>
  </si>
  <si>
    <t>Creating "Print rich environment" ," Reading Corners" and "Contextual reading resources" for children in intervention schools</t>
  </si>
  <si>
    <t>Developing functional Forums- " Morning Assemly" to express and lead</t>
  </si>
  <si>
    <t>Development of CCE cards and child profile for students (class I to VIII) (the key indicators from assessment register of CARE for language are incorporated in CCE cards.</t>
  </si>
  <si>
    <t>Community Library has been acknowledged by State Government-Sarva Shiksha Abhiyan and has recognised as best practices in innovation category. It has been featured in ShaGun Portal (a web-portal for Sarva Shiksha Abhiyan). Education Department and CARE India will establish 100 community libraries in the Shravasti district.</t>
  </si>
  <si>
    <t>Promotion of Early Grade Reading and Early Numeracy Skills under Padhe Bharat Badhe Bharat Innovation program.</t>
  </si>
  <si>
    <t>Irregular meeting of School Management Committee and lack of streategic approach</t>
  </si>
  <si>
    <t>The Programme's  Direct and Indirect reach figures are the same (Overlapping) with other interventions in UP only.</t>
  </si>
  <si>
    <t>Baseline Report (Year 2015), Annual Assessment Report of children's learning attainment for language (Grade 1-4) in Year 2016 and Year 2017</t>
  </si>
  <si>
    <t>Teacher Resource Lab (TRL)</t>
  </si>
  <si>
    <t>CS217</t>
  </si>
  <si>
    <t>Charities Aid Foundation</t>
  </si>
  <si>
    <t>Senior Tenchical Specialist</t>
  </si>
  <si>
    <t>To improve conceptual clarity, sensitivity and instructional methods of teachers in primary grades and in Kasturba Gandhi Balika Vidyalayas (KGBVs) in the domain of language, science and mathematics in select clusters of Uttar Pradesh.</t>
  </si>
  <si>
    <t>Two Clusters in Bahraich District of Uttar Pradesh</t>
  </si>
  <si>
    <t>Teachers, Head Teachers and Students</t>
  </si>
  <si>
    <t>The TRL has been acknowledged by State government as an innovation and linked with the National flagship program for innovation (Rastriya Awishkar Abhiyan). The concept note is uploaded on the Uttar Pradesh State government website.</t>
  </si>
  <si>
    <t>Exposure visit of teachers and children premier Institution (CDRI, Homi J Bhaba Science Centre, Vikram Sarabhai Community Science Centre etc.) and establishing linkages between them.</t>
  </si>
  <si>
    <t>Equipping TRL with the state of the art material  and conducting "Mentoring Program" focusing on Science, Maths and Technology.</t>
  </si>
  <si>
    <t>Establishing the feasibility, cost effectiveness and efficiency of the TRL strategy as part of the cluster approach</t>
  </si>
  <si>
    <t>TRL project has been shortlisted as an innovative model by Scale X Design Accelerator of CARE USA</t>
  </si>
  <si>
    <t>CARE will support the government to scale up this approach in all the 75 districts in the state. Government has asked CARE to design strategy for establishing TRL across the state.</t>
  </si>
  <si>
    <t>The challenge is being faced in working with the science and math's teachers (KGBV)as they are part time teachers and it isvery difficult to engange them.  Therefore, to overcome the issue, th Upper Primary Tecahers have been engenged in further activities.</t>
  </si>
  <si>
    <t>Technical Assistance for ICDS Systems Strengthening and Nutrition Improvement Project (ISSNIP)</t>
  </si>
  <si>
    <t>Dr. Hemant Shah</t>
  </si>
  <si>
    <t>Senior Technical Director SPM</t>
  </si>
  <si>
    <t>The overarching goal of supporting the Government of India's efforts to improve nutritional  and early childhood development outcomes of children in India</t>
  </si>
  <si>
    <t>The project coverage is in 162 districts in 8 States of India, which encompass 1865 blocks</t>
  </si>
  <si>
    <t>Women in age group of 15 to 35 and under five children</t>
  </si>
  <si>
    <t>Since this is an advocacy initiative, there is are no direct participants. Iindirect reach has been calculated as 'Total number of currently married women in age group of 15-49 and under five children as per 2017' in ISSNIP (8) states.</t>
  </si>
  <si>
    <t>In this techinical assistance project reaching a large population across multiple geographies, through government program platform, there is no plan to measure impact attirbutable to our efforts alone. The government program's performance is planned to be measured through periodic population level surveys like NFHS (DHS for India) and contribution of CARE's inputs to government program quality improvement will get measured through such assessments.</t>
  </si>
  <si>
    <t>Use of IT enabled tools to supplement one-to-one communication</t>
  </si>
  <si>
    <t>Integrating structured review of progress on previously planned actions is essential</t>
  </si>
  <si>
    <t>Government relations require continuity in our staff engagement - same team members continuing to engage for a project is very effective</t>
  </si>
  <si>
    <t>Use of data and technical reference material is helpful to ensure consistent information dissemination down the cascade of training/ orientations</t>
  </si>
  <si>
    <t>In this techinical assistance project reaching a large population across multiple geographies, through government program platform, there is no plan to measure impact attirbutable to our efforts alone. The government program's performance is planned ot be measured through periodic population level surveys like NFHS (DHS for India) and contribution of CARE's inputs to government program quality improvement will get measured through such assessments.</t>
  </si>
  <si>
    <t>Udaan - Accelerating Learning Program For Dropout Girls</t>
  </si>
  <si>
    <t>CS177</t>
  </si>
  <si>
    <t>CS197</t>
  </si>
  <si>
    <t>SPX Flow</t>
  </si>
  <si>
    <t>CS166</t>
  </si>
  <si>
    <t>CS213</t>
  </si>
  <si>
    <t>Discover</t>
  </si>
  <si>
    <t>CS202</t>
  </si>
  <si>
    <t>Glamour</t>
  </si>
  <si>
    <t>Abhishek Bhatnagar</t>
  </si>
  <si>
    <t>Sr Manager-Education</t>
  </si>
  <si>
    <t>abhatnagar@careindia.org</t>
  </si>
  <si>
    <t>1-To ensure participation of out of school girls in age appropriate grades in mainstream schools.
2-Break the social and psychological barriers which made girls believe that education is unimportant and irrelevant
3-Provide a competent accelerated system to complete primary education.
4-Develop independent and critical thinking abilities, analytical skills and a spirit of inquiry
5-Equip girls with information, skills and attitudes to deal with the world from  a position of strength</t>
  </si>
  <si>
    <t>1-Hardoi district of Uttar Pradesh,
2-Nuh District, Haryana 
3-Mayurbhanj District, Odisha</t>
  </si>
  <si>
    <t>Hardoi: Girls from deprived &amp; marginalized communities in selected block of Hardoi and teachers of UDAAN
Mewat: Girls from deprived &amp; marginalized Meo-Muslim community from selected villages of Nuh district and teachers of Udaan
Mayurbhanj:Girls from deprived &amp; marginalized communities (Adivasi) in the seleteced block of Mayurbhanj district and teachers of Udaan</t>
  </si>
  <si>
    <t>Direct: The direct figures include the girls who are enrolled in the UDAAN residential camp, SMC members of the Udaan and parents of girls.                                                                                                              
Indirect: The indirect participants include parents of the girl and communities where the girls belong to and are instrumental in creating an environment for change, who were reached out through events and village level meetings. The number of community members are not being tracked in numerical terms. For rough calculation to know the indirect reach 5 family members per girls is being calculated. (male and female figure is calculated on the basis of 53 % male and 47 % female of total population as per District-Census 2011 )</t>
  </si>
  <si>
    <t>Pre-test (Basleline) is conducted to assess the learning level of girls on certain competencies at the beginning of the camp and at the end of the session post-test (evaluation)  is done with girls to mesuare the changes in their learning level. To know the perception of girls about gender and to measure leadership skill ,GEI and YLI is also being conducted with them in the begining and at the end of the session.</t>
  </si>
  <si>
    <t>Udaan has been recognised as a model for special training program centre for out of school girls and use of specific curriculumn across the state in KGBVs is actualy originated from Udaan.</t>
  </si>
  <si>
    <t>Formation of "Clubs" (Dance club, Music club, sports club etc.) to cultivate leadership and creative skills among girls and Formation of School Management Committee of Udaan,</t>
  </si>
  <si>
    <t>Internship program for Udaan pass out girls</t>
  </si>
  <si>
    <t>Use of technology by girls in learning process,Alumni meet</t>
  </si>
  <si>
    <t>Use of special training curriculumn (developed by CARE for out of school girls) in KGBVs across the State.</t>
  </si>
  <si>
    <t>Promising practice-Community ownership enhanced by their meaningful engagment in Udaan and IT enabled teaching in Udaan</t>
  </si>
  <si>
    <t>Lack of funds and Sub grantee accountability is very important as without this promising model like Udaan can not function</t>
  </si>
  <si>
    <t>Emergency Response to Bihar Floods</t>
  </si>
  <si>
    <t>Monitoring and Evaluation Officer - Disaster Management Unit</t>
  </si>
  <si>
    <t>Provide relief assistance to affected people in three worst affected blocks of Supaul district in Bihar</t>
  </si>
  <si>
    <t>Supaul, Bihar</t>
  </si>
  <si>
    <t>CARE targeted  the marginalised, extremely poor communities with low coping capacity who are severely affected by the rains and floods and had suffered damage to their houses, lost their household items and  did not have access to water storage and hygiene facilities. The beneficiaries targeted also included displaced families (due to house damage and inundation) from the most marginalised communities.  From amongst the worst affected, CARE focused on single women headed households, households having pregnant and lactating mothers,households with persons with disabilities, from socially excluded Dalit and Maha Dalit communities.</t>
  </si>
  <si>
    <t>Direct participants- The beneficiaries who have received Shelter &amp; WASH NFI kits
Indirect Participants- The communities reached with WASH awareness with IEC material</t>
  </si>
  <si>
    <t>Orientation of staff/ volunteers of civil society in relief distribution process</t>
  </si>
  <si>
    <t>CARE ensured the beneficiaries listing included females of the identifiied household.</t>
  </si>
  <si>
    <t>Engaging elected panchayat representatives in finalizing targeting criteria</t>
  </si>
  <si>
    <t>Engaging community volunteers in relief distribution process</t>
  </si>
  <si>
    <t>Setting up feedback and complaint mechanism</t>
  </si>
  <si>
    <t>The emergency response project met the immediate needs of Shelter and WASH NFIs  of 700 households - who were severely affected, vulnerable and living in acute poverty belonging to 25 village hamlets of 3 blocks in Kanchipuram district due to systematic relief distribution processes. Moreover, the entire 700 households received the relief kit within 20 days from the project start date. The entire relief operation was completed within a month. Certainly, the in time and swift services have supported the beneficiaries in handling with the present condition efficiently. Relief was timely available and timely distributed due to quick turnaround time of START funding.</t>
  </si>
  <si>
    <t>Agencies should consider adding some material like stationery and game materials for engaging boys and girls post disaster (based on feedback received from community)</t>
  </si>
  <si>
    <t>Coordination of START network agencies ensured synergy in approach for the entire WASH campaign in the inetrvention villages i.e. Finalization of IEC materials and activities/exercises to be undertaken during the campaign.</t>
  </si>
  <si>
    <t>Project Proposal, Report- Narrative and Financial, Post Distribution Monitoring</t>
  </si>
  <si>
    <t>Emergency Response to Cyclone Vardah in Tamil Nadu, India</t>
  </si>
  <si>
    <t>Monitoring and Evaluation Officer, Disaster Management Unit</t>
  </si>
  <si>
    <t>Provide relief assistance to affected people in three worst affected blocks</t>
  </si>
  <si>
    <t>Kanchipuram, Tamil Nadu</t>
  </si>
  <si>
    <t>Cyclone affected communities</t>
  </si>
  <si>
    <t>Program Partnership Agreement (PPA) 4 Extension</t>
  </si>
  <si>
    <t>CS187</t>
  </si>
  <si>
    <t>Goal of the PPA agreement is to support institutional strengthening of CARE India with regards to Governance, Private sector Engagmement, in relation to social enterprises, and Knowledge Management. This will be accomplished through carrying out research, development of tools and publications as well as building capacity of programs in CARE India.</t>
  </si>
  <si>
    <t>As the project is focussed on carrying out research and bulding capacity for programming in CARE India, it does not have an independent area of operation, but strengthens existing programs, and builds strategies and approaches as well as capacities</t>
  </si>
  <si>
    <t>There are no direct impact population for this project, as this project, strengthens exisiting projects and orgnaisational systems. Ultimately the strengthening will benefit all programs to be more inclusive and effective and thus will lead to long term impact among Dalits and Adivasis (especially women) in India.</t>
  </si>
  <si>
    <t>There are no specific participants in the project as this project strengthens organisational capcaity by building capacity of current CARE staff and by developing tools</t>
  </si>
  <si>
    <t>The project is an institutional strenthening project, that sought to strengthened projects around social entreprises and Governance, apart from strengthening CARE india's Impact Measurement systems. Evaluation was not carried out. As this was part of DFIDs global project for institutional strengthening, the donor evaluation was carried out by DFID. This project was not part of evaluation process.</t>
  </si>
  <si>
    <t>Some of the key documents in relation to strengtening inclusive governance within CARE India was the development of the CARE India Inclusive Goverannce Approach Document. Secondly, a field monitoring tool for monitoring Voice and Accountability of marginalized populations at spaces for negotiation was piloted and used.</t>
  </si>
  <si>
    <t>Improved quality of community and low level facility management of childhood pneumonia and diarrhea in Bihar (TCH)</t>
  </si>
  <si>
    <t>CS132</t>
  </si>
  <si>
    <t>The work under the grant seeks to learn through efforts at the scale of two districst and evolve a comprehensive model for effectively addressing child mortality related to diarrhea and pneumonia, combining interventions engaging public facilities, outreach public programs, and the ubiquitous private providers</t>
  </si>
  <si>
    <t>The project is working in 3 blocks in the district of Purnia and 3 blocks in the district of Samastipur in the state of Bihar, India</t>
  </si>
  <si>
    <t>Children under the age of 5 who are most vulnerable to childhood illness</t>
  </si>
  <si>
    <t>This is a pilot project to test effectiveness of reaching specific population groups with higher vulnerability to childhood illnesses and mortality. An earlier baseline exists, which will be used to compare progress being made during implementation and assessments in between (to be planned for next FY)</t>
  </si>
  <si>
    <t>Advocacy with Government of Bihar for operationalization of Paediatric care at the Block Hospitals</t>
  </si>
  <si>
    <t>Establishment of surveillance records with ASHAs for seriously sick children</t>
  </si>
  <si>
    <t>Capacity building of service providers (government doctors and nurses) by paediatricians</t>
  </si>
  <si>
    <t>Seamless, continuous and effective supplies of drugs, consumables and equipments through an elaborate supply chain management system  is detrimental for quality and coverage of services</t>
  </si>
  <si>
    <t>Inadequate number of qualified paediatricians in the Government systems is detrimental to enabling quality IPD services for child health</t>
  </si>
  <si>
    <t>Pneumonia and Diaherria do not  appear to be the primary contributor to child mortality</t>
  </si>
  <si>
    <t>Project proposal and Final reports</t>
  </si>
  <si>
    <t>Increase Women Farmers Productivity and Empowerment in more Equitable Agriculture Systems at Scale in India</t>
  </si>
  <si>
    <t>CS090</t>
  </si>
  <si>
    <t>Head - Program Operations</t>
  </si>
  <si>
    <t>Technical Specialist - Livelihoods</t>
  </si>
  <si>
    <t>The goal of the project is to increase the productivity and empowerment of women smallholder farmers in more equitable agriculture ecosystems at scale.</t>
  </si>
  <si>
    <t>The project is operational in 26 Gram Panchayats and 9 blocks in Kandhamal amd Kalahandi disctricts of Odisha State in India.</t>
  </si>
  <si>
    <t>Scheduled Tribe (SC) and Scheduled Caste(SC) women smallholders are the main Impact Group of the project</t>
  </si>
  <si>
    <t>The project participants are the registered members of collectives and those who received services/ inputs from the project directly. The reported participants are from the MIS data which has a head-counts method to track. Indirect participants are the members of the project participants household.</t>
  </si>
  <si>
    <t>Influence national and state level stakeholders including local government and NGO functionaries to adopt women led agriculture system at scale.</t>
  </si>
  <si>
    <t>Farmer Field and Business Schools approach</t>
  </si>
  <si>
    <t>CARE organized trainings and workshop to different civil society organizations for gender integration in agricultural programs at scale.</t>
  </si>
  <si>
    <t>Farmer Field and Business School</t>
  </si>
  <si>
    <t>Reflect Circles</t>
  </si>
  <si>
    <t>Market engagement with collectives</t>
  </si>
  <si>
    <t>Promotion of livelihood service providers - The LSPs worked on incentive based system, post project they will act as a service provider who will charge fees for their services from the communities.</t>
  </si>
  <si>
    <t>Sustainability factors if planned during the project life will enable impact population have resilience at the end of project life.</t>
  </si>
  <si>
    <t>Need to have persistent engagement with the state government’s line department viz. Agriculture, Horticulture, Animal Husbandry, Forest and Revenue has resulted in positive and enabling environment in the project villages. This has resulted in increased accessibility of the impact population to these line departments and their schemes. These line departments have also responded positively which has benefitted the impact population</t>
  </si>
  <si>
    <t>The current period was extension phase of Pathways to work towards ustainability of intervention.</t>
  </si>
  <si>
    <t>Integrated Family Health Initiative (IFHI)</t>
  </si>
  <si>
    <t>CS089</t>
  </si>
  <si>
    <t>To support the Government of Bihar (GoB) in improving the effective delivery and coverage of maternal, newborn and child health outcomes by 2015</t>
  </si>
  <si>
    <t>Eight Districts of the state of Bihar: Beguarai, East Champaran, Gopalganj, Khagaria, Patna, Saharsa, Samastipur, West Champaran</t>
  </si>
  <si>
    <t>The project is ensuring availability and quality of MCH services (at the outreach and facility level) for pregnant women, recently delivered mothers and children upto 2 years of age.</t>
  </si>
  <si>
    <t>This grant was for conducting a pilot, for which baseline and endline were completed in previous FY s. As government wanted to test operational approaches to scale up, the grant period was continued to enable CARE to support the government. No further evaluations are planned.</t>
  </si>
  <si>
    <t>Leveraging the Village Health, Sanitation and Nutrition Days (VHSNDs) to improve the reach of Community Health Workers in Bihar</t>
  </si>
  <si>
    <t>CS135</t>
  </si>
  <si>
    <t>To leverag Village Health, Sanitation and Nutrition Days (VHSNDs) to improve reach of Community Health Workers (CHWs) in Bihar for improving range and quality of services being delivered at VHSNDs.</t>
  </si>
  <si>
    <t>Piloted in 20 blocks spread across 14 districts of the state of Bihar, India</t>
  </si>
  <si>
    <t>Pregnant women, Lactating mothers, New Born Babies, Infants and Children upto the age of 5 years, Eligible Couples,  all men and women in the community catchment seeking Family Planning services</t>
  </si>
  <si>
    <t>The project has formed the foundation for advocacy efforts around strengthening the VHSND platform for effective delivery of key health services by the Government of Bihar, who have adopted the learnings and are in turn conducting a pilot themselves across 9 blocks to scale up the interventions across the entire state of Bihar</t>
  </si>
  <si>
    <t>VHSND Pilot proposal, interim and Final reports (in August 2017)</t>
  </si>
  <si>
    <t>Technical Support to the Government of Bihar: Improving Health, Nutrition Coverage and Outcome (TSU)</t>
  </si>
  <si>
    <t>CS077</t>
  </si>
  <si>
    <t>To strengthen public health systems and capabilities of service providers in order to impact improved maternal, newborn, child and adloscent health outcomes in Bihar</t>
  </si>
  <si>
    <t>The project works in the 534 blocks across the 38 districts and 9 divisions of the state of Bihar, India</t>
  </si>
  <si>
    <t>Pregnant women, Lactating mothers, New Born Babies, Infants and Children upto the age of 5 years, Eligible Couples,  all men and women in the community in the state of Bihar seeking Family Planning services</t>
  </si>
  <si>
    <t>As per project plan, annual assessments are being conducted to know the progress being made in achieving outcomes and some of the impact parameters. Data from Such annual surveys are supplemented with additional theme-specific/ intervention-specific quantiative and qualitative studies. Data from all the annual surveys and studies are comprarable with each other and are extensively used by the project team as well as the funding partner.</t>
  </si>
  <si>
    <t>Extension of the project efforts through a new grant from same funding partner is being executed to continue CARE's contributions to the state of Bihar.</t>
  </si>
  <si>
    <t>Advocacy with the Government stakeholders at multiple levels from state to block level</t>
  </si>
  <si>
    <t>Focus on both supply system strengthening and demand creation (as well as Behavior Change communication) simultaneously</t>
  </si>
  <si>
    <t>Engagement with multiple departments and partners for a sustained period of time and leveraging the voice of Gates Foundation's leaders</t>
  </si>
  <si>
    <t>Counselling materials which have been designed for ANC, PNC, family planning and Complimentary feeding and HSC meeting has been used as a platform to share these materials. It has been observed that this methods of working with FLWs has been emerged as a most popular knowledge sharing platform to making FLWs more active, to equipped them with skills, as well as helping them to plan their day to days task more accurately.</t>
  </si>
  <si>
    <t>Form LQAS study it has been observed that there were 66 blokes in Bihar where maximum home deliveries are taking place. In an intervention line, CARE had considered these as an individual packets and tried to find out the specific reasons of home delivery, individual micro plan has been developed for the betterment of newborn care and recently delivered mother in these block by program team and as well as this tracking mechanism has ensuring to start non-function delivery point of these block. This initiative worked well and has greater potential to increase the proportion of institutional delivery in future.</t>
  </si>
  <si>
    <t>Project Proposal, Half Yearly LQAS reports, National Survey reports, Other Program MLE reports</t>
  </si>
  <si>
    <t>Women Leadership in Small and Medium Enterprises (WLSME)</t>
  </si>
  <si>
    <t>CS088</t>
  </si>
  <si>
    <t>To strengthen skills, capacities and capabilities of women own, managed MSMEs (Micro, Small and Medium Enterprises) by facilitating effective relationships among women entrepreneurs and with value chain actors mainly by promoting an enabling environment, more positive attitude and behaviour towards women entrepreneurs from family members and other stakeholders.</t>
  </si>
  <si>
    <t>State: Tamilnadu; Districts: Cuddalore; Block: Panruti</t>
  </si>
  <si>
    <t>210 Women owned / managed Cashew processing Small and Medium Enterprises</t>
  </si>
  <si>
    <t>Direct participants are women entrepreneurs (small and medium) enterprises, men are male champions who have played a direct role in ensuring that project targets are met
Indirect participants are employees of 210 SMEs and their family members who have been benefitted indirectly by the intervention.</t>
  </si>
  <si>
    <t>With completion of the program on 31st December 2016, the final evaluation will be done by an external agency selected by donor in regular six month intervals for three times. First evalaution is scheduled on June 2017</t>
  </si>
  <si>
    <t>Collectivising entrepreneurs, developing a registered Cashew Women Entrepreneur Network, establishing a Business Facilitation Centre, developing easy self monitoring tools</t>
  </si>
  <si>
    <t>Not Applicable ; WLSME is a RCT based program - No changes / adjustments can be made.</t>
  </si>
  <si>
    <t>Training and Involving locally reknowned  experts from the project village help in reaching the cashew SMEs more effectively.</t>
  </si>
  <si>
    <t>Role model and change leader are effective in taking forward the ideas / activities to the SMEs.</t>
  </si>
  <si>
    <t>Expsoure visits and cross visits to other SMEs, units help target SMEs to understand and create positive attitude change in adoption of best practises</t>
  </si>
  <si>
    <t>Business facilitation centre with its regular SMS through mobile phone able to share technical information more effectively</t>
  </si>
  <si>
    <t>Peer introduction and trust led network among SMEs play a major role in business processes</t>
  </si>
  <si>
    <t>Interface meetings with stakeholders and personal one to one visit and discussion by government stakeholders and value chain actors are effective in sensitising the SMEs requirements from supply and demand end.</t>
  </si>
  <si>
    <t>Video documentation of activities / strategies help in sharing the WLSME activity with other stakeholders involved.</t>
  </si>
  <si>
    <t>Project  SAATHI</t>
  </si>
  <si>
    <t>Ajith Kumar R</t>
  </si>
  <si>
    <t>ajith@careindia.org</t>
  </si>
  <si>
    <t>Ensuring Early Childhood Care, Health and Economic Empowerment of Women Smallholders, Landless Workers and Adolescents</t>
  </si>
  <si>
    <t>Bathinda, Punjab</t>
  </si>
  <si>
    <t>Women small holders and landless, adolescent girls and boys and (0-6) yrs children,pregnant women, Employability and Remedial education</t>
  </si>
  <si>
    <t>Direct participants are Women small holders and landless, adolescent girls and boys and (0-6) yrs children,pregnant women, Employability and Remedial education.                                            Indirect participants are Other men and women of the village other than the direct participants.</t>
  </si>
  <si>
    <t>Meeting with the PRI members in the 2 villages &amp; meeting with the govt officials at district level to orient them on the project goals and objectives and share with them the plan of the project.</t>
  </si>
  <si>
    <t>1. Involving Women Small holders and landless workers in making their own collectives for improvement of their income levels  by linking them to IGA activities: The project till now has formed 4 self help groups or collectives constituting 43 women of most backward Dalit communities and have been successful in collecting savings from these groups for their own group. The bank account opening of these groups is in process.</t>
  </si>
  <si>
    <t>2.Establishment of Employability Centre for Youth- A total of 9 youths have joined the training classes in the CARE run Employability centre</t>
  </si>
  <si>
    <t>3. Remedial Education Centres- To increase the capacities of the childrens who study in govt run schools in villages so that they reach their age appropriate learning levels. A total of 18 student admitted to remedial education centres.</t>
  </si>
  <si>
    <t>Since this was the starting and initiation phase of the project so most of the indicators have yet to be realised. The project have till date only formed 4 SHG groups of women small holders and landless workers and had estabilished a employability centre  and a remedial education centre in which 9 and 18 students have been admitted. The project has also formed 4 groups of the adolescents comprising of 48 girls b/w the age group of 15and -25 yrs for which the project is conducted meetings to educate them on  the concepts of proper food and nutrition, gender, lifeskills and anemia, reproductive health and sanitation aspects. A series of 6 meetings will be conducted for each group of girls and then they will be linked to Adolescent Reproductive health clinics at the district level. The project have also identified location near to the AWC's and in the office premises in the village for establishing kitchen gardens. The Anganwadi infrastructure assesment was conducted in all the 9 AWC's in 2 villages of Jassi and Gehri Baaghi. in which 4 villages were being identified for the first year. The project entails to support in wallpaintings , TLM's furnitures and maintainence of toilets in these AWC's.</t>
  </si>
  <si>
    <t>Proposal &amp; logframe attached</t>
  </si>
  <si>
    <t>Enhancing the Sustainable Farming Initiative through Gender &amp; Nutrition (EnSIGN)</t>
  </si>
  <si>
    <t>CS096</t>
  </si>
  <si>
    <t>PepsiCo USA</t>
  </si>
  <si>
    <t>BISWARANJAN PATNAIK</t>
  </si>
  <si>
    <t>Reginal Porgramme Director</t>
  </si>
  <si>
    <t>MD EHTESHAMUDDIN</t>
  </si>
  <si>
    <t>To enhance smallholder women farmers' productivity, well being and empowerment in Sustainable Farm Initiative (SFI)</t>
  </si>
  <si>
    <t>India, State- West Bengal, Dist- Bankura, Block- Kotulpur</t>
  </si>
  <si>
    <t>Women Farmers in age group 15-49</t>
  </si>
  <si>
    <t>Direct Participants: Women farmers in age group 15-49 are direct participants. Project intervention was inteded to bring change in lives of 504 women farmers. These are head count
Indirect Participants: Project has included the men and in laws of 504 women famrers in intervention so that gender based barriers can be avoided to bring change. Engaging Panchayati Raj Institutions, Public health funationaires were also the part of strategy. these were considered into indirect participants. Husband and other male in family: 500*2= 1,000, Other peer women famers engaged in intervention. voluntary support, PRI and ASHA/AWW/AWH= 5,000</t>
  </si>
  <si>
    <t>A model on dieatry practices of women farmers</t>
  </si>
  <si>
    <t>Project Logframe and indicators were revised based on the findings</t>
  </si>
  <si>
    <t>Common interest groups of women farmers were identified as platform for women agency building</t>
  </si>
  <si>
    <t>Engaging men and boys</t>
  </si>
  <si>
    <t>Develop a system for participatory performance Tracker  and involving women's group for track their own performances on regular time interval.</t>
  </si>
  <si>
    <t>Women and men are equally involved in agricultural practices however women have very limited opportunity to take part in training around extension services or market linkages. If women gets trained the productivity will be increased.</t>
  </si>
  <si>
    <t>If community space (Gram Sabha) or women based insititutions (SHG, CIG, Cooperative Groups) are not strengthen enough to negotiate within the community or outside regarding social restrictions, practices and innovations, Social changes will not be seen.</t>
  </si>
  <si>
    <t>Men and In Laws have Peer pressure which does not allow them to change the gender barriers at home. This needs to be broken through empowemenr and capacity building.</t>
  </si>
  <si>
    <t>Project closed in Dec 2016</t>
  </si>
  <si>
    <t>All the documents like Logframe, Monitoring &amp; Evaluation framwork, DIP, IEC, training modules are uploaded on CARE Insite.</t>
  </si>
  <si>
    <t>Indonesia</t>
  </si>
  <si>
    <t>Warung Anak Sehat</t>
  </si>
  <si>
    <t>Erlyn Shukmadewi</t>
  </si>
  <si>
    <t>EED Manager &amp; Business Development Specialist</t>
  </si>
  <si>
    <t>erlyn_shukmadewi@careind.or.id</t>
  </si>
  <si>
    <t>Handayani Sagala</t>
  </si>
  <si>
    <t>WAS Project Manager</t>
  </si>
  <si>
    <t>handayani_sagala@careind.or.id</t>
  </si>
  <si>
    <t>To improve child nutrituion by improving access to healthy snacks and nutrition education for chiidlren aged 6 years and over, mothers and school teachers, and to empower women as entrepreneurs</t>
  </si>
  <si>
    <t>Ambon, Bandung, Yogyakarta, Bogor</t>
  </si>
  <si>
    <t>Primary school children, parents and teachers; female entrepreneurs</t>
  </si>
  <si>
    <t>Direct: students 27,060 @ 51% female; teachers 350 @ 80% female;  Ibu WAS 350 @97% female; Parents 6,122 @ 95% female                                                                                                                                                                                                                   Indirect: Total Students at schools 86,646 @ 50% female; Teachers at schools 4900 @ 70% female; Teacher's family member 1050 @ 70% female; Parent's family 12,244 @ 50% female; Ibu WAS family 1,050 @ 50% female</t>
  </si>
  <si>
    <t>Need to build feedback mechanism</t>
  </si>
  <si>
    <t>Need to engage men and boys more formally and frequently</t>
  </si>
  <si>
    <t>Need to mitigate risk of use of GMO / hybrid seeds so urban farming activity is sustainable after partner program ends</t>
  </si>
  <si>
    <t>Bintang Muda (Young Star)</t>
  </si>
  <si>
    <t>IDN 561</t>
  </si>
  <si>
    <t>EED Manager/Business Development Specialist</t>
  </si>
  <si>
    <t>M. Idhan</t>
  </si>
  <si>
    <t>muhammad.idhan@careind.or.id</t>
  </si>
  <si>
    <t>200 young women will be more resilient and empowered to make decisions about their future, be equipped with basic entrepreneurial and financial litercy skills, and disaster preparedness skills to start their own individual/group business or make improvements to their existing micro/small business in order to stay competitive within the market (SIAP).
40 young women who operate small business or will be helped to start up businesses, selected from the most promising of the original 200, participants for additional training, coaching and mentoring in business plan, production, efficiency, quality, market and financial access. they will serve as role models for the remaining 160 young women from SIAP. 
2,000 women (4,000 people, 600 households), will receive information from SIAP participants on basic entrepreneurial and financial literacy skills by 100 pairs of SIAP participants.</t>
  </si>
  <si>
    <t>Makassar South Sulawesi</t>
  </si>
  <si>
    <t>Direct: 200 young women, 2,000 friends of young women. Indirect: families of 2,2000 women</t>
  </si>
  <si>
    <t>The program works directly with 20 Trainers and 200 women, and we have included 60 men in sensitisation sessions. The women are required to socialize to other five women friends and neihbour (1000 women), as well to the government and local community leaders (200).  We count their families as indirects at 5280 (household size is 4).</t>
  </si>
  <si>
    <t>Partnership meetings led to collaborative actions to strengthen both partners and the community</t>
  </si>
  <si>
    <t>strengthen local NGOs partners and universities in relevant issues to young entrepreneurs</t>
  </si>
  <si>
    <t>targeting young women and open opportunity to become entrepreneurs</t>
  </si>
  <si>
    <t>working with different stakeholders</t>
  </si>
  <si>
    <t>Magdalena Yuanita Wake</t>
  </si>
  <si>
    <t>magdalena_wake@careind.or.id</t>
  </si>
  <si>
    <t>To assist national development through enhancing the commercial value of the agricultural business in eastern Indonesia. Through the ADVANCE Project, CARE will provide technical assistance to small holders to increase their productivity and efficiency in pig farming.</t>
  </si>
  <si>
    <t>City of Kupang and District of Kupang, East Nusa Tenggara</t>
  </si>
  <si>
    <t>Small holders farmers managing pig livestock, government officer providing technical assistance in the area, and supply chain</t>
  </si>
  <si>
    <t>Direct participants: 300 Small holder farmers, 1,500 neighbor of small holder farmers, 20 local government. Indirect families of all direct participants (times 4).</t>
  </si>
  <si>
    <t>Introducing fermented pig pen from local row materials that reduce use of clean water</t>
  </si>
  <si>
    <t>Working closely with local government, to replicated the approach and training modules to other communities</t>
  </si>
  <si>
    <t>Develop and promote VSLA groups in absent of formal financial support for livestock player</t>
  </si>
  <si>
    <t>strengthen local NGOs partners and universities in relevant issues to pig/livestock management</t>
  </si>
  <si>
    <t>Online pig marketing to improve supply chain</t>
  </si>
  <si>
    <t>working and mobilizing resources from different stakeholders</t>
  </si>
  <si>
    <t>emphazise on innovative livestock management that can be applied to others easily</t>
  </si>
  <si>
    <t>ID 565</t>
  </si>
  <si>
    <t>Kartika Juwita</t>
  </si>
  <si>
    <t>kartika_juwita@careind.or.id</t>
  </si>
  <si>
    <t>Vulnerable people are more resilient to crises in the face of climate change and environmental degradation, enabling sustainable inclusive economic growth</t>
  </si>
  <si>
    <t>Indonesia, Province (Jakarta and East Nusa Tenggara), Districts (Kupang and TTS), City (Jakarta and Kupang), and 10 communities (Tuak Daun Merah, Oesapa, Nunsaen, Batnun, Oelbiteno, Oekiu, Naip, Tolnako, Oelatimo and Linamnutu)</t>
  </si>
  <si>
    <t>Village government, Village facilitators, district government and communities (woman groups, farmer groups, people with disability)</t>
  </si>
  <si>
    <t>Under the PfR SP 2016-2020, CARE International Indonesia and partner will focus on enabling community groups and village governments to advocate for IRM (Integrated Risk Management) to be streamlined in local, provincial, regional and national legislation, and in doing so enable communities to access government resources to build their resilience. Building the capacity of local CSOs, women’s groups, and other community stakeholders to use evidence to advocate for IRM, and in turn building the capacity of governments to understand the value of IRM and why it should be integrated into development planning, will be central to these efforts. Direct participants who are directly involved in activities that CARE and partners intervention that recorded in logbook of activities and policies dialogue. Indirect participants who are getting indirect impact from policies dialogue that CARE and partners conducted.</t>
  </si>
  <si>
    <t>Integrated Risk Management Approach and gender responsive are incorporated with local development planning</t>
  </si>
  <si>
    <t>Development plan and Watershed/lowland approach</t>
  </si>
  <si>
    <t>Capacity assessments of partners in the program (5) and strategy for building capacity for advocacy and policy development. This FY we introduced all partners to media training.</t>
  </si>
  <si>
    <t>Gender prespective incorporated into planning and implementation of local development planning integrated risk management</t>
  </si>
  <si>
    <t>None yet: year 1 of 5 year program</t>
  </si>
  <si>
    <t>In local context, engaging men is a culture, and man always be invited in every event, however woman participation should be encourage to advocate their rights</t>
  </si>
  <si>
    <t>Need to pay more attention to ensuring that direct beneficiaries are encourage to share their learning with others</t>
  </si>
  <si>
    <t>Government mechanism included beaucrarcy, policy, program, re-sturcture including political dynamic at all level</t>
  </si>
  <si>
    <t>Working as alliance to introduce Integrated Risk Assesment (IRM) is a challenge to ensure the key messages achieve</t>
  </si>
  <si>
    <t>As the global project (implement in 10 countries) PfR SP at global level should provide the clear guidance, tools and guideline in advocacy strategy and program management to measure the impact to countries, however that was takes time and Indonesia took initiaves to develop country advocacy strategy including planning, monitoring and evaluation tools and become model for other countries.</t>
  </si>
  <si>
    <t>https://drive.google.com/open?id=0BxwmnffkiDW4Qm1kLW1PcXBKaVk</t>
  </si>
  <si>
    <t>Pidie Jaya Aceh Response (PiJAR)</t>
  </si>
  <si>
    <t>Intercontinental Hotel Group</t>
  </si>
  <si>
    <t>Wahyu Widayanto,</t>
  </si>
  <si>
    <t>Improved access to safe water, hygiene items and practices for the earthquake-affected population</t>
  </si>
  <si>
    <t>Pidie Jaya district in Aceh province, in three villages</t>
  </si>
  <si>
    <t>Families with pregnant women, breastfeeding women and children under 5 and the elderly</t>
  </si>
  <si>
    <t>Direct: Women and children selected based on local data; indirects: the families of the women at 4 people per household, split 50:50 F:M</t>
  </si>
  <si>
    <t>None</t>
  </si>
  <si>
    <t>Need to work with national level partners to improve the Joint Needs Assessment questionnaire for the future</t>
  </si>
  <si>
    <t>This was a short and rapid response to an emergency: the collaboration with local government and local partners meant that we reinforced and supported the whole response. Funds from Margareth A Cargill and HPA were used solely to contribute to the costs of the Emergency Response Coordinator so no data is attached to them</t>
  </si>
  <si>
    <t>Personal Advancement and Carrer Enhancement (PACE)</t>
  </si>
  <si>
    <t>ID 571 IDN 129</t>
  </si>
  <si>
    <t>GAP Inc.</t>
  </si>
  <si>
    <t>Andik Fatahillah</t>
  </si>
  <si>
    <t>andik_fatahillah@careind.or.id</t>
  </si>
  <si>
    <t>The objective of the P.A.C.E. program is to improve women and youth basic lifeskills by delivering five core P.A.C.E. modules:  Communication; Problem Solving and Decision-Making; Time and Stress Management; Financial Literacy; Water, Sanitation and Hygine; as well as Small Business Module for self-employment or micro-enterprise women. The purpose of this pilot program to showcase to other river communities how improved lifeskills contribute to more effective women and youth participation in family and community decision including increased influence on government or community social organization interventions that aim to increase urban resilience of the Marunda river side population.</t>
  </si>
  <si>
    <t>Marunda, Cilincing Sub-District, North Jakarta District, Jakarta Province, Indonesia</t>
  </si>
  <si>
    <t>The PACE in community-based project will predominantly support women and youth in poor communities who live on the river banks in Jakarta, especially in Marunda Village. P.A.C.E. activities will provide women and youth with a critical set of life skills that will empower them to more effectively participate and better influence in their society.</t>
  </si>
  <si>
    <t>None yet.</t>
  </si>
  <si>
    <t>Personal Advancement and Carrer Enhancement (PACE) - River Side Community 2</t>
  </si>
  <si>
    <t>andik_fatahillan@careind.or.id</t>
  </si>
  <si>
    <t>The program works directly with: 
20 Trainers and 400 women
60 men in sensitisation sessions. 
Friends or neighbours of trainee 2,000 women, local government and community leader 200 people.  We count their families as indirects at 10,080 (household size is 4, at 75% female and 25% male)</t>
  </si>
  <si>
    <t>Promoting  a Sustainable and Food Secure World (PROSPER)</t>
  </si>
  <si>
    <t>IDN 033/ID 569</t>
  </si>
  <si>
    <t>EED Manager</t>
  </si>
  <si>
    <t>A.J. Sudarto</t>
  </si>
  <si>
    <t>A.J_Sudarto@careind.or.id</t>
  </si>
  <si>
    <t>The Goal of the PROSPER-Indonesia program is to enhance the well being of children through the reduction of diarrhoea and infectious diseases in elementary schools in Banten and South Sulawesi provinces.</t>
  </si>
  <si>
    <t>Makassar City - South Sulawesi, Serang District - Banten</t>
  </si>
  <si>
    <t>Directs: students , teachers and parents, community health workers, local officials and food vendors,  indirects: families of the children at 4 per HH</t>
  </si>
  <si>
    <t>Direct Beneficiaries # male # female #total Location
20 Elementary Schools
200 WASH and Nutrition committee  67 male 133 female 
6,000 elementary students 3,000 boys 3,000 girls
300 Teachers 60 male 240 female  
1,200 Parents 240 male 960 female  
100 Canteen Workers/street vendors 33 male 67 female  
12 Community health clinic representatives 4 male 8 female</t>
  </si>
  <si>
    <t>Need to widen scope of project to ensure better understanding of menstruation issues</t>
  </si>
  <si>
    <t>Need to build staff and partners awareness of gender inclusion</t>
  </si>
  <si>
    <t>Iraq</t>
  </si>
  <si>
    <t>Improvement of Maternal and Child Health in return Areas, North Iraq</t>
  </si>
  <si>
    <t>IQ2429</t>
  </si>
  <si>
    <t>Randala Noureddine</t>
  </si>
  <si>
    <t>Sexual Reproductive Health Programme Manager</t>
  </si>
  <si>
    <t>nourredine@care.de</t>
  </si>
  <si>
    <t>Jacqui symonds</t>
  </si>
  <si>
    <t>Head of programs</t>
  </si>
  <si>
    <t>symonds@care.de</t>
  </si>
  <si>
    <t>Decrease maternal and newborn and young infant morbidity and mortality</t>
  </si>
  <si>
    <t>IRAQ, NORTH NINAWA, TALAFAR REGION</t>
  </si>
  <si>
    <t>Women and girls in the reproductive age, newborns, women in rural areas, national health care staff, community members.</t>
  </si>
  <si>
    <t>Direct women and girls are the beneficieries directly contacted by the project staff and receiving health care services, counselling, supplementations, birth baby kits and advices. Direct men and boys are the male newborn babies receivng supplements, medical services.( this is calcualtes as the 50% of newborns served, while the other 100 are the men approached and given counselling on gender sensitve issue and family planning advices.
In direct benefcieries are the total number of people benfeting from the health servcies provided by PHC using the constrcution, equipments and supplies provided by the project (Zummar PHC monthly register was projected for one year). Also the number of chidren ( 50% males, 50% females) the direct beneficiereis are taking care of at the house hold level.</t>
  </si>
  <si>
    <t>The same methodology of the baseline survey will be used, the same tool and the sample will be increased to 1000H H visit.</t>
  </si>
  <si>
    <t>training 20 women from rural areas  to be certified TBAs, this will lead to economic empowerment and ensure future jobs.</t>
  </si>
  <si>
    <t>Increase the role of TBAs in the ruler area, by advcoating  their importance to National Govermant.</t>
  </si>
  <si>
    <t>Engaging Females</t>
  </si>
  <si>
    <t>Engaging males</t>
  </si>
  <si>
    <t>Community  based mobilization</t>
  </si>
  <si>
    <t>Work in close collaboration with  more than one partner.</t>
  </si>
  <si>
    <t>Approaching  females can make change.</t>
  </si>
  <si>
    <t>Good relation with the government empowers the project</t>
  </si>
  <si>
    <t>Prepared to Respond: Prepositioning of WASH items. Enabling a quick response to alleviate suffering of IDPs affected by displacement caused by fighting in and around Mosul
Prepositioning of emergency shelter and NFI items for a quick response to the needs of vulnerable IDPs in Northern Iraq after Mosul offensive</t>
  </si>
  <si>
    <t>Jacqui Symonds</t>
  </si>
  <si>
    <t>Symonds@care.de</t>
  </si>
  <si>
    <t>Dilman Hameed</t>
  </si>
  <si>
    <t>MEAL officer</t>
  </si>
  <si>
    <t>amo@care.de</t>
  </si>
  <si>
    <t>CARE contributes to the overall goal of improving living conditions of the most vulnerable displaced population in North Iraq through preposition of lifesaving Shelter/NFI and WASH items that will allow a time-bound and effective response to the consequences of humanitarian crisis after the offensive to Mosul starts.</t>
  </si>
  <si>
    <t>Iraq, Ninawa governorate, Mosul response</t>
  </si>
  <si>
    <t>Targeted IDP communities regardless to their ages and sex</t>
  </si>
  <si>
    <t>based on a very simple calculation that direct participants have been chosen, people who are directly benefited from Mosul response</t>
  </si>
  <si>
    <t>Capacity building of locat partner staff as well as government staff</t>
  </si>
  <si>
    <t>In the newly retaken areas, one of the main challenges the difficulties for CARE &amp; partners to locate beneficiaries in need; the initial outflux of IDPs was all contained in camps and other partners (particularly Erbil-based) were already positioned there. It was not until newly liberated areas became accessible that CARE was able to distribute, at first to stayees and then returnees. Overall for the entire humanitarian community there was a huge over capacity from October to Februrary and there was intense competition for NGOs to provide assistance to a limited number of beneficiaries. Things changed in March-April when NGO pre-positioned stocks were mostly utilized, East Mosul became accessible and IDPs from West Mosul started arriving in the East of the city.
Once CARE and partners’ distributions commenced, blanket coverage of entire villages was preferred and applied to avoid tensions between host and IDP/returnee populations; the idea was (and remains) to move towards targeted distributions for recent returnees. Ensuring access to up to date and unbiased population data from local authorities, especially the provision of sex- and age- disaggregated data, to ensure provision of equal assistance to those in need in the target areas, was a real challenge, especially early on in the response.
Additional challenges came from the ability to store pre-positioned relief supplies in the large quantities that were provided by a range of donors; and then the ability to be able to distribute these items, due to lack of access to affected areas (due to both security and permissions, delays in identifying suitable local partners and also due to the pre-existing division of coverage of affected areas by other, Erbil-based aid organizations). An additional challenge was the ever-changing and unreliable capacity of local vendors to supply relief items, who were prone to pulling out and leaving CARE with issues to solve in order to ensure it could supply the necessary items to complement its pre-positioned stocks.
Access permissions to affected areas and populations was, and remains, an ongoing issue for provision of rapid humanitarian assistance in Mosul. One key achievement for CARE was gaining access to West Mosul IDPs in a timely manner, and allocating the distribution point at central point in East Mosul (Bashiqa). In addition, developing a good relationship with food agents via CARE’s implementing partners enabled CARE to implement a much more well-coordinated and effective, rapid response, to new influxes of IDPs as they arrived from West Mosul.
The humanitarian community witnessed several direct and indirect fire attacks targeting aid distributions by government actors and local charities in East Mosul. For that reason, to avoid putting distribution teams and beneficiaries at risk, a remote distribution modality was designed, allowing for CARE and its IPs to design smaller distributions for approximately 50 - 200 households in closed compounds in the target neighborhoods, to avoid issues with deliberate targeting of distribution points. Tenets of the modality were: low visibility both during transportation and distribution, with minimal staff presence to avoid crowding. 
The modality relied heavily on cooperation with local representatives and agents to ensure acceptance, as well as confirmation with Town and City Councils, whilst employing volunteers (incentives) to minimize access issues, as well as distribution costs, and to provide income-generating activities in each neighborhood.</t>
  </si>
  <si>
    <t>CARE regularly maintained a database of all beneficiaries assisted during its Mosul emergency response, to avoid duplication of assistance and enable cross-checking with other partners. Initially, CARE received the list of IDPs and returnees registered with food agents, local municipal councils and responsible authorities i.e. Mayor’s office, Mukhtars (community leaders) etc. CARE’s implementing partners cross-verified these lists through on-site visits in Bashiqa and through ration cards from food distribution agents in East Mosul, Qayara and Telskof.</t>
  </si>
  <si>
    <t>Target beneficiaries received a list of the contents of the assistance package, attached to a pre-distributed coupon. This enabled CARE to organize the distributions on the basis of the coupons and to ensure that beneficiaries knew the contents, items and quantities they would receive on the day of distribution. All the items packed in boxes (hygiene kits, kitchen sets and the tool kits) plus sealing off kits and BESKs (packed in a fabric bag) were designed with donor logos. The contents and quantities of different items were written in Arabic. Fire safety flyers in Arabic were also packed inside the wick stove boxes. Beneficiaries were advised at the end of each distribution to open the boxes and count the kit items to report back on any missing items.</t>
  </si>
  <si>
    <t>Over the life of the project, CARE’s complaints response mechanisms were progressively developed and implemented to ensure people had multiple avenues to provide negative (and positive!) feedback about CARE &amp; IPs activities, including directly at complaints desks but also indirectly via reporting to local representatives at distribution sites as well as the UNOPS feedback hotline, to which CARE has recently signed up and receives regular reports on feedback. During PDM activities, beneficiaries were also given the opportunity to provide further feedback.</t>
  </si>
  <si>
    <t>CARE’s Mosul response, involving IHPF Shelter funds and those from other donors, was initially based on an assumption of a large population influx from conflict-affected areas of Mosul , which did not eventuate at the time, nor in the numbers (not until much later into the conflict) that the humanitarian community anticipated. CARE’s initially planned response, was also based on the modality of pre-positioning of emergency relief kits, which later in the crisis were not always appropriate for a number of reasons including; ongoing restrictions due to security access; an uncertain and protracted conflict; a very mobile displaced population; and a high number of ‘stayees’. In addition, the ability of local markets to quickly re-establish meant that the demand for cash support was high, and would have been a much more appropriate, rapid and relevant means of humanitarian response to the Mosul conflict. As many other agencies, CARE is moving towards more cash-based modalities of response, however for this project, it would have been appropriate to include this as a (major) component, complementing (and/or potentially replacing) pre-positioned items. This is an important lesson for the Shelter/NFI Cluster, which during the planning phases of the interventions was not favorable to cash interventions, preferring the prepositioning modality, as it was initially imagined that markets would not be readily available to IDPs.</t>
  </si>
  <si>
    <t>CARE’s experience partnering with newly formed local NGOs as implementing partners was also a lesson learned in preparedness; for ensuring that capacity assessments and other due diligence and capacity building activities are already in place, rather than trying to form partnerships and quickly learning capacity limitations during the response. Funding for these types of activities should be made more readily available by Donors in similar scenarios. However, CARE’s motivation to develop and grow these partnerships paid dividends by the end of the project, with CARE’s ability to deliver the assistance much enhanced by the already well-established and maintained relationships with local community leaders, city officials and local security actors such as Asayesh. Importantly, without the access that CARE’s IPs enjoyed, CARE’s response would have been further delayed and/or potentially impossible. Through them, CARE was able to ensure that it minimized the risk to beneficiaries accessing CARE’s assistance, as well as avoiding compromising the project’s quality.</t>
  </si>
  <si>
    <t>Additionally, as these relations and trust with its IPs developed, so did the accountability between CARE and it’s IPs, other humanitarian actors, local authorities and the local population.</t>
  </si>
  <si>
    <t>Gender:
While safety concerns of beneficiary representatives in some neighborhoods of East Mosul may override our intentions, CARE encourages our partners and local representatives to encourage women to take part in distributions. Picture evidence from distribution sites show that in safer neighborhoods, representatives did not exclude women from the distribution sites, however overall, given the restrictions on movement (and other restrictions) by women in the affected areas, female participation in site selection, beneficiary list provision and other participation aspects is very difficult.
CARE’s MEAL activities also aim to ensure that sex- and age-disaggregated data is collected for all distributions. Initially, only lists of the head of households and the number of family members was provided by local authorities, and during PDM activities, the breakdown of women &amp; men, boys &amp; girls was collected; but increasingly, as standard process developed in conjunction with partners and as part of building their capacity to do so, CARE gathers this information from local authorities prior to distributions occurring, to enable a more needs-based approach in terms of the kits provided, and to ensure accuracy of population data collected.</t>
  </si>
  <si>
    <t>in row 96: Resilience marker score: it seems that Harmful row doesn't functioning properly even changing options it remains the same</t>
  </si>
  <si>
    <t>Reduction of vulnerability of conflict-affected persons, especially women and children through improvement of WASH and Shelter in Bersive 1, Chamishku and Sheikhan Camps</t>
  </si>
  <si>
    <t>North Iraq joint response 2</t>
  </si>
  <si>
    <t>CARE contributes to the overall goal of improving living conditions of the most vulnerable displaced population in North Iraq through providing WASH services in the targeted IDP camps and effective response to the consequences of humanitarian crisis</t>
  </si>
  <si>
    <t>Iraq, Kurdistand region, Duhok and Ninawa governorates, Bersive1 IDP camp and Mosul response</t>
  </si>
  <si>
    <t>Direct women and men are the beneficieries directly receiving WASH services, total population of beneficiaries in both IDP camps have been chosen because WASH/Shelter sectors cover the whole camp</t>
  </si>
  <si>
    <t>Engaging local authority</t>
  </si>
  <si>
    <t>Engaging women and girls with the decision</t>
  </si>
  <si>
    <t>Partners can share information and learn from each about the quickly evolving security situation (including any on-ground information from partners and government), the humanitarian situation in Mosul, rapid needs assessments etc. by meeting regularly as a consortium.</t>
  </si>
  <si>
    <t>There is potential to share and align different approaches if there is overlap in sectoral activities in different areas; it is also possible to ensure coordination of activities and approaches if agencies are working in the same geographical areas. Local coordination tends to work better than at the UN Cluster level, and achieves more/has more benefits to coordinating agencies on the ground.</t>
  </si>
  <si>
    <t>Engaging women, girls with the decion and their satisfation with the services</t>
  </si>
  <si>
    <t>Used adequate hygiene practices: calculation based on KAP survey (Feb 17) data of average percentages for answers to hygiene behaviour questions in Bersive1 IDP camp (23%).</t>
  </si>
  <si>
    <t>WASH and Shelter support to vulnerable IDPs in North Iraq in 2016 throughout 2017</t>
  </si>
  <si>
    <t>The project is implementing in Iraq, Duhok goverorate in two IDP camps, Chamishku and Sheikhan</t>
  </si>
  <si>
    <t>Direct women and men are the beneficieries directly receiving WASH services, total population of beneficiaries in both IDP camps have been chosen because WASH sector cover the whole camp</t>
  </si>
  <si>
    <t>Capacity building of local partner staff as well as government staff</t>
  </si>
  <si>
    <t>CARE has been facing several issues in the camps that are rooted in the initial camp design. The infrastructure in the camps was supposed to provide immediate emergency WASH facilities to IDPs for short period (6 - 12 months); but due to the prolonged conflict IDPs are still living in those structures. Therefore, WASH facilities have been overused which leads to growing maintenance cost, leakages, rusting etc. Due to financial problems of local authorities, liquid and solid waste disposal in the camps has to be paid for by NGOs. The joint WASH assessment conducted to identify to critical gaps inside existing camps has been carried out by the WASH team and it is shared with WASH stakeholders at the end of March 2017.</t>
  </si>
  <si>
    <t>Although the project duration was short but has significantly contributed with impact by improving hygiene, sanitation and water related issues of the IDPs in booth camp, mainly supplementing on software activities to support CARE’s ongoing other project funded byother donors on water &amp; sanitation, in which software component hasn’t designed at all in project activities, except of voucher distribution but without software activities. The Hygiene activities especially behavioral change needs quite long time it is slow and long process which needs long-term commitment.</t>
  </si>
  <si>
    <t>Children are the best beneficiaries as they are empty from wrong traditional habits and easier to change their habits and practices.</t>
  </si>
  <si>
    <t>Use of Media could to be equal important in raising awareness widely to large number of direct and indirect beneficiaries</t>
  </si>
  <si>
    <t>sed adequate hygiene practices: Calculation based on KAP survey (Feb 17) data of average percentages for key hand washing times for the populations of Darkar, Chamishku, Sheikhan and Bersive 1 (19%).
* Over 96% of beneficiaries in both camps are satisfied with the mechanism of the hygiene voucher distribution and quality of items that they exchange with their vouchers, and reported that hygiene voucher grant contributed to improving levels of their family hygiene. 
* Over 80% of beneficiaries in both camps reported they are “not satisfied” with the “amount of voucher” which is 4$ per person per two months.</t>
  </si>
  <si>
    <t>WASH support to IDPs &amp; host communities in Dohuk &amp; Ninewa 2017-19</t>
  </si>
  <si>
    <t>Water, Sanitation and Hygiene (WASH) remain critical unmet needs in Northern Iraq. According to the Iraq Humanitarian Response Plan 2016, 6.6 million people in Iraq are in need of WASH assistance; of these, 1.8 M are estimated to be IDPs and 2.7 M from within host communities. Access to basic WASH needs is critical, including potable drinking water, basic hygiene items, access to sanitation systems for safe excreta disposal and waste management to prevent the spread of disease.  The lack of safe water, sanitation and solid waste management systems pose serious health risks, especially during the summer months due to seasonal diarrhoea trends, which may also include cholera. 
CARE’s proposed three-year WASH program will provide critical water, sanitation and hygiene (WASH) services to IDPs and host communities in Dohuk and Ninewa governorates; improve overall WASH services for women, men, boys and girls; and reduce tensions between the host community and IDPs. 
In collaboration with local authorities and communities, CARE and its partners will undertake WASH activities including repair and maintenance of latrines and water supply systems, water quality testing, improved waste management and establishment or support to existing WASH Committees and authorities to operate, repair and manage WASH facilities. The project will also include a strong capacity building component for local authorities, camp management, IDP and host community members and CARE &amp; partner staff, involving training and support to effectively undertake their WASH and waste management activities. Volunteers will be engaged and supported to undertake hygiene promotion activities and increase community awareness of issues around child marriage, gender and referral mechanisms for survivors of SGBV.</t>
  </si>
  <si>
    <t>Iraq, Duhok goverorate, four IDP camps, Chamishko, Shekhan, Essyan and Mamrashan.
Iraq, Duhok goverorate, Ardawan and Ayas niehbours, Mahat, Kalakchi and Ba'adre host collectives</t>
  </si>
  <si>
    <t>Direct women and men are the beneficieries directly receiving WASH services, total population of beneficiaries in both IDP camps have been chosen because WASH sector cover the whole camp
 Indirect beneficiaries: in two host communities in direct beneficiaries have been estimated as they are indirectly getting benefit from the Water&amp; sanitation project.</t>
  </si>
  <si>
    <t>Mid-term KAP survey is planned to bo conducted in June 2018</t>
  </si>
  <si>
    <t>The current humanitarian crises context of the region is clearly escalating with the new numbers of IDPs from the beginning of this year. To have all those IDP return to their own places will take a significant amount of time. Hence, this long term project is essential to meet the needs during this time. 
The actual start-up of the project been only couple months due to existence of another NGO in the targeted areas. More time is needed to see actual/realistic program quality and effectiveness. But, local authorities, BRHA, and camp management showed satisfaction and kind of relief knowing the project is a long term one.</t>
  </si>
  <si>
    <t>CARE regularly maintained a database of all beneficiaries assisted, to avoid duplication of assistance and enable cross-checking with other partners. Initially, CARE received the list of IDPs registered with food agents, camp managment and responsible authorities. CARE’s implementing partners cross-verified these lists through on-site visits in both IDP camps.</t>
  </si>
  <si>
    <t>It is been noticed that there are two different levels of understanding concerning gender concept in general among people.  A group is on level of complete gender blindness and noticeably resistant to it. The other level has some level of gender awareness and more open to listen and this appears in a smaller group than previous. 
The first group possess a dominant idea that females are not capable of doing anything other than house works and breading. While men only work outside the home which qualifies them to be served at home by women. The phrase “women can do nothing” is heard over and over not only from men but women themselves as well.
Based on this issue, our activities aimed to raise awareness about gender in general and gender equality through sessions and household level visits covering men, women, girls and boys.
 We already achieved success in assuring gender balance in selection of members for field teams, volunteers and WASH committee. All of those selected are from the community and some are from the high cast level ( The camp is all Yazidi ethnic group which consists of different level of casts).  This give us an advantage of people listening to them. 
Another success has been attained in giving chance to some females to do operation and maintenance (O\M) works with our O/M team. Which is something only men do according to the gender blindness understanding of people. 
It is worth to mention that the sessions and HH level visits can contribute to people’s knowledge. However, to see desired change in behaviour, time is needed in addition to projects that will empower women to contribute to the economic level of the family in order to give chance to girls to get education. Not only empowering women but also provide work opportunities to men to avoid using females for trading through early marriage. Hence, the expectations need to be realistic.</t>
  </si>
  <si>
    <t>Hiring females in the field is having a high impact in field. It is encouraging the females in the camps to participate as volunteers and be part of raising gender awareness. Couple of females stepped up and participated in learning how to do operation and maintenance work. Then after they learned they went with the team and did some work themselves for some families showing great example for community that women can do things just as men. 
This was a result of project’s criteria in hiring equal ratio of males and females.</t>
  </si>
  <si>
    <t>WASH support to vulnerable IDPs and host communities in Duhok</t>
  </si>
  <si>
    <t>CARE contributes to the overall goal of improving living conditions of the most vulnerable displaced population in North Iraq through providing WASH services in the targeted IDP camp and effective response to the consequences of humanitarian crisis</t>
  </si>
  <si>
    <t>The project has been implemented in Iraq, Duhok goverorate in two IDP camps, Bersive1 and Darkar, and host communities</t>
  </si>
  <si>
    <t>1) Hiring females in the field is having a high impact in field. It is encouraging the females in the camps to participate as volunteers and be part of raising gender awareness. Couple of females stepped up and participated in learning how to do operation and maintenance work. Then after they learned they went with the team and did some work themselves for some families showing great example for community that women can do things just as men. 
This was a result of project’s criteria in hiring equal ratio of males and females.</t>
  </si>
  <si>
    <t>2) CARE, and its partner, approached hygiene promotion in a slightly different manner in this project, by specifically targeting schools and children attending school  The successful results indicated that that children in school are willing to learn and adopt new practices, which in turn can positively impact practices in their respective families, multiplying the impact significantly. CARE, where appropriate, will use this approach in future projects. Another important lesson learned will be to factor in, in advance, the varying authorities involved. While CARE and Harikar were able to deliver hygiene promotion sessions, it came after considerable planning to navigate the varying levels of approval from the KRI Ministry of Education and Iraqi Ministry of Education, with their authority and involvement differing depending on the location of camps and villages. Each have their own and different processes of approvals and school schedules, all leading to rather complicated planning to provide hygiene promotion in schools.</t>
  </si>
  <si>
    <t>3) Ongoing repair and maintenance of public sanitation facilities at Bersive 1 Camp was a major ongoing issue for CARE, Harikar, camp management and IDPs because  it is public infrastructure and thus low user ownership. The lack of a sense of ownership has meant that CARE and Harikar have had to consistently follow up on sites constructed or rehabilitated. . In addition, users have very little interest in maintaining this infrastructure because they do not have access to the necessary nor adequate materials for maintenance. There is also generally a lack of available technicians/plumbers to undertake repairs. CARE has factored this in to the GAC funded multiyear project, and its other WASH projects in KRI, by undertaking specific activities to build local capacity and ownership of critical infrastructure, in to future project plans.</t>
  </si>
  <si>
    <t>West Mosul emergancy response(ERF)</t>
  </si>
  <si>
    <t>CARE contributes to the overall goal of improving living conditions of the most vulnerable displaced population in North Iraq through preposition of lifesaving WASH items that will allow a time-bound and effective response to the consequences of humanitarian crisis after the offensive to Mosul starts.</t>
  </si>
  <si>
    <t>Direct women and men are the beneficieries directly receiving WASH items.</t>
  </si>
  <si>
    <t>Challanges:
The protracted nature of the crisis in Iraq has meant that media interest in the conflict has waned, apart from the recent ‘liberation’ of Mosul from ISIL. There has been little contact from the Lead Member in regards to media coverage of CARE’s activities in Iraq.</t>
  </si>
  <si>
    <t>Jordan</t>
  </si>
  <si>
    <t>Emergency Assistance and Safe Spaces for Crisis Affected People in Jordan</t>
  </si>
  <si>
    <t>CAUSJO0024</t>
  </si>
  <si>
    <t>Adel Al-Dahien</t>
  </si>
  <si>
    <t>Program Manager for Irbid and Mafraq</t>
  </si>
  <si>
    <t>Adel.AlDahien@care.org</t>
  </si>
  <si>
    <t>The project's purpose is to meet the most pressing needs of the most vulnerable Syrian refugees and members of the host community in Jordan, while building self-reliance and resilience  and maintaining human dignity.</t>
  </si>
  <si>
    <t>Urban neighborhoods in Irbid, Mafraq and Zarqa in Jordan</t>
  </si>
  <si>
    <t>The main impact group is comprised of both refugee and Jordanian host community members, with an emphasis on women, to strengthen their long-term resilience and self-reliance.</t>
  </si>
  <si>
    <t>Direct participants are vulnerable refugees (70% received casha and psychosocial support) and host community members living in urban areas of Irbid, Zarqa and Mafraq (Jordanians comprise 30% of beneficiaries of cash and psychosocial support, 50% of vocational training), with a focus on women, youth and children, the elderly, and the disabled.</t>
  </si>
  <si>
    <t>Conducting 6 key formative interviews with Community Based Organizations’ (CBO) staff (of the 6 partnered CBOs) who will be directly involved in the preparation and logistics of the vocational trainings through visiting each of the organizations. A total of 2 interviews per governorate.
- Developing a cohort study by randomly selecting a sample of 15 women and interviewing them every 6 months over the life of the project
- Analysis of results, and concluding the set of consolidated findings</t>
  </si>
  <si>
    <t>community-based skills building training, CBOs' staff members provided with capacity building trainings,Small Business Development (SBD) Training,grants , Care will create job opportunities, through the legal process of recruitment of Syrians and issuance of work permits, to skilled Syrians in need for work.</t>
  </si>
  <si>
    <t>CARE worked with local CBOs and private centers to bring said project and its goals to scale.</t>
  </si>
  <si>
    <t>CARE  worked with 3 local CBOs as implementing partners for the livelihood activity and they recived a cabcity building   to deliver activities by providing training in management, finance, procurement, and personnel management, and establishing community committees a to  enhanced social cohesion through community mobilization and peer group support programs.</t>
  </si>
  <si>
    <t>Developing community committees</t>
  </si>
  <si>
    <t>Linking with local CBOs</t>
  </si>
  <si>
    <t>Market Assessment</t>
  </si>
  <si>
    <t>• Starting with raising awareness of employers and beneficiaries on all issues related to employment, at CARE’s community centres and partner CBOs, through case managers, through community committees, through Time Bank network, by visiting employers, by conducting customer-service oriented phone calls with large employers, and through distribution of leaflets and FAQ documents</t>
  </si>
  <si>
    <t>• Enhancing the filtration process of potential beneficiaries, through updating CARE’s Database System (CDS) with additional fields on employment and skills record, as well as future interests</t>
  </si>
  <si>
    <t>• Building a new partnership with ILO, whereby both organization work together; utilizing each other’s competitive advantages, and Designing future interventions that include a ‘training for employment’ stream</t>
  </si>
  <si>
    <t>project proposal and log frame, baseline assessment,  year one annual narrative report</t>
  </si>
  <si>
    <t>Humanitarian Assistance for Crisis-Affected People in Jordan, with a Focus on Women and Children</t>
  </si>
  <si>
    <t>PO#7061369-WEB#D002254</t>
  </si>
  <si>
    <t>Maher Qubbaj</t>
  </si>
  <si>
    <t>Program Director Urban Response Protection Program</t>
  </si>
  <si>
    <t>Maher.Qubbaj@care.org</t>
  </si>
  <si>
    <t>To meet the needs of the most vulnerable Syrian refugees and members of the host community, with an emphasis on the needs of women and children</t>
  </si>
  <si>
    <t>Irbid, Mafraq, Zarqa, Azraq town and East Amman</t>
  </si>
  <si>
    <t>70% Syrian refugees and 30% vulnerable Jordanians living in urban areas, with a focus on women and children at risk (i.e. female-headed households, people with disabilities, the elderly, and children at risk for child labor and/or early marriage).</t>
  </si>
  <si>
    <t>Direct participants are Syrian refugees and vulnerable Jordanians with most urgent needs and vulnerabilities (i.e. protection risks, use of negative coping skills, in need of basic services, etc.). Indirect beneficiaries (the number is calculated by multiplying by 4.7, an average household sice) include family members as well as the beneficiary communities and local CBO partners. For instance, in terms of information provision, which is implemented during case management sessions,  it is important to note, that a great number of beneficiaries learn about services available to them through CARE's mapping of services, leaflets, community centers, but also through the word of mouth, making broader communities aware of the existing assistance.</t>
  </si>
  <si>
    <t>Other than regular assessments that take place on an annual basis, there will be no additional evaluation with respect to this particular project.</t>
  </si>
  <si>
    <t>This project returned 200 vulnerable, out-of-school children, back to classes, positively reflecting on children's education and their families' wellbeing and economic status through Conditional cash for Education initiative that is also butressed by the provision of psychosocial support activities, in alignment with the objective to strengthen children's protective environment. Furthermore, the project empowered 1150 women economically by providing them with vocational trainings, business start-up kits and livelihood protection initiatives.</t>
  </si>
  <si>
    <t>In terms of enhancing children's protective environment, this project enabled CARE to increase the number of beneficairies and scaled up the Conditional Cash for Education initiative/ solution for the out-of-school children. Moreover, in partnership with local CBOs, and throughout CARE's capacity building activities of said CBOs, the project was able to scale up the number of beneficairies and enhance the CBO's capacities to efficiently support a larger number of beneficiaries (via vocational trainings and psychosocial support activities).</t>
  </si>
  <si>
    <t>Capacity building was one of the objectives of the project seeking to enhance the local CBOs capacity to increase the knowledge, skills , quality and efficiency with which to assist beneficiaries in need. Said trainings and support have contributed to increased resilience of the local network.</t>
  </si>
  <si>
    <t>No changes or adjustments, except changes to cost, specifically CARE was offered and received cost extension and increased budget in the same duration of the project.</t>
  </si>
  <si>
    <t>Economic empowerment</t>
  </si>
  <si>
    <t>Psychosocial support activities</t>
  </si>
  <si>
    <t>Addressing urgent and basic needs (Emergency Cash Assistance and Winterization Cash Assistance)</t>
  </si>
  <si>
    <t>Challenge lies in a short- term duration of the project.</t>
  </si>
  <si>
    <t>This project enabled CARE to implement Conditional Cash for Education, helping expand said intervention to a larger scale, which continues to be a promising practice in this operational context.</t>
  </si>
  <si>
    <t>Vocational training with an emphasis on women has beem an empowering experience for most participants of the training / receipients of toolkits.</t>
  </si>
  <si>
    <t>Proposal</t>
  </si>
  <si>
    <t>Jordanian Community Development and Support Program</t>
  </si>
  <si>
    <t>CA327</t>
  </si>
  <si>
    <t>Bader Al Nammur</t>
  </si>
  <si>
    <t>bader.alnammur@care.org</t>
  </si>
  <si>
    <t>(1) providing case management, information services, and one-time cash infusions to extremely vulnerable Jordanian households; (2) supporting the economic development of Jordanians through a micro-finance lending initiative; and (3) establishing community programs for youth to improve their vocational skills and opportunities and reinforce positive relationships between the Jordanian and Syrian communities. Together, these components will directly address protection and livelihood needs in the host communities. The results of the project will include: increased capacity of vulnerable households to meet urgent financial needs, improved access to livelihood opportunities, and strengthened social structures and local safety nets.</t>
  </si>
  <si>
    <t>20 localities in Amman, Irbid, Marfraq, Zarqa (5 in each area)</t>
  </si>
  <si>
    <t>A total of 15,046 direct beneficiaries(82,764 individuals indirectly) will be reached in the four locations over the three-year life cycle of the project. All beneficiaries of Components One and Two will be Jordanian, while the beneficiary population of Component Three will be composed of 60% Jordanians and 40% Syrians.</t>
  </si>
  <si>
    <t>Case management, info provision and cash assistance: 60%
CBOs capacity building, loans, VTC training, MoSD staff training: 10%
Community programs for youth: 30%</t>
  </si>
  <si>
    <t>Youth</t>
  </si>
  <si>
    <t>Community programs for youth</t>
  </si>
  <si>
    <t>CBOs capacity building</t>
  </si>
  <si>
    <t>The microfinance loan program was very successful in empowering small local businesses and their owners, especially women</t>
  </si>
  <si>
    <t>Implementation through local partners, such as the access to finance scheme through CBOs, is proving to be a learning experience for the partners and is yielding positive development results for the CBOs and sustainability of the activities. The capacity building and mentoring for the CBOs is really making a difference and will be continued.</t>
  </si>
  <si>
    <t>Engaging men in the CBOs, VTC center managers, and family members in promoting women’s economic empowerment continues to be a proven and vital approach. It instills a sense of ownership of these activities within men and, thus, enhances the implementation of the activities.</t>
  </si>
  <si>
    <t>Protecting and Building Resilience Among the Crisis-Affected in Jordan</t>
  </si>
  <si>
    <t>CA370</t>
  </si>
  <si>
    <t>Zainab Al-Aqra'a</t>
  </si>
  <si>
    <t>Budget Holder for Olayan and GAC Projects</t>
  </si>
  <si>
    <t>Zainab.AlAqraa@care.org</t>
  </si>
  <si>
    <t>The project seeks to improve access to existing support networks and services, address immediate emergency protection needs, as well as increase capacity for self-reliance strategies for the most vulnerable Syrian refugee and Jordanian households in the urban areas of Amman, Irbid, Mafraq, Zarqa, and Azraq town.</t>
  </si>
  <si>
    <t>Amman, Irbid, Mafraq, Zarqa and Azraq town in Jordan</t>
  </si>
  <si>
    <t>The main impact group of the project includes Syrian, Iraqi and other refugee community members (70%) as well as vulnerable Jordanians (30%) in the above-mentioned urban areas.</t>
  </si>
  <si>
    <t>Direct participants of the project include vulnerable refugee and Jordanian host community members in urban areas of Amman, Irbid, Mafraq, Zarqa, and Azraq town, particularly women, youth and children, the disabled and the elderly. The number of indirect participants, family members, is calculated by multiplying the number of direct beneficiaries by 4.7 (an average household size). Other indirect participants are community members in urban areas, as the project has wide-reaching implementation goals.</t>
  </si>
  <si>
    <t>Through the project we experienced new components under the resilience unit; the small business grants and the internship. In the SBG; we provide a number of refugees with an advanced training followed with a grant to start a small business while in the internship; we are working to provide number of refugees with work permit to be able to join the market and have a legal work. 
We are not only providing the typical cash assistance for the refugees but also trying to provide them with a long term source of income that will enable them living with dignity.</t>
  </si>
  <si>
    <t>In this project, we framed a women leadership council in 5 geographical area, the idea of this council is to strengthen the women refugee and enable them to plan and be involved in decision making with men, the councils will be implemented through the CBOs in each city so that the partnership with the local community is taken a big part of this council. 
Moreover; we have increased the number of the partners working with the rest of the projetc’s components such as reselince, psychosocial and conditinla cash for protection.</t>
  </si>
  <si>
    <t>Most of the activities in the project are designed to serve 30% of the vulnerable people from the local community, I addition to that, the activities are designed to be implemented  through CBOs and private sector from the local community</t>
  </si>
  <si>
    <t>the project is in its 1st phase and there is no changes</t>
  </si>
  <si>
    <t>To enhance the role of Syrian women through involving them in the decision making process with men and make them able to plan and be part of the solution when it comes to the financial income of the family as well as raise their awareness regarding the GBV, child labor and other issues</t>
  </si>
  <si>
    <t>To enhance the case management and referral systems for prevention of and response to child protection concerns, and GBV.</t>
  </si>
  <si>
    <t>To raise community awareness through community campaigns and interactive theater about different forms of GBV and the gender roles, norms and power dynamics that are conducive to them.</t>
  </si>
  <si>
    <t>For the multi-year project; The first 3 months of the project should be only for the planning</t>
  </si>
  <si>
    <t>The activities that are in the piloting stage, should be revised regularly</t>
  </si>
  <si>
    <t>MoFa Emergency Assistance and Protection for Crisis-Affected People in Jordan</t>
  </si>
  <si>
    <t>DE727</t>
  </si>
  <si>
    <t>Mohammad Awamreh</t>
  </si>
  <si>
    <t>Program Manager / Urban Protection Program</t>
  </si>
  <si>
    <t>mohammed.al-awamreh@care.org</t>
  </si>
  <si>
    <t>This project will provide immediate humanitarian assistance for vulnerable Syrian and Jordanian households in the urban areas of East Amman, Zarqa, Irbid, Mafraq and Azraq town.</t>
  </si>
  <si>
    <t>Amman, Irbid, Mafraq, Zarqa and Azraq town</t>
  </si>
  <si>
    <t>Urban Syrian refugees and vulnerable Jordanians</t>
  </si>
  <si>
    <t>CARE identified beneficaries through its community centers and outreach team, focusing on FHHs, the elderly, disabled and/or infirm, and those unable to reach centers. 17,150 indviduals are direct beneficiaries (50% female  and 50% male), while 77,175 are indirect. It was expected that 2000 households might receive more than one intervention, resulting in a possible overlap. The calculation of the direct and indirect beneficairies was based on empirical values from past projects. Indirect beneficairies were calculated using an average number of persons per household (5.5).</t>
  </si>
  <si>
    <t>Internal evaluation that measures impact and reach on beneficairies, targets through feedback and research meothods including Fgds and key informant interviews</t>
  </si>
  <si>
    <t>This project implemented conditional cash for education as an innovative way to help extremely vulnerable children and their families fight poverty and reduce negative coping skills, including child labor and early marriage</t>
  </si>
  <si>
    <t>Based on the success of the previous projects and interventions, which had high success rates, particularly with respect to conditional cash interventions, this project scaled up and targeted more beneficairies, seeking to influence communities through implementation of said aproaches (psychosocial activities and conditional cash for education).</t>
  </si>
  <si>
    <t>Psychosocial activities for refugee and host community memberes together; CARE formed community committee in each area, whose members are part of decision-making processes, proposal design and implementaiton activities.</t>
  </si>
  <si>
    <t>No changes were made in the project throughout this FY</t>
  </si>
  <si>
    <t>fighting poverty via conditional cash</t>
  </si>
  <si>
    <t>positive coping mechanisms - encouraged</t>
  </si>
  <si>
    <t>comprehensive approach in engaging beneficiaries to benefit from the program a a whole, instead of focusing on sole aspects of the program</t>
  </si>
  <si>
    <t>In addition to provision of cash activities, the project utilized a conditional cash program, enabling children to re-nter school and their families to receive cash, to encourage importance of education and use of positive coping skills.</t>
  </si>
  <si>
    <t>Building upon the success and progress of the project, CARE would like to implement PS activities inside schools for both teachers and students and provide remedial classes for students. The conditional cash program has also reiterated the vast need for such an intervention, so CARE aims to scale up cash assistance to multiple cash assistance.</t>
  </si>
  <si>
    <t>Challenge: Parents want to take students out of school for economic reasons. Conditional cash is still not enough to compensate for the amount of money kids can potentially make in the workforce.</t>
  </si>
  <si>
    <t>The project is on track, according to its objectives and activities planned (the budget project is on rate)</t>
  </si>
  <si>
    <t>Project proposal, logframe and donor report</t>
  </si>
  <si>
    <t>Vocational Training for Vulnerable Jordanians and Syrian Refugees in Jordan</t>
  </si>
  <si>
    <t>DE777</t>
  </si>
  <si>
    <t>Staatskanzlei NRW (State Chancellery NRW)</t>
  </si>
  <si>
    <t>Program Director Urban Response  Protection Program</t>
  </si>
  <si>
    <t>Economic empowerment through vocational training opportunities and provision of business toolkits</t>
  </si>
  <si>
    <t>Jordan: Irbid and Zarqa</t>
  </si>
  <si>
    <t>Syrian refugees and vulnerable Jordanians, both male and female, in urban areas of Irbid and Zarqa.</t>
  </si>
  <si>
    <t>They are vulnerable Syrian refugees and vulnerable Jordanians from the host community whowere selected after the initial assessment was completed by CARE case management - referred from another department. To calculate the number of indirect participants, we used the number 4.7, or the average number of household members. The number of indirect participants here does not include direct participants.</t>
  </si>
  <si>
    <t>CARE conducts annual urban assessments (since 2012) that tackle numerous aspects of the lives and needs of beneficiaries (i.e. Livelihood Assessments, Market Assessment, etc.). For this particular project, CARE conducted progress report (linked on line 115).</t>
  </si>
  <si>
    <t>This project implemented the existing policy that includes 30% of Jorrdanian host community members</t>
  </si>
  <si>
    <t>Included and tested new vocational trainings including photovoltaic and air conditioning maintenance, which were new trainings and opportunities to learn brand new skills.</t>
  </si>
  <si>
    <t>Previously mentioned trainings and new partnerships have since then been taken to new projects (building upon success).</t>
  </si>
  <si>
    <t>The project emphasized social cohesion among participants through joint activities</t>
  </si>
  <si>
    <t>Working with/through partners</t>
  </si>
  <si>
    <t>Focus on women and girls</t>
  </si>
  <si>
    <t>Involving beneficiaries in the design of the project interventions</t>
  </si>
  <si>
    <t>One of the promising practices was to provide vocational training to beneficiaries that would build their skills in fields that deviated from the traditional trainings, as to broaden their participation in the workforce and home-based income generating opportunities</t>
  </si>
  <si>
    <t>Participation of women and girls in trainings that are typically thought of as male-dominant (i.e. air conditioning and photovoltaic systems)</t>
  </si>
  <si>
    <t>Final report</t>
  </si>
  <si>
    <t>Promoting inclusive local economic empowerment and development to enhance resilience and social stability</t>
  </si>
  <si>
    <t>DK-2007-DOF-2711188037</t>
  </si>
  <si>
    <t>EuropeAid</t>
  </si>
  <si>
    <t>Adel Bondokji</t>
  </si>
  <si>
    <t>Project Manager of LEADERS consortium programs</t>
  </si>
  <si>
    <t>adel.bondokji@care.org</t>
  </si>
  <si>
    <t>To contribute to the economic self-reliance, resilience and social stability of displacement-affected populations in Jordan and Lebanon in preparation for durable solutions (2 locations of the action in the project).</t>
  </si>
  <si>
    <t>Ajloun, Irbid, Mafraq, Amman, Zarqa and Ma'an Governorates</t>
  </si>
  <si>
    <t>Displacement-affected and host community members are the main impact group, particularly women and youth, through Women's Economic Empowerment activities and local capacity building.</t>
  </si>
  <si>
    <t>70% of Syrian refugees and 30% of Jordanian community members are direct participants, having received direct assistance through the project, including training, job placement, business support, and participatory planning leading to locally-led investments in basic services and LED infrastructure. Indirect beneficairies are family members (number derived by multiplying by 5, an average family size) and broader community, including local CBOs.</t>
  </si>
  <si>
    <t>Evaluation will be completed by the LEADERS Consortium.</t>
  </si>
  <si>
    <t>The main innovations were implemented through grants distribution to upcoming entrepreuners from extremely rural and impoverished localities.</t>
  </si>
  <si>
    <t>Capacity building trainings conducted by several different partners to compliment each other: personal development trainings, and business ethics trainings.</t>
  </si>
  <si>
    <t>Capacity building for cooperatives and needs assesments conducted to ensure all needs are being met through the capacity building sessions. Capacity building for MSMEs to increase livelihood opportunities and generate more income.</t>
  </si>
  <si>
    <t>Grant distribution for small business start ups</t>
  </si>
  <si>
    <t>MSME capacity building (increasing revenue)</t>
  </si>
  <si>
    <t>Capacity building for individuals and cooperatives</t>
  </si>
  <si>
    <t>Improving access to information and capital for scalable MSMEs through equity partnerships, joint ventures and improved business support networks</t>
  </si>
  <si>
    <t>Supporting local actors including municipalities in improving the local economic enabling environment through increased networking, advocacy, fundraising and local mobilisation capacity</t>
  </si>
  <si>
    <t>Supporting MSMEs to invest and scale up activities and contribute to the local economic development of their areas while reinforcing their capacities in business development and management</t>
  </si>
  <si>
    <t>Investing in Women’s Economic Empowerment – a catalyst for positive change (H&amp;M CF Flagship Program) - KHATWA</t>
  </si>
  <si>
    <t>Sawsan Mohammed</t>
  </si>
  <si>
    <t>Sustainable Development Program Director</t>
  </si>
  <si>
    <t>Sawsan.Mohammed@care.org</t>
  </si>
  <si>
    <t>Addressing livelihood needs of vulnerable women and ensure vulnerable women have access to alternative means to develop sustainable livelihood options through small scale entrepreneurship.</t>
  </si>
  <si>
    <t>Amman and Zarqa</t>
  </si>
  <si>
    <t>The main impact group includes mostly Jordanian women, along with refugee community members (Syrian and Iraqi). There are activities in the project, particularly awareness raising sessions and activities with the VSLA groups that target relevant boys and men (i.e. husbands, brothers, sons).</t>
  </si>
  <si>
    <t>Direct participants are women, primarily Jordanian community members, as well as refugees although fewer in numbers. Indirect participants are family members (number calculated by multiplying by 5, an average family size) and broader community, especially as the project has far reaching implementation and goals (i.e. economic empowerment, awareness raising via social media, and capacity building in local CBOs).</t>
  </si>
  <si>
    <t>Final evaluation was conducted during November-December 2016. The evaluation triangulated data through FGDs, surveys, and questionnaires.</t>
  </si>
  <si>
    <t>The project established new Saving and Loans associations in local CBOs, and has used the VSLA groups as an entry point to develop entrepreneurship opportunities.</t>
  </si>
  <si>
    <t>The project continues to support women in VSLA groups, in addition to enrolling new members, in cooperation with local CBOs.</t>
  </si>
  <si>
    <t>In addition to strengthening the CBOs capacities, the project also raised awareness about women's economic empowerment and gender equality via social media to increase acceptance of women's participation in private entrepreneurship.</t>
  </si>
  <si>
    <t>no changes</t>
  </si>
  <si>
    <t>SLAs</t>
  </si>
  <si>
    <t>Vocational training</t>
  </si>
  <si>
    <t>Empowering women at home to help them enter the workforce</t>
  </si>
  <si>
    <t>SLA groups are one of the most beneficial method to help women that are in need of immediate financial assistance. Since the majority of the women in our society are Muslim having zero interest loans has proven to be appealing to the women and they appreciate the loans and are willing to participate. If there were any interest at all, no matter what it would be called, the women will not participate and thus not improve their economic or psychosocial well-being.</t>
  </si>
  <si>
    <t>Keeping men involved in projects does not only promote gender sensitivity but also creates room for sustainability since they are the main decision makers in our society. Men should be included in all projects for they have proven to create sustainability for the project.</t>
  </si>
  <si>
    <t>Hemaya II for Girls and Young women in Jordan</t>
  </si>
  <si>
    <t>AT541</t>
  </si>
  <si>
    <t>Sawsan Saadeh</t>
  </si>
  <si>
    <t>SD Program Director</t>
  </si>
  <si>
    <t>CARE and partners seek to influence gender norms and roles towards gender equality. The project therefore adopts a holistic and community based approach, enaging with a range of key target groups, such as CBOs, schools, service providers and community groups. The project focuses on a two-pronged strategy whereby women are empowered to realise their full human rights as well as service providers capacitated to better meet needs of survivors and to stop incidents from happening again (secondary prevention).</t>
  </si>
  <si>
    <t>Mafraq 
Zarqa</t>
  </si>
  <si>
    <t>the empowerment component will focus on women and girls as they are more adversely affected by SGBV than any other group. The project also takes into account a number of intersecting inequalities, which impact people with disabilities and refugee population. For instance, all community groups in this programme will aim to incorporate 25% Syrian participants (wherever possible).</t>
  </si>
  <si>
    <t>Direct participants of the project are women and girls who are affected by SGBV. Indirect participants are family members (number calculated by multiplying by 5, an average family size), local CBOs, schools and commuity committee members.</t>
  </si>
  <si>
    <t>Saving and Loans Assosiations - which includeed capacity building for women, buisness skills and life skills trainings, the importance of Womens Particvpation in work force
Small - home based - buisness grants- for 120 women - which included an intensive training of how to start your own buisness</t>
  </si>
  <si>
    <t>The project facilitated training to local CBOs, social service providers, school staff and community leaders that enhanced knowledge and capacity on topics, including human rights instruments, gender equality and child protection, as well as support said institutions and providers in cooperation to prevent SGBV and support survivors. Establishing local coordination committees, to help change the prevailing attitudes toward SGBV, is another way to strengthen civil society ties.</t>
  </si>
  <si>
    <t>Improved capacities of CBOs, schools and service providers to intervene and address SGBV</t>
  </si>
  <si>
    <t>Offer training to CBOs, social service providers, school staff, and community leaders</t>
  </si>
  <si>
    <t>Facilitate VSLA groups for women</t>
  </si>
  <si>
    <t>Establishment of local coordination committees is a promising practice that helps raise awareness about SGBV and change attitudes about said topic</t>
  </si>
  <si>
    <t>In depth, gender -sensitive market analysis has shed light on the needs, gaps and vulnerabiities women face with respect to accessing the labor market</t>
  </si>
  <si>
    <t>Due to cultural restrictions, it has been difficult to conduct quarterly gender discussions with husbands and other male members. To tackle this obstacle, a trained male volunteer conducts these sessions.</t>
  </si>
  <si>
    <t>Annual report</t>
  </si>
  <si>
    <t>Life-saving Assistance to Population in Jordan Affected by the Syria Crisis</t>
  </si>
  <si>
    <t>ECHO 2016-2017 Match</t>
  </si>
  <si>
    <t>Nacbar in Not (NIN)</t>
  </si>
  <si>
    <t>Noor Snober</t>
  </si>
  <si>
    <t>Budget Holder for ECHO Projects</t>
  </si>
  <si>
    <t>Noor.Snober@care.org</t>
  </si>
  <si>
    <t>This project seeks to cover urgent winterization needs and is a match to a larger project, whose overall objective of the project is to provide life-saving support and protection for the most vulnerable affected by the Syria crisis in Jordan.</t>
  </si>
  <si>
    <t>Amman, Azraq, Zarqa, Mafraq and Irbid</t>
  </si>
  <si>
    <t>The main impact group of the project are vulnerable Syrian and Iraqi refugees as well as Jordanian households, with urgent needs.</t>
  </si>
  <si>
    <t>Direct participants of this project are vulnerable Syrian and Iraqi refugees and Jordanian host community members. The number of indirect participants is derived by multiplying the number of direct beneficiaries by 5, an average family size.</t>
  </si>
  <si>
    <t>The project ended on the 30th of March, 2017</t>
  </si>
  <si>
    <t>No changes</t>
  </si>
  <si>
    <t>Fighting poverty</t>
  </si>
  <si>
    <t>Directing beneficiaries toward positive coping mechanisms</t>
  </si>
  <si>
    <t>Using a comprehensive program approach that helps beneficiaries under a bridging system</t>
  </si>
  <si>
    <t>Focus on Winterization Cash Assistance</t>
  </si>
  <si>
    <t>The project internal Program Quality assessment took place from the beginning of April 2017 till the 30th of June 2017, the aforementioned question related to that has a limited drop down answer (indicating one month only). The project has ended successfully and the burn rate was 100%. It is also worth mentioning that NIN was implemented as part of the ECHO bigger action.</t>
  </si>
  <si>
    <t>Life-saving ssistance to population in Jordan Affected by the Syria Crisis</t>
  </si>
  <si>
    <t>AT582</t>
  </si>
  <si>
    <t>Noor Snobar</t>
  </si>
  <si>
    <t>Budget Holder for ECHO Projects (European Union Donations)</t>
  </si>
  <si>
    <t>Noor.Snobar@care.org</t>
  </si>
  <si>
    <t>To respond to the most urgent needs of vulnerable Syrian, Iraqi and Jordanian women, men, girls and boys in Jordan.</t>
  </si>
  <si>
    <t>Jotrdan: Amman, Zarqa, Marfraq and Irbid, as well as rural areas</t>
  </si>
  <si>
    <t>The main impact group are Syrian and Iraqi households (70%) as well as Jordanians (30%), with a focus on the most vulnerable, including house-bound beneficairies, female-headed households, elderly and the disabled, as well as highly vulnerable women, girls, boys and men.</t>
  </si>
  <si>
    <t>Direct participants include Syrian and Iraqi refugees: 70% women and 30% men; children represent 15%; Adults: 60%; and elderly 20%. The number of indirect participants is calculated based on the average size of a household (X5).</t>
  </si>
  <si>
    <t>This project has ended on the 30th of May 2017</t>
  </si>
  <si>
    <t>As a new approach to return children back to school and improve the family's economic situation and also be part of a more comprehensive approach through referral to Livelihood and PSS.</t>
  </si>
  <si>
    <t>Scaling up targets and providing remedial classes</t>
  </si>
  <si>
    <t>No changes, as all was stated and indicated in the project proposal.</t>
  </si>
  <si>
    <t>Directing beneficiaries towards positive coping mechanisms</t>
  </si>
  <si>
    <t>Using a comprehensive program approach that would help benefit project beneficiaries within a holistic approach under a bridging system.</t>
  </si>
  <si>
    <t>The amount of the Conditional Cash monthly assistance was proven not to be enough and the challenge of families dropping their children out of school because of that.</t>
  </si>
  <si>
    <t>Aiming at implementing Psychosocial activities inside schools for both teachers and students.</t>
  </si>
  <si>
    <t>To scale up the Conditional Cash Assistance Program on a target level and activity level; adding remedial classes through a well recognized specialized partner.</t>
  </si>
  <si>
    <t>The project internal Program Quality assessment took place from the beginning of April 2017 till the 30th of June 2017, the aforementioned question related to that has a limited drop down answer (indicating one month only). The project has ended successfully and the burn rate was 100%.</t>
  </si>
  <si>
    <t>Logframe</t>
  </si>
  <si>
    <t>OCHA Protecting the dignity of Syrian refugees in Azraq camp: Winterization Support/ Enhance access to social protection in camp.</t>
  </si>
  <si>
    <t>JOR-16/DDA-3560/CFP916/P-BN/INGO/4039</t>
  </si>
  <si>
    <t>Jameel Dababneh</t>
  </si>
  <si>
    <t>Team Leader Azraq Refugee Camp</t>
  </si>
  <si>
    <t>Jameel.Dababneh@care.org</t>
  </si>
  <si>
    <t>To increase access to protection services for people with specific needs, including women at risk, survivors of SGBV, children engaged in labor, persons with disabilities and marginalized individuals, through case management, information provision and community services and activities, as well as to mitigate the effect of the winter season for the most vulnerable refugees.</t>
  </si>
  <si>
    <t>Azraq Refugee Camp</t>
  </si>
  <si>
    <t>The most vulnerable beneficairies residing in Azraq Refugee Camp, with a specific focus on women at risk, survivors of SGBV, children engaged in labor, persons with disabilities, elderly and marginalized individuals.</t>
  </si>
  <si>
    <t>4320 direct beneficiaries represent the most vulnerable members of Azraq camp community, while the number 21600, representing indirect beneficiaries is calculated by multiplying the number of direct beneficiaries by 5 (average household size).</t>
  </si>
  <si>
    <t>Through articulating clear advocacy messages about the Syrian refugees in Azraq Camp and Azraq City.</t>
  </si>
  <si>
    <t>Adopating new community initiatives, like Time Banking through community representatives.</t>
  </si>
  <si>
    <t>Improving the Resilience level through diversifying livelihood activites targeting women, men, girls and boys.</t>
  </si>
  <si>
    <t>In Emergency Situation inside refugees camp the needs are dynamic and being always prepared is crucial.</t>
  </si>
  <si>
    <t>The relationships in the dynamic environment should be sufficiently sustained especially with the authorities, media, partners, local communities and the refugees.</t>
  </si>
  <si>
    <t>Being culturally sensitive should be addressed and any change about to take place should be piloted enough before being fully implemented.</t>
  </si>
  <si>
    <t>Emergency Assistance and Longer Term Recovery from the Impact of the Syria Crisis in Jordan</t>
  </si>
  <si>
    <t>204512-101</t>
  </si>
  <si>
    <t>Tesd Williams</t>
  </si>
  <si>
    <t>Humanitarian Funding Manager</t>
  </si>
  <si>
    <t>twilliams@careinternational.org</t>
  </si>
  <si>
    <t>Salam Kanaan</t>
  </si>
  <si>
    <t>Salam.Kanaan@jo.care.org</t>
  </si>
  <si>
    <t>Vulnerable women, girls, boys and men affected by the Syria Crisis in Jordan are provided with support to meet their basic needs and maintain a standard of living that affords them increased dignity and respect.</t>
  </si>
  <si>
    <t>Jordan targeting Amman, Mafraq and Zarqa governorates</t>
  </si>
  <si>
    <t>The impact group are Syrian refugees and the host community members</t>
  </si>
  <si>
    <t>Direct participats are Syrian refugees (70%) and host community members (30%), with a focus on persons with most urgent needs and vulnerabilities, including women, youth and children at risk, female-headed households, the elderly, and the disabled (50% female and 50% male). Indirect participants are family members (the number noted is derived by multplying by 5, an average family size) and community members, as effect and impact of the project is broad in its implementation and goals.</t>
  </si>
  <si>
    <t>Internal evaluation that measures impact and reach on beneficiaries targets</t>
  </si>
  <si>
    <t>Contributed positively in creating a social movement to fight poverty and social inequalities</t>
  </si>
  <si>
    <t>This project scaled up on its own, seeking to influence communities through implementation of innovative approaches (i.e. psychosocial activities, peer group support sessions and community events and training, as well as support to enable them to pursue livelihood opportunities).</t>
  </si>
  <si>
    <t>Psychosocial activities were held for refugees and host community members attending together; CARE formed community committee in each area, who are part of decision-making processes, proposal design and implementation activities.</t>
  </si>
  <si>
    <t>No changes.</t>
  </si>
  <si>
    <t>Fighting poverty through VSLAs and vocational training activities</t>
  </si>
  <si>
    <t>Encouraging positive coping mechanisms</t>
  </si>
  <si>
    <t>Comprehensive approach in engaging beneficairies to benefit from the program as a whole, instead of focusing on sole aspects of the progra. The project was successfully copleted by 31 December 2016.</t>
  </si>
  <si>
    <t>Limitations on medical referral services provided to Syrians</t>
  </si>
  <si>
    <t>Referral processes are often linked to contact persons from other organizations who change frequently (due to high staff turnover within the sector), which often causes delays in reaching the newly appointed person for the referral. This creates a delay and it hinders the provision of services to beneficairies.</t>
  </si>
  <si>
    <t>There was no follow-up to advanced training activities (i.e. small business training) for beneficairies of the vocational training, which limited our full understanding of the impact this training had on the beneficairies / attendants.</t>
  </si>
  <si>
    <t>The project stayed on track, according to its objectiives and activities planned.</t>
  </si>
  <si>
    <t>Final post-monitoring analysis / report</t>
  </si>
  <si>
    <t>Emergency Assistance for Refugees and Host Communities Affected by the Syrian Crisis in Jordan</t>
  </si>
  <si>
    <t>GB646</t>
  </si>
  <si>
    <t>Angela Atzori</t>
  </si>
  <si>
    <t>Program Manager / DFID Project Manager</t>
  </si>
  <si>
    <t>Angela.Atzori@care.org</t>
  </si>
  <si>
    <t>Refugees and host communities in Jordan affected by the Syria crisis enjoy the increased social cohesion, are protected from harm, and are able to meet their basic needs.</t>
  </si>
  <si>
    <t>Jordan: Amman, Irbid, Mafraq and Zarqa</t>
  </si>
  <si>
    <t>Vulnerable Jordanians and Syrians</t>
  </si>
  <si>
    <t>Syrian and Jordanian community members from the above mentioned areas, with a focus on women and other, at risk groups. The number of indirect beneficairies is calculated by multiplying the number of household members by 4.7 (an average familly size).</t>
  </si>
  <si>
    <t>Evaluation will assess impact, efficiency, effectiveness and sustainability of the project. Details are yet to be developed.</t>
  </si>
  <si>
    <t>Conditional Cash for Education</t>
  </si>
  <si>
    <t>CARE works with JOHUD to expand psychosocial interventions throughout the country at major JOHUD centers</t>
  </si>
  <si>
    <t>CARE, through partnerships with local CBOs, has enabled beneficiaries to express their opinions, challenges and artistic points of view through various means of communication.</t>
  </si>
  <si>
    <t>No changes noted</t>
  </si>
  <si>
    <t>Emergency Cash Assistance</t>
  </si>
  <si>
    <t>Psychosocial support</t>
  </si>
  <si>
    <t>CCE proves to be a successful way to protect children at risk</t>
  </si>
  <si>
    <t>Psychosocial support activities prove to be an opportunity for women, girls, boys and men to release trauma-related tensions and rebuild community ties and social cohesion</t>
  </si>
  <si>
    <t>Emergency Cash Assistance has proved crucial to assist households and individuals in most urgent and dramatic needs.</t>
  </si>
  <si>
    <t>Proposal and Theory of Change</t>
  </si>
  <si>
    <t>Olayan Protecting the Dignity of Syrian Refugees and Vulnerable Host Communities in Jordan</t>
  </si>
  <si>
    <t>US108</t>
  </si>
  <si>
    <t>Suleiman S. Olayan Foundation</t>
  </si>
  <si>
    <t>This project will provide improved access to existing support networks and services, protection from immediate threats and increased capacity for self-reliant survival strategies for the most vulnerable households in the urban areas of Amman, Mafraq, Zarqa, Irbid and Azraq.</t>
  </si>
  <si>
    <t>Urban areas of Amman, Mafraq, Zarqa, Irbid and Azraq in Jordan.</t>
  </si>
  <si>
    <t>The main impact group are refugees (70%) and Jordanian host community members (30%). While some components specifically target women (i.e. increased livelihood opportunities) and children (i.e. identify children for conditional cash for education), all components serve the most vulnerable, including female headed households, the elderly, the disabled, and persons at risk.</t>
  </si>
  <si>
    <t>Direct participants include vulnerable Jordanians and Syrian women, men, boys and girls. The number of indirect participants is calculated based on the average household size (multiplied by 5).</t>
  </si>
  <si>
    <t>there is no future evaluation for the project</t>
  </si>
  <si>
    <t>Through the project; we had a partnership with the ministry of social development  to help us  reaching the most vulnerable people from the local community. Also the project had a contribution in providing assistances to the north area of Jordan and this has helped  to extend the benefits and add new areas</t>
  </si>
  <si>
    <t>30% of the emergency cash assistance was provided to the most vulnerable Jordanian to strengthen the social cohesion between refugees and local community</t>
  </si>
  <si>
    <t>there were no changes or adjustments occurred during the implementation of the project</t>
  </si>
  <si>
    <t>vulnerable households have improved access to available social services through the provision of essential information.</t>
  </si>
  <si>
    <t>extremely vulnerable households have improved access to support mechanisms through targeted case management services.</t>
  </si>
  <si>
    <t>extremely vulnerable households have an improved ability to meet urgent needs after receiving emergency cash assistance.</t>
  </si>
  <si>
    <t>the cash assistance and information provision helped mitigate serious protection threats, such as insufficient shelter, evictions, lack of basic clothing, heating sources, etc. by helping beneficiaries adapt a positive way to face the challenges they have rather than relying on negative strategies.</t>
  </si>
  <si>
    <t>Engaging CARE’s partnering CBO helped improve the quality of their service provision and has better enabled that CBO to serve vulnerable households in their community.</t>
  </si>
  <si>
    <t>P.A.C.E. in the Community – Skills Development for Women’s Empowerment &amp; Business Development – Phase II  - Azraq camp</t>
  </si>
  <si>
    <t>US1TT</t>
  </si>
  <si>
    <t>Program Manager for Amman and Zarqa</t>
  </si>
  <si>
    <t>Mohammad.Awamreh@care.org</t>
  </si>
  <si>
    <t>Increased women's skills and economic participation and ability to secure dignified forms of livelihood through Personal Advancement &amp; Career Enhancement (P.A.C.E.) training, TOT, in addition to capacity building activities at local CBOs.</t>
  </si>
  <si>
    <t>Jordan: East Amman, Zarqa, Irbid and Mafraq governorates and Azraq refugee camp</t>
  </si>
  <si>
    <t>The main impact group of this project are women (100 Jordanian and 100 Syrian refugee women) eager to enhance their personal development and business skills.</t>
  </si>
  <si>
    <t>Direct participants are Jordanian and Syrian women (100 each) and indirect number noted, 1000 participants, is derived by multuplying by 5, or average household size. In addition, local CBOs are also direct participants, as a result of capacity-building activities.</t>
  </si>
  <si>
    <t>The project did not have a baseline, but the Phase I of this project was used a baseline, as this project is building upon it.</t>
  </si>
  <si>
    <t>P.A.C.E trainings followed by linking the women beneficiaries to factories in nearby areas to find employment.</t>
  </si>
  <si>
    <t>Working with factories in the localities in order to help vocationally train women and aid in producing clothing items for factories.</t>
  </si>
  <si>
    <t>Capacity building at local CBOs has contributed to enhancing said organizations' ability to better engage in economic empowerment activities for women</t>
  </si>
  <si>
    <t>No changes occurred</t>
  </si>
  <si>
    <t>P.A.C.E. training</t>
  </si>
  <si>
    <t>CBO capacity building</t>
  </si>
  <si>
    <t>Helping women build their skills has an important role in strengthening efforts to address social injustice, promote gender equality and social cohesion between Syrian refugees and Jordanian host community members, while increasing the women's business skills and likelihood to enter the labor market.</t>
  </si>
  <si>
    <t>Protecting and Supporting Vulnerable Populations, in particular Refugees and Host Community Members</t>
  </si>
  <si>
    <t>PRM-PRMOAPNE-16-002-055261</t>
  </si>
  <si>
    <t>To provide comprehensive protection support to meet the urgent needs and protect the rights of the most vulnerable refugee and Jordanian girls, boys, women and men in five urban areas in Jordan.</t>
  </si>
  <si>
    <t>Urban areas of East Amman, Irbid, Mafraq and Zarqa Governorate.</t>
  </si>
  <si>
    <t>The project will reach refugee community members (Syrian, Iraqi, Somali, Sudanese and other) and vulnerable Jordanians referred by the Ministry of Social Development and Jordanian National Aid Fund. The refugees in the project areas comprise over 80% of all peri-urban refugees in Jordan and their host communities are most impacted by the crisis. Assistance prioritizes the most vulnerable groups, including female-headed households, the elderly and the disabled, those scoring high against the vulnerability criteria.</t>
  </si>
  <si>
    <t>Direct beneficiaries were both Syrian refugees and vulnerable Jordanians, 70% refugees (60% Syrian and 40% Iraqi, Sudanese, Somali and other refugees) and 30% vulnerable Jordanians. Indirect beneficiaries are the family members (size multiplied by 4.7). Direct beneficairies include both children at a high risk for child labor and/or early/forced marriage, and those with the most urgent needs (women, single -headed/female-headed households, the elderly adn the disabled).</t>
  </si>
  <si>
    <t>The final report will evaluate the project's success, efficiency and delivery of services and activities that have been previously outlined and implemented, using qualitative and quantitative methods in data collection and analysis. The report will not only inform about the project itself and its effect on beneficiaries, but it will also contribute to a broader dialogue about the provision of services to vulnerable members of the community, currrent trends and needs.</t>
  </si>
  <si>
    <t>This project implemented awareness-raising campaigns, mass information campaigns and different community events to focus on the importance of education, and on the negative implications of early marriage and child labor.</t>
  </si>
  <si>
    <t>The Conditional Cash element of the project enabled young beneficairies to return to school, and not engage in the workforce or early marriage. Also, 'Time Bank' initiative, promotes two-way volunteering, using time as its currency to create sustainable and productive livelihoods with an ephasis on using locally available resources and ensuring youth participation.</t>
  </si>
  <si>
    <t>90 refugee and host community members are supported to form 6 community committees to participate in planning and implementation of awareness raising campaigns, through training and capacity-building activities via CARE local partners.</t>
  </si>
  <si>
    <t>This project helped form community committees comprised of both Syrian refugees and vulnerable Jordanians who participated in designing and implementing psychosocial activities, awareness raising campaigns about a range of topics, focusing on gender-based issues, all of which has helped enhance cohesion and understanding between communities. In addition, one of the project's objectives was to build capacity of local CBOs, helping build the deep understanding of the context and enhacing the quality of interventions.</t>
  </si>
  <si>
    <t>We have included 2 amendments, contributing to economic empowerment: 1st: added the Job Placement pillar, helping beneficiaries obtain work permits and identify potential jobs; 2nd: small business training and start up businesses</t>
  </si>
  <si>
    <t>Conditional Cash</t>
  </si>
  <si>
    <t>Resilience and economic empowerment, including a new 'Time Bank' initiative</t>
  </si>
  <si>
    <t>Conditional Cash for Education continues to be  a promising and transformative practice</t>
  </si>
  <si>
    <t>Long term sustainable development interventions are promising</t>
  </si>
  <si>
    <t>Time Bank initiatve</t>
  </si>
  <si>
    <t>Protecting the Vulnerable in Jordan's Urban Refugee Communities</t>
  </si>
  <si>
    <t>PRM-PRMOAPNE-15-010-050760</t>
  </si>
  <si>
    <t>Program Director Urban Protection Response Program</t>
  </si>
  <si>
    <t>To meet the urgent needs and protect the rights of the most vulnerable refugees and Jordanian hosts in Jordan’s urban centers through a comprehensive protection approach.</t>
  </si>
  <si>
    <t>Refugee hubs in Amman, Zarqa, Mafra and Irbid</t>
  </si>
  <si>
    <t>70% Refugees (Syrian, Iraqi and other refugee community members) and 30% of vulnerable Jordanians living in urban areas are identified via assessment, outreach services and visits and through referrals by UNHCR, ingos and local CBOs, prioritizing the most vulnerable beneficiaries (female-headed households, the elderly, the disabled, single men and at risk women and youth).</t>
  </si>
  <si>
    <t>Direct participants include the most vulnerable beneficiaries: FHHs, the elderly, disabled, single men, and at-risk women and youth (Urban refugees and Jordanians). Indirect participants are calculated by multiplying the number of direct partcipants by 4.7 (an average number of household members). In addition to family members of direct beneficairies, whose needs and issues are also addressed, including protection, material assistance, wellbeing and psychosocial needs, the project's effect ripples out to the beneficairy communities at large (these numbers are not calculated in the figure), to schools participating in the project (through psychosocial activities), local CBOs and NGOs, where capacity-building and support is taking place.</t>
  </si>
  <si>
    <t>Other than regular assessments that take place annually, there will be no evaluation for this project for the next FY (the project ended in 2016).</t>
  </si>
  <si>
    <t>This project advocated for economic empowerment of the beneficairies, as well as for continued focus on psychosocial support activities on the national level.</t>
  </si>
  <si>
    <t>Conditional cash for education was innovative because it was a financial incentive for families to send their children back to school, reducing negative coping skills such as child labor and early marriage. This project also focuced on vocational training as a way to promote economic empowerment among the most indigent members of the community.</t>
  </si>
  <si>
    <t>Implemented with other service providers of psychosocial support activities to exchange resources, knowledge and build a network of assistance providers for beneficairies in need.</t>
  </si>
  <si>
    <t>Capacity-building is one of the objectives of the project, specifically to support CBOs by enhancing their abilities to provide assistance to beneficiaries for the long term. This project partnered with local CBOs focusing on improving livelihoods and access to psychological activities.</t>
  </si>
  <si>
    <t>no changes / amendments were made</t>
  </si>
  <si>
    <t>Conditional Cash for Education activity is an extension of a successful pilot project that started in 2014.</t>
  </si>
  <si>
    <t>Vocational training activities</t>
  </si>
  <si>
    <t>Partner training and support to local CBOs</t>
  </si>
  <si>
    <t>At this point, Syrian crisis was in its 5th year, so CARE JO invested into vocational training and provided beneficiaries with toolkits to enable them with more sustainable resilience-building livelihood skills. The practice of transitioning from emergency to sustainable development has proved promising and transformative for the beneficairies.</t>
  </si>
  <si>
    <t>Eliminating child labor and early marriage by returning children to school via conditional cash for education is another promising practice that contributes heavily to child protection.</t>
  </si>
  <si>
    <t>A 12-month duration of the project is a challenge, especially when it comes to economic empowerment initiatives. A recommendation is to provide multi-year funding opportunities.</t>
  </si>
  <si>
    <t>UNHCR Assistance to Syrian, non –Syrian Persons of Concern (PoC) and host community members in Azraq camp and urban areas of Jordan</t>
  </si>
  <si>
    <t>JOR01/2016/0000000219/000</t>
  </si>
  <si>
    <t>The project will enhance community empowerment and self- reliance by improving the capacities and opportunities for Syrian refugees, providing them with skills- building trainings and the access to income generating opportunities, as well as the on-going capacity building process for the CBOs in Azraq city to engage more volunteers both Jordanians and Syrians to reach the refugees community and start the establishment of community service committees CSC.</t>
  </si>
  <si>
    <t>Azraq Refugee Camp and urban area of Azraq City</t>
  </si>
  <si>
    <t>The main impact group of the project comprises of Syrian refugees in Azraq Camp and vulnerable Syrians and Jordanians living in Azraq City.</t>
  </si>
  <si>
    <t>In the camp, direct participants are groups with extreme vulnerabilities, including those with special needs, female-headed households/single parents, PWD and older persons, while in the city of Azraq, direct beneficairies are Syrian refugees residing in north and south parts of the city, as well as the most indigent and marginalized host community members (50% female participants, 10% persons with disabilities and 2% elderly). Indirect participants are the beneficairies' family members (number calculated by multplying by 5) and community members as well.</t>
  </si>
  <si>
    <t>Adopting new community initatives, like Time Banking through community representatives.</t>
  </si>
  <si>
    <t>Improving the Reselience level through diversifying livelihood activites targeting women, men, girls and boys.</t>
  </si>
  <si>
    <t>Being culturally sensitive should be addressed and any change will take place should be piloted enough before being fully implemented.</t>
  </si>
  <si>
    <t>UNHCJO0009</t>
  </si>
  <si>
    <t>The project aims to provide community-based protection and build the resilience of Syrian refugees in Azraq camp and vulnerable host community members in Azraq town through self-development and skills building activities, livelihood opportunities, case management, community representation networks and mechanisms for feedback and accountability.</t>
  </si>
  <si>
    <t>Azraq refugee camp and Azraq town</t>
  </si>
  <si>
    <t>The main impact group of the project incudes vulnerable groups such as female-headed households, persons with special needs, women and youth at risk, PWDs or elderly living in Azraq camp and Azraq town. While humanitarian in nature, the project includes some long-term development aspects, such as vocational training activities.</t>
  </si>
  <si>
    <t>Direct participants are vulnerable beneficiaries (women, youth and children at risk, female-headed households, the disabled, the elderly). Indirect participants are family members (number derived by multuplying the number of direct participants by 5, or an average family size) and community members, as the project has a broader reach on both communities in terms of building skills and livelihood opportunities, community representation and mobilization and resilience.</t>
  </si>
  <si>
    <t>The project involved capacity-building of local CBOs, to help enance their skills, technical and programmatic capacities in consideration of the gradual expansion of their roles and responsibilities before full-scale implementation and management of services for refugees and other vulnerable community members. In addition, the project focused on increasing resilience of both communities through joint activities and development of Community Service Committees (volunteer teams) and support of community representatives from Azraq camp and town.</t>
  </si>
  <si>
    <t>Community Representatives play a key role in community outreach activities and also help identify vulnerable individuals; it is a role that has empowered vulnerable persons participation and representation in the camp.</t>
  </si>
  <si>
    <t>In Emergency Situation, inside refugees camp the needs are dynamic and being always prepared is crucial.</t>
  </si>
  <si>
    <t>Project Proposal and vetting forms of markers</t>
  </si>
  <si>
    <t>Kenya</t>
  </si>
  <si>
    <t>Pilot for the Financial Graduation Sub-component of the Program for Rural Outreach of Financial innovations</t>
  </si>
  <si>
    <t>Government of Kenya</t>
  </si>
  <si>
    <t>Phylis Kariuki</t>
  </si>
  <si>
    <t>Sector Manger</t>
  </si>
  <si>
    <t>pkariuki@care.or.ke</t>
  </si>
  <si>
    <t>Chris Wambua</t>
  </si>
  <si>
    <t>christopher.wambua@care.or.ke</t>
  </si>
  <si>
    <t>To reduce extreme poverty, vulnerability and hunger in Kenya by targeting the poorest households and helping them get access to the mainstream development programs and have sustainable livelihood improvement.</t>
  </si>
  <si>
    <t>KITUI County; Mwingi North Subcounty wards of Tharaka, Mumoni, Kyuso, Tseikuru, Ngomeni; Mwingi Central Ward of Nguni</t>
  </si>
  <si>
    <t>The Targeting Ultra Poor (TUP) Graduation program is designed to graduate ultra-poor households out of extreme poverty to a more stable level of livelihood. It provides beneficiaries with a holistic set of services including: livelihood trainings that include regular coaching and mentorship, productive asset transfers, consumption support, savings plans, and healthcare. By investing in this multifaceted approach, the program strives to eliminate the need for long-term safety net services</t>
  </si>
  <si>
    <t>Direct Beneficiaries= These are the 1000 households with a household size of an average of 6 member that the project is aiming to work with.                                                                                                                                                                                Indirect beneficiaries= this include the entire population of Mwingi North - the direct beneficiaries. 169280- 6000=163280</t>
  </si>
  <si>
    <t>This is a Pilot Project still in her formative stages( second month of implementation therefore, not so much can be measured by now; However, CARE Kenya through the Kitui work has made good inroads for partnerships for sustainable development with 2 or 3 State Actors at National and County Levels</t>
  </si>
  <si>
    <t>This is a Pilot Project still in her formative stages( second month of implementation therefore, not so much can be measured by now. We are yet to try new innovative techniques for the project.</t>
  </si>
  <si>
    <t>Emergency Assistance for Somali Refugees Hosted in Dadaab as well as the surrounding host population</t>
  </si>
  <si>
    <t>KE986</t>
  </si>
  <si>
    <t>KE991</t>
  </si>
  <si>
    <t>Nixon Otieno</t>
  </si>
  <si>
    <t>nixon@ddb.care.or.ke</t>
  </si>
  <si>
    <t>Protection and mixed solutions to all refugees in Dadaab.</t>
  </si>
  <si>
    <t>Dadaab refugee camps, Garissa county  - Kenya</t>
  </si>
  <si>
    <t>All refugees in Dagahaley, Ifo  and Ifo 2 camps.</t>
  </si>
  <si>
    <t>Provision of 250grams of soap per person, during food distribution conducted by CARE.</t>
  </si>
  <si>
    <t>Proposal , sitrep reports and mid year report.</t>
  </si>
  <si>
    <t>FSD Graduation Project</t>
  </si>
  <si>
    <t>Phyllis Kariuki</t>
  </si>
  <si>
    <t>Sector Manager</t>
  </si>
  <si>
    <t>Molu Wato</t>
  </si>
  <si>
    <t>molu.wato@care.or.ke</t>
  </si>
  <si>
    <t>To test market based approaches to building the livelihoods of the very poor households to attain sustainable livelihoods threshold</t>
  </si>
  <si>
    <t>Laisamis Sub County of Marsabit County, Kenya</t>
  </si>
  <si>
    <t>The very poor households benefitting from the Hungers Safety Net Programme(HSNP)</t>
  </si>
  <si>
    <t>The direct beneficaries are the those individuals enlisted as project particpants while indirect beneficaries are inclysive of their family members, calculated at an average of six members per household(taken as the average in the area).</t>
  </si>
  <si>
    <t>Testing Market approach to poverty graduation-Modifying BRAC Ultra poor graduation model</t>
  </si>
  <si>
    <t>The project is working with Equity Bank, County Government and FSD Trust to undertake the test</t>
  </si>
  <si>
    <t>VSLA model is used as a plat form</t>
  </si>
  <si>
    <t>Community Based Facilitators</t>
  </si>
  <si>
    <t>Community Workplanning</t>
  </si>
  <si>
    <t>For projects in disaster prone areas, there is need to incorporate risk/crisis modifier in the project designs</t>
  </si>
  <si>
    <t>Illiteracy highly affect empowerment programmes, it is very critical to incorparte adult literacy in the design of empowerment programming for meaningful impact</t>
  </si>
  <si>
    <t>Motivayion of both the community facilitators(implementors) and the project particpant plays a huge role in success or failure for empowerment projects</t>
  </si>
  <si>
    <t>General food distirbution in Ifo,Ifo 2 and Dagahaley camps.</t>
  </si>
  <si>
    <t>KE987</t>
  </si>
  <si>
    <t>Bishar Salat</t>
  </si>
  <si>
    <t>Logsitics and Support Manger</t>
  </si>
  <si>
    <t>bishar@ddb.care.or.ke</t>
  </si>
  <si>
    <t>General food disitribution to all refugees  in Dagahaley, Ifo and Ifo 2 camps.</t>
  </si>
  <si>
    <t>Dadaab Camps, Garrisa County,Kenya</t>
  </si>
  <si>
    <t>All refugees in Ifo,Ifo2 and Dagahaley Camps.</t>
  </si>
  <si>
    <t>Progress reports , feeding manifests.</t>
  </si>
  <si>
    <t>General Food Distribution</t>
  </si>
  <si>
    <t>KE975</t>
  </si>
  <si>
    <t>Program Support and Logistics Manger</t>
  </si>
  <si>
    <t>General food disitribution to all persons of concern in Dagahaley, Ifo and Ifo 2 camps.</t>
  </si>
  <si>
    <t>Engaging women to collect food on behalf of the familly ensured food reached the family and this improved the nutritional status of the family.</t>
  </si>
  <si>
    <t>General food distribution has improved the nutritional status of refugees in Ifo,Ifo2 annd Dagahaley camp and  is evident by the reduced motarlity rate due to malnutrition.</t>
  </si>
  <si>
    <t>Women are key stakeholders in the succesfull implementation of general food dsitribution program.Food in the hand of women reaches the household than collected by men.</t>
  </si>
  <si>
    <t>Refugees in Dadaaab camp highly depend on the food ration provided by donors and during food ration cut in the month of November 2016 to February 2017 they were seriously affected.</t>
  </si>
  <si>
    <t>General food distribution reports and the feeding manifests.</t>
  </si>
  <si>
    <t>Kenya Adolescent Empowerment Program</t>
  </si>
  <si>
    <t>Emmanuel Wamalwa</t>
  </si>
  <si>
    <t>wamalwa@care.or.ke</t>
  </si>
  <si>
    <t>Benson Mutuku</t>
  </si>
  <si>
    <t>Program and Policy Manager</t>
  </si>
  <si>
    <t>bmutuku@care.or.ke</t>
  </si>
  <si>
    <t>This project aims that by 2020, adolescent from chronically livelihood insecure households (in rural Kajiado and Mukuru urban slum in Nairobi) that are currently denied their rights are empowered to fully exploit their potential, take advantage of opportunities and fulfill their aspirations</t>
  </si>
  <si>
    <t>Mukuru slum in Nairobi county and Kajiado central in Kajiado county</t>
  </si>
  <si>
    <t>The project seeks to impact adolescent girls and boys in and out of school from chronically livelihood insecure households living in rural areas (Kajiado) and urban slums (Mukuru)</t>
  </si>
  <si>
    <t>The indirect participants are adolescent girls and boys in and out of school from chronically livelihood insecure households living in rural areas (Kajiado) and urban slums</t>
  </si>
  <si>
    <t>Capacity building in financial reporting and M&amp;E</t>
  </si>
  <si>
    <t>Involving a government body incharge of curriculum development (Kenya Institute of Curriculum Development) in the development of curriculum for adolescent sexual reproductive health and financial literacy</t>
  </si>
  <si>
    <t>Not yet evaluated</t>
  </si>
  <si>
    <t>Involving as many stakeholders as possible makes advocacy more effective</t>
  </si>
  <si>
    <t>Involving the Ministy of Education and Kenya Institute of Curriculum Development in the curriculum development has ensured positive reaction from the government</t>
  </si>
  <si>
    <t>Protection and Assistance to Somali Refugees in Dadaab</t>
  </si>
  <si>
    <t>KE973</t>
  </si>
  <si>
    <t>KE981</t>
  </si>
  <si>
    <t>Senior Program Manger</t>
  </si>
  <si>
    <t>nixon.otieno@ddb.care.or.ke</t>
  </si>
  <si>
    <t>Protection and mixed solutions</t>
  </si>
  <si>
    <t>Dadaab Refugee camps,Garissa County,Kenya</t>
  </si>
  <si>
    <t>Refugees living in Ifo,Ifo 2 and Dagahaely camps.</t>
  </si>
  <si>
    <t>Provision of 250grams of bar soap per person during food distribution done by CARE</t>
  </si>
  <si>
    <t>Engaging men in the fight of GBV.</t>
  </si>
  <si>
    <t>proposal, sitrep reports, mid year report and final project performance report.</t>
  </si>
  <si>
    <t>Trader Mapping and Market Monitoring in Dadaab refugee camps</t>
  </si>
  <si>
    <t>KE967</t>
  </si>
  <si>
    <t>To carry out monitoring of electronic cash voucher activities in camps markets of Ifo,Ifo2 and Dagahaley refugee camps.</t>
  </si>
  <si>
    <t>Dadaab Refugee camps, Garissa county, Kenya.</t>
  </si>
  <si>
    <t>Refugees and the host community contracted as traders in the programme,refugees who are beneficiaries of the voucher disbused to their phones.</t>
  </si>
  <si>
    <t>The use of hybrid system of offering food assistance to beneficiaries.In kind food collected at the distribution point and voucher redeemed from traders in the market by food purchase.</t>
  </si>
  <si>
    <t>Distribution of food ensured a minimum nutritional requirements for families are attained.Voucher program empowered both refugees and host comminity enrolled as traders in thee program.The voucher program also established an envirinment for healthy relationship betweeen the two groups and a peacfuly co-existance</t>
  </si>
  <si>
    <t>During the reporting period we encouraged women to collect food on behalf of the familiy as a continuous campaign on radio shows and public address systems during distribution.This was done as part of gender mainstreaming in our programming.Women were also ensouraged to take up responsibilities in food advisory committees which was  a respresentation of the leadership of refugees concerns with food ditribution.They were meant to ensure issues affecting women are adequately addressed in our programming.</t>
  </si>
  <si>
    <t>Cash voucher program has improve the level of economic activities in dadaab region and should be increased in value in future to realize the full potential of the program</t>
  </si>
  <si>
    <t>Monthly reports, quarterly reports.</t>
  </si>
  <si>
    <t>Adaptation Learning Program</t>
  </si>
  <si>
    <t>KE 956</t>
  </si>
  <si>
    <t>Mwende Kusewa</t>
  </si>
  <si>
    <t>Livelihoods Sector Manager</t>
  </si>
  <si>
    <t>mwende@care.or.ke</t>
  </si>
  <si>
    <t>Crispus Mugambi</t>
  </si>
  <si>
    <t>Climate Change Specialist</t>
  </si>
  <si>
    <t>crispus.mugambi@care.or.ke</t>
  </si>
  <si>
    <t>increased capacity of vulnerable households in sub-Saharan Africa to adapt to climate variability and change’increase the capacity of vulnerable households in sub-Saharan Africa to adapt to climate variability and change’</t>
  </si>
  <si>
    <t>Embu County</t>
  </si>
  <si>
    <t>increase the capacity of vulnerable households in sub-Saharan Africa to adapt to climate variability and change’increase the capacity of vulnerable households in sub-Saharan Africa to adapt to climate variability and change’</t>
  </si>
  <si>
    <t>Participatory Scenario Planning</t>
  </si>
  <si>
    <t>Climate Vulnerability Capacity Assesment</t>
  </si>
  <si>
    <t>Community Adaptation Planning</t>
  </si>
  <si>
    <t>Kilimo Biashara II</t>
  </si>
  <si>
    <t>KE 942</t>
  </si>
  <si>
    <t>Livelihood Sector Manager</t>
  </si>
  <si>
    <t>Chris Webo</t>
  </si>
  <si>
    <t>webo@care.or.ke</t>
  </si>
  <si>
    <t>By the end of Kilimo Biashara Project, Coop and Sunripe have demonstrated an innovative successful model for improving rural livelihoods in Kenya via responsible trade and sourcing.</t>
  </si>
  <si>
    <t>Kirinyaga, Nyeri and Nyandarua Counties</t>
  </si>
  <si>
    <t>Small Holder farmers especially women engaged in agricultural production</t>
  </si>
  <si>
    <t>The direct participants are the small holder farmers  and GS&amp;L participants who are directly involved in the project activities . The indirect participants are the household members who are benefiting from the projects interventions through the direct participants. The calculation of indirect beneficiaries is based on average household membership of 4 dependants.</t>
  </si>
  <si>
    <t>No changes were experienced in this FY</t>
  </si>
  <si>
    <t>Community Score Card (CSC)</t>
  </si>
  <si>
    <t>Community Organizations</t>
  </si>
  <si>
    <t>Forward contract plays a central role in group cohesion and also increases farmers confidence as it influences the farmers choice of crop leading to sustained pro-poor growth and better opportunities</t>
  </si>
  <si>
    <t>Building capacity of farmers associations in business plan development is critical for identification and development of viable agro enterprises as part of diversification and livehood improvement</t>
  </si>
  <si>
    <t>Rural Youth Business Development Project</t>
  </si>
  <si>
    <t>KE 955</t>
  </si>
  <si>
    <t>Best seller Foundation</t>
  </si>
  <si>
    <t>To support young, rural enterpreneurs in Kirinyaga and Embu counties to diversify and increase their incomes for a  food secure future</t>
  </si>
  <si>
    <t>Embu and Kirinyaga Counties</t>
  </si>
  <si>
    <t>The rural youth especially women who have limited access to land or have land holdings that are too small to sustain their families</t>
  </si>
  <si>
    <t>The direct participants are farmers and Group Savings &amp; Loans (GS&amp;L) members  who are directly involved in the project activities. Indirect beneficiaries are the direct dependands of the project beneficiaries calculated based on average household number of 4 .</t>
  </si>
  <si>
    <t>Demonstration plots</t>
  </si>
  <si>
    <t>Rural business development</t>
  </si>
  <si>
    <t>VSLAs</t>
  </si>
  <si>
    <t>Members participation through identification, analysis and implementation is vital for the success of any group enterprise. The project has continually ensured participation of group members to increase acceptance of identified value chains</t>
  </si>
  <si>
    <t>Continous dialogue and review of project progress has ensured that each partner is meeting its obligation and that any challenges identified are promptly addressed</t>
  </si>
  <si>
    <t>Provision of teaching/learning resources for Dagahaley refugee camp schools</t>
  </si>
  <si>
    <t>RTL Stiftung</t>
  </si>
  <si>
    <t>Nixon.Otieno@ddb.care.or.ke</t>
  </si>
  <si>
    <t>Enhance quality education for refugees in Dagahaley camp.</t>
  </si>
  <si>
    <t>Dagahaley Refugee Camp,Dadaab,Garissa County,Kenya.</t>
  </si>
  <si>
    <t>Primary school going children, refugee teachers and boards of management members  in schools run by CARE in Dagahaley refugee camp.</t>
  </si>
  <si>
    <t>Teacher capacity enhancement - Training of teachers on professional teaching methodology is the best way to inject quality teaching in the education system since the quality of any education system is proportional to the quality of its teachers.</t>
  </si>
  <si>
    <t>Classroom rehabilitation - Creation of learner friendly school environment is a key quality component in education programming. A standard classroom environment which is stimulating is known to arouse learning effectively.</t>
  </si>
  <si>
    <t>Capacity development of the Board of Managment  members - in order to ensure there is sustainability of education intervention is to have community members who know the role they are to play in the education of their children. This can be enhanced through skill transfer for the BOM members through external and internal trainings.</t>
  </si>
  <si>
    <t>Skill transfer is one of the major sustainable strategy for development.</t>
  </si>
  <si>
    <t>Children learner better in a friendly school environment which is free from harm on their well being.</t>
  </si>
  <si>
    <t>High staff turnover that is increasing  institutional memory loss.</t>
  </si>
  <si>
    <t>Progress reports</t>
  </si>
  <si>
    <t>Support to improvement and maintainance of safe Water supply, Sanitation and Hygiene for refugees living in Dadaab camps.</t>
  </si>
  <si>
    <t>KE979</t>
  </si>
  <si>
    <t>Senior Program Manager</t>
  </si>
  <si>
    <t>Improve and maintain the water, sanitation and hygiene standards for the refugee population of Ifo and
Dagahaley camp.</t>
  </si>
  <si>
    <t>Dadaab refugee camps. Garissa county  - Kenya</t>
  </si>
  <si>
    <t>All refugees in Ifo and Dagahaley camps.</t>
  </si>
  <si>
    <t>Progress reports, KAP survey,propasal</t>
  </si>
  <si>
    <t>Sustaining the supply of Water, Sanitation and Hygiene (WASH)  for refugees living in Dadaab camps.</t>
  </si>
  <si>
    <t>Maintain Water,Sanitation and Hygiene standards for refugees in Ifo and Dagahaley camps.</t>
  </si>
  <si>
    <t>SIAYA MATERNAL AND CHILD NUTRITION NAWIRI PROJECT</t>
  </si>
  <si>
    <t>KE977</t>
  </si>
  <si>
    <t>LILIAN KONG'ANI-</t>
  </si>
  <si>
    <t>PROJECT MANAGER</t>
  </si>
  <si>
    <t>lilian.kongani@care.or.ke</t>
  </si>
  <si>
    <t>CONTRIBUTE TO IMPROVING MATERNAL ,I NFANT AND YOUNG CHILD NUTRITION AND NUTRTION OF WOMEN OF REPRODUCTIVE AGE IN SIAYA COUNTY</t>
  </si>
  <si>
    <t>THE PROJECT IS IN KENYA; WESTERN REGION; SIAYA COUNTY; BONDO, GEM AND RARIEDA SUB COUNTIES</t>
  </si>
  <si>
    <t>WOMEN, CHILDREN BELOW 5 YEARS, ADOLESCENT GIRLS AND MEN</t>
  </si>
  <si>
    <t>Direct participants are those directly targeted by the services in NAWIRI project. They also include 94,435 children below 5 years not included in the slots. Indirect participants is calculated as direct participants multiplied by 5 to represent 5 household members per participant reached.</t>
  </si>
  <si>
    <t>the mid term evaluation is due in September 2017; a ToR has been drafted and reviewed by the donors and approved; recruitment process for consultancy to begin</t>
  </si>
  <si>
    <t>Use of the SAA methodology to change negative social norms affecting maternal and child nutrition; using the community score card at the community level to enhance accountability at the household level</t>
  </si>
  <si>
    <t>the Community score card methodology has been adopted by our sister EU funded project STAWISHA(AMREF/MATIBABU) to enhance social accountability within their communities</t>
  </si>
  <si>
    <t>community score cards</t>
  </si>
  <si>
    <t>Social analysis and action;</t>
  </si>
  <si>
    <t>community outreaches and facility in reaches; mother 2 mother support groups</t>
  </si>
  <si>
    <t>planning project activities together with patners within the same area minimizes duplication, ensures optimal use of resources i.e. cost sharing for county level activities</t>
  </si>
  <si>
    <t>strategies targeting the final beneficiaries realize change faster e.g. the SAA and CSC; mother 2 mother support groups</t>
  </si>
  <si>
    <t>health care work force strikes hinder implementation of key strategies targeting them directly</t>
  </si>
  <si>
    <t>The data provided on direct beneficiaries did not include data for children under 5 years. Most of the advocacy targets political class. therefore.  work done in year one involved prepackaging of advocacy content meant to be used in year 2 after the election of new political players.</t>
  </si>
  <si>
    <t>Year one Interim NAWIRI project report</t>
  </si>
  <si>
    <t>Maternal and Neonatal Health Improvement (MANI)</t>
  </si>
  <si>
    <t>KE  952</t>
  </si>
  <si>
    <t>Kizito Wasike Mukhwana</t>
  </si>
  <si>
    <t>Behaviour Change Communication Advisor</t>
  </si>
  <si>
    <t>k.mukhwana@manikenya.com</t>
  </si>
  <si>
    <t>Health Sector Manager</t>
  </si>
  <si>
    <t>The project focuses on Strengthening health systems to manage and deliver quality MNH services; Working at the community level to increase demand for services by mothers and Newborns; and Leading the County Innovation Challenge Fund to provide funding to innovative projects, which offer local solutions to local problems in reducing maternal and newborn morbidity and mortality.</t>
  </si>
  <si>
    <t>The project works in 6 out of the 10 Sub Counties in Bungoma (Kanduyi Sub County, Sirisia Sub County, Tongaren Sub County, Kabuchai Sub County, Webuye East and Webuye West),  Kenya</t>
  </si>
  <si>
    <t>The impact groups include women and girls as well as neonates.</t>
  </si>
  <si>
    <t>Direct Participants: Total etimates of pregnant women and estimated neonates while Indirect participants: Indirect (calculated the total HH members within the HH whwere the preg. Women come from by multiplying by 5. the total HH members less the direct beneficiary = indirect beneficiary. Applied the F: M ratio of 1.1:1)</t>
  </si>
  <si>
    <t>We introduced VSLAs among the Birth Companions and trained 72 Birth companions on Income geenarating activities.</t>
  </si>
  <si>
    <t>Supported the community structures (Birth companions, CHVs and PET group mmebers) to register as CBOs. Some of the groups have been able to develop proposals and secured funding from government and other donors.</t>
  </si>
  <si>
    <t>The project has integrated advocacy and inclusive governance into the programming</t>
  </si>
  <si>
    <t>• Social Analysis and Action (SAA): an innovative CARE methodology that is a facilitated dialogue process through which individuals and communities explore and challenge the social norms, beliefs and practices that shape their lives and health, including gender norms (the focus of this milestone);</t>
  </si>
  <si>
    <t>• Community Scorecard (CSC): used to facilitate good governance through the promotion of participation, transparency, accountability and informed decision-making and stakeholder dialogue.</t>
  </si>
  <si>
    <t>• Transforming Traditional Birth Attendants (TBAs) into Birth Companions;  by reorienting TBAs to become ‘birth companions’ – increasing their knowledge and skills through training, giving them a role in referring and accompanying women to nearby facilities, and providing pregnant women with a mix of the personal and professional care that they need and want.</t>
  </si>
  <si>
    <t>• Integrating Community Scorecard (CSC) with the quality improvement approaches that MANI is implementing minimises duplication, uses resources effectively and ensures that the different aspects of the project complement and strengthen each other.  The role of the QI committees in following up with the points from the Community Scorecard action plans seems to be a natural, organic step which complements both the CSC and QI Committee work</t>
  </si>
  <si>
    <t>• Through dialogues we discovered that the community and facility can understand their problems and come up with solutions.</t>
  </si>
  <si>
    <t>Follow up visits are important in strengthening newly trained community groups such CHVs, Birth Companions and VSLA groups as this ensures that the slow learners benefit from the informal training sessions</t>
  </si>
  <si>
    <t>The data provided in this form is true to the best of my knowledge.</t>
  </si>
  <si>
    <t>https://twitter.com/mani_project/status/898188761288376320</t>
  </si>
  <si>
    <t>Rural Sales Kenya</t>
  </si>
  <si>
    <t>Barclays Bank</t>
  </si>
  <si>
    <t>Financial Inclusion Sector Manager</t>
  </si>
  <si>
    <t>Bernard Mbithi</t>
  </si>
  <si>
    <t>bernard.muthiani@care.or.ke</t>
  </si>
  <si>
    <t>Enhance the livelihood security of 4,000 youth through provision of safe lighting solutions to 35,000 households</t>
  </si>
  <si>
    <t>Country; Kenya. Counties of Migori, Homabay, Embu and Tharaka</t>
  </si>
  <si>
    <t>1. Direct Beneficiaries; this are the people directly purchasing the products being promoted by the project. 2. Indirect beneficiaries are those people at household level benefitting from the products purchased by direct beneficiaries. The average house size is 5 times the household according to Household Censures survey estimates in Kenya</t>
  </si>
  <si>
    <t>There was no planned evaluations in future</t>
  </si>
  <si>
    <t>Implementing a social enterprise using Group Savings and Loans Methodology.</t>
  </si>
  <si>
    <t>Transitioning the social enterprise to partners with two key suppliers (HASBAH - distributor of Procter and Gamble products and Greenlight Planet, Manufacturers fo Solar Lanterns)</t>
  </si>
  <si>
    <t>The adjustment of CARE Financial Systems to for Profit ventures</t>
  </si>
  <si>
    <t>Engaing women in in VSLAs making investment decisions</t>
  </si>
  <si>
    <t>Creating effective financial systems for profit ventures</t>
  </si>
  <si>
    <t>Creating effective procurement systems for profit ventures</t>
  </si>
  <si>
    <t>The project has proven to be successful and has been scaled up to youth employability skills</t>
  </si>
  <si>
    <t>https://youtu.be/ru3wFJ4Tyzs</t>
  </si>
  <si>
    <t>Weather Information Services (WISER)-Decentralised Climate Information Services for Decision Making in Western Kenya</t>
  </si>
  <si>
    <t>Alexander Economou</t>
  </si>
  <si>
    <t>Programme Management Coordinator</t>
  </si>
  <si>
    <t>economou@careinternational.org</t>
  </si>
  <si>
    <t>Increased and better use of weather and climate information to inform decision making and minimise risks at county to household level will reduce vulnerability, and contribute to economic growth and a decline in poverty.</t>
  </si>
  <si>
    <t>Siaya, Kisumu, Homabay, Migori, Bungoma, Busia, Kakamega, Trans Nzoia and Vihiga Counties</t>
  </si>
  <si>
    <t>(a) individuals and communities that have weather and climate sensitive livelihoods (b) public policy officials (c) sectoral decision makers (e.g. water resource managers and agricultural planners, livestock) (d) disaster managers and first responders (e) farmers and farmers cooperative societies (including commercial farmers) and (f) the private sector (e.g. financial institutions, SMEs, insurance firms, media/ICTs).</t>
  </si>
  <si>
    <t>What Works to Prevent Violence Against Women and Girls Research</t>
  </si>
  <si>
    <t>KE978</t>
  </si>
  <si>
    <t>Nixon.Otieno@ddb.carwe.or.ke</t>
  </si>
  <si>
    <t>Fred Wanyonyi Wafula</t>
  </si>
  <si>
    <t>Senior Gender Project Officer</t>
  </si>
  <si>
    <t>fwanyonyi@ddb.care.or.ke</t>
  </si>
  <si>
    <t>To understand the CARE and IRC GBV  model of Individual Comprehensive Case Management provision with expanded care through task shifting can influence acess, quality, health and safety outcomes among refugee women in Dadaab Refugee Camps, and how this can be applied in similar situations around the world.</t>
  </si>
  <si>
    <t>Dadaab Refugee camps, Garissa County  Kenya</t>
  </si>
  <si>
    <t>Refugee women and girls living in Dadaab Refugee Camps</t>
  </si>
  <si>
    <t>This is a research project whose findings will be disseminated to stakeholders using different forums once the reports are finalized.</t>
  </si>
  <si>
    <t>The participants appreciated and welcomed the involvement of men in GBV interventions, and indicated receiving satisfying assistance form both male and female staff</t>
  </si>
  <si>
    <t>The participants appreciate services in which they are given a chance to decide on what course of action is appropriate for them in the way of getting assistance</t>
  </si>
  <si>
    <t>Some participants confused research activities with normal GBV interventions and thus asked for material support which was not available in the project</t>
  </si>
  <si>
    <t>Quartely project progress reports</t>
  </si>
  <si>
    <t>Chagua Maisha Project - Supporting the Implementation and Expansion of High Quality HIV Prevention, Care and Treatment Activities at Facility and Community Level in Nyanza Province under the President’s Emergency Plan for AIDS Relief (PEPFAR) Kenya</t>
  </si>
  <si>
    <t>KE 935</t>
  </si>
  <si>
    <t>CDC</t>
  </si>
  <si>
    <t>Gundegmaa Jaamaa</t>
  </si>
  <si>
    <t>Grants Manager - CARE USA</t>
  </si>
  <si>
    <t>Gundegmaa.Jaamaa@care.org</t>
  </si>
  <si>
    <t>Health Sector Manager - CARE Kenya</t>
  </si>
  <si>
    <t>The program supports Kisii County to achieve the three following core program objectives: (1) Increase the quality, access and utilization of HIV prevention services at community and facility levels; (2) Increase the quality, access and utilization of HIV care and treatment services at the community and facility levels; and (3) Strengthen the capacity of indigenous institutions and the Kenya Ministry of Health to implement HIV prevention, care and treatment services at community and facility levels.</t>
  </si>
  <si>
    <t>Kisii County in Western Parts of Kenya</t>
  </si>
  <si>
    <t>People infected with or affected with HIV</t>
  </si>
  <si>
    <t>Direct Beneficiaries: This number includes pregnant and lactating women who were tested for HIV (among whom  HIV positive pregnant and lactating women were identified and put through the PMTCT program), Adults and children who were Counselled and Tested for HIV; as well as HIV+ clients active on HIV care and treatment. Indirect beneficiaries has been estimated by multiplyign the direct beneficiaries by 2, given that the household size in the area is 6. The assumption here is given the burden of HIV, at least one other person in the household indirectly benefits if one of their household members is reached directly by the program.</t>
  </si>
  <si>
    <t>This project has closed. The donor did not approve CARE's request for an evaluation. A human interest stories and case studies were documented. As such, output level indicators are present but not survey level indicator values. The project has closed.</t>
  </si>
  <si>
    <t>The program rolled out PMTCT, HTC and other HIV preventive, care and treatment models in partnership with Government and other agencies</t>
  </si>
  <si>
    <t>The project was closed during the FY</t>
  </si>
  <si>
    <t>Utilizing roving teams to bridge staffing gaps in low volume rural health facilities - The project came up with interdisciplinary roving teams to support understaffed rural facilities. They regularly visited a nuber of facilities on a routine rotor. This saw improved mentorship adn services in the visited facilties.</t>
  </si>
  <si>
    <t>Sub granting to Governemnt agencies for very specific roles - The program managed to sucessfully learn that sub grant to government can built their capacity in both technical and adminsitrative roles, and endure governments take up their roles in provision of social services, like health.</t>
  </si>
  <si>
    <t>HIV testing and counselling through out patient clinics - the program learnt to optimize results through this strategy, instead of outreaches alone.</t>
  </si>
  <si>
    <t>A Human Interest Stories and Best Practices booklet has been published off this project</t>
  </si>
  <si>
    <t>GIRLS SCHOLARSHIP PROJECT</t>
  </si>
  <si>
    <t>EMMANUEL WAMALWA</t>
  </si>
  <si>
    <t>HEALTH SECTOR MANAGER</t>
  </si>
  <si>
    <t>PAMELA AGUM</t>
  </si>
  <si>
    <t>ADOLESCENT SEXUAL AND REPRODUCTIVE OFFICER</t>
  </si>
  <si>
    <t>agum@care.or.ke</t>
  </si>
  <si>
    <t>To empower girls through secondary  education</t>
  </si>
  <si>
    <t>KIBERA INFORMAL SETTLEMENT IN NAIROBI COUNTY</t>
  </si>
  <si>
    <t>Girls in need of financial assistance to complete their education</t>
  </si>
  <si>
    <t>DIRECT PARTICIPANTS: NEEDY GIRLS FROM THE KIBERA INFORMAL SETTLEMENTS IN NEED OF FINANCIAL ASSISTANCE TO COMPLETE THEIR EDUCATION.
INDIRECT PARTICIPANTS: PARENTS, SIBLINGS AND RELATIVES OF THE NEEDY GIRLS.</t>
  </si>
  <si>
    <t>Provision of mentorship and education couselling with the girls and their parents/guardians helps the girls address their personal and educational issues.</t>
  </si>
  <si>
    <t>Provision of supplementary school support such as transport to and from school, purchase of personal items (hygiene items) for girls while in school</t>
  </si>
  <si>
    <t>Follow up with teachers on girls academic performance.</t>
  </si>
  <si>
    <t>mentorship sessions with the girls and parents/guardians held during the school holidays enables the girls discuss challenges they face and share lesssons with the others.</t>
  </si>
  <si>
    <t>KENYA RESILIENT ARID LANDS PARTNERSHIP FOR INTEGRATED DEVELOPMENT (KENYA RAPID) PROGRAM</t>
  </si>
  <si>
    <t>KEN115</t>
  </si>
  <si>
    <t>HONORIA MATAVA &amp; JONATHAN SEAGLE FAMILY FUNDING</t>
  </si>
  <si>
    <t>Peter Lochery</t>
  </si>
  <si>
    <t>Director, Water Team, CARE US</t>
  </si>
  <si>
    <t>Peter.Lochery@care.org</t>
  </si>
  <si>
    <t>Rosemary M. MbalukaÇ</t>
  </si>
  <si>
    <t>Assistant Country Director - Programs (ACD-P)</t>
  </si>
  <si>
    <t>rosemary@care.or.ke</t>
  </si>
  <si>
    <t>To contribute to sustainable and resilient livelihoods for communities in arid and semi arid lands (ASALs).</t>
  </si>
  <si>
    <t>Kenya RAPID Program is currently implemented in Garissa County by CARE Kenya. The same program is also in other four ASAL counties of Northern Kenya but through other agencies collectively with CARE operating under the auspices of Millennium Water Alliance (MWA). CARE targets to reach at least 70,000 beneficiaries by the end of the program period in September 24th 2020.</t>
  </si>
  <si>
    <t>Women and children normally left behind to tend to their homes as adult men move to new areas in search of pasture for their livestock.</t>
  </si>
  <si>
    <t>The Kenya RAPID Program at design stage in 2013, the Garissa county population was projected at 700,500 whose access to safe water then (Key indicator for determining direct beneficiaries) was 51%. The program plans to increase access to safe water by 10% by 2020 (end of program period) and is the same rate used to target at least 70,000 as direct project beneficiaries from the whole county population. The indirect beneficiaries on the other hand have been derived from the assumption that in any given intervention (water supply, sanitation campaigns and hygiene trainins), there is a likelihood of 30% uptake of this activities/interventions by the general population through cross fertilization of knowledge, motivation through peer interactions and exposure visits. The 30% of 70,000 people is roughly 21,000 plus the others who include trainers from the departments, schools with extended water piping systems from the communities supported by this program to improve their water supply and health centers attendees whose facilities have received safe water, sanitation and hygiene interventions.</t>
  </si>
  <si>
    <t>The midterm evaluation will be spearheaded by the MWA consortium who will determine sample size, and methodology. However the said evaluation will help measure a number of program indicators specifically at the output/outcome levels.</t>
  </si>
  <si>
    <t>Farmer schools</t>
  </si>
  <si>
    <t>Integration of project activities with the county government's FY'017 County integrated development plan (CIDP)</t>
  </si>
  <si>
    <t>Kenya RAPID Program is multiple donor funded activity and operating squarely alongside the county government development plan framework. Each donor in this arrangement has specific activities of interest e.g. USAID has special emphasis on water for humans, sanitation and food/nutrition security while SDC's focus is on water for livestock, sanitation and rangelands management. The performance of Kenya RAPID provided a platform on which different donors can evaluate CARE's approaches and donor relations across all the donors but on a single activity. The lesson here is that multiple funded activities do help CARE embrace more donors through one program.</t>
  </si>
  <si>
    <t>During FY'017 period, funding was relatively low especially to civil society agents largely due to global economic crunch. CARE was equally affected and saw massive restructuring at the country office to cope with the reduced funding streams. The restructuring resulted to constrained operations especially of the program support sectors and this had direct bearing on the smooth running of programs' field activities. This was manifested at the program level by the fact that the projected beneficiaries during the same period were not achieved.</t>
  </si>
  <si>
    <t>Link Up Kenya</t>
  </si>
  <si>
    <t xml:space="preserve">KE 925 </t>
  </si>
  <si>
    <t>PHYLLIS KARIUKI</t>
  </si>
  <si>
    <t>SECTOR MANAGER</t>
  </si>
  <si>
    <t>EVALINE  OBIERO</t>
  </si>
  <si>
    <t>evaline.obiero@care.or.ke</t>
  </si>
  <si>
    <t>Financial inclusion for Savings and loans group members.</t>
  </si>
  <si>
    <t>Kenya (Marsabit, Kisumu, Homabay, Nyamira, Kisumu, Siaya, Vihiga, Migori counties) and Tanzania</t>
  </si>
  <si>
    <t>Women</t>
  </si>
  <si>
    <t>Direct Participants are those that the project reached directly through linkage to formal financial institutions and trainings on financial literacy. Indirect participants on the other hand are the average number of dependants that the direct participants have at household level according to the latest Kenya  Demographic Household Survey.</t>
  </si>
  <si>
    <t>The project in partnership with Financial Service Providers like Equity Bank and Kenya commercial bank worked on new bank products and unique delivery channels to aid access to formal financial services by the vulnerable population at the bottom of the pyramid especially women in the rural and peri urban areas.</t>
  </si>
  <si>
    <t>The tested bank products especially bank savings account and digital delivery channels were taken to scale especially in conjuntion with Equity Bank Kenya and Kenya Commercial Bank.</t>
  </si>
  <si>
    <t>capacity building, mentorship and stipend based financial support</t>
  </si>
  <si>
    <t>The final endline evaluation report for the project is yet to be shared and what is available is a draft endline report.</t>
  </si>
  <si>
    <t>Nyanza Healthy Water</t>
  </si>
  <si>
    <t>KE 870</t>
  </si>
  <si>
    <t>Job Wasonga</t>
  </si>
  <si>
    <t>job.wasonga@care.or.ke</t>
  </si>
  <si>
    <t>To improve the health status of vulnerable women, children under 5 years old and schoolchildren living in Siaya and Migori counties of Kenya</t>
  </si>
  <si>
    <t>Siaya and Migori Counties</t>
  </si>
  <si>
    <t>Vulnerable women, children under 5 years old, people living with HIV and schools children</t>
  </si>
  <si>
    <t>We have assumed that each school has 350 pupils from 175 households and that each household has 5 persons. Since the design of the program directly influences the adoption and uptake of safe drinking water and hygiene practices at the household level, it is projected that the 75 schools will yield up to 13,125 households with a population of 65,625 as indirect beneficiaries. The figure of five members per household is based on the current national average, and the understanding that two pupils per household totaling 26,250 pupils are direct beneficiaries. School head teachers, teachers, health care workers and community health volunteers are also benefit directly from the trainings provided. Other direct and indirect beneficiaries will include pregnant mothers and those who have children under 5 who attend maternal and child health/family planning (MCH/FP) clinics, people living with HIV who attend patient support centers (PSCs) and their household</t>
  </si>
  <si>
    <t>The project plans to pilot test small innovative ideas on WASH</t>
  </si>
  <si>
    <t>Trained stakeholders on safe water systems to build their capacity on cholera response</t>
  </si>
  <si>
    <t>The devolution of services to county government has shifted expectations and implementation approach of project activites</t>
  </si>
  <si>
    <t>Engaging local government actors</t>
  </si>
  <si>
    <t>implementing some activites through government officers</t>
  </si>
  <si>
    <t>Many households lack hand washing facilities and latrines which is making hygiene promotion a little difficult but with CLTS promotion, the situation will improve.</t>
  </si>
  <si>
    <t>The political campings that have been on for the last five months have slowed down the project activities.</t>
  </si>
  <si>
    <t>KE958 &amp; KE 984</t>
  </si>
  <si>
    <t>Improve the livelihood of poor rural and peri urban women and their household through income generation.</t>
  </si>
  <si>
    <t>Country; Kenya. Counties of Migori and Homabay</t>
  </si>
  <si>
    <t>There are no planned evaluations in future</t>
  </si>
  <si>
    <t>Kisumu Intergrated Health Project</t>
  </si>
  <si>
    <t>KE 945</t>
  </si>
  <si>
    <t>Emmanuel wamalwa sector manager,Ferdinand Moseh project manager</t>
  </si>
  <si>
    <t>The overall objective of the project is to Improve Maternal and Child Health, Sexual Reproductive Health, Family Planning and nutritional status of communities living within Kisumu slums</t>
  </si>
  <si>
    <t>Kenya ;Kisumu County; Manyatta and Nyalenda slums</t>
  </si>
  <si>
    <t>1.8. Final beneficiaries &amp;/or target groups  (if different) (including numbers of women and men): Direct beneficiaries 68,000. These are the final beneficiaries the project aims to impact directly from the project activities being carried out by the project teams, indirect beneficiaries 125,000,women of reproductive age 14,000, boys and girls 14,000, nutritional interventions 18,000, pregnant and lactating women 4,000 counteracting retrogressive social cultural practices 60,000 (women and men or reproductive age, under-fives, adolescents and vulnerable groups).</t>
  </si>
  <si>
    <t>Nutrition</t>
  </si>
  <si>
    <t>This projected evaluation will be the end of project evaluation demostaring if the targted beneficiaries where reached as targeted</t>
  </si>
  <si>
    <t>Accountability tools libe SAA model and Community score card models</t>
  </si>
  <si>
    <t>Using the SAA model to dialogue with community members on gender issues that act as barriers to access of SMNCAH services, and Social accountability tools like the community score card to promote commuty decision making on the expectations of the community at health facility levels and improve service uptake</t>
  </si>
  <si>
    <t>year one Kisumu Integrated project reports January 2016, year two Kisumu integrated project reports January 2017,baseline evaluation reports April 2015, mid term reports for the project December 2016</t>
  </si>
  <si>
    <t>VISA  PROJECT</t>
  </si>
  <si>
    <t>KE  972</t>
  </si>
  <si>
    <t>                                                   Sector Manager</t>
  </si>
  <si>
    <t>To enhance financial inclusion by creating a credit scoring alogarithm through the use of e-recording application to financial institutions so that that they can  access the groups true data  for credit  purposes. The information of this data through erecords to them make indepent decision than using groups hard copies which can be compromised.</t>
  </si>
  <si>
    <t>Siaya county and Kisumu county  of Nyanza province</t>
  </si>
  <si>
    <t>100 groups are expected to be  using erecording application and back up their records for crdit scoring. 3000 clients are the direct beneficieris</t>
  </si>
  <si>
    <t>The groups have 30 members x100 groups= 3000 direct participants.But for inderct participant, a single household has a minimum of 6 beneficieries hence  3000x6= 18000</t>
  </si>
  <si>
    <t>Through the use of erecording application true data of the groups could be accessed and a decion reached on by anyfinancial institutio.  </t>
  </si>
  <si>
    <t>By uasage of digital platform of the financial institution the groups could be credited through the system hence scoring credit for credit.</t>
  </si>
  <si>
    <t>Engaging the VSLAs groups to use the application to facilitate sharing out of groups funds to members and wiring to members accounts has enable group members to develop trust in the application hence reducing the impunity amongs the officials and memberss.</t>
  </si>
  <si>
    <t>Financial education for groups  is very critical in the sense that, for critical decision making and role out in terms of account opening and credit facility, the VSLAs can be be madeted to make prior decision.</t>
  </si>
  <si>
    <t>E-recording is a data based evidence which can be used by the financial institutions to make an independet decision in relation to crdeit scoring for VSLAs.</t>
  </si>
  <si>
    <t>There is need to interlink the erecording application with financial institutions digital platform so that they can can understand and implement the same for credit scoring for VSLAs.</t>
  </si>
  <si>
    <t>Improving maternal and child health 'UZAZI WEMA' Project.</t>
  </si>
  <si>
    <t>Improved maternal and child health among the rural poor populations of Kisumu County.</t>
  </si>
  <si>
    <t>Kenya ;Kisumu County; Gita and Nyalunya rural communities</t>
  </si>
  <si>
    <t>11,100- These include women of reproductive age (2,275) their children and spouses as well as those youth reached by sexual and reproductive health information and services</t>
  </si>
  <si>
    <t>program semi annual reports and baseline evaluation reports Aug 2015</t>
  </si>
  <si>
    <t>Kosovo</t>
  </si>
  <si>
    <t>Support to Agribusiness of the Gjilan/Gnjilane Region</t>
  </si>
  <si>
    <t>2014/354-518</t>
  </si>
  <si>
    <t>Luarza Muhadri</t>
  </si>
  <si>
    <t>luarza.muhadri@care.org</t>
  </si>
  <si>
    <t>Vesna  Jovanovic</t>
  </si>
  <si>
    <t>Contribution to the economic regeneration of the Gjilan/Gjilane Region, through: 1)Investing resources for creation of favourable conditions for the agricultural developments between producers and business integrators. 2) Enhancing business development through capacity building program for the Gjilan/Gnjilane Business Support Centre (BSC) and inclusion of 100 schools and university students in the working environment. 3) Increase in capacities of local businesses in advocacy and lobbying for favourable conditions for agribusinesses.</t>
  </si>
  <si>
    <t>Kosovo, Gjilan/Gnjilane Region (Gjilan/Gnjilane Municipality, Kamenice/Kamenica Municipality, Novoberde/Novo Brdo Municipality, Viti/Vitina Municipality)</t>
  </si>
  <si>
    <t>Agricultural producers from Gjilan/Gnjilane region and their families.  Local authorities, particularly economic development professionals. Young students and local busineses included in the project internship program.</t>
  </si>
  <si>
    <t>The direct participants includes producers of green salad, aromatic and medicinal  plants,dryers for medicinal plants,  beneficiaries of agriculture mechanism, greenhouses, interns,business support centre,  while as inderct participants are farmers relatives, trained farmers on agricultural products, co-operative businesses for young interns program, trainings for local businesses representatives on advocacy and lobbying , meetings  for cooperation and link creation opportunites  between producers and businesses. The calculation is made on the basis of direct beneficiaries and the creation of new jobs, the number of participants in various trainings, organized meetings, students engaged in the employment program.</t>
  </si>
  <si>
    <t>The project was finished on July 31, 2016. Thus, only the final project month is in FY 17, where the final monitoring and finishing activities, such as The final external evaluation were done.</t>
  </si>
  <si>
    <t>The project tested the incubator model for more intense agricultural production, cooperation with two local companies that specialise in collecting and processing of agri products. Internship program - professional practice for 100 students was organised in cooperation with local business companies. more that 30% of them was permanently employed by companies until the end of the project.</t>
  </si>
  <si>
    <t>The project was too short for further testing of the implemented successful model.</t>
  </si>
  <si>
    <t>Local citizens (farmers, local business representatives) awarenes raised on their ability to influence change through advocacy and lobbying activities. Improving the local information system for open application calls for business development activities. Increasing transparency through demonstrating 360° accountability for project activities and results. Creating sustainable alliencies between businesses and agricultural producers as basis for further economic strengthening. Introducing internships for young professionals - students in local businesses, thus raising awareness on the importance of engaging youth.</t>
  </si>
  <si>
    <t>The project undertook additional capacity building measures for professionals dealing with economic development (Municipality's Business Support Center) and  trainings-lectures on various agricultural topics of concern for wider audience - potential greenhouse producers. One advocacy strategy developed by business representatives.</t>
  </si>
  <si>
    <t>Job placement - internship organised within the project for young professionals - students in local companies. As result, more than 30% of interns got employment within businesses they had their internships in.</t>
  </si>
  <si>
    <t>Conducting assessment of current capacities in advocacy and lobbying among local companies in Gjilan/Gnjilane region, including potentials for advocacy for legislation support concerning Gjilan/Gnjilane region- This helped in collecting of information regarding structure of the business, its size, their cooperation with municipal bodies, their needs for capacity building, their interest in receiving interns in different professional fields etc.</t>
  </si>
  <si>
    <t>Value chain model has been established. The targeted  producers, dryer beneficiaries, and greenhouses beneficiaries have created favourable conditions for the agribusiness development by the end of the project.</t>
  </si>
  <si>
    <t>Pay attention to (and by all means limit) the level of the involvement of the local governments in future actions, especially in selection of potential grant beneficiaries, to avoid nepotism and directing the project activities towards the local political agendas.</t>
  </si>
  <si>
    <t>In future agricultural projects, include certification for Global GAP and BIO in agricultural projects, to enable  farmers to have access to national and  international markets.</t>
  </si>
  <si>
    <t>Within economic development projects, always have several alternatives for securing the market, in case the planned choice fails.</t>
  </si>
  <si>
    <t>The project created a successful and sustainable business model in remote rural areas, thus contributing to increase of employment, use of land and natural resources, and, at the same time, decrease of migration from rural to urban areas.</t>
  </si>
  <si>
    <t>Rural Economic Sustainability Inititative (RESI) project</t>
  </si>
  <si>
    <t>AT581</t>
  </si>
  <si>
    <t>Faton Krasniqi</t>
  </si>
  <si>
    <t>Faton.Krasniqi@care.org</t>
  </si>
  <si>
    <t>To contribute to a sustainable and inclusive rural economic development, as well as income and employment generation in the target municipalities Prishtinë/Pritina, Novo Brdo/Novobrdë, Kamenicë/a and Ranil(l)ug.</t>
  </si>
  <si>
    <t>Kosovo, Municipalities of Prishtinë/Pritina, Novo Brdo/Novobrdë, Kamenicë/a and Ranil(l)ug.</t>
  </si>
  <si>
    <t>Staff members working at Directorates of Agriculture and Rural Development at target  Municipalities of  Prishtinë/Pritina, Novo Brdo/Novobrdë, Kamenicë/a and Ranil(l)ug, Young graduates in areas of economic development, agriculture and food processing farmers/producers from Municipalities of  Prishtinë/Pritina, Novo Brdo/Novobrdë, Kamenicë/a and Ranil(l)ug. Women and vulnerable communities from target Municipalities of  Prishtinë/Pritina, Novo Brdo/Novobrdë, Kamenicë/a and Ranil(l)ug.</t>
  </si>
  <si>
    <t>20 staff members from Municipalities of  Prishtinë/Pritina, Novo Brdo/Novobrdë, Kamenicë/a and Ranil(l)ug, Kosovo.15 young professionals from Municipalities of  Prishtinë/Pritina, Novo Brdo/Novobrdë, Kamenicë/a and Ranil(l)ug, Kosovo.250 farmers directly involved in project trainings Municipalities of  Prishtinë/Pritina, Novo Brdo/Novobrdë, Kamenicë/a and Ranil(l)ug, Kosovo. At least 90 women and vulnerable community members: women (with priority given to female headed households), small holder farmers, unemployed youth, Roma and/or Ashkali and other excluded ethnic minorities receiving project trainings in business start-ups and 45 of them grants for their realization</t>
  </si>
  <si>
    <t>The project strongly advocates for higher and more visible involvement of women in agricultural production in the target municipalities.</t>
  </si>
  <si>
    <t>The RESI project uses methods and practice of CARE Balkans in women's economic empowerment. The project scales the methodologies for selection of beneficiaries and entire support scheme from the CARE Balkans previous agricultural development project in Kosovo.</t>
  </si>
  <si>
    <t>The project supported establishment of new farmers associations in the target Municipalities of Prishtinë/Pritina, Novo Brdo/Novobrdë, Kamenicë/a and Ranil(l)ug, Kosovo.</t>
  </si>
  <si>
    <t>The project has in place a system of impartial evaluation of applications for grants and decision making during the selection of beneficiaries for grants.</t>
  </si>
  <si>
    <t>Intense work and constant communication with various local stakeholders (families, local authorities) is needed to overcome barriers of traditional environments when it comes to increasing economic inclusion of women.</t>
  </si>
  <si>
    <t>To date there are few lessons learned which should be confirmed in the next period of the project implementation.</t>
  </si>
  <si>
    <t>Sumka Bucan</t>
  </si>
  <si>
    <t>Saa Petkovic</t>
  </si>
  <si>
    <t>In this project, 5 local organisations are partners in the implementation of the planned results. In each country (Kosovo, Albania, Serbia and Bosnia and Herzegovina). They have a network of over 1000 peer educators around the country that supports its primary focus on youth health and violence prevention. These organisations are both, implementing partners of CARE but also a target group of the project, since CARE continues to focus on building their capacity to be the leading CSOs and partners of choice of different stakeholders in addressing violence and work with boys and men with a gender equality framework. Another target group are 500 secondary school educators and 200 students of pedagogical faculties in the countries. In addition 20 selected educators will be targeted and provided with capacity building as trainers of trainers (ToT). In addition 2000 fathers and male care givers will be targeted in educational and campaign related activities.  The project anticipates reaching over 25,000 youth over 3 years by educational workshops and campaigns. The final beneficiaries include the wider family environment of the participating 25,000 youth and the 2000 fathers.  It is around 5,400 direct and indirect beneficiaries per state including Croatia - OAK component opf the YMI regional project).</t>
  </si>
  <si>
    <t>Kosovos Ministry of Education, Science &amp; Technology issued on December 13th 2016 a one-year accreditation for Program Y in the occasion of teachers application for the License. Program Y accreditation enabled the non-interrupted entrance to schools and</t>
  </si>
  <si>
    <t>Kosovos Ministry of Education, Science &amp; Technology issued on December 13th 2016 a one-year accreditation for Program Y in the occasion of teachers application for the License. Program Y accreditation enabled the non-interrupted entrance to schools and possibility to initiate further reforms of school curriculums in the future</t>
  </si>
  <si>
    <t>Most Significant Change Methodology this methodology was presented and introduced at the project start as part of the capacity building program of partner organizations and an innovative monitoring tool. Based on the discussion with partners, it was decided that only one segment of this method would be used and tested during the project. The methodology was piloted in a way to focus on gathering personal stories from beneficiaries, mainly young men, with help of a specific interviewing template. The benefit was twofold, first of all the team leaders and coordinators got trained on using the technique; they learned how to observe and practice interviewing beneficiaries in search of different type of changes. Secondly, the partner organizations embraced this monitoring tool as a great method of qualitative data gathering and recording, but also as a useful technique that can and should be built upon and expanded in the future to also include wider organizational monitoring and development aspects. During the project period, the partner organizations gathered more than 50 stories describing different types of changes that have happened to the beneficiaries as a direct result of participating in the project. The project team has selected four, one representing each country as a sample in Annex 7. We would also like to emphasize that this methodology enabled that Dragan Kisin, young men from Banja Luka tells his story which was used by Thomson Reuters Foundation for making a short documentary Story of "Dragan": Balkan boys challenge post-war machismo that premiered in May of 2016. This short film tells Dragans story in his own words about how his involvement in the project has had a positive impact on his life. The film won the 1st prize Ron Kovic Peace Prize at 12th Annual My Hero International Film Festival in USA in 2016. https://www.consciousgood.com/post-war-machismo-be-a-man/</t>
  </si>
  <si>
    <t>Youth from all cities pointed out that the project had a great impact. They mentioned different indicators of projects impact. The most concrete impact relates to change of attitudes and behaviours of youth who directly participated in the programme. Special credit for sucess goest to "Be a man" clubs.</t>
  </si>
  <si>
    <t>2. What you measure is what you get. During the implementation of such complex project as YMI is, a regular and adequate monitoring is of greatest importance. YMI Project has succeeded to develop comprehensive but user friendly measuring instruments which enabled a regular and accurate monitoring and reporting. The YMI has even managed to reach the most socially excluded youth groups through different activities. The approaches on how to involve Roma, Ashkali and Egyptian community in the Project activities differ among the countries, since they were based on the local circumstances (presence of Roma children in selected schools) as well as the of the local stakeholders capacities.</t>
  </si>
  <si>
    <t>Efforts should be invested in mainstreaming gender equality and GBV issues into existing curricula and programs of various organizations which implement activities in schools. This could significantly contribute to further sustainability of the project results. Every year different organizations and institutions develop number of programs and new curricula and schools have lot of issues with identifying the most suitable and relevant ones. Instead of producing new education programs and investing lot of efforts in its accreditation, mainstreaming serve as a more strategic and feasible option. As per the content of the educational programs, respondents recognized the need for including/emphasizing following topics: psychological violence, Internet safety, safety of youth in general. One could ensure even greater and more strategic involvement of media in the program. For the long term success of the program it is not enough only to have a number of media releases about the project activities, but also to have editors and journalists setting the societal values. Additional strategies for media sensitization and participation could be also added value for the next phases of the YMI initiative. Public advocacy space is still to be explored and comprehensive strategies as well as national advocacy action plans to be developed and coordinated, since this would be logical next step in the project concept further development. Attention should be specifically put on the involvement of the primer constituency group in the advocacy initiatives. Students should be supported to formulate their own initiatives and to advocate for sustainable systemic changes. Most significant change methodology could also be used in this process as a good communication tool for gaining wider public support. Continue the work in the area of community involvement. The idea of BMCs which function as local youth clubs and resource centers for youth in the domain of promotion of gender equality, healthy lifestyles and violence prevention, should be additionally supported. In addition, CARE could support additional capacity development of  BMCs to become key actors of local referral mechanisms for youth in need of additional support mediation, counseling, etc. Interest members capacities for the provision of this type of peer support could be also developed and the communities as a whole could benefit a lot from this approach. Partner organizations need continuous support in becoming learning organizations. Namely, their M&amp;E capacities and members capacities for continues learning and development need additional support from CARE. In addition, their knowledge on gender equality, relevant international standards in this area, as well as regional legislation and strategic framework, should also be further developed. Cooperation with womens organizations should be intensify in the future, since feminist expertise could provide the Project with additional impetus and quality Also, local partner organizations should be additionally supported to advance their position in the civil society and become sectorial leaders which promote participation, wide consultations and innovative approaches. In future, some efforts should be invested in creating relevant links with existing mechanisms for violence prevention. For example, General and Specific Protocols for Protection of Children against Abuse and Neglect in Serbia envisage specific mechanism for dealing with violence in school context. Apart from potential advancement of such norms, activities could be coordinated with similar mechanisms in the region in order to become integral part of future practices. Apart from high school students, younger youth could be involved more actively in the Project implementation in the next phase. Good examples from Banjaluka in this regard could be a roadmap for further program development. Namely, Perpetuum Mobile had implemented set of educational activities in the primary school in Banjaluka and had great success with this activity. One could argue that the social change starts with the formation of attitudes in early stages of childhood. CAREs capacities should be utilized for this purposes. Existing structure for education programs implementation needs continues support in development. It would be of great importance to further utilize established structure of educators, including peer educators and this would require: a. Development of clear criteria for the selection of future educators; b. Educators continues capacity development in training design, working methods and tools, reporting and evaluation; c. Educators continues development in wider understanding of the training topics, including policy framework and school mechanism for protection against discrimination and violence. Regional networking events should be organized in future, since this approach influence reconciliation and peace building in the whole region and motivate young men to adopt new values and to be more active and involved within their communities.</t>
  </si>
  <si>
    <t>Laos</t>
  </si>
  <si>
    <t>Protections and Choice for Marginalised Urban Women (PACMUW)</t>
  </si>
  <si>
    <t>LAO123, LA145</t>
  </si>
  <si>
    <t>Saad Karim</t>
  </si>
  <si>
    <t>saad.karim@careint.org</t>
  </si>
  <si>
    <t>Viengprasith Thiphasouda</t>
  </si>
  <si>
    <t>Marginalized Urban Wormen Program Coordinator</t>
  </si>
  <si>
    <t>Viengprasith.Thiphasouda@careint.org</t>
  </si>
  <si>
    <t>To promote the social and legal empowerment of vulnerable working women, through reducing their vulnerability to rights abuses, with a focus on exploitation and violence.</t>
  </si>
  <si>
    <t>This project is implemented in Chanthabouly, Sikhottabong and Sisattanak district in Vientiane capital</t>
  </si>
  <si>
    <t>Marginalised women in urgan setting engaged in entertainment venue (specific to sex worker), garment fatory workers and domestic workers.</t>
  </si>
  <si>
    <t>Direct participants are the people who directly get information from project activities (Out reach team: the team who provide information directly to factory workers and sex workers and domestic workers on GBV/VAW and SRH). Indirect participants are the people who get the information form the direct participants, especially their friends, family members and etc. This calculating by direct participants times two.</t>
  </si>
  <si>
    <t>This project has ended in June 2017</t>
  </si>
  <si>
    <t>This project test the way of using social media (facebook, Whatsapp, LINE) for advocacy and provide appropriate information to the target impact group</t>
  </si>
  <si>
    <t>1. Technical and financial support for CSOs. 2. Project management support</t>
  </si>
  <si>
    <t>In the financial year there was no any change, still follow its annual plan.</t>
  </si>
  <si>
    <t>Legal aid accessibility</t>
  </si>
  <si>
    <t>Sexual, reproductive health awareness</t>
  </si>
  <si>
    <t>Labor protection activity</t>
  </si>
  <si>
    <t>Building leadership for women in target group are still very challenge because of level of education and culture norm.</t>
  </si>
  <si>
    <t>Creating space for social dialogue for women is useful.</t>
  </si>
  <si>
    <t>Access to legal aid for women is not satisfy</t>
  </si>
  <si>
    <t>Considering factors to ensure the successful of this project implementation are: all duty bearers should atively  / clear on each other roles and responsibilties among each other, key messages from impact groups that duty beariers collected has power to enfluencing policy maker but still challenge to transfer the messages.</t>
  </si>
  <si>
    <t>1. End of project evaluation. 2. Gender Marker. 3. Governance Marker</t>
  </si>
  <si>
    <t>Social Protection Activity -Resilient Livelihoods for the Poor (SPA-RLP)</t>
  </si>
  <si>
    <t>LAO173 LA151</t>
  </si>
  <si>
    <t>Sopha Soulineyadeth</t>
  </si>
  <si>
    <t>Provincial Program Manager</t>
  </si>
  <si>
    <t>sopha.soulineyadeth.careint.org</t>
  </si>
  <si>
    <t>Robin aus des Beek</t>
  </si>
  <si>
    <t>Robin.ausderBeek@careint.org</t>
  </si>
  <si>
    <t>Government of Laos to begin implementation of a progressive social security policy that includes support to the elderly and other vulnerable families.</t>
  </si>
  <si>
    <t>Soukhouma, Mounlapamok Districts, Champasak province</t>
  </si>
  <si>
    <t>Impact group is poor rural families ( based on desinged project's criiteria for poor families) , in particular women, with greater and inclusive access to social protection, financial services, productive assets and opportunities to generate income. The assisstance is in form of increased access to enhanced livelihood opportunities, through access to productive assets, access to markets, financial literacy training  in or der to reach the goals.</t>
  </si>
  <si>
    <t>Type of beneficiaries and calculation methods described as below:                                                                                                                                                                                                                                                         Beneficiaries who received productive assets such as livestock and non-livestock ( For direct beneficiaries, counting from all family members, there is no indirect beneficiaries for this type of beneficiaries). Workshop/training for government staff (For direct beneficiaries, counting all participants, for indirect beneficiaries, multiplied by 2) Study tour/cross visit to other province for government (For direct beneficiaries, counting all participants; for indirect beneficiaries, multiplied by 3) Village vet workers training (For direct beneficiaries, counting all participants; for indirect beneficiaries, multiplied by 3) Gender negotiation training (For direct beneficiaries, counting all participants; for indirect beneficiaries, multiplied by 3) Raising awareness campaign on nutrition and hygiene in 12 villages (For direct beneficiaries, counting all participants; for indirect beneficiaries, multiplied by 3) Raising awareness on livestock vaccination, nutrition and hygiene (For direct beneficiaries, counting all participants; for indirect beneficiaries, multiplied by 3) Assistive device provided to disabled people (For direct beneficiaries, multiplied by 6, there is no indirect beneficiaries for this type of beneficiaries). Asset handed to Provincial Labour and Social Welfare (Car, Motorbikes and Computers) (For direct beneficiaries, counting from number of items distributed; for indirect beneficiaries, counting all staff at the office) Asset handed to District Labour and Social Welfare (One Computer) (For direct beneficiaries, counting from number of items distributed; for indirect beneficiaries, counting all staff at the office) Asset handed to District government partners (DLSW, DAFO, LWU) (For direct beneficiaries, counting from number of items distributed; for indirect beneficiaries, counting all staff at the office)</t>
  </si>
  <si>
    <t>The final evaluation for SPA-RLP was conducted by Lao Australia Development Learning Facility and was conducted in June 2017 for field work, the report is being finalise. It is expected to finalise by the end of August 2017.  </t>
  </si>
  <si>
    <t>This project is the pilot project if it work with Lao context if successfully it will be consider by the donors and other partners to expand implementation nationwide.</t>
  </si>
  <si>
    <t>Provide the small grant (productive asset) to the beneficiaries, with this grant beneficiaries could form the basis of a small business</t>
  </si>
  <si>
    <t>Provide Monthly cash stipend (100.000 x month) until the end of the project to cover needs while the participant is learning how to earn an income from the transferred asset. A Key benefit of the stipend is introducing households to the financial system. Up to now most beneficiaries explained that the stipend has enabled households to cope with health care needs, childrens education, food shortages and materials for their assets and they are learning about savings and planning with access to the formal financial sector.</t>
  </si>
  <si>
    <t>Provide intensive program of individual training, coaching and mentoring, including financial literacy education through fortnight household visit from facilitators</t>
  </si>
  <si>
    <t>Diversification of assets is very important for beneficiaries to carry on the activity with the project, particularly due to mortality of poultry (compelling households to conduct other assets in parallel as enterprise such as pig, piglet or goat depending on their budget and capacity).</t>
  </si>
  <si>
    <t>Non livestock assets such as fish sour making, clothe selling, and small shop can quickly generate the profit comparing to livestock asset. However, this covers only small percentage of total beneficiaries. This needs to have skills and good connection to the market as well.  </t>
  </si>
  <si>
    <t>The rainy season hindered difficult for field team to access to beneficiaries due to road condition combined with the cultivation season in which some beneficiaries work in the rented paddy field far from the village. Some of them have stayed in the field until completion of harvesting season. The situation of accessibility changed month by month.</t>
  </si>
  <si>
    <t>1. Final report. 2. Mid Term Review report. 3. Gender Marker. 4. Governance Marker</t>
  </si>
  <si>
    <t>Women Organization Rural Development Project (WORD)</t>
  </si>
  <si>
    <t>LAO153 LA144</t>
  </si>
  <si>
    <t>Robin aus der Beek</t>
  </si>
  <si>
    <t>Remote Ethnic Women Program  Coordinator</t>
  </si>
  <si>
    <t>Women's livelihoods are improved and their interests voiced through strengthened community-based civil society organizations</t>
  </si>
  <si>
    <t>Phongsaly province (Khua, Mai and Samphan districts); Sekong province (Dak Cheung district)</t>
  </si>
  <si>
    <t>Remote ethnic women and their communities</t>
  </si>
  <si>
    <t>Direct participants are the people who directly involved in project's activities implementation and indirect participants are the cumunities members who are not directly involved in project activities, these participants are calculated base on record of particpation of the activities and population in target villages.</t>
  </si>
  <si>
    <t>There were no important changes or adjustments in this FY</t>
  </si>
  <si>
    <t>Working with local government, involve government partner in planning and implementing process</t>
  </si>
  <si>
    <t>Village Saving and Loan Association (VSLA) working well with women groups</t>
  </si>
  <si>
    <t>Farmer groups</t>
  </si>
  <si>
    <t>Well planning and morniting with gorvernment involvement</t>
  </si>
  <si>
    <t>Poultry raising still very challenge</t>
  </si>
  <si>
    <t>Working with ethnic wormen still challenge aspecially language barier (Akha village)</t>
  </si>
  <si>
    <t>1. Final Evaluation  - WORD 2017. 2. Gender Marker. 3. Governance Marker. 4. Resilience Marker</t>
  </si>
  <si>
    <t>Enhancing adaptive capacity of women and ethnic minority smallholder farmers through improved agro-climate information in South-East Asia (ACIS)</t>
  </si>
  <si>
    <t>LAO182</t>
  </si>
  <si>
    <t>Assistant Country Director - Program</t>
  </si>
  <si>
    <t>Phonesavanh Latmany</t>
  </si>
  <si>
    <t>Senior Climate Change/Disaster Risk Management Advisor</t>
  </si>
  <si>
    <t>Phonesavanh.Latmany@careint.org</t>
  </si>
  <si>
    <t>Enhance the adaptive capacity of women and ethnic minority (W&amp;EM) farmers to better anticipate and respond to risks and opportunities from climatic variability</t>
  </si>
  <si>
    <t>In Laos, the project is focused in Gnot-Ou, Mai, and Samphanh distircts of Phongsaly; In Vientiane Province, the project is being implemented in Ekxang village, which is a Climate Smart Village.</t>
  </si>
  <si>
    <t>Women and Ethnic minority smallholder farmers and Champion farmers as primary target group; seoncdary target group includes Agricultural and meteorological service providers and Public sector institutions.</t>
  </si>
  <si>
    <t>Direct beneficiaries are ethnic farmers who are part of the Farmer Learning Networks and Farmer Field School. They got involved in capacity building and planning workshop on agro-advisories incorporating climate information.  Secondly primary direct beneficiaries are also members of VSLA groups established by the project in 11 villages. In this case, indirect beneficiaries are two times number of direct beneficiaries. In Ekxang village of Vientiane Province, direct benficairies are members of Farmer Field School, 35 of them. The project will likely work with these champion farmers (or numbers might not change despite replacement) for the life of the project.</t>
  </si>
  <si>
    <t>Participatory Scenaior Planning to help farmers predict and prepare in response to changing weather conditions and to take advantage of the condition where possible.</t>
  </si>
  <si>
    <t>The project just started its activities this financial year, so no major changes have been observe yet. Nonetheless, we have seen an increased participation of local people in contributing their local knowledge and making plan, using climate information. Also, they have become more active in disseminating information to thier fellow villagers</t>
  </si>
  <si>
    <t>Farmer Learning Networks consisting of 30 people (15 female and 14 male) to attend the Participartory Scenario Planning using weather foreacsts (both scientific and traditional) for seasonal planning</t>
  </si>
  <si>
    <t>Farmer Field School in Ekxang village of Vientiane Province.</t>
  </si>
  <si>
    <t>District partners lack skills and compentencies to lead the PSP workshop with farmers, despite receiving training on PSP facilitation.</t>
  </si>
  <si>
    <t>Duirng the PSP workshop, the combination of indigenous and scientific forecast didn't happen. When asking about their own seasonl forecasts, farmers couldn't tell.</t>
  </si>
  <si>
    <t>Using weather information into agricultural planning is still a challenge. Farmers still stick to their usual practices as to when they should plant or harvest.</t>
  </si>
  <si>
    <t>We just started the activities this year. Many challenges emerge regarding capability of local partners, delay in procurement of automatic raingauges due to supplier not in the country, and lack of historical data.</t>
  </si>
  <si>
    <t>Northern Uplands - Promoting Climate Resilience (NU-PCR)</t>
  </si>
  <si>
    <t>LAO172 LA150</t>
  </si>
  <si>
    <t>CARE Denmark</t>
  </si>
  <si>
    <t>Kemnakhone Sayabouapha</t>
  </si>
  <si>
    <t>khaemnakhone.sayabouapha@careint.org</t>
  </si>
  <si>
    <t>Thipphavanh Malaithong</t>
  </si>
  <si>
    <t>Provincail Program Manager</t>
  </si>
  <si>
    <t>thipphavanh.malaithong@careint.org</t>
  </si>
  <si>
    <t>Remote ethnic women, their families and communities have increased adaptive capacity with the support of capable local authorities and the application of sustainable adaption models</t>
  </si>
  <si>
    <t>Phongsaly province (Mai, Ngot Ou and Samphan districts)</t>
  </si>
  <si>
    <t>Remote ethnic women: People who are living in remote areas and affected by the impacts of climate change, main focus on women and poor people.</t>
  </si>
  <si>
    <t>Direct partcipants are the people who directly paricipate or involve in project activites implementation and Indirect participants are their family member, their community and nearby communities member. The participants number will be recorded through activitiy tracking system and fied activities reports.</t>
  </si>
  <si>
    <t>Project Final Evaluation</t>
  </si>
  <si>
    <t>This project provided training for farmer groups and also organized crosss visit f or the groups and NPA (Non Profit Association) partners</t>
  </si>
  <si>
    <t>VSLAs (Village Savings and Loan Associations</t>
  </si>
  <si>
    <t>Cardamom plantation and marketing</t>
  </si>
  <si>
    <t>Forming weather information communicatoin groups was very successful and relevant partner show high interest.</t>
  </si>
  <si>
    <t>Expanding paddy field activites could effective reduce slash and burn.</t>
  </si>
  <si>
    <t>VSLAs (Village Savings and Loan Associations) help women has stronger voices and access to financial services.</t>
  </si>
  <si>
    <t>To prevent double counting the Diaster risk reduction participants are reported in PIIRS LAO182. and for Food and Nutrition Security  and Gender Equality participants are reported under PIIRS of LAO177.</t>
  </si>
  <si>
    <t>1. Baseline. 2. Annual Report. 3. Gendr Marker. 4. Governance Marker. 5. Resilience Marker</t>
  </si>
  <si>
    <t>Participation of remote ethnic groups for good forest governance (Go-Fo-Go)</t>
  </si>
  <si>
    <t>LAO171, LA149</t>
  </si>
  <si>
    <t>To contribute to good forest governance in Lao PDR that respects the rights of ethnic groups and ensures the participation of relevant stakeholders.</t>
  </si>
  <si>
    <t>National Level</t>
  </si>
  <si>
    <t>Remote Ethnic Communities, Civil Society Organizations</t>
  </si>
  <si>
    <t>Direct Participants are: Target groups 1 (CSO): NPAs and INGOs are critically observed and sometimes not yet known in Lao society, due to slow development of supportive mechanisms, lack of dissemination of information, and lack of skills to engage in policy debates. 150 staff of NPAs and INGOs working in food security and natural resources will be targeted by capacity building measures and by improved coordination to reach a joint citizens voice for remote ethnic groups rights (focus on food, land, and gender). Princi-ples of forest governance will be disseminated. Herewith, SODA and GCA will play multiplier roles. GCA as a brand-new NPA on forest governance has strong linkages to ethnic communities, and needs special support in management to succeed in its mission for remote ethnic groups rights.  Target groups 2 (CBO grass-root): Up to 65 communities through existing womens groups and vil-lage mediation units from poor villages in 8 Districts and satellite NPAs  (womens group associa-tion), representing 21,420 people. Ethnic groups from the Sino-Tibetan and Mon-Khmer ethno-linguistic groups inhabit the communities. Village Mediation Units are justice organizations at the grass-root level, and lack capacity in their role to resolve disputes under the laws and customary laws of the people of various ethnic groups. Target Groups 3 (Government and NA): Government staff of DLPD in their role chairing the SSWG Land lack evidence and capacity of developing good forest governance, so existing consultation mechanisms will be improved through this Action. 70 members of the SSWG Land, 100 members of the National Assembly, particularly of the Economic, Planning, and Finance Committee and constitu-encies of the selected districts, and 80 district staff (10 per district) will be directly targeted. Indirect Participants are: Population of 8 Districts: 193,000 people through campaigns and impact of legal awareness and forest governance research in villages.</t>
  </si>
  <si>
    <t>Leadership and management training.</t>
  </si>
  <si>
    <t>There were no changes or adjustments during this FY</t>
  </si>
  <si>
    <t>UPR  :  Universal Periodic Review</t>
  </si>
  <si>
    <t>Manual for legal human right</t>
  </si>
  <si>
    <t>Training on Forest Governance</t>
  </si>
  <si>
    <t>LIWG (Land Issues Working Group) in collaborate with University and CSOs would help reduce the sensitive environment</t>
  </si>
  <si>
    <t>Regulations of sustainable Use of NTFPs are issued but It is required to write a simple case study or reproduce the results in term easy communication for local communities</t>
  </si>
  <si>
    <t>It is hard to smallholder farmers to direct reflect in policy. The sound of farmers need to get through the research and field visit and discussion</t>
  </si>
  <si>
    <t>1. Gender Marker. 2. Resilience Marker. 3. Governance Marker 4. End Of Project Evaluation</t>
  </si>
  <si>
    <t>Scaling Up Convergent Programme Approaches to improve food and nutrition seecurity in the northern uplands (SUPA)</t>
  </si>
  <si>
    <t>LAO183 LA164</t>
  </si>
  <si>
    <t>Remote Ethnic Women Program Coordinator</t>
  </si>
  <si>
    <t>robin.ausderbeek@careint.org</t>
  </si>
  <si>
    <t>To improve food and nutrition security of ethnic women living in remote upland areas, their familites and communities</t>
  </si>
  <si>
    <t>Laos, Phongsaly province (Mai, Samphan Gnot Ou district), Luang Namtha (Sing and Long district)</t>
  </si>
  <si>
    <t>Remote Ethnic Women</t>
  </si>
  <si>
    <t>Direct participants are the remote ethnic women who has the children under five, indirect participants are the families member and their communities</t>
  </si>
  <si>
    <t>Projedt Midterm Review to collecting the data for mearsuring change against baseline.</t>
  </si>
  <si>
    <t>This project has provided trainings on technical and management to key CSOs (CCL: Comite de Cooperation avec le Laos, RDA: Rural Development Association, LOPA:Lao Organic Promotion in Agriculture, etc.)</t>
  </si>
  <si>
    <t>This project has just started implementing its' activities, there was not any changes or adjusment during this FY. And did not yet do reflecting of this project yet</t>
  </si>
  <si>
    <t>Behavior changes through LANN process in ethnic communities (Akha ethnic language) was chanllenging with language barrier.</t>
  </si>
  <si>
    <t>Working with many partners with no explicit ToR was very difficults</t>
  </si>
  <si>
    <t>Capacity strengthening should be prioritized when working with many partners</t>
  </si>
  <si>
    <t>1. Baseline study. 2. Gender Marker. 3. Governance Marker. 4. Resiliense Marker</t>
  </si>
  <si>
    <t>Strengthening Civil Society Engagement Against Gender Based Violence</t>
  </si>
  <si>
    <t>LAO184, LA167</t>
  </si>
  <si>
    <t>Marginalised Urban Women Program Coordinator</t>
  </si>
  <si>
    <t>viengprasith.thiphasouda@careint.org</t>
  </si>
  <si>
    <t>To contribute to the creation of an enabling environment for civil society organisations (CSOs) in Laos to participate effectively in the formulation and implementation of policies and strategies to end gender based violence</t>
  </si>
  <si>
    <t>Vientiane Capital - Sisattanak, Sikhottabong, Chanthabouly, Xaysetha Distric. Phongsaly - Mai, Samphan District. Sekong - Dak Cheung District</t>
  </si>
  <si>
    <t>Marginalised women in urban settings engaged in entertainment venue (specific to sex workers),garment factory workers and remote ethnic women.</t>
  </si>
  <si>
    <t>Direct participants are: - Beneficiaries from community level (Target villages are 40 ) based on the number of population in villages, about 20,859. However, the number of female is slightly higher, is based on the national statistic that female is about 51% from the total number of population in LAO PDR. and about 3,476 households and average of one house can be direct involve this project 2 persons (wife and husband or grand father or mother). - Beneficiaries from government agencies is estimation of the agencies who will get benefit from this project from central, provincial and district level such as from LWU, CAW, Justice department and other around who working on GBV/VAW. - Beneficiaries from 4 garment factories, average each factory has workers 400.. - Beneficiaries from entertainment industries (4 zone). Indirect participants are: - Beneficiaries from community level, just calculate one person can dilivery a message that they learn from project to 3 persons and to their counsins or relative. Average one house about 6 members. - Beneficiaries from government agencies, factories and entertainment , the direct beneficiaries can talk to one person at least.</t>
  </si>
  <si>
    <t>This project will conduct power analysis on GBV and social norm in community level (individual interview and focus group discusion)</t>
  </si>
  <si>
    <t>Community Dialogue Tools</t>
  </si>
  <si>
    <t>This project proveded training on GBV to its key partern (Lao Positive Health Association)</t>
  </si>
  <si>
    <t>Community Dialogue Tool</t>
  </si>
  <si>
    <t>This project has just started implement few months ago so, it is not yet able to collect lessons learned and reach many impact group yet</t>
  </si>
  <si>
    <t>1. Gender Marker. 2. Governance Marker</t>
  </si>
  <si>
    <t>Partnerships for poverty reduction and womens empowerment in Dakcheung (PWED) Project</t>
  </si>
  <si>
    <t>LAO167</t>
  </si>
  <si>
    <t>LAO186</t>
  </si>
  <si>
    <t>CARE Deutschland - Luxemburg</t>
  </si>
  <si>
    <t>Phounsy Phasavaeng</t>
  </si>
  <si>
    <t>phounsy.phasaveng@careint.org</t>
  </si>
  <si>
    <t>To enable the Sekong Provincial Agriculture and Forestry Office (PAFO) and Dakcheung District Agriculture and Forestry Office (DAFO) to provide  services that engage with local communities and community groups to foster market-based, value-added, micro-business opportunities, that contribute to meeting the nutrition and basic economic needs of households in 35 remote communities</t>
  </si>
  <si>
    <t>Dak Cheung District in Sekong Province</t>
  </si>
  <si>
    <t>Remote Ethnic Women and community</t>
  </si>
  <si>
    <t>Direct Participants are the target communities members who receive project activities asset transfer and participanting the training.. Indirect Participants are the nearby target communities members.</t>
  </si>
  <si>
    <t>No changes or adustment for project plan and design during this FY</t>
  </si>
  <si>
    <t>WINGs</t>
  </si>
  <si>
    <t>Paddy field irrigation for rice planting.</t>
  </si>
  <si>
    <t>Communities Radio System</t>
  </si>
  <si>
    <t>Coffee marketing for ethnic women through product valua added instead of selling coffee seed were able to help them linked more to wider market.</t>
  </si>
  <si>
    <t>Conduct gender training through building capacity for villager trainer volunteer to do the training for their communities show good result and project staff directly train communities.</t>
  </si>
  <si>
    <t>Providing rice mill to WINGs has intensively reduce women burden for hasking rice.</t>
  </si>
  <si>
    <t>1. Gender Marker. 2. Governance Marker. 3. Resilience Marker. 4. Baseline. 5. Project Final Evaluation</t>
  </si>
  <si>
    <t>Sekong Food Security Project - Phase II (SFSP II)</t>
  </si>
  <si>
    <t>LAO161, LA134</t>
  </si>
  <si>
    <t>Souliya Khambountha</t>
  </si>
  <si>
    <t>souliya.khambountha@careint.org</t>
  </si>
  <si>
    <t>To  support food security in all its dimensions preventing crises and contributing to achieving MDG1 in Lao PDR.</t>
  </si>
  <si>
    <t>Dak Chueng District and Kaluem District in Sekong Province</t>
  </si>
  <si>
    <t>Remote Ethnic women and Communities</t>
  </si>
  <si>
    <t>Direct Participants are all communities member in 30 target villages who receive project asset transfer, partcipating the project trainining activities (30 villages X265 people). Indirect participants are the direct participants' friend, relative in nearby communities, calculate by 40% of direct participants.</t>
  </si>
  <si>
    <t>WINGS (Women Income and Nutrition Groups)</t>
  </si>
  <si>
    <t>Vaccine Subsidize system</t>
  </si>
  <si>
    <t>Cofffee plantation.</t>
  </si>
  <si>
    <t>Intergation gender with WINGS activities could multiply impact change relate to gender roles (reduce women workload)</t>
  </si>
  <si>
    <t>Coffee plantation planation are very appropriate for income generation in target communities.</t>
  </si>
  <si>
    <t>Finding communities products market are very challenging.</t>
  </si>
  <si>
    <t>This project has alread integrated as the sub-project in MoFA Lux framework, so this project will not be longer report as individual project (including PIIRS for next FY)</t>
  </si>
  <si>
    <t>1. Gender Marker. 2. Governance Marker. 3. Baseline surver report</t>
  </si>
  <si>
    <t>Strengthening Local Capacity for Community Based DRR</t>
  </si>
  <si>
    <t>LAO174, LA152</t>
  </si>
  <si>
    <t>Dak Cheung, Sekong</t>
  </si>
  <si>
    <t>Remote Ethnic Women and Disaster Affected Communities</t>
  </si>
  <si>
    <t>Beneficiaries will be from Dak Cheung District. Villages are farming communities of Mon-Khmer ethnicity, many being from Talieng Yae, Katu and Triew ethnicities. Where possible VDPUs will have an equal representation of women and men. On average the village population in Dak Cheung is 260 people. In year 1, for example, it is expected that the project will work with 5 new villages which would be approximately 1300 people. In years 2 and 3 there will be a further 4 new villages supported bringing the total to approximately 2,340 people. (Other villages receiving follow-up support may be new to the project (from the current DRR-DC activities) or may be villages from year 1 and 2). Up to 6 DDMC members will be involved in the VCA process. For 10 hectares of UXO clearance (annually) it is expected that upwards of 40 households would benefit each year</t>
  </si>
  <si>
    <t>There are no changes or adjustments during this FY</t>
  </si>
  <si>
    <t>Vulnerability and Capacity Assessment</t>
  </si>
  <si>
    <t>Cummunity Disaster Warning System.</t>
  </si>
  <si>
    <t>Lightning Conductor System</t>
  </si>
  <si>
    <t>Gender Inclusion in every process in DRR Project made the women voice heard and taken to consideration and action.</t>
  </si>
  <si>
    <t>Some result of VCA related to mitigation activities suggestion from communities are much higher than what project has budgeting for.</t>
  </si>
  <si>
    <t>1. Gender Marker. 2. Governance Marker. 3. Resilience Marker</t>
  </si>
  <si>
    <t>To strengthen the Quality of Maternal, Newborn and Child Health Services in Phongsaly Province (MNCH)</t>
  </si>
  <si>
    <t>LAO177 LA155</t>
  </si>
  <si>
    <t>Sothsavanh Sithammavong</t>
  </si>
  <si>
    <t>sothsavanh.sithammavong@careint.org</t>
  </si>
  <si>
    <t>To reduce under-five and maternal mortality, through active community participation and improved access to and use of maternal and child health services in hard-to-reach or unreached areas</t>
  </si>
  <si>
    <t>Phongsaly province (Khua, Mai and Samphan districts)</t>
  </si>
  <si>
    <t>Remote ethnic women</t>
  </si>
  <si>
    <t>The Direct Participants are : There are two main beneficiary groups: women and children under five of all ethnicities in the target villages, and district and provincial health personnel.. The Indirect Participants are: the other target communities member</t>
  </si>
  <si>
    <t>This project create manual for Village Health Committees implementation process.</t>
  </si>
  <si>
    <t>The Village Health Committee Manual has been share and expecting to be use nationwide.</t>
  </si>
  <si>
    <t>Village Health Committee</t>
  </si>
  <si>
    <t>Scholaship for local ethnic women to be midwife</t>
  </si>
  <si>
    <t>Women group</t>
  </si>
  <si>
    <t>Support local ethnic women to be the midwives was very success for encouraging women to access health services</t>
  </si>
  <si>
    <t>MNCH (Mother New Born Child Health) process well encourage women to access to Ante Natal Care and delivery.</t>
  </si>
  <si>
    <t>Capacity strenthening for local authorities help the heath services more better.</t>
  </si>
  <si>
    <t>Lessons learned from this project will be uses in next phase projects</t>
  </si>
  <si>
    <t>1. Lao Social Indicator Survey (LSIS). 2. DHIS 2 - https://hmis.gov.la/dhis-web-commons/security/login.action. 3. Final Evaluation. 4. Gender Marker. 5. Governance Marker</t>
  </si>
  <si>
    <t>GSK (GlaxoSmithKline) 20% Reinvestment</t>
  </si>
  <si>
    <t>LAO165, LA165</t>
  </si>
  <si>
    <t>Marginalize Urban Women Program Coordinator</t>
  </si>
  <si>
    <t>To improve access of the garment factory workers to quality Sexual and Reproductive Health (SRH) services and increase control over their health in three districts in Vientiane</t>
  </si>
  <si>
    <t>Laos, Vientiane Capital (Sisattanak, Sikhottabong and Chanthabouly district)</t>
  </si>
  <si>
    <t>Female garment factory workers</t>
  </si>
  <si>
    <t>Direct participants are health education facilitators who are trained to conduct health services to factory workers.  Female garment factory workers trained and mobilized as peer volunteers. Women and men receive health education and awareness training. Women, girls and men receive counselling and health screening through mobile clinics. And female and male reached through social media outreach activities.. Indirect participants are the people who are friends, family member, cousins of direct particiapant - indirect participant calculate by direct participants times two.</t>
  </si>
  <si>
    <t>This project support LaoPHA (Lao Positive Health Association) for conducting health education awareness.</t>
  </si>
  <si>
    <t>Health Education Awareness</t>
  </si>
  <si>
    <t>Mobile Clinic in the factory</t>
  </si>
  <si>
    <t>Doctor services weekend to provide coulselling to young people on SHR.</t>
  </si>
  <si>
    <t>Limit open 1 hour for mobile clinic services could not cover all factory workers - Extend mobile clinic service more than 1 hour by negotiating with factory employers would help!</t>
  </si>
  <si>
    <t>1. Gender Marker. 2. Resilience Marker</t>
  </si>
  <si>
    <t>Scailing-up CBDRR  and School Safety in Lao PDR</t>
  </si>
  <si>
    <t>LAO175, LA</t>
  </si>
  <si>
    <t>Assistant Counry Director - Program</t>
  </si>
  <si>
    <t>To strengthen coordination mechanisms and disaster risk reduction capacities at national and local level to increase the resilience of vulnerable communities.</t>
  </si>
  <si>
    <t>Dak Cheung District, Lamam District, Kaleum District in Sekong Province and National Level.</t>
  </si>
  <si>
    <t>Direct Particiapants are: community members in target communities, district and provincial authorities staff who directly involve in project activities. Indirect Participants are: Community members nearby target communites. Friends, relative of direct participants. calculate by direct participants multiply by 2.</t>
  </si>
  <si>
    <t>No changes or adjustment during this FY</t>
  </si>
  <si>
    <t>Disaster Warning System</t>
  </si>
  <si>
    <t>Disaster Reduction Management Planning</t>
  </si>
  <si>
    <t>Lightning Condector</t>
  </si>
  <si>
    <t>Working as the consortium benefiting for information, knowledge and ideas sharing. However it takes longer time if working as the consortium.</t>
  </si>
  <si>
    <t>Developing Disaster Management and Planning Minimum Standard should start from the beginning of the project.</t>
  </si>
  <si>
    <t>1. Gender Marker. 2. Governace Marker. 3. Resilience Marker</t>
  </si>
  <si>
    <t>Lebanon</t>
  </si>
  <si>
    <t>Enhancing safe water supply and waste management for the vulnerable population affected by the Syria crisis in South Lebanon</t>
  </si>
  <si>
    <t>EUPDLB0001</t>
  </si>
  <si>
    <t>BNPPLB0004</t>
  </si>
  <si>
    <t>BNP Paribas Foundation</t>
  </si>
  <si>
    <t>AXAXLB0001</t>
  </si>
  <si>
    <t>Daniel Delati</t>
  </si>
  <si>
    <t>DCD - P</t>
  </si>
  <si>
    <t>daniel@careliban.org</t>
  </si>
  <si>
    <t>Gulnard Ters</t>
  </si>
  <si>
    <t>WaSH Coordinator - Project Manager</t>
  </si>
  <si>
    <t>gulnard@careliban.org</t>
  </si>
  <si>
    <t>Overall objectives: 1. Provide sustainable water supply  in adequate quantities to the most vulnerable populations in Lebanon. 2. Contribute to improve solid waste collection service for vulnerable population in critical areas of Lebanon. Specific objective: Improve reliable access to safe water and sanitation (solid waste) for highly vulnerable host and refugee communities in in areas of Southern Lebanon most affected by the influx of Syrian refugees in a sustainable way</t>
  </si>
  <si>
    <t>Lebanon - South Lebanon Governorate - Saida District and Zahrani District</t>
  </si>
  <si>
    <t>Inhabitants of Saida, Ghazyieh, Lubieh, Bissaryieh, Bqosta, Darb es-Sim, and Aabra: Lebanese host communities and Syrian refugees; Sahel Zahrani Union of Municipalities</t>
  </si>
  <si>
    <t>The direct beneficiaries of this project the entire residents of the targeted areas since the rehabilitated water infrastructure and systems benefit all residents (194,242). The numbers were calculated through the averaging of UNHR and municipality data. Other direct beneficiaries are the SLWE staff who received capacity building trainings (20) and the ToT participants (102) who were trained on the solid waste campaign key messages. Participants of other project activities are from the population of the project areas, and therefore will not e counted (since they will be considered as duplicates). Indirect beneficiaries are the residents of a non-project area since the improved water supply in one of the targeted areas (Lubiyeh) was in excess that they transferred the excess water to a nearby municipality (Saksakiyeh) which has a total residents of 7,133.</t>
  </si>
  <si>
    <t>Solid waste management</t>
  </si>
  <si>
    <t>The endline outcome monitoring data collection took place in August 2017 and the endline report is due by October 2017.</t>
  </si>
  <si>
    <t>Participatory approach with the local communities contributed to the roll-out of the solid waste awareness campaign and paper sorting.</t>
  </si>
  <si>
    <t>Community engagement with the local communities in the rehabilitation of the water infrastructure,aiming at building trust with the local government and water establishment.</t>
  </si>
  <si>
    <t>Municipalities are interested in sorting at the source for all types of solid waste and not only paper. This should allow CIL to scale up its solid waste management interventions.</t>
  </si>
  <si>
    <t>Needs assessment of the water establishment (a major stakeholder in the intervention) showed that staff lack many of the required capacities. Despite the rovision of water modeling and design software, the water establishment is still in need of other software, equipment, and trainings.</t>
  </si>
  <si>
    <t>Partnerning up with the Lebanese Echo Movement allowed a legitimate umbrella for the solid waste management campaign especially as the movement is an environmental reference on the national level.</t>
  </si>
  <si>
    <t>All beneficiaries of this project are indirect. It was impossible to disaggregate the populations by gender and age, especially as no updated figures are available. Solid waste management beneficiaries are from the total WaSH beneficiaries - not to be double counted.</t>
  </si>
  <si>
    <t>CIL Database has all project documents, reports, and data.</t>
  </si>
  <si>
    <t>Integrated Shelter Improvements for Syrian Refugees and Host Communities in Tripoli, Lebanon: Phase II</t>
  </si>
  <si>
    <t>BPRMLB0001</t>
  </si>
  <si>
    <t>Toka Khodr</t>
  </si>
  <si>
    <t>toka@careliban.org</t>
  </si>
  <si>
    <t>Objective 1: Syrian refugees and Lebanese host community individuals have improved shelter and WASH conditions in urban Tripoli.. Objective 2: Syrian refugees and Lebanese host community individuals have enhanced knowledge of and access to protection services.</t>
  </si>
  <si>
    <t>North Lebanon, Tripoli city: Quobbe, Mina, Mankoubin, Abou Samra, Wadi Nahle and  Ghurabah.</t>
  </si>
  <si>
    <t>CARE targets low-income dwellings, both slum-like apartments as well as makeshift housing whose conditions pose threats to their residents. In buildings, upgrades to individual units are based on vulnerability criteria for Syria  refugees and upgrades to the common areas which benefit all residents. Among vulnerable households, CARE prioritizes female-headed households and families with older persons, chronically ill, disabled, and with many children. Target groups are Lebanese host communities and Syrian refugees.</t>
  </si>
  <si>
    <t>The indirect beneficiaries are the people benefiting from communal projects and the total of which amoounts to the number of total residents. A profiling ecercise was conducted for all the targeted neighborhoods and they provide the number of all residents. Direct number of beneficiaries are distributed as follows (a total of 7.707): 2374 In safe space beneficiaries (2231 females; 143 males) 178 community based protection committes (CBPC) members benefiting from different sessions (134 females, 144 males) 3025 Individuals benefiting from HU rehabilitation (1583 women and girls; 1463 emn and boys) 1200 individuals benefiting from introductory events 930 individuals benefiting from interactive theater Not all project components ere disaggregated by gender.</t>
  </si>
  <si>
    <t>Endline outcome monitoring will be taking place</t>
  </si>
  <si>
    <t>Research on eviction and causes. Research on socio-economic vulnerability criteria (with project participants and organization staff).</t>
  </si>
  <si>
    <t>Using the neighborhood approach, CARE sclaed it up in the same beighborhoods as those in BPRM1 and entered new neighborhoods using the same approach.</t>
  </si>
  <si>
    <t>The Neighborhood Approach including communal projects</t>
  </si>
  <si>
    <t>Community-based protection committees</t>
  </si>
  <si>
    <t>Safe spaces</t>
  </si>
  <si>
    <t>Remind beneficiaries about the selection and work procedures, in addition to the scope of CiL and partners work</t>
  </si>
  <si>
    <t>Review the roles of the committees and set the mechanisms to achieve these roles</t>
  </si>
  <si>
    <t>Awareness on the existence of the committees should be raised on the neighborhood and household levels (events, committee card, committees profiling, etc.)</t>
  </si>
  <si>
    <t>Indirect beneficiaries for WaSH during FY are the same as those for Shelter.</t>
  </si>
  <si>
    <t>All data, project and learning documents are available in CIL's database</t>
  </si>
  <si>
    <t>LEADERS Consortium Promoting Inclusive Local Economic Empowerment and Development to Enhance Resilience and Social Stability</t>
  </si>
  <si>
    <t>DRCXLB0001</t>
  </si>
  <si>
    <t>Michel Samaha</t>
  </si>
  <si>
    <t>LED Coordinator</t>
  </si>
  <si>
    <t>samaha@careliban.org</t>
  </si>
  <si>
    <t>Hamza Obeid</t>
  </si>
  <si>
    <t>hamza@careliban.org</t>
  </si>
  <si>
    <t>&lt;Overall objective&gt; To contribute to the economic self-reliance, resilience and social stability of displacement-affected populations in Jordan and Lebanon in preparation for durable solutions. &lt;Specific objective 1&gt; Improved access to sustainable livelihoods opportunities benefitting vulnerable households and individuals, particularly youth and women. &lt;Specific objective 2&gt; Improved economic enabling environment and service delivery in communities hosting refugees</t>
  </si>
  <si>
    <t>North Lebanon: Tripoli city. Mount Lebanon: Bourj Hammoud, Dekwaneh/Bouchriyeh, Jdaideh</t>
  </si>
  <si>
    <t>1. Economically vulnerable individuals and households (particular focus on women and youth); 2. Marginalised Syrian refugee individuals and households through development of transferrable skills, promotion of host-refugee joint ventures and cooperatives as national policy frameworks allow; 3. Existing and scalable private sector enterprises (MSMEs), private sector associations; 4. Municipalities/cadastres in the most displacement-affected areas hosting refugees and who have demonstrated a clear willingness to work toward more inclusive local economic development, in particular with regard to refugee populations.</t>
  </si>
  <si>
    <t>An internal evaluation is currently taking place internally by CIL. An external evaluation for the entire project is planned next November which will also measure the outcomes.</t>
  </si>
  <si>
    <t>Business support (mentorships and trainings)</t>
  </si>
  <si>
    <t>CSP - Community Support Projects</t>
  </si>
  <si>
    <t>Startup support for ideation</t>
  </si>
  <si>
    <t>The advocacy component is being carried out by a consortium partner and is not a CIL activity. The project is implemented through a consortium of 4 INGOs and 1 local NGO. CIL directly implemented its activities.</t>
  </si>
  <si>
    <t>All project documents and data are available in CIL database</t>
  </si>
  <si>
    <t>Beirut Urban /Habitat for Humanity Partnership</t>
  </si>
  <si>
    <t>HFIHILB0002</t>
  </si>
  <si>
    <t>Habitat for Humanity</t>
  </si>
  <si>
    <t>daniel@delati.org</t>
  </si>
  <si>
    <t>Rehabilitation of Housing Units: Repairs to the dwelling envelope (windows, doors, partitions, and structural enhancements to walls and roofs to reduce heat loss and prevent rain from entering) as well as plumbing, electrical systems, and masonry to address safety, heat, humidity, and sanitation concerns. Upgrades to lighting and security: Installation of secure entries and lighting to the interior and exterior of dwellings and buildings. Upgrades to communal spaces: Upgrades to interior and exterior common areas of buildings (i.e., entrances, stairways, gates) and spaces between buildings (i.e., alleyways, sidewalks, and public gathering spaces).</t>
  </si>
  <si>
    <t>Mount Lebanon: Bourj Hammoud</t>
  </si>
  <si>
    <t>The most vulnerable Lebanese and Refugees in need of basic shelter rehabilitation assistance</t>
  </si>
  <si>
    <t>The indirect beneficiaries are beneficiaries of the communal projects (inluding those who received protection sessions and rehabilitated Housing Units.</t>
  </si>
  <si>
    <t>Integrated neighborhood approach</t>
  </si>
  <si>
    <t>WaSH beneficiaries are the same as shelter beneficiaries since household rehab included the installment of WaSH facilities. NRC delivered the tenancy rights protection sessions as it was operating in the same area at the time. No formal agreement was signed with NRC.</t>
  </si>
  <si>
    <t>Documents and data available in CiL's database.</t>
  </si>
  <si>
    <t>Multi-purpose cash assistance to meet the needs of vulnerable Syrian refugees in Lebanon</t>
  </si>
  <si>
    <t>ECHOLB0003</t>
  </si>
  <si>
    <t>DCD-P</t>
  </si>
  <si>
    <t>The LCC intends to reduce suffering by improving the access of the most vulnerable households to essential goods and services of their choice in a safe, dignified and empowered manner via different causal pathways: Provision of multi-purpose cash and Referrals to non-cash based services. LCC aims to improve the most vulnerable populations access to essential goods and services of their choice in a safe, dignified and empowered manner by improving purchasing power and facilitating referrals to appropriate services. The goal of the LCC is to contribute to DFIDs identified impact of lives saved, civilians protected, suffering reduced and resilience built. LCC contributes specifically to the reduction of suffering within the refugee population in Lebanon. Achieving this by providing multi-purpose cash assistance to the most vulnerable Syrian refugee households, thereby mitigating financial barriers and reducing a reliance on negative coping strategies, mainstreaming protection (including establishing referral mechanisms), and contributing to effective coordination, harmonisation and learning in the cash sector.</t>
  </si>
  <si>
    <t>The LCC's composition enables country wide coverage with an inter-agency geographical split that runs in parallel with the agencies multi-sector programming. For CARE, the area of intervention was in Mount Lebanon (Aley and Chouf districts) and Saida.</t>
  </si>
  <si>
    <t>The target population is food insecure and socio economic vulnerable displaced Syrian households in addition to Palestinian refugees from Syria.</t>
  </si>
  <si>
    <t>Direct beneficiaries are heads of households with vulnerability criteria as set in the targeting system. The indirect beneficiaries are their household members calculated by multiplying the number of heads of households receiving assistance by the average number of all household sizes.</t>
  </si>
  <si>
    <t>No baseline was made in current FY - the consortium used the desk formula which targets participants based on UNHCR registration information. Household baseline assessments used to be conducted prior to this FY using the old targeting system.</t>
  </si>
  <si>
    <t>New desk formula used for targeting using UNHCR registration information</t>
  </si>
  <si>
    <t>Desk formula which relies on original location in Syria, displacement location in Lebanon, and household size.</t>
  </si>
  <si>
    <t>Following a gender assessment of the project, recommendations were made to make the project gender sensitive. The project also witnessed the exit of partners gradually following a governance evaluation by the donor.</t>
  </si>
  <si>
    <t>Lack of communication inside agencies, e.g. sometimes the TMG did not push enough internally to ensure that the field teams had all the info available at TMG level. Partly to do with the fact that the context was changing quickly/quick scale up etc. Also applies to communication between SC/management and TMG members.</t>
  </si>
  <si>
    <t>Good relationship with UNHCR on a field level that has facilitated coordination and implementation, including building trust.</t>
  </si>
  <si>
    <t>Lack of clarity from the start on whether the LCC was aiming to implement the same programme (as a unified entity, in the same way), or was just a coordination platform for agencies implementing a similar intervention.</t>
  </si>
  <si>
    <t>Data was sex and age disaggregated in MEAL tools and activities but not on programme level. Profiled and selected households did not have gender info.</t>
  </si>
  <si>
    <t>All documents are available at CIL database: project masterlist, project programme and MEAL reports, learning findings are available.</t>
  </si>
  <si>
    <t>Winterization Assistance for the Most Vulnerable Lebanese and Syrian Refugees</t>
  </si>
  <si>
    <t>LDSCLLB0001</t>
  </si>
  <si>
    <t>Distribution of winterization kits to the most vulnerable host communities and Syrian refugees.</t>
  </si>
  <si>
    <t>North Lebanon: Tripoli. Mount Lebanon: Bourj Hammoud</t>
  </si>
  <si>
    <t>The most vulnerable Lebanse and Syrian refugees who lack heating for wintertime.</t>
  </si>
  <si>
    <t>The indirect beneficiaries are the total number of HH members receving the gas heaters and gas bottles. The average household size is 4.84 and therefore it is multiplied by the total nb. of households receiving the kits</t>
  </si>
  <si>
    <t>Engaging community committes in one of the project areas.</t>
  </si>
  <si>
    <t>No learning document was produced for this project. Note that the beneficiaires of this project are part of BPRM2 and Habitat for Humanity (HFH) beneficiaries and are not to be double-counted.</t>
  </si>
  <si>
    <t>Data, tools and scores are available at CARE database.</t>
  </si>
  <si>
    <t>Liberia</t>
  </si>
  <si>
    <t>Refugess Assistance Initiative in Liberia (RAIL)</t>
  </si>
  <si>
    <t>Emmanuel Massaquoi</t>
  </si>
  <si>
    <t>sylvester.epiagolo@care.org</t>
  </si>
  <si>
    <t>The primiary goal is to provide multi-sector solutions to supporting protracted refugees to be integrited into the local communities to be self reliant.</t>
  </si>
  <si>
    <t>Nimba County</t>
  </si>
  <si>
    <t>Local integration of refugees</t>
  </si>
  <si>
    <t>The direct and indirect participants benefit from the WASH sector of the project while the VSLA is for adults (women and men) and the Early Childhood Education for children between ages 1-8</t>
  </si>
  <si>
    <t>Setting up of VSLA networks and groups in the new county of Nimba</t>
  </si>
  <si>
    <t>The partners established networks, skill management training and book keeping amongst beneficialries to manage their financial resources.</t>
  </si>
  <si>
    <t>Livelihood</t>
  </si>
  <si>
    <t>Early Childhood Education</t>
  </si>
  <si>
    <t>WASH</t>
  </si>
  <si>
    <t>Community entry process</t>
  </si>
  <si>
    <t>Engaging government agencies/stakeholders</t>
  </si>
  <si>
    <t>Macedonia</t>
  </si>
  <si>
    <t>Inclusion fo Ethnic Minority Women in Labour Market</t>
  </si>
  <si>
    <t>ECDVKS0001, DE701</t>
  </si>
  <si>
    <t>Dragan Peric</t>
  </si>
  <si>
    <t>dperic@care.org</t>
  </si>
  <si>
    <t>Realizing an inclusive labour market in Macedonia, where all citizens, including those from vulnerable categories, will have equal access opportunities.</t>
  </si>
  <si>
    <t>Regions of Skopje, Bitola, Stip, Kumanovo and Tetovo in the Former Yugoslav Republic of Macedonia</t>
  </si>
  <si>
    <t>Approximately 150 ethnic minority families from the target regions included in outreach project activities 'door to door' work with families on introducing the importance of women's economic empowerment and employment; 5 widerl communities (municipalities) included in the project community activities; 250 women participating at the project trainings; 30 women included in the professional practice component; 50 professionals from the Employment Service Agencies (central and regional) included in gender equality trainings, project promotional activities, project gatherings and trainings for women.</t>
  </si>
  <si>
    <t>Direct project participants: a) women who participated in the project trainings around job search, communication skills and career guidance (326), vocational trainings (167), professional practice in local companies (30) i.e. knowledge and skills for their pursue for employment; b) around 600 familiy members included in 'door to door' visits; around 150 (60% women) Agency for Employment officials included in the project trainings, meetings, social dialogue sessions, presentations for beneficiaries. Indirect participants are members of wide families  (men and women) who benefited from the employment of women from local communities, larger number of officials from the Ministry of Social Welfare and Agency for Employment benefiting from the greater response of women from the target regions to the labour market, local officials, communities of the 5 target regions at large.</t>
  </si>
  <si>
    <t>The project could only organise the baseline research, a rather relevant overview of the situration with women's inclusion in the labour market in Macedonia UBACITI OVDE LINK ZA ISTRAZIVANJEEEEEEEEE  The Donor (EC and Ministry of Finance of Macedonija) did not allow final evaluation to take place, otherwise the project would clearly have 326 women who initiated active job search and 30% of them finding employment (indicator 16).</t>
  </si>
  <si>
    <t>Through project social dialogue between women and their representative NGOs and local/national institutions, the project advocated for change of attitude amongst officials and more favourable conditions for women in the process of employment.</t>
  </si>
  <si>
    <t>The testing is lacking only because the project was not allowed a final evaluation. Otherwise, the project support package for women's employment: work with their families on improving attitudes towards women's employment, training in communication, soft skills and job search, career guidance mentoring, linkage with the employment bureau, vocational trainings and professional practice, led to new employments (30%) and active job search (up to 90% of still unemployed women).</t>
  </si>
  <si>
    <t>The project model is presented to other NGOs and interested institutions. However, because of a very short implementation period (18 months) it could not be taken to scale.</t>
  </si>
  <si>
    <t>The partner organisation (and its network of local grass root associate organisations) was mentored within the process of initiation and facilitation of the project social dialogue. They were linked (by CARE and the project) with local and national intitutions dealing with employment and became very visible in this area. They received support in managing donor rules and regulations.</t>
  </si>
  <si>
    <t>Expanding support training program for job search from traditional soft trainings to vocational courses and professional practice.</t>
  </si>
  <si>
    <t>Social dialogue initiated by the project between unemployed marginalised woment from different ethnic communities (and their representing organisations) and government instititions (national and local) on improving conditions for employment of women, was one of the crucial activities for a successful project implementation and sustainability of its effects in the target local communities.</t>
  </si>
  <si>
    <t>Psychosocial support to tradiotional families for changing gender norms and prejudices was critical for the greater response of women to project trainings.</t>
  </si>
  <si>
    <t>Maintaning high interest of government structures in supporting various project activities</t>
  </si>
  <si>
    <t>Constant communication and information sharing with government structures was very much appreciated from their side which inevitably strengthened relations with project staff.</t>
  </si>
  <si>
    <t>Grass-root level approach in identification of women needs (constant presence in the field) and developing intervention accordingly is one of the good practice that project used</t>
  </si>
  <si>
    <t>The impact analysis for this project is crippled because of the misfortunate decision of the donors (Ministry of Finance on behalf of the EC) not to allow any final project evaluation.</t>
  </si>
  <si>
    <t>Project Brochure with detailed information about the results: http://care-balkan.org/dok/1505813715.pdf. 
Research on employability of women in Macedonia - baseline (the Former Yugoslav Republic of): http://care-balkan.org/dok/1505727786.pdf</t>
  </si>
  <si>
    <t>Madagascar</t>
  </si>
  <si>
    <t>Africa - Southern</t>
  </si>
  <si>
    <t>MAHAFATOKY - Protection and adaptation against the implication of climate change on the east coast of Madagascar.</t>
  </si>
  <si>
    <t>DE632</t>
  </si>
  <si>
    <t>US1WE</t>
  </si>
  <si>
    <t>CA498_IPIA_MG</t>
  </si>
  <si>
    <t>FR836</t>
  </si>
  <si>
    <t>Centre de Crise et de Soutien</t>
  </si>
  <si>
    <t>FR837</t>
  </si>
  <si>
    <t>Aingo RAJAOBELISON</t>
  </si>
  <si>
    <t>Specialiste securité alimentaire et changement climatique</t>
  </si>
  <si>
    <t>Haingo.Rajaobelison@care.org</t>
  </si>
  <si>
    <t>Ibrahim DASY</t>
  </si>
  <si>
    <t>Ibrahim.Dasy@care.orh</t>
  </si>
  <si>
    <t>Dici la fin du projet, 50 000 ménages dans les deux districts côtiers de la région SAVA à Madagascar auront renforcé leur résilience par une plus grande capacité à sadapter aux effets du changement sur leur sécurité alimentaire et à réduire ces effets.</t>
  </si>
  <si>
    <t>PAYS: MADAGASCAR. Région: SAVA. District: Antalaha/Sambava Communes: 16</t>
  </si>
  <si>
    <t>250 000 personnes (50 000 menage) dont 10 000 femmes chef de ménage</t>
  </si>
  <si>
    <t>Reconstruction des cases d'habitation</t>
  </si>
  <si>
    <t>Evaluation de l'atteinte finale des indicateurs du projet et la pérénité des actions</t>
  </si>
  <si>
    <t>Station météorologique</t>
  </si>
  <si>
    <t>COGES et GROUPEMENT</t>
  </si>
  <si>
    <t>Champs écoles</t>
  </si>
  <si>
    <t>CGRC</t>
  </si>
  <si>
    <t>Utilisation des informations météoroliques par les paysans via les micro station météo pour les décisions agricoles.</t>
  </si>
  <si>
    <t>Les réboisements communautaires et familiaux pour augmenter les couvertures végétales</t>
  </si>
  <si>
    <t>VSLA: porte d'entrée dans la durabilité et pérénité des activitées au niveau communautaire</t>
  </si>
  <si>
    <t>Tableau de Bord mensuel,Base line,Evaluation à mi-parcours,Rapport Annuel année 2.</t>
  </si>
  <si>
    <t>VELONTEGNA</t>
  </si>
  <si>
    <t>DE649</t>
  </si>
  <si>
    <t>Haingo RAJAOBELISON</t>
  </si>
  <si>
    <t>SPECIALISTE SECURITE ALIMENTAIRE ET CHANGEMENT CLIMATIQUE</t>
  </si>
  <si>
    <t>TOVONTSOA ANDRIAMAROJAONA</t>
  </si>
  <si>
    <t>Tovo.Andriamarojaona@care.org</t>
  </si>
  <si>
    <t>A la fin du projet (fin mai 2018), 85 000 personnes (17 000 ménages) de 6 communes les plus vulnérables face aux changements climatiques des deux districts : Toamasina II et Brickaville de la Région d'Antsinanana, Madagascar auront amélioré de façon durable leur sécurité alimentaire. Ce chiffre comprend environ 21 970 femmes et filles âgées de 15 à 49 ans et au moins  4 000 femmes chefs de ménage.</t>
  </si>
  <si>
    <t>PAYS: MADAGASCAR. REGION: ATSINANANA. DISTRICTS: BRICLAVILLE ET TAMATAVE II. COMMUNES: AMBINANINONY, AMBODITANDROROHO, AMPASIMADINIKA, FANANDRANA, SUBURBAINE, ANTETEZAMBARO</t>
  </si>
  <si>
    <t>85 000 personnes vulnérables face aux changements climatiques, souffrant d'insécurité alimentaire (environ 17 000 ménages) vivant dans les communautés rurales, et pratiquant l'agriculture de subsistance. 21 970 femmes et filles âgées entre 15 et 49 ans  et au moins 4 000 femmes chefs de ménage</t>
  </si>
  <si>
    <t>Les participants directs: le nombre de personnes ciblées par le projet pendant les 3 années de msie en oeuvre au niveau des Districts et communes d'intervention. Participants Indirects: la population totale de la zone d'intervention du projet</t>
  </si>
  <si>
    <t>Evaluation finale: collecte de toutes les informations relatives aux indicateurs d'effet et d'impacten comparaison avec la situation initiale</t>
  </si>
  <si>
    <t>CSC, MASCULINITE POSITIVE</t>
  </si>
  <si>
    <t>Participations de toutes les entités existantes (Opérateurs, leader des associations locales, leader confesionnels, les autorité traditionnelles) lors des prises de décisions au niveau communautaire</t>
  </si>
  <si>
    <t>Amélioration du système de suivi évaluation suivant les normes et exigences des Projets de CARE en matière d'impact</t>
  </si>
  <si>
    <t>CEP (Champ Ecole Paysan)</t>
  </si>
  <si>
    <t>CSC (Community Score Card)</t>
  </si>
  <si>
    <t>Intensification des appuis au développement des filières</t>
  </si>
  <si>
    <t>Linkage VSLA and mùobile money</t>
  </si>
  <si>
    <t>Renforcement des collaborations avec les autorités locales et les services déconcentrés en lien avec la sécurité alimentaire</t>
  </si>
  <si>
    <t>Evaluation à mi parcours. Rapport intermédiaire N°1. Tableau de bord mois de juin</t>
  </si>
  <si>
    <t>PATHWAYS TO QUALITY EDUCATION MADAGASCAR (FANAMBY)</t>
  </si>
  <si>
    <t>LYRECO</t>
  </si>
  <si>
    <t>MALALATIANA RAZAFIMANDIMBY</t>
  </si>
  <si>
    <t>Spécialiste en autonomisation des femmes</t>
  </si>
  <si>
    <t>Tiana.Razafimandimby@care.org</t>
  </si>
  <si>
    <t>ANDRIANARIVONY SAMUEL JUSTE</t>
  </si>
  <si>
    <t>Coordinateur Technique</t>
  </si>
  <si>
    <t>Samy.Andrianarivony@care.org</t>
  </si>
  <si>
    <t>Améliorer l'accès à l'éducation primaire de qualité pour au moins 17 000 enfants âgés de 5 et de 15 ans dans le district de Vatomandry, dans la région Atsinanana de Madagascar (côte Est), avec une attention particulière à l'éducation des filles.</t>
  </si>
  <si>
    <t>PAYS MADAGASCAR. REGION ATSINANANA. COMMUNES AMBODIVOANANTO; AMBODITAVOLO; MAINTINANDRY; ILAKA EST; NIAROVANA CAROLINE; TSIVANGIANA; ANTANAMBAO MAHATSARA; SAHAMATEVINA</t>
  </si>
  <si>
    <t>Elèves; Parents d'élèves et Enseignants</t>
  </si>
  <si>
    <t>Direct: Elèves 17000; Parents d'élèves (y compris membres des AVECs et membres des FRAM, FEFFI, Comités de gestion des infrastructures) 34 000 et Enseignants 250. Indirects: Population dans les huits communes d'intervention du projet</t>
  </si>
  <si>
    <t>Evaluation finale du projet  pour colllecter toutes informations liées aux indicateurs d'impact/ effet du projet par rapport à la situation initiale</t>
  </si>
  <si>
    <t>Suivi-Evaluation participatif</t>
  </si>
  <si>
    <t>FEFFI; FRAM</t>
  </si>
  <si>
    <t>Atelier de transfert</t>
  </si>
  <si>
    <t>Suivi evaluation participatif</t>
  </si>
  <si>
    <t>la prise en compte de la dimension genre dans la mise en uvre du projet a promu lémergence de femmes entrepreneurs au niveau des AVEC</t>
  </si>
  <si>
    <t>Les élèves, autant filles que garçons commencent à jouir et à vivre progressivement leurs droits en tant quenfants</t>
  </si>
  <si>
    <t>Hommes et femmes commencent à se concerter sur les décisions à prendre  au niveau de leur ménage</t>
  </si>
  <si>
    <t>Rapport annuel des activités année 3 et Tableau de bord</t>
  </si>
  <si>
    <t>Projet Assainissement Innovant en milieu Urbain PAIU/Projet  Fanatsaràna ny Faripiainanny Mponina Andrenivohitra aminny Fandrindràna ny Fidiovana sy ny Fahadiovana (FAMAFA)</t>
  </si>
  <si>
    <t>CFRAMG0045</t>
  </si>
  <si>
    <t>Avo RATOARIJAONA</t>
  </si>
  <si>
    <t>Spécialiste Renforcement institutionnel et gouvernance</t>
  </si>
  <si>
    <t>Avo.Ratoarijaona@care.org</t>
  </si>
  <si>
    <t>SOLO RAZAFINJATO</t>
  </si>
  <si>
    <t>Solo.Razafinajato@care.org</t>
  </si>
  <si>
    <t>Améliorer les conditions de vie et sanitaire des populations vulnérables vivant dans la commune urbaine d'Antananarivo pour un meilleur accès à des facilités sanitaires des gestions de déchets associé à un comportement collectif et individuel adéqaut contribuant à la réduction de maladies d'origine hydrique, notamment chez les enfants à bas âge.</t>
  </si>
  <si>
    <t>Pays: Madagascar. Région: Analamanga. Commune: Commune Urbaine d'Antananarivo/ Capital de Madagascar</t>
  </si>
  <si>
    <t>11 053 ménages les plus vulnérables dont 28 186 femmes  vivant dans 12 fokontany de la Commune Urbaine d'Antananarivo, en particulier les femmes et les filles</t>
  </si>
  <si>
    <t>Les participants directs sont : - L'Association partenaire de mise en uvre. - Les 12 Associations RF2 institutionnalisés. - Les 04 Associations des maçons et des vidangeurs institutionnalisés. - Agent de collecte récruté par les RF2 (50% homme, 50% femme). - Les 03 groupements de femmes créées. (Le calcule de nombre des bénéficiaires directes du projet s'est fait à partir du nombre total des membres désagrégés par sexe dans le statut du groupe). Les participants indirects sont : - C'est le nombre de ménages sensibilisés via les porte à porte et la distribution de la carte d'adhésion des ménages qui adoptent le système de collectes des ordures ménagères effectué par les associations RF2</t>
  </si>
  <si>
    <t>Autofinancement de la Gestion du cycle complet de l'assainissement au niveau local</t>
  </si>
  <si>
    <t>Parténariat avec WSUP sur marketing social de l'assainissement et mise en place d'un système de traitement de boue de vidange</t>
  </si>
  <si>
    <t>Appui à la formalisation des structures locales, Renforcement de capacité, échanges d'expériances et équipements</t>
  </si>
  <si>
    <t>Approche adoptée pour toucher les couches les plus vulnérables dans la promotion des latrines familiales. Mobilisation de partenariat pour le rapprochement des structures locales et d'autres acteurs de développement. Changement de technologie DEWATS =&gt; Biobolsa. Implication des nouveaux dirigeants de la CUA dans la continuité des acquis. Considération des recommandations ressorties de l'évaluation à mi-parcours du projet dans les activités de suivi, accompagnement et contrôle.</t>
  </si>
  <si>
    <t>Implication des autorités locales, services techniques, ministères</t>
  </si>
  <si>
    <t>Développement et maintien de partenariat à différents niveaux</t>
  </si>
  <si>
    <t>Renforcement de capacité suivant les besoins et les situations existantes</t>
  </si>
  <si>
    <t>L'incapacité à payer des ménages limite et retarde le travail des RF2 dans l'opérationnalisation du système de gestion des déchets solides et liquides, et affecte la pérennisation des services au terme du projet. Le renforcement de partenariat à tous les niveaux, autorités locales et établissements publics et privés notamment, est alors le garant du mécanisme d'autofinancement local</t>
  </si>
  <si>
    <t>La promotion de l'hygiène et l'assainissement comme priorité politique et budgétaire est indispensable pour favoriser les changements de comportement, garantir un minimum de cotisation et améliorer les conditions de santé de la population.</t>
  </si>
  <si>
    <t>La modification du système de traitement des boues de vidange en cours du projet témoigne de la difficulté à porter des innovations techniques dans un délai si contraint et les enjeux des problèmes fonciers dans le milieu urbain.</t>
  </si>
  <si>
    <t>Amélioration de stratégie pour l'atteinte des groupes les plus vulnérables. Intensification de partenariat avec les autorités locales pour la régularisation foncière (Biobolsa). Compte rendu systématique auprès des nouveaux dirigeants de la CUA pour les impliquer dans le processus de mise en oeuvre</t>
  </si>
  <si>
    <t>Document de projet. Cadre logique. Rapports trimestriels sur les avancements des activités, rapports semestriels, rapport annuel, rapport final. Rapports d'activités des RF2 et de l'association FIOMBONANA, WSUP. Rapport d'évaluation à mi-parcours, rapport d'évaluation final. Rapports des formations dispensées. Document de capitalisation</t>
  </si>
  <si>
    <t>Réponse durgence pour soutenir les personnes vulnérables victimes dEl Niño dans le Grand Sud de Madagascar</t>
  </si>
  <si>
    <t>ECHO-SUD</t>
  </si>
  <si>
    <t>HARITIANA Randrianarisoa</t>
  </si>
  <si>
    <t>Specialiste en Resilience Humanitaire</t>
  </si>
  <si>
    <t>Haritiana.Randrianarisoa@care.org</t>
  </si>
  <si>
    <t>RAZAFINDRIAKA Mamy Hary Tiana</t>
  </si>
  <si>
    <t>Mamy.Razafindriaka@care.org</t>
  </si>
  <si>
    <t>Accélérer le rétablissement et renforcer les capacités de résilience des communautés les plus vulnérables affectées par les chocs climatiques</t>
  </si>
  <si>
    <t>Pays Madagascar. Region Androy. District Ambovombe. Commune Analamary, Ambazoa, Erada, Ambonaivo, Ambondro, Ambanisarika, Tsimananada</t>
  </si>
  <si>
    <t>Ménages dirigés par des femmes, - Ménages avec le plus grand nombre de personnes à charge, avec une préférence pour les enfants de moins de cinq ans et plus âgés et les personnes en situation de handicap, - Femmes enceintes ou allaitantes, et femmes sans accès à la terre.</t>
  </si>
  <si>
    <t>Participant Direct: Menages vulnerables touchés par la crise dont 60% de Femmes et 40% Hommes,. Participant Indirect : Les Membres des menages beneficiaires vulnerables dont 60% Femmes et 40% Hommes</t>
  </si>
  <si>
    <t>Collecter toutes des informations des indicateurs d'effet et impacts du projet</t>
  </si>
  <si>
    <t>Partenariat avec les secteurs privées(Bush proof) pour amelioré la qualité de travaux</t>
  </si>
  <si>
    <t>COGES et Groupement</t>
  </si>
  <si>
    <t>Comités de Gestions des infrastructures</t>
  </si>
  <si>
    <t>Champs Ecoles des Groupements</t>
  </si>
  <si>
    <t>Comités de Gestions des l'eau ( CGE)</t>
  </si>
  <si>
    <t>Réalisation de paiement porte à porte pour le cash inconditionnel et valorisation et insertion des femmes aux comités et groupement de lagriculture</t>
  </si>
  <si>
    <t>La pratique de la technique améliorée comme les brises vent et Semi Direct pour les couvertures Vegetales(SDCV) et surtout les techniques favorables aux changements climatiques</t>
  </si>
  <si>
    <t>Distribution du charrette pneumatiques et Futs pour transport de l'eau aux beneficiaires se traouvant loin des sources d'eau</t>
  </si>
  <si>
    <t>Cash Transfert: Retard du demarrage du projet dès les debut, donc les deadline sur la periode de soudure ont été en retard. les processus des payements au mobile Money sont très long et lents; agricultures: l'appuies technique du groupement et la distribution des kits agricole et Semences ameliorée sont des activités liée aux changement climatiques dans la Regions Androy; Approvisionnement en Eau: La realisations des forages dans la region Androy n'ont pas de donnéés des resultats escomptée vu les caractéres geologiques du sol.</t>
  </si>
  <si>
    <t>Rapport Evaluation initiale du projet; Rapport intermediaire interne fin Aout 2017; Tableau de bord fin Aout 2017;</t>
  </si>
  <si>
    <t>Southern Madagascar Drought Relief and Risk Reduction Program</t>
  </si>
  <si>
    <t>AID-OFDA-G-16-00124</t>
  </si>
  <si>
    <t>HARITIANA Andrianarisoa</t>
  </si>
  <si>
    <t>Specialiste en Résilience et Humanitaire</t>
  </si>
  <si>
    <t>ANDRY Nasolonanahary</t>
  </si>
  <si>
    <t>Andry.Nasolonanahary@care.org</t>
  </si>
  <si>
    <t>Accélérer le redressement et renforcer la résilience des communautés dont les moyens de subsistance, la sécurité alimentaire et de la santé ont été affectés par la sécheresse</t>
  </si>
  <si>
    <t>Pays Madagascar. Région Anosy et Androy. District Amboasary Sud et Ambovombe. Commune Amboasary Sud,Tanandava Sud, Sampona, Maroalomainty, Maroalopoty,Anjeky et Ambovombe</t>
  </si>
  <si>
    <t>Ménage vulnérable touchés par la secheresse dans le district d'Amboasary et d'Ambovombe</t>
  </si>
  <si>
    <t>Participants directs: Personnes vulnérables dont 60% des femmes. Participants indirects: Personnes affectées dans la zone cible</t>
  </si>
  <si>
    <t>Collecter toutes les informations des indicateurs d'impact et effet</t>
  </si>
  <si>
    <t>Partenariat avec secteur (BUSH PROOF) privé pour ameliorer la qualité de l'eau</t>
  </si>
  <si>
    <t>Le projet travail etroitement avec les comités ou groupements qu'il a constitué et formé dans toutes les zones d'intervention afin de peréniser l'action du projet</t>
  </si>
  <si>
    <t>L'objectif du projet n'a jamais changé</t>
  </si>
  <si>
    <t>Implication des femmes dans tous les secteurs du projet surtout dans le secteur de microfinance</t>
  </si>
  <si>
    <t>Duffision des techniques agricoles ameliorées à travers des champs écoles par les MAFA (Groupe des paysans agricoles)</t>
  </si>
  <si>
    <t>Implication des acteurs locaux (AC, ACN, comités, etc) sur la sensibilisation des messages clés sur WASH</t>
  </si>
  <si>
    <t>Mettre des points d'eau potable fonctionnels dans les districts d'Ambovombe et Amboasary Sud demande un grand défi, pourtant ce sont les zones d'ntevention de CARE.</t>
  </si>
  <si>
    <t>L'implication des communautés dans la prise de décision à travers la validation par assemblé générale est l'une des grandes leçons de cet exercice fiscal</t>
  </si>
  <si>
    <t>L'utilisation de l'approche Do No Harm a permi le projet à detecter les points de connection et de division des communautés afin de mieu préparer aux interventions</t>
  </si>
  <si>
    <t>Le projet travail avec les structures locales afin de mieu cerner les activités</t>
  </si>
  <si>
    <t>Document de projet, cadre logique, rapport intermédiaire</t>
  </si>
  <si>
    <t>US1TR</t>
  </si>
  <si>
    <t>Contribuer à l'amélioration de la sécurité alimentaire y compris la réhabilitation nutritionnelle</t>
  </si>
  <si>
    <t>Pays Madagascar. Région Anosy. District Amboasary. Commune Behara, Ifotaka, Tranomaro et Ebelo</t>
  </si>
  <si>
    <t>Ménage vulnérable</t>
  </si>
  <si>
    <t>bénéficiaires directs: Ménages vulnérables bénéficiaires des activités de VCT (440 ménages) et nombre de ménages ayant des enfants MAM et MAS (2000 mnéages). bénéficiaires indirects: les Membres des ménages bénéficiaires directs</t>
  </si>
  <si>
    <t>COGES, groupement</t>
  </si>
  <si>
    <t>Une prolongation pour deux (02) mois (Août et septembre)</t>
  </si>
  <si>
    <t>Mise place des boîtes à doléance</t>
  </si>
  <si>
    <t>Carte de score communautaire</t>
  </si>
  <si>
    <t>Planification communautaire (entretien des ifrastructures mis en place)</t>
  </si>
  <si>
    <t>Implication des femmes dans tous les domaines d'intervetion du projet</t>
  </si>
  <si>
    <t>Renforcement de capacité des structures locale (Comité de plainte, comité de gestion des infrastructures, AC, etc.) en matière de gestion de conflit, leadership, entretien et gestion des infrastructures</t>
  </si>
  <si>
    <t>La bonne coordination avec les autres intervenants est parmis notre défi à l'avenir</t>
  </si>
  <si>
    <t>La réalisation des activités du projet est toujours en collaboration avec les structures locales pour avoir plus d'impact au niveau de la communauté</t>
  </si>
  <si>
    <t>Tableau de bord fin mois d'août 2017, rapport trimestriel,</t>
  </si>
  <si>
    <t>Action Intégrée en Nutrition et Alimentation (AINA)</t>
  </si>
  <si>
    <t>CNLDMG0008</t>
  </si>
  <si>
    <t>Spécialiste en Sécurité Alimentaire</t>
  </si>
  <si>
    <t>haingo.rajaobelison@care.org</t>
  </si>
  <si>
    <t>Serge ROBSON</t>
  </si>
  <si>
    <t>serge.robson@care.org</t>
  </si>
  <si>
    <t>Améliorer la sécurité alimentaire et nutritionnelle des familles</t>
  </si>
  <si>
    <t>Région Anosy. District Amboasary sud. 06 communes et 88 fokontany</t>
  </si>
  <si>
    <t>10280 ménages vulnérables dont 1850 femmes chefs de ménage. 17000 enfants moins de 5 ans</t>
  </si>
  <si>
    <t>Participants directs: Nombre de personnes touchées directement par les actions du projet. Participants indirects: Nombre de population dans les villages d'intervention du projet</t>
  </si>
  <si>
    <t>Evaluation finale du programme AINA constitué par trois agences des Nations Unies (FAO, FIDA et PAM) et cinq ONG actives dans le pays (AIM, CARE, GRET, ICCO, WHH)</t>
  </si>
  <si>
    <t>Autonomisation des femmes dans un contexte de société très patriarchale</t>
  </si>
  <si>
    <t>demultiplication des meilleures pratiques de chaque organisme de mise en uvre par les membres du consortium à travers les partages de connaissances et des expériences</t>
  </si>
  <si>
    <t>Mise en place du système de suivi evaluation au niveau de l'Office Régional de la nutrition</t>
  </si>
  <si>
    <t>Existance des Paysans Leaders qui forment les paysans producteurs sur les techniques culturales adaptées au contexte de changement climatique</t>
  </si>
  <si>
    <t>Agent communautaire en Nutrition (ACN) qui font des séances de renforcement de capacité et de sensibilisation en nutrition au niveau de la communauté</t>
  </si>
  <si>
    <t>Champs de démonstration pour la formation sur les techniques culturales et de vitrine pour les réalisations</t>
  </si>
  <si>
    <t>La divergence des approches appliquées par les différents intervenants a constitué une des contraintes principales rencontrées par le projet. C111</t>
  </si>
  <si>
    <t>La contribution des bénéficiaires aux matériels de stockage et aux infrastructures communautaires était difficile au début du projet. Pour faire face à ce problème, le projet a fait connaître le coût total détaillé des travaux aux bénéficiaires, et après ils ont choisi en quoi ils vont apporter leur 10% de contribution</t>
  </si>
  <si>
    <t>Les activités de promotion des bonnes pratiques nutritionnelles ont eu une contrainte relative à lhabitude des gens à attendre des contreparties par rapport aux activités de sensibilisation. AINA a sensibilisé dabord les AC sur lapproche de CARE de ne pas conditionner les activités de sensibilisation avec ces contreparties. Les AC convaincus ont par la suite pris la responsabilité de transmettre ce message aux ménages et ces derniers ont trouvé leurs avantages en participant aux activités de sensibilisation et pesée et en adoptant les bonnes pratiques.</t>
  </si>
  <si>
    <t>Rapport final du projet AINA mise en uvre par CARE. Rapport d'évaluation finale du programme AINA</t>
  </si>
  <si>
    <t>ASARA - FRDA Anosy (Amélioration de la Sécurité Alimentaire et Augmentation des Revenus Agricoles/Fonds Régional de Développement Agricole dans la Région Anosy)</t>
  </si>
  <si>
    <t>CNLDMG0007</t>
  </si>
  <si>
    <t>RAZAFIMANDIMBY Malala Tiana</t>
  </si>
  <si>
    <t>Spécialiste autonomisation des femmes</t>
  </si>
  <si>
    <t>ANDRIANIRINA Fanomezantsoa Eddy</t>
  </si>
  <si>
    <t>Eddy.Andrianirina@care.org</t>
  </si>
  <si>
    <t>OG. 1 : Contribuer à soutenir le développement dexploitations agricoles, incluant celles dirigées par les femmes pour améliorer leur productivité et rentabiliser leurs investissements. OG. 2 : Contribuer à assurer la sécurité alimentaire en favorisant un accès équitable des producteurs aux services, incluant les femmes vulnérables.</t>
  </si>
  <si>
    <t>Région Anosy. District Tolagnaro, Amboasary et Betroka. 68 Communes</t>
  </si>
  <si>
    <t>30 000 Exploitants Agricoles Familiaux (ou Ménages Exploitants Agricoles), dont au moins 30% sont gérés par des femmes.</t>
  </si>
  <si>
    <t>Bénéficiiares directs: ménages, Exploitants agricoles dont 30% sont des femmes chefs de ménages. Bénéficiaires indirectes: la population concernée dont  30% sont des femmes chefs d ménages.</t>
  </si>
  <si>
    <t>L'évaluation finale du projet sera confié à un évaluateur externe par voie d'appel d'offre ouvert. L'évaluation sera axées sur la collecte des differents informations sur les indicateurs des effets et impacts du projets.</t>
  </si>
  <si>
    <t>Financement des demandes des producteurs "multi-services" dont lesprit même de ces types de demandes qui se veut être un coup de pouce pour les demandeurs afin descompter un maximum dadoption/impact au niveau des bénéficiaires. Les demandes sont souvent constituées de demandes de services SOFT, accompagnées par des acquisitions des matériels, équipements agricoles et des cheptels pour les filières élevages ;  assez suffisant pour une meilleure adoption/ d'impact au niveau des bénéficiaires.</t>
  </si>
  <si>
    <t>Abondement de fonds par les autres acteurs dans la région pour réalisées et financées les demandes des bénéficiaires (Infrastructures, matériels...)</t>
  </si>
  <si>
    <t>STD</t>
  </si>
  <si>
    <t>Communiquer pour faire favoriser une meilleure équité daccès des EAF aux service.</t>
  </si>
  <si>
    <t>Renforcer lorganisation, le fonctionnement, la gestion, la gouvernance du FRDA, dans loptique daméliorer la qualité des services offerts</t>
  </si>
  <si>
    <t>Travailler en étroite coordination avec les différents partenaires régionaux.</t>
  </si>
  <si>
    <t>Effets tâche dhuile des acquis de formation  : itinéraire de formation efficace au coût maîtrisé (formation théorique, formation pratique, accompagnement des personnes formées)</t>
  </si>
  <si>
    <t>Collaboration avec d'autres projets en cohérence avec les activités du projet</t>
  </si>
  <si>
    <t>Réunions périodiques de coordination et partage  dexpériences entre le projet et ou  différents acteurs de dévéloppement dans la région pour améliorer les interventions futures.</t>
  </si>
  <si>
    <t>Le FRDA Anosy a clos sa troisième année dexécution dans le cadre du projet ASARA financé par lUNION EUROPEENNE. Le constat est que les producteurs sapproprient progressivement de cet outil de financement qui est très important dans la résolution leurs besoins par le financement des services demandés. Cette appropriation se manifeste par laccroissement des demandes reçues au niveau des cinq guichets. Le niveau de capacité des membres du CROA par rapport aux différentes exigences et orientations pour une bonne utilisation des fonds de services auprès des bénéficiaires sest amélioré également, des impacts positifs sont constatés de ce faite au niveau de beaucoup de bénéficiaires de la subvention du FRDA. Ainsi, ce mécanisme tient actuellement une place vraiment importante aux yeux des producteurs dans la Région Anosy.</t>
  </si>
  <si>
    <t>Renforcement des Actions de Nutrition AINA (RAN-AINA)</t>
  </si>
  <si>
    <t>NL161</t>
  </si>
  <si>
    <t>Spécialiste de renforcement institutionnel</t>
  </si>
  <si>
    <t>Serge ROBSON ANDRIAMANANIRINA</t>
  </si>
  <si>
    <t>Coordinateur Technique du projet</t>
  </si>
  <si>
    <t>Serge.Robson@care.org</t>
  </si>
  <si>
    <t>Contribuer à l'amélioration de l'état nutritionnel d'au moins 17000 enfants âgés de moins de cinq ans (dont 51% filles) et de 7000 femmes allaitantes et enceintes dans 88 Fokontany du District d'Amboasary sud</t>
  </si>
  <si>
    <t>Pays : Madagascar. Région : Anosy. District : Amboasary sud. Communes : Amboasary sud, Tanandava sud, Sampona, Ifotaka, Ebelo, Behara</t>
  </si>
  <si>
    <t>18 000 ménages vulnérables et 17 000 enfants moins de 5 ans</t>
  </si>
  <si>
    <t>participants directs : Ménages vulnérables ciblés par le projet. participants indirects :  population de la zone d'intervnetion du projet</t>
  </si>
  <si>
    <t>Etude CAP final. Evaluation finale du projet</t>
  </si>
  <si>
    <t>approche CSC, approche masculinité positif, CCN, CAEM .</t>
  </si>
  <si>
    <t>TCU : Transformation, Conservation et Utilisation</t>
  </si>
  <si>
    <t>sensibilisation, formation, éducation</t>
  </si>
  <si>
    <t>aucun ajustement est apporté par le projet sur ses buts et activités</t>
  </si>
  <si>
    <t>engagement des hommes ou Mascunilité Positif (MP)</t>
  </si>
  <si>
    <t>planification communautaire ou Plan d'Action Communal en Nutrition (PACN)</t>
  </si>
  <si>
    <t>carte de score de la communauté ou Community Score Cards (CSC)</t>
  </si>
  <si>
    <t>pratiques prometteuses : alimentation des enfants (Allaitement Maternel Exclusif (AME), Allaitement Maternel Immédiat (AMI), Diversification Alimentaire (DA), Transformation Conservation et Utilisation (TCU)), fréquentation des centres de santé (Centre de Santé de Base (CSB), Centre d'Accueil Enfants Mères (CAEM)), collaboration entre groupe VSLA (Village Soaving Load Association) et Agents Communautaire (AC) au niveau CAEM sur la gestion des matériels TCU, actualisation et mis en uvre des PACN</t>
  </si>
  <si>
    <t>défis : pérennisation des approches adoptées (CSC, masculinité positive), financement des projets dans les PACN, les plans d'action issus des CSC alimentent les PACN ou annexés aux PACN</t>
  </si>
  <si>
    <t>apprentissage : renforcement des capacités des AC en matière de MP, renforcement des capacités des Comité Communal de Nutrition (CCN) en matière de plaidoyer et de négociation des financements</t>
  </si>
  <si>
    <t>les AC ont joué un grand rôle dans l'atteinte des objectifs du projet en assurant les activités de sensibilisation, suivi, accompagnement, orientation, référencement, plaidoyer - le projet est devenu point d'appui des partenaires sur la réalisation des communications de masse en matière de santé nutrition - malgré le respect des us et coutumes qui prédominent dans la zone d'action du projet, l'engagement des hommes dans les activités de nutrition a apporté des changements significatifs (ex : allègement des tâches ménagères,....)</t>
  </si>
  <si>
    <t>rapport sur l'étude de référence, rapport sur les études CAP, rapport d'évaluation à mi-parcours, tableau de bord situation au fin juin 2017, rapport d'activités annuels (2015, 2016) et semestriels (2017)</t>
  </si>
  <si>
    <t>Project to strengthen the most flood-vulnerable communities of the Urban Commune of Antananarivo (CUA)</t>
  </si>
  <si>
    <t>AID-OFDA-G-15-00296</t>
  </si>
  <si>
    <t>ANDRIAMIARINARIVO RAJAONARISON</t>
  </si>
  <si>
    <t>COUNTRY DIRECTOR</t>
  </si>
  <si>
    <t>rivo.rajaonarison@care.org</t>
  </si>
  <si>
    <t>HARITIANA RANDRIANARISOA</t>
  </si>
  <si>
    <t>HUMANITARIAN AND RESILIENCE SPECIALIST</t>
  </si>
  <si>
    <t>haritiana.randrianarisoa@care.org</t>
  </si>
  <si>
    <t>Renforcer la résilience aux catastrophes des communautés exposées aux inondations dans la Commune urbaine d'Antananarivo (CUA) en réduisant la vulnérabilité et en renforçant les capacités et la collaboration entre les parties prenantes</t>
  </si>
  <si>
    <t>Madagascar. Région Analamanga. Commune Urbaine d'Antananarivo - 75 fokontany</t>
  </si>
  <si>
    <t>Communauté des 75 fokotany avec les membres de l'admnisatration dans la municipalité d'Antannarivo et  Entreprise membres de la plateforme du Secteur privé</t>
  </si>
  <si>
    <t>Participants directs: Nombre des membres des comités de GRC au niveau des fokontany. Participants indirects: Nombre de population vulnérables des 75 fokontany bénéficiaire du projet</t>
  </si>
  <si>
    <t>Evaluation finale du projet pour analyser les impacts du projet au niveau des cibles</t>
  </si>
  <si>
    <t>Système d'alerte précoce à base communautaire</t>
  </si>
  <si>
    <t>Renfrocement de capacité des membres du plateforme humanitaire du secteur privé sur les normes et standars éssentiels d'intervention d'urgence et l'intégration de la RRC et urgences dans les responsabilités sociétales des entreprises (RSE)</t>
  </si>
  <si>
    <t>La planification communautaire</t>
  </si>
  <si>
    <t>Engagement des autorités gouvernementales et communales dans les actions de réduction des risques</t>
  </si>
  <si>
    <t>Défis pour CARE d'intervenir dans une zone très politisée comme la Capitale où  les autorités élues et leurs décisions sont dépendantes de la tendance</t>
  </si>
  <si>
    <t>Les rigeurs scientifiques des chercheurs de l'université a causé un certain retard dans le planning. Selon eux, le temps imparti ne leur permettaient pas de produire des résultats d'analyse scientifiquement approfondie.  Pourtant, l'implication de l'Université dans la mise en uvre des recherches leur a permi de mettre en pratique tout ce qui est théorie acquise durant leur cursus universitaire et sortir des résulats de recherches préliminaires.   </t>
  </si>
  <si>
    <t>Durée du projet trop courte pour assurer la perennisation complete des structures et système mise en place par le projet. Au moins un deuxième cycle du rpojet aurait dû avoir lieu pour assurer cette opérationnalisation effective et durabilité des actions auprès des cibles.</t>
  </si>
  <si>
    <t>Malawi</t>
  </si>
  <si>
    <t>Pathways to Secure livelihoods</t>
  </si>
  <si>
    <t>PID: GATEMW0009, FC: USN33</t>
  </si>
  <si>
    <t>Salome Mhango</t>
  </si>
  <si>
    <t>salome.mhango@care.org</t>
  </si>
  <si>
    <t>Lemekeza Mokiwa</t>
  </si>
  <si>
    <t>Programme Director</t>
  </si>
  <si>
    <t>lemekeza.mokiwa@care.org</t>
  </si>
  <si>
    <t>To empower women small holder farmer through more productive and equitable engagement in sustainable agriculture</t>
  </si>
  <si>
    <t>Malawi, Central region, Kasungu &amp; Dowa districts</t>
  </si>
  <si>
    <t>Chronically rural food insecure poor women with land and labour and living below 1$ per day</t>
  </si>
  <si>
    <t>Direct participant are those that consistently participate in the program level activities and are registered in the project database.  Indirect participant are members of households from from which direct participants come from and the community at large. Five is the average household size in the area.</t>
  </si>
  <si>
    <t>No</t>
  </si>
  <si>
    <t>The programme has introduced drugderly reducing small equipment for women farmers in Kasungu and Dowa. This is in pilot stage. Inovation results will be measured and utilized for scaling up upon assessment</t>
  </si>
  <si>
    <t>The new innovation is in pilot stage and if proven successful will be scaled up</t>
  </si>
  <si>
    <t>Pathways to Secure livelihoods is in transition state and therefore is at the stage where it is consoilidating learning and gathering more evidence around some of its approaches such as the FFBS. One major focus has been to understand how Government can institutionalize the approach within the DAESS system and as a result it has held a number of workshops with Govt staff from different sections such as Agriculture, gender inorder to figure out how this can be done.  Some of the proposed outcomes of such meetings are to ensure that as the project is winding up, there should be a learning visit with high level Officials from Government and district level offices to understand  and appreciate the approach.  This will be coupled with a fully flegded training especially for the gender Ministry on gender dialogues and outcome mapping methodology and the FFBS approach with Agriculture filed level staff.</t>
  </si>
  <si>
    <t>Use of FFBS curricular to deliver trainings in Agriculture, Markets and Gender</t>
  </si>
  <si>
    <t>Backyard gardening</t>
  </si>
  <si>
    <t>FFBS financing for market engagement and for higher level income generating activities</t>
  </si>
  <si>
    <t>Botton up approach to extension services employed on demonstration plot protocols served as an eye opener to the project staff. The approach revealed that communities are capable of designing their own learning agenda</t>
  </si>
  <si>
    <t>FFBS financing was introducing to cover the costs of marketing of Soya and Groundnuts (i.e. Communication) however, the farmers groups are using the funds in different ways to promote investiment in productive activities such as ground nut shellers</t>
  </si>
  <si>
    <t>Intergration has increased investiment in VSLA shares. With increased productivity, the share out value continues to increase every year. This also attributed proper planning and budgeting following members attendance in gender dialogue sessions</t>
  </si>
  <si>
    <t>Vetting forms</t>
  </si>
  <si>
    <t>Emergency cash transfers, nutrition and livelihood assistance for chronically food insecure households in Malawi</t>
  </si>
  <si>
    <t>PID: CCANMW0015; CA367</t>
  </si>
  <si>
    <t>Jessica Swart</t>
  </si>
  <si>
    <t>Emergency Team Leader</t>
  </si>
  <si>
    <t>jessica.swart@care.org</t>
  </si>
  <si>
    <t>Clement Bisai</t>
  </si>
  <si>
    <t>MEL Advisor</t>
  </si>
  <si>
    <t>clement.bisai@care.org</t>
  </si>
  <si>
    <t>Reduced vulnerability of crisis-affected people, especially women and children</t>
  </si>
  <si>
    <t>TAs Ndindi &amp; Kambalame</t>
  </si>
  <si>
    <t>Households affected by the El Nino drought who have poor food or nutrition security, and have weak access to agricultural inputs to recover from the drought.</t>
  </si>
  <si>
    <t>The direct participants are the cash transfer participants and their families, the livelihood (maize seed) and nutrition participants. The indirect participants are the families of the livelihood and nutrition participants.</t>
  </si>
  <si>
    <t>The endline survey to be carried in November for the project will be ascertain any changes that have been observed between baseline findings and those of the endline survey as a result of the project interventions implemented in the project lifetime</t>
  </si>
  <si>
    <t>After reflecting on CARE's approach to gender transformative programming, the project carried out additional staff training on gender, and conducted a Rapid Gender Analysis in the project areas.</t>
  </si>
  <si>
    <t>Mainstreaming gender and protection</t>
  </si>
  <si>
    <t>Integrating nutrition into emergency and agriculture interventions</t>
  </si>
  <si>
    <t>The project should have done a more thorough assessment looking at appropriate livelihoods interventions for displaced flood victims, as there were certain possibilities that were not fully explored</t>
  </si>
  <si>
    <t>The targeting process, in which the local leaders were segregated from the general population, was effective in minimizing their influence</t>
  </si>
  <si>
    <t>The project's interventions are spread too thinly; it would have been better to have more comprehensive (multi-sectoral) support to fewer households</t>
  </si>
  <si>
    <t>No any review exercise had been carried out at that material time as the project was just starting its activity implementation process</t>
  </si>
  <si>
    <t>Southern Africa Nutrition Initiative (SANI)</t>
  </si>
  <si>
    <t>PID: CCANMW0014; CA358</t>
  </si>
  <si>
    <t>Canada</t>
  </si>
  <si>
    <t>Clement Ndiwo Banda</t>
  </si>
  <si>
    <t>Programs Manager</t>
  </si>
  <si>
    <t>Mark Kumbukani Black</t>
  </si>
  <si>
    <t>M&amp;E Advisor</t>
  </si>
  <si>
    <t>Contribute to the reduction of maternal and child mortality in targeted areas</t>
  </si>
  <si>
    <t>Traditional Authority Dzoole and Kayembe in Dowa District and TA Kalumo and Kasakula in Ntchisi District</t>
  </si>
  <si>
    <t>Women of reproductive age and boys and girls under 5 in  Malawi</t>
  </si>
  <si>
    <t>Direct participants are the women of reproductive age, boys and girls of under five while indirect participants are other members of the household (boys and girls above 5 years), men and women who are attached to the direct participants.</t>
  </si>
  <si>
    <t>Worked with government and civil society structures through District nutrition coordinating committees.</t>
  </si>
  <si>
    <t>Initially the project was required to implement in 6 Traditional Authorities but this was changed to 4 TA s after consultations with the Districts where it was discovered that other NGOs were also implementing similar interventions. The project did not change the activities but the approaches</t>
  </si>
  <si>
    <t>The baseline revealed that the majority of the households are still food insecure and gender inequality at household level seems to contribute much.</t>
  </si>
  <si>
    <t>Implementation of nutrition program require working with different stakeholders for smooth implementation and standardization</t>
  </si>
  <si>
    <t>There are a number of actors working on similar initiative hence require concerted efforts to coordinate and avoid duplication of efforts</t>
  </si>
  <si>
    <t>The project was in it's start up phase. The only major activities done in the year was a baseline study and attending coordination meetings at both national and district level. Implementation of activities will commence in FY18, hence no reach data has been provided above.</t>
  </si>
  <si>
    <t>Markers vetting forms</t>
  </si>
  <si>
    <t>Food Security for El Nino Affected Communities in Malawi</t>
  </si>
  <si>
    <t>CDEUMW0011</t>
  </si>
  <si>
    <t>Andrew Khumalo</t>
  </si>
  <si>
    <t>andrew.khumalo@care.org</t>
  </si>
  <si>
    <t>The primary objective was to respond to the food insecurity crisis and improve the adaptive capacity of populations vulnerable to El Niño impacts in Malawi</t>
  </si>
  <si>
    <t>Ntcheu, Mulanje, and Nsanje Districts.</t>
  </si>
  <si>
    <t>These were households that were affected by the El Nino drought in the 2015/16 growing season, who were highly food insecure and had lost significant assets.</t>
  </si>
  <si>
    <t>The direct participants are individulas who the project intended to reach with food security support and resilience building interventions while the indirect participants are household members of the direct participants calculated using the average family size of 5.5</t>
  </si>
  <si>
    <t>The project phased out in May 2017, and already held a final evaluation.</t>
  </si>
  <si>
    <t>The Community Based Adaptation to climate change (CBA) approach which is about  about empowering communities and their local governments to analyze and understand how climate is, and will continue affecting their lives; make informed and anticipatory decisions on priority adaptation actions; and continuously adjust their livelihood and risk management strategies in response to new and uncertain circumstances.</t>
  </si>
  <si>
    <t>Linkages to VSLAs for financial sustainability</t>
  </si>
  <si>
    <t>Complaints response mechanisms, particularly an independent complaints hotline</t>
  </si>
  <si>
    <t>Stakeholder reflective and planning session</t>
  </si>
  <si>
    <t>Reflective meetings and Dialogue with communities helped the communities/ parteners and other stakeholders to identify gaps together with project staff and resolve them together</t>
  </si>
  <si>
    <t>Involvement of Government extension staff and staff from other CARE projects made the transision of project participants to other long-term programmes smooth</t>
  </si>
  <si>
    <t>Triggering of community discussions among target communities as a result of the CBA process raised expectations that identified underlying risk factors would be addressed, this brought some level of frustration among local structures and target communities</t>
  </si>
  <si>
    <t>Improving Food Security and Building Resilience ( GIZ Nutrition)</t>
  </si>
  <si>
    <t>PID: CDEUMW0009; FC: DE684</t>
  </si>
  <si>
    <t>Country Office Monitoring and Evaluation Advisor</t>
  </si>
  <si>
    <t>Rose F Tchwenko</t>
  </si>
  <si>
    <t>Assitant Country Director - Program</t>
  </si>
  <si>
    <t>Rose.Tchwenko@care.org</t>
  </si>
  <si>
    <t>To improve nutrition status of pregnant,lactating women and children of underfive years of age in TA Maganga, Ndindi and Pemba in Salima District.</t>
  </si>
  <si>
    <t>Malawi - Salima district</t>
  </si>
  <si>
    <t>Pregnant, lactating women and underfive children</t>
  </si>
  <si>
    <t>Direct Participants are individuals who are registered in cluster of households while indirect partcipants  are the individuals who are not registered in cluster of the households but living within the same impact area.</t>
  </si>
  <si>
    <t>All project evaluation was done in form of annual survey and was conducted by the donor GIZ.</t>
  </si>
  <si>
    <t>use of care group to implement scaling up nutrition interventions</t>
  </si>
  <si>
    <t>use of caregroups to reach project target group ie preganant,lactating and underfive children</t>
  </si>
  <si>
    <t>Intergrating community score cards in scaling nutrition interventions</t>
  </si>
  <si>
    <t>Use of VSLAs as tool of economic empowerent to also support nutrition outcomes</t>
  </si>
  <si>
    <t>Use of local leaders to support in scaling up nutrition intervention</t>
  </si>
  <si>
    <t>The intergration of community score card in nutrition activities</t>
  </si>
  <si>
    <t>The functionality of government structures at  grassroot level depend of the perfomance of the district level structures</t>
  </si>
  <si>
    <t>Provide loan capital to poor and low-income individuals, exclusively groups of rural women, who want to start or expand a small business.</t>
  </si>
  <si>
    <t>Central and Southern Malawi</t>
  </si>
  <si>
    <t>Women with existing income-generating activities who are excluded from the formal financial sector. The main impact groups are individuals engaged in small-scale farming, animal husbandry and petty trading.</t>
  </si>
  <si>
    <t>Direct participants are those who received a loan to invest in their business from Lendwithcare lenders in FY17. Indirect participants have been calculated by adding up all of the dependents of the entrepreneurs who received a loan in FY17 and the people who have been employed in their businesses. We are not able to disaggregate the data for indirect participants by female and male, so I have used the ratio of 51:49 that is in the CIA World Factbook for Malawi https://www.cia.gov/library/publications/resources/the-world-factbook/geos/mi.html. This is an on-going project so I have given the numbers of participants just in this FY as there is no end date to the project.</t>
  </si>
  <si>
    <t>Since Lendwithcare sends loan capital to our microfinance partners in USD this has exposed some of our partners, including our partner in Malawi, to a certain degree of exchange rate risk. To mitigate this risk we began transferring loan capital in GBP to their Head Office in the UK who would then transfer the money in GBP or local currency.</t>
  </si>
  <si>
    <t>Drought and flooding continue to a be a challenge for micro-entrepreneurs in Malawi. Our partner has worked closely with its clients to develop a suitable agricultural product that include grace periods and longer repayment periods.</t>
  </si>
  <si>
    <t>This is an on-going initiative so we do not have a budget for the lifetime of the initiatve. The budget we have reported is how much loan capital we actually raised for our partner in Malawi in FY17. Lendwithcare does not use gender, resilience or governance scorecards as part of its programming so we have had to answer no to all the questions related to these. However, an outcome of 'harmful' (particularly with regards to women's empowerment and gender equality) seems in accurate since this initiatve focuses heavily on Women's Economic Empowerment and in Malawi the beneficiaries are 100% female.</t>
  </si>
  <si>
    <t>Community Engagement- PMTCT Model</t>
  </si>
  <si>
    <t>PID: EGPAMW 0003, FC: US1YJ</t>
  </si>
  <si>
    <t>Joviter Mwaulemu</t>
  </si>
  <si>
    <t>joviter.mwaulemu@care.org</t>
  </si>
  <si>
    <t>Thumbiko Msiska</t>
  </si>
  <si>
    <t>CSC Technical Director</t>
  </si>
  <si>
    <t>thumbiko.msiska@care.org</t>
  </si>
  <si>
    <t>The aim is to adapt the Community Scorecard(CSC) to Prevention of Mother to Child Transmission of HIV(PMTCT) settings across 11 sites in two priority PEPFAR scale up districts in Malawi and evaluate this adaptation of the CSC to measure change in PMTCT services and to estimate the cost and cost-effectiveness of implementation of CSC. The hypothesis is that the adaption and implementation of the CSC within PMTCT settings will result in improved clinical outcomes for HIV-infected pregnant/breastfeeding women and their families by strengthening community engagement in HIV service delivery thereby improving ART retention among HIV positive women and increased early infant diagnosis of HIV.</t>
  </si>
  <si>
    <t>The project will be implemented in two districts of Ntcheu and Dedza. In Ntcheu it will be implemented in 7 Health Facilities (Kasinje, Bwanje, Nsiyaludzu, Bilira, Senzani, Nsipe and Ntcheu District Hospital while in Dedza it will be implemented in 4 Health Facilities (Golomoti, Kasina, Mayani and Dedza District Hospital)</t>
  </si>
  <si>
    <t>The main impact group of the project are pregrant and breastfeeding HIV positive women and the exposed infants born to HIV positive women.</t>
  </si>
  <si>
    <t>The target population (HIV-positive women) and recruitment approach (CBOs and facility-based) differs from the traditional CSC approach, there is uncertainty around the numbers of women who will wish to participate in the CSC process due to potential concerns around discussing their HIV-related issues. However, based on CARE’s previous experience with the CSC in Malawi and the estimates of newly initiatied HIV-positive women at each health facility, we estimate that there will be between 20-50 women per CSC score card meeting with the community.If the number of participants in the community-based meetings becomes very large, to the point where discussion and scoring becomes difficult, sub-groups can be created for ease of facilitation. For the CSC score card meetings with the HCWs, the size of the meetings will depend on the total number of staff at the facility whose scope of work supports services for HIV-infected pregnant and breastfeeding women.</t>
  </si>
  <si>
    <t>The evaluation of the adapted CSC intervention will include six components, each of which is described in detail below: (1.) Pre/post evaluation of routine program data on EID service uptake, early PMTCT retention, and early ART retention (2). Costing analysis and cost effectiveness evaluation, (3). Pre/post brief key informant facility survey with newly-diagnosed HIV-infected pregnant and breastfeeding women (4.) Pre/post key informant community survey and focus group discussion with all HIV-infected pregnant and breastfeeding women (newly-diagnosed and known HIV-infected (5).  Pre/post key informant collective action survey and FGDs with HCWs at the beginning and again at the end of the implementation of the CSC, (6) . Review of the CSC for PMTCT intervention score card data.</t>
  </si>
  <si>
    <t>The project has not yet started implementation. In FY 17 the project developed it's protocol and had been processing ethical approval both in Malawi and USA</t>
  </si>
  <si>
    <t>CSC CONSULTING GROUP - SCALING COMMUNITY SCORE CARD</t>
  </si>
  <si>
    <t>PID: SALLMW0005, FC: US1LZ</t>
  </si>
  <si>
    <t>Earned income. Ultimately from range of donors but paid for services provided not as grant (DFID, ECHO, USAID, GIZ, PCTFI)</t>
  </si>
  <si>
    <t>David Waller</t>
  </si>
  <si>
    <t>Senior Business Manager</t>
  </si>
  <si>
    <t>david.waller@care.org</t>
  </si>
  <si>
    <t>Technical Director</t>
  </si>
  <si>
    <t>Catalysing Community Score Card impact at scale by developing a sustainable social enterprise that works with any organisation and in all sectors world-wide to provide a structured interface between marginalised community members and duty bearers and service providers. Its goals were not defined in terms of reach or sector but rather in terms of contracts won and income generated</t>
  </si>
  <si>
    <t>Based in Malawi but operating globally</t>
  </si>
  <si>
    <t>Marginalised community members especially women and young people</t>
  </si>
  <si>
    <t>Direct beneficiaries:  Trained Facilitators, rights holders (community members) and duty bearers (service providers, Government officials, traditional leaders) who participate in the CSC process. These numbers are recorded as part of the reporting process of our trainings
Indirect beneficiaries - People who then then participate in the CSC process as it is rolled out to other communities by the trained facilitators. This is done either by the client  who commissioned our training and who is responsible for the roll out and data collection and / or by community activists who use the process without any external support and for whom data collection is even more difficult to manage</t>
  </si>
  <si>
    <t>The Research &amp; Development project that works alongside the CSC Consulting Group is researching ways to scale up use of the Community Score Card approach through government and through community volunteers. The CSC Consulting Group itself monitors its progress as an enterprise and its performance will be judged primarily by its financial results</t>
  </si>
  <si>
    <t>Codifyng the first "buy-in" phase of the Community Score Card process more rigerously than it has been in the past
Describing the CSC process in new and fresh ways to overcome scepticism about the approach
Developing news tools and approaches to working as a social enterprise within CARE</t>
  </si>
  <si>
    <t>Drove collaboration with Malawi's Social Accountability Forum
Undertook marketing to CARE and non-CARe organisations promoting the form of Community Score Card that CARE has copyrighted</t>
  </si>
  <si>
    <t>All except one of our contracts was to train community Score Card facilitators who then go on to use the approach with communities. The process that we share puts a lot of emphasis on creating the space and the skills that enable marginalised community members to develop agency over the issues and rights that affect them. We also work to increase the responsiveness of duty bearers to the issues raised by the community.</t>
  </si>
  <si>
    <t>Increased intentionality in the area of building duty bearer buy into to the process so that there is commitment to implement the actions that come out of the CSC process
Increased emphasis on advocacy and influencing towards higher level decision makers - vertical integration - that is informed by and builds on the local level the process starts with</t>
  </si>
  <si>
    <t>Building buy in from hostile duty bearers</t>
  </si>
  <si>
    <t>Building use of the CSC approach from the very start of the project to build commitment and engagement to a programme that is aligned to the needs of the community rather than just using the approach after the event as a post facto accountablity tool</t>
  </si>
  <si>
    <t>That social enterprise has yet to find its place amongst more tradional forms of CARE programming</t>
  </si>
  <si>
    <t>That many of the administrative systems for a social enterprise can be shared rather than re-invented each time. It would speed things up</t>
  </si>
  <si>
    <t>The CSC Consulting Group provides services to 'clients' (rather than 'partners'). Its major client has been CARE project but it also works with non-CARE programmes - some times through CARE and sometimes directly. In the last FY all assignment were done with different CARE COs and CARE Malawi Projects and  only one none CARE client as indicated the attachment. Mor reach data both direct and indirect is reported by the trained projects or COs.</t>
  </si>
  <si>
    <t>Details of our assignments - clients, sectors, people trained as facilitators and community members and duty bearers involved in them - are provided in the attached spreadsheet. It reveals that we need better gender and age disaggregation and better follow up of the roll out of CSC</t>
  </si>
  <si>
    <t>Developing Local Extension Capacity (DLEC)</t>
  </si>
  <si>
    <t>PID: DELCMW0001, FC: US1RX</t>
  </si>
  <si>
    <t>DIGITAL GREEN</t>
  </si>
  <si>
    <t>salome.mhango @care.org</t>
  </si>
  <si>
    <t>Sustainable improvements in well-being of individuasl,households and communities</t>
  </si>
  <si>
    <t>Malawi-Central Region-Dowa &amp; Kasungu</t>
  </si>
  <si>
    <t>Chronically rural food insecure poor women with land and labour and  living below one dollar</t>
  </si>
  <si>
    <t>Direct perticipants are the ones whose capacity will be buillt by either digitized video content or through conventional Field Officers in Dowa and Kasungu. Indirect participants have been calculated by multiplying direct impact by average household size</t>
  </si>
  <si>
    <t>Digitized FFBS module</t>
  </si>
  <si>
    <t>So far the project has been working with like-minded  organisations like SANE and also participated in forums e.g. MAFAAS</t>
  </si>
  <si>
    <t>Farmer Field Business School</t>
  </si>
  <si>
    <t>DLEC aims at delivering the FFBS sessions through digital and compare outreach and adoption with the conventional  exension method</t>
  </si>
  <si>
    <t>The project is not fully fledged to start tracking outcomes.</t>
  </si>
  <si>
    <t>GATE GRAND CHALLENGES</t>
  </si>
  <si>
    <t>PID: GATEMW0019; FC: US1ku</t>
  </si>
  <si>
    <t>Thokozani Mwenyekonde</t>
  </si>
  <si>
    <t>Principle Investigator</t>
  </si>
  <si>
    <t>thokozani.mwenyekonde@care.org</t>
  </si>
  <si>
    <t>Anderson Kumpolota</t>
  </si>
  <si>
    <t>Assistant Program Director, AGE Program</t>
  </si>
  <si>
    <t>anderson.kumpolota@care.org</t>
  </si>
  <si>
    <t>To test efffectiveness and scalability of a gender synchronized, transformational approach that is integrated into existing school-based adolescent life skills and sexuality education program for standards  through 8.</t>
  </si>
  <si>
    <t>Suza Education Zone (Treatment) and Linyangwa Education Zone (Control) both in Kasungu district, Central Malawi</t>
  </si>
  <si>
    <t>Young adolescents in the age group 10-18</t>
  </si>
  <si>
    <t>Direct participants are the young adolescent boys and girls aged between 10 and 18 who are attending school-based teen club activities. They are calculated based on attendance sheets which are collected monthly. Indirect participants are the parents, male champions, mother group members, siblings of those attending teen sessions, boys and girls not participating in teen club activities but are in contact with those that are participating. On average, we estimated that one adolescent participating in teen club activities interacts with at least 6 of these groups.</t>
  </si>
  <si>
    <t>The endline survey willl be conducted by a research partner, Centre for Development Management (CDM). It will target the same respondents interviewed at baseline.</t>
  </si>
  <si>
    <t>Advocacy, with community leaders and community members, on equal workload sharing between boys and girls, and improved intergenerational dialogue on SRH</t>
  </si>
  <si>
    <t>Integrated Gender Conscious Practice (GCP) and Working with Men and Boys to Advance Gender Equality and SRH into existing school-based teen clubs. The two manuals were introduced to promote equal workload sharing between boys and girls, and to encourage interganerational dialogue on gender equality and SRH. All these are done to remove barriers to girls' education as well as economic empowerment</t>
  </si>
  <si>
    <t>Working with adult male change agents (Male Champions) to faciliatate intergenerational dialogues on gender and SRH</t>
  </si>
  <si>
    <t>Having Mother Groups, an existing structure at the school, to support Male Champions during the intergenerational dialogues</t>
  </si>
  <si>
    <t>Use of Real Time Learning (RTL) sessions as a tool for both project review and monitoring</t>
  </si>
  <si>
    <t>Markers Vetting forms,  Baseline Report and Mid term Evaluation reports. Final feedback from CARE USA yet to be received on Mid term report</t>
  </si>
  <si>
    <t>GPSA- SSAES (Strengthening Social Accountability in Education Sector</t>
  </si>
  <si>
    <t>PID: WOBKMW0001, FC: US11J</t>
  </si>
  <si>
    <t>Assistant Programme Director</t>
  </si>
  <si>
    <t>eliza.mhango@care.org</t>
  </si>
  <si>
    <t>Eliza Mhango</t>
  </si>
  <si>
    <t>Ensure that girls and boys living in malawi have access to high quality, accountable and transparent education services</t>
  </si>
  <si>
    <t>The project is covering all the three regions  ( Southern Central and Northern ) of Malawi. In the North the project is being implemented in Mzuzu city, in Central the project is in Kasungu, Dedza and in South the project is implemented in Balaka, Mwanza, Mulanje and Phalombe.</t>
  </si>
  <si>
    <t>Girls and boys  who are learners in the 90 targeted primary schools  will benefit from the improved education services</t>
  </si>
  <si>
    <t>Direct participants are learners, teachers, parents, school management committees and stakeholders that attended projects trainings, meetings and received some project materials. Indirect participant are learners, teachers, parents, school management committees and stakeholders that got messages and support from the direct participants.</t>
  </si>
  <si>
    <t>The Evaluation will depend on the approval by the World Bank which has been too slow to respond to such communications.</t>
  </si>
  <si>
    <t>Community Score Card and Use of Real Time Data Collection</t>
  </si>
  <si>
    <t>CARE built capacity of the civil society groups and provided technical support whenever necessary</t>
  </si>
  <si>
    <t>Community scorecard has proved to be the most effective model in bringing impact to the project as it has made the community realise their role to play in improving education services as well as enabling teachers to be  accountable as they interact and  provide services to learners, thereby increasing transparency and accountability in eduaction sector.</t>
  </si>
  <si>
    <t>Lack of involving government in the initial planning stage has affected project results as its input came when funding has already been exocited hence it was difficuilt to make adjustments since modifications needed additional funds</t>
  </si>
  <si>
    <t>Increasing Mitigation Productivity and Adaptation through Climate-Smart techniques (IMPACT)</t>
  </si>
  <si>
    <t>PID: OFDAMW0005; FC: US1QF</t>
  </si>
  <si>
    <t>Joseph Zimba</t>
  </si>
  <si>
    <t>joseph.zimba@care.org</t>
  </si>
  <si>
    <t>Rabecca Makhuwira</t>
  </si>
  <si>
    <t>rabecca.makhuwira@care.org</t>
  </si>
  <si>
    <t>To mitigate the impact of the El Niño drought on household food security through early agricultural recovery programming.  </t>
  </si>
  <si>
    <t>TAs Tengani, Mbenje and Mlolo in Nsanje district; TAs Juma, Nkanda and Mthiramanja in Mulanje district and TAs Jenala, Chiwalo and Mkhumba in Phalombe districts in Malawi</t>
  </si>
  <si>
    <t>Households affected by the El Nino drought in Nsanje, Mulanje and Phalombe</t>
  </si>
  <si>
    <t>The direct participants are farmers received seed for winter and rainfed agriculture, participated in seed fairs as well as farmers that participated in trainings. The indirect participants are those members of the families targeted to recieve see and trainings.</t>
  </si>
  <si>
    <t>An endline survey was done in July 2017 and report not yet finalized or approved (still being reviewed).</t>
  </si>
  <si>
    <t>The CBA Approach; the working through Lead farmers</t>
  </si>
  <si>
    <t>During reflections/review meetings, it was acknowledged that the project can be doing more on gender. As a result, a Rapid Gender Analysis in the project areas was undertaken, and the results were used to plan more gender-transformative programming (although the real impact was not seen until the next fiscal year, when Phase II started).</t>
  </si>
  <si>
    <t>working through lead farmers</t>
  </si>
  <si>
    <t>working with farmers in organized groups like irrigation schemes or clubs</t>
  </si>
  <si>
    <t>the CBA approach</t>
  </si>
  <si>
    <t>working with farmers in organized groups like irrigation schemes or clubs improved the level of technical support and monitoring provided to farmers</t>
  </si>
  <si>
    <t>Working with committed, hard working and well trained lead farmers helps in the technologies being scaled out to more farmers  </t>
  </si>
  <si>
    <t>It was a bit difficult to promote construction of mud smeared granaries due to farmers' negativity to the technology for fear of theft of their little harvest if left outside. In addition due to poor harvests farmers were not willing to invest their energies in something they would not use.</t>
  </si>
  <si>
    <t>This year's implementation was overshadowed by the outbreak of the Fall armyworm that affected farmers crops especially maize further threatening household food insecurity for the majority of the farmers that were not able to effectively control the pests. In addition the effect of the dry spellls experiences in the three target districts also contributed to low yields hence making the project not fully its objective.</t>
  </si>
  <si>
    <t>Join My Village</t>
  </si>
  <si>
    <t>PID:, MERCMW0009, FC: USM16</t>
  </si>
  <si>
    <t>Pogram Director</t>
  </si>
  <si>
    <t>Brian Majamanda</t>
  </si>
  <si>
    <t>Monitoring and Evaluation Coordinator</t>
  </si>
  <si>
    <t>brian.majamanda@care.org</t>
  </si>
  <si>
    <t>To enhance attainment of quality and equitable education</t>
  </si>
  <si>
    <t>Kasungu District in Malawi</t>
  </si>
  <si>
    <t>Adolescent girls and young women</t>
  </si>
  <si>
    <t>Direct participants are those that are benefiting directly from the project initiative  while indirect beneciaries are the ones that are benefiting from the direct participants and/or those that have adopted some practices from the project initiatives (The average household size is 5)</t>
  </si>
  <si>
    <t>We do advocacy for arleady existing policies like readmision policy, decentralization, good governance and quality education for all.</t>
  </si>
  <si>
    <t>The agriculture initiative in which the project worked with Ministry of Agriculture throgh Kasungu DADO and extension workers in Sustainable agriculture</t>
  </si>
  <si>
    <t>The project did not change anything.</t>
  </si>
  <si>
    <t>Community scholarship fund has proved to be a sustainable ways of supporting needy boys and girls with education basic needs</t>
  </si>
  <si>
    <t>Community score Card has proved to help people to speak out about issues affecting them and demand for quality services</t>
  </si>
  <si>
    <t>Reusable sanitory pads has reduced school absenteesm and improved menstrual hygiene amongst women and girls</t>
  </si>
  <si>
    <t>Pathways to Secure and Resilient Livelihoods</t>
  </si>
  <si>
    <t>PID: MCARMW001, US1EC</t>
  </si>
  <si>
    <t>Lemekeza mokiwa</t>
  </si>
  <si>
    <t>salome.mhango@care.usa</t>
  </si>
  <si>
    <t>More resilient small holder households with empowered women belonging to well managed and governed collectives</t>
  </si>
  <si>
    <t>Malawi- Central Region-Dowa and Kasungu</t>
  </si>
  <si>
    <t>Direct participants are the direct beneficiaries of the project who the project directly trains. Indirects participants have been calculted by multiplying the number of beneficiaries by the average household size which is 5. Farmers who are non beneficiaries but attend project activities such as field days have also been considered indirect participants</t>
  </si>
  <si>
    <t>The programme  promoted use of improved post harvest techniques in particular "Mandera cork" for groundnuts.  This helped farmers to reduce post harvest loss and sell more at the markets</t>
  </si>
  <si>
    <t>Engaging Men in gender dialogues facilitated change in gender behaviours</t>
  </si>
  <si>
    <t>"FFBS financing" helped farmers to meet market costs</t>
  </si>
  <si>
    <t>Innovations such as FFBS financing for markets have enabled collectives reach markets beyond the farmgate providing farmers with better prices for their commodities and dealing with vendors / middlemen who are most of the time exploitative by buying at cheaper prices and using fake weighing scales.</t>
  </si>
  <si>
    <t>Practices that offer immediate benefits such as double row planting, planting drough resistant varieties etc are adopted faster by farmers than those that have mideum to longterm benefits such as mulching and use of agroforestry trees. More efforts in sensitization of communities in such technologies is requires to register impact.</t>
  </si>
  <si>
    <t>Large crowds of men are engaged in dialogues when platforms such as football and traditional dances are used to challenge negative attitudes and behaviours towards women</t>
  </si>
  <si>
    <t>PCTFMW0002-US102</t>
  </si>
  <si>
    <t>Mwawi Mkandawire</t>
  </si>
  <si>
    <t>mwawi.mkandawire@care.org</t>
  </si>
  <si>
    <t>To improve the the quality of, and access to equitable basic education for all by adressing gender based violence</t>
  </si>
  <si>
    <t>Adolescent rural girls aged between 10-18</t>
  </si>
  <si>
    <t>Direct participants are those that are benefiting directly from the project initiative and is the sum of all participants involved in all our project interventions  while indirect beneciaries are the ones that are benefiting from the direct participants and/or those that have adopted some practices from the project initiatives</t>
  </si>
  <si>
    <t>Working with community structures at different levels including school structures</t>
  </si>
  <si>
    <t>Engaging partners in most of our project interventions</t>
  </si>
  <si>
    <t>Enganging men in our project emplementation</t>
  </si>
  <si>
    <t>There are no major lessons that have been learnt during this period</t>
  </si>
  <si>
    <t>The project was cut short and conducted close out activities in the FY</t>
  </si>
  <si>
    <t>Research and Development Lab</t>
  </si>
  <si>
    <t>SALLMW006</t>
  </si>
  <si>
    <t>Rose Tchwenkwo</t>
  </si>
  <si>
    <t>Assistant Country Director, Programs</t>
  </si>
  <si>
    <t>rose.tchwenko@care.org</t>
  </si>
  <si>
    <t>Patience Mgoli Mwale</t>
  </si>
  <si>
    <t>Research and Develoment Manager</t>
  </si>
  <si>
    <t>patience.mgoli@care.org</t>
  </si>
  <si>
    <t>To improve the quality, coverage, access, utilization and equity of selected health and education services</t>
  </si>
  <si>
    <t>Ntcheu District</t>
  </si>
  <si>
    <t>Women and Adolescent Girls</t>
  </si>
  <si>
    <t>Research and Development is a technical assistance project providing CSC work. The work involves supporting Government and local community facilitiators to reach people.  Therefore the estimation is based on a systematic estimation of people based on local health centre service population. Ten facilities are targeted. Each centre covers a radius of .. kms and within that it on average serves a ... individuals. population census 2008</t>
  </si>
  <si>
    <t>The evaluation will focus on modes of delivering CSC services, a comparative study to look at efficiency and sustainability. As much as Ntcheu is a primary target district for R&amp;D, it will be assessed it will act as one data source. Other project doing CSC in other projects will be sampled for comparability</t>
  </si>
  <si>
    <t>CARE has mobilised CSO in the district in two separate stakeholders meetings to map activities each CSO is doing and a deliberation process to align CSO plans with the District plans and also to make commitments on Action Plans developed by the district in the health sector. This has led to each player have a well spelt role and has improved resource allocation in the district.</t>
  </si>
  <si>
    <t>The project uses the community scorecard tool to address challenges the communites face. As much as it has defined direct beenficiaries on who to see the change, it is working with the whole population (inclusive) to address issues affecting women and adolescent girls. As such there is need to adjust on how to measure the change in women and girls despite directly working with power holders, men and boys</t>
  </si>
  <si>
    <t>Engaging men in dialogue sessions</t>
  </si>
  <si>
    <t>Stakeholder Mapping and Engagement</t>
  </si>
  <si>
    <t>The team was able to achieve many activities with minimal resources both financial and human. The teams success lies in CAREs strategy to work with partners and the good working relationship at district level and the ability to chair the CSO Network.</t>
  </si>
  <si>
    <t>Working through partners has its own setback. CARE has to differentiate the types of parnerships and level of involvement. The teams experience is that Technical Assistance to government partners is more involving and needs more effort in producing evidence-data management). Any engagements with such partners needs deliberate offort to provide for data personnel and coach the government personnel on the management and importnance.</t>
  </si>
  <si>
    <t>The team learnt that CARE needs to explore models that promise holistic change, such as the Community score Card. In whatever thematic area, it brings all players to reflect on how to tackle a problem or issue, in the process minimising resource waste by efficient allocation after interface meetings and complimenting effort of various players.</t>
  </si>
  <si>
    <t>SALL Proposal, SALL Annual Progress Report, PIIRS Midterm Report and Activity Reports</t>
  </si>
  <si>
    <t>SOAR (Kukwera)</t>
  </si>
  <si>
    <t>CUPFMW0002</t>
  </si>
  <si>
    <t>To give margenilized out of school adolescent girls in rural communities and chance to soar and achieve better life outcomes</t>
  </si>
  <si>
    <t>Girls aged between 10-18</t>
  </si>
  <si>
    <t>Direct paricpants are those that are benefiting directly from the project e.g by attending trainings while indirect participants are the ones that are benefiting from their affiliation to the direct partcipants</t>
  </si>
  <si>
    <t>No any adjustiments made</t>
  </si>
  <si>
    <t>Engaging community structures in project implementation</t>
  </si>
  <si>
    <t>Since the project has just started, no major lessons are learnt yet.</t>
  </si>
  <si>
    <t>Gender, Resilience and Governance vetting forms</t>
  </si>
  <si>
    <t>UNITED IN BUILDING AND ADVANCING LIFE EXPECTATIONS (UBALE)</t>
  </si>
  <si>
    <t>PID: CRSXMW0005, FC: US1E1</t>
  </si>
  <si>
    <t>Rose</t>
  </si>
  <si>
    <t>Country Office Monitoring, Evaluation and Learning Advisor</t>
  </si>
  <si>
    <t>To reduce chronic malnutrition and food insecurity and build resilience among vulnerable populations in Rural districts of Blantyre, Chikwawa and Nsanje. (CARE MW is implementing in Nsanje only)</t>
  </si>
  <si>
    <t>The project is being implemented in the Southern Region of  Malawi in all the TA (Traditional Authorities) in Nsanje district. In Chikwawa, CADECOM is implementing as sub grantee of CRS and in rural Blantyre Save the Children is the Implementing partner.</t>
  </si>
  <si>
    <t>Pregnat and Lactating women, Under 5 Children and vulnerable food insecure households</t>
  </si>
  <si>
    <t>Increased accountability  through community engagements. The project holds quarterly meetings with all the local government structures to share updates on progress and plans for the coming quarter. The approach enhances accountability and buy in by the community leaders. These structures have been empowered to the extent that they are able to demand for an explanation from CARE when things are not going as discussed</t>
  </si>
  <si>
    <t>Community Entry Approach need to be more consultative. In a situation where the project is implementing an activity through VDCs/VCPCs, it has been a tradition that these village committees will escalate the information to the area committees but despite that, there have been complaints coming from the area structures where they expect to be consulted first before going on implementing the activity</t>
  </si>
  <si>
    <t>The coming in of care group promoters has simplified the implementation of care group activities which would be very difficult with the  current mentality of government frontline workers.</t>
  </si>
  <si>
    <t>The first round of functionality assessments proved to be time consuming and labor intensive hence a need to have specific personnel to conduct them annually.  Care group are government structures but not frontline workers- they are all over and know the communities better. They are less demanding compared to the health workers like the HSAs who do not normally work without allowances.</t>
  </si>
  <si>
    <t>The project has some level of overlap with the IMPACT Project and MVAC (PIIRS Code 3139)</t>
  </si>
  <si>
    <t>Reference documents attached are Markers vetting forms and PVCA Checklist</t>
  </si>
  <si>
    <t>Water Smart Agriculture Initiative (WaSA)</t>
  </si>
  <si>
    <t>PID: GETFMW0001, FC: US1RN</t>
  </si>
  <si>
    <t>Improved productivity and livelihoods of smallholder women farmers</t>
  </si>
  <si>
    <t>Malawi-Central Region-Kasungu &amp; Dowa</t>
  </si>
  <si>
    <t>Direct participants are the direct beneficiaries of the project who the project directly trains. Indirects participants have been calculted by multiplying the number of beneficiaries by the average household size which is 5.</t>
  </si>
  <si>
    <t>The baseline was only focused on soil analysis. The other Final evaluation will be done after 3 years of implementation to compare baseline and endline however periodic progress monitoring is done semiannually</t>
  </si>
  <si>
    <t>Use of Zai pits to retain more moisture, manure and conservation agriculture.</t>
  </si>
  <si>
    <t>The programme is currently working with Luanar to generate scientific evidence for scaling up</t>
  </si>
  <si>
    <t>Use of FFBS and Producer groups to build capacity of farmers</t>
  </si>
  <si>
    <t>When rainfall pattern is above normal like this season, conventional plots yield more than mulched plots in legumes. During this season, it was observed that mulched plots experienced water logging which affected plant growth.  For instance groundnut (CA/Mulched 60cm x 15cm) showed faster growth at germination, however, from 2nd to 5th week growth reduced and leaves discolored. This was not observed in conventional practices without mulch which had optimal condition for plant growth.</t>
  </si>
  <si>
    <t>Despite the season experiencing above normal rainfall, Zai pits yieded more than the least of the agronomical practices showcased at the demostration plots. Water productivity (crop per drop) was high in Zai pits than the least of agronomical practices.</t>
  </si>
  <si>
    <t>Farmers, have already prefered the innovation brought by this project (zai pits) to the rest of the practices that were previously promoted even though this is just year one of implementation.</t>
  </si>
  <si>
    <t>2017 Malawi Floods Response</t>
  </si>
  <si>
    <t>PID: CCHEMW0002; FC: CH0001</t>
  </si>
  <si>
    <t>Enable the most vulnerable flood-affected households to meet their basic needs and recover from the disaster</t>
  </si>
  <si>
    <t>The project was located in Traditional Authorities Pemba and Ndindi in Salima District in the Central Region of Malawi</t>
  </si>
  <si>
    <t>Vulnerable households affected by floods</t>
  </si>
  <si>
    <t>The direct recipients include all members of the households that received shelter support. Although only one member per household was directly targeted to collect the shelter materials, all household members directly benefited from the shelters.</t>
  </si>
  <si>
    <t>Since this was a short-term project where most of them were output indicators were easy to measure without a baseline (e.g. # of households receiving shelter support) CARE relied on its post-disaster assessment to understand the baseline situation, and monitoring data to measure progress against indicators. The project also conducted a rapid mainly qualitative exercise at the end of the project to contextualize some of the monitoring findings, but it was not formal in nature.</t>
  </si>
  <si>
    <t>No adjustments were made as a result of reflections processes undertaken by the project</t>
  </si>
  <si>
    <t>Consulting the community on the proposed design of the shelter (men and women separately) was useful in ensuring that it was responsive to everyone's needs</t>
  </si>
  <si>
    <t>Training the Village Civil Protection Committees in shelter construction, including Building Back Better techniques, was a good strategy to ensure sustainability</t>
  </si>
  <si>
    <t>CARE Malawi needs to have multiple suppliers for key relief items as prequalified vendors in the system. It was a challenge when one supplier was awarded the contract for blue gum poles, but then couldn't deliver. It took a long time to find additional suppliers and award new contracts.</t>
  </si>
  <si>
    <t>The project should have engaged more closely with the district government on the issue of relocation to upland (safer) areas. Staff relied on local leaders to negotiate this move, but then it did not go through and valuable time was lost, and communities were not able to relocate to safer areas.</t>
  </si>
  <si>
    <t>Protracted Relief and Recovery Operation 200692</t>
  </si>
  <si>
    <t>PID: WFPXMW0017; FC: US1QG</t>
  </si>
  <si>
    <t>World Food Programme (WFP)</t>
  </si>
  <si>
    <t>Emergency Team leader</t>
  </si>
  <si>
    <t>Gracious Chabvi</t>
  </si>
  <si>
    <t>gracious.chabvi@care.org</t>
  </si>
  <si>
    <t>To meet urgent food and nutrition needs of vulnerable people and communities and reduce under nutrition to below emergency levels.</t>
  </si>
  <si>
    <t>Nsanje District, in Southern Malawi</t>
  </si>
  <si>
    <t>The project targets the most vulnerable, food insecure households including pregnant and lactating women and children under two.</t>
  </si>
  <si>
    <t>The direct participants are those who were targeted for food assistance.The number indicated represents all the members of the targeted households.The data was collected from beneficiaries themselves during registration.</t>
  </si>
  <si>
    <t>The baseline survey and final evaluations are conducted by WFP.</t>
  </si>
  <si>
    <t>There have not been any changes/adjustments this FY.</t>
  </si>
  <si>
    <t>Use of variety of complaints response mechanism has helped to provide beneficiries with all options of lodging their complaints.The toll free among others proved to be the most effective to community members in case of confidentiality.Also recruitment of gender and protection officer to support the project enhenced  transparency, and accountability of staff.</t>
  </si>
  <si>
    <t>Effective  engangement of district and community structures at all levels has helped to resolve some of the challenges encountered which were beyong CARE'S control i.e interferance  of the local chiefs on project activities.</t>
  </si>
  <si>
    <t>Women's participation, especially in decision making positions in food distribution committees has helped women to equally benefit from the project. Registering of more women as ration cards holders enaled women to have control of the food items distributed.</t>
  </si>
  <si>
    <t>It's important to use different types of SBCC messaging to really connect with beneficiaries, for example Theater for Development, flyers, informational talks, etc. because people learn in different ways.</t>
  </si>
  <si>
    <t>District level and community structures engangement helps in resolving critical challenges which can not be resolved by the implementing organisation.</t>
  </si>
  <si>
    <t>Rolling out of Complaints response mechanisms at the inception stage helps to resolve many of the targeting errors before that actual diustribution starts. At least time should be given the community to express their views regarding  the targeting process  before proceeding to the next stage.</t>
  </si>
  <si>
    <t>Provision of Dignified Shelter</t>
  </si>
  <si>
    <t>PID: UNHCMW002; FC:US1VT</t>
  </si>
  <si>
    <t>For Mozambican asylum seekers to have access to safe, dignified, and durable shelter.</t>
  </si>
  <si>
    <t>Luwani, T/A Symon, Neno District, Southern Malawi</t>
  </si>
  <si>
    <t>Mozambican refugees and asylum seekers at Luwani refugee camp.</t>
  </si>
  <si>
    <t>The direct beneficiaries are those targeted to be provided with diginified shelters at Luwani camp.These are the asylum seskers and refugees from Mozambique.</t>
  </si>
  <si>
    <t>No baseline was conducted for this project.</t>
  </si>
  <si>
    <t>After realizing that the project was not going to meet its targets for women's participation in construction activities, it undertook a rapid gender analysis and conducted additional sensitizations and specialized training for women on construction.</t>
  </si>
  <si>
    <t>Providing a variety of complaints and feedback options for project participants</t>
  </si>
  <si>
    <t>Good coordination with the donor and government to resolve issues</t>
  </si>
  <si>
    <t>Empowering women to participate in construction activities</t>
  </si>
  <si>
    <t>CARE observed  that it is difficult to construct the semi-permanent shelters during the rainy season since unburnt bricks easily get damaged by the rain water.</t>
  </si>
  <si>
    <t>Given that some women are less eager/willing to take part in construction work as it has been an industry traditionally dominated by males, CARE learned that the special measures employed to encourage women's participation were effective and should be scaled up.</t>
  </si>
  <si>
    <t>In case of kitchen gardens,starting an internvation when the demand for vegetables is high increased the number of participating families. However in adequate availability of water affected progress.</t>
  </si>
  <si>
    <t>Enhance Community Resilience Program (ECRP)</t>
  </si>
  <si>
    <t>PID: CGBRMW0002; FC GB525</t>
  </si>
  <si>
    <t>Norwegian  Embassy</t>
  </si>
  <si>
    <t>Government - Ireland</t>
  </si>
  <si>
    <t>Irish Aid</t>
  </si>
  <si>
    <t>Dr. Aldwin Mtembezeka</t>
  </si>
  <si>
    <t>Project Manager and  Technical lead</t>
  </si>
  <si>
    <t>aldwin.mtembezeka@care.org</t>
  </si>
  <si>
    <t>Gerald Kosamu</t>
  </si>
  <si>
    <t>Assistant Project manager</t>
  </si>
  <si>
    <t>gerald.kosamu@care.org</t>
  </si>
  <si>
    <t>The projects aim is to contribute to the attainment of the Sendai Framework for Action by halving disaster losses and increasing communities resilience to climate change by 2017 in Malawi. This will enable households to build resilient livelihoods that are sustainable and profitable, incorporating natural resource management and risk reduction, increasing adaptive capacity and enabling vulnerable households to have a voice in decisions affecting them.</t>
  </si>
  <si>
    <t>The initiative is implemented in central and southern regions of Malawi ( Districts are :Kasungu, Mwanza, Machinga, Chikwawa. Nsanje, Thyolo and Mulanje). CARE implements in Kasungu, Mwanza and Machinga through Partners, Christian implements in Chikwawa, Mulanje &amp; Thyolo through partners and Action Aid implements in Nsanje through partners too.</t>
  </si>
  <si>
    <t>Most Vulnerable households/ communities to the effects of climate variability and change in disaster prone areas of Malawi.</t>
  </si>
  <si>
    <t>The direct beneficiaries are those that are directly targeted with the resources in the initiative ( Lead farmers , village agents, animal health workers , first reponders , VSL members, civil protection committeeslocal artisians). Those that we directly work with. While the indirect participants are the ones that benefit through the multiplier effects. ( school children, underfive children, lactating mothers, Pregnant women, local chiefs)</t>
  </si>
  <si>
    <t>The project is closing out  in September, 2017 and the draft evaluation report is yet to be validated.</t>
  </si>
  <si>
    <t>Setting up of an investment fund  within the VSL groups which enables members to save beyond the limited shares. Groups accumulate relatively large pool of funds unlike in the conventional VSL groups.</t>
  </si>
  <si>
    <t>CARE supported the civil society through building the capacity on Participatory scenerio Planning (PSP) in order for them to better interpret seasonal forecasts for effective farming decision making.</t>
  </si>
  <si>
    <t>The project has introduced and enhances post harvest management innovationd through incorparating the nutrition ( food preparation, presavertion and budgeting) aspects and the air tight bags for crop storage with the overall purpose of food/ yield loss reduction.</t>
  </si>
  <si>
    <t>Engaging women and men in VSLs</t>
  </si>
  <si>
    <t>Gender dialogue sessions</t>
  </si>
  <si>
    <t>working through groups proved tobe more effective than individually.</t>
  </si>
  <si>
    <t>Nutrition should be part and parcel of resilient programs</t>
  </si>
  <si>
    <t>resilient programs require adequate time to measure / realise impact.</t>
  </si>
  <si>
    <t>Support for Service Delivery Integration (SSDI) Services</t>
  </si>
  <si>
    <t>PID: JHPCMW0001, FC: USP38</t>
  </si>
  <si>
    <t>Rose Tchwenko</t>
  </si>
  <si>
    <t>Assistant Country Director - Programs</t>
  </si>
  <si>
    <t>Monitoring, Evaluation and Learning Advisor</t>
  </si>
  <si>
    <t>Healthier Malawian families. The project aims to reduce fertility and population growth, lower risk of HIV, and lower risk of maternal, newborn, infant and under-five mortality and morbidity rates.</t>
  </si>
  <si>
    <t>CARE Malawi is implementing the project in the four of the five districts of the Ministry of Health (MoH) Central East Zone. The districts are: Dowa, Salima, Kasungu and Nkhotakota.</t>
  </si>
  <si>
    <t>The main impact group of the project are women and children through increasing access, utilisation and quality of the six Essential Health Package (EHP) areas of Family Planning, Child Health, Maternal and Newborn Health, Malaria, Nutrition and TB &amp; HIV/AIDS while engaging men in care</t>
  </si>
  <si>
    <t>The direct beneficiaries are those that are directly targeted with the resources in the initiative ( Health Committees, underfive children, lactating mothers, Pregnant women,. Those that we directly work with. While the indirect participants are the ones that benefit through the multiplier effects. ( school children,  local chiefs, community members)</t>
  </si>
  <si>
    <t>The project phased out  in January, 2017. Evaluation was done in 2014 by USAID by final report shared in FY16</t>
  </si>
  <si>
    <t>No changes/adjustments done during the fiscal year</t>
  </si>
  <si>
    <t>Performance based incentives (PBI) - it empowers providers to respond to health centre specific needs through the incentives they receive for their good performance in the PBI indicators. It motivates health workers to work hard because the resources are available</t>
  </si>
  <si>
    <t>scorecard - it holds service providers accountable in the provision of quality health services; and it empowers the service users to take responsibility in the use of services provided</t>
  </si>
  <si>
    <t>coaching and mentorship - it builds providers' capacity through hands-on transfer of skills from an experienced provider (mentor)</t>
  </si>
  <si>
    <t>Uncertainities/changes in end of project dates contributed to staff turnover. In SSDI services from the third year of the project up to this year, end of project dates were changed several times which caused a lot of staff attrition due to perception of uncertainities and this had a bearing on activity implementation and project performance</t>
  </si>
  <si>
    <t>Investing in building capacity of district-level leaders like District Health Officers (DHOs), District Nursing Officers (DNOs), District Environmental Health Officers (DEHOs), and Ministry of Health Program Coordinators facilitates smooth implementation of activities facility level</t>
  </si>
  <si>
    <t>Empowering communities with skill and knowledge increases their ability to identify health issues within their communities and resolve them on their own. Empowered communities are also more confidence to demand better services at their catchment facilities and hold service providers accountable for optimal care. This was exemplified through community action groups (CAGs) and community scorecard process under the project.</t>
  </si>
  <si>
    <t>The project was implemented only for seven months in FY 17 and downsized the participants as it was conducting close out activities</t>
  </si>
  <si>
    <t>Mali</t>
  </si>
  <si>
    <t>Initiative TEMPS "Travaillons Ensemble Contre les Mariages Précoces"</t>
  </si>
  <si>
    <t>CA341,  CCANML0015</t>
  </si>
  <si>
    <t>Aly OUOLOGUEM</t>
  </si>
  <si>
    <t>Aly.ouologuem@care.org</t>
  </si>
  <si>
    <t>Kadidia CISSE</t>
  </si>
  <si>
    <t>Gender Team Leader</t>
  </si>
  <si>
    <t>sidibekadidia.cisse@care.org</t>
  </si>
  <si>
    <t>contribuer au renforcement de la prévention et de l'attenuation des effets du mariage précoce/forcé des jeunes filles dans les zones à forte prévalence au Mali et au Bénin</t>
  </si>
  <si>
    <t>L'initiative est mise en uvre dans les région de Mopti et Tombouctou, spécifiquement dans les communes de Diallassagou, Doucombo, Lowol Guéou, Diamnati et Kendié( région de Mopti), Fittouga, Bourem Sidi Amar et Douekiré ( région de Tombouctou)</t>
  </si>
  <si>
    <t>Les femmes, filles, garçons et hommes touchés par le mariage précoce, forcé, y compris les survivantes (au moins 600), des gardiens de la tradition, les mobilisateurs communautaires, les hommes modèles et champions</t>
  </si>
  <si>
    <t>L'initiative a expérimenté les approches Photovoice (photo qui parle), le théâtre communautaire et les dessins liés à la prévention et à la lutte contre le mariage précoce dans les établissements scolaires à travers la mise en place des clubs scolaires. Cela a permis aux élèves de s'exprimer sur les méfaits de mariage précoce et dénoncer cette pratique comme étant une violation majeure des droits des enfants.</t>
  </si>
  <si>
    <t>L'initiative a travaillé avec plusieurs acteurs commes les leaders communautaires, les élus locaux, les agents des services techniques (police, gendarmerie, santé, éducation, les femmes des AVECs, les ONG nationales et internationales comme l'UNICEF, les médias  pour multiplier l'impact.</t>
  </si>
  <si>
    <t>L'initiative a renforcé les capacités des société civiles en formant les OSC pour les textes et lois de la protection des femmes et filles. Elle a aussi contribué financièrement pour la tenue des cadres de concertations aux niveaux des régions de Mopti pour la protection des enfants.</t>
  </si>
  <si>
    <t>Le projet a adopté l'approche SAA( Analyse et Action) pour défier les normes sociales à l'aide des outils comme l'homme idéal, la femme idéale, la cartographie du corps, la clarification des valurs.</t>
  </si>
  <si>
    <t>Les trois stratégies se sont revelées efficaces pour contribuer à l'atteinte des objectifs de l'initiative sont: les associations villagesoises (AVEC), l'approche SAA et l'approche photovoice, théâtre communautaire et dessins</t>
  </si>
  <si>
    <t>Le renforcement des capacités des femmes AVEC sur le genre, VBG, droits sexuels et éducatifs, le plaidoyer et négociation sociale, les textes et lois de protection des femmes et filles  ont permis aux femmes d'améliorer considérablement leur connaissance. Cela a permis aux femmes de d'engager dans le plaidoyer et s'impliquer dans les actions de prévention et de lutte contre le mariage précoce. L'approche SAA utilisée pour défier les normes et pratiques sociales défavorables à la promotion de l'équite genre a permis aux leaders communaitaires notamment les imams, les pasteurs de comprendre les méfaits de mariage précoce. Ils ont fait des prêches dans les mosquées et églises afin de faire comprendre aux fidèles les méfaits du mariage précoce.</t>
  </si>
  <si>
    <t>L'approche photovoice, théâtre communautaire, dessins a permis aux élèves des clubs scolaires de dénoncer les pratiques du mariage précoce et interpéler  les parents afin qu'ils abandonnent la pratiques. En plus de cela, l'initiative a fait un clip portant sur le mariage précoce. Cela s'est revelé efficace dans la prévention et la lutte contre le mariage précoce.</t>
  </si>
  <si>
    <t>Le renforcement des capacités des acteurs clés comme les enseignants, les services techniques de l'Etat (justice, police, gendarmérie, développement social, santé), les acteurs locaux (élus communaux, chefs de villages, imams) est nécessaire pour la prévention et la lutte contre le mariage précoce.</t>
  </si>
  <si>
    <t>L'implication des élèves dans les acitvités comme photovoice, théâtre communautaire et dessins a permis de découvrir le talent caché de ces élèves qui ne manquent pas d'initiatives innovantes en matière de prévention et de lutte contre le mariage précoce.</t>
  </si>
  <si>
    <t>Etude de Base, rapports techniques, les enquêtes d'opinion , les témoignages des partcipants, l'évaluation finale</t>
  </si>
  <si>
    <t>Partners for Resilience: Dialogue Gestion Intégrée des Risques</t>
  </si>
  <si>
    <t>CNLDML0032</t>
  </si>
  <si>
    <t>Joyce Sepenoo</t>
  </si>
  <si>
    <t>Joyce.Sepenoo@care.org</t>
  </si>
  <si>
    <t>Oumar Diarra</t>
  </si>
  <si>
    <t>Coordinateur Plaidoyer &amp; Communication/PFR Project Manager</t>
  </si>
  <si>
    <t>Oumar.Diarra@care.org</t>
  </si>
  <si>
    <t>Les ménages vulnérables des pêcheurs, éleveurs et agriculteurs vivant dans les bassins des fleuves du Niger, du Sourou et du Sénégal sont plus résilientes aux crises dans le contexte du changement climatique et de la dégradation de lenvironnement, permettant une croissance économique inclusive et durable et une préservation des écosystèmes</t>
  </si>
  <si>
    <t>Au Mali dans la région de Mopti, dans le delta intérieur du Niger pour les cercles de Djenné et Mopti , dans le Sourou pour le Cercle de Bankass et dans le Bassin du fleuve Sénégal dans la réion de Kayes. Le projet est exécuté en consortium avec Wetlands Internatinale, le Centre du climat et la Croix rouge Malienne et la zone d'intervention reservée à CARE comprend les communes de Baye, de Ouonkoro et de Sokoura du Cercle Bankass dans la région de Mopti.</t>
  </si>
  <si>
    <t>Les femmes et les jeunes des ménages vulnérables des pêcheurs, éleveurs et agriculteurs vivant dans le Sourou</t>
  </si>
  <si>
    <t>Les participants directs sont d'abord calculés sur la base du nombre de ménages évalués. Ensuite, dans chaque ménage il y a une femme un jeune. Quant au participants indirects, le calcul porte sur l'ensemble des membres du ménage en raison de 6 personnes par ménage deduit du nombre des participants directs (2 personnes par ménage).</t>
  </si>
  <si>
    <t>L'étude de base de ce projet est planifiée pour le mois de juillet à août 2017. Elle sera faite par un consultant externe. Le projet étant sous le couvert du consortium dont le lead est assuré par Wetlands, la complexité a été la prise en compte des indicateurs globaux de CARE. Le consultant souhaite que cela soit traité par le système de suivi évaluation interne de CARE. Cela nécessite probablement un autre budget.</t>
  </si>
  <si>
    <t>Aucour de l'année, le projet a eu travaillé sur la finalisation de sa théorie de changement et la définition des indicateurs du projet sur le renforcement de capacité des organisation de la société civile ainsi que l'engagement des parties prenantes.</t>
  </si>
  <si>
    <t>Les foras villageaois</t>
  </si>
  <si>
    <t>L'engagement des hommes surtout elus et propriétaire terriens</t>
  </si>
  <si>
    <t>La prise en compte du GIR dans le plan de développemnt de la communauté</t>
  </si>
  <si>
    <t>la planification et la réalisation des activités  ayant traits à la gestion intégrée des risques</t>
  </si>
  <si>
    <t>l'octroi de 6 ha de terre aux associations féminines. Engaements des propriétaires terriens à donner des lettres d'attribution pour la sécurisation</t>
  </si>
  <si>
    <t>pas de lien les différentes COFOs (commssion foncière ,COFO locale et les COFOS communales) et absence de stratégie pour l'accès sécurisé des femmes, les jeunes et les vulnérables à la terre.</t>
  </si>
  <si>
    <t>Les communautés bénéficiaires ont apprécié la démrche adoptée par le projet</t>
  </si>
  <si>
    <t>le rapport annuel, les modules de formation, les rapports trimestriels, les compte rendu d'atelier, les compte rendu de foras villageois, le cahier de bord.</t>
  </si>
  <si>
    <t>Cash assistance for vulnerable household affected by insecurity and food deficit (Timbuktu Region)</t>
  </si>
  <si>
    <t>NO162</t>
  </si>
  <si>
    <t>Joyce SEPENOO</t>
  </si>
  <si>
    <t>ACD - Program Quality</t>
  </si>
  <si>
    <t xml:space="preserve">joyce.sepenoo@care.org </t>
  </si>
  <si>
    <t>Mahamoudou GUIMBAYARA</t>
  </si>
  <si>
    <t>Deputy Emergency Coordinator</t>
  </si>
  <si>
    <t>mguimbayara@care.org</t>
  </si>
  <si>
    <t>Contribute to improving conditions for vulnerable household’s affected by the conflict and food and nutrition insecurity in the Timbuktu region</t>
  </si>
  <si>
    <t>Mali, Tombouctou region, Districts of Goundam and Niafunke</t>
  </si>
  <si>
    <t>Households headed by women; households with disability, children under 5 years, pregnant and lactating women, without revenue</t>
  </si>
  <si>
    <t>Les participants directs sont les chefs de menages (Hommes et Femmes) qui recoivent directement de l'assistance au nom du menage.
Les participants indirects sont les membres des menages beneficiaires de l'assistance: Il s'agit des enfants de 0 a 5 ans, des filles et garcons de 5 a 18 ans et des femmes et hommes ages de plus de 18 ans, des femmes emcientes et allaitantes.</t>
  </si>
  <si>
    <t>Pas d'evaluation future puisque une evaluation finale a ete realisee dans le cadre de ce projet</t>
  </si>
  <si>
    <t>Contribution au remplissement des Outils de plaidoyer de OCHA (HNO, HRP), et de Cluster de Securite alimentaire (Matrices 3W, 4W, 5W, etc)</t>
  </si>
  <si>
    <t>Transfert electronique de cash en zones d'acces difficile a permis de toucher les populations dans les zones reculees</t>
  </si>
  <si>
    <t>Recours aux commercants locaux pour acceder aux populations dans les zones difficiles 
L'approche du projet LLA (Listen learn and Act) sur la redevabilite pilote par Ground Truth solutions, Save the children danemark et Danisch Churchil Aid a permis d'evaluer le projet suivant les neuf engagements de la norme CHS.</t>
  </si>
  <si>
    <t>Mise en place des comites de distribution et de plaintes
Organisation des dialogues externes avec les communautes sur les resulats du projet, le diagnostic des plaintes
les sensibilisations pour renforcer la participation de la femmes dans les instances de decision</t>
  </si>
  <si>
    <t>Le projet a mene une revision budgetaire a mis parcours qui a permis d'allouer plus de ressources aux beneficiaires en augmentant de 25% le montant de la derniere tranche de cash (25 000 FCFA et non 20 000FCFA)</t>
  </si>
  <si>
    <t>Une étroite collaboration avec les autorités administratives, et les leaders communautaires contribue au transfert de cash à temps;</t>
  </si>
  <si>
    <t>La participation des acteurs privés locaux (Fournisseurs de cash, Prestataires de location de vehicules) rend le transfert d'argent un succès malgré l'insécurité critique dans ces zones. Cette stratégie contribue a réduire ou éviter les risques d’enlèvements et de vols pendant la période</t>
  </si>
  <si>
    <t>La rapidité et la discrétion liées aux opérations de distribution de cash ont réduit le risque d'attaques par des bandits armés</t>
  </si>
  <si>
    <t>L'utilisation ou le recours au Systeme de transfert electronique de Cash contribue a une meilleure répartition des rôles et un renforcement du contrôle interne dans le processus de transfert de cash</t>
  </si>
  <si>
    <t>La modalité "Transfert en Especes" a favorisé la disponibilité et la diversification des produits alimentaires sur les marchés</t>
  </si>
  <si>
    <t>L'intégration de la sécurité alimentaire et le WASH ont contribué à améliorer l'état nutritionnel des ménages ciblés</t>
  </si>
  <si>
    <t>Les résultats de la mise en œuvre du projet ont été globalement satisfaisants. La quasi globalité des indicateurs du cadre logique ont été atteint voire dépasser le niveau cible : 98,52 % des ménages ont un score de consommation acceptable contre 69,52 % au démarrage du projet ; La situation alimentaire s’est améliorée plus rapidement au sein des ménages dirigés par une femme. La proportion de ceux avec un score de consommation alimentaire est passée de 68,0 % à 99,2 % (soit une hausse de 31 points de pourcentage) pendant qu’elle a augmenté de 26 points de pourcentage pour les ménages dont le chef est un homme.
La notion de genre qui était bien maîtrisée par les ménages, s’est renforcée davantage. Les sensibilisations ont permis d’accroître de façon substantielle le niveau de connaissance et les pratiques en matière d’hygiène alimentaire et de nutrition.
Source : Rapport évaluation finale du projet.</t>
  </si>
  <si>
    <t>1. Technical Narrative
2. Baseline report
3. PDM Reports
4. Endline report</t>
  </si>
  <si>
    <t>Projet Empowerment des Femmes et Filles et Gouvernance de la Société Civile</t>
  </si>
  <si>
    <t>NO161, CNORML0093</t>
  </si>
  <si>
    <t>Abdoulaye Moussa Touré</t>
  </si>
  <si>
    <t>AbdoulayeMoussa.Toure@care.org</t>
  </si>
  <si>
    <t>Kadidia Cissé</t>
  </si>
  <si>
    <t>Gender Team leader</t>
  </si>
  <si>
    <t>SidibeKadidia.Cisse@care.org</t>
  </si>
  <si>
    <t>D'ici Décembre 2019, 700 000 femmes et filles de 15 à 49 ans vulnérables et leur ménages des régions de Ségou, Mopti et Tombouctou améliorent leurs conditions socio-économique et politique et augmente leur influence dans la prise de décision à différent niveaux</t>
  </si>
  <si>
    <t>Le projet est mis en uvre dans les régions de Ségou, Mopti et Tombouctou, spécifiquement dans 105 communes</t>
  </si>
  <si>
    <t>Femmes 15-49 ans membres des groupements VSLA et les filles de 15-19 ans</t>
  </si>
  <si>
    <t>Les participants directs sont des femmes/filles (150 000) et hommes/Garçons (25 000) qui sont définis dans le cadre des résultats du projet. Les participants indirects sont calculés en fonction du nombre de population hommes et femmes des communes couvertes par le projet moins les participants directs</t>
  </si>
  <si>
    <t>Cette enquête dénommée SAFI est prévue pour évaluer la fonctionnalité, la mesure du niveau des révunus des groupements et réseaux  MJT</t>
  </si>
  <si>
    <t>Participation et Contribution du projet dans l'élabration du projet de lois contre des VBG qui a été soumis au Ministère de la Promotion de la Femme, de l'Enfant et de la Famille. Plaidoyer auprès du gouvernement à travers le MPFEF pour la mise à echelle de l'approche MJT. Plaidoyer auprès des collectivités pour la prise en compte des besoins spécifiques des femme les Plans de Développement Economique et Socio-Cuturel (PDESC)</t>
  </si>
  <si>
    <t>* Utilisation des semences améliorées de fonio et accès aux équipements innovents (cribleur et décortiqueuse de fonio) par les femmes positionnées sur la filière fonio. * Test et validation des approches couple modèle et grand mère modèle pour la bonne nutrition des enfants et des femmes. * Constitution de stock et construction de magasin de banques de céréales sur fonds propres pour Le développement des capacités de résilience des femmes MJT</t>
  </si>
  <si>
    <t>* Le projet a mis en place des coalitions des hommes engagés au niveau local pour renforcer l'engagement des hommes, membres des groupes de soutien, à l'autonomisation socio-économique et politiques des femmes et filles. * L'organisation des conférences régionales des réseaux de groupement MJT a permis d'améliorer la visibilité, la rédevabilité de leurs actions</t>
  </si>
  <si>
    <t>Appui à l'organisation des conférences régionales des réseaux MJT. Renforcement des capacités des femmes des réseaux et autres membres de la societé civile sur les thématiques du projet</t>
  </si>
  <si>
    <t>La stratégie MJT/ réseau a permis de multiplier les impacts</t>
  </si>
  <si>
    <t>Le développement des mecanismes communautaires a renforcé les capacités de résilience alimentaire et nutrionnelle</t>
  </si>
  <si>
    <t>Lapproche engagement des hommes avec l'implication des leaders religieux , des jeunes, des communicateurs trationnels, des autorités  administratives et politiques en faveur de la defense des droits des femmes et des filles</t>
  </si>
  <si>
    <t>L'approche réseautage des groupements MJT facilite la mise à échelle des actions tout en constituant des forces pressions (Négociation sociale, plaidoyer, entreprenariat, partenariat, alliance, etc.) et un facteur favorisant de leadership politique des membres des réseaus. Le défit aujourd'hui est l'inclusion financières des femmes/filles en terme de leur accès aux financement externe</t>
  </si>
  <si>
    <t>La structuration des coalitions d'hommes engagés au niveau national est une pratique promotteuses et un défit en même temps</t>
  </si>
  <si>
    <t>L'approche banques de céréales des femmes MJT constitue une stratégie durable et efficace en terme de renforcement de réliences des couches vulnérables</t>
  </si>
  <si>
    <t>Le projet est structuré autour de 04 axes clés à savoir: (i) Pouvoir économique des femmes et filles; (ii) Sécurité alimentaire et nutritionnelle; (iii) Education et (iv) Engagement et redevabilité de la Societé Civile</t>
  </si>
  <si>
    <t>GEWEP II Results framework Mali, Rapport annuel 2016 et le Rapport semestriel 2017</t>
  </si>
  <si>
    <t>Cash Assistance to Households Affected by Food Insecurity in Goundam and Niafunke Districts</t>
  </si>
  <si>
    <t>US1QX</t>
  </si>
  <si>
    <t>The project’s main objective is to provide food assistance in the form of unconditional cash transfers to maintain vulnerable beneficiaries’ livelihoods as well as to ensure that they do not have to resort to negative coping mechanisms</t>
  </si>
  <si>
    <t>Les ménages affectés par les aléas climatiques (inondations) et conflits (Personnes déplacées internes, Retournées, Rapatriees) vulnerables (menages avec personnes handicapées, malades chroniques, personnes agées, Femmes enceintes, femmes allaitantes, enfants de moins de 5 ans, les ménages sans revenu)</t>
  </si>
  <si>
    <t>Le projet a mene une revision budgetaire a mis parcours qui a permis d'allouer plus de ressources aux beneficiaires en assistant 1035 nouveaux beneficiaires.</t>
  </si>
  <si>
    <t>1. Profil de consommation alimentaire : La moyenne de score alimentaire est acceptable dans la l’ensemble de la zone d’intervention avec une valeur de 89,52. En comparant la moyenne entre les sexes dans la zone d’intervention, nous voyons que la moyenne du score alimentaire est meilleure chez les ménages tenus par les femmes avec 92,75 contre 87,65 chez les ménages tenus par les hommes. 
2. Indice domestique de la faim : Dans la zone du projet, 24% des ménages ont faim dont 1% de cas de faim sévère contre 76% des ménages qui n’ont pas faim. En considérant les particularités entre les sexes, les résultats de l’évaluation nous révèle que 21,1% des ménages dont la femme est le chef de famille ont faim mais uniquement de cas modéré et 25.7% des ménages dont l’homme est le chef de ménage ont faim avec 1,6% de cas sévère. 
3. Score des stratégies d’adaptation : L’évaluation finale a révélé que dans l’ensemble de la zone d’intervention du projet que 30,8% des chefs de ménages ont affirmé avoir adoptés des stratégies d’adaptation alimentaire pour faire face à la pénurie alimentaire et parmi ces personnes 42% des ménages dont les femmes sont les chefs de ménage et 33,2% des ménages dont les hommes sont les chefs de ménages ont fait recours aux aliments moins bien aimés (moins préférés) comme principale stratégie adoptée.
Source : Rapport évaluation finale du projet.</t>
  </si>
  <si>
    <t>1. Technical Narrative
2. Targetting report
3. Baseline report
4. PDM Reports
5. Endline report
6. Evaluation GENRE
7. Rapport trimestriel</t>
  </si>
  <si>
    <t>Projet PCTFML0014</t>
  </si>
  <si>
    <t>Education For Change Jannde Yirriwere  </t>
  </si>
  <si>
    <t>PCTFML0014</t>
  </si>
  <si>
    <t>Sidibé Kadidia  Cissé</t>
  </si>
  <si>
    <t>Team Leader Gender</t>
  </si>
  <si>
    <t>Dagaba DIAKITE</t>
  </si>
  <si>
    <t>Dagaba.Diakite@care.org</t>
  </si>
  <si>
    <t>En 2020, l'environnement socioculturel et politique des zones cibles de  la Région de Mopti sera amélioré au regard du respect des droits des jeunes, particulièrement ceux des filles, afin qu'elles  accèdent  à des activités éducatives et socioéconomiques appropriées susceptibles de durablement améliorer leur vie.</t>
  </si>
  <si>
    <t>Le projet est mis en uvre dans six (6) communes dans la Région de Mopti; dont deux (2) urbaines ( Bandiagara et Mopti) et quatre (4) communes rurales Kendié, Doucombo, Sio et Socoura.</t>
  </si>
  <si>
    <t>Le projet vise à donner une opportunité daccès, de maintien dans le système éducatif et d'apprentissage innovant sur des sujets concernant les adolescents scoalaires et non scolaires vulnérables et marginalisés de la tranche d'âges 10-18 ans.</t>
  </si>
  <si>
    <t>Les bénéficiaires directs du projet sont les Adolescentes/ Adolescents  Scolaires et non Scolaires et dans la tranche d'âge de 10-18 ans.. et le corps enseignant qui reçoivent des renforcements de la part du Projet. Les Adolescentes/ Adolescents sont dans les amicales et dans les Brigades scolaires et communautaires et dont le nombre est connu dans les stratégies de mise en euvre du Projet même. Par le partage des informations à travers une PlateForme, l'intégration de la SSR et de la Résilience dans le Curriculum, et les conférences débats entre eux permet d'atteindre le maximum des adolescents. Les données academiques des autorités scolaires (Directions et CAP et ACADEMIE) sont exploitées pour le calcul des effectifs.. Quant aux bénéficiaires indirects, la base de calcul est le RGPH 2009, soustraits des Bénéficiaires Directs.. Ils sont capitalisés, les Bénéficiaires Indirects, à travers les émissions radiophoniques et sur les thèmes du Projet, les animations de masse comme les Sketchs animés par les adolescents eux mêmes dans tous les villages, et par les ADC de l'ONG partenaire, la participation du Projet à toutes les comémorations des différentes journées Internationnales et Nationales ( 16 Décembre journée de la Résilience , 16 juin: journée de l'enfant ..) les journées éducatives il s'agit de l'exploitation des données administratives et les Rapports/ Comptes Rendus de formation.. sans parler de l'effet multiplicateur du Projet vu l'engouement des communautés, et aussi à travers les hommes engagés et les leaders communautaires...</t>
  </si>
  <si>
    <t>La Résilience axée sur le Changement Climatique en milieu scolaire et communautaire</t>
  </si>
  <si>
    <t>Le projet travaillera avec le PTF pour une meilleure planification et la méthodologie à adopter pour les évaluations futures et le soutien nécessaire à apporter exactement comme à l'évaluation de référence .. Etude de base..)</t>
  </si>
  <si>
    <t>Préparation des communautés à la conduite du plaidoyer pour influencer les normes sociales au niveau local au moins (Exemple à travers les Hommes engagés, Groupements/ Réseaux MGJT, Leaders Traditionnels et Réligieux</t>
  </si>
  <si>
    <t>1. L'utilisation de la téléphonie mobile en milieu scolaire comme moyen pédagogique et travers une PlateForme d'échange et de partage d'information sur les Thématiques du Projet. 2. La mise en oeuvre des amicales de filles et des Brigades de résilience avec l'interaction entre Adolescentes/ Adolescents Scolaires et Non Scolaires dans les mêmes groupes. 3. La mise en place et focntionnement des VSLA en milieu scolaire. 4. L'élaboration et la validation d'un Guide de Réslience testé dans les écoles du Projet.</t>
  </si>
  <si>
    <t>Les cadres de rédévabilité où on on a impliqué les acteurs régionaux, locaux, communaux et communautaires. Le projet travaille également avec les acteurs au niveau national, pour améliorer la qualité du Curriculum national. En matière de Synergie, le Projet EFC travaille en étroite collaboration avec d'autres Projets de CARE comme SAF PAC, et le Projet TEMPS en matière de Santé Sexuelle Reproductive Conception des messages, participation aux Comités de Pilotage, Organisation commune des journées internationales et nationales..etc)</t>
  </si>
  <si>
    <t>Les activités  de formation, d'information et de sensibilisation sur les droits des jeunes et les normes et pratiques sociales et la proctection de l'environnement.</t>
  </si>
  <si>
    <t>Pas de changement ou d'ajustement significatif au cours de l'année fiscale</t>
  </si>
  <si>
    <t>1. L'appui à la mise en place et au fonctionnement d'une PlateForme mobile pour une meilleure communication des adolescentes et des adolescents sur les questions liées à la santé sexuelle et Réporoductive (SSR) et sur les activités de résilience et  la réduction des Risques de catastrophes (DRR)</t>
  </si>
  <si>
    <t>2. Les émissions radiophoniques qui ont eu un grand effet sur l'appropriation du Projet par les acteurs et leur engagement à accompagner le Projet.</t>
  </si>
  <si>
    <t>3. La mise en place des amicales et des brigades au niveau des écoles avec les non scolaires</t>
  </si>
  <si>
    <t>L'adhésion totale de tous les acteurs suite aux différents cadres d'échanges mises en place, la prise en compte des récommandations de l'Etude de Base dans le Plan d'Action et dans les stratégies de mise en oeuvre, la stratégie de communication développée par le Projet, les cadres d'échange et rédevabilité sont oppérationnels</t>
  </si>
  <si>
    <t>L'implication et la participation des  bénéficiaires directs dans la mise en uvre des activités et qui se sont déjà appopriés le projet  </t>
  </si>
  <si>
    <t>Le risque lié à l'instabilité socio poilitique et la crise sécuritaire dans les zones du Projet.</t>
  </si>
  <si>
    <t>EFC se veut un Projet de lien entre l'école et la communauté en faisant de l'adolescent un agent de changement au sein de sa communauté.</t>
  </si>
  <si>
    <t>Rapport de l'Etude de Base, .. Les Données des Services déconcentrés de l'Etat, Les Rapports de l'ONG , Le Rapports des Cadres de rédévabilité et de suivi conjoint ,etc</t>
  </si>
  <si>
    <t>Human Capital, Accountability and Resilience Advancing Nutrition Security, Diversified Livelihoods and Empowerment (HARANDE)</t>
  </si>
  <si>
    <t>UFFPML0001</t>
  </si>
  <si>
    <t>MOUSTAPHA GAYE</t>
  </si>
  <si>
    <t>CHIEF OF PARTY</t>
  </si>
  <si>
    <t>mgaye@care.org</t>
  </si>
  <si>
    <t>YAWO DOUVON</t>
  </si>
  <si>
    <t>yawo,douvon@care.org</t>
  </si>
  <si>
    <t>Améliorer lalimentation durable, la nutrition et la sécurité des revenus pour 270 000 membres des ménages vulnérables dans les cercles de Youwarou, Tenenkou, Bandiagara et Douentza à lhorizon 2020</t>
  </si>
  <si>
    <t>Harande intervient dans 290 villages dans les 4 cercles : Cerce de Bandiagara : 82 villages (Dandoli : 14, Dourou : 29, Lowol Gueou : 20, Pignari :19), Cercle de Douentza  : 49 vilages (Douentza : 5, Dangol-Bore : 30, Koubewel Koundia :14), Cercele de Tenenkou : 77 Villages (Tenenkou : 1, Diafarabé : 10, Diondori : 36, Sougoulbe : 17 , Togoro Kotia : 13), Cercle de Youwarou : 82 Villages (Youwarou : 21, Deboye : 24, Dirma : 24, Dongo : 13)</t>
  </si>
  <si>
    <t>Les personnes vivant dans les ménages vulnérables  dans les 4 cercles de Youwarou, Tenenkou, Bandiagara et Douentza</t>
  </si>
  <si>
    <t>Les participants directs sont les personnes qui participent directement ou bénéficient directement des différents appuis,renforcement des capacités fournies par le programme dans ces 5 domaines d'intervention : nutrition, livelihoods, Changement climatique, conflits, Gouvernance/redevabilité, ce sont 12801 enfants de 0-23 mois; 13424 enfants de 24-59 mois; 1983 adolescents &amp; jeunes agés de 5 à moins18 ans; 62609 femmes enceintes-allaitantes-jeuns de 18-30ans-producteurs agés de 18 à moins 50 ans; 11716 producteurs agés de +50ans/// les participants indirects sont les personnes qui ne recoivent les bénéficices des activités, services fournis par le programme à travers les les participants directs. il sont estimés en multipliant le nombre de participant par 5 (taille moyenne des ménages=5, avec l'hypothèse qu'un participant direct représente un ménage)</t>
  </si>
  <si>
    <t>La période de l'évaluation doit être confirmée par USAID/FFP, elle est succeptible de changement,</t>
  </si>
  <si>
    <t>L'implémentation des activités vient effectivement de démarrer cette année, le programme a même identifié des innovations paysannes à promouvoir dans le domaine de l'amélioration de la production Agricole et de l'exploitation des produits forestiers non ligneux. Ces innovations paysannes une fois promues pourraient ameliorer les conditions de production pour beaucoup de producteurs ciblés</t>
  </si>
  <si>
    <t>Harande travaille déjà en consortium de six ONG : CARE, HKI, SCI, YAGTU, SAHEL ECO et GRAT. Chacune des ONG travaille sur un domaine d'expertise soutenu par ses expériences antérieures. Harande developpe également des collaborations avec des institutions de recherche ILRI, ICRAF, ...pour tester des approhes développées par ces partanaires stratégiques. l'impact n'a pas encore été mesuré,</t>
  </si>
  <si>
    <t>CARE implemente intégralement le programme sur le terrain à travers 3 ONG nationales. Ceci participeau développement organisationnel, institutionnel et financier de ces 3 ONG nationales</t>
  </si>
  <si>
    <t>Le projet a connu une révision de la Theorie de changement durant l'atelier "M&amp;E workshop" qui a eu lieu après l'étude de base. Cette revue a permis de prendre encompte les résultats de 8 études thématiques conduites, du census des ménages réalisé dans la zone,  et de l'étude de base dans le refinement de la TOC et du cadre logique du programme; sur la base de ces résultats la cible globale du programme a été revue de 310,000 à 270,000 qui réflète mieux la réalité de la zone en ce moment. les cibles des diférents objectifs stratégiques ont également ete ajustés en conséquence sur la base des statistiques du census.</t>
  </si>
  <si>
    <t>Les care groups</t>
  </si>
  <si>
    <t>les FFBS</t>
  </si>
  <si>
    <t>TOC Harande, Cadre logique Harande, Rapport EDB</t>
  </si>
  <si>
    <t>Pathways Mali</t>
  </si>
  <si>
    <t>USN33</t>
  </si>
  <si>
    <t>Dramane SIDIBE</t>
  </si>
  <si>
    <t>Team Leaders Sécurité Alimentaire, nutritionnelle et Adaptation aux Changements Climatiques  </t>
  </si>
  <si>
    <t>Dramane.Sidibe@care.org</t>
  </si>
  <si>
    <t>Mamadou Fotigui COULIBALY</t>
  </si>
  <si>
    <t>Mamadou.Coulibaly@care.org</t>
  </si>
  <si>
    <t>A la fin des cinq années de lInitiative, CARE envisage que le Gl aura laccès équitable à, et le contrôle des moyens de production et de services essentiels pour améliorer leur statut social et économique, et la sécurité nutritionnelle et alimentaire de leurs ménages</t>
  </si>
  <si>
    <t>Le projet intervient dans deux (02) Régions: Ségou  et Mopti, 06 cercles dont 03 dans la région de Segou (Ségou, Niono  et Macina ) et 03 dans la région de Mopti  (cercles de Djenné, Mopti , et Bandiagara) : Les communes concernées sont : Cinzana, Fatiné, Folomana, Diédougou, Kamiandougou, Tongué ;Toridagako, Diabaly, Dogofri, Sokolo ; Derary, Dandougou Fakala, Fakala, Djenné, Diafarabé ; de Ouro Modi ; Bandiagara, Dandoli, Dourou, Diamanati, Kendié, Barassara, Timiniri.</t>
  </si>
  <si>
    <t>15 000 femmes âgées de 15 à 49 ans ayant des revenus de moins de $1,25/j/personne ; Des enfants âgés de 0 à 59 mois de ces femmes.</t>
  </si>
  <si>
    <t>Les participants directs du projet sont ceux (femmes ou hommes) qui travaillent directement avec le projet. Le nombre de bénéficiaires directs est repertoriés dans la base de données du projet à partir de leurs listes nominatives. Les bénéficiaires indirects representent les autres membres de leurs ménages pour éviter le double comptage. Mais, il y a aussi selon le cas, des habitants d'autres villages qui sont influencés par les actions du projet ou d'autres femmes qui ne sont pas de CARE. Désormais, le projet prendra des mesures pour évaluer le nombre de personnes touchées à travers les médias en application le taux d'écoute.</t>
  </si>
  <si>
    <t>Le projet, va bientôt sétendre à lAlimentation du Nourrisson et du Jeune Enfant (ANJE) avec le but daider les mères et familles à donner la meilleure opportunité aux enfants afin de commencer leur vie avec une bonne alimentation.  Dans lobjectif danalyser les problèmes auxquels les mères, les familles et communautés font face en termes de nutrition de lenfant et de mieux comprendre comment PATHWAYS « NYELENI » a réalisé une recherche formative sur la nutrition dans les deux régions Ségou et Mopti. Les résultats de cette recherche serviront les données de références pour la nutrition.</t>
  </si>
  <si>
    <t>Mise en oevres des approches telles que le progress Marqueur, le PPT etc</t>
  </si>
  <si>
    <t>Existance de 03 ONGs partenaires de mise en uvre sur le terrain et l'implication des services techniques de l'Etat, des elus communaux, les Leaders communautaires etc;</t>
  </si>
  <si>
    <t>Afin d'améliorer les connaissances, les compétences et les relations entre les sexes, des ateliers de renforcement des capacités ont été organisés sur les VBG et ses conséquences</t>
  </si>
  <si>
    <t>La tenue dun forum au niveau régional à Ségou. Ce forum a été organisé en collaboration avec la Direction Régionale de la Promotion de la Femme de lEnfant et de la Famille de Ségou. Les participants au nombre de 87 (60 hommes et 27 femmes) regroupaient non seulement les maires ou les représentants des communes bénéficiaires du projet mais aussi les autorités régionales, les représentants de la société civile et dautres organisations professionnelles féminines.</t>
  </si>
  <si>
    <t>Dans le cadre du Leadership féminin, le renforcement de capacité des femmes dans le leadership et dans la prise de décision a permis à plusieurs femmes doccuper des postes de prise de décision au niveau communautaire. Au total nous avons 89 femmes élues au niveau communal reparties entre les différents postes : 1 femme maire dans la zone de Djénné, 8 adjointes aux maires, 80 conseillères communales</t>
  </si>
  <si>
    <t>FFS (champs écoles paysans) pour l'adoption des techniques d'agriculture durables par les bénéficiaires.</t>
  </si>
  <si>
    <t>Pratiques prometteuses : (i) organisation du forum régionale sur la VBG, (ii) mise à échelle des techniques apprises par un plus grand nombre de bénéficiaires, (iii) médiatisation des cas de succès en transformation sociale,</t>
  </si>
  <si>
    <t>Défis : (i) sécurisation des parcelles, (ii) stratégie de motivation des rélais pour une durabilité des acquis du projet, (iii) l'accès des femmes au Laccès au crédit bancaire, à cause du taux dintérêt trot élevé</t>
  </si>
  <si>
    <t>La formation des hommes engagés sur les notions de VBG et leurs conséquences dans la société est très efficace pour réduire les effets néfastes de cette pratique au sein de la communauté (i) ; Les femmes sont capables de développer leurs compétences de leadership grâce au renforcement des capacités (ii) ; Une fois qu'elles sont économiquement autonomes, les femmes se perçoivent au-delà d'être juste des ménagères, mais elles se considèrent comme des actrices pour leur propre développement (iii) ;</t>
  </si>
  <si>
    <t>L'organisation des fora sur les VBG qui est un cadre d'échanges plus large, régroupant plusieurs sensibilités communautaires (autorités administratives et politiques, leaders communautaires, communicateurs traditionnels, service local de développement, confreries, femmes, hommes du groupe impact) contribue largement à l'atteinte des objectifs du projet.</t>
  </si>
  <si>
    <t>Rapport Semi-Annuel du projet, compte rendu d'activités et PPT.</t>
  </si>
  <si>
    <t>PROGRAMME D'AMENAGEMENT DU DELTA INTERIEUR DU NIGER Phase II</t>
  </si>
  <si>
    <t>MFANML0002</t>
  </si>
  <si>
    <t>Dramane Sidibé</t>
  </si>
  <si>
    <t>Abdourhamane Maïga</t>
  </si>
  <si>
    <t>Abdourhamane.Maiga@care.org</t>
  </si>
  <si>
    <t>En décembre 2018, 20 000 ménages (120 000 personnes) d'agro pasteurs et de pêcheurs nomades et sédentaires du DIN et du Sourou auront amélioré leurs conditions de vie à travers l'augmentation de leur production agricole et le développement d'activités économiques durables afin de renforcer leur résilience</t>
  </si>
  <si>
    <t>La zone dintervention couvre 24 communes de 4 cercles de la région de Mopti. Ce ciblage tien compte de lélargissement de la zone de PADIN dans les cercles de Mopti, Djenné et Ténenkou, et la réplication dans le Sourou dans le cercle de Bankass. Ces communes sont sélectionnées parmi celles les plus vulnérables à linsécurité alimentaire révélée dans les différents rapports du SAP de 2010 à 2013. Ce choix programmatique à été profondément analysé et validé en concertation avec les membres du comité de pilotage de PADIN. Le choix des sites a été fait sur la base des PDSEC envoyés par les Collectivités Territoriales, en priorisant les nouveaux villages et en tenant compte de la synergie avec dautres programmes dans la même zone.</t>
  </si>
  <si>
    <t>Les principaux groupes d'impact du programme sont les femmes à l'âge de procréer, leurs enfants de 0 à 59 mois. Les membres de leurs méanges font partis des groupes cibles.</t>
  </si>
  <si>
    <t>Les participants directs du projet constituent pour chaque ménage une femme/fille et un homme/garçon. Soit 2 personnes par ménage pour un total de 40 000 personnes. Les participants indirects sont les autres membres du ménage en déhors des 2 bénéficiaires directs (pour éviter le double comptage). Pour un ménage de 6 pesonnes, cela fait 4 personnes par méange donc pour 20 000 ménages, il y aura 80 000 personnes.</t>
  </si>
  <si>
    <t>Tandis que l'étude de base a utilisé une méthodologique quantitative prenant en compte les indicateurs globaux de CARE, l'évaluation à mi parcours a été réalisée avec une approche qualitative par un consultant externe qui rend la comparabilité difficile.</t>
  </si>
  <si>
    <t>La formation des ONGs partenaires</t>
  </si>
  <si>
    <t>A la suite de l'évaluation à mi parcours, le projet compte développer le volet apprentissage en plus du système de suivi evaluation classique. Il a été recommandé aussi l'audit genre pour le projet.</t>
  </si>
  <si>
    <t>L'approche participaptive  dans le processus de mise en  uvre du programme, a permis l'engagement de l'ensemble des acteurs pour l'atteinte des objectifs de l'année fiscale.</t>
  </si>
  <si>
    <t>Les comités technique et de pilotage ont consittué des cadres d'auto évaluation, de prise de décisions et de fixer des nouvelles orientations du programme.</t>
  </si>
  <si>
    <t>La mise en uvre d'un suivi participatif avec les collectivités territoriales, les service techniques de l'état , a permis d'apporter des améliorations significatives dans les interventions du programme.</t>
  </si>
  <si>
    <t>Les périmètres irrigués ou périmètres maraichers réalisés par le projet au bénéfice des femmes ont amélioré l'accès à la terre des femmes dans la zone d'intervention du projet.</t>
  </si>
  <si>
    <t>Le projet a permi de créer des emploi pour les femmes et les jeunes tout en dimiunant l'exode rural.</t>
  </si>
  <si>
    <t>La taille de parcelle par femme dans les périmètres maraichers est très petite pour l'amélioration du revenu de la femme.</t>
  </si>
  <si>
    <t>La constructtion des infrastructures commes les PPIV et les PM sont achevées.</t>
  </si>
  <si>
    <t>Le rapport de l'étude à mi parcours et le rapport annuel du projet sont produits.</t>
  </si>
  <si>
    <t>Projet de Reconstruction et Relance Economique (PRRE)</t>
  </si>
  <si>
    <t>MEFXML001/US1G6</t>
  </si>
  <si>
    <t>COP</t>
  </si>
  <si>
    <t>LObjectif de Développement du Projet (ODP) est de réhabiliter les infrastructures de base et de rétablir les activités productives des communautés touchées par la crise au Mali.  </t>
  </si>
  <si>
    <t>La zone dintervention de CARE Mali couvre 71 communes dans quatre régions du Nord (Gao, Tombouctou, Mopti et Ségou)</t>
  </si>
  <si>
    <t>La population touchée par la crise socio-politique de la République du Mali en 2012 à travers les organisation communautaires et socio-profesionnelle et les élus communautaires des 79 communes d'intervention</t>
  </si>
  <si>
    <t>Le nombre de participants directs est le nombre total de personnes bénéficiant des microprojets productifs et les formations du Centre de Formation des Collectivités Territoriales. Le nombre particpants indirects est le nombre total de la population des 79 communes dans lesqueles  le PRRE a élaboré les Plans de Développements Economiques Socio-Culturels (PDESC) moins les participants directs ( qui sont les bénéficiares des 485 microprojets productifs)</t>
  </si>
  <si>
    <t>Le projet a utulisé un processus de ciblage participatif à travers des séances de sensibilisation et d'information, les ateliers et réunion avant de cibler les bénéficiares. Aussi, certains critères d'élligibilités ont été appliquées</t>
  </si>
  <si>
    <t>La stratégie de mobilisation communautaire</t>
  </si>
  <si>
    <t>La stratégie et démarche de sélection des OCB/OSP et leurs microprojets</t>
  </si>
  <si>
    <t>La stratégie d'intervention en zone d'insécurité</t>
  </si>
  <si>
    <t>Implication des bénéficiaires dans le processus de sélection des microprojets</t>
  </si>
  <si>
    <t>Transparence dans le recrutement des entreprises et fournisseurs pour l'exécution des microprojets productifs</t>
  </si>
  <si>
    <t>Lancement de tous les marchés de fournitures et travaux et se focaliser sur le suivi des réalisations</t>
  </si>
  <si>
    <t>La modalité de mise en uvre des microprojets productifs sont entre autres : (i) l'identification des OCB/OSP ; (ii) la préparation des microprojets, (iii) l'étude et requête de financement ; (iv) l'approbation des microprojets par les commités communales de sélections ; (v) signature des conventions de financement ; (vi) l'exécution du microprojet</t>
  </si>
  <si>
    <t>Manuel d'Exécution du Projet</t>
  </si>
  <si>
    <t>Projet USAID/Nutrition and Hygiene au Mali  </t>
  </si>
  <si>
    <t>USLMML0031</t>
  </si>
  <si>
    <t>Sahada TRAORE</t>
  </si>
  <si>
    <t>Deputy Chief Of Party</t>
  </si>
  <si>
    <t>Sahada.Traore@care.org</t>
  </si>
  <si>
    <t>Alhassane SOW</t>
  </si>
  <si>
    <t>Conseiller en  Suivi-évaluation</t>
  </si>
  <si>
    <t>Alhassane.Sow@co.care.org</t>
  </si>
  <si>
    <t>Lobjectif général du projet est de contribuer à lamélioration du statut nutritionnel des femmes en âge de procréer et les enfants de moins de cinq ans  avec un accent particulier sur les mécanismes de résilience à travers la prévention et la prise en charge de la malnutrition à travers la promotion de l'agriculture nutritionnelle et l'hygiène</t>
  </si>
  <si>
    <t>Neuf (9) districts dintervention dans trois (3) régions: Nara ( à Koulikoro ) , Niono ( à Ségou ) , Mopti, Bandiagara , Bankass ,Tenenkou , Youwarou, Djenné et Koro ( à Mopti )</t>
  </si>
  <si>
    <t>Les femmes en âge de procréer, les enfants de moins de cinq ans, les petits exploitants agricoles et agents de santé</t>
  </si>
  <si>
    <t>Les participants directes sont les femmes en âge de procréer, les enfants de moins de cinq (5) ans, les petits exploitants agricoles et agents de santé dans les 710 villages couverts par le Projet qui bénéficient des activités directement des activités du Projet telles que les activités de promotions des pratiques en Agriculture, Nutrition et Hygiène.</t>
  </si>
  <si>
    <t>Une évaluation finale du Projet sera faite à la fin du Projet en 2018. Ces résultats seront comparées à celles des évaluations initiales et de la mi-parcours du Projet. La même approche quantitative a été faite pour les deux évaluations (initiales et mi-parcours). deux études qualitatives (2017 et 2018) seront conduites pour appréhender les changements de comportements et les appréciations des bénéficiares directs du Projet. L'étude finale du Projet va également comprendre des questions qualitatives plus approfondies</t>
  </si>
  <si>
    <t>Le Projet travaille en consortium avec IRC, FHI360, une ONG locale et services techniques de l'Etat malien  intervenant en Agriculture, Nutrition, Eau, Hygiène et Assainissement. Il accompagne ainsi l'Etat dans la mise de ses politiques de développement et travers l'appui à l'expérimentation des nouvelles approches telles que le dépistage de masse, les sensibilisations lors des célébrations des journées mondiales (Allaiment maternel, lavage des mains, Toilettes, etc...), Fonctonnement de la BDA/DNACPN</t>
  </si>
  <si>
    <t>Les organisations communautaires telles  que les groupements de femmes en épargne ont été aidées pour leur création et leur fonctionnelement. Les groupements maraichers de femmes ont été renforcés en Alphabétisation et technique agricoles. Les Associations de Santé communautaire ont bénéficiés du soutien du Projet à travers le renforcement des capacités des personnels des Centres de Santé Communautaires, etc...</t>
  </si>
  <si>
    <t>Au cours de sa mise en oeuvre, le Projet a bénéficié d'un financement addditionnelle de l'USAID (FtF en particulier) qui a permis de renforcer le volet Agriculture nutritionnelle et le volet WASH pour le renforcement de la capacité instutionnelle de la Direction Nationale l'Asssainissement, du Contrôle des Pollution et des Nuisances (DNACPN) du Mali. Etant donné que l'une des principales cibles du Pojet est constitué des Femmes en Ages de Procréer, un nombre important des activités du Projet sont orientées vers les femmes. Il s'agit des soutien au Femmes à travers les démonstations nutritionnelles ciblant les groupement de Femmes en vue de l'amélioration de l'alimentation d'elles mêmes et de leurs enfants, le renforcement des groupement de femmes ou MJT en vue de leur accès à l'épargne et leur appui en petits moyens (octroi de sémence améliorées et équipements agricoles), le renforcement en Alphabétisation des groupements de femmes maraichers en vue de leur ccès à une meilleure alimentation et technologies agricoles. L'éducation et la promotion de l'allaitement maternel exclusif, etc.</t>
  </si>
  <si>
    <t>En nutrition : l'invitation et la présence des Hommes aux activités de Démonstrations Nutritionnelles (DN) a permis au sein des communautés une prise de conscience et une forte implication des Hommes dans l'alimentation de leurs enfants. En plus la stratégie des campagnes de dépistage, mis en oeuvre avec les relais communautaires, les Agents de Santé Communautaires appuyés par les animateurs, les Directeurs Techniques de Centre (DTC) sous la supervision directe de léquipe cadre du Projet, des superviseurs de zone et les coordinateurs de zone ont permis de toucher un plus grand nombre d'enfant</t>
  </si>
  <si>
    <t>En WASH : La stratégie de la relance ATPC a permis la certification FDAL d'un plus grand nombre de villages dans la zone du Projet dont les  déclenchements entamés par des tiers n'étaient pas achevés. Cela notamment permis un gain de temps réel dans le Processus de mise en oeuvre de l'ATPC</t>
  </si>
  <si>
    <t>En Agriculture : la promotion des jardins familiaux en dotant les femmes au sein des ménages a permis d'avoir des résultats encourageants et concrets</t>
  </si>
  <si>
    <t>En nutrition : Les DN associée au dépistage des enfants ont permis une prise de conscience des femmes sur la place des produits locaux (mil, sorgho, arachide, niébé) dans lamélioration de lalimentation des enfants de moins de 5 ans et la prévention de la malnutrition des enfant par les techniques de préparation des menus pour les enfants (bouillie enrichie, « laro » à base darachide et de céréales : mil, sorgho, mai)</t>
  </si>
  <si>
    <t>Les échanges dexpériences entre les agents de différentes zones d'intervention (IRC et YA-G-TU) du Projet a été un moyen efficace dappropriation des meilleures pratiques et connaissances de part de d'autres  : Par exemple, lexistence de groupe de soutien aux femmes composé exclusivement dhommes facilite la sensibilisation des hommes sur des questions de genre</t>
  </si>
  <si>
    <t>En WASH et Agriculture : la valorisation des ordures issues des journées de salubrité a permis de les transformer en fumure organique qui ont été vendues aux agriculteurs. De même la mise en uvre des techniques de micro dose et de conservation du sol ont permis d'amélioré les résultats agricoles du Projet</t>
  </si>
  <si>
    <t>Les rapports d'activités de l'année fiscale 2016-2017 du Projet ainsi que des partenaires d'exécution, les rapports d'évaluation de base (FtF) et le rapport d'évaluation à mi-parcours du Projet</t>
  </si>
  <si>
    <t>SAF PAC</t>
  </si>
  <si>
    <t>US1LB/AN01ML0002</t>
  </si>
  <si>
    <t>ACD Programme</t>
  </si>
  <si>
    <t>joyce.sepenoo@care.org</t>
  </si>
  <si>
    <t>Issa Raoul DABO</t>
  </si>
  <si>
    <t>issa.dabo@care.org</t>
  </si>
  <si>
    <t>Contribuer à lamélioration de la santé de 74 162 femmes en âge de procréer de la Région de Mopti/Ségou à travers les activités daccès à la panification familiale, de Soins après Avortement et de transformation sociale dici Décembre 2018</t>
  </si>
  <si>
    <t>Region de Mopti (district sanitaire de Bandiagara, Djenné et Mopti); Region de Ségou (District de Segou)</t>
  </si>
  <si>
    <t>Initiative SAF PAC  a comme groupe d'impact les femmes en âge de procreer</t>
  </si>
  <si>
    <t>Les particiapnts directs sont les cibles de l'initiative SAF PAC : les femmes et les filles en ages de procréer (15 à 49 ans), les 90 prestataires cliniques formés, les 240 facilitateurs communautaires, les 129 personnes influentes renforcés pour la transformation sociale. Les participants indirects regroupent les maris des femmes age de procreer qui constituent la cible, le reste de la populations des femmes en age de procréer qui sont exposées aux séances de dialogue communautaire et les emissions radiophoniques.</t>
  </si>
  <si>
    <t>Une enquete type LQAS a été réalisée de Mars à Mai 2017. C'est dans le but d'evaluer la connaissance des communautés sur les méthodes planification familialie et les soins après avortement. C'est aussi pour identifier les zones de faible performance et combler les deficits, La planification de la 2ème étape de l'enquete est en cour de programmation.</t>
  </si>
  <si>
    <t>L'Initiative SAF PAC a développé des synergie d'action avec d'autres d'Initaitive</t>
  </si>
  <si>
    <t>Renforcement des capacités de 242 facilitateurs communautaires sur le dialogue social</t>
  </si>
  <si>
    <t>L'intégration du DIHS2 (DISC) pour la gestion des données de SAF PAC 3/ la formation sur ODK pour son intégration dans la réalisation de l'enquete LQAS/ Evaluation Initiale Rapide pour la mise en uvre du MISP dans les zones d'intervention du programme d'urgence de CARE Mali</t>
  </si>
  <si>
    <t>Le renforcement de capacité des prestataires cliniques sur le DIU du post partum,</t>
  </si>
  <si>
    <t>La mise en uvre de l'Analyse Sociale et Action à travers des sessions de dialogue communautaire. Les sessions de dialogue commuanutaire sont mise en uvre par 242 facilitateurs communautaires dont les capacités ont été renforcées,</t>
  </si>
  <si>
    <t>Les exercices de clarifications des valeurs et l'évaluation des attitudes prestataires/facilitateurs communautaires</t>
  </si>
  <si>
    <t>le renforcement des capacités en DIU du post partum pour l'augmentation des indicateurs du DIU</t>
  </si>
  <si>
    <t>L'engagement des leaders commnautaires pour l'accès des femmes en age procréer aux services de santé sexuelle et réproductive</t>
  </si>
  <si>
    <t>Certains prestataires cliniques qui constituent des barrières d'accès à l'accès des services de SSR</t>
  </si>
  <si>
    <t>L'année fiscale a connu l'intensification des activités de l'offre de service dans les formations sanitaires. Il est à noter le renforcement de capacités de 90 prestataires cliniques pour l'offre de service et 240 facilitateurs commumautaires pour l'animations des sessions de dialogue communautaire. L'offre de service a enregistré 10945 Nouvelles clientes pour l'offre de service planification familiale, 649 bénéficiares de soins après avortement et 50231 participants aux sessions de dialogue communautaire (31671 femmes et 18560 Hommes),</t>
  </si>
  <si>
    <t>La base de données Cliniques pour l'offre de service SSR. La base de données engagement communautaire. Le DISC (DIHS2). Les rapports de supervision et d'évaluation des compétences. Les rapports du workplan</t>
  </si>
  <si>
    <t>WaSA au Mali (Warer Smart in Agricuture)</t>
  </si>
  <si>
    <t>US1NR</t>
  </si>
  <si>
    <t>US1N5</t>
  </si>
  <si>
    <t>Améliorer la capacité des petits producteurs à intégrer la gestion de la fertilité des sols et de leau pour accroître la productivité agricole et amélioré la conservation des ressources naturelles</t>
  </si>
  <si>
    <t>Le projet intervient dans deux (02) Régions: Ségou  et Mopti, 03 cercles dont 03 dans la région de Segou (Ségou, et Macina ) et 01 dans la région de Mopti  ( Bandiagara) : Les communes concernées sont : Folomana, Diédougou, Tongué ;Fatiné, kaminadou, Cinzana, Dandoli, Dourou, Diamanati, Kendié.</t>
  </si>
  <si>
    <t>Les femmes âgées de 15 à 49 ans ayant des revenus de moins de $1,25/j/personne ; Des enfants âgés de 0 à 59 mois de ces femmes.</t>
  </si>
  <si>
    <t>Au départ 3 sites de démonstration ont été installés pour être répliqué Sur 16 sites (villages). Pour la réplication 80 relais seront formés en raison de 5 par village. Dans  chaque village les relais formerés encadrent 90 participants. Pour la campagne hivernale, on n'aura 90 multiplier par 16 plus les 80 relais formés soit 1530 bénéficiaires. Pour la canpagne maraichère au lieu de 90 participants par village, il y a 60 participants par village. Ceux ci donne au total pour la campagne maraichère 60 x 16 + 80=   1040 bénéficiaires directs. Pour les deux campagnes de production. les participants indirects sont ceux qui sont formés par les producteurs. Chaque participants direct (WaSA) forme  à son tour 3 autres producteurs, ensuite d'autres participants indirects concernes les femmes et les hommes adoptzants les pratiques WaSA à partir des émissions radiophonques. le nombre de participantes indirectes est égal 1040 x 3 + 15000 = 18120 et le nombre de participants ndirects est égal 1530 x3 + 15000= 19590. Un homme et une femme de 15000 ménages sont touchés par les émission radios.</t>
  </si>
  <si>
    <t>Le projet WaSa utlise les données de l'évaluation finale initiale de Nyeleni comme données de base. Par ailleurs, pour établir la situation de référence sur la capacité de retention de l'eau et la fertilté du sol, le proprojet a conctrualsisé avec la recherche pour faire des analyses pédologques. Ce travail est en cours.</t>
  </si>
  <si>
    <t>L'approche champ école paysan pour la mise à échelle à travers la formation en cascade et les émissions radiophoniques</t>
  </si>
  <si>
    <t>La collaboration avec l'IER pour apporter les preuves de l'impact des pratiques sur l'amélioration de la fertlté du sol et sa capacité de retention en eau.</t>
  </si>
  <si>
    <t>la collaboration avec les services techniques de l'agriculture et des euax et forêt pour l'adoption et la durabilité des bonnes pratiques vulgarisées.</t>
  </si>
  <si>
    <t>La restauration du sol à travers les pratiques de cordons pierreux, zâi  a permis l'extension de terres cultivables des femmes</t>
  </si>
  <si>
    <t>Retard dans le démarrage des activités  du projet pour les campagnes de production   Insuffisance de fonds pour la réalisation des points deau  dans certains villages pour les activités maraichères Insuffisance de matière première dans certains villages pour la préparation du compost</t>
  </si>
  <si>
    <t>Plusieurs producteurs sont déjà familiarisés à certaines  pratiques WaSA. Ce groupe de producteurs constitue un bon créneau pour accélérer la mise à échelle des  activités du projet</t>
  </si>
  <si>
    <t>Le projet WaSa a commencé en mai 2016 pour une année. L'exetension de la durée à 3 ans est intervenue au cours de l'exécuton de la prmière année du projet. Il est fnancé par 2 bailleurs de fonds dont le cycle de financement n'est pas le même. C'est un projet à chéval sur le dévellopement et la recherche acton.</t>
  </si>
  <si>
    <t>Rapport annuel</t>
  </si>
  <si>
    <t>Assistance Alimentaire aux Ménages Vulnérables du Projet d’Intervention Prolongée de Secours et de Redressement dans les cercles de Niafunké et de Goundam</t>
  </si>
  <si>
    <t>US1F5</t>
  </si>
  <si>
    <t>L’intervention vise à assurer la survie de 52.013 personnes vulnérables dans les cercles de Niafunké et Goundam (Tombouctou) sur la période Mars à décembre 2016 à travers une distribution des vivres essentiels à la couverture des besoins alimentaires basiques des populations à risque de la faim</t>
  </si>
  <si>
    <t>Femmes enceintes, femmes allaitantes, les enfants de moins de 5 ans, les ménages sans revenu, les ménages affectés par les aléas climatiques, les personnes handicapées et malades chroniques, les personnes agées, les personnes déplacées internes et retournées etc.</t>
  </si>
  <si>
    <t>L'approche du projet LLA (Listen learn and Act) sur la redevabilite pilote par Ground Truth solutions, Save the children danemark et Danisch Churchil Aid a permis d'evaluer le projet suivant les neuf engagements de la norme CHS.</t>
  </si>
  <si>
    <t>Pas de changement.</t>
  </si>
  <si>
    <t>L’implication des services techniques dans le choix des villages bénéficiaires limitent les erreurs d’exclusion en matière de ciblage géographique</t>
  </si>
  <si>
    <t>La distribution des vivres a renforcé la dignité des chefs de ménages, leur prestige social la solidarité interne au sein des villages et fractions bénéficiaires par le sens de partage des ménages bénéficiaires avec les ménages non bénéficiaires. Cela veut dire qu’à chaque distribution, les bénéficiaires partagent une partie de leurs vivres aux familles voisines non bénéficiaires</t>
  </si>
  <si>
    <t>La consommation des vivres distribués et la pratique du lavage des mains ont amélioré l’état de santé des enfants et des personnes âgées</t>
  </si>
  <si>
    <t>La distribution alimentaire est un facteur d’implication des femmes dans la prise de décision sur « comment gérer les vivres »</t>
  </si>
  <si>
    <t>La disponibilité alimentaire pendant La période de soudure réduit La tension au sein des ménages surtout les violences faites sur les femmes</t>
  </si>
  <si>
    <t>La disponibilité d’une source stable de soutien alimentaire contribue à réduire l’exode massif des populations  rurales</t>
  </si>
  <si>
    <t>La mission d’évaluation a estimé que le projet a été performant au regard du bilan globalement positif. En effet, sur une prévision de 52 013 bénéficiaires, le projet IPRS-PAM a atteint 100% de ses bénéficiaires. La quantité de vivres prévue a été livrée à hauteur de 97%. Mieux les variétés fournies répondent aux habitudes alimentaires des bénéficiaires selon les focus groupes. L’assistance à travers les vouchers a été réalisée à 100.03% selon les données disponibles.
L’analyse du score de consommation (SCA) indique que sur une prévision de 85% de ménages ciblés par les distributions alimentaires, 93% ont atteint un niveau de consommation acceptable. Un total de 89% des ménages bénéficiaires des vivres, sur une prévision initiale de 80% ciblé par le projet, ont renoncé aux mauvaises pratiques de vente de biens et actifs productifs. 
En définitive, la mission d’évaluation affirme que le projet a été performant dans l’atteinte des résultats programmatiques. Les activités planifiées ont permis de réaliser les objectifs. Ces objectifs initialement prévus ont été largement atteints en termes de nombre de bénéficiaires, de sécurité alimentaire, et de participation des femmes dans les prises de décision au sein des ménages. De même les pratiques d’hygiène et d’assainissement sont appliquées dans tous les villages où la mission d’évaluation s’est rendue.
Source : Rapport évaluation finale du projet.</t>
  </si>
  <si>
    <t>1. Proposition technique
2. Rapport de Ciblage
3. Rapports PDM
4. Rapport Evaluation Finale
5. Rapport Executif Final</t>
  </si>
  <si>
    <t>US1VX</t>
  </si>
  <si>
    <t>L’intervention vise à assurer la survie de 37 620 personnes vulnérables dans les cercles de Niafunké et Goundam (Tombouctou) sur la période Fevrier à Septembre 2017 à travers une distribution des vivres essentiels à la couverture des besoins alimentaires basiques des populations à risque de la faim</t>
  </si>
  <si>
    <t>Une évaluation finale conduite par une Personnes ressources externe sera conduite au dernier mois l‘intervention projet dont le but sera essentiellement orienté sur la mesures des indicateurs de résultats et l’examen des changements enregistrés attribuables aux investissements du projet.</t>
  </si>
  <si>
    <t>Mise en place des comites de distribution et de plaintes
Organisation des dialogues externes avec les communautes</t>
  </si>
  <si>
    <t>UNCFML0007  Wash in school et ATPC+E</t>
  </si>
  <si>
    <t>UNCFML0007</t>
  </si>
  <si>
    <t>Chef de Programme</t>
  </si>
  <si>
    <t>ACD, Program</t>
  </si>
  <si>
    <t>Les communautés et leurs écoles vivant dans des zones rurales, urbaines défavorisées, atteintes par des crises ou de vulnerabilité nutritionnelle ont un accès à l'eau potable, l'assainissement de base et l'éducation à l'hygiène de manière perenne et que les filles et les garçons des localités d'intervention ont accès à un environnement d'étude favorable à l'amélioration des résultats en matière d'éducation et de santé,</t>
  </si>
  <si>
    <t>Le projet couvre la region de Mopti, le cercle de Bandiagara et les communes de Bandiagara, Doucombo, Wadouba et Metoumo,</t>
  </si>
  <si>
    <t xml:space="preserve">Le projet vise à donner une opportunité d’accès aux élèves, aux enseignants, et aux communautés de meilleures conditions d'Hygiène et d'Assainissement pour un changement de comportement  et contribuer à l'amélioration de la santé et la protection des élèves dans un environnement sain pour leur apprentissage. </t>
  </si>
  <si>
    <t>Les participants directs du projet sont les élèves des Ecoles Fondamentales 1er et 2ème Cycle, qui ont été renforcés par le Projet en terme d'Eau et Hygiène et d'assainissement, mais aussi les communautés en matière d'ATPC et ayant fait directement des réalisations en matière d'ATPC.. Les Bénéficiaires indirects sont considérés comme le reste de la communauté , par effet de sensibilisation, d'information et d'observation, apprécient l'initiative et peuvent avec le temps changer de comportement au sein de la commuanuté en matière d'Hygiène et Assainissement.</t>
  </si>
  <si>
    <t>Les seules évaluations restent dans le cadre de l'ATPC avec la DRACPN et pour la post certification.. Ce Projet WASH ATPC+E est une continuations anciens Projets WASH</t>
  </si>
  <si>
    <t>Les Latrines Géographiquement séparées filles et garçons en milieu scolaire, les techniques de construction des latrines sur différents terrains (argileux, sabloneux, et rocheux) sont des innovations pour le projet.</t>
  </si>
  <si>
    <t xml:space="preserve">Le Projet s'intègre dans la Stratégie Nationnale de l'Eau  Hygiène et d'Assainissement </t>
  </si>
  <si>
    <t>L'implication de toutes les couches sociales dans le processus (orientation, Formation, dotation en Kits d'Hygiène..) de WASH et ATPC jusqu'à la certification des villages. La médiatisation de ces activités contribuait à sensibiser la société civile dans sa complexité et dans sa diversité.</t>
  </si>
  <si>
    <t>Le projet n'a pas connu de changement durant l'année fiscale.</t>
  </si>
  <si>
    <t>1. L'utilisation de l'approche ATPC (Assainissement Total Piloté par la Communauté) aux niveaux de la communauté et de l'école reste une bonne stratégie de changement de comportement et de promotion de l'hygiène et de l'assainissement (à travers la contruction et la fréquentation des latrines, l'achat des kits d'hygiène et le renouvellement des consommables).</t>
  </si>
  <si>
    <t>2. La bonne gouvernance dans la gestion et la maintenance des équipements WASH pour une durabilité des actinons WASH  et la mise en place des Comité d'Eau, Hygiène et Assainissement dans les Communautés</t>
  </si>
  <si>
    <t xml:space="preserve">3.  Le Suivi post-certification des communautés qui consiste à effectuer au moins une visite hebdomadaire dans chaque localité certifiée pendant toute la durée de la phase post-FDAL </t>
  </si>
  <si>
    <t xml:space="preserve">L’appropriation du lavage des mains par la quasi-totalité des élèves dans les écoles et le changement de comportement visible dans les communautés encadrées par le Projet. </t>
  </si>
  <si>
    <t xml:space="preserve">L'implication et la participation de tous les acteurs et des bénéficiaires directs dépuis la conception du projet,  y compris les adolescentes/adolescents qui se sont déjà appopriés le projet  </t>
  </si>
  <si>
    <t xml:space="preserve">Le grand défi reste la consolidation des acquis et le suivi par la DRACPN et les Services déconcentrés du Ministère de l'éducation après la clôture du Projet.   </t>
  </si>
  <si>
    <t>WASH est un Projet de santé publique et necessite une couverture totale de la région de Mopti. L'ATPC reste confronté à certaines réalités pédologiques et soit par le manque d'eau dans certaines zones (Bandiagara ) et le caractère inondé de certaines d'autres zones (zones inondées). Le suivi de la post FDaL reste également un défi  à surmonter.. La pérénisation des acquis en matière d'ATPC</t>
  </si>
  <si>
    <t xml:space="preserve">Rapport de Clôture du Projet </t>
  </si>
  <si>
    <t>Mexico</t>
  </si>
  <si>
    <t>Participantes directos&gt; Numero de Trabajadoras del hogar afiliadas a las organizaciones, Numero de tomadores de decision de Gobiernos en 6 paises (Congresistas, Ministros, otros politicos), numero de representantes de organizaciones socias afines a la problematica de los derechos de las trabajadoras del hogar, Numero de influenciadores / lideres de opinion sensibilizados, numero de personas que participan en actividades desarrolladas por con socios y aliados en favor de los derechos de las trabajadoras. Participantes indirectos&gt; Numero de personas (empleadores) sensibilizadas por campañas comunicacionales en favor de los derechos de las trabajadoras, Numero de trabajadoras del hogar sensibilizadas en sus derechos por alcance indirecto de otras trabajadoras del hogar, numero de trabajadoras del hogar que logran tener al menos 1 de 3 indicadores considerados: acceso a contrato de trabajo, acceso a seguridad social, acceso a un salario justo en los 6 paises en los que se desarrolla la iniciativa.
NOTA: Todos los participantes totales de la IGS han sido reportados desde Ecuador. Para evitar doble conteo, este formulario no incluye cifras especificas para Mexico.</t>
  </si>
  <si>
    <t>Montenegro</t>
  </si>
  <si>
    <t>SOCIAL ENTREPRENEURSHIP: A step toward independence</t>
  </si>
  <si>
    <t>IPA/2015/371/015</t>
  </si>
  <si>
    <t>OAF Foundation</t>
  </si>
  <si>
    <t>Corina Dominko</t>
  </si>
  <si>
    <t>To strengthen independence of women’s CSOs in Montenegro in order to act as strong representatives of vulnerable women and to foster CSOs’ intense involvement in socio-economic inclusion of vulnerable women in less developed areas of Montenegro, through exercising and promoting social entrepreneurship and provision of business advisory.</t>
  </si>
  <si>
    <t>Montenegro is a country progressing to membership in the European Union. In spite of progress, it is faced with delays in implementation of reforms, politicised civil services, ineffective legislature in many fields, sizeable administration, polarised political climate which somewhere hinders efficiency in local governance; great differences in the economic status of the underdeveloped north of the country (the project target area) and the developed Podgorica and Adriatic south areas. CSO sector suffers from lack of financing, the current system of public funding has so far proved to be inefficient. Women remain underrepresented in the labour market and progress regarding women’s rights and gender equality remains limited. 
Two project target areas are selected and two project partner organisations from these areas: Centre for Roma initiative (CRI) is located in northern part of Montenegro, municipality Niksic. Open centre Bona Fide (BF) is located in the farest north municipality Pljevlja. The local communities of Niksic and Pljevlja belong to the less developed and more traditional north of the country (Northern Montenegro).</t>
  </si>
  <si>
    <t>Roma minority represents the most vulnerable social group in Montenegro, with immense discrepancy with the socio-economic status of the majority populations. In general Roma community face discrimination, low level of economic activity and high unemployment rate. Oonly 10,8% Roma, mainly men, have permanent employment, while the percentage of Roma women is only 5% of that number (0.5% of the total number of adult Roma!) Roma women, women from rural areas and those vulnerable to violence are some of the most disadvantaged groups in Montenegro. Mostly without property, education or connections to obtain employment, they are dependent upon their family members, and excluded from the social life. Without support from the third parties, these women cannot improve their position and get included in the society. State institutions and local authorities, required to work on the inclusion of marginalised citizens, in most cases fail to fulfil their tasks due to lack of information and supervision of their work, their inner inefficiency etc. Thus the legislature and local plans for providing equal opportunities to citizens are mostly not followed or realised</t>
  </si>
  <si>
    <t>Direct participants are calculated on basis of estimated number of beneficiaries of project activities. Indirect participants are calculated on basic calculating family members, observers of activities adding plus 10% of number of citizens in 2 target municipalities.</t>
  </si>
  <si>
    <t>Baseline evaluation was produced in June 2016 and final evaluation will measure action results. We are in process of requesting project extension for 3 more months so it may lead to performing final evaluation three months later than it was planned.</t>
  </si>
  <si>
    <t>The project continued a regional advocacy initiative for recognition of social entrepreneurship (and NGO entrepreneurship) in local legislatures, here in Montegerin legislature.</t>
  </si>
  <si>
    <t>CARE selected two partner NGOs, supported them with grants and mentoring to register their agro cooperatives, in order to secure additional income to finance sustainable functioning of the NGOs.</t>
  </si>
  <si>
    <t>The project represents continuation of CARE's work in Bosnia and Herzegovina, where women's NGOs were supported to register (social) businesses to finance their core operations. The models were took to scale in Montenegro.
Exchange forum meetings, for facilitating social dialogue between women/ their NGOs and local authorities, institutions, financial stakeholders etc. were implemented, taken from the BIH program best practice examples.</t>
  </si>
  <si>
    <t>One of the main project objectives was the development of the capacity of the two project partner organisations to establish and manage their own social enterprices (cooperatives) which adds to their organisational sustainability and independence.  Both NGOs received support in design of their web sites and in market linking</t>
  </si>
  <si>
    <t>Forum for exchange- a type of meeting where successful women who were supported are invited to speak about their challenges, obstacles and plans for the future in front of local authority representatives, other NGOs, other women and present media who will spread positive impact to wider audience.  Often meetings are very emotional due to the fact that not often poor women are given chance to speak about their success.</t>
  </si>
  <si>
    <t>Engaging men through inviting them for workshops that promote women's economic inclusion is an activity that just started and its impact are visible, but it needs to be practiced more and shaped in a way to attract more male family members in order for them to better understand what would be the supporting role of a whole family to the economic engagement of their female members.</t>
  </si>
  <si>
    <t>Training, advocacy campaign, awareness raising actions are necessary, or else direct support is not 100% productive.</t>
  </si>
  <si>
    <t>This reporting form could be “richer“from my side if I had better understood all questions asked. Perhaps on-line support would generate more info from us.</t>
  </si>
  <si>
    <t>Jadranka Milicevic</t>
  </si>
  <si>
    <t>Direct participants: Roma women and girls, men and boys in targeted localities, women Roma organizations, representatives of non Roma organizations and institutions addressing Roma issues, national governmental representatives. Indirect participants: family members of Roma individuals, colleagues of representatives of NGOs and institutional representatives, general public in Roma and majority population. The project team developed tailor maide monitoring tables for all implemented project activities with special tables for multiple and individual count of persons who directly participated at some project activities.</t>
  </si>
  <si>
    <t>FAIR II project is strenghtening local CSO through a range of  tailor made capacity building actions directed at improving their organizational management and advocacy skills, reporting, monitoring and evaluation procedures, providing support in networking of organizations and institutions working on similar issues, nationally and regionally.</t>
  </si>
  <si>
    <t>Social inclusion through woman economic empowerment in Montenegro (JAKA)</t>
  </si>
  <si>
    <t>FC: BA 334; PN: BiH 134</t>
  </si>
  <si>
    <t>FC: BA 339; PN:139</t>
  </si>
  <si>
    <t>OAK Foundation</t>
  </si>
  <si>
    <t>Naida Katica</t>
  </si>
  <si>
    <t>nkatica@carenwb.org</t>
  </si>
  <si>
    <t>Promote economic empowerment among socially deprived and marginalised women in the target communities, as means for improvement of their socio-economic position and full access to rights.</t>
  </si>
  <si>
    <t>Montenegro, regions of Niksic and Pljevlja (northern Montenegro)</t>
  </si>
  <si>
    <t>Project partners Centre for Roma Initiatives from Niksic and Bona Fide from Pljevlja.   At least 80 marginalised and vulnerable women and members of their families from the project target areas, who will receive trainings in business planning, out of which 40 will receive direct project grants for business start-ups.   20 women who will be strengthened for involvement with the newly founded partner organisations' social enterprises/cooperatives.  Approximately 100 men belonging to the families of the targeted women (husbands, fathers, brothers) will participate workshops for promotion of womens employment, economic empowerment and benefits to livelihood security.   Representatives of local authorities and institutions - municipal economic departments, employment bureaus, centres for social work, business advisory services etc.   Family members of the granted beneficiaries (40*4). Communities of Niksic and Pljevlja at large and approximately 40 more families will benefit from receiving repayment of social grants by the final beneficiaries.</t>
  </si>
  <si>
    <t>Direct participants are: all those woman/girls and man/boys who participated in the project activities. For example during projects busines plan development tranings a total of 100 woman participated and gained knowledge about how to develop and write a proper business plan, while in total 40 of them recieved business start up grants. Particular workshops were organised for 300 men from the local communities, to introduce the concept of economic inclusion of women and thus create a fiendly athmosphere for women's participation in the project in othewise hostile, traditional environments.  In other project activities like the registration and establishment of social cooperatives another group of woman improved their knowledge about business administration, etc.  Indirect participantts are: household memebers of those woman who directly recieved a grant, got informed about the project activites. Institutional representatives participated in the project organised events, such as promotion of the project and its goals, round tables around promoting women's economic inclusion and social entrepreneurship in Montenegro, etc).</t>
  </si>
  <si>
    <t>Advocacy for recognition of social entrepreneurship as a particular business model in Montenegro.</t>
  </si>
  <si>
    <t>One of the main project objectives was the development of the capacity of the two project partner organisations to act as local resource centres for women's economic inclusion.  In addition, the project worked on increasing the capacity of partner NGOs to establish and manage their own social enterprices (cooperatives) which adds to their organisational sustainability and independence.</t>
  </si>
  <si>
    <t>After the inception period, CARE decided that a more direct suppport  to the partner organizations is needed - mentoring and coaching of partners from the side of the CARE staff. The partner organizations recieved a intensive capacity buildnig program from administrative and financial capacity building to strategic planing and advocacy trainings.</t>
  </si>
  <si>
    <t>Mentoring of partner orgnaizations to enable them to take a reponsposibilty for implementation of the project</t>
  </si>
  <si>
    <t>Constant presence in and work with the community is of utmost importance for establishment of relationships necessary for project implementation</t>
  </si>
  <si>
    <t>Involving men (increasing their knowledge around WEE)  in economic empowerment of 'their' women is obligatory in highly traditional communities, to create athmosphere favourable for women's economic inclusion.</t>
  </si>
  <si>
    <t>Clear admin/finance porcedures are important in any WEE project activities done with partner organisations.</t>
  </si>
  <si>
    <t>Sensitive aproach is needed since most women the project is working with are marginalized, they expirience violence and they are socialy excluded.</t>
  </si>
  <si>
    <t>http://care-balkan.org/dok/zene_poduzetnistvo.pdf</t>
  </si>
  <si>
    <t>Morocco</t>
  </si>
  <si>
    <t>AVEC II</t>
  </si>
  <si>
    <t>Youssef Bouallala</t>
  </si>
  <si>
    <t>Coordinateur projets</t>
  </si>
  <si>
    <t>bouallala.caremaroc@gmail.com</t>
  </si>
  <si>
    <t>Ait Sri Brahim</t>
  </si>
  <si>
    <t>aitsri@caremaroc.org</t>
  </si>
  <si>
    <t>Favoriser lautonomisation et l'insertion économique et sociale de femmes particulièrement vulnérables dans trois  régions du Maroc  </t>
  </si>
  <si>
    <t>3 régions du Maroc (Oriental, Fès-Méknes et Khénifra Béni Mellal)</t>
  </si>
  <si>
    <t>Les femmes et filles vulnérables localisées dans les régions de lOriental, de Fès-Meknès, et de Béni Mellal-Khénifra.                                            Les hommes et les garçons vulnérables localisés dans les régions de lOriental, de Fès-Meknès, et de Béni Mellal-Khénifra.</t>
  </si>
  <si>
    <t>*1288 femmes vulnérables localisées dans les régions de lOriental, de Fès-Meknès, et de Béni Mellal-Khénifra:                                          - Membres de 6 nouvelles AVEC (avec une moyenne de 20 membres) des femmes: 120 femmes                                                                                                                                                                                                                          -Membres de 56 anciennes AVEC (avec une moyenne de 20 membres): 1120 femmes - Membres de 2 nouvelles AVEC mixtes ou d'hommes (avec une moyenne de 20 membres et une estimation de 70% de femmes): 28 femmes - Membres de 2 nouvelles AVEC de jeunes (avec une moyenne de 20 membres et une estimation de 50% des jeunes femmes entre 15 et 35 ans): 20 jeunes femmes                                                                                                                                                               *676 hommes: - Membres de 2 nouvelles AVEC de jeunes (avec une moyenne de 20 membres et une estimation de 50% des jeunes hommes entre 15 et 35 ans): 20 jeunes hommes - Membres de 2 nouvelles AVEC mixtes ou d'hommes (avec une moyenne de 20 membres et une estimation de 30% d'hommes):  12 hommes - 644 bénéficiaires (pères, frères ou maris des femmes participantes dans les AVEC) du programme de masculinité positive  Environ 5280 personnes (1320 ménages avec en moyenne 4 membres), dans les villages ciblés des régions de lOriental, de Fès-Meknès, et de Béni Mellal-Khénifra         </t>
  </si>
  <si>
    <t>La mise en place des AVEC (Femmes, jeunnes et mixte)</t>
  </si>
  <si>
    <t>Monter des partenariat au niveau local, régional et national                                              Renforcement de capacités des partenaires à travers des formations.                                                           implication de tous les partenaires dans la mise en oeuvre du projet à travers des comités du pilotage.</t>
  </si>
  <si>
    <t>Formation sur la méthodologie AVEC.                                                                     Formation sur la masculinité positive                                                                    Formation sur la gestion des projets                                                                     Implication dans les comités de pilotage.                                                                                                                                                                                                                                                                                                                 Création des comités de gestion, d'entreprenariat et du genre</t>
  </si>
  <si>
    <t>pas de données solides (évaluation )</t>
  </si>
  <si>
    <t>Limplication des acteurs (autorités, leaders dopinion, les associations, et les bénéficiaires) facilite la gestion et le suivi du projet.</t>
  </si>
  <si>
    <t>La prise en compte des questions relatives au genre dans la mise en uvre du projet.</t>
  </si>
  <si>
    <t>Création des comités au niveau local, provincial (comités de gestion, d'entreprenariat et de genre)</t>
  </si>
  <si>
    <t>Les AVEC constituent un moyen dépanouissement et de valorisation du statut de la femme, et de cohésion entre communautés</t>
  </si>
  <si>
    <t>Limplication des acteurs (autorité, leaders dopinion, les associations, et les bénéficiaires) facilite la gestion et le suivi du projet. Cela est un acquis pour le processus de pérennisation des actions du projet.</t>
  </si>
  <si>
    <t>Les AVEC constituent une base solide pour les associations réunies en coopérative ou en micro-entreprises</t>
  </si>
  <si>
    <t>1)Le diagnostique du bas réalisé dans le cadre du projet AVEC maroc phase 1  en Janvier 2014. 2) le cadre logique du projet. 3) l'évaluation finale du projet AVEC phase I en Décembre 2016. 4) diagnostique du base en février 2017</t>
  </si>
  <si>
    <t>AVEC Maroc</t>
  </si>
  <si>
    <t>Hlima Razkaoui</t>
  </si>
  <si>
    <t>Directrice pays</t>
  </si>
  <si>
    <t>razkaoui@caremaroc.org</t>
  </si>
  <si>
    <t>3 régiouns du Maroc (Oriental, Fès-Méknes et Khénifra Béni Mellal)</t>
  </si>
  <si>
    <t>Les Associations féminines (localisées dans les 3 régions, prioritairement composées de femmes se trouvant en situation de grande précarité.                                                                                                                                                                           Les femmes vulnérables ,  localisées dans les trois régions. Les bénéficiaires feront partie d' associations féminines existantes et déjà opérationnelles et seront auto-sélectionnées entre les membres.                                                                                                                                                                                                                                                                                                                                                                                             Les hommes (pères, frères ou maris des femmes participantes dans les AVEC),  localisés dans les 3 régions.                                                                                                                            </t>
  </si>
  <si>
    <t>1000  femmes vulnérables ,  localisées dans les trois régions.(sur une base de 20 membres par AVEC, 50 AVEC au total)                                                  1000 hommes (un pères, frères ou mari par femmes participantes dans les AVEC). Les bénificiaires indirects: une moyenne de 5 membres/foyer 50% femmes et 50% hommes.         </t>
  </si>
  <si>
    <t>Le pilotage et adaptation de la méthodologie AVEC au contexte marocain</t>
  </si>
  <si>
    <t>Monter des partenariat au niveau local, régional et national , la mise en uvre du projet en partenariat avec un Réseau National (REMESS), renforcement de capacités des partenaires à travers des formations,  implication de tous les partenaires dans la mise en oeuvre du projet à travers des comités du pilotage.</t>
  </si>
  <si>
    <t>Formation sur la méthodologie AVEC.                                                                     Formation sur la masculinité positive                                                                    Formation sur la gestion des projets                                                                     Implication dans les comités de pilotage</t>
  </si>
  <si>
    <t>Evolution des normes liées au genre à travers une participation accrue  des femmes bénéficiaires  aux prises de décisions au niveau de leurs foyers et du contrôle des ressources   . Elles sont capables de de discuter de la gestion du ménage avec leurs maris, de participer aux prises de décisions dans le foyer et de sexprimer en public.                                                                                                                                                                                                                                                                           Evolution des normes liées au genre à travers  un changement  positif de comportement des hommes ciblés face aux croyances/perceptions pour une  plus grande égalité entre les  hommes et les femmes</t>
  </si>
  <si>
    <t>La prise en compte des actions favorisant la lutte contre la pauvreté à travers linstallation des groupements dépargne et de crédits en faveur des femmes</t>
  </si>
  <si>
    <t>1)Le diagnostique du bas réalisé avant le démarrage des activités du projet en Janvier 2014. 2) le cadre logique du projet. 3) l'évaluation finale du projet en Décembre 2016</t>
  </si>
  <si>
    <t>REUSSIR : Renforcement de la qualité de l'éducation primaire et préscolaire au Maroc</t>
  </si>
  <si>
    <t>CARE Morocco</t>
  </si>
  <si>
    <t>Global Parternship for Social Accountability</t>
  </si>
  <si>
    <t>Lancome</t>
  </si>
  <si>
    <t>Fondation Obélisque</t>
  </si>
  <si>
    <t>Coordinateur des projets</t>
  </si>
  <si>
    <t>bouallala@caremaroc.org</t>
  </si>
  <si>
    <t>Adnane Laakel</t>
  </si>
  <si>
    <t>laakel@caremaroc.org</t>
  </si>
  <si>
    <t>Contribuer à la généralisation et lamélioration de la qualité de léducation préscolaire et primaire parmi les enfants les plus défavorisés afin de contribuer à diminuer les abandons scolaires et daugmenter leur chance de réussite scolaire.</t>
  </si>
  <si>
    <t>Le projet est exécuté dans deux régions du Maroc: - Région Casablanca-Settat, province de Sidi Bernoussi et province Ain Sbaa-Hay Mohammadi (zone périurbain); - Région Marrakech- Safi, province Al Haouz (zone rurale)</t>
  </si>
  <si>
    <t>Le projet impactera les enfants en age de préscolarisation (3 à 5 ans) vivant dans les zones défavorisées du Maroc. Le projet impactera également l'attitude et le compostement des parents ayant des enfants en age de préscolarisation.</t>
  </si>
  <si>
    <t>Les participants directs du projet sont les éducateurs/trices d'établissement préscolaires, les gestionnaires d'établissements préscolaires, les enfants, leurs parents et/ou tuteurs, les directions provinciales de l'éducation nationale.</t>
  </si>
  <si>
    <t>Une évaluation finale sera menée à la fin du projet</t>
  </si>
  <si>
    <t>- Le projet teste le modèle préscolaire de CARE Maroc afin d'assurer une meilleure éducation des enfants dans les zones plus vulnérables. Ce modèle met l'enfant au centre, tout en améliorant la qualité des unités d'appui (Equipements, infrastructures) et renforçant la capacité des éducatrices, gestionnaires des unités préscolaires, les parents et les communautés autour de cet enfant.</t>
  </si>
  <si>
    <t>- Le projet a touché plus de bénéficiaires que prévu dans le cadre logique et ce pour mutiplier l'impact de l'intervention</t>
  </si>
  <si>
    <t>- Formation des associations villageoises / quartier / de développement dans la gestion des unités préscolaires</t>
  </si>
  <si>
    <t>- Le projet ciblaient essentiellement les unités préscolaires informelles privées. Au démarrage, le gouvernement a lancé une stratégie de développement dui secteur de l'éducation préscolaire. Pour soutenir cette démarche, nous avons inclus dans le diagnostic/selection et puis renforcement des unités préscolaires dites intégrées aux écoles primaires.</t>
  </si>
  <si>
    <t>- Modèle préscolaire CARE Maroc</t>
  </si>
  <si>
    <t>- Parentalité positive</t>
  </si>
  <si>
    <t>Masculinité positive</t>
  </si>
  <si>
    <t>- La prise en considération des attentes des bénéficiares et la transparence sur les résultats et les ressources du projet garantissent un meilleur engagement des bénéficiaires.</t>
  </si>
  <si>
    <t>- Pour les interventions de grande envergure, les procédures peuvent plus de temps que prévu (au vu des liens avec les partenaire externes : bénéficiaires, partenaires institutionnels, bailleurs de fonds)</t>
  </si>
  <si>
    <t>- Le rôle d'intermédiation que jouent CARE entre les différentes parties prenantes d'un secteur améliorent les relations et par conséquent les performances de ce dernier. e.g. lien entre les associations qui gérent les unités préscolaires sises au sein des écoles primaires avec les administrations locales/provinciales de l'éducation.</t>
  </si>
  <si>
    <t>Le projet comporte un volet préscolaire et un volet primaire, ce dernier fait partie du rapport PIIRS du projet LEAD (budget et bénéficiaires). Cette fiche (Réussir préscolaire) comporte seulement le volet préscolaire.Le budget total du projet (volet préscolaire et volet primaire) est de 1 475 819 euros.</t>
  </si>
  <si>
    <t>Gouvernance Locale et Droits des Femmes (GLDF)</t>
  </si>
  <si>
    <t>Hlima RAZKAOUI</t>
  </si>
  <si>
    <t>Directrice Pays</t>
  </si>
  <si>
    <t>Aziz ERRADI</t>
  </si>
  <si>
    <t>Animateur terrain -point focal du projet pour CARE</t>
  </si>
  <si>
    <t>erradi@caremaroc.org</t>
  </si>
  <si>
    <t>Contribuer à la consolidation de la démocratie et de la gouvernance locale, fondées sur la participation et la redevabilité sociale</t>
  </si>
  <si>
    <t>Région de Tadla-Azilal (Province de Beni Mellal) et Région de l'Oriental (province de Oujda Angad)</t>
  </si>
  <si>
    <t>50 OSCs dans les communes ciblées( deux communes  dans chaque région), 15 OSC au niveau national, 50 femmes et jeunes leaders locaux, 15 élus(es) locaux, 30 hommes leaders (locaux, religieux)</t>
  </si>
  <si>
    <t>L'action intéressera, de manière directe, les groupes cible suivants: ? 50 OSC (25 par Province), pour un total de 150 personnes, membres avec différentes fonctions des OSC, qui auront profité du renforcement de capacités. De ces bénéficiaires, au moins le 50% sera composé par des femmes et des jeunes, dont 50 jouiront d'une formation ultérieure. ? 16 élu(e)s locaux/locales (4 par commune) impliqués dans toute activité de formation et de dialogue ? 15 OSC actives au niveau national. ? Au moins 30 familles de femmes politiquement engagées, spécifiquement les hommes.                                                                                                                Un total de 1595 personnes sont considérés bénéficiaires directs. Il est estimé que chaque bénéficiaire direct aura un impact indirect sur 5 personnes</t>
  </si>
  <si>
    <t>Le projet a pris fin en décembre 2016. Les évaluations sont organisés par le porteur du projet, l'Espace Associatif en collaboration avec CARE Maroc</t>
  </si>
  <si>
    <t>Renforcement de la capacité des associations de la société civile pour proposer des solutions concrètes à les défis et problèmes de développement trouvés localement. Ces associations deviennent une force de proposition durable pour le développement et évolution des politiques publiques et programmes de développement</t>
  </si>
  <si>
    <t>Accompagner les la société civile pour l'élaboration de leur plan d'acion pour l'améliorer leur participation au polotoque publique.  Appuyer les associations pour la mise en uvre de leur plan d'action de plaidoyer.    </t>
  </si>
  <si>
    <t>Accompagner les la société civile pour l'élaboration de leur plan d'acion pour l'améliorer leur participation au polotoque publique.  Appuyer les associations pour la mise en uvre de leur plan d'action de plaidoyer.    Organiser des débats citoyens pour faciliter le dialogue entre les associations et les élus.</t>
  </si>
  <si>
    <t>les indicteurs du cadre logique sont revues et adaptés aux objectifs et resultats du projet dans la mesure qu'ils soient sensible au genre,</t>
  </si>
  <si>
    <t>Identifier d'un noyau de 15 associations parmi les 25 associations partenaires par province, pour assurer la consolidations des acquis dans le cadre du projet  et constitue un relais pour toucher les autres associations ainsi que dautres  nouvelles à léchelle locale et régionale.  Et cela afin de remedier aux changements des représentants des associations participants aux activités du projet.</t>
  </si>
  <si>
    <t>Impliquer aussi linstance administrative permanante des communes cibles  (SG et responsable des commissions affaire sociales, ) dés le début du projet afin de garantir la continuité de coopération avec les communes cibles suite au changement de linstance élue après les élections de septembre 2015,</t>
  </si>
  <si>
    <t>Doter l'équipe du projet d'un appui et d'un coaching  continu dans leur accompagnement des asssociations en approche genre et réseautage</t>
  </si>
  <si>
    <t>Pratiques promotteuses: une charte d'éthique est élaborée et signéee par les associations dans les deux provinces comme une base de coordination pour agir ensemble et concrétiser le réseautage.</t>
  </si>
  <si>
    <t>Défis: lélaboration dun plan  daction de plaidoyer pour la promotion de la redevabilité sociale et sa mise en oeuvre, se sont annoncés difficile et ont pris plus de temps que prévu. Cela est dû à la faiblesse du travail en coordination des associations locales,  et de la faiblesse de leurs  ressources et leur appropriation limitée des outils présentés dans les ateliers de formation</t>
  </si>
  <si>
    <t>Défis: Les associations partenaires doivent encore acquérir les capacités d'appliquer concrétement l'approche Genre</t>
  </si>
  <si>
    <t>Implication dacteurs locaux dans chaque province dans les activités du projet:  des représentant-e-s des coordinations régionales de lAgence de développement sociale (ADS) , la commission régionale des Droits de lhomme (CRDH) et de lEntraide Nationale (EN), et de la division de laction sociale (DAS),  ont participé à la majorité des activités organisées et appuient le projet. A noter que CARE Maroc est le partenaire du porteur du projet, le Espace Associatif. CARE travaille seulement dans une des deux régions ciblées par le projet   </t>
  </si>
  <si>
    <t>Evaluation finale du projet</t>
  </si>
  <si>
    <t>Global Partnership for Social Acountability</t>
  </si>
  <si>
    <t>Ce projet fait partie du projet Réussir (volet primaire). Dans cette fiche le budget du bailleur principal (la Banque mondiale) est indiqué ainsi que les bénéficiaires du volet primaire du projet Réussir. Dans la fiche du projet Réussir, seulement le volet préscolaire est inclut pour éviter le double comptage</t>
  </si>
  <si>
    <t>Mozambique</t>
  </si>
  <si>
    <t>Service Delivery Support for Orphan and Vulnerable Children (SDS - OVC) - COVida</t>
  </si>
  <si>
    <t>FHIXMZ0001</t>
  </si>
  <si>
    <t>U.S. President's Emergency Plan for AIDS Relief (PEPFAR)</t>
  </si>
  <si>
    <t>Cathy Riley</t>
  </si>
  <si>
    <t>Cathy.Riley@care.org</t>
  </si>
  <si>
    <t>Sergio Hugo Adriano Chiale</t>
  </si>
  <si>
    <t>Provincial Project Manager</t>
  </si>
  <si>
    <t>Sergio.Chiale@care.org</t>
  </si>
  <si>
    <t>The overall objective of the COVida program is to improve the health, nutritional status and well-being of orphaned and vulnerable children (OVCs) living in the priority districts defined by PEPFAR to control the epidemic of HIV/AIDS</t>
  </si>
  <si>
    <t>Inhambane Province and operate in 5 districts (Zavala, Inharrime, Maxixe, Massinga and Vilankulo)</t>
  </si>
  <si>
    <t>The main impact group of the project are orphan children affected or infected by HIV/AIDS and their caregiveres</t>
  </si>
  <si>
    <t>For the first year our goals had no breakdown by sex or age group. Only a total of 21,856 beneficiaries to be reached (during the first year). The number of expected direct participants, in the life of the project are still to be defined. 21.856 was ONLY for first year.</t>
  </si>
  <si>
    <t>The purpose of this study is to assess the wellbeing of children supported by COVida, over time.     What is the methodology?
This is a household survey in all provinces, and focus group discussions with youth aged 12-17 years.
This study is being conducted in part to fulfill PEPFAR global reporting requirements that aim to measure and track progress of PEPFAR-supported OVC programs.</t>
  </si>
  <si>
    <t>Is home based approach, called case management that links the families with several basic services to improve their health and social and economic well bein</t>
  </si>
  <si>
    <t>Trainings for CBO´s and workers of Governament (Districtal Social Welfare Department)</t>
  </si>
  <si>
    <t>The project updated the responsibilities of the Economic Strengthening Officer to be the gender focal point, so as to make our intervention more transformative</t>
  </si>
  <si>
    <t>Selection of community grassroots organizations that have been developing similar actions in the same communities</t>
  </si>
  <si>
    <t>Linking the project with clinical partners and social partners was crucial to achieving the target beneficiaries</t>
  </si>
  <si>
    <t>The creation of mixed groups of VSLA helped the most vulnerable families to improve their support network</t>
  </si>
  <si>
    <t>Case management is a new and sustainable approach, as it creates capacity over a period of time and opens space for the integration of new families.
in relation to other approaches, beneficiaries are assisted throughout the life of the project</t>
  </si>
  <si>
    <t>In the project proposal was not expected the position of VSLA supervisor in CBO´s, as CARE we decided to include this position to support the facilitators in the creation of new groups with quality creation of new groups with quality</t>
  </si>
  <si>
    <t>During the implementation of the project we identified unqualified staff in the OCBs for certain key positions, we support the recruitment of new staff. As a lesson in the future, we will evaluate staff skills during the OCB selection process.</t>
  </si>
  <si>
    <t>we are implementing a new and complex approach (case management) and CBOs were not familiar with this type of intervention, so there is a lot of work to be done in year 2 to engage CBOs</t>
  </si>
  <si>
    <t>Techinical Narrative Document (see in attachment)</t>
  </si>
  <si>
    <t>Programme for Preparedness and Response to Emergencies in Mozambique (PROPREM)</t>
  </si>
  <si>
    <t>AT575</t>
  </si>
  <si>
    <t>Luisa Chadreque</t>
  </si>
  <si>
    <t>Luisa.Chadreque.@care.org</t>
  </si>
  <si>
    <t>Jose Daniel Abacar</t>
  </si>
  <si>
    <t>Capacity Building Officer</t>
  </si>
  <si>
    <t>Jose.Abacar@care.org</t>
  </si>
  <si>
    <t>Increasing resilience of communities, especially among groups vulnerable to shock and risk, suchas droughts, floods, cyclones and epidemics thougth improved early warning systemes, strenghtned preparedness capacity and effective rapid response mechanisms.</t>
  </si>
  <si>
    <t>Mossuril, Memba and Nacala-á-Velha districts.</t>
  </si>
  <si>
    <t>The main impact group of project are Local Disaster Risk Management Commitees (CLGRC).</t>
  </si>
  <si>
    <t>For this project the calculation of the direct beneficiaries is made as follows: Number of HHs covered by the vaccination of chickens plus the number of people who saw simulations on previous warning of cyclone, floods and strong winds and use of the small irrigation system where it is predicted the presence of about 100 individuals for each simulation that must be done 3 times by each community in one of 35 communities</t>
  </si>
  <si>
    <t>Chiken vacination; seed distribution and cassava stake</t>
  </si>
  <si>
    <t>The communities have elaborated contigency plans and risk mapping</t>
  </si>
  <si>
    <t>Early warning system using SMS was installed at provincial, district and community levels.</t>
  </si>
  <si>
    <t>SANI- Southern Africa Nutrition Initiative</t>
  </si>
  <si>
    <t>CCANMZ0002</t>
  </si>
  <si>
    <t>ADC - P</t>
  </si>
  <si>
    <t>Julinho Alexandre</t>
  </si>
  <si>
    <t>julinho.alexandre@care.org</t>
  </si>
  <si>
    <t>Contribute to the reduction of maternal and child mortality in targeted regions</t>
  </si>
  <si>
    <t>Inhambane Province; Homoine and Funhalouro  districts</t>
  </si>
  <si>
    <t>women in reproductive age and children under 5 years</t>
  </si>
  <si>
    <t>Indirect participants will be all other residents on the implementation sites and not directly involved in the project</t>
  </si>
  <si>
    <t>This is a new project that has not yet reached beneficiaries.</t>
  </si>
  <si>
    <t>Partnerships and Alliances of Civil Society for Rights to Land and Natural Resources - PACT</t>
  </si>
  <si>
    <t>FC: DK116 &amp; PID: CDNKMOZ0024</t>
  </si>
  <si>
    <t>Vivaldino Obadias Banze</t>
  </si>
  <si>
    <t>vivaldino.banze@care.org</t>
  </si>
  <si>
    <t>ACD-P</t>
  </si>
  <si>
    <t>Legitimate Mozambican civil society organizations and coalitions/platforms are increasingly able to effectively engage with and influence development partners (government, donors, private sector, etc) strategies, policies legislation development and implementation at national, provincial and district levels related to land, natural resources and rural livelihood issues.</t>
  </si>
  <si>
    <t>Maputo, Capital of Mozambique - Allience Against Land Grabbing (ASCUT), National Platform of Natural Resources and Extractive Industry (NPNREI) Civil Society National Platform of Climate Change (CSNPCC), Association for Youth Development (KUWUKA-JDA); Nampula Province - ORAM 10 district of Nampula - (Malema, Ribaué, Mecuburi, Rapale, Murrupula, Moma, Angoche, Larde, Mogincual e Liupo); AKILIZETHO - Liupo District (17 communities of Administrative Post of Liupo (Maquela, Manhunho, Meloge, Metuma, Morola, Namuhocola, Nathú, Nanahene, Namuali, Metapa, Cuvire, Nakuca, Nacuacue, Namezene, Caira, Mecupela and Muhoco); 03 communities of Administrative Post of Namige (Mucuheia, Naminane sede, Majole and Metapata); Nampula Provincial Union of Farmers (UPC-N)  - 11 Districts - (Ribaue, Muecate, Murrupula, Nacaroa; Monapo, Meconta, Erati, Malema, Angoche, Moma, Mugovolas); Networks of Agricultural and Natural Resources (NANR) from Nampula provincial platform of civil society organization. Cabo Delgado Province, Pemba city - Thematic Group of Natural Resources and Environment (TGNRE).</t>
  </si>
  <si>
    <t>Four (4) individual organizations, (KUWUKA-JDA) based in Maputo and (ORAM, AKILIZETHO and UPC-N) from Nampula province. Three (3) national platforms of civil society (ASCUT, NPNREI, CSNPCC) and two (2) provincial civil society networks (TGNRE-PEMBA &amp; NWANR-NAMPULA). AKILIZETHO - Local Development Comitee (LDC) and Women members of LDC; UPC-N - Districtal Advocacy Agents and Women of the movement; ORAM - Natural Resources Management Comite and Staff of the district government.      </t>
  </si>
  <si>
    <t>In 2017 the program will conduct the final evaluation, the evaluation will be conduct by an external consultant with suppor from CAre Denmark and collaboration of CARE Mozambique staff. The overall purpose of the evaluation is to provide programme stakeholders with an external analysis of programme Outcomes which will inform planning and decision-making for the next phase of the programme.</t>
  </si>
  <si>
    <t>Revisão do quadro legal da terra</t>
  </si>
  <si>
    <t>1) In building partner´s capacities promoting close collaboration between Care Mozambique and others donors that support same national organization allows them to be more transparent and accountable;   2) In the Mozambican context where public institutions are controlled by the government, governance is weak and political actors have economic interests, using the global mechanisms for promoting human rights as the International Center for Business and Human Rights is a good strategy for lobbying and influence of companies that have investments at national level to respect the human right</t>
  </si>
  <si>
    <t>All advocacy innitiaves of the program are promoted by the individual organizations through networks and platforms and this methodology seems to be more effective in advocacy. As example, Nampula civil society platform through their network of agriculture and natural resources that integrate 3 program partners in coordination with two national level platforms, ASCUT and Extractive Industry platform were able to influence the Government of Mozambique, Brazilian and Japan to promote more comprehensive and transparent discussion on the ProSavana Master Plan and ensure that communities and other stakeholders could participate in the preparation of the Master Plan document</t>
  </si>
  <si>
    <t>Promotion of the coordination between donors that support the same national organizations and harmonization of similar pillars of the two programs: PACT / CARE and TEGAC / OXFAM;</t>
  </si>
  <si>
    <t>Joint monitoring activities between CARE / OXFAM in coordination with the National Union of Farmers (UNAC) as a strategy to rationalize and minimize resources (time, money) and enhance the team work approach</t>
  </si>
  <si>
    <t>Program team combining two different roles. CARE acts as a funder of civil society initiatives through small-grants mechanisms. Because of CAREs expertise as a grant manager with sound financial and administrative systems and because of its connectedness to civil society and understanding of capacity, CARE take up this role on behalf of institutional donors.  CARE act also as a coach and trainer and directly support partners with inputs, new ideas and tools, and trainings in line with partner capacity building plans.</t>
  </si>
  <si>
    <t>The self-reflection process through the capacity assessment tools review and updated by the program team and partners with the support of CARE Denmark have contributed significantly to broaden our understanding about the other dimensions of the term legitimacy, such as the ultimate beneficiary (communities and groups) that partner claim to represent their interests and talk on their behalf, donors who support in finance, government entities and the private sector that are direct targets of advocacy actions and finally their peers.</t>
  </si>
  <si>
    <t>The annual reflection process has also helped to understand that more than performing external audits, transparency implies involve members and beneficiaries in the planning process, culture of sharing information, plans, reports, joint decision making processes and institutionalization feedback mechanisms and accountability to their constituency.</t>
  </si>
  <si>
    <t>We also learned that the results / finds of capacity assessment are more likely to be undertaken by the partners when they personally lead the process and that practice contributed to cover the existed gap of spaces for reflection and learning together in the program. And the merge of the two previous tools into a single one, became very heavy and takes long time to complete the reflection process, in the future this may require the prioritization of key capabilities that partners and CARE intend to embrace and reduction the less relevant.</t>
  </si>
  <si>
    <t>Partnerships and Alliances of Civil Society for Rights to Land and Natural Resources (PACT) program document; Program monitoring and avaluation framework; Programme Annual Report 2015. Shadow Report of mozambican Civil Society submited to High Commission of Human Right in relation to Universal Periodical Review (UPR);  CARE Mozambique and Actionaid Agriculture Policy Analysis Research Report 2015; CARE Mozambique and IIED - Tracing sustainable agriculture in Mozambique from policy to practice 2015; Reviewing Climate Change Adaption policies and institutions - A case study research assessing Southern Voices Joint Principles for Adaptation A and C in Mozambique, September 2016.</t>
  </si>
  <si>
    <t>Nampula Adaptation to Climate Change (NACC)</t>
  </si>
  <si>
    <t>CDEUMZ0004</t>
  </si>
  <si>
    <t>Domingos Meque</t>
  </si>
  <si>
    <t>domingos.meque@care.org</t>
  </si>
  <si>
    <t>Maria Cadahia</t>
  </si>
  <si>
    <t>maria.cadahia@care.org</t>
  </si>
  <si>
    <t>Small holder farmers in Nampula Province, especially women, have enhanced capacities and resilience to adapt to the impacts of climate change, leading to increased food</t>
  </si>
  <si>
    <t>Moma, Larde and Angoche districts in Nampula Province</t>
  </si>
  <si>
    <t>Socially, economically and/or politically excluded women, especially small-holder farmers, who depend on Natural Resources</t>
  </si>
  <si>
    <t>Direct participants: #s obtained from project database. Indirect participants: #s for indirect participants were estimated using population statistics for average household size (5-total #of direct participants). There was no reliable means to disaggregate #s for indirect participants.</t>
  </si>
  <si>
    <t>the final project evaluation "endline" will take place in October and it will be conducted by an independent consultant.</t>
  </si>
  <si>
    <t>Influencing governments to develop policies regarding smart and intellegent conservation agriculture tecnhiques.</t>
  </si>
  <si>
    <t>Conservation agriculture´s techniques</t>
  </si>
  <si>
    <t>the project worked with local partners as implementers, therefore testing effectively the climate smart intellegent conservatio agriculture techniques and village saving and loan techniques to improve small householdres income.  </t>
  </si>
  <si>
    <t>NACC changed its FFS approach. Instead of forming every year new FFS, we remaining in the same FFS and invited new elements into FFS. Doing that it allowed NACC to reach more people in the communities.</t>
  </si>
  <si>
    <t>NACC empowered communtities to discuss about the conservation agriculture throught out the Farmer Field Schools practive</t>
  </si>
  <si>
    <t>NACC worked with community leaders during the process of wealthy ranking to select beneficiaries for FFS and saving groups</t>
  </si>
  <si>
    <t>During the nutrition, government capacity building workshop and gender activities NACC worked hand to hand with local government and village communities leaders. This strategy increased a lot the number of particiipants.</t>
  </si>
  <si>
    <t>ORERIHA</t>
  </si>
  <si>
    <t>DAIEMZ0001</t>
  </si>
  <si>
    <t>Project Manager (Mar 2017- present)</t>
  </si>
  <si>
    <t>ACD - P</t>
  </si>
  <si>
    <t>Pilot and replicate innovation in e-recording of savings group transactions</t>
  </si>
  <si>
    <t>Angoche districts in Nampula Province</t>
  </si>
  <si>
    <t>Rural women who depend on Natural Resources</t>
  </si>
  <si>
    <t>It is testing a mobile application to faciliatte community savings and loans</t>
  </si>
  <si>
    <t>It is testing and working with other partners to look at application and innovation suatainability to scale up and replicate if feasible</t>
  </si>
  <si>
    <t>The project is supporting VSLA with inovation technology</t>
  </si>
  <si>
    <t>The application is not very susteiable due to lack of interest of the private developer, new solutions needs to be identified</t>
  </si>
  <si>
    <t>Communities like the tecnology becasue is more transaparent , flexible with savings &amp; withdraws and facilitate their calculations</t>
  </si>
  <si>
    <t>It faced many challenges also due to unreliability of national consultants deliverables of video production materials, problems with application development and huge delays with funds disbursments and payments which impact implementation of activities.</t>
  </si>
  <si>
    <t>ECD INITIATIVE</t>
  </si>
  <si>
    <t>FC: US1PM; PID: HILTMZ0007</t>
  </si>
  <si>
    <t>FC: US1IE; PID: FLATMZ0010</t>
  </si>
  <si>
    <t>Ernestina Ricardo Huó</t>
  </si>
  <si>
    <t>PM</t>
  </si>
  <si>
    <t>Ernestina.Huo@care.org</t>
  </si>
  <si>
    <t>José Manuel da Graça</t>
  </si>
  <si>
    <t>Regional Coordinator</t>
  </si>
  <si>
    <t>Jose.Dagraca@care.org</t>
  </si>
  <si>
    <t>The goal of this program is to use implementation science methods to evaluate strategies that increase the effectiveness of Early Childhood Development (ECD) programming and improve developmental outcomes for infants and young children affected by or at high risk of being affected by HIV/AIDS. In achieving this goal, we will identify what factors contribute to increased impact in this population. We will closely collaborate with academic organizations and local partners using implementation science methods to test the role of participatory social accountability and other factors in increasing the effectiveness and sustainability of evidence-based family oriented and community based ECD strategies.</t>
  </si>
  <si>
    <t>Homoine and Funhalouro District; Inhambane Province in Mozambique</t>
  </si>
  <si>
    <t>Children under 5 years and their respective Caregivers;</t>
  </si>
  <si>
    <t>Direct participants are children under 5 years and their respective caregivers. indirect participants, are the remaining members of the household</t>
  </si>
  <si>
    <t>Early Childhood Development (ECD)</t>
  </si>
  <si>
    <t>The final evaluation of the project will be based on the household survey and FGDs with key informants and direct participants</t>
  </si>
  <si>
    <t>Working on capacity building with implementing partners</t>
  </si>
  <si>
    <t>No changes were made to this FY.</t>
  </si>
  <si>
    <t>Selection of community volunteers locally</t>
  </si>
  <si>
    <t>Inclusion of men in all activities</t>
  </si>
  <si>
    <t>Community volunteers are effective in tracking cases of malnutrition</t>
  </si>
  <si>
    <t>Hiring community facilitators living in the same community has improved service delivery. There was improvement in reaching the goals; The effectiveness of the follow-up of the cases was ensured.</t>
  </si>
  <si>
    <t>The Project was implemented on the basis of a new methodology (Early Childhood Development Based on Domicile); Evaluate the results and impacts recorded by the Project; Advocacy done at various levels (National, Provincial and District).
Its main objective is to adopt a new model of IPD, once approved by the evaluation of the Project as a model that generates positive changes in the level of provision of care and stimulation of children under 5 years, with a view to their integral and harmonious development .</t>
  </si>
  <si>
    <t>Primeiras e Segundas</t>
  </si>
  <si>
    <t>SALLMZ0008 / US24D</t>
  </si>
  <si>
    <t>Maria Cadahia-Perez</t>
  </si>
  <si>
    <t>Project/Program Manager</t>
  </si>
  <si>
    <t>Sustainable use of terrestrial and marine resources in P&amp;S environmental protected area</t>
  </si>
  <si>
    <t>Moma, Larde and Angoche districts (in Nampula Province), Pebane district (In Zambezia Province)</t>
  </si>
  <si>
    <t>It was don a project impact assessment of the project implemented by the CARE-WWF alliance, reporting on alliance strategic framework not on CARE strategy. Not more evaluations are foreseen</t>
  </si>
  <si>
    <t>Advocate for the aproval and implementation of the PSEPA management Plan.</t>
  </si>
  <si>
    <t>The project has engaged with National Government on the implementation of the newly approved Master Plan for the P&amp;S protected area</t>
  </si>
  <si>
    <t>After the project impact assessment in october, the project is going through a restructuration to be more aligned to CARE, WWF and CARE-WWF alliance goals and strategy, as well as to be better equip to enhance documentation and reporting</t>
  </si>
  <si>
    <t>Formation and strengthening of Community Natural Resource Management Committees and MOMS agents to monitor resource exploitation</t>
  </si>
  <si>
    <t>Establishment of no take fishing zones, managed by communities</t>
  </si>
  <si>
    <t>Leveraging funds from other donors to work together in the P&amp;S programme</t>
  </si>
  <si>
    <t>The project is focused on development, however the target area lies within na area subject to flooding, so there is a need to develop more capacity and flexibility with regard to Emergency Response</t>
  </si>
  <si>
    <t>Need more project integration and better documentation and M&amp;E</t>
  </si>
  <si>
    <t>Given the size of Mozambique and the distances between HQ and SO, along with isolation of project area and joint partnership with WWF - there is a need to improve communication and on the ground staff to enhance project delivery and achive impacts</t>
  </si>
  <si>
    <t>The project suffered a reductio of funds and a non-cost extension that was used to get reorganized. Some staff wass missing and this impacted the delivery of some activities. It focus a lot on resource mobilization and on designing a new integrated program strategy to host all the projects ejecuted by the alliance CARE-WWF in mozambqiue</t>
  </si>
  <si>
    <t>PROSAN - Programa de Segurança Alimentar e Nutricional (Food and Nutrition Security Program)/PROCAJU - Projecto de Fortalecimento da Cadeia de Valor do Cajú</t>
  </si>
  <si>
    <t>IRIAMZ0002</t>
  </si>
  <si>
    <t>CDNKMZ0054</t>
  </si>
  <si>
    <t>Assistant Country Director - Programme</t>
  </si>
  <si>
    <t>José Manuel  António da Graça</t>
  </si>
  <si>
    <t>jose.dagraca@care.org</t>
  </si>
  <si>
    <t>PROSANs five-year objectives include:
- To strengthen community based climate change adaptation capacity and resilience to natural disasters of targeted poor communities;
- To strengthen poor household food and nutrition security throughout the year;
- To strengthen womens and marginalized households capacities to exercise control over productive assets and the incomes they generate;
- To facilitate access to social protection and relevant programs and services designed for the impact group;
- To strengthen capacity of government and civil society partners in relevant technical areas (conservation agriculture and extension models, climate change adaptation, disaster risk reduction, participatory community facilitation and empowerment techniques, gender and womens rights).</t>
  </si>
  <si>
    <t>Funhalouro and Homoine Districts of Inhambane Province</t>
  </si>
  <si>
    <t>Socially, economically and politically excluded women experiencing food and nutritional insecurity, who are highly dependent on natural resources</t>
  </si>
  <si>
    <t>Direct participants: all 5250 members representing households directly envolved on PROSAN activities. Indirect participants are the other member of the households. 80% of the participants should be women</t>
  </si>
  <si>
    <t>The purpose of the FE of the PROSAN project is to assess the achievement of impact results - specifically measuring the impact indicators, their cost-effectiveness, and their potential for sustainability; to document operational and development lessons learned; and to contribute with knowledge on food and nutrition security initiatives in Mozambique.
The FE shall give special attention to measuring impact results. The impact level results include:
Improve food and nutrition security of poor and vulnerable families;
Strengthen resilience to natural disasters of the poor and vulnerable households;
Beneficiaries (households, government officials, private sector and civil society stakeholders) of target communities have greater ability to adapt to climate change;
Increased capacity of staff from relevant government institutions and civil society organizations at district and provincial level to promote and implement community based disaster risk reduction strategies and adaptation to climate change.                                                                                                                                                                                                                                                                                                                                                                                                                                                     Documentation review and analysis shall be made (Programme document, annual progress reports, human interest stories and MTR report).
Discussions with stakeholders (programme staff, local CSO partners, beneficiaries, district and provincial government institutions involved in the project) are fundamental.
Analysis of quantitative endline survey of beneficiaries (Outcome and Impact) in IPTT (Indicators Program Tracking Table).</t>
  </si>
  <si>
    <t>Introduction of Farmers Field School and Orchards School as extension approaches to facilitate the learning process</t>
  </si>
  <si>
    <t>The organization is part of the Provincial Forum of the Partners from the Provincial Directorate of Gender, Child and Social Action, aiming to coordinate and improve the response of the sector interventions. It is also integrated in the activities of SETSAN (Technical Secretariat for Food and Nutrition Security)</t>
  </si>
  <si>
    <t>VSLA groups</t>
  </si>
  <si>
    <t>Farmer Field Schools</t>
  </si>
  <si>
    <t>Orchard Schools</t>
  </si>
  <si>
    <t>There is some progress in increasing knowledge of CA, through the use of an FFS model that allows increased adaptability and sustainable agricultural extension. Creation of FFSs associated with the use of a participatory approach has been a great success. There is dialogue between the participants and extension workers, and participants are free to select the crops and techniques appropriate to their natural conditions after proving their effectiveness and adaptability in the FFS.</t>
  </si>
  <si>
    <t>FFS groups can be a good vehicle for linking their members to the Village Consultative Councils and for their involvement in decision-making processes and taking advantage of financing projects and other local social services.</t>
  </si>
  <si>
    <t>Co-facilitation sessions on legislation, gender and nutrition with members of the Government at the level of the districts of Homoine and Funhalouro showed an effective strategy to reinforce the commitment of the local leaderships and the interest in the topics discussed.</t>
  </si>
  <si>
    <t>1. PROSAN 2016 - Annual Report                                                                                                                                                                                                                                                                                                                                                                                                  2. PROSAN 2017 - Semi-Annual Report                                                                                                                                                                                                                                                                                 3. PROCAJU Intercalar Report</t>
  </si>
  <si>
    <t>Emergency Response: Drought and Cyclone</t>
  </si>
  <si>
    <t>US1R8</t>
  </si>
  <si>
    <t>US1XS</t>
  </si>
  <si>
    <t>US1XK</t>
  </si>
  <si>
    <t>CH001</t>
  </si>
  <si>
    <t>CI-Emergency</t>
  </si>
  <si>
    <t>US1YB</t>
  </si>
  <si>
    <t>UNICEF</t>
  </si>
  <si>
    <t>Ivete Moutinho</t>
  </si>
  <si>
    <t>Emergency Project Manager</t>
  </si>
  <si>
    <t>Ivete.Moutinho@care.org</t>
  </si>
  <si>
    <t>Saul Butters</t>
  </si>
  <si>
    <t>Saul.Butters@care.org</t>
  </si>
  <si>
    <t>Reduce the impact of drought and cyclone for the most vulnerable families, as well as create resilience and reduce vulnerability.</t>
  </si>
  <si>
    <t>Inhambane Province</t>
  </si>
  <si>
    <t>All vulnerable households affected by drought and cyclone, with a focus on women, children and people with special needs (including chronically ill; disability).</t>
  </si>
  <si>
    <t>Most of the interventions have, as direct beneficiaries, all members of the household. The distribution of food is for the benefit of the entire household. Access to water is for all members of the household. The difference is in the repair of the infrastructure. A rehabilitated school directly benefits students and teachers.</t>
  </si>
  <si>
    <t>Use of ICTs for food distribution (improvement of the control and management of the process);                                                                          Introduction of the e-voucher, for the distribution of food. This innovation has made the distribution process more efficient as well as easily produced evidence that those who received the food are in fact the beneficiaries.</t>
  </si>
  <si>
    <t>Government and partners involvement in all phases of emergency response</t>
  </si>
  <si>
    <t>During the process of identification of the beneficiaries, it is necessary to seek evidence of the vulnerability of each one, even though it is a process involving the government and local leaders.</t>
  </si>
  <si>
    <t>https://www.dropbox.com/s/md3pjpuo4nwqvdl/2017.08%2313_V2_Final.docx?dl=0  </t>
  </si>
  <si>
    <t>Myanmar</t>
  </si>
  <si>
    <t>Ah Har Yar (Nourish) Poject</t>
  </si>
  <si>
    <t>MMR129</t>
  </si>
  <si>
    <t>Ni Lar Shwe</t>
  </si>
  <si>
    <t>Nilar.shwe@careint.org</t>
  </si>
  <si>
    <t>Kyi Zaw Win</t>
  </si>
  <si>
    <t>Kyizaw.win@careint.org</t>
  </si>
  <si>
    <t>To improve food and nutrition security of underserved communities in Lashio Township, Northern Shan State</t>
  </si>
  <si>
    <t>Lashio Township, Northern Shan State</t>
  </si>
  <si>
    <t>Small holder farmers, poor/food insecure households and households with children under five and pregnant and lactating women from 10 villages</t>
  </si>
  <si>
    <t>Smallholder farmers, poor/food insecure households, and households with children under 5 and pregnant/lactating women from 10 villages of Lashio Township.</t>
  </si>
  <si>
    <t>Build water system, and adopt new technological agricultural innovations and products</t>
  </si>
  <si>
    <t>Piloting a nutrition sensitive agriculture</t>
  </si>
  <si>
    <t>Engaging Men</t>
  </si>
  <si>
    <t>Community Planning</t>
  </si>
  <si>
    <t>Holding Project Kick off meeting is great support for effective implementation of the project as all staff understood how to implement the activities  efficiently at their respective village.</t>
  </si>
  <si>
    <t>Aung Myin Hmu (Industry Solutions for Safy Employment)</t>
  </si>
  <si>
    <t>MMR 128</t>
  </si>
  <si>
    <t>Livelihood Food Security Trust Fund</t>
  </si>
  <si>
    <t>Ei Shwe Yi Win</t>
  </si>
  <si>
    <t>eishweyi.win@careint.org</t>
  </si>
  <si>
    <t>Khin Swe Swe</t>
  </si>
  <si>
    <t>Consortium Coordinator</t>
  </si>
  <si>
    <t>Khinswe.swe@careint.org</t>
  </si>
  <si>
    <t>Increased and safe-employment in non-farm activties for migramt women</t>
  </si>
  <si>
    <t>Hlaing Thayar and Shwe Pyi Thar Township, Myanamar</t>
  </si>
  <si>
    <t>Migrant women</t>
  </si>
  <si>
    <t>The migrant women who work/stay in the project geographical area are the direct beneficaries and those who are the immediate family members are assumed as indirect beneficaries.</t>
  </si>
  <si>
    <t>Leapfrog micrsoft word and excel training  </t>
  </si>
  <si>
    <t>Care developed safe migration messanges and distributed them to potential migrant women though good.com  to receive safe migration.In additon, Job information was posted on good.com and JD will share to suitable migrants.</t>
  </si>
  <si>
    <t>Busineesskind Myanmar proivdes soft skill training in Sunday café and develop messages related to garment migrant workers and ditributed among them through SMS and Facebook.</t>
  </si>
  <si>
    <t>Community Score</t>
  </si>
  <si>
    <t>Community planning</t>
  </si>
  <si>
    <t>Only Business Kind Myanmar implememnts the activities in this FY. Pyoe Pin and CARE will start the activities after September 2017.</t>
  </si>
  <si>
    <t>Community Peacebuilding in Rakhine State, Myanmar</t>
  </si>
  <si>
    <t>MMR115</t>
  </si>
  <si>
    <t>Pam Flowers</t>
  </si>
  <si>
    <t>ACD Programs</t>
  </si>
  <si>
    <t>pam.flowers@careint.org</t>
  </si>
  <si>
    <t>Joanne Povey</t>
  </si>
  <si>
    <t>Rakhine Area Coordinator</t>
  </si>
  <si>
    <t>Joanne.Povey@careint.org</t>
  </si>
  <si>
    <t>To strengthen communities and leaders to prevent violence in Northern Rakhine State</t>
  </si>
  <si>
    <t>Maungdaw District (Buthidaung and Maungdaw Townships) in northern Rakhine</t>
  </si>
  <si>
    <t>The Rakhine and Rohingya communities. The former are Buddhist and the latter Muslim.</t>
  </si>
  <si>
    <t>Community leaders, youth, community groups, women. Direct participants are head count of populaion who directly involved in activities implemented and who directly received the training, workshops and services from the project. Indirect participants are  family and community members.</t>
  </si>
  <si>
    <t>Endline evaluation,  but everything on on hold due to the current insecurities in Rakhine</t>
  </si>
  <si>
    <t>CARE was building the capacities of the civil society/communities to identify and peacefully address conflict drivers</t>
  </si>
  <si>
    <t>EEE trainings</t>
  </si>
  <si>
    <t>Media and rumor management training</t>
  </si>
  <si>
    <t>CM involvment</t>
  </si>
  <si>
    <t>Beneficiary numbers are extracted from ATS.</t>
  </si>
  <si>
    <t>Developing Action for Women Now (Dawn)</t>
  </si>
  <si>
    <t>MMR126</t>
  </si>
  <si>
    <t>Individual and institutional capacities to address GBV are strengthened through a mulit-sectoral approach</t>
  </si>
  <si>
    <t>Vulnerable rural women, front line responders, community health workers, CSO/ local NGOs, volunteers , community leaders and members</t>
  </si>
  <si>
    <t>Frontline responders such as government health and legal service providers, community health workers, CSO/local NGO staff and volunteers, community leaders , VSLA  members and community members.  Knowldege, information and technical assistance received through direct benieficiaries are counted as indirect beneficiaries.</t>
  </si>
  <si>
    <t>Multi sectoral GBV prevention and response model: this approach involves woking at multi level of society and with multiple key stakeholders to comprehensively prevent and respond to violence against women.</t>
  </si>
  <si>
    <t>Provided finaciial management training and estabilished multi stakeholders/GBV coordination mechanism. Provided TOT on GBV awareness training.</t>
  </si>
  <si>
    <t>Strengthen the roles of GBV service providers and community level GBV awarness raising training</t>
  </si>
  <si>
    <t>Estabilished multi stakeholders/GBV coordination mechanism</t>
  </si>
  <si>
    <t>Both implementing partners (IRC and Care) of UNFPA are working with same women network and providing training and holding meeting with this network. When there is a gap of communication and coordination, some trainings and meetings were overlapped both implementing partners and network. Therefore, GBV working group meeting is crucial to avoid overlapping issue and it required more communication and coordination each other. In this GBV working group meeting, the women's network and implementing partners were able to explore and discuss their monthly work plans.</t>
  </si>
  <si>
    <t>Expanding Maternal, Child and Reproductive Health Care in Myanmar;</t>
  </si>
  <si>
    <t>MMR102</t>
  </si>
  <si>
    <t>To contribute to the reduction of maternal and neonatal mortality through increased access to, and quality of, sexual and reproductive health, and maternal and child health services.</t>
  </si>
  <si>
    <t>Vulnerable Rural Women who lack and less access to health services, and also ethnicity is a stigma and a barrier . Specifically pregnant women, mother groups members, children under 5, VSLAls members, members of village health committee, Auxiliary Midwives</t>
  </si>
  <si>
    <t>Direct benificiaries are auxiliary midwives, basic health staff, voluntters , mothers, children and community members who directly benifitted by the project. Knowledge, information and teachnical transfer through direct participants.</t>
  </si>
  <si>
    <t>Select and train Auxilary Midwives, Village Health Volunteers to give basic health services and Village Emergency Referral System is set up each project village to help reduce materanl and neonatal mortality which in turns contribute to reducing poverty.</t>
  </si>
  <si>
    <t>Piloting a community score card</t>
  </si>
  <si>
    <t>Engagin Men</t>
  </si>
  <si>
    <t>Provision of first aid kit to VHV are really supportvied  for community health  but need to provide some more health knoweldes to VHV that to be more effective. Medical equipment support  to rural helath center have  imporved   health care facilites  for targeted community, but knowledge to use the euipment are challenges for health care staff who assgined on the rural helath center,  Provide way of using medical equipipment before  (or) soon after provision period will be more effecitvie for community healht care  servcies.</t>
  </si>
  <si>
    <t>efore the project began, women and men were unaware of gender and the value and roles of women in the family and community. Poor women are often excluded from decisions making and management level, even though they bear the burden of family health. Moreover, men did not accept and did not give a space for women in decisions making. Therefore the project has created the space for women and girl to serve as a health care service providers and committee members. The project staff encouraged women to participate in committee, resulting 70% female members have now engaged in the committees and have opportunity to learn and share new skills, knowledge, which makes them to improve confidence and aspirations.</t>
  </si>
  <si>
    <t>Low level of education in the community have adversely effected on behavior changes and knowledge improvement. When education levels are low, the communities are often limited to attain what the topic means and are not well understood, resulting the communities are reluctant to change their behaviours on sexual reproductive and maternal health. Therefore it is required to conduct repeatedly health education sessions on the same topic.  </t>
  </si>
  <si>
    <t>Generating Rubber Opportunities in Myanmar</t>
  </si>
  <si>
    <t>MMR 117</t>
  </si>
  <si>
    <t>Mohamed Fahad Ifaz</t>
  </si>
  <si>
    <t>mohd.ifaz@careint.org</t>
  </si>
  <si>
    <t>Pam Flower</t>
  </si>
  <si>
    <t>ACD-Programs</t>
  </si>
  <si>
    <t>pam.flower@careint.org</t>
  </si>
  <si>
    <t>Improved livelihoods and improved social capital of poor women and men in the rubber market sector</t>
  </si>
  <si>
    <t>Mon State, Myanmar</t>
  </si>
  <si>
    <t>Smallholder farmers and farm labourers ( Rubber)</t>
  </si>
  <si>
    <t>Direct participants (under 20 acres of WMSHFs-Women and Men Smallholder Farmers) through the partners' performance according to M4P apporach (Making Markets Work for Poor). Indirect Participants ; Knowledge and information, technical transfering to the WMSHFs through the direct participants.</t>
  </si>
  <si>
    <t>Upgrading Rubber Law by supporting to State and National level DOA</t>
  </si>
  <si>
    <t>As the GRO project is the market development project, it is intended to the profit incentive of the rubber stakeholders by strengtheing the rubber maket.</t>
  </si>
  <si>
    <t>GROs approach is based on the premise that enhanced private and public sector business services and an improved enabling environment, leads to more competitive enterprises, sustainable economic growth and poverty reduction. Thus it needs to engage with private and public sector partners.</t>
  </si>
  <si>
    <t>Staff Capacity Building to partners (DOA &amp; PCRDC-public sector). Satff Capacity Building to CSOs (MonRPPA)</t>
  </si>
  <si>
    <t>GRO's Partners, Govertment staff have imporved their technical skill and imporved ownership scense on the rubber sector development. The communication of CSOs and Government body, improved better relationship between Myanmar RPPA and MonRPPA. Better linkage rubber traders and farmers.</t>
  </si>
  <si>
    <t>Capacity-building of staff to work effectively with partners so that CARE takes a faciliation role</t>
  </si>
  <si>
    <t>Being aware of the complex market systems, adopting a iterative and adaptive implementation strategy</t>
  </si>
  <si>
    <t>Create awareness amongst the partner organizations on Making Markets Work for the Poor ( M4P) approach</t>
  </si>
  <si>
    <t>If it is a relatively new implementaion model such as M4P, its is necessary to invest in creating awareness for the stakeholders on the approach</t>
  </si>
  <si>
    <t>Absolutely important to invest in staff capacity building to be able to manage the project and steer it towards the intended outcomes</t>
  </si>
  <si>
    <t>GRO practices a agile program management system, where it observes and learns, creates safe to fail activities, iterates its design of activites according to insights from the target group and wider market systems, has short feedback loop to support the agility</t>
  </si>
  <si>
    <t>GRO is working on the M4P approach, which is a relatively new approach to deliver sustainable development outcomes. Thus, this year the project invested considerable resources in building the capacity of project staff, as well as creating awareness to the stakeholders and partners.</t>
  </si>
  <si>
    <t>Please see attached of Anuual report (2017), Land Study Report, Logframe, Outcome Monitoring Report (will be submitted on October).</t>
  </si>
  <si>
    <t>Improve access to safe employment for Migrant Women in Urban Myanmar</t>
  </si>
  <si>
    <t>MMR108</t>
  </si>
  <si>
    <t>Ko Ko Zaw</t>
  </si>
  <si>
    <t>KoKo.Zaw@careint.org</t>
  </si>
  <si>
    <t>Hlaingtharyar Township, Yangon Region and Aungmyaytharzan and Patheingyi Townships, Mandalay Region</t>
  </si>
  <si>
    <t>Urban Migrant Women</t>
  </si>
  <si>
    <t>Direct participants are Urban Migrant Women and Men those who received direct support from project; primary count from participants who received gender based violence and legal traiining, GBV survivor who received litigation support, participants who recevied vocational training and income generation support, participants receving cost related to SRH services. Indirect participants are family members/neighbours/friends of Urban Migrant Women and Men who received direct support from project. Estimated indirect participants are calculated based on assumption that direct participants will at least shared the project information or benefit from support with thier family members/friends/neighbour and based on the average household size of 5 person/HH as per 2014 Myanmar Census.</t>
  </si>
  <si>
    <t>This project has several challenges and limitation in conducting end of project evaluation since impact group are highly mobile in nature and there's been significant social, economic and political upheavals within Myanmar throughout the implementation period. Balanced against its limited reach, results for individual beneficiaries are good but information are not sufficient to make conclusion the project has achieved its intended objectives. Therefore, for similar project implementation, evaluation strategy should be developed to capture the outcome level changes throughout the project period.  </t>
  </si>
  <si>
    <t>CARE Myanmar's new initiative in multi-stakeholders GBV prevention and response model using participatory approach to get insight and effective participation from different stakeholders including Government counter parts, CSOs and community. The model used holistic and new approaches by strenghtening social service provision from Government sectors and on the other side, vulnerable community were strengthened on legal literacy and GBV in order to prevent and response cases on the ground. CARE facilitated both sides to create multi-stakeholders coordination in prevention and response to GBV effectivelly.</t>
  </si>
  <si>
    <t>As mentioned in innovative section, CARE has been testing multi-stakeholder GBV prevention and response model with some community at ward/village level and brought its success to Township level to get buy-in from Government counterparts. It's been ongoing, however, there's increased participation and leading role from concerned Government Department to scale up in other community.</t>
  </si>
  <si>
    <t>CARE identified the CSOs who have mutual interest to work on GBV issues while CARE delivered the GBV and legal awareness in initial stages of project. These CSOs were strengthened capacity based on their distinct needs, role in the community, experience and their organizational vision. They received different capacity building support on technical skill and their organizational development areas such as Governance, leadership, team building, networking.</t>
  </si>
  <si>
    <t>During this FY, CARE started new approach to work with Private Sector to narrow its focus on strengthening job-seeking services in the low skilled labour markets. This approach has reached lager numbers of low skilled migrant workers and supported them with online job matching service.</t>
  </si>
  <si>
    <t>CARE developed multi-stakeholders GBV prevention and response strategy and it's model using participatory approach to get insight from different stakeholders. Since CARE started project in Mandalay and Yangon, its been observed that GBV related services are constrained in terms of scope, coverage and quality. GBV services regarded as low priority and insufficient investments made in addressing the problem by Government. Most CSOs have informal and unsystematic ways of referring GBV survivors to other NGO service providers. Formal, coordinated mechanisms for collaboration, referrals, information sharing, and data collection are lacking. To address these gaps, CARE developed this GBV strategy ensuring inputs and consistent participation from local community, CSOs and responsible Government Departments. Launching of GBV strategy with key stakeholders has done and  implementation of key activities in line with strategy has been underway as multi-sectoral approach leading by DSW which is highly likely to be sustainable.</t>
  </si>
  <si>
    <t>The Projects ground up approach to community mobilization is a key strength of the project, engaging, reorienting and strengthening existing local community members, community groups and facilitated to get linkage with local government  means the investments in awareness raising, knowledge and responses to gender based violence are to be sustained.</t>
  </si>
  <si>
    <t>The project had narrowed the scope of intervention and tested in selected locations with specific stakeholders (for example: GBV model). It contributed to effective programming and strengthened more collaboration with government department to achieve visible and concrete result and wider impact for urban migrant women and vulnerable women in the urban community.  </t>
  </si>
  <si>
    <t>Parallel engagement with Government counterpart and existing community groups  resulted in effective delivery of GBV response to violence against women</t>
  </si>
  <si>
    <t>INGOs Consortium on HIV Prevention, Care and Support Project</t>
  </si>
  <si>
    <t>MMR 092</t>
  </si>
  <si>
    <t>Global Fund to Fight AIDS, Tuberculosis and Malaria</t>
  </si>
  <si>
    <t>Pyae Soe Thiha</t>
  </si>
  <si>
    <t>pyaesoe.thiha@careint.org</t>
  </si>
  <si>
    <t>To help improve the continuum of prevention, treatment and care available to key populations (female sex workers, their clients, and men who have sex with men) and people living with HIV (PLHIV).</t>
  </si>
  <si>
    <t>Monywa Township, Kalay Township, Tamu Townships in Saging Region. ChanMyaThaZi Tsp, ChanAyeTharZan Tsp, AungMyayTharZan Tsp, MaHaAungMyay Tsp and PyiGyiTaGon Tsp in Mandalay Region. Magway Tsp and Pakokku Tsp in Magway Region. Bago Tsp and Pyay Tsp in Bago Region. Pathein Tsp in Ayawady Region. Tharketa Tsp in Yangon Region. Mawlamyine Tsp, Thaton Tsp, Mudon Tsp and Ye Tsp in Mon State.</t>
  </si>
  <si>
    <t>Key Population ( MSM, FSW, TG), PLHIV (People Living with HIV/AIDS) and Other Vulnerable Population</t>
  </si>
  <si>
    <t>Most at risk population ( FSW and MSM), People affected with HIV</t>
  </si>
  <si>
    <t>Multistake holders model for ending Gender Based Violence</t>
  </si>
  <si>
    <t>MMr123</t>
  </si>
  <si>
    <t>To strengthen institution and individual capacities to address GBV through a multi stakeholder approach</t>
  </si>
  <si>
    <t>Kayah State</t>
  </si>
  <si>
    <t>Karenni State Women Network and its member organizations</t>
  </si>
  <si>
    <t>Direct beneficiariues are Karenni State Women Network, its member organization, key stakeholders such as police, judiciary, the Department of Social Welfare, and Ministry of Health and Sports , community and religious leaders. Knowldege, information and technical assistance received through direct benieficiaries are counted as indirect beneficiaries.</t>
  </si>
  <si>
    <t>Muliti stakeholder model for ending GBV</t>
  </si>
  <si>
    <t>Supported Karenni State Women Network to produce organizational management (SOP), technical support for GBV referral pathway development, case management manual, safe house management SOP, traning manual for GBV, VSLA estabilishment, TOT on engaging men, counselling trainiing, legal awareness, small grant provision for GBV prevention and response</t>
  </si>
  <si>
    <t>By condcuting legal awarness training for village administrators gave a great support to estabillish the relationship with General Administration Department (GAD) which is crucial in legislative  enviornment.</t>
  </si>
  <si>
    <t>Exposture visti to well experienced women network at the national level is the most effective approach.</t>
  </si>
  <si>
    <t>Northern Shan Food Security Project</t>
  </si>
  <si>
    <t>MMR127</t>
  </si>
  <si>
    <t>To contribute to the realization of the sustainable development goals 1 (end poverty),2 (end hunger,achieve food security and improve nutrition) poor and vulnerable communities in remote areas in Myanmar</t>
  </si>
  <si>
    <t>Small holder farmers, poor/food insecure households and households with children under five and pregnant and lactating women from 8 villages</t>
  </si>
  <si>
    <t>Smallholder farmers, poor/food insecure households, and households with children under 5 and pregnant/lactating women from 10 villages of Lashio Township. Knowledge, information, technical assistance and other inputs received through direct participants are counted as indirected participants.</t>
  </si>
  <si>
    <t>Personal Advancement and Career Enhancement project</t>
  </si>
  <si>
    <t>MMR 119</t>
  </si>
  <si>
    <t>GAP Foundation</t>
  </si>
  <si>
    <t>koko.zaw@careint.org</t>
  </si>
  <si>
    <t>To create a positive change for Female Garment Workers (FGWs), their families and their communities through the development and implementation of a successful, sustainable, and replicable personal development and career growth program. P.A.C.E.</t>
  </si>
  <si>
    <t>Dagon Seikkan and Thingangyun Townships, Yangon Region</t>
  </si>
  <si>
    <t>Female Garment Workers</t>
  </si>
  <si>
    <t>Female Garment Workers who received training on Personal Advancement and Career Enhancement program.</t>
  </si>
  <si>
    <t>Soft skills development</t>
  </si>
  <si>
    <t>CARE has been providing training of trainer for staff from project factories in order to have their own training within the factory to implement PACE program without external support.</t>
  </si>
  <si>
    <t>Nothing particular</t>
  </si>
  <si>
    <t>A series of long term training with same group of female garment workers resulted in better outcomes in terms of improving FGWs' soft skills and chaning their behavior that has positive effect not only in their personal life but also in working environment.</t>
  </si>
  <si>
    <t>Poverty and Hunger Alleviation through Support, Empowerment and Increased Networking (Phase In)</t>
  </si>
  <si>
    <t>MMR113</t>
  </si>
  <si>
    <t>Tania Czerwinski</t>
  </si>
  <si>
    <t>Program Officer Southeast Asia Program Department</t>
  </si>
  <si>
    <t>czerwinski@care.de</t>
  </si>
  <si>
    <t>The overall objective of the project is to contribute to the reduction of poverty and hunger (Millennium Development Goal (MDG) 1) in Northern Rakhine State, Myanmar, with the specific objective to enhance livelihoods, food and nutrition security for targeted communities in NRS.</t>
  </si>
  <si>
    <t>Poor, vulnerable households in rural areas. Criteria for selection, at both community and HH levels, include consideration of access and ownership of productive assets (e.g. lands, water, forest), level of food produced and food needs (food gap), income generation capacities, coverage of drinking water needs and occurrence of water related diseases. When possible, women and landless households are prioritised.</t>
  </si>
  <si>
    <t>Small holder farmers, poor/food insecure landless households, women, children under 5. Direct participants are head count of populaion who directly involved in activities implemented and who directly received the training, workshops and services from the project. Indirect participants are  family and community members.</t>
  </si>
  <si>
    <t>Endline evaluation of the first phase and baseline assessment for the second phase, the ToR drafted and advertised, but everything on on hold due to the current insecurities in Rakhine</t>
  </si>
  <si>
    <t>Late 2016 and in 2017 CARE has but higher emphasis on working with Village Development Committees (VDC). More specifically, CARE adopted a toolkit to measure organisational capacity of the committees which enables CARE to identify, monitor and address the strenght and weaknesses of each VDC in the process of building their capacities to participate in and lead village based development.</t>
  </si>
  <si>
    <t>The new extended project will address the changing needs in livelihood sector by adding a component of vocational training to the project.</t>
  </si>
  <si>
    <t>The design of complementary Agricultural activities, namely a)summer paddy and winter crops input provision, b) technical training and c)improved access to water for irrigation has been a successful combination to increase HDDS and improved year-round food security for our beneficiaries.</t>
  </si>
  <si>
    <t>VSLAs entering their second cycle have  the skills and knowledge to manage their household finances, have more voice in decision making at the household level, and any individuals have been able to initiate IGA activities with their savings and generate an additional income. This has been a great success within a majority Muslim context.</t>
  </si>
  <si>
    <t>Significant steps have been taken with the capacity building and implementation of community development projects through VDCs and VDGs- with all VDG now completed. Key capacity building  initiatives have been carefully designed and implemented to meet the needs of northern Rakhine State- (developed after VDCs requested more support during the initial VDG participatory process carried out in 2016.  Two, two  day trainings  on  VDG  implementation  and financial  management  focusing  on  the management  of  the  grant, contracting and quality monitoring)</t>
  </si>
  <si>
    <t>Using VSLA as entry point for women centered activities has proved successful. In early 2017 PHASE IN piloted the home garden activity with the VSLA groups. This initiative was twofold:  first to serve a request from VSLA for more support with  IGA; secondly to  streamline PHASE IN approaches at the village level and reduce multiple interlinking committees.</t>
  </si>
  <si>
    <t>The VDC/VDG approach in nRS needs to be further documented and refined.</t>
  </si>
  <si>
    <t>Beneficiary numbers are extracted from ATS. For each category the potential dublication of direct beneficiaries has been reduced, but the total number of direct and indirect beneficiaries reported in this report is a sum of all the participants in each sector, meaning that those numbers are doublecounted.</t>
  </si>
  <si>
    <t>Royal Flower</t>
  </si>
  <si>
    <t>MMR 116</t>
  </si>
  <si>
    <t>Sex workers living in Mandaly, Yangon and Mon State regions (4200 women of which all will be direct participants) live and work in safety and improve their well-being.</t>
  </si>
  <si>
    <t>Hlaingtharyar and Tharketa Townships, Yangon Region and Aungmyaytharzan, Chanayetharzan, Mahaaungmyay, Chanmyatharzi, Pyigyitagon Townships, Mandalay Region</t>
  </si>
  <si>
    <t>Female Sex Workers</t>
  </si>
  <si>
    <t>Direct participants are female sex worker and their clients those who received direct support from project; primary count from FSW who received gender based violence and legal traiining, GBV survivor who received litigation support, participants who recevied vocational training and income generation support, participants receving cost related to SRH services. Indirect participants are family members/neighbours/friends of FSW who received direct support from project. Estimated indirect participants are calculated based on assumption that direct participants will at least shared the project information or benefit from support with thier family members/friends/neighbour and based on the average household size of 5 person/HH as per 2014 Myanmar Census.</t>
  </si>
  <si>
    <t>Advocacy capacity building of implementing partner is also important activity under this project and the partner (Sex Worker in Myanmar Network) is now taking the lead in Prostitution Act reform process with continuous engagement with other important stakeholders both supporters and spoilers. This initiative is progressing and once the reform can be made as per interest of impact group, it will benefit for all FSW in the country.</t>
  </si>
  <si>
    <t>Review and revision of advocacy strategy and planning for SWIM's key members at different levels. Technical training on how to deliver the training (facilitation skill, trainer skill), topic such as gender and GBV, using life skill in GBV, legal literacy. Organizational development training such as leadership skill, financial management skill were provided for implementing partner.</t>
  </si>
  <si>
    <t>Strengthening local partner capacity to exercise their management and leadership skill for effective implementation of their own advocacy priority.</t>
  </si>
  <si>
    <t>Project is very embitious in scope of work for local implementing partner and it created persistent challenges for CARE and partner in order to achieve project target, delivering quality program implementation and output/outcome. Project's component on advocacy has showed the progress as it is based on their existing capacity and experience.</t>
  </si>
  <si>
    <t>Strengthening non state actors for Peace in Kayah</t>
  </si>
  <si>
    <t>Karenni State Women Network is able to advocate for the needs of their constituents with decision makers and provide community education and services through their members.</t>
  </si>
  <si>
    <t>Direct beneficiariues are Karenni State Women Network, its member organization, key stakeholders such as police, judiciary, the Department of Social Welfare, and Ministry of Health and Sports , community and religious leaders and 5000 individuals from community. Knowldege, information and technical assistance received through direct benieficiaries are counted as indirect beneficiaries.</t>
  </si>
  <si>
    <t>Strengthening Partnerships and Resilience of Communities (SPARC) in Northern Rakhine State</t>
  </si>
  <si>
    <t>MMR096</t>
  </si>
  <si>
    <t>Takara Morgan</t>
  </si>
  <si>
    <t>Coordinator (Asia)</t>
  </si>
  <si>
    <t>takara.morgan@care.org.au</t>
  </si>
  <si>
    <t>The goal of this project is to contribute to the sustainable reduction of poverty in poor, vulnerable communities. It's purpose is to improve the social and economic position of poor, vulnerable households in Northern  Rakhine  State,  and  strengthen  household  and  community  capacity  to independently sustain such improvements.</t>
  </si>
  <si>
    <t>Poor, vulnerable households in rural areas.</t>
  </si>
  <si>
    <t>The main direct participants are small holder farmers, poor/food insecure landless households, vulnerable households with children in school-going age. The direct beneficiaries for humanitarian response were household in CARE's atrget areas who were most affected by cyclone Mora. Direct participants are head count of populaion who directly involved in activities implemented by CARE and who directly received the training, workshops and services from the project. Indirect participants are  family and community members.</t>
  </si>
  <si>
    <t>NFI kits</t>
  </si>
  <si>
    <t>Timeframe and methodology for the evaluation is not agreed yet, all planning for the project is on hold due to the oncoing insecurities in Rakhine State.</t>
  </si>
  <si>
    <t>Significant steps have been taken with the capacity building and implementation of community development projects through VDCs and VDGs- with 80% now completed. Key capacity building  initiatives have been carefully designed and implemented to meet the needs of northern Rakhine State- (developed after VDCs requested more support during the initial VDG participatory process carried out in 2016.  Two, two  day trainings  on  VDG  implementation  and financial  management  focusing  on  the management  of  the  grant, contracting and quality monitoring)</t>
  </si>
  <si>
    <t>Using VSLA as entry point for women centered activities has proved successful. In early 2017 SPARC piloted the home garden activity with the VSLA groups. This initiative was twofold:  first to serve a request from VSLA for more support with  IGA; secondly to  streamline SPARC approaches at the village level and reduce multiple interlinking committees.</t>
  </si>
  <si>
    <t>Supporting food security, resilience and social cohesion of households and communities in Rathedaung Township, Rakhine State</t>
  </si>
  <si>
    <t>MMR122</t>
  </si>
  <si>
    <t>Increased sources and level of income of target households, Increased capacity of target communities to manage forest, water resources and preparation for/response to disasters.</t>
  </si>
  <si>
    <t>Rathedaung Townships, Rakhine State</t>
  </si>
  <si>
    <t>Rural poor</t>
  </si>
  <si>
    <t>Small holder farmers, poor/food insecure landless households, women, Direct participants are head count of populaion who directly involved in activities implemented and who directly received the training, workshops and services from the project. Indirect participants are  family and community members.</t>
  </si>
  <si>
    <t>An external mid-term reviw commissionned by UNOPS/LIFT (donor)</t>
  </si>
  <si>
    <t>Farmer field schools</t>
  </si>
  <si>
    <t>Need to strenghten engagement with government administration to enhanced understanding of CARE's work and approaches so that in situations of hostalities towards INGOs CARE can better advogate for itself and its beneficiaries</t>
  </si>
  <si>
    <t>Need community development expertize to enhance relations and sustainability of the project effects</t>
  </si>
  <si>
    <t>Challenges in conflict-driven environments to ensure synergies between sectors in such a compex program as it is Kang Lat</t>
  </si>
  <si>
    <t>Beneficiary numbers are extracted from ATS. For each category the potential dublication of direct beneficiaries has been reduced, but the total number of direct and indirect beneficiaries reported in this report is a sum of all the participants in each sector, meaning that those numbers are double counted.</t>
  </si>
  <si>
    <t>Nepal</t>
  </si>
  <si>
    <t>Hariyo Ban Program</t>
  </si>
  <si>
    <t>CDNKNP0046</t>
  </si>
  <si>
    <t>Dev Raj Gautam</t>
  </si>
  <si>
    <t>dev.gautam@care.org</t>
  </si>
  <si>
    <t>To increase ecological and community resilience in Chitwan Annapurna Landscape and Terai Arc Landscape</t>
  </si>
  <si>
    <t>Chitwan Annapurna Landscape andTerai Arc Landscape of Nepal</t>
  </si>
  <si>
    <t>Poor, vulnerable, and socially excluded</t>
  </si>
  <si>
    <t>Direct participants of the Hariyo Ban Program refer to the people who are directly benefited from the programs by participating in different capacity building sessions, conservation, formulating and implmenting of adaptation plans. The number is calculated by adding anticipated number of beneficiaries from training of Sustainable NRM, benefited from conservation, peole trained and involved in Climate change adaptation, people using climate information and expected number of people having capacity to recover from the disasters as stated in project agreement document.</t>
  </si>
  <si>
    <t>Social Analysis</t>
  </si>
  <si>
    <t>Partner selection process was lengthier than anticipated which disturbed timely implementation of activities</t>
  </si>
  <si>
    <t>Gender Based Violence and Protection</t>
  </si>
  <si>
    <t>CCANNP0007</t>
  </si>
  <si>
    <t>Santosh Sharma</t>
  </si>
  <si>
    <t>santosh.sharma@care.org</t>
  </si>
  <si>
    <t>Rekha Shrestha</t>
  </si>
  <si>
    <t>GBV and GESI Specialist</t>
  </si>
  <si>
    <t>rekha.shrestha@care.org</t>
  </si>
  <si>
    <t>To support Gender Integration in WATER, Sanitation and Hygiene (WASH), Shelter, Food Security and Livelihoods (FSL) and build the techical capacity of the GBV prevention and response team</t>
  </si>
  <si>
    <t>Sindhupalchowk, Nepal</t>
  </si>
  <si>
    <t>For the gender integration work-all beneficaries of the sectors, survivors of GBV, community based redressal groups, members of women's group, adolecent girls and boys</t>
  </si>
  <si>
    <t>This project coordinated with government stakeholders at district and VDC level, mobilized related government staff and linked them with community level stakeholder and alliances</t>
  </si>
  <si>
    <t>Conducted orientation and capacity building training to staff and board members of CSOs, local existing networks, user committees, women's network etc</t>
  </si>
  <si>
    <t>Working closely with grassroot level existing groups to desinimant GBV message and referral cases</t>
  </si>
  <si>
    <t>Gender indegration in all sectors</t>
  </si>
  <si>
    <t>link GBV survivor with livelihood option</t>
  </si>
  <si>
    <t>Cooridnaiton with government line agencies</t>
  </si>
  <si>
    <t>Ensure gender integration</t>
  </si>
  <si>
    <t>Project Report</t>
  </si>
  <si>
    <t>WASH Recovery Assistance to Earthquake Affected Communities of Dhading and Sindhupalchowk</t>
  </si>
  <si>
    <t>CCANNP0009</t>
  </si>
  <si>
    <t>Nilkantha Pandey</t>
  </si>
  <si>
    <t>WASH Team Leader</t>
  </si>
  <si>
    <t>nilkantha.pandey@care.org</t>
  </si>
  <si>
    <t>Enhanced qulaity of life of earthquake affected women, men, girls, elderly persons and those living with disabilities and members of the Dalit Caste through Improved WASH services in Dhading and Sindhupalchowk</t>
  </si>
  <si>
    <t>Dhading and Sindhupalchowk</t>
  </si>
  <si>
    <t>women,  men, girls, boys, elderly persons and those living with disabilities and members of the Dalit caste.</t>
  </si>
  <si>
    <t>Public infrastructure development, capacity building of local stakeholders, health staffs, FCHV and women groups, community engagement in health and WASH activities.</t>
  </si>
  <si>
    <t>AWASAR Project (De glemte born i Himalaya-U-landskalenderprojekt 2015)</t>
  </si>
  <si>
    <t>DK253</t>
  </si>
  <si>
    <t>Mr Chiranjibi Nepal</t>
  </si>
  <si>
    <t>Programme Coordinator</t>
  </si>
  <si>
    <t>Chiranjibi.Nepal@care.org</t>
  </si>
  <si>
    <t>Mr Ram Singh Thagunna</t>
  </si>
  <si>
    <t>Ram.Thagunna@care.org</t>
  </si>
  <si>
    <t>Improve thenutritional and educational status of hard to reach children in Bajura and Mugu districs of the Far and Mid-Western High Hills of Nepal.</t>
  </si>
  <si>
    <t>Nepal, Far-Mid Western district Bajura ( Bichhiya, Rugin, Jukot,Sappata, Dahakot, Manakot, Pandusen, Kolti, Gotri and Bangdhu VDCs) and Mugu ( Pulu, Mugu, Kimri, Dolphu,Jima,Natharpu, Viee, Hyanlu, Sukadik, Seri )</t>
  </si>
  <si>
    <t>women, adolescent girls and Marginalized poor men from ( Dalit, Janjati and others)</t>
  </si>
  <si>
    <t>Direct Beneficaries :women, adolescent girls and Marginalized poor men from ( Dalit, Janjati and others), teachers, farmers, FCHVs, Peer educators, SMCs/PTAs, Child clubs, Traditional Healers, Religeous leaders, local level representatives, district level stakeholders etc are the participants of the project.  It has been calculated by the persons who have directly involved in Awasar Project activities and benefited by getting capacity building trainings, orientations, meetings, group discussions, home visit counsel, infrastructures support like toilet, drinking water, floor setting, solar lamps installation.                                                 Indirect Beneficaries: Those who are getting positive impact in their day to day life in working environment, behaviour change communication, perception of particular ideas by getting indirect information instruction, encouragement and awareness from the project intervention areas which are playing a crucial role to change, transform, shape and size the progressive ideas in their personal and professional life.    </t>
  </si>
  <si>
    <t>Due to diverse topo-graphy and difficult geographical range it had become hard to collect the required data from some parts of districts. Miid-term  and end -term evaluation  should be carried out  in the month of  September and October. It is because there is an  extreme cold weather and seasonal migration occurs in such circumstances.</t>
  </si>
  <si>
    <t>Acclerated condenced curriculum policy has been prepared from the side of CARE but it had not been accepted by department of education (DOE) government of Nepal. By showing less essential to minimise the existing curriculum.</t>
  </si>
  <si>
    <t>1. Address the educational need of migrant children of Dalit, Janjati in high altitude mountain through composite package of education,health,food security. 2. improve the food habit of Himalayan people (SATHA+CSB+BCC and PD Hearth approach), 3. To assist less landholder farmers to get more and more nutricious food from Kitchn gardne. 4. Climate friendly vegetable and crop seed demonstrated by planting in the demonstration plot.</t>
  </si>
  <si>
    <t>The project had done coordination and collboration with district, resional and national level government and likeminded organization to implement its stretegy and innovation in the community level, for it CSB and SATH PD hearth, child centric teaching method had been implemented to bring sustainable and suitable impact in the rural community by leveraging knowledge in the project site.</t>
  </si>
  <si>
    <t>In project initiative; we had carryied out a training and orientation to the traditional healers, religious leaders, and local level political party memebrs.</t>
  </si>
  <si>
    <t>The major project activity i.e. the formulation of accelerated learning curriculum has been removed from the project. In stead of this project purposes formal nad non formal education initiatives.</t>
  </si>
  <si>
    <t>Community Score Board (CSB)Implementation in project themes like education, health and agriculture.</t>
  </si>
  <si>
    <t>Self Applied Technique for Quality Health (SATH) implemenation in health theme (Mother Groups, FCHVs were benefited).</t>
  </si>
  <si>
    <t>Behaviour Change communication and PD hearth menthod implementation for nutrition improvement.</t>
  </si>
  <si>
    <t>After project supporting new technique and materials to lead farmers they became capable to produce vegetable in their own farm to supplement nutritious food and sell it for earnings.</t>
  </si>
  <si>
    <t>Community members have to take the responsibility of supported materials in their schools to take care.</t>
  </si>
  <si>
    <t>Community Score Board (CSB) and Self Applied Techniques for Quality Health (SATH) tools have made realized and accountable both the service giver and receiver in regards to eudcation, agriculture and health &amp; nutriction.</t>
  </si>
  <si>
    <t>Local election has delayed our project activities in the filed about two month delay which had nod conducted over the period of 20 years in Nepal. Similarly, working unit (VDC, DDC structure changed into RM, DCC) has been changed so it has created some problems to start coordination and collaboration among the stakeholders.</t>
  </si>
  <si>
    <t>PIIRIS (upto now) 2017 Final-sanjh.xlsx</t>
  </si>
  <si>
    <t>Civil Society Support Project on Right to Food</t>
  </si>
  <si>
    <t>USZ20</t>
  </si>
  <si>
    <t>Thakur Prasad Chauhan</t>
  </si>
  <si>
    <t>Food Security, Livelihood and Climate Change Coordinator</t>
  </si>
  <si>
    <t>thakur,chauhan@care.org</t>
  </si>
  <si>
    <t>Jyoti Baidya</t>
  </si>
  <si>
    <t>Change Analyst and Knowledge Management Specialist</t>
  </si>
  <si>
    <t>jyoti.baidya@care.org</t>
  </si>
  <si>
    <t>Project aims to support Civil Society Organizations (CSOs) to become more representative, inclusive, legitimate, accountable and effective in order to demonstrate new ways of addressing food insecurity and required policy responses through engagement with the government, which will contribute to the realization of the right to food.</t>
  </si>
  <si>
    <t>State, District, Rural Municipality, Province and Ward</t>
  </si>
  <si>
    <t>The impact population are poor, vulnerable and socially excluded women. This includes smallholder farmers and landless people. Among them the ethnic groups of Dalits (Dalits used to be considered untouchable by the four fold Hindu caste system), Janajati (Indigenous Caste group) and women headed households are prioritized with it.</t>
  </si>
  <si>
    <t>Direct reach is calculated on the basis of direct activities implemented by the project in the community group and those who are receiving support, services, goods, resources or other, directly from CARE or through a partner.  Indirect Reach is calculated on the basis of those individuals who are NOT directly involved in project activities. But are still impacted in some way by the project. Such as recipients or active participants in trainings,workshop,camp meeting etc</t>
  </si>
  <si>
    <t>i) Visual presentation of behaviour change of impact group and boundary partners  ii) Implementation of UCPVA tool for reaching among poorest of poor and marginalized group.</t>
  </si>
  <si>
    <t>i) Implementation of Outcome Mapping and upscaling it among partners and stakeholders in different levels.</t>
  </si>
  <si>
    <t>In the initial phase of project, the impact group was identified as landless and small holder farmers only. But later in second phase of project PVSE group was  intoduced in project document 2017</t>
  </si>
  <si>
    <t>Outcome Journal under Outcome Mapping Practice</t>
  </si>
  <si>
    <t>RILTAS Tool (Dialogue Tool)</t>
  </si>
  <si>
    <t>Community level learning Camp (Shikai Shibir) - Bhumi Sikai Shibir, Kisan Shibir</t>
  </si>
  <si>
    <t>Regular involvement of political leaders in the identification of local issues makes it a subject of common interest. This provides strength to the campaign and the leaders actively facilitate the campaign.</t>
  </si>
  <si>
    <t>The communitys role in challenging and protesting against the events of Land Rights eviction was seen as most important. Continuous policy dialogs at the national level helped in punishing the guilty and provide justice to the victim in the cases of eviction.   </t>
  </si>
  <si>
    <t>Building Initiative for safer health and WASH</t>
  </si>
  <si>
    <t>CDEUNP0022</t>
  </si>
  <si>
    <t>HARTMANN Group</t>
  </si>
  <si>
    <t>Improved health and hygiene status of earthquake affected population through increased access to improved SRMH and WASH services.</t>
  </si>
  <si>
    <t>Gorkha</t>
  </si>
  <si>
    <t>People(especially women and girls) of reproductive age with focus on lactating and preganant women</t>
  </si>
  <si>
    <t>Partnership with government for the construction of large scale water schemes</t>
  </si>
  <si>
    <t>Construction of model primary health care outreach clinic (PHC-ORC) under the leadership of local user's group</t>
  </si>
  <si>
    <t>Innovative approaches for improving health service utilization and community participation including health governance through Community Health Score Board (CHSB) and SATH techniques.</t>
  </si>
  <si>
    <t>under the leadership of local user's committee, the construction of health infrastructures went in fast pace owning their sense of  ownership</t>
  </si>
  <si>
    <t>difficulty in coordinating with the government bodies and involving them due to the multiple agencies working in the district</t>
  </si>
  <si>
    <t>IPIA, Logframe, progress report</t>
  </si>
  <si>
    <t>DRR and Build Back Safer Schools in Nepal (Munich-SBDRR)</t>
  </si>
  <si>
    <t>CDEUNP0011</t>
  </si>
  <si>
    <t>kiriti ray</t>
  </si>
  <si>
    <t>consortium program manager</t>
  </si>
  <si>
    <t>Kiriti.ray@care.org</t>
  </si>
  <si>
    <t>Rupendra Basnet</t>
  </si>
  <si>
    <t>rupendra.basnet@care.org</t>
  </si>
  <si>
    <t>To strengthen the institutionalisation of school based DRR, safe, inclusive and resilience schools post-earthquake at local and district levels.</t>
  </si>
  <si>
    <t>Makawanpur</t>
  </si>
  <si>
    <t>Girls, boys, women, men,Teacher, SMC members, PTA members , Parents  and  earthquake affect 8 schools.</t>
  </si>
  <si>
    <t>Direct beneficiaries are calculate as those who are covered through project activities mainly schools and Door to Door visit of 8 schools and surrounding communities. Indirect beneficiaries- population of VDC where project is intervening and those are benfited by disaster risk managent plan formulation. It is calculated by  deducting the direct benficiaries from VDC total population.</t>
  </si>
  <si>
    <t>KAP survey is planned as final evaluation</t>
  </si>
  <si>
    <t>Project identified the most vulnerable groups of the community through detail vulnerability capacity assessment and set up linkages with service providers for livelihood support</t>
  </si>
  <si>
    <t>Capacity building of schools, SMC, PTA, Parents , surrounding community, partner staffs, local stakeholder and project staffs.</t>
  </si>
  <si>
    <t>Capacity building of schools</t>
  </si>
  <si>
    <t>Establishment of skilled manpower i.e. disaster management committee, SMC, PTA , Parents</t>
  </si>
  <si>
    <t>DRR and Build Back Safer Schools in Nepals</t>
  </si>
  <si>
    <t>Learning: Current project focuses on reconstruction of school infrastructures. This  requires extended period of time for achieving final outcomes of the project as it requires involvement of community level multi stakeholders. Considering this the time period of the reconstruction type project should be more than 2-Years time period.</t>
  </si>
  <si>
    <t>Promising Practices: Construction of schools building in partnership with School Management Committee (SMC) with the involvement of community, District Education Office (DEO) and private organization has become promising practices to build ownership and utilize local resources. During the course of project implementation, in kind support from private company (BERGER GROUP) was obtain for painting a newly constructed building. This initiative shows that partnership with local business houses can leverage resource allocation and utilization.</t>
  </si>
  <si>
    <t>Learning: A joint effort on national level advocacy can replicate good practices into national level. Joint advocacy to develop DRR friendly School Improvement Plan (SIP), National Contingency Plan in education sector found very relevant to replicate the learnings at a very large scale (in about 35,000 schools) throughout the nation.</t>
  </si>
  <si>
    <t>Integrated Gender GBV and Shelter Response</t>
  </si>
  <si>
    <t>CDEUNP0018</t>
  </si>
  <si>
    <t>Team Leader- ERP</t>
  </si>
  <si>
    <t>To reduce GBV in targeted area and enable women/ girls to live a dignified life by establishing/strengthening immediate and long term mechanisms against GBV; and To increase the number of newly built or rebuilt houses that incorporate Building Back Safer (BBS) methods in (re)construction as well as to support in broader community DRR processes</t>
  </si>
  <si>
    <t>6 VDc s of Dhanding (Salyantar, Mulpani, Budhathum, Phulkharka, Aginchowk and Baseri)</t>
  </si>
  <si>
    <t>Earthquake effected poulation of program VDCs</t>
  </si>
  <si>
    <t>Involevemt  of women in Masons training and provided grant for interprenureship for GBV survivor</t>
  </si>
  <si>
    <t>CSOs are involved in SOP dissimination and implementation and LDRMP preparation process.</t>
  </si>
  <si>
    <t>Originally, shelter component of the project, result 4 and 5, were planned from May 2016 through November 2016. However, due to challenges posed by monsoon and difficult geographical terrain, project activities were delayed. Therefore, CARE Nepal asked for approval from the CMP to extend the shelter component until December 2016 and obtained approval for CMP. In order to utilize some foreseeable savings, CARE Nepal proposed to construct model houses in Baseri and Aginchowk VDC as CARE Nepal were unable to construct model houses in these VDCs. As per the approval from the CMP, the shelter component got extended in May 2017.</t>
  </si>
  <si>
    <t>UCPVA</t>
  </si>
  <si>
    <t>Public Audit</t>
  </si>
  <si>
    <t>Despite CARE Nepals continuous attempts to involve more women in construction process, womens participation in mason training is significantly low. Experience prior construction is a prerequisite to participate in the training. Thus, there were few women participants than expected. This fact reassured that construction is traditionally a male dominated area where CARE Nepal should work to develop more women human resource in construction  field.</t>
  </si>
  <si>
    <t>It is not easy to mitigate gender based violence, in a society where legal and cultural systems are less conducive towards their protection. Gender Based Violence is not an issue that is easy to tackle. Along with Government of Nepal, CARE Nepal and other humanitarian aid organizations are working to raise awareness on gender based violence, its prevalence, and how to mitigate them in disaster stricken areas.</t>
  </si>
  <si>
    <t>Sensitizing men on the rights of women and legal implications of perpetrating gender based violence will gradually lead to changes in household level.Further, such changes will contribute in mitigating gender based violence in the long run.</t>
  </si>
  <si>
    <t>Stronger communities and safer habitat: Promoting self-recovery Project</t>
  </si>
  <si>
    <t>CDEUNP0012</t>
  </si>
  <si>
    <t>Umesh Shrestha</t>
  </si>
  <si>
    <t>Team Leader - Shelter</t>
  </si>
  <si>
    <t>umesh.shrestha@care.org</t>
  </si>
  <si>
    <t>Team Leader - Emergency Recovery and Response Program</t>
  </si>
  <si>
    <t>To increase the number of newly built or rebuilt houses that incorporate Building Back Safer (BBS) methods in (re)construction as well as to support in broader community DRR processes</t>
  </si>
  <si>
    <t>3 ward of Melamchi Municipality and 4 ward of Panchpokhari Thangpal Rural Municipality (Gaupalika) of Sindhupalchowk Districts and 2 Ward of Palungtar Municipality and 13 Ward of 4 Gaupalika (Sulikot 1&amp;2, Dharche 1-6, Siranchowk 3-6, Ajirkot-5 and Palungtar 1-2) of Gorkha i.e 11 VDC of Gorkha and 6 VDC of Sidnhupalchowk districts based on earlier structure.   </t>
  </si>
  <si>
    <t>15,709 households (comprising of 62,836 individualson average there are 4 individuals per household) from 17 VDCs have increased awareness of safer home construction on earthquake resistant techniques, government policy, hygiene, energy saving, accessibility for disable people, gender issues, and housing land &amp; property rights</t>
  </si>
  <si>
    <t>Almost all of the houses in the target 16 VDCs were significantly damaged by the earthquake. This project has been target all the families in these poor, remote hilly regions. CARE Nepal targeting 15709 households  from 17 VDCs have increased awareness of safer home construction on earthquake resistant techniques, government policy, hygiene, energy saving, accessibility for disable people, gender issues, and housing land &amp; property rights as a direct benificiaries.</t>
  </si>
  <si>
    <t>Women's enguagment in reconstruction and recovery program through provided Masons training.</t>
  </si>
  <si>
    <t>Care nepal have provided the training to the Local disaster management committee and ward level disaster management committee to strengthen their capacity for preperedness for disaster. These committee includes member from political parties,teacher, governmental official, ward citizen membe, citizen awareness committe member, members from womens group. In adidtion, local NGO network, CBOs were partcipated in Public audit initiatives.</t>
  </si>
  <si>
    <t>Enguaging Men</t>
  </si>
  <si>
    <t>Local Desaster Mitigation Planning through vulanerabilty and capacity analysis.</t>
  </si>
  <si>
    <t>Collaborating with the Local authority and GON agencies of the project area on model house and resource center construction as well as LDRMP preparation and roll out increases downward accountability.</t>
  </si>
  <si>
    <t>Sensitizing local builders and community members is fruitful in getting their participation and better understanding of the issue on safe and accessible habitat.</t>
  </si>
  <si>
    <t>Trained masons can be mobilized to support ongoing model houses and resource centers as well as personal shelters under construction in the communities. They will be useful for any future construction, WASH or DRR projects by CARE in the districts.</t>
  </si>
  <si>
    <t>CARE Nepals earthquake response strategic plan integrates emergency, (early) recovery and rehabilitation across four sectors (Shelter, WASH, Food Security and Livelihoods and Sexual, Reproductive and Maternal health) with gender, GBV, social inclusion, protection and housing and land rights as cross-cutting themes. The strategy covers 100,000 individuals (20,000 HHs), in a span of four year period with a corresponding budget of 40 million budget. The ADH project constitutes of an integral part of CARE Nepals broad earthquake strategic response, recovery, and reconstruction plan. The ADH project constitutes 5% of the total secured grants and contracts for the Nepal earthquake response.</t>
  </si>
  <si>
    <t>SHO Livelihood</t>
  </si>
  <si>
    <t>CNLDPNP0005</t>
  </si>
  <si>
    <t> Giro 555</t>
  </si>
  <si>
    <t>Earthquake Response and Recovery Team leader</t>
  </si>
  <si>
    <t>Jib Nath Sharma</t>
  </si>
  <si>
    <t>Food Security and Livelihood Manager</t>
  </si>
  <si>
    <t>jib.sharma@care.org</t>
  </si>
  <si>
    <t>i. To meet the immediate, medium and long term livelihood and food needs of earthquake-affected populations in the worst-affected districts and  to prevent the livelihood options of the most vulnerable populations from deteriorating, ensuring market supply and access. ii. Promote safety and effectiveness in citizen  initiated demolition of damaged houses and other structure</t>
  </si>
  <si>
    <t>19 VDCs of Gorkha, Dhading and Sindhupalchock districts</t>
  </si>
  <si>
    <t>Vulnerable households severly affected by earthquake</t>
  </si>
  <si>
    <t>1. Supported labour saving agri machinary targeting to reduce samll holder women farmer's workload. 2. Response directed to support extreme poor household</t>
  </si>
  <si>
    <t>Different labour saving agri machinary use and using UCPVA tool to reach out extreme poor household</t>
  </si>
  <si>
    <t>Capacity enhancement of cooperatives in planning and implementation for the favor of peasant</t>
  </si>
  <si>
    <t>Engaging cooperative in production and supply base business plan preparation</t>
  </si>
  <si>
    <t>Hat bazaar manage by local community in rural area</t>
  </si>
  <si>
    <t>Linkage between producer and mareketer for ease marketing of product</t>
  </si>
  <si>
    <t>Initially, all the recovery activities were on farm related which could not respond the landless agricultural labor and peasant. Letter on, project team realized that off farm recovery activities also to be designed. Eventually, those activities proved effective to recover livelihood of landless.</t>
  </si>
  <si>
    <t>Business development service proved effective for transitioning community and household from relief to recovery and finally towards sustainable development mode</t>
  </si>
  <si>
    <t>Silpauline plastic tunnel with dirp set supplement proved as an appropriate solution of semi-commercial vegetable production for smallholder farmer in areas where there is water scarcity. Drip has been proved as an effective water efficient irrigation technology for small scale farmers.</t>
  </si>
  <si>
    <t>Final progress report, review and learning event report  and Data from M&amp;E systm</t>
  </si>
  <si>
    <t>PRAYAAS-Strengthening resilience of local communities and institutions from the impact of natural disaster along the earthquake affected regions of Nepal</t>
  </si>
  <si>
    <t>CAUTNP0086</t>
  </si>
  <si>
    <t>Kiriti Ray</t>
  </si>
  <si>
    <t>Kiriti.Ray@care.org</t>
  </si>
  <si>
    <t>Surendra Bam</t>
  </si>
  <si>
    <t>Project Technical Manager</t>
  </si>
  <si>
    <t>Surendra.Bam@care.org</t>
  </si>
  <si>
    <t>To strengthen resilience of the most at risk communities including persons with disabilities to natural disaster through risk informed programming along the four earthquake affected districts (Gorkha, Dhading, Sindhupalchowk and Dolakha) of Nepal</t>
  </si>
  <si>
    <t>Gorkha, Dhading, Sindhupalchowk and Dolakha</t>
  </si>
  <si>
    <t>women, girls, boys, men and older people of 45 most vulnerable communities affect by natural disasters</t>
  </si>
  <si>
    <t>Direct beneficiaries are calculated as those who are covered through project activities mainly Door to Door visit. (i.e. population of 45 communities). Indirect beneficiaries- population of VDC where project is intervening and those are benfited by disaster risk managent plan formulation. It is calculated by deducting the direct benficiaries from VDC total population.</t>
  </si>
  <si>
    <t>Capacity building of CSO in DRR plan development and different types of life saving skills.</t>
  </si>
  <si>
    <t>Capacity building of different committees formed at ward and VDC on disaster risk sensitive planning</t>
  </si>
  <si>
    <t>Establishment of skilled manpower i.e. taskforces at community, VDC and district level and establishing their linkage with government structure for effective response</t>
  </si>
  <si>
    <t>Mainstreaming of diasater risk reduction activities in annual development plan of government and its implementation</t>
  </si>
  <si>
    <t>Promising practices:</t>
  </si>
  <si>
    <t>Challange:</t>
  </si>
  <si>
    <t>Learnings:</t>
  </si>
  <si>
    <t>Sankalpa- Collaborative Committement for Participatory and Gender-tranformative budget</t>
  </si>
  <si>
    <t>AT475</t>
  </si>
  <si>
    <t>Urmila Simkhada</t>
  </si>
  <si>
    <t>Thematic Coordinator (LEAD)</t>
  </si>
  <si>
    <t>urmila.simkhada@care.org</t>
  </si>
  <si>
    <t>To contribute to a transparent and participatory budget allocation and expenditure in Nepal that equally benefits marginalized groups</t>
  </si>
  <si>
    <t>Surkhet and Pyuthan districts</t>
  </si>
  <si>
    <t>Women from marginalized communities</t>
  </si>
  <si>
    <t>Wome member of ward citizen forums, integrated planning committee members (women), village supervision and monitoring committee members, members of women networks, representatives of village development committees and district development committees.</t>
  </si>
  <si>
    <t>Mock budget</t>
  </si>
  <si>
    <t>Women's meaningful participation in local planning process</t>
  </si>
  <si>
    <t>Community score board used as tool for improving government's budget for benefit for woment</t>
  </si>
  <si>
    <t>Arranging local level platforms to ensure communication between the newly elected officials and community people especially women and DAG</t>
  </si>
  <si>
    <t>Local authorities (Citizen Awareness Centers) require more support to be able to participate meaningfully in local level participation in the planning process. CAC will require further support</t>
  </si>
  <si>
    <t>In the newly restructured federal state, building technical capacity of the local governance units to perform the roles they are assigned for various sectors, and to ensure that the local level decisions are GESI sensitive is very essential. This requires supporting local government in following initiatives: o Planning and budgeting (ensuring the allocation of gender responsive budgeting) o Setting up and continuing participatory exercises (community score card etc.) at a different level to enable people to communicate with local government o Continue Citizen Awareness Centers and social mobilization in targeting women and DAGs through local resources</t>
  </si>
  <si>
    <t>Udaan - Catching the Missed Opportunity</t>
  </si>
  <si>
    <t>CAUTNP0058</t>
  </si>
  <si>
    <t>Program Coordinator</t>
  </si>
  <si>
    <t>More girls of the poorest, most vulnerable and socially excluded families in Nepal have completed grade 5, 6 &amp; 7 education, contributing to MDG 2.</t>
  </si>
  <si>
    <t>Kapilvastu (Nepal)</t>
  </si>
  <si>
    <t>Adolescent girls and marginalised women</t>
  </si>
  <si>
    <t>Direct participants are out of school adolescent girls who are provided educational opportunities by the Proejct.  Also another direct participants are School studentst. Indirect participants are  parents out of school girls Udaan students,</t>
  </si>
  <si>
    <t>Three year's course condensed for completing within one year UALC with approval of department of education. Developed innovative learning materials for imprving quality education of UDAN girls</t>
  </si>
  <si>
    <t>Scaled up to Hausala Initiative</t>
  </si>
  <si>
    <t>Regular close programatice coordiantion with key Government line agencies</t>
  </si>
  <si>
    <t>Regular review /reflection - community level, district level, and national level</t>
  </si>
  <si>
    <t>Engaging cooperative to develop policy to support PVSE girls students for Education</t>
  </si>
  <si>
    <t>Continue follow up and support for UDAN graduate students</t>
  </si>
  <si>
    <t>Program approcah is the best approch for sustainbility acheivement</t>
  </si>
  <si>
    <t>1st phase to 2nd phase project period gap is lost acheivements</t>
  </si>
  <si>
    <t>End line survey and Final evaluation report of Udaan project.</t>
  </si>
  <si>
    <t>VISTAR-II: Strengthening resilience of communities and institutions from the impacts of natural disaster in far and mid western regions og Nepal</t>
  </si>
  <si>
    <t>CAUTNP0076</t>
  </si>
  <si>
    <t>Concortium Coordinator</t>
  </si>
  <si>
    <t>SurendraB@care.org</t>
  </si>
  <si>
    <t>To build resilience and establish a culture of disaster risk reduction among vulnerable communities and institutions to natural hazard in far and mid western region of Nepal</t>
  </si>
  <si>
    <t>Dang, Kailali, Kanchanpur and Dadeldhura</t>
  </si>
  <si>
    <t>women, girls, boys, men and older people from 32 most vulnerable communities affect by natural disasters</t>
  </si>
  <si>
    <t>Direct participants are the people who are involved in different project activities like training, meeting, workshops, Vulnerability and capacity assessment participants, members of different committees, school management committees and focal person, district level DRR focal persons, Female community health volunteers and village disability coordiantion committee members, 32  community population and school students. Indirect beneficiaries are the population of VDC who will be nemefited through disaster risk managment plan preparation and implementation.</t>
  </si>
  <si>
    <t>Thematic linkage to support poor and marginalized people with livelihood opportunities.</t>
  </si>
  <si>
    <t>Involvement of private sector in DRM and integration of DRR fund withinthe system of cooperatives and chamber of commerce</t>
  </si>
  <si>
    <t>Capacity building of different CSOs on DRR, interlinking the disaster management committees at local and district level, Contribution for DRR by differnet CSOs, CFUGs, Mothers group, womens groups etc..</t>
  </si>
  <si>
    <t>80% of women, girls, boys, men and older people from the targeted communities are risk informed and practice DRR activities to reduce their vulnerability as measured against the baseline</t>
  </si>
  <si>
    <t>100% of the targeted District institutionalize CBDP framework and mainstreaming LDRMP/DDMP/LAPA incorporating the specific issues of women, PWD and socially excluded groups into their annual development plans</t>
  </si>
  <si>
    <t>42 targated VDCs across 11 district of Hariyo Ban and 6 districts of Sabal programmes of CARE Nepal internalize, replicate and implement best practices of CBDP framework by end of project</t>
  </si>
  <si>
    <t>Disaster risk reduction is not a standalone effort so the coordination with different district stakeholders is essential. Project tried to bring different actors under one umbrella for DRM but still there are invisible actors like private organizations and individual actors who come to play during disaster and are not included in any of the disaster risk reduction plan. Hence such groups are still to be identified / mapped</t>
  </si>
  <si>
    <t>With the changing situation of country, most of the VDCs are merging as municipalities which have different systems and controlling mechanisms than that of VDC. Hence in order to fit in changing context strategy and designing of the project should be appropriate for both.</t>
  </si>
  <si>
    <t>Community Based Disaster Preparedness model fits to all three phases' of disaster risk management with focus on Preparedness for Response and recovery. A well established mechanism for mechanism for coordinated response, government planning process integration with DRR governance owing long term impact and engagement with private sector can contribute to the resources for reconstruction.  Other than this VDC , DDC other sectoral agencies are also allocating budget to regularize preparedness, response and reconstruction</t>
  </si>
  <si>
    <t>Project developed some video documentary to show the impact at community.</t>
  </si>
  <si>
    <t>Rapid Community WASH Recovery Programme</t>
  </si>
  <si>
    <t>CGBRNP0080</t>
  </si>
  <si>
    <t>Gunaraj Shrestha</t>
  </si>
  <si>
    <t>Consortium Manager</t>
  </si>
  <si>
    <t>Gunaraj.shrestha@care.org</t>
  </si>
  <si>
    <t>Vulnerable disaster affected community have improved WASH conditions</t>
  </si>
  <si>
    <t>Gorkha and Dhading</t>
  </si>
  <si>
    <t>women and adolscent girls</t>
  </si>
  <si>
    <t>women leadership  improved ensuring atleast 33% women and 50% GESI in water user and sanitation committtee and one leadership and signatory position assigned to women.</t>
  </si>
  <si>
    <t>Engagemnet of women in other productive activities as improved access and adequate supplies of water have helped reduce water fetching time.</t>
  </si>
  <si>
    <t>change  in menstrual hygiene practices among women and adolscent girls</t>
  </si>
  <si>
    <t>Gender and child friendly structures</t>
  </si>
  <si>
    <t>were able to address the need of people from hard to reach and ethnic minorities</t>
  </si>
  <si>
    <t>The initial project  was rapid and  focused on the repair and rehabilitaion of drinking water which less prioritize on improving capacity of user's committee on sustainability of the schemes</t>
  </si>
  <si>
    <t>The project  was able to provide adequate and safe drinking water to 57 water user's committee</t>
  </si>
  <si>
    <t>progress report and M &amp; E database</t>
  </si>
  <si>
    <t>SAMMAN III</t>
  </si>
  <si>
    <t>GB313</t>
  </si>
  <si>
    <t>Chirinjibi Nepal</t>
  </si>
  <si>
    <t>Program Coordinator - SRMH and GBV</t>
  </si>
  <si>
    <t>chirinjibi.nepal@care.org</t>
  </si>
  <si>
    <t>Shanta Kumar dangol</t>
  </si>
  <si>
    <t>shanta.dangol@care.org</t>
  </si>
  <si>
    <t>To improve maternal and neonatal health outcomes by strengthening community health system and increasing access to and utilization of the MNCH services in project districts.</t>
  </si>
  <si>
    <t>Provience 7 ( 11 Municipality and 18 Rural  Municipal ) , Provience 3 ( 8 Municipality and 13 Rural Muncipal ).</t>
  </si>
  <si>
    <t>The impact group of the project are pregnant women, newborns and women of reproductive age and under 5 years children.</t>
  </si>
  <si>
    <t>The direct participants are the pregnant mothers, postpartum mothers, women and men of reproductive age, adloscent boys and girls reached by the project. Similarly, the indirect participants are all the other participants than the direct participants reached by the project and who are benifited indirectly by the project. (FCHVs, mother-in-laws, father-in-laws)</t>
  </si>
  <si>
    <t>The tried and tested package of Community Based Integrated mananegemnt of newborn and childhood ilness in partnership of government of Nepal was scaled up in Dadeldhura nd Kavre districts. Similarly, CARE Nepal's innovative tools of Community Health Score board (CHSB) and Self Applied techinique for quality health (SATH) were scaled up with the help of partners and District health offices in the 5 districts.</t>
  </si>
  <si>
    <t>The capacity of the partners staff were improved on household monitroing through LQAS. Similarly, their capacities were also strengthened in CB-IMNCI package and in the issue of gender based voilence and its mitigation.</t>
  </si>
  <si>
    <t>Working in partnership with Local NGO</t>
  </si>
  <si>
    <t>Close coordination and communication with government counterparts</t>
  </si>
  <si>
    <t>Support in the scaling up of government innitiatives</t>
  </si>
  <si>
    <t>Engagement of the political and social leaders in the program activities including the community health score board is helpful to garner support from community and for accountablity from the health providers. For more effective envolvement a regular follow up and dialogue is necessary.</t>
  </si>
  <si>
    <t>Regular and consistent consultations with government team at center and district levels as well as with relevant stakeholders helps to create environment for smooth implementation of the initiatives.</t>
  </si>
  <si>
    <t>Involvement of district governing bodies in program planning promote the good governance and also make them realize their responsibilities and accountabilities in promotion of maternal and neonatal health</t>
  </si>
  <si>
    <t>Strengthening Access to Fair and Equitable Justice (SAFE Justice) Project</t>
  </si>
  <si>
    <t>PID: CGBRNP0084 &amp; FC GB635</t>
  </si>
  <si>
    <t>Santosh Sigdel</t>
  </si>
  <si>
    <t>santosh.sigdel@care.org</t>
  </si>
  <si>
    <t>Bishnu Nepali</t>
  </si>
  <si>
    <t>bishnu.nepali@care.org</t>
  </si>
  <si>
    <t>To build trust between poor and marginalised communities, in particular vulnerable groups within those communities, and formal and informal justice providers, in order to enable marginalised populations to access fair and equitable justice</t>
  </si>
  <si>
    <t>Nepal, Province-3: Panchpokhari Thangpal, Gajuri and Benighat Rorang rural municipality province-4: Palungtar Municipality, Sulikot, Siranchok and Bhimsenrural municipality,  Province-7: Chaurpati &amp; Bannigadhi rural municipality, Budhiganga &amp; Budhinand municipality</t>
  </si>
  <si>
    <t>People from poor, vulnerable and socially excluded communities, particularly women and girls</t>
  </si>
  <si>
    <t>The direct participants will be the people who participate in project initiatives directly and the indirect participants will be count from total family members of direct participants, other people of respective settlement where REFLECT class conducted and sorrounding community people</t>
  </si>
  <si>
    <t>SAFE Justice project is going to conduct Justice context and social norms mapping in Sept 2017 along with mid term evaluation will be conduct in April 2017</t>
  </si>
  <si>
    <t>Empower to community people through REFLECT facilitation and make accountable to service providers through community score card</t>
  </si>
  <si>
    <t>We will closely work with FWLD for legal services and will work with local level partner organizations</t>
  </si>
  <si>
    <t>Participatory tools such as access mapping, resource mapping and wellbeing ranking became more effective tools for Selection of poverty pocket and REFLECT participants</t>
  </si>
  <si>
    <t>REFLECT methodology is more effective strategy to empower the voiceless people</t>
  </si>
  <si>
    <t>Local level stakeholders' involvement from the beginning of the program is more effective to build ownership towards the program as well as inter sectoral integration plan makes easy to build synergy in program</t>
  </si>
  <si>
    <t>Due to current local restructuring, power dynamics have transferred from central/district level to local level in Nepal. Therefore, local bodies have more authorities and responsibilities to mobilize civil society organization at local level. So, it is crucial to conduct inception meeting and DPAC meeting/ visit in rural/municipality level.</t>
  </si>
  <si>
    <t>Joint planning and budgeting in consultations with local stakeholders and community is essential to address community needs and budget allocation on actual basis for the activities. This process will help increase community ownership towards project.</t>
  </si>
  <si>
    <t>It is essential to seek to find ways to build greater synergy between IP-SSJ local implementers, district government agencies program and other similar implementing partners in the same districts and between complementary programmes for joint effort to eliminate all forms of GBV in the district and avoid duplication of activities</t>
  </si>
  <si>
    <t>Aba Mero Palo (Tipping Point)</t>
  </si>
  <si>
    <t>KENDNP0001</t>
  </si>
  <si>
    <t>The overall goal of the project was to strenghthen communities and government bodies to effectively formulate, implement and monitor laws and poicies related to child marriages from local to national level.</t>
  </si>
  <si>
    <t>Rupandehi and Kapilvastu districts</t>
  </si>
  <si>
    <t>Adolescent girls</t>
  </si>
  <si>
    <t>Married (pre-gauna i.e. has not moved into the husbands home) and unmarried out-of-school adolescent girls, ages 14 to 19</t>
  </si>
  <si>
    <t>Involving boys in household chores such as cooking, sewing. Girl's sports competition</t>
  </si>
  <si>
    <t>School support program was found very useful for girl's education for low financial conditional of parents. The parents who get bound to get their daughter married as they could not afford their education has now able to continue with the education.</t>
  </si>
  <si>
    <t>Now girls had got the feeling that they can persue their dreams and aspirations by means of educational opportunities</t>
  </si>
  <si>
    <t>Participation in different districts and national events provided exposure for the adolescent girls and developed their agency with various networks and structures from local to national level</t>
  </si>
  <si>
    <t>nepal</t>
  </si>
  <si>
    <t>Hausala PCTFI-Cohort 3</t>
  </si>
  <si>
    <t>PCTFI-Cohort 3</t>
  </si>
  <si>
    <t>Adolescent girls have better life opportunities</t>
  </si>
  <si>
    <t>Rupandehi and Kapilvastu (Nepal)</t>
  </si>
  <si>
    <t>Direct participants are out of school adolescent girls who are provided educational opportunities by the Project. Also another direct participants are adolescent girls who are into the girl collectives formed by Proejct for intevention acitvties on life skills, adolescent sexual reproductive health and economic empowerment. Also another group of direct participants are Parents groups of those adolescent girls who are provided economic empowerment opportunities and SRMH orientation, and also the direct participants are people who have participated in trianings and orientations supported by the Project. Indirect participants are spouses of parents groups who are not in the collectives, siblings of the adolescent gilrs who are not in the collectives,</t>
  </si>
  <si>
    <t>While establishing Alternative learning centers in Schools Vs rented houses, Schools seemed to have better learning environment as well as infrasttructure. Whereas rented houses lacked infrastrcutre like toilets, spacious and ventilated classrooms, playgound and disturbance from local kids</t>
  </si>
  <si>
    <t>Budget for establishing learning centers in school vs rented houses will not work because in Schools infrastructure is already good and minimum maintainence is required whereas in rented houses, renovations as per our requirement has to be done which includes WASH facilities for meeting the needs of adolescet girls (menstrual higine management).</t>
  </si>
  <si>
    <t>Agriculural seasonal calender will have massive impact on the attendance of students. At peak agricultural time like paddy planting, massive absenteeism should be expected for few weeks. Project is exploring possibilities of different options to address the absenteeism in consultation with parents, girls and teachers.</t>
  </si>
  <si>
    <t>Baseline survey report, log frame and project proposal</t>
  </si>
  <si>
    <t>Integrated Platform for Gender Based Violence Prevention and Response</t>
  </si>
  <si>
    <t>US1P6</t>
  </si>
  <si>
    <t>Bisika Thapa</t>
  </si>
  <si>
    <t>Program Coordinator- PREVENT</t>
  </si>
  <si>
    <t>bisika.thapa@care.org</t>
  </si>
  <si>
    <t>Pushpa Mukhiya Sunuwar</t>
  </si>
  <si>
    <t>MEL Specialist- PREVENT</t>
  </si>
  <si>
    <t>pushpa.sunuwar@care.org</t>
  </si>
  <si>
    <t>Improved response to Gender Based Violence in Nepal by improving the quality and reach of services for GBV survivors through a helpline,  promoting greater awareness among key stakeholders and  strengthening  the capacity of National Women Commission.</t>
  </si>
  <si>
    <t>State-3, Kathmandu, Bhaktapur, Lallitpur, Nuwakot.</t>
  </si>
  <si>
    <t>As project is in initial phase, direct and indirect participants are not projected yet. It will be done following the baseline which is due in September</t>
  </si>
  <si>
    <t>Technical support on identifying appropriate methodologies to conduct Social Norms Diagnostics in the project sites.</t>
  </si>
  <si>
    <t>Being a technical partner, CARE's vital role in the project is providing tenchincal support in the areas of M&amp;E and communication/outreach in order to enhance the capacity of National Women Commission. Due to the government's prolonged administrative process and high turn over in lead role, project activities were remarkably delayed.</t>
  </si>
  <si>
    <t>Consistent persuasion on the need to target areas finally got the process moving which will now allow CARE to roll out its prevention activities - a component that CARE is responsible to deliver.</t>
  </si>
  <si>
    <t>Project is in its initial phase so there were no activities conducted in this FY. Activities will be geared up following the baseline and social norms diagnostics.</t>
  </si>
  <si>
    <t>Maitri PCTFI-Cohort 3</t>
  </si>
  <si>
    <t>Dalit girls in selected regions of India and Nepal have access to safe and secure education that enables them to develop necessary skills for improved life opportunities</t>
  </si>
  <si>
    <t>Adolescent dalit and marginalised girls</t>
  </si>
  <si>
    <t>Direct participants  who are into the girl collectives formed by Proejct for intevention acitvties on safety &amp; security, life skills and adolescent sexual reproductive health Also another group of direct participants are Parents groups of those adolescent girls and also people who are oriented and consulted on safety and security. Indirect participants are spouses of parents groups who are not in the collectives, siblings of the adolescent gilrs who are not in the collectives</t>
  </si>
  <si>
    <t>Safety and security</t>
  </si>
  <si>
    <t>Municipal platform meeting on Safety on security with the newly elected local government bodies</t>
  </si>
  <si>
    <t>There is national policy regarding safety and security of girls, but it has not implemented in the local scenario</t>
  </si>
  <si>
    <t>Issue of safety and security is very deep rooted and it is difficult to penetrate</t>
  </si>
  <si>
    <t>Nepal Earthquake Recovery Programs-restoration of health facilities with improved access to SRMH and WASH services</t>
  </si>
  <si>
    <t>CDEUNP0010</t>
  </si>
  <si>
    <t>Nilkantha.pandey@care.org</t>
  </si>
  <si>
    <t>Restore health facilities and improve access to SRMH services</t>
  </si>
  <si>
    <t>Uhiya, Laprak, Barpak, Simjung, Gankhu, Harmi VDCs of Gorkha</t>
  </si>
  <si>
    <t>people (especially women and girls) of reproductive age</t>
  </si>
  <si>
    <t>Sabal:Sustainable Action for Resilience and Food Security</t>
  </si>
  <si>
    <t>SAVE0001</t>
  </si>
  <si>
    <t>Man Bahadur  BK</t>
  </si>
  <si>
    <t>Sr. Technical Manager</t>
  </si>
  <si>
    <t>Man.BK@care.org</t>
  </si>
  <si>
    <t>Targeted population in the eleven districts of central and eastern mid-hills of Nepal are more resilient and food secure</t>
  </si>
  <si>
    <t>Khotang, Okhaldhunga, Udayapur, Makwanpur, Ramechhap, Sindhuli, Dolakha, Kavre, Sindhupalchowk, Nuwakot and Rasuwa</t>
  </si>
  <si>
    <t>vulnerable communities HHs identified by vulnerability risk assessment</t>
  </si>
  <si>
    <t>A household is benefiting directly if it contains at least one individual who is a direct project participant. An individual is a direct project participant if s/he comes into direct contact with the Livelihoods, Health &amp;Nutrition, and Disaster Risk Reduction/ Climate Change Adaptation (DRR/CCA)set of interventions (goods or services) provided by the project. Individuals who receive training or benefits from Sabal project-supported technical assistance or service provision are considered direct project participants, as are those who receive a ration or another type of good. The intervention in which the individual participates needs to be significant. If the individual is only contacted or touched by a project through brief attendance at a meeting or gathering, in which the intervention is not significant then s/he will not be counted as a direct project participant. For DRR/CCA, direct beneficiaries will be counted from the vulnerable communities HHs identified by vulnerability risk assessment. An indirect participant who does not have direct contact with the project and does not directly receive goods or services from the project will not be counted even if s/he still benefits. This includes a neighbor who sees the results of an improved technology applied by a direct participant and decides to apply it himself/herself or an individual who hears a radio message but does not receive any other training or counseling from the activity.</t>
  </si>
  <si>
    <t>The Annual Monitoring Survey (AMS) is a beneficiary based sample survey, which captures data on nine outcome indicators in addition to data on beneficiary demographics, socio-economic status, and annual agricultural expenditure.  The Annual Monitoring Survey is implemented once a year by third party enumerators with technical and logistical assistance from program staff and M&amp;E technical partners.  Monitoring data from both Routine Monitoring and AMS generates data for USAID/FFPs annual reporting requirements (via the IPTT, SAPQ and FFP-MIS) and also provides timely information to the sector managers. This protocol focuses on the AMS for 9 key annual monitoring indicators.</t>
  </si>
  <si>
    <t>Suaaahara II</t>
  </si>
  <si>
    <t>HEKINP0001</t>
  </si>
  <si>
    <t>SRMH and GBV Coordinator</t>
  </si>
  <si>
    <t>Min Raj Gyawali</t>
  </si>
  <si>
    <t>Sr. Manager-Health Services</t>
  </si>
  <si>
    <t>min.gyawali@care.org</t>
  </si>
  <si>
    <t>To improve the nutritional status of the women and children in 40 districts of Nepal</t>
  </si>
  <si>
    <t>40 districts of Nepal (covering 389 Rural and Urban Municipalities as per new structure)</t>
  </si>
  <si>
    <t>The impact group of the project are pregnant women, newborns and women of reproductive age and under 5 years children</t>
  </si>
  <si>
    <t>The direct participants are the pregnant and lactating women and adolescent girls. And the indirect participants are mother-in-laws and male members of the families.</t>
  </si>
  <si>
    <t>Tested time diary tools with an aim to visualize and value unpaid works of women in communities</t>
  </si>
  <si>
    <t>Self-applied techinque for health, adopted by local governing bodies on their on fund in Suaahara II district</t>
  </si>
  <si>
    <t>Resource pooling within different CARE run project such as SAMMAN, Hariyoban whereby mobilization as resource persons as well as mentor in various community based activities and national level trainings.</t>
  </si>
  <si>
    <t>Support in the scaling up of government innitiatives; basically CB-IMNCI</t>
  </si>
  <si>
    <t>Enhancing capacity of the healthcare providers and FCHVs by post-training follow-up, coaching, and mentoring is the key for delivering quality services.</t>
  </si>
  <si>
    <t>ICDF</t>
  </si>
  <si>
    <t>ICDFNP003</t>
  </si>
  <si>
    <t>Taiwan International cooperation and development fund</t>
  </si>
  <si>
    <t>To Enhance Food security and Livelihoods of the earthquake affected people particularly women, poor, marginalized and socially excluded.</t>
  </si>
  <si>
    <t>6 VDCs of Gorkha district</t>
  </si>
  <si>
    <t>Earthquake affected landless and  small holder farmers  ( women in particular)</t>
  </si>
  <si>
    <t>Collection center constructed and use for agricultural marketing, cooperative initiation  for input supply and output marketing</t>
  </si>
  <si>
    <t>Partner scale out good practices in their other project, Cooperative and group become able to seek solution wihtin systm,  Cooperative provides service even outside the targeted household</t>
  </si>
  <si>
    <t>Business plan preparation for off farm enterprise and Livelihood improvement plan preparation for on farm base livelihood development  proved effective tool for identifying context base substantive livelihood option</t>
  </si>
  <si>
    <t>Cooperative mobilization in market linkage and other input supply related service delivery proved effective in rural area</t>
  </si>
  <si>
    <t>Logframe, quaterly report, M&amp;E system</t>
  </si>
  <si>
    <t>Netherlands</t>
  </si>
  <si>
    <t>Strategic Partnership: Partners for Resilience II (PfR II)</t>
  </si>
  <si>
    <t>MUL033N</t>
  </si>
  <si>
    <t>Bart Weijs</t>
  </si>
  <si>
    <t>Programme Coordinator Partners for Resilience</t>
  </si>
  <si>
    <t>weijs@carenederland.org</t>
  </si>
  <si>
    <t>PfR II strengthens community resilience by reducing risks and strengthening livelihoods of vulnerable communities, with specific attention for marginalized groups and women, by involving the wider civil society in addressing risks faced by all groups in society, in particular women, and by working on a conducive legal and financial environment.</t>
  </si>
  <si>
    <t>PfR II advocacy focus on various levels: Global, regional (4 trajectories: The Coastal Zones and river basins in Asia; Central America region; The Upper Niger River Basin and The Semi-Arid Zone in the Horn of Africa.</t>
  </si>
  <si>
    <t>Global level The PfR alliance participated in the Global Platform for Disaster Risk Reduction. The Side Event organized by the alliance was a success: The event was well-received as well as visited (including a vast amount donors). Next to that, the alliance was able to contribute and influence the Platform's outcome document. Regional level - Actions to influence outcome documents of two regional conferences - Invitating to provide input/contribute to drafting the Asia Regional Plan for the Implementation of the Sendai Framework Only late 2016 (and early 2017) these regional plans have been developed, being able also to build on country-level experiences. During the The Asian Ministerial Conference for DRR, at the end of the Multi-hazard early warning systems Thematic Session, the chairman asked the team engaged in this pilot on Early Warning, to contribute to the drafting of the Asia Regional Plan for Implementation of the Sendai Framework for Disaster Risk Reduction 2015-2030 with a paragraph on the last mile. * During the Africa Union EU Ministerial Conference, PfR provided input to the Ministerial outcome document on investing in a more food secure Africa. As a follow up of this meeting, PfR was invited by the Africa Union to participate in the Drought Conference in Namibia. * During the Drought conference Namibia, PfR organised a side event titled: Partnering to end drought emergencies, which zoomed in on Integrated Risk Management. PfR could substantially contribute to the final outcome document of this Ministerial Conference.</t>
  </si>
  <si>
    <t>The consortium, consisting of 5 members (The Netherlands Red Cross, Cordaid, Wetlands International and the Red Cross Red Crescent Climate Centre) promotes the application of Integrated Risk Management (IRM) to strengthen and protectlivelihoods of vulnerable communities. This approach has been used during the implementation of PfR I, providing evidence to promote the approach and scale up the use of the approach in different countries and regions.</t>
  </si>
  <si>
    <t>Strenghtening Women: A Catalyst for Positive Change</t>
  </si>
  <si>
    <t>MUL029N</t>
  </si>
  <si>
    <t>Reintje van Haeringen</t>
  </si>
  <si>
    <t>vanhaeringen@carebederland.org</t>
  </si>
  <si>
    <t>vanhaeringen@carenederland.org</t>
  </si>
  <si>
    <t>The project aims to strengthen and empower women entrepreneurs from low-income communities through the following: - 100,000 women in developing countries get access to tools, knowledge, skills and/or seed capital to start up or to expand their business in order to empower them economically. - 5 regional campaigns with powerful and positive rolemodels will raise awareness regarding the barriers for women to fully participate in society and showcase positive stories of how to overcome them. - 1 global report will be developed advocating for policy changes needed to allow more women to reach their full potential and exercise their rights</t>
  </si>
  <si>
    <t>women from low-income communities</t>
  </si>
  <si>
    <t>Emphasizing the importance of stakeholder engagement in enabling the conditions for women entrepreneurs in the global south. Activities that took place: Presentation of the Global Report on the Commission on the Status of Women, Presentation on the European Development days. Another important activity is the social media campaigning on Skillpower facebook page with a reach of 2mln facebook users, which was based on storytelling.</t>
  </si>
  <si>
    <t>Humanitarian Advocacy FY17</t>
  </si>
  <si>
    <t>Okke Bouwman</t>
  </si>
  <si>
    <t>bouwman@carenederland.org</t>
  </si>
  <si>
    <t>During FY17, an intensive joint lobby trajectory of the partners of the Dutch Relief Alliance, in which CARE NL has played a leading role, has led to an increase of 60 million of the budget available for humanitarian aid by the Dutch Ministry of Foreign Affairs to be channelled through this humanitarian funding mechanism for NGOs. [Budget allocation: YES] Various lobby and advocacy activities and actions have led to increased political attention for the humanitarian crisis in Yemen, at both the Netherlands and European levels (including a visit of European donor country representatives to Yemen, and a public awareness raising event in The Hague), which has contributed to a decision by the European Union to maintain current levels of development funding for Yemen) [Influencing national or international programs: YES]</t>
  </si>
  <si>
    <t>Nicaragua</t>
  </si>
  <si>
    <t>Niger</t>
  </si>
  <si>
    <t>une forte implication des autorites communales et des services techniques dans l'accompagnement et l'encadrement des acteurs dans la gestions et la resoltuions des conflits dans la zone d'intervention,</t>
  </si>
  <si>
    <t>Projet d'Atténuation Des Effets de la Crise du Nord Nigeria (PADEC-Rayuwa)</t>
  </si>
  <si>
    <t>CCANNE0008</t>
  </si>
  <si>
    <t>Laouali Yahaya</t>
  </si>
  <si>
    <t>Yahaya.Laouli@care.org</t>
  </si>
  <si>
    <t>Sani Mamane Laminou</t>
  </si>
  <si>
    <t>Coordinateur Humanitaire</t>
  </si>
  <si>
    <t>MamaneLaminou.Sani@care.org</t>
  </si>
  <si>
    <t>l'objectif principal du projet est de reduire la ulnérabilité des personnes touchées par la crise du Nord Nigéria, particulièrement les femmes et les enfants des ménages de réfugiés et retournés ainsi que des ménages hôtes dans la région de Diffa.</t>
  </si>
  <si>
    <t>Région de Diffa ( Communes de Mainé Soroa, Chétimari, Diffa, Gueskérou, Kabléwa et N'guigmi)</t>
  </si>
  <si>
    <t>Les femmes, filles, garçons des ménages réfugiés, les déplacés internes, les retournés et les populations hôtes</t>
  </si>
  <si>
    <t>les participants directs sont les bénéficiaires directs (Chefs de ménages) des activités du projet et les participants indirects sont les personnes qui partagent les mêmes ménages avec ces bénéficiaires donc profitent des interventions du projet. Les participants indirects sont généralement calculés par la multiplication du nombre de participants directs par la taille du ménage. le standard retenu lors de l'élaboration de ce projet est de 7.</t>
  </si>
  <si>
    <t>L'implication des communautaires a facilité la mise en uvre des activités du projet</t>
  </si>
  <si>
    <t>l'opération voucher-eau de consommation a été une des pratiques les plus prometteuses du projet</t>
  </si>
  <si>
    <t>Renforcement de laccès aux services de base et aux moyens dexistence pour les personnes affectées par la crise à Diffa, 2017-2019</t>
  </si>
  <si>
    <t>CCANNE0009</t>
  </si>
  <si>
    <t>l'objectif principal du projet est de reduire la vulnérabilité des personnes touchées par la crise du Nord Nigéria, particulièrement les femmes et les enfants des ménages de réfugiés et retournés ainsi que des ménages hôtes dans la région de Diffa.</t>
  </si>
  <si>
    <t>Région de Diffa ( Communes de Mainé Soroa, Chétimari, Diffa, Gueskérou et Toumour)</t>
  </si>
  <si>
    <t>Etude de base pour établir le niveu de référence pour les indicateurs du projet</t>
  </si>
  <si>
    <t>Education Civique et appui aux initiative de Paix - Niger Espoir</t>
  </si>
  <si>
    <t>DK257</t>
  </si>
  <si>
    <t>Ibrahim NIANDOU</t>
  </si>
  <si>
    <t>Ibrahim.Niandou@care.org</t>
  </si>
  <si>
    <t>contribuer à la consolidation de la paix et à lamélioration de la stabilité sociale et politique au Niger.</t>
  </si>
  <si>
    <t>Niger, régions de Diffa, Zinder, Maradi et Niamey</t>
  </si>
  <si>
    <t>Jeunes et religieux de 119 communes de 4 régions du Niger</t>
  </si>
  <si>
    <t>les participants directs sont les membres des comités de dialogues religieux communuax (16 membres x 119 comités communaux)+ 4 comités régionaux x 16 membres +20 membres 9 plate formes + 20 membres x 6 associations de jeunes</t>
  </si>
  <si>
    <t>Dialogue et éducation  pour la paix</t>
  </si>
  <si>
    <t>l'évaluation finale du projet Niger Espoir est attendu en septembre 2017. Elle necessite un budget de 20 000 000 cfa et la mobilisation de ressources humaines internes et externes (équipe pluridisciplinaires de consultants).</t>
  </si>
  <si>
    <t>La création d'une direction générale des affaires religieuses au Ministére de l'intérieur ainsi que la création du conseil national de dialogue religieux</t>
  </si>
  <si>
    <t>La valorisation des plate forme genre dans la communication communautaire  pour la paix</t>
  </si>
  <si>
    <t>Soutenir le Ministére de l'intérieur (chargé des affaires religieuses) à repliquer ailleurs ce qui réussi dans nos zones de travail</t>
  </si>
  <si>
    <t>CARE a pemit contractuellement que 50% du budget du projet soit géré par une ONG nationale qui collabore avec d'autres structures</t>
  </si>
  <si>
    <t>No cost extension demandé afin d'adapter la mise en uvre à la vitesse de l'ONG nationale partenaire (rythme de consomation/liquidation)</t>
  </si>
  <si>
    <t>Financer les projets des associations de jeunes pour l'éducation à la paix des jeunes</t>
  </si>
  <si>
    <t>S'appuyer sur les réseaux des plate forme Genre (lutte contre VBG existant) pour continuer la communication sur la paix dans les villages</t>
  </si>
  <si>
    <t>Financer les plans d'action pour l'éducation à la paix des réseaux d'organisations inter religieux (chrétiens+musulmans) dans les régions</t>
  </si>
  <si>
    <t>Les stratégie d'éducation entre paires (religieux pour religieux, jeunes pour jeunes, femmes pour femmes etc) facilite la mise en uvre et présente moins de stress</t>
  </si>
  <si>
    <t>Etude sur les vecteurs de conflits à Diffa; capitalisation du travail des plate forme genre sur l'éducation à la paix avec Niger Espoir</t>
  </si>
  <si>
    <t>L'insécurité foncière</t>
  </si>
  <si>
    <t>CDNKNE0112</t>
  </si>
  <si>
    <t>« Les terres pastorales sont protégées contre loccupation illégale et laccaparement des terres ».</t>
  </si>
  <si>
    <t>Les leaders informels des éleveurs, les représentants des éleveurs au sein du Code Rural, les membres des groupements de base déleveurs en particulier et tous les éleveurs du Niger en général.</t>
  </si>
  <si>
    <t>Insecure lands est une initiative de plaidoyer,  sur le phenomène nouveau d'accaparement illégal des terres pastorales par les lotisseurs privés,spéculateurs, les industries extractives et agro-alimentaires. L'initiative qui a une durée de vie de trois ans a pris fin le 30 juin 2017.</t>
  </si>
  <si>
    <t>Utilisant de lExamen Périodique Universel (EPU) du Conseil des Droits de l'Homme des Nations Unies; Mise en relation par CARE des ONG partenaires avec les ambassades notamment celles de la France et Danemark pour appuyer le processus EPU. Partenariat stratégique basé sur la mise en uvre de plan stratégique des partenaires, sur la stratégie de CARE Niger, CARE Sahel et la vision 2020 de CARE plus globalement; les rôles joués par CARE;</t>
  </si>
  <si>
    <t>Les alliances stratégiques pour la conduite des actions de plaidoyer: campagne "Sauvons les terres pastorales"; la collecte des évidences; Attaque par l'avocat d'AREN de mécanisme d'acquisition frauduleuse du titre foncier des terres accaparées plutôt que le titre foncier lui même (changement de stratégie).</t>
  </si>
  <si>
    <t>L'élaboration d'un plan d'action du BOARD a permis d'amener à bout les actions du plaidoyer.                                                                                                                              L'engagement de CARE et ses partenaires dans le cadre de PROGRES;</t>
  </si>
  <si>
    <t>Recommandations EPU: deux nouvelles recommandations sur le pastoralisme et le nomadisme ont été finalement adoptées en juin 2016 (en plus des deux sur les industries extractives adoptées dès janvier 2016). Il s'agit de la recommandation n° 121.2 relative à ladoption des décrets de mise en uvre de lordonnance sur le pastoralisme et celle n° 121.3 relative à la prise des mesures concrètes pour augmenter de manière effective la protection des droits des nomades du Danemark.                                                                  .</t>
  </si>
  <si>
    <t>Decrets d'application:  lordonnance 2010-029 du 20 mai 2010 relative au pastoralisme a prévu ladoption de 14  décrets dapplications. Parmi les 14 décrets, 4 ont  été adoptés : Il sagit du décret sur (i) les commissions paritaires de réconciliation, sur (ii) linventaire national des espaces pastoraux et ressources pastorales, sur (iii) les normes applicables au couloir de passage et piste de transhumance et sur (iv) le ramassage, le stockage et la commercialisation de la paille.</t>
  </si>
  <si>
    <t>Audit des ranchs installés en zone pastorale a été demandé par la primature. Un financement des activités terrains a été trouvé</t>
  </si>
  <si>
    <t>MilkyWay</t>
  </si>
  <si>
    <t>CNDKNE0105/106/109/110</t>
  </si>
  <si>
    <t>Renforcer la position des producteurs de lait ouest africain face à l'évolution de la politique laitière européenne à travers la construction à l'horizon 2016 d'un plaidoyer crédible et informé en faveur de la collecte laitière locale en Afrique de l'Ouest dans la perspective de la levée des quotas laitiers européens et préparer les producteurs et les transformateurs à des modèles socialement responsables de collecte du lait local</t>
  </si>
  <si>
    <t>le projet concerne 3 pays de l'Afrique de l'ouest que sont le Niger, le Mali et le Sénégal.</t>
  </si>
  <si>
    <t>Ménages déleveurs commercialisant leur production laitière dans le circuit formel au Sénégal, au Mali et au Niger.</t>
  </si>
  <si>
    <t>3500 ménages déleveurs commercialisant leur production laitière dans le circuit formel au Sénégal, au Mali et au Niger. Ce groupe est composé pour 20% de femmes et pour une grande majorité de communautés déleveurs ayant adhéré à la convention des peuples autochtones des Nations Unies. Groupe cible indirect : les organisations de producteurs de lait et les interprofessions du Niger, du Mali et du Sénégal, les laiteries industrielles ouest africaines et européennes, et les instances politiques concernées en Europe et en Afrique de lOuest</t>
  </si>
  <si>
    <t>La RSE (Responsabilité Sociétale d'Entreprise) est la contribution des entreprises aux principes du Développement Durable.                                                     </t>
  </si>
  <si>
    <t>L'organisation de la table ronde a Abuja au Nigeria en Novembre 2016 a susciter les intérêts des industriels du Nord (Européens) et du Sud (Afrique de l'Ouest)</t>
  </si>
  <si>
    <t>Appui technique (relation avec les industriels du Nord, organisation de la table ronde); Appui Financier (Subvention)                                                                             </t>
  </si>
  <si>
    <t>Le projet n'a pa connu de changelents ou ajustement</t>
  </si>
  <si>
    <t>La création dun espace régional de dialogue multi acteur pour lémergence dune filière lait locale compétitive et durable en Afrique de lOuest élargi à la Mauritanie qui a la particularité de regrouper les producteurs ; les  mini laiteries, les industriels du Nord et du Sud et la CEDEAO ; cet espace constitue aussi la  base du dispositif de construction et de pilotage dune task force pour la définition du contenu et des modalités de lélaboration de lOffensive lait,</t>
  </si>
  <si>
    <t>La production et la diffusion de deux déclarations des acteurs sur les contraintes,  les opportunités et les perspectives de la filière lait au Mali et au Niger</t>
  </si>
  <si>
    <t>La création voir consolidation de plateformes de dialogue entre acteurs de la filière lait au Sénégal, au Mali et au Niger ;</t>
  </si>
  <si>
    <t>Sur les politiques : labsence de politiques favorables au développement de filières lait local fondées sur les systèmes pastoraux et agro pastoraux est notée dans presque tous les pays dans lespace CEDAO/UEMOA. Les Etats semblent plus orientés vers lamélioration génétique par linsémination artificielle et la promotion de grandes fermes laitières autour des capitales et grandes villes (ceintures laitières) au détriment des systèmes pastoraux et agro pastoraux qui , pourtant assure plus de 90% de la production laitière locale.</t>
  </si>
  <si>
    <t>Les entreprises européennes comme ARLA et Danone, cherchent en accord avec leur politique de responsabilité sociale, à développer des partenariat avec lEtat ou les industriels locaux en vue de contribuer au développement de lélevage local et de minimiser les impacts de leur stratégie sur lemploi, la nutrition et la sécurité alimentaire des populations rurales. Malgré ces opportunités en termes de marché , la pauvreté, la saisonnalité de la production, lenclavement des bassins de production freinent le développement dune filière lait local en Afrique de lOuest.</t>
  </si>
  <si>
    <t>Les centres de collecte multiservices constituent un modèle intéressant aussi bien pour les producteurs, les collecteurs et les industriels. Ils permettent aux producteurs daccéder à un marché qui leur offre un revenu régulier tout en leur permettant daccéder à laliment bétail, au conseil et la formation. Ces services permettent aux producteurs dentretenir un noyau productif qui peut être un  levier important pour la résilience de leurs exploitations.</t>
  </si>
  <si>
    <t>Ne touchez pas à nos terres</t>
  </si>
  <si>
    <t>CDNKNE0128</t>
  </si>
  <si>
    <t>lEtat et le secteur privé respectent davantage les droits des populations pastorales à la terre et aux ressources naturelles au Niger et dans toute la région.</t>
  </si>
  <si>
    <t>Le Niger et lespace CEDEAO. Au Niger, lintervention se concentrera principalement sur : - Les zones rurales qui sont susceptibles daccaparement par les promoteurs?; - Les pâturages visés par les investissements des industries extractives ou des producteurs deau minérale et la création de fermes délevage?;  - Les hauts-fonds pastoraux de la saison sèche?; - et les cures salées.</t>
  </si>
  <si>
    <t>les populations pastorales vulnérables aux changements climatiques</t>
  </si>
  <si>
    <t>Les participants directes aux activités du projet sont les ménages pastorauxs vulnérables au changement climatiques</t>
  </si>
  <si>
    <t>L'évaluation future de hand off our Lands qui est l'évaluation finale intégrera les indicateurs de CARE 2020 notamment les N°2;  19 et 20 relatifs aux domaines d'impact, approche et rôle de CARE. Sa particularité se caractérise par la mesure des indicateurs clés de CARE DANMARK.</t>
  </si>
  <si>
    <t>Etude de l'impact des industries extractives sur les puits pastoraux, Collaboration avec les députés nationaux pour conduire des activités de plaidoyer;</t>
  </si>
  <si>
    <t>le projet n'a pas connu des changements/ajustement dans sa strategie de mise en oeuvre ou au niveau de son document.</t>
  </si>
  <si>
    <t>Le projet est a son demarrage et entend crée une collaboration avec le groupe des députés qui dans le commission foncière pour des actions de paidoyer.</t>
  </si>
  <si>
    <t>La capacité du gouvernement à protéger les droits fondamentaux est limitée et est à la source de crises récurrentes. Le Niger est un état fragile avec un gouvernement et des institutions judiciaires faibles.</t>
  </si>
  <si>
    <t>Le projet a mis une nouvelle fois à lessai le mode de collaboration dirigé par les partenaires retenu par le projet Terres précaires, dans lequel les rôles sont redéfinis et pour lequel CARE Danemark séloigne de la prise de décision au niveau local pour favoriser le rôle des partenaires du Sud et la création de valeur.</t>
  </si>
  <si>
    <t>La détérioration de la sécurité dans la région pose un risque pour la mise en uvre du projet dans certaines zones du Niger, et est également une menace pour les populations pastorales.</t>
  </si>
  <si>
    <t>Humanitarian assistance to refugees, IDPs and host communities to improve access to WASH and Protection for children in Diffa, Niger                            </t>
  </si>
  <si>
    <t>CDEUNE0010</t>
  </si>
  <si>
    <t>Ely Keita</t>
  </si>
  <si>
    <t>CD CARE</t>
  </si>
  <si>
    <t>Ely.Keita@care.org</t>
  </si>
  <si>
    <t>Djimraou Aboubacar</t>
  </si>
  <si>
    <t>ACD CARE Niger</t>
  </si>
  <si>
    <t>Aboubacar.Djimraou@co.care.org</t>
  </si>
  <si>
    <t>The project aims at improving the living conditions in the refugee sites through the provision of better access to safe drinking water, the distribution of hygiene kits, and the delivery of psychosocial services for children in CFS.</t>
  </si>
  <si>
    <t>Région de Diffa; Départements de Mainé Soroa, Diffa et N'guigmi; Communes de Mainé Soroa, Chétimari, Diffa, Gueskerou, Kablewa, Kablewa et N'guigmi.</t>
  </si>
  <si>
    <t>Les enfants, les femmes et les hommes parmi les personnes déplacées et les communautés hôtes affectées par la crise du Bassin du Lac Tchad dans la région de Diffa</t>
  </si>
  <si>
    <t>Les bénéficiaires directs sont les participants aux activités de distribution des kits d'hyiène (pour les femmes en âge de procréer),  les enfants admis dans les espaces Amis des Enfants (EAE), les bénéficiaires des points d'eau. Les participants indirects sont les parents des enfants admis dans les Espaces Amis des Enfants</t>
  </si>
  <si>
    <t>La prévention des cas de protection de l'enfant et des violences basées sur le genre est bien possible au niveau communautaire par la mise en place, le renforcement de capacité, le suivi et l'encadrement des mécanismes communautaires de protection.</t>
  </si>
  <si>
    <t>La pérénisation des infrastructures hydrauliques, sanitaires et de protection (EAE) passe nécéssairement par leur appropriation par la communauté et les autorités municipales. Cela aussi se passe par leur implication tout au long du processus (de l'implatation à la réception en passant par le suivi des travaux).</t>
  </si>
  <si>
    <t>Les projets intégrateurs (touchant plus d'un secteur: Protection-WASH-Sécurité Alimentaire-Education) répondent mieux aux besoins spécifiques des couches les plus vulnérables (les enfants, les personnes handicapées, les PBS et les femmes)</t>
  </si>
  <si>
    <t>Les 1000 premiers jours donner à un enfant le meilleur départ dans la vie en améliorant la santé maternelle et infantile et la sécurité alimentaire des ménages vulnérables dans les régions éloignées au Niger.</t>
  </si>
  <si>
    <t>CDEUNE0011</t>
  </si>
  <si>
    <t>BEN MOBROUK Abdellah</t>
  </si>
  <si>
    <t>Coordinateur Sécurité Alimentaire et Nutritionnelle</t>
  </si>
  <si>
    <t>Abdellah.Mobrouk@care.org</t>
  </si>
  <si>
    <t>DAN-KOURE Amadou</t>
  </si>
  <si>
    <t>Chef d'initiative Maman Lumière II</t>
  </si>
  <si>
    <t>Amadou.DanKoure@care.org</t>
  </si>
  <si>
    <t>Améliorer létat sanitaire et nutritionnel des enfants pendant leurs 1000 premiers jours , donc de leur conception jusquà lâge de 24 mois.</t>
  </si>
  <si>
    <t>79 communautés de 4 communes de Droum, Dogo, Gabi et Safo des départements de Mirriah et Madarounfa en régions de Zinder et Maradi</t>
  </si>
  <si>
    <t>Les principaux bénéficiaires sont les enfants âgés de 0-5 ans, qui sont physiquement et psychologiquement le plus touchés par  la vulnérabilité en termes d'insécurité alimentaire ; et les femmes âgées de 15-35 dans les ménages qui vivent en dessous du seuil de pauvreté et sont particulièrement vulnérables aux crises socio-économiques, politiques et de changement climatique.</t>
  </si>
  <si>
    <t>Les participants directs et indirects du projet sont les franges de la population les plus fragiles, notamment les femmes en âge de procréer, les enfants âgés de 0 à 5 ans, les agents de santé, les élus, les élèves et enseignants, les leaders communautaires.</t>
  </si>
  <si>
    <t>Mesurer les progrès et les résultats du projet, apprécier la pertinence de lapproche utilisée qui se nomme « PANAS » : Planification des Actions pour la Nutrition par Aire de Santé. Cette approche dimplantation de la nutrition intégrée sera faite à travers la Gestion Axée sur les Résultats. identifier les principaux enseignements, les pratiques promoteuses et les défis majeurs</t>
  </si>
  <si>
    <t>Responsabilisation communautaire dans la gestion et la prévention de la malnutrition à base des produits locaux.</t>
  </si>
  <si>
    <t>Foyer d'Apprentissage et de Réhabilitation Nutritionnel (FARN)</t>
  </si>
  <si>
    <t>Renforcer des capacités de gestion programmatique, financière et institutionnel</t>
  </si>
  <si>
    <t>Le projet n'a pas apporté des ajustements à ses buts ou activités de façon à devenir plus transformateurs de genre, puisqu'il est déjà genre transformatif de part la thématique portée et la démarche adoptée.</t>
  </si>
  <si>
    <t>Foras en application de la planification des actions en faveur de la nutrition par Aire de santé "PANAS" stimule la performance des communautés</t>
  </si>
  <si>
    <t>Les Comités de santé élargi aux structures communautaires permettent une complémentarité entre les membres en cas d'absence</t>
  </si>
  <si>
    <t>Les Equipes DBC favorisent une prise de conscience collective sur l'impérieuse nécessité d'adopter la planification familiale</t>
  </si>
  <si>
    <t>Principaux enseignements: Bonne collaboration, partage d'information et implication active des partenaires communautaires, les autorités administratives et coutumières, les districts sanitaires de Mirriah et Madarounfa</t>
  </si>
  <si>
    <t>Pratiques prometteuses: Prévention et Gestion communautaire de la malnutrition modérée</t>
  </si>
  <si>
    <t>Défis: maintenir et renforcer les équipes de distribution à base communautaire des contraceptifs pour la planification</t>
  </si>
  <si>
    <t>REDUCTION DE LA VULNERABILITE DES REFUGIES ET DE LA POPULATION HÔTE DE LA REGION DE DIFFA, NIGER</t>
  </si>
  <si>
    <t>CDEUNE0009</t>
  </si>
  <si>
    <t>Améliorer l'accès à l'eau de consommation et à des installations sanitaires conformes aux normes SPHERES, Renforcer la protection et le bien être des enfants victimes de stress psychologique et des femmes survivantes de VBG parmi les populations hôtes et les IDPs de la région de Diffa</t>
  </si>
  <si>
    <t>Région de Diffa; Départements de Mainé Soroa, Diffa et N'guigmi; Communes de Mainé Soroa, Chétimari, Diffa, Gueskerou, Kablewa et N'guigmi.</t>
  </si>
  <si>
    <t>Les enfants, les femmes et les hommes parmi les populations hôtes et mles déplacés internes dans la région de Diffa</t>
  </si>
  <si>
    <t>Les participants directs sont les membres (hommes, femmes et enfants) des ménages pauvres et vulnérables parmi les populations hôtes, les déplacés internes, les rétournés et les réfugiés dans les 6 communes cibles de la région de Diffa. Et les participants indirects sont les conseillers municipaux, les leaders coutumiers et réligieux, les membres des mécanismes communautaires de protection (volontaires communautaires, comités de gestion, groupes de soutien aux survivants de VBG).  Les participants directs sont prévus dans l'IPIA partant du HRP 2016 et d'autres études/analyses faites et partagées par les humanitaires intervenant à Diffa au Niger. Quant aux participants indirects, ils sont calculés par site en raison d'une moyenne de 18 par site.</t>
  </si>
  <si>
    <t>La planification/l'organisation communautaire</t>
  </si>
  <si>
    <t>L'engagement des leaders communautaires</t>
  </si>
  <si>
    <t>La disponibilité et la motivation des femmes et des jeunes</t>
  </si>
  <si>
    <t>La mise en uvre du projet a été facilitée par l'appui constant de la coordination humanitaire nationale de CARE, la coordination à travers les groupes thématiques/clusters comme le Groupe de Travail Protection, le Sous Groupe de Travail Protection de l'Enfant, le Sous Groupe de Travail Violence Basée sur le Genre, le Groupe de Travail WASH...Les données sont collectés par les Supervisieurs Terrains et les Assistants Techniques, validées par l'équipe projet puis partagées avec la coordination humanitaire nationale de CARE et au besoin avec les groupes thématiques.</t>
  </si>
  <si>
    <t>GENRE,Agriculture et Gestion des RisquesClimatiques GARIC</t>
  </si>
  <si>
    <t>CFRANE0009</t>
  </si>
  <si>
    <t>Abdallah Mabrouk</t>
  </si>
  <si>
    <t>Coordonnateur SAN</t>
  </si>
  <si>
    <t>Abdallah.Mobrouk@care.org</t>
  </si>
  <si>
    <t>HAMDOU Mahamane lawali</t>
  </si>
  <si>
    <t>Chef de Projet GARIC</t>
  </si>
  <si>
    <t>Laouali.Hamidou@care.org</t>
  </si>
  <si>
    <t>Accroitre  la resilience des producteurs ruraux les plus vulnérables face aux risques climatiques dans laregion de Maradi</t>
  </si>
  <si>
    <t>Région de Maradi, 3 departements ( Aguié,Guidan Roumdji, Madarounfa) , 8 communes ( Aguié, Tibiri, Tchadoua,Guidan Roumdji, Safo, Danja, Madarounfa, Sarkin Yama)</t>
  </si>
  <si>
    <t>Réduire significativement et durablement la pauvreté de 2500 ménages ruraux extrêmement pauvres et vulnérables grâce au renforcement des connaissances et compétences des groupements de femmes (MMD) sur les systèmes et pratiques agro-sylvo-pastoraux et halieutiques adaptés aux effets du changement climatique et économiquement porteurs</t>
  </si>
  <si>
    <t>Les bénéficiaires directs sont 17 500 personnes issues de 2500 ménages et de 60 structures MMD  regroupant 4 000 femmes. Les participants indirects sont sont  520 000 personnes réparties dans 70 000 ménages</t>
  </si>
  <si>
    <t>adoption de la technique de repiquage du mil, developpement des prtatiques resileintes aux CC, Formation des communautés sur les Previsions saisonnieres de pluie afin d'en tenir compte daans laconduite des campagnes agricoles et pastorales</t>
  </si>
  <si>
    <t>collaborations les institutions universitaires ( Universite de Maradi) et les institutiond de recherche ( INRAN, ICRISAT,etc); services deconcentrés de l'Etat, conseils communaux ( prise en compte des CC dans les documents de planifications et strategies d'actions)</t>
  </si>
  <si>
    <t>Appuis aux OP ( groupements MMD, reseaux, COGES, conseils communaux)</t>
  </si>
  <si>
    <t>objectifs et resualts atteints du projet, planification et mise en uvre des actions du projet, suivi evaluation</t>
  </si>
  <si>
    <t>la planification communautaire à travers l'elaboration des PACA ( plans d'actiond communautaire d'adaptation)</t>
  </si>
  <si>
    <t>l'engagementdes groupements feminins VSLA dans toutes les actions du projet ( developpement d'initiatives comme empoissonnement des étangs, aviculture, champs collectifs, comptoirs des produits forestiers non ligneux, etc)</t>
  </si>
  <si>
    <t>l'effet tache d'huile de latechnique de repiquage de mil ( environ 120 personnes ont repique cette technique apres la phase des paysans pilotes de la 1ere année)</t>
  </si>
  <si>
    <t>la prise en compte des prevsions saisonnières gau niveau communautaire dans la gestion des  campagnes hivernales</t>
  </si>
  <si>
    <t>la planification communautaire sur la base de l'analyse des risues liées aux CC (PACA)</t>
  </si>
  <si>
    <t>le developpement de la recherche actions participative en mileu paysan avec lesinstituions universitaires et de recherche ( UDDM,INRAN, ICRISAT)</t>
  </si>
  <si>
    <t>Le document du projet GARIC, le rapport de l'étude de base referentielle, l'évaluation finale, les rapports interimaires semestriels, trimestriels,annuels et final, le rapport de capitalisation de l'initiative GARIC; laconduite des SSI,etc</t>
  </si>
  <si>
    <t>Intervention WASH d'urgence pour les déplacés dans la Région de Diffa</t>
  </si>
  <si>
    <t>Laminou Mamane Sani</t>
  </si>
  <si>
    <t>Coordonateur Humanitaire CARE Niger</t>
  </si>
  <si>
    <t>Nouroudine PEREIRA</t>
  </si>
  <si>
    <t>Pereira.Nouroudine@care.org</t>
  </si>
  <si>
    <t>Contribuer à l'amélioration des conditions de vie pour les populations déplacées dans la région de Diffa</t>
  </si>
  <si>
    <t>L'initiative ECHO WASH intervient dans la Région de Diffa; 2 départements : N'Guigmi et Guesekerou ; 2 communes: N'Guigmi et Guesekerou. 10 sites dont 9 dans la commune de N'gugmi et Kindjandi dans la commune de de Gueskerou</t>
  </si>
  <si>
    <t>Le groupe cible du projet est estimée à 13 000 personnes dont 12 000 pour l'amélioration en accès à l'eau potable (fourniture, transport, stockage) ; 2800 kits de dignités aux femmes en âge de procréer des 1857 ménages abritants les 13.000 personnes bénéficiares de l'intervention déplacés et les familles hôtes sur les sites ciblés</t>
  </si>
  <si>
    <t>Les participants directs sont les bénéficiaires des activtés ( femmes, hommes, chef de ménages, les comités de gestions, les chefs de villages qui vivent aux niveaux des sites en particulier les déplacés internes); les participants indirects sont les bénéficiaires des infrastructures construites ( puits pastoral, forage profond, latrines communautaires)</t>
  </si>
  <si>
    <t>Une étude CAP finale / évaluation interne est prévue en octobre 2017 qui sera vu comme l'évaluation finale du projet et sera conduite par le staff du projet appuyé par le Coordonnateur SEAMi de la coordination Humanitaire et du Coordonnateur National de SEAMI de CARE Niger pour apprécier le niveau d'atteinte des indicateurs referés à l'étude CAP initiale</t>
  </si>
  <si>
    <t>Actions pour rechercher des fonds complémentaires pour assurer la canalisation des conduites dans les 8 autres sites de la grappe de Rimi Grema</t>
  </si>
  <si>
    <t>La redevabilité communautaire par rapport aux infrastructures</t>
  </si>
  <si>
    <t>La responsabilisation des femmes dans la gestion des biens communautaires et dans les instances de prises de décisions</t>
  </si>
  <si>
    <t>La stratégie de prévoir un binôme constitué d'un homme et d'une femme  pour lencadrement  (contact direct et permanent avec les communautés) des sites a permis de mieux prendre en compte les besoins spécifiques des du Genre et facilité le dialogue communautaire</t>
  </si>
  <si>
    <t>Les questions des risques de protection (par exemple la sécurité dans laccès et lutilisation des latrines) nont pas été pris en compte lors du post distribution monitoring -PDM</t>
  </si>
  <si>
    <t>Le projet reste globalement sensible au genre- il est note "2a" par le marqueur Genre et Age de ECHO (section 5.1); Il adresse des besoins de plus vulnérables en général et cible particulière des femmes pour certaines activités comme la distribution des kits de dignités. Le regard genre est aussi décrit dans la constitution des hygiénistes membres de CGPE pour assurer une prise en compte équitable des besoins spécifiques pour les hommes, les femmes, les filles et les garçons. Cela ressort également dans la description du processus de choix de sites d'implantation des infrastructures sanitaires.</t>
  </si>
  <si>
    <t>Programme de Promotion de LEquite-Egalite Sociale et de la Societe Civile au Niger : PROMEESS II</t>
  </si>
  <si>
    <t>FC=NO161 &amp; PID= CNORNE0041</t>
  </si>
  <si>
    <t>NORAD</t>
  </si>
  <si>
    <t>Mme  TOUDJANI SARATOU MALLAM GONI</t>
  </si>
  <si>
    <t>COORDINATRICE DE PROGRAMME</t>
  </si>
  <si>
    <t>Saratou.MalamGoni@care.org</t>
  </si>
  <si>
    <t>DJIMRAOU ABOUBACAR</t>
  </si>
  <si>
    <t>DIRECTEUR DES PROGROMMES</t>
  </si>
  <si>
    <t>Aboubacar.Djimraou@care.org</t>
  </si>
  <si>
    <t>Au Niger, les femmes en âge de procréer,  les filles  et les garçons en âge de scolarisation des 25 communes cibles  des régions de Maradi, Niamey, Tahoua, Tillabéri et Zinder  réalisent pleinement leurs droits socio-économiques et politiques</t>
  </si>
  <si>
    <t>PROMEESS Couvre géographiquement 25  communes  réparties dans  régions du Niger :Maradi (Guidan.  Roumdji, Tibiri, Chadakori, Tchadaoua, Jirataw ), Tahoua (Tsernaoua, Bambèye, Tama, Tébaram,  Badaguichiri), Tillabéry (Namaro, Hamdallaye,Liboré,  Say, Tamou),  Zinder (Dogo, Oulléléwa, Yekoua, Gangara, Droum)et la communauté urbaine de Niamey (1er Arrondissement , 2e Arrondissement , 3e Arrondissement , 4e Arrondissement , 5e Arrondissement)</t>
  </si>
  <si>
    <t> Le groupe dimpact prioritaire  (GIP) de PROMESS II se constitue des Femmes de 15  à  49 ans dans les ménages pauvres chroniquement vulnérables et  les Filles de 6 à 16 ans issues de tous  les ménages de la zone dintervention.</t>
  </si>
  <si>
    <t>Les participants directs sont les bnénficiaires et personnes uniques touchées  directement les intervnetion du programme notamment les membres des structures MMD, les formations, comités, etc. et qui peuvent être tracés (enregistrements) individuellement ou par ménage. Les personnes qui participent activement à plus d'une activité, ou reçoivent plus d'un type d'assistance, ne sont comptées qu'une seule fois afin d'éviter le double comptage.  Les personnes touchées indirectement sont des membres du ménage des bénéficiaires directs. Le nombre de personnes touchées directement est  multiplié par la taille moyenne du ménage (7 au Niger et dans la zone du programme) tout en soustrayant le nombre de personnes touchées directement</t>
  </si>
  <si>
    <t>travail avec les OSC partenaires, mise en plae d'une plateforme des acteurs ulisant l'approche MMD et assimilés, présence dans les consortium</t>
  </si>
  <si>
    <t>élaboration et mise en uvre des plans de de développement organisationnel, soutien aux OSC pour le respect de la loi sur les quotas</t>
  </si>
  <si>
    <t>elaboration d'une stratégie de plaidoyer</t>
  </si>
  <si>
    <t>élabotation d'une note stratégique sur les clubas d'écoute collectif et de changement social</t>
  </si>
  <si>
    <t>l'apporche une village un AV( agent villageois)</t>
  </si>
  <si>
    <t>BRACED-PRESENCES</t>
  </si>
  <si>
    <t>CGBRNE0021</t>
  </si>
  <si>
    <t>DFID</t>
  </si>
  <si>
    <t>BOUBE CHAYAYA ABDOULKADRI</t>
  </si>
  <si>
    <t>BoubeChayaya.Abdoulkadri@care.org</t>
  </si>
  <si>
    <t>Les hommes et les femmes pauvres et vulnérables  des  communes cibles  sont capables de sadapter, anticiper, et absorber  les conséquences des extrêmes et désastres liés au climat</t>
  </si>
  <si>
    <t>le projet intervient dans la région de Tillabery, au sein de 7 departement, dans 12 communes et dans 103 communautés.</t>
  </si>
  <si>
    <t>le projet compte améliorer la résilience aux changement climatique de 447 873 personnes issues des ménages vulnérables et extrêment vulnérables au changement climatiques à traverts trois axes d'intervention que sont: 1. Amélioration  de la pertinence, de laccès et de lutilisation des services dinformation climatique, de la planification et de la gestion des risques pour l'adaptation au changement climatique et la réduction des risques de catastrophe, 2. Les femmes et les hommes pauvres et vulnérables bénéficient de moyens de subsistance durables et résilientes au climat, 3. . Les systèmes et structures de gouvernance aux niveaux local, national et régional soutiennent une gestion des ressources naturelles équitable, durable et résiliente au climat</t>
  </si>
  <si>
    <t>Les participants directes aux activités du projet sont les ménages et personnes vulnérables au changement climatiques des communautés ciblées dans les 12 communes d'intervention, Ce sont les groupes des moyens d'existence vulnérables aux risques majeurs de sécheresse, d'inondation et aux faibles accès aux opportunités économiques en raison de leur situation, Il se répartissent en catégorie de Personnes Ciblées directement en "haute intensité" qui participent directement aux activités du projet notemment les analyses de vulnérabilité et la conception des stratégies d'adaptation à travers les Plans d'Actions Communautaires fd'Adaptation au changement Climatique et dont ils participent à la mise en oeuvre. Dans cette catégorie figurent également les personnes qui bénéficient directement des ressoiurces de projet et des renforcements de capacités pour l'adaptation. La seconde catégorie comporte les personnes qui bénéficient indirectement des actions du projet à travers les premiers bénéficiaires "Intensité moyenne ciblée"; et le troisième niveau de bénéficiaire qui comporte les personnes qui bénéficient indirectement des actions du projet à travers des canaux lents "Intensité moyenne non ciblée";</t>
  </si>
  <si>
    <t>Une evaluation finale du projet sera conduite en Novembre et decembre 2017 afin de determiner les changements obtenus suite à la mise en oeuvr du projet. Une etude de reference a ete faite en octobre 2015 et une etude comparative sera faite afin de degager les ecarts entre le niveau des indicateurs au départ du projet et à la fin du projet. Il faut noter que pendant la mise en oeuvre du projet, nous procedons de manière regulière à la collecte de données à l'aide d'outils comme le KPI, les individuels, les communautaires et les institutions et sur les AVEC. Les resultats de ces enquêtes (Trimestrielle et mensuelle) seront utilisées pour appuyer les données qui seront recueillies de l'evaluation finale du projet. Les données trimestrielles et mensuelles sont analysées et interprétées par le bureau de UK et par un consultant. Mais au niveau du projet, le staff procedera à la conduite d'une étude sur les indicateurs de strategie d'adaptation aux fins de renseigner ladite évaluation.</t>
  </si>
  <si>
    <t>Renforcement de capacités, appui financier et materiel, plaidoyer</t>
  </si>
  <si>
    <t>le projet n'a pas connu de changements dans ses strategies ou dans ces documents; mais suite à des cas de fraudes constatés, le projet a mis fin à la collaboration avec le partenaire impliqué et a dû remboursé ou reallouer des fonds pour la mise en oeuvre des activités qui ont souffert de ce cas de fraude, notamment la reconstitution du cheptel dans certaines de nos communautés d'intervention.</t>
  </si>
  <si>
    <t>les enquêtes VSLA ont demontré un changement important dans les conditions de vie des beneficiaires. En effet, comme le disent certaines, grace aux activités des groupements VSLA elles arrivent à faire face aux besoins immediats de leurs ménages, à  avoir du crédit auprès des institutions et ont desomais une assise communautaire leur permettant de participer aux developpement de leurs communautés.</t>
  </si>
  <si>
    <t>Les Plan d'Action Communautaire et d'Adaptation ont aussi demontré leur efficacité. En effet, les communautés ont identifié d'elles-mêmes leurs besoins et en ont fait une priorité strategique à travers laquelle tout soutien doit passer, si tant est que c'est pour leur developpement. Les PACA sont l'exemple tangibles de l'appropriation du projet BRACED-PRESENCES par les communautés.</t>
  </si>
  <si>
    <t>Pour la reussite de tout projet, le suivi revet une importance capitale. En effet, il nous a permis, non seulement, de deceler des defaillances dans la mise en oeuvre de certaines activités; mais aussi d'elaborer des propositions de reponses afin que les resultats attendus puissent etre atteints. C'est l'exemple du petit elevage, dans des communautés comme Kollo Loga, Kollo Bosse....</t>
  </si>
  <si>
    <t>Programme dApprentissage à lAdaptation (ALP)</t>
  </si>
  <si>
    <t>CDNKNE0118</t>
  </si>
  <si>
    <t>CISU</t>
  </si>
  <si>
    <t>ADA</t>
  </si>
  <si>
    <t>Sanoussi Ababale</t>
  </si>
  <si>
    <t>Ababale.MahamaneSanoussi@care.org</t>
  </si>
  <si>
    <t>« Renforcer la capacité des ménages vulnérables dAfrique subsaharienne à sadapter à la variabilité et au changements climatiques »</t>
  </si>
  <si>
    <t>Le projet intervient dans la région de Maradi dans 4 commune du département de Dakoro</t>
  </si>
  <si>
    <t>Le projet compte touché 4 720 personnes  vulnérables ciblées (hommes et femmes) pour améliorer leurs conditions de vie résilientes/stratégies dadaptation informées par lABC.</t>
  </si>
  <si>
    <t>Les participants directs sont les ménages vulnérables et les personnes hommes femmes qui subissent les effets néfaste du changements climatique;                                                                                                                                        Les particiapants indirects ménages qui d'une manière ou d'une autre sont informés du processus ABC.</t>
  </si>
  <si>
    <t>Renforcement de capacité à travers les Sessions de formation, l'appui technique dans la gestion des fonds,les missions d'audites, la participation a tout le niveau dans le processus de mise en uvre des initiatives de la conception, a la mise en uvre et jusqu'à l'évaluation finale.</t>
  </si>
  <si>
    <t>le projet n'a pas connu de changements dans ses strategies de mise en uvre et même au niveau de cadre logique de son  document, seulement il a connu un diminution de son buget suite Brexit.</t>
  </si>
  <si>
    <t>Le processus délaboration du Plan d'Action Communautaire d'adaptation (PACA) à faciliter la prise de conscience des communautés, qui auparavant négligeaient les menaces des changements climatiques, mais aujourdhui ils se sont rendu compte il faut agir en identifiant des stratégies dadaptation idoines. Des stratégies dadaptation en fonction des différents risques et même voir au cours de la mise en uvre que les communautés demandent des ajustements au niveau de leur PACA, cette compréhension à faciliter la prise de décision sur lutilisation des informations climatiques où les communautés sengagent à ne pas semer si la pluie na pas atteint les 15-20 mm.</t>
  </si>
  <si>
    <t>Chez les femmes le VSLA et le Kit de recharge solaire ont  fortement contribuer au developpement des AGR des femmes comme lembouche des moutons, la vente des condiments et bien dautres produits à travers les crédits issus de leurs versements hebdommadaire, mais aussi  à lacquisition des biens productifs comme les champs à travers le système de la mise en gage.Le soutien dans la petite élevage a permis aux femmes bénéficiaires de détenir des actifs productifs et de générer des revenus grâce à leur vente. Au fur et à mesure que ces animaux se reproduisent dans les 6 à 8 mois, la rotation des animaux mères, la capacité à la bonne gestion des animaux et les ventes de jeunes répondent aux besoins primaires. L'approche collective de cette activité a permis aux femmes bénéficiaires de renforcer la solidarité et la cohésion existantes.</t>
  </si>
  <si>
    <t>La mise en place des comités SCAP/RU a permis au communauté d'avoir une bonne maitrise des indicateurs locaux,une mailleure utlisation des informations climatique, mais aussi a faciliter a  d'autres partenaires comme les Mairies et l'Etat de connaitre l'évolution des situations au niveau communautaire et de preparer la risposte à temps.</t>
  </si>
  <si>
    <t>Le processus d'analyse de la capacité et de la vulnérabilité climatique permet d'idetifier des stratégies avec les communautés et par les communautés; ces stratégies sont mises en uvre avec l'appui du projet et des autres acteurs. L'implémentation de ces stratégies facilite considérablement l'adaptation des populations vulnérables aux éffets néfastes des variabilités et des changements climatiques et améliore du coup leur résilience. Les secheresses repétitives et l'insuffisance de moyens peuvent nuire à cette adapative capacity des populations .</t>
  </si>
  <si>
    <t>Les plans de développement communaux intègre de plus en plus l'ABC avec les analyses des risques qui y sont faites au cours de l'intégration de la dimension changement climatiques et des PACA.</t>
  </si>
  <si>
    <t>De plus en plus, les organisations prennent en compte l'Adaptation dans leurs programmes et par conséquent concoivent des programmes qui adressent les changements climatiques et les préoccupations des communautés en lien avec l'ABC,</t>
  </si>
  <si>
    <t>Projet de recherche-développement pour la sécurité alimentaire et ladaptation au changement climatique des systèmes ruraux de production au Niger</t>
  </si>
  <si>
    <t>CNORNE0045</t>
  </si>
  <si>
    <t>Mobrouck Abdellah</t>
  </si>
  <si>
    <t>Chef de programme</t>
  </si>
  <si>
    <t>Adam Kiari Saidou</t>
  </si>
  <si>
    <t>Coordinateur du Projet RED SAACC</t>
  </si>
  <si>
    <t>Addam.KiariSaidou@care.org</t>
  </si>
  <si>
    <t>Accroitre de manière significative, en fin 2020, la sécurité alimentaire et nutritionnelle (ainsi que les revenus ) de 15.000 ménages fragiles à faible résilience dans 15 communes des régions de Maradi, Tahoua et Tillabéry</t>
  </si>
  <si>
    <t>Régions  de Tillabéry (Commune de Tagazar, Hamdallaye, Torodi, Dantchiandou, Gothèye) ; de Tahoua (Commune de Galma, Malbaza, Allakaye, Madaoua, Sabon Guida) et de Maradi (Commune de Guidan Roumdji, Sabon Machi, Azagor, Aguié, Jiratawa)</t>
  </si>
  <si>
    <t>Le groupe cible visé est constitué de ménages vulnérables (en particulier ceux dirigés par des femmes), les filles, les jeunes de 15 à 35 ans et les enfants de 0 à 5 ans vivant dans les exploitations agricoles familiales très vulnérables aux crises climatiques et socio-économiques. Au total, 15 000 exploitations agricoles familiales fragiles à faible résilience seront touchées.</t>
  </si>
  <si>
    <t>Le projet intervient dans 3 régions et 15 communes. Au niveau de chaque commune village sont choisis comme sites du projet. Un minimun de 4 groupements MMD de 25 membre par groupement seront mis en place dans chaque village soitun total de 100 femmes par village; pour 500 par commune et 7500 pour les 15 communes. le calcul des ménages agricoles de la zone d'intervention du projet dépasse les 45000. en fixant le tier (1/3) des 45000 comme cible directe, au moins 1000 petits producteurs par commune participeront au PCI. En raison 'un effet multiplicateur de 1.5, le projet toucherait en indirecte  11250 de femmes et 22500 d'hommes dans sa zone d'intervention.</t>
  </si>
  <si>
    <t>Le projet est entrain de tester l'utilisation des semoirs motorisés et à l'attraction animale. Le test est pour le moment fait en station. L'année suivante, il y aura le passage en milieu paysan.</t>
  </si>
  <si>
    <t>Dans le cadre de la promotion du modèle d'exploitation agricole familiale intégrée(EAFI), des alliances stratégiques ont été conclues avec l'INRAN, qui est en charge du transfert des technologies innovantes, et avec 3 ONG locales, qui sont en charge de la mobilisation communautaire et de la vulgarisation du modèle EAFI à travers les plateformes d'innovations communales.</t>
  </si>
  <si>
    <t>Formation du staff de INRAN sur les semoirs motorisés et à attraction animale; Formation des faciltateurs du projet sur le répérage des innovations; Conduite de l'enquete exploratoire.</t>
  </si>
  <si>
    <t>Sur la base du cadre de performance, le cadre logique du projet a été élaboré en un seul. Les échéances des DIP finalisé ont été revue au moins 2 fois. Les dates des activités reportées à des dates incertaines. La commune de Goroual a été changé par celle de Dantichiandou pour des considération de situations d'insécurité dans la zone La durée du projet prévue pour 5 ans est ramenée à trois ans</t>
  </si>
  <si>
    <t>Etude de caractérisation socioéconomique des villages préselections pour servir de base d'analyse au choix des villages d'intervention.</t>
  </si>
  <si>
    <t>L'installation des champs écoles paysans pour les formations des membres de communautés sur les thèmes issues des contraintes que l'étude exploratoire a fait ressortir.</t>
  </si>
  <si>
    <t>Placement des facilitateurs au niveau de chaque commune des 15 du projet pour le suivi de proximité et les collectes de données</t>
  </si>
  <si>
    <t>Le partenariat de mise en uvre de projet avec une strucutre étatique est moins efficace dans un pays où les agents de l'Etat ont plusieurs choix collaboration du fait de la multiplicité des ONG et organisme de developpement.</t>
  </si>
  <si>
    <t>Le retard de décaissement met facilement à risque un projet de résilience du simple fait de la saisonnalité des campagnes, qui n'attendent pas l'on soit prêt pour arriver.</t>
  </si>
  <si>
    <t>La mauvaise circulation des informations ne permet pas d'optimiser l'éfficacité d'un projet.</t>
  </si>
  <si>
    <t>Officiellement, le lancement du projet a eu lieu le 14 février 2017 sous le parrainage du ministre de l'agriculture et de l'élevage. Un arreté est pris par l'Etat au tritre de la création du projet RED SAACC au niveau du ministère de l'agriculture et de l'élevage.</t>
  </si>
  <si>
    <t>Projet Integré de planification familiale et soins après avortement</t>
  </si>
  <si>
    <t>ANO1NE0001</t>
  </si>
  <si>
    <t>PFIZNE0001</t>
  </si>
  <si>
    <t>PFIZER</t>
  </si>
  <si>
    <t>Coordinatrice Programme leadership des Femmes et Jeunes (LEFJ)</t>
  </si>
  <si>
    <t>Saratou.MalamGoni@care,org</t>
  </si>
  <si>
    <t>L'initiative SAFPAC apporte sa contribution pour réduire le taux de décès maternel du aux avortements et grosesses rapprochées en renforcant l'accès et la qualité des soins après avortement et prestations des services en planification familiale</t>
  </si>
  <si>
    <t>Au Niger, le Projet est situé dans les Districts Santaires de Gaya et Dioundou, Région de Dosso, Niger; il concerne 6 Communes Rurales qui sont Gaya, Tounouga, Tanda, Yelou, Zabori et Karakara.</t>
  </si>
  <si>
    <t>Ce sont les femmes en ages de procréer et les adolescentes  </t>
  </si>
  <si>
    <t>Ily a environ 190694 bénéficiaires indirects dans la zone d'intervention de l'initiative, confert données statistiques du District sanitaire. 3969 nouvelles femmes en age de procréere et adolescentes ont été notifiées dans les centres de santé de la zone d'intervention du Projet et collectées pendant le suivi à partir des registres des nouvelles clientes de PF. En outre, environ 16425 enfants de moins de 5 ans vaccinés en pentavalent et contre la rougeole.  </t>
  </si>
  <si>
    <t>Protection &amp; Assistance aux réfugiés Nigérians, populations hôtes/Logistique&amp;Distribution NFI- DIFFA</t>
  </si>
  <si>
    <t>UNHCNE0007/US1PT</t>
  </si>
  <si>
    <t>SANI MAMANE LAMINOU</t>
  </si>
  <si>
    <t>COORDONNATEUR HUMANITAIRE</t>
  </si>
  <si>
    <t>mamanelaminou.sani@care.org</t>
  </si>
  <si>
    <t>SALIFOU BILAN ABDOURAZACK</t>
  </si>
  <si>
    <t>SalifouBilan.Abdourazack@care.org</t>
  </si>
  <si>
    <t>L'objectif principale du projet est d'assister les réfugiés, retournés, déplacés et famille d'accueils et aussi le volet logistique</t>
  </si>
  <si>
    <t>Le projet intervient au niveau de toute la region de Diffa</t>
  </si>
  <si>
    <t>Le groupe principal d'impact de ce projet sont les membres des ménages des refugies, déplacés internes et populations hôtes dans la region de Diffa</t>
  </si>
  <si>
    <t>Les participants directs sont les 22500 menages des refugies, retournés, déplacés et familles d'accueils et les participants indirects sont les 137610 membres des menages</t>
  </si>
  <si>
    <t>Maitriser au préalable la zonne d'intervention</t>
  </si>
  <si>
    <t>Maitriser la cible</t>
  </si>
  <si>
    <t>Connaitre au préalable les grandes lignes des activités à programmer</t>
  </si>
  <si>
    <t>Solidarité avec les déplacés et les familles d`accueil vulnérable-Zoumounta</t>
  </si>
  <si>
    <t>OFDANE0001/US1IT     </t>
  </si>
  <si>
    <t>YACOUBA MAGORI</t>
  </si>
  <si>
    <t>Yacouba.Magori@care .org</t>
  </si>
  <si>
    <t>Mitigate the impact of the poor 2014 agro-pastoral season and of the Nigerian security crisis on Niger, and increase the resilience of agro-pastoral and pastoral displaced populations and host communities in Diffa region of Niger</t>
  </si>
  <si>
    <t>Le projet a intervenu dans cinq Communes de la Région de Diffa:  Nord Chétimari (Département de Diffa), Goudoumaria (Département de Goudoumaria), N'guel Belly (Département de Mainé Soroa), Foulatari (Département de Mainé Soroa) et Kablewa (Département de N'guigmi)</t>
  </si>
  <si>
    <t>Le groupe d'impact du projet est composé des déplacés internes et les familles d'accueil les plus vulnérables des 5 communes de la région de Diffa</t>
  </si>
  <si>
    <t>Les participants  directs sont les individus touchés directement par  les activités du projet/Initiative.Tandis que les participants indirects sont les membres des familles des individus bénéficaires.Ainsi sur la base de la taille moyenne national d'un ménage qui est de 7 personnes . Si 7000 personnes sont prévues d'être touchées les personnes indirectement bénéficiaires seront de 7000*6=42000</t>
  </si>
  <si>
    <t>Expérimentation des  VLSA en situation d'urgence pour permettre l'autonomisation des femmes à travers un partenaire.Renforcement de capacités des  agropasteurs et pasteurs sur les thèmes innovants comme Stockage,Restockage, Gestion du paturage et  Santé animale , les dernières techniques agroferestières  en lien avec les changements climatiques.</t>
  </si>
  <si>
    <t>L'adoption par les femmes des VLSA en situation d'urgence pour permettre l'autonomisation ds femmes àtravers l'ONG-AFV (Action en Faveurs des Vulnérables ).Les formations des agropasteurs sur les thèmes Stockage,Restockage, Gestion du paturage et  Santé animale à travers un partenariat stratégique avec l'ONG-AREN ( Association pour la Redynamisation de l'Elevage au Niger).</t>
  </si>
  <si>
    <t>La création des groupements/VSLA féminins ainsi que les renforcements des capacitéssur les thém</t>
  </si>
  <si>
    <t>Avec le retrait des déplacés dans la bande Nord ( communes de Foulatari et Nguelbeyli ) des ajustements ont eu lieu pour respecter les proportions des 70%  des déplacés de le choix d'aller vers les hameaux rattachés à Kabléwa Village dans la commune de Kabléwa.</t>
  </si>
  <si>
    <t>L'engagement des communautés pour la réalisation des travaux cash for work .</t>
  </si>
  <si>
    <t> L'engouement des femmes pour les associations villageoises/VSLA</t>
  </si>
  <si>
    <t>L'adhésion massive des femmes poour l'exploitation collective des sites maraichers.</t>
  </si>
  <si>
    <t>Les femmes peuvent pratiquer les cultures maraichères collectivement si elles sont appuyées</t>
  </si>
  <si>
    <t>La restriction de la vente du carburant pour des raisons sécuritaires ont eu un impact négatif sur la réussite de la production des sites  maraichers</t>
  </si>
  <si>
    <t>Le mouvement intermittent des déplacés retarde la mise en uvre des activités</t>
  </si>
  <si>
    <t>Supporting Married iparous Adolescents</t>
  </si>
  <si>
    <t>GATENE0025</t>
  </si>
  <si>
    <t>Coordonnatrice programme LEFJ</t>
  </si>
  <si>
    <t>Fouréra Inoussa</t>
  </si>
  <si>
    <t>afourera@CareInternational.onmicrosoft.com</t>
  </si>
  <si>
    <t>Contribuer à retarder de deux ans (24 mois) la première naissance chez les adolescentes mariées agées de moins de 18 ans grâce à l'utilisation des méthodes modernes de contraception</t>
  </si>
  <si>
    <t>Le projet intervient dans le département de Mirriah (région de Zinder) dans trois communes (Dogo, Droum et Koleram)</t>
  </si>
  <si>
    <t>Les adolescentes nouvellement mariées</t>
  </si>
  <si>
    <t>Pendant l'année fiscale, le projet a conduits des études formatives en vue de mieux comprendre la problématique qui permettra de concevoir le projet</t>
  </si>
  <si>
    <t>Child and SVBG Survival Protection Initiative (KARIYA YARA DA MATA)</t>
  </si>
  <si>
    <t>UNCFNE0005</t>
  </si>
  <si>
    <t>Oumane Lalo Mahaman Hamissou</t>
  </si>
  <si>
    <t>Ousmane.LaloHamissou@care.org</t>
  </si>
  <si>
    <t>Coordonnateur Humanitaire</t>
  </si>
  <si>
    <t>Renforcer la protection et le bien être des enfants touchés par la crise et les survivantes de VBG parmi les populations hôtes et les IDPs de la région de Diffa</t>
  </si>
  <si>
    <t>Région de Diffa; Départements de Mainé Soroa, Diffa et N'guigmi; Communes de Mainé Soroa, Chétimari, Diffa, Gueskerou et N'guigmi.</t>
  </si>
  <si>
    <t>Les enfants et  les femmes , filles des ménages déplacées et communautés hôtes dans la région de Diffa</t>
  </si>
  <si>
    <t>Les participants directs sont les membres (hommes, femmes et enfants) des ménages pauvres et vulnérables parmi les populations hôtes, les déplacés internes, les rétournés et les réfugiés dans les 5 communes cibles de la région de Diffa. Et les participants indirects sont les conseillers municipaux, les leaders coutumiers et réligieux, les membres des mécanismes communautaires de protection (volontaires communautaires, comités de gestion, groupes de soutien aux survivants de VBG).  Les participants directs sont prévus dans le PCA  partant du HRP 2017. Quant aux participants indirects, ils sont calculés par site en raison d'une moyenne de 18 par site.</t>
  </si>
  <si>
    <t>Le paquet complet de prise en charge des cas de protection de l'enfant et de VBG est nécéssaire dans la réponse de la proetction en urgence: la gestion de cas/CPIMS</t>
  </si>
  <si>
    <t>La coordination des activités à travers les groupes thématiques permet l'adptation et la complémentarité dans la réponse.</t>
  </si>
  <si>
    <t>La mise en uvre du projet a été facilitée par l'appui constant de la coordination humanitaire nationale de CARE, la coordination à travers les groupes thématiques/clusters comme le Groupe de Travail Protection, le Sous Groupe de Travail Protection de l'Enfant, le Sous Groupe de Travail Violence Basée sur le Genre. Les données sont collectés par les Supervisieurs Terrains et les Assistants Techniques, validées par l'équipe projet puis partagées avec la coordination humanitaire nationale de CARE et au besoin avec les groupes thématiques.</t>
  </si>
  <si>
    <t>Distribution gratuite ciblée; cash transfer; cash et food for asset et blanket feeding aux enfants de 6 à 23 mois</t>
  </si>
  <si>
    <t>WFPXNE0044</t>
  </si>
  <si>
    <t>BOUKAR LAWAN MAROUMA</t>
  </si>
  <si>
    <t>Lawan.MaroumaBoukar@care.org</t>
  </si>
  <si>
    <t>Répondre aux besoins alimentaires et nutritionnels urgents des populations et communautés vulnérables affectées de la région de  Diffa (Niger) par la crise du bassin du Lac Tchad</t>
  </si>
  <si>
    <t>Le projet intervient au niveau de neuf sites de la commune de Maine Soroa, département de Maîné Soroa situé dans la région de Diffa</t>
  </si>
  <si>
    <t>Le projet appui 2857 ménages très pauvres parmi les déplacés et populations hôtes repartis dans 13 villages et quartiers de la commune de Maîné Soroca</t>
  </si>
  <si>
    <t>Les participants directs sont les chefs de ménages très pauvres qui reçoivent chaque mois la ration du cash et du super céréal simple  et les 1074 enfants de 6 à 23 mois. Les bénéficiaires indirects sont constitués par l'ensemble des autres membres du ménage</t>
  </si>
  <si>
    <t>Communication sur les procédures d'achats et passation de marchés; Information sur le recrutement professionnel des jeunes</t>
  </si>
  <si>
    <t>Conditionner l'appui par la création d'actifs productifs</t>
  </si>
  <si>
    <t>WFPXNE0046</t>
  </si>
  <si>
    <t>Projet appui 1562 ménages très pauvres des déplacés, réfugiés, retournés, autochtones et 1074 enfants de 6 à 23 mois issus de ces ménages</t>
  </si>
  <si>
    <t>Les participants directs sont les 1562 chefs de ménages très pauvres qui reçoivent chaque mois la ration du cash et du super céréal simple  et les 1074 enfants de 6 à 23 mois. Les bénéficiaires indirects sont constitués par l'ensemble des autres membres du ménage</t>
  </si>
  <si>
    <t>MOSAR : Moyens de Subsistance pour l'Autonomisation  des Réfugiés  maliens</t>
  </si>
  <si>
    <t>UNHCNE0006</t>
  </si>
  <si>
    <t>ELHADJI DAN AOUDE Sani</t>
  </si>
  <si>
    <t>Sani.DanAoude@care.org</t>
  </si>
  <si>
    <t>SANI Mamane Laminou</t>
  </si>
  <si>
    <t>Assurer l'accès à l'eau potable et Accompagner l'autonomisation des réfugiés maliens à travers le renforcement des capactés et l'appui aux moyens de subsistances</t>
  </si>
  <si>
    <t>Régions (Tillabéri et Tahoua)</t>
  </si>
  <si>
    <t>Le groupe d'impact principal sont les réfugiés maliens installés au Niger qui vivent dans les camps et Zone d'Acceuil des régions de Tahoua et Tillabéry.</t>
  </si>
  <si>
    <t>Les participanst directs sont tous les membres des ménages réfugiés du Camp de Tabareybarey qui bénéficient de l'accès l'eau potable et les autres individus vivants dans les autres camps qui ont bénéficié des formations, structurations en groupements et autres encadrements. Les participants indirects sont les autres membres de ménages des individus qui ont participé aux formations</t>
  </si>
  <si>
    <t>Le projet a pris fin en decembre 2016</t>
  </si>
  <si>
    <t>Organisation des réfugiés en groupements; renforcement des capacités en techniques d'embouche; en fabrication de savon liquide et solide</t>
  </si>
  <si>
    <t>Un  réajustement a été observé pendant la mise en uvre du projet compte tenu du problème de fonds, les activités prévues n'ont pas pu être réalisées , un seul volet a été mis en uvre ( le renforcement des capacités des ménages bénéficiaies du cash AGR octroyé par l'UNHCR). Le principal reajustement à ce niveau est intégration de l'aspect approvisionnement en eau potable d'un des camps des réfugiés sur la base d'une discussion avec le bailleur (UNHCR) pour érpondre aux besoins immédiats.</t>
  </si>
  <si>
    <t>Organisation des réfugiés en des groupements/associations pour mutualiser leurs ressources</t>
  </si>
  <si>
    <t>L'engagement des hommes/femmes</t>
  </si>
  <si>
    <t>Pour mener une AGR, il est necessaire de discuter avec les bénéficiaires sur le fonds nécessaire pour mener l'ativité et les accompagner à travers de renforcement des capacités specifiques à l'AGR et un suivi rapproché,</t>
  </si>
  <si>
    <t>les potentiels bénéficiaires d'un autre projet d'autonomisation peuvent être les groupements et individues engagés , ceux qui ont enregistrés des resultats positifs</t>
  </si>
  <si>
    <t>Problème d'insécurité lié aux zones d'intervention a constitué un obstacle, 40% des mission ont du été suspendues ou reportées</t>
  </si>
  <si>
    <t>Toutes les dispositions necessaire en ressources humanes et matérielles ont été prises par le projet pour mettre en uvre les activités prévues dans  le plan de travail, La non disponibilité de fonds au niveau du bailleur (HCR) a amené les deux partis à réorienter les activités du projet, à se focaliser juste sur le volet renforcement de capacité,</t>
  </si>
  <si>
    <t>PROJET LOGISTIQUE D'INTERVENTION BASSEE SUR LE TRANSFERT MONETAIRE ET CRI AUX REFUGIES A DIFFA (LOGISTIQUE ET DISTRIBUTION)</t>
  </si>
  <si>
    <t>UNHCNE0010/US1W6</t>
  </si>
  <si>
    <t>Assurer la gestion logistique et lassistance humanitaire aux personnes affectées par la crise du Nord Nigéria</t>
  </si>
  <si>
    <t>le projet appui 9000 ménages des refugies dans la region de Diffa</t>
  </si>
  <si>
    <t>Les participants directs sont les 9000 menages des refugies et les participants indirects sont les 54000 membres des menages</t>
  </si>
  <si>
    <t>NFI, Energie</t>
  </si>
  <si>
    <t>UNHCNE0009/US1W4</t>
  </si>
  <si>
    <t>COORDONNATEURHUMANITAIRE</t>
  </si>
  <si>
    <t>le projet appui 4000 ménages des IDPs dans la region de Diffa</t>
  </si>
  <si>
    <t>Les participants directs sont les 4000 menages des refugies et les participants indirects sont les 24000 membres des menages</t>
  </si>
  <si>
    <t>Drylands Development Programme (DRYDEV)</t>
  </si>
  <si>
    <t>ICRANE0008</t>
  </si>
  <si>
    <t>World Agroforestry Center ICRAF</t>
  </si>
  <si>
    <t>Salamatou BAGNOU</t>
  </si>
  <si>
    <t>DryDev Niger Coordination</t>
  </si>
  <si>
    <t>salamatou.bagnou@care.org</t>
  </si>
  <si>
    <t>Ahmet DAWALAK</t>
  </si>
  <si>
    <t>DryDev Niger Specialist SEMI</t>
  </si>
  <si>
    <t>dawalak.ahmet@care.org</t>
  </si>
  <si>
    <t>Vision: les ménages résidant dans les zones du programme auront fait le passage de l'agriculture de subsistance et de l'aide d'urgence au développement rural durable.  Impact principal recherché: amélioration soutenue en securité alimentaire et hydrique, les moyens de subsistance et la resilience, et l'empowerment des femmes et d'autres groupes défavorisés.</t>
  </si>
  <si>
    <t>DRYDEV Niger est localisé en 5 communes dans 5 régions du Niger: Torodi, Dogon Kiria, Malbaza, Aguié, Droum</t>
  </si>
  <si>
    <t>Les producteurs et productrices ruraux en particulier les femmes et autres groupes défavorisés</t>
  </si>
  <si>
    <t>Pour les duirects, il s'agit des personnes directement appuyées par le projet à travers les formations, les subventions et les mise en relation avec les ImFs. Les Indiects  sont des hommes et des  femmes qui profitent des réalisations de mobilisation des eaux et de restauurations des terres. Il a été considéré quatre personnes supplémentaires au sein de chaque ménage soit deux personnes par sexe</t>
  </si>
  <si>
    <t>Drydev a deux évaluations prévues au cours de l'année fiscale. L'évaluation à mi-parcours et une évaluation sur l'adoption des innovations vulgarisées. Partager avec le responsable M&amp;E tout document stratégique pour nous conformer à l'approche CARE (format TDR pour le MTE et Méthodologie d'échantillonnage quantitative) à defaut Drydev utilisera ses propores ressources. Partager la base de données des enquêteurs et surtout ceux qui sont habitués aux enquêtes qualitatives.</t>
  </si>
  <si>
    <t>1) L'approche Plateforme d'innovation est en partie le succès du projet Drydev aussi bien en termes de mobilisation communautaire qu'en termes du modèle de pérenisation d'acquis.</t>
  </si>
  <si>
    <t>2)l'approche bassin verssant a été importante en termes en termes de prise en compte effective des aspects écologiques dans des contexte de fortes pression humaines. Les résultats des études faites sur Drydev confirment la pertinence des choix des zones d'intervention</t>
  </si>
  <si>
    <t>3) Le système de suivi et d'évaluation participatif ou ascendant bien que en plein test commence a porté fruit. La collecte et la remontée de plus de 70% des indicateurs Outputs et suboutcome sont gérés par la communauté. Du niveau village au projet en passant par une synthèse faite par la grappe puis par la PI.</t>
  </si>
  <si>
    <t>Possibilité d'exécuter des projets suivant une approche systemique dans un contexte boulverssé par des approches directes envenimeux par l'assistanat</t>
  </si>
  <si>
    <t>Les défits au niveau de Drydev sont multiples: 1)Incarnation de l'approche systemique ou Bottom up par les partenaires de Drydev et trouver des solutions idoines pour éviter des sous consommations. 2) Parvenir à transferer directement les fonds aux differentes PI pour la mise en oeuvre et le suivi des activités. Nous sommes au stade des planifications communautaires pour l'instant...  3) Tester, documenter, capitaliser et rendre publique sur l'approche suivi évaluation participative et ses avantages par rapport au système top down</t>
  </si>
  <si>
    <t>Dans l'intetrêt de CARE, tous les projets et programmes doivent avoir un point focal au près des partenaires cela renforce les liens entre partenaire et Care et surtout permet une assistance technique à temps réel. Pour ce faire à defaut des salariés prévoir des stagiaires au nom de CARE et leur donner la casquette de M&amp;E.</t>
  </si>
  <si>
    <t>Le programme Drydev fait de l'aspect engagement son cheval de bataille et developpe des stratégies tous secteurs confondus sur comment aboutir à un processus basé sur les changements systemiques en mettant en première lignes les acteurs communautaires.</t>
  </si>
  <si>
    <t>Les liens étant en cours d'élaboration, Drydev s'engage à les partager dès que possible toutefois, les documents sont accessibles auprès de tous les collègues cités precedemment.</t>
  </si>
  <si>
    <t>Norway</t>
  </si>
  <si>
    <t>New Connections</t>
  </si>
  <si>
    <t>QZA 0675 QZA 16/0026</t>
  </si>
  <si>
    <t>Anders Nordstoga</t>
  </si>
  <si>
    <t>Communications Advisor</t>
  </si>
  <si>
    <t>anders.nordstoga@care.no</t>
  </si>
  <si>
    <t>Advocacy work: Short film "The Real ROI" to inform and engage the broader public about WEE; Conference "New Connections" to inform and engage the public sector in Norway about WEE; Dialogue with politicians and others on WEE.</t>
  </si>
  <si>
    <t>Short film</t>
  </si>
  <si>
    <t>The project aims to inform and engage participants in Norway, to contribute to the work for WEE in the global south. As such, the end impact group are poor and marginalised women in the global south. The participants in the project are the target groups in Norway, however.</t>
  </si>
  <si>
    <t>The direct participants are participants at the conference and at one key dialogue meeting. For the conference, we do not have exact breakdown by gender, and so we cannot report the figure by gender. The indirect participants are people who have viewed the short film online, unique viewers. Again, we do not know the breakdown by gender.</t>
  </si>
  <si>
    <t>The innovation is testing how to engage the private sector to include WEE in their approach.</t>
  </si>
  <si>
    <t>Stronger focus on WEE.</t>
  </si>
  <si>
    <t>Establish key contact persons in key companies</t>
  </si>
  <si>
    <t>Engaging private sector through key contact persons in key companies</t>
  </si>
  <si>
    <t>Engaging the broader public through personal and optimistic stories</t>
  </si>
  <si>
    <t>Establishibing key contact persons in key companies takes a lot of time, and we see the best results in the engagements with our longterm contacts</t>
  </si>
  <si>
    <t>To engage the private sector and to engage politicians, it is useful to provide short and concise messages with concrete examples of best practices</t>
  </si>
  <si>
    <t>The short film was made with the private sector in mind, and not the broader public, so although it was shared with the broader public it did not get as many views as previous short flims CARE Norway has made</t>
  </si>
  <si>
    <t>Pakistan</t>
  </si>
  <si>
    <t>Enhancing resilience by strengthening government institutions to roll-out inclusive Community-based DRM in KPK Province, Pakistan</t>
  </si>
  <si>
    <t>Mr. Aziz-ur Rehaman</t>
  </si>
  <si>
    <t>Senior Advisor DRR and Climate Change</t>
  </si>
  <si>
    <t>Aziz.rahman.@care.org</t>
  </si>
  <si>
    <t>To strengthen the capacity of government institutions, vulnerable communities and schools for addressing disaster risk in a sustainable manner through inclusive CBDRM and SBDRM</t>
  </si>
  <si>
    <t>District Nowshera and Peshawar city (Khyber Pakhtunkhwa), Pakistan</t>
  </si>
  <si>
    <t>Government Institution like PDMA, DDMUs, government line departments at provincial, District, City and Tehsil/town level, Academia, private sector , civil Society and Communities</t>
  </si>
  <si>
    <t>Direct beneficiaries are government official from PDMA ,education department and other government department/institutions and community members. These individuals are supposed to engage and participate in the project activities directly. Indirect Beneficiaries  include district government of Peshawer, Nawshehara and the communities of both district. these beneficiaries are calculated as " the population of both district who will befit form rolling out DRM plans.</t>
  </si>
  <si>
    <t>Disaster Risk Management (DRM)</t>
  </si>
  <si>
    <t>Development of Inclusive DRM Planes for District Peshawer( Minorities, Students, Youth, PWD, Elders, Gender)</t>
  </si>
  <si>
    <t>Government Leaded the Initiative, and endorsed to Scale the model, institutionalization of DRR by Government, Evidence based advocacy.</t>
  </si>
  <si>
    <t>Establishment of DRR forum at provincial and District level(KP), and in lead role at national level.</t>
  </si>
  <si>
    <t>Establishment of project staring committee at provincial Disaster Management Authority with 11 line departments and academia was one of the successful model for the implementation of project.</t>
  </si>
  <si>
    <t>With Support of ECO CBDRM model was pioneered in Pakistan connecting top to bottom and bottom up approaches for DRR intervention at community and institution level</t>
  </si>
  <si>
    <t>Evidence based advocacy that is research studies conducted before advocacy</t>
  </si>
  <si>
    <t>Collaborative approaches with government and Civil society proved useful during design and implementation</t>
  </si>
  <si>
    <t>Proper sensitization and mobilization at community and institutional level proved helpful in meeting project objective</t>
  </si>
  <si>
    <t>we may need to devise tools to document the impact and beneficiaries for the policy level work at provincial and district level we have  been delivering such interventions in past but were unable to document its beneficiaries</t>
  </si>
  <si>
    <t>1. Basline. 2.Midterm review. 3.Project End Evaluation. 4.DRR budget analysis document. 5.urban Reselience Study for Peshawer city. 6. CBDRM model for Urban and rural context. 7. District Disaster Plan for District Peshawer</t>
  </si>
  <si>
    <t>Every Voice counts(EVC)</t>
  </si>
  <si>
    <t>NL173</t>
  </si>
  <si>
    <t>Miss. Misbah Iftikhar</t>
  </si>
  <si>
    <t>Technical Advisor-Gender  </t>
  </si>
  <si>
    <t>misbah.iftikhar@care.org</t>
  </si>
  <si>
    <t>To Enhance womens voice in local government and enhancing accountability for the implementation of policies.</t>
  </si>
  <si>
    <t>District, Umerkot and Mirpur Khas ( Sindh)</t>
  </si>
  <si>
    <t>Women and minorities</t>
  </si>
  <si>
    <t>Since The project has yet not been started due to unavailibility of NOC, This why direct and indirect Benficairies ar yet not been confirmed once the project starts , CARE with its partner will workout the direct and indirect beneficiaries. Since The project has yet not been started due to unavailability of NOC, This why direct and indirect Beneficiaries have yet not been confirmed once the project starts , CARE with its partner will work out the direct and indirect beneficiaries.</t>
  </si>
  <si>
    <t>Focused on quality of Sexual and reproductive helath services provided by govenerment.</t>
  </si>
  <si>
    <t>Communities, Health deparmnet at district level and provincial level, civil socieity organization</t>
  </si>
  <si>
    <t>These are the comments rather, the project has not started yet because of non-availibility of the NOC,</t>
  </si>
  <si>
    <t>The Project was supposed to start in 2016 but due to non availibility of no objection certificate and changing context the project has not been started yet.</t>
  </si>
  <si>
    <t>Humanitarian Assistance to Internally Displaced Persons in Pakistan</t>
  </si>
  <si>
    <t>Mr.Hamid Nawaz Khan</t>
  </si>
  <si>
    <t>Senior Advisor WASH and Shelter</t>
  </si>
  <si>
    <t>Hamid.Nawaz@care.org</t>
  </si>
  <si>
    <t>Increasing food security and livelihood through conditional cash transfers and improving provision and management of WASH services targeting most vulnerable displaced people in the districts of Bannu and Dera Ismail Khan, thus supporting protection while ensuring they have access to basic services.</t>
  </si>
  <si>
    <t>District Bannu and DIK</t>
  </si>
  <si>
    <t>Most Vulnerable Temprory displaced population of North and South Waziristan living in Bannu and DIK.</t>
  </si>
  <si>
    <t>Direct beneficiaries are the Vulnerable TDPs recevided CASH and CFW grants, Clean drinking water,  TDPs communities received HH sessions and PATS participants. Indirect benificairies are the House memebers of these beneficiaries are the HH members of the beneficairies received Cash and CFW grants.</t>
  </si>
  <si>
    <t>Endline for cash based interventions and post KAP for WASH to document of evidenace of impact will be compiled in the month of February</t>
  </si>
  <si>
    <t>Collabration with Loacall Ngos and Government</t>
  </si>
  <si>
    <t>Communication and coordination with clusters and other direct stakholders</t>
  </si>
  <si>
    <t>Community engagement to reachout the most vulnerable indivisuals and communites</t>
  </si>
  <si>
    <t>Assessments and analysis to dtermine the cahnging context with displaced pouplation frequent movement from place top another</t>
  </si>
  <si>
    <t>uncertainity in return situation, the target beneficiaries returning to their area of origion without completion of cash programing modalities.  </t>
  </si>
  <si>
    <t>Reachging out the target beneficairies in the area of return</t>
  </si>
  <si>
    <t>It was actually an integarted program of FSL and WASH but in the template there was no option given for FSL and WASH intigrated project.</t>
  </si>
  <si>
    <t>1. Baseline FSL. 2. Pre-KAP. 3.PDMs. 4.contingency plan</t>
  </si>
  <si>
    <t>Provide loan capital to poor and low-income individuals who want to start or expand a small business.</t>
  </si>
  <si>
    <t>Lahore</t>
  </si>
  <si>
    <t>Women and men with existing income-generating activities who are excluded from the formal financial sector. The main impact groups are individuals engaged in activities such as sewing and tailoring services, petty trade, construction and production.</t>
  </si>
  <si>
    <t>Direct participants are those who received a loan to invest in their business from Lendwithcare lenders in FY17. Indirect participants have been calculated by adding up all of the dependents of the entrepreneurs who received a loan in FY17 and the people who have been employed in their businesses. We are not able to disaggregate the data for indirect participants by female and male, so I have used the ratio of 49:51 that is in the CIA World Factbook for Pakistan https://www.cia.gov/library/publications/the-world-factbook/geos/pk.html This is an on-going project so I have given the numbers of participants just in this FY as there is no end date to the project.</t>
  </si>
  <si>
    <t>Progress out of Poverty Index (PPI) and a supplementary questionnaire developed in collaboration with the University of Portsmouth were used to determine any changes in the poverty levels of beneficiaries' households and the development of their businesses.</t>
  </si>
  <si>
    <t>We had issues in the second phase of the impact assessment trying to find the control group from the baseline study</t>
  </si>
  <si>
    <t>The amount of capital we generate for our partner in Pakistan is around 1.5 to 2% of their outstanding loans portfolio. Arguably, they no longer require our support.</t>
  </si>
  <si>
    <t>This is an on-going project so we do not have a budget for the lifetime of the project. The number we have reported is how much loan capital was raised through the Lendwithcare platform for Pakistan in FY17. Lendwithcare does not use gender, resilience or governance scorecards as part of its programming so we have had to answer no to all the questions related to these. However, an outcome of 'harmful' (particularly with regards to women's empowerment and gender equality) seems in accurate since this initiatve focuses heavily on Women's Economic Empowerment.</t>
  </si>
  <si>
    <t>INSPIREII- Institutional Support for Participatory, Inclusive and Responsive Education</t>
  </si>
  <si>
    <t>Sehar Taimoor</t>
  </si>
  <si>
    <t>Education Team  Lead</t>
  </si>
  <si>
    <t>Sehar.Taimoor@care.org</t>
  </si>
  <si>
    <t>Improved access of girls to quality education and enhanced employability of young men and women</t>
  </si>
  <si>
    <t>District Swat,KP</t>
  </si>
  <si>
    <t>ALP  students (1000 girls), teachers (100 female teachers), members of Parent Teacher Committees(of 35 schools) and youth forums(15 youth forums), government officials, Hme Based Workers(100) Youth Gilrs and Boys (300), TVET Institutes Instrctors</t>
  </si>
  <si>
    <t>Indirect Beneficairies are ALP Student's families, Families of HBW, TVET Students, ALP Tecahers and Government officails, youth Groups, PTC memebers, Famillies of community memebers who particpated in education campaigns, BCC events and other other project activities, news paper readers, FM radio listnsers, Average HH size in Swat.  </t>
  </si>
  <si>
    <t>Introduced accelrated learning model for those Gilrs who left schools due to non-Availability of middle schools in their localities, the model would enable the girls to completed their middle school education in 16 months and these students would be further encouraged to enroll for higher education.</t>
  </si>
  <si>
    <t>The communites, PTCs and other startegic allainces are encouraged to advocate for ALP model</t>
  </si>
  <si>
    <t>The Life Skills Trainings were delayed as children were adjusting to their courses, however now the sessions are ongoing</t>
  </si>
  <si>
    <t>Shifting most of evening school to morning helped in increase in enrolment</t>
  </si>
  <si>
    <t>Government engagement throughout the process especially in taking exams of students and monitoring</t>
  </si>
  <si>
    <t>Engaging youth from communities for effective school management and monitoring as well as education campaigns</t>
  </si>
  <si>
    <t>Maintaining enrolment of schools during the extreme weather especially summer and winter when government schools are off</t>
  </si>
  <si>
    <t>Regularization of project feeder teachers in government system as the government take exam through National Testing Service from last year</t>
  </si>
  <si>
    <t>Children graduating from Technical and Vocational Education centers are having difficulty in finding regular jobs but are mostly getting internships and work on piece meal</t>
  </si>
  <si>
    <t>The project is a huge success with more than 90% students coming to school and passing exams regularly</t>
  </si>
  <si>
    <t>1.Project Proposla. 2. LFA, 3.Base line. 4. Market assessment</t>
  </si>
  <si>
    <t>SAF-PAC III Supporting Access to Family planning and Post Abortion Care (SAF-PAC)</t>
  </si>
  <si>
    <t>AN01PK0008</t>
  </si>
  <si>
    <t>Dr. Sayed Ali Athar Shaukat</t>
  </si>
  <si>
    <t>Ali.Athar@care.org</t>
  </si>
  <si>
    <t>Improve the capacity of Health Care Providers of the Area in the Provision of FP and PAC services</t>
  </si>
  <si>
    <t>Multan and Muzaffargarh Districts of  Punjab Province</t>
  </si>
  <si>
    <t>Women of Reproductive Age</t>
  </si>
  <si>
    <t>Direct beneficiaries are the women who received Family planning and post abortion services from the public health facilities in these two district. Indirect beneficairies are calculated by multiplying the direct beneficiaires by average HH size of the two district that is (7.9)</t>
  </si>
  <si>
    <t>The project was palnned to implement with partner but due top NOC issues of Parner,CARE decided to go for self implemention, NOC for the implemention is not received till this end  </t>
  </si>
  <si>
    <t>The project funding secured in 206 but due to Non-Avialability of NOC the project implemention has yet not been started</t>
  </si>
  <si>
    <t>Panama</t>
  </si>
  <si>
    <t>CARE and Amway have embarked on a strategic partnership based on the shared goals of helping people live better lives and finding sustainable solutions to hunger and malnutrition. The partnership strives to expand the use of Amways Nutrilite Little Bits (NLB) micronutrient product in robust infant and young child feeding (IYCF) programs.</t>
  </si>
  <si>
    <t>Papua New Guinea</t>
  </si>
  <si>
    <t>Better Governance for Education Project</t>
  </si>
  <si>
    <t>John and Valerie Braithwaite</t>
  </si>
  <si>
    <t>Justine McMahon</t>
  </si>
  <si>
    <t>Country Director, CARE in Papua New Guinea</t>
  </si>
  <si>
    <t>justine.mcmahon@careint.org</t>
  </si>
  <si>
    <t>Anna Bryan</t>
  </si>
  <si>
    <t>PNG Mainalnd Program Director</t>
  </si>
  <si>
    <t>anna.bryan@careint.org</t>
  </si>
  <si>
    <t>The Better Governance for Education project aims to improve education outcomes by supporting good governance at sub-national government offices and agencies, schools, and local communities. This is a pilot project that aims to develop a model that demonstrates that better governance (and therefore better decision-making, resource allocation, project implementation oversight, monitoring and evaluation) results in improved service delivery.   </t>
  </si>
  <si>
    <t>The project aims to impact the Obura Wonenara District in the Eastern Highlands province, Papua New Guinea.  </t>
  </si>
  <si>
    <t>The main impact group of the project are elementary and primary school-aged girls.</t>
  </si>
  <si>
    <t>Direct project beneficiaries are formally trained teachers, volunteer teachers/teacher aides, community members, distrct government staff, and students in elementary and primary schools whose teachers the project trains and provides teaching and learning aids to. Direct beneficiaries are calculated from actual persons attending training delivered by or supported by CARE as well as class and school enrollment data for the schools directly assisted by CARE through the provision of learning materials or support to open learning forums. Community members participating in open-learning events are are counted as direct beneficiaries to awareness messaging delivered through these events.........................Indirect beneficaries on the other hand are calculated as populations of entire villages, communties, wards, local level government areas and even the district for good governance interventions. Statistics for indirect beneficiary calculations largely come from census figures provided by the National Statistics Office, last updated in 2011.  </t>
  </si>
  <si>
    <t>The project will conduct some baseline surveys in this FY and do a repeat of this survey in FY 2019 to look at improvements to elemetary students' performance in the benchmarking process used with the standards based curriculum.</t>
  </si>
  <si>
    <t>Bringing national government department representatives to the district; making training environments friendlier to nursing women.</t>
  </si>
  <si>
    <t>This year was the first year of implementation for the project. Many changes were done to the project from implementation experiences and reflections. What was in the concept note changed a lot in the design document.</t>
  </si>
  <si>
    <t>Working within established government systems and processes.</t>
  </si>
  <si>
    <t>Involving government in the delivery and monitoring of project activities.</t>
  </si>
  <si>
    <t>Being more accomodating of directions pursued by the government and politicians.</t>
  </si>
  <si>
    <t>A project inception workshop was important for the project team but unfortunately not convened due to incmomplete work on the full design.  </t>
  </si>
  <si>
    <t>Government counterparts appreciate more financial transparency from development partners, especially with regards to sharing of activity budgets.</t>
  </si>
  <si>
    <t>Important to align data collection areas with sector indicators of the government and where not in alignment, provide necessary guidance/tools to government officers to complete and furnish to CARE.</t>
  </si>
  <si>
    <t>This is a three year governance for education service delivery project. The first year of implementation was was focussed on finishing off incomplete education work from a former CARE PNG project (Integrated Community Development Project) which abruptly ended on 30th June, 2016. The first year was also spent on working on the full project design. A little bit of work was done on directions the full design would but Years 2 and three will see the new design implemented.   </t>
  </si>
  <si>
    <t>Bougainville Cocoa Farming Families Support (BECOMES) Project</t>
  </si>
  <si>
    <t>Government of Australia and Government of New Zealand</t>
  </si>
  <si>
    <t>REKHA SHENOY</t>
  </si>
  <si>
    <t>Rekha. Shenoy@careint.org</t>
  </si>
  <si>
    <t>To improve the economic and social well being of younger and older women in cocoa farming families in the Autonomus Region of Bougainville</t>
  </si>
  <si>
    <t>Autonomous Region of Bougainville, Papua New Guinea</t>
  </si>
  <si>
    <t>Cocoa farming families with specail focus on women and youth</t>
  </si>
  <si>
    <t>Direct participants are our project beneficaries such as cocoa farming families and the members of the co-operatives and community groups.Indirect participants are non project beneficaries are district level government</t>
  </si>
  <si>
    <t>The project will conduct mid term review to monitor progress and carry out endline survey to measure the  change. The end line survey will . Support is required from Programme Quality Unit and Gender Unit in CARE Australia</t>
  </si>
  <si>
    <t>Engaging men has enhanced women's participation in the project activities such as trainings, events and co-operatives</t>
  </si>
  <si>
    <t>Farmers Schools \Demonstration plots helped the smallholder cocoa families to adopt the practices in the respective blocks</t>
  </si>
  <si>
    <t>Support for women's employment as extension officer enables them to become co-actors in the cocoa value chain</t>
  </si>
  <si>
    <t>Womens access to Extension and Family Business Management Training, including women-only trainings, has contributed to the ability and confidence of women farmers.</t>
  </si>
  <si>
    <t>Family Business Management Training has encouraged younger and older women and men to communicate effectively and work together in decision-making for their farms and lives. This cooperation will directly strengthen supportive relations within households and engage men and boys in supporting women and girls.</t>
  </si>
  <si>
    <t>Encouraging womens membership and leadership of cocoa cooperative societies and business groups has flow-on effects to influence decision-making at household level</t>
  </si>
  <si>
    <t>Baseline Report and Six Monthly Progress Report</t>
  </si>
  <si>
    <t>Bougainville Community Governance Project</t>
  </si>
  <si>
    <t>PNG049</t>
  </si>
  <si>
    <t>Christopher Hershey</t>
  </si>
  <si>
    <t>Program Director, Bougainville</t>
  </si>
  <si>
    <t>christopher.hershey@careint.org</t>
  </si>
  <si>
    <t>Country Director, Papua New Guinea</t>
  </si>
  <si>
    <t>For the Community Government (the new term for local level government) to practise governance that contributes to the peace, security and prosperity of Bougainville.</t>
  </si>
  <si>
    <t>Tinputz, Wakunai, Buin and Torokina Districts within the Autonomous Region of Bougainville (4 of the region's 13 districts)</t>
  </si>
  <si>
    <t>Women and men of rural communities</t>
  </si>
  <si>
    <t>Direct participants:  in particular, local leaders, both women and men.  Indirect participants:  all community: women and men, girls and boys.  Calculations are taken from design documents.</t>
  </si>
  <si>
    <t>Project was redesigned to include more processes and activities that were gender sensitive or gender responsive</t>
  </si>
  <si>
    <t>Community planning through introducing ways for communities to determine their own priorities, followed up with monitoring visits that included mentoring</t>
  </si>
  <si>
    <t>Developing village profiles</t>
  </si>
  <si>
    <t>Developing meaningful relations with the Dept of Community Government in regards to project activities: working at their pace is essentual to gaining government acceptance of the partnership</t>
  </si>
  <si>
    <t>Stay flexible to be able to respond to donor's changing priorities</t>
  </si>
  <si>
    <t>Maintain open dialogue with communities with whom CARE works.  This includes regular monitoring visits as well as exiting.</t>
  </si>
  <si>
    <t>Avoid over-dependence upon one donor</t>
  </si>
  <si>
    <t>Although based on the PIIRS process this project appears to not contribute to impact, in fact I believe it does.  The village women and men trained by the project are now much better equipped to fulfill their roles in the new Community Government structure.   The new structure mandates 50% women representation, which is a formal challenge to all previous male-dominated government structures.  In this context, CARE's influence will have a long-lasting impact through upskilling both women and men, and by modeling gender equity in the manner in which we work and deliver trainings.</t>
  </si>
  <si>
    <t>Final Report:  CARE-Bougainville Community Governance Report Final_08_2017.pdf</t>
  </si>
  <si>
    <t>Bougainville Sexual, Reproductive and Maternal Health Project</t>
  </si>
  <si>
    <t>PNG059</t>
  </si>
  <si>
    <t>To meaningfully and sustainably improve the health and wellbeing of women, their families and communities in rural, disadvantaged areas of Papua New Guinea.</t>
  </si>
  <si>
    <t>South Nasioi and Kokoka Councils of Elders in Kieta District, and Baubake Council of Elders in Buin District, Autonomous Region of Bougainville.  [Councils of Elders was formerly the local term equivalent to wards, now replaced by Community Governments.]</t>
  </si>
  <si>
    <t>Young women 15-29 years of age.  To achieve this, the project also engaged with young men 15-29 years of age.</t>
  </si>
  <si>
    <t>Direct beneficiaries are young women and men.  Indirect beneficiaries are young and older women and men.  Calculations are taken from PIIRS 2015-2016.</t>
  </si>
  <si>
    <t>No future evaluations due to loss of funding.</t>
  </si>
  <si>
    <t>Training was developed for Healthy Relationships that specifically addressed GBV by youth.</t>
  </si>
  <si>
    <t>Peer education</t>
  </si>
  <si>
    <t>Ensure a gender analysis is central to the project design</t>
  </si>
  <si>
    <t>Work with male prison population to challenge masculinity norms (work with men and boys)</t>
  </si>
  <si>
    <t>Remain flexible to adjust to donor's changing priorities</t>
  </si>
  <si>
    <t>Ensure transparent communication with project staff when there are changes in funding</t>
  </si>
  <si>
    <t>Make obtaining government buy-in a priority and keep promoting it over time</t>
  </si>
  <si>
    <t>This project was designed to be transformative, addressing all three domains.  It's particular emphasis on youth and GBV would have been a unique contribution to the Bougainville health landscape.  However, the loss of funding prevented most of the work moving forward.</t>
  </si>
  <si>
    <t>CARE Tinputz Cocoa &amp; Rice Joint Venture Project</t>
  </si>
  <si>
    <t>PNG058</t>
  </si>
  <si>
    <t>Pacific Partnerships for Agriculture Project</t>
  </si>
  <si>
    <t>Increase cocoa yields; support training and set-up of budwood gardens, nurseries and fermentaries; local cooperative members receive Rainforest Alliance certification; satisfactory project management, monitoring &amp; evaluation</t>
  </si>
  <si>
    <t>Tinputz Taonita &amp; Taonita Teop constituencies, Tinputz District, Autonomous Region of Bougainville</t>
  </si>
  <si>
    <t>Women and men cocoa farmers</t>
  </si>
  <si>
    <t>Direct &amp; indirect:   women and men cocoa farmers (and their families).  Calculation based on project documents, with indirect participants estimated as three times direct participants.</t>
  </si>
  <si>
    <t>GED training adapted to be relevant to women and men cocoa farmers; training sucessfully delivered</t>
  </si>
  <si>
    <t>Engaging families (women, men and youth together)</t>
  </si>
  <si>
    <t>GED training adapted to be relevant to women/men cocoa farmers</t>
  </si>
  <si>
    <t>Do not underestimate the impact of violence on a project being able to function</t>
  </si>
  <si>
    <t>GED training provides a valuable platform for discussing power relations between women and men</t>
  </si>
  <si>
    <t>Once exposed to new ideas (e.g., gender equity) cocoa farmers, like any group, can be moved to make changes in their behaviour and beliefs</t>
  </si>
  <si>
    <t>This was inherited as a technical project with no emphasis whatsoever on gender equity.  Only because gender is central to CARE's analysis was this introduced.</t>
  </si>
  <si>
    <t>Final report: 17.02.23 TC&amp;RJV PPAP Project July-Aug 2016 Qrtly Report FINAL.pdf</t>
  </si>
  <si>
    <t>Coffee Industry Support Project</t>
  </si>
  <si>
    <t>PNG053</t>
  </si>
  <si>
    <t>Charles Iha</t>
  </si>
  <si>
    <t>Charles.Iha@careint.org</t>
  </si>
  <si>
    <t>Karen Abenisa</t>
  </si>
  <si>
    <t>Monitoring Evaluation and Learning Officer</t>
  </si>
  <si>
    <t>Karen.Abenisa@careint.org</t>
  </si>
  <si>
    <t>To improve the social and economic wellbeing of women coffee farmers in the Highlands of Papua New Guinea</t>
  </si>
  <si>
    <t>CISP works with partners in coffee growing provinces of the Highlands in PNG. Currently, through our partners, we are reaching 5 provinces including Eastern Highlands Province, Morobe, Simbu, Jiwaka and Western Highlands Province. Coffee is primarily grown by smallholders,many of whom reside in remote, disadvantaged areas of the PNG Highlands.</t>
  </si>
  <si>
    <t>Women coffee farmers in the Highlands of PNG</t>
  </si>
  <si>
    <t>CISP Direct participants are our partners from the private sector, local community groups and government and Indirect participants are farmers, households, community members. To calculate direct and indirect participants: Total population- direct/indirect participants.</t>
  </si>
  <si>
    <t>External review conducted by the donor-it will not be overly complex but will consider value for money</t>
  </si>
  <si>
    <t>The ModeL Farming Families Approach (MFFA) is a replica of the current activity undertaken with the private  sector coffee companies in building the skills of their extension officers and trainers so they can provide gender apppropriate and inclusive services and training to their network of farmers. The main objective of the MFF is to build their capacity to transfer skills and knowledge to their group members.</t>
  </si>
  <si>
    <t>The Family Business Management Training (FBMT) designed for couples.It teaches them about communication, decision making,trust and budgeting to name a few and how families can work together is the most talked about training  that farmers talk about. One of our private sector partner used to topics in the FBMT to come up with two training modules in the trainings they facilitate for their farmer networks.</t>
  </si>
  <si>
    <t>We have provided organisational development and governance training for civil society organisations and community-based organisations; and facilitation skills training for community develoment workers and extension officers.</t>
  </si>
  <si>
    <t>Second year the project has been implementing activites as per the project redesign. A new activity yet to commence and staffing structure has changed and adapted.</t>
  </si>
  <si>
    <t>Utilising the CARE Women's Empowerment Framework as a guideline for designing and implementing all activities.</t>
  </si>
  <si>
    <t>Working with partners at an organisational level to influence programs and practices to reach greater scale.</t>
  </si>
  <si>
    <t>Focusing on the family unit, and strengthening families business management, as a means to empowering women, especially at the household level.</t>
  </si>
  <si>
    <t>When discussing women's economic empowerment, it is essential that we consider decision-making, communication, workloads etc. at the household level - WEE should not just focus on income and jobs.  A holistic approach, aligned with the WEF, but specifically focusing on the relations domain, is necessary to achieve WEE.</t>
  </si>
  <si>
    <t>There is no 'one size fits all' business case for private sector's engagement in CSR or sustainability, and understanding specific motivations of private sector for engaging with CARE is important to enable greater buy-in from private sector partners and traction with our work.</t>
  </si>
  <si>
    <t>Challenging gender relations within households is difficult and only possible through targeted and long term support - while influencing the program and practices of stakeholders is an effective approach in order to achieve scale, additional targeted support is required to also ensure there is depth of change.</t>
  </si>
  <si>
    <t>El Niño Response</t>
  </si>
  <si>
    <t>Justine.McMahon@careint.org</t>
  </si>
  <si>
    <t>Target communities in Chimbu, Morobe, Eastern Highlands, Enga and Hela are better prepared to cope with and recover from water and agricultural impacts related to El Niño</t>
  </si>
  <si>
    <t>5 provinces ( Morobe, Eastern Highlands, Chimbu, Enga and Hela)</t>
  </si>
  <si>
    <t>El Niño affected communities</t>
  </si>
  <si>
    <t>The direct participants were the participants that directly participated and benefited from the agriculture trainings, non-food items and communit disaster disaster management training.The indirect participants are those living in the same local level government and did not participate in any of the CARE interventions at all. Direct Participants * 5 (per hh) = Total Indirect Participants</t>
  </si>
  <si>
    <t>Though the project has closed, one of the successful activities of this project; the community disaster management training received funding and is about to undergo project design.</t>
  </si>
  <si>
    <t>A mandatory training approach was taken where men could only represent 50 % of the training ceiling requirments and the other 50% were allocated to women participants.</t>
  </si>
  <si>
    <t>Engaging development project staff on the emergency response meant high community engagement</t>
  </si>
  <si>
    <t>Ensure assessments specifically ask questions about gender</t>
  </si>
  <si>
    <t>Ensure confidential feedback mechanisms are accessible to women</t>
  </si>
  <si>
    <t>Promote gender-inclusive measures within humanitarian coodination activities forums</t>
  </si>
  <si>
    <t>The women were able to talk openly about their feelings that were usually undervalued. Males became more supportive of their wives after the agriculture trainings.</t>
  </si>
  <si>
    <t>El Niño WASH Preparedness</t>
  </si>
  <si>
    <t>The direct participants were the participants that directly participated and benefited from the agriculture trainings and non-food item distributions by CARE. The indirect participants are those living in the same local level government and did not participate in any of the CARE interventions at all. Direct Participants * 5 (per hh) = Total Indirect Participants</t>
  </si>
  <si>
    <t>No adjustments because it was a response project.</t>
  </si>
  <si>
    <t>A mandatory approach taken where men could only make up the 50 % of the training ceiling requirments and the other 50% were allocated to women participants.</t>
  </si>
  <si>
    <t>Increase days of the training and more emphasis on women's empowerment at the relations level. E.g. men</t>
  </si>
  <si>
    <t>Highlands Sexual reproductive and maternal health project</t>
  </si>
  <si>
    <t>PNG 046 / ANC10 / PG151</t>
  </si>
  <si>
    <t>PNG 046 / CEM 20 / PG162</t>
  </si>
  <si>
    <t>Pacific Women shaping pacific development (PWSPD)</t>
  </si>
  <si>
    <t>PNG 046 / PNG50 / PG170</t>
  </si>
  <si>
    <t>OWAN HEALTH SERVICES - MP</t>
  </si>
  <si>
    <t>PNG 046 / PNG50 / PG179</t>
  </si>
  <si>
    <t>Maternal Health Start up</t>
  </si>
  <si>
    <t>CI PNG Country Director</t>
  </si>
  <si>
    <t>Justin.McMahon@careint.org</t>
  </si>
  <si>
    <t>To meaningfully and sustainably improve the health and wellbeing of women, their families and communities in targeted rural disadvantaged areas of Papua New Guinea (PNG).</t>
  </si>
  <si>
    <t>Siaka, Onga waffa LLG in Markham district. Umba and Hengiapa in Kome LLG  and Yamaya in Kapao LLG both in Menyamya Distric. All sites are in Morobe Province of PNG</t>
  </si>
  <si>
    <t>Women and their families</t>
  </si>
  <si>
    <t>Direct particiaptns are community members who take part directly in project activities such as trainings, awarenesss activites etc. In direct participat data is not clleted for this project.</t>
  </si>
  <si>
    <t>Engageing men as leaders to become role models and drivers of change</t>
  </si>
  <si>
    <t>Community action planning</t>
  </si>
  <si>
    <t>Government partner for cost sharing for project activites</t>
  </si>
  <si>
    <t>Selection of health facilites catchments should be more strategic to enable us to promote services that are actually provided in these facilites</t>
  </si>
  <si>
    <t>Involvement of health staff in the VHV training should commence in the beginning of the project inorder to get support.</t>
  </si>
  <si>
    <t>Improving Community Climate Resilience in Nissan</t>
  </si>
  <si>
    <t>PNG056</t>
  </si>
  <si>
    <t>To increase sustainable management of marine resources through development of community-based coastal and marine resource management plans in Nissan District of Papua New Guinea (PNG). This will involve expanding the role of existing community-based adaptation (CBA) groups, facilitating the development of marine resource inventory tools for communities, and providing training in basic marine ecology to women and men in CBA groups.</t>
  </si>
  <si>
    <t>21 Villages on Pinepel and Nissan islands (clustered into 6 groups), Nissan District, Autonomous Region of Bougainville</t>
  </si>
  <si>
    <t>Village women and men, and girls and boys</t>
  </si>
  <si>
    <t>Village women and men</t>
  </si>
  <si>
    <t>No further evaluation, project has ended.</t>
  </si>
  <si>
    <t>The Project provided direct support to a local community-based environment group, Kirapim Laip, which included assisting it to develop key policies and procedures and to become registered wiith the national Investment Promotion Authority (which legitimises receipt of grants).  The group now has an established profile and base capacity based on Project activities it implemented.  </t>
  </si>
  <si>
    <t>The project became more gender sensitive, adjusting activities to make it more possible for village women to participate.</t>
  </si>
  <si>
    <t>Community planning, reflected in local marine resource management plans</t>
  </si>
  <si>
    <t>Marine resource survey, done by the villagers themselves with technical support from CARE</t>
  </si>
  <si>
    <t>Explicitly identifying local environmental groups and supporting their development</t>
  </si>
  <si>
    <t>Promote women's participation and leadership, even while working in (apparently) patriarchal communities</t>
  </si>
  <si>
    <t>When possible, work with communities over years to build trust and to allow for different initiatives to reinforce each other</t>
  </si>
  <si>
    <t>Have staff live with the community, in this case, on  (remote) islands so they are available for informal consultation, monitoring and support</t>
  </si>
  <si>
    <t>The Project was severely hampered by repeated changes in management and supervision which made maintaining an overview of tasks and priorities difficult.</t>
  </si>
  <si>
    <t>Evaluation:  NissanResilience_FEReport_20170626_Comp.docx   Final report:  "Final Report 31.03.17.docx</t>
  </si>
  <si>
    <t>PNG Highlands Drought Resilience Project</t>
  </si>
  <si>
    <t>HPA-Humanitarian  Partnership Agreement</t>
  </si>
  <si>
    <t>Program Director-CARE International in PNG</t>
  </si>
  <si>
    <t>Stefan Knollmayer</t>
  </si>
  <si>
    <t>Humanitarian &amp; Emergency Response Unit- CARE Australia</t>
  </si>
  <si>
    <t>stefan.knollmayer@care.org.au</t>
  </si>
  <si>
    <t>Severly affected families, communities, and authorities across Chimbu, Morobe and Eastern Highlands Province are better prepared to mitigate, cope and recover from the effects of the El Nino related drought without facing extreme deprivation or resorting to harmful coping strategies...</t>
  </si>
  <si>
    <t>14 Disrtricts across 6 Provinces- 1. Simbu Province ( Districts-Chuave, Sinesine Yongomul, Kundiawa Gembogl, Gumine) 2. Eastern Highands Province ( Districts-Henganofi, Lufa, Obura Wonenara) 3. Morobe Province ( Districts- Menyamya, Markham, Bulolo) 4. Western Highalnds (-District- Tambul)  5. Enga (Districts- Kandep, Lagaip Porgera) and 6. Hela Province (District- Komo Magarima)</t>
  </si>
  <si>
    <t>The drought response activity was to support affected communities recover from the effects of the prolonged drought in most severely affected communities and districts categorized under category 4 5 in the initial drought assessment conducted by  PNG National Disaster Committee (NDC) in 2015.The project targeted the most vulnerable people in targeted communitites who were affected by the El Nino droughts. Particular attention was given to ensuring that women and children benefited from and were engaged in response activities.</t>
  </si>
  <si>
    <t>Health facility support:                                    Number of health staff who received nutrition training-63. Number of health facilities provided disease outbreak preparedness training and WHO manuals-20 Number of HeRams Health Facility Assessments Conducted-20. Health Facilities Supported with Equipment-3</t>
  </si>
  <si>
    <t>Information provided here would be the same as above</t>
  </si>
  <si>
    <t>Working closely with National Disaster Committee and other stakeholders at sub national and national government  through information sharing. Also involved in co-chairing cluster meeting (Food cluster) with other partners.</t>
  </si>
  <si>
    <t>CARE had developed a Community Disaster Management Training Manual based on CARE's response during El Nino and this manual was approved by the National Disaster Committe and will be used as a Training Tool across Papua New Guinea</t>
  </si>
  <si>
    <t>Working closely with National Disaster Committee and other stakeholders at sub national and national government  through information sharing. Also involved in co-chairing UN cluster meeting (Food cluster) with other partners. Taking the lead in facilitating the quarterly meeting with Eastern Highlands sub national government and its stakholders to strenthen their work around disaster through information sharing</t>
  </si>
  <si>
    <t>The Community Disaster Management Training was one area that involved civil society. Participants represented their commmunitires, districts and sib national levels and othe CARE partners on the ground. The idea behind the training was for these different people to be prepared for a disaster. By implementing this training module, CARE is hoping that the sub national govenrment and its partners will be able to take this on to train others in this space.</t>
  </si>
  <si>
    <t>CARE had used the Humanitarian Principles and the Minimum Sphere standards to guide its work during the response period</t>
  </si>
  <si>
    <t>CARE has a good working relationship with its partners and had worked in collaboration with the different partners to implement some of the project activities</t>
  </si>
  <si>
    <t>During the El Nino drought, CARE was the only organisation in PNG that did the Gender Rapid Assessment</t>
  </si>
  <si>
    <t>The project was implemented through three phases based on sequencing of activities.   Phase 1 included health and nutrition screening, immunisations and referrals; community awareness on hygiene, health promotion and agricultural drought mitigation; and household registrations for NFI WASH distributions.   Phase 2 included community WASH infrastructure and hardware; and distribution of WASH NFIs and food assistance. Phase 3 included agricultural recovery training; distribution of agricultural tools and planting materials; capacity building training for government staff on emergency preparedness and response; continued health and nutrition promotion; and post-distribution monitoring. Coordination activities ran across all three phases</t>
  </si>
  <si>
    <t>World Food Program Food Distribution</t>
  </si>
  <si>
    <t>To distribute emergency food rations for three months to frost and drought affected populations in four LLGs of Hela and Enga Provinces.</t>
  </si>
  <si>
    <t>Enga and Hela Provinces in Papua New Guinea</t>
  </si>
  <si>
    <t>Frost affected rural villages in Kandep and Margarima Districts</t>
  </si>
  <si>
    <t>No transformative reflections</t>
  </si>
  <si>
    <t>Better assessment of the actual number of people affected including the number that frequently migrate these communities.</t>
  </si>
  <si>
    <t>This activity made CARE's presence known in these two upper highlands provinces.</t>
  </si>
  <si>
    <t>Peru</t>
  </si>
  <si>
    <t>Desarrollando Capacidades para la Atención por Abuso de Sustancias Sensible al Género. Proyecto GROW - Fase II</t>
  </si>
  <si>
    <t>USDSPE0002</t>
  </si>
  <si>
    <t>Elena Esquiche</t>
  </si>
  <si>
    <t>eesquiche@care.org.pe</t>
  </si>
  <si>
    <t>Segundo Dávila</t>
  </si>
  <si>
    <t>Gerente de Programas</t>
  </si>
  <si>
    <t>sdavila@care.org.pe</t>
  </si>
  <si>
    <t>Proveer asistencia técnica usando la Guía para la Recuperación de las Mujeres (GROW, por sus siglas en inglés) y el Currículo Universal de Tratamiento (UTC, por sus siglas en inglés) para desarrollar y expandir la capacidad de Perú para fortalecer los tratamientos ambulatorio y residencial para mujeres y adolescentes que sufren desórdenes de abuso de sustancias.</t>
  </si>
  <si>
    <t>Lima, Callao, La Libertad, Lambayeque, Arequipa, Ayacucho, Moquegua y Huánuco.</t>
  </si>
  <si>
    <t>Mujeres y adolescentes que abusan de sustancias que acceden a los servicios de salud mental y reciben atención integral.</t>
  </si>
  <si>
    <t>Participantes directos: a) Facilitadores Nacionales entrenados por Master Trainer en Lima y Callao: su programación fue establecida en la propuesta inicial por la entidad financiera y no señaló diferencias por sexo en las metas. b) Personal de salud que participa en réplicas realizadas por Facilitadores Nacionales: su programación fue establecida en la propuesta inicial por la entidad financiera y no señaló diferencias por sexo en las metas. c) Facilitadores Regionales entrenados por Facilitadores Nacionales: en la ampliación de la Fase II del Proyecto se priorizaron 6 regiones, estableciendo 320 participantes en total, sin diferencias de sexo en las metas. d) Personas atendidas por trastornos por consumo de alcohol y otras drogas, con énfasis en mujeres y adolescentes: se estimó en base a datos estadísticos oficiales proporcionados por la Oficina de Gestión de la Información - Oficina General de Tecnologías de la Información del MINSA, los mismos que son alcanzados al Proyecto GROW por la Dirección de Salud Mental del MINSA. Participantes indirectos: a) Familiares de personas atendidas por trastornos por consumo de alcohol y otras drogas. Se considera que  un  porcentaje de personas atendidas por trastornos por consumo de alcohol y otras drogas, al recibir tratamiento y tener mejoras en su salud, se va a generar mejoras potenciales en su entorno familiar. No obstante, en la propuesta del proyecto no estuvo previsto ni estimado este impacto.</t>
  </si>
  <si>
    <t>La Embajada Americana ha proporcionado una Matriz de mapeo de capacidades para la atención en drogas (Map of drug treatment capacit), instrumento de recojo de información semestral a través del cual se reporta las características de los servicios que brindan tratamiento a personas con adicciones así como el número de personas atendidas por trastornos por consumo de alcohol y otras drogas en los establecimientos priorizados por el Proyecto GROW. (Ver Matriz de Mapeo adjunta).</t>
  </si>
  <si>
    <t>Se realizó incidencia política en dos niveles: (i) A nivel de gobiernos locales y regionales para lograr su involucramiento y contribución en la implemementación del Proyecto GROW, es decir, en el fortalecimiento de capacidades de equipos multidisciplinarios de profesionales de salud de sus localidades, y consecuentemente, lograr mejoras en la atención de mujeres afectadas por adicciones. (ii) A nivel de las autoridades universitarias de la Universidad Peruana Cayetano Heredia (UPCH), con el propósito de crear la Segunda Especialidad Profesional en Adicciones con Enfoque de Género, lo cual significió además incidir en el MINSA y DEVIDA para gestional el apoyo político para respaldar dicha iniciativa.</t>
  </si>
  <si>
    <t>Con las capacitaciones se generó el cambio en el paradigma de la atención a casos de consumo de sustancias, de un abordaje tradicional hacia un tratamiento holístico con enfoque de género, lo cual se tradujo en cambios de actitud y el fortalecimiento del trabajo en equipos multidisciplinarios, pero sobre todo tomando como punto de partida las necesidades específicas de las mujeres. Ello se concretó en la apertura de consultorios para la atención en otros horarios más acordes a las necesidades de ellas, así como en la creación del primer servicio de hospitalización para mujeres que sufren adicciones en el Hospital Hermilio Valdizan.</t>
  </si>
  <si>
    <t>El Proyecto GROW se basa en experiencias exitosas probadas y documentadas a nivel internacional respecto a brindar atención a mujeres con adicciones transversalizando el enfoque de género y desarrollando habilidades para implementar las intervenciones teniendo como base las mejores prácticas y el reconocimiento de las barreras que las mujeres enfrentan.</t>
  </si>
  <si>
    <t>En la Región Huánuco se incluyó en los talleres de formación de Facilitadores Regionales a 2 profesionales de la Casa del Buen Trato Hovde - Tomayquichua, ONG que alberga a mujeres víctimas de violencia intrafamiliar y adolescentes víctimas de violencia sexual, dado que existe una asociación significativa entre adicciones y violencia basada en género, y ésta será una institución tanto de detección como de referencia cuando los casos así lo ameriten. En otras regiones se implementarán talleres de sensibilización con la comunidad, organizaciones de mujeres, instituciones educativas, las DEMUNA, entre otros.</t>
  </si>
  <si>
    <t>No hubo cambio significativo, solo reprogramación presupuestal.</t>
  </si>
  <si>
    <t>Involucramiento de hombres en los diferentes grupos de Facilitadores Nacionales, Facilitadores Regionales y participantes de los talleres de réplicas del Programa de Entrenamiento GROW en las 8 regiones de intervención, para que sean fortalecidos en sus capacidades de brindar tratamiento género sensible a mujeres con problemas de adicciones.</t>
  </si>
  <si>
    <t>Promover la detección activa de casos de mujeres con problemas de adicciones y fortalecer el sistema de información de salud mental, con énfasis en adicciones.</t>
  </si>
  <si>
    <t>Conformación de Redes de Salud Mental en los diferentes niveles de atención para fortalecer el sistema de referencia y contrarreferencia.</t>
  </si>
  <si>
    <t>Cambio en el paradigma de la atención a casos de consumo de sustancias, de un abordaje tradicional hacia un tratamiento holístico con enfoque de género, lo cual se tradujo en cambios de actitud y el fortalecimiento del trabajo en equipos multidisciplinarios.</t>
  </si>
  <si>
    <t>Sensibilización de autoridades institucionales de salud así como a nivel de los servicios y otros grupos de profesionales respecto al tratamiento de adicciones con enfoque de género, lo cual facilitó cambios en la actitud del personal de hospitales entre sí y respecto a los equipos de los centros de salud.</t>
  </si>
  <si>
    <t>Apertura y respuesta frente a la violencia doméstica, plasmándose en la implementación de mejoras, aplicación de fichas de tamizaje, elaboración de periódicos murales con mensajes de prevención y atención respecto a la violencia doméstica, elaboración de trípticos con información sobre violencia doméstica y donde acudir, referir a las víctimas a los Centros Emergencia Mujer del Ministerio de la Mujer y Poblaciones Vulnerables, entre otros.</t>
  </si>
  <si>
    <t>No se tiene registros por desagregados de las personas que se benefician indirectamente através de su parricipación en charlas informativas, talleres, ferias, campañas, pasacalles de sensibilización y difusión sobre adicciones realizadas por participantes de réplicas en Lima y Callao</t>
  </si>
  <si>
    <t>Propuestas Fase I y Fase II -Informes de avance trimestrales -Proyecto GROW en facebook: https://www.facebook.com/search/top/?q=proyecto%20grow</t>
  </si>
  <si>
    <t>Sustainable Management of Water Resources and Adaptation of Climate Change in the Sub-River Basins of Shullcas Peru - II</t>
  </si>
  <si>
    <t>CDEUPE004</t>
  </si>
  <si>
    <t>Knorr- Bremese Global</t>
  </si>
  <si>
    <t>Odon Zelarayan Muñoz</t>
  </si>
  <si>
    <t>Responsable del proyecto</t>
  </si>
  <si>
    <t>ozelarayan@care.org.pe</t>
  </si>
  <si>
    <t>Segundo Davila Muñoz</t>
  </si>
  <si>
    <t>Gerente de programas</t>
  </si>
  <si>
    <t>Gestion eficiente del agua para uso agricoola y poblacional en un contexto de cambio climatico para la reduccion de la pobreza vulnerabilidad y seguridad alimentaria</t>
  </si>
  <si>
    <t>Region Junin, provincias de concepcion y huancayo</t>
  </si>
  <si>
    <t>Población agricola y ganadera en situación de pobreza en ámbito rural, La introducción de cultivos nativos en las comunidades del proyecto de menor requerimiento hídrico, más resistentes a las nuevas condiciones climáticas y de valor nutricional.  </t>
  </si>
  <si>
    <t>Los  participantes  del proyecto: Directos:  Productores que han recibido capacitaciones y asitencia tecnica en el manejo de cultivos de papa, quinua, mashua y tarwi, ademas son las familias que han implementado los sistemas de riego. Indirectos: Productores miembros de las 05 comunidades que pertencean a la ACR- Huayatapalla y la poblacion urbana de Huancayo que se beneficia de los recursos hidricos generados en laz zonas altas.</t>
  </si>
  <si>
    <t>Mecanismo de retribucion por servicios ecosistemicos MERSE</t>
  </si>
  <si>
    <t>La asociatividad de productores de cultivos andinos con la finalidad de agregar la oferta y obtenr la capacidad de negociacion con volumenes del producto considerable.</t>
  </si>
  <si>
    <t>La articulacion con el gobierno y la empresa operadora  de los servicios de agua potable de Huancayo a permitido la aprobacion de los fondos para la implementacion de los Mecanismos de Retribucion por Sercicios Ecosistemico MRSE.</t>
  </si>
  <si>
    <t>Se han desarrollado eventos de capacitacion en organizacon y gestion adminstrativo de los comites de regantes  de la margen derecha de la Sub cuenca de rio shullcas.</t>
  </si>
  <si>
    <t>con el proyecto se ha buscado, ampliar las metas como en el caso de las Ha de terrenos  con riengo, donde se han incorporado en un 32.50% mas de lo planificado, esto se ha ogrado con la participacion y cofinanciamiento con los beneficiarios de la comunidad y del sistema de riego.</t>
  </si>
  <si>
    <t>Las familias locales requieren ser capacitados en lo que significa vivir en una zona protegida, se requiere generar conciencia de protección al ambiente, más específicamente en la gestión del agua en un contexto de clima cambiante, para mejorar su estado nutricional y sus fuentes de ingreso se han elaborado un plan de gestion integrada en la comunidad orientado a un manejo de pastos naturales y produccion de cultivos andinos.</t>
  </si>
  <si>
    <t>El establecimiento de alianzas entre comunidades y autoridades pertinentes para promover el desarrollo de estudios científicos que validen las medidas de adaptación para mayor captación de agua implementadas en el Shullcas. Estos resultados son la mejor herramienta para el escalamiento y réplica en otras regiones, otras comunidades y con autoridades para multiplicar los logros del proyecto.</t>
  </si>
  <si>
    <t>El modelo aplicado, ha constituido una evidencia replicable, el MRSE constituye un modelo que permite que se pueda implementar en otras cuencas a nivel nacional. Para ello Care posee además metodologías que permite a la población, por un lado, identificar los grados de vulnerabilidad, y por otro, implementar acciones de adaptación. Esta evidencia se respalda a través de las investigaciones científicas que buscan validar las contribuciones de las prácticas y medidas de adaptación que se han desarrollado en relación a la conservación del ecosistema</t>
  </si>
  <si>
    <t>La experiencia de Huancayo ha enseñado la importancia de insertar en los proyectos de MRSE un componente de monitoreo que permita determinar cuánto es la ganancia hídrica que se va a tener y también de alguna manera monitorear cómo el proyecto va ir construyendo en su implementación año tras año. La responsabilidad de este monitoreo recae en buena medida de la la Plataforma de Buena Gobernanza y del sistema de monitoreo que será instalado en el proyecto. Otra lección ha sido el uso de la normativa nacional en relación a los MRSE, pues a partir de éstas se pudo viabilizar los insumos necesarios como el DHR que identifica el servicio ecosistémico prioritario, el perfil de proyecto (bajo las consideraciones SNIP), así como tener definido quién sería el Retribuyente dentro del MRSE.</t>
  </si>
  <si>
    <t>La experiencia de las organizaciones de sociedad civil como Care en la zona ayudó a que se establezcan un tipo de relación positiva, y se aprovechen como puentes de diálogo y de interacción. Care facilitó a SUNASS su participación en la comunidad de Acopalca para la presentación del proyecto y resolución de dudas, con la finalidad que ésta no sienta el proyecto como imposición en la comunidad</t>
  </si>
  <si>
    <t>Ha resultado de esta experiencia la implementación de un modelo basado en la asociación entre lo rural y lo urbano, a través de un Acuerdo entre la comunidad de Acopalca y el Estado, representado por la Empresa de Servicios e Agua y Alcantarillado Municipal SEDAM Huancayo. Esta asociación conecta lo rural con lo urbano, permitiendo que la ciudad conozca y reconozca el servicio hídrico que se obtiene y se asegura de la parte alta, y que la gente de la parte alta conozca la retribución que se obtiene de la parte baja o, en este caso, la ciudad</t>
  </si>
  <si>
    <t>Emprendimiento y empoderamiento económico de mujeres en comunidades rurales de la Costa y Región Andina del Perú</t>
  </si>
  <si>
    <t>CNLDPE1006</t>
  </si>
  <si>
    <t>Segundo Dávila Muñoz</t>
  </si>
  <si>
    <t>Marcia Barbis Quiñones</t>
  </si>
  <si>
    <t>Jefa de Proyecto Emprendimiento y empoderamiento economico de mujeres</t>
  </si>
  <si>
    <t>mbarbis@care.org.pe</t>
  </si>
  <si>
    <t>Contribuir a desarrollar y fortalecer las capacidades y herramientas para que 3,000 mujeres de comunidades rurales y periurbanas de Piura, Junín, Huancavelica y Cusco, accedan a oportunidades económicas, ganando en dicho proceso autonomía en la generación y uso de sus ingresos económicos a través de sus proyectos de emprendimiento y empresas locales viables en el sector de agronegocios inclusivos.</t>
  </si>
  <si>
    <t>País Perú: Región Piura (provincia de Morropón y Sullana; distrito de Chulucanas, Salitral, San Juan de Bigote y La Matanza), Región Junín (provincia de Tarma, Huancayo y Churcampa; distrito de Acobamba, el Tambo, Huancayo y San Miguel de Mayocc), Región Cusco (Provincia de la Convención; distrito de Santa Teresa).</t>
  </si>
  <si>
    <t>Mujeres en edades entre 18 y 50 años</t>
  </si>
  <si>
    <t>Las participantes directas son aquellas mujeres a las que el proyecto pretende alcanzar con una estrategia de asociatividad, en las cuales se forman asociaciones de mujeres (aproximadamente 20 mujeres por asociación) con emprendimientos identificados, teniendo como meta final a 3,000 mujeres.   Con relación a los participantes indirectos, se consideró un promedio de 4 personas por familia, promedio calculado en base a los registros del proyecto e información brindada por los equipos de las regiones de intervención del proyecto.</t>
  </si>
  <si>
    <t>generar confianza en las mujeres para que logren mayor autonomía en la gestión de sus recursos, un ejemplo claro fue el capital semilla. Por otro lado, considerar y lograr aumentar la autoestima y empoderamiento de las mujeres a traves de las redes de mujeres facilitadoras.</t>
  </si>
  <si>
    <t>La estrategia de Asociatividad, para llegar a más mujeres y lograr que los emprendimientos sean más competitivos</t>
  </si>
  <si>
    <t>Trabajar con los bancos comunales, de manera que las emprendedoras que estaban iniciándose estén más familiarizadas con los sistemas de ahorro y se logren organizar mejor asumiendo responsabilidades.</t>
  </si>
  <si>
    <t>Generación de desarrollo de producto (valor agregado, transformación del producto, marcas colectivas)</t>
  </si>
  <si>
    <t>Lograr que las mujeres sean las protagonistas de impulsar los procesos de cambio de sus localidades; el modelo de réplica a travez de las redes de facililtadoras.</t>
  </si>
  <si>
    <t>Facilitar la participación de las mujeres particpantes del proyecto en los procesos para acceder a inversión pública.</t>
  </si>
  <si>
    <t>Las historias de cambio, que expresan las evidencias que les ha permitido a las mujeres mejorar sus ingresos y cierta autonomía económica.</t>
  </si>
  <si>
    <t>Este semestre corresponde al semestre de cierre del proyecto.</t>
  </si>
  <si>
    <t>La información brindada se basa en la propuesta del documento inicial y el informe final entregado al donante.</t>
  </si>
  <si>
    <t>Escalando el desarrollo empresarial para el empoderamiento de mujeres</t>
  </si>
  <si>
    <t>CNLDPE1012</t>
  </si>
  <si>
    <t>Jefa de proyecto</t>
  </si>
  <si>
    <t>15,000 mujeres empoderadas de las comunidades de Piura, Junín y Huancavelica, desarrollan negocios competitivos y viables.</t>
  </si>
  <si>
    <t>País Perú: Región Piura (provincia de Morropón y Sullana; distrito de Chulucanas, Salitral, San Juan de Bigote y La Matanza), Región Junín (provincia de Tarma, Huancayo y Churcampa; distrito de Acobamba, el Tambo, Huancayo y San Miguel de Mayocc)</t>
  </si>
  <si>
    <t>Mujeres de edad de trabajar que tengan un emprendimiento en marcha, así como mujeres que tengan una idea de negocio y estén organizadas y listas para emprender.</t>
  </si>
  <si>
    <t>1800 mujeres empresarias correspondientes a la fase I de la intervención, de los grupos de emprendimiento con mayor nivel de desarrollo realtivo, 4,500 mujeres como resultante del efecto multiplicador de las mujeres empresarias, 8,700 mujeres emprendedoras y empresarias comom resultado de la incidencia y la momvilización de recursos a favor de la empresarialidad de las mujeres, en localidades nuevas de las regiones priorizadas. De manera indirecta, se considera un promedio de 4 personas por familia, según los registros que se tienen en el trabajo realizado con nuestros proyectos.</t>
  </si>
  <si>
    <t>Estamos en la etapa de implementación del proyecto en camino a realizar la línea de base respectiva.</t>
  </si>
  <si>
    <t>El proyecto se encuentra en su etapa inicial de implementación.  La información brindada responde a la propuesta aprobada y al IPIA firmado con Care Holanda.</t>
  </si>
  <si>
    <t>KAMARIKUY CH´AKIMANTA</t>
  </si>
  <si>
    <t>CNLDPE1010</t>
  </si>
  <si>
    <t>Lucy Harman</t>
  </si>
  <si>
    <t>Gerente de Gestión de Riesgos</t>
  </si>
  <si>
    <t>lharman@care.org.pe</t>
  </si>
  <si>
    <t>Salvar vidas y proteger medios de vida vulnerables de los efectos adversos de eventos hydrometeorologicos  mediante una contribución a la mejora de la de la coordinación, calidad y efectividad del  SINAGRED  en Peru.</t>
  </si>
  <si>
    <t>País Perú; Departamento Puno; Provincias Huancane, Azangaro y Carabaya; Distros Huancané, Taraco, huatasani, Samán, Ajoyani.</t>
  </si>
  <si>
    <t>Familias indígenas Quechuas y aymaras</t>
  </si>
  <si>
    <t>* Los participantes directos son las personas que se involucran en las actividades y beneficios del proyecto, cuyos medios de verificación son planillas de capacitación, asistencia técnica, actas de entrega de medidas prácticas, etc. * Los participantes indirectos son las personas que adicionalmente también se benefician por efecto multiplicador de protección con 4 pararrayos dentro de las cuatro comunidades (226 mujeres y niñas,  224 hombres y niños); y otra por estrategia de comunicación de los pronósticos climático de SENAMHI PUNO que emite a traves de medios de comunicación local (1300 mujeres y niñas, 1800 hombres y niños). Para esto se ha trabajado mejoramiento de equipamiento de estación meteorológica y 3er concurso regional de Periodismo y medios de comunicación radial y televisivo.</t>
  </si>
  <si>
    <t>En agosto 2017 se realizará la evaluación final CAP del proyecto a través de una empresa consultora, esto para contrastar los resultados e impactos con el estudio CAP de la Linea de Base del Proyecto que se hizo en 2016.</t>
  </si>
  <si>
    <t>Puno es un departamento que su población rural vive de agricultura y ganadería, sin embargo se desarrolla en exclusiva dependencia de la lluvia o precipitación pluvial, en ese sentido se han hecho innovaciones como: 1.- Aprovechamiento de agua de sub suelo con pozos tubulares y bomba sumergible, para sus ganados y regar sus cultivos y temporada de sequía 2.- Produccion de biogás (energía limpia) a partir del estiercol de ganado, para la calefaccion de los ganados dentro del mini establo, para el uso en la cocina familiar, y Biol para fertilizar el suelo y abono foliar de sus cultivos y pastos cultivados (alfalfa) en fortalecimiento ante los daños de eventos adversos hidrometeorológicos.</t>
  </si>
  <si>
    <t>El proyecto trabajó en alianza con Gobierno Regional Puno - COER, SENAMHI, INDECI y la Universidad. 1.- La universidad nacional del Altiplano de Puno, incorporó por primera vez en suprograma de estudios los Diplomados: Gestión del Riesgo de desastres, Evaluación del riesgo de Desastres. Ahora lo programan y desarrollan de manera independiente en servicio de los funcionarios públicos y profesionales de la Región y País.</t>
  </si>
  <si>
    <t>Fortalecimiento organizacional de familias rurales vulnerables al entorno de los peligros</t>
  </si>
  <si>
    <t>Desarrollo de capacidades comunitarios en GRD y adaptación a los efectos del cambio climatico</t>
  </si>
  <si>
    <t>Desarrollar alternativas funcionales para proteger sus medios de vida de los peligros hidro meteorologicos</t>
  </si>
  <si>
    <t>Incidencia por resultados es una estrategía funcional para que los socios se apropien y repliquen a futuro</t>
  </si>
  <si>
    <t>Innovar estrategias para fortalecer sus medios de vida con enfoque de gestión del riesgo de desastres, empodera al compromiso, entrega y desafío de los beneficiarios</t>
  </si>
  <si>
    <t>El fortalecimiento de la organización comunitaria en Gestión del Riesgo de Desastres, permite contribuir a la efectiva reducción del riesgo y adaptación al cambio climático  </t>
  </si>
  <si>
    <t>Los efectos del cambio climático generan mayor impacto negativo a familias más vulnerables</t>
  </si>
  <si>
    <t>Evaluación CAP final del Proyecto Video que sistematiza el accionar y resultados del Proyecto</t>
  </si>
  <si>
    <t>Sistema Intergubernamental de Evaluación de Riesgos y Gestión Institucional Aplicada para la Gestión del Riesgo de Desastres (SINERGIA GRD)</t>
  </si>
  <si>
    <t>CNLDPE1007</t>
  </si>
  <si>
    <t>Gerente RRD</t>
  </si>
  <si>
    <t>Establecer la formación permanente y la investigación aplicada en GRD para la nueva generación de tomadores de decisión y actuales gestores públicos, transversalizando / incorporando el enfoque de la GRD en los diferentes planes de estudio de cinco universidades en las regiones de Apurímac, Ayacucho, Huancavelica, Ica y Junín;  y al mismo tiempo, ampliando la difusión del conocimiento general sobre la GRD mediante la creación de una plataforma piloto en-línea en el CENEPRED.</t>
  </si>
  <si>
    <t>Lima Metropolitana y Mancomunidad Regional de los Andes (Apurimac, Ayacucho, Huancavelica, Ica y Junin)</t>
  </si>
  <si>
    <t>39 académicos y 210 gestores públicos de  las cinco regiones de la Mancomunidad de los Andes culminaron satisfactoriamente el  Primer Programa Avanzado de Alta Especialización en Gestión del Riesgo de Desastres de la Universidad ESAN.
Participaron académicos de la Universidad Nacional de San Cristóbal de Huamanga (Ayacucho), la Universidad Nacional Micaela Bastidas (Apurímac), la Universidad Nacional de Huancavelica, la Universidad Nacional José María Arguedas (Apurímac), la Universidad Nacional del Centro del Perú (Junín) y la Universidad Nacional San Luis Gonzaga de Ica.</t>
  </si>
  <si>
    <t>Participantes directos: (i) 40 académicos de universidades locales entrenados como capacitadores en GRD; (ii) Cinco (5) funcionarios del CENEPRED entrenados como capacitadores en GRD, (iii) 150 participantes en un curso descentralizado de GRD en universidades locales (una por cada región de la Mancomunidad Regional Los Andes- MRLA), (iv) 60 personas capacitadas a través de la plataforma online del Centro Nacional de Estimación, Prevención y Reducción de Desastres (CENEPRED), cinco (5) beneficiarios  de becas para desarrollar tesis en GRD. El desagregado por género es un estimado basado en la propuesta.
En la propuesta original al donante no se consideró la desgregación por género de los participantes.
Se consideraron los siguientes participantes institucionales: MRLA y los cinco gobiernos regionales que la integran, cinco universidades públicas de la MRLA, tres distritos de Lima Metropolitana (a través de asocios con otros proyectos de DIPECHO) y CENEPRED.   
La propuesta del proyecto (página 7 del Single Form de ECHO) consideró el concepto de "catchment population" pero no proporciona una definición. Establece que esta población asciende a 3.8 millones de personas (el total de la población de las cinco regiones de la MRLA)según proyecciones del INEI). Dado que no s cuenta con una definición del concetp de "catchment population" no se la puede considerar como población participante indirecta.</t>
  </si>
  <si>
    <t>Dotación de nuevos conocimientos en GRD y gestión publica para la plana docente de universidades públicas y privadas. Para el diseño de políticas, el desarrollo de planes la obtención de recursos ppublicos mediante mecanismos existentes</t>
  </si>
  <si>
    <t>El fortalecimiento de la sociedad civil fue uno de los objetivos explícitos dentro del proyecto/iniciativa, y llevó a cabo acciones de este tipo</t>
  </si>
  <si>
    <t>El modelo de trabajo desarrollado, constituye un referente nacional para el proceso de desarrollo de capacidades en GRD ya que la preocupación no solo ha sido capacitar sino  formar, asesorar y acompañar  equipos de trabajo a los que se les ha s denominado núcleos de aprendizajeaprendizaje  y quienes han contado con un programa tutorial que ha involucrado a docentes  formadores de las universidades públicas y el seguimiento diferenciado que han desarrollado los docentes de la Universidad ESAN asignados  en cada región</t>
  </si>
  <si>
    <t>Con relación al presupuesto, son  USD 486,607 provenientes de ECHO y USD 131,559 como contrapartida de CARE  Perú. Tipo de cambio  USD 1.1 = EUR 1
Los participantes directos del AF17 están compuestos por:
(i)  260 académicos (de cinco universidades públicas de la MRLA) , autoridades y  funcionarios (de gobiernos regionales y locales de MRLA) beneficiados a través de la formación brindada por el Diplomado en GRD de la Universidad ESAN.
(ii) 550 participantes que aprobaron al menos uno de los cuatro cursos virtuales en GRD diseñados y ofrecidos por el CENEPRED en el marco del proyecto.  </t>
  </si>
  <si>
    <t>Socialización de la experiencia desarrollada por las mujeres, a mujeres de comunidades aledañas.</t>
  </si>
  <si>
    <t>3,000 mujeres de las localidades de los departamentos de Piura, Junín, Huancavelica y Cusco sensibilizadas para iniciar emprendimientos económicos. 60 mujeres emprendedoras con capacidades para facilitar emprendimientos.</t>
  </si>
  <si>
    <t>Las participantes directas son aquellas mujeres a las que el proyecto pretende alcanzar con una estrategia de asociatividad, en las cuales se forman asociaciones de mujeres (aproximadamente 20 mujeres por asociación) con emprendimientos identificados, teniendo como meta final a 3,000 mujeres, de las cuales 60 son identificadas para capacitarlas como facilitadoras.  Con relación a los participantes indirectos, se consideró un promedio de 4 personas por familia.</t>
  </si>
  <si>
    <t>Se espera trabajar esta metodología de la réplica de la experiencia "entre pares" en una segunda fase del proyecto.</t>
  </si>
  <si>
    <t>Básicamente esta réplica recoje la estrategia innovadora de retransmitir la experiencia emprendedora entre pares, logrando en dos meses llegar a más de 3,000 mujeres nuevas motivadas para emprender, con sus líneas de negocio priorizadas y en su mayoría ya conformadas.</t>
  </si>
  <si>
    <t>La estrategia de réplica de la experiencia entre pares (de mujer a mujer)</t>
  </si>
  <si>
    <t>Fortalecer la autoconfianza de las mujeres emprendedoras líderes como facilitadoras</t>
  </si>
  <si>
    <t>La principal lección y aprendizaje fue lograr fortalecer las habilidades de liderazgo de las mujeres participantes del proyecto convirtiéndose en facilitadoras capacitadas para motivar a más mujeres para que realicen nuevos emprendimientos.</t>
  </si>
  <si>
    <t>la estrategia de socialización de la experiencia entre pares fue muy posititva y tuvo excelentes resultados.</t>
  </si>
  <si>
    <t>Esta socialización de la experiencia es una iniciativa puntual que se desarrolló durante los tres primeros meses del año 2017.</t>
  </si>
  <si>
    <t>La información brindada se basa en la propuesta del documento de ampliación enviado al donante, así como el informe final.</t>
  </si>
  <si>
    <t>SOS Niño Costero</t>
  </si>
  <si>
    <t>CNLDPE1011</t>
  </si>
  <si>
    <t>Gerente de GRD y Emergencias</t>
  </si>
  <si>
    <t>Proporcionar kits de agua segura y artículos básicos de higiene y de protección de enfermedas transmitidas por vectores a familias damniificadas por el fenómeno Niño Costero en las zonas más afectadas de los departamentos de Tumbes y Piura.</t>
  </si>
  <si>
    <t>Departamento de Tumbes: Provincia de Zarumilla (Distritos de Aguas Verdes, Matapalo y Papaya), Provincia de Tumbes (Distritos de Tumbes, San Juan La Virgen, San Jacinto, Pampas de Hospital)
Departamento de Piura: Provincia de Pïura (Distritos: Piura, Catacaos, Cura Mori) Provincia de Morropón (Distritos de Morropón, Chulucanas)</t>
  </si>
  <si>
    <t>1500 familias damnificadas por las lluvias e inundaciones ocasionadas por el fenómeno climatológico denominado Niño Costero que afectó el norte del Perú en marzo y abril del 2017.</t>
  </si>
  <si>
    <t>Participantes directos: 1500 familias damnificadas por las lluvias e inundaciones ocasionadas por el fenómeno climatológico denominado Niño Costero que afectó el norte del Perú en marzo y abril del 2017. 
Para la propuesta se estimo que el promedio de miembros por familia era de cinco (5) personas. Asimismo, según estadísticas oficiales el índice masculinidad total en Perú en 2017 es de 98.2 
Participantes indirectos: No se considera participantes indirectos en este proyecto.</t>
  </si>
  <si>
    <t>El numero de participantes directos del año fiscal 2017 (sección #2) es un estimado sobre la base de una constatación que se realizó durante el proceso de distribución de kits: el numero promedio de miembros de familia en la zona afectada por el Niño Costero es de 4.3 personas y no de 5 como se habpia considerado en la propuesta.  en consecuancia, se realizó la entrega de los 1500 kits porgramaados pero se alcanzó una cobertura menor en términos poblacionales.</t>
  </si>
  <si>
    <t>Ayuda Humanitaria de emergencia para poblaciones vulnerables  afectadas por las grandes inundaciones de Perú (Start Fund - Acción contra el Hambre)  (Piura 600 kits + 1 sistema)</t>
  </si>
  <si>
    <t>ACHXPE0001</t>
  </si>
  <si>
    <t>CARE Peru</t>
  </si>
  <si>
    <t>Start Fund</t>
  </si>
  <si>
    <t>Walter Vilchez Dávila</t>
  </si>
  <si>
    <t>Gerente del Programa de Nutrición y Seguridad Alimentaria</t>
  </si>
  <si>
    <t>wvilchez@care.org.pe</t>
  </si>
  <si>
    <t>Brindar asistencia humanitaria a las familias damnificadas debido a la emergencia producida por el Fenomeno El Niño Costero</t>
  </si>
  <si>
    <t>El Proyecto se desarrollo en el departamento de Piura en las provincias de Piura (distritos de Catacaos, Cura Mori y Tambogrande) y Morropón (Buenos Aires).</t>
  </si>
  <si>
    <t>El grupo de impacto fueron las familias damnificadas, las mismas que incluyen niñas, niños, adolescentes, jóvenes, adultos y adultos mayores.</t>
  </si>
  <si>
    <t>Los beneficiarios directos se obtuvieron del total de kits distribuidos a las familias damnificadas, se calculo el total de personas considerando 5 personas por familia. La distribución por sexo fue de acuerdo al censo del INEI. Por la naturaleza del proyecto, no se consideran participantes indirectos.</t>
  </si>
  <si>
    <t>Los líderes de la comunidad se involucraron apoyando al equipo de emergencias en la identificación adecuada de las familias damnificadas. Asimismo, colaboraron con el orden y seguridad durante la entrega de los kits.</t>
  </si>
  <si>
    <t>Trabajo articulado y coordinado con el gobierno local.</t>
  </si>
  <si>
    <t>Involucramiento de los lideres comunitarios y autoridades locales.</t>
  </si>
  <si>
    <t>Conformación de un comité interinstitucional ayuda a evitar la duplicidad y optimizar los recursos disponibles.</t>
  </si>
  <si>
    <t>La adquisición local de insumos y materiales debe ser en lo posible descentralizada a fin de reducir los tiempos de entrega de bienes y servicios.</t>
  </si>
  <si>
    <t>El trabajo con gobiernos locales ayuda a reducir los costos logísticos para la atención de las familias damnificadas.</t>
  </si>
  <si>
    <t>La presencia previa de CARE en la región ha facilitado el despliegue organizativo logístico para el rápido desarrollo de las intervenciones de emergencia, así como el trabajo de incidencia, relacionamiento público y comunicación social.</t>
  </si>
  <si>
    <t>Desarrollo de Innovaciones para la Seguridad Alimentaria y Nutricional en las zonas de integración fronteriza Perú-Bolivia</t>
  </si>
  <si>
    <t>IPCXPE0004</t>
  </si>
  <si>
    <t>Contribuir a la integración fronteriza, con participación organizada de la sociedad civil en Bolivia y Perú, enfocada a mejorar la seguridad alimentaria y nutricional, y a promover el desarrollo socio-económico.</t>
  </si>
  <si>
    <t>Perú / Departamento de Puno / Provincia de El Collao /Distritos: Ilave, Conduri, Santa Rosa y Capazo</t>
  </si>
  <si>
    <t>1000 familias pertenecientes a comunidades campesinas de cuatro distritos de la provincia de El Collao</t>
  </si>
  <si>
    <t>Participantes directos: son 1,000 familias de las comunidades campesinas y se estimo en 4 miembros por familia. También se consideraron como beneficiarios directos los 23 integrantes del Consejo Regional de Seguridad Alimentaria y Nutricional. La proporción de hombres y mujeres tuvo como referencia el Censo de la Población 2007 de la provincia de El Collao. Participantes indirectos: se considera que son todas los habitantes del departamento de Puno se benefician con la implementación de la Política Regional de Seguridad Alimentaria y Nutricional (SAyN) que el proyecto apoya mediante acciones de asistencia técnica a los miembros del Consejo Regional de SAyN y la incidencia política (Proyección INEI 2017) La Estrategia Regional de Seguridad Alimentaria y Nutricional 2016 - 2021 se encuentra enmarcada en los principios del Pacto Internacional de Derechos Económicos, Sociales y Culturales. Esta política pública, junto con el Pacto Internacional de los Derechos Civiles y Políticos, constituye un instrumento jurídico fundamental para la materialización de la Declaración Universal de los Derechos Humanos. La Estrategia Regional de Seguridad Alimentaria y Nutricional 2016 - 2021, aprobada mediante Ordenanza Regional N° 081-2006-PR-GR PUNO el 31 de marzo de 2016, tiene por objetivo garantizar que la población de la Región Puno, logre satisfacer, en todo momento, sus requerimientos nutricionales con productos andinos para mejorar su calidad de vida, con un trabajo concertado y articulado.</t>
  </si>
  <si>
    <t>Se trabaja con un grupo de agricultores (hombres y mujeres) que tienen interés en participar en la evaluación y selección de clones avanzados de papa proporcionados por el Centro Internacional de la Papa (CIP). Los agricultores participaron como colaboradores de la investigación, al contribuir con su tiempo y con la cesión de una pequeña superficie de su terreno para las parcelas demostrativas. El propósito es obtener una variedad de papa con mejores características agronómicas, nutricionales y comerciales.</t>
  </si>
  <si>
    <t>Se trabaja con el sector salud para el fortalecimiento de capacidades del personal de salud y agentes comunitarios para el desarrollo de intervenciones efectivas de consejería nutricional y sesiones demostrativas con alimentos nutritivos disponibles localmente para la adopción de buenas prácticas de alimentación infantil.</t>
  </si>
  <si>
    <t>Se han desarrollado reuniones de socialización, planeamiento y capacitación del Consejo Regional para la implementación del plan de seguridad alimentaria y nutricional en Puno.</t>
  </si>
  <si>
    <t>En coordinación con el Centro Internacional de la Papa y las autoridades de las 10 comunidades priorizadas se realiza el estudio sobre Análisis y construcción de índices de vulnerabilidad a la inseguridad alimentaria y nutricional de las familias rurales de Puno, el estudio permitirá analizar las variables e índices sociales, económicos, productivos, salud y nutrición que influyen y determinan la vulnerabilidad en las familias rurales.</t>
  </si>
  <si>
    <t>La incidencia al Gobierno Local de El Collao para la conformación del consejo local de seguridad alimentaria y nutricionales esencial para influir en los decisores.</t>
  </si>
  <si>
    <t>La selección positiva de semilla de papa con participación activa de las mujeres es clave porque ellas están a cargo de esta actividad agrícola.</t>
  </si>
  <si>
    <t>La adecuación cultural de material educativo orientado a mejorar la nutrición infantil y contribuir con la reducción de la anemia es importante para un mejor entendimiento del público objetivo.</t>
  </si>
  <si>
    <t>El Consejo Regional y Local de Seguridad Alimentaria y Nutricional es un espacio para la gestión articulada de las intervenciones que favorecen la seguridad alimentaria y nutricional de la población.</t>
  </si>
  <si>
    <t>La existencia de variedades de papa resistentes a las heladas y a los efectos del cambio climático contribuyen con la seguridad alimentaria de las familias.</t>
  </si>
  <si>
    <t>La alianza estratégica con el Centro Internacional de la Papa garantizan la asistencia técnica especializada en el fortalecimiento de capacidades de las y los productores de papa.</t>
  </si>
  <si>
    <t>Informes de proyecto.</t>
  </si>
  <si>
    <t>Educación para el desarrollo y la inclusión financiera.</t>
  </si>
  <si>
    <t>SCOTPE0007</t>
  </si>
  <si>
    <t>Bibiano Huamancayo Quiquín</t>
  </si>
  <si>
    <t>Jefe de proyectos Desarrollo Económico</t>
  </si>
  <si>
    <t>bhuamancayo@care.org.pe</t>
  </si>
  <si>
    <t>Contribuir al desarrollo sostenible a través de la inclusión social, económica y financiera de   familias en situación de pobreza en cuatro regiones del Perú.</t>
  </si>
  <si>
    <t>Departamento de Arequipa Provincia de Arequipa; Departamento La Libertad Provincia Trujillo; departamento Lambayeque Provincia Lambayeque; y Departamento de Junín, Provincia de Huancayo y Concepción.</t>
  </si>
  <si>
    <t>Son jefas y jefes de familias con emprendimientos económicos que se busca incluir en dinámicas económicas de mercado, haciendo que transiten emprendedores del nivel inicial, sin desarrollo, hacia un nivel intermedio y avanzado, con la producción, valor agregado y su articulación al mercado, y en donde las actividades económicas se desarrollen con una mirada empresarial en un contexto local favorable, generando finalmente ingresos sostenibles para las familias involucradas en los negocios. Los estudiantes de instituciones educativas de nivel secundario ; el proyecto promoverá la mejora de los aprendizajes en los y las estudiantes en educación emprendedora, financiera y previsional de acuerdo al currículo nacional</t>
  </si>
  <si>
    <t>Participantes directos: (i) 3,543  jefas y jefes de familias con emprendimientos económicos (producción/servicios) quienes reciben apoyo en capacitación, asistencia técnica con enfoque de cadena de valo en cuatro regiones. (ii) 5,000 estudiantes de nivel secundario y 200 docentes de 10 instituciones educativas de cuatro regiones que reciben capacitación y asistencia técnica en educación emprendedora, financiera y previsional. De acuerdo a la base de datos del total 3,543 jefes y jefas 36%  son hombres y 64%  son mujeres. Mientras que en los estudiantes del total 5,000  y 200 docnetes el 49% corresponde mujeres y 51% a  hombres. Participantes indirectos: se obtienen es multiplicado el numero de beneficiarios directos por 4 (integrantes promedio de una familia)</t>
  </si>
  <si>
    <t>Se elaboró la Linea de Base del proyecto</t>
  </si>
  <si>
    <t>Inclusión financiera y económicos de familias vulnerables y aprendizaje de estudiantes a partir de la metodologia investigación acción reflexiva.</t>
  </si>
  <si>
    <t>Modelo de inclusión financiera y económico a través de la educación emprendedora, financiera y previsional.</t>
  </si>
  <si>
    <t>Formación de redes empresaial y organizaciones de 2 do nivel  </t>
  </si>
  <si>
    <t>Formación y fortalecimiento de las organizaciones en asociaciones, microempresas, redes, otros</t>
  </si>
  <si>
    <t>Fortalecimiento de las competencias tecnicas, productivas con innovación, gestión empresarial, mercadeo y educación financiera.</t>
  </si>
  <si>
    <t>Acceso de inversión pública y privada no retornable de las organizaciones para el crecimiento de sus negocios y/o servicios.</t>
  </si>
  <si>
    <t>Informe semestral</t>
  </si>
  <si>
    <t>Emergency Response to the Flooding in the North of Peru</t>
  </si>
  <si>
    <t>COCAPE0001</t>
  </si>
  <si>
    <t>El Proyecto se desarrollo en el departamento de La Libertad en las provincias de Virú (Virú) y Trujillo (Florencia de Mora y Laredo).</t>
  </si>
  <si>
    <t>Los participantes directos se obtuvieron del empadronamiento de las familias damnificadas que recibiran una vivienda temporal. Por la naturaleza del proyecto, no se consideran participantes indirectos.</t>
  </si>
  <si>
    <t>NO APLICA</t>
  </si>
  <si>
    <t>Los kits de ayuda huamanitaria tuvieron algunas adaptaciones según composición familiar.</t>
  </si>
  <si>
    <t>Los módulos de viviendas temporales de emergencia fueron tomadas de experiencia previa y validada en campo.</t>
  </si>
  <si>
    <t>La participación comunitaria organizada en la vigilancia y proceso constructivo de las VTDE.</t>
  </si>
  <si>
    <t>Participación comunitaria en la vigilancia de los materiales y apoyo en el proceso constructivo de las viviendas temporales de emergencia.</t>
  </si>
  <si>
    <t>El conocimiento de las percepciones de las familias damnificadas sobre la ayuda humanitaria es importante para la toma de decisiones adecuadas al contexto.</t>
  </si>
  <si>
    <t>Emergency Response to the Flooding in the North of Peru (Start Fund) (La Libertad 1000 kits)</t>
  </si>
  <si>
    <t>CGBRPE0070</t>
  </si>
  <si>
    <t>El Proyecto se desarrollo en el departamento de La Libertad en las provincias de Ascope (distritos de Chicama, Chocope, Razuri y Paijan), Trujillo (Víctor Larco), Virú (Chao).</t>
  </si>
  <si>
    <t>Los participantes directos se obtuvieron del empadronamiento de las familias damnificadas por el fenómeo denominado Niño Costero. Por la naturaleza del proyecto, no se consideran participantes indirectos.</t>
  </si>
  <si>
    <t>Fondo de Inversión Inclusiva Solidaria-FIIS</t>
  </si>
  <si>
    <t>CREDPE0001</t>
  </si>
  <si>
    <t>Jefes de familia, hombres y mujeres, de manera individual o asociada acceden a una fuente promocional de financiamiento para desarrollar emprendimientos que permiten incrementar sus ingresos.</t>
  </si>
  <si>
    <t>Departamento de Piura Provincia de Morropón distritos y  sus Municipalidades: Chullucanas, El Salitral, La Matanza y San Juan de Bigote   Departamento de Huancavelica Provincia de Huaytará y  Distritos y sus Municipalidades : Huaytará y Quito Arma. Departamento de Ica, Provincia de Chincha y Distritos y sus Municipales: Chincha Baja y El Carmen; Provincia de Pisco y Distritos  y sus Municipalidades: Independencia y Humay.</t>
  </si>
  <si>
    <t>Jefes y jefas de familias que se encuentran en situación pobreza</t>
  </si>
  <si>
    <t>Todos los participantes directos son jefas y jefes de familia (2363) quienes  son representantes de sus emprendimientos.   Los participantes indirectos incluye a los miembros de la famila que se multiplica por 5 (miembros de la familia)</t>
  </si>
  <si>
    <t>Empoderamiento de las Jefas y jefes de familias para la inclusión financiera a emprendimiento económicos, sin garantías reales</t>
  </si>
  <si>
    <t>Emprendimientos en marcha, garantizando la rentabilidad del negocio la inclusión financiera incrementa la rentabilidad económica del negocio por ende los ingresos económicos.</t>
  </si>
  <si>
    <t>Organizaciones de productores en diferentes niveles, según su participación (niveles de gobierno)</t>
  </si>
  <si>
    <t>Fortalecimiento de las competencias de las Jefes y jefas de Familia, en educación financiera, aspectos tecnicos productivos, gestión empresarial y mercadeo</t>
  </si>
  <si>
    <t>Desarrollo de los emprendimientos con enfoque de cadena de valor y de género</t>
  </si>
  <si>
    <t>Desarrollo del producto (microfranquicia, comercio eléctronico, otros) y agregación de la oferta productiva.</t>
  </si>
  <si>
    <t>El desarrollo de la cultura financiera es un aspecto clave en la promoción del crecimiento económico en los productores y grupos objetivo, enfatizando el reconocimiento de la inversión como un recurso que participa en el proceso productivo y como otros recursos tiene un valor de uso y que no todas las inversiones pueden ser subvencionadas</t>
  </si>
  <si>
    <t>Los Bancos Comunales, de manera general, constituyen una estrategia adecuada no solo para promoción de la cultura de ahorro, crédito y financiamiento, teniendo mayor impacto en los grupos de emprendimiento, constituyéndose además con una fuente accesible para microcréditos</t>
  </si>
  <si>
    <t>La educación financiera facilita la articulación de los negocios al sistema financiero formal para acceder crédito.</t>
  </si>
  <si>
    <t>Fortaleciendo la preparación ante el fenomeno del Niño</t>
  </si>
  <si>
    <t>AID-OFDA-G-16-00006</t>
  </si>
  <si>
    <t>OFDA</t>
  </si>
  <si>
    <t>Gerente de gestión de riesgos</t>
  </si>
  <si>
    <t>Maria Espinoza</t>
  </si>
  <si>
    <t>Jefe de proyecto</t>
  </si>
  <si>
    <t>mespinoza@care.org,pe</t>
  </si>
  <si>
    <t>Mejorar la coordinación, la sensibilización y la preparación para responder ante el fenomeno del EL niño, particularmente en asuntos relativos al techo y ASH</t>
  </si>
  <si>
    <t>Ciudades del Norte del pais ,vulnerables al Fenomeno El Niuño,priorizando 04 Regiones, 11 Provincias,25 distritos y 84 localidades  : La Libertad (Prov: Trujillo), Piura(Provincias :Piura, Sechura, Sullana,Morropon, Buenos Aires,Salitral , )Tumbes (Prov: Tumbes y Contrarlmirante Villar), Lambayeque(Prov:Chiclayo, Ferreñafe).</t>
  </si>
  <si>
    <t>Población urbana y rural vulnerable ante el  Fenomeno El niño.</t>
  </si>
  <si>
    <t>Los participantes directos :son los miembros de familias del area de intervencion(Zona geografica vulnerable al FEN, cuyas caracteristicas  son poblacion en pobreza, poblacion vulnerable:Adulto mayor,niños, niñas y adolescentes, poblacion con discapacidad, madres gestantes  todo ello bajo el enfoque de protección) ademas que  participaron directamente de por lo menos 2 actividades programadas en el proyecto(Sensibilizacion y capacitación) ,un ejemplo las ferias de sensibilizacion y capacitacion en Agua ,saneamiento e higiene, o  capacitacion en brigadas, capacitacion en construir un albergue o viviendas temporales.
Desde miembros de familias hasta funcionarios y autoridades locales participantes en los diferentes eventos programados .
Los indirectos se calcularon por un promedio de 5 personas por familia que recibieron capacitacion de los brigadistas en sus propias viviendas. Sin embargo, los censos poblacionales del proyecto revelaron que el número promedio de miesmbros por familia en als zonas de intervención es 3.5. Este dato se usa para estimar los beneficiarios indirectos del AF2017 (Sección 2)</t>
  </si>
  <si>
    <t>Censo de poblacion vulnerable</t>
  </si>
  <si>
    <t>fortaleciendo capacidades en GRD (reactiva) para preparase frente a una emergencia, con planes y acciones de mitigación.</t>
  </si>
  <si>
    <t>El modelo de gestión consorciada de 8 ong junto con Indeci posibilitó el desarrollo de capacidades conjuntas de sus miembros y ha demostrado ser eficaz para establecer sinergias y articulaciones multinivel y de complementación de esfuerzos de la sociedad civil y el estado</t>
  </si>
  <si>
    <t>El modelo de capacitación llegando a cada familia o grupos de familia, implementado por brigadistas locales del entorno de los beneficiarios ha permitido llegar a la mayoria de familias de las zonas priorizadas  y alcanzar las metas en cantidad y calidad.</t>
  </si>
  <si>
    <t>Metodologia  lúdica usada en la sensibilización en RRD (El tren de GRD , juegos,etc)  ,logro llegar a los participantes y cubrir la meta programada del proyecto.Se cuenta con una base de datos de las familias que cuentan con miembros priorizados en lo que respecta a proteccion (Gestantes, niños, niñas, adulto mayor,discapacidad) para tomar acciones en lo que respecta a apoyo especial.</t>
  </si>
  <si>
    <t>Un proyecto de corto duracion en el tiempo, que  permitio a los 08 miembros de la alianza a trabajar en conjunto, generar propuestas de accion y ejecutarlas con la poblacion generando Sinergia con las autoridades nacionales, regionales y locales.</t>
  </si>
  <si>
    <t>Incidencia en Nutrición 2016 en Perú</t>
  </si>
  <si>
    <t>NVFNPE0001</t>
  </si>
  <si>
    <t>New Venture Fund (NVF)</t>
  </si>
  <si>
    <t>Asegurar que el gobierno peruano se comprometa a metas específicas de reducción de la desnutrición crónica infantil y la anemia; y sobre el incremento del gasto público en intervenciones para lograr esas metas.</t>
  </si>
  <si>
    <t>Perú</t>
  </si>
  <si>
    <t>78 personas: Consejo Directivo de la Iniciativa contra la Desnutrición Infantil (19), Comité Técnico (19), Comité de Comunicaciones (19), Representantes de los sectores de salud, inclusión social, agricultura y vivienda (8), Representantes de la Mancomunidad Regional de Los Andes (10), Gerencia de la MRDLA (3).</t>
  </si>
  <si>
    <t>Participantes directos: Se determina los participantes directos a partir de la membresía de la Iniciativa Contra la Desnutrición Infantil (IDI) Participantes indirectos: Se toma el número y porcentaje  la población menor de tres años afectada por la anemia infantil según la ENDES 2016. Con información del censo nacional se determina la proporción de niñas y niños en esta población . Es la población beneficiaria del trabajo de incidencia política que realiza la IDI para posicionar y mantener en la agenda pública los temas de nutrición infantil promoviendo la asignación presupuestal y la implementación de políticas  sobre la base de intervenciones de eficacia comprobada.. Fuentes:(i)  Indicadores de Resultados de los Programas Presupuestales (!er Semestre 2017) Vers. Preliminar. (ii) Población Proyectada por edades (INEI 2016)</t>
  </si>
  <si>
    <t>El reconocimiento de la diversidad y las diferencias culturales que existe en el país, proponiendo la adecuación de las intervenciones prioritarias estratégicas para la reducción de la desnutrición crónica infantil y la anemia, adecuando los mensajes y contenidos educativos que se brinda a la población de acuerdo a sus necesidades e idioma.</t>
  </si>
  <si>
    <t>Se unen esfuerzos para establecer como prioridad en la agenda política del Gobierno Nacional y  la Mancomunidad Regional De Los Andes la lucha contra la anemia y desnutrición crónica infantil mediante el fortalecimiento de la articulación intergubernamental e intersectorial que garantice el alineamiento de políticas y recursos, programas y proyectos que promuevan y procuren el cierre de brechas en el acceso a bienes y servicios públicos que protegen la nutrición infantil.</t>
  </si>
  <si>
    <t>Se apoya la constitución del Comité Interinstitucional e Interagencial para la lucha contra la desnutrición crónica y anemia infantil en las regiones que conforman la Mancomunidad Regional de Los Andes, grupo de trabajo que brindará asesoramiento para la planificación y monitoreo de la implementación de las políticas públicas.</t>
  </si>
  <si>
    <t>Se analizaron los avances de los sectores de agricultura, desarrollo e inclusión social, agua y saneamiento, y salud para la presentación de recomendaciones de continuidad y adecuación de las políticas y programas con mejor desempeño al gobierno nacional del período 2016-2021.</t>
  </si>
  <si>
    <t>El fortalecimiento del liderazgo de los gobiernos subnacionales para la articulación y gestión territorial de los programas y proyectos desarrollados a nivel local que están vinculados con la nutrición infantil, mediante el desarrollo de capacidades gerenciales y técnicas en el marco de la descentralización y los Acuerdos de Gobernabilidad.</t>
  </si>
  <si>
    <t>La definición de estrategias específicas basada en evidencias y con pertinencia cultural para mejorar la cobertura y calidad de la atención a poblaciones excluidas y dispersas, poblaciones indígenas y de difícil acceso; agricultores con producción de subsistencia y menos de 1 ha de terreno.</t>
  </si>
  <si>
    <t>La generación de espacios de participación ciudadana en la formulación de políticas públicas porque contribuyen en la adecuada priorización de las inversiones, gestión de los servicios, vigilancia social y rendición de cuentas.</t>
  </si>
  <si>
    <t>La participación de CARE a través de la Iniciativa contra la Desnutrición Infantil (IDI) en la elaboración de los planes de transferencia del gobierno saliente para la consideración de los servicios que han sido más eficientes en la reducción de la desnutrición infantil contribuye con la continuidad de las políticas por el gobierno entrante.</t>
  </si>
  <si>
    <t>El rol de la IDI ha sido clave para incidir en los tomadores de decisiones del gobierno nacional porque el colectivo tiene mayor capacidad de llegada e influencia sobre las autoridades.</t>
  </si>
  <si>
    <t>La IDI como colectivo de instituciones, trabajan con intervenciones efectivas, muchas veces en zonas con contextos muy complejos, por lo que, no solo es reconocido por su trabajo de incidencia sino también como referente técnico para el desarrollo de intervenciones que tienen resultados en la reducción de la desnutrición crónica infantil y la anemia.</t>
  </si>
  <si>
    <t>INTERSEGURO</t>
  </si>
  <si>
    <t>INTRPE0001</t>
  </si>
  <si>
    <t>Satisfacer las necesidades inmediatas de recuperación de mujeres, hombres, niños y niñas afectadas por el evento "El Niño Costero" en la región de Lambayeque.</t>
  </si>
  <si>
    <t>El Proyecto se desarrollo en el departamento de Lambayeque en los distritos de Morrope, Pacora y Tucume.</t>
  </si>
  <si>
    <t>Los beneficiarios directos se obtuvieron del total de familias de las viviviendas temporales de emergencia (67). Se calculo el total de personas considerando 5 personas por familia. La distribución por sexo fue de acuerdo al censo del INEI. Por la naturaleza del proyecto, no se consideran participantes indirectos.</t>
  </si>
  <si>
    <t>Utilizar material para las viviendas temporales de emergencia con insumos disponibles y utilizados localmente.</t>
  </si>
  <si>
    <t>Se fortaleció el comité de vigilancia y rendición de cuentas de la comunidad para el cuidado de los materiales y monitoreo de los avances del proceso de construcción.</t>
  </si>
  <si>
    <t>Mejoramiento de las condiciones de personas desplazadas internas por medio del establecimiento y fortalecimiento de albergues en la región de Piura</t>
  </si>
  <si>
    <t>OIMXPE0001</t>
  </si>
  <si>
    <t>Gerente de Emergencias y Gestión del Riesgo</t>
  </si>
  <si>
    <t>Compra y distribución de Emergency Shelter Kits (herramientas y materiales para la reparación de viviendas - techos) para 560 familias damnificadas por el Fenómeno Niño Costero.</t>
  </si>
  <si>
    <t>Distrito de Catacaos y  distrito de Cura Mori,  Provincia de Piura, Departamento de Piura</t>
  </si>
  <si>
    <t>560 familias damnificadas por el fenómeno Niño Costero de los distritos de Catacaos y Cura Mori, en la Provincia de Piura, quienes contarán con kits de herramientas y materiales básicos para la reparación de los techos de sus viviendas.</t>
  </si>
  <si>
    <t>Participantes directos: son 2800 personas, pertenecientes a 560 familias damnificadas con viviendas inhabilitadas o colapsadas, que se beneficiarán con los Emergency Shelter Kits (herramientas y materiales para reparación de viviendas. El cálculo se ha realizado asumiendo que cada familia cuenta con un aproximado de 5 personas y la división por sexo es un estimado a partir del indice de masculinidad del Perú.
]Participantes indirectos: Por la naturaleza de la intervención, no se consideraron participantes indirectos.</t>
  </si>
  <si>
    <t>La linea de base se refiere  a que antes de iniciar la implementación se recogió información demográfica y sobre la afectación de las viviendas a través de la Aplicación KOBO Collect con el fin de calificar a las familias de las zonas más afectadas de Catacaos y Cura Mori y seleccionar a las más vulerables como beneficiarias del proyecto.     </t>
  </si>
  <si>
    <t>Durante el mes de junio la actividad básica ha sido el recojo de datos de las familias damnificadas para establecer criterios de selección, en base al nivel de afectación de las viviendas.
Por lotanto, los participantes directos de este proyecto se reportaran en la campaña PIIRS 2018</t>
  </si>
  <si>
    <t>NIÑAS CON OPORTUNIDADES</t>
  </si>
  <si>
    <t>PE141 CPERPE0001</t>
  </si>
  <si>
    <t>Silvia Nole</t>
  </si>
  <si>
    <t>Gerente de Programa de Educación</t>
  </si>
  <si>
    <t>snole@care.org.pe</t>
  </si>
  <si>
    <t>Niñas y adolescentes mujeres empoderadas (11-19 años) de zona rural y urbana marginal del Perú en situación de pobreza y pobreza extrema concluyen la secundaria en edad oportuna, con mayor igualdad de género y calidad educativa</t>
  </si>
  <si>
    <t>1. Región Ica, Provincia de Chincha, 7 distritos municipales: Chincha Alta, Chincha Baja, Sunampe, Grocio Prado, El Carmen, Pueblo Nuevo, Alto Larán
2. Región Huancavelica, Provincia de Huaytará, 4 distritos municipales: Quito Arma, San Antonio  de Cusicancha, Huayacundo Arma y Huaytará.</t>
  </si>
  <si>
    <t>1. Niñas, niños, adolescentes mujeres y hombres.
2. Docentes, directores y funcionarios mujeres y hombres
3. Madres y padres de familia</t>
  </si>
  <si>
    <t>Participantes Directos: se calcula en base a la matrícula escolar 2016 de cada Institución Educativa (8543), las y los docentes (360) y los  padres y madres asistentes a las sesiones de capacitación (590). Sumandos: 8543+360+590=9493
Participantes Indirectos: Se asume que del total de participantes directos, al existir padres e hijos/as y hermanos, se calcula que el número de hogares es el 80% del total de beneficiarios directos. Es decir, los hogares directos beneficiados se estiman en 7,595 hogares, cifra que se multiplica por el número promedio de personas por hogar, que según el INEI es de 4.5, lo que hace un total de 34175 participantes indirectos, que de acuerdo al índice de masculinidad de 102, se estima que el 49.5% de 34175 sean mujeres.</t>
  </si>
  <si>
    <t>La evaluación depende de una alianza con una institución académica reconocida.</t>
  </si>
  <si>
    <t>Desarrollar capacidades al interior de los colegios para la implementación de mecanismos de gestión y convivencia para la prevención a la violencia, la deserción escolar, el embarazo adolescente y promover la igualdad de género.</t>
  </si>
  <si>
    <t>Se fortalecen a las y los estudiantes miembros de los Municipios Escolares como líderes estudiantiles con capacidades y actoría para ser portavoces con sus pares en asuntos relacionados a la prevención de la deserción, al embarazo adolescente y a la importancia de la igualdad de género.</t>
  </si>
  <si>
    <t>Fortalecimiento de las capacidades y roles de los Municipios Escolares y de las Asociaciones de Padres y Madres de familia</t>
  </si>
  <si>
    <t>Involucrar de manera conjunta a hombres y mujeres</t>
  </si>
  <si>
    <t>Integración en aula del fortalecimiento de habilidades sociales, emprendedoras y el desarrollo de emprendimientos a partir de la incorporación en la currícula escolar</t>
  </si>
  <si>
    <t>Priorización y/o reajuste de objetivos,  componentes del proyecto y estructura del equipo de trabajo de acuerdo a disponibilidad presupuestaria</t>
  </si>
  <si>
    <t xml:space="preserve">Revisar la pertinencia de evaluaciones anuales cuando se trata de una experiencia piloto, que implica una primera fase de elaboración y validación de contenidos, insumos, así como prácticas y estrategias operativas  que involucra el proyecto. </t>
  </si>
  <si>
    <t>Integrar las prácticas del proyecto en la planificación y gestión institucional desde el inicio, favorece la implementación y sostenibilidad.</t>
  </si>
  <si>
    <t>Propuesta marco.
- Marco lógico
- Informe de línea de base
- Informe de avance a diciembre 2016</t>
  </si>
  <si>
    <t>Peru Floods - Emergency Relief</t>
  </si>
  <si>
    <t>CUSAPE0012</t>
  </si>
  <si>
    <t>WalMart</t>
  </si>
  <si>
    <t>Satisfacer las necesidades inmediatas de recuperación de mujeres, hombres, niños y niñas afectadas por el evento "El Niño Costero" en la región de La Libertad.</t>
  </si>
  <si>
    <t>El Proyecto se desarrollo en el departamento de La Libertad en las provincias de Virú (Virú,Chao y Guadalupito), Trujillo (Laredo y Huanchaco), Otuzco (Sinsicap) y Gran Chimú (Cascas).</t>
  </si>
  <si>
    <t>Los beneficiarios directos se obtuvieron de la información proporcionada por la junta de usuarios de agua de los agricultores. Por la naturaleza del proyecto, no se consideran participantes indirectos.</t>
  </si>
  <si>
    <t>SABA Plus: Boosting Impact al Global Scale, Component Perú - Fase II</t>
  </si>
  <si>
    <t>COSUPE0009</t>
  </si>
  <si>
    <t>Herbert Pacheco</t>
  </si>
  <si>
    <t>hpacheco@care.org.pe</t>
  </si>
  <si>
    <t>Cesarina Quintana</t>
  </si>
  <si>
    <t>Oficial de programa senior</t>
  </si>
  <si>
    <t>cesarina.quintana@sdc.net</t>
  </si>
  <si>
    <t>Incrementae la cobertura y mejora la calidad de los servicios de agua y saneamiento de la población rural del ámbito de acción</t>
  </si>
  <si>
    <t>El proyecto trabaja en las 25 regiones del país. En 14 de manera directa (Tumbes, Piura, Lambayeque, La Libertad, Amazonas, San Martín, Cajamarca, Huánuco, Ayacucho, Huancavelica, Apurímac, Cusco, Puno y Madre de Dios) En las 10 regiones restantes se interviene de manera indirecta exclusivamente a través de  instituciones del Estado Peruano.</t>
  </si>
  <si>
    <t xml:space="preserve"> - Funcionarios públicos del Ministerio de Vivienda Construcción (PNSR del MVCS) y de los Gobiernos Regionales y Locales; - Organizaciones comunales del ámbito de acción; y - Población beneficiaria del ámbito de acción.</t>
  </si>
  <si>
    <t>Perfil de los participantes directos: Funcionarios del Programa Nacional de Saneamiento Rural (PNSR) y de los Centros de Atención al Ciudadano del mismo programa del Ministerio de Vivienda Construcción y Saneamiento,  Funcionarios de los Gobiernos Regionales (DRVCS, DIRESA, DRE), Ministerio de Desarrollo en Inclusión Social Perfil de los participantes indirectos: Autoridades y funcionarios de los gobiernos locales, organizaciones comunales y beneficiarios de los sistemas de agua y saneamiento implementados en la comunidad, público objetivo de los procesos de capacitación. Los datos referentes a los participantes indirectos son una aproximación a partir de datos oficiales (Encuesta Nacional de Programs Estratégicos - ENAPRES 2016) realizada en base a los participantes de los procesos de capacitación, monitoreo y acompañamiento; en el marco de la transferencia del know how desarrollado por el Proyecto. La población rural del país está estimada en 7.1 millones de la cual 2.5 millones aproximadamente no tiene servicios de agua potable y saneamiento. Considerando que el proyecto tiene presencia directa en 14 de 25 regiones (56%) el equipo del proyecto ha estimado que la población beneficiaria indirecta ascendería a 1.5 millones (60% de 2.5 millones)</t>
  </si>
  <si>
    <t>El monitoreo y evaluación del Proyecto  se hace en forma trimestral, además de una en forma anual, a cargo de un tercero: el Instituto de Estudios Peruanos (IEP):</t>
  </si>
  <si>
    <t>Estrategias de intervención en agua y saneamiento que involucran la participación de la población organizada dedidamente capacitada y asistida desde su gobiernos local y a su vez, la asistencia de la instancia local desde los gobiernos regionales, con un cofinanciamiento participarivo del costo del proyecto; con el fin de generar empoderamiento y sostenibilidad. Además de innovaciones tecnológicas apropiadas para poblaciones rurales. Estrategias que en parte están siendo replicadas desde el Estado Nacional a través del MVCS - PNSR.</t>
  </si>
  <si>
    <t>A través de las Juntas Administradoras de Servicios de Saneamiento, con mayor liderazgo e iniciativa en el tema sectorial, y a través de plataformas regionales que congrega la participación de instituciones públicas, privadas y sociedad civil, para hacer incidencia en la instituciaonalización de una gestión sostenible del agua y saneamiento especialmente rural.</t>
  </si>
  <si>
    <t>Empoderamiento de los servicios de agua y saneamiento por las familias usuarias</t>
  </si>
  <si>
    <t>Cumplimiento de los roles y funciones que competen a los gobiernos regionales y locales en materia de agua y saneamiento rural</t>
  </si>
  <si>
    <t>Incidencia del modelo SABA en las políticas nacionales del sector</t>
  </si>
  <si>
    <t>La articulación intergubernamental nacional, regional y local, en el marco del proceso de descentralización es aún un desafio para lograr eficiencia en la atención de los servicios de agua y saneamiento; sin embargo se han dado algunos pasos importantes con la desconcentración del MVCS a través de los CAC.</t>
  </si>
  <si>
    <t>La incidencia política hacia el nivel nacional, a partir de evidencias como la eficiencia en la gestión demostrada por los niveles subnacionales, como ha sido el caso de los gobiernos locales y regionales, quienes han demostrado niveles importantes de avance en el cumplimiento de sus roles y funciones asignados por ley, en materia de agua y saneamiento; son más efectivas para ser acogidas por el gobieno nacional.</t>
  </si>
  <si>
    <t>Las nuevas políticas gubernamentales de intervención descentralizada basadas en incentivos económicos son exitosas, tanto para el desempeño y cumplimiento de metas como el Fondo de Estímulo del Desempeño - FED y el Plan de Incentivos, así como la política de creación de Núcleos Ejecutores Departamentales del MIDIS.</t>
  </si>
  <si>
    <t>En esta última fase del Proyecto, se potenció acciones de incidencia a las estrategias validadas,  hacia el gobierno nacional a través del PNSR del MVCS y sus instancias desconcentradas a través de los Centros de Atención al Ciudadano CAC, a nivel de las 14 regiones de intervención del proyecto de manera directa y de las demás regiones restante de manera indirecta.</t>
  </si>
  <si>
    <t>Informe anual 2016 del Proyecto</t>
  </si>
  <si>
    <t>Strengthening Indigenous Capacity in Conflict Resolution and Sustainable Resource Management in the Lot 76 Hydrocarbon Concession and Amarakaeri Communal Reserve in Madre de Dios Department, Peru</t>
  </si>
  <si>
    <t>ACCAPE0001</t>
  </si>
  <si>
    <t>Elizabeth Chulla Villa</t>
  </si>
  <si>
    <t>Especialista de Proyecto</t>
  </si>
  <si>
    <t>echulla@care.org.pe</t>
  </si>
  <si>
    <t>Contribuir al manejo de los conflictos sociales en la Reserva Comunal Amarakaeri (Madre de Dios, Perú)</t>
  </si>
  <si>
    <t>Diez comunidades nativas (Queros, San Miguel de Shintuya, Shipetiari, Diamante, Puerto Azul, Boca Isiriwe, Masenawa, San José del Karene, Puerto Luz y Barranco Chico) de la Reserva Comunal ECA-Amarakaeri,  distritos de Manu, Fitzcarrald, Madre de Dios y Huepetue en el Departamento de Madre de Dios.</t>
  </si>
  <si>
    <t>El proyecto está dirigido principalmente a trabajar con poblaciones indígenas de las etnias Harakbut, Yine y Machiguenga, así como funcionarios públicos de nivel nacional, regional y local. Los pueblos indígenas de la región mantienen una particular forma de manejar los conflictos, abordandolos de manera confrontativa, de igual manera los funcionarios públicos y representantes de industrias extractivas tienen una postura que trata de minimizar o invisibilizar los conflictos que persisten entre ellos y los pueblos indígenas de la región.</t>
  </si>
  <si>
    <t>Los particpantes directos corresponden a: los representantes de las comunidades nativas involucardas directamente en la implementación del proyecto, funcionarios publicos capacitados de las municipalidades que se encuentran en el ámbito de influencia del proyecto (distritos de Manu, Fitzcarrald, Madre de Dios y Huepetue), representantes capacitados o participantes de espacios de dialogo de organizaciones indígenas (ECA Amarakaeri, FENAMAD, COHARYIMA) y representantes capacitados o particpantes de espacios de dialogo de la Jefatura de la Reserva Comunal Amarakaeri. Los participantes indirectos corresponden a: integrantes de las diez comunidades que participaron en reuniones informativas del proyecto (espacios de dialogo y réplicas del programa de capacitación de líderes), demas funcionarios de las municipalidades distritales involucradas en el ambito de influencia del proyecto y funcionarios publicos y privados que se han involucrado en los espacios de dialogo que el proyecto ha promovido.</t>
  </si>
  <si>
    <t>Nuestro socio en la implementación del proyecto, ACCA, esta realizando la evaluación final de los impactos del proyecto. El mismo que debe estar culminado en el mes de noviembre del presente año.</t>
  </si>
  <si>
    <t>El proyecto ha implementado la estrategia P2P en dos espacios de dialogo (apertura de la carretera Nuevo Eden a Diamante y minería en el distrito de Camanti) consiguiendo hasta la fecha el dialogo directo entre comunidades y diferentes niveles de gobierno existentes (local, regional y nacional).  </t>
  </si>
  <si>
    <t>Desarrollo de capacidades en líderes indígenas de las comunidades del ámbito de influencia del proyecto.</t>
  </si>
  <si>
    <t>No se hicieron cambios ni ajustes al proyecto durante el presente año fiscal.</t>
  </si>
  <si>
    <t>Elaboración participativa del programa de capacitación de líderes indígenas con las comunidades que conforman el ECA Amarakaeri.</t>
  </si>
  <si>
    <t>Para la implementación de la metodología P2P se crearon los espacios de dialogo carretera y mineria, facilitando el flujo de información entre los diferentes actores, usuarios de los recursos naturales y entidades competentes.</t>
  </si>
  <si>
    <t>Las actividades que involucran capacitar a diferentes actores deben ser construídos de manera conjunta con los beneficiarios, lo cual asegura el interes y participación de los mismos.</t>
  </si>
  <si>
    <t>Entender los procedimientos de toma de decisión al interior de las organizaciones indígenas, es vital para el desarrollo de las actividades del proyecto.</t>
  </si>
  <si>
    <t>Este año habrá cambio de junta directiva del ECA Amarakaeri, lo cual genera cierta incertidumbre en la continuidad de los procesos ya iniciados con los proyectos.  </t>
  </si>
  <si>
    <t>Informe de intervención de CARE Perú en el proyecto, versión final que estará disponible a finales de setiembre del 2017.</t>
  </si>
  <si>
    <t>The Role of Andean Indigenous Crops in Climate Adaptation and Food Security in the Mantaro Valley of Central Perú</t>
  </si>
  <si>
    <t>CUSAPE0009</t>
  </si>
  <si>
    <t>Impact through Innovations Fund (IIF)</t>
  </si>
  <si>
    <t>Determinar el rol que cumple los cultivos andinos en la mejora de la seguridad alimentaria y las respuestas de adaptación al cambio climático en el valle del río Mantaro, en el departamento de Junín.</t>
  </si>
  <si>
    <t>Perú / Junín / Huancayo</t>
  </si>
  <si>
    <t>1,322 personas pertenecientes a las comunidades de Acopalca, Chamiseria, Vilcacoto, Cochas Grande, Cochas Chico y Cullpa Alta.</t>
  </si>
  <si>
    <t>Participantes directos: Se realizó el censo local para determinar la población total de las comunidades del estudio.
Participantes indirectos:No se considera al tratarse de un estudio</t>
  </si>
  <si>
    <t>Se desarrolla instrumentos para identificar las relaciones y evaluar las vías que unen la agricultura con la nutrición. Asimismo, evaluar los factores que influyen en la percepción de los agricultores sobre el cambio climático y su adopción de las respuestas adaptativas.</t>
  </si>
  <si>
    <t>Se destaca la importancia de la gestión articulada intersectorial de salud, agricultura y empleo porque tienen mayor potencial para mejorar los ingresos de las familias.</t>
  </si>
  <si>
    <t>Se presento el plan de trabajo, los instrumentos y resultados del estudio a los actores de las organizaciones sociales, universidad, salud, agricultura y autoridades locales para el análisis y reflexión de las conclusiones y recomendaciones.</t>
  </si>
  <si>
    <t>Se incorpora las observaciones de los vínculos directos entre la producción de alimentos y la calidad de la dieta en el diseño e implementación de intervenciones agrícolas sensibles a la nutrición, así como se reconoce las limitaciones que enfrentan para la producción agrícola rentable y la adaptación al cambio climático en los procesos de incidencia política realizada por el programa de nutrición y seguridad alimentaria.</t>
  </si>
  <si>
    <t>El trabajo conjunto con la Universidad Peruana Los Andes, entidad académica local, facilita el proceso de validación de instrumentos y recolección de información porque conocen el contexto local.</t>
  </si>
  <si>
    <t>El planteamiento del objetivo del estudio por CARE es importante para la utilidad de los resultados porque responde a las necesidades de la población y del programa.</t>
  </si>
  <si>
    <t>La promoción de la diversificación de la producción agrícola puede reducir la vulnerabilidad climática del hogar al diluir el riesgo entre un mayor numero de productos.</t>
  </si>
  <si>
    <t>La diversidad alimentaria aumenta con la diversidad de la producción de los hogares con y sin ventas de cultivos, lo que pone de relieve la importancia general de la vía directa de producción-consumo.</t>
  </si>
  <si>
    <t>La asociación entre la diversidad productiva y alimentaria es especialmente fuerte para los hogares más pobres, que tienen menos capacidad de comprar alimentos en el mercado.</t>
  </si>
  <si>
    <t>Las intervenciones no agrícolas también serán importantes para asegurar la seguridad alimentaria y las mejoras nutricionales para los hogares con una superficie cultivable limitada.</t>
  </si>
  <si>
    <t>El cambio climáticoi representa una amenza a la agricultura, medios de vida y seguridad alimetaria a la población del valle del Río Mantaro y la sub cuenca del río Shullcas en la sierra central del Perú, donde los hogares dependen de la lluvia y el deshielo de los glaciares para la irrigación de sus capos de cultivo y para el agua potable. Esta investgación examinó el rol de cultivos andinos en la mejrolora de la seguridad alimetaria y adaptación al cambio climático entre los hogares rurales pobres. Mediante una encuesta integrada de producción, consumo y nutrición, esta investigación vinculo indicadores y resultados de vulnerabilidad al clima, consumo de alimentos, diversidad de la dieta, seguridad alimentaria, estado nutricional y roles de genero. Se espera que los hallazgos de la investigación mejoren la comprensión del multidimensional de una agrodiversidad local única sean aplicados en la programación para la adaptación al cmabio climático y el alivio a la pobreza.      </t>
  </si>
  <si>
    <t>Calidad y equidad en la educación intercultural en Puno Kawsay II     </t>
  </si>
  <si>
    <t>CUSAPE0007</t>
  </si>
  <si>
    <t>Douglas B. Marshall Jr. Family Foundation</t>
  </si>
  <si>
    <t>Marina Figueroa Diaz</t>
  </si>
  <si>
    <t>Responsable de proyecto en Puno</t>
  </si>
  <si>
    <t>mfigueroa@care.org.pe</t>
  </si>
  <si>
    <t>Contribuir a la generación de políticas públicas para el mejoramiento de la calidad educativa en los niveles de educación preescolar y primaria en el marco de la implementación del Proyecto Curricular Regional.</t>
  </si>
  <si>
    <t>Pais: Perú,  Departamento: Puno,  Provincia de Puno, distritos de Paucarcolla, Capachica, Coata, Tiquillaca, Mañazo, Vique, Atuncolla, Acora y Plateria UGEL Puno; Provincia de San Roman: distrito Juliaca, UGEL San Roman; Provincia de Azangaro: distritos de Arapa, Chupa, Azangaro, Muñani y San Anton UGEL Azangaro.</t>
  </si>
  <si>
    <t>Niñas y niños menores de 5 años. Mujeres y Hombres (madres y padres de familia) . Niñas y niños de 6 a 12 años.</t>
  </si>
  <si>
    <t>Los participantes Directos del proyecto son: (i) Niñas y niños de 0 a 3 años, niños y niñas de 3 a 5 años,  promotores educativos, coordinadoras docentes y madres de familia de 117 Programas de Aprendizaje Oportuno PAOs, y Programas No Escolarizados de Educacion Inicial PRONOEI, (ii) niños y niñas de 6 a 12 años, docentes y directores de 40 escuelas  educación primaria. El calculo de la  poblacion directa se ha efectuado en base a las fichas de inscripcion de los PAOS, nominas de matricula de PRONOEIs  e Instituciones educativas de primaria. Los participantes indirectos del proyecto son  niños y niña de 0 a 3 años (3,200),  Madres de Familia (3,137),  Docentes Coordinadores (72), Promotores Educativos (702) y Especialistas de Educacion Inicial (14) de 702 Programas de Aprendizaje Oportuno (PAO) implementados a nivel regional por la accion de actores educativos  de13 UGEL: Azángaro  con 180 PAO, Carabaya con 15 PAO, Chucuito Juli con 3 PAO, Crucero con 45 PAO, Collao con 13 PAs, Huancané con 166 PAO, Lampa con 20 PAO, Melgar con 105 PAO, Yunguyo con 4 PAO, Moho con 62 PAO, Putina con 10 PAO, San Roman con 48 PAO, Sandia con 31 PAO. Como consecuencia de  la aplicacion de  un programa de incidencia politica llevado a cabo por el Proyecto, orientado a autoridades educativas y haber logrado la dación de la directiva N° 008-2015 GR- Puno/GRDS-DREP-DGP-EEI, constituyendo una politica regional, el mismo que tiene por objetivo cubrir la brecha de atencion de niños y niñas menores de 3 años existente en el medio rural. La mayor cantidad de poblacion se explica por la participacion de madres de familia en la aplicacion de la estimulacion temprana a sus hijos e hijas, considerando que el programa esta basado en la participación de la familia. La fuente de información es la estadistica existente en cada UGEL, consolidada por la Especialista de Educación Inicial de la Dirección Regional de Educación de Puno.</t>
  </si>
  <si>
    <t>El proyecto ha culminado el 31 de mayo del 2017.</t>
  </si>
  <si>
    <t>Como parte de las actividades del proyecto, se ha realizado incidencia politica en dos actores, a directivos de la Direccion Regional de Educación para la emision de la Norma de implementación y funcionamiento de los Programas de Aprendizaje Oportuno (PAO), donde se atiende a niños y niñas menores de 3 años. Incidencia politica en Gobiernos Locales para la implementacion con material educativo a los PAO.</t>
  </si>
  <si>
    <t>Incorporacion de una estrategia de atención al primer ciclo de la educación inicial (rural)</t>
  </si>
  <si>
    <t>Atencion a 3200 de niñas y niños menores de 3 años, con la implementacion de los Programas de Atencion Oportuna (PAO) incorporados en los PRONOEI  en zonas rurales de la region Puno    </t>
  </si>
  <si>
    <t>Incorporando a municipios locales, colocando en la agenda Municipal el tema educativo y logrando la asignación de presupuesto, para adquisición de material educativo.</t>
  </si>
  <si>
    <t>Participación de las madres de familia en la educación de su hijos e hijas, mediante la implementación desarrollo temprano.</t>
  </si>
  <si>
    <t>Estrategias de selección de lecturas contextualizadas al medio y graduadas de acuerdo a la complejidad del grado, para mejorar la lectura comprensiva de niños y niñas de educación primaria.</t>
  </si>
  <si>
    <t>La participación de actores educativos claves es vital en procesos de emprendimiento e innovación, generalmente desencadenan procesos de legitimación social, lo cual es base para escalar programas, afianzar su sostenibilidad, y alcanzar procesos de reconocimiento como política educativa como en el caso de los Programa de Aprendizaje Oportuno PAOs.</t>
  </si>
  <si>
    <t>La persistencia de los Proyectos Kawsay I, Kawsay II y Kawsay II Segunda Fase financiados por la Fundación Douglas B. Marshall, en el enfoque de trabajo para insistir en la propuesta de atención de la población infantil menor de 03 años desatendida por el Estado y vulnerable, facilitó su legitimación social y legal en el nivel de las unidades intermedias como las Unidades de Gestión Educativa Local y Dirección Regional de Educación y ser apreciada por las madres de la familia de las comunidades rurales.</t>
  </si>
  <si>
    <t>Tomar en cuenta los procesos de socialización que desarrollan las familias con sus hijos e hijas durante su primeros años de vida, sus formas de aprender, respetando sus patrones de crianza e incorporando algunas modernas que no afecten sosteniblemente sus procesos, generan cambios importantes en la visión de los padres y madres de familia en la educación de sus hijos que repercuten no solamente en la educación de sus primeros años, sino también en la primeria y más tarde cuando cursaran sus estudios secundarios.</t>
  </si>
  <si>
    <t>El proyecto tiene enfoque intercultural y bilingüe por las caracteristicas que tiene la poblacion donde se desarrolló el proyecto, siendo perteneciente a las culturas Quechua y Aimara; obligando a toda propuesta educativa a desarrollar la educación en la modalidad de intercultural y bilingue.</t>
  </si>
  <si>
    <t>Informe final del proyecto (Archivo físico interno, Oficina CARE Puno) Informe de evaluación del proyecto (mayo 2017) (Archivo físico interno, Oficina CARE Puno)</t>
  </si>
  <si>
    <t>Fortalecimiento de las capacidades y de los medios de vida para los productores de alcachofa de concepción</t>
  </si>
  <si>
    <t>GMFOPE0001</t>
  </si>
  <si>
    <t>Jefe de proyecto Desarrollo Económico</t>
  </si>
  <si>
    <t>Fortalecer las capacidades técnico-productivas de esta cadena (abastecimiento contínuo, productividad de la producción, calidad del producto según estándares, eficiencia de costos de producción) y, las capacidades técnico-sociales (productivas, financieras y de gestión) de los pequeños agricultores organizados del Valle del Mantaro articulados a la cadena. Aumentar los ingresos económicos de las mujeres rurales en el departamento de Junín, a través del desarrollo de habilidades técnicas, productivas, financieras y empresariales</t>
  </si>
  <si>
    <t>Departamento de Junín, Provincias:Concepción y Huancayo</t>
  </si>
  <si>
    <t>Son mujeres jefas de familias en situación de pobreza que desarrollan emprendimientos económicos.</t>
  </si>
  <si>
    <t>Los participantes directos, son aquellos que recibieron beneficio directo del proyecto como: capacitaciones y asistencia técnica especializada y equipamiento de sus negocios principalmente. Los participantes indirectos: son miembros de su familia que se multiplicó por 5 porque son familias rurales.</t>
  </si>
  <si>
    <t>Ninguno</t>
  </si>
  <si>
    <t>Desarrollo del producto (microfranquisia), con la agregación de oferta y el rol de articulación comercial del proyecto les ha permitido acceder a mercados con mayor capacidad adquisitiva en cuanto a precio y volumen.</t>
  </si>
  <si>
    <t>Empoderamiento económico de la mujer con evidencias, réplica a través de los planes de negocio.</t>
  </si>
  <si>
    <t>La formación de asociaciones de productoras en el proyecto en diferentes lineas de producción y/o servicio garantizan la presencia de la sociedad civil en los espacios de toma de decisiones.</t>
  </si>
  <si>
    <t>Incremento de los ingresos económico de las mujeres participantes en un 15%, implica mejorar la calidad de vida y reducir brechas de pobreza.</t>
  </si>
  <si>
    <t>Fortalecimiento y formalización de las organizaciones</t>
  </si>
  <si>
    <t>Desarrollo de las competencias de las jefas de familias en calidad de producto con innovación, gestión empresarial, educación financiera y mercadeo con enfoque de cadena de valor</t>
  </si>
  <si>
    <t>Empoderamiento económico de la Mujer (WEE)</t>
  </si>
  <si>
    <t>El acompañamiento y abordaje de temas en las capacitaciones permiten que las mujeres asuman mayor control y decisión sobre los asuntos económicos, particularmente el destino de los ingresos que ellas generan o ayudan a generar. Ello implica trabajar no solamente con ellas, sino también con otros miembros de sus familias.</t>
  </si>
  <si>
    <t>La mejora de los estándares de producción dinamiza los productos y sus ventas, por lo que estos deberán ser más permanentes con la labor de articulación comercial</t>
  </si>
  <si>
    <t>El empoderamiento de la mujer resulta importante observar y atender, de ser necesario, las implicancias que el nuevo dinamismo de las actividades económicas promovidas puedan incrementar  las jornadas laborales de las mujeres para atender las demandas de sus roles reproductivos y productivos, y de esta manera evitar la brecha en las relaciones de género entre los miembros de ambos sexos de las familias.</t>
  </si>
  <si>
    <t>Referencia informe y evaluación final.</t>
  </si>
  <si>
    <t>Mi Agua Solar</t>
  </si>
  <si>
    <t>USLMPE0010</t>
  </si>
  <si>
    <t>Lourdes Mindreau</t>
  </si>
  <si>
    <t>Gerente de Agua y Saneamiento</t>
  </si>
  <si>
    <t>lmindreau@care.org.pe</t>
  </si>
  <si>
    <t>El foco principal de la investigación e innovación es mejorar la calidad del agua de consumo en las poblaciones rurales dispersas de la Amazonía que son potencialmente afectadas por inundaciones recurrentes, donde es muy difícil implementar un sistema de abastecimiento de agua convencional debido a su alto costo, la vulnerabilidad de la zona y la ausencia de la inversión del Estado a mediano plazo.</t>
  </si>
  <si>
    <t>Comunidad Nativa de Bellavista, distrito de Iparía, provincia Coronel Portillo, Región Ucayali, PERU</t>
  </si>
  <si>
    <t>Familias asháninkas amazónicas asentadas en zonas de reserva comunal</t>
  </si>
  <si>
    <t>Los participantes directos son los individuos de familias nativas. No se considera participantes indirectos por ser un proyecto piloto desarrollado en areas de gran dispersion geográfica y zonas poco accesibles.</t>
  </si>
  <si>
    <t>Se realiza monitoreo de indicadores clave (KPI).</t>
  </si>
  <si>
    <t>Puesta a prueba de innovación tecnológica para desinfección del agua</t>
  </si>
  <si>
    <t>La innovación específica es probar el desempeño de la bolsa solar y la respuesta de las familias usuarias. En base a los aprendizajes se podrá recomendar su uso como innovación válida en contextos amazónicos para purificar el agua de consumo humano. Aun estamos en fase de implementación.</t>
  </si>
  <si>
    <t>Diálogo intercultural</t>
  </si>
  <si>
    <t>Monitoreo comunitario</t>
  </si>
  <si>
    <t>Replanteamiento de los sistemas de soporte</t>
  </si>
  <si>
    <t>Mayor identificación de riesgos, dinámicas locales y dificultad en disponer de recursos humanos, técnicos y logísticos calificados para la intervención en zonas remotas, lo que exige mayor detalle en la planificación operativa.</t>
  </si>
  <si>
    <t>En proyectos que operan en base a consultores, CARE debe generar una cartera de proveedores de servicios mejor informados, perfiles profesionales mejor identificados y presupuestos adecuados a la intensidad y riesgos de la operación. En otros casos se deben formar pormotores comunales debido al poco interés de trabajar en contextos alejados.</t>
  </si>
  <si>
    <t>La investigación participativa en calidad del agua exige  rigurosidad y esfuerzos de largo aliento, con los riesgos de la exigencia normativa y alto presupuesto para la implementación.    </t>
  </si>
  <si>
    <t>Reportes de Monitoreo. Censos locales. Informes de Consultoría.</t>
  </si>
  <si>
    <t>YACHAY WASI MUNASQANCHIK LA ESCUELA QUE QUEREMOS</t>
  </si>
  <si>
    <t>CUSAPE0013</t>
  </si>
  <si>
    <t>Tides Foundation</t>
  </si>
  <si>
    <t>Contribuir al desarrollo de la educación secundaria en colegios de variante técnica del medio rural en la región.</t>
  </si>
  <si>
    <t>Pais: Perú, Departamento Puno, Provincias de Azángaro y San Román</t>
  </si>
  <si>
    <t>Adolescentes y jovenes de colegios de educacion secundaria técnica.</t>
  </si>
  <si>
    <t>Los participantes son estudiantes adolescentes jovenes mujeres y hombres de 3 colegios de educación secundaria rural y un colegio urbano, incluyendo docentes mujeres y varones de los centros educativos mencionados, fueron calculados según la nomina de matriculas existentes en los colegios. La población indirecta es el numero de estudiantes tanto mujeres como varones de 2 colegios de secundaria aledaños (Inca Garcilazo de la Vega Simón Bolivar) y que no son motivo de intervención del proyecto. El efecto multiplicador consiste en la accion de intervencion de docentes capacitados por el Proyecto y estos a su vez capacitan a  docentes de otros colegios, en este caso en este caso en aspectos de liderazgo en la linea de accion de tutoría).</t>
  </si>
  <si>
    <t>Es un Proyecto de ampliacion de 04 meses. La referencia de base corresponde a antecedentes de un programa anterior, que concluyo el año 2015, actualizando datos estadisticos en el Plan Operativo del año 2017.</t>
  </si>
  <si>
    <t>El proyecto tuvo una duracion de 04 meses, no fue posible hacer incidencia politica.</t>
  </si>
  <si>
    <t>Se incorporo en el curriculo, el tema de liderazgo para empoderar a las niñas, y la promoción del emprendimiento, mediante el aprendizaje en talleres productivos agropecuarios.</t>
  </si>
  <si>
    <t>Fortalecimiento del Concejo Participativo de Educacion Regional de Puno COPARE, constituida por representantes de organizaciones e instituciones de la sociedad civil, a través de la Secretaria Tecnica que tiene a cargo CARE en Puno.</t>
  </si>
  <si>
    <t>Participación de docentes varones, en el desarrollo de actividades educativas como tutoria y emprendimiento.</t>
  </si>
  <si>
    <t>Difusión de material educativo sobre liderazgo, emprendimiento y tuttoria.</t>
  </si>
  <si>
    <t>Talleres sobre salud reproductiva, como parte de la tutoria.</t>
  </si>
  <si>
    <t>El aprendizaje de las estudiantes mujeres es mas efectivo a traves de la practica en talleres productivos.</t>
  </si>
  <si>
    <t>El empoderamiento de niñas es posible a través de las lecturas amigables como medio de aprendizaje, para lograr el proyecto de vida, liderazgo  autoestima y toma de decisiones.</t>
  </si>
  <si>
    <t>Es posible que las adolescentes mujeres pierdan el miedo de expresarse en público mediante el desarrollo de espacios de dialogo creados en el aula, posibilitando una mejor participación en las diferentes actividades de su aula colegio y comunidad.</t>
  </si>
  <si>
    <t>El proyecto es corto, porque tiene carácter de ampliación con una duración de 4 meses, pero ha sido posible consolidar algunos logros, debido a que se implementó sobre resultados de un proyecto anterior que se desarrollo entre los años 2014-2015, lo que facilito el desarrollo de actividades, retomando los lineamientos trabajados, sobretodo la referencia de base.</t>
  </si>
  <si>
    <t>Plan Operativo e informe evaluativo 2017 (Existente en Archivo fisico interno, a cargo de la responsable del Proyecto)</t>
  </si>
  <si>
    <t>Zika Response in Ecuador and Peru</t>
  </si>
  <si>
    <t>USAIPE0001</t>
  </si>
  <si>
    <t>Gerente Emergencias y Gestión del Riesgo</t>
  </si>
  <si>
    <t>lharman@care.org.e</t>
  </si>
  <si>
    <t>1.  Mejorar las capacidades a nivel comunitario, local y nacional para llevar a cabo una respuesta oportuna y eficiente a brotes del virus del Zika y otras enfermedades transmitidas por vectores mediate enfoques de reducción de riesgo y derechos humanos sobre la base de la experiencia de CARE en salud sexual reproductiva y materna, sistemas de comunitarios de salud sostenibles y el empoderamiento necesario para fortalecer el involucvramiento directo de agentes comunitarios de salud en áreas geográficas prioritarias (control de vectores y prevención).   2. Fortalecer los esfuerzos regionales y nacionales por reducir la prevalencia del zika mediante la difusión de hallazgos, reportes de impacto y mediante la influencia en políticas binacionales mediante un enfoque riguroso basado en evidencia de mejores práctias y lecciones aprendidas en mobilización y participación comunitarias. Ello permitira avanzar en la implementación de estrategias sensibles al género en espacios sociales y curlurales diversos.</t>
  </si>
  <si>
    <t>Departamentos Perú: Cajamarca, Lambayeque, Piura y Tumbes. Provincias:Distritos Cajamarca: Jaén: Jaén y Bellavista. Lambayeque: Chiclayo: Chiclayo, José Leonardo Ortiz y La Victoria. Piura: Piura, Morropon, Sullana, Talara y Sechura. Piura:Castilla, Catacaos, Cucungara, Veintiseis de octubre. Morropon: Chulucanas. Sullana: Sullana y Bellavista. Talara: Los órganos y Mancora. Sechura: Sechura. Tumbes: Tumbes, Contralmirante Villar y Zarumilla. Tumbes: Tumbes. Contralmirante Villar: Zorritos. Zarumilla: Zarumilla y Aguas Verdes</t>
  </si>
  <si>
    <t>Participantes Directos: Mujeres y hombres en edad Fértil, Gestantes, Adolescentes, Autoridades regionales y locales, Personal de salud y Educación de los ámbitos de intervención. Corresponde al 50% de la población considerada en riesgo de contraer la enfermedad. Propuesta técnica aprobada.. Participantes Indirectos:  Población en riesgo de contraer la enfermedad en los ámbitos de intervención del proyecto. Es población peri-urbana que vivene zonas proclives a las enfermedades transmitidas por vectores. Fuente: (i) Censo de Población y Vivienda 2010. Supuestos utilizados para el cálculo: en las tres provinciases seleccionados con altos números de casos de Zika, se ha considerado un 30% de la población en riesgo y un 50% de éstos como población objetivo. (ii) Propuesta técnica aprobada</t>
  </si>
  <si>
    <t>Asignación presupuestal PPR para implementar acciones contra el Zika</t>
  </si>
  <si>
    <t>Desde los 5 componentes del proyecto que se articulan entre si,  la base importante ha sido trabajar el KAP,EBA y otros estudios que han permitido iniciar  la  implementación con aspectos innovadores de recuperar las buenas prácticas a través de un Concurso Nacional, para ello luego de los tres años de intervención sistematizar las mejores prácticas de control y prevención del Zika.</t>
  </si>
  <si>
    <t>Sistema de vigilancia comunitario</t>
  </si>
  <si>
    <t>Fortalecimiento de capacidades a personal de salud,educacion y educadores de pares(adolescentes)en base a las brechas encontradas en KAP y Estudios etnológicos.</t>
  </si>
  <si>
    <t>Comunicación para el desarrollo</t>
  </si>
  <si>
    <t>Se identificó la necesidad de trabajar con enfoque de género no solo desde el diseño del proyecto sino el resto de procesos (incluye ejecución) para lo cual se requiere vincular con presupuesto.</t>
  </si>
  <si>
    <t>Se debe Fortalecer el proceso de rendición de cuentas para lo cual se debe realizar ajustes en la planificación para incorporar dichos procesos, así como definir metodología y herramientas adecuadas.</t>
  </si>
  <si>
    <t>Desde los 5 componentes del proyecto que se articulan entre si,  la base importante ha sido trabajar el KAP,EBA y otros estudios que han permitido iniciar la implementación con aspectos innovadores de recuperar las buenas prácticas a través de un Concurso Nacional, para ello luego de los tres años de intervención sistematizar las mejores prácticas de control y prevención del Zika.</t>
  </si>
  <si>
    <t>Massive floods in Piura</t>
  </si>
  <si>
    <t>CIERPE0001</t>
  </si>
  <si>
    <t>Proporcionar kits de agua segura y artículos básicos de higiene y de protección de enfermedas transmitidas por vectores a familias damniificadas por el fenómeno Niño Costero en las zonas más afectadas del departamento de Piura.
Cubrir costos operativos para la distribución de 2513  kits financiados con recursos de otros donantes.</t>
  </si>
  <si>
    <t>Departamento de Piura. Provincia de Piura</t>
  </si>
  <si>
    <t>Familias damnificadas por las lluvias e inundaciones ocasionadas por el fenómeno climatológico denominado Niño Costero que afectó el norte del Perú en marzo y abril del 2017.</t>
  </si>
  <si>
    <t>Participantes directos: 13 familias damnificadas por las lluvias e inundaciones ocasionadas por el fenómeno climatológico denominado Niño Costero que afectó el norte del Perú en marzo y abril del 2017. Para la propuesta se estimo que el promedio de miembros por familia era de cinco  (5) personas, sin embargo durante el desarrollo del proyecto se obtuvo un promedio de 4.3 personas por familia. Asimismo, según estadísticas oficiales el índice masculinidad total en Perú en 2017 es de 98.2
Participantes indirectos: No se considera participantes indirectos en este proyecto.</t>
  </si>
  <si>
    <t>Apoyo al mejoramiento de la cobertura y la calidad educativa en diez centros educativos en el distrito de Hualgayoc</t>
  </si>
  <si>
    <t>GOLDPE0001</t>
  </si>
  <si>
    <t>Gold Fields La Cima S.A.</t>
  </si>
  <si>
    <t>Maclovio Olivares</t>
  </si>
  <si>
    <t>Jefe de Proyecto de Educación</t>
  </si>
  <si>
    <t>molivares@care.org.pe</t>
  </si>
  <si>
    <t>Apoyar al mejoramiento a la cobertura y la calidad educativa a través de la contratación de personal docente y auxiliar para instituciones educativas multigrado del área de influencia de Gold Fields La Cima S.A.</t>
  </si>
  <si>
    <t>Distrito de Hualgayoc- Cajamarca</t>
  </si>
  <si>
    <t>Estudiantes / Docentes</t>
  </si>
  <si>
    <t>Los participantes directos son los docentes contratados para atender a los y las estudiandes quienes son los y las participantes indirectos.</t>
  </si>
  <si>
    <t>Asistencia Técnica al Gobierno Local para la implementación de las políticas educativas locales.</t>
  </si>
  <si>
    <t>Abordar el tema de la equidad e igualdad de género desde las aulas , así mismo, trabajar el tema de la participación y rendición de cuentas como mecanismo para asegurar la correcta implementación del proyecto. Además se viene trabajando el tema de sostenibilidad a través de proyectos innovadores de emprendimiento.</t>
  </si>
  <si>
    <t>Incorporar el tema de equidad e igualdad de género en las aulas.</t>
  </si>
  <si>
    <t>Asegurar la participación de las niñas como líderes de los grupos de emprendimientos escolares.</t>
  </si>
  <si>
    <t>Fomentar la cultura del ahorro y emprendimiento escolar como mecanismos de reducción de la pobreza.</t>
  </si>
  <si>
    <t>Transitar de un modelo  pedagógico estático y desfasado a un modelo innovador y práctico con enfoque de género.</t>
  </si>
  <si>
    <t>Sensibilizar a los y las docentes de las escuelas rurales .</t>
  </si>
  <si>
    <t>Romper estereotipos de género en las escuelas rurales.</t>
  </si>
  <si>
    <t>Calidad y Equidad en la Educación Básica Alternativa  EBA</t>
  </si>
  <si>
    <t>DVVIPE002</t>
  </si>
  <si>
    <t>Adolescentes, jóvenes y adultos de la región tienen mejores oportunidades para desarrollar sus aprendizajes, mediante la implementación de  un currículo de Educación Básica Alternativa innovada y diversificada a sus demandas educativas y al  contexto social y cultural de la región alineada al Marco Curricular Nacional.</t>
  </si>
  <si>
    <t>Peru, departamento de Puno, ciudades de San Román y Puno.</t>
  </si>
  <si>
    <t>Jovenes y adultos que no han concluido su educacion primaria y secundaria y que estan matriculados en Centros de Educacion Basica Alternativa - EBA.</t>
  </si>
  <si>
    <t>Los participantes directos son jovenes, adultos que asisten a los Centros de Educación Básica Alternativa CEBA de San Roman en numero de 16 y 10 CEBA de la ciudad de Puno, incluyendo a docentes y directores mujeres y varones que estan a cargo de los mencionados centros. Los participantes directos han sido calculados en base a los registros de asistencia de los jovenes y adultos a las sesiones de aprendizaje en los ciclos inicial, intermedio y avanzado de la EBA, en las formas de atencion: presencial (noches) semipresencial, perifericos (sabados y domingos) y a distancia (virtual) de los 26 CEBAS tomando en cuenta que la participacion de esta poblacion esta condicionada al tiempo que disponen, la mayoria de ellos trabajan formal e informalmente. Los participantes indirectos por la acción de incidencia de los docentes de San Roman y Puno en CEBA del Penal de Yanamayo, Islas de Amantani y los Uros(Puno) y los CEBA de los distritos de Cabana, Cabanillas, Santa Lucía (San Román) que estan a cargo de los docentes y no constituyen el ambito del Proyecto. Siendo la Fuente de informacion los registros de asistencia de los CEBA.</t>
  </si>
  <si>
    <t>Se ha realizado una linea de base de referencia levantando las demandas y necesidades de aprendizaje de  los estudiantes jovenes y adultos  así como de los docentes con la finalidad de diversificar y contextualizar un curriculo para esta modalidad de educacion en la perpespectiva de que concluyan con sus estudios, como producto de los resultados de estas demandas se ha elaborado en forma participativa el curriculo para la Educacion Basica Alternativa, actualmente  este currículo se encuentra en evaluacion para su adecuacion al marco curricular nacional.</t>
  </si>
  <si>
    <t>Influencia en autoridades educativas, para colocar en su agenda la EBA mediante el curriculo diversificado como estrategia de desarrollo educativo de la Región Puno.</t>
  </si>
  <si>
    <t>Las jovenes mujeres y varones que no concluyeron su educacion primaria y secundaria tienen la oportunidad de concluir sus estudios, incrementar sus ingresos mejorando sus pequeños negocios, mediante su educacion para el trabajo con una fuerte incidencia en el emprendimiento y procurandoles, algunos insumos que los ayude a mejorar, en este caso tenemos dos CEOS con esas caracteristicas, Santa Adriana y Bolivar, las mujeres han pasado a producir a mayor escala uniformes para los colegios. La innovacion concreta es haber incorporado el emprendimiento como practica en la EBA.</t>
  </si>
  <si>
    <t>La alianza estrategica de principio fue  establecida con la Unidad de Gestión Educativa Local de San Roman y las autoridades de los CEBAs, mediante un  convenio marco existente con la Direccion Regional de Educación de Puno. La estrategia esta siendo incorporada en el Proyecto Educativo Regional que se encuentra en pleno proceso de revision porel Consejo Participativo de Educacion Regional de Puno COPARE. En este Consejo CARE en Puno esta a cargo de la secrertaria técnica.</t>
  </si>
  <si>
    <t>La educación es una alternativa para jovenes y adultos, que forman parte de la sociedad civil y que estan asistiendo a los CEBAS para mejorar su negocio o concluir su educación primaria o secundaria. Ejemplo de algunas actividades: Apoyo al desarrollo de talleres productivos. Formación de capacidades en planes de negocio. Incorporación del uso de los TIC en sus negocios.</t>
  </si>
  <si>
    <t>La Iniciativa fue para la construccion participativa de una propuesta curricular contextualizada para la EBA, considerando que el ambito es intercultural y bilingüe y una gran poblacion que no ha concluido su educacion primaria y secundaria, y luego su implementacion. El reajuste consistio en adecuar, contextualizar el curriculo a los lineamientos de politica dados por el reciente Marco Curricular Nacional, encontrándose actualmente en este proceso.</t>
  </si>
  <si>
    <t>Inclusion de una gran poblacion joven y adulta  que no concluyo sus estudios primarios y secundarios a una educacion básica alternativa.</t>
  </si>
  <si>
    <t>La educacion para el trabajo, el eje para mejorar aprendizajes, ingresos. Generando emprendimientos de pequeños negocios por la situacion de ser de las personas.</t>
  </si>
  <si>
    <t>La incorporacion de mujeres y varones que no iniciaron estudios primarios en una educacion inicial entrando en un proceso de alfabetizacion.</t>
  </si>
  <si>
    <t>Es  posible la inclusion de poblaciones de jovenes y adultos marginados de la educacion, haciendo visible las ventajas de una educacion básica alternativa como resultado positivo de sus pares.</t>
  </si>
  <si>
    <t>No es posible desarrollar una educacion basica alternativa para jovenes y adultos con un curriculo  de educación  basica regular, necesariamente el currículo tiene que ser adecuada a las demandas y necesidades de esta poblacion que en encuentra en condición especial, ello tiene que ver con horarios, priorizacion de conocimientos y fortalecimiento de competencias.</t>
  </si>
  <si>
    <t>La implementacion de talleres productivos a través de la incorporacion del area de educacion para el trabajo, enfatizando en el mejoramiento de sus pequeños negocios, es la forma que mayor atracción tiene la EBA especialmente para las mujeres jovenes.</t>
  </si>
  <si>
    <t>Esta iniciativa es de inclusion de una poblacion marginada de la educacion regular por diversos motivos, convirtiendose en una alternativa para la poblacion joven y adulta, existen perspectivas de desarrollo a mediano y largo plazo, enfoques como el de genero, resiliencia, económico por la condición de ser de los participantes. Es necesario darle mayor impulso, quedando el reto de buscar mayor financiamiento para esta poblacion.</t>
  </si>
  <si>
    <t>Demandas Educativas y Necesidades de aprendizaje de jovenes y adultos de la provincia de San Román, Curriculo Diversificado para la Educacion Basica Alternativa, Existe en archivos internos de la Oficina.</t>
  </si>
  <si>
    <t>GESTION DEL RIESGO Y USO PRODUCTIVO DEL AGUA PROCEDENTE DE GLACIARES: GLACIARES+</t>
  </si>
  <si>
    <t>KAREN PRICE RIOS</t>
  </si>
  <si>
    <t>COORDINADORA NACIONAL PROYECTO GLACIARES+</t>
  </si>
  <si>
    <t>kprice@care.org.pe</t>
  </si>
  <si>
    <t>FIORELLA MIÑAN BARTRA</t>
  </si>
  <si>
    <t>ESPECIALISTA DEL PROYECTO GLACIARES+</t>
  </si>
  <si>
    <t>fminan@care.org.pe</t>
  </si>
  <si>
    <t>construir y fortalecer las capacidades para la adaptación al cambio climático y reducir los riesgos asociados a los glaciares, garantizar la sostenibilidad y aprovechar las oportunidades que ofrece el fenómeno de retroceso de glaciares.</t>
  </si>
  <si>
    <t>Región Cusco, provincia de Urubamba, distrito Urubamba, comunidad San Isidro de Chicón (subcuenca Vilcanota-Urubamba). Región Ancash, Provincia de Huaraz, distrito de Huaraz e Independencia (Subuenca Quilcay). Región Lima, provincia Yauyos, Cuenca Cañete, (Reserva Paisajística Nor Yauyos Cocha - RPNYC)</t>
  </si>
  <si>
    <t>Pobladores del ámbito rural y urbano; autoridades y funcionarios de instituciones públicas; universidades (UNSAAC, UNASAM Y PUCP); Instituciones científicas.</t>
  </si>
  <si>
    <t>Las cifras fueron calculadas a partir de documentos oficiales de las municipalidades y gobiernos regionales de los ámbitos de intervención y de la lista de registro de las actividades realizadas por el proyecto. 1. Para el cálculo la población beneficiaria indirecta se ha considerado a la población total del ámbito de intervención por cada región (Cusco: Distrito de Urubamba y distrito de Pitumarca; Huaraz: Distrito de Huaraz e Independencia y Cañete (provinvia de Yauyos):10 distritos de la reserva Paisajística Nor-Yauyos Cocha), ya que los proyectos multipropósitos y los Sistemas de alerta temprana impactaría sobre la población total. En el primer caso, por los distintos usos que se le daría al recurso hídrico (potable, agricultura, energía), y en el segundo caso, porque se alertaría a toda la población en caso de un desastre natural para su evacuación a las zonas seguras. 2. Los documentos oficiales son los censos 2007 INEI, Planes de desarrollo concertado y Planes de desarrollo comunal. 3. La RPNYC comprende 10 distritos que son con los que trabajamos y han sido censado por el INEI en el año 2007, además el SERNAMP cuenta con el PLAN Maestro de la RPNYC. 4. Para el cálculo de los beneficiarios directos, se tienen como referencia los registros de asistencia y las fichas de seguimiento de actividades. 5. Un dato adicional, es que durante el último trimestre del año se realizará un estudio para identificar el # de población exacta de nuestros ámbitos de intervención que se encuentra en peligro frente a un desastre de origen glaciar y para ello utilizaremos los mapas de peligro que han sido trabajados en el marco del proyecto Glaciares+. Además, se recogerá información socio-económica y de género.</t>
  </si>
  <si>
    <t>SE TIENE PREVISTO REALIZAR LA EVALUACION EN JUNIO 2018</t>
  </si>
  <si>
    <t>Generación de ingresos económicos a través de medidas de adaptación relacionados al manejo de plagas en Santa Teresa-Cusco. Generación de Qochas periglaciares para conservar agua para uso ganadero y bofedales. Programa de líderes comunales y promoción de proyectos de inversión pública</t>
  </si>
  <si>
    <t>Se trabajó en alianza con Gobiernos regionales, Locales e instituciones públicas para la réplica del Sistema de Alerta Temprana (SAT) en la Laguna de Palcacocha - Huaraz y Chicón - Cusco. Se trabajó en alianza con gobiernos locales y pobladores comunales de Pitumarca -Cusco para la réplica de las Juntas administrativas de agua y saneamiento. Se realizó la réplica de las escuelas de campo en Santa Teresa-Cusco para el manejo de plagas y la generación de ingresos económicos. Réplica de reforestación asociada en Chicon - Cusco. Réplica de programa de Líderes en los ámbitos de intervención de Cusco y Cañete</t>
  </si>
  <si>
    <t>INFORMACION SOBRE INVESTIGACIONES REALIZADAS ACERCA DE LOS GLACIARES, EVENTOS DE RIESGO E INSTRUMENTOS DE GESTION COMO MAPAS DE PELIGRO Y MANUALES DE GRD</t>
  </si>
  <si>
    <t>TRABAJAR PLANES DE CONTINGENCIA Y DESARROLLAR HERRAMIENTAS DE IDENTIFICACION DE RIESGO Y CONFLICTOS . DESARROLLAR OTROS TIPO DE ESTUDIOS SOCIALES, A MAYOR PROFUNDIDAD, EN TEMAS RELACIONADOS A PROYECTOS MUTIPROPOSITOS EN ZONAS DE CONFLICTO SOCIAL.</t>
  </si>
  <si>
    <t>FORMACION DE LIDERES COMUNITARIOS</t>
  </si>
  <si>
    <t>GENERAR ESPACIONES DE COORDINACION INTERINSTITUCIONAL PUBLICO-PRIVADA PARA LA PROMOCION DE PROYECTOS DE INVERSION PUBLICA DE INTERES REGIONAL</t>
  </si>
  <si>
    <t>GENERACION DE CAPITAL HUMANO A NIVEL ACADEMICO Y TECNICO EN UNIVERSIDADES E INSTITUCIONES TECNICAS PERUANAS QUE LIDEREN Y PROMUEVAN TEMAS RELACIONADOS A RIESGOS DE ORIGEN GLACIAR, ACC Y GIRH</t>
  </si>
  <si>
    <t>El trabajo con los líderes comunitarios se hace indispensable para salvar la condición de representatividad y legitimidad de las autoridades locales y regionales, apostar por este trabajo no puede dar una mayor certeza de conseguir la sostenibilidad de las acciones, su réplica y escalamiento. Así mismo, la toma de decisiones con la población en diferentes procesos y el estudio social son clave para conseguir metas comunes.</t>
  </si>
  <si>
    <t>Las medidas de ACC y GRH tendrán una alta probabilidad de sostenibilidad siempre y cuando se considere su articulación a acciones que generen ingresos económicos. Es decir, la sostenibilidad de las MACC y otras acciones relacionadas a la GRD y GIRH podría garantizarse si esta es relacionada a procesos productivos, generación de ingresos económicos, junto con el empoderamiento y liderazgo de las mujeres.</t>
  </si>
  <si>
    <t>El posicionamiento del tema ambiental y de riesgos en las regiones es un tema constante, es decir no consolidado aún a comparación de otros temas como educación o salud. Este punto nos lleva a replantear cómo aportar a la gestión y fortalecimiento de las autoridades locales y regionales.</t>
  </si>
  <si>
    <t>En el mes de setiembre el proyecto Glaciares+ va a inciar con la sistematización de la fase I y II del proyecto</t>
  </si>
  <si>
    <t>Proyecto Piloto: Acceso a Agua y Saneamiento en Comunidades Rurales Dispersas</t>
  </si>
  <si>
    <t>BIDXPE0001</t>
  </si>
  <si>
    <t>El objetivo general del Proyecto es el diseño e implementación de modelos para la provisión de soluciones individuales para el abastecimiento de agua y saneamiento en zonas rurales dispersas o rurales nucleadas de menor tamaño (menos de 200 habitantes) en el Perú, las cuales incluirán la utilización de diferentes alternativas tecnológicas. Tiene tres componentes: Análisis de experiencias para provisión de servicios; Propuesta de modelos de gestión aplicables a entornos rurales dispersos e Implementación de Pilotos</t>
  </si>
  <si>
    <t>Comunidad Nueva Cucungará, distrito, provincia y Región Piura. Comunidad Romatambo, distrito de Cátac, Provincia de Recuay, Región Ancash. Comunidad Atahualpa de Tabacoa, distrito de Iparía, provincia de Coronel Portillo, Región Ucayali</t>
  </si>
  <si>
    <t>Familias asentadas en comunidades rurales dispersas de costa, sierra y selva del Perú</t>
  </si>
  <si>
    <t>Los participantes directos son los individuos de familias campesinas y de comunidades nativas andinas y amazónicas. No se considera participantes indirectos por ser un proyecto piloto desarrollado en areas de gran dispersion geográfica y zonas poco accesibles.</t>
  </si>
  <si>
    <t>Se realiza la sistematización de las experiencias piloto y evaluacion económica de los costos de la intervencion.</t>
  </si>
  <si>
    <t>Alternativas tecnologicas individuales en la provision de servicios de agua y saneamiento</t>
  </si>
  <si>
    <t>El proyecto está orientado al cierre de brechas en la atención de los servicios de agua y saneamiento y su operación en zonas remotas Cnstituye en un desafío institucional en los aspectos logísticos, técnicos y administrativos.</t>
  </si>
  <si>
    <t>En proyectos que operan en base a consultores, CARE debe generar una cartera de proveedores de servicios mejor informados, perfiles profesionales mejor identificados y presupuestos adecuados a la intensidad y riesgos de la operación.</t>
  </si>
  <si>
    <t>Los aspectos de infraestructura (perfil, expediente y ejecución de obra) y procesos sociales (capacitación, educación sanitaria y gestión) deben tener la mayor sincronización en el tiempo para asegurar mayor apropiación local del servicio.    </t>
  </si>
  <si>
    <t>Remoción de lodos contaminados en apoyo a la respuesta humanitaria para el Gobierno del Perú, Agencia de Naciones Unidas y ONG incluyendo el retorno espontáneo de familias</t>
  </si>
  <si>
    <t>PNUDPE0001</t>
  </si>
  <si>
    <t>Lucy Harman Guerra</t>
  </si>
  <si>
    <t>Gerente del Programa de Emergencias y Gestión del Riesgo</t>
  </si>
  <si>
    <t>Facilitar el retorno seguro y rápido de las familias afectadas por el Niño Costero a sus zonas (barrios, comunidades) de origen mediante intervenciones de remoción y limpieza de lodos contaminados incluyendo el empleo de emergencia; con el propósito de reducir el riesgo de afectaciones a la salud y brindar seguridad a las poblaciones damnificadas de las zonas periurbanas y rurales de Piura, de los distritos de Catacaos y Cura Mori</t>
  </si>
  <si>
    <t>Catacaos y Cura Mori en el departamento de Piura</t>
  </si>
  <si>
    <t>1000 familias con viviendas damnificadas o inahabilitadas por el impacto del Fenómeno Niño Costero ocurrido a principios del año 2017 en el departamento de Piura que retornan a sus actividades cotidianas mediante el mecanismo de "cash for work". Se estima que el número de familias es equivalente a 5000 personas.</t>
  </si>
  <si>
    <t>Participantes directos:  1000 personas que acceden a puestos de trabajo temporales bajo el mecanismo de "cash for work"  (organizados en 125 brigadas de trabajo) y sus familiares directos, es decir 5,000 personas de acuerdo al multiplicar estimado (5  personas por familia) y de acuerdo al indice de mesculinidad del Perú. El número de participantes consigando en este formato corresponde a la ampliacióin del proyecto a través de una adenda, no a lo previsro en el  proyecto original.
Participantes indirectos: Por la naturaleza del proyecto, en la propuesta no se consideron participantes indirectos. No obstante, los participantes indirectos son  personas de la población general que se benefician de los trabajo de limpieza y remoción de lodos que realizan las brigadas en viviendas, centros educativos, centros de salud y calles. Estos participantes indirectos no fueron previstos en la propuesta del proyecto. Se les identificó durante la implementación pero no se ha estimado su número.</t>
  </si>
  <si>
    <t>La linea de base se refiere  a que antes de iniciar la implementación se recogió información demográfica a través de la aplicación KOBO collect con el fin de calificar a las familias de las zonas más afectadas de Catacaos y Cura Mori y seleccionarlas como beneficiarias del proyecto.</t>
  </si>
  <si>
    <t>Para la realización de actividades de limpieza y remoción de escombros se han formado brigadas de trabajo, donde participaron hombres y mujeres de las comunidades afectadas, configurando un espacio de articulación y coordinación de acciones para la mejora de su localidad afectada.</t>
  </si>
  <si>
    <t>Mecanismo de dinero por trabajo "cash for work", que consistió en ofrecer puestos de trabajo a una persona de cada familia con mayor afectación de su vivienda debido al impacto del fenómeno Niño Costero 2017.</t>
  </si>
  <si>
    <t>Calificación y selección de personas y familias beneficiarias mediante una evaluación multicriterio para el que se recogió datos directamente de las familias afectadas por la emergencia.</t>
  </si>
  <si>
    <t>Es importante mencionar que las brigadas formadas a la fecha están compuestas mayoritariamente por mujeres principalmente debido a que los varones han retornado a sus actividades habituales. Sin embargo, cabe destacar que las brigadas compuestas por mujeres se desenvuelven sin ningún inconveniente ni limitación. Un tema por desarrollar será empoderarlas en la decisión del uso del dinero que ellas han ganado.</t>
  </si>
  <si>
    <t>Es importante mencionar que las brigadas formadas a la fecha están compuestas mayoritariamente por mujeres principalmente debido a que los varones han retornado a sus actividades habituales, sin embargo, cabe destacar que las brigadas compuestas por mujeres se desenvuelven sin ningún inconveniente ni limitación. Un tema por desarrollar será empoderarlas en la decisión del uso del dinero que ellas han ganado.</t>
  </si>
  <si>
    <t>Con la finalidad de mejorar las condiciones de habitabilidad de las familias damnificadas, CARE ha desarrollado intervenciones de forma conjunta y concertada con el Ministerio de Vivienda, en este sentido, hemos asumido el compromiso de generar las condiciones mínimas en la vivienda de origen (remoción de lodos y escombros) para que el Ministerio de Vivienda instale los módulos temporales de vivienda (MTV) en parte de los terrenos de los beneficiarios (los MTV son bastante más pequeños que los lotes de los beneficiarios, pero presentan una base de techo digno y seguro que la familia puede ampliar).</t>
  </si>
  <si>
    <t>El proyecto se implementó durante el último mes del AF17, de allpi el bajo numero de participantes directos. En el formato PIIRS del AF2018 se completrpa la información referente a los participantes directos alcanzados.</t>
  </si>
  <si>
    <t>RIMAC DRR Reinforcing Innovative Mechanisms for Arising Capacities in Disaster Risk Reduction in Rímac, Perú</t>
  </si>
  <si>
    <t>COOPPE0001</t>
  </si>
  <si>
    <t>Hilda Mar Calderon Neyra</t>
  </si>
  <si>
    <t>Capacitadora en GRD</t>
  </si>
  <si>
    <t>hcalderon@care.org.pe</t>
  </si>
  <si>
    <t>Contribuir a reducir los riesgod en barrios vulnerables del distrito del Rímac expuestos a diversos peligros.</t>
  </si>
  <si>
    <t>Distrito del Rímac - Lima</t>
  </si>
  <si>
    <t>1) Oganizaciones sociales y población del Rímac, incluyendo a grupos usualmente excluidos del proceso de toma de decisiones para la gestión del territorio y la gestión del riesgo.</t>
  </si>
  <si>
    <t>Los participantes directos (20 000) son la población en general y los dirigentes de organizaciones sociales y vecinales del Rímac. La cantidad representa aproximadamente al 10% de la población total proyectada del Rímac para el año 2014 (200 000). urbano de primer plano. En el mismo proceso, aspira fortalecer las capacidades institucionales del distrito al fomentar una gobernanza innovadora de los riesgos, basada en el reconocimiento mutuo de las autoridades y de las organizaciones sociales, en sus tareas y responsabilidades para el bien colectivo. Por ello, las actividades del proyecto se enlazan estrechamente a las acciones y herramientas del gobierno local para la gestión del territorio, que impacta en el total de la población del distrito. Los participantes indirectos (169 617) corresponden a la totalidad de habitantes del distrito del Rímac. Se asume de este modo debido a que el proyecto busca fortalecer a la población de los barrios más vulnerables del distrito del Rímac para reducir al máximo las pérdidas de vidas humanas, medios de vida, servicios e infraestructuras, aumentando su resiliencia frente a desastres de gran magnitud. Se trata de movilizar los conocimientos y las capacidades de las organizaciones sociales para reafirmarlas como un actor</t>
  </si>
  <si>
    <t>Al mes de setiembre del 2017, nos encontramos en proceso de elaboración de un documento de Conocimientos, Actitudes y Prácticas - CAP Final, que servirá para medir algunos indicadores y para contrastar la información del CAP Inicial. El estudiose realizará hasta octubre del 2017.</t>
  </si>
  <si>
    <t>Visor Cartográfico para la gestión urbana y de riesgos</t>
  </si>
  <si>
    <t>Se ha generado alianzas con instituciones académicas, con la finalidad de fomentar su participación en el fortalecimiento de capacidades de los y las dirigentes sociales y población en general. Por ejemplo, se han realizado diferentes cursos dirigidos a pobladores y dirigentes como el de Sistemas de Información Geográfica - SIG, de Gestión Pública y de Liderazgo y Resolución de Conflictos.</t>
  </si>
  <si>
    <t>Alianzas con instituciones académicas para el fortalecimiento de capacidades. Por ejemplo bomberos, universidades, etc.</t>
  </si>
  <si>
    <t>Generación de espacios de articulación interbarrial, a través de talleres o ferias, que facilita el intercambio y disminuyen la fragmentación del tejido social urbano.</t>
  </si>
  <si>
    <t>Valorización y participación de  actores locales "no tradicionales" enel proyecto. Por ejemplo, colectivos artísticos, iglesias o asociaciones de ambientalista.</t>
  </si>
  <si>
    <t>Reflexionar sobre los elementos "no visibles" que facilitan o dificultan los proyectos ha contribuido a un relacionamiento más sincero con los "beneficiarios".</t>
  </si>
  <si>
    <t>La reducción de la vulnerabilidad urbana  involucra a un conjunto de actores nacionales y subnacionales, y requiere el abordaje de condiciones estructurales de la población y el territorio, las cuales están fuera del alcance de un proyecto.</t>
  </si>
  <si>
    <t>La alta fragmentación social y el liderazgo limitado en las ciudades dificultan la vigilancia ciudadana para la gestión urbana.</t>
  </si>
  <si>
    <t>La Reducción de la Vulnerabilidad Urbana es un tema/sector  abordado por el proyecto y constituye una experiencia innovadora para CARE Perú.</t>
  </si>
  <si>
    <t>Los datos han sido obtenidos a partir del III quarterly Report of the 3rd year - Proyecto RIMAC DRR</t>
  </si>
  <si>
    <t>WASH &amp; NFIs INTERVENTIONS IN RESPONSE TO THE FLOODING IN PIURA</t>
  </si>
  <si>
    <t>OFDAPE0006</t>
  </si>
  <si>
    <t>OFDAPE0007</t>
  </si>
  <si>
    <t>Proporcionar kits de agua segura, artículos básicos de higiene e insumos no alimentarios (mosquiteros) a familias damniificadas por el fenómeno Niño Costero en las zonas más afectadas del departamento de Piura.
Además, proveer de equipamiento esencial al Instituto Nacional de Defensa Civil - INDECI para la atención de la población impactada por la emergencia.</t>
  </si>
  <si>
    <t>Departamento de Piura. Provincia de Piura (distritos: Piura, Castilla, 26 de octubre). Provincia de Morropón (distritos: Chulucanas, Morropón)</t>
  </si>
  <si>
    <t>2500 familias damnificadas por las lluvias e inundaciones ocasionadas por el fenómeno climatológico denominado Niño Costero que afectó el norte del Perú en marzo y abril del 2017.</t>
  </si>
  <si>
    <t>Participantes directos: 2500 familias damnificadas por las lluvias e inundaciones ocasionadas por el fenómeno climatológico denominado Niño Costero que afectó el norte del Perú en marzo y abril del 2017.
Para la propuesta se estimo que el promedio de miembros por familia era de cinco (5) personas, sin embargo durante la ejecución del proyecto se ha determinado un promedio de 4.3 personas por familia. Asimismo, según estadísticas oficiales el índice masculinidad total en Perú en 2017 es de 98.2
Participantes indirectos: No se considera participantes indirectos en este proyecto.</t>
  </si>
  <si>
    <t>Philippines</t>
  </si>
  <si>
    <t>Typhoon Haima Response</t>
  </si>
  <si>
    <t>Canadian Humanitarian Assistance Fund</t>
  </si>
  <si>
    <t>Margaret A. Cargill Foundation</t>
  </si>
  <si>
    <t>Jerome Lanit</t>
  </si>
  <si>
    <t>Emergency Coordinator</t>
  </si>
  <si>
    <t>jerome.lanit@care.org</t>
  </si>
  <si>
    <t>Provide shelter repair materials and livelihood assistance to people affected by typhoon Haima in the Philippines.</t>
  </si>
  <si>
    <t>The areas covered by the project are provinces in Northern Philippines severely affected by typhoon Haima on October 19, 2016. These included the provinces of Kalinga, Cagayan Valley and Ilocos Norte and supported communities are remote, upland and near the Cagayan River.</t>
  </si>
  <si>
    <t>People supported by the project were affected by typhoon Haima living in remote communities. They are mostly farmers, fisherfolks and labourers.</t>
  </si>
  <si>
    <t>Direct participants are those who received the shelter repair assistance (not just the household lead but also the household members).</t>
  </si>
  <si>
    <t>No planned evaluations.</t>
  </si>
  <si>
    <t>The project actively promoted the "Build Back Safer" techniques in communities and also coordinated with the local government to also recognize the techniques so affected beneficiaries could also easily source out raw materials needed.</t>
  </si>
  <si>
    <t>Through the shelter repair assistance, mainstreaming and application of Build Back Safer (BBS) principles were inititated. BBS sessions were conducted for community carpenters. CARE also organized shelter roving teams to monitor the progress of shelter repair, and also formed clusters in communities. Each cluster is composed of 10-15 project participants. They prepare their materials needs and procure as a group and get discounts from the suppliers such as free delivery of shelter materials procured.</t>
  </si>
  <si>
    <t>CARE provided BBS training to local partners for them to be conduct their own BBS sessions in supported communities. CARE even invited a trainer from Red Cross to help facilitate the training for partners.</t>
  </si>
  <si>
    <t>There project adjusted the timeline of shelter repair in 2 communities in Cagayan valley province due to military operations. The military prohibited the community people to go to the mountains to gather some woods they can use for the repair and to tend to their crops planted in the upland area because of the presence of rebel groups.</t>
  </si>
  <si>
    <t>Formation of clusters or groups in every community composed of 10-15 people. The cluster has a leader who supervises the progress of the members in terms of shelter repair or livelihoods recovery.</t>
  </si>
  <si>
    <t>Delegation of roving team member role to women so they can actively participate in the monitoring of shelter repair in every community.</t>
  </si>
  <si>
    <t>Conduct of Build Back Safer sessions and Livelihood Planning and Protection sessions for sustainability.</t>
  </si>
  <si>
    <t>Established partnerships with local people's organizations were maximized during the project implementation, these partnerships facilitated fast and timely data gathering and delivery of assistance.</t>
  </si>
  <si>
    <t>The response was implemented in a timely manner. One factor that positively affected the speed of the response was the pre-disaster preparedness activities undertaken by CARE and partners, particularly in the projected typhoon path. Emergency preparedness plan helped define the response strategy immediately.</t>
  </si>
  <si>
    <t>Partners were able to ensure male/female representation in beneficiary selection committees, roving teams, assessment teams, distribution teams and collection of SADD during the response. The partners were trained by CARE to ensure gender quality even before the disaster.</t>
  </si>
  <si>
    <t>Typhoon Haiyan Reconstruction Assistance</t>
  </si>
  <si>
    <t>Maria Teresa Bayombong</t>
  </si>
  <si>
    <t>maria.bayombong@care.org</t>
  </si>
  <si>
    <t>Antonietta Igot</t>
  </si>
  <si>
    <t>Finance Director</t>
  </si>
  <si>
    <t>Antonietta.igot@care.org</t>
  </si>
  <si>
    <t>The project supports the economic reconstruction of people affected by Typhoon Haiyan in three provinces: Antique and Iloilo in Region 6 and Leyte in Region 8, by addressing the root causes preventing access to knowledge, skills, products, and services. CARE's intervention will contribute to the economic well-being of women and men living in remote rural areas affected by Haiyan.</t>
  </si>
  <si>
    <t>496 barangays/villages in 10 focus municipalities and 32 non-focus municipalities in the provinces of Antique and Iloilo in Region 6 and Leyte in Region 8, applying a value chain development approach on the following commodities: abaca, cassava and other rootcrops, herbs, seaweed and vegetables.</t>
  </si>
  <si>
    <t>The main impact group is the farmer-producers and entrepreneurs. Intermediaries are local government unit staff, business development and financial service provider staff, community-based development facilitators, and university graduate trainees.</t>
  </si>
  <si>
    <t>Actual direct beneficiaries are 19,005 multiplied to 4.7 average household size= 89,324 - 212,500 total population of the covered barangays and municipalities across the three areas = 123,176 total indirect beneficiaries                                                                                                                                                                                                                                                                                                                                                                                                              *Direct beneficiaries - 19,005 x .70 total average of women= 13,304; 19,005 x .30 total average of men= 5,701                                                                                                                                                                                                              *Indirect beneficiaries - 123,176 x .70 total average of women= 86,223; 123,176 x .30 total average of men= 36,953</t>
  </si>
  <si>
    <t>Areas for improvement for future evaluation are the following:                                                                                          * The evaluation has identified a number of statements in the survey form that are very long, sometimes have different questions incorporated, no qualifiers to help enumerators explain the question to respondents. *Questions in regards to income sources and statements on gender equality need to be revised to improve data that would be collected in the Endline survey. *Consider proper timing of the collection of income data. This is in the case of the attribution of changes in income derived from activities within the target value chains. A set of tools need to be developed that will capture the income from the value chains throughout the participation of the beneficiaries. *Contract an external agency to conduct the complete evaluation of quantitative and qualitative data-gathering to establish one continuous process. *Pre- and post-training evaluations have to be of good quality in terms of collection and processing in order to support knowledge utilization.</t>
  </si>
  <si>
    <t>The value chain approach proved to be appropriate to the prevailing context. It was introduced after the early recovery phase. The choice of commodities was informed by existing market potential, opportunities for vulnerable and Haiyan-affected household participates as an alternative livelihood, or to diversify their income sources.The choice of the selected commodities with high potential provides focus to the Project and motivation for affected communities to participate. In addition, the conduct of engendered value chain studies with stakeholders identified key issues to address allowing purposeful targeting of actors in the enabling environment, and providers of market services.                                                                                              </t>
  </si>
  <si>
    <t>The Project works mainly with local government units (LGUs) to increase and sustained support to the value chain development, mobilizing LGUs in providing gender responsive and risk-informed support services to beneficiaries and other enterprise within the value chain.This includes resource support from different municipal departments . Also, the Project advocates policy support to building and maintaining resilient livelihoods that will be sustained beyond project duration and government administrations. Thus, working with the government agencies provides mutual benefits, skills and income opportunities for beneficiaries, and facilitates access of agencies to communities. Sustaining  and enhancing this engagement should be prioritized in the remaining project timetable.                                                                                                                                     </t>
  </si>
  <si>
    <t>The project works with both formal and informal groups to build their capacities in strenthening inter-firm relationships along the value chain and influence government programs and policies. These are formal groups such as LGU committees/councils, Rural Improvement Club (RIC), and community-based organizations; and informal groups such as municipal and provincial technical quality working groups created for the project, value chain clusters based on functions and inter-linkages, and Gender and Development (GAD) network.</t>
  </si>
  <si>
    <t>The mainstreaming of gender, resilience and governance in all capacity building and related activities was intensified. The approach allowed women and men participants to better appreciate how the themes relate to building their entrepreneurial competencies and how this understanding will impact on decision making and consequent participation in the social and value chain processes and governance.</t>
  </si>
  <si>
    <t>The value chain approach remains relevant to the appropriate context. Focus for remaining period of project implementation is productivity improvement and market access.</t>
  </si>
  <si>
    <t>The work with the government agencies provides mutual benefits, skills and income opportunities for association members, and facilitating access of agencies to communities, a link they do not necessarily have. Sustaining and enhancing this engagement should be a priority in the remaining project timetable.</t>
  </si>
  <si>
    <t>The Project benefits from the local knowledge and strong links of local implementing partners with provincial or municipal governments or having as their core activity the provision of micro-finance or other support services to members.</t>
  </si>
  <si>
    <t>The use of existing modules and community facilitators for the training have resulted in immediate gains to the Project. The capacity building activities contributed to improved beneficiaries individual business skills.</t>
  </si>
  <si>
    <t>Incorporating gender equality and risk reduction in trainings is an effective approach in mainstreaming.</t>
  </si>
  <si>
    <t>Training community-based organizations and individuals in management and organizational leadership skills are also means of promoting more inclusive governance of formal and informal community organizations, and developing community abilities to engage official government structures.</t>
  </si>
  <si>
    <t>Mid-term evaluation http://www.careevaluations.org/Evaluations/Typhoon%20Haiyan%20Reconstruction%20Assistance%20Project%20Midterm.pdf</t>
  </si>
  <si>
    <t>Typhoon Haiyan Livelihoods Recovery</t>
  </si>
  <si>
    <t>The goal is for the most vulnerable affected household's (men, women, boys and girls) and communities to have diversified, productive and sustainable livelihoods  </t>
  </si>
  <si>
    <t>The livelihood programs are being implemented in the same municipalities in Leyte, Western Samar, Aklan, Iloilo, Capiz and Antique where CARE conducted its food and shelter repair kit distributions. Also for the Community Enterprise Facility and Women Enterprise Fund programs, areas are expanded to other Haiyan affected communities.     </t>
  </si>
  <si>
    <t>The main recipients of the project are the typhoon Haiyan victims with special focus on women in the devastated areas, specifically those who lost their livelihoods and income-generating activities.</t>
  </si>
  <si>
    <t>The formation of the Women Enterprise Fund (WEF) project was not initially included in the program design of Haiyan recovery. After doing an evaluation of CARE's conditional cash transfer program, it was found out that women are more engaged in the project implementation/managing the enterprises. This led to CARE creating another project that would specifically cater to the needs of enterprising women.</t>
  </si>
  <si>
    <t>Partnership approach (partnering with local organizations in program management, lead enterprises, business organizations and community-based organizations in enterprise development, business development and financial service providers and government agencies on value chain development)</t>
  </si>
  <si>
    <t>Value chain development approach in implementation of enterprise development program (mapping the constraints being faced by small farmers and providing assistance in linking them with other value chain players and enablers)</t>
  </si>
  <si>
    <t>Promoting local capacities in enteprise and value chain development</t>
  </si>
  <si>
    <t>Organizing collectives/organizations and forming clusters and linking them to the market</t>
  </si>
  <si>
    <t>Partners for Resilience: Strategic Partnership (PFR SP)</t>
  </si>
  <si>
    <t>Celso Dulce</t>
  </si>
  <si>
    <t>Integrated Risk Management Director</t>
  </si>
  <si>
    <t>celso.dulce@care.org</t>
  </si>
  <si>
    <t>Rocely de Vera</t>
  </si>
  <si>
    <t>rocelyn.devera@care.org</t>
  </si>
  <si>
    <t>The PFR SP Programme is a strategic partnership which recognizes that peoples livelihoods are increasingly affected by natural disasters arising from a variety of factors including climate change and environmental degradation and will therefore work towards strong, resilient communities that are able to address disaster risks.  It aims to mainstream integrated risk management (IRM) in policies, investments and practices at the local, national, regional and global levels. By building the capacities of civil society partners, and relying on the extensive field experience on IRM in the course of implementing the first PFR Programme from 2011-2016, the strategic partnership will inform policy, investment and practice decision-making at all levels. Ultimately, this will result in increased resilience of peoples and communities.</t>
  </si>
  <si>
    <t>PFR SP is working at various levels: national to community level. At the national level, the aim is to create a National Technical Working Group (TWG) (DILG, CCC, NDRMC, PFR, DRRNet, etc) for mainstreaming IRM in local development planning guidelines. At the landscape and city level, CARE is focused on working with the MANATUTI River Basin Alliance and its stakeholders, specifically Caloocan, Malabon and Navotas. At the community level, two communities are selected per city.</t>
  </si>
  <si>
    <t>PFR SP is working with various groups: government sector, civil society organizations and communities. With the aim to mainstream IRM in inclusive planning guidelines, local development plans and landscape-wide, multi-stakeholder alliance plans, the projects main impact group is comprised of the national Technical Working Group on Mainstreaming IRM, MANATUTI River Basin Alliance and the cities of MAlabon, Caloocan and Navotas and two barangays per city.</t>
  </si>
  <si>
    <t>The direct participants are representatives of targeted government agencies, local government units (LGUs), and civil society organizations (CSOs). Meanwhile the indirect participants are percentage of the total population of partner LGUs (CAMANA).</t>
  </si>
  <si>
    <t>CARE has included CSOs in various capacity building trainings and discussions on integrated risk management.</t>
  </si>
  <si>
    <t>There have been leadership changes in key national government agencies targeted for trajectory 2 (as well as trajectory 1). These have caused delays arising from internal instability in the agencies, in particular in the departments of energy and natural resources, interior and local government, and defence. The declaration of martial law in Mindanao and the threat to declare it nationwide caused further unease in dealing with national government. CARE and ACCORD changed tack, shifting priority to working local (MANATUTI River Basin) while observing the unfolding situation at the national level.   </t>
  </si>
  <si>
    <t>Various bilateral meetings with relevant national agencies were held to determine their interest and to assess their commitment to support the project.</t>
  </si>
  <si>
    <t>Partnership strategy: Close coordination with partner LGUs help ensure their participation in the activities of the project</t>
  </si>
  <si>
    <t>Capacity building as an advocacy strategy</t>
  </si>
  <si>
    <t>Due to the changing political environment, there was a need to adjust or re-think strategies.</t>
  </si>
  <si>
    <t>The complementation of projects (such as MOVE UP and PFR SP) lead to wider reach and bigger influence.</t>
  </si>
  <si>
    <t>Relationship building with partner LGUs is important.</t>
  </si>
  <si>
    <t>Luzon, Cebu, Leyte, Bohol and San Carlos</t>
  </si>
  <si>
    <t>Women and men with existing income-generating activities who are excluded from the formal financial sector. The main impact groups are individuals engaged in small-scale farming, animal husbandry and petty trading.</t>
  </si>
  <si>
    <t>Direct participants are those who received a loan to invest in their business from Lendwithcare lenders in FY17. Indirect participants have been calculated by adding up all of the dependents of the entrepreneurs who received a loan in FY17 and the people who have been employed in their businesses. We are not able to disaggregate the data for indirect participants by female and male, so I have used the ratio of 49:51 that is in the CIA World Factbook for the Philippines https://www.cia.gov/library/publications/the-world-factbook/geos/ph.html This is an on-going project so I have given the numbers of participants just in this FY as there is no end date to the project.</t>
  </si>
  <si>
    <t>With Lendwithcare support, our partner in the Philippines has been able to expand its programme for WASH loans as well as decrease the interest rate on loans received by Lendwithcare-funded entrepreneurs.</t>
  </si>
  <si>
    <t>Adverse weather conditions continue to have an impact on beneficiaries, particularly small-scale farmers. We have learnt this year that developing an affordable and relevant insurance policy is key.</t>
  </si>
  <si>
    <t>This is an on-going project so we do not have a budget for the lifetime of the project. The number we have reported is how much loan capital was raised through the Lendwithcare platform for the Philippines in FY17.. Lendwithcare does not use gender, resilience or governance scorecards as part of its programming so we have had to answer no to all the questions related to these. However, an outcome of 'harmful' (particularly with regards to women's empowerment and gender equality) seems in accurate since this initiatve focuses heavily on Women's Economic Empowerment and in the Philippines, 76% of beneficiaries are female.</t>
  </si>
  <si>
    <t>Typhoon Nock-ten Response</t>
  </si>
  <si>
    <t>Emergency Response Fund</t>
  </si>
  <si>
    <t>Support the affected families of Typhoon Nock-ten in Bicol Region repair damaged shelters.</t>
  </si>
  <si>
    <t>The locations are remote barangays (local term for villages) in Camarines Sur province in the Bicol Region. These are a combination of upland and coastal villages.</t>
  </si>
  <si>
    <t>The target affected families are those who had completely and partially damaged shelters in remote areas in Camarines Sur province in Bicol Region</t>
  </si>
  <si>
    <t>Importance of forging partnerships with local CSOs and NGOs. CARE didn't have presence in Bicol prior to Typhoon Nock-ten's devastation. And it helped that CARE has a partnership with Citizens Disaster Response Center with a member NGO in Bicol.</t>
  </si>
  <si>
    <t>Setting up of community-based feedback mechanism like suggestion boxes and community dialogues to avoid or address conflict in benefeciary selection process.</t>
  </si>
  <si>
    <t>Setting up of gender-balanced local roving teams to monitor the progress of shelter repair</t>
  </si>
  <si>
    <t>CARE's Humanitarian Partnership Platform is CARE's one key advantages in responding to emergencies. It's much faster to respond working with local partners.</t>
  </si>
  <si>
    <t>Some partners still don't have sufficient experience and capacity to implement a shelter repair project so it is important to further capacitate them.</t>
  </si>
  <si>
    <t>Romania</t>
  </si>
  <si>
    <t>Soutien aux programmes de SERA Romania, programmes de réforme du système de protection roumain</t>
  </si>
  <si>
    <t>FRUNRUNRPRG0160</t>
  </si>
  <si>
    <t>Bogdan Simion</t>
  </si>
  <si>
    <t>Directeur Executif</t>
  </si>
  <si>
    <t>bogdan.simion@sera.ro</t>
  </si>
  <si>
    <t>Dana Antos</t>
  </si>
  <si>
    <t>Directrice Financière</t>
  </si>
  <si>
    <t>dana.antos@sera.ro</t>
  </si>
  <si>
    <t>Aide à la réforme du système de protection de l'enfance roumain. Faire respecter le droit de chaque enfant de grandir dans une famille. Développement d'alternatives à l'institutionnalisation, développement de programmes de prévention de la grossesse non désirée et de l'abandon des enfants.</t>
  </si>
  <si>
    <t>en FY 17 les projets ont touché 19 départements sur 41 au total.</t>
  </si>
  <si>
    <t>les bénéficiaires principaux sont les enfants sous la protection de l'état roumain, notamment celles et ceux qui sont en institution. Egalement les enfatns qui grandissent dans des familles vulnérables et sont à risque d'être placés pour des raisons de pauvreté des familles. les bénéficiaires adultes sont les familles vulnérables à risque d'abandonner leur enfant pour des raisons de pauvreté, et les familles à risque d'abandonner des enfants.</t>
  </si>
  <si>
    <t>cela dépend des programmes. Dans le cadre d'un projet de planning familial itinérant, les participant.e.s indirect..e.s sont les enfants, les conjoints éventuels des femmes participantes. Dans le cadre d'un projet de construction de centre thérapeutique pour enfant en situation de handicap ou une maison de type familial, les participant.e.s direct.e.s sont les enfants, les participant.e.s indirect.e.s sont le personnel des directions de protection de l'enfance, les familles des enfants ou personnel encadrant.</t>
  </si>
  <si>
    <t>une évaluation par un.e expert.e genre est prévue pour le programme "planning familial itinérant" (objectif: prévention des grossesses non désirées qui entrainent avortements et abandons d'enfants), dont l'objectif est de rendre le programme plus transformatif d'un point de vue du genre. ce programme est développé depuis 15 ans dans le pays pas la fondation partenaire de CARE France en Roumanie, SERA ROMANIA et touche 75% des départements.</t>
  </si>
  <si>
    <t>CARE France travaille avec l'ONG spécialiste du secteur de la protection de l'enfance.</t>
  </si>
  <si>
    <t>Les actions se font en synergie avec d'autres acteurs pertinents du secteur.</t>
  </si>
  <si>
    <t>Le partenaire de CARE France pour ce programme est un des représentants de la société civile dans son domaine (association fondatrice de la Fédération Nationale de Protection de l'Enfance, FONPC)</t>
  </si>
  <si>
    <t>SERA ROMANIA, qui a développé des modèles économiques visant à limiter le nombre d'abandons d'enfants et d'enfants placés sous la protection de l'état, propose ces modèles réplicables à un nombre grandissant de départements, qui sont également proactifs pour les mettre en place. une vraie dynamique s'installe dans le secteur, appuyée par l'autorité centrale et l'UE qui soutient également la réforme de l'ancien système de placement d'enfants dans des grands centres résidentiels.</t>
  </si>
  <si>
    <t>Nous avons commencé à sensibiliser/ former l'équipe du partenaire à la question du genre, et à leur demander d'intégrer des données sexo spécifiques. Le partenaire est de plus en plus réceptif, et un membre de son équipe a participé à la formation TOT Engaging Men donnée à CARE France en février 2017.</t>
  </si>
  <si>
    <t>Accompagnement du partenaire dans le renforcement de sa communication et dans le lancement de ses activités propres de collecte de fonds.</t>
  </si>
  <si>
    <t>les tableaux ne sont malheureusement pas vraiment adaptés aux programmes liés à la protection de l'enfance, donc j'ai adapté aussi bien que possible.</t>
  </si>
  <si>
    <t>Rwanda</t>
  </si>
  <si>
    <t>Learning for change (L4C): Strengthening Women's Voices in East Africa-ADA Framework Programme</t>
  </si>
  <si>
    <t>CAUTRW0024-AT571</t>
  </si>
  <si>
    <t>Theogene Niyirora</t>
  </si>
  <si>
    <t>Capacity Building Coordinator/Project Manager</t>
  </si>
  <si>
    <t>theogene.niyirora@care.org</t>
  </si>
  <si>
    <t>Sidonie Uwimpuhwe</t>
  </si>
  <si>
    <t>Vulnerable Women Program Coordinator</t>
  </si>
  <si>
    <t>sidonie.uwimpuhwe@care.org</t>
  </si>
  <si>
    <t>The main goal of L4C in Rwanda is to enable CARE and partner organizations to successfully promote and enhance gender equality in their own programmes. This will indirectly impact the lives of vulnerable women and girls that partners and CARE work with.  L4C in Rwanda's goal is to directly reach 110 staff and 395 community volunteers, and indirectly reach 59,540 impact group members.</t>
  </si>
  <si>
    <t>Southern, Western, and Eastern province (2 districts in Southern: Huye and Muhanga, 1 district in Western: Karongi, and 1 in Eastern: Rwagamagana)</t>
  </si>
  <si>
    <t>In the context of this Phase of the Framework Programme, the impact groups are marginalised women and girls in Ethiopia, Rwanda and Uganda. The Framework Programme is expected to ultimately have an impact on about 644,000 people, by directly developing the capacity of around 500 individuals in at least 40 institutions.</t>
  </si>
  <si>
    <t>The direct participants are 110 CARE and partner staff and 395 community volunteers that the L4C project is directly training. The indirect participants include the impact group of 59,540 men, women, boys and girls that will the community volunteers will reach. At this point in the project, there are no targets for sex disaggregated reach. The project will target beneficiaries of GEWEP II, SS4G, EDOAG, BEE, and Agent for Change projects. 27 of 36 trained staff were CARE Employes; Other staff were from the following organizations: ARCT-Ruhuka, Pro-femme, AEE, OAJPRODHO, RWAMREC, YWCA, ARTCF. Within each partner organization there are 1 or 2 people that were selected to then train other staff within their own organizations.</t>
  </si>
  <si>
    <t>The endline evaluation is scheduled for March 2019. There are no plans for a mid-term evaluation.</t>
  </si>
  <si>
    <t>The GED training was provided to 25 individuals and is being used as an innovation to fight gender inequality in programming</t>
  </si>
  <si>
    <t>The rollout of project activities only began in July of 2017.</t>
  </si>
  <si>
    <t>L4C changed its implementation strategy at the request of the donor to show how the project activities will reach the impact group members because of a disconnect between how the work will impact the targeted group beyond the organization staff. The trainings planned to be implemented were overhauled in an effort to better impact the target group.</t>
  </si>
  <si>
    <t>The baseline assessment was well received due to the gaps it identified in capacity building</t>
  </si>
  <si>
    <t>The staff that have received the GED training have provided positive feedback on its implemtation</t>
  </si>
  <si>
    <t>This type of capacity building project is a new way of implementation which is not well known by partners but it is needed because even during the presentation of findings, the partners appreciated the new information on weaknesses that had not been discovered before that will allow them to improve at organizational levels and improve gender sensitive programming.</t>
  </si>
  <si>
    <t>Partners need capacity building but we've learned that there can be conflicting priorities between projects that need a coordination leader to avoid complications.</t>
  </si>
  <si>
    <t>The change in implentation strategy required a lot of work, but in reflections it was a needed change. The project team now has a better understanding of exactly what L4C seeks to impact and how it will be done.</t>
  </si>
  <si>
    <t>Due to budget constraints, L4C had to drastically decrease its targets. This is why the numbers will be different from FY16 PIIRS reporting.</t>
  </si>
  <si>
    <t>https://careinternational-my.sharepoint.com/personal/emmanuelt_rw_care_org/_layouts/15/guestaccess.aspx?folderid=19fbfaa882f604d30bc34ee2e27ee7de3&amp;authkey=Ac5SJcje3XLbVS--mdU2dxc</t>
  </si>
  <si>
    <t>PROFIR: Promoting Opportunities for Financial Inclusion in Rwanda</t>
  </si>
  <si>
    <t>CCANRW0011</t>
  </si>
  <si>
    <t>Pascal Niyitegeka</t>
  </si>
  <si>
    <t>Pascaln.rw@care.org</t>
  </si>
  <si>
    <t>Jean Francois Regis Mutsinzi</t>
  </si>
  <si>
    <t>Monitoring and Evaluation Professional</t>
  </si>
  <si>
    <t>Jeanfrancoism.rw@care.org</t>
  </si>
  <si>
    <t>The projects ultimate goal is to increase financial inclusion for 300,000 individuals and their families. This will be achieved by building the capacity of 300,000 people from existing VSL clients on financial literacy and financial linkage and providing opportunities for 180,000 people to access formal financial services through linkages to various service providers through the introduction and expansion of technology-enabled financial services.</t>
  </si>
  <si>
    <t>The project covers 16 districts out of 30 districts in Rwanda in Eastern, Northern and Western Provinces. The 3 districts of Kigali City and 3 districts (Rusizi, Nyamasheke, Rutsiro) of the Western province are not covered.</t>
  </si>
  <si>
    <t>Poor and vulnerable women members in existing VSLG (18 years old and above)</t>
  </si>
  <si>
    <t>Direct beneficiaries: 300,000 women and men that are members of mature VSL groups. 70% are women and 30% are men. Indirect beneficiaries: Individuals living in the same households as the direct beneficiaries. Indirect beneficiaries are calculated by multiplying the total direct beneficiary by 4, then subtracting the number of direct beneficiaires. For example, 300000*4 = 1200000 - 300000 = 900000. The average household size in Rwanda according to the 2012 Rwanda Population &amp; Housing Census is 4.3 people. PROFIR has chosen to have a conservative calculation by using 4 as the multiplier as it was noted in the Census that the average household size is 4.0 in urban areas. It's worth noting that the PROFIR project has beneficiary overlap with the active project Indashikirwa 'Agent for Change' (A4C) and the overlap will be subtracted in the A4C PIIRS form.</t>
  </si>
  <si>
    <t>Final impact evaluation. The third evaluation identified three potential methods for this impact evaluation: Regression discontinuity design (RDD) would compare the outcomes experienced by VSL members that only just made it past the linkage eligibility threshold with the outcomes experienced by those in VSLAs that were just not eligible. This approach presents the risk of not being able to identify a large enough sample of members who are part of a VSLA that has not formed a linkage. Difference-in-difference (DiD) estimation exploits a pre-intervention baseline and post intervention follow-up. The principal idea is to survey the treatment group as well as a control group both before and after the intervention. The developments in both groups will then be compared afterwards. The difference in the trends is the effect of the intervention. Case study approach (group discussion and one to one interviews). This relies on qualitative data and have 2 primary objectives: Unpack and understand the process through which changes at the HH level are realised as a result of the financial literacy training and linkages with formal FSPs; and, obtain a deeper understanding of the experiences and needs of a smaller number of clients in all provinces of the country and establish whether there are significant differences between provinces in terms of anticipated impact to test the generalisability of the quantitative study</t>
  </si>
  <si>
    <t>The innovation was the introduuction of digital-driven financial inclusion that integrate the Mobile Network Operators in the CARE's linkage ecosystem and allow Financial service providers to use mobile banking channels to address the challenge of access to formal financial services by the rural population in Rwanda. The pilot phase was successfully completed, the project is planning the scale up.</t>
  </si>
  <si>
    <t>During the impplementation of the project, CARE Rwanda and partners learned that financial literacy trainings make a strong foundation for the success of financial inclusion. It helps clients making informed decisions on the right institution and product to go for and financial service providers appreciate that the project is preparing individual clients who graduate from the group linkages. The business case of working with saving groups is becoming clear and more partners are joining to scale the linkages by including more groups. The government also made a good step to include VSLAs program in the national financial linkages programs as a stron platforrm for ssusttainable financial inclusion.</t>
  </si>
  <si>
    <t>Responding to MTE recommandantions and donor's suggestions, the project changed its focus to invest more in ensuring quality, sustainability, learning, documentation and dissemination. This also informed some strategies during the implementation. For example, all quarterly review meetings with partners are also engaging beneficiaries/clients and local leaders as a platform to come up with joint understanding and actions to address quality issues and maximize ownership of the project interventions by the community and local government.</t>
  </si>
  <si>
    <t>The Village Agent Network (VAN) worke very well during this fiscal year. It's a structure within the community that has helped in implementing, monitoring, supporting and sustaining community development inititiatives. This network was created by PROFIR and will be a sustainable structure that remains after the program's end.</t>
  </si>
  <si>
    <t>Establishing partnerships with financial service providers has been effective in developing and delivering appropriate financial products and services to rural communities.</t>
  </si>
  <si>
    <t>Engaging different stakeholders increased ownership and sustainability of the project. For example, working with the local government assocication of Rwandan Microfinance Institutions resulted in increased commitment and accountability to the PROFIR project as they saw that the project was also linked to government priorities.</t>
  </si>
  <si>
    <t>Financial literacy training has been proven as a very strong foundation for successful financial inclusion. When you ask partners to distinguish CARE's VSLA groups from others, they will tell you that the increased financial literacy skills of CARE's beneficiaries have made them better clients than others. This also pushed the financial institutions to develop new services and to increase engagement with beneficiaries. There are partners that came to PROFIR, not the other way around, indicating the success of our project structure.</t>
  </si>
  <si>
    <t>Where we have underperforming loans, it's mainly due to the lack of strategies to deal with climate change and resilience to climate change. Such as including insurance products. This is an area that we did not focus on in the term of this project. If the project were to be continued, or scaled up, we would recommend strategies for climate change.</t>
  </si>
  <si>
    <t>Access to finance in this project has created incredible gains for women by increasing their overall household income, access to and control over resources, and boosting their confidence and dignity.</t>
  </si>
  <si>
    <t>Based on the success of the VAN, there is a need to ensure that it continues after the life of the project. Next steps are to strengthen VAN governance to work as an effective structure for support and sustainability of the project's interventions.</t>
  </si>
  <si>
    <t>Baseline: http://minerva.care.ca/livelink1/livelink.exe?func=ll&amp;objaction=overview&amp;objid=6940652&amp;viewType=1; Midterm Evaluation: http://www.careevaluations.org/Evaluations/PROMOTING%20OPPORTUNITIES%20FOR%20WOMEN%E2%80%99S%20ECONOMIC%20EMPOWERMENT%20IN%20RURAL%20AFRICA.pdf</t>
  </si>
  <si>
    <t>EVERY VOICE COUNTS " EVC"</t>
  </si>
  <si>
    <t>NL 173, CNLDRW0004</t>
  </si>
  <si>
    <t>Jean claude</t>
  </si>
  <si>
    <t>Governance and GBV Manager</t>
  </si>
  <si>
    <t>jeanclaude.kayigamba@care.org</t>
  </si>
  <si>
    <t>Sidonie UWIMPUHWE</t>
  </si>
  <si>
    <t>Coordinator of Vulnerable Women Empowerment</t>
  </si>
  <si>
    <t>By the end of the project, local and national government authorities promote a citizen engagement and social accountability model for enhancing women participation and influence in governance processes to address gender based violence. Four outcomes guide the interventions and will be achieved: Outcome1: Grassroots women in eight districts of Rwanda are empowered to actively influence decisions that affect their lives; Outcome 2: CARE Rwanda, in collaboration with national civil society organizations, effectively uses existing CSO platforms, including Pro-Femmes Twese Hamwe, to influence decision making on GBV policy implementation gaps on behalf of grassroots women; and effectively supports CSO initiatives for holding local and national authorities accountable on GBV related commitments; Outcome 3: Local leaders and duty bearers in eight Districts of Rwanda and national decision makers are responsive to and act upon the needs of grassroots women on GBV related issues; Outcome 4: Community members, national civil society organizations, local public authorities and the national Gender Monitoring Office (GMO) authorities effectively interact through formal and informal spaces for dialogue and negotiation leading to more inclusive decision-making.</t>
  </si>
  <si>
    <t>Country: Rwanda  Expected districts at the end of project (kamonyi district, Ruhango distict, Nyanza district, Muhanga district, Nyamagabe district, Nyanza District, Nyaruguru district and Huye district)</t>
  </si>
  <si>
    <t>Grassroots women members of Voluntary Savings and Loans Groups (VSLGs) and other community members</t>
  </si>
  <si>
    <t>Direct participants: the project mainly uses community scorecard tool as an accountability tool. The process involves all the community members (present during the process) in a village.During the process, EVC works closely with CSS facilitators, Local authorities at different levels/service providers as well as grasrootswomen. Consequently our direct participants will be the individuals to whom we train and we track changes over time. thus in our cotext, they will be : the overal number of the core team at district level, CSC facilitators, Local authoritties that we will work with,selected NWC as well as grassroots women.                                                                                                                                                                                                                            Indirect Participants: Since the process involves all the community members,These are all the community members in 64 villages where we work but our direct participants. However EVC projects overlaps with other projects from the CO. Approximately 1139 direct participants participants representing 17% of EVC direct participants reached in the FY 2016/17.</t>
  </si>
  <si>
    <t>This project is implemented in many CO. CARE Nederland hires an international consultant who works with consultants hired at the the CO level. Sometimes the evaluation would be slow because of the coordination issues.</t>
  </si>
  <si>
    <t>This FY we tasted the minimum standards on inclusive approaches, whereby we sought to include marginerized &amp; Excluded groups in holding local authorities accountable. This also included programs for fighting poverty as well</t>
  </si>
  <si>
    <t>The project worked wth CSOs network to fight GBV. The parntnership involved equipping the CSOs with capacities in Imihigo planning and budgeting to enable them analyze and influence Districts and National decision makers to include GBV prevention and response interventions in planning and budgeting Processes.</t>
  </si>
  <si>
    <t>(1)Organized a national sharing meeting for the outcomes of CSW61 among the government, CSOs and private sector. The meeting discussed the status of implementation of CSW61 outcomes and developed actions for the implementation of the outcomes. (2)Organized the CSOs Network to develop the internal rules, regulations, and code of conduct.  (3)Trainined CSOs on Imihigo planning and budgeting process to enhance their capacities to influence the government/local authorities to consider GBV prevention and response mechanisms in planning and budgeting processes.</t>
  </si>
  <si>
    <t>The Project did not not have any major change/adjustment during this FY</t>
  </si>
  <si>
    <t>Community scorecard: The CSC throughout its phases prooved to be a tool that brings together community members, service providers, and local government to identify service utilization and provision challenges, to mutually generate solutions, and to work in partnership to implement and track the effectiveness of possible solutions in an ongoing process of improvement .</t>
  </si>
  <si>
    <t>Project inclusiveness: in this FY, we leaned new approach to actively engage excluded groups to ensure meaningful paarticiapation of our project participants. The minimum standard approach" as refered to, consists of selecting represenatives of marginalized and excluded group to be involved throughout the CSC process and hold Local authorities, services providers and other powerholders accountable.</t>
  </si>
  <si>
    <t>One of the challenges encountered during this FY was the delay or even cancellation of prototype activities/policies at national level that could have served as a benchmark to some of our intervention. (Eg: The finalisation of National Action plan (NAP1325) has been delayed.</t>
  </si>
  <si>
    <t>this Fiscal year, we also learned and tested new tools to review the objectives and impact of any carried out important milestone. Eg: After Action Review tool</t>
  </si>
  <si>
    <t>This FY, EVC rwanda held an exchange visit with different countries where EVC is implemented along with CARE Netherland and the following recommendations were suggested among others:                                        Citizen should also seek to contribute to the government strategies (eg: if the local community has something that can contribute to the national strategies (existing) it can also be discussed during the interface. (Is there anything they need from the government to contribute to the national programmes? CSC facilitators and NWC suggested to put in place income generating activities for GBV victims.. The process of action plan development has insufficient amount of time allocated since there are important issues of concern to handle on both services. Hold a separate session (before the actual CSC process starts) to brief the community members present what is going to take place</t>
  </si>
  <si>
    <t>https://careinternational-my.sharepoint.com/personal/emmanuelt_rw_care_org/_layouts/15/guestaccess.aspx?folderid=11b4545e6ab454d16805fa78eb9cd9f68&amp;authkey=AeR2v4VMx6HN_x-_cnODQs4</t>
  </si>
  <si>
    <t>Gender Equality &amp; Women's Empowerment Project &amp; Literacy for Empowerment</t>
  </si>
  <si>
    <t>PID-CNORRW0034; FC-NO231</t>
  </si>
  <si>
    <t>GRIEG Foundation</t>
  </si>
  <si>
    <t>PID: CNORRW0040; Fund Code: NO161</t>
  </si>
  <si>
    <t>Janvier Kubwimana</t>
  </si>
  <si>
    <t>janvier.kubwimana@care.org</t>
  </si>
  <si>
    <t>Augustin Niyonsaba</t>
  </si>
  <si>
    <t>Monitoring &amp; Evaluation Professional</t>
  </si>
  <si>
    <t>Augustin.Niyonsaba@care.org</t>
  </si>
  <si>
    <t>This PIIRS form is combining the GEWEP II project and the Literacy for Empowerment project because of direct overlap. The main goal of GEWEP II is to economically and socially empower 100,000 women aged 18 and above that are VSL members to exercise their rights. The goal of L4E is to increase functional literacy and numeracy among 22,000 VSL members that are also members of GEWEP II.</t>
  </si>
  <si>
    <t>Both projects operate in the 8 districts of the Southern Province of Rwanda</t>
  </si>
  <si>
    <t>Women VSL members aged 18 and above living in Southern Province</t>
  </si>
  <si>
    <t>Direct participants: VSL members (men and women) that received at least one service from GEWEP II (financial literacy training, enterprise development training, adult literacy and numeracy training, and GBV). On these we add the total number of people reached by Community Activists in their activities related to GBV prevention. Indirect participants are the household members of each direct participant. The project does not consider any overestimation that occurs from married couples that are both in the GEWEP II project. The indirect calculations are made by multiplying the direct participant number by the average household size in Rwana (4.3), then the direct participant number is subtracted. The Literacy for Empowermentparticipants are all in the GEWEP II project, so to avoid double counting, the maxium indirect and direct beneficiaries are listed below</t>
  </si>
  <si>
    <t>The endline evaluation will be conducted in FY19 sometime around August or September of 2018. The evaluation will be led by CARE Norway.</t>
  </si>
  <si>
    <t>In FY17, GEWEP II started activities implementing value chain and market system innovations. This type of innovation will allow agricultural and agribusinesses to be sustained, which are the main types of businesses entered into by the direct benefiaries of GEWEP II. Example activities include organizing VSLG members into value chain clusters or producer groups based on business profile results (linkage), providing mentorship on multiplication, production, commercialization and linkage to Farmer Field Schools, and mapping seed multiplication businesses.</t>
  </si>
  <si>
    <t>The work that GEWEP II does is through partners in financial linkage to formal service providers, financial literacy, and entrepreneurship development among VSLA members. These solutions have been tested through other previous economic empowerment projects and are being taken to scale in this second phase of GEWEP and through work with our partners and financial institutions.</t>
  </si>
  <si>
    <t>In accordance with Norads Principles for Strengthening Civil Society,  GEWEP II focuses on working through partners to improve womens economic empowerment and fight against gender-based violence and discrimination, as key components of fighting poverty and oppression. Further, strengthening the capacity of Pro-Femme (PFTH) to effectively coordinate member organisations and advocate on womens rights will enable improved engagement of CSOs in the development process, including the advancement of gender equality. Supporting local partner organisations such as RWAMREC and ARTCF to engage community activists, local authorities and VSL members, , will contribute to a stronger ability to demonstrate the results of the project, as the capacity of partner organisations for collecting evidence and documenting change will also be a key project activity. Finally, GEWEP II connects evidence gathered from grassroots experiences with targeted advocacy channelled through PFTH and member organisations. The information gathered from CAs and other local structures and shared with Field Officers and at dialogue sessions with local leaders will feed into evidence used for development of advocacy messages at national level, as well as contribute to international processes through linkages to other CARE Rwanda projects and the overall CARE network.</t>
  </si>
  <si>
    <t>There were no important changes or adjustments to the project in this FY. However, as a result of reflection there are changes that the project would like to make with respect to inclusive governance in FY18.</t>
  </si>
  <si>
    <t>Implementing delivery models through Village Agent Networks (VAN) has been a wonderful approach that is helping GEWEP II to reach more people for Women's Economic Empowerment. The staff are in limited number and the VAN has been indispensible in delivering trainings and supporting implementation.</t>
  </si>
  <si>
    <t>Community activism against GBV, primarily through the engagement of men, has facilitated rapid behavior changes at individual, family, and community levels. This is clearly seen in project evaluations and community stories.</t>
  </si>
  <si>
    <t>Business mentorship is working very well. Experienced female entrepreneurs are paired with inexperienced female entrepreneurs for enterprise mentorship for an intensive 6 month period. This has been a great continuation from GEWEP I. Additionally, Literacy has had a beneficial effect on not only economic empowerment, but also in women's leadership and decision-making.</t>
  </si>
  <si>
    <t>Working with PFTH to challenge government policies has shown to be promising. In 2016, the work done through PFTH led to amendments to policy and we hope to continue to strengthen the capacity of PFTH as project implementation continues.</t>
  </si>
  <si>
    <t>It has been a beneficial tool to also focus on reflecting on organization analyses based on gender integration. CARE conducted these diagnoses of partnering organizations and allow up to continue to stregthen CSO.</t>
  </si>
  <si>
    <t>Some activities were discontinued in the transition from GEWEP I to GEWEP II. Some beneficiaries at the local government level were not happy with the changes and certain leadership think that these activities were too useful to have discontinued and should be continued once again. Budgeting constraints may prevent this from occuring in the remaining implementation of GEWEP II.</t>
  </si>
  <si>
    <t>Indashyikirwa "Agent For Change" Project</t>
  </si>
  <si>
    <t>CGBRRW0019</t>
  </si>
  <si>
    <t>Lea Liliane Niyibizi</t>
  </si>
  <si>
    <t>Indashyikirwa- Project Coordinator</t>
  </si>
  <si>
    <t>lealiliane.niyibizi@care.org</t>
  </si>
  <si>
    <t>Indashyikirwa project</t>
  </si>
  <si>
    <t>Direct beneficiaries include: couples trained GBV prevention, community members reached by community activists, community Opinion leaders and local authorities at the sector level, womens space facilitators at sector level, and community women attending womens spaces. Indrect beneficiaries include community members that may be reached by community activists that live beyond the boundaries of their assigned clusters, as well as 50% of 99 sectors in 7 districts that were targeted for the 16 Days of Activism Campaign for International Women's Day. Participant overlap was considered and removed from both direct and indirect calculations. For example, all couples trained are included in the number for community members reached. To calculate the indirect reach, we took 50% of the population size of the 99 sectors (2,425,204) as that was the estimated reach of the campaign and subtracted the number of direct participants from the total. Direct beneficiaries are calculated by taking the total number of reach of our beneficiaries and subtracting overlap. We subtract the number of couples reach as they are also counted in the community members reached estimation. We then remove 25% of the community members reached  as they are in other projects being implemented by CARE Rwanda. We then add in opinion leaders reached, active womens space facilitators, and finally add in the number of community members attending womens spaces.</t>
  </si>
  <si>
    <t>Midline evaluation was conducted in FY17 and the endline evaluation is scheduled for January 2018. The baseline and midline evaluation for this project have yet to be approved by the Government of Rwanda. We have been allowed to share the qualitative data, but not the quanititative data.</t>
  </si>
  <si>
    <t>The implementation of community activism through training community activists from the couples cohort is a new method of fighting inequality regarding gender and GBV. The qualitative data from the midline evaluation shows success in combatting inequality with this method of using community members that are known to convey these messages and initiate change.</t>
  </si>
  <si>
    <t>The aspect of engaging men, not just women, had been tested before but we worked with RWAMREC and RWN (Rwanda Women Network) to scale up activities to work with couples in combatting GBV. This is one component of the project that has been working very well.</t>
  </si>
  <si>
    <t>Civil society strengthening is one of the explicit objectives of the Agent for Change project, however implementing this activity has been challenging in the fiscal year. Much work was done to develop a Joint Action Plan between PRO-FEMME and CARE to scale up activities in this area.</t>
  </si>
  <si>
    <t>There were no important changes that occurred during fiscal year 2017.</t>
  </si>
  <si>
    <t>The community activism model has been exceeding. In the project design, we were unsure if the community activists would be taken seriously by the community members or if the anti-GBV would be received well. However, the success of the model and the responses fromt the community has exceeded expectations.</t>
  </si>
  <si>
    <t>Working with the local authorities has created an enabling environment for the community activists to do their jobs. They assist in creating spaces during local authority meetings for activists to attend and the authorities have even gone further to involve the activists in mediation and conflict resolution activities.</t>
  </si>
  <si>
    <t>The womens spaces were intented for women only, but surprisingly men have expressed interest in wanting to attend the womens spaces and use the GBV-referral services for people they know are victims. Also, the womens space facilitators have been reaching out to their communities to reach people that may not live close to the spaces and this has been very beneficial in our reach outside of what was expected.</t>
  </si>
  <si>
    <t>Kigali, Western Province, Southern Province and Northern Province.</t>
  </si>
  <si>
    <t>Women and men with existing income-generating activities who are excluded from the formal financial sector. The main impact groups are VSLA members and individuals engaged in small-scale farming, animal husbandry and petty trading.</t>
  </si>
  <si>
    <t>Direct participants are those who received a loan to invest in their business from Lendwithcare lenders in FY17. Indirect participants have been calculated by adding up all of the dependents of the entrepreneurs who received a loan in FY17 and the people who have been employed in their businesses. We are not able to disaggregate the data for indirect participants by female and male, so I have used the ratio of 52:48 that is in the CIA World Factbook for Rwanda https://www.cia.gov/library/publications/the-world-factbook/geos/rw.html</t>
  </si>
  <si>
    <t>We have managed to successfully link CARE formed VSLAs with our microfinance partner in Rwanda and in FY17, provided loan capital for 1,511 VSLA members.</t>
  </si>
  <si>
    <t>Since Lendwithcare sends loan capital to our microfinance partners in USD this has exposed some of our partners, including our partner in Rwanda, to a certain degree of exchange rate risk. To mitigate this risk we plan to change our backend system in FY18 to allow our partners to send and receive money in their local currency.</t>
  </si>
  <si>
    <t>We had an issue with our partner collecting proper consent from beneficiaries to share their information on the Lendwithcare website. This error has been addressed and will be checked again during the FY18 evaluation.</t>
  </si>
  <si>
    <t>This is an on-going project so we do not have a budget for the lifetime of the project. The number we have reported is how much loan capital was raised through the Lendwithcare platform for Rwanda in FY17. Lendwithcare does not use gender, resilience or governance scorecards as part of its programming so we have had to answer no to all the questions related to these. However, an outcome of 'harmful' (particularly with regards to women's empowerment and gender equality) seems in accurate since this initiatve focuses heavily on Women's Economic Empowerment and in Rwanda, 69% of the beneficiaries are female.</t>
  </si>
  <si>
    <t>Better Environment for Education (BEE)</t>
  </si>
  <si>
    <t>SUNBRW0001</t>
  </si>
  <si>
    <t>SunBridge Foundation</t>
  </si>
  <si>
    <t>Sam KALINDA</t>
  </si>
  <si>
    <t>samk.rw@care.org</t>
  </si>
  <si>
    <t>Eugene RUSANGANWA</t>
  </si>
  <si>
    <t>eugener.rw@care.org</t>
  </si>
  <si>
    <t>The overall goal if the project is for adolescents, especially marginalize girls in the Western Province, to build capabilities and pursue opportunities to ralize their aspirations.</t>
  </si>
  <si>
    <t>The project is being implemented in 4 districts of the Western Province of Rwanda: Karongi, Rutsiro, Nyabihu and Ngororero</t>
  </si>
  <si>
    <t>Adolscent girls and boys between 12-18 years in lower secondary schools</t>
  </si>
  <si>
    <t>Direct participants are adolescent girls and boys in lower secondary schools that are enrolled in the project located in the Western Province, along with the teacher mentors. Indirect participants include household members of the direct participants and teachers that are not mentors. For direct participants, we use a headcount of students and mentors (321 female mentors, 143 male mentors) in the targeted lower secondary schools to calculate the total number.  For indirect participants, use a conservative estimate of the average household size (4.0) to account for potential overlap in households by siblings enrolled in the project and other teacher at the schools that were not selected to be mentors but participant in the weekly meeting conducted at the schools where mentors share out on the projects activities and progress with students. For example, the project assumes that each student and mentor is a member of a household with 4 people, which equals 146,136 indirect participants. There are 146 schools in the BEE project and each has around 16 teachers that are not mentors (4 mentors were selected from each school) which equals 2,288 (1287 female teachers, 1007 male teachers) indirect teacher beneficiaries. Once you subtract each direct participant from the household calculation and add in the indirect teachers, the national stastistic of 56% of Rwanda's population as females, and 44 percent of the population as males is used to calculate women/girls and men/boys breakdowns for indirect participants.</t>
  </si>
  <si>
    <t>The final evaluation for BEE is planned for the beginning for FY19.</t>
  </si>
  <si>
    <t>BEE works with African Evangelistic Enterprises (AEE) to educate girls and boys on financial literacy. AEE itself partners with financial institutions (e.g. Equity Bank, UNGUKA) to link BEE beneficiaries to financial linkages after they have undergone financial literacy courses.</t>
  </si>
  <si>
    <t>BEE did not undergo any important changes or adjustments to the project in FY 17.</t>
  </si>
  <si>
    <t>The Savings and Loan methodology has been quickly applied within the schools and clubs. There are many other VSL projects that CARE is immplementing with adults and the lessons learned from those projects have been very benficial to the implementation of the VSL component in our project.</t>
  </si>
  <si>
    <t>The student clubs are used as a social network for the girls and boys to interact with each other and support and reinforce the education they are receiving by the project.</t>
  </si>
  <si>
    <t>The use of community score cards has also been a useful strategy to gain feedback from the beneficiaries in encouraging the students to use their voice and to gain information that can be shared with servic eproviders.</t>
  </si>
  <si>
    <t>The integration of the 3 major objectives of the projects has created a time constraint (1 hr) for mentors to work with students in the clubs. This has been and will be challenging to make sure that the 3 key lessons are being fully integrated in such a short amount of time.</t>
  </si>
  <si>
    <t>When we started the project, saying that we are forming clubs, some education officers at district level and sector level did not understand how girls and boys at the lower secondary level could have money to save. The officers were unaware that we were engaging parents and guardians to help the students save. However, now that we have had success, the officials are supportive and support the clubs as a feasible activity.</t>
  </si>
  <si>
    <t>The Ministry of Education is very interested to see how the project is impacting the performance of the schools that we are working with (retention, dropout, success of students and teachers, etc.) Also of note is that BEE and SS4G are sister projects operating in different projects. Project implementation is consistent between the two, but BEE has an additional component of food &amp; nutrition security. It targeted 200 girls and boys that were at high risk of food insecurity and worked with their parents to provide financial support for the boys and girls to purchase food during the day.</t>
  </si>
  <si>
    <t>Enterprise Development for Out of School Adolescent Girls (EDOAG) and Economic Empowerment for Out of School Girls (EE4G)</t>
  </si>
  <si>
    <t>NIKERW0001</t>
  </si>
  <si>
    <t>PERLRW0001</t>
  </si>
  <si>
    <t>PEIERLS Foundation</t>
  </si>
  <si>
    <t>Geoffrey M. Kayijuka</t>
  </si>
  <si>
    <t>geoffreyk.rw@care.org</t>
  </si>
  <si>
    <t>Eugene Rusanganwa</t>
  </si>
  <si>
    <t>Orphan and Vulnerable Children (OVC) Program Coordinator</t>
  </si>
  <si>
    <t>The main goal is for out of school girls aged 14-19 to claim and enjoy their rights to full economic participation. The project aims to enable out of school adolescent girls invest in their personal development through their saving groups, access to finance and access to a combination of financial and enterprise management trainings etc. It has four outcomes: a) 25% of the 10,000 girls are expected to get a loan from formal financial institutions in order to sustain or increase their business revenue; 2) 5% of the 10,000 girl entrepreneurs are expected to create jobs for themselves and for other through the growth of their businesses; 3) 80% of the 10,000 girls manage their enterprises better thanks to increased skills; 4) 100 of the 10,000 girls receive additional vocational training.</t>
  </si>
  <si>
    <t>One urban area: Huye town (12 sectors); One rural area: Nyamagabe District as a rural area (Six sectors:Buruhukiro, Gasaka, Gatare, Musebeya, Mushubi, and Nkomane)</t>
  </si>
  <si>
    <t>Out of school girls aged 14-19 in the Southern Province</t>
  </si>
  <si>
    <t>Direct participants are the 10,000 girls targeted for enrollment in the EDOAG project. EE4G selected 100 girls from the EDOAG project for additional training. Indirect beneficiaries are household members of the 10,000 direct beneficiaries that may benefit from the enterprise development. The direcct calculation is done using a headcount and the Indirect Calculation: Based on the assumption, the family size was 6.2 in 2014.Although newer statistics have shown that the average household size is 4.3 for the country, statistics also show that the Southern and Northern Provinces have larger family sizes.</t>
  </si>
  <si>
    <t>The endline evaluation for EDOAG is scheduled to occur in the last quarter of FY18. There are no evaluations (baseline nor endline) for the EE4G project.</t>
  </si>
  <si>
    <t>Enterprise development for out of school girls is quite new in Rwanda and has been shown through our monitoring and research that it is effectively fighting poverty not only for the girls but for their families.</t>
  </si>
  <si>
    <t>The Ministry of Youth has already discussed scaling up EDOAG project activities to scale up and we currently work with (Young Womens Christian Association) YWCA for the direct implementation activities for enterprise development.</t>
  </si>
  <si>
    <t>The project works with YWCA to build their capacity around project management skills, budget tracking, and M&amp;E.</t>
  </si>
  <si>
    <t>EDOAG nor EE4G underwent any important changes or adjusts to the project in FY17.</t>
  </si>
  <si>
    <t>The addition of EE4G for vocational training for selected girls was impactful. The girls were trained for 6 months and given short internships. These girls are now working in these fields and formed cooperatives.</t>
  </si>
  <si>
    <t>The linkage of girls to VSLAs has worked well and has linked the girls to financial institutions to support their businesses</t>
  </si>
  <si>
    <t>The project team learned that there are very few accredited vocational training center ans profesional trainers in the country, especially in the rural areas. Therefore, we engaged the Workforce Development Agency to identify Technically Vocational Educational Trainer to train youth in order to get the certificates.</t>
  </si>
  <si>
    <t>The project has not only contributed in fighting poverty and empowering out of school girls economically and socially, but it has also contributed to resolving conflcits and misunderstandings and uniting parents and children as well. Parents have embraced the project and some even accompany their daughters in the VSLA share-out events.</t>
  </si>
  <si>
    <t>Girls who were supported for vocational training have demonstrated interest in going back to school as they have attended regularly and successfully completed their trainings with great scores--the majority finished in the first 10 positions.</t>
  </si>
  <si>
    <t>Safe Schools for Girls (SS4G)</t>
  </si>
  <si>
    <t>RWA01/US102/PCTFRW0001</t>
  </si>
  <si>
    <t>Patsy Collins Trust Fund Initiative (PCTFI)</t>
  </si>
  <si>
    <t>The overall goal if the project is for adolescents, especially marginalize girls in the Southern province, to build capabilities and pursue opportunities to ralize their aspirations.</t>
  </si>
  <si>
    <t>Huye, Nyanza, Ruhango, Muhanga and Kamony districts in the Southern Province of Rwanda</t>
  </si>
  <si>
    <t>Direct participants are adolescent girls and boys in lower secondary schools that are enrolled in the project located in the Southern Province, along with the teacher mentors. Indirect participants include household members of the direct participants and teachers that are not mentors. For direct participants, we use a headcount of students (53,639) and mentors (414 female mentors, 273 male mentors) in the targeted lower secondary schools to calculate the total number.  For indirect participants, use a conservative estimate of the average household size (4.0) to account for potential overlap in households by siblings enrolled in the project and other teacher at the schools that were not selected to be mentors but participant in the weekly meeting conducted at the schools. For example, the project assumes that each student and mentor is a member of a household with 4 people, which equals 134, 661 indirect participants. There are 174 schools in the SS4G project and each has around 16 teachers that are not mentors (4 mentors were selected from each school) which equals 2,784 indirect teacher beneficiaries. Once you subtract each direct participant from the household calculation and add in the indirect teachers, the national stastistic of 56% of Rwanda's population as females, and 44 percent of the population as males is used to calculate women/girls and men/boys breakdowns for indirect participants.</t>
  </si>
  <si>
    <t>The miterm evaluation for SS4G (which is the final evaluation for BEE) is planned for the beginning for FY19.</t>
  </si>
  <si>
    <t>SS4G works with YWCA (Young Women's Association) to educate girls and boys on financial literacy. YWCA itself partners with financial institutions (e.g. Equity Bank, Umutanguha) to link SS4G beneficiaries to financial linkages after they have undergone financial literacy courses.</t>
  </si>
  <si>
    <t>SS4G did not undergo any important changes or adjustments to the project in FY 17.</t>
  </si>
  <si>
    <t>The head teachers at our schools are very committed to the project and their support and has made working with mentors and responding to their needs and feedback.</t>
  </si>
  <si>
    <t>Mentors and other teachers together have formed their own VSL groups as adults which wasn't an intended consequence of the project. This is promising practice of the project and is evidence of the benefits that extended beyond the direct beneficiaries.</t>
  </si>
  <si>
    <t>The Ministry of Education is very interested to see how the project is impacting the performance of the schools that we are working with (retention, dropout, success of students and teachers, etc.). The project is committed to work with EVERY student involved in S1, S2, and S3 grades and as such our direct beneficiaries are higher than our initial target. Due to this committment, we are aligning our budget with the higher number of students with approval from the donor.  </t>
  </si>
  <si>
    <t>Child Sensitive Social Protection &amp; Nutrition Specific Intervention Project (CSSP)</t>
  </si>
  <si>
    <t>UNCFRW0014</t>
  </si>
  <si>
    <t>The project aims to increase the capacity of national and decentralized institutions to target and deliver equitable and holistic child-sensitive social protection services through establishing child care support at public works sites and developing new types of public works for caregivers.</t>
  </si>
  <si>
    <t>The project worked in the Western, Northern, &amp; Kigali City Provinces. Districts: Nyabihu, Gakenke, Gicumbi, Nyamasheke and Gasabo</t>
  </si>
  <si>
    <t>15,000 Poor and vulnerable children under 2 years of age and 240 poor and vulnerable adult caregivers</t>
  </si>
  <si>
    <t>Direct participans include 15,000 poor and vulnerable children enrolled in the CSSP project and 240 adults selected for the public works component of the project. Although information on the participants were collected at health centers, the project team did not use this for the gender breakdown. The proportion of women/girls to men/boys used the national statistic of 52% women/girls, 48% men/boys in Rwanda.  Indirect participants are considered the parents of each child receiving services, and family members of the 240 adults that are being targeted. Due to this designation, a multiplier of 2.5 is used.</t>
  </si>
  <si>
    <t>The project has been completed in FY17.</t>
  </si>
  <si>
    <t>CSSP implemented mobile crèche programme services which was a new method which aimed to improve the productivity of poor working familites, especially mothers. Children were being cared for by mobile crèche while the guardian worked. Based on the final evaluation, productivity was increased as well as improved nutrition and health outcomes of the children being cared for by the services which improved economic resources generated by the parent.</t>
  </si>
  <si>
    <t>CSSP worked with the Ministry of Local Government on the flexible public works component of the project. From the models tested under CSSP, the flexible public works will be scaled up in 30 additional districts.</t>
  </si>
  <si>
    <t>CSSP ended during this fiscal year and there were no important programmatic changes or adjustments made.</t>
  </si>
  <si>
    <t>VSL groups were initiated for adults to sustain the interventions and was proven to be successful</t>
  </si>
  <si>
    <t>The mobile creche activities (early childhood care intervention)</t>
  </si>
  <si>
    <t>Work with existing government structures and communities to identify and select that most at risk beneficiaries for this project</t>
  </si>
  <si>
    <t>Operational VSL can help manage the gap caused by delays in payment from the Flexible Public Works</t>
  </si>
  <si>
    <t>Community trust was an assest to ensure effective and operational home based creches, run by the parents.</t>
  </si>
  <si>
    <t>It was important for the project to cover the total cost of porridge at the creche because the pilot parents were unable to fully or partially cover the cost.</t>
  </si>
  <si>
    <t>The project's success had led to a scale up in 30 additional district being led by the government. Even though the project has ended, the created VSLA are still operational and benefiting the beneficiaries.</t>
  </si>
  <si>
    <t>The endline evaluation has yet to be shared by UNICEF.</t>
  </si>
  <si>
    <t>Serbia</t>
  </si>
  <si>
    <t>Winterization Assistance for Refugees and Migrants in the Balkans</t>
  </si>
  <si>
    <t>US1SQ</t>
  </si>
  <si>
    <t>Sibina Golubovic</t>
  </si>
  <si>
    <t>Emergency Response Team Leader</t>
  </si>
  <si>
    <t>sgolubovic@care.rs</t>
  </si>
  <si>
    <t>Dusan Stamenkovic</t>
  </si>
  <si>
    <t>Project Coordinator/WASH Specialist</t>
  </si>
  <si>
    <t>dstamenkovic@care.rs</t>
  </si>
  <si>
    <t>To supply additional food with added nutritional value for children and pregnant/lactating women, as those vulnerable groups are not covered by regular menus in most of the centers in Serbia.</t>
  </si>
  <si>
    <t>Adasevci, Principovac (north-west), Krnjaca (Belgrade), Sjenica, Tutin (south-west), Bosilegrad, Pirot, Divljana (south-east), Kutina and Osijek (Croatia).</t>
  </si>
  <si>
    <t>The beneficiaries of the support are inhabitants of the said reception centers: women, men and children.</t>
  </si>
  <si>
    <t>Direct participants are beneficiaries/recepients of the project.</t>
  </si>
  <si>
    <t>Food Assistance for Refugees in Serbia</t>
  </si>
  <si>
    <t>SRB7071/DE779</t>
  </si>
  <si>
    <t>To provide three meals per day for migrants and refugees accommodated in Adasevci and Principovac reception centers, and satisfy nutritional needs of the population by well-balanced nutrition.</t>
  </si>
  <si>
    <t>North-west of Serbia, Sid municipality area: Adasevci and Principovac receptin centers. The project included Sid reception center as well, until its closure in May 2017.</t>
  </si>
  <si>
    <t>Direct participants are beneficiaries/recepients of the project, residents of Adasevci and Principovac reception centers.</t>
  </si>
  <si>
    <t>Food, Winterization and Shelter for Refugees in Serbia</t>
  </si>
  <si>
    <t>SRB1262/DE760</t>
  </si>
  <si>
    <t>CAREs goal in this project was to provide winter assistance through improved shelter, NFI, WASH and Food assistance in Serbia and support refugee population in three sectors: winterization, shelter/WASH and food and respond to the needs of the men, women and children in several locations throughout Serbia. Project had three goals: Providing support in protective clothes and NFIs, Providing support in adequate nutrition and Providing access to quality WASH and shelter services.</t>
  </si>
  <si>
    <t>The project was implemented in Belgrade, Adasevci, Principovac, Subotica, Presevo, Tutin, Sjenica and hot spots along the border with Hungary (Horgos, Kelebija, Sombor, etc).</t>
  </si>
  <si>
    <t>The beneficiaries of the support are inhabitants of the said reception centers and people sleeping in the rough/hot spots/outside locations: women, men and children.</t>
  </si>
  <si>
    <t>Direct participants are beneficiaries/recepients of the project. The estimated number of unique beneficiaries of cooked meal distribution in Adasevci was around 1,500 refugees/migrants and of NFI around 2,000 beneficiaries (Adasevci TC, Bogovadja AC and identified PoC in Subotica/Belgrade). Also it is necessary to have in mind that most of beneficiaries which received cooked meals in Adasevci, also received NFIs. Most of the beneficiaries received more than one NFI (for example socks, underwear, sweat suit, shoes etc) and hygiene items. NSHC provided protection and organized recreational activities for around 750 unique beneficiaries (approximately 50% of total beneficiaries). Some of those beneficiaries from Belgrade appeared in Adasevci. Because of all those reasons, it was impossible to determine exact and precise number of unique beneficiaries, only estimate. Our estimate is that during the project in total assistance was provided to around 2,500 unique beneficiaries (around 1,500 beneficiaries in Adasevci TC, 250 beneficiaries in Bogovadja AC and 750 beneficiaries in the Belgrade and Subotica). Pillow cases, bed sheets and bath towels were handed over to managers of transit centers. In the South, in Presevo, the number of unique beneficiaries was around 1000, while in Sjenica and Tutin in the south west, the number of unique beneficiaries from November 2106 to through January 2017 was continuously changing. The exact number of unique beneficiaries was hard to demine, Impuls estimation is that the total number of unique users is 10-20% times higher than the current number of users, what makes around 650 unique beneficiaries in both camps during project lifetime. Most beneficiaries who received hygiene received and/or NFI. In addition, CARE built outside pathways in Adasevci camp.</t>
  </si>
  <si>
    <t>The project purpose is to increase the uptake of healthy, non-violent and gender equitable lifestyles amongst boys and men (and girls and women) participating in the program. This will be achieved through 3 inter-related results: ER1: Gender Transformative Life Skills program (Program M) adopted, accredited and teachers trained by Ministry of Education for use in secondary schools; ER 2: Lifestyle and social norms campaigns to engage boys and men on issues of violence prevention, gender equality and fatherhood are developed and reach the targeted audience; ER3: Local NGO partners act as national resource centres and promote practice, policy and research work engaging boys and men.. The project purpose is to increase the uptake of healthy, non-violent and gender equitable lifestyles amongst boys and men (and girls and women) participating in the program. This will be achieved through 3 inter-related results:. ER1: Gender Transformative Life Skills program (Program M) adopted, accredited and teachers trained by Ministry of Education for use in secondary schools; ER 2: Lifestyle and social norms campaigns to engage boys and men on issues of violence prevention, gender equality and fatherhood are developed and reach the targeted audience; ER3: Local NGO partners act as national resource centres and promote practice, policy and research work engaging boys and men.</t>
  </si>
  <si>
    <t>Ministry of Education, Science and Technological Development in Serbia on October 14th 2016 adopted a decision that Program Y, program of experts training for employees in educational system gets the status of program of public interest. Education for teachers lasts three days and after it is successfully finished, teachers will get 24 necessary points to record personal specialization in professional development.</t>
  </si>
  <si>
    <t>Efforts should be invested in mainstreaming gender equality and GBV issues into existing curricula and programs of various organizations which implement activities in schools. This could significantly contribute to further sustainability of the project results. Every year different organizations and institutions develop number of programs and new curricula and schools have lot of issues with identifying the most suitable and relevant ones. Instead of producing new education programs and investing lot of efforts in its accreditation, mainstreaming serve as a more strategic and feasible option. As per the content of the educational programs, respondents recognized the need for including/emphasizing following topics: psychological violence, Internet safety, safety of youth in general. One could ensure even greater and more strategic involvement of media in the program. For the long term success of the program it is not enough only to have a number of media releases about the project activities, but also to have editors and journalists setting the societal values. Additional strategies for media sensitization and participation could be also added value for the next phases of the YMI initiative. Public advocacy space is still to be explored and comprehensive strategies as well as national advocacy action plans to be developed and coordinated, since this would be logical next step in the project concept further development. Attention should be specifically put on the involvement of the primer constituency group in the advocacy initiatives. Students should be supported to formulate their own initiatives and to advocate for sustainable systemic changes. Most significant change methodology could also be used in this process as a good communication tool for gaining wider public support. Continue the work in the area of community involvement. The idea of BMCs which function as local youth clubs and resource centers for youth in the domain of promotion of gender equality, healthy lifestyles and violence prevention, should be additionally supported. In addition, CARE could support additional capacity development of  BMCs to become key actors of local referral mechanisms for youth in need of additional support mediation, counseling, etc. Interest members capacities for the provision of this type of peer support could be also developed and the communities as a whole could benefit a lot from this approach.. Partner organizations need continuous support in becoming learning organizations. Namely, their M&amp;E capacities and members capacities for continues learning and development need additional support from CARE. In addition, their knowledge on gender equality, relevant international standards in this area, as well as regional legislation and strategic framework, should also be further developed. Cooperation with womens organizations should be intensify in the future, since feminist expertise could provide the Project with additional impetus and quality  Also, local partner organizations should be additionally supported to advance their position in the civil society and become sectorial leaders which promote participation, wide consultations and innovative approaches. In future, some efforts should be invested in creating relevant links with existing mechanisms for violence prevention. For example, General and Specific Protocols for Protection of Children against Abuse and Neglect in Serbia envisage specific mechanism for dealing with violence in school context. Apart from potential advancement of such norms, activities could be coordinated with similar mechanisms in the region in order to become integral part of future practices. Apart from high school students, younger youth could be involved more actively in the Project implementation in the next phase. Good examples from Banjaluka in this regard could be a roadmap for further program development. Namely, Perpetuum Mobile had implemented set of educational activities in the primary school in Banjaluka and had great success with this activity. One could argue that the social change starts with the formation of attitudes in early stages of childhood. CAREs capacities should be utilized for this purposes. Regional networking events should be organized in future, since this approach influence reconciliation and peace building in the whole region and motivate young men to adopt new values and to be more active and involved within their communities.</t>
  </si>
  <si>
    <t>Urgent Nutritional Needs of Vulnerable Migrant Groups in Serbia</t>
  </si>
  <si>
    <t>GB649</t>
  </si>
  <si>
    <t>Adasevci, Principovac (north-west), Krnjaca (Belgrade), Sjenica, Tutin (south-west), Bosilegrad, Pirot, Divljana (south-east).</t>
  </si>
  <si>
    <t>Direct participants are beneficiaries/recepients of the project in the listed camps who received additional food in regular intervals, several times per week.</t>
  </si>
  <si>
    <t>CARE Refugee Response in the Balkans</t>
  </si>
  <si>
    <t>US1NM</t>
  </si>
  <si>
    <t>To provide emergency relief for the refugees in the Balkan in sectors of food, WASH, shelter and NFIs.</t>
  </si>
  <si>
    <t>Adasevci, Principovac, Sid (north-west), Miksaliste/Belgrade downtown, Sjenica, Tutin (south-west), Presevo (south), Kutina and Osijek (Croatia).</t>
  </si>
  <si>
    <t>The beneficiaries of the support are inhabitants of the said reception centers: women, men and children., and people who were outside of the centers.</t>
  </si>
  <si>
    <t>Sierra Leone</t>
  </si>
  <si>
    <t>Women Empowerment &amp; Business Development Project</t>
  </si>
  <si>
    <t>Jacob Niamen</t>
  </si>
  <si>
    <t>Jacob.naimen@care.org</t>
  </si>
  <si>
    <t>Evelyn Mafeni</t>
  </si>
  <si>
    <t>Senior Program Officer</t>
  </si>
  <si>
    <t>emafeni@care.org</t>
  </si>
  <si>
    <t>Enhance Economic Empowerment of 10,000 Women in Sierra Leone. They involve women entrepreneurs (as individuals and/or in any form of enterprise) They aim for womens empowerment through skills development They make explicit in what way womens reality is transformed and empowerment takes place The project is either a pilot with a potential for scale or builds on existing experiences and takes them to scale</t>
  </si>
  <si>
    <t>Northern Sierra Leone, Bombali and Tonkolili Districts (4 Chiefdoms in Bombali district (Biriwa, Safroko, Libisgahun, Makarie Gbantie) and 3 Chiefdoms in Tonkoli district (Kunike Sanda, Gbonkolenken, Tane) in Sierra Leone.</t>
  </si>
  <si>
    <t>The main impact group of the project are women engaged in Income Generating Activities  mostly from village savings and loan  associations and are non bankers.                                                                                                                                                                              This group live in the rural and semi urban areas of Sierra Leone 10,000 rural and semi-urban women in Sierra Leone . These are about 70% of 900 Village Saving and Loan Associations (VSLAs) members established by an existing and recently closed projects)</t>
  </si>
  <si>
    <t>The direct participants are women who attended the entrepreneurship skills development trainings and workshops provided by the project. The indirect participants are families members of the direct participants. Average size of a household is 6. Calculation basis: [6-1(direct participant)]*12,190=60,950</t>
  </si>
  <si>
    <t>The project is implemented in two countries; Sierra Leone and Cote D' Ivoire and it has only one goal but baseline and end line evaluations were carried out separately</t>
  </si>
  <si>
    <t>The project facilitated access to relevant market information for small scale business women</t>
  </si>
  <si>
    <t>All project activities were implemented with and/or through partners.</t>
  </si>
  <si>
    <t>CARE provided capacity buliding and techincal support in the implementation of project activities</t>
  </si>
  <si>
    <t>The use of women entrepreneurs role models in an awareness campaign on women's entrepreneurship has led to the desire to develop economic activities among the beneficiaries</t>
  </si>
  <si>
    <t>Supporting members of VSLA groups in entrepreneurship is easier and makes to increase quickly their economic power.</t>
  </si>
  <si>
    <t>The use of community radio networks as a partner makes it possible to provide women with faster and more information about the market</t>
  </si>
  <si>
    <t>There is no policy that protect small scale  product as against those of the importers, thus, it has always been challenging for women and girls to develop and expand their enterprises  </t>
  </si>
  <si>
    <t>There is still a gap between Financial Service Providers and women enterpreneurs in rural areas in accessing financial products  </t>
  </si>
  <si>
    <t>Rural women and girls are mostlly engage in Income Generating Activities (IGA) and only need capacity building and linkages to scale</t>
  </si>
  <si>
    <t>Epidemic Control and Reinforcement of Health Services (ECRHS) Phase I</t>
  </si>
  <si>
    <t>Germany Government, through Kreditanstalt für Wiederaufbau ( KfW)</t>
  </si>
  <si>
    <t>Evariste Sindayigaya</t>
  </si>
  <si>
    <t>esindayigaya@care.org</t>
  </si>
  <si>
    <t>The over project goal is to improve the health status of Sierra Leoneans in four district of the Bombali, Tonkolili, Kambia and Koiunadugu.                                                                                                                                             Module objective 1: Containment (and Stopping) of Ebola outbreak. Module Objective 2:  Stabilization of the Health System. Module Objective 3: Increase Resilience of affected population  within the intervention area</t>
  </si>
  <si>
    <t>Bombalili district  Tonkolili district, Koinadugu district, and Kambia district.</t>
  </si>
  <si>
    <t>Survivors and communities affected by the Ebola epidemic in Sierra Leone.</t>
  </si>
  <si>
    <t>Direct participants  of the project are varied groups in target communities. these include frontstaff of target facilities, community helath workers, Community WASH committees members, District Health Medical team (DHMT) members, and community farmers. Representatives of these groups who directly participated in project supported trainings and events, and surveillance activities comprised the direct beneficiaries. the other cluster of direct beneficiaires are farmers who benefited seed vouchers.  The indirect particicpants are the community members living in the catchment of directly support services facilities, especially women and girls of reproductive age. Calculation basic: total population of the catchment are/2.493.</t>
  </si>
  <si>
    <t>The project directly influenced and contributed to the drafting of the GoSL FP2020 commitments ahead of the 2017 Global FP summit in London. Furthermore, CARE Sierra Leone through the project lobbied for an enhanced representation of the GoSL at the Global FP summit held in London, and a direct engagement between the representative of the GoSL with FP champions to explore avenues for supporting commitment made.</t>
  </si>
  <si>
    <t>Training and capacity building on project development, management and financial mangement skills, amongts others.</t>
  </si>
  <si>
    <t>Creation of a steering committee  for the proejct.</t>
  </si>
  <si>
    <t>Supportive supervision /Joint Coordination</t>
  </si>
  <si>
    <t>Introducing the concept of seed vouchers to access improve seeds.</t>
  </si>
  <si>
    <t>Using government curriculum and personnel as facilitators.</t>
  </si>
  <si>
    <t>Importance of working across many  levels; national, district and community levels involvements in this project has created ownership at all three levels.</t>
  </si>
  <si>
    <t>Accountability to the communities , by involving key community elders and leaders in review meetings.</t>
  </si>
  <si>
    <t>The project worked out on all harzard preparedness plan in all four districts of implementation.</t>
  </si>
  <si>
    <t>Project proposal, results framework, progress reports, financial reports, review meeting reports and training modules.</t>
  </si>
  <si>
    <t>Rapid Ebola Social Safety Network and Economic Recovery (RESSNER)</t>
  </si>
  <si>
    <t>Morie Amadu</t>
  </si>
  <si>
    <t>Amadu.Morie@care.org</t>
  </si>
  <si>
    <t>Veronica Avila</t>
  </si>
  <si>
    <t>Livelihood Advisor</t>
  </si>
  <si>
    <t>vavila@care.org</t>
  </si>
  <si>
    <t>Reducing negative coping mechanism and supporting local economic recovery in selected EVD impacted chiefdoms in Bombali and Tonkolili districts. The purpose is to reduce the coping strategies of extremely poor households.</t>
  </si>
  <si>
    <t>Seven chiefdoms in Bombali and Tonkolili districts of Northern region of Sierra Leone</t>
  </si>
  <si>
    <t>Poorest of the poor community members affected by the Ebola Virus Disease</t>
  </si>
  <si>
    <t>The Direct Beneficiairies are the Household Heads who directly received and beneficitted from the cash payment and the seed vouchers. The Indirect Beneficiaries are the Household members who indirectly benefited from the cash payment and the seed vouchers. The average household size is 6. Calculation basis: 6-1 (direct beneficiary) * 11,540 = 57,700</t>
  </si>
  <si>
    <t>Trainings and capacity building</t>
  </si>
  <si>
    <t>The number of pament to beneficiaries was increased by an aditional one month. This was as a result of the exchange rate gaines. This was a a demosntration of transparency and accounability which the beneficiaries appreciated very much.</t>
  </si>
  <si>
    <t>Selection of Community Identification Commities  within the targetted communitied was a an initiatied that facilitated community engagement, participation and acxcountability. The CIC's played a very significant role in the identification and registrarion of the right beneficiaries for Cash Transfer</t>
  </si>
  <si>
    <t>Complemnting the the Cash transfer with the Seed Voucher disbursement provided and opportunity for the sustainability of the project. Some of the beneficiaries are mostly farmers whosw farming work were significantly disrupted as a result of the Ebola Outbreak.</t>
  </si>
  <si>
    <t>Working with Governent officiales and ministries including the ministry of Social Welfare, th National Commision for Social Actions and the Anti Corruption was a high level of demonstrating accountability and transparency in whole processes. It alsofaciliated collaboration and sharing of knowledge and expriences</t>
  </si>
  <si>
    <t>Working with Local community-based organisations ensured the smooth implementation of the project and also helped in faciliatating effective and participatory engaging with communities</t>
  </si>
  <si>
    <t>The use of direct payment to beneficairies other than mobile payment proved to be more effective and more reliable.</t>
  </si>
  <si>
    <t>Most of the men targetted were willing to allow their wives to be registed as the househeads. This can be crucial and sensitive in  especially a male dominated society where the project was implemented.</t>
  </si>
  <si>
    <t>proposal, progress reports, evaluations, donor reports, after review reports.</t>
  </si>
  <si>
    <t>HIV and AIDS Prevention Program(HAPP III)</t>
  </si>
  <si>
    <t>Christiana Momoh</t>
  </si>
  <si>
    <t>Christiana.Momoh@care.org</t>
  </si>
  <si>
    <t>To Improve  Sexual Reproductive Health and Rights of the Population.</t>
  </si>
  <si>
    <t>Western Area,Northern Region,Southern Region,Eastern Region including all districts</t>
  </si>
  <si>
    <t> Vulnerable women and girls 15-49 years who live in urban, peri-urban and rural areas of Sierra Leone</t>
  </si>
  <si>
    <t>Direct participants are community members that received supports from the project such as  economics support.  Indirect beneficiaries  are household members, and communities members from project  operating communities, was calculated by ( total male population in project implementing communities multiply by 0.49 of the country male population and total female population in implementing communities  multiply by 0.51 of the country female population minus 6000 of direct beneficiares. It is a nationwide project that involve a lot of SRHR and HIV/AIDS sensitizations, some through community radio staions, mass rally, focus group discussions, one-on-one engagement.   </t>
  </si>
  <si>
    <t>The final evaluation of the project will commence in sepember 2017. The evaluation will measure improvement in SRH outcomes( specifically decrease the risk of contact HIV, increased use of condoms by youths, reduce stigmatization against people living with HIV and ratio of mothers who do not intend their daughters subject to FGM). The evaluation shall also provide information on the socio-economics impact of vulnerable women who received IMf supports and strategies of the condom social maketing component.</t>
  </si>
  <si>
    <t>Introducing VSLA in to the program which is sexual reproductive health for women and girls</t>
  </si>
  <si>
    <t>Module on intergenerational dialogue session  tested in the program were scale up.    </t>
  </si>
  <si>
    <t>Capacity building and trainings on mobile data collection, reporting and monitoring.</t>
  </si>
  <si>
    <t>Village Savings and Loan (VSLA) groups intiative in the program.</t>
  </si>
  <si>
    <t>Engaging men expecialy traditional leaders.</t>
  </si>
  <si>
    <t>Community engagement through intergenerational dialogue.</t>
  </si>
  <si>
    <t>Use of mobile data collection tool at all level of implementation of the project.</t>
  </si>
  <si>
    <t>After action review learning.</t>
  </si>
  <si>
    <t>Cross learning activities among partners as a promising pratice.</t>
  </si>
  <si>
    <t>Donor semester reports, log frame, proposals, monitoring reports, After review report.</t>
  </si>
  <si>
    <t>Resilient Zero: A Strengthened Public Health System in Sierra Leone</t>
  </si>
  <si>
    <t>Sylvester Epiagolo</t>
  </si>
  <si>
    <t>Health Program Coordinator</t>
  </si>
  <si>
    <t>sepiagolo@care.org</t>
  </si>
  <si>
    <t>The project will improve Sierra Leones capability for the early detection and response to Ebola virus disease (EVD) and other public health emergencies.</t>
  </si>
  <si>
    <t>The project is implemented in Bombali and Koinadugu districts in Sierra Leone</t>
  </si>
  <si>
    <t>Districts Health Management Teams (DHMTs) and general district populations</t>
  </si>
  <si>
    <t>The direct participants of the project are members of the DHMTs in both districts that were strengthened through provision of trainings and supported to deliver services at the district. The indirect participants included the catchment populations of all health facilities in the supported districts. Bombali supported the entire 110 health facilities while Koinadugu supported 74 health facilities to ensure surveillance are maintained. The DHMTs through supportive supervision and mentorship of health facility staffs ensured services are delivered at the health facilities and also ensured that communities participate in health promotion through  community engagement meetings to prevent and control disease spread in both districts. These community structures report to the health facilities within its catchment areas that constitute the entire population in the two districts.  </t>
  </si>
  <si>
    <t>The project supported the harmonization of INGO response through the Emergency Response Consortium now referred to as Health Consortium (HealthCo) which comprise of six INGOs including IRC, CARE, ACF, GOAL, SavetheChildren, and Concern Worldwide. The consoritum supported the DHMT's capacity for emergency preparedness and response to detect and respond to communicable disease outbreak including EVD</t>
  </si>
  <si>
    <t>Community engagement strategies in diseeminating key messages on prevailing public health issues in the affected communities</t>
  </si>
  <si>
    <t>Sustained monthly PHU incharges meeting as well as public health emergency quarterly meetings to address public health issues of concern</t>
  </si>
  <si>
    <t>Working through established systems and structures like the DHMT contributed towards sustainability</t>
  </si>
  <si>
    <t>The project worked at all levels from community to district and national</t>
  </si>
  <si>
    <t>The project end date was brought forward based on donor request.</t>
  </si>
  <si>
    <t>Project proposal and budget</t>
  </si>
  <si>
    <t>Somalia</t>
  </si>
  <si>
    <t>Somali Youth learners Initiative (SYLI) Previousl known as Somali Youth leaders Initiative</t>
  </si>
  <si>
    <t>USQ20</t>
  </si>
  <si>
    <t>Ibrahim Nur</t>
  </si>
  <si>
    <t>Program Cordinator(UY)</t>
  </si>
  <si>
    <t>nur.ibrahim@care.org</t>
  </si>
  <si>
    <t>Increased education, economic and civic particiapation opportunities for Somali youth to reduce instability in target areas</t>
  </si>
  <si>
    <t>Somaliland, Puntland and South Central Somalia</t>
  </si>
  <si>
    <t>Urban young women and men who are either out of school with limited livelihood opportunities and/or are socially marginalized</t>
  </si>
  <si>
    <t>The project has been closed and no more evluations have been planned.</t>
  </si>
  <si>
    <t>Construction of secondary schools in rural areas, most students have to travel to other districts and live with relatives inorder to attend schhools. This locks out a lot of aager students out especially girls who have no means or relatives to live with.</t>
  </si>
  <si>
    <t>Provison of teaching and learning materials including lab equipments is effective in improving the quality of education</t>
  </si>
  <si>
    <t>Emergency Livelihoods and WASH Project for drought and conflict affected populations in Lower Juba region, Somalia - 2016</t>
  </si>
  <si>
    <t>CCANSO0005</t>
  </si>
  <si>
    <t>Ibrahim Hassan</t>
  </si>
  <si>
    <t>Emergency director</t>
  </si>
  <si>
    <t>ibrahim.hassan@care.org</t>
  </si>
  <si>
    <t>Elmi Abdinur</t>
  </si>
  <si>
    <t>Humanitarian coordinator</t>
  </si>
  <si>
    <t>elmi.nur@care.org</t>
  </si>
  <si>
    <t>To alleviate suffering and reduce vulnerability among disaster-affected and vulnerable host communities in Lower Juba regions in Somalia by increasing access to basic services</t>
  </si>
  <si>
    <t>Lower Juba regions in Somalia</t>
  </si>
  <si>
    <t>Disaster-affected and vulnerable host communities who include women, men, youth, boys and girls</t>
  </si>
  <si>
    <t>The direct beneficiaries have been calculated by adding up the family size of individuals benefitting from the project sectors</t>
  </si>
  <si>
    <t>The project ensured that female headed households were given priority</t>
  </si>
  <si>
    <t>The feedback response mechanism collected feedback that the team incorporated into the project</t>
  </si>
  <si>
    <t>The incluson of village elders ensured that there was no clan conflict</t>
  </si>
  <si>
    <t>The cash for work tools being handed overo the community to ensure they use them whenever they needed to carry out an activity</t>
  </si>
  <si>
    <t>The need to have separate cash for work activities for men and women</t>
  </si>
  <si>
    <t>End of project project</t>
  </si>
  <si>
    <t>Immediate response to drought-related malnutrition and acute watery diarrhoea outbreak in North east Somalia</t>
  </si>
  <si>
    <t>CDEUSO0026</t>
  </si>
  <si>
    <t>To meet immediate food and non food items among disaster-affected and vulnerable host communities in  Togdheer in Somalia by increasing access to basic services</t>
  </si>
  <si>
    <t>Togdheer region in Somalia</t>
  </si>
  <si>
    <t>These are the family size individuals counted as direct beneficiaries who received food vouchers</t>
  </si>
  <si>
    <t>The need to include the local authorites in beneficiary selection</t>
  </si>
  <si>
    <t>End of month report</t>
  </si>
  <si>
    <t>Resilience  Returnee Integraton (RRI)</t>
  </si>
  <si>
    <t>CDEUSO0024</t>
  </si>
  <si>
    <t>Iibrahim Hussein</t>
  </si>
  <si>
    <t>Ibrahim.Hussein@care.org</t>
  </si>
  <si>
    <t>Hassan Jama</t>
  </si>
  <si>
    <t>Hassan.Jama@care.org</t>
  </si>
  <si>
    <t>Strengthen resilience for chronically food insecure pastoral populations and support sustainable and durable reintegration of refugee and IDP returnees in Somalia/Somaliland.</t>
  </si>
  <si>
    <t>The  specific  location of the  RRI Project are  Somaliland  specially  Sool , Kismayo and Togdheer Region( Burao, Ainaba and Lasanood district ( project works with the rural communities of   Sool, Togdheer and Kismayo IDPS, , Retruness  and Host Communities of Kismayo  of  Lower Jubasomalia are the project beneficiaries who directly  benefiting  from the Project .</t>
  </si>
  <si>
    <t>Host Population , Returnee and IDPs  The main impact  groups of the project are (  rural women/ VSLA   IDPs, Retrunee and host communities in Kismayo   lower Juba(</t>
  </si>
  <si>
    <t>Communities who are directly  benifit from the project  are the direct  beneficiaries for instance  VSLA  groups or other  groups who are intended to be benefiting are the direct beneficiaries those are already on the project document( proposal) while indirect beneficiaries are those who are benefiting  project  in directly  ( eg   construction of shallow well in  the Village   rural communities near the village   come for fetching water and watering for thier livestock hence those are the indirectly benefiting from the  water point. An additional 30% of the direct benefiaries are likely to benefit from the activties in neighbouring and surronding areas.</t>
  </si>
  <si>
    <t>Result 4 of the project focus on Improved coordination, collaboration, and information exchange among NGOs operational in Somalia, through support to the Somalia NGO Consortium</t>
  </si>
  <si>
    <t>Facilitate access to financial services thought VSLA for vulnerable households to support HH income</t>
  </si>
  <si>
    <t>Community asset rehabilitation through the Cash for Work as a strategy for supporting HH during doughts</t>
  </si>
  <si>
    <t>Diversified employment opportunities for vulnerable households as part of income generation activties</t>
  </si>
  <si>
    <t>Drought: Somalia is dealing with the failure of the short and long rains in 2015/2016 which have con-tinued into 2017 and left devastating consequences on the communities resilient capabilities. There is therefore more pressure on the project by community members as there are greater economic challenges to overcome</t>
  </si>
  <si>
    <t>Returnees: There are currently over a million internally displaced returnees following the closure of Dadaab refugee camp. This puts a strain on project resources as RRI cash for work and VSLA ac-tivities are being implemented in 1 IDP camp and makes the situation uncertain as to whether re-turnees engaged in project activities will continue to reside in the camps.</t>
  </si>
  <si>
    <t>Conflict: In some areas of project interentions are they some slight tensions and conflicts which delay project action</t>
  </si>
  <si>
    <t>Deegankaagu waa Noloshaada</t>
  </si>
  <si>
    <t>CNLDSO0043</t>
  </si>
  <si>
    <t>Ibrahim Hussein</t>
  </si>
  <si>
    <t>Abdikadir Abdulsalam</t>
  </si>
  <si>
    <t>Abdikadir.Abdulsalam@care.org</t>
  </si>
  <si>
    <t>Reduced hunger and food insecurity in Puntland (MDG1)</t>
  </si>
  <si>
    <t>Puntland State of Somalia - Nugaal, Karkar, Bari, Mudug, Sool and Sanaag regions</t>
  </si>
  <si>
    <t>Nomadic pastoralists, agro-pastoralists communities and associations, Village Committees, local women organizations and the Ministy of Environment, Wildlife and Tourism</t>
  </si>
  <si>
    <t>Direct and Indirect benefacires as stated in project proposal based on all project activties reach and target intervention reach. Indirect is direct multipled by 6 for overall HH members reach of direct project activties beneficaries</t>
  </si>
  <si>
    <t>TOR done and a final evaluation of all project intreventions is planned to take place</t>
  </si>
  <si>
    <t>Cash distribution for gulley rehabilitation in affected villages. It assisted the boosting of the local economy and buying capacity</t>
  </si>
  <si>
    <t>Developed environmental law and policies to tackle environmental degradation.  </t>
  </si>
  <si>
    <t>During the long and severe drought in Somalia. The project was directed at addressing and contributed in the drought recovery.  CFW activities aimed at rehabilitated eroded land and as well as creating income opportunities for vulnerable was incoorporated in the project.</t>
  </si>
  <si>
    <t>Community engagement in decisions has ensuring ownership and buyin from the target communities we work with</t>
  </si>
  <si>
    <t>Public education and awareness raising campaigns has proven to have impact on communities on raising awarness of harmful practices and perserving the environment</t>
  </si>
  <si>
    <t>Coordination among the partners implementing the project has proven vitial for information sharing and effective coordination of efforts</t>
  </si>
  <si>
    <t>The government and leadership of the ministry greatly impacts project implementation, momentum and achievement of results</t>
  </si>
  <si>
    <t>Community involvement in assessment of degraded land, identification of sites to be rehabilitated  and beneficiary selection is the foundation for successful rehabilitation interventions. It has led to ownership of the work and communities are eager to see the end result which they have contributed to and to protect the structures that will be erected.</t>
  </si>
  <si>
    <t>When training staff, thinking of succession planning is critical so that there is always a fall back position when staff leave the ministry for whatever reason. Mechanism for knowledge management and safeguarding institutional memory should also be a priority in view of the mobility of human resources.</t>
  </si>
  <si>
    <t>This FY the project could not get the approval of the new environmental law from the parliament due to conflicting mandates from two key government agencies</t>
  </si>
  <si>
    <t>All project documents avaliable</t>
  </si>
  <si>
    <t>Durable Solution for Internally Displaced persons and Returnees in Somalia (DSIRS)</t>
  </si>
  <si>
    <t>NL232</t>
  </si>
  <si>
    <t>Program Coordinator - Urban Youth program</t>
  </si>
  <si>
    <t>Nur.Ibrahim@care.org</t>
  </si>
  <si>
    <t>Nimo Hassan</t>
  </si>
  <si>
    <t>Nimo.Hassan@care.org</t>
  </si>
  <si>
    <t>Contribute to sustainable integration of IDPs, returnees and refugees in Somalia</t>
  </si>
  <si>
    <t>Galmudug and Puntland, Somalia</t>
  </si>
  <si>
    <t>Internally displace persons, returnees and refugees</t>
  </si>
  <si>
    <t>End-line evaluation will conduct around March 2020</t>
  </si>
  <si>
    <t>Vocational education for youth and village saving and loan association</t>
  </si>
  <si>
    <t>Every Voices Count Project</t>
  </si>
  <si>
    <t>Program Coordinator - Urban Youth programme, CARE Somalia</t>
  </si>
  <si>
    <t>Khadra Yusuf Jama</t>
  </si>
  <si>
    <t>Youth Empowerment Manager</t>
  </si>
  <si>
    <t>Khadra@care.org</t>
  </si>
  <si>
    <t>Young women and men in Puntland and South Central Somalia are represented, are able to have their voices heard, and influence decision making that affects their lives through participation in informal and formal governance mechanisms and decision-making processes, including the federal election and the finalization of the federal constitution</t>
  </si>
  <si>
    <t>Puntland and South Central Somalia</t>
  </si>
  <si>
    <t>Young women and men in Puntland and South Central Somalia</t>
  </si>
  <si>
    <t>Civil society representatives, Young women and men in Puntland and South Central Somalia, Local authorities in Garowe, Bosaaso, Galkayo, Mogadishu and Lower Shebelle, and state and federal authorities</t>
  </si>
  <si>
    <t>advocay and leadership capacity building for youth</t>
  </si>
  <si>
    <t>Girl challenge education</t>
  </si>
  <si>
    <t>in FY3  of EVC project there is some changes in  the project pathways  and domains of changes,  in FY2 in  order to improve the  quality of the report the project adopted AAR Tool (after Action Review) to assess if the interventions will help us achieve the intended objective.</t>
  </si>
  <si>
    <t>Engaging informal powerholder during the ellection</t>
  </si>
  <si>
    <t>social hall meeting between Youth and powerholders</t>
  </si>
  <si>
    <t>enagaging youth role model to inspire the fellow Youth</t>
  </si>
  <si>
    <t>Help slachtoffers hongernood (SHO) Somalia</t>
  </si>
  <si>
    <t>CNLDSO0072</t>
  </si>
  <si>
    <t>Help slachtoffers hongernood</t>
  </si>
  <si>
    <t>To meet immediate food and non food items among disaster-affected and vulnerable host communities in  Baidoa in Somalia by increasing access to basic services</t>
  </si>
  <si>
    <t>Baidoa region in Somalia</t>
  </si>
  <si>
    <t>HORUMARINT ELMIGA II  (Education for Empowerment through Cohesive and Harmonised System)</t>
  </si>
  <si>
    <t>CNLDSO0056</t>
  </si>
  <si>
    <t>CNLDSO0064</t>
  </si>
  <si>
    <t>Nefkens fund for Somalia Horumarinta Elmiga II Match</t>
  </si>
  <si>
    <t>Fadumo Dahir Duale</t>
  </si>
  <si>
    <t>Education Manager</t>
  </si>
  <si>
    <t>Duale.FadumoDahir@care.org</t>
  </si>
  <si>
    <t>Zahra Dahir</t>
  </si>
  <si>
    <t>Monitoring and Learning  Coordinator</t>
  </si>
  <si>
    <t>Zahra.Dahir@care.org</t>
  </si>
  <si>
    <t>Education and training efficiently and effectively contributing to poverty alleviation within a peaceful, secure and democratic Somaliland</t>
  </si>
  <si>
    <t>Sool, Sanaag and Togdheer Region of Somaliland</t>
  </si>
  <si>
    <t>Impact groups include primary and secondary school students, Non formal Education-NFE students, flexi timing students, IBTVET, EBTVET students, Teachers</t>
  </si>
  <si>
    <t>Primary school students   19,426 Secondary School Students  4923 Flexi timing students 1378 Non Formal Education (NFE) Students  1530 EBTVET 200 IBTVET 180 Teacher training  110 Scholarship university  29 Female teachers 24 Basic Education Pastoralist teachers  37 Basic Education Pastoralist facilitators   8 Total  27,869(direct) For indirect benificiares, this is esitmated that project activites along with activities of 2 other education projects will  in-directly impact 113,432. This is estimated that HE project will have an estimated 37810 indirect benificiares.</t>
  </si>
  <si>
    <t>CARE program approach supported to the some of  project beneficiaries, different projects ongoing in same area so families benefit from those projects that was resulted also to education activities</t>
  </si>
  <si>
    <t>To ensure youth undertaking TVET are linked to job markets and employment opportunties, Employment Promotion Service (EPS) units were established in the target IBTVET centres to support the graduates transition to the workplace. Their main function is to link the graduates with the public and private sectors and ensure that apprentices/interns get attachment places and employment opportunities where possible.  Income genernation unit was also establsihed in Burco Technical Insitiution  (BTI) and provided with cost recovary strengthening and career Guidance and Counseling to Students and Trainees was also provided to students to ensure job market readness</t>
  </si>
  <si>
    <t>School Improvement Plan (SIP) - School infra-structure improvement programme involved the development of School improvement plans and based on plans small grants are provided financed through innovative approaches such as co-financing mechanism with private sector and other keystakeholders to address key challenges in the schools such as supply of power, water, ICT and maintenance as per the prioritization of the CECs.). Teachers resource centres have also been establsihed.  </t>
  </si>
  <si>
    <t>Child Friendly School (CFS) approach for quality learning outcomes, focusing on not just access but also rights based, gender sensitive, inclusive, promoting health, academically effective learning such as ensuring selected schools are disability accessible and accommodate learners with special and diverse needs, and disability mainstreaming training for teachers as well as special needs equipment and material distributed to school with children with disabilities. In addition establish Girl Friendly spaces (GFS) and Childrens clubs, consist ing of 50% girls and children with special needs. The clubs are supported with training in life skills and involved in sports competition, drama, personal hygiene promotion, environmental protection, reading competition among schools/grades</t>
  </si>
  <si>
    <t>Community ownership for the schools were improved through communtiy mobilisations, and meeting, also community participation for the implementation of the project increased.</t>
  </si>
  <si>
    <t>community contribution to the school activities established through school improvement plan which reflects ownership of the project activities by the local communities.</t>
  </si>
  <si>
    <t>The linkages of some of the activities to the other CARE development projects being implemtned within the same targeted villages  helped the families to support children  to go to schools.</t>
  </si>
  <si>
    <t>Prolonged drought affected  target schools, some shcooles were closed whereas the some others faced low enrolment because student migrated with their families.</t>
  </si>
  <si>
    <t>Data used above is from project reports and available through monitoring system.</t>
  </si>
  <si>
    <t>Resilience in the Horn</t>
  </si>
  <si>
    <t>CNLDSO0052</t>
  </si>
  <si>
    <t>To build resilience among the disaster-affected and vulnerable host communities in Sanaag, Bari, Banadir and lower juba regions in Somalia by increasing access to basic services</t>
  </si>
  <si>
    <t>Lower Juba, Nugaal, Bari, lower Juba and Banadir regions in Somalia</t>
  </si>
  <si>
    <t>Returnees, IDPs and vulnerable host communities who include women, men, youth, boys and girls</t>
  </si>
  <si>
    <t>These are the family size beneficiaries for individuals who benefitted from cash transfers, VSLAs, water management committees, apprenticeship and integration.</t>
  </si>
  <si>
    <t>IDP integration</t>
  </si>
  <si>
    <t>The follow up trainings for the VSLA groups were very helpful as they helped the group members to ensure smooth running of vsla</t>
  </si>
  <si>
    <t>The NFI package to the returnees proved helpful as seen in the pdm survey</t>
  </si>
  <si>
    <t>Registration of household with children under 6 months for the UCT</t>
  </si>
  <si>
    <t>Distribution being at  a walking distance to the beneficiaries to avoid long distances</t>
  </si>
  <si>
    <t>End of project report</t>
  </si>
  <si>
    <t>Somalia Humanitarian Emergency Response project</t>
  </si>
  <si>
    <t>NL193</t>
  </si>
  <si>
    <t>To alleviate suffering and reduce vulnerability among disaster-affected and vulnerable host communities in Sanaag, Bari, Banadir regions in Somalia by increasing access to basic services</t>
  </si>
  <si>
    <t>Sanaag, Bari, Banadir regions in Somalia</t>
  </si>
  <si>
    <t>The use of kobocollect technology to collect data for th epost distribution survey</t>
  </si>
  <si>
    <t>The use of community hygiene promoters who have the sustainability effect</t>
  </si>
  <si>
    <t>The criteria that was developed to target the most vulnerable households</t>
  </si>
  <si>
    <t>The need to have technical assessments for the water points in order to facilitate proper rehabilitation</t>
  </si>
  <si>
    <t>To ensure that the local leaders are involved in proect sites especially the water points that will be rehabilitated</t>
  </si>
  <si>
    <t>The monitoring teams ensured that there was multi sectoral assessment of all the sectors which are being implemented</t>
  </si>
  <si>
    <t>Quarter 3 project report</t>
  </si>
  <si>
    <t>SOMALIA RESILIENCE PROGRAM (SOMREP) AFGOYE - South and Central Somalia Resilience &amp; Social Protection Programme</t>
  </si>
  <si>
    <t>CCANSO0006</t>
  </si>
  <si>
    <t>Abdikani Ali Ahmed</t>
  </si>
  <si>
    <t>P.M</t>
  </si>
  <si>
    <t>Abdikani.ali@care.org</t>
  </si>
  <si>
    <t>Hamdun Mohamed Nur</t>
  </si>
  <si>
    <t>S.P.O</t>
  </si>
  <si>
    <t>Hamdun.mohamed@care.org</t>
  </si>
  <si>
    <t>Overall Objective: To contribute to improved resilience and increased adaptive capacities for communities and households in Somalia to protect their livelihoods over continuing shocks</t>
  </si>
  <si>
    <t>Afgoye  District, Lower Shabelle Region, Somalia</t>
  </si>
  <si>
    <t>Pastoral,  Agro-pastoral, IDP</t>
  </si>
  <si>
    <t>9012 Households targeted over four project result areas (livlihoods and food security, social safety nets, NRM and eco system health and learning)</t>
  </si>
  <si>
    <t>VSLA, CFW, NRM groups, CAHWs, PFS,</t>
  </si>
  <si>
    <t>Drought resource management aimed at enabling the community to understand the importance of managing their resources prior to droughts with early warning early action EWEA committee</t>
  </si>
  <si>
    <t>Cash for Work (CFW) intreventions vitial to support communities during periods of pro longed droughts</t>
  </si>
  <si>
    <t>Good governance plays a critical role in resilience building. It is vital to have buy in from local authorities and governments to support long term resilience building of communities.</t>
  </si>
  <si>
    <t>Pro longed drought situation is a challenge as communities migrate and their needs are humanitarian basic needs and not long term resilience building such as training at that time of drought</t>
  </si>
  <si>
    <t>Resilience is a continuous process and requires constant community engagement, ownership and support and at times difficult due to community humunitrian mindset</t>
  </si>
  <si>
    <t>SOMALIA SOMALILAND PUNTLAND JOINT RESPONSE PROJECT 1</t>
  </si>
  <si>
    <t>CNLDSO0066</t>
  </si>
  <si>
    <t>To alleviate suffering and reduce vulnerability among disaster-affected and vulnerable host communities in Sanaag, Bari, Nugaal, Banadir and Lower Juba regions in Somalia by increasing access to basic services</t>
  </si>
  <si>
    <t>Sanaag, Awdal  regions in Somalia</t>
  </si>
  <si>
    <t>The direct beneficiaries are those individulas in the houesholds that received the sector services (wash and cash)</t>
  </si>
  <si>
    <t>No changes or adjustment have occurred</t>
  </si>
  <si>
    <t>Need to be conducting rapid assessments  prior to project implementation</t>
  </si>
  <si>
    <t>Efficiency while conducting the coordination meetings</t>
  </si>
  <si>
    <t>Need to ensure that the community hygiene promoters are conducting the campaigns appropriately</t>
  </si>
  <si>
    <t>Ensuring that  the community beneficiaries are well consulted on the water points that need to be rehabilitated</t>
  </si>
  <si>
    <t>Emphasis to be put more on gender responsiveness when it comes to cash for work activities</t>
  </si>
  <si>
    <t>Ensuring that the local authorities are aware of the implementations that are on-going</t>
  </si>
  <si>
    <t>end of project report</t>
  </si>
  <si>
    <t>SOMALIA SOMALILAND PUNTLAND JOINT RESPONSE PROJECT 2</t>
  </si>
  <si>
    <t>CNLDSO0070</t>
  </si>
  <si>
    <t>Sool  regions in Somalia</t>
  </si>
  <si>
    <t>The direct beneficiaries are those individulas in the households that received the sector services (wash and cash)</t>
  </si>
  <si>
    <t>Provision of 25,000 euros from contingency funds were availed, to reduse cases of water related diseases</t>
  </si>
  <si>
    <t>Strengthening Civil Society Organisations and Public Sector Engagements in Somalia (SCOPES) Project</t>
  </si>
  <si>
    <t>NL184</t>
  </si>
  <si>
    <t>Nur.ibrahim@care.org</t>
  </si>
  <si>
    <t>Khadra.yusuf@care.org</t>
  </si>
  <si>
    <t>Contribute to the development of an effective civil society engagement towards the achievement of the strategic objectives of Peacebuilding and State-building Goal (PSG) 1 of the Somali Compact, namely achieve a stable and peaceful federal Somalia through inclusive political processes</t>
  </si>
  <si>
    <t>Youth led CSO , women CSO , minority , IDP</t>
  </si>
  <si>
    <t>Direct benefcaries are the out of school children who are enrolled for formal primary education, 40% are girls and 60% are boys out of 30,100 children. And the indirect are those who were not targeted by the project but they can benefit from the school constructed, teachers trained, community education committee, the estaimated number of out of schould children is 150,000 in Somalia and 45% are girls</t>
  </si>
  <si>
    <t>Towards Self Reliance II</t>
  </si>
  <si>
    <t>CNLDSO0051</t>
  </si>
  <si>
    <t>Ibrahim Hussien Mohamed</t>
  </si>
  <si>
    <t>Mukhtar Omar Mumin</t>
  </si>
  <si>
    <t>mumin.mukhtar@care.org</t>
  </si>
  <si>
    <t>Reduced poverty and increased food security for chronically food insecure pastoral populations in Northern Somalia</t>
  </si>
  <si>
    <t>Erigavo, El-afwayn, Bocame, &amp; Aynabo  Districts, Sanag and Sool Regions</t>
  </si>
  <si>
    <t>Pastoralists</t>
  </si>
  <si>
    <t>Women,  Girls, boys Men are direct participants</t>
  </si>
  <si>
    <t>the project ended January 2017 and final evaluation was done in January 2017</t>
  </si>
  <si>
    <t>Formation of VSLA groups and entrepreneurship skills for mainly women has increased womens economic empowernemnt in target areas</t>
  </si>
  <si>
    <t>Adult education and Income Generating Activities can be integrated in program management to enhance empowerment among women thus enhancing their capability in participation in economic development and promoting project sustainability.</t>
  </si>
  <si>
    <t>The engagement of Imams in advocating for VSLA programming concept to the community members helped in community buy in of the concept which has contributed to tremendous changes among the community members. Likewise, engaging Imams to talk about family issues</t>
  </si>
  <si>
    <t>Integrating VSLA initiative with other programs such as literacy, IGA, infrastructural development and cash for work programming helps add value to the project and therefore makes the program more viable and sustainable.</t>
  </si>
  <si>
    <t>Challenge of lmited private sector services in n Sanaf because the community access to credits and also to other services is limited</t>
  </si>
  <si>
    <t>Conflicts in some areas of project interentions are they some slight tensions and conflicts which delay project action</t>
  </si>
  <si>
    <t>Waxbarashada Waa Iftiin - Education is light Phase II</t>
  </si>
  <si>
    <t>NL175</t>
  </si>
  <si>
    <t>Ahmed Sheikh Abdullahi</t>
  </si>
  <si>
    <t>Education Coordinator</t>
  </si>
  <si>
    <t>ahmed.abdullahi@care.org</t>
  </si>
  <si>
    <t>Ibrahim Nur Mohammed</t>
  </si>
  <si>
    <t>Urban Youth Program Coordinator</t>
  </si>
  <si>
    <t>Education and training efficiently and effectively delivered contributing to poverty alleviation within a peaceful, secure and democratic Somalia</t>
  </si>
  <si>
    <t>Bari, Karkar, Nugal, Sool, Sanaag and Mudug regions of Puntland</t>
  </si>
  <si>
    <t>Community participation and ownership</t>
  </si>
  <si>
    <t>Capacity building of the  Ministry of Education on  5 domains: Human Resources, Finance and Administration, Policy and Planning, Gender,and Quality Assurance and Standards resulted in quality delivery of programs.</t>
  </si>
  <si>
    <t>Community mobilization and sensitization on the signifiance of accessing school age children in schools</t>
  </si>
  <si>
    <t>The employment of a mix of approaches and strategies in addressing the educational needs of vulnerable &amp; marginalized children work well to achieve desired. For example: Provision &amp; expansion of learning spaces; child friendly learning environments including child-centred  pedagogies; Girlchild friendly spaces; provision of learning materials; improvement of supervision services etc</t>
  </si>
  <si>
    <t>Both capacity strengthening and decentralisation of services take a long time to take shape. It takes time for  systems and procedures established to be fully operational from the central to decentralized  levels</t>
  </si>
  <si>
    <t>For any project to be successful and to improve ownership; the beneficiaries must be involved in their initial needs identification, design process and in all monitoring, evaluation and  review processes.</t>
  </si>
  <si>
    <t>The project progress reports are available.</t>
  </si>
  <si>
    <t>Challenging Harmful  Attitudes and Norms for Gender Equality and Empowerment in Somalia/Somaliland (CHANGES)</t>
  </si>
  <si>
    <t>CGBRSO0081/ Fund: GB636</t>
  </si>
  <si>
    <t>Challenging harmful social norms including FGM and CEFM and to increase womens social and economic empowerment</t>
  </si>
  <si>
    <t>Somalia- Sanaag Region and Lower Juba Region ( Erigavo, Badhan and Kismayo Districts</t>
  </si>
  <si>
    <t>Somali women and girls</t>
  </si>
  <si>
    <t>Women,  Girls, boys Men are direct participants divided between three consoritum members based on target locations for each partner</t>
  </si>
  <si>
    <t>Creation of VSLA groups and use of Economc and Social Empowernment - EASE Model - Economic and Social empowernment model</t>
  </si>
  <si>
    <t>Working with Gender based violence working groups (GBVWGs) and FGM and CEFM task forces for effective coordination around GBV, FGM</t>
  </si>
  <si>
    <t>Engaging religious and community leaders through community sessions on CFEM, FGM, GBV</t>
  </si>
  <si>
    <t>The effect of drought in target regions is still continuing. Some parts of the regions did not receive good rains. People need drought recovery plan for sustainability</t>
  </si>
  <si>
    <t>Inadequate project government support due to high expectations from officials (like incentive, equipment) Regional, District and line ministries).</t>
  </si>
  <si>
    <t>challenge of willingness, buyin and support of some community members, elders due to sensitivity of project action</t>
  </si>
  <si>
    <t>East Africa Crisis Appeal Somalia Project</t>
  </si>
  <si>
    <t>CGBRSO0083</t>
  </si>
  <si>
    <t>To alleviate suffering and reduce vulnerability among disaster-affected and vulnerable host communities in Bari region in Somalia by increasing access to basic services</t>
  </si>
  <si>
    <t>Bari region in Somalia</t>
  </si>
  <si>
    <t>The direct beneficiaries are those individuals in each household that received cash transfers, food vouchers and hygiene promotion campaigns</t>
  </si>
  <si>
    <t>The need to use the selection criteria in targeting most vulnerable beneficiaries</t>
  </si>
  <si>
    <t>Quarter 1 project report</t>
  </si>
  <si>
    <t>Providing Emergency Health and Nutrition Services to drought affected Communities in Somalia project</t>
  </si>
  <si>
    <t>CGBRSO0082</t>
  </si>
  <si>
    <t>Sanaag, Bari and Lower Juba regions in Somalia</t>
  </si>
  <si>
    <t>Lactating and pregnant mothers, children under 5 years</t>
  </si>
  <si>
    <t>These are the family size beneficiaries for individuals (children under 5 and pregnant &amp; lactating mothers)  who benefitted from IYCF, MAM &amp; SAM nutrition programs</t>
  </si>
  <si>
    <t>The Somali Girls Education Promotion Project (SOMGEP) - Kobcinta Waxbarashada Gabdhaha in Somali</t>
  </si>
  <si>
    <t>CGBRSO0077</t>
  </si>
  <si>
    <t>Gure Abdifarhan Farah</t>
  </si>
  <si>
    <t>SOMGEP Project Manager</t>
  </si>
  <si>
    <t>gure.farah@care.org</t>
  </si>
  <si>
    <t>Muhammad Hassan Qaiser</t>
  </si>
  <si>
    <t>Head of MEAL</t>
  </si>
  <si>
    <t>Muhammad.HassanQ@care.org</t>
  </si>
  <si>
    <t>The project aims to improve access to education, learning outcomes, quality of education and retention of  girls from some of the poorest, most vulnerable and marginalised households in remote and rural areas of  Somaliland, Puntland and Central Somalia.</t>
  </si>
  <si>
    <t>Somaliland, Puntland and Galmudug Zones of Somalia.</t>
  </si>
  <si>
    <t>Girls between 5-15 years of age (School age girls - Primary and Secondary school girls)</t>
  </si>
  <si>
    <t>Calculation for wormen and girls(direct) = 15,255(enrlled girls in target schools)+67 pre-service trained teachers+45 in-service trained teachers +5334 mothers who benifited from literacy classes+ 521 females from CECs+ 144(estimated) female teachers who benifited from numeary classes = total 21,377 women and girls Direct Men and boys = 14,869 boys enrolled in targeted schools+ 73 pre-service + 86 in-service teachers + 690 CEC mebers +216 numeary trained teachers on numearcy + 290 religious leader = total 16,224 men and boys ,  For indirect benificiares, this is assumed that project activites along with activities of 2 other education projects will overal in-directly impact 113,432. This is estimated that SOMGEP project will have an estimated 37810 indirect benificiares.</t>
  </si>
  <si>
    <t>The proiect has ended. A an extention of this project has been signed with the donor with the name GEC-TI for FY18. Baseline will take place for this new project in Nov 2017. Since, the extention of this project will be considered as a new project, therefore the upcoming evluations will be considered in new project as the SOMGEP is closed.</t>
  </si>
  <si>
    <t>Project provided support in number of initatives to support girls' education and to streghtne the civiliy socity. This inlcudes particiation and support in events/forum, workshopse organized by civily socitiey with different objectives such as women rights days, eduaction day etc.</t>
  </si>
  <si>
    <t>1) The project succeeded in shifting attitudes towards girls education. As per end line evaluation report, this is evident through the significant increases in older girls enrolment and attendance, as well as the girls own ideas about their futures. Socially, raising awareness about the importance of girls education has had a positive impact on beneficiary communities, as demonstrated in responses in qualitative data collection.  </t>
  </si>
  <si>
    <t>2) working with religious leaders,parents, local partners and political partners has helped create a triangulated approach to bring awareness and importance of the benefits of the girls' education.</t>
  </si>
  <si>
    <t>3.Creating girl-friendly education environments within the project interventions also seeks to address the barriers keeping girls out of or from finishing school menstrual kits and proper facilities at school to keep girls in school during their menstrual cycle; lack of female teachers and low or lacking salaries overall; safety concerns for schools in rural areas wherein girls may travel significant distance to reach school; and the preference to send boys over girls when school fees constrain families, or mothers prefer to keep daughters at home to keep house when the mothers need to work. SOMGEP has not fully overcome these constraints, but it has worked to address them to create a more enabling environment for girls to enrol in and stay in school through secondary level education.</t>
  </si>
  <si>
    <t>1)As supported by research, changing teacher classroom behaviors is notoriously difficult without initial quality training underpinned by a strong base of application and continued classroom mentoring. Although teachers represent the final step in provision of education, they do not function in a vacuum and need a strong support system around them to offer quality instruction. These supports include adequate teaching and learning materials, yearly in-service training, sound instructional leadership and supervision, and a pathway of professional and incentivized career development. If they dont receive these, they slide back into their former routines.</t>
  </si>
  <si>
    <t>2_The work with the CECs may be the most sustainable activity of SOMGEP. Communities see the most immediate value to education for their children and have the most immediate opportunity to engage with schools to improve education provision. Research is showing that engaging and building strong communities is a best practice in education provision in conflict and fragile states where government provision is not always viable; additionally communities can more quickly activate local resources and have a profound influence on attitudes and actions that affect the future of the community.</t>
  </si>
  <si>
    <t>3)The work under SOMGEP with the MOEs will likely require ongoing support to ensure long-term viability. Inculcating gender throughout government regulatory documents is a necessary first step and will be sustained in the policies themselves.  The weakness of this component may be in the limited capacity to operationalize these policies leading to improvements for a more inclusive and equitable society.           </t>
  </si>
  <si>
    <t>The information provided above has been taken from the project's monitoring and evaluation reports and data. Estimations and calcuations used above are explained in the comments.</t>
  </si>
  <si>
    <t>Project's final evaluation report and logframe will be annexed(if required).</t>
  </si>
  <si>
    <t>HORSEED BULSHO - CDD</t>
  </si>
  <si>
    <t>AS1XSO0001</t>
  </si>
  <si>
    <t>Somalia Stability Fund (SSF)</t>
  </si>
  <si>
    <t>Ahmed Hussein Osman</t>
  </si>
  <si>
    <t>Ahmed.Hussein@care.org</t>
  </si>
  <si>
    <t>Monitoring &amp; Learning Coordinator</t>
  </si>
  <si>
    <t>Provide sustained support over the longer term to local processes to build stability and to help areas become stable over the medium-term whilst building their linkages to a national framework. To contribute to building responsive and accountable community governance structures that will promote stability in Sanaag Region</t>
  </si>
  <si>
    <t>Sanaag Region Badhan and Dhahar districts of Somalia</t>
  </si>
  <si>
    <t>Rural Communities in the two districts of Badhan and Dhahar districts</t>
  </si>
  <si>
    <t>Community members in 6 villiages under 2 districts in Sanaag region. Household size multipled by average HH number of 6 as all community members directly benefit from water, health etc infrastructure constructed and an estimated double the amount of people benefitting indirectly from services from neighbouring villiages  </t>
  </si>
  <si>
    <t>CDD approach</t>
  </si>
  <si>
    <t>Community Driven Development approach (CDD) as top strategy contributing to project activity of building responsive and accountable community governance structures</t>
  </si>
  <si>
    <t>Community Action Plans (CAPs) developed by target communities as a effective means of priortising their community needs</t>
  </si>
  <si>
    <t>Community contribution by communities for construction of infrastructure to increase ownership amougst the community</t>
  </si>
  <si>
    <t>Security challenges and tense enviornment due to implemention in contested areas by different government authorities</t>
  </si>
  <si>
    <t>Streamline the relationship between the villiage council (VCs) and the local authority in Badhan</t>
  </si>
  <si>
    <t>Challenges of droughts to collect community contributions for development projects</t>
  </si>
  <si>
    <t>All documents avalibale</t>
  </si>
  <si>
    <t>Multisectoral Assiatnce Response for Somalis</t>
  </si>
  <si>
    <t>US1S6</t>
  </si>
  <si>
    <t>Sanaag, Bari, Banadir and Lower Juba regions in Somalia</t>
  </si>
  <si>
    <t>The direct beneficiaries have been calculated by adding up the family size of individuals benefitting from the project sectors. In protection sector, mass campaigns were conducted where there was an approximate of 65,000 indirect beneficiaries who received the GBV awareness messages</t>
  </si>
  <si>
    <t>Non food items</t>
  </si>
  <si>
    <t>Cost modification was done due to a drought that occoured in the project locations</t>
  </si>
  <si>
    <t>Somalia Emergency Response Project</t>
  </si>
  <si>
    <t>US1JP</t>
  </si>
  <si>
    <t>Sanaag, Bari, Nugaal, Banadir and Lower Juba regions in Somalia</t>
  </si>
  <si>
    <t>Cost modification was done due to a drought that occoured in the project locations in the FY 16</t>
  </si>
  <si>
    <t>Involvement of women in decision making as the task of fetching water is culturally for women</t>
  </si>
  <si>
    <t>Beneficiary selection involvement with the local authorities in order to avoid community conflicts</t>
  </si>
  <si>
    <t>Having a robust feedback and complaint mechanism</t>
  </si>
  <si>
    <t>Ensuring that the community is involved in selecting the cash for work activities as they are for communal benefit</t>
  </si>
  <si>
    <t>The PDM data should be properly analysed to help in according quality service to the beneficiaries</t>
  </si>
  <si>
    <t>Somlia Towards Reaching Resilience (STORRE)</t>
  </si>
  <si>
    <t>OFDASO0026</t>
  </si>
  <si>
    <t>Abdirahim Gure</t>
  </si>
  <si>
    <t>Abdirahim.SalahGure@care.org</t>
  </si>
  <si>
    <t>Mohamed Tahir</t>
  </si>
  <si>
    <t>Mohamed.Tahir@care.org</t>
  </si>
  <si>
    <t>Equitably increase resilience of women and men in 4240 households in 20 villages, by increasing understanding of and capacity to manage household to landscape level risks and changes that undermine resilience, through livelihoods support, equitable and effective resource management, and strengthened local governance systems.</t>
  </si>
  <si>
    <t>Erigavo and Badhan District of Sanaag Region, Somalia</t>
  </si>
  <si>
    <t>Communities  Badhan and Erigavo Districts mainly vulnerable rural women, youth, and other vulnerable groups, village councils, pastoralist groups, VSLA members</t>
  </si>
  <si>
    <t>The direct particpants are community members (mainly vulnerable rural women, pastoralist groups, VSLA members)   in 20 villiages in 2 districts of Sannag region , 15 villiages in Erigavo  a total of 19080 reached and 5 in Badhan a total of 6,360 reached  in total directly reaching 25,440 people</t>
  </si>
  <si>
    <t>USAID will carry out endline evaluation will by  the end of this year</t>
  </si>
  <si>
    <t>Innovative community-based approach to enhance resilience and promote womens empowerment- CVCA-Gendered Climate Vulnerability and Capacity Analysis (CVCA) Enable Participatory Monitoring, Evaluation, Reflection, and Learning (PMERL) for building resilience.</t>
  </si>
  <si>
    <t>VSLA groups, community CAPs, VC Villiage council strnegthning, Community-based Disaster Risk Management (CBDRM)</t>
  </si>
  <si>
    <t>No changes or adjustments made</t>
  </si>
  <si>
    <t>Village saving and loan asociation (VSLAs) enhancing women economic income and act as safety nets during times of need</t>
  </si>
  <si>
    <t>Water infrastructure establishment through Public Private partnership (PPP) to ensure greater sustainability of efforts made during project period</t>
  </si>
  <si>
    <t>Community-Based Natural Resource Management (CBNRM) approach adopted to ensure community ownership and buy in from project start up</t>
  </si>
  <si>
    <t>Below average rainfalls of the last two rainy seasons casused drought which was the most serious challenge faced by the project</t>
  </si>
  <si>
    <t>Insecurity and instability due to political situation and elections, voter registration  caused the suspension of activities as the political atmosphere was tense and in disputed areas by the two administrations and all sorts of political developments by any of the administrations create tension and sometimes lead to armed fighting</t>
  </si>
  <si>
    <t>Migration of some beneficiaries due to drought so inability to conduct some resilience work due to conflicting community priorities and needs</t>
  </si>
  <si>
    <t>Project Proposal, Logframe, reports and all M&amp;E documents avaliable.</t>
  </si>
  <si>
    <t>Waxbar Carurtaada (Educate your Children)</t>
  </si>
  <si>
    <t>US0Z1</t>
  </si>
  <si>
    <t>Contribute to sustainable and relevant primary education for all in Somalia</t>
  </si>
  <si>
    <t>Puntland, Somaliland and South Central Somalia</t>
  </si>
  <si>
    <t>Internally displace persons, and returnees</t>
  </si>
  <si>
    <t>Direct  target benefcaries are the out of school children who are enrolled for formal primary education, 40% are girls and 60% are boys out of 30,100 children.</t>
  </si>
  <si>
    <t>The project has ended and final evluation was carried out in Nov-Dec 2016.</t>
  </si>
  <si>
    <t>Mobilizing rural and urban communities to support education to ensure out of school children (with focus to IDPs and girls) are enrolled to school</t>
  </si>
  <si>
    <t>Recruiting and training eachers with focus to females to provide  relevant, quality learning experience</t>
  </si>
  <si>
    <t>Improving learning environment through construction and rehabilitation of school facilities and provison of teaching and learning materials</t>
  </si>
  <si>
    <t>Double shift system is highly favoured and the most effective in South Central Somalia to boost enrollment of children to schools</t>
  </si>
  <si>
    <t>The project has come to an end in December 2016, all project activities completed.</t>
  </si>
  <si>
    <t>Project progress reports and evluations reports are available.</t>
  </si>
  <si>
    <t>Emergency food security response project</t>
  </si>
  <si>
    <t>OCHAS00011</t>
  </si>
  <si>
    <t>To meet immediate food and non food items among disaster-affected and vulnerable host communities in Sanaag &amp; Sool regions in Somalia by increasing access to basic services</t>
  </si>
  <si>
    <t>Sanaag &amp; Sool regions in Somalia</t>
  </si>
  <si>
    <t>These are the family size individuals counted as direct beneficiaries who received cash transfers and food vouchers</t>
  </si>
  <si>
    <t>The projectensured that female headed households were given prioroty</t>
  </si>
  <si>
    <t>Emergency Nutrition support for acute malnourished drought affected population</t>
  </si>
  <si>
    <t>OCHASO0009</t>
  </si>
  <si>
    <t>To provide emergency nutrition assistance that matches immediate needs of drought affected women and children (boys and girls) &lt; the age of 5 years in Bari region (Qardho and Bosaso) that are currently experiencing severe drought conditions</t>
  </si>
  <si>
    <t>Qardho, Bossaso districts</t>
  </si>
  <si>
    <t>Pregnant &amp; lactating mothers/women and children under 5 years</t>
  </si>
  <si>
    <t>The community volunteers have a sustaining effect in the project areas as they are based in the community</t>
  </si>
  <si>
    <t>The constant monitoring helped to ensure the nutritional supplementary food was put in proper use</t>
  </si>
  <si>
    <t>More coordination with unicef in to obtain the RUSF and RUTF was a major milestone</t>
  </si>
  <si>
    <t>Conducting more IYCF messaging campaigns help reduce the number of malnutrrition</t>
  </si>
  <si>
    <t>The involvement with the ministry of health ensures that the community members embrace more the interventions</t>
  </si>
  <si>
    <t>Constant verification of the nutrition records ensures proper records are maintained</t>
  </si>
  <si>
    <t>GBV Prevention and Response in IDP Communities Project</t>
  </si>
  <si>
    <t>UNHCSO0001</t>
  </si>
  <si>
    <t>Sanaag, Bari &amp; Nugaal regions in Somalia</t>
  </si>
  <si>
    <t>Vulnerable IDPs and host communities who include women, men, youth, boys and girls</t>
  </si>
  <si>
    <t>They are vulnerable GBV survivors and those reached through GBV community awareness which reached approximately 26000 indirect beneficiaries</t>
  </si>
  <si>
    <t>The use of community gender focal points  has the sustainability effect</t>
  </si>
  <si>
    <t>The criteria that was developed to target the most vulnerable IDP camps</t>
  </si>
  <si>
    <t>To ensure that the local leaders are involved in sensitization campaigns</t>
  </si>
  <si>
    <t>Quarter 2 project report</t>
  </si>
  <si>
    <t>Puntland Drought Response project</t>
  </si>
  <si>
    <t>OCHAS0008</t>
  </si>
  <si>
    <t>To meet immediate food and non food items among disaster-affected and vulnerable host communities in Sanaag, Bari, Banadir regions in Somalia by increasing access to basic services</t>
  </si>
  <si>
    <t>SOMALIA EMERGENCY FOOD ASSISTANCE PROJECT, LOWER JUBA</t>
  </si>
  <si>
    <t>UFFPS0007</t>
  </si>
  <si>
    <t>Lower Juba and Banadir regions in Somalia</t>
  </si>
  <si>
    <t>There was need to ensure water points were handed back to a trained water management team</t>
  </si>
  <si>
    <t>Not to provide food voucher to households with a child of six months or less since the food voucher has milk powder which is not recommended</t>
  </si>
  <si>
    <t>Somalia Resilience Program -SOMREP Resilience in Badhan</t>
  </si>
  <si>
    <t>US0YU</t>
  </si>
  <si>
    <t>SIDA</t>
  </si>
  <si>
    <t>ahmed.hussein@care.org</t>
  </si>
  <si>
    <t>Increase the resilience of chronically vulnerable people , HHs, communities and systems in target pastoral , agro-pastoral and peri-urban livelihood zones</t>
  </si>
  <si>
    <t>Sanaag Region of Puntland state of Somalia</t>
  </si>
  <si>
    <t>Patoralist, Agro-pastoralist and Peri Urban populations</t>
  </si>
  <si>
    <t>3050 HH targeted multipled by 6 person (as average HH size members) = 18,300 Persons (40 female) multipled by 6 for indirect particpants as project benefits will reach all members of a household indirectly</t>
  </si>
  <si>
    <t>Cash-for-Work (CFW) interventions were conducted during the hard times for the pastoralist who were on a constant move from one dry area to another.  The of CFW was partly to curb the worsening food and nutrition security of the targeted families to enable them have the flexibility to work, earn income and purchase food and other family needs for the betterment of children and women</t>
  </si>
  <si>
    <t>Agro- pastoral field schools training was conducted to gain understanding on PFS and how it is managed to guide the community on pastoral field schools formation and</t>
  </si>
  <si>
    <t>Drought is a major challenge: This had an impact on implementation because pastoralist migrated to far areas in search of pasture and water for their animals. Tracking them was somehow difficult with some community members leaving for others areas that are out of project sites. Getting community participation and contributions was a challenge from those who left behind mainly women and kids with no food and water available</t>
  </si>
  <si>
    <t>Limited private sector services: In Sanaag, private sector is limited in the region with most coming from Garowe and Bossaso. This is a challenge because the community access to credits and also to other services.</t>
  </si>
  <si>
    <t>Purchasing power: the power chasing powers of the community has gone down due to the recurrent droughts in region and this was a big challenge when it comes to community contributions and also building resilience because education is a key to resilience building. Community members are finding to pay school fees and support their families too.</t>
  </si>
  <si>
    <t>Water for Infrastructure Development for Resilience Program in Somaliland (WIDRP)</t>
  </si>
  <si>
    <t>MOWRSO0001</t>
  </si>
  <si>
    <t>African Development Bank  </t>
  </si>
  <si>
    <t>MOWRSO0002</t>
  </si>
  <si>
    <t>Hassan Jama Yasin</t>
  </si>
  <si>
    <t>hassan.jama@care.org</t>
  </si>
  <si>
    <t>he overall goal  of the program is to build a resilient and sustainable water and sanitation sector that meets the needs of all users in Somaliland as well as to provide water supply and sanitation infrastructure in targeted areas with a view to improving livelihoods and building resilience against climate variability and change. While drought is a common phenomenon in Somaliland, climate change is causing longer and more frequent droughts negatively impacting Somalilands ability to achieve food and water security.</t>
  </si>
  <si>
    <t>National coverage given priority to the  drought prone regions of Somaliland-Togdheer, Sool and Sanaag regions</t>
  </si>
  <si>
    <t>The proposed interventions will enhance public health, strengthen resilience and raise the quality of life of the rural Somaliland population in general, benefitting an estimated 0.25 million people.</t>
  </si>
  <si>
    <t>Construction of 11 water dams each with expected beneficiaries of about 156,000 users. Augmenting Hargeisa water system to support IDPS which cover the water demand of 24,000 people. Establishment 4 strategic boreholes with expected 256,000 people. Construction of 20 solar powered mini water systems shallow wells 200,367. 26,481 will benefit the Market sanitation facilities. It has been calculated with water demand supply approach looking at the average daily water production from program water point and the average daily water demand of the program target populations</t>
  </si>
  <si>
    <t>Contribute to strengthening community resilience by improving quality of life through availability and access to water and sanitation services in a sustainable way in Somaliland, by improving 68% of access to reliable, clean safe to drink water to all project target group.</t>
  </si>
  <si>
    <t>Enhancing access to water by improving water infrastructure sysyems for greater water harvesting during periods of droughts</t>
  </si>
  <si>
    <t>Instiutional capacity building to all levels of the national, regional, district and village level of rural water supply management structures, this including Reviewing water regulatory framework and developing of the supporting policies</t>
  </si>
  <si>
    <t>Technical advisors embeded into minsitry for on the job training of staff and insitutional capacity enhancement</t>
  </si>
  <si>
    <t>Capacity of line ministry in reporting project action and human resoruce capacity, willingness and dedication of staff</t>
  </si>
  <si>
    <t>CARE program approach and linkage to the other CARE  project within the same villages,  contributed to greater impact</t>
  </si>
  <si>
    <t>CARE International approach on the Towards Sustainable Operation and Maintenance of Rural Water Supply critically stated that there is a need for a paradigm shift from the traditional project-facility based approach to a program service-based approach for sustainable O&amp;M of rural water supplies with an effective management model consistently applied that government policies and strategies supports community involvement in rural water supply management. In rural areas of several regions region of Somaliland, Public Private Partnership for Rural Areas (PPP4RA) management model have been applied which perhaps hold the best potential under existing conditions for piloting a functional model and ensuring effective technical support to communities.</t>
  </si>
  <si>
    <t>EMERGENCY ASSISTANCE FOR DISASTER AFFECTED SOMALIS</t>
  </si>
  <si>
    <t>US1S4</t>
  </si>
  <si>
    <t>Sanaag, Bari, Awdal and Lower Juba regions in Somalia</t>
  </si>
  <si>
    <t>No further comment</t>
  </si>
  <si>
    <t>Importance of usining livestock vouchers in re-stocking</t>
  </si>
  <si>
    <t>EMERGENCY RESPONSE FOR DISASTER AFFECTED COMMUNITIES</t>
  </si>
  <si>
    <t>CNLDSO0071</t>
  </si>
  <si>
    <t>This comprised of food security, WASH and Nutrition beneficiaries who were directly benefitting from the project sectors</t>
  </si>
  <si>
    <t>Importance of selection criteria for targeting beneficiaries</t>
  </si>
  <si>
    <t>Interim project report</t>
  </si>
  <si>
    <t>UFFPSO008</t>
  </si>
  <si>
    <t>To improve nutrition, alleviate suffering and reduce vulnerability among disaster-affected and vulnerable host communities in  regions in Somalia by increasing access to basic services</t>
  </si>
  <si>
    <t>The direct beneficiaries are those that received the unconditional cash transfer which was transferred to 3410 households where a total of 23,803 individuals (12,197 males; 11,606 females) benefitted.</t>
  </si>
  <si>
    <t>South Africa</t>
  </si>
  <si>
    <t>Nutrilite Little Bits</t>
  </si>
  <si>
    <t>South Sudan</t>
  </si>
  <si>
    <t>Fortifying Equality For Economic Diversification (FEED)</t>
  </si>
  <si>
    <t>Sylvia Kaawe</t>
  </si>
  <si>
    <t>sylvia.kaawe@care.org</t>
  </si>
  <si>
    <t>Nqobile.ncube@care.org</t>
  </si>
  <si>
    <t>ENHANCED ADAPTIVE CAPACITY OF INDIVIDUALS, HOUSEHOLDS AND COMMUNITIES FOR SUSTAINED GAINS IN AGRICULTURAL PRODUCTION AND PRODUCTIVITY</t>
  </si>
  <si>
    <t>Imatong State- Torit, Ikwotos, Magwi &amp; Pageri counties</t>
  </si>
  <si>
    <t>Most Vulnerable Women, Men, Boys &amp; Girls</t>
  </si>
  <si>
    <t>Direct participants are the mostly people affected by the war in the area.</t>
  </si>
  <si>
    <t>Farmer Groups</t>
  </si>
  <si>
    <t>Peace Committees</t>
  </si>
  <si>
    <t>Partnership nurturing and maintenance is key for successful project implementation- FAO, Community Structures</t>
  </si>
  <si>
    <t>Local Authority Good will and organizational staff reputation is key to continuity of program amidst external threats</t>
  </si>
  <si>
    <t>Forward planning and joint ownership is key to success Security planning and consistent contingency planning contributes to staff safety and in turn supports program implementation amidst insecurity on the ground</t>
  </si>
  <si>
    <t>CARE South Sudan FY17 Grants Tracker, Project proposal.</t>
  </si>
  <si>
    <t>Addressing Root Causes of Violent Conflict in four Counties of Jonglei State, South Sudan (ARC)</t>
  </si>
  <si>
    <t>Killron Dembe</t>
  </si>
  <si>
    <t>Killron.Dembe@care.org</t>
  </si>
  <si>
    <t>The Addressing Root Causes (ARC) programme aims at tackling the root causes of armed conflict, instability and irregular migration and to increase the ability of communities to withstand economic or conflict- induced shocks.</t>
  </si>
  <si>
    <t>The ARC programme in South Sudan is being implemented by CARE and HDC in 19 Payams (Ajuong, Nyuak, Kongor, Lith, Pakeer, Padiet, Payuel, Panyang, Ageer, Pieri, Pathai, Patuet, Wickhol, Pulchuol, Boma, Lekuangole, Gumuruk, Pibor, Frated) in four counties (Twic East, Duk, Uror, Pibor) in Jonglei state.</t>
  </si>
  <si>
    <t>Most Vulnerable /at-risk women and youth</t>
  </si>
  <si>
    <t>The Project strategy was very effective, because the approached has identified the community needs from the initial stage of project assessment and the cross cutting issues have been integrated into the all components of project, such as Cash for work, seed distribution and Gender Based violence, including capacity buildings were also relevant to the targeted groups.</t>
  </si>
  <si>
    <t>PEACE COMMITTEES</t>
  </si>
  <si>
    <t>YOUTH&amp; SCHOOL  PEACE CLUBS</t>
  </si>
  <si>
    <t>Engaging youth (girls and boys) in the VSLA groups is highly appreciated, as they are optimistic that the loans they will obtain from the savings will enable them start and capitalize their IGAs which overall improves their own and households quality of life.</t>
  </si>
  <si>
    <t>Furthermore, having mixed age groups of women, boys and girls serve as a good opportunity to promote awareness on widespread gender based violence and harmful traditional practices such as early marriages that are widely spread.</t>
  </si>
  <si>
    <t>Forward planning and joint ownership is key to success</t>
  </si>
  <si>
    <t>CARE South Sudan FY17 Grants Tracker, Project proposal, Baseline Report</t>
  </si>
  <si>
    <t>Dutch NGO South Sudan Joint Response 3 (SSJR3)</t>
  </si>
  <si>
    <t>Darias Sanyatwe Bayayi</t>
  </si>
  <si>
    <t>Food Security and Livelihoods Coordinator</t>
  </si>
  <si>
    <t>Bayayi.Darias@care.org</t>
  </si>
  <si>
    <t>Save lives and alleviate suffering of those most in need of assistance and protection AND protect the rights and uphold the dignity of the most vulnerable (Strategic Objective 1&amp;2 of the Humanitarian Response Plan (HRP) 2017)</t>
  </si>
  <si>
    <t>Rubkona for FSL and GBv, and Koch for Nutrition</t>
  </si>
  <si>
    <t>Poor and vulnerable conflict affected people in Rubkona for FSL and GBv, and Koch for Nutrition</t>
  </si>
  <si>
    <t>Cash for work (Conditional and Unconditional cash grants</t>
  </si>
  <si>
    <t>FSL: Procurement staff need improved knowledge on assessing the quality of agricultural seeds. With good awareness on what to look for in good quality seeds, procurement staff will be able to pick on poor quality seed at the early stages of procurement. CARE plans to take procurement staff to seed houses in Kenya and Uganda to increase their knowledge.</t>
  </si>
  <si>
    <t>Involvement of government and local authorities in gap identification is critical as they have a helicopter view of the geographical locations and are more concerned with filling actual gaps compared to other partners. Since nutrition services are provided from static sites, some locations that are far away are not reached and therefore children and PLWs in these locations are left out. It is important to consider future mobile nutrition clinics that will be able to reach out to difficult-to-reach locations.</t>
  </si>
  <si>
    <t>Protection:  Thirteen partners (10 International partners and 3 national implementing partners staff) participated in the learning event (Gender/GBV Mainstreaming &amp; PSEA training). The participants were drawn mainly from the field locations. Gender/GBV Mainstreaming &amp; PSEA training was designed to improve the knowledge and skill gaps within SSJR3 partners so as to address practical gender needs and issues throughout the implementation of SSJR3 since men, women, girls and boys have different priorities, constraints and preferences with respect to humanitarian aid and can contribute to and be affected differently by humanitarian/development projects.</t>
  </si>
  <si>
    <t>. CARE procured seeds and inputs from two vendors.   The seeds supplied by the vendors were poor in terms of germination, purity and some of it was commercial crop.  Vendors accepted that he had sold CARE poor quality seed. The second vendor said only all seeds except maize and sorghum were good seeds.  CARE cancelled the contracts of the maize and sorghum seeds. This activity has thus been delayed. It is no longer feasible to distribute main season seeds (maize and sorghum).  CARE will buy and distribute vegetable seeds to the farmers that were to benefit from main season seeds.</t>
  </si>
  <si>
    <t>Project Proposal, Mid-term Review Report, Grants Tracker</t>
  </si>
  <si>
    <t>South Sudan Joint Initiative 2</t>
  </si>
  <si>
    <t>Darias Sanyatwe</t>
  </si>
  <si>
    <t>bayayi.darias@care.org</t>
  </si>
  <si>
    <t>Save lives and alleviate suffering through safe access to services and resources with dignity</t>
  </si>
  <si>
    <t>East Equatoria (Torit), Jonglei (Uror and Twic East) and Upper Nile (Maiwut)</t>
  </si>
  <si>
    <t>Direct beneficiaries include all the household members of the people involved in Cash for Work activities, farming and fishing activities.</t>
  </si>
  <si>
    <t>Cash Based Programming</t>
  </si>
  <si>
    <t>Worked closely with other projects (long term) and other consortium partners</t>
  </si>
  <si>
    <t>South Sudan  experienced conflict in Jully 2016. There were massive displacement that resulted in CARE seeking approval to use some of the money for humanitarian purposes. This was done in order to respond to the humanitarian needs of the displaced. The money was moved from the initial project areas to a new area (East Equatoria)</t>
  </si>
  <si>
    <t>CASH FOR WORK</t>
  </si>
  <si>
    <t>Vegetable Production that improved Dietary Diversity for households with some selling surplus. The households were able to use the cash to buy other basic needs.</t>
  </si>
  <si>
    <t>Responding to community requests/needs brings a lot of respect and appreciation by communities and local authorities. When  one local authority approached CARE to consider the inclusion of an airstrip as a CFW site the organisation  agreed. This brought a lot of respect by all in the working area.</t>
  </si>
  <si>
    <t>Distribution of agricultural inputs before the start of the rain season is always the best. This helps farmers plan early on their farming activities. Secondly, transporting of inputs can be a challenge  after the rains because of flooding</t>
  </si>
  <si>
    <t>Always good practice to be constantly communicating with local leaders, beneficiairies and non beneficiaries. The organisation will be able to respond to emerging needs timely</t>
  </si>
  <si>
    <t>The holding of monthly Technical Working group meetings helped the project in the sense that consortium members were able to share information and challenges. This enables some organisations not to repeat the same challenges already experienced by one of the members (this should be contiuned) 2) The sharing of technical personnes amongst partners should be continued in any future projects. Only two partners had GBV/protection experts. These two trainied staff from the other organisations so that all mainstaremed GBV/protection in their programming.</t>
  </si>
  <si>
    <t>CARE South Sudan FY17 Grants Tracker, Project proposal, Project Endline Evaluation.</t>
  </si>
  <si>
    <t>Disasters Emergency Committee Response to the East Africa Crisis - CARE UK Humanitarian Appeal</t>
  </si>
  <si>
    <t>Mohammed Osman</t>
  </si>
  <si>
    <t>mosman@care.org</t>
  </si>
  <si>
    <t>Respond to the humanitarian needs created or exacerbated by the July 2016 crisis, by providing essential household items to looted households in EE State, and life-saving nutrition support for children and PLW IDPs in Unity State.</t>
  </si>
  <si>
    <t>Koch &amp; Pakur in Gany County</t>
  </si>
  <si>
    <t>Most vulnerable affedted by crises.</t>
  </si>
  <si>
    <t>CARE South Sudan FY17 Grants Tracker, Project proposal</t>
  </si>
  <si>
    <t>CARE South Sudan Integrated Safe Motherhood Project</t>
  </si>
  <si>
    <t>Patrick Vuonze</t>
  </si>
  <si>
    <t>Patrick.Vuonze@care.org</t>
  </si>
  <si>
    <t>Mercy Laker</t>
  </si>
  <si>
    <t>Health and Nutrition Coordinator</t>
  </si>
  <si>
    <t>mercy.laker@care.org</t>
  </si>
  <si>
    <t>Increase access to family and post-abortion care (PAC),  opening the dialogue on safe abortion,family planning and clinical management of rape services. Integrate SRH programming throughout CAREs emergency response work and culture</t>
  </si>
  <si>
    <t>Torit County</t>
  </si>
  <si>
    <t>CARE South Sudan used SAFPAC funding to reach 24,735 women and girls from displaced and host populations with family planning, post-abortion care and clinical management of rape services. Key activities include clinical training of health providers on FP, PAC and GBV, provision of contraceptives, supplies, and equipment to health facilities, and community outreach to raise awareness of services.</t>
  </si>
  <si>
    <t>women and girls from displaced and host populations</t>
  </si>
  <si>
    <t>distribution of Mama and Dignity kits as a incentive to draw PLWs to the programme</t>
  </si>
  <si>
    <t>Dignity Kits Distribution</t>
  </si>
  <si>
    <t>Mama Kits Distribution</t>
  </si>
  <si>
    <t>Use of Home Health Promoters</t>
  </si>
  <si>
    <t>Continuous Coordination and participation at State health cluster meetings  to promote ownership, sustainability and our visibility as Care</t>
  </si>
  <si>
    <t>Planning for supportive supervision visits should be an integral part of the annual/quarterly work plan process.</t>
  </si>
  <si>
    <t>Obtained supplies from UNFPA for distribution should not only be RH kits but also other supplies which should be informed by facilities audits.</t>
  </si>
  <si>
    <t>The Health Pooled Fund 2 is a multi-level government-led program focusing on provision of essential maternal health and nutrition services, provision of access to services for the most vulnerable (particularly youth, women and girls), and building the institutional capacity of the MOH especially at county and state levels. CAREs current contract for Pariang County runs till February 2018, and the project is funded by the United Kingdom Government Department for International Development (DFID), the government of Canada, the United States Agency for International Development (USAID), the European Union (EU) and the Swedish International Development and Cooperation Agency (SIDA). In Pariang County (old county system) of Ruweng State, CARE is implementing HPF2 in 7 health facilities: Pariang PHCC+ (complementary to UNHCR support), JamJang PHCC, Biu PHCC, Panyang PHCC, Kong PHCU, Gumriak PHCU, and Bongki PHCU.</t>
  </si>
  <si>
    <t>Emergency Livelihoods Support to Most Vulnerable Households in Jonglei and Upper Nile</t>
  </si>
  <si>
    <t>Frediric Cyiza</t>
  </si>
  <si>
    <t>Senior Programme Manager</t>
  </si>
  <si>
    <t>FCyiza@care.org"</t>
  </si>
  <si>
    <t>Darias  Sanyatwe</t>
  </si>
  <si>
    <t>Jonglei and Upper Nile</t>
  </si>
  <si>
    <t>Direct  participants are the household representatives who received agricultural inputs and fishing kits ( a household having on average 6 members). Indirect participants are all the household members who were not involved in receiving the kits</t>
  </si>
  <si>
    <t>This FAO project had post distribution monitoring actvities after the distribution. There was not evaluation.</t>
  </si>
  <si>
    <t>Engaging more women in project activities (about 70%)</t>
  </si>
  <si>
    <t>Timely distribution of inputs is key in an environment where weather patterns are changing. The rains at times tail off earlier than is expected by farmers.</t>
  </si>
  <si>
    <t>Always be flexible in project implementation is conflict zones. In one area (Pagak) the project actvities were forced to close because of insecurity.</t>
  </si>
  <si>
    <t>The number of women who directly participated in the project is given as 70%  and this was the target.</t>
  </si>
  <si>
    <t>CARE South Sudan FY17 Grants Tracker, Project proposal, PDM</t>
  </si>
  <si>
    <t>Emergency Livelihoods Support to Most Vulnerable Households in Parieng County of Unity State</t>
  </si>
  <si>
    <t>Unity State - Parieng</t>
  </si>
  <si>
    <t>CARE South Sudan FY17 Grants Tracker, Project propo</t>
  </si>
  <si>
    <t>Emergency NFI and Nutrition Project in Eastern Equatoria and Unity States</t>
  </si>
  <si>
    <t>Demelash Habtie</t>
  </si>
  <si>
    <t>Nutrition Manager</t>
  </si>
  <si>
    <t>dhabtie@care.org</t>
  </si>
  <si>
    <t>NFI: Eastern Equatoria State, Torit and Ikotos Counties Nutrition: Unity State, Rubkona County</t>
  </si>
  <si>
    <t>most vulnerable families affected by the lootings and displacements in June-July 2016 crisis</t>
  </si>
  <si>
    <t>Health and Nutrition Project for Refugees and Host Communities (UNHCR)</t>
  </si>
  <si>
    <t>FRED CYIZA</t>
  </si>
  <si>
    <t>fcyiza@care.org</t>
  </si>
  <si>
    <t>Improved Access to Emergency Health and Nutrition Assistance for Refugees and Host community</t>
  </si>
  <si>
    <t>Pariang Host communities, and refugees in Yida, Ajoung Thok and Pamir</t>
  </si>
  <si>
    <t>Partners CHD/SMOH  and CARE to join the state and work as local staff  will address the human medical resources gap in Pariang. Exemple, 2 medical doctors from Pariang have accepted to work as clinical officers and non relocatable.</t>
  </si>
  <si>
    <t>Mentorship program for to existing medical junior staff(Assistant nurses/nurses, lab assistant/ midwives will allow the Pariang to have sufficient staff qualified to be deployed in other facilities such as HPF supported health facilities and others.</t>
  </si>
  <si>
    <t>HELSEL FOR FEED - VSLA in Eastern Equatoria</t>
  </si>
  <si>
    <t>Sylva Kaawe</t>
  </si>
  <si>
    <t>Senior Project Manager</t>
  </si>
  <si>
    <t>East Equatoria (Torit)</t>
  </si>
  <si>
    <t>Direct beneficiaries include400 women and Girls and 50 Men  and boys who are FEED beneficiaries. Indirect beneficaries are their household members.  With an average of 6 memebrs per household according to South sudan population estimate.</t>
  </si>
  <si>
    <t>Worked closely with other projects</t>
  </si>
  <si>
    <t>This project was aimed at leveraging and strengthening key output areas of the existing Fortifying Equality and Economic Diversification (FEED Project Program) that is currently being implemented in Eastern Equatoria. Specific activities to be supported under this project include: Women economic empowerment by building capacity , income generation and economic strengthening under through Village Savings and Loan Associations, procurement and distribution of farm inputs and seeds to farmers as well as procurement and distribution of protective gear to Community Animal Health Workers.</t>
  </si>
  <si>
    <t>Integrated Emergency Nutrition Response to Malnourished Children Under Five Years of Age and Pregnant and Lactating Mothers in 4 Counties (Mayom, Rubkona, Abiemnon and Pariang) and Bentiu POC IDP Camp in Northern Unity State</t>
  </si>
  <si>
    <t>Nutrition Program Manager</t>
  </si>
  <si>
    <t>Nicholas Chege</t>
  </si>
  <si>
    <t>gchege@care.org</t>
  </si>
  <si>
    <t>Treatment and prevention of acute malnutrition among 6-59 months children, pregnant and lactating women.</t>
  </si>
  <si>
    <t>Pariang County, Rupkona county, Abiemnom County and Mayom county.</t>
  </si>
  <si>
    <t>6 to 59 months children, pregnant and lactating women</t>
  </si>
  <si>
    <t>Direct Beneficiairies are all children 6 to 59 months, pregnant and lactating women treated on acute malnutrition                                                                                                                                                                                                   Indirect Beneficiaries are all children 6 to 59 months, pregnant and lactating women benefiting from MUAC screening for malnutrition</t>
  </si>
  <si>
    <t>There is plan to conduct SMART survey which will guide to know the impact of the project</t>
  </si>
  <si>
    <t>Through training of mother to mother support on Infant and young child feeding and on income generating activities to be able to support their households. Mother support groups also educated on kitchen gardening</t>
  </si>
  <si>
    <t>Involvement of community nutrition workers led to effectively reaching most of acute malnourished chiildren, preganant and lactating women</t>
  </si>
  <si>
    <t>Through intensive coordination and collaboration there is ownership of the project and any community member contributes to referral of malnourished children</t>
  </si>
  <si>
    <t>Mobile program has boosted the coverage of project and hence most acute malnourished chidlren and women are able to easly access nutrition services.</t>
  </si>
  <si>
    <t>Insecuirty in various areas has distrupted the implementation of the activities</t>
  </si>
  <si>
    <t>poor road infrastructure caused by heavy down pour has affected negatively on supervision/monitoring of project activities.</t>
  </si>
  <si>
    <t>Integrated Food Security and Nutrition project in Pariang county, Unity State.</t>
  </si>
  <si>
    <t>Gitau.Chege@care.org</t>
  </si>
  <si>
    <t>To contribute to global efforts to improve food security and nutrition outcomes for the most-atrisk populations, with a special focus on children under 5 years old and pregnant and lactating women; and to reduce morbidity and mortality associated with undernutrition and micronutrient deficiencies.</t>
  </si>
  <si>
    <t>Unity State (Pariang, Abiemnom, Mayom and Rupkona Counties</t>
  </si>
  <si>
    <t>1000 Household (Ave 6/HH)  with Moderate acute malnourished children or pregnant/lactating women 370 School going children (secondary school level) 6,500 women (Mother to mother support group) with IEC materials</t>
  </si>
  <si>
    <t>Outreach services and community screening is important for early detection and treatment of Malnutrition</t>
  </si>
  <si>
    <t>Food voucher program cannot work in Pariang county due to poor market</t>
  </si>
  <si>
    <t>Designing food distribution project rather than food voucher</t>
  </si>
  <si>
    <t>CARE South Sudan FY17 Grants Tracker, Project proposal,</t>
  </si>
  <si>
    <t>Integrated Health and Nutrition Response for the Conflict-affected Population in Unity State, South Sudan ( GE)</t>
  </si>
  <si>
    <t>LOICE AWINO MUKABANE</t>
  </si>
  <si>
    <t>lmukabane@care.org</t>
  </si>
  <si>
    <t>? Objective 1: Increased access to maternal, newborn and child health (MNCH) services, including emergency obstetric care. ? Objective 2: Increased access to medical services and psychosocial support for survivors of sexual and gender-based violence. ? Objective 3: : Increased access to interventions aimed at preventing, identifying and treating severe and moderate acute malnutrition among children, pregnant and lactating women and other vulnerable groups</t>
  </si>
  <si>
    <t>Mayom and Abiemnom Counties, Unity State, South Sudan  </t>
  </si>
  <si>
    <t>Delivering quality and equitable life-saving primary and secondary health care interventions health care to the conflict affected populations of Mayom and Abiemnom through PHCCs in Mankien and Wangkei in Mayom</t>
  </si>
  <si>
    <t>? Working together with the county health department (CHD) and local authorities in project implementation creates ownership and accountability at all levels.</t>
  </si>
  <si>
    <t>The integrated approach in service delivery for health and nutrition in both the facilities and mobile clinics ensured that patients received a whole package of services, thus avoiding multiple return trips to the health facilities.</t>
  </si>
  <si>
    <t>? Mothers who received skilled delivery and professional services at the facilities shared their positive experiences with other mothers in the community hence an increase in uptake of services</t>
  </si>
  <si>
    <t>Mobile clinics in hard-to-reach areas reach locations and temporarily set camp for a week conducting general consultations and referral of complicated cases for secondary care. This was a new innovation that ensured the most vulnerable members of the communities were reached given the long distances that the communities had to travel in order to reach a health facility; the chiefs and other local authorities were grateful to CARE for the delivery of health care in the remotest parts, CARE was able to set up four mobile health and nutrition sites in the remote villages. A total if 20 mobile outreaches were conducted over the project life. During an outreach, key essential staff would travel to hard to Improved service delivery worked round the clock to ensure quality services were offered to all. With the deterioration of security in South Sudan, basic services including primary health care was hard to come by in the vastly rural parts of the country as over 50% of health facilities were destroyed and never restored. Getting qualified personnel to offer services was a big challenge as the government was not able to sustain the key personnel in terms of salaries. With the GE fund, CARE was able to get qualified committed staff who</t>
  </si>
  <si>
    <t>Pariang Integrated Primary Health Care Project (HPF)</t>
  </si>
  <si>
    <t>Health Pooled Fund (HPF)</t>
  </si>
  <si>
    <t>? Objective 1: To increase access, use and quality of health services across all levels in the county, particularly for women, children and vulnerable groups; ? Objective 2: To strengthen the health system under the stewardship of the County Health Departments (CHDs); ? Objective 3: To increase access to nutrition services, particularly for pregnant women and young children.</t>
  </si>
  <si>
    <t>Pariang Host communities</t>
  </si>
  <si>
    <t>The intervention aims to reduce maternal and infant mortality, ensure universal coverage, and improve the overall health status as well as the quality of life of the South Sudanese population in Pariang County.</t>
  </si>
  <si>
    <t>Expectations that HHPs and VHCs would function without an incentive were probably unrealistic. After taking great pains to recruit and train HHPs and to constitute and activate VHCs, there was little to no progress in terms of implementing their mandate. This was directly because of their request for incentives which could not be honoured by CARE because of budget constraints. Going forward, CARE would consider budgeting for incentives for community volunteers who are very essential to generating demand for health services and improving project performance.</t>
  </si>
  <si>
    <t>Mobilization of medical cadres native from Pariang by local CHD/SMOH  and CARE to join the state and work as local staff  will address the human medical resources gap in Pariang. Exemple, 2 medical doctors from Pariang have accepted to work as clinical officers and non relocatable.</t>
  </si>
  <si>
    <t>Torit-Agricultutral Inputs - FAO</t>
  </si>
  <si>
    <t>sylvia.kaawe@care,org</t>
  </si>
  <si>
    <t>East Equatoria</t>
  </si>
  <si>
    <t>The number of women who directly participated in the project is given as 70% and this was the target.</t>
  </si>
  <si>
    <t>WFP Project - TSFP and Warehouse Management</t>
  </si>
  <si>
    <t>Olive Muthamia</t>
  </si>
  <si>
    <t>Omuthamia@care.org</t>
  </si>
  <si>
    <t>To reduce morbidity and mortality related to acute malnutrition through community-based integrated management of acute malnutrition (CMAM/IMAM) and Infant and Young Child Feeding (IYCF) interventions targeting children under five and Pregnant and lactating women.</t>
  </si>
  <si>
    <t>(MAM) Children 6-59 months old and Pregnant/Lactating women</t>
  </si>
  <si>
    <t>Beyond the Harvest - SDC - BTH</t>
  </si>
  <si>
    <t>Improved food and livelihood security for vulnerable small holder farmer households in Eastern Equatoria through enhanced post-harvest handling, value addition and market opportunities.</t>
  </si>
  <si>
    <t>Eastern Equatoria State - Torit County (Nyong &amp; Imorok Payams); - Magwi County (Magwi, Pajok, Lobone Payams) - Pageri Administrative Area (Pageri &amp; Mugali Payams).</t>
  </si>
  <si>
    <t>Ingrating other programmes  (GiK) with other programmes works</t>
  </si>
  <si>
    <t>The Project strategy was very effective, because the approached has identified the community needs from the initial stage of project assessment and the cross cutting issues have been integrated into the all components of project, such as Cash for work, seed distribution and Gender Based violence, including capacity buildings were also relevant to the targeted groups. The capacity building focus on awareness and trainings on gender based violence on GBV for particularly women and girls, including entire communities, for the VSLA the training focus on principles of VSLA and group leadership, skills in business and financial management, while for the farmer field schools agricultural skills training and best practice on how to improve agri-business in the community. The evaluation noted this into the literature point of view &amp; during interviews with stakeholders.</t>
  </si>
  <si>
    <t>DIGNITY KITS DISTRIBUTION</t>
  </si>
  <si>
    <t>Despite the escalated food insecurity and other associated challenges, CARE has been able to pilot and prove alternative livelihood  strategies like: cash for work, VSLA for income generation, distribution of fast maturing vegetables seeds hence improving  coping mechanisms and giving hope to the conflict affected communities</t>
  </si>
  <si>
    <t>CAREs integrated program implementation i.e NFIs distributions, sexual reproductive health program) have added more impact and quality to our work under this project .  </t>
  </si>
  <si>
    <t>The each of the three components of the project has been successfully, relevant and effective to the local context and beneficiary need. The GBV component has improved awareness education in the entire community, because police, social case workers, CARE staff, health facility staff and relevant stakeholders were all being trained on GBV principles and on how to handle GBV survivors. In addition CfW component of the project has been relevant and effective, because the project has improved the socio economic and nutritional status of the most vulnerable individual. Furthermore the seed and farm distribution component of the project has been successfully, relevant and effective, because there were partially increased in food production and targeted beneficiaries were able to formulate FFs school and embark on agricultural best practice. Although, timeliness and insecurity has somehow, affected the efficiency of project intervention</t>
  </si>
  <si>
    <t>CHF Project - Health</t>
  </si>
  <si>
    <t>To build healthcare workforce capacity in outbreak response and frontline health issues in South Sudan</t>
  </si>
  <si>
    <t>Mayom, Abiemnom and Rubkona County (Bentiu PoC and Bentiu town)</t>
  </si>
  <si>
    <t>Frontline healthcare workers</t>
  </si>
  <si>
    <t>Malnursihed children of under 5 and Pregnant and Lacttating Women (PLW)</t>
  </si>
  <si>
    <t>CHF Project - Nutrition</t>
  </si>
  <si>
    <t>To reduce the prevalence and incidence of Global Acute Malnutrition (GAM) from 28.5% to 25% in Mayom and from 29.2% to 26% in Abiemnom and Rubkona through scaling up of the current Community Management of Acute Malnutrition (CMAM) program, and providing Infant and Young Child Feeding (IYCF) interventions targeting children under five and pregnant and lactating women (PLW).</t>
  </si>
  <si>
    <t>Children under five and pregnant and lactating women.</t>
  </si>
  <si>
    <t>The GAM rate 20.1 % [17.2 - 23.4] found is almost double the WHO emergency level (15%). This has come too early in the year and is an indication that malnutrition rates will increase in the coming hunger gap period. Efforts should be put in place to respond to the raising rates of malnutrition in the area. One possible preparation is to pre-position nutrition items and essential durgs to the area when the road is still passable.</t>
  </si>
  <si>
    <t>Strengthening Community Engagement and Social Mobilization for Polio outbreak Response in Mayom, Pariang, Abiemnom counties.</t>
  </si>
  <si>
    <t>Loice Mukabane</t>
  </si>
  <si>
    <t>mlaker@care.org</t>
  </si>
  <si>
    <t>Mayom, Pariang, Abiemnom counties.</t>
  </si>
  <si>
    <t>6 to 59 months children</t>
  </si>
  <si>
    <t>Direct Beneficiairies are all children 6 to 59 months that are immunised</t>
  </si>
  <si>
    <t>All three counties have an updated communication plan for NIDS.The plans were update togethr with partners  -CARE,CHD,WHO .WR,AHAA,IRC and MSF</t>
  </si>
  <si>
    <t>All the 164 SM were trianed before the NIDs.This was done in their payams by CHD team,county EPI supervisor and CARE SM assisitants</t>
  </si>
  <si>
    <t>According to the leaders, this is the first  time since their existence to see people moving from door to door and village to village, Boma to Boma and in every community gathering you find this people (Social Mobilizers and vaccinators participating as well as preaching /talking about immunization/health issues and everyone is now aware  of the important of vaccination.</t>
  </si>
  <si>
    <t>Door to Door campaign and sensitsation</t>
  </si>
  <si>
    <t>There was good collaboration between CARE, CHD, RRC direction, Payam chiefs, county commissioners and religious leaders.</t>
  </si>
  <si>
    <t>The introduction of social mobilization activities contributed to the success of the children and Women of reproductive age getting vaccination and knowledge about the importance of vaccination.</t>
  </si>
  <si>
    <t>Involvement of the RRC director during the meetings created confidence to the community on the importance of vaccination through the local leaders.</t>
  </si>
  <si>
    <t>Remarks  from leaders According to the leaders, this is the first  time since their existence to see people moving from door to door and village to village, Boma to Boma and in every community gathering you find this people (Social Mobilizers and vaccinators participating as well as preaching /talking about immunization/health issues and everyone is now aware  of the important of vaccination. It is a beginning we understand, but remember the Payam and Bomas cannot be covered by only four persons, said one of the elder in Biu. Increase the number of Social Mobilizers and vaccinators at least for every Boma to have two Social Mobilizers. We are happy that CARE has reached out deep inside our villages and we hope for more services to follow this social mobilization activities. Now NIDs, has been understood by everybody but before, people were hiding their kids because the Parent were not well informed about Polio and other preventable diseases.</t>
  </si>
  <si>
    <t>Sri Lanka</t>
  </si>
  <si>
    <t>Personal Advancement and Career Enhancement in plantation community</t>
  </si>
  <si>
    <t>Chrysalis Cost Center: 250
Chrysalis Project ID: 0005</t>
  </si>
  <si>
    <t>Lahari de Alwis</t>
  </si>
  <si>
    <t>Head of Business Services</t>
  </si>
  <si>
    <t>Lahari.dealwis@chrysaliscatalyz.com</t>
  </si>
  <si>
    <t>To build the capabilities of women in the plantation industry by enhancing their skills  around communication, problem-solving and decision-making, time and stress management and WASH</t>
  </si>
  <si>
    <t>selected 20 tea estates in Central and Uva provinces of Sri Lanka</t>
  </si>
  <si>
    <t>Female plantation workers</t>
  </si>
  <si>
    <t>Direct participants - Directly project  trained female plantation workers; Indirect Participants- their family members are co workers.</t>
  </si>
  <si>
    <t>Engaging stakeholder from the beginning</t>
  </si>
  <si>
    <t>Engaging stakeholder from the beginning and maintaining their relationship is really necessary for smooth functioning of the project</t>
  </si>
  <si>
    <t>Community governance programe (Redrawing the Margins- Rtm)</t>
  </si>
  <si>
    <t>CARE Fund Code:LK4692/ DE672
Chrysalis Cost Center: 350 PID: 0002</t>
  </si>
  <si>
    <t>Susima Nandasiri</t>
  </si>
  <si>
    <t>susima.nandasiri@chrysaliscatalyz.com</t>
  </si>
  <si>
    <t>Ahamed Rislan</t>
  </si>
  <si>
    <t>Head of Department - Development Services</t>
  </si>
  <si>
    <t>ahamed.rislan@chrysaliscatalyz.com</t>
  </si>
  <si>
    <t>To promote the rights and entitlements of citizens living and working in the tea plantations of the Central and Uva Provinces of Sri Lanka.</t>
  </si>
  <si>
    <t>Kandy, Matale, Nuwaraeliya Districts of Central province and Badulla and Monaragala districts of the Uva province in Sri Lanka.</t>
  </si>
  <si>
    <t>People living and working in tea plantations and people living in Sinhalese villages in the targeted areas in Sri Lanka.</t>
  </si>
  <si>
    <t>Direct participants: Who: Praja Mandala members. How calculated: Target Praja Mandalas to form were 100. Per Praja Mandals, 25 members on average is estimated. Women and youth precentages for overall Sri Lanka is 51% and 15% respectively. Same ratios were used to calculate above categories.
Indirect participants: Who: Population of Central and Uva provinces. (Women in Central and Uva Provinces). This project has an main activity as an advocacy component to bring forth a women' policy at provincial level. It will eventually benefit all the people in Central Province and Uva Province.
Family members of the Praja Mandala members, Other villagers in a Grama Nilashari division where a Praja Mandala is formed. How calcualted: 200 Grama Niladhari divisions where 200 Praja Mandala will be formed. Entire village will benefit (it includes family members of Praja Manda) However when above intervention covers total population of the province, this is avoided to avoid double counting.</t>
  </si>
  <si>
    <t>Baseline had been conducted in May 2016. The project ends in December 2018 therefore, the evaluation will take place in December 2018.</t>
  </si>
  <si>
    <t>Availability of a women's policy for a province will  give proper attention to women's issues in the province and the legal set up it enables will be supprtive for the people.
By forming Praja Mandala, all the villagers and other informal organizations within a village can come together. Praja Mandala is the only recognized body under the local government set up in Sri Lanka.
Capacity building trainings provided for the government officials enabled them to work jointly, to reduce conflicts, duplications.</t>
  </si>
  <si>
    <t>Working with the Ministry of Provincial Council and Local Government, working with Central, and Uva Provinces and 25 Pradeshiya Sabhas through Steering committees, Community Governance Platform. These alliances ensure project supports nationally led interventions, but makes it impactful and meaningful throguh continuous advocacy and facilitation.</t>
  </si>
  <si>
    <t>Advocate the government to bring forth Provincial women's policy (Central &amp; Uva provinces) in Sri Lanka.
Establish 100 Community Governance Models (CGMs) in targeted locations.
Facilitate to promote national language policy and thereby provide bi-lingual service provision.</t>
  </si>
  <si>
    <t>Working with and through diverse partners; especially with the government sector institutions.</t>
  </si>
  <si>
    <t>Continuous mobilization done through the government officers, not project staff serves for dual purpose; it makes mandated government officials to work in coordination, work effectively and efficiently.</t>
  </si>
  <si>
    <t>Project's objective to bring forth provincial women's policy will address provincial characteristics and requirments of Central and Uva provinces' women.</t>
  </si>
  <si>
    <t>Working and coordinating with both local government authorities and the local administrative system is necessary for effective project implementation.</t>
  </si>
  <si>
    <t>It is important to consult with and ensure the participation of key stakeholders in planning sessions. This type of engagement gives them a sense of ownership and commitment.</t>
  </si>
  <si>
    <t>Frequent discussions with the 2 implementation partners who are also government bodies is important to ensure smooth operation.</t>
  </si>
  <si>
    <t>The implementation of the RTM project was transferred to Chrysalis at the time of CARE Sri Lanka's transition in 2016</t>
  </si>
  <si>
    <t>Lasting Change Fund - Investing in womens economic empowerment a catalyst for positive change!</t>
  </si>
  <si>
    <t>CARE NL Fund Code: NL798
Chrysalis Cost Center: 250 PID:0001</t>
  </si>
  <si>
    <t>Lahari de Alwis - Head of Business Services</t>
  </si>
  <si>
    <t>To fund business initiatives of formal women groups, co-operatives, associations and individual female entrepreneurs from low-income communities to make their business start-up or business growth a reality.</t>
  </si>
  <si>
    <t>Country: Sri Lanka. Province: North. Districts: Mullaithivu, Killinochchi, Vavuniya, Jaffna.</t>
  </si>
  <si>
    <t>Formal women groups
- Co-operatives
- Associations
- Individual female entrepreneurs that want to scale up an existing small enterprise</t>
  </si>
  <si>
    <t>Direct participants are who received the funding as entrepreneurs. Indirect participants are who received employment.</t>
  </si>
  <si>
    <t>Gap Analysis - Format Enclosed.</t>
  </si>
  <si>
    <t>Female entrepreneurs were able to show that the scale up of their enterprise leads to increased income and empowerment, and/or the creation of more jobs for women.  </t>
  </si>
  <si>
    <t>Building Women Entrepreneurs' Capacity</t>
  </si>
  <si>
    <t>Providing Market Links</t>
  </si>
  <si>
    <t>Setting Standards and Introducing Systems</t>
  </si>
  <si>
    <t>Empathy and understanding entrepreneurs' difficulties in learning to plan coaching strategies help to bring sustainability.</t>
  </si>
  <si>
    <t>Coaching should be continuous, preferably one 4 hour session per day/week, give them home work and schedule the next session once they have completed the assignment in order to be productive.</t>
  </si>
  <si>
    <t>Encouraging the beneficiaries to share their experiences and using their strengths to educate their colleagues by us guiding the process double the results.</t>
  </si>
  <si>
    <t>A foundation of life skills such as Communication and Interpersonal Skills, Decision-Making and Critical Thinking Skills and Coping and Self-Management Skills was laid to the beneficiaries.</t>
  </si>
  <si>
    <t>One proposal out of 13 submitted and progress report are enclosed.</t>
  </si>
  <si>
    <t>Community governance programe (Enhancing Community Participation in Local Governance in Sri Lanka- SPACE)</t>
  </si>
  <si>
    <t>CARE Fund Code: OAKFLK0004
Chrysalis Cost Center: 350 PID:0001</t>
  </si>
  <si>
    <t>Dayal Perera</t>
  </si>
  <si>
    <t>dayal.perera@chrysaliscatalyz.com</t>
  </si>
  <si>
    <t>Goal is to empower marginalized communities, especially the poorest women and youth in Sri Lanka, to actively engage in governance; to determine their development priorities; and define solutions, plan and execute such plans in order to address their needs and entitlements.</t>
  </si>
  <si>
    <t>Nuwara Eliya and Kandy Districts in Central Province, Badulla District in Uva Province, Mullaitivu District from Northern Province and Batticloa District from Eastern Province of Sri Lanka.</t>
  </si>
  <si>
    <t>Marginalized communities, especially the poorest women and youth in Sri Lanka.</t>
  </si>
  <si>
    <t>Direct participants: Who: Praja Mandala members. How calculated: Target Praja Mandalas to form were 200. Per Praja Mandals, 25 members on average is estimated. Women and youth precentages for overall Sri Lanka is 51% and 15% respectively. Same ratios were used to calculate above categories.
Indirect participants: Who: Family members of the Praja Mandala members, Other villagers in a Grama Nilashari division where a Praja Mandala is formed. How calcualted: 200 Grama Niladhari divisions where 200 Praja Mandala will be formed. Entire village will benefit (it includes family members of Praja Mandala members). However, this project has an advocacy component, which will eventually benefit for all the Sri Lankans as well.</t>
  </si>
  <si>
    <t>Baseline had been conducted in May 2016. The project ends in May 2018 therefore, the evaluation will take place in March 2018.</t>
  </si>
  <si>
    <t>By forming Praja Mandala, all the villagers and other informal organizations within a village can come together. Praja Mandala is the only recognized body under the local government set up in Sri Lanka.
Capacity building trainings provided for the government officials enabled them to work jointly, to reduce conflicts, duplications.</t>
  </si>
  <si>
    <t>Working with the Ministry of Provincial Council and Local Government, working with Central, Uva, Northern and Eastern Provinces and 8 Pradeshiya Sabhas through Steering committees, Community Governance Platform. These alliances ensure project supports nationally led interventions, but makes it impactful and meaningful throguh continuous advocacy and facilitation.</t>
  </si>
  <si>
    <t>Establish 301 Community Governance Models (CGMs) in targeted locations.
Institutionalize and strengthening CGMs by improving skills and capacities of selected community members.
Advocate the government to pass Community Governance Policy Framework for Sri Lanka.</t>
  </si>
  <si>
    <t>Engaging communities to prioritize their development needs.</t>
  </si>
  <si>
    <t>Training local government and local administrative (both structures) enables the officials to work together for the common beneficiries.</t>
  </si>
  <si>
    <t>Maintaining uniform approach across the four provinces, yet also to recognize that each province has its own unique characteristics. Therefore, there must be room for flexibility to adapt to situational requirements while at the same time staying within the projects broad guidelines.</t>
  </si>
  <si>
    <t>The implementation of the SPACE project was transferred to Chrysalis at the time of CARE Sri Lanka's transition in 2016</t>
  </si>
  <si>
    <t>PACE in the Community Phase One</t>
  </si>
  <si>
    <t>Chrysalis Cost Center: 250
Chrysalis Project ID: 0003</t>
  </si>
  <si>
    <t>To build the capabilities of women in the plantation industry and Vocational Training Institute by enhancing their
skills around communication, problem-solving and decision-making, time and stress management, and
WASH</t>
  </si>
  <si>
    <t>selected 5 tea estates in Central province of Sri Lanka &amp; Vocational Training center in the Eastern Province</t>
  </si>
  <si>
    <t>Female plantation workers  and trainees at Vocational Training Center</t>
  </si>
  <si>
    <t>Contributing to Strengthening Community development forums</t>
  </si>
  <si>
    <t>The Project managed to successfully adapt the PACE training module to suit the platations context.</t>
  </si>
  <si>
    <t>Results of the training, as viewed by participants and management, was improved relations within families, co-workers and management, increase in hygiene practices, productivity and profitability.</t>
  </si>
  <si>
    <t>The trainings which were intended only for females was viewed as Gender biased and both males and females felt that the effectiveness of the program could be increased with the involvement of both parties.</t>
  </si>
  <si>
    <t>The implementation of the PACE I project was transferred to Chrysalis at the time of CARE Sri Lanka's transition in 2016</t>
  </si>
  <si>
    <t>Project Final Report</t>
  </si>
  <si>
    <t>Network, Engage &amp; Transform (The NET Project)</t>
  </si>
  <si>
    <t>EuropeAid/136-547/L/ACT/LK</t>
  </si>
  <si>
    <t>Chrysalis (Sri Lanka)</t>
  </si>
  <si>
    <t>Head of Development Services</t>
  </si>
  <si>
    <t>Nadarajah Thayaharan</t>
  </si>
  <si>
    <t>nadarajah.thayaharan@chrysaliscatalyz.com</t>
  </si>
  <si>
    <t>To promote the voice and meaningful political representation of women in Northern Sri Lanka to prevent and address Sexual and Gender based Violence (SGBV)</t>
  </si>
  <si>
    <t>Northern Province of Sri Lanka</t>
  </si>
  <si>
    <t>Men and Women</t>
  </si>
  <si>
    <t>Direct Beneficiaries: 420 women and 210 men
Indirect Beneficiaries: 78,205 women from the district of Mullaithivu and Kilinochchi</t>
  </si>
  <si>
    <t>Women Political Participation</t>
  </si>
  <si>
    <t>Since the baseline survey was not conducted at the beginning in September a basline survey will be conducted in a retrospective manner. Towards the end of the project there will be an endline survey to be done.</t>
  </si>
  <si>
    <t>~ Training and capacity building of civil society organizations at the grassroot level on GBV, Gender equality and election reforms
~ Support them implement grassroot level initiatives (campaign, advocacy and training) on GBV and Gender equality</t>
  </si>
  <si>
    <t>~ 120 women have shown interest to lead initiatives on GBV, and Gender Equality
~ 15 women leaders have come forward to contest in the upcoming local government election
~ More than 20 opportunities created to increase relationship with civil society organizations and local level government structures</t>
  </si>
  <si>
    <t>~ Engaging men to support the program on GBV and to promote women in politics</t>
  </si>
  <si>
    <t>~ Formation of women support groups/core groups with the leadership of key women leaders</t>
  </si>
  <si>
    <t>~ Familiarizing women with latest change in the elections system, national and international commitments on GBV and Right to information Act</t>
  </si>
  <si>
    <t>~ Women have proven that their social/economic/educational background is not relevant to be a leader in the community</t>
  </si>
  <si>
    <t>~ The action has found that there is a greater link between women political participation and ensuring gender equality</t>
  </si>
  <si>
    <t>~ One of the key challenges is changing social norms on women political participation</t>
  </si>
  <si>
    <t>The implementation of the NET project was transferred to Chrysalis at the time of CARE Sri Lanka's transition in 2016</t>
  </si>
  <si>
    <t>WEAVE  (Women Empowerment: Action, Voice and Enterprise)</t>
  </si>
  <si>
    <t>CARE NL Fund Code: NL798 PID: CNLDLK0004
Chrysalis Cost Center: 250 PID:0002</t>
  </si>
  <si>
    <t>lahari.dealwis@chrysaliscatalyz.com</t>
  </si>
  <si>
    <t>1. To strengthen entrepreneurial capacities of 250 women  and enable the establishement of viable businesses of 25 women and  2. To enhance the capabilities of women to have greater control over decision making in Killinochchi and Mullaitivu Districts  </t>
  </si>
  <si>
    <t>Nothern province of SriLanka with the special focus on Jaffna, Kilinochchi, Mullaithivu and Vavuniya Districts</t>
  </si>
  <si>
    <t>The women targetted by the project are primarily women headed households who are socially and economically vulnerable. There are approximately 3200 women headed households in the proposed project locations. They are directly impacted by the last phase of Sri Lankas conflict, experienced several displacements and are currently resettling in the targetted locations.</t>
  </si>
  <si>
    <t>War affected vulnerable women and their immediate family members are direct participants. Other members of the community are indirect participants. Numbers are taken from the base line survey done.</t>
  </si>
  <si>
    <t>1. Handloom tools and equipments were provided to set up handloom centers. 2. Weavers were linked with handloom market and exposed to wider market</t>
  </si>
  <si>
    <t>Weavers linked with handloom market and exposed to wider market</t>
  </si>
  <si>
    <t>The main challenge faced by these weavers once they had the necessary skills, was access to fair and profitable markets.  Mobility issues and lack of exposure resulted in a limitation to local markets.  An attempt to partner with established handloom retailers proved difficult due to the low prices offered.</t>
  </si>
  <si>
    <t>The Department of Industries effectively supported the supply of basic training, equipment and space, they fell short when it came to the finer points, such as upgrading the quality, reaching suitable markets and running an organized process of supply and payment.  Some government officers also had little understanding in how they should support these weavers.</t>
  </si>
  <si>
    <t>Access to finances is a serious issue for women who are unable to take loans to develop themselves.  </t>
  </si>
  <si>
    <t>These traditional industries are all labour intensive and usually made of largely natural raw materials, providing final products which naturally fit in to a growing market for ethically-sourced, environmentally-friendly merchandise.  There is an opportunity here to market these products directly to conscientious shoppers, whereby all profits go back to the producers who, in this case, are vulnerable women from marginalized communities.  Additionally, with the growing tourism industry in Sri Lanka, the properly presented products will have a receptive market locally.</t>
  </si>
  <si>
    <t>Report attached.</t>
  </si>
  <si>
    <t>Sudan</t>
  </si>
  <si>
    <t>Sudan Emergency Water, Hygiene and Nutrition Services CARE Canada 2017-2019</t>
  </si>
  <si>
    <t>CA382</t>
  </si>
  <si>
    <t>Tesfaye Hussein</t>
  </si>
  <si>
    <t>WASH and Public Health Advisor</t>
  </si>
  <si>
    <t>tesfaye.hussein@careinternational.onmicrosoft.com</t>
  </si>
  <si>
    <t>Rishana Haniffa</t>
  </si>
  <si>
    <t>rishana.haniffa@care.org</t>
  </si>
  <si>
    <t>This project seeks to provide critical, lifesaving support and build the resilience of IDPs, refugees and vulnerable host communities in East and South Darfur. CARE will meet the most urgent needs of those displaced by increasing access to a safe water and sanitation facilities, developing inclusive WASH management structures, and providing an emergency nutrition response through a CMAM intervention for malnourished children under five and pregnant and lactating women in East Darfur.</t>
  </si>
  <si>
    <t>Kario Refugee Camp and host community in Baher Alarab locality, Alnimir Refugee Camp in  Assalaya locality, Jadalseed and Al Fowalih villages in Abu Karinka locality in East Darfur state. Lemo, Kherwa and Jemaiza Lagaro villages in Kass locality and Singita village in Assalaya locality in South Darfur.</t>
  </si>
  <si>
    <t>IDPs, refugees and vulnerable host communities</t>
  </si>
  <si>
    <t>Direct: Participants in activities and recipients of services. Indirect: family members and general population in villages</t>
  </si>
  <si>
    <t>The project just started in April 2017. Delays in implementation due to Technical Agreement signature delay with government.</t>
  </si>
  <si>
    <t>This is a new project and delays in Technical Agreement signature delayed project, and so numbers of beneficiaries are still 0 if not negligible. Most fo the form is blank because information on implementation is still negligible, so do not wish to misrepresent  the project at this stage.</t>
  </si>
  <si>
    <t>Mohammed IREG</t>
  </si>
  <si>
    <t>Mohammed.Ismail@care.org</t>
  </si>
  <si>
    <t>Moges Tefera</t>
  </si>
  <si>
    <t>Program Quality and Learning Country Coordinator</t>
  </si>
  <si>
    <t>mtefera@care.org</t>
  </si>
  <si>
    <t>By 2020, excluded youth and women from pastoral and agricultural communities in two localities in South Darfur and three localities in East Darfur participate and influence public decisions-making process resulting in public policies and planning that better respond to their needs for recovery and development.</t>
  </si>
  <si>
    <t>Nyala, Kass, and Gerieda in Southt Darfur State &amp; Eddien, Abukarinka and Assalaia in East Darfur State</t>
  </si>
  <si>
    <t>Excluded Women and Youth in rural setting of Darfur</t>
  </si>
  <si>
    <t>Direct: Those directly invovled in committees established and activities. Indirect: People who have received a benefit from the committees, which is everyone within the community.</t>
  </si>
  <si>
    <t>Formation and strengthening of Village development committees, women's groups and youth groups</t>
  </si>
  <si>
    <t>Indirect beneficiaries have not been calculate yet, as project impact has not been proven yet.</t>
  </si>
  <si>
    <t>Project proposal and reports are held at Country Office</t>
  </si>
  <si>
    <t>Secure Economies and Diversified Livelihoods for Peaceful Coexistence in South Darfur and South Kordofan (SEED)</t>
  </si>
  <si>
    <t>NL160</t>
  </si>
  <si>
    <t>Amy Wing</t>
  </si>
  <si>
    <t>Funding Coordinator</t>
  </si>
  <si>
    <t>amy.wing@care.org</t>
  </si>
  <si>
    <t>To increase utilization of basic services (WASH, health and nutrition services ) by 268,750 IDPs and 53,038 returnee and host community households in South Darfur, with the aim of improving resilience to emergencies/poverty and contribution to peace among conflict affected communities in South Darfur.</t>
  </si>
  <si>
    <t>Kass, Gereida and Nyala localities in South Darfur State</t>
  </si>
  <si>
    <t>IDP, returnee and host community households</t>
  </si>
  <si>
    <t>Direct: Those that received direct assistance or directly participated in activities. Indirect: those people that benefitted from in the community (entire communities, not counting pastoralists and 2 villages where insufficient data could be collected on numbers, so total indirect is understated).</t>
  </si>
  <si>
    <t>Migratory committees, Natural resouce mechanisms, VSLA establishment and strengthening</t>
  </si>
  <si>
    <t>1) shifting from drip irrigation to motorized irrigation following approval for this adjustment from the EUD. As a result of this, the number of beneficiaries increased (from 80 to 120) and the cultivated area increased from three hectares to 6.7 hectares; 2) Shifting from crescent construction to the construction of long terraces, as per the recommendations from the MoA.  This improved moisture retention in the soil and had no impact on the number of planned beneficiaries or the area of land to be protected from soil erosion.</t>
  </si>
  <si>
    <t>Establishing and engaging advisory committees through higher-level ministry officials and the technical steering committee, facilitates successful implementation of project plans and contributes to solving problems that can emanate from the communities and sector offices.</t>
  </si>
  <si>
    <t>Men do allow women participation in business once they see money is coming to the family. However, the challenge is that men and boys are not willing to shoulder more responsibilities both in and outside of the home, resulting in an additional burden to women.  To address this, CARE plans to step up positive engagement of men and boys in our programming.</t>
  </si>
  <si>
    <t>The action in general, and the value chain study in particular, have proven that there are a number of viable business opportunities when the opportunities are given to the poor. Market functionality has improved as an increasing number of people are engaged in production and services. This leads to the creation of other opportunities to engage youth and other members of the communities.</t>
  </si>
  <si>
    <t>Indirect participants reached per output was not inputted, as calculations would be double counting of beneficiaries. Resource management was aimed at the entire village, through committees established to manage and facilitated discussions betwene pastoralists and farmers to reduce tensions between the two groups. All others could be calculated on a household of 6, but would be double countign those reached by resource management.</t>
  </si>
  <si>
    <t>Project Proposal, reports, baseline and final evlauation are held at Country Office</t>
  </si>
  <si>
    <t>Sudan Emergency Response and Early Livelihoods Recovery - RiH</t>
  </si>
  <si>
    <t>NL156</t>
  </si>
  <si>
    <t>Contribute to sustainable development in the Horn of Africa by addressing underlying causes of instability and strengthening the resilience of IDPs, returnees and host communities in the region, with special attention for women and youth</t>
  </si>
  <si>
    <t>East and South Darfur in Sudan</t>
  </si>
  <si>
    <t>Vulnerable women and youth</t>
  </si>
  <si>
    <t>Indirect beneficiaires were not calculated as activities calculated households directly involved in activities and directly receiving services or benefits, which for some activities (such as improved markets, veterniary services, etc) were the entire community, so entire community numbers were calculated for direct beneficiaries.</t>
  </si>
  <si>
    <t>Baseline was conducted in 2015. Evaluation conducted in this FY.</t>
  </si>
  <si>
    <t>VSLAs as processes to improve women's leadership capacities</t>
  </si>
  <si>
    <t>Migratory committee and Village development committee stregnthening</t>
  </si>
  <si>
    <t>Womens engagement in VSLAs, their participation in discussions and dialogue sessions at VDC meetings and their involvement in different committees such as Natural Resource Management, WASH, environment, education and peace building, have enabled both sexes to have more frequent public interactions and shared decision-making, giving opportunities for women to interact and share their concerns and views. Many husbands were stimulated by the project to support their wives, both inside and outside the house. Women are becoming active in public speech and raising their concerns without any hesitation. CARE as a womens empowerment organization has influenced government sectors and NNGOs to target women as well as men. More than 60% of the project beneficiaries are women.</t>
  </si>
  <si>
    <t>The engagement of community members from different communities in joint management committees led to improved and increased interaction among formerly rival groups, reducing incidence of disputes and conflict. Also, major processes such as e.g. beneficiary selection were conducted transparently and with meaningful participation of communities, contributing to community ownership of the program. Village development committees also received training on conflict management and resolution. The program aimed to revive traditional local conflict resolution mechanisms fully embedded in society, as a result 86% of local conflicts referred to community structures were resolved. Unfortunately, baseline information on this was difficult to obtain, as these questions were not approved by the Government of Sudan (GoS) at the time of the baseline survey.</t>
  </si>
  <si>
    <t>e) CAREs approach to address the underlying causes of poverty is potentially more efficient and durable than providing basic services, which requires expensive logistical systems. Empowering people, and especially women, to change the circumstances that keep them poor is more efficient and sustainable than to substitute the states responsibility to provide these services. This was done through establishing VSLAs, IGAs and revolving funds to keep funding their own ideas and businesses, changing perceptions about lending to the poor and womens roles in business.</t>
  </si>
  <si>
    <t>The external final evaluation concluded that capacity building activities were particularly effective, leading to improved skills and increasing the technical sustainability of the local authorities and other stakeholders in the area of basic service delivery.</t>
  </si>
  <si>
    <t>Women, who are disadvantaged and discriminated against in many aspects in the local context, increased their competencies, individual agency and negotiating power through their interactions with peers in the VSLAs, VSLA group membership, receiving trainings and engaging in IGAs and evolving to leadership positions such as in VDCs. Women representation is becoming a regular occurrence and practice in committees such as health and water. Several female-headed HH got engaged in petty trading and food processing activities, providing them additional income sources.</t>
  </si>
  <si>
    <t>Project proposal, reports, baseline and final evaluations are held at Country Office.</t>
  </si>
  <si>
    <t>Catapult to Impact Emergency Preparedness and DRR project.</t>
  </si>
  <si>
    <t>US1DT</t>
  </si>
  <si>
    <t>Rishana.Haniffa@care.org</t>
  </si>
  <si>
    <t>Hanan Elhaj</t>
  </si>
  <si>
    <t>Response &amp; Capacity Building Coordinator</t>
  </si>
  <si>
    <t>Hanan.Elhaj@care.org</t>
  </si>
  <si>
    <t>Strengthening CARE's preparedness, response and DRR capacity</t>
  </si>
  <si>
    <t>All CARE operating areas including South Kordofan, South Darfur and East Darfour States</t>
  </si>
  <si>
    <t>Hundred's of thousands people affected by emergencies in CARE operating areas including IDPs, refuges an host communities</t>
  </si>
  <si>
    <t>Direct beneficiaries: those that received goods provided. Indirect: estimated at 2.6 more people within the houosehold who also received use of goods.</t>
  </si>
  <si>
    <t>EPP and DRR</t>
  </si>
  <si>
    <t>conduct meetings with partners and share information and ideas about improved response, humanitarian principles, standards, share of CARE experience in responses, etc.</t>
  </si>
  <si>
    <t>NO adjustment happened</t>
  </si>
  <si>
    <t>Investment in preparedness is key for response in Sudan context where protracted and new emergencies are common.</t>
  </si>
  <si>
    <t>Recruitment of response and capacity building coordinator helped in rolling out the project and opened room to improve coordination, planning and responses;</t>
  </si>
  <si>
    <t>Regular communication, information sharing and close coordination are key elements to meet humanitarian needs of those affected by emergency</t>
  </si>
  <si>
    <t>Sharing of experiences, case studies, stories enhance learning</t>
  </si>
  <si>
    <t>Preparedness activities are very important  for timely and effective response;</t>
  </si>
  <si>
    <t>Capacity building of staff and partners is key to manage emergency preparedness and response;</t>
  </si>
  <si>
    <t>Project proposal, progess report held at Country Office</t>
  </si>
  <si>
    <t>South Darfur Emergency Assistance Project</t>
  </si>
  <si>
    <t>US1JW</t>
  </si>
  <si>
    <t>Faroug Mohammed</t>
  </si>
  <si>
    <t>Nutrition Area Manager</t>
  </si>
  <si>
    <t>Faroug.Mohammed@care.org</t>
  </si>
  <si>
    <t>To contribute to the reduction of mortality and morbidity among conflict-affected persons and host community members (including men, women, boys, and girls) in South Darfur; through increased access to life saving integrated primary and reproductive healthcare services, including emergency referral to secondary healthcare and community-based health promotion activities.</t>
  </si>
  <si>
    <t>Alsalam IDP Camp Kass IDP Camps (Kass Kaber, Dawagin/Hai Kifah, Baitara, Alrohal, Erly) Kass Rural Villages (Singita, Limo, Derso, Kherwa, Fatabarno)</t>
  </si>
  <si>
    <t>men, women, boys, and girls</t>
  </si>
  <si>
    <t>The final evaluation is in the form of KAP survey</t>
  </si>
  <si>
    <t>Linked with State Ministry of Health tot ake improvemets in health services to other facilities, through subconding SMoH staff into project.</t>
  </si>
  <si>
    <t>Household visits and case referral from IDP camps to Kass hospital.            Health education and community awareness through campaigns  and sessions</t>
  </si>
  <si>
    <t>Capacity building of community to maintain strong community management approach, and linkages between the various community structures in order to maximize program outcome</t>
  </si>
  <si>
    <t>Coordination with other humanitarian aid workers, and multi- sectorial intervention to prioritize the essential, urgent and unmet needs of IDPs, host communities and others affected by conflict within the project geographical area</t>
  </si>
  <si>
    <t>Transition to partner led humanitarian work, based on building the long term capacity inside the country and also preparing for the reality that the number of INGOs able to work in Sudan is diminishing</t>
  </si>
  <si>
    <t>Shortage of drugs and medical supplies which affected support of Public Health Clinics</t>
  </si>
  <si>
    <t>Accessibility to the rural areas some time became difficult, when the security situation deteriorated</t>
  </si>
  <si>
    <t>Community ownership and community participation</t>
  </si>
  <si>
    <t>Project proposal * Project donor reports</t>
  </si>
  <si>
    <t>Contribute to the sustained saving of lives and reduction in morbidity and mortality among IDPs, returnees and affected host community members in East Darfur and South Darfur.</t>
  </si>
  <si>
    <t>Alsalam IDP Camp, Kass IDP Camps, Gereida IDP camps, Kalma IDP camps and Kubum locality Kass Rural Villages (Singita, Limo, Derso, Kherwa, Fatabarno) (all South Darfur) and Yassin Locality (East Darfur)</t>
  </si>
  <si>
    <t>No indirect, activities at household level covering entire households within IDP camps and surrounding host villages, calculated at number of households times 6 as average number of people per household is 6.</t>
  </si>
  <si>
    <t>The mid-term evaluation is in the form of KAP survey</t>
  </si>
  <si>
    <t>Contribute to the saving of lives while addressing underlying causes of undernutrition among vulnerable mothers and children in poor IDPs and affacted rural communities of Kass and AJsalam localities, SD.</t>
  </si>
  <si>
    <t>US1OP</t>
  </si>
  <si>
    <t>Mohamed Ali</t>
  </si>
  <si>
    <t>Field Office Manager, South Darfur</t>
  </si>
  <si>
    <t>mohamed.alhag@care.org</t>
  </si>
  <si>
    <t>Kass and AlSalam localities in South Darfur, Sudan.</t>
  </si>
  <si>
    <t>VulnerableIDP  mothers and children</t>
  </si>
  <si>
    <t>Direct: vulnerable people receiving direct assistance in food and nutrition services. Indirect: Those that were checked for malnutrition, but did not require direct assistance.</t>
  </si>
  <si>
    <t>Pipeline break of food commodities supplies for T-SFP/FBPMAM which started in the binning of the years and ended in May affected activities implementation.</t>
  </si>
  <si>
    <t>Micro nutrient food received  with very near expiry date which affect  the implementing activities efficiency .         </t>
  </si>
  <si>
    <t>State Ministry of Health supposed to be involved in implementation of the micro nutrient powder distribution (Vitamino) from the beginning and take a lead of this activity witch will make it more sustainable.</t>
  </si>
  <si>
    <t>As the calculations and information were conducted cumulatively, the information of numbers reached in this FY are a ttal from start of project until end.</t>
  </si>
  <si>
    <t>Project proposal and final report held at Country Office</t>
  </si>
  <si>
    <t>Emergency Food Security and livelihood Support for IDPs &amp; Destitute Vulnerable Host Communties in North Darfur,Centeral Darfur, East Darfur &amp; South Kordfan States.</t>
  </si>
  <si>
    <t>US1QD</t>
  </si>
  <si>
    <t>UNDP</t>
  </si>
  <si>
    <t>Issam Bahar</t>
  </si>
  <si>
    <t>Field Office Manager, South Kordofan</t>
  </si>
  <si>
    <t>issam.bahar@care.org</t>
  </si>
  <si>
    <t>This project aims to mitigate the imminent deterioration of food security and nutrition conditions among IDPs and destitute vulnerable returnees and host communities and to protect livelihood assets of at least 370,380 direct beneficiaries</t>
  </si>
  <si>
    <t>Nertiti, Rokero, Yassein, Kalamendo, Dar Alsalam, Alkuma, Umbaru, Algoz, Rashad and Alabasyia localities, Central Darfur, East Darfur, North Darfur and South Kordofan States.</t>
  </si>
  <si>
    <t>IDPs and destitute vulnerable returnees and host communities</t>
  </si>
  <si>
    <t>Direct beneficiaries: households receiving services or goods directly. Indirect were not calculated, because assistance was already at household level.</t>
  </si>
  <si>
    <t>CARE was a sub-grant in this proposal, lead by VSF</t>
  </si>
  <si>
    <t>Formation of agriculture committees to work with local government, with 40% women's participation</t>
  </si>
  <si>
    <t>Emergency WASH and Nutrition response to conflict affected people in Kalma camp and Kass, South Darfur: Building Communities Resilience, Facilitating Durable Solutions and Providing Comprehensive Nutrition Services</t>
  </si>
  <si>
    <t>US1PZ</t>
  </si>
  <si>
    <t>To provide emergency WASH and Nutrition response to conflict affected people in Kalma camp and Kass, South Darfur: Building Communities Resilience, Facilitating Durable Solutions and Providing Comprehensive Nutrition Services</t>
  </si>
  <si>
    <t>Kalma IDP camp, Kass IDP camp, South Darfur State, Sudan</t>
  </si>
  <si>
    <t>Through this project, 60,040 vulnerable people will be assisted directly with critically needed WASH and Nutrition services in Kalma IDPs camp and Kass. 37,000 IDPs in Kalma and Kass IDPs camps are targeted under WASH (Kalma 17,291 &amp; Kass 19,709) while the rest 10,694 people (300 PLW and 10,394 children under the age of 5) are targeted under Nutrition in both Kass IDP camp and the surrounding rural areas. These beneficiaries were identified thorough an assessment conducted in March 2016 and the ongoing monitoring and follow up procedure CIS uses for its ongoing projects. The beneficiaries were targeted by their vulnerability, especially those who are targeted for latrine construction and nutrition services and the vulnerable groups include lactating mothers, female-headed households, large families with many small children, elderly and disabled individuals, and households with identified cases of malnutrition.</t>
  </si>
  <si>
    <t>Direct: receiving services. Indirect: wash is household + family members of those targeted for nutirion and households in Sudan are calculated at 6 person per houosehold</t>
  </si>
  <si>
    <t>In spite of all the efforts that have been put in place by different actors since the peak of the Darfur Crisis, the situation remains fragile as IDPs in different camps across the State continue to depend on humanitarian assistance for their survival and wellbeing. In addition, most of communities residing in rural areas are underserved due to the focus on the IDPs and limited funding available. Therefore, there is a need to continue the humanitarian intervention and, at the same time, be innovative and provide alternative solutions to reduce IDP dependency on aid. There is also a need to improve the service provision outside of the camp settings to ensure the rural area residents who have been also affected by the conflict obtain basic services; it will also encourage the IDPs to return to their areas of origins, because one of the major reasons for the IDPs to remain in the camps, next to security concerns, is lack of services in their places of origins.</t>
  </si>
  <si>
    <t>There is also a need to invest in building local communities and local government institutions. The communities are the owners or primary beneficiaries of the intervention and they need to know how to properly use and sustain it. The institutions are, ideally, responsible to provide all the services humanitarian agencies are providing. However, the capacity building will take longer than a short term projects funding cycle. Therefore, there is a need to have multi-year planning.  </t>
  </si>
  <si>
    <t>IDPs camps have not changed in beneficiary numbers and camp management keeps records of changes, so numbers planned and numbers reached did not change form start to end of project.</t>
  </si>
  <si>
    <t>Project proposal and report are held at Country Office.</t>
  </si>
  <si>
    <t>MAM Prevention, Therapeutic supplementary feeding and Home Fortification</t>
  </si>
  <si>
    <t>US1VW</t>
  </si>
  <si>
    <t>Health Project Manager, South Darfur</t>
  </si>
  <si>
    <t>faroug.mohammed@care.org</t>
  </si>
  <si>
    <t>To Improve the nutrition status of children under 5 and women of reproductive age in Kass IDP camp and host communities in South Darfur</t>
  </si>
  <si>
    <t>Kass IDP camp, Singita, Lemo, Kherwa and Gemaiza villages, South Darfur</t>
  </si>
  <si>
    <t>Children under 5 and women of reproductive age</t>
  </si>
  <si>
    <t>Rporting for this project is not yet provided. The infomration will be completed in FY 2018</t>
  </si>
  <si>
    <t>Promoting Resilience to Increase Food Security in Vulnerable Communities of Gedaref State</t>
  </si>
  <si>
    <t>US1MT</t>
  </si>
  <si>
    <t>Mohamed IREG</t>
  </si>
  <si>
    <t>Program Focal person</t>
  </si>
  <si>
    <t>Amy.Wing@care.org</t>
  </si>
  <si>
    <t>Provide technical support to the local partner "Child Development Foundation" in implementing a project that aim to promote resilience of vulnerable communities, particularly women and youth, to increase food security in targeted locations in Gedaref State.</t>
  </si>
  <si>
    <t>Sudan, Gedaref State, Gedaref Municipally and Al Galabat west localities (communities in Gedaref locality El Wahda. El Tadamon. Deim Saad, El Sadaga, El Thoura) Communities in West Galabat (Kassab, Assar, Wad El Houri, Wad Deif, Sraaf).</t>
  </si>
  <si>
    <t>6000 vulnerable households with focus on women and youth.</t>
  </si>
  <si>
    <t>Direct: direct beneficiaries receiving services and participating in activities. Indirect: their other family members and neighbours, calculated at 6 persons per household - averaged based on actual total numbers of members in a specific community. Specifically for agriculture, calculated at total commuity members in the village, because training participants share information with all farmers in village.</t>
  </si>
  <si>
    <t>Vocational Training</t>
  </si>
  <si>
    <t>Local partner worked with Ministries of education and agriculture to include in their planning for actvities in the state.</t>
  </si>
  <si>
    <t>In this project CARE instead of receiving the fund directly from the donor (EU), it encouraged and supported the local NGO to directly apply as main applicant while CARE applied as C0-applicant, and convinced the EU on this model of funding as way to strengthening the capacities of local organizations. This strategy of letting the partner take a lead in the implementation while receiving continuous technical backstopping from CARE has clearly helped the partner to achieve better capacity and improvement.</t>
  </si>
  <si>
    <t>Organizing review workshops every quarter with the partner, was a successful strategy that utilized as a learning event where partner and CARE can analyze lessons and decide on new plans.</t>
  </si>
  <si>
    <t>The on-job training was good modality that helped the partner to build capacity on different organizational and technical aspects. For instances, they improved their finance, HR and admin system from the on-job trainings that provided through CARE, in addition to building technical capacity on VSLA methodology, REFLECT methodology, and Positive deviance Hearth approach.</t>
  </si>
  <si>
    <t>Managing the partner expectation was one of the main challenge of this year.</t>
  </si>
  <si>
    <t>Giving flexible room and opportunity for the local partner to lead the planing and the implementation is considered by the team as a promising practice that other local NGOs look at it as successful model.</t>
  </si>
  <si>
    <t>The project baseline report and the validation study of the cash grant methodology and the vocational training are kept with CARE Sudan filing system.</t>
  </si>
  <si>
    <t>Provision of WASH Services to South Sudanese Population in South Kordofan</t>
  </si>
  <si>
    <t>US1PC</t>
  </si>
  <si>
    <t>UNHCR</t>
  </si>
  <si>
    <t>Tesfaye Mohammed Hussien</t>
  </si>
  <si>
    <t>WASH Advisor</t>
  </si>
  <si>
    <t>Provision of sufficient safe and clean water, adequate sanitation facilities and appropriate Hygiene promotion activities for  the South Sudanese refugees and the most vulnerable host communities residing in Nine Sites in Abujbiah and Ellirir localities.</t>
  </si>
  <si>
    <t>Sudan, in South Kordofan State (Abujbiha and Ellrir localities)</t>
  </si>
  <si>
    <t>The project will support the South Sudanese Refugees (Women, Men, Children).</t>
  </si>
  <si>
    <t>South Sudanese refugees in South Kordofan are the projects population of concern and primary beneficiaries. Indirect beneficiaries are host community members of the areas where refugees are settled, also accessing WASH services.</t>
  </si>
  <si>
    <t>Joint Evaluation including CARE, UNHCR, local Authorities.</t>
  </si>
  <si>
    <t>No changes have been experienced.</t>
  </si>
  <si>
    <t>Targeting only the refugees while they are integrated with the host creates envy and further exacerbates the tension.  </t>
  </si>
  <si>
    <t>As provision of safe water was conitnuous from construction until end of project, total numbers of beneficiaries in every month were the same.</t>
  </si>
  <si>
    <t>Final report held at Country Office</t>
  </si>
  <si>
    <t>Provision of WASH services to South Sudanese refugees in South Kordofan and East Darfur States</t>
  </si>
  <si>
    <t>US1V4</t>
  </si>
  <si>
    <t>US1V5</t>
  </si>
  <si>
    <t>Tesfaye.hussein@careinternational.onmicrosoft.com</t>
  </si>
  <si>
    <t>The overarching objective of this intervention is to reduce the mortality rate among 31,735 South Sudanese refugees residing in the targeted areas of Abu Jubeha and El Liri localities of South Kordofan State and Al Nimir camp of East Darfur State and ensure their protection though the provision of critically needed WASH services.</t>
  </si>
  <si>
    <t>Abu Jubeha and El Liri localities of South Kordofan State and Al Nimir camp of East Darfur State</t>
  </si>
  <si>
    <t>Refugees</t>
  </si>
  <si>
    <t>Direct: refugees. Indirect: host communities surrounding camps</t>
  </si>
  <si>
    <t>Formation of WASH committees in camps</t>
  </si>
  <si>
    <t>The additional 10,971 refugees were as a result of the new influxes to the project areas during the reporting period and the expansion to the additional site (El Ferdous).</t>
  </si>
  <si>
    <t>Sudan Emergency Response and Early Livelihoods Recovery</t>
  </si>
  <si>
    <t>US1TJ</t>
  </si>
  <si>
    <t>tesafye.hussein@careinternational.onmicrsoft.com</t>
  </si>
  <si>
    <t>This project will support sustainable water supply and sanitation and hygiene</t>
  </si>
  <si>
    <t>Alabassiya and Abukarshola localities in South Kordofan state, Sudan</t>
  </si>
  <si>
    <t>12,500 conflict affected and underserved community members and IDPs</t>
  </si>
  <si>
    <t>Direct beneficiaries only. Because a large part of the project was new and rehabilited water sources, direct beneficiaries were calculated as those receiving benefits from safe water and all other activities were for same households within this group, so to avoid double counting, were not included. Therefore, no indirect beneficiaries were calculated.</t>
  </si>
  <si>
    <t>The project ensured 45% female participation in planned trainings. This allowed women to take leadership roles in their community and influence decisions that affect their wellbeing and that of their children.</t>
  </si>
  <si>
    <t>EVIs and disabled peoples concerns needs to be accounted for with regards to CLTS implementation</t>
  </si>
  <si>
    <t>Project proposal and report are held at Country Office</t>
  </si>
  <si>
    <t>Sustaining equitable WASH services for conflict affected IDPs population in South Darfur and South Kordofan and underserved populationin South Kordofan.</t>
  </si>
  <si>
    <t>US1KJ</t>
  </si>
  <si>
    <t>Tesafye Hussein</t>
  </si>
  <si>
    <t>CARE will continue to provide life-saving services to the most needy men and women and children in health, WASH and nutrition</t>
  </si>
  <si>
    <t>Water sources were rahbilitated in the same area that other activities were conducted, so only households receiving water sevrices were calculated to avoid double counting. This is also the reason why no indirect beneficiaries were calculated.</t>
  </si>
  <si>
    <t>Project proposal and reports held at Country Office</t>
  </si>
  <si>
    <t>Reducing morbidity and malnutrition rates and increasing self-sufficiency through integrated WASH responses in East Darfur and South Darfur, Sudan</t>
  </si>
  <si>
    <t>NL192</t>
  </si>
  <si>
    <t>Increasing and sustaining equitable access to safe watr, environmental sanitation and safe hygiene practices among IDPs and conflict affected vulnerable people in East and South Darfur. (2) Providing emergency WASH assistance to newly arrived South Sudanese refugees in Kario camp, East Darfur State.</t>
  </si>
  <si>
    <t>Alsalam IDP camp, Kalma IDO camp, Gereia IDP camp and Kubum Locality in South Darfur. Ed Daein Locality (Khor Omer refugee settlement), Yassin Locality and Alsalaya Locality in East Darfur.</t>
  </si>
  <si>
    <t>Chronically vulnerable people, including returnees, host communities IDPs and South Sudanese refugees</t>
  </si>
  <si>
    <t>Direct beneficiaires only calculated, as water sources rehabilitated and constructed, meaning entire household received benefit. All other activities for same people within these areas receiving water benefit,so to avoid double counting, not included on top.</t>
  </si>
  <si>
    <t>KAP Survey conducted January 2017</t>
  </si>
  <si>
    <t>Establishment of WASH committees</t>
  </si>
  <si>
    <t>Locality changed for refugees, as they were moved to Kario and Al Nimir refugee camps in East Darfur, from Khor Omer camp.</t>
  </si>
  <si>
    <t>After conducting a gender analysis in Kario refugee camp, the latrine design was changed based on women's request for more space and privacy.</t>
  </si>
  <si>
    <t>The establishment of a central WASH committee in IDP camps with all implementing partners (ARC, Oxfam, WES) to harmonise and standardise responses and implementation in all the sectors of the camp.</t>
  </si>
  <si>
    <t>Project proposal, interim report, final report and Assessments are held at Country Office.</t>
  </si>
  <si>
    <t>WASH Services for South Sudanese Refugees in Al Nimir, East Darfur.</t>
  </si>
  <si>
    <t>US1SL</t>
  </si>
  <si>
    <t>. CIS will work as part of a consortium led by UNHCR to support initial site development and critical life-saving assistance for 10,000 refugees (6more than 8,000 currently verified existing caseload plus and 4,000 anticipated new arrivals) in Al Nimir ) to increase access to safe water supply; promote improved hygiene practices; and improve sanitation conditions by constructing latrines and managing cleaning campaigns.</t>
  </si>
  <si>
    <t>Al Nimir refugee camp, East Darfur, Sudan</t>
  </si>
  <si>
    <t>Refugees.</t>
  </si>
  <si>
    <t>Direct: refugees in the camp. Indirect: host community members.  As refugees all within the refugee camp, and all households benefitted from water source, indirect beneficiaries were those within the host communities surrounding the camp who might receive water services, but would mostly benefit from not having refugees take from their ater source.</t>
  </si>
  <si>
    <t>Project Proposal and final report are held at Country Office.</t>
  </si>
  <si>
    <t>Enhancing the Social Wellbeing of IDPS, Refugees and Host Populations in South Kordofan through a comprehensive Multisector social Services package-Pilot Consortium</t>
  </si>
  <si>
    <t>US1RA</t>
  </si>
  <si>
    <t>To reduce the impact of conflict and displacement on the affected 70974 women, men, boys, girls of Abugibeha Rashad and Elabbassyia localities by providing timely protection and lifesaving services that includes provision access to safe water, hygiene and sanitation, health and nutrition, education and NFIs.</t>
  </si>
  <si>
    <t>Abugibeha Rashad and Elabbassyia localities in South Kordofan State, Sudan.</t>
  </si>
  <si>
    <t>IDPs, refugees anf host communities: men, women boys and girls</t>
  </si>
  <si>
    <t>Direct: IDPs, refugees and host communities. WASH activities reached all households targeted, and to avoid double-counting, no other beneficiaries were calculated for indirect, as entire household benefitted from water sources.</t>
  </si>
  <si>
    <t>Community involvement in management and support for health facilities instigated</t>
  </si>
  <si>
    <t>According to the sector needs, the project shifted from Rashad locality to Al Abassiya locality to implement in Um Alghra and Hay Almadares clinics, but unfortunately Hay Almadres clinic was not ready as it was run previously by Sudanese Red Crescent Society (SRCS) and was not yet handed over to CIS. While the State Ministry of Health (SMoH) ordered that hand over to occur, the process took a long time. In the meantime, CIS provided services from a rental house in the same location.</t>
  </si>
  <si>
    <t>45 medical cadres (22 females &amp; 23 males) were seconded from the State Ministry of Health (SMoH) to support implementation and delivery of health services</t>
  </si>
  <si>
    <t>Completed the construction of the new Umalgora health facility through community participation, now functioning.</t>
  </si>
  <si>
    <t>Inflation fluctuations are expected to affect all project budget line items and may lead to budget modifications and amendments on some key budget line items e.g. medical, equipment, drugs, incentives for health cadres, etc.</t>
  </si>
  <si>
    <t>Suspension of project activities by the MOH in the month of February 2017, due to misunderstandings and lack of sharing of information among ministry departments occurred. It took ten days, but after a large meeting attended by the consortium lead, OCHA, WHO and ministry departments and the acting DG, another letter was issued for the resumption of project activities in all health facilities.  </t>
  </si>
  <si>
    <t>Project proposal and report held at country office</t>
  </si>
  <si>
    <t>Promoting Peace in East Darfur</t>
  </si>
  <si>
    <t>US1O4</t>
  </si>
  <si>
    <t>Ibrahim Elfatih</t>
  </si>
  <si>
    <t>elfatih.ibrahim@care.org</t>
  </si>
  <si>
    <t>moges.tefera@care.org</t>
  </si>
  <si>
    <t>Peace co-existence among communities in the three localities of Abu-Karinka, Assalaya and ED Deain of East DarfurState  for Early Recovery and Stability Through Trust and Confidence building</t>
  </si>
  <si>
    <t>Three Localities Abu-Karinka, Assalaya and ED Deain of East Darfur State</t>
  </si>
  <si>
    <t>Farmers and Pastoralists</t>
  </si>
  <si>
    <t>Direct: the members of the communities who receive the benefits from improved peace. Because all direct beneficiaries were calculated as entire communities, no indirect beneficiaries calculated.</t>
  </si>
  <si>
    <t>Peace building</t>
  </si>
  <si>
    <t>Future Evaluation will be carried out through evaluation tools the methodology of the evaluation are direct interviews with the beneficiaries and / or FGD</t>
  </si>
  <si>
    <t>Creation of Community Based Resolution Mechanisms in each of the 6 villages, to help deal with conflicts arising. Establishing Village Development committees, sectoral specific committees, womens and youth groups in each village. Resource management mechanisms work on how to improve use of resources in the village, such as veterinary posts for pastoraists, improved health services, improved education, improved agriculture through Ministry of Agriculture</t>
  </si>
  <si>
    <t>Creation of Community Based Resolution Mechanisms in each of the 6 villages, to help deal with conflicts arising. Establishing Village Development committees, sectoral specific committees, womens and youth groups in each village</t>
  </si>
  <si>
    <t>Enhancing the role of women in peace building by working with those women who traditionally sing songs of violence to start singing songs for peace</t>
  </si>
  <si>
    <t>Delays and difficulties in the region of East Darfur have caused for delays in implementation, as there are many issues with this region</t>
  </si>
  <si>
    <t>Propject proposal and interim reports are held at Country Office</t>
  </si>
  <si>
    <t>Switzerland</t>
  </si>
  <si>
    <t>Humanitarian Advocacy (Grand Bargain Gender)</t>
  </si>
  <si>
    <t>Gareth Price-Jones</t>
  </si>
  <si>
    <t>Senior Humanitarian Policy and Advocacy Coordinator</t>
  </si>
  <si>
    <t>price-jones@careinternational.org</t>
  </si>
  <si>
    <t>1) Strengthen participation by women from crisis-affected communities and local womens groups in decision-making, project implementation and accountability efforts across humanitarian assistance and protection, disaster risk reduction and peacebuilding</t>
  </si>
  <si>
    <t>Global Humanitarian hubs (Geneva, New York, Brussels, London)</t>
  </si>
  <si>
    <t>All affected people who are reached by the humanitarian ecosystem (which includes the UN, Humanitarian Donors, INGOs and NNGOs, and to a lesser extent governments of affected countries)</t>
  </si>
  <si>
    <t>Direct participants are those who we have directly reached through our advocacy including those who attend CARE meetings and briefings, individual lobby targets, and those reached by published briefing notes etc. They include senior diplomats, UN and NGO leaders, local NGO leaders, peer colleagues, academics and others. This group remains gender-biased at about 2/3rd men, and is estimated based on attendance sheets, contacts etc. Because this work influences global policy applying to all members of the global Humanitarian ecosystem, indirect participants includes the entire beneficiaries of humanitarian action, currently estimated in the Global Humanitarian Overview 2017. As these numbers are not gender disaggregated we have used the UNwomen estimate that 50% of affected people are women.</t>
  </si>
  <si>
    <t>Improved gendering of existing policy conversations</t>
  </si>
  <si>
    <t>New policy approaches</t>
  </si>
  <si>
    <t>Humanitarian Advocacy (Grand Bargain Localisation Workstream/ Charter4Change)</t>
  </si>
  <si>
    <t>Frederique Lehoux</t>
  </si>
  <si>
    <t>Parnership Coordinator</t>
  </si>
  <si>
    <t>lehoux@careinternational.org</t>
  </si>
  <si>
    <t>A shift from internationally-led humanitarian response to national/local response. More specifically, it is an effort to put the ownership of action closer to people delivering and receiving aid. This includes bringing decisions about disaster prevention and response closer to affected people and to local actors servicing them government, civil society, community groups.</t>
  </si>
  <si>
    <t>Humanitarian Advocacy (Grand Bargain Needs Assessment Workstream)</t>
  </si>
  <si>
    <t>To ensure that donors continue to support and fund principled humanitarian needs assessments by aid providers (including CARE) maintaining their independence from donors and affected country governments.</t>
  </si>
  <si>
    <t>Direct participants are those who we have directly reached through our advocacy including those who attend CARE meetings and briefings, individual lobby targets, and those reached by published briefing notes etc. They include senior diplomats, UN and NGO leaders, local NGO leaders, peer colleagues, academics and others. This group is less gender biased than other Geneva level advocacy groups, and is estimated based on attendance sheets, contacts etc. Because this work influences global policy applying to all members of the global Humanitarian ecosystem, indirect participants includes the entire beneficiaries of humanitarian action, currently estimated in the Global Humanitarian Overview 2017. As these numbers are not gender disaggregated we have used the UNwomen estimate that 50% of affected people are women.</t>
  </si>
  <si>
    <t>Humanitarian Advocacy (Humanitarian Program Cycle)</t>
  </si>
  <si>
    <t>To ensure that Humanitarian Strategic Planning processes and their associated UN appeals are accessible to and reference NGO humanitarian programming</t>
  </si>
  <si>
    <t>Strong ongoing impact on reality-checking how the HPC impacts on response decisions in NGOs. Strong influence on peer NGO thinking. Only major NGO voice in this discussion despite field impact.</t>
  </si>
  <si>
    <t>Humanitarian Advocacy (Protection of Humanitarians)</t>
  </si>
  <si>
    <t>To increase the concrete political or diplomatic costs imposed on armed actors of attacking humanitarians</t>
  </si>
  <si>
    <t>Direct participants are those who we have directly reached through our advocacy including those who attend CARE meetings and briefings, an ATHA webinar which reached about 180 people, individual lobby targets, and those reached by published briefing notes etc. They include senior diplomats, UN and NGO leaders, local NGO leaders, peer colleagues, academics and others. This group is less gender biased than other Geneva level advocacy groups, and is estimated based on attendance sheets, contacts etc. Because this work influences global policy applying to all members of the global Humanitarian ecosystem, indirect participants includes the entire beneficiaries of humanitarian action, currently estimated in the Global Humanitarian Overview 2017. As these numbers are not gender disaggregated we have used the UNwomen estimate that 50% of affected people are women.</t>
  </si>
  <si>
    <t>In particular strong focus on protecting civil society space</t>
  </si>
  <si>
    <t>Humanitarian Advocacy (Yemen)</t>
  </si>
  <si>
    <t>Affected people in Yemen</t>
  </si>
  <si>
    <t>Direct participants are those who we have directly reached through our advocacy including those who attend CARE meetings and briefings, individual lobby targets, and those reached by published briefing notes etc. They include senior diplomats, UN and NGO leaders, local NGO leaders, peer colleagues, academics and others. This group is less gender biased than other Geneva level advocacy groups, and is estimated based on attendance sheets, contacts etc. Because this work influences global policy applying to Yemen, it should ultimately impact on all 18m affected people, though this may take some years to translate from policy change at capitals to impact in Yemen.</t>
  </si>
  <si>
    <t>Syria</t>
  </si>
  <si>
    <t>Developing resilience of households and communities affected by conflict in Syria</t>
  </si>
  <si>
    <t>GB643</t>
  </si>
  <si>
    <t>Lives are saved, civilians are protected, suffering is reduced and resilience is built. Families affected by the conflict have achieved a greater level of resilience, mitigate protection risks and negative coping mechanisms and participate in economic life.</t>
  </si>
  <si>
    <t>Syria, Rural Damascus (Douma) and Homs (Houla &amp; Ar-Rastan)</t>
  </si>
  <si>
    <t>Basic needs will be provided to households that are extremely vulnerable and require assistance to meet their urgent basic needs. During periods of high insecurity and violence, rapid humanitarian response and protection support will be provided to communities displaced or affected by the violence in the selected geographic locations .</t>
  </si>
  <si>
    <t>Direct participants are individual that directly benefit from the project's actions, such as recipients of food assistance, and winterization kits assistance. Indirect participants are the family members, community as they are impacted in some way by the project (e.g. adopting an innovation  as sustainable heating materials which they learned from a direct participant)</t>
  </si>
  <si>
    <t>Use of sustainable heating materials during the coming winter season; Rely on new combustible that are clean, economic and renewable; Reduce the quantity of fossile energy used and preserve the environment.</t>
  </si>
  <si>
    <t>We work through a partnership model (100% implementation by the partner)</t>
  </si>
  <si>
    <t>Enhancing the resilience of the affected population in Syria (displaced populations and host communities</t>
  </si>
  <si>
    <t>CNORSY0002</t>
  </si>
  <si>
    <t>Government - Sweden</t>
  </si>
  <si>
    <t>Contribute to enhancing the resilience of the affected population in Syria (displaced populations2 and host communities).</t>
  </si>
  <si>
    <t>Syria, Rural Damascus, Eastern Ghouta Syria, Homs, Northern Rural Homs Countryside</t>
  </si>
  <si>
    <t>Households and communities across Syria have increased livelihood opportunities and are better able to adapt to and cope with shocks.</t>
  </si>
  <si>
    <t>The direct participants are the famers and the indirect participants are the Household members. The average household size if 5 members/household.</t>
  </si>
  <si>
    <t>The Porject aims to support the local farmers who lost their livelihood and provide them with agriculutral inputs in addition to the operational costs so they will be able again to farm their lands and recover their livelihoods.</t>
  </si>
  <si>
    <t>Rapid Response to Aleppo Emergency</t>
  </si>
  <si>
    <t>CAUSTR0007</t>
  </si>
  <si>
    <t>Maithree Abeyrathna</t>
  </si>
  <si>
    <t>CARE Turkey - ECHO &amp; Dutch MoFA Program Manager (Former)</t>
  </si>
  <si>
    <t>Maithree.abeyrathna@care.org</t>
  </si>
  <si>
    <t>3,600 recently displaced persons are better able to meet basic needs through increased access to essential food supplies.</t>
  </si>
  <si>
    <t>Syria: Aleppo governorate, Menbij</t>
  </si>
  <si>
    <t>Recently displaced persons</t>
  </si>
  <si>
    <t>The project’s objective was to improve the food security for newly displaced people from the Aleppo crisis in Membij district, Aleppo governorate by providing essential food baskets for in-kind distribution to 1,080 IDP households.  CARE through its local implementing NGO Syrian partner Khayr distributed 2,155 Food baskets to 1,080 households or 7,094 beneficiaries.
The procurement process for the food baskets commenced in early September in order to quickly respond and provide support to IDPs from Aleppo City. However, there were various procurement challenges faced by  Khayr which delayed the delivery of these food baskets. First, due to border closures the only way to reach Membij was through Al Hassakah governorate which increased risk and potential for diversion of the aid. Therefore,  local procurement was agreed by CARE and Khayr as best option to mitigate such risks, however  posed alternate  challenges to the implementation plan: 
1- Lack of items availability the local market. 
2- Limited number of vendors willing to deliver the food baskets to Membij.
3- Changes in the tax amounts levied on the food items, resulting in  price fluctuations  and resulting in invalidity of the vendor quotations.
These aforementioned realities impacted implementation plan as the final selected approved vendor  was ultimately unable  to fulfil the contract due to the market price fluctuations thus delaying the contracting. 
However, after reconvening the procurement committee the vendor contract was finally issued and the delivery of items proceeded  from 19- 22 October 2016.</t>
  </si>
  <si>
    <t>A Rapid Market Assessment needs to be conducted before initiating  procurement processes. Whenever there is an emergency response  CARE needs to work closely with partner organizations to apply  emergency procurement procedures which are adaptable and flexible to the changing market conditions inside Syria.</t>
  </si>
  <si>
    <t>In order to avoid delays in the rapid procurement processes, new contractual clauses were added to  local procurement contracts to decrease the bargaining power of supplier as per the following: 
1- Vendors can bid for the contract only if the designated items are available within the proximity  of the vendors’ location.
2- In case of failure to supply the purchased items, the vendor is subject to pay 1% of the total contract value as a penalty.</t>
  </si>
  <si>
    <t>Packaging of kits must be undertaken in consideration of transport requirements to ensure beneficiaries are able to carry the kits (i.e. boxes have handles etc.) as well as that there are volunteers or that the distribution teams can help carry kits for those who need assistance.</t>
  </si>
  <si>
    <t>Vouchers to meet basic and essential needs of displaced poulations fleeing Aleppo</t>
  </si>
  <si>
    <t>CAUSTR0006</t>
  </si>
  <si>
    <t>DOINFR2255</t>
  </si>
  <si>
    <t>Wouter Schaap</t>
  </si>
  <si>
    <t>CARE Syria - Country Director</t>
  </si>
  <si>
    <t>Wouter.Schaap@care.org</t>
  </si>
  <si>
    <t>Ensure that 710 HH of the most vulnerable and newly-internally displaced populations affected by the crisis in Aleppo governorate are able to meet their basic and essential needs, with improved access to food, hygiene and urgent non-food items, and increased capacity to withstand the harsh winter conditions.</t>
  </si>
  <si>
    <t>Syria: Aleppo governorate, Jebel Saman district</t>
  </si>
  <si>
    <t>Most vulnerable and newly-internally displaced populations affected by the crisis in Aleppo governorate</t>
  </si>
  <si>
    <t>Relevant findings from this assessment will be incorporated into the response in order to ensure appropriate gender considerations are factored into implementation and monitoring processes.</t>
  </si>
  <si>
    <t>The MEAL framework for this project included systematic but simple, timely, and gender-sensitive mechanisms for measurement of project achievement.</t>
  </si>
  <si>
    <t xml:space="preserve">It places the beneficiaries as active participants in providing for the welfare of their families in a more dignified way than receiving goods that they can’t decide on. </t>
  </si>
  <si>
    <t xml:space="preserve">The importance of having pre-positioned items to minimize the needed period for response </t>
  </si>
  <si>
    <t>Cross-border emergency aid in southern Syria</t>
  </si>
  <si>
    <t>CDEUSY0008</t>
  </si>
  <si>
    <t>Randa Snobar</t>
  </si>
  <si>
    <t>randa.snobar@care.org</t>
  </si>
  <si>
    <t>Zaid Abu Khadra</t>
  </si>
  <si>
    <t>Senior Prgogram Officer</t>
  </si>
  <si>
    <t>AbuKhadra.Zaid@care.org</t>
  </si>
  <si>
    <t>Provide humanitarian assistance inside southern Syria through small NGOs and CBOs, while building the capacity of these organizations.</t>
  </si>
  <si>
    <t>South of Syria - Dara'a and Qunietra</t>
  </si>
  <si>
    <t>Vulnerable populations, such as IDPs and their host families, affected by an immediate emergency and in need of humanitarian assistance and Syrian Organization/CBOs with a strong presence Daraa and Qunietra, good acceptance with host communities and the ability to access the most vulnerable communities, and populations in geographically hard-to-reach areas.</t>
  </si>
  <si>
    <t>Orgnizational Development</t>
  </si>
  <si>
    <t>An after action review will be conducted at the end of the program</t>
  </si>
  <si>
    <t>CARE identified a strategic partner for the implementation of this program and are discussign now ways forward for scale up</t>
  </si>
  <si>
    <t>Conductign a comprehesive capacity buildign plan for local NGOs</t>
  </si>
  <si>
    <t>A strategic partnership with an umberalla orgnization</t>
  </si>
  <si>
    <t>Emergency relief in response to sudden spikes in humanitarian needs</t>
  </si>
  <si>
    <t>DE772</t>
  </si>
  <si>
    <t>Malgorzata Markert</t>
  </si>
  <si>
    <t>Area Manager</t>
  </si>
  <si>
    <t>markert@care.de</t>
  </si>
  <si>
    <t>To provide emergency relief to recently displaced families in order to help them cope with the shock of displacement</t>
  </si>
  <si>
    <t>Syria, Northern Homs Countryside, Talbiseh</t>
  </si>
  <si>
    <t>The project will target families directly affected by a crisis, i.e. displacement, imminent siege or a natural disaster. Among this target group, the most vulnerable families are selected based on agreed vulnerability criteria reviewed by the partner, with priority given to IDPs and in particular recently displaced families, and among them female-and child-headed households and households with a large number of dependents and/or members with special needs (infants, pregnant and lactating women, disabled or injured people).</t>
  </si>
  <si>
    <t>Provision of essential emergency relief supplies to displaced populations fleeing Aleppo</t>
  </si>
  <si>
    <t>CFRATR0002</t>
  </si>
  <si>
    <t>Chele DeGruccio</t>
  </si>
  <si>
    <t>CARE Turkey Assistant Country Director - Programs (Former)</t>
  </si>
  <si>
    <t>chele.degruccio@care.org</t>
  </si>
  <si>
    <t>To ensure vulnerable and newly-internally displaced populations affected by the crisis in Aleppo governorate were able to meet basic and essential needs, and have increased capacity to prepare for winter.</t>
  </si>
  <si>
    <t>Syria: Aleppo governorate, Jebel Saman district, Daret Azza and Arareb sub-districts</t>
  </si>
  <si>
    <t>Newly arrived displaced people fleeing from Aleppo</t>
  </si>
  <si>
    <t>CARE Turkey, through its local implementing NGO partner, Ataa for Relief and Development (ATAA), distributed Winterization Kits to 250 households (HHs) – or 1445 beneficiaries – with the funding made available through the CARE France appeal. It has to be noted that the total number of the beneficiaries was slightly below the targeted figure of 1500, as the size of some households reached was less than the average standard household size of six persons on which responses are designed.</t>
  </si>
  <si>
    <t xml:space="preserve">Challenges encountered were primarily due to partner capacity issues related to inventory management, as well as long delays experienced at the border crossing with many other agencies and UN all sending trucks of aid supplies at same time thereby overwhelming border customs capacity. </t>
  </si>
  <si>
    <t>Dutch Relief Alliance: Syria Joint Response II</t>
  </si>
  <si>
    <t>CNLDTR0003</t>
  </si>
  <si>
    <t>Objective 1: Reduce vulnerability of targeted crisis affected Syrian households through the provision of life sustaining assistance to meet basic needs (in line with respective SO1 for both sectors in the 2016 Syria HRP)
Objective 2: To increase resilience of vulnerable Syrian households affected by the crisis through the provision of livelihoods support (in line with Objective 2 for FSA in the 2016 Syria HRP)</t>
  </si>
  <si>
    <t>Syria: Idleb governorate, Idleb and Armanaz districts; Aleppo governorate, Jebel Saman district</t>
  </si>
  <si>
    <t>CARE will target vulnerable IDP and host-community households for assistance. Specific additional selection criteria will be developed in coordination with the communities with priority given to (a) Female and child-headed households (b) Households with no income; and (c) Households headed by injured, disabled or elderly persons. With respect to livelihoods activities, targeting will include a consideration for previous experience, interest and motivation to undertake livelihoods and agriculture work, viable business ideas and the ability to work, in addition to vulnerability factors and gender/age-related concerns.</t>
  </si>
  <si>
    <t>CARE has developed an e-voucher system to manage the distribution inside Syria instead of the normal distributions. CARE purchased the wheat seeds from farmers instead of purchasing it from vendors</t>
  </si>
  <si>
    <t xml:space="preserve">In addition to the monitoring activities, Shafak has in place an accountability system where information is shared effectively with beneficiaries regarding the different project activities. </t>
  </si>
  <si>
    <t xml:space="preserve">Shafak has an effective system for sharing information and transparency. During the different project activities, information was shared timely with the targeted community. </t>
  </si>
  <si>
    <t>Extending the period of cash vouchers distribution in order to decrease the over-crowding and pressure on the vendors, especially during the first few days of redemption.</t>
  </si>
  <si>
    <t>Testing the financial software at least for a period of two (2) weeks to identify whether it needs any improvement or fix any bugs in the program.</t>
  </si>
  <si>
    <t>Establishing a better working mechanism for redemption, which will work according to the redemption hours.</t>
  </si>
  <si>
    <t>Syria Joint Response III</t>
  </si>
  <si>
    <t>CNLDTR0007</t>
  </si>
  <si>
    <t>Abdulmalik Swaleh</t>
  </si>
  <si>
    <t>CARE Turkey - Assistant Country Director - Program Support</t>
  </si>
  <si>
    <t>Abdulmalik.Swaleh@care.org</t>
  </si>
  <si>
    <t>Mohamad Eid Hamsho</t>
  </si>
  <si>
    <t>CARE Syria North Hub - ECHO &amp; Dutch MoFA Program Manager</t>
  </si>
  <si>
    <t>MohamadEid.Hamsho@care.org</t>
  </si>
  <si>
    <t>Provide life-saving assistance to the most vulnerable people as well as prevent, mitigate and respond to protection risks and support the protective environment in Syria through Food security &amp; Livelihoods, Protection and Basic needs support activities.</t>
  </si>
  <si>
    <t>Syria: Idleb governorate, Armanaz and Kafr Nabal districts</t>
  </si>
  <si>
    <t>During this period (March 2017-June 2017) there was no activity under this project.</t>
  </si>
  <si>
    <t xml:space="preserve">Project has made activities adjustment in terms of protection activities by adding the dignity kits distribution as part of CARE response for the women in need and GBV survivors </t>
  </si>
  <si>
    <t>Outreach messages with more focus in GBV and CP</t>
  </si>
  <si>
    <t>Syria Resilience Consortium</t>
  </si>
  <si>
    <t>CNORTR0001</t>
  </si>
  <si>
    <t>Swedish International Development Cooperation Agency</t>
  </si>
  <si>
    <t>Christina Northey</t>
  </si>
  <si>
    <t>CARE Turkey - Country Director</t>
  </si>
  <si>
    <t>Christina.Northey@care.org</t>
  </si>
  <si>
    <t>Nawras Al-Husein</t>
  </si>
  <si>
    <t>CARE Syria North Hub - Syria Resilience Consortium Program Manager</t>
  </si>
  <si>
    <t>nawras.alhusein@care.org</t>
  </si>
  <si>
    <t>Households and communities across Syria have increased livelihoods protection and support opportunities and are better able to adapt to and cope with shocks.</t>
  </si>
  <si>
    <t>North:
- Idleb governorate
- Aleppo governorate</t>
  </si>
  <si>
    <t>The Action will primarily target areas hosting high numbers of displaced persons in both rural and urban areas across Syria. Within these areas, the Action will support both local host communities and displaced persons with different support components. The Action aims to reach a participation of at least 25% women across all results and 50% women’s participation in trainings. Taking into account that up-to 25% of the Syrian population now live with a disability, the project aims at including at least 10% of PWDs across all activities. Youth and young men and women will be a primarily target group for vocational training and internships/apprenticeships as many lack access to education or employment opportunities.</t>
  </si>
  <si>
    <t>During this period (september 2016-June 2017) there was no activity under this project.</t>
  </si>
  <si>
    <t>Evaluation planned at end of consortium 2020. We are unable to share the baseline report as we have strict information sharing protocols in place and there is not external version.</t>
  </si>
  <si>
    <t>Providing the more vulnerable beneficiaries with animals as assets to help them to resist the poverty
Training the poor people on some life skills and vocations in order to help individuals to develop their qualification and earn money which reduce the poverty negative effect.</t>
  </si>
  <si>
    <t>Care is a part of the Syrian Resilience Consortium (SRC) which include several organizations and there a lot of coordination between them and strategic alliance.</t>
  </si>
  <si>
    <t>Care and the partner support rehabilitation of inferastructure in the civil society, also did a lot of stakeholder engagement sessions for livelihood inclusion, in addition Care' partner coordinate with the local authoroties and the local council . Care and partner support establishing diagnostict eppedomiological diseases of animals in I dleb university which will serve or the civil society and the livestock keeper.</t>
  </si>
  <si>
    <t>Care and the partner adjust the rapid need assessment to target the female and the disable people and elderly in FGDs and KIIs, Also the eligibility criteria were adjusted to more focus on the females by giving these criteria more weightage.</t>
  </si>
  <si>
    <t>Emgaging local stakeholder and local council</t>
  </si>
  <si>
    <t>Engaging women</t>
  </si>
  <si>
    <t>Community planning for the rehabilitation of the most required inferastructure.</t>
  </si>
  <si>
    <t>Promissing practice is establishing veternary diagnostic laboratory in Idleb university to do sustainability in the epidemiological animals diseases.</t>
  </si>
  <si>
    <t>Challenges like the restriction roles of the turky border, also the bad security situation and internal conflict of the armed groups</t>
  </si>
  <si>
    <t>More coordination from the other NGO/INGO</t>
  </si>
  <si>
    <t>Syria Reslience Consortium</t>
  </si>
  <si>
    <t>CNORTR0002</t>
  </si>
  <si>
    <t>Holly Solberg</t>
  </si>
  <si>
    <t>MENA Regional Director</t>
  </si>
  <si>
    <t xml:space="preserve">hsolberg@care.org </t>
  </si>
  <si>
    <t>Support conflict-affected populations, communities, and institutions in Syria to maintain, restore, and enhance inclusive livelihoods, thus contributing to their resilience.</t>
  </si>
  <si>
    <t>Syria:
North:
- Idleb governorate 
- Aleppo governorate</t>
  </si>
  <si>
    <t>The project will target conflict-affected men and women, in particular displaced populations/host communities, female heads of households, persons with disabilities/injuries (PWD/Is) and youth, as well as staff members of local organizations and local stakeholders, including representatives of authorities in Syria. The target group encompasses all displaced persons/host community members who directly participate in project activities (skills training, cash-for-work (CFW) etc.) or directly receive services or input (business grants, agricultural input etc.) as well as staff members of local organizations or other local stakeholders, e.g. representatives of local authorities who participate in trainings or discussions.</t>
  </si>
  <si>
    <t>During this period (December 2016-June 2017) there was no activity under this project.</t>
  </si>
  <si>
    <t xml:space="preserve">Evaluation planned at end of consortium 2020. We are unable to share the baseline report as we have strict information sharing protocols in place and there is not external version. </t>
  </si>
  <si>
    <t>Provide people with temporary income throw cash for work and people enrollement</t>
  </si>
  <si>
    <t>Coordination among the Syria Reseileince Consortium (SRC) and among the local NGO partner.</t>
  </si>
  <si>
    <t>Support the civil society through rehabilitation of the inferastructure which make the life of people easier.</t>
  </si>
  <si>
    <t>Yes, we did a lot od adjusment in tools design, assessment, registration to make sure that female and disable people are included in this project.</t>
  </si>
  <si>
    <t xml:space="preserve">Coomunity planning to determine the more required projects to be rehabilitated </t>
  </si>
  <si>
    <t xml:space="preserve">Promissing practices: Rehabilitation of some strategic inferastruction projects </t>
  </si>
  <si>
    <t>Whole of Syria Consortium</t>
  </si>
  <si>
    <t>Fidaa F. Haddad</t>
  </si>
  <si>
    <t>Food Security &amp; Livelihoods Program Manager</t>
  </si>
  <si>
    <t>Haddad, Fidaa &lt;Fidaa.Haddad@care.org&gt;</t>
  </si>
  <si>
    <t>Mahmoud Salah Eddin</t>
  </si>
  <si>
    <t>Deputy Program Manager</t>
  </si>
  <si>
    <t>Kharouf, Mahmoud &lt;Mahmoud.Kharouf@care.org&gt;</t>
  </si>
  <si>
    <t>Contribute to enhancing the resilience of the affected, population in Syria (displaced populations and host communities).</t>
  </si>
  <si>
    <t>Syria, Dara'a and Quneitra Governorates, Quneitra Governorates: Al Khashniyyeh, Quneitra Central, Dara'a Governorates: Dara'a, Izra</t>
  </si>
  <si>
    <t>Households and communities across Syria have increased livelihood opportunities and are better able to adapt to and cope with shocks. Individuals have access to temporary income to mitigate negative coping mechanisms.</t>
  </si>
  <si>
    <t>The direct beneficiaries receive our assistance directly. The indirect beneficiaries: we multiply the direct by 5 as the average number of individuals in the HH are 6.</t>
  </si>
  <si>
    <t>After the Organizational capacity assessment for the partners, CARE developed capacity building plan in order to strenghthen the partners capacity on Gender main streaming, safty and security, finance and procurment.</t>
  </si>
  <si>
    <t>No adjusment or change.</t>
  </si>
  <si>
    <t>CAUTJO0025, CDEUJO0008, CDEUJO0009 Project co-financed by three donors Emergency Support and Preparednes in southern Syria</t>
  </si>
  <si>
    <t>CAUTJO0025</t>
  </si>
  <si>
    <t>CDEUJO0008</t>
  </si>
  <si>
    <t>CDEUJO0009</t>
  </si>
  <si>
    <t>Jennifer OLSON-SNELL</t>
  </si>
  <si>
    <t>Deputy Director Programs</t>
  </si>
  <si>
    <t>Duaa AL DARAWEESH</t>
  </si>
  <si>
    <t>Deputy Rapid Response Manager</t>
  </si>
  <si>
    <t>To provide coordinated and timely life-saving and life-sustaining humanitarian assistance to people in need, prioritizing the most vulnerable</t>
  </si>
  <si>
    <t>Dar'a and Quneitra governorates, southern Syria</t>
  </si>
  <si>
    <t>IDPs and host families</t>
  </si>
  <si>
    <t>Emergency response for crisis affected communities in Aleppo</t>
  </si>
  <si>
    <t>CAUTTR0009</t>
  </si>
  <si>
    <t>Provision of urgent and basic humanitarian assistance to new IDPs and host communities affected by the recent escalation of violence in Aleppo.</t>
  </si>
  <si>
    <t>Syria: Idleb governorate, Jebel Saman district, Atareb and Daret Azza sub-districts</t>
  </si>
  <si>
    <t>12,000 individuals (2000 HH) in IDP and host communities in in the sub-districts of Atareb and Daret Azza in Western Aleppo governorate and if accessible, neighbourhoods in Aleppo city</t>
  </si>
  <si>
    <t xml:space="preserve">The targeted population was the most vulnerable households in Aleppo countryside – IDPs and Host Community. However, this was subjected to a change as the focus had to be shifted to the New Arrival of Internally Displaced Persons (IDPs) who started to arrive at Rural Aleppo West with the commencement of the evacuation of the populations from the Eastern Neighbourhoods of Aleppo which was prioritized by UN agencies, International Non-Government Organizations and Local Non-Government Organizations. </t>
  </si>
  <si>
    <t>It is recommended to do the procurement locally, as the beneficiaries are more likely to benefit more from the locally procured items than those procured from Turkey or elsewhere.</t>
  </si>
  <si>
    <t>Finishing the GAP at a very early stage of the project needs to be prioritized.</t>
  </si>
  <si>
    <t>Distribute hygiene items (children kits, lice shampoo, or tooth brush and toothpaste etc) to encourage people (especially children) to keep following hygiene messages.</t>
  </si>
  <si>
    <t>Integrated, multi-sector response to acute and urgent needs of vulnerable populations across Syria</t>
  </si>
  <si>
    <t>CAUTTR0010</t>
  </si>
  <si>
    <t>To address acute and urgent needs of vulnerable populations in Syria, through coordinated, multi-sector rapid response and provision of essential WASH assistance.</t>
  </si>
  <si>
    <t>Syria: Aleppo and Hama governorates</t>
  </si>
  <si>
    <t>Rapid response activities will target vulnerable populations, such as IDPs and their host families, affected by an immediate emergency and in need of humanitarian assistance ('unmet' needs). Among the vulnerable populations, CARE strives to identify the most vulnerable populations such as those living in hard-to-reach locations, newly displaced, female-headed households, child-headed households, households with a high dependency ratio (&gt; 5 dependents), persons with disabilities, older persons, as well as households without access to adequate shelter.</t>
  </si>
  <si>
    <t xml:space="preserve">We changed the designed of the Hygiene Kit to more customized for women, and we designed another kit for men </t>
  </si>
  <si>
    <t>MPV distribution for new arrivals (multi purpose vouchers)</t>
  </si>
  <si>
    <t>The important benefits of coordination with partners who are implementing on the ground, gained through attending partners meetings.</t>
  </si>
  <si>
    <t>Recognizing the need of signing an MOU with the targeted communities’ local councils to avoid any possible tensions, either involving the beneficiaries selection or for any other issue.</t>
  </si>
  <si>
    <t>AT585</t>
  </si>
  <si>
    <t>To address emergency and urgent needs of vulnerable populations in Syria, through coordinated, multi-sector rapid response and WASH support.</t>
  </si>
  <si>
    <t>Syria, Rural Damascus, Eastern Ghouta (Douma) and Northern Homs Countryside (Talbiseh)</t>
  </si>
  <si>
    <t>Rapid response activities targeted vulnerable populations, such as IDPs and their host families, affected by an immediate emergency and in need of humanitarian assistance. Vulnerability criteria: those living in hard-to-reach locations, newly displaced, female-headed households, child-headed households, households with a high dependency ratio (&gt; 5 dependents), persons with disabilities, older persons, as well as households without access to adequate shelter, elderly,Pregnant lactating women (PLW), and Disabled.</t>
  </si>
  <si>
    <t>Direct participants are individual that directly benefit from the project's actions, such as recipients of food assistance and NFIs kits distribution.</t>
  </si>
  <si>
    <t>Livelihoods and resilience support to people affected by the Syrian Crisis</t>
  </si>
  <si>
    <t>CAUTTR0004</t>
  </si>
  <si>
    <t>John Uniack Davis</t>
  </si>
  <si>
    <t>CARE Turkey Country Director (Former)</t>
  </si>
  <si>
    <t>john.davis@care.org</t>
  </si>
  <si>
    <t>To respond to the needs of vulnerable, conflict-affected women, men, girls, and boys from IDP and host communities in northern Syria through gender-sensitive programming that aims at rebuilding livelihoods and increasing resilience.</t>
  </si>
  <si>
    <t>Syria: Idleb Governorate: Harim District, Dana sub-district; Hassakeh Governorate: Qamishli District, Amuda sub-district.</t>
  </si>
  <si>
    <t>The Project aimed benefit an estimated 12,000 individuals from 2,000 households in the selected locations in Hassakeh and Idleb Governorates.  These Project participants saw an increase in their household income levels and a corresponding reduction in negative coping strategies (such as child labour and early marriage). In addition, 3,000 individuals, including 1,500 children and youth, saw an improvement in their psychosocial wellbeing. There was some level of overlap between people benefiting from the livelihoods support and psychosocial well-being components of the Project. A further 5000 individuals indirectly benefited from improved community cohesion and social relations between IDPs and host communities, and improved livelihoods infrastructure facilities.</t>
  </si>
  <si>
    <t>Evaluation currently being finalized.</t>
  </si>
  <si>
    <t xml:space="preserve">Supporting some public infrastructure for the society </t>
  </si>
  <si>
    <t xml:space="preserve">Most of the activities was designed and implemented after getting the feedback from the local communities such as PSS activities </t>
  </si>
  <si>
    <t xml:space="preserve">VSLAs is one of the relevant examples in this project </t>
  </si>
  <si>
    <t xml:space="preserve">LS vaccination campaign as one of the activities under the extension services provision </t>
  </si>
  <si>
    <t xml:space="preserve">Engaging women in the LH activities </t>
  </si>
  <si>
    <t>Developing resilience of households and communities affected by Conflict in Northern, Central and Southern Syria</t>
  </si>
  <si>
    <t>CGBRTR0009</t>
  </si>
  <si>
    <t>Arthur Molenaar</t>
  </si>
  <si>
    <t>arthur.molenaar@care.org</t>
  </si>
  <si>
    <t>Yaman Salam</t>
  </si>
  <si>
    <t>CARE Syria North Hub - DfID Program Manager</t>
  </si>
  <si>
    <t>yaman.salam@care.org</t>
  </si>
  <si>
    <t>The impact statement of this project is: “Lives saved, civilians protected, suffering reduced and resilience built”. The outcome statement for this project that will contribute to the above impact is: “Families affected by conflict have achieved a greater level of resilience’, mitigate protection risks and negative coping mechanisms and participate in economic life.”
The outputs that are designed to reach this outcome are:
1. Vulnerable households within targeted communities are supported through temporary income opportunities (particularly during lean times).
2. Vulnerable households within targeted communities are provided with multipurpose cash/voucher grants enabling them to meet their essential needs
3. Vulnerable households within targeted communities are provided with non-food items
4. Vulnerable households within targeted communities are provided with regular food assistance
5. A value chain plan is developed and implemented in targeted Syrian sub-districts to restore and expand livelihoods at the community level in the long term
6. Vulnerable individuals within targeted communities are provided with protection related information and access to specialised protection services and the capacity building of key CBO and NGO partners in protection is supported
7. In targeted communities affected by immediate shocks of besiegement and displacement the most vulnerable individuals are identified and supported through rapid humanitarian response
8. Monitoring and evaluation activities conducted and functioning complaints mechanisms established and used</t>
  </si>
  <si>
    <t>Syria:
Idleb governorate - Al Mara district's Ma’arrat An Nu’man, and Heish sub-districts and Idleb district's Saraquab and Taftnaz sub-districts)
Aleppo governorate - Jabel Saman district's Daret Aza and Atareb sub-districts)</t>
  </si>
  <si>
    <t>Targeting: vulnerabilities and gender
Targeting will be adapted to suit the nature of activities, context, needs and the anticipated overall outcome. The consideration of different vulnerabilities is at the very heart of the targeting process for all activities under this project.
Target group I: Temporary employment, basic needs and protection support (Outputs 1- 4 and 6) will be provided to households that are extremely vulnerable and require assistance to meet their urgent basic needs. The different needs of men, women, boys and girls will be factored in when designing assistance packages while the timing and location of temporary employment opportunities will be such that women are able to access and participate.
Target group II: For livelihoods activities linked to specific value chains, households demonstrating an interest and ability to take-up these initiatives (availability of household labour, land availability for cultivation and grazing, for example) and those who have participated in the value chain before the crisis will be targeted for assistance (Output 5). There will be a definite overlap between beneficiaries falling into Target group I and II since it will be part of the project’s intention to support households to graduate from basic needs support to livelihoods and income generation. Female-headed households, vulnerable IDPs, elderly people, and people with disabilities will be targeted with specific livelihoods activities they can undertake supported by a wider cooperative or women’s group. To encourage women to join the labour market, they will be encouraged to consider participating at various levels of the value chain (producers, processor).
Target group III: Stakeholders engaged at different links on the selected value chains will be supported as appropriate. This will include private sector actors, suppliers and traders (Output 5). Target group II and III will be clearly differentiated and reported on during implementation.
Target group IV: During periods of high insecurity and violence, rapid humanitarian response and protection support will be provided to communities displaced or affected by the violence in the selected geographic locations (Output 6 and 7). This target group may include people affected by displacement from Group I and II.
Target group V: CARE will target a range of CBOs and NGOs working inside Syria with capacity building support so that they can continue to sustainably expand on the protection and livelihoods services they offer and engage more actively in decision making at different levels, through effective advocacy. CARE will particularly target established and nascent women’s groups. While not falling into the classic definition of ‘beneficiary’ as with Groups I-IV, the group of NGOs and CBOs will ultimately have an impact on the lives of beneficiaries due to their increased skills, knowledge and overall effectiveness.</t>
  </si>
  <si>
    <t>Evaluation planned at end of project 2020. We are unable to share the baseline report as we have strict information sharing protocols in place and there is not external version.</t>
  </si>
  <si>
    <t>Through Providing Temprary income resources throug cash for work and provide basic needs ( MPG and NFI) and plnning for supporting value chains activities</t>
  </si>
  <si>
    <t>Providing temporary income resources (CfW) with providing the basic need linked with infrastructure rehabilitation and value chain support will lead to stregthening the civil society</t>
  </si>
  <si>
    <t>the adjasments that have been made were aiming to ensure women participating in the activites and support disable people in addition to ammending the projects' plans to ensure the integration and complemetery of the Projects' components</t>
  </si>
  <si>
    <t xml:space="preserve">Comminity Planning to enhance the participation of different stakeholers in the planning phase pf the project </t>
  </si>
  <si>
    <t xml:space="preserve">Engaging women in nominating CfW projects that suits women and includw women in Market assessments as community representatives  </t>
  </si>
  <si>
    <t>Promissing practices:  inferastructure Rehabilitation projects, Value chain support Projects</t>
  </si>
  <si>
    <t>A review of CARE’s use of the hawala system has been undertaken and recommendations for strengthening CARE’s approach to the use of informal money transfer agents have been identified, including increasing CARE’s vetting and due diligence processes and using Official Hawala Transfer Agents</t>
  </si>
  <si>
    <t xml:space="preserve">The use of hawala to transfer money by downstream partners inside Syria was a challange, Organisational assessments have been undertaken with all CARE downstream partners on which basis individual partner capacity building plans are being developed.  </t>
  </si>
  <si>
    <t>Strengthening the Resilience of Syrian Women Affected by the Crisis</t>
  </si>
  <si>
    <t>CCUKLB0004</t>
  </si>
  <si>
    <t>Provide PSS, Educational Courses and Vocational Training to Vulnerable Women in order to enable them to care for themselves, their families and communities</t>
  </si>
  <si>
    <t>Syria, Rural Damascus, Rural Damascus and Duma Districts</t>
  </si>
  <si>
    <t>CGBRTR0011</t>
  </si>
  <si>
    <t>Syria:
North: 
- Idleb governorate: Harim, al-Mar’a, Idleb districts
- Aleppo governorate:: Aleppo City, Azaz districts</t>
  </si>
  <si>
    <t>The Action will target a total number of approximately 24,441 conflict-affected men and women, in particular displaced populations/host communities, female heads of households, persons with disabilities (PWD) and youth, as well as staff members of local organizations and local stakeholders, including representatives of authorities in Syria. The target group encompasses all displaced persons/host community members who directly participate in project activities (skills training, cash-for-work (CFW) etc.) or directly receive services or input (business grants, agricultural input etc.) as well as staff members of local organizations or other local stakeholders, including representatives of local authorities who participate in trainings or discussions.</t>
  </si>
  <si>
    <t>Provide people temporary income through cash for work - consider the vulnerability criteria when choosing beneficiary criteria in targeted activities. Provide people with training to develop their life skill to earn money help them to reduce poverty effects .</t>
  </si>
  <si>
    <t>Coordination with the SRC consortium members in order to avoid any over laping during implementing, This consortium is high level of strategic alliance in the region.</t>
  </si>
  <si>
    <t>provide service to the civil society through conducting a lot of vital projects through cash for work (cleaning) - Rehabilitation of inferastructure provide benefit to the civil society. - engaement of local stake holder with some activities (during the beneficiaries selection process)</t>
  </si>
  <si>
    <t>There an adjusment in all tools and procedures to ensure inclusion of femele, elderly and disable people in all activities. - Selecting suitable vocation for female and disable people through vocational training implementing/ - the project target more than 50% of beneficiary as female.</t>
  </si>
  <si>
    <t>Session of local stakeholder engagement</t>
  </si>
  <si>
    <t>Coordination with the local councils and high level of communities key informants.</t>
  </si>
  <si>
    <t>Promissing practice is distributing drip irrigation network to vegetable farmers in Idleb will promote the sustainability and development and savining water.</t>
  </si>
  <si>
    <t>Distributing fodder to animals keeper is better to distribute animals.</t>
  </si>
  <si>
    <t>Syria Resilience project</t>
  </si>
  <si>
    <t>CGBRSY0010</t>
  </si>
  <si>
    <t>Families affected by conflict are self-reliant, mitigate protection risks and negative coping mechanisms and participate in economic life</t>
  </si>
  <si>
    <t>developing resilience of housholds and communities affected by syrian conflict</t>
  </si>
  <si>
    <t>Hawala System for Cash transfer. Linking the Value Chain with the food security, integration between the program activities ( protection, rapid response and livelihood)</t>
  </si>
  <si>
    <t>Six month review methadology</t>
  </si>
  <si>
    <t>Location Integration to achieve the highest possible level of integration .</t>
  </si>
  <si>
    <t>Focus on gender sensitivity to include women within the activities.</t>
  </si>
  <si>
    <t>CGBRSY0007</t>
  </si>
  <si>
    <t>Contribute to enhancing the resilience of the affected. population in Syria (displaced populations and host communities).</t>
  </si>
  <si>
    <t>Building resilience where it is most needed: Enhancing food security and livelihood opportunities for Deir-Ez-Zor's most affected populations</t>
  </si>
  <si>
    <t>OCHATR0005</t>
  </si>
  <si>
    <t>Mazen Alhusseini</t>
  </si>
  <si>
    <t>Project Manager (Former)</t>
  </si>
  <si>
    <t>Mazen.Alhusseini@care.org</t>
  </si>
  <si>
    <t>Enhancing food security and livelihood opportunities for Deir-Ez-Zor's most affected populations</t>
  </si>
  <si>
    <t>Syria: Deir-ez Zor governorate</t>
  </si>
  <si>
    <t>IDPs in Deir-ez Zor</t>
  </si>
  <si>
    <t>Livelihood support to vulnerabel HH to help them recovery from poverty</t>
  </si>
  <si>
    <t>Provision of livestock complemented with training to enhance productivity for enhanced livelihood support to the vulnenrabel beneficiaries.  Adopted pactrices developed by Food And Agriicutlrue Organization (FAO)</t>
  </si>
  <si>
    <t>Stakeholder particiaption</t>
  </si>
  <si>
    <t>Access, because of the change in political context</t>
  </si>
  <si>
    <t>Geographich flexibility is important in a context that is politically uncertain</t>
  </si>
  <si>
    <t>Initiating recover was a bit early in stage.  Focus should have continued to be on emergency</t>
  </si>
  <si>
    <t>CARE USA WASH Support to Southern Syria</t>
  </si>
  <si>
    <t>CCANSY0007</t>
  </si>
  <si>
    <t>Evarest Ochola</t>
  </si>
  <si>
    <t>Evarest.Ochola@care.ca</t>
  </si>
  <si>
    <t>Alaa AlQaisi</t>
  </si>
  <si>
    <t>Deputy WASH Manager</t>
  </si>
  <si>
    <t>Alaa.Alqaisi@care.org</t>
  </si>
  <si>
    <t>To meet the basic WASH  needs of vulnerable households in Southern Syria</t>
  </si>
  <si>
    <t>Dara, Quneitra, Homs, and Rural Damascus governorates</t>
  </si>
  <si>
    <t>IDPs and host communities in Dara'a and Qunwitra governorates</t>
  </si>
  <si>
    <t>CARE's Southern Syria programs work nearly completely through Syrian NGO partners.  CARE works closely to build capacity of Syrian civil society through ongoing communication and training. There is ongoing training with partners in management systems, program implementation, management, and monitoring, financial management, and humanitarian principles.</t>
  </si>
  <si>
    <t>Rapid Emergency Assistance to Conflict Affected Households in Syria, Phase II (REACH-S II)</t>
  </si>
  <si>
    <t>OFDATR0005</t>
  </si>
  <si>
    <t>CARE Turkey Country Director (former)</t>
  </si>
  <si>
    <t>To relieve the immediate suffering of IDPs and host community members affected by conflict through timely and appropriate provision of health services, food security assistance and distribution of essential non-food items (NFis) to help families cope with winter.</t>
  </si>
  <si>
    <t>Syria: Idleb, Aleppo and Deir-ez Zor governorates</t>
  </si>
  <si>
    <t>Sector 1: Health - Life-saving health services are provided to Syrian women, men, boys and girls affected by the conflict.
Sector 2: Agriculture and Food Security - lDPs and host families have improved food security.
Sector 3: Logistics Support and Relief Commodities - Vulnerable IDP and host community households have access to essential NFis to protect themselves from harsh winter conditions</t>
  </si>
  <si>
    <t>Vouchers</t>
  </si>
  <si>
    <t>Use of vouchers</t>
  </si>
  <si>
    <t>Flexibility and adoptability</t>
  </si>
  <si>
    <t>Cost effectiveness was achieved through local purchasing of NFIs</t>
  </si>
  <si>
    <t>Local authorities, advised beneficiaries to share the sheep they received with other vulnerable HH, though this was against the MoU with them.  The field team learnt that tit is important to emphasize against their practices and to do close monitoring after distribution to ensure that it does no happen again,</t>
  </si>
  <si>
    <t>Working with partners who have a presence and  acceptance on the ground is very important</t>
  </si>
  <si>
    <t>Rapid Emergency Assistance to Conflict Affected Households in Syria, Phase III (REACH-S III)</t>
  </si>
  <si>
    <t>OFDATR0009</t>
  </si>
  <si>
    <t>Stella Agnes ATITI</t>
  </si>
  <si>
    <t>CARE Syria North Hub - OFDA &amp; UNFPA Program Manager</t>
  </si>
  <si>
    <t>stella.atiti@care.org</t>
  </si>
  <si>
    <t>Ayham Taha</t>
  </si>
  <si>
    <t>ayham.taha@care.org</t>
  </si>
  <si>
    <t>Syria: Idleb and Aleppo governorates</t>
  </si>
  <si>
    <t>Sector 1: Agriculture and Food Security (FS) - IDPs and host families have improved food security
Sector 2: Health - Life-saving health services are provided to Syrian women, men, girls and boys affected by the conflict by reinforcing and expanding available medical services across the continuum of health through trauma, primary and reproductive health care services.
Sector 3: Logistics Support and Relief Commodities - IDPs have the necessary non-food items to meet their immediate winter NFI needs, without engaging in negative coping strategies.
(390,600 conflict-affected individuals, including 182,728 women, 87,000 men and 120,872 children.)</t>
  </si>
  <si>
    <t>Currently underway - inclusive of Reach SII and III</t>
  </si>
  <si>
    <t>Use of voucher instead of in-kind distributions, Advocating for women's inclusion,  adopting door to door distribution of NFIs to ensure that all genders can be reached and that their lives are not endangered.</t>
  </si>
  <si>
    <t>The project was implemented through partners, documenting lessons learnt and using them to streangthen approaches and modalities.</t>
  </si>
  <si>
    <t>Gender sensitivity was incorporated into the project design and implementation of all activities throughout the project cycle wae done in a gender transformative manner.  Based on the fluidity of the context, the project ensured that all genders could be reached and participate without putting their lives at risk.</t>
  </si>
  <si>
    <t>Use of value vouchers to support agricultural production, livestock and winter kits</t>
  </si>
  <si>
    <t>Provision of emergency health services</t>
  </si>
  <si>
    <t>Community and other stakeholders engagement throughout the project cycle</t>
  </si>
  <si>
    <t>Having a contingency plan for unexpected increased number of beneficiaries or having to relocated health facilities when security deteriorates in location of a health facility.</t>
  </si>
  <si>
    <t>It is possible to continued providing humanitarian aid amid uncertain and fluid contexts</t>
  </si>
  <si>
    <t>Third party monitoring and monitoring consultants are very important in remote management as they help to validate information provided by partners from a different angle</t>
  </si>
  <si>
    <t>Restoring sustained access to lifesaving water supplies for underserved communities in rural Hassakeh</t>
  </si>
  <si>
    <t>OCHATR0001</t>
  </si>
  <si>
    <t>ATITI Stella Agnes</t>
  </si>
  <si>
    <t>Syria: Al-Hasakeh &amp; Ar Raqqa governorates</t>
  </si>
  <si>
    <t>The proposed project will rehabilitate existing community water infrastructure that will improve 218,398 individuals' (IDP and host) access to a sustained, safe and adequate water supply in 13 towns and villages, the majority of which (10) are in Ras Al Ain sub-district (Ras Al Ain district, Al Hasakeh Governorate) and the remaining 3 are in Suluk sub-district (Tell Abiad district, Ar Raqqa governorate). The project will work with local institutions responsible for WASH services and representatives of the communities using these services in the target locations. Primarily, activities will include the repair of two sewage systems (to prevent the contamination of water sources) and the installation of generators for the functioning of water treatment plants to improve existing community water distribution systems. To ensure sustainability, the project will provide training to local WASH engineers from Local Councils, who will be responsible for setting up a user fee collection system to cover future Operations and Maintenance costs (O&amp;M). To assist 12 out of the 13 target villages (those where Water Treatment Plants are to be rehabilitated) with O&amp;M, the project will support the local authorities in covering such costs for 3 months.</t>
  </si>
  <si>
    <t>Training of water committee members, empowering local leaders to manage the water supply stations</t>
  </si>
  <si>
    <t>The project had to adjust its timeline several times due to unforeseen challenges</t>
  </si>
  <si>
    <t>Community engagement in the management of the water stations and networks</t>
  </si>
  <si>
    <t>Putting in place a cost recovery system</t>
  </si>
  <si>
    <t>Negotiation skills with the different factions in the operational areas</t>
  </si>
  <si>
    <t>Transporting equipment/goods into certain geographical areas held by certain factions is a very big challenge</t>
  </si>
  <si>
    <t>Rehabilitation water supplies has a far reaching impact to a large population</t>
  </si>
  <si>
    <t>While planning a project allow contingency time for the unexpected</t>
  </si>
  <si>
    <t>Supporting Vulnerable Families to Cope with the Winter</t>
  </si>
  <si>
    <t>CLDSSY0001</t>
  </si>
  <si>
    <t>Latter-Day Saint Charities</t>
  </si>
  <si>
    <t>The project aims to support 600 vulnerable families in hard-to-reach areas in Rural Damascus and Homs governorates during the cold winter season</t>
  </si>
  <si>
    <t>Syria, Rural Damascus, Eastern Ghouta and Jiroud Syria, Homs, Northern Rural Homs, Tal Dahab and Al Houla</t>
  </si>
  <si>
    <t>IDPs, including some who are recently displaced; Host families, including those hosting more than one displaced family; Families living in poorly insulated and poorly equipped shelters, such as unfinished buildings, makeshift dwellings, tents and collective shelters; Families with a high number of dependents (children, elderly); and Families that have members with special needs (injured, disabled, chronically ill, pregnant or lactating women, infants).</t>
  </si>
  <si>
    <t>The direct participants are the receivers of the warm kits. There are no indirect participants since the kits were composed of winter cloths.</t>
  </si>
  <si>
    <t>Winterization</t>
  </si>
  <si>
    <t>Adaptation of distribution sites and review of beneficiary selection criteria to include a broader and more mixed target group</t>
  </si>
  <si>
    <t>Sourcing winterization items from local workshops to generate income opportunities for vulnerable people.</t>
  </si>
  <si>
    <t>UNHCR: (US1V1) Targeted rehabilitation to IDP collective shelters in southern Syria  / (US1Q9) Shelter and NFI support to vulnerable populations in southern Syria. ECHO: Emergency support and preparedness in southern Syria   DFATD: Emergency WASH support to people affected by conflict</t>
  </si>
  <si>
    <t>UNHCSY0004</t>
  </si>
  <si>
    <t>UNHCSY0002</t>
  </si>
  <si>
    <t>CAUTSY0005</t>
  </si>
  <si>
    <t>CCANJO0008</t>
  </si>
  <si>
    <t>Support to IDPs in southern Syria</t>
  </si>
  <si>
    <t>Several projects have enhanced rapid response by conducting rapid multi-sector assessments, pre-positioning emergency stocks, and establishing a platform for immediate, operational coordination.</t>
  </si>
  <si>
    <t>CSs Rehabilitation</t>
  </si>
  <si>
    <t>Due to unprecedented displacement in the months of August and September, collective shelters continued to be used even more than before. Upon the initial assessment of collective shelters, partners identified 108 collective shelters with nearly 50 housing 7 or more families. Based on this, CARE's initial assessment was carried out in 35 of the most highly populated collective shelters. Results from this initial assessment indicate that the level of repairs, especially WASH repairs in all of these collective shelters is extremely high. Because of this and because of the challenges the team had conducting this assessment during conflict in southern Syria, CARE required additional 3 months of the rehabilitation process. Displacement continued to be unpredicted, several IDP families displaced for more than one time , from the collective shelters.   </t>
  </si>
  <si>
    <t>Internal returnees movements specifically the distribution process in July. Respectively, new vulnerabilities at the ground and new needs.</t>
  </si>
  <si>
    <t>Several projects have enhanced rapid response by conducting rapid multi-sector assessments, pre-positioning emergency stocks, and establishing a platform for immediate, operational coordination. CARE SSU is leading on informal coordination group coordinating efforts on the ground and response in the South.</t>
  </si>
  <si>
    <t>Voice to Voiceless: critical protection and emergency support for hard to reach communities in Syria</t>
  </si>
  <si>
    <t>UNHCTR0006</t>
  </si>
  <si>
    <t>This project seeks to improve the protection of vulnerable populations in Syria through the provision of protection support to 12,000 individuals through outreach, psychosocial support, and case management services and referral mechanisms. Additionally, the project will provide core relief items to 18,000 households facing new emergencies through in-kind distribution of Household kits.</t>
  </si>
  <si>
    <t>Syria: Idleb governorate, Jesr Al Shoghur,  Al Ma'ra, Harem, Areha, Idleb sub-districts; Aleppo governorate, Jebal Saman, Azaz, Atareb, Manbej, Al Safera sub-districts.</t>
  </si>
  <si>
    <t>This project aimed to target different needs of men, women, boys, and girls. Rapid response activates primarily targeted newly arrived IDPs in Idleb governorate. The special needs of children, women and older people have been taken into account in beneficiary selection and distribution process; in which the selection process focused mainly on households that did not possess productive assets and have no opportunity to earn an immediate stable income, recently arrived IDPs in collective or unprotected shelters, female headed households, children headed households, head of household with disability, Households with injured, elderly, or disables people, households with two children less than 5 years, and large households with more than 6 members. While protection activities focused on survivors of abuse, exploitation, GBV, and SGBV, and individuals who suffer from acute psychosocial distress. The project also targeted community leaders and activists who played a critical role in protection outreach activities acting as a catalysts.</t>
  </si>
  <si>
    <t>• A project with protection response interventions requires longer implementation period for community mobilization and to establish trust among community members. CARE lost three months of implementation due to delays from UNHCR to finalize the partnership contract. This caused very challenging operation for both partners and CARE staff. It is important to recognize the operational challenges inside Syria and provide sufficient time for partners to implement such projects successfully.</t>
  </si>
  <si>
    <t>• The reliability and professionalism of Local Councils vary from one community to another and many local authorities throughout Syria have recommended beneficiary lists that favor some populations over others based on their personal connections or other motivations. To overcome this problem, partner teams engaged in independent verification of beneficiaries through the help of volunteers to ensure that only people in urgent need, as defined by the vulnerability criteria, were targeted with kits. Given the connections to beneficiary populations and resources of local councils, partners maintained constant communication with local councils while advocating for accountable beneficiary selection.</t>
  </si>
  <si>
    <t xml:space="preserve">• The community centers have continued to grow in terms of regular services, referrals and follow-ups from the community they are working in since their inception. Post activity monitoring and community feedback stressed the importance of their continuation and need to expand such services. Project closure and discontinuation of services after 3-6 months will not not sustain the impact created by the project interventions. It is recommended to resource similar protection interventions at least for 2 years to achieve full results of the program.  </t>
  </si>
  <si>
    <t>WASH and Protection support in Southern Syria</t>
  </si>
  <si>
    <t>OFDASY0003</t>
  </si>
  <si>
    <t>OFDASY0004</t>
  </si>
  <si>
    <t>Lana Halaseh</t>
  </si>
  <si>
    <t>lana.halaseh@care.org</t>
  </si>
  <si>
    <t>Fairouz Hassan</t>
  </si>
  <si>
    <t>Deputy protection manager</t>
  </si>
  <si>
    <t>Fairouz.hassan@care.org</t>
  </si>
  <si>
    <t>To meet the basic WASH and Protection needs of vulnerable households in southern Syria</t>
  </si>
  <si>
    <t>Dar'a Governorate- Izra distrcit
Dar'a Governorate- Dar'a district
Qunitera Governorate- Qunitera district</t>
  </si>
  <si>
    <t>IDPs, host communities and vulnerable households in Dar'a and Qunitera Governorates</t>
  </si>
  <si>
    <t>WASH: Number of people directly benefitting from the sanitation infrastructure program and Number of people receiving direct hygiene promotion (excluding mass media campaigns and without double-counting)
Protection:The protection component has the mandate to reach the most vulnerable households in communities both Host community and IDP's who have suffered from trumatic situation during te crisis and need to have a focused Psychosocial support through the non-specialized services that CARE provides to enhance their wellbeing and mitigate their negative coping mechanism, as well as the community members who needs to enhance their access to the basic services and at this service level the whole community is a direct target</t>
  </si>
  <si>
    <t>* Most of the activities were implemnetd by the partner while the rehabilitaion and installtion of solar systems for the targeted 24 water schemes were implemented directly by CARE through hiring 4 Engineers to proceed with the process.
* some of the activities were implemented to target tand benefit the most vulnerable families rather than focusing only on the hosting families.
* Chaniging on the Feedback mechanism through CARE own system.                                                                                      
* increase the benificiaries total number to meet the huge need within the community.</t>
  </si>
  <si>
    <t>1. Chaniging on the Feedback mechanism through CARE own system.</t>
  </si>
  <si>
    <t>2. increase the benificiaries total number to meet the huge need within the community.</t>
  </si>
  <si>
    <t>3. will be engaging females in the formed WASH committees</t>
  </si>
  <si>
    <t>1. Partner Technical capacity building is a continous need to build a strong partner.</t>
  </si>
  <si>
    <t>2. to work more on identifying the needs and have a feedback from the community.</t>
  </si>
  <si>
    <t>WASH Support to confict Affected Communities</t>
  </si>
  <si>
    <t>UNCFSY0001</t>
  </si>
  <si>
    <t>Dara'a and Quneitra Governorates</t>
  </si>
  <si>
    <t>IDPs and host communities in Dara'a and Quneitra governorates</t>
  </si>
  <si>
    <t>Need to diversify  partnership with different civil society and private sector actors</t>
  </si>
  <si>
    <t>Very strong MEAL approach is critical</t>
  </si>
  <si>
    <t>UNCFSY0010</t>
  </si>
  <si>
    <t>Syria Crisis: Emergency Response in Aleppo</t>
  </si>
  <si>
    <t>CCHETR0002</t>
  </si>
  <si>
    <t>Cooperative for Assistance and Relief Everywhere International Secretariat</t>
  </si>
  <si>
    <t>APERTR0002</t>
  </si>
  <si>
    <t>Dionne Wong</t>
  </si>
  <si>
    <t>Information Manager - Regional Syria Response Team (Former)</t>
  </si>
  <si>
    <t>dwong@care.org</t>
  </si>
  <si>
    <t>To provide life-saving humanitarian assistance for underserved and besieged to vulnerable populations affected by armed conflict in Aleppo including women-head, child-head households, the elderly, people living with disabilities, households with no income and those in collective shelters; to address acute and urgent WASH needs of vulnerable populations in Aleppo</t>
  </si>
  <si>
    <t>Syria: Aleppo governorate, Jebel Saman district, Daret Azza sub-district</t>
  </si>
  <si>
    <t>The targeted beneficiaries were host communities 90% and IDPs 10% inside Eastern Aleppo city. Most of the IDPS lost their incomes and their way to earn money in the same areas because of the besieging and shelling, others have moved from nearby areas (Idleb Governorate, Western Aleppo City and some small villages) because of the intensive fighting there and due to some family relationships.</t>
  </si>
  <si>
    <t>Distribution of Aqua tabs :
within the scope of work of this project, we were not able to perform awareness sessions for many reasons have been previously discussed, and the lesson we have learnt regarding this issue was that, those items are not supposed to be distributed in emergency situations, or may be distributed in later time of the project. So in the upcoming project, SR will ensure that enough time is planned and enough money is budgeted for those</t>
  </si>
  <si>
    <t>Changing location :
As per the main plan, the distribution was supposed to be done in Aleppo city, but having no access to Aleppo made the project impossible to be implemented there since the city was facing siege and the items in the markets were almost gone after communicating with CARE and receiving their  approval. We have changed the implementation location to target Aleppo IDPs that have moved out of the city and respond to their needs as well.</t>
  </si>
  <si>
    <t>Promoting Access to Family Planning (FP) and Gender Based Violence (GBV) Services in conflict affected communities in Syria</t>
  </si>
  <si>
    <t>UNFPTR0003</t>
  </si>
  <si>
    <t>To provide vulnerable Syrian households with access to SRH services, through critical information and services on FP methods and GBV in Idleb and Aleppo governorates</t>
  </si>
  <si>
    <t>Women and girls</t>
  </si>
  <si>
    <t>Promotion of family planning indirectly has impact on fighting poverty</t>
  </si>
  <si>
    <t>Use of mobile clinics to implement sexual reproductive health and gender based violence activities</t>
  </si>
  <si>
    <t>Formation of Young mother's club</t>
  </si>
  <si>
    <t>The project made changes to its activities so as to provide more comprehensive SRH services in the static facilities and also in the mobile clinics
The project expanded the target PHCs form 7 to 10 and cover of communities by mobile clinics from 32 to 60
The project has added women and girls safe space component and young months club</t>
  </si>
  <si>
    <t>Mobile clinics providing outreach services have increased geographic/population reached</t>
  </si>
  <si>
    <t>The health facilities have continued to provide FAP, RH and GBV services amid the fragile context</t>
  </si>
  <si>
    <t>Stakeholder involvement and participation has been key to success</t>
  </si>
  <si>
    <t>Privacy in mobile clinics is a major challenge, as this is very important considering the services being provided SRH &amp; GBV</t>
  </si>
  <si>
    <t>The right approach in community sanitization is important in fostering acceptance especially of sensitive topics like GBV and protection</t>
  </si>
  <si>
    <t>Promoting Access to FP and GBV Services in conflict-affected communities in Syria</t>
  </si>
  <si>
    <t>UNFPTR0001</t>
  </si>
  <si>
    <t>To provide vulnerable Syrian households with access to SRH services, through critical information and services on family planning methods and GBV in Idleb and Aleppo Governorates</t>
  </si>
  <si>
    <t>1) Increased access for 32,500 women and girls to family planning through facility-based services  • Provision of short-acting and long-acting FP methods in PHC
2) Increased access to psycho-social support and clinical management of rape for 200 survivors of GBV incidents through facility-based services
3) Increased access for 15,000 men, women, boys and girls to select SRH, GBV and FP information and services through mobile SRH clinics</t>
  </si>
  <si>
    <t>The right approach in community sensitization is important in fostering acceptance especially of sensitive topics like GBV and protection</t>
  </si>
  <si>
    <t>Tanzania</t>
  </si>
  <si>
    <t>Tabora Maternal and Newborn Health Initiative</t>
  </si>
  <si>
    <t>CCANTZ0009</t>
  </si>
  <si>
    <t>Julian Dalika</t>
  </si>
  <si>
    <t>Monitoring and Evaluations Officer</t>
  </si>
  <si>
    <t>jdalika@care.org</t>
  </si>
  <si>
    <t>Flavian Lihwa</t>
  </si>
  <si>
    <t>Program Coordinator - CARE Tanzania</t>
  </si>
  <si>
    <t>Flihwa@care.org</t>
  </si>
  <si>
    <t>To reduce maternal and newborn mortality in undervserved districts of Tanzania</t>
  </si>
  <si>
    <t>Tabora region, covering all districts: Nzega, Igunga, Uyui, Urambo, Kaliua, Sikonge, and Tabora urban</t>
  </si>
  <si>
    <t>Women of reproductive age, 15-49 years old</t>
  </si>
  <si>
    <t>Direct participants are the Regional Health Management Team (RHMT) and the Council Health Management Teams, health care workers, and community health workers.Indirect beneficiaries of the project calculations are based on the expected coverage of BEmONC services. Population estimates were based on 2012 census projections. The Project expects to cover approximately 50% BEmONC in the Tabora. Indirect beneficiaries also include those receiving emergency transportation services and CEmONC services. Additionally they include those participating in Community Scorecard and Social Analysis and Action and receiving Youth Friendly Services. These reach numbers will be refined following the design of each of the respective interventions.</t>
  </si>
  <si>
    <t>The project's baseline evaluation is set to take place in October 2017</t>
  </si>
  <si>
    <t>Capacity building to regional and district health system managers to effectively plan, manage, and deliver quality gender-sensitive reproductive, maternal and newborn health services</t>
  </si>
  <si>
    <t>Increase access to gender-sensitive reproductive, maternal newborn health services</t>
  </si>
  <si>
    <t>Improve knowledge and skills of health providers to deliver gendersensitive reproductive, maternal, and newborn clinical services</t>
  </si>
  <si>
    <t>The TAMANI project has not yet started any activity implementation, what have been done to date is only inception process and development of project implentation plan (PIP)</t>
  </si>
  <si>
    <t>Ardhi Yetu (Our Land) Program</t>
  </si>
  <si>
    <t>DK116</t>
  </si>
  <si>
    <t>Marry Ndaro</t>
  </si>
  <si>
    <t>Marry.ndaro@care.org</t>
  </si>
  <si>
    <t>Ali Mbarouk</t>
  </si>
  <si>
    <t>Monitoring, Evaluation and Learning Coordinator</t>
  </si>
  <si>
    <t>Ali.mbarouk@care.org</t>
  </si>
  <si>
    <t>1.Strengthen the capacity of Tanzania civil society at local and National levels to hold land sector duty bearers accountable  (including government and private sector) while advocating and ppromoting for the rights of small scale farmers and pastoralists as a mean of ensuring food security.2. increased capacity of small scale farmers and pastorialists and their local organizations to represent their interest, understand their rights, and work collaboratively. 3. Strengthen vertical linkage between local level CBOs and interest groups with  National, Regional and international level alliances and network supporting land rights</t>
  </si>
  <si>
    <t>Iringa region (Mufindi and Kilolo districts), Mbeya region (Mbarali district), Coastal region (Kilwa and Rufiji)</t>
  </si>
  <si>
    <t>Small scale farmers and pastoralists, women and other groups that are dependent on land and other Natural resources in areas affected by large commercial agriculture.</t>
  </si>
  <si>
    <t>Direct beneficiaries are pastoralists community (including producer) receiving support land rights issues. It also include their network. Indirect beneficiaries include household members of direct beneficaries, people who are indirectly affected by program interventions; advocacy and policy issues, compaign in TV, Radio and newsletters etc.</t>
  </si>
  <si>
    <t>AYP has provided the civil Societys implementing the program both technical and financial capacity</t>
  </si>
  <si>
    <t>Working in alliance with other CSOs on land related issues, large scale investment, gender and pastoralism</t>
  </si>
  <si>
    <t>Engaging high level government officials and institutions coordinating land issues</t>
  </si>
  <si>
    <t>Working with Private sector on large scale investment, land use plan and land rights for supporting small holder farmers and pastoralists</t>
  </si>
  <si>
    <t>The power of working in coalition with other like minded organizations were an eye opener for AYP team and partners</t>
  </si>
  <si>
    <t>The readness of the government ministries to involve CSOs in the process of policy review.</t>
  </si>
  <si>
    <t>Issues agreed upon (during stakeholder meeting) were not well taken by the decision  and policymakers and hence more strategic engagement (with policy and decision makers) needed.</t>
  </si>
  <si>
    <t>Data presented in this FY17 PIIRS  Reach were mainly extracted from Program Annual Report, where the reach is lower compared to previous reporting due to fact that AYP is more operating at National Level than at community level (more for influencing policy change)</t>
  </si>
  <si>
    <t>GO GREEN PROJECT</t>
  </si>
  <si>
    <t>CDNKTZ00016</t>
  </si>
  <si>
    <t>CNORTZ0110</t>
  </si>
  <si>
    <t>FRED OLSEN</t>
  </si>
  <si>
    <t>CUPFTZ</t>
  </si>
  <si>
    <t>INDIVIDUAL DONOR</t>
  </si>
  <si>
    <t>MARSHAL REYNOLD</t>
  </si>
  <si>
    <t>Waziri Njau</t>
  </si>
  <si>
    <t>WNjau@care.org</t>
  </si>
  <si>
    <t>Contribute to increasing the number of women in Tanzania adopting and directly benefitting from clean energy. products. Results: Result 1: Three private clean energy suppliers (with formally certified products) are selling competitive and quality products to 450 women entrepreneurs through three established district level energy hubs in Kilimanjaro Region. Result 2: 450 women entrepreneurs have established clean energy businesses and are selling competitive and quality products according to the demands of the population in rural areas of Kilimanjaro Region; 30,000 products will be sold, reaching 150,000 indirect beneficiaries. Result 3: Increased awareness among energy sector stakeholders - throughout the value chain - of key barriers and drivers for adoption of new clean energy technologies.</t>
  </si>
  <si>
    <t>The project is implemented in three Districts (Same, Hai &amp; Moshi rural)</t>
  </si>
  <si>
    <t>450 women entrepreneurs have established clean energy businesses and are selling competitive and quality products according to the demands of the population in rural areas of Kilimanjaro Region; 30,000 products will be sold, reaching 150,000 indirect beneficiaries.</t>
  </si>
  <si>
    <t>450 women will be targeting in the project. The project aims to sell a total of 30,000 products reaching an estimate 150,000 men and women. Indirect participants have been caculating by a 70/40 split with the majority of products reaching women.</t>
  </si>
  <si>
    <t>The final report has yet to be completed.</t>
  </si>
  <si>
    <t>Implementation of the project has not yet started. However a platform to work through VSLAs will provide 450 women who are enterpreneurs. Additionally a partnership with the  private sector will train and trade with women involved in project implementation.</t>
  </si>
  <si>
    <t>Private sector engagement</t>
  </si>
  <si>
    <t>Project implementation has not yet started.</t>
  </si>
  <si>
    <t>The project has not yet started the implementation</t>
  </si>
  <si>
    <t>https://drive.google.com/file/d/0BzwFUvSWgpwQVTVtQ3RpT0ZYMFc2MGJWcWNMU2hDR2xDZmFF/view?ts=596f0eb0</t>
  </si>
  <si>
    <t>Gender Equality and Women Empowerment Program (GEWEP)</t>
  </si>
  <si>
    <t>CNORTZ0107</t>
  </si>
  <si>
    <t>Gloria Cheche</t>
  </si>
  <si>
    <t>Deputy Country Director - Program</t>
  </si>
  <si>
    <t>Gloria.cheche@care.org</t>
  </si>
  <si>
    <t>Women in food insecure households where livelihoods depend on rain -fed small holder agriculture and Natural Resources in Zanzibar (Unguja and Pemba) realize the social economic and political rights.</t>
  </si>
  <si>
    <t>Zanzibar (Unguja and Pemba)</t>
  </si>
  <si>
    <t>women in food insecure households where livelihoods depend on rain -fed small holder agriculture and Natural Resources in Zanzibar will be reached directly through village savings and loan groups (VSLA).</t>
  </si>
  <si>
    <t>Direct beneficiaries at VSLA members estimated at 25 at each group while the indirect beneficiaries are number of direct benficiaries multilied by average household size and then substracting the direct beneficiaries.</t>
  </si>
  <si>
    <t>No future evaluation is planned for GEWEP</t>
  </si>
  <si>
    <t>The participating NGOs were capacity strengthen both in term of financial and technical skills development. In term of finance, there were  subgranted and provided skills related to financial management. In term of other skills development, partners were exposed to; human resources management skills, monitoring and evaluation, Gender marker training, Natural Resource management, Fundraising etc.</t>
  </si>
  <si>
    <t>Engaging Religious leader to advance gender equality</t>
  </si>
  <si>
    <t>Men Engage</t>
  </si>
  <si>
    <t>Working in partnership with local organizations</t>
  </si>
  <si>
    <t>women who are successfully in their economic activities are able to participate more in processes of household level financial decision making.</t>
  </si>
  <si>
    <t>Holistic and intergrated approaches involving engaging men (and boys) including religious leaders are needed to address discriminatory norms that limit women's participation in and benefiting from economic activities</t>
  </si>
  <si>
    <t>Shaking of GEWEP program implementation due to inability to retain staff (due to insufficient potifolio) has resulted in loss of experience, program knowledge as well as challenges towards achieving program objectives.</t>
  </si>
  <si>
    <t>CARE-WWF Alliance in Tanzania: Expanding up the Coast</t>
  </si>
  <si>
    <t>Christina John</t>
  </si>
  <si>
    <t>Partnership Development Manager</t>
  </si>
  <si>
    <t>Cjohn@care.org</t>
  </si>
  <si>
    <t>Thabit Masoud</t>
  </si>
  <si>
    <t>Program Director- SALAMA</t>
  </si>
  <si>
    <t>Tmasoud@care.org</t>
  </si>
  <si>
    <t>By June 2019, a scalable evidence- based approache to intergration conservation and natural resource based livelihoods in farming communities of  Nachingwea district, Southern Tanzania.</t>
  </si>
  <si>
    <t>Nachingwea district, Lindi Region , Southern Tanzania</t>
  </si>
  <si>
    <t>Poor smallholder women farmers</t>
  </si>
  <si>
    <t>Direct participants are the poor smallholder women farmers who are directly reached through project activities are are specifically mentioned in the project proposal while indirect participants are the people who are reached through direct participants and have been calculated by multiplying direct participant number by the average Tanzania Demographic Survey of 2012 that shows the average number of four people per household.</t>
  </si>
  <si>
    <t>Team has not yet discuss and agree on the methodologies to use in the next coming Mid- Term Review</t>
  </si>
  <si>
    <t>The alliance has been tested how VSLA can reduce pressure in forest. Team have started to measure how effective this can promote to conservation of natural resources but will have the written information in the next few months.</t>
  </si>
  <si>
    <t>Tested pro poor sustainable approaches to household economic development and conservation of natural resources.</t>
  </si>
  <si>
    <t>In Alliance pilot project there was no focused impact group and gender was not the main focus. However in the next two years gender will be a cross cutting issue around all the project outcomes.</t>
  </si>
  <si>
    <t>Village Saving and Loan Association</t>
  </si>
  <si>
    <t>Use of Village Natural Resorce Committees in management of natural resources</t>
  </si>
  <si>
    <t>The impact of CSA intervention has greatly helped in conservation work, farmers have observed that it is possible to cultivate a small plot  of the land and produce more. The notion of searching for new farms has been reduced in implementation areas.</t>
  </si>
  <si>
    <t>Selection of people in the Village Natural Resources Committee who have been engaged with illegal timber trading propmoted them to stop this business as well as mobilizing their allies to stop and concentrate in other income generating activities. Those people have been active participants in management of natural resources and provide advise on how well to conduct patrols over the forest</t>
  </si>
  <si>
    <t>For the village that have started see the benefit from Participatory Forest Management activities, each community members have started see the importance of working closely with Village Natural Resource Committee on management of natural resources.</t>
  </si>
  <si>
    <t>The project have been awarded 2 years after extension period and this is effective from July 2017 to June 2019.</t>
  </si>
  <si>
    <t>Link UP</t>
  </si>
  <si>
    <t>GATETZ0020</t>
  </si>
  <si>
    <t>Christian Pennotti</t>
  </si>
  <si>
    <t>Financial inclusion Director - Access Africa</t>
  </si>
  <si>
    <t>Cpennotti@care.orrg</t>
  </si>
  <si>
    <t>Mwimbe Fikirini</t>
  </si>
  <si>
    <t>Program Coordinator - Care Tanzania</t>
  </si>
  <si>
    <t>Mfikirini@Care.com</t>
  </si>
  <si>
    <t>To build replicable models for financial inclusion by providing opportunities for VSLA members to access formal financial services via linkages to financial service providers through the introduction and expansion of technology-enabled financial service</t>
  </si>
  <si>
    <t>Dar es salaam (Kinondoni and temeke Districts, Morogoro (Mvomero, Morogoro Municipal, Gairo, kilombero, Ulanga and Malinyi), Pwani (Kibaha, Mkuranga and Kisarawe), Tabora (Uyui, Sikonge, tabora Municipal and Urambo district), Shinyanga (Shinyanga rural and Kahama districts), Mwanza (sengerema and Kwimba Districts), Zanzibar (Unguja and Pemba), Njombe ( Ludewa), Iringa (Mufindi and iringa Municipal districts) and kilimanjaro (Hai district).</t>
  </si>
  <si>
    <t>VSLAs Groups which are made up of about 70% women and 30% men.</t>
  </si>
  <si>
    <t>Direct participants of the project are member of VSLA groups, Local government leaders and village agent. Indirect particpants are calculated besed on current household survey scale that is Direct participants*4.</t>
  </si>
  <si>
    <t>Chomoka is an emerging social enterprise driven by a proprietary mobile application to be used by VSLAs to manage their records, access banking services and gain advisory support from a trusted network of Chomoka agents. Once deployed at scale, Chomoka will accelerate and deepen formal financial inclusion while increasing usage of digital financial services in rural areas. The platform will generate an unprecedented, real-time data stream on the financial behavior of un-banked and under-banked groups and their members and offer new insights into the size, scope and behavior of these groups. Most importantly, Chomoka will enable groups to more effectively and accurately manage their transactions while also establishing digital financial histories and connections that open up a world of new possibilities. Chomoka expects to have over 1 million group members using the application by 2021.</t>
  </si>
  <si>
    <t>Enhancement of Mobile technology to VSLA groups ussing FFI mobile platform in making transactions</t>
  </si>
  <si>
    <t>There was no adjustment in this FY</t>
  </si>
  <si>
    <t>Conduct joint outreach campaigns to help VSLAs self-identify as interested in opening accounts</t>
  </si>
  <si>
    <t>Develop partnerships with leading FSPs in Tanzania and co-develop savings products and service delivery models tailored to the needs of VSLAs</t>
  </si>
  <si>
    <t>Provide training and support to interested groups to learn how to use the products and navigate the account opening process</t>
  </si>
  <si>
    <t>By developing a relationship with a formal financial institution, many groups expect to have the opportunity to access formal credit. Groups nearly unanimously would like access to additional capital in the form of credit for their groups operations. The desire for additional credit was voiced in every focus group discussion by at least one member. This credit would support lending in the early stage of the group cycle when the loan fund is not sufficient to meet demand for loans. It could also allow groups to extend their lending periods, to overcome challenges with new business investment due to the standard short repayment period</t>
  </si>
  <si>
    <t>In Tanzania, there is much less uptake of mobile banking amongst groups, likely due to a lack of 3-pin solution for groups on NMBs platform. The large majority of groups linked through LINK Up use NMB, but the mobile solution is not yet developed, and is not tailored to the needs of savings groups with three signatories. In addition to this, network issues are prevalent in rural Tanzania, further preventing groups from adopting the mobile technology</t>
  </si>
  <si>
    <t xml:space="preserve">While linkage is contributing to womens economic employment, it is not directing addressing the underlying cultural and societal barriers to a womens household right to control her finances. There are clear boundaries of what linkage alone can achieve. well as better achieve their savings goals- through friction between them and the money in their accounts. For many women, access to a personal bank account provides the privacy they need to maintain control over the money they make, either through their own income generation or through share purchases and group loans. The accounts enable women to maintain a greater secrecy around the money they have as </t>
  </si>
  <si>
    <t>Technological innovations such as the use of mobile phones to make loan payments and transfer cash make it easier for women to gain access to capital by reducing the need to travel long distances. This also allows them to sidestep social constraints that restrict womens mobility or the people with whom they can interact. Digital solutions were developed as part of the LINK Up program, however, adoption remains low particularly among women. In order to drive this adoption higher, investment must be made to build digital literacy and instilling confidence in interacting with the bank through mobile.</t>
  </si>
  <si>
    <t>Micro Lead Expansion project</t>
  </si>
  <si>
    <t>UNCDFTZ0001</t>
  </si>
  <si>
    <t>Blandina Karoma</t>
  </si>
  <si>
    <t>Bkaroma@care.org</t>
  </si>
  <si>
    <t>Meba Haruni</t>
  </si>
  <si>
    <t>MEAL DTU</t>
  </si>
  <si>
    <t>Meba.Haruni@co.care.org</t>
  </si>
  <si>
    <t>To provide access to financial services through VSLAs to over 70,000 financially excluded people and access to formal financial services to around 50,000 members. Linkages will be mainly for saving products and target clientele will low income financially excluded rural families in Kilimanjaro region.</t>
  </si>
  <si>
    <t>Kilimanjaro Region in Moshi rural, Moshi Urban, Hai,Same, Mwanga,Rombo and Siha Districts</t>
  </si>
  <si>
    <t>Women and Men who are excluded from formal finacial services</t>
  </si>
  <si>
    <t>Direct Participants: All individuals who are directly involved in activities implemented by the project, receiving support, services, goods, resources or other, directly from CARE or through a partner such as women and men in the rural setting who are memberof VSLA.   The Indirect participants are the family member of the direct participants.As per Demographic survey the household size is 5.</t>
  </si>
  <si>
    <t>MLE helps MCBL to improve its mobile platform and partner with SELCOM in cost effective manner to save the rural people in which they can be able to pull and push to/from their accounts</t>
  </si>
  <si>
    <t>Mass meeting campaign</t>
  </si>
  <si>
    <t>VSLA physical meeting on their meeting days</t>
  </si>
  <si>
    <t>VSLA ward &amp; village sesitization meetings</t>
  </si>
  <si>
    <t>Increase of group account opening following frequent mass meeting campaigns</t>
  </si>
  <si>
    <t>Frequent monitoring visits has led  to having quality groups and clear data</t>
  </si>
  <si>
    <t>Partnership is the key for implementations of various projects. MCBL is in partnership with various technology companies for implementations of mobile banking and agency banking. Also the partnership between CARE International in Tanzania and Mwanga Community Bank Ltd made a successful linkage of Saving group to MCBL</t>
  </si>
  <si>
    <t>http://minerva.care.ca/livelink1/livelink.exe?func=ll&amp;objId=3062515&amp;objAction=browse&amp;viewType=1</t>
  </si>
  <si>
    <t>Pastoralist Programme</t>
  </si>
  <si>
    <t>EMIRTZ0060</t>
  </si>
  <si>
    <t>Government - Finland</t>
  </si>
  <si>
    <t>Thabit S. Masoud</t>
  </si>
  <si>
    <t>Director Technical Unit</t>
  </si>
  <si>
    <t>Masoud.Thabit@care.org</t>
  </si>
  <si>
    <t>Julian R. Dalika</t>
  </si>
  <si>
    <t>Julian.Dalika@care.org</t>
  </si>
  <si>
    <t>Improved capacity of pastoralist communities to overcome poverty, reduce vulnerability and strengthen the rights of men and women pastoralist for sustainable livelihood</t>
  </si>
  <si>
    <t>The programme is implemented in the areas where mostly pastoralist communities live in the regions of Arusha, Manyara and Morogoro.</t>
  </si>
  <si>
    <t>The main impact groups are pastoralist men and women especially understanding of their rights and needs as the programme was aimed at the advancement of pastoralist men and women's rights to a sustainable livelihood</t>
  </si>
  <si>
    <t>The programme is sex disaggregated data for all activities during entire life of the project. Therefore, we used the proportions of men and women participants for the sex disaggregated data that was provided. In this regards we calculated that the proportion of 68% of 276,833 direct for men (188,246) and 32% of 276,833 for women (88,586); also 68% of 509,103 indirect for men (346,190) and 509,103 for women (162,913) to total reached beneficiaries.  </t>
  </si>
  <si>
    <t>Advocacy in land rights</t>
  </si>
  <si>
    <t>Infuencing the Ministry of agriculture and livestock development with Local governmnet to increase livestock budget allocation in livestock sector for improving quality of veterinary and extension services</t>
  </si>
  <si>
    <t>Diversification of income through income generating activities like revolving funds (VSLA, VICOBA) and entrepreneurship.</t>
  </si>
  <si>
    <t>Diversification of income, land rights for women, ownership of resources for women, and implementation of policy</t>
  </si>
  <si>
    <t>The programme conducted capacity building for both local and national level CSOs in a number of aspects including financial management, project design, implementation, monitoring &amp; evaluation and reporting (DIMER) and quarterly on-site technical support during field monitoring and financial verification visits.</t>
  </si>
  <si>
    <t>Effective evidence-based advocacy to influence policy and implementation;</t>
  </si>
  <si>
    <t>Representation of pastoralists at local and national levels, leading to greater respect of their rights;</t>
  </si>
  <si>
    <t>Increased capacity of local government institutions to provide quality and timely services to pastoralists;</t>
  </si>
  <si>
    <t>Womens socio-economic empowerment is a process that once secured is an essential component with catalytic effect to community social and livelihood transformation. PP experience affirms that awareness creation and training on gender equality, leadership, entrepreneurship and land rights largely contributed to unlocking pastoral womens and the rest of community members mind with positive impact on understanding and recognition of womens roles and rights. The evidence behind this assertion include:- o Women access to, control and ownership of productive resources; o Women engagement in IGAs and VICOBA with strong impact on social cohesion and households economic resilience; o Womens gained confidence to contest for leadership positions and participate in planning and decision-making processes both at household and community level; and o Respect and acceptance of womens ideas and material contribution both at household and community level.</t>
  </si>
  <si>
    <t>Although advocacy involves a slow process of change, which does not produce quick, "glossy" results sometimes difficult to measure,  but the use of formal and informal networks such a KAI a loose coalition proved to be an effective way in building joint efforts and common voice with strong impact on addressing national level advocacy and challenging issues;</t>
  </si>
  <si>
    <t>Agro-pastoralism to a certain extent reduces land conflict incidences for the reason that agro-pastoralist do feel the pinch for crop distraction and the need for protecting livestock routes for access to grazing land, watering and mineral licking sites as compared to those purely engaging in either farming or pastoralism alone. Moreover, agro-pastoralism broadens community members sense of diversification, thereby confronting challenges attributed to climate change;</t>
  </si>
  <si>
    <t>The programme has gathered lessons which we feel are good for shared learnig within the organization, nationally and beyond in a more wider scope for enhanced voice and joint efforts particularly on key evidence-based advocacy issues.</t>
  </si>
  <si>
    <t>Supporting Adolescent Girls' Empowerment (SAGE)</t>
  </si>
  <si>
    <t>MILETZ0001</t>
  </si>
  <si>
    <t>Andie Bobb</t>
  </si>
  <si>
    <t>Executive Director Southeast &amp; mid - Atlantic Regions - CARE USA</t>
  </si>
  <si>
    <t>abobb@care.org</t>
  </si>
  <si>
    <t>To improve the quality of life among 1500 marginalized adolescent girls and young women in 20 villages in Kahama district.</t>
  </si>
  <si>
    <t>Mega, Ngogwa, Ntobo, Segese, Shilela and Wendele adminstration wards</t>
  </si>
  <si>
    <t>Marginalized adolescent girls of age 09 - 17 years who droped from school and or never been registered to school.</t>
  </si>
  <si>
    <t>Direct participants are Primary school teachers who and village health workers who attended related/ targeted training, Project advisory committe members and project stakeholders who attanded project exit and or annual meetings, and students who participated on the day of African child exhibition and mock parliament event .Indirect beneficiaries of the project calculations are based on the expected number of students attended the sessions and been shared skills and ideas with trained teachers and peer educators.Indirect beneficiaries also include those receiving Youth Friendly Services, and those adopted new ideas/ information through members of PAC and other project stakeholders.</t>
  </si>
  <si>
    <t>Accelerating protection,empowerment and equal opportunity to children campaign</t>
  </si>
  <si>
    <t>Consider maintaining ratio of trained teachers in project schools during transfer authorization.</t>
  </si>
  <si>
    <t>Activities for the project are aimed at promoting access to quality education among marginalized out of school girls through improving the teaching and learning environment, developing girls leadership skills, and raising community awareness on girls right to quality education. These activities have been implemented since the project started, no adjustments have been made.</t>
  </si>
  <si>
    <t>Using VSLAs to support girls education and women economic empowerement: As a result of SAGE support, borrowing and servicing of loans in VSLAs has increased, the group shares price has raised from USD 0.2 0.4 in 2012/2013 to USD 0.5 1.0 per share 2016/2017.</t>
  </si>
  <si>
    <t>Enganging men and boys on gender equality: To date, the project has increased the number of men and boys playing the role of improving community awareness on gender equality to 178 men and 930 boys, as compared to 156 men and 819 boys in previous years</t>
  </si>
  <si>
    <t>Consultative meetings with the local government in project implementation areas have led to an increase in the likelihood that project interventions will be sustained beyond the lifespan of the project. From meetings with project stakeholders to discuss the project closeout plan the local goverment agreed to 16 commitments that will ensure sustainability of SAGE within their catchment areas. The commitments fall under the broad categories of: planning and funding of SAGE activities; supportive supervision; community engagement; and registering of VSLA groups.</t>
  </si>
  <si>
    <t>Girls right to education are not yet fully recognized by the policy framework in Tanzania. While the Education and training Policy of 2007 makes commitment to remove barriers and provide opportunity for all girls and boys to complete basic education, there are still no instruments to put the policy into effect. The guideline for returning pregnant girls back to school was not approved by the parliament and the government has made it clear that pregnant girls will not be allowed back to government schools after delivery. CARE Tanzania will continue to work through local CSOs to advocate for the right of girls to education and development through collecting and sharing evidence from the field. The evidence will be in form of inspiring, touching stories of girls who were given second chances and succeeded, and perhaps some of the girls who didnt get the second chance.</t>
  </si>
  <si>
    <t>ALUTA</t>
  </si>
  <si>
    <t>SALAMA DTU</t>
  </si>
  <si>
    <t>TMasoud@care.org</t>
  </si>
  <si>
    <t>Improved livelihoods and income of small-scale farmers, particularly women and youth, through facilitating strong linkages among actors within sunflower market systems, thereby contributing to Tanzanias National Sunflower Strategy and economic development.</t>
  </si>
  <si>
    <t>Iringa and Njombe region in Iringa rural and Waging'ombe districts</t>
  </si>
  <si>
    <t>Women and Youth smallholders farmers</t>
  </si>
  <si>
    <t>The direct participants are those who will be directly benefited by the project in the trainings, seeds,all program activities will be passing through them, while Indirect participants are the family members of the direct partipants. By Demographic survey the household member size is 5 hence if in the household we have 5 member and one of them is our direct partipant hence we take the direct partipant times 4 to get the indirect partipants of the project</t>
  </si>
  <si>
    <t>http://minerva.care.ca/livelink1/livelink.exe?func=ll&amp;objId=6558027&amp;objAction=browse&amp;viewType=</t>
  </si>
  <si>
    <t>PESA KWA WOTE (PKW)</t>
  </si>
  <si>
    <t>FSDTTZ0006</t>
  </si>
  <si>
    <t>ZENAIS MATEMU</t>
  </si>
  <si>
    <t>PROGRAM COORDINATOR</t>
  </si>
  <si>
    <t>Zenais.Matemu@care.org</t>
  </si>
  <si>
    <t>BENTA S. KAYUNI</t>
  </si>
  <si>
    <t>MONITORING,EVALUATION AND LEARNING OFFICER</t>
  </si>
  <si>
    <t>Benta.Kayuni@care.org</t>
  </si>
  <si>
    <t>Improve access to financial services to rural community women and men in 35 districts within 8 regions, Tanzania mainland and Zanzibar</t>
  </si>
  <si>
    <t>REGIONS: MOROGORO, IRINGA, COAST,TABORA, SHINYANGA, MWANZA, UNGUJA AND PEMBA</t>
  </si>
  <si>
    <t>The main impact group of the project are women and men</t>
  </si>
  <si>
    <t>Direct participants are the ones who are reached direct by the project and they are capture in the project documents including proposal and lograme. The calculation of this group has been done based on the project proposal and logframe. Indirect particpants are the ones who are indirectly reached as a results of reached a direct participants. For example one member of a household who is a member to VSLA is benefiting by being a member therefore this member is also supporting the rest of her houselhold members. The calculation of this group has been calculated by multiplying the direct participants number by the average demographic survey 2012 which shows an average of 4 people in the household.</t>
  </si>
  <si>
    <t>PKW is designing a Fee For Service model which will require VSLA members to pay for the service rather than being trained with the compasation from the project. This is  a new innovation which will be tested within the next two years of the project. The project is also working with franchisees to form groups. These are busniness people who have been trained on VSLA model and they are forming and training groups-payments are made by the project based on the reached targets in terms of members.</t>
  </si>
  <si>
    <t>The project tested bot the Partnership and Franchisee models. The fee for Service is still in the design phase.</t>
  </si>
  <si>
    <t>There has been on job capacity building to partners in relation to financial management, management and training of VSLA methodology, training in M&amp;E tools and systems.</t>
  </si>
  <si>
    <t>The changes were not gender transformative, however it was more on ensuring that there are high quality VSLA groups. A second componenta was on learning through the introduction of a Fee-For-Service model and conducting research on the relationship between the quality of groups and the sustainability of groups.</t>
  </si>
  <si>
    <t>VSLA: this stands for Village Savings and Loan Asociation of which community members inclduing women are sensitized to forms groups for a purpose of saving as well as accessing loans after sometimes. The model is also providing an opportunity top VSLA members to leran on how to manage their meetings in relation to the 8 VSLA modules.</t>
  </si>
  <si>
    <t>Demand of VSLA in the community remains high and a lot of communities see the benefits of participating in a VSL group</t>
  </si>
  <si>
    <t>Having high quality groups has created a lot of intrest from the Government of Tanzania. The Government now see VSL as a chanel for implementing government initiatives such as the access to loans from government funds such as the  Women and Youth Development fund.</t>
  </si>
  <si>
    <t>Working to improve the quality of groups is  expensive and requires a lot of resources and capacities to facilitate frequent support and monitoring visits to groups</t>
  </si>
  <si>
    <t>http://minerva.care.ca/livelink1/livelink.exe?func=ll&amp;objId=3438347&amp;objAction=browse&amp;viewType=1</t>
  </si>
  <si>
    <t>Thailand</t>
  </si>
  <si>
    <t>Stop TB ans AIDS through RTTR (STAR)</t>
  </si>
  <si>
    <t>TH691-THA066</t>
  </si>
  <si>
    <t>Raks Thai Foundation</t>
  </si>
  <si>
    <t>Government - Thailand</t>
  </si>
  <si>
    <t>Ms. Thongphit Pinyosinwat</t>
  </si>
  <si>
    <t>Director, Program Quality Department</t>
  </si>
  <si>
    <t>thongphit@gmail.com</t>
  </si>
  <si>
    <t>Ms. Chutarat Wongsuwon</t>
  </si>
  <si>
    <t>Assistant Program Quality Director, Program Quality Department</t>
  </si>
  <si>
    <t>chutarat_bkk@raksthai.org</t>
  </si>
  <si>
    <t>1. To end AIDS in Thailand by 2030 (reducing annual new infections to below 1000 cases (from the current 8,134 estimated new infections annually)
2. To reduce the prevalence of TB from 159 per 100,000 to 120 per 100,000 between 2015 and 2019.</t>
  </si>
  <si>
    <t>26 provinces in Thailand;
5 provinces in Central Bangkok (MSM, MSW, FSW, PWID), Samut Prakan (MSM, PWID, Migrant), Nonthaburi (MSM), Pathum Thani (MSM), Samut Sakhon (Migrant),
3 provinces in East - Chon Buri (MSM, MSW, Migrant), Rayong (Migrant), Trad (Migrant),
4 provinces in Northeast - Ubon Ratchathani (MSM),  Nakhon Ratchasima(MSM), Khon Kaen (MSM), Udon Thani (MSM)
4 provinces in North - Chiang Mai (MSM, MSW, PWID, Migrant), Lampoon (MSM), Tak (PWID), Chiang Rai (PWID),  
10 provinces in South Songkhla (MSM, PWID, Migrant), Nakhon Si Thammarat(MSM), Phuket (MSM, MSW),  Surat Thani (MSM), Trang (PWID), Patthalung (PWID), Satun (PWID), Pattani (PWID), Yala (PWID), Narathiwat (PWID).</t>
  </si>
  <si>
    <t>Migrant Workers (HIV and TB), People Who Inject Drugs (HIV and TB), Male and Female Sex Workers (HIV), Men who have Sex with Men and Transgender  (HIV)</t>
  </si>
  <si>
    <t>Y1 (Jan.15 - Sep.15) = 86,590
Y2 (Oct.15 - Sep.16) = 143,450
Y3 (Oct.16 -  Sep.17) = 135,716
Y3 (Oct.17- Dec.17) = 22,829
Each participants is only counted once between October to September each year. To ensure that participants for the FY July-June (below) are not double counted, reported figures below for FY17 only include 01  October 2016-30 June 2017</t>
  </si>
  <si>
    <t>The change in the project is its three months extension, which the target is increased. The project has carried out a study on gender equality, gende sensitivity, and gender based violence among target population. Expecting report is in December 2017.</t>
  </si>
  <si>
    <t>1.To reach MSM and TG. the project has initiated a new platform to provide access to the population by introucing an online application.</t>
  </si>
  <si>
    <t>2. Project introduced Mobile data collecting, Real Time Cohrt Monitoring (RTCM), to collect the Reach-Recruit-Test-Treat-Retain (RRTTR) data cascade.</t>
  </si>
  <si>
    <t>3. To strengthen the Hiv testing service for target population, the project has supported HIV testing centers in community. The centers are organized by community with supervision from  government Bureau of Aids, TB and STI.</t>
  </si>
  <si>
    <t>The RTCM needs to be linked with national health reporting system. The project has faced difficulties to link the data as it's patient's confidentiality.</t>
  </si>
  <si>
    <t>Partner capacity building and Organization Development:Project has worked with partners who used to receive lump-sum appropriation budget for their implementation. The project required the partners to change their routine financial management as well as program management. Some have struggled to explain the new routine to their long term staff. Quarterly support based on partner's performamnce evaluation is carried out by the project staff to strengthen the  management system.</t>
  </si>
  <si>
    <t>Risk Mitigation: Project has introduced organization risk and their mitigation to all partners. At each partner, there are different risks identified by the project and partner-self assessment. However, the priority list of risk mitigation has been quite similar between project and partnet assessment.</t>
  </si>
  <si>
    <t>RTCM and  RIHIS Test</t>
  </si>
  <si>
    <t>Building Market Share and Social Good in Thailand (Hug Khao)</t>
  </si>
  <si>
    <t>GRN0020</t>
  </si>
  <si>
    <t>John Deere</t>
  </si>
  <si>
    <t>Ms. Boonthida Ketsomboon</t>
  </si>
  <si>
    <t>Program Officer, Program Quality Department</t>
  </si>
  <si>
    <t>boonthida@raksthai.org</t>
  </si>
  <si>
    <t>1. Smallholder rice farms in Thailand sustainably increase their incomes and improve the long-term profitability of their farms.</t>
  </si>
  <si>
    <t>3 districts in Ubon Ratchatani</t>
  </si>
  <si>
    <t>Farmers</t>
  </si>
  <si>
    <t>OCTOBER</t>
  </si>
  <si>
    <t>Project just started this February and it is too early to identify successful strategies</t>
  </si>
  <si>
    <t>Project just started this February and it is too early to identify any key lessons learned</t>
  </si>
  <si>
    <t>Youth Leadership Development (YLD)</t>
  </si>
  <si>
    <t>NISSAN JAPAN</t>
  </si>
  <si>
    <t>COR0012</t>
  </si>
  <si>
    <t>Sunee Talawat</t>
  </si>
  <si>
    <t>Senior Program Coordinator</t>
  </si>
  <si>
    <t>sunee@raksthai.org</t>
  </si>
  <si>
    <t>Sutirat  Kojchasawad</t>
  </si>
  <si>
    <t>Field Coordinator</t>
  </si>
  <si>
    <t>kojtar@gmail.com</t>
  </si>
  <si>
    <t>To build leasership and occupational /business skills among in-school youth, particularly girls.</t>
  </si>
  <si>
    <t>Phranakhon Si Ayutthaya Province and Rayong Province, Thailand</t>
  </si>
  <si>
    <t>1,200 high-school students particularly of the grades 9-12 in 8 selected schools;
80 teachers in the participating schools;
160 parents, communities, local government agencies and private sector.</t>
  </si>
  <si>
    <t>·1,200 Students or youth aged 12-18 years studying in 8 schools. (5 Phra Nakhon Si Ayutthaya, 3 Rayong)
· 80 teachers of the 8 schools.</t>
  </si>
  <si>
    <t>Project just started this April, and it is too early to identify any impact for contributing to the project objectives.</t>
  </si>
  <si>
    <t>Project just started this April, and it is too early to identify any challenges or learning.</t>
  </si>
  <si>
    <t>Ship to Shore (Phase 1)</t>
  </si>
  <si>
    <t>GRN0028</t>
  </si>
  <si>
    <t>International Labour Organization (ILO)</t>
  </si>
  <si>
    <t>Mr Wasurat Homsud</t>
  </si>
  <si>
    <t>wasurat@raksthai.org</t>
  </si>
  <si>
    <t>Combatting unnacceptable forms of work in the Thai Fishing and Seafood Industry through empowering migrant workers</t>
  </si>
  <si>
    <t>Southern provinces of Thailand</t>
  </si>
  <si>
    <t>Migrant workers in the Thai Fishing and Seafood Industry</t>
  </si>
  <si>
    <t>Labour Rights</t>
  </si>
  <si>
    <t>DECEMBER</t>
  </si>
  <si>
    <t>The project is still in its preparation period. There is no important changes in this FY.</t>
  </si>
  <si>
    <t>Intensive program with provincial based staff in Samutsakorn, Pattani and Suratthani</t>
  </si>
  <si>
    <t>Building young leaders among migrant workers who can create natural linkages and networks with the migrant communities</t>
  </si>
  <si>
    <t>Network extension focusing on Ranong, Trang and Chumphon, but also linking with other provinces that could be covered by the program partners (e.g. Stella Maris, SERC, HRDF).</t>
  </si>
  <si>
    <t>The project is still in its preparation period. There is no lessons learned in this FY.</t>
  </si>
  <si>
    <t>Raks Thai already conducted the project orientation meeting. The next step of the project will be to start the capacity building program for young migrant leaders in six provinces.</t>
  </si>
  <si>
    <t>Please find the attached "Theory of Change Ship to ShoreCombatting Unacceptable forms of Work in the Thai Fishing and Seafood Industry".</t>
  </si>
  <si>
    <t>Chiva Pa Doi</t>
  </si>
  <si>
    <t>CRN0018</t>
  </si>
  <si>
    <t>Chanel Foundation</t>
  </si>
  <si>
    <t>To contribute to the economic and social empowerment of ethnic women in Chiang Mai Region</t>
  </si>
  <si>
    <t>Northern Thailand, Chiang Mai</t>
  </si>
  <si>
    <t>Ethnic minority groups in northen Thailand</t>
  </si>
  <si>
    <t>188 ethinic women in Chiang Mai region</t>
  </si>
  <si>
    <t>Organizing meetings and trainings with only women participants is impossible in the community and cultural context of hill tribes, as in Karen communities, men play a significant role as community/village leaders. Therefore, to effectively advance the project  it is wiser to adopt an approach including men and especially village headman (leader) as well as religious leader (position always held by men as well). Working together with these different partners is so far the only solution that has shown potential results towards women empowerment.</t>
  </si>
  <si>
    <t>Gender empowerment in the context of northern Thailand hill tribe communities is very challenging as many key role and position are held by men. Thus the approach process has to be smoothed and inclusive of both men and women.</t>
  </si>
  <si>
    <t>During meetings held to introduce the project to the community both women and men attended the meetings. Raks Thai observed that women often remain silent, shy and stay in the background of the meeting room. In such situation it is difficult for Raks Thai to get feedback and opinions from women.</t>
  </si>
  <si>
    <t>Community and Parents Participation in Early Childhood Development</t>
  </si>
  <si>
    <t>TH692-THA063</t>
  </si>
  <si>
    <t>Ms. Supaporn Mahaphontrakoon</t>
  </si>
  <si>
    <t>tanapong_ud@raksthai.org</t>
  </si>
  <si>
    <t>Ms. Sutirat Kojchsawas</t>
  </si>
  <si>
    <t>sutirat_ay@raksthai.org</t>
  </si>
  <si>
    <t>1) To increase participation of parents and caretakers in ELDC learning process improvement, linking to family and community environments,
2) To improve learning environments and resources for children in different skills and ages in ELCD.</t>
  </si>
  <si>
    <t>24 Early Learning Demonstration Center (ELDC) in 13 provinces of
4 central provinces:  Bangkok, Pathum Thani, Nakhon Nayok, Petchburi
1 eastern provinces: Rayong
2 northern province: Chiang Mai, Lampang
2 northeastern province: Loei, Khon Khen
4 southern province: Patthalung, Pattani, Yala, Narathiwat</t>
  </si>
  <si>
    <t>Caregivers, caretakers, communities, government sectors, children aged 3-5 years</t>
  </si>
  <si>
    <t>SEPTEMBER</t>
  </si>
  <si>
    <t>Enhancing the recognition and protection of the rights of Cambodian and Laotian migrant workers in the Thai construction sector (Triangle)</t>
  </si>
  <si>
    <t>GRN0019</t>
  </si>
  <si>
    <t>Enhancing the recognition and protection of the rights of Cambodian and Laotian migrant workers in the Thai construction sector</t>
  </si>
  <si>
    <t>Northern and North-eastern provinces of Thailand bordering Cambodia and Laos</t>
  </si>
  <si>
    <t>Cambodian and Laotian migrant workers in the Thai construction sector</t>
  </si>
  <si>
    <t>There is no important change in this FY. However, Raks Thai will initiate the collaboration with employer in the next FY to enhance the recognition and protection of the rights of Cambodian and Laotian migrant workers in the Thai construction sector.</t>
  </si>
  <si>
    <t>Raks Thai will conduct outreach and awareness raising among Cambodian and Laotian migrant workers in the construction sector in Bangkok and Samut Prakarn in order to increase knowledge and access to protection, particularly in Occupational Safety and Health (OSH) and Social Security Office (SSO) issues.</t>
  </si>
  <si>
    <t>Raks Thai will work with Cambodian and Laotian migrant works volunteers who can take the lead in organising migrant workers groups. Migrant leaders will be equipped with different capacity buildings and empowerment activities such as rights knowledge, strategy to organize community awareness sessions and play a leadership role for their migrant fellows in construction sites/camps.</t>
  </si>
  <si>
    <t>Through the coordination with the ILO and its employer constituent, Raks Thai will work to support employers, especially construction sites/camps to create migrant friendly working spaces that contribute to increase the proportion of positive migration experiences, i.e. employment practice, working condition, OSH, and etc. This is including the promotion of self-regulation system on good recruitment and employment practice.</t>
  </si>
  <si>
    <t>Migrant workers have a limited free time to join the outreach sessions since they have to work overtime after 5 pm six days a week and some of them also work overtime on Sunday. With no exact days off, this made it difficult for field officers to make an appointment with targeted employers.</t>
  </si>
  <si>
    <t>Limited project orientation among employers is needed or else they will not cooperated in the project activities.</t>
  </si>
  <si>
    <t>Some employers feel that their company already provide the workers with enough labour rights and safety standard according to the law, so they do not need to participate in the project.</t>
  </si>
  <si>
    <t>The migrant workers have basic knowledge on using the protective gears while working, still they do not adapt such knowledge of the safety in the real working condition. Raising awareness to the migrant workers should be more installed to help them realize the importance of being in charge of their own safety. The persuasive skills are needed to integrate in the outreach session. Also Raks Thai has to work closely with Government and employers to gain more access to migrant worker in construction site.</t>
  </si>
  <si>
    <t>Please see the attachment of the narrative of the progress report of the project.</t>
  </si>
  <si>
    <t>KLA TAM DEE (Stop bullying in schools)</t>
  </si>
  <si>
    <t>CO003-THA063</t>
  </si>
  <si>
    <t>Thoressen Group (TTA)</t>
  </si>
  <si>
    <t>CO005-THA063</t>
  </si>
  <si>
    <t>BKIND Funding by Corporates</t>
  </si>
  <si>
    <t>NET007-THA063</t>
  </si>
  <si>
    <t>MS. Supaporn Mahaphontrakoon</t>
  </si>
  <si>
    <t>MR. Prateep Lohnarai</t>
  </si>
  <si>
    <t>thaworn_ud@raksthai.org</t>
  </si>
  <si>
    <t>Stop bullying in schools.</t>
  </si>
  <si>
    <t>Southern provinces of Thailand: Pattani, Yala, Narathiwas, Krabi. Northeastern: Nongkai, Srisaket. Nortern: Chiang Mai.  And Central: Ayuthaya</t>
  </si>
  <si>
    <t>1. Children aged 9-12, 1,900 targeted children in small size primary schools, Level 3-6,  2. Teachers and Administrators in schools 120 persons, 3. People in society realize the bullying situation in schools and support their children with schools' policy.</t>
  </si>
  <si>
    <t>JANUARY</t>
  </si>
  <si>
    <t>Klong Prasong Mangrove Forests Rehabilitation</t>
  </si>
  <si>
    <t>SER0010-THA089</t>
  </si>
  <si>
    <t>The Pure Project Thamma Raksa Co. Ltd.</t>
  </si>
  <si>
    <t>Rehabilitation and preservation of the mangrove forest to reduce the impact of coastal erosion, and increase the area for cultivation of marine life.</t>
  </si>
  <si>
    <t>Klong Prasong Village, Klong Prasong Sub-district, Krabi Province, Thailand</t>
  </si>
  <si>
    <t>In order to create the participatory and learning in mangrove rehabilitation to reduce the coastal erosion affect together with increasing the living areas and breeding for the marine animals.</t>
  </si>
  <si>
    <t>This project use natural mangrove restoration to reslove coastal erosion in coastal areas with local paticipation and engaging local authority to support and expand the activity.</t>
  </si>
  <si>
    <t>Mangrove that have been restore after 3 years in the ares can stop costal erosion.</t>
  </si>
  <si>
    <t>The community gathers in group and they create the mangrove forestry planting together in order to protect the coastal erosion by separating into each responsible zone in their communities</t>
  </si>
  <si>
    <t>Mangrove forestry planting by local people.</t>
  </si>
  <si>
    <t>Develop community learning center</t>
  </si>
  <si>
    <t>Local media and facebook fanpage     </t>
  </si>
  <si>
    <t>The community experience becomes the basis for a case study of rehabilitation of mangrove forest as an adaptation to the adverse effects of climate change in KhlongPrasong</t>
  </si>
  <si>
    <t>Preparing mangrove nursery can improve survival rate of mangrove rehabilitation</t>
  </si>
  <si>
    <t>Facebook fanpage for community learning center, the challenge for communicate with local peple, privat sector and local government.</t>
  </si>
  <si>
    <t>https://www.facebook.com/????????????????????????????????????-???????????-399924273706158</t>
  </si>
  <si>
    <t>Migrant Children</t>
  </si>
  <si>
    <t>GR007-THA068</t>
  </si>
  <si>
    <t>Providee education to the children of migrants</t>
  </si>
  <si>
    <t>Samut Sakorn</t>
  </si>
  <si>
    <t>Parents of young children in Chiang mai province</t>
  </si>
  <si>
    <t>The Project ended as the FY started</t>
  </si>
  <si>
    <t>Partnership for Containment of Artemisinin Resistance and Moving Towards the Elimination of Plasmodium  (MAL-SSF)</t>
  </si>
  <si>
    <t>TH645-THA066</t>
  </si>
  <si>
    <t>Mr. Patipan Yutithamsathit</t>
  </si>
  <si>
    <t>patipan@raksthai.org</t>
  </si>
  <si>
    <t>To move towards eliminate Plasmodium falciparum malaria parasites in Thailand, with the aim  of reaching the targets of the Global Malaria Action Plan (GMAP) and Global Millennium Development Goals by 2015.</t>
  </si>
  <si>
    <t>9 provinces in Thailand:
1  province in Central - Ratchaburi,
3 provinves in East - Chonburi. Rayong, Trat,
2 provinces in Northeast - Si Sa Kat, Ubon Ratchathani,
3 provinces in South - Prachuap Khiri Khan, Songkhla, Surat Thani.</t>
  </si>
  <si>
    <t>Migrant population</t>
  </si>
  <si>
    <t>Total participants are calculated based on the LLIN's and ITNs distrubuted in the implementation area, and used as a proxy for the total number of participants expected to be reached during the project.</t>
  </si>
  <si>
    <t>The December 2017 evaluation will likely cover the full project and  will be used to inform the next phase of the project, should it be approved</t>
  </si>
  <si>
    <t>Incorporation of combination therapies to improve efficacy of treatment</t>
  </si>
  <si>
    <t>Increasing coverage of LLINs and ITNs of M1 and M2 population in A1 and A2 area</t>
  </si>
  <si>
    <t>Empower migrants community by promoting malaria awareness and LLIN usage through interactive communication</t>
  </si>
  <si>
    <t>Conduct Peer education in community by migrant health workers and volunteers and Training on knowledge and pratice of MHV to support prevention and treatment of target population</t>
  </si>
  <si>
    <t>Migrant Health Volunteer (MHV) plays the significant role to easily approach into target population and provide the education tool by communication without language barrier.</t>
  </si>
  <si>
    <t>Power Teen V</t>
  </si>
  <si>
    <t>GR006-THA068</t>
  </si>
  <si>
    <t>Mrs.nipa Chomphupa</t>
  </si>
  <si>
    <t>nipac7@gmail.com</t>
  </si>
  <si>
    <t>Mr.Manop Jitika</t>
  </si>
  <si>
    <t>Senior Field Officer</t>
  </si>
  <si>
    <t>Taliw-liw@hotmail.com</t>
  </si>
  <si>
    <t>Youth living with HIV, aged 12-24 years in Chiang Mai and Payao, have good physical and mental condition, with confidence and security to live in society, and are not being stigmatized by others.</t>
  </si>
  <si>
    <t>2 Northern Provininces of Thailand, which are Chiang Mai and Phayao</t>
  </si>
  <si>
    <t>Youth of the two provinces can live confidentially, with a strong network and supports from stakeholders of the government, private organizations, families to support a continuation of working.</t>
  </si>
  <si>
    <t>Promote Understanding of HIV Prevention among Women Migrant Workers</t>
  </si>
  <si>
    <t>GR005-THA068</t>
  </si>
  <si>
    <t>Ms.Nipa Chomphupa</t>
  </si>
  <si>
    <t>Chiang Mai Province of Thailand</t>
  </si>
  <si>
    <t>Women Migrant Workers</t>
  </si>
  <si>
    <t>No major changes were done during this FY</t>
  </si>
  <si>
    <t>Reducing the Prevalence Of Child Labour among migrant worker in Thai seafood industry (REPOCL)</t>
  </si>
  <si>
    <t>GR008-THA066</t>
  </si>
  <si>
    <t>Terre des Hommes Netherlands (TdH)</t>
  </si>
  <si>
    <t>To eliminate worst forms of child labour.</t>
  </si>
  <si>
    <t>2 provinces of North - Chiang Mai, Tak
1 provinces of Central - Samut Prakarn
2 provinces of South - Surat Thani, Nakhon Si Thammarat</t>
  </si>
  <si>
    <t>Children at risk of child labour and exploitation.</t>
  </si>
  <si>
    <t>The project initiate the prevention program to address worst forms of child labour in Thailand. After the implementation of this period, two schools agreed to let migrant children enrolling into their education service.</t>
  </si>
  <si>
    <t>Prevention of worst forms of child labour through the community outreach programme which provide the information on child labour/trafficking, notification procedures, and set up the community watch volunteer.</t>
  </si>
  <si>
    <t>Support the children to enroll in education system by providing financial support to those who are ready to join Thai formal education system, and provide those who are not ready with the service of Migrant Children Learning Center.</t>
  </si>
  <si>
    <t>Engage all stakeholder in the implementation areas, e.g. Government officials, law enforcement, and private sector, in order to enabling the environment that friendly for migrant children to participate in the education system.</t>
  </si>
  <si>
    <t>Low level of M&amp;E activity reflect in low performance.</t>
  </si>
  <si>
    <t>The inability to secure funding lead to the un-achieved planned objectives.</t>
  </si>
  <si>
    <t>The project concerning the worst form of child labour need to engage many actors in the community, such as children, families, Government agency, law enforcement, CSO, and private sector.</t>
  </si>
  <si>
    <t>The initial plan of this project is designed for 3 years implementation but Raks Thai and partners could only implement in 15 months period. This is due to that donor (TdH) could not secure funding for the grant, many activities that planned to continue in the later stage were put on hold so the project could not achieve its purposes.</t>
  </si>
  <si>
    <t>Please see the attachment of the narrative of the progress report of the project as well as the excel file which update the quantitative result.</t>
  </si>
  <si>
    <t>Strengthening Women Leaders to be Change Agent on Sexual and Reproductive Health Promotion</t>
  </si>
  <si>
    <t>Women Leaders, Women Village Health Volunteers, Women with HIV in Chiang Mai Province.</t>
  </si>
  <si>
    <t>Teen  Pregnancy (Prevention &amp; Solving Pregnancy of Teenagers in Chiang Mai,  Lamphun ,Phayao)</t>
  </si>
  <si>
    <t>TH677-THA085 (Lamphun) , TH676-THA085 (Chiang Mai), TH675-THA085 (Phayao)</t>
  </si>
  <si>
    <t>Thai Health Promotion Office</t>
  </si>
  <si>
    <t>Mr. Sawat  Khamfu</t>
  </si>
  <si>
    <t>Field Officer</t>
  </si>
  <si>
    <t>sawad2553@gmail.com</t>
  </si>
  <si>
    <t>Promotion of mechanisms for prevention and solving pregnancing problem of teenagers among government sector, social society organizations, and communities in Chiang Mai.</t>
  </si>
  <si>
    <t>3 Northern Provinces of Thailand, which are  Lamphun, Chiang Mai, .</t>
  </si>
  <si>
    <t>56 communities and 8 sub-districts of 3 provinces.</t>
  </si>
  <si>
    <t>NOVEMBER</t>
  </si>
  <si>
    <t>Social movement</t>
  </si>
  <si>
    <t>Thailand Regional Artemisinin Containment Initiative (RAI)</t>
  </si>
  <si>
    <t>TH690-THA066</t>
  </si>
  <si>
    <t>Mr. Shreehari Achara</t>
  </si>
  <si>
    <t>Program Officer,  Program Quality Department</t>
  </si>
  <si>
    <t>shree222shree@gmail.com</t>
  </si>
  <si>
    <t>Ms. Pasinee Sawadtayawong</t>
  </si>
  <si>
    <t>Program Assistant,  Program Quality Department</t>
  </si>
  <si>
    <t>pasinee@raksthai.org</t>
  </si>
  <si>
    <t>To make as large as possible contribution to the elimination of  Falciparum malaria from the GMS, and to prevent the emergence or spread of Artemisinin.</t>
  </si>
  <si>
    <t>9 provinces in Thailand:
2 provinces in North - Tak, Mae Hong Son
2  provinces in Central - Ratchaburi, Kanchanburi
1 provinve in East - Trat,
2 provinces in Northeast - Si Sa Kat, Surin,2 provinces in South - Prachuap Khiri Khan, Ranong.</t>
  </si>
  <si>
    <t>The December 2017 evaluation will likely cover the full project as a bridge between RAI and the potential second phase (RAI2E)</t>
  </si>
  <si>
    <t>1. LLIN/LLIHN distribute, Main protection tool distribute to people in community to protect at the first stage of Malaria.</t>
  </si>
  <si>
    <t>2. Community outreach provide training for volunteer, provide education (BCC tools) in community. This activity facilitate to engage with community and leading to create community resilience.  </t>
  </si>
  <si>
    <t>3. CSO sharing platform, as the pool of cso in GMS sharing knowledge, data on Malaria as well as lesson-learn and challenge</t>
  </si>
  <si>
    <t>Coordinate among government , private sector and CSO will booth to successful goal</t>
  </si>
  <si>
    <t>Volunteer is one of important factor to reach into community to create sustainable in community + community resilience.</t>
  </si>
  <si>
    <t>BHC can only test by MC staffs not by volunteer.</t>
  </si>
  <si>
    <t>Thailand Seafood Hotspot (Service contract)</t>
  </si>
  <si>
    <t>SE007-THA066</t>
  </si>
  <si>
    <t>Freedom Fund</t>
  </si>
  <si>
    <t>Significantly reducing slavery in the seafood industry in Thailand.</t>
  </si>
  <si>
    <t>Southern Provinces of Thailand, which are Ranong, Surat thani, and Songkhla.</t>
  </si>
  <si>
    <t>Modern slavery victims in the Thai Seafood Industry</t>
  </si>
  <si>
    <t>Shelter</t>
  </si>
  <si>
    <t>For advocacy purpose, Raks Thai did the study on shelter service provision to human trafficking victims, especially migrant. This study will later disseminate to partners, both GO and CSO to further utilize as they see fit. Moreover, Raks Thai had initiated the communication platform, www.Thailandseafoodhotspot.org, to strengthen network of organizations working toward anti-human trafficking.</t>
  </si>
  <si>
    <t xml:space="preserve">Increasing partnership between CSOs and GOs to collaboratively work together in order to fill gaps in anti- human trafficking works particularly in the seafood hotspot areas in Thailand. </t>
  </si>
  <si>
    <t>Increasing Thailand knowledge on shelter service provision for migrant victims of trafficking by conducting the study "Review of Shelter Services Provision to Victims of Trafficking in Thailand".</t>
  </si>
  <si>
    <t>There is still a gap in shelter service provide by GO in Thailand hence new order has been announced by the Ministry of Social Development and Human Security to let private sector including CSOs to operate shelter for human trafficking victims.</t>
  </si>
  <si>
    <t>Government officials are willing to have CSOs engage in anti-human trafficking work, as they launch the campaign of GO-CSO collaboration to end the trafficking issue in Thailand.</t>
  </si>
  <si>
    <t>There are several organizations working toward anti-human trafficking issue in Thailand. However, at this stage, there is few cooperation to be seen.</t>
  </si>
  <si>
    <t>Regarding the finding of the study, we found that there is still a large gap in mental health service provision in the shelters. Therefore, Raks Thai, under the support of Freedom Fund, will continue its work in 2018 with the aim to build the capacity of CSO in provide non-clinical mental health support to migrant victims of trafficking.</t>
  </si>
  <si>
    <t>Please see the attachment of the narrative of the progress report of the project as well as the "Review of Shelter Services Provision to Victims of Trafficking in Thailand".</t>
  </si>
  <si>
    <t>Tipco Asphalt Group Youth Hero</t>
  </si>
  <si>
    <t>CO001-THA 063</t>
  </si>
  <si>
    <t>Tipco Asphalt Group Co., Ltd.</t>
  </si>
  <si>
    <t>Mr. Tanaphong Surakai</t>
  </si>
  <si>
    <t>Mr. Thaworn Deerun</t>
  </si>
  <si>
    <t>Increase occupational  skills and marketing skills for students, as well as produce products and indirect income from their occupations.</t>
  </si>
  <si>
    <t>8 schools in Thailand, which are in the provinces of Pitsanulok (2 schools), Nakorn Ratchasima (2 schools), Rayong (2 schools), Surat Thani (2 schools).</t>
  </si>
  <si>
    <t>800 students in 8 secondary schools</t>
  </si>
  <si>
    <t>Where The Rain  Falls (Phase 4)</t>
  </si>
  <si>
    <t>GRN0017</t>
  </si>
  <si>
    <t>To contribute to the increased resilience and adpative capacities of ethnic minority communties from Northern highland areas to climate risks and climate change.</t>
  </si>
  <si>
    <t>21 communities in Chiang Mai province in both Kallayaniwattana and Mae Chaem districts</t>
  </si>
  <si>
    <t>Indigenous communities and ethnic minorities in Northern Thailand</t>
  </si>
  <si>
    <t>This project phase commenced in January 2017 and and has had no important changes in this FY.     </t>
  </si>
  <si>
    <t>A full evaluation has not been conducted since starting in January 2017. As such, top strategies contributing to the outcomes have not been observed at the time of reporting</t>
  </si>
  <si>
    <t>Farmers in highland target areas have little access to communication and transportation means. They lack access to new production technologies. In the same way, some ethnic communities have no or at least limited proficiency in Thai language. Thus, they lack the opportunity to strengthen their potential under the strong competition in the country</t>
  </si>
  <si>
    <t>Highland ethnic farmers are lacking secured access to land right and use, as well as access to funding sources, fund accessibility and production inputs.</t>
  </si>
  <si>
    <t>Youth Empowerment in Chiang Mai Highland Area</t>
  </si>
  <si>
    <t>GR010-THA089</t>
  </si>
  <si>
    <t>Swarovaski</t>
  </si>
  <si>
    <t>Children actively engage in sustainable water management, sanitation and hygiene</t>
  </si>
  <si>
    <t>Yang Pian sub-district, Okmoi District, Chiang Mai province</t>
  </si>
  <si>
    <t>3 local schools in 3 villages (Mae Lan, Kong Sang, Sob Lan)</t>
  </si>
  <si>
    <t>667 students and 35 teachers were direct benefitiaries</t>
  </si>
  <si>
    <t>An activity based learning teaaching methid has been applied to the Swarovski Water School, allowing chidren to understand the difference between safe water and unsafe water and how the water</t>
  </si>
  <si>
    <t>Children are able to address their water related problems during the project based learning process and they want to solve the problems and they feel that the problems related water are important to their well-being.</t>
  </si>
  <si>
    <t>Children play a critical role in sharing ideas relating to the design of the program and will be included as participants during the next development phase</t>
  </si>
  <si>
    <t>Timor-Leste</t>
  </si>
  <si>
    <t>HANDS. Acronym for Tetum phrase "Halimar, Aprende no Discobre Suseso" meaning "Play, learn &amp; discover success".  </t>
  </si>
  <si>
    <t>TLS073</t>
  </si>
  <si>
    <t>Peter Raynes</t>
  </si>
  <si>
    <t>Country Director - CITL</t>
  </si>
  <si>
    <t>Peter.Raynes@careint.org</t>
  </si>
  <si>
    <t>Shoaib Danish</t>
  </si>
  <si>
    <t>Education Coordinator - CITL</t>
  </si>
  <si>
    <t>Shoaib.Danish@careint.org</t>
  </si>
  <si>
    <t>Improved students learning skills in education sector through distribution of learning materials to Pre-Schools</t>
  </si>
  <si>
    <t>Pre schools in 13 municipalities in Timor-Leste</t>
  </si>
  <si>
    <t>Students at Pre school level</t>
  </si>
  <si>
    <t>The project distribution initial plan was expected to finish on 15 July 2016. However,  the MoE raised an issue on the quality of some of the learning materials therefore leading to delays and the project eventually requiring an extension until December 2016.</t>
  </si>
  <si>
    <t>Advocacy. CARE International in Timor-Leste's advocacy to the MoE in order to provide orientation to Pre-School teachers on how to use learning materials to teach the students in an efficient and effective manner.</t>
  </si>
  <si>
    <t>Strong operational capacity. CARE International in Timor-Leste has strong operational systems and processes enabling us to make effective and efficient use of resources towards cost-effective outcomes.</t>
  </si>
  <si>
    <t>Multiplying impact. CARE International in Timor-Leste has been able to leverage distribution to schools by linking it directly to existing Lafaek Learning Media project which is already reaching every pre-primary and primary school in the country.</t>
  </si>
  <si>
    <t>An important lesson learnt from the HANDS project is that CARE International in Timor-Leste needs to confirm project materials (including quality) with the relevant Ministry/Directorate before start up of implementation.</t>
  </si>
  <si>
    <t>CARE International in Timor-Leste should obtain Ministry/Directorate's  written approval before starting a project.</t>
  </si>
  <si>
    <t>A challenge is that the Pre-Schools do not have adequate management systems in place to manage and use existing learning materials.</t>
  </si>
  <si>
    <t>Lafaek Learning Media (LLM)</t>
  </si>
  <si>
    <t>TLS069</t>
  </si>
  <si>
    <t>TLS075</t>
  </si>
  <si>
    <t>Funds provided by CARE Japan raised through private donors.</t>
  </si>
  <si>
    <t>Education Program Coordinator</t>
  </si>
  <si>
    <t>shoaib.danish@careint.org</t>
  </si>
  <si>
    <t>I. Improved family social and economic well-being, II. Improved learning outcomes</t>
  </si>
  <si>
    <t>13 Municipalities of Timor-Leste</t>
  </si>
  <si>
    <t>Students and teachers in pre-schools and primary schools across the country. Community members in 80,000 households in rural and disaventaged areas.</t>
  </si>
  <si>
    <t>Direct participants of the projects are the pre- and primary school students (till grade 4), their teachers and the parent who received the Lafaek Community magazines. Their numbers are calculated based on the number of students and teachers who receive education materials. The data collected disaggregated by gender and disability. Indirect participants of the project are parents of the students (in case they are not receiving the Lafaek Community magazines) the siblings and other members of the family.</t>
  </si>
  <si>
    <t>Basline evaluation had been conducted 2 times. The first was in June 2015 for Lafaek Kiik, ba Komunidade and ba Manorin, while the second in July 2016. This difference is because Lafaek Prima had been launched at that time.</t>
  </si>
  <si>
    <t>Although we did not have innovation in this fiscal year,but we have been implementing the sponsorship model, which has the potential to transform in the Lafaek ba Komunidade into a social entrprise. And we have just launched the Lafaek Facebook page.</t>
  </si>
  <si>
    <t>In the last quarter of 2016 the project has been launched an online monitoring system provided by ONA. Field officers upload data about distribution of education materials. It gives first hand a real time data that allow us to give support immediately when it is necessary.</t>
  </si>
  <si>
    <t>Local NGOs have contributed in the distribution of education materials.</t>
  </si>
  <si>
    <t>The project made major improvements in the M&amp;E system. It puts the focus on real time data collection, mobile monitoring, and collecting more human interest stories from the field. This meant that the M&amp;E team had to e expanded.It helps to ensure more accurate data collection and analyses.</t>
  </si>
  <si>
    <t>Sponsorship model: in order to establish sustainability of Lafaek Komunidade, a sponsorship model had be worked out, where content of the magazine is being developed with the specific topic of a sponsor. For this the project also strethen the marketing activities to reach potential sponsors (i.e. private companies, local NGOs, INGOs, goverment institutions)</t>
  </si>
  <si>
    <t>Digital M&amp;E system: Online M&amp;E system had been launched in October 2016. The paper forms were turned into online digital forms, which helps collect real time data about households and schools. It also has the feature to collect GPS coordinates, that help localize the schools and pre-schools in the country.</t>
  </si>
  <si>
    <t>New distribution model: In the first part of the project distribution of Lafaek ba Komunidade had been made through the head of the villages. However, the experiences showed that the magazine could not reach enough households. Thus, with the new distribution model, the magazine is beeing distributed thourgh the schools. Students and teachers get magaziens, which helped to increase the distribution numbers significantly.</t>
  </si>
  <si>
    <t>During the launching the online monitoring system the project faced challenge of data collection and handling. It was needed to organize trainings and refreshing trainings in order to prepare the colleagues how to collect data. The trainings provided so far have helped us to build the capacity of our staff to work with the online monitoring system.</t>
  </si>
  <si>
    <t>Delays in distribution of school and community magazines due to late arrival of the shipment, road and weather condition; i.e rainy season. Project has revisited the production calendar and has improved the planning process for distribution in order to deal with these delays.</t>
  </si>
  <si>
    <t>Notes on data provided: 1) As for the expected beneficiaries data had been calculated based on the project's yearly target. The direct beneficiaries for the life of the project add up to 310000 individuals (taking into account the addition of 19000 pre-school students and 21000 grade 1 students). As calculation for the indirect beneficiaries for the whole life of the project is concerned, this will be difficult to do because of the existence of siblings and the risks of reporting significant number of duplicates. 2) Lafaek Prima project started in FY16 (year 2) and hence can't be counted towards the targets in beneficiaries for year 1. 3) In order to avoid doublecounting in the expected beneficieries and also in participants an estimation was made to define the proportion and number of siblings in the schools and the households. Based on our current data, around 23% of students have siblings in the schools. We have mainly used the project datasets to report the numbers here, but in some cases we have used the National Census 2015 data such the percentage of male/female population. 4) Regarding the sectors which are covered by the Lafaek magazines, the community magazine provide contents for most of the categories listed hence we have only mentioned the number of people who are receving the community magazines in the first row and we didn't want to mention the same number in all othe rows that would result in the same people getting counted for several times. For the indirect beneficiaries we have excluded the students who are receiving the school magazines. For the education sector, we have included only the students because thier parents are being counted in the first row. Therefore the numbers in this section can't be just added up as there are obvious duplications, but if the focus is one individual row/sector then the numbers can be reported as they are.</t>
  </si>
  <si>
    <t>Promosaun Praktika Importante iha Uma no Familia liu husi Grupu Supporta Inan no Kuidadu Saude Primaria (PPI) project</t>
  </si>
  <si>
    <t>TLS 074 / TL 218</t>
  </si>
  <si>
    <t>Grishma Bista</t>
  </si>
  <si>
    <t>SRMH and Women's Voice Coordinator</t>
  </si>
  <si>
    <t>Grishma.Bista@careint.org</t>
  </si>
  <si>
    <t>To improve the health of mothers, infants and young children in Ermera Municipality</t>
  </si>
  <si>
    <t>In Ermera Municipality</t>
  </si>
  <si>
    <t>Mothers of Reprodutive age, Fathers, Community Leaders, Traditional Birth Attendants and Children under 5  in Ermera Municipality</t>
  </si>
  <si>
    <t>The direct beneficiaries are counted from the number of Health Workers trained to establish Mother Supprt Groups, Village Heads, and actual Mother Support Group members.  For indirect beneficaries, the total direct beneciaries was deducted from the total population in Municipality Ermera as the project covers the entire municipality and information is expected to reach at least one member of each household through the Mother Support Group members.  (Total Population-direct beneficiaries = Indirect Beneficaries).</t>
  </si>
  <si>
    <t>A small end of project review is planned for November 2017. The review will include a FGD and Key Informant Interviews with the target beneficiaries in order to seek feedback on the effectiveness and sustainability of the project. The key interviewees will be: trained health workers, Mother Support Group members, Village Council and women in the community.</t>
  </si>
  <si>
    <t>The 52 Mother Support Groups have been established in Ermera following the Ministry of Health guidelines. The plan for MoH is to roll it out in all 13 municipalities.</t>
  </si>
  <si>
    <t>CARE is supporting the MoH to roll out its guideline. CARE has repeatedly flagged it with the MoH and the donor that the project could be more transformative if certain aspects such as engaging with men and boys or the structural element are strengthened further. However, due to budgetary contstraints these suggestionst have not been taken on board yet.</t>
  </si>
  <si>
    <t>Mother Support Group is considered an effective approach to provide SRMH-related and Nutrition messages to women in communities and also ensure there is an increased number of women in accessing the health services.</t>
  </si>
  <si>
    <t>Involving the Health Workers in the project implementation is expected to promote a sense of ownership and contributing towards the sustainability of the project.</t>
  </si>
  <si>
    <t>The health workers involved in facilitating training to mother support groups have competing priorities and demands from the government. Without proper resourcing and rethinking about the responsibilities of doctors and midwives based at the village and hamlet level, it will be difficult to continue to expect them to monitor and support the established Mother Support Groups.</t>
  </si>
  <si>
    <t>The support materials produced by the MoH is not suitable for low literate adults who are a part of the Mother Support Groups.</t>
  </si>
  <si>
    <t>Response to El Nino Project</t>
  </si>
  <si>
    <t>Action for Resilient Communities in Timor-Leste TL218</t>
  </si>
  <si>
    <t>The Supplementary Feeding Project TLS078</t>
  </si>
  <si>
    <t>ERF El Nino Drought Project TL230</t>
  </si>
  <si>
    <t>CA El Nino Drought Project TL231</t>
  </si>
  <si>
    <t>CARE Australia Emergency Appeal for El Nino</t>
  </si>
  <si>
    <t>START Viqueque Drought Project TL232</t>
  </si>
  <si>
    <t>The goal of the initiative was to provide humanitarian health, nutrition, and food security support to pregnant and breast feeding mothers and their families from disadvantaged households in communities most heavily affected by the 2015/16 El Nino drought in Timor-Leste  </t>
  </si>
  <si>
    <t>The programming initiative took place in 86 hamlets across the municipality of Viqueque in Timor-Leste</t>
  </si>
  <si>
    <t>The main beneficiaries are pregnant and breastfeeding women and their families in disadvantaged, rural Viqueque municipality</t>
  </si>
  <si>
    <t>Direct participants are those pregnant and breastfeeding mothers and their children (1734) who were assisted with supplimentary feeding products by the largest phase of the program; the direct participants includes male and female children who were assisted with supplementary feeding products; the direct beneficiaires include men who attended the sessions on supplementary feeding, DRR and gender equity sessions which were given during distribution of the supplementary feeding products (1673); The indirect beneficiaries are other households members from the households where pregnant and breastfeeding women and children were assisted, minus the numbers of women, children, and men who have been calculated as direct beneficiaries (total:5344).</t>
  </si>
  <si>
    <t>The evaluation was a peer review conducted by all the agencies in the consortium of humanitarian responses. It looks at whether outputs were acheived in relation to plans, at lessons learned as a result of the work and provides key recommendations.</t>
  </si>
  <si>
    <t>Action to influence government recognition of El Nino drought and its impacts on rural populations in most effected areas.</t>
  </si>
  <si>
    <t>The initiative used tablets and online data entry for rural-based assessments. This produced increased accuracy and speed for assessment results and was the first time the process had been used by INGOs for such a process in Timor-Leste.</t>
  </si>
  <si>
    <t>The initiative increased engagement with local government and key services including municipal health and agricultural extension workers, and also community leaders, in order to strengthen the sustainability, and enhance the enabling environment for key outcomes, including gender equality goals.</t>
  </si>
  <si>
    <t>Engaging community leaders, e.g. around identification of most vulnerable households through key criteria.</t>
  </si>
  <si>
    <t>Engaging goverment service providers, including Ministry of Agriculture and Fisheries for technical support, and increased sustainability.</t>
  </si>
  <si>
    <t>Engaging with men and boys, to promote increased understanding of maternal nutrition and health.</t>
  </si>
  <si>
    <t>Strengthen coordination with local authorities as a mechanism to progress advocacy, including involvement of municipal level authorities to respond.</t>
  </si>
  <si>
    <t>For resilience programming - localised, in-depth assessments can ensure interventions are appropriate and effective for local conditions.</t>
  </si>
  <si>
    <t>Gender and disability should be strengthened to ensure womens leadership and voice and active participation of people with disabilities including design, implementation and evaluation.</t>
  </si>
  <si>
    <t>The intiative was made up of a series of successive humanitarian response projects to support most vulnerable households in areas most heavily impacted by the El Nino drought. Two of the projects involved consortia of INGOs, and one was a partnership with WFP to support supplementary feeding.</t>
  </si>
  <si>
    <t>Safe Motherhood Project (SMP)</t>
  </si>
  <si>
    <t>TLS046</t>
  </si>
  <si>
    <t>SRMH and Women's Voice Program Coordinator</t>
  </si>
  <si>
    <t>The overall goal of the project is to decrease maternal mortality and morbidity</t>
  </si>
  <si>
    <t>Ermera Municipality ( Administrative Post of Atsabe) and Covalima Municipality (Administrative Post of Maukatar, Fatululik and Tilomar)</t>
  </si>
  <si>
    <t>Women of reproductive age in remote disadvantaged communities</t>
  </si>
  <si>
    <t>The direct beneficaries is calculated as the total number of Mother Support Group members (566), total number of community mobilizers (43), nght event Participants (1671), family of MCG members attending the health education sessions (248), participants during the  Municipality level score card meetings (48), and Family Health Day participants (997). For the indirect beneficaries , it is calculated as the total population in the target areas after reducing the total direct beneficaries.</t>
  </si>
  <si>
    <t>The project  has been working through its partner to raise understanding about social accountability</t>
  </si>
  <si>
    <t>Most men in the target communities are farmers and work in the field during the day time making it very hard to reach them. Night events were held in order to reach more men in order to disseminate information about family planning, danger signs, importance of ante and post natal care and supporting their wives to access the services.</t>
  </si>
  <si>
    <t>Engaging men in the activity has proved to be an effective strategy. By implementing night events, the husbands are also aware of the obejctive of the project and are more supportive of women accessing the health services.</t>
  </si>
  <si>
    <t>Community Score Card approach has been perceived as useful by both community members and service providers. It is not so much that they were unaware of the issues going on but implementing the CSC helped formalise their issues and gave them a means to talk to Municipal authorities about their issues in a succinct manner.</t>
  </si>
  <si>
    <t>The project took on a local CSO as a partner to implement the Community Score Card process. CARE in Timor-Leste ourselves were learning the process making it difficult to mentor and strengthen the civil society partner. It is better to wait to take on a partner while you are learning the process yourself.</t>
  </si>
  <si>
    <t>The project took on a scattered geographic area within a given municipality. It has been a lesson to go deep in to a geographic area and demonstrate results rather than scatter the resources.</t>
  </si>
  <si>
    <t>Atsabe Rural Development Project for Improvement of Livelihoods (HAFORSA) Project</t>
  </si>
  <si>
    <t>TLS076</t>
  </si>
  <si>
    <t>Kaoru Yamagiwa</t>
  </si>
  <si>
    <t>Kaoru.Yamagiwa@careint.org</t>
  </si>
  <si>
    <t>The project goal is to improve agricultural livelihood opportunities in Atsabe. As such the project aims to strengthen the capacity of farmers and to strengthen the capacity of women participating in farmers groups.</t>
  </si>
  <si>
    <t>Sub-municipalities (Administrative Post)</t>
  </si>
  <si>
    <t>Farmers especially female farmers, local authorities, extension workers, and community people in general</t>
  </si>
  <si>
    <t>Direct expected participants are 450 farmers (15 farmers per group x 30 groups). Ten out of 30 are comprised only of women, whereas the mix groups are expected to comprise 50% of women. Hence it is estimated that 300 women and 150 men are direct beneficiaries. Indirect partitipants are 1280 households, or 5965 persons (male:2872 persons/female:2943 persons). In the HAFORSA target areas, 5965 persons live in 22 aldeias. Besides the formation of farmers groups and technical training to them, HAFORSA also involves community people in conducting Climate Vulnerability Capacity Assessment (CVCA), Aldeia Reilience Action Plan (ARAP), community based soil and water protection work, and gender related training which involves community population. While the participants for these activities maybe limited,  almost all the community members will get indirect benefit from these activities. This number number reflected here has the direct members deducted.</t>
  </si>
  <si>
    <t>Baseline was conducted at the initial stage of the project before the farmers groups were formed. However, the indicators mostly refer to the progress for farmers groups, Hence 'follow-up base line survey' has been carried out in 2016 and continued in 2017 for established farmer groups. When the final evaluation is conducted, the data will be compared to baseline. It is hoped that tablets will be used for data collection for the final evaluation as it is more efficient and time saving.</t>
  </si>
  <si>
    <t>Gender equality, women's active participation in livelihood activities</t>
  </si>
  <si>
    <t>The project piloted planting agriculture products which have higher market value such as onions, peanuts, turmeric, and some other horticulture products. While some products did not turn out well due to rain (broccoli and turmeric), onions and bakchoy had good results, which assured the project to upscale planting these products in the area.</t>
  </si>
  <si>
    <t>Establishing and supporting only female farmer groups: HAFORSA supported establishing 30 farmer groups. Groups were formed by the community based on some criteria that HAFORSA suggested which included establishment of 10 female farmer groups. It seems that female only groups are very active and taking initaitives, while getting support from male family members.</t>
  </si>
  <si>
    <t>Engaging men sessions: Apart from the Gender Equality sessions where both men and women participate, HAFORSA started to hold 'Engaging Men and Boys' Session. It is an opprotunity for men to rethink about men's roles, men's weaknesses that they cannot voice out, and what they can do to support women, while they can reflect about their life to trace their way of thinking and behavior. It is not an one-off process, but having an initial session is a good start. This session needs to be continued for changing their mind-set for gender.</t>
  </si>
  <si>
    <t>CVCA (Climate Vulnerability and Capacity Analysis): At the beginning of the intervention, HAFORSA held CVCA in each Aldeia to discuss and understand the situation of natural resouces and disasters, livelihood practices, and needs of the communities. Thie excerise made it possible for HAFORSA to determine their priorities and elements of support such as types of crops and loation of soil and water protection.</t>
  </si>
  <si>
    <t>Unpredictable weather affected the planting of the seeds and the harvest of the agriculture products.</t>
  </si>
  <si>
    <t>Project proposal (project document) and log frame for HAFORSA. HAFORSA Annual report (in Japanese). Baseline survey</t>
  </si>
  <si>
    <t>Turkey</t>
  </si>
  <si>
    <t>Improving workforce preparedness of 400 Syrian refugees in Gaziantep within four months.</t>
  </si>
  <si>
    <t>Salah Hamwi</t>
  </si>
  <si>
    <t>Salah.Hamwi@care.org</t>
  </si>
  <si>
    <t>Improve Syrian men, women and youth employability through skills development (through vocational trainings and language courses) and linkages with employers</t>
  </si>
  <si>
    <t>Turkey - Gaziantep Province - Gaziantep city</t>
  </si>
  <si>
    <t>Syrian refugees participating in trainings and courses have increased skills and work force preparedness</t>
  </si>
  <si>
    <t>The registration form should include specific questions to ensure identification of individuals. Unique number for identification should be allocated to each participant with a verification procedure put in place if needed.</t>
  </si>
  <si>
    <t>All CARE staff, participants, and service providers agreed that four months was a very short period in which to implement and achieve the goal of the project with the best possible quality.</t>
  </si>
  <si>
    <t>Consider focusing programming on small business support where equipment is provided to participants, as well as training</t>
  </si>
  <si>
    <t>Information Volunteers: Community-based Protection Program for Syrian Refugees in Southern Turkey</t>
  </si>
  <si>
    <t>Elcin</t>
  </si>
  <si>
    <t>Elcin.Cavlan@care.org</t>
  </si>
  <si>
    <t>Refugee women, girls, boys and men receive critical protection information and have increased access to protection services and support</t>
  </si>
  <si>
    <t>Turkey - Sanliurfa Province - Birecik and Halfeti districts, Turkey - Ankara Province - Beypazari, Altindag, Polatli and Haymana districts</t>
  </si>
  <si>
    <t>To contribute to strengthening protection of vulnerable Syrian refugee women, girls, boys and men in Turkey</t>
  </si>
  <si>
    <t>The project team requires improved access database with queries that enable them to get outputs they need.</t>
  </si>
  <si>
    <t>Find suitable and suitable venue to conduct the sessions. One of these venue is to have community center, so, people can go there and conduct the sessions with them.</t>
  </si>
  <si>
    <t>Conduct trainings related to PO for PO team in regular basis to build team capacity.</t>
  </si>
  <si>
    <t>Urgent basic humanitarian assistance, and coordination of information needs, for Syrian refugees in Turkey</t>
  </si>
  <si>
    <t>Urgent and critical food and non food needs of refugees are met and their vulnerabilities reduced</t>
  </si>
  <si>
    <t>Turkey - Sanliurfa Province - Birecik and Halfeti districts</t>
  </si>
  <si>
    <t>To contribute to meeting urgent basic needs of vulnerable Syrian refugee women, girls, boys and men in Turkey.</t>
  </si>
  <si>
    <t>This project has been completed and no same future project amd the evaluation for this project has been completed in this fisical year</t>
  </si>
  <si>
    <t>Through Providing providing basic needs  e-vouchers that covers most of family monthly basic needs</t>
  </si>
  <si>
    <t>Working in areas where CARE registered will enable to us to have sub-office in the area - second solution would be to hire staff/volunteers from the area of operation where they can access field easily.</t>
  </si>
  <si>
    <t>Push more the e voucher supplier to offer us better commission % so the shopkeepers costs will be less.</t>
  </si>
  <si>
    <t>Contracting with more shops in order to increase the competency</t>
  </si>
  <si>
    <t>Urgent winterization needs of highly vulnerable refugees in Turkey</t>
  </si>
  <si>
    <t>Sharmeela Aminath</t>
  </si>
  <si>
    <t>Aminath.Sharmeela@care.org</t>
  </si>
  <si>
    <t>Urgent and critical winterization needs of refugees are met and their vulnerabilities reduced</t>
  </si>
  <si>
    <t>To contribute to meeting urgent winterization needs of vulnerable refugee women, girls, boys and men in Turkey.</t>
  </si>
  <si>
    <t>Through Providing providing winterization  e-vouchers that covers most of family monthly winter needs</t>
  </si>
  <si>
    <t>To advocate through the winterization task force to identify different modalities for distributing cash as response to winter need</t>
  </si>
  <si>
    <t>Identify secured or big space for distribution to get all the beneficiaries inside, in the bad weather</t>
  </si>
  <si>
    <t>Interventions In Refugee Camp Aim To Meet Basic Needs And Improve Hygiene Practices</t>
  </si>
  <si>
    <t>Aiming to meet basic needs and improve hygiene practices for refugee in Kills camp</t>
  </si>
  <si>
    <t>Turkey - Kills Province - Kills camp</t>
  </si>
  <si>
    <t>Syrian refugees in Kills camp their hygiene practice have increased</t>
  </si>
  <si>
    <t>Uganda</t>
  </si>
  <si>
    <t>FOREST RESOURCES SECTOR TRANSPARENCY PROGRAMME IN UGANDA (FOREST)</t>
  </si>
  <si>
    <t>CDNKUG0036/DK116</t>
  </si>
  <si>
    <t>Annet Kandole Balewa</t>
  </si>
  <si>
    <t>Manager FOREST Sub-Programme</t>
  </si>
  <si>
    <t>Annet.kandole@care.org</t>
  </si>
  <si>
    <t>Delphine Norah Mugisha</t>
  </si>
  <si>
    <t>Delphine.Mugisha@care.org</t>
  </si>
  <si>
    <t>Civil society has increased transparency, accountability and responsiveness in forest governance to the benefit of poor Ugandan citizens (men and women)</t>
  </si>
  <si>
    <t>Albertine Rift Region Districts of Kiryandongo, Masindi, Buliisa, Hoima, Kibale, Kyenjojo, Kyegegwa, Mubende and Kabarole</t>
  </si>
  <si>
    <t>Forest Adjacent communities (poor men and women)</t>
  </si>
  <si>
    <t>Direct participants are individuals who live in Parishes adjacent to forest reserves. A parish is the penultimate administrative level in Uganda. Direct partiipants also include individuals who participate in project activities such as meetings at the sub-county, district and national levels. The indirect are those reached by participants who directly participate in/benefit from project activities (It is assumed that each direct participant in the project reaches 4 other people in their household. This is arrived at from the National Housing and population census 2014 which placed each household size in Uganda to be 5 persons on average.  Indirect may also individuals reached via social and mass media platforms. The project began using such media for its advocacy platform in the past fiscal year.</t>
  </si>
  <si>
    <t>Final evaluation till the project team decides whether or not the impact study for the project can consitute a final evaluation</t>
  </si>
  <si>
    <t>Advocacy against practices that undermine existing polices. For example, issuing of land titles in forests that have been designated by policy as forest reserves without following due process of degazettment  (gazettment - when a portion of land is designated as a forest reserve managed by the govenrment for the people); Government trying to establish crop plantation in areas designated as forest reserves.</t>
  </si>
  <si>
    <t>(1) social media advocacy : using social media like twitter to promote advocacy around the undermining of exisiting policy and the Government's decision to use forest reserves for crop plantation (2) Working with private sector companies specifically tea companines to create shared value ecosytems in which these companies invest in the work CARE does around environmental sustainbility and simultaneously improve their ability to make a profit.</t>
  </si>
  <si>
    <t>CARE conducted a social media tralning for the partners which provided them with knowledge and skills in conducting social media compaigns.</t>
  </si>
  <si>
    <t>The project initiated to engagements with private sector institutions to further enhance progress towards achievement of its objectives. A Private Sector Advisor was employed to develop a private sector strategy and spearhead engagements with Private Sector  </t>
  </si>
  <si>
    <t>Community Based Monitoring Model through the use of Information Communication Technology</t>
  </si>
  <si>
    <t>Investigative Journalism</t>
  </si>
  <si>
    <t>Networking and Alliance building as well as engaging duty bears (government) through a non-confrontational manner.</t>
  </si>
  <si>
    <t>Alliance building and networking between CSOs and selected individuals or departments within the target government enhances quick achievement of advocacy results, maintains long term relations for future engagements.  Based on this lession, CARE and the project and partners are working together with government to put in place a Benefit sharing guideline in Central Forest Reserves; operationalizing the Tree Fund and resolving the issue of illegal titles in forest reserves.   </t>
  </si>
  <si>
    <t>Investigative Journalism produces credibale evidence that helps to sustain advocacy efforts and the demand for justice. It is through evidence generated from investigative journalism that the project has been able to sustain the campaign against issuance of illegal land tiltles in forest reserves and to demand for cancellation of those already issued. The campaign has been picked by the Commission of Inquiry on Land matters that was constitued by the Cabinet.</t>
  </si>
  <si>
    <t>The use of Social media is very effective in mobilzing the masses against degradation of natural resources. During the FY a total of 15,319,157 people were indirectly reached through twItter. Through this campaign the degradation of Zoka forest reserve was haulted and government cancelled 154 land titles issued in forest reserves.    </t>
  </si>
  <si>
    <t>(1)The project also works at The district level not just the national (2) The numbers for development sectors cannot be divided up all participants contribute to all the sectors that were reported.</t>
  </si>
  <si>
    <t>FOREST Programme Harmonized Monitoring and Evaluation Framework; FOREST Quarterly Progress Reports for FY17; FOREST Impact Study Report 2017.</t>
  </si>
  <si>
    <t>Partners for Resilience Strategic Plan</t>
  </si>
  <si>
    <t>NL178</t>
  </si>
  <si>
    <t>Anguparu Monica</t>
  </si>
  <si>
    <t>Initiative Manager DRR</t>
  </si>
  <si>
    <t>Monica.Anguparu@care.org</t>
  </si>
  <si>
    <t>Kandole Annet</t>
  </si>
  <si>
    <t>Program Manager WENG</t>
  </si>
  <si>
    <t>Annet.Kandole@care.org</t>
  </si>
  <si>
    <t>To Integrate Risk Management into programes for resilience building among vulnerable communities</t>
  </si>
  <si>
    <t>Uganda, Kenya, South Sudan, Ethiopia, Philipines, Mali, Indonesia, Haiti, Quatemala and India. In Uganda the project is implemented at National and in Otuke district.</t>
  </si>
  <si>
    <t>women, men, girls and boys</t>
  </si>
  <si>
    <t>Direct participants are individuals reached through their direct participation in various project activities. The indirect are those reached by participants who directly participate in/benefit from project activities (It is assumed that each direct participant in the project reaches 4 other people in their household. This is arrived at from the National Housing and population census 2014 which placed each household size in Uganda to be 5 persons on average.</t>
  </si>
  <si>
    <t>Final evaluation yet to be jointly decided by the alliance members</t>
  </si>
  <si>
    <t>Packaging a training for district, civil society and private sector on climate change and Disaster management policies</t>
  </si>
  <si>
    <t>(1) Worked with National Climate Smart Agriculture and INGO ACSA alliance to review the CSA framework.</t>
  </si>
  <si>
    <t>CARE conducted a joint regional capacity building in advocacy for partners. CARE also provided technical support in reviewing the activities of the country partners for better alinment to resilience building and enabling environment. Additionally, CARE also buil capacity of the authorities in NCC policy and facilitated design of ENR bill.</t>
  </si>
  <si>
    <t>The review of project plan included girls and boys in addition to the women and men. National dialogues also focussed on CBA for girls and boys as part of a whole community.</t>
  </si>
  <si>
    <t>Model farmers</t>
  </si>
  <si>
    <t>Understanding government processes, systems and procedures so as to know what, when, where, how, whom, why to engage them in the project cycle.</t>
  </si>
  <si>
    <t>Dialogues with community creates learning of indigenous knowledge and enriches approaches for project planning, implementation, monitoring and reporting</t>
  </si>
  <si>
    <t>Government is very interested in aligning CSO plans to government plans at all levels as well as sharing of CSO reports for inclusion into the national sector performance assessments to enhance learning, coordination and reporting of CSOs deliverables.  </t>
  </si>
  <si>
    <t>The project shifted from direct implementation of livelihoods activities to capacity building, policy dialogue and scaling up good practices among CSOs, government, private sector and researchers at district, national, and regional level.</t>
  </si>
  <si>
    <t>PFR Reports can be accessed from: https://docs.google.com/spreadsheets/d/1sst9N2m51jSF2lFob-uw9mKWcB0NDcpTUNu8VaxvRnQ/edit#gid=0</t>
  </si>
  <si>
    <t>GENDER EQUALITY AND WOMEN'S EMPOWERMENT PROGRAMME (GEWEP)</t>
  </si>
  <si>
    <t>CNORUG0021</t>
  </si>
  <si>
    <t>Ronald Matanda</t>
  </si>
  <si>
    <t>Ronald.Matanda@care.org</t>
  </si>
  <si>
    <t>Adokorach Caroline Brenda</t>
  </si>
  <si>
    <t>carol.adokorach@care.org</t>
  </si>
  <si>
    <t>Gender Equality and Empowerment of vulnerable women and girls in northern Uganda promoted and stregthened.</t>
  </si>
  <si>
    <t>Northern Uganda districts of( Gulu, Amuru, Nwoya, Pader, and Kitgum).</t>
  </si>
  <si>
    <t>Women and girls of reproductive age (15-49 years) from 600 existing VSLA groups</t>
  </si>
  <si>
    <t>Direct participants are impact groups who have benefited from interventions or training support such as VSLA, private sector/financial linkages, Mkt information, SPM training, FAL etc They therefore have access and control over economic resources. Indirect participants are members of participating or targeted households</t>
  </si>
  <si>
    <t>The project just documented best stories since it was a transition phase of a project that had been running (ROCO KWO)</t>
  </si>
  <si>
    <t>Importance of financial linkages between VSLA groups and financial institutions</t>
  </si>
  <si>
    <t>Financial linkages between VSLAs and financial insitutions</t>
  </si>
  <si>
    <t>No changes/adjustments made in this FY</t>
  </si>
  <si>
    <t>Engaging men and Boys</t>
  </si>
  <si>
    <t>Cultural rigidity still considered a challenge especially in the areas of women control and ownership over productive resources such as land. Some men on the other hand deny their wives from participation in politics/leadership with myths that they will become big headed and get another man, make the children suffer at home and weaken family relationship.</t>
  </si>
  <si>
    <t>High illiteracy level among women makes it difficult for them to apply interventions knowledge, skills and some technology to boost economic activities. They therefore still require skilled but hired labour which in most cases are the men.</t>
  </si>
  <si>
    <t>Climate Change presented in form of prolonged dry spell has been experienced as the biggest risk to womens agricultural activities which is the backbone of the Populace. This negative change in climate affects harvest (quantity and quality) and more over affects loan servicing for VSLA members who have borrowed money from either VSLA or banks.   </t>
  </si>
  <si>
    <t>GEWEP II Results framework Uganda</t>
  </si>
  <si>
    <t>SRMCH (Improving Access to Reproductive, Child and Maternal Health in Northern Uganda)</t>
  </si>
  <si>
    <t>CAUTUG0021</t>
  </si>
  <si>
    <t>Ronald Ogal</t>
  </si>
  <si>
    <t>rogal@care.org</t>
  </si>
  <si>
    <t>Contribute to improved Reproductive, Maternal and Child Health amongst the target population</t>
  </si>
  <si>
    <t>Northern Uganda, covering the three districts of Gulu, Amuru and Nwoya</t>
  </si>
  <si>
    <t>Post-conflict affected, poor and  vulnerable women and girls (15-49 years of age)</t>
  </si>
  <si>
    <t>Direct participants are the role model men and members of their households, members of the 10 participating households, trained health workers and local leaders. This also include members of the Parents Teachers Association (PTA). Indirect participants include parents and teachers participating in the Parents Teachers Association (PTA) general meetings and people participating in the community outreaches organized by the role model men. It also include people accessing services from the trained health workers and local leaders and people accessing information through peer sharing with household members of the participating 10 households.</t>
  </si>
  <si>
    <t>End of project eevaluation will be conducted in July 2017</t>
  </si>
  <si>
    <t>Engaging men and boys approach</t>
  </si>
  <si>
    <t>School programs (working with members of the Parents Teachers Associations)</t>
  </si>
  <si>
    <t>Involvement of health service providers and local leaders in meetings and dialogues conducted by the Role Model Men has contributed to the success of the project.</t>
  </si>
  <si>
    <t>Continuous dialogues between role model men, men participating households and other men in the community is helpful in changing attitudes, beliefs and perception on sharing house chores among couples.</t>
  </si>
  <si>
    <t>Coordination with different stakeholders is important for operational planning and effective delivery of integrated SRMCH services.</t>
  </si>
  <si>
    <t>7,831 direct participants include household members of the 100 role model men and members of the participating households reached by role model men. It also include trained health workers, local leaders and members of the Parents Teachers Association (PTA). The 53,800 indirect participants include parents and teachers participating in the Parents Teachers Association (PTA) general meetings and participants for the community outreaches organized by the role model men together with health workers. It also include people accessing health services from the trained health workers/local leaders and people accessing information through peer sharing with household members of the participating 10 households.</t>
  </si>
  <si>
    <t>BARCLAYS PROJECT LINK</t>
  </si>
  <si>
    <t>CGBRUG0074</t>
  </si>
  <si>
    <t>Delphine Mugisha</t>
  </si>
  <si>
    <t>Scaling up with Digital Financial Financial Services through Ledger Link and E-Keys innovations</t>
  </si>
  <si>
    <t>West Nile region, Eastern Region in Teso, Busia, Bugiri, Iganga districts,  and Kasese and Kabrole districts.</t>
  </si>
  <si>
    <t>Both women, men and youth (18-35 yrs) in mature VSLA groups.</t>
  </si>
  <si>
    <t>The direct are members of the Community Saving and credit group. The Indirect beneficiaries are Household Members computed using the average national Household size according to the national census 2014 which is 5 members perHH. Indirect Benficiary=(Direct Beneficiaries*5)- Direct Beneficiaries.</t>
  </si>
  <si>
    <t>Engaging Private Sector to develop digitalized financial products meeting the needs of the rural community</t>
  </si>
  <si>
    <t>Developed VSLA saving products using electronic Keys, VSLA over drafts and electronic record keeping termed as ledger Link</t>
  </si>
  <si>
    <t>Tested VSLA saving products using electronic Keys, VSLA over drafts and electronic record keeping termed as ledger Link</t>
  </si>
  <si>
    <t>This was done through staff training, mentoring, coaching and close monitoring support.</t>
  </si>
  <si>
    <t>VSLA Model</t>
  </si>
  <si>
    <t>Digital VSLA products using Electronic Keys</t>
  </si>
  <si>
    <t>Electronic Record Keeping termed as Ledger Link</t>
  </si>
  <si>
    <t>Projects testing technology or new innovations need time to test it before rolling it out to communities</t>
  </si>
  <si>
    <t>The number of people reached in the sectors of economic development and women empowerment is the same because they are exactly the same people reached in both sectors, so the numbers should not be cummulated.</t>
  </si>
  <si>
    <t>VSLA MIS Reports, http://www.finance.go.ug/tier-4-microfinance-institutions-money-lenders-act-2016/-The Tier 4 policy microfinance and money lenders Act 2016, Barclays Bank MOU</t>
  </si>
  <si>
    <t>Emergency response for refugees, asylum seekers from South Sudan and host communities in Rhino and Imvepi Camps in West-Nile Uganda (2017), with funding from Czech, ECHO-Oxfam, SAFPAC, UNFPA, Norway and UNHCR</t>
  </si>
  <si>
    <t>ECHO / Oxfam</t>
  </si>
  <si>
    <t>ECHO / MC</t>
  </si>
  <si>
    <t>Ministry of Foreign Affairs of the Czech Republic (through CARE Czech)</t>
  </si>
  <si>
    <t>UNFPA 1</t>
  </si>
  <si>
    <t>UNFPA</t>
  </si>
  <si>
    <t>UNFPA 2</t>
  </si>
  <si>
    <t>Carly Sheehan</t>
  </si>
  <si>
    <t>Carly.Sheehan@care.org</t>
  </si>
  <si>
    <t>Delphine Pinault</t>
  </si>
  <si>
    <t>delphine.pinault@care.org</t>
  </si>
  <si>
    <t>Emergency response to South Sudanese Refugees, asylum seekers and Host communities in West Nile, Uganda</t>
  </si>
  <si>
    <t>Refugee settlements of Rhino, Imvepi (Arua district), and Bidibidi (Yumbe district) in West Nile region of Uganda</t>
  </si>
  <si>
    <t>Arrived South Sudanese refugees and host communities settled at Rhino, Imvepi and Bidibidi settlements, especially targeting women and girls.</t>
  </si>
  <si>
    <t>The direct beneficiaries: (Women and men 18 + years in settlement camps in Arua district; 45,383 being women and girls and 39,432 men and boys) + (30% of host population estimated to be 51425 of the 171415 total host population; 28284 being women and girls and 23141 being men and boys). The indirect beneficiaries: (Refugees in who are 18 years and less, of which 60442 are women and girls and 62874 are men and boys)+ (70% of the host population, 65995 being women and girls and 53995 being men and boys. Where neccesary, we used  a proportion of 55% to estimate women and girls and 45% for men and boys.</t>
  </si>
  <si>
    <t>Future projects will make evaluations an integral part of monitoring and evaluation systems; this will allow for programs to be able to summatively demostrate impact of initiatives on project beneficiaries and improve programming practices in emergency settings.</t>
  </si>
  <si>
    <t>The Humanitarian response has made deliberate efforts to establish a gender responsive Monitoring and Evaluation system; that will enable the initiative to systematically document gender approaches that are currently carried out, and inform future gender mainstreaming activities that are aligned to CARE International standards and objectives.</t>
  </si>
  <si>
    <t>Working with and through local government structures</t>
  </si>
  <si>
    <t>Community Mobilisation</t>
  </si>
  <si>
    <t>Emergency scale ups require resourcing in both program and support functions early in a response to ensure quality program delivery and sufficient administrative support.</t>
  </si>
  <si>
    <t>Finding space to operate has had its challenges, with UNHCR giving priority to Implementing Partners (i.e. agencies it funds with cash), leaving Operating Partners (like CARE) to negotiate and haggle about finding locations to work</t>
  </si>
  <si>
    <t>A database/spreadsheet to track beneficiary numbers should be established at the start of the response to better systematically track progress against goals.</t>
  </si>
  <si>
    <t>The data collected and provided in this form has been pulled together by the response team at the end of the year; it was not systematically tracked throughout the response. Work is ongoing to improve the quality and quantity of SADD in the response.</t>
  </si>
  <si>
    <t>Digital Sub-Wallets for Increased Financial Empowerment of Women</t>
  </si>
  <si>
    <t>GATEUG0006</t>
  </si>
  <si>
    <t>Melch Natukunda</t>
  </si>
  <si>
    <t>Melch.Natukunda@care.org</t>
  </si>
  <si>
    <t>Women  have equitable influence over household financial decisions and to use mobile financial technology to improve their own and their familys opportunities and lives.</t>
  </si>
  <si>
    <t>Western Uganda ( Bushenyi and Rubirizi)</t>
  </si>
  <si>
    <t>Women in existing VSLA groups (VSLA)</t>
  </si>
  <si>
    <t>Enganging Formal Financial Sectors to develop products that meet the needs of the rural women.</t>
  </si>
  <si>
    <t>Developed Digitalised subwallets for women</t>
  </si>
  <si>
    <t>Tested the uptake and utilization of the digital subwallet among women in Bushenyi</t>
  </si>
  <si>
    <t>Built capacity of Implementing partner organisation  on digital sub wallets and househould financial counselling. The Partner were also coached and mentored throug IPO support visits.</t>
  </si>
  <si>
    <t>Digital Sub-Wallets</t>
  </si>
  <si>
    <t>Gender, Financial and  Household Dialogues/Counselling, GBV Refferal Mechanism</t>
  </si>
  <si>
    <t>Conduction of Gender Analysis was critical for identifying cultural and social norms affecting the communities</t>
  </si>
  <si>
    <t>Gender, Financial and Household Dialogues enables household toaddress power issues and improve financial relationship with in the households</t>
  </si>
  <si>
    <t>The major challenges hindering uptake of new technologies include roll out of un tested technologies in community which still have bugs that need to be fix, high digital illeteracy with out a contigency plan in place to address it and mobile technology charges even on failed transactions.</t>
  </si>
  <si>
    <t>The number of people reached in the sectors of economic development and women empowerment is the samilar because they are exactly the same people reached in both sectors, so the numbers should not be cummulated.</t>
  </si>
  <si>
    <t>Pilot Baseline report, End of pilot phase report, and draft gender Analysis report, Gates Annual Report</t>
  </si>
  <si>
    <t>Safe Water for Health Care Facilities</t>
  </si>
  <si>
    <t>EMORUG001, US1P4</t>
  </si>
  <si>
    <t>FRED OWERA ODOM</t>
  </si>
  <si>
    <t>INITIATIVE MANAGER</t>
  </si>
  <si>
    <t>Fred.owera@care.org</t>
  </si>
  <si>
    <t>CONSTANCE BWIRE</t>
  </si>
  <si>
    <t>PROJECT CORDINATOR</t>
  </si>
  <si>
    <t>Constance,bwire@care.org</t>
  </si>
  <si>
    <t>To improve water quality supplies in 6 health facilities in Western Uganda through installation of sustainable water purification systems and training of local operators to facilitate long-term &amp; appropriate maintenance.</t>
  </si>
  <si>
    <t>The project is being implemented in Districts of Bundibugyo, Kasese, Kanungu and Mbarara (6 hoispitals Bundibgyo, Kilembe, Kagando, Bwindi, Kisiizi and Ruharo )</t>
  </si>
  <si>
    <t>Pregnant mothers and children and other patients in  the hospital</t>
  </si>
  <si>
    <t>Direct participants are individuals who visit the healthcare facilities as out patients and those admitted in the healthcare facilities as inpatients that is always about one quarter of the total patients figures. Indirect participants are those caregivers that accompany the inpatients to healthcare facilities and as per the standards there should not be more than 2 and the  figures can obtained by multiplying the number of direct participants by 2. Indirect may also be the numbers of  staff members  in each healthcare facility. On average each healthcare facility has 50 staff amounting to about 300 staff for 6 healthcare facilities targeted by the project. The other category of indirect participants are the family members of the staff. The total indirect numbers of staff and their families 50*6*5. This is based on the 2014 population census that put the number of people per household at 5. The reason indirect numbers are less than direct is because only staff members, their faimilies and care givers of inpatients are considered indirect beneficiaries and inpatients make up only ¼ of total patients.</t>
  </si>
  <si>
    <t>The innovations was the use of water filters to improve on the quality of water used in healthcare facilities for carrying out medical procedures</t>
  </si>
  <si>
    <t>(1) The project implementation approach was through collaboration with other organizations/Government institutions to leverage for technical support  (2) Working with private sector companies specifically     suppliers of spare parts for the water filters as well suppliers of supplies for water quality testing to improve on sustainbility and simultaneously improve their ability to make a profit.</t>
  </si>
  <si>
    <t>The engagement with Uganda Medical Protestant Bureau with strong expertise on Infection Prevention Control (IPC) to undertake IPC assessment in the beneficiaries HCF and developed a curriculum to address the gaps</t>
  </si>
  <si>
    <t>Working in partnership with other organizations has helped in leveraging for technical support in areas that Project staff does have capacity to handle</t>
  </si>
  <si>
    <t>Capacity building of hospital staff on O &amp; M of the water filtration Systems has proven very effective in the sustainability of the water filtration systems</t>
  </si>
  <si>
    <t>Shared learning through exchange visits</t>
  </si>
  <si>
    <t>Information sharing helps in building trust and confidence</t>
  </si>
  <si>
    <t>Regular meetings with collaborating partners helped in building synergies and learning from each other</t>
  </si>
  <si>
    <t>The data source was from the National Health Management Information database. The reason why indirect numbers are less than the direct is because only care givers of inpatients, staff and family members are considered indirect beneficiaries and inpatients make up only ¼ of total out patients. The indirect figures were calculated using the following formula. Indirect females= (Total direct female out patients*0.25)+ hospital staff staff and their familiy members (50*6*5)/2). Indirect Men = (Total direct men*0.25)+ hospital staff and their family members (50*6*5)/2).  Where 50=number of staff per hospital; 6=number of hospitals; 5= Average household size as per 2014 population census; 2 is an assumption that half of the hospital staff and their families are women and men respectively.  </t>
  </si>
  <si>
    <t>Project proposal document, Monthly Field Reports, Quarterly Donor Reports, National Health Management Information database</t>
  </si>
  <si>
    <t>Digitalized Financial Services for Youth</t>
  </si>
  <si>
    <t>FSDUUG0001</t>
  </si>
  <si>
    <t>Rural and peri-urban youth (15-30yrs) in Kibaale district have increased access to financial services and engage meaningfully with the financial market actors for sustainable financial inclusion</t>
  </si>
  <si>
    <t>Western Uganda in Kagadi</t>
  </si>
  <si>
    <t>Women and Youth (15-30years)</t>
  </si>
  <si>
    <t>Engaging Private Sector to develop digitalized financial products meeting the needs of the youth</t>
  </si>
  <si>
    <t>Developed digitalised Youth Saving and Loans Association (YSLA) saving product using a three pin digital Platfom and YSLA loan Product.</t>
  </si>
  <si>
    <t>Tested digitalised Youth Saving and Loans Association (YSLA) saving product using a three pin digital Platfom and YSLA loan Product.</t>
  </si>
  <si>
    <t>coached and Mentoring Implementing partner staff through monitoring and technical back stopping.</t>
  </si>
  <si>
    <t>Three pin digitalized YSLA Saving product</t>
  </si>
  <si>
    <t>Engangement of Stakeholders such the Local Government is critical for Project success</t>
  </si>
  <si>
    <t>Addressing cultural and gender norms  at community level is critical for Youth participation in VSLA especially female youth</t>
  </si>
  <si>
    <t>Innovation or technologies which are not tested prior to roll out in the community affect the adoption rate of technologies as youth get demotivated when the technologies keep failiing.</t>
  </si>
  <si>
    <t>The VSLA MIS, Final FSDU report</t>
  </si>
  <si>
    <t>PROFIRA EASTERN:- Establishment of Community Savings and Credit Groups</t>
  </si>
  <si>
    <t>PROFUG0001</t>
  </si>
  <si>
    <t>To increase income, improve food security and reduce vulnerability in rural areas</t>
  </si>
  <si>
    <t>Eastern Uganda (Kumi, Soroti, Bukedea, Serere,Ngora, Amuria, Katakwi, Kaberamaido, Mbale,Kibuku,Kween, Kapchorwa, Bukwo, Butaleja, Pallisa, Tororo, Sironko, Manafwa, Budaka, Bududa,</t>
  </si>
  <si>
    <t>Engaging Local Government in Supporting the Project Implementation</t>
  </si>
  <si>
    <t>Community Saving and Credit Groups Scaled up through local CSOs with support from Central and Local government.</t>
  </si>
  <si>
    <t>The project trained partner staff in the SAVIX (online VSLA MIS), continued to mentor and coach partner staff through field monitoring visits.</t>
  </si>
  <si>
    <t>VSLA model has proved to be a powerful for empowering women and youth financially.</t>
  </si>
  <si>
    <t>http://mis.thesavix.org/p:en/index.html and Eastern Baseline Report</t>
  </si>
  <si>
    <t>PROFIRA NORTH EASTERN:- Establishment of Community Savings and Credit Groups</t>
  </si>
  <si>
    <t>PROFUG0002</t>
  </si>
  <si>
    <t>North Eastern Uganda (Napak, Moroto, Kotido, Kabong, Nakapiripirit, Abim, Amudat)</t>
  </si>
  <si>
    <t>VSLA Model has proved to attract a high participation of youth of all gender with male participation at 61% and 68% for female youth.</t>
  </si>
  <si>
    <t>http://mis.thesavix.org/p:en/index.html and North Eastern Baseline Report</t>
  </si>
  <si>
    <t>PROFIRA WESTNILE:- Strengthening, Innovations and Partnership for Mature Community Saving and Credit Groups (CSCGs)</t>
  </si>
  <si>
    <t>PROFUG0005</t>
  </si>
  <si>
    <t>WestNile (Arua, Nebbi, Zombo, Maracha, Koboko, Adjumani and Yumbe)</t>
  </si>
  <si>
    <t>Women and Youth (15-30years) in mature VSLA</t>
  </si>
  <si>
    <t>Baseline Evaluation</t>
  </si>
  <si>
    <t>Engaging Private sectors in particular banks to develop financial products suitable for women and youth.</t>
  </si>
  <si>
    <t>VSLA saving products using digitalized platforms</t>
  </si>
  <si>
    <t>VSLA saving products using digitalized platforms, and physical interface with the financial institutions.</t>
  </si>
  <si>
    <t>Building capacity of staff in the Partner organisations in Financial Literacy.</t>
  </si>
  <si>
    <t>Digital Platfrom for Formal Financial Inclusion</t>
  </si>
  <si>
    <t>United Nations Joint program on GBV</t>
  </si>
  <si>
    <t>UNFPUG0009</t>
  </si>
  <si>
    <t>To contribute to sustainability of a gender based violence free society in Northern and North Eastern Uganda, where women and girls continue to be protected and empowered to assert their rights and are treated with dignity and respect.</t>
  </si>
  <si>
    <t>Northern Uganda, covering the four districts of Gulu, Amuru, Pader and Kitgum</t>
  </si>
  <si>
    <t>Direct participants are people the project reached through trainings, GBV services (medical support, psychosocial support, safety and security services), follow ups, outreaches and dialogues. Indirect participants on the other hand are people  reached by the project through peer sharing and different radio programs.</t>
  </si>
  <si>
    <t>Development of alcohol ordinance to regulate the sale and consumption of alcohol in Gulu district</t>
  </si>
  <si>
    <t>SASA! Methodology</t>
  </si>
  <si>
    <t>Peer Education (in and out of schools)</t>
  </si>
  <si>
    <t>Engaging men and boys in dialogues around social norms and positive masculinity has proven to be successful in challenging practices that perpetrate violence against women.</t>
  </si>
  <si>
    <t>Coordination with different stakeholders is important for operational planning and effective delivery of integrated GBV prevention and response services.</t>
  </si>
  <si>
    <t>Alcoholism is still a major challenge in GBV prevention</t>
  </si>
  <si>
    <t>45,378 direct participants include the role model men, SASA Activists, peer educators in schools and out of schools, senior women and males teachers and members of the different clubs in schools. It also include people who benefited from the different trainings, GBV services (medical support, psychosocial support, safety and security services), follow ups, outreaches and dialogues. 2,300,000 indirect participants people who benefited from the project through peer sharing in schools and community. It also include people reached through different radio programs.</t>
  </si>
  <si>
    <t>Link to National GBV database http://ngbvd.mglsd.go.ug/statdistrictdetails.php, Ipsos Connect; Audience Research (Day After Recall Approach) quarter three 2016</t>
  </si>
  <si>
    <t>United Kingdom</t>
  </si>
  <si>
    <t>"Growing Together" report on systems approach to microenterprises in value chains.</t>
  </si>
  <si>
    <t>Gerry Boyle</t>
  </si>
  <si>
    <t>Senior Policy Advisor, Women's Economic Empowerment</t>
  </si>
  <si>
    <t>boyle@careinternational.org</t>
  </si>
  <si>
    <t>Urge companies to take a systems approach to incorporating micro-enterprises in their value chains</t>
  </si>
  <si>
    <t>Micro-enterprises and especially women.</t>
  </si>
  <si>
    <t>4xroundtables and EU delegation presentation plus hard copies distributed by CARE</t>
  </si>
  <si>
    <t>https://insights.careinternational.org.uk/development-blog/growing-together-report-guidance-to-businesses-to-support-them-in-helping-micro-enterprises-in-their-value-chains-to-thrive</t>
  </si>
  <si>
    <t>UN High Level Panel on Women's Economic Empowerment</t>
  </si>
  <si>
    <t>Fiona Jarden</t>
  </si>
  <si>
    <t>Financial Inclusion and Advocacy Advisor</t>
  </si>
  <si>
    <t>jarden@careinternational.org</t>
  </si>
  <si>
    <t>Final report endorses VSLA / linkage scale up as a a proven path to WEE, then influence actors to implement this recommendation in policy and practice</t>
  </si>
  <si>
    <t>Global - Sub-Saharan Africa, MENA, Asia, LAC.</t>
  </si>
  <si>
    <t>Low income women and adolescents</t>
  </si>
  <si>
    <t>The direct participants are the number of people who attended working groups and presentations at events.</t>
  </si>
  <si>
    <t>To achieve outcomes on this project required very closely staying engaged in the UN HLP process, building key relationships to influence the outcome document</t>
  </si>
  <si>
    <t>https://insights.careinternational.org.uk/in-depth/emp-women-in-economy-event-2017</t>
  </si>
  <si>
    <t>Empowering Women in the Economy event  - How the Private Sector can advance the 2017 recommendations of the UN High Level Panel on Women's Economic Empowerment</t>
  </si>
  <si>
    <t>Financial inclusion policy and advocacy advisor</t>
  </si>
  <si>
    <t>Influence private sector to implement the HLP recommendations - especially on eliminating GBV in the workplace and expanding financial inclusion (VSLAs)</t>
  </si>
  <si>
    <t>People who were intvited to and attended the event.</t>
  </si>
  <si>
    <t>Event cross-sector partnership useful for acheving outcomes and focus on private sector for a London event helped achieved outcomes</t>
  </si>
  <si>
    <t>Linking for Change Savings Charter</t>
  </si>
  <si>
    <t>Powerful global alliance of actors committed to responsibly bank savings groups</t>
  </si>
  <si>
    <t>Low income populations</t>
  </si>
  <si>
    <t>https://www.careinternational.org.uk/linking-for-change/</t>
  </si>
  <si>
    <t>Global partnership for the financial inclusion of the unbanked.</t>
  </si>
  <si>
    <t>Pioneer a cross-sector global partnership to financially include 600m of the world's unbanked women</t>
  </si>
  <si>
    <t>Low income women and adolescents with no access to financial services</t>
  </si>
  <si>
    <t>https://insights.careinternational.org.uk/publications/briefing-paper-to-the-un-high-level-panel-on-women-s-economic-empowerment-working-group-on-financial-digital-inclusion-and-property</t>
  </si>
  <si>
    <t>ILO Convention on ending violence at work</t>
  </si>
  <si>
    <t>Urge the ILO to adopt a new convention on addressing GBV in the world of work</t>
  </si>
  <si>
    <t>Potentially global and certainly Asia, LAC, UK, USA, Australia.</t>
  </si>
  <si>
    <t>Women at work including informal workers and home workers.</t>
  </si>
  <si>
    <t>Direct participants are those who we have directly engaged in order to make change.</t>
  </si>
  <si>
    <t>https://insights.careinternational.org.uk/in-depth/ending-violence-and-harassment-at-work</t>
  </si>
  <si>
    <t>London Somalia Conference - ensuring civil society participation via support to diaspora side event</t>
  </si>
  <si>
    <t>Suzy Madigan</t>
  </si>
  <si>
    <t>Senior Policy Advisor</t>
  </si>
  <si>
    <t>madigan@careinternational.org</t>
  </si>
  <si>
    <t>Working with FCO/DfID and London-based Somalia diaspora to organise women's side-event. The goal is to ensure that the voices of the diaspora of Somalia are included in the event and more broadly to advocate for greater includion of the voices of the diaspora into future events.</t>
  </si>
  <si>
    <t>London, UK</t>
  </si>
  <si>
    <t>Somali women and girls, civil society, diaspora in UK</t>
  </si>
  <si>
    <t>The direct participants here are the 2 DFID/FCO workers to whom we advocated that they include diaspora voices in the conference plus the 3 young Somali leaders who were included in the event as a result of the advocacy. The indirect participants are the 45 people who attended the event itself.  The indirect participants might be even larger but it is difficult to gauge further impact but the aim was to try and ensure the includion more broadly of diaspora voices in conversations about Somalia</t>
  </si>
  <si>
    <t>Innovations in Capturing Complex Change</t>
  </si>
  <si>
    <t>Halcrow</t>
  </si>
  <si>
    <t>Tom Aston</t>
  </si>
  <si>
    <t>Governance Advisor</t>
  </si>
  <si>
    <t>aston@careinternational.org</t>
  </si>
  <si>
    <t>Strengthen M&amp;E capacity to measure the effects of inclusive govenance</t>
  </si>
  <si>
    <t>Ghana and Bangladesh</t>
  </si>
  <si>
    <t>Strengthened capacity to measure the effects of inclusive govenance</t>
  </si>
  <si>
    <t>Direct participants are those staff and partners who have received training in London, Washington, Dhaka, Gaziapur, Ashanti and Accra. Tracking indirect participants I believe would not be particularly valuable.</t>
  </si>
  <si>
    <t>The initiative is designed to promote better evaluation. So, Ghana and Bangladesh teams are doing their own pilot contribution tracing evaluations.</t>
  </si>
  <si>
    <t>The project is designed to help promote uptake of innovative M&amp;E methods within CARE and for the wider development community. Contribution tracing is an innovative methodology. This will not contribute to fighting poverty directly, but will help streamline project monitoring which should ensure greater time is available for activities in which we are fighting poverty and inequality directly.</t>
  </si>
  <si>
    <t>The project is based around a learning partnership and one of the key aims was to bring different methods to scale. This has been achieved in terms of incorportating different qualitative methods in the the IGS strategy.</t>
  </si>
  <si>
    <t>Only in terms of including them in the training activities</t>
  </si>
  <si>
    <t>No. Only in the sense that the scope of influence appears to have improved. And in this sense we've focused more than anticipated on ensuring buy in from partners beyond CARE like USAID's CLA group, Bond, among others.</t>
  </si>
  <si>
    <t>Contribution tracing</t>
  </si>
  <si>
    <t>1. Domains of change or theories of change?: concept before causation. 2. Qualitative is just anecdotal: causal inference beyond sample size. 3. Case study selection bias: the story of honourable Deborah. 4. Passive bystanders: the paradox of M vs. E (fears of bias, &amp; related skills gaps). 5. We don't have that data: Lots of activity data, little influence data. 6. We have that data, but where does it fit?: MSC confronts probative value</t>
  </si>
  <si>
    <t>United States of America</t>
  </si>
  <si>
    <t>North America</t>
  </si>
  <si>
    <t>Advocating Against Redesign of USAID and US State Department</t>
  </si>
  <si>
    <t>Amanda Mathies</t>
  </si>
  <si>
    <t>MEL Officer</t>
  </si>
  <si>
    <t>amathies@care.org</t>
  </si>
  <si>
    <t>Elizabeth Marcey</t>
  </si>
  <si>
    <t>Senior Policy Advocate</t>
  </si>
  <si>
    <t>emarcey@care.org</t>
  </si>
  <si>
    <t>Protect the capacity of USAID and State Department to provide and implement humanitarian assistance in FY18. This is in response to the Trump Administration's proposal to reduce USAID and/or combine it into the State Department which would affect the US investment in foreign assistance</t>
  </si>
  <si>
    <t>Countries and communities receiving U.S. foreign assistance, particularly those living under the international poverty line</t>
  </si>
  <si>
    <t>Direct participants could include various coalitions and CARE staff while indirect participants include all countries and communities impacted by USG funding and/or policy.</t>
  </si>
  <si>
    <t>CARE pivoted to focus on the issue of protecting US foreign assistance, including curent operating structure, which was a major pivot from our typical advocacy for improved policies, and CARE has become a major leader on this issue.</t>
  </si>
  <si>
    <t>assuming a leader being the conduit between the Hill and USAID</t>
  </si>
  <si>
    <t>focusing on legislative oversight text, supporting and providing input into alternative reports on redesign</t>
  </si>
  <si>
    <t>spurring congressional actions to counter administration actions</t>
  </si>
  <si>
    <t>USG Executive branch systems and infastructure are not as resilient as we had hoped</t>
  </si>
  <si>
    <t>congressional tools to challenge the adminstration are limited</t>
  </si>
  <si>
    <t>Discrete and surgical advoacy to key congressional policy makers is the best return on investment.</t>
  </si>
  <si>
    <t>We have a long way to go on this front, as this is not an area that CARE has an articulated stance that we can reference. This has required both the creation of CARE policy and advocacy.</t>
  </si>
  <si>
    <t>Family Planning 2020/Family Planning Summit_CARE USA</t>
  </si>
  <si>
    <t>Christina Wegs</t>
  </si>
  <si>
    <t>Global Advocacy Lead, Sexual and Reproductive Health and Rights</t>
  </si>
  <si>
    <t>cwegs@care.org</t>
  </si>
  <si>
    <t>CARE's primary goal for the Summit was to secure commitments and funding that ensure equitable access to rights-based family planning for the 32 million women and girls affected by crisis and conflict.</t>
  </si>
  <si>
    <t>Global (FP2020); Regional (EU) National (key bilateral donors -Canada, Australia, UK, Norway, plus national governments of Djibouti, DRC, Malawi, Nepal, Chad, Benin, Niger, Sierra Leone, India, Burundi, Mali</t>
  </si>
  <si>
    <t>women and girls in fragile states/crisis-affected settings</t>
  </si>
  <si>
    <t>In theory could impact 32 million women and girls by increasing prioritation of and investment in SRHR of the estimated 32 million women and girls affected by crisis. Through CARE's direct advocacy and joint advocacy  through IAWG, we powerfully shaped the agenda and outcomes of the FP Summit: FP in humanitarian crises was featured prominently on the Summit agenda and was specifically mentioned in 12 commitments by FP2020 focus countries, donors and civil society organisations, with key donors and governments committing to game-changing actions to accelerate progress in reaching all women and young people affected by crisis with family planning. Several governments' new/stregthened commitments reflected ALL of CARE's advocacy asks (e.g. Canada, UK.)This was a huge accomplishment: until this Summit, family planning in humanitarian crises was virtually absent from the FP2020 agenda.</t>
  </si>
  <si>
    <t>strengthening existing policies /commitments of global actors, bilateral donors, and key national goverments</t>
  </si>
  <si>
    <t>Direct advocacy by CARE and joint advocacy by IAWG leveraged evidence from CARE's programs that demonstrated the demand for, feasibility of and impact of investing in SRHR in emergencies; CARE also shared evidence about health and rights outcomes from social accountability/Community ScoreCard on SRHR.</t>
  </si>
  <si>
    <t>Setting clear, strategic advocacy priorities early on, and engaging early to mobilize key influencers and decision-makers- especially important was engaging early with key champions in donor governments.</t>
  </si>
  <si>
    <t>Taking a leadership role/mobilizing joint action through a credible global coaltion - CARE was able to shape the agenda of a diverse and influential global coaltion which is a key "go-to" for donors, UN, CSO allies.</t>
  </si>
  <si>
    <t>Engaging consistently with a working group of with 28 representatives from 14 CARE members; provided clear and concrete advocacy messages and asks that CI partners were able integrate into advocacy with their own governments- we heard that this "made it easy" for CI partners to contribute to this joint effort, ensured that we all advanced a strategic and well-aligned policy agenda- helping ensure collective impact. The working group also provided responsive coaching/guidance to help CARe members navigate context-specific advocacy spaces, and tailor CARE's messages/asks to their context.</t>
  </si>
  <si>
    <t>This initiative was designed by CARE USA Global Advocacy Team + CIUK Advocacy Team jointly led CARE International's engagement. *OUTCOMES: Through our leadership role on the Inter-Agency Working Group, CARE helped shape IAWGs joint messages and policy asks relating to family planning in crisis-affected settings. We co-convened two donor briefing meetings and helped build a cadre of powerful champions for family planning in humanitarian crises, including at DFID, Gates and within FP2020.  Ahead of the Summit, Beth Schlachter, Executive Director of FP2020, published an op-ed about the critical importance of FP in humanitarian crises, drawing directly from IAWGs messages. FP Summit organisers also shared IAWGs policy asks with focal points in all 69 FP2020 priority countries. Key CARE Lead Members (EC, Norway, Canada, Australia and the UK) proactively advocated for commitments to FP in humanitarian contexts through public advocacy and communications work, and/or direct engagement with key government officials.  FP in humanitarian crises was a priority theme at the Summit, and was the focus of a high-level event where CARE's work in Chad, DRC and Pakistan was highlighted. There were 12 commitments that specifically referred to ensuring access to contraception in humanitarian settings, including strong commitments from the Netherlands, the UK, Belgium, Denmark, Iceland and Australia. We also saw commitments to improving data, monitoring, accountability and funding relating to sexual and reproductive health, as well a Joint Donor Statement on Sexual and Reproductive Health in Crises calling for concrete actions to ensure better coordinated and more effective funding for SRHR in crises-affected settings.</t>
  </si>
  <si>
    <t>Please see the attached 4 page summary of CARe's engagement and outcomes ahead of and at the 2017 Global Family Planning Summit.</t>
  </si>
  <si>
    <t>Farm Bill 2018</t>
  </si>
  <si>
    <t>Mary Olive</t>
  </si>
  <si>
    <t>Policy Advocate</t>
  </si>
  <si>
    <t>mary.olive@care.org</t>
  </si>
  <si>
    <t>Advocating to successfully change current policies so that US food aid programs reach more people in more efficient and effective ways</t>
  </si>
  <si>
    <t>Global, but majority are people in need of immediate food assistance because of natural or man-made crisis</t>
  </si>
  <si>
    <t>Due to the nature of this advocacy initiative direct and indirect participants are not calculated. However, this bill will impact U.S. food assistance around the world if implemented.</t>
  </si>
  <si>
    <t>Farm Bill language has not yet been released, but CARE continues to advocate for an end to the monetization requirement and for greater flexibility so that food aid programs reach more people.</t>
  </si>
  <si>
    <t>Working within a unified coalition of iNGOs, who are advocating for the same policy changes, and engaging the private sector when possible.</t>
  </si>
  <si>
    <t>The policy is far too complex for grassroots efforts; therefore we have learned how to simplify our message and educate our advocates on broad policy objectives, rather than attempting to teach them specifics</t>
  </si>
  <si>
    <t>CARE's main goal for the 2018 Farm Bill is to have the monetization requirement removed from the Food for Peace program. Currently, the monetization requirement is completely satisfied by CARE's SHOUHARDO program in Bangladesh, where we have a high level of cooperation and involvement from the Bangladeshi government. However, this relationship would be difficult to repeat in other developing countries, which would make monetization a risky practice to conduct anywhere else. CARE is working to educate Members of Congress about monetization in order to gain support for removing the requirement.</t>
  </si>
  <si>
    <t>G7 Foreign Ministers Meeting_CARE USA</t>
  </si>
  <si>
    <t>Joe Read</t>
  </si>
  <si>
    <t>Global Advocacy Advisor</t>
  </si>
  <si>
    <t>joe.read@care.org</t>
  </si>
  <si>
    <t>CARE's primary goal for the meeting was to influence the agenda to ensure that the four famine contexts were discussed among Foreign Ministers and preparations made for further discussion ahead of the Summit, in order to mobilise G7 members to commit further funds and attention to these contexts.</t>
  </si>
  <si>
    <t>Global- European and North American CMPs. Four famines: Nigeria, Somalia, South Sudan, Yemen</t>
  </si>
  <si>
    <t>Famine-affected communities in Nigeria, Somalia, South Sudan, Yemen</t>
  </si>
  <si>
    <t>Due to the nature of this advocacy initiative direct and indirect participants are difficult to calculate. However, if we were to calculate the indirect participants who would be affected by famine it is approx. 20 million people based on UN/World Bank figures.</t>
  </si>
  <si>
    <t xml:space="preserve">Somewhat - country-based advocacy alliances expanded to capital-based advocacy work with G7 member states (e.g. in DC, Ottawa, London) </t>
  </si>
  <si>
    <t>Need to plan more strategic and targeted advocacy at capital level with key partners and allies towards G7 members to increase impact before official meetings</t>
  </si>
  <si>
    <t>Advocacy at the G7 was challenging this year due to the location of meetings in a country without a CARE presence (Italy), but commitment from key member partners allowed us to identify creative ways to engage in advocacy on famine due to the importance of influencing G7 members (such as targetting advocacy at country level)
Extent of linking with partners: Partnership with UN/World Bank convened alliance to raise profile and funding to prevent famine, in addition to NGO advocacy work from each country context (Nigeria, Somalia, South Sudan, Yemen)</t>
  </si>
  <si>
    <t>G7 Summit_CARE USA</t>
  </si>
  <si>
    <t>CARE's primary goal for the meeting was to influence the agenda to ensure that the four famine contexts were discussed at the Summit, in order to mobilise G7 members to commit further funds and attention to these contexts.</t>
  </si>
  <si>
    <t>Somewhat - country-based advocacy alliances expanded to capital-based advocacy work with G7 member states (e.g. in DC, Ottawa, London)</t>
  </si>
  <si>
    <t>Advocacy at the G7 was challenging this year due to the location of meetings in a country without a CARE presence (Italy), but commitment from key member partners allowed us to identify creative ways to engage in advocacy on famine due to the importance of influencing G7 members (such as targetting advocacy at country level)
Extent of linking with partners: Partnership with UN/Wrld Bank convened alliance to raise profile and funding to prevent famine, in addition to NGO advocacy work from each country context (Nigeria, Somalia, South Sudan, Yemen)</t>
  </si>
  <si>
    <t>Global Gag Rule / Mexico City Policy</t>
  </si>
  <si>
    <t>MEL Program Officer</t>
  </si>
  <si>
    <t>Ben Weingrod</t>
  </si>
  <si>
    <t>bweingrod@care.org</t>
  </si>
  <si>
    <t>Mitigate harm of expanded Global Gag Rule (aka Mexico City Policy), prevent permanent codification. The Global Gag rule disqualifies non-US NGOs from receiving certain kinds of U.S. government funding if they engage in specific abortion-related activities, even when those activities are supported by other funding. CARE USA has been working to mitigate the harm of this policy and advocacting against/ preventing permanent codification.</t>
  </si>
  <si>
    <t>women and girls receiving sexual and reproductive health and rights care around the globe.</t>
  </si>
  <si>
    <t>Individuals or groups who were directly engaged in action towards change in this policy included the US Congress, USAID, and the US State Department. Due to the nature of this advocacy initiative direct and indirect participants are not calculated. However, this policy will impact humanitarian and development work around the world if implemented, primarily women and girls in need of SRHR services</t>
  </si>
  <si>
    <t>CARE USA has become more aggressive in its advocacy around the global gag rule as its impact on beneficiaries and conflcit with our views on SRHR have become clearer</t>
  </si>
  <si>
    <t>The current political environment presents significant challenges to successful proactive advocacy, resources need to be focused on defensive work to prevent funding cuts and implementation of bad policies (as opposed to calling for increased funding and improving policies).</t>
  </si>
  <si>
    <t>Humanitarian Supplemental</t>
  </si>
  <si>
    <t>Jessica Moses</t>
  </si>
  <si>
    <t>jmoses@care.org</t>
  </si>
  <si>
    <t>Advocating to secure an additional 1 billion USD in FY17 humanitarian funding, to address the 'four famine' contexts</t>
  </si>
  <si>
    <t>Global, but emphasis on Nigeria, Somalia, South Sudan, and Yemen (the four famine contexts)</t>
  </si>
  <si>
    <t>The most vulnerable affected by drought and food insecurity, including women and children</t>
  </si>
  <si>
    <t>Due to the nature of this advocacy initiative direct and indirect participants are not calculated. If participants are related to partners, the work here was done with USAID and key Senate offices.</t>
  </si>
  <si>
    <t>Worked with coalition partners - including food security partners</t>
  </si>
  <si>
    <t>Close working relationships with government officials</t>
  </si>
  <si>
    <t>Building a coalition of humanitarian and food/nutrition security NGO's</t>
  </si>
  <si>
    <t>Encouraging stronger relationships between Hill staff and Admin staff</t>
  </si>
  <si>
    <t>Importance of personal relationships in advocacy work</t>
  </si>
  <si>
    <t>importance of good cost per beneficary info</t>
  </si>
  <si>
    <t>The need to fill the gap for good information on humanitarian programming to show what outcomes investments can produce</t>
  </si>
  <si>
    <t>For this initiative, the lack of a good data sharing platform within CARE became a hurdle when trying to access information quickly without having to reach out to country teams, when they are trying to respond to growing needs during underfunded responses.</t>
  </si>
  <si>
    <t>ILO Convention on Ending Harrasment and Violence in the World of Work</t>
  </si>
  <si>
    <t>Marguerite Lauter</t>
  </si>
  <si>
    <t>Senior Global Advocacy Advisor</t>
  </si>
  <si>
    <t>mlauter@care.org</t>
  </si>
  <si>
    <t>Influence member states, businesses and labor unions to support  the adoption of a new ILO convention on addressing violence and harrasment in the world of work, with a strong focus on GBV</t>
  </si>
  <si>
    <t>Women who are engaged in all types of work around the world</t>
  </si>
  <si>
    <t>Due to the nature of this advocacy initiative direct and indirect participants are not calculated.</t>
  </si>
  <si>
    <t>Initiaive involves coalition work with labor unions, women's groups, and other allies. This initiative is still very much in the nascent stages of development. We are now in the midst of a process to engage CI members across the confederation in this initiative, and strengthen linkages to CI's Global Moment advocacy campaign in March, 2018</t>
  </si>
  <si>
    <t>ILO(International Labor Organization): ILO Convention 189 ratification and implementation_CARE USA</t>
  </si>
  <si>
    <t>Ensure the equal rights and protection of domestic workers globally, with an advocacy focus on the Latin America region.</t>
  </si>
  <si>
    <t>LAC- Brazil, Colombia, Ecuador, Guatemala, Honduras and México</t>
  </si>
  <si>
    <t>women and girls, domestic workers, female workers</t>
  </si>
  <si>
    <t>Working in coalition</t>
  </si>
  <si>
    <t>Convening multi-stakeholders</t>
  </si>
  <si>
    <t>Direct meetings with policymakers</t>
  </si>
  <si>
    <t>The need to better document the stories and learnings from these women's groups</t>
  </si>
  <si>
    <t>the importance of working in coalition and with a collective voice</t>
  </si>
  <si>
    <t>the need to build a strategic campaign to raise awareness about the challenges domestic workers face</t>
  </si>
  <si>
    <t>GBV is a central focus of the wider campaign around rights for domestic workers, although it is not an explicit component of ILO 189, it is closely linked to a larger strategy to address the major barriers to equal rights and protection for domestic workers. In addition, significant objective is to strengthen the collective voice of civil society to influence governments, trade unions and the private sector.</t>
  </si>
  <si>
    <t>See LAC IGS Impact Report; Systematization workshop report</t>
  </si>
  <si>
    <t>Implementation of the Adolescent Girl Strategy</t>
  </si>
  <si>
    <t>Gayatri Patel</t>
  </si>
  <si>
    <t>gpatel@care.org</t>
  </si>
  <si>
    <t>Advocating for US government implementation of long-term comprehensive strategies to prevent and respond to gender based violence for adolescent girls</t>
  </si>
  <si>
    <t>Any country benefiting from USG gender programming</t>
  </si>
  <si>
    <t>adolescent girls</t>
  </si>
  <si>
    <t>Had to determine extent to which we could push new Administration to implement a strategy from the previous Administration</t>
  </si>
  <si>
    <t>Comprehensive whole-of-government approaches</t>
  </si>
  <si>
    <t>focus on girls as a specific population in USG policies and programming</t>
  </si>
  <si>
    <t>Getting answers on extent of implementation difficult without key leadership in place</t>
  </si>
  <si>
    <t>International Violence Against Women Act</t>
  </si>
  <si>
    <t>Advocating for Congress to support the International Violence Against Women Act (IVAWA) which elevates the importance of women's empowerment and gender-based violence, including child marriage, as a foreign policy priority</t>
  </si>
  <si>
    <t>women and girls</t>
  </si>
  <si>
    <t>Re-negotiated language from previous versions of the bill to garner more bipartisan support</t>
  </si>
  <si>
    <t>Work with coalitions</t>
  </si>
  <si>
    <t>outreach to moderate faith-based organizations</t>
  </si>
  <si>
    <t>relationship-building with influential Republican offices</t>
  </si>
  <si>
    <t>Very clearly articulate redlines when negotiating bill language</t>
  </si>
  <si>
    <t>ensure broad participation/consultation</t>
  </si>
  <si>
    <t>London Somalia Conference_CARE USA</t>
  </si>
  <si>
    <t>CARE's primary goal for the meeting was to ensure that civil society voices were heard by delegations and to mobilise further fundraising along with diplomatic actions to address obstacles and bottlenecks to the Somalia response.</t>
  </si>
  <si>
    <t>National (Somalia) and Global (European, North American and Australian CMPs)</t>
  </si>
  <si>
    <t>Displacement and conflict-affected communities in Somalia</t>
  </si>
  <si>
    <t>Due to the nature of this advocacy initiative direct and indirect participants are difficult to calculate. However, if we were to calculate the indirect participants who would be affected it would be the 3.2 million people in need of humanitarian assistance in Somalia</t>
  </si>
  <si>
    <t>Somewhat - strengthened linkages between Somalia-based advocacy and capital-level advocacy</t>
  </si>
  <si>
    <t xml:space="preserve">Multi-stakeholder alliances, </t>
  </si>
  <si>
    <t>evidence-based awareness raising</t>
  </si>
  <si>
    <t>Need more strategic and coordinated planning between country level and capital level in advance of high level meetings/donor conferences on humanitarian crises</t>
  </si>
  <si>
    <t>Two months of intensive planning (through the global Somalia NGO advocacy group) was invested in order to make advocacy at the London Somalia Conference successful. This could not be repeated for all crises, particularly at busy times of year, unless there is greater responsibility-sharing among CMPs
Extent of linking with partners: Participation in global NGO advocacy coalition coordinated by Oxfam in London (including colleagues in Somalia, Nairobi, London, Paris and DC)</t>
  </si>
  <si>
    <t>Malabo Commitments_CARE USA</t>
  </si>
  <si>
    <t>Ensure governments uphold their commitments to allot 10% of government funding to agriculture and nutrition programming.</t>
  </si>
  <si>
    <t>Southern Africa: Zimbabwe, Zambia, Madagascar, Malawi, Tanzania, Mozambique</t>
  </si>
  <si>
    <t>small-scale food producers, particularly women </t>
  </si>
  <si>
    <t>The project has recognized the need to prioritize engagement around key moments over the next FY across national budgetting processes. </t>
  </si>
  <si>
    <t>Multi-stakeholder alliances</t>
  </si>
  <si>
    <t>Evidence-based awareness raising</t>
  </si>
  <si>
    <t>Need to build a more strategic and targeted awareness-raising campaign with key partners and allies</t>
  </si>
  <si>
    <t>This project has generated a lot of momentum over the past six months through the development of several key partnerships with highly active coalitions, specifically the Graca Michel Trust and FANRPAN. This has elevated CARE's leadership and visibility on the issue and given us platforms to share our evidence based advocacy asks.</t>
  </si>
  <si>
    <t>SARMU IGS Impact Report</t>
  </si>
  <si>
    <t>Oslo Humanitarian Conference_CARE USA</t>
  </si>
  <si>
    <t>CARE's primary goal for the meeting was to ensure that civil society voices were heard by delegations and to raise issues of concern to CARE operations in Cameroon, Chad, Niger and Nigeria, particularly in the food security sector, along with pushing for pledges to the humanitarian responses in the four countries.</t>
  </si>
  <si>
    <t>National (Cameroon, Chad, Niger, Nigeria) and Global (European, North American and Australian CMPs)</t>
  </si>
  <si>
    <t>Displacement and conflict-affected communities in the Lake Chad Basin</t>
  </si>
  <si>
    <t>Due to the nature of this advocacy initiative direct and indirect participants are difficult to calculate. However, if we were to calculate the indirect participants who would be affected it would be the 11 million people in need of humanitarian assistance in the Lake Chad Basin</t>
  </si>
  <si>
    <t>Somewhat- strengthened linkages between INGO advocacy coordination and civil society in the Lake Chad Basin</t>
  </si>
  <si>
    <t>Planning by CARE Norway for this event was supported by CARE USA (policy analysis) and CI (deployment of Fatouma Soumana to attend the conference. How can this approach be replicated in future? 
Extent of linking with partners: Participation in in-country NGO forum advocacy work and coordination with peer organisations in Oslo</t>
  </si>
  <si>
    <t>Preventing Executive Order on Cargo Preference</t>
  </si>
  <si>
    <t>Advocating to prevent a harmful executive order on increasing Cargo Prefence from being introduced and/or going into effect. The cargo preference requires that the majority of U.S. food aid be shipped from the US to countires in need, a process that can be slow and expensive. Without this requirement, resources spent on shipping could be redirected to people requiring assistance.</t>
  </si>
  <si>
    <t>Due to the nature of this advocacy initiative direct and indirect participants are not calculated. However, this executive order would have negatively impacted humanitarian and development work around the world if implemented by making U.S. food assistance more expensive and slower.</t>
  </si>
  <si>
    <t>Engaging the private sector</t>
  </si>
  <si>
    <t>Diversifying the types of individuals and increasing the number of Congressional offices contacting the Administration elicits a faster response from the White House</t>
  </si>
  <si>
    <t>CARE heard through rumors that the White House was considering an Executive Order (EO) that would require 100% of government shipments to be made on US flag ships, which cost approximately twice that of foreign flag ships. We discovered that a draft of the EO was written, and it was intended to align with the President's "buy American, hire American" philosphy. However, the EO was not shared or discussed with USAID, USDA, or any stakeholders who would be negatively impacted by the policy. CARE then mobilized, along with a coalition of other NGOs, to inform Members of Congress and private industry groups to encourage them to contact the White House. CARE also met with White House officials to discuss the impacts that such a policy would have on international food aid programs. Ultimately, the White House ceased efforts on the Executive Order.</t>
  </si>
  <si>
    <t>Protecting Let Girls Learn</t>
  </si>
  <si>
    <t>Following the announcement from the Trump Administration to end Let Girls Learn, CARE and partners advocated on behalf of Let Girls Learn and  against the end of this program. Let Girls Learn is a United States government initiative to ensure adolescent girls get the education they deserve.</t>
  </si>
  <si>
    <t>Current LGL countries include Malawi, Tanzania, Nepal, and Laos</t>
  </si>
  <si>
    <t>Saving the program</t>
  </si>
  <si>
    <t>Civil Society responded quickly and very vocally following the announcement that the Trump Administration was going to end Let Girls Learn, and the publicity of this put enough pressure on the Administration to not end the initiative.</t>
  </si>
  <si>
    <t>Partnerships between government, donors, civil society</t>
  </si>
  <si>
    <t>Media pressure works to influence this Administration</t>
  </si>
  <si>
    <t>broad partnerships with USG on initiatives are difficult when not tied to specific programming</t>
  </si>
  <si>
    <t>USG interested in working on challenging issues in emergency contexts</t>
  </si>
  <si>
    <t>This is a success but this can come up again in the future.</t>
  </si>
  <si>
    <t>Protecting US Foreign Assistance Funding_bilateral assistance</t>
  </si>
  <si>
    <t>Advocating to maintain and protect the U.S. foreign assistance budget in Fiscal Year 2017 (roughly the current level of funding)despite proposals to cut the foreign assistance budget by the Trump Administration</t>
  </si>
  <si>
    <t>Any communities that receive U.S. foreign assistance in some form since this funding was protected, this would primarily be communitites living under the international poverty line</t>
  </si>
  <si>
    <t>Direct participants could include various coalitions and CARE staff while indirect participants include any communities impacted by USG funding and/or policy.</t>
  </si>
  <si>
    <t>CARE pivoted to focus on this issue of protecting the U.S. foreign assistance budget because of the major threat to our work, which was a major change, and CARE has become a major leader on this issue.</t>
  </si>
  <si>
    <t>assuming a leadership role of the broader US NGO advocacy community and being the conduit between the Hill and USAID</t>
  </si>
  <si>
    <t>focusing on legislaive oversight text and overall funding levels (not sector specific)</t>
  </si>
  <si>
    <t>providing outside experstise that would normally be provided by the administartion to Congress and initiating an ask that would generally be seen as the role of the administration.  </t>
  </si>
  <si>
    <t>Discrete and surgical advocacy to key congressional policy makers is the best return on investment.</t>
  </si>
  <si>
    <t>Given the current political environment we are working in and the disruptions of policy norms and traditional ways of working, CARE is achieving incredible advocacy wins that translate to tangle impacts on the ground.</t>
  </si>
  <si>
    <t>Protecting US Foreign Assistance Funding_child marriage</t>
  </si>
  <si>
    <t>Successfully advocated for robust funding for child marriage programming and/or implementation of the Adolescent Girl Strategy through Congressional appropriations process despite proposed cuts from the Trump Administration</t>
  </si>
  <si>
    <t>Recalibrated approach to appropriations advocacy by coming together as a "coalition of gender coalitions" focused on broad international affairs budget rather than sector-specific advocacy</t>
  </si>
  <si>
    <t>Collective advocacy as a "gender community" (i.e., key gender coalitions joining forces on advocacy around appropriations)</t>
  </si>
  <si>
    <t>developing community-wide talking points, letters, and materials</t>
  </si>
  <si>
    <t>targeting advocacy to Hill champions and Administration</t>
  </si>
  <si>
    <t>Collective advocacy has impact, but important that all stay on the same message</t>
  </si>
  <si>
    <t>Protecting US Foreign Assistance Funding_family planning</t>
  </si>
  <si>
    <t>Advocacted to maintain funding for bilateral family planning assistance at $585 million in FY17 in response to the Trump Administration's proposal to greatly reduce this funding</t>
  </si>
  <si>
    <t>Women and girls receiving sexual and reproductive health and rights care</t>
  </si>
  <si>
    <t>Individuals who were directly engaged in action towards change in this policy include the US Congress, USAID, and the US State Department. Due to the nature of this advocacy initiative direct and indirect participants are not calculated. However, this policy will impact humanitarian and development funding around the world for those who benefit from US funded family planning programs and projects</t>
  </si>
  <si>
    <t>Protecting US Foreign Assistance Funding_GBV</t>
  </si>
  <si>
    <t>Successfully advocated for robust funding for the implementation of the U.S. GBV Strategy through the Congressional appropriations process despite deep funding cut proposals from the Trump Administration</t>
  </si>
  <si>
    <t>Protecting US Foreign Assistance Funding_language on reform</t>
  </si>
  <si>
    <t>Advocacting to include language on congressional oversight for reform of U.S. agencies like USAID and the State Department in response to the Trump Administration's proposal to combine USAID into the State Department. This would greatly reduce and dilute U.S. investment in development by combining development into our diplomacy agency.  </t>
  </si>
  <si>
    <t>Countries and Communities that benefit from USAID programs and funding</t>
  </si>
  <si>
    <t>Direct participants could include various coalitions and CARE staff while indirect participants include any country or community that is impacted by USG funding and/or policy.</t>
  </si>
  <si>
    <t>CARE pivoted to focus on the issue of protecting U.S. foreign assistance, which was a major change, and CARE has become a major leader on this issue.</t>
  </si>
  <si>
    <t>providing outside experstise that would normally be provided by the administartion to Congress and initiating an ask that would generally been seen as the role of the administration.  </t>
  </si>
  <si>
    <t>Given the political environment we are working in and the disruptions of policy norms, CARE is achieving incredible advocacy wins that translate to tangle impacts on the ground.</t>
  </si>
  <si>
    <t>Protecting US Foreign Assistance Funding_poverty and humanitarian focused funding</t>
  </si>
  <si>
    <t>Advocating to support a strong foreign assistance budget funded at no less than $60 billion in Fiscal Year 2018 - roughly the current level of funding.</t>
  </si>
  <si>
    <t>Countries and communities that receive US foreign assistance, particularly those living under the international poverty line</t>
  </si>
  <si>
    <t>CARE pivoted to focus on the issue of protecting US foreign assistance due to the threats posed by the Trump Administration, which was a major change, and CARE has become a major leader on this issue.</t>
  </si>
  <si>
    <t>Protecting US Foreign Assistance Funding_spending and obligation of funds</t>
  </si>
  <si>
    <t>Advocating to include language in the FY17 Omnibus which requires the White House to spend allocated funding. This is important because Congress can allocate funds, but the White House can hold it and not allocate it.</t>
  </si>
  <si>
    <t>Direct participants could include various coalitions and CARE staff while indirect participants include all countries and communities that receive US government funding.</t>
  </si>
  <si>
    <t>CARE pivoted to focus on protecting US foreign assistance because of the threats posed by the Trump Administration, which was a major change, and CARE has become a major leader on this issue.</t>
  </si>
  <si>
    <t>Given the environment we are working in and the disruptions of policy norms, CARE is achieving incredible advocacy wins that translate to tangle impacts on the ground.</t>
  </si>
  <si>
    <t>Reach Every Child and Mother Act Introduction in the Senate and House</t>
  </si>
  <si>
    <t>Advocating for the US government to pass the Reach Every Mother and Child Act. This legislation would put the US on track to help end preventable maternal and child deaths within a generation, utilizing a variety of interventions, including family planning. CARE played a vital role in ensuring harmful language wasn't added to the legislation.</t>
  </si>
  <si>
    <t>women and girls, specifically mothers and children</t>
  </si>
  <si>
    <t>Individuals or groups who were directly engaged in this stage of advocacy included the US Congress and partner NGOs. Due to the nature of this advocacy initiative direct and indirect participants are not calculated. However, this policy will impact humanitarian and development work around the world, particularly mothers and children</t>
  </si>
  <si>
    <t>CARE played an important role in ensuring hamrful language wasn't included and that language around family planning was protected in this piece of legislation. This wasn't an issue in the previous version of the Reach Act last Congress, but some NGO members in the coaliton were trying to change the language to appease the new conservative political context.</t>
  </si>
  <si>
    <t>Reauthorization of Global Food Security Act (GFSA)</t>
  </si>
  <si>
    <t>Advocating to reauthorize the Global Food Security Act which codifies Feed the Future and is the first piece of legislation focused on U.S. food programs to include a focus on smallholder producers, women farmers, and natural resource management</t>
  </si>
  <si>
    <t>The 19 countries included in Feed the Future (Bangladesh, Cambodia, Ethiopia, Ghana, Guatemala, Haiti, Honduras, Kenya, Liberia, Malawi, Mali, Mozambique, Nepal, Rwanda, Senegal, Tajikistan, Tanzania, Uganda, and Zambia) in addition to countries experiencing crises that receive funding from the Emergency Food Security Program which is authorized in the GFSA</t>
  </si>
  <si>
    <t>Smallholder farmers and women</t>
  </si>
  <si>
    <t>Due to the nature of this advocacy initiative direct and indirect participants are not calculated. However, the reauthorization of GFSA will impact Feed the Future programming around the world and women farmers and smallscale food producers.</t>
  </si>
  <si>
    <t>GFSA is now turning towards implementation, and we pivoted to influence the USAID written strategy and other policy changes with continued advocacy focus  on smallholder farmers and their needs, women and girls, in addition to a continued focus on climate resilience and agricultural development.</t>
  </si>
  <si>
    <t>Being the community lead to engage with House Leadership, accurately whipping all members of the House and serving as the coordinator for the operation, cultivating hill relationships that allow for good communication when emotions run high, approaching all policy stakeholders so they are aware of what our focus is,  and maintaining strong and consistent contact with administration officials leading on the bill.</t>
  </si>
  <si>
    <t>Handling of House leadership relationship is the make or break difference.</t>
  </si>
  <si>
    <t>Having a credible whip count was the key to our engagement.</t>
  </si>
  <si>
    <t>Working 1:1 rather than in coalition based on the personalities of the policymakers involved was a critical tool.</t>
  </si>
  <si>
    <t>As of September 2017, it is still unclear whether the original Senate authors of the GFSA (Senators Casey and Isakson and Congressman Smith) are willing to be the congressional champions who lead the reauthorization efforts. Chairman Royce is committed however (House side). Currently, CARE would support making changes to the GFSA that put further focus on monitoring and evaluation of meeting the needs of small holder farmers, better coordination with local governments (not just national), greater standards of reporting for women and girls; however, it is too early to determine if there will be political space for making significant changes.</t>
  </si>
  <si>
    <t>GFSA After Action Review</t>
  </si>
  <si>
    <t>Uganda Refugee Solidarity Summit_CARE USA</t>
  </si>
  <si>
    <t>CARE's primary goal for the meeting was to ensure that the experiences of women and girls were included in outcome documents from the Summit, and to include civil society voices from CAREs work engaging men and boys to address sexual and gender-based violence in Ugandan refugee settlements.</t>
  </si>
  <si>
    <t>National (Uganda, South Sudan) and Global (CARE USA, CARE Nederlands &amp; CARE Austria)</t>
  </si>
  <si>
    <t>Refugee and host communities in Uganda, crisis-affected communities in South Sudan</t>
  </si>
  <si>
    <t>Due to the nature of this advocacy initiative direct and indirect participants are difficult to calculate. However, if we were to calculate the indirect participants who would be affected it would be the 1 million South Sudanese refugees in Uganda, and 6 million crisis-affected people in South Sudan.</t>
  </si>
  <si>
    <t>Somewhat - strengthened existing INGO advocacy coordination in Uganda</t>
  </si>
  <si>
    <t xml:space="preserve">evidence-based awareness raising, </t>
  </si>
  <si>
    <t>engaging men and boys</t>
  </si>
  <si>
    <t>Three week deployment of CARE USA policy/advocacy adviser to support the Uganda CO in preparation for this conference. How can we improve follow-up after policy/advocacy deployments in future and can we plan future policy/advocacy deployments through the CI roster?
Extent of linking with partners: Participating in women and girls side event planning group with UN Women, UNFPA, UNICEF, UNHCR and peer NGOs, in addition to in-country NGO forum advocacy work, and intensive collaboration with Oxfam, Save and Worldvision international advocacy colleagues on deployment in Uganda.</t>
  </si>
  <si>
    <t>UN Commission on the Status of Women_CARE USA</t>
  </si>
  <si>
    <t>Milkah Kihunah</t>
  </si>
  <si>
    <t>Deputy Director, Global Advocacy</t>
  </si>
  <si>
    <t>mkihunah@care.org</t>
  </si>
  <si>
    <t>The thematic focus for the Comission on the Status of Women this year was on WEE, and CARE's goals for the summit included: strenghtening partnerships with key actors, particularly women's rights groups and key govts. sharing and amplifying CARE's experience, evidence and learning through public events and targeted meetings and strengthening internal learning and mapping of CAREs global WEE and advocacy work.</t>
  </si>
  <si>
    <t>CARE organized 6 side events and a variety of strategic meetings with key actors, and was able to share it's program learning and evidence (e.g. on financial inclusion) with governments, civil society, businesses and other actors, with potential for taking tested solutions to scale</t>
  </si>
  <si>
    <t>CARE supported and worked with civil society coalitions in various ways during CSW e.g. engaging in CSO intel-gathering and strategizing efforts to influence the content of the outcome document</t>
  </si>
  <si>
    <t>affirmed importance of CSW as a great networking and relationship building space, particularly with activists and women's networks but also with key governments and donors</t>
  </si>
  <si>
    <t>Important to engage southern governments through CSW side-events and meetings in order to build relationships that can be leveraged for global and national advocacy</t>
  </si>
  <si>
    <t>Important to define and communicate our CSW influencing goals as early as possible to ensure organizational alignment and impact in our CSW engagement</t>
  </si>
  <si>
    <t>UN General Assembly Resolution on child marriage</t>
  </si>
  <si>
    <t>CARE nfluenced goverments to adopt a strong UN General Assembly Resolution that included language recognizing gender inequality as the root cause of child marriage and the importance of addressing child marriage in crisis settings and calling on states to take action, including by addressing harmful social norms, empowering girls to participate in all decisions affecting them and to report on progress in addressing child marriage as part of fulfilling their obligations under the Sustainable Development Goals. CARE also influenced the language in the resolution</t>
  </si>
  <si>
    <t>We are unable to calculate the number of participants who would be impacted by adoption of this global policy, however if members states fully implemented the commitments in the resolution, it would have a positive impact on millions of girls who are at risk of or affected by child marriage in around the world.</t>
  </si>
  <si>
    <t>1) CARE prioritized this process in order to strengthen government commitment to addressing child marriage and promoting girls rights and in order to ensure a focus on adddressing gender inequality as the key driver to child marriage</t>
  </si>
  <si>
    <t>need for better communication and coodrination across CARE to identify and leverage opportunities for influence with key governments</t>
  </si>
  <si>
    <t>need for more intensive local to global advocacy to influence key southern governments that sometimes have progressive national policies but take a silent or regressive stance at the UN on gender issues</t>
  </si>
  <si>
    <t>Need for more CARE connections at national or regional level with networks and coalitions working on child marriage/girls rights that also have global foorprint (e.g. Girls Not Brides)</t>
  </si>
  <si>
    <t>involved significant work through through  a coalition of INGOs and champion governments </t>
  </si>
  <si>
    <t>UN High Level Panel on Womens Economic Empowerment_CARE USA</t>
  </si>
  <si>
    <t>Influence the HLP to integrate women's voice, VSLA's/savings groups, and financial inclusions into their recommendations to shape the women's economic empowerment components of the UN's 2030 agenda </t>
  </si>
  <si>
    <t>Direct lobbying</t>
  </si>
  <si>
    <t>High level awareness raising events with policymakers and leaders from public and private sectors</t>
  </si>
  <si>
    <t>Still much more to do to understand the impact of this panel on the lives of women and families. How do we measure and evaluate our impact on helping to achieve the SDG's?</t>
  </si>
  <si>
    <t>Much of this work has been led by CI-UK, who lead on the WEE Outcome Area. However, since the establishment of the IGS's, we have done a much better job of more deliberately linking the advocacy work of the IGS's with the global advocacy priorities and targeted advocacy work with the HLPF.</t>
  </si>
  <si>
    <t>UN/World Bank High Level Meeting on Famine_CARE USA</t>
  </si>
  <si>
    <t>CARE's primary goal for the meeting was to ensure that I-NGOs were represented at the meeting, and to advance messaging with the UN and World Bank to include livelihoods, education and protection programming in its famine appeal.</t>
  </si>
  <si>
    <t>National (CARE USA) but specifically working to for Nigeria, Somalia, South Sudan, Yemen</t>
  </si>
  <si>
    <t>Due to the nature of this advocacy initiative direct and indirect participants are difficult to calculate. However, if we were to calculate the indirect participants who would be affected it would be the 20 million people affected by famine</t>
  </si>
  <si>
    <t>Direct lobbying,</t>
  </si>
  <si>
    <t>high level awareness raising on women and girls in famine-affected countries with leaders from IFIs, UN agencies and governments</t>
  </si>
  <si>
    <t>Need to engage in direct advocacy with World Bank in order to influence agenda</t>
  </si>
  <si>
    <t>Need to strengthen engagement with the World Bank to engage with ongoing work in famine-affected and fragile contexts
Extent of linking with partners: Linked with Interaction and other INGOs participating in the meeting
Mainstream GBV- addressed GBV as part of broader package of sexual and reproductive health needs and rights</t>
  </si>
  <si>
    <t>UNFCCC_FNS</t>
  </si>
  <si>
    <t>Tonya Rawe</t>
  </si>
  <si>
    <t>Global Policy Lead, Food and Nutrition Security</t>
  </si>
  <si>
    <t>trawe@care.org</t>
  </si>
  <si>
    <t>Overarching goal: Influence UNFCCC(United Nations Framework Convention on Climate Change ) policies, including those that govern national action and finance, to support the scale up of gender-transformative, climate-resilient,and nutrition-sensitive agricluture; advocate for measures to address inequality, ensure avoidance of harm, and advance learning &amp; guide action on all aspects of the FNS/CC nexus. Main objective: the UNFCCC establishes &amp; implements a work programme on agriculture &amp; food security that addresses adaptation and mitigation; enables examination of social aspects and emerging issues in FNS/CC; identifies and facilitates filling gaps in knowledge, action, and support; and seeks to inform further guidance on finance and action.</t>
  </si>
  <si>
    <t>Small-scale food producers, particularly women</t>
  </si>
  <si>
    <t>Due to the nature of this advocacy initiative direct and indirect participants are not calculated. However, this will impact FNS/CC related development work around the world.</t>
  </si>
  <si>
    <t>Initiative involved significant coalition engagement; CARE sought to influence coalition policy positions to amplify our voice beyond our own reach as CARE</t>
  </si>
  <si>
    <t>CARE supported capacity building of new NGO coalition members on the issues &amp; assumed the role of facilitator in a consensus-building exercise among a wide set of NGOs.</t>
  </si>
  <si>
    <t>1. Prioritization: CARE opted to prioritize this multilateral process, among others, to be able to devote more resources to it. 2. Politics: CARE recognized a need to be more political in our outreach -- though we were not able to fully act on this. 3. CARE's Role as Facilitator: CARE recognized its value as and stepped up to play the role of convenor &amp; facilitator (given our seat in the middle of the political spectrum).</t>
  </si>
  <si>
    <t>Strong relationships with key governments;</t>
  </si>
  <si>
    <t>CARE approach to advocacy as principled but practical partner (our middle ground advocacy stance and approach).</t>
  </si>
  <si>
    <t>Need to engage more politically in the climate negotiations (which requires more resources &amp; stronger relationships than we have already)</t>
  </si>
  <si>
    <t>Need for more rigourous (and earlier) analysis of policies &amp; precedents to present stronger arguments for our policy position;</t>
  </si>
  <si>
    <t>Need for broader reach as CARE (so more engagement within CARE).</t>
  </si>
  <si>
    <t>Our prioritization of the UNFCCC enabled us to focus more on this in the second half of the FY, though we are still building our work in this area to be deeper and more thoughtful and to engage more parts of CARE. Ongoign political challenges in the UNFCCC may entail a significant shift in our focus. The completion &amp; launch of the FNS advocacy strategy will enable more focus on cultivating wider engagement in CARE &amp; deepening our policy work in this area.</t>
  </si>
  <si>
    <t>No formal evaluation documents produced. Informal conversation held with key colleagues at mid-point in FY (negotiations run on calendar year).</t>
  </si>
  <si>
    <t>UNFPA Funding</t>
  </si>
  <si>
    <t>Advocating for the US government to support robust funding for international family planning, including funding for the United Nationas Population Fund (UNFPA) of at least $37.5 million.</t>
  </si>
  <si>
    <t>women and girls receiving sexual and reproductive health and rights care, particularly those in crisis settings</t>
  </si>
  <si>
    <t>Individuals or groups who were directly engaged in action towards change in this policy included the US Congress, USAID, and the US State Department. Due to the nature of this advocacy initiative direct and indirect participants are not calculated. However, this policy will impact humanitarian and development work around the world if implemented, particularly women and girls in need of SRHR services including in crisis settings</t>
  </si>
  <si>
    <t>UNHCR Annual Consultations with NGOs_CARE USA</t>
  </si>
  <si>
    <t>CARE's primary goal for the consultations was to raise questions and concerns with UNHCR regarding CO partnership with UNHCR in a number of contexts, as well as in the four famines contexts (and related refugee crises) particularly.</t>
  </si>
  <si>
    <t>Refugees and host communities, specifically women &amp; girls (and other affected populations with protection risks)</t>
  </si>
  <si>
    <t>Due to the nature of this advocacy initiative direct and indirect participants are difficult to calculate. Direct participants includes Nile Hope (CARE South Sudan local partner) and indirect would include refugees and host communities.</t>
  </si>
  <si>
    <t>Somewhat - NGO cooridnation supported by ICVA and Interaction</t>
  </si>
  <si>
    <t>Need to expand the approach of collecting inputs from COs that have partnership agreements with UNHCR to other UN consultation processes (e.g. with IOM, WFP) to improve evidence-basis of engagement in consultations</t>
  </si>
  <si>
    <t>Need to expand the size of CARE delegation to UNHCR NGO consultations in future to participate in more of the sessions while taking meetings with desk officers. Would be useful for CARE to be more visible during the NGO side event before the consultations.
Extent of linking with partners: Linked with ICVA, Interaction and other INGOs participating in the consultations, particularly Women's Refugee Commission
Mainstream GBV: addressed GBV as part of protection-focused conversations with UNHCR (as protection lead agency)</t>
  </si>
  <si>
    <t>Hodeida Port</t>
  </si>
  <si>
    <t>Advocating to U.S. government to prevent a Saudi - led coalition airstrike on Hodeida port that would devastate efforts to import and distribute humanitarian aid in Yemen.</t>
  </si>
  <si>
    <t>Hodeida Port - which services 80% of the Yemeni population</t>
  </si>
  <si>
    <t>Populations in Yemen receiving humanitarian assistance (through the Hodeidah port)</t>
  </si>
  <si>
    <t>Other: preventing an attack by foreign government on key civilian infrastructure</t>
  </si>
  <si>
    <t>Worked with coalition partners</t>
  </si>
  <si>
    <t>Working within a unified coalition of INGOs, who are advocating for the same action across legislative and executive targets</t>
  </si>
  <si>
    <t>Engaging media</t>
  </si>
  <si>
    <t>Tied efforts closely to the famine work so people could understand the impact of action</t>
  </si>
  <si>
    <t>In the current political environment in the U.S., NGO's can still be held accountable for comments made off the record, in closed door meetings which now can wind up leaked to the press as part of an interagency struggle due to lack of bureaucratic leadership.</t>
  </si>
  <si>
    <t>Although successful under the timeframe of this survey, this will be an issue that we will have to continue to confront until the conflict has reached a peaceful conclusion.  </t>
  </si>
  <si>
    <t>Vanuatu</t>
  </si>
  <si>
    <t>Emergency WASH response to El Nino in Vanuatu</t>
  </si>
  <si>
    <t>57871/10</t>
  </si>
  <si>
    <t>Megan Chisholm</t>
  </si>
  <si>
    <t>megan.chisholm@careint.org</t>
  </si>
  <si>
    <t>Kieren Davis</t>
  </si>
  <si>
    <t>WASH Program Manger</t>
  </si>
  <si>
    <t>kieren.davis@careint.org</t>
  </si>
  <si>
    <t>To provide vulnerable communities with life-saving and sustainable options to improve water, sanitation, and hygiene (WASH) in Tafea and Shefa Provinces, Vanuatu to better cope with the effects of El Niño related drought.</t>
  </si>
  <si>
    <t>South East Whitesands and West Tanna island Tafea province and Shefa province Vanuatu</t>
  </si>
  <si>
    <t>women , men, girls and boys and people with a disability</t>
  </si>
  <si>
    <t>The direct participants collected from the training, awareness form from training and emergency water tracking including desalination and distribution while indirect participants are the community population of the project target sites including SMS hygiene promotion.</t>
  </si>
  <si>
    <t>highly gender and protection focused response engaging partners and the sector in disucssion on gender and socially inclusive WASH responses</t>
  </si>
  <si>
    <t>gender awareness training proir to engagement on activities, Women in WASH storians, gender action plan and employment of female WASH technical staff</t>
  </si>
  <si>
    <t>gender and social inclusion in humanitarian reponse</t>
  </si>
  <si>
    <t>lessons learned workshops on WASH in slow onset emergencies and also gender WASH in emergencies</t>
  </si>
  <si>
    <t>gender analysis and development of gender action plan</t>
  </si>
  <si>
    <t>community WASH planning with gender balanced committees</t>
  </si>
  <si>
    <t>focus on protection and social inclusion</t>
  </si>
  <si>
    <t>focus on gender and appointment of a GESI officer to take forward the actions identified in the gender action plan</t>
  </si>
  <si>
    <t>women in wash storian process and engaging men in these processes to affect changes in attitudes and community action</t>
  </si>
  <si>
    <t>introducing MHM kits to communities has been a great way to breakdown taboo around MHM in communities</t>
  </si>
  <si>
    <t>Increasing small island Resilience to Climate Change and disasters in Vanuatu</t>
  </si>
  <si>
    <t>ANC10</t>
  </si>
  <si>
    <t>Charlie Damon</t>
  </si>
  <si>
    <t>This project strengthens community resilience to disasters and climate change and supports Provincial structures to strengthen gender and social inclusive disaster response plans. At the national level, it advocates and implements women-led gender and social inclusive preparedness and response policy</t>
  </si>
  <si>
    <t>Tafea Province and Port Vila</t>
  </si>
  <si>
    <t>the impact group are women, men, young people and vulnerable groups in target sites</t>
  </si>
  <si>
    <t>The Direct beneficiaries of this action are  at the community level - women, men, boys, girls people with a disability, CDCCC members, WASH committee members, Area secretaries. At the provincial level direct participants are provincial governement staff - from disaster, agriculture, water and the secretary general and members of the Provincial disaster committee. At the national level direct participants include members of the gender and protection cluster and other clusters/working groups, the National Disaster Management office. Indirect beneficiaries are the population of Vanuatu.</t>
  </si>
  <si>
    <t>ensured gender balanced teams were included in government sponsered guidelines for the CDCCC</t>
  </si>
  <si>
    <t>worked in a coalition with other INGOs to ensure CBDRR handbook and provincial planning is inclusive of gender</t>
  </si>
  <si>
    <t>supported increased understanding of gender responsive /transformative programming through the gender and protection cluster</t>
  </si>
  <si>
    <t>The setting of the gender balance (50% man and 50% woman) CDCCC in 10 communities out of 29 communities</t>
  </si>
  <si>
    <t>The development of the Provincial Disaster and Climate change mangement plan</t>
  </si>
  <si>
    <t>community planning for responding to climate change and disasters</t>
  </si>
  <si>
    <t>CDCCCs was really effective and working well but if CARE stops working with the communities the sustainability of the CDCCCs maybe affected due to the lack of resources.</t>
  </si>
  <si>
    <t>Gender situation difficult for women in Tanna especially with regard to leadership of CDCCCs and so CARE had to really focus on gender awareness training for communities to encourage appointment of women to leadership roles.</t>
  </si>
  <si>
    <t>Demo plots some of the demo plots were successful, but others were struggling because of the severe weather (Drought) and no water so it is not successful</t>
  </si>
  <si>
    <t>endline</t>
  </si>
  <si>
    <t>PREVENT- Preparedness and Response for the most Vulnerable communities to El Niño in TAFEA</t>
  </si>
  <si>
    <t>VUT011</t>
  </si>
  <si>
    <t>The PREVENT project aim is to increase the preparedness and adaptive capacity of vulnerable individuals in Tafea Province to respond to decreased water availability due to El Niño by building on existing cultural traditions, government structures, and community management systems.</t>
  </si>
  <si>
    <t>Islands of Futuna, Anietyum, Erromango and Whitesands area in Tanna.</t>
  </si>
  <si>
    <t>Women, children, people with a disability, men and other vulnerabile members of target communities in Tafea Province</t>
  </si>
  <si>
    <t>The direct participants collected from project activities and indirect participants are the community population.</t>
  </si>
  <si>
    <t>use of female technical staff as role models, MHM interventions</t>
  </si>
  <si>
    <t>increased engagement with local government</t>
  </si>
  <si>
    <t>Engaging women in committees</t>
  </si>
  <si>
    <t>Use of female plumbers to change attitudes</t>
  </si>
  <si>
    <t>Gender awareness with activities</t>
  </si>
  <si>
    <t>Continue to work with committees to reach 50% women on Water committees</t>
  </si>
  <si>
    <t>Take women from active committees to take part in other activities to share experience and knowledge</t>
  </si>
  <si>
    <t>To increase engagement with local government</t>
  </si>
  <si>
    <t>Tropical Cyclone Pam Recovery Programme to the UNICEF Multi-Country Programme for Pacific Island Countries</t>
  </si>
  <si>
    <t>VUT012</t>
  </si>
  <si>
    <t>The project aimed to maintain the momentum from the emergency response by ensuring that communities were rehabilitating existing systems while moving towards more resilient and sustainable community WASH approaches. This provided the opportunities for communities to be more in line with the 2008-2018 Department of Geology, Mines and Water Resources (DGMWR) WASH strategy and UNICEFs Drinking Water Safety and Security Planning (DWSSP) for the Pacific Region.</t>
  </si>
  <si>
    <t>Aniwa, Erromango,Islands and Whitesands area (Tanna Island) Tafea province</t>
  </si>
  <si>
    <t>Women, men, the elderly, people with a disability and children in Erromango, Aniwa and East Tanna islands.</t>
  </si>
  <si>
    <t>The direct participants are participants in actvities and users of services and collected from the activity engagement  and indirect participants are the total target community population from census data.</t>
  </si>
  <si>
    <t>conducted training on the minimum commitments on safety and dignity of affected persons for all WASH sector members in Tanna</t>
  </si>
  <si>
    <t>employment of female staff as plumbers, introduction of multipronged MHM strategy- awarenss, facilities redesign and material resources</t>
  </si>
  <si>
    <t>increase knowledge around 5 minimum commitments WASH</t>
  </si>
  <si>
    <t>Appointed female technical staff, appointed a GESI technical person to work with all the teams, conducted training for sector on 5 minimum commitments to safety and dignity of all</t>
  </si>
  <si>
    <t>MHM focused work - material, awareness, infrastruture changes</t>
  </si>
  <si>
    <t>Gender balanced water committees</t>
  </si>
  <si>
    <t>Female plumbers as role models</t>
  </si>
  <si>
    <t>Strengthen the dept of water and continue to work closely with them</t>
  </si>
  <si>
    <t>Gender awareness of community</t>
  </si>
  <si>
    <t>Work with the sector to avoid duplication</t>
  </si>
  <si>
    <t>Water for Life</t>
  </si>
  <si>
    <t>UNI40</t>
  </si>
  <si>
    <t>hrough this program 5596 people including women, children, people with a disability, the elderly and men in the targeted communities will be able to accessing sufficient, safe and secure water supplies for drinking as a result of the Drinking Water Safety and Security training and the committee set up, practice effective hygiene and sanitation as a result of the Paticipatory, Hygiene, Sanitation and Transformative Training and, learn how to build your own VIP latrines through the demonstration of the VIP latrines.</t>
  </si>
  <si>
    <t>31 communities across Central and North Tanna, Tafea Province.</t>
  </si>
  <si>
    <t>women, children, people with a disability, the elderly and men in the targeted communities</t>
  </si>
  <si>
    <t>The direct participants collected from the training and awareness form from training and awareness and indirect participants are the community population.</t>
  </si>
  <si>
    <t>use of female plumbers as role models,</t>
  </si>
  <si>
    <t>gender balanced water committees</t>
  </si>
  <si>
    <t>increase accountability measures</t>
  </si>
  <si>
    <t>Gender awareness with each activitiy</t>
  </si>
  <si>
    <t>Gender balanced water committee - training</t>
  </si>
  <si>
    <t>VIP demonstration</t>
  </si>
  <si>
    <t>Continue to focus on gender roles</t>
  </si>
  <si>
    <t>Increasing focus on gender balanace on committees</t>
  </si>
  <si>
    <t>continue to engage with government</t>
  </si>
  <si>
    <t>YUMI Ready - Every one is Prepared</t>
  </si>
  <si>
    <t>VU025</t>
  </si>
  <si>
    <t>Megan.chiishlom@careint.org</t>
  </si>
  <si>
    <t>Charlie.damon@careint.org</t>
  </si>
  <si>
    <t>To increase the Resilience of communities from the impact of disaster events through community, provincial and national level institutionalisation of Disaster Risk Reduction with phase out strategy.</t>
  </si>
  <si>
    <t>Port Vila, Tafea Province (Tanna, Aniwa, Futuna, Erromango)</t>
  </si>
  <si>
    <t>Women, men, girls, boys people with a disability in communities in Tafea province</t>
  </si>
  <si>
    <t>The Direct beneficiaries of this action areat the community level - women, men, boys, girls people with a disability, CDCCC members, WASH committee members, Area secretaries. At the provincial level direct participants are provincial governement staff - from disaster, agriculture, water and the secretary general and members of the Provincial disaster committee. At the national level direct participants include members of the gender and protection cluster and other clusters/working groups, the National Disaster Management office. Indirect beneficiaries are the population of Vanuatu.</t>
  </si>
  <si>
    <t>ensured gender balanced CDCCCs</t>
  </si>
  <si>
    <t>worked together in coaltion with other INGOs to ensure gender inclusion in the CBDRR handbook of the governement</t>
  </si>
  <si>
    <t>Gender and protection cluster - and other clusters support to all members on gender responsive/transformative programmimng</t>
  </si>
  <si>
    <t>The setting of the CDCCC (community disaster and climate change committee) in 16 communities</t>
  </si>
  <si>
    <t>The  support of development of the Provincial Disaster and Climate change mangement plan and do Simulation exercises at the Province to train the Provincial disaster committee</t>
  </si>
  <si>
    <t>Development of community Response plan to Community prone disasters</t>
  </si>
  <si>
    <t>CDCCCs was really effective and working well but if CARE stops working with the communities there is no sustainability of the CDCCCs because there were no resources to develop them to do things their own.</t>
  </si>
  <si>
    <t>Action plan some community do not have resources that they could things so they need assistance in small things (nails bag of cement for their Evacuation centre) how could CARE come in to help provide this assistance.</t>
  </si>
  <si>
    <t>Endline</t>
  </si>
  <si>
    <t>Were ready for Climate Change Increasing Small Island resilience to climate change in Vanuatu</t>
  </si>
  <si>
    <t>VU024</t>
  </si>
  <si>
    <t>Pacific-American Climate Fund (PACAM) USAID</t>
  </si>
  <si>
    <t>charlie.damon@careint.org</t>
  </si>
  <si>
    <t>Communities, especially women, young people, boys and girls have increased resilience to shocks, stresses and future uncertainty resulting from climate change. Focuses on community and sub-national level.</t>
  </si>
  <si>
    <t>Port Vila , Tafea province (Tanna, Aniwa, Erromango) and Sanma province</t>
  </si>
  <si>
    <t>Women, men, young people and girls and boys in Tafea and Sanma Provinces</t>
  </si>
  <si>
    <t>The Direct beneficiaries of this action are at the community level - women, men, boys, girls people with a disability, CDCCC members, WASH committee members, Area secretaries. At the provincial level direct participants are provincial governement staff - from disaster, agriculture, water and the secretary general and members of the Provincial disaster committee. At the national level direct participants include members the Eductaion Department Curriculum Development unit, and Save the children. Indirect beneficiaries are the population of Vanuatu.</t>
  </si>
  <si>
    <t>LIMITATIONS AND CRITICAL ANALYSIS AFTER FIELD SURVEY: Notification of Survey: Field trips reports noted that some communities had not been notified by community leaders about the field work and there were some miscommunications on the purposeof the work.This led to challenges in finding survey participants in some locations.  Closed Questions: The majority of questions are closed, which may limit the depth of data collected.  However, in terms of time available for surveying, the type of survey used and the abilities of enumerators, this is considered the most appropriate format for the time.  Execution of Survey:  Some of the responses indicate a lack of understanding, or different understandings, by enumerators of the questions.  For example, the question regarding the number of people with a disability in a household has answers that seem unrealistic, however were still recordedby enumerators.  Survey Structure:  The baseline data analysis revealed some flaws in the question structure, in particular the use of multiple selection questions.For example, people may be able to select multiple and therefore contradictory answers.Due to the need for the questions to be the same for the endline, these flaws were again apparent.Survey Timing:The endline survey was undertaken in conjunction with the final program activities.  Staff first conducted training sessions on topics such as water management, disaster plan development and climate change, then at the conclusion of the work, conducted the endline survey.  This structure has obvious advantages from a logistical perspective, in an operating environment where travel to remote communities is time consuming and expensive; however, it raises a fewpoints to consider in terms of the survey.  First, survey respondents were primarily the same people who had just completed the activities.  Thus, the survey does not ascertain the level of knowledge in a community but rather the level of knowledge within the group of people who engaged in activities.Next, the participants were likely to be more expert than the average community member, as the trainings were attended by people such as CDCCC members; this could also skew results.   Lastly, the proximity of the survey to the activity means it is functioning more as a post-test rather than a tool for measuring longer term change in the community.  On the other hand, in some locations enumerators went house-to-house, resulting in a more random sample of people.  Given this analysis compares knowledge in different geographic areas, it is worth keeping in mind the fact that different sampling methodologies may have been used in different areas.Some recommendations for managing this is future surveys are to select a method for approaching interviewees and ensuring the same method is used across teams (to house-to-house orusing activity participants).It would also be usefulto report the percentage of community members attending activities, so that a better idea or the impact of the work can be formed.Gender Analysis:The baseline KAP survey takes data from five islands, while the endlinesurvey covers three islands.  Therefore, it should be noted that when comparing baseline sex-disaggregated graphs to endlinesex-disaggregated graphs, Futunaand Aneityum are not included in endline graphs.   Survey Length:Field teams reported that due to the length of the survey and the need to complete other activities on their field trips, the survey could have been conducted more effectively if it had been completed on standalone field trips.  Assessment Fatigue:  The people living in the target area complained about the repetition of the surveys questions (Erromango); having been asked these questions during the baseline and also during other project surveys, communities are suffering assessment fatigue.   Due to the small population sizes, the burden of repeated surveys is felt by all.  Teams report increasing difficulty engaging people with surveys, thus it could be assumed that results are impacted by this fatigue.  Time of Year:  The endline surveys were conducted in November and December, and then again between February andMarch, which coincided with a busy time of year for communities.  Thus, it was difficult for field teams to find people willing to be interviewed and meet the sample size targets.Electronic Data Collection:  An issue with the tablet used in South Erromango Area Council meant the data collected in that location could not be usedin the first round of collection. A second round of data collection was completed in South Erromango to amend this issue, although technical issues continued to affect the data collection; some surveys could not be completed in their entirety and were therefore not included in the analysis.</t>
  </si>
  <si>
    <t>development of gender balanced CDCCCs</t>
  </si>
  <si>
    <t>This project was built off the previous CBA/CCA projects (2012-2014) implemented by CARE and SC that included community level planning and mitigation action on Futuna Island (Tafea Province), Efate Island (Sheaf province) and Penama Province. These projects focussed on increasing community level awareness of climate change and implementing adaptive agricultural practice such as soil management and the introduction of climate resilient and disease resistant crops. Increasing food security was a focus of this project through the introduction of new and re-establishment of traditional food preservation practices. This PACAM project built upon the learning and foot holds gained from the CBA project and expanded it to other islands within Tafea Province and into the Sanma province.</t>
  </si>
  <si>
    <t>CARE monitored SAVEs progress in the implementation and reporting thorughout the project implementation and support them to complete the project acitivites. Also the partnership allowed for the  two implementing partners to share knowledge, training materials and support each other in the implementation of the activities and the reporting processes e.g. CARE staff trained Save staff on the set up of gender balanced CDCCCs.</t>
  </si>
  <si>
    <t>In the proposal the orginal target was 2,500 people in total however, this number was exceeded because CARE decided to work in an additional 7 communities in Tanna, raising the target communities from 25 to 32. This meant CARE set up an additional 7 new CDCCCs.</t>
  </si>
  <si>
    <t>The setting of the gender balance (50% males and 50% females) CDCCC- CARE worked with 22 CDCCCs across three islands, of which 10 are gender balanced (50% women), 6 are above 40%, 3 between 30-38% and three around 26% and all CDCCCs have female members and strong participation of women. In total, 63 women have been voted into senior leadership roles inside the CDCCCs in Tanna, Erromango and Aniwa islands.</t>
  </si>
  <si>
    <t>The development of the Tafea Provincial Disaster Response and Climate change mangement plan and at community level the development or updating of community development/action plans that integrate climate change scenarios. Also Supported Save to replicated the activity in Sanma</t>
  </si>
  <si>
    <t>Training in climate resilient agricultural practices: CARE reached 176 community members (86 females, 90 males) and 145 students (65 females, 80 males) with agriculture training and implemented, in partnership, with Department of Agriculture and Rural Development (DARD) 6 demonstration plots in the communities and 4 in schools.The agricultural training provided plants and practices that are climate resilient, disease resistant and nutritious. Using resources such as The Climate Smart Agriculture Handbook, Solar Dryer Manual and Solar Fruit Drying and Nutrition Cook book (Kakae blo yumi booklet). Also Supported Save to replicated the activity in Sanma Province.</t>
  </si>
  <si>
    <t>Gender and social inclusion: Communities expressed their wide acceptance of gender balanced CDCCCs through the election of women into the committees and into leadership roles, experienced throughout the project communities despite the challenges of the gender norms particularly experienced in Tanna. SC experienced some difficulties engaging the province to include women in the development of the provincial plan. In future projects CARE has committed to ensuring that a gender analysis is undertaken by all partners and a gender inclusion strategy put in place and monitored. Also Disability inclusion, CARE experienced difficulty in ensuring that participants who had a disability self-identified as such and registered themselves in the correct columns on attendance sheets. CARE has participated in disability inclusive development training over the last quarter and has started to improve data gathering tools.</t>
  </si>
  <si>
    <t>Collaboration with local authorities to build climate resilience The collaboration between local technical government departments to support climate change resilience through education interventions, agriculture and community and provincial planning mechanisms has enhanced the sustainability and effectiveness of project outcomes. The project worked closely with the Education Department, the National Disaster Management Office (NDMO), the Department of Meteorology and Geo-Hazards (VMGD), provincial authorities and the Department of Agriculture and Rural Development (DARD) in the implementation of the project in the two provinces. DARD provided a series of trainings and hands-on learning for local community members and students on agriculture that responded to a change environment. Education Department Zone Area Coordinators engaged in the socialisation of the new climate change curriculum and materials and the NDMO, VMGD as well as the Provincial authorities engaged with the development of the Provincial Disaster Response and Climate Change Management plans. Effectively engaging with local departments supports them in their responsibility and role to provide better services for their constituents. This cross fertilisation of knowledge, skills and expertise meant that personal experiences and current scientific knowledge were brought together to produce tangible outputs for the community and far greater understanding of necessary climate resilient agricultural practices. Relationships developed will continue to foster project outcomes.</t>
  </si>
  <si>
    <t>Increase food nutrition and preservation training to communities: Feedback from communities and staff indicate that food nutrition and food preservation training should be conducted in each community rather than bringing representatives together to one training program so that most community members can be part of and access the training. Knowledge is considered powerful in this context and often this results in a reluctance to share knowledge for the benefit of others. Providing direct training to as many individuals in a community as possible would ensure that more people effectively took up new practices.</t>
  </si>
  <si>
    <t>CARE was the lead contractor and project manager with SC as the subgrantee. CARE worked directly with a total of 22 communities and the TAFEA province and Save with CARE's support worked with a total of 10 communities and the Sanma province reaching a total of 5701 direct beneficaries in total. Outcome 1: Up to 2,500 (this targetd was exceeded) women, men, young people, boys and girls in 25 communities have increased knowledge and capacity to plan for, adapt and address unavoidable impacts of climate change. Outcome 2: Up to 20 primary and secondary schools in TAFEA and SANMA provinces have increased awareness to climate change impacts and access to climate change and adaptation teaching materials for use in the school curriculum. Outcome 3: Up to 2,500 (this targetd was exceeded) women, men, young people, boys and girls in 25 communities areusing their increased climate knowledge to implement on the ground climate change adaptation actions, focusing on agriculture, food security, livelihoods and water resource management</t>
  </si>
  <si>
    <t>PACAM Final Report with Annexes, including endline analyses and case studies: link to Dropbox- https://www.dropbox.com/sh/wrjs3gdirko46e7/AAAkHoBE-Ipn2CV5QbiI7GdMa?dl=0</t>
  </si>
  <si>
    <t>Women's and Girls Empowerment Program</t>
  </si>
  <si>
    <t>VUT005</t>
  </si>
  <si>
    <t>Megan.chisholm@careint.org</t>
  </si>
  <si>
    <t>This project aim is to strengthen gender equality in Vanuatu by ensuring that women and girls are equal citizens and participate fully, freely and safely in society.  </t>
  </si>
  <si>
    <t>Rural communities of Tafea Province</t>
  </si>
  <si>
    <t>The main Impact groups are women and girls.</t>
  </si>
  <si>
    <t>DIrect participants are women, men, girls and boys in communities who are participating in the actvities - life skills, women's economic groups and other gender awareness activities. indirect participants are members of the communities where the direct participants are living.</t>
  </si>
  <si>
    <t>through the Gender and Protection Cluster CARE helped strengthen Civil societiy organistion's gender capacity/focus</t>
  </si>
  <si>
    <t>The all Project was redesigned for the second phase</t>
  </si>
  <si>
    <t>The development of the women's economic groups</t>
  </si>
  <si>
    <t>Engaing men in the poultry/egg _ very successful</t>
  </si>
  <si>
    <t>The redesigning of the project for phase II</t>
  </si>
  <si>
    <t>Involve men and boys more to influence the change in women being able to be part of decision making</t>
  </si>
  <si>
    <t>Strengthening the feedback mechanism</t>
  </si>
  <si>
    <t>include the Gender equality framework into all the aspect of the program</t>
  </si>
  <si>
    <t>Vietnam</t>
  </si>
  <si>
    <t>Ethnic Minority Womens Empowerment Initiative</t>
  </si>
  <si>
    <t>VNM 245</t>
  </si>
  <si>
    <t>Le Xuan Hieu</t>
  </si>
  <si>
    <t>Portfolio Manager</t>
  </si>
  <si>
    <t>LeXuan.Hieu@careint.org</t>
  </si>
  <si>
    <t>REMW are empowered to actively participate in local socio-economic development planning and decision making</t>
  </si>
  <si>
    <t>Dien Bien District, Dien Bien Province Ba Be District, Bac Kan Province, Hanoi for engagement in national level dialog</t>
  </si>
  <si>
    <t>Remote Ethnic Minority Women, who are land poor, socially isolated, and have weak resilience to hazards and shocks</t>
  </si>
  <si>
    <t>Direct beneficiaries: total No of women who participate in the VSLA groups plus with husband of VSLA groups who participated in engaging with men activities Indirect: total members of the family of all direct beneficiaries families</t>
  </si>
  <si>
    <t>Project conducted both endline survey in order to collect data in order to measure all indicators indicated in the logframe. On the other hand, project also to conduct evaluate qualitative part in order to assess relevant, effectiveness, efficiency, sustainbale also</t>
  </si>
  <si>
    <t>EMWE project has been designed as a platform to integrate other interventions that work jointly towards a common objective such as empowering minority women. With limited resources, EMWE cannot solve all the problems for ethnic minorities so integration with other projects is important.</t>
  </si>
  <si>
    <t>Project documented VSLA models whiich has been transferred to Central Women Union</t>
  </si>
  <si>
    <t>Project build capacity for Bac Kan Women Union and Centre for Community Development in Dien Bien province</t>
  </si>
  <si>
    <t>The overall objective of the EMWE project was to empower REMW to actively participate in local SEDP and decision making. With this regards, the evaluation report concludes that the project activities have made progress towards achieving its objective. The above discussion has shown that REMWs participation in village meetings has indeed increased. Moreover, they also started to be more active and speak out their concerns and opinions in the village meetings.</t>
  </si>
  <si>
    <t>Engaging with men will be good approach to conduct gender transformative</t>
  </si>
  <si>
    <t>VSAL will be appropriated flatfoorm to support women economic empowerement</t>
  </si>
  <si>
    <t>SAA also will be the good tool to challenge existing gender norm</t>
  </si>
  <si>
    <t>The projects experience showed that EMWEs multifaceted approach to gender equality aligned with the three components of CAREs Gender Equality Framework was effective.</t>
  </si>
  <si>
    <t>Engaging with men is good way to implement gender stransformation</t>
  </si>
  <si>
    <t>LARCs are an effective mechanism for women to build their capacity, share experience, socialise, and strengthen their collective identity and voice</t>
  </si>
  <si>
    <t>EMWE is the first project of CVN strongly focus on gender transformative. EMWE also to stricly follow all M&amp;E steps such as  baseline, midterm review, endline and final evaluation.</t>
  </si>
  <si>
    <t>Project Document. FY 17 Project Plan. Mid-term Interim Report. Final Rport. Final Evaluation . Baseline Survey Report</t>
  </si>
  <si>
    <t>Nang Quyen (Empowerment) in Vietnam</t>
  </si>
  <si>
    <t>VNM246, VN273</t>
  </si>
  <si>
    <t>Le Thi Hong Giang</t>
  </si>
  <si>
    <t>GBV Specialist</t>
  </si>
  <si>
    <t>lethihong.giang@careint.org</t>
  </si>
  <si>
    <t>Nguyen Thi Huong</t>
  </si>
  <si>
    <t>SMP Team leader</t>
  </si>
  <si>
    <t>nguyenthi.huong@careint.org</t>
  </si>
  <si>
    <t>To tackle the underlying causes of exclusion of and discrimination against female sex workers. The project pilots a model of engagement between female sex workers and authorities which will promote improved protections for female sex workers against GBV and access to services, and support their voice and participation in decision-making, by addressing stigma, discriminatory practices and punitive approaches.</t>
  </si>
  <si>
    <t>Three provinces: Quang Ninh (In the North of Vietnam), Can Tho and Ho chi Minh city (In the South of Vietnam) Hanoi: Capital city for Advocacy events</t>
  </si>
  <si>
    <t>Female sex workers: Mostly ones who work on the streets and some of them from venue based</t>
  </si>
  <si>
    <t>Direct participants: Female sex workers (FSW); local authorities including police, Services providers at local and national level. They were counted when participated in workshops, dialogues between FSWs and local authorities, We Are Women clubs meetings and outreach; trainings to partners through CARE support.</t>
  </si>
  <si>
    <t>Women voice</t>
  </si>
  <si>
    <t>To promote the Prevention and response to GBV against sex workers the project have involved multisectoral agencies including Police. The police involvement in the project has proved the need of changing this sector attitude and awareness so that it can play their responsibility to protect sex workers in case of GBV.  </t>
  </si>
  <si>
    <t>CARE worked with Vietnam Network of Sex Workers in the country and provided technical support to strengthen capacity of network members in 16 provinces by support training on leadership skills and GBV prevention.</t>
  </si>
  <si>
    <t>Quartely dialogues between local authority including police and female sex workers (FSWs): The dialogues were organized quartely and facilitated by local department of labor invalid and social affair. According to the project final evaluation, the dialogues have helped FSW involved in project activities have achieved a much-improved platform for expressing their needs to local authorities, with potential for input into local planning for service provision and, to a lesser extent, policy formulation. for the poloce themselves only participated in the dialogues that they knew about FSWs challenges and GBV expereinces.</t>
  </si>
  <si>
    <t>We are Women Club become platform for FSWs to raise their voice to their peers and local authority and social service providers and safe place to share their concerns.</t>
  </si>
  <si>
    <t>Sex work situation is changing, and with changes to more phone-based or online sex work, the WrW club might not be relevant for the collective voice of FSWs. It is essential to think of online forum and online networking for support as alternative platform to empower FSWs.</t>
  </si>
  <si>
    <t>One size doesnt fit all: the situation regarding FSW differs in every province, and is also changing constantly; while the basic NQ project model is sound, an important feature is its flexibility. In future replication of the NQ model, CARE needs to be taken to ensure that it is not implemented in a formulaic way, but can be adapted to fit the needs of each specific situation.</t>
  </si>
  <si>
    <t>To make significant change of police working style require both institutional partnership with Ministry of Public Security and the change at individual level. Although individual change cannot make change at scale but it is significant in dealing with the issues at locality and at single cases.</t>
  </si>
  <si>
    <t>Please contact to: lethihong.giang@careint.org for such documents: - Project design - Project annual report - Project end of Project Evaluation.</t>
  </si>
  <si>
    <t>Womens Economic Empowerment through Agriculture Value Chain Enhancement (WEAVE)</t>
  </si>
  <si>
    <t>VNM 302</t>
  </si>
  <si>
    <t>The overall Goal of the WEAVE project is to enhance womens economic empowerment and social inclusion in agricultural value chains in rural Vietnam. This will be achieved through four outcomes that will collectively lead to increased womens economic empowerment</t>
  </si>
  <si>
    <t>Bac Kan
Lao Cai
Ha Noi</t>
  </si>
  <si>
    <t>Ethnic minorities, mainly resident in rural and upland areas, are often found to be more disadvantaged compared to the majority Kinh on interlocked multi dimensions of poverty such as illiteracy, decreased access to basic services, social exclusion and vulnerability to market and environmental risks and shocks. They represent 15% of the total population but account for 70% of Vietnams extreme poor . Women remain one of the most vulnerable groups and are still in a disadvantaged position compared to men despite the fact that there is a legal framework that is supportive of gender equality</t>
  </si>
  <si>
    <t>Direct beneficiaries: total men/women who are planting banana in 2 communes Indirect beneficiaries: total members of banana prioducer's families</t>
  </si>
  <si>
    <t>In the baseline, WEAVE started appli to measure the WEAI</t>
  </si>
  <si>
    <t>project test new approach of WEE thru value change analysis</t>
  </si>
  <si>
    <t>CVN, Oxfam and SNV consort to implement this project. CVN will bring the M&amp;E, OD and financial inclusion experience, OXFAM will contribute the GALS and SNV will bring private sector engagemnet. All this experiences to focus to WEE for the project goal</t>
  </si>
  <si>
    <t>Project conducted building capacity for 2 implementing partners (especially on market and GALS approaches)</t>
  </si>
  <si>
    <t>The coordinating mechanism among consortium members and local partners is in place. The project got approval from the government, and on that basis contracts/memoranda of understanding with local partners were signed. Consortium members then organised project launching events, and planning workshops with related stakeholders to widely communicate the project goals, objectives, and intervention strategies to local community and businesses. The joint project activity plan, MEL plan, and communication plan were completed and approved, emphasising shared values, working principles, contribution, and responsibility of each organisation. The engagement with the private sector for contract farming/inclusive business models is progressing well with positive reflections from companies themselves</t>
  </si>
  <si>
    <t>Project applied both GALS and SAA activities for gender transformation</t>
  </si>
  <si>
    <t>Engaging private sectors in Women Economic Empowerment</t>
  </si>
  <si>
    <t>Applied VCA approach into WEE</t>
  </si>
  <si>
    <t>Working in the consortium. WEAVE was set up based on the strengths of each consortium member, including GALS (Oxfam), value chain development and market-based solutions (SNV) and financial solutions (CARE), meaning both opportunities for cross-learning and enhanced capacity for each member, and effort needed to harmonise and compliment the others definitions, approaches, and criteria</t>
  </si>
  <si>
    <t>The importance of local partners. Local partners participation is crucial during project implementation. Their understanding of project objectives, how the project supports them, and their roles in each stage of the project then translated into commitment and ownership of the project interventions and activities, for example rolling out similar activities to other locations, applying gender sensitive/ participatory approaches in their work, and facilitating community discussions without imposing solutions or ideas</t>
  </si>
  <si>
    <t>Trust building. Involving related stakeholders right from the planning process offered a great opportunity to local partners, producer group members, and company to get to know each other, to be open to share their questions, concerns, expectations, and needs, so that the project can adjust its design or focus to reflect such needs. Target companies need to be involved in this period as well to gradually build up understanding and trust. Trust building obviously requires two ways communication and interactions (for example to introduce the concept of contract farming to banana producer groups), in addition to capacity building activities for producer groups (such as legal obligations with contracts). Trust building demonstrated the significant roles of NGOs as broker and facilitator for social change</t>
  </si>
  <si>
    <t>Project document . Inception Report. Baseline report. First six months report</t>
  </si>
  <si>
    <t>CIVIL ACTION for SOCIO-ECONOMIC INCLUSION in Northern Vietnam (phase IV)</t>
  </si>
  <si>
    <t>VNM 259</t>
  </si>
  <si>
    <t>Nguyen Duc Thanh</t>
  </si>
  <si>
    <t>nguyenduc.thanh@careint.org</t>
  </si>
  <si>
    <t>Nguyen Tri Dzung</t>
  </si>
  <si>
    <t>REMW program team leader</t>
  </si>
  <si>
    <t>nguyentri.dzung@careint.org</t>
  </si>
  <si>
    <t>Civil society organisations and representatives of those who are at risk of socio-economic exclusion among Northern ethnic minorities are increasingly involved in setting the agenda for more inclusive development approaches and policies</t>
  </si>
  <si>
    <t>Northen provinces and partly in central and highland areas in Viet Nam</t>
  </si>
  <si>
    <t>The most vulneable ethnic minority people, in particualry women and girls - Strategic partners -VNGO and their CSO networks are in particular and CSOs in general in Viet Nam</t>
  </si>
  <si>
    <t>The direct people are ethnic minority men and women, local authorities and government officials directly participated in the project activities in the project locations. The indirect people are more than 11 millions ethnic minority people living in the forest moutainous areas in Vietnam, who benefit from changes in related policies, national program that CARE and stratetegic CSO partners advocating for changes/ improvement</t>
  </si>
  <si>
    <t>Planed to have a evaluation (2 international and national consultants), the main methodology is documentation and casestudy to find out lessons learnt to document and reflect to evaluate the project. It is expected the outputs of the final evaluation will produce a number of casestudies for learning and reflection in term of CSO capacity strenthening, advocacy, outcome monitoring, gender equity, impact/ changes made etc.</t>
  </si>
  <si>
    <t>Advocacy for CSO's enabling working environment</t>
  </si>
  <si>
    <t>Program approach, partnership, outcome monitoring, partner driven</t>
  </si>
  <si>
    <t>Partnership, partner driven, CSO collective actions for influence</t>
  </si>
  <si>
    <t>Facilitated the CSO partners strenthen their Ods; activist, knowledge broker; join program development etc.</t>
  </si>
  <si>
    <t>Partnership strenthening and project partner driven</t>
  </si>
  <si>
    <t>Maintained an openness, trust, friendly, inovative, supportive working environmnent between the partners in the project</t>
  </si>
  <si>
    <t>Empower CSO representatives of the impact groups (Landnet, Tienphong networks or CBO led by EM women etc.)</t>
  </si>
  <si>
    <t>Advocacy process is complexity and challeging. It need to have strategic and tactics plans/ actions. Sometime we should go in a lign with CSO networks/ alliances but sometime should be activists and stand behind and support government active people/ policy makers  </t>
  </si>
  <si>
    <t>We could not be representatives for the impact group to address their development issues but building and strengthening their representatives (CSOs, networks) would be a strategic and long term interventions</t>
  </si>
  <si>
    <t>Ethnic minority young people will be potential targeted groups for changes</t>
  </si>
  <si>
    <t>Promoting landrights for ethnic minority people in Vietnam</t>
  </si>
  <si>
    <t>VNM258</t>
  </si>
  <si>
    <t>To contribute to the protection and promotion of ethnic minority peoples rights to community forest lands</t>
  </si>
  <si>
    <t>Northern Vietnam: Simacai and Bat Xat districts, Lao Cai province; Dinh Lap district and Huu Lung district, Lang Son province; - Central Vietnam: Tuyen Hoa, Quang Ninh districts, Quang Binh province; Que Phong district, Nghe An Province; Huong Son district, Ha Tinh province; - Central Highlands: Sa Thay and Kon Plong districts, Kon Tum province; - Hanoi: national advocacy and engagement;</t>
  </si>
  <si>
    <t>The targets of this project are the policy makers who will determine the content of the Law on Forest Protection and Development. The Vietnam Administration of Forestry (VN Forest) chairs the drafting committee, on which also sits Committee on Ethnic Minority Affairs (CEMA), the government body with the mandate to improve conditions for ethnic minority populations.</t>
  </si>
  <si>
    <t>The direct people are ethnic minority men and women, local authorities and government officials directly participated in the project activities in the project locations. The indirect people are more than 11 millions ethnic minority people living in the forest moutainous areas in Vietnam, who benefit from changes in forest land and forest related law/ policies</t>
  </si>
  <si>
    <t>comparability with baseline, and results/ achivement of advocacy process on the forest land law revision</t>
  </si>
  <si>
    <t>Advocate the government respect the right of ethnic minority applying their customary law in the forest land and forest protection and management</t>
  </si>
  <si>
    <t>Strengthen a national CSO network led by ethnic minority people (Landnet) who represents for their community in the process of addressing forest land right issues/ the law revision. Support to form a Gender ambassedor network, including men and women, from different provinces, aiming to promote gender equity, right of EM women in access to land and forest land rights</t>
  </si>
  <si>
    <t>EM women led CBOs on forest based livelihood options. Community /Costumary law  based  forest management</t>
  </si>
  <si>
    <t>Activiist, CSO network strengthen, capacity strengthening</t>
  </si>
  <si>
    <t>Advocated changes in the in Decree 01/2017/ND-CP dated 6th January 2017. The newly revised decree now states that households, individuals, and communities who are living in forest areas can be legally allocated these forest areas as natural forest for production (which had previously stated that only organizations could benefit from the allocation of production forests. There had been no mention of households or communities as possible legal owners of productive lands. A number of recommendations on the second revision of law on forest protection and development has been taken (e.g. community is one of the forest owner, custormary law respect, other beneficieries and responsiblitiy of community in forest protection and managment). The law revision will be approved in the second national assembly session in Oct., 2017</t>
  </si>
  <si>
    <t>Advocacy based evidences (good practices of community based forest management or customary law based forest management)</t>
  </si>
  <si>
    <t>Collective action of CSOs (research, consultation workshop, policy consultation papers etc.) for advocacy, in particulaly CSO/ CSO network led by the impact group</t>
  </si>
  <si>
    <t>Maintained close relationship with key policy makers and the law draft team and playing as activists</t>
  </si>
  <si>
    <t>Close follow up the government and national assembly discussion and feedback on the law revision draft to have timely respones and consultations</t>
  </si>
  <si>
    <t>Represenative and nuence practical evidences have strong influence to the policy maker decision, in  particularly voice of the impact groups during law revision consultation process  </t>
  </si>
  <si>
    <t>Field visits for policy makers are important for them to interact and see the needs of communities</t>
  </si>
  <si>
    <t>In general assesment, the project has significantly achived the expected results. A number of specific recommendations to the law revision draft have been taken regardless to respect customary law and community forest owner. Additionally, the project also supports EM women more engagement in forest development and management at local level through EM women led CBOs in forest based livelihoods, nursery garden etc.</t>
  </si>
  <si>
    <t>A number of publications, law revision consultation papers for reference</t>
  </si>
  <si>
    <t>Voice and Rights for Ethnic Minority Women</t>
  </si>
  <si>
    <t>VNM 252</t>
  </si>
  <si>
    <t>Contribute to securing the rights of ethnic minority women in Vietnam by enhancing their voice and ensuring that government agencies and civil society value, respect and respond to it. Specific objectives: 1): Ethnic minority women have enhanced capacity to identify, articulate and advocate on issues that effect them to government and civil society; and 2): The Ethnic Minority Working Group (EMWG) and CEMA have increased respect for and sensitivity to the rights of ethnic minority women and enhanced capacity to recognise and respond to their needs.</t>
  </si>
  <si>
    <t>Bac Kan province - a mountainous province in northen of Vietnam</t>
  </si>
  <si>
    <t>Ethnic minority women in the province</t>
  </si>
  <si>
    <t>The direct people are ethnic minority men and women, local authorities and government officials directly participated in the project activities in the province and national level. The indirect people are more than 11 millions ethnic minority people living in the forest moutainous areas in Vietnam, who benefit from changes in related policies, the national program that CARE and stratetegic CSO partners advocating for changes/ improvement through the co research processes</t>
  </si>
  <si>
    <t>Women Social  Empowerment</t>
  </si>
  <si>
    <t>Power shift and balance throug co research methodology</t>
  </si>
  <si>
    <t>Co research methodology</t>
  </si>
  <si>
    <t>Activist and support advocacy process</t>
  </si>
  <si>
    <t>Re allocate more fund for the CSO partner taking lead in communication and advocacy, adocate Vietnam Women Union at national level to scale up the methodology</t>
  </si>
  <si>
    <t>Building confidence, self esteem for EM women through the co research process, respect their voice, decisions making</t>
  </si>
  <si>
    <t>Have a good plan for documentation and communication</t>
  </si>
  <si>
    <t>Closely engage and inform local authorities and policy makers/ planners in and on time on the project progress and results</t>
  </si>
  <si>
    <t>The impact group has ability to solve their own issues by their ways when they were given power and resources</t>
  </si>
  <si>
    <t>Documentation and communication plays important roles for inspiration, infuence and advocacy</t>
  </si>
  <si>
    <t>We could find a good opportunity for advocating and scalling up if having information on or understanding the government's the same interests</t>
  </si>
  <si>
    <t>The co research methogology has shown as powerful tool to empower EM women, The central Vietnam Women Union has taken this methodology and suggested to support for scaling up</t>
  </si>
  <si>
    <t>A number of publication, documentation and video clips for references</t>
  </si>
  <si>
    <t>Assistance for drought and saltwater intrusion affected communities in the Mekong Delta and Central Highlands regions of Vietnam</t>
  </si>
  <si>
    <t>VNM265</t>
  </si>
  <si>
    <t>To provide urgent humanitarian assistance to the most vulnerable El Nino affected communities and households in the Mekong Delta and Central Highlands regions of Vietnam</t>
  </si>
  <si>
    <t>Soc Trang and Ca Mau provinces</t>
  </si>
  <si>
    <t>Poor households in both Soc Trang and Kien Giang provinces effected by drought and salt intrusion in Vietnam in 20166</t>
  </si>
  <si>
    <t>There are no indirect beneficiaries because all populations of 4 targeted communes are direct beneficiaries. They received the hygin promotion information thru the risk communication activity</t>
  </si>
  <si>
    <t>In October 2017, project conducted baseline plus with KAP survey. In the next year project will conduct posk KAP and final evaluation</t>
  </si>
  <si>
    <t>Project apply new beneficiaries selection methods, which based on the ICT system</t>
  </si>
  <si>
    <t>Proejct consort with SC to test real-time monitoring system as well as using ICT in beneficiaries selection</t>
  </si>
  <si>
    <t>Project built capacity for women union in both Soc Trang and Kien Giang on technique of emergency response, especially on cash transfer and real-time monitoring</t>
  </si>
  <si>
    <t>Project is addressing the right needs of disaster affected populations, the project design and approaches is suitable to organizational capacity, priority of support and the project implementation plan and practice is consistence with CARE and SCs capacity and donor policy, it brings value-added to match the effort of the local Government to alleviate suffering and build capacity for marginalized people to better cope with disasters</t>
  </si>
  <si>
    <t>Applied real-time mornitong to track all the beneficiaries as well as applied ICT in beneficiaries selection in order to ensure the transperancy of this process</t>
  </si>
  <si>
    <t>Provide multi purpose cash which can help local people have more decision power</t>
  </si>
  <si>
    <t>Consortium is effective model to conduct emergency response project which can mobilze resources and expertise from multi organisations</t>
  </si>
  <si>
    <t>Partnership with Local Government and communities: Working directly with community, in cooperation with local masse organization: CARE with the omens Union and SC with the RC, the project also need further cooperation with Local Government at commune levels to mobilize support, particularly in coordinating efforts with different sectors within the commune structure: Health Care, Education, Water management, Youth</t>
  </si>
  <si>
    <t>Level of support: For multi-purpose cash, it is advisable to use some levels of support (SC model) instead of actual number of household members (CARE model). This is due to the fact that some households with 1-2 members received a very small amount of money and had to travel 2 times from a long distance which the cost to receive it almost equal to the amount they got. This can be solved by one time distribution to the small sized family</t>
  </si>
  <si>
    <t>Planning should anticipate long admin procedures in donor contracting and beneficiary selection to design timeframe to match practical situation</t>
  </si>
  <si>
    <t>Project document. Table of beneficiaries. Interim report. Final evaluation report</t>
  </si>
  <si>
    <t>Ethnic Minority Womens Empowerment - Plus</t>
  </si>
  <si>
    <t>VNM264</t>
  </si>
  <si>
    <t>Experian</t>
  </si>
  <si>
    <t>The Ethnic Minority Womens Empowerment Plus (EMWE+) project will promote the financial inclusion and resilience of women from the Thai ethnic minority group in Dien Bien Province of Northern Vietnam. The projects main objective is to increase the resilience of ethnic minority women and their families through improved financial inclusion</t>
  </si>
  <si>
    <t>Dien Bien province</t>
  </si>
  <si>
    <t>Ethnic minority Women in Dien Bien province</t>
  </si>
  <si>
    <t>Direct beneficiaries: total members of VSLA establish under this project + total VSAL members participated in financial literacy education (not including VSLA members under this project). Indirect beneficiaries: total people of direct beneficiaries family members</t>
  </si>
  <si>
    <t>EMWE PLUS was consider as added activities to EMWE project which contained only 2 activities 1) establish VSLA groups and 2) provide finance literacy eudcation</t>
  </si>
  <si>
    <t>Project provided more opportunities for ethnic women to access to finance resources as well as provide knowledge on how to save and spend money effectively</t>
  </si>
  <si>
    <t>Project worked with CCD and Dien Bien women union to transfer VSLA model which can help them to replicate this model to other areas of Dien Bien province</t>
  </si>
  <si>
    <t>Project focused to build capacity for CCD and leaders of VSLA groups on finance literacy education</t>
  </si>
  <si>
    <t>After a year of implementation, the project has achieved the major social outcomes, with strong focus on building resilience capacity of women, including womens empowerment, recognition of local authorities toward women and inclusion of the most marginalized people</t>
  </si>
  <si>
    <t>After joining 30 groups of VSLA in 05 communes, 880 women have a platform to meet regularly and practice saving. The change start from individual women. They have gain confidence and discuss in groups about matter affecting their life</t>
  </si>
  <si>
    <t>Women also reflected financial literacy training have helped them organize their household budget and planning better. They shared that previously, they did not set goals for savings and think about arranging their budget for different purposes, they just used small amount of cash for daily consumption, and when they needed money for other purpose, they would sell their assets, such as buffalos or cows. Putting money into saving was not popular practice among these women. After financial literacy training, they are now aware of the importance of saving and setting goals for their life. Saving becomes a tool for them to reach their goals and  the goal can be small, to medium and large</t>
  </si>
  <si>
    <t>Beyond individual change, the relationship among women themselves. VSLA members reflected that they really enjoyed going to VSLA meeting and socialize with other women because previously, women were too occupied with housework and could not going out to see others. While VSLA is regular platform, they can meet up frequently, not only to practice saving abut also to discuss other issues that concern their lives, or even just to chat anything they want, or just to sing a song together</t>
  </si>
  <si>
    <t>EMWE PLUS has been built on EMWE project, therefore it is synergy resources each others to create more impact to local community</t>
  </si>
  <si>
    <t>It could be difficult to build all VSLA leaders to became TOT trainers, therefore project should select only some key leaders who have potential to training on finance literacy education which they will deliver to VSLA members</t>
  </si>
  <si>
    <t>EMWE PLUS created very strong VSLA mater trainers which included for both "how to establish and operate VSLA" and "finance literacy education". With this trainers, which can help to roll out both topics to the other areas/provinces. CVN can mobilze this resource for the other projects if needed</t>
  </si>
  <si>
    <t>With limited budget and short time frame, therefore project only focused into 2 activities. Which included 1) establish VSAL and 2) provide training finance literacy education. Therefore project only created impact on finance inclusion which could be not included other factors such social, livelihood etc</t>
  </si>
  <si>
    <t>1. Project document
2. Quarterly report
3. Final report</t>
  </si>
  <si>
    <t>Northern and Central Vietnam</t>
  </si>
  <si>
    <t>Direct participants are those who received a loan to invest in their business from Lendwithcare lenders in FY17. Indirect participants have been calculated by adding up all of the dependents of the entrepreneurs who received a loan in FY17 and the people who have been employed in their businesses. We are not able to disaggregate the data for indirect participants by female and male, so I have used the ratio of 51:49 that is in the CIA World Factbook for Vietnam https://www.cia.gov/library/publications/the-world-factbook/geos/vm.html. This is an on-going project so I have given the numbers of participants just in this FY as there is no end date to the project.</t>
  </si>
  <si>
    <t>High staff turnover in our partner organisation can have an impact on programme quality.</t>
  </si>
  <si>
    <t>The need for good Management Information Systems (MIS) is key for the proper management of a microfinance organisation but are very expensive and largely unaffordable for small organisations.</t>
  </si>
  <si>
    <t>Legal and regulatory changes can have an impact on the services partners are able to provide, particularly with regards to capturing savings.</t>
  </si>
  <si>
    <t>This is an on-going project so we do not have a budget for the lifetime of the project. The number we have reported is how much loan capital was raised through the Lendwithcare platform for Vietnam in FY17. Lendwithcare does not use gender, resilience or governance scorecards as part of its programming so we have had to answer no to all the questions related to these. However, an outcome of 'harmful' (particularly with regards to women's empowerment and gender equality) seems in accurate since this initiatve focuses heavily on Women's Economic Empowerment and in Vietnam 80% of the beneficiaries are female.</t>
  </si>
  <si>
    <t>Increase Remote Ethnic Minority Womens access to formal financial products and services to increase their financial inclusion</t>
  </si>
  <si>
    <t>NETHOPE</t>
  </si>
  <si>
    <t>Dien Bien Province, Vietnam</t>
  </si>
  <si>
    <t>Etnic Minority Women in Dien Bien province</t>
  </si>
  <si>
    <t>Direct beneficiaries: members of VSLA group who will applied "banking solution". Indirect beneficiaries: all members of VSAL member's families</t>
  </si>
  <si>
    <t>Project will conduct final evaluation in Nov 2017, which should be including evaluation of "IT soluation" which project pilot to apply for VSLA groups</t>
  </si>
  <si>
    <t>Project to contribute to improve of finance inclusion/accessment for women groups which will contribute to the reduction of poverty  </t>
  </si>
  <si>
    <t>Project is working with local bank in order to develop "banking solution" which can help VSLA group members easily to access the finance</t>
  </si>
  <si>
    <t>Due to challenges in deveoping the "solution". Therefore in FY17, project focused to discussed with VISA about how to facilitate to develop the solution. Therefore there was no impact in this FY. With long discussion on the solution, therefore project have to extend more 6 months until the 31 Dec 2017</t>
  </si>
  <si>
    <t>It is not easy to develop IT solution. Therefore it should be develop based on the existing solution</t>
  </si>
  <si>
    <t>Regarding VSLA, project should not only focus on focus finance inclusion it should be including finance literacy education</t>
  </si>
  <si>
    <t>The delay in finalizing VSLA documents from CARE side was caused by a misunderstanding and complicated communication process within CARE Vietnam, CARE USA and Visa team. The expectation of CARE and Visa on the document was not clearly understood among the team, leading to the long process of revision and discussion back and forth.</t>
  </si>
  <si>
    <t>This is also a lesson learnt for CARE in future work with private sector. CARE should have an standardized document on VSLAs to share with any private sector to serve different purposes, such as, linking with banks, advocating for financial inclusion</t>
  </si>
  <si>
    <t>Another lesson learnt from this process is that both CARE and Visa should open up and share information more. In 2016, Visa already explored Viettel and Military bank and promised a deadline for bank selection but CARE was not given any explanation for the cancelation of the selection. Until recently, Visa just shared that Viettel previously had an exclusive contract with Mastercard. This could be a reason for the delay while CARE was not shared about this. The open sharing of information would have reduced any misunderstanding and confusion between the two parties</t>
  </si>
  <si>
    <t>Due to late of solution development, therefore in FY17 project could not implement any activities to create the impact that why project have to extend more 6 months</t>
  </si>
  <si>
    <t>Project document
Quaterly report</t>
  </si>
  <si>
    <t>New Me! New skills and knowledge for improved livelihood security for Hanois waste-collectors.</t>
  </si>
  <si>
    <t>VNM255</t>
  </si>
  <si>
    <t>The Asia Group</t>
  </si>
  <si>
    <t>Pham Kim Ngan</t>
  </si>
  <si>
    <t>Program Officer</t>
  </si>
  <si>
    <t>phamkim.ngan@careint.org</t>
  </si>
  <si>
    <t>Improve the income and enhance the livelihood development value of the recycle busisness for female migrant workers in informal sector who are waste collector and street vendors.</t>
  </si>
  <si>
    <t>Hanoi, Vietnam</t>
  </si>
  <si>
    <t>Female migrants in informal sector who are waste collectors and street vendors.</t>
  </si>
  <si>
    <t>Direct participants is the waste collectors and street vendors that participating in the recycle business group that CARE support. Indirect participants are their 4 members of the family who are benefited from the direct participants, among them half is female and half is male.</t>
  </si>
  <si>
    <t>No future evaluation for this phase as the project is too small</t>
  </si>
  <si>
    <t>The new recycle busisness that gathesr the women who are female migrant in informal sector (waste collectors and street vendors)</t>
  </si>
  <si>
    <t>The new recycle business was piloted by the 2 groups. This model is one of the solution to be scaled up for the female workers in informal sector, especially the waste collectors and street vendors.</t>
  </si>
  <si>
    <t>There are 2 mens who were invited to the group with the welcome of all the female participants. That is the way to engaging men to make the group having more men's opinions which also good for market analysis. The 2 male members also support a lot on shipping goods - which was still the weakness of the female migrant of the groups.</t>
  </si>
  <si>
    <t>The most significant success was the formation of the NEW Me as a collective group of female migrants who can discover their own potential to secure livelihood. They are interested in continuing activities and improving their group.</t>
  </si>
  <si>
    <t>Although they are eager to learn new skills, it is not easy for them to apply since they used to work individually and to the simplicityof their daily income routine. The group needs more time to practise and get more experience in working with each other.</t>
  </si>
  <si>
    <t>Project Document. Final report</t>
  </si>
  <si>
    <t>New Me! Phase 2: Working Toward a Women-Led Enterprise in Used Goods Trading</t>
  </si>
  <si>
    <t>VNM260
VN311</t>
  </si>
  <si>
    <t>Direct participants is the waste collectors and street vendors that participating in the recycle business group that CARE support.. Indirect participants are their 4 members of the family who are benefited from the women's direct participants, among them, half is men and boys and half is women and girls</t>
  </si>
  <si>
    <t>No future evaluation for this phase as project is too small.</t>
  </si>
  <si>
    <t>The new recycle busisness that gathesr the women who are female migrant in informal sector (waste collectors and street vendors). Besides, the project pilots the VSLA models in the urban area with this group for this first time in Vietnam.</t>
  </si>
  <si>
    <t>The new recycle business and VSLA model was piloted by the 2 groups. This model is one of the solution to be scaled up for the female workers in informal sector, especially the waste collectors and street vendors.</t>
  </si>
  <si>
    <t>Not yet happened in the FY17.</t>
  </si>
  <si>
    <t>Project Document</t>
  </si>
  <si>
    <t>Personal Advancement and Career Enhancement (P.A.C.E)</t>
  </si>
  <si>
    <t>VNM255, VN308</t>
  </si>
  <si>
    <t>Social Marginalized Population Team Leader</t>
  </si>
  <si>
    <t>Migrant women have enhanced personal agency and opportunities to speak out about their interests</t>
  </si>
  <si>
    <t>Female migrant workers in informal sector</t>
  </si>
  <si>
    <t>The direct participant number is including (1) 301 female migrant registered the training course (2) 18 key local trainers and supporters who are women (3) 32 husbands and male trainer (4) 30 house owners and local authorities. The indirect participants number is including the 3 other family member of each FMW</t>
  </si>
  <si>
    <t>Life skill</t>
  </si>
  <si>
    <t>Donor does not allow evaluation</t>
  </si>
  <si>
    <t>Dialogue workshop: This workshop was using the skill that the female migrant had got from the life skill training to talk with the local government about the local policy related directly to them. It brought more mutual understanding between them, so that the local authorities can support them better, while the female migrant also need the obligations as a citizen there</t>
  </si>
  <si>
    <t>Support to establish and operate the club of female migrant workers</t>
  </si>
  <si>
    <t>The project has improve the skills of women for their self development and create a good forum so that they can share with each other their issues and experience. The project has collected 301 participants which is far from the proposal' expectation. This is the good data on female migrant workers in informal sector that CARE can approach at any time for research or further intervention. The project has built up a good M&amp;E system which can satisfy both donnor and CARE's requirement.</t>
  </si>
  <si>
    <t>Female migrant worker's club: The club in which the semale migrant workers can voice out their issue and experience by topic.</t>
  </si>
  <si>
    <t>The good M&amp;E system at the starting point would help the process influent much.</t>
  </si>
  <si>
    <t>The female migrant workers who work in the construction area is hard to follow the training course because of their heavy job and intense working schedule. While they are one of the vulnerable group of overwork and being harassed, it is the need to collect them again for other chance of trained.</t>
  </si>
  <si>
    <t>It is hard to write a good human interest story about the beneficiary since sometimes the change that can see from each person is quite small and petty.</t>
  </si>
  <si>
    <t>H:\03. PROGRAM\02. Projects' Record\01. Current Projects\VNM255_VN308_P.A.C.E in communities 2017\01. Proposal</t>
  </si>
  <si>
    <t>VNM255, VN290</t>
  </si>
  <si>
    <t>To support womens empowerment through enhanced personal agency and economic opportunities</t>
  </si>
  <si>
    <t>The direct participant number is including (1) 200 participants (2) 30 local trainers and assistants. The indirect participants number is including the 4 other family member of each FMW</t>
  </si>
  <si>
    <t>The project has improve the skills of women for their self development and create a good forum so that they can share with each other their issues and experience. The project has collected 200 participants. This is the good data on female migrant workers in informal sector that CARE can approach at any time for research or further intervention.</t>
  </si>
  <si>
    <t>The good M&amp;E system at the starting point would not very influence, so the better M&amp;E system in the next phase would help</t>
  </si>
  <si>
    <t>A River Basin Cross-border Flood Resilience Support Platform</t>
  </si>
  <si>
    <t>VNM269</t>
  </si>
  <si>
    <t>Global Resilience Partnership</t>
  </si>
  <si>
    <t>Creation of an integrated model and associated platform for dialogue to promote basin-scale interagency decision-making and planning</t>
  </si>
  <si>
    <t>Quang Nam province and Da Nang City</t>
  </si>
  <si>
    <t>Local people who are living on Vu Gia and Thu Bon basin</t>
  </si>
  <si>
    <t>Direct participant: The key members (husband and wife who get benefit driectly from project intervention regarding water regulatory in Vu Gia and Thu Bon River Basin Indirect participant: 4 members x No of direct participant families</t>
  </si>
  <si>
    <t>It is sub-commponent. Therefore there is no final evaluation</t>
  </si>
  <si>
    <t>Based on this project, CVN will test DRR tool for urban context</t>
  </si>
  <si>
    <t>CVN partnership with ISET to conduct Urban DRR project, which can help CVN have more experience on DRR in urban, which can bring more opportunities for both CVN and ISET for bidding proposal in the future</t>
  </si>
  <si>
    <t>Project provide training on DRR for commune women uinion as well as to build capacity for local communities</t>
  </si>
  <si>
    <t>Project contributed very important change regarding staff capacity on how to conudct VCA in urban context</t>
  </si>
  <si>
    <t>Adoption of CBDRM tool from rural context to urban context</t>
  </si>
  <si>
    <t>CVN learnt new approach thru ISET how to conduct DRR in urban context</t>
  </si>
  <si>
    <t>Coordination between 2 provinces (Quang Nam and Da Nang) to work on Vu Gia and Thu Bon basin</t>
  </si>
  <si>
    <t>The coordination of partners is very crucial. ISET engagement with CARE in discussion of requirement for the community assessment is very helpful and ensures relevant information is collected. ISET also has good understanding at city and provincial level which can be cross checked at community level for consolidation of information</t>
  </si>
  <si>
    <t>Tools and guideline should be flexible to adapt to the real situation at site eg. organizing separate group discussion of male and female where its crucial to understand the differentiated view of men and women. If the local context does allow, women should be consulted first to ensure no men domination of opinions</t>
  </si>
  <si>
    <t>CVN only in chgarge of implement small component of this project. Key activities conducted by CVN were 1) conduct VCA in 5 communes of Quang Nam and Da Nang province; 2) support local community to bring community voice to the governments of 2 provinces</t>
  </si>
  <si>
    <t>First 6 months report. Project documents</t>
  </si>
  <si>
    <t>EMPOWER ME: WOMENS EMPOWERMENT THROUGH CLEAN COOKSTOVE MICRO-ENTERPRISES</t>
  </si>
  <si>
    <t>VNM267</t>
  </si>
  <si>
    <t>Global Alliance for Clean Cookstove</t>
  </si>
  <si>
    <t>To promote the economic empowerment of ethnic minority women through clean cookstove micro-enterprises</t>
  </si>
  <si>
    <t>Dien Bien and Bac Kan provinces</t>
  </si>
  <si>
    <t>Ethnic women of VSLA groups in both Bac Kan and Dien Bien provinces</t>
  </si>
  <si>
    <t>Direct beneficiaries: total 3500 women who bought clean cookstoves. Indirect: all members of 3500 family who bought cookstoves</t>
  </si>
  <si>
    <t>In the next year, project will conduct final evaluation as well as measure some key indicators which recommended by Global Alliance for Clean Cookstoves</t>
  </si>
  <si>
    <t>Project built bussiness skills for VSA leaders who could operate their bussiness based on clean cookstoves products</t>
  </si>
  <si>
    <t>Project partnershiop with GreenGen, an company focuses to produce and sell clean cookstoves</t>
  </si>
  <si>
    <t>Project also provide training to improve capacity of for VSLA groups</t>
  </si>
  <si>
    <t>With training provided from project, as well as experiencing thru selling the clean cookstove, the understanding/knowledge and skill of bussiness of VSLA leaders has been improved</t>
  </si>
  <si>
    <t>Project based on VSLA flatform in order to build business skill for VSAL leaders</t>
  </si>
  <si>
    <t>Sharing experience between Dien Bien and Bac Kan is good way to learn each other between 2 areas and 2 ethnic group</t>
  </si>
  <si>
    <t>Business skill could not fucstioning well after one training, it require a lot of coaching and mentoring</t>
  </si>
  <si>
    <t>Athought training for around 70 VSLA leaders on business skill, but project should not expect to help all of them to work on business. Therefore project should strong focus on the members who have strong potential of bussiness</t>
  </si>
  <si>
    <t>Project targeted to sell out 3500 clean cookstoves with then 1 year, however it will be really challenges because we could not sure how local people accept new type of cookstoves</t>
  </si>
  <si>
    <t>Project document
Quarterly reports</t>
  </si>
  <si>
    <t>Enhancing adaptive capacity of women and ethnic minority smallholder farmers through improved agro-climate information in South-East Asia</t>
  </si>
  <si>
    <t>VNM257</t>
  </si>
  <si>
    <t>CGIAR Research Program on Climate change Agriculture and Food Secuirty-CCAFS led by International Center for Tropical Agriculture-CIAT, granted to The International Centre for Research in Agroforestry and CARE</t>
  </si>
  <si>
    <t>By 2019 women and ethnic minority (W&amp;EM) farmers in Vietnam, Cambodia and Lao are able to better forecast and respond to risks and opportunities from limatic variability through participatory equitable agro-climatic information systems (ACIS)</t>
  </si>
  <si>
    <t>Project is implemented in Vietnam, Laos and Cambodia. In Vietnam, it will be implemented in Dien Bien and Ha Tinh Provinces</t>
  </si>
  <si>
    <t>In Vietnam, the impact groups of the project are women and ethnic minority farmers in Dien Bien and Ha Tinh Provinces</t>
  </si>
  <si>
    <t>Direct beneficiaries: total men and women in the targeted project communes who will receive climate information and agricuture advisories. Indirect beneficiaries: total farmer in both Dien Bien and Ha Tinh will benefifited from scalling out ACIS activities from provincial people committee policies</t>
  </si>
  <si>
    <t>There is no baseline/evaluation this FY</t>
  </si>
  <si>
    <t>Project tested to distribute climate information and adviories which they has not experience before</t>
  </si>
  <si>
    <t>Project contributed to build capacity for Ha Tinh Farmer Association and Centre for Community Development in Dien Bien</t>
  </si>
  <si>
    <t>Provincial Meteorology and Hydrology Station (PMHS) continued to produce one seasonal forecast for Autumn-winter season which is downscaled for Dien Bien district. This seasonal forecast has been taken into consideration of the Provincial, District Department of Agriculture and Rural Development (P&amp;D DARD) to address farmers demand (scenario for temperature, rainfall, number of damaging heavy rains, hot days. PMHS also shared weekly forecast with information about rainfall, temperature and early warning on extreme weather events. However, there were still terms which were broad (changing cloud, scattered rain, thunderstorms in some location) which were not easy to use in actions</t>
  </si>
  <si>
    <t>Project used VSLA flatform for distribution and discussion of how to apply agricuture adviories</t>
  </si>
  <si>
    <t>Gender transformation in agriculture should be also integrated in VSAL meetings</t>
  </si>
  <si>
    <t>Project should looking for different method to distribute climate information and advisories because a lot of ethnic women could not read Vietnamese</t>
  </si>
  <si>
    <t>It was quite costly if project still use tradtional methods of information distribution, therefore project should consider new methods such as ICT, SMS in messages delivery</t>
  </si>
  <si>
    <t>How to distribute climate and advisory to farmers in time was issue because if information flow from province to district to commune to village to villager, it take so long time, it could be miss opportunities for farmer to response effectively. Therefore project need to find other quicker solution for that</t>
  </si>
  <si>
    <t>Due to budget cut, therefore project lack of resources to conduct documentation as well as advocacy at provincial level</t>
  </si>
  <si>
    <t>Project document. Six month report. Baseline report</t>
  </si>
  <si>
    <t>Partnership for Ethnic minority's Equitable and Inclusive Development - P4EM</t>
  </si>
  <si>
    <t>Porfolio Manager</t>
  </si>
  <si>
    <t>Nguyenduc.thanh@careint.org</t>
  </si>
  <si>
    <t>REMWE program team leader</t>
  </si>
  <si>
    <t>Nguyentri.dzung@careint.org</t>
  </si>
  <si>
    <t>Contribute to is to reduce multidimensional poverty for marginalized and poor ethnic minority people in Vietnam and contribute to inclusive, equitable and environmentally sustainable growth</t>
  </si>
  <si>
    <t>Countries and provinces</t>
  </si>
  <si>
    <t>Ethnic minority people</t>
  </si>
  <si>
    <t>The direct ones: policy makers, government officials at national and local level (provinces, districts, communes) The indirect ones: ethnic minority men and women living in the selected communes, districts where the project aiming to support the province poverty reduction units to pilot and desmonstrate development approaches, methodology to implement the national targed sustaiable poverty reducation program</t>
  </si>
  <si>
    <t>Strengthening partnership mechanism between Government, CSOs and IO s horizentally and vertically from national to local level in the process of implementation of National targeted programs as well reviewing and formulating policies for EM development</t>
  </si>
  <si>
    <t>On going process to identify solutions, good practices, evidences tested by CSOs for documenting, advocating. 2 tested solutions, methodologies taken to scale: community based infrastructure maintaince mechanism and co research methodology    </t>
  </si>
  <si>
    <t>Calling CSOs' best practices/ evidences for sharing and scalling up in the national targeted program Engaging and promoting CSO engagement in policy review or formulation for ethnic minority development process</t>
  </si>
  <si>
    <t>Engaging more participation of Women Union from Central to local level in the partnership platform, mechanism of the project and advocating the co research methodology (Right and Voice project) through the Women Unions to scaling up in the project location aiming to empower ethnic minority women in the process of co researching</t>
  </si>
  <si>
    <t>Just started almost a year, and this is a complicated and challeged project, given it involves multi stakeholders and facilitates a partnership coordination mechanism horizentally and vertically at national and to local levels, the project has been in the process of applying key strategies: capacity building for the focal goverment stakeholder (at national level it is Centre for Ethnic minority committee affair -CEMA - and DEMA at provincal level) who plays key fuctions in coordinating the partnership mechanism;  promotes CSO's avocacy based evidences for scaling up in the NTPs;</t>
  </si>
  <si>
    <t>It is cruicial to have an common goal, objectives and agreement between partners when joining a partnership platform/working mechanism</t>
  </si>
  <si>
    <t>Each partner has their own organizational system in term of finance, procurement and program management. In particularly government system and mechanism it could not be flexible to adapt with the context change. It is, therefore, taking time and challage to implemnt joined and shared resource activities between the partners  </t>
  </si>
  <si>
    <t>Multi partnership project should promote a mechanism to ensure ability of harmonization and synergy between partners' organizational systems, policies in order to maximize resources for creating lasting changes</t>
  </si>
  <si>
    <t>West Bank and Gaza</t>
  </si>
  <si>
    <t>Souqona-Our Market</t>
  </si>
  <si>
    <t>CAUSWB0019</t>
  </si>
  <si>
    <t>Hiba Tibi</t>
  </si>
  <si>
    <t>Economic Empowerment Program Coordinator- WestBank</t>
  </si>
  <si>
    <t>Htibi@carewbg.org</t>
  </si>
  <si>
    <t>Anan Kittaneh</t>
  </si>
  <si>
    <t>Economic Empowerment Program Director</t>
  </si>
  <si>
    <t>akittaneh@carewbg.org</t>
  </si>
  <si>
    <t>Increased income, agency, and market opportunity for Palestinian Farmers through growth in pro-poor agribusiness and market development</t>
  </si>
  <si>
    <t>WEstBank</t>
  </si>
  <si>
    <t>Women, youth and small scale farmers</t>
  </si>
  <si>
    <t>CARE WBG consider working with the HH as a farming Unit- all members contributing to it are direct beneficiaries. Indirect beneficiaries are divided into several categories, 1- each targeted farmers will influence at least 2 neighbours in his farm with the innovation introduced, 2- also influencing the ministry of agriculture, to promote for the innovation introduced through their departments on national level. 3- influencing at least four large partners also to adapt CARE's approach in Privet sector engagement and social inclusion,  which they will apply in their programs as well. 4- influencing investors and other market actors to invest and engage in the agricultural sector , 5- community members/ farmers improved access to agriculture and agribusiness services</t>
  </si>
  <si>
    <t>new agricultural practices, new business models,</t>
  </si>
  <si>
    <t>1) Value chain development for food value chains while also integrating the market system development approach.</t>
  </si>
  <si>
    <t>2) Private sector engagement and entrepreneurship development; and</t>
  </si>
  <si>
    <t>3) Womens economic empowerment framework</t>
  </si>
  <si>
    <t>Rehabilitating and Strengthening Food Security in the West Bank and Gaza (AYADI)"</t>
  </si>
  <si>
    <t>CCANWB0011</t>
  </si>
  <si>
    <t>Mostafa Kahlout</t>
  </si>
  <si>
    <t>Economic Empowerment Program Coordinator- Gaza</t>
  </si>
  <si>
    <t>mkahlout@carewbg.org</t>
  </si>
  <si>
    <t>Ayman Shuaibi</t>
  </si>
  <si>
    <t>shuaibi@carewbg.org</t>
  </si>
  <si>
    <t>Lives saved, suffering alleviated and human dignity maintained</t>
  </si>
  <si>
    <t>West Bank and Gaza, The project will be executed in 3 Governorates in the West Bank (Jordan Valley): Nablus, Tubas and Jericho, and in 5 Governorates of the Gaza Strip: Rafah, Khanyounis, Middle, Gaza and North Gaza.</t>
  </si>
  <si>
    <t>livelihoods of 34,295 individuals across the West Bank and in Gaza, representing approximately 17,262 women &amp; girls and 16,999 men &amp; boys.</t>
  </si>
  <si>
    <t>CARE WBG consider working with the HH as a farming Unit- all members contributing to it are direct beneficiaries. Indirect beneficiaries are divided into several categories, during the FY17 as the project is still at the early stages, 1- each targeted farmers will influence at least more than one farming neighbours in his farm with the innovation introduced,2-  also othe members of communities will improve access to land and water through the infrastructure constructed by the project, 3- community members/ farmers improved access to agriculture and agribusiness services</t>
  </si>
  <si>
    <t>Tested agricultural practices</t>
  </si>
  <si>
    <t>Providing business development packages including inputs, capacity building, linkages to markets</t>
  </si>
  <si>
    <t>Using gender value chain analysis as a key tool in the design stage to ensure a positive impact on women economically.</t>
  </si>
  <si>
    <t>Adopting transitional programming linking relief with development.</t>
  </si>
  <si>
    <t>Social enterprises development, working with and developing CBOs and private sector companies, including cooperatives, to act as socio-economic hubs. In addition to Private sector engagement, especially to enable poor communities to have access to markets.</t>
  </si>
  <si>
    <t>Strengthening Livelihoods through Community Adaptation and Learning (SLCAL)</t>
  </si>
  <si>
    <t>CDEUWB0026</t>
  </si>
  <si>
    <t>The project´s objective is to strengthen the livelihood of vulnerable Palestinian communities in the agricultural production sector and to adapt their livelihoods to longer term climate changes</t>
  </si>
  <si>
    <t>26 communities in West Bank and Gaza</t>
  </si>
  <si>
    <t>Vulnerable farmer affedcted by climate change</t>
  </si>
  <si>
    <t>CARE WBG consider working with the HH as a farming Unit- all members contributing to it are direct beneficiaries. Indirect beneficiaries are divided into several categories, 1- each targeted farmers will influence at least 3 neighbours in his farm with the innovation introduced, 2- as a result of building the capacity of 40 coordinators at the ministry of agriculture, each one of them will reach out to 200 farmers in their localities. 3- more indirect beneficiaries will also benefit from the influence on the national and international strategies and policies in relation to the climate change and the impact on the stakeholders engaged in this process 4- influencing large international NSOs and local NGOs to adapt and support the climate change innovative adaptation practices, 5- community members/ farmers improved access to agriculture and agribusiness services</t>
  </si>
  <si>
    <t>Final Evaluation for the project</t>
  </si>
  <si>
    <t>Intreduce innovative practices for natural resource management and climate change adoptation</t>
  </si>
  <si>
    <t>Intreducing new approaches to the govermental bodies and working with different partners to adopt it</t>
  </si>
  <si>
    <t>Working with alliances like the ministry of agriculature to adapt and scale up the interduced innovation and learning developed</t>
  </si>
  <si>
    <t>Social enterprises development, working with and developing CBOs and private sector companies, including cooperatives, to act as socio-economic hubs. To dessiminate and promote for the innovative practices intreduced</t>
  </si>
  <si>
    <t>My Right to My Future Womens Participation in Peace Building and Conflict Resolution</t>
  </si>
  <si>
    <t>CAUTWB0038</t>
  </si>
  <si>
    <t>Building a strong and politically active Palestinian society that engages for a just and lasting peace, towards which men and women are equally contributing.</t>
  </si>
  <si>
    <t>WestBank &amp; Gaza</t>
  </si>
  <si>
    <t>Women, Political parties</t>
  </si>
  <si>
    <t>Direct beneficiaries are reached by the project and actively participated in the campaigns. Indirect beneficiaries are divided into several categories, women who will improve access to political parties due to the activation of the charter adaptation, other gender NGOs who will improve their approach in targeting women and improve their engagement</t>
  </si>
  <si>
    <t>wworking with grasroots organizations and political parties bases</t>
  </si>
  <si>
    <t>Rehabilitating and Strengthening Farmers Livelihood and Food Security in Gaza</t>
  </si>
  <si>
    <t>CAUTWB0041</t>
  </si>
  <si>
    <t>The proposed projects overall objective is: Improved food security of conflict affected people in the Gaza strip</t>
  </si>
  <si>
    <t>Gaza</t>
  </si>
  <si>
    <t>livelihoods of conflict affected and food insecure farming households in Gaza</t>
  </si>
  <si>
    <t>CARE WBG consider working with the HH as a farming Unit- all members contributing to it are direct beneficiaries. Indirect beneficiaries are divided into several categories, during the FY17  1- each targeted farmers will influence at least one farming neighbour HH with the innovation introduced,2-  also othe members of communities will improve access to land and water through the infrastructure constructed by the project, 3- community members/ farmers improved access to agriculture and agribusiness services</t>
  </si>
  <si>
    <t>West Bank &amp; Gaza</t>
  </si>
  <si>
    <t>Women and men with existing income-generating activities who are excluded from the formal financial sector. The main impact groups are individuals engaged in agriculture, animal husbandry and services.</t>
  </si>
  <si>
    <t>Direct participants are those who received a loan to invest in their business from Lendwithcare lenders in FY17. Indirect participants have been calculated by adding up all of the dependents of the entrepreneurs who received a loan in FY17 and the people who have been employed in their businesses. We are not able to disaggregate the data for indirect participants by female and male, so I have used the ratio of 49:51 from the Palestinian Central Bureau of Statistics 2015 http://www.pcbs.gov.ps/portals/_pcbs/PressRelease/WomenDy2015E.pdf. This is an on-going project so I have given the numbers of participants just in this FY as there is no end date to the project.</t>
  </si>
  <si>
    <t>The way we work with our microfinance partner in Palestine is very different to all other countries we work in due to the on-going instability. We work in close partnership with CARE West Bank and Gaza, who need to check each loan recipient against CARE US' Bridger list before the loan can be sent to Lendwithcare for funding.</t>
  </si>
  <si>
    <t>Due to the highly politicised environment it has been a bit of a challenge to effectively convey to donors why the Palestinian entrepreneurs featured on Lendwithcare require assistance. The entrepreneurs seem wealthier and far better educated than the more typical entrepreneur we feature on the website, yet access to resources is a huge challenge in these territories and opportunities slim. We are limited in what we can say about the occupation and therefore the loans are harder to fund.</t>
  </si>
  <si>
    <t>This is an on-going project so we do not have a budget for the lifetime of the project. The number we have reported is how much loan capital was raised through the Lendwithcare platform for the Palestinian Territories in FY17. Lendwithcare does not use gender, resilience or governance scorecards as part of its programming so we have had to answer no to all the questions related to these. However, an outcome of 'harmful' (particularly with regards to women's empowerment and gender equality) seems in accurate since this initiatve focuses heavily on Women's Economic Empowerment.</t>
  </si>
  <si>
    <t>Improve access and availability of quality care within Gaza by building the capacity of NGOs and community based organization</t>
  </si>
  <si>
    <t>IMCXWB0001</t>
  </si>
  <si>
    <t>Increased access and availability of quality emergency and essential health services</t>
  </si>
  <si>
    <t>Health under protection (HUP): Emergency health and nutrition assistance to people living in communities whose rights are inadequately protected in the West bank (WB)</t>
  </si>
  <si>
    <t>OCHAWB0004</t>
  </si>
  <si>
    <t>Overall Objective: The projects overall objective is To address the essential health and protection needs of the most vulnerable population groups in the protection risk prone communities in the West Bank. Specific objective: To support vulnerable households living in protection risk prone communities in the West Bank to protect and improve their access to healthcare and protection support</t>
  </si>
  <si>
    <t>WestBank</t>
  </si>
  <si>
    <t>The total population of the 42 targeted affected communities in WB and east Jerusalem have safe and equitable access to essential quality health services (Level 2) provided by the project, even of the slight interruptions to the schedule due to Israeli restrictions, permit regime, and the coordination process that takes time mainly in Haret al khalayleh and An Nabi Samweil in Jerusalem and Khallet An Numan in Bethlehem that leads to loss of two to three visits, while the others locations are going smoothly with slight delay in arrival as in At Tuwani and Susia due to flying check points. All the project services are accessible from the direct services to the referrals of Protection needed cases.</t>
  </si>
  <si>
    <t>The direct beneficiaries are the people received services from the mobile clinics, indirect are the community members improved access to health services</t>
  </si>
  <si>
    <t>the mobile clinic services</t>
  </si>
  <si>
    <t>Yemen</t>
  </si>
  <si>
    <t>Economic Empowerment for Women Entrepreneurs Project in Yemen</t>
  </si>
  <si>
    <t>CNLDYE0030</t>
  </si>
  <si>
    <t>Azzah Khalil</t>
  </si>
  <si>
    <t>azzah.khalil@care.org</t>
  </si>
  <si>
    <t>The overall project objective is to provide an opportunity for entrepreneurial women who currently lack access to funding to make their business start-up or business growth a reality. The project aims to support and empower the Yemeni women economically through providing set of training, mentorship and consultancy ended up with interest-free loans for establishing or growth their businesses.</t>
  </si>
  <si>
    <t>The project is implemented in Aden and Sana'a Governorates, Yemen</t>
  </si>
  <si>
    <t>The main impact groups are women entrepreneurs</t>
  </si>
  <si>
    <t>The direct participants are women who directly received assistance from the project. Indirect beneficiaries are family members of the women who are supported by the project.</t>
  </si>
  <si>
    <t>The project did not make any adjustment in the FY to its goals/activities in order to be more gender transformative</t>
  </si>
  <si>
    <t>Integrated Response for Cholera Prevention and Mitigation</t>
  </si>
  <si>
    <t>CDEUYE0036</t>
  </si>
  <si>
    <t>Iftikar Al-Sakaf</t>
  </si>
  <si>
    <t>Area Manager South</t>
  </si>
  <si>
    <t>iftekar.alsakaf@care.org</t>
  </si>
  <si>
    <t>The project focuses on  improvement of quality and quantity of water supply in affected locations, provision of basic hygiene supplies and Improvement of knowledge on hygiene and collective action to improve overall hygiene conditions of specific target areas.</t>
  </si>
  <si>
    <t>The project was implemented in Al-Boureiqa district of Aden Governorate, Yemen</t>
  </si>
  <si>
    <t>The main impact groups are households who are at risk of Cholera/AWD.</t>
  </si>
  <si>
    <t>The direct participants are individuals (family members) who directly received safe water (through water trucking) and those who received WASH NFIs. The indirect beneficiaries are individuals who will get WASH messages from other members of the community as well as get assistance from the health facilities and schools supported by the project. It is expected that (apart from the direct project beneficiaries), 50% of the community members living in the project operational areas are indirectly reached.</t>
  </si>
  <si>
    <t>The project has been closely coordinating with the relevant government agencies who are working on the Cholera response and this enabled to avoid duplication and give the right support to the health facilities. The health office was also took an active role in training of community volunteers in Cholera/AWD prevention, which needs to be replicated in the future.</t>
  </si>
  <si>
    <t>More emphasis should be given to 'prevention' so as to timely curb the negative impacts of the Cholera outbreak.</t>
  </si>
  <si>
    <t>Having a gender balanced hygiene promotion team is of paramount importance to reach the various segments of the community.</t>
  </si>
  <si>
    <t>Emergency Cholera Response Project in Al-Hota district, Lahj Governorate</t>
  </si>
  <si>
    <t>OCHAYE0018</t>
  </si>
  <si>
    <t>Dr. Iftekar Al-Sakaf</t>
  </si>
  <si>
    <t>Area Manager - South</t>
  </si>
  <si>
    <t>The goal of the project is to prevent and control transmission of cholera and Acute watery diarrhea (AWD) among affected population and at risk population in Al-Hota district of Lahj Governorate, Yemen.</t>
  </si>
  <si>
    <t>The project was implemented in Al-Hota district of Lahj Governorate, Yemen</t>
  </si>
  <si>
    <t>The direct participants are individuals (family members) who directly received safe water (through water trucking) and those who received WASH NFIs. The indirect beneficiaries are individuals who will get WASH messages from other members of the community.</t>
  </si>
  <si>
    <t>Daily monitoring of Free Residual Chlorine ratio in water tanks level and in HHs level is a good tool to ensure that the beneficiaries will drink safe water against AWD/Cholera</t>
  </si>
  <si>
    <t>Having gender-balanced team is of highly importance while conducting hygiene promotion activities to the different segments of the society.</t>
  </si>
  <si>
    <t>Provision of orientation and sensitization for community members during the start-up of the project is instrumental to ensure participation of community members at a desired level</t>
  </si>
  <si>
    <t>Emergency support for conflict affected population in Yemen and enhanced INGO Coordination in Safety and Security</t>
  </si>
  <si>
    <t>CDEUYE0029</t>
  </si>
  <si>
    <t>Essam Mohammed</t>
  </si>
  <si>
    <t>Senior Area Manager</t>
  </si>
  <si>
    <t>essam.mohammed@care.org</t>
  </si>
  <si>
    <t>Main goal of the project: Vulnerable households in targeted locations have improved access to protection services, food security, emergency shelter, water and sanitation and INGOs working in Yemen have improved coordination and access to safety and security advice.</t>
  </si>
  <si>
    <t>The project was implemented in Al-Mahabashah district of Hajjah Governorate and Al-Boureiqa district of Aden Governorate, Yemen</t>
  </si>
  <si>
    <t>The main impact groups are food insecured and vulnerable population living in the project operational areas.</t>
  </si>
  <si>
    <t>The direct participants are individuals (family members) who directly received project assistance such as WASH and cash. It is expected that 10% of the population in the targeted districts will be benefited indirectly from the hygiene promotion/awareness intervention</t>
  </si>
  <si>
    <t>The project conducted baseline and endline surveys with representative households to measure the intended changes of the project. The project used both quantitative and qualitative methodologies.</t>
  </si>
  <si>
    <t>The contextual, political, security dynamics changed so quickly that a coordination mechanism needs to be sufficiently flexible to adapt and adjust to these changing dynamics.</t>
  </si>
  <si>
    <t>Maintaining low profile mechanisms and acting with transparency - Spreading risk through group representation and engaging more INGOs to share in the responsibilities</t>
  </si>
  <si>
    <t>Yemen Emergency Food Assistance (YEFA)</t>
  </si>
  <si>
    <t>MCORYE0002</t>
  </si>
  <si>
    <t>The project goal is to reduce food insecurity and promote recovery and resilience of vulnerable displaced and conflict-affected households in Yemen.</t>
  </si>
  <si>
    <t>The project was implemented in Al-Maqatirah and Al-Madaribah districsr of Lahj Governorate,Yemen</t>
  </si>
  <si>
    <t>The direct participants are individuals (family members) who directly received food voucher from the project.  The indirect beneficiaries are households who are benefited from the construction/rehabilitation of communal assets theough the cash-for-work scheme. It is estimated that all of the people in the targeted districts have either directly or indirectly  indirectly benefited from the project.</t>
  </si>
  <si>
    <t>The project will conduct an end-line survey to measure the changes at the outcome level and compare the findings with the results of the baseline survey. Similar sampling methodologies and data collection methods will be used.</t>
  </si>
  <si>
    <t>The project has exerted significant time on community mobilization phase, which ensure high participation of the community and better targeting of beneficiaries.</t>
  </si>
  <si>
    <t>The voucher system stimulates the local market</t>
  </si>
  <si>
    <t>The mini-KAP survey, which is being conducted regularly, helped to measure the impact of  the project on the awareness of the community on key hygiene and sanitation practice.</t>
  </si>
  <si>
    <t>Emergency WASH and Household NFI assistance to vulnerable IDPs and Host Communities in Taiz Governorate</t>
  </si>
  <si>
    <t>OCHAYE0016</t>
  </si>
  <si>
    <t>The overall project objective is to provide comprehensive emergency WASH and household NFI assistance to the most vulnerable IDP and Host Communities in Taiz.</t>
  </si>
  <si>
    <t>The project was implemented in Al-Mawaseet and Hayfan districts of Taiz Governorate, Yemen</t>
  </si>
  <si>
    <t>The main impact groups are the most vulnerable conflict affected households</t>
  </si>
  <si>
    <t>The direct participants are individuals (family members) who directly received WASH  (safe water and hygiene kits)and shelter NFIs assistance. The indirect beneficiaries are individuals who will get WASH messages from other members of the community. It is expected that (apart from the direct project beneficiaries), 50% of the community members living in the project operational areas are indirectly reached.</t>
  </si>
  <si>
    <t>The project will conduct an end-line survey to measure the changes related to key WASH outcome indicators. The survey will mainly utilize quantitative (household) survey and qualitative data collection methods will also be utilized to triangulate the findings of the household survey.</t>
  </si>
  <si>
    <t>Emergency cash and household NFI assistance for the most vulnerable IDPs and host communities in Hajjah Governorate</t>
  </si>
  <si>
    <t>OCHAYE0014</t>
  </si>
  <si>
    <t>Bushra Aldukhainah</t>
  </si>
  <si>
    <t>Area Manager North</t>
  </si>
  <si>
    <t>Bushra Aldukhainah@care.org</t>
  </si>
  <si>
    <t>The overall project objective is to improve access to essential food &amp; house hold non-food items for the most vulnerable IDP &amp; Host households through cash transfers &amp; provision of non-food items.</t>
  </si>
  <si>
    <t>The project was implemented in Al-Zuhra and Al-Luhaya districts of Al-Hodeidah Governorate, Yemen</t>
  </si>
  <si>
    <t>The main impact groups are the most vulnerable and food insecured conflict affected households</t>
  </si>
  <si>
    <t>The direct participants are individuals (family members) who directly received cash and shelter NFIs assistance. No indirect beneficiaries are anticipated in this project.</t>
  </si>
  <si>
    <t>The project will conduct an end-line survey to measure the changes related to key food security outcome indicators such as Coping Strategy Index and Food Consumption Scores. The survey will mainly utilize quantitative (household) survey and qualitative data collection methods will also be utilized to triangulate the findings of the household survey.</t>
  </si>
  <si>
    <t>Dutch Relief Alliance - Yemen Joint Response Phase II</t>
  </si>
  <si>
    <t>CNLDYE0019</t>
  </si>
  <si>
    <t>The project goal is to provide life-saving humanitarian assistance to people affected by the conflict in Yemen</t>
  </si>
  <si>
    <t>The project was implemented in Ash Shamayatein and Hayfan districsr of Taiz Governorate and Tor Al-Baha and Al-Qabitah districts of Lahj Governorate, Yemen</t>
  </si>
  <si>
    <t>The direct participants are individuals (family members) who directly received WASH and cash assistance from the project.  </t>
  </si>
  <si>
    <t>The project has been working on a reputable financial agency with a mobile team to transfer cash to beneficiary households. Having mobile team alleviated the issues related to dignity and protection of the projects beneficiaries , specially, women, disable and elderly people who cant  travel far away to receive their assistance.</t>
  </si>
  <si>
    <t>The project has selected and trained community volunteers from the targeted areas, which allow them to implement the day-to-day activities and conduct monitoring during insecurity (where senior project staffs could not travel to the field).</t>
  </si>
  <si>
    <t>The project has spent a significant period of time in sensitizing/orienting community leaders, community committees members and the community on the project activities (and expected results) as well as on the roles/responsibilites expected from the local leaders, the committees, and the community. This helps a lot in smooth facilitation of project activities.</t>
  </si>
  <si>
    <t>Emergency lifesaving assistance to the most vulnerable conflict affected IDPs and host communities in Yemen</t>
  </si>
  <si>
    <t>CDEUYE0027</t>
  </si>
  <si>
    <t>The goal of the project is to address the critical humanitarian needs of people that have been affected by conflict in the three targeted districts of Taiz Governorate through provision of emergency cash and comprehensive WASH assistance. As much as is possible and practicable, integrated services cutting across the two sectors WASH and food security will be offered.</t>
  </si>
  <si>
    <t>The project was implemented in Ashshamaytan, Al-Maeefer, and Al-Mawaseet districts of Taiz Governorate, Yemen</t>
  </si>
  <si>
    <t>The direct participants are individuals (family members) who directly received project assistance such as WASH and cash.</t>
  </si>
  <si>
    <t>Working with a micro-finance institution with a mobile team found to be more effective in facilitating cash transfer for beneficiaries and also minimize safety and security concerns</t>
  </si>
  <si>
    <t>Conducting of 100% spot-check for verification of beneficiary households from cash transfer helped to minimize inclusion errors</t>
  </si>
  <si>
    <t>The process related to transition/exit strategy should be discussed with the community as early as possible so as to facilitate handover timely</t>
  </si>
  <si>
    <t>Food assistance program in Amran Governorate -Phase  III</t>
  </si>
  <si>
    <t>WFPXYE0008</t>
  </si>
  <si>
    <t>The project goal is to improve food consumption for targeted severely food- insecure persons &amp; IDPs in Amran governorate, ensuring a balanced food intake for beneficiaries and to reduce negative coping strategies among 321,732 severely  food- insecure persons &amp; IDPs in Amran governorate.</t>
  </si>
  <si>
    <t>The project was implemented in five districsr of Amran Governorate,Yemen</t>
  </si>
  <si>
    <t>The direct participants are individuals (family members) who directly received food from the project.  There are no anticipated indirect beneficiaries under this project.  </t>
  </si>
  <si>
    <t>Address the issue of malnutrition and key WASH behaviours through enhancing conducting nutrition-WASH focused awareness raising ssessions</t>
  </si>
  <si>
    <t>Enhanced Rural Resilience in Yemen project (ERRY) in Abyan and Lahj</t>
  </si>
  <si>
    <t>WFPXYE0011</t>
  </si>
  <si>
    <t>Iftekar Al-Sakaf</t>
  </si>
  <si>
    <t>Area Manager  South</t>
  </si>
  <si>
    <t>The project goal is to improve access to food 7,791 food-insecure individuals in Lahj and Abyan  Governorates, ensuring a balanced food intake for beneficiaries; and support 1,113 HHs in Abyan and Lahj to enhance access to improved communal assets.</t>
  </si>
  <si>
    <t>The project was implemented in Kanfar and Mudiyah districsr of Abyan Governorate and Tuban and Halmmen districts of Lahj Governorate, Yemen</t>
  </si>
  <si>
    <t>The direct participants are individuals (family members) who directly received cash assistance from the project.  The indirect beneficiaries are households who are benefited from the construction/rehabilitation of communal assets theough the cash-for-work scheme. It is estimated that 10% of the total population in the targeted districts have indirectly benefited from the project.</t>
  </si>
  <si>
    <t>Cholera Prevention and Response Project in Abyan Governorate</t>
  </si>
  <si>
    <t>OCHAYE0021</t>
  </si>
  <si>
    <t>The project goal is to prevent and control transmission of cholera and Acute Watery Diarrhea (AWD) among affected and at risk populations in targeted district of Abyan Governorate.</t>
  </si>
  <si>
    <t>The project was implemented in Khanfar district of Abyan Governorate, Yemen</t>
  </si>
  <si>
    <t>The project recruited field officers and volunteers from the same district, which has been instrumental in facilitating/monitoring field activities and ensuring continuity during access hurdles</t>
  </si>
  <si>
    <t>CARE had coordinated with IRC in selection of operational villages for intervention, which helped to avoid duplication of efforts</t>
  </si>
  <si>
    <t>Applying conflict sensitivity or Do-No-Harm approach is of vital in minimizing the incidence of conflict that might arise due to the implementation of this project. CARE organized orientation and sensitization sessions for community members during the start-up of the project so that the community was aware of the criteria for selection of beneficiaries, the planned activities, and the responsibilities expected from the community.</t>
  </si>
  <si>
    <t>Enhancing access to WASH and meeting basic needs in conflict-affected areas of Taiz governorate</t>
  </si>
  <si>
    <t>CCANYE0001</t>
  </si>
  <si>
    <t>Main goal of the project: Reduced vulnerability of crisis-affected people, especially women and children through improved access to water, sanitation and hygiene services for vulnerable populations in conflict affected areas and improved ability for at risk populations, especially women, to meet their basic needs.</t>
  </si>
  <si>
    <t>The project was implemented in Shamayatayn and Al Ma'afer districts of Taiz Governorate, Yemen</t>
  </si>
  <si>
    <t>One of the important lesson learned is to make target communities sensitized to the whole project (goal, interventions, target groups, beneficiary selection criteria, implementation mechanism, period) to avoid creating any conflict among community members specially, the gap response is huge and the assistance sources are limited. The project should take in consideration the principle of Do no Harm from the beginning.</t>
  </si>
  <si>
    <t>Another important lesson is to take care when selecting the community committees which will represent the communities and be the focal points between the project team and communities. Good committees will help to achieve the success of activities and avoid any problem that might encounter while implementing them.</t>
  </si>
  <si>
    <t>WFPXYE0009</t>
  </si>
  <si>
    <t>Iftekar Al-sakaf</t>
  </si>
  <si>
    <t>The project goal is to improve food consumption for targeted severely food- insecure persons &amp; IDPs in Amran governorate, ensuring a balanced food intake for beneficiaries and to reduce negative coping strategies among severely  food- insecure persons &amp; IDPs in Abyan governorate.</t>
  </si>
  <si>
    <t>The project was implemented in six districsr ofAmran Governorate,Yemen</t>
  </si>
  <si>
    <t>Yemen Crisis Appeal - Rehabilitation of Water Schemes in Abyan and Amran through Cash for Work</t>
  </si>
  <si>
    <t>CGBRYE0040 - CO</t>
  </si>
  <si>
    <t>The goal of the project is to increase households' income to meet their basic and immediate needs. The project also aims  to increase access to safe-drinking water.</t>
  </si>
  <si>
    <t>The project was implemented in two districts of Amran and Abyan Governorates, Yemen</t>
  </si>
  <si>
    <t>The direct participants are individuals (family members) who directly received cash assistance from the project and also individuals who are benefited from the rehabilitation of water schemes.No indirect beneficiaries are anticipated under this project.</t>
  </si>
  <si>
    <t>Emergency WASH, Economic Assistance and Humanitarian Coordination in Yemen</t>
  </si>
  <si>
    <t>OFDAYE0006</t>
  </si>
  <si>
    <t>The project goal is to improve access to cash and water and promote proper hygiene among vulnerable IDPs and host communities</t>
  </si>
  <si>
    <t>The project was implemented in various districts of  Hajjah and Amran Governorates,Yemen</t>
  </si>
  <si>
    <t>The direct participants are individuals (family members) who directly received cash assistance from the project.  It is anticipated that 50% of population living in the area will be benefited indirectly from the hygiene promotion activities.</t>
  </si>
  <si>
    <t>A rapid evaluation will be conducted in Sept 2017 to measure the outcomes related to usage of latrines and other hygiene/sanitation issues.</t>
  </si>
  <si>
    <t>Integrated Recovery Program</t>
  </si>
  <si>
    <t>CGBRYE0024</t>
  </si>
  <si>
    <t>Abdirahman Ali Aden</t>
  </si>
  <si>
    <t>abdirahman.aden@care.org   </t>
  </si>
  <si>
    <t>The main goal of the project is to contribute to reducing morbidity and mortality and building the resilience of conflict affected populations. The expected outputs are 1) Target groups receive WASH support, contributing to improved nutritional status; 2) Target groups have improved productive livelihoods capacity and increased food access; 3) Target groups are equipped with resilience strategies and response plans to enable them to better cope with shocks and stresses; and 4) Targeted groups are provided with improve physical protection and communal infrastructure</t>
  </si>
  <si>
    <t>The project was implemented in various districts of Hajjah, Hodeidah, Lahj, and Abyan Governorates, Yemen.</t>
  </si>
  <si>
    <t>Direct participants are those individuals who received direct cash, WASH, and health assistance. It was estimated that 50% of people who are in need of WASH assistance will be indirectly benefited from the hygiene and sanitation awareness activities.</t>
  </si>
  <si>
    <t>Zambia</t>
  </si>
  <si>
    <t>Scaling Up Nutrition</t>
  </si>
  <si>
    <t>ZMB108</t>
  </si>
  <si>
    <t>Oliver Wakelin</t>
  </si>
  <si>
    <t>Deput Country Director</t>
  </si>
  <si>
    <t>wakelino@carezam.org</t>
  </si>
  <si>
    <t>Mary S. Chibambala</t>
  </si>
  <si>
    <t>chibambulam@carezam.org</t>
  </si>
  <si>
    <t>Improved health and nutritional status of children under five</t>
  </si>
  <si>
    <t>The project is being implemented in 14 districts located in 7 provinces in Zambia</t>
  </si>
  <si>
    <t>Children under two and pregnant and lactating women</t>
  </si>
  <si>
    <t>Nutrion intervention have for the first time been implemeted in multisectoral approach involving six governement line ministries concerned with water, health, agriculture, livestock, education and social protection.</t>
  </si>
  <si>
    <t>The multisectoral approach at sub-district (ward) level  was expacted to total of 236 wards  from  140 in the last FY</t>
  </si>
  <si>
    <t>Training in gender mainstreaming</t>
  </si>
  <si>
    <t>The outcome form containing high level programme indicators that are usually monitored through routine surveys have such as ZDHS not been filled. These indicators  form will be filled with guidance from ACD</t>
  </si>
  <si>
    <t>ZMB119/ZM446</t>
  </si>
  <si>
    <t>Southern Africa Nutrition Initiative</t>
  </si>
  <si>
    <t>Bryan Baleke Ng'ambi</t>
  </si>
  <si>
    <t>ng'ambib@carezam.org</t>
  </si>
  <si>
    <t>The goal is to improve the nutritional status of women of reproductive age (15 49) and boys and girls U5 directly, specifically targeting stunting in children under 5 and under nutrition in WRA especially the pregnant and lactating mothers.</t>
  </si>
  <si>
    <t>Zambia,Muchinga Province (Mpika and Shiwa Ngandu)</t>
  </si>
  <si>
    <t>Women in the Reproductive Age (15-49 years) and Childern 0-5 years</t>
  </si>
  <si>
    <t>Direct participants are women 15-49 years and boys and girls 0-5 years. The calculation of women 15-49 years is estimated to be 22% of the general population in the selected 10 wards of Mpika and Shiwangandu while the calculation of boys and girls 0-5 years is 20% of the general population. Other direct participants will include implementers(DNCC members, WNCC members, community leaders, volunteers and professional staff from health, agriculture, social welfare and local council) that will will gain knowledge through training. The indirect participants  includes members of households from direct participants or participants that will benefit as a result of advocacy or mass-media education.  </t>
  </si>
  <si>
    <t>The Project will compare baseline values on key indicators or variables with findings in future evaluations in order to acertain the impact of the project. The future evaluations will involve quantitative and qualitative. In the quantitative evelautions, sampling will be done radomly in all the 10 wards in Mpika and Shiwangandu while in qualitative evaluations sampling will be purposive.  </t>
  </si>
  <si>
    <t>Iron and folic supplementation and Climate smart agriculture</t>
  </si>
  <si>
    <t>Multi-sectoral approaches through working with the District Nutrition Coordinating Committee (DNCC) in promoting food and nutrition agenda</t>
  </si>
  <si>
    <t>No changes made.</t>
  </si>
  <si>
    <t>Empowering of women with knowledge, skills  and inputs in agricultural increases food security and nutrition at household level</t>
  </si>
  <si>
    <t>Participation of women in decision making structures is very low and affects interventions that affects women. For instance growing of cash crops like cotton/tobbaco is preferred by men compared to growing of crops with nutritious value like groundnuts, beans etc.</t>
  </si>
  <si>
    <t>The roles of women and men are not balanced, a woman is required to wake up early to start preparing meals for the family while the man is still in bed. The project has positioned itself to see how this can be challenged through sensitization of community members on gender roles.</t>
  </si>
  <si>
    <t>The project started activity implementation in April 2017 after the approval of the budget and therefore not so many activities were implemented in this FY.</t>
  </si>
  <si>
    <t>Baseline_Final Report_Zambia_July 2017.pdf</t>
  </si>
  <si>
    <t>FOOD AND NUTRITION SECURITY AND ENHANCED RESILIENCE (FANSER)</t>
  </si>
  <si>
    <t>ZMB 120, ZM 447</t>
  </si>
  <si>
    <t>WakelinO@carezam.org</t>
  </si>
  <si>
    <t>Levyson Banda</t>
  </si>
  <si>
    <t>BandaL@carezam.org</t>
  </si>
  <si>
    <t>The food and nutrition situation of insecure people, particularly women of reproductive age and young children, in Katete district has improved.</t>
  </si>
  <si>
    <t>Katete District, Eastern Province of Zambia</t>
  </si>
  <si>
    <t>Pregnant women, Lactating women, Children under the age of two and Adolecent girls</t>
  </si>
  <si>
    <t>The direct participants for this project are all pregnant and lactating mothers and adolesecent girls in all the 2,758 targeted households. On the other hand, indirect participants are all other household members from the 2,758 households supported by the project. The number of direct participants is calculated based on the actual number of beneficiaries supported by the project as per records in the project database. While the number of indirect participants is calculated using the total number of households covered by the project multiplied by 6, which is the average number of people per household. The total fingure is then reduced by the total number of direct participants.  </t>
  </si>
  <si>
    <t>A cross-sectional end of project study will be conducted in March, 2017</t>
  </si>
  <si>
    <t>Use of simple and low cost technologies/equipment (solar dryers and treadle pumps) for food processing and preservation and crop irrigation.  </t>
  </si>
  <si>
    <t>The criteria for targeting project participants/beneficiaries was adjusted to include adolescent girls as part of the direct beneficiaries besides pregnant and lactating mothers.</t>
  </si>
  <si>
    <t>Male involvement in the implementation of project activities. As the main participants for the project are women, the project has made a deliberate plan to encourage the women to bring their husbands for project activities such as training.</t>
  </si>
  <si>
    <t>Implementation of sectoral activities through an integrated approach i.e. activities that related but falling under different sectors are jointly implemented by the concerned sectors/ministries.  </t>
  </si>
  <si>
    <t>Success and long term sustainability of project interventions depends on institutional strengthening i.e. building capacity of existing government systems and structures.</t>
  </si>
  <si>
    <t>SUNI-EU</t>
  </si>
  <si>
    <t>Maureen Mubanga</t>
  </si>
  <si>
    <t>mubangam@carezam.com</t>
  </si>
  <si>
    <t>To contribute to reducing Maternal and Child Undernutrition in Kalomo and Choma Districts of Southern Province, Zambia by 2020</t>
  </si>
  <si>
    <t>The Project will be implemented in Southern Province of Zambia, in Choma and Kalomo Districts. They are located 290km and 350km from the Zambian Capital Lusaka respectively. Choma is on Latitude -16.6667 degrees S and Longitude 27.1667 degrees E. Kalomo is located on Latitude -17.1095 degrees S and Longitude 26.6082 degrees E. The project will be implemented in 10 Wards per District. The Wards of operation are Sikalongo, Batoka, Macha, Mangunza, Chilalantambo, Masuku, Kabimba, Simambo, Nakeempa and Simamvwa for Choma District. Wards of operation for Kalomo are Chawila, Chifunsa, Kalonda, Mayoba, Nachikungu, Sipatunyana, Simayakwe, Naliya, Omba and Bilili.</t>
  </si>
  <si>
    <t>7000 Children under 2 years, 4000 lactating and Pregnant Mothers, 25 GRZ Staff, 400 Community Volunteers</t>
  </si>
  <si>
    <t>The direct participants are those in the project proposal, planned for at proposal development. Indirect participants are rough estimates</t>
  </si>
  <si>
    <t>the project worked hand in hand with Government in all its community engagements at start up in order to ensure continuity even as the Project goes into full time implementation</t>
  </si>
  <si>
    <t>Provide loan capital to poor and low-income individuals, exclusively groups of women, who want to start or expand a small business.</t>
  </si>
  <si>
    <t>Chipata, Lundazi, Petauke, Nyimba and Katete in Eastern Province and Mazabuka, Monze, Choma, Kalomo and Kafue in Southern Province.</t>
  </si>
  <si>
    <t>Direct participants are those who received a loan to invest in their business from Lendwithcare lenders in FY17. Indirect participants have been calculated by adding up all of the dependents of the entrepreneurs who received a loan in FY17 and the people who have been employed in their businesses. We are not able to disaggregate the data for indirect participants by female and male, so I have used the ratio of 50:50 that is in the CIA World Factbook for Zambia https://www.cia.gov/library/publications/the-world-factbook/geos/za.html. This is an on-going project so I have given the numbers of participants just in this FY as there is no end date to the project.</t>
  </si>
  <si>
    <t>Since Lendwithcare sends loan capital to our microfinance partners in USD this has exposed some of our partners, including our partner in Zambia, to a certain degree of exchange rate risk. To mitigate this risk we began transferring loan capital in GBP to their Head Office in the UK who would then transfer the money in GBP or local currency.</t>
  </si>
  <si>
    <t>This is an on-going project so we do not have a budget for the lifetime of the project. The number we have reported is how much loan capital was raised through the Lendwithcare platform for Zambia in FY17. Lendwithcare does not use gender, resilience or governance scorecards as part of its programming so we have had to answer no to all the questions related to these. However, an outcome of 'harmful' (particularly with regards to women's empowerment and gender equality) seems in accurate since this initiatve focuses heavily on Women's Economic Empowerment and in Zambia the beneficiaries are 100% female.</t>
  </si>
  <si>
    <t>Peri Urban Community Driven Models for Equitable Services (COMEQS)</t>
  </si>
  <si>
    <t>ZM436</t>
  </si>
  <si>
    <t>Comic Relief</t>
  </si>
  <si>
    <t>Kate Dresser</t>
  </si>
  <si>
    <t>Programme Management coordinator</t>
  </si>
  <si>
    <t>dressser@careinternational.org</t>
  </si>
  <si>
    <t>Chikwe Mbweeda</t>
  </si>
  <si>
    <t>Director- Social Development</t>
  </si>
  <si>
    <t>Mbweedac@carezam.org</t>
  </si>
  <si>
    <t>To contribute to improving environmental conditions for the people in peri-urban settlements of Lusaka city</t>
  </si>
  <si>
    <t>The project is implemented in Lusaka's Ng'ombe, Chipata, Chaisa and Kanyama settlements in Zambia</t>
  </si>
  <si>
    <t>Men and boys, Women and girls</t>
  </si>
  <si>
    <t>The direct participants are the number of people or head count of population reached with delivery of solid waste services. The project is implemented in four slums and to reach the following people directly with solidwaste collection service: Ng'ombe compound (40% of population) 26,596 people; Chipata compound (100% of population) 95,041 people; Chaisa Compouind (100% of population) 19,858 people and Kanyama Compound (100% of population)169,253 people. Indirect participants are the number of people who live in the project areas but not serviced with solid waste collection service. In three of four project areas all (100%) of people will be reached, while in one project areas (Ng'ombe compound) only 40% of the total population will be served while 60% will not be reached. The number of people that wont be reached (indirect beneficiaries)  is 39,895.</t>
  </si>
  <si>
    <t>The project tested the water-waste tariff bundling payment model for solidwaste collection service. The innovation enabled  CARE supported social enterprises to collect increased revneue which enabled them to provide inceased quality and quantity of service to the participants. Evaluation results showed a 215% increase in revenue for social enterprises from USD3,420 at baseline to USD10,757.</t>
  </si>
  <si>
    <t>CARE Zambia worked with the ministry of local government, lusaka city council, office of the myor for lusaka city, a local NGO and a solid waste sector association, local community leadership structures to influence and lobby the public water utility company to approve rolling out of the water-waste tariff bundling model to two more slums. At time of reporting, an in -principle agreement for rolling the innovation out was granted.</t>
  </si>
  <si>
    <t>1. Participation as discussant in two WASH nights which are  networking events organised by the water and sanitation association of zambia and bring sector  professionals and organisations to discuss WASH sector issues (policies, practices, programs, interventions, etc). 2. Including local NGO staff in capacity building trainings. 3. Funding local NGOs who are partners to implement project activities.</t>
  </si>
  <si>
    <t>1. Adjusted implementation plan- the DIP was reviewed to reflect delayed approval of rolling out water-waste tariff bundling innovation. 2. Reviewed staff composition- recruited one additional staff to support with technical skills. 3. Adjustied activities- after phase 1 review, project changed to buy a big truck instead of tractor because of increased solidwaste tonnage arising from testing a new waste collection tariff.</t>
  </si>
  <si>
    <t>Water-waste tariff bundling model- a model to maximise solidwaste collection tariff and address the low willingness to pay by service users. Service users using direct payment to the solidwaste enterprises started paying through a bundled tariff with a prime service (water) thorugh an intermediary. With the new tariff payment model, revenue for solidwaste social enterprises increased by more than 200%. Increased revenue enabled SEs to plough back into increased coverage and reach.</t>
  </si>
  <si>
    <t>Community policing- a strategy to utilise local community structures and leadership to conduct compliance and inspection of households not subscribing to waste collection; and curbing illegal dumping of waste. The strategy enabled CBOs in Ngombe compound (a project areas) to increase household/customer subscription from 2106 to 3280.</t>
  </si>
  <si>
    <t>Influencing- a strategy used to engage with various decision makers and influences to support the project in rolling out or expand the testing of the key project model (water-waste tariff bundling). As a result, the office of the mayor, senior officer of the sector ministry, area councillors came in support of the model and appeleded to the public utility to pprove the roll out of the model.</t>
  </si>
  <si>
    <t>Bundling tariffs for urban services has the potential to increase revenue for social enterprises who rely on the willingness -to-pay by service users in urban slums where enforcement by local authorities is weak.</t>
  </si>
  <si>
    <t>Municipal data on waste generation capacity in communities are underestimated. The lusaka city council has not conducted a waste characterisation study in more than 20 years as such generation per capita are estimated. The COMEQS Project used these estimates to plan waste haulage and the mode of transport needed. We realised that the actual waste generated was higher than estimated and the mode of transport not adequate. This informed the project to review the appropriate transport for phase 2 when the roll out the model to additional project areas.</t>
  </si>
  <si>
    <t>Use of the Citizens Charter is a promising practice as evidenced from the feedback recieved during its development. the CC is a social accountability mechanism hailed to be unique in the solidwaste sector and a good practice to facilitate service provider and service user engagement, and allow for consensus in the service benchmarking and ultimately lead to improved service quality. Sector actors have expressed interest in learning how the approach will be implemented in order to draw lessons for replication.</t>
  </si>
  <si>
    <t>1. COMEQS Phase 1 Review Study Report. 2. COMEQS gender and governance marker vetting forms. 3. COMEQS Year 3 Annual Report. (drop box link to be provided)</t>
  </si>
  <si>
    <t>ZMB106</t>
  </si>
  <si>
    <t>Oliver W.</t>
  </si>
  <si>
    <t>Catherine Pongolani</t>
  </si>
  <si>
    <t>pongolanic@carezam.org</t>
  </si>
  <si>
    <t>Significantly contribute to improved maternal and child nutrition and health outcomes</t>
  </si>
  <si>
    <t>The project is implemented in two districts (Lundazi &amp; Chadiza) of Eastern Province</t>
  </si>
  <si>
    <t>Women of Child bearing age (15 - 49) and Children below the age of 2 years.</t>
  </si>
  <si>
    <t>Direct Beneficiaries - 542 Nutrition Support Groups (NSGs) of 20 members each who are direct participants of the project, giving 10,840 women. And Indirect beneficiaries - 10,800 by an average of 5 rest of the household members giving 54,200.</t>
  </si>
  <si>
    <t>The project will engage an external consultant to conduct a survey focusing on collecting both qualitative and quantitative data to measure the achievement of the project objectives. CARE US will provide technical support in generating the sample size and the data collection tools to be rolled out in the field for collection of raw data.</t>
  </si>
  <si>
    <t>The introduction of small water lifting devices (treadle pumps) to the women belonging to the nutrition support groups has helped them to reduce invest the saved time on watering the large portions of vegetables and thereby ensuring that household are food secure and increased the income through the sale of axcess vegetables.</t>
  </si>
  <si>
    <t>The project worked with partners such as Government line Ministries and other International NGOs  i.e. GIZ to adopt the integrated approach to nutrition specific and sensitive interventions and ensure that the targeted individuals are reached with a comprehensive nutrition package.</t>
  </si>
  <si>
    <t>Farmer School - Nutrition Support Groups set up the demo gardens where were learnt about the production of nutrient rich crops</t>
  </si>
  <si>
    <t>The project implemented the men engagement interventions to help men participate in the nutrition activities at household and community levels.</t>
  </si>
  <si>
    <t>Engagement of Government staff in monitoring ensures that there is provision of timely technical support to the beneficiaries and sustainability is eminent.</t>
  </si>
  <si>
    <t>The adoption of innovations such as Gray Water promotes production and availability of nutrient rich vegetables</t>
  </si>
  <si>
    <t>Zimbabwe</t>
  </si>
  <si>
    <t>Putting Women and Girls at the Centre of Improving WASH and Health Outcomes for Chivi Residents</t>
  </si>
  <si>
    <t>ZWE078, ZW364</t>
  </si>
  <si>
    <t>Lovemore Mujuru</t>
  </si>
  <si>
    <t>lovemoremujuru@carezimbabwe.org</t>
  </si>
  <si>
    <t>Monique Morazain</t>
  </si>
  <si>
    <t>Monique.Morazain@care.ca</t>
  </si>
  <si>
    <t>Increased equitable and sustainable access to and use of safe water supply, improved sanitation and improved hygienic practices among the rural population of Chivi district</t>
  </si>
  <si>
    <t>Chivi District in Masvingo Province</t>
  </si>
  <si>
    <t>Poor, rural women, in female headed households, unable to fully exercise their rights, residing in areas dependent on agricultural livelihoods and at significant risk from the shocks of drought</t>
  </si>
  <si>
    <t>Women, men, girls and boys, 30% of the population, in the selected wards of Chivi District without sustainable access to perennial, safe water supplies and dignified   sanitation facilities and hygienic practices. People accessing new or rehabilitated WASH facilities and girls benefiting from menstrual hygiene management are counted as direct project participants. Indirect participants are other people in the target communities adopting new hygiene behaviours and building their own WASH facilities without the project assistance.</t>
  </si>
  <si>
    <t>Baseline for a new phase of project in new geographical location. Collection of data on existing WASH infrastructure and WASH knowledge, attitudes and practices.</t>
  </si>
  <si>
    <t>Village leaders from villages that had attained Open Defecation Free (ODF) status were used by the project to mobilize new communities for triggering ODF activities. For Gender inclusion, the project decetralized latrine building workshops to encourage women to be trained as builders as they would come for training daily from their homes. More than 50% of trained builders were women as a result of change in strategy. The women were also provided with worksuits for ensuring clothing more appropriate for infrastructure work.</t>
  </si>
  <si>
    <t>The projeect shared learning on ODF mobilization and gender inclusion in builder training with other CARE WASH projects for adoption. The learning was also shared with UNICEF for adoption by national NGOs working in WASH.</t>
  </si>
  <si>
    <t>Male engagement, through establishment of mens fora, enable men to share and dialogue on WASH related gender roles and responsibilities resulting in understanding and sharing of resposibilities.</t>
  </si>
  <si>
    <t>Clustering of villages for triggering ODF is problematic as full attendance is a requirement and residents must experience the shame and disgust emotions generated during the process to change behaviour from open defecation</t>
  </si>
  <si>
    <t>The project decetralized latrine building workshops to encourage women to be trained as builders as they would come for training daily from their homes. More than 50% of trained builders were women as a result of change in strategy. The women were also provided with worksuits for ensuring clothing more appropriate for infrastructure work.</t>
  </si>
  <si>
    <t>Project final report, Proposal and Evaluation report are attached</t>
  </si>
  <si>
    <t>Enhancing Community Resilience and Sustainability (ECRAS) in Chiredzi and Mwenezi districts</t>
  </si>
  <si>
    <t>ZWE080 ZW365</t>
  </si>
  <si>
    <t>Solomon Mutambara</t>
  </si>
  <si>
    <t>solomonmu@carezimbabwe.org</t>
  </si>
  <si>
    <t>Monique.Morazain@carezimbabwe.org</t>
  </si>
  <si>
    <t>Households and Communities have improved resilience</t>
  </si>
  <si>
    <t>Chiredzi and Mwenezi districts of Masvingo province</t>
  </si>
  <si>
    <t>The direct particiapnts are land and labour endowed and financially constrained smallholder farmers attending project trainings, linked with input and output markets and those provided with accessing inputs under under contract farming arrangements. This is 72 % of households population in targeted areas. Indirect participants is has been calculated as number of vulnerable and poor individuals in targeted areas based on population census less direct participants.</t>
  </si>
  <si>
    <t>All evaluations for the project are commisioned by UNDP for the whole country program</t>
  </si>
  <si>
    <t>Sequencing and layering of activities on same households</t>
  </si>
  <si>
    <t>Community Adaptation Action Planning (CAAP)</t>
  </si>
  <si>
    <t>VSLAs (Promoted productive asset acquisation)</t>
  </si>
  <si>
    <t>Participatory Scenario Planning (PSP)</t>
  </si>
  <si>
    <t>Interactions with farmers through farmer field visits revealed that the aspect of fodder production is fairly new to farmers and farmers are very keen on taking it up. Most of the farmers lost livestock during the dry seasons due to hunger and the promotion of fodder production will address real threats for livestock management in the targeted communities.</t>
  </si>
  <si>
    <t>Learning visits play a significant role in developing the capacity of farmers as they learn by seeing. It also helps farmers to anticipate some of the challenges they could face in implementing a certain intervention.</t>
  </si>
  <si>
    <t>The project got additional funding under the crisis modifier component and High Frequency Monitoring which are key to resilience programming.</t>
  </si>
  <si>
    <t>1. ECRAS year one annual report, 2. ECRAS log frame</t>
  </si>
  <si>
    <t>Improving Water, Sanitation and Hygiene in Rural Areas of Zimbabwe</t>
  </si>
  <si>
    <t>ZWE078, ZW353</t>
  </si>
  <si>
    <t>LovemoreMujuru@carezimbabwe.org</t>
  </si>
  <si>
    <t>The overall goal of the Zimbabwe Rural WASH program will be to reduce mortality due to WASH related diseases, reduce the burden of water collection on women and girls, and to improve dignity, basic education outcomes, and gender equality.  The programme also seeks to help Zimbabwe make significant progress towards the Millennium Development Goals by 2015 (and SDGs) particularly promote gender equality and and empower women, reduce child mortality, improve maternal health and  combat HIV/AIDS, malaria and other diseases.</t>
  </si>
  <si>
    <t>Midlands Province (Mberengwa District )and Masvingo Province (Gutu, Masvingo and Zaka Districts)</t>
  </si>
  <si>
    <t>Direct participants are populations especially, vulnerable men and women, school children, and those affected HIV and AIDS, that do not have year round access to safe water supplies and improved school sanitation facilities. Populations in target communities practice open defecation and in need of community-driven sanitation and hygiene approaches.</t>
  </si>
  <si>
    <t>In FY17, the project focused on sanitaion result of attaining Open Defacation Free status. All other results had been achived in FY16.</t>
  </si>
  <si>
    <t>Participatory Health and Hygiene Education</t>
  </si>
  <si>
    <t>Private Sector Engagement</t>
  </si>
  <si>
    <t>Budgetary support to WASH governance structure (District Water and Sanitation Sub Committee - DWSSC) is not sustainable. During the FY, the DWSSC vehicle, donated by UNICEF, was involved in an accident and grounded. It was not repaired. Unsustainability of governance support was clear before project end.</t>
  </si>
  <si>
    <t>Despite the intensified engagement of local leadership, some local leaders did not embrace the sanitation initiatives as expected. Some did not take a leadership role and as a result their villages could not achieve Open Defacation Free (ODF) status as anticipated.</t>
  </si>
  <si>
    <t>The uptake of the Upgradable Blair Ventilated Improved Pit latrine (uBVIP) continued to be a challenge in some communities as they opted to construct the Blair Ventilated Improved Pit latrine (BVIP) yet did not have the resources. The pro-poor solution was not easily embraced.</t>
  </si>
  <si>
    <t>Project Final Report.</t>
  </si>
  <si>
    <t>Improving Water, Sanitation and Hygiene in Rural Areas of Zimbabwe Extension</t>
  </si>
  <si>
    <t>ZWE078, ZW368</t>
  </si>
  <si>
    <t>Increased equitable and sustainable use of protected water supplies; use of improved sanitation; adoption of hygiene</t>
  </si>
  <si>
    <t>Buhera and Mutare districts in Manicaland Province</t>
  </si>
  <si>
    <t>Women, men, girls and boys, in the selected wards of Buhera and Mutare Districts without sustainable access to perennial, safe water supplies and dignified   sanitation facilities and hygienic practices. Indirect participants are other people in the target communities adopting new hygiene behaviours and building their own WASH facilities without the project assistance.</t>
  </si>
  <si>
    <t>UNICEF carries out national level baselines and evaluations.</t>
  </si>
  <si>
    <t>NONE, Project was in start up phase</t>
  </si>
  <si>
    <t>No activities were caried out in target communities in FY17.</t>
  </si>
  <si>
    <t>Provision of technical assistance to CBZ during implementation of rural finance outreach strategy in selected country districts under the Zimbabwe Livelihoods and Food Security Program</t>
  </si>
  <si>
    <t>ZWE056 ZW352, ZW359</t>
  </si>
  <si>
    <t>Henry Chimboza</t>
  </si>
  <si>
    <t>henrych@carezimbabwe.org</t>
  </si>
  <si>
    <t>To determine the rural financial needs and current gaps in Microplans capacity, which together will inform the development of a rural finance outreach strategy for Microplan</t>
  </si>
  <si>
    <t>Mashonaland Central Province (Guruve and Mt. Darwin districts) and Manicaland Province (Mutare, Makoni and Mutasa districts)</t>
  </si>
  <si>
    <t>Direct participants are the rural low income earners becoming CBZ clients through opening savibgs accounts, accessing loans, insurance products and receiving advisories as a result of CARE support and the indirect particiants is number of direct participants multiplied by average household size less the direct particiapnt.</t>
  </si>
  <si>
    <t>This project focuses on technical assistance to a financial institution, baseline and evaluation are part of process monitoring measuring level of capacity building</t>
  </si>
  <si>
    <t>Partner capacity building</t>
  </si>
  <si>
    <t>Market analysis</t>
  </si>
  <si>
    <t>Opening of low cost branches and bank agencies in rural areas</t>
  </si>
  <si>
    <t>There is need for financial literacy training across everyone working in rural areas (NGOs, Private sector as well as clients themselves)</t>
  </si>
  <si>
    <t>With adequate skills and knowledge Community based Agents can form a vital link between Financial Institutions and the communities</t>
  </si>
  <si>
    <t>Smallholder farmers need appropriate and adequate capacity to deal with off takers</t>
  </si>
  <si>
    <t>A project of this nature which works with financial institurions involving working with existing structures requires longer time frames to build relationships and nurturing those relations.  </t>
  </si>
  <si>
    <t>Provision of technical assistance to Microplan during implementation of rural finance outreach strategy in selected country districts under the Zimbabwe Livelihoods and Food Security Program</t>
  </si>
  <si>
    <t>ZWE056 ZW351, ZW358</t>
  </si>
  <si>
    <t>Micro Plan low income clients opening savings accounts for low income earners, accesing individual loan products, insurance products and advisory services for their enterprises through support from CARE</t>
  </si>
  <si>
    <t>Evaluations are commisioned by the donor (Food and Agriculture Organisation for United Nations)</t>
  </si>
  <si>
    <t>Partner Capacity building</t>
  </si>
  <si>
    <t>Strategy development</t>
  </si>
  <si>
    <t>Smaller financial institutions are more responsive to technical assistance than larger ones</t>
  </si>
  <si>
    <t>UNICEF Restoring Access To Safe Water Improved Sanitary And Hygiene Conditions For Drought Affected Populations In Mberengwa, Gutu and Zaka Districts</t>
  </si>
  <si>
    <t>ZWE078, ZW369</t>
  </si>
  <si>
    <t>67,000 vulnerable men, women and children in Mberengwa, Zaka and Gutu districts of Midlands and Masvingo province in Zimbabwe have improved access to critical WASH services to reduce morbidity and mortality from diarrheal diseases</t>
  </si>
  <si>
    <t>Mberengwa District in Midlands Province and Gutu and Zaka Districts in Masvingo Province</t>
  </si>
  <si>
    <t>UNICEF carries out national level baseline surveys and evaluations</t>
  </si>
  <si>
    <t>NONE, the project was in start up phase in FY17</t>
  </si>
  <si>
    <t>Project was just starting in FY17, had no contact with planned participants</t>
  </si>
  <si>
    <t>WASH - Hygiene Promotion and Capacity Development for Zvishavane and Shurugwi Towns (UNICEF Small Towns Project)</t>
  </si>
  <si>
    <t>ZWE078, ZW349</t>
  </si>
  <si>
    <t>Merilyn Kawadza</t>
  </si>
  <si>
    <t>Merilynka@carezimbabwe.org</t>
  </si>
  <si>
    <t>To reduce morbidity and mortality due  to diarrheal diseases. In the two small towns, CARE aimed to improve town council's capacity in WASH service delivery and improve the residents' WASH behaviours and practices.</t>
  </si>
  <si>
    <t>Shurugwi  and Zvishavane Towns in Midlands Province</t>
  </si>
  <si>
    <t>Poor, vulnerable urban women and girls of reproductive age (aged 15-49)</t>
  </si>
  <si>
    <t>The part of the population of the 2 towns reached with key messages on safe hygiene practices, this includes groups of women and men engaged in Participatory Health and Hygiene Education clubs, staff of the town councils involved in WASH service delivery, and staff at clinics and schools.</t>
  </si>
  <si>
    <t>THERE WERE NO ACTIVITIES IN THIS FY</t>
  </si>
  <si>
    <t>THERE WERE NO FIELD ACTIVITIES IN THE ONE MONTH OF THE PROJECT. CLOSE OUT INCLUDING REPORTING WERE THE ONLY ACTIVITIES</t>
  </si>
  <si>
    <t>NO DOCUMENTS GENERATED FOR FY17. RESULTS OF FY16 AS DOCUMENTED REMAIN UNCHANGED.</t>
  </si>
  <si>
    <t>Youth Empowerment Project (YEP)</t>
  </si>
  <si>
    <t>ZW342 , ZWE086</t>
  </si>
  <si>
    <t>Tafirenyika Kakono</t>
  </si>
  <si>
    <t>Sector coordinator</t>
  </si>
  <si>
    <t>Tafirenyikaka@carezimbabwe.org</t>
  </si>
  <si>
    <t>Increased economic and social participation of male and female youth in Zimbabwe</t>
  </si>
  <si>
    <t>Provinces: Masvingo, Manicaland, Matebeleland South, Harare.  Districts: Masvingo (rural), Zaka, Bikita, Chivi, Chiredzi Nyanga, Mutasa, Beitbridge, Gwanda, Chitungwiza, Chipinge</t>
  </si>
  <si>
    <t>Male and Female youth aged between 18- 35 years.</t>
  </si>
  <si>
    <t>The direct participants are the youths that received training in techincal skills, received loans, attendance SAA sessions, particpated in economic opoortunities awareness sessions, received interpersonal skills coaching. The indirect participants are the youth reached through their parents. Parents and community leadership were targetd with Social Analysis and Action sessions in order to promote youth economic activities.</t>
  </si>
  <si>
    <t>Micro Finance Institutions (MFIs) partners introduced outreach programmes instead of the traditional way of waiting for potential clients to visit their offices. The project made use of local articians for the Technical skills intervention resulting in the trained youths being exposed to mentoring for long periods and youths received advisories through mobile phones text messages</t>
  </si>
  <si>
    <t>Use of local skilled people to train and mentor youths</t>
  </si>
  <si>
    <t>Institutional capacity building of local NGO implementing partners (2). This was an on-going process from project inception addressing capacity gaps in project delivery.</t>
  </si>
  <si>
    <t>Entreprenuership Training</t>
  </si>
  <si>
    <t>Social Analysis and Action - Dialogues</t>
  </si>
  <si>
    <t>Village savings and Lending</t>
  </si>
  <si>
    <t>Rephrasing governance intervention to reflect engagement/dialogue e.g Social Analaysis and Action encourages buy in by communities and government stakeholders</t>
  </si>
  <si>
    <t>Decision making takes longer for banks as compared to Micro finance Institutions (MFIs). Future projects need to engage of banks early to allow time for the preparations and processes without prejudicing project viability which is affected by the time that elapses between project design and implementation.</t>
  </si>
  <si>
    <t>Despite trying to separate NGO work and private sector, when it comes to financial linkages, word always gets out regarding the loan revolving funds. This in part affects loan repayments as youths that would have borrowed the first time and repaid will come back for a second loan with no intention to repay as they would want to gauge what happens to those struggling to repay.</t>
  </si>
  <si>
    <t>Project final report and evaluation are attached</t>
  </si>
  <si>
    <t>Integrated Soil-Water Conservation and Livestock Management in the Runde River Catchment Area</t>
  </si>
  <si>
    <t>ZW083, ZW343</t>
  </si>
  <si>
    <t>Merilyn Kudzai Kawadza</t>
  </si>
  <si>
    <t>merilynka@carezimbabwe.org</t>
  </si>
  <si>
    <t>Environmental protection and monitoring to improve the livelihoods of the population in Runde River Catchment and the Lowveld cane growing areas. Contributing to a larger EC goal of support, sustain and increase sugarcane production within an improved socio-economic environment, that is to improve the investiment and productivity in the sugar growing sector so as to improve the livelihoods of the population in the Lowveld.</t>
  </si>
  <si>
    <t>Bikita, Chivi, Chiredzi, Masvingo, Mwenezi and Zaka districts (Zimbabwe; Masvingo Province)</t>
  </si>
  <si>
    <t>Poor rural women and men smallholder household heads, agriculture extension staff, NRM committees and local leadership were direct participants. Indirect participants were the household members of smallholder farmers and population benefiting from new NRM by-laws.</t>
  </si>
  <si>
    <t>Cluster irrigation farmers  in Zaka district engaged in Chili contract farming thereby increasing the financial base</t>
  </si>
  <si>
    <t>Community level natural resources management through by-laws</t>
  </si>
  <si>
    <t>Capacity building of public extension staff</t>
  </si>
  <si>
    <t>Community based Natural Resources Management</t>
  </si>
  <si>
    <t>Effective stakeholders coordination and leadership is a critical success factor</t>
  </si>
  <si>
    <t>When stakeholders see intrinsic value to their participation, securing their long-term support, cooperation and commitment to a cause project success is almost guaranteed.</t>
  </si>
  <si>
    <t>Project numbers previously reported were based on participants interacting with project staff, such as committee members. Field activities were mostly delivered through government extension staff, and their reach was not reported previously.                                                                                       There is need for continued investment in the capacitry building of public extension staff on M &amp; E  to enhance their skills in  data collection and reporting.</t>
  </si>
  <si>
    <t>Zimbabwe Emergency Food Security Mobile Cash Transfer Programme</t>
  </si>
  <si>
    <t>ZWE075, ZW361</t>
  </si>
  <si>
    <t>Abel Simbarashe Whande</t>
  </si>
  <si>
    <t>AbelWh@carezimbabwe.org</t>
  </si>
  <si>
    <t>The project ainmed to mitigate the effects of immediate food insecurity through mobile cash transfers to people affected by the El Nino phenomenon, while at the same time building their resilience to future shocks</t>
  </si>
  <si>
    <t>Gokwe North and Gokwe South Districts of Midlands Province</t>
  </si>
  <si>
    <t>Direct participants are vulnerable men, women, boys and girls from labour endowed households who received mobile conditional cash transfers that aimed to supplement the household food basket and nutritional needs. 13% of the households were without labour capacity and they received unconditional cash transfers. The numbers are obtained from records of actual cash tranfers each month, household representatives trained in resilience activities and nutrional activities. Receipient households' data was collected at registration, so an accurate number of direct participants was calculated monthly. Committees and volunteers who enabled delivery of project interventions were also direct particiapants receiving cash transfers.</t>
  </si>
  <si>
    <t>Current evaluation was done in May 2017. Save the Children, the consortium lead, has not yet released the report</t>
  </si>
  <si>
    <t>The project added a component to address food and nutrion needs of people affected by floods.</t>
  </si>
  <si>
    <t>CARE Accountability Framework</t>
  </si>
  <si>
    <t>CARE Market Engagement Strategy</t>
  </si>
  <si>
    <t>Establish beneficiary reporting and feedback mechanisms through provision of toll free tip-off anonymous phone numbers, help desk, suggestion boxes, direct contact with staff, direct calls to staff and walk-ins</t>
  </si>
  <si>
    <t>There is need to conduct education campaign on how the mobile money transfer system works to both beneficiaries and all stakeholders such as, government departments, mobile money company agents, traditional and religious leaders and the business community at large in the initial stages of the programme. This would eliminate the numerous technological challenges that are encountered in options for using money in mobile wallets.</t>
  </si>
  <si>
    <t>As a resilience strategy, small livestock savings were promoted. Communities were encouraged to keep of small livestock such as goats and chickens which mature early compared to cattle and can be used for food and income through sales in times of shocks such as drought.</t>
  </si>
  <si>
    <t>Project reports (2) attached, (Evaluation report not yet available)</t>
  </si>
  <si>
    <t>Emergency Cash First Response to Drought-affected commmunities in the Southern provinces of Zimbabwe</t>
  </si>
  <si>
    <t>ZWE056, ZW355</t>
  </si>
  <si>
    <t>Morazain, Monique</t>
  </si>
  <si>
    <t>The project addressed the immediate food needs of vulnerable men, women, boys and girls through the provision of mobile unconditional cash transfers that aim to cover 50% of the household food basket and nutritional needs of men, women, boys and girls.</t>
  </si>
  <si>
    <t>Masvingo Province:  Zaka, Gutu and Masvingo Rural districts (3),Matebeleland South Province: Beitbridge, Insiza, Matobo, Gwanda and Umzingwane districts (5). Matabeleland North Province: Umguza, Lupane and Nyaki districts (3), Midlands Province: Gokwe North, Gokwe South, Shurugwi and Mberengwa districts (4)</t>
  </si>
  <si>
    <t>Direct participants are vulnerable men, women, boys and girls who received mobile unconditional cash transfers that aimed to cover approximately 70% of the household food basket and nutritional needs. The numbers are obtained from records of actual cash tranfers each month, receipient households' data was collected at registration, so an accurate number of direct participants was calculated monthly. Committees and volunteers who enabled delivery of project interventions were also direct particiapants receiving cash transfers.</t>
  </si>
  <si>
    <t>The project was providing humanitarian assistance in response to severe drought. However, during FY17, there was heavy flooding in project areas. The project adjusted its response by providing Cash Assistance to Persons Affected By Floods, a new intervention reaching 3,656 people receiving USD62,155.10.</t>
  </si>
  <si>
    <t>Accountability with strong complaints and feedback mechanism</t>
  </si>
  <si>
    <t>Partnership strategy (donor, INGO, private sector and local government)</t>
  </si>
  <si>
    <t>GBV case management strategy</t>
  </si>
  <si>
    <t>When the country was hit by a liquidity crisis the project was able to shift focus from cash-outs to promote e-purchases while still attaining its goals of improving access to food by drought affected communities. During the 2016/17 rain season when some communities were inaccessible people were able to receive their assistance without risking crossing flooded rivers.</t>
  </si>
  <si>
    <t>Cash transfers promote resilience in drought affected communities. Financial inclusion was achieved for the previously unbanked communities. Access to micro-insurance products, such as funeral cover, now possible for communities which were unbanked at the beginning of the project.</t>
  </si>
  <si>
    <t>The transfer value of $7 per person was appropriate for enabling people to access basic food needs, but could have been based on households overall needs and not just food (e.g. a minimum expenditure basket).</t>
  </si>
  <si>
    <t>An extensive evaluation was done and learning documents produced with the assitance of CIUK. There was a lot of work done by the project on gender and resilience due to emerging issues, not part of the design. Very good results were thus achieved, thanks to excellent donor participation and very good staff capacity.</t>
  </si>
  <si>
    <t>Project report, proposal and learning documents are attached. Evaluation      http://www.opml.co.uk/projects/evaluating-cash-transfer-programme-zimbabwe</t>
  </si>
  <si>
    <t>Improving Gender Attitudes, Transition and Education Outcomes (IGATE-T)</t>
  </si>
  <si>
    <t>ZWE085, ZW371</t>
  </si>
  <si>
    <t>OBERT CHIGODORA</t>
  </si>
  <si>
    <t>obertch@carezimbabwe.org</t>
  </si>
  <si>
    <t>MONIQUE MORAZAIN</t>
  </si>
  <si>
    <t>73492 marginalised girls are well equipped for transition into life through fluency in literacy, numeracy and financial literacy and life skills</t>
  </si>
  <si>
    <t>Nine districts in 4 provinces. Midlands Province x 2 districts (Mberengwa and Gokwe North); Masvingo x 1 district (Chivi); Matabeleland North x 3 districts  (Lupane, Nkayi and Mangwe)and Matabeleland South x 3 districts B(Binga, Beitbridge and Insiza)</t>
  </si>
  <si>
    <t>Rural vulnerable girl children aged 7-19 years (at the beginning of the project), with limited choices, and at high risk of early marriage, pregnancy, HIV, exploitation and abuse.</t>
  </si>
  <si>
    <t>Direct: Female learners grade 3 -7 in 99 schools in the two districts (Chivi and Mberengwa where CARE isimplementing. It also includes out of school girls participating in Community based Education in districts being implemented by World Vision as CARE is providing technical support in financial literacy skills and girls in inschool leadership clubs in all the nine districts as CARE is providing technical support in Girls leadership. The female facilitators, teachers and mentors are also indirect participants.        Diect male particpants include mainly  number of boys in intervention school grade 3 to grade 9 (form 2) and the number of male teachers and faciitattors trained to roll out activities .   These will benefit from the improved teaching practices appied by the teachers, participation in leadership clubs and financial litercay sessions.                                                                                                                                                                                                                                                              Indirect:  These include all female learners in schools belonging to the same cluster as intervention schools (all grades grade 1 to 7) and Form 1 to from 2 (or upto grade 9). It also includes number of boys in such schools.</t>
  </si>
  <si>
    <t>The baseline for the IGATE T project will be conducted starting October 2017. After that, annual assessments in form of external evaluations will be conducted. IGATE-T will employ a quasi-experimental design for its evaluations where comparison schools will be purposeively selected to compare learning and transition outcomes. An exetrnal evaluator is contracted by the lead agency to conduct the baseline and evaluations. Data will be collected from a cohort list of girls and households identified during the baseline survey who are part of a longitudinal study. CARE' role is to provide inputs on the development of ToR for the evaluation.</t>
  </si>
  <si>
    <t>The baseline study is currently being designed. Changes are not expected until the next FY.</t>
  </si>
  <si>
    <t>The project is in start up phase</t>
  </si>
  <si>
    <t>Field work had not yet started. Scoring on gender and governance marker were based on project design while resilience marker will be scored based on implementation</t>
  </si>
  <si>
    <t>Improving Girls' Access through Transforming Education (IGATE)</t>
  </si>
  <si>
    <t>ZWE085, ZW335</t>
  </si>
  <si>
    <t>Obert Chigodora</t>
  </si>
  <si>
    <t>ObertCh@carezimbabwe.org</t>
  </si>
  <si>
    <t>Improved  learning outcomes of 48,997 marginalised girls within 467 schools</t>
  </si>
  <si>
    <t>Ten districts in 4 provinces. Midlands Province x 3 districts; Masvingo x 1 district; Matabeleland North x 3 districts and Matabeleland South x 3 districts</t>
  </si>
  <si>
    <t>Rural vulnerable girl children aged 5-15 years (at the beginning of the project), with limited choices, and at high risk of early marriage, pregnancy, HIV, exploitation and abuse.</t>
  </si>
  <si>
    <t>Marginalised girls who are the primary direct participants. Women, men and boys in VSL households, Mothers Groups, traditional and religious leaders, and School Development Committees (SDCs) are also direct participants. Indirect participants are community members, namely, Communities in Support of Girls Education (CSGE) and boys and men who are essential in creating an enabling and safe environment for girls education.</t>
  </si>
  <si>
    <t>Support to two local faith-based organizations (UDACIZA and EFZ) to develop girls' empowerment and gender programming targeting girls from marginalized groups, particularly Apostolic households; Support to community-based organizations to voice their concerns on education, gender equality and GBV to local authorities (working through a score card platform).</t>
  </si>
  <si>
    <t>The Selection Planning and Management component of the VSL was introduced in order to strengthen the women economic empowerment outcomes.</t>
  </si>
  <si>
    <t>The Mothers Group intervention of following up on cases affecting girls education and mentoring young girls on life skills contributed to improved literacy outcomes</t>
  </si>
  <si>
    <t>The Power Within intervention of building building girls leadership skills proved effective in improving literacy and numeracy outcomes for marginalised girls.</t>
  </si>
  <si>
    <t>Village Savings and Lending intervention was directly linked to improved numeracy skills in the daughters of participants, and has helped in building household economic capacities to meet education expenses for their children and to an extent built community resilience to the impact of drought</t>
  </si>
  <si>
    <t>Community engagement in development initiatives in a manner that recognises their potential and capacities is vital for building community ownership to the initiatives and self organise themselves in response to identified challenges.</t>
  </si>
  <si>
    <t>Community/village level literacy and numeracy activities involving paprents trained on child protection issues are promising ways of improving learning outcomes for marginalised girls.</t>
  </si>
  <si>
    <t>Intergenerational effect of VSL participation - acquisition of numeracy skills at a faster pace by girls living in HHs practicing VSL, compared to control HHs</t>
  </si>
  <si>
    <t>The year has been challenging as it was during the same period when the consortium learnt more about the implications of  Payment By Results (PbR) on the project. Some project compromises had to be made in order to put more effort and focus on learning activities in order to improve on the learning outcome indicators which are tied to the PbR. However, it also presented an opportunity for the project to innovate around its models to make the m more relevant to improving marginalised girls' learning outcomes.</t>
  </si>
  <si>
    <t>Proposal, logframe, quartlerly and annual reports uploaded on the Minerva</t>
  </si>
  <si>
    <t>Harare</t>
  </si>
  <si>
    <t>Women with existing income-generating activities who are excluded from the formal financial sector. The main impact groups are individuals engaged in primarily in petty trading.</t>
  </si>
  <si>
    <t>Direct participants are those who received a loan to invest in their business from Lendwithcare lenders in FY17. Indirect participants have been calculated by adding up all of the dependents of the entrepreneurs who received a loan in FY17 and the people who have been employed in their businesses. We are not able to disaggregate the data for indirect participants by female and male, so I have used the ratio of 51:49 that is in the CIA World Factbook for Zimbabwe https://www.cia.gov/library/publications/the-world-factbook/geos/zi.html . This is an on-going project so I have given the numbers of participants just in this FY as there is no end date to the project.</t>
  </si>
  <si>
    <t>Questionnaires (developed in collaboration with the University of Portsmouth) and a Poverty Assessment Tool were used to measure the impact of accessing microcredit on household poverty levels and business development.</t>
  </si>
  <si>
    <t>In FY17, Zimbabwe's economy continued to be incredibly fragile largey due to a severe cash shortage. This had an impact on the success of small businesses and also the ability of micro-entrepreneurs to repay their loans. We supported a number of defaulted loans on Lendwithcare in FY17.</t>
  </si>
  <si>
    <t>It was a huge challenge to locate participants from the baseline study in FY16, particularly those from the control group.</t>
  </si>
  <si>
    <t>This is an on-going project so we do not have a budget for the lifetime of the project. The number we have reported is how much loan capital was raised through the Lendwithcare platform for Ecuador in FY17. Lendwithcare does not use gender, resilience or governance scorecards as part of its programming so we have had to answer no to all the questions related to these. However, an outcome of 'harmful' (particularly with regards to women's empowerment and gender equality) seems in accurate since this initiatve focuses heavily on Women's Economic Empowerment and in Zimbabwe the beneficiaries are 100% female.</t>
  </si>
  <si>
    <t>Empowering Adolescents for Lifelong Learning</t>
  </si>
  <si>
    <t>ZW354, ZWE088</t>
  </si>
  <si>
    <t>Gilbert Phiri</t>
  </si>
  <si>
    <t>gilbertph@carezimbabwe.org</t>
  </si>
  <si>
    <t>Female and male adolescents are empowered to make and pursue informed life choices</t>
  </si>
  <si>
    <t>Epworth suburb, Harare Province</t>
  </si>
  <si>
    <t>Male and Female adolescents aged between 13 - 17 years and their teachers.</t>
  </si>
  <si>
    <t>Direct project participants are total form one students enroled by the eight project schools and their teachers. Indirect project particpants are total forms two to form six students enroled by the eight project schools and their teachers.</t>
  </si>
  <si>
    <t>Mid line evaluation is scheduled for FY19</t>
  </si>
  <si>
    <t>Capacity building of teachers in learner centred teaching approaches in support of the updated Zimbabwe primary and secondary education curriculum</t>
  </si>
  <si>
    <t>Adolescence Development Model (modified Power Within model)</t>
  </si>
  <si>
    <t>Teachers Capacity Building</t>
  </si>
  <si>
    <t>Teacher Liaison Group (Selected teachers representing schools in project implementation through project updates, activity planning, and M &amp; E. Currently, a WhatsApp platform is used by the project to engage the group)</t>
  </si>
  <si>
    <t>The Zimbabwe public education sector is characterised bureacracy and culture of unsharing of information which adversely affects implementation of project activities</t>
  </si>
  <si>
    <t>The type of project needs continuous stakeholder engagement since its main focus is software and it takes long before benefits are realised.</t>
  </si>
  <si>
    <t>Project report and baseline report</t>
  </si>
  <si>
    <t>AID-FFP-A-13-0003</t>
  </si>
  <si>
    <t>Enhancing Nutrition Stepping Up Resilince and Enterprise (ENSURE)</t>
  </si>
  <si>
    <t>Archibald Chikavanga</t>
  </si>
  <si>
    <t>archibaldchikavanga@carezimbabwe.org</t>
  </si>
  <si>
    <t>Assistant Country Director- Programs</t>
  </si>
  <si>
    <t>Goal: Food security of targeted communities and households in Manicaland and Masvingo Provinces improved  by 2018. The ENSURE program interventions are organized around three important themes: maternal and child health (SO1), agriculture and economic development (SO2), and resilience (SO3). Complementing these themes and focusing on the current context in Zimbabwe, ENSURE will highlight the Cross Cutting Objective (SO4) of promoting gender equity in nutrition and agriculture.</t>
  </si>
  <si>
    <t>CARE operates in Bikita, Chivi and Zaka Districts of Masvingo Province</t>
  </si>
  <si>
    <t>Pregnant and Lactating Women (women of reporductive age), Children Under 2, Small holder farmers (women and men)</t>
  </si>
  <si>
    <t>An end of project evaluation will be done in the next FY.This evaluation will be done by a third party firm and the results will be compared with baseline.</t>
  </si>
  <si>
    <t>Use of the Dialogue Counselling Process (DCP) in care group promoted identification of barriers that prevent behaviour change by Care Group Clients (CGC) and other family members at household level and seeks commitment on how to overcome the barriers.  This is an improvement to the counselling process as it is centered on the compound family unit to increase behaviour change adoption.  </t>
  </si>
  <si>
    <t>The agri business hub model resulted in increased coverage for peer to peer education as demonstration sites increased.The demonstartion sites were the centre for skills transfer on production (integrated crop and livestock system), early warning and market information dissemination through lead farmers and market facilitators.</t>
  </si>
  <si>
    <t>Adoption of regenerative activites (planting fruit trees, fodder, apiculture and acqua culture) in the dam catchment areas enhanced resilience in nutrition through multiple benefits.</t>
  </si>
  <si>
    <t>Linking CGs (both lead mothers and neighborhood women) to VSLs and income generating activities ensures community level sustainability of CGs beyond the life of the program.</t>
  </si>
  <si>
    <t>Value addition at FFA by incorporating apiculture and aquaculture coupled with other economic activities promoted through VS&amp;L helps communities to build maintenance funds   </t>
  </si>
  <si>
    <t>Flexibility in program design promotes quick response to changes in context, in the process providing an opportunity for communities to protect gains</t>
  </si>
  <si>
    <t>During the first quarter of the year, high temperatures in excess of 45°C were recorded in the province resulting in excessive evaporation and drying of major water sources such as boreholes, wells, dams and rivers.  The situation improved significantly in the second quarter as rains were received.  Masvingo Province received high rainfall amounts both in intensity and cumulative totals. In the year, Bikita, Chivi and Zaka districts received higher than normal average rainfall that was 125%, 134% and 147% respectively. Extremes were reported in Zaka and Bikita districts due to Cyclone Dineo where rainfall amounts of 168mm and 190mm respectively, fell in less than 24 hours at some locations.  </t>
  </si>
  <si>
    <t>Improving Agricultural Production and Access to Water, Sanitation and Hygiene for Drought Affected Populations in Masvingo Province</t>
  </si>
  <si>
    <t>ZWE051, ZW363</t>
  </si>
  <si>
    <t>To provide immediate assistance and recovery to drought affected populations in Masvingo Province through asset (livestock) protection, access to water, sanitation and hygiene, and improved agricultural production</t>
  </si>
  <si>
    <t>Zaka, Bikita and Chivi districts of Masvingo Provinces</t>
  </si>
  <si>
    <t>Direct project participants are smallholder farmers (and in the case of rehabilitated boreholes and their household members) and indirect participants is the number of direct participants multipled by 4 (average household size five less the household head). Direct project participants has been calculated by multiplying number of boreholes to be rehabilitated by expected average number of individuals to drink water from each borehole as this was the intervetion expected to have the highest number of beneficiaries. No expected indirect beneficiaries for the water points intervention.</t>
  </si>
  <si>
    <t>The baseline which was carried out internally will be shared with an independent consultant to allow comparisons, The evaluation will use both qualitative and quantitative approach,  which will involve collection of primary and secondary and participatory engagement of key stakeholders. Households will be randomly selected.</t>
  </si>
  <si>
    <t>Promoted production and preservation of fodder crops (velvet bean) and seed multiplication. This is new to both women and men smallhoder farmers.</t>
  </si>
  <si>
    <t>No adjustments made</t>
  </si>
  <si>
    <t>Lead farmer concept</t>
  </si>
  <si>
    <t>Participatory Health and Hygiene Education (PHHE)</t>
  </si>
  <si>
    <t>Village Savings and Lending</t>
  </si>
  <si>
    <t>With proper engagement communities are prepared make all necessary contributions including free labour and ideas as long as the value the initiative.</t>
  </si>
  <si>
    <t>Agro-dealer concept can also contribute in smallholder farmers accessing lucrative output markets and besides enhancing access to improved inputs.</t>
  </si>
  <si>
    <t>Despite high levels of awareness on water borne diseases, communities tend to use nearby unprotected water sources for drinking rather than travelling to a bit far away boreholes and especially those considered yielding less palatable water compared to unprotected water sources</t>
  </si>
  <si>
    <t>Project report</t>
  </si>
  <si>
    <t>Supporting the Development of Women Enterprises in Zaka District</t>
  </si>
  <si>
    <t>ZWE025, ZW360</t>
  </si>
  <si>
    <t>Ellen Chigwanda</t>
  </si>
  <si>
    <t>Education Advisor</t>
  </si>
  <si>
    <t>Ellen.Chigwanda@care.org</t>
  </si>
  <si>
    <t>The projects goal is improved business growth in women-led informal enterprises.The aim is for women to realize business growth as a result of improved business management, exposure and financial literacy</t>
  </si>
  <si>
    <t>Zaka District in Masvingo Province</t>
  </si>
  <si>
    <t>Poor, rural women, mostly in female headed households, without income security, residing in areas dependent on agricultural livelihoods and at significant risk from the shocks of drought. These women are ready to grow/expand/diversify their informal businesses (with linkages to external sources of funds such as small grants, micro-leasing or other financial services). They also require basic business management skills, mentoring and coaching.</t>
  </si>
  <si>
    <t>Market Engagement</t>
  </si>
  <si>
    <t>Both technical skills and business management capacity are essential for successful micro enterprise development</t>
  </si>
  <si>
    <t>In an illiquid economy, project participants had to adjust from cash transactions to mobile and plastic money.</t>
  </si>
  <si>
    <t>Project Report is attached</t>
  </si>
  <si>
    <t>Grand Total</t>
  </si>
  <si>
    <t># women from total participants (Direct)</t>
  </si>
  <si>
    <t># women from total participants (Indirect)</t>
  </si>
  <si>
    <t>(blank)</t>
  </si>
  <si>
    <t>Africa - East and Central Total</t>
  </si>
  <si>
    <t>Africa - Southern Total</t>
  </si>
  <si>
    <t>Africa - Western Total</t>
  </si>
  <si>
    <t>Asia and the Pacific Total</t>
  </si>
  <si>
    <t>Latin America and the Caribbean Total</t>
  </si>
  <si>
    <t>Middle East, North Africa and Europe Total</t>
  </si>
  <si>
    <t>North America Total</t>
  </si>
  <si>
    <t/>
  </si>
  <si>
    <t>Extent of advocacy</t>
  </si>
  <si>
    <t>Count of To what extent did the project contribute to strengthening civil society in the FY?</t>
  </si>
  <si>
    <t>Count of To what extent did the project/initiative develop innovations for fighting poverty and inequality  in this FY?</t>
  </si>
  <si>
    <t>Count of To what extent did the project/initiative focus on addressing sexual and gender based violence (GBV) in this FY?</t>
  </si>
  <si>
    <t>Count of To what extent did the project/initiative link or work with strategic alliances and partners to take tested and effective solutions to scale in this FY?</t>
  </si>
  <si>
    <t>Count of To what extent did the project/initiative have a strategy yo address current or future social and environmental vulnerability caudes by climate change in this FY?</t>
  </si>
  <si>
    <t>Count of To what extent was the project/initiative implemented with and/or through partners in this FY?</t>
  </si>
  <si>
    <t>0. Harmful</t>
  </si>
  <si>
    <t>1. Neutral</t>
  </si>
  <si>
    <t>2. Sensitive</t>
  </si>
  <si>
    <t>3. Responsive</t>
  </si>
  <si>
    <t>4. Transformative</t>
  </si>
  <si>
    <t>Count of Gender marker score</t>
  </si>
  <si>
    <t>0. Unaware</t>
  </si>
  <si>
    <t>1. Tokenistic</t>
  </si>
  <si>
    <t>2. Accommodating</t>
  </si>
  <si>
    <t>4. Transformational</t>
  </si>
  <si>
    <t>Count of Governance marker score</t>
  </si>
  <si>
    <t>Count of Resilience marker score</t>
  </si>
  <si>
    <t>Sum of Total Direct Participants in the Fiscal Year</t>
  </si>
  <si>
    <t>Sum of Total Indirect Participants in the Fiscal Year</t>
  </si>
  <si>
    <t>Sum of # women from total participants (Direct)</t>
  </si>
  <si>
    <t>Sum of # women from total participants (Indirect)</t>
  </si>
  <si>
    <t>Sum of Total Participants Humanitarian Direct</t>
  </si>
  <si>
    <t>Sum of Total Participants Humanitarian Indirect</t>
  </si>
  <si>
    <t>Sum of Outcome area - Humanitarian</t>
  </si>
  <si>
    <t>Count of Project/Initiative Name</t>
  </si>
  <si>
    <t>Sum of Total Participants Sexual, Reproductive and Maternal Health Rights Indirect</t>
  </si>
  <si>
    <t>Sum of Total Participants Sexual, Reproductive and Maternal Health Rights Direct</t>
  </si>
  <si>
    <t>Sum of Outcome area - SRMH</t>
  </si>
  <si>
    <t>Sum of Total Participants Food and Nutrition Security and Climate Change Resilience Direct</t>
  </si>
  <si>
    <t>Sum of Total Participants Food and Nutrition Security and Climate Change Resilience Indirect</t>
  </si>
  <si>
    <t>Sum of Outcome area - FNS</t>
  </si>
  <si>
    <t>Sum of Total Participants A Life Free From Violence Direct</t>
  </si>
  <si>
    <t>Sum of Total Participants A Life Free From Violence Indirect</t>
  </si>
  <si>
    <t>Sum of Outcome area - LFFV</t>
  </si>
  <si>
    <t>Sum of Total Participants Women's Economic Empowerment Direct</t>
  </si>
  <si>
    <t>Sum of Outcome area - WEE</t>
  </si>
  <si>
    <t>DRC</t>
  </si>
  <si>
    <t>Select your country from this drop-down list:</t>
  </si>
  <si>
    <t>(Select from list)</t>
  </si>
  <si>
    <t>Algeria</t>
  </si>
  <si>
    <t>Andorra</t>
  </si>
  <si>
    <t>Angola</t>
  </si>
  <si>
    <t>Antigua and Barbuda</t>
  </si>
  <si>
    <t>Projects/Initiatives</t>
  </si>
  <si>
    <t>Direct reach</t>
  </si>
  <si>
    <t>Indirect reach</t>
  </si>
  <si>
    <t>Gender</t>
  </si>
  <si>
    <r>
      <rPr>
        <b/>
        <sz val="8"/>
        <color theme="1"/>
        <rFont val="Arial"/>
        <family val="2"/>
      </rPr>
      <t>GBV</t>
    </r>
    <r>
      <rPr>
        <sz val="8"/>
        <color theme="1"/>
        <rFont val="Arial"/>
        <family val="2"/>
      </rPr>
      <t xml:space="preserve"> focused or mainstreamed</t>
    </r>
  </si>
  <si>
    <t>Governance</t>
  </si>
  <si>
    <t>All/most activities through partners</t>
  </si>
  <si>
    <t>Civil society strengthening</t>
  </si>
  <si>
    <t>Resilience</t>
  </si>
  <si>
    <t>Fully/partially addressed climate change</t>
  </si>
  <si>
    <t>Innovation</t>
  </si>
  <si>
    <t>Scale up</t>
  </si>
  <si>
    <t>Argentina</t>
  </si>
  <si>
    <t>Armenia</t>
  </si>
  <si>
    <t>millions</t>
  </si>
  <si>
    <t>Aruba</t>
  </si>
  <si>
    <t>Australia</t>
  </si>
  <si>
    <t>Gender (1-4)</t>
  </si>
  <si>
    <t>GBV (fully/mainstreamed)</t>
  </si>
  <si>
    <t>Governance (1-4)</t>
  </si>
  <si>
    <t>Advocacy (intensive or moderate)</t>
  </si>
  <si>
    <t>Partnership (all/most)</t>
  </si>
  <si>
    <t>Resilience (1-4)</t>
  </si>
  <si>
    <t>Climate change (fully/partially)</t>
  </si>
  <si>
    <t>Azerbaijan</t>
  </si>
  <si>
    <t>Bahamas</t>
  </si>
  <si>
    <t>Bahrain</t>
  </si>
  <si>
    <t>Belarus</t>
  </si>
  <si>
    <t>FY15</t>
  </si>
  <si>
    <t>FY16</t>
  </si>
  <si>
    <t>Belize</t>
  </si>
  <si>
    <t>Bhutan</t>
  </si>
  <si>
    <t>Bolivia</t>
  </si>
  <si>
    <t>Botswana</t>
  </si>
  <si>
    <t>Brazil</t>
  </si>
  <si>
    <t>Brunei</t>
  </si>
  <si>
    <t>Bulgaria</t>
  </si>
  <si>
    <t>HA</t>
  </si>
  <si>
    <t>Burma</t>
  </si>
  <si>
    <t>SRMH</t>
  </si>
  <si>
    <t>Cape Verde</t>
  </si>
  <si>
    <t>Central African Republic</t>
  </si>
  <si>
    <t>LFFV</t>
  </si>
  <si>
    <t>Chile</t>
  </si>
  <si>
    <t>China</t>
  </si>
  <si>
    <t>Comoros</t>
  </si>
  <si>
    <t>FNS&amp;CCR</t>
  </si>
  <si>
    <t>Congo, Republic of the</t>
  </si>
  <si>
    <t>WEE</t>
  </si>
  <si>
    <t>Curacao</t>
  </si>
  <si>
    <t>Cyprus</t>
  </si>
  <si>
    <t>Djibouti</t>
  </si>
  <si>
    <t>Dominica</t>
  </si>
  <si>
    <t>El Salvador</t>
  </si>
  <si>
    <t>Equatorial Guinea</t>
  </si>
  <si>
    <t>Eritrea</t>
  </si>
  <si>
    <t>Estonia</t>
  </si>
  <si>
    <t>Finland</t>
  </si>
  <si>
    <t>Gabon</t>
  </si>
  <si>
    <t>Gambia, The</t>
  </si>
  <si>
    <t>Grenada</t>
  </si>
  <si>
    <t>Guinea</t>
  </si>
  <si>
    <t>Guinea-Bissau</t>
  </si>
  <si>
    <t>Guyana</t>
  </si>
  <si>
    <t>0.Harmful</t>
  </si>
  <si>
    <t>No marker score</t>
  </si>
  <si>
    <t>Holy See</t>
  </si>
  <si>
    <t>Hong Kong</t>
  </si>
  <si>
    <t>Hungary</t>
  </si>
  <si>
    <t>2. Acommodating</t>
  </si>
  <si>
    <t>Iceland</t>
  </si>
  <si>
    <t>0.Unaware</t>
  </si>
  <si>
    <t>Iran</t>
  </si>
  <si>
    <t>Japan</t>
  </si>
  <si>
    <t>Kazakhstan</t>
  </si>
  <si>
    <t>Kiribati</t>
  </si>
  <si>
    <t>Korea, North</t>
  </si>
  <si>
    <t>Korea, South</t>
  </si>
  <si>
    <t>Kuwait</t>
  </si>
  <si>
    <t>Kyrgyzstan</t>
  </si>
  <si>
    <t>Latvia</t>
  </si>
  <si>
    <t>Lesotho</t>
  </si>
  <si>
    <t>Libya</t>
  </si>
  <si>
    <t>Liechtenstein</t>
  </si>
  <si>
    <t>Lithuania</t>
  </si>
  <si>
    <t>Luxembourg</t>
  </si>
  <si>
    <t>Macau</t>
  </si>
  <si>
    <t>Malaysia</t>
  </si>
  <si>
    <t>Maldives</t>
  </si>
  <si>
    <t>Malta</t>
  </si>
  <si>
    <t>Marshall Islands</t>
  </si>
  <si>
    <t>Mauritania</t>
  </si>
  <si>
    <t>Mauritius</t>
  </si>
  <si>
    <t>Micronesia</t>
  </si>
  <si>
    <t>Moldova</t>
  </si>
  <si>
    <t>Monaco</t>
  </si>
  <si>
    <t>Mongolia</t>
  </si>
  <si>
    <t>Namibia</t>
  </si>
  <si>
    <t>Nauru</t>
  </si>
  <si>
    <t>Netherlands Antilles</t>
  </si>
  <si>
    <t>New Zealand</t>
  </si>
  <si>
    <t>Nigeria</t>
  </si>
  <si>
    <t>Oman</t>
  </si>
  <si>
    <t>Palau</t>
  </si>
  <si>
    <t>Palestinian Territories</t>
  </si>
  <si>
    <t>Paraguay</t>
  </si>
  <si>
    <t>Poland</t>
  </si>
  <si>
    <t>Portugal</t>
  </si>
  <si>
    <t>Qatar</t>
  </si>
  <si>
    <t>Russia</t>
  </si>
  <si>
    <t>Saint Kitts and Nevis</t>
  </si>
  <si>
    <t>Saint Lucia</t>
  </si>
  <si>
    <t>Saint Vincent and the Grenadines</t>
  </si>
  <si>
    <t>Samoa</t>
  </si>
  <si>
    <t>San Marino</t>
  </si>
  <si>
    <t>Sao Tome and Principe</t>
  </si>
  <si>
    <t>Saudi Arabia</t>
  </si>
  <si>
    <t>Senegal</t>
  </si>
  <si>
    <t>Seychelles</t>
  </si>
  <si>
    <t>Singapore</t>
  </si>
  <si>
    <t>Sint Maarten</t>
  </si>
  <si>
    <t>Slovakia</t>
  </si>
  <si>
    <t>Slovenia</t>
  </si>
  <si>
    <t>Solomon Islands</t>
  </si>
  <si>
    <t>Spain</t>
  </si>
  <si>
    <t>Suriname</t>
  </si>
  <si>
    <t>Swaziland</t>
  </si>
  <si>
    <t>Sweden</t>
  </si>
  <si>
    <t>Taiwan</t>
  </si>
  <si>
    <t>Tajikistan</t>
  </si>
  <si>
    <t>Togo</t>
  </si>
  <si>
    <t>Tonga</t>
  </si>
  <si>
    <t>Trinidad and Tobago</t>
  </si>
  <si>
    <t>Tunisia</t>
  </si>
  <si>
    <t>Turkmenistan</t>
  </si>
  <si>
    <t>Tuvalu</t>
  </si>
  <si>
    <t>Ukraine</t>
  </si>
  <si>
    <t>United Arab Emirates</t>
  </si>
  <si>
    <t>Uruguay</t>
  </si>
  <si>
    <t>Uzbekistan</t>
  </si>
  <si>
    <t>Venezuela</t>
  </si>
  <si>
    <t>'000s</t>
  </si>
  <si>
    <t>Indirect ('000s)</t>
  </si>
  <si>
    <t>Row Labels</t>
  </si>
  <si>
    <t>Count of Code</t>
  </si>
  <si>
    <t>West Bank and Gaza (WBG)</t>
  </si>
  <si>
    <t>Average of % women of FY16 direct participants</t>
  </si>
  <si>
    <t>Average of % women of FY16 indirect participants</t>
  </si>
  <si>
    <t>Sum of Humanitarian X</t>
  </si>
  <si>
    <t>Sum of Humanitarian - Direct participants of the project in the fiscal year - total</t>
  </si>
  <si>
    <t>Sum of Humanitarian - Indirect participants of the project in the fiscal year - total</t>
  </si>
  <si>
    <t>Sum of HUM &amp; DEV SRMH Projects X</t>
  </si>
  <si>
    <t>Sum of HUM &amp; DEV SRMH MAX Direct participants in the FY</t>
  </si>
  <si>
    <t>Sum of HUM &amp; DEV SRMH MAX Indirect participants in the FY</t>
  </si>
  <si>
    <t>Sum of HUM &amp; DEV GBV Projects X</t>
  </si>
  <si>
    <t>Sum of HUM &amp; DEV GBV MAX Direct participants in the FY</t>
  </si>
  <si>
    <t>Sum of HUM &amp; DEV GBV MAX Indirect participants in the FY</t>
  </si>
  <si>
    <t>Sum of HUM FNS+HUM LR+AGR+CC+DRR+ED+FNS+NRM+WASH Projects X</t>
  </si>
  <si>
    <t>Sum of HUM FNS+HUM LR+AGR+CC+DRR+ED+FNS+NRM+WASH MAX Direct participants in the FY</t>
  </si>
  <si>
    <t>Sum of HUM FNS+HUM LR+AGR+CC+DRR+ED+FNS+NRM+WASH MAX Indirect participants in the FY</t>
  </si>
  <si>
    <t>Sum of WEE+ED Projects X</t>
  </si>
  <si>
    <t>Sum of WEE+women ED MAX Direct participants in the FY</t>
  </si>
  <si>
    <t>Sum of WEE+ED MAX INdirect participants in the FY</t>
  </si>
  <si>
    <t>Sum of Alligned with at least 1 sector of the outcome areas</t>
  </si>
  <si>
    <t>Sum of MAX Total direct participants for the life of project, IF alligned with at least one of the sectors of the outcomes</t>
  </si>
  <si>
    <t>Asia and Pacific</t>
  </si>
  <si>
    <t>Ratio</t>
  </si>
  <si>
    <t>FY17</t>
  </si>
  <si>
    <t>FY15-FY17 change</t>
  </si>
  <si>
    <t>Sum of Total Participants Women's Economic Empowerment Indirect</t>
  </si>
  <si>
    <t>Av marker score</t>
  </si>
  <si>
    <t>Projects responding</t>
  </si>
  <si>
    <t>2 or more</t>
  </si>
  <si>
    <t>Select your project from this drop-down list:</t>
  </si>
  <si>
    <t>Project</t>
  </si>
  <si>
    <t>Project CMP</t>
  </si>
  <si>
    <t>Direct</t>
  </si>
  <si>
    <t>Indirect</t>
  </si>
  <si>
    <t>Humanitarian participants in FY</t>
  </si>
  <si>
    <t>Development participants in FY</t>
  </si>
  <si>
    <t>Sector</t>
  </si>
  <si>
    <t>Camp management</t>
  </si>
  <si>
    <t>Cash/vouchers</t>
  </si>
  <si>
    <t>Education</t>
  </si>
  <si>
    <t xml:space="preserve">Food &amp; Nutrition </t>
  </si>
  <si>
    <t>GBV</t>
  </si>
  <si>
    <t>Gender equality (other)</t>
  </si>
  <si>
    <t>Health (other)</t>
  </si>
  <si>
    <t>Livelihood recovery</t>
  </si>
  <si>
    <t>Protection</t>
  </si>
  <si>
    <t>% women</t>
  </si>
  <si>
    <t>Agriculture</t>
  </si>
  <si>
    <t>Climate change</t>
  </si>
  <si>
    <t>Conflict &amp; peace</t>
  </si>
  <si>
    <t>DRR</t>
  </si>
  <si>
    <t>Ec Dev (not WEE)</t>
  </si>
  <si>
    <t>Infrastructure</t>
  </si>
  <si>
    <t>Natural resources</t>
  </si>
  <si>
    <t>Participation</t>
  </si>
  <si>
    <t>=</t>
  </si>
  <si>
    <t>FY18:</t>
  </si>
  <si>
    <t>FY17:</t>
  </si>
  <si>
    <t>Country - Project (for dropdown list)</t>
  </si>
  <si>
    <t>Indirect ratio</t>
  </si>
  <si>
    <t>Count of Gender Marker – Analysis</t>
  </si>
  <si>
    <t>Count of Gender Marker – Activities</t>
  </si>
  <si>
    <t>Count of Gender Marker – Participation</t>
  </si>
  <si>
    <t>Count of Gender Marker – M&amp;E Systems</t>
  </si>
  <si>
    <t>Gender blind</t>
  </si>
  <si>
    <t>Analysis</t>
  </si>
  <si>
    <t>Within existing roles</t>
  </si>
  <si>
    <t>Challenged existing roles</t>
  </si>
  <si>
    <t>% of projects answering "Yes"</t>
  </si>
  <si>
    <t>Activities</t>
  </si>
  <si>
    <t>M&amp;E</t>
  </si>
  <si>
    <t>Count of Governance Marker – Analysis</t>
  </si>
  <si>
    <t>Governance blind</t>
  </si>
  <si>
    <t>Within existing structures</t>
  </si>
  <si>
    <t>Challenged existing structures</t>
  </si>
  <si>
    <t>Count of Governance Marker – Activities</t>
  </si>
  <si>
    <t>Count of Governance Marker – Integration</t>
  </si>
  <si>
    <t>Count of Governance Marker – CARE’s own accountability</t>
  </si>
  <si>
    <t>Count of Resilience marker - Analysis</t>
  </si>
  <si>
    <t>Did not address resilience</t>
  </si>
  <si>
    <t>Addressed resilience</t>
  </si>
  <si>
    <t>Addressed resilience AND underlying drivers</t>
  </si>
  <si>
    <t>Count of Resilience marker - Activities</t>
  </si>
  <si>
    <t>Count of Resilience marker - Risk Landscape</t>
  </si>
  <si>
    <t>Integration</t>
  </si>
  <si>
    <t>CARE's own accountability</t>
  </si>
  <si>
    <t>Risk landscape</t>
  </si>
  <si>
    <t xml:space="preserve">Evaluations: </t>
  </si>
  <si>
    <t># of projects</t>
  </si>
  <si>
    <t>Direct ('000s)</t>
  </si>
  <si>
    <t>Ministry of Foreign Affairs of the Netherlands</t>
  </si>
  <si>
    <t xml:space="preserve">Global Affairs Canada (GAC) </t>
  </si>
  <si>
    <t>DFAT-Australia</t>
  </si>
  <si>
    <t>Afghanistan Minisrty of Rural Rehabilitation and Development(MRRD)</t>
  </si>
  <si>
    <t>Start Fund/Save the Children</t>
  </si>
  <si>
    <t>EuropeAid / DEVCO</t>
  </si>
  <si>
    <t>KOICA</t>
  </si>
  <si>
    <t>Start Network</t>
  </si>
  <si>
    <t>GL- Jute valu chain sub project</t>
  </si>
  <si>
    <t>Galleries Lafayette</t>
  </si>
  <si>
    <t>UN WOMEN</t>
  </si>
  <si>
    <t>Australian NGO Cooperation Program (ANCP)</t>
  </si>
  <si>
    <t>Embassy of the Netherlands</t>
  </si>
  <si>
    <t>CARE Enterprise Inc.  &amp; Danone Communities</t>
  </si>
  <si>
    <t xml:space="preserve">EU </t>
  </si>
  <si>
    <t>EU</t>
  </si>
  <si>
    <t>FHI360</t>
  </si>
  <si>
    <t>Walmart Foundation</t>
  </si>
  <si>
    <t>PFIZER Foundation</t>
  </si>
  <si>
    <t>DFATD-Canada</t>
  </si>
  <si>
    <t>FAO</t>
  </si>
  <si>
    <t>Gender Equality Women's  Empowerment Programme II (GEWEPII) UMWIZERO III</t>
  </si>
  <si>
    <t>Les participants directs sont des femmes, des jeunes filles, des hommes, jeunes garcons  qui vont être organise en VSLAs.                                                                                                                                              Les participants indirects sont les membres des familles des bénéficiaires directs. La moyenne de la constitution d'une famille au Burundi est de 5.1 et en moyenne la population burundaise est constituee en moyenne de 52% de femmes et 48% d'hommes.
Indirect participants are reported as zero because they are already covered by NARATEYINTAMBE</t>
  </si>
  <si>
    <t xml:space="preserve">L'initiation GEWEP II a initie des VSLAs et les initiatives Every Voice Counts travaille avec certains de ces VSLAs dans le domaine de bonne gouvernence et plaidoyer, L'initiative WIN WIN travaille aussi avec certains de ces VSLAs dans les domaines de l'agricultures, nutrition et genre transformatiel. L'initiative Power Africa travaille sur l'inclusion financiere et l'entreprenariat avec certains VSLAS de GEWEPII.
Indirect Participants for GEWEP are reported zero as project NARATEYINTAMBWE already covers ALL indirect participants for this project. Specific figures of indirect participants for this FY, for this project alone, would have included:
INDIRECT women&amp;girsl 766,084 Men&amp;boys 759,979  Total  1,526,063
WEE  Direct 299,228  %Women 79.00%  Indirect   1,526,062
</t>
  </si>
  <si>
    <t xml:space="preserve">Le projet Win Win travaille avec 9911 femmes membres des VSLAs et leurs maris (5497)encadrés par le projet GEWEP. Ils seront comptés dans le projet GEWEP pour éviter le double comptage.
Indirect Participants for WEE are reported zero as project NARATEYINTAMBWE and GEWEP already cover participants for this project. Figures for WEE under this project alone would  have included:
WEE  Direct 9,911 %women 100.00% Indirect 50,546
</t>
  </si>
  <si>
    <t xml:space="preserve">Indirect Participants for WEE are reported zero as project NARATEYINTAMBWE and GEWEP already cover participants for this project. Figures for WEE under this project alone would  have included:
WEE  Direct 9,911 %women 100.00% Indirect 50,546
</t>
  </si>
  <si>
    <t>PORKAR Foundation</t>
  </si>
  <si>
    <t>Les participants directs étaient estimés dans le document de projet donc les 600000 femmes touchées par la campagne et 3.000.000 participants indirects. Toutefois, pour calculer les participants indirects atteints pendant la mise en œuvre du projet, nous avons considéré la population adulte totale vivant dans la zone d'intervention. Selon les données des études existantes, 80% des ménages ont un poste radio. Nous avons alors appliqué le taux de 80% à la population totale et nous avons appliqué les proportions hommes femmes (52% femmes et 48% hommes)
Direct Participants for this NARATEYINTAMBWE are reported zero as project GEWEP already covers ALL direct participants for this project. Specific figures of direct participants for this FY, for this project alone, would have included:
Total women&amp;girsl 115,288   Men&amp;boys  85,052   Total 200,340
WEE total direct 200,340</t>
  </si>
  <si>
    <t xml:space="preserve">Direct Participants for this NARATEYINTAMBWE are reported zero as project GEWEP already covers ALL direct participants for this project. Specific figures of direct participants for this FY, for this project alone, would have included:
Total women&amp;girsl 115,288   Men&amp;boys  85,052   Total 200,340
WEE total direct 200,340
</t>
  </si>
  <si>
    <t>MasterCard Foundation</t>
  </si>
  <si>
    <t xml:space="preserve">Pour les participants directs, les membres sont déjà identifiés dans le document de projet, ce sont les participants dans les VSLA. Les proportions par sexe sont aussi connues. Pour les participants indirects, nous avons multipliés les membres par la taille du ménage donc la moyenne (5.1).
Participants for this project are reported zero as project GEWEP already covers ALL direct participants for this project and NARATEYINTAMBWE covers ALL indirect participants for this project. Specific figures of participants for this FY, for this project alone, would have included:
DIRECT women&amp;girsl 10,007  Men&amp;boys 0   Total  10,007   
INDIRECT women&amp;girsl 26,539  Men&amp;boys  24,497   Total 51,036
WEE  Direct 10,007  % women 100.00% Indirect  51,036
</t>
  </si>
  <si>
    <t xml:space="preserve">Participants for this project are reported zero as project GEWEP already covers ALL direct participants for this project and NARATEYINTAMBWE covers ALL indirect participants for this project. Specific figures of participants for this FY, for this project alone, would have included:
DIRECT women&amp;girsl 10,007  Men&amp;boys 0   Total  10,007   
INDIRECT women&amp;girsl 26,539  Men&amp;boys  24,497   Total 51,036
WEE  Direct 10,007  % women 100.00% Indirect  51,036
</t>
  </si>
  <si>
    <t>Plan International</t>
  </si>
  <si>
    <t>CARE Inernational</t>
  </si>
  <si>
    <t>Fondation Ensemble</t>
  </si>
  <si>
    <t>Embassy of France</t>
  </si>
  <si>
    <t>National Participatory Development Program (PNDP)</t>
  </si>
  <si>
    <t>Societe Generale Foundation</t>
  </si>
  <si>
    <t>GIZ</t>
  </si>
  <si>
    <t>PRM-Bureau of Populations, Refugees and Migrations</t>
  </si>
  <si>
    <t>Ministry of Foreign Affairs of Germany</t>
  </si>
  <si>
    <t>BMZ</t>
  </si>
  <si>
    <t>Centre de crise français</t>
  </si>
  <si>
    <t>Anonymous</t>
  </si>
  <si>
    <t>UNPBF</t>
  </si>
  <si>
    <t>Mars Chocolate Foundation</t>
  </si>
  <si>
    <t>CARE Canada - Humanitarian Coalition</t>
  </si>
  <si>
    <t>CI - ERF</t>
  </si>
  <si>
    <t>Canada Fund for Local Initiatives (CFLI)</t>
  </si>
  <si>
    <t>Czech Development Agency (CZDA)</t>
  </si>
  <si>
    <t>Alticor, Inc.</t>
  </si>
  <si>
    <t>Ensemble Foundation</t>
  </si>
  <si>
    <t>IOM-International Organisation for Migration</t>
  </si>
  <si>
    <t>Ministry of Foreign Affairs of Luxemburg</t>
  </si>
  <si>
    <t>Kaluz Foundation</t>
  </si>
  <si>
    <t>Coca-Cola Foundation</t>
  </si>
  <si>
    <t>Stavros Niarchos Foundation</t>
  </si>
  <si>
    <t>Women's initiatives in Chicago and New York</t>
  </si>
  <si>
    <t>EC-European Commission</t>
  </si>
  <si>
    <t>Ford Foundation</t>
  </si>
  <si>
    <t xml:space="preserve">UK Embassy - Foreign and Commenwealth Office </t>
  </si>
  <si>
    <t>UN OCHA</t>
  </si>
  <si>
    <t xml:space="preserve">The project direct partcipants are the PSNP women &amp; men households heades calculated on base of head counts whereas each familiy members are indirect partcipants of the project.  The calculation for the indirrect partcipants is based on assuming the average family size is  4 person per each househshold
Project FSF has total overlap with project POWER Africa. In order to avoid double counting, FSF reports zero participants in the FY. Nonetheless, figures for this specific project in the FY would otherways include:
DIRECT:  43,996 women and girls        23,895 men and boys   =    67,891 total
INDIRECT: 175,984 women and girls          95,580 men and boys     =   271,564 total
</t>
  </si>
  <si>
    <t xml:space="preserve">Project FSF has total overlap with project POWER Africa. In order to avoid double counting, FSF reports zero participants. Nonetheless, figures for this specific project in the FY would include:
DIRECT:  43,996 women and girls        23,895 men and boys   =    67,891 total
INDIRECT: 175,984 women and girls          95,580 men and boys     =   271,564 total
</t>
  </si>
  <si>
    <t>Procter &amp; Gamble</t>
  </si>
  <si>
    <t>Johnson &amp; Johnson Foundation</t>
  </si>
  <si>
    <t>French Development Agency</t>
  </si>
  <si>
    <t xml:space="preserve">EuropeAid </t>
  </si>
  <si>
    <t>Aktion Deutschland Hilft (ADH) + Foundation (RTL Stiftung)</t>
  </si>
  <si>
    <t>Aktion Deutschland Hilft (ADH)</t>
  </si>
  <si>
    <t>UKAid</t>
  </si>
  <si>
    <t>Ministry of Foreign Affairs of Japan</t>
  </si>
  <si>
    <t>UNCDF</t>
  </si>
  <si>
    <t>National Natural Resources Conservation Foundation</t>
  </si>
  <si>
    <t>OFDA/USAID</t>
  </si>
  <si>
    <t>Walmart</t>
  </si>
  <si>
    <t>Assistant Country Directo</t>
  </si>
  <si>
    <t xml:space="preserve">Dans le cadre de ces programmes, les personnes visées sont celles victimes par l’ouragan Matthew dans les communes de Chambellan, Dame-Marie, Jérémie, Moron, Roseaux. L’ensemble de ces personnes est au nombre de 98000. Considérant que chacune d’elle est issue d’une famille, et avec la moyenne de 4.7 personnes par famille, le nombre de bénéficiaires indirectement touché par le programme s’élève à 460600. </t>
  </si>
  <si>
    <t xml:space="preserve">June </t>
  </si>
  <si>
    <t>Chief of Parti</t>
  </si>
  <si>
    <t>juvenal.afurika@care.org</t>
  </si>
  <si>
    <t xml:space="preserve">L’ensemble des ménages vulnérables dans les zones cibles constituent les bénéficiaires directs du programme. Les bénéficiaires indirects regroupent les employés du MAST au niveau départemental et national, les vendeurs du programme et d’autres personnes qui vivent dans les zones cibles. </t>
  </si>
  <si>
    <t xml:space="preserve">Le programme est exécuté dans les groupes VSLA créé par CARE. Un total de 330 Groupes est fixé. Etant donné que les groupes sont de 30 personnes, le nombre de bénéficiaire direct est donc de 9900. Aussi, du fait que chaque personne dans les groupes viennent d’une famille, avec 4.7 personnes en moyenne par famille, le nombre de bénéficiaire indirect est donc de 46530 personnes. </t>
  </si>
  <si>
    <t>Communication et gestion de stress</t>
  </si>
  <si>
    <t xml:space="preserve">Une approche fondamentalement quantitative sera utilisée pour mener cette évaluation. En effet, des enquêtes seront menées dans les groupes VSLA ciblés par le programme en vue de mesurer son efficacité, sa pertinence et son effet. </t>
  </si>
  <si>
    <t>Educate A Child Foundation</t>
  </si>
  <si>
    <t>Les bénéficiaires directs sont les enfants dans les écoles cibles. En ce qui a trait aux bénéficiaires indirects, ils regroupent les professeurs, directeurs des écoles. Aussi, ils comportent les membres des Conseils d’écoles et les parents des élèves dans les écoles partenaires.</t>
  </si>
  <si>
    <t>Minitry of Natural Ressources and Mines of Honduras</t>
  </si>
  <si>
    <t>Directos
172 miembros del CONASASH = 75 mujeres y 97 hombres
Pueblos Indígenas y Afrohondureños Indirectos: 741,116  = 55736 Hombres y 385,380 mujeres   
Cooperativas Agroforestales  Indirectos contabilizados: 7190 hombres y 2388 mujeres          
Miembros de comunidades y actores en bosque latifoliado (REMBLAH) 300 indirectos : 99 mujeres y 201 hombres                                                                                                         
MAPSP  Indirectos 20729: 10548 hombres y 10181 mujeres
MOCAPH Indirectos 3430,613 = 1646694 hombres y 1783919 mujeres   
COLPROFORH indirectos 1400 = 672 hombres  mujeres  y 728 mujeres     
ANASILH indirectos 79 = 37 hombres y 42 mujeres  
CIFH indirectos: 650 = 312 hombres y 338 mujeres
Sobre los indirectos: los actores que aparecen en el PIIRS como indirectos son aquellos vinculados a las organizaciones representadas en el comité nacional de Salvaguardas; de acuerdo al PIIRS los participantes aparecen como si reciben beneficios de los sectores: siguientes
• Cambio climático y resiliencia
• Violencia de género
• Igualdad de género
• Gestión de recursos naturales
• Participación y buena gobernabilidad
• Empoderamiento económico de la mujer
 ¿Por qué aparecen? Esto se relaciona a que las salvaguardas buscan el respeto de tratados internacionales, leyes nacionales e implementación de políticas nuevas para estas poblaciones y en este tema. 
Los participantes directos e indirectos si pueden beneficiarse por más de uno de los sectores, por pertenecer a los grupos para los cuales se implementarán estas políticas a nivel nacional, por ejemplo, una mujer presidenta de junta de agua que vive de una comunidad indígena en un área protegida trabajando agricultura se podría beneficiar de hasta 4 políticas o sectores: igualdad de género, empoderamiento económico de la mujer, gobernabilidad y participación, gestión de RRNN y cambio climático y resiliencia; agregando el tema de la pertenencia a pueblos indígenas. 
Para ampliar un poco a continuación describo el alcance y tema de abordaje de cada una de las Salvaguardas.
Cálculo de población de impacto debido a la temática que abordan las 7 Salvaguardas tiene cobertura a nivel nacional:
Salvaguarda Cobertura Tema/palabras clave
Salvaguarda A Nacional Armonización políticas forestales y REDD+
Salvaguarda B Nacional Transparencia, gobernanza, respeto a tratados, acceso a información pública
Salvaguarda C Localizada Pueblos indígenas, conocimientos de los pueblos, comunidades locales
Salvaguarda  D Nacional  Participación plena y efectiva
Salvaguarda E Nacional Diversidad biológica
Salvaguarda F Nacional Riesgos de reversión, políticas, monitoreo forestal, frontera agrícola, deforestación evitada.
Salvaguarda G Nacional Desplazamiento de emisiones evitadas, políticas, manejo sostenible.</t>
  </si>
  <si>
    <t>Ministry of Health of Honduras</t>
  </si>
  <si>
    <t>Ministry of Human Rights Justice Governance and Decentralization of Honduras</t>
  </si>
  <si>
    <t>World Vision</t>
  </si>
  <si>
    <t>PI Industries</t>
  </si>
  <si>
    <t>Direct Reach: Total number of under five children form the study area. 
Indirect reach: Total rural population of that study area after subtracting direct reach.
This project has important overlap with other projects in Bihar. The figures reported only include the participants that ARE NOT overlapped with other projects. Nonetheless, TOTAL FIGURES for this project in the FY (including overlap), would include the following:
DIRECT: 103,655 women&amp;girls 112,060 men&amp;boys = 215,715 total
INDIRECT: 3,801,604 women&amp;girls 4,109,843men&amp;boys =  7,911,447 total</t>
  </si>
  <si>
    <t>This project has important overlap with other projects in Bihar. The figures reported only include the participants that ARE NOT overlapped with other projects. Nonetheless, TOTAL FIGURES for this project in the FY (including overlap), would include the following:
DIRECT: 103,655 women&amp;girls 112,060 men&amp;boys = 215,715 total
INDIRECT: 3,801,604 women&amp;girls 4,109,843men&amp;boys =  7,911,447 total
This is a pilot grant to be built on the platform of larger Technical Assistance project. Through this project efforts, CARE and its partenrs have been able to question the established notions of under 5 mortality from childhood infections, at least in the state of Bihar. Through the data generated as part of this project, CARE has been able to demonstrate that contribution of severe diarrhoea and pneumonia to child deaths is much lower than what was known and hence traditional interventions of ORS-Zn and ARI management by FLWs may not be the required interventions to impact child mortality. This is a significant contribution to help governments and donor agencies in evidence based prioritization of interventions</t>
  </si>
  <si>
    <t xml:space="preserve">Total married women of IFHI districts and children in the age of 0-2 age - Direct reach;  Total rural population of Bihar after subtracting direct reach of study area - Indirect reach. The project reached 25,213 people in the FY but this population is already covered by other projects in Bihar. To avoid double counting, no participants are reported under the sectors. </t>
  </si>
  <si>
    <t>The project reached 25,213 people in the FY but this population is already covered by other projects in Bihar. To avoid double counting, no participants are reported under the sectors. 
This project was initiated to generate learning on what is required to implement the existing newborn care  intervention package for improving detection of newborn sepsis at community level and its treatment at public health facilities in rural Bihar. The project involved strengthening services in public facilities, training flws in PSBI case detection and management and follow up and also develop and implement relevant IEC/BCC materials.
The results revealed that with efficient disease management systems the overall  treatment seeking at public facilities has improved and also the program in built referral system has improved the interaction with FLWs leading to quicker referrals of cases and thereby lesser delay in treatment seeking behavior.</t>
  </si>
  <si>
    <t>Hindustan Zinc Limited</t>
  </si>
  <si>
    <t>Direct Reach:  Total number of currently married women in age group of 15-49 and under five children of 20 selected blocks spread across 14 distircts of biharof Bihar.
Indirect reach: Total rural population of 20 blocks of Bihar after subtracting direct reach.
This project has important overlap with other projects in Bihar. In order to avoid double counting, the figures reported only include the participants that ARE NOT overlapped with other projects. Nonetheless, TOTAL FIGURES for this project in the FY (including overlap), would include the following:
DIRECT: 1,028,455 women&amp;girls 317,915 men&amp;boys = 1,346,370 total</t>
  </si>
  <si>
    <t>This project has important overlap with other projects in Bihar. In order to avoid double counting, the figures reported only include the participants that ARE NOT overlapped with other projects. Nonetheless, TOTAL FIGURES for this project in the FY (including overlap), would include the following:
DIRECT: 1,028,455 women&amp;girls 317,915 men&amp;boys = 1,346,370 total
INDIRECT: 19,715,376 women&amp;girls 21,313,920  men&amp;boys 41,029,296 total
The project initially piloted in a smaller geography is now set to be scaled up across the state. During the reporting period, this project has been in a duration-extension phase, awaiting completion of operational approach testing by the state government, which is completed now and scale up guidelines are issued.</t>
  </si>
  <si>
    <t>Direct participants include chilldren of all the primary schools (grade 1-5) in clusters supported directly by the intervention
Indirect participants include children of all other Clusters of the intervention districts in which CARE is supporting through system. Teachers in intervention schools are also included as indirect participants.
This project has important overlap on participants with other education-related projects in India. The figures reported include only those participants that are NOT double counted. Nonetheless, total figures (with overlap) for the FY include:
DIRECT: 34,107 women&amp;girls 34,832 men&amp;boys =  68,939 total
INDIRECT: 214,675 women&amp;girls 231,138 men&amp;boys =  445,813 total</t>
  </si>
  <si>
    <t xml:space="preserve">The Programme's  Direct and Indirect reach figures are overlapping with following interventions 1) School Improvement Programme (CS160); 2) Start Early: Read in Time (CS111); and 3) Teachers Resource Lab (CS217). This project has important overlap on participants with other education-related projects in India. The figures reported include only those participants that are NOT double counted. Nonetheless, total figures (with overlap) for the FY include:
DIRECT: 34,107 women&amp;girls 34,832 men&amp;boys =  68,939 total
INDIRECT: 214,675 women&amp;girls 231,138 men&amp;boys =  445,813 total
</t>
  </si>
  <si>
    <t>Cairn India</t>
  </si>
  <si>
    <t>Mars Food</t>
  </si>
  <si>
    <t xml:space="preserve">Direct-Total Kala Azar (VL) patients in endemic blocks of 34 Districts of Bihar in july 2016 to june2017. Indirect - Population of VL endemic districts
This project has important overlap on INDIRECT participants with other projects in Bihar. We report as zero to avoid duplication however the total indirect participants in this project in the FY (including overlap), would include the following:
INDIRECT: 15,912,472 women&amp;girls 17,280,674  men&amp;boys =  33,193,146 total
</t>
  </si>
  <si>
    <t>This project has important overlap on INDIRECT participants with other projects in Bihar. We report as zero to avoid duplication however the total indirect participants in this project in the FY (including overlap), would include the following:
INDIRECT: 15,912,472 women&amp;girls 17,280,674  men&amp;boys =  33,193,146 total
This unique kind of project in CARE India's portfolio seeks to achieve elimination of a deadly but neglected tropical infectious disease which has remained in very few geographies world wide. Being part of this effort itself is an opportunity for CARE to become part of history of elimination of infectious diseases. While nearing the elimination target of incidence, scientific community is experiencing that many of the epidemeological aspects of the disease are not completely known and the vector as well as parasite have modified behaviors. With a large operational team engaged in intensive implementation and having scientific rigor, CARE has been able to identify several of the unanswered questions and is trying to provide operational solutions to overcome the barriers to elimination. While other partners involved in the elimination work are seeking operational rigor in government program implementation, no one except CARE is working at local levels, providing TA and monitoring implementation even up to community levels.</t>
  </si>
  <si>
    <t xml:space="preserve">Direct: Chilldren of all the primary schools (grade 1-5 in 480 schools) and KGBVs (24) in directly supporting Clusters in intervention districts have been included in direct participants.  Teachers in intervention schools (PS and KGBV) are also included as direct participants. 
Indirect: Children of all other Clusters of the intervention districts in which CARE is supporting through system have been included in indirect participants.
This project has important overlap on participants with other education-related projects in India. The figures reported include only those participants that are NOT double counted. Nonetheless, total figures (with overlap) for the FY include:
DIRECT: 35,501 women&amp;girls 34,721 men&amp;boys =  70,222 total
INDIRECT: 214,675 women&amp;girls 231,138 men&amp;boys =  445,813 total
</t>
  </si>
  <si>
    <t xml:space="preserve">The Programme's  Direct and Indirect reach figures are overlapping with following interventions 1) Start Early: Read in Time  (CS111); 2) Read and Lead (CS191); and 3) Teachers Resource Lab (CS 217). This project has important overlap on participants with other education-related projects in India. The figures reported include only those participants that are NOT double counted. Nonetheless, total figures (with overlap) for the FY include:
DIRECT: 35,501 women&amp;girls 34,721 men&amp;boys =  70,222 total
INDIRECT: 214,675 women&amp;girls 231,138 men&amp;boys =  445,813 total
</t>
  </si>
  <si>
    <t>Direct: Direct participants include children of 24 Primary schools (grade 1-5), 13 Upper Primary Schools (grade 6-8) and 13 KGBVs ((grade 6-8) of two clusters of Bahraich district which have been directly supported by the intervention are included in direct participants. 100 teachers from above schools are also included in direct participants
Indirect: Indirect participants include children of all other Clusters of the two intervention blocks of Bahraich districts in which CARE is supporting through system have been included in indirect participants. Children of KGBV across the state is also considreded aas indirect reach.
This project has important overlap on participants with other education-related projects in India. The figures reported include only those participants that are NOT double counted. Nonetheless, total figures (with overlap) for the FY include:
DIRECT: 4,026 women&amp;girls 2,544 men&amp;boys =  6,570 total
INDIRECT: same as reported</t>
  </si>
  <si>
    <t xml:space="preserve">The Project's  Direct and Indirect reach figures are overlapping) for the following interventions 1) Read and Lead (CS191) , 2) PCTFI COHORT-2 (CS 160) and 3) Start Early:Read in Time (CS111). This project has important overlap on participants with other education-related projects in India. The figures reported include only those participants that are NOT double counted. Nonetheless, total figures (with overlap) for the FY include:
DIRECT: 4,026 women&amp;girls 2,544 men&amp;boys =  6,570 total
INDIRECT: same as reported
</t>
  </si>
  <si>
    <t xml:space="preserve">Direct Reach:  Total number of currently married women in age group of 15-49 and children under 0-2 years.
Indirect Reach: Total rural population of Bihar after deducting direct reach. In the indirect reach of TSU mentioned as 82 million includes proportion of population above 49 year of age group as well. This was because the project reaches out to CARE givers (who are not always the mother of the children; it include grandparents/elderly who do not go out for work) with awareness and messages on child nutrition, immunisation, dietary diversity and feeding practices, birth preparedness plan, family planning, danger sign identification during pregnancy etc; SMS messages on health and nutrition/immunisation are sent to households in general. The elderly is reached as they are important decision-makers and influencers in young couples lives especially in the context of social norm and customs followed in family relationship in a household in India. Hence, from the point of view reach to those segment of the population imparted with awareness and general knowledge building on the above aspect on health and nutrition, all members of household included. This was the logic and that’s why it was included. 
If you think, this is not a right representation, we can exclude the proportion of population above the 49 years. Please let me know what you think. We can estimate and send it you immediately.
</t>
  </si>
  <si>
    <t>SYMENTAC Foundation</t>
  </si>
  <si>
    <t xml:space="preserve">Ministry of Foreign Affairs of the Netherlands </t>
  </si>
  <si>
    <t>Iraq Humanitarian Fund</t>
  </si>
  <si>
    <t>Ministry  of Foreign Affairs of Germany</t>
  </si>
  <si>
    <t>DIBP</t>
  </si>
  <si>
    <t>DFID-Department for International Development, Austrian Development Agency and Civil Society in Development (Denmark)</t>
  </si>
  <si>
    <t>Direct population are all the participants residing in Ifo,Ifo 2 and Dagahaley Camp. Project KE986 covers all the beneficiaries we serve in the three camps that we work in  Dadaab refugee camp( Ifo ,Ifo 2 and Dagahaley). Serves as "umbrella" project for the following:
1. KE 967 WFP (Rap)
2. KE 973 UNHCR (Rap)
3. KE 975 WFP (Rap)
4. KE 978 What Works(Rap)
5. KE 979 ECHO(Rap)
6. KE 982 RTL (Rap)
7. KE 986 UNHCR (Rap)
8. KE 987 WFP (Rap)
9. KE 988 ECHO (Rap)</t>
  </si>
  <si>
    <t>Project KE986 covers all the beneficiaries we serve in the three camps that we work in  Dadaab refugee camp( Ifo ,Ifo 2 and Dagahaley). Serves as "umbrella" project for the following:
1. KE 967 WFP (Rap)
2. KE 973 UNHCR (Rap)
3. KE 975 WFP (Rap)
4. KE 978 What Works(Rap)
5. KE 979 ECHO(Rap)
6. KE 982 RTL (Rap)
7. KE 986 UNHCR (Rap)
8. KE 987 WFP (Rap)
9. KE 988 ECHO (Rap)</t>
  </si>
  <si>
    <t>KE964</t>
  </si>
  <si>
    <t>Financial Sector Deepening Trust</t>
  </si>
  <si>
    <t>Direct participants -All the refugees residing in Ifo,Ifo 2 and Dagahaley who benefit from the general food distribution. Project KE986 covers all the beneficiaries we serve in the three camps that we work in  Dadaab refugee camp( Ifo ,Ifo 2 and Dagahaley). This project reports zero total participants as it fully overlaps with KE986. In any case, specific data for this project alone in this FY would other ways include:
Direct: 80,235  women&amp;girls 70,076 men&amp;boys =   158,311  Total</t>
  </si>
  <si>
    <t>Project KE986 covers all the beneficiaries we serve in the three camps that we work in  Dadaab refugee camp( Ifo ,Ifo 2 and Dagahaley). This project reports zero total participants as it fully overlaps with KE986. In any case, specific data for this project alone in this FY would other ways include:
Direct: 80,235  women&amp;girls 70,076 men&amp;boys =   158,311  Total</t>
  </si>
  <si>
    <t>Direct participants -All the refugees residing in Ifo,Ifo 2 and Dagahaley who benefit from the general food distribution. Project KE986 covers all the beneficiaries we serve in the three camps that we work in  Dadaab refugee camp( Ifo ,Ifo 2 and Dagahaley). This project reports zero total participants as it fully overlaps with KE986. In any case, specific data for this project alone in this FY would other ways include:
Direct: 82,885  women&amp;girls  80,851 men&amp;boys =   163,736  Total</t>
  </si>
  <si>
    <t>Project KE986 covers all the beneficiaries we serve in the three camps that we work in  Dadaab refugee camp( Ifo ,Ifo 2 and Dagahaley). This project reports zero total participants as it fully overlaps with KE986. In any case, specific data for this project alone in this FY would other ways include:
Direct: 82,885  women&amp;girls  80,851 men&amp;boys =   163,736  Total</t>
  </si>
  <si>
    <t>Venus Williams And Aqualia Foundation</t>
  </si>
  <si>
    <t>KE961</t>
  </si>
  <si>
    <t>Paul Hartmanns Foundation</t>
  </si>
  <si>
    <t>KE963</t>
  </si>
  <si>
    <t>COOP &amp; CARE Danmark</t>
  </si>
  <si>
    <t>EU, Austrian Devlopment Coorporation, CARE Austria</t>
  </si>
  <si>
    <t>KE985</t>
  </si>
  <si>
    <t>Direct participants - All the refugees  living in Ifo,Ifo 2 and Dagahaely camps. Project KE986 covers all the beneficiaries we serve in the three camps that we work in  Dadaab refugee camp( Ifo ,Ifo 2 and Dagahaley). This project reports zero total participants as it fully overlaps with KE986. In any case, specific data for this project alone in this FY would other ways include:
Direct: 89,460  women&amp;girls  87,318 men&amp;boys =   176,778  TotalDirect participants - All the refugees  living in Ifo,Ifo 2 and Dagahaely camps</t>
  </si>
  <si>
    <t>Project KE986 covers all the beneficiaries we serve in the three camps that we work in  Dadaab refugee camp( Ifo ,Ifo 2 and Dagahaley). This project reports zero total participants as it fully overlaps with KE986. In any case, specific data for this project alone in this FY would other ways include:
Direct: 89,460  women&amp;girls  87,318 men&amp;boys =   176,778  TotalDirect participants - All the refugees  living in Ifo,Ifo 2 and Dagahaely camps</t>
  </si>
  <si>
    <t>KE982</t>
  </si>
  <si>
    <t>Direct participants-  All the particcipants that benefited from the project i.e. CARE run schools in Dagahaley Camp.   Indirect Participants - The remaining  population of Dagahaley  camp as at the end of the  project
Project KE986 covers all the beneficiaries we serve in the three camps that we work in  Dadaab refugee camp( Ifo ,Ifo 2 and Dagahaley). This project reports zero total participants as it fully overlaps with KE986. In any case, specific data for this project alone in this FY would other ways include:
Direct: 6,687  women&amp;girls 7,877 men&amp;boys =   14,564  Total
Indirect: 29,007  women&amp;girls 26,161 men&amp;boys =   55,168  Total</t>
  </si>
  <si>
    <t>Project KE986 covers all the beneficiaries we serve in the three camps that we work in  Dadaab refugee camp( Ifo ,Ifo 2 and Dagahaley). This project reports zero total participants as it fully overlaps with KE986. In any case, specific data for this project alone in this FY would other ways include:
Direct: 6,687  women&amp;girls 7,877 men&amp;boys =   14,564  Total
Indirect: 29,007  women&amp;girls 26,161 men&amp;boys =   55,168  Total</t>
  </si>
  <si>
    <t>KE968</t>
  </si>
  <si>
    <t>Direct population- All refugees residing in Ifo and Dagahaley camps as per UNHCR statistics. Project KE986 covers all the beneficiaries we serve in the three camps that we work in  Dadaab refugee camp( Ifo ,Ifo 2 and Dagahaley). This project reports zero total participants as it fully overlaps with KE986. In any case, specific data for this project alone in this FY would other ways include:
Direct: 68,893  women&amp;girls 66,300 men&amp;boys =   135,193  Total</t>
  </si>
  <si>
    <t xml:space="preserve"> Project KE986 covers all the beneficiaries we serve in the three camps that we work in  Dadaab refugee camp( Ifo ,Ifo 2 and Dagahaley). This project reports zero total participants as it fully overlaps with KE986. In any case, specific data for this project alone in this FY would other ways include:
Direct: 68,893  women&amp;girls 66,300 men&amp;boys =   135,193  Total</t>
  </si>
  <si>
    <t>KE988</t>
  </si>
  <si>
    <t>Direct population- All refugees residing in Ifo and Dagahaley camps as per UNHCR statistics. Project KE986 covers all the beneficiaries we serve in the three camps that we work in  Dadaab refugee camp( Ifo ,Ifo 2 and Dagahaley). This project reports zero total participants as it fully overlaps with KE986. In any case, specific data for this project alone in this FY would other ways include:
Direct: 68,158  women&amp;girls 65,576 men&amp;boys =   133,734  Total</t>
  </si>
  <si>
    <t xml:space="preserve"> Project KE986 covers all the beneficiaries we serve in the three camps that we work in  Dadaab refugee camp( Ifo ,Ifo 2 and Dagahaley). This project reports zero total participants as it fully overlaps with KE986. In any case, specific data for this project alone in this FY would other ways include:
Direct: 68,158  women&amp;girls 65,576 men&amp;boys =   133,734  Total</t>
  </si>
  <si>
    <t xml:space="preserve">World Food Programme (WFP) </t>
  </si>
  <si>
    <t xml:space="preserve">Refugees and the host community contracted as traders in the programme,refugees who are beneficiaries of the voucher disbused to their phones.
Project KE986 covers all the beneficiaries we serve in the three camps that we work in  Dadaab refugee camp( Ifo ,Ifo 2 and Dagahaley). This project reports zero total participants as it fully overlaps with KE986. In any case, specific data for this project alone in this FY would other ways include:
Direct: 80,723  women&amp;girls  78,553 men&amp;boys =   159,276  Total
</t>
  </si>
  <si>
    <t>The data provided is covers the provision of food assistance to refugees in Ifo,Ifo2 and dagahaley through a hybrid system of in kind general food distribution(GFD) and cash voucher.Refugees are identified using a biometric system and then allowed to receive their entitlement at the food distribution point.After collecting in kind food they are then entiltled to receive electronic voucher which is redeemable by food purchase at any shop contracted in the voucher program.The voucher value substitued 50% of cereal in the food basket.
Project KE986 covers all the beneficiaries we serve in the three camps that we work in  Dadaab refugee camp( Ifo ,Ifo 2 and Dagahaley). This project reports zero participants as it fully overlaps with KE986. In any case, specific data for this project alone in this FY would other ways include:
Direct: 80,723  women&amp;girls  78,553 men&amp;boys =   159,276  Total</t>
  </si>
  <si>
    <t>KE969</t>
  </si>
  <si>
    <t>Direct participants-The GBV survivors who have reported their cases to CARE and who have gone through Individual Comprehensive Case Management, and who have been interviewed for purposes of the research;  CARE national and refugee staff who have been interviewed for the research. Indirect participants- The remining population in Dagahaley camp. Project KE986 covers all the beneficiaries we serve in the three camps that we work in  Dadaab refugee camp( Ifo ,Ifo 2 and Dagahaley). This project reports zero total participants as it fully overlaps with KE986. In any case, specific data for this project alone in this FY would other ways include:
Direct: 100  women&amp;girls 15 men&amp;boys =   115  Total
Indirect: 35,356  women&amp;girls 33,730 men&amp;boys =   69,086  Total</t>
  </si>
  <si>
    <t>Project KE986 covers all the beneficiaries we serve in the three camps that we work in  Dadaab refugee camp( Ifo ,Ifo 2 and Dagahaley). This project reports zero total participants as it fully overlaps with KE986. In any case, specific data for this project alone in this FY would other ways include:
Direct: 100  women&amp;girls 15 men&amp;boys =   115  Total
Indirect: 35,356  women&amp;girls 33,730 men&amp;boys =   69,086  Total</t>
  </si>
  <si>
    <t>Danish Telethon/Danmarks Indsamlingen</t>
  </si>
  <si>
    <t>Lyreco For Education</t>
  </si>
  <si>
    <t>Sall Family Foundation, Coca-Cola Africa foundation,GTEF, LDS</t>
  </si>
  <si>
    <t>Ministry of Foreign Affairs of Norway</t>
  </si>
  <si>
    <t>International Development Association (IDA)</t>
  </si>
  <si>
    <t>Susan Thomson Bufett Foundation</t>
  </si>
  <si>
    <t>Hilton Foundation</t>
  </si>
  <si>
    <t>Flatley Foundation</t>
  </si>
  <si>
    <t>OXFAM Netherlands</t>
  </si>
  <si>
    <t>UNOPS/LIFT</t>
  </si>
  <si>
    <t>OFID</t>
  </si>
  <si>
    <t>CISU through National Environment and Climate Fund</t>
  </si>
  <si>
    <t>SAFPAC Catalytic Fund</t>
  </si>
  <si>
    <t>Reach out to Asia</t>
  </si>
  <si>
    <t>Australian High Commission</t>
  </si>
  <si>
    <t>Pacific American Climate Fund, USAID</t>
  </si>
  <si>
    <t xml:space="preserve">Ministry of Foreign Affairs and Trade - New Zealand </t>
  </si>
  <si>
    <t>The direct beneficiares are people who have directly benefited from the project. These are people who have received Food Items and NFI as well as those who have participated in the differnet trainings that were conducted during the El Nino response period. The total number of people reached was 328, 224 x 5 = 1,641120  (direct beneficiaries x 5 size of houshold average= indirect beneficiaries). The  list of indicators  below shows the results of activities also conducted during the respond period. Number of people who have attended Wash awareness-76, 045 ( acording to our Post Distribution Monitoring, only 56.4% of houshold beneficiaries were present at the sessions WASH Hardware- 4 projects (x2 large, x2 small) Number of health facilities provided disease outbreak preparedness training and WHO manuals-20 health facilites .Number of HeRams Health Facility Assessments Conducted-20. Health Facilities Supported with Equipment- 3 health facilities. Number of people who attended CAREs Community Disaster Management Training-335 Number of Interagency Coordination Meetings conducted-32. Collaboration with/Support to local partners, Church and CBO organisations -5                                                                                                                                                                                                                                                                                                                                                                        Total number of people reached by CAREs response will be significantly higher than 328, 224 (WASH and Food alone). Data for CDM training, Agricultural drought resilience training, equipment support to health facilities, and WASH hardware hasnt been properly collated to reflect the actual number of direct beneficiaries to CAREs response projects.  </t>
  </si>
  <si>
    <t>DVV Internacional  </t>
  </si>
  <si>
    <t>Embassy of USA</t>
  </si>
  <si>
    <t>Scotiabank Peru</t>
  </si>
  <si>
    <t>Nueva Scotia Bank-BNS</t>
  </si>
  <si>
    <t>COSUDE</t>
  </si>
  <si>
    <t>Interseguro</t>
  </si>
  <si>
    <t>Inter-American Development Bank (IDB)</t>
  </si>
  <si>
    <t>NIKE Foundation</t>
  </si>
  <si>
    <t>Disaster Emergency Committee (DEC)</t>
  </si>
  <si>
    <t>CARE Deutchland-Luxemburg</t>
  </si>
  <si>
    <t>Food for Peace</t>
  </si>
  <si>
    <t>Dutch Relief Aid</t>
  </si>
  <si>
    <t>Ministry  of Foreign Affairs of the Netherlands</t>
  </si>
  <si>
    <t>Wayne and Camellia Helsel Foundation</t>
  </si>
  <si>
    <t>General Electric Foundation</t>
  </si>
  <si>
    <t>Project reports zero participants as it overlaps with similar project in the same area, same name, etc.
Specific figures for this project alone in the FY, included:
Humanitarian total DIRECT women&amp;girls 168,098 men&amp;boys 151,764  Total  319,862 
Humanitarian total INDIRECT women&amp;girls  207,529  men&amp;boys 196,345 Total  403,874
Humanitarian FNS DIRECT 68,546
Humanitarian WASH DIRECT 221,735
Humanitarian SRMH 157,654
Shortage of drugs and medical supplies during the implementation period of health project affected clinics support in Alsalam , Kass and rural clinic , as there is no other fund to buy we only depend on OFDA Partners: The project working with SMoH  ,Mubadirron and community structures (3). Data provided in reports is not disaggregated and data is cumulative and unable to be broken up specific to the last 15 days of the project only, so data provided for fiscal year on numbers of beneficiaries is from start to end of project.</t>
  </si>
  <si>
    <t>EC-European commission</t>
  </si>
  <si>
    <t>Agricultural Markets Development Trust</t>
  </si>
  <si>
    <t>Augustinus Foundation</t>
  </si>
  <si>
    <t>Elaine B. Alexander Foundation</t>
  </si>
  <si>
    <t>Ministry of Public Health of Thailand</t>
  </si>
  <si>
    <t>Trans-border malaria: Fine-scale mapping of high-risk populations and targeting of hotspots with appropriate and novel intervention packages.</t>
  </si>
  <si>
    <t>GR004-THA068</t>
  </si>
  <si>
    <t>Malaria Consortium Asia</t>
  </si>
  <si>
    <t xml:space="preserve">To contribute to the control and elimination of P. falciparum and AR in border regions of Cambodia and Thailand through identification of hotspots and hot-channels of parasite dispersion along borders, and subsequent implementation of targeted control "packages" to eliminate identified hotspots and increase practice of preventive behaviours by high-risk populations. </t>
  </si>
  <si>
    <t>Thailand - Province of Ubon Ratchathani</t>
  </si>
  <si>
    <t>Thai and Mobile and Migrant Populations (MMPs)</t>
  </si>
  <si>
    <t>The December 2017 evaluation will likely cover the full project and  will be used to inform the next phase of the project, should it be approved</t>
  </si>
  <si>
    <t>During this FY, the project included mobile active case detection and follow up, which led to a reduction in the number of  malaria cases</t>
  </si>
  <si>
    <t>Support mobile active case detection (community ICF) by government and Thai health volunteers in selected high risk communities along with follow up for p.v and p.f cases</t>
  </si>
  <si>
    <t xml:space="preserve"> Organize community campaigning sessions to focus on prevention of artemisinin resistance</t>
  </si>
  <si>
    <t>Cross learning filed visit between Ubonratchathani and Loas</t>
  </si>
  <si>
    <t xml:space="preserve"> RTD cannot be tested by volunteer. </t>
  </si>
  <si>
    <t>Follow up mobile people Malaria case still be the challenges.</t>
  </si>
  <si>
    <t>Coordinate for both sides (Thailand-Laos) is important for refer and follow up case, due to implemented area is near the border, a lot mobile migrant. As well as to meeting and sharing the progress of implementation/ challenge/ share same basic understanding for implementation but sometimes people from both side are unavailable to join the meeting.</t>
  </si>
  <si>
    <t>NISSAN Japan</t>
  </si>
  <si>
    <t xml:space="preserve">This project reports zero indirect participants as it fully overlaps with Project Lafaek. In any case, specific data for this project alone in this FY would other ways include:
Indirect: 3,015 women&amp;girls  3,045 men&amp;boys =    6,060 Total                    
</t>
  </si>
  <si>
    <t>MFAT-New Zealand</t>
  </si>
  <si>
    <t xml:space="preserve">This project reports zero participants as it fully overlaps with Project Lafaek. In any case, specific data for this project alone in this FY would other ways include:
Direct: 4,681 women&amp;girls  4,495 men&amp;boys =    9,176 Total
</t>
  </si>
  <si>
    <t>Australia Department of Foreign Affairs, Trade and Development</t>
  </si>
  <si>
    <t xml:space="preserve">This project reports zero indirect participants as it fully overlaps with Project Lafaek. In any case, specific data for this project alone in this FY would other ways include:
Indirect: 61,611 women&amp;girls  63,264 men&amp;boys =    124,875 Total
</t>
  </si>
  <si>
    <t xml:space="preserve">START Network </t>
  </si>
  <si>
    <t xml:space="preserve">This project reports zero indirect participants as it fully overlaps with Project Lafaek. In any case, specific data for this project alone in this FY would other ways include:
Indirect: 2,539 women&amp;girls  4,140 men&amp;boys =    6,679 Total
</t>
  </si>
  <si>
    <t>The 631 participants reported include unique beneficiaries as recorded by the CO. No overlap with other projects</t>
  </si>
  <si>
    <t xml:space="preserve">In order to avoid double counting, this project serves as "umbrella" project for actions funded by ECHO around Basic needs, winterization and protection. The 40,046 participants reported include unique beneficiaries as recorded by the CO </t>
  </si>
  <si>
    <t xml:space="preserve">The 16,000 participants reported include unique beneficiaries as recorded by the CO </t>
  </si>
  <si>
    <t xml:space="preserve">ECHO </t>
  </si>
  <si>
    <t xml:space="preserve">In order to avoid double counting, this project reports zero participants because project "Information Volunteers..." serves as "umbrella" project for actions funded by ECHO around Basic needs, winterization and protection. In any case, specific data for this project alone in this FY would other ways include:
Direct: 2,926  women&amp;girls  2,867 men&amp;boys =   5,793  Total
</t>
  </si>
  <si>
    <t xml:space="preserve">In order to avoid double counting, this project reports zero participants because project "Information Volunteers..." serves as "umbrella" project for actions funded by ECHO around Basic needs, winterization and protection. In any case, specific data for this project alone in this FY would other ways include:
Direct: 13,037  women&amp;girls  13,506 men&amp;boys =   26,543  Total
</t>
  </si>
  <si>
    <t>Mnistry of Finance, Planning and Economic Development of Uganda</t>
  </si>
  <si>
    <t>Food assistance program in Amran and Abyan Governorate -Phase  IV</t>
  </si>
  <si>
    <t xml:space="preserve">Data has been adjusted as Project OFDA has a 9,636 participant overlap with CTP (data provided by CO). In any case, specific data for this project alone in this FY would other ways include:
Humanitarian Direct: 17,372  women&amp;girls  13,466 men&amp;boys =   30,838  Total
</t>
  </si>
  <si>
    <t xml:space="preserve">Data has been adjusted as Project OFDA has a 17,513 participant overlap with CTP (data provided by CO)In any case, specific data for this project alone in this FY would other ways include:
Direct: 146,711 women&amp;girls  135,425 men&amp;boys =    282,136Total
</t>
  </si>
  <si>
    <t>This project has and overlap of 11,018 participants with Project ENSURE in Chivi. Figures have been adjusted in order to avoid double counting. In any case, specific data for this project alone in this FY would other ways include:
Direct: 27,618  women&amp;girls  25,493 men&amp;boys =   53,111  Total
 beneficiaries changed from 35 280 to 53 111. The changes were due to changes of the data sources from Village Based Consultative Information to the government led Rural WASH Information Management System</t>
  </si>
  <si>
    <t>Cordula Kirchgessner Foundation</t>
  </si>
  <si>
    <t>Embassy of Sweden</t>
  </si>
  <si>
    <t>number</t>
  </si>
  <si>
    <t>Select a REGION from this drop-down list:</t>
  </si>
  <si>
    <t>Table 2: Projects and participants reached in FY15, by region.</t>
  </si>
  <si>
    <t>Latin America and Caribbean</t>
  </si>
  <si>
    <t>Direct (millions)</t>
  </si>
  <si>
    <t>Indirect (millions)</t>
  </si>
  <si>
    <t>Number of projects</t>
  </si>
  <si>
    <t>Direct participants in FY</t>
  </si>
  <si>
    <t>Indirect participants in FY</t>
  </si>
  <si>
    <t>Women participants in FY (direct)</t>
  </si>
  <si>
    <t>Women participants in FY (indirect)</t>
  </si>
  <si>
    <t>HUM</t>
  </si>
  <si>
    <t>FNS &amp; CCR</t>
  </si>
  <si>
    <t>Gender marker scores</t>
  </si>
  <si>
    <t>All CARE</t>
  </si>
  <si>
    <t>Governance marker scores</t>
  </si>
  <si>
    <t>Resilience marker scores</t>
  </si>
  <si>
    <t>Bangladesh - SHOUHARDO III</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</si>
</sst>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_-* #,##0_-;\-* #,##0_-;_-* &quot;-&quot;??_-;_-@_-"/>
    <numFmt numFmtId="165" formatCode="#,##0.0"/>
    <numFmt numFmtId="166" formatCode="_-* #,##0.0_-;\-* #,##0.0_-;_-* &quot;-&quot;??_-;_-@_-"/>
    <numFmt numFmtId="167" formatCode="0.0"/>
    <numFmt numFmtId="168" formatCode="_ * #,##0.00_ ;_ * \-#,##0.00_ ;_ * &quot;-&quot;??_ ;_ @_ "/>
    <numFmt numFmtId="169" formatCode="_ * #,##0_ ;_ * \-#,##0_ ;_ * &quot;-&quot;??_ ;_ @_ "/>
    <numFmt numFmtId="170" formatCode="#,##0.0_ ;\-#,##0.0\ "/>
    <numFmt numFmtId="171" formatCode="0.0%"/>
  </numFmts>
  <fonts count="49" x14ac:knownFonts="1">
    <font>
      <sz val="11"/>
      <color theme="1"/>
      <name val="Calibri"/>
      <family val="2"/>
      <scheme val="minor"/>
    </font>
    <font>
      <sz val="11"/>
      <color theme="1"/>
      <name val="Calibri"/>
      <family val="2"/>
      <scheme val="minor"/>
    </font>
    <font>
      <b/>
      <sz val="12"/>
      <name val="Trebuchet MS"/>
      <family val="2"/>
    </font>
    <font>
      <b/>
      <sz val="12"/>
      <color theme="8"/>
      <name val="Trebuchet MS"/>
      <family val="2"/>
    </font>
    <font>
      <b/>
      <sz val="12"/>
      <color theme="8" tint="-0.249977111117893"/>
      <name val="Trebuchet MS"/>
      <family val="2"/>
    </font>
    <font>
      <sz val="11"/>
      <color theme="1"/>
      <name val="Trebuchet MS"/>
      <family val="2"/>
    </font>
    <font>
      <sz val="11"/>
      <color rgb="FFFF0000"/>
      <name val="Trebuchet MS"/>
      <family val="2"/>
    </font>
    <font>
      <u/>
      <sz val="11"/>
      <color theme="10"/>
      <name val="Calibri"/>
      <family val="2"/>
      <scheme val="minor"/>
    </font>
    <font>
      <b/>
      <sz val="11"/>
      <color theme="1"/>
      <name val="Calibri"/>
      <family val="2"/>
      <scheme val="minor"/>
    </font>
    <font>
      <b/>
      <sz val="10"/>
      <color theme="1"/>
      <name val="Arial"/>
      <family val="2"/>
    </font>
    <font>
      <sz val="10"/>
      <color theme="1"/>
      <name val="Arial"/>
      <family val="2"/>
    </font>
    <font>
      <b/>
      <sz val="10"/>
      <name val="Arial"/>
      <family val="2"/>
    </font>
    <font>
      <sz val="10"/>
      <name val="Arial"/>
      <family val="2"/>
    </font>
    <font>
      <sz val="10"/>
      <color theme="0" tint="-4.9989318521683403E-2"/>
      <name val="Arial"/>
      <family val="2"/>
    </font>
    <font>
      <b/>
      <sz val="16"/>
      <color theme="5"/>
      <name val="Arial"/>
      <family val="2"/>
    </font>
    <font>
      <sz val="10"/>
      <color theme="5"/>
      <name val="Arial"/>
      <family val="2"/>
    </font>
    <font>
      <sz val="8"/>
      <color theme="1"/>
      <name val="Arial"/>
      <family val="2"/>
    </font>
    <font>
      <b/>
      <sz val="8"/>
      <color theme="1"/>
      <name val="Arial"/>
      <family val="2"/>
    </font>
    <font>
      <b/>
      <sz val="12"/>
      <name val="Arial"/>
      <family val="2"/>
    </font>
    <font>
      <sz val="11"/>
      <color indexed="8"/>
      <name val="Calibri"/>
      <family val="2"/>
    </font>
    <font>
      <b/>
      <sz val="11"/>
      <color indexed="8"/>
      <name val="Calibri"/>
      <family val="2"/>
      <scheme val="minor"/>
    </font>
    <font>
      <sz val="10"/>
      <color theme="0"/>
      <name val="Arial"/>
      <family val="2"/>
    </font>
    <font>
      <sz val="14"/>
      <color theme="1"/>
      <name val="Arial"/>
      <family val="2"/>
    </font>
    <font>
      <b/>
      <sz val="14"/>
      <color theme="5"/>
      <name val="Arial"/>
      <family val="2"/>
    </font>
    <font>
      <b/>
      <sz val="14"/>
      <color theme="1"/>
      <name val="Arial"/>
      <family val="2"/>
    </font>
    <font>
      <sz val="12"/>
      <color theme="5"/>
      <name val="Arial"/>
      <family val="2"/>
    </font>
    <font>
      <sz val="12"/>
      <color theme="1"/>
      <name val="Arial"/>
      <family val="2"/>
    </font>
    <font>
      <b/>
      <sz val="18"/>
      <color theme="5"/>
      <name val="Arial"/>
      <family val="2"/>
    </font>
    <font>
      <b/>
      <sz val="16"/>
      <color theme="1"/>
      <name val="Arial"/>
      <family val="2"/>
    </font>
    <font>
      <sz val="16"/>
      <color theme="1"/>
      <name val="Arial"/>
      <family val="2"/>
    </font>
    <font>
      <sz val="16"/>
      <color theme="0" tint="-4.9989318521683403E-2"/>
      <name val="Arial"/>
      <family val="2"/>
    </font>
    <font>
      <b/>
      <sz val="16"/>
      <name val="Arial"/>
      <family val="2"/>
    </font>
    <font>
      <sz val="14"/>
      <color theme="5"/>
      <name val="Arial"/>
      <family val="2"/>
    </font>
    <font>
      <sz val="18"/>
      <color theme="0" tint="-4.9989318521683403E-2"/>
      <name val="Arial"/>
      <family val="2"/>
    </font>
    <font>
      <sz val="18"/>
      <color theme="1"/>
      <name val="Arial"/>
      <family val="2"/>
    </font>
    <font>
      <sz val="12"/>
      <name val="Arial"/>
      <family val="2"/>
    </font>
    <font>
      <sz val="11"/>
      <color theme="0" tint="-0.249977111117893"/>
      <name val="Calibri"/>
      <family val="2"/>
      <scheme val="minor"/>
    </font>
    <font>
      <sz val="10"/>
      <color theme="0" tint="-0.249977111117893"/>
      <name val="Arial"/>
      <family val="2"/>
    </font>
    <font>
      <sz val="16"/>
      <color theme="0" tint="-0.249977111117893"/>
      <name val="Arial"/>
      <family val="2"/>
    </font>
    <font>
      <sz val="8"/>
      <color theme="0" tint="-0.249977111117893"/>
      <name val="Arial"/>
      <family val="2"/>
    </font>
    <font>
      <sz val="14"/>
      <color theme="0" tint="-0.249977111117893"/>
      <name val="Arial"/>
      <family val="2"/>
    </font>
    <font>
      <sz val="11"/>
      <color rgb="FFFF0000"/>
      <name val="Calibri"/>
      <family val="2"/>
      <scheme val="minor"/>
    </font>
    <font>
      <sz val="11"/>
      <name val="Calibri"/>
      <family val="2"/>
      <scheme val="minor"/>
    </font>
    <font>
      <sz val="11"/>
      <color theme="5" tint="-0.249977111117893"/>
      <name val="Calibri"/>
      <family val="2"/>
      <scheme val="minor"/>
    </font>
    <font>
      <b/>
      <sz val="12"/>
      <color rgb="FFFF0000"/>
      <name val="Trebuchet MS"/>
      <family val="2"/>
    </font>
    <font>
      <sz val="10"/>
      <color rgb="FFFF0000"/>
      <name val="Trebuchet MS"/>
      <family val="2"/>
    </font>
    <font>
      <sz val="9"/>
      <color indexed="81"/>
      <name val="Tahoma"/>
      <family val="2"/>
    </font>
    <font>
      <b/>
      <sz val="9"/>
      <color indexed="81"/>
      <name val="Tahoma"/>
      <family val="2"/>
    </font>
    <font>
      <sz val="6"/>
      <color theme="1"/>
      <name val="Arial"/>
      <family val="2"/>
    </font>
  </fonts>
  <fills count="10">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79998168889431442"/>
        <bgColor theme="4" tint="0.79998168889431442"/>
      </patternFill>
    </fill>
    <fill>
      <patternFill patternType="solid">
        <fgColor theme="7" tint="0.59999389629810485"/>
        <bgColor indexed="64"/>
      </patternFill>
    </fill>
    <fill>
      <patternFill patternType="solid">
        <fgColor theme="9" tint="0.39997558519241921"/>
        <bgColor indexed="64"/>
      </patternFill>
    </fill>
    <fill>
      <patternFill patternType="solid">
        <fgColor rgb="FF92D050"/>
        <bgColor indexed="64"/>
      </patternFill>
    </fill>
  </fills>
  <borders count="11">
    <border>
      <left/>
      <right/>
      <top/>
      <bottom/>
      <diagonal/>
    </border>
    <border>
      <left/>
      <right/>
      <top/>
      <bottom style="thin">
        <color theme="4" tint="0.39997558519241921"/>
      </bottom>
      <diagonal/>
    </border>
    <border>
      <left/>
      <right/>
      <top style="thin">
        <color theme="4" tint="0.3999755851924192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xf numFmtId="168" fontId="19" fillId="0" borderId="0" applyFont="0" applyFill="0" applyBorder="0" applyAlignment="0" applyProtection="0"/>
  </cellStyleXfs>
  <cellXfs count="435">
    <xf numFmtId="0" fontId="0" fillId="0" borderId="0" xfId="0"/>
    <xf numFmtId="0" fontId="2" fillId="0" borderId="0" xfId="0" applyNumberFormat="1" applyFont="1" applyFill="1" applyBorder="1" applyAlignment="1">
      <alignment wrapText="1"/>
    </xf>
    <xf numFmtId="0" fontId="3" fillId="0" borderId="0" xfId="0" applyNumberFormat="1" applyFont="1" applyFill="1" applyBorder="1" applyAlignment="1">
      <alignment wrapText="1"/>
    </xf>
    <xf numFmtId="14" fontId="2" fillId="0" borderId="0" xfId="0" applyNumberFormat="1" applyFont="1" applyFill="1" applyBorder="1" applyAlignment="1">
      <alignment wrapText="1"/>
    </xf>
    <xf numFmtId="164" fontId="2" fillId="0" borderId="0" xfId="1" applyNumberFormat="1" applyFont="1" applyFill="1" applyBorder="1" applyAlignment="1">
      <alignment wrapText="1"/>
    </xf>
    <xf numFmtId="0" fontId="4" fillId="2" borderId="0" xfId="0" applyNumberFormat="1" applyFont="1" applyFill="1" applyBorder="1" applyAlignment="1">
      <alignment wrapText="1"/>
    </xf>
    <xf numFmtId="0" fontId="4" fillId="0" borderId="0" xfId="0" applyNumberFormat="1" applyFont="1" applyFill="1" applyBorder="1" applyAlignment="1">
      <alignment wrapText="1"/>
    </xf>
    <xf numFmtId="164" fontId="3" fillId="0" borderId="0" xfId="1" applyNumberFormat="1" applyFont="1" applyFill="1" applyBorder="1" applyAlignment="1">
      <alignment wrapText="1"/>
    </xf>
    <xf numFmtId="3" fontId="2" fillId="0" borderId="0" xfId="0" applyNumberFormat="1" applyFont="1" applyFill="1" applyBorder="1" applyAlignment="1">
      <alignment wrapText="1"/>
    </xf>
    <xf numFmtId="0" fontId="2" fillId="3" borderId="0" xfId="0" applyNumberFormat="1" applyFont="1" applyFill="1" applyBorder="1" applyAlignment="1">
      <alignment wrapText="1"/>
    </xf>
    <xf numFmtId="43" fontId="2" fillId="0" borderId="0" xfId="1" applyNumberFormat="1" applyFont="1" applyFill="1" applyBorder="1" applyAlignment="1">
      <alignment wrapText="1"/>
    </xf>
    <xf numFmtId="0" fontId="5" fillId="0" borderId="0" xfId="0" applyNumberFormat="1" applyFont="1" applyFill="1" applyBorder="1" applyAlignment="1"/>
    <xf numFmtId="0" fontId="0" fillId="0" borderId="0" xfId="0" applyAlignment="1">
      <alignment vertical="center"/>
    </xf>
    <xf numFmtId="14" fontId="0" fillId="0" borderId="0" xfId="0" applyNumberFormat="1" applyAlignment="1">
      <alignment vertical="center"/>
    </xf>
    <xf numFmtId="164" fontId="0" fillId="0" borderId="0" xfId="1" applyNumberFormat="1" applyFont="1" applyAlignment="1">
      <alignment vertical="center"/>
    </xf>
    <xf numFmtId="3" fontId="5" fillId="0" borderId="0" xfId="0" applyNumberFormat="1" applyFont="1" applyFill="1" applyBorder="1" applyAlignment="1"/>
    <xf numFmtId="10" fontId="0" fillId="0" borderId="0" xfId="0" applyNumberFormat="1" applyAlignment="1">
      <alignment vertical="center"/>
    </xf>
    <xf numFmtId="10" fontId="5" fillId="0" borderId="0" xfId="2" applyNumberFormat="1" applyFont="1" applyFill="1" applyBorder="1" applyAlignment="1"/>
    <xf numFmtId="10" fontId="5" fillId="0" borderId="0" xfId="0" applyNumberFormat="1" applyFont="1" applyFill="1" applyBorder="1" applyAlignment="1"/>
    <xf numFmtId="43" fontId="5" fillId="0" borderId="0" xfId="1" applyNumberFormat="1" applyFont="1" applyFill="1" applyBorder="1" applyAlignment="1"/>
    <xf numFmtId="2" fontId="5" fillId="0" borderId="0" xfId="0" applyNumberFormat="1" applyFont="1" applyFill="1" applyBorder="1" applyAlignment="1"/>
    <xf numFmtId="43" fontId="5" fillId="0" borderId="0" xfId="1" applyFont="1" applyFill="1" applyBorder="1" applyAlignment="1"/>
    <xf numFmtId="164" fontId="5" fillId="0" borderId="0" xfId="1" applyNumberFormat="1" applyFont="1" applyFill="1" applyBorder="1" applyAlignment="1"/>
    <xf numFmtId="14" fontId="5" fillId="0" borderId="0" xfId="0" applyNumberFormat="1" applyFont="1" applyFill="1" applyBorder="1" applyAlignment="1"/>
    <xf numFmtId="0" fontId="6" fillId="0" borderId="0" xfId="0" applyNumberFormat="1" applyFont="1" applyFill="1" applyBorder="1" applyAlignment="1"/>
    <xf numFmtId="0" fontId="7" fillId="0" borderId="0" xfId="3" applyNumberFormat="1" applyFill="1" applyBorder="1" applyAlignment="1"/>
    <xf numFmtId="4" fontId="5" fillId="0" borderId="0" xfId="0" applyNumberFormat="1" applyFont="1" applyFill="1" applyBorder="1" applyAlignment="1"/>
    <xf numFmtId="0" fontId="5" fillId="4" borderId="0" xfId="0" applyNumberFormat="1" applyFont="1" applyFill="1" applyBorder="1" applyAlignment="1"/>
    <xf numFmtId="0" fontId="5" fillId="2" borderId="0" xfId="0" applyNumberFormat="1" applyFont="1" applyFill="1" applyBorder="1" applyAlignment="1"/>
    <xf numFmtId="164" fontId="5" fillId="2" borderId="0" xfId="1" applyNumberFormat="1" applyFont="1" applyFill="1" applyBorder="1" applyAlignment="1"/>
    <xf numFmtId="14" fontId="5" fillId="2" borderId="0" xfId="0" applyNumberFormat="1" applyFont="1" applyFill="1" applyBorder="1" applyAlignment="1"/>
    <xf numFmtId="0" fontId="0" fillId="2" borderId="0" xfId="0" applyFill="1" applyAlignment="1">
      <alignment vertical="center"/>
    </xf>
    <xf numFmtId="3" fontId="5" fillId="2" borderId="0" xfId="0" applyNumberFormat="1" applyFont="1" applyFill="1" applyBorder="1" applyAlignment="1"/>
    <xf numFmtId="10" fontId="5" fillId="2" borderId="0" xfId="0" applyNumberFormat="1" applyFont="1" applyFill="1" applyBorder="1" applyAlignment="1"/>
    <xf numFmtId="43" fontId="5" fillId="2" borderId="0" xfId="1" applyNumberFormat="1" applyFont="1" applyFill="1" applyBorder="1" applyAlignment="1"/>
    <xf numFmtId="2" fontId="5" fillId="2" borderId="0" xfId="0" applyNumberFormat="1" applyFont="1" applyFill="1" applyBorder="1" applyAlignment="1"/>
    <xf numFmtId="43" fontId="5" fillId="2" borderId="0" xfId="1" applyFont="1" applyFill="1" applyBorder="1" applyAlignment="1"/>
    <xf numFmtId="14" fontId="5" fillId="0" borderId="0" xfId="0" applyNumberFormat="1" applyFont="1" applyFill="1" applyBorder="1" applyAlignment="1">
      <alignment horizontal="right"/>
    </xf>
    <xf numFmtId="164" fontId="0" fillId="2" borderId="0" xfId="1" applyNumberFormat="1" applyFont="1" applyFill="1" applyAlignment="1">
      <alignment vertical="center"/>
    </xf>
    <xf numFmtId="0" fontId="0" fillId="0" borderId="0" xfId="0" applyAlignment="1"/>
    <xf numFmtId="164" fontId="0" fillId="0" borderId="0" xfId="1" applyNumberFormat="1" applyFont="1" applyAlignment="1"/>
    <xf numFmtId="10" fontId="0" fillId="0" borderId="0" xfId="0" applyNumberFormat="1" applyAlignment="1"/>
    <xf numFmtId="10" fontId="0" fillId="0" borderId="0" xfId="2" applyNumberFormat="1" applyFont="1" applyAlignment="1">
      <alignment vertical="center"/>
    </xf>
    <xf numFmtId="0" fontId="0" fillId="4" borderId="0" xfId="0" applyFill="1" applyAlignment="1">
      <alignment vertical="center"/>
    </xf>
    <xf numFmtId="3" fontId="5" fillId="5" borderId="0" xfId="0" applyNumberFormat="1" applyFont="1" applyFill="1" applyBorder="1" applyAlignment="1"/>
    <xf numFmtId="164" fontId="5" fillId="5" borderId="0" xfId="1" applyNumberFormat="1" applyFont="1" applyFill="1" applyBorder="1" applyAlignment="1"/>
    <xf numFmtId="4" fontId="5" fillId="5" borderId="0" xfId="0" applyNumberFormat="1" applyFont="1" applyFill="1" applyBorder="1" applyAlignment="1"/>
    <xf numFmtId="165" fontId="5" fillId="5" borderId="0" xfId="0" applyNumberFormat="1" applyFont="1" applyFill="1" applyBorder="1" applyAlignment="1"/>
    <xf numFmtId="43" fontId="5" fillId="5" borderId="0" xfId="1" applyNumberFormat="1" applyFont="1" applyFill="1" applyBorder="1" applyAlignment="1"/>
    <xf numFmtId="0" fontId="0" fillId="0" borderId="0" xfId="0" pivotButton="1"/>
    <xf numFmtId="0" fontId="0" fillId="0" borderId="0" xfId="0" applyAlignment="1">
      <alignment horizontal="left"/>
    </xf>
    <xf numFmtId="164" fontId="2" fillId="0" borderId="0" xfId="1" applyNumberFormat="1" applyFont="1" applyFill="1" applyBorder="1" applyAlignment="1">
      <alignment horizontal="center" vertical="top" wrapText="1"/>
    </xf>
    <xf numFmtId="164" fontId="5" fillId="0" borderId="0" xfId="1" applyNumberFormat="1" applyFont="1" applyFill="1" applyBorder="1" applyAlignment="1">
      <alignment horizontal="center" vertical="top"/>
    </xf>
    <xf numFmtId="164" fontId="5" fillId="5" borderId="0" xfId="1" applyNumberFormat="1" applyFont="1" applyFill="1" applyBorder="1" applyAlignment="1">
      <alignment horizontal="center" vertical="top"/>
    </xf>
    <xf numFmtId="10" fontId="0" fillId="0" borderId="0" xfId="0" applyNumberFormat="1"/>
    <xf numFmtId="0" fontId="0" fillId="0" borderId="0" xfId="0" applyAlignment="1">
      <alignment horizontal="left" indent="1"/>
    </xf>
    <xf numFmtId="0" fontId="8" fillId="0" borderId="1" xfId="0" applyFont="1" applyBorder="1"/>
    <xf numFmtId="0" fontId="0" fillId="0" borderId="0" xfId="0" applyNumberFormat="1"/>
    <xf numFmtId="43" fontId="0" fillId="0" borderId="0" xfId="1" applyFont="1"/>
    <xf numFmtId="164" fontId="0" fillId="0" borderId="0" xfId="1" applyNumberFormat="1" applyFont="1"/>
    <xf numFmtId="164" fontId="0" fillId="0" borderId="0" xfId="0" applyNumberFormat="1"/>
    <xf numFmtId="164" fontId="8" fillId="0" borderId="1" xfId="0" applyNumberFormat="1" applyFont="1" applyBorder="1"/>
    <xf numFmtId="164" fontId="8" fillId="6" borderId="2" xfId="0" applyNumberFormat="1" applyFont="1" applyFill="1" applyBorder="1"/>
    <xf numFmtId="0" fontId="10" fillId="0" borderId="0" xfId="0" applyFont="1" applyFill="1" applyBorder="1" applyAlignment="1" applyProtection="1">
      <alignment vertical="top"/>
      <protection locked="0"/>
    </xf>
    <xf numFmtId="0" fontId="13" fillId="0" borderId="0" xfId="0" applyFont="1" applyFill="1" applyBorder="1" applyAlignment="1" applyProtection="1">
      <alignment vertical="top"/>
      <protection locked="0"/>
    </xf>
    <xf numFmtId="0" fontId="10" fillId="0" borderId="0" xfId="0" applyFont="1" applyBorder="1" applyAlignment="1" applyProtection="1">
      <alignment vertical="top"/>
    </xf>
    <xf numFmtId="0" fontId="13" fillId="0" borderId="0" xfId="0" applyFont="1" applyFill="1" applyBorder="1" applyAlignment="1" applyProtection="1">
      <alignment vertical="top"/>
    </xf>
    <xf numFmtId="0" fontId="10" fillId="0" borderId="0" xfId="0" applyFont="1" applyBorder="1" applyAlignment="1" applyProtection="1">
      <alignment vertical="top"/>
      <protection locked="0"/>
    </xf>
    <xf numFmtId="0" fontId="13" fillId="0" borderId="0" xfId="0" applyFont="1" applyFill="1" applyBorder="1" applyAlignment="1" applyProtection="1">
      <alignment vertical="center"/>
    </xf>
    <xf numFmtId="0" fontId="10" fillId="0" borderId="0" xfId="0" applyFont="1" applyBorder="1" applyAlignment="1" applyProtection="1">
      <alignment vertical="center"/>
    </xf>
    <xf numFmtId="0" fontId="10" fillId="0" borderId="0" xfId="0" applyFont="1" applyBorder="1" applyAlignment="1" applyProtection="1">
      <alignment vertical="center"/>
      <protection locked="0"/>
    </xf>
    <xf numFmtId="0" fontId="15" fillId="0" borderId="0" xfId="0" applyFont="1" applyBorder="1" applyAlignment="1" applyProtection="1">
      <alignment vertical="center"/>
    </xf>
    <xf numFmtId="0" fontId="15" fillId="0" borderId="0" xfId="0" applyFont="1" applyBorder="1" applyAlignment="1" applyProtection="1">
      <alignment vertical="center"/>
      <protection locked="0"/>
    </xf>
    <xf numFmtId="0" fontId="15" fillId="0" borderId="0" xfId="0" applyFont="1" applyBorder="1" applyAlignment="1" applyProtection="1">
      <alignment vertical="top"/>
    </xf>
    <xf numFmtId="0" fontId="15" fillId="0" borderId="0" xfId="0" applyFont="1" applyBorder="1" applyAlignment="1" applyProtection="1">
      <alignment vertical="top"/>
      <protection locked="0"/>
    </xf>
    <xf numFmtId="3" fontId="13" fillId="0" borderId="0" xfId="0" applyNumberFormat="1" applyFont="1" applyFill="1" applyBorder="1" applyAlignment="1" applyProtection="1">
      <alignment horizontal="center" vertical="top"/>
    </xf>
    <xf numFmtId="4" fontId="13" fillId="0" borderId="0" xfId="0" applyNumberFormat="1" applyFont="1" applyFill="1" applyBorder="1" applyAlignment="1" applyProtection="1">
      <alignment horizontal="center" vertical="top"/>
    </xf>
    <xf numFmtId="3" fontId="13" fillId="0" borderId="0" xfId="0" applyNumberFormat="1" applyFont="1" applyFill="1" applyBorder="1" applyAlignment="1" applyProtection="1">
      <alignment vertical="top"/>
    </xf>
    <xf numFmtId="4" fontId="13" fillId="0" borderId="0" xfId="0" applyNumberFormat="1" applyFont="1" applyFill="1" applyBorder="1" applyAlignment="1" applyProtection="1">
      <alignment vertical="top"/>
    </xf>
    <xf numFmtId="0" fontId="13" fillId="0" borderId="0" xfId="0" applyFont="1" applyBorder="1" applyAlignment="1" applyProtection="1">
      <alignment vertical="top"/>
    </xf>
    <xf numFmtId="0" fontId="13" fillId="0" borderId="0" xfId="0" applyFont="1" applyBorder="1" applyAlignment="1" applyProtection="1">
      <alignment vertical="top"/>
      <protection locked="0"/>
    </xf>
    <xf numFmtId="9" fontId="13" fillId="0" borderId="0" xfId="2" applyFont="1" applyBorder="1" applyAlignment="1" applyProtection="1">
      <alignment vertical="top"/>
    </xf>
    <xf numFmtId="169" fontId="0" fillId="0" borderId="0" xfId="4" applyNumberFormat="1" applyFont="1"/>
    <xf numFmtId="169" fontId="0" fillId="0" borderId="0" xfId="0" applyNumberFormat="1"/>
    <xf numFmtId="0" fontId="0" fillId="0" borderId="0" xfId="0" applyNumberFormat="1" applyFont="1" applyFill="1" applyBorder="1"/>
    <xf numFmtId="164" fontId="0" fillId="0" borderId="0" xfId="1" applyNumberFormat="1" applyFont="1" applyFill="1" applyBorder="1"/>
    <xf numFmtId="0" fontId="0" fillId="0" borderId="0" xfId="0" applyNumberFormat="1" applyFont="1" applyFill="1" applyBorder="1" applyAlignment="1">
      <alignment horizontal="center" wrapText="1"/>
    </xf>
    <xf numFmtId="164" fontId="0" fillId="0" borderId="0" xfId="0" applyNumberFormat="1" applyFont="1" applyFill="1" applyBorder="1" applyAlignment="1">
      <alignment horizontal="center" wrapText="1"/>
    </xf>
    <xf numFmtId="9" fontId="0" fillId="0" borderId="0" xfId="0" applyNumberFormat="1" applyFont="1" applyFill="1" applyBorder="1" applyAlignment="1">
      <alignment horizontal="center" wrapText="1"/>
    </xf>
    <xf numFmtId="0" fontId="0" fillId="0" borderId="0" xfId="0" applyNumberFormat="1" applyFont="1" applyFill="1" applyBorder="1" applyAlignment="1">
      <alignment horizontal="left"/>
    </xf>
    <xf numFmtId="164" fontId="0" fillId="0" borderId="0" xfId="0" applyNumberFormat="1" applyFont="1" applyFill="1" applyBorder="1"/>
    <xf numFmtId="9" fontId="0" fillId="0" borderId="0" xfId="0" applyNumberFormat="1" applyFont="1" applyFill="1" applyBorder="1"/>
    <xf numFmtId="0" fontId="0" fillId="0" borderId="0" xfId="0" applyNumberFormat="1" applyFont="1" applyFill="1" applyBorder="1" applyAlignment="1">
      <alignment horizontal="left" indent="1"/>
    </xf>
    <xf numFmtId="0" fontId="8" fillId="6" borderId="1" xfId="0" applyNumberFormat="1" applyFont="1" applyFill="1" applyBorder="1" applyAlignment="1">
      <alignment horizontal="center" wrapText="1"/>
    </xf>
    <xf numFmtId="164" fontId="8" fillId="6" borderId="1" xfId="0" applyNumberFormat="1" applyFont="1" applyFill="1" applyBorder="1" applyAlignment="1">
      <alignment horizontal="center" wrapText="1"/>
    </xf>
    <xf numFmtId="9" fontId="8" fillId="6" borderId="1" xfId="0" applyNumberFormat="1" applyFont="1" applyFill="1" applyBorder="1" applyAlignment="1">
      <alignment horizontal="center" wrapText="1"/>
    </xf>
    <xf numFmtId="0" fontId="8" fillId="0" borderId="1" xfId="0" applyNumberFormat="1" applyFont="1" applyBorder="1" applyAlignment="1">
      <alignment horizontal="left"/>
    </xf>
    <xf numFmtId="9" fontId="8" fillId="0" borderId="1" xfId="0" applyNumberFormat="1" applyFont="1" applyBorder="1"/>
    <xf numFmtId="166" fontId="0" fillId="0" borderId="0" xfId="1" applyNumberFormat="1" applyFont="1" applyFill="1" applyBorder="1"/>
    <xf numFmtId="0" fontId="8" fillId="6" borderId="2" xfId="0" applyNumberFormat="1" applyFont="1" applyFill="1" applyBorder="1" applyAlignment="1">
      <alignment horizontal="left"/>
    </xf>
    <xf numFmtId="9" fontId="8" fillId="6" borderId="2" xfId="0" applyNumberFormat="1" applyFont="1" applyFill="1" applyBorder="1"/>
    <xf numFmtId="0" fontId="8" fillId="0" borderId="0" xfId="0" applyFont="1" applyAlignment="1">
      <alignment wrapText="1"/>
    </xf>
    <xf numFmtId="0" fontId="20" fillId="0" borderId="0" xfId="0" applyFont="1" applyAlignment="1">
      <alignment wrapText="1"/>
    </xf>
    <xf numFmtId="0" fontId="8" fillId="0" borderId="0" xfId="0" applyFont="1" applyAlignment="1">
      <alignment horizontal="center" wrapText="1"/>
    </xf>
    <xf numFmtId="9" fontId="0" fillId="0" borderId="0" xfId="2" applyFont="1"/>
    <xf numFmtId="0" fontId="29" fillId="0" borderId="0" xfId="0" applyFont="1" applyBorder="1" applyAlignment="1" applyProtection="1">
      <alignment vertical="top"/>
    </xf>
    <xf numFmtId="0" fontId="30" fillId="0" borderId="0" xfId="0" applyFont="1" applyFill="1" applyBorder="1" applyAlignment="1" applyProtection="1">
      <alignment vertical="top"/>
    </xf>
    <xf numFmtId="0" fontId="29" fillId="0" borderId="0" xfId="0" applyFont="1" applyBorder="1" applyAlignment="1" applyProtection="1">
      <alignment vertical="top"/>
      <protection locked="0"/>
    </xf>
    <xf numFmtId="0" fontId="30" fillId="0" borderId="0" xfId="0" applyFont="1" applyFill="1" applyBorder="1" applyAlignment="1" applyProtection="1">
      <alignment vertical="center"/>
    </xf>
    <xf numFmtId="0" fontId="22" fillId="0" borderId="0" xfId="0" applyFont="1" applyBorder="1" applyAlignment="1" applyProtection="1">
      <alignment vertical="top"/>
    </xf>
    <xf numFmtId="0" fontId="22" fillId="0" borderId="0" xfId="0" applyFont="1" applyBorder="1" applyAlignment="1" applyProtection="1">
      <alignment vertical="top"/>
      <protection locked="0"/>
    </xf>
    <xf numFmtId="0" fontId="22" fillId="0" borderId="0" xfId="0" applyFont="1" applyBorder="1" applyAlignment="1" applyProtection="1">
      <alignment vertical="center"/>
    </xf>
    <xf numFmtId="0" fontId="22" fillId="0" borderId="0" xfId="0" applyFont="1" applyBorder="1" applyAlignment="1" applyProtection="1">
      <alignment vertical="center"/>
      <protection locked="0"/>
    </xf>
    <xf numFmtId="0" fontId="0" fillId="0" borderId="0" xfId="0" applyAlignment="1">
      <alignment horizontal="center"/>
    </xf>
    <xf numFmtId="0" fontId="0" fillId="0" borderId="0" xfId="0" applyAlignment="1">
      <alignment horizontal="center"/>
    </xf>
    <xf numFmtId="0" fontId="0" fillId="0" borderId="0" xfId="0" pivotButton="1" applyAlignment="1">
      <alignment horizontal="center"/>
    </xf>
    <xf numFmtId="0" fontId="33" fillId="0" borderId="0" xfId="0" applyFont="1" applyFill="1" applyBorder="1" applyAlignment="1" applyProtection="1">
      <alignment vertical="top"/>
    </xf>
    <xf numFmtId="0" fontId="34" fillId="0" borderId="0" xfId="0" applyFont="1" applyBorder="1" applyAlignment="1" applyProtection="1">
      <alignment vertical="top"/>
    </xf>
    <xf numFmtId="0" fontId="34" fillId="0" borderId="0" xfId="0" applyFont="1" applyBorder="1" applyAlignment="1" applyProtection="1">
      <alignment vertical="top"/>
      <protection locked="0"/>
    </xf>
    <xf numFmtId="3" fontId="30" fillId="0" borderId="0" xfId="0" applyNumberFormat="1" applyFont="1" applyFill="1" applyBorder="1" applyAlignment="1" applyProtection="1">
      <alignment horizontal="center" vertical="top"/>
    </xf>
    <xf numFmtId="4" fontId="30" fillId="0" borderId="0" xfId="0" applyNumberFormat="1" applyFont="1" applyFill="1" applyBorder="1" applyAlignment="1" applyProtection="1">
      <alignment horizontal="center" vertical="top"/>
    </xf>
    <xf numFmtId="0" fontId="0" fillId="0" borderId="0" xfId="0" applyAlignment="1">
      <alignment horizontal="center"/>
    </xf>
    <xf numFmtId="0" fontId="0" fillId="0" borderId="0" xfId="0" pivotButton="1" applyAlignment="1">
      <alignment horizontal="center"/>
    </xf>
    <xf numFmtId="0" fontId="9" fillId="4" borderId="0" xfId="0" applyFont="1" applyFill="1" applyBorder="1" applyAlignment="1" applyProtection="1">
      <alignment vertical="top"/>
    </xf>
    <xf numFmtId="0" fontId="10" fillId="4" borderId="0" xfId="0" applyFont="1" applyFill="1" applyBorder="1" applyAlignment="1" applyProtection="1">
      <alignment vertical="top"/>
    </xf>
    <xf numFmtId="0" fontId="9" fillId="4" borderId="0" xfId="0" applyFont="1" applyFill="1" applyBorder="1" applyAlignment="1" applyProtection="1">
      <alignment vertical="top"/>
      <protection locked="0"/>
    </xf>
    <xf numFmtId="0" fontId="10" fillId="4" borderId="0" xfId="0" applyFont="1" applyFill="1" applyBorder="1" applyAlignment="1" applyProtection="1">
      <alignment vertical="top"/>
      <protection locked="0"/>
    </xf>
    <xf numFmtId="0" fontId="10" fillId="4" borderId="9" xfId="0" applyFont="1" applyFill="1" applyBorder="1" applyAlignment="1" applyProtection="1">
      <alignment vertical="top"/>
    </xf>
    <xf numFmtId="0" fontId="10" fillId="4" borderId="10" xfId="0" applyFont="1" applyFill="1" applyBorder="1" applyAlignment="1" applyProtection="1">
      <alignment vertical="top"/>
    </xf>
    <xf numFmtId="0" fontId="10" fillId="4" borderId="0" xfId="0" applyFont="1" applyFill="1" applyBorder="1" applyAlignment="1" applyProtection="1">
      <alignment vertical="center"/>
    </xf>
    <xf numFmtId="0" fontId="10" fillId="4" borderId="7" xfId="0" applyFont="1" applyFill="1" applyBorder="1" applyAlignment="1" applyProtection="1">
      <alignment vertical="top"/>
    </xf>
    <xf numFmtId="0" fontId="10" fillId="4" borderId="8" xfId="0" applyFont="1" applyFill="1" applyBorder="1" applyAlignment="1" applyProtection="1">
      <alignment vertical="top"/>
    </xf>
    <xf numFmtId="0" fontId="29" fillId="4" borderId="0" xfId="0" applyFont="1" applyFill="1" applyBorder="1" applyAlignment="1" applyProtection="1">
      <alignment vertical="top"/>
    </xf>
    <xf numFmtId="0" fontId="29" fillId="4" borderId="10" xfId="0" applyFont="1" applyFill="1" applyBorder="1" applyAlignment="1" applyProtection="1">
      <alignment vertical="top"/>
    </xf>
    <xf numFmtId="0" fontId="9" fillId="4" borderId="9" xfId="0" applyFont="1" applyFill="1" applyBorder="1" applyAlignment="1" applyProtection="1">
      <alignment horizontal="center" vertical="top"/>
    </xf>
    <xf numFmtId="0" fontId="9" fillId="4" borderId="0" xfId="0" applyFont="1" applyFill="1" applyBorder="1" applyAlignment="1" applyProtection="1">
      <alignment horizontal="center" vertical="top"/>
    </xf>
    <xf numFmtId="0" fontId="9" fillId="4" borderId="10" xfId="0" applyFont="1" applyFill="1" applyBorder="1" applyAlignment="1" applyProtection="1">
      <alignment horizontal="center" vertical="top"/>
    </xf>
    <xf numFmtId="0" fontId="16" fillId="4" borderId="0" xfId="0" applyFont="1" applyFill="1" applyBorder="1" applyAlignment="1" applyProtection="1">
      <alignment vertical="top"/>
    </xf>
    <xf numFmtId="0" fontId="16" fillId="4" borderId="10" xfId="0" applyFont="1" applyFill="1" applyBorder="1" applyAlignment="1" applyProtection="1">
      <alignment vertical="top"/>
    </xf>
    <xf numFmtId="9" fontId="32" fillId="4" borderId="9" xfId="2" applyFont="1" applyFill="1" applyBorder="1" applyAlignment="1" applyProtection="1">
      <alignment horizontal="center" vertical="center"/>
    </xf>
    <xf numFmtId="0" fontId="22" fillId="4" borderId="0" xfId="0" applyFont="1" applyFill="1" applyBorder="1" applyAlignment="1" applyProtection="1">
      <alignment vertical="center"/>
    </xf>
    <xf numFmtId="9" fontId="32" fillId="4" borderId="0" xfId="2" applyFont="1" applyFill="1" applyBorder="1" applyAlignment="1" applyProtection="1">
      <alignment horizontal="center" vertical="center"/>
    </xf>
    <xf numFmtId="0" fontId="22" fillId="4" borderId="0" xfId="0" applyFont="1" applyFill="1" applyBorder="1" applyAlignment="1" applyProtection="1">
      <alignment horizontal="center" vertical="center"/>
    </xf>
    <xf numFmtId="9" fontId="32" fillId="4" borderId="10" xfId="0" applyNumberFormat="1" applyFont="1" applyFill="1" applyBorder="1" applyAlignment="1" applyProtection="1">
      <alignment horizontal="center" vertical="center"/>
    </xf>
    <xf numFmtId="0" fontId="16" fillId="4" borderId="0" xfId="0" applyFont="1" applyFill="1" applyBorder="1" applyAlignment="1" applyProtection="1">
      <alignment vertical="center"/>
    </xf>
    <xf numFmtId="0" fontId="16" fillId="4" borderId="0" xfId="0" applyFont="1" applyFill="1" applyBorder="1" applyAlignment="1" applyProtection="1">
      <alignment vertical="center" wrapText="1"/>
    </xf>
    <xf numFmtId="0" fontId="16" fillId="4" borderId="10" xfId="0" applyFont="1" applyFill="1" applyBorder="1" applyAlignment="1" applyProtection="1">
      <alignment vertical="center" wrapText="1"/>
    </xf>
    <xf numFmtId="3" fontId="32" fillId="4" borderId="9" xfId="0" applyNumberFormat="1" applyFont="1" applyFill="1" applyBorder="1" applyAlignment="1" applyProtection="1">
      <alignment horizontal="center" vertical="top"/>
    </xf>
    <xf numFmtId="3" fontId="32" fillId="4" borderId="0" xfId="0" applyNumberFormat="1" applyFont="1" applyFill="1" applyBorder="1" applyAlignment="1" applyProtection="1">
      <alignment horizontal="center" vertical="top"/>
    </xf>
    <xf numFmtId="170" fontId="32" fillId="4" borderId="0" xfId="1" applyNumberFormat="1" applyFont="1" applyFill="1" applyBorder="1" applyAlignment="1" applyProtection="1">
      <alignment horizontal="center" vertical="top"/>
    </xf>
    <xf numFmtId="170" fontId="32" fillId="4" borderId="10" xfId="1" applyNumberFormat="1" applyFont="1" applyFill="1" applyBorder="1" applyAlignment="1" applyProtection="1">
      <alignment horizontal="center" vertical="top"/>
    </xf>
    <xf numFmtId="0" fontId="22" fillId="4" borderId="0" xfId="0" applyFont="1" applyFill="1" applyBorder="1" applyAlignment="1" applyProtection="1">
      <alignment vertical="top"/>
    </xf>
    <xf numFmtId="43" fontId="16" fillId="4" borderId="0" xfId="1" applyFont="1" applyFill="1" applyBorder="1" applyAlignment="1" applyProtection="1">
      <alignment vertical="top"/>
    </xf>
    <xf numFmtId="9" fontId="16" fillId="4" borderId="0" xfId="2" applyFont="1" applyFill="1" applyBorder="1" applyAlignment="1" applyProtection="1">
      <alignment vertical="top"/>
    </xf>
    <xf numFmtId="9" fontId="16" fillId="4" borderId="10" xfId="2" applyFont="1" applyFill="1" applyBorder="1" applyAlignment="1" applyProtection="1">
      <alignment vertical="top"/>
    </xf>
    <xf numFmtId="0" fontId="22" fillId="4" borderId="0" xfId="0" quotePrefix="1" applyFont="1" applyFill="1" applyBorder="1" applyAlignment="1" applyProtection="1">
      <alignment horizontal="center" vertical="top"/>
    </xf>
    <xf numFmtId="0" fontId="22" fillId="4" borderId="10" xfId="0" quotePrefix="1" applyFont="1" applyFill="1" applyBorder="1" applyAlignment="1" applyProtection="1">
      <alignment horizontal="center" vertical="top"/>
    </xf>
    <xf numFmtId="0" fontId="22" fillId="4" borderId="9" xfId="0" applyFont="1" applyFill="1" applyBorder="1" applyAlignment="1" applyProtection="1">
      <alignment horizontal="center" vertical="top"/>
    </xf>
    <xf numFmtId="0" fontId="22" fillId="4" borderId="0" xfId="0" applyFont="1" applyFill="1" applyBorder="1" applyAlignment="1" applyProtection="1">
      <alignment horizontal="center" vertical="top"/>
    </xf>
    <xf numFmtId="0" fontId="22" fillId="4" borderId="10" xfId="0" applyFont="1" applyFill="1" applyBorder="1" applyAlignment="1" applyProtection="1">
      <alignment horizontal="center" vertical="top"/>
    </xf>
    <xf numFmtId="0" fontId="22" fillId="4" borderId="9" xfId="0" applyFont="1" applyFill="1" applyBorder="1" applyAlignment="1" applyProtection="1">
      <alignment vertical="center"/>
    </xf>
    <xf numFmtId="0" fontId="32" fillId="4" borderId="0" xfId="0" applyFont="1" applyFill="1" applyBorder="1" applyAlignment="1" applyProtection="1">
      <alignment horizontal="center" vertical="center" wrapText="1"/>
    </xf>
    <xf numFmtId="10" fontId="32" fillId="4" borderId="0" xfId="2" applyNumberFormat="1" applyFont="1" applyFill="1" applyBorder="1" applyAlignment="1" applyProtection="1">
      <alignment horizontal="center" vertical="center" wrapText="1"/>
    </xf>
    <xf numFmtId="0" fontId="32" fillId="4" borderId="10" xfId="0" applyFont="1" applyFill="1" applyBorder="1" applyAlignment="1" applyProtection="1">
      <alignment horizontal="center" vertical="center" wrapText="1"/>
    </xf>
    <xf numFmtId="0" fontId="16" fillId="4" borderId="10" xfId="0" applyFont="1" applyFill="1" applyBorder="1" applyAlignment="1" applyProtection="1">
      <alignment vertical="center"/>
    </xf>
    <xf numFmtId="0" fontId="10" fillId="4" borderId="6" xfId="0" applyFont="1" applyFill="1" applyBorder="1" applyAlignment="1" applyProtection="1">
      <alignment vertical="top"/>
    </xf>
    <xf numFmtId="9" fontId="15" fillId="4" borderId="6" xfId="2" applyFont="1" applyFill="1" applyBorder="1" applyAlignment="1" applyProtection="1">
      <alignment horizontal="center" vertical="top"/>
    </xf>
    <xf numFmtId="9" fontId="15" fillId="4" borderId="7" xfId="2" applyFont="1" applyFill="1" applyBorder="1" applyAlignment="1" applyProtection="1">
      <alignment horizontal="center" vertical="top"/>
    </xf>
    <xf numFmtId="0" fontId="10" fillId="4" borderId="7" xfId="0" applyFont="1" applyFill="1" applyBorder="1" applyAlignment="1" applyProtection="1">
      <alignment horizontal="center" vertical="top"/>
    </xf>
    <xf numFmtId="9" fontId="15" fillId="4" borderId="8" xfId="0" applyNumberFormat="1" applyFont="1" applyFill="1" applyBorder="1" applyAlignment="1" applyProtection="1">
      <alignment horizontal="center" vertical="top"/>
    </xf>
    <xf numFmtId="9" fontId="15" fillId="4" borderId="0" xfId="2" applyFont="1" applyFill="1" applyBorder="1" applyAlignment="1" applyProtection="1">
      <alignment horizontal="center" vertical="top"/>
    </xf>
    <xf numFmtId="0" fontId="10" fillId="4" borderId="0" xfId="0" applyFont="1" applyFill="1" applyBorder="1" applyAlignment="1" applyProtection="1">
      <alignment horizontal="center" vertical="top"/>
    </xf>
    <xf numFmtId="9" fontId="15" fillId="4" borderId="0" xfId="0" applyNumberFormat="1" applyFont="1" applyFill="1" applyBorder="1" applyAlignment="1" applyProtection="1">
      <alignment horizontal="center" vertical="top"/>
    </xf>
    <xf numFmtId="0" fontId="11" fillId="4" borderId="9" xfId="0" applyFont="1" applyFill="1" applyBorder="1" applyAlignment="1" applyProtection="1">
      <alignment horizontal="center" vertical="top"/>
    </xf>
    <xf numFmtId="0" fontId="11" fillId="4" borderId="0" xfId="0" applyFont="1" applyFill="1" applyBorder="1" applyAlignment="1" applyProtection="1">
      <alignment horizontal="center" vertical="top"/>
    </xf>
    <xf numFmtId="0" fontId="22" fillId="4" borderId="9" xfId="0" applyFont="1" applyFill="1" applyBorder="1" applyAlignment="1" applyProtection="1">
      <alignment horizontal="left" vertical="top"/>
    </xf>
    <xf numFmtId="0" fontId="15" fillId="4" borderId="0" xfId="0" applyFont="1" applyFill="1" applyBorder="1" applyAlignment="1" applyProtection="1">
      <alignment vertical="center"/>
      <protection locked="0"/>
    </xf>
    <xf numFmtId="0" fontId="15" fillId="4" borderId="0" xfId="0" applyFont="1" applyFill="1" applyBorder="1" applyAlignment="1" applyProtection="1">
      <alignment vertical="center"/>
    </xf>
    <xf numFmtId="0" fontId="15" fillId="4" borderId="10" xfId="0" applyFont="1" applyFill="1" applyBorder="1" applyAlignment="1" applyProtection="1">
      <alignment vertical="center"/>
    </xf>
    <xf numFmtId="0" fontId="32" fillId="4" borderId="9" xfId="0" applyFont="1" applyFill="1" applyBorder="1" applyAlignment="1" applyProtection="1">
      <alignment horizontal="left" vertical="top"/>
    </xf>
    <xf numFmtId="165" fontId="32" fillId="4" borderId="0" xfId="0" applyNumberFormat="1" applyFont="1" applyFill="1" applyBorder="1" applyAlignment="1" applyProtection="1">
      <alignment horizontal="center" vertical="center"/>
    </xf>
    <xf numFmtId="0" fontId="15" fillId="4" borderId="9" xfId="0" applyFont="1" applyFill="1" applyBorder="1" applyAlignment="1" applyProtection="1">
      <alignment vertical="center"/>
      <protection locked="0"/>
    </xf>
    <xf numFmtId="9" fontId="23" fillId="4" borderId="10" xfId="2" applyFont="1" applyFill="1" applyBorder="1" applyAlignment="1" applyProtection="1">
      <alignment horizontal="center" vertical="center"/>
    </xf>
    <xf numFmtId="0" fontId="15" fillId="4" borderId="10" xfId="0" applyFont="1" applyFill="1" applyBorder="1" applyAlignment="1" applyProtection="1">
      <alignment vertical="center"/>
      <protection locked="0"/>
    </xf>
    <xf numFmtId="0" fontId="10" fillId="4" borderId="10" xfId="0" applyFont="1" applyFill="1" applyBorder="1" applyAlignment="1" applyProtection="1">
      <alignment vertical="top"/>
      <protection locked="0"/>
    </xf>
    <xf numFmtId="167" fontId="32" fillId="4" borderId="0" xfId="0" applyNumberFormat="1" applyFont="1" applyFill="1" applyBorder="1" applyAlignment="1" applyProtection="1">
      <alignment horizontal="center" vertical="top"/>
    </xf>
    <xf numFmtId="0" fontId="15" fillId="4" borderId="0" xfId="0" applyFont="1" applyFill="1" applyBorder="1" applyAlignment="1" applyProtection="1">
      <alignment vertical="top"/>
      <protection locked="0"/>
    </xf>
    <xf numFmtId="0" fontId="15" fillId="4" borderId="0" xfId="0" applyFont="1" applyFill="1" applyBorder="1" applyAlignment="1" applyProtection="1">
      <alignment vertical="top"/>
    </xf>
    <xf numFmtId="0" fontId="15" fillId="4" borderId="10" xfId="0" applyFont="1" applyFill="1" applyBorder="1" applyAlignment="1" applyProtection="1">
      <alignment vertical="top"/>
      <protection locked="0"/>
    </xf>
    <xf numFmtId="0" fontId="22" fillId="4" borderId="6" xfId="0" applyFont="1" applyFill="1" applyBorder="1" applyAlignment="1" applyProtection="1">
      <alignment vertical="top"/>
    </xf>
    <xf numFmtId="0" fontId="22" fillId="4" borderId="7" xfId="0" applyFont="1" applyFill="1" applyBorder="1" applyAlignment="1" applyProtection="1">
      <alignment vertical="top"/>
    </xf>
    <xf numFmtId="0" fontId="10" fillId="4" borderId="7" xfId="0" applyFont="1" applyFill="1" applyBorder="1" applyAlignment="1" applyProtection="1">
      <alignment vertical="top"/>
      <protection locked="0"/>
    </xf>
    <xf numFmtId="0" fontId="22" fillId="4" borderId="8" xfId="0" applyFont="1" applyFill="1" applyBorder="1" applyAlignment="1" applyProtection="1">
      <alignment vertical="top"/>
    </xf>
    <xf numFmtId="0" fontId="10" fillId="4" borderId="6" xfId="0" applyFont="1" applyFill="1" applyBorder="1" applyAlignment="1" applyProtection="1">
      <alignment horizontal="center" vertical="top"/>
    </xf>
    <xf numFmtId="0" fontId="10" fillId="4" borderId="3" xfId="0" applyFont="1" applyFill="1" applyBorder="1" applyAlignment="1" applyProtection="1">
      <alignment vertical="top"/>
    </xf>
    <xf numFmtId="0" fontId="10" fillId="4" borderId="4" xfId="0" applyFont="1" applyFill="1" applyBorder="1" applyAlignment="1" applyProtection="1">
      <alignment vertical="top"/>
    </xf>
    <xf numFmtId="0" fontId="10" fillId="4" borderId="5" xfId="0" applyFont="1" applyFill="1" applyBorder="1" applyAlignment="1" applyProtection="1">
      <alignment vertical="top"/>
    </xf>
    <xf numFmtId="0" fontId="22" fillId="4" borderId="10" xfId="0" applyFont="1" applyFill="1" applyBorder="1" applyAlignment="1" applyProtection="1">
      <alignment vertical="top" wrapText="1"/>
    </xf>
    <xf numFmtId="0" fontId="22" fillId="4" borderId="0" xfId="0" applyFont="1" applyFill="1" applyBorder="1" applyAlignment="1" applyProtection="1">
      <alignment vertical="top" wrapText="1"/>
    </xf>
    <xf numFmtId="0" fontId="22" fillId="4" borderId="8" xfId="0" applyFont="1" applyFill="1" applyBorder="1" applyAlignment="1" applyProtection="1">
      <alignment vertical="top" wrapText="1"/>
    </xf>
    <xf numFmtId="0" fontId="22" fillId="4" borderId="7" xfId="0" applyFont="1" applyFill="1" applyBorder="1" applyAlignment="1" applyProtection="1">
      <alignment vertical="top" wrapText="1"/>
    </xf>
    <xf numFmtId="0" fontId="10" fillId="4" borderId="8" xfId="0" applyFont="1" applyFill="1" applyBorder="1" applyAlignment="1" applyProtection="1">
      <alignment vertical="top"/>
      <protection locked="0"/>
    </xf>
    <xf numFmtId="0" fontId="22" fillId="4" borderId="4" xfId="0" applyFont="1" applyFill="1" applyBorder="1" applyAlignment="1" applyProtection="1">
      <alignment vertical="top" wrapText="1"/>
    </xf>
    <xf numFmtId="0" fontId="22" fillId="4" borderId="5" xfId="0" applyFont="1" applyFill="1" applyBorder="1" applyAlignment="1" applyProtection="1">
      <alignment vertical="top" wrapText="1"/>
    </xf>
    <xf numFmtId="0" fontId="10" fillId="4" borderId="4" xfId="0" applyFont="1" applyFill="1" applyBorder="1" applyAlignment="1" applyProtection="1">
      <alignment vertical="top"/>
      <protection locked="0"/>
    </xf>
    <xf numFmtId="0" fontId="10" fillId="4" borderId="5" xfId="0" applyFont="1" applyFill="1" applyBorder="1" applyAlignment="1" applyProtection="1">
      <alignment vertical="top"/>
      <protection locked="0"/>
    </xf>
    <xf numFmtId="0" fontId="10" fillId="4" borderId="3" xfId="0" applyFont="1" applyFill="1" applyBorder="1" applyAlignment="1" applyProtection="1">
      <alignment vertical="top"/>
      <protection locked="0"/>
    </xf>
    <xf numFmtId="0" fontId="21" fillId="4" borderId="0" xfId="0" applyFont="1" applyFill="1" applyBorder="1" applyAlignment="1" applyProtection="1">
      <alignment vertical="top"/>
      <protection locked="0"/>
    </xf>
    <xf numFmtId="0" fontId="24" fillId="4" borderId="9" xfId="0" applyFont="1" applyFill="1" applyBorder="1" applyAlignment="1" applyProtection="1">
      <alignment horizontal="center" vertical="top"/>
    </xf>
    <xf numFmtId="0" fontId="24" fillId="4" borderId="0" xfId="0" applyFont="1" applyFill="1" applyBorder="1" applyAlignment="1" applyProtection="1">
      <alignment horizontal="center" vertical="top"/>
    </xf>
    <xf numFmtId="0" fontId="24" fillId="4" borderId="10" xfId="0" applyFont="1" applyFill="1" applyBorder="1" applyAlignment="1" applyProtection="1">
      <alignment horizontal="center" vertical="top"/>
    </xf>
    <xf numFmtId="0" fontId="22" fillId="4" borderId="9" xfId="0" applyFont="1" applyFill="1" applyBorder="1" applyAlignment="1" applyProtection="1">
      <alignment vertical="top"/>
    </xf>
    <xf numFmtId="0" fontId="22" fillId="4" borderId="10" xfId="0" applyFont="1" applyFill="1" applyBorder="1" applyAlignment="1" applyProtection="1">
      <alignment vertical="top"/>
    </xf>
    <xf numFmtId="9" fontId="32" fillId="4" borderId="6" xfId="2" applyFont="1" applyFill="1" applyBorder="1" applyAlignment="1" applyProtection="1">
      <alignment horizontal="center" vertical="top"/>
    </xf>
    <xf numFmtId="9" fontId="32" fillId="4" borderId="7" xfId="2" applyFont="1" applyFill="1" applyBorder="1" applyAlignment="1" applyProtection="1">
      <alignment horizontal="center" vertical="top"/>
    </xf>
    <xf numFmtId="0" fontId="22" fillId="4" borderId="7" xfId="0" applyFont="1" applyFill="1" applyBorder="1" applyAlignment="1" applyProtection="1">
      <alignment horizontal="center" vertical="top"/>
    </xf>
    <xf numFmtId="9" fontId="32" fillId="4" borderId="8" xfId="0" applyNumberFormat="1" applyFont="1" applyFill="1" applyBorder="1" applyAlignment="1" applyProtection="1">
      <alignment horizontal="center" vertical="top"/>
    </xf>
    <xf numFmtId="164" fontId="23" fillId="4" borderId="9" xfId="1" applyNumberFormat="1" applyFont="1" applyFill="1" applyBorder="1" applyAlignment="1" applyProtection="1">
      <alignment vertical="center"/>
    </xf>
    <xf numFmtId="164" fontId="23" fillId="4" borderId="6" xfId="1" applyNumberFormat="1" applyFont="1" applyFill="1" applyBorder="1" applyAlignment="1" applyProtection="1">
      <alignment vertical="center"/>
    </xf>
    <xf numFmtId="0" fontId="9" fillId="4" borderId="9" xfId="0" applyFont="1" applyFill="1" applyBorder="1" applyAlignment="1" applyProtection="1">
      <alignment horizontal="center" vertical="top"/>
      <protection locked="0"/>
    </xf>
    <xf numFmtId="0" fontId="9" fillId="4" borderId="0" xfId="0" applyFont="1" applyFill="1" applyBorder="1" applyAlignment="1" applyProtection="1">
      <alignment horizontal="center" vertical="top"/>
      <protection locked="0"/>
    </xf>
    <xf numFmtId="0" fontId="9" fillId="4" borderId="10" xfId="0" applyFont="1" applyFill="1" applyBorder="1" applyAlignment="1" applyProtection="1">
      <alignment horizontal="center" vertical="top"/>
      <protection locked="0"/>
    </xf>
    <xf numFmtId="0" fontId="11" fillId="4" borderId="0" xfId="0" applyFont="1" applyFill="1" applyBorder="1" applyAlignment="1" applyProtection="1">
      <alignment horizontal="center" vertical="top"/>
      <protection locked="0"/>
    </xf>
    <xf numFmtId="0" fontId="35" fillId="4" borderId="9" xfId="0" applyFont="1" applyFill="1" applyBorder="1" applyAlignment="1" applyProtection="1">
      <alignment horizontal="left" vertical="top" indent="1"/>
      <protection locked="0"/>
    </xf>
    <xf numFmtId="164" fontId="25" fillId="4" borderId="0" xfId="1" applyNumberFormat="1" applyFont="1" applyFill="1" applyBorder="1" applyAlignment="1" applyProtection="1">
      <alignment vertical="top"/>
      <protection locked="0"/>
    </xf>
    <xf numFmtId="164" fontId="25" fillId="4" borderId="10" xfId="1" applyNumberFormat="1" applyFont="1" applyFill="1" applyBorder="1" applyAlignment="1" applyProtection="1">
      <alignment vertical="top"/>
      <protection locked="0"/>
    </xf>
    <xf numFmtId="0" fontId="35" fillId="4" borderId="0" xfId="0" applyFont="1" applyFill="1" applyBorder="1" applyAlignment="1" applyProtection="1">
      <alignment horizontal="left" vertical="top" indent="1"/>
      <protection locked="0"/>
    </xf>
    <xf numFmtId="0" fontId="26" fillId="4" borderId="0" xfId="0" applyFont="1" applyFill="1" applyBorder="1" applyAlignment="1" applyProtection="1">
      <alignment horizontal="left" vertical="top" wrapText="1"/>
    </xf>
    <xf numFmtId="0" fontId="26" fillId="4" borderId="10" xfId="0" applyFont="1" applyFill="1" applyBorder="1" applyAlignment="1" applyProtection="1">
      <alignment horizontal="left" vertical="top" wrapText="1"/>
    </xf>
    <xf numFmtId="0" fontId="35" fillId="4" borderId="9" xfId="0" applyFont="1" applyFill="1" applyBorder="1" applyAlignment="1" applyProtection="1">
      <alignment vertical="top"/>
      <protection locked="0"/>
    </xf>
    <xf numFmtId="0" fontId="25" fillId="4" borderId="0" xfId="0" applyFont="1" applyFill="1" applyBorder="1" applyAlignment="1" applyProtection="1">
      <alignment vertical="top"/>
    </xf>
    <xf numFmtId="0" fontId="25" fillId="4" borderId="10" xfId="0" applyFont="1" applyFill="1" applyBorder="1" applyAlignment="1" applyProtection="1">
      <alignment vertical="top"/>
    </xf>
    <xf numFmtId="0" fontId="26" fillId="4" borderId="0" xfId="0" applyFont="1" applyFill="1" applyBorder="1" applyAlignment="1" applyProtection="1">
      <alignment horizontal="left" vertical="top" indent="1"/>
    </xf>
    <xf numFmtId="0" fontId="18" fillId="4" borderId="9" xfId="0" applyFont="1" applyFill="1" applyBorder="1" applyAlignment="1" applyProtection="1">
      <alignment horizontal="right" vertical="top"/>
      <protection locked="0"/>
    </xf>
    <xf numFmtId="9" fontId="25" fillId="4" borderId="0" xfId="2" applyFont="1" applyFill="1" applyBorder="1" applyAlignment="1" applyProtection="1">
      <alignment horizontal="center" vertical="top"/>
    </xf>
    <xf numFmtId="9" fontId="25" fillId="4" borderId="10" xfId="2" applyFont="1" applyFill="1" applyBorder="1" applyAlignment="1" applyProtection="1">
      <alignment horizontal="center" vertical="top"/>
    </xf>
    <xf numFmtId="164" fontId="18" fillId="4" borderId="9" xfId="1" applyNumberFormat="1" applyFont="1" applyFill="1" applyBorder="1" applyAlignment="1" applyProtection="1">
      <alignment horizontal="right" vertical="center"/>
    </xf>
    <xf numFmtId="164" fontId="18" fillId="4" borderId="0" xfId="1" applyNumberFormat="1" applyFont="1" applyFill="1" applyBorder="1" applyAlignment="1" applyProtection="1">
      <alignment horizontal="right" vertical="center"/>
    </xf>
    <xf numFmtId="0" fontId="10" fillId="4" borderId="6" xfId="0" applyFont="1" applyFill="1" applyBorder="1" applyAlignment="1" applyProtection="1">
      <alignment vertical="top"/>
      <protection locked="0"/>
    </xf>
    <xf numFmtId="0" fontId="26" fillId="4" borderId="0" xfId="0" applyFont="1" applyFill="1" applyBorder="1" applyAlignment="1" applyProtection="1">
      <alignment horizontal="left" vertical="top" wrapText="1"/>
    </xf>
    <xf numFmtId="171" fontId="25" fillId="4" borderId="0" xfId="2" applyNumberFormat="1" applyFont="1" applyFill="1" applyBorder="1" applyAlignment="1" applyProtection="1">
      <alignment horizontal="center" vertical="top"/>
    </xf>
    <xf numFmtId="171" fontId="25" fillId="4" borderId="10" xfId="2" applyNumberFormat="1" applyFont="1" applyFill="1" applyBorder="1" applyAlignment="1" applyProtection="1">
      <alignment horizontal="center" vertical="top"/>
    </xf>
    <xf numFmtId="0" fontId="26" fillId="4" borderId="0" xfId="0" applyFont="1" applyFill="1" applyBorder="1" applyAlignment="1" applyProtection="1">
      <alignment vertical="top" wrapText="1"/>
    </xf>
    <xf numFmtId="0" fontId="26" fillId="4" borderId="10" xfId="0" applyFont="1" applyFill="1" applyBorder="1" applyAlignment="1" applyProtection="1">
      <alignment vertical="top" wrapText="1"/>
    </xf>
    <xf numFmtId="0" fontId="26" fillId="4" borderId="7" xfId="0" applyFont="1" applyFill="1" applyBorder="1" applyAlignment="1" applyProtection="1">
      <alignment vertical="top" wrapText="1"/>
    </xf>
    <xf numFmtId="0" fontId="10" fillId="0" borderId="9" xfId="0" applyFont="1" applyBorder="1" applyAlignment="1" applyProtection="1">
      <alignment vertical="top"/>
      <protection locked="0"/>
    </xf>
    <xf numFmtId="0" fontId="36" fillId="0" borderId="0" xfId="0" applyFont="1"/>
    <xf numFmtId="0" fontId="36" fillId="0" borderId="0" xfId="0" applyFont="1" applyAlignment="1">
      <alignment horizontal="center"/>
    </xf>
    <xf numFmtId="9" fontId="36" fillId="0" borderId="0" xfId="2" applyFont="1"/>
    <xf numFmtId="0" fontId="37" fillId="0" borderId="0" xfId="0" applyFont="1" applyBorder="1" applyAlignment="1" applyProtection="1">
      <alignment vertical="top"/>
    </xf>
    <xf numFmtId="9" fontId="36" fillId="0" borderId="0" xfId="0" applyNumberFormat="1" applyFont="1"/>
    <xf numFmtId="0" fontId="37" fillId="0" borderId="0" xfId="0" applyFont="1" applyBorder="1" applyAlignment="1" applyProtection="1">
      <alignment vertical="top"/>
      <protection locked="0"/>
    </xf>
    <xf numFmtId="0" fontId="37" fillId="0" borderId="0" xfId="0" applyFont="1" applyFill="1" applyBorder="1" applyAlignment="1" applyProtection="1">
      <alignment vertical="top"/>
    </xf>
    <xf numFmtId="166" fontId="37" fillId="0" borderId="0" xfId="1" applyNumberFormat="1" applyFont="1" applyFill="1" applyBorder="1" applyAlignment="1" applyProtection="1">
      <alignment vertical="top"/>
    </xf>
    <xf numFmtId="9" fontId="37" fillId="0" borderId="0" xfId="2" applyFont="1" applyBorder="1" applyAlignment="1" applyProtection="1">
      <alignment vertical="top"/>
    </xf>
    <xf numFmtId="0" fontId="37" fillId="0" borderId="0" xfId="0" applyFont="1" applyFill="1" applyBorder="1" applyAlignment="1" applyProtection="1">
      <alignment vertical="top"/>
      <protection locked="0"/>
    </xf>
    <xf numFmtId="166" fontId="37" fillId="0" borderId="0" xfId="1" applyNumberFormat="1" applyFont="1" applyFill="1" applyBorder="1" applyAlignment="1" applyProtection="1">
      <alignment vertical="top"/>
      <protection locked="0"/>
    </xf>
    <xf numFmtId="0" fontId="38" fillId="0" borderId="0" xfId="0" applyFont="1" applyFill="1" applyBorder="1" applyAlignment="1" applyProtection="1">
      <alignment vertical="top"/>
    </xf>
    <xf numFmtId="166" fontId="38" fillId="0" borderId="0" xfId="1" applyNumberFormat="1" applyFont="1" applyFill="1" applyBorder="1" applyAlignment="1" applyProtection="1">
      <alignment vertical="top"/>
    </xf>
    <xf numFmtId="0" fontId="38" fillId="0" borderId="0" xfId="0" applyFont="1" applyBorder="1" applyAlignment="1" applyProtection="1">
      <alignment vertical="top"/>
    </xf>
    <xf numFmtId="0" fontId="39" fillId="0" borderId="0" xfId="0" applyFont="1" applyFill="1" applyBorder="1" applyAlignment="1" applyProtection="1">
      <alignment vertical="top"/>
    </xf>
    <xf numFmtId="0" fontId="37" fillId="0" borderId="0" xfId="0" applyFont="1" applyFill="1" applyBorder="1" applyAlignment="1" applyProtection="1">
      <alignment vertical="center"/>
    </xf>
    <xf numFmtId="0" fontId="39" fillId="0" borderId="0" xfId="0" applyFont="1" applyFill="1" applyBorder="1" applyAlignment="1" applyProtection="1">
      <alignment vertical="center"/>
    </xf>
    <xf numFmtId="166" fontId="37" fillId="0" borderId="0" xfId="1" applyNumberFormat="1" applyFont="1" applyFill="1" applyBorder="1" applyAlignment="1" applyProtection="1">
      <alignment vertical="center"/>
    </xf>
    <xf numFmtId="0" fontId="37" fillId="0" borderId="0" xfId="0" applyFont="1" applyBorder="1" applyAlignment="1" applyProtection="1">
      <alignment vertical="center"/>
    </xf>
    <xf numFmtId="0" fontId="40" fillId="0" borderId="0" xfId="0" applyFont="1" applyFill="1" applyBorder="1" applyAlignment="1" applyProtection="1">
      <alignment vertical="top"/>
    </xf>
    <xf numFmtId="166" fontId="40" fillId="0" borderId="0" xfId="1" applyNumberFormat="1" applyFont="1" applyFill="1" applyBorder="1" applyAlignment="1" applyProtection="1">
      <alignment vertical="top"/>
    </xf>
    <xf numFmtId="0" fontId="40" fillId="0" borderId="0" xfId="0" applyFont="1" applyBorder="1" applyAlignment="1" applyProtection="1">
      <alignment vertical="top"/>
    </xf>
    <xf numFmtId="0" fontId="40" fillId="0" borderId="0" xfId="0" applyFont="1" applyFill="1" applyBorder="1" applyAlignment="1" applyProtection="1">
      <alignment vertical="center"/>
    </xf>
    <xf numFmtId="166" fontId="40" fillId="0" borderId="0" xfId="1" applyNumberFormat="1" applyFont="1" applyFill="1" applyBorder="1" applyAlignment="1" applyProtection="1">
      <alignment vertical="center"/>
    </xf>
    <xf numFmtId="0" fontId="40" fillId="0" borderId="0" xfId="0" applyFont="1" applyBorder="1" applyAlignment="1" applyProtection="1">
      <alignment vertical="center"/>
    </xf>
    <xf numFmtId="3" fontId="37" fillId="0" borderId="0" xfId="0" applyNumberFormat="1" applyFont="1" applyFill="1" applyBorder="1" applyAlignment="1" applyProtection="1">
      <alignment horizontal="center" vertical="top"/>
    </xf>
    <xf numFmtId="166" fontId="37" fillId="0" borderId="0" xfId="1" applyNumberFormat="1" applyFont="1" applyFill="1" applyBorder="1" applyAlignment="1" applyProtection="1">
      <alignment horizontal="center" vertical="top"/>
    </xf>
    <xf numFmtId="3" fontId="37" fillId="0" borderId="0" xfId="0" applyNumberFormat="1" applyFont="1" applyFill="1" applyBorder="1" applyAlignment="1" applyProtection="1">
      <alignment vertical="top"/>
    </xf>
    <xf numFmtId="0" fontId="22" fillId="4" borderId="0" xfId="0" applyFont="1" applyFill="1" applyBorder="1" applyAlignment="1" applyProtection="1">
      <alignment horizontal="center" vertical="center" wrapText="1"/>
    </xf>
    <xf numFmtId="0" fontId="22" fillId="4" borderId="9" xfId="0" applyFont="1" applyFill="1" applyBorder="1" applyAlignment="1" applyProtection="1">
      <alignment horizontal="center" vertical="top" wrapText="1"/>
    </xf>
    <xf numFmtId="0" fontId="22" fillId="4" borderId="0" xfId="0" applyFont="1" applyFill="1" applyBorder="1" applyAlignment="1" applyProtection="1">
      <alignment horizontal="center" vertical="top" wrapText="1"/>
    </xf>
    <xf numFmtId="0" fontId="41" fillId="0" borderId="0" xfId="0" applyFont="1" applyAlignment="1">
      <alignment vertical="center"/>
    </xf>
    <xf numFmtId="0" fontId="5" fillId="5" borderId="0" xfId="0" applyNumberFormat="1" applyFont="1" applyFill="1" applyBorder="1" applyAlignment="1"/>
    <xf numFmtId="166" fontId="5" fillId="0" borderId="0" xfId="0" applyNumberFormat="1" applyFont="1" applyFill="1" applyBorder="1" applyAlignment="1"/>
    <xf numFmtId="164" fontId="6" fillId="0" borderId="0" xfId="1" applyNumberFormat="1" applyFont="1" applyFill="1" applyBorder="1" applyAlignment="1"/>
    <xf numFmtId="0" fontId="0" fillId="5" borderId="0" xfId="0" applyFill="1" applyAlignment="1">
      <alignment vertical="center"/>
    </xf>
    <xf numFmtId="0" fontId="5" fillId="8" borderId="0" xfId="0" applyNumberFormat="1" applyFont="1" applyFill="1" applyBorder="1" applyAlignment="1"/>
    <xf numFmtId="14" fontId="5" fillId="8" borderId="0" xfId="0" applyNumberFormat="1" applyFont="1" applyFill="1" applyBorder="1" applyAlignment="1"/>
    <xf numFmtId="164" fontId="5" fillId="8" borderId="0" xfId="1" applyNumberFormat="1" applyFont="1" applyFill="1" applyBorder="1" applyAlignment="1"/>
    <xf numFmtId="3" fontId="5" fillId="8" borderId="0" xfId="0" applyNumberFormat="1" applyFont="1" applyFill="1" applyBorder="1" applyAlignment="1"/>
    <xf numFmtId="10" fontId="5" fillId="8" borderId="0" xfId="0" applyNumberFormat="1" applyFont="1" applyFill="1" applyBorder="1" applyAlignment="1"/>
    <xf numFmtId="0" fontId="0" fillId="8" borderId="0" xfId="0" applyFill="1" applyAlignment="1">
      <alignment vertical="center"/>
    </xf>
    <xf numFmtId="0" fontId="6" fillId="4" borderId="0" xfId="0" applyNumberFormat="1" applyFont="1" applyFill="1" applyBorder="1" applyAlignment="1"/>
    <xf numFmtId="0" fontId="41" fillId="9" borderId="0" xfId="0" applyFont="1" applyFill="1" applyAlignment="1">
      <alignment vertical="center"/>
    </xf>
    <xf numFmtId="164" fontId="6" fillId="9" borderId="0" xfId="1" applyNumberFormat="1" applyFont="1" applyFill="1" applyBorder="1" applyAlignment="1"/>
    <xf numFmtId="10" fontId="6" fillId="9" borderId="0" xfId="0" applyNumberFormat="1" applyFont="1" applyFill="1" applyBorder="1" applyAlignment="1"/>
    <xf numFmtId="0" fontId="6" fillId="9" borderId="0" xfId="0" applyNumberFormat="1" applyFont="1" applyFill="1" applyBorder="1" applyAlignment="1"/>
    <xf numFmtId="0" fontId="6" fillId="8" borderId="0" xfId="0" applyNumberFormat="1" applyFont="1" applyFill="1" applyBorder="1" applyAlignment="1"/>
    <xf numFmtId="164" fontId="6" fillId="8" borderId="0" xfId="1" applyNumberFormat="1" applyFont="1" applyFill="1" applyBorder="1" applyAlignment="1"/>
    <xf numFmtId="10" fontId="6" fillId="8" borderId="0" xfId="0" applyNumberFormat="1" applyFont="1" applyFill="1" applyBorder="1" applyAlignment="1"/>
    <xf numFmtId="0" fontId="6" fillId="5" borderId="0" xfId="0" applyNumberFormat="1" applyFont="1" applyFill="1" applyBorder="1" applyAlignment="1"/>
    <xf numFmtId="0" fontId="6" fillId="2" borderId="0" xfId="0" applyNumberFormat="1" applyFont="1" applyFill="1" applyBorder="1" applyAlignment="1"/>
    <xf numFmtId="0" fontId="5" fillId="9" borderId="0" xfId="0" applyNumberFormat="1" applyFont="1" applyFill="1" applyBorder="1" applyAlignment="1"/>
    <xf numFmtId="0" fontId="7" fillId="8" borderId="0" xfId="3" applyNumberFormat="1" applyFill="1" applyBorder="1" applyAlignment="1"/>
    <xf numFmtId="164" fontId="41" fillId="9" borderId="0" xfId="1" applyNumberFormat="1" applyFont="1" applyFill="1" applyAlignment="1">
      <alignment vertical="center"/>
    </xf>
    <xf numFmtId="0" fontId="7" fillId="0" borderId="0" xfId="3" applyAlignment="1">
      <alignment vertical="center"/>
    </xf>
    <xf numFmtId="0" fontId="42" fillId="5" borderId="0" xfId="0" applyFont="1" applyFill="1" applyAlignment="1">
      <alignment vertical="center"/>
    </xf>
    <xf numFmtId="164" fontId="41" fillId="2" borderId="0" xfId="1" applyNumberFormat="1" applyFont="1" applyFill="1" applyAlignment="1">
      <alignment vertical="center"/>
    </xf>
    <xf numFmtId="10" fontId="6" fillId="2" borderId="0" xfId="0" applyNumberFormat="1" applyFont="1" applyFill="1" applyBorder="1" applyAlignment="1"/>
    <xf numFmtId="0" fontId="0" fillId="9" borderId="0" xfId="0" applyFill="1" applyAlignment="1">
      <alignment vertical="center"/>
    </xf>
    <xf numFmtId="164" fontId="5" fillId="9" borderId="0" xfId="1" applyNumberFormat="1" applyFont="1" applyFill="1" applyBorder="1" applyAlignment="1"/>
    <xf numFmtId="10" fontId="0" fillId="9" borderId="0" xfId="0" applyNumberFormat="1" applyFill="1" applyAlignment="1">
      <alignment vertical="center"/>
    </xf>
    <xf numFmtId="10" fontId="41" fillId="9" borderId="0" xfId="0" applyNumberFormat="1" applyFont="1" applyFill="1" applyAlignment="1">
      <alignment vertical="center"/>
    </xf>
    <xf numFmtId="0" fontId="43" fillId="5" borderId="0" xfId="0" applyFont="1" applyFill="1" applyAlignment="1">
      <alignment vertical="center"/>
    </xf>
    <xf numFmtId="10" fontId="0" fillId="2" borderId="0" xfId="0" applyNumberFormat="1" applyFill="1" applyAlignment="1">
      <alignment vertical="center"/>
    </xf>
    <xf numFmtId="164" fontId="41" fillId="9" borderId="0" xfId="1" applyNumberFormat="1" applyFont="1" applyFill="1" applyAlignment="1"/>
    <xf numFmtId="10" fontId="41" fillId="9" borderId="0" xfId="0" applyNumberFormat="1" applyFont="1" applyFill="1" applyAlignment="1"/>
    <xf numFmtId="164" fontId="0" fillId="9" borderId="0" xfId="1" applyNumberFormat="1" applyFont="1" applyFill="1" applyAlignment="1">
      <alignment vertical="center"/>
    </xf>
    <xf numFmtId="0" fontId="41" fillId="5" borderId="0" xfId="0" applyFont="1" applyFill="1" applyAlignment="1">
      <alignment vertical="center"/>
    </xf>
    <xf numFmtId="0" fontId="42" fillId="0" borderId="0" xfId="0" applyFont="1" applyAlignment="1">
      <alignment vertical="center"/>
    </xf>
    <xf numFmtId="164" fontId="0" fillId="4" borderId="0" xfId="1" applyNumberFormat="1" applyFont="1" applyFill="1" applyAlignment="1">
      <alignment vertical="center"/>
    </xf>
    <xf numFmtId="0" fontId="42" fillId="4" borderId="0" xfId="0" applyFont="1" applyFill="1" applyAlignment="1">
      <alignment vertical="center"/>
    </xf>
    <xf numFmtId="164" fontId="2" fillId="0" borderId="0" xfId="1" applyNumberFormat="1" applyFont="1" applyFill="1" applyBorder="1" applyAlignment="1">
      <alignment vertical="top" wrapText="1"/>
    </xf>
    <xf numFmtId="164" fontId="5" fillId="0" borderId="0" xfId="1" applyNumberFormat="1" applyFont="1" applyFill="1" applyBorder="1" applyAlignment="1">
      <alignment vertical="top"/>
    </xf>
    <xf numFmtId="0" fontId="9" fillId="2" borderId="0" xfId="0" applyFont="1" applyFill="1" applyBorder="1" applyAlignment="1" applyProtection="1">
      <alignment vertical="top"/>
    </xf>
    <xf numFmtId="0" fontId="10" fillId="2" borderId="0" xfId="0" applyFont="1" applyFill="1" applyBorder="1" applyAlignment="1" applyProtection="1">
      <alignment vertical="top"/>
    </xf>
    <xf numFmtId="0" fontId="11" fillId="2" borderId="0" xfId="0" applyFont="1" applyFill="1" applyBorder="1" applyAlignment="1" applyProtection="1">
      <alignment vertical="top" wrapText="1"/>
    </xf>
    <xf numFmtId="0" fontId="12" fillId="2" borderId="0" xfId="0" applyFont="1" applyFill="1" applyBorder="1" applyAlignment="1" applyProtection="1">
      <alignment vertical="top"/>
      <protection locked="0"/>
    </xf>
    <xf numFmtId="0" fontId="44" fillId="0" borderId="0" xfId="0" applyNumberFormat="1" applyFont="1" applyFill="1" applyBorder="1" applyAlignment="1">
      <alignment wrapText="1"/>
    </xf>
    <xf numFmtId="3" fontId="6" fillId="5" borderId="0" xfId="0" applyNumberFormat="1" applyFont="1" applyFill="1" applyBorder="1" applyAlignment="1"/>
    <xf numFmtId="0" fontId="22" fillId="4" borderId="0" xfId="0" quotePrefix="1" applyFont="1" applyFill="1" applyBorder="1" applyAlignment="1" applyProtection="1">
      <alignment horizontal="center" vertical="center" wrapText="1"/>
    </xf>
    <xf numFmtId="0" fontId="22" fillId="4" borderId="10" xfId="0" quotePrefix="1" applyFont="1" applyFill="1" applyBorder="1" applyAlignment="1" applyProtection="1">
      <alignment horizontal="center" vertical="center" wrapText="1"/>
    </xf>
    <xf numFmtId="0" fontId="22" fillId="4" borderId="10" xfId="0" applyFont="1" applyFill="1" applyBorder="1" applyAlignment="1" applyProtection="1">
      <alignment horizontal="center" vertical="top" wrapText="1"/>
    </xf>
    <xf numFmtId="0" fontId="16" fillId="4" borderId="0" xfId="0" applyFont="1" applyFill="1" applyBorder="1" applyAlignment="1" applyProtection="1">
      <alignment vertical="top" wrapText="1"/>
    </xf>
    <xf numFmtId="43" fontId="16" fillId="4" borderId="0" xfId="1" applyFont="1" applyFill="1" applyBorder="1" applyAlignment="1" applyProtection="1">
      <alignment vertical="top" wrapText="1"/>
    </xf>
    <xf numFmtId="9" fontId="16" fillId="4" borderId="0" xfId="2" applyFont="1" applyFill="1" applyBorder="1" applyAlignment="1" applyProtection="1">
      <alignment vertical="top" wrapText="1"/>
    </xf>
    <xf numFmtId="9" fontId="16" fillId="4" borderId="10" xfId="2" applyFont="1" applyFill="1" applyBorder="1" applyAlignment="1" applyProtection="1">
      <alignment vertical="top" wrapText="1"/>
    </xf>
    <xf numFmtId="0" fontId="39" fillId="0" borderId="0" xfId="0" applyFont="1" applyFill="1" applyBorder="1" applyAlignment="1" applyProtection="1">
      <alignment vertical="top" wrapText="1"/>
    </xf>
    <xf numFmtId="0" fontId="40" fillId="0" borderId="0" xfId="0" applyFont="1" applyFill="1" applyBorder="1" applyAlignment="1" applyProtection="1">
      <alignment vertical="top" wrapText="1"/>
    </xf>
    <xf numFmtId="166" fontId="40" fillId="0" borderId="0" xfId="1" applyNumberFormat="1" applyFont="1" applyFill="1" applyBorder="1" applyAlignment="1" applyProtection="1">
      <alignment vertical="top" wrapText="1"/>
    </xf>
    <xf numFmtId="0" fontId="37" fillId="0" borderId="0" xfId="0" applyFont="1" applyFill="1" applyBorder="1" applyAlignment="1" applyProtection="1">
      <alignment vertical="top" wrapText="1"/>
    </xf>
    <xf numFmtId="0" fontId="40" fillId="0" borderId="0" xfId="0" applyFont="1" applyBorder="1" applyAlignment="1" applyProtection="1">
      <alignment vertical="top" wrapText="1"/>
    </xf>
    <xf numFmtId="0" fontId="22" fillId="0" borderId="0" xfId="0" applyFont="1" applyBorder="1" applyAlignment="1" applyProtection="1">
      <alignment vertical="top" wrapText="1"/>
    </xf>
    <xf numFmtId="0" fontId="22" fillId="0" borderId="0" xfId="0" applyFont="1" applyBorder="1" applyAlignment="1" applyProtection="1">
      <alignment vertical="top" wrapText="1"/>
      <protection locked="0"/>
    </xf>
    <xf numFmtId="0" fontId="22" fillId="4" borderId="10" xfId="0" applyFont="1" applyFill="1" applyBorder="1" applyAlignment="1" applyProtection="1">
      <alignment horizontal="center" vertical="center" wrapText="1"/>
    </xf>
    <xf numFmtId="0" fontId="22" fillId="4" borderId="9" xfId="0" applyFont="1" applyFill="1" applyBorder="1" applyAlignment="1" applyProtection="1">
      <alignment horizontal="center" vertical="center" wrapText="1"/>
    </xf>
    <xf numFmtId="0" fontId="45" fillId="0" borderId="0" xfId="0" applyNumberFormat="1" applyFont="1" applyFill="1" applyBorder="1" applyAlignment="1"/>
    <xf numFmtId="0" fontId="22" fillId="4" borderId="0" xfId="0" applyFont="1" applyFill="1" applyBorder="1" applyAlignment="1" applyProtection="1">
      <alignment horizontal="center" vertical="center" wrapText="1"/>
    </xf>
    <xf numFmtId="9" fontId="23" fillId="4" borderId="10" xfId="2" applyFont="1" applyFill="1" applyBorder="1" applyAlignment="1" applyProtection="1">
      <alignment horizontal="center" vertical="center"/>
    </xf>
    <xf numFmtId="0" fontId="22" fillId="4" borderId="0" xfId="0" applyFont="1" applyFill="1" applyBorder="1" applyAlignment="1" applyProtection="1">
      <alignment horizontal="center" vertical="top"/>
    </xf>
    <xf numFmtId="0" fontId="22" fillId="4" borderId="0" xfId="0" quotePrefix="1" applyFont="1" applyFill="1" applyBorder="1" applyAlignment="1" applyProtection="1">
      <alignment horizontal="center" vertical="center" wrapText="1"/>
    </xf>
    <xf numFmtId="0" fontId="22" fillId="4" borderId="0" xfId="0" applyFont="1" applyFill="1" applyBorder="1" applyAlignment="1" applyProtection="1">
      <alignment horizontal="center" vertical="top" wrapText="1"/>
    </xf>
    <xf numFmtId="0" fontId="22" fillId="4" borderId="9" xfId="0" applyFont="1" applyFill="1" applyBorder="1" applyAlignment="1" applyProtection="1">
      <alignment horizontal="center" vertical="top" wrapText="1"/>
    </xf>
    <xf numFmtId="0" fontId="22" fillId="4" borderId="0" xfId="0" applyFont="1" applyFill="1" applyBorder="1" applyAlignment="1" applyProtection="1">
      <alignment horizontal="center" vertical="top" wrapText="1"/>
    </xf>
    <xf numFmtId="0" fontId="48" fillId="0" borderId="0" xfId="0" applyFont="1" applyFill="1" applyBorder="1" applyAlignment="1" applyProtection="1">
      <alignment vertical="top"/>
      <protection locked="0"/>
    </xf>
    <xf numFmtId="0" fontId="48" fillId="0" borderId="0" xfId="0" applyFont="1" applyBorder="1" applyAlignment="1" applyProtection="1">
      <alignment vertical="top"/>
    </xf>
    <xf numFmtId="0" fontId="48" fillId="0" borderId="0" xfId="0" applyFont="1" applyBorder="1" applyAlignment="1" applyProtection="1">
      <alignment vertical="center"/>
    </xf>
    <xf numFmtId="0" fontId="48" fillId="0" borderId="0" xfId="0" applyFont="1" applyBorder="1" applyAlignment="1" applyProtection="1">
      <alignment vertical="top" wrapText="1"/>
    </xf>
    <xf numFmtId="0" fontId="48" fillId="0" borderId="0" xfId="0" applyFont="1" applyBorder="1" applyAlignment="1" applyProtection="1">
      <alignment vertical="top"/>
      <protection locked="0"/>
    </xf>
    <xf numFmtId="165" fontId="10" fillId="4" borderId="0" xfId="0" applyNumberFormat="1" applyFont="1" applyFill="1" applyBorder="1" applyAlignment="1" applyProtection="1">
      <alignment vertical="top"/>
      <protection locked="0"/>
    </xf>
    <xf numFmtId="165" fontId="15" fillId="4" borderId="0" xfId="0" applyNumberFormat="1" applyFont="1" applyFill="1" applyBorder="1" applyAlignment="1" applyProtection="1">
      <alignment vertical="center"/>
      <protection locked="0"/>
    </xf>
    <xf numFmtId="165" fontId="22" fillId="4" borderId="0" xfId="0" applyNumberFormat="1" applyFont="1" applyFill="1" applyBorder="1" applyAlignment="1" applyProtection="1">
      <alignment vertical="top"/>
    </xf>
    <xf numFmtId="0" fontId="22" fillId="4" borderId="9" xfId="0" quotePrefix="1" applyFont="1" applyFill="1" applyBorder="1" applyAlignment="1" applyProtection="1">
      <alignment horizontal="center" vertical="top" wrapText="1"/>
    </xf>
    <xf numFmtId="0" fontId="10" fillId="4" borderId="0" xfId="0" applyFont="1" applyFill="1" applyBorder="1" applyAlignment="1" applyProtection="1">
      <alignment horizontal="left" vertical="top"/>
    </xf>
    <xf numFmtId="164" fontId="10" fillId="4" borderId="0" xfId="1" applyNumberFormat="1" applyFont="1" applyFill="1" applyBorder="1" applyAlignment="1" applyProtection="1">
      <alignment vertical="top"/>
    </xf>
    <xf numFmtId="9" fontId="10" fillId="4" borderId="0" xfId="2" applyFont="1" applyFill="1" applyBorder="1" applyAlignment="1" applyProtection="1">
      <alignment vertical="top"/>
    </xf>
    <xf numFmtId="171" fontId="10" fillId="4" borderId="0" xfId="2" applyNumberFormat="1" applyFont="1" applyFill="1" applyBorder="1" applyAlignment="1" applyProtection="1">
      <alignment vertical="top"/>
    </xf>
    <xf numFmtId="0" fontId="26" fillId="4" borderId="9" xfId="0" applyFont="1" applyFill="1" applyBorder="1" applyAlignment="1" applyProtection="1">
      <alignment horizontal="left" vertical="top" wrapText="1"/>
    </xf>
    <xf numFmtId="0" fontId="26" fillId="4" borderId="0" xfId="0" applyFont="1" applyFill="1" applyBorder="1" applyAlignment="1" applyProtection="1">
      <alignment horizontal="left" vertical="top" wrapText="1"/>
    </xf>
    <xf numFmtId="0" fontId="26" fillId="4" borderId="10" xfId="0" applyFont="1" applyFill="1" applyBorder="1" applyAlignment="1" applyProtection="1">
      <alignment horizontal="left" vertical="top" wrapText="1"/>
    </xf>
    <xf numFmtId="0" fontId="26" fillId="4" borderId="7" xfId="0" applyFont="1" applyFill="1" applyBorder="1" applyAlignment="1" applyProtection="1">
      <alignment horizontal="left" vertical="top" wrapText="1"/>
    </xf>
    <xf numFmtId="0" fontId="26" fillId="4" borderId="8" xfId="0" applyFont="1" applyFill="1" applyBorder="1" applyAlignment="1" applyProtection="1">
      <alignment horizontal="left" vertical="top" wrapText="1"/>
    </xf>
    <xf numFmtId="0" fontId="26" fillId="4" borderId="9" xfId="0" applyFont="1" applyFill="1" applyBorder="1" applyAlignment="1" applyProtection="1">
      <alignment horizontal="left" vertical="top"/>
      <protection locked="0"/>
    </xf>
    <xf numFmtId="0" fontId="26" fillId="4" borderId="6" xfId="0" applyFont="1" applyFill="1" applyBorder="1" applyAlignment="1" applyProtection="1">
      <alignment horizontal="left" vertical="top"/>
      <protection locked="0"/>
    </xf>
    <xf numFmtId="0" fontId="26" fillId="4" borderId="0" xfId="0" applyFont="1" applyFill="1" applyBorder="1" applyAlignment="1" applyProtection="1">
      <alignment horizontal="left" vertical="top"/>
    </xf>
    <xf numFmtId="0" fontId="26" fillId="4" borderId="7" xfId="0" applyFont="1" applyFill="1" applyBorder="1" applyAlignment="1" applyProtection="1">
      <alignment horizontal="left" vertical="top"/>
    </xf>
    <xf numFmtId="0" fontId="26" fillId="4" borderId="0" xfId="0" applyFont="1" applyFill="1" applyBorder="1" applyAlignment="1" applyProtection="1">
      <alignment horizontal="left" vertical="top"/>
      <protection locked="0"/>
    </xf>
    <xf numFmtId="0" fontId="26" fillId="4" borderId="7" xfId="0" applyFont="1" applyFill="1" applyBorder="1" applyAlignment="1" applyProtection="1">
      <alignment horizontal="left" vertical="top"/>
      <protection locked="0"/>
    </xf>
    <xf numFmtId="0" fontId="27" fillId="7" borderId="3" xfId="0" applyFont="1" applyFill="1" applyBorder="1" applyAlignment="1" applyProtection="1">
      <alignment horizontal="center" vertical="top"/>
    </xf>
    <xf numFmtId="0" fontId="27" fillId="7" borderId="4" xfId="0" applyFont="1" applyFill="1" applyBorder="1" applyAlignment="1" applyProtection="1">
      <alignment horizontal="center" vertical="top"/>
    </xf>
    <xf numFmtId="0" fontId="27" fillId="7" borderId="5" xfId="0" applyFont="1" applyFill="1" applyBorder="1" applyAlignment="1" applyProtection="1">
      <alignment horizontal="center" vertical="top"/>
    </xf>
    <xf numFmtId="0" fontId="27" fillId="7" borderId="6" xfId="0" applyFont="1" applyFill="1" applyBorder="1" applyAlignment="1" applyProtection="1">
      <alignment horizontal="center" vertical="top"/>
    </xf>
    <xf numFmtId="0" fontId="27" fillId="7" borderId="7" xfId="0" applyFont="1" applyFill="1" applyBorder="1" applyAlignment="1" applyProtection="1">
      <alignment horizontal="center" vertical="top"/>
    </xf>
    <xf numFmtId="0" fontId="27" fillId="7" borderId="8" xfId="0" applyFont="1" applyFill="1" applyBorder="1" applyAlignment="1" applyProtection="1">
      <alignment horizontal="center" vertical="top"/>
    </xf>
    <xf numFmtId="0" fontId="28" fillId="7" borderId="3" xfId="0" applyFont="1" applyFill="1" applyBorder="1" applyAlignment="1" applyProtection="1">
      <alignment horizontal="center" vertical="top"/>
    </xf>
    <xf numFmtId="0" fontId="28" fillId="7" borderId="4" xfId="0" applyFont="1" applyFill="1" applyBorder="1" applyAlignment="1" applyProtection="1">
      <alignment horizontal="center" vertical="top"/>
    </xf>
    <xf numFmtId="0" fontId="28" fillId="7" borderId="5" xfId="0" applyFont="1" applyFill="1" applyBorder="1" applyAlignment="1" applyProtection="1">
      <alignment horizontal="center" vertical="top"/>
    </xf>
    <xf numFmtId="0" fontId="23" fillId="4" borderId="9" xfId="0" applyFont="1" applyFill="1" applyBorder="1" applyAlignment="1" applyProtection="1">
      <alignment horizontal="center" vertical="center"/>
    </xf>
    <xf numFmtId="0" fontId="23" fillId="4" borderId="0" xfId="0" applyFont="1" applyFill="1" applyBorder="1" applyAlignment="1" applyProtection="1">
      <alignment horizontal="center" vertical="center"/>
    </xf>
    <xf numFmtId="0" fontId="26" fillId="0" borderId="4" xfId="0" applyFont="1" applyBorder="1" applyAlignment="1" applyProtection="1">
      <alignment horizontal="left" vertical="top"/>
      <protection locked="0"/>
    </xf>
    <xf numFmtId="0" fontId="32" fillId="4" borderId="9" xfId="0" applyFont="1" applyFill="1" applyBorder="1" applyAlignment="1" applyProtection="1">
      <alignment horizontal="center" vertical="top"/>
    </xf>
    <xf numFmtId="0" fontId="32" fillId="4" borderId="0" xfId="0" applyFont="1" applyFill="1" applyBorder="1" applyAlignment="1" applyProtection="1">
      <alignment horizontal="center" vertical="top"/>
    </xf>
    <xf numFmtId="0" fontId="32" fillId="4" borderId="10" xfId="0" applyFont="1" applyFill="1" applyBorder="1" applyAlignment="1" applyProtection="1">
      <alignment horizontal="center" vertical="top"/>
    </xf>
    <xf numFmtId="0" fontId="22" fillId="4" borderId="9" xfId="0" applyFont="1" applyFill="1" applyBorder="1" applyAlignment="1" applyProtection="1">
      <alignment horizontal="center" vertical="center"/>
    </xf>
    <xf numFmtId="0" fontId="22" fillId="4" borderId="0" xfId="0" applyFont="1" applyFill="1" applyBorder="1" applyAlignment="1" applyProtection="1">
      <alignment horizontal="center" vertical="center" wrapText="1"/>
    </xf>
    <xf numFmtId="0" fontId="23" fillId="4" borderId="10" xfId="0" applyFont="1" applyFill="1" applyBorder="1" applyAlignment="1" applyProtection="1">
      <alignment horizontal="center" vertical="center"/>
    </xf>
    <xf numFmtId="0" fontId="12" fillId="2" borderId="0" xfId="0" applyFont="1" applyFill="1" applyBorder="1" applyAlignment="1" applyProtection="1">
      <alignment horizontal="left" vertical="top"/>
      <protection locked="0"/>
    </xf>
    <xf numFmtId="0" fontId="22" fillId="4" borderId="0" xfId="0" applyFont="1" applyFill="1" applyBorder="1" applyAlignment="1" applyProtection="1">
      <alignment horizontal="left" vertical="top" wrapText="1"/>
    </xf>
    <xf numFmtId="0" fontId="22" fillId="4" borderId="10" xfId="0" applyFont="1" applyFill="1" applyBorder="1" applyAlignment="1" applyProtection="1">
      <alignment horizontal="left" vertical="top" wrapText="1"/>
    </xf>
    <xf numFmtId="0" fontId="22" fillId="4" borderId="7" xfId="0" applyFont="1" applyFill="1" applyBorder="1" applyAlignment="1" applyProtection="1">
      <alignment horizontal="left" vertical="top" wrapText="1"/>
    </xf>
    <xf numFmtId="0" fontId="22" fillId="4" borderId="8" xfId="0" applyFont="1" applyFill="1" applyBorder="1" applyAlignment="1" applyProtection="1">
      <alignment horizontal="left" vertical="top" wrapText="1"/>
    </xf>
    <xf numFmtId="164" fontId="31" fillId="7" borderId="3" xfId="1" applyNumberFormat="1" applyFont="1" applyFill="1" applyBorder="1" applyAlignment="1" applyProtection="1">
      <alignment horizontal="center" vertical="top"/>
    </xf>
    <xf numFmtId="164" fontId="31" fillId="7" borderId="4" xfId="1" applyNumberFormat="1" applyFont="1" applyFill="1" applyBorder="1" applyAlignment="1" applyProtection="1">
      <alignment horizontal="center" vertical="top"/>
    </xf>
    <xf numFmtId="164" fontId="31" fillId="7" borderId="5" xfId="1" applyNumberFormat="1" applyFont="1" applyFill="1" applyBorder="1" applyAlignment="1" applyProtection="1">
      <alignment horizontal="center" vertical="top"/>
    </xf>
    <xf numFmtId="0" fontId="26" fillId="4" borderId="4" xfId="0" applyFont="1" applyFill="1" applyBorder="1" applyAlignment="1" applyProtection="1">
      <alignment horizontal="left" vertical="top" wrapText="1"/>
    </xf>
    <xf numFmtId="0" fontId="26" fillId="4" borderId="5" xfId="0" applyFont="1" applyFill="1" applyBorder="1" applyAlignment="1" applyProtection="1">
      <alignment horizontal="left" vertical="top" wrapText="1"/>
    </xf>
    <xf numFmtId="0" fontId="26" fillId="4" borderId="3" xfId="0" applyFont="1" applyFill="1" applyBorder="1" applyAlignment="1" applyProtection="1">
      <alignment horizontal="left" vertical="top" wrapText="1"/>
    </xf>
    <xf numFmtId="0" fontId="13" fillId="0" borderId="0" xfId="0" applyFont="1" applyBorder="1" applyAlignment="1" applyProtection="1">
      <alignment horizontal="center" vertical="center"/>
    </xf>
    <xf numFmtId="0" fontId="31" fillId="7" borderId="3" xfId="0" applyFont="1" applyFill="1" applyBorder="1" applyAlignment="1" applyProtection="1">
      <alignment horizontal="center" vertical="top"/>
    </xf>
    <xf numFmtId="0" fontId="31" fillId="7" borderId="4" xfId="0" applyFont="1" applyFill="1" applyBorder="1" applyAlignment="1" applyProtection="1">
      <alignment horizontal="center" vertical="top"/>
    </xf>
    <xf numFmtId="0" fontId="31" fillId="7" borderId="5" xfId="0" applyFont="1" applyFill="1" applyBorder="1" applyAlignment="1" applyProtection="1">
      <alignment horizontal="center" vertical="top"/>
    </xf>
    <xf numFmtId="0" fontId="13" fillId="0" borderId="0" xfId="0" applyFont="1" applyBorder="1" applyAlignment="1" applyProtection="1">
      <alignment horizontal="right" vertical="center"/>
    </xf>
    <xf numFmtId="0" fontId="22" fillId="4" borderId="9" xfId="0" applyFont="1" applyFill="1" applyBorder="1" applyAlignment="1" applyProtection="1">
      <alignment horizontal="center" vertical="top" wrapText="1"/>
    </xf>
    <xf numFmtId="0" fontId="22" fillId="4" borderId="0" xfId="0" applyFont="1" applyFill="1" applyBorder="1" applyAlignment="1" applyProtection="1">
      <alignment horizontal="center" vertical="top" wrapText="1"/>
    </xf>
    <xf numFmtId="0" fontId="22" fillId="4" borderId="6" xfId="0" applyFont="1" applyFill="1" applyBorder="1" applyAlignment="1" applyProtection="1">
      <alignment horizontal="center" vertical="top" wrapText="1"/>
    </xf>
    <xf numFmtId="0" fontId="22" fillId="4" borderId="7" xfId="0" applyFont="1" applyFill="1" applyBorder="1" applyAlignment="1" applyProtection="1">
      <alignment horizontal="center" vertical="top" wrapText="1"/>
    </xf>
    <xf numFmtId="164" fontId="23" fillId="4" borderId="9" xfId="1" applyNumberFormat="1" applyFont="1" applyFill="1" applyBorder="1" applyAlignment="1" applyProtection="1">
      <alignment horizontal="right" vertical="top"/>
    </xf>
    <xf numFmtId="9" fontId="23" fillId="4" borderId="0" xfId="2" applyFont="1" applyFill="1" applyBorder="1" applyAlignment="1" applyProtection="1">
      <alignment horizontal="center" vertical="center"/>
    </xf>
    <xf numFmtId="9" fontId="23" fillId="4" borderId="10" xfId="2" applyFont="1" applyFill="1" applyBorder="1" applyAlignment="1" applyProtection="1">
      <alignment horizontal="center" vertical="center"/>
    </xf>
    <xf numFmtId="0" fontId="37" fillId="0" borderId="0" xfId="0" applyFont="1" applyBorder="1" applyAlignment="1" applyProtection="1">
      <alignment horizontal="right" vertical="center"/>
    </xf>
    <xf numFmtId="0" fontId="14" fillId="4" borderId="9" xfId="0" applyFont="1" applyFill="1" applyBorder="1" applyAlignment="1" applyProtection="1">
      <alignment horizontal="center" vertical="center"/>
    </xf>
    <xf numFmtId="0" fontId="14" fillId="4" borderId="0" xfId="0" applyFont="1" applyFill="1" applyBorder="1" applyAlignment="1" applyProtection="1">
      <alignment horizontal="center" vertical="center"/>
    </xf>
    <xf numFmtId="0" fontId="14" fillId="4" borderId="10" xfId="0" applyFont="1" applyFill="1" applyBorder="1" applyAlignment="1" applyProtection="1">
      <alignment horizontal="center" vertical="center"/>
    </xf>
    <xf numFmtId="0" fontId="32" fillId="4" borderId="9" xfId="0" applyFont="1" applyFill="1" applyBorder="1" applyAlignment="1" applyProtection="1">
      <alignment horizontal="center" vertical="top" wrapText="1"/>
    </xf>
    <xf numFmtId="0" fontId="32" fillId="4" borderId="0" xfId="0" applyFont="1" applyFill="1" applyBorder="1" applyAlignment="1" applyProtection="1">
      <alignment horizontal="center" vertical="top" wrapText="1"/>
    </xf>
    <xf numFmtId="0" fontId="32" fillId="4" borderId="10" xfId="0" applyFont="1" applyFill="1" applyBorder="1" applyAlignment="1" applyProtection="1">
      <alignment horizontal="center" vertical="top" wrapText="1"/>
    </xf>
    <xf numFmtId="0" fontId="22" fillId="4" borderId="0" xfId="0" applyFont="1" applyFill="1" applyBorder="1" applyAlignment="1" applyProtection="1">
      <alignment horizontal="center" vertical="top"/>
    </xf>
    <xf numFmtId="0" fontId="22" fillId="4" borderId="10" xfId="0" applyFont="1" applyFill="1" applyBorder="1" applyAlignment="1" applyProtection="1">
      <alignment horizontal="center" vertical="top"/>
    </xf>
    <xf numFmtId="0" fontId="22" fillId="4" borderId="9" xfId="0" quotePrefix="1" applyFont="1" applyFill="1" applyBorder="1" applyAlignment="1" applyProtection="1">
      <alignment horizontal="center" vertical="center" wrapText="1"/>
    </xf>
    <xf numFmtId="0" fontId="22" fillId="4" borderId="0" xfId="0" quotePrefix="1" applyFont="1" applyFill="1" applyBorder="1" applyAlignment="1" applyProtection="1">
      <alignment horizontal="center" vertical="center" wrapText="1"/>
    </xf>
    <xf numFmtId="0" fontId="10" fillId="4" borderId="0" xfId="0" applyFont="1" applyFill="1" applyBorder="1" applyAlignment="1" applyProtection="1">
      <alignment horizontal="center" vertical="center"/>
    </xf>
    <xf numFmtId="0" fontId="22" fillId="4" borderId="9" xfId="0" applyFont="1" applyFill="1" applyBorder="1" applyAlignment="1" applyProtection="1">
      <alignment horizontal="left" vertical="center" wrapText="1" indent="1"/>
    </xf>
    <xf numFmtId="0" fontId="22" fillId="4" borderId="0" xfId="0" applyFont="1" applyFill="1" applyBorder="1" applyAlignment="1" applyProtection="1">
      <alignment horizontal="left" vertical="center" wrapText="1" indent="1"/>
    </xf>
    <xf numFmtId="0" fontId="22" fillId="4" borderId="9" xfId="0" applyFont="1" applyFill="1" applyBorder="1" applyAlignment="1" applyProtection="1">
      <alignment horizontal="left" vertical="center" wrapText="1" indent="2"/>
    </xf>
    <xf numFmtId="0" fontId="22" fillId="4" borderId="0" xfId="0" applyFont="1" applyFill="1" applyBorder="1" applyAlignment="1" applyProtection="1">
      <alignment horizontal="left" vertical="center" wrapText="1" indent="2"/>
    </xf>
    <xf numFmtId="0" fontId="0" fillId="0" borderId="0" xfId="0" applyAlignment="1">
      <alignment horizontal="center"/>
    </xf>
    <xf numFmtId="0" fontId="0" fillId="0" borderId="0" xfId="0" pivotButton="1" applyAlignment="1">
      <alignment horizontal="center"/>
    </xf>
    <xf numFmtId="0" fontId="20" fillId="0" borderId="0" xfId="0" applyFont="1" applyAlignment="1">
      <alignment horizontal="center" wrapText="1"/>
    </xf>
    <xf numFmtId="0" fontId="8" fillId="0" borderId="0" xfId="0" applyFont="1" applyAlignment="1">
      <alignment horizontal="center" wrapText="1"/>
    </xf>
  </cellXfs>
  <cellStyles count="5">
    <cellStyle name="Comma" xfId="1" builtinId="3"/>
    <cellStyle name="Comma 2" xfId="4"/>
    <cellStyle name="Hyperlink" xfId="3" builtinId="8"/>
    <cellStyle name="Normal" xfId="0" builtinId="0"/>
    <cellStyle name="Percent" xfId="2" builtinId="5"/>
  </cellStyles>
  <dxfs count="47">
    <dxf>
      <numFmt numFmtId="164" formatCode="_-* #,##0_-;\-* #,##0_-;_-* &quot;-&quot;??_-;_-@_-"/>
    </dxf>
    <dxf>
      <numFmt numFmtId="164" formatCode="_-* #,##0_-;\-* #,##0_-;_-* &quot;-&quot;??_-;_-@_-"/>
    </dxf>
    <dxf>
      <numFmt numFmtId="166" formatCode="_-* #,##0.0_-;\-* #,##0.0_-;_-* &quot;-&quot;??_-;_-@_-"/>
    </dxf>
    <dxf>
      <numFmt numFmtId="166" formatCode="_-* #,##0.0_-;\-* #,##0.0_-;_-* &quot;-&quot;??_-;_-@_-"/>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b/>
        <i val="0"/>
      </font>
      <fill>
        <patternFill>
          <bgColor rgb="FFFFC000"/>
        </patternFill>
      </fill>
    </dxf>
    <dxf>
      <font>
        <color rgb="FFFF0000"/>
      </font>
      <fill>
        <patternFill>
          <bgColor theme="0"/>
        </patternFill>
      </fill>
    </dxf>
    <dxf>
      <font>
        <color theme="9"/>
      </font>
      <fill>
        <patternFill>
          <bgColor theme="0"/>
        </patternFill>
      </fill>
    </dxf>
    <dxf>
      <font>
        <color theme="5"/>
      </font>
    </dxf>
    <dxf>
      <font>
        <color rgb="FFFF0000"/>
      </font>
      <fill>
        <patternFill>
          <bgColor theme="0"/>
        </patternFill>
      </fill>
    </dxf>
    <dxf>
      <font>
        <color theme="9"/>
      </font>
      <fill>
        <patternFill>
          <bgColor theme="0"/>
        </patternFill>
      </fill>
    </dxf>
    <dxf>
      <font>
        <color theme="5"/>
      </font>
    </dxf>
    <dxf>
      <font>
        <color rgb="FFFF0000"/>
      </font>
      <fill>
        <patternFill>
          <bgColor theme="0"/>
        </patternFill>
      </fill>
    </dxf>
    <dxf>
      <font>
        <color theme="9"/>
      </font>
      <fill>
        <patternFill>
          <bgColor theme="0"/>
        </patternFill>
      </fill>
    </dxf>
    <dxf>
      <font>
        <color theme="5"/>
      </font>
    </dxf>
    <dxf>
      <font>
        <color rgb="FFFF0000"/>
      </font>
      <fill>
        <patternFill>
          <bgColor theme="0"/>
        </patternFill>
      </fill>
    </dxf>
    <dxf>
      <font>
        <color theme="9"/>
      </font>
      <fill>
        <patternFill>
          <bgColor theme="0"/>
        </patternFill>
      </fill>
    </dxf>
    <dxf>
      <font>
        <color theme="5"/>
      </font>
    </dxf>
    <dxf>
      <font>
        <color rgb="FFFF0000"/>
      </font>
      <fill>
        <patternFill>
          <bgColor theme="0"/>
        </patternFill>
      </fill>
    </dxf>
    <dxf>
      <font>
        <color theme="9"/>
      </font>
      <fill>
        <patternFill>
          <bgColor theme="0"/>
        </patternFill>
      </fill>
    </dxf>
    <dxf>
      <font>
        <color theme="5"/>
      </font>
    </dxf>
    <dxf>
      <font>
        <color rgb="FFFF0000"/>
      </font>
      <fill>
        <patternFill>
          <bgColor theme="0"/>
        </patternFill>
      </fill>
    </dxf>
    <dxf>
      <font>
        <color theme="9"/>
      </font>
      <fill>
        <patternFill>
          <bgColor theme="0"/>
        </patternFill>
      </fill>
    </dxf>
    <dxf>
      <font>
        <color theme="5"/>
      </font>
    </dxf>
    <dxf>
      <font>
        <color rgb="FFFF0000"/>
      </font>
      <fill>
        <patternFill>
          <bgColor theme="0"/>
        </patternFill>
      </fill>
    </dxf>
    <dxf>
      <font>
        <color theme="9"/>
      </font>
      <fill>
        <patternFill>
          <bgColor theme="0"/>
        </patternFill>
      </fill>
    </dxf>
    <dxf>
      <font>
        <color theme="5"/>
      </font>
    </dxf>
    <dxf>
      <font>
        <color rgb="FFFF0000"/>
      </font>
      <fill>
        <patternFill>
          <bgColor theme="0"/>
        </patternFill>
      </fill>
    </dxf>
    <dxf>
      <font>
        <color theme="9"/>
      </font>
      <fill>
        <patternFill>
          <bgColor theme="0"/>
        </patternFill>
      </fill>
    </dxf>
    <dxf>
      <font>
        <color theme="5"/>
      </font>
    </dxf>
    <dxf>
      <font>
        <color rgb="FFFF0000"/>
      </font>
      <fill>
        <patternFill>
          <bgColor theme="0"/>
        </patternFill>
      </fill>
    </dxf>
    <dxf>
      <font>
        <color theme="9"/>
      </font>
      <fill>
        <patternFill>
          <bgColor theme="0"/>
        </patternFill>
      </fill>
    </dxf>
    <dxf>
      <font>
        <color theme="5"/>
      </font>
    </dxf>
    <dxf>
      <font>
        <color rgb="FFFF0000"/>
      </font>
      <fill>
        <patternFill>
          <bgColor theme="0"/>
        </patternFill>
      </fill>
    </dxf>
    <dxf>
      <font>
        <color theme="9"/>
      </font>
      <fill>
        <patternFill>
          <bgColor theme="0"/>
        </patternFill>
      </fill>
    </dxf>
    <dxf>
      <font>
        <color theme="5"/>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400" b="1">
                <a:latin typeface="Arial" panose="020B0604020202020204" pitchFamily="34" charset="0"/>
                <a:cs typeface="Arial" panose="020B0604020202020204" pitchFamily="34" charset="0"/>
              </a:rPr>
              <a:t>CARE's approach</a:t>
            </a:r>
          </a:p>
          <a:p>
            <a:pPr>
              <a:defRPr sz="1000" b="1">
                <a:latin typeface="Arial" panose="020B0604020202020204" pitchFamily="34" charset="0"/>
                <a:cs typeface="Arial" panose="020B0604020202020204" pitchFamily="34" charset="0"/>
              </a:defRPr>
            </a:pPr>
            <a:r>
              <a:rPr lang="en-US" sz="1000" b="0" i="0" baseline="0">
                <a:effectLst/>
              </a:rPr>
              <a:t>Average score on scale of 0-4 (for projects scoring against marker)</a:t>
            </a:r>
            <a:endParaRPr lang="en-GB" sz="1000">
              <a:effectLst/>
            </a:endParaRPr>
          </a:p>
          <a:p>
            <a:pPr>
              <a:defRPr sz="1000" b="1">
                <a:latin typeface="Arial" panose="020B0604020202020204" pitchFamily="34" charset="0"/>
                <a:cs typeface="Arial" panose="020B0604020202020204" pitchFamily="34" charset="0"/>
              </a:defRPr>
            </a:pPr>
            <a:r>
              <a:rPr lang="en-US" sz="1000" b="0" i="0" baseline="0">
                <a:effectLst/>
              </a:rPr>
              <a:t>0=Harmful/Unaware, 2=Sensitive/Acommodating, 4=Transformative/Transformational</a:t>
            </a:r>
            <a:endParaRPr lang="en-GB" sz="1000">
              <a:effectLst/>
            </a:endParaRPr>
          </a:p>
        </c:rich>
      </c:tx>
      <c:layout>
        <c:manualLayout>
          <c:xMode val="edge"/>
          <c:yMode val="edge"/>
          <c:x val="0.19760409135502582"/>
          <c:y val="0"/>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6220025053686474E-2"/>
          <c:y val="0.22302903272343821"/>
          <c:w val="0.86166490382732008"/>
          <c:h val="0.57033323335052766"/>
        </c:manualLayout>
      </c:layout>
      <c:barChart>
        <c:barDir val="col"/>
        <c:grouping val="clustered"/>
        <c:varyColors val="0"/>
        <c:ser>
          <c:idx val="0"/>
          <c:order val="0"/>
          <c:tx>
            <c:strRef>
              <c:f>'FY17 PIIRS Project Summary'!$N$10</c:f>
              <c:strCache>
                <c:ptCount val="1"/>
                <c:pt idx="0">
                  <c:v>Project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5"/>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'FY17 PIIRS Project Summary'!$O$9:$X$9</c15:sqref>
                  </c15:fullRef>
                </c:ext>
              </c:extLst>
              <c:f>('FY17 PIIRS Project Summary'!$O$9,'FY17 PIIRS Project Summary'!$Q$9,'FY17 PIIRS Project Summary'!$U$9)</c:f>
              <c:strCache>
                <c:ptCount val="3"/>
                <c:pt idx="0">
                  <c:v>Gender</c:v>
                </c:pt>
                <c:pt idx="1">
                  <c:v>Governance</c:v>
                </c:pt>
                <c:pt idx="2">
                  <c:v>Resilience</c:v>
                </c:pt>
              </c:strCache>
            </c:strRef>
          </c:cat>
          <c:val>
            <c:numRef>
              <c:extLst>
                <c:ext xmlns:c15="http://schemas.microsoft.com/office/drawing/2012/chart" uri="{02D57815-91ED-43cb-92C2-25804820EDAC}">
                  <c15:fullRef>
                    <c15:sqref>'FY17 PIIRS Project Summary'!$O$10:$X$10</c15:sqref>
                  </c15:fullRef>
                </c:ext>
              </c:extLst>
              <c:f>('FY17 PIIRS Project Summary'!$O$10,'FY17 PIIRS Project Summary'!$Q$10,'FY17 PIIRS Project Summary'!$U$10)</c:f>
              <c:numCache>
                <c:formatCode>0%</c:formatCode>
                <c:ptCount val="3"/>
                <c:pt idx="0" formatCode="_(* #,##0.00_);_(* \(#,##0.00\);_(* &quot;-&quot;??_);_(@_)">
                  <c:v>2</c:v>
                </c:pt>
                <c:pt idx="1" formatCode="_(* #,##0.00_);_(* \(#,##0.00\);_(* &quot;-&quot;??_);_(@_)">
                  <c:v>0</c:v>
                </c:pt>
                <c:pt idx="2" formatCode="_(* #,##0.00_);_(* \(#,##0.00\);_(* &quot;-&quot;??_);_(@_)">
                  <c:v>4</c:v>
                </c:pt>
              </c:numCache>
            </c:numRef>
          </c:val>
          <c:extLst xmlns:c16r2="http://schemas.microsoft.com/office/drawing/2015/06/chart">
            <c:ext xmlns:c16="http://schemas.microsoft.com/office/drawing/2014/chart" uri="{C3380CC4-5D6E-409C-BE32-E72D297353CC}">
              <c16:uniqueId val="{00000000-955E-4907-A181-CDD6A5B4072F}"/>
            </c:ext>
          </c:extLst>
        </c:ser>
        <c:ser>
          <c:idx val="1"/>
          <c:order val="1"/>
          <c:tx>
            <c:strRef>
              <c:f>'FY17 PIIRS Project Summary'!$N$11</c:f>
              <c:strCache>
                <c:ptCount val="1"/>
                <c:pt idx="0">
                  <c:v>Country</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6"/>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'FY17 PIIRS Project Summary'!$O$9:$X$9</c15:sqref>
                  </c15:fullRef>
                </c:ext>
              </c:extLst>
              <c:f>('FY17 PIIRS Project Summary'!$O$9,'FY17 PIIRS Project Summary'!$Q$9,'FY17 PIIRS Project Summary'!$U$9)</c:f>
              <c:strCache>
                <c:ptCount val="3"/>
                <c:pt idx="0">
                  <c:v>Gender</c:v>
                </c:pt>
                <c:pt idx="1">
                  <c:v>Governance</c:v>
                </c:pt>
                <c:pt idx="2">
                  <c:v>Resilience</c:v>
                </c:pt>
              </c:strCache>
            </c:strRef>
          </c:cat>
          <c:val>
            <c:numRef>
              <c:extLst>
                <c:ext xmlns:c15="http://schemas.microsoft.com/office/drawing/2012/chart" uri="{02D57815-91ED-43cb-92C2-25804820EDAC}">
                  <c15:fullRef>
                    <c15:sqref>'FY17 PIIRS Project Summary'!$O$11:$X$11</c15:sqref>
                  </c15:fullRef>
                </c:ext>
              </c:extLst>
              <c:f>('FY17 PIIRS Project Summary'!$O$11,'FY17 PIIRS Project Summary'!$Q$11,'FY17 PIIRS Project Summary'!$U$11)</c:f>
              <c:numCache>
                <c:formatCode>0%</c:formatCode>
                <c:ptCount val="3"/>
                <c:pt idx="0" formatCode="_(* #,##0.00_);_(* \(#,##0.00\);_(* &quot;-&quot;??_);_(@_)">
                  <c:v>2.4166666666666665</c:v>
                </c:pt>
                <c:pt idx="1" formatCode="_(* #,##0.00_);_(* \(#,##0.00\);_(* &quot;-&quot;??_);_(@_)">
                  <c:v>1.9583333333333333</c:v>
                </c:pt>
                <c:pt idx="2" formatCode="_(* #,##0.00_);_(* \(#,##0.00\);_(* &quot;-&quot;??_);_(@_)">
                  <c:v>2.3548387096774195</c:v>
                </c:pt>
              </c:numCache>
            </c:numRef>
          </c:val>
          <c:extLst xmlns:c16r2="http://schemas.microsoft.com/office/drawing/2015/06/chart">
            <c:ext xmlns:c16="http://schemas.microsoft.com/office/drawing/2014/chart" uri="{C3380CC4-5D6E-409C-BE32-E72D297353CC}">
              <c16:uniqueId val="{00000001-955E-4907-A181-CDD6A5B4072F}"/>
            </c:ext>
          </c:extLst>
        </c:ser>
        <c:ser>
          <c:idx val="2"/>
          <c:order val="2"/>
          <c:tx>
            <c:strRef>
              <c:f>'FY17 PIIRS Project Summary'!$N$12</c:f>
              <c:strCache>
                <c:ptCount val="1"/>
                <c:pt idx="0">
                  <c:v>Region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'FY17 PIIRS Project Summary'!$O$9:$X$9</c15:sqref>
                  </c15:fullRef>
                </c:ext>
              </c:extLst>
              <c:f>('FY17 PIIRS Project Summary'!$O$9,'FY17 PIIRS Project Summary'!$Q$9,'FY17 PIIRS Project Summary'!$U$9)</c:f>
              <c:strCache>
                <c:ptCount val="3"/>
                <c:pt idx="0">
                  <c:v>Gender</c:v>
                </c:pt>
                <c:pt idx="1">
                  <c:v>Governance</c:v>
                </c:pt>
                <c:pt idx="2">
                  <c:v>Resilience</c:v>
                </c:pt>
              </c:strCache>
            </c:strRef>
          </c:cat>
          <c:val>
            <c:numRef>
              <c:extLst>
                <c:ext xmlns:c15="http://schemas.microsoft.com/office/drawing/2012/chart" uri="{02D57815-91ED-43cb-92C2-25804820EDAC}">
                  <c15:fullRef>
                    <c15:sqref>'FY17 PIIRS Project Summary'!$O$12:$X$12</c15:sqref>
                  </c15:fullRef>
                </c:ext>
              </c:extLst>
              <c:f>('FY17 PIIRS Project Summary'!$O$12,'FY17 PIIRS Project Summary'!$Q$12,'FY17 PIIRS Project Summary'!$U$12)</c:f>
              <c:numCache>
                <c:formatCode>0%</c:formatCode>
                <c:ptCount val="3"/>
                <c:pt idx="0" formatCode="_(* #,##0.00_);_(* \(#,##0.00\);_(* &quot;-&quot;??_);_(@_)">
                  <c:v>2.445736434108527</c:v>
                </c:pt>
                <c:pt idx="1" formatCode="_(* #,##0.00_);_(* \(#,##0.00\);_(* &quot;-&quot;??_);_(@_)">
                  <c:v>2.1782945736434107</c:v>
                </c:pt>
                <c:pt idx="2" formatCode="_(* #,##0.00_);_(* \(#,##0.00\);_(* &quot;-&quot;??_);_(@_)">
                  <c:v>1.8680851063829786</c:v>
                </c:pt>
              </c:numCache>
            </c:numRef>
          </c:val>
          <c:extLst xmlns:c16r2="http://schemas.microsoft.com/office/drawing/2015/06/chart">
            <c:ext xmlns:c16="http://schemas.microsoft.com/office/drawing/2014/chart" uri="{C3380CC4-5D6E-409C-BE32-E72D297353CC}">
              <c16:uniqueId val="{00000002-955E-4907-A181-CDD6A5B4072F}"/>
            </c:ext>
          </c:extLst>
        </c:ser>
        <c:dLbls>
          <c:showLegendKey val="0"/>
          <c:showVal val="0"/>
          <c:showCatName val="0"/>
          <c:showSerName val="0"/>
          <c:showPercent val="0"/>
          <c:showBubbleSize val="0"/>
        </c:dLbls>
        <c:gapWidth val="150"/>
        <c:axId val="238390496"/>
        <c:axId val="238391056"/>
      </c:barChart>
      <c:catAx>
        <c:axId val="238390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38391056"/>
        <c:crosses val="autoZero"/>
        <c:auto val="1"/>
        <c:lblAlgn val="ctr"/>
        <c:lblOffset val="100"/>
        <c:noMultiLvlLbl val="0"/>
      </c:catAx>
      <c:valAx>
        <c:axId val="238391056"/>
        <c:scaling>
          <c:orientation val="minMax"/>
          <c:max val="4"/>
        </c:scaling>
        <c:delete val="0"/>
        <c:axPos val="l"/>
        <c:numFmt formatCode="_-* #,##0.0_-;\-* #,##0.0_-;_-* &quot;-&quot;?_-;_-@_-"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238390496"/>
        <c:crosses val="autoZero"/>
        <c:crossBetween val="between"/>
      </c:valAx>
      <c:spPr>
        <a:noFill/>
        <a:ln>
          <a:noFill/>
        </a:ln>
        <a:effectLst/>
      </c:spPr>
    </c:plotArea>
    <c:legend>
      <c:legendPos val="r"/>
      <c:legendEntry>
        <c:idx val="0"/>
        <c:txPr>
          <a:bodyPr rot="0" spcFirstLastPara="1" vertOverflow="ellipsis" vert="horz" wrap="square" anchor="ctr" anchorCtr="1"/>
          <a:lstStyle/>
          <a:p>
            <a:pPr>
              <a:defRPr sz="110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legendEntry>
      <c:legendEntry>
        <c:idx val="1"/>
        <c:txPr>
          <a:bodyPr rot="0" spcFirstLastPara="1" vertOverflow="ellipsis" vert="horz" wrap="square" anchor="ctr" anchorCtr="1"/>
          <a:lstStyle/>
          <a:p>
            <a:pPr>
              <a:defRPr sz="1100" b="1" i="0" u="none" strike="noStrike" kern="1200" baseline="0">
                <a:solidFill>
                  <a:schemeClr val="accent6"/>
                </a:solidFill>
                <a:latin typeface="Arial" panose="020B0604020202020204" pitchFamily="34" charset="0"/>
                <a:ea typeface="+mn-ea"/>
                <a:cs typeface="Arial" panose="020B0604020202020204" pitchFamily="34" charset="0"/>
              </a:defRPr>
            </a:pPr>
            <a:endParaRPr lang="en-US"/>
          </a:p>
        </c:txPr>
      </c:legendEntry>
      <c:legendEntry>
        <c:idx val="2"/>
        <c:txPr>
          <a:bodyPr rot="0" spcFirstLastPara="1" vertOverflow="ellipsis" vert="horz" wrap="square" anchor="ctr" anchorCtr="1"/>
          <a:lstStyle/>
          <a:p>
            <a:pPr>
              <a:defRPr sz="1100" b="1" i="0" u="none" strike="noStrike" kern="1200" baseline="0">
                <a:solidFill>
                  <a:schemeClr val="accent2"/>
                </a:solidFill>
                <a:latin typeface="Arial" panose="020B0604020202020204" pitchFamily="34" charset="0"/>
                <a:ea typeface="+mn-ea"/>
                <a:cs typeface="Arial" panose="020B0604020202020204" pitchFamily="34" charset="0"/>
              </a:defRPr>
            </a:pPr>
            <a:endParaRPr lang="en-US"/>
          </a:p>
        </c:txPr>
      </c:legendEntry>
      <c:layout>
        <c:manualLayout>
          <c:xMode val="edge"/>
          <c:yMode val="edge"/>
          <c:x val="0.16710933521369534"/>
          <c:y val="0.87923609967164151"/>
          <c:w val="0.70950758020919025"/>
          <c:h val="0.1181425398748233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sz="1400" b="1"/>
              <a:t>% of projects answering yes</a:t>
            </a:r>
            <a:r>
              <a:rPr lang="en-GB" sz="1400" b="1" baseline="0"/>
              <a:t> to gender marker dimensions</a:t>
            </a:r>
          </a:p>
          <a:p>
            <a:pPr>
              <a:defRPr b="1"/>
            </a:pPr>
            <a:r>
              <a:rPr lang="en-GB" sz="1100" b="0" baseline="0"/>
              <a:t>(in each category)</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'FY17 PIIRS Country Summary'!$B$139</c:f>
              <c:strCache>
                <c:ptCount val="1"/>
                <c:pt idx="0">
                  <c:v>Analysis</c:v>
                </c:pt>
              </c:strCache>
            </c:strRef>
          </c:tx>
          <c:spPr>
            <a:solidFill>
              <a:schemeClr val="accent1"/>
            </a:solidFill>
            <a:ln>
              <a:noFill/>
            </a:ln>
            <a:effectLst/>
          </c:spPr>
          <c:invertIfNegative val="0"/>
          <c:cat>
            <c:strRef>
              <c:f>'FY17 PIIRS Country Summary'!$C$138:$E$138</c:f>
              <c:strCache>
                <c:ptCount val="3"/>
                <c:pt idx="0">
                  <c:v>Did not work on gender
(n=0)</c:v>
                </c:pt>
                <c:pt idx="1">
                  <c:v>Worked within existing gender roles
(n=30)</c:v>
                </c:pt>
                <c:pt idx="2">
                  <c:v>Challenged existing gender roles
(n=18)</c:v>
                </c:pt>
              </c:strCache>
            </c:strRef>
          </c:cat>
          <c:val>
            <c:numRef>
              <c:f>'FY17 PIIRS Country Summary'!$C$139:$E$139</c:f>
              <c:numCache>
                <c:formatCode>0%</c:formatCode>
                <c:ptCount val="3"/>
                <c:pt idx="0">
                  <c:v>0</c:v>
                </c:pt>
                <c:pt idx="1">
                  <c:v>1</c:v>
                </c:pt>
                <c:pt idx="2">
                  <c:v>0.88888888888888884</c:v>
                </c:pt>
              </c:numCache>
            </c:numRef>
          </c:val>
          <c:extLst xmlns:c16r2="http://schemas.microsoft.com/office/drawing/2015/06/chart">
            <c:ext xmlns:c16="http://schemas.microsoft.com/office/drawing/2014/chart" uri="{C3380CC4-5D6E-409C-BE32-E72D297353CC}">
              <c16:uniqueId val="{00000000-A07B-48D5-97AB-4FAEA6E71972}"/>
            </c:ext>
          </c:extLst>
        </c:ser>
        <c:ser>
          <c:idx val="1"/>
          <c:order val="1"/>
          <c:tx>
            <c:strRef>
              <c:f>'FY17 PIIRS Country Summary'!$B$140</c:f>
              <c:strCache>
                <c:ptCount val="1"/>
                <c:pt idx="0">
                  <c:v>Activities</c:v>
                </c:pt>
              </c:strCache>
            </c:strRef>
          </c:tx>
          <c:spPr>
            <a:solidFill>
              <a:schemeClr val="accent2"/>
            </a:solidFill>
            <a:ln>
              <a:noFill/>
            </a:ln>
            <a:effectLst/>
          </c:spPr>
          <c:invertIfNegative val="0"/>
          <c:cat>
            <c:strRef>
              <c:f>'FY17 PIIRS Country Summary'!$C$138:$E$138</c:f>
              <c:strCache>
                <c:ptCount val="3"/>
                <c:pt idx="0">
                  <c:v>Did not work on gender
(n=0)</c:v>
                </c:pt>
                <c:pt idx="1">
                  <c:v>Worked within existing gender roles
(n=30)</c:v>
                </c:pt>
                <c:pt idx="2">
                  <c:v>Challenged existing gender roles
(n=18)</c:v>
                </c:pt>
              </c:strCache>
            </c:strRef>
          </c:cat>
          <c:val>
            <c:numRef>
              <c:f>'FY17 PIIRS Country Summary'!$C$140:$E$140</c:f>
              <c:numCache>
                <c:formatCode>0%</c:formatCode>
                <c:ptCount val="3"/>
                <c:pt idx="0">
                  <c:v>0</c:v>
                </c:pt>
                <c:pt idx="1">
                  <c:v>1</c:v>
                </c:pt>
                <c:pt idx="2">
                  <c:v>0.88888888888888884</c:v>
                </c:pt>
              </c:numCache>
            </c:numRef>
          </c:val>
          <c:extLst xmlns:c16r2="http://schemas.microsoft.com/office/drawing/2015/06/chart">
            <c:ext xmlns:c16="http://schemas.microsoft.com/office/drawing/2014/chart" uri="{C3380CC4-5D6E-409C-BE32-E72D297353CC}">
              <c16:uniqueId val="{00000001-A07B-48D5-97AB-4FAEA6E71972}"/>
            </c:ext>
          </c:extLst>
        </c:ser>
        <c:ser>
          <c:idx val="2"/>
          <c:order val="2"/>
          <c:tx>
            <c:strRef>
              <c:f>'FY17 PIIRS Country Summary'!$B$141</c:f>
              <c:strCache>
                <c:ptCount val="1"/>
                <c:pt idx="0">
                  <c:v>Participation</c:v>
                </c:pt>
              </c:strCache>
            </c:strRef>
          </c:tx>
          <c:spPr>
            <a:solidFill>
              <a:schemeClr val="accent3"/>
            </a:solidFill>
            <a:ln>
              <a:noFill/>
            </a:ln>
            <a:effectLst/>
          </c:spPr>
          <c:invertIfNegative val="0"/>
          <c:cat>
            <c:strRef>
              <c:f>'FY17 PIIRS Country Summary'!$C$138:$E$138</c:f>
              <c:strCache>
                <c:ptCount val="3"/>
                <c:pt idx="0">
                  <c:v>Did not work on gender
(n=0)</c:v>
                </c:pt>
                <c:pt idx="1">
                  <c:v>Worked within existing gender roles
(n=30)</c:v>
                </c:pt>
                <c:pt idx="2">
                  <c:v>Challenged existing gender roles
(n=18)</c:v>
                </c:pt>
              </c:strCache>
            </c:strRef>
          </c:cat>
          <c:val>
            <c:numRef>
              <c:f>'FY17 PIIRS Country Summary'!$C$141:$E$141</c:f>
              <c:numCache>
                <c:formatCode>0%</c:formatCode>
                <c:ptCount val="3"/>
                <c:pt idx="0">
                  <c:v>0</c:v>
                </c:pt>
                <c:pt idx="1">
                  <c:v>1</c:v>
                </c:pt>
                <c:pt idx="2">
                  <c:v>0.83333333333333337</c:v>
                </c:pt>
              </c:numCache>
            </c:numRef>
          </c:val>
          <c:extLst xmlns:c16r2="http://schemas.microsoft.com/office/drawing/2015/06/chart">
            <c:ext xmlns:c16="http://schemas.microsoft.com/office/drawing/2014/chart" uri="{C3380CC4-5D6E-409C-BE32-E72D297353CC}">
              <c16:uniqueId val="{00000002-A07B-48D5-97AB-4FAEA6E71972}"/>
            </c:ext>
          </c:extLst>
        </c:ser>
        <c:ser>
          <c:idx val="3"/>
          <c:order val="3"/>
          <c:tx>
            <c:strRef>
              <c:f>'FY17 PIIRS Country Summary'!$B$142</c:f>
              <c:strCache>
                <c:ptCount val="1"/>
                <c:pt idx="0">
                  <c:v>M&amp;E</c:v>
                </c:pt>
              </c:strCache>
            </c:strRef>
          </c:tx>
          <c:spPr>
            <a:solidFill>
              <a:schemeClr val="accent4"/>
            </a:solidFill>
            <a:ln>
              <a:noFill/>
            </a:ln>
            <a:effectLst/>
          </c:spPr>
          <c:invertIfNegative val="0"/>
          <c:cat>
            <c:strRef>
              <c:f>'FY17 PIIRS Country Summary'!$C$138:$E$138</c:f>
              <c:strCache>
                <c:ptCount val="3"/>
                <c:pt idx="0">
                  <c:v>Did not work on gender
(n=0)</c:v>
                </c:pt>
                <c:pt idx="1">
                  <c:v>Worked within existing gender roles
(n=30)</c:v>
                </c:pt>
                <c:pt idx="2">
                  <c:v>Challenged existing gender roles
(n=18)</c:v>
                </c:pt>
              </c:strCache>
            </c:strRef>
          </c:cat>
          <c:val>
            <c:numRef>
              <c:f>'FY17 PIIRS Country Summary'!$C$142:$E$142</c:f>
              <c:numCache>
                <c:formatCode>0%</c:formatCode>
                <c:ptCount val="3"/>
                <c:pt idx="0">
                  <c:v>0</c:v>
                </c:pt>
                <c:pt idx="1">
                  <c:v>0.83333333333333337</c:v>
                </c:pt>
                <c:pt idx="2">
                  <c:v>0.66666666666666663</c:v>
                </c:pt>
              </c:numCache>
            </c:numRef>
          </c:val>
          <c:extLst xmlns:c16r2="http://schemas.microsoft.com/office/drawing/2015/06/chart">
            <c:ext xmlns:c16="http://schemas.microsoft.com/office/drawing/2014/chart" uri="{C3380CC4-5D6E-409C-BE32-E72D297353CC}">
              <c16:uniqueId val="{00000003-A07B-48D5-97AB-4FAEA6E71972}"/>
            </c:ext>
          </c:extLst>
        </c:ser>
        <c:dLbls>
          <c:showLegendKey val="0"/>
          <c:showVal val="0"/>
          <c:showCatName val="0"/>
          <c:showSerName val="0"/>
          <c:showPercent val="0"/>
          <c:showBubbleSize val="0"/>
        </c:dLbls>
        <c:gapWidth val="219"/>
        <c:overlap val="-27"/>
        <c:axId val="322618256"/>
        <c:axId val="322618816"/>
      </c:barChart>
      <c:catAx>
        <c:axId val="322618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322618816"/>
        <c:crosses val="autoZero"/>
        <c:auto val="1"/>
        <c:lblAlgn val="ctr"/>
        <c:lblOffset val="100"/>
        <c:noMultiLvlLbl val="0"/>
      </c:catAx>
      <c:valAx>
        <c:axId val="322618816"/>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22618256"/>
        <c:crosses val="autoZero"/>
        <c:crossBetween val="between"/>
        <c:majorUnit val="0.2"/>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2857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sz="1400" b="1"/>
              <a:t>% of projects answering yes</a:t>
            </a:r>
            <a:r>
              <a:rPr lang="en-GB" sz="1400" b="1" baseline="0"/>
              <a:t> to governance marker dimensions</a:t>
            </a:r>
          </a:p>
          <a:p>
            <a:pPr>
              <a:defRPr b="1"/>
            </a:pPr>
            <a:r>
              <a:rPr lang="en-GB" sz="1100" b="0" baseline="0"/>
              <a:t>(in each category)</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'FY17 PIIRS Country Summary'!$B$146</c:f>
              <c:strCache>
                <c:ptCount val="1"/>
                <c:pt idx="0">
                  <c:v>Analysis</c:v>
                </c:pt>
              </c:strCache>
            </c:strRef>
          </c:tx>
          <c:spPr>
            <a:solidFill>
              <a:schemeClr val="accent1"/>
            </a:solidFill>
            <a:ln>
              <a:noFill/>
            </a:ln>
            <a:effectLst/>
          </c:spPr>
          <c:invertIfNegative val="0"/>
          <c:cat>
            <c:strRef>
              <c:f>'FY17 PIIRS Country Summary'!$C$145:$E$145</c:f>
              <c:strCache>
                <c:ptCount val="3"/>
                <c:pt idx="0">
                  <c:v>Did not consider governance
(n=1)</c:v>
                </c:pt>
                <c:pt idx="1">
                  <c:v>Worked within existing structures
(n=43)</c:v>
                </c:pt>
                <c:pt idx="2">
                  <c:v>Challenged existing structures
(n=3)</c:v>
                </c:pt>
              </c:strCache>
            </c:strRef>
          </c:cat>
          <c:val>
            <c:numRef>
              <c:f>'FY17 PIIRS Country Summary'!$C$146:$E$146</c:f>
              <c:numCache>
                <c:formatCode>0%</c:formatCode>
                <c:ptCount val="3"/>
                <c:pt idx="0">
                  <c:v>0</c:v>
                </c:pt>
                <c:pt idx="1">
                  <c:v>0.88372093023255816</c:v>
                </c:pt>
                <c:pt idx="2">
                  <c:v>1</c:v>
                </c:pt>
              </c:numCache>
            </c:numRef>
          </c:val>
          <c:extLst xmlns:c16r2="http://schemas.microsoft.com/office/drawing/2015/06/chart">
            <c:ext xmlns:c16="http://schemas.microsoft.com/office/drawing/2014/chart" uri="{C3380CC4-5D6E-409C-BE32-E72D297353CC}">
              <c16:uniqueId val="{00000000-2C5B-4778-9E1D-92FF724BEA23}"/>
            </c:ext>
          </c:extLst>
        </c:ser>
        <c:ser>
          <c:idx val="1"/>
          <c:order val="1"/>
          <c:tx>
            <c:strRef>
              <c:f>'FY17 PIIRS Country Summary'!$B$147</c:f>
              <c:strCache>
                <c:ptCount val="1"/>
                <c:pt idx="0">
                  <c:v>Activities</c:v>
                </c:pt>
              </c:strCache>
            </c:strRef>
          </c:tx>
          <c:spPr>
            <a:solidFill>
              <a:schemeClr val="accent2"/>
            </a:solidFill>
            <a:ln>
              <a:noFill/>
            </a:ln>
            <a:effectLst/>
          </c:spPr>
          <c:invertIfNegative val="0"/>
          <c:cat>
            <c:strRef>
              <c:f>'FY17 PIIRS Country Summary'!$C$145:$E$145</c:f>
              <c:strCache>
                <c:ptCount val="3"/>
                <c:pt idx="0">
                  <c:v>Did not consider governance
(n=1)</c:v>
                </c:pt>
                <c:pt idx="1">
                  <c:v>Worked within existing structures
(n=43)</c:v>
                </c:pt>
                <c:pt idx="2">
                  <c:v>Challenged existing structures
(n=3)</c:v>
                </c:pt>
              </c:strCache>
            </c:strRef>
          </c:cat>
          <c:val>
            <c:numRef>
              <c:f>'FY17 PIIRS Country Summary'!$C$147:$E$147</c:f>
              <c:numCache>
                <c:formatCode>0%</c:formatCode>
                <c:ptCount val="3"/>
                <c:pt idx="0">
                  <c:v>0</c:v>
                </c:pt>
                <c:pt idx="1">
                  <c:v>0.88372093023255816</c:v>
                </c:pt>
                <c:pt idx="2">
                  <c:v>1</c:v>
                </c:pt>
              </c:numCache>
            </c:numRef>
          </c:val>
          <c:extLst xmlns:c16r2="http://schemas.microsoft.com/office/drawing/2015/06/chart">
            <c:ext xmlns:c16="http://schemas.microsoft.com/office/drawing/2014/chart" uri="{C3380CC4-5D6E-409C-BE32-E72D297353CC}">
              <c16:uniqueId val="{00000001-2C5B-4778-9E1D-92FF724BEA23}"/>
            </c:ext>
          </c:extLst>
        </c:ser>
        <c:ser>
          <c:idx val="2"/>
          <c:order val="2"/>
          <c:tx>
            <c:strRef>
              <c:f>'FY17 PIIRS Country Summary'!$B$148</c:f>
              <c:strCache>
                <c:ptCount val="1"/>
                <c:pt idx="0">
                  <c:v>Integration</c:v>
                </c:pt>
              </c:strCache>
            </c:strRef>
          </c:tx>
          <c:spPr>
            <a:solidFill>
              <a:schemeClr val="accent3"/>
            </a:solidFill>
            <a:ln>
              <a:noFill/>
            </a:ln>
            <a:effectLst/>
          </c:spPr>
          <c:invertIfNegative val="0"/>
          <c:cat>
            <c:strRef>
              <c:f>'FY17 PIIRS Country Summary'!$C$145:$E$145</c:f>
              <c:strCache>
                <c:ptCount val="3"/>
                <c:pt idx="0">
                  <c:v>Did not consider governance
(n=1)</c:v>
                </c:pt>
                <c:pt idx="1">
                  <c:v>Worked within existing structures
(n=43)</c:v>
                </c:pt>
                <c:pt idx="2">
                  <c:v>Challenged existing structures
(n=3)</c:v>
                </c:pt>
              </c:strCache>
            </c:strRef>
          </c:cat>
          <c:val>
            <c:numRef>
              <c:f>'FY17 PIIRS Country Summary'!$C$148:$E$148</c:f>
              <c:numCache>
                <c:formatCode>0%</c:formatCode>
                <c:ptCount val="3"/>
                <c:pt idx="0">
                  <c:v>0</c:v>
                </c:pt>
                <c:pt idx="1">
                  <c:v>0.95348837209302328</c:v>
                </c:pt>
                <c:pt idx="2">
                  <c:v>1</c:v>
                </c:pt>
              </c:numCache>
            </c:numRef>
          </c:val>
          <c:extLst xmlns:c16r2="http://schemas.microsoft.com/office/drawing/2015/06/chart">
            <c:ext xmlns:c16="http://schemas.microsoft.com/office/drawing/2014/chart" uri="{C3380CC4-5D6E-409C-BE32-E72D297353CC}">
              <c16:uniqueId val="{00000002-2C5B-4778-9E1D-92FF724BEA23}"/>
            </c:ext>
          </c:extLst>
        </c:ser>
        <c:ser>
          <c:idx val="3"/>
          <c:order val="3"/>
          <c:tx>
            <c:strRef>
              <c:f>'FY17 PIIRS Country Summary'!$B$149</c:f>
              <c:strCache>
                <c:ptCount val="1"/>
                <c:pt idx="0">
                  <c:v>CARE's own accountability</c:v>
                </c:pt>
              </c:strCache>
            </c:strRef>
          </c:tx>
          <c:spPr>
            <a:solidFill>
              <a:schemeClr val="accent4"/>
            </a:solidFill>
            <a:ln>
              <a:noFill/>
            </a:ln>
            <a:effectLst/>
          </c:spPr>
          <c:invertIfNegative val="0"/>
          <c:cat>
            <c:strRef>
              <c:f>'FY17 PIIRS Country Summary'!$C$145:$E$145</c:f>
              <c:strCache>
                <c:ptCount val="3"/>
                <c:pt idx="0">
                  <c:v>Did not consider governance
(n=1)</c:v>
                </c:pt>
                <c:pt idx="1">
                  <c:v>Worked within existing structures
(n=43)</c:v>
                </c:pt>
                <c:pt idx="2">
                  <c:v>Challenged existing structures
(n=3)</c:v>
                </c:pt>
              </c:strCache>
            </c:strRef>
          </c:cat>
          <c:val>
            <c:numRef>
              <c:f>'FY17 PIIRS Country Summary'!$C$149:$E$149</c:f>
              <c:numCache>
                <c:formatCode>0%</c:formatCode>
                <c:ptCount val="3"/>
                <c:pt idx="0">
                  <c:v>0</c:v>
                </c:pt>
                <c:pt idx="1">
                  <c:v>0.86046511627906974</c:v>
                </c:pt>
                <c:pt idx="2">
                  <c:v>1</c:v>
                </c:pt>
              </c:numCache>
            </c:numRef>
          </c:val>
          <c:extLst xmlns:c16r2="http://schemas.microsoft.com/office/drawing/2015/06/chart">
            <c:ext xmlns:c16="http://schemas.microsoft.com/office/drawing/2014/chart" uri="{C3380CC4-5D6E-409C-BE32-E72D297353CC}">
              <c16:uniqueId val="{00000003-2C5B-4778-9E1D-92FF724BEA23}"/>
            </c:ext>
          </c:extLst>
        </c:ser>
        <c:dLbls>
          <c:showLegendKey val="0"/>
          <c:showVal val="0"/>
          <c:showCatName val="0"/>
          <c:showSerName val="0"/>
          <c:showPercent val="0"/>
          <c:showBubbleSize val="0"/>
        </c:dLbls>
        <c:gapWidth val="219"/>
        <c:overlap val="-27"/>
        <c:axId val="322774672"/>
        <c:axId val="322775232"/>
      </c:barChart>
      <c:catAx>
        <c:axId val="322774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322775232"/>
        <c:crosses val="autoZero"/>
        <c:auto val="1"/>
        <c:lblAlgn val="ctr"/>
        <c:lblOffset val="100"/>
        <c:noMultiLvlLbl val="0"/>
      </c:catAx>
      <c:valAx>
        <c:axId val="322775232"/>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22774672"/>
        <c:crosses val="autoZero"/>
        <c:crossBetween val="between"/>
        <c:majorUnit val="0.2"/>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2857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sz="1400" b="1"/>
              <a:t>% of projects answering yes</a:t>
            </a:r>
            <a:r>
              <a:rPr lang="en-GB" sz="1400" b="1" baseline="0"/>
              <a:t> to resilience marker dimensions</a:t>
            </a:r>
          </a:p>
          <a:p>
            <a:pPr>
              <a:defRPr b="1"/>
            </a:pPr>
            <a:r>
              <a:rPr lang="en-GB" sz="1100" b="0" baseline="0"/>
              <a:t>(in each category)</a:t>
            </a:r>
          </a:p>
        </c:rich>
      </c:tx>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'FY17 PIIRS Country Summary'!$B$153</c:f>
              <c:strCache>
                <c:ptCount val="1"/>
                <c:pt idx="0">
                  <c:v>Analysis</c:v>
                </c:pt>
              </c:strCache>
            </c:strRef>
          </c:tx>
          <c:spPr>
            <a:solidFill>
              <a:schemeClr val="accent1"/>
            </a:solidFill>
            <a:ln>
              <a:noFill/>
            </a:ln>
            <a:effectLst/>
          </c:spPr>
          <c:invertIfNegative val="0"/>
          <c:cat>
            <c:strRef>
              <c:f>'FY17 PIIRS Country Summary'!$C$152:$E$152</c:f>
              <c:strCache>
                <c:ptCount val="3"/>
                <c:pt idx="0">
                  <c:v>Did not address resilience
(n=0)</c:v>
                </c:pt>
                <c:pt idx="1">
                  <c:v>Addressed resilience
(n=21)</c:v>
                </c:pt>
                <c:pt idx="2">
                  <c:v>Addressed resilience AND underlying drivers
(n=10)</c:v>
                </c:pt>
              </c:strCache>
            </c:strRef>
          </c:cat>
          <c:val>
            <c:numRef>
              <c:f>'FY17 PIIRS Country Summary'!$C$153:$E$153</c:f>
              <c:numCache>
                <c:formatCode>0%</c:formatCode>
                <c:ptCount val="3"/>
                <c:pt idx="0">
                  <c:v>0</c:v>
                </c:pt>
                <c:pt idx="1">
                  <c:v>0.95238095238095233</c:v>
                </c:pt>
                <c:pt idx="2">
                  <c:v>1</c:v>
                </c:pt>
              </c:numCache>
            </c:numRef>
          </c:val>
          <c:extLst xmlns:c16r2="http://schemas.microsoft.com/office/drawing/2015/06/chart">
            <c:ext xmlns:c16="http://schemas.microsoft.com/office/drawing/2014/chart" uri="{C3380CC4-5D6E-409C-BE32-E72D297353CC}">
              <c16:uniqueId val="{00000000-39A7-48C2-8CBD-0A6A7233D296}"/>
            </c:ext>
          </c:extLst>
        </c:ser>
        <c:ser>
          <c:idx val="1"/>
          <c:order val="1"/>
          <c:tx>
            <c:strRef>
              <c:f>'FY17 PIIRS Country Summary'!$B$154</c:f>
              <c:strCache>
                <c:ptCount val="1"/>
                <c:pt idx="0">
                  <c:v>Activities</c:v>
                </c:pt>
              </c:strCache>
            </c:strRef>
          </c:tx>
          <c:spPr>
            <a:solidFill>
              <a:schemeClr val="accent2"/>
            </a:solidFill>
            <a:ln>
              <a:noFill/>
            </a:ln>
            <a:effectLst/>
          </c:spPr>
          <c:invertIfNegative val="0"/>
          <c:cat>
            <c:strRef>
              <c:f>'FY17 PIIRS Country Summary'!$C$152:$E$152</c:f>
              <c:strCache>
                <c:ptCount val="3"/>
                <c:pt idx="0">
                  <c:v>Did not address resilience
(n=0)</c:v>
                </c:pt>
                <c:pt idx="1">
                  <c:v>Addressed resilience
(n=21)</c:v>
                </c:pt>
                <c:pt idx="2">
                  <c:v>Addressed resilience AND underlying drivers
(n=10)</c:v>
                </c:pt>
              </c:strCache>
            </c:strRef>
          </c:cat>
          <c:val>
            <c:numRef>
              <c:f>'FY17 PIIRS Country Summary'!$C$154:$E$154</c:f>
              <c:numCache>
                <c:formatCode>0%</c:formatCode>
                <c:ptCount val="3"/>
                <c:pt idx="0">
                  <c:v>0</c:v>
                </c:pt>
                <c:pt idx="1">
                  <c:v>0.8571428571428571</c:v>
                </c:pt>
                <c:pt idx="2">
                  <c:v>0.9</c:v>
                </c:pt>
              </c:numCache>
            </c:numRef>
          </c:val>
          <c:extLst xmlns:c16r2="http://schemas.microsoft.com/office/drawing/2015/06/chart">
            <c:ext xmlns:c16="http://schemas.microsoft.com/office/drawing/2014/chart" uri="{C3380CC4-5D6E-409C-BE32-E72D297353CC}">
              <c16:uniqueId val="{00000001-39A7-48C2-8CBD-0A6A7233D296}"/>
            </c:ext>
          </c:extLst>
        </c:ser>
        <c:ser>
          <c:idx val="2"/>
          <c:order val="2"/>
          <c:tx>
            <c:strRef>
              <c:f>'FY17 PIIRS Country Summary'!$B$155</c:f>
              <c:strCache>
                <c:ptCount val="1"/>
                <c:pt idx="0">
                  <c:v>Risk landscape</c:v>
                </c:pt>
              </c:strCache>
            </c:strRef>
          </c:tx>
          <c:spPr>
            <a:solidFill>
              <a:schemeClr val="accent3"/>
            </a:solidFill>
            <a:ln>
              <a:noFill/>
            </a:ln>
            <a:effectLst/>
          </c:spPr>
          <c:invertIfNegative val="0"/>
          <c:cat>
            <c:strRef>
              <c:f>'FY17 PIIRS Country Summary'!$C$152:$E$152</c:f>
              <c:strCache>
                <c:ptCount val="3"/>
                <c:pt idx="0">
                  <c:v>Did not address resilience
(n=0)</c:v>
                </c:pt>
                <c:pt idx="1">
                  <c:v>Addressed resilience
(n=21)</c:v>
                </c:pt>
                <c:pt idx="2">
                  <c:v>Addressed resilience AND underlying drivers
(n=10)</c:v>
                </c:pt>
              </c:strCache>
            </c:strRef>
          </c:cat>
          <c:val>
            <c:numRef>
              <c:f>'FY17 PIIRS Country Summary'!$C$155:$E$155</c:f>
              <c:numCache>
                <c:formatCode>0%</c:formatCode>
                <c:ptCount val="3"/>
                <c:pt idx="0">
                  <c:v>0</c:v>
                </c:pt>
                <c:pt idx="1">
                  <c:v>0.7142857142857143</c:v>
                </c:pt>
                <c:pt idx="2">
                  <c:v>0.9</c:v>
                </c:pt>
              </c:numCache>
            </c:numRef>
          </c:val>
          <c:extLst xmlns:c16r2="http://schemas.microsoft.com/office/drawing/2015/06/chart">
            <c:ext xmlns:c16="http://schemas.microsoft.com/office/drawing/2014/chart" uri="{C3380CC4-5D6E-409C-BE32-E72D297353CC}">
              <c16:uniqueId val="{00000002-39A7-48C2-8CBD-0A6A7233D296}"/>
            </c:ext>
          </c:extLst>
        </c:ser>
        <c:dLbls>
          <c:showLegendKey val="0"/>
          <c:showVal val="0"/>
          <c:showCatName val="0"/>
          <c:showSerName val="0"/>
          <c:showPercent val="0"/>
          <c:showBubbleSize val="0"/>
        </c:dLbls>
        <c:gapWidth val="219"/>
        <c:overlap val="-27"/>
        <c:axId val="322884800"/>
        <c:axId val="322885360"/>
      </c:barChart>
      <c:catAx>
        <c:axId val="322884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322885360"/>
        <c:crosses val="autoZero"/>
        <c:auto val="1"/>
        <c:lblAlgn val="ctr"/>
        <c:lblOffset val="100"/>
        <c:noMultiLvlLbl val="0"/>
      </c:catAx>
      <c:valAx>
        <c:axId val="322885360"/>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22884800"/>
        <c:crosses val="autoZero"/>
        <c:crossBetween val="between"/>
        <c:majorUnit val="0.2"/>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2857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600" b="1">
                <a:latin typeface="Arial" panose="020B0604020202020204" pitchFamily="34" charset="0"/>
                <a:cs typeface="Arial" panose="020B0604020202020204" pitchFamily="34" charset="0"/>
              </a:rPr>
              <a:t>CARE's approach</a:t>
            </a:r>
          </a:p>
          <a:p>
            <a:pPr>
              <a:defRPr sz="1000" b="1">
                <a:latin typeface="Arial" panose="020B0604020202020204" pitchFamily="34" charset="0"/>
                <a:cs typeface="Arial" panose="020B0604020202020204" pitchFamily="34" charset="0"/>
              </a:defRPr>
            </a:pPr>
            <a:r>
              <a:rPr lang="en-US" sz="1400" b="0">
                <a:latin typeface="Arial" panose="020B0604020202020204" pitchFamily="34" charset="0"/>
                <a:cs typeface="Arial" panose="020B0604020202020204" pitchFamily="34" charset="0"/>
              </a:rPr>
              <a:t>Average score on scale of 0-4 (for those projects scoring against marker)</a:t>
            </a:r>
          </a:p>
          <a:p>
            <a:pPr>
              <a:defRPr sz="1000" b="1">
                <a:latin typeface="Arial" panose="020B0604020202020204" pitchFamily="34" charset="0"/>
                <a:cs typeface="Arial" panose="020B0604020202020204" pitchFamily="34" charset="0"/>
              </a:defRPr>
            </a:pPr>
            <a:r>
              <a:rPr lang="en-US" sz="1400" b="0">
                <a:latin typeface="Arial" panose="020B0604020202020204" pitchFamily="34" charset="0"/>
                <a:cs typeface="Arial" panose="020B0604020202020204" pitchFamily="34" charset="0"/>
              </a:rPr>
              <a:t>0=Harmful/Unaware, 2=Sensitive/Acommodating,</a:t>
            </a:r>
            <a:r>
              <a:rPr lang="en-US" sz="1400" b="0" baseline="0">
                <a:latin typeface="Arial" panose="020B0604020202020204" pitchFamily="34" charset="0"/>
                <a:cs typeface="Arial" panose="020B0604020202020204" pitchFamily="34" charset="0"/>
              </a:rPr>
              <a:t> 4=Transformative/Transformational</a:t>
            </a:r>
            <a:endParaRPr lang="en-US" sz="1400" b="0">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6220025053686474E-2"/>
          <c:y val="0.15384615384615385"/>
          <c:w val="0.86166490382732008"/>
          <c:h val="0.63951591825080445"/>
        </c:manualLayout>
      </c:layout>
      <c:barChart>
        <c:barDir val="col"/>
        <c:grouping val="clustered"/>
        <c:varyColors val="0"/>
        <c:ser>
          <c:idx val="0"/>
          <c:order val="0"/>
          <c:tx>
            <c:strRef>
              <c:f>'FY17 PIIRS Regional Summary'!$N$10</c:f>
              <c:strCache>
                <c:ptCount val="1"/>
                <c:pt idx="0">
                  <c:v>Asia and the Pacific</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5"/>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'FY17 PIIRS Regional Summary'!$O$9:$X$9</c15:sqref>
                  </c15:fullRef>
                </c:ext>
              </c:extLst>
              <c:f>('FY17 PIIRS Regional Summary'!$O$9,'FY17 PIIRS Regional Summary'!$Q$9,'FY17 PIIRS Regional Summary'!$U$9)</c:f>
              <c:strCache>
                <c:ptCount val="3"/>
                <c:pt idx="0">
                  <c:v>Gender</c:v>
                </c:pt>
                <c:pt idx="1">
                  <c:v>Governance</c:v>
                </c:pt>
                <c:pt idx="2">
                  <c:v>Resilience</c:v>
                </c:pt>
              </c:strCache>
            </c:strRef>
          </c:cat>
          <c:val>
            <c:numRef>
              <c:extLst>
                <c:ext xmlns:c15="http://schemas.microsoft.com/office/drawing/2012/chart" uri="{02D57815-91ED-43cb-92C2-25804820EDAC}">
                  <c15:fullRef>
                    <c15:sqref>'FY17 PIIRS Regional Summary'!$O$10:$X$10</c15:sqref>
                  </c15:fullRef>
                </c:ext>
              </c:extLst>
              <c:f>('FY17 PIIRS Regional Summary'!$O$10,'FY17 PIIRS Regional Summary'!$Q$10,'FY17 PIIRS Regional Summary'!$U$10)</c:f>
              <c:numCache>
                <c:formatCode>0%</c:formatCode>
                <c:ptCount val="3"/>
                <c:pt idx="0" formatCode="_(* #,##0.00_);_(* \(#,##0.00\);_(* &quot;-&quot;??_);_(@_)">
                  <c:v>2.445736434108527</c:v>
                </c:pt>
                <c:pt idx="1" formatCode="_(* #,##0.00_);_(* \(#,##0.00\);_(* &quot;-&quot;??_);_(@_)">
                  <c:v>2.1782945736434107</c:v>
                </c:pt>
                <c:pt idx="2" formatCode="_(* #,##0.00_);_(* \(#,##0.00\);_(* &quot;-&quot;??_);_(@_)">
                  <c:v>1.8680851063829786</c:v>
                </c:pt>
              </c:numCache>
            </c:numRef>
          </c:val>
          <c:extLst xmlns:c16r2="http://schemas.microsoft.com/office/drawing/2015/06/chart">
            <c:ext xmlns:c16="http://schemas.microsoft.com/office/drawing/2014/chart" uri="{C3380CC4-5D6E-409C-BE32-E72D297353CC}">
              <c16:uniqueId val="{00000000-E895-41CA-92B4-F4F332BEDCA0}"/>
            </c:ext>
          </c:extLst>
        </c:ser>
        <c:ser>
          <c:idx val="2"/>
          <c:order val="2"/>
          <c:tx>
            <c:strRef>
              <c:f>'FY17 PIIRS Regional Summary'!$N$12</c:f>
              <c:strCache>
                <c:ptCount val="1"/>
                <c:pt idx="0">
                  <c:v>Global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'FY17 PIIRS Regional Summary'!$O$9:$X$9</c15:sqref>
                  </c15:fullRef>
                </c:ext>
              </c:extLst>
              <c:f>('FY17 PIIRS Regional Summary'!$O$9,'FY17 PIIRS Regional Summary'!$Q$9,'FY17 PIIRS Regional Summary'!$U$9)</c:f>
              <c:strCache>
                <c:ptCount val="3"/>
                <c:pt idx="0">
                  <c:v>Gender</c:v>
                </c:pt>
                <c:pt idx="1">
                  <c:v>Governance</c:v>
                </c:pt>
                <c:pt idx="2">
                  <c:v>Resilience</c:v>
                </c:pt>
              </c:strCache>
            </c:strRef>
          </c:cat>
          <c:val>
            <c:numRef>
              <c:extLst>
                <c:ext xmlns:c15="http://schemas.microsoft.com/office/drawing/2012/chart" uri="{02D57815-91ED-43cb-92C2-25804820EDAC}">
                  <c15:fullRef>
                    <c15:sqref>'FY17 PIIRS Regional Summary'!$O$12:$X$12</c15:sqref>
                  </c15:fullRef>
                </c:ext>
              </c:extLst>
              <c:f>('FY17 PIIRS Regional Summary'!$O$12,'FY17 PIIRS Regional Summary'!$Q$12,'FY17 PIIRS Regional Summary'!$U$12)</c:f>
              <c:numCache>
                <c:formatCode>0%</c:formatCode>
                <c:ptCount val="3"/>
                <c:pt idx="0" formatCode="_(* #,##0.00_);_(* \(#,##0.00\);_(* &quot;-&quot;??_);_(@_)">
                  <c:v>2.2875436554132711</c:v>
                </c:pt>
                <c:pt idx="1" formatCode="_(* #,##0.00_);_(* \(#,##0.00\);_(* &quot;-&quot;??_);_(@_)">
                  <c:v>2.0545454545454547</c:v>
                </c:pt>
                <c:pt idx="2" formatCode="_(* #,##0.00_);_(* \(#,##0.00\);_(* &quot;-&quot;??_);_(@_)">
                  <c:v>1.9167733674775929</c:v>
                </c:pt>
              </c:numCache>
            </c:numRef>
          </c:val>
          <c:extLst xmlns:c16r2="http://schemas.microsoft.com/office/drawing/2015/06/chart">
            <c:ext xmlns:c16="http://schemas.microsoft.com/office/drawing/2014/chart" uri="{C3380CC4-5D6E-409C-BE32-E72D297353CC}">
              <c16:uniqueId val="{00000001-E895-41CA-92B4-F4F332BEDCA0}"/>
            </c:ext>
          </c:extLst>
        </c:ser>
        <c:dLbls>
          <c:showLegendKey val="0"/>
          <c:showVal val="0"/>
          <c:showCatName val="0"/>
          <c:showSerName val="0"/>
          <c:showPercent val="0"/>
          <c:showBubbleSize val="0"/>
        </c:dLbls>
        <c:gapWidth val="150"/>
        <c:axId val="323788608"/>
        <c:axId val="323789168"/>
        <c:extLst xmlns:c16r2="http://schemas.microsoft.com/office/drawing/2015/06/chart">
          <c:ext xmlns:c15="http://schemas.microsoft.com/office/drawing/2012/chart" uri="{02D57815-91ED-43cb-92C2-25804820EDAC}">
            <c15:filteredBarSeries>
              <c15:ser>
                <c:idx val="1"/>
                <c:order val="1"/>
                <c:tx>
                  <c:strRef>
                    <c:extLst xmlns:c16r2="http://schemas.microsoft.com/office/drawing/2015/06/chart">
                      <c:ext uri="{02D57815-91ED-43cb-92C2-25804820EDAC}">
                        <c15:formulaRef>
                          <c15:sqref>'FY17 PIIRS Regional Summary'!$N$11</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'FY17 PIIRS Regional Summary'!$O$9:$X$9</c15:sqref>
                        </c15:fullRef>
                        <c15:formulaRef>
                          <c15:sqref>('FY17 PIIRS Regional Summary'!$O$9,'FY17 PIIRS Regional Summary'!$Q$9,'FY17 PIIRS Regional Summary'!$U$9)</c15:sqref>
                        </c15:formulaRef>
                      </c:ext>
                    </c:extLst>
                    <c:strCache>
                      <c:ptCount val="3"/>
                      <c:pt idx="0">
                        <c:v>Gender</c:v>
                      </c:pt>
                      <c:pt idx="1">
                        <c:v>Governance</c:v>
                      </c:pt>
                      <c:pt idx="2">
                        <c:v>Resilience</c:v>
                      </c:pt>
                    </c:strCache>
                  </c:strRef>
                </c:cat>
                <c:val>
                  <c:numRef>
                    <c:extLst>
                      <c:ext uri="{02D57815-91ED-43cb-92C2-25804820EDAC}">
                        <c15:fullRef>
                          <c15:sqref>'FY17 PIIRS Regional Summary'!$O$11:$X$11</c15:sqref>
                        </c15:fullRef>
                        <c15:formulaRef>
                          <c15:sqref>('FY17 PIIRS Regional Summary'!$O$11,'FY17 PIIRS Regional Summary'!$Q$11,'FY17 PIIRS Regional Summary'!$U$11)</c15:sqref>
                        </c15:formulaRef>
                      </c:ext>
                    </c:extLst>
                    <c:numCache>
                      <c:formatCode>0%</c:formatCode>
                      <c:ptCount val="3"/>
                    </c:numCache>
                  </c:numRef>
                </c:val>
                <c:extLst xmlns:c16r2="http://schemas.microsoft.com/office/drawing/2015/06/chart">
                  <c:ext xmlns:c16="http://schemas.microsoft.com/office/drawing/2014/chart" uri="{C3380CC4-5D6E-409C-BE32-E72D297353CC}">
                    <c16:uniqueId val="{00000002-E895-41CA-92B4-F4F332BEDCA0}"/>
                  </c:ext>
                </c:extLst>
              </c15:ser>
            </c15:filteredBarSeries>
          </c:ext>
        </c:extLst>
      </c:barChart>
      <c:catAx>
        <c:axId val="323788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23789168"/>
        <c:crosses val="autoZero"/>
        <c:auto val="1"/>
        <c:lblAlgn val="ctr"/>
        <c:lblOffset val="100"/>
        <c:noMultiLvlLbl val="0"/>
      </c:catAx>
      <c:valAx>
        <c:axId val="323789168"/>
        <c:scaling>
          <c:orientation val="minMax"/>
          <c:max val="4"/>
        </c:scaling>
        <c:delete val="0"/>
        <c:axPos val="l"/>
        <c:numFmt formatCode="_-* #,##0.0_-;\-* #,##0.0_-;_-* &quot;-&quot;?_-;_-@_-"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323788608"/>
        <c:crosses val="autoZero"/>
        <c:crossBetween val="between"/>
      </c:valAx>
      <c:spPr>
        <a:noFill/>
        <a:ln>
          <a:noFill/>
        </a:ln>
        <a:effectLst/>
      </c:spPr>
    </c:plotArea>
    <c:legend>
      <c:legendPos val="r"/>
      <c:legendEntry>
        <c:idx val="0"/>
        <c:txPr>
          <a:bodyPr rot="0" spcFirstLastPara="1" vertOverflow="ellipsis" vert="horz" wrap="square" anchor="ctr" anchorCtr="1"/>
          <a:lstStyle/>
          <a:p>
            <a:pPr>
              <a:defRPr sz="120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legendEntry>
      <c:legendEntry>
        <c:idx val="1"/>
        <c:txPr>
          <a:bodyPr rot="0" spcFirstLastPara="1" vertOverflow="ellipsis" vert="horz" wrap="square" anchor="ctr" anchorCtr="1"/>
          <a:lstStyle/>
          <a:p>
            <a:pPr>
              <a:defRPr sz="1200" b="1" i="0" u="none" strike="noStrike" kern="1200" baseline="0">
                <a:solidFill>
                  <a:schemeClr val="accent2"/>
                </a:solidFill>
                <a:latin typeface="Arial" panose="020B0604020202020204" pitchFamily="34" charset="0"/>
                <a:ea typeface="+mn-ea"/>
                <a:cs typeface="Arial" panose="020B0604020202020204" pitchFamily="34" charset="0"/>
              </a:defRPr>
            </a:pPr>
            <a:endParaRPr lang="en-US"/>
          </a:p>
        </c:txPr>
      </c:legendEntry>
      <c:layout>
        <c:manualLayout>
          <c:xMode val="edge"/>
          <c:yMode val="edge"/>
          <c:x val="4.5253676036907026E-2"/>
          <c:y val="0.87923609967164151"/>
          <c:w val="0.9149897945611003"/>
          <c:h val="0.1181425398748233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a:t>Multiplying Impact</a:t>
            </a:r>
          </a:p>
          <a:p>
            <a:pPr>
              <a:defRPr/>
            </a:pPr>
            <a:r>
              <a:rPr lang="en-US" sz="1200"/>
              <a:t>% of projects</a:t>
            </a:r>
          </a:p>
        </c:rich>
      </c:tx>
      <c:layout>
        <c:manualLayout>
          <c:xMode val="edge"/>
          <c:yMode val="edge"/>
          <c:x val="0.32955656340330819"/>
          <c:y val="1.793724238078487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926039095859287"/>
          <c:y val="0.18374162870896746"/>
          <c:w val="0.86564500332980765"/>
          <c:h val="0.58842444798596094"/>
        </c:manualLayout>
      </c:layout>
      <c:barChart>
        <c:barDir val="col"/>
        <c:grouping val="clustered"/>
        <c:varyColors val="0"/>
        <c:ser>
          <c:idx val="0"/>
          <c:order val="0"/>
          <c:tx>
            <c:strRef>
              <c:f>'FY17 PIIRS Regional Summary'!$N$10</c:f>
              <c:strCache>
                <c:ptCount val="1"/>
                <c:pt idx="0">
                  <c:v>Asia and the Pacific</c:v>
                </c:pt>
              </c:strCache>
            </c:strRef>
          </c:tx>
          <c:spPr>
            <a:solidFill>
              <a:schemeClr val="accent1"/>
            </a:solidFill>
            <a:ln>
              <a:noFill/>
            </a:ln>
            <a:effectLst/>
          </c:spPr>
          <c:invertIfNegative val="0"/>
          <c:dLbls>
            <c:dLbl>
              <c:idx val="1"/>
              <c:layout>
                <c:manualLayout>
                  <c:x val="-1.1937002305047132E-3"/>
                  <c:y val="1.39211957576684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E5F-44FB-AB76-778A7B6CF3B3}"/>
                </c:ext>
                <c:ext xmlns:c15="http://schemas.microsoft.com/office/drawing/2012/chart" uri="{CE6537A1-D6FC-4f65-9D91-7224C49458BB}">
                  <c15:layout>
                    <c:manualLayout>
                      <c:w val="8.4152341774412789E-2"/>
                      <c:h val="5.8787217027559055E-2"/>
                    </c:manualLayout>
                  </c15:layout>
                </c:ext>
              </c:extLst>
            </c:dLbl>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'FY17 PIIRS Regional Summary'!$O$9:$X$9</c15:sqref>
                  </c15:fullRef>
                </c:ext>
              </c:extLst>
              <c:f>('FY17 PIIRS Regional Summary'!$R$9,'FY17 PIIRS Regional Summary'!$W$9:$X$9)</c:f>
              <c:strCache>
                <c:ptCount val="3"/>
                <c:pt idx="0">
                  <c:v>Advocacy</c:v>
                </c:pt>
                <c:pt idx="1">
                  <c:v>Innovation</c:v>
                </c:pt>
                <c:pt idx="2">
                  <c:v>Scale up</c:v>
                </c:pt>
              </c:strCache>
            </c:strRef>
          </c:cat>
          <c:val>
            <c:numRef>
              <c:extLst>
                <c:ext xmlns:c15="http://schemas.microsoft.com/office/drawing/2012/chart" uri="{02D57815-91ED-43cb-92C2-25804820EDAC}">
                  <c15:fullRef>
                    <c15:sqref>'FY17 PIIRS Regional Summary'!$O$10:$X$10</c15:sqref>
                  </c15:fullRef>
                </c:ext>
              </c:extLst>
              <c:f>('FY17 PIIRS Regional Summary'!$R$10,'FY17 PIIRS Regional Summary'!$W$10:$X$10)</c:f>
              <c:numCache>
                <c:formatCode>0%</c:formatCode>
                <c:ptCount val="3"/>
                <c:pt idx="0">
                  <c:v>0.59695817490494296</c:v>
                </c:pt>
                <c:pt idx="1">
                  <c:v>0.5</c:v>
                </c:pt>
                <c:pt idx="2">
                  <c:v>0.55078125</c:v>
                </c:pt>
              </c:numCache>
            </c:numRef>
          </c:val>
          <c:extLst xmlns:c16r2="http://schemas.microsoft.com/office/drawing/2015/06/chart">
            <c:ext xmlns:c16="http://schemas.microsoft.com/office/drawing/2014/chart" uri="{C3380CC4-5D6E-409C-BE32-E72D297353CC}">
              <c16:uniqueId val="{00000001-8E5F-44FB-AB76-778A7B6CF3B3}"/>
            </c:ext>
          </c:extLst>
        </c:ser>
        <c:ser>
          <c:idx val="2"/>
          <c:order val="2"/>
          <c:tx>
            <c:strRef>
              <c:f>'FY17 PIIRS Regional Summary'!$N$12</c:f>
              <c:strCache>
                <c:ptCount val="1"/>
                <c:pt idx="0">
                  <c:v>Global</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accent2"/>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'FY17 PIIRS Regional Summary'!$O$9:$X$9</c15:sqref>
                  </c15:fullRef>
                </c:ext>
              </c:extLst>
              <c:f>('FY17 PIIRS Regional Summary'!$R$9,'FY17 PIIRS Regional Summary'!$W$9:$X$9)</c:f>
              <c:strCache>
                <c:ptCount val="3"/>
                <c:pt idx="0">
                  <c:v>Advocacy</c:v>
                </c:pt>
                <c:pt idx="1">
                  <c:v>Innovation</c:v>
                </c:pt>
                <c:pt idx="2">
                  <c:v>Scale up</c:v>
                </c:pt>
              </c:strCache>
            </c:strRef>
          </c:cat>
          <c:val>
            <c:numRef>
              <c:extLst>
                <c:ext xmlns:c15="http://schemas.microsoft.com/office/drawing/2012/chart" uri="{02D57815-91ED-43cb-92C2-25804820EDAC}">
                  <c15:fullRef>
                    <c15:sqref>'FY17 PIIRS Regional Summary'!$O$12:$X$12</c15:sqref>
                  </c15:fullRef>
                </c:ext>
              </c:extLst>
              <c:f>('FY17 PIIRS Regional Summary'!$R$12,'FY17 PIIRS Regional Summary'!$W$12:$X$12)</c:f>
              <c:numCache>
                <c:formatCode>0%</c:formatCode>
                <c:ptCount val="3"/>
                <c:pt idx="0">
                  <c:v>0.62197802197802199</c:v>
                </c:pt>
                <c:pt idx="1">
                  <c:v>0.53942857142857148</c:v>
                </c:pt>
                <c:pt idx="2">
                  <c:v>0.62937062937062938</c:v>
                </c:pt>
              </c:numCache>
            </c:numRef>
          </c:val>
          <c:extLst xmlns:c16r2="http://schemas.microsoft.com/office/drawing/2015/06/chart">
            <c:ext xmlns:c16="http://schemas.microsoft.com/office/drawing/2014/chart" uri="{C3380CC4-5D6E-409C-BE32-E72D297353CC}">
              <c16:uniqueId val="{00000002-8E5F-44FB-AB76-778A7B6CF3B3}"/>
            </c:ext>
          </c:extLst>
        </c:ser>
        <c:dLbls>
          <c:showLegendKey val="0"/>
          <c:showVal val="0"/>
          <c:showCatName val="0"/>
          <c:showSerName val="0"/>
          <c:showPercent val="0"/>
          <c:showBubbleSize val="0"/>
        </c:dLbls>
        <c:gapWidth val="150"/>
        <c:axId val="323793088"/>
        <c:axId val="323793648"/>
        <c:extLst xmlns:c16r2="http://schemas.microsoft.com/office/drawing/2015/06/chart">
          <c:ext xmlns:c15="http://schemas.microsoft.com/office/drawing/2012/chart" uri="{02D57815-91ED-43cb-92C2-25804820EDAC}">
            <c15:filteredBarSeries>
              <c15:ser>
                <c:idx val="1"/>
                <c:order val="1"/>
                <c:tx>
                  <c:strRef>
                    <c:extLst xmlns:c16r2="http://schemas.microsoft.com/office/drawing/2015/06/chart">
                      <c:ext uri="{02D57815-91ED-43cb-92C2-25804820EDAC}">
                        <c15:formulaRef>
                          <c15:sqref>'FY17 PIIRS Regional Summary'!$N$11</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'FY17 PIIRS Regional Summary'!$O$9:$X$9</c15:sqref>
                        </c15:fullRef>
                        <c15:formulaRef>
                          <c15:sqref>('FY17 PIIRS Regional Summary'!$R$9,'FY17 PIIRS Regional Summary'!$W$9:$X$9)</c15:sqref>
                        </c15:formulaRef>
                      </c:ext>
                    </c:extLst>
                    <c:strCache>
                      <c:ptCount val="3"/>
                      <c:pt idx="0">
                        <c:v>Advocacy</c:v>
                      </c:pt>
                      <c:pt idx="1">
                        <c:v>Innovation</c:v>
                      </c:pt>
                      <c:pt idx="2">
                        <c:v>Scale up</c:v>
                      </c:pt>
                    </c:strCache>
                  </c:strRef>
                </c:cat>
                <c:val>
                  <c:numRef>
                    <c:extLst>
                      <c:ext uri="{02D57815-91ED-43cb-92C2-25804820EDAC}">
                        <c15:fullRef>
                          <c15:sqref>'FY17 PIIRS Regional Summary'!$O$11:$X$11</c15:sqref>
                        </c15:fullRef>
                        <c15:formulaRef>
                          <c15:sqref>('FY17 PIIRS Regional Summary'!$R$11,'FY17 PIIRS Regional Summary'!$W$11:$X$11)</c15:sqref>
                        </c15:formulaRef>
                      </c:ext>
                    </c:extLst>
                    <c:numCache>
                      <c:formatCode>0%</c:formatCode>
                      <c:ptCount val="3"/>
                    </c:numCache>
                  </c:numRef>
                </c:val>
                <c:extLst xmlns:c16r2="http://schemas.microsoft.com/office/drawing/2015/06/chart">
                  <c:ext xmlns:c16="http://schemas.microsoft.com/office/drawing/2014/chart" uri="{C3380CC4-5D6E-409C-BE32-E72D297353CC}">
                    <c16:uniqueId val="{00000003-8E5F-44FB-AB76-778A7B6CF3B3}"/>
                  </c:ext>
                </c:extLst>
              </c15:ser>
            </c15:filteredBarSeries>
          </c:ext>
        </c:extLst>
      </c:barChart>
      <c:catAx>
        <c:axId val="323793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323793648"/>
        <c:crosses val="autoZero"/>
        <c:auto val="1"/>
        <c:lblAlgn val="ctr"/>
        <c:lblOffset val="100"/>
        <c:noMultiLvlLbl val="0"/>
      </c:catAx>
      <c:valAx>
        <c:axId val="323793648"/>
        <c:scaling>
          <c:orientation val="minMax"/>
          <c:max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323793088"/>
        <c:crosses val="autoZero"/>
        <c:crossBetween val="between"/>
        <c:majorUnit val="0.2"/>
      </c:valAx>
      <c:spPr>
        <a:noFill/>
        <a:ln>
          <a:noFill/>
        </a:ln>
        <a:effectLst/>
      </c:spPr>
    </c:plotArea>
    <c:legend>
      <c:legendPos val="r"/>
      <c:legendEntry>
        <c:idx val="0"/>
        <c:txPr>
          <a:bodyPr rot="0" spcFirstLastPara="1" vertOverflow="ellipsis" vert="horz" wrap="square" anchor="ctr" anchorCtr="1"/>
          <a:lstStyle/>
          <a:p>
            <a:pPr>
              <a:defRPr sz="1100" b="1" i="0" u="none" strike="noStrike" kern="1200" baseline="0">
                <a:solidFill>
                  <a:schemeClr val="accent1"/>
                </a:solidFill>
                <a:latin typeface="+mn-lt"/>
                <a:ea typeface="+mn-ea"/>
                <a:cs typeface="+mn-cs"/>
              </a:defRPr>
            </a:pPr>
            <a:endParaRPr lang="en-US"/>
          </a:p>
        </c:txPr>
      </c:legendEntry>
      <c:legendEntry>
        <c:idx val="1"/>
        <c:txPr>
          <a:bodyPr rot="0" spcFirstLastPara="1" vertOverflow="ellipsis" vert="horz" wrap="square" anchor="ctr" anchorCtr="1"/>
          <a:lstStyle/>
          <a:p>
            <a:pPr>
              <a:defRPr sz="1100" b="1" i="0" u="none" strike="noStrike" kern="1200" baseline="0">
                <a:solidFill>
                  <a:schemeClr val="accent2"/>
                </a:solidFill>
                <a:latin typeface="+mn-lt"/>
                <a:ea typeface="+mn-ea"/>
                <a:cs typeface="+mn-cs"/>
              </a:defRPr>
            </a:pPr>
            <a:endParaRPr lang="en-US"/>
          </a:p>
        </c:txPr>
      </c:legendEntry>
      <c:layout>
        <c:manualLayout>
          <c:xMode val="edge"/>
          <c:yMode val="edge"/>
          <c:x val="0"/>
          <c:y val="0.8769445523345456"/>
          <c:w val="0.9960747443882948"/>
          <c:h val="0.1218440968421548"/>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9050" cap="flat" cmpd="sng" algn="ctr">
      <a:solidFill>
        <a:schemeClr val="tx1"/>
      </a:solidFill>
      <a:round/>
    </a:ln>
    <a:effectLst/>
  </c:spPr>
  <c:txPr>
    <a:bodyPr/>
    <a:lstStyle/>
    <a:p>
      <a:pPr>
        <a:defRPr b="1"/>
      </a:pPr>
      <a:endParaRPr lang="en-US"/>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400" b="1"/>
              <a:t>Other aspects of program quality</a:t>
            </a:r>
          </a:p>
        </c:rich>
      </c:tx>
      <c:layout>
        <c:manualLayout>
          <c:xMode val="edge"/>
          <c:yMode val="edge"/>
          <c:x val="0.38582242800635835"/>
          <c:y val="6.108840118389456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1792129312102616E-2"/>
          <c:y val="0.1274064661013968"/>
          <c:w val="0.92916915046636117"/>
          <c:h val="0.63265611925895782"/>
        </c:manualLayout>
      </c:layout>
      <c:lineChart>
        <c:grouping val="standard"/>
        <c:varyColors val="0"/>
        <c:ser>
          <c:idx val="0"/>
          <c:order val="0"/>
          <c:tx>
            <c:strRef>
              <c:f>'FY17 PIIRS Regional Summary'!$N$10</c:f>
              <c:strCache>
                <c:ptCount val="1"/>
                <c:pt idx="0">
                  <c:v>Asia and the Pacific</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7.1206147231381883E-2"/>
                  <c:y val="-6.4488359597673753E-1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984-4730-A893-A8E51DAAAE92}"/>
                </c:ext>
                <c:ext xmlns:c15="http://schemas.microsoft.com/office/drawing/2012/chart" uri="{CE6537A1-D6FC-4f65-9D91-7224C49458BB}"/>
              </c:extLst>
            </c:dLbl>
            <c:dLbl>
              <c:idx val="1"/>
              <c:layout>
                <c:manualLayout>
                  <c:x val="-6.8299773874998942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984-4730-A893-A8E51DAAAE92}"/>
                </c:ext>
                <c:ext xmlns:c15="http://schemas.microsoft.com/office/drawing/2012/chart" uri="{CE6537A1-D6FC-4f65-9D91-7224C49458BB}"/>
              </c:extLst>
            </c:dLbl>
            <c:dLbl>
              <c:idx val="2"/>
              <c:layout>
                <c:manualLayout>
                  <c:x val="-6.5393400518616002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984-4730-A893-A8E51DAAAE92}"/>
                </c:ext>
                <c:ext xmlns:c15="http://schemas.microsoft.com/office/drawing/2012/chart" uri="{CE6537A1-D6FC-4f65-9D91-7224C49458BB}"/>
              </c:extLst>
            </c:dLbl>
            <c:dLbl>
              <c:idx val="3"/>
              <c:layout>
                <c:manualLayout>
                  <c:x val="-6.6846587196807472E-2"/>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8984-4730-A893-A8E51DAAAE92}"/>
                </c:ext>
                <c:ext xmlns:c15="http://schemas.microsoft.com/office/drawing/2012/chart" uri="{CE6537A1-D6FC-4f65-9D91-7224C49458BB}"/>
              </c:extLst>
            </c:dLbl>
            <c:spPr>
              <a:noFill/>
              <a:ln>
                <a:noFill/>
              </a:ln>
              <a:effectLst/>
            </c:spPr>
            <c:txPr>
              <a:bodyPr rot="0" spcFirstLastPara="1" vertOverflow="ellipsis" vert="horz" wrap="square" anchor="ctr" anchorCtr="1"/>
              <a:lstStyle/>
              <a:p>
                <a:pPr>
                  <a:defRPr sz="110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'FY17 PIIRS Regional Summary'!$O$9:$X$9</c15:sqref>
                  </c15:fullRef>
                </c:ext>
              </c:extLst>
              <c:f>('FY17 PIIRS Regional Summary'!$P$9,'FY17 PIIRS Regional Summary'!$S$9:$T$9,'FY17 PIIRS Regional Summary'!$V$9)</c:f>
              <c:strCache>
                <c:ptCount val="4"/>
                <c:pt idx="0">
                  <c:v>GBV focused or mainstreamed</c:v>
                </c:pt>
                <c:pt idx="1">
                  <c:v>All/most activities through partners</c:v>
                </c:pt>
                <c:pt idx="2">
                  <c:v>Civil society strengthening</c:v>
                </c:pt>
                <c:pt idx="3">
                  <c:v>Fully/partially addressed climate change</c:v>
                </c:pt>
              </c:strCache>
            </c:strRef>
          </c:cat>
          <c:val>
            <c:numRef>
              <c:extLst>
                <c:ext xmlns:c15="http://schemas.microsoft.com/office/drawing/2012/chart" uri="{02D57815-91ED-43cb-92C2-25804820EDAC}">
                  <c15:fullRef>
                    <c15:sqref>'FY17 PIIRS Regional Summary'!$O$10:$X$10</c15:sqref>
                  </c15:fullRef>
                </c:ext>
              </c:extLst>
              <c:f>('FY17 PIIRS Regional Summary'!$P$10,'FY17 PIIRS Regional Summary'!$S$10:$T$10,'FY17 PIIRS Regional Summary'!$V$10)</c:f>
              <c:numCache>
                <c:formatCode>0%</c:formatCode>
                <c:ptCount val="4"/>
                <c:pt idx="0">
                  <c:v>0.49416342412451364</c:v>
                </c:pt>
                <c:pt idx="1">
                  <c:v>0.52851711026615966</c:v>
                </c:pt>
                <c:pt idx="2">
                  <c:v>0.58778625954198471</c:v>
                </c:pt>
                <c:pt idx="3">
                  <c:v>0.41176470588235298</c:v>
                </c:pt>
              </c:numCache>
            </c:numRef>
          </c:val>
          <c:smooth val="0"/>
          <c:extLst xmlns:c16r2="http://schemas.microsoft.com/office/drawing/2015/06/chart">
            <c:ext xmlns:c16="http://schemas.microsoft.com/office/drawing/2014/chart" uri="{C3380CC4-5D6E-409C-BE32-E72D297353CC}">
              <c16:uniqueId val="{00000004-8984-4730-A893-A8E51DAAAE92}"/>
            </c:ext>
          </c:extLst>
        </c:ser>
        <c:ser>
          <c:idx val="2"/>
          <c:order val="2"/>
          <c:tx>
            <c:strRef>
              <c:f>'FY17 PIIRS Regional Summary'!$N$12</c:f>
              <c:strCache>
                <c:ptCount val="1"/>
                <c:pt idx="0">
                  <c:v>Global</c:v>
                </c:pt>
              </c:strCache>
            </c:strRef>
          </c:tx>
          <c:spPr>
            <a:ln w="28575" cap="rnd">
              <a:noFill/>
              <a:round/>
            </a:ln>
            <a:effectLst/>
          </c:spPr>
          <c:marker>
            <c:symbol val="circle"/>
            <c:size val="5"/>
            <c:spPr>
              <a:solidFill>
                <a:schemeClr val="accent2"/>
              </a:solidFill>
              <a:ln w="9525">
                <a:noFill/>
              </a:ln>
              <a:effectLst/>
            </c:spPr>
          </c:marker>
          <c:dLbls>
            <c:dLbl>
              <c:idx val="0"/>
              <c:layout>
                <c:manualLayout>
                  <c:x val="7.2659333909573078E-3"/>
                  <c:y val="-3.517587522147645E-3"/>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8984-4730-A893-A8E51DAAAE92}"/>
                </c:ext>
                <c:ext xmlns:c15="http://schemas.microsoft.com/office/drawing/2012/chart" uri="{CE6537A1-D6FC-4f65-9D91-7224C49458BB}"/>
              </c:extLst>
            </c:dLbl>
            <c:dLbl>
              <c:idx val="1"/>
              <c:layout>
                <c:manualLayout>
                  <c:x val="7.2659333909573338E-3"/>
                  <c:y val="-6.4488359597673753E-17"/>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8984-4730-A893-A8E51DAAAE92}"/>
                </c:ext>
                <c:ext xmlns:c15="http://schemas.microsoft.com/office/drawing/2012/chart" uri="{CE6537A1-D6FC-4f65-9D91-7224C49458BB}"/>
              </c:extLst>
            </c:dLbl>
            <c:dLbl>
              <c:idx val="2"/>
              <c:layout>
                <c:manualLayout>
                  <c:x val="1.0172306747340269E-2"/>
                  <c:y val="-6.4488359597673753E-17"/>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8984-4730-A893-A8E51DAAAE92}"/>
                </c:ext>
                <c:ext xmlns:c15="http://schemas.microsoft.com/office/drawing/2012/chart" uri="{CE6537A1-D6FC-4f65-9D91-7224C49458BB}"/>
              </c:extLst>
            </c:dLbl>
            <c:dLbl>
              <c:idx val="3"/>
              <c:layout>
                <c:manualLayout>
                  <c:x val="1.0172306747340161E-2"/>
                  <c:y val="-6.4488359597673753E-17"/>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8984-4730-A893-A8E51DAAAE9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2"/>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'FY17 PIIRS Regional Summary'!$O$9:$X$9</c15:sqref>
                  </c15:fullRef>
                </c:ext>
              </c:extLst>
              <c:f>('FY17 PIIRS Regional Summary'!$P$9,'FY17 PIIRS Regional Summary'!$S$9:$T$9,'FY17 PIIRS Regional Summary'!$V$9)</c:f>
              <c:strCache>
                <c:ptCount val="4"/>
                <c:pt idx="0">
                  <c:v>GBV focused or mainstreamed</c:v>
                </c:pt>
                <c:pt idx="1">
                  <c:v>All/most activities through partners</c:v>
                </c:pt>
                <c:pt idx="2">
                  <c:v>Civil society strengthening</c:v>
                </c:pt>
                <c:pt idx="3">
                  <c:v>Fully/partially addressed climate change</c:v>
                </c:pt>
              </c:strCache>
            </c:strRef>
          </c:cat>
          <c:val>
            <c:numRef>
              <c:extLst>
                <c:ext xmlns:c15="http://schemas.microsoft.com/office/drawing/2012/chart" uri="{02D57815-91ED-43cb-92C2-25804820EDAC}">
                  <c15:fullRef>
                    <c15:sqref>'FY17 PIIRS Regional Summary'!$O$12:$X$12</c15:sqref>
                  </c15:fullRef>
                </c:ext>
              </c:extLst>
              <c:f>('FY17 PIIRS Regional Summary'!$P$12,'FY17 PIIRS Regional Summary'!$S$12:$T$12,'FY17 PIIRS Regional Summary'!$V$12)</c:f>
              <c:numCache>
                <c:formatCode>0%</c:formatCode>
                <c:ptCount val="4"/>
                <c:pt idx="0">
                  <c:v>0.57126436781609191</c:v>
                </c:pt>
                <c:pt idx="1">
                  <c:v>0.59775280898876404</c:v>
                </c:pt>
                <c:pt idx="2">
                  <c:v>0.61059907834101379</c:v>
                </c:pt>
                <c:pt idx="3">
                  <c:v>0.45636792452830188</c:v>
                </c:pt>
              </c:numCache>
            </c:numRef>
          </c:val>
          <c:smooth val="0"/>
          <c:extLst xmlns:c16r2="http://schemas.microsoft.com/office/drawing/2015/06/chart">
            <c:ext xmlns:c16="http://schemas.microsoft.com/office/drawing/2014/chart" uri="{C3380CC4-5D6E-409C-BE32-E72D297353CC}">
              <c16:uniqueId val="{00000009-8984-4730-A893-A8E51DAAAE92}"/>
            </c:ext>
          </c:extLst>
        </c:ser>
        <c:dLbls>
          <c:showLegendKey val="0"/>
          <c:showVal val="0"/>
          <c:showCatName val="0"/>
          <c:showSerName val="0"/>
          <c:showPercent val="0"/>
          <c:showBubbleSize val="0"/>
        </c:dLbls>
        <c:marker val="1"/>
        <c:smooth val="0"/>
        <c:axId val="324207536"/>
        <c:axId val="324208096"/>
        <c:extLst xmlns:c16r2="http://schemas.microsoft.com/office/drawing/2015/06/chart">
          <c:ext xmlns:c15="http://schemas.microsoft.com/office/drawing/2012/chart" uri="{02D57815-91ED-43cb-92C2-25804820EDAC}">
            <c15:filteredLineSeries>
              <c15:ser>
                <c:idx val="1"/>
                <c:order val="1"/>
                <c:tx>
                  <c:strRef>
                    <c:extLst xmlns:c16r2="http://schemas.microsoft.com/office/drawing/2015/06/chart">
                      <c:ext uri="{02D57815-91ED-43cb-92C2-25804820EDAC}">
                        <c15:formulaRef>
                          <c15:sqref>'FY17 PIIRS Regional Summary'!$N$11</c15:sqref>
                        </c15:formulaRef>
                      </c:ext>
                    </c:extLst>
                    <c:strCache>
                      <c:ptCount val="1"/>
                    </c:strCache>
                  </c:strRef>
                </c:tx>
                <c:spPr>
                  <a:ln w="28575" cap="rnd">
                    <a:noFill/>
                    <a:round/>
                  </a:ln>
                  <a:effectLst/>
                </c:spPr>
                <c:marker>
                  <c:symbol val="circle"/>
                  <c:size val="5"/>
                  <c:spPr>
                    <a:solidFill>
                      <a:schemeClr val="accent6"/>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6"/>
                          </a:solidFill>
                          <a:latin typeface="Arial" panose="020B0604020202020204" pitchFamily="34" charset="0"/>
                          <a:ea typeface="+mn-ea"/>
                          <a:cs typeface="Arial" panose="020B0604020202020204" pitchFamily="34" charset="0"/>
                        </a:defRPr>
                      </a:pPr>
                      <a:endParaRPr lang="en-US"/>
                    </a:p>
                  </c:txPr>
                  <c:dLblPos val="l"/>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'FY17 PIIRS Regional Summary'!$O$9:$X$9</c15:sqref>
                        </c15:fullRef>
                        <c15:formulaRef>
                          <c15:sqref>('FY17 PIIRS Regional Summary'!$P$9,'FY17 PIIRS Regional Summary'!$S$9:$T$9,'FY17 PIIRS Regional Summary'!$V$9)</c15:sqref>
                        </c15:formulaRef>
                      </c:ext>
                    </c:extLst>
                    <c:strCache>
                      <c:ptCount val="4"/>
                      <c:pt idx="0">
                        <c:v>GBV focused or mainstreamed</c:v>
                      </c:pt>
                      <c:pt idx="1">
                        <c:v>All/most activities through partners</c:v>
                      </c:pt>
                      <c:pt idx="2">
                        <c:v>Civil society strengthening</c:v>
                      </c:pt>
                      <c:pt idx="3">
                        <c:v>Fully/partially addressed climate change</c:v>
                      </c:pt>
                    </c:strCache>
                  </c:strRef>
                </c:cat>
                <c:val>
                  <c:numRef>
                    <c:extLst>
                      <c:ext uri="{02D57815-91ED-43cb-92C2-25804820EDAC}">
                        <c15:fullRef>
                          <c15:sqref>'FY17 PIIRS Regional Summary'!$O$11:$X$11</c15:sqref>
                        </c15:fullRef>
                        <c15:formulaRef>
                          <c15:sqref>('FY17 PIIRS Regional Summary'!$P$11,'FY17 PIIRS Regional Summary'!$S$11:$T$11,'FY17 PIIRS Regional Summary'!$V$11)</c15:sqref>
                        </c15:formulaRef>
                      </c:ext>
                    </c:extLst>
                    <c:numCache>
                      <c:formatCode>0%</c:formatCode>
                      <c:ptCount val="4"/>
                    </c:numCache>
                  </c:numRef>
                </c:val>
                <c:smooth val="0"/>
                <c:extLst xmlns:c16r2="http://schemas.microsoft.com/office/drawing/2015/06/chart">
                  <c:ext xmlns:c16="http://schemas.microsoft.com/office/drawing/2014/chart" uri="{C3380CC4-5D6E-409C-BE32-E72D297353CC}">
                    <c16:uniqueId val="{0000000A-8984-4730-A893-A8E51DAAAE92}"/>
                  </c:ext>
                  <c:ext uri="{02D57815-91ED-43cb-92C2-25804820EDAC}">
                    <c15:categoryFilterExceptions>
                      <c15:categoryFilterException>
                        <c15:sqref>'FY17 PIIRS Regional Summary'!$R$11</c15:sqref>
                        <c15:dLbl>
                          <c:idx val="0"/>
                          <c:layout>
                            <c:manualLayout>
                              <c:x val="-7.8883152089563049E-2"/>
                              <c:y val="0"/>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3E8-4CC8-B5A4-3A5D07A45BF5}"/>
                            </c:ext>
                            <c:ext uri="{CE6537A1-D6FC-4f65-9D91-7224C49458BB}"/>
                          </c:extLst>
                        </c15:dLbl>
                      </c15:categoryFilterException>
                    </c15:categoryFilterExceptions>
                  </c:ext>
                </c:extLst>
              </c15:ser>
            </c15:filteredLineSeries>
          </c:ext>
        </c:extLst>
      </c:lineChart>
      <c:catAx>
        <c:axId val="324207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24208096"/>
        <c:crosses val="autoZero"/>
        <c:auto val="1"/>
        <c:lblAlgn val="ctr"/>
        <c:lblOffset val="100"/>
        <c:noMultiLvlLbl val="0"/>
      </c:catAx>
      <c:valAx>
        <c:axId val="324208096"/>
        <c:scaling>
          <c:orientation val="minMax"/>
          <c:max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24207536"/>
        <c:crosses val="autoZero"/>
        <c:crossBetween val="between"/>
        <c:majorUnit val="0.2"/>
      </c:valAx>
      <c:spPr>
        <a:noFill/>
        <a:ln>
          <a:noFill/>
        </a:ln>
        <a:effectLst/>
      </c:spPr>
    </c:plotArea>
    <c:legend>
      <c:legendPos val="b"/>
      <c:legendEntry>
        <c:idx val="0"/>
        <c:txPr>
          <a:bodyPr rot="0" spcFirstLastPara="1" vertOverflow="ellipsis" vert="horz" wrap="square" anchor="ctr" anchorCtr="1"/>
          <a:lstStyle/>
          <a:p>
            <a:pPr>
              <a:defRPr sz="110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legendEntry>
      <c:legendEntry>
        <c:idx val="1"/>
        <c:txPr>
          <a:bodyPr rot="0" spcFirstLastPara="1" vertOverflow="ellipsis" vert="horz" wrap="square" anchor="ctr" anchorCtr="1"/>
          <a:lstStyle/>
          <a:p>
            <a:pPr>
              <a:defRPr sz="1100" b="1" i="0" u="none" strike="noStrike" kern="1200" baseline="0">
                <a:solidFill>
                  <a:schemeClr val="accent2"/>
                </a:solidFill>
                <a:latin typeface="Arial" panose="020B0604020202020204" pitchFamily="34" charset="0"/>
                <a:ea typeface="+mn-ea"/>
                <a:cs typeface="Arial" panose="020B0604020202020204" pitchFamily="34" charset="0"/>
              </a:defRPr>
            </a:pPr>
            <a:endParaRPr lang="en-US"/>
          </a:p>
        </c:txPr>
      </c:legendEntry>
      <c:layout>
        <c:manualLayout>
          <c:xMode val="edge"/>
          <c:yMode val="edge"/>
          <c:x val="0.2386535298590958"/>
          <c:y val="0.90339818342917144"/>
          <c:w val="0.61102297512106762"/>
          <c:h val="6.8491767248817087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19050" cap="flat" cmpd="sng" algn="ctr">
      <a:solidFill>
        <a:schemeClr val="tx1"/>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sz="1400" b="1"/>
              <a:t>% of projects answering yes</a:t>
            </a:r>
            <a:r>
              <a:rPr lang="en-GB" sz="1400" b="1" baseline="0"/>
              <a:t> to gender marker dimensions</a:t>
            </a:r>
          </a:p>
          <a:p>
            <a:pPr>
              <a:defRPr b="1"/>
            </a:pPr>
            <a:r>
              <a:rPr lang="en-GB" sz="1100" b="0" baseline="0"/>
              <a:t>(in each category)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'FY17 PIIRS Regional Summary'!$B$225</c:f>
              <c:strCache>
                <c:ptCount val="1"/>
                <c:pt idx="0">
                  <c:v>Analysis</c:v>
                </c:pt>
              </c:strCache>
            </c:strRef>
          </c:tx>
          <c:spPr>
            <a:solidFill>
              <a:schemeClr val="accent1"/>
            </a:solidFill>
            <a:ln>
              <a:noFill/>
            </a:ln>
            <a:effectLst/>
          </c:spPr>
          <c:invertIfNegative val="0"/>
          <c:cat>
            <c:strRef>
              <c:f>'FY17 PIIRS Regional Summary'!$C$224:$E$224</c:f>
              <c:strCache>
                <c:ptCount val="3"/>
                <c:pt idx="0">
                  <c:v>Did not work on gender
(n=0)</c:v>
                </c:pt>
                <c:pt idx="1">
                  <c:v>Worked within existing gender roles
(n=151)</c:v>
                </c:pt>
                <c:pt idx="2">
                  <c:v>Challenged existing gender roles
(n=105)</c:v>
                </c:pt>
              </c:strCache>
            </c:strRef>
          </c:cat>
          <c:val>
            <c:numRef>
              <c:f>'FY17 PIIRS Regional Summary'!$C$225:$E$225</c:f>
              <c:numCache>
                <c:formatCode>0%</c:formatCode>
                <c:ptCount val="3"/>
                <c:pt idx="0">
                  <c:v>0</c:v>
                </c:pt>
                <c:pt idx="1">
                  <c:v>0.92715231788079466</c:v>
                </c:pt>
                <c:pt idx="2">
                  <c:v>0.92380952380952386</c:v>
                </c:pt>
              </c:numCache>
            </c:numRef>
          </c:val>
          <c:extLst xmlns:c16r2="http://schemas.microsoft.com/office/drawing/2015/06/chart">
            <c:ext xmlns:c16="http://schemas.microsoft.com/office/drawing/2014/chart" uri="{C3380CC4-5D6E-409C-BE32-E72D297353CC}">
              <c16:uniqueId val="{00000000-0DAA-40B2-955C-5E3BA0094CC5}"/>
            </c:ext>
          </c:extLst>
        </c:ser>
        <c:ser>
          <c:idx val="1"/>
          <c:order val="1"/>
          <c:tx>
            <c:strRef>
              <c:f>'FY17 PIIRS Regional Summary'!$B$226</c:f>
              <c:strCache>
                <c:ptCount val="1"/>
                <c:pt idx="0">
                  <c:v>Activities</c:v>
                </c:pt>
              </c:strCache>
            </c:strRef>
          </c:tx>
          <c:spPr>
            <a:solidFill>
              <a:schemeClr val="accent2"/>
            </a:solidFill>
            <a:ln>
              <a:noFill/>
            </a:ln>
            <a:effectLst/>
          </c:spPr>
          <c:invertIfNegative val="0"/>
          <c:cat>
            <c:strRef>
              <c:f>'FY17 PIIRS Regional Summary'!$C$224:$E$224</c:f>
              <c:strCache>
                <c:ptCount val="3"/>
                <c:pt idx="0">
                  <c:v>Did not work on gender
(n=0)</c:v>
                </c:pt>
                <c:pt idx="1">
                  <c:v>Worked within existing gender roles
(n=151)</c:v>
                </c:pt>
                <c:pt idx="2">
                  <c:v>Challenged existing gender roles
(n=105)</c:v>
                </c:pt>
              </c:strCache>
            </c:strRef>
          </c:cat>
          <c:val>
            <c:numRef>
              <c:f>'FY17 PIIRS Regional Summary'!$C$226:$E$226</c:f>
              <c:numCache>
                <c:formatCode>0%</c:formatCode>
                <c:ptCount val="3"/>
                <c:pt idx="0">
                  <c:v>0</c:v>
                </c:pt>
                <c:pt idx="1">
                  <c:v>0.92715231788079466</c:v>
                </c:pt>
                <c:pt idx="2">
                  <c:v>0.92380952380952386</c:v>
                </c:pt>
              </c:numCache>
            </c:numRef>
          </c:val>
          <c:extLst xmlns:c16r2="http://schemas.microsoft.com/office/drawing/2015/06/chart">
            <c:ext xmlns:c16="http://schemas.microsoft.com/office/drawing/2014/chart" uri="{C3380CC4-5D6E-409C-BE32-E72D297353CC}">
              <c16:uniqueId val="{00000001-0DAA-40B2-955C-5E3BA0094CC5}"/>
            </c:ext>
          </c:extLst>
        </c:ser>
        <c:ser>
          <c:idx val="2"/>
          <c:order val="2"/>
          <c:tx>
            <c:strRef>
              <c:f>'FY17 PIIRS Regional Summary'!$B$227</c:f>
              <c:strCache>
                <c:ptCount val="1"/>
                <c:pt idx="0">
                  <c:v>Participation</c:v>
                </c:pt>
              </c:strCache>
            </c:strRef>
          </c:tx>
          <c:spPr>
            <a:solidFill>
              <a:schemeClr val="accent3"/>
            </a:solidFill>
            <a:ln>
              <a:noFill/>
            </a:ln>
            <a:effectLst/>
          </c:spPr>
          <c:invertIfNegative val="0"/>
          <c:cat>
            <c:strRef>
              <c:f>'FY17 PIIRS Regional Summary'!$C$224:$E$224</c:f>
              <c:strCache>
                <c:ptCount val="3"/>
                <c:pt idx="0">
                  <c:v>Did not work on gender
(n=0)</c:v>
                </c:pt>
                <c:pt idx="1">
                  <c:v>Worked within existing gender roles
(n=151)</c:v>
                </c:pt>
                <c:pt idx="2">
                  <c:v>Challenged existing gender roles
(n=105)</c:v>
                </c:pt>
              </c:strCache>
            </c:strRef>
          </c:cat>
          <c:val>
            <c:numRef>
              <c:f>'FY17 PIIRS Regional Summary'!$C$227:$E$227</c:f>
              <c:numCache>
                <c:formatCode>0%</c:formatCode>
                <c:ptCount val="3"/>
                <c:pt idx="0">
                  <c:v>0</c:v>
                </c:pt>
                <c:pt idx="1">
                  <c:v>0.9668874172185431</c:v>
                </c:pt>
                <c:pt idx="2">
                  <c:v>0.83809523809523812</c:v>
                </c:pt>
              </c:numCache>
            </c:numRef>
          </c:val>
          <c:extLst xmlns:c16r2="http://schemas.microsoft.com/office/drawing/2015/06/chart">
            <c:ext xmlns:c16="http://schemas.microsoft.com/office/drawing/2014/chart" uri="{C3380CC4-5D6E-409C-BE32-E72D297353CC}">
              <c16:uniqueId val="{00000002-0DAA-40B2-955C-5E3BA0094CC5}"/>
            </c:ext>
          </c:extLst>
        </c:ser>
        <c:ser>
          <c:idx val="3"/>
          <c:order val="3"/>
          <c:tx>
            <c:strRef>
              <c:f>'FY17 PIIRS Regional Summary'!$B$228</c:f>
              <c:strCache>
                <c:ptCount val="1"/>
                <c:pt idx="0">
                  <c:v>M&amp;E</c:v>
                </c:pt>
              </c:strCache>
            </c:strRef>
          </c:tx>
          <c:spPr>
            <a:solidFill>
              <a:schemeClr val="accent4"/>
            </a:solidFill>
            <a:ln>
              <a:noFill/>
            </a:ln>
            <a:effectLst/>
          </c:spPr>
          <c:invertIfNegative val="0"/>
          <c:cat>
            <c:strRef>
              <c:f>'FY17 PIIRS Regional Summary'!$C$224:$E$224</c:f>
              <c:strCache>
                <c:ptCount val="3"/>
                <c:pt idx="0">
                  <c:v>Did not work on gender
(n=0)</c:v>
                </c:pt>
                <c:pt idx="1">
                  <c:v>Worked within existing gender roles
(n=151)</c:v>
                </c:pt>
                <c:pt idx="2">
                  <c:v>Challenged existing gender roles
(n=105)</c:v>
                </c:pt>
              </c:strCache>
            </c:strRef>
          </c:cat>
          <c:val>
            <c:numRef>
              <c:f>'FY17 PIIRS Regional Summary'!$C$228:$E$228</c:f>
              <c:numCache>
                <c:formatCode>0%</c:formatCode>
                <c:ptCount val="3"/>
                <c:pt idx="0">
                  <c:v>0</c:v>
                </c:pt>
                <c:pt idx="1">
                  <c:v>0.84666666666666668</c:v>
                </c:pt>
                <c:pt idx="2">
                  <c:v>0.74285714285714288</c:v>
                </c:pt>
              </c:numCache>
            </c:numRef>
          </c:val>
          <c:extLst xmlns:c16r2="http://schemas.microsoft.com/office/drawing/2015/06/chart">
            <c:ext xmlns:c16="http://schemas.microsoft.com/office/drawing/2014/chart" uri="{C3380CC4-5D6E-409C-BE32-E72D297353CC}">
              <c16:uniqueId val="{00000003-0DAA-40B2-955C-5E3BA0094CC5}"/>
            </c:ext>
          </c:extLst>
        </c:ser>
        <c:dLbls>
          <c:showLegendKey val="0"/>
          <c:showVal val="0"/>
          <c:showCatName val="0"/>
          <c:showSerName val="0"/>
          <c:showPercent val="0"/>
          <c:showBubbleSize val="0"/>
        </c:dLbls>
        <c:gapWidth val="219"/>
        <c:overlap val="-27"/>
        <c:axId val="324212576"/>
        <c:axId val="324213136"/>
      </c:barChart>
      <c:catAx>
        <c:axId val="324212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324213136"/>
        <c:crosses val="autoZero"/>
        <c:auto val="1"/>
        <c:lblAlgn val="ctr"/>
        <c:lblOffset val="100"/>
        <c:noMultiLvlLbl val="0"/>
      </c:catAx>
      <c:valAx>
        <c:axId val="324213136"/>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2421257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2857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sz="1400" b="1"/>
              <a:t>% of projects answering yes</a:t>
            </a:r>
            <a:r>
              <a:rPr lang="en-GB" sz="1400" b="1" baseline="0"/>
              <a:t> to governance marker dimensions</a:t>
            </a:r>
          </a:p>
          <a:p>
            <a:pPr>
              <a:defRPr b="1"/>
            </a:pPr>
            <a:r>
              <a:rPr lang="en-GB" sz="1100" b="0" baseline="0"/>
              <a:t>(in each category)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'FY17 PIIRS Regional Summary'!$B$232</c:f>
              <c:strCache>
                <c:ptCount val="1"/>
                <c:pt idx="0">
                  <c:v>Analysis</c:v>
                </c:pt>
              </c:strCache>
            </c:strRef>
          </c:tx>
          <c:spPr>
            <a:solidFill>
              <a:schemeClr val="accent1"/>
            </a:solidFill>
            <a:ln>
              <a:noFill/>
            </a:ln>
            <a:effectLst/>
          </c:spPr>
          <c:invertIfNegative val="0"/>
          <c:cat>
            <c:strRef>
              <c:f>'FY17 PIIRS Regional Summary'!$C$231:$E$231</c:f>
              <c:strCache>
                <c:ptCount val="3"/>
                <c:pt idx="0">
                  <c:v>Did not consider governance
(n=7)</c:v>
                </c:pt>
                <c:pt idx="1">
                  <c:v>Worked within existing structures
(n=188)</c:v>
                </c:pt>
                <c:pt idx="2">
                  <c:v>Challenged existing structures
(n=56)</c:v>
                </c:pt>
              </c:strCache>
            </c:strRef>
          </c:cat>
          <c:val>
            <c:numRef>
              <c:f>'FY17 PIIRS Regional Summary'!$C$232:$E$232</c:f>
              <c:numCache>
                <c:formatCode>0%</c:formatCode>
                <c:ptCount val="3"/>
                <c:pt idx="0">
                  <c:v>0.5714285714285714</c:v>
                </c:pt>
                <c:pt idx="1">
                  <c:v>0.89893617021276595</c:v>
                </c:pt>
                <c:pt idx="2">
                  <c:v>0.8928571428571429</c:v>
                </c:pt>
              </c:numCache>
            </c:numRef>
          </c:val>
          <c:extLst xmlns:c16r2="http://schemas.microsoft.com/office/drawing/2015/06/chart">
            <c:ext xmlns:c16="http://schemas.microsoft.com/office/drawing/2014/chart" uri="{C3380CC4-5D6E-409C-BE32-E72D297353CC}">
              <c16:uniqueId val="{00000000-E397-419F-A716-74765A3582A0}"/>
            </c:ext>
          </c:extLst>
        </c:ser>
        <c:ser>
          <c:idx val="1"/>
          <c:order val="1"/>
          <c:tx>
            <c:strRef>
              <c:f>'FY17 PIIRS Regional Summary'!$B$233</c:f>
              <c:strCache>
                <c:ptCount val="1"/>
                <c:pt idx="0">
                  <c:v>Activities</c:v>
                </c:pt>
              </c:strCache>
            </c:strRef>
          </c:tx>
          <c:spPr>
            <a:solidFill>
              <a:schemeClr val="accent2"/>
            </a:solidFill>
            <a:ln>
              <a:noFill/>
            </a:ln>
            <a:effectLst/>
          </c:spPr>
          <c:invertIfNegative val="0"/>
          <c:cat>
            <c:strRef>
              <c:f>'FY17 PIIRS Regional Summary'!$C$231:$E$231</c:f>
              <c:strCache>
                <c:ptCount val="3"/>
                <c:pt idx="0">
                  <c:v>Did not consider governance
(n=7)</c:v>
                </c:pt>
                <c:pt idx="1">
                  <c:v>Worked within existing structures
(n=188)</c:v>
                </c:pt>
                <c:pt idx="2">
                  <c:v>Challenged existing structures
(n=56)</c:v>
                </c:pt>
              </c:strCache>
            </c:strRef>
          </c:cat>
          <c:val>
            <c:numRef>
              <c:f>'FY17 PIIRS Regional Summary'!$C$233:$E$233</c:f>
              <c:numCache>
                <c:formatCode>0%</c:formatCode>
                <c:ptCount val="3"/>
                <c:pt idx="0">
                  <c:v>0.42857142857142855</c:v>
                </c:pt>
                <c:pt idx="1">
                  <c:v>0.89473684210526316</c:v>
                </c:pt>
                <c:pt idx="2">
                  <c:v>0.9285714285714286</c:v>
                </c:pt>
              </c:numCache>
            </c:numRef>
          </c:val>
          <c:extLst xmlns:c16r2="http://schemas.microsoft.com/office/drawing/2015/06/chart">
            <c:ext xmlns:c16="http://schemas.microsoft.com/office/drawing/2014/chart" uri="{C3380CC4-5D6E-409C-BE32-E72D297353CC}">
              <c16:uniqueId val="{00000001-E397-419F-A716-74765A3582A0}"/>
            </c:ext>
          </c:extLst>
        </c:ser>
        <c:ser>
          <c:idx val="2"/>
          <c:order val="2"/>
          <c:tx>
            <c:strRef>
              <c:f>'FY17 PIIRS Regional Summary'!$B$234</c:f>
              <c:strCache>
                <c:ptCount val="1"/>
                <c:pt idx="0">
                  <c:v>Integration</c:v>
                </c:pt>
              </c:strCache>
            </c:strRef>
          </c:tx>
          <c:spPr>
            <a:solidFill>
              <a:schemeClr val="accent3"/>
            </a:solidFill>
            <a:ln>
              <a:noFill/>
            </a:ln>
            <a:effectLst/>
          </c:spPr>
          <c:invertIfNegative val="0"/>
          <c:cat>
            <c:strRef>
              <c:f>'FY17 PIIRS Regional Summary'!$C$231:$E$231</c:f>
              <c:strCache>
                <c:ptCount val="3"/>
                <c:pt idx="0">
                  <c:v>Did not consider governance
(n=7)</c:v>
                </c:pt>
                <c:pt idx="1">
                  <c:v>Worked within existing structures
(n=188)</c:v>
                </c:pt>
                <c:pt idx="2">
                  <c:v>Challenged existing structures
(n=56)</c:v>
                </c:pt>
              </c:strCache>
            </c:strRef>
          </c:cat>
          <c:val>
            <c:numRef>
              <c:f>'FY17 PIIRS Regional Summary'!$C$234:$E$234</c:f>
              <c:numCache>
                <c:formatCode>0%</c:formatCode>
                <c:ptCount val="3"/>
                <c:pt idx="0">
                  <c:v>0</c:v>
                </c:pt>
                <c:pt idx="1">
                  <c:v>0.93157894736842106</c:v>
                </c:pt>
                <c:pt idx="2">
                  <c:v>0.9107142857142857</c:v>
                </c:pt>
              </c:numCache>
            </c:numRef>
          </c:val>
          <c:extLst xmlns:c16r2="http://schemas.microsoft.com/office/drawing/2015/06/chart">
            <c:ext xmlns:c16="http://schemas.microsoft.com/office/drawing/2014/chart" uri="{C3380CC4-5D6E-409C-BE32-E72D297353CC}">
              <c16:uniqueId val="{00000002-E397-419F-A716-74765A3582A0}"/>
            </c:ext>
          </c:extLst>
        </c:ser>
        <c:ser>
          <c:idx val="3"/>
          <c:order val="3"/>
          <c:tx>
            <c:strRef>
              <c:f>'FY17 PIIRS Regional Summary'!$B$235</c:f>
              <c:strCache>
                <c:ptCount val="1"/>
                <c:pt idx="0">
                  <c:v>CARE's own accountability</c:v>
                </c:pt>
              </c:strCache>
            </c:strRef>
          </c:tx>
          <c:spPr>
            <a:solidFill>
              <a:schemeClr val="accent4"/>
            </a:solidFill>
            <a:ln>
              <a:noFill/>
            </a:ln>
            <a:effectLst/>
          </c:spPr>
          <c:invertIfNegative val="0"/>
          <c:cat>
            <c:strRef>
              <c:f>'FY17 PIIRS Regional Summary'!$C$231:$E$231</c:f>
              <c:strCache>
                <c:ptCount val="3"/>
                <c:pt idx="0">
                  <c:v>Did not consider governance
(n=7)</c:v>
                </c:pt>
                <c:pt idx="1">
                  <c:v>Worked within existing structures
(n=188)</c:v>
                </c:pt>
                <c:pt idx="2">
                  <c:v>Challenged existing structures
(n=56)</c:v>
                </c:pt>
              </c:strCache>
            </c:strRef>
          </c:cat>
          <c:val>
            <c:numRef>
              <c:f>'FY17 PIIRS Regional Summary'!$C$235:$E$235</c:f>
              <c:numCache>
                <c:formatCode>0%</c:formatCode>
                <c:ptCount val="3"/>
                <c:pt idx="0">
                  <c:v>0.2857142857142857</c:v>
                </c:pt>
                <c:pt idx="1">
                  <c:v>0.85789473684210527</c:v>
                </c:pt>
                <c:pt idx="2">
                  <c:v>0.7321428571428571</c:v>
                </c:pt>
              </c:numCache>
            </c:numRef>
          </c:val>
          <c:extLst xmlns:c16r2="http://schemas.microsoft.com/office/drawing/2015/06/chart">
            <c:ext xmlns:c16="http://schemas.microsoft.com/office/drawing/2014/chart" uri="{C3380CC4-5D6E-409C-BE32-E72D297353CC}">
              <c16:uniqueId val="{00000003-E397-419F-A716-74765A3582A0}"/>
            </c:ext>
          </c:extLst>
        </c:ser>
        <c:dLbls>
          <c:showLegendKey val="0"/>
          <c:showVal val="0"/>
          <c:showCatName val="0"/>
          <c:showSerName val="0"/>
          <c:showPercent val="0"/>
          <c:showBubbleSize val="0"/>
        </c:dLbls>
        <c:gapWidth val="219"/>
        <c:overlap val="-27"/>
        <c:axId val="323955856"/>
        <c:axId val="323956416"/>
      </c:barChart>
      <c:catAx>
        <c:axId val="323955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323956416"/>
        <c:crosses val="autoZero"/>
        <c:auto val="1"/>
        <c:lblAlgn val="ctr"/>
        <c:lblOffset val="100"/>
        <c:noMultiLvlLbl val="0"/>
      </c:catAx>
      <c:valAx>
        <c:axId val="323956416"/>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2395585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2857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sz="1400" b="1"/>
              <a:t>% of projects answering yes</a:t>
            </a:r>
            <a:r>
              <a:rPr lang="en-GB" sz="1400" b="1" baseline="0"/>
              <a:t> to resilience marker dimensions</a:t>
            </a:r>
          </a:p>
          <a:p>
            <a:pPr>
              <a:defRPr b="1"/>
            </a:pPr>
            <a:r>
              <a:rPr lang="en-GB" sz="1100" b="0" baseline="0"/>
              <a:t>(in each category)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'FY17 PIIRS Regional Summary'!$B$239</c:f>
              <c:strCache>
                <c:ptCount val="1"/>
                <c:pt idx="0">
                  <c:v>Analysis</c:v>
                </c:pt>
              </c:strCache>
            </c:strRef>
          </c:tx>
          <c:spPr>
            <a:solidFill>
              <a:schemeClr val="accent1"/>
            </a:solidFill>
            <a:ln>
              <a:noFill/>
            </a:ln>
            <a:effectLst/>
          </c:spPr>
          <c:invertIfNegative val="0"/>
          <c:cat>
            <c:strRef>
              <c:f>'FY17 PIIRS Regional Summary'!$C$238:$E$238</c:f>
              <c:strCache>
                <c:ptCount val="3"/>
                <c:pt idx="0">
                  <c:v>Did not address resilience
(n=30)</c:v>
                </c:pt>
                <c:pt idx="1">
                  <c:v>Addressed resilience
(n=134)</c:v>
                </c:pt>
                <c:pt idx="2">
                  <c:v>Addressed resilience AND underlying drivers
(n=65)</c:v>
                </c:pt>
              </c:strCache>
            </c:strRef>
          </c:cat>
          <c:val>
            <c:numRef>
              <c:f>'FY17 PIIRS Regional Summary'!$C$239:$E$239</c:f>
              <c:numCache>
                <c:formatCode>0%</c:formatCode>
                <c:ptCount val="3"/>
                <c:pt idx="0">
                  <c:v>0.6333333333333333</c:v>
                </c:pt>
                <c:pt idx="1">
                  <c:v>0.85820895522388063</c:v>
                </c:pt>
                <c:pt idx="2">
                  <c:v>0.72307692307692306</c:v>
                </c:pt>
              </c:numCache>
            </c:numRef>
          </c:val>
          <c:extLst xmlns:c16r2="http://schemas.microsoft.com/office/drawing/2015/06/chart">
            <c:ext xmlns:c16="http://schemas.microsoft.com/office/drawing/2014/chart" uri="{C3380CC4-5D6E-409C-BE32-E72D297353CC}">
              <c16:uniqueId val="{00000000-6C77-4F29-B2B7-8CFCC8F430CA}"/>
            </c:ext>
          </c:extLst>
        </c:ser>
        <c:ser>
          <c:idx val="1"/>
          <c:order val="1"/>
          <c:tx>
            <c:strRef>
              <c:f>'FY17 PIIRS Regional Summary'!$B$240</c:f>
              <c:strCache>
                <c:ptCount val="1"/>
                <c:pt idx="0">
                  <c:v>Activities</c:v>
                </c:pt>
              </c:strCache>
            </c:strRef>
          </c:tx>
          <c:spPr>
            <a:solidFill>
              <a:schemeClr val="accent2"/>
            </a:solidFill>
            <a:ln>
              <a:noFill/>
            </a:ln>
            <a:effectLst/>
          </c:spPr>
          <c:invertIfNegative val="0"/>
          <c:cat>
            <c:strRef>
              <c:f>'FY17 PIIRS Regional Summary'!$C$238:$E$238</c:f>
              <c:strCache>
                <c:ptCount val="3"/>
                <c:pt idx="0">
                  <c:v>Did not address resilience
(n=30)</c:v>
                </c:pt>
                <c:pt idx="1">
                  <c:v>Addressed resilience
(n=134)</c:v>
                </c:pt>
                <c:pt idx="2">
                  <c:v>Addressed resilience AND underlying drivers
(n=65)</c:v>
                </c:pt>
              </c:strCache>
            </c:strRef>
          </c:cat>
          <c:val>
            <c:numRef>
              <c:f>'FY17 PIIRS Regional Summary'!$C$240:$E$240</c:f>
              <c:numCache>
                <c:formatCode>0%</c:formatCode>
                <c:ptCount val="3"/>
                <c:pt idx="0">
                  <c:v>0.58064516129032262</c:v>
                </c:pt>
                <c:pt idx="1">
                  <c:v>0.78358208955223885</c:v>
                </c:pt>
                <c:pt idx="2">
                  <c:v>0.84615384615384615</c:v>
                </c:pt>
              </c:numCache>
            </c:numRef>
          </c:val>
          <c:extLst xmlns:c16r2="http://schemas.microsoft.com/office/drawing/2015/06/chart">
            <c:ext xmlns:c16="http://schemas.microsoft.com/office/drawing/2014/chart" uri="{C3380CC4-5D6E-409C-BE32-E72D297353CC}">
              <c16:uniqueId val="{00000001-6C77-4F29-B2B7-8CFCC8F430CA}"/>
            </c:ext>
          </c:extLst>
        </c:ser>
        <c:ser>
          <c:idx val="2"/>
          <c:order val="2"/>
          <c:tx>
            <c:strRef>
              <c:f>'FY17 PIIRS Regional Summary'!$B$241</c:f>
              <c:strCache>
                <c:ptCount val="1"/>
                <c:pt idx="0">
                  <c:v>Risk landscape</c:v>
                </c:pt>
              </c:strCache>
            </c:strRef>
          </c:tx>
          <c:spPr>
            <a:solidFill>
              <a:schemeClr val="accent3"/>
            </a:solidFill>
            <a:ln>
              <a:noFill/>
            </a:ln>
            <a:effectLst/>
          </c:spPr>
          <c:invertIfNegative val="0"/>
          <c:cat>
            <c:strRef>
              <c:f>'FY17 PIIRS Regional Summary'!$C$238:$E$238</c:f>
              <c:strCache>
                <c:ptCount val="3"/>
                <c:pt idx="0">
                  <c:v>Did not address resilience
(n=30)</c:v>
                </c:pt>
                <c:pt idx="1">
                  <c:v>Addressed resilience
(n=134)</c:v>
                </c:pt>
                <c:pt idx="2">
                  <c:v>Addressed resilience AND underlying drivers
(n=65)</c:v>
                </c:pt>
              </c:strCache>
            </c:strRef>
          </c:cat>
          <c:val>
            <c:numRef>
              <c:f>'FY17 PIIRS Regional Summary'!$C$241:$E$241</c:f>
              <c:numCache>
                <c:formatCode>0%</c:formatCode>
                <c:ptCount val="3"/>
                <c:pt idx="0">
                  <c:v>0.51724137931034486</c:v>
                </c:pt>
                <c:pt idx="1">
                  <c:v>0.71969696969696972</c:v>
                </c:pt>
                <c:pt idx="2">
                  <c:v>0.96969696969696972</c:v>
                </c:pt>
              </c:numCache>
            </c:numRef>
          </c:val>
          <c:extLst xmlns:c16r2="http://schemas.microsoft.com/office/drawing/2015/06/chart">
            <c:ext xmlns:c16="http://schemas.microsoft.com/office/drawing/2014/chart" uri="{C3380CC4-5D6E-409C-BE32-E72D297353CC}">
              <c16:uniqueId val="{00000002-6C77-4F29-B2B7-8CFCC8F430CA}"/>
            </c:ext>
          </c:extLst>
        </c:ser>
        <c:dLbls>
          <c:showLegendKey val="0"/>
          <c:showVal val="0"/>
          <c:showCatName val="0"/>
          <c:showSerName val="0"/>
          <c:showPercent val="0"/>
          <c:showBubbleSize val="0"/>
        </c:dLbls>
        <c:gapWidth val="219"/>
        <c:overlap val="-27"/>
        <c:axId val="324132736"/>
        <c:axId val="324133296"/>
      </c:barChart>
      <c:catAx>
        <c:axId val="324132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324133296"/>
        <c:crosses val="autoZero"/>
        <c:auto val="1"/>
        <c:lblAlgn val="ctr"/>
        <c:lblOffset val="100"/>
        <c:noMultiLvlLbl val="0"/>
      </c:catAx>
      <c:valAx>
        <c:axId val="324133296"/>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324132736"/>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2857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GB" sz="1600" b="1"/>
              <a:t>Total Reach, by Region</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'FY17 PIIRS Regional Summary'!$A$54</c:f>
              <c:strCache>
                <c:ptCount val="1"/>
                <c:pt idx="0">
                  <c:v>Direct participants in FY</c:v>
                </c:pt>
              </c:strCache>
            </c:strRef>
          </c:tx>
          <c:spPr>
            <a:solidFill>
              <a:schemeClr val="accent2"/>
            </a:solidFill>
            <a:ln>
              <a:noFill/>
            </a:ln>
            <a:effectLst/>
          </c:spPr>
          <c:invertIfNegative val="0"/>
          <c:cat>
            <c:strRef>
              <c:f>'FY17 PIIRS Regional Summary'!$B$52:$H$52</c:f>
              <c:strCache>
                <c:ptCount val="7"/>
                <c:pt idx="0">
                  <c:v>Africa - East and Central</c:v>
                </c:pt>
                <c:pt idx="1">
                  <c:v>Africa - Southern</c:v>
                </c:pt>
                <c:pt idx="2">
                  <c:v>Africa - Western</c:v>
                </c:pt>
                <c:pt idx="3">
                  <c:v>Asia and the Pacific</c:v>
                </c:pt>
                <c:pt idx="4">
                  <c:v>Latin America and the Caribbean</c:v>
                </c:pt>
                <c:pt idx="5">
                  <c:v>Middle East, North Africa and Europe</c:v>
                </c:pt>
                <c:pt idx="6">
                  <c:v>North America</c:v>
                </c:pt>
              </c:strCache>
            </c:strRef>
          </c:cat>
          <c:val>
            <c:numRef>
              <c:f>'FY17 PIIRS Regional Summary'!$B$54:$H$54</c:f>
              <c:numCache>
                <c:formatCode>_-* #,##0_-;\-* #,##0_-;_-* "-"??_-;_-@_-</c:formatCode>
                <c:ptCount val="7"/>
                <c:pt idx="0">
                  <c:v>9261899</c:v>
                </c:pt>
                <c:pt idx="1">
                  <c:v>3762457.5</c:v>
                </c:pt>
                <c:pt idx="2">
                  <c:v>4349699</c:v>
                </c:pt>
                <c:pt idx="3">
                  <c:v>40033908</c:v>
                </c:pt>
                <c:pt idx="4">
                  <c:v>1490829</c:v>
                </c:pt>
                <c:pt idx="5">
                  <c:v>4033207</c:v>
                </c:pt>
                <c:pt idx="6">
                  <c:v>0</c:v>
                </c:pt>
              </c:numCache>
            </c:numRef>
          </c:val>
          <c:extLst xmlns:c16r2="http://schemas.microsoft.com/office/drawing/2015/06/chart">
            <c:ext xmlns:c16="http://schemas.microsoft.com/office/drawing/2014/chart" uri="{C3380CC4-5D6E-409C-BE32-E72D297353CC}">
              <c16:uniqueId val="{00000001-E210-426E-87B4-E1434A7C19C2}"/>
            </c:ext>
          </c:extLst>
        </c:ser>
        <c:ser>
          <c:idx val="2"/>
          <c:order val="1"/>
          <c:tx>
            <c:strRef>
              <c:f>'FY17 PIIRS Regional Summary'!$A$55</c:f>
              <c:strCache>
                <c:ptCount val="1"/>
                <c:pt idx="0">
                  <c:v>Women participants in FY (direct)</c:v>
                </c:pt>
              </c:strCache>
            </c:strRef>
          </c:tx>
          <c:spPr>
            <a:solidFill>
              <a:schemeClr val="accent3"/>
            </a:solidFill>
            <a:ln>
              <a:noFill/>
            </a:ln>
            <a:effectLst/>
          </c:spPr>
          <c:invertIfNegative val="0"/>
          <c:cat>
            <c:strRef>
              <c:f>'FY17 PIIRS Regional Summary'!$B$52:$H$52</c:f>
              <c:strCache>
                <c:ptCount val="7"/>
                <c:pt idx="0">
                  <c:v>Africa - East and Central</c:v>
                </c:pt>
                <c:pt idx="1">
                  <c:v>Africa - Southern</c:v>
                </c:pt>
                <c:pt idx="2">
                  <c:v>Africa - Western</c:v>
                </c:pt>
                <c:pt idx="3">
                  <c:v>Asia and the Pacific</c:v>
                </c:pt>
                <c:pt idx="4">
                  <c:v>Latin America and the Caribbean</c:v>
                </c:pt>
                <c:pt idx="5">
                  <c:v>Middle East, North Africa and Europe</c:v>
                </c:pt>
                <c:pt idx="6">
                  <c:v>North America</c:v>
                </c:pt>
              </c:strCache>
            </c:strRef>
          </c:cat>
          <c:val>
            <c:numRef>
              <c:f>'FY17 PIIRS Regional Summary'!$B$55:$H$55</c:f>
              <c:numCache>
                <c:formatCode>_-* #,##0_-;\-* #,##0_-;_-* "-"??_-;_-@_-</c:formatCode>
                <c:ptCount val="7"/>
                <c:pt idx="0">
                  <c:v>5309054.4800000004</c:v>
                </c:pt>
                <c:pt idx="1">
                  <c:v>2022046.5</c:v>
                </c:pt>
                <c:pt idx="2">
                  <c:v>2441932</c:v>
                </c:pt>
                <c:pt idx="3">
                  <c:v>33460724</c:v>
                </c:pt>
                <c:pt idx="4">
                  <c:v>509334</c:v>
                </c:pt>
                <c:pt idx="5">
                  <c:v>1978574.4</c:v>
                </c:pt>
                <c:pt idx="6">
                  <c:v>0</c:v>
                </c:pt>
              </c:numCache>
            </c:numRef>
          </c:val>
          <c:extLst xmlns:c16r2="http://schemas.microsoft.com/office/drawing/2015/06/chart">
            <c:ext xmlns:c16="http://schemas.microsoft.com/office/drawing/2014/chart" uri="{C3380CC4-5D6E-409C-BE32-E72D297353CC}">
              <c16:uniqueId val="{00000002-E210-426E-87B4-E1434A7C19C2}"/>
            </c:ext>
          </c:extLst>
        </c:ser>
        <c:ser>
          <c:idx val="3"/>
          <c:order val="2"/>
          <c:tx>
            <c:strRef>
              <c:f>'FY17 PIIRS Regional Summary'!$A$56</c:f>
              <c:strCache>
                <c:ptCount val="1"/>
                <c:pt idx="0">
                  <c:v>Indirect participants in FY</c:v>
                </c:pt>
              </c:strCache>
            </c:strRef>
          </c:tx>
          <c:spPr>
            <a:solidFill>
              <a:schemeClr val="accent4"/>
            </a:solidFill>
            <a:ln>
              <a:noFill/>
            </a:ln>
            <a:effectLst/>
          </c:spPr>
          <c:invertIfNegative val="0"/>
          <c:cat>
            <c:strRef>
              <c:f>'FY17 PIIRS Regional Summary'!$B$52:$H$52</c:f>
              <c:strCache>
                <c:ptCount val="7"/>
                <c:pt idx="0">
                  <c:v>Africa - East and Central</c:v>
                </c:pt>
                <c:pt idx="1">
                  <c:v>Africa - Southern</c:v>
                </c:pt>
                <c:pt idx="2">
                  <c:v>Africa - Western</c:v>
                </c:pt>
                <c:pt idx="3">
                  <c:v>Asia and the Pacific</c:v>
                </c:pt>
                <c:pt idx="4">
                  <c:v>Latin America and the Caribbean</c:v>
                </c:pt>
                <c:pt idx="5">
                  <c:v>Middle East, North Africa and Europe</c:v>
                </c:pt>
                <c:pt idx="6">
                  <c:v>North America</c:v>
                </c:pt>
              </c:strCache>
            </c:strRef>
          </c:cat>
          <c:val>
            <c:numRef>
              <c:f>'FY17 PIIRS Regional Summary'!$B$56:$H$56</c:f>
              <c:numCache>
                <c:formatCode>_-* #,##0_-;\-* #,##0_-;_-* "-"??_-;_-@_-</c:formatCode>
                <c:ptCount val="7"/>
                <c:pt idx="0">
                  <c:v>21002107</c:v>
                </c:pt>
                <c:pt idx="1">
                  <c:v>4827866</c:v>
                </c:pt>
                <c:pt idx="2">
                  <c:v>20021191</c:v>
                </c:pt>
                <c:pt idx="3">
                  <c:v>148507700.90000001</c:v>
                </c:pt>
                <c:pt idx="4">
                  <c:v>15103394.5</c:v>
                </c:pt>
                <c:pt idx="5">
                  <c:v>6580097</c:v>
                </c:pt>
                <c:pt idx="6">
                  <c:v>0</c:v>
                </c:pt>
              </c:numCache>
            </c:numRef>
          </c:val>
          <c:extLst xmlns:c16r2="http://schemas.microsoft.com/office/drawing/2015/06/chart">
            <c:ext xmlns:c16="http://schemas.microsoft.com/office/drawing/2014/chart" uri="{C3380CC4-5D6E-409C-BE32-E72D297353CC}">
              <c16:uniqueId val="{00000003-E210-426E-87B4-E1434A7C19C2}"/>
            </c:ext>
          </c:extLst>
        </c:ser>
        <c:ser>
          <c:idx val="4"/>
          <c:order val="3"/>
          <c:tx>
            <c:strRef>
              <c:f>'FY17 PIIRS Regional Summary'!$A$57</c:f>
              <c:strCache>
                <c:ptCount val="1"/>
                <c:pt idx="0">
                  <c:v>Women participants in FY (indirect)</c:v>
                </c:pt>
              </c:strCache>
            </c:strRef>
          </c:tx>
          <c:spPr>
            <a:solidFill>
              <a:schemeClr val="accent5"/>
            </a:solidFill>
            <a:ln>
              <a:noFill/>
            </a:ln>
            <a:effectLst/>
          </c:spPr>
          <c:invertIfNegative val="0"/>
          <c:cat>
            <c:strRef>
              <c:f>'FY17 PIIRS Regional Summary'!$B$52:$H$52</c:f>
              <c:strCache>
                <c:ptCount val="7"/>
                <c:pt idx="0">
                  <c:v>Africa - East and Central</c:v>
                </c:pt>
                <c:pt idx="1">
                  <c:v>Africa - Southern</c:v>
                </c:pt>
                <c:pt idx="2">
                  <c:v>Africa - Western</c:v>
                </c:pt>
                <c:pt idx="3">
                  <c:v>Asia and the Pacific</c:v>
                </c:pt>
                <c:pt idx="4">
                  <c:v>Latin America and the Caribbean</c:v>
                </c:pt>
                <c:pt idx="5">
                  <c:v>Middle East, North Africa and Europe</c:v>
                </c:pt>
                <c:pt idx="6">
                  <c:v>North America</c:v>
                </c:pt>
              </c:strCache>
            </c:strRef>
          </c:cat>
          <c:val>
            <c:numRef>
              <c:f>'FY17 PIIRS Regional Summary'!$B$57:$H$57</c:f>
              <c:numCache>
                <c:formatCode>_-* #,##0_-;\-* #,##0_-;_-* "-"??_-;_-@_-</c:formatCode>
                <c:ptCount val="7"/>
                <c:pt idx="0">
                  <c:v>11404152.92</c:v>
                </c:pt>
                <c:pt idx="1">
                  <c:v>2722694.75</c:v>
                </c:pt>
                <c:pt idx="2">
                  <c:v>10658954.25</c:v>
                </c:pt>
                <c:pt idx="3">
                  <c:v>83580166</c:v>
                </c:pt>
                <c:pt idx="4">
                  <c:v>6172002.5</c:v>
                </c:pt>
                <c:pt idx="5">
                  <c:v>3269101</c:v>
                </c:pt>
                <c:pt idx="6">
                  <c:v>0</c:v>
                </c:pt>
              </c:numCache>
            </c:numRef>
          </c:val>
          <c:extLst xmlns:c16r2="http://schemas.microsoft.com/office/drawing/2015/06/chart">
            <c:ext xmlns:c16="http://schemas.microsoft.com/office/drawing/2014/chart" uri="{C3380CC4-5D6E-409C-BE32-E72D297353CC}">
              <c16:uniqueId val="{00000004-E210-426E-87B4-E1434A7C19C2}"/>
            </c:ext>
          </c:extLst>
        </c:ser>
        <c:ser>
          <c:idx val="0"/>
          <c:order val="4"/>
          <c:tx>
            <c:strRef>
              <c:f>'FY17 PIIRS Regional Summary'!$A$53</c:f>
              <c:strCache>
                <c:ptCount val="1"/>
                <c:pt idx="0">
                  <c:v>Number of projects</c:v>
                </c:pt>
              </c:strCache>
            </c:strRef>
          </c:tx>
          <c:spPr>
            <a:solidFill>
              <a:schemeClr val="accent1"/>
            </a:solidFill>
            <a:ln>
              <a:noFill/>
            </a:ln>
            <a:effectLst/>
          </c:spPr>
          <c:invertIfNegative val="0"/>
          <c:cat>
            <c:strRef>
              <c:f>'FY17 PIIRS Regional Summary'!$B$52:$H$52</c:f>
              <c:strCache>
                <c:ptCount val="7"/>
                <c:pt idx="0">
                  <c:v>Africa - East and Central</c:v>
                </c:pt>
                <c:pt idx="1">
                  <c:v>Africa - Southern</c:v>
                </c:pt>
                <c:pt idx="2">
                  <c:v>Africa - Western</c:v>
                </c:pt>
                <c:pt idx="3">
                  <c:v>Asia and the Pacific</c:v>
                </c:pt>
                <c:pt idx="4">
                  <c:v>Latin America and the Caribbean</c:v>
                </c:pt>
                <c:pt idx="5">
                  <c:v>Middle East, North Africa and Europe</c:v>
                </c:pt>
                <c:pt idx="6">
                  <c:v>North America</c:v>
                </c:pt>
              </c:strCache>
            </c:strRef>
          </c:cat>
          <c:val>
            <c:numRef>
              <c:f>'FY17 PIIRS Regional Summary'!$B$53:$H$53</c:f>
              <c:numCache>
                <c:formatCode>General</c:formatCode>
                <c:ptCount val="7"/>
                <c:pt idx="0">
                  <c:v>177</c:v>
                </c:pt>
                <c:pt idx="1">
                  <c:v>84</c:v>
                </c:pt>
                <c:pt idx="2">
                  <c:v>103</c:v>
                </c:pt>
                <c:pt idx="3">
                  <c:v>271</c:v>
                </c:pt>
                <c:pt idx="4">
                  <c:v>97</c:v>
                </c:pt>
                <c:pt idx="5">
                  <c:v>184</c:v>
                </c:pt>
                <c:pt idx="6">
                  <c:v>34</c:v>
                </c:pt>
              </c:numCache>
            </c:numRef>
          </c:val>
          <c:extLst xmlns:c16r2="http://schemas.microsoft.com/office/drawing/2015/06/chart">
            <c:ext xmlns:c16="http://schemas.microsoft.com/office/drawing/2014/chart" uri="{C3380CC4-5D6E-409C-BE32-E72D297353CC}">
              <c16:uniqueId val="{00000000-E210-426E-87B4-E1434A7C19C2}"/>
            </c:ext>
          </c:extLst>
        </c:ser>
        <c:dLbls>
          <c:showLegendKey val="0"/>
          <c:showVal val="0"/>
          <c:showCatName val="0"/>
          <c:showSerName val="0"/>
          <c:showPercent val="0"/>
          <c:showBubbleSize val="0"/>
        </c:dLbls>
        <c:gapWidth val="219"/>
        <c:overlap val="-27"/>
        <c:axId val="324138336"/>
        <c:axId val="324138896"/>
      </c:barChart>
      <c:catAx>
        <c:axId val="324138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4138896"/>
        <c:crosses val="autoZero"/>
        <c:auto val="1"/>
        <c:lblAlgn val="ctr"/>
        <c:lblOffset val="100"/>
        <c:noMultiLvlLbl val="0"/>
      </c:catAx>
      <c:valAx>
        <c:axId val="32413889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32413833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w="25400">
          <a:noFill/>
        </a:ln>
        <a:effectLst/>
      </c:spPr>
    </c:plotArea>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paperSize="9" orientation="landscape" horizontalDpi="1200"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400" b="1">
                <a:latin typeface="Arial" panose="020B0604020202020204" pitchFamily="34" charset="0"/>
                <a:cs typeface="Arial" panose="020B0604020202020204" pitchFamily="34" charset="0"/>
              </a:rPr>
              <a:t>Multiplying Impact</a:t>
            </a:r>
            <a:endParaRPr lang="en-US" sz="1100" b="1">
              <a:latin typeface="Arial" panose="020B0604020202020204" pitchFamily="34" charset="0"/>
              <a:cs typeface="Arial" panose="020B0604020202020204" pitchFamily="34" charset="0"/>
            </a:endParaRPr>
          </a:p>
          <a:p>
            <a:pPr>
              <a:defRPr sz="1000" b="1">
                <a:latin typeface="Arial" panose="020B0604020202020204" pitchFamily="34" charset="0"/>
                <a:cs typeface="Arial" panose="020B0604020202020204" pitchFamily="34" charset="0"/>
              </a:defRPr>
            </a:pPr>
            <a:r>
              <a:rPr lang="en-US" sz="1100" b="0">
                <a:latin typeface="Arial" panose="020B0604020202020204" pitchFamily="34" charset="0"/>
                <a:cs typeface="Arial" panose="020B0604020202020204" pitchFamily="34" charset="0"/>
              </a:rPr>
              <a:t>% of projects</a:t>
            </a:r>
          </a:p>
        </c:rich>
      </c:tx>
      <c:layout>
        <c:manualLayout>
          <c:xMode val="edge"/>
          <c:yMode val="edge"/>
          <c:x val="0.32955656340330819"/>
          <c:y val="1.7937242380784875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1926039095859287"/>
          <c:y val="0.18374162870896746"/>
          <c:w val="0.86564500332980765"/>
          <c:h val="0.57816273984440336"/>
        </c:manualLayout>
      </c:layout>
      <c:barChart>
        <c:barDir val="col"/>
        <c:grouping val="clustered"/>
        <c:varyColors val="0"/>
        <c:ser>
          <c:idx val="0"/>
          <c:order val="0"/>
          <c:tx>
            <c:strRef>
              <c:f>'FY17 PIIRS Project Summary'!$N$10</c:f>
              <c:strCache>
                <c:ptCount val="1"/>
                <c:pt idx="0">
                  <c:v>Project</c:v>
                </c:pt>
              </c:strCache>
            </c:strRef>
          </c:tx>
          <c:spPr>
            <a:solidFill>
              <a:schemeClr val="accent1"/>
            </a:solidFill>
            <a:ln>
              <a:noFill/>
            </a:ln>
            <a:effectLst/>
          </c:spPr>
          <c:invertIfNegative val="0"/>
          <c:dLbls>
            <c:dLbl>
              <c:idx val="1"/>
              <c:layout>
                <c:manualLayout>
                  <c:x val="9.4018098483958164E-8"/>
                  <c:y val="1.3921113689095127E-2"/>
                </c:manualLayout>
              </c:layout>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accent5"/>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87F-481D-993A-0333C5336C97}"/>
                </c:ext>
                <c:ext xmlns:c15="http://schemas.microsoft.com/office/drawing/2012/chart" uri="{CE6537A1-D6FC-4f65-9D91-7224C49458BB}">
                  <c15:layout>
                    <c:manualLayout>
                      <c:w val="6.2662686567164172E-2"/>
                      <c:h val="5.0974660650017357E-2"/>
                    </c:manualLayout>
                  </c15:layout>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5"/>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'FY17 PIIRS Project Summary'!$O$9:$X$9</c15:sqref>
                  </c15:fullRef>
                </c:ext>
              </c:extLst>
              <c:f>('FY17 PIIRS Project Summary'!$R$9,'FY17 PIIRS Project Summary'!$W$9:$X$9)</c:f>
              <c:strCache>
                <c:ptCount val="3"/>
                <c:pt idx="0">
                  <c:v>Advocacy (intensive or moderate)</c:v>
                </c:pt>
                <c:pt idx="1">
                  <c:v>Innovation</c:v>
                </c:pt>
                <c:pt idx="2">
                  <c:v>Scale up</c:v>
                </c:pt>
              </c:strCache>
            </c:strRef>
          </c:cat>
          <c:val>
            <c:numRef>
              <c:extLst>
                <c:ext xmlns:c15="http://schemas.microsoft.com/office/drawing/2012/chart" uri="{02D57815-91ED-43cb-92C2-25804820EDAC}">
                  <c15:fullRef>
                    <c15:sqref>'FY17 PIIRS Project Summary'!$O$10:$X$10</c15:sqref>
                  </c15:fullRef>
                </c:ext>
              </c:extLst>
              <c:f>('FY17 PIIRS Project Summary'!$R$10,'FY17 PIIRS Project Summary'!$W$10:$X$10)</c:f>
              <c:numCache>
                <c:formatCode>0%</c:formatCode>
                <c:ptCount val="3"/>
                <c:pt idx="0">
                  <c:v>0.5</c:v>
                </c:pt>
                <c:pt idx="1">
                  <c:v>0.5</c:v>
                </c:pt>
                <c:pt idx="2">
                  <c:v>0.5</c:v>
                </c:pt>
              </c:numCache>
            </c:numRef>
          </c:val>
          <c:extLst xmlns:c16r2="http://schemas.microsoft.com/office/drawing/2015/06/chart">
            <c:ext xmlns:c16="http://schemas.microsoft.com/office/drawing/2014/chart" uri="{C3380CC4-5D6E-409C-BE32-E72D297353CC}">
              <c16:uniqueId val="{00000001-087F-481D-993A-0333C5336C97}"/>
            </c:ext>
          </c:extLst>
        </c:ser>
        <c:ser>
          <c:idx val="1"/>
          <c:order val="1"/>
          <c:tx>
            <c:strRef>
              <c:f>'FY17 PIIRS Project Summary'!$N$11</c:f>
              <c:strCache>
                <c:ptCount val="1"/>
                <c:pt idx="0">
                  <c:v>Country</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6"/>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'FY17 PIIRS Project Summary'!$O$9:$X$9</c15:sqref>
                  </c15:fullRef>
                </c:ext>
              </c:extLst>
              <c:f>('FY17 PIIRS Project Summary'!$R$9,'FY17 PIIRS Project Summary'!$W$9:$X$9)</c:f>
              <c:strCache>
                <c:ptCount val="3"/>
                <c:pt idx="0">
                  <c:v>Advocacy (intensive or moderate)</c:v>
                </c:pt>
                <c:pt idx="1">
                  <c:v>Innovation</c:v>
                </c:pt>
                <c:pt idx="2">
                  <c:v>Scale up</c:v>
                </c:pt>
              </c:strCache>
            </c:strRef>
          </c:cat>
          <c:val>
            <c:numRef>
              <c:extLst>
                <c:ext xmlns:c15="http://schemas.microsoft.com/office/drawing/2012/chart" uri="{02D57815-91ED-43cb-92C2-25804820EDAC}">
                  <c15:fullRef>
                    <c15:sqref>'FY17 PIIRS Project Summary'!$O$11:$X$11</c15:sqref>
                  </c15:fullRef>
                </c:ext>
              </c:extLst>
              <c:f>('FY17 PIIRS Project Summary'!$R$11,'FY17 PIIRS Project Summary'!$W$11:$X$11)</c:f>
              <c:numCache>
                <c:formatCode>0%</c:formatCode>
                <c:ptCount val="3"/>
                <c:pt idx="0">
                  <c:v>0.5714285714285714</c:v>
                </c:pt>
                <c:pt idx="1">
                  <c:v>0.61224489795918369</c:v>
                </c:pt>
                <c:pt idx="2">
                  <c:v>0.64583333333333337</c:v>
                </c:pt>
              </c:numCache>
            </c:numRef>
          </c:val>
          <c:extLst xmlns:c16r2="http://schemas.microsoft.com/office/drawing/2015/06/chart">
            <c:ext xmlns:c16="http://schemas.microsoft.com/office/drawing/2014/chart" uri="{C3380CC4-5D6E-409C-BE32-E72D297353CC}">
              <c16:uniqueId val="{00000002-087F-481D-993A-0333C5336C97}"/>
            </c:ext>
          </c:extLst>
        </c:ser>
        <c:ser>
          <c:idx val="2"/>
          <c:order val="2"/>
          <c:tx>
            <c:strRef>
              <c:f>'FY17 PIIRS Project Summary'!$N$12</c:f>
              <c:strCache>
                <c:ptCount val="1"/>
                <c:pt idx="0">
                  <c:v>Region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2"/>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'FY17 PIIRS Project Summary'!$O$9:$X$9</c15:sqref>
                  </c15:fullRef>
                </c:ext>
              </c:extLst>
              <c:f>('FY17 PIIRS Project Summary'!$R$9,'FY17 PIIRS Project Summary'!$W$9:$X$9)</c:f>
              <c:strCache>
                <c:ptCount val="3"/>
                <c:pt idx="0">
                  <c:v>Advocacy (intensive or moderate)</c:v>
                </c:pt>
                <c:pt idx="1">
                  <c:v>Innovation</c:v>
                </c:pt>
                <c:pt idx="2">
                  <c:v>Scale up</c:v>
                </c:pt>
              </c:strCache>
            </c:strRef>
          </c:cat>
          <c:val>
            <c:numRef>
              <c:extLst>
                <c:ext xmlns:c15="http://schemas.microsoft.com/office/drawing/2012/chart" uri="{02D57815-91ED-43cb-92C2-25804820EDAC}">
                  <c15:fullRef>
                    <c15:sqref>'FY17 PIIRS Project Summary'!$O$12:$X$12</c15:sqref>
                  </c15:fullRef>
                </c:ext>
              </c:extLst>
              <c:f>('FY17 PIIRS Project Summary'!$R$12,'FY17 PIIRS Project Summary'!$W$12:$X$12)</c:f>
              <c:numCache>
                <c:formatCode>0%</c:formatCode>
                <c:ptCount val="3"/>
                <c:pt idx="0">
                  <c:v>0.59695817490494296</c:v>
                </c:pt>
                <c:pt idx="1">
                  <c:v>0.5</c:v>
                </c:pt>
                <c:pt idx="2">
                  <c:v>0.55078125</c:v>
                </c:pt>
              </c:numCache>
            </c:numRef>
          </c:val>
          <c:extLst xmlns:c16r2="http://schemas.microsoft.com/office/drawing/2015/06/chart">
            <c:ext xmlns:c16="http://schemas.microsoft.com/office/drawing/2014/chart" uri="{C3380CC4-5D6E-409C-BE32-E72D297353CC}">
              <c16:uniqueId val="{00000003-087F-481D-993A-0333C5336C97}"/>
            </c:ext>
          </c:extLst>
        </c:ser>
        <c:dLbls>
          <c:showLegendKey val="0"/>
          <c:showVal val="0"/>
          <c:showCatName val="0"/>
          <c:showSerName val="0"/>
          <c:showPercent val="0"/>
          <c:showBubbleSize val="0"/>
        </c:dLbls>
        <c:gapWidth val="150"/>
        <c:axId val="320517776"/>
        <c:axId val="320518336"/>
      </c:barChart>
      <c:catAx>
        <c:axId val="320517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20518336"/>
        <c:crosses val="autoZero"/>
        <c:auto val="1"/>
        <c:lblAlgn val="ctr"/>
        <c:lblOffset val="100"/>
        <c:noMultiLvlLbl val="0"/>
      </c:catAx>
      <c:valAx>
        <c:axId val="320518336"/>
        <c:scaling>
          <c:orientation val="minMax"/>
          <c:max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20517776"/>
        <c:crosses val="autoZero"/>
        <c:crossBetween val="between"/>
        <c:majorUnit val="0.2"/>
      </c:valAx>
      <c:spPr>
        <a:noFill/>
        <a:ln>
          <a:noFill/>
        </a:ln>
        <a:effectLst/>
      </c:spPr>
    </c:plotArea>
    <c:legend>
      <c:legendPos val="r"/>
      <c:legendEntry>
        <c:idx val="0"/>
        <c:txPr>
          <a:bodyPr rot="0" spcFirstLastPara="1" vertOverflow="ellipsis" vert="horz" wrap="square" anchor="ctr" anchorCtr="1"/>
          <a:lstStyle/>
          <a:p>
            <a:pPr>
              <a:defRPr sz="110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legendEntry>
      <c:legendEntry>
        <c:idx val="1"/>
        <c:txPr>
          <a:bodyPr rot="0" spcFirstLastPara="1" vertOverflow="ellipsis" vert="horz" wrap="square" anchor="ctr" anchorCtr="1"/>
          <a:lstStyle/>
          <a:p>
            <a:pPr>
              <a:defRPr sz="1100" b="1" i="0" u="none" strike="noStrike" kern="1200" baseline="0">
                <a:solidFill>
                  <a:schemeClr val="accent6"/>
                </a:solidFill>
                <a:latin typeface="Arial" panose="020B0604020202020204" pitchFamily="34" charset="0"/>
                <a:ea typeface="+mn-ea"/>
                <a:cs typeface="Arial" panose="020B0604020202020204" pitchFamily="34" charset="0"/>
              </a:defRPr>
            </a:pPr>
            <a:endParaRPr lang="en-US"/>
          </a:p>
        </c:txPr>
      </c:legendEntry>
      <c:legendEntry>
        <c:idx val="2"/>
        <c:txPr>
          <a:bodyPr rot="0" spcFirstLastPara="1" vertOverflow="ellipsis" vert="horz" wrap="square" anchor="ctr" anchorCtr="1"/>
          <a:lstStyle/>
          <a:p>
            <a:pPr>
              <a:defRPr sz="1100" b="1" i="0" u="none" strike="noStrike" kern="1200" baseline="0">
                <a:solidFill>
                  <a:schemeClr val="accent2"/>
                </a:solidFill>
                <a:latin typeface="Arial" panose="020B0604020202020204" pitchFamily="34" charset="0"/>
                <a:ea typeface="+mn-ea"/>
                <a:cs typeface="Arial" panose="020B0604020202020204" pitchFamily="34" charset="0"/>
              </a:defRPr>
            </a:pPr>
            <a:endParaRPr lang="en-US"/>
          </a:p>
        </c:txPr>
      </c:legendEntry>
      <c:layout>
        <c:manualLayout>
          <c:xMode val="edge"/>
          <c:yMode val="edge"/>
          <c:x val="0"/>
          <c:y val="0.91816807042132098"/>
          <c:w val="0.9960747443882948"/>
          <c:h val="8.0620467612056629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1"/>
              <a:t>Proportion of participants,</a:t>
            </a:r>
            <a:r>
              <a:rPr lang="en-GB" b="1" baseline="0"/>
              <a:t> as % of participants reached in each outcome area, by region</a:t>
            </a:r>
            <a:endParaRPr lang="en-GB"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0208831743058145E-2"/>
          <c:y val="0.22527925711293564"/>
          <c:w val="0.93399508048542046"/>
          <c:h val="0.63055385016139598"/>
        </c:manualLayout>
      </c:layout>
      <c:barChart>
        <c:barDir val="col"/>
        <c:grouping val="stacked"/>
        <c:varyColors val="0"/>
        <c:ser>
          <c:idx val="0"/>
          <c:order val="0"/>
          <c:tx>
            <c:strRef>
              <c:f>'FY17 PIIRS Regional Summary'!$L$52</c:f>
              <c:strCache>
                <c:ptCount val="1"/>
                <c:pt idx="0">
                  <c:v>Africa - East and Central</c:v>
                </c:pt>
              </c:strCache>
            </c:strRef>
          </c:tx>
          <c:spPr>
            <a:solidFill>
              <a:schemeClr val="accent6"/>
            </a:solidFill>
            <a:ln>
              <a:noFill/>
            </a:ln>
            <a:effectLst/>
          </c:spPr>
          <c:invertIfNegative val="0"/>
          <c:cat>
            <c:multiLvlStrRef>
              <c:f>'FY17 PIIRS Regional Summary'!$J$53:$K$62</c:f>
              <c:multiLvlStrCache>
                <c:ptCount val="10"/>
                <c:lvl>
                  <c:pt idx="0">
                    <c:v>Direct</c:v>
                  </c:pt>
                  <c:pt idx="1">
                    <c:v>Indirect</c:v>
                  </c:pt>
                  <c:pt idx="2">
                    <c:v>Direct</c:v>
                  </c:pt>
                  <c:pt idx="3">
                    <c:v>Indirect</c:v>
                  </c:pt>
                  <c:pt idx="4">
                    <c:v>Direct</c:v>
                  </c:pt>
                  <c:pt idx="5">
                    <c:v>Indirect</c:v>
                  </c:pt>
                  <c:pt idx="6">
                    <c:v>Direct</c:v>
                  </c:pt>
                  <c:pt idx="7">
                    <c:v>Indirect</c:v>
                  </c:pt>
                  <c:pt idx="8">
                    <c:v>Direct</c:v>
                  </c:pt>
                  <c:pt idx="9">
                    <c:v>Indirect</c:v>
                  </c:pt>
                </c:lvl>
                <c:lvl>
                  <c:pt idx="0">
                    <c:v>HUM</c:v>
                  </c:pt>
                  <c:pt idx="2">
                    <c:v>SRMH</c:v>
                  </c:pt>
                  <c:pt idx="4">
                    <c:v>LFFV</c:v>
                  </c:pt>
                  <c:pt idx="6">
                    <c:v>FNS &amp; CCR</c:v>
                  </c:pt>
                  <c:pt idx="8">
                    <c:v>WEE</c:v>
                  </c:pt>
                </c:lvl>
              </c:multiLvlStrCache>
            </c:multiLvlStrRef>
          </c:cat>
          <c:val>
            <c:numRef>
              <c:f>'FY17 PIIRS Regional Summary'!$L$53:$L$62</c:f>
              <c:numCache>
                <c:formatCode>0%</c:formatCode>
                <c:ptCount val="10"/>
                <c:pt idx="0">
                  <c:v>0.35655744740534356</c:v>
                </c:pt>
                <c:pt idx="1">
                  <c:v>0.223517025922744</c:v>
                </c:pt>
                <c:pt idx="2">
                  <c:v>4.195476815329937E-2</c:v>
                </c:pt>
                <c:pt idx="3">
                  <c:v>4.9047768877358136E-2</c:v>
                </c:pt>
                <c:pt idx="4">
                  <c:v>0.21982997384845251</c:v>
                </c:pt>
                <c:pt idx="5">
                  <c:v>0.24912173942284535</c:v>
                </c:pt>
                <c:pt idx="6">
                  <c:v>0.22045248423971875</c:v>
                </c:pt>
                <c:pt idx="7">
                  <c:v>0.1103390481183925</c:v>
                </c:pt>
                <c:pt idx="8">
                  <c:v>0.54896703726144502</c:v>
                </c:pt>
                <c:pt idx="9">
                  <c:v>0.47758969063534568</c:v>
                </c:pt>
              </c:numCache>
            </c:numRef>
          </c:val>
          <c:extLst xmlns:c16r2="http://schemas.microsoft.com/office/drawing/2015/06/chart">
            <c:ext xmlns:c16="http://schemas.microsoft.com/office/drawing/2014/chart" uri="{C3380CC4-5D6E-409C-BE32-E72D297353CC}">
              <c16:uniqueId val="{00000000-658C-4D5E-AA56-DFF95E26E807}"/>
            </c:ext>
          </c:extLst>
        </c:ser>
        <c:ser>
          <c:idx val="1"/>
          <c:order val="1"/>
          <c:tx>
            <c:strRef>
              <c:f>'FY17 PIIRS Regional Summary'!$M$52</c:f>
              <c:strCache>
                <c:ptCount val="1"/>
                <c:pt idx="0">
                  <c:v>Africa - Southern</c:v>
                </c:pt>
              </c:strCache>
            </c:strRef>
          </c:tx>
          <c:spPr>
            <a:solidFill>
              <a:schemeClr val="accent5"/>
            </a:solidFill>
            <a:ln>
              <a:noFill/>
            </a:ln>
            <a:effectLst/>
          </c:spPr>
          <c:invertIfNegative val="0"/>
          <c:cat>
            <c:multiLvlStrRef>
              <c:f>'FY17 PIIRS Regional Summary'!$J$53:$K$62</c:f>
              <c:multiLvlStrCache>
                <c:ptCount val="10"/>
                <c:lvl>
                  <c:pt idx="0">
                    <c:v>Direct</c:v>
                  </c:pt>
                  <c:pt idx="1">
                    <c:v>Indirect</c:v>
                  </c:pt>
                  <c:pt idx="2">
                    <c:v>Direct</c:v>
                  </c:pt>
                  <c:pt idx="3">
                    <c:v>Indirect</c:v>
                  </c:pt>
                  <c:pt idx="4">
                    <c:v>Direct</c:v>
                  </c:pt>
                  <c:pt idx="5">
                    <c:v>Indirect</c:v>
                  </c:pt>
                  <c:pt idx="6">
                    <c:v>Direct</c:v>
                  </c:pt>
                  <c:pt idx="7">
                    <c:v>Indirect</c:v>
                  </c:pt>
                  <c:pt idx="8">
                    <c:v>Direct</c:v>
                  </c:pt>
                  <c:pt idx="9">
                    <c:v>Indirect</c:v>
                  </c:pt>
                </c:lvl>
                <c:lvl>
                  <c:pt idx="0">
                    <c:v>HUM</c:v>
                  </c:pt>
                  <c:pt idx="2">
                    <c:v>SRMH</c:v>
                  </c:pt>
                  <c:pt idx="4">
                    <c:v>LFFV</c:v>
                  </c:pt>
                  <c:pt idx="6">
                    <c:v>FNS &amp; CCR</c:v>
                  </c:pt>
                  <c:pt idx="8">
                    <c:v>WEE</c:v>
                  </c:pt>
                </c:lvl>
              </c:multiLvlStrCache>
            </c:multiLvlStrRef>
          </c:cat>
          <c:val>
            <c:numRef>
              <c:f>'FY17 PIIRS Regional Summary'!$M$53:$M$62</c:f>
              <c:numCache>
                <c:formatCode>0%</c:formatCode>
                <c:ptCount val="10"/>
                <c:pt idx="0">
                  <c:v>8.2936304162204877E-2</c:v>
                </c:pt>
                <c:pt idx="1">
                  <c:v>2.9535764100093426E-2</c:v>
                </c:pt>
                <c:pt idx="2">
                  <c:v>2.9440705546750396E-2</c:v>
                </c:pt>
                <c:pt idx="3">
                  <c:v>7.8910257356132694E-3</c:v>
                </c:pt>
                <c:pt idx="4">
                  <c:v>0.28347636416235328</c:v>
                </c:pt>
                <c:pt idx="5">
                  <c:v>5.1793581412955869E-2</c:v>
                </c:pt>
                <c:pt idx="6">
                  <c:v>0.16007523124362069</c:v>
                </c:pt>
                <c:pt idx="7">
                  <c:v>8.6475677228991202E-2</c:v>
                </c:pt>
                <c:pt idx="8">
                  <c:v>9.1921499604388127E-2</c:v>
                </c:pt>
                <c:pt idx="9">
                  <c:v>5.7548175006013599E-2</c:v>
                </c:pt>
              </c:numCache>
            </c:numRef>
          </c:val>
          <c:extLst xmlns:c16r2="http://schemas.microsoft.com/office/drawing/2015/06/chart">
            <c:ext xmlns:c16="http://schemas.microsoft.com/office/drawing/2014/chart" uri="{C3380CC4-5D6E-409C-BE32-E72D297353CC}">
              <c16:uniqueId val="{00000001-658C-4D5E-AA56-DFF95E26E807}"/>
            </c:ext>
          </c:extLst>
        </c:ser>
        <c:ser>
          <c:idx val="2"/>
          <c:order val="2"/>
          <c:tx>
            <c:strRef>
              <c:f>'FY17 PIIRS Regional Summary'!$N$52</c:f>
              <c:strCache>
                <c:ptCount val="1"/>
                <c:pt idx="0">
                  <c:v>Africa - Western</c:v>
                </c:pt>
              </c:strCache>
            </c:strRef>
          </c:tx>
          <c:spPr>
            <a:solidFill>
              <a:schemeClr val="accent4"/>
            </a:solidFill>
            <a:ln>
              <a:noFill/>
            </a:ln>
            <a:effectLst/>
          </c:spPr>
          <c:invertIfNegative val="0"/>
          <c:cat>
            <c:multiLvlStrRef>
              <c:f>'FY17 PIIRS Regional Summary'!$J$53:$K$62</c:f>
              <c:multiLvlStrCache>
                <c:ptCount val="10"/>
                <c:lvl>
                  <c:pt idx="0">
                    <c:v>Direct</c:v>
                  </c:pt>
                  <c:pt idx="1">
                    <c:v>Indirect</c:v>
                  </c:pt>
                  <c:pt idx="2">
                    <c:v>Direct</c:v>
                  </c:pt>
                  <c:pt idx="3">
                    <c:v>Indirect</c:v>
                  </c:pt>
                  <c:pt idx="4">
                    <c:v>Direct</c:v>
                  </c:pt>
                  <c:pt idx="5">
                    <c:v>Indirect</c:v>
                  </c:pt>
                  <c:pt idx="6">
                    <c:v>Direct</c:v>
                  </c:pt>
                  <c:pt idx="7">
                    <c:v>Indirect</c:v>
                  </c:pt>
                  <c:pt idx="8">
                    <c:v>Direct</c:v>
                  </c:pt>
                  <c:pt idx="9">
                    <c:v>Indirect</c:v>
                  </c:pt>
                </c:lvl>
                <c:lvl>
                  <c:pt idx="0">
                    <c:v>HUM</c:v>
                  </c:pt>
                  <c:pt idx="2">
                    <c:v>SRMH</c:v>
                  </c:pt>
                  <c:pt idx="4">
                    <c:v>LFFV</c:v>
                  </c:pt>
                  <c:pt idx="6">
                    <c:v>FNS &amp; CCR</c:v>
                  </c:pt>
                  <c:pt idx="8">
                    <c:v>WEE</c:v>
                  </c:pt>
                </c:lvl>
              </c:multiLvlStrCache>
            </c:multiLvlStrRef>
          </c:cat>
          <c:val>
            <c:numRef>
              <c:f>'FY17 PIIRS Regional Summary'!$N$53:$N$62</c:f>
              <c:numCache>
                <c:formatCode>0%</c:formatCode>
                <c:ptCount val="10"/>
                <c:pt idx="0">
                  <c:v>7.7440045656840997E-2</c:v>
                </c:pt>
                <c:pt idx="1">
                  <c:v>0.21856287485302364</c:v>
                </c:pt>
                <c:pt idx="2">
                  <c:v>4.7604037426880836E-3</c:v>
                </c:pt>
                <c:pt idx="3">
                  <c:v>6.3152177315838392E-3</c:v>
                </c:pt>
                <c:pt idx="4">
                  <c:v>0.13214010391582851</c:v>
                </c:pt>
                <c:pt idx="5">
                  <c:v>6.2064244686101035E-2</c:v>
                </c:pt>
                <c:pt idx="6">
                  <c:v>0.15311133487862413</c:v>
                </c:pt>
                <c:pt idx="7">
                  <c:v>0.31918039801283782</c:v>
                </c:pt>
                <c:pt idx="8">
                  <c:v>0.14869699379433043</c:v>
                </c:pt>
                <c:pt idx="9">
                  <c:v>0.16940460532009913</c:v>
                </c:pt>
              </c:numCache>
            </c:numRef>
          </c:val>
          <c:extLst xmlns:c16r2="http://schemas.microsoft.com/office/drawing/2015/06/chart">
            <c:ext xmlns:c16="http://schemas.microsoft.com/office/drawing/2014/chart" uri="{C3380CC4-5D6E-409C-BE32-E72D297353CC}">
              <c16:uniqueId val="{00000002-658C-4D5E-AA56-DFF95E26E807}"/>
            </c:ext>
          </c:extLst>
        </c:ser>
        <c:ser>
          <c:idx val="3"/>
          <c:order val="3"/>
          <c:tx>
            <c:strRef>
              <c:f>'FY17 PIIRS Regional Summary'!$O$52</c:f>
              <c:strCache>
                <c:ptCount val="1"/>
                <c:pt idx="0">
                  <c:v>Asia and the Pacific</c:v>
                </c:pt>
              </c:strCache>
            </c:strRef>
          </c:tx>
          <c:spPr>
            <a:solidFill>
              <a:schemeClr val="accent6">
                <a:lumMod val="60000"/>
              </a:schemeClr>
            </a:solidFill>
            <a:ln>
              <a:noFill/>
            </a:ln>
            <a:effectLst/>
          </c:spPr>
          <c:invertIfNegative val="0"/>
          <c:cat>
            <c:multiLvlStrRef>
              <c:f>'FY17 PIIRS Regional Summary'!$J$53:$K$62</c:f>
              <c:multiLvlStrCache>
                <c:ptCount val="10"/>
                <c:lvl>
                  <c:pt idx="0">
                    <c:v>Direct</c:v>
                  </c:pt>
                  <c:pt idx="1">
                    <c:v>Indirect</c:v>
                  </c:pt>
                  <c:pt idx="2">
                    <c:v>Direct</c:v>
                  </c:pt>
                  <c:pt idx="3">
                    <c:v>Indirect</c:v>
                  </c:pt>
                  <c:pt idx="4">
                    <c:v>Direct</c:v>
                  </c:pt>
                  <c:pt idx="5">
                    <c:v>Indirect</c:v>
                  </c:pt>
                  <c:pt idx="6">
                    <c:v>Direct</c:v>
                  </c:pt>
                  <c:pt idx="7">
                    <c:v>Indirect</c:v>
                  </c:pt>
                  <c:pt idx="8">
                    <c:v>Direct</c:v>
                  </c:pt>
                  <c:pt idx="9">
                    <c:v>Indirect</c:v>
                  </c:pt>
                </c:lvl>
                <c:lvl>
                  <c:pt idx="0">
                    <c:v>HUM</c:v>
                  </c:pt>
                  <c:pt idx="2">
                    <c:v>SRMH</c:v>
                  </c:pt>
                  <c:pt idx="4">
                    <c:v>LFFV</c:v>
                  </c:pt>
                  <c:pt idx="6">
                    <c:v>FNS &amp; CCR</c:v>
                  </c:pt>
                  <c:pt idx="8">
                    <c:v>WEE</c:v>
                  </c:pt>
                </c:lvl>
              </c:multiLvlStrCache>
            </c:multiLvlStrRef>
          </c:cat>
          <c:val>
            <c:numRef>
              <c:f>'FY17 PIIRS Regional Summary'!$O$53:$O$62</c:f>
              <c:numCache>
                <c:formatCode>0%</c:formatCode>
                <c:ptCount val="10"/>
                <c:pt idx="0">
                  <c:v>0.12942826873341942</c:v>
                </c:pt>
                <c:pt idx="1">
                  <c:v>0.13444586136947248</c:v>
                </c:pt>
                <c:pt idx="2">
                  <c:v>0.9172416607843954</c:v>
                </c:pt>
                <c:pt idx="3">
                  <c:v>0.93259825939189256</c:v>
                </c:pt>
                <c:pt idx="4">
                  <c:v>0.2937035752502149</c:v>
                </c:pt>
                <c:pt idx="5">
                  <c:v>0.2573345791456122</c:v>
                </c:pt>
                <c:pt idx="6">
                  <c:v>0.35587049348463434</c:v>
                </c:pt>
                <c:pt idx="7">
                  <c:v>0.13277800313059632</c:v>
                </c:pt>
                <c:pt idx="8">
                  <c:v>0.15612755705403711</c:v>
                </c:pt>
                <c:pt idx="9">
                  <c:v>7.7865559972355322E-2</c:v>
                </c:pt>
              </c:numCache>
            </c:numRef>
          </c:val>
          <c:extLst xmlns:c16r2="http://schemas.microsoft.com/office/drawing/2015/06/chart">
            <c:ext xmlns:c16="http://schemas.microsoft.com/office/drawing/2014/chart" uri="{C3380CC4-5D6E-409C-BE32-E72D297353CC}">
              <c16:uniqueId val="{00000003-658C-4D5E-AA56-DFF95E26E807}"/>
            </c:ext>
          </c:extLst>
        </c:ser>
        <c:ser>
          <c:idx val="4"/>
          <c:order val="4"/>
          <c:tx>
            <c:strRef>
              <c:f>'FY17 PIIRS Regional Summary'!$P$52</c:f>
              <c:strCache>
                <c:ptCount val="1"/>
                <c:pt idx="0">
                  <c:v>Latin America and the Caribbean</c:v>
                </c:pt>
              </c:strCache>
            </c:strRef>
          </c:tx>
          <c:spPr>
            <a:solidFill>
              <a:schemeClr val="accent5">
                <a:lumMod val="60000"/>
              </a:schemeClr>
            </a:solidFill>
            <a:ln>
              <a:noFill/>
            </a:ln>
            <a:effectLst/>
          </c:spPr>
          <c:invertIfNegative val="0"/>
          <c:cat>
            <c:multiLvlStrRef>
              <c:f>'FY17 PIIRS Regional Summary'!$J$53:$K$62</c:f>
              <c:multiLvlStrCache>
                <c:ptCount val="10"/>
                <c:lvl>
                  <c:pt idx="0">
                    <c:v>Direct</c:v>
                  </c:pt>
                  <c:pt idx="1">
                    <c:v>Indirect</c:v>
                  </c:pt>
                  <c:pt idx="2">
                    <c:v>Direct</c:v>
                  </c:pt>
                  <c:pt idx="3">
                    <c:v>Indirect</c:v>
                  </c:pt>
                  <c:pt idx="4">
                    <c:v>Direct</c:v>
                  </c:pt>
                  <c:pt idx="5">
                    <c:v>Indirect</c:v>
                  </c:pt>
                  <c:pt idx="6">
                    <c:v>Direct</c:v>
                  </c:pt>
                  <c:pt idx="7">
                    <c:v>Indirect</c:v>
                  </c:pt>
                  <c:pt idx="8">
                    <c:v>Direct</c:v>
                  </c:pt>
                  <c:pt idx="9">
                    <c:v>Indirect</c:v>
                  </c:pt>
                </c:lvl>
                <c:lvl>
                  <c:pt idx="0">
                    <c:v>HUM</c:v>
                  </c:pt>
                  <c:pt idx="2">
                    <c:v>SRMH</c:v>
                  </c:pt>
                  <c:pt idx="4">
                    <c:v>LFFV</c:v>
                  </c:pt>
                  <c:pt idx="6">
                    <c:v>FNS &amp; CCR</c:v>
                  </c:pt>
                  <c:pt idx="8">
                    <c:v>WEE</c:v>
                  </c:pt>
                </c:lvl>
              </c:multiLvlStrCache>
            </c:multiLvlStrRef>
          </c:cat>
          <c:val>
            <c:numRef>
              <c:f>'FY17 PIIRS Regional Summary'!$P$53:$P$62</c:f>
              <c:numCache>
                <c:formatCode>0%</c:formatCode>
                <c:ptCount val="10"/>
                <c:pt idx="0">
                  <c:v>7.9290865832383636E-2</c:v>
                </c:pt>
                <c:pt idx="1">
                  <c:v>0.29318474305159575</c:v>
                </c:pt>
                <c:pt idx="2">
                  <c:v>2.753307205803553E-3</c:v>
                </c:pt>
                <c:pt idx="3">
                  <c:v>1.0454662263007955E-3</c:v>
                </c:pt>
                <c:pt idx="4">
                  <c:v>2.5834309975557919E-2</c:v>
                </c:pt>
                <c:pt idx="5">
                  <c:v>0.31859488195505298</c:v>
                </c:pt>
                <c:pt idx="6">
                  <c:v>4.8491109283624753E-2</c:v>
                </c:pt>
                <c:pt idx="7">
                  <c:v>0.29123303701397563</c:v>
                </c:pt>
                <c:pt idx="8">
                  <c:v>3.3397294598589401E-2</c:v>
                </c:pt>
                <c:pt idx="9">
                  <c:v>0.18778895329400244</c:v>
                </c:pt>
              </c:numCache>
            </c:numRef>
          </c:val>
          <c:extLst xmlns:c16r2="http://schemas.microsoft.com/office/drawing/2015/06/chart">
            <c:ext xmlns:c16="http://schemas.microsoft.com/office/drawing/2014/chart" uri="{C3380CC4-5D6E-409C-BE32-E72D297353CC}">
              <c16:uniqueId val="{00000004-658C-4D5E-AA56-DFF95E26E807}"/>
            </c:ext>
          </c:extLst>
        </c:ser>
        <c:ser>
          <c:idx val="5"/>
          <c:order val="5"/>
          <c:tx>
            <c:strRef>
              <c:f>'FY17 PIIRS Regional Summary'!$Q$52</c:f>
              <c:strCache>
                <c:ptCount val="1"/>
                <c:pt idx="0">
                  <c:v>Middle East, North Africa and Europe</c:v>
                </c:pt>
              </c:strCache>
            </c:strRef>
          </c:tx>
          <c:spPr>
            <a:solidFill>
              <a:schemeClr val="accent4">
                <a:lumMod val="60000"/>
              </a:schemeClr>
            </a:solidFill>
            <a:ln>
              <a:noFill/>
            </a:ln>
            <a:effectLst/>
          </c:spPr>
          <c:invertIfNegative val="0"/>
          <c:cat>
            <c:multiLvlStrRef>
              <c:f>'FY17 PIIRS Regional Summary'!$J$53:$K$62</c:f>
              <c:multiLvlStrCache>
                <c:ptCount val="10"/>
                <c:lvl>
                  <c:pt idx="0">
                    <c:v>Direct</c:v>
                  </c:pt>
                  <c:pt idx="1">
                    <c:v>Indirect</c:v>
                  </c:pt>
                  <c:pt idx="2">
                    <c:v>Direct</c:v>
                  </c:pt>
                  <c:pt idx="3">
                    <c:v>Indirect</c:v>
                  </c:pt>
                  <c:pt idx="4">
                    <c:v>Direct</c:v>
                  </c:pt>
                  <c:pt idx="5">
                    <c:v>Indirect</c:v>
                  </c:pt>
                  <c:pt idx="6">
                    <c:v>Direct</c:v>
                  </c:pt>
                  <c:pt idx="7">
                    <c:v>Indirect</c:v>
                  </c:pt>
                  <c:pt idx="8">
                    <c:v>Direct</c:v>
                  </c:pt>
                  <c:pt idx="9">
                    <c:v>Indirect</c:v>
                  </c:pt>
                </c:lvl>
                <c:lvl>
                  <c:pt idx="0">
                    <c:v>HUM</c:v>
                  </c:pt>
                  <c:pt idx="2">
                    <c:v>SRMH</c:v>
                  </c:pt>
                  <c:pt idx="4">
                    <c:v>LFFV</c:v>
                  </c:pt>
                  <c:pt idx="6">
                    <c:v>FNS &amp; CCR</c:v>
                  </c:pt>
                  <c:pt idx="8">
                    <c:v>WEE</c:v>
                  </c:pt>
                </c:lvl>
              </c:multiLvlStrCache>
            </c:multiLvlStrRef>
          </c:cat>
          <c:val>
            <c:numRef>
              <c:f>'FY17 PIIRS Regional Summary'!$Q$53:$Q$62</c:f>
              <c:numCache>
                <c:formatCode>0%</c:formatCode>
                <c:ptCount val="10"/>
                <c:pt idx="0">
                  <c:v>0.27434706820980748</c:v>
                </c:pt>
                <c:pt idx="1">
                  <c:v>0.1007537307030707</c:v>
                </c:pt>
                <c:pt idx="2">
                  <c:v>3.8491545670631534E-3</c:v>
                </c:pt>
                <c:pt idx="3">
                  <c:v>3.1022620372514295E-3</c:v>
                </c:pt>
                <c:pt idx="4">
                  <c:v>4.5015672847592857E-2</c:v>
                </c:pt>
                <c:pt idx="5">
                  <c:v>6.1090973377432578E-2</c:v>
                </c:pt>
                <c:pt idx="6">
                  <c:v>6.1999346869777358E-2</c:v>
                </c:pt>
                <c:pt idx="7">
                  <c:v>5.9993836495206565E-2</c:v>
                </c:pt>
                <c:pt idx="8">
                  <c:v>2.088961768721017E-2</c:v>
                </c:pt>
                <c:pt idx="9">
                  <c:v>2.9803015772184516E-2</c:v>
                </c:pt>
              </c:numCache>
            </c:numRef>
          </c:val>
          <c:extLst xmlns:c16r2="http://schemas.microsoft.com/office/drawing/2015/06/chart">
            <c:ext xmlns:c16="http://schemas.microsoft.com/office/drawing/2014/chart" uri="{C3380CC4-5D6E-409C-BE32-E72D297353CC}">
              <c16:uniqueId val="{00000005-658C-4D5E-AA56-DFF95E26E807}"/>
            </c:ext>
          </c:extLst>
        </c:ser>
        <c:dLbls>
          <c:showLegendKey val="0"/>
          <c:showVal val="0"/>
          <c:showCatName val="0"/>
          <c:showSerName val="0"/>
          <c:showPercent val="0"/>
          <c:showBubbleSize val="0"/>
        </c:dLbls>
        <c:gapWidth val="150"/>
        <c:overlap val="100"/>
        <c:axId val="324145056"/>
        <c:axId val="324145616"/>
      </c:barChart>
      <c:catAx>
        <c:axId val="32414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324145616"/>
        <c:crosses val="autoZero"/>
        <c:auto val="1"/>
        <c:lblAlgn val="ctr"/>
        <c:lblOffset val="100"/>
        <c:noMultiLvlLbl val="0"/>
      </c:catAx>
      <c:valAx>
        <c:axId val="32414561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324145056"/>
        <c:crosses val="autoZero"/>
        <c:crossBetween val="between"/>
      </c:valAx>
      <c:spPr>
        <a:noFill/>
        <a:ln>
          <a:noFill/>
        </a:ln>
        <a:effectLst/>
      </c:spPr>
    </c:plotArea>
    <c:legend>
      <c:legendPos val="b"/>
      <c:layout>
        <c:manualLayout>
          <c:xMode val="edge"/>
          <c:yMode val="edge"/>
          <c:x val="7.2995084405765187E-2"/>
          <c:y val="0.13886423520146843"/>
          <c:w val="0.89999991297141491"/>
          <c:h val="5.8752832589764249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latin typeface="Arial" panose="020B0604020202020204" pitchFamily="34" charset="0"/>
                <a:cs typeface="Arial" panose="020B0604020202020204" pitchFamily="34" charset="0"/>
              </a:rPr>
              <a:t>Integrating Gender Equality &amp; Women's Voice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907923671703202E-2"/>
          <c:y val="0.1570581257413998"/>
          <c:w val="0.89131730155352207"/>
          <c:h val="0.60534748555661932"/>
        </c:manualLayout>
      </c:layout>
      <c:barChart>
        <c:barDir val="col"/>
        <c:grouping val="stacked"/>
        <c:varyColors val="0"/>
        <c:ser>
          <c:idx val="0"/>
          <c:order val="0"/>
          <c:tx>
            <c:strRef>
              <c:f>'FY17 PIIRS Regional Summary'!$A$163</c:f>
              <c:strCache>
                <c:ptCount val="1"/>
                <c:pt idx="0">
                  <c:v>4. Transformative</c:v>
                </c:pt>
              </c:strCache>
            </c:strRef>
          </c:tx>
          <c:spPr>
            <a:solidFill>
              <a:schemeClr val="accent1"/>
            </a:solidFill>
            <a:ln>
              <a:noFill/>
            </a:ln>
            <a:effectLst/>
          </c:spPr>
          <c:invertIfNegative val="0"/>
          <c:cat>
            <c:strRef>
              <c:f>'FY17 PIIRS Regional Summary'!$B$162:$H$162</c:f>
              <c:strCache>
                <c:ptCount val="7"/>
                <c:pt idx="0">
                  <c:v>All CARE</c:v>
                </c:pt>
                <c:pt idx="1">
                  <c:v>Africa - East and Central</c:v>
                </c:pt>
                <c:pt idx="2">
                  <c:v>Africa - Southern</c:v>
                </c:pt>
                <c:pt idx="3">
                  <c:v>Africa - Western</c:v>
                </c:pt>
                <c:pt idx="4">
                  <c:v>Asia and the Pacific</c:v>
                </c:pt>
                <c:pt idx="5">
                  <c:v>Latin America and the Caribbean</c:v>
                </c:pt>
                <c:pt idx="6">
                  <c:v>Middle East, North Africa and Europe</c:v>
                </c:pt>
              </c:strCache>
            </c:strRef>
          </c:cat>
          <c:val>
            <c:numRef>
              <c:f>'FY17 PIIRS Regional Summary'!$B$163:$H$163</c:f>
              <c:numCache>
                <c:formatCode>0.0%</c:formatCode>
                <c:ptCount val="7"/>
                <c:pt idx="0">
                  <c:v>0.16842105263157894</c:v>
                </c:pt>
                <c:pt idx="1">
                  <c:v>0.16384180790960451</c:v>
                </c:pt>
                <c:pt idx="2">
                  <c:v>0.16666666666666666</c:v>
                </c:pt>
                <c:pt idx="3">
                  <c:v>0.13592233009708737</c:v>
                </c:pt>
                <c:pt idx="4">
                  <c:v>0.2140221402214022</c:v>
                </c:pt>
                <c:pt idx="5">
                  <c:v>9.2783505154639179E-2</c:v>
                </c:pt>
                <c:pt idx="6">
                  <c:v>0.19565217391304349</c:v>
                </c:pt>
              </c:numCache>
            </c:numRef>
          </c:val>
          <c:extLst xmlns:c16r2="http://schemas.microsoft.com/office/drawing/2015/06/chart">
            <c:ext xmlns:c16="http://schemas.microsoft.com/office/drawing/2014/chart" uri="{C3380CC4-5D6E-409C-BE32-E72D297353CC}">
              <c16:uniqueId val="{00000000-C0E2-4AD3-B6AD-2BE9A6082A63}"/>
            </c:ext>
          </c:extLst>
        </c:ser>
        <c:ser>
          <c:idx val="1"/>
          <c:order val="1"/>
          <c:tx>
            <c:strRef>
              <c:f>'FY17 PIIRS Regional Summary'!$A$164</c:f>
              <c:strCache>
                <c:ptCount val="1"/>
                <c:pt idx="0">
                  <c:v>3. Responsive</c:v>
                </c:pt>
              </c:strCache>
            </c:strRef>
          </c:tx>
          <c:spPr>
            <a:solidFill>
              <a:schemeClr val="accent2"/>
            </a:solidFill>
            <a:ln>
              <a:noFill/>
            </a:ln>
            <a:effectLst/>
          </c:spPr>
          <c:invertIfNegative val="0"/>
          <c:cat>
            <c:strRef>
              <c:f>'FY17 PIIRS Regional Summary'!$B$162:$H$162</c:f>
              <c:strCache>
                <c:ptCount val="7"/>
                <c:pt idx="0">
                  <c:v>All CARE</c:v>
                </c:pt>
                <c:pt idx="1">
                  <c:v>Africa - East and Central</c:v>
                </c:pt>
                <c:pt idx="2">
                  <c:v>Africa - Southern</c:v>
                </c:pt>
                <c:pt idx="3">
                  <c:v>Africa - Western</c:v>
                </c:pt>
                <c:pt idx="4">
                  <c:v>Asia and the Pacific</c:v>
                </c:pt>
                <c:pt idx="5">
                  <c:v>Latin America and the Caribbean</c:v>
                </c:pt>
                <c:pt idx="6">
                  <c:v>Middle East, North Africa and Europe</c:v>
                </c:pt>
              </c:strCache>
            </c:strRef>
          </c:cat>
          <c:val>
            <c:numRef>
              <c:f>'FY17 PIIRS Regional Summary'!$B$164:$H$164</c:f>
              <c:numCache>
                <c:formatCode>0.0%</c:formatCode>
                <c:ptCount val="7"/>
                <c:pt idx="0">
                  <c:v>0.12</c:v>
                </c:pt>
                <c:pt idx="1">
                  <c:v>8.4745762711864403E-2</c:v>
                </c:pt>
                <c:pt idx="2">
                  <c:v>0.11904761904761904</c:v>
                </c:pt>
                <c:pt idx="3">
                  <c:v>0.10679611650485436</c:v>
                </c:pt>
                <c:pt idx="4">
                  <c:v>0.16605166051660517</c:v>
                </c:pt>
                <c:pt idx="5">
                  <c:v>0.13402061855670103</c:v>
                </c:pt>
                <c:pt idx="6">
                  <c:v>0.10869565217391304</c:v>
                </c:pt>
              </c:numCache>
            </c:numRef>
          </c:val>
          <c:extLst xmlns:c16r2="http://schemas.microsoft.com/office/drawing/2015/06/chart">
            <c:ext xmlns:c16="http://schemas.microsoft.com/office/drawing/2014/chart" uri="{C3380CC4-5D6E-409C-BE32-E72D297353CC}">
              <c16:uniqueId val="{00000001-C0E2-4AD3-B6AD-2BE9A6082A63}"/>
            </c:ext>
          </c:extLst>
        </c:ser>
        <c:ser>
          <c:idx val="2"/>
          <c:order val="2"/>
          <c:tx>
            <c:strRef>
              <c:f>'FY17 PIIRS Regional Summary'!$A$165</c:f>
              <c:strCache>
                <c:ptCount val="1"/>
                <c:pt idx="0">
                  <c:v>2. Sensitive</c:v>
                </c:pt>
              </c:strCache>
            </c:strRef>
          </c:tx>
          <c:spPr>
            <a:solidFill>
              <a:schemeClr val="accent3"/>
            </a:solidFill>
            <a:ln>
              <a:noFill/>
            </a:ln>
            <a:effectLst/>
          </c:spPr>
          <c:invertIfNegative val="0"/>
          <c:cat>
            <c:strRef>
              <c:f>'FY17 PIIRS Regional Summary'!$B$162:$H$162</c:f>
              <c:strCache>
                <c:ptCount val="7"/>
                <c:pt idx="0">
                  <c:v>All CARE</c:v>
                </c:pt>
                <c:pt idx="1">
                  <c:v>Africa - East and Central</c:v>
                </c:pt>
                <c:pt idx="2">
                  <c:v>Africa - Southern</c:v>
                </c:pt>
                <c:pt idx="3">
                  <c:v>Africa - Western</c:v>
                </c:pt>
                <c:pt idx="4">
                  <c:v>Asia and the Pacific</c:v>
                </c:pt>
                <c:pt idx="5">
                  <c:v>Latin America and the Caribbean</c:v>
                </c:pt>
                <c:pt idx="6">
                  <c:v>Middle East, North Africa and Europe</c:v>
                </c:pt>
              </c:strCache>
            </c:strRef>
          </c:cat>
          <c:val>
            <c:numRef>
              <c:f>'FY17 PIIRS Regional Summary'!$B$165:$H$165</c:f>
              <c:numCache>
                <c:formatCode>0.0%</c:formatCode>
                <c:ptCount val="7"/>
                <c:pt idx="0">
                  <c:v>0.44631578947368422</c:v>
                </c:pt>
                <c:pt idx="1">
                  <c:v>0.59887005649717517</c:v>
                </c:pt>
                <c:pt idx="2">
                  <c:v>0.39285714285714285</c:v>
                </c:pt>
                <c:pt idx="3">
                  <c:v>0.59223300970873782</c:v>
                </c:pt>
                <c:pt idx="4">
                  <c:v>0.42435424354243545</c:v>
                </c:pt>
                <c:pt idx="5">
                  <c:v>0.4329896907216495</c:v>
                </c:pt>
                <c:pt idx="6">
                  <c:v>0.3641304347826087</c:v>
                </c:pt>
              </c:numCache>
            </c:numRef>
          </c:val>
          <c:extLst xmlns:c16r2="http://schemas.microsoft.com/office/drawing/2015/06/chart">
            <c:ext xmlns:c16="http://schemas.microsoft.com/office/drawing/2014/chart" uri="{C3380CC4-5D6E-409C-BE32-E72D297353CC}">
              <c16:uniqueId val="{00000002-C0E2-4AD3-B6AD-2BE9A6082A63}"/>
            </c:ext>
          </c:extLst>
        </c:ser>
        <c:ser>
          <c:idx val="3"/>
          <c:order val="3"/>
          <c:tx>
            <c:strRef>
              <c:f>'FY17 PIIRS Regional Summary'!$A$166</c:f>
              <c:strCache>
                <c:ptCount val="1"/>
                <c:pt idx="0">
                  <c:v>1. Neutral</c:v>
                </c:pt>
              </c:strCache>
            </c:strRef>
          </c:tx>
          <c:spPr>
            <a:solidFill>
              <a:schemeClr val="accent4"/>
            </a:solidFill>
            <a:ln>
              <a:noFill/>
            </a:ln>
            <a:effectLst/>
          </c:spPr>
          <c:invertIfNegative val="0"/>
          <c:cat>
            <c:strRef>
              <c:f>'FY17 PIIRS Regional Summary'!$B$162:$H$162</c:f>
              <c:strCache>
                <c:ptCount val="7"/>
                <c:pt idx="0">
                  <c:v>All CARE</c:v>
                </c:pt>
                <c:pt idx="1">
                  <c:v>Africa - East and Central</c:v>
                </c:pt>
                <c:pt idx="2">
                  <c:v>Africa - Southern</c:v>
                </c:pt>
                <c:pt idx="3">
                  <c:v>Africa - Western</c:v>
                </c:pt>
                <c:pt idx="4">
                  <c:v>Asia and the Pacific</c:v>
                </c:pt>
                <c:pt idx="5">
                  <c:v>Latin America and the Caribbean</c:v>
                </c:pt>
                <c:pt idx="6">
                  <c:v>Middle East, North Africa and Europe</c:v>
                </c:pt>
              </c:strCache>
            </c:strRef>
          </c:cat>
          <c:val>
            <c:numRef>
              <c:f>'FY17 PIIRS Regional Summary'!$B$166:$H$166</c:f>
              <c:numCache>
                <c:formatCode>0.0%</c:formatCode>
                <c:ptCount val="7"/>
                <c:pt idx="0">
                  <c:v>0.14210526315789473</c:v>
                </c:pt>
                <c:pt idx="1">
                  <c:v>9.03954802259887E-2</c:v>
                </c:pt>
                <c:pt idx="2">
                  <c:v>0.20238095238095238</c:v>
                </c:pt>
                <c:pt idx="3">
                  <c:v>0.11650485436893204</c:v>
                </c:pt>
                <c:pt idx="4">
                  <c:v>0.12546125461254612</c:v>
                </c:pt>
                <c:pt idx="5">
                  <c:v>0.27835051546391754</c:v>
                </c:pt>
                <c:pt idx="6">
                  <c:v>0.15760869565217392</c:v>
                </c:pt>
              </c:numCache>
            </c:numRef>
          </c:val>
          <c:extLst xmlns:c16r2="http://schemas.microsoft.com/office/drawing/2015/06/chart">
            <c:ext xmlns:c16="http://schemas.microsoft.com/office/drawing/2014/chart" uri="{C3380CC4-5D6E-409C-BE32-E72D297353CC}">
              <c16:uniqueId val="{00000003-C0E2-4AD3-B6AD-2BE9A6082A63}"/>
            </c:ext>
          </c:extLst>
        </c:ser>
        <c:ser>
          <c:idx val="4"/>
          <c:order val="4"/>
          <c:tx>
            <c:strRef>
              <c:f>'FY17 PIIRS Regional Summary'!$A$167</c:f>
              <c:strCache>
                <c:ptCount val="1"/>
                <c:pt idx="0">
                  <c:v>0.Harmful</c:v>
                </c:pt>
              </c:strCache>
            </c:strRef>
          </c:tx>
          <c:spPr>
            <a:solidFill>
              <a:schemeClr val="accent5"/>
            </a:solidFill>
            <a:ln>
              <a:noFill/>
            </a:ln>
            <a:effectLst/>
          </c:spPr>
          <c:invertIfNegative val="0"/>
          <c:cat>
            <c:strRef>
              <c:f>'FY17 PIIRS Regional Summary'!$B$162:$H$162</c:f>
              <c:strCache>
                <c:ptCount val="7"/>
                <c:pt idx="0">
                  <c:v>All CARE</c:v>
                </c:pt>
                <c:pt idx="1">
                  <c:v>Africa - East and Central</c:v>
                </c:pt>
                <c:pt idx="2">
                  <c:v>Africa - Southern</c:v>
                </c:pt>
                <c:pt idx="3">
                  <c:v>Africa - Western</c:v>
                </c:pt>
                <c:pt idx="4">
                  <c:v>Asia and the Pacific</c:v>
                </c:pt>
                <c:pt idx="5">
                  <c:v>Latin America and the Caribbean</c:v>
                </c:pt>
                <c:pt idx="6">
                  <c:v>Middle East, North Africa and Europe</c:v>
                </c:pt>
              </c:strCache>
            </c:strRef>
          </c:cat>
          <c:val>
            <c:numRef>
              <c:f>'FY17 PIIRS Regional Summary'!$B$167:$H$167</c:f>
              <c:numCache>
                <c:formatCode>0.0%</c:formatCode>
                <c:ptCount val="7"/>
                <c:pt idx="0">
                  <c:v>2.736842105263158E-2</c:v>
                </c:pt>
                <c:pt idx="1">
                  <c:v>2.2598870056497175E-2</c:v>
                </c:pt>
                <c:pt idx="2">
                  <c:v>4.7619047619047616E-2</c:v>
                </c:pt>
                <c:pt idx="3">
                  <c:v>9.7087378640776691E-3</c:v>
                </c:pt>
                <c:pt idx="4">
                  <c:v>2.2140221402214021E-2</c:v>
                </c:pt>
                <c:pt idx="5">
                  <c:v>2.0618556701030927E-2</c:v>
                </c:pt>
                <c:pt idx="6">
                  <c:v>4.8913043478260872E-2</c:v>
                </c:pt>
              </c:numCache>
            </c:numRef>
          </c:val>
          <c:extLst xmlns:c16r2="http://schemas.microsoft.com/office/drawing/2015/06/chart">
            <c:ext xmlns:c16="http://schemas.microsoft.com/office/drawing/2014/chart" uri="{C3380CC4-5D6E-409C-BE32-E72D297353CC}">
              <c16:uniqueId val="{00000004-C0E2-4AD3-B6AD-2BE9A6082A63}"/>
            </c:ext>
          </c:extLst>
        </c:ser>
        <c:ser>
          <c:idx val="5"/>
          <c:order val="5"/>
          <c:tx>
            <c:strRef>
              <c:f>'FY17 PIIRS Regional Summary'!$A$168</c:f>
              <c:strCache>
                <c:ptCount val="1"/>
                <c:pt idx="0">
                  <c:v>No marker score</c:v>
                </c:pt>
              </c:strCache>
            </c:strRef>
          </c:tx>
          <c:spPr>
            <a:solidFill>
              <a:schemeClr val="accent6"/>
            </a:solidFill>
            <a:ln>
              <a:noFill/>
            </a:ln>
            <a:effectLst/>
          </c:spPr>
          <c:invertIfNegative val="0"/>
          <c:cat>
            <c:strRef>
              <c:f>'FY17 PIIRS Regional Summary'!$B$162:$H$162</c:f>
              <c:strCache>
                <c:ptCount val="7"/>
                <c:pt idx="0">
                  <c:v>All CARE</c:v>
                </c:pt>
                <c:pt idx="1">
                  <c:v>Africa - East and Central</c:v>
                </c:pt>
                <c:pt idx="2">
                  <c:v>Africa - Southern</c:v>
                </c:pt>
                <c:pt idx="3">
                  <c:v>Africa - Western</c:v>
                </c:pt>
                <c:pt idx="4">
                  <c:v>Asia and the Pacific</c:v>
                </c:pt>
                <c:pt idx="5">
                  <c:v>Latin America and the Caribbean</c:v>
                </c:pt>
                <c:pt idx="6">
                  <c:v>Middle East, North Africa and Europe</c:v>
                </c:pt>
              </c:strCache>
            </c:strRef>
          </c:cat>
          <c:val>
            <c:numRef>
              <c:f>'FY17 PIIRS Regional Summary'!$B$168:$H$168</c:f>
              <c:numCache>
                <c:formatCode>0.0%</c:formatCode>
                <c:ptCount val="7"/>
                <c:pt idx="0">
                  <c:v>9.5789473684210522E-2</c:v>
                </c:pt>
                <c:pt idx="1">
                  <c:v>3.954802259887006E-2</c:v>
                </c:pt>
                <c:pt idx="2">
                  <c:v>7.1428571428571425E-2</c:v>
                </c:pt>
                <c:pt idx="3">
                  <c:v>3.8834951456310676E-2</c:v>
                </c:pt>
                <c:pt idx="4">
                  <c:v>4.797047970479705E-2</c:v>
                </c:pt>
                <c:pt idx="5">
                  <c:v>4.1237113402061855E-2</c:v>
                </c:pt>
                <c:pt idx="6">
                  <c:v>0.125</c:v>
                </c:pt>
              </c:numCache>
            </c:numRef>
          </c:val>
          <c:extLst xmlns:c16r2="http://schemas.microsoft.com/office/drawing/2015/06/chart">
            <c:ext xmlns:c16="http://schemas.microsoft.com/office/drawing/2014/chart" uri="{C3380CC4-5D6E-409C-BE32-E72D297353CC}">
              <c16:uniqueId val="{00000005-C0E2-4AD3-B6AD-2BE9A6082A63}"/>
            </c:ext>
          </c:extLst>
        </c:ser>
        <c:dLbls>
          <c:showLegendKey val="0"/>
          <c:showVal val="0"/>
          <c:showCatName val="0"/>
          <c:showSerName val="0"/>
          <c:showPercent val="0"/>
          <c:showBubbleSize val="0"/>
        </c:dLbls>
        <c:gapWidth val="150"/>
        <c:overlap val="100"/>
        <c:axId val="324622864"/>
        <c:axId val="324623424"/>
      </c:barChart>
      <c:catAx>
        <c:axId val="32462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24623424"/>
        <c:crosses val="autoZero"/>
        <c:auto val="1"/>
        <c:lblAlgn val="ctr"/>
        <c:lblOffset val="100"/>
        <c:noMultiLvlLbl val="0"/>
      </c:catAx>
      <c:valAx>
        <c:axId val="324623424"/>
        <c:scaling>
          <c:orientation val="minMax"/>
          <c:max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24622864"/>
        <c:crosses val="autoZero"/>
        <c:crossBetween val="between"/>
        <c:majorUnit val="0.2"/>
      </c:valAx>
      <c:spPr>
        <a:noFill/>
        <a:ln>
          <a:noFill/>
        </a:ln>
        <a:effectLst/>
      </c:spPr>
    </c:plotArea>
    <c:legend>
      <c:legendPos val="b"/>
      <c:layout>
        <c:manualLayout>
          <c:xMode val="edge"/>
          <c:yMode val="edge"/>
          <c:x val="0"/>
          <c:y val="0.90921642514984358"/>
          <c:w val="0.99452284115312029"/>
          <c:h val="9.0188299083145629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latin typeface="Arial" panose="020B0604020202020204" pitchFamily="34" charset="0"/>
                <a:cs typeface="Arial" panose="020B0604020202020204" pitchFamily="34" charset="0"/>
              </a:rPr>
              <a:t>Integrating Governance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907923671703202E-2"/>
          <c:y val="0.1570581257413998"/>
          <c:w val="0.89131730155352207"/>
          <c:h val="0.62400845434981267"/>
        </c:manualLayout>
      </c:layout>
      <c:barChart>
        <c:barDir val="col"/>
        <c:grouping val="stacked"/>
        <c:varyColors val="0"/>
        <c:ser>
          <c:idx val="0"/>
          <c:order val="0"/>
          <c:tx>
            <c:strRef>
              <c:f>'FY17 PIIRS Regional Summary'!$A$170</c:f>
              <c:strCache>
                <c:ptCount val="1"/>
                <c:pt idx="0">
                  <c:v>4. Transformational</c:v>
                </c:pt>
              </c:strCache>
            </c:strRef>
          </c:tx>
          <c:spPr>
            <a:solidFill>
              <a:schemeClr val="accent1"/>
            </a:solidFill>
            <a:ln>
              <a:noFill/>
            </a:ln>
            <a:effectLst/>
          </c:spPr>
          <c:invertIfNegative val="0"/>
          <c:cat>
            <c:strRef>
              <c:f>'FY17 PIIRS Regional Summary'!$B$169:$H$169</c:f>
              <c:strCache>
                <c:ptCount val="7"/>
                <c:pt idx="0">
                  <c:v>All CARE</c:v>
                </c:pt>
                <c:pt idx="1">
                  <c:v>Africa - East and Central</c:v>
                </c:pt>
                <c:pt idx="2">
                  <c:v>Africa - Southern</c:v>
                </c:pt>
                <c:pt idx="3">
                  <c:v>Africa - Western</c:v>
                </c:pt>
                <c:pt idx="4">
                  <c:v>Asia and the Pacific</c:v>
                </c:pt>
                <c:pt idx="5">
                  <c:v>Latin America and the Caribbean</c:v>
                </c:pt>
                <c:pt idx="6">
                  <c:v>Middle East, North Africa and Europe</c:v>
                </c:pt>
              </c:strCache>
            </c:strRef>
          </c:cat>
          <c:val>
            <c:numRef>
              <c:f>'FY17 PIIRS Regional Summary'!$B$170:$H$170</c:f>
              <c:numCache>
                <c:formatCode>0.0%</c:formatCode>
                <c:ptCount val="7"/>
                <c:pt idx="0">
                  <c:v>9.3684210526315786E-2</c:v>
                </c:pt>
                <c:pt idx="1">
                  <c:v>6.7796610169491525E-2</c:v>
                </c:pt>
                <c:pt idx="2">
                  <c:v>7.1428571428571425E-2</c:v>
                </c:pt>
                <c:pt idx="3">
                  <c:v>0.10679611650485436</c:v>
                </c:pt>
                <c:pt idx="4">
                  <c:v>0.11808118081180811</c:v>
                </c:pt>
                <c:pt idx="5">
                  <c:v>0.1134020618556701</c:v>
                </c:pt>
                <c:pt idx="6">
                  <c:v>9.2391304347826081E-2</c:v>
                </c:pt>
              </c:numCache>
            </c:numRef>
          </c:val>
          <c:extLst xmlns:c16r2="http://schemas.microsoft.com/office/drawing/2015/06/chart">
            <c:ext xmlns:c16="http://schemas.microsoft.com/office/drawing/2014/chart" uri="{C3380CC4-5D6E-409C-BE32-E72D297353CC}">
              <c16:uniqueId val="{00000000-DF0D-4FFD-8E00-2E29A51C180B}"/>
            </c:ext>
          </c:extLst>
        </c:ser>
        <c:ser>
          <c:idx val="1"/>
          <c:order val="1"/>
          <c:tx>
            <c:strRef>
              <c:f>'FY17 PIIRS Regional Summary'!$A$171</c:f>
              <c:strCache>
                <c:ptCount val="1"/>
                <c:pt idx="0">
                  <c:v>3. Responsive</c:v>
                </c:pt>
              </c:strCache>
            </c:strRef>
          </c:tx>
          <c:spPr>
            <a:solidFill>
              <a:schemeClr val="accent2"/>
            </a:solidFill>
            <a:ln>
              <a:noFill/>
            </a:ln>
            <a:effectLst/>
          </c:spPr>
          <c:invertIfNegative val="0"/>
          <c:cat>
            <c:strRef>
              <c:f>'FY17 PIIRS Regional Summary'!$B$169:$H$169</c:f>
              <c:strCache>
                <c:ptCount val="7"/>
                <c:pt idx="0">
                  <c:v>All CARE</c:v>
                </c:pt>
                <c:pt idx="1">
                  <c:v>Africa - East and Central</c:v>
                </c:pt>
                <c:pt idx="2">
                  <c:v>Africa - Southern</c:v>
                </c:pt>
                <c:pt idx="3">
                  <c:v>Africa - Western</c:v>
                </c:pt>
                <c:pt idx="4">
                  <c:v>Asia and the Pacific</c:v>
                </c:pt>
                <c:pt idx="5">
                  <c:v>Latin America and the Caribbean</c:v>
                </c:pt>
                <c:pt idx="6">
                  <c:v>Middle East, North Africa and Europe</c:v>
                </c:pt>
              </c:strCache>
            </c:strRef>
          </c:cat>
          <c:val>
            <c:numRef>
              <c:f>'FY17 PIIRS Regional Summary'!$B$171:$H$171</c:f>
              <c:numCache>
                <c:formatCode>0.0%</c:formatCode>
                <c:ptCount val="7"/>
                <c:pt idx="0">
                  <c:v>6.3157894736842107E-2</c:v>
                </c:pt>
                <c:pt idx="1">
                  <c:v>4.519774011299435E-2</c:v>
                </c:pt>
                <c:pt idx="2">
                  <c:v>4.7619047619047616E-2</c:v>
                </c:pt>
                <c:pt idx="3">
                  <c:v>1.9417475728155338E-2</c:v>
                </c:pt>
                <c:pt idx="4">
                  <c:v>8.8560885608856083E-2</c:v>
                </c:pt>
                <c:pt idx="5">
                  <c:v>9.2783505154639179E-2</c:v>
                </c:pt>
                <c:pt idx="6">
                  <c:v>7.0652173913043473E-2</c:v>
                </c:pt>
              </c:numCache>
            </c:numRef>
          </c:val>
          <c:extLst xmlns:c16r2="http://schemas.microsoft.com/office/drawing/2015/06/chart">
            <c:ext xmlns:c16="http://schemas.microsoft.com/office/drawing/2014/chart" uri="{C3380CC4-5D6E-409C-BE32-E72D297353CC}">
              <c16:uniqueId val="{00000001-DF0D-4FFD-8E00-2E29A51C180B}"/>
            </c:ext>
          </c:extLst>
        </c:ser>
        <c:ser>
          <c:idx val="2"/>
          <c:order val="2"/>
          <c:tx>
            <c:strRef>
              <c:f>'FY17 PIIRS Regional Summary'!$A$172</c:f>
              <c:strCache>
                <c:ptCount val="1"/>
                <c:pt idx="0">
                  <c:v>2. Accommodating</c:v>
                </c:pt>
              </c:strCache>
            </c:strRef>
          </c:tx>
          <c:spPr>
            <a:solidFill>
              <a:schemeClr val="accent3"/>
            </a:solidFill>
            <a:ln>
              <a:noFill/>
            </a:ln>
            <a:effectLst/>
          </c:spPr>
          <c:invertIfNegative val="0"/>
          <c:cat>
            <c:strRef>
              <c:f>'FY17 PIIRS Regional Summary'!$B$169:$H$169</c:f>
              <c:strCache>
                <c:ptCount val="7"/>
                <c:pt idx="0">
                  <c:v>All CARE</c:v>
                </c:pt>
                <c:pt idx="1">
                  <c:v>Africa - East and Central</c:v>
                </c:pt>
                <c:pt idx="2">
                  <c:v>Africa - Southern</c:v>
                </c:pt>
                <c:pt idx="3">
                  <c:v>Africa - Western</c:v>
                </c:pt>
                <c:pt idx="4">
                  <c:v>Asia and the Pacific</c:v>
                </c:pt>
                <c:pt idx="5">
                  <c:v>Latin America and the Caribbean</c:v>
                </c:pt>
                <c:pt idx="6">
                  <c:v>Middle East, North Africa and Europe</c:v>
                </c:pt>
              </c:strCache>
            </c:strRef>
          </c:cat>
          <c:val>
            <c:numRef>
              <c:f>'FY17 PIIRS Regional Summary'!$B$172:$H$172</c:f>
              <c:numCache>
                <c:formatCode>0.0%</c:formatCode>
                <c:ptCount val="7"/>
                <c:pt idx="0">
                  <c:v>0.58105263157894738</c:v>
                </c:pt>
                <c:pt idx="1">
                  <c:v>0.7344632768361582</c:v>
                </c:pt>
                <c:pt idx="2">
                  <c:v>0.63095238095238093</c:v>
                </c:pt>
                <c:pt idx="3">
                  <c:v>0.59223300970873782</c:v>
                </c:pt>
                <c:pt idx="4">
                  <c:v>0.63468634686346859</c:v>
                </c:pt>
                <c:pt idx="5">
                  <c:v>0.68041237113402064</c:v>
                </c:pt>
                <c:pt idx="6">
                  <c:v>0.38043478260869568</c:v>
                </c:pt>
              </c:numCache>
            </c:numRef>
          </c:val>
          <c:extLst xmlns:c16r2="http://schemas.microsoft.com/office/drawing/2015/06/chart">
            <c:ext xmlns:c16="http://schemas.microsoft.com/office/drawing/2014/chart" uri="{C3380CC4-5D6E-409C-BE32-E72D297353CC}">
              <c16:uniqueId val="{00000002-DF0D-4FFD-8E00-2E29A51C180B}"/>
            </c:ext>
          </c:extLst>
        </c:ser>
        <c:ser>
          <c:idx val="3"/>
          <c:order val="3"/>
          <c:tx>
            <c:strRef>
              <c:f>'FY17 PIIRS Regional Summary'!$A$173</c:f>
              <c:strCache>
                <c:ptCount val="1"/>
                <c:pt idx="0">
                  <c:v>1. Tokenistic</c:v>
                </c:pt>
              </c:strCache>
            </c:strRef>
          </c:tx>
          <c:spPr>
            <a:solidFill>
              <a:schemeClr val="accent4"/>
            </a:solidFill>
            <a:ln>
              <a:noFill/>
            </a:ln>
            <a:effectLst/>
          </c:spPr>
          <c:invertIfNegative val="0"/>
          <c:cat>
            <c:strRef>
              <c:f>'FY17 PIIRS Regional Summary'!$B$169:$H$169</c:f>
              <c:strCache>
                <c:ptCount val="7"/>
                <c:pt idx="0">
                  <c:v>All CARE</c:v>
                </c:pt>
                <c:pt idx="1">
                  <c:v>Africa - East and Central</c:v>
                </c:pt>
                <c:pt idx="2">
                  <c:v>Africa - Southern</c:v>
                </c:pt>
                <c:pt idx="3">
                  <c:v>Africa - Western</c:v>
                </c:pt>
                <c:pt idx="4">
                  <c:v>Asia and the Pacific</c:v>
                </c:pt>
                <c:pt idx="5">
                  <c:v>Latin America and the Caribbean</c:v>
                </c:pt>
                <c:pt idx="6">
                  <c:v>Middle East, North Africa and Europe</c:v>
                </c:pt>
              </c:strCache>
            </c:strRef>
          </c:cat>
          <c:val>
            <c:numRef>
              <c:f>'FY17 PIIRS Regional Summary'!$B$173:$H$173</c:f>
              <c:numCache>
                <c:formatCode>0.0%</c:formatCode>
                <c:ptCount val="7"/>
                <c:pt idx="0">
                  <c:v>5.7894736842105263E-2</c:v>
                </c:pt>
                <c:pt idx="1">
                  <c:v>5.6497175141242938E-2</c:v>
                </c:pt>
                <c:pt idx="2">
                  <c:v>0.13095238095238096</c:v>
                </c:pt>
                <c:pt idx="3">
                  <c:v>4.8543689320388349E-2</c:v>
                </c:pt>
                <c:pt idx="4">
                  <c:v>6.6420664206642069E-2</c:v>
                </c:pt>
                <c:pt idx="5">
                  <c:v>3.0927835051546393E-2</c:v>
                </c:pt>
                <c:pt idx="6">
                  <c:v>4.3478260869565216E-2</c:v>
                </c:pt>
              </c:numCache>
            </c:numRef>
          </c:val>
          <c:extLst xmlns:c16r2="http://schemas.microsoft.com/office/drawing/2015/06/chart">
            <c:ext xmlns:c16="http://schemas.microsoft.com/office/drawing/2014/chart" uri="{C3380CC4-5D6E-409C-BE32-E72D297353CC}">
              <c16:uniqueId val="{00000003-DF0D-4FFD-8E00-2E29A51C180B}"/>
            </c:ext>
          </c:extLst>
        </c:ser>
        <c:ser>
          <c:idx val="4"/>
          <c:order val="4"/>
          <c:tx>
            <c:strRef>
              <c:f>'FY17 PIIRS Regional Summary'!$A$174</c:f>
              <c:strCache>
                <c:ptCount val="1"/>
                <c:pt idx="0">
                  <c:v>0.Unaware</c:v>
                </c:pt>
              </c:strCache>
            </c:strRef>
          </c:tx>
          <c:spPr>
            <a:solidFill>
              <a:schemeClr val="accent5"/>
            </a:solidFill>
            <a:ln>
              <a:noFill/>
            </a:ln>
            <a:effectLst/>
          </c:spPr>
          <c:invertIfNegative val="0"/>
          <c:cat>
            <c:strRef>
              <c:f>'FY17 PIIRS Regional Summary'!$B$169:$H$169</c:f>
              <c:strCache>
                <c:ptCount val="7"/>
                <c:pt idx="0">
                  <c:v>All CARE</c:v>
                </c:pt>
                <c:pt idx="1">
                  <c:v>Africa - East and Central</c:v>
                </c:pt>
                <c:pt idx="2">
                  <c:v>Africa - Southern</c:v>
                </c:pt>
                <c:pt idx="3">
                  <c:v>Africa - Western</c:v>
                </c:pt>
                <c:pt idx="4">
                  <c:v>Asia and the Pacific</c:v>
                </c:pt>
                <c:pt idx="5">
                  <c:v>Latin America and the Caribbean</c:v>
                </c:pt>
                <c:pt idx="6">
                  <c:v>Middle East, North Africa and Europe</c:v>
                </c:pt>
              </c:strCache>
            </c:strRef>
          </c:cat>
          <c:val>
            <c:numRef>
              <c:f>'FY17 PIIRS Regional Summary'!$B$174:$H$174</c:f>
              <c:numCache>
                <c:formatCode>0.0%</c:formatCode>
                <c:ptCount val="7"/>
                <c:pt idx="0">
                  <c:v>7.2631578947368422E-2</c:v>
                </c:pt>
                <c:pt idx="1">
                  <c:v>3.954802259887006E-2</c:v>
                </c:pt>
                <c:pt idx="2">
                  <c:v>3.5714285714285712E-2</c:v>
                </c:pt>
                <c:pt idx="3">
                  <c:v>0.18446601941747573</c:v>
                </c:pt>
                <c:pt idx="4">
                  <c:v>4.4280442804428041E-2</c:v>
                </c:pt>
                <c:pt idx="5">
                  <c:v>4.1237113402061855E-2</c:v>
                </c:pt>
                <c:pt idx="6">
                  <c:v>0.13043478260869565</c:v>
                </c:pt>
              </c:numCache>
            </c:numRef>
          </c:val>
          <c:extLst xmlns:c16r2="http://schemas.microsoft.com/office/drawing/2015/06/chart">
            <c:ext xmlns:c16="http://schemas.microsoft.com/office/drawing/2014/chart" uri="{C3380CC4-5D6E-409C-BE32-E72D297353CC}">
              <c16:uniqueId val="{00000004-DF0D-4FFD-8E00-2E29A51C180B}"/>
            </c:ext>
          </c:extLst>
        </c:ser>
        <c:ser>
          <c:idx val="5"/>
          <c:order val="5"/>
          <c:tx>
            <c:strRef>
              <c:f>'FY17 PIIRS Regional Summary'!$A$175</c:f>
              <c:strCache>
                <c:ptCount val="1"/>
                <c:pt idx="0">
                  <c:v>No marker score</c:v>
                </c:pt>
              </c:strCache>
            </c:strRef>
          </c:tx>
          <c:spPr>
            <a:solidFill>
              <a:schemeClr val="accent6"/>
            </a:solidFill>
            <a:ln>
              <a:noFill/>
            </a:ln>
            <a:effectLst/>
          </c:spPr>
          <c:invertIfNegative val="0"/>
          <c:cat>
            <c:strRef>
              <c:f>'FY17 PIIRS Regional Summary'!$B$169:$H$169</c:f>
              <c:strCache>
                <c:ptCount val="7"/>
                <c:pt idx="0">
                  <c:v>All CARE</c:v>
                </c:pt>
                <c:pt idx="1">
                  <c:v>Africa - East and Central</c:v>
                </c:pt>
                <c:pt idx="2">
                  <c:v>Africa - Southern</c:v>
                </c:pt>
                <c:pt idx="3">
                  <c:v>Africa - Western</c:v>
                </c:pt>
                <c:pt idx="4">
                  <c:v>Asia and the Pacific</c:v>
                </c:pt>
                <c:pt idx="5">
                  <c:v>Latin America and the Caribbean</c:v>
                </c:pt>
                <c:pt idx="6">
                  <c:v>Middle East, North Africa and Europe</c:v>
                </c:pt>
              </c:strCache>
            </c:strRef>
          </c:cat>
          <c:val>
            <c:numRef>
              <c:f>'FY17 PIIRS Regional Summary'!$B$175:$H$175</c:f>
              <c:numCache>
                <c:formatCode>0.0%</c:formatCode>
                <c:ptCount val="7"/>
                <c:pt idx="0">
                  <c:v>0.13157894736842105</c:v>
                </c:pt>
                <c:pt idx="1">
                  <c:v>5.6497175141242938E-2</c:v>
                </c:pt>
                <c:pt idx="2">
                  <c:v>8.3333333333333329E-2</c:v>
                </c:pt>
                <c:pt idx="3">
                  <c:v>4.8543689320388349E-2</c:v>
                </c:pt>
                <c:pt idx="4">
                  <c:v>4.797047970479705E-2</c:v>
                </c:pt>
                <c:pt idx="5">
                  <c:v>4.1237113402061855E-2</c:v>
                </c:pt>
                <c:pt idx="6">
                  <c:v>0.28260869565217389</c:v>
                </c:pt>
              </c:numCache>
            </c:numRef>
          </c:val>
          <c:extLst xmlns:c16r2="http://schemas.microsoft.com/office/drawing/2015/06/chart">
            <c:ext xmlns:c16="http://schemas.microsoft.com/office/drawing/2014/chart" uri="{C3380CC4-5D6E-409C-BE32-E72D297353CC}">
              <c16:uniqueId val="{00000005-DF0D-4FFD-8E00-2E29A51C180B}"/>
            </c:ext>
          </c:extLst>
        </c:ser>
        <c:dLbls>
          <c:showLegendKey val="0"/>
          <c:showVal val="0"/>
          <c:showCatName val="0"/>
          <c:showSerName val="0"/>
          <c:showPercent val="0"/>
          <c:showBubbleSize val="0"/>
        </c:dLbls>
        <c:gapWidth val="150"/>
        <c:overlap val="100"/>
        <c:axId val="324629024"/>
        <c:axId val="324629584"/>
      </c:barChart>
      <c:catAx>
        <c:axId val="324629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24629584"/>
        <c:crosses val="autoZero"/>
        <c:auto val="1"/>
        <c:lblAlgn val="ctr"/>
        <c:lblOffset val="100"/>
        <c:noMultiLvlLbl val="0"/>
      </c:catAx>
      <c:valAx>
        <c:axId val="324629584"/>
        <c:scaling>
          <c:orientation val="minMax"/>
          <c:max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24629024"/>
        <c:crosses val="autoZero"/>
        <c:crossBetween val="between"/>
        <c:majorUnit val="0.2"/>
      </c:valAx>
      <c:spPr>
        <a:noFill/>
        <a:ln>
          <a:noFill/>
        </a:ln>
        <a:effectLst/>
      </c:spPr>
    </c:plotArea>
    <c:legend>
      <c:legendPos val="b"/>
      <c:layout>
        <c:manualLayout>
          <c:xMode val="edge"/>
          <c:yMode val="edge"/>
          <c:x val="0"/>
          <c:y val="0.9190987810204817"/>
          <c:w val="0.99452284115312029"/>
          <c:h val="8.0305943212507488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latin typeface="Arial" panose="020B0604020202020204" pitchFamily="34" charset="0"/>
                <a:cs typeface="Arial" panose="020B0604020202020204" pitchFamily="34" charset="0"/>
              </a:rPr>
              <a:t>Integrating Resilience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907923671703202E-2"/>
          <c:y val="0.1570581257413998"/>
          <c:w val="0.89131730155352207"/>
          <c:h val="0.55362348734287448"/>
        </c:manualLayout>
      </c:layout>
      <c:barChart>
        <c:barDir val="col"/>
        <c:grouping val="stacked"/>
        <c:varyColors val="0"/>
        <c:ser>
          <c:idx val="0"/>
          <c:order val="0"/>
          <c:tx>
            <c:strRef>
              <c:f>'FY17 PIIRS Regional Summary'!$A$177</c:f>
              <c:strCache>
                <c:ptCount val="1"/>
                <c:pt idx="0">
                  <c:v>4. Transformative</c:v>
                </c:pt>
              </c:strCache>
            </c:strRef>
          </c:tx>
          <c:spPr>
            <a:solidFill>
              <a:schemeClr val="accent1"/>
            </a:solidFill>
            <a:ln>
              <a:noFill/>
            </a:ln>
            <a:effectLst/>
          </c:spPr>
          <c:invertIfNegative val="0"/>
          <c:cat>
            <c:strRef>
              <c:f>'FY17 PIIRS Regional Summary'!$B$176:$H$176</c:f>
              <c:strCache>
                <c:ptCount val="7"/>
                <c:pt idx="0">
                  <c:v>All CARE</c:v>
                </c:pt>
                <c:pt idx="1">
                  <c:v>Africa - East and Central</c:v>
                </c:pt>
                <c:pt idx="2">
                  <c:v>Africa - Southern</c:v>
                </c:pt>
                <c:pt idx="3">
                  <c:v>Africa - Western</c:v>
                </c:pt>
                <c:pt idx="4">
                  <c:v>Asia and the Pacific</c:v>
                </c:pt>
                <c:pt idx="5">
                  <c:v>Latin America and the Caribbean</c:v>
                </c:pt>
                <c:pt idx="6">
                  <c:v>Middle East, North Africa and Europe</c:v>
                </c:pt>
              </c:strCache>
            </c:strRef>
          </c:cat>
          <c:val>
            <c:numRef>
              <c:f>'FY17 PIIRS Regional Summary'!$B$177:$H$177</c:f>
              <c:numCache>
                <c:formatCode>0.0%</c:formatCode>
                <c:ptCount val="7"/>
                <c:pt idx="0">
                  <c:v>0.14736842105263157</c:v>
                </c:pt>
                <c:pt idx="1">
                  <c:v>0.1751412429378531</c:v>
                </c:pt>
                <c:pt idx="2">
                  <c:v>0.13095238095238096</c:v>
                </c:pt>
                <c:pt idx="3">
                  <c:v>0.12621359223300971</c:v>
                </c:pt>
                <c:pt idx="4">
                  <c:v>0.14022140221402213</c:v>
                </c:pt>
                <c:pt idx="5">
                  <c:v>0.13402061855670103</c:v>
                </c:pt>
                <c:pt idx="6">
                  <c:v>0.18478260869565216</c:v>
                </c:pt>
              </c:numCache>
            </c:numRef>
          </c:val>
          <c:extLst xmlns:c16r2="http://schemas.microsoft.com/office/drawing/2015/06/chart">
            <c:ext xmlns:c16="http://schemas.microsoft.com/office/drawing/2014/chart" uri="{C3380CC4-5D6E-409C-BE32-E72D297353CC}">
              <c16:uniqueId val="{00000000-D539-42F2-B2F6-D4140CDAA516}"/>
            </c:ext>
          </c:extLst>
        </c:ser>
        <c:ser>
          <c:idx val="1"/>
          <c:order val="1"/>
          <c:tx>
            <c:strRef>
              <c:f>'FY17 PIIRS Regional Summary'!$A$178</c:f>
              <c:strCache>
                <c:ptCount val="1"/>
                <c:pt idx="0">
                  <c:v>3. Responsive</c:v>
                </c:pt>
              </c:strCache>
            </c:strRef>
          </c:tx>
          <c:spPr>
            <a:solidFill>
              <a:schemeClr val="accent2"/>
            </a:solidFill>
            <a:ln>
              <a:noFill/>
            </a:ln>
            <a:effectLst/>
          </c:spPr>
          <c:invertIfNegative val="0"/>
          <c:cat>
            <c:strRef>
              <c:f>'FY17 PIIRS Regional Summary'!$B$176:$H$176</c:f>
              <c:strCache>
                <c:ptCount val="7"/>
                <c:pt idx="0">
                  <c:v>All CARE</c:v>
                </c:pt>
                <c:pt idx="1">
                  <c:v>Africa - East and Central</c:v>
                </c:pt>
                <c:pt idx="2">
                  <c:v>Africa - Southern</c:v>
                </c:pt>
                <c:pt idx="3">
                  <c:v>Africa - Western</c:v>
                </c:pt>
                <c:pt idx="4">
                  <c:v>Asia and the Pacific</c:v>
                </c:pt>
                <c:pt idx="5">
                  <c:v>Latin America and the Caribbean</c:v>
                </c:pt>
                <c:pt idx="6">
                  <c:v>Middle East, North Africa and Europe</c:v>
                </c:pt>
              </c:strCache>
            </c:strRef>
          </c:cat>
          <c:val>
            <c:numRef>
              <c:f>'FY17 PIIRS Regional Summary'!$B$178:$H$178</c:f>
              <c:numCache>
                <c:formatCode>0.0%</c:formatCode>
                <c:ptCount val="7"/>
                <c:pt idx="0">
                  <c:v>7.2631578947368422E-2</c:v>
                </c:pt>
                <c:pt idx="1">
                  <c:v>9.6045197740112997E-2</c:v>
                </c:pt>
                <c:pt idx="2">
                  <c:v>3.5714285714285712E-2</c:v>
                </c:pt>
                <c:pt idx="3">
                  <c:v>4.8543689320388349E-2</c:v>
                </c:pt>
                <c:pt idx="4">
                  <c:v>0.10332103321033211</c:v>
                </c:pt>
                <c:pt idx="5">
                  <c:v>0.10309278350515463</c:v>
                </c:pt>
                <c:pt idx="6">
                  <c:v>3.2608695652173912E-2</c:v>
                </c:pt>
              </c:numCache>
            </c:numRef>
          </c:val>
          <c:extLst xmlns:c16r2="http://schemas.microsoft.com/office/drawing/2015/06/chart">
            <c:ext xmlns:c16="http://schemas.microsoft.com/office/drawing/2014/chart" uri="{C3380CC4-5D6E-409C-BE32-E72D297353CC}">
              <c16:uniqueId val="{00000001-D539-42F2-B2F6-D4140CDAA516}"/>
            </c:ext>
          </c:extLst>
        </c:ser>
        <c:ser>
          <c:idx val="2"/>
          <c:order val="2"/>
          <c:tx>
            <c:strRef>
              <c:f>'FY17 PIIRS Regional Summary'!$A$179</c:f>
              <c:strCache>
                <c:ptCount val="1"/>
                <c:pt idx="0">
                  <c:v>2. Sensitive</c:v>
                </c:pt>
              </c:strCache>
            </c:strRef>
          </c:tx>
          <c:spPr>
            <a:solidFill>
              <a:schemeClr val="accent3"/>
            </a:solidFill>
            <a:ln>
              <a:noFill/>
            </a:ln>
            <a:effectLst/>
          </c:spPr>
          <c:invertIfNegative val="0"/>
          <c:cat>
            <c:strRef>
              <c:f>'FY17 PIIRS Regional Summary'!$B$176:$H$176</c:f>
              <c:strCache>
                <c:ptCount val="7"/>
                <c:pt idx="0">
                  <c:v>All CARE</c:v>
                </c:pt>
                <c:pt idx="1">
                  <c:v>Africa - East and Central</c:v>
                </c:pt>
                <c:pt idx="2">
                  <c:v>Africa - Southern</c:v>
                </c:pt>
                <c:pt idx="3">
                  <c:v>Africa - Western</c:v>
                </c:pt>
                <c:pt idx="4">
                  <c:v>Asia and the Pacific</c:v>
                </c:pt>
                <c:pt idx="5">
                  <c:v>Latin America and the Caribbean</c:v>
                </c:pt>
                <c:pt idx="6">
                  <c:v>Middle East, North Africa and Europe</c:v>
                </c:pt>
              </c:strCache>
            </c:strRef>
          </c:cat>
          <c:val>
            <c:numRef>
              <c:f>'FY17 PIIRS Regional Summary'!$B$179:$H$179</c:f>
              <c:numCache>
                <c:formatCode>0.0%</c:formatCode>
                <c:ptCount val="7"/>
                <c:pt idx="0">
                  <c:v>0.26736842105263159</c:v>
                </c:pt>
                <c:pt idx="1">
                  <c:v>0.30508474576271188</c:v>
                </c:pt>
                <c:pt idx="2">
                  <c:v>0.2857142857142857</c:v>
                </c:pt>
                <c:pt idx="3">
                  <c:v>0.47572815533980584</c:v>
                </c:pt>
                <c:pt idx="4">
                  <c:v>0.25830258302583026</c:v>
                </c:pt>
                <c:pt idx="5">
                  <c:v>0.41237113402061853</c:v>
                </c:pt>
                <c:pt idx="6">
                  <c:v>9.2391304347826081E-2</c:v>
                </c:pt>
              </c:numCache>
            </c:numRef>
          </c:val>
          <c:extLst xmlns:c16r2="http://schemas.microsoft.com/office/drawing/2015/06/chart">
            <c:ext xmlns:c16="http://schemas.microsoft.com/office/drawing/2014/chart" uri="{C3380CC4-5D6E-409C-BE32-E72D297353CC}">
              <c16:uniqueId val="{00000002-D539-42F2-B2F6-D4140CDAA516}"/>
            </c:ext>
          </c:extLst>
        </c:ser>
        <c:ser>
          <c:idx val="3"/>
          <c:order val="3"/>
          <c:tx>
            <c:strRef>
              <c:f>'FY17 PIIRS Regional Summary'!$A$180</c:f>
              <c:strCache>
                <c:ptCount val="1"/>
                <c:pt idx="0">
                  <c:v>1. Neutral</c:v>
                </c:pt>
              </c:strCache>
            </c:strRef>
          </c:tx>
          <c:spPr>
            <a:solidFill>
              <a:schemeClr val="accent4"/>
            </a:solidFill>
            <a:ln>
              <a:noFill/>
            </a:ln>
            <a:effectLst/>
          </c:spPr>
          <c:invertIfNegative val="0"/>
          <c:cat>
            <c:strRef>
              <c:f>'FY17 PIIRS Regional Summary'!$B$176:$H$176</c:f>
              <c:strCache>
                <c:ptCount val="7"/>
                <c:pt idx="0">
                  <c:v>All CARE</c:v>
                </c:pt>
                <c:pt idx="1">
                  <c:v>Africa - East and Central</c:v>
                </c:pt>
                <c:pt idx="2">
                  <c:v>Africa - Southern</c:v>
                </c:pt>
                <c:pt idx="3">
                  <c:v>Africa - Western</c:v>
                </c:pt>
                <c:pt idx="4">
                  <c:v>Asia and the Pacific</c:v>
                </c:pt>
                <c:pt idx="5">
                  <c:v>Latin America and the Caribbean</c:v>
                </c:pt>
                <c:pt idx="6">
                  <c:v>Middle East, North Africa and Europe</c:v>
                </c:pt>
              </c:strCache>
            </c:strRef>
          </c:cat>
          <c:val>
            <c:numRef>
              <c:f>'FY17 PIIRS Regional Summary'!$B$180:$H$180</c:f>
              <c:numCache>
                <c:formatCode>0.0%</c:formatCode>
                <c:ptCount val="7"/>
                <c:pt idx="0">
                  <c:v>0.2336842105263158</c:v>
                </c:pt>
                <c:pt idx="1">
                  <c:v>0.24293785310734464</c:v>
                </c:pt>
                <c:pt idx="2">
                  <c:v>0.27380952380952384</c:v>
                </c:pt>
                <c:pt idx="3">
                  <c:v>0.20388349514563106</c:v>
                </c:pt>
                <c:pt idx="4">
                  <c:v>0.23247232472324722</c:v>
                </c:pt>
                <c:pt idx="5">
                  <c:v>0.26804123711340205</c:v>
                </c:pt>
                <c:pt idx="6">
                  <c:v>0.25</c:v>
                </c:pt>
              </c:numCache>
            </c:numRef>
          </c:val>
          <c:extLst xmlns:c16r2="http://schemas.microsoft.com/office/drawing/2015/06/chart">
            <c:ext xmlns:c16="http://schemas.microsoft.com/office/drawing/2014/chart" uri="{C3380CC4-5D6E-409C-BE32-E72D297353CC}">
              <c16:uniqueId val="{00000003-D539-42F2-B2F6-D4140CDAA516}"/>
            </c:ext>
          </c:extLst>
        </c:ser>
        <c:ser>
          <c:idx val="4"/>
          <c:order val="4"/>
          <c:tx>
            <c:strRef>
              <c:f>'FY17 PIIRS Regional Summary'!$A$181</c:f>
              <c:strCache>
                <c:ptCount val="1"/>
                <c:pt idx="0">
                  <c:v>0.Harmful</c:v>
                </c:pt>
              </c:strCache>
            </c:strRef>
          </c:tx>
          <c:spPr>
            <a:solidFill>
              <a:schemeClr val="accent5"/>
            </a:solidFill>
            <a:ln>
              <a:noFill/>
            </a:ln>
            <a:effectLst/>
          </c:spPr>
          <c:invertIfNegative val="0"/>
          <c:cat>
            <c:strRef>
              <c:f>'FY17 PIIRS Regional Summary'!$B$176:$H$176</c:f>
              <c:strCache>
                <c:ptCount val="7"/>
                <c:pt idx="0">
                  <c:v>All CARE</c:v>
                </c:pt>
                <c:pt idx="1">
                  <c:v>Africa - East and Central</c:v>
                </c:pt>
                <c:pt idx="2">
                  <c:v>Africa - Southern</c:v>
                </c:pt>
                <c:pt idx="3">
                  <c:v>Africa - Western</c:v>
                </c:pt>
                <c:pt idx="4">
                  <c:v>Asia and the Pacific</c:v>
                </c:pt>
                <c:pt idx="5">
                  <c:v>Latin America and the Caribbean</c:v>
                </c:pt>
                <c:pt idx="6">
                  <c:v>Middle East, North Africa and Europe</c:v>
                </c:pt>
              </c:strCache>
            </c:strRef>
          </c:cat>
          <c:val>
            <c:numRef>
              <c:f>'FY17 PIIRS Regional Summary'!$B$181:$H$181</c:f>
              <c:numCache>
                <c:formatCode>0.0%</c:formatCode>
                <c:ptCount val="7"/>
                <c:pt idx="0">
                  <c:v>0.10105263157894737</c:v>
                </c:pt>
                <c:pt idx="1">
                  <c:v>7.3446327683615822E-2</c:v>
                </c:pt>
                <c:pt idx="2">
                  <c:v>0.15476190476190477</c:v>
                </c:pt>
                <c:pt idx="3">
                  <c:v>6.7961165048543687E-2</c:v>
                </c:pt>
                <c:pt idx="4">
                  <c:v>0.13284132841328414</c:v>
                </c:pt>
                <c:pt idx="5">
                  <c:v>4.1237113402061855E-2</c:v>
                </c:pt>
                <c:pt idx="6">
                  <c:v>0.125</c:v>
                </c:pt>
              </c:numCache>
            </c:numRef>
          </c:val>
          <c:extLst xmlns:c16r2="http://schemas.microsoft.com/office/drawing/2015/06/chart">
            <c:ext xmlns:c16="http://schemas.microsoft.com/office/drawing/2014/chart" uri="{C3380CC4-5D6E-409C-BE32-E72D297353CC}">
              <c16:uniqueId val="{00000004-D539-42F2-B2F6-D4140CDAA516}"/>
            </c:ext>
          </c:extLst>
        </c:ser>
        <c:ser>
          <c:idx val="5"/>
          <c:order val="5"/>
          <c:tx>
            <c:strRef>
              <c:f>'FY17 PIIRS Regional Summary'!$A$182</c:f>
              <c:strCache>
                <c:ptCount val="1"/>
                <c:pt idx="0">
                  <c:v>No marker score</c:v>
                </c:pt>
              </c:strCache>
            </c:strRef>
          </c:tx>
          <c:spPr>
            <a:solidFill>
              <a:schemeClr val="accent6"/>
            </a:solidFill>
            <a:ln>
              <a:noFill/>
            </a:ln>
            <a:effectLst/>
          </c:spPr>
          <c:invertIfNegative val="0"/>
          <c:cat>
            <c:strRef>
              <c:f>'FY17 PIIRS Regional Summary'!$B$176:$H$176</c:f>
              <c:strCache>
                <c:ptCount val="7"/>
                <c:pt idx="0">
                  <c:v>All CARE</c:v>
                </c:pt>
                <c:pt idx="1">
                  <c:v>Africa - East and Central</c:v>
                </c:pt>
                <c:pt idx="2">
                  <c:v>Africa - Southern</c:v>
                </c:pt>
                <c:pt idx="3">
                  <c:v>Africa - Western</c:v>
                </c:pt>
                <c:pt idx="4">
                  <c:v>Asia and the Pacific</c:v>
                </c:pt>
                <c:pt idx="5">
                  <c:v>Latin America and the Caribbean</c:v>
                </c:pt>
                <c:pt idx="6">
                  <c:v>Middle East, North Africa and Europe</c:v>
                </c:pt>
              </c:strCache>
            </c:strRef>
          </c:cat>
          <c:val>
            <c:numRef>
              <c:f>'FY17 PIIRS Regional Summary'!$B$182:$H$182</c:f>
              <c:numCache>
                <c:formatCode>0.0%</c:formatCode>
                <c:ptCount val="7"/>
                <c:pt idx="0">
                  <c:v>0.17789473684210527</c:v>
                </c:pt>
                <c:pt idx="1">
                  <c:v>0.10734463276836158</c:v>
                </c:pt>
                <c:pt idx="2">
                  <c:v>0.11904761904761904</c:v>
                </c:pt>
                <c:pt idx="3">
                  <c:v>7.7669902912621352E-2</c:v>
                </c:pt>
                <c:pt idx="4">
                  <c:v>0.13284132841328414</c:v>
                </c:pt>
                <c:pt idx="5">
                  <c:v>4.1237113402061855E-2</c:v>
                </c:pt>
                <c:pt idx="6">
                  <c:v>0.31521739130434784</c:v>
                </c:pt>
              </c:numCache>
            </c:numRef>
          </c:val>
          <c:extLst xmlns:c16r2="http://schemas.microsoft.com/office/drawing/2015/06/chart">
            <c:ext xmlns:c16="http://schemas.microsoft.com/office/drawing/2014/chart" uri="{C3380CC4-5D6E-409C-BE32-E72D297353CC}">
              <c16:uniqueId val="{00000006-D539-42F2-B2F6-D4140CDAA516}"/>
            </c:ext>
          </c:extLst>
        </c:ser>
        <c:dLbls>
          <c:showLegendKey val="0"/>
          <c:showVal val="0"/>
          <c:showCatName val="0"/>
          <c:showSerName val="0"/>
          <c:showPercent val="0"/>
          <c:showBubbleSize val="0"/>
        </c:dLbls>
        <c:gapWidth val="150"/>
        <c:overlap val="100"/>
        <c:axId val="324635184"/>
        <c:axId val="324635744"/>
      </c:barChart>
      <c:catAx>
        <c:axId val="324635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24635744"/>
        <c:crosses val="autoZero"/>
        <c:auto val="1"/>
        <c:lblAlgn val="ctr"/>
        <c:lblOffset val="100"/>
        <c:noMultiLvlLbl val="0"/>
      </c:catAx>
      <c:valAx>
        <c:axId val="324635744"/>
        <c:scaling>
          <c:orientation val="minMax"/>
          <c:max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24635184"/>
        <c:crosses val="autoZero"/>
        <c:crossBetween val="between"/>
        <c:majorUnit val="0.2"/>
      </c:valAx>
      <c:spPr>
        <a:noFill/>
        <a:ln>
          <a:noFill/>
        </a:ln>
        <a:effectLst/>
      </c:spPr>
    </c:plotArea>
    <c:legend>
      <c:legendPos val="b"/>
      <c:layout>
        <c:manualLayout>
          <c:xMode val="edge"/>
          <c:yMode val="edge"/>
          <c:x val="0"/>
          <c:y val="0.90921642514984358"/>
          <c:w val="0.98286338791623706"/>
          <c:h val="5.554557702174312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latin typeface="Arial" panose="020B0604020202020204" pitchFamily="34" charset="0"/>
                <a:cs typeface="Arial" panose="020B0604020202020204" pitchFamily="34" charset="0"/>
              </a:rPr>
              <a:t>Addressing Climate Change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907923671703202E-2"/>
          <c:y val="0.1570581257413998"/>
          <c:w val="0.89131730155352207"/>
          <c:h val="0.55362348734287448"/>
        </c:manualLayout>
      </c:layout>
      <c:barChart>
        <c:barDir val="col"/>
        <c:grouping val="stacked"/>
        <c:varyColors val="0"/>
        <c:ser>
          <c:idx val="0"/>
          <c:order val="0"/>
          <c:tx>
            <c:strRef>
              <c:f>'FY17 PIIRS Regional Summary'!$A$185</c:f>
              <c:strCache>
                <c:ptCount val="1"/>
                <c:pt idx="0">
                  <c:v>Fully addressed vulnerability caused by climate change</c:v>
                </c:pt>
              </c:strCache>
            </c:strRef>
          </c:tx>
          <c:spPr>
            <a:solidFill>
              <a:schemeClr val="accent1"/>
            </a:solidFill>
            <a:ln>
              <a:noFill/>
            </a:ln>
            <a:effectLst/>
          </c:spPr>
          <c:invertIfNegative val="0"/>
          <c:cat>
            <c:strRef>
              <c:f>'FY17 PIIRS Regional Summary'!$B$184:$H$184</c:f>
              <c:strCache>
                <c:ptCount val="7"/>
                <c:pt idx="0">
                  <c:v>All CARE</c:v>
                </c:pt>
                <c:pt idx="1">
                  <c:v>Africa - East and Central</c:v>
                </c:pt>
                <c:pt idx="2">
                  <c:v>Africa - Southern</c:v>
                </c:pt>
                <c:pt idx="3">
                  <c:v>Africa - Western</c:v>
                </c:pt>
                <c:pt idx="4">
                  <c:v>Asia and the Pacific</c:v>
                </c:pt>
                <c:pt idx="5">
                  <c:v>Latin America and the Caribbean</c:v>
                </c:pt>
                <c:pt idx="6">
                  <c:v>Middle East, North Africa and Europe</c:v>
                </c:pt>
              </c:strCache>
            </c:strRef>
          </c:cat>
          <c:val>
            <c:numRef>
              <c:f>'FY17 PIIRS Regional Summary'!$B$185:$H$185</c:f>
              <c:numCache>
                <c:formatCode>0.0%</c:formatCode>
                <c:ptCount val="7"/>
                <c:pt idx="0">
                  <c:v>0.11084905660377359</c:v>
                </c:pt>
                <c:pt idx="1">
                  <c:v>6.6265060240963861E-2</c:v>
                </c:pt>
                <c:pt idx="2">
                  <c:v>0.21518987341772153</c:v>
                </c:pt>
                <c:pt idx="3">
                  <c:v>0.16666666666666666</c:v>
                </c:pt>
                <c:pt idx="4">
                  <c:v>0.10588235294117647</c:v>
                </c:pt>
                <c:pt idx="5">
                  <c:v>0.20430107526881722</c:v>
                </c:pt>
                <c:pt idx="6">
                  <c:v>2.5157232704402517E-2</c:v>
                </c:pt>
              </c:numCache>
            </c:numRef>
          </c:val>
          <c:extLst xmlns:c16r2="http://schemas.microsoft.com/office/drawing/2015/06/chart">
            <c:ext xmlns:c16="http://schemas.microsoft.com/office/drawing/2014/chart" uri="{C3380CC4-5D6E-409C-BE32-E72D297353CC}">
              <c16:uniqueId val="{00000000-7521-4077-831C-EC17BDA42EEB}"/>
            </c:ext>
          </c:extLst>
        </c:ser>
        <c:ser>
          <c:idx val="1"/>
          <c:order val="1"/>
          <c:tx>
            <c:strRef>
              <c:f>'FY17 PIIRS Regional Summary'!$A$186</c:f>
              <c:strCache>
                <c:ptCount val="1"/>
                <c:pt idx="0">
                  <c:v>Partially addressed vulnerability caused by climate change</c:v>
                </c:pt>
              </c:strCache>
            </c:strRef>
          </c:tx>
          <c:spPr>
            <a:solidFill>
              <a:schemeClr val="accent2"/>
            </a:solidFill>
            <a:ln>
              <a:noFill/>
            </a:ln>
            <a:effectLst/>
          </c:spPr>
          <c:invertIfNegative val="0"/>
          <c:cat>
            <c:strRef>
              <c:f>'FY17 PIIRS Regional Summary'!$B$184:$H$184</c:f>
              <c:strCache>
                <c:ptCount val="7"/>
                <c:pt idx="0">
                  <c:v>All CARE</c:v>
                </c:pt>
                <c:pt idx="1">
                  <c:v>Africa - East and Central</c:v>
                </c:pt>
                <c:pt idx="2">
                  <c:v>Africa - Southern</c:v>
                </c:pt>
                <c:pt idx="3">
                  <c:v>Africa - Western</c:v>
                </c:pt>
                <c:pt idx="4">
                  <c:v>Asia and the Pacific</c:v>
                </c:pt>
                <c:pt idx="5">
                  <c:v>Latin America and the Caribbean</c:v>
                </c:pt>
                <c:pt idx="6">
                  <c:v>Middle East, North Africa and Europe</c:v>
                </c:pt>
              </c:strCache>
            </c:strRef>
          </c:cat>
          <c:val>
            <c:numRef>
              <c:f>'FY17 PIIRS Regional Summary'!$B$186:$H$186</c:f>
              <c:numCache>
                <c:formatCode>0.0%</c:formatCode>
                <c:ptCount val="7"/>
                <c:pt idx="0">
                  <c:v>0.34551886792452829</c:v>
                </c:pt>
                <c:pt idx="1">
                  <c:v>0.43373493975903615</c:v>
                </c:pt>
                <c:pt idx="2">
                  <c:v>0.36708860759493672</c:v>
                </c:pt>
                <c:pt idx="3">
                  <c:v>0.41666666666666669</c:v>
                </c:pt>
                <c:pt idx="4">
                  <c:v>0.30588235294117649</c:v>
                </c:pt>
                <c:pt idx="5">
                  <c:v>0.44086021505376344</c:v>
                </c:pt>
                <c:pt idx="6">
                  <c:v>0.20754716981132076</c:v>
                </c:pt>
              </c:numCache>
            </c:numRef>
          </c:val>
          <c:extLst xmlns:c16r2="http://schemas.microsoft.com/office/drawing/2015/06/chart">
            <c:ext xmlns:c16="http://schemas.microsoft.com/office/drawing/2014/chart" uri="{C3380CC4-5D6E-409C-BE32-E72D297353CC}">
              <c16:uniqueId val="{00000001-7521-4077-831C-EC17BDA42EEB}"/>
            </c:ext>
          </c:extLst>
        </c:ser>
        <c:ser>
          <c:idx val="2"/>
          <c:order val="2"/>
          <c:tx>
            <c:strRef>
              <c:f>'FY17 PIIRS Regional Summary'!$A$187</c:f>
              <c:strCache>
                <c:ptCount val="1"/>
                <c:pt idx="0">
                  <c:v>Did not have a strategy to address vulnerability caused by climate change</c:v>
                </c:pt>
              </c:strCache>
            </c:strRef>
          </c:tx>
          <c:spPr>
            <a:solidFill>
              <a:schemeClr val="accent3"/>
            </a:solidFill>
            <a:ln>
              <a:noFill/>
            </a:ln>
            <a:effectLst/>
          </c:spPr>
          <c:invertIfNegative val="0"/>
          <c:cat>
            <c:strRef>
              <c:f>'FY17 PIIRS Regional Summary'!$B$184:$H$184</c:f>
              <c:strCache>
                <c:ptCount val="7"/>
                <c:pt idx="0">
                  <c:v>All CARE</c:v>
                </c:pt>
                <c:pt idx="1">
                  <c:v>Africa - East and Central</c:v>
                </c:pt>
                <c:pt idx="2">
                  <c:v>Africa - Southern</c:v>
                </c:pt>
                <c:pt idx="3">
                  <c:v>Africa - Western</c:v>
                </c:pt>
                <c:pt idx="4">
                  <c:v>Asia and the Pacific</c:v>
                </c:pt>
                <c:pt idx="5">
                  <c:v>Latin America and the Caribbean</c:v>
                </c:pt>
                <c:pt idx="6">
                  <c:v>Middle East, North Africa and Europe</c:v>
                </c:pt>
              </c:strCache>
            </c:strRef>
          </c:cat>
          <c:val>
            <c:numRef>
              <c:f>'FY17 PIIRS Regional Summary'!$B$187:$H$187</c:f>
              <c:numCache>
                <c:formatCode>0.0%</c:formatCode>
                <c:ptCount val="7"/>
                <c:pt idx="0">
                  <c:v>0.54363207547169812</c:v>
                </c:pt>
                <c:pt idx="1">
                  <c:v>0.5</c:v>
                </c:pt>
                <c:pt idx="2">
                  <c:v>0.41772151898734178</c:v>
                </c:pt>
                <c:pt idx="3">
                  <c:v>0.41666666666666669</c:v>
                </c:pt>
                <c:pt idx="4">
                  <c:v>0.58823529411764708</c:v>
                </c:pt>
                <c:pt idx="5">
                  <c:v>0.35483870967741937</c:v>
                </c:pt>
                <c:pt idx="6">
                  <c:v>0.76729559748427678</c:v>
                </c:pt>
              </c:numCache>
            </c:numRef>
          </c:val>
          <c:extLst xmlns:c16r2="http://schemas.microsoft.com/office/drawing/2015/06/chart">
            <c:ext xmlns:c16="http://schemas.microsoft.com/office/drawing/2014/chart" uri="{C3380CC4-5D6E-409C-BE32-E72D297353CC}">
              <c16:uniqueId val="{00000002-7521-4077-831C-EC17BDA42EEB}"/>
            </c:ext>
          </c:extLst>
        </c:ser>
        <c:dLbls>
          <c:showLegendKey val="0"/>
          <c:showVal val="0"/>
          <c:showCatName val="0"/>
          <c:showSerName val="0"/>
          <c:showPercent val="0"/>
          <c:showBubbleSize val="0"/>
        </c:dLbls>
        <c:gapWidth val="150"/>
        <c:overlap val="100"/>
        <c:axId val="325375072"/>
        <c:axId val="325375632"/>
      </c:barChart>
      <c:catAx>
        <c:axId val="325375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25375632"/>
        <c:crosses val="autoZero"/>
        <c:auto val="1"/>
        <c:lblAlgn val="ctr"/>
        <c:lblOffset val="100"/>
        <c:noMultiLvlLbl val="0"/>
      </c:catAx>
      <c:valAx>
        <c:axId val="325375632"/>
        <c:scaling>
          <c:orientation val="minMax"/>
          <c:max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25375072"/>
        <c:crosses val="autoZero"/>
        <c:crossBetween val="between"/>
        <c:majorUnit val="0.2"/>
      </c:valAx>
      <c:spPr>
        <a:noFill/>
        <a:ln>
          <a:noFill/>
        </a:ln>
        <a:effectLst/>
      </c:spPr>
    </c:plotArea>
    <c:legend>
      <c:legendPos val="b"/>
      <c:layout>
        <c:manualLayout>
          <c:xMode val="edge"/>
          <c:yMode val="edge"/>
          <c:x val="0"/>
          <c:y val="0.84312933926737421"/>
          <c:w val="0.9967213386654088"/>
          <c:h val="0.1568706607326258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400" b="1"/>
              <a:t>Other aspects of program quality</a:t>
            </a:r>
          </a:p>
        </c:rich>
      </c:tx>
      <c:layout>
        <c:manualLayout>
          <c:xMode val="edge"/>
          <c:yMode val="edge"/>
          <c:x val="0.27494836296284736"/>
          <c:y val="3.086790292872291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868707089579904E-2"/>
          <c:y val="0.12740641462370397"/>
          <c:w val="0.92916915046636117"/>
          <c:h val="0.63917350756687341"/>
        </c:manualLayout>
      </c:layout>
      <c:lineChart>
        <c:grouping val="standard"/>
        <c:varyColors val="0"/>
        <c:ser>
          <c:idx val="0"/>
          <c:order val="0"/>
          <c:tx>
            <c:strRef>
              <c:f>'FY17 PIIRS Project Summary'!$N$10</c:f>
              <c:strCache>
                <c:ptCount val="1"/>
                <c:pt idx="0">
                  <c:v>Project</c:v>
                </c:pt>
              </c:strCache>
            </c:strRef>
          </c:tx>
          <c:spPr>
            <a:ln w="28575" cap="rnd">
              <a:no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110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'FY17 PIIRS Project Summary'!$O$9:$X$9</c15:sqref>
                  </c15:fullRef>
                </c:ext>
              </c:extLst>
              <c:f>('FY17 PIIRS Project Summary'!$P$9,'FY17 PIIRS Project Summary'!$S$9:$T$9,'FY17 PIIRS Project Summary'!$V$9)</c:f>
              <c:strCache>
                <c:ptCount val="4"/>
                <c:pt idx="0">
                  <c:v>GBV focused or mainstreamed</c:v>
                </c:pt>
                <c:pt idx="1">
                  <c:v>All/most activities through partners</c:v>
                </c:pt>
                <c:pt idx="2">
                  <c:v>Civil society strengthening</c:v>
                </c:pt>
                <c:pt idx="3">
                  <c:v>Fully/partially addressed climate change</c:v>
                </c:pt>
              </c:strCache>
            </c:strRef>
          </c:cat>
          <c:val>
            <c:numRef>
              <c:extLst>
                <c:ext xmlns:c15="http://schemas.microsoft.com/office/drawing/2012/chart" uri="{02D57815-91ED-43cb-92C2-25804820EDAC}">
                  <c15:fullRef>
                    <c15:sqref>'FY17 PIIRS Project Summary'!$O$10:$X$10</c15:sqref>
                  </c15:fullRef>
                </c:ext>
              </c:extLst>
              <c:f>('FY17 PIIRS Project Summary'!$P$10,'FY17 PIIRS Project Summary'!$S$10:$T$10,'FY17 PIIRS Project Summary'!$V$10)</c:f>
              <c:numCache>
                <c:formatCode>0%</c:formatCode>
                <c:ptCount val="4"/>
                <c:pt idx="0">
                  <c:v>0.5</c:v>
                </c:pt>
                <c:pt idx="1">
                  <c:v>1</c:v>
                </c:pt>
                <c:pt idx="2">
                  <c:v>1</c:v>
                </c:pt>
                <c:pt idx="3">
                  <c:v>0.5</c:v>
                </c:pt>
              </c:numCache>
            </c:numRef>
          </c:val>
          <c:smooth val="0"/>
          <c:extLst xmlns:c16r2="http://schemas.microsoft.com/office/drawing/2015/06/chart">
            <c:ext xmlns:c16="http://schemas.microsoft.com/office/drawing/2014/chart" uri="{C3380CC4-5D6E-409C-BE32-E72D297353CC}">
              <c16:uniqueId val="{00000000-3876-43ED-9CEA-92B46EF35382}"/>
            </c:ext>
          </c:extLst>
        </c:ser>
        <c:ser>
          <c:idx val="1"/>
          <c:order val="1"/>
          <c:tx>
            <c:strRef>
              <c:f>'FY17 PIIRS Project Summary'!$N$11</c:f>
              <c:strCache>
                <c:ptCount val="1"/>
                <c:pt idx="0">
                  <c:v>Country</c:v>
                </c:pt>
              </c:strCache>
            </c:strRef>
          </c:tx>
          <c:spPr>
            <a:ln w="28575" cap="rnd">
              <a:noFill/>
              <a:round/>
            </a:ln>
            <a:effectLst/>
          </c:spPr>
          <c:marker>
            <c:symbol val="circle"/>
            <c:size val="5"/>
            <c:spPr>
              <a:solidFill>
                <a:schemeClr val="accent6"/>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6"/>
                    </a:solidFill>
                    <a:latin typeface="Arial" panose="020B0604020202020204" pitchFamily="34" charset="0"/>
                    <a:ea typeface="+mn-ea"/>
                    <a:cs typeface="Arial" panose="020B0604020202020204" pitchFamily="34" charset="0"/>
                  </a:defRPr>
                </a:pPr>
                <a:endParaRPr lang="en-US"/>
              </a:p>
            </c:txPr>
            <c:dLblPos val="l"/>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'FY17 PIIRS Project Summary'!$O$9:$X$9</c15:sqref>
                  </c15:fullRef>
                </c:ext>
              </c:extLst>
              <c:f>('FY17 PIIRS Project Summary'!$P$9,'FY17 PIIRS Project Summary'!$S$9:$T$9,'FY17 PIIRS Project Summary'!$V$9)</c:f>
              <c:strCache>
                <c:ptCount val="4"/>
                <c:pt idx="0">
                  <c:v>GBV focused or mainstreamed</c:v>
                </c:pt>
                <c:pt idx="1">
                  <c:v>All/most activities through partners</c:v>
                </c:pt>
                <c:pt idx="2">
                  <c:v>Civil society strengthening</c:v>
                </c:pt>
                <c:pt idx="3">
                  <c:v>Fully/partially addressed climate change</c:v>
                </c:pt>
              </c:strCache>
            </c:strRef>
          </c:cat>
          <c:val>
            <c:numRef>
              <c:extLst>
                <c:ext xmlns:c15="http://schemas.microsoft.com/office/drawing/2012/chart" uri="{02D57815-91ED-43cb-92C2-25804820EDAC}">
                  <c15:fullRef>
                    <c15:sqref>'FY17 PIIRS Project Summary'!$O$11:$X$11</c15:sqref>
                  </c15:fullRef>
                </c:ext>
              </c:extLst>
              <c:f>('FY17 PIIRS Project Summary'!$P$11,'FY17 PIIRS Project Summary'!$S$11:$T$11,'FY17 PIIRS Project Summary'!$V$11)</c:f>
              <c:numCache>
                <c:formatCode>0%</c:formatCode>
                <c:ptCount val="4"/>
                <c:pt idx="0">
                  <c:v>0.58333333333333326</c:v>
                </c:pt>
                <c:pt idx="1">
                  <c:v>0.4375</c:v>
                </c:pt>
                <c:pt idx="2">
                  <c:v>0.5</c:v>
                </c:pt>
                <c:pt idx="3">
                  <c:v>0.45833333333333331</c:v>
                </c:pt>
              </c:numCache>
            </c:numRef>
          </c:val>
          <c:smooth val="0"/>
          <c:extLst xmlns:c16r2="http://schemas.microsoft.com/office/drawing/2015/06/chart">
            <c:ext xmlns:c16="http://schemas.microsoft.com/office/drawing/2014/chart" uri="{C3380CC4-5D6E-409C-BE32-E72D297353CC}">
              <c16:uniqueId val="{00000001-3876-43ED-9CEA-92B46EF35382}"/>
            </c:ext>
            <c:ext xmlns:c15="http://schemas.microsoft.com/office/drawing/2012/chart" uri="{02D57815-91ED-43cb-92C2-25804820EDAC}">
              <c15:categoryFilterExceptions>
                <c15:categoryFilterException>
                  <c15:sqref>'FY17 PIIRS Project Summary'!$R$11</c15:sqref>
                  <c15:dLbl>
                    <c:idx val="0"/>
                    <c:layout>
                      <c:manualLayout>
                        <c:x val="-7.8883152089563049E-2"/>
                        <c:y val="0"/>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595-4B3B-BF15-50B3ADB362AD}"/>
                      </c:ext>
                      <c:ext uri="{CE6537A1-D6FC-4f65-9D91-7224C49458BB}"/>
                    </c:extLst>
                  </c15:dLbl>
                </c15:categoryFilterException>
              </c15:categoryFilterExceptions>
            </c:ext>
          </c:extLst>
        </c:ser>
        <c:ser>
          <c:idx val="2"/>
          <c:order val="2"/>
          <c:tx>
            <c:strRef>
              <c:f>'FY17 PIIRS Project Summary'!$N$12</c:f>
              <c:strCache>
                <c:ptCount val="1"/>
                <c:pt idx="0">
                  <c:v>Region</c:v>
                </c:pt>
              </c:strCache>
            </c:strRef>
          </c:tx>
          <c:spPr>
            <a:ln w="28575" cap="rnd">
              <a:noFill/>
              <a:round/>
            </a:ln>
            <a:effectLst/>
          </c:spPr>
          <c:marker>
            <c:symbol val="circle"/>
            <c:size val="5"/>
            <c:spPr>
              <a:solidFill>
                <a:schemeClr val="accent2"/>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2"/>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'FY17 PIIRS Project Summary'!$O$9:$X$9</c15:sqref>
                  </c15:fullRef>
                </c:ext>
              </c:extLst>
              <c:f>('FY17 PIIRS Project Summary'!$P$9,'FY17 PIIRS Project Summary'!$S$9:$T$9,'FY17 PIIRS Project Summary'!$V$9)</c:f>
              <c:strCache>
                <c:ptCount val="4"/>
                <c:pt idx="0">
                  <c:v>GBV focused or mainstreamed</c:v>
                </c:pt>
                <c:pt idx="1">
                  <c:v>All/most activities through partners</c:v>
                </c:pt>
                <c:pt idx="2">
                  <c:v>Civil society strengthening</c:v>
                </c:pt>
                <c:pt idx="3">
                  <c:v>Fully/partially addressed climate change</c:v>
                </c:pt>
              </c:strCache>
            </c:strRef>
          </c:cat>
          <c:val>
            <c:numRef>
              <c:extLst>
                <c:ext xmlns:c15="http://schemas.microsoft.com/office/drawing/2012/chart" uri="{02D57815-91ED-43cb-92C2-25804820EDAC}">
                  <c15:fullRef>
                    <c15:sqref>'FY17 PIIRS Project Summary'!$O$12:$X$12</c15:sqref>
                  </c15:fullRef>
                </c:ext>
              </c:extLst>
              <c:f>('FY17 PIIRS Project Summary'!$P$12,'FY17 PIIRS Project Summary'!$S$12:$T$12,'FY17 PIIRS Project Summary'!$V$12)</c:f>
              <c:numCache>
                <c:formatCode>0%</c:formatCode>
                <c:ptCount val="4"/>
                <c:pt idx="0">
                  <c:v>0.49416342412451364</c:v>
                </c:pt>
                <c:pt idx="1">
                  <c:v>0.52851711026615966</c:v>
                </c:pt>
                <c:pt idx="2">
                  <c:v>0.58778625954198471</c:v>
                </c:pt>
                <c:pt idx="3">
                  <c:v>0.41176470588235298</c:v>
                </c:pt>
              </c:numCache>
            </c:numRef>
          </c:val>
          <c:smooth val="0"/>
          <c:extLst xmlns:c16r2="http://schemas.microsoft.com/office/drawing/2015/06/chart">
            <c:ext xmlns:c16="http://schemas.microsoft.com/office/drawing/2014/chart" uri="{C3380CC4-5D6E-409C-BE32-E72D297353CC}">
              <c16:uniqueId val="{00000002-3876-43ED-9CEA-92B46EF35382}"/>
            </c:ext>
          </c:extLst>
        </c:ser>
        <c:dLbls>
          <c:showLegendKey val="0"/>
          <c:showVal val="0"/>
          <c:showCatName val="0"/>
          <c:showSerName val="0"/>
          <c:showPercent val="0"/>
          <c:showBubbleSize val="0"/>
        </c:dLbls>
        <c:marker val="1"/>
        <c:smooth val="0"/>
        <c:axId val="320522256"/>
        <c:axId val="320522816"/>
      </c:lineChart>
      <c:catAx>
        <c:axId val="32052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20522816"/>
        <c:crosses val="autoZero"/>
        <c:auto val="1"/>
        <c:lblAlgn val="ctr"/>
        <c:lblOffset val="100"/>
        <c:noMultiLvlLbl val="0"/>
      </c:catAx>
      <c:valAx>
        <c:axId val="320522816"/>
        <c:scaling>
          <c:orientation val="minMax"/>
          <c:max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20522256"/>
        <c:crosses val="autoZero"/>
        <c:crossBetween val="between"/>
        <c:majorUnit val="0.2"/>
      </c:valAx>
      <c:spPr>
        <a:noFill/>
        <a:ln>
          <a:noFill/>
        </a:ln>
        <a:effectLst/>
      </c:spPr>
    </c:plotArea>
    <c:legend>
      <c:legendPos val="b"/>
      <c:legendEntry>
        <c:idx val="0"/>
        <c:txPr>
          <a:bodyPr rot="0" spcFirstLastPara="1" vertOverflow="ellipsis" vert="horz" wrap="square" anchor="ctr" anchorCtr="1"/>
          <a:lstStyle/>
          <a:p>
            <a:pPr>
              <a:defRPr sz="110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legendEntry>
      <c:legendEntry>
        <c:idx val="1"/>
        <c:txPr>
          <a:bodyPr rot="0" spcFirstLastPara="1" vertOverflow="ellipsis" vert="horz" wrap="square" anchor="ctr" anchorCtr="1"/>
          <a:lstStyle/>
          <a:p>
            <a:pPr>
              <a:defRPr sz="1100" b="1" i="0" u="none" strike="noStrike" kern="1200" baseline="0">
                <a:solidFill>
                  <a:schemeClr val="accent6"/>
                </a:solidFill>
                <a:latin typeface="Arial" panose="020B0604020202020204" pitchFamily="34" charset="0"/>
                <a:ea typeface="+mn-ea"/>
                <a:cs typeface="Arial" panose="020B0604020202020204" pitchFamily="34" charset="0"/>
              </a:defRPr>
            </a:pPr>
            <a:endParaRPr lang="en-US"/>
          </a:p>
        </c:txPr>
      </c:legendEntry>
      <c:legendEntry>
        <c:idx val="2"/>
        <c:txPr>
          <a:bodyPr rot="0" spcFirstLastPara="1" vertOverflow="ellipsis" vert="horz" wrap="square" anchor="ctr" anchorCtr="1"/>
          <a:lstStyle/>
          <a:p>
            <a:pPr>
              <a:defRPr sz="1100" b="1" i="0" u="none" strike="noStrike" kern="1200" baseline="0">
                <a:solidFill>
                  <a:schemeClr val="accent2"/>
                </a:solidFill>
                <a:latin typeface="Arial" panose="020B0604020202020204" pitchFamily="34" charset="0"/>
                <a:ea typeface="+mn-ea"/>
                <a:cs typeface="Arial" panose="020B0604020202020204" pitchFamily="34" charset="0"/>
              </a:defRPr>
            </a:pPr>
            <a:endParaRPr lang="en-US"/>
          </a:p>
        </c:txPr>
      </c:legendEntry>
      <c:layout>
        <c:manualLayout>
          <c:xMode val="edge"/>
          <c:yMode val="edge"/>
          <c:x val="0.31611830300873406"/>
          <c:y val="0.90680171202666071"/>
          <c:w val="0.53355815154253261"/>
          <c:h val="6.8491767248817087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19050" cap="flat" cmpd="sng" algn="ctr">
      <a:solidFill>
        <a:schemeClr val="tx1"/>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600" b="1">
                <a:latin typeface="Arial" panose="020B0604020202020204" pitchFamily="34" charset="0"/>
                <a:cs typeface="Arial" panose="020B0604020202020204" pitchFamily="34" charset="0"/>
              </a:rPr>
              <a:t>CARE's approach</a:t>
            </a:r>
          </a:p>
          <a:p>
            <a:pPr>
              <a:defRPr sz="1000" b="1">
                <a:latin typeface="Arial" panose="020B0604020202020204" pitchFamily="34" charset="0"/>
                <a:cs typeface="Arial" panose="020B0604020202020204" pitchFamily="34" charset="0"/>
              </a:defRPr>
            </a:pPr>
            <a:r>
              <a:rPr lang="en-US" sz="1400" b="0">
                <a:latin typeface="Arial" panose="020B0604020202020204" pitchFamily="34" charset="0"/>
                <a:cs typeface="Arial" panose="020B0604020202020204" pitchFamily="34" charset="0"/>
              </a:rPr>
              <a:t>Average score on scale of 0-4 (for those projects scoring against marker)</a:t>
            </a:r>
          </a:p>
          <a:p>
            <a:pPr>
              <a:defRPr sz="1000" b="1">
                <a:latin typeface="Arial" panose="020B0604020202020204" pitchFamily="34" charset="0"/>
                <a:cs typeface="Arial" panose="020B0604020202020204" pitchFamily="34" charset="0"/>
              </a:defRPr>
            </a:pPr>
            <a:r>
              <a:rPr lang="en-US" sz="1400" b="0">
                <a:latin typeface="Arial" panose="020B0604020202020204" pitchFamily="34" charset="0"/>
                <a:cs typeface="Arial" panose="020B0604020202020204" pitchFamily="34" charset="0"/>
              </a:rPr>
              <a:t>0=Harmful/Unaware, 2=Sensitive/Acommodating,</a:t>
            </a:r>
            <a:r>
              <a:rPr lang="en-US" sz="1400" b="0" baseline="0">
                <a:latin typeface="Arial" panose="020B0604020202020204" pitchFamily="34" charset="0"/>
                <a:cs typeface="Arial" panose="020B0604020202020204" pitchFamily="34" charset="0"/>
              </a:rPr>
              <a:t> 4=Transformative/Transformational</a:t>
            </a:r>
            <a:endParaRPr lang="en-US" sz="1400" b="0">
              <a:latin typeface="Arial" panose="020B0604020202020204" pitchFamily="34" charset="0"/>
              <a:cs typeface="Arial" panose="020B0604020202020204" pitchFamily="34" charset="0"/>
            </a:endParaRPr>
          </a:p>
        </c:rich>
      </c:tx>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6220025053686474E-2"/>
          <c:y val="0.15384615384615385"/>
          <c:w val="0.86166490382732008"/>
          <c:h val="0.63951591825080445"/>
        </c:manualLayout>
      </c:layout>
      <c:barChart>
        <c:barDir val="col"/>
        <c:grouping val="clustered"/>
        <c:varyColors val="0"/>
        <c:ser>
          <c:idx val="0"/>
          <c:order val="0"/>
          <c:tx>
            <c:strRef>
              <c:f>'FY17 PIIRS Country Summary'!$N$10</c:f>
              <c:strCache>
                <c:ptCount val="1"/>
                <c:pt idx="0">
                  <c:v>Bangladesh</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5"/>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'FY17 PIIRS Country Summary'!$O$9:$X$9</c15:sqref>
                  </c15:fullRef>
                </c:ext>
              </c:extLst>
              <c:f>('FY17 PIIRS Country Summary'!$O$9,'FY17 PIIRS Country Summary'!$Q$9,'FY17 PIIRS Country Summary'!$U$9)</c:f>
              <c:strCache>
                <c:ptCount val="3"/>
                <c:pt idx="0">
                  <c:v>Gender</c:v>
                </c:pt>
                <c:pt idx="1">
                  <c:v>Governance</c:v>
                </c:pt>
                <c:pt idx="2">
                  <c:v>Resilience</c:v>
                </c:pt>
              </c:strCache>
            </c:strRef>
          </c:cat>
          <c:val>
            <c:numRef>
              <c:extLst>
                <c:ext xmlns:c15="http://schemas.microsoft.com/office/drawing/2012/chart" uri="{02D57815-91ED-43cb-92C2-25804820EDAC}">
                  <c15:fullRef>
                    <c15:sqref>'FY17 PIIRS Country Summary'!$O$10:$X$10</c15:sqref>
                  </c15:fullRef>
                </c:ext>
              </c:extLst>
              <c:f>('FY17 PIIRS Country Summary'!$O$10,'FY17 PIIRS Country Summary'!$Q$10,'FY17 PIIRS Country Summary'!$U$10)</c:f>
              <c:numCache>
                <c:formatCode>0%</c:formatCode>
                <c:ptCount val="3"/>
                <c:pt idx="0" formatCode="_(* #,##0.00_);_(* \(#,##0.00\);_(* &quot;-&quot;??_);_(@_)">
                  <c:v>2.4166666666666665</c:v>
                </c:pt>
                <c:pt idx="1" formatCode="_(* #,##0.00_);_(* \(#,##0.00\);_(* &quot;-&quot;??_);_(@_)">
                  <c:v>1.9583333333333333</c:v>
                </c:pt>
                <c:pt idx="2" formatCode="_(* #,##0.00_);_(* \(#,##0.00\);_(* &quot;-&quot;??_);_(@_)">
                  <c:v>2.3548387096774195</c:v>
                </c:pt>
              </c:numCache>
            </c:numRef>
          </c:val>
          <c:extLst xmlns:c16r2="http://schemas.microsoft.com/office/drawing/2015/06/chart">
            <c:ext xmlns:c16="http://schemas.microsoft.com/office/drawing/2014/chart" uri="{C3380CC4-5D6E-409C-BE32-E72D297353CC}">
              <c16:uniqueId val="{00000000-714D-49C1-85F7-BD228EBDB2E0}"/>
            </c:ext>
          </c:extLst>
        </c:ser>
        <c:ser>
          <c:idx val="1"/>
          <c:order val="1"/>
          <c:tx>
            <c:strRef>
              <c:f>'FY17 PIIRS Country Summary'!$N$11</c:f>
              <c:strCache>
                <c:ptCount val="1"/>
                <c:pt idx="0">
                  <c:v>Region</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6"/>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'FY17 PIIRS Country Summary'!$O$9:$X$9</c15:sqref>
                  </c15:fullRef>
                </c:ext>
              </c:extLst>
              <c:f>('FY17 PIIRS Country Summary'!$O$9,'FY17 PIIRS Country Summary'!$Q$9,'FY17 PIIRS Country Summary'!$U$9)</c:f>
              <c:strCache>
                <c:ptCount val="3"/>
                <c:pt idx="0">
                  <c:v>Gender</c:v>
                </c:pt>
                <c:pt idx="1">
                  <c:v>Governance</c:v>
                </c:pt>
                <c:pt idx="2">
                  <c:v>Resilience</c:v>
                </c:pt>
              </c:strCache>
            </c:strRef>
          </c:cat>
          <c:val>
            <c:numRef>
              <c:extLst>
                <c:ext xmlns:c15="http://schemas.microsoft.com/office/drawing/2012/chart" uri="{02D57815-91ED-43cb-92C2-25804820EDAC}">
                  <c15:fullRef>
                    <c15:sqref>'FY17 PIIRS Country Summary'!$O$11:$X$11</c15:sqref>
                  </c15:fullRef>
                </c:ext>
              </c:extLst>
              <c:f>('FY17 PIIRS Country Summary'!$O$11,'FY17 PIIRS Country Summary'!$Q$11,'FY17 PIIRS Country Summary'!$U$11)</c:f>
              <c:numCache>
                <c:formatCode>0%</c:formatCode>
                <c:ptCount val="3"/>
                <c:pt idx="0" formatCode="_(* #,##0.00_);_(* \(#,##0.00\);_(* &quot;-&quot;??_);_(@_)">
                  <c:v>2.445736434108527</c:v>
                </c:pt>
                <c:pt idx="1" formatCode="_(* #,##0.00_);_(* \(#,##0.00\);_(* &quot;-&quot;??_);_(@_)">
                  <c:v>2.1782945736434107</c:v>
                </c:pt>
                <c:pt idx="2" formatCode="_(* #,##0.00_);_(* \(#,##0.00\);_(* &quot;-&quot;??_);_(@_)">
                  <c:v>1.8680851063829786</c:v>
                </c:pt>
              </c:numCache>
            </c:numRef>
          </c:val>
          <c:extLst xmlns:c16r2="http://schemas.microsoft.com/office/drawing/2015/06/chart">
            <c:ext xmlns:c16="http://schemas.microsoft.com/office/drawing/2014/chart" uri="{C3380CC4-5D6E-409C-BE32-E72D297353CC}">
              <c16:uniqueId val="{00000001-714D-49C1-85F7-BD228EBDB2E0}"/>
            </c:ext>
          </c:extLst>
        </c:ser>
        <c:ser>
          <c:idx val="2"/>
          <c:order val="2"/>
          <c:tx>
            <c:strRef>
              <c:f>'FY17 PIIRS Country Summary'!$N$12</c:f>
              <c:strCache>
                <c:ptCount val="1"/>
                <c:pt idx="0">
                  <c:v>Global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'FY17 PIIRS Country Summary'!$O$9:$X$9</c15:sqref>
                  </c15:fullRef>
                </c:ext>
              </c:extLst>
              <c:f>('FY17 PIIRS Country Summary'!$O$9,'FY17 PIIRS Country Summary'!$Q$9,'FY17 PIIRS Country Summary'!$U$9)</c:f>
              <c:strCache>
                <c:ptCount val="3"/>
                <c:pt idx="0">
                  <c:v>Gender</c:v>
                </c:pt>
                <c:pt idx="1">
                  <c:v>Governance</c:v>
                </c:pt>
                <c:pt idx="2">
                  <c:v>Resilience</c:v>
                </c:pt>
              </c:strCache>
            </c:strRef>
          </c:cat>
          <c:val>
            <c:numRef>
              <c:extLst>
                <c:ext xmlns:c15="http://schemas.microsoft.com/office/drawing/2012/chart" uri="{02D57815-91ED-43cb-92C2-25804820EDAC}">
                  <c15:fullRef>
                    <c15:sqref>'FY17 PIIRS Country Summary'!$O$12:$X$12</c15:sqref>
                  </c15:fullRef>
                </c:ext>
              </c:extLst>
              <c:f>('FY17 PIIRS Country Summary'!$O$12,'FY17 PIIRS Country Summary'!$Q$12,'FY17 PIIRS Country Summary'!$U$12)</c:f>
              <c:numCache>
                <c:formatCode>0%</c:formatCode>
                <c:ptCount val="3"/>
                <c:pt idx="0" formatCode="_(* #,##0.00_);_(* \(#,##0.00\);_(* &quot;-&quot;??_);_(@_)">
                  <c:v>2.2875436554132711</c:v>
                </c:pt>
                <c:pt idx="1" formatCode="_(* #,##0.00_);_(* \(#,##0.00\);_(* &quot;-&quot;??_);_(@_)">
                  <c:v>2.0545454545454547</c:v>
                </c:pt>
                <c:pt idx="2" formatCode="_(* #,##0.00_);_(* \(#,##0.00\);_(* &quot;-&quot;??_);_(@_)">
                  <c:v>1.9167733674775929</c:v>
                </c:pt>
              </c:numCache>
            </c:numRef>
          </c:val>
          <c:extLst xmlns:c16r2="http://schemas.microsoft.com/office/drawing/2015/06/chart">
            <c:ext xmlns:c16="http://schemas.microsoft.com/office/drawing/2014/chart" uri="{C3380CC4-5D6E-409C-BE32-E72D297353CC}">
              <c16:uniqueId val="{00000002-714D-49C1-85F7-BD228EBDB2E0}"/>
            </c:ext>
          </c:extLst>
        </c:ser>
        <c:dLbls>
          <c:showLegendKey val="0"/>
          <c:showVal val="0"/>
          <c:showCatName val="0"/>
          <c:showSerName val="0"/>
          <c:showPercent val="0"/>
          <c:showBubbleSize val="0"/>
        </c:dLbls>
        <c:gapWidth val="150"/>
        <c:axId val="321432528"/>
        <c:axId val="321433088"/>
      </c:barChart>
      <c:catAx>
        <c:axId val="321432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21433088"/>
        <c:crosses val="autoZero"/>
        <c:auto val="1"/>
        <c:lblAlgn val="ctr"/>
        <c:lblOffset val="100"/>
        <c:noMultiLvlLbl val="0"/>
      </c:catAx>
      <c:valAx>
        <c:axId val="321433088"/>
        <c:scaling>
          <c:orientation val="minMax"/>
          <c:max val="4"/>
        </c:scaling>
        <c:delete val="0"/>
        <c:axPos val="l"/>
        <c:numFmt formatCode="_-* #,##0.0_-;\-* #,##0.0_-;_-* &quot;-&quot;?_-;_-@_-"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321432528"/>
        <c:crosses val="autoZero"/>
        <c:crossBetween val="between"/>
      </c:valAx>
      <c:spPr>
        <a:noFill/>
        <a:ln>
          <a:noFill/>
        </a:ln>
        <a:effectLst/>
      </c:spPr>
    </c:plotArea>
    <c:legend>
      <c:legendPos val="r"/>
      <c:legendEntry>
        <c:idx val="0"/>
        <c:txPr>
          <a:bodyPr rot="0" spcFirstLastPara="1" vertOverflow="ellipsis" vert="horz" wrap="square" anchor="ctr" anchorCtr="1"/>
          <a:lstStyle/>
          <a:p>
            <a:pPr>
              <a:defRPr sz="120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legendEntry>
      <c:legendEntry>
        <c:idx val="1"/>
        <c:txPr>
          <a:bodyPr rot="0" spcFirstLastPara="1" vertOverflow="ellipsis" vert="horz" wrap="square" anchor="ctr" anchorCtr="1"/>
          <a:lstStyle/>
          <a:p>
            <a:pPr>
              <a:defRPr sz="1200" b="1" i="0" u="none" strike="noStrike" kern="1200" baseline="0">
                <a:solidFill>
                  <a:schemeClr val="accent6"/>
                </a:solidFill>
                <a:latin typeface="Arial" panose="020B0604020202020204" pitchFamily="34" charset="0"/>
                <a:ea typeface="+mn-ea"/>
                <a:cs typeface="Arial" panose="020B0604020202020204" pitchFamily="34" charset="0"/>
              </a:defRPr>
            </a:pPr>
            <a:endParaRPr lang="en-US"/>
          </a:p>
        </c:txPr>
      </c:legendEntry>
      <c:legendEntry>
        <c:idx val="2"/>
        <c:txPr>
          <a:bodyPr rot="0" spcFirstLastPara="1" vertOverflow="ellipsis" vert="horz" wrap="square" anchor="ctr" anchorCtr="1"/>
          <a:lstStyle/>
          <a:p>
            <a:pPr>
              <a:defRPr sz="1200" b="1" i="0" u="none" strike="noStrike" kern="1200" baseline="0">
                <a:solidFill>
                  <a:schemeClr val="accent2"/>
                </a:solidFill>
                <a:latin typeface="Arial" panose="020B0604020202020204" pitchFamily="34" charset="0"/>
                <a:ea typeface="+mn-ea"/>
                <a:cs typeface="Arial" panose="020B0604020202020204" pitchFamily="34" charset="0"/>
              </a:defRPr>
            </a:pPr>
            <a:endParaRPr lang="en-US"/>
          </a:p>
        </c:txPr>
      </c:legendEntry>
      <c:layout>
        <c:manualLayout>
          <c:xMode val="edge"/>
          <c:yMode val="edge"/>
          <c:x val="4.5253676036907026E-2"/>
          <c:y val="0.87923609967164151"/>
          <c:w val="0.9149897945611003"/>
          <c:h val="0.1181425398748233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a:t>Multiplying Impact</a:t>
            </a:r>
          </a:p>
          <a:p>
            <a:pPr>
              <a:defRPr/>
            </a:pPr>
            <a:r>
              <a:rPr lang="en-US" sz="1200"/>
              <a:t>% of projects</a:t>
            </a:r>
          </a:p>
        </c:rich>
      </c:tx>
      <c:layout>
        <c:manualLayout>
          <c:xMode val="edge"/>
          <c:yMode val="edge"/>
          <c:x val="0.32955656340330819"/>
          <c:y val="1.793724238078487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926039095859287"/>
          <c:y val="0.18374162870896746"/>
          <c:w val="0.86564500332980765"/>
          <c:h val="0.58842444798596094"/>
        </c:manualLayout>
      </c:layout>
      <c:barChart>
        <c:barDir val="col"/>
        <c:grouping val="clustered"/>
        <c:varyColors val="0"/>
        <c:ser>
          <c:idx val="0"/>
          <c:order val="0"/>
          <c:tx>
            <c:strRef>
              <c:f>'FY17 PIIRS Country Summary'!$N$10</c:f>
              <c:strCache>
                <c:ptCount val="1"/>
                <c:pt idx="0">
                  <c:v>Bangladesh</c:v>
                </c:pt>
              </c:strCache>
            </c:strRef>
          </c:tx>
          <c:spPr>
            <a:solidFill>
              <a:schemeClr val="accent1"/>
            </a:solidFill>
            <a:ln>
              <a:noFill/>
            </a:ln>
            <a:effectLst/>
          </c:spPr>
          <c:invertIfNegative val="0"/>
          <c:dLbls>
            <c:dLbl>
              <c:idx val="1"/>
              <c:layout>
                <c:manualLayout>
                  <c:x val="-1.1937002305047132E-3"/>
                  <c:y val="1.392119575766848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816-45B1-A5C9-554D311C69ED}"/>
                </c:ext>
                <c:ext xmlns:c15="http://schemas.microsoft.com/office/drawing/2012/chart" uri="{CE6537A1-D6FC-4f65-9D91-7224C49458BB}">
                  <c15:layout>
                    <c:manualLayout>
                      <c:w val="8.4152341774412789E-2"/>
                      <c:h val="5.8787217027559055E-2"/>
                    </c:manualLayout>
                  </c15:layout>
                </c:ext>
              </c:extLst>
            </c:dLbl>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'FY17 PIIRS Country Summary'!$O$9:$X$9</c15:sqref>
                  </c15:fullRef>
                </c:ext>
              </c:extLst>
              <c:f>('FY17 PIIRS Country Summary'!$R$9,'FY17 PIIRS Country Summary'!$W$9:$X$9)</c:f>
              <c:strCache>
                <c:ptCount val="3"/>
                <c:pt idx="0">
                  <c:v>Advocacy</c:v>
                </c:pt>
                <c:pt idx="1">
                  <c:v>Innovation</c:v>
                </c:pt>
                <c:pt idx="2">
                  <c:v>Scale up</c:v>
                </c:pt>
              </c:strCache>
            </c:strRef>
          </c:cat>
          <c:val>
            <c:numRef>
              <c:extLst>
                <c:ext xmlns:c15="http://schemas.microsoft.com/office/drawing/2012/chart" uri="{02D57815-91ED-43cb-92C2-25804820EDAC}">
                  <c15:fullRef>
                    <c15:sqref>'FY17 PIIRS Country Summary'!$O$10:$X$10</c15:sqref>
                  </c15:fullRef>
                </c:ext>
              </c:extLst>
              <c:f>('FY17 PIIRS Country Summary'!$R$10,'FY17 PIIRS Country Summary'!$W$10:$X$10)</c:f>
              <c:numCache>
                <c:formatCode>0%</c:formatCode>
                <c:ptCount val="3"/>
                <c:pt idx="0">
                  <c:v>0.5714285714285714</c:v>
                </c:pt>
                <c:pt idx="1">
                  <c:v>0.61224489795918369</c:v>
                </c:pt>
                <c:pt idx="2">
                  <c:v>0.64583333333333337</c:v>
                </c:pt>
              </c:numCache>
            </c:numRef>
          </c:val>
          <c:extLst xmlns:c16r2="http://schemas.microsoft.com/office/drawing/2015/06/chart">
            <c:ext xmlns:c16="http://schemas.microsoft.com/office/drawing/2014/chart" uri="{C3380CC4-5D6E-409C-BE32-E72D297353CC}">
              <c16:uniqueId val="{00000000-6F9A-440D-A55C-612F9498D1F6}"/>
            </c:ext>
          </c:extLst>
        </c:ser>
        <c:ser>
          <c:idx val="1"/>
          <c:order val="1"/>
          <c:tx>
            <c:strRef>
              <c:f>'FY17 PIIRS Country Summary'!$N$11</c:f>
              <c:strCache>
                <c:ptCount val="1"/>
                <c:pt idx="0">
                  <c:v>Region</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'FY17 PIIRS Country Summary'!$O$9:$X$9</c15:sqref>
                  </c15:fullRef>
                </c:ext>
              </c:extLst>
              <c:f>('FY17 PIIRS Country Summary'!$R$9,'FY17 PIIRS Country Summary'!$W$9:$X$9)</c:f>
              <c:strCache>
                <c:ptCount val="3"/>
                <c:pt idx="0">
                  <c:v>Advocacy</c:v>
                </c:pt>
                <c:pt idx="1">
                  <c:v>Innovation</c:v>
                </c:pt>
                <c:pt idx="2">
                  <c:v>Scale up</c:v>
                </c:pt>
              </c:strCache>
            </c:strRef>
          </c:cat>
          <c:val>
            <c:numRef>
              <c:extLst>
                <c:ext xmlns:c15="http://schemas.microsoft.com/office/drawing/2012/chart" uri="{02D57815-91ED-43cb-92C2-25804820EDAC}">
                  <c15:fullRef>
                    <c15:sqref>'FY17 PIIRS Country Summary'!$O$11:$X$11</c15:sqref>
                  </c15:fullRef>
                </c:ext>
              </c:extLst>
              <c:f>('FY17 PIIRS Country Summary'!$R$11,'FY17 PIIRS Country Summary'!$W$11:$X$11)</c:f>
              <c:numCache>
                <c:formatCode>0%</c:formatCode>
                <c:ptCount val="3"/>
                <c:pt idx="0">
                  <c:v>0.59695817490494296</c:v>
                </c:pt>
                <c:pt idx="1">
                  <c:v>0.5</c:v>
                </c:pt>
                <c:pt idx="2">
                  <c:v>0.55078125</c:v>
                </c:pt>
              </c:numCache>
            </c:numRef>
          </c:val>
          <c:extLst xmlns:c16r2="http://schemas.microsoft.com/office/drawing/2015/06/chart">
            <c:ext xmlns:c16="http://schemas.microsoft.com/office/drawing/2014/chart" uri="{C3380CC4-5D6E-409C-BE32-E72D297353CC}">
              <c16:uniqueId val="{00000001-6F9A-440D-A55C-612F9498D1F6}"/>
            </c:ext>
          </c:extLst>
        </c:ser>
        <c:ser>
          <c:idx val="2"/>
          <c:order val="2"/>
          <c:tx>
            <c:strRef>
              <c:f>'FY17 PIIRS Country Summary'!$N$12</c:f>
              <c:strCache>
                <c:ptCount val="1"/>
                <c:pt idx="0">
                  <c:v>Global</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kern="1200" baseline="0">
                    <a:solidFill>
                      <a:schemeClr val="accent2"/>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'FY17 PIIRS Country Summary'!$O$9:$X$9</c15:sqref>
                  </c15:fullRef>
                </c:ext>
              </c:extLst>
              <c:f>('FY17 PIIRS Country Summary'!$R$9,'FY17 PIIRS Country Summary'!$W$9:$X$9)</c:f>
              <c:strCache>
                <c:ptCount val="3"/>
                <c:pt idx="0">
                  <c:v>Advocacy</c:v>
                </c:pt>
                <c:pt idx="1">
                  <c:v>Innovation</c:v>
                </c:pt>
                <c:pt idx="2">
                  <c:v>Scale up</c:v>
                </c:pt>
              </c:strCache>
            </c:strRef>
          </c:cat>
          <c:val>
            <c:numRef>
              <c:extLst>
                <c:ext xmlns:c15="http://schemas.microsoft.com/office/drawing/2012/chart" uri="{02D57815-91ED-43cb-92C2-25804820EDAC}">
                  <c15:fullRef>
                    <c15:sqref>'FY17 PIIRS Country Summary'!$O$12:$X$12</c15:sqref>
                  </c15:fullRef>
                </c:ext>
              </c:extLst>
              <c:f>('FY17 PIIRS Country Summary'!$R$12,'FY17 PIIRS Country Summary'!$W$12:$X$12)</c:f>
              <c:numCache>
                <c:formatCode>0%</c:formatCode>
                <c:ptCount val="3"/>
                <c:pt idx="0">
                  <c:v>0.62197802197802199</c:v>
                </c:pt>
                <c:pt idx="1">
                  <c:v>0.53942857142857148</c:v>
                </c:pt>
                <c:pt idx="2">
                  <c:v>0.62937062937062938</c:v>
                </c:pt>
              </c:numCache>
            </c:numRef>
          </c:val>
          <c:extLst xmlns:c16r2="http://schemas.microsoft.com/office/drawing/2015/06/chart">
            <c:ext xmlns:c16="http://schemas.microsoft.com/office/drawing/2014/chart" uri="{C3380CC4-5D6E-409C-BE32-E72D297353CC}">
              <c16:uniqueId val="{00000002-6F9A-440D-A55C-612F9498D1F6}"/>
            </c:ext>
          </c:extLst>
        </c:ser>
        <c:dLbls>
          <c:showLegendKey val="0"/>
          <c:showVal val="0"/>
          <c:showCatName val="0"/>
          <c:showSerName val="0"/>
          <c:showPercent val="0"/>
          <c:showBubbleSize val="0"/>
        </c:dLbls>
        <c:gapWidth val="150"/>
        <c:axId val="321897968"/>
        <c:axId val="321898528"/>
      </c:barChart>
      <c:catAx>
        <c:axId val="32189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321898528"/>
        <c:crosses val="autoZero"/>
        <c:auto val="1"/>
        <c:lblAlgn val="ctr"/>
        <c:lblOffset val="100"/>
        <c:noMultiLvlLbl val="0"/>
      </c:catAx>
      <c:valAx>
        <c:axId val="321898528"/>
        <c:scaling>
          <c:orientation val="minMax"/>
          <c:max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321897968"/>
        <c:crosses val="autoZero"/>
        <c:crossBetween val="between"/>
        <c:majorUnit val="0.2"/>
      </c:valAx>
      <c:spPr>
        <a:noFill/>
        <a:ln>
          <a:noFill/>
        </a:ln>
        <a:effectLst/>
      </c:spPr>
    </c:plotArea>
    <c:legend>
      <c:legendPos val="r"/>
      <c:legendEntry>
        <c:idx val="0"/>
        <c:txPr>
          <a:bodyPr rot="0" spcFirstLastPara="1" vertOverflow="ellipsis" vert="horz" wrap="square" anchor="ctr" anchorCtr="1"/>
          <a:lstStyle/>
          <a:p>
            <a:pPr>
              <a:defRPr sz="1100" b="1" i="0" u="none" strike="noStrike" kern="1200" baseline="0">
                <a:solidFill>
                  <a:schemeClr val="accent1"/>
                </a:solidFill>
                <a:latin typeface="+mn-lt"/>
                <a:ea typeface="+mn-ea"/>
                <a:cs typeface="+mn-cs"/>
              </a:defRPr>
            </a:pPr>
            <a:endParaRPr lang="en-US"/>
          </a:p>
        </c:txPr>
      </c:legendEntry>
      <c:legendEntry>
        <c:idx val="1"/>
        <c:txPr>
          <a:bodyPr rot="0" spcFirstLastPara="1" vertOverflow="ellipsis" vert="horz" wrap="square" anchor="ctr" anchorCtr="1"/>
          <a:lstStyle/>
          <a:p>
            <a:pPr>
              <a:defRPr sz="1100" b="1" i="0" u="none" strike="noStrike" kern="1200" baseline="0">
                <a:solidFill>
                  <a:schemeClr val="accent6"/>
                </a:solidFill>
                <a:latin typeface="+mn-lt"/>
                <a:ea typeface="+mn-ea"/>
                <a:cs typeface="+mn-cs"/>
              </a:defRPr>
            </a:pPr>
            <a:endParaRPr lang="en-US"/>
          </a:p>
        </c:txPr>
      </c:legendEntry>
      <c:legendEntry>
        <c:idx val="2"/>
        <c:txPr>
          <a:bodyPr rot="0" spcFirstLastPara="1" vertOverflow="ellipsis" vert="horz" wrap="square" anchor="ctr" anchorCtr="1"/>
          <a:lstStyle/>
          <a:p>
            <a:pPr>
              <a:defRPr sz="1100" b="1" i="0" u="none" strike="noStrike" kern="1200" baseline="0">
                <a:solidFill>
                  <a:schemeClr val="accent2"/>
                </a:solidFill>
                <a:latin typeface="+mn-lt"/>
                <a:ea typeface="+mn-ea"/>
                <a:cs typeface="+mn-cs"/>
              </a:defRPr>
            </a:pPr>
            <a:endParaRPr lang="en-US"/>
          </a:p>
        </c:txPr>
      </c:legendEntry>
      <c:layout>
        <c:manualLayout>
          <c:xMode val="edge"/>
          <c:yMode val="edge"/>
          <c:x val="0"/>
          <c:y val="0.8769445523345456"/>
          <c:w val="0.9960747443882948"/>
          <c:h val="0.1218440968421548"/>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9050" cap="flat" cmpd="sng" algn="ctr">
      <a:solidFill>
        <a:schemeClr val="tx1"/>
      </a:solidFill>
      <a:round/>
    </a:ln>
    <a:effectLst/>
  </c:spPr>
  <c:txPr>
    <a:bodyPr/>
    <a:lstStyle/>
    <a:p>
      <a:pPr>
        <a:defRPr b="1"/>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latin typeface="Arial" panose="020B0604020202020204" pitchFamily="34" charset="0"/>
                <a:cs typeface="Arial" panose="020B0604020202020204" pitchFamily="34" charset="0"/>
              </a:rPr>
              <a:t>Integrating Gender Equality &amp; Women's Voice</a:t>
            </a:r>
          </a:p>
        </c:rich>
      </c:tx>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907923671703202E-2"/>
          <c:y val="0.1570581257413998"/>
          <c:w val="0.89131730155352207"/>
          <c:h val="0.60774708039543834"/>
        </c:manualLayout>
      </c:layout>
      <c:barChart>
        <c:barDir val="col"/>
        <c:grouping val="stacked"/>
        <c:varyColors val="0"/>
        <c:ser>
          <c:idx val="0"/>
          <c:order val="0"/>
          <c:tx>
            <c:strRef>
              <c:f>'FY17 PIIRS Country Summary'!$B$115</c:f>
              <c:strCache>
                <c:ptCount val="1"/>
                <c:pt idx="0">
                  <c:v>4. Transformative</c:v>
                </c:pt>
              </c:strCache>
            </c:strRef>
          </c:tx>
          <c:spPr>
            <a:solidFill>
              <a:schemeClr val="accent1"/>
            </a:solidFill>
            <a:ln>
              <a:noFill/>
            </a:ln>
            <a:effectLst/>
          </c:spPr>
          <c:invertIfNegative val="0"/>
          <c:cat>
            <c:strRef>
              <c:f>'FY17 PIIRS Country Summary'!$C$114:$E$114</c:f>
              <c:strCache>
                <c:ptCount val="3"/>
                <c:pt idx="0">
                  <c:v>Bangladesh</c:v>
                </c:pt>
                <c:pt idx="1">
                  <c:v>Asia and the Pacific</c:v>
                </c:pt>
                <c:pt idx="2">
                  <c:v>Global</c:v>
                </c:pt>
              </c:strCache>
            </c:strRef>
          </c:cat>
          <c:val>
            <c:numRef>
              <c:f>'FY17 PIIRS Country Summary'!$C$115:$E$115</c:f>
              <c:numCache>
                <c:formatCode>0%</c:formatCode>
                <c:ptCount val="3"/>
                <c:pt idx="0">
                  <c:v>0.20408163265306123</c:v>
                </c:pt>
                <c:pt idx="1">
                  <c:v>0.2140221402214022</c:v>
                </c:pt>
                <c:pt idx="2">
                  <c:v>0.16842105263157894</c:v>
                </c:pt>
              </c:numCache>
            </c:numRef>
          </c:val>
          <c:extLst xmlns:c16r2="http://schemas.microsoft.com/office/drawing/2015/06/chart">
            <c:ext xmlns:c16="http://schemas.microsoft.com/office/drawing/2014/chart" uri="{C3380CC4-5D6E-409C-BE32-E72D297353CC}">
              <c16:uniqueId val="{00000000-E9D1-4AF1-8C65-3E1204C5B5F8}"/>
            </c:ext>
          </c:extLst>
        </c:ser>
        <c:ser>
          <c:idx val="1"/>
          <c:order val="1"/>
          <c:tx>
            <c:strRef>
              <c:f>'FY17 PIIRS Country Summary'!$B$116</c:f>
              <c:strCache>
                <c:ptCount val="1"/>
                <c:pt idx="0">
                  <c:v>3. Responsive</c:v>
                </c:pt>
              </c:strCache>
            </c:strRef>
          </c:tx>
          <c:spPr>
            <a:solidFill>
              <a:schemeClr val="accent2"/>
            </a:solidFill>
            <a:ln>
              <a:noFill/>
            </a:ln>
            <a:effectLst/>
          </c:spPr>
          <c:invertIfNegative val="0"/>
          <c:cat>
            <c:strRef>
              <c:f>'FY17 PIIRS Country Summary'!$C$114:$E$114</c:f>
              <c:strCache>
                <c:ptCount val="3"/>
                <c:pt idx="0">
                  <c:v>Bangladesh</c:v>
                </c:pt>
                <c:pt idx="1">
                  <c:v>Asia and the Pacific</c:v>
                </c:pt>
                <c:pt idx="2">
                  <c:v>Global</c:v>
                </c:pt>
              </c:strCache>
            </c:strRef>
          </c:cat>
          <c:val>
            <c:numRef>
              <c:f>'FY17 PIIRS Country Summary'!$C$116:$E$116</c:f>
              <c:numCache>
                <c:formatCode>0%</c:formatCode>
                <c:ptCount val="3"/>
                <c:pt idx="0">
                  <c:v>0.16326530612244897</c:v>
                </c:pt>
                <c:pt idx="1">
                  <c:v>0.16605166051660517</c:v>
                </c:pt>
                <c:pt idx="2">
                  <c:v>0.12</c:v>
                </c:pt>
              </c:numCache>
            </c:numRef>
          </c:val>
          <c:extLst xmlns:c16r2="http://schemas.microsoft.com/office/drawing/2015/06/chart">
            <c:ext xmlns:c16="http://schemas.microsoft.com/office/drawing/2014/chart" uri="{C3380CC4-5D6E-409C-BE32-E72D297353CC}">
              <c16:uniqueId val="{00000001-E9D1-4AF1-8C65-3E1204C5B5F8}"/>
            </c:ext>
          </c:extLst>
        </c:ser>
        <c:ser>
          <c:idx val="2"/>
          <c:order val="2"/>
          <c:tx>
            <c:strRef>
              <c:f>'FY17 PIIRS Country Summary'!$B$117</c:f>
              <c:strCache>
                <c:ptCount val="1"/>
                <c:pt idx="0">
                  <c:v>2. Sensitive</c:v>
                </c:pt>
              </c:strCache>
            </c:strRef>
          </c:tx>
          <c:spPr>
            <a:solidFill>
              <a:schemeClr val="accent3"/>
            </a:solidFill>
            <a:ln>
              <a:noFill/>
            </a:ln>
            <a:effectLst/>
          </c:spPr>
          <c:invertIfNegative val="0"/>
          <c:cat>
            <c:strRef>
              <c:f>'FY17 PIIRS Country Summary'!$C$114:$E$114</c:f>
              <c:strCache>
                <c:ptCount val="3"/>
                <c:pt idx="0">
                  <c:v>Bangladesh</c:v>
                </c:pt>
                <c:pt idx="1">
                  <c:v>Asia and the Pacific</c:v>
                </c:pt>
                <c:pt idx="2">
                  <c:v>Global</c:v>
                </c:pt>
              </c:strCache>
            </c:strRef>
          </c:cat>
          <c:val>
            <c:numRef>
              <c:f>'FY17 PIIRS Country Summary'!$C$117:$E$117</c:f>
              <c:numCache>
                <c:formatCode>0%</c:formatCode>
                <c:ptCount val="3"/>
                <c:pt idx="0">
                  <c:v>0.44897959183673469</c:v>
                </c:pt>
                <c:pt idx="1">
                  <c:v>0.42435424354243545</c:v>
                </c:pt>
                <c:pt idx="2">
                  <c:v>0.44631578947368422</c:v>
                </c:pt>
              </c:numCache>
            </c:numRef>
          </c:val>
          <c:extLst xmlns:c16r2="http://schemas.microsoft.com/office/drawing/2015/06/chart">
            <c:ext xmlns:c16="http://schemas.microsoft.com/office/drawing/2014/chart" uri="{C3380CC4-5D6E-409C-BE32-E72D297353CC}">
              <c16:uniqueId val="{00000002-E9D1-4AF1-8C65-3E1204C5B5F8}"/>
            </c:ext>
          </c:extLst>
        </c:ser>
        <c:ser>
          <c:idx val="3"/>
          <c:order val="3"/>
          <c:tx>
            <c:strRef>
              <c:f>'FY17 PIIRS Country Summary'!$B$118</c:f>
              <c:strCache>
                <c:ptCount val="1"/>
                <c:pt idx="0">
                  <c:v>1. Neutral</c:v>
                </c:pt>
              </c:strCache>
            </c:strRef>
          </c:tx>
          <c:spPr>
            <a:solidFill>
              <a:schemeClr val="accent4"/>
            </a:solidFill>
            <a:ln>
              <a:noFill/>
            </a:ln>
            <a:effectLst/>
          </c:spPr>
          <c:invertIfNegative val="0"/>
          <c:cat>
            <c:strRef>
              <c:f>'FY17 PIIRS Country Summary'!$C$114:$E$114</c:f>
              <c:strCache>
                <c:ptCount val="3"/>
                <c:pt idx="0">
                  <c:v>Bangladesh</c:v>
                </c:pt>
                <c:pt idx="1">
                  <c:v>Asia and the Pacific</c:v>
                </c:pt>
                <c:pt idx="2">
                  <c:v>Global</c:v>
                </c:pt>
              </c:strCache>
            </c:strRef>
          </c:cat>
          <c:val>
            <c:numRef>
              <c:f>'FY17 PIIRS Country Summary'!$C$118:$E$118</c:f>
              <c:numCache>
                <c:formatCode>0%</c:formatCode>
                <c:ptCount val="3"/>
                <c:pt idx="0">
                  <c:v>0.16326530612244897</c:v>
                </c:pt>
                <c:pt idx="1">
                  <c:v>0.12546125461254612</c:v>
                </c:pt>
                <c:pt idx="2">
                  <c:v>0.14210526315789473</c:v>
                </c:pt>
              </c:numCache>
            </c:numRef>
          </c:val>
          <c:extLst xmlns:c16r2="http://schemas.microsoft.com/office/drawing/2015/06/chart">
            <c:ext xmlns:c16="http://schemas.microsoft.com/office/drawing/2014/chart" uri="{C3380CC4-5D6E-409C-BE32-E72D297353CC}">
              <c16:uniqueId val="{00000003-E9D1-4AF1-8C65-3E1204C5B5F8}"/>
            </c:ext>
          </c:extLst>
        </c:ser>
        <c:ser>
          <c:idx val="4"/>
          <c:order val="4"/>
          <c:tx>
            <c:strRef>
              <c:f>'FY17 PIIRS Country Summary'!$B$119</c:f>
              <c:strCache>
                <c:ptCount val="1"/>
                <c:pt idx="0">
                  <c:v>0.Harmful</c:v>
                </c:pt>
              </c:strCache>
            </c:strRef>
          </c:tx>
          <c:spPr>
            <a:solidFill>
              <a:schemeClr val="accent5"/>
            </a:solidFill>
            <a:ln>
              <a:noFill/>
            </a:ln>
            <a:effectLst/>
          </c:spPr>
          <c:invertIfNegative val="0"/>
          <c:cat>
            <c:strRef>
              <c:f>'FY17 PIIRS Country Summary'!$C$114:$E$114</c:f>
              <c:strCache>
                <c:ptCount val="3"/>
                <c:pt idx="0">
                  <c:v>Bangladesh</c:v>
                </c:pt>
                <c:pt idx="1">
                  <c:v>Asia and the Pacific</c:v>
                </c:pt>
                <c:pt idx="2">
                  <c:v>Global</c:v>
                </c:pt>
              </c:strCache>
            </c:strRef>
          </c:cat>
          <c:val>
            <c:numRef>
              <c:f>'FY17 PIIRS Country Summary'!$C$119:$E$119</c:f>
              <c:numCache>
                <c:formatCode>0%</c:formatCode>
                <c:ptCount val="3"/>
                <c:pt idx="0">
                  <c:v>0</c:v>
                </c:pt>
                <c:pt idx="1">
                  <c:v>2.2140221402214021E-2</c:v>
                </c:pt>
                <c:pt idx="2">
                  <c:v>2.736842105263158E-2</c:v>
                </c:pt>
              </c:numCache>
            </c:numRef>
          </c:val>
          <c:extLst xmlns:c16r2="http://schemas.microsoft.com/office/drawing/2015/06/chart">
            <c:ext xmlns:c16="http://schemas.microsoft.com/office/drawing/2014/chart" uri="{C3380CC4-5D6E-409C-BE32-E72D297353CC}">
              <c16:uniqueId val="{00000004-E9D1-4AF1-8C65-3E1204C5B5F8}"/>
            </c:ext>
          </c:extLst>
        </c:ser>
        <c:ser>
          <c:idx val="5"/>
          <c:order val="5"/>
          <c:tx>
            <c:strRef>
              <c:f>'FY17 PIIRS Country Summary'!$B$120</c:f>
              <c:strCache>
                <c:ptCount val="1"/>
                <c:pt idx="0">
                  <c:v>No marker score</c:v>
                </c:pt>
              </c:strCache>
            </c:strRef>
          </c:tx>
          <c:spPr>
            <a:solidFill>
              <a:schemeClr val="accent6"/>
            </a:solidFill>
            <a:ln>
              <a:noFill/>
            </a:ln>
            <a:effectLst/>
          </c:spPr>
          <c:invertIfNegative val="0"/>
          <c:cat>
            <c:strRef>
              <c:f>'FY17 PIIRS Country Summary'!$C$114:$E$114</c:f>
              <c:strCache>
                <c:ptCount val="3"/>
                <c:pt idx="0">
                  <c:v>Bangladesh</c:v>
                </c:pt>
                <c:pt idx="1">
                  <c:v>Asia and the Pacific</c:v>
                </c:pt>
                <c:pt idx="2">
                  <c:v>Global</c:v>
                </c:pt>
              </c:strCache>
            </c:strRef>
          </c:cat>
          <c:val>
            <c:numRef>
              <c:f>'FY17 PIIRS Country Summary'!$C$120:$E$120</c:f>
              <c:numCache>
                <c:formatCode>0%</c:formatCode>
                <c:ptCount val="3"/>
                <c:pt idx="0">
                  <c:v>2.0408163265306121E-2</c:v>
                </c:pt>
                <c:pt idx="1">
                  <c:v>4.797047970479705E-2</c:v>
                </c:pt>
                <c:pt idx="2">
                  <c:v>9.5789473684210522E-2</c:v>
                </c:pt>
              </c:numCache>
            </c:numRef>
          </c:val>
          <c:extLst xmlns:c16r2="http://schemas.microsoft.com/office/drawing/2015/06/chart">
            <c:ext xmlns:c16="http://schemas.microsoft.com/office/drawing/2014/chart" uri="{C3380CC4-5D6E-409C-BE32-E72D297353CC}">
              <c16:uniqueId val="{00000005-E9D1-4AF1-8C65-3E1204C5B5F8}"/>
            </c:ext>
          </c:extLst>
        </c:ser>
        <c:dLbls>
          <c:showLegendKey val="0"/>
          <c:showVal val="0"/>
          <c:showCatName val="0"/>
          <c:showSerName val="0"/>
          <c:showPercent val="0"/>
          <c:showBubbleSize val="0"/>
        </c:dLbls>
        <c:gapWidth val="150"/>
        <c:overlap val="100"/>
        <c:axId val="321904128"/>
        <c:axId val="321904688"/>
      </c:barChart>
      <c:catAx>
        <c:axId val="321904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21904688"/>
        <c:crosses val="autoZero"/>
        <c:auto val="1"/>
        <c:lblAlgn val="ctr"/>
        <c:lblOffset val="100"/>
        <c:noMultiLvlLbl val="0"/>
      </c:catAx>
      <c:valAx>
        <c:axId val="321904688"/>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21904128"/>
        <c:crosses val="autoZero"/>
        <c:crossBetween val="between"/>
        <c:majorUnit val="0.2"/>
      </c:valAx>
      <c:spPr>
        <a:noFill/>
        <a:ln>
          <a:noFill/>
        </a:ln>
        <a:effectLst/>
      </c:spPr>
    </c:plotArea>
    <c:legend>
      <c:legendPos val="b"/>
      <c:layout>
        <c:manualLayout>
          <c:xMode val="edge"/>
          <c:yMode val="edge"/>
          <c:x val="0"/>
          <c:y val="0.8762753436308266"/>
          <c:w val="0.99452284115312029"/>
          <c:h val="0.12312943088519629"/>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latin typeface="Arial" panose="020B0604020202020204" pitchFamily="34" charset="0"/>
                <a:cs typeface="Arial" panose="020B0604020202020204" pitchFamily="34" charset="0"/>
              </a:rPr>
              <a:t>Integrating Inclusive Governance</a:t>
            </a:r>
          </a:p>
        </c:rich>
      </c:tx>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501845090592727E-2"/>
          <c:y val="0.16829836829836831"/>
          <c:w val="0.88018592647986038"/>
          <c:h val="0.60115228603417581"/>
        </c:manualLayout>
      </c:layout>
      <c:barChart>
        <c:barDir val="col"/>
        <c:grouping val="stacked"/>
        <c:varyColors val="0"/>
        <c:ser>
          <c:idx val="0"/>
          <c:order val="0"/>
          <c:tx>
            <c:strRef>
              <c:f>'FY17 PIIRS Country Summary'!$B$122</c:f>
              <c:strCache>
                <c:ptCount val="1"/>
                <c:pt idx="0">
                  <c:v>4. Transformational</c:v>
                </c:pt>
              </c:strCache>
            </c:strRef>
          </c:tx>
          <c:spPr>
            <a:solidFill>
              <a:schemeClr val="accent1"/>
            </a:solidFill>
            <a:ln>
              <a:noFill/>
            </a:ln>
            <a:effectLst/>
          </c:spPr>
          <c:invertIfNegative val="0"/>
          <c:cat>
            <c:strRef>
              <c:f>'FY17 PIIRS Country Summary'!$C$121:$E$121</c:f>
              <c:strCache>
                <c:ptCount val="3"/>
                <c:pt idx="0">
                  <c:v>Bangladesh</c:v>
                </c:pt>
                <c:pt idx="1">
                  <c:v>Asia and the Pacific</c:v>
                </c:pt>
                <c:pt idx="2">
                  <c:v>Global</c:v>
                </c:pt>
              </c:strCache>
            </c:strRef>
          </c:cat>
          <c:val>
            <c:numRef>
              <c:f>'FY17 PIIRS Country Summary'!$C$122:$E$122</c:f>
              <c:numCache>
                <c:formatCode>0%</c:formatCode>
                <c:ptCount val="3"/>
                <c:pt idx="0">
                  <c:v>6.1224489795918366E-2</c:v>
                </c:pt>
                <c:pt idx="1">
                  <c:v>0.11808118081180811</c:v>
                </c:pt>
                <c:pt idx="2">
                  <c:v>9.3684210526315786E-2</c:v>
                </c:pt>
              </c:numCache>
            </c:numRef>
          </c:val>
          <c:extLst xmlns:c16r2="http://schemas.microsoft.com/office/drawing/2015/06/chart">
            <c:ext xmlns:c16="http://schemas.microsoft.com/office/drawing/2014/chart" uri="{C3380CC4-5D6E-409C-BE32-E72D297353CC}">
              <c16:uniqueId val="{00000000-B33E-4DE5-8EF9-A6A8E2C02A11}"/>
            </c:ext>
          </c:extLst>
        </c:ser>
        <c:ser>
          <c:idx val="1"/>
          <c:order val="1"/>
          <c:tx>
            <c:strRef>
              <c:f>'FY17 PIIRS Country Summary'!$B$123</c:f>
              <c:strCache>
                <c:ptCount val="1"/>
                <c:pt idx="0">
                  <c:v>3. Responsive</c:v>
                </c:pt>
              </c:strCache>
            </c:strRef>
          </c:tx>
          <c:spPr>
            <a:solidFill>
              <a:schemeClr val="accent2"/>
            </a:solidFill>
            <a:ln>
              <a:noFill/>
            </a:ln>
            <a:effectLst/>
          </c:spPr>
          <c:invertIfNegative val="0"/>
          <c:cat>
            <c:strRef>
              <c:f>'FY17 PIIRS Country Summary'!$C$121:$E$121</c:f>
              <c:strCache>
                <c:ptCount val="3"/>
                <c:pt idx="0">
                  <c:v>Bangladesh</c:v>
                </c:pt>
                <c:pt idx="1">
                  <c:v>Asia and the Pacific</c:v>
                </c:pt>
                <c:pt idx="2">
                  <c:v>Global</c:v>
                </c:pt>
              </c:strCache>
            </c:strRef>
          </c:cat>
          <c:val>
            <c:numRef>
              <c:f>'FY17 PIIRS Country Summary'!$C$123:$E$123</c:f>
              <c:numCache>
                <c:formatCode>0%</c:formatCode>
                <c:ptCount val="3"/>
                <c:pt idx="0">
                  <c:v>0</c:v>
                </c:pt>
                <c:pt idx="1">
                  <c:v>8.8560885608856083E-2</c:v>
                </c:pt>
                <c:pt idx="2">
                  <c:v>6.3157894736842107E-2</c:v>
                </c:pt>
              </c:numCache>
            </c:numRef>
          </c:val>
          <c:extLst xmlns:c16r2="http://schemas.microsoft.com/office/drawing/2015/06/chart">
            <c:ext xmlns:c16="http://schemas.microsoft.com/office/drawing/2014/chart" uri="{C3380CC4-5D6E-409C-BE32-E72D297353CC}">
              <c16:uniqueId val="{00000001-B33E-4DE5-8EF9-A6A8E2C02A11}"/>
            </c:ext>
          </c:extLst>
        </c:ser>
        <c:ser>
          <c:idx val="2"/>
          <c:order val="2"/>
          <c:tx>
            <c:strRef>
              <c:f>'FY17 PIIRS Country Summary'!$B$124</c:f>
              <c:strCache>
                <c:ptCount val="1"/>
                <c:pt idx="0">
                  <c:v>2. Accommodating</c:v>
                </c:pt>
              </c:strCache>
            </c:strRef>
          </c:tx>
          <c:spPr>
            <a:solidFill>
              <a:schemeClr val="accent3"/>
            </a:solidFill>
            <a:ln>
              <a:noFill/>
            </a:ln>
            <a:effectLst/>
          </c:spPr>
          <c:invertIfNegative val="0"/>
          <c:cat>
            <c:strRef>
              <c:f>'FY17 PIIRS Country Summary'!$C$121:$E$121</c:f>
              <c:strCache>
                <c:ptCount val="3"/>
                <c:pt idx="0">
                  <c:v>Bangladesh</c:v>
                </c:pt>
                <c:pt idx="1">
                  <c:v>Asia and the Pacific</c:v>
                </c:pt>
                <c:pt idx="2">
                  <c:v>Global</c:v>
                </c:pt>
              </c:strCache>
            </c:strRef>
          </c:cat>
          <c:val>
            <c:numRef>
              <c:f>'FY17 PIIRS Country Summary'!$C$124:$E$124</c:f>
              <c:numCache>
                <c:formatCode>0%</c:formatCode>
                <c:ptCount val="3"/>
                <c:pt idx="0">
                  <c:v>0.79591836734693877</c:v>
                </c:pt>
                <c:pt idx="1">
                  <c:v>0.63468634686346859</c:v>
                </c:pt>
                <c:pt idx="2">
                  <c:v>0.58105263157894738</c:v>
                </c:pt>
              </c:numCache>
            </c:numRef>
          </c:val>
          <c:extLst xmlns:c16r2="http://schemas.microsoft.com/office/drawing/2015/06/chart">
            <c:ext xmlns:c16="http://schemas.microsoft.com/office/drawing/2014/chart" uri="{C3380CC4-5D6E-409C-BE32-E72D297353CC}">
              <c16:uniqueId val="{00000002-B33E-4DE5-8EF9-A6A8E2C02A11}"/>
            </c:ext>
          </c:extLst>
        </c:ser>
        <c:ser>
          <c:idx val="3"/>
          <c:order val="3"/>
          <c:tx>
            <c:strRef>
              <c:f>'FY17 PIIRS Country Summary'!$B$125</c:f>
              <c:strCache>
                <c:ptCount val="1"/>
                <c:pt idx="0">
                  <c:v>1. Tokenistic</c:v>
                </c:pt>
              </c:strCache>
            </c:strRef>
          </c:tx>
          <c:spPr>
            <a:solidFill>
              <a:schemeClr val="accent4"/>
            </a:solidFill>
            <a:ln>
              <a:noFill/>
            </a:ln>
            <a:effectLst/>
          </c:spPr>
          <c:invertIfNegative val="0"/>
          <c:cat>
            <c:strRef>
              <c:f>'FY17 PIIRS Country Summary'!$C$121:$E$121</c:f>
              <c:strCache>
                <c:ptCount val="3"/>
                <c:pt idx="0">
                  <c:v>Bangladesh</c:v>
                </c:pt>
                <c:pt idx="1">
                  <c:v>Asia and the Pacific</c:v>
                </c:pt>
                <c:pt idx="2">
                  <c:v>Global</c:v>
                </c:pt>
              </c:strCache>
            </c:strRef>
          </c:cat>
          <c:val>
            <c:numRef>
              <c:f>'FY17 PIIRS Country Summary'!$C$125:$E$125</c:f>
              <c:numCache>
                <c:formatCode>0%</c:formatCode>
                <c:ptCount val="3"/>
                <c:pt idx="0">
                  <c:v>8.1632653061224483E-2</c:v>
                </c:pt>
                <c:pt idx="1">
                  <c:v>6.6420664206642069E-2</c:v>
                </c:pt>
                <c:pt idx="2">
                  <c:v>5.7894736842105263E-2</c:v>
                </c:pt>
              </c:numCache>
            </c:numRef>
          </c:val>
          <c:extLst xmlns:c16r2="http://schemas.microsoft.com/office/drawing/2015/06/chart">
            <c:ext xmlns:c16="http://schemas.microsoft.com/office/drawing/2014/chart" uri="{C3380CC4-5D6E-409C-BE32-E72D297353CC}">
              <c16:uniqueId val="{00000003-B33E-4DE5-8EF9-A6A8E2C02A11}"/>
            </c:ext>
          </c:extLst>
        </c:ser>
        <c:ser>
          <c:idx val="4"/>
          <c:order val="4"/>
          <c:tx>
            <c:strRef>
              <c:f>'FY17 PIIRS Country Summary'!$B$126</c:f>
              <c:strCache>
                <c:ptCount val="1"/>
                <c:pt idx="0">
                  <c:v>0.Unaware</c:v>
                </c:pt>
              </c:strCache>
            </c:strRef>
          </c:tx>
          <c:spPr>
            <a:solidFill>
              <a:schemeClr val="accent5"/>
            </a:solidFill>
            <a:ln>
              <a:noFill/>
            </a:ln>
            <a:effectLst/>
          </c:spPr>
          <c:invertIfNegative val="0"/>
          <c:cat>
            <c:strRef>
              <c:f>'FY17 PIIRS Country Summary'!$C$121:$E$121</c:f>
              <c:strCache>
                <c:ptCount val="3"/>
                <c:pt idx="0">
                  <c:v>Bangladesh</c:v>
                </c:pt>
                <c:pt idx="1">
                  <c:v>Asia and the Pacific</c:v>
                </c:pt>
                <c:pt idx="2">
                  <c:v>Global</c:v>
                </c:pt>
              </c:strCache>
            </c:strRef>
          </c:cat>
          <c:val>
            <c:numRef>
              <c:f>'FY17 PIIRS Country Summary'!$C$126:$E$126</c:f>
              <c:numCache>
                <c:formatCode>0%</c:formatCode>
                <c:ptCount val="3"/>
                <c:pt idx="0">
                  <c:v>4.0816326530612242E-2</c:v>
                </c:pt>
                <c:pt idx="1">
                  <c:v>4.4280442804428041E-2</c:v>
                </c:pt>
                <c:pt idx="2">
                  <c:v>7.2631578947368422E-2</c:v>
                </c:pt>
              </c:numCache>
            </c:numRef>
          </c:val>
          <c:extLst xmlns:c16r2="http://schemas.microsoft.com/office/drawing/2015/06/chart">
            <c:ext xmlns:c16="http://schemas.microsoft.com/office/drawing/2014/chart" uri="{C3380CC4-5D6E-409C-BE32-E72D297353CC}">
              <c16:uniqueId val="{00000004-B33E-4DE5-8EF9-A6A8E2C02A11}"/>
            </c:ext>
          </c:extLst>
        </c:ser>
        <c:ser>
          <c:idx val="5"/>
          <c:order val="5"/>
          <c:tx>
            <c:strRef>
              <c:f>'FY17 PIIRS Country Summary'!$B$127</c:f>
              <c:strCache>
                <c:ptCount val="1"/>
                <c:pt idx="0">
                  <c:v>No marker score</c:v>
                </c:pt>
              </c:strCache>
            </c:strRef>
          </c:tx>
          <c:spPr>
            <a:solidFill>
              <a:schemeClr val="accent6"/>
            </a:solidFill>
            <a:ln>
              <a:noFill/>
            </a:ln>
            <a:effectLst/>
          </c:spPr>
          <c:invertIfNegative val="0"/>
          <c:cat>
            <c:strRef>
              <c:f>'FY17 PIIRS Country Summary'!$C$121:$E$121</c:f>
              <c:strCache>
                <c:ptCount val="3"/>
                <c:pt idx="0">
                  <c:v>Bangladesh</c:v>
                </c:pt>
                <c:pt idx="1">
                  <c:v>Asia and the Pacific</c:v>
                </c:pt>
                <c:pt idx="2">
                  <c:v>Global</c:v>
                </c:pt>
              </c:strCache>
            </c:strRef>
          </c:cat>
          <c:val>
            <c:numRef>
              <c:f>'FY17 PIIRS Country Summary'!$C$127:$E$127</c:f>
              <c:numCache>
                <c:formatCode>0%</c:formatCode>
                <c:ptCount val="3"/>
                <c:pt idx="0">
                  <c:v>2.0408163265306121E-2</c:v>
                </c:pt>
                <c:pt idx="1">
                  <c:v>4.797047970479705E-2</c:v>
                </c:pt>
                <c:pt idx="2">
                  <c:v>0.13157894736842105</c:v>
                </c:pt>
              </c:numCache>
            </c:numRef>
          </c:val>
          <c:extLst xmlns:c16r2="http://schemas.microsoft.com/office/drawing/2015/06/chart">
            <c:ext xmlns:c16="http://schemas.microsoft.com/office/drawing/2014/chart" uri="{C3380CC4-5D6E-409C-BE32-E72D297353CC}">
              <c16:uniqueId val="{00000005-B33E-4DE5-8EF9-A6A8E2C02A11}"/>
            </c:ext>
          </c:extLst>
        </c:ser>
        <c:dLbls>
          <c:showLegendKey val="0"/>
          <c:showVal val="0"/>
          <c:showCatName val="0"/>
          <c:showSerName val="0"/>
          <c:showPercent val="0"/>
          <c:showBubbleSize val="0"/>
        </c:dLbls>
        <c:gapWidth val="150"/>
        <c:overlap val="100"/>
        <c:axId val="322263056"/>
        <c:axId val="322263616"/>
      </c:barChart>
      <c:catAx>
        <c:axId val="32226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22263616"/>
        <c:crosses val="autoZero"/>
        <c:auto val="1"/>
        <c:lblAlgn val="ctr"/>
        <c:lblOffset val="100"/>
        <c:noMultiLvlLbl val="0"/>
      </c:catAx>
      <c:valAx>
        <c:axId val="322263616"/>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22263056"/>
        <c:crosses val="autoZero"/>
        <c:crossBetween val="between"/>
        <c:majorUnit val="0.2"/>
      </c:valAx>
      <c:spPr>
        <a:noFill/>
        <a:ln>
          <a:noFill/>
        </a:ln>
        <a:effectLst/>
      </c:spPr>
    </c:plotArea>
    <c:legend>
      <c:legendPos val="b"/>
      <c:layout>
        <c:manualLayout>
          <c:xMode val="edge"/>
          <c:yMode val="edge"/>
          <c:x val="7.1160378695679797E-3"/>
          <c:y val="0.85059816823596346"/>
          <c:w val="0.98576789387813013"/>
          <c:h val="0.14424225441570693"/>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latin typeface="Arial" panose="020B0604020202020204" pitchFamily="34" charset="0"/>
                <a:cs typeface="Arial" panose="020B0604020202020204" pitchFamily="34" charset="0"/>
              </a:rPr>
              <a:t>Integrating Resilience</a:t>
            </a:r>
          </a:p>
        </c:rich>
      </c:tx>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305703488308775"/>
          <c:y val="0.17129300118623961"/>
          <c:w val="0.86651419609893165"/>
          <c:h val="0.60085196667489726"/>
        </c:manualLayout>
      </c:layout>
      <c:barChart>
        <c:barDir val="col"/>
        <c:grouping val="stacked"/>
        <c:varyColors val="0"/>
        <c:ser>
          <c:idx val="0"/>
          <c:order val="0"/>
          <c:tx>
            <c:strRef>
              <c:f>'FY17 PIIRS Country Summary'!$B$129</c:f>
              <c:strCache>
                <c:ptCount val="1"/>
                <c:pt idx="0">
                  <c:v>4. Transformative</c:v>
                </c:pt>
              </c:strCache>
            </c:strRef>
          </c:tx>
          <c:spPr>
            <a:solidFill>
              <a:schemeClr val="accent1"/>
            </a:solidFill>
            <a:ln>
              <a:noFill/>
            </a:ln>
            <a:effectLst/>
          </c:spPr>
          <c:invertIfNegative val="0"/>
          <c:cat>
            <c:strRef>
              <c:f>'FY17 PIIRS Country Summary'!$C$128:$E$128</c:f>
              <c:strCache>
                <c:ptCount val="3"/>
                <c:pt idx="0">
                  <c:v>Bangladesh</c:v>
                </c:pt>
                <c:pt idx="1">
                  <c:v>Asia and the Pacific</c:v>
                </c:pt>
                <c:pt idx="2">
                  <c:v>Global</c:v>
                </c:pt>
              </c:strCache>
            </c:strRef>
          </c:cat>
          <c:val>
            <c:numRef>
              <c:f>'FY17 PIIRS Country Summary'!$C$129:$E$129</c:f>
              <c:numCache>
                <c:formatCode>0%</c:formatCode>
                <c:ptCount val="3"/>
                <c:pt idx="0">
                  <c:v>0.16326530612244897</c:v>
                </c:pt>
                <c:pt idx="1">
                  <c:v>0.14022140221402213</c:v>
                </c:pt>
                <c:pt idx="2">
                  <c:v>0.14736842105263157</c:v>
                </c:pt>
              </c:numCache>
            </c:numRef>
          </c:val>
          <c:extLst xmlns:c16r2="http://schemas.microsoft.com/office/drawing/2015/06/chart">
            <c:ext xmlns:c16="http://schemas.microsoft.com/office/drawing/2014/chart" uri="{C3380CC4-5D6E-409C-BE32-E72D297353CC}">
              <c16:uniqueId val="{00000000-5904-4638-8121-300FFBC5D721}"/>
            </c:ext>
          </c:extLst>
        </c:ser>
        <c:ser>
          <c:idx val="1"/>
          <c:order val="1"/>
          <c:tx>
            <c:strRef>
              <c:f>'FY17 PIIRS Country Summary'!$B$130</c:f>
              <c:strCache>
                <c:ptCount val="1"/>
                <c:pt idx="0">
                  <c:v>3. Responsive</c:v>
                </c:pt>
              </c:strCache>
            </c:strRef>
          </c:tx>
          <c:spPr>
            <a:solidFill>
              <a:schemeClr val="accent2"/>
            </a:solidFill>
            <a:ln>
              <a:noFill/>
            </a:ln>
            <a:effectLst/>
          </c:spPr>
          <c:invertIfNegative val="0"/>
          <c:cat>
            <c:strRef>
              <c:f>'FY17 PIIRS Country Summary'!$C$128:$E$128</c:f>
              <c:strCache>
                <c:ptCount val="3"/>
                <c:pt idx="0">
                  <c:v>Bangladesh</c:v>
                </c:pt>
                <c:pt idx="1">
                  <c:v>Asia and the Pacific</c:v>
                </c:pt>
                <c:pt idx="2">
                  <c:v>Global</c:v>
                </c:pt>
              </c:strCache>
            </c:strRef>
          </c:cat>
          <c:val>
            <c:numRef>
              <c:f>'FY17 PIIRS Country Summary'!$C$130:$E$130</c:f>
              <c:numCache>
                <c:formatCode>0%</c:formatCode>
                <c:ptCount val="3"/>
                <c:pt idx="0">
                  <c:v>4.0816326530612242E-2</c:v>
                </c:pt>
                <c:pt idx="1">
                  <c:v>0.10332103321033211</c:v>
                </c:pt>
                <c:pt idx="2">
                  <c:v>7.2631578947368422E-2</c:v>
                </c:pt>
              </c:numCache>
            </c:numRef>
          </c:val>
          <c:extLst xmlns:c16r2="http://schemas.microsoft.com/office/drawing/2015/06/chart">
            <c:ext xmlns:c16="http://schemas.microsoft.com/office/drawing/2014/chart" uri="{C3380CC4-5D6E-409C-BE32-E72D297353CC}">
              <c16:uniqueId val="{00000001-5904-4638-8121-300FFBC5D721}"/>
            </c:ext>
          </c:extLst>
        </c:ser>
        <c:ser>
          <c:idx val="2"/>
          <c:order val="2"/>
          <c:tx>
            <c:strRef>
              <c:f>'FY17 PIIRS Country Summary'!$B$131</c:f>
              <c:strCache>
                <c:ptCount val="1"/>
                <c:pt idx="0">
                  <c:v>2. Sensitive</c:v>
                </c:pt>
              </c:strCache>
            </c:strRef>
          </c:tx>
          <c:spPr>
            <a:solidFill>
              <a:schemeClr val="accent3"/>
            </a:solidFill>
            <a:ln>
              <a:noFill/>
            </a:ln>
            <a:effectLst/>
          </c:spPr>
          <c:invertIfNegative val="0"/>
          <c:cat>
            <c:strRef>
              <c:f>'FY17 PIIRS Country Summary'!$C$128:$E$128</c:f>
              <c:strCache>
                <c:ptCount val="3"/>
                <c:pt idx="0">
                  <c:v>Bangladesh</c:v>
                </c:pt>
                <c:pt idx="1">
                  <c:v>Asia and the Pacific</c:v>
                </c:pt>
                <c:pt idx="2">
                  <c:v>Global</c:v>
                </c:pt>
              </c:strCache>
            </c:strRef>
          </c:cat>
          <c:val>
            <c:numRef>
              <c:f>'FY17 PIIRS Country Summary'!$C$131:$E$131</c:f>
              <c:numCache>
                <c:formatCode>0%</c:formatCode>
                <c:ptCount val="3"/>
                <c:pt idx="0">
                  <c:v>0.2857142857142857</c:v>
                </c:pt>
                <c:pt idx="1">
                  <c:v>0.25830258302583026</c:v>
                </c:pt>
                <c:pt idx="2">
                  <c:v>0.26736842105263159</c:v>
                </c:pt>
              </c:numCache>
            </c:numRef>
          </c:val>
          <c:extLst xmlns:c16r2="http://schemas.microsoft.com/office/drawing/2015/06/chart">
            <c:ext xmlns:c16="http://schemas.microsoft.com/office/drawing/2014/chart" uri="{C3380CC4-5D6E-409C-BE32-E72D297353CC}">
              <c16:uniqueId val="{00000002-5904-4638-8121-300FFBC5D721}"/>
            </c:ext>
          </c:extLst>
        </c:ser>
        <c:ser>
          <c:idx val="3"/>
          <c:order val="3"/>
          <c:tx>
            <c:strRef>
              <c:f>'FY17 PIIRS Country Summary'!$B$132</c:f>
              <c:strCache>
                <c:ptCount val="1"/>
                <c:pt idx="0">
                  <c:v>1. Neutral</c:v>
                </c:pt>
              </c:strCache>
            </c:strRef>
          </c:tx>
          <c:spPr>
            <a:solidFill>
              <a:schemeClr val="accent4"/>
            </a:solidFill>
            <a:ln>
              <a:noFill/>
            </a:ln>
            <a:effectLst/>
          </c:spPr>
          <c:invertIfNegative val="0"/>
          <c:cat>
            <c:strRef>
              <c:f>'FY17 PIIRS Country Summary'!$C$128:$E$128</c:f>
              <c:strCache>
                <c:ptCount val="3"/>
                <c:pt idx="0">
                  <c:v>Bangladesh</c:v>
                </c:pt>
                <c:pt idx="1">
                  <c:v>Asia and the Pacific</c:v>
                </c:pt>
                <c:pt idx="2">
                  <c:v>Global</c:v>
                </c:pt>
              </c:strCache>
            </c:strRef>
          </c:cat>
          <c:val>
            <c:numRef>
              <c:f>'FY17 PIIRS Country Summary'!$C$132:$E$132</c:f>
              <c:numCache>
                <c:formatCode>0%</c:formatCode>
                <c:ptCount val="3"/>
                <c:pt idx="0">
                  <c:v>0.14285714285714285</c:v>
                </c:pt>
                <c:pt idx="1">
                  <c:v>0.23247232472324722</c:v>
                </c:pt>
                <c:pt idx="2">
                  <c:v>0.2336842105263158</c:v>
                </c:pt>
              </c:numCache>
            </c:numRef>
          </c:val>
          <c:extLst xmlns:c16r2="http://schemas.microsoft.com/office/drawing/2015/06/chart">
            <c:ext xmlns:c16="http://schemas.microsoft.com/office/drawing/2014/chart" uri="{C3380CC4-5D6E-409C-BE32-E72D297353CC}">
              <c16:uniqueId val="{00000003-5904-4638-8121-300FFBC5D721}"/>
            </c:ext>
          </c:extLst>
        </c:ser>
        <c:ser>
          <c:idx val="4"/>
          <c:order val="4"/>
          <c:tx>
            <c:strRef>
              <c:f>'FY17 PIIRS Country Summary'!$B$133</c:f>
              <c:strCache>
                <c:ptCount val="1"/>
                <c:pt idx="0">
                  <c:v>0.Harmful</c:v>
                </c:pt>
              </c:strCache>
            </c:strRef>
          </c:tx>
          <c:spPr>
            <a:solidFill>
              <a:schemeClr val="accent5"/>
            </a:solidFill>
            <a:ln>
              <a:noFill/>
            </a:ln>
            <a:effectLst/>
          </c:spPr>
          <c:invertIfNegative val="0"/>
          <c:cat>
            <c:strRef>
              <c:f>'FY17 PIIRS Country Summary'!$C$128:$E$128</c:f>
              <c:strCache>
                <c:ptCount val="3"/>
                <c:pt idx="0">
                  <c:v>Bangladesh</c:v>
                </c:pt>
                <c:pt idx="1">
                  <c:v>Asia and the Pacific</c:v>
                </c:pt>
                <c:pt idx="2">
                  <c:v>Global</c:v>
                </c:pt>
              </c:strCache>
            </c:strRef>
          </c:cat>
          <c:val>
            <c:numRef>
              <c:f>'FY17 PIIRS Country Summary'!$C$133:$E$133</c:f>
              <c:numCache>
                <c:formatCode>0%</c:formatCode>
                <c:ptCount val="3"/>
                <c:pt idx="0">
                  <c:v>0</c:v>
                </c:pt>
                <c:pt idx="1">
                  <c:v>0.13284132841328414</c:v>
                </c:pt>
                <c:pt idx="2">
                  <c:v>0.10105263157894737</c:v>
                </c:pt>
              </c:numCache>
            </c:numRef>
          </c:val>
          <c:extLst xmlns:c16r2="http://schemas.microsoft.com/office/drawing/2015/06/chart">
            <c:ext xmlns:c16="http://schemas.microsoft.com/office/drawing/2014/chart" uri="{C3380CC4-5D6E-409C-BE32-E72D297353CC}">
              <c16:uniqueId val="{00000004-5904-4638-8121-300FFBC5D721}"/>
            </c:ext>
          </c:extLst>
        </c:ser>
        <c:ser>
          <c:idx val="5"/>
          <c:order val="5"/>
          <c:tx>
            <c:strRef>
              <c:f>'FY17 PIIRS Country Summary'!$B$134</c:f>
              <c:strCache>
                <c:ptCount val="1"/>
                <c:pt idx="0">
                  <c:v>No marker score</c:v>
                </c:pt>
              </c:strCache>
            </c:strRef>
          </c:tx>
          <c:spPr>
            <a:solidFill>
              <a:schemeClr val="accent6"/>
            </a:solidFill>
            <a:ln>
              <a:noFill/>
            </a:ln>
            <a:effectLst/>
          </c:spPr>
          <c:invertIfNegative val="0"/>
          <c:cat>
            <c:strRef>
              <c:f>'FY17 PIIRS Country Summary'!$C$128:$E$128</c:f>
              <c:strCache>
                <c:ptCount val="3"/>
                <c:pt idx="0">
                  <c:v>Bangladesh</c:v>
                </c:pt>
                <c:pt idx="1">
                  <c:v>Asia and the Pacific</c:v>
                </c:pt>
                <c:pt idx="2">
                  <c:v>Global</c:v>
                </c:pt>
              </c:strCache>
            </c:strRef>
          </c:cat>
          <c:val>
            <c:numRef>
              <c:f>'FY17 PIIRS Country Summary'!$C$134:$E$134</c:f>
              <c:numCache>
                <c:formatCode>0%</c:formatCode>
                <c:ptCount val="3"/>
                <c:pt idx="0">
                  <c:v>0.36734693877551022</c:v>
                </c:pt>
                <c:pt idx="1">
                  <c:v>0.13284132841328414</c:v>
                </c:pt>
                <c:pt idx="2">
                  <c:v>0.17789473684210527</c:v>
                </c:pt>
              </c:numCache>
            </c:numRef>
          </c:val>
          <c:extLst xmlns:c16r2="http://schemas.microsoft.com/office/drawing/2015/06/chart">
            <c:ext xmlns:c16="http://schemas.microsoft.com/office/drawing/2014/chart" uri="{C3380CC4-5D6E-409C-BE32-E72D297353CC}">
              <c16:uniqueId val="{00000005-5904-4638-8121-300FFBC5D721}"/>
            </c:ext>
          </c:extLst>
        </c:ser>
        <c:dLbls>
          <c:showLegendKey val="0"/>
          <c:showVal val="0"/>
          <c:showCatName val="0"/>
          <c:showSerName val="0"/>
          <c:showPercent val="0"/>
          <c:showBubbleSize val="0"/>
        </c:dLbls>
        <c:gapWidth val="150"/>
        <c:overlap val="100"/>
        <c:axId val="322269216"/>
        <c:axId val="322723840"/>
      </c:barChart>
      <c:catAx>
        <c:axId val="32226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22723840"/>
        <c:crosses val="autoZero"/>
        <c:auto val="1"/>
        <c:lblAlgn val="ctr"/>
        <c:lblOffset val="100"/>
        <c:noMultiLvlLbl val="0"/>
      </c:catAx>
      <c:valAx>
        <c:axId val="322723840"/>
        <c:scaling>
          <c:orientation val="minMax"/>
          <c:max val="1"/>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22269216"/>
        <c:crosses val="autoZero"/>
        <c:crossBetween val="between"/>
        <c:majorUnit val="0.2"/>
      </c:valAx>
      <c:spPr>
        <a:noFill/>
        <a:ln>
          <a:noFill/>
        </a:ln>
        <a:effectLst/>
      </c:spPr>
    </c:plotArea>
    <c:legend>
      <c:legendPos val="b"/>
      <c:layout>
        <c:manualLayout>
          <c:xMode val="edge"/>
          <c:yMode val="edge"/>
          <c:x val="7.1160249694932421E-3"/>
          <c:y val="0.89083275901959291"/>
          <c:w val="0.98909185555913703"/>
          <c:h val="7.0358249057730346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400" b="1"/>
              <a:t>Other aspects of program quality</a:t>
            </a:r>
          </a:p>
        </c:rich>
      </c:tx>
      <c:layout>
        <c:manualLayout>
          <c:xMode val="edge"/>
          <c:yMode val="edge"/>
          <c:x val="0.38582242800635835"/>
          <c:y val="6.108840118389456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868707089579904E-2"/>
          <c:y val="0.12740641462370397"/>
          <c:w val="0.92916915046636117"/>
          <c:h val="0.67134963392733804"/>
        </c:manualLayout>
      </c:layout>
      <c:lineChart>
        <c:grouping val="standard"/>
        <c:varyColors val="0"/>
        <c:ser>
          <c:idx val="0"/>
          <c:order val="0"/>
          <c:tx>
            <c:strRef>
              <c:f>'FY17 PIIRS Country Summary'!$N$10</c:f>
              <c:strCache>
                <c:ptCount val="1"/>
                <c:pt idx="0">
                  <c:v>Bangladesh</c:v>
                </c:pt>
              </c:strCache>
            </c:strRef>
          </c:tx>
          <c:spPr>
            <a:ln w="28575" cap="rnd">
              <a:no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110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'FY17 PIIRS Country Summary'!$O$9:$X$9</c15:sqref>
                  </c15:fullRef>
                </c:ext>
              </c:extLst>
              <c:f>('FY17 PIIRS Country Summary'!$P$9,'FY17 PIIRS Country Summary'!$S$9:$T$9,'FY17 PIIRS Country Summary'!$V$9)</c:f>
              <c:strCache>
                <c:ptCount val="4"/>
                <c:pt idx="0">
                  <c:v>GBV focused or mainstreamed</c:v>
                </c:pt>
                <c:pt idx="1">
                  <c:v>All/most activities through partners</c:v>
                </c:pt>
                <c:pt idx="2">
                  <c:v>Civil society strengthening</c:v>
                </c:pt>
                <c:pt idx="3">
                  <c:v>Fully/partially addressed climate change</c:v>
                </c:pt>
              </c:strCache>
            </c:strRef>
          </c:cat>
          <c:val>
            <c:numRef>
              <c:extLst>
                <c:ext xmlns:c15="http://schemas.microsoft.com/office/drawing/2012/chart" uri="{02D57815-91ED-43cb-92C2-25804820EDAC}">
                  <c15:fullRef>
                    <c15:sqref>'FY17 PIIRS Country Summary'!$O$10:$X$10</c15:sqref>
                  </c15:fullRef>
                </c:ext>
              </c:extLst>
              <c:f>('FY17 PIIRS Country Summary'!$P$10,'FY17 PIIRS Country Summary'!$S$10:$T$10,'FY17 PIIRS Country Summary'!$V$10)</c:f>
              <c:numCache>
                <c:formatCode>0%</c:formatCode>
                <c:ptCount val="4"/>
                <c:pt idx="0">
                  <c:v>0.58333333333333326</c:v>
                </c:pt>
                <c:pt idx="1">
                  <c:v>0.4375</c:v>
                </c:pt>
                <c:pt idx="2">
                  <c:v>0.5</c:v>
                </c:pt>
                <c:pt idx="3">
                  <c:v>0.45833333333333331</c:v>
                </c:pt>
              </c:numCache>
            </c:numRef>
          </c:val>
          <c:smooth val="0"/>
          <c:extLst xmlns:c16r2="http://schemas.microsoft.com/office/drawing/2015/06/chart">
            <c:ext xmlns:c16="http://schemas.microsoft.com/office/drawing/2014/chart" uri="{C3380CC4-5D6E-409C-BE32-E72D297353CC}">
              <c16:uniqueId val="{00000000-9890-4335-862E-3C66513A049E}"/>
            </c:ext>
          </c:extLst>
        </c:ser>
        <c:ser>
          <c:idx val="1"/>
          <c:order val="1"/>
          <c:tx>
            <c:strRef>
              <c:f>'FY17 PIIRS Country Summary'!$N$11</c:f>
              <c:strCache>
                <c:ptCount val="1"/>
                <c:pt idx="0">
                  <c:v>Region</c:v>
                </c:pt>
              </c:strCache>
            </c:strRef>
          </c:tx>
          <c:spPr>
            <a:ln w="28575" cap="rnd">
              <a:noFill/>
              <a:round/>
            </a:ln>
            <a:effectLst/>
          </c:spPr>
          <c:marker>
            <c:symbol val="circle"/>
            <c:size val="5"/>
            <c:spPr>
              <a:solidFill>
                <a:schemeClr val="accent6"/>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6"/>
                    </a:solidFill>
                    <a:latin typeface="Arial" panose="020B0604020202020204" pitchFamily="34" charset="0"/>
                    <a:ea typeface="+mn-ea"/>
                    <a:cs typeface="Arial" panose="020B0604020202020204" pitchFamily="34" charset="0"/>
                  </a:defRPr>
                </a:pPr>
                <a:endParaRPr lang="en-US"/>
              </a:p>
            </c:txPr>
            <c:dLblPos val="l"/>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'FY17 PIIRS Country Summary'!$O$9:$X$9</c15:sqref>
                  </c15:fullRef>
                </c:ext>
              </c:extLst>
              <c:f>('FY17 PIIRS Country Summary'!$P$9,'FY17 PIIRS Country Summary'!$S$9:$T$9,'FY17 PIIRS Country Summary'!$V$9)</c:f>
              <c:strCache>
                <c:ptCount val="4"/>
                <c:pt idx="0">
                  <c:v>GBV focused or mainstreamed</c:v>
                </c:pt>
                <c:pt idx="1">
                  <c:v>All/most activities through partners</c:v>
                </c:pt>
                <c:pt idx="2">
                  <c:v>Civil society strengthening</c:v>
                </c:pt>
                <c:pt idx="3">
                  <c:v>Fully/partially addressed climate change</c:v>
                </c:pt>
              </c:strCache>
            </c:strRef>
          </c:cat>
          <c:val>
            <c:numRef>
              <c:extLst>
                <c:ext xmlns:c15="http://schemas.microsoft.com/office/drawing/2012/chart" uri="{02D57815-91ED-43cb-92C2-25804820EDAC}">
                  <c15:fullRef>
                    <c15:sqref>'FY17 PIIRS Country Summary'!$O$11:$X$11</c15:sqref>
                  </c15:fullRef>
                </c:ext>
              </c:extLst>
              <c:f>('FY17 PIIRS Country Summary'!$P$11,'FY17 PIIRS Country Summary'!$S$11:$T$11,'FY17 PIIRS Country Summary'!$V$11)</c:f>
              <c:numCache>
                <c:formatCode>0%</c:formatCode>
                <c:ptCount val="4"/>
                <c:pt idx="0">
                  <c:v>0.49416342412451364</c:v>
                </c:pt>
                <c:pt idx="1">
                  <c:v>0.52851711026615966</c:v>
                </c:pt>
                <c:pt idx="2">
                  <c:v>0.58778625954198471</c:v>
                </c:pt>
                <c:pt idx="3">
                  <c:v>0.41176470588235298</c:v>
                </c:pt>
              </c:numCache>
            </c:numRef>
          </c:val>
          <c:smooth val="0"/>
          <c:extLst xmlns:c16r2="http://schemas.microsoft.com/office/drawing/2015/06/chart">
            <c:ext xmlns:c16="http://schemas.microsoft.com/office/drawing/2014/chart" uri="{C3380CC4-5D6E-409C-BE32-E72D297353CC}">
              <c16:uniqueId val="{00000001-9890-4335-862E-3C66513A049E}"/>
            </c:ext>
            <c:ext xmlns:c15="http://schemas.microsoft.com/office/drawing/2012/chart" uri="{02D57815-91ED-43cb-92C2-25804820EDAC}">
              <c15:categoryFilterExceptions>
                <c15:categoryFilterException>
                  <c15:sqref>'FY17 PIIRS Country Summary'!$R$11</c15:sqref>
                  <c15:dLbl>
                    <c:idx val="0"/>
                    <c:layout>
                      <c:manualLayout>
                        <c:x val="-7.8883152089563049E-2"/>
                        <c:y val="0"/>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6F-4D16-84D7-7573BBE2DD7A}"/>
                      </c:ext>
                      <c:ext uri="{CE6537A1-D6FC-4f65-9D91-7224C49458BB}"/>
                    </c:extLst>
                  </c15:dLbl>
                </c15:categoryFilterException>
              </c15:categoryFilterExceptions>
            </c:ext>
          </c:extLst>
        </c:ser>
        <c:ser>
          <c:idx val="2"/>
          <c:order val="2"/>
          <c:tx>
            <c:strRef>
              <c:f>'FY17 PIIRS Country Summary'!$N$12</c:f>
              <c:strCache>
                <c:ptCount val="1"/>
                <c:pt idx="0">
                  <c:v>Global</c:v>
                </c:pt>
              </c:strCache>
            </c:strRef>
          </c:tx>
          <c:spPr>
            <a:ln w="28575" cap="rnd">
              <a:noFill/>
              <a:round/>
            </a:ln>
            <a:effectLst/>
          </c:spPr>
          <c:marker>
            <c:symbol val="circle"/>
            <c:size val="5"/>
            <c:spPr>
              <a:solidFill>
                <a:schemeClr val="accent2"/>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2"/>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'FY17 PIIRS Country Summary'!$O$9:$X$9</c15:sqref>
                  </c15:fullRef>
                </c:ext>
              </c:extLst>
              <c:f>('FY17 PIIRS Country Summary'!$P$9,'FY17 PIIRS Country Summary'!$S$9:$T$9,'FY17 PIIRS Country Summary'!$V$9)</c:f>
              <c:strCache>
                <c:ptCount val="4"/>
                <c:pt idx="0">
                  <c:v>GBV focused or mainstreamed</c:v>
                </c:pt>
                <c:pt idx="1">
                  <c:v>All/most activities through partners</c:v>
                </c:pt>
                <c:pt idx="2">
                  <c:v>Civil society strengthening</c:v>
                </c:pt>
                <c:pt idx="3">
                  <c:v>Fully/partially addressed climate change</c:v>
                </c:pt>
              </c:strCache>
            </c:strRef>
          </c:cat>
          <c:val>
            <c:numRef>
              <c:extLst>
                <c:ext xmlns:c15="http://schemas.microsoft.com/office/drawing/2012/chart" uri="{02D57815-91ED-43cb-92C2-25804820EDAC}">
                  <c15:fullRef>
                    <c15:sqref>'FY17 PIIRS Country Summary'!$O$12:$X$12</c15:sqref>
                  </c15:fullRef>
                </c:ext>
              </c:extLst>
              <c:f>('FY17 PIIRS Country Summary'!$P$12,'FY17 PIIRS Country Summary'!$S$12:$T$12,'FY17 PIIRS Country Summary'!$V$12)</c:f>
              <c:numCache>
                <c:formatCode>0%</c:formatCode>
                <c:ptCount val="4"/>
                <c:pt idx="0">
                  <c:v>0.57126436781609191</c:v>
                </c:pt>
                <c:pt idx="1">
                  <c:v>0.59775280898876404</c:v>
                </c:pt>
                <c:pt idx="2">
                  <c:v>0.61059907834101379</c:v>
                </c:pt>
                <c:pt idx="3">
                  <c:v>0.45636792452830188</c:v>
                </c:pt>
              </c:numCache>
            </c:numRef>
          </c:val>
          <c:smooth val="0"/>
          <c:extLst xmlns:c16r2="http://schemas.microsoft.com/office/drawing/2015/06/chart">
            <c:ext xmlns:c16="http://schemas.microsoft.com/office/drawing/2014/chart" uri="{C3380CC4-5D6E-409C-BE32-E72D297353CC}">
              <c16:uniqueId val="{00000002-9890-4335-862E-3C66513A049E}"/>
            </c:ext>
          </c:extLst>
        </c:ser>
        <c:dLbls>
          <c:showLegendKey val="0"/>
          <c:showVal val="0"/>
          <c:showCatName val="0"/>
          <c:showSerName val="0"/>
          <c:showPercent val="0"/>
          <c:showBubbleSize val="0"/>
        </c:dLbls>
        <c:marker val="1"/>
        <c:smooth val="0"/>
        <c:axId val="322613216"/>
        <c:axId val="322613776"/>
      </c:lineChart>
      <c:catAx>
        <c:axId val="322613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22613776"/>
        <c:crosses val="autoZero"/>
        <c:auto val="1"/>
        <c:lblAlgn val="ctr"/>
        <c:lblOffset val="100"/>
        <c:noMultiLvlLbl val="0"/>
      </c:catAx>
      <c:valAx>
        <c:axId val="322613776"/>
        <c:scaling>
          <c:orientation val="minMax"/>
          <c:max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22613216"/>
        <c:crosses val="autoZero"/>
        <c:crossBetween val="between"/>
        <c:majorUnit val="0.2"/>
      </c:valAx>
      <c:spPr>
        <a:noFill/>
        <a:ln>
          <a:noFill/>
        </a:ln>
        <a:effectLst/>
      </c:spPr>
    </c:plotArea>
    <c:legend>
      <c:legendPos val="b"/>
      <c:legendEntry>
        <c:idx val="0"/>
        <c:txPr>
          <a:bodyPr rot="0" spcFirstLastPara="1" vertOverflow="ellipsis" vert="horz" wrap="square" anchor="ctr" anchorCtr="1"/>
          <a:lstStyle/>
          <a:p>
            <a:pPr>
              <a:defRPr sz="110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legendEntry>
      <c:legendEntry>
        <c:idx val="1"/>
        <c:txPr>
          <a:bodyPr rot="0" spcFirstLastPara="1" vertOverflow="ellipsis" vert="horz" wrap="square" anchor="ctr" anchorCtr="1"/>
          <a:lstStyle/>
          <a:p>
            <a:pPr>
              <a:defRPr sz="1100" b="1" i="0" u="none" strike="noStrike" kern="1200" baseline="0">
                <a:solidFill>
                  <a:schemeClr val="accent6"/>
                </a:solidFill>
                <a:latin typeface="Arial" panose="020B0604020202020204" pitchFamily="34" charset="0"/>
                <a:ea typeface="+mn-ea"/>
                <a:cs typeface="Arial" panose="020B0604020202020204" pitchFamily="34" charset="0"/>
              </a:defRPr>
            </a:pPr>
            <a:endParaRPr lang="en-US"/>
          </a:p>
        </c:txPr>
      </c:legendEntry>
      <c:legendEntry>
        <c:idx val="2"/>
        <c:txPr>
          <a:bodyPr rot="0" spcFirstLastPara="1" vertOverflow="ellipsis" vert="horz" wrap="square" anchor="ctr" anchorCtr="1"/>
          <a:lstStyle/>
          <a:p>
            <a:pPr>
              <a:defRPr sz="1100" b="1" i="0" u="none" strike="noStrike" kern="1200" baseline="0">
                <a:solidFill>
                  <a:schemeClr val="accent2"/>
                </a:solidFill>
                <a:latin typeface="Arial" panose="020B0604020202020204" pitchFamily="34" charset="0"/>
                <a:ea typeface="+mn-ea"/>
                <a:cs typeface="Arial" panose="020B0604020202020204" pitchFamily="34" charset="0"/>
              </a:defRPr>
            </a:pPr>
            <a:endParaRPr lang="en-US"/>
          </a:p>
        </c:txPr>
      </c:legendEntry>
      <c:layout>
        <c:manualLayout>
          <c:xMode val="edge"/>
          <c:yMode val="edge"/>
          <c:x val="0.238653495585779"/>
          <c:y val="0.92098620651142016"/>
          <c:w val="0.61102297512106762"/>
          <c:h val="6.8491767248817087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19050" cap="flat" cmpd="sng" algn="ctr">
      <a:solidFill>
        <a:schemeClr val="tx1"/>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chart" Target="../charts/chart2.xml"/><Relationship Id="rId18" Type="http://schemas.openxmlformats.org/officeDocument/2006/relationships/image" Target="../media/image14.png"/><Relationship Id="rId3" Type="http://schemas.openxmlformats.org/officeDocument/2006/relationships/image" Target="../media/image3.png"/><Relationship Id="rId21" Type="http://schemas.openxmlformats.org/officeDocument/2006/relationships/image" Target="../media/image17.png"/><Relationship Id="rId7" Type="http://schemas.openxmlformats.org/officeDocument/2006/relationships/image" Target="../media/image7.png"/><Relationship Id="rId12" Type="http://schemas.openxmlformats.org/officeDocument/2006/relationships/chart" Target="../charts/chart1.xml"/><Relationship Id="rId17" Type="http://schemas.openxmlformats.org/officeDocument/2006/relationships/image" Target="../media/image13.png"/><Relationship Id="rId2" Type="http://schemas.openxmlformats.org/officeDocument/2006/relationships/image" Target="../media/image2.png"/><Relationship Id="rId16" Type="http://schemas.openxmlformats.org/officeDocument/2006/relationships/image" Target="../media/image12.png"/><Relationship Id="rId20"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microsoft.com/office/2007/relationships/hdphoto" Target="../media/hdphoto1.wdp"/><Relationship Id="rId5" Type="http://schemas.openxmlformats.org/officeDocument/2006/relationships/image" Target="../media/image5.png"/><Relationship Id="rId15" Type="http://schemas.openxmlformats.org/officeDocument/2006/relationships/image" Target="../media/image11.png"/><Relationship Id="rId23" Type="http://schemas.openxmlformats.org/officeDocument/2006/relationships/image" Target="../media/image19.png"/><Relationship Id="rId10" Type="http://schemas.openxmlformats.org/officeDocument/2006/relationships/image" Target="../media/image10.png"/><Relationship Id="rId19" Type="http://schemas.openxmlformats.org/officeDocument/2006/relationships/image" Target="../media/image15.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chart" Target="../charts/chart3.xml"/><Relationship Id="rId22" Type="http://schemas.openxmlformats.org/officeDocument/2006/relationships/image" Target="../media/image18.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chart" Target="../charts/chart5.xml"/><Relationship Id="rId18" Type="http://schemas.openxmlformats.org/officeDocument/2006/relationships/image" Target="../media/image26.png"/><Relationship Id="rId26" Type="http://schemas.openxmlformats.org/officeDocument/2006/relationships/chart" Target="../charts/chart7.xml"/><Relationship Id="rId3" Type="http://schemas.openxmlformats.org/officeDocument/2006/relationships/image" Target="../media/image3.png"/><Relationship Id="rId21" Type="http://schemas.openxmlformats.org/officeDocument/2006/relationships/image" Target="../media/image29.png"/><Relationship Id="rId7" Type="http://schemas.openxmlformats.org/officeDocument/2006/relationships/image" Target="../media/image7.png"/><Relationship Id="rId12" Type="http://schemas.openxmlformats.org/officeDocument/2006/relationships/chart" Target="../charts/chart4.xml"/><Relationship Id="rId17" Type="http://schemas.openxmlformats.org/officeDocument/2006/relationships/image" Target="../media/image25.png"/><Relationship Id="rId25" Type="http://schemas.openxmlformats.org/officeDocument/2006/relationships/chart" Target="../charts/chart6.xml"/><Relationship Id="rId2" Type="http://schemas.openxmlformats.org/officeDocument/2006/relationships/image" Target="../media/image2.png"/><Relationship Id="rId16" Type="http://schemas.openxmlformats.org/officeDocument/2006/relationships/image" Target="../media/image24.png"/><Relationship Id="rId20" Type="http://schemas.openxmlformats.org/officeDocument/2006/relationships/image" Target="../media/image28.png"/><Relationship Id="rId29" Type="http://schemas.openxmlformats.org/officeDocument/2006/relationships/chart" Target="../charts/chart9.xml"/><Relationship Id="rId1" Type="http://schemas.openxmlformats.org/officeDocument/2006/relationships/image" Target="../media/image1.png"/><Relationship Id="rId6" Type="http://schemas.openxmlformats.org/officeDocument/2006/relationships/image" Target="../media/image20.png"/><Relationship Id="rId11" Type="http://schemas.microsoft.com/office/2007/relationships/hdphoto" Target="../media/hdphoto2.wdp"/><Relationship Id="rId24" Type="http://schemas.openxmlformats.org/officeDocument/2006/relationships/image" Target="../media/image32.png"/><Relationship Id="rId32" Type="http://schemas.openxmlformats.org/officeDocument/2006/relationships/chart" Target="../charts/chart12.xml"/><Relationship Id="rId5" Type="http://schemas.openxmlformats.org/officeDocument/2006/relationships/image" Target="../media/image5.png"/><Relationship Id="rId15" Type="http://schemas.openxmlformats.org/officeDocument/2006/relationships/image" Target="../media/image23.png"/><Relationship Id="rId23" Type="http://schemas.openxmlformats.org/officeDocument/2006/relationships/image" Target="../media/image31.png"/><Relationship Id="rId28" Type="http://schemas.openxmlformats.org/officeDocument/2006/relationships/image" Target="../media/image33.png"/><Relationship Id="rId10" Type="http://schemas.openxmlformats.org/officeDocument/2006/relationships/image" Target="../media/image21.png"/><Relationship Id="rId19" Type="http://schemas.openxmlformats.org/officeDocument/2006/relationships/image" Target="../media/image27.png"/><Relationship Id="rId31" Type="http://schemas.openxmlformats.org/officeDocument/2006/relationships/chart" Target="../charts/chart11.xml"/><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22.png"/><Relationship Id="rId22" Type="http://schemas.openxmlformats.org/officeDocument/2006/relationships/image" Target="../media/image30.png"/><Relationship Id="rId27" Type="http://schemas.openxmlformats.org/officeDocument/2006/relationships/chart" Target="../charts/chart8.xml"/><Relationship Id="rId30"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13" Type="http://schemas.openxmlformats.org/officeDocument/2006/relationships/chart" Target="../charts/chart14.xml"/><Relationship Id="rId18" Type="http://schemas.openxmlformats.org/officeDocument/2006/relationships/image" Target="../media/image26.png"/><Relationship Id="rId26" Type="http://schemas.openxmlformats.org/officeDocument/2006/relationships/chart" Target="../charts/chart15.xml"/><Relationship Id="rId3" Type="http://schemas.openxmlformats.org/officeDocument/2006/relationships/image" Target="../media/image3.png"/><Relationship Id="rId21" Type="http://schemas.openxmlformats.org/officeDocument/2006/relationships/image" Target="../media/image29.png"/><Relationship Id="rId34" Type="http://schemas.openxmlformats.org/officeDocument/2006/relationships/chart" Target="../charts/chart23.xml"/><Relationship Id="rId7" Type="http://schemas.openxmlformats.org/officeDocument/2006/relationships/image" Target="../media/image7.png"/><Relationship Id="rId12" Type="http://schemas.openxmlformats.org/officeDocument/2006/relationships/chart" Target="../charts/chart13.xml"/><Relationship Id="rId17" Type="http://schemas.openxmlformats.org/officeDocument/2006/relationships/image" Target="../media/image25.png"/><Relationship Id="rId25" Type="http://schemas.openxmlformats.org/officeDocument/2006/relationships/image" Target="../media/image33.png"/><Relationship Id="rId33" Type="http://schemas.openxmlformats.org/officeDocument/2006/relationships/chart" Target="../charts/chart22.xml"/><Relationship Id="rId2" Type="http://schemas.openxmlformats.org/officeDocument/2006/relationships/image" Target="../media/image2.png"/><Relationship Id="rId16" Type="http://schemas.openxmlformats.org/officeDocument/2006/relationships/image" Target="../media/image24.png"/><Relationship Id="rId20" Type="http://schemas.openxmlformats.org/officeDocument/2006/relationships/image" Target="../media/image28.png"/><Relationship Id="rId29" Type="http://schemas.openxmlformats.org/officeDocument/2006/relationships/chart" Target="../charts/chart18.xml"/><Relationship Id="rId1" Type="http://schemas.openxmlformats.org/officeDocument/2006/relationships/image" Target="../media/image1.png"/><Relationship Id="rId6" Type="http://schemas.openxmlformats.org/officeDocument/2006/relationships/image" Target="../media/image20.png"/><Relationship Id="rId11" Type="http://schemas.microsoft.com/office/2007/relationships/hdphoto" Target="../media/hdphoto3.wdp"/><Relationship Id="rId24" Type="http://schemas.openxmlformats.org/officeDocument/2006/relationships/image" Target="../media/image32.png"/><Relationship Id="rId32" Type="http://schemas.openxmlformats.org/officeDocument/2006/relationships/chart" Target="../charts/chart21.xml"/><Relationship Id="rId5" Type="http://schemas.openxmlformats.org/officeDocument/2006/relationships/image" Target="../media/image5.png"/><Relationship Id="rId15" Type="http://schemas.openxmlformats.org/officeDocument/2006/relationships/image" Target="../media/image23.png"/><Relationship Id="rId23" Type="http://schemas.openxmlformats.org/officeDocument/2006/relationships/image" Target="../media/image31.png"/><Relationship Id="rId28" Type="http://schemas.openxmlformats.org/officeDocument/2006/relationships/chart" Target="../charts/chart17.xml"/><Relationship Id="rId10" Type="http://schemas.openxmlformats.org/officeDocument/2006/relationships/image" Target="../media/image34.png"/><Relationship Id="rId19" Type="http://schemas.openxmlformats.org/officeDocument/2006/relationships/image" Target="../media/image27.png"/><Relationship Id="rId31" Type="http://schemas.openxmlformats.org/officeDocument/2006/relationships/chart" Target="../charts/chart20.xml"/><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22.png"/><Relationship Id="rId22" Type="http://schemas.openxmlformats.org/officeDocument/2006/relationships/image" Target="../media/image30.png"/><Relationship Id="rId27" Type="http://schemas.openxmlformats.org/officeDocument/2006/relationships/chart" Target="../charts/chart16.xml"/><Relationship Id="rId30" Type="http://schemas.openxmlformats.org/officeDocument/2006/relationships/chart" Target="../charts/chart19.xml"/><Relationship Id="rId35" Type="http://schemas.openxmlformats.org/officeDocument/2006/relationships/chart" Target="../charts/chart24.xml"/><Relationship Id="rId8"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85725</xdr:colOff>
      <xdr:row>8</xdr:row>
      <xdr:rowOff>8685</xdr:rowOff>
    </xdr:from>
    <xdr:to>
      <xdr:col>2</xdr:col>
      <xdr:colOff>457200</xdr:colOff>
      <xdr:row>9</xdr:row>
      <xdr:rowOff>45383</xdr:rowOff>
    </xdr:to>
    <xdr:pic>
      <xdr:nvPicPr>
        <xdr:cNvPr id="2" name="Picture 1">
          <a:extLst>
            <a:ext uri="{FF2B5EF4-FFF2-40B4-BE49-F238E27FC236}">
              <a16:creationId xmlns:a16="http://schemas.microsoft.com/office/drawing/2014/main" xmlns="" id="{5CB2409D-3279-4D71-AABC-F0A5452FD6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09825" y="1532685"/>
          <a:ext cx="371475" cy="360549"/>
        </a:xfrm>
        <a:prstGeom prst="rect">
          <a:avLst/>
        </a:prstGeom>
      </xdr:spPr>
    </xdr:pic>
    <xdr:clientData/>
  </xdr:twoCellAnchor>
  <xdr:twoCellAnchor editAs="oneCell">
    <xdr:from>
      <xdr:col>4</xdr:col>
      <xdr:colOff>47625</xdr:colOff>
      <xdr:row>7</xdr:row>
      <xdr:rowOff>142875</xdr:rowOff>
    </xdr:from>
    <xdr:to>
      <xdr:col>4</xdr:col>
      <xdr:colOff>409575</xdr:colOff>
      <xdr:row>8</xdr:row>
      <xdr:rowOff>283634</xdr:rowOff>
    </xdr:to>
    <xdr:pic>
      <xdr:nvPicPr>
        <xdr:cNvPr id="3" name="Picture 2">
          <a:extLst>
            <a:ext uri="{FF2B5EF4-FFF2-40B4-BE49-F238E27FC236}">
              <a16:creationId xmlns:a16="http://schemas.microsoft.com/office/drawing/2014/main" xmlns="" id="{D0796E6C-4887-47DE-9EDF-B548EEE51F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71975" y="1501775"/>
          <a:ext cx="361950" cy="365125"/>
        </a:xfrm>
        <a:prstGeom prst="rect">
          <a:avLst/>
        </a:prstGeom>
      </xdr:spPr>
    </xdr:pic>
    <xdr:clientData/>
  </xdr:twoCellAnchor>
  <xdr:twoCellAnchor editAs="oneCell">
    <xdr:from>
      <xdr:col>0</xdr:col>
      <xdr:colOff>19050</xdr:colOff>
      <xdr:row>7</xdr:row>
      <xdr:rowOff>152400</xdr:rowOff>
    </xdr:from>
    <xdr:to>
      <xdr:col>0</xdr:col>
      <xdr:colOff>390525</xdr:colOff>
      <xdr:row>8</xdr:row>
      <xdr:rowOff>291758</xdr:rowOff>
    </xdr:to>
    <xdr:pic>
      <xdr:nvPicPr>
        <xdr:cNvPr id="4" name="Picture 3">
          <a:extLst>
            <a:ext uri="{FF2B5EF4-FFF2-40B4-BE49-F238E27FC236}">
              <a16:creationId xmlns:a16="http://schemas.microsoft.com/office/drawing/2014/main" xmlns="" id="{98C3F40F-3908-41DB-936D-4AEF01A35B7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 y="1511300"/>
          <a:ext cx="371475" cy="363724"/>
        </a:xfrm>
        <a:prstGeom prst="rect">
          <a:avLst/>
        </a:prstGeom>
      </xdr:spPr>
    </xdr:pic>
    <xdr:clientData/>
  </xdr:twoCellAnchor>
  <xdr:twoCellAnchor editAs="oneCell">
    <xdr:from>
      <xdr:col>0</xdr:col>
      <xdr:colOff>31751</xdr:colOff>
      <xdr:row>17</xdr:row>
      <xdr:rowOff>152402</xdr:rowOff>
    </xdr:from>
    <xdr:to>
      <xdr:col>0</xdr:col>
      <xdr:colOff>501651</xdr:colOff>
      <xdr:row>18</xdr:row>
      <xdr:rowOff>442636</xdr:rowOff>
    </xdr:to>
    <xdr:pic>
      <xdr:nvPicPr>
        <xdr:cNvPr id="7" name="Picture 6">
          <a:extLst>
            <a:ext uri="{FF2B5EF4-FFF2-40B4-BE49-F238E27FC236}">
              <a16:creationId xmlns:a16="http://schemas.microsoft.com/office/drawing/2014/main" xmlns="" id="{84AB3A16-8B3C-495B-80F9-8EE1EE30B71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751" y="3492502"/>
          <a:ext cx="469900" cy="446866"/>
        </a:xfrm>
        <a:prstGeom prst="rect">
          <a:avLst/>
        </a:prstGeom>
      </xdr:spPr>
    </xdr:pic>
    <xdr:clientData/>
  </xdr:twoCellAnchor>
  <xdr:twoCellAnchor editAs="oneCell">
    <xdr:from>
      <xdr:col>0</xdr:col>
      <xdr:colOff>0</xdr:colOff>
      <xdr:row>19</xdr:row>
      <xdr:rowOff>133351</xdr:rowOff>
    </xdr:from>
    <xdr:to>
      <xdr:col>0</xdr:col>
      <xdr:colOff>463550</xdr:colOff>
      <xdr:row>20</xdr:row>
      <xdr:rowOff>423216</xdr:rowOff>
    </xdr:to>
    <xdr:pic>
      <xdr:nvPicPr>
        <xdr:cNvPr id="8" name="Picture 7">
          <a:extLst>
            <a:ext uri="{FF2B5EF4-FFF2-40B4-BE49-F238E27FC236}">
              <a16:creationId xmlns:a16="http://schemas.microsoft.com/office/drawing/2014/main" xmlns="" id="{DEEB4B32-3942-4C80-8083-D4F4AF2EE3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3962401"/>
          <a:ext cx="463550" cy="454966"/>
        </a:xfrm>
        <a:prstGeom prst="rect">
          <a:avLst/>
        </a:prstGeom>
      </xdr:spPr>
    </xdr:pic>
    <xdr:clientData/>
  </xdr:twoCellAnchor>
  <xdr:twoCellAnchor editAs="oneCell">
    <xdr:from>
      <xdr:col>0</xdr:col>
      <xdr:colOff>88901</xdr:colOff>
      <xdr:row>21</xdr:row>
      <xdr:rowOff>107950</xdr:rowOff>
    </xdr:from>
    <xdr:to>
      <xdr:col>0</xdr:col>
      <xdr:colOff>488951</xdr:colOff>
      <xdr:row>22</xdr:row>
      <xdr:rowOff>346466</xdr:rowOff>
    </xdr:to>
    <xdr:pic>
      <xdr:nvPicPr>
        <xdr:cNvPr id="9" name="Picture 8">
          <a:extLst>
            <a:ext uri="{FF2B5EF4-FFF2-40B4-BE49-F238E27FC236}">
              <a16:creationId xmlns:a16="http://schemas.microsoft.com/office/drawing/2014/main" xmlns="" id="{9A160A7F-537E-4345-BEB6-8FDB57EEFD6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901" y="4413250"/>
          <a:ext cx="400050" cy="393032"/>
        </a:xfrm>
        <a:prstGeom prst="rect">
          <a:avLst/>
        </a:prstGeom>
      </xdr:spPr>
    </xdr:pic>
    <xdr:clientData/>
  </xdr:twoCellAnchor>
  <xdr:twoCellAnchor editAs="oneCell">
    <xdr:from>
      <xdr:col>0</xdr:col>
      <xdr:colOff>31750</xdr:colOff>
      <xdr:row>23</xdr:row>
      <xdr:rowOff>79375</xdr:rowOff>
    </xdr:from>
    <xdr:to>
      <xdr:col>0</xdr:col>
      <xdr:colOff>571500</xdr:colOff>
      <xdr:row>24</xdr:row>
      <xdr:rowOff>370450</xdr:rowOff>
    </xdr:to>
    <xdr:pic>
      <xdr:nvPicPr>
        <xdr:cNvPr id="10" name="Picture 9">
          <a:extLst>
            <a:ext uri="{FF2B5EF4-FFF2-40B4-BE49-F238E27FC236}">
              <a16:creationId xmlns:a16="http://schemas.microsoft.com/office/drawing/2014/main" xmlns="" id="{2D2AE4B8-4A07-4A06-85E0-E9DBDAF4D57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750" y="4702175"/>
          <a:ext cx="539750" cy="528142"/>
        </a:xfrm>
        <a:prstGeom prst="rect">
          <a:avLst/>
        </a:prstGeom>
      </xdr:spPr>
    </xdr:pic>
    <xdr:clientData/>
  </xdr:twoCellAnchor>
  <xdr:twoCellAnchor editAs="oneCell">
    <xdr:from>
      <xdr:col>0</xdr:col>
      <xdr:colOff>9525</xdr:colOff>
      <xdr:row>25</xdr:row>
      <xdr:rowOff>47625</xdr:rowOff>
    </xdr:from>
    <xdr:to>
      <xdr:col>0</xdr:col>
      <xdr:colOff>581024</xdr:colOff>
      <xdr:row>26</xdr:row>
      <xdr:rowOff>451907</xdr:rowOff>
    </xdr:to>
    <xdr:pic>
      <xdr:nvPicPr>
        <xdr:cNvPr id="11" name="Picture 10">
          <a:extLst>
            <a:ext uri="{FF2B5EF4-FFF2-40B4-BE49-F238E27FC236}">
              <a16:creationId xmlns:a16="http://schemas.microsoft.com/office/drawing/2014/main" xmlns="" id="{57A83ACB-6722-4B4E-8D49-15160066E14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 y="5216525"/>
          <a:ext cx="571499" cy="558799"/>
        </a:xfrm>
        <a:prstGeom prst="rect">
          <a:avLst/>
        </a:prstGeom>
      </xdr:spPr>
    </xdr:pic>
    <xdr:clientData/>
  </xdr:twoCellAnchor>
  <xdr:twoCellAnchor editAs="oneCell">
    <xdr:from>
      <xdr:col>7</xdr:col>
      <xdr:colOff>1295400</xdr:colOff>
      <xdr:row>7</xdr:row>
      <xdr:rowOff>152400</xdr:rowOff>
    </xdr:from>
    <xdr:to>
      <xdr:col>8</xdr:col>
      <xdr:colOff>812801</xdr:colOff>
      <xdr:row>11</xdr:row>
      <xdr:rowOff>11642</xdr:rowOff>
    </xdr:to>
    <xdr:pic>
      <xdr:nvPicPr>
        <xdr:cNvPr id="12" name="Picture 11">
          <a:extLst>
            <a:ext uri="{FF2B5EF4-FFF2-40B4-BE49-F238E27FC236}">
              <a16:creationId xmlns:a16="http://schemas.microsoft.com/office/drawing/2014/main" xmlns="" id="{DD730D61-EF11-412E-8C44-81FC242C57C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140700" y="1511300"/>
          <a:ext cx="1003300" cy="898525"/>
        </a:xfrm>
        <a:prstGeom prst="rect">
          <a:avLst/>
        </a:prstGeom>
      </xdr:spPr>
    </xdr:pic>
    <xdr:clientData/>
  </xdr:twoCellAnchor>
  <xdr:twoCellAnchor editAs="oneCell">
    <xdr:from>
      <xdr:col>10</xdr:col>
      <xdr:colOff>28575</xdr:colOff>
      <xdr:row>7</xdr:row>
      <xdr:rowOff>152400</xdr:rowOff>
    </xdr:from>
    <xdr:to>
      <xdr:col>10</xdr:col>
      <xdr:colOff>965200</xdr:colOff>
      <xdr:row>11</xdr:row>
      <xdr:rowOff>11642</xdr:rowOff>
    </xdr:to>
    <xdr:pic>
      <xdr:nvPicPr>
        <xdr:cNvPr id="13" name="Picture 12">
          <a:extLst>
            <a:ext uri="{FF2B5EF4-FFF2-40B4-BE49-F238E27FC236}">
              <a16:creationId xmlns:a16="http://schemas.microsoft.com/office/drawing/2014/main" xmlns="" id="{5B5AD366-7E8E-49DE-85E4-F4C85B27CD88}"/>
            </a:ext>
          </a:extLst>
        </xdr:cNvPr>
        <xdr:cNvPicPr>
          <a:picLocks noChangeAspect="1"/>
        </xdr:cNvPicPr>
      </xdr:nvPicPr>
      <xdr:blipFill>
        <a:blip xmlns:r="http://schemas.openxmlformats.org/officeDocument/2006/relationships" r:embed="rId10" cstate="print">
          <a:duotone>
            <a:schemeClr val="accent4">
              <a:shade val="45000"/>
              <a:satMod val="135000"/>
            </a:schemeClr>
            <a:prstClr val="white"/>
          </a:duotone>
          <a:extLst>
            <a:ext uri="{BEBA8EAE-BF5A-486C-A8C5-ECC9F3942E4B}">
              <a14:imgProps xmlns:a14="http://schemas.microsoft.com/office/drawing/2010/main">
                <a14:imgLayer r:embed="rId11">
                  <a14:imgEffect>
                    <a14:brightnessContrast bright="-9000"/>
                  </a14:imgEffect>
                </a14:imgLayer>
              </a14:imgProps>
            </a:ext>
            <a:ext uri="{28A0092B-C50C-407E-A947-70E740481C1C}">
              <a14:useLocalDpi xmlns:a14="http://schemas.microsoft.com/office/drawing/2010/main" val="0"/>
            </a:ext>
          </a:extLst>
        </a:blip>
        <a:stretch>
          <a:fillRect/>
        </a:stretch>
      </xdr:blipFill>
      <xdr:spPr>
        <a:xfrm>
          <a:off x="10226675" y="1511300"/>
          <a:ext cx="936625" cy="898525"/>
        </a:xfrm>
        <a:prstGeom prst="rect">
          <a:avLst/>
        </a:prstGeom>
      </xdr:spPr>
    </xdr:pic>
    <xdr:clientData/>
  </xdr:twoCellAnchor>
  <xdr:twoCellAnchor>
    <xdr:from>
      <xdr:col>7</xdr:col>
      <xdr:colOff>907</xdr:colOff>
      <xdr:row>16</xdr:row>
      <xdr:rowOff>10885</xdr:rowOff>
    </xdr:from>
    <xdr:to>
      <xdr:col>12</xdr:col>
      <xdr:colOff>10432</xdr:colOff>
      <xdr:row>28</xdr:row>
      <xdr:rowOff>36738</xdr:rowOff>
    </xdr:to>
    <xdr:graphicFrame macro="">
      <xdr:nvGraphicFramePr>
        <xdr:cNvPr id="14" name="Chart 13">
          <a:extLst>
            <a:ext uri="{FF2B5EF4-FFF2-40B4-BE49-F238E27FC236}">
              <a16:creationId xmlns:a16="http://schemas.microsoft.com/office/drawing/2014/main" xmlns="" id="{16350072-127E-46E1-9992-FCAB2E1578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27215</xdr:colOff>
      <xdr:row>19</xdr:row>
      <xdr:rowOff>157389</xdr:rowOff>
    </xdr:from>
    <xdr:to>
      <xdr:col>24</xdr:col>
      <xdr:colOff>4082</xdr:colOff>
      <xdr:row>28</xdr:row>
      <xdr:rowOff>27214</xdr:rowOff>
    </xdr:to>
    <xdr:graphicFrame macro="">
      <xdr:nvGraphicFramePr>
        <xdr:cNvPr id="15" name="Chart 14">
          <a:extLst>
            <a:ext uri="{FF2B5EF4-FFF2-40B4-BE49-F238E27FC236}">
              <a16:creationId xmlns:a16="http://schemas.microsoft.com/office/drawing/2014/main" xmlns="" id="{77562928-8DEE-4058-8B04-9DC89BA12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0</xdr:colOff>
      <xdr:row>5</xdr:row>
      <xdr:rowOff>165099</xdr:rowOff>
    </xdr:from>
    <xdr:to>
      <xdr:col>24</xdr:col>
      <xdr:colOff>0</xdr:colOff>
      <xdr:row>19</xdr:row>
      <xdr:rowOff>15874</xdr:rowOff>
    </xdr:to>
    <xdr:graphicFrame macro="">
      <xdr:nvGraphicFramePr>
        <xdr:cNvPr id="33" name="Chart 32">
          <a:extLst>
            <a:ext uri="{FF2B5EF4-FFF2-40B4-BE49-F238E27FC236}">
              <a16:creationId xmlns:a16="http://schemas.microsoft.com/office/drawing/2014/main" xmlns="" id="{DBBE7262-ECCC-483E-9035-4B2B98A3D8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11</xdr:col>
      <xdr:colOff>357414</xdr:colOff>
      <xdr:row>28</xdr:row>
      <xdr:rowOff>226783</xdr:rowOff>
    </xdr:from>
    <xdr:to>
      <xdr:col>12</xdr:col>
      <xdr:colOff>7257</xdr:colOff>
      <xdr:row>30</xdr:row>
      <xdr:rowOff>86781</xdr:rowOff>
    </xdr:to>
    <xdr:pic>
      <xdr:nvPicPr>
        <xdr:cNvPr id="34" name="Picture 33">
          <a:extLst>
            <a:ext uri="{FF2B5EF4-FFF2-40B4-BE49-F238E27FC236}">
              <a16:creationId xmlns:a16="http://schemas.microsoft.com/office/drawing/2014/main" xmlns="" id="{4C36451A-CD4E-488C-8A55-69C57DA2BE7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3393057" y="7901212"/>
          <a:ext cx="520700" cy="522212"/>
        </a:xfrm>
        <a:prstGeom prst="rect">
          <a:avLst/>
        </a:prstGeom>
      </xdr:spPr>
    </xdr:pic>
    <xdr:clientData/>
  </xdr:twoCellAnchor>
  <xdr:twoCellAnchor editAs="oneCell">
    <xdr:from>
      <xdr:col>11</xdr:col>
      <xdr:colOff>308429</xdr:colOff>
      <xdr:row>31</xdr:row>
      <xdr:rowOff>54427</xdr:rowOff>
    </xdr:from>
    <xdr:to>
      <xdr:col>12</xdr:col>
      <xdr:colOff>52560</xdr:colOff>
      <xdr:row>33</xdr:row>
      <xdr:rowOff>69547</xdr:rowOff>
    </xdr:to>
    <xdr:pic>
      <xdr:nvPicPr>
        <xdr:cNvPr id="35" name="Picture 34">
          <a:extLst>
            <a:ext uri="{FF2B5EF4-FFF2-40B4-BE49-F238E27FC236}">
              <a16:creationId xmlns:a16="http://schemas.microsoft.com/office/drawing/2014/main" xmlns="" id="{75AF0A1E-D24A-4F58-B1CF-9168BBA981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44072" y="8681356"/>
          <a:ext cx="614988" cy="595691"/>
        </a:xfrm>
        <a:prstGeom prst="rect">
          <a:avLst/>
        </a:prstGeom>
      </xdr:spPr>
    </xdr:pic>
    <xdr:clientData/>
  </xdr:twoCellAnchor>
  <xdr:twoCellAnchor editAs="oneCell">
    <xdr:from>
      <xdr:col>11</xdr:col>
      <xdr:colOff>362858</xdr:colOff>
      <xdr:row>33</xdr:row>
      <xdr:rowOff>172357</xdr:rowOff>
    </xdr:from>
    <xdr:to>
      <xdr:col>11</xdr:col>
      <xdr:colOff>866624</xdr:colOff>
      <xdr:row>35</xdr:row>
      <xdr:rowOff>88900</xdr:rowOff>
    </xdr:to>
    <xdr:pic>
      <xdr:nvPicPr>
        <xdr:cNvPr id="36" name="Picture 35">
          <a:extLst>
            <a:ext uri="{FF2B5EF4-FFF2-40B4-BE49-F238E27FC236}">
              <a16:creationId xmlns:a16="http://schemas.microsoft.com/office/drawing/2014/main" xmlns="" id="{5CF500D5-79F0-47F7-8888-08066FDA9F4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3398501" y="9379857"/>
          <a:ext cx="503766" cy="497114"/>
        </a:xfrm>
        <a:prstGeom prst="rect">
          <a:avLst/>
        </a:prstGeom>
      </xdr:spPr>
    </xdr:pic>
    <xdr:clientData/>
  </xdr:twoCellAnchor>
  <xdr:twoCellAnchor editAs="oneCell">
    <xdr:from>
      <xdr:col>11</xdr:col>
      <xdr:colOff>354694</xdr:colOff>
      <xdr:row>36</xdr:row>
      <xdr:rowOff>286667</xdr:rowOff>
    </xdr:from>
    <xdr:to>
      <xdr:col>12</xdr:col>
      <xdr:colOff>17237</xdr:colOff>
      <xdr:row>38</xdr:row>
      <xdr:rowOff>245543</xdr:rowOff>
    </xdr:to>
    <xdr:pic>
      <xdr:nvPicPr>
        <xdr:cNvPr id="37" name="Picture 36">
          <a:extLst>
            <a:ext uri="{FF2B5EF4-FFF2-40B4-BE49-F238E27FC236}">
              <a16:creationId xmlns:a16="http://schemas.microsoft.com/office/drawing/2014/main" xmlns="" id="{9FA715FA-94CE-4473-93E9-53404722BBD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390337" y="10365024"/>
          <a:ext cx="533400" cy="539448"/>
        </a:xfrm>
        <a:prstGeom prst="rect">
          <a:avLst/>
        </a:prstGeom>
      </xdr:spPr>
    </xdr:pic>
    <xdr:clientData/>
  </xdr:twoCellAnchor>
  <xdr:twoCellAnchor editAs="oneCell">
    <xdr:from>
      <xdr:col>11</xdr:col>
      <xdr:colOff>574222</xdr:colOff>
      <xdr:row>38</xdr:row>
      <xdr:rowOff>106143</xdr:rowOff>
    </xdr:from>
    <xdr:to>
      <xdr:col>13</xdr:col>
      <xdr:colOff>39914</xdr:colOff>
      <xdr:row>40</xdr:row>
      <xdr:rowOff>122471</xdr:rowOff>
    </xdr:to>
    <xdr:pic>
      <xdr:nvPicPr>
        <xdr:cNvPr id="38" name="Picture 37">
          <a:extLst>
            <a:ext uri="{FF2B5EF4-FFF2-40B4-BE49-F238E27FC236}">
              <a16:creationId xmlns:a16="http://schemas.microsoft.com/office/drawing/2014/main" xmlns="" id="{7C0AC48D-AAB1-4471-AADA-1E140F4057B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3609865" y="10765072"/>
          <a:ext cx="599620" cy="596899"/>
        </a:xfrm>
        <a:prstGeom prst="rect">
          <a:avLst/>
        </a:prstGeom>
      </xdr:spPr>
    </xdr:pic>
    <xdr:clientData/>
  </xdr:twoCellAnchor>
  <xdr:twoCellAnchor editAs="oneCell">
    <xdr:from>
      <xdr:col>11</xdr:col>
      <xdr:colOff>200481</xdr:colOff>
      <xdr:row>38</xdr:row>
      <xdr:rowOff>116116</xdr:rowOff>
    </xdr:from>
    <xdr:to>
      <xdr:col>11</xdr:col>
      <xdr:colOff>806453</xdr:colOff>
      <xdr:row>40</xdr:row>
      <xdr:rowOff>145145</xdr:rowOff>
    </xdr:to>
    <xdr:pic>
      <xdr:nvPicPr>
        <xdr:cNvPr id="39" name="Picture 38">
          <a:extLst>
            <a:ext uri="{FF2B5EF4-FFF2-40B4-BE49-F238E27FC236}">
              <a16:creationId xmlns:a16="http://schemas.microsoft.com/office/drawing/2014/main" xmlns="" id="{41D85E75-5CC7-48D7-83B9-325B0B8FF6A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3236124" y="10775045"/>
          <a:ext cx="605972" cy="609600"/>
        </a:xfrm>
        <a:prstGeom prst="rect">
          <a:avLst/>
        </a:prstGeom>
      </xdr:spPr>
    </xdr:pic>
    <xdr:clientData/>
  </xdr:twoCellAnchor>
  <xdr:twoCellAnchor editAs="oneCell">
    <xdr:from>
      <xdr:col>11</xdr:col>
      <xdr:colOff>381711</xdr:colOff>
      <xdr:row>39</xdr:row>
      <xdr:rowOff>255942</xdr:rowOff>
    </xdr:from>
    <xdr:to>
      <xdr:col>12</xdr:col>
      <xdr:colOff>99589</xdr:colOff>
      <xdr:row>41</xdr:row>
      <xdr:rowOff>264682</xdr:rowOff>
    </xdr:to>
    <xdr:pic>
      <xdr:nvPicPr>
        <xdr:cNvPr id="41" name="Picture 40">
          <a:extLst>
            <a:ext uri="{FF2B5EF4-FFF2-40B4-BE49-F238E27FC236}">
              <a16:creationId xmlns:a16="http://schemas.microsoft.com/office/drawing/2014/main" xmlns="" id="{E1EB8B07-22D2-4B9C-884F-0CBC6DA3E3B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3417354" y="11205156"/>
          <a:ext cx="588735" cy="589312"/>
        </a:xfrm>
        <a:prstGeom prst="rect">
          <a:avLst/>
        </a:prstGeom>
      </xdr:spPr>
    </xdr:pic>
    <xdr:clientData/>
  </xdr:twoCellAnchor>
  <xdr:twoCellAnchor editAs="oneCell">
    <xdr:from>
      <xdr:col>7</xdr:col>
      <xdr:colOff>880835</xdr:colOff>
      <xdr:row>48</xdr:row>
      <xdr:rowOff>263979</xdr:rowOff>
    </xdr:from>
    <xdr:to>
      <xdr:col>7</xdr:col>
      <xdr:colOff>1382485</xdr:colOff>
      <xdr:row>50</xdr:row>
      <xdr:rowOff>17539</xdr:rowOff>
    </xdr:to>
    <xdr:pic>
      <xdr:nvPicPr>
        <xdr:cNvPr id="42" name="Picture 41">
          <a:extLst>
            <a:ext uri="{FF2B5EF4-FFF2-40B4-BE49-F238E27FC236}">
              <a16:creationId xmlns:a16="http://schemas.microsoft.com/office/drawing/2014/main" xmlns="" id="{9DE362C1-1A77-47F7-8C19-A8EE9F7868F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426121" y="13825765"/>
          <a:ext cx="501650" cy="497417"/>
        </a:xfrm>
        <a:prstGeom prst="rect">
          <a:avLst/>
        </a:prstGeom>
      </xdr:spPr>
    </xdr:pic>
    <xdr:clientData/>
  </xdr:twoCellAnchor>
  <xdr:twoCellAnchor editAs="oneCell">
    <xdr:from>
      <xdr:col>11</xdr:col>
      <xdr:colOff>641351</xdr:colOff>
      <xdr:row>42</xdr:row>
      <xdr:rowOff>31751</xdr:rowOff>
    </xdr:from>
    <xdr:to>
      <xdr:col>13</xdr:col>
      <xdr:colOff>229719</xdr:colOff>
      <xdr:row>44</xdr:row>
      <xdr:rowOff>164404</xdr:rowOff>
    </xdr:to>
    <xdr:pic>
      <xdr:nvPicPr>
        <xdr:cNvPr id="43" name="Picture 42">
          <a:extLst>
            <a:ext uri="{FF2B5EF4-FFF2-40B4-BE49-F238E27FC236}">
              <a16:creationId xmlns:a16="http://schemas.microsoft.com/office/drawing/2014/main" xmlns="" id="{D45F5A75-D249-43F0-9217-DED747CE60F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3676994" y="11851822"/>
          <a:ext cx="722296" cy="713225"/>
        </a:xfrm>
        <a:prstGeom prst="rect">
          <a:avLst/>
        </a:prstGeom>
      </xdr:spPr>
    </xdr:pic>
    <xdr:clientData/>
  </xdr:twoCellAnchor>
  <xdr:twoCellAnchor editAs="oneCell">
    <xdr:from>
      <xdr:col>11</xdr:col>
      <xdr:colOff>112485</xdr:colOff>
      <xdr:row>42</xdr:row>
      <xdr:rowOff>107044</xdr:rowOff>
    </xdr:from>
    <xdr:to>
      <xdr:col>11</xdr:col>
      <xdr:colOff>678048</xdr:colOff>
      <xdr:row>44</xdr:row>
      <xdr:rowOff>76805</xdr:rowOff>
    </xdr:to>
    <xdr:pic>
      <xdr:nvPicPr>
        <xdr:cNvPr id="44" name="Picture 43">
          <a:extLst>
            <a:ext uri="{FF2B5EF4-FFF2-40B4-BE49-F238E27FC236}">
              <a16:creationId xmlns:a16="http://schemas.microsoft.com/office/drawing/2014/main" xmlns="" id="{27F97C94-733B-46A7-B7AA-2CD5BD4C1AF1}"/>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3148128" y="11927115"/>
          <a:ext cx="565563" cy="550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953558</xdr:colOff>
      <xdr:row>8</xdr:row>
      <xdr:rowOff>15741</xdr:rowOff>
    </xdr:from>
    <xdr:to>
      <xdr:col>2</xdr:col>
      <xdr:colOff>57049</xdr:colOff>
      <xdr:row>8</xdr:row>
      <xdr:rowOff>380523</xdr:rowOff>
    </xdr:to>
    <xdr:pic>
      <xdr:nvPicPr>
        <xdr:cNvPr id="2" name="Picture 1">
          <a:extLst>
            <a:ext uri="{FF2B5EF4-FFF2-40B4-BE49-F238E27FC236}">
              <a16:creationId xmlns:a16="http://schemas.microsoft.com/office/drawing/2014/main" xmlns="" id="{2E8894F0-7CF1-4161-8A96-56830EF43E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82169" y="1652630"/>
          <a:ext cx="371475" cy="364782"/>
        </a:xfrm>
        <a:prstGeom prst="rect">
          <a:avLst/>
        </a:prstGeom>
      </xdr:spPr>
    </xdr:pic>
    <xdr:clientData/>
  </xdr:twoCellAnchor>
  <xdr:twoCellAnchor editAs="oneCell">
    <xdr:from>
      <xdr:col>4</xdr:col>
      <xdr:colOff>40569</xdr:colOff>
      <xdr:row>8</xdr:row>
      <xdr:rowOff>51152</xdr:rowOff>
    </xdr:from>
    <xdr:to>
      <xdr:col>4</xdr:col>
      <xdr:colOff>402519</xdr:colOff>
      <xdr:row>8</xdr:row>
      <xdr:rowOff>417688</xdr:rowOff>
    </xdr:to>
    <xdr:pic>
      <xdr:nvPicPr>
        <xdr:cNvPr id="3" name="Picture 2">
          <a:extLst>
            <a:ext uri="{FF2B5EF4-FFF2-40B4-BE49-F238E27FC236}">
              <a16:creationId xmlns:a16="http://schemas.microsoft.com/office/drawing/2014/main" xmlns="" id="{7FFF8330-879B-4A25-9812-2A221E45BF4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25458" y="1688041"/>
          <a:ext cx="361950" cy="366536"/>
        </a:xfrm>
        <a:prstGeom prst="rect">
          <a:avLst/>
        </a:prstGeom>
      </xdr:spPr>
    </xdr:pic>
    <xdr:clientData/>
  </xdr:twoCellAnchor>
  <xdr:twoCellAnchor editAs="oneCell">
    <xdr:from>
      <xdr:col>0</xdr:col>
      <xdr:colOff>19050</xdr:colOff>
      <xdr:row>7</xdr:row>
      <xdr:rowOff>152400</xdr:rowOff>
    </xdr:from>
    <xdr:to>
      <xdr:col>0</xdr:col>
      <xdr:colOff>390525</xdr:colOff>
      <xdr:row>8</xdr:row>
      <xdr:rowOff>355257</xdr:rowOff>
    </xdr:to>
    <xdr:pic>
      <xdr:nvPicPr>
        <xdr:cNvPr id="4" name="Picture 3">
          <a:extLst>
            <a:ext uri="{FF2B5EF4-FFF2-40B4-BE49-F238E27FC236}">
              <a16:creationId xmlns:a16="http://schemas.microsoft.com/office/drawing/2014/main" xmlns="" id="{B1EF7A18-B338-4C4B-A780-505B6246FE1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 y="1511300"/>
          <a:ext cx="371475" cy="363724"/>
        </a:xfrm>
        <a:prstGeom prst="rect">
          <a:avLst/>
        </a:prstGeom>
      </xdr:spPr>
    </xdr:pic>
    <xdr:clientData/>
  </xdr:twoCellAnchor>
  <xdr:twoCellAnchor editAs="oneCell">
    <xdr:from>
      <xdr:col>0</xdr:col>
      <xdr:colOff>1340908</xdr:colOff>
      <xdr:row>19</xdr:row>
      <xdr:rowOff>1981</xdr:rowOff>
    </xdr:from>
    <xdr:to>
      <xdr:col>0</xdr:col>
      <xdr:colOff>1712383</xdr:colOff>
      <xdr:row>20</xdr:row>
      <xdr:rowOff>131460</xdr:rowOff>
    </xdr:to>
    <xdr:pic>
      <xdr:nvPicPr>
        <xdr:cNvPr id="5" name="Picture 4">
          <a:extLst>
            <a:ext uri="{FF2B5EF4-FFF2-40B4-BE49-F238E27FC236}">
              <a16:creationId xmlns:a16="http://schemas.microsoft.com/office/drawing/2014/main" xmlns="" id="{5682117E-7B8A-4B3C-8234-3A005A22CA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0908" y="4439925"/>
          <a:ext cx="371475" cy="355258"/>
        </a:xfrm>
        <a:prstGeom prst="rect">
          <a:avLst/>
        </a:prstGeom>
      </xdr:spPr>
    </xdr:pic>
    <xdr:clientData/>
  </xdr:twoCellAnchor>
  <xdr:twoCellAnchor editAs="oneCell">
    <xdr:from>
      <xdr:col>0</xdr:col>
      <xdr:colOff>1337381</xdr:colOff>
      <xdr:row>21</xdr:row>
      <xdr:rowOff>8819</xdr:rowOff>
    </xdr:from>
    <xdr:to>
      <xdr:col>0</xdr:col>
      <xdr:colOff>1702859</xdr:colOff>
      <xdr:row>22</xdr:row>
      <xdr:rowOff>127355</xdr:rowOff>
    </xdr:to>
    <xdr:pic>
      <xdr:nvPicPr>
        <xdr:cNvPr id="6" name="Picture 5">
          <a:extLst>
            <a:ext uri="{FF2B5EF4-FFF2-40B4-BE49-F238E27FC236}">
              <a16:creationId xmlns:a16="http://schemas.microsoft.com/office/drawing/2014/main" xmlns="" id="{74FCC101-310A-48A0-BAAF-CE7EB4ABFF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7381" y="4990041"/>
          <a:ext cx="365478" cy="344312"/>
        </a:xfrm>
        <a:prstGeom prst="rect">
          <a:avLst/>
        </a:prstGeom>
      </xdr:spPr>
    </xdr:pic>
    <xdr:clientData/>
  </xdr:twoCellAnchor>
  <xdr:twoCellAnchor editAs="oneCell">
    <xdr:from>
      <xdr:col>0</xdr:col>
      <xdr:colOff>0</xdr:colOff>
      <xdr:row>28</xdr:row>
      <xdr:rowOff>152401</xdr:rowOff>
    </xdr:from>
    <xdr:to>
      <xdr:col>0</xdr:col>
      <xdr:colOff>596505</xdr:colOff>
      <xdr:row>31</xdr:row>
      <xdr:rowOff>70555</xdr:rowOff>
    </xdr:to>
    <xdr:pic>
      <xdr:nvPicPr>
        <xdr:cNvPr id="7" name="Picture 6">
          <a:extLst>
            <a:ext uri="{FF2B5EF4-FFF2-40B4-BE49-F238E27FC236}">
              <a16:creationId xmlns:a16="http://schemas.microsoft.com/office/drawing/2014/main" xmlns="" id="{0CAE4928-7C81-4FE5-B359-1A044E295C0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6636457"/>
          <a:ext cx="596505" cy="567265"/>
        </a:xfrm>
        <a:prstGeom prst="rect">
          <a:avLst/>
        </a:prstGeom>
      </xdr:spPr>
    </xdr:pic>
    <xdr:clientData/>
  </xdr:twoCellAnchor>
  <xdr:twoCellAnchor editAs="oneCell">
    <xdr:from>
      <xdr:col>0</xdr:col>
      <xdr:colOff>0</xdr:colOff>
      <xdr:row>33</xdr:row>
      <xdr:rowOff>0</xdr:rowOff>
    </xdr:from>
    <xdr:to>
      <xdr:col>0</xdr:col>
      <xdr:colOff>603848</xdr:colOff>
      <xdr:row>35</xdr:row>
      <xdr:rowOff>148166</xdr:rowOff>
    </xdr:to>
    <xdr:pic>
      <xdr:nvPicPr>
        <xdr:cNvPr id="8" name="Picture 7">
          <a:extLst>
            <a:ext uri="{FF2B5EF4-FFF2-40B4-BE49-F238E27FC236}">
              <a16:creationId xmlns:a16="http://schemas.microsoft.com/office/drawing/2014/main" xmlns="" id="{81A5F3F4-D78D-4B6C-B3D9-13A02CD5578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7514167"/>
          <a:ext cx="603848" cy="592666"/>
        </a:xfrm>
        <a:prstGeom prst="rect">
          <a:avLst/>
        </a:prstGeom>
      </xdr:spPr>
    </xdr:pic>
    <xdr:clientData/>
  </xdr:twoCellAnchor>
  <xdr:twoCellAnchor editAs="oneCell">
    <xdr:from>
      <xdr:col>0</xdr:col>
      <xdr:colOff>0</xdr:colOff>
      <xdr:row>37</xdr:row>
      <xdr:rowOff>0</xdr:rowOff>
    </xdr:from>
    <xdr:to>
      <xdr:col>0</xdr:col>
      <xdr:colOff>666121</xdr:colOff>
      <xdr:row>40</xdr:row>
      <xdr:rowOff>7055</xdr:rowOff>
    </xdr:to>
    <xdr:pic>
      <xdr:nvPicPr>
        <xdr:cNvPr id="9" name="Picture 8">
          <a:extLst>
            <a:ext uri="{FF2B5EF4-FFF2-40B4-BE49-F238E27FC236}">
              <a16:creationId xmlns:a16="http://schemas.microsoft.com/office/drawing/2014/main" xmlns="" id="{8B75789F-794A-4EB4-A1F1-E3BE039FBA9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8339667"/>
          <a:ext cx="666121" cy="656166"/>
        </a:xfrm>
        <a:prstGeom prst="rect">
          <a:avLst/>
        </a:prstGeom>
      </xdr:spPr>
    </xdr:pic>
    <xdr:clientData/>
  </xdr:twoCellAnchor>
  <xdr:twoCellAnchor editAs="oneCell">
    <xdr:from>
      <xdr:col>0</xdr:col>
      <xdr:colOff>0</xdr:colOff>
      <xdr:row>40</xdr:row>
      <xdr:rowOff>123825</xdr:rowOff>
    </xdr:from>
    <xdr:to>
      <xdr:col>0</xdr:col>
      <xdr:colOff>748682</xdr:colOff>
      <xdr:row>43</xdr:row>
      <xdr:rowOff>176388</xdr:rowOff>
    </xdr:to>
    <xdr:pic>
      <xdr:nvPicPr>
        <xdr:cNvPr id="10" name="Picture 9">
          <a:extLst>
            <a:ext uri="{FF2B5EF4-FFF2-40B4-BE49-F238E27FC236}">
              <a16:creationId xmlns:a16="http://schemas.microsoft.com/office/drawing/2014/main" xmlns="" id="{89A7F8A7-3973-464F-B938-C61A6DDE2A7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9112603"/>
          <a:ext cx="748682" cy="729897"/>
        </a:xfrm>
        <a:prstGeom prst="rect">
          <a:avLst/>
        </a:prstGeom>
      </xdr:spPr>
    </xdr:pic>
    <xdr:clientData/>
  </xdr:twoCellAnchor>
  <xdr:twoCellAnchor editAs="oneCell">
    <xdr:from>
      <xdr:col>0</xdr:col>
      <xdr:colOff>9525</xdr:colOff>
      <xdr:row>44</xdr:row>
      <xdr:rowOff>104774</xdr:rowOff>
    </xdr:from>
    <xdr:to>
      <xdr:col>0</xdr:col>
      <xdr:colOff>684389</xdr:colOff>
      <xdr:row>47</xdr:row>
      <xdr:rowOff>110975</xdr:rowOff>
    </xdr:to>
    <xdr:pic>
      <xdr:nvPicPr>
        <xdr:cNvPr id="11" name="Picture 10">
          <a:extLst>
            <a:ext uri="{FF2B5EF4-FFF2-40B4-BE49-F238E27FC236}">
              <a16:creationId xmlns:a16="http://schemas.microsoft.com/office/drawing/2014/main" xmlns="" id="{EE3A7C71-2826-4981-AC68-65C141DF523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 y="9961385"/>
          <a:ext cx="674864" cy="662367"/>
        </a:xfrm>
        <a:prstGeom prst="rect">
          <a:avLst/>
        </a:prstGeom>
      </xdr:spPr>
    </xdr:pic>
    <xdr:clientData/>
  </xdr:twoCellAnchor>
  <xdr:twoCellAnchor editAs="oneCell">
    <xdr:from>
      <xdr:col>7</xdr:col>
      <xdr:colOff>886177</xdr:colOff>
      <xdr:row>8</xdr:row>
      <xdr:rowOff>272345</xdr:rowOff>
    </xdr:from>
    <xdr:to>
      <xdr:col>8</xdr:col>
      <xdr:colOff>390875</xdr:colOff>
      <xdr:row>10</xdr:row>
      <xdr:rowOff>384781</xdr:rowOff>
    </xdr:to>
    <xdr:pic>
      <xdr:nvPicPr>
        <xdr:cNvPr id="12" name="Picture 11">
          <a:extLst>
            <a:ext uri="{FF2B5EF4-FFF2-40B4-BE49-F238E27FC236}">
              <a16:creationId xmlns:a16="http://schemas.microsoft.com/office/drawing/2014/main" xmlns="" id="{0A464B7F-AB6E-4C19-9170-565F3F3E0F8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112477" y="1936045"/>
          <a:ext cx="1003299" cy="916164"/>
        </a:xfrm>
        <a:prstGeom prst="rect">
          <a:avLst/>
        </a:prstGeom>
      </xdr:spPr>
    </xdr:pic>
    <xdr:clientData/>
  </xdr:twoCellAnchor>
  <xdr:twoCellAnchor editAs="oneCell">
    <xdr:from>
      <xdr:col>9</xdr:col>
      <xdr:colOff>794809</xdr:colOff>
      <xdr:row>8</xdr:row>
      <xdr:rowOff>189089</xdr:rowOff>
    </xdr:from>
    <xdr:to>
      <xdr:col>11</xdr:col>
      <xdr:colOff>118534</xdr:colOff>
      <xdr:row>10</xdr:row>
      <xdr:rowOff>305153</xdr:rowOff>
    </xdr:to>
    <xdr:pic>
      <xdr:nvPicPr>
        <xdr:cNvPr id="13" name="Picture 12">
          <a:extLst>
            <a:ext uri="{FF2B5EF4-FFF2-40B4-BE49-F238E27FC236}">
              <a16:creationId xmlns:a16="http://schemas.microsoft.com/office/drawing/2014/main" xmlns="" id="{AAF33B3F-5FC5-4B1A-BB75-F28F9472AF03}"/>
            </a:ext>
          </a:extLst>
        </xdr:cNvPr>
        <xdr:cNvPicPr>
          <a:picLocks noChangeAspect="1"/>
        </xdr:cNvPicPr>
      </xdr:nvPicPr>
      <xdr:blipFill>
        <a:blip xmlns:r="http://schemas.openxmlformats.org/officeDocument/2006/relationships" r:embed="rId10" cstate="print">
          <a:duotone>
            <a:schemeClr val="accent4">
              <a:shade val="45000"/>
              <a:satMod val="135000"/>
            </a:schemeClr>
            <a:prstClr val="white"/>
          </a:duotone>
          <a:extLst>
            <a:ext uri="{BEBA8EAE-BF5A-486C-A8C5-ECC9F3942E4B}">
              <a14:imgProps xmlns:a14="http://schemas.microsoft.com/office/drawing/2010/main">
                <a14:imgLayer r:embed="rId11">
                  <a14:imgEffect>
                    <a14:brightnessContrast bright="-9000"/>
                  </a14:imgEffect>
                </a14:imgLayer>
              </a14:imgProps>
            </a:ext>
            <a:ext uri="{28A0092B-C50C-407E-A947-70E740481C1C}">
              <a14:useLocalDpi xmlns:a14="http://schemas.microsoft.com/office/drawing/2010/main" val="0"/>
            </a:ext>
          </a:extLst>
        </a:blip>
        <a:stretch>
          <a:fillRect/>
        </a:stretch>
      </xdr:blipFill>
      <xdr:spPr>
        <a:xfrm>
          <a:off x="9938809" y="1852789"/>
          <a:ext cx="936625" cy="916164"/>
        </a:xfrm>
        <a:prstGeom prst="rect">
          <a:avLst/>
        </a:prstGeom>
      </xdr:spPr>
    </xdr:pic>
    <xdr:clientData/>
  </xdr:twoCellAnchor>
  <xdr:twoCellAnchor>
    <xdr:from>
      <xdr:col>8</xdr:col>
      <xdr:colOff>393700</xdr:colOff>
      <xdr:row>16</xdr:row>
      <xdr:rowOff>12700</xdr:rowOff>
    </xdr:from>
    <xdr:to>
      <xdr:col>24</xdr:col>
      <xdr:colOff>12700</xdr:colOff>
      <xdr:row>32</xdr:row>
      <xdr:rowOff>139700</xdr:rowOff>
    </xdr:to>
    <xdr:graphicFrame macro="">
      <xdr:nvGraphicFramePr>
        <xdr:cNvPr id="14" name="Chart 13">
          <a:extLst>
            <a:ext uri="{FF2B5EF4-FFF2-40B4-BE49-F238E27FC236}">
              <a16:creationId xmlns:a16="http://schemas.microsoft.com/office/drawing/2014/main" xmlns="" id="{9168CC41-C447-4038-8850-42F1DFBCC0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254101</xdr:colOff>
      <xdr:row>5</xdr:row>
      <xdr:rowOff>140254</xdr:rowOff>
    </xdr:from>
    <xdr:to>
      <xdr:col>24</xdr:col>
      <xdr:colOff>3628</xdr:colOff>
      <xdr:row>13</xdr:row>
      <xdr:rowOff>145143</xdr:rowOff>
    </xdr:to>
    <xdr:graphicFrame macro="">
      <xdr:nvGraphicFramePr>
        <xdr:cNvPr id="15" name="Chart 14">
          <a:extLst>
            <a:ext uri="{FF2B5EF4-FFF2-40B4-BE49-F238E27FC236}">
              <a16:creationId xmlns:a16="http://schemas.microsoft.com/office/drawing/2014/main" xmlns="" id="{78314D0F-043B-4DB7-87FA-98331B7E98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11</xdr:col>
      <xdr:colOff>177800</xdr:colOff>
      <xdr:row>70</xdr:row>
      <xdr:rowOff>25400</xdr:rowOff>
    </xdr:from>
    <xdr:to>
      <xdr:col>11</xdr:col>
      <xdr:colOff>736599</xdr:colOff>
      <xdr:row>72</xdr:row>
      <xdr:rowOff>83225</xdr:rowOff>
    </xdr:to>
    <xdr:pic>
      <xdr:nvPicPr>
        <xdr:cNvPr id="16" name="Picture 15">
          <a:extLst>
            <a:ext uri="{FF2B5EF4-FFF2-40B4-BE49-F238E27FC236}">
              <a16:creationId xmlns:a16="http://schemas.microsoft.com/office/drawing/2014/main" xmlns="" id="{5B5CF854-4FFF-4FB0-ABCE-0B0C4D753D8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807700" y="15011400"/>
          <a:ext cx="558799" cy="563708"/>
        </a:xfrm>
        <a:prstGeom prst="rect">
          <a:avLst/>
        </a:prstGeom>
      </xdr:spPr>
    </xdr:pic>
    <xdr:clientData/>
  </xdr:twoCellAnchor>
  <xdr:twoCellAnchor editAs="oneCell">
    <xdr:from>
      <xdr:col>4</xdr:col>
      <xdr:colOff>101600</xdr:colOff>
      <xdr:row>69</xdr:row>
      <xdr:rowOff>127000</xdr:rowOff>
    </xdr:from>
    <xdr:to>
      <xdr:col>4</xdr:col>
      <xdr:colOff>838200</xdr:colOff>
      <xdr:row>72</xdr:row>
      <xdr:rowOff>83650</xdr:rowOff>
    </xdr:to>
    <xdr:pic>
      <xdr:nvPicPr>
        <xdr:cNvPr id="17" name="Picture 16">
          <a:extLst>
            <a:ext uri="{FF2B5EF4-FFF2-40B4-BE49-F238E27FC236}">
              <a16:creationId xmlns:a16="http://schemas.microsoft.com/office/drawing/2014/main" xmlns="" id="{9D8CC795-DC10-412B-9F53-C40440278E4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800600" y="14947900"/>
          <a:ext cx="736600" cy="653033"/>
        </a:xfrm>
        <a:prstGeom prst="rect">
          <a:avLst/>
        </a:prstGeom>
      </xdr:spPr>
    </xdr:pic>
    <xdr:clientData/>
  </xdr:twoCellAnchor>
  <xdr:twoCellAnchor editAs="oneCell">
    <xdr:from>
      <xdr:col>22</xdr:col>
      <xdr:colOff>114301</xdr:colOff>
      <xdr:row>70</xdr:row>
      <xdr:rowOff>47624</xdr:rowOff>
    </xdr:from>
    <xdr:to>
      <xdr:col>23</xdr:col>
      <xdr:colOff>260350</xdr:colOff>
      <xdr:row>72</xdr:row>
      <xdr:rowOff>115920</xdr:rowOff>
    </xdr:to>
    <xdr:pic>
      <xdr:nvPicPr>
        <xdr:cNvPr id="18" name="Picture 17">
          <a:extLst>
            <a:ext uri="{FF2B5EF4-FFF2-40B4-BE49-F238E27FC236}">
              <a16:creationId xmlns:a16="http://schemas.microsoft.com/office/drawing/2014/main" xmlns="" id="{2623C5E9-8359-41DC-A49C-0FCF8619F9F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6979901" y="15033624"/>
          <a:ext cx="565150" cy="574179"/>
        </a:xfrm>
        <a:prstGeom prst="rect">
          <a:avLst/>
        </a:prstGeom>
      </xdr:spPr>
    </xdr:pic>
    <xdr:clientData/>
  </xdr:twoCellAnchor>
  <xdr:twoCellAnchor editAs="oneCell">
    <xdr:from>
      <xdr:col>21</xdr:col>
      <xdr:colOff>330201</xdr:colOff>
      <xdr:row>94</xdr:row>
      <xdr:rowOff>31751</xdr:rowOff>
    </xdr:from>
    <xdr:to>
      <xdr:col>22</xdr:col>
      <xdr:colOff>381002</xdr:colOff>
      <xdr:row>96</xdr:row>
      <xdr:rowOff>43872</xdr:rowOff>
    </xdr:to>
    <xdr:pic>
      <xdr:nvPicPr>
        <xdr:cNvPr id="19" name="Picture 18">
          <a:extLst>
            <a:ext uri="{FF2B5EF4-FFF2-40B4-BE49-F238E27FC236}">
              <a16:creationId xmlns:a16="http://schemas.microsoft.com/office/drawing/2014/main" xmlns="" id="{082276B2-0F97-4208-9748-A14FDF63440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6776701" y="16160751"/>
          <a:ext cx="469900" cy="469321"/>
        </a:xfrm>
        <a:prstGeom prst="rect">
          <a:avLst/>
        </a:prstGeom>
      </xdr:spPr>
    </xdr:pic>
    <xdr:clientData/>
  </xdr:twoCellAnchor>
  <xdr:twoCellAnchor editAs="oneCell">
    <xdr:from>
      <xdr:col>22</xdr:col>
      <xdr:colOff>387352</xdr:colOff>
      <xdr:row>94</xdr:row>
      <xdr:rowOff>69852</xdr:rowOff>
    </xdr:from>
    <xdr:to>
      <xdr:col>24</xdr:col>
      <xdr:colOff>537</xdr:colOff>
      <xdr:row>96</xdr:row>
      <xdr:rowOff>63500</xdr:rowOff>
    </xdr:to>
    <xdr:pic>
      <xdr:nvPicPr>
        <xdr:cNvPr id="20" name="Picture 19">
          <a:extLst>
            <a:ext uri="{FF2B5EF4-FFF2-40B4-BE49-F238E27FC236}">
              <a16:creationId xmlns:a16="http://schemas.microsoft.com/office/drawing/2014/main" xmlns="" id="{8BBD3590-AE96-4953-9920-78BDF223AB9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7252952" y="16198852"/>
          <a:ext cx="451386" cy="450848"/>
        </a:xfrm>
        <a:prstGeom prst="rect">
          <a:avLst/>
        </a:prstGeom>
      </xdr:spPr>
    </xdr:pic>
    <xdr:clientData/>
  </xdr:twoCellAnchor>
  <xdr:twoCellAnchor editAs="oneCell">
    <xdr:from>
      <xdr:col>7</xdr:col>
      <xdr:colOff>177799</xdr:colOff>
      <xdr:row>99</xdr:row>
      <xdr:rowOff>120649</xdr:rowOff>
    </xdr:from>
    <xdr:to>
      <xdr:col>7</xdr:col>
      <xdr:colOff>1117600</xdr:colOff>
      <xdr:row>104</xdr:row>
      <xdr:rowOff>43727</xdr:rowOff>
    </xdr:to>
    <xdr:pic>
      <xdr:nvPicPr>
        <xdr:cNvPr id="21" name="Picture 20">
          <a:extLst>
            <a:ext uri="{FF2B5EF4-FFF2-40B4-BE49-F238E27FC236}">
              <a16:creationId xmlns:a16="http://schemas.microsoft.com/office/drawing/2014/main" xmlns="" id="{827094EA-08CD-47AE-9773-8E4805DDAE16}"/>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404099" y="21393149"/>
          <a:ext cx="939801" cy="900979"/>
        </a:xfrm>
        <a:prstGeom prst="rect">
          <a:avLst/>
        </a:prstGeom>
      </xdr:spPr>
    </xdr:pic>
    <xdr:clientData/>
  </xdr:twoCellAnchor>
  <xdr:twoCellAnchor editAs="oneCell">
    <xdr:from>
      <xdr:col>22</xdr:col>
      <xdr:colOff>38100</xdr:colOff>
      <xdr:row>99</xdr:row>
      <xdr:rowOff>83917</xdr:rowOff>
    </xdr:from>
    <xdr:to>
      <xdr:col>24</xdr:col>
      <xdr:colOff>27974</xdr:colOff>
      <xdr:row>103</xdr:row>
      <xdr:rowOff>29968</xdr:rowOff>
    </xdr:to>
    <xdr:pic>
      <xdr:nvPicPr>
        <xdr:cNvPr id="22" name="Picture 21" descr="Activity_Advocacy.png">
          <a:extLst>
            <a:ext uri="{FF2B5EF4-FFF2-40B4-BE49-F238E27FC236}">
              <a16:creationId xmlns:a16="http://schemas.microsoft.com/office/drawing/2014/main" xmlns="" id="{7401A018-6A77-42F2-B52F-FCE8D5877E6A}"/>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6903700" y="21356417"/>
          <a:ext cx="828075" cy="758852"/>
        </a:xfrm>
        <a:prstGeom prst="rect">
          <a:avLst/>
        </a:prstGeom>
      </xdr:spPr>
    </xdr:pic>
    <xdr:clientData/>
  </xdr:twoCellAnchor>
  <xdr:twoCellAnchor editAs="oneCell">
    <xdr:from>
      <xdr:col>11</xdr:col>
      <xdr:colOff>92075</xdr:colOff>
      <xdr:row>94</xdr:row>
      <xdr:rowOff>25400</xdr:rowOff>
    </xdr:from>
    <xdr:to>
      <xdr:col>11</xdr:col>
      <xdr:colOff>774700</xdr:colOff>
      <xdr:row>97</xdr:row>
      <xdr:rowOff>33892</xdr:rowOff>
    </xdr:to>
    <xdr:pic>
      <xdr:nvPicPr>
        <xdr:cNvPr id="23" name="Picture 22">
          <a:extLst>
            <a:ext uri="{FF2B5EF4-FFF2-40B4-BE49-F238E27FC236}">
              <a16:creationId xmlns:a16="http://schemas.microsoft.com/office/drawing/2014/main" xmlns="" id="{F902B98D-1FED-436C-871A-0C7DC7BBF947}"/>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721975" y="20231100"/>
          <a:ext cx="682625" cy="681592"/>
        </a:xfrm>
        <a:prstGeom prst="rect">
          <a:avLst/>
        </a:prstGeom>
      </xdr:spPr>
    </xdr:pic>
    <xdr:clientData/>
  </xdr:twoCellAnchor>
  <xdr:twoCellAnchor editAs="oneCell">
    <xdr:from>
      <xdr:col>7</xdr:col>
      <xdr:colOff>269874</xdr:colOff>
      <xdr:row>105</xdr:row>
      <xdr:rowOff>85726</xdr:rowOff>
    </xdr:from>
    <xdr:to>
      <xdr:col>7</xdr:col>
      <xdr:colOff>1155700</xdr:colOff>
      <xdr:row>109</xdr:row>
      <xdr:rowOff>29652</xdr:rowOff>
    </xdr:to>
    <xdr:pic>
      <xdr:nvPicPr>
        <xdr:cNvPr id="24" name="Picture 23">
          <a:extLst>
            <a:ext uri="{FF2B5EF4-FFF2-40B4-BE49-F238E27FC236}">
              <a16:creationId xmlns:a16="http://schemas.microsoft.com/office/drawing/2014/main" xmlns="" id="{D1EEBB6F-00EC-4A57-BF85-DB258B9DA95E}"/>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496174" y="22501226"/>
          <a:ext cx="885826" cy="858326"/>
        </a:xfrm>
        <a:prstGeom prst="rect">
          <a:avLst/>
        </a:prstGeom>
      </xdr:spPr>
    </xdr:pic>
    <xdr:clientData/>
  </xdr:twoCellAnchor>
  <xdr:twoCellAnchor editAs="oneCell">
    <xdr:from>
      <xdr:col>22</xdr:col>
      <xdr:colOff>104774</xdr:colOff>
      <xdr:row>105</xdr:row>
      <xdr:rowOff>161926</xdr:rowOff>
    </xdr:from>
    <xdr:to>
      <xdr:col>23</xdr:col>
      <xdr:colOff>416981</xdr:colOff>
      <xdr:row>108</xdr:row>
      <xdr:rowOff>186687</xdr:rowOff>
    </xdr:to>
    <xdr:pic>
      <xdr:nvPicPr>
        <xdr:cNvPr id="25" name="Picture 24">
          <a:extLst>
            <a:ext uri="{FF2B5EF4-FFF2-40B4-BE49-F238E27FC236}">
              <a16:creationId xmlns:a16="http://schemas.microsoft.com/office/drawing/2014/main" xmlns="" id="{4794C23A-C5A8-4117-8A06-E585E44A98D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6970374" y="18272126"/>
          <a:ext cx="733425" cy="710560"/>
        </a:xfrm>
        <a:prstGeom prst="rect">
          <a:avLst/>
        </a:prstGeom>
      </xdr:spPr>
    </xdr:pic>
    <xdr:clientData/>
  </xdr:twoCellAnchor>
  <xdr:twoCellAnchor editAs="oneCell">
    <xdr:from>
      <xdr:col>4</xdr:col>
      <xdr:colOff>13970</xdr:colOff>
      <xdr:row>93</xdr:row>
      <xdr:rowOff>98372</xdr:rowOff>
    </xdr:from>
    <xdr:to>
      <xdr:col>4</xdr:col>
      <xdr:colOff>927100</xdr:colOff>
      <xdr:row>97</xdr:row>
      <xdr:rowOff>131029</xdr:rowOff>
    </xdr:to>
    <xdr:pic>
      <xdr:nvPicPr>
        <xdr:cNvPr id="26" name="Picture 25">
          <a:extLst>
            <a:ext uri="{FF2B5EF4-FFF2-40B4-BE49-F238E27FC236}">
              <a16:creationId xmlns:a16="http://schemas.microsoft.com/office/drawing/2014/main" xmlns="" id="{0F1EE077-52DE-4BC7-85F7-791C7464941C}"/>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712970" y="20138972"/>
          <a:ext cx="913130" cy="870857"/>
        </a:xfrm>
        <a:prstGeom prst="rect">
          <a:avLst/>
        </a:prstGeom>
      </xdr:spPr>
    </xdr:pic>
    <xdr:clientData/>
  </xdr:twoCellAnchor>
  <xdr:twoCellAnchor>
    <xdr:from>
      <xdr:col>0</xdr:col>
      <xdr:colOff>0</xdr:colOff>
      <xdr:row>52</xdr:row>
      <xdr:rowOff>15517</xdr:rowOff>
    </xdr:from>
    <xdr:to>
      <xdr:col>5</xdr:col>
      <xdr:colOff>0</xdr:colOff>
      <xdr:row>68</xdr:row>
      <xdr:rowOff>155216</xdr:rowOff>
    </xdr:to>
    <xdr:graphicFrame macro="">
      <xdr:nvGraphicFramePr>
        <xdr:cNvPr id="30" name="Chart 29">
          <a:extLst>
            <a:ext uri="{FF2B5EF4-FFF2-40B4-BE49-F238E27FC236}">
              <a16:creationId xmlns:a16="http://schemas.microsoft.com/office/drawing/2014/main" xmlns="" id="{0E24E3C5-8CD7-46D2-8A88-C4CCDF9D3B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xdr:col>
      <xdr:colOff>25400</xdr:colOff>
      <xdr:row>52</xdr:row>
      <xdr:rowOff>11987</xdr:rowOff>
    </xdr:from>
    <xdr:to>
      <xdr:col>12</xdr:col>
      <xdr:colOff>0</xdr:colOff>
      <xdr:row>68</xdr:row>
      <xdr:rowOff>152400</xdr:rowOff>
    </xdr:to>
    <xdr:graphicFrame macro="">
      <xdr:nvGraphicFramePr>
        <xdr:cNvPr id="31" name="Chart 30">
          <a:extLst>
            <a:ext uri="{FF2B5EF4-FFF2-40B4-BE49-F238E27FC236}">
              <a16:creationId xmlns:a16="http://schemas.microsoft.com/office/drawing/2014/main" xmlns="" id="{30F7A6CD-0760-484C-B85F-AF7F4A708F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12</xdr:col>
      <xdr:colOff>12700</xdr:colOff>
      <xdr:row>52</xdr:row>
      <xdr:rowOff>4933</xdr:rowOff>
    </xdr:from>
    <xdr:to>
      <xdr:col>23</xdr:col>
      <xdr:colOff>399143</xdr:colOff>
      <xdr:row>68</xdr:row>
      <xdr:rowOff>148160</xdr:rowOff>
    </xdr:to>
    <xdr:graphicFrame macro="">
      <xdr:nvGraphicFramePr>
        <xdr:cNvPr id="32" name="Chart 31">
          <a:extLst>
            <a:ext uri="{FF2B5EF4-FFF2-40B4-BE49-F238E27FC236}">
              <a16:creationId xmlns:a16="http://schemas.microsoft.com/office/drawing/2014/main" xmlns="" id="{E68DE830-232A-435A-917A-49D2D2CB89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0</xdr:col>
      <xdr:colOff>1275642</xdr:colOff>
      <xdr:row>22</xdr:row>
      <xdr:rowOff>138288</xdr:rowOff>
    </xdr:from>
    <xdr:to>
      <xdr:col>1</xdr:col>
      <xdr:colOff>70109</xdr:colOff>
      <xdr:row>24</xdr:row>
      <xdr:rowOff>162538</xdr:rowOff>
    </xdr:to>
    <xdr:pic>
      <xdr:nvPicPr>
        <xdr:cNvPr id="34" name="Picture 33">
          <a:extLst>
            <a:ext uri="{FF2B5EF4-FFF2-40B4-BE49-F238E27FC236}">
              <a16:creationId xmlns:a16="http://schemas.microsoft.com/office/drawing/2014/main" xmlns="" id="{0AE96619-E9A5-4F53-83DB-F0B2410E5DE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rot="2769642">
          <a:off x="1271056" y="5349874"/>
          <a:ext cx="532250" cy="523078"/>
        </a:xfrm>
        <a:prstGeom prst="rect">
          <a:avLst/>
        </a:prstGeom>
      </xdr:spPr>
    </xdr:pic>
    <xdr:clientData/>
  </xdr:twoCellAnchor>
  <xdr:twoCellAnchor>
    <xdr:from>
      <xdr:col>9</xdr:col>
      <xdr:colOff>0</xdr:colOff>
      <xdr:row>33</xdr:row>
      <xdr:rowOff>127000</xdr:rowOff>
    </xdr:from>
    <xdr:to>
      <xdr:col>23</xdr:col>
      <xdr:colOff>393700</xdr:colOff>
      <xdr:row>50</xdr:row>
      <xdr:rowOff>181429</xdr:rowOff>
    </xdr:to>
    <xdr:graphicFrame macro="">
      <xdr:nvGraphicFramePr>
        <xdr:cNvPr id="35" name="Chart 34">
          <a:extLst>
            <a:ext uri="{FF2B5EF4-FFF2-40B4-BE49-F238E27FC236}">
              <a16:creationId xmlns:a16="http://schemas.microsoft.com/office/drawing/2014/main" xmlns="" id="{3AF6B7B4-9A98-4D24-B22A-3EBF625A25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12701</xdr:colOff>
      <xdr:row>75</xdr:row>
      <xdr:rowOff>177800</xdr:rowOff>
    </xdr:from>
    <xdr:to>
      <xdr:col>5</xdr:col>
      <xdr:colOff>1</xdr:colOff>
      <xdr:row>90</xdr:row>
      <xdr:rowOff>215900</xdr:rowOff>
    </xdr:to>
    <xdr:graphicFrame macro="">
      <xdr:nvGraphicFramePr>
        <xdr:cNvPr id="36" name="Chart 35">
          <a:extLst>
            <a:ext uri="{FF2B5EF4-FFF2-40B4-BE49-F238E27FC236}">
              <a16:creationId xmlns:a16="http://schemas.microsoft.com/office/drawing/2014/main" xmlns="" id="{257DA47B-9CF1-4E83-9C18-DF5C329ED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5</xdr:col>
      <xdr:colOff>0</xdr:colOff>
      <xdr:row>75</xdr:row>
      <xdr:rowOff>169335</xdr:rowOff>
    </xdr:from>
    <xdr:to>
      <xdr:col>12</xdr:col>
      <xdr:colOff>0</xdr:colOff>
      <xdr:row>90</xdr:row>
      <xdr:rowOff>207435</xdr:rowOff>
    </xdr:to>
    <xdr:graphicFrame macro="">
      <xdr:nvGraphicFramePr>
        <xdr:cNvPr id="33" name="Chart 32">
          <a:extLst>
            <a:ext uri="{FF2B5EF4-FFF2-40B4-BE49-F238E27FC236}">
              <a16:creationId xmlns:a16="http://schemas.microsoft.com/office/drawing/2014/main" xmlns="" id="{D5A643AC-C0D9-4423-BD83-5B1FB24A3E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12</xdr:col>
      <xdr:colOff>10583</xdr:colOff>
      <xdr:row>75</xdr:row>
      <xdr:rowOff>169333</xdr:rowOff>
    </xdr:from>
    <xdr:to>
      <xdr:col>23</xdr:col>
      <xdr:colOff>391583</xdr:colOff>
      <xdr:row>90</xdr:row>
      <xdr:rowOff>207433</xdr:rowOff>
    </xdr:to>
    <xdr:graphicFrame macro="">
      <xdr:nvGraphicFramePr>
        <xdr:cNvPr id="37" name="Chart 36">
          <a:extLst>
            <a:ext uri="{FF2B5EF4-FFF2-40B4-BE49-F238E27FC236}">
              <a16:creationId xmlns:a16="http://schemas.microsoft.com/office/drawing/2014/main" xmlns="" id="{A14D7628-0D5F-4690-B5E5-FC02BED50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953558</xdr:colOff>
      <xdr:row>8</xdr:row>
      <xdr:rowOff>15741</xdr:rowOff>
    </xdr:from>
    <xdr:to>
      <xdr:col>2</xdr:col>
      <xdr:colOff>57049</xdr:colOff>
      <xdr:row>8</xdr:row>
      <xdr:rowOff>380523</xdr:rowOff>
    </xdr:to>
    <xdr:pic>
      <xdr:nvPicPr>
        <xdr:cNvPr id="2" name="Picture 1">
          <a:extLst>
            <a:ext uri="{FF2B5EF4-FFF2-40B4-BE49-F238E27FC236}">
              <a16:creationId xmlns:a16="http://schemas.microsoft.com/office/drawing/2014/main" xmlns="" id="{A0AED531-4DD9-49E1-B7D6-72FB89E39E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80758" y="1666741"/>
          <a:ext cx="373491" cy="364782"/>
        </a:xfrm>
        <a:prstGeom prst="rect">
          <a:avLst/>
        </a:prstGeom>
      </xdr:spPr>
    </xdr:pic>
    <xdr:clientData/>
  </xdr:twoCellAnchor>
  <xdr:twoCellAnchor editAs="oneCell">
    <xdr:from>
      <xdr:col>4</xdr:col>
      <xdr:colOff>40569</xdr:colOff>
      <xdr:row>8</xdr:row>
      <xdr:rowOff>51152</xdr:rowOff>
    </xdr:from>
    <xdr:to>
      <xdr:col>4</xdr:col>
      <xdr:colOff>402519</xdr:colOff>
      <xdr:row>8</xdr:row>
      <xdr:rowOff>417688</xdr:rowOff>
    </xdr:to>
    <xdr:pic>
      <xdr:nvPicPr>
        <xdr:cNvPr id="3" name="Picture 2">
          <a:extLst>
            <a:ext uri="{FF2B5EF4-FFF2-40B4-BE49-F238E27FC236}">
              <a16:creationId xmlns:a16="http://schemas.microsoft.com/office/drawing/2014/main" xmlns="" id="{BDF4D825-381A-4726-B56A-7B199AE536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38019" y="1702152"/>
          <a:ext cx="361950" cy="366536"/>
        </a:xfrm>
        <a:prstGeom prst="rect">
          <a:avLst/>
        </a:prstGeom>
      </xdr:spPr>
    </xdr:pic>
    <xdr:clientData/>
  </xdr:twoCellAnchor>
  <xdr:twoCellAnchor editAs="oneCell">
    <xdr:from>
      <xdr:col>0</xdr:col>
      <xdr:colOff>19050</xdr:colOff>
      <xdr:row>7</xdr:row>
      <xdr:rowOff>152400</xdr:rowOff>
    </xdr:from>
    <xdr:to>
      <xdr:col>0</xdr:col>
      <xdr:colOff>390525</xdr:colOff>
      <xdr:row>8</xdr:row>
      <xdr:rowOff>355257</xdr:rowOff>
    </xdr:to>
    <xdr:pic>
      <xdr:nvPicPr>
        <xdr:cNvPr id="4" name="Picture 3">
          <a:extLst>
            <a:ext uri="{FF2B5EF4-FFF2-40B4-BE49-F238E27FC236}">
              <a16:creationId xmlns:a16="http://schemas.microsoft.com/office/drawing/2014/main" xmlns="" id="{01A92CF8-6D79-4145-8BDD-8DF56EF090F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 y="1638300"/>
          <a:ext cx="371475" cy="367957"/>
        </a:xfrm>
        <a:prstGeom prst="rect">
          <a:avLst/>
        </a:prstGeom>
      </xdr:spPr>
    </xdr:pic>
    <xdr:clientData/>
  </xdr:twoCellAnchor>
  <xdr:twoCellAnchor editAs="oneCell">
    <xdr:from>
      <xdr:col>0</xdr:col>
      <xdr:colOff>1340908</xdr:colOff>
      <xdr:row>19</xdr:row>
      <xdr:rowOff>1981</xdr:rowOff>
    </xdr:from>
    <xdr:to>
      <xdr:col>0</xdr:col>
      <xdr:colOff>1712383</xdr:colOff>
      <xdr:row>20</xdr:row>
      <xdr:rowOff>131459</xdr:rowOff>
    </xdr:to>
    <xdr:pic>
      <xdr:nvPicPr>
        <xdr:cNvPr id="5" name="Picture 4">
          <a:extLst>
            <a:ext uri="{FF2B5EF4-FFF2-40B4-BE49-F238E27FC236}">
              <a16:creationId xmlns:a16="http://schemas.microsoft.com/office/drawing/2014/main" xmlns="" id="{0372EC89-91E6-48EE-8F8A-58E921ACB5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0908" y="4916881"/>
          <a:ext cx="371475" cy="358079"/>
        </a:xfrm>
        <a:prstGeom prst="rect">
          <a:avLst/>
        </a:prstGeom>
      </xdr:spPr>
    </xdr:pic>
    <xdr:clientData/>
  </xdr:twoCellAnchor>
  <xdr:twoCellAnchor editAs="oneCell">
    <xdr:from>
      <xdr:col>0</xdr:col>
      <xdr:colOff>1400881</xdr:colOff>
      <xdr:row>21</xdr:row>
      <xdr:rowOff>8819</xdr:rowOff>
    </xdr:from>
    <xdr:to>
      <xdr:col>0</xdr:col>
      <xdr:colOff>1766359</xdr:colOff>
      <xdr:row>22</xdr:row>
      <xdr:rowOff>127354</xdr:rowOff>
    </xdr:to>
    <xdr:pic>
      <xdr:nvPicPr>
        <xdr:cNvPr id="6" name="Picture 5">
          <a:extLst>
            <a:ext uri="{FF2B5EF4-FFF2-40B4-BE49-F238E27FC236}">
              <a16:creationId xmlns:a16="http://schemas.microsoft.com/office/drawing/2014/main" xmlns="" id="{4AFBA42C-A3CF-4049-8BF0-D7CE0A27D20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00881" y="5490986"/>
          <a:ext cx="365478" cy="351369"/>
        </a:xfrm>
        <a:prstGeom prst="rect">
          <a:avLst/>
        </a:prstGeom>
      </xdr:spPr>
    </xdr:pic>
    <xdr:clientData/>
  </xdr:twoCellAnchor>
  <xdr:twoCellAnchor editAs="oneCell">
    <xdr:from>
      <xdr:col>0</xdr:col>
      <xdr:colOff>0</xdr:colOff>
      <xdr:row>28</xdr:row>
      <xdr:rowOff>152401</xdr:rowOff>
    </xdr:from>
    <xdr:to>
      <xdr:col>0</xdr:col>
      <xdr:colOff>596505</xdr:colOff>
      <xdr:row>31</xdr:row>
      <xdr:rowOff>70556</xdr:rowOff>
    </xdr:to>
    <xdr:pic>
      <xdr:nvPicPr>
        <xdr:cNvPr id="7" name="Picture 6">
          <a:extLst>
            <a:ext uri="{FF2B5EF4-FFF2-40B4-BE49-F238E27FC236}">
              <a16:creationId xmlns:a16="http://schemas.microsoft.com/office/drawing/2014/main" xmlns="" id="{120031BF-F8C5-463B-8B00-36DA4C23E9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7239001"/>
          <a:ext cx="596505" cy="565854"/>
        </a:xfrm>
        <a:prstGeom prst="rect">
          <a:avLst/>
        </a:prstGeom>
      </xdr:spPr>
    </xdr:pic>
    <xdr:clientData/>
  </xdr:twoCellAnchor>
  <xdr:twoCellAnchor editAs="oneCell">
    <xdr:from>
      <xdr:col>0</xdr:col>
      <xdr:colOff>0</xdr:colOff>
      <xdr:row>33</xdr:row>
      <xdr:rowOff>0</xdr:rowOff>
    </xdr:from>
    <xdr:to>
      <xdr:col>0</xdr:col>
      <xdr:colOff>603848</xdr:colOff>
      <xdr:row>35</xdr:row>
      <xdr:rowOff>148166</xdr:rowOff>
    </xdr:to>
    <xdr:pic>
      <xdr:nvPicPr>
        <xdr:cNvPr id="8" name="Picture 7">
          <a:extLst>
            <a:ext uri="{FF2B5EF4-FFF2-40B4-BE49-F238E27FC236}">
              <a16:creationId xmlns:a16="http://schemas.microsoft.com/office/drawing/2014/main" xmlns="" id="{40EA3AF6-870D-4790-9144-F177961E196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8115300"/>
          <a:ext cx="603848" cy="592666"/>
        </a:xfrm>
        <a:prstGeom prst="rect">
          <a:avLst/>
        </a:prstGeom>
      </xdr:spPr>
    </xdr:pic>
    <xdr:clientData/>
  </xdr:twoCellAnchor>
  <xdr:twoCellAnchor editAs="oneCell">
    <xdr:from>
      <xdr:col>0</xdr:col>
      <xdr:colOff>0</xdr:colOff>
      <xdr:row>37</xdr:row>
      <xdr:rowOff>0</xdr:rowOff>
    </xdr:from>
    <xdr:to>
      <xdr:col>0</xdr:col>
      <xdr:colOff>666121</xdr:colOff>
      <xdr:row>40</xdr:row>
      <xdr:rowOff>7054</xdr:rowOff>
    </xdr:to>
    <xdr:pic>
      <xdr:nvPicPr>
        <xdr:cNvPr id="9" name="Picture 8">
          <a:extLst>
            <a:ext uri="{FF2B5EF4-FFF2-40B4-BE49-F238E27FC236}">
              <a16:creationId xmlns:a16="http://schemas.microsoft.com/office/drawing/2014/main" xmlns="" id="{2FD1BCE0-E820-47DA-B30D-081E217BCE4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8940800"/>
          <a:ext cx="666121" cy="654755"/>
        </a:xfrm>
        <a:prstGeom prst="rect">
          <a:avLst/>
        </a:prstGeom>
      </xdr:spPr>
    </xdr:pic>
    <xdr:clientData/>
  </xdr:twoCellAnchor>
  <xdr:twoCellAnchor editAs="oneCell">
    <xdr:from>
      <xdr:col>0</xdr:col>
      <xdr:colOff>0</xdr:colOff>
      <xdr:row>40</xdr:row>
      <xdr:rowOff>123825</xdr:rowOff>
    </xdr:from>
    <xdr:to>
      <xdr:col>0</xdr:col>
      <xdr:colOff>748682</xdr:colOff>
      <xdr:row>43</xdr:row>
      <xdr:rowOff>176388</xdr:rowOff>
    </xdr:to>
    <xdr:pic>
      <xdr:nvPicPr>
        <xdr:cNvPr id="10" name="Picture 9">
          <a:extLst>
            <a:ext uri="{FF2B5EF4-FFF2-40B4-BE49-F238E27FC236}">
              <a16:creationId xmlns:a16="http://schemas.microsoft.com/office/drawing/2014/main" xmlns="" id="{9C2343BF-4FB0-4C39-87DA-2836BDE5AA4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9712325"/>
          <a:ext cx="748682" cy="732013"/>
        </a:xfrm>
        <a:prstGeom prst="rect">
          <a:avLst/>
        </a:prstGeom>
      </xdr:spPr>
    </xdr:pic>
    <xdr:clientData/>
  </xdr:twoCellAnchor>
  <xdr:twoCellAnchor editAs="oneCell">
    <xdr:from>
      <xdr:col>0</xdr:col>
      <xdr:colOff>9525</xdr:colOff>
      <xdr:row>44</xdr:row>
      <xdr:rowOff>104774</xdr:rowOff>
    </xdr:from>
    <xdr:to>
      <xdr:col>0</xdr:col>
      <xdr:colOff>684389</xdr:colOff>
      <xdr:row>47</xdr:row>
      <xdr:rowOff>110975</xdr:rowOff>
    </xdr:to>
    <xdr:pic>
      <xdr:nvPicPr>
        <xdr:cNvPr id="11" name="Picture 10">
          <a:extLst>
            <a:ext uri="{FF2B5EF4-FFF2-40B4-BE49-F238E27FC236}">
              <a16:creationId xmlns:a16="http://schemas.microsoft.com/office/drawing/2014/main" xmlns="" id="{2AD7AF76-07EA-4AB5-8382-C438025D004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 y="10563224"/>
          <a:ext cx="674864" cy="660251"/>
        </a:xfrm>
        <a:prstGeom prst="rect">
          <a:avLst/>
        </a:prstGeom>
      </xdr:spPr>
    </xdr:pic>
    <xdr:clientData/>
  </xdr:twoCellAnchor>
  <xdr:twoCellAnchor editAs="oneCell">
    <xdr:from>
      <xdr:col>7</xdr:col>
      <xdr:colOff>1085748</xdr:colOff>
      <xdr:row>8</xdr:row>
      <xdr:rowOff>272345</xdr:rowOff>
    </xdr:from>
    <xdr:to>
      <xdr:col>9</xdr:col>
      <xdr:colOff>173159</xdr:colOff>
      <xdr:row>10</xdr:row>
      <xdr:rowOff>384781</xdr:rowOff>
    </xdr:to>
    <xdr:pic>
      <xdr:nvPicPr>
        <xdr:cNvPr id="12" name="Picture 11">
          <a:extLst>
            <a:ext uri="{FF2B5EF4-FFF2-40B4-BE49-F238E27FC236}">
              <a16:creationId xmlns:a16="http://schemas.microsoft.com/office/drawing/2014/main" xmlns="" id="{39310B8C-D546-4567-89BE-11597C195FA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604148" y="1923345"/>
          <a:ext cx="998762" cy="899836"/>
        </a:xfrm>
        <a:prstGeom prst="rect">
          <a:avLst/>
        </a:prstGeom>
      </xdr:spPr>
    </xdr:pic>
    <xdr:clientData/>
  </xdr:twoCellAnchor>
  <xdr:twoCellAnchor editAs="oneCell">
    <xdr:from>
      <xdr:col>9</xdr:col>
      <xdr:colOff>794809</xdr:colOff>
      <xdr:row>8</xdr:row>
      <xdr:rowOff>189089</xdr:rowOff>
    </xdr:from>
    <xdr:to>
      <xdr:col>11</xdr:col>
      <xdr:colOff>118534</xdr:colOff>
      <xdr:row>10</xdr:row>
      <xdr:rowOff>305153</xdr:rowOff>
    </xdr:to>
    <xdr:pic>
      <xdr:nvPicPr>
        <xdr:cNvPr id="13" name="Picture 12">
          <a:extLst>
            <a:ext uri="{FF2B5EF4-FFF2-40B4-BE49-F238E27FC236}">
              <a16:creationId xmlns:a16="http://schemas.microsoft.com/office/drawing/2014/main" xmlns="" id="{4DBB4B9B-8CC9-4011-B81B-AB9C4E7A2B6A}"/>
            </a:ext>
          </a:extLst>
        </xdr:cNvPr>
        <xdr:cNvPicPr>
          <a:picLocks noChangeAspect="1"/>
        </xdr:cNvPicPr>
      </xdr:nvPicPr>
      <xdr:blipFill>
        <a:blip xmlns:r="http://schemas.openxmlformats.org/officeDocument/2006/relationships" r:embed="rId10" cstate="print">
          <a:duotone>
            <a:schemeClr val="accent4">
              <a:shade val="45000"/>
              <a:satMod val="135000"/>
            </a:schemeClr>
            <a:prstClr val="white"/>
          </a:duotone>
          <a:extLst>
            <a:ext uri="{BEBA8EAE-BF5A-486C-A8C5-ECC9F3942E4B}">
              <a14:imgProps xmlns:a14="http://schemas.microsoft.com/office/drawing/2010/main">
                <a14:imgLayer r:embed="rId11">
                  <a14:imgEffect>
                    <a14:brightnessContrast bright="-9000"/>
                  </a14:imgEffect>
                </a14:imgLayer>
              </a14:imgProps>
            </a:ext>
            <a:ext uri="{28A0092B-C50C-407E-A947-70E740481C1C}">
              <a14:useLocalDpi xmlns:a14="http://schemas.microsoft.com/office/drawing/2010/main" val="0"/>
            </a:ext>
          </a:extLst>
        </a:blip>
        <a:stretch>
          <a:fillRect/>
        </a:stretch>
      </xdr:blipFill>
      <xdr:spPr>
        <a:xfrm>
          <a:off x="10224559" y="1840089"/>
          <a:ext cx="923925" cy="903464"/>
        </a:xfrm>
        <a:prstGeom prst="rect">
          <a:avLst/>
        </a:prstGeom>
      </xdr:spPr>
    </xdr:pic>
    <xdr:clientData/>
  </xdr:twoCellAnchor>
  <xdr:twoCellAnchor>
    <xdr:from>
      <xdr:col>8</xdr:col>
      <xdr:colOff>393700</xdr:colOff>
      <xdr:row>16</xdr:row>
      <xdr:rowOff>12700</xdr:rowOff>
    </xdr:from>
    <xdr:to>
      <xdr:col>24</xdr:col>
      <xdr:colOff>12700</xdr:colOff>
      <xdr:row>32</xdr:row>
      <xdr:rowOff>139700</xdr:rowOff>
    </xdr:to>
    <xdr:graphicFrame macro="">
      <xdr:nvGraphicFramePr>
        <xdr:cNvPr id="14" name="Chart 13">
          <a:extLst>
            <a:ext uri="{FF2B5EF4-FFF2-40B4-BE49-F238E27FC236}">
              <a16:creationId xmlns:a16="http://schemas.microsoft.com/office/drawing/2014/main" xmlns="" id="{32476262-807A-450E-8857-FCE61634A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254102</xdr:colOff>
      <xdr:row>6</xdr:row>
      <xdr:rowOff>4181</xdr:rowOff>
    </xdr:from>
    <xdr:to>
      <xdr:col>24</xdr:col>
      <xdr:colOff>3629</xdr:colOff>
      <xdr:row>14</xdr:row>
      <xdr:rowOff>9070</xdr:rowOff>
    </xdr:to>
    <xdr:graphicFrame macro="">
      <xdr:nvGraphicFramePr>
        <xdr:cNvPr id="15" name="Chart 14">
          <a:extLst>
            <a:ext uri="{FF2B5EF4-FFF2-40B4-BE49-F238E27FC236}">
              <a16:creationId xmlns:a16="http://schemas.microsoft.com/office/drawing/2014/main" xmlns="" id="{47D1321E-0693-4B1B-8176-3559F2EC4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21</xdr:col>
      <xdr:colOff>206376</xdr:colOff>
      <xdr:row>127</xdr:row>
      <xdr:rowOff>136525</xdr:rowOff>
    </xdr:from>
    <xdr:to>
      <xdr:col>23</xdr:col>
      <xdr:colOff>133350</xdr:colOff>
      <xdr:row>131</xdr:row>
      <xdr:rowOff>115082</xdr:rowOff>
    </xdr:to>
    <xdr:pic>
      <xdr:nvPicPr>
        <xdr:cNvPr id="16" name="Picture 15">
          <a:extLst>
            <a:ext uri="{FF2B5EF4-FFF2-40B4-BE49-F238E27FC236}">
              <a16:creationId xmlns:a16="http://schemas.microsoft.com/office/drawing/2014/main" xmlns="" id="{764F10CB-FC38-4A09-9EC1-195722AAD5F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7272001" y="15884525"/>
          <a:ext cx="752474" cy="740558"/>
        </a:xfrm>
        <a:prstGeom prst="rect">
          <a:avLst/>
        </a:prstGeom>
      </xdr:spPr>
    </xdr:pic>
    <xdr:clientData/>
  </xdr:twoCellAnchor>
  <xdr:twoCellAnchor editAs="oneCell">
    <xdr:from>
      <xdr:col>7</xdr:col>
      <xdr:colOff>434975</xdr:colOff>
      <xdr:row>127</xdr:row>
      <xdr:rowOff>31750</xdr:rowOff>
    </xdr:from>
    <xdr:to>
      <xdr:col>7</xdr:col>
      <xdr:colOff>1171575</xdr:colOff>
      <xdr:row>130</xdr:row>
      <xdr:rowOff>67774</xdr:rowOff>
    </xdr:to>
    <xdr:pic>
      <xdr:nvPicPr>
        <xdr:cNvPr id="17" name="Picture 16">
          <a:extLst>
            <a:ext uri="{FF2B5EF4-FFF2-40B4-BE49-F238E27FC236}">
              <a16:creationId xmlns:a16="http://schemas.microsoft.com/office/drawing/2014/main" xmlns="" id="{AC176CF1-9C2D-4CA9-AB22-B4222E960B2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102600" y="15779750"/>
          <a:ext cx="736600" cy="639275"/>
        </a:xfrm>
        <a:prstGeom prst="rect">
          <a:avLst/>
        </a:prstGeom>
      </xdr:spPr>
    </xdr:pic>
    <xdr:clientData/>
  </xdr:twoCellAnchor>
  <xdr:twoCellAnchor editAs="oneCell">
    <xdr:from>
      <xdr:col>7</xdr:col>
      <xdr:colOff>537635</xdr:colOff>
      <xdr:row>132</xdr:row>
      <xdr:rowOff>68790</xdr:rowOff>
    </xdr:from>
    <xdr:to>
      <xdr:col>7</xdr:col>
      <xdr:colOff>1096434</xdr:colOff>
      <xdr:row>135</xdr:row>
      <xdr:rowOff>15379</xdr:rowOff>
    </xdr:to>
    <xdr:pic>
      <xdr:nvPicPr>
        <xdr:cNvPr id="18" name="Picture 17">
          <a:extLst>
            <a:ext uri="{FF2B5EF4-FFF2-40B4-BE49-F238E27FC236}">
              <a16:creationId xmlns:a16="http://schemas.microsoft.com/office/drawing/2014/main" xmlns="" id="{FA665A18-A16C-4AC6-A83E-8EDDAF77CB4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199968" y="27564290"/>
          <a:ext cx="558799" cy="539256"/>
        </a:xfrm>
        <a:prstGeom prst="rect">
          <a:avLst/>
        </a:prstGeom>
      </xdr:spPr>
    </xdr:pic>
    <xdr:clientData/>
  </xdr:twoCellAnchor>
  <xdr:twoCellAnchor editAs="oneCell">
    <xdr:from>
      <xdr:col>21</xdr:col>
      <xdr:colOff>12701</xdr:colOff>
      <xdr:row>132</xdr:row>
      <xdr:rowOff>105834</xdr:rowOff>
    </xdr:from>
    <xdr:to>
      <xdr:col>22</xdr:col>
      <xdr:colOff>63501</xdr:colOff>
      <xdr:row>134</xdr:row>
      <xdr:rowOff>186747</xdr:rowOff>
    </xdr:to>
    <xdr:pic>
      <xdr:nvPicPr>
        <xdr:cNvPr id="19" name="Picture 18">
          <a:extLst>
            <a:ext uri="{FF2B5EF4-FFF2-40B4-BE49-F238E27FC236}">
              <a16:creationId xmlns:a16="http://schemas.microsoft.com/office/drawing/2014/main" xmlns="" id="{5647E6F1-3ABA-4B13-B210-92B62560C49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7104784" y="20923251"/>
          <a:ext cx="474134" cy="456621"/>
        </a:xfrm>
        <a:prstGeom prst="rect">
          <a:avLst/>
        </a:prstGeom>
      </xdr:spPr>
    </xdr:pic>
    <xdr:clientData/>
  </xdr:twoCellAnchor>
  <xdr:twoCellAnchor editAs="oneCell">
    <xdr:from>
      <xdr:col>22</xdr:col>
      <xdr:colOff>292102</xdr:colOff>
      <xdr:row>132</xdr:row>
      <xdr:rowOff>143935</xdr:rowOff>
    </xdr:from>
    <xdr:to>
      <xdr:col>23</xdr:col>
      <xdr:colOff>328621</xdr:colOff>
      <xdr:row>134</xdr:row>
      <xdr:rowOff>206375</xdr:rowOff>
    </xdr:to>
    <xdr:pic>
      <xdr:nvPicPr>
        <xdr:cNvPr id="20" name="Picture 19">
          <a:extLst>
            <a:ext uri="{FF2B5EF4-FFF2-40B4-BE49-F238E27FC236}">
              <a16:creationId xmlns:a16="http://schemas.microsoft.com/office/drawing/2014/main" xmlns="" id="{AF4AB9B2-51E3-40FD-9B54-E53C8795494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7807519" y="20961352"/>
          <a:ext cx="459852" cy="438148"/>
        </a:xfrm>
        <a:prstGeom prst="rect">
          <a:avLst/>
        </a:prstGeom>
      </xdr:spPr>
    </xdr:pic>
    <xdr:clientData/>
  </xdr:twoCellAnchor>
  <xdr:twoCellAnchor editAs="oneCell">
    <xdr:from>
      <xdr:col>7</xdr:col>
      <xdr:colOff>177799</xdr:colOff>
      <xdr:row>145</xdr:row>
      <xdr:rowOff>120649</xdr:rowOff>
    </xdr:from>
    <xdr:to>
      <xdr:col>7</xdr:col>
      <xdr:colOff>1117600</xdr:colOff>
      <xdr:row>150</xdr:row>
      <xdr:rowOff>43726</xdr:rowOff>
    </xdr:to>
    <xdr:pic>
      <xdr:nvPicPr>
        <xdr:cNvPr id="21" name="Picture 20">
          <a:extLst>
            <a:ext uri="{FF2B5EF4-FFF2-40B4-BE49-F238E27FC236}">
              <a16:creationId xmlns:a16="http://schemas.microsoft.com/office/drawing/2014/main" xmlns="" id="{B9A3F20F-7C58-400C-9EC8-7B8ADC13762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696199" y="20986749"/>
          <a:ext cx="939801" cy="875578"/>
        </a:xfrm>
        <a:prstGeom prst="rect">
          <a:avLst/>
        </a:prstGeom>
      </xdr:spPr>
    </xdr:pic>
    <xdr:clientData/>
  </xdr:twoCellAnchor>
  <xdr:twoCellAnchor editAs="oneCell">
    <xdr:from>
      <xdr:col>22</xdr:col>
      <xdr:colOff>38100</xdr:colOff>
      <xdr:row>145</xdr:row>
      <xdr:rowOff>83917</xdr:rowOff>
    </xdr:from>
    <xdr:to>
      <xdr:col>24</xdr:col>
      <xdr:colOff>27975</xdr:colOff>
      <xdr:row>149</xdr:row>
      <xdr:rowOff>29966</xdr:rowOff>
    </xdr:to>
    <xdr:pic>
      <xdr:nvPicPr>
        <xdr:cNvPr id="22" name="Picture 21" descr="Activity_Advocacy.png">
          <a:extLst>
            <a:ext uri="{FF2B5EF4-FFF2-40B4-BE49-F238E27FC236}">
              <a16:creationId xmlns:a16="http://schemas.microsoft.com/office/drawing/2014/main" xmlns="" id="{5DDD3405-D2FE-473C-9FDF-0E5192F3CE8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7392650" y="20950017"/>
          <a:ext cx="828074" cy="733450"/>
        </a:xfrm>
        <a:prstGeom prst="rect">
          <a:avLst/>
        </a:prstGeom>
      </xdr:spPr>
    </xdr:pic>
    <xdr:clientData/>
  </xdr:twoCellAnchor>
  <xdr:twoCellAnchor editAs="oneCell">
    <xdr:from>
      <xdr:col>22</xdr:col>
      <xdr:colOff>81491</xdr:colOff>
      <xdr:row>139</xdr:row>
      <xdr:rowOff>88900</xdr:rowOff>
    </xdr:from>
    <xdr:to>
      <xdr:col>23</xdr:col>
      <xdr:colOff>340783</xdr:colOff>
      <xdr:row>142</xdr:row>
      <xdr:rowOff>192642</xdr:rowOff>
    </xdr:to>
    <xdr:pic>
      <xdr:nvPicPr>
        <xdr:cNvPr id="23" name="Picture 22">
          <a:extLst>
            <a:ext uri="{FF2B5EF4-FFF2-40B4-BE49-F238E27FC236}">
              <a16:creationId xmlns:a16="http://schemas.microsoft.com/office/drawing/2014/main" xmlns="" id="{6B3E31EF-1398-41EF-A0DB-86F59431CC8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7596908" y="25520650"/>
          <a:ext cx="682625" cy="664659"/>
        </a:xfrm>
        <a:prstGeom prst="rect">
          <a:avLst/>
        </a:prstGeom>
      </xdr:spPr>
    </xdr:pic>
    <xdr:clientData/>
  </xdr:twoCellAnchor>
  <xdr:twoCellAnchor editAs="oneCell">
    <xdr:from>
      <xdr:col>7</xdr:col>
      <xdr:colOff>269874</xdr:colOff>
      <xdr:row>152</xdr:row>
      <xdr:rowOff>85726</xdr:rowOff>
    </xdr:from>
    <xdr:to>
      <xdr:col>7</xdr:col>
      <xdr:colOff>1155700</xdr:colOff>
      <xdr:row>156</xdr:row>
      <xdr:rowOff>29652</xdr:rowOff>
    </xdr:to>
    <xdr:pic>
      <xdr:nvPicPr>
        <xdr:cNvPr id="24" name="Picture 23">
          <a:extLst>
            <a:ext uri="{FF2B5EF4-FFF2-40B4-BE49-F238E27FC236}">
              <a16:creationId xmlns:a16="http://schemas.microsoft.com/office/drawing/2014/main" xmlns="" id="{1A7EC8D0-F100-4ECC-B2E0-8D4DCB3E4B74}"/>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7788274" y="22063076"/>
          <a:ext cx="885826" cy="839276"/>
        </a:xfrm>
        <a:prstGeom prst="rect">
          <a:avLst/>
        </a:prstGeom>
      </xdr:spPr>
    </xdr:pic>
    <xdr:clientData/>
  </xdr:twoCellAnchor>
  <xdr:twoCellAnchor editAs="oneCell">
    <xdr:from>
      <xdr:col>22</xdr:col>
      <xdr:colOff>104774</xdr:colOff>
      <xdr:row>152</xdr:row>
      <xdr:rowOff>161926</xdr:rowOff>
    </xdr:from>
    <xdr:to>
      <xdr:col>24</xdr:col>
      <xdr:colOff>4231</xdr:colOff>
      <xdr:row>155</xdr:row>
      <xdr:rowOff>186686</xdr:rowOff>
    </xdr:to>
    <xdr:pic>
      <xdr:nvPicPr>
        <xdr:cNvPr id="25" name="Picture 24">
          <a:extLst>
            <a:ext uri="{FF2B5EF4-FFF2-40B4-BE49-F238E27FC236}">
              <a16:creationId xmlns:a16="http://schemas.microsoft.com/office/drawing/2014/main" xmlns="" id="{D210B9AC-94C9-4CA4-A6D5-71FB70DD8BC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7459324" y="22139276"/>
          <a:ext cx="731307" cy="697861"/>
        </a:xfrm>
        <a:prstGeom prst="rect">
          <a:avLst/>
        </a:prstGeom>
      </xdr:spPr>
    </xdr:pic>
    <xdr:clientData/>
  </xdr:twoCellAnchor>
  <xdr:twoCellAnchor editAs="oneCell">
    <xdr:from>
      <xdr:col>7</xdr:col>
      <xdr:colOff>342054</xdr:colOff>
      <xdr:row>138</xdr:row>
      <xdr:rowOff>140706</xdr:rowOff>
    </xdr:from>
    <xdr:to>
      <xdr:col>7</xdr:col>
      <xdr:colOff>1255184</xdr:colOff>
      <xdr:row>143</xdr:row>
      <xdr:rowOff>46362</xdr:rowOff>
    </xdr:to>
    <xdr:pic>
      <xdr:nvPicPr>
        <xdr:cNvPr id="26" name="Picture 25">
          <a:extLst>
            <a:ext uri="{FF2B5EF4-FFF2-40B4-BE49-F238E27FC236}">
              <a16:creationId xmlns:a16="http://schemas.microsoft.com/office/drawing/2014/main" xmlns="" id="{41919DA7-BFF6-4D35-B257-CD71D9B069D2}"/>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004387" y="25413706"/>
          <a:ext cx="913130" cy="847574"/>
        </a:xfrm>
        <a:prstGeom prst="rect">
          <a:avLst/>
        </a:prstGeom>
      </xdr:spPr>
    </xdr:pic>
    <xdr:clientData/>
  </xdr:twoCellAnchor>
  <xdr:twoCellAnchor editAs="oneCell">
    <xdr:from>
      <xdr:col>0</xdr:col>
      <xdr:colOff>1275642</xdr:colOff>
      <xdr:row>22</xdr:row>
      <xdr:rowOff>138288</xdr:rowOff>
    </xdr:from>
    <xdr:to>
      <xdr:col>1</xdr:col>
      <xdr:colOff>17192</xdr:colOff>
      <xdr:row>24</xdr:row>
      <xdr:rowOff>162538</xdr:rowOff>
    </xdr:to>
    <xdr:pic>
      <xdr:nvPicPr>
        <xdr:cNvPr id="30" name="Picture 29">
          <a:extLst>
            <a:ext uri="{FF2B5EF4-FFF2-40B4-BE49-F238E27FC236}">
              <a16:creationId xmlns:a16="http://schemas.microsoft.com/office/drawing/2014/main" xmlns="" id="{77735DE8-C065-4B76-BEDD-7828141083A6}"/>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rot="2769642">
          <a:off x="1270351" y="5826829"/>
          <a:ext cx="532250" cy="521667"/>
        </a:xfrm>
        <a:prstGeom prst="rect">
          <a:avLst/>
        </a:prstGeom>
      </xdr:spPr>
    </xdr:pic>
    <xdr:clientData/>
  </xdr:twoCellAnchor>
  <xdr:twoCellAnchor>
    <xdr:from>
      <xdr:col>9</xdr:col>
      <xdr:colOff>0</xdr:colOff>
      <xdr:row>33</xdr:row>
      <xdr:rowOff>127000</xdr:rowOff>
    </xdr:from>
    <xdr:to>
      <xdr:col>23</xdr:col>
      <xdr:colOff>393700</xdr:colOff>
      <xdr:row>49</xdr:row>
      <xdr:rowOff>181429</xdr:rowOff>
    </xdr:to>
    <xdr:graphicFrame macro="">
      <xdr:nvGraphicFramePr>
        <xdr:cNvPr id="31" name="Chart 30">
          <a:extLst>
            <a:ext uri="{FF2B5EF4-FFF2-40B4-BE49-F238E27FC236}">
              <a16:creationId xmlns:a16="http://schemas.microsoft.com/office/drawing/2014/main" xmlns="" id="{B1E2CEE5-95D7-4E99-BFDF-E9D5672238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12701</xdr:colOff>
      <xdr:row>110</xdr:row>
      <xdr:rowOff>177800</xdr:rowOff>
    </xdr:from>
    <xdr:to>
      <xdr:col>5</xdr:col>
      <xdr:colOff>1</xdr:colOff>
      <xdr:row>125</xdr:row>
      <xdr:rowOff>215900</xdr:rowOff>
    </xdr:to>
    <xdr:graphicFrame macro="">
      <xdr:nvGraphicFramePr>
        <xdr:cNvPr id="32" name="Chart 31">
          <a:extLst>
            <a:ext uri="{FF2B5EF4-FFF2-40B4-BE49-F238E27FC236}">
              <a16:creationId xmlns:a16="http://schemas.microsoft.com/office/drawing/2014/main" xmlns="" id="{19DB4EB2-D5A4-47C2-892D-95F69D054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5</xdr:col>
      <xdr:colOff>0</xdr:colOff>
      <xdr:row>110</xdr:row>
      <xdr:rowOff>169335</xdr:rowOff>
    </xdr:from>
    <xdr:to>
      <xdr:col>12</xdr:col>
      <xdr:colOff>0</xdr:colOff>
      <xdr:row>125</xdr:row>
      <xdr:rowOff>207435</xdr:rowOff>
    </xdr:to>
    <xdr:graphicFrame macro="">
      <xdr:nvGraphicFramePr>
        <xdr:cNvPr id="33" name="Chart 32">
          <a:extLst>
            <a:ext uri="{FF2B5EF4-FFF2-40B4-BE49-F238E27FC236}">
              <a16:creationId xmlns:a16="http://schemas.microsoft.com/office/drawing/2014/main" xmlns="" id="{DFFA7A8B-B059-43B6-8ACC-8B9F0D15D3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12</xdr:col>
      <xdr:colOff>10583</xdr:colOff>
      <xdr:row>110</xdr:row>
      <xdr:rowOff>169333</xdr:rowOff>
    </xdr:from>
    <xdr:to>
      <xdr:col>23</xdr:col>
      <xdr:colOff>391583</xdr:colOff>
      <xdr:row>125</xdr:row>
      <xdr:rowOff>207433</xdr:rowOff>
    </xdr:to>
    <xdr:graphicFrame macro="">
      <xdr:nvGraphicFramePr>
        <xdr:cNvPr id="34" name="Chart 33">
          <a:extLst>
            <a:ext uri="{FF2B5EF4-FFF2-40B4-BE49-F238E27FC236}">
              <a16:creationId xmlns:a16="http://schemas.microsoft.com/office/drawing/2014/main" xmlns="" id="{C7625DA8-CFB8-4595-A620-02797CA024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10582</xdr:colOff>
      <xdr:row>50</xdr:row>
      <xdr:rowOff>136073</xdr:rowOff>
    </xdr:from>
    <xdr:to>
      <xdr:col>7</xdr:col>
      <xdr:colOff>1481667</xdr:colOff>
      <xdr:row>69</xdr:row>
      <xdr:rowOff>148167</xdr:rowOff>
    </xdr:to>
    <xdr:graphicFrame macro="">
      <xdr:nvGraphicFramePr>
        <xdr:cNvPr id="35" name="Chart 34">
          <a:extLst>
            <a:ext uri="{FF2B5EF4-FFF2-40B4-BE49-F238E27FC236}">
              <a16:creationId xmlns:a16="http://schemas.microsoft.com/office/drawing/2014/main" xmlns="" id="{912388E1-EF45-4273-92DB-73870402A2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7</xdr:col>
      <xdr:colOff>1492250</xdr:colOff>
      <xdr:row>50</xdr:row>
      <xdr:rowOff>127001</xdr:rowOff>
    </xdr:from>
    <xdr:to>
      <xdr:col>23</xdr:col>
      <xdr:colOff>408215</xdr:colOff>
      <xdr:row>69</xdr:row>
      <xdr:rowOff>155223</xdr:rowOff>
    </xdr:to>
    <xdr:graphicFrame macro="">
      <xdr:nvGraphicFramePr>
        <xdr:cNvPr id="36" name="Chart 35">
          <a:extLst>
            <a:ext uri="{FF2B5EF4-FFF2-40B4-BE49-F238E27FC236}">
              <a16:creationId xmlns:a16="http://schemas.microsoft.com/office/drawing/2014/main" xmlns="" id="{F1308F73-1376-4014-BED6-53D3A3F057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70</xdr:row>
      <xdr:rowOff>108855</xdr:rowOff>
    </xdr:from>
    <xdr:to>
      <xdr:col>8</xdr:col>
      <xdr:colOff>9072</xdr:colOff>
      <xdr:row>89</xdr:row>
      <xdr:rowOff>0</xdr:rowOff>
    </xdr:to>
    <xdr:graphicFrame macro="">
      <xdr:nvGraphicFramePr>
        <xdr:cNvPr id="37" name="Chart 36">
          <a:extLst>
            <a:ext uri="{FF2B5EF4-FFF2-40B4-BE49-F238E27FC236}">
              <a16:creationId xmlns:a16="http://schemas.microsoft.com/office/drawing/2014/main" xmlns="" id="{2E35E792-43A7-4124-B5E8-4F35A06C70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8</xdr:col>
      <xdr:colOff>9071</xdr:colOff>
      <xdr:row>70</xdr:row>
      <xdr:rowOff>108855</xdr:rowOff>
    </xdr:from>
    <xdr:to>
      <xdr:col>23</xdr:col>
      <xdr:colOff>399142</xdr:colOff>
      <xdr:row>88</xdr:row>
      <xdr:rowOff>158750</xdr:rowOff>
    </xdr:to>
    <xdr:graphicFrame macro="">
      <xdr:nvGraphicFramePr>
        <xdr:cNvPr id="38" name="Chart 37">
          <a:extLst>
            <a:ext uri="{FF2B5EF4-FFF2-40B4-BE49-F238E27FC236}">
              <a16:creationId xmlns:a16="http://schemas.microsoft.com/office/drawing/2014/main" xmlns="" id="{983262E8-255A-4ABC-BFE3-D801D218CA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0</xdr:colOff>
      <xdr:row>89</xdr:row>
      <xdr:rowOff>148167</xdr:rowOff>
    </xdr:from>
    <xdr:to>
      <xdr:col>8</xdr:col>
      <xdr:colOff>4536</xdr:colOff>
      <xdr:row>109</xdr:row>
      <xdr:rowOff>47625</xdr:rowOff>
    </xdr:to>
    <xdr:graphicFrame macro="">
      <xdr:nvGraphicFramePr>
        <xdr:cNvPr id="39" name="Chart 38">
          <a:extLst>
            <a:ext uri="{FF2B5EF4-FFF2-40B4-BE49-F238E27FC236}">
              <a16:creationId xmlns:a16="http://schemas.microsoft.com/office/drawing/2014/main" xmlns="" id="{C56D05C9-A52D-458F-A5D2-693F8E2BC1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8</xdr:col>
      <xdr:colOff>15875</xdr:colOff>
      <xdr:row>89</xdr:row>
      <xdr:rowOff>148167</xdr:rowOff>
    </xdr:from>
    <xdr:to>
      <xdr:col>24</xdr:col>
      <xdr:colOff>0</xdr:colOff>
      <xdr:row>109</xdr:row>
      <xdr:rowOff>47625</xdr:rowOff>
    </xdr:to>
    <xdr:graphicFrame macro="">
      <xdr:nvGraphicFramePr>
        <xdr:cNvPr id="42" name="Chart 41">
          <a:extLst>
            <a:ext uri="{FF2B5EF4-FFF2-40B4-BE49-F238E27FC236}">
              <a16:creationId xmlns:a16="http://schemas.microsoft.com/office/drawing/2014/main" xmlns="" id="{57C9D2F9-DB10-4F3F-9FD0-E6BCC263B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y Goulden" refreshedDate="43110.600348842592" createdVersion="6" refreshedVersion="6" minRefreshableVersion="3" recordCount="950">
  <cacheSource type="worksheet">
    <worksheetSource ref="A1:KV951" sheet="PIIRS FY17 Reach"/>
  </cacheSource>
  <cacheFields count="308">
    <cacheField name="Country" numFmtId="0">
      <sharedItems containsBlank="1" count="87">
        <s v="Afghanistan"/>
        <s v="Albania"/>
        <s v="Austria"/>
        <s v="Bangladesh"/>
        <s v="Belgium"/>
        <s v="Benin"/>
        <s v="Bosnia and Herzegovina"/>
        <s v="Burkina Faso"/>
        <s v="Burundi"/>
        <s v="Cambodia"/>
        <s v="Cameroon"/>
        <s v="Chad"/>
        <s v="Colombia"/>
        <s v="Costa Rica"/>
        <s v="Cote d'Ivoire"/>
        <s v="Croatia"/>
        <s v="Cuba"/>
        <s v="Czech Republic"/>
        <s v="Denmark"/>
        <s v="Dominican Republic"/>
        <s v="DRC"/>
        <s v="Ecuador"/>
        <s v="Egypt"/>
        <s v="Ethiopia"/>
        <s v="Fiji"/>
        <s v="France"/>
        <s v="Georgia"/>
        <s v="Germany"/>
        <s v="Ghana"/>
        <s v="Greece"/>
        <s v="Guatemala"/>
        <s v="Haiti"/>
        <s v="Honduras"/>
        <s v="India"/>
        <s v="Indonesia"/>
        <s v="Iraq"/>
        <s v="Jordan"/>
        <s v="Kenya"/>
        <s v="Kosovo"/>
        <s v="Laos"/>
        <s v="Lebanon"/>
        <s v="Liberia"/>
        <s v="Macedonia"/>
        <s v="Madagascar"/>
        <s v="Malawi"/>
        <s v="Mali"/>
        <s v="Mexico"/>
        <s v="Montenegro"/>
        <s v="Morocco"/>
        <s v="Mozambique"/>
        <s v="Myanmar"/>
        <s v="Nepal"/>
        <s v="Netherlands"/>
        <s v="Nicaragua"/>
        <s v="Niger"/>
        <s v="Norway"/>
        <s v="Pakistan"/>
        <s v="Panama"/>
        <s v="Papua New Guinea"/>
        <s v="Peru"/>
        <s v="Philippines"/>
        <s v="Romania"/>
        <s v="Rwanda"/>
        <s v="Serbia"/>
        <s v="Sierra Leone"/>
        <s v="Somalia"/>
        <s v="South Africa"/>
        <s v="South Sudan"/>
        <s v="Sri Lanka"/>
        <s v="Sudan"/>
        <s v="Switzerland"/>
        <s v="Syria"/>
        <s v="Tanzania"/>
        <s v="Thailand"/>
        <s v="Timor-Leste"/>
        <s v="Turkey"/>
        <s v="Uganda"/>
        <s v="United Kingdom"/>
        <s v="United States of America"/>
        <s v="Vanuatu"/>
        <s v="Vietnam"/>
        <s v="West Bank and Gaza"/>
        <s v="Yemen"/>
        <s v="Zambia"/>
        <s v="Zimbabwe"/>
        <m u="1"/>
        <s v="Congo, Democratic Republic of" u="1"/>
      </sharedItems>
    </cacheField>
    <cacheField name="Region" numFmtId="0">
      <sharedItems containsBlank="1" count="8">
        <s v="Asia and the Pacific"/>
        <s v="Middle East, North Africa and Europe"/>
        <s v="Africa - Western"/>
        <s v="Africa - East and Central"/>
        <s v="Latin America and the Caribbean"/>
        <s v="Africa - Southern"/>
        <s v="North America"/>
        <m u="1"/>
      </sharedItems>
    </cacheField>
    <cacheField name="Code in PIIRS system " numFmtId="0">
      <sharedItems containsBlank="1" containsMixedTypes="1" containsNumber="1" containsInteger="1" minValue="93" maxValue="6136"/>
    </cacheField>
    <cacheField name="Project/Initiative Name" numFmtId="0">
      <sharedItems longText="1"/>
    </cacheField>
    <cacheField name="Country2" numFmtId="0">
      <sharedItems/>
    </cacheField>
    <cacheField name="Project/Initiative ID, number or code (coding system in your country) (1)" numFmtId="0">
      <sharedItems containsBlank="1" containsMixedTypes="1" containsNumber="1" containsInteger="1" minValue="339" maxValue="6129"/>
    </cacheField>
    <cacheField name="CARE International Member related to the project/initiative (acting as contract holder or leading) (1)" numFmtId="0">
      <sharedItems containsBlank="1"/>
    </cacheField>
    <cacheField name="Type of donor (1)" numFmtId="0">
      <sharedItems containsBlank="1"/>
    </cacheField>
    <cacheField name="Donor(s) generic name (1)" numFmtId="0">
      <sharedItems containsBlank="1"/>
    </cacheField>
    <cacheField name="Donor(s) full name (1)" numFmtId="0">
      <sharedItems containsBlank="1"/>
    </cacheField>
    <cacheField name="Project/Initiative ID, number or code (coding system in your country) (2)" numFmtId="0">
      <sharedItems containsBlank="1" containsMixedTypes="1" containsNumber="1" containsInteger="1" minValue="562" maxValue="2910"/>
    </cacheField>
    <cacheField name="CARE International Member related to the project/initiative (acting as contract holder or leading) (2)" numFmtId="0">
      <sharedItems containsBlank="1"/>
    </cacheField>
    <cacheField name="Type of donor (2)" numFmtId="0">
      <sharedItems containsBlank="1"/>
    </cacheField>
    <cacheField name="Donor(s) generic name (2)" numFmtId="0">
      <sharedItems containsBlank="1"/>
    </cacheField>
    <cacheField name="Donor(s) full name (2)" numFmtId="0">
      <sharedItems containsBlank="1"/>
    </cacheField>
    <cacheField name="Project/Initiative ID, number or code (coding system in your country) (3)" numFmtId="0">
      <sharedItems containsBlank="1" containsMixedTypes="1" containsNumber="1" containsInteger="1" minValue="559" maxValue="2910"/>
    </cacheField>
    <cacheField name="CARE International Member related to the project/initiative (acting as contract holder or leading) (3)" numFmtId="0">
      <sharedItems containsBlank="1"/>
    </cacheField>
    <cacheField name="Type of donor (3)" numFmtId="0">
      <sharedItems containsBlank="1"/>
    </cacheField>
    <cacheField name="Donor(s) generic name (3)" numFmtId="0">
      <sharedItems containsBlank="1"/>
    </cacheField>
    <cacheField name="Donor(s) full name (3)" numFmtId="0">
      <sharedItems containsBlank="1"/>
    </cacheField>
    <cacheField name="Project/Initiative ID, number or code (coding system in your country) (4)" numFmtId="0">
      <sharedItems containsBlank="1"/>
    </cacheField>
    <cacheField name="CARE International Member related to the project/initiative (acting as contract holder or leading) (4)" numFmtId="0">
      <sharedItems containsBlank="1"/>
    </cacheField>
    <cacheField name="Type of donor (4)" numFmtId="0">
      <sharedItems containsBlank="1"/>
    </cacheField>
    <cacheField name="Donor(s) generic name (4)" numFmtId="0">
      <sharedItems containsBlank="1"/>
    </cacheField>
    <cacheField name="Donor(s) full name (4)" numFmtId="0">
      <sharedItems containsBlank="1"/>
    </cacheField>
    <cacheField name="Project/Initiative ID, number or code (coding system in your country) (5)" numFmtId="0">
      <sharedItems containsBlank="1"/>
    </cacheField>
    <cacheField name="CARE International Member related to the project/initiative (acting as contract holder or leading) (5)" numFmtId="0">
      <sharedItems containsBlank="1"/>
    </cacheField>
    <cacheField name="Type of donor (5)" numFmtId="0">
      <sharedItems containsBlank="1"/>
    </cacheField>
    <cacheField name="Donor(s) generic name (5)" numFmtId="0">
      <sharedItems containsBlank="1"/>
    </cacheField>
    <cacheField name="Donor(s) full name (5)" numFmtId="0">
      <sharedItems containsBlank="1"/>
    </cacheField>
    <cacheField name="Project/Initiative ID, number or code (coding system in your country) (6)" numFmtId="0">
      <sharedItems containsBlank="1"/>
    </cacheField>
    <cacheField name="CARE International Member related to the project/initiative (acting as contract holder or leading) (6)" numFmtId="0">
      <sharedItems containsBlank="1"/>
    </cacheField>
    <cacheField name="Type of donor (6)" numFmtId="0">
      <sharedItems containsBlank="1"/>
    </cacheField>
    <cacheField name="Donor(s) generic name (6)" numFmtId="0">
      <sharedItems containsBlank="1"/>
    </cacheField>
    <cacheField name="Donor(s) full name (6)" numFmtId="0">
      <sharedItems containsBlank="1"/>
    </cacheField>
    <cacheField name="Project/Initiative ID, number or code (coding system in your country) (7)" numFmtId="0">
      <sharedItems containsBlank="1"/>
    </cacheField>
    <cacheField name="CARE International Member related to the project/initiative (acting as contract holder or leading) (7)" numFmtId="0">
      <sharedItems containsBlank="1"/>
    </cacheField>
    <cacheField name="Type of donor (7)" numFmtId="0">
      <sharedItems containsBlank="1"/>
    </cacheField>
    <cacheField name="Donor(s) generic name (7)" numFmtId="0">
      <sharedItems containsBlank="1"/>
    </cacheField>
    <cacheField name="Donor(s) full name (7)" numFmtId="0">
      <sharedItems containsBlank="1"/>
    </cacheField>
    <cacheField name="Project/Initiative ID, number or code (coding system in your country) (8)" numFmtId="0">
      <sharedItems containsBlank="1"/>
    </cacheField>
    <cacheField name="CARE International Member related to the project/initiative (acting as contract holder or leading) (8)" numFmtId="0">
      <sharedItems containsBlank="1"/>
    </cacheField>
    <cacheField name="Type of donor (8)" numFmtId="0">
      <sharedItems containsBlank="1"/>
    </cacheField>
    <cacheField name="Donor(s) generic name (8)" numFmtId="0">
      <sharedItems containsBlank="1"/>
    </cacheField>
    <cacheField name="Donor(s) full name (8)" numFmtId="0">
      <sharedItems containsBlank="1"/>
    </cacheField>
    <cacheField name="Project/Initiative ID, number or code (coding system in your country) (9)" numFmtId="0">
      <sharedItems containsBlank="1"/>
    </cacheField>
    <cacheField name="CARE International Member related to the project/initiative (acting as contract holder or leading) (9)" numFmtId="0">
      <sharedItems containsBlank="1"/>
    </cacheField>
    <cacheField name="Type of donor (9)" numFmtId="0">
      <sharedItems containsBlank="1"/>
    </cacheField>
    <cacheField name="Donor(s) generic name (9)" numFmtId="0">
      <sharedItems containsBlank="1"/>
    </cacheField>
    <cacheField name="Donor(s) full name (9)" numFmtId="0">
      <sharedItems containsBlank="1"/>
    </cacheField>
    <cacheField name="Project/Initiative ID, number or code (coding system in your country) (10)" numFmtId="0">
      <sharedItems containsBlank="1"/>
    </cacheField>
    <cacheField name="CARE International Member related to the project/initiative (acting as contract holder or leading) (10)" numFmtId="0">
      <sharedItems containsBlank="1"/>
    </cacheField>
    <cacheField name="Type of donor (10)" numFmtId="0">
      <sharedItems containsBlank="1"/>
    </cacheField>
    <cacheField name="Donor(s) generic name (10)" numFmtId="0">
      <sharedItems containsBlank="1"/>
    </cacheField>
    <cacheField name="Donor(s) full name (10)" numFmtId="0">
      <sharedItems containsBlank="1"/>
    </cacheField>
    <cacheField name="Project/initiative start date (dd/mm/yy)" numFmtId="0">
      <sharedItems containsNonDate="0" containsDate="1" containsString="0" containsBlank="1" minDate="2003-01-01T00:00:00" maxDate="2017-06-30T00:00:00"/>
    </cacheField>
    <cacheField name="Project/initiative end date (dd/mm/yy)" numFmtId="0">
      <sharedItems containsDate="1" containsBlank="1" containsMixedTypes="1" minDate="2014-06-30T00:00:00" maxDate="2030-12-02T00:00:00"/>
    </cacheField>
    <cacheField name="New End date (In case of extension) (dd/mm/yy)" numFmtId="0">
      <sharedItems containsNonDate="0" containsDate="1" containsString="0" containsBlank="1" minDate="2012-12-31T00:00:00" maxDate="2021-04-01T00:00:00"/>
    </cacheField>
    <cacheField name="Program Type classification: Please indicate the predominant programmatic area in which the project concentrates its investments" numFmtId="0">
      <sharedItems containsBlank="1"/>
    </cacheField>
    <cacheField name=" Total budget for the life of the project/initiative (in US dollars)" numFmtId="164">
      <sharedItems containsString="0" containsBlank="1" containsNumber="1" minValue="300" maxValue="80000000"/>
    </cacheField>
    <cacheField name="Contact 1 - Name" numFmtId="0">
      <sharedItems containsBlank="1"/>
    </cacheField>
    <cacheField name="Contact 1 - Position" numFmtId="0">
      <sharedItems containsBlank="1"/>
    </cacheField>
    <cacheField name="Contact 1 - EMail" numFmtId="0">
      <sharedItems containsBlank="1" containsMixedTypes="1" containsNumber="1" containsInteger="1" minValue="-634517725" maxValue="-634517725"/>
    </cacheField>
    <cacheField name="Contact 2 - Name" numFmtId="0">
      <sharedItems containsBlank="1"/>
    </cacheField>
    <cacheField name="Contact 2 - Position" numFmtId="0">
      <sharedItems containsBlank="1"/>
    </cacheField>
    <cacheField name="Contact 2 - EMail" numFmtId="0">
      <sharedItems containsBlank="1" containsMixedTypes="1" containsNumber="1" containsInteger="1" minValue="-633666352" maxValue="733637294"/>
    </cacheField>
    <cacheField name="Does the project/initiative focus its actions in long-term development, humanitarian or both types of work? (Humanitarian)" numFmtId="0">
      <sharedItems/>
    </cacheField>
    <cacheField name="Does the project/initiative focus its actions in long-term development, humanitarian or both types of work? (Long-term development)" numFmtId="0">
      <sharedItems/>
    </cacheField>
    <cacheField name="Does the project/initiative focus its actions in long-term development, humanitarian or both types of work? (Both long-term development and humanitarian outcomes/impacts)" numFmtId="0">
      <sharedItems/>
    </cacheField>
    <cacheField name="What is the main goal of the project/initiative? Please describe." numFmtId="0">
      <sharedItems containsBlank="1" longText="1"/>
    </cacheField>
    <cacheField name="Select from the list the geographical scope of the project/initiative" numFmtId="0">
      <sharedItems/>
    </cacheField>
    <cacheField name="Please describe the specific location of the project/initiative (e.g. countries, regions, provinces, cities or municipalities)" numFmtId="0">
      <sharedItems containsBlank="1" longText="1"/>
    </cacheField>
    <cacheField name="Please describe the main impact group of the project/initiative, that is, the people who are expected to experience positive and lasting change supported by the project/initiative" numFmtId="0">
      <sharedItems containsBlank="1" longText="1"/>
    </cacheField>
    <cacheField name="Direct participants in the life of the project/initiative, by sex - # women and girls" numFmtId="164">
      <sharedItems containsString="0" containsBlank="1" containsNumber="1" minValue="0" maxValue="21229755"/>
    </cacheField>
    <cacheField name="Direct participants in the life of the project/initiative, by sex - # men and boys" numFmtId="164">
      <sharedItems containsString="0" containsBlank="1" containsNumber="1" minValue="0" maxValue="11100000"/>
    </cacheField>
    <cacheField name="Direct participants in the life of the project/initiative, by sex - # total" numFmtId="164">
      <sharedItems containsString="0" containsBlank="1" containsNumber="1" containsInteger="1" minValue="0" maxValue="23592145"/>
    </cacheField>
    <cacheField name="Indirect participants in the life of the project/initiative, by sex - # women and girls" numFmtId="164">
      <sharedItems containsString="0" containsBlank="1" containsNumber="1" minValue="0" maxValue="100128205"/>
    </cacheField>
    <cacheField name="Indirect participants in the life of the project/initiative, by sex - # men and boys" numFmtId="164">
      <sharedItems containsString="0" containsBlank="1" containsNumber="1" minValue="0" maxValue="50600000"/>
    </cacheField>
    <cacheField name="Indirect participants in the life of the project/initiative, by sex - # total" numFmtId="164">
      <sharedItems containsString="0" containsBlank="1" containsNumber="1" containsInteger="1" minValue="0" maxValue="123931429"/>
    </cacheField>
    <cacheField name="Please describe who the direct &amp; indirect participants are, and how they are calculated" numFmtId="0">
      <sharedItems containsBlank="1" longText="1"/>
    </cacheField>
    <cacheField name="Fiscal Year" numFmtId="0">
      <sharedItems containsString="0" containsBlank="1" containsNumber="1" containsInteger="1" minValue="17" maxValue="17"/>
    </cacheField>
    <cacheField name="Humanitarian - Direct participants of the project/initiative in the fiscal year - # women and girls" numFmtId="164">
      <sharedItems containsString="0" containsBlank="1" containsNumber="1" minValue="0" maxValue="357237"/>
    </cacheField>
    <cacheField name="Humanitarian - Direct participants of the project/initiative in the fiscal year - # men and boys" numFmtId="164">
      <sharedItems containsString="0" containsBlank="1" containsNumber="1" minValue="0" maxValue="541113"/>
    </cacheField>
    <cacheField name="Humanitarian - Direct participants of the project/initiative in the fiscal year - # total" numFmtId="164">
      <sharedItems containsString="0" containsBlank="1" containsNumber="1" containsInteger="1" minValue="0" maxValue="883734"/>
    </cacheField>
    <cacheField name="Humanitarian - Indirect participants of the project/initiative in the fiscal year - # women and girls" numFmtId="164">
      <sharedItems containsString="0" containsBlank="1" containsNumber="1" minValue="0" maxValue="787740"/>
    </cacheField>
    <cacheField name="Humanitarian - Indirect participants of the project/initiative in the fiscal year - # men and boys" numFmtId="164">
      <sharedItems containsString="0" containsBlank="1" containsNumber="1" minValue="0" maxValue="853380"/>
    </cacheField>
    <cacheField name="Humanitarian - Indirect participants of the project/initiative in the fiscal year - # total" numFmtId="164">
      <sharedItems containsString="0" containsBlank="1" containsNumber="1" minValue="0" maxValue="1641120"/>
    </cacheField>
    <cacheField name="Humanitarian - Camp management and coordination" numFmtId="0">
      <sharedItems containsBlank="1"/>
    </cacheField>
    <cacheField name="Humanitarian - Direct participants reached in the FY (Camp management and coordination)" numFmtId="164">
      <sharedItems containsString="0" containsBlank="1" containsNumber="1" containsInteger="1" minValue="1350" maxValue="8400"/>
    </cacheField>
    <cacheField name="Humanitarian - % of direct participants that are women (Camp management and coordination)" numFmtId="10">
      <sharedItems containsString="0" containsBlank="1" containsNumber="1" minValue="0.4" maxValue="0.6"/>
    </cacheField>
    <cacheField name="Humanitarian - Indirect participants reached in the FY (Camp management and coordination)" numFmtId="164">
      <sharedItems containsString="0" containsBlank="1" containsNumber="1" containsInteger="1" minValue="120" maxValue="19942"/>
    </cacheField>
    <cacheField name="Humanitarian - Cash/Voucher distribution" numFmtId="0">
      <sharedItems containsBlank="1"/>
    </cacheField>
    <cacheField name="Humanitarian - Direct participants reached in the FY (Cash/Voucher distribution)" numFmtId="164">
      <sharedItems containsString="0" containsBlank="1" containsNumber="1" containsInteger="1" minValue="300" maxValue="484502"/>
    </cacheField>
    <cacheField name="Humanitarian - % of direct participants that are women (Cash/Voucher distribution)" numFmtId="10">
      <sharedItems containsString="0" containsBlank="1" containsNumber="1" minValue="0.17" maxValue="1"/>
    </cacheField>
    <cacheField name="Humanitarian - Indirect participants reached in the FY (Cash/Voucher distribution)" numFmtId="164">
      <sharedItems containsString="0" containsBlank="1" containsNumber="1" containsInteger="1" minValue="0" maxValue="214189"/>
    </cacheField>
    <cacheField name="Humanitarian - Education" numFmtId="0">
      <sharedItems containsBlank="1"/>
    </cacheField>
    <cacheField name="Humanitarian - Direct participants reached in the FY (Education)" numFmtId="164">
      <sharedItems containsString="0" containsBlank="1" containsNumber="1" containsInteger="1" minValue="18" maxValue="123959"/>
    </cacheField>
    <cacheField name="Humanitarian - % of direct participants that are women (Education)" numFmtId="10">
      <sharedItems containsString="0" containsBlank="1" containsNumber="1" minValue="0" maxValue="1"/>
    </cacheField>
    <cacheField name="Humanitarian - Indirect participants reached in the FY (Education)" numFmtId="164">
      <sharedItems containsString="0" containsBlank="1" containsNumber="1" containsInteger="1" minValue="0" maxValue="1562428"/>
    </cacheField>
    <cacheField name="Humanitarian - Food and nutrition security" numFmtId="0">
      <sharedItems containsBlank="1"/>
    </cacheField>
    <cacheField name="Humanitarian - Direct participants reached in the FY (Food and nutrition security)" numFmtId="164">
      <sharedItems containsString="0" containsBlank="1" containsNumber="1" containsInteger="1" minValue="0" maxValue="736123"/>
    </cacheField>
    <cacheField name="Humanitarian - % of direct participants that are women (Food and nutrition security)" numFmtId="10">
      <sharedItems containsString="0" containsBlank="1" containsNumber="1" minValue="0" maxValue="1"/>
    </cacheField>
    <cacheField name="Humanitarian - Indirect participants reached in the FY (Food and nutrition security)" numFmtId="164">
      <sharedItems containsString="0" containsBlank="1" containsNumber="1" containsInteger="1" minValue="0" maxValue="1641120"/>
    </cacheField>
    <cacheField name="Humanitarian - Gender based violence" numFmtId="0">
      <sharedItems containsBlank="1"/>
    </cacheField>
    <cacheField name="Humanitarian - Direct participants reached in the FY (Gender based violence)" numFmtId="164">
      <sharedItems containsString="0" containsBlank="1" containsNumber="1" containsInteger="1" minValue="10" maxValue="171043"/>
    </cacheField>
    <cacheField name="Humanitarian - % of direct participants that are women (Gender based violence)" numFmtId="10">
      <sharedItems containsString="0" containsBlank="1" containsNumber="1" minValue="0.11" maxValue="1"/>
    </cacheField>
    <cacheField name="Humanitarian - Indirect participants reached in the FY (Gender based violence)" numFmtId="164">
      <sharedItems containsString="0" containsBlank="1" containsNumber="1" containsInteger="1" minValue="0" maxValue="300000"/>
    </cacheField>
    <cacheField name="Humanitarian - Gender equality (other than GBV)" numFmtId="0">
      <sharedItems containsBlank="1"/>
    </cacheField>
    <cacheField name="Humanitarian - Direct participants reached in the FY (Gender equality (other than GBV))" numFmtId="164">
      <sharedItems containsString="0" containsBlank="1" containsNumber="1" containsInteger="1" minValue="48" maxValue="171403"/>
    </cacheField>
    <cacheField name="Humanitarian - % of direct participants that are women (Gender equality (other than GBV))" numFmtId="10">
      <sharedItems containsString="0" containsBlank="1" containsNumber="1" minValue="0.33" maxValue="1"/>
    </cacheField>
    <cacheField name="Humanitarian - Indirect participants reached in the FY (Gender equality (other than GBV))" numFmtId="164">
      <sharedItems containsString="0" containsBlank="1" containsNumber="1" containsInteger="1" minValue="240" maxValue="832174"/>
    </cacheField>
    <cacheField name="Humanitarian - Health (other than SRMH)" numFmtId="0">
      <sharedItems containsBlank="1"/>
    </cacheField>
    <cacheField name="Humanitarian - Direct participants reached in the FY (Health (other than SRMH))" numFmtId="164">
      <sharedItems containsString="0" containsBlank="1" containsNumber="1" containsInteger="1" minValue="0" maxValue="493215"/>
    </cacheField>
    <cacheField name="Humanitarian - % of direct participants that are women (Health (other than SRMH))" numFmtId="10">
      <sharedItems containsString="0" containsBlank="1" containsNumber="1" minValue="0" maxValue="1"/>
    </cacheField>
    <cacheField name="Humanitarian - Indirect participants reached in the FY (Health (other than SRMH))" numFmtId="164">
      <sharedItems containsString="0" containsBlank="1" containsNumber="1" containsInteger="1" minValue="0" maxValue="1014280"/>
    </cacheField>
    <cacheField name="Humanitarian - Livelihood recovery" numFmtId="0">
      <sharedItems containsBlank="1"/>
    </cacheField>
    <cacheField name="Humanitarian - Direct participants reached in the FY (Livelihood recovery)" numFmtId="164">
      <sharedItems containsString="0" containsBlank="1" containsNumber="1" containsInteger="1" minValue="0" maxValue="484502"/>
    </cacheField>
    <cacheField name="Humanitarian - % of direct participants that are women (Livelihood recovery)" numFmtId="0">
      <sharedItems containsString="0" containsBlank="1" containsNumber="1" minValue="0" maxValue="1"/>
    </cacheField>
    <cacheField name="Humanitarian - Indirect participants reached in the FY (Livelihood recovery)" numFmtId="164">
      <sharedItems containsString="0" containsBlank="1" containsNumber="1" containsInteger="1" minValue="0" maxValue="832174"/>
    </cacheField>
    <cacheField name="Humanitarian - Protection" numFmtId="0">
      <sharedItems containsBlank="1"/>
    </cacheField>
    <cacheField name="Humanitarian - Direct participants reached in the FY (Protection)" numFmtId="164">
      <sharedItems containsString="0" containsBlank="1" containsNumber="1" containsInteger="1" minValue="0" maxValue="171403"/>
    </cacheField>
    <cacheField name="Humanitarian - % of direct participants that are women (Protection)" numFmtId="10">
      <sharedItems containsString="0" containsBlank="1" containsNumber="1" minValue="0.15571776155717701" maxValue="1"/>
    </cacheField>
    <cacheField name="Humanitarian - Indirect participants reached in the FY (Protection)" numFmtId="164">
      <sharedItems containsString="0" containsBlank="1" containsNumber="1" containsInteger="1" minValue="0" maxValue="1562428"/>
    </cacheField>
    <cacheField name="Humanitarian - Sexual, reproductive and maternal health (SRMH)" numFmtId="0">
      <sharedItems containsBlank="1"/>
    </cacheField>
    <cacheField name="Humanitarian - Direct participants reached in the FY (Sexual, reproductive and maternal health (SRMH))" numFmtId="164">
      <sharedItems containsString="0" containsBlank="1" containsNumber="1" containsInteger="1" minValue="0" maxValue="88404"/>
    </cacheField>
    <cacheField name="Humanitarian - % of direct participants that are women (Sexual, reproductive and maternal health (SRMH))" numFmtId="10">
      <sharedItems containsString="0" containsBlank="1" containsNumber="1" minValue="0.156" maxValue="1"/>
    </cacheField>
    <cacheField name="Humanitarian - Indirect participants reached in the FY (Sexual, reproductive and maternal health (SRMH))" numFmtId="164">
      <sharedItems containsString="0" containsBlank="1" containsNumber="1" containsInteger="1" minValue="1212" maxValue="209662"/>
    </cacheField>
    <cacheField name="Humanitarian - Shelter" numFmtId="0">
      <sharedItems containsBlank="1"/>
    </cacheField>
    <cacheField name="Humanitarian - Direct participants reached in the FY (Shelter)" numFmtId="164">
      <sharedItems containsString="0" containsBlank="1" containsNumber="1" containsInteger="1" minValue="111" maxValue="97940"/>
    </cacheField>
    <cacheField name="Humanitarian - % of direct participants that are women (Shelter)" numFmtId="10">
      <sharedItems containsString="0" containsBlank="1" containsNumber="1" minValue="0.48" maxValue="0.99"/>
    </cacheField>
    <cacheField name="Humanitarian - Indirect participants reached in the FY (Shelter)" numFmtId="164">
      <sharedItems containsString="0" containsBlank="1" containsNumber="1" minValue="0" maxValue="215394"/>
    </cacheField>
    <cacheField name="Humanitarian - Water, sanitation and hygiene (WASH)" numFmtId="0">
      <sharedItems containsBlank="1"/>
    </cacheField>
    <cacheField name="Humanitarian - Direct participants reached in the FY (Water, sanitation and hygiene (WASH))" numFmtId="164">
      <sharedItems containsString="0" containsBlank="1" containsNumber="1" containsInteger="1" minValue="0" maxValue="407675"/>
    </cacheField>
    <cacheField name="Humanitarian - % of direct participants that are women (Water, sanitation and hygiene (WASH))" numFmtId="10">
      <sharedItems containsString="0" containsBlank="1" containsNumber="1" minValue="0.17" maxValue="1"/>
    </cacheField>
    <cacheField name="Humanitarian - Indirect participants reached in the FY (Water, sanitation and hygiene (WASH))" numFmtId="164">
      <sharedItems containsString="0" containsBlank="1" containsNumber="1" containsInteger="1" minValue="0" maxValue="1162210"/>
    </cacheField>
    <cacheField name="Humanitarian - Other" numFmtId="0">
      <sharedItems containsBlank="1" longText="1"/>
    </cacheField>
    <cacheField name="Humanitarian - Other (describe)" numFmtId="0">
      <sharedItems containsBlank="1"/>
    </cacheField>
    <cacheField name="Humanitarian - Direct participants reached in the FY (Other)" numFmtId="164">
      <sharedItems containsString="0" containsBlank="1" containsNumber="1" containsInteger="1" minValue="0" maxValue="158311"/>
    </cacheField>
    <cacheField name="Humanitarian - % of direct participants that are women (Other)" numFmtId="10">
      <sharedItems containsString="0" containsBlank="1" containsNumber="1" minValue="0.12" maxValue="0.7"/>
    </cacheField>
    <cacheField name="Humanitarian - Indirect participants reached in the FY (Other)" numFmtId="164">
      <sharedItems containsString="0" containsBlank="1" containsNumber="1" containsInteger="1" minValue="0" maxValue="407000"/>
    </cacheField>
    <cacheField name="Development - Direct participants of the project or initiative in the fiscal year (long-term development) - # women and girls" numFmtId="164">
      <sharedItems containsString="0" containsBlank="1" containsNumber="1" minValue="0" maxValue="21229755"/>
    </cacheField>
    <cacheField name="Development - Direct participants of the project or initiative in the fiscal year (long-term development) - # men and boys" numFmtId="164">
      <sharedItems containsString="0" containsBlank="1" containsNumber="1" minValue="0" maxValue="2362390"/>
    </cacheField>
    <cacheField name="Development - Direct participants of the project or initiative in the fiscal year (long-term development) - # total" numFmtId="164">
      <sharedItems containsString="0" containsBlank="1" containsNumber="1" minValue="0" maxValue="23592145"/>
    </cacheField>
    <cacheField name="Development - Indirect participants of the project or initiative in the fiscal year (long-term development) - # women and girls" numFmtId="164">
      <sharedItems containsString="0" containsBlank="1" containsNumber="1" minValue="0" maxValue="39568264"/>
    </cacheField>
    <cacheField name="Development - Indirect participants of the project or initiative in the fiscal year (long-term development) - # men and boys" numFmtId="164">
      <sharedItems containsString="0" containsBlank="1" containsNumber="1" minValue="0" maxValue="42776500"/>
    </cacheField>
    <cacheField name="Development - Indirect participants of the project or initiative in the fiscal year (long-term development) - # total" numFmtId="164">
      <sharedItems containsString="0" containsBlank="1" containsNumber="1" minValue="0" maxValue="82344764"/>
    </cacheField>
    <cacheField name="Development - Agriculture" numFmtId="0">
      <sharedItems containsBlank="1"/>
    </cacheField>
    <cacheField name="Development - Direct participants reached in the FY (Agriculture)" numFmtId="164">
      <sharedItems containsString="0" containsBlank="1" containsNumber="1" containsInteger="1" minValue="0" maxValue="105779"/>
    </cacheField>
    <cacheField name="Development - % of direct participants that are women (Agriculture)" numFmtId="10">
      <sharedItems containsString="0" containsBlank="1" containsNumber="1" minValue="0" maxValue="1"/>
    </cacheField>
    <cacheField name="Development - Indirect participants reached in the FY (Agriculture)" numFmtId="164">
      <sharedItems containsString="0" containsBlank="1" containsNumber="1" containsInteger="1" minValue="0" maxValue="3988882"/>
    </cacheField>
    <cacheField name="Development - Climate change and resilience" numFmtId="0">
      <sharedItems containsBlank="1"/>
    </cacheField>
    <cacheField name="Development - Direct participants reached in the FY (Climate change and resilience)" numFmtId="164">
      <sharedItems containsString="0" containsBlank="1" containsNumber="1" containsInteger="1" minValue="12" maxValue="1243200"/>
    </cacheField>
    <cacheField name="Development - % of direct participants that are women (Climate change and resilience)" numFmtId="10">
      <sharedItems containsString="0" containsBlank="1" containsNumber="1" minValue="0" maxValue="1"/>
    </cacheField>
    <cacheField name="Development - Indirect participants reached in the FY (Climate change and resilience)" numFmtId="164">
      <sharedItems containsString="0" containsBlank="1" containsNumber="1" containsInteger="1" minValue="0" maxValue="3601900"/>
    </cacheField>
    <cacheField name="Development - Conflict and peace building" numFmtId="0">
      <sharedItems containsBlank="1"/>
    </cacheField>
    <cacheField name="Development - Direct participants reached in the FY (Conflict and peace building)" numFmtId="164">
      <sharedItems containsString="0" containsBlank="1" containsNumber="1" containsInteger="1" minValue="21" maxValue="299228"/>
    </cacheField>
    <cacheField name="Development - % of direct participants that are women (Conflict and peace building)" numFmtId="10">
      <sharedItems containsString="0" containsBlank="1" containsNumber="1" minValue="0.15" maxValue="1"/>
    </cacheField>
    <cacheField name="Development - Indirect participants reached in the FY (Conflict and peace building)" numFmtId="164">
      <sharedItems containsString="0" containsBlank="1" containsNumber="1" containsInteger="1" minValue="0" maxValue="3988882"/>
    </cacheField>
    <cacheField name="Development - Disaster risk reduction" numFmtId="0">
      <sharedItems containsBlank="1"/>
    </cacheField>
    <cacheField name="Development - Direct participants reached in the FY (Disaster risk reduction)" numFmtId="164">
      <sharedItems containsString="0" containsBlank="1" containsNumber="1" containsInteger="1" minValue="20" maxValue="90966"/>
    </cacheField>
    <cacheField name="Development - % of direct participants that are women (Disaster risk reduction)" numFmtId="10">
      <sharedItems containsString="0" containsBlank="1" containsNumber="1" minValue="2.4371069182389939E-2" maxValue="1"/>
    </cacheField>
    <cacheField name="Development - Indirect participants reached in the FY (Disaster risk reduction)" numFmtId="164">
      <sharedItems containsString="0" containsBlank="1" containsNumber="1" containsInteger="1" minValue="0" maxValue="2390053"/>
    </cacheField>
    <cacheField name="Development - Economic development (other than WEE)" numFmtId="0">
      <sharedItems containsBlank="1"/>
    </cacheField>
    <cacheField name="Development - Direct participants reached in the FY (Economic development (other than WEE))" numFmtId="164">
      <sharedItems containsString="0" containsBlank="1" containsNumber="1" containsInteger="1" minValue="0" maxValue="105779"/>
    </cacheField>
    <cacheField name="Development - % of direct participants that are women (Economic development (other than WEE))" numFmtId="0">
      <sharedItems containsString="0" containsBlank="1" containsNumber="1" minValue="0" maxValue="1"/>
    </cacheField>
    <cacheField name="Development - Indirect participants reached in the FY (Economic development (other than WEE))" numFmtId="164">
      <sharedItems containsString="0" containsBlank="1" containsNumber="1" minValue="0" maxValue="646144"/>
    </cacheField>
    <cacheField name="Development - Education" numFmtId="0">
      <sharedItems containsBlank="1"/>
    </cacheField>
    <cacheField name="Development - Direct participants reached in the FY (Education)" numFmtId="164">
      <sharedItems containsString="0" containsBlank="1" containsNumber="1" containsInteger="1" minValue="4" maxValue="273588"/>
    </cacheField>
    <cacheField name="Development - % of direct participants that are women (Education)" numFmtId="10">
      <sharedItems containsString="0" containsBlank="1" containsNumber="1" minValue="1.7778648670972501E-2" maxValue="1"/>
    </cacheField>
    <cacheField name="Development - Indirect participants reached in the FY (Education)" numFmtId="164">
      <sharedItems containsString="0" containsBlank="1" containsNumber="1" containsInteger="1" minValue="0" maxValue="3191247"/>
    </cacheField>
    <cacheField name="Development - Food and nutrition security" numFmtId="0">
      <sharedItems containsBlank="1"/>
    </cacheField>
    <cacheField name="Development - Direct participants reached in the FY (Food and nutrition security)" numFmtId="0">
      <sharedItems containsString="0" containsBlank="1" containsNumber="1" containsInteger="1" minValue="35" maxValue="4614043"/>
    </cacheField>
    <cacheField name="Development - % of direct participants that are women (Food and nutrition security)" numFmtId="0">
      <sharedItems containsString="0" containsBlank="1" containsNumber="1" minValue="3.4000000000000002E-2" maxValue="1"/>
    </cacheField>
    <cacheField name="Development - Indirect participants reached in the FY (Food and nutrition security)" numFmtId="164">
      <sharedItems containsString="0" containsBlank="1" containsNumber="1" minValue="0" maxValue="1641120"/>
    </cacheField>
    <cacheField name="Development - Gender based violence (GBV)" numFmtId="0">
      <sharedItems containsBlank="1"/>
    </cacheField>
    <cacheField name="Development - Direct participants reached in the FY (Gender based violence (GBV))" numFmtId="164">
      <sharedItems containsString="0" containsBlank="1" containsNumber="1" containsInteger="1" minValue="0" maxValue="90966"/>
    </cacheField>
    <cacheField name="Development - % of direct participants that are women (Gender based violence (GBV))" numFmtId="0">
      <sharedItems containsString="0" containsBlank="1" containsNumber="1" minValue="0" maxValue="1"/>
    </cacheField>
    <cacheField name="Development - Indirect participants reached in the FY (Gender based violence (GBV))" numFmtId="164">
      <sharedItems containsString="0" containsBlank="1" containsNumber="1" minValue="0" maxValue="3044394"/>
    </cacheField>
    <cacheField name="Development - Gender equality (other than GBV)" numFmtId="0">
      <sharedItems containsBlank="1"/>
    </cacheField>
    <cacheField name="Development - Direct participants reached in the FY (Gender equality (other than GBV))" numFmtId="164">
      <sharedItems containsString="0" containsBlank="1" containsNumber="1" containsInteger="1" minValue="0" maxValue="305242"/>
    </cacheField>
    <cacheField name="Development - % of direct participants that are women (Gender equality (other than GBV))" numFmtId="10">
      <sharedItems containsString="0" containsBlank="1" containsNumber="1" minValue="7.0000000000000007E-2" maxValue="1.95"/>
    </cacheField>
    <cacheField name="Development - Indirect participants reached in the FY (Gender equality (other than GBV))" numFmtId="164">
      <sharedItems containsString="0" containsBlank="1" containsNumber="1" containsInteger="1" minValue="0" maxValue="3044394"/>
    </cacheField>
    <cacheField name="Development - Health (other than SRMH)" numFmtId="0">
      <sharedItems containsBlank="1"/>
    </cacheField>
    <cacheField name="Development - Direct participants reached in the FY (Health (other than SRMH))" numFmtId="164">
      <sharedItems containsString="0" containsBlank="1" containsNumber="1" containsInteger="1" minValue="0" maxValue="4492134"/>
    </cacheField>
    <cacheField name="Development - % of direct participants that are women (Health (other than SRMH))" numFmtId="10">
      <sharedItems containsString="0" containsBlank="1" containsNumber="1" minValue="0" maxValue="1"/>
    </cacheField>
    <cacheField name="Development - Indirect participants reached in the FY (Health (other than SRMH))" numFmtId="164">
      <sharedItems containsString="0" containsBlank="1" containsNumber="1" containsInteger="1" minValue="0" maxValue="15722468"/>
    </cacheField>
    <cacheField name="Development - Infrastructure" numFmtId="0">
      <sharedItems containsBlank="1"/>
    </cacheField>
    <cacheField name="Development - Direct participants reached in the FY (Infrastructure)" numFmtId="164">
      <sharedItems containsString="0" containsBlank="1" containsNumber="1" containsInteger="1" minValue="8" maxValue="145320"/>
    </cacheField>
    <cacheField name="Development - % of direct participants that are women (Infrastructure)" numFmtId="10">
      <sharedItems containsString="0" containsBlank="1" containsNumber="1" minValue="0" maxValue="1"/>
    </cacheField>
    <cacheField name="Development - Indirect participants reached in the FY (Infrastructure)" numFmtId="164">
      <sharedItems containsString="0" containsBlank="1" containsNumber="1" containsInteger="1" minValue="0" maxValue="2390053"/>
    </cacheField>
    <cacheField name="Development - Natural resource management" numFmtId="0">
      <sharedItems containsBlank="1"/>
    </cacheField>
    <cacheField name="Development - Direct participants reached in the FY (Natural resource management)" numFmtId="164">
      <sharedItems containsString="0" containsBlank="1" containsNumber="1" containsInteger="1" minValue="12" maxValue="1243200"/>
    </cacheField>
    <cacheField name="Development - % of direct participants that are women (Natural resource management)" numFmtId="0">
      <sharedItems containsString="0" containsBlank="1" containsNumber="1" minValue="0.13" maxValue="1"/>
    </cacheField>
    <cacheField name="Development - Indirect participants reached in the FY (Natural resource management)" numFmtId="164">
      <sharedItems containsString="0" containsBlank="1" containsNumber="1" containsInteger="1" minValue="0" maxValue="3988882"/>
    </cacheField>
    <cacheField name="Development - Participation and good governance" numFmtId="0">
      <sharedItems containsBlank="1"/>
    </cacheField>
    <cacheField name="Development - Direct participants reached in the FY (Participation and good governance)" numFmtId="164">
      <sharedItems containsString="0" containsBlank="1" containsNumber="1" containsInteger="1" minValue="0" maxValue="1243200"/>
    </cacheField>
    <cacheField name="Development - % of direct participants that are women (Participation and good governance)" numFmtId="10">
      <sharedItems containsString="0" containsBlank="1" containsNumber="1" minValue="0" maxValue="1"/>
    </cacheField>
    <cacheField name="Development - Indirect participants reached in the FY (Participation and good governance)" numFmtId="164">
      <sharedItems containsString="0" containsBlank="1" containsNumber="1" containsInteger="1" minValue="0" maxValue="3988882"/>
    </cacheField>
    <cacheField name="Development - Sexual, reproductive and maternal health (SRMH)" numFmtId="0">
      <sharedItems containsBlank="1"/>
    </cacheField>
    <cacheField name="Development - Direct participants reached in the FY (Sexual, reproductive and maternal health (SRMH))" numFmtId="164">
      <sharedItems containsString="0" containsBlank="1" containsNumber="1" containsInteger="1" minValue="4" maxValue="23592145"/>
    </cacheField>
    <cacheField name="Development - % of direct participants that are women (Sexual, reproductive and maternal health (SRMH))" numFmtId="10">
      <sharedItems containsString="0" containsBlank="1" containsNumber="1" minValue="7.0000000000000007E-2" maxValue="1.028"/>
    </cacheField>
    <cacheField name="Development - Indirect participants reached in the FY (Sexual, reproductive and maternal health (SRMH))" numFmtId="164">
      <sharedItems containsString="0" containsBlank="1" containsNumber="1" containsInteger="1" minValue="0" maxValue="82344764"/>
    </cacheField>
    <cacheField name="Development - Water, sanitation and hygiene (WASH)" numFmtId="0">
      <sharedItems containsBlank="1"/>
    </cacheField>
    <cacheField name="Development - Direct participants reached in the FY (Water, sanitation and hygiene (WASH))" numFmtId="164">
      <sharedItems containsString="0" containsBlank="1" containsNumber="1" containsInteger="1" minValue="0" maxValue="860253"/>
    </cacheField>
    <cacheField name="Development - % of direct participants that are women (Water, sanitation and hygiene (WASH))" numFmtId="10">
      <sharedItems containsString="0" containsBlank="1" containsNumber="1" minValue="0" maxValue="1"/>
    </cacheField>
    <cacheField name="Development - Indirect participants reached in the FY (Water, sanitation and hygiene (WASH))" numFmtId="164">
      <sharedItems containsString="0" containsBlank="1" containsNumber="1" minValue="0" maxValue="1162210"/>
    </cacheField>
    <cacheField name="Development - Women's economic empowerment (WEE)" numFmtId="0">
      <sharedItems containsBlank="1"/>
    </cacheField>
    <cacheField name="Development - Direct participants reached in the FY (Women's economic empowerment (WEE))" numFmtId="164">
      <sharedItems containsString="0" containsBlank="1" containsNumber="1" containsInteger="1" minValue="0" maxValue="330843"/>
    </cacheField>
    <cacheField name="Development - % of direct participants that are women (Women's economic empowerment (WEE))" numFmtId="0">
      <sharedItems containsString="0" containsBlank="1" containsNumber="1" minValue="0" maxValue="2.9689999999999999"/>
    </cacheField>
    <cacheField name="Development - Indirect participants reached in the FY (Women's economic empowerment (WEE))" numFmtId="164">
      <sharedItems containsString="0" containsBlank="1" containsNumber="1" minValue="0" maxValue="3044394"/>
    </cacheField>
    <cacheField name="Development - Other" numFmtId="0">
      <sharedItems containsBlank="1"/>
    </cacheField>
    <cacheField name="Development - Other (describe)" numFmtId="0">
      <sharedItems containsBlank="1"/>
    </cacheField>
    <cacheField name="Development - Direct participants reached in the FY (Other)" numFmtId="164">
      <sharedItems containsString="0" containsBlank="1" containsNumber="1" containsInteger="1" minValue="0" maxValue="10333"/>
    </cacheField>
    <cacheField name="Development - % of direct participants that are women (Other)" numFmtId="10">
      <sharedItems containsString="0" containsBlank="1" containsNumber="1" minValue="0" maxValue="1"/>
    </cacheField>
    <cacheField name="Development - Indirect participants reached in the FY (Other)" numFmtId="164">
      <sharedItems containsString="0" containsBlank="1" containsNumber="1" containsInteger="1" minValue="0" maxValue="51665"/>
    </cacheField>
    <cacheField name="Has any baseline or evaluation taken place for this project in this FY? " numFmtId="0">
      <sharedItems containsBlank="1"/>
    </cacheField>
    <cacheField name="Month " numFmtId="0">
      <sharedItems containsBlank="1"/>
    </cacheField>
    <cacheField name="Year " numFmtId="0">
      <sharedItems containsString="0" containsBlank="1" containsNumber="1" containsInteger="1" minValue="2016" maxValue="2017"/>
    </cacheField>
    <cacheField name="If a baseline or evaluation has taken place, has it compiled and documented evidence of impact/outcomes/lasting change for any of the 25 global indicators of the CARE 2020 Program Strategy? Or any other indicator that relates to the outcomes and approach of the CARE 2020 Program Strategy?" numFmtId="0">
      <sharedItems containsBlank="1"/>
    </cacheField>
    <cacheField name="Is any evaluation for this project planned for the next FY? " numFmtId="0">
      <sharedItems containsBlank="1"/>
    </cacheField>
    <cacheField name="Month" numFmtId="0">
      <sharedItems containsBlank="1"/>
    </cacheField>
    <cacheField name="Year" numFmtId="0">
      <sharedItems containsString="0" containsBlank="1" containsNumber="1" containsInteger="1" minValue="2017" maxValue="2018"/>
    </cacheField>
    <cacheField name="Please provide any further comments or information related to future evaluations for this project (methodological issues, complexity of the evaluation, comparability with baseline, support required, etc.)." numFmtId="0">
      <sharedItems containsBlank="1" longText="1"/>
    </cacheField>
    <cacheField name="To what extent did the project/initiative engage in advocacy in this FY?" numFmtId="0">
      <sharedItems containsBlank="1" count="4">
        <s v="Little or no advocacy"/>
        <s v="Moderate advocacy"/>
        <s v="Intensive advocacy"/>
        <m/>
      </sharedItems>
    </cacheField>
    <cacheField name="Adoption of new policy" numFmtId="0">
      <sharedItems containsBlank="1"/>
    </cacheField>
    <cacheField name="Advocay against harmful policy" numFmtId="0">
      <sharedItems containsBlank="1"/>
    </cacheField>
    <cacheField name="Adoption of a CARE program model/approach" numFmtId="0">
      <sharedItems containsBlank="1"/>
    </cacheField>
    <cacheField name="Implementation of existing policy" numFmtId="0">
      <sharedItems containsBlank="1"/>
    </cacheField>
    <cacheField name="Influencing national or international programs" numFmtId="0">
      <sharedItems containsBlank="1"/>
    </cacheField>
    <cacheField name="Influencing government's participation in regional/global policy platforms (UN,WHO,etc)" numFmtId="0">
      <sharedItems containsBlank="1"/>
    </cacheField>
    <cacheField name="Budget allocation for policy" numFmtId="0">
      <sharedItems containsBlank="1"/>
    </cacheField>
    <cacheField name="Other (please describe)" numFmtId="0">
      <sharedItems containsBlank="1"/>
    </cacheField>
    <cacheField name="Other (please describe) describe" numFmtId="0">
      <sharedItems containsBlank="1" longText="1"/>
    </cacheField>
    <cacheField name="To what extent did the project/initiative develop innovations for fighting poverty and inequality  in this FY?" numFmtId="0">
      <sharedItems containsBlank="1" count="4">
        <s v="It did not develop any specific innovation"/>
        <s v="It tested new ways for fighting poverty, but did not measure results of innovation"/>
        <s v="It tested new ways for fighting poverty and measured results of innovation"/>
        <m/>
      </sharedItems>
    </cacheField>
    <cacheField name="Please describe the main innovations" numFmtId="0">
      <sharedItems containsBlank="1" longText="1"/>
    </cacheField>
    <cacheField name="To what extent did the project/initiative link or work with strategic alliances and partners to take tested and effective solutions to scale in this FY?" numFmtId="0">
      <sharedItems containsBlank="1" count="4">
        <s v="It did not take tested solutions to scale"/>
        <s v="It linked and worked with strategic alliances and partners to take tested and effective solutions to scale"/>
        <m/>
        <s v="It took tested solutions to scale on its own"/>
      </sharedItems>
    </cacheField>
    <cacheField name="Please describe the tested solutions taken to scale" numFmtId="0">
      <sharedItems containsBlank="1" longText="1"/>
    </cacheField>
    <cacheField name="To what extent did the project/initiative focus on addressing sexual and gender based violence (GBV) in this FY?" numFmtId="0">
      <sharedItems containsBlank="1" count="4">
        <s v="It didn't address GBV"/>
        <s v="It mainstreamed GBV in other actions/thematic areas"/>
        <s v="It was fully GBV-focused"/>
        <m/>
      </sharedItems>
    </cacheField>
    <cacheField name="Please select the statement that best describes this year's actions for strengthening women's empowerment and gender equality" numFmtId="0">
      <sharedItems containsBlank="1" count="4">
        <s v="ii) The project/initiative WORKED WITH existing gender roles and relations"/>
        <s v="iii) The project/initiative CHALLENGED existing gender roles and relations"/>
        <m/>
        <s v="i) The project/initiative did NOT work with gender roles and relations"/>
      </sharedItems>
    </cacheField>
    <cacheField name="Gender Marker – Analysis" numFmtId="0">
      <sharedItems containsBlank="1"/>
    </cacheField>
    <cacheField name="Gender Marker – Activities" numFmtId="0">
      <sharedItems containsBlank="1" count="3">
        <s v="YES"/>
        <s v="NO"/>
        <m/>
      </sharedItems>
    </cacheField>
    <cacheField name="Gender Marker – Participation" numFmtId="0">
      <sharedItems containsBlank="1" count="3">
        <s v="YES"/>
        <s v="NO"/>
        <m/>
      </sharedItems>
    </cacheField>
    <cacheField name="Gender Marker – M&amp;E Systems" numFmtId="0">
      <sharedItems containsBlank="1" count="3">
        <s v="YES"/>
        <s v="NO"/>
        <m/>
      </sharedItems>
    </cacheField>
    <cacheField name="Gender marker score" numFmtId="0">
      <sharedItems containsBlank="1" count="8">
        <s v="2. Sensitive"/>
        <s v="1. Neutral"/>
        <s v="4. Transformative"/>
        <s v="No marker score"/>
        <s v="3. Responsive"/>
        <s v="0. Harmful"/>
        <m u="1"/>
        <s v="No marker score. Please check YES answers" u="1"/>
      </sharedItems>
    </cacheField>
    <cacheField name="Number of YES answers" numFmtId="0">
      <sharedItems containsSemiMixedTypes="0" containsString="0" containsNumber="1" containsInteger="1" minValue="0" maxValue="4"/>
    </cacheField>
    <cacheField name="Please select the statement that best describes this year's actions for promoting inclusive governance this FY?" numFmtId="0">
      <sharedItems containsBlank="1" count="4">
        <m/>
        <s v="ii) The project/initiative WORKED WITHIN existing institutions, structures and power relations"/>
        <s v="iii) The project/initiative CHALLENGED institutions, structures and power relations"/>
        <s v="i) The project/initiative did NOT consider governance or power relations"/>
      </sharedItems>
    </cacheField>
    <cacheField name="Governance Marker – Analysis" numFmtId="0">
      <sharedItems containsBlank="1" count="3">
        <m/>
        <s v="YES"/>
        <s v="NO"/>
      </sharedItems>
    </cacheField>
    <cacheField name="Governance Marker – Activities" numFmtId="0">
      <sharedItems containsBlank="1" count="3">
        <m/>
        <s v="YES"/>
        <s v="NO"/>
      </sharedItems>
    </cacheField>
    <cacheField name="Governance Marker – Integration" numFmtId="0">
      <sharedItems containsBlank="1" count="3">
        <m/>
        <s v="YES"/>
        <s v="NO"/>
      </sharedItems>
    </cacheField>
    <cacheField name="Governance Marker – CARE’s own accountability" numFmtId="0">
      <sharedItems containsBlank="1" count="3">
        <m/>
        <s v="YES"/>
        <s v="NO"/>
      </sharedItems>
    </cacheField>
    <cacheField name="Governance marker score" numFmtId="0">
      <sharedItems containsBlank="1" count="9">
        <s v="No marker score"/>
        <s v="2. Accommodating"/>
        <s v="4. Transformational"/>
        <s v="0. Unaware"/>
        <s v="1. Tokenistic"/>
        <s v="3. Responsive"/>
        <s v="2. Acommodating" u="1"/>
        <m u="1"/>
        <s v="No marker score. Please check YES answers" u="1"/>
      </sharedItems>
    </cacheField>
    <cacheField name="Number of YES  answers" numFmtId="0">
      <sharedItems containsSemiMixedTypes="0" containsString="0" containsNumber="1" containsInteger="1" minValue="0" maxValue="4"/>
    </cacheField>
    <cacheField name="Please select the statement that best describes this year's actions for increasing resilience this FY" numFmtId="0">
      <sharedItems containsBlank="1" count="4">
        <m/>
        <s v="ii) The project/initiative WORKED on addressing the resilience of individuals and communities at risk."/>
        <s v="i) The project/initiative did NOT address the resilience of individuals and communities at risk"/>
        <s v="iii) The project/initiative WORKED on addressing the resilience of individuals and communities, as well as the underlying causes of the risks they face"/>
      </sharedItems>
    </cacheField>
    <cacheField name="Resilience marker - Analysis" numFmtId="0">
      <sharedItems containsBlank="1" count="3">
        <m/>
        <s v="YES"/>
        <s v="NO"/>
      </sharedItems>
    </cacheField>
    <cacheField name="Resilience marker - Activities" numFmtId="0">
      <sharedItems containsBlank="1" count="3">
        <m/>
        <s v="YES"/>
        <s v="NO"/>
      </sharedItems>
    </cacheField>
    <cacheField name="Resilience marker - Risk Landscape" numFmtId="0">
      <sharedItems containsBlank="1" count="3">
        <m/>
        <s v="YES"/>
        <s v="NO"/>
      </sharedItems>
    </cacheField>
    <cacheField name="Resilience marker score" numFmtId="0">
      <sharedItems containsBlank="1" count="8">
        <s v="No marker score"/>
        <s v="2. Sensitive"/>
        <s v="0. Harmful"/>
        <s v="1. Neutral"/>
        <s v="4. Transformative"/>
        <s v="3. Responsive"/>
        <m u="1"/>
        <s v="No marker score, please check your YES answers" u="1"/>
      </sharedItems>
    </cacheField>
    <cacheField name="Number  of YES answers" numFmtId="0">
      <sharedItems containsSemiMixedTypes="0" containsString="0" containsNumber="1" containsInteger="1" minValue="0" maxValue="3"/>
    </cacheField>
    <cacheField name="To what extent did the project/initiative have a strategy yo address current or future social and environmental vulnerability caudes by climate change in this FY?" numFmtId="0">
      <sharedItems containsBlank="1" count="4">
        <s v="Partially addressed vulnerability caused by climate change"/>
        <m/>
        <s v="Did not have a strategy to address vulnerability caused by climate change"/>
        <s v="Fully addressed vulnerability caused by climate change"/>
      </sharedItems>
    </cacheField>
    <cacheField name="To what extent was the project/initiative implemented with and/or through partners in this FY?" numFmtId="0">
      <sharedItems containsBlank="1" count="5">
        <s v="Some activities were implemented with and/or through partners"/>
        <s v="CARE implemented all activities directly"/>
        <s v="All activities were implemented with and/or through partners"/>
        <s v="Most activities were implemented with and/or through partners"/>
        <m/>
      </sharedItems>
    </cacheField>
    <cacheField name="Please indicate the number of partners the project/initiative worked with in this FY" numFmtId="0">
      <sharedItems containsString="0" containsBlank="1" containsNumber="1" containsInteger="1" minValue="0" maxValue="100"/>
    </cacheField>
    <cacheField name="Type of partners (1)" numFmtId="0">
      <sharedItems containsBlank="1"/>
    </cacheField>
    <cacheField name="Type of partners (2)" numFmtId="0">
      <sharedItems containsBlank="1"/>
    </cacheField>
    <cacheField name="Type of partners (3)" numFmtId="0">
      <sharedItems containsBlank="1"/>
    </cacheField>
    <cacheField name="To what extent did the project contribute to strengthening civil society in the FY?" numFmtId="0">
      <sharedItems containsBlank="1" count="4">
        <s v="Civil society strengthening was one of the explicit objectives in the project/initiative, and it carried out actions in this FY"/>
        <s v="The project/initiative did not carry out actions in this FY to strengthen civil society"/>
        <s v="Civil society strengthening was not one of the explicit objectives in the project/initiative, yet it carried out actions in this FY to strengthen civil society"/>
        <m/>
      </sharedItems>
    </cacheField>
    <cacheField name="Please share any example of the types of support and/or activities CARE has provided to strengthen civil society in the FY" numFmtId="0">
      <sharedItems containsBlank="1" longText="1"/>
    </cacheField>
    <cacheField name="Please describe any important changes or adjustments the project/initiative has experienced in this FY, as a result of reflecting on the extent to which it is addressing CARE's approach and roles." numFmtId="0">
      <sharedItems containsBlank="1" longText="1"/>
    </cacheField>
    <cacheField name="Learning - strategies or models  proven to be the most effective/impactful  1" numFmtId="0">
      <sharedItems containsBlank="1" longText="1"/>
    </cacheField>
    <cacheField name="Learning - strategies or models  proven to be the most effective/impactful  2" numFmtId="0">
      <sharedItems containsBlank="1" longText="1"/>
    </cacheField>
    <cacheField name="Learning - strategies or models  proven to be the most effective/impactful  3" numFmtId="0">
      <sharedItems containsBlank="1" longText="1"/>
    </cacheField>
    <cacheField name="Lesson learned 1" numFmtId="0">
      <sharedItems containsBlank="1" longText="1"/>
    </cacheField>
    <cacheField name="Lesson learned 2" numFmtId="0">
      <sharedItems containsBlank="1" longText="1"/>
    </cacheField>
    <cacheField name="Lesson learned 3" numFmtId="0">
      <sharedItems containsBlank="1" longText="1"/>
    </cacheField>
    <cacheField name="Please share any additional comments you my have about this year's implementation of the project/initiative, or about the data provided in this form." numFmtId="0">
      <sharedItems containsBlank="1" longText="1"/>
    </cacheField>
    <cacheField name="Please provide with references to any key documents and/or links from the project/initiative, related to the data provided in this form: proposal, log frame progress reports, evaluations, vetting forms of the markers, etc." numFmtId="0">
      <sharedItems containsBlank="1" longText="1"/>
    </cacheField>
    <cacheField name="Total Direct Participants in the Fiscal Year" numFmtId="3">
      <sharedItems containsSemiMixedTypes="0" containsString="0" containsNumber="1" minValue="0" maxValue="23592145"/>
    </cacheField>
    <cacheField name="Total Indirect Participants in the Fiscal Year" numFmtId="3">
      <sharedItems containsSemiMixedTypes="0" containsString="0" containsNumber="1" minValue="0" maxValue="82344764"/>
    </cacheField>
    <cacheField name="Total Indirect/Direct Participants ratio in the Fiscal Year" numFmtId="166">
      <sharedItems containsMixedTypes="1" containsNumber="1" minValue="0" maxValue="50000"/>
    </cacheField>
    <cacheField name="% women from total participants (Direct)" numFmtId="10">
      <sharedItems containsMixedTypes="1" containsNumber="1" minValue="0" maxValue="4.6724097238612226"/>
    </cacheField>
    <cacheField name="% women from total participants (Indirect)" numFmtId="10">
      <sharedItems containsMixedTypes="1" containsNumber="1" minValue="0" maxValue="1"/>
    </cacheField>
    <cacheField name="# women from total participants (Direct)" numFmtId="164">
      <sharedItems containsSemiMixedTypes="0" containsString="0" containsNumber="1" minValue="0" maxValue="21229755"/>
    </cacheField>
    <cacheField name="# women from total participants (Indirect)" numFmtId="164">
      <sharedItems containsSemiMixedTypes="0" containsString="0" containsNumber="1" minValue="0" maxValue="39568264"/>
    </cacheField>
    <cacheField name="Outcome area - Humanitarian" numFmtId="164">
      <sharedItems containsMixedTypes="1" containsNumber="1" containsInteger="1" minValue="1" maxValue="1"/>
    </cacheField>
    <cacheField name="Total Participants Humanitarian Direct" numFmtId="3">
      <sharedItems containsSemiMixedTypes="0" containsString="0" containsNumber="1" containsInteger="1" minValue="0" maxValue="883734"/>
    </cacheField>
    <cacheField name="Total Participants Humanitarian Indirect" numFmtId="3">
      <sharedItems containsSemiMixedTypes="0" containsString="0" containsNumber="1" minValue="0" maxValue="1641120"/>
    </cacheField>
    <cacheField name="Total Participants Humanitarian Indirect/Direct participants ratio" numFmtId="43">
      <sharedItems containsMixedTypes="1" containsNumber="1" minValue="0" maxValue="37565.925925925927"/>
    </cacheField>
    <cacheField name="Outcome area - FNS" numFmtId="164">
      <sharedItems containsMixedTypes="1" containsNumber="1" containsInteger="1" minValue="1" maxValue="1"/>
    </cacheField>
    <cacheField name="Total Participants Food and Nutrition Security and Climate Change Resilience Direct" numFmtId="3">
      <sharedItems containsSemiMixedTypes="0" containsString="0" containsNumber="1" containsInteger="1" minValue="0" maxValue="4614043"/>
    </cacheField>
    <cacheField name="Total Participants Food and Nutrition Security and Climate Change Resilience Indirect" numFmtId="3">
      <sharedItems containsSemiMixedTypes="0" containsString="0" containsNumber="1" minValue="0" maxValue="3988882"/>
    </cacheField>
    <cacheField name="Total Participants Food and Nutrition Security and Climate Change Resilience Indirect/Direct participants ratio" numFmtId="2">
      <sharedItems containsMixedTypes="1" containsNumber="1" minValue="0" maxValue="50000"/>
    </cacheField>
    <cacheField name="Outcome area - SRMH" numFmtId="164">
      <sharedItems containsMixedTypes="1" containsNumber="1" containsInteger="1" minValue="1" maxValue="1"/>
    </cacheField>
    <cacheField name="Total Participants Sexual, Reproductive and Maternal Health Rights Direct" numFmtId="3">
      <sharedItems containsSemiMixedTypes="0" containsString="0" containsNumber="1" containsInteger="1" minValue="0" maxValue="23592145"/>
    </cacheField>
    <cacheField name="Total Participants Sexual, Reproductive and Maternal Health Rights Indirect" numFmtId="3">
      <sharedItems containsSemiMixedTypes="0" containsString="0" containsNumber="1" containsInteger="1" minValue="0" maxValue="82344764"/>
    </cacheField>
    <cacheField name="Total Participants Sexual, Reproductive and Maternal Health Rights Indirect/Direct participants ratio" numFmtId="43">
      <sharedItems containsMixedTypes="1" containsNumber="1" minValue="0" maxValue="8571.4285714285706"/>
    </cacheField>
    <cacheField name="Outcome area - LFFV" numFmtId="164">
      <sharedItems containsMixedTypes="1" containsNumber="1" containsInteger="1" minValue="1" maxValue="1"/>
    </cacheField>
    <cacheField name="Total Participants A Life Free From Violence Direct" numFmtId="3">
      <sharedItems containsSemiMixedTypes="0" containsString="0" containsNumber="1" containsInteger="1" minValue="0" maxValue="171043"/>
    </cacheField>
    <cacheField name="Total Participants A Life Free From Violence Indirect" numFmtId="3">
      <sharedItems containsSemiMixedTypes="0" containsString="0" containsNumber="1" minValue="0" maxValue="3044394"/>
    </cacheField>
    <cacheField name="Total Participants A Life Free From Violence Indirect/Direct participants ratio" numFmtId="43">
      <sharedItems containsMixedTypes="1" containsNumber="1" minValue="0" maxValue="17699.965116279069"/>
    </cacheField>
    <cacheField name="Outcome area - WEE" numFmtId="164">
      <sharedItems containsBlank="1" containsMixedTypes="1" containsNumber="1" containsInteger="1" minValue="1" maxValue="1"/>
    </cacheField>
    <cacheField name="Total Participants Women's Economic Empowerment Direct" numFmtId="164">
      <sharedItems containsSemiMixedTypes="0" containsString="0" containsNumber="1" minValue="0" maxValue="330843"/>
    </cacheField>
    <cacheField name="Total Participants Women's Economic Empowerment Indirect" numFmtId="164">
      <sharedItems containsSemiMixedTypes="0" containsString="0" containsNumber="1" minValue="0" maxValue="3044394"/>
    </cacheField>
    <cacheField name="Total Participants Women's Economic Empowerment Indirect/Direct participants ratio" numFmtId="43">
      <sharedItems containsMixedTypes="1" containsNumber="1" minValue="0" maxValue="17699.965116279069"/>
    </cacheField>
    <cacheField name="Integration of the CARE Approach (Gender)" numFmtId="0">
      <sharedItems/>
    </cacheField>
    <cacheField name="Integration of the CARE Approach (Governance)" numFmtId="0">
      <sharedItems/>
    </cacheField>
    <cacheField name="Integration of the CARE Approach (Resilience)" numFmtId="0">
      <sharedItems/>
    </cacheField>
    <cacheField name="Multiplying Impact (Innovation)" numFmtId="0">
      <sharedItems containsMixedTypes="1" containsNumber="1" containsInteger="1" minValue="0" maxValue="0"/>
    </cacheField>
    <cacheField name="Multiplying Impact (Advocacy)" numFmtId="0">
      <sharedItems containsMixedTypes="1" containsNumber="1" containsInteger="1" minValue="0" maxValue="0"/>
    </cacheField>
    <cacheField name="Multiplying Impact (Scale up)" numFmtId="0">
      <sharedItems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50">
  <r>
    <x v="0"/>
    <x v="0"/>
    <m/>
    <s v="Afghanistan Joint Response (AFJR)"/>
    <s v="Afghanistan"/>
    <s v="CNLDAF0012, NL231"/>
    <s v="CARE Nederland"/>
    <s v="Government"/>
    <s v="Government - Netherlands"/>
    <s v="Ministry of Foreign Affairs of the Netherlands"/>
    <m/>
    <m/>
    <m/>
    <m/>
    <m/>
    <m/>
    <m/>
    <m/>
    <m/>
    <m/>
    <m/>
    <m/>
    <m/>
    <m/>
    <m/>
    <m/>
    <m/>
    <m/>
    <m/>
    <m/>
    <m/>
    <m/>
    <m/>
    <m/>
    <m/>
    <m/>
    <m/>
    <m/>
    <m/>
    <m/>
    <m/>
    <m/>
    <m/>
    <m/>
    <m/>
    <m/>
    <m/>
    <m/>
    <m/>
    <m/>
    <m/>
    <m/>
    <m/>
    <m/>
    <m/>
    <d v="2016-12-01T00:00:00"/>
    <d v="2017-05-31T00:00:00"/>
    <m/>
    <s v="Humanitarian Access to and Control over Economic Resources"/>
    <n v="495186"/>
    <s v="Mohammad Wakil"/>
    <s v="Sr.Program Coordinator"/>
    <s v="mwakil@care.org"/>
    <s v="Khawani"/>
    <s v="Huamanitarian Manager"/>
    <s v="Khawani.Rashed@care.org"/>
    <s v="YES"/>
    <s v="NO"/>
    <s v="NO"/>
    <s v="Supports vulnerable returnee families to fulfil their basic needs and reduce the vulnerability of households to emergency shocks."/>
    <s v="Sub-National"/>
    <s v="Afghanistan provinces of  Paktya and Nangarhar"/>
    <s v="Recent IDPs, undocumented returnees and their host communities with more focus on women headed house hold, disable headed household and elderly headed house hold."/>
    <n v="617"/>
    <n v="593"/>
    <n v="1210"/>
    <n v="4319"/>
    <n v="4151"/>
    <n v="8470"/>
    <s v="Direct participants include men and women who are affected by  manmade disaster. Indirect participants are the family members of the direct beneficiaries. Multiplying the number of direct beneficiaries (men and women) by the size of the household on an average of 7 people per household. (1210 households (8470 individuals)"/>
    <m/>
    <n v="691"/>
    <n v="1009"/>
    <n v="1700"/>
    <n v="6039"/>
    <n v="5963"/>
    <n v="12002"/>
    <m/>
    <m/>
    <m/>
    <m/>
    <s v="YES"/>
    <n v="1060"/>
    <n v="0.33"/>
    <n v="7345"/>
    <m/>
    <m/>
    <m/>
    <m/>
    <m/>
    <m/>
    <m/>
    <m/>
    <m/>
    <m/>
    <m/>
    <m/>
    <s v="YES"/>
    <n v="1060"/>
    <n v="0.33"/>
    <n v="7345"/>
    <m/>
    <m/>
    <m/>
    <m/>
    <m/>
    <m/>
    <m/>
    <m/>
    <m/>
    <m/>
    <m/>
    <m/>
    <m/>
    <m/>
    <m/>
    <m/>
    <s v="YES"/>
    <n v="300"/>
    <n v="0.49"/>
    <n v="2040"/>
    <s v="YES"/>
    <n v="1400"/>
    <n v="0.47"/>
    <n v="9962"/>
    <m/>
    <m/>
    <m/>
    <m/>
    <m/>
    <m/>
    <m/>
    <n v="0"/>
    <n v="0"/>
    <n v="0"/>
    <n v="0"/>
    <m/>
    <m/>
    <m/>
    <m/>
    <m/>
    <m/>
    <m/>
    <m/>
    <m/>
    <m/>
    <m/>
    <m/>
    <m/>
    <m/>
    <m/>
    <m/>
    <m/>
    <m/>
    <m/>
    <m/>
    <m/>
    <m/>
    <m/>
    <m/>
    <m/>
    <m/>
    <m/>
    <m/>
    <m/>
    <m/>
    <m/>
    <m/>
    <m/>
    <m/>
    <m/>
    <m/>
    <m/>
    <m/>
    <m/>
    <m/>
    <m/>
    <m/>
    <m/>
    <m/>
    <m/>
    <m/>
    <m/>
    <m/>
    <m/>
    <m/>
    <m/>
    <m/>
    <m/>
    <m/>
    <m/>
    <m/>
    <m/>
    <m/>
    <m/>
    <m/>
    <m/>
    <m/>
    <m/>
    <m/>
    <m/>
    <m/>
    <m/>
    <m/>
    <m/>
    <s v="YES"/>
    <s v="May"/>
    <n v="2017"/>
    <s v="YES"/>
    <s v="YES"/>
    <s v="July"/>
    <n v="2017"/>
    <m/>
    <x v="0"/>
    <m/>
    <m/>
    <m/>
    <m/>
    <m/>
    <m/>
    <m/>
    <m/>
    <m/>
    <x v="0"/>
    <m/>
    <x v="0"/>
    <m/>
    <x v="0"/>
    <x v="0"/>
    <s v="YES"/>
    <x v="0"/>
    <x v="0"/>
    <x v="0"/>
    <x v="0"/>
    <n v="4"/>
    <x v="0"/>
    <x v="0"/>
    <x v="0"/>
    <x v="0"/>
    <x v="0"/>
    <x v="0"/>
    <n v="0"/>
    <x v="0"/>
    <x v="0"/>
    <x v="0"/>
    <x v="0"/>
    <x v="0"/>
    <n v="0"/>
    <x v="0"/>
    <x v="0"/>
    <n v="1"/>
    <s v="Local NGO(s)/CSO(s)"/>
    <m/>
    <m/>
    <x v="0"/>
    <s v="DHSA partner have implemented directly the project in Nangarhar provinces. They have provided Cash for Work and Unconditional Cash grant activities along with Health and haygiene awareness sessions."/>
    <s v="According the post assessment result, the project have positive impact on the affacted people, who have displaced and return from Pakistan country. 85.8% of the respondents indicated they are using soap after the coming toilet, after cleaning child &amp; before food eating. Etc. While 94 respondents (51% of total) indicated that 40% cleanliness increase, while 84 respondents (45% of total) declared that 60% of cleanliness increase in targeted area and 4% respondent declared that 80% cleanliness increase and also most of interviewees (80.8% of respondents) illustrated that the diarrhea incident 60% decreased compare of past time."/>
    <m/>
    <m/>
    <m/>
    <s v="Using of training banners during training added to the teaching and understaing of training quality and also it was appriciated by Paktya DoRR compared to other NGOs/organs.B98"/>
    <s v="Un-documented returnee and IDP families arent living in the camps collectively, though they are living separately with their relatives, host communities and some under tents, so in this case the assessment survey take long time which will cause delay in providing assistance to them and should be considered for the future projects.  "/>
    <s v="(Joint survey)invitation of NGOs and governmental departments for cooperation and joint survey of beneficiaries and stablishing coordination with them caused from duplication/ repetition of assistance to IDP &amp; Un-documented HHs and all gaps were filled"/>
    <s v="This project was usefull for IDP and returnee, because those families urgently need to fullfil their basic need such as purchasing ( food, medicine, transportation cost, pay for house rent, winter cloths and Gas or other utilities for stove)."/>
    <s v="Proposal, logfram, post distribution assessment , report"/>
    <n v="1700"/>
    <n v="12002"/>
    <n v="7.06"/>
    <n v="0.40647058823529414"/>
    <n v="0.50316613897683715"/>
    <n v="691"/>
    <n v="6039"/>
    <n v="1"/>
    <n v="1700"/>
    <n v="12002"/>
    <n v="7.06"/>
    <s v=""/>
    <n v="0"/>
    <n v="0"/>
    <s v=""/>
    <s v=""/>
    <n v="0"/>
    <n v="0"/>
    <s v=""/>
    <s v=""/>
    <n v="0"/>
    <n v="0"/>
    <s v=""/>
    <s v=""/>
    <n v="0"/>
    <n v="0"/>
    <s v=""/>
    <s v="2. Sensitive"/>
    <s v="No marker score"/>
    <s v="No marker score"/>
    <s v="It did not develop any specific innovation"/>
    <s v="Little or no advocacy"/>
    <s v="It did not take tested solutions to scale"/>
  </r>
  <r>
    <x v="0"/>
    <x v="0"/>
    <n v="3516"/>
    <s v="Community Based Education Enrichment Program in Afghanistan"/>
    <s v="Afghanistan"/>
    <s v="CCANAF0106, CA313"/>
    <s v="CARE Canada"/>
    <s v="Government"/>
    <s v="Government - Canada"/>
    <s v="Global Affairs Canada (GAC) "/>
    <s v="UNCFAF0003, US1RS"/>
    <s v="CARE USA"/>
    <s v="Multilateral agency"/>
    <s v="UN - United Nations agencies/offices"/>
    <s v="UNICEF"/>
    <s v="PERLAF0001, US1SG"/>
    <s v="CARE USA"/>
    <s v="Foundation"/>
    <s v="Other"/>
    <s v="Frees Foundation and Peierls Foundation"/>
    <m/>
    <m/>
    <m/>
    <m/>
    <m/>
    <m/>
    <m/>
    <m/>
    <m/>
    <m/>
    <m/>
    <m/>
    <m/>
    <m/>
    <m/>
    <m/>
    <m/>
    <m/>
    <m/>
    <m/>
    <m/>
    <m/>
    <m/>
    <m/>
    <m/>
    <m/>
    <m/>
    <m/>
    <m/>
    <m/>
    <m/>
    <m/>
    <m/>
    <m/>
    <m/>
    <d v="2014-04-01T00:00:00"/>
    <d v="2019-03-31T00:00:00"/>
    <m/>
    <s v="Development Other"/>
    <n v="4249906.41"/>
    <s v="Wahidullah Wahid"/>
    <s v="W&amp;GE Program Senior Coordinator"/>
    <s v="wahidullah.wahid@care.org"/>
    <s v="Sayed Shafi"/>
    <s v="Project Manager"/>
    <s v="Shafi.Hashimi@care.org"/>
    <s v="NO"/>
    <s v="YES"/>
    <s v="NO"/>
    <s v="Increased equitable access to safe, quality basic education and learning opportunities for Afghan children, especially girls."/>
    <s v="National"/>
    <s v="Country: Afghanistan, Province: Parwan and Kapisa, District:  Chaharikar, Jabalussaraj, Bagram, Salang, Sayed Khel, Mahmud Raqi, Kohband, Hisa-i-Awal Kohestan, and Hisa-i-Dowum Kohestan."/>
    <s v="Chirldren (Both girls and boys), Community Based Education (CBE) teachers, School Management Committee (SMC) members, Community Librarians, and Ministry of Education (MoE) Staff."/>
    <n v="2144"/>
    <n v="1969"/>
    <n v="4113"/>
    <n v="14108"/>
    <n v="14683"/>
    <n v="28791"/>
    <s v="Direct participants include students, teachers and  School Management Committee members, Community Librarian and MoE staff. Indirect participants are the family members of the direct beneficiaries. Multiplying the number of direct beneficiaries ( students, teachers, SMC members, Community Librarains and MoE staff) by the size of the household on an average of 7 people per household.  ( as per the national statistics 2015 repot 49 % women and 51 % men)"/>
    <m/>
    <m/>
    <m/>
    <n v="0"/>
    <m/>
    <m/>
    <n v="0"/>
    <m/>
    <m/>
    <m/>
    <m/>
    <m/>
    <m/>
    <m/>
    <m/>
    <m/>
    <m/>
    <m/>
    <m/>
    <m/>
    <m/>
    <m/>
    <m/>
    <m/>
    <m/>
    <m/>
    <m/>
    <m/>
    <m/>
    <m/>
    <m/>
    <m/>
    <m/>
    <m/>
    <m/>
    <m/>
    <m/>
    <m/>
    <m/>
    <m/>
    <m/>
    <m/>
    <m/>
    <m/>
    <m/>
    <m/>
    <m/>
    <m/>
    <m/>
    <m/>
    <m/>
    <m/>
    <m/>
    <m/>
    <m/>
    <m/>
    <m/>
    <m/>
    <m/>
    <m/>
    <n v="2270"/>
    <n v="1544"/>
    <n v="3814"/>
    <n v="13082"/>
    <n v="13616"/>
    <n v="26698"/>
    <m/>
    <m/>
    <m/>
    <m/>
    <m/>
    <m/>
    <m/>
    <m/>
    <s v="YES"/>
    <n v="112"/>
    <n v="0.46"/>
    <n v="784"/>
    <m/>
    <m/>
    <m/>
    <m/>
    <s v="YES"/>
    <n v="109"/>
    <n v="0.22"/>
    <n v="763"/>
    <s v="YES"/>
    <n v="3814"/>
    <n v="0.59517566858940696"/>
    <n v="26698"/>
    <m/>
    <m/>
    <m/>
    <m/>
    <m/>
    <m/>
    <m/>
    <m/>
    <s v="YES"/>
    <n v="158"/>
    <n v="0.41"/>
    <n v="1106"/>
    <m/>
    <m/>
    <m/>
    <m/>
    <m/>
    <m/>
    <m/>
    <m/>
    <m/>
    <m/>
    <m/>
    <m/>
    <s v="YES"/>
    <n v="426"/>
    <n v="0.35"/>
    <n v="2982"/>
    <m/>
    <m/>
    <m/>
    <m/>
    <s v="YES"/>
    <n v="109"/>
    <n v="0.22"/>
    <n v="763"/>
    <s v="YES"/>
    <n v="24"/>
    <n v="1"/>
    <n v="168"/>
    <m/>
    <m/>
    <m/>
    <m/>
    <m/>
    <s v="NO"/>
    <m/>
    <m/>
    <m/>
    <s v="NO"/>
    <m/>
    <m/>
    <s v="N/A"/>
    <x v="1"/>
    <s v="NO"/>
    <s v="NO"/>
    <s v="YES"/>
    <s v="YES"/>
    <s v="YES"/>
    <s v="YES"/>
    <s v="NO"/>
    <m/>
    <m/>
    <x v="1"/>
    <s v="CARE works with New York University for implementation of a research project called ALSE that works on research on out-of-school children and whether and how provision of Community Based Education (CBE) classes can be integrated into the Citizen's Charter National Priority Program framework in Afghanistan as a strategy for sustaining the classes. The Citizens Charter aims to expand the role of the Community Development Councils (CDCs), originally established by the Ministry of Rural Rehabilitation and Development (MRRD) as part of the National Solidarity Program (NSP). The Citizens Charter extends the purview of the CDCs from rural infrastructure development to delivery of social services. Accordingly, each CDC will have an Education Subcommittee that is responsible for facilitating childrens education, liaising between the CDC and the government school shura, and providing the CDC with planning and financing information. CBEEP Project, handed over 36 classes of proect along with 36 teachers and 1008 students for the first time in Afghanistan to CDCs in close coordination with the NYU Afghanistan team."/>
    <x v="1"/>
    <s v="NYU will test whether this arrangement is an effective strategy for boosting the sustainability of CBE classes. At the end of the study, ALSE will make recommendations for whether and how to scale this model for integrating CBE into the Citizens Charter framework. Beyond the pilot year, the objective is that CDCs will receive funding under Citizen Charter for the future. CAREs role during and after this transition would likely be more coordination between ALSE and the communities, and at least quarterly monitoring of the CBE classes, however this will be determined during the implementation of the ALSE second phase."/>
    <x v="0"/>
    <x v="0"/>
    <s v="YES"/>
    <x v="0"/>
    <x v="0"/>
    <x v="0"/>
    <x v="0"/>
    <n v="4"/>
    <x v="1"/>
    <x v="1"/>
    <x v="1"/>
    <x v="1"/>
    <x v="1"/>
    <x v="1"/>
    <n v="4"/>
    <x v="0"/>
    <x v="0"/>
    <x v="0"/>
    <x v="0"/>
    <x v="0"/>
    <n v="0"/>
    <x v="1"/>
    <x v="1"/>
    <m/>
    <m/>
    <m/>
    <m/>
    <x v="0"/>
    <s v="Building the capacities of local community people through formation and training of School Management Committess are part of project immidiate outcomes. The project worked intensively with SMC members through implementation of formal training workshops and also on-site support. In addition, the project porvided capaicity building to local community librarians and also facilitated social audit sessions. The project also facilitated joint monitoirng of CBE classes between SMC members and staff from government schools."/>
    <m/>
    <s v="Establishment of School Management Committees (SMCs) can be pointed out as a great successes of the CBE towards ensuring full community participation and support. CBE used the establishment of SMCs as the first entry point towards achiveing sustainability and full support of community people for education of the children particularly girls in rural areas. Capacity building of SMCs on different topics   which were completely new for the rural people resulted more community participation in terms of support to girls education, monitoring, and  provision of class venue. The inclusion of females on the SMC and the establishment of separate male and female SMCs are important achievements for increasing education access for the girls and for long-term sustainability of the CBE primary classes."/>
    <s v="Working with the MoE at all levels has been very effective. Sharing of the plans with the MoE provincial and district education departments as well as inclusion of MoE staff during  site selection was a major contributor to the success of the project to reach the communities with lack of access to government education facilities and increase access to education. The project was able to create and maintain a positive and ongoing relationship with the MoE at the national, provincial, and district levels by involving  MoE staff at all stages of project implementation. This includes involvement in establishment of CBE  classes, hiring of teachers, community mobilization, joint monitoring of CBE and classes, certification of trainings, clustering of CBE classes with nearst MoE schools, capacity building workshops, and regularly attending the coordination meetings."/>
    <s v="Availability and access to a variety of books on different topics and related to school subjects through community and classroom libraries helped teachers and students solve problems raised during the teaching. Religious books with content on the importance of education and girls right to education, constituted a particular investment toward increasing the awareness of SMC and community members on the importance and support of education."/>
    <s v="The project has learned that implementation of winter activities for students during the winter vacation was very helpful in keeping them connected to and excited about their education. CBE teachers expressed satisfaction with the academic results of students during the year and linked this result to students preparedness during the winter activities. In addition, the activity was also very helpful in getting teachers familiar with the contents of the books for the next academic year and improving their understanding through discussions and asking questions to project teacher trainers."/>
    <s v="The Adult Reading Group (ARG) activity of CBEEP has been very well received and is seen as very effective in supporting the education of community members. This activity, which is being implemented for the first time in some target areas of CBEEP, has helped to increase the vocabulary and reading skills of children with one or more family members attending ARG meetings."/>
    <m/>
    <m/>
    <s v="Proposal, logfram, baseline survey, report"/>
    <n v="3814"/>
    <n v="26698"/>
    <n v="7"/>
    <n v="0.5951756685894074"/>
    <n v="0.48999925088021573"/>
    <n v="2270"/>
    <n v="13082"/>
    <s v=""/>
    <n v="0"/>
    <n v="0"/>
    <s v=""/>
    <n v="1"/>
    <n v="109"/>
    <n v="763"/>
    <n v="7"/>
    <s v=""/>
    <n v="0"/>
    <n v="0"/>
    <s v=""/>
    <s v=""/>
    <n v="0"/>
    <n v="0"/>
    <s v=""/>
    <n v="1"/>
    <n v="24"/>
    <n v="168"/>
    <n v="7"/>
    <s v="2. Sensitive"/>
    <s v="2. Accommodating"/>
    <s v="No marker score"/>
    <s v="It tested new ways for fighting poverty, but did not measure results of innovation"/>
    <s v="Moderate advocacy"/>
    <s v="It linked and worked with strategic alliances and partners to take tested and effective solutions to scale"/>
  </r>
  <r>
    <x v="0"/>
    <x v="0"/>
    <n v="3526"/>
    <s v="Emergency WASH NFI &amp; Shelter and Livelihood Assistance for Disaster and Conflict Affected Households 2016"/>
    <s v="Afghanistan"/>
    <s v="CCANAF0110, CA354"/>
    <s v="CARE Canada"/>
    <s v="Government"/>
    <s v="Government - Canada"/>
    <s v="Global Affairs Canada (GAC) "/>
    <m/>
    <m/>
    <m/>
    <m/>
    <m/>
    <m/>
    <m/>
    <m/>
    <m/>
    <m/>
    <m/>
    <m/>
    <m/>
    <m/>
    <m/>
    <m/>
    <m/>
    <m/>
    <m/>
    <m/>
    <m/>
    <m/>
    <m/>
    <m/>
    <m/>
    <m/>
    <m/>
    <m/>
    <m/>
    <m/>
    <m/>
    <m/>
    <m/>
    <m/>
    <m/>
    <m/>
    <m/>
    <m/>
    <m/>
    <m/>
    <m/>
    <m/>
    <m/>
    <m/>
    <m/>
    <d v="2016-03-16T00:00:00"/>
    <d v="2017-09-30T00:00:00"/>
    <d v="2018-04-30T00:00:00"/>
    <s v="Humanitarian Access to and Control over Economic Resources"/>
    <n v="1814205"/>
    <s v="Mohammad Wakil"/>
    <s v="Sr.Program Coordinator"/>
    <s v="mwakil@care.org"/>
    <s v="Khawani"/>
    <s v="Huamanitarian Manager"/>
    <s v="Khawani.Rashed@care.org"/>
    <s v="YES"/>
    <s v="NO"/>
    <s v="NO"/>
    <s v="To respond to the immediate needs of the vulnerable disaster affacted population through provision of  WASH ,Shelter / NFI  and livelihoods assisstance ."/>
    <s v="Sub-National"/>
    <s v="Afghanistan provinces of Balkh , Ghazni , Paktya ,Parwan , Kapisa ,Khost and Kabul ."/>
    <s v="Disaster affected households including IDPs, undocumented returnees and their host communities with more focus on women headed house hold, disable headed household and elderly headed house hold."/>
    <n v="2775"/>
    <n v="2775"/>
    <n v="5550"/>
    <n v="16650"/>
    <n v="16650"/>
    <n v="33300"/>
    <s v="Direct participants include men and women who are affected by natural and manmade disaster. Indirect participants are the family members of the direct beneficiaries. Multiplying the number of direct beneficiaries (men and women) by the size of the household on an average of 6 people per household."/>
    <m/>
    <n v="2681"/>
    <n v="2678"/>
    <n v="5359"/>
    <n v="18767"/>
    <n v="18746"/>
    <n v="37513"/>
    <m/>
    <m/>
    <m/>
    <m/>
    <s v="YES"/>
    <n v="1199"/>
    <n v="0.38"/>
    <n v="8721"/>
    <m/>
    <m/>
    <m/>
    <m/>
    <m/>
    <m/>
    <m/>
    <m/>
    <m/>
    <m/>
    <m/>
    <m/>
    <s v="YES"/>
    <n v="1199"/>
    <n v="0.38"/>
    <n v="8721"/>
    <m/>
    <m/>
    <m/>
    <m/>
    <m/>
    <m/>
    <m/>
    <m/>
    <m/>
    <m/>
    <m/>
    <m/>
    <m/>
    <m/>
    <m/>
    <m/>
    <s v="YES"/>
    <n v="1778"/>
    <n v="0.49"/>
    <n v="11840"/>
    <s v="YES"/>
    <n v="2400"/>
    <n v="0.72"/>
    <n v="16952"/>
    <m/>
    <m/>
    <m/>
    <m/>
    <m/>
    <m/>
    <m/>
    <n v="0"/>
    <m/>
    <m/>
    <n v="0"/>
    <m/>
    <m/>
    <m/>
    <m/>
    <m/>
    <m/>
    <m/>
    <m/>
    <m/>
    <m/>
    <m/>
    <m/>
    <m/>
    <m/>
    <m/>
    <m/>
    <m/>
    <m/>
    <m/>
    <m/>
    <m/>
    <m/>
    <m/>
    <m/>
    <m/>
    <m/>
    <m/>
    <m/>
    <m/>
    <m/>
    <m/>
    <m/>
    <m/>
    <m/>
    <m/>
    <m/>
    <m/>
    <m/>
    <m/>
    <m/>
    <m/>
    <m/>
    <m/>
    <m/>
    <m/>
    <m/>
    <m/>
    <m/>
    <m/>
    <m/>
    <m/>
    <m/>
    <m/>
    <m/>
    <m/>
    <m/>
    <m/>
    <m/>
    <m/>
    <m/>
    <m/>
    <m/>
    <m/>
    <m/>
    <m/>
    <m/>
    <m/>
    <m/>
    <m/>
    <s v="YES"/>
    <s v="July"/>
    <n v="2016"/>
    <s v="YES"/>
    <s v="YES"/>
    <s v="March"/>
    <n v="2018"/>
    <s v="Project staff will be conduct Post Distribution Assessment in Marc,2018"/>
    <x v="0"/>
    <m/>
    <m/>
    <m/>
    <m/>
    <m/>
    <m/>
    <m/>
    <m/>
    <m/>
    <x v="0"/>
    <m/>
    <x v="0"/>
    <m/>
    <x v="0"/>
    <x v="0"/>
    <s v="YES"/>
    <x v="0"/>
    <x v="0"/>
    <x v="0"/>
    <x v="0"/>
    <n v="4"/>
    <x v="0"/>
    <x v="0"/>
    <x v="0"/>
    <x v="0"/>
    <x v="0"/>
    <x v="0"/>
    <n v="0"/>
    <x v="0"/>
    <x v="0"/>
    <x v="0"/>
    <x v="0"/>
    <x v="0"/>
    <n v="0"/>
    <x v="0"/>
    <x v="1"/>
    <m/>
    <m/>
    <m/>
    <m/>
    <x v="1"/>
    <m/>
    <s v="Emergency WASH NFI &amp; Shelter and livelihood assistance for Disaster and Conflict Affected Households 2016  project staff have provided  NFI, Tentand Winterization assistance  to 1778 affacted families . additionaly  2400 families have succefuly participated in Health Hygiene traing, 1199 families have benefited from the CFW  and UCG activities."/>
    <m/>
    <m/>
    <m/>
    <m/>
    <m/>
    <m/>
    <m/>
    <s v="Proposal, logfram,post distrubtion assessment , report"/>
    <n v="5359"/>
    <n v="37513"/>
    <n v="7"/>
    <n v="0.50027990296697145"/>
    <n v="0.50027990296697145"/>
    <n v="2681"/>
    <n v="18767"/>
    <n v="1"/>
    <n v="5359"/>
    <n v="37513"/>
    <n v="7"/>
    <s v=""/>
    <n v="0"/>
    <n v="0"/>
    <s v=""/>
    <s v=""/>
    <n v="0"/>
    <n v="0"/>
    <s v=""/>
    <s v=""/>
    <n v="0"/>
    <n v="0"/>
    <s v=""/>
    <s v=""/>
    <n v="0"/>
    <n v="0"/>
    <s v=""/>
    <s v="2. Sensitive"/>
    <s v="No marker score"/>
    <s v="No marker score"/>
    <s v="It did not develop any specific innovation"/>
    <s v="Little or no advocacy"/>
    <s v="It did not take tested solutions to scale"/>
  </r>
  <r>
    <x v="0"/>
    <x v="0"/>
    <n v="3521"/>
    <s v="Empowerment Through Education in Afghanistan"/>
    <s v="Afghanistan"/>
    <s v="CAUSAF0030, AU116"/>
    <s v="CARE Australia"/>
    <s v="Government"/>
    <s v="Government - Australia"/>
    <s v="DFAT-Australia"/>
    <m/>
    <m/>
    <m/>
    <m/>
    <m/>
    <m/>
    <m/>
    <m/>
    <m/>
    <m/>
    <m/>
    <m/>
    <m/>
    <m/>
    <m/>
    <m/>
    <m/>
    <m/>
    <m/>
    <m/>
    <m/>
    <m/>
    <m/>
    <m/>
    <m/>
    <m/>
    <m/>
    <m/>
    <m/>
    <m/>
    <m/>
    <m/>
    <m/>
    <m/>
    <m/>
    <m/>
    <m/>
    <m/>
    <m/>
    <m/>
    <m/>
    <m/>
    <m/>
    <m/>
    <m/>
    <d v="2011-05-10T00:00:00"/>
    <d v="2017-06-30T00:00:00"/>
    <d v="2017-12-31T00:00:00"/>
    <s v="Development Other"/>
    <n v="3318209"/>
    <s v="Wahidullah Wahid"/>
    <s v="Sr.Program Coordinator"/>
    <s v="wahidullah.wahid@care.org"/>
    <s v="Azizullah Nadiri"/>
    <s v="Project  Manager"/>
    <s v="azizullah.nadiri@care.org"/>
    <s v="NO"/>
    <s v="YES"/>
    <s v="NO"/>
    <s v="The core aim of the project is to provide greater access to quality basic education for school-aged girls and boys in remote and rural communities across the five provinces of Parwan, Kapisa, Ghazni, Paktya and Khost in northern and south-eastern Afghanistan. The project built upon CAREs experience over 19 years developing Community Based Education (CBE) programs in Afghanistan. CARE had well-established partnerships with communities in these provinces and had their strong commitment to deliver community-based education."/>
    <s v="National"/>
    <s v="Country: Afghanistan, Province: Parwan, Kapisa, Ghazni, Paktya and Khost, District: Chaharikar, Jabalussaraj, Bagram, Salang, Hisa-i-Awali Kohestan, Hisa-i-Dowumi Kohestan,Kohband, Gardiz, Ghazni Center, Matun, Tani, Mando Zai"/>
    <s v="Community Based Education (CBE) Early Child Care Education (ECCE) and Lower Secondary Community Based Educations (LSCBE) students, teachers, School Management Committee (SMC) members and their families"/>
    <n v="20102"/>
    <n v="6966"/>
    <n v="27068"/>
    <n v="92843"/>
    <n v="96633"/>
    <n v="189476"/>
    <s v="Direct participants include students, teachers and village education committee members or School Management Committee. Indirect participants are the family members of the direct beneficiaries. Multiplying the number of direct beneficiaries ( students, teachers, Village Education Committee (VEC)  or School Management Committee  (SMC) members) by the size of the household on an average of 7 people per household. ( as per the national statistics 2015 repot 49 % women and 51 % men)"/>
    <m/>
    <m/>
    <m/>
    <n v="0"/>
    <m/>
    <m/>
    <n v="0"/>
    <m/>
    <m/>
    <m/>
    <m/>
    <m/>
    <m/>
    <m/>
    <m/>
    <m/>
    <m/>
    <m/>
    <m/>
    <m/>
    <m/>
    <m/>
    <m/>
    <m/>
    <m/>
    <m/>
    <m/>
    <m/>
    <m/>
    <m/>
    <m/>
    <m/>
    <m/>
    <m/>
    <m/>
    <m/>
    <m/>
    <m/>
    <m/>
    <m/>
    <m/>
    <m/>
    <m/>
    <m/>
    <m/>
    <m/>
    <m/>
    <m/>
    <m/>
    <m/>
    <m/>
    <m/>
    <m/>
    <m/>
    <m/>
    <m/>
    <m/>
    <m/>
    <m/>
    <m/>
    <n v="4201"/>
    <n v="1919"/>
    <n v="6120"/>
    <n v="20991"/>
    <n v="21849"/>
    <n v="42840"/>
    <m/>
    <m/>
    <m/>
    <m/>
    <m/>
    <m/>
    <m/>
    <m/>
    <s v="YES"/>
    <n v="507"/>
    <n v="0.4"/>
    <n v="3549"/>
    <s v="YES"/>
    <n v="507"/>
    <n v="0.4"/>
    <n v="3549"/>
    <s v="YES"/>
    <n v="246"/>
    <n v="0.35"/>
    <n v="1722"/>
    <s v="YES"/>
    <n v="6120"/>
    <n v="0.69"/>
    <n v="42840"/>
    <m/>
    <m/>
    <m/>
    <m/>
    <s v="YES"/>
    <n v="507"/>
    <n v="0.4"/>
    <n v="3549"/>
    <s v="YES"/>
    <n v="6120"/>
    <n v="0.69"/>
    <n v="42840"/>
    <s v="YES"/>
    <n v="6120"/>
    <n v="0.69"/>
    <n v="42840"/>
    <s v="YES"/>
    <n v="4412"/>
    <n v="0.72"/>
    <n v="30884"/>
    <m/>
    <m/>
    <m/>
    <m/>
    <s v="YES"/>
    <n v="507"/>
    <n v="0.4"/>
    <n v="3549"/>
    <m/>
    <m/>
    <m/>
    <m/>
    <m/>
    <m/>
    <m/>
    <m/>
    <s v="YES"/>
    <n v="87"/>
    <n v="1"/>
    <n v="609"/>
    <m/>
    <m/>
    <m/>
    <m/>
    <m/>
    <s v="YES"/>
    <s v="October"/>
    <n v="2016"/>
    <s v="YES"/>
    <s v="YES"/>
    <s v="November"/>
    <n v="2017"/>
    <s v="Based on project work plan, the EEA project will conduct Baseline and Early Grade Reading Assessment (EGRA) and Early Grade Math Assessment ( EGMA) during November 2017."/>
    <x v="1"/>
    <s v="YES"/>
    <s v="NO"/>
    <s v="YES"/>
    <s v="YES"/>
    <s v="YES"/>
    <s v="YES"/>
    <s v="NO"/>
    <m/>
    <m/>
    <x v="2"/>
    <s v="The project is working in building capacities of teachers and VEC members and advocating and empowering the most vulnerable including women and girls."/>
    <x v="0"/>
    <m/>
    <x v="1"/>
    <x v="0"/>
    <s v="YES"/>
    <x v="0"/>
    <x v="0"/>
    <x v="0"/>
    <x v="0"/>
    <n v="4"/>
    <x v="1"/>
    <x v="1"/>
    <x v="1"/>
    <x v="1"/>
    <x v="1"/>
    <x v="1"/>
    <n v="4"/>
    <x v="1"/>
    <x v="1"/>
    <x v="1"/>
    <x v="1"/>
    <x v="1"/>
    <n v="3"/>
    <x v="2"/>
    <x v="1"/>
    <m/>
    <m/>
    <m/>
    <m/>
    <x v="0"/>
    <s v="provideing ongoing support to VEC members including on the job and formal trainings and involving of girls in peer group activities and monthly VEC meetings"/>
    <s v="The project did not carry out actions in this FY to strengthen civil society"/>
    <s v="Community engagement particulary men and women engagement in class management"/>
    <s v="Implementation of Community score cards system in the project target areas."/>
    <m/>
    <s v="Shortage of qualified teachers is a nationwide problem in rural and remote areas of the country. The recruitment of qualified teachers is an issue that has become increasingly important to the Ministry of Education and CBE providers supporting educational development. This is particularly so because of the impact of teachers can have on children's education. Beyond recruitment strategy, there are other issues which are important to be addressed if teachers are going to be empowered in their roles as CBE teachers. Throughout EEA project, CARE strives to hire qualified individuals as CBE teachers. CARE has been able to hire a number of undergraduate or high school students to teach CBE classes. In certain cases, it was reported that a number of teachers have either irregular attendance in the training sessions and issues with applying the new methods and skills back in the classrooms though their qualification level was high.  After thorough analysis of the issue, it was specified that sometimes due to a scheduling conflict between training sessions and university mid semester exam,   these teachers were trying to attend both training sessions to the extent possible and also not miss their university exams. To address the raised issue, the project team undertook a series of activities including coordination meetings with concerned CBE teachers and VEC members and consequently could come to the following conclusion: Identification of all teachers who have the same situation will help project team in planning and delivery of trainings at a time to work best for them. Identification of all teachers who have the same situation will help project team in planning and delivery of trainings at a time to work best for them. Follow up on the job trainings for those who were not able to attend some training sessions properly in the past. Trainings should be planned and conducted either before the start or after completion of mid and final semester examination. More flexible class timing to allow teachers better manage their own education and classrooms affairs. Delivery of trainings during summer or winter breaks."/>
    <s v="The CBE primary classes established in the first phase of the project are now upgraded to grade five and six with more number of school subjects. Based on Project initial design, CARE has considered one teacher per class who is responsible to teach all subjects. In one of the communities, it has been reported that the school teacher has difficulty in teaching math subject. Despite, the subject upgrading training and on the job mentoring delivered by trainers some of the school teachers continue to have problems in teaching math subject. Given that, Project staff explored an alternate solution to solve the issue and noticed that there are two CBE classes in one community. Project trainers held a meeting with both school teachers and made an agreement that the teacher for boys' class who has good math skills to teach the math subject to girls class while the teacher for girls class with weaker math skills in turn will teach Dari language to boys class. In addition to that, the teacher with better math skills should work with him during school off time for a certain period. After a month we observed that the CBE teacher for girls class had improved his math skills as per basic competency indicators for math subject and his certain academic difficulties in math subject have been solved. He applies the same teaching method as the teacher for boys class does and could teach math subject well. In upper primary grades, the number of school subjects increases and it would be difficult for one school teacher to manage all and have expertise in all subjects. Therefore, project should consider one full time paid teacher and one assistant (paid half of the full salary) for upper primary grade classes in the next phase of the project. The teacher with better math skills cooperated with the teacher who had difficulties in teaching math subject for a period of around two months, which helped the project solving the issue through using available capacities and resources. Project will manage certain issues in communities where there are two or more CBE classes but it does not seem to be a long term solution and applicable in communities with only one CBE class. Therefore, we suggest considering one full time teacher and one assistant for upper primary grades in the next phase of the project."/>
    <m/>
    <m/>
    <s v="Proposal, logfram, baseline survey , report"/>
    <n v="6120"/>
    <n v="42840"/>
    <n v="7"/>
    <n v="0.68643790849673203"/>
    <n v="0.48998599439775908"/>
    <n v="4201"/>
    <n v="20991"/>
    <s v=""/>
    <n v="0"/>
    <n v="0"/>
    <s v=""/>
    <n v="1"/>
    <n v="507"/>
    <n v="3549"/>
    <n v="7"/>
    <s v=""/>
    <n v="0"/>
    <n v="0"/>
    <s v=""/>
    <n v="1"/>
    <n v="507"/>
    <n v="3549"/>
    <n v="7"/>
    <n v="1"/>
    <n v="87"/>
    <n v="609"/>
    <n v="7"/>
    <s v="2. Sensitive"/>
    <s v="2. Accommodating"/>
    <s v="2. Sensitive"/>
    <s v="It tested new ways for fighting poverty and measured results of innovation"/>
    <s v="Moderate advocacy"/>
    <s v="It did not take tested solutions to scale"/>
  </r>
  <r>
    <x v="0"/>
    <x v="0"/>
    <n v="3514"/>
    <s v="Every Voice Counts (EVC)"/>
    <s v="Afghanistan"/>
    <s v="CNLDAF0008, NL173"/>
    <s v="CARE Nederland"/>
    <s v="Government"/>
    <s v="Government - Netherlands"/>
    <s v="Ministry of Foreign Affairs of the Netherlands"/>
    <m/>
    <m/>
    <m/>
    <m/>
    <m/>
    <m/>
    <m/>
    <m/>
    <m/>
    <m/>
    <m/>
    <m/>
    <m/>
    <m/>
    <m/>
    <m/>
    <m/>
    <m/>
    <m/>
    <m/>
    <m/>
    <m/>
    <m/>
    <m/>
    <m/>
    <m/>
    <m/>
    <m/>
    <m/>
    <m/>
    <m/>
    <m/>
    <m/>
    <m/>
    <m/>
    <m/>
    <m/>
    <m/>
    <m/>
    <m/>
    <m/>
    <m/>
    <m/>
    <m/>
    <m/>
    <d v="2016-01-01T00:00:00"/>
    <d v="2020-12-31T00:00:00"/>
    <m/>
    <s v="Development Other"/>
    <n v="2603830"/>
    <s v="Gulzamir Haqbayan"/>
    <s v="Program Manager"/>
    <s v="Gulzamir.Haqbayan@care.org"/>
    <s v="Mohammad Wakil"/>
    <s v="Sr. Program Coordinator"/>
    <s v="mwakil@care.org"/>
    <s v="NO"/>
    <s v="YES"/>
    <s v="NO"/>
    <s v="Increased inclusion and meaningful participation of women and girls in decision-making process in Khost, Kabul, Balkh and Parwan province by the year 2020"/>
    <s v="Sub-National"/>
    <s v="Kabul, Khost, Parwan &amp; Balkh Provinces"/>
    <s v="Community Development Council, Community women and girls and men and boys, Education Peer Groups, Civil Society Organizations, Partners NGOs, Community Participator Monitoring Team, District Development Assembly, Traditional leaders, Local authorities, religious leaders"/>
    <n v="1412"/>
    <n v="2058"/>
    <n v="3470"/>
    <n v="11902"/>
    <n v="12388"/>
    <n v="24290"/>
    <s v="Direct beneficiaries were calculated based on the provision of training, and capacity strengthenining activities to targeted groups such as community women and girls, community men and boys, Local CSOs, partner NGOs, Religious leaders, Local aurthorities. Indirect beneficiaires are the family members of the direct beneficiares. Indirect beneficiaries = direct beneficiaries x 7  ( as per the national statistics 2015 repot 49 % women and 51 % men)"/>
    <m/>
    <m/>
    <m/>
    <m/>
    <m/>
    <m/>
    <m/>
    <m/>
    <m/>
    <m/>
    <m/>
    <m/>
    <m/>
    <m/>
    <m/>
    <m/>
    <m/>
    <m/>
    <m/>
    <m/>
    <m/>
    <m/>
    <m/>
    <m/>
    <m/>
    <m/>
    <m/>
    <m/>
    <m/>
    <m/>
    <m/>
    <m/>
    <m/>
    <m/>
    <m/>
    <m/>
    <m/>
    <m/>
    <m/>
    <m/>
    <m/>
    <m/>
    <m/>
    <m/>
    <m/>
    <m/>
    <m/>
    <m/>
    <m/>
    <m/>
    <m/>
    <m/>
    <m/>
    <m/>
    <m/>
    <m/>
    <m/>
    <m/>
    <m/>
    <m/>
    <n v="1407"/>
    <n v="997"/>
    <n v="2404"/>
    <n v="8246"/>
    <n v="8582"/>
    <n v="16828"/>
    <m/>
    <m/>
    <m/>
    <m/>
    <m/>
    <m/>
    <m/>
    <m/>
    <m/>
    <m/>
    <m/>
    <m/>
    <m/>
    <m/>
    <m/>
    <m/>
    <m/>
    <m/>
    <m/>
    <m/>
    <m/>
    <m/>
    <m/>
    <m/>
    <m/>
    <m/>
    <m/>
    <m/>
    <m/>
    <m/>
    <m/>
    <m/>
    <s v="YES"/>
    <n v="2288"/>
    <n v="0.54"/>
    <n v="16016"/>
    <m/>
    <m/>
    <m/>
    <m/>
    <m/>
    <m/>
    <m/>
    <m/>
    <m/>
    <m/>
    <m/>
    <m/>
    <s v="YES"/>
    <n v="2404"/>
    <n v="0.58527454242928401"/>
    <n v="16828"/>
    <m/>
    <m/>
    <m/>
    <m/>
    <m/>
    <m/>
    <m/>
    <m/>
    <m/>
    <m/>
    <m/>
    <m/>
    <m/>
    <m/>
    <m/>
    <m/>
    <m/>
    <s v="YES"/>
    <s v="October"/>
    <n v="2016"/>
    <s v="YES"/>
    <s v="YES"/>
    <s v="June"/>
    <n v="2018"/>
    <s v="Baseline conducted in October 2016 Training Needs Assessment conducted in August 2017 on inclusive Governance for CSOs. Until June 2018, program will have the report of capacity building of CSCs on inclusive governance to measure changes."/>
    <x v="2"/>
    <s v="NO"/>
    <s v="YES"/>
    <s v="YES"/>
    <s v="YES"/>
    <s v="YES"/>
    <s v="YES"/>
    <s v="NO"/>
    <s v="YES"/>
    <m/>
    <x v="2"/>
    <s v="Social Accountability (Community Scorecard and Social Audit), Advocacy efforts for excluded groups"/>
    <x v="1"/>
    <s v="As Every Voice Counts Program is advocacy project, therefore, involving local partners and alliances are more beneficial. Local Partners can reach grass root beneficiaries more comfortably. Thus, local partners initiated to work with other local CSOs at provincial level to strength the advocacy network under the program. Work with partner NGOs and Local CSO for advocacy and lobbying activities. Engage grassroots CSOs for their capacity building and awarness raising"/>
    <x v="1"/>
    <x v="0"/>
    <s v="YES"/>
    <x v="0"/>
    <x v="0"/>
    <x v="0"/>
    <x v="0"/>
    <n v="4"/>
    <x v="1"/>
    <x v="1"/>
    <x v="1"/>
    <x v="1"/>
    <x v="1"/>
    <x v="1"/>
    <n v="4"/>
    <x v="2"/>
    <x v="0"/>
    <x v="1"/>
    <x v="0"/>
    <x v="2"/>
    <n v="1"/>
    <x v="2"/>
    <x v="2"/>
    <n v="3"/>
    <s v="Local NGO(s)/CSO(s)"/>
    <m/>
    <m/>
    <x v="0"/>
    <s v="Strengthen civil socity organization, Alliances and network successfully influence decision maker on excluded groups (women and girls) concerns and demands. Assess and provide capacity building interventions for partner NGOs and local CSOs. Engage local CSO in social acccountability and advocacy efforts"/>
    <m/>
    <s v="CSO engagement and capacity strengthening, Engaging men &amp; boys, advocacy and lobbying for women and girls"/>
    <s v="Inclusive Governance training for CSO, local authorities and community based organizations."/>
    <s v="Community scorecard and Social Audit"/>
    <s v="in the societies such Afghanistan with a conservative, traditional and religious culture, it is certainly difficult and sensitive to raise the issues related to the women. During the EVC implementation in the communiities it has been learned that, taking in consideration the role of religious and community leaders is very significant and they should be involved in as many as possible field consultation. Otherwise, they may create challenges when they do not have enough information do not have enough information about the interventions."/>
    <s v="In some of the EVC targeted communities due to traditional thoughts, people are very sensitive towards women and their participation and/or any ralated activity that promote women in the community. Therefore, while celebrating women's day in the communities, mostly the organizer of the women's day celebration linked to the event to mother's day in order to avoid any conflict or sensitivity in the communities."/>
    <s v="The local CSOs which have been identified for the program have financial expectation from the program. The purpose of CSOs involvement is to reach excluded groups more cohesively for better advocacy efforts in the fragile setting. The CSO member are requesting for minimal financial support to cover their costs by visiting to communities and purchasing essential items for their offices. Since , in the current design of the program , there is nothing considered for the locsl CSOs which were presumed to have voluntarily inputs to the local partner organizations. CARE Afghanistan recommend to CNL to consider the locsl CSOs demands in the next year plans. it is very important for the program to maintain productive relationship with local CSO, which ensure their active participation in advocacy efforts for the excluded groups."/>
    <m/>
    <s v="Proposal, logfram, baseline survey , report"/>
    <n v="2404"/>
    <n v="16828"/>
    <n v="7"/>
    <n v="0.58527454242928456"/>
    <n v="0.49001663893510816"/>
    <n v="1407"/>
    <n v="8246"/>
    <s v=""/>
    <n v="0"/>
    <n v="0"/>
    <s v=""/>
    <s v=""/>
    <n v="0"/>
    <n v="0"/>
    <s v=""/>
    <s v=""/>
    <n v="0"/>
    <n v="0"/>
    <s v=""/>
    <s v=""/>
    <n v="0"/>
    <n v="0"/>
    <s v=""/>
    <s v=""/>
    <n v="0"/>
    <n v="0"/>
    <s v=""/>
    <s v="2. Sensitive"/>
    <s v="2. Accommodating"/>
    <s v="0. Harmful"/>
    <s v="It tested new ways for fighting poverty and measured results of innovation"/>
    <s v="Intensive advocacy"/>
    <s v="It linked and worked with strategic alliances and partners to take tested and effective solutions to scale"/>
  </r>
  <r>
    <x v="0"/>
    <x v="0"/>
    <n v="3528"/>
    <s v="GSK 20% Reinvestment-ACCESS (OMID)"/>
    <s v="Afghanistan"/>
    <s v="GB313, CGBRAF0022"/>
    <s v="CARE UK"/>
    <s v="Corporation"/>
    <s v="Other"/>
    <s v="GlaxoSmithKline (GSK)"/>
    <m/>
    <m/>
    <m/>
    <m/>
    <m/>
    <m/>
    <m/>
    <m/>
    <m/>
    <m/>
    <m/>
    <m/>
    <m/>
    <m/>
    <m/>
    <m/>
    <m/>
    <m/>
    <m/>
    <m/>
    <m/>
    <m/>
    <m/>
    <m/>
    <m/>
    <m/>
    <m/>
    <m/>
    <m/>
    <m/>
    <m/>
    <m/>
    <m/>
    <m/>
    <m/>
    <m/>
    <m/>
    <m/>
    <m/>
    <m/>
    <m/>
    <m/>
    <m/>
    <m/>
    <m/>
    <d v="2015-04-01T00:00:00"/>
    <d v="2018-03-31T00:00:00"/>
    <m/>
    <s v="Development Sexual, Reproductive and Maternal Health (SRMH)"/>
    <n v="801870.32"/>
    <s v="Wahidullah Wahid"/>
    <s v="Sr.Program Coordinator"/>
    <s v="wahidullah.wahid@care.org"/>
    <s v="Dr M Anwar Haneef"/>
    <s v="Deputy Project Manager"/>
    <s v="mohammad.anwer@care.org"/>
    <s v="NO"/>
    <s v="YES"/>
    <s v="NO"/>
    <s v="To contribute to the reduction of maternal and infant mortality and morbidity through community based interventions facilitated and delivered by Community Based Educators and Community Midwives in 20 communities ."/>
    <s v="National"/>
    <s v="District 2  of Kabul City (Kabul  Province)"/>
    <s v="Mother in reproductive age and their Children upto 2 years of life"/>
    <n v="5000"/>
    <n v="2000"/>
    <n v="7000"/>
    <n v="24010"/>
    <n v="24990"/>
    <n v="49000"/>
    <s v="The direct beneficiaries include women of reproductive age and their infants up to 2years of age of both sex. Indirect beneficiaries include member of the direct beneficiaries their neighbors and relatives. The indirect beneficiaries are multiplying by an average of 7 person per household. Also some of the indirect beneficiaries are located in the outreach areas.   ( as per the national statistics 2015 repot 49 % women and 51 % men)"/>
    <m/>
    <m/>
    <m/>
    <n v="0"/>
    <m/>
    <m/>
    <n v="0"/>
    <m/>
    <m/>
    <m/>
    <m/>
    <m/>
    <m/>
    <m/>
    <m/>
    <m/>
    <m/>
    <m/>
    <m/>
    <m/>
    <m/>
    <m/>
    <m/>
    <m/>
    <m/>
    <m/>
    <m/>
    <m/>
    <m/>
    <m/>
    <m/>
    <m/>
    <m/>
    <m/>
    <m/>
    <m/>
    <m/>
    <m/>
    <m/>
    <m/>
    <m/>
    <m/>
    <m/>
    <m/>
    <m/>
    <m/>
    <m/>
    <m/>
    <m/>
    <m/>
    <m/>
    <m/>
    <m/>
    <m/>
    <m/>
    <m/>
    <m/>
    <m/>
    <m/>
    <m/>
    <n v="4628"/>
    <n v="1105"/>
    <n v="5733"/>
    <n v="19664"/>
    <n v="20467"/>
    <n v="40131"/>
    <m/>
    <m/>
    <m/>
    <m/>
    <m/>
    <m/>
    <m/>
    <m/>
    <m/>
    <m/>
    <m/>
    <m/>
    <m/>
    <m/>
    <m/>
    <m/>
    <m/>
    <m/>
    <m/>
    <m/>
    <m/>
    <m/>
    <m/>
    <m/>
    <m/>
    <m/>
    <m/>
    <m/>
    <s v="YES"/>
    <n v="3523"/>
    <n v="1"/>
    <n v="24661"/>
    <m/>
    <m/>
    <m/>
    <m/>
    <s v="YES"/>
    <n v="627"/>
    <n v="0.6"/>
    <n v="4389"/>
    <m/>
    <m/>
    <m/>
    <m/>
    <m/>
    <m/>
    <m/>
    <m/>
    <s v="YES"/>
    <n v="409"/>
    <n v="0.8"/>
    <n v="20355"/>
    <s v="YES"/>
    <n v="3523"/>
    <n v="1"/>
    <n v="24661"/>
    <m/>
    <m/>
    <m/>
    <m/>
    <m/>
    <m/>
    <m/>
    <m/>
    <m/>
    <m/>
    <m/>
    <m/>
    <m/>
    <s v="NO"/>
    <m/>
    <m/>
    <m/>
    <s v="YES"/>
    <s v="March"/>
    <n v="2018"/>
    <s v="The project final evaluation will gage changes compare to baseline as well as overall  effectiveness of the project in improving maternal and chilld health"/>
    <x v="1"/>
    <s v="YES"/>
    <s v="NO"/>
    <s v="YES"/>
    <s v="YES"/>
    <s v="YES"/>
    <s v="YES"/>
    <s v="YES"/>
    <m/>
    <m/>
    <x v="2"/>
    <s v="improving access of the women of reproductive age to receiving conslutation about safe motherhood throuhg using mobile phone services"/>
    <x v="1"/>
    <s v="The project in partnership with Etisalat mobile service provider has launched the mobile health services system which focuses on dissemination of health messages to the target beneficiaries as well as provision of counseling by health providers."/>
    <x v="1"/>
    <x v="0"/>
    <s v="YES"/>
    <x v="0"/>
    <x v="0"/>
    <x v="0"/>
    <x v="0"/>
    <n v="4"/>
    <x v="1"/>
    <x v="1"/>
    <x v="1"/>
    <x v="1"/>
    <x v="1"/>
    <x v="1"/>
    <n v="4"/>
    <x v="1"/>
    <x v="2"/>
    <x v="2"/>
    <x v="2"/>
    <x v="2"/>
    <n v="0"/>
    <x v="2"/>
    <x v="1"/>
    <m/>
    <m/>
    <m/>
    <m/>
    <x v="2"/>
    <m/>
    <m/>
    <s v="working with young women of reproductive age through family health action groups can improve healthy behaviors among women and their families"/>
    <s v="inclusion of religious leaders can provide strong support for the acceptance of the project activities by the communities"/>
    <s v="strengthning refferal between community health workers and community midwives can increase the effectiveness of the services delivery"/>
    <s v="working with young women of reproductive age through family health action groups can improve healthy behaviors among women and their families"/>
    <s v="inclusion of religious leaders can provide strong support for the acceptance of the project activities by the communities"/>
    <s v="strengthning refferal between community health workers and community midwives can increase the effectiveness of the services delivery"/>
    <s v="the project implementation progress is on track"/>
    <s v="Proposal, logfram, baseline survey , report"/>
    <n v="5733"/>
    <n v="40131"/>
    <n v="7"/>
    <n v="0.80725623582766437"/>
    <n v="0.48999526550546957"/>
    <n v="4628"/>
    <n v="19664"/>
    <s v=""/>
    <n v="0"/>
    <n v="0"/>
    <s v=""/>
    <s v=""/>
    <n v="0"/>
    <n v="0"/>
    <s v=""/>
    <n v="1"/>
    <n v="3523"/>
    <n v="24661"/>
    <n v="7"/>
    <n v="1"/>
    <n v="3523"/>
    <n v="24661"/>
    <n v="7"/>
    <s v=""/>
    <n v="0"/>
    <n v="0"/>
    <s v=""/>
    <s v="2. Sensitive"/>
    <s v="2. Accommodating"/>
    <s v="0. Harmful"/>
    <s v="It tested new ways for fighting poverty and measured results of innovation"/>
    <s v="Moderate advocacy"/>
    <s v="It linked and worked with strategic alliances and partners to take tested and effective solutions to scale"/>
  </r>
  <r>
    <x v="0"/>
    <x v="0"/>
    <n v="3518"/>
    <s v="Lower Secondary Community-Based Education (LSCBE)"/>
    <s v="Afghanistan"/>
    <s v="HUSCAF0012, US1OB, HUSCAF0014, US1X7"/>
    <s v="CARE USA"/>
    <s v="Individual supporter"/>
    <s v="Other"/>
    <s v="Justin &quot;Dusty&quot; Huscher"/>
    <m/>
    <m/>
    <m/>
    <m/>
    <m/>
    <m/>
    <m/>
    <m/>
    <m/>
    <m/>
    <m/>
    <m/>
    <m/>
    <m/>
    <m/>
    <m/>
    <m/>
    <m/>
    <m/>
    <m/>
    <m/>
    <m/>
    <m/>
    <m/>
    <m/>
    <m/>
    <m/>
    <m/>
    <m/>
    <m/>
    <m/>
    <m/>
    <m/>
    <m/>
    <m/>
    <m/>
    <m/>
    <m/>
    <m/>
    <m/>
    <m/>
    <m/>
    <m/>
    <m/>
    <m/>
    <d v="2017-04-01T00:00:00"/>
    <d v="2018-03-31T00:00:00"/>
    <m/>
    <s v="Development Other"/>
    <n v="358207"/>
    <s v="Wahidullah Wahid"/>
    <s v="Sr.Program Coordinator"/>
    <s v="wahidullah.wahid@care.org"/>
    <s v="Azizullah Nadiri"/>
    <s v="Project  Manager"/>
    <s v="azizullah.nadiri@care.org"/>
    <s v="NO"/>
    <s v="YES"/>
    <s v="NO"/>
    <s v="The main object of this project is to improve quality secondary education for girls from grade 7-9 where the government has no access."/>
    <s v="Sub-National"/>
    <s v="Country: Afghanistan, Province:  Khost, District:  Matun, Tani, Mando Zai, Nadir shah kot, Gurbuz"/>
    <s v="Students, Teachers, School Management Committee (SMC) members and their families"/>
    <n v="1062"/>
    <n v="78"/>
    <n v="1140"/>
    <n v="3911"/>
    <n v="4069"/>
    <n v="7980"/>
    <s v="Direct participants include students, teachers and village education committee members or School Management Committee members. Indirect participants are the family members of the direct beneficiaries. Multiplying the number of direct beneficiaries ( students, teachers, Village Education Committee or School Management Committee members) by the size of the household on an average of 7 people per household. ( as per the national statistics 2015 repot 49 % women and 51 % men)"/>
    <m/>
    <m/>
    <m/>
    <n v="0"/>
    <m/>
    <m/>
    <n v="0"/>
    <m/>
    <m/>
    <m/>
    <m/>
    <m/>
    <m/>
    <m/>
    <m/>
    <m/>
    <m/>
    <m/>
    <m/>
    <m/>
    <m/>
    <m/>
    <m/>
    <m/>
    <m/>
    <m/>
    <m/>
    <m/>
    <m/>
    <m/>
    <m/>
    <m/>
    <m/>
    <m/>
    <m/>
    <m/>
    <m/>
    <m/>
    <m/>
    <m/>
    <m/>
    <m/>
    <m/>
    <m/>
    <m/>
    <m/>
    <m/>
    <m/>
    <m/>
    <m/>
    <m/>
    <m/>
    <m/>
    <m/>
    <m/>
    <m/>
    <m/>
    <m/>
    <m/>
    <m/>
    <n v="1062"/>
    <n v="78"/>
    <n v="1140"/>
    <n v="3911"/>
    <n v="4069"/>
    <n v="7980"/>
    <m/>
    <m/>
    <m/>
    <m/>
    <m/>
    <m/>
    <m/>
    <m/>
    <s v="YES"/>
    <n v="120"/>
    <n v="1"/>
    <n v="840"/>
    <s v="YES"/>
    <n v="120"/>
    <n v="1"/>
    <n v="840"/>
    <s v="YES"/>
    <n v="120"/>
    <n v="0.35"/>
    <n v="840"/>
    <s v="YES"/>
    <n v="1140"/>
    <n v="0.93"/>
    <n v="7980"/>
    <m/>
    <m/>
    <m/>
    <m/>
    <s v="YES"/>
    <n v="120"/>
    <n v="1"/>
    <n v="840"/>
    <s v="YES"/>
    <n v="1140"/>
    <n v="0.93"/>
    <n v="7980"/>
    <s v="YES"/>
    <n v="900"/>
    <n v="1"/>
    <n v="6300"/>
    <m/>
    <m/>
    <m/>
    <m/>
    <m/>
    <m/>
    <m/>
    <m/>
    <s v="YES"/>
    <n v="120"/>
    <n v="1"/>
    <n v="840"/>
    <m/>
    <m/>
    <m/>
    <m/>
    <s v="YES"/>
    <n v="72"/>
    <n v="0.22"/>
    <n v="504"/>
    <s v="YES"/>
    <n v="42"/>
    <n v="1"/>
    <n v="294"/>
    <m/>
    <m/>
    <m/>
    <m/>
    <m/>
    <s v="YES"/>
    <s v="February"/>
    <n v="2017"/>
    <s v="YES"/>
    <s v="YES"/>
    <s v="February"/>
    <n v="2018"/>
    <s v="Based on the project workplan a need assessment will be conducted for establishment of New Lower Secondary Community-Based Education (LSCBE) classes during February, 2018"/>
    <x v="1"/>
    <s v="YES"/>
    <s v="NO"/>
    <s v="YES"/>
    <s v="YES"/>
    <s v="YES"/>
    <s v="YES"/>
    <s v="NO"/>
    <m/>
    <m/>
    <x v="1"/>
    <s v="The project is working in building capacities of teachers and VEC members and advocating and empowering the most vulnerable including women and girls."/>
    <x v="0"/>
    <m/>
    <x v="1"/>
    <x v="0"/>
    <s v="YES"/>
    <x v="0"/>
    <x v="0"/>
    <x v="0"/>
    <x v="0"/>
    <n v="4"/>
    <x v="1"/>
    <x v="1"/>
    <x v="1"/>
    <x v="1"/>
    <x v="1"/>
    <x v="1"/>
    <n v="4"/>
    <x v="1"/>
    <x v="1"/>
    <x v="1"/>
    <x v="1"/>
    <x v="1"/>
    <n v="3"/>
    <x v="2"/>
    <x v="1"/>
    <m/>
    <m/>
    <m/>
    <m/>
    <x v="0"/>
    <s v="provideing ongoing support to VEC members including on the job and formal trainings and involving of girls in peer group activities and monthly VEC meetings"/>
    <s v="The project did not carry out actions in this FY to strengthen civil society"/>
    <s v="Community engagement particulary men and women engagement in class management"/>
    <s v="Implementation of Community score cards system in the project target areas."/>
    <m/>
    <s v="Shortage of qualified teachers is a nationwide problem in rural and remote areas of the country. The recruitment of qualified teachers is an issue that has become increasingly important to the Ministry of Education and CBE providers supporting educational development. This is particularly so because of the impact of teachers can have on girls education. Beyond recruitment strategy, there are other issues which are important to be addressed if teachers are going to be empowered in their roles as CBE teachers. Throughout LSCBE project, CARE strives to hire qualified individuals as LSCBE teachers. CARE has been able to hire a number of university or 14th graduated teachers to teach LSCBE classes. In certain cases, it was reported that a number of 14th graduted teachers have either irregular attendance in the training sessions and issues with applying the new methods and skills back in the classrooms though their qualification level was high.  After thorough analysis of the issue, it was specified that sometimes due to a scheduling conflict between training sessions and university exam,   these teachers were trying to attend both training sessions to the extent possible and also not miss their university exams. To address the raised issue, the project team undertook a series of activities including coordination meetings with concerned LSCBE teachers and VEC members and consequently could come to the following conclusion: Identification of all teachers who have the same situation will help project team in planning and delivery of trainings at a time to work best for them. Follow up on the job trainings for those who were not able to attend some training sessions properly in the past. Trainings should be planned and conducted either before the start or after completion of mid and final semester examination. More flexible class timing to allow teachers better manage their own education and classrooms affairs. Delivery of trainings during summer or winter breaks."/>
    <m/>
    <m/>
    <m/>
    <s v="Proposal, logfram, Need assessment, report"/>
    <n v="1140"/>
    <n v="7980"/>
    <n v="7"/>
    <n v="0.93157894736842106"/>
    <n v="0.49010025062656642"/>
    <n v="1062"/>
    <n v="3911"/>
    <s v=""/>
    <n v="0"/>
    <n v="0"/>
    <s v=""/>
    <n v="1"/>
    <n v="120"/>
    <n v="840"/>
    <n v="7"/>
    <s v=""/>
    <n v="0"/>
    <n v="0"/>
    <s v=""/>
    <n v="1"/>
    <n v="120"/>
    <n v="840"/>
    <n v="7"/>
    <n v="1"/>
    <n v="42"/>
    <n v="294"/>
    <n v="7"/>
    <s v="2. Sensitive"/>
    <s v="2. Accommodating"/>
    <s v="2. Sensitive"/>
    <s v="It tested new ways for fighting poverty, but did not measure results of innovation"/>
    <s v="Moderate advocacy"/>
    <s v="It did not take tested solutions to scale"/>
  </r>
  <r>
    <x v="0"/>
    <x v="0"/>
    <n v="3529"/>
    <s v="National Solidarity Program Phase Three (NSP III)"/>
    <s v="Afghanistan"/>
    <s v="MRRDAF0009, US196"/>
    <s v="CARE USA"/>
    <s v="Government"/>
    <s v="Other"/>
    <s v="Afghanistan Minisrty of Rural Rehabilitation and Development(MRRD)"/>
    <m/>
    <m/>
    <m/>
    <m/>
    <m/>
    <m/>
    <m/>
    <m/>
    <m/>
    <m/>
    <m/>
    <m/>
    <m/>
    <m/>
    <m/>
    <m/>
    <m/>
    <m/>
    <m/>
    <m/>
    <m/>
    <m/>
    <m/>
    <m/>
    <m/>
    <m/>
    <m/>
    <m/>
    <m/>
    <m/>
    <m/>
    <m/>
    <m/>
    <m/>
    <m/>
    <m/>
    <m/>
    <m/>
    <m/>
    <m/>
    <m/>
    <m/>
    <m/>
    <m/>
    <m/>
    <d v="2015-10-01T00:00:00"/>
    <d v="2016-09-30T00:00:00"/>
    <m/>
    <s v="Development Other"/>
    <n v="3366665.6"/>
    <s v="Mohammad Wakil"/>
    <s v="Sr.Program Coordinator"/>
    <s v="mwakil@care.org"/>
    <s v="Eng. Suliman Zahid"/>
    <s v="Program Manager"/>
    <s v="suliman.zahid@care.org"/>
    <s v="NO"/>
    <s v="YES"/>
    <s v="NO"/>
    <s v="By the end of Sep 30, 2016, rural communities in 4 provinces ( Ghazni, Paktia, Parwan, Balkh) will have strengthened community capacity by undertaking community led development activities."/>
    <s v="Sub-National"/>
    <s v="Afghanistan : Ghazni, Paktia, Parwan and Balkh Provinces."/>
    <s v="CDCs,CPM, women sub community and entire community members"/>
    <n v="2076"/>
    <n v="2076"/>
    <n v="4152"/>
    <n v="72660"/>
    <n v="72660"/>
    <n v="145320"/>
    <s v="Direct participants include men and women who directly involved in project implementation. Indirect beneficiaries are community members who are not directly benefited from the project activities and capcity building but indirectly they are benefiting from CDCs and infrastructure.  One Community Development Council consist of an average 70 family which multiply by 6 person."/>
    <m/>
    <m/>
    <m/>
    <n v="0"/>
    <m/>
    <m/>
    <n v="0"/>
    <m/>
    <m/>
    <m/>
    <m/>
    <m/>
    <m/>
    <m/>
    <m/>
    <m/>
    <m/>
    <m/>
    <m/>
    <m/>
    <m/>
    <m/>
    <m/>
    <m/>
    <m/>
    <m/>
    <m/>
    <m/>
    <m/>
    <m/>
    <m/>
    <m/>
    <m/>
    <m/>
    <m/>
    <m/>
    <m/>
    <m/>
    <m/>
    <m/>
    <m/>
    <m/>
    <m/>
    <m/>
    <m/>
    <m/>
    <m/>
    <m/>
    <m/>
    <m/>
    <m/>
    <m/>
    <m/>
    <m/>
    <m/>
    <m/>
    <m/>
    <m/>
    <m/>
    <m/>
    <n v="74113"/>
    <n v="71207"/>
    <n v="145320"/>
    <n v="0"/>
    <n v="0"/>
    <n v="0"/>
    <m/>
    <m/>
    <m/>
    <m/>
    <m/>
    <m/>
    <m/>
    <m/>
    <m/>
    <m/>
    <m/>
    <m/>
    <m/>
    <m/>
    <m/>
    <m/>
    <m/>
    <m/>
    <m/>
    <m/>
    <m/>
    <m/>
    <m/>
    <m/>
    <m/>
    <m/>
    <m/>
    <m/>
    <m/>
    <m/>
    <m/>
    <m/>
    <m/>
    <m/>
    <m/>
    <m/>
    <m/>
    <m/>
    <m/>
    <m/>
    <s v="YES"/>
    <n v="145320"/>
    <n v="0.49"/>
    <m/>
    <m/>
    <m/>
    <m/>
    <m/>
    <s v="YES"/>
    <n v="145320"/>
    <n v="0.49"/>
    <m/>
    <m/>
    <m/>
    <m/>
    <m/>
    <m/>
    <m/>
    <m/>
    <m/>
    <m/>
    <m/>
    <m/>
    <m/>
    <m/>
    <m/>
    <m/>
    <m/>
    <m/>
    <s v="NO"/>
    <m/>
    <m/>
    <m/>
    <s v="NO"/>
    <m/>
    <m/>
    <m/>
    <x v="1"/>
    <s v="YES"/>
    <s v="YES"/>
    <s v="YES"/>
    <s v="YES"/>
    <s v="YES"/>
    <s v="YES"/>
    <s v="NO"/>
    <m/>
    <m/>
    <x v="0"/>
    <m/>
    <x v="0"/>
    <m/>
    <x v="1"/>
    <x v="0"/>
    <s v="YES"/>
    <x v="0"/>
    <x v="0"/>
    <x v="0"/>
    <x v="0"/>
    <n v="4"/>
    <x v="1"/>
    <x v="1"/>
    <x v="1"/>
    <x v="1"/>
    <x v="1"/>
    <x v="1"/>
    <n v="4"/>
    <x v="0"/>
    <x v="0"/>
    <x v="0"/>
    <x v="0"/>
    <x v="0"/>
    <n v="0"/>
    <x v="2"/>
    <x v="1"/>
    <m/>
    <m/>
    <m/>
    <m/>
    <x v="1"/>
    <m/>
    <s v="The IMI was applied to 346 CDCs and . As result 85.8 % CDCs was  successully."/>
    <m/>
    <m/>
    <m/>
    <s v="Trust can be built between communities and NSP FP by clearly communicating the goal of NSP and making sure not to make promises that will not be realized."/>
    <s v="The disbursement of the BG should also be made properly and on time so that communities could proceed with their implementation within the planned time. It would also contribute to prevent conflict among the community residents"/>
    <s v="The government/implementing agency had trust over the CDCs, and all the projects survey and implementation process is done through the NSP Community Development Council."/>
    <m/>
    <s v="Proposal, logfram, baseline survey , report"/>
    <n v="145320"/>
    <n v="0"/>
    <n v="0"/>
    <n v="0.50999862372694738"/>
    <s v=""/>
    <n v="74113"/>
    <n v="0"/>
    <s v=""/>
    <n v="0"/>
    <n v="0"/>
    <s v=""/>
    <s v=""/>
    <n v="0"/>
    <n v="0"/>
    <s v=""/>
    <s v=""/>
    <n v="0"/>
    <n v="0"/>
    <s v=""/>
    <s v=""/>
    <n v="0"/>
    <n v="0"/>
    <s v=""/>
    <s v=""/>
    <n v="0"/>
    <n v="0"/>
    <s v=""/>
    <s v="2. Sensitive"/>
    <s v="2. Accommodating"/>
    <s v="No marker score"/>
    <s v="It did not develop any specific innovation"/>
    <s v="Moderate advocacy"/>
    <s v="It did not take tested solutions to scale"/>
  </r>
  <r>
    <x v="0"/>
    <x v="0"/>
    <m/>
    <s v="Provision of Assistance to Kunduz IDPs"/>
    <s v="Afghanistan"/>
    <s v="CGBRAF0025,GB639"/>
    <s v="CARE UK"/>
    <s v="Government"/>
    <s v="Government - UK"/>
    <s v="Start Fund/Save the Children"/>
    <m/>
    <m/>
    <m/>
    <m/>
    <m/>
    <m/>
    <m/>
    <m/>
    <m/>
    <m/>
    <m/>
    <m/>
    <m/>
    <m/>
    <m/>
    <m/>
    <m/>
    <m/>
    <m/>
    <m/>
    <m/>
    <m/>
    <m/>
    <m/>
    <m/>
    <m/>
    <m/>
    <m/>
    <m/>
    <m/>
    <m/>
    <m/>
    <m/>
    <m/>
    <m/>
    <m/>
    <m/>
    <m/>
    <m/>
    <m/>
    <m/>
    <m/>
    <m/>
    <m/>
    <m/>
    <d v="2016-10-14T00:00:00"/>
    <d v="2016-11-27T00:00:00"/>
    <m/>
    <s v="Humanitarian Access to and Control over Economic Resources"/>
    <n v="121181"/>
    <s v="Mohammad Wakil"/>
    <s v="Sr.Program Coordinator"/>
    <s v="mwakil@care.org"/>
    <s v="Khawani"/>
    <s v="Huamanitarian Manager"/>
    <s v="Khawani.Rashed@care.org"/>
    <s v="YES"/>
    <s v="NO"/>
    <s v="NO"/>
    <s v="Quicky Supports vulnerable displaced  families to fulfil their basic needs and reduce the vulnerability of households to emergency shocks."/>
    <s v="Sub-National"/>
    <s v="Kabul, Balkh and Parwan provinces"/>
    <s v="CARE's response is aiming at addressing the urgent basic needs of  Kunduz province conflict affected families"/>
    <n v="300"/>
    <n v="300"/>
    <n v="600"/>
    <n v="2132"/>
    <n v="2068"/>
    <n v="4200"/>
    <s v="Direct participants include men and women who are affected by natural and manmade disaster. Indirect participants are the family members of the direct beneficiaries. Multiplying the number of direct beneficiaries (men and women) by the size of the household on an average of 7 people per household."/>
    <m/>
    <n v="300"/>
    <n v="300"/>
    <n v="600"/>
    <n v="1824"/>
    <n v="1764"/>
    <n v="3588"/>
    <m/>
    <m/>
    <m/>
    <m/>
    <s v="YES"/>
    <n v="300"/>
    <n v="0.51"/>
    <n v="1822"/>
    <m/>
    <m/>
    <m/>
    <m/>
    <m/>
    <m/>
    <m/>
    <m/>
    <m/>
    <m/>
    <m/>
    <m/>
    <s v="YES"/>
    <n v="300"/>
    <n v="0.51"/>
    <n v="1822"/>
    <m/>
    <m/>
    <m/>
    <m/>
    <m/>
    <m/>
    <m/>
    <m/>
    <m/>
    <m/>
    <m/>
    <m/>
    <m/>
    <m/>
    <m/>
    <m/>
    <s v="YES"/>
    <n v="300"/>
    <n v="0.51"/>
    <n v="1766"/>
    <s v="YES"/>
    <n v="300"/>
    <n v="0.51"/>
    <n v="1766"/>
    <m/>
    <m/>
    <m/>
    <m/>
    <m/>
    <m/>
    <m/>
    <n v="0"/>
    <n v="0"/>
    <n v="0"/>
    <n v="0"/>
    <m/>
    <m/>
    <m/>
    <m/>
    <m/>
    <m/>
    <m/>
    <m/>
    <m/>
    <m/>
    <m/>
    <m/>
    <m/>
    <m/>
    <m/>
    <m/>
    <m/>
    <m/>
    <m/>
    <m/>
    <m/>
    <m/>
    <m/>
    <m/>
    <m/>
    <m/>
    <m/>
    <m/>
    <m/>
    <m/>
    <m/>
    <m/>
    <m/>
    <m/>
    <m/>
    <m/>
    <m/>
    <m/>
    <m/>
    <m/>
    <m/>
    <m/>
    <m/>
    <m/>
    <m/>
    <m/>
    <m/>
    <m/>
    <m/>
    <m/>
    <m/>
    <m/>
    <m/>
    <m/>
    <m/>
    <m/>
    <m/>
    <m/>
    <m/>
    <m/>
    <m/>
    <m/>
    <m/>
    <m/>
    <m/>
    <m/>
    <m/>
    <m/>
    <m/>
    <s v="YES"/>
    <s v="November"/>
    <n v="2016"/>
    <s v="YES"/>
    <s v="NO"/>
    <m/>
    <m/>
    <s v="The project staf have proformed Post distribution Assessmen."/>
    <x v="0"/>
    <m/>
    <m/>
    <m/>
    <m/>
    <m/>
    <m/>
    <m/>
    <m/>
    <m/>
    <x v="0"/>
    <m/>
    <x v="0"/>
    <m/>
    <x v="0"/>
    <x v="0"/>
    <s v="YES"/>
    <x v="0"/>
    <x v="0"/>
    <x v="0"/>
    <x v="0"/>
    <n v="4"/>
    <x v="0"/>
    <x v="0"/>
    <x v="0"/>
    <x v="0"/>
    <x v="0"/>
    <x v="0"/>
    <n v="0"/>
    <x v="0"/>
    <x v="0"/>
    <x v="0"/>
    <x v="0"/>
    <x v="0"/>
    <n v="0"/>
    <x v="0"/>
    <x v="1"/>
    <m/>
    <m/>
    <m/>
    <m/>
    <x v="1"/>
    <m/>
    <s v="In result of the Post Distribution Assessment, the Beneficiareis confirmed that they have receive UCG and NFI assisstance from CARE colleageus. They have diclared that the received amount  used for purchsing of Food, Medicine and loan Payment and all NFI Package items were so usefull."/>
    <m/>
    <m/>
    <m/>
    <s v="Un-documented returnee and IDP families arent living in the camps collectively, though they are living separately with their relatives, host communities and some under tents, so in this case the assessment survey take long time which will cause delay in providing assistance to them and should be considered for the future projects.  "/>
    <s v="The project life time was so short, and project beneficieires recommended for long term projects."/>
    <m/>
    <s v="This project was usefull for IDP because those families urgently need to fullfil their basic need such as purchasing ( food, medicine, transportation cost, pay for house rent, winter cloths and Gas or other utilities for stove)."/>
    <s v="Proposal, logfram, post distribution assessment , report"/>
    <n v="600"/>
    <n v="3588"/>
    <n v="5.98"/>
    <n v="0.5"/>
    <n v="0.50836120401337792"/>
    <n v="300"/>
    <n v="1824"/>
    <n v="1"/>
    <n v="600"/>
    <n v="3588"/>
    <n v="5.98"/>
    <s v=""/>
    <n v="0"/>
    <n v="0"/>
    <s v=""/>
    <s v=""/>
    <n v="0"/>
    <n v="0"/>
    <s v=""/>
    <s v=""/>
    <n v="0"/>
    <n v="0"/>
    <s v=""/>
    <s v=""/>
    <n v="0"/>
    <n v="0"/>
    <s v=""/>
    <s v="2. Sensitive"/>
    <s v="No marker score"/>
    <s v="No marker score"/>
    <s v="It did not develop any specific innovation"/>
    <s v="Little or no advocacy"/>
    <s v="It did not take tested solutions to scale"/>
  </r>
  <r>
    <x v="0"/>
    <x v="0"/>
    <n v="3530"/>
    <s v="Resilient Livelihoods Project for Vulnerable Rural Communities in Balkh Province, Afghanistan"/>
    <s v="Afghanistan"/>
    <s v="CAUSAF0029, AU217"/>
    <s v="CARE Australia"/>
    <s v="Government"/>
    <s v="Government - Australia"/>
    <s v="DFAT-Australia"/>
    <m/>
    <m/>
    <m/>
    <m/>
    <m/>
    <m/>
    <m/>
    <m/>
    <m/>
    <m/>
    <m/>
    <m/>
    <m/>
    <m/>
    <m/>
    <m/>
    <m/>
    <m/>
    <m/>
    <m/>
    <m/>
    <m/>
    <m/>
    <m/>
    <m/>
    <m/>
    <m/>
    <m/>
    <m/>
    <m/>
    <m/>
    <m/>
    <m/>
    <m/>
    <m/>
    <m/>
    <m/>
    <m/>
    <m/>
    <m/>
    <m/>
    <m/>
    <m/>
    <m/>
    <m/>
    <d v="2015-01-01T00:00:00"/>
    <d v="2017-12-31T00:00:00"/>
    <m/>
    <s v="Development Access to and Control over Economic Resources"/>
    <n v="1704269"/>
    <s v="Mohammad Wakil"/>
    <s v="Sr.Program Coordinator"/>
    <s v="mwakil@care.org"/>
    <s v="Mohammad  Mustafa"/>
    <s v="Project Manager"/>
    <s v="mustafa.taheri@care.org"/>
    <s v="YES"/>
    <s v="YES"/>
    <s v="YES"/>
    <s v="To contribute to access and sustainable livelihoods for , and strenghtened resilience of , vulnerable rural communities in Charkint and Khulm districts  of Balkh province."/>
    <s v="Sub-National"/>
    <s v="Khulm and Charkint districts of Balkh Province."/>
    <s v="Farmers, women headed household, people with disability, community elders"/>
    <n v="510"/>
    <n v="940"/>
    <n v="1450"/>
    <n v="5684"/>
    <n v="5916"/>
    <n v="11600"/>
    <s v="Direct beneficiaries are farmers, vulenarabel women, community leaders and extension workers. Indirect are households benefiting from improved food security .The indirect beneficiaries are calculated by multiplying the number of direct beneficiaries by 8 (is the size of the household, and usually on an average 8 people per household is assumed).  ( as per the national statistics 2015 repot 49 % women and 51 % men)"/>
    <m/>
    <m/>
    <m/>
    <n v="0"/>
    <m/>
    <m/>
    <n v="0"/>
    <m/>
    <m/>
    <m/>
    <m/>
    <m/>
    <m/>
    <m/>
    <m/>
    <m/>
    <m/>
    <m/>
    <m/>
    <s v="YES"/>
    <m/>
    <m/>
    <m/>
    <m/>
    <m/>
    <m/>
    <m/>
    <m/>
    <m/>
    <m/>
    <m/>
    <m/>
    <m/>
    <m/>
    <m/>
    <s v="Yes"/>
    <m/>
    <m/>
    <m/>
    <m/>
    <m/>
    <m/>
    <m/>
    <m/>
    <m/>
    <m/>
    <m/>
    <m/>
    <m/>
    <m/>
    <m/>
    <m/>
    <m/>
    <m/>
    <m/>
    <m/>
    <m/>
    <m/>
    <m/>
    <m/>
    <n v="674"/>
    <n v="2337"/>
    <n v="3011"/>
    <n v="11803"/>
    <n v="12285"/>
    <n v="24088"/>
    <s v="YES"/>
    <n v="239"/>
    <n v="0"/>
    <n v="1912"/>
    <m/>
    <m/>
    <m/>
    <m/>
    <m/>
    <m/>
    <m/>
    <m/>
    <m/>
    <m/>
    <m/>
    <m/>
    <m/>
    <m/>
    <m/>
    <m/>
    <m/>
    <m/>
    <m/>
    <m/>
    <s v="YES"/>
    <n v="50"/>
    <n v="1"/>
    <n v="400"/>
    <m/>
    <m/>
    <m/>
    <m/>
    <m/>
    <m/>
    <m/>
    <m/>
    <m/>
    <m/>
    <m/>
    <m/>
    <s v="YES"/>
    <n v="1850"/>
    <n v="0"/>
    <n v="14800"/>
    <m/>
    <m/>
    <m/>
    <m/>
    <s v="YES"/>
    <n v="780"/>
    <n v="0.68"/>
    <n v="6240"/>
    <m/>
    <m/>
    <m/>
    <m/>
    <m/>
    <m/>
    <m/>
    <m/>
    <s v="YES"/>
    <n v="92"/>
    <n v="1"/>
    <n v="736"/>
    <m/>
    <m/>
    <m/>
    <m/>
    <m/>
    <s v="NO"/>
    <m/>
    <m/>
    <m/>
    <s v="YES"/>
    <s v="December"/>
    <n v="2017"/>
    <s v="Final evaluation"/>
    <x v="1"/>
    <s v="NO"/>
    <s v="YES"/>
    <s v="YES"/>
    <s v="YES"/>
    <s v="NO"/>
    <s v="NO"/>
    <s v="NO"/>
    <m/>
    <m/>
    <x v="0"/>
    <m/>
    <x v="0"/>
    <m/>
    <x v="0"/>
    <x v="0"/>
    <s v="YES"/>
    <x v="0"/>
    <x v="0"/>
    <x v="0"/>
    <x v="0"/>
    <n v="4"/>
    <x v="1"/>
    <x v="1"/>
    <x v="1"/>
    <x v="1"/>
    <x v="1"/>
    <x v="1"/>
    <n v="4"/>
    <x v="1"/>
    <x v="1"/>
    <x v="1"/>
    <x v="1"/>
    <x v="1"/>
    <n v="3"/>
    <x v="2"/>
    <x v="1"/>
    <m/>
    <m/>
    <m/>
    <m/>
    <x v="2"/>
    <s v="Solidarity Groups (Women have membership only) are established and capacitated in terms of women/human rights, gender, conflict resolution, child protection, leadership in order to engage in decision making at household and community level. At the same time community leaders and influential trained on the same topics to make the decision making process more inclusive.  "/>
    <s v="At the beginning, the expected number of Common Intrest Groups to be estalbishe was 30, but due to less interests of farmers project could established 10 CIG and just worked with these established groups."/>
    <s v="Distributing improved wheat seeds to farmers and conducting Farmer Field School are the most effective activities of project. As the agriculture sectors in Afghanistan is not improved, still farmers have used the old methods of cultivations, and are not aware about the modern practices regarding irrigation, cultivation and harvesting of plants;  in addition of distributing improved wheat seeds, project gather methods and concepts from different areas such as agroecology and community development, so farmers will be able to reduce their capacity and knowledge which leads to empowerment of farmers, integrate their own experience and information with the new methods and concept,  make a decision collectively,  improves self-confidence of farmers and improved the sustainability of crops.  "/>
    <s v="VSLA activity eases better access of women to financial resources due to their membership in VSLA groups; it enhances Self-support, self-confidential and their participation in decision making process of household. VSLA activity supports development of micro economic activities among the target areas and decreases vulnerability of target households and mitigates impact of shocks by improving their socio-economic status in their community."/>
    <s v="Solidarity group also contributes to achieve objective of project which is increase influence of vulnerable people in decision making process of community. this goal achieved by conducting training and improving public awareness regarding different issues such as child rights, women rights and community advocacy. It gives a chance to marginalized members of community to share their idea and problems with the community."/>
    <s v="in some case livestock beneficiaries sold their livestock due to the tight financial status of their family and problem of preparing food for their livestock during winter, so selection of beneficiaries should be done properly and the selected beneficiaires at least should be able to prepare fodder for the animal in order to prevent such a evnet in future."/>
    <s v="in some demo plot weeding has not done properlay due to famer's lack of attention so staffs and famrers jointly decided to hire labour to remove weeds mechanically."/>
    <m/>
    <m/>
    <s v="Proposal, logfram, baseline survey , report and assessment."/>
    <n v="3011"/>
    <n v="24088"/>
    <n v="8"/>
    <n v="0.22384589837263369"/>
    <n v="0.48999501826635672"/>
    <n v="674"/>
    <n v="11803"/>
    <n v="1"/>
    <n v="0"/>
    <n v="0"/>
    <s v=""/>
    <n v="1"/>
    <n v="239"/>
    <n v="1912"/>
    <n v="8"/>
    <s v=""/>
    <n v="0"/>
    <n v="0"/>
    <s v=""/>
    <s v=""/>
    <n v="0"/>
    <n v="0"/>
    <s v=""/>
    <n v="1"/>
    <n v="92"/>
    <n v="736"/>
    <n v="8"/>
    <s v="2. Sensitive"/>
    <s v="2. Accommodating"/>
    <s v="2. Sensitive"/>
    <s v="It did not develop any specific innovation"/>
    <s v="Moderate advocacy"/>
    <s v="It did not take tested solutions to scale"/>
  </r>
  <r>
    <x v="0"/>
    <x v="0"/>
    <n v="3515"/>
    <s v="Responsive and Accountable Processes for Inclusive Development(RAPID)"/>
    <s v="Afghanistan"/>
    <s v="CGBRAF0023,CGBRAF0024, GB510"/>
    <s v="CARE UK"/>
    <s v="Other"/>
    <s v="EU - European Union (other than ECHO)"/>
    <s v="EuropeAid / DEVCO"/>
    <m/>
    <m/>
    <m/>
    <m/>
    <m/>
    <m/>
    <m/>
    <m/>
    <m/>
    <m/>
    <m/>
    <m/>
    <m/>
    <m/>
    <m/>
    <m/>
    <m/>
    <m/>
    <m/>
    <m/>
    <m/>
    <m/>
    <m/>
    <m/>
    <m/>
    <m/>
    <m/>
    <m/>
    <m/>
    <m/>
    <m/>
    <m/>
    <m/>
    <m/>
    <m/>
    <m/>
    <m/>
    <m/>
    <m/>
    <m/>
    <m/>
    <m/>
    <m/>
    <m/>
    <m/>
    <d v="2016-01-01T00:00:00"/>
    <d v="2018-12-31T00:00:00"/>
    <m/>
    <s v="Development Other"/>
    <n v="516358"/>
    <s v="Gulzamir Haqbayan"/>
    <s v="Program Manager"/>
    <s v="Gulzamir.Haqbayan@care.org"/>
    <s v="Mohammad Wakil"/>
    <s v="Sr. Program Coordinator"/>
    <s v="mwakil@care.org"/>
    <s v="NO"/>
    <s v="YES"/>
    <s v="NO"/>
    <s v="To create an enabling environment for inclusive civil society, responsive development and improved accountability between local power holders and communities  "/>
    <s v="Sub-National"/>
    <s v="Parwan &amp; Balkh Provinces"/>
    <s v="Community Development Council,  Community Participatory Monitoring,  Traditional leaders, School Management Committee, Women Committee, local authorities"/>
    <n v="350"/>
    <n v="510"/>
    <n v="860"/>
    <n v="13720"/>
    <n v="14280"/>
    <n v="28000"/>
    <s v="Direct participants include civil society groups (local entities) and community members and local authorities who benefit from the project capacity building activities (training) and social accountability processes (Community Score Card and Social Audit). Since, local entities and CSOs are working for the entire community, and the social accountability mechanisms are also for the whole community therefore, the community pupolation calcuated as indirect beneficiaries.   ( as per the national statistics 2015 repot 49 % women and 51 % men)"/>
    <m/>
    <m/>
    <m/>
    <n v="0"/>
    <m/>
    <m/>
    <n v="0"/>
    <m/>
    <m/>
    <m/>
    <m/>
    <m/>
    <m/>
    <m/>
    <m/>
    <m/>
    <m/>
    <m/>
    <m/>
    <m/>
    <m/>
    <m/>
    <m/>
    <m/>
    <m/>
    <m/>
    <m/>
    <m/>
    <m/>
    <m/>
    <m/>
    <m/>
    <m/>
    <m/>
    <m/>
    <m/>
    <m/>
    <m/>
    <m/>
    <m/>
    <m/>
    <m/>
    <m/>
    <m/>
    <m/>
    <m/>
    <m/>
    <m/>
    <m/>
    <m/>
    <m/>
    <m/>
    <m/>
    <m/>
    <m/>
    <m/>
    <m/>
    <m/>
    <m/>
    <m/>
    <n v="336"/>
    <n v="487"/>
    <n v="823"/>
    <n v="13132"/>
    <n v="13667"/>
    <n v="26799"/>
    <m/>
    <m/>
    <m/>
    <m/>
    <m/>
    <m/>
    <m/>
    <m/>
    <m/>
    <m/>
    <m/>
    <m/>
    <m/>
    <m/>
    <m/>
    <m/>
    <m/>
    <m/>
    <m/>
    <m/>
    <m/>
    <m/>
    <m/>
    <m/>
    <m/>
    <m/>
    <m/>
    <m/>
    <m/>
    <m/>
    <m/>
    <m/>
    <s v="YES"/>
    <n v="752"/>
    <n v="0.43"/>
    <n v="24440"/>
    <m/>
    <m/>
    <m/>
    <m/>
    <m/>
    <m/>
    <m/>
    <m/>
    <m/>
    <m/>
    <m/>
    <m/>
    <s v="YES"/>
    <n v="823"/>
    <n v="0.40826245443499298"/>
    <n v="26799"/>
    <m/>
    <m/>
    <m/>
    <m/>
    <m/>
    <m/>
    <m/>
    <m/>
    <m/>
    <m/>
    <m/>
    <m/>
    <m/>
    <m/>
    <m/>
    <m/>
    <m/>
    <s v="YES"/>
    <s v="August"/>
    <n v="2016"/>
    <s v="YES"/>
    <s v="YES"/>
    <s v="June"/>
    <n v="2018"/>
    <s v="Local entity Capacity assessment conducted in August 2016. Institutional Majurity Index (IMI) baseline is going to be conducted in septmber 17. Social Audit and Community Scorecard are also going to be conducted in FY 18"/>
    <x v="1"/>
    <s v="NO"/>
    <s v="NO"/>
    <s v="NO"/>
    <s v="YES"/>
    <s v="YES"/>
    <s v="YES"/>
    <s v="NO"/>
    <s v="YES"/>
    <s v="Take community problems into local authorities with Community members to influence local authorities to take action in their planning process"/>
    <x v="2"/>
    <s v="The project attempts to create vertical linkage between local entities and local authorities. The project also innovate to implement Community Score Card and Social Audit in the targeted communities and will measured results."/>
    <x v="1"/>
    <s v="The project is implemented in partnership with local NGO in order to reach targeted groups properly for the effective implementation of the activities."/>
    <x v="0"/>
    <x v="0"/>
    <s v="YES"/>
    <x v="0"/>
    <x v="0"/>
    <x v="1"/>
    <x v="1"/>
    <n v="3"/>
    <x v="1"/>
    <x v="1"/>
    <x v="1"/>
    <x v="1"/>
    <x v="1"/>
    <x v="1"/>
    <n v="4"/>
    <x v="1"/>
    <x v="2"/>
    <x v="1"/>
    <x v="1"/>
    <x v="3"/>
    <n v="2"/>
    <x v="2"/>
    <x v="3"/>
    <n v="1"/>
    <s v="Local NGO(s)/CSO(s)"/>
    <m/>
    <m/>
    <x v="0"/>
    <s v="1. Strengthening the capacity of the local CSO (grassroot entities) in all targeted communities _x000a_2. Enhance community based groups roles in local decision-making processes and monitoring service delivery _x000a_3. Engage Local entities in social accountability mechanisms"/>
    <m/>
    <s v="Capacity building of local entiies"/>
    <s v="Aweraness raising, Coordination meeting among the local entities."/>
    <s v="Community scorecard and Social Audit"/>
    <s v="As most of the local entities are illiterate, Project staff have used visual material for better understanding of the topic. It was realized that for any new project, the level education of the target groups should be considered and the activities should be aligned with."/>
    <s v="Community Scorecard was a new activities, and it was learned that some power holders do not have good feeling. However, project continue to mobilize power holders and community to make them well prepared for CSC processes."/>
    <m/>
    <s v="during the reporting period Project team did good job in term of implementation of the porject, the project team both (Balkh and Parwan) has organized:_x000a_- Trianing session on Human/Women rights friom Islamic Prospective_x000a_- Training sesssion on Effective Communication_x000a_-  Monthly Coordiantiono meeting at communiy level_x000a_-  Quarterly coordination meeting at District level_x000a_- Cross community learning visit _x000a_- Commencing Community Scorecard, Social Audit and IMI in this year."/>
    <s v="Proposal, logfram, report"/>
    <n v="823"/>
    <n v="26799"/>
    <n v="32.562575941676791"/>
    <n v="0.40826245443499393"/>
    <n v="0.49001828426433824"/>
    <n v="336"/>
    <n v="13132"/>
    <s v=""/>
    <n v="0"/>
    <n v="0"/>
    <s v=""/>
    <s v=""/>
    <n v="0"/>
    <n v="0"/>
    <s v=""/>
    <s v=""/>
    <n v="0"/>
    <n v="0"/>
    <s v=""/>
    <s v=""/>
    <n v="0"/>
    <n v="0"/>
    <s v=""/>
    <s v=""/>
    <n v="0"/>
    <n v="0"/>
    <s v=""/>
    <s v="1. Neutral"/>
    <s v="2. Accommodating"/>
    <s v="1. Neutral"/>
    <s v="It tested new ways for fighting poverty and measured results of innovation"/>
    <s v="Moderate advocacy"/>
    <s v="It linked and worked with strategic alliances and partners to take tested and effective solutions to scale"/>
  </r>
  <r>
    <x v="0"/>
    <x v="0"/>
    <n v="3522"/>
    <s v="Steps Towards Afghan Girls' Educational Success (STAGES)"/>
    <s v="Afghanistan"/>
    <s v="CAUSAF0029, GB225"/>
    <s v="CARE UK"/>
    <s v="Government"/>
    <s v="Government - UK"/>
    <s v="DFID"/>
    <m/>
    <m/>
    <m/>
    <m/>
    <m/>
    <m/>
    <m/>
    <m/>
    <m/>
    <m/>
    <m/>
    <m/>
    <m/>
    <m/>
    <m/>
    <m/>
    <m/>
    <m/>
    <m/>
    <m/>
    <m/>
    <m/>
    <m/>
    <m/>
    <m/>
    <m/>
    <m/>
    <m/>
    <m/>
    <m/>
    <m/>
    <m/>
    <m/>
    <m/>
    <m/>
    <m/>
    <m/>
    <m/>
    <m/>
    <m/>
    <m/>
    <m/>
    <m/>
    <m/>
    <m/>
    <d v="2013-06-27T00:00:00"/>
    <d v="2016-12-31T00:00:00"/>
    <d v="2021-03-31T00:00:00"/>
    <s v="Development Other"/>
    <n v="13372972.529999999"/>
    <s v="Wahidullah Wahid"/>
    <s v="Sr.Program Coordinator"/>
    <s v="wahidullah.wahid@care.org"/>
    <s v="Abdul Naser Salamyar"/>
    <s v="Project Manager"/>
    <s v="naser.salamyar@care.org"/>
    <s v="NO"/>
    <s v="YES"/>
    <s v="NO"/>
    <s v="The project aims to transform the educational status of marginalised girls in a number of communities across 14 provinces of Afghanistan through improved access to a flexible range of quality education options, equipping girls and young women with the knowledge, skills and confidence to become future models and advocates of girls education and contributing members of Afghan society. CARE IMPLEMENTS THIS PROJECT IN 5 PROVINCES (SEE BELOW)."/>
    <s v="National"/>
    <s v="Country: Afghanistan, Province: Kapisa, Khost, Parwan, Paktya and Ghazni, District: Mahmud Raqi, Kohband, Hisa-i-Awal Kohestan, Hisa-i-Dowum Kohestan, Matun, Mandozayi, Tani, Nader Shah Kot, Gurbuz, Chaharikar, Jabalussaraj, Bagram, Gardez, Ghazni Center."/>
    <s v="Children and adults (both girls and boys) WITH A PARTICULAR FOCUS ON GIRLS' EDUCATIONAL EXPERIENCE"/>
    <n v="8042"/>
    <n v="2549"/>
    <n v="10591"/>
    <n v="36327"/>
    <n v="37810"/>
    <n v="74137"/>
    <s v="Direct participants include students, teachers and  members of School Management Committees (SMC). Indirect participants are the family members of the direct beneficiaries. Multiplying the number of direct beneficiaries ( students, teachers and members of SMC) by the size of the household (on an average 7 people per household). ( as per the national statistics 2015 repot 49 % women and 51 % men)"/>
    <m/>
    <m/>
    <m/>
    <n v="0"/>
    <m/>
    <m/>
    <n v="0"/>
    <m/>
    <m/>
    <m/>
    <m/>
    <m/>
    <m/>
    <m/>
    <m/>
    <m/>
    <m/>
    <m/>
    <m/>
    <m/>
    <m/>
    <m/>
    <m/>
    <m/>
    <m/>
    <m/>
    <m/>
    <m/>
    <m/>
    <m/>
    <m/>
    <m/>
    <m/>
    <m/>
    <m/>
    <m/>
    <m/>
    <m/>
    <m/>
    <m/>
    <m/>
    <m/>
    <m/>
    <m/>
    <m/>
    <m/>
    <m/>
    <m/>
    <m/>
    <m/>
    <m/>
    <m/>
    <m/>
    <m/>
    <m/>
    <m/>
    <m/>
    <m/>
    <m/>
    <m/>
    <n v="6832"/>
    <n v="2677"/>
    <n v="9509"/>
    <n v="32616"/>
    <n v="33947"/>
    <n v="66563"/>
    <m/>
    <m/>
    <m/>
    <m/>
    <m/>
    <m/>
    <m/>
    <m/>
    <s v="YES"/>
    <n v="807"/>
    <n v="0.37"/>
    <n v="5649"/>
    <m/>
    <m/>
    <m/>
    <m/>
    <s v="YES"/>
    <n v="287"/>
    <n v="0.28000000000000003"/>
    <n v="2009"/>
    <s v="YES"/>
    <n v="9125"/>
    <n v="0.75"/>
    <n v="63875"/>
    <m/>
    <m/>
    <m/>
    <m/>
    <s v="YES"/>
    <n v="1094"/>
    <n v="0.34"/>
    <n v="7658"/>
    <s v="YES"/>
    <n v="1094"/>
    <n v="0.34"/>
    <n v="7658"/>
    <m/>
    <m/>
    <m/>
    <m/>
    <m/>
    <m/>
    <m/>
    <m/>
    <m/>
    <m/>
    <m/>
    <m/>
    <s v="YES"/>
    <n v="807"/>
    <n v="0.37"/>
    <n v="5649"/>
    <m/>
    <m/>
    <m/>
    <m/>
    <m/>
    <m/>
    <m/>
    <m/>
    <s v="YES"/>
    <n v="80"/>
    <n v="1"/>
    <n v="560"/>
    <m/>
    <m/>
    <m/>
    <m/>
    <m/>
    <s v="YES"/>
    <s v="January"/>
    <n v="2017"/>
    <s v="NO"/>
    <s v="YES"/>
    <s v="October"/>
    <n v="2017"/>
    <s v="The first phase of the project is closed already"/>
    <x v="1"/>
    <s v="NO"/>
    <s v="YES"/>
    <s v="YES"/>
    <s v="YES"/>
    <s v="YES"/>
    <s v="YES"/>
    <s v="YES"/>
    <m/>
    <m/>
    <x v="0"/>
    <m/>
    <x v="1"/>
    <s v="Regular coordination meetings and also joints visits with Ministry of Education (MoE) representatives such as provincial education departments and district education departments. Regular social audit sessions with key stakehoders at community level such as SMC, local govenment authorities, community elders, community influentials and students parents."/>
    <x v="1"/>
    <x v="0"/>
    <s v="YES"/>
    <x v="0"/>
    <x v="0"/>
    <x v="0"/>
    <x v="0"/>
    <n v="4"/>
    <x v="1"/>
    <x v="1"/>
    <x v="1"/>
    <x v="1"/>
    <x v="1"/>
    <x v="1"/>
    <n v="4"/>
    <x v="1"/>
    <x v="1"/>
    <x v="1"/>
    <x v="1"/>
    <x v="1"/>
    <n v="3"/>
    <x v="2"/>
    <x v="1"/>
    <m/>
    <m/>
    <m/>
    <m/>
    <x v="0"/>
    <s v="Establishment of SMCs helps CARE to monitor the activities of community based classes and lower secondary community based education classes to effectively implement their activities. The SMCs also advocates for girls' rights to education at community level"/>
    <m/>
    <m/>
    <m/>
    <m/>
    <s v="Lessons learned 1: Most of the teachers used to apply specific theoretical methods of teaching science subject. This includes several methods of teaching science within traditional form.  As a result of this teaching methodologies, students were only learning theories and concepts, many of which were difficult to understand. In addition, in most of communities the literacy rate is low and expecting parents and community people to help their children is unrealistic. _x000a_As part of library enhancement activity and to help students learn science subjects and experiment more efficiently in each session, project staff equipped already all existing libraries with 246 laboratories across five provinces. Project procured and equipped libraries with materials including chairs, desks, human body model, microscopes, different kinds of posters andetc. In addition during the reporting quarter project staff remained to place strong emphasis on teachers capacity building and delivered a training on how to utilize laboratory materials while teaching of science subjects for all CBE teachers across five target provinces. _x000a_Now, STAGES CBE students enjoy having access to more learning materials and using lab-materials for Biology, Chemistry and Physics subject experiments. As a consequence, students enhanced their knowledge of science concepts and engaged in team works for virtual experience on scientific matters. By more practical learning students observe and understand better new concepts. It is realized that, the advantages of theoretical and practical learning is much high and important for science subject teaching and learning by doing helps students perform better in science"/>
    <s v="Lessones learned 2: Winter activity is a CARE initiative that offers students and teachers to explore opportunities for activities that contribute to enhance further learning and preparedness for next academic year. Project staff conducted regular visits from CBE classes as well as they provided students with necessary materials for winter activities. However during first year of project implementation, project faced with lack of monitoring visits from PED in Paktya province. In response, CARE planned to share this concern with PED staff through sectorial meetings. This was a good opportunity for project staff to review project challenges and find a proper solution accordingly; likewise project staff discussed with PED staff on winter activities with specific aim to broaden their knowledge on components and outcomes of winter activity. As a result, MOE staff were encouraged and motivated to conduct monitoring visits and determine how well the winter activities are going on within CBE classes. This is a significant outcome to ensure quality control measures."/>
    <s v="Lesssons learned 3: The CBE primary classes established in the first year of project implementation, have now been upgraded to grade four with a greater number of school subjects. Based on the projects initial design, CARE considered that one teacher per class would be responsible for teaching all subjects. In one of the communities, it has been reported that the school teacher has difficulty in teaching math. In spite of the subject upgrading training and on the job mentoring delivered by the trainers, some of the school teachers continue to have problems in teaching math. In consequence, project staff explored an alternate solution to solve the issue and noticed that there are two CBE classes in one community. Project trainers held a meeting with both school teachers and made an agreement that the teacher for the boys' class who has good math skills would teach the math subject to the girls class, while the teacher for the girls class with weaker math skills in turn would teach Dari language to the boys class. In addition to that, the teacher with better math skills should work with his colleague during the school breaks for a certain period in order to improve his math skills. After the first month, it is observed, that the CBE teacher for the girls class had improved his math skills as per basic competency indicators for math and his certain academic difficulties in math had been solved. He applies the same teaching method as the teacher for the boys class and can now teach math well. In upper primary grades, the number of school subjects increases and it would be difficult for one school teacher to manage all and have expertise in all subjects. Therefore, the project should consider one full time paid teacher and one assistant (paid half of the full salary) for upper primary grade classes in the next phase of the project. In this case, the teacher with better math skills cooperated with the teacher who had difficulties in teaching math for a period of around two months, which helped the project solve the issue through the use of the available capacities and resources. The project will manage certain issues in this way in communities where there are two or more CBE classes but it does not seem to be a long term solution and applicable in communities with only one CBE class. Therefore, we suggest considering one full time teacher and one assistant for upper primary grades in the next phase of the project."/>
    <m/>
    <s v="Proposal, logfram,  baseline, midline and endline assessment reports and other project solid reports"/>
    <n v="9509"/>
    <n v="66563"/>
    <n v="7"/>
    <n v="0.71847723209590919"/>
    <n v="0.49000195303697247"/>
    <n v="6832"/>
    <n v="32616"/>
    <s v=""/>
    <n v="0"/>
    <n v="0"/>
    <s v=""/>
    <n v="1"/>
    <n v="287"/>
    <n v="2009"/>
    <n v="7"/>
    <s v=""/>
    <n v="0"/>
    <n v="0"/>
    <s v=""/>
    <n v="1"/>
    <n v="1094"/>
    <n v="7658"/>
    <n v="7"/>
    <n v="1"/>
    <n v="80.360000000000014"/>
    <n v="562.5200000000001"/>
    <n v="7"/>
    <s v="2. Sensitive"/>
    <s v="2. Accommodating"/>
    <s v="2. Sensitive"/>
    <s v="It did not develop any specific innovation"/>
    <s v="Moderate advocacy"/>
    <s v="It linked and worked with strategic alliances and partners to take tested and effective solutions to scale"/>
  </r>
  <r>
    <x v="0"/>
    <x v="0"/>
    <n v="3531"/>
    <s v="Strengthening the Widows Association for Advocacy in Afghanistan"/>
    <s v="Afghanistan"/>
    <s v="CNORAF0012, NO158"/>
    <s v="CARE Norge"/>
    <s v="Government"/>
    <s v="Government - Norway"/>
    <s v="NORAD"/>
    <m/>
    <m/>
    <m/>
    <m/>
    <m/>
    <m/>
    <m/>
    <m/>
    <m/>
    <m/>
    <m/>
    <m/>
    <m/>
    <m/>
    <m/>
    <m/>
    <m/>
    <m/>
    <m/>
    <m/>
    <m/>
    <m/>
    <m/>
    <m/>
    <m/>
    <m/>
    <m/>
    <m/>
    <m/>
    <m/>
    <m/>
    <m/>
    <m/>
    <m/>
    <m/>
    <m/>
    <m/>
    <m/>
    <m/>
    <m/>
    <m/>
    <m/>
    <m/>
    <m/>
    <m/>
    <d v="2015-12-08T00:00:00"/>
    <d v="2016-12-31T00:00:00"/>
    <d v="2017-12-31T00:00:00"/>
    <s v="Development Other"/>
    <n v="1459512"/>
    <s v="Wahidullah Wahid"/>
    <s v="Sr.Program Coordinator"/>
    <s v="wahidullah.wahid@care.org"/>
    <s v="Saeeda Serat"/>
    <s v="Deputy Project Manager"/>
    <s v="Saeeda.serat@care.org"/>
    <s v="NO"/>
    <s v="YES"/>
    <s v="NO"/>
    <s v="To strengthen the WAFAA (Women Association for Advoacay in Afghanistan) to effectively monitor, report on and participate in decision making processes around Women Peace &amp; Security concerns at policy level"/>
    <s v="Sub-National"/>
    <s v="Country: Afghanistan, Province: Kabul (1th, 5th, 6th, 7th, 8th, 13th, 16th sub-districts) and Bagrami, Mirbacha Kot districts."/>
    <s v="Female-headed households, Widows, marginalize girls and men."/>
    <n v="10824"/>
    <n v="302400"/>
    <n v="313224"/>
    <n v="37126"/>
    <n v="38642"/>
    <n v="75768"/>
    <s v="Direct participants include widows and women headed household. The indirect beneficiaries are calculated by multiplying the number of direct beneficiaries by 7 (is the size of the household, and usually on an average 7 people per household is assumed).  ( as per the national statistics 2015 repot 49 % women and 51 % men)"/>
    <m/>
    <m/>
    <m/>
    <n v="0"/>
    <m/>
    <m/>
    <n v="0"/>
    <m/>
    <m/>
    <m/>
    <m/>
    <m/>
    <m/>
    <m/>
    <m/>
    <m/>
    <m/>
    <m/>
    <m/>
    <m/>
    <m/>
    <m/>
    <m/>
    <m/>
    <m/>
    <m/>
    <m/>
    <m/>
    <m/>
    <m/>
    <m/>
    <m/>
    <m/>
    <m/>
    <m/>
    <m/>
    <m/>
    <m/>
    <m/>
    <m/>
    <m/>
    <m/>
    <m/>
    <m/>
    <m/>
    <m/>
    <m/>
    <m/>
    <m/>
    <m/>
    <m/>
    <m/>
    <m/>
    <m/>
    <m/>
    <m/>
    <m/>
    <m/>
    <m/>
    <m/>
    <n v="2842"/>
    <n v="302400"/>
    <n v="305242"/>
    <n v="9748"/>
    <n v="1089714"/>
    <n v="1099462"/>
    <m/>
    <m/>
    <m/>
    <m/>
    <m/>
    <m/>
    <m/>
    <m/>
    <m/>
    <m/>
    <m/>
    <m/>
    <m/>
    <m/>
    <m/>
    <m/>
    <s v="YES"/>
    <n v="2247"/>
    <n v="1"/>
    <n v="15729"/>
    <m/>
    <m/>
    <m/>
    <m/>
    <m/>
    <m/>
    <m/>
    <m/>
    <s v="YES"/>
    <n v="2842"/>
    <n v="1"/>
    <n v="19894"/>
    <s v="YES"/>
    <n v="305242"/>
    <n v="7.0000000000000007E-2"/>
    <n v="1099462"/>
    <m/>
    <m/>
    <m/>
    <m/>
    <m/>
    <m/>
    <m/>
    <m/>
    <m/>
    <m/>
    <m/>
    <m/>
    <s v="YES"/>
    <n v="38"/>
    <n v="1"/>
    <n v="266"/>
    <m/>
    <m/>
    <m/>
    <m/>
    <m/>
    <m/>
    <m/>
    <m/>
    <s v="YES"/>
    <n v="2247"/>
    <n v="1"/>
    <n v="15729"/>
    <m/>
    <m/>
    <m/>
    <m/>
    <m/>
    <s v="YES"/>
    <s v="October"/>
    <n v="2016"/>
    <s v="NO"/>
    <s v="YES"/>
    <s v="December"/>
    <n v="2017"/>
    <m/>
    <x v="2"/>
    <s v="NO"/>
    <s v="YES"/>
    <s v="YES"/>
    <s v="YES"/>
    <s v="YES"/>
    <s v="YES"/>
    <s v="YES"/>
    <m/>
    <m/>
    <x v="0"/>
    <m/>
    <x v="1"/>
    <s v="strenghtened linkages among Kabul Women Association (KWA), MoWA, national and international organisation working for women rights. The said alliance conducted number of trainings and orientation sessions for KWA, and have provide technical support in solving and referrring GBV casses."/>
    <x v="2"/>
    <x v="1"/>
    <s v="YES"/>
    <x v="0"/>
    <x v="0"/>
    <x v="0"/>
    <x v="2"/>
    <n v="4"/>
    <x v="1"/>
    <x v="1"/>
    <x v="1"/>
    <x v="1"/>
    <x v="1"/>
    <x v="1"/>
    <n v="4"/>
    <x v="1"/>
    <x v="1"/>
    <x v="1"/>
    <x v="1"/>
    <x v="1"/>
    <n v="3"/>
    <x v="2"/>
    <x v="1"/>
    <m/>
    <m/>
    <m/>
    <m/>
    <x v="0"/>
    <s v="Provided capacity building trainings (leadership, time management, decision making, effective problem solving and others ),Technical (registering the association with the government, linking the association with other parties, such as government ministries, other CSOs and NGOs) and financial support (Establishment of VSLAs and distribution of livestock to the most needy women) to Kabul Women Association (KWA)"/>
    <m/>
    <s v="Working through close coordintation with the government"/>
    <s v="Inclusion of 38 champions of KWA in most of the project activities"/>
    <m/>
    <s v="Inclusion of male local leaders and male family members of beneficiaries directed the advocacy efforts of women  to success and resulted to fully participation of them to project activities"/>
    <s v="Inclusion of income generation activities with advocacy efforts"/>
    <m/>
    <s v="In initial phase of the project worked with men to pave the opportunities for improvement of women right advocacy efforts. Meanwhile, men indirectly support the project and regular participation of women in project prove the support of men."/>
    <s v="Proposal, result framework, Project MIS."/>
    <n v="305242"/>
    <n v="1099462"/>
    <n v="3.6019355134614504"/>
    <n v="9.3106453240379763E-3"/>
    <n v="8.8661545374010206E-3"/>
    <n v="2842"/>
    <n v="9748"/>
    <s v=""/>
    <n v="0"/>
    <n v="0"/>
    <s v=""/>
    <n v="1"/>
    <n v="2247"/>
    <n v="15729"/>
    <n v="7"/>
    <s v=""/>
    <n v="0"/>
    <n v="0"/>
    <s v=""/>
    <n v="1"/>
    <n v="2842"/>
    <n v="19894"/>
    <n v="7"/>
    <n v="1"/>
    <n v="2247"/>
    <n v="15729"/>
    <n v="7"/>
    <s v="4. Transformative"/>
    <s v="2. Accommodating"/>
    <s v="2. Sensitive"/>
    <s v="It did not develop any specific innovation"/>
    <s v="Intensive advocacy"/>
    <s v="It linked and worked with strategic alliances and partners to take tested and effective solutions to scale"/>
  </r>
  <r>
    <x v="0"/>
    <x v="0"/>
    <n v="3517"/>
    <s v="University Scholarship Fund for LSCBE Students"/>
    <s v="Afghanistan"/>
    <s v="HUSCAF0011, US1OA, HUSCAF0013,US1X8"/>
    <s v="CARE USA"/>
    <s v="Individual supporter"/>
    <s v="Other"/>
    <s v="Justin &quot;Dusty&quot; Huscher"/>
    <m/>
    <m/>
    <m/>
    <m/>
    <m/>
    <m/>
    <m/>
    <m/>
    <m/>
    <m/>
    <m/>
    <m/>
    <m/>
    <m/>
    <m/>
    <m/>
    <m/>
    <m/>
    <m/>
    <m/>
    <m/>
    <m/>
    <m/>
    <m/>
    <m/>
    <m/>
    <m/>
    <m/>
    <m/>
    <m/>
    <m/>
    <m/>
    <m/>
    <m/>
    <m/>
    <m/>
    <m/>
    <m/>
    <m/>
    <m/>
    <m/>
    <m/>
    <m/>
    <m/>
    <m/>
    <d v="2017-04-01T00:00:00"/>
    <d v="2018-03-31T00:00:00"/>
    <m/>
    <s v="Development Other"/>
    <n v="148664"/>
    <s v="Wahidullah Wahid"/>
    <s v="Sr.Program Coordinator"/>
    <s v="wahidullah.wahid@care.org"/>
    <s v="Azizullah Nadiri"/>
    <s v="Project  Manager"/>
    <s v="azizullah.nadiri@care.org"/>
    <s v="NO"/>
    <s v="YES"/>
    <s v="NO"/>
    <s v="The main goal of the project is support to those universities  girls students  who completed LSCBE and continue higher education in government school up to g12th  then continue their education at private universities or colleges."/>
    <s v="Sub-National"/>
    <s v="Country: Afghanistan, Province:Khost,  District: Center, Matun, Tani, Mando Zai, Nadir shah kot"/>
    <s v="Students and their families"/>
    <n v="97"/>
    <n v="0"/>
    <n v="97"/>
    <n v="333"/>
    <n v="346"/>
    <n v="679"/>
    <s v="Direct participants include students. Indirect participants are the family members of the direct beneficiaries. Multiplying the number of direct beneficiaries by the size of the household on an average of 7 people per household.  ( as per the national statistics 2015 repot 49 % women and 51 % men)"/>
    <m/>
    <m/>
    <m/>
    <n v="0"/>
    <m/>
    <m/>
    <n v="0"/>
    <m/>
    <m/>
    <m/>
    <m/>
    <m/>
    <m/>
    <m/>
    <m/>
    <m/>
    <m/>
    <m/>
    <m/>
    <m/>
    <m/>
    <m/>
    <m/>
    <m/>
    <m/>
    <m/>
    <m/>
    <m/>
    <m/>
    <m/>
    <m/>
    <m/>
    <m/>
    <m/>
    <m/>
    <m/>
    <m/>
    <m/>
    <m/>
    <m/>
    <m/>
    <m/>
    <m/>
    <m/>
    <m/>
    <m/>
    <m/>
    <m/>
    <m/>
    <m/>
    <m/>
    <m/>
    <m/>
    <m/>
    <m/>
    <m/>
    <m/>
    <m/>
    <m/>
    <m/>
    <n v="97"/>
    <n v="0"/>
    <n v="97"/>
    <n v="333"/>
    <n v="346"/>
    <n v="679"/>
    <m/>
    <m/>
    <m/>
    <m/>
    <m/>
    <m/>
    <m/>
    <m/>
    <m/>
    <m/>
    <m/>
    <m/>
    <m/>
    <m/>
    <m/>
    <m/>
    <s v="YES"/>
    <n v="97"/>
    <n v="1"/>
    <n v="679"/>
    <s v="YES"/>
    <n v="97"/>
    <n v="1"/>
    <n v="679"/>
    <m/>
    <m/>
    <m/>
    <m/>
    <m/>
    <m/>
    <m/>
    <m/>
    <s v="YES"/>
    <n v="97"/>
    <n v="1"/>
    <n v="679"/>
    <m/>
    <m/>
    <m/>
    <m/>
    <m/>
    <m/>
    <m/>
    <m/>
    <m/>
    <m/>
    <m/>
    <m/>
    <s v="YES"/>
    <n v="97"/>
    <n v="1"/>
    <n v="679"/>
    <m/>
    <m/>
    <m/>
    <m/>
    <m/>
    <m/>
    <m/>
    <m/>
    <s v="YES"/>
    <n v="97"/>
    <n v="1"/>
    <n v="679"/>
    <m/>
    <m/>
    <m/>
    <m/>
    <m/>
    <s v="YES"/>
    <s v="June"/>
    <n v="2017"/>
    <s v="YES"/>
    <s v="YES"/>
    <s v="June"/>
    <n v="2018"/>
    <s v="Based on the project work plan a need assessment will be conducted for selecting New scholarship recipients  during June, 2018"/>
    <x v="1"/>
    <s v="YES"/>
    <s v="NO"/>
    <s v="YES"/>
    <s v="YES"/>
    <s v="YES"/>
    <s v="YES"/>
    <s v="NO"/>
    <m/>
    <m/>
    <x v="2"/>
    <s v="The project provide scholarship opportunity for girls to complete their higher education, through intervention. The students will be able to complete their higher education and work as a midwife nurse, doctor, teacher and etc at their rural and remote community. This will reduce their poverty level and will improve the education and health system in community.  "/>
    <x v="1"/>
    <s v="The project is closly working with private Universities and participate in events including graduation cermoney which direclty influence broader social change. CARE also contrubute to deeper and sustainaable impact by documenting  the successful model of scholarship project"/>
    <x v="1"/>
    <x v="0"/>
    <s v="YES"/>
    <x v="0"/>
    <x v="1"/>
    <x v="0"/>
    <x v="1"/>
    <n v="3"/>
    <x v="1"/>
    <x v="1"/>
    <x v="1"/>
    <x v="1"/>
    <x v="1"/>
    <x v="1"/>
    <n v="4"/>
    <x v="1"/>
    <x v="1"/>
    <x v="1"/>
    <x v="1"/>
    <x v="1"/>
    <n v="3"/>
    <x v="2"/>
    <x v="3"/>
    <n v="3"/>
    <s v="University/research institution(s)"/>
    <m/>
    <m/>
    <x v="0"/>
    <s v="provideing ongoing support to scholarship recipients through private universities and participating in events including teacher day, peace day and graduation ceremonies."/>
    <s v="Out of the total 40 graduted scholarship recipients 20 graduted recipients have managed to get jobs in the private and public sector, NGOs, clinics and hospitals. The remaining 20  graduates are currently undergoing practical training in the Khost governmental hospital and some private clinics. . After completion of the training, these graduates will be deployed to remote clinics and hospitals of Khost province to provide primary health care to women and newborns. The result indicates that, majority of scholarship graduates got job opportunities in Health Care and social work"/>
    <m/>
    <m/>
    <m/>
    <s v="According Ministry of Higher Education new policy, during this year the public University Exam result announced on 4 August, 2017, which caused some problem in scholarship operations and the team was not able to select the potential candidates at the beginning of academic year as in the previous years. Since announcement of the public universities the project team is working to finalize the scholarship exam result and introduce the potential candidates to private universities to continue their higher education."/>
    <m/>
    <m/>
    <m/>
    <s v="Proposal, logfram,option chart for selection of eligible students, report"/>
    <n v="97"/>
    <n v="679"/>
    <n v="7"/>
    <n v="1"/>
    <n v="0.49042709867452133"/>
    <n v="97"/>
    <n v="333"/>
    <s v=""/>
    <n v="0"/>
    <n v="0"/>
    <s v=""/>
    <n v="1"/>
    <n v="97"/>
    <n v="679"/>
    <n v="7"/>
    <s v=""/>
    <n v="0"/>
    <n v="0"/>
    <s v=""/>
    <s v=""/>
    <n v="0"/>
    <n v="0"/>
    <s v=""/>
    <n v="1"/>
    <n v="97"/>
    <n v="679"/>
    <n v="7"/>
    <s v="1. Neutral"/>
    <s v="2. Accommodating"/>
    <s v="2. Sensitive"/>
    <s v="It tested new ways for fighting poverty and measured results of innovation"/>
    <s v="Moderate advocacy"/>
    <s v="It linked and worked with strategic alliances and partners to take tested and effective solutions to scale"/>
  </r>
  <r>
    <x v="0"/>
    <x v="0"/>
    <n v="3536"/>
    <s v="Womens Income Generation through Livelihood Development"/>
    <s v="Afghanistan"/>
    <s v="BYNDAF0002, US683"/>
    <s v="CARE USA"/>
    <s v="Foundation"/>
    <s v="Other"/>
    <s v="Beyond the 11th Foundation"/>
    <m/>
    <m/>
    <m/>
    <m/>
    <m/>
    <m/>
    <m/>
    <m/>
    <m/>
    <m/>
    <m/>
    <m/>
    <m/>
    <m/>
    <m/>
    <m/>
    <m/>
    <m/>
    <m/>
    <m/>
    <m/>
    <m/>
    <m/>
    <m/>
    <m/>
    <m/>
    <m/>
    <m/>
    <m/>
    <m/>
    <m/>
    <m/>
    <m/>
    <m/>
    <m/>
    <m/>
    <m/>
    <m/>
    <m/>
    <m/>
    <m/>
    <m/>
    <m/>
    <m/>
    <m/>
    <d v="2013-08-01T00:00:00"/>
    <d v="2016-09-30T00:00:00"/>
    <m/>
    <s v="Development Access to and Control over Economic Resources"/>
    <n v="150000"/>
    <s v="Mohammad Wakil"/>
    <s v="Sr.Program Coordinator"/>
    <s v="mwakil@care.org"/>
    <s v="Saeeda Serat"/>
    <s v="Deputy Project Manager"/>
    <s v="Saeeda.serat@care.org"/>
    <s v="YES"/>
    <s v="YES"/>
    <s v="YES"/>
    <s v="To contribute to the economic development of vulnerable women through increasing women's income through establishing community based saving groups in Kabul district 6"/>
    <s v="Sub-National"/>
    <s v="Kabul City district 6"/>
    <s v="Widows and Female-headed household"/>
    <n v="200"/>
    <n v="200"/>
    <n v="400"/>
    <n v="1372"/>
    <n v="1428"/>
    <n v="2800"/>
    <s v="Direct participants include widows and women headed household who are benefiting directly from project interventions such trainings, membership of VSLA groups, literacy. The indirect beneficiaries are calculated by multiplying the number of direct beneficiaries by 6 (is the size of the household, and usually on an average 7 people per household is assumed). ( as per the national statistics 2015 repot 49 % women and 51 % men)"/>
    <m/>
    <m/>
    <m/>
    <n v="0"/>
    <m/>
    <m/>
    <n v="0"/>
    <m/>
    <m/>
    <m/>
    <m/>
    <m/>
    <m/>
    <m/>
    <m/>
    <m/>
    <m/>
    <m/>
    <m/>
    <s v="YES"/>
    <m/>
    <m/>
    <m/>
    <m/>
    <m/>
    <m/>
    <m/>
    <m/>
    <m/>
    <m/>
    <m/>
    <m/>
    <m/>
    <m/>
    <m/>
    <s v="Yes"/>
    <m/>
    <m/>
    <m/>
    <m/>
    <m/>
    <m/>
    <m/>
    <m/>
    <m/>
    <m/>
    <m/>
    <m/>
    <m/>
    <m/>
    <m/>
    <m/>
    <m/>
    <m/>
    <m/>
    <m/>
    <m/>
    <m/>
    <m/>
    <m/>
    <n v="200"/>
    <n v="200"/>
    <n v="400"/>
    <n v="1372"/>
    <n v="1428"/>
    <n v="2800"/>
    <m/>
    <m/>
    <m/>
    <m/>
    <m/>
    <m/>
    <m/>
    <m/>
    <m/>
    <m/>
    <m/>
    <m/>
    <m/>
    <m/>
    <m/>
    <m/>
    <s v="YES"/>
    <n v="200"/>
    <n v="0"/>
    <n v="1400"/>
    <s v="YES"/>
    <n v="200"/>
    <n v="1"/>
    <n v="1400"/>
    <m/>
    <m/>
    <m/>
    <m/>
    <m/>
    <m/>
    <m/>
    <m/>
    <m/>
    <m/>
    <m/>
    <m/>
    <m/>
    <m/>
    <m/>
    <m/>
    <m/>
    <m/>
    <m/>
    <m/>
    <m/>
    <m/>
    <m/>
    <m/>
    <m/>
    <m/>
    <m/>
    <m/>
    <m/>
    <m/>
    <m/>
    <m/>
    <m/>
    <m/>
    <m/>
    <m/>
    <s v="YES"/>
    <n v="200"/>
    <n v="1"/>
    <n v="1400"/>
    <m/>
    <m/>
    <m/>
    <m/>
    <m/>
    <s v="NO"/>
    <m/>
    <m/>
    <m/>
    <s v="NO"/>
    <m/>
    <m/>
    <m/>
    <x v="1"/>
    <s v="NO"/>
    <s v="NO"/>
    <s v="YES"/>
    <s v="YES"/>
    <s v="NO"/>
    <s v="NO"/>
    <s v="NO"/>
    <m/>
    <m/>
    <x v="0"/>
    <m/>
    <x v="0"/>
    <m/>
    <x v="0"/>
    <x v="0"/>
    <s v="YES"/>
    <x v="1"/>
    <x v="1"/>
    <x v="0"/>
    <x v="1"/>
    <n v="2"/>
    <x v="1"/>
    <x v="1"/>
    <x v="1"/>
    <x v="1"/>
    <x v="1"/>
    <x v="1"/>
    <n v="4"/>
    <x v="1"/>
    <x v="2"/>
    <x v="1"/>
    <x v="1"/>
    <x v="3"/>
    <n v="2"/>
    <x v="2"/>
    <x v="1"/>
    <m/>
    <m/>
    <m/>
    <m/>
    <x v="1"/>
    <m/>
    <m/>
    <s v="Formation of 10 VSLA groups which includes 200 women. Through this groups the women have access to income generation activities, which contributes to their economic status ."/>
    <m/>
    <m/>
    <s v="Support gained from men, communities and religious leaders for WIGLD project through their inclusion in project implementation and awareness raising sessions on women economic rights that resulting in support for project activities.  "/>
    <s v="Strengthen coordination with line ministries and sectorial departments, resulted for smooth implementation of project activities."/>
    <m/>
    <m/>
    <s v="Proposal and Report."/>
    <n v="400"/>
    <n v="2800"/>
    <n v="7"/>
    <n v="0.5"/>
    <n v="0.49"/>
    <n v="200"/>
    <n v="1372"/>
    <n v="1"/>
    <n v="0"/>
    <n v="0"/>
    <s v=""/>
    <n v="1"/>
    <n v="200"/>
    <n v="1400"/>
    <n v="7"/>
    <s v=""/>
    <n v="0"/>
    <n v="0"/>
    <s v=""/>
    <s v=""/>
    <n v="0"/>
    <n v="0"/>
    <s v=""/>
    <n v="1"/>
    <n v="200"/>
    <n v="1400"/>
    <n v="7"/>
    <s v="1. Neutral"/>
    <s v="2. Accommodating"/>
    <s v="1. Neutral"/>
    <s v="It did not develop any specific innovation"/>
    <s v="Moderate advocacy"/>
    <s v="It did not take tested solutions to scale"/>
  </r>
  <r>
    <x v="1"/>
    <x v="1"/>
    <n v="2806"/>
    <s v="The Boys and Men as Allies in Violence Prevention and Gender Transformation in the Western Balkans"/>
    <s v="Albania"/>
    <s v="PN: BIH105 FC: BA305"/>
    <s v="CARE Österreich"/>
    <s v="Government"/>
    <s v="Government - Austria"/>
    <s v="Austrian Development Agency (ADA)"/>
    <s v="PN: BIH116 FC: BA316"/>
    <s v="No CARE member related to the project/initiative"/>
    <s v="Foundation"/>
    <s v="Other"/>
    <s v="OAK Foundation"/>
    <m/>
    <m/>
    <m/>
    <m/>
    <m/>
    <m/>
    <m/>
    <m/>
    <m/>
    <m/>
    <m/>
    <m/>
    <m/>
    <m/>
    <m/>
    <m/>
    <m/>
    <m/>
    <m/>
    <m/>
    <m/>
    <m/>
    <m/>
    <m/>
    <m/>
    <m/>
    <m/>
    <m/>
    <m/>
    <m/>
    <m/>
    <m/>
    <m/>
    <m/>
    <m/>
    <m/>
    <m/>
    <m/>
    <m/>
    <m/>
    <d v="2013-12-01T00:00:00"/>
    <d v="2016-11-30T00:00:00"/>
    <m/>
    <s v="Development A Life Free From Violence (GBV)"/>
    <n v="1471221"/>
    <s v="Sumka Bučan"/>
    <s v="Regional Director"/>
    <s v="sbucan@carenwb.org"/>
    <s v="sbucan@carenwb.org"/>
    <s v="Project Manager"/>
    <s v="spetkovic@carenwb.org"/>
    <s v="NO"/>
    <s v="YES"/>
    <s v="NO"/>
    <s v="The project purpose is to increase the uptake of healthy, non-violent and gender equitable lifestyles amongst boys and men (and girls and women) participating in the program. This will be achieved through 3 inter-related results: ER1: Gender Transformative Life Skills program (Program M) adopted, accredited and teachers trained by Ministry of Education for use in secondary schools; ER 2: Lifestyle and social norms campaigns to engage boys and men on issues of violence prevention, gender equality and fatherhood are developed and reach the targeted audience; ER3: Local NGO partners act as national resource centres and promote practice, policy and research work engaging boys and men. The project purpose is to increase the uptake of healthy, non-violent and gender equitable lifestyles amongst boys and men (and girls and women) participating in the program. This will be achieved through 3 inter-related results: ER1: Gender Transformative Life Skills program (Program M) adopted, accredited and teachers trained by Ministry of Education for use in secondary schools; ER 2: Lifestyle and social norms campaigns to engage boys and men on issues of violence prevention, gender equality and fatherhood are developed and reach the targeted audience; ER3: Local NGO partners act as national resource centres and promote practice, policy and research work engaging boys and men."/>
    <s v="Multiple countries"/>
    <s v="Serbia, Croatia, Kosovo, Bosnia &amp; Herzegovina and Albania"/>
    <s v="The major target groups of the project are the five local partner organisations, 25,000 secondary school age youth, especially those from lower socio-economic background who face higher levels of social exclusion in Serbia, Croatia, Kosovo, Bosnia and Herzegovina and Albania, with an emphasis on young men; in addition 2000 fathers and other male care givers. Secondary target groups include 500 educators that will be trained in the Young Men Initiative methodology, based on the Program M Manual. Additionally 200 pedagogy students will be targeted, in order to provide them practical skills before entering the profession. Also the capacities of 20 educators will be strengthened to become trainers of trainers (ToT), thus to create a group of peer educators that would act as catalysts for disseminating the Gender Transformative Life Skills program (Program M) in schools. A key target group is staff from the Ministry for Education and Gender Agencies and ministries dealing with gender equality as well as decentralised governmental gender structures at entity/canton/municipality level. With the aim of mainstreaming gender equitable approaches in the educational system, educators and pedagogy students will be directly targeted with capacity building. The main beneficiaries are young men in the targeted 4 countries."/>
    <n v="31"/>
    <n v="123"/>
    <n v="154"/>
    <n v="1000"/>
    <n v="4400"/>
    <n v="5400"/>
    <s v="In this project, 5 local organisations are partners in the implementation of the planned results. In each country (Kosovo, Albania, Serbia and Bosnia and Herzegovina). They have a network of over 1000 peer educators around the country that supports its primary focus on youth health and violence prevention. These organisations are both, implementing partners of CARE but also a target group of the project, since CARE continues to focus on building their capacity to be the leading CSOs and partners of choice of different stakeholders in addressing violence and work with boys and men with a gender equality framework. Another target group are 500 secondary school educators and 200 students of pedagogical faculties in the countries. In addition 20 selected educators will be targeted and provided with capacity building as trainers of trainers (ToT). In addition 2000 fathers and male care givers will be targeted in educational and campaign related activities.  The project anticipates reaching over 25,000 youth over 3 years by educational workshops and campaigns. The final beneficiaries include the wider family environment of the participating 25,000 youth and the 2000 fathers.  It is around 5,400 direct and indirect beneficiaries per state including Croatia - OAK component opf the YMI regional project)."/>
    <n v="17"/>
    <m/>
    <m/>
    <m/>
    <m/>
    <m/>
    <m/>
    <m/>
    <m/>
    <m/>
    <m/>
    <m/>
    <m/>
    <m/>
    <m/>
    <m/>
    <m/>
    <m/>
    <m/>
    <m/>
    <m/>
    <m/>
    <m/>
    <m/>
    <m/>
    <m/>
    <m/>
    <m/>
    <m/>
    <m/>
    <m/>
    <m/>
    <m/>
    <m/>
    <m/>
    <m/>
    <m/>
    <m/>
    <m/>
    <m/>
    <m/>
    <m/>
    <m/>
    <m/>
    <m/>
    <m/>
    <m/>
    <m/>
    <m/>
    <m/>
    <m/>
    <m/>
    <m/>
    <m/>
    <m/>
    <m/>
    <m/>
    <m/>
    <m/>
    <m/>
    <n v="298"/>
    <n v="788"/>
    <n v="1086"/>
    <n v="640"/>
    <n v="1238"/>
    <n v="1878"/>
    <m/>
    <m/>
    <m/>
    <m/>
    <m/>
    <m/>
    <m/>
    <m/>
    <m/>
    <m/>
    <m/>
    <m/>
    <m/>
    <m/>
    <m/>
    <m/>
    <m/>
    <m/>
    <m/>
    <m/>
    <s v="YES"/>
    <n v="1086"/>
    <n v="0.27"/>
    <m/>
    <m/>
    <m/>
    <m/>
    <m/>
    <s v="YES"/>
    <n v="1878"/>
    <n v="0.34"/>
    <m/>
    <s v="YES"/>
    <n v="1878"/>
    <n v="0.34"/>
    <m/>
    <m/>
    <m/>
    <m/>
    <m/>
    <m/>
    <m/>
    <m/>
    <m/>
    <m/>
    <m/>
    <m/>
    <m/>
    <m/>
    <m/>
    <m/>
    <m/>
    <s v="YES"/>
    <n v="1086"/>
    <n v="0.27"/>
    <m/>
    <m/>
    <m/>
    <m/>
    <m/>
    <m/>
    <m/>
    <m/>
    <m/>
    <m/>
    <m/>
    <m/>
    <m/>
    <m/>
    <s v="NO"/>
    <m/>
    <m/>
    <s v="YES"/>
    <s v="NO"/>
    <s v="September"/>
    <m/>
    <s v="End line assessment and Final evaluation are done in October 2016."/>
    <x v="2"/>
    <m/>
    <m/>
    <m/>
    <m/>
    <m/>
    <m/>
    <m/>
    <m/>
    <m/>
    <x v="1"/>
    <m/>
    <x v="1"/>
    <m/>
    <x v="2"/>
    <x v="1"/>
    <s v="YES"/>
    <x v="0"/>
    <x v="0"/>
    <x v="0"/>
    <x v="2"/>
    <n v="4"/>
    <x v="2"/>
    <x v="1"/>
    <x v="1"/>
    <x v="1"/>
    <x v="1"/>
    <x v="2"/>
    <n v="4"/>
    <x v="3"/>
    <x v="1"/>
    <x v="1"/>
    <x v="1"/>
    <x v="4"/>
    <n v="3"/>
    <x v="2"/>
    <x v="3"/>
    <n v="1"/>
    <s v="Local NGO(s)/CSO(s)"/>
    <s v="National government"/>
    <s v="Grassroots organization(s)"/>
    <x v="0"/>
    <s v="During the course of 3 years of project implementation CARE was building the capacities of local partners to lead the debates and engage with policy makers and other important stakeholders on violence prevention and promotion of healthy lifestyles among youth. The capacity building was done through regular consultative meetings between CARE and partners, at the Partners meetings (twice per year), through online communication. Furthermore during the every visit of CARE staff to the project site, CARE and partners had attended the meetings with relevant stakeholders (Ministries of Education, Gender Centres etc.), where the discussion about action plans and sustainability and as well evaluation of the project implementation were discussed. The trainings were also done, two related to Most Significant Change Methodology, two related to Child Protection Policy Development, one related to Youth Extremism and 3 related to Youth Mental Health. "/>
    <s v="The project has not experienced any important changes/adjustments in this FY"/>
    <s v="Innovative strategic approach is important for the success of initiatives striving to bring about social change. The YMI Project has been unique on multiple levels and that has contributed a lot to the recognition and support in the arena overpopulated with policies and CSOs.  "/>
    <s v="Most Significant Change Methodology – this methodology was presented and introduced at the project start as part of the capacity building program of partner organizations and an innovative monitoring tool. Based on the discussion with partners, it was decided that only one segment of this method would be used and tested during the project. The methodology was piloted in a way to focus on gathering personal stories from beneficiaries, mainly young men, with help of a specific interviewing template. The benefit was twofold, first of all the team leaders and coordinators got trained on using the technique; they learned how to observe and practice interviewing beneficiaries in search of different type of changes. Secondly, the partner organizations embraced this monitoring tool as a great method of qualitative data gathering and recording, but also as a useful technique that can and should be built upon and expanded in the future to also include wider organizational monitoring and development aspects. During the project period, the partner organizations gathered more than 50 stories describing different types of changes that have happened to the beneficiaries as a direct result of participating in the project. The project team has selected four, one representing each country as a sample in Annex 7. We would also like to emphasize that this methodology enabled that Dragan Kisin, young men from Banja Luka tells his story which was used by Thomson Reuters Foundation for making a short documentary Story of &quot;Dragan&quot;: Balkan boys challenge post-war machismo that premiered in May of 2016. This short film tells Dragan’s story in his own words about how his involvement in the project has had a positive impact on his life. The film won the 1st prize Ron Kovic Peace Prize at 12th Annual My Hero International Film Festival in USA in 2016. https://www.consciousgood.com/post-war-machismo-be-a-man/"/>
    <s v="Youth from all cities pointed out that the project had a great impact. They mentioned different indicators of project’s impact. The most concrete impact relates to change of attitudes and behaviours of youth who directly participated in the programme. Special credit for sucess goest to &quot;Be a man&quot; clubs."/>
    <s v="1. Clear and good structure of the program produces results in the long run, even when the envisaged goals are ambitious. YMI Project has been positively valued by its participants because of its &quot;firm structure and coordination&quot;. By also applying a flexible approach when it comes to implementation, based on specific needs and contexts, the YMI Project has ensured proper coordination and a more effective results. The project has a strong coordination function with the key activities implemented and standards ensured, but it also promoted tailored-made approach at the local level."/>
    <s v="2. What you measure is what you get. During the implementation of such complex project as YMI is, a regular and adequate monitoring is of greatest importance. YMI Project has succeeded to develop comprehensive but user friendly measuring instruments which enabled a regular and accurate monitoring and reporting. The YMI has even managed to reach the most socially excluded youth groups through different activities. The approaches on how to involve Roma, Ashkali and Egyptian community in the Project activities differ among the countries, since they were based on the local circumstances (presence of Roma children in selected schools) as well as the of the local stakeholders’ capacities."/>
    <s v="3. Piloting before rolling-out decreases the cost of implementation. Piloting can contribute to the cost decrease and avoidance of unnecessary transactional costs during the process of implementation. This can improve productivity and efficiency of some specific services and products before scaling-up at the wider territory. The cost of some YMI project activities were decreased through step by step approach and development of products and services on a smaller scale. Such models were then further implemented and scaled-up."/>
    <s v="• Efforts should be invested in mainstreaming gender equality and GBV issues into existing curricula and programs of various organizations which implement activities in schools. This could significantly contribute to further sustainability of the project results. Every year different organizations and institutions develop number of programs and new curricula and schools have lot of issues with identifying the most suitable and relevant ones. Instead of producing new education programs and investing lot of efforts in its accreditation, mainstreaming serve as a more strategic and feasible option. • As per the content of the educational programs, respondents recognized the need for including/emphasizing following topics: psychological violence, Internet safety, safety of youth in general. • One could ensure even greater and more strategic involvement of media in the program. For the long term success of the program it is not enough only to have a number of media releases about the project activities, but also to have editors and journalists setting the societal values. Additional strategies for media sensitization and participation could be also added value for the next phases of the YMI initiative. • Public advocacy space is still to be explored and comprehensive strategies as well as national advocacy action plans to be developed and coordinated, since this would be logical next step in the project concept further development. Attention should be specifically put on the involvement of the primer constituency group in the advocacy initiatives. Students should be supported to formulate their own initiatives and to advocate for sustainable systemic changes. Most significant change methodology could also be used in this process as a good communication tool for gaining wider public support. • Continue the work in the area of community involvement. The idea of BMCs which function as local youth clubs and resource centers for youth in the domain of promotion of gender equality, healthy lifestyles and violence prevention, should be additionally supported. In addition, CARE could support additional capacity development of  BMCs to become key actors of local referral mechanisms for youth in need of additional support – mediation, counseling, etc. Interest members’ capacities for the provision of this type of peer support could be also developed and the communities as a whole could benefit a lot from this approach. • Partner organizations need continuous support in becoming learning organizations. Namely, their M&amp;E capacities and members’ capacities for continues learning and development need additional support from CARE. In addition, their knowledge on gender equality, relevant international standards in this area, as well as regional legislation and strategic framework, should also be further developed. Cooperation with women’s organizations should be intensify in the future, since feminist expertise could provide the Project with additional impetus and quality Also, local partner organizations should be additionally supported to advance their position in the civil society and become sectorial leaders which promote participation, wide consultations and innovative approaches. • In future, some efforts should be invested in creating relevant links with existing mechanisms for violence prevention. For example, General and Specific Protocols for Protection of Children against Abuse and Neglect in Serbia envisage specific mechanism for dealing with violence in school context. Apart from potential advancement of such norms, activities could be coordinated with similar mechanisms in the region in order to become integral part of future practices. • Apart from high school students, younger youth could be involved more actively in the Project implementation in the next phase. Good examples from Banjaluka in this regard could be a roadmap for further program development. Namely, Perpetuum Mobile had implemented set of educational activities in the primary school in Banjaluka and had great success with this activity. One could argue that the social change starts with the formation of attitudes in early stages of childhood. CARE’s capacities should be utilized for this purposes. • Existing structure for education programs’ implementation needs continues support in development. It would be of great importance to further utilize established structure of educators, including peer educators and this would require: a. Development of clear criteria for the selection of future educators; b. Educators’ continues capacity development in training design, working methods and tools, reporting and evaluation; c. Educators’ continues development in wider understanding of the training topics, including policy framework and school mechanism for protection against discrimination and violence. • Regional networking events should be organized in future, since this approach influence reconciliation and peace building in the whole region and motivate young men to adopt new values and to be more active and involved within their communities."/>
    <s v="http://www.youngmeninitiative.net/en/?page=36"/>
    <n v="1086"/>
    <n v="1878"/>
    <n v="1.729281767955801"/>
    <n v="0.27440147329650094"/>
    <n v="0.34078807241746539"/>
    <n v="298"/>
    <n v="640"/>
    <s v=""/>
    <n v="0"/>
    <n v="0"/>
    <s v=""/>
    <s v=""/>
    <n v="0"/>
    <n v="0"/>
    <s v=""/>
    <n v="1"/>
    <n v="1086"/>
    <n v="0"/>
    <n v="0"/>
    <n v="1"/>
    <n v="1878"/>
    <n v="0"/>
    <n v="0"/>
    <s v=""/>
    <n v="0"/>
    <n v="0"/>
    <s v=""/>
    <s v="4. Transformative"/>
    <s v="4. Transformational"/>
    <s v="4. Transformative"/>
    <s v="It tested new ways for fighting poverty, but did not measure results of innovation"/>
    <s v="Intensive advocacy"/>
    <s v="It linked and worked with strategic alliances and partners to take tested and effective solutions to scale"/>
  </r>
  <r>
    <x v="2"/>
    <x v="1"/>
    <m/>
    <s v="Learning for Change - Strengthening Women's Voices in East Africa"/>
    <s v="Austria"/>
    <s v="AUT916"/>
    <s v="CARE Österreich"/>
    <s v="Government"/>
    <s v="Government - Austria"/>
    <s v="Austrian Development Agency (ADA)"/>
    <m/>
    <m/>
    <m/>
    <m/>
    <m/>
    <m/>
    <m/>
    <m/>
    <m/>
    <m/>
    <m/>
    <m/>
    <m/>
    <m/>
    <m/>
    <m/>
    <m/>
    <m/>
    <m/>
    <m/>
    <m/>
    <m/>
    <m/>
    <m/>
    <m/>
    <m/>
    <m/>
    <m/>
    <m/>
    <m/>
    <m/>
    <m/>
    <m/>
    <m/>
    <m/>
    <m/>
    <m/>
    <m/>
    <m/>
    <m/>
    <m/>
    <m/>
    <m/>
    <m/>
    <m/>
    <d v="2016-04-01T00:00:00"/>
    <d v="2019-03-01T00:00:00"/>
    <m/>
    <s v="Development A Life Free From Violence (GBV)"/>
    <n v="25000"/>
    <s v="Karen Knipp-Rentrop"/>
    <s v="Technical Advisor Advocacy and Organisational Development"/>
    <s v="karen.knipp-rentrop@care.at"/>
    <m/>
    <m/>
    <m/>
    <s v="NO"/>
    <s v="YES"/>
    <s v="NO"/>
    <s v="Women’s voices influence strategic forums concerning women peace and security at national and international level (contributing to the implementation of UN 1325 and 1820)"/>
    <s v="National"/>
    <s v="Austria, occasionally EU.The advocacy initiative is part of Learning for Change Program which is mainly implemented in Ethiopia, Uganda and Rwanda as a capacity development initiative "/>
    <m/>
    <m/>
    <m/>
    <m/>
    <m/>
    <m/>
    <m/>
    <m/>
    <m/>
    <m/>
    <m/>
    <m/>
    <m/>
    <m/>
    <m/>
    <m/>
    <m/>
    <m/>
    <m/>
    <m/>
    <m/>
    <m/>
    <m/>
    <m/>
    <m/>
    <m/>
    <m/>
    <m/>
    <m/>
    <m/>
    <m/>
    <m/>
    <m/>
    <m/>
    <m/>
    <m/>
    <m/>
    <m/>
    <m/>
    <m/>
    <m/>
    <m/>
    <m/>
    <m/>
    <m/>
    <m/>
    <m/>
    <m/>
    <m/>
    <m/>
    <m/>
    <m/>
    <m/>
    <m/>
    <m/>
    <m/>
    <m/>
    <m/>
    <m/>
    <m/>
    <m/>
    <m/>
    <m/>
    <m/>
    <m/>
    <m/>
    <m/>
    <m/>
    <n v="15"/>
    <n v="10"/>
    <n v="25"/>
    <n v="140"/>
    <n v="60"/>
    <n v="200"/>
    <m/>
    <m/>
    <m/>
    <m/>
    <m/>
    <m/>
    <m/>
    <m/>
    <s v="YES"/>
    <m/>
    <m/>
    <m/>
    <m/>
    <m/>
    <m/>
    <m/>
    <m/>
    <m/>
    <m/>
    <m/>
    <m/>
    <m/>
    <m/>
    <m/>
    <m/>
    <m/>
    <m/>
    <m/>
    <s v="YES"/>
    <m/>
    <m/>
    <m/>
    <s v="YES"/>
    <m/>
    <m/>
    <m/>
    <m/>
    <m/>
    <m/>
    <m/>
    <m/>
    <m/>
    <m/>
    <m/>
    <m/>
    <m/>
    <m/>
    <m/>
    <m/>
    <m/>
    <m/>
    <m/>
    <m/>
    <m/>
    <m/>
    <m/>
    <m/>
    <m/>
    <m/>
    <m/>
    <m/>
    <m/>
    <m/>
    <m/>
    <m/>
    <m/>
    <m/>
    <m/>
    <m/>
    <m/>
    <m/>
    <m/>
    <m/>
    <m/>
    <m/>
    <m/>
    <m/>
    <x v="1"/>
    <m/>
    <m/>
    <m/>
    <s v="YES"/>
    <s v="YES"/>
    <m/>
    <m/>
    <m/>
    <m/>
    <x v="3"/>
    <m/>
    <x v="2"/>
    <m/>
    <x v="1"/>
    <x v="1"/>
    <s v="YES"/>
    <x v="0"/>
    <x v="0"/>
    <x v="0"/>
    <x v="2"/>
    <n v="4"/>
    <x v="0"/>
    <x v="0"/>
    <x v="0"/>
    <x v="0"/>
    <x v="0"/>
    <x v="0"/>
    <n v="0"/>
    <x v="0"/>
    <x v="0"/>
    <x v="0"/>
    <x v="0"/>
    <x v="0"/>
    <n v="0"/>
    <x v="1"/>
    <x v="4"/>
    <m/>
    <m/>
    <m/>
    <m/>
    <x v="3"/>
    <m/>
    <m/>
    <m/>
    <m/>
    <m/>
    <m/>
    <m/>
    <m/>
    <m/>
    <s v="the advocacy initiative is part of Learning for Change Program which is mainly implemented in Ethiopia, Uganda and Rwanda as a capacity development initiative "/>
    <n v="25"/>
    <n v="200"/>
    <n v="8"/>
    <n v="0.6"/>
    <n v="0.7"/>
    <n v="15"/>
    <n v="140"/>
    <s v=""/>
    <n v="0"/>
    <n v="0"/>
    <s v=""/>
    <s v=""/>
    <n v="0"/>
    <n v="0"/>
    <s v=""/>
    <s v=""/>
    <n v="0"/>
    <n v="0"/>
    <s v=""/>
    <n v="1"/>
    <n v="0"/>
    <n v="0"/>
    <s v=""/>
    <s v=""/>
    <n v="0"/>
    <n v="0"/>
    <s v=""/>
    <s v="4. Transformative"/>
    <s v="No marker score"/>
    <s v="No marker score"/>
    <n v="0"/>
    <s v="Moderate advocacy"/>
    <n v="0"/>
  </r>
  <r>
    <x v="2"/>
    <x v="1"/>
    <m/>
    <s v="Letters to the Government regarding Migration"/>
    <s v="Austria"/>
    <m/>
    <s v="CARE Österreich"/>
    <m/>
    <m/>
    <s v="Austrian Development Agency (ADA)"/>
    <m/>
    <m/>
    <m/>
    <m/>
    <m/>
    <m/>
    <m/>
    <m/>
    <m/>
    <m/>
    <m/>
    <m/>
    <m/>
    <m/>
    <m/>
    <m/>
    <m/>
    <m/>
    <m/>
    <m/>
    <m/>
    <m/>
    <m/>
    <m/>
    <m/>
    <m/>
    <m/>
    <m/>
    <m/>
    <m/>
    <m/>
    <m/>
    <m/>
    <m/>
    <m/>
    <m/>
    <m/>
    <m/>
    <m/>
    <m/>
    <m/>
    <m/>
    <m/>
    <m/>
    <m/>
    <d v="2016-10-19T00:00:00"/>
    <d v="2017-03-08T00:00:00"/>
    <m/>
    <s v="Development Other"/>
    <m/>
    <s v="Thomas Haunschmid"/>
    <s v="Communication Director"/>
    <s v="thomas.haunschmid@care.at"/>
    <m/>
    <m/>
    <m/>
    <s v="YES"/>
    <s v="YES"/>
    <s v="YES"/>
    <s v="Government should improve its migration policy "/>
    <s v="National"/>
    <s v="Austria, occasionally EU"/>
    <m/>
    <m/>
    <m/>
    <m/>
    <m/>
    <m/>
    <m/>
    <m/>
    <m/>
    <m/>
    <m/>
    <m/>
    <m/>
    <m/>
    <m/>
    <m/>
    <m/>
    <m/>
    <m/>
    <m/>
    <m/>
    <m/>
    <m/>
    <m/>
    <m/>
    <m/>
    <m/>
    <m/>
    <m/>
    <m/>
    <m/>
    <m/>
    <m/>
    <m/>
    <m/>
    <m/>
    <m/>
    <m/>
    <m/>
    <m/>
    <m/>
    <m/>
    <m/>
    <m/>
    <m/>
    <m/>
    <m/>
    <m/>
    <m/>
    <m/>
    <m/>
    <m/>
    <m/>
    <m/>
    <m/>
    <m/>
    <m/>
    <m/>
    <m/>
    <m/>
    <m/>
    <m/>
    <m/>
    <m/>
    <m/>
    <m/>
    <m/>
    <m/>
    <n v="0"/>
    <n v="10"/>
    <n v="10"/>
    <n v="10"/>
    <n v="30"/>
    <n v="40"/>
    <m/>
    <m/>
    <m/>
    <m/>
    <m/>
    <m/>
    <m/>
    <m/>
    <s v="YES"/>
    <m/>
    <m/>
    <m/>
    <m/>
    <m/>
    <m/>
    <m/>
    <m/>
    <m/>
    <m/>
    <m/>
    <m/>
    <m/>
    <m/>
    <m/>
    <m/>
    <m/>
    <m/>
    <m/>
    <m/>
    <m/>
    <m/>
    <m/>
    <m/>
    <m/>
    <m/>
    <m/>
    <m/>
    <m/>
    <m/>
    <m/>
    <m/>
    <m/>
    <m/>
    <m/>
    <m/>
    <m/>
    <m/>
    <m/>
    <m/>
    <m/>
    <m/>
    <m/>
    <m/>
    <m/>
    <m/>
    <m/>
    <m/>
    <m/>
    <m/>
    <m/>
    <m/>
    <m/>
    <m/>
    <m/>
    <s v="Migration"/>
    <s v="YES"/>
    <m/>
    <m/>
    <m/>
    <m/>
    <m/>
    <m/>
    <m/>
    <m/>
    <m/>
    <m/>
    <m/>
    <x v="1"/>
    <m/>
    <s v="YES"/>
    <m/>
    <m/>
    <s v="YES"/>
    <m/>
    <m/>
    <m/>
    <m/>
    <x v="3"/>
    <m/>
    <x v="2"/>
    <m/>
    <x v="3"/>
    <x v="1"/>
    <m/>
    <x v="2"/>
    <x v="2"/>
    <x v="2"/>
    <x v="3"/>
    <n v="0"/>
    <x v="0"/>
    <x v="0"/>
    <x v="0"/>
    <x v="0"/>
    <x v="0"/>
    <x v="0"/>
    <n v="0"/>
    <x v="0"/>
    <x v="0"/>
    <x v="0"/>
    <x v="0"/>
    <x v="0"/>
    <n v="0"/>
    <x v="1"/>
    <x v="4"/>
    <n v="34"/>
    <s v="Local alliance(s)/Platform(s)/Network(s) of  NGOs/CSOs"/>
    <m/>
    <m/>
    <x v="3"/>
    <m/>
    <m/>
    <m/>
    <m/>
    <m/>
    <m/>
    <m/>
    <m/>
    <m/>
    <m/>
    <n v="10"/>
    <n v="40"/>
    <n v="4"/>
    <n v="0"/>
    <n v="0.25"/>
    <n v="0"/>
    <n v="10"/>
    <n v="1"/>
    <n v="0"/>
    <n v="0"/>
    <s v=""/>
    <s v=""/>
    <n v="0"/>
    <n v="0"/>
    <s v=""/>
    <s v=""/>
    <n v="0"/>
    <n v="0"/>
    <s v=""/>
    <s v=""/>
    <n v="0"/>
    <n v="0"/>
    <s v=""/>
    <s v=""/>
    <n v="0"/>
    <n v="0"/>
    <s v=""/>
    <s v="No marker score"/>
    <s v="No marker score"/>
    <s v="No marker score"/>
    <n v="0"/>
    <s v="Moderate advocacy"/>
    <n v="0"/>
  </r>
  <r>
    <x v="3"/>
    <x v="0"/>
    <n v="2750"/>
    <s v="Accelerating Actions towards Ending Child Marriage (AECM)"/>
    <s v="Bangladesh"/>
    <s v="UNCFBD0019"/>
    <s v="CARE USA"/>
    <s v="Multilateral agency"/>
    <s v="UN - United Nations agencies/offices"/>
    <s v="UNICEF"/>
    <m/>
    <m/>
    <m/>
    <m/>
    <m/>
    <m/>
    <m/>
    <m/>
    <m/>
    <m/>
    <m/>
    <m/>
    <m/>
    <m/>
    <m/>
    <m/>
    <m/>
    <m/>
    <m/>
    <m/>
    <m/>
    <m/>
    <m/>
    <m/>
    <m/>
    <m/>
    <m/>
    <m/>
    <m/>
    <m/>
    <m/>
    <m/>
    <m/>
    <m/>
    <m/>
    <m/>
    <m/>
    <m/>
    <m/>
    <m/>
    <m/>
    <m/>
    <m/>
    <m/>
    <m/>
    <d v="2015-08-01T00:00:00"/>
    <d v="2017-08-31T00:00:00"/>
    <m/>
    <s v="Development A Life Free From Violence (GBV)"/>
    <n v="579558"/>
    <s v="Anowarul Haq"/>
    <s v="Impact Director, ERPP"/>
    <s v="anowarul.haq@care.org"/>
    <s v="Abdul Matin Ahardar"/>
    <s v="Team Leader"/>
    <s v="AbdulMatin.Shardar@care.org"/>
    <s v="NO"/>
    <s v="YES"/>
    <s v="NO"/>
    <s v="Adolescent girls and wider community members are sensitized and aware of the negative effect of child marriage and agreed for continuation of girls’ education Selected schools are supported with WASH facilities and accessed by all, particularly girls’ student."/>
    <s v="Sub-National"/>
    <s v="Kishoreganj sub-district of Nilphamari district; Dacope sub-district of Khulna district"/>
    <s v=" 39, 150 adolescents and 25, 122 (with 5-10% overlap)= ~ 57,850 adolescents and young children are directly sensitized  47 secondary schools (100% of secondary schools of the sub-district) of Dacope sub-districtare supported with comprehensive WASH facilities (Water Supply, Hygiene corners, Gender-segregated latrines, Disable latrine facilities, Menstrual hygiene facilities, group hand washing devices)"/>
    <n v="30041"/>
    <n v="20028"/>
    <n v="50069"/>
    <n v="33865"/>
    <n v="22576"/>
    <n v="56441"/>
    <s v="School Student: 25122 (Direct) Adolescent: 7830 (Direct), 31320 (Indirect) Parents: 15660 (Direct) (both parents of each adolescent) PTA: 1269 (Direct) (Parents-Teachers' association) Teachers+SMC = 188 (Indirect) 25,122 (Indirect-Students) (*SMC = School Management Committee)"/>
    <m/>
    <m/>
    <m/>
    <m/>
    <m/>
    <m/>
    <m/>
    <m/>
    <m/>
    <m/>
    <m/>
    <m/>
    <m/>
    <m/>
    <m/>
    <m/>
    <m/>
    <m/>
    <m/>
    <m/>
    <m/>
    <m/>
    <m/>
    <m/>
    <m/>
    <m/>
    <m/>
    <m/>
    <m/>
    <m/>
    <m/>
    <m/>
    <m/>
    <m/>
    <m/>
    <m/>
    <m/>
    <m/>
    <m/>
    <m/>
    <m/>
    <m/>
    <m/>
    <m/>
    <m/>
    <m/>
    <m/>
    <m/>
    <m/>
    <m/>
    <m/>
    <m/>
    <m/>
    <m/>
    <m/>
    <m/>
    <m/>
    <m/>
    <m/>
    <m/>
    <n v="30041"/>
    <n v="20028"/>
    <n v="50069"/>
    <n v="33865"/>
    <n v="22576"/>
    <n v="56441"/>
    <s v="NO"/>
    <m/>
    <m/>
    <m/>
    <s v="NO"/>
    <m/>
    <m/>
    <m/>
    <s v="NO"/>
    <m/>
    <m/>
    <m/>
    <s v="NO"/>
    <m/>
    <m/>
    <m/>
    <s v="NO"/>
    <m/>
    <m/>
    <m/>
    <s v="NO"/>
    <m/>
    <m/>
    <m/>
    <s v="NO"/>
    <m/>
    <m/>
    <m/>
    <s v="YES"/>
    <n v="30942"/>
    <n v="0.63"/>
    <n v="31320"/>
    <s v="NO"/>
    <m/>
    <m/>
    <m/>
    <s v="YES"/>
    <n v="30942"/>
    <n v="0.63"/>
    <n v="31320"/>
    <s v="YES"/>
    <n v="25122"/>
    <n v="0.52"/>
    <m/>
    <s v="NO"/>
    <m/>
    <m/>
    <m/>
    <s v="NO"/>
    <m/>
    <m/>
    <m/>
    <s v="YES"/>
    <n v="20763"/>
    <n v="1"/>
    <n v="23100"/>
    <s v="YES"/>
    <n v="25122"/>
    <n v="1"/>
    <n v="0"/>
    <s v="YES"/>
    <n v="30"/>
    <n v="1"/>
    <n v="135"/>
    <m/>
    <m/>
    <m/>
    <m/>
    <m/>
    <s v="YES"/>
    <s v="August"/>
    <n v="2017"/>
    <s v="YES"/>
    <s v="NO"/>
    <m/>
    <m/>
    <m/>
    <x v="0"/>
    <s v="NO"/>
    <s v="NO"/>
    <s v="YES"/>
    <s v="NO"/>
    <s v="NO"/>
    <s v="NO"/>
    <s v="NO"/>
    <s v="NO"/>
    <m/>
    <x v="2"/>
    <s v="Through SaniMart, adolescent girls produced their own hygienic sanitary pads which they sold at various locations to girls and women at an affordable price. Thus, bringing positive effect on Hygiene and sexual reproductive health using economic development approach. Over 200,000 sanitary pads have been sold till now"/>
    <x v="1"/>
    <s v="Each of the selected 7830 adolescents had to impart what they learned to 4 of their friends each without overlaps, thus scaling project's goal of sensitization"/>
    <x v="1"/>
    <x v="0"/>
    <s v="YES"/>
    <x v="0"/>
    <x v="0"/>
    <x v="0"/>
    <x v="0"/>
    <n v="4"/>
    <x v="1"/>
    <x v="1"/>
    <x v="1"/>
    <x v="1"/>
    <x v="1"/>
    <x v="1"/>
    <n v="4"/>
    <x v="1"/>
    <x v="1"/>
    <x v="1"/>
    <x v="1"/>
    <x v="1"/>
    <n v="3"/>
    <x v="2"/>
    <x v="1"/>
    <m/>
    <m/>
    <m/>
    <m/>
    <x v="1"/>
    <m/>
    <s v="The project was originally inteded to end in September 2016. However, it was extended to do additional infrastructure work to cover all secondary schools in the sub-district of Dacope."/>
    <s v="7830 adolescents (of whom 7700 were girls) were engaged as peer volunteers, supported by adolescent clubs who disseminated key messages on WASH and prevention of Child Marriage and mainstreaming menstrual issues for girls among their peers reaching out to 30,942 adolescents."/>
    <s v="Multi-point contact: 25,122 students were reached out through direct message by project staff on WASH and prevention of Child Marriage and mainstreaming menstrual issues and then follow-up messaging was conducted by trained teachers and chosen student cabinet members for repeat communication to enhance recall"/>
    <s v="All 47 schools were assessed and according to their needs WASH facilities were set up. The facilities were then handed over to School Management Committee for maintainance and operation"/>
    <s v="Wash in School promotes MHM and other hygiene practices both at school and community:Ensuring proper MHM facilities, followed by repeated sensitization of girls', parents and boys on menstrual hygiene created enabling environment for full use of MHM facilities. "/>
    <s v="Hygiene corners at schools with trained female teachers to handle menstrual concerns and curiousity of girls was crucial in mainstreaming issues of sexual, reproductive health and hygiene"/>
    <s v="Engaging students, parents and teachers through student cabinet, Parents-teachers association and School Management committee is essential to ensuring sustainable impact of sensitization goals of the AECM"/>
    <s v="As a follow-on offshoot of another project (CATS), AECM had limited M&amp;E structure with focus on monitoring activities rather than monitoring and measuring results. As such, some of the data is not gender-disaggregated and changes in action due to sensitization is not measured."/>
    <s v="AECM Project Completion Report"/>
    <n v="50069"/>
    <n v="56441"/>
    <n v="1.127264375162276"/>
    <n v="0.59999201102478583"/>
    <n v="0.60000708704665051"/>
    <n v="30041"/>
    <n v="33865"/>
    <s v=""/>
    <n v="0"/>
    <n v="0"/>
    <s v=""/>
    <n v="1"/>
    <n v="25122"/>
    <n v="0"/>
    <n v="0"/>
    <n v="1"/>
    <n v="20763"/>
    <n v="23100"/>
    <n v="1.1125559890189278"/>
    <n v="1"/>
    <n v="30942"/>
    <n v="31320"/>
    <n v="1.0122164048865621"/>
    <n v="1"/>
    <n v="30"/>
    <n v="135"/>
    <n v="4.5"/>
    <s v="2. Sensitive"/>
    <s v="2. Accommodating"/>
    <s v="2. Sensitive"/>
    <s v="It tested new ways for fighting poverty and measured results of innovation"/>
    <s v="Little or no advocacy"/>
    <s v="It linked and worked with strategic alliances and partners to take tested and effective solutions to scale"/>
  </r>
  <r>
    <x v="3"/>
    <x v="0"/>
    <n v="3709"/>
    <s v="BANGLADESH NEEDS ASSESSMENT SUPPORT PROJECT – CONSULTATION Phase"/>
    <s v="Bangladesh"/>
    <s v="CGBRBD0098"/>
    <s v="CARE UK"/>
    <s v="Multilateral agency"/>
    <s v="Government - UK"/>
    <s v="DFID"/>
    <m/>
    <m/>
    <m/>
    <m/>
    <m/>
    <m/>
    <m/>
    <m/>
    <m/>
    <m/>
    <m/>
    <m/>
    <m/>
    <m/>
    <m/>
    <m/>
    <m/>
    <m/>
    <m/>
    <m/>
    <m/>
    <m/>
    <m/>
    <m/>
    <m/>
    <m/>
    <m/>
    <m/>
    <m/>
    <m/>
    <m/>
    <m/>
    <m/>
    <m/>
    <m/>
    <m/>
    <m/>
    <m/>
    <m/>
    <m/>
    <m/>
    <m/>
    <m/>
    <m/>
    <m/>
    <d v="2015-05-01T00:00:00"/>
    <d v="2017-03-30T00:00:00"/>
    <m/>
    <s v="Humanitarian Other"/>
    <n v="58462.6"/>
    <s v="Mahbubur Rahman"/>
    <s v="Emergency Response and Preparedness Coordinator"/>
    <s v="mahbubur.rahman@care.org"/>
    <s v="Soliatire Morton"/>
    <s v="Humanitarian Programme Coordinator"/>
    <s v="smorton@careinternational.org"/>
    <s v="YES"/>
    <s v="NO"/>
    <s v="NO"/>
    <s v="Impact: Enhanced resilience of communities affected by, and vulnerable to, disasters through evidence-based response. Outcome: An assessment framework for Bangladesh which provides timely and appropriate humanitarian assessment information. Output-1: A comprehensive assessment preparedness framework developed based on understanding of Bangladesh stakeholders’ assessment capacity-gaps. Output-2: Updated BNASP proposal to reflect key findings of the consultation vis-à-vis Government capacity gaps"/>
    <s v="National"/>
    <s v="'It's a national level consultation initiative.  All activities are centered at the capital Dhaka."/>
    <s v="Goverenment officials and other stakeholders who are connected to humanitarian assessment prior to response will be able to do their work better, resulting in improved evidence-based humanitarian response to disasters"/>
    <n v="0"/>
    <n v="0"/>
    <n v="0"/>
    <n v="0"/>
    <n v="0"/>
    <n v="0"/>
    <s v="This is an initiative with the oblective of developing a project that fulfills/supports the advancement of Joint Needs Assessment (JNA) approach in Bangladesh. No direct support is being provided, rather the project (that will be based on this consultaion) will be helpful to identify appropriate needs of disaster affected community."/>
    <m/>
    <n v="0"/>
    <n v="0"/>
    <n v="0"/>
    <n v="0"/>
    <n v="0"/>
    <n v="0"/>
    <s v="NO"/>
    <m/>
    <m/>
    <m/>
    <s v="NO"/>
    <m/>
    <m/>
    <m/>
    <s v="NO"/>
    <m/>
    <m/>
    <m/>
    <s v="NO"/>
    <m/>
    <m/>
    <m/>
    <s v="NO"/>
    <m/>
    <m/>
    <m/>
    <s v="NO"/>
    <m/>
    <m/>
    <m/>
    <s v="NO"/>
    <m/>
    <m/>
    <m/>
    <s v="NO"/>
    <m/>
    <m/>
    <m/>
    <s v="NO"/>
    <m/>
    <m/>
    <m/>
    <s v="NO"/>
    <m/>
    <m/>
    <m/>
    <s v="NO"/>
    <m/>
    <m/>
    <m/>
    <s v="NO"/>
    <m/>
    <m/>
    <m/>
    <s v="Joint Needs Assessment Capacity Building - YES"/>
    <s v="YES"/>
    <m/>
    <m/>
    <m/>
    <m/>
    <m/>
    <m/>
    <m/>
    <m/>
    <m/>
    <m/>
    <m/>
    <m/>
    <m/>
    <m/>
    <m/>
    <m/>
    <m/>
    <m/>
    <m/>
    <m/>
    <m/>
    <m/>
    <m/>
    <m/>
    <m/>
    <m/>
    <m/>
    <m/>
    <m/>
    <m/>
    <m/>
    <m/>
    <m/>
    <m/>
    <m/>
    <m/>
    <m/>
    <m/>
    <m/>
    <m/>
    <m/>
    <m/>
    <m/>
    <m/>
    <m/>
    <m/>
    <m/>
    <m/>
    <m/>
    <m/>
    <m/>
    <m/>
    <m/>
    <m/>
    <m/>
    <m/>
    <m/>
    <m/>
    <m/>
    <m/>
    <m/>
    <m/>
    <m/>
    <m/>
    <m/>
    <m/>
    <m/>
    <m/>
    <m/>
    <m/>
    <m/>
    <m/>
    <m/>
    <m/>
    <m/>
    <m/>
    <m/>
    <m/>
    <s v="NO"/>
    <m/>
    <m/>
    <s v="NO"/>
    <s v="NO"/>
    <m/>
    <m/>
    <s v="As an assessment initiative, the project had to direct work with impact groups only with enabling stakeholders. As such, the initiative did not have a baseline or Evaluations held"/>
    <x v="1"/>
    <s v="NO"/>
    <s v="NO"/>
    <s v="NO"/>
    <s v="NO"/>
    <s v="YES"/>
    <s v="NO"/>
    <s v="NO"/>
    <s v="NO"/>
    <m/>
    <x v="1"/>
    <s v="Through better pre-response assessment, it aims to have more poverty and gender focused response to disaster"/>
    <x v="1"/>
    <s v="The initiative is not like any regular projects that has specific targeted direct or indirect beneficiaries. Also it doesn't have adirect focus on gender, governance etc marker. The project focused on completing broadly four major tasks: =- Select/identify key informants/stakeholder for interview and undertake meetings / workshops with key stakeholders including from government actors and development partners =- Map current projects/initiatives containing assessment activities, including GIS and information management and developed  a comprehensive assessment preparedness framework based on understanding of Bangladesh stakeholders’ assessment capacity-gaps =- Update/ Re-design BNASP proposal to reflect key findings of the consultation vis-à-vis government capacity gaps =- Retain the in-country capacity to lead/coordinate any Joint Needs assessment (JNA) when it is launched. and also continue to advocate for the JNA approach as well as support in capacity development of various stakeholders."/>
    <x v="1"/>
    <x v="0"/>
    <s v="YES"/>
    <x v="0"/>
    <x v="0"/>
    <x v="1"/>
    <x v="1"/>
    <n v="3"/>
    <x v="1"/>
    <x v="1"/>
    <x v="1"/>
    <x v="1"/>
    <x v="1"/>
    <x v="1"/>
    <n v="4"/>
    <x v="3"/>
    <x v="1"/>
    <x v="1"/>
    <x v="1"/>
    <x v="4"/>
    <n v="3"/>
    <x v="3"/>
    <x v="2"/>
    <n v="3"/>
    <s v="International NGO(s)"/>
    <s v="Multilateral organization(s)"/>
    <s v="National government"/>
    <x v="0"/>
    <s v="The initiative developed a framework of Needs Assesment and identified areas where capacity building support is required fro the civil society"/>
    <m/>
    <s v="A well consulted Bangladesh Assessment Framework is crucial for understanding the lnkage and realtionship among various initiatives on Assessment"/>
    <s v="Conceptual clarification, buy in and ownership from various stakeholders, especialy governement authorities, are very much essential for achieving the goal."/>
    <s v="Continuous facilitaion support is required for developing the methodologoes/tools, caapcity building of stakeholders, regular updating of secondary information bank."/>
    <s v="A Need Assessment Working Group (NAWG),  comparising of representatives from all stakeholders, is very much crucial for taking the initiative forward and establish a platform who looks into and looks after the needs assessment issues including JNA."/>
    <s v="A dedicated project, a center of excellence/secretariate of NAWG, and continuous facilitation is required."/>
    <s v="Regular updating of methodlogies and tools is important to incorporate new technologies, mechanisms, policies and trends."/>
    <m/>
    <m/>
    <n v="0"/>
    <n v="0"/>
    <s v=""/>
    <s v=""/>
    <s v=""/>
    <n v="0"/>
    <n v="0"/>
    <n v="1"/>
    <n v="0"/>
    <n v="0"/>
    <s v=""/>
    <s v=""/>
    <n v="0"/>
    <n v="0"/>
    <s v=""/>
    <s v=""/>
    <n v="0"/>
    <n v="0"/>
    <s v=""/>
    <s v=""/>
    <n v="0"/>
    <n v="0"/>
    <s v=""/>
    <s v=""/>
    <n v="0"/>
    <n v="0"/>
    <s v=""/>
    <s v="1. Neutral"/>
    <s v="2. Accommodating"/>
    <s v="4. Transformative"/>
    <s v="It tested new ways for fighting poverty, but did not measure results of innovation"/>
    <s v="Moderate advocacy"/>
    <s v="It linked and worked with strategic alliances and partners to take tested and effective solutions to scale"/>
  </r>
  <r>
    <x v="3"/>
    <x v="0"/>
    <n v="2752"/>
    <s v="Building Resilience of the Urban Poor (BRUP) project"/>
    <s v="Bangladesh"/>
    <s v="COCOBD0001"/>
    <s v="CARE USA"/>
    <s v="Foundation"/>
    <s v="Other"/>
    <s v="C&amp;A Foundation/Constanter Cooperative"/>
    <s v="COCOBD0001"/>
    <s v="CARE USA"/>
    <s v="Individual supporter"/>
    <s v="Other"/>
    <s v="Mr. Jon R. Elam General Manager, Tamalpais Community Services District"/>
    <m/>
    <m/>
    <m/>
    <m/>
    <m/>
    <m/>
    <m/>
    <m/>
    <m/>
    <m/>
    <m/>
    <m/>
    <m/>
    <m/>
    <m/>
    <m/>
    <m/>
    <m/>
    <m/>
    <m/>
    <m/>
    <m/>
    <m/>
    <m/>
    <m/>
    <m/>
    <m/>
    <m/>
    <m/>
    <m/>
    <m/>
    <m/>
    <m/>
    <m/>
    <m/>
    <m/>
    <m/>
    <m/>
    <m/>
    <m/>
    <d v="2014-01-03T00:00:00"/>
    <d v="2017-10-31T00:00:00"/>
    <m/>
    <s v="Development Other"/>
    <n v="1380359"/>
    <s v="Palash Mondal"/>
    <s v="Coordinator - Resilience and Climate Change "/>
    <s v="palash.mondal@care.org"/>
    <s v="Melanie Minzes"/>
    <s v="Senior Director, Strategic Partnerships &amp; Alliances, Washington DC, USA"/>
    <s v="Melanie.Minzes@care.org"/>
    <s v="YES"/>
    <s v="YES"/>
    <s v="YES"/>
    <s v="Enhanced resilience of six targeted urban communities and three targeted institutions reaching a total of 8,000 individuals (directly and indirectly) who can prepare for, mitigate, respond to and recover from shocks and stresses"/>
    <s v="Sub-National"/>
    <s v="Gazipur City Corporation"/>
    <s v="Urban individuals, poor and extremely poor women in the six targeted communities, three targeted institutions (Gazipur City Corporation, two Fire Service and Civil Defence at Gazipur Sadar and Tongi)"/>
    <n v="1100"/>
    <n v="900"/>
    <n v="2000"/>
    <n v="3000"/>
    <n v="3000"/>
    <n v="6000"/>
    <s v="Direct participants:Those who are different group members, attended in regular meetings/sessions, received training and/or support either in cash or kind. Indirect participants: All household members who have participated/benefited in/through different awareness events/interventions. "/>
    <m/>
    <n v="10"/>
    <m/>
    <n v="10"/>
    <n v="166"/>
    <n v="164"/>
    <n v="330"/>
    <s v="NO"/>
    <m/>
    <m/>
    <m/>
    <s v="NO"/>
    <m/>
    <m/>
    <m/>
    <s v="NO"/>
    <m/>
    <m/>
    <m/>
    <s v="NO"/>
    <m/>
    <m/>
    <m/>
    <s v="NO"/>
    <m/>
    <m/>
    <m/>
    <s v="NO"/>
    <m/>
    <m/>
    <m/>
    <s v="NO"/>
    <m/>
    <m/>
    <m/>
    <s v="Yes"/>
    <n v="10"/>
    <n v="1"/>
    <n v="27"/>
    <s v="NO"/>
    <m/>
    <m/>
    <m/>
    <s v="NO"/>
    <m/>
    <m/>
    <m/>
    <s v="NO"/>
    <m/>
    <m/>
    <m/>
    <s v="NO"/>
    <m/>
    <m/>
    <m/>
    <s v="Community Development Committee (CDC) managed emergency food, cloth support for fire affected households by mobilizing community, govt. and private sector.  "/>
    <s v="YES"/>
    <m/>
    <m/>
    <n v="330"/>
    <n v="1269"/>
    <n v="927"/>
    <n v="2196"/>
    <n v="7600"/>
    <n v="6475"/>
    <n v="14075"/>
    <s v="NO"/>
    <m/>
    <m/>
    <m/>
    <s v="YES"/>
    <n v="1030"/>
    <n v="0.72470000000000001"/>
    <n v="5512"/>
    <s v="NO"/>
    <m/>
    <m/>
    <m/>
    <s v="YES"/>
    <n v="1439"/>
    <n v="0.53"/>
    <n v="12669"/>
    <s v="NO"/>
    <m/>
    <m/>
    <m/>
    <s v="NO"/>
    <m/>
    <m/>
    <m/>
    <s v="NO"/>
    <m/>
    <m/>
    <m/>
    <s v="YES"/>
    <n v="823"/>
    <n v="0.76"/>
    <n v="7903"/>
    <s v="YES"/>
    <n v="1672"/>
    <n v="0.65"/>
    <n v="14075"/>
    <s v="NO"/>
    <m/>
    <m/>
    <m/>
    <s v="YES"/>
    <n v="65"/>
    <n v="0.51"/>
    <n v="14075"/>
    <s v="NO"/>
    <m/>
    <m/>
    <m/>
    <s v="YES"/>
    <n v="1575"/>
    <n v="0.25"/>
    <n v="3888"/>
    <s v="NO"/>
    <m/>
    <m/>
    <m/>
    <s v="YES"/>
    <n v="1131"/>
    <n v="0.61"/>
    <n v="13389"/>
    <s v="YES"/>
    <n v="300"/>
    <n v="1"/>
    <n v="985"/>
    <m/>
    <m/>
    <m/>
    <m/>
    <m/>
    <s v="NO"/>
    <m/>
    <m/>
    <s v="NO"/>
    <s v="YES"/>
    <s v="October"/>
    <n v="2017"/>
    <s v="Following global indicators will be condsidered in final evaluation: 16. # and % of women who are active users of financial services (disaggregated by informal and formal services) (related to SDG indicator 8.10.2). 17. % of women who report they are able to equally participate in household financial decision-making. 21. % of people that have actively engaged in reducing their vulnerabilities to the shocks that affect them"/>
    <x v="1"/>
    <s v="NO"/>
    <s v="NO"/>
    <s v="YES"/>
    <s v="YES"/>
    <s v="NO"/>
    <s v="NO"/>
    <s v="YES"/>
    <m/>
    <m/>
    <x v="1"/>
    <s v="Facilitating participatory risk assessment and inclusive planinng process that address particular problems of women and girls. E.g women has identified darkness as hazard and installation of street solar light reduced voilance against women and girls.    "/>
    <x v="1"/>
    <s v="Inlitially, project demonestrated Ward Disaster Management Committee in two wards and provided technical assistance to scale-up in all 57 wards in Gazipur City Corporation."/>
    <x v="1"/>
    <x v="1"/>
    <s v="YES"/>
    <x v="0"/>
    <x v="0"/>
    <x v="0"/>
    <x v="2"/>
    <n v="4"/>
    <x v="1"/>
    <x v="1"/>
    <x v="1"/>
    <x v="1"/>
    <x v="1"/>
    <x v="1"/>
    <n v="4"/>
    <x v="3"/>
    <x v="1"/>
    <x v="1"/>
    <x v="1"/>
    <x v="4"/>
    <n v="3"/>
    <x v="0"/>
    <x v="2"/>
    <n v="5"/>
    <s v="Local NGO(s)/CSO(s)"/>
    <s v="Local alliance(s)/Platform(s)/Network(s) of  NGOs/CSOs"/>
    <s v="Other"/>
    <x v="2"/>
    <s v="INGOS, Academicians, practiononers, stakehlders, policy analyst are attending in the Urban INGO forum dialogue and National Urban Resilience Conference to find out the gaps and influence appropriate authority to take measurement. "/>
    <m/>
    <s v="Urban Community Volunteers (UCVs) works as first line defence and extended force of Fire Service and Civil Defence (FSCD), e.g. UCVs worked with FSCD in Tampaco tragedy."/>
    <s v="Community-led garbage and water management system run as self sustained model."/>
    <s v="Demonstrate Ward Disaster Management Committee in two wards and scale-up in all 57 wards in Gazipur City Corporation."/>
    <s v="Inclusive participatory planning and implementation is essential for community ownership a must for impact sustainability."/>
    <s v="Women have the potential to be a force for urban resilience beyond traditional roles."/>
    <s v="Formal partnership with institute is useful for smooth and effective execution of program intervention."/>
    <m/>
    <m/>
    <n v="2196"/>
    <n v="14075"/>
    <n v="6.4093806921675771"/>
    <n v="0.57786885245901642"/>
    <n v="0.53996447602131437"/>
    <n v="1269"/>
    <n v="7600"/>
    <n v="1"/>
    <n v="10"/>
    <n v="330"/>
    <n v="33"/>
    <n v="1"/>
    <n v="1439"/>
    <n v="13389"/>
    <n v="9.3043780403057674"/>
    <s v=""/>
    <n v="0"/>
    <n v="0"/>
    <s v=""/>
    <n v="1"/>
    <n v="823"/>
    <n v="7903"/>
    <n v="9.6026731470230864"/>
    <n v="1"/>
    <n v="300"/>
    <n v="985"/>
    <n v="3.2833333333333332"/>
    <s v="4. Transformative"/>
    <s v="2. Accommodating"/>
    <s v="4. Transformative"/>
    <s v="It tested new ways for fighting poverty, but did not measure results of innovation"/>
    <s v="Moderate advocacy"/>
    <s v="It linked and worked with strategic alliances and partners to take tested and effective solutions to scale"/>
  </r>
  <r>
    <x v="3"/>
    <x v="0"/>
    <m/>
    <s v="Capturing the Effects of Inclusive Governance"/>
    <s v="Bangladesh"/>
    <s v="CGBRBD0104"/>
    <s v="CARE UK"/>
    <s v="Government"/>
    <s v="Government - UK"/>
    <s v="DFID"/>
    <m/>
    <m/>
    <m/>
    <m/>
    <m/>
    <m/>
    <m/>
    <m/>
    <m/>
    <m/>
    <m/>
    <m/>
    <m/>
    <m/>
    <m/>
    <m/>
    <m/>
    <m/>
    <m/>
    <m/>
    <m/>
    <m/>
    <m/>
    <m/>
    <m/>
    <m/>
    <m/>
    <m/>
    <m/>
    <m/>
    <m/>
    <m/>
    <m/>
    <m/>
    <m/>
    <m/>
    <m/>
    <m/>
    <m/>
    <m/>
    <m/>
    <m/>
    <m/>
    <m/>
    <m/>
    <d v="2016-12-01T00:00:00"/>
    <d v="2017-12-01T00:00:00"/>
    <m/>
    <s v="Development Other"/>
    <n v="74539.406846197293"/>
    <s v="Murad Bin Aziz"/>
    <s v="Governance Coordinator, Extreme Rural Poverty Program"/>
    <s v="MuradBin.Aziz@care.org"/>
    <s v="Anowarul Haq"/>
    <s v="Director,Extreme Rural Poverty Program"/>
    <s v="anowarul.haq@care.org"/>
    <s v="YES"/>
    <s v="YES"/>
    <s v="YES"/>
    <s v="Union Parishad public finance management systems are strengthened, transparent and aligned with the Local Government Act 2009. UP will benefit from institutional strengthening through establishing transparent and participatory budget process-es which will ultimately improve their legitimacy,  their effectiveness in delivering services  and ultimately their income rev-enues"/>
    <s v="Global"/>
    <s v="The priority countries for this initiative are Bangladesh and Ghana. We aim to include a mixture of live and closed projects in order to strike a balance between ex post evaluation and adaptive programming. As the initiative evolves, further countries and programming contexts may be added."/>
    <s v="The CARE International 2020 Program Strategy outlines three elements of CARE’s core approach: strengthening gender equality and women’s voice; promoting inclusive governance (IG); and increasing resilience. The promotion of inclusive governance is therefore a central component of CARE’s work everywhere. CARE has extensive experience in empowerment and accountability, what CARE calls inclusive governance, programming. In fiscal year 2015, for example, CARE was implementing 339 projects in 63 countries addressing to different extents issues of inclusive governance."/>
    <n v="0"/>
    <n v="0"/>
    <n v="0"/>
    <n v="0"/>
    <n v="0"/>
    <n v="0"/>
    <s v="n/a"/>
    <m/>
    <m/>
    <m/>
    <m/>
    <m/>
    <m/>
    <m/>
    <m/>
    <m/>
    <m/>
    <m/>
    <m/>
    <m/>
    <m/>
    <m/>
    <m/>
    <m/>
    <m/>
    <m/>
    <m/>
    <m/>
    <m/>
    <m/>
    <m/>
    <m/>
    <m/>
    <m/>
    <m/>
    <m/>
    <m/>
    <m/>
    <m/>
    <m/>
    <m/>
    <m/>
    <m/>
    <m/>
    <m/>
    <m/>
    <m/>
    <m/>
    <m/>
    <m/>
    <m/>
    <m/>
    <m/>
    <m/>
    <m/>
    <m/>
    <m/>
    <m/>
    <m/>
    <m/>
    <m/>
    <m/>
    <m/>
    <m/>
    <m/>
    <m/>
    <m/>
    <n v="0"/>
    <n v="0"/>
    <n v="0"/>
    <n v="0"/>
    <n v="0"/>
    <n v="0"/>
    <s v="NO"/>
    <m/>
    <m/>
    <m/>
    <s v="NO"/>
    <m/>
    <m/>
    <m/>
    <s v="NO"/>
    <m/>
    <m/>
    <m/>
    <s v="NO"/>
    <m/>
    <m/>
    <m/>
    <s v="NO"/>
    <m/>
    <m/>
    <m/>
    <s v="NO"/>
    <m/>
    <m/>
    <m/>
    <s v="NO"/>
    <m/>
    <m/>
    <m/>
    <s v="NO"/>
    <m/>
    <m/>
    <m/>
    <s v="NO"/>
    <m/>
    <m/>
    <m/>
    <s v="NO"/>
    <m/>
    <m/>
    <m/>
    <s v="NO"/>
    <m/>
    <m/>
    <m/>
    <s v="NO"/>
    <m/>
    <m/>
    <m/>
    <s v="NO"/>
    <m/>
    <m/>
    <m/>
    <s v="NO"/>
    <m/>
    <m/>
    <m/>
    <s v="NO"/>
    <m/>
    <m/>
    <m/>
    <s v="NO"/>
    <m/>
    <m/>
    <m/>
    <m/>
    <m/>
    <m/>
    <m/>
    <m/>
    <s v="NO"/>
    <m/>
    <m/>
    <s v="NO"/>
    <s v="NO"/>
    <m/>
    <m/>
    <m/>
    <x v="1"/>
    <s v="NO"/>
    <s v="NO"/>
    <s v="YES"/>
    <s v="YES"/>
    <s v="YES"/>
    <s v="YES"/>
    <s v="NO"/>
    <s v="NO"/>
    <m/>
    <x v="0"/>
    <m/>
    <x v="0"/>
    <m/>
    <x v="3"/>
    <x v="0"/>
    <s v="YES"/>
    <x v="0"/>
    <x v="0"/>
    <x v="1"/>
    <x v="1"/>
    <n v="3"/>
    <x v="2"/>
    <x v="1"/>
    <x v="1"/>
    <x v="1"/>
    <x v="1"/>
    <x v="2"/>
    <n v="4"/>
    <x v="0"/>
    <x v="0"/>
    <x v="0"/>
    <x v="0"/>
    <x v="0"/>
    <n v="0"/>
    <x v="2"/>
    <x v="1"/>
    <m/>
    <m/>
    <m/>
    <m/>
    <x v="0"/>
    <m/>
    <s v="The project has introduced political economy analysis to formulate pro poor vision and planning in each union under the operation of JATRA project. The analysis encourages and validates local government councils to allocate resources and implement more programs for marginalized and poor communities. As a follow up for accountability, the project initiated participatory self evaluation of local councils on a six monthly basis. The learning was shared to Horizontal Learning program (HLP), a peer to peer learning program coordinated by local government division, more than 100 chairmen from different corner of the project have visited JATRA operated union and learn the practice for adapting in their respective union. As a best practice, HLP has published into the fact sheet and circulated to all unions under the program of the project."/>
    <s v="Aim to include a mixture of live and closed projects in order to strike a balance between ex post evaluation and adaptive programming."/>
    <s v="In terms of programming approaches and models, CARE frequently employs a variety of social accountability tools such as community score cards, community action planning, social audits, and citizen charters"/>
    <s v="CARE also uses ICTs extensively and this may be seen either as an important source of data, but also a platform for feedback loops for future programming."/>
    <m/>
    <m/>
    <m/>
    <m/>
    <m/>
    <n v="0"/>
    <n v="0"/>
    <s v=""/>
    <s v=""/>
    <s v=""/>
    <n v="0"/>
    <n v="0"/>
    <n v="1"/>
    <n v="0"/>
    <n v="0"/>
    <s v=""/>
    <s v=""/>
    <n v="0"/>
    <n v="0"/>
    <s v=""/>
    <s v=""/>
    <n v="0"/>
    <n v="0"/>
    <s v=""/>
    <s v=""/>
    <n v="0"/>
    <n v="0"/>
    <s v=""/>
    <s v=""/>
    <n v="0"/>
    <n v="0"/>
    <s v=""/>
    <s v="1. Neutral"/>
    <s v="4. Transformational"/>
    <s v="No marker score"/>
    <s v="It did not develop any specific innovation"/>
    <s v="Moderate advocacy"/>
    <s v="It did not take tested solutions to scale"/>
  </r>
  <r>
    <x v="3"/>
    <x v="0"/>
    <n v="2756"/>
    <s v="CARE - GlaxoSmithKline Community Health Worker Initiaitve"/>
    <s v="Bangladesh"/>
    <s v="CGBRBD0099"/>
    <s v="CARE UK"/>
    <s v="Corporation"/>
    <s v="Other"/>
    <s v="GlaxoSmithKline (GSK)"/>
    <m/>
    <m/>
    <m/>
    <m/>
    <m/>
    <m/>
    <m/>
    <m/>
    <m/>
    <m/>
    <m/>
    <m/>
    <m/>
    <m/>
    <m/>
    <m/>
    <m/>
    <m/>
    <m/>
    <m/>
    <m/>
    <m/>
    <m/>
    <m/>
    <m/>
    <m/>
    <m/>
    <m/>
    <m/>
    <m/>
    <m/>
    <m/>
    <m/>
    <m/>
    <m/>
    <m/>
    <m/>
    <m/>
    <m/>
    <m/>
    <m/>
    <m/>
    <m/>
    <m/>
    <m/>
    <d v="2012-12-01T00:00:00"/>
    <d v="2018-11-30T00:00:00"/>
    <m/>
    <s v="Development Sexual, Reproductive and Maternal Health (SRMH)"/>
    <n v="7259437"/>
    <s v="Dr. Jahangir Hossain"/>
    <s v="Program Director- Health"/>
    <s v="jahangir.hossain@care.org"/>
    <s v="Dr. Md. Ahsanul Islam"/>
    <s v="Coordinator- Health System Strengthening"/>
    <s v="ahsanul.islam@care.org"/>
    <s v="NO"/>
    <s v="YES"/>
    <s v="NO"/>
    <s v="To improve health and nutrition outcomes of the population in remote, poor and underserved areas with special attention to maternal and child health."/>
    <s v="Sub-National"/>
    <s v="88 Unions of all the 11 sub-districts of Sunamganj District"/>
    <s v="Women of Reproductive Age (WRA), Pregnant Women (PW), Eligible Cauple (ELCO), Children &lt;5"/>
    <n v="316663"/>
    <n v="88480"/>
    <n v="405143"/>
    <n v="578311"/>
    <n v="343024"/>
    <n v="921335"/>
    <s v="Direct Participants: Pregnant Women, Newborn &amp; Under 5 children, communitysupport group members, Private CSBAs and CHWs, Participants of different community engagement sessions. Indirect Participants: WRA who are not pregnant, 25% Pregnant Women,  50% Under 5 children &amp; Male partners of eligible couple"/>
    <m/>
    <m/>
    <m/>
    <m/>
    <m/>
    <m/>
    <m/>
    <m/>
    <m/>
    <m/>
    <m/>
    <m/>
    <m/>
    <m/>
    <m/>
    <m/>
    <m/>
    <m/>
    <m/>
    <m/>
    <m/>
    <m/>
    <m/>
    <m/>
    <m/>
    <m/>
    <m/>
    <m/>
    <m/>
    <m/>
    <m/>
    <m/>
    <m/>
    <m/>
    <m/>
    <m/>
    <m/>
    <m/>
    <m/>
    <m/>
    <m/>
    <m/>
    <m/>
    <m/>
    <m/>
    <m/>
    <m/>
    <m/>
    <m/>
    <m/>
    <m/>
    <m/>
    <m/>
    <m/>
    <m/>
    <m/>
    <m/>
    <m/>
    <m/>
    <m/>
    <n v="120361"/>
    <n v="39844"/>
    <n v="160205"/>
    <n v="669182"/>
    <n v="446121"/>
    <n v="1115303"/>
    <s v="NO"/>
    <m/>
    <m/>
    <m/>
    <s v="NO"/>
    <m/>
    <m/>
    <m/>
    <s v="NO"/>
    <m/>
    <m/>
    <m/>
    <s v="NO"/>
    <m/>
    <m/>
    <m/>
    <s v="NO"/>
    <m/>
    <m/>
    <m/>
    <s v="NO"/>
    <m/>
    <m/>
    <m/>
    <s v="NO"/>
    <m/>
    <m/>
    <m/>
    <s v="YES"/>
    <n v="8978"/>
    <n v="0.41"/>
    <n v="26934"/>
    <s v="YES"/>
    <n v="16754"/>
    <n v="0.22"/>
    <n v="50272"/>
    <s v="YES"/>
    <n v="41113"/>
    <n v="0.5"/>
    <n v="82226"/>
    <s v="NO"/>
    <m/>
    <m/>
    <m/>
    <s v="NO"/>
    <m/>
    <m/>
    <m/>
    <s v="YES"/>
    <n v="9550"/>
    <n v="0.33"/>
    <n v="28650"/>
    <s v="YES"/>
    <n v="160204"/>
    <n v="7.0000000000000007E-2"/>
    <n v="1115303"/>
    <s v="NO"/>
    <m/>
    <m/>
    <m/>
    <s v="YES"/>
    <n v="300"/>
    <n v="1"/>
    <n v="900"/>
    <m/>
    <m/>
    <m/>
    <m/>
    <m/>
    <s v="NO"/>
    <m/>
    <m/>
    <s v="NO"/>
    <s v="NO"/>
    <m/>
    <m/>
    <m/>
    <x v="1"/>
    <s v="NO"/>
    <s v="NO"/>
    <s v="YES"/>
    <s v="YES"/>
    <s v="YES"/>
    <s v="YES"/>
    <s v="NO"/>
    <s v="NO"/>
    <m/>
    <x v="1"/>
    <s v="Engaging local government in mitigating the negetive effect of traditional providers"/>
    <x v="1"/>
    <s v="Develop a holistic partnership model to increase health services access in remote communities which can be replicated by the government, donors and other stakeholders in other areas."/>
    <x v="1"/>
    <x v="1"/>
    <s v="YES"/>
    <x v="0"/>
    <x v="0"/>
    <x v="0"/>
    <x v="2"/>
    <n v="4"/>
    <x v="2"/>
    <x v="1"/>
    <x v="1"/>
    <x v="1"/>
    <x v="1"/>
    <x v="2"/>
    <n v="4"/>
    <x v="1"/>
    <x v="1"/>
    <x v="1"/>
    <x v="1"/>
    <x v="1"/>
    <n v="3"/>
    <x v="2"/>
    <x v="3"/>
    <n v="4"/>
    <s v="National government"/>
    <s v="University/research institution(s)"/>
    <s v="Local government(s)"/>
    <x v="2"/>
    <m/>
    <s v="The project is well aligned with CARE's approach and roles from the beginning."/>
    <s v="Develop sustainable health care providers to provide affordable and high-quality MNCH services in the remote and poor communities."/>
    <s v="Integrate new services into P-CSBAs’ service packages to address unmet needs and demands for health and nutrition services."/>
    <s v="Increase commitment and support of the Private CSBA scheme by the local government for long-term sustainably"/>
    <s v=" Private CSBA’s personal motivation, readiness and family support is crucial and selection of appropriate candidate appears to be the key to long term sustainability."/>
    <s v="Quality of Care is at the center of market development of a community based skilled service provider."/>
    <s v="Some local level effective collaborations with the NGOs working in Sunamganj district are setting examples of cost sharing   in organizing community gatherings, showcasing the success of the initiative,  advocacy and Private CSBAs promotional activity"/>
    <m/>
    <s v="Proposal, Progress Report (Jun - Nov 2016) and Progess Report (Dec'16 - May 2017)"/>
    <n v="160205"/>
    <n v="1115303"/>
    <n v="6.961724041072376"/>
    <n v="0.7512936550045255"/>
    <n v="0.60000017932346639"/>
    <n v="120361"/>
    <n v="669182"/>
    <s v=""/>
    <n v="0"/>
    <n v="0"/>
    <s v=""/>
    <s v=""/>
    <n v="0"/>
    <n v="0"/>
    <s v=""/>
    <n v="1"/>
    <n v="160204"/>
    <n v="1115303"/>
    <n v="6.961767496442036"/>
    <n v="1"/>
    <n v="8978"/>
    <n v="26934"/>
    <n v="3"/>
    <n v="1"/>
    <n v="300"/>
    <n v="900"/>
    <n v="3"/>
    <s v="4. Transformative"/>
    <s v="4. Transformational"/>
    <s v="2. Sensitive"/>
    <s v="It tested new ways for fighting poverty, but did not measure results of innovation"/>
    <s v="Moderate advocacy"/>
    <s v="It linked and worked with strategic alliances and partners to take tested and effective solutions to scale"/>
  </r>
  <r>
    <x v="3"/>
    <x v="0"/>
    <n v="2755"/>
    <s v="CARE-GSK RMG Workers Health Initiative"/>
    <s v="Bangladesh"/>
    <s v="CGBRBD0096"/>
    <s v="CARE UK"/>
    <s v="Corporation"/>
    <s v="Other"/>
    <s v="GlaxoSmithKline (GSK)"/>
    <m/>
    <m/>
    <m/>
    <m/>
    <m/>
    <m/>
    <m/>
    <m/>
    <m/>
    <m/>
    <m/>
    <m/>
    <m/>
    <m/>
    <m/>
    <m/>
    <m/>
    <m/>
    <m/>
    <m/>
    <m/>
    <m/>
    <m/>
    <m/>
    <m/>
    <m/>
    <m/>
    <m/>
    <m/>
    <m/>
    <m/>
    <m/>
    <m/>
    <m/>
    <m/>
    <m/>
    <m/>
    <m/>
    <m/>
    <m/>
    <m/>
    <m/>
    <m/>
    <m/>
    <m/>
    <d v="2015-10-01T00:00:00"/>
    <d v="2018-09-30T00:00:00"/>
    <m/>
    <s v="Development Sexual, Reproductive and Maternal Health (SRMH)"/>
    <n v="650095"/>
    <s v="Dr. Jahirul Alam Azad"/>
    <s v="Team Leader - Urban Health"/>
    <s v="JahirulAlam.Azad@care.org"/>
    <s v="Dr. Jahangir Hossain"/>
    <s v="Program Director - Health"/>
    <s v="Jahangir.Hossain@care.org"/>
    <s v="NO"/>
    <s v="YES"/>
    <s v="NO"/>
    <s v="Enhance quality of life of 50,000 RMG workers and their family members through improved knowledge and access to health and nutrition services, community support, and conducive policy environment that enables them to live a dignified life."/>
    <s v="Sub-National"/>
    <s v="Gazipur, Bangladesh"/>
    <s v="Ready Made Garments Workers and their family members"/>
    <n v="30000"/>
    <n v="20000"/>
    <n v="50000"/>
    <n v="70000"/>
    <n v="30000"/>
    <n v="100000"/>
    <s v="Direct Participant: Targeted factory workers and their family members. Indirect Participant: Community people where targeted factory workers are live in"/>
    <m/>
    <m/>
    <m/>
    <m/>
    <m/>
    <m/>
    <m/>
    <m/>
    <m/>
    <m/>
    <m/>
    <m/>
    <m/>
    <m/>
    <m/>
    <m/>
    <m/>
    <m/>
    <m/>
    <m/>
    <m/>
    <m/>
    <m/>
    <m/>
    <m/>
    <m/>
    <m/>
    <m/>
    <m/>
    <m/>
    <m/>
    <m/>
    <m/>
    <m/>
    <m/>
    <m/>
    <m/>
    <m/>
    <m/>
    <m/>
    <m/>
    <m/>
    <m/>
    <m/>
    <m/>
    <m/>
    <m/>
    <m/>
    <m/>
    <m/>
    <m/>
    <m/>
    <m/>
    <m/>
    <m/>
    <m/>
    <m/>
    <m/>
    <m/>
    <m/>
    <n v="24734"/>
    <n v="20000"/>
    <n v="44734"/>
    <n v="40000"/>
    <n v="20000"/>
    <n v="60000"/>
    <s v="NO"/>
    <m/>
    <m/>
    <m/>
    <s v="NO"/>
    <m/>
    <m/>
    <m/>
    <s v="NO"/>
    <m/>
    <m/>
    <m/>
    <s v="NO"/>
    <m/>
    <m/>
    <m/>
    <s v="YES"/>
    <n v="44734"/>
    <n v="0.55000000000000004"/>
    <n v="60000"/>
    <s v="NO"/>
    <m/>
    <m/>
    <m/>
    <s v="NO"/>
    <m/>
    <m/>
    <m/>
    <s v="YES"/>
    <n v="44734"/>
    <n v="0.55000000000000004"/>
    <n v="60000"/>
    <s v="NO"/>
    <m/>
    <m/>
    <m/>
    <s v="NO"/>
    <m/>
    <m/>
    <m/>
    <s v="NO"/>
    <m/>
    <m/>
    <m/>
    <s v="NO"/>
    <m/>
    <m/>
    <m/>
    <s v="NO"/>
    <m/>
    <m/>
    <m/>
    <s v="YES"/>
    <n v="44734"/>
    <n v="0.55000000000000004"/>
    <n v="60000"/>
    <s v="NO"/>
    <m/>
    <m/>
    <m/>
    <s v="NO"/>
    <m/>
    <m/>
    <m/>
    <m/>
    <s v="NO"/>
    <m/>
    <m/>
    <m/>
    <s v="NO"/>
    <m/>
    <m/>
    <s v="NO"/>
    <s v="NO"/>
    <m/>
    <m/>
    <m/>
    <x v="0"/>
    <s v="NO"/>
    <s v="NO"/>
    <s v="NO"/>
    <s v="NO"/>
    <s v="NO"/>
    <s v="NO"/>
    <s v="NO"/>
    <s v="NO"/>
    <m/>
    <x v="2"/>
    <m/>
    <x v="1"/>
    <m/>
    <x v="1"/>
    <x v="0"/>
    <s v="YES"/>
    <x v="0"/>
    <x v="0"/>
    <x v="0"/>
    <x v="0"/>
    <n v="4"/>
    <x v="1"/>
    <x v="1"/>
    <x v="1"/>
    <x v="1"/>
    <x v="1"/>
    <x v="1"/>
    <n v="4"/>
    <x v="1"/>
    <x v="1"/>
    <x v="1"/>
    <x v="1"/>
    <x v="1"/>
    <n v="3"/>
    <x v="0"/>
    <x v="1"/>
    <m/>
    <m/>
    <m/>
    <m/>
    <x v="1"/>
    <m/>
    <m/>
    <s v="Peer Education"/>
    <s v="Urban Health System Strengthening"/>
    <s v="Community Support System"/>
    <s v="Agreement on common interest is value adding for creating service access from multiple service providers including government and non-government"/>
    <s v=" Continuous strategy evaluation and reviewing action plan are significantly important to get effective result in urban context due to diversified and critical dynamism of population"/>
    <s v="Personal interest and biasness of stakeholders affects smooth functioning of project activities at community level. It can take significant time to bring all stakeholders on the same page, share common interest/goals and set priorities to address RMG workers’ health and social issues"/>
    <m/>
    <s v="Prgress reports"/>
    <n v="44734"/>
    <n v="60000"/>
    <n v="1.341261680153798"/>
    <n v="0.55291277328206734"/>
    <n v="0.66666666666666663"/>
    <n v="24734"/>
    <n v="40000"/>
    <s v=""/>
    <n v="0"/>
    <n v="0"/>
    <s v=""/>
    <n v="1"/>
    <n v="44734"/>
    <n v="60000"/>
    <n v="1.341261680153798"/>
    <n v="1"/>
    <n v="44734"/>
    <n v="60000"/>
    <n v="1.341261680153798"/>
    <n v="1"/>
    <n v="44734"/>
    <n v="60000"/>
    <n v="1.341261680153798"/>
    <n v="1"/>
    <n v="24603.7"/>
    <n v="33000"/>
    <n v="1.341261680153798"/>
    <s v="2. Sensitive"/>
    <s v="2. Accommodating"/>
    <s v="2. Sensitive"/>
    <s v="It tested new ways for fighting poverty and measured results of innovation"/>
    <s v="Little or no advocacy"/>
    <s v="It linked and worked with strategic alliances and partners to take tested and effective solutions to scale"/>
  </r>
  <r>
    <x v="3"/>
    <x v="0"/>
    <m/>
    <s v="Community based Interventions to Improve Effective Coverage of Maternal, New-born and Child Health services (IECMNCH)"/>
    <s v="Bangladesh"/>
    <s v="UNCABD0020"/>
    <s v="CARE USA"/>
    <s v="Multilateral agency"/>
    <s v="Other"/>
    <s v="KOICA"/>
    <m/>
    <m/>
    <m/>
    <m/>
    <m/>
    <m/>
    <m/>
    <m/>
    <m/>
    <m/>
    <m/>
    <m/>
    <m/>
    <m/>
    <m/>
    <m/>
    <m/>
    <m/>
    <m/>
    <m/>
    <m/>
    <m/>
    <m/>
    <m/>
    <m/>
    <m/>
    <m/>
    <m/>
    <m/>
    <m/>
    <m/>
    <m/>
    <m/>
    <m/>
    <m/>
    <m/>
    <m/>
    <m/>
    <m/>
    <m/>
    <m/>
    <m/>
    <m/>
    <m/>
    <m/>
    <d v="2016-10-01T00:00:00"/>
    <d v="2018-12-31T00:00:00"/>
    <m/>
    <s v="Development Sexual, Reproductive and Maternal Health (SRMH)"/>
    <n v="1772681.42"/>
    <s v="Dr.Ismat Ara Hena"/>
    <s v="Team Leader"/>
    <s v="ismatara.hena@care.org"/>
    <m/>
    <m/>
    <m/>
    <s v="NO"/>
    <s v="YES"/>
    <s v="NO"/>
    <s v="The purpose of this initiative is Maternal, neonatal and under-five child mortality and morbidity are reduced and young child growth and development is improved in selected districts.The purpose of the community MNCH project is to create an enabling environment for improving effective coverage of MNCH through a community development approach."/>
    <s v="Sub-National"/>
    <s v="Khulna District (9 Upazila)"/>
    <s v="Pregnant Woman, New born and Under 5 years childrean."/>
    <n v="891127"/>
    <n v="166773"/>
    <n v="1057900"/>
    <n v="243000"/>
    <n v="1013645"/>
    <n v="1256645"/>
    <s v="Total participant direct and indirect 2.3 million (23,00,000) population of Khulna district. Direct Beneficiaries:  675,036 women of 15-49 years (WRA),  55,859 Pregnant Women, 50, 388 Newborn, 48,598 Under 1 year Infant, 213,474 Under-5 Children, Health and FP frontline staffs HA &amp;FWA = 544. Health and Family Planning Providers FWV, CHCP, SACMO&amp;CSBA = 399. Health and Family Planning Supervisor AHI, FPI&amp; HI=  172. Local Government UP chairman, members, Mayor, ward councilors,  = 992. Community Health Volunteer CHV = 730. Community Group members CG, CSG members = 10348. Community Caregivers: Teachers, religious leaders, village doctors, women, adolescents and community change agents etc=  1360"/>
    <m/>
    <m/>
    <m/>
    <m/>
    <m/>
    <m/>
    <m/>
    <m/>
    <m/>
    <m/>
    <m/>
    <m/>
    <m/>
    <m/>
    <m/>
    <m/>
    <m/>
    <m/>
    <m/>
    <m/>
    <m/>
    <m/>
    <m/>
    <m/>
    <m/>
    <m/>
    <m/>
    <m/>
    <m/>
    <m/>
    <m/>
    <m/>
    <m/>
    <m/>
    <m/>
    <m/>
    <m/>
    <m/>
    <m/>
    <m/>
    <m/>
    <m/>
    <m/>
    <m/>
    <m/>
    <m/>
    <m/>
    <m/>
    <m/>
    <m/>
    <m/>
    <m/>
    <m/>
    <m/>
    <m/>
    <m/>
    <m/>
    <m/>
    <m/>
    <m/>
    <n v="120166"/>
    <n v="89739"/>
    <n v="209905"/>
    <n v="25612"/>
    <n v="26657"/>
    <n v="52269"/>
    <s v="NO"/>
    <m/>
    <m/>
    <m/>
    <s v="NO"/>
    <m/>
    <m/>
    <m/>
    <s v="NO"/>
    <m/>
    <m/>
    <m/>
    <s v="NO"/>
    <m/>
    <m/>
    <m/>
    <s v="NO"/>
    <m/>
    <m/>
    <m/>
    <s v="NO"/>
    <m/>
    <m/>
    <m/>
    <s v="NO"/>
    <m/>
    <m/>
    <m/>
    <s v="NO"/>
    <m/>
    <m/>
    <m/>
    <s v="NO"/>
    <m/>
    <m/>
    <m/>
    <s v="YES"/>
    <n v="209905"/>
    <n v="0.57240000000000002"/>
    <n v="52269"/>
    <s v="NO"/>
    <m/>
    <m/>
    <m/>
    <s v="NO"/>
    <m/>
    <m/>
    <m/>
    <s v="NO"/>
    <m/>
    <m/>
    <m/>
    <s v="YES"/>
    <n v="209905"/>
    <n v="0.57240000000000002"/>
    <n v="52269"/>
    <s v="NO"/>
    <m/>
    <m/>
    <m/>
    <s v="NO"/>
    <m/>
    <m/>
    <m/>
    <m/>
    <m/>
    <m/>
    <m/>
    <m/>
    <s v="NO"/>
    <m/>
    <m/>
    <s v="NO"/>
    <s v="NO"/>
    <m/>
    <m/>
    <m/>
    <x v="1"/>
    <s v="NO"/>
    <s v="NO"/>
    <s v="YES"/>
    <s v="YES"/>
    <s v="YES"/>
    <s v="YES"/>
    <s v="YES"/>
    <s v="NO"/>
    <m/>
    <x v="1"/>
    <s v="Innovative social mobilization approaches and involvement of Union parashad in community level health system stengthening"/>
    <x v="1"/>
    <s v="730 Community Health Volunteer are trainied on Maternal and Child Health (Ref: Training Report)"/>
    <x v="1"/>
    <x v="0"/>
    <s v="YES"/>
    <x v="0"/>
    <x v="0"/>
    <x v="0"/>
    <x v="0"/>
    <n v="4"/>
    <x v="1"/>
    <x v="1"/>
    <x v="1"/>
    <x v="1"/>
    <x v="1"/>
    <x v="1"/>
    <n v="4"/>
    <x v="1"/>
    <x v="1"/>
    <x v="1"/>
    <x v="1"/>
    <x v="1"/>
    <n v="3"/>
    <x v="2"/>
    <x v="1"/>
    <m/>
    <m/>
    <m/>
    <m/>
    <x v="1"/>
    <m/>
    <m/>
    <s v="1. Deman Creation and Readyness of facilities."/>
    <s v="2. Local Government were positive."/>
    <s v="3. Community based Health Volunteer (CHV) can work replacement of vaccant positions of Government Health and family Planning Front line Staff."/>
    <s v="If you give longtime training facilitation then local governance will be faverable possition"/>
    <s v="When working with Community Health Volunteers, while they could retain and impart knowledge regarding MNCH, IMCI, Use of BCC materials and birth registration, when it came time to hold the courtyard meeting to impart these information, they faced problems in facilitating the sessions. Thus, it is important in ToTs to not only impart the information but also capacitize their facilitation skills."/>
    <s v="Rigorous monitoring helps identify the benefirciaries with strong uptake of training from those whose understanding or uptake was weak. This helped to classify the beneficiaries into specific needs for revisits and greater focus to ensure the project results to move from awareness to understanding to change in behaviour."/>
    <m/>
    <s v="Technecal proposal"/>
    <n v="209905"/>
    <n v="52269"/>
    <n v="0.24901264857911912"/>
    <n v="0.57247802577356421"/>
    <n v="0.490003635041803"/>
    <n v="120166"/>
    <n v="25612"/>
    <s v=""/>
    <n v="0"/>
    <n v="0"/>
    <s v=""/>
    <s v=""/>
    <n v="0"/>
    <n v="0"/>
    <s v=""/>
    <n v="1"/>
    <n v="209905"/>
    <n v="52269"/>
    <n v="0.24901264857911912"/>
    <s v=""/>
    <n v="0"/>
    <n v="0"/>
    <s v=""/>
    <s v=""/>
    <n v="0"/>
    <n v="0"/>
    <s v=""/>
    <s v="2. Sensitive"/>
    <s v="2. Accommodating"/>
    <s v="2. Sensitive"/>
    <s v="It tested new ways for fighting poverty, but did not measure results of innovation"/>
    <s v="Moderate advocacy"/>
    <s v="It linked and worked with strategic alliances and partners to take tested and effective solutions to scale"/>
  </r>
  <r>
    <x v="3"/>
    <x v="0"/>
    <m/>
    <s v="Emergency Response to Monsoon Flooding in Northern Bangladesh"/>
    <s v="Bangladesh"/>
    <s v="CGBRBD0102"/>
    <s v="CARE UK"/>
    <s v="Multilateral agency"/>
    <s v="Other"/>
    <s v="Start Network"/>
    <m/>
    <m/>
    <m/>
    <m/>
    <m/>
    <m/>
    <m/>
    <m/>
    <m/>
    <m/>
    <m/>
    <m/>
    <m/>
    <m/>
    <m/>
    <m/>
    <m/>
    <m/>
    <m/>
    <m/>
    <m/>
    <m/>
    <m/>
    <m/>
    <m/>
    <m/>
    <m/>
    <m/>
    <m/>
    <m/>
    <m/>
    <m/>
    <m/>
    <m/>
    <m/>
    <m/>
    <m/>
    <m/>
    <m/>
    <m/>
    <m/>
    <m/>
    <m/>
    <m/>
    <m/>
    <d v="2016-08-05T00:00:00"/>
    <d v="2016-09-19T00:00:00"/>
    <m/>
    <s v="Humanitarian Other"/>
    <n v="70737"/>
    <s v="Solitaire Morton"/>
    <s v="Humanitarian Programme Coordinator"/>
    <s v="smorton@careinternational.org"/>
    <s v="Md. Mahbubur Rahman"/>
    <s v="Emergency Response and Preparedness Coordinator"/>
    <s v="mahbubur.rahman@care.org"/>
    <s v="YES"/>
    <s v="NO"/>
    <s v="NO"/>
    <s v="As an emergency response project, the project supports 12,500 people from 2500 households with immediate readymade food item and similarly 12,500 people from 2500 households with emergency shelter facilities in response to northern flood."/>
    <s v="Sub-National"/>
    <s v="Kurigram Sadar District (Unions, Holokhana &amp; Pachgachi)  &amp; Bogra District (Sariakandi Sub-district - Unions, Chalubari &amp; Hatsherpur)"/>
    <s v="Distribution of dryfoods (a seven days package including 10.5 kg Flattened Rice, 3.5 kg Molasses and 33 pack of Biscuits per family)"/>
    <n v="6155"/>
    <n v="6345"/>
    <n v="12500"/>
    <m/>
    <n v="0"/>
    <n v="0"/>
    <s v="All participant are direct '12,500 people (from 2500 households) received emergency dry foods across two targeted locations and ration of male and female in national 51:49"/>
    <m/>
    <n v="6155"/>
    <n v="6345"/>
    <n v="12500"/>
    <m/>
    <m/>
    <m/>
    <s v="NO"/>
    <m/>
    <m/>
    <m/>
    <s v="NO"/>
    <m/>
    <m/>
    <m/>
    <s v="NO"/>
    <m/>
    <m/>
    <m/>
    <s v="YES"/>
    <n v="12500"/>
    <n v="0.49"/>
    <n v="0"/>
    <s v="NO"/>
    <m/>
    <m/>
    <m/>
    <s v="NO"/>
    <m/>
    <m/>
    <m/>
    <s v="NO"/>
    <m/>
    <m/>
    <m/>
    <s v="NO"/>
    <m/>
    <m/>
    <m/>
    <s v="NO"/>
    <m/>
    <m/>
    <m/>
    <s v="NO"/>
    <m/>
    <m/>
    <m/>
    <s v="YES"/>
    <n v="12500"/>
    <n v="0.49"/>
    <n v="0"/>
    <s v="NO"/>
    <m/>
    <m/>
    <m/>
    <m/>
    <m/>
    <m/>
    <m/>
    <m/>
    <m/>
    <m/>
    <m/>
    <m/>
    <m/>
    <m/>
    <m/>
    <m/>
    <m/>
    <m/>
    <m/>
    <m/>
    <m/>
    <m/>
    <m/>
    <m/>
    <m/>
    <m/>
    <m/>
    <m/>
    <m/>
    <m/>
    <m/>
    <m/>
    <m/>
    <m/>
    <m/>
    <m/>
    <m/>
    <m/>
    <m/>
    <m/>
    <m/>
    <m/>
    <m/>
    <m/>
    <m/>
    <m/>
    <m/>
    <m/>
    <m/>
    <m/>
    <m/>
    <m/>
    <m/>
    <m/>
    <m/>
    <m/>
    <m/>
    <m/>
    <m/>
    <m/>
    <m/>
    <m/>
    <m/>
    <m/>
    <m/>
    <m/>
    <m/>
    <m/>
    <m/>
    <m/>
    <m/>
    <m/>
    <m/>
    <m/>
    <m/>
    <m/>
    <m/>
    <m/>
    <m/>
    <m/>
    <m/>
    <m/>
    <m/>
    <s v="NO"/>
    <m/>
    <m/>
    <s v="YES"/>
    <s v="NO"/>
    <m/>
    <m/>
    <s v="As an emergency respose project, the focus was on distribution of releif based on the prior assessments made of affected populations. And the project was closed with documented evidence of relief distributed."/>
    <x v="0"/>
    <s v="NO"/>
    <s v="NO"/>
    <s v="NO"/>
    <s v="NO"/>
    <s v="NO"/>
    <s v="NO"/>
    <s v="NO"/>
    <s v="NO"/>
    <m/>
    <x v="0"/>
    <m/>
    <x v="0"/>
    <m/>
    <x v="1"/>
    <x v="0"/>
    <s v="YES"/>
    <x v="0"/>
    <x v="0"/>
    <x v="0"/>
    <x v="0"/>
    <n v="4"/>
    <x v="1"/>
    <x v="1"/>
    <x v="1"/>
    <x v="1"/>
    <x v="1"/>
    <x v="1"/>
    <n v="4"/>
    <x v="1"/>
    <x v="1"/>
    <x v="1"/>
    <x v="2"/>
    <x v="3"/>
    <n v="2"/>
    <x v="0"/>
    <x v="2"/>
    <n v="3"/>
    <s v="Local NGO(s)/CSO(s)"/>
    <s v="Local government(s)"/>
    <m/>
    <x v="1"/>
    <m/>
    <m/>
    <s v="Community Based needs assessment"/>
    <s v="Gender Disaggregated data used in analysis, implementation, monitoring and follow up"/>
    <m/>
    <s v="Needs assessment are essential for providing appropriate assistance,"/>
    <s v="Pre-arrangements and planning are a vital to ensure a timely response. CAREs initial surge (even before this project started) allowed distribution to take place within 3 days of the project start date"/>
    <s v="Development of emergency resource in organisation level can ensure a fast, quality response. CARE has an emergency focal point at each field office as well as the programme support managers who were oriented earlier on emergency response activities, which helped to have a smooth start to implementation"/>
    <m/>
    <s v="Start Fund - Report Form - Alert 100 Bangladesh CARE (original report form)"/>
    <n v="12500"/>
    <n v="0"/>
    <n v="0"/>
    <n v="0.4924"/>
    <s v=""/>
    <n v="6155"/>
    <n v="0"/>
    <n v="1"/>
    <n v="12500"/>
    <n v="0"/>
    <n v="0"/>
    <n v="1"/>
    <n v="12500"/>
    <n v="0"/>
    <n v="0"/>
    <s v=""/>
    <n v="0"/>
    <n v="0"/>
    <s v=""/>
    <s v=""/>
    <n v="0"/>
    <n v="0"/>
    <s v=""/>
    <s v=""/>
    <n v="0"/>
    <n v="0"/>
    <s v=""/>
    <s v="2. Sensitive"/>
    <s v="2. Accommodating"/>
    <s v="1. Neutral"/>
    <s v="It did not develop any specific innovation"/>
    <s v="Little or no advocacy"/>
    <s v="It did not take tested solutions to scale"/>
  </r>
  <r>
    <x v="3"/>
    <x v="0"/>
    <n v="2786"/>
    <s v="Empowering Marginalized Women Garment Workers and Women Financial Services Agents in Bangladesh(VISA)"/>
    <s v="Bangladesh"/>
    <s v="CFRABD0013"/>
    <s v="CARE USA"/>
    <s v="Corporation"/>
    <s v="Other"/>
    <s v="VISA Worldwide Inc."/>
    <m/>
    <m/>
    <m/>
    <m/>
    <m/>
    <m/>
    <m/>
    <m/>
    <m/>
    <m/>
    <m/>
    <m/>
    <m/>
    <m/>
    <m/>
    <m/>
    <m/>
    <m/>
    <m/>
    <m/>
    <m/>
    <m/>
    <m/>
    <m/>
    <m/>
    <m/>
    <m/>
    <m/>
    <m/>
    <m/>
    <m/>
    <m/>
    <m/>
    <m/>
    <m/>
    <m/>
    <m/>
    <m/>
    <m/>
    <m/>
    <m/>
    <m/>
    <m/>
    <m/>
    <m/>
    <d v="2015-01-01T00:00:00"/>
    <d v="2016-09-30T00:00:00"/>
    <d v="2017-02-28T00:00:00"/>
    <s v="Development Access to and Control over Economic Resources"/>
    <n v="250000"/>
    <s v="Humaira Aziz"/>
    <s v="Director-WE"/>
    <s v="humaira.aziz@care.org"/>
    <s v="Md. Mahadi Hasan"/>
    <s v="TM-M&amp;E, Workforce Empowerment"/>
    <s v="mahadi.hasan@care.org"/>
    <s v="NO"/>
    <s v="YES"/>
    <s v="NO"/>
    <s v="This project aims to socially and economically empower female RMG workers through increased financial inclusion, by improving their financial literacy and by designing a financial services product in which female agents, including RMG sector workers, play a key role."/>
    <s v="Sub-National"/>
    <s v="Gazipur district under Dhaka Division."/>
    <s v="Women garment workers"/>
    <n v="800"/>
    <n v="200"/>
    <n v="1000"/>
    <n v="4800"/>
    <n v="1200"/>
    <n v="6000"/>
    <s v="Direct beneficiaries are those who got any direct support or benefits such as training and  other moods. Indirect beneficiaries are those who have not got any direct benefits from the project but project somehow reached them through campaigning, awareness building, street drama and community mobilzation."/>
    <m/>
    <m/>
    <m/>
    <m/>
    <m/>
    <m/>
    <m/>
    <m/>
    <m/>
    <m/>
    <m/>
    <m/>
    <m/>
    <m/>
    <m/>
    <m/>
    <m/>
    <m/>
    <m/>
    <m/>
    <m/>
    <m/>
    <m/>
    <m/>
    <m/>
    <m/>
    <m/>
    <m/>
    <m/>
    <m/>
    <m/>
    <m/>
    <m/>
    <m/>
    <m/>
    <m/>
    <m/>
    <m/>
    <m/>
    <m/>
    <m/>
    <m/>
    <m/>
    <m/>
    <m/>
    <m/>
    <m/>
    <m/>
    <m/>
    <m/>
    <m/>
    <m/>
    <m/>
    <m/>
    <m/>
    <m/>
    <m/>
    <m/>
    <m/>
    <m/>
    <n v="803"/>
    <n v="200"/>
    <n v="1003"/>
    <n v="4818"/>
    <n v="1200"/>
    <n v="6018"/>
    <s v="NO"/>
    <m/>
    <m/>
    <m/>
    <s v="NO"/>
    <m/>
    <m/>
    <m/>
    <s v="NO"/>
    <m/>
    <m/>
    <m/>
    <s v="NO"/>
    <m/>
    <m/>
    <m/>
    <s v="NO"/>
    <m/>
    <m/>
    <m/>
    <s v="NO"/>
    <m/>
    <m/>
    <m/>
    <s v="NO"/>
    <m/>
    <m/>
    <m/>
    <s v="NO"/>
    <m/>
    <m/>
    <m/>
    <s v="NO"/>
    <m/>
    <m/>
    <m/>
    <s v="NO"/>
    <m/>
    <m/>
    <m/>
    <s v="NO"/>
    <m/>
    <m/>
    <m/>
    <s v="NO"/>
    <m/>
    <m/>
    <m/>
    <s v="NO"/>
    <m/>
    <m/>
    <m/>
    <s v="NO"/>
    <m/>
    <m/>
    <m/>
    <s v="NO"/>
    <m/>
    <m/>
    <m/>
    <s v="YES"/>
    <n v="1003"/>
    <n v="0.80049999999999999"/>
    <n v="6018"/>
    <m/>
    <m/>
    <m/>
    <m/>
    <m/>
    <s v="NO"/>
    <m/>
    <m/>
    <s v="YES"/>
    <s v="YES"/>
    <s v="September"/>
    <n v="2017"/>
    <s v="Baseline was conducted in 2015 and enline is being currently conducted by external consultant however has not finished yet."/>
    <x v="1"/>
    <s v="NO"/>
    <s v="NO"/>
    <s v="YES"/>
    <s v="YES"/>
    <s v="YES"/>
    <s v="YES"/>
    <s v="NO"/>
    <m/>
    <m/>
    <x v="2"/>
    <s v="Project developed financial literacy module and introduced family budget with the participants with male engagemet that  assist woment taking financial decision in the household level."/>
    <x v="3"/>
    <s v="Project developed an app on financial literacy and uploaded in the youtube for grater use."/>
    <x v="1"/>
    <x v="1"/>
    <s v="YES"/>
    <x v="0"/>
    <x v="0"/>
    <x v="0"/>
    <x v="2"/>
    <n v="4"/>
    <x v="1"/>
    <x v="1"/>
    <x v="1"/>
    <x v="1"/>
    <x v="1"/>
    <x v="1"/>
    <n v="4"/>
    <x v="0"/>
    <x v="0"/>
    <x v="0"/>
    <x v="0"/>
    <x v="0"/>
    <n v="0"/>
    <x v="2"/>
    <x v="1"/>
    <m/>
    <m/>
    <m/>
    <m/>
    <x v="2"/>
    <s v="For the community awareness program CARE contacted with the local civil society such as local elits and influential people like land lord and others to make the campaigne more fruitfull and acceptable"/>
    <s v="Project got a NOC for finve months to execute some of the activites for the greater impact."/>
    <s v="National sharing event"/>
    <s v="Development of App"/>
    <s v="Partnership woth the factory management"/>
    <s v="Male engagement is important"/>
    <s v="Family budgeting attrcted both women and their husbands."/>
    <s v="Financial skills enhance the life standard."/>
    <m/>
    <s v="Project end report Draft, FINANCIAL INCLUSION for RMG"/>
    <n v="1003"/>
    <n v="6018"/>
    <n v="6"/>
    <n v="0.8005982053838484"/>
    <n v="0.8005982053838484"/>
    <n v="803"/>
    <n v="4818"/>
    <s v=""/>
    <n v="0"/>
    <n v="0"/>
    <s v=""/>
    <s v=""/>
    <n v="0"/>
    <n v="0"/>
    <s v=""/>
    <s v=""/>
    <n v="0"/>
    <n v="0"/>
    <s v=""/>
    <s v=""/>
    <n v="0"/>
    <n v="0"/>
    <s v=""/>
    <n v="1"/>
    <n v="1003"/>
    <n v="6018"/>
    <n v="6"/>
    <s v="4. Transformative"/>
    <s v="2. Accommodating"/>
    <s v="No marker score"/>
    <s v="It tested new ways for fighting poverty and measured results of innovation"/>
    <s v="Moderate advocacy"/>
    <s v="It took tested solutions to scale on its own"/>
  </r>
  <r>
    <x v="3"/>
    <x v="0"/>
    <n v="2754"/>
    <s v="Enhancing Inclusive Disaster Resilience in Bangladesh"/>
    <s v="Bangladesh"/>
    <s v="CGBRBD0093"/>
    <s v="CARE UK"/>
    <s v="Multilateral agency"/>
    <s v="ECHO - European Commission for Humanitarian Aid and Civil Protection"/>
    <s v="ECHO"/>
    <m/>
    <m/>
    <m/>
    <m/>
    <m/>
    <m/>
    <m/>
    <m/>
    <m/>
    <m/>
    <m/>
    <m/>
    <m/>
    <m/>
    <m/>
    <m/>
    <m/>
    <m/>
    <m/>
    <m/>
    <m/>
    <m/>
    <m/>
    <m/>
    <m/>
    <m/>
    <m/>
    <m/>
    <m/>
    <m/>
    <m/>
    <m/>
    <m/>
    <m/>
    <m/>
    <m/>
    <m/>
    <m/>
    <m/>
    <m/>
    <m/>
    <m/>
    <m/>
    <m/>
    <m/>
    <d v="2015-01-03T00:00:00"/>
    <d v="2016-08-31T00:00:00"/>
    <d v="2016-10-31T00:00:00"/>
    <s v="Humanitarian Food &amp; Nutrition Security and Resilience to Climate Change"/>
    <n v="225796"/>
    <s v="Mr. Palash Mondal"/>
    <s v="Coordinator-Resilience and Climate Change"/>
    <s v="palash.mondal@care.org"/>
    <s v="Md. Zahangir Alam"/>
    <s v="Programme Manager"/>
    <s v="zahangir.alam@care.org"/>
    <s v="YES"/>
    <s v="YES"/>
    <s v="YES"/>
    <s v="To enhance the resilience of most at risk groups to the recurring and escalating disaster risks by advancing the DRR institutionalization process in Bangladesh."/>
    <s v="Sub-National"/>
    <s v="Districts -kurigram , 1 Upazilla (Sathkira Sadar), 08 unions"/>
    <s v="The local Disaster Management Committees (District Disaster Management Committee, Upazila Disaster Management Committee, Union Disaster Management Committee, Education Officers),School Management Committee,Teachers, Students of Primary schools, Community People"/>
    <n v="4589"/>
    <n v="5341"/>
    <n v="9930"/>
    <n v="133663"/>
    <n v="141690"/>
    <n v="275353"/>
    <s v="DMC+CCDMC+Rural Volunteers +Beneficiaries  of co-financing initiatives - small scale mitigation  (at least 1% of total population) +SMC members+District Education Office &amp; District Primary Education Office+ Beneficiaries  of co-financing initiatives (students + teachers)+Students +Teachers+Livelihood Groups members +Livelihood Groups members (their family only)+Agriculture Officers in 1 upazila+ Livestock Officers in 1 upazila+Sub Assistant Agriculture Officers in 1upazilla are  direct participants AND Population of the Target Union/CC Ward are indirect"/>
    <m/>
    <n v="0"/>
    <n v="0"/>
    <n v="0"/>
    <n v="0"/>
    <n v="0"/>
    <n v="0"/>
    <s v="NO"/>
    <m/>
    <m/>
    <m/>
    <s v="NO"/>
    <m/>
    <m/>
    <m/>
    <s v="NO"/>
    <m/>
    <m/>
    <m/>
    <s v="NO"/>
    <m/>
    <m/>
    <m/>
    <s v="NO"/>
    <m/>
    <m/>
    <m/>
    <s v="NO"/>
    <m/>
    <m/>
    <m/>
    <s v="NO"/>
    <m/>
    <m/>
    <m/>
    <s v="NO"/>
    <m/>
    <m/>
    <m/>
    <s v="NO"/>
    <m/>
    <m/>
    <m/>
    <s v="NO"/>
    <m/>
    <m/>
    <m/>
    <s v="NO"/>
    <m/>
    <m/>
    <m/>
    <s v="NO"/>
    <m/>
    <m/>
    <m/>
    <m/>
    <m/>
    <m/>
    <m/>
    <m/>
    <n v="0"/>
    <n v="0"/>
    <n v="0"/>
    <n v="0"/>
    <n v="0"/>
    <n v="0"/>
    <s v="NO"/>
    <m/>
    <m/>
    <m/>
    <s v="NO"/>
    <m/>
    <m/>
    <m/>
    <s v="NO"/>
    <m/>
    <m/>
    <m/>
    <s v="NO"/>
    <m/>
    <m/>
    <m/>
    <s v="NO"/>
    <m/>
    <m/>
    <m/>
    <s v="NO"/>
    <m/>
    <m/>
    <m/>
    <s v="NO"/>
    <m/>
    <m/>
    <m/>
    <s v="NO"/>
    <m/>
    <m/>
    <m/>
    <s v="NO"/>
    <m/>
    <m/>
    <m/>
    <s v="NO"/>
    <m/>
    <m/>
    <m/>
    <s v="NO"/>
    <m/>
    <m/>
    <m/>
    <s v="NO"/>
    <m/>
    <m/>
    <m/>
    <s v="NO"/>
    <m/>
    <m/>
    <m/>
    <s v="NO"/>
    <m/>
    <m/>
    <m/>
    <s v="NO"/>
    <m/>
    <m/>
    <m/>
    <s v="NO"/>
    <m/>
    <m/>
    <m/>
    <m/>
    <m/>
    <m/>
    <m/>
    <m/>
    <s v="NO"/>
    <m/>
    <m/>
    <s v="NO"/>
    <s v="NO"/>
    <m/>
    <m/>
    <s v="No base line and End evaluation as described in Final report."/>
    <x v="1"/>
    <s v="NO"/>
    <s v="NO"/>
    <s v="NO"/>
    <s v="YES"/>
    <s v="YES"/>
    <s v="NO"/>
    <s v="NO"/>
    <s v="NO"/>
    <m/>
    <x v="2"/>
    <s v="It linked and worked with strategic alliances and partners to take tested and effective solutions to scale"/>
    <x v="0"/>
    <m/>
    <x v="0"/>
    <x v="0"/>
    <s v="YES"/>
    <x v="0"/>
    <x v="0"/>
    <x v="0"/>
    <x v="0"/>
    <n v="4"/>
    <x v="1"/>
    <x v="1"/>
    <x v="1"/>
    <x v="1"/>
    <x v="1"/>
    <x v="1"/>
    <n v="4"/>
    <x v="3"/>
    <x v="1"/>
    <x v="1"/>
    <x v="1"/>
    <x v="4"/>
    <n v="3"/>
    <x v="3"/>
    <x v="1"/>
    <m/>
    <m/>
    <m/>
    <m/>
    <x v="0"/>
    <s v="Formation of UDMCs"/>
    <s v="The female and person with disabilities (PWD) in the local Disaster Management Committees (DMC's) for inclusion and this will create enabling environment of   Inclusive Resilience Amongst Water Logged Communities regarding DRM"/>
    <s v="1.Endorsement of the CBDP models from the DDM (Department of Disaster Management) generated high level acceptability and motivated both the government institutions and communities to engage with the DRR and DP (Disaster Preparedness) activities"/>
    <s v="2.School based disaster preparedness (SBDP) created a safe learning environment on the face of disaster by promoting a culture of safety at school."/>
    <s v="3.Co-funding for RRAP implementation, matching fund from Government of Bangladesh, was effective in generating financial support to decrease locally identified risks."/>
    <s v="1. Activating the Union level DMC's which is very supportive to existing upazila level DMC's.As per SoD, UDMC is  mandatory. This project has taken this activity with importance to test how the structures bring benefits to the populations at risk."/>
    <s v="2.Conduction of Community Risk Assessment (CRA) as well as RRAP development and preparing the DM plan. Through these initiatives the community are able to prioritize the local risk factors and also make a plan for mitigation as per RRAP schemes implementation through ADP budget/external funds."/>
    <s v="3.DRR awareness and resilient livelihood practices targeting multiple stakeholders including local community, DMCs, local government bodies etc."/>
    <s v="All relevent documents are enclosed herewith"/>
    <s v=".01. NARRI_DIPECHO_VIII_CARE Final Narrative Report_FINAL 2.NARRI Revised Proposal eSingle 15032015"/>
    <n v="0"/>
    <n v="0"/>
    <s v=""/>
    <s v=""/>
    <s v=""/>
    <n v="0"/>
    <n v="0"/>
    <n v="1"/>
    <n v="0"/>
    <n v="0"/>
    <s v=""/>
    <s v=""/>
    <n v="0"/>
    <n v="0"/>
    <s v=""/>
    <s v=""/>
    <n v="0"/>
    <n v="0"/>
    <s v=""/>
    <s v=""/>
    <n v="0"/>
    <n v="0"/>
    <s v=""/>
    <s v=""/>
    <n v="0"/>
    <n v="0"/>
    <s v=""/>
    <s v="2. Sensitive"/>
    <s v="2. Accommodating"/>
    <s v="4. Transformative"/>
    <s v="It tested new ways for fighting poverty and measured results of innovation"/>
    <s v="Moderate advocacy"/>
    <s v="It did not take tested solutions to scale"/>
  </r>
  <r>
    <x v="3"/>
    <x v="0"/>
    <m/>
    <s v="Establishing National Mechanism on Loss and Damage in Bangladesh"/>
    <s v="Bangladesh"/>
    <s v="CGBRBD0103"/>
    <s v="CARE UK"/>
    <s v="Government"/>
    <s v="Government - UK"/>
    <s v="DFID"/>
    <m/>
    <m/>
    <m/>
    <m/>
    <m/>
    <m/>
    <m/>
    <m/>
    <m/>
    <m/>
    <m/>
    <m/>
    <m/>
    <m/>
    <m/>
    <m/>
    <m/>
    <m/>
    <m/>
    <m/>
    <m/>
    <m/>
    <m/>
    <m/>
    <m/>
    <m/>
    <m/>
    <m/>
    <m/>
    <m/>
    <m/>
    <m/>
    <m/>
    <m/>
    <m/>
    <m/>
    <m/>
    <m/>
    <m/>
    <m/>
    <m/>
    <m/>
    <m/>
    <m/>
    <m/>
    <d v="2016-07-01T00:00:00"/>
    <d v="2016-12-31T00:00:00"/>
    <m/>
    <s v="Humanitarian Other"/>
    <n v="6190"/>
    <s v="Palash Mondal"/>
    <s v="Coordinator - Resilience and Climate Change"/>
    <s v="palash.mondal@care.org"/>
    <s v="Sheri, Lim"/>
    <s v="Climate Change and Resilience Team Leader"/>
    <s v="lim@careinternational.org"/>
    <s v="YES"/>
    <s v="NO"/>
    <s v="NO"/>
    <s v="To address loss and damage associated with impacts of climate change, including extreme events and slow onset events, in developing countries that are particularly vulnerable to the adverse effects of climate change."/>
    <s v="Sub-National"/>
    <s v="Four divisional consultation workshops in Sylhel, Rangpur, Chittagong and Khulna and national level consultation workshop at Dhaka. Develop a scoping study on L&amp;D mechanism and present the findings of the paper in CoP 22 in Marrakech."/>
    <s v="This initiative contribute in the process of scoping out the possibility of setting up a National Mechanism for addressing loss and damage associated with climate change impacts in Bangladesh."/>
    <n v="0"/>
    <n v="0"/>
    <n v="0"/>
    <n v="0"/>
    <n v="0"/>
    <n v="0"/>
    <s v="n/a"/>
    <m/>
    <m/>
    <m/>
    <n v="139"/>
    <m/>
    <m/>
    <m/>
    <s v="NO"/>
    <m/>
    <m/>
    <m/>
    <s v="NO"/>
    <m/>
    <m/>
    <m/>
    <s v="NO"/>
    <m/>
    <m/>
    <m/>
    <s v="YES"/>
    <n v="139"/>
    <m/>
    <m/>
    <s v="NO"/>
    <m/>
    <m/>
    <m/>
    <s v="NO"/>
    <m/>
    <m/>
    <m/>
    <s v="NO"/>
    <m/>
    <m/>
    <m/>
    <s v="NO"/>
    <m/>
    <m/>
    <m/>
    <s v="NO"/>
    <m/>
    <m/>
    <m/>
    <s v="NO"/>
    <m/>
    <m/>
    <m/>
    <s v="NO"/>
    <m/>
    <m/>
    <m/>
    <s v="NO"/>
    <m/>
    <m/>
    <m/>
    <s v="Workshop"/>
    <s v="YES"/>
    <n v="139"/>
    <n v="0.3"/>
    <m/>
    <m/>
    <m/>
    <m/>
    <m/>
    <m/>
    <m/>
    <m/>
    <m/>
    <m/>
    <m/>
    <m/>
    <m/>
    <m/>
    <m/>
    <m/>
    <m/>
    <m/>
    <m/>
    <m/>
    <m/>
    <m/>
    <m/>
    <m/>
    <m/>
    <m/>
    <m/>
    <m/>
    <m/>
    <m/>
    <m/>
    <m/>
    <m/>
    <m/>
    <m/>
    <m/>
    <m/>
    <m/>
    <m/>
    <m/>
    <m/>
    <m/>
    <m/>
    <m/>
    <m/>
    <m/>
    <m/>
    <m/>
    <m/>
    <m/>
    <m/>
    <m/>
    <m/>
    <m/>
    <m/>
    <m/>
    <m/>
    <m/>
    <m/>
    <m/>
    <m/>
    <m/>
    <m/>
    <m/>
    <m/>
    <m/>
    <m/>
    <m/>
    <m/>
    <m/>
    <m/>
    <m/>
    <m/>
    <m/>
    <m/>
    <m/>
    <s v="NO"/>
    <m/>
    <m/>
    <s v="NO"/>
    <s v="NO"/>
    <m/>
    <m/>
    <m/>
    <x v="2"/>
    <s v="YES"/>
    <s v="NO"/>
    <s v="YES"/>
    <s v="NO"/>
    <s v="YES"/>
    <s v="YES"/>
    <s v="YES"/>
    <s v="NO"/>
    <m/>
    <x v="2"/>
    <s v="District consultation findings on risk transfer of sharing: Insurance_x000a_Insurance is not a popular idea at sub-national level as there are mixed experiences shared by many. However, an ‘index-based insurance’ (after sharing the idea) led to a more positive response from the participants in all four districts, noting that it needs to be tested on the ground before they can trust an insurance mechanism."/>
    <x v="1"/>
    <s v="Insurance supports adaptation through allowing farmers to be more innovative: a randomised control experiment in Andhra Pradesh, India, showed that weather index-based insurance prompted a shift toward more profitable, higher risk farm production systems."/>
    <x v="0"/>
    <x v="0"/>
    <s v="YES"/>
    <x v="0"/>
    <x v="0"/>
    <x v="1"/>
    <x v="1"/>
    <n v="3"/>
    <x v="1"/>
    <x v="1"/>
    <x v="1"/>
    <x v="1"/>
    <x v="1"/>
    <x v="1"/>
    <n v="4"/>
    <x v="3"/>
    <x v="1"/>
    <x v="1"/>
    <x v="1"/>
    <x v="4"/>
    <n v="3"/>
    <x v="3"/>
    <x v="3"/>
    <n v="2"/>
    <s v="International NGO(s)"/>
    <s v="Local government(s)"/>
    <m/>
    <x v="0"/>
    <s v="The fund is financed from the national budget of Bangladesh as well as donor funds and is used for implementing short, medium, and long-term goals and actions relating to climate change. The composition of the Fund’s Board of Trustees can be criticised for the fact that it is overwhelmingly dominated by Ministers and other government officials and has no representation from civil society. A technical committee to assist the Board is also composed of government officials and has no civil society representatives. The technical committee has not been given any mandate to assess loss and damage or establish baselines for assessing it in the future."/>
    <m/>
    <s v="Approaches to dealing with non-economic loss and damage"/>
    <s v="Approaches to dealing with migration and displacement"/>
    <m/>
    <s v="The functions and activities of the proposed National Mechanism identified above demand the design of an appropriate institutional structure. Initially, a National Steering Committee of the National Mechanism for Loss and Damage can be formed consisting of the highest policy makers and relevant experts and this Steering Committee can provide oversight and guidance to a Technical Working Group, consisting of relevant experts. The Technical Working Group can develop a work-plan to identify the appropriate structures and functions of the National Mechanism for Loss and Damage, which can be subject to approval by the National Steering Committee"/>
    <m/>
    <m/>
    <m/>
    <m/>
    <n v="139"/>
    <n v="0"/>
    <n v="0"/>
    <n v="0"/>
    <s v=""/>
    <n v="0"/>
    <n v="0"/>
    <n v="1"/>
    <n v="139"/>
    <n v="0"/>
    <n v="0"/>
    <n v="1"/>
    <n v="139"/>
    <n v="0"/>
    <n v="0"/>
    <s v=""/>
    <n v="0"/>
    <n v="0"/>
    <s v=""/>
    <s v=""/>
    <n v="0"/>
    <n v="0"/>
    <s v=""/>
    <s v=""/>
    <n v="0"/>
    <n v="0"/>
    <s v=""/>
    <s v="1. Neutral"/>
    <s v="2. Accommodating"/>
    <s v="4. Transformative"/>
    <s v="It tested new ways for fighting poverty and measured results of innovation"/>
    <s v="Intensive advocacy"/>
    <s v="It linked and worked with strategic alliances and partners to take tested and effective solutions to scale"/>
  </r>
  <r>
    <x v="3"/>
    <x v="0"/>
    <m/>
    <s v="GL- Jute valu chain sub project"/>
    <s v="Bangladesh"/>
    <s v="CFRABD0017"/>
    <s v="CARE France"/>
    <s v="Corporation"/>
    <s v="Other"/>
    <s v="Galleries Lafayette"/>
    <m/>
    <m/>
    <m/>
    <m/>
    <m/>
    <m/>
    <m/>
    <m/>
    <m/>
    <m/>
    <m/>
    <m/>
    <m/>
    <m/>
    <m/>
    <m/>
    <m/>
    <m/>
    <m/>
    <m/>
    <m/>
    <m/>
    <m/>
    <m/>
    <m/>
    <m/>
    <m/>
    <m/>
    <m/>
    <m/>
    <m/>
    <m/>
    <m/>
    <m/>
    <m/>
    <m/>
    <m/>
    <m/>
    <m/>
    <m/>
    <m/>
    <m/>
    <m/>
    <m/>
    <m/>
    <d v="2015-01-01T00:00:00"/>
    <d v="2017-12-31T00:00:00"/>
    <m/>
    <s v="Development Access to and Control over Economic Resources"/>
    <n v="104938"/>
    <s v="Md. Elias"/>
    <s v="Technical coordinator"/>
    <s v="elias@care.org"/>
    <m/>
    <m/>
    <m/>
    <s v="NO"/>
    <s v="YES"/>
    <s v="NO"/>
    <s v="To contribute in sustainable economic growth of JDP workers with special emphasis on women workers &amp; SMEs under Switch Asia project in Northwest and Southwest region as well as greater Dhaka, Bangladesh."/>
    <s v="Sub-National"/>
    <s v="Rangpur, Jessore, Khulna, Dhaka, Satkhira and Kurigram in Bangladesh"/>
    <s v="SMEs and Artisan of JDP workers"/>
    <n v="202"/>
    <n v="8"/>
    <n v="210"/>
    <n v="350"/>
    <n v="50"/>
    <n v="400"/>
    <s v="Direct participants have got the capacity development support from the projcet in directly. And indirect participants got the support from the direct participants as workers, suppliers and sometimes coustomers"/>
    <m/>
    <m/>
    <m/>
    <m/>
    <m/>
    <m/>
    <m/>
    <m/>
    <m/>
    <m/>
    <m/>
    <m/>
    <m/>
    <m/>
    <m/>
    <m/>
    <m/>
    <m/>
    <m/>
    <m/>
    <m/>
    <m/>
    <m/>
    <m/>
    <m/>
    <m/>
    <m/>
    <m/>
    <m/>
    <m/>
    <m/>
    <m/>
    <m/>
    <m/>
    <m/>
    <m/>
    <m/>
    <m/>
    <m/>
    <m/>
    <m/>
    <m/>
    <m/>
    <m/>
    <m/>
    <m/>
    <m/>
    <m/>
    <m/>
    <m/>
    <m/>
    <m/>
    <m/>
    <m/>
    <m/>
    <m/>
    <m/>
    <m/>
    <m/>
    <m/>
    <n v="202"/>
    <n v="8"/>
    <n v="210"/>
    <n v="350"/>
    <n v="50"/>
    <n v="400"/>
    <s v="YES"/>
    <n v="210"/>
    <n v="0.96"/>
    <n v="400"/>
    <s v="NO"/>
    <m/>
    <m/>
    <m/>
    <s v="NO"/>
    <m/>
    <m/>
    <m/>
    <s v="NO"/>
    <m/>
    <m/>
    <m/>
    <s v="YES"/>
    <n v="210"/>
    <n v="0.96"/>
    <n v="350"/>
    <s v="NO"/>
    <m/>
    <m/>
    <m/>
    <s v="NO"/>
    <m/>
    <m/>
    <m/>
    <s v="NO"/>
    <m/>
    <m/>
    <m/>
    <s v="NO"/>
    <m/>
    <m/>
    <m/>
    <s v="NO"/>
    <m/>
    <m/>
    <m/>
    <s v="NO"/>
    <m/>
    <m/>
    <m/>
    <s v="NO"/>
    <m/>
    <m/>
    <m/>
    <s v="NO"/>
    <m/>
    <m/>
    <m/>
    <s v="NO"/>
    <m/>
    <m/>
    <m/>
    <s v="NO"/>
    <m/>
    <m/>
    <m/>
    <s v="YES"/>
    <n v="202"/>
    <n v="0.96"/>
    <n v="202"/>
    <m/>
    <m/>
    <m/>
    <m/>
    <m/>
    <s v="NO"/>
    <m/>
    <m/>
    <s v="NO"/>
    <s v="YES"/>
    <s v="January"/>
    <n v="2017"/>
    <m/>
    <x v="0"/>
    <s v="NO"/>
    <s v="NO"/>
    <s v="NO"/>
    <s v="NO"/>
    <s v="NO"/>
    <s v="NO"/>
    <s v="NO"/>
    <s v="NO"/>
    <m/>
    <x v="0"/>
    <m/>
    <x v="1"/>
    <s v="SWITCH to jute- A consortium who make business to their own interest"/>
    <x v="0"/>
    <x v="0"/>
    <s v="YES"/>
    <x v="0"/>
    <x v="0"/>
    <x v="0"/>
    <x v="0"/>
    <n v="4"/>
    <x v="3"/>
    <x v="2"/>
    <x v="2"/>
    <x v="2"/>
    <x v="2"/>
    <x v="3"/>
    <n v="0"/>
    <x v="0"/>
    <x v="0"/>
    <x v="0"/>
    <x v="0"/>
    <x v="0"/>
    <n v="0"/>
    <x v="0"/>
    <x v="0"/>
    <n v="4"/>
    <s v="Local NGO(s)/CSO(s)"/>
    <s v="Private sector"/>
    <s v="Regional alliance(s)/Platform(s)/Network(s) of  NGOs/CSOs"/>
    <x v="1"/>
    <m/>
    <m/>
    <s v="SWITCH to Jute consortium"/>
    <s v="Producers group"/>
    <m/>
    <s v="Skill development training"/>
    <s v="Marketing"/>
    <s v="Private sector engagements"/>
    <m/>
    <s v="Final evuauation report"/>
    <n v="210"/>
    <n v="400"/>
    <n v="1.9047619047619047"/>
    <n v="0.96190476190476193"/>
    <n v="0.875"/>
    <n v="202"/>
    <n v="350"/>
    <s v=""/>
    <n v="0"/>
    <n v="0"/>
    <s v=""/>
    <n v="1"/>
    <n v="210"/>
    <n v="400"/>
    <n v="1.9047619047619047"/>
    <s v=""/>
    <n v="0"/>
    <n v="0"/>
    <s v=""/>
    <s v=""/>
    <n v="0"/>
    <n v="0"/>
    <s v=""/>
    <n v="1"/>
    <n v="202"/>
    <n v="336"/>
    <n v="1.6633663366336633"/>
    <s v="2. Sensitive"/>
    <s v="0. Unaware"/>
    <s v="No marker score"/>
    <s v="It did not develop any specific innovation"/>
    <s v="Little or no advocacy"/>
    <s v="It linked and worked with strategic alliances and partners to take tested and effective solutions to scale"/>
  </r>
  <r>
    <x v="3"/>
    <x v="0"/>
    <n v="2753"/>
    <s v="GoB-UNICEF CATS (Communty  Approaches to Total Sanitation) Project"/>
    <s v="Bangladesh"/>
    <s v="UNCFBD0018"/>
    <s v="CARE USA"/>
    <s v="Multilateral agency"/>
    <s v="UN - United Nations agencies/offices"/>
    <s v="UNICEF"/>
    <m/>
    <m/>
    <m/>
    <m/>
    <m/>
    <m/>
    <m/>
    <m/>
    <m/>
    <m/>
    <m/>
    <m/>
    <m/>
    <m/>
    <m/>
    <m/>
    <m/>
    <m/>
    <m/>
    <m/>
    <m/>
    <m/>
    <m/>
    <m/>
    <m/>
    <m/>
    <m/>
    <m/>
    <m/>
    <m/>
    <m/>
    <m/>
    <m/>
    <m/>
    <m/>
    <m/>
    <m/>
    <m/>
    <m/>
    <m/>
    <m/>
    <m/>
    <m/>
    <m/>
    <m/>
    <d v="2014-10-15T00:00:00"/>
    <d v="2016-09-30T00:00:00"/>
    <m/>
    <s v="Development Other"/>
    <n v="1381875.4741944999"/>
    <s v="Anowarul Haq"/>
    <s v="Impact Director, ERPP"/>
    <s v="anowarul.haq@care.org"/>
    <s v="ANM Kaiser Zillany"/>
    <s v="Team Leader"/>
    <s v="kaiser.zillany@care.org"/>
    <s v="NO"/>
    <s v="YES"/>
    <s v="NO"/>
    <s v="The purpose of the project is to sustainably improve sanitation and hygiene behaviors among women, children and youth located in 500 communtiies and 180 schools in 4 upazilas in Bogra and Khulna divisions by March 2016 through Community Approaches to Total Sanitation (CLTS/SLTS), WASH in school and hygiene promotion"/>
    <s v="Sub-National"/>
    <s v="Gangachara upazila of Rangpur district; Kishoreganj upazila of Nilphamari district; Dacop and Rupsha upzila of Khulna district"/>
    <s v="100000 people are ODF; 333000 people are reached with HP focusing on hand washing (including 70,000 school children); 84000 people practice hand washing after the use of toilet; 43000 students from 180 schoools"/>
    <n v="166267"/>
    <n v="166733"/>
    <n v="333000"/>
    <m/>
    <m/>
    <m/>
    <s v="The project directly worked in schools and communities to directly"/>
    <m/>
    <m/>
    <m/>
    <m/>
    <m/>
    <m/>
    <m/>
    <m/>
    <m/>
    <m/>
    <m/>
    <m/>
    <m/>
    <m/>
    <m/>
    <m/>
    <m/>
    <m/>
    <m/>
    <m/>
    <m/>
    <m/>
    <m/>
    <m/>
    <m/>
    <m/>
    <m/>
    <m/>
    <m/>
    <m/>
    <m/>
    <m/>
    <m/>
    <m/>
    <m/>
    <m/>
    <m/>
    <m/>
    <m/>
    <m/>
    <m/>
    <m/>
    <m/>
    <m/>
    <m/>
    <m/>
    <m/>
    <m/>
    <m/>
    <m/>
    <m/>
    <m/>
    <m/>
    <m/>
    <m/>
    <m/>
    <m/>
    <m/>
    <m/>
    <m/>
    <n v="166267"/>
    <n v="166733"/>
    <n v="333000"/>
    <n v="0"/>
    <n v="0"/>
    <n v="0"/>
    <s v="NO"/>
    <m/>
    <m/>
    <m/>
    <s v="NO"/>
    <m/>
    <m/>
    <m/>
    <s v="NO"/>
    <m/>
    <m/>
    <m/>
    <s v="NO"/>
    <m/>
    <m/>
    <m/>
    <s v="NO"/>
    <m/>
    <m/>
    <m/>
    <s v="NO"/>
    <m/>
    <m/>
    <m/>
    <s v="NO"/>
    <m/>
    <m/>
    <m/>
    <s v="NO"/>
    <m/>
    <m/>
    <m/>
    <s v="NO"/>
    <m/>
    <m/>
    <m/>
    <s v="NO"/>
    <m/>
    <m/>
    <m/>
    <s v="NO"/>
    <m/>
    <m/>
    <m/>
    <s v="NO"/>
    <m/>
    <m/>
    <m/>
    <s v="NO"/>
    <m/>
    <m/>
    <m/>
    <s v="NO"/>
    <m/>
    <m/>
    <m/>
    <s v="YES"/>
    <n v="333000"/>
    <n v="0.5"/>
    <n v="0"/>
    <s v="NO"/>
    <m/>
    <m/>
    <m/>
    <m/>
    <m/>
    <m/>
    <m/>
    <m/>
    <s v="YES"/>
    <s v="March"/>
    <n v="2017"/>
    <s v="NO"/>
    <s v="NO"/>
    <m/>
    <m/>
    <s v="Project has closed on September-2016."/>
    <x v="1"/>
    <s v="NO"/>
    <s v="NO"/>
    <s v="YES"/>
    <s v="YES"/>
    <s v="YES"/>
    <s v="NO"/>
    <s v="YES"/>
    <s v="NO"/>
    <m/>
    <x v="0"/>
    <m/>
    <x v="1"/>
    <s v="The community-based approach to to CLTS was tested and scaled with government officials and synchronized with other projects to have a holistic approach to CLTS that enhanced sustainability of government-mandated policies of sanitation facilities by engaging communities and schools respectively in their operation and maintainance"/>
    <x v="0"/>
    <x v="0"/>
    <s v="YES"/>
    <x v="0"/>
    <x v="0"/>
    <x v="0"/>
    <x v="0"/>
    <n v="4"/>
    <x v="1"/>
    <x v="1"/>
    <x v="1"/>
    <x v="1"/>
    <x v="1"/>
    <x v="1"/>
    <n v="4"/>
    <x v="1"/>
    <x v="1"/>
    <x v="1"/>
    <x v="1"/>
    <x v="1"/>
    <n v="3"/>
    <x v="0"/>
    <x v="1"/>
    <m/>
    <m/>
    <m/>
    <m/>
    <x v="1"/>
    <m/>
    <m/>
    <s v="1. Engaging women and children in the community led process"/>
    <s v="2. Using local resources, skills and opportunities to address certain needs of the communities on sanitation."/>
    <s v="3. Facilitating &quot;community to community&quot; learning to scale up the process quickly and efficiently using natural leaders who become &quot;local experts&quot;."/>
    <s v="The community approach to total sanitation or CLTS relies heavily on natural leaders and para sanitation committee who have a significant level of acceptability and influence in the community."/>
    <s v="Decision making process is become easier and effective if people beyond class, sex and age participate actively in the CLTS ignition session and Community Action Plan (CAP) review meeting. Engagement of local government bodies and union &amp; upazilla WatSan committees boosts the WASH interventions"/>
    <s v="Private sector (local sanitary entrepreneurs) linkage and involvement of local elites helps to implement project activity smoothly."/>
    <m/>
    <m/>
    <n v="333000"/>
    <n v="0"/>
    <n v="0"/>
    <n v="0.49930030030030031"/>
    <s v=""/>
    <n v="166267"/>
    <n v="0"/>
    <s v=""/>
    <n v="0"/>
    <n v="0"/>
    <s v=""/>
    <n v="1"/>
    <n v="333000"/>
    <n v="0"/>
    <n v="0"/>
    <s v=""/>
    <n v="0"/>
    <n v="0"/>
    <s v=""/>
    <s v=""/>
    <n v="0"/>
    <n v="0"/>
    <s v=""/>
    <s v=""/>
    <n v="0"/>
    <n v="0"/>
    <s v=""/>
    <s v="2. Sensitive"/>
    <s v="2. Accommodating"/>
    <s v="2. Sensitive"/>
    <s v="It did not develop any specific innovation"/>
    <s v="Moderate advocacy"/>
    <s v="It linked and worked with strategic alliances and partners to take tested and effective solutions to scale"/>
  </r>
  <r>
    <x v="3"/>
    <x v="0"/>
    <m/>
    <s v="'HALOW+ (Health Access and Linkage Opportunities for Workers)"/>
    <s v="Bangladesh"/>
    <s v="CGBRBD0105"/>
    <s v="CARE UK"/>
    <s v="Other"/>
    <s v="Other"/>
    <s v="GlaxoSmithKline and Marks &amp; Spencer"/>
    <m/>
    <m/>
    <m/>
    <m/>
    <m/>
    <m/>
    <m/>
    <m/>
    <m/>
    <m/>
    <m/>
    <m/>
    <m/>
    <m/>
    <m/>
    <m/>
    <m/>
    <m/>
    <m/>
    <m/>
    <m/>
    <m/>
    <m/>
    <m/>
    <m/>
    <m/>
    <m/>
    <m/>
    <m/>
    <m/>
    <m/>
    <m/>
    <m/>
    <m/>
    <m/>
    <m/>
    <m/>
    <m/>
    <m/>
    <m/>
    <m/>
    <m/>
    <m/>
    <m/>
    <m/>
    <d v="2017-02-01T00:00:00"/>
    <d v="2020-01-31T00:00:00"/>
    <m/>
    <s v="Humanitarian Sexual, Reproductive and Maternal Health (SRMH)"/>
    <n v="1282530"/>
    <s v="Dr. Jahangir Hossain"/>
    <s v="Program Director - Health"/>
    <s v="jahangir.hossain@care.org"/>
    <s v="Dr. Jahirul Alam Azad"/>
    <s v="Team Leader - Urban Health"/>
    <s v="JahirulAlam.Azad@care.org"/>
    <s v="NO"/>
    <s v="YES"/>
    <s v="NO"/>
    <s v="Empower workers, particularly women, to improve individual and community health, increase factory productivity and strengthen urban health systems"/>
    <s v="Sub-National"/>
    <s v="Gazipur, Bangladesh"/>
    <s v="Ready Made Garments Workers and their family members"/>
    <n v="30000"/>
    <n v="20000"/>
    <n v="50000"/>
    <n v="1500000"/>
    <n v="1000000"/>
    <n v="2500000"/>
    <s v="Direct Participant: Targeted factory workers and their family members. Indirect Participant: Community people where targeted factory workers are live in"/>
    <m/>
    <m/>
    <m/>
    <m/>
    <m/>
    <m/>
    <m/>
    <m/>
    <m/>
    <m/>
    <m/>
    <m/>
    <m/>
    <m/>
    <m/>
    <m/>
    <m/>
    <m/>
    <m/>
    <m/>
    <m/>
    <m/>
    <m/>
    <m/>
    <m/>
    <m/>
    <m/>
    <m/>
    <m/>
    <m/>
    <m/>
    <m/>
    <m/>
    <m/>
    <m/>
    <m/>
    <m/>
    <m/>
    <m/>
    <m/>
    <m/>
    <m/>
    <m/>
    <m/>
    <m/>
    <m/>
    <m/>
    <m/>
    <m/>
    <m/>
    <m/>
    <m/>
    <m/>
    <m/>
    <m/>
    <m/>
    <m/>
    <m/>
    <m/>
    <m/>
    <n v="0"/>
    <n v="0"/>
    <n v="0"/>
    <n v="0"/>
    <n v="0"/>
    <n v="0"/>
    <s v="NO"/>
    <m/>
    <m/>
    <m/>
    <s v="NO"/>
    <m/>
    <m/>
    <m/>
    <s v="NO"/>
    <m/>
    <m/>
    <m/>
    <s v="NO"/>
    <m/>
    <m/>
    <m/>
    <s v="NO"/>
    <m/>
    <m/>
    <m/>
    <s v="NO"/>
    <m/>
    <m/>
    <m/>
    <s v="NO"/>
    <m/>
    <m/>
    <m/>
    <s v="NO"/>
    <m/>
    <m/>
    <m/>
    <s v="NO"/>
    <m/>
    <m/>
    <m/>
    <s v="NO"/>
    <m/>
    <m/>
    <m/>
    <s v="NO"/>
    <m/>
    <m/>
    <m/>
    <s v="NO"/>
    <m/>
    <m/>
    <m/>
    <s v="NO"/>
    <m/>
    <m/>
    <m/>
    <s v="NO"/>
    <m/>
    <m/>
    <m/>
    <s v="NO"/>
    <m/>
    <m/>
    <m/>
    <s v="NO"/>
    <m/>
    <m/>
    <m/>
    <m/>
    <m/>
    <m/>
    <m/>
    <m/>
    <s v="NO"/>
    <m/>
    <m/>
    <s v="NO"/>
    <s v="YES"/>
    <s v="January"/>
    <n v="2018"/>
    <m/>
    <x v="0"/>
    <s v="NO"/>
    <s v="NO"/>
    <s v="NO"/>
    <s v="NO"/>
    <s v="NO"/>
    <s v="NO"/>
    <s v="NO"/>
    <s v="NO"/>
    <m/>
    <x v="0"/>
    <m/>
    <x v="0"/>
    <m/>
    <x v="0"/>
    <x v="0"/>
    <s v="YES"/>
    <x v="0"/>
    <x v="0"/>
    <x v="0"/>
    <x v="0"/>
    <n v="4"/>
    <x v="1"/>
    <x v="1"/>
    <x v="1"/>
    <x v="1"/>
    <x v="1"/>
    <x v="1"/>
    <n v="4"/>
    <x v="0"/>
    <x v="0"/>
    <x v="0"/>
    <x v="0"/>
    <x v="0"/>
    <n v="0"/>
    <x v="2"/>
    <x v="1"/>
    <m/>
    <m/>
    <m/>
    <m/>
    <x v="1"/>
    <m/>
    <m/>
    <s v="Peer Education"/>
    <s v="Linkage with multiple stakeholders"/>
    <s v="Community Support System"/>
    <m/>
    <m/>
    <m/>
    <m/>
    <m/>
    <n v="0"/>
    <n v="0"/>
    <s v=""/>
    <s v=""/>
    <s v=""/>
    <n v="0"/>
    <n v="0"/>
    <s v=""/>
    <n v="0"/>
    <n v="0"/>
    <s v=""/>
    <s v=""/>
    <n v="0"/>
    <n v="0"/>
    <s v=""/>
    <s v=""/>
    <n v="0"/>
    <n v="0"/>
    <s v=""/>
    <s v=""/>
    <n v="0"/>
    <n v="0"/>
    <s v=""/>
    <s v=""/>
    <n v="0"/>
    <n v="0"/>
    <s v=""/>
    <s v="2. Sensitive"/>
    <s v="2. Accommodating"/>
    <s v="No marker score"/>
    <s v="It did not develop any specific innovation"/>
    <s v="Little or no advocacy"/>
    <s v="It did not take tested solutions to scale"/>
  </r>
  <r>
    <x v="3"/>
    <x v="0"/>
    <n v="2776"/>
    <s v="HIV Prevention Program for People Who Inject Drugs (PWID) and Their Partners"/>
    <s v="Bangladesh"/>
    <s v="SAVEBD0026"/>
    <s v="No CARE member related to the project/initiative"/>
    <s v="Other"/>
    <s v="The Global Fund to Fight AIDS, Tuberculosis and Malaria"/>
    <s v="Global Fund to Fight AIDS, Tuberculosis and Malaria"/>
    <m/>
    <m/>
    <m/>
    <m/>
    <m/>
    <m/>
    <m/>
    <m/>
    <m/>
    <m/>
    <m/>
    <m/>
    <m/>
    <m/>
    <m/>
    <m/>
    <m/>
    <m/>
    <m/>
    <m/>
    <m/>
    <m/>
    <m/>
    <m/>
    <m/>
    <m/>
    <m/>
    <m/>
    <m/>
    <m/>
    <m/>
    <m/>
    <m/>
    <m/>
    <m/>
    <m/>
    <m/>
    <m/>
    <m/>
    <m/>
    <m/>
    <m/>
    <m/>
    <m/>
    <m/>
    <d v="2015-12-01T00:00:00"/>
    <d v="2017-11-30T00:00:00"/>
    <m/>
    <s v="Development Other"/>
    <n v="1090027"/>
    <s v="Sakina Sultana"/>
    <s v="Team Leader"/>
    <s v="sakina.sultana@care.org"/>
    <s v="Dr. Md. Rajwanul Haque"/>
    <s v="Technical Coordinator-M&amp;E"/>
    <s v="rajwanul.haque@care.org"/>
    <s v="NO"/>
    <s v="YES"/>
    <s v="NO"/>
    <s v="Goal: Minimize the spread of HIV and minimize the impact of AIDS on the individual, family, community and society. Purpose: -Continuing HIV prevention services for key populations at higher risk –male and female PWID (8,750). - Continuing required Care, Treatment and Support activities – for PLHIV in order to ensure delivery and adherence to ART. -Building the capacity of partners in order to increase the scale of the National Response to the HIV/AIDS epidemic – including capacity Building initiatives for implementing partners, higher level advocacy for creating an enabling environment and maintaining the National HIV Management and Information System (MIS)"/>
    <s v="Sub-National"/>
    <s v="CARE Bangladesh consortium along with its member organizations APOSH, KMSS  and MAB has been providing essential harm reduction services among the PWID through operating  24 Drop-In-Centers under 13 districts including  six  City Corporations, Dhaka , Khulna, Barisal, Chittagong, Mymensingh and Rajshahi in Bangladesh."/>
    <s v="The GFPWID project works for the most marginalized and particularly vulnerable group of population associated with injection drug use behavior both male and female in urban area that represent CARE’s two key impact population group."/>
    <n v="324"/>
    <n v="8426"/>
    <n v="8750"/>
    <n v="179"/>
    <n v="4909"/>
    <n v="5088"/>
    <s v="Direct Participant:  People Who Inject Drugs (PWID) are receiving service through DICs/Sub-DICs and Outreach. Indirect participant: Different types of stakeholders such as DIC Advisory Committee members, local elites, law enforcing agency people, civil surgeon officer, DNC officers, local faith members, government high authority, media personals, PWID partners,  etc . "/>
    <m/>
    <m/>
    <m/>
    <m/>
    <m/>
    <m/>
    <m/>
    <m/>
    <m/>
    <m/>
    <m/>
    <m/>
    <m/>
    <m/>
    <m/>
    <m/>
    <m/>
    <m/>
    <m/>
    <m/>
    <m/>
    <m/>
    <m/>
    <m/>
    <m/>
    <m/>
    <m/>
    <m/>
    <m/>
    <m/>
    <m/>
    <m/>
    <m/>
    <m/>
    <m/>
    <m/>
    <m/>
    <m/>
    <m/>
    <m/>
    <m/>
    <m/>
    <m/>
    <m/>
    <m/>
    <m/>
    <m/>
    <m/>
    <m/>
    <m/>
    <m/>
    <m/>
    <m/>
    <m/>
    <m/>
    <m/>
    <m/>
    <m/>
    <m/>
    <m/>
    <n v="326"/>
    <n v="8856"/>
    <n v="9182"/>
    <n v="179"/>
    <n v="4909"/>
    <n v="5088"/>
    <s v="NO"/>
    <m/>
    <m/>
    <m/>
    <s v="NO"/>
    <m/>
    <m/>
    <m/>
    <s v="NO"/>
    <m/>
    <m/>
    <m/>
    <s v="NO"/>
    <m/>
    <m/>
    <m/>
    <s v="NO"/>
    <m/>
    <m/>
    <m/>
    <s v="YES"/>
    <n v="8995"/>
    <n v="0.03"/>
    <n v="1840"/>
    <s v="YES"/>
    <n v="209"/>
    <n v="7.0000000000000007E-2"/>
    <n v="209"/>
    <s v="YES"/>
    <n v="1840"/>
    <n v="0.03"/>
    <n v="1840"/>
    <s v="NO"/>
    <m/>
    <m/>
    <m/>
    <s v="YES"/>
    <n v="8995"/>
    <n v="0.03"/>
    <n v="1840"/>
    <s v="NO"/>
    <m/>
    <m/>
    <m/>
    <s v="NO"/>
    <m/>
    <m/>
    <m/>
    <s v="NO"/>
    <m/>
    <m/>
    <m/>
    <s v="YES"/>
    <n v="2794"/>
    <n v="0.3"/>
    <n v="2996"/>
    <s v="NO"/>
    <m/>
    <m/>
    <m/>
    <s v="NO"/>
    <m/>
    <m/>
    <m/>
    <m/>
    <m/>
    <m/>
    <m/>
    <m/>
    <s v="NO"/>
    <m/>
    <m/>
    <s v="NO"/>
    <s v="NO"/>
    <m/>
    <m/>
    <m/>
    <x v="1"/>
    <s v="NO"/>
    <s v="NO"/>
    <s v="NO"/>
    <s v="NO"/>
    <s v="NO"/>
    <s v="YES"/>
    <s v="NO"/>
    <m/>
    <m/>
    <x v="0"/>
    <m/>
    <x v="0"/>
    <m/>
    <x v="1"/>
    <x v="0"/>
    <s v="NO"/>
    <x v="0"/>
    <x v="0"/>
    <x v="0"/>
    <x v="1"/>
    <n v="3"/>
    <x v="1"/>
    <x v="1"/>
    <x v="1"/>
    <x v="1"/>
    <x v="1"/>
    <x v="1"/>
    <n v="4"/>
    <x v="1"/>
    <x v="2"/>
    <x v="1"/>
    <x v="1"/>
    <x v="3"/>
    <n v="2"/>
    <x v="2"/>
    <x v="3"/>
    <n v="3"/>
    <s v="Local NGO(s)/CSO(s)"/>
    <s v="Local alliance(s)/Platform(s)/Network(s) of  NGOs/CSOs"/>
    <s v="Other"/>
    <x v="0"/>
    <s v="As part of strengthening civil society organization, CARE-B provided proper support to establish as well as strengthen such such organizations such as MAB as Community Based Organization (CBO) and APOSH as Self Help Group (SHG) who are now working under CARE-B consortium as Sub-Sub Recipient (SSR). During this reporting period, continuous capacity building supports have been ensured through bilateral meeting, consortium meeting, OJT, orientation, etc. In addition, CARE-B facilitated to strengthen/sensitize the community/government orginizations/peoples through natinnal, district and local level advocacy workhop and bilateral meeting."/>
    <s v="No change"/>
    <s v="Peer approach"/>
    <m/>
    <m/>
    <s v="HIV Testing and Counseling (HTC)- HIV testing has been ensured through Satellite centers."/>
    <s v="CARE-B initiated service linkage with NHSDP and UPHCP in Satkhira, Benapol and Dhaka in order to ensure maximum coverage with limited cost and address PWID’s family health problem as well"/>
    <s v="Comprehensive service for ILWHA from one stop center where  ILWHA is being assessed with TB test then enrolled in OST, ART, rotation based nutrition support  and need based Opportunistic Infections (OIs) management in order to control the HIV transmission and keep the virus suppressed."/>
    <m/>
    <s v="Source: Quarterly Reports, Project Proposal , M&amp;E Framework, Work Plan"/>
    <n v="9182"/>
    <n v="5088"/>
    <n v="0.55412764103681111"/>
    <n v="3.5504247440644739E-2"/>
    <n v="3.5180817610062892E-2"/>
    <n v="326"/>
    <n v="179"/>
    <s v=""/>
    <n v="0"/>
    <n v="0"/>
    <s v=""/>
    <n v="1"/>
    <n v="209"/>
    <n v="209"/>
    <n v="1"/>
    <n v="1"/>
    <n v="2794"/>
    <n v="2996"/>
    <n v="1.0722977809591983"/>
    <n v="1"/>
    <n v="1840"/>
    <n v="1840"/>
    <n v="1"/>
    <s v=""/>
    <n v="0"/>
    <n v="0"/>
    <s v=""/>
    <s v="1. Neutral"/>
    <s v="2. Accommodating"/>
    <s v="1. Neutral"/>
    <s v="It did not develop any specific innovation"/>
    <s v="Moderate advocacy"/>
    <s v="It did not take tested solutions to scale"/>
  </r>
  <r>
    <x v="3"/>
    <x v="0"/>
    <m/>
    <s v="Implementation of career, capital and confidence: Empowering women garment workers through career mobility, financial literacy, and reduced violence against women - Empowering Women - RMG"/>
    <s v="Bangladesh"/>
    <s v="UNWNB0001"/>
    <s v="CARE USA"/>
    <s v="Multilateral agency"/>
    <s v="UN - United Nations agencies/offices"/>
    <s v="UN WOMEN"/>
    <m/>
    <m/>
    <m/>
    <m/>
    <m/>
    <m/>
    <m/>
    <m/>
    <m/>
    <m/>
    <m/>
    <m/>
    <m/>
    <m/>
    <m/>
    <m/>
    <m/>
    <m/>
    <m/>
    <m/>
    <m/>
    <m/>
    <m/>
    <m/>
    <m/>
    <m/>
    <m/>
    <m/>
    <m/>
    <m/>
    <m/>
    <m/>
    <m/>
    <m/>
    <m/>
    <m/>
    <m/>
    <m/>
    <m/>
    <m/>
    <m/>
    <m/>
    <m/>
    <m/>
    <m/>
    <d v="2016-06-06T00:00:00"/>
    <d v="2018-12-30T00:00:00"/>
    <m/>
    <s v="Development Access to and Control over Economic Resources"/>
    <n v="262883"/>
    <s v="Humaira Aziz"/>
    <s v="Director Women and Girl's Empowerment Program"/>
    <s v="humaira.aziz@care.org"/>
    <s v="Israt Jahan Biju"/>
    <s v="Program Manager"/>
    <s v="isratjahan.biju@care.org"/>
    <s v="NO"/>
    <s v="YES"/>
    <s v="NO"/>
    <s v="To contribute to the economic empowerment of 6000 women garment workers (directly and indirectly) in Dhaka division by investing in their career advancement, building their capital base, and increasing their confidence and ability to address harassment and violence at the workplace and in their living environments."/>
    <s v="Sub-National"/>
    <s v="Dhaka, Gazipur"/>
    <s v="'Women garment workers, men garment workers, factory management, family members of the main target groups"/>
    <n v="800"/>
    <n v="200"/>
    <n v="1000"/>
    <n v="2640"/>
    <n v="660"/>
    <n v="3300"/>
    <s v="800 Female and 200 Male RMG workers are direct participant and family member are indirect participants"/>
    <m/>
    <m/>
    <m/>
    <m/>
    <m/>
    <m/>
    <m/>
    <m/>
    <m/>
    <m/>
    <m/>
    <m/>
    <m/>
    <m/>
    <m/>
    <m/>
    <m/>
    <m/>
    <m/>
    <m/>
    <m/>
    <m/>
    <m/>
    <m/>
    <m/>
    <m/>
    <m/>
    <m/>
    <m/>
    <m/>
    <m/>
    <m/>
    <m/>
    <m/>
    <m/>
    <m/>
    <m/>
    <m/>
    <m/>
    <m/>
    <m/>
    <m/>
    <m/>
    <m/>
    <m/>
    <m/>
    <m/>
    <m/>
    <m/>
    <m/>
    <m/>
    <m/>
    <m/>
    <m/>
    <m/>
    <m/>
    <m/>
    <m/>
    <m/>
    <m/>
    <n v="0"/>
    <n v="0"/>
    <n v="0"/>
    <n v="0"/>
    <n v="0"/>
    <n v="0"/>
    <s v="NO"/>
    <m/>
    <m/>
    <m/>
    <s v="NO"/>
    <m/>
    <m/>
    <m/>
    <s v="NO"/>
    <m/>
    <m/>
    <m/>
    <s v="NO"/>
    <m/>
    <m/>
    <m/>
    <s v="NO"/>
    <m/>
    <m/>
    <m/>
    <s v="NO"/>
    <m/>
    <m/>
    <m/>
    <s v="NO"/>
    <m/>
    <m/>
    <m/>
    <s v="NO"/>
    <m/>
    <m/>
    <m/>
    <s v="NO"/>
    <m/>
    <m/>
    <m/>
    <s v="NO"/>
    <m/>
    <m/>
    <m/>
    <s v="NO"/>
    <m/>
    <m/>
    <m/>
    <s v="NO"/>
    <m/>
    <m/>
    <m/>
    <s v="NO"/>
    <m/>
    <m/>
    <m/>
    <s v="NO"/>
    <m/>
    <m/>
    <m/>
    <s v="NO"/>
    <m/>
    <m/>
    <m/>
    <s v="NO"/>
    <m/>
    <m/>
    <m/>
    <m/>
    <m/>
    <m/>
    <m/>
    <m/>
    <s v="NO"/>
    <m/>
    <m/>
    <s v="NO"/>
    <s v="NO"/>
    <m/>
    <m/>
    <m/>
    <x v="0"/>
    <s v="NO"/>
    <s v="NO"/>
    <s v="NO"/>
    <s v="NO"/>
    <s v="NO"/>
    <s v="NO"/>
    <s v="NO"/>
    <m/>
    <m/>
    <x v="0"/>
    <m/>
    <x v="0"/>
    <m/>
    <x v="0"/>
    <x v="1"/>
    <s v="YES"/>
    <x v="0"/>
    <x v="0"/>
    <x v="1"/>
    <x v="4"/>
    <n v="3"/>
    <x v="1"/>
    <x v="1"/>
    <x v="1"/>
    <x v="1"/>
    <x v="2"/>
    <x v="1"/>
    <n v="3"/>
    <x v="0"/>
    <x v="0"/>
    <x v="0"/>
    <x v="0"/>
    <x v="0"/>
    <n v="0"/>
    <x v="2"/>
    <x v="1"/>
    <m/>
    <m/>
    <m/>
    <m/>
    <x v="1"/>
    <m/>
    <m/>
    <s v="(a) Support women garment workers to access training for garment workers, and begin to build paths forward to increase work value, income and career mobility."/>
    <s v="(b) Build longer term financial security for women garments workers by connecting them to formal financial sector savings, insurance and loan products that will help them build long term assets."/>
    <s v="(c) Develop mechanisms to reduce violence against women workers in workplaces and public places that are most relevant to workforce participation and career development."/>
    <m/>
    <m/>
    <m/>
    <m/>
    <m/>
    <n v="0"/>
    <n v="0"/>
    <s v=""/>
    <s v=""/>
    <s v=""/>
    <n v="0"/>
    <n v="0"/>
    <s v=""/>
    <n v="0"/>
    <n v="0"/>
    <s v=""/>
    <s v=""/>
    <n v="0"/>
    <n v="0"/>
    <s v=""/>
    <s v=""/>
    <n v="0"/>
    <n v="0"/>
    <s v=""/>
    <s v=""/>
    <n v="0"/>
    <n v="0"/>
    <s v=""/>
    <s v=""/>
    <n v="0"/>
    <n v="0"/>
    <s v=""/>
    <s v="3. Responsive"/>
    <s v="2. Accommodating"/>
    <s v="No marker score"/>
    <s v="It did not develop any specific innovation"/>
    <s v="Little or no advocacy"/>
    <s v="It did not take tested solutions to scale"/>
  </r>
  <r>
    <x v="3"/>
    <x v="0"/>
    <n v="2760"/>
    <s v="Improving Maternal and Infant Health in Bangladesh (IMIHB)"/>
    <s v="Bangladesh"/>
    <s v="CAUSBD0001/CAUSBD0002"/>
    <s v="CARE Australia"/>
    <s v="Government"/>
    <s v="Government - Australia"/>
    <s v="Australian NGO Cooperation Program (ANCP)"/>
    <m/>
    <m/>
    <m/>
    <m/>
    <m/>
    <m/>
    <m/>
    <m/>
    <m/>
    <m/>
    <m/>
    <m/>
    <m/>
    <m/>
    <m/>
    <m/>
    <m/>
    <m/>
    <m/>
    <m/>
    <m/>
    <m/>
    <m/>
    <m/>
    <m/>
    <m/>
    <m/>
    <m/>
    <m/>
    <m/>
    <m/>
    <m/>
    <m/>
    <m/>
    <m/>
    <m/>
    <m/>
    <m/>
    <m/>
    <m/>
    <m/>
    <m/>
    <m/>
    <m/>
    <m/>
    <d v="2014-12-01T00:00:00"/>
    <d v="2017-06-30T00:00:00"/>
    <m/>
    <s v="Development Sexual, Reproductive and Maternal Health (SRMH)"/>
    <n v="572333"/>
    <s v="Dr. Jahirul Alam Azad"/>
    <s v="Team Leader - Urban Health"/>
    <s v="JahirulAlam.Azad@care.org"/>
    <s v="Dr. Jahangir Hossain"/>
    <s v="Program Director - Health"/>
    <s v="Jahangir.Hossain@care.org"/>
    <s v="NO"/>
    <s v="YES"/>
    <s v="NO"/>
    <s v="Improve the health status of vulnerable women aged 15 – 49 and children under 5 in Gazipur, including female readymade garment (RMG) factory workers, through strengthening the CmSS."/>
    <s v="Sub-National"/>
    <s v="Gazipur District, Bangladesh"/>
    <s v="Pregnant women and infant"/>
    <n v="105600"/>
    <n v="30000"/>
    <n v="135600"/>
    <n v="386100"/>
    <n v="471900"/>
    <n v="858000"/>
    <s v="Direct participant: Pregenent women and childer under 5. Indirect participant: Family memebrs and community people. Calculation of direct participant: PW  reciving service from Community Clinincs and referred to Upazila Health Complex, District Hospital and other referral center. Information collected from monthly health and Family planning MIS. Calculation of indirect population: Family members and community people participated in birth planning session, awareness raising events and take services from Community Clinics. Information colleted from project records and CC patient register."/>
    <m/>
    <m/>
    <m/>
    <m/>
    <m/>
    <m/>
    <m/>
    <m/>
    <m/>
    <m/>
    <m/>
    <m/>
    <m/>
    <m/>
    <m/>
    <m/>
    <m/>
    <m/>
    <m/>
    <m/>
    <m/>
    <m/>
    <m/>
    <m/>
    <m/>
    <m/>
    <m/>
    <m/>
    <m/>
    <m/>
    <m/>
    <m/>
    <m/>
    <m/>
    <m/>
    <m/>
    <m/>
    <m/>
    <m/>
    <m/>
    <m/>
    <m/>
    <m/>
    <m/>
    <m/>
    <m/>
    <m/>
    <m/>
    <m/>
    <m/>
    <m/>
    <m/>
    <m/>
    <m/>
    <m/>
    <m/>
    <m/>
    <m/>
    <m/>
    <m/>
    <n v="44117"/>
    <n v="18000"/>
    <n v="62117"/>
    <n v="177663"/>
    <n v="172520"/>
    <n v="350183"/>
    <s v="NO"/>
    <m/>
    <m/>
    <m/>
    <s v="NO"/>
    <m/>
    <m/>
    <m/>
    <s v="NO"/>
    <m/>
    <m/>
    <m/>
    <s v="NO"/>
    <m/>
    <m/>
    <m/>
    <s v="NO"/>
    <m/>
    <m/>
    <m/>
    <s v="NO"/>
    <m/>
    <m/>
    <m/>
    <s v="NO"/>
    <m/>
    <m/>
    <m/>
    <s v="YES"/>
    <n v="38155"/>
    <n v="1"/>
    <n v="114465"/>
    <s v="NO"/>
    <m/>
    <m/>
    <m/>
    <s v="YES"/>
    <n v="38155"/>
    <n v="1"/>
    <n v="114465"/>
    <s v="NO"/>
    <m/>
    <m/>
    <m/>
    <s v="NO"/>
    <m/>
    <m/>
    <m/>
    <s v="NO"/>
    <m/>
    <m/>
    <m/>
    <s v="YES"/>
    <n v="62117"/>
    <n v="0.71"/>
    <n v="359183"/>
    <s v="NO"/>
    <m/>
    <m/>
    <m/>
    <s v="NO"/>
    <m/>
    <m/>
    <m/>
    <m/>
    <m/>
    <m/>
    <m/>
    <m/>
    <s v="NO"/>
    <m/>
    <m/>
    <s v="YES"/>
    <s v="NO"/>
    <m/>
    <m/>
    <m/>
    <x v="1"/>
    <s v="NO"/>
    <s v="NO"/>
    <s v="YES"/>
    <s v="YES"/>
    <s v="NO"/>
    <s v="NO"/>
    <s v="NO"/>
    <s v="NO"/>
    <m/>
    <x v="1"/>
    <m/>
    <x v="0"/>
    <m/>
    <x v="1"/>
    <x v="0"/>
    <s v="NO"/>
    <x v="0"/>
    <x v="0"/>
    <x v="0"/>
    <x v="1"/>
    <n v="3"/>
    <x v="1"/>
    <x v="1"/>
    <x v="1"/>
    <x v="1"/>
    <x v="1"/>
    <x v="1"/>
    <n v="4"/>
    <x v="0"/>
    <x v="0"/>
    <x v="0"/>
    <x v="0"/>
    <x v="0"/>
    <n v="0"/>
    <x v="2"/>
    <x v="2"/>
    <n v="4"/>
    <s v="Local government(s)"/>
    <s v="Local NGO(s)/CSO(s)"/>
    <s v="National government"/>
    <x v="0"/>
    <s v="Project introduced Social accountability tools: Community Score Card and Community Dialouge for strengthening the exisitng community platforms."/>
    <m/>
    <s v="Capacity building of Health managers and supervisors through formation of CORE Team"/>
    <s v="Community Referral System"/>
    <s v="Community Score Card"/>
    <s v="Coordination among relevant stakeholders is key to ensure consistence in service quality"/>
    <s v="Effective conduction of birth planning session significantly increase number of births conducted by skilled providers"/>
    <s v="Establishments of Community Clinic corner at Upazila health complex significantly improve client satisfaction and changes in health seeking behaviour"/>
    <m/>
    <s v="'Performance Report – FY16-17"/>
    <n v="62117"/>
    <n v="350183"/>
    <n v="5.6374744433890882"/>
    <n v="0.71022425422992097"/>
    <n v="0.50734330335852973"/>
    <n v="44117"/>
    <n v="177663"/>
    <s v=""/>
    <n v="0"/>
    <n v="0"/>
    <s v=""/>
    <s v=""/>
    <n v="0"/>
    <n v="0"/>
    <s v=""/>
    <n v="1"/>
    <n v="62117"/>
    <n v="359183"/>
    <n v="5.7823623162741278"/>
    <n v="1"/>
    <n v="38155"/>
    <n v="114465"/>
    <n v="3"/>
    <s v=""/>
    <n v="0"/>
    <n v="0"/>
    <s v=""/>
    <s v="1. Neutral"/>
    <s v="2. Accommodating"/>
    <s v="No marker score"/>
    <s v="It tested new ways for fighting poverty, but did not measure results of innovation"/>
    <s v="Moderate advocacy"/>
    <s v="It did not take tested solutions to scale"/>
  </r>
  <r>
    <x v="3"/>
    <x v="0"/>
    <n v="2761"/>
    <s v="JATRA (Journey for Advancement in Transperency Representation and Accontibility )"/>
    <s v="Bangladesh"/>
    <s v="IBRBD0001"/>
    <s v="CARE UK"/>
    <s v="Other"/>
    <s v="The World Bank"/>
    <s v="The World Bank"/>
    <m/>
    <m/>
    <m/>
    <m/>
    <m/>
    <m/>
    <m/>
    <m/>
    <m/>
    <m/>
    <m/>
    <m/>
    <m/>
    <m/>
    <m/>
    <m/>
    <m/>
    <m/>
    <m/>
    <m/>
    <m/>
    <m/>
    <m/>
    <m/>
    <m/>
    <m/>
    <m/>
    <m/>
    <m/>
    <m/>
    <m/>
    <m/>
    <m/>
    <m/>
    <m/>
    <m/>
    <m/>
    <m/>
    <m/>
    <m/>
    <m/>
    <m/>
    <m/>
    <m/>
    <m/>
    <d v="2014-03-01T00:00:00"/>
    <d v="2017-08-31T00:00:00"/>
    <m/>
    <s v="Development Other"/>
    <n v="664138"/>
    <s v="Murad Bin Aziz"/>
    <s v="Governance Coordinator, Extreme Rural Poverty Program"/>
    <s v="MuradBin.Aziz@care.org"/>
    <s v="Anowarul Haq"/>
    <s v="Director,Extreme Rural Poverty Program"/>
    <s v="anowarul.haq@care.org"/>
    <s v="NO"/>
    <s v="YES"/>
    <s v="NO"/>
    <s v="Union Parishad public finance management systems are strengthened, transparent and aligned with the Local Government Act 2009. UP will benefit from institutional strengthening through establishing transparent and participatory budget process-es which will ultimately improve their legitimacy,  their effectiveness in delivering services  and ultimately their income rev-enues"/>
    <s v="Sub-National"/>
    <s v="Sub-national level: Nilphamari and Gaibandha districts of Northwest of Bangladesh, will cover 15 Union Parishad, under 3 upazilas (sub-district) of those 2 Districts"/>
    <s v="The primary beneficiaries of project are approximately 30,000 extremely poor households, especially the most marginalized women,local advance citizen, natural leader, Union parishad functioneries in the targeted 15 unions. The total population of the targeted 15 unions (approximately around 400,000) will beindirectly  benefiting from the overall improve-ment of the UP’s governance by accessing improved services and better-targeted resources."/>
    <n v="15000"/>
    <n v="15000"/>
    <n v="30000"/>
    <n v="200000"/>
    <n v="200000"/>
    <n v="400000"/>
    <s v="We are calculating our Direct and Indirect beneficiaries based on assumption. We determine that wardsava and open budget session participants counted as direct beneficiary and indirect beneficiary are 1/3 population of project constituents."/>
    <m/>
    <m/>
    <m/>
    <m/>
    <m/>
    <m/>
    <m/>
    <m/>
    <m/>
    <m/>
    <m/>
    <m/>
    <m/>
    <m/>
    <m/>
    <m/>
    <m/>
    <m/>
    <m/>
    <m/>
    <m/>
    <m/>
    <m/>
    <m/>
    <m/>
    <m/>
    <m/>
    <m/>
    <m/>
    <m/>
    <m/>
    <m/>
    <m/>
    <m/>
    <m/>
    <m/>
    <m/>
    <m/>
    <m/>
    <m/>
    <m/>
    <m/>
    <m/>
    <m/>
    <m/>
    <m/>
    <m/>
    <m/>
    <m/>
    <m/>
    <m/>
    <m/>
    <m/>
    <m/>
    <m/>
    <m/>
    <m/>
    <m/>
    <m/>
    <m/>
    <n v="5000"/>
    <n v="5000"/>
    <n v="10000"/>
    <n v="5000"/>
    <n v="5000"/>
    <n v="10000"/>
    <s v="NO"/>
    <m/>
    <m/>
    <m/>
    <s v="NO"/>
    <m/>
    <m/>
    <m/>
    <s v="NO"/>
    <m/>
    <m/>
    <m/>
    <s v="NO"/>
    <m/>
    <m/>
    <m/>
    <s v="NO"/>
    <m/>
    <m/>
    <m/>
    <s v="NO"/>
    <m/>
    <m/>
    <m/>
    <s v="NO"/>
    <m/>
    <m/>
    <m/>
    <s v="NO"/>
    <m/>
    <m/>
    <m/>
    <s v="NO"/>
    <m/>
    <m/>
    <m/>
    <s v="NO"/>
    <m/>
    <m/>
    <m/>
    <s v="NO"/>
    <m/>
    <m/>
    <m/>
    <s v="NO"/>
    <m/>
    <m/>
    <m/>
    <s v="YES"/>
    <n v="10000"/>
    <n v="0.5"/>
    <n v="100000"/>
    <s v="NO"/>
    <m/>
    <m/>
    <m/>
    <s v="NO"/>
    <m/>
    <m/>
    <m/>
    <s v="NO"/>
    <m/>
    <m/>
    <m/>
    <m/>
    <m/>
    <m/>
    <m/>
    <m/>
    <s v="NO"/>
    <m/>
    <m/>
    <s v="YES"/>
    <s v="YES"/>
    <s v="August"/>
    <n v="2017"/>
    <m/>
    <x v="1"/>
    <s v="NO"/>
    <s v="NO"/>
    <s v="NO"/>
    <s v="YES"/>
    <s v="NO"/>
    <s v="NO"/>
    <s v="NO"/>
    <s v="NO"/>
    <m/>
    <x v="1"/>
    <m/>
    <x v="3"/>
    <m/>
    <x v="0"/>
    <x v="0"/>
    <s v="YES"/>
    <x v="0"/>
    <x v="0"/>
    <x v="0"/>
    <x v="0"/>
    <n v="4"/>
    <x v="1"/>
    <x v="1"/>
    <x v="1"/>
    <x v="1"/>
    <x v="1"/>
    <x v="1"/>
    <n v="4"/>
    <x v="0"/>
    <x v="0"/>
    <x v="0"/>
    <x v="0"/>
    <x v="0"/>
    <n v="0"/>
    <x v="2"/>
    <x v="1"/>
    <m/>
    <m/>
    <m/>
    <m/>
    <x v="0"/>
    <m/>
    <s v="The project has introduced political economy analysis to formulate pro poor vision and planning in each union under the operation of JATRA project. The analysis encourages and validates local government councils to allocate resources and implement more programs for marginalized and poor communities. As a follow up for accountability, the project initiated participatory self evaluation of local councils on a six monthly basis. The learning was shared to Horizontal Learning program (HLP), a peer to peer learning program coordinated by local government division, more than 100 chairmen from different corner of the project have visited JATRA operated union and learn the practice for adapting in their respective union. As a best practice, HLP has published into the fact sheet and circulated to all unions under the program of the project."/>
    <s v="Community Score Card"/>
    <s v="Social Audit"/>
    <s v="Self Evaluation"/>
    <s v="According to tax model schedule 2012, every union should make list of potential tax payer, assessment of possible revenue collection based on tax base provided by government on prescribed formats. The tax collection is incentivized in UP performance grant, higher number for at least 10% increase of collection each year. In reality, most of the Parishad shows tax collection and expenditures in paper, the Union Parishad do not enforces citizen to pay taxes for fear of loss of popularity in potential election campaign.  The project has taken initiative by forming a committee in each Union with support of citizen forum to encourage and             raise awareness to citizen, and taken one ward for each union for tax schedule preparation and collection. a. According to tax model schedule 2012, every union should make list of potential tax payer, assessment of possible revenue collection based on tax base provided by government on prescribed formats. The tax collection is incentivized in UP performance grant, higher number for at least 10% increase of collection each year. In reality, most of the Parishad shows tax collection and expenditures in paper, the Union Parishad do not enforces citizen to pay taxes for fear of loss of popularity in potential election campaign.  The project has taken initiative by forming a committee in each Union with support of citizen forum to encourage and             raise awareness to citizen, and taken one ward for each union for tax schedule preparation and collection."/>
    <s v="Block grant of LGSP-II of the year 2014-15 has been disbursed 7 months later, as stated by UP for procedural complication of meeting the conditional requirement of Block grant disbursement that includes proper resolution of schemes in ward shabha, design of projects, and other factors. Consequently, time constraints limit timely completion construction and the quality of work. The project has assisted in this financial year 2015-16 by involving citizen forum to make proper resolution of ward shabha, and is taken plan to do exercise of community score card on block grant to identify proper barriers on use of block grant."/>
    <m/>
    <m/>
    <m/>
    <n v="10000"/>
    <n v="10000"/>
    <n v="1"/>
    <n v="0.5"/>
    <n v="0.5"/>
    <n v="5000"/>
    <n v="5000"/>
    <s v=""/>
    <n v="0"/>
    <n v="0"/>
    <s v=""/>
    <s v=""/>
    <n v="0"/>
    <n v="0"/>
    <s v=""/>
    <s v=""/>
    <n v="0"/>
    <n v="0"/>
    <s v=""/>
    <s v=""/>
    <n v="0"/>
    <n v="0"/>
    <s v=""/>
    <s v=""/>
    <n v="0"/>
    <n v="0"/>
    <s v=""/>
    <s v="2. Sensitive"/>
    <s v="2. Accommodating"/>
    <s v="No marker score"/>
    <s v="It tested new ways for fighting poverty, but did not measure results of innovation"/>
    <s v="Moderate advocacy"/>
    <s v="It took tested solutions to scale on its own"/>
  </r>
  <r>
    <x v="3"/>
    <x v="0"/>
    <n v="2762"/>
    <s v="Justice for Domestic Violence Survivors"/>
    <s v="Bangladesh"/>
    <s v="GATEBD0018"/>
    <s v="CARE USA"/>
    <s v="Foundation"/>
    <s v="Bill &amp; Melinda Gates Foundation"/>
    <s v="Bill &amp; Melinda Gates Foundation"/>
    <m/>
    <m/>
    <m/>
    <m/>
    <m/>
    <m/>
    <m/>
    <m/>
    <m/>
    <m/>
    <m/>
    <m/>
    <m/>
    <m/>
    <m/>
    <m/>
    <m/>
    <m/>
    <m/>
    <m/>
    <m/>
    <m/>
    <m/>
    <m/>
    <m/>
    <m/>
    <m/>
    <m/>
    <m/>
    <m/>
    <m/>
    <m/>
    <m/>
    <m/>
    <m/>
    <m/>
    <m/>
    <m/>
    <m/>
    <m/>
    <m/>
    <m/>
    <m/>
    <m/>
    <m/>
    <d v="2014-01-02T00:00:00"/>
    <d v="2016-12-31T00:00:00"/>
    <m/>
    <s v="Development A Life Free From Violence (GBV)"/>
    <n v="90005"/>
    <s v="Humaira Aziz"/>
    <s v="Director, Women and Girl's Empowerment"/>
    <s v="huamira.aziz@care.org"/>
    <s v="Rawnak Jahan"/>
    <s v="Project Manager"/>
    <s v="rawnak.jahan@cre.org"/>
    <s v="NO"/>
    <s v="YES"/>
    <s v="NO"/>
    <s v="To advocate for the effective implementation of national laws pertaining to the prevention, prohibition and criminalisation of domestic violence in India, Nepal, Bangladesh and Sri Lanka."/>
    <s v="Multiple countries"/>
    <s v="Sunamganj and Dhaka, Bangladesh"/>
    <s v="Women of Bangladesh"/>
    <n v="3000"/>
    <n v="850"/>
    <n v="3850"/>
    <n v="15000"/>
    <n v="4250"/>
    <n v="19250"/>
    <s v="Direct: 2500 garments workers (all women) were sensitized on Domestic Violence Act_x000a_Direct: 500 female students at universities were sensitized on Domestic Violence Act_x000a_Direct: over 200 lawyers, media personnel and other stakeholders(mostly male) were directly sensitized and trained in using DV Act_x000a_Direct: around 650 male univestity students  were sensitized on Domestic Violence Act+A57_x000a_Indirect: The project assumption is each person sensitized will talk to atleast 5 others within their family and friends"/>
    <m/>
    <m/>
    <m/>
    <m/>
    <m/>
    <m/>
    <m/>
    <m/>
    <m/>
    <m/>
    <m/>
    <m/>
    <m/>
    <m/>
    <m/>
    <m/>
    <m/>
    <m/>
    <m/>
    <m/>
    <m/>
    <m/>
    <m/>
    <m/>
    <m/>
    <m/>
    <m/>
    <m/>
    <m/>
    <m/>
    <m/>
    <m/>
    <m/>
    <m/>
    <m/>
    <m/>
    <m/>
    <m/>
    <m/>
    <m/>
    <m/>
    <m/>
    <m/>
    <m/>
    <m/>
    <m/>
    <m/>
    <m/>
    <m/>
    <m/>
    <m/>
    <m/>
    <m/>
    <m/>
    <m/>
    <m/>
    <m/>
    <m/>
    <m/>
    <m/>
    <n v="3000"/>
    <n v="650"/>
    <n v="3650"/>
    <n v="15000"/>
    <n v="3250"/>
    <n v="18250"/>
    <s v="NO"/>
    <m/>
    <m/>
    <m/>
    <s v="NO"/>
    <m/>
    <m/>
    <m/>
    <s v="NO"/>
    <m/>
    <m/>
    <m/>
    <s v="NO"/>
    <m/>
    <m/>
    <m/>
    <s v="NO"/>
    <m/>
    <m/>
    <m/>
    <s v="NO"/>
    <m/>
    <m/>
    <m/>
    <s v="NO"/>
    <m/>
    <m/>
    <m/>
    <s v="YES"/>
    <n v="3650"/>
    <n v="0.78"/>
    <n v="18250"/>
    <s v="NO"/>
    <m/>
    <m/>
    <m/>
    <s v="NO"/>
    <m/>
    <m/>
    <m/>
    <s v="NO"/>
    <m/>
    <m/>
    <m/>
    <s v="NO"/>
    <m/>
    <m/>
    <m/>
    <s v="NO"/>
    <m/>
    <m/>
    <m/>
    <s v="NO"/>
    <m/>
    <m/>
    <m/>
    <s v="NO"/>
    <m/>
    <m/>
    <m/>
    <s v="NO"/>
    <m/>
    <m/>
    <m/>
    <m/>
    <m/>
    <m/>
    <m/>
    <m/>
    <s v="YES"/>
    <s v="December"/>
    <n v="2016"/>
    <s v="NO"/>
    <s v="NO"/>
    <m/>
    <m/>
    <m/>
    <x v="2"/>
    <s v="NO"/>
    <s v="NO"/>
    <s v="YES"/>
    <s v="YES"/>
    <s v="YES"/>
    <s v="NO"/>
    <s v="NO"/>
    <s v="NO"/>
    <m/>
    <x v="1"/>
    <s v="It used ToT cascading model to enforce Domestice Violence model"/>
    <x v="1"/>
    <s v="It trained association like MoWCA who would handle potential victimsof DV"/>
    <x v="2"/>
    <x v="1"/>
    <s v="YES"/>
    <x v="0"/>
    <x v="1"/>
    <x v="1"/>
    <x v="4"/>
    <n v="2"/>
    <x v="1"/>
    <x v="1"/>
    <x v="1"/>
    <x v="1"/>
    <x v="2"/>
    <x v="1"/>
    <n v="3"/>
    <x v="1"/>
    <x v="1"/>
    <x v="2"/>
    <x v="2"/>
    <x v="3"/>
    <n v="1"/>
    <x v="2"/>
    <x v="0"/>
    <n v="3"/>
    <s v="Media or journalist network(s)"/>
    <s v="University/research institution(s)"/>
    <s v="Local NGO(s)/CSO(s)"/>
    <x v="2"/>
    <s v="Enhancing sensitization of GBV laws will strengthen Civil Society"/>
    <m/>
    <s v="• Raise awareness among women and communities regarding their rights under the domestic violence laws."/>
    <s v="• Strengthen the capacity of service providers to carry out their duties and obligations to register, investigate and prosecute when cases are reported by survivors."/>
    <s v="• Enhance institutional structures to ensure timely delivery of justice to domestic violence survivors."/>
    <s v="Bangladesh: The issue of implementation of the act is a broader issue and therefore can not be addressed by a single organization. Therefore the partnership with the network CIDV contributed a lot to bring the Ministry on the table of discussions. This however is a time consuming process and the advocacy efforts do not always result in concrete discussions. The project have been able to successfully reach consensus of members on the gaps of implementation of the act and compensation tool. While on many issues consensus were made, CARE Bangladesh will continue advocacy to make recommendations in to actions. _x000a_Domestic violence is still considered as a personal matter even with lawyers, judges and media- the actors that either deliver justice or play an important role in influencing people’s mindset. People in general still have low awareness on what constitutes domestic violence. Mostly physical violence is considered as domestic violence therefore there is much to be done in sensitizing the actors on not just the provision but also the spirit behind the act. Some actions need to be taken so that women are not further victimized when they seek services under the act. Therefore more work is needed to safeguard women’s interests. More work needs to be done to improve the effectiveness of the act which will need more consensus building to place a collective demand for revision of the act, Since these laws are shown by the governments as measures taken to advance the interest of women there is a reluctance to revise these laws as that would be admitting that the acts are not working. So more consensus needs to be built around the need for revision."/>
    <m/>
    <m/>
    <m/>
    <s v="Annual narrative report for the “Justice for Domestic Violence Survivors” Project_x000a_Paving Ways to Implementation of Domestic Violence (Protection and Prevention) Act, 2010"/>
    <n v="3650"/>
    <n v="18250"/>
    <n v="5"/>
    <n v="0.82191780821917804"/>
    <n v="0.82191780821917804"/>
    <n v="3000"/>
    <n v="15000"/>
    <s v=""/>
    <n v="0"/>
    <n v="0"/>
    <s v=""/>
    <s v=""/>
    <n v="0"/>
    <n v="0"/>
    <s v=""/>
    <s v=""/>
    <n v="0"/>
    <n v="0"/>
    <s v=""/>
    <n v="1"/>
    <n v="3650"/>
    <n v="18250"/>
    <n v="5"/>
    <s v=""/>
    <n v="0"/>
    <n v="0"/>
    <s v=""/>
    <s v="3. Responsive"/>
    <s v="2. Accommodating"/>
    <s v="1. Neutral"/>
    <s v="It tested new ways for fighting poverty, but did not measure results of innovation"/>
    <s v="Intensive advocacy"/>
    <s v="It linked and worked with strategic alliances and partners to take tested and effective solutions to scale"/>
  </r>
  <r>
    <x v="3"/>
    <x v="0"/>
    <n v="2763"/>
    <s v="Krishi Utsho"/>
    <s v="Bangladesh"/>
    <s v="EKNBBD0001"/>
    <s v="CARE USA"/>
    <s v="Government"/>
    <s v="Government - Netherlands"/>
    <s v="Embassy of the Netherlands"/>
    <s v="CISCBD0001"/>
    <s v="CARE USA"/>
    <s v="Corporation"/>
    <s v="Other"/>
    <s v="CISCO"/>
    <m/>
    <m/>
    <m/>
    <m/>
    <m/>
    <m/>
    <m/>
    <m/>
    <m/>
    <m/>
    <m/>
    <m/>
    <m/>
    <m/>
    <m/>
    <m/>
    <m/>
    <m/>
    <m/>
    <m/>
    <m/>
    <m/>
    <m/>
    <m/>
    <m/>
    <m/>
    <m/>
    <m/>
    <m/>
    <m/>
    <m/>
    <m/>
    <m/>
    <m/>
    <m/>
    <m/>
    <m/>
    <m/>
    <m/>
    <m/>
    <d v="2015-11-01T00:00:00"/>
    <d v="2018-12-31T00:00:00"/>
    <m/>
    <s v="Development Food &amp; Nutrition Security and Resilience to Climate Change"/>
    <n v="1392000"/>
    <s v="Maruf Azam"/>
    <s v="Project-Coordinator"/>
    <s v="maruf.azam@care.org"/>
    <s v="Sabrina Sahrin Sarna"/>
    <s v="Project Support Officer(learing and documentation)"/>
    <s v="sabrinasahrin.sarna@care.org"/>
    <s v="NO"/>
    <s v="YES"/>
    <s v="NO"/>
    <s v="65,000 smallholder farmers, including 26,000 women farmers, have improved agriculture income."/>
    <s v="Sub-National"/>
    <s v="At present Krishi Utsho is operating in following six districts of Bangladesh:_x000a_• Shirajganj_x000a_• Bogra_x000a_• Pabna_x000a_• Rangpur_x000a_• Jessore _x000a_• Satkhira"/>
    <s v="65,000 marginal smallholder farmers, among them 26,000 women farmers"/>
    <n v="26000"/>
    <n v="39000"/>
    <n v="65000"/>
    <n v="78000"/>
    <n v="117000"/>
    <n v="195000"/>
    <s v="Total  no of direct participants -65,000 _x000a_Total no of  Indirect participants- 195,000 (multiple by Household size ,from the data of bangladesh Bureau of Statisticsnatis at national level per household size is 4)_x000a_Among total direct participants 20% are wome so,_x000a_Total no of male participants 48,750and indirect 175,000_x000a_Total no of female participant 26,000 and indirect 117,000"/>
    <m/>
    <m/>
    <m/>
    <m/>
    <m/>
    <m/>
    <m/>
    <m/>
    <m/>
    <m/>
    <m/>
    <m/>
    <m/>
    <m/>
    <m/>
    <m/>
    <m/>
    <m/>
    <m/>
    <m/>
    <m/>
    <m/>
    <m/>
    <m/>
    <m/>
    <m/>
    <m/>
    <m/>
    <m/>
    <m/>
    <m/>
    <m/>
    <m/>
    <m/>
    <m/>
    <m/>
    <m/>
    <m/>
    <m/>
    <m/>
    <m/>
    <m/>
    <m/>
    <m/>
    <m/>
    <m/>
    <m/>
    <m/>
    <m/>
    <m/>
    <m/>
    <m/>
    <m/>
    <m/>
    <m/>
    <m/>
    <m/>
    <m/>
    <m/>
    <m/>
    <n v="10895"/>
    <n v="34630"/>
    <n v="45525"/>
    <n v="32685"/>
    <n v="103890"/>
    <n v="136575"/>
    <s v="YES"/>
    <n v="45524"/>
    <n v="0.24"/>
    <n v="136572"/>
    <s v="NO"/>
    <m/>
    <m/>
    <m/>
    <s v="NO"/>
    <m/>
    <m/>
    <m/>
    <s v="NO"/>
    <m/>
    <m/>
    <m/>
    <s v="YES"/>
    <n v="34630"/>
    <n v="0.2"/>
    <n v="103890"/>
    <s v="NO"/>
    <m/>
    <m/>
    <m/>
    <s v="YES"/>
    <n v="45524"/>
    <n v="0.24"/>
    <n v="136572"/>
    <s v="NO"/>
    <m/>
    <m/>
    <m/>
    <s v="NO"/>
    <m/>
    <m/>
    <m/>
    <s v="NO"/>
    <m/>
    <m/>
    <m/>
    <s v="NO"/>
    <m/>
    <m/>
    <m/>
    <s v="NO"/>
    <m/>
    <m/>
    <m/>
    <s v="NO"/>
    <m/>
    <m/>
    <m/>
    <s v="NO"/>
    <m/>
    <m/>
    <m/>
    <s v="NO"/>
    <m/>
    <m/>
    <m/>
    <s v="YES"/>
    <n v="10895"/>
    <n v="1"/>
    <n v="32685"/>
    <m/>
    <m/>
    <m/>
    <m/>
    <m/>
    <s v="YES"/>
    <s v="September"/>
    <n v="2016"/>
    <s v="YES"/>
    <s v="YES"/>
    <s v="July"/>
    <n v="2017"/>
    <m/>
    <x v="1"/>
    <s v="NO"/>
    <s v="YES"/>
    <s v="YES"/>
    <s v="YES"/>
    <s v="NO"/>
    <s v="NO"/>
    <s v="NO"/>
    <s v="NO"/>
    <m/>
    <x v="2"/>
    <m/>
    <x v="1"/>
    <m/>
    <x v="0"/>
    <x v="0"/>
    <s v="YES"/>
    <x v="0"/>
    <x v="0"/>
    <x v="0"/>
    <x v="0"/>
    <n v="4"/>
    <x v="1"/>
    <x v="2"/>
    <x v="2"/>
    <x v="1"/>
    <x v="1"/>
    <x v="4"/>
    <n v="2"/>
    <x v="1"/>
    <x v="1"/>
    <x v="1"/>
    <x v="1"/>
    <x v="1"/>
    <n v="3"/>
    <x v="0"/>
    <x v="0"/>
    <n v="22"/>
    <s v="Private sector"/>
    <s v="Local government(s)"/>
    <s v="Other"/>
    <x v="1"/>
    <m/>
    <m/>
    <s v="Customized business plan for beneficiaries"/>
    <s v="Smart Bundle of package for customer specially women"/>
    <s v="organized visits of Upazilla livestock officers and Agricultural extention officers"/>
    <s v="Transforming in  to social enterprise"/>
    <s v="Engaging women in financial sector"/>
    <s v="Lack of information of consumer behaviour in the agricultural sector makes it difficult to understand and predict market. The lesson learnt is that a customer database needs to be created."/>
    <m/>
    <s v="'Baseline study Report, Impact assessment report 2014-17, Progress report"/>
    <n v="45525"/>
    <n v="136575"/>
    <n v="3"/>
    <n v="0.23931905546403076"/>
    <n v="0.23931905546403076"/>
    <n v="10895"/>
    <n v="32685"/>
    <s v=""/>
    <n v="0"/>
    <n v="0"/>
    <s v=""/>
    <n v="1"/>
    <n v="45524"/>
    <n v="136572"/>
    <n v="3"/>
    <s v=""/>
    <n v="0"/>
    <n v="0"/>
    <s v=""/>
    <s v=""/>
    <n v="0"/>
    <n v="0"/>
    <s v=""/>
    <n v="1"/>
    <n v="10895"/>
    <n v="32685"/>
    <n v="3"/>
    <s v="2. Sensitive"/>
    <s v="1. Tokenistic"/>
    <s v="2. Sensitive"/>
    <s v="It tested new ways for fighting poverty and measured results of innovation"/>
    <s v="Moderate advocacy"/>
    <s v="It linked and worked with strategic alliances and partners to take tested and effective solutions to scale"/>
  </r>
  <r>
    <x v="3"/>
    <x v="0"/>
    <n v="2764"/>
    <s v="Living Blue"/>
    <s v="Bangladesh"/>
    <s v="SYEDBD0001"/>
    <s v="CARE USA"/>
    <s v="Individual supporter"/>
    <s v="Other"/>
    <s v="Syed Zaman"/>
    <s v="TRFFBD0001"/>
    <s v="CARE USA"/>
    <s v="Foundation"/>
    <s v="Other"/>
    <s v="Trehan Family Foundation"/>
    <s v="CFRABD0016"/>
    <s v="CARE France"/>
    <s v="Corporation"/>
    <s v="Other"/>
    <s v="Galeries Lafayette"/>
    <m/>
    <m/>
    <m/>
    <m/>
    <m/>
    <m/>
    <m/>
    <m/>
    <m/>
    <m/>
    <m/>
    <m/>
    <m/>
    <m/>
    <m/>
    <m/>
    <m/>
    <m/>
    <m/>
    <m/>
    <m/>
    <m/>
    <m/>
    <m/>
    <m/>
    <m/>
    <m/>
    <m/>
    <m/>
    <m/>
    <m/>
    <m/>
    <m/>
    <m/>
    <m/>
    <d v="2014-09-30T00:00:00"/>
    <d v="2018-04-01T00:00:00"/>
    <m/>
    <s v="Humanitarian Access to and Control over Economic Resources"/>
    <n v="337500"/>
    <s v="Mishael Aziz Ahmad"/>
    <s v="Program Manager"/>
    <s v="MishaelAziz.Ahmad@care.org"/>
    <s v="Syed Murtaza Jahangir"/>
    <s v="Technical Officer"/>
    <s v="Murtaza.Jahangir@care.org"/>
    <s v="NO"/>
    <s v="YES"/>
    <s v="NO"/>
    <s v="Facilitate the transformation of Indigo farmers and Artisans owned &quot;Living Blue (Pvt.) Ltd.&quot; into a sustainable social business organization"/>
    <s v="Sub-National"/>
    <s v="Rangpur Region; North-west of Bangladesh, Rajendrapur in Rangpur, Syedpur in Nilphamari, Chirir Bondor in Dinajpur, Aditmari in Lalmnir Hat, and Palashbari in Gaibandha."/>
    <s v="Indigo farmers, Artisans involved in quilting"/>
    <n v="850"/>
    <n v="750"/>
    <n v="1600"/>
    <n v="0"/>
    <n v="2000"/>
    <n v="2000"/>
    <s v="Direct participants are the artisans and dyers who are involved with Living Blue's productions activity, 750 men and boys are landless farmers who do the indigo farming and bee keeping for Living Blue._x000a_Indirect participants are famers who do indigo farming as buffer crop, and act as indigo leaf supplier for Living Blue during the indigo processing season."/>
    <m/>
    <m/>
    <m/>
    <m/>
    <m/>
    <m/>
    <m/>
    <m/>
    <m/>
    <m/>
    <m/>
    <m/>
    <m/>
    <m/>
    <m/>
    <m/>
    <m/>
    <m/>
    <m/>
    <m/>
    <m/>
    <m/>
    <m/>
    <m/>
    <m/>
    <m/>
    <m/>
    <m/>
    <m/>
    <m/>
    <m/>
    <m/>
    <m/>
    <m/>
    <m/>
    <m/>
    <m/>
    <m/>
    <m/>
    <m/>
    <m/>
    <m/>
    <m/>
    <m/>
    <m/>
    <m/>
    <m/>
    <m/>
    <m/>
    <m/>
    <m/>
    <m/>
    <m/>
    <m/>
    <m/>
    <m/>
    <m/>
    <m/>
    <m/>
    <m/>
    <n v="550"/>
    <n v="150"/>
    <n v="700"/>
    <n v="0"/>
    <n v="1050"/>
    <n v="1050"/>
    <s v="YES"/>
    <n v="200"/>
    <n v="0.25"/>
    <n v="1050"/>
    <s v="NO"/>
    <m/>
    <m/>
    <m/>
    <s v="NO"/>
    <m/>
    <m/>
    <m/>
    <s v="NO"/>
    <m/>
    <m/>
    <m/>
    <s v="NO"/>
    <m/>
    <m/>
    <m/>
    <s v="NO"/>
    <m/>
    <m/>
    <m/>
    <s v="NO"/>
    <m/>
    <m/>
    <m/>
    <s v="NO"/>
    <m/>
    <m/>
    <m/>
    <s v="NO"/>
    <m/>
    <m/>
    <m/>
    <s v="YES"/>
    <n v="400"/>
    <n v="0.63"/>
    <n v="0"/>
    <s v="NO"/>
    <m/>
    <m/>
    <m/>
    <s v="NO"/>
    <m/>
    <m/>
    <m/>
    <s v="NO"/>
    <m/>
    <m/>
    <m/>
    <s v="NO"/>
    <m/>
    <m/>
    <m/>
    <s v="NO"/>
    <m/>
    <m/>
    <m/>
    <s v="YES"/>
    <n v="260"/>
    <n v="1"/>
    <n v="0"/>
    <m/>
    <m/>
    <m/>
    <m/>
    <m/>
    <s v="NO"/>
    <m/>
    <m/>
    <s v="NO"/>
    <s v="NO"/>
    <m/>
    <m/>
    <m/>
    <x v="0"/>
    <s v="NO"/>
    <s v="YES"/>
    <s v="NO"/>
    <s v="YES"/>
    <s v="NO"/>
    <s v="NO"/>
    <s v="YES"/>
    <s v="NO"/>
    <m/>
    <x v="0"/>
    <m/>
    <x v="0"/>
    <m/>
    <x v="1"/>
    <x v="0"/>
    <s v="NO"/>
    <x v="0"/>
    <x v="0"/>
    <x v="1"/>
    <x v="1"/>
    <n v="2"/>
    <x v="1"/>
    <x v="2"/>
    <x v="2"/>
    <x v="2"/>
    <x v="1"/>
    <x v="4"/>
    <n v="1"/>
    <x v="0"/>
    <x v="0"/>
    <x v="0"/>
    <x v="0"/>
    <x v="0"/>
    <n v="0"/>
    <x v="2"/>
    <x v="1"/>
    <m/>
    <m/>
    <m/>
    <m/>
    <x v="1"/>
    <m/>
    <m/>
    <s v="Engaged in decision making process and governance"/>
    <s v="Transparent working hours and wages"/>
    <s v="Women leadership approach"/>
    <s v="Main challenges of the project is to maintain  twelve month work order"/>
    <s v="Introduce high quality/international quality silk"/>
    <s v="High indigo used for dyeing purposes in this textile collection has been produced in Bangladesh and is of the highest quality, with the indigotin content of Living Blue indigo being unmatched in the subcontinent."/>
    <m/>
    <m/>
    <n v="700"/>
    <n v="1050"/>
    <n v="1.5"/>
    <n v="0.7857142857142857"/>
    <n v="0"/>
    <n v="550"/>
    <n v="0"/>
    <s v=""/>
    <n v="0"/>
    <n v="0"/>
    <s v=""/>
    <n v="1"/>
    <n v="200"/>
    <n v="1050"/>
    <n v="5.25"/>
    <s v=""/>
    <n v="0"/>
    <n v="0"/>
    <s v=""/>
    <s v=""/>
    <n v="0"/>
    <n v="0"/>
    <s v=""/>
    <n v="1"/>
    <n v="260"/>
    <n v="0"/>
    <n v="0"/>
    <s v="1. Neutral"/>
    <s v="1. Tokenistic"/>
    <s v="No marker score"/>
    <s v="It did not develop any specific innovation"/>
    <s v="Little or no advocacy"/>
    <s v="It did not take tested solutions to scale"/>
  </r>
  <r>
    <x v="3"/>
    <x v="0"/>
    <m/>
    <s v="MOUKA+ (JITA Social Business Bangladesh Ltd.)"/>
    <s v="Bangladesh"/>
    <s v="NA"/>
    <s v="CARE USA"/>
    <s v="Other"/>
    <s v="Other"/>
    <s v="CARE Enterprise Inc.  &amp; Danone Communities"/>
    <m/>
    <m/>
    <m/>
    <m/>
    <m/>
    <m/>
    <m/>
    <m/>
    <m/>
    <m/>
    <m/>
    <m/>
    <m/>
    <m/>
    <m/>
    <m/>
    <m/>
    <m/>
    <m/>
    <m/>
    <m/>
    <m/>
    <m/>
    <m/>
    <m/>
    <m/>
    <m/>
    <m/>
    <m/>
    <m/>
    <m/>
    <m/>
    <m/>
    <m/>
    <m/>
    <m/>
    <m/>
    <m/>
    <m/>
    <m/>
    <m/>
    <m/>
    <m/>
    <m/>
    <m/>
    <d v="2016-11-01T00:00:00"/>
    <d v="2017-12-31T00:00:00"/>
    <m/>
    <s v="Development Other"/>
    <n v="64737"/>
    <s v="Riad Rouf"/>
    <s v="CEO"/>
    <s v="riad.rouf@jitabangladesh.com"/>
    <s v="Mazed Hossain Mahin"/>
    <s v="Business Development Manager"/>
    <s v="mazed.mahin@jitabangladesh.com"/>
    <s v="NO"/>
    <s v="YES"/>
    <s v="NO"/>
    <s v="JITA aims to demonstrate that rural trading women have a considerable commercial opportunity to build their entrepreneurial skills, increase their income and provide improved access to rural markets for participating companies. The social enterprise employs a unique distribution model, at the center of which are Aparajitas(APJ) or “women who do not accept defeat”. Aparajitas are generally women who are most marginalized and disenfranchised from the formal economy and act as last mile sales agents, selling products from door-to-door. JITA plays a key facilitating role in the initiative by identifying women with the greatest potential, training them in sales, accounting, and business negotiations as well as health information and integrating them into a value chain."/>
    <s v="Sub-National"/>
    <s v="Division: Rangpur Districts: Rangpur,Gaibandha,Thakurgaon,Nilphamari,Saidpur,Dinajpur"/>
    <s v="Main impact group of the project are:_x000a_1. APARAJITAS(APJ)/Sales Women (Employment,Skills Development &amp; Empowerment)_x000a_2. BoP women Consumers ( Access to essetial goods, services &amp; information.)"/>
    <n v="100"/>
    <n v="0"/>
    <n v="100"/>
    <n v="40200"/>
    <n v="60300"/>
    <n v="100500"/>
    <s v="1. Direct Participants:_x000a_# APARAJITAS:100 individuals _x000a__x000a_2. Indirect Participants:_x000a_Average HHs member per HHs: 5 _x000a_Total # of HH members of 100 APJ: 5*100=500_x000a_# HHs covered per APJ: 200 (Total HHs covered: 100*200=20,000)_x000a_Total # of individuals: 5*20,000=1,00,000_x000a_Average men member per HHs: 3 (60%)_x000a_Average women members per HHs : 2 (40%)_x000a_Total women members:1,00,500*40%=40,200_x000a_Total men members:1,00,500*60%= 60,300"/>
    <m/>
    <m/>
    <m/>
    <m/>
    <m/>
    <m/>
    <m/>
    <m/>
    <m/>
    <m/>
    <m/>
    <m/>
    <m/>
    <m/>
    <m/>
    <m/>
    <m/>
    <m/>
    <m/>
    <m/>
    <m/>
    <m/>
    <m/>
    <m/>
    <m/>
    <m/>
    <m/>
    <m/>
    <m/>
    <m/>
    <m/>
    <m/>
    <m/>
    <m/>
    <m/>
    <m/>
    <m/>
    <m/>
    <m/>
    <m/>
    <m/>
    <m/>
    <m/>
    <m/>
    <m/>
    <m/>
    <m/>
    <m/>
    <m/>
    <m/>
    <m/>
    <m/>
    <m/>
    <m/>
    <m/>
    <m/>
    <m/>
    <m/>
    <m/>
    <m/>
    <n v="71"/>
    <n v="0"/>
    <n v="71"/>
    <n v="28400"/>
    <n v="42600"/>
    <n v="71000"/>
    <s v="NO"/>
    <m/>
    <m/>
    <m/>
    <s v="NO"/>
    <m/>
    <m/>
    <m/>
    <s v="NO"/>
    <m/>
    <m/>
    <m/>
    <s v="NO"/>
    <m/>
    <m/>
    <m/>
    <s v="NO"/>
    <m/>
    <m/>
    <m/>
    <s v="NO"/>
    <m/>
    <m/>
    <m/>
    <s v="NO"/>
    <m/>
    <m/>
    <m/>
    <s v="NO"/>
    <m/>
    <m/>
    <m/>
    <s v="NO"/>
    <m/>
    <m/>
    <m/>
    <s v="NO"/>
    <m/>
    <m/>
    <m/>
    <s v="NO"/>
    <m/>
    <m/>
    <m/>
    <s v="NO"/>
    <m/>
    <m/>
    <m/>
    <s v="NO"/>
    <m/>
    <m/>
    <m/>
    <s v="NO"/>
    <m/>
    <m/>
    <m/>
    <s v="NO"/>
    <m/>
    <m/>
    <m/>
    <s v="YES"/>
    <n v="71"/>
    <n v="1"/>
    <n v="71000"/>
    <m/>
    <s v="NO"/>
    <m/>
    <m/>
    <m/>
    <s v="YES"/>
    <s v="April"/>
    <n v="2017"/>
    <s v="NO"/>
    <s v="YES"/>
    <s v="November"/>
    <n v="2017"/>
    <s v="Next evaluation will be taken place on NOV'17 with the sample coverage of JITA's direct beneficiaries (Aparajitas) &amp; indirect beneficiaries (Consumers). Indirect beneficiaries will be selected through randomized snow ball sampling method. Retrospective methodology will also apply to get the some baseline information."/>
    <x v="0"/>
    <s v="NO"/>
    <s v="NO"/>
    <s v="NO"/>
    <s v="NO"/>
    <s v="NO"/>
    <s v="NO"/>
    <s v="NO"/>
    <s v="NO"/>
    <m/>
    <x v="2"/>
    <s v="1. Engaging women as door to door sales and service agents to the rural BoP consumers._x000a_2.Development of Micro Enterprise into the value chain."/>
    <x v="1"/>
    <s v="1. A platform of women working as last mile agent and influencer."/>
    <x v="0"/>
    <x v="1"/>
    <s v="NO"/>
    <x v="1"/>
    <x v="0"/>
    <x v="0"/>
    <x v="4"/>
    <n v="2"/>
    <x v="1"/>
    <x v="1"/>
    <x v="2"/>
    <x v="2"/>
    <x v="2"/>
    <x v="4"/>
    <n v="1"/>
    <x v="1"/>
    <x v="1"/>
    <x v="2"/>
    <x v="2"/>
    <x v="3"/>
    <n v="1"/>
    <x v="2"/>
    <x v="1"/>
    <m/>
    <m/>
    <m/>
    <m/>
    <x v="1"/>
    <m/>
    <m/>
    <s v="Introduction of Door to Door Distribution Model to BoP households."/>
    <s v="Engaging marginalized rural women in Door to Door Distribution Model."/>
    <s v="Awareness Raising Activities through activation programs."/>
    <s v="Learning 1: Women can work as door-to-door distribution and sales agent."/>
    <s v="Learning 2: Increased acceptance of the 'Door-to-Door' business model by the BoP households."/>
    <s v="Challenge: Religious and social attitudes towards women working outside the house."/>
    <m/>
    <m/>
    <n v="71"/>
    <n v="71000"/>
    <n v="1000"/>
    <n v="1"/>
    <n v="0.4"/>
    <n v="71"/>
    <n v="28400"/>
    <s v=""/>
    <n v="0"/>
    <n v="0"/>
    <s v=""/>
    <s v=""/>
    <n v="0"/>
    <n v="0"/>
    <s v=""/>
    <s v=""/>
    <n v="0"/>
    <n v="0"/>
    <s v=""/>
    <s v=""/>
    <n v="0"/>
    <n v="0"/>
    <s v=""/>
    <n v="1"/>
    <n v="71"/>
    <n v="71000"/>
    <n v="1000"/>
    <s v="3. Responsive"/>
    <s v="1. Tokenistic"/>
    <s v="1. Neutral"/>
    <s v="It tested new ways for fighting poverty and measured results of innovation"/>
    <s v="Little or no advocacy"/>
    <s v="It linked and worked with strategic alliances and partners to take tested and effective solutions to scale"/>
  </r>
  <r>
    <x v="3"/>
    <x v="0"/>
    <n v="2767"/>
    <s v="NGO Health Service Delivery Project (NHSDP)"/>
    <s v="Bangladesh"/>
    <s v="PTHFBD0001"/>
    <s v="CARE USA"/>
    <s v="Government"/>
    <s v="Government - US"/>
    <s v="USAID"/>
    <m/>
    <m/>
    <m/>
    <m/>
    <m/>
    <m/>
    <m/>
    <m/>
    <m/>
    <m/>
    <m/>
    <m/>
    <m/>
    <m/>
    <m/>
    <m/>
    <m/>
    <m/>
    <m/>
    <m/>
    <m/>
    <m/>
    <m/>
    <m/>
    <m/>
    <m/>
    <m/>
    <m/>
    <m/>
    <m/>
    <m/>
    <m/>
    <m/>
    <m/>
    <m/>
    <m/>
    <m/>
    <m/>
    <m/>
    <m/>
    <m/>
    <m/>
    <m/>
    <m/>
    <m/>
    <d v="2012-12-10T00:00:00"/>
    <d v="2016-09-30T00:00:00"/>
    <d v="2017-10-31T00:00:00"/>
    <s v="Development Sexual, Reproductive and Maternal Health (SRMH)"/>
    <n v="1855184"/>
    <s v="Dr. Jahangir Hossain"/>
    <s v="Director, Health Program, CARE BD"/>
    <s v="jahangir.hossain@care.org"/>
    <s v="ARMM Kamal"/>
    <s v="Community Mobilization Advisor"/>
    <s v="ARMM.Kamal@care.org"/>
    <s v="NO"/>
    <s v="YES"/>
    <s v="NO"/>
    <s v="To enable Bangladeshi NGOs to improve health status of poor and underserved population by providing cost effective quality health care services as well as to complement GOB efforts to improve maternal, newborn, child health and family planning status."/>
    <s v="National"/>
    <s v="This project is being implemented in all districts (64) in Bangladesh."/>
    <s v="Pregnant women, youth (18-25) ages, new born baby, Adolscent girls &amp; boys, specially poor, poorest of the poor, not poor people living in rural and urban areas of Surjer Hashi Clinics."/>
    <n v="16000000"/>
    <n v="4000000"/>
    <n v="20000000"/>
    <n v="56000000"/>
    <n v="14000000"/>
    <n v="70000000"/>
    <s v="Approximately 20 million people are in catching area and 80 percent are female will receive service those are direct participant and there famali member are indirect participants"/>
    <m/>
    <m/>
    <m/>
    <m/>
    <m/>
    <m/>
    <m/>
    <m/>
    <m/>
    <m/>
    <m/>
    <m/>
    <m/>
    <m/>
    <m/>
    <m/>
    <m/>
    <m/>
    <m/>
    <m/>
    <m/>
    <m/>
    <m/>
    <m/>
    <m/>
    <m/>
    <m/>
    <m/>
    <m/>
    <m/>
    <m/>
    <m/>
    <m/>
    <m/>
    <m/>
    <m/>
    <m/>
    <m/>
    <m/>
    <m/>
    <m/>
    <m/>
    <m/>
    <m/>
    <m/>
    <m/>
    <m/>
    <m/>
    <m/>
    <m/>
    <m/>
    <m/>
    <m/>
    <m/>
    <m/>
    <m/>
    <m/>
    <m/>
    <m/>
    <m/>
    <n v="8568748"/>
    <n v="1414782"/>
    <n v="9983530"/>
    <n v="29990619"/>
    <n v="4951736"/>
    <n v="34942355"/>
    <s v="NO"/>
    <m/>
    <m/>
    <m/>
    <s v="NO"/>
    <m/>
    <m/>
    <m/>
    <s v="NO"/>
    <m/>
    <m/>
    <m/>
    <s v="NO"/>
    <m/>
    <m/>
    <m/>
    <s v="NO"/>
    <m/>
    <m/>
    <m/>
    <s v="NO"/>
    <m/>
    <m/>
    <m/>
    <s v="NO"/>
    <m/>
    <m/>
    <m/>
    <s v="YES"/>
    <n v="2253"/>
    <n v="1"/>
    <n v="7886"/>
    <s v="NO"/>
    <m/>
    <m/>
    <m/>
    <s v="YES"/>
    <n v="4492134"/>
    <n v="0.77"/>
    <n v="15722468"/>
    <s v="NO"/>
    <m/>
    <m/>
    <m/>
    <s v="NO"/>
    <m/>
    <m/>
    <m/>
    <s v="NO"/>
    <m/>
    <m/>
    <m/>
    <s v="YES"/>
    <n v="5491396"/>
    <n v="0.93"/>
    <n v="19219888"/>
    <s v="NO"/>
    <m/>
    <m/>
    <m/>
    <s v="NO"/>
    <m/>
    <m/>
    <m/>
    <m/>
    <m/>
    <m/>
    <m/>
    <m/>
    <s v="NO"/>
    <m/>
    <m/>
    <s v="YES"/>
    <s v="YES"/>
    <s v="November"/>
    <n v="2017"/>
    <s v="An end line evaluation is going on. To be finished by November 2017"/>
    <x v="1"/>
    <s v="NO"/>
    <s v="NO"/>
    <s v="YES"/>
    <s v="YES"/>
    <s v="YES"/>
    <s v="YES"/>
    <s v="NO"/>
    <s v="NO"/>
    <m/>
    <x v="0"/>
    <m/>
    <x v="3"/>
    <m/>
    <x v="2"/>
    <x v="0"/>
    <s v="YES"/>
    <x v="0"/>
    <x v="0"/>
    <x v="0"/>
    <x v="0"/>
    <n v="4"/>
    <x v="1"/>
    <x v="1"/>
    <x v="1"/>
    <x v="1"/>
    <x v="1"/>
    <x v="1"/>
    <n v="4"/>
    <x v="3"/>
    <x v="1"/>
    <x v="2"/>
    <x v="1"/>
    <x v="5"/>
    <n v="2"/>
    <x v="2"/>
    <x v="0"/>
    <n v="25"/>
    <s v="Grassroots organization(s)"/>
    <s v="Local NGO(s)/CSO(s)"/>
    <s v="Local alliance(s)/Platform(s)/Network(s) of  NGOs/CSOs"/>
    <x v="0"/>
    <s v="CARE provided technical assistance to partner NGOs to form Surjer Hashi Community Support Group (SHCSGs) at clinic level in which civil society memmbers are member of the the group. CAREBD also provided them training on planning and implementation of project activities."/>
    <m/>
    <s v="Formation of community support groups and preparing Community Action Plans (CAP) process"/>
    <s v="GBV case screeining and counceling"/>
    <s v="Tools and techniques of identifying poor and poorest of the poor by support groups using participatory process."/>
    <s v="Involvement of communities and other stakeholders increases number of clients and sustainability."/>
    <s v="After screening GBV cases, it is difficult to send them referral centers."/>
    <s v="Invlovement of Local Government Instituion brings more validity of works intiatied by project."/>
    <s v="This is basically the last year of this project. All the milestones are very close to be achieved against the targets. May be extended for three months to accompolish the tasks related to documentation."/>
    <s v="Data provided from the following sources: Quarterly Progress Report, Annual Report, Project Document"/>
    <n v="9983530"/>
    <n v="34942355"/>
    <n v="3.5"/>
    <n v="0.8582884009964411"/>
    <n v="0.85828842961500451"/>
    <n v="8568748"/>
    <n v="29990619"/>
    <s v=""/>
    <n v="0"/>
    <n v="0"/>
    <s v=""/>
    <s v=""/>
    <n v="0"/>
    <n v="0"/>
    <s v=""/>
    <n v="1"/>
    <n v="5491396"/>
    <n v="19219888"/>
    <n v="3.5000003642061146"/>
    <n v="1"/>
    <n v="2253"/>
    <n v="7886"/>
    <n v="3.5002219263204615"/>
    <s v=""/>
    <n v="0"/>
    <n v="0"/>
    <s v=""/>
    <s v="2. Sensitive"/>
    <s v="2. Accommodating"/>
    <s v="3. Responsive"/>
    <s v="It did not develop any specific innovation"/>
    <s v="Moderate advocacy"/>
    <s v="It took tested solutions to scale on its own"/>
  </r>
  <r>
    <x v="3"/>
    <x v="0"/>
    <n v="2768"/>
    <s v="Nutrition at the Center"/>
    <s v="Bangladesh"/>
    <s v="SALLBD0005"/>
    <s v="CARE USA"/>
    <s v="Foundation"/>
    <s v="Other"/>
    <s v="Sall Family Foundation"/>
    <m/>
    <m/>
    <m/>
    <m/>
    <m/>
    <m/>
    <m/>
    <m/>
    <m/>
    <m/>
    <m/>
    <m/>
    <m/>
    <m/>
    <m/>
    <m/>
    <m/>
    <m/>
    <m/>
    <m/>
    <m/>
    <m/>
    <m/>
    <m/>
    <m/>
    <m/>
    <m/>
    <m/>
    <m/>
    <m/>
    <m/>
    <m/>
    <m/>
    <m/>
    <m/>
    <m/>
    <m/>
    <m/>
    <m/>
    <m/>
    <m/>
    <m/>
    <m/>
    <m/>
    <m/>
    <d v="2013-05-01T00:00:00"/>
    <d v="2017-12-31T00:00:00"/>
    <m/>
    <s v="Development Other"/>
    <n v="2600000"/>
    <s v="Nazneen Rahman"/>
    <s v="Senior Technical Manager"/>
    <s v="Nazneen.Rahman@care.org"/>
    <m/>
    <m/>
    <m/>
    <s v="NO"/>
    <s v="YES"/>
    <s v="NO"/>
    <s v="The goal of the project is to improve the nutritional status for women (15-49) and children less than two years of age in identified resouce poor geographical areas. The objective of the project aim to 1. Improve nutrition related behaviour 2. Improve use of maternal and child health and nutrition services 3. Increase household adaption of appropriate water and sanitation practices 4. Increase availability and equitability access to quality food."/>
    <s v="Multiple countries"/>
    <s v="Derai and Bishwambarpur upazila under Sunamganj district in Bangladesh, Benin, Zambia, Ethiopis"/>
    <s v="Women reporductive age group (15 - 49 Year) and children less than 2 years of age"/>
    <n v="50942"/>
    <n v="12509"/>
    <n v="63451"/>
    <n v="133610"/>
    <n v="133610"/>
    <n v="267220"/>
    <s v="Direct particiapnts: All pregnant, Lactating mother and under 2 children under Derai and Bishwwambarpur upazila_x000a_Indirect participants: Family members of direct project participants (considering 6 member in a family)"/>
    <m/>
    <m/>
    <m/>
    <m/>
    <m/>
    <m/>
    <m/>
    <m/>
    <m/>
    <m/>
    <m/>
    <m/>
    <m/>
    <m/>
    <m/>
    <m/>
    <m/>
    <m/>
    <m/>
    <m/>
    <m/>
    <m/>
    <m/>
    <m/>
    <m/>
    <m/>
    <m/>
    <m/>
    <m/>
    <m/>
    <m/>
    <m/>
    <m/>
    <m/>
    <m/>
    <m/>
    <m/>
    <m/>
    <m/>
    <m/>
    <m/>
    <m/>
    <m/>
    <m/>
    <m/>
    <m/>
    <m/>
    <m/>
    <m/>
    <m/>
    <m/>
    <m/>
    <m/>
    <m/>
    <m/>
    <m/>
    <m/>
    <m/>
    <m/>
    <m/>
    <n v="6035"/>
    <n v="1551"/>
    <n v="7586"/>
    <n v="120437"/>
    <n v="96264"/>
    <n v="216701"/>
    <s v="NO"/>
    <m/>
    <m/>
    <m/>
    <s v="NO"/>
    <m/>
    <m/>
    <m/>
    <s v="NO"/>
    <m/>
    <m/>
    <m/>
    <s v="NO"/>
    <m/>
    <m/>
    <m/>
    <s v="NO"/>
    <m/>
    <m/>
    <m/>
    <s v="NO"/>
    <m/>
    <m/>
    <m/>
    <s v="YES"/>
    <n v="7586"/>
    <n v="0.8"/>
    <n v="216702"/>
    <s v="NO"/>
    <m/>
    <m/>
    <m/>
    <s v="YES"/>
    <n v="7586"/>
    <n v="0.8"/>
    <n v="214100"/>
    <s v="NO"/>
    <m/>
    <m/>
    <m/>
    <s v="NO"/>
    <m/>
    <m/>
    <m/>
    <s v="NO"/>
    <m/>
    <m/>
    <m/>
    <s v="YES"/>
    <n v="2184"/>
    <n v="0.34"/>
    <n v="216702"/>
    <s v="YES"/>
    <n v="7586"/>
    <n v="0.8"/>
    <n v="214100"/>
    <s v="YES"/>
    <n v="7587"/>
    <n v="0.8"/>
    <n v="214100"/>
    <s v="NO"/>
    <m/>
    <m/>
    <m/>
    <m/>
    <m/>
    <m/>
    <m/>
    <m/>
    <s v="NO"/>
    <m/>
    <m/>
    <m/>
    <s v="YES"/>
    <s v="February"/>
    <n v="2018"/>
    <s v="Project is planning for final evaluation. Project has baseline data and it will compare with final evaluation to measure the progress"/>
    <x v="2"/>
    <s v="YES"/>
    <s v="NO"/>
    <s v="YES"/>
    <s v="YES"/>
    <s v="YES"/>
    <s v="YES"/>
    <s v="YES"/>
    <s v="NO"/>
    <m/>
    <x v="1"/>
    <s v="Multisectoral approach for improving nutritional stataus"/>
    <x v="0"/>
    <m/>
    <x v="1"/>
    <x v="0"/>
    <s v="YES"/>
    <x v="0"/>
    <x v="0"/>
    <x v="0"/>
    <x v="0"/>
    <n v="4"/>
    <x v="1"/>
    <x v="1"/>
    <x v="1"/>
    <x v="1"/>
    <x v="1"/>
    <x v="1"/>
    <n v="4"/>
    <x v="1"/>
    <x v="1"/>
    <x v="1"/>
    <x v="1"/>
    <x v="1"/>
    <n v="3"/>
    <x v="0"/>
    <x v="1"/>
    <m/>
    <m/>
    <m/>
    <m/>
    <x v="1"/>
    <m/>
    <s v="Planning and implementing the project activities. In this FY, NAC project started to work on one new area namely Food Security funded by other Donor. Another three new areas are: School based adolescent programming, Supportive Supervision, Mentoring &amp; Montoring and Multisectoral approach"/>
    <s v="Supportive Supervision, Mentoring and Monitoring to increase quality and quantity nutrition services by service provder"/>
    <s v="Sectoral coordination to promot nutrition specific and sensitive interventions through Nutrition Coordination Committees at sub - district level"/>
    <s v="Functionalize Community Support Group (CSG) and create linkage with different stakeholders and community to increase health services uptake from CC, inclusion of PEP under different safety nets program."/>
    <s v="Supportive Supervision can increase the quality of nutrition services"/>
    <s v="Nutrition coordination committee at sub - district level would be a potential platform for all sectoral coordination to pormot nutrition specific and sensitive interventions"/>
    <m/>
    <m/>
    <m/>
    <n v="7586"/>
    <n v="216701"/>
    <n v="28.565910888478776"/>
    <n v="0.79554442393883473"/>
    <n v="0.55577500796027701"/>
    <n v="6035"/>
    <n v="120437"/>
    <s v=""/>
    <n v="0"/>
    <n v="0"/>
    <s v=""/>
    <n v="1"/>
    <n v="7587"/>
    <n v="216702"/>
    <n v="28.562277580071175"/>
    <n v="1"/>
    <n v="7586"/>
    <n v="214100"/>
    <n v="28.22304244661218"/>
    <s v=""/>
    <n v="0"/>
    <n v="0"/>
    <s v=""/>
    <s v=""/>
    <n v="0"/>
    <n v="0"/>
    <s v=""/>
    <s v="2. Sensitive"/>
    <s v="2. Accommodating"/>
    <s v="2. Sensitive"/>
    <s v="It tested new ways for fighting poverty, but did not measure results of innovation"/>
    <s v="Intensive advocacy"/>
    <s v="It did not take tested solutions to scale"/>
  </r>
  <r>
    <x v="3"/>
    <x v="0"/>
    <m/>
    <s v="Nutrition at the Center: Homegrown"/>
    <s v="Bangladesh"/>
    <s v="MCARBD0002"/>
    <s v="CARE USA"/>
    <s v="Foundation"/>
    <s v="Other"/>
    <s v="Margaret A. Cargill Foundation"/>
    <m/>
    <m/>
    <m/>
    <m/>
    <m/>
    <m/>
    <m/>
    <m/>
    <m/>
    <m/>
    <m/>
    <m/>
    <m/>
    <m/>
    <m/>
    <m/>
    <m/>
    <m/>
    <m/>
    <m/>
    <m/>
    <m/>
    <m/>
    <m/>
    <m/>
    <m/>
    <m/>
    <m/>
    <m/>
    <m/>
    <m/>
    <m/>
    <m/>
    <m/>
    <m/>
    <m/>
    <m/>
    <m/>
    <m/>
    <m/>
    <m/>
    <m/>
    <m/>
    <m/>
    <m/>
    <d v="2015-11-15T00:00:00"/>
    <d v="2017-11-14T00:00:00"/>
    <m/>
    <s v="Development Other"/>
    <n v="1000000"/>
    <s v="Dr. Sheikh Shahed Rahman"/>
    <s v="National Nutrition Coordinator"/>
    <s v="SheikhShahed.Rahman@care.org"/>
    <m/>
    <m/>
    <m/>
    <s v="NO"/>
    <s v="YES"/>
    <s v="NO"/>
    <s v="The goal of the project is to reduce stunting and anemia among women of reproductive age, and children under two by increasing dietary diversity through homestead food production within an integrated nutrition program."/>
    <s v="Sub-National"/>
    <s v="3 unions under Derai and 4 unions under Bishwambarpur upazila under Sunamganj districct"/>
    <s v="3000 poor and extreme poor pregnant and lactating mother"/>
    <n v="3000"/>
    <n v="0"/>
    <n v="3000"/>
    <n v="7500"/>
    <n v="7500"/>
    <n v="15000"/>
    <s v="Direct particiapnts: 3000 poor and extreme poor pregnant and Lactating mother and under 2 children under Derai and Bishwwambarpur upazila_x000a_Indirect participants: Family members of direct project participants (considering 6 member in a family)"/>
    <m/>
    <m/>
    <m/>
    <m/>
    <m/>
    <m/>
    <m/>
    <m/>
    <m/>
    <m/>
    <m/>
    <m/>
    <m/>
    <m/>
    <m/>
    <m/>
    <m/>
    <m/>
    <m/>
    <m/>
    <m/>
    <m/>
    <m/>
    <m/>
    <m/>
    <m/>
    <m/>
    <m/>
    <m/>
    <m/>
    <m/>
    <m/>
    <m/>
    <m/>
    <m/>
    <m/>
    <m/>
    <m/>
    <m/>
    <m/>
    <m/>
    <m/>
    <m/>
    <m/>
    <m/>
    <m/>
    <m/>
    <m/>
    <m/>
    <m/>
    <m/>
    <m/>
    <m/>
    <m/>
    <m/>
    <m/>
    <m/>
    <m/>
    <m/>
    <m/>
    <n v="3000"/>
    <n v="0"/>
    <n v="3000"/>
    <n v="7500"/>
    <n v="7500"/>
    <n v="15000"/>
    <s v="YES"/>
    <n v="3000"/>
    <n v="1"/>
    <n v="15000"/>
    <s v="YES"/>
    <n v="3000"/>
    <n v="1"/>
    <n v="15000"/>
    <s v="NO"/>
    <m/>
    <m/>
    <m/>
    <s v="NO"/>
    <m/>
    <m/>
    <m/>
    <s v="NO"/>
    <m/>
    <m/>
    <m/>
    <s v="NO"/>
    <m/>
    <m/>
    <m/>
    <s v="YES"/>
    <n v="3000"/>
    <n v="1"/>
    <n v="15000"/>
    <s v="NO"/>
    <m/>
    <m/>
    <m/>
    <s v="YES"/>
    <n v="3000"/>
    <n v="1"/>
    <n v="15000"/>
    <s v="NO"/>
    <m/>
    <m/>
    <m/>
    <s v="NO"/>
    <m/>
    <m/>
    <m/>
    <s v="NO"/>
    <m/>
    <m/>
    <m/>
    <s v="NO"/>
    <m/>
    <m/>
    <m/>
    <s v="YES"/>
    <n v="3000"/>
    <n v="1"/>
    <n v="15000"/>
    <s v="YES"/>
    <n v="3000"/>
    <n v="1"/>
    <n v="15000"/>
    <s v="YES"/>
    <n v="3000"/>
    <n v="1"/>
    <n v="15000"/>
    <m/>
    <m/>
    <m/>
    <m/>
    <m/>
    <s v="NO"/>
    <m/>
    <m/>
    <s v="NO"/>
    <s v="NO"/>
    <m/>
    <m/>
    <m/>
    <x v="2"/>
    <s v="NO"/>
    <s v="NO"/>
    <s v="YES"/>
    <s v="YES"/>
    <s v="NO"/>
    <s v="YES"/>
    <s v="YES"/>
    <s v="NO"/>
    <m/>
    <x v="1"/>
    <s v="Innovative agriculture for homestead vegetable production"/>
    <x v="0"/>
    <m/>
    <x v="1"/>
    <x v="0"/>
    <s v="NO"/>
    <x v="0"/>
    <x v="0"/>
    <x v="0"/>
    <x v="1"/>
    <n v="3"/>
    <x v="1"/>
    <x v="2"/>
    <x v="1"/>
    <x v="1"/>
    <x v="1"/>
    <x v="1"/>
    <n v="3"/>
    <x v="1"/>
    <x v="1"/>
    <x v="1"/>
    <x v="1"/>
    <x v="1"/>
    <n v="3"/>
    <x v="0"/>
    <x v="3"/>
    <n v="1"/>
    <s v="Local NGO(s)/CSO(s)"/>
    <m/>
    <m/>
    <x v="1"/>
    <m/>
    <s v="Planning and implementing the project activities. In this FY, project started to work on CVCA based action plan from community level with Montoring of the plan"/>
    <s v="Innovative agriculture for homestead vegetable production"/>
    <s v="Linkage of selected project participants with other GoB, NGO and local government led safetynet program"/>
    <s v="CVCA at community level female farmer nutrition schools to mobilize local resources"/>
    <s v="Innovative agriculture can produce some vegetables for the family during scarcity though the amount is very minimum"/>
    <s v="Replication of innovative approach by non project participants form the community"/>
    <m/>
    <m/>
    <m/>
    <n v="3000"/>
    <n v="15000"/>
    <n v="5"/>
    <n v="1"/>
    <n v="0.5"/>
    <n v="3000"/>
    <n v="7500"/>
    <s v=""/>
    <n v="0"/>
    <n v="0"/>
    <s v=""/>
    <n v="1"/>
    <n v="3000"/>
    <n v="15000"/>
    <n v="5"/>
    <n v="1"/>
    <n v="3000"/>
    <n v="15000"/>
    <n v="5"/>
    <s v=""/>
    <n v="0"/>
    <n v="0"/>
    <s v=""/>
    <n v="1"/>
    <n v="3000"/>
    <n v="15000"/>
    <n v="5"/>
    <s v="1. Neutral"/>
    <s v="2. Accommodating"/>
    <s v="2. Sensitive"/>
    <s v="It tested new ways for fighting poverty, but did not measure results of innovation"/>
    <s v="Intensive advocacy"/>
    <s v="It did not take tested solutions to scale"/>
  </r>
  <r>
    <x v="3"/>
    <x v="0"/>
    <n v="2769"/>
    <s v="OIKKO(&quot;Unity&quot;)- united for translating rights into action NOW!"/>
    <s v="Bangladesh"/>
    <s v="CAUTBD0018"/>
    <s v="CARE Österreich"/>
    <s v="Other"/>
    <s v="EU - European Union (other than ECHO)"/>
    <s v="EU "/>
    <s v="CAUTBD0018"/>
    <s v="CARE Österreich"/>
    <s v="Other"/>
    <s v="Other"/>
    <s v="Austrian Development Agency (ADA)"/>
    <s v="CAUTBD0018"/>
    <s v="CARE Österreich"/>
    <s v="Other"/>
    <s v="Other"/>
    <s v="CARE Austria"/>
    <m/>
    <m/>
    <m/>
    <m/>
    <m/>
    <m/>
    <m/>
    <m/>
    <m/>
    <m/>
    <m/>
    <m/>
    <m/>
    <m/>
    <m/>
    <m/>
    <m/>
    <m/>
    <m/>
    <m/>
    <m/>
    <m/>
    <m/>
    <m/>
    <m/>
    <m/>
    <m/>
    <m/>
    <m/>
    <m/>
    <m/>
    <m/>
    <m/>
    <m/>
    <m/>
    <d v="2015-03-01T00:00:00"/>
    <d v="2018-02-28T00:00:00"/>
    <m/>
    <s v="Development Other"/>
    <n v="446679.84"/>
    <s v="Md. Abu Taher"/>
    <s v="Team Leader"/>
    <s v="abu.taher@care.org"/>
    <s v="Ms. Humaira Aziz"/>
    <s v="Director-Women and Girls' Empowerment Program"/>
    <s v="humaira.aziz@care.org"/>
    <s v="NO"/>
    <s v="YES"/>
    <s v="NO"/>
    <s v="A strong and united civil society promotes the implementation of fundamental labour rights in the ready-made garment (RMG) sector in Bangladesh."/>
    <s v="Sub-National"/>
    <s v="Three Districts: Dhaka, Gazipur and Chittagong of Bangladesh"/>
    <s v="Female Readymade Garment workers and Trade Union/Federation Leaders"/>
    <n v="3450"/>
    <n v="150"/>
    <n v="3600"/>
    <n v="32400"/>
    <n v="8100"/>
    <n v="40500"/>
    <s v="The direct participants are working with OIKKO from the begaining of the project. 100 EKATA groups have covered 3000 female RMG workers directly and 600 trade union leaders got trainings from the project. These 3600 are direct participants. The EKATA members will reach 18000 workers as per plan (6 each). The trade union leaders will reach 22500 by their outreach of their trade unin"/>
    <m/>
    <m/>
    <m/>
    <m/>
    <m/>
    <m/>
    <m/>
    <m/>
    <m/>
    <m/>
    <m/>
    <m/>
    <m/>
    <m/>
    <m/>
    <m/>
    <m/>
    <m/>
    <m/>
    <m/>
    <m/>
    <m/>
    <m/>
    <m/>
    <m/>
    <m/>
    <m/>
    <m/>
    <m/>
    <m/>
    <m/>
    <m/>
    <m/>
    <m/>
    <m/>
    <m/>
    <m/>
    <m/>
    <m/>
    <m/>
    <m/>
    <m/>
    <m/>
    <m/>
    <m/>
    <m/>
    <m/>
    <m/>
    <m/>
    <m/>
    <m/>
    <m/>
    <m/>
    <m/>
    <m/>
    <m/>
    <m/>
    <m/>
    <m/>
    <m/>
    <n v="3450"/>
    <n v="150"/>
    <n v="3600"/>
    <n v="31040"/>
    <n v="3980"/>
    <n v="35020"/>
    <s v="NO"/>
    <m/>
    <m/>
    <m/>
    <s v="NO"/>
    <m/>
    <m/>
    <m/>
    <s v="NO"/>
    <m/>
    <m/>
    <m/>
    <s v="NO"/>
    <m/>
    <m/>
    <m/>
    <s v="NO"/>
    <m/>
    <m/>
    <m/>
    <s v="NO"/>
    <m/>
    <m/>
    <m/>
    <s v="NO"/>
    <m/>
    <m/>
    <m/>
    <s v="NO"/>
    <m/>
    <m/>
    <m/>
    <s v="YES"/>
    <n v="3600"/>
    <n v="0.96"/>
    <n v="35020"/>
    <s v="YES"/>
    <n v="3000"/>
    <n v="1"/>
    <n v="15120"/>
    <s v="NO"/>
    <m/>
    <m/>
    <m/>
    <s v="NO"/>
    <m/>
    <m/>
    <m/>
    <s v="YES"/>
    <n v="3600"/>
    <n v="0.96"/>
    <n v="35020"/>
    <s v="YES"/>
    <n v="3000"/>
    <n v="1"/>
    <n v="15120"/>
    <s v="NO"/>
    <m/>
    <m/>
    <m/>
    <s v="YES"/>
    <n v="3600"/>
    <n v="0.96"/>
    <n v="35020"/>
    <m/>
    <m/>
    <m/>
    <m/>
    <m/>
    <s v="NO"/>
    <m/>
    <m/>
    <s v="YES"/>
    <s v="YES"/>
    <s v="January"/>
    <n v="2018"/>
    <s v="The end line evaluation will include both qualitative and quantitative method and will compare the baseline data. Also the evaluation will focus on the project log frame and Expected Result Indicators related data."/>
    <x v="1"/>
    <s v="NO"/>
    <s v="NO"/>
    <s v="YES"/>
    <s v="YES"/>
    <s v="NO"/>
    <s v="NO"/>
    <s v="NO"/>
    <s v="NO"/>
    <m/>
    <x v="2"/>
    <s v="OIKKO is doing a study on living wage (which is new in this country) of RMG workers. The study will be used by CARE and other NGOs/CSOs to ensure living wage for RMG workers. Also the project is collecting evidences from field to bring it up in national level."/>
    <x v="1"/>
    <s v="OIKKO project is maintaining a Civil Society Organization Platform to strengthen the advocacy to implement the labour act and living wage. The Advocacy partner of OIKKO also working to scale up the project innovation to the Trade Unions and Civil Society Actors."/>
    <x v="1"/>
    <x v="1"/>
    <s v="YES"/>
    <x v="0"/>
    <x v="0"/>
    <x v="0"/>
    <x v="2"/>
    <n v="4"/>
    <x v="1"/>
    <x v="1"/>
    <x v="1"/>
    <x v="1"/>
    <x v="1"/>
    <x v="1"/>
    <n v="4"/>
    <x v="1"/>
    <x v="1"/>
    <x v="2"/>
    <x v="2"/>
    <x v="3"/>
    <n v="1"/>
    <x v="2"/>
    <x v="3"/>
    <n v="3"/>
    <s v="Local NGO(s)/CSO(s)"/>
    <m/>
    <m/>
    <x v="0"/>
    <s v="The project is facilitating a CSO platform and providing evidence to them to advocate for workers rights"/>
    <m/>
    <s v="Community Workers Association (CWA) for Female RMG workers"/>
    <s v="Managing Platform and Evidence Based Advocacy"/>
    <s v="Outreach of Trade Union/Federation"/>
    <s v="Female Ready Made Garment (RMG) workers can bargain collectively if we can increase their rights awareness and linkages with service providers."/>
    <s v="Trade unions and federations need more skills to make the RMG workers aware about their right and outreach to motivate the workers."/>
    <s v="Ensure sustainability of the solidarity groups as an organizational entity is really challenging work. We need to work to create a vision to the group members and increase more ownership to the groups."/>
    <s v="It was tough to collect data about the indirect beneficiaries of the project as there are lots of federations and groups working with the project. However the project tried to collect data through regular monitoring and reflection with the stakes."/>
    <s v="2 and year narrative report, quartrly reprot (Q 9) and data sheet attached, CSO platfrom ToR"/>
    <n v="3600"/>
    <n v="35020"/>
    <n v="9.7277777777777779"/>
    <n v="0.95833333333333337"/>
    <n v="0.88635065676756142"/>
    <n v="3450"/>
    <n v="31040"/>
    <s v=""/>
    <n v="0"/>
    <n v="0"/>
    <s v=""/>
    <s v=""/>
    <n v="0"/>
    <n v="0"/>
    <s v=""/>
    <n v="1"/>
    <n v="3000"/>
    <n v="15120"/>
    <n v="5.04"/>
    <s v=""/>
    <n v="0"/>
    <n v="0"/>
    <s v=""/>
    <n v="1"/>
    <n v="3600"/>
    <n v="35020"/>
    <n v="9.7277777777777779"/>
    <s v="4. Transformative"/>
    <s v="2. Accommodating"/>
    <s v="1. Neutral"/>
    <s v="It tested new ways for fighting poverty and measured results of innovation"/>
    <s v="Moderate advocacy"/>
    <s v="It linked and worked with strategic alliances and partners to take tested and effective solutions to scale"/>
  </r>
  <r>
    <x v="3"/>
    <x v="0"/>
    <n v="2771"/>
    <s v="'P.A.C.E (Personal Advancement and Career Enhancement) at Community"/>
    <s v="Bangladesh"/>
    <s v="GAPFBD0007"/>
    <s v="CARE USA"/>
    <s v="Corporation"/>
    <s v="Other"/>
    <s v="Gap Inc."/>
    <m/>
    <m/>
    <m/>
    <m/>
    <m/>
    <m/>
    <m/>
    <m/>
    <m/>
    <m/>
    <m/>
    <m/>
    <m/>
    <m/>
    <m/>
    <m/>
    <m/>
    <m/>
    <m/>
    <m/>
    <m/>
    <m/>
    <m/>
    <m/>
    <m/>
    <m/>
    <m/>
    <m/>
    <m/>
    <m/>
    <m/>
    <m/>
    <m/>
    <m/>
    <m/>
    <m/>
    <m/>
    <m/>
    <m/>
    <m/>
    <m/>
    <m/>
    <m/>
    <m/>
    <m/>
    <d v="2015-10-01T00:00:00"/>
    <d v="2016-12-31T00:00:00"/>
    <m/>
    <s v="Development Access to and Control over Economic Resources"/>
    <n v="111203"/>
    <s v="Humaira Aziz"/>
    <s v="Drector"/>
    <s v="humaira.aziz@care.org"/>
    <s v="Afsana Chowdhury"/>
    <s v="Project Manager"/>
    <s v="afsana.chowdhury@care.org"/>
    <s v="NO"/>
    <s v="YES"/>
    <s v="NO"/>
    <s v="To socially and economically empower marginalized urban women migrant workers"/>
    <s v="Sub-National"/>
    <s v="Gazipur District (Tongi and Gazipur)"/>
    <s v="Urban Women Migrant worker  who are working in formal and informal sector and those are not employee currently but planned to work in near future."/>
    <n v="360"/>
    <n v="0"/>
    <n v="360"/>
    <n v="2303"/>
    <n v="987"/>
    <n v="3290"/>
    <s v="Direct Participants: the women who are work in formal and informal sector or currently not working but planned to work (360 women).  Indirect participants has been multiply with direct participants (360*4=1440 men and women together and 370*4= 1480+ 370= 1850. 30/70 ratio) total Indirect (1440+1850=3290)  (husband and male family members of project participants, community women, key community people etc)."/>
    <m/>
    <m/>
    <m/>
    <m/>
    <m/>
    <m/>
    <m/>
    <m/>
    <m/>
    <m/>
    <m/>
    <m/>
    <m/>
    <m/>
    <m/>
    <m/>
    <m/>
    <m/>
    <m/>
    <m/>
    <m/>
    <m/>
    <m/>
    <m/>
    <m/>
    <m/>
    <m/>
    <m/>
    <m/>
    <m/>
    <m/>
    <m/>
    <m/>
    <m/>
    <m/>
    <m/>
    <m/>
    <m/>
    <m/>
    <m/>
    <m/>
    <m/>
    <m/>
    <m/>
    <m/>
    <m/>
    <m/>
    <m/>
    <m/>
    <m/>
    <m/>
    <m/>
    <m/>
    <m/>
    <m/>
    <m/>
    <m/>
    <m/>
    <m/>
    <m/>
    <n v="360"/>
    <n v="0"/>
    <n v="360"/>
    <n v="3661"/>
    <n v="246"/>
    <n v="3907"/>
    <s v="NO"/>
    <m/>
    <m/>
    <m/>
    <s v="NO"/>
    <m/>
    <m/>
    <m/>
    <s v="NO"/>
    <m/>
    <m/>
    <m/>
    <s v="NO"/>
    <m/>
    <m/>
    <m/>
    <s v="NO"/>
    <m/>
    <m/>
    <m/>
    <s v="NO"/>
    <m/>
    <m/>
    <m/>
    <s v="NO"/>
    <m/>
    <m/>
    <m/>
    <s v="YES"/>
    <n v="360"/>
    <n v="1"/>
    <n v="1850"/>
    <s v="YES"/>
    <n v="360"/>
    <n v="1"/>
    <n v="3907"/>
    <s v="YES"/>
    <n v="360"/>
    <n v="1"/>
    <n v="1850"/>
    <s v="NO"/>
    <m/>
    <m/>
    <m/>
    <s v="NO"/>
    <m/>
    <m/>
    <m/>
    <s v="NO"/>
    <m/>
    <m/>
    <m/>
    <s v="YES"/>
    <n v="360"/>
    <n v="1"/>
    <n v="1850"/>
    <s v="YES"/>
    <n v="360"/>
    <n v="1"/>
    <n v="1850"/>
    <s v="YES"/>
    <n v="360"/>
    <n v="1"/>
    <n v="3907"/>
    <m/>
    <m/>
    <m/>
    <m/>
    <m/>
    <s v="NO"/>
    <m/>
    <m/>
    <s v="YES"/>
    <s v="NO"/>
    <m/>
    <m/>
    <m/>
    <x v="0"/>
    <s v="NO"/>
    <s v="NO"/>
    <s v="YES"/>
    <s v="YES"/>
    <s v="YES"/>
    <s v="NO"/>
    <s v="NO"/>
    <s v="NO"/>
    <m/>
    <x v="0"/>
    <m/>
    <x v="0"/>
    <m/>
    <x v="1"/>
    <x v="1"/>
    <s v="YES"/>
    <x v="0"/>
    <x v="0"/>
    <x v="0"/>
    <x v="2"/>
    <n v="4"/>
    <x v="1"/>
    <x v="1"/>
    <x v="2"/>
    <x v="1"/>
    <x v="1"/>
    <x v="1"/>
    <n v="3"/>
    <x v="0"/>
    <x v="0"/>
    <x v="0"/>
    <x v="0"/>
    <x v="0"/>
    <n v="0"/>
    <x v="2"/>
    <x v="1"/>
    <m/>
    <m/>
    <m/>
    <m/>
    <x v="2"/>
    <s v="In community level project has intiate to form a group with community key influencials (house ownwe, Land owner, Teacher, Bussiness person, employeer, religious leaders, women leader, ward councilor, shop keeper etc) . Project has also intiate biomonthl meeting with key influencials  and discussed about various issues related to women worker who are living in community. The community key influencials are becomeing more aware and active now to protect and prevent any kind of unfair practices are being carried in the society."/>
    <m/>
    <s v="1. Men sensitization was initiated within community in this phase. As a result, male  become supportive to female migrant workers in family and community"/>
    <s v="2. PACE module completed participants are now leading in the community by taking active role in formal  gathering, meeting and participating in different community forums as members"/>
    <s v="4. Due to including City Corporation as a service provider since first phase, now, various services from the city corporation are become more available in communities of the project area. As such introduction of regular waste collection, supply of waste bins, road maintenance, participation of women ward councilors etc."/>
    <s v="Reaching Urban Women migrant workers and implement capacity bulding initiatve at evening is challlenging."/>
    <s v="Difficulties in linking migrants women with service providers specially the RMG workers cann't access the facilities durring day time."/>
    <s v="Men Engagement in the community level needs huge involvement and continuous communication and coordination"/>
    <m/>
    <s v="Final Report, Monthly report"/>
    <n v="360"/>
    <n v="3907"/>
    <n v="10.852777777777778"/>
    <n v="1"/>
    <n v="0.93703608907089841"/>
    <n v="360"/>
    <n v="3661"/>
    <s v=""/>
    <n v="0"/>
    <n v="0"/>
    <s v=""/>
    <n v="1"/>
    <n v="360"/>
    <n v="1850"/>
    <n v="5.1388888888888893"/>
    <n v="1"/>
    <n v="360"/>
    <n v="1850"/>
    <n v="5.1388888888888893"/>
    <n v="1"/>
    <n v="360"/>
    <n v="1850"/>
    <n v="5.1388888888888893"/>
    <n v="1"/>
    <n v="360"/>
    <n v="3907"/>
    <n v="10.852777777777778"/>
    <s v="4. Transformative"/>
    <s v="2. Accommodating"/>
    <s v="No marker score"/>
    <s v="It did not develop any specific innovation"/>
    <s v="Little or no advocacy"/>
    <s v="It did not take tested solutions to scale"/>
  </r>
  <r>
    <x v="3"/>
    <x v="0"/>
    <m/>
    <s v="P.A.C.E at Community"/>
    <s v="Bangladesh"/>
    <s v="GAPFBD0009"/>
    <s v="CARE USA"/>
    <s v="Other"/>
    <s v="Other"/>
    <s v="Gap Inc."/>
    <m/>
    <m/>
    <m/>
    <m/>
    <m/>
    <m/>
    <m/>
    <m/>
    <m/>
    <m/>
    <m/>
    <m/>
    <m/>
    <m/>
    <m/>
    <m/>
    <m/>
    <m/>
    <m/>
    <m/>
    <m/>
    <m/>
    <m/>
    <m/>
    <m/>
    <m/>
    <m/>
    <m/>
    <m/>
    <m/>
    <m/>
    <m/>
    <m/>
    <m/>
    <m/>
    <m/>
    <m/>
    <m/>
    <m/>
    <m/>
    <m/>
    <m/>
    <m/>
    <m/>
    <m/>
    <d v="2017-01-01T00:00:00"/>
    <d v="2017-12-31T00:00:00"/>
    <m/>
    <s v="Development Access to and Control over Economic Resources"/>
    <n v="136304"/>
    <s v="Humaira Aziz"/>
    <s v="Director"/>
    <s v="humaira.aziz@care.org"/>
    <s v="Afsana Chowdhury"/>
    <s v="Project Manager"/>
    <s v="afsana.chowdhury@care.org"/>
    <s v="NO"/>
    <s v="YES"/>
    <s v="NO"/>
    <s v="To socially and economically empower marginalized urban women migrant workers."/>
    <s v="Sub-National"/>
    <s v="Gazipur District (Tongi and Gazipur)"/>
    <s v="1. Urban migrant women who are employed in the formal sector (e.g. RMG sector, other industry workers)_x000a_2. Urban migrant women who are employed in the informal sector (e.g. brick fields, day laborers, tailors)_x000a_3. Urban migrant women who are not currently employed but either have interest and plan to work or are unable to work due to family responsibilities"/>
    <n v="1875"/>
    <n v="0"/>
    <n v="1875"/>
    <n v="9660"/>
    <n v="4140"/>
    <n v="13800"/>
    <s v="Direct Participants (1857 women): the women who are work in formal and informal sector or currently not working but planned to work.  Indirect participants (13800: men-30% and women 70%): has been multiply with direct participants (1875*4= 7500) and other 1260 women who will attend in the sessions as indirect participants (1260*4= 5040) eg; husband and male family members of project participants, community women, key community people etc).  Total Indirect Calculat as: (1875*4=) 7500+(1260*4=)5040+1260= 13800 (Women 70%  and Men 30%)"/>
    <m/>
    <m/>
    <m/>
    <m/>
    <m/>
    <m/>
    <m/>
    <m/>
    <m/>
    <m/>
    <m/>
    <m/>
    <m/>
    <m/>
    <m/>
    <m/>
    <m/>
    <m/>
    <m/>
    <m/>
    <m/>
    <m/>
    <m/>
    <m/>
    <m/>
    <m/>
    <m/>
    <m/>
    <m/>
    <m/>
    <m/>
    <m/>
    <m/>
    <m/>
    <m/>
    <m/>
    <m/>
    <m/>
    <m/>
    <m/>
    <m/>
    <m/>
    <m/>
    <m/>
    <m/>
    <m/>
    <m/>
    <m/>
    <m/>
    <m/>
    <m/>
    <m/>
    <m/>
    <m/>
    <m/>
    <m/>
    <m/>
    <m/>
    <m/>
    <m/>
    <n v="1350"/>
    <n v="0"/>
    <n v="1350"/>
    <n v="1366"/>
    <n v="306"/>
    <n v="1672"/>
    <s v="NO"/>
    <m/>
    <m/>
    <m/>
    <s v="NO"/>
    <m/>
    <m/>
    <m/>
    <s v="NO"/>
    <m/>
    <m/>
    <m/>
    <s v="NO"/>
    <m/>
    <m/>
    <m/>
    <s v="NO"/>
    <m/>
    <m/>
    <m/>
    <s v="YES"/>
    <n v="501"/>
    <n v="1"/>
    <n v="0"/>
    <s v="NO"/>
    <m/>
    <m/>
    <m/>
    <s v="YES"/>
    <n v="1350"/>
    <n v="1"/>
    <n v="320"/>
    <s v="YES"/>
    <n v="1350"/>
    <n v="1"/>
    <n v="1672"/>
    <s v="YES"/>
    <n v="1350"/>
    <n v="1"/>
    <n v="258"/>
    <s v="NO"/>
    <m/>
    <m/>
    <m/>
    <s v="NO"/>
    <m/>
    <m/>
    <m/>
    <s v="NO"/>
    <m/>
    <m/>
    <m/>
    <s v="NO"/>
    <m/>
    <m/>
    <m/>
    <s v="YES"/>
    <n v="1350"/>
    <n v="1"/>
    <n v="0"/>
    <s v="YES"/>
    <n v="1350"/>
    <n v="1"/>
    <n v="1672"/>
    <m/>
    <m/>
    <m/>
    <m/>
    <m/>
    <s v="NO"/>
    <m/>
    <m/>
    <s v="YES"/>
    <s v="NO"/>
    <m/>
    <m/>
    <s v="Monitoring plan has developed, project has keep the data base of Direct participants and regular plan and report are preparing and keep as recored for final report."/>
    <x v="0"/>
    <s v="NO"/>
    <s v="NO"/>
    <s v="YES"/>
    <s v="YES"/>
    <s v="YES"/>
    <s v="NO"/>
    <s v="NO"/>
    <s v="NO"/>
    <m/>
    <x v="1"/>
    <s v="P.A.C.E modules are implementing in community set up which is not only help to personal advancement and carrer enhancement of formal sector worker, its also useful for the women who are working in informal sector and nonworking women in the community."/>
    <x v="0"/>
    <m/>
    <x v="1"/>
    <x v="1"/>
    <s v="YES"/>
    <x v="0"/>
    <x v="0"/>
    <x v="0"/>
    <x v="2"/>
    <n v="4"/>
    <x v="1"/>
    <x v="1"/>
    <x v="1"/>
    <x v="1"/>
    <x v="1"/>
    <x v="1"/>
    <n v="4"/>
    <x v="0"/>
    <x v="0"/>
    <x v="0"/>
    <x v="0"/>
    <x v="0"/>
    <n v="0"/>
    <x v="2"/>
    <x v="1"/>
    <m/>
    <m/>
    <m/>
    <m/>
    <x v="2"/>
    <s v="In community level project has intiate to form a group with community key influencials (house ownwe, Land owner, Teacher, Bussiness person, employeer, religious leaders, women leader, ward councilor, shop keeper etc) . Project has also intiate biomonthl meeting with key influencials  and discussed about various issues related to women worker who are living in community. The community key influencials are becomeing more aware and active now to protect and prevent any kind of unfair practices are being carried in the society."/>
    <m/>
    <s v="1. Men sensitization was initiated within community in this phase. As a result, male  become supportive to female migrant workers in family and community"/>
    <s v="2. Group has formatted with the women who are not employee for P.A.C.E sessions, and after the sessions complete those women are more confident now to solve their problem and reduce stress."/>
    <s v="3. Women councilor of the City corporationi are more active to participate in project activities and take various initiative to create enabling environment for women worker."/>
    <s v="Difficulties in linking migrants women with service providers specially the RMG workers cann't access the facilities durring day time."/>
    <s v="Men Engagement in the community level needs huge involvement and continuous communication and coordination"/>
    <m/>
    <m/>
    <s v="Project Proposal. Final Report"/>
    <n v="1350"/>
    <n v="1672"/>
    <n v="1.2385185185185186"/>
    <n v="1"/>
    <n v="0.81698564593301437"/>
    <n v="1350"/>
    <n v="1366"/>
    <s v=""/>
    <n v="0"/>
    <n v="0"/>
    <s v=""/>
    <n v="1"/>
    <n v="1350"/>
    <n v="0"/>
    <n v="0"/>
    <s v=""/>
    <n v="0"/>
    <n v="0"/>
    <s v=""/>
    <n v="1"/>
    <n v="1350"/>
    <n v="320"/>
    <n v="0.23703703703703705"/>
    <n v="1"/>
    <n v="1350"/>
    <n v="1672"/>
    <n v="1.2385185185185186"/>
    <s v="4. Transformative"/>
    <s v="2. Accommodating"/>
    <s v="No marker score"/>
    <s v="It tested new ways for fighting poverty, but did not measure results of innovation"/>
    <s v="Little or no advocacy"/>
    <s v="It did not take tested solutions to scale"/>
  </r>
  <r>
    <x v="3"/>
    <x v="0"/>
    <n v="2772"/>
    <s v="Pathways to Secure and Resilient livelihoods Project"/>
    <s v="Bangladesh"/>
    <s v="MCARBD0001"/>
    <s v="CARE USA"/>
    <s v="Foundation"/>
    <s v="Other"/>
    <s v="Margaret A. Cargill Philanthropies (MACP)"/>
    <m/>
    <m/>
    <m/>
    <m/>
    <m/>
    <m/>
    <m/>
    <m/>
    <m/>
    <m/>
    <m/>
    <m/>
    <m/>
    <m/>
    <m/>
    <m/>
    <m/>
    <m/>
    <m/>
    <m/>
    <m/>
    <m/>
    <m/>
    <m/>
    <m/>
    <m/>
    <m/>
    <m/>
    <m/>
    <m/>
    <m/>
    <m/>
    <m/>
    <m/>
    <m/>
    <m/>
    <m/>
    <m/>
    <m/>
    <m/>
    <m/>
    <m/>
    <m/>
    <m/>
    <m/>
    <d v="2014-12-01T00:00:00"/>
    <d v="2016-11-30T00:00:00"/>
    <d v="2017-05-30T00:00:00"/>
    <s v="Development Other"/>
    <n v="80225"/>
    <s v="Kakuly Tanvin"/>
    <s v="Team Leader"/>
    <s v="kakuly.tanvin@care.rog"/>
    <s v="Md. Arshad Hossain"/>
    <s v="Technical Manager- M&amp;E"/>
    <s v="arshad.hossain@care.org"/>
    <s v="NO"/>
    <s v="YES"/>
    <s v="NO"/>
    <s v="Pathways to Secure and Resilient Livelihoods’ will work with smallholder farmers, especially women, from poor households to reduce their vulnerability and susceptibility to natural disasters and increase their resilience in the face of climate change"/>
    <s v="Multiple countries"/>
    <s v="Satkhira (Southwest Region) and Kurigram (Northwest region) of Bangladesh"/>
    <s v="(Rice, Dairy, Potato and Wage) total 199 groups"/>
    <n v="5518"/>
    <n v="55"/>
    <n v="5573"/>
    <n v="12500"/>
    <n v="8000"/>
    <n v="20500"/>
    <m/>
    <m/>
    <m/>
    <m/>
    <m/>
    <m/>
    <m/>
    <m/>
    <m/>
    <m/>
    <m/>
    <m/>
    <m/>
    <m/>
    <m/>
    <m/>
    <m/>
    <m/>
    <m/>
    <m/>
    <m/>
    <m/>
    <m/>
    <m/>
    <m/>
    <m/>
    <m/>
    <m/>
    <m/>
    <m/>
    <m/>
    <m/>
    <m/>
    <m/>
    <m/>
    <m/>
    <m/>
    <m/>
    <m/>
    <m/>
    <m/>
    <m/>
    <m/>
    <m/>
    <m/>
    <m/>
    <m/>
    <m/>
    <m/>
    <m/>
    <m/>
    <m/>
    <m/>
    <m/>
    <m/>
    <m/>
    <m/>
    <m/>
    <m/>
    <m/>
    <m/>
    <n v="5518"/>
    <n v="55"/>
    <n v="5573"/>
    <n v="12500"/>
    <n v="8000"/>
    <n v="20500"/>
    <s v="YES"/>
    <n v="5573"/>
    <n v="0.95"/>
    <n v="4000"/>
    <s v="YES"/>
    <n v="5573"/>
    <n v="0.95"/>
    <m/>
    <s v="NO"/>
    <m/>
    <m/>
    <m/>
    <s v="YES"/>
    <n v="5573"/>
    <n v="0.95"/>
    <m/>
    <s v="YES"/>
    <n v="5573"/>
    <n v="0.95"/>
    <n v="10841"/>
    <s v="NO"/>
    <m/>
    <m/>
    <m/>
    <s v="YES"/>
    <n v="5573"/>
    <n v="0.95"/>
    <m/>
    <s v="NO"/>
    <m/>
    <m/>
    <m/>
    <s v="YES"/>
    <n v="5573"/>
    <n v="0.95"/>
    <n v="20222"/>
    <s v="NO"/>
    <m/>
    <m/>
    <m/>
    <s v="NO"/>
    <m/>
    <m/>
    <m/>
    <s v="NO"/>
    <m/>
    <m/>
    <m/>
    <s v="YES"/>
    <n v="5573"/>
    <n v="0.95"/>
    <n v="3432"/>
    <s v="NO"/>
    <m/>
    <m/>
    <m/>
    <s v="NO"/>
    <m/>
    <m/>
    <m/>
    <s v="YES"/>
    <n v="5573"/>
    <n v="0.95"/>
    <n v="14649"/>
    <m/>
    <m/>
    <m/>
    <m/>
    <m/>
    <s v="YES"/>
    <s v="May"/>
    <n v="2017"/>
    <s v="NO"/>
    <s v="NO"/>
    <m/>
    <m/>
    <m/>
    <x v="2"/>
    <s v="NO"/>
    <s v="NO"/>
    <s v="NO"/>
    <s v="YES"/>
    <s v="NO"/>
    <s v="NO"/>
    <s v="NO"/>
    <s v="NO"/>
    <m/>
    <x v="0"/>
    <m/>
    <x v="0"/>
    <m/>
    <x v="0"/>
    <x v="1"/>
    <s v="YES"/>
    <x v="1"/>
    <x v="1"/>
    <x v="0"/>
    <x v="4"/>
    <n v="2"/>
    <x v="1"/>
    <x v="1"/>
    <x v="1"/>
    <x v="1"/>
    <x v="1"/>
    <x v="1"/>
    <n v="4"/>
    <x v="3"/>
    <x v="1"/>
    <x v="1"/>
    <x v="2"/>
    <x v="5"/>
    <n v="2"/>
    <x v="0"/>
    <x v="1"/>
    <m/>
    <m/>
    <m/>
    <m/>
    <x v="1"/>
    <m/>
    <m/>
    <s v="Practicing Climate SMART agriculture and build resilient for sustainable agriculture"/>
    <s v="Existence of strong savings mechanism is a great opportunity for a group to invest in agriculture (VSLA)"/>
    <s v="Counterpart of the targeted community makes success the event like mass gathering on wage issues"/>
    <s v="Resource mobilization and team work with community volunteers help create additional impact"/>
    <s v="Engaging Administration may strengthen the wage movement process"/>
    <s v="Unrest during Union Parishad governing body (local government) elections delayed project planned activities"/>
    <s v="No major changes in leadership, keystaff  or strategic direction are noteable for this reporting period. Only three FF resigned from this project and join another project of CARE"/>
    <m/>
    <n v="5573"/>
    <n v="20500"/>
    <n v="3.6784496680423469"/>
    <n v="0.99013098869549609"/>
    <n v="0.6097560975609756"/>
    <n v="5518"/>
    <n v="12500"/>
    <s v=""/>
    <n v="0"/>
    <n v="0"/>
    <s v=""/>
    <n v="1"/>
    <n v="5573"/>
    <n v="10841"/>
    <n v="1.9452718464022969"/>
    <s v=""/>
    <n v="0"/>
    <n v="0"/>
    <s v=""/>
    <s v=""/>
    <n v="0"/>
    <n v="0"/>
    <s v=""/>
    <n v="1"/>
    <n v="5573"/>
    <n v="14649"/>
    <n v="2.6285663018123095"/>
    <s v="3. Responsive"/>
    <s v="2. Accommodating"/>
    <s v="3. Responsive"/>
    <s v="It did not develop any specific innovation"/>
    <s v="Intensive advocacy"/>
    <s v="It did not take tested solutions to scale"/>
  </r>
  <r>
    <x v="3"/>
    <x v="0"/>
    <n v="2773"/>
    <s v="Patsy Collins Trust Fund Initiatives (PCTFI)"/>
    <s v="Bangladesh"/>
    <s v="PCTFBD0002"/>
    <s v="CARE USA"/>
    <s v="Foundation"/>
    <s v="Other"/>
    <s v="Patsy Collins Trust Fund Initiative (PCTFI)"/>
    <m/>
    <m/>
    <m/>
    <m/>
    <m/>
    <m/>
    <m/>
    <m/>
    <m/>
    <m/>
    <m/>
    <m/>
    <m/>
    <m/>
    <m/>
    <m/>
    <m/>
    <m/>
    <m/>
    <m/>
    <m/>
    <m/>
    <m/>
    <m/>
    <m/>
    <m/>
    <m/>
    <m/>
    <m/>
    <m/>
    <m/>
    <m/>
    <m/>
    <m/>
    <m/>
    <m/>
    <m/>
    <m/>
    <m/>
    <m/>
    <m/>
    <m/>
    <m/>
    <m/>
    <m/>
    <d v="2014-07-01T00:00:00"/>
    <d v="2016-10-31T00:00:00"/>
    <m/>
    <s v="Development Other"/>
    <n v="1279010"/>
    <s v="Humaira Aziz"/>
    <s v="Director-Women and Girls Empowerent"/>
    <s v="humaira.aziz@care.org"/>
    <s v="Md. Mahadi Hasan"/>
    <s v="Acting Team Leader"/>
    <s v="mahadi.hasan@care.org"/>
    <s v="NO"/>
    <s v="YES"/>
    <s v="NO"/>
    <s v="To empower girls to claim rights and choices challenging barriers of gender norms, facilitate supportive relationships and an enabling structure."/>
    <s v="Sub-National"/>
    <s v="Jamal ganj and Derai upazilla of Sunamganj disrict"/>
    <s v="Girls of government primary schools will be benifitted. PCTFI project is working with 36 Primary school and 12 scondary school in two upazilla of Sunamganj district, Sylhet division, Bangladesh. It is expected that through out a fruitful interventions positive changes will com in girls life and perception and practice will be changed at family and commuinty level regarding girl`s education and empowerment."/>
    <n v="5777"/>
    <n v="5758"/>
    <n v="11535"/>
    <n v="34472"/>
    <n v="26640"/>
    <n v="61112"/>
    <s v="Direct beneficiaries are those who got any direct support from the projects. Specially girls, boys, parents, school managin committee members and others who got training and other direct support form the projects have been incorporated as direct beneficiaries. Others are calculated as indirect beneficiares who did not get any direct support but somehow benefiteed from the project."/>
    <m/>
    <m/>
    <m/>
    <m/>
    <m/>
    <m/>
    <m/>
    <m/>
    <m/>
    <m/>
    <m/>
    <m/>
    <m/>
    <m/>
    <m/>
    <m/>
    <m/>
    <m/>
    <m/>
    <m/>
    <m/>
    <m/>
    <m/>
    <m/>
    <m/>
    <m/>
    <m/>
    <m/>
    <m/>
    <m/>
    <m/>
    <m/>
    <m/>
    <m/>
    <m/>
    <m/>
    <m/>
    <m/>
    <m/>
    <m/>
    <m/>
    <m/>
    <m/>
    <m/>
    <m/>
    <m/>
    <m/>
    <m/>
    <m/>
    <m/>
    <m/>
    <m/>
    <m/>
    <m/>
    <m/>
    <m/>
    <m/>
    <m/>
    <m/>
    <m/>
    <n v="3495"/>
    <n v="3262"/>
    <n v="6757"/>
    <n v="11177"/>
    <n v="8266"/>
    <n v="19443"/>
    <s v="NO"/>
    <m/>
    <m/>
    <m/>
    <s v="NO"/>
    <m/>
    <m/>
    <m/>
    <s v="NO"/>
    <m/>
    <m/>
    <m/>
    <s v="NO"/>
    <m/>
    <m/>
    <m/>
    <s v="NO"/>
    <m/>
    <m/>
    <m/>
    <s v="YES"/>
    <n v="6757"/>
    <n v="0.52"/>
    <n v="19443"/>
    <s v="NO"/>
    <m/>
    <m/>
    <m/>
    <s v="NO"/>
    <m/>
    <m/>
    <m/>
    <s v="YES"/>
    <n v="6757"/>
    <n v="0.52"/>
    <n v="19443"/>
    <s v="NO"/>
    <m/>
    <m/>
    <m/>
    <s v="NO"/>
    <m/>
    <m/>
    <m/>
    <s v="NO"/>
    <m/>
    <m/>
    <m/>
    <s v="NO"/>
    <m/>
    <m/>
    <m/>
    <s v="NO"/>
    <m/>
    <m/>
    <m/>
    <s v="NO"/>
    <m/>
    <m/>
    <m/>
    <s v="NO"/>
    <m/>
    <m/>
    <m/>
    <m/>
    <m/>
    <m/>
    <m/>
    <m/>
    <s v="YES"/>
    <s v="October"/>
    <n v="2016"/>
    <s v="YES"/>
    <s v="NO"/>
    <m/>
    <m/>
    <m/>
    <x v="2"/>
    <s v="NO"/>
    <s v="YES"/>
    <s v="YES"/>
    <s v="YES"/>
    <s v="YES"/>
    <s v="YES"/>
    <s v="YES"/>
    <s v="NO"/>
    <m/>
    <x v="1"/>
    <s v="It develop a mechansins which is scalable to promote girl firendly school enviroment in the primary schools."/>
    <x v="3"/>
    <s v="Project developed a training manual which was tested and later project advocated with the government for further use."/>
    <x v="1"/>
    <x v="1"/>
    <s v="YES"/>
    <x v="0"/>
    <x v="0"/>
    <x v="0"/>
    <x v="2"/>
    <n v="4"/>
    <x v="1"/>
    <x v="1"/>
    <x v="1"/>
    <x v="1"/>
    <x v="1"/>
    <x v="1"/>
    <n v="4"/>
    <x v="0"/>
    <x v="0"/>
    <x v="0"/>
    <x v="0"/>
    <x v="0"/>
    <n v="0"/>
    <x v="2"/>
    <x v="1"/>
    <m/>
    <m/>
    <m/>
    <m/>
    <x v="1"/>
    <m/>
    <s v="The project was supposed to be ned in June, 2017 however due to budget crisis an amendment was done and new BAM was signed which eventually limit the project by October, 2016. Due to this new amendment project customized the work plan and completed the closing activities accordingly."/>
    <s v="Formation of student council"/>
    <s v="Enhance skill of school managing committee"/>
    <s v="Robust community action plan"/>
    <s v="Effective self monitoring system will leverage SMC performance and assist to ensure child friendly environment in School"/>
    <s v="Strong participation of the community members will encourage the continuation of girls education"/>
    <s v="Regular monitoring and support of local education department will enhance quality education and ensure necessary infrastructure in school"/>
    <s v="PCTFI initiatives started in 2007 and continued till October, 2016. In the FY-17 project worked only 4 months and dis not executed any new activities other than the current activities. In this four months, project did the colsoing activities and executed some ongoing activities."/>
    <s v="PCTFI Baseline Study Report 2015, PCTFI Cohort 2 Final Report"/>
    <n v="6757"/>
    <n v="19443"/>
    <n v="2.8774604114251887"/>
    <n v="0.51724137931034486"/>
    <n v="0.5748598467314715"/>
    <n v="3495"/>
    <n v="11177"/>
    <s v=""/>
    <n v="0"/>
    <n v="0"/>
    <s v=""/>
    <s v=""/>
    <n v="0"/>
    <n v="0"/>
    <s v=""/>
    <s v=""/>
    <n v="0"/>
    <n v="0"/>
    <s v=""/>
    <s v=""/>
    <n v="0"/>
    <n v="0"/>
    <s v=""/>
    <s v=""/>
    <n v="0"/>
    <n v="0"/>
    <s v=""/>
    <s v="4. Transformative"/>
    <s v="2. Accommodating"/>
    <s v="No marker score"/>
    <s v="It tested new ways for fighting poverty, but did not measure results of innovation"/>
    <s v="Intensive advocacy"/>
    <s v="It took tested solutions to scale on its own"/>
  </r>
  <r>
    <x v="3"/>
    <x v="0"/>
    <n v="2774"/>
    <s v="Promoting Enabling Environment for Women in Factories (PEEWF) Project"/>
    <s v="Bangladesh"/>
    <s v="CFRABD0015"/>
    <s v="CARE France"/>
    <s v="Corporation"/>
    <s v="Other"/>
    <s v="Galleries Lafayette"/>
    <m/>
    <m/>
    <m/>
    <m/>
    <m/>
    <m/>
    <m/>
    <m/>
    <m/>
    <m/>
    <m/>
    <m/>
    <m/>
    <m/>
    <m/>
    <m/>
    <m/>
    <m/>
    <m/>
    <m/>
    <m/>
    <m/>
    <m/>
    <m/>
    <m/>
    <m/>
    <m/>
    <m/>
    <m/>
    <m/>
    <m/>
    <m/>
    <m/>
    <m/>
    <m/>
    <m/>
    <m/>
    <m/>
    <m/>
    <m/>
    <m/>
    <m/>
    <m/>
    <m/>
    <m/>
    <d v="2015-01-01T00:00:00"/>
    <d v="2017-12-31T00:00:00"/>
    <m/>
    <s v="Development Access to and Control over Economic Resources"/>
    <n v="277437"/>
    <s v="Humaira Aziz"/>
    <s v="Director , Women and Girls Empowerment"/>
    <s v="humaira.aziz@care.org"/>
    <s v="Md.Mehedi Hasan"/>
    <s v="Project Manager-PEEWF project"/>
    <s v="mehedi.hasan@care.org"/>
    <s v="NO"/>
    <s v="YES"/>
    <s v="NO"/>
    <s v="To promote gender equality, dignified work and social empowerment of the workers in RMG and Ceramic Industries."/>
    <s v="Sub-National"/>
    <s v="27 Ward Gazipur City Corporation &amp; 4 Union of Gazipur Sadar Upazizl, Gazipur,Dhaka, Bnagladesh"/>
    <s v="Women and Men garments &amp; ceramics workers, Management &amp; supervisors of RMG &amp; Ceramics factories, Men family member of women workers and  Community Support grpup members."/>
    <n v="2272"/>
    <n v="1288"/>
    <n v="3500"/>
    <n v="3500"/>
    <n v="4500"/>
    <n v="8000"/>
    <s v="Direct Participants of PEEWF project are 6 factories workers. Indirect Participants are male houshold members of workers, community peoples, service providers and community support group members."/>
    <m/>
    <m/>
    <m/>
    <m/>
    <m/>
    <m/>
    <m/>
    <m/>
    <m/>
    <m/>
    <m/>
    <m/>
    <m/>
    <m/>
    <m/>
    <m/>
    <m/>
    <m/>
    <m/>
    <m/>
    <m/>
    <m/>
    <m/>
    <m/>
    <m/>
    <m/>
    <m/>
    <m/>
    <m/>
    <m/>
    <m/>
    <m/>
    <m/>
    <m/>
    <m/>
    <m/>
    <m/>
    <m/>
    <m/>
    <m/>
    <m/>
    <m/>
    <m/>
    <m/>
    <m/>
    <m/>
    <m/>
    <m/>
    <m/>
    <m/>
    <m/>
    <m/>
    <m/>
    <m/>
    <m/>
    <m/>
    <m/>
    <m/>
    <m/>
    <m/>
    <n v="1996"/>
    <n v="826"/>
    <n v="2822"/>
    <n v="1050"/>
    <n v="3200"/>
    <n v="4250"/>
    <s v="NO"/>
    <m/>
    <m/>
    <m/>
    <s v="NO"/>
    <m/>
    <m/>
    <m/>
    <s v="NO"/>
    <m/>
    <m/>
    <m/>
    <s v="NO"/>
    <m/>
    <m/>
    <m/>
    <s v="NO"/>
    <m/>
    <m/>
    <m/>
    <s v="NO"/>
    <m/>
    <m/>
    <m/>
    <s v="NO"/>
    <m/>
    <m/>
    <m/>
    <s v="YES"/>
    <n v="2822"/>
    <n v="0.73"/>
    <n v="4250"/>
    <s v="YES"/>
    <n v="2822"/>
    <n v="0.73"/>
    <n v="4250"/>
    <s v="YES"/>
    <n v="2822"/>
    <n v="0.73"/>
    <n v="4250"/>
    <s v="NO"/>
    <m/>
    <m/>
    <m/>
    <s v="NO"/>
    <m/>
    <m/>
    <m/>
    <s v="NO"/>
    <m/>
    <m/>
    <m/>
    <s v="NO"/>
    <m/>
    <m/>
    <m/>
    <s v="YES"/>
    <n v="2822"/>
    <n v="0.73"/>
    <n v="4250"/>
    <s v="YES"/>
    <n v="2822"/>
    <n v="0.73"/>
    <n v="4250"/>
    <m/>
    <m/>
    <m/>
    <m/>
    <m/>
    <s v="NO"/>
    <m/>
    <m/>
    <s v="NO"/>
    <s v="YES"/>
    <s v="December"/>
    <n v="2017"/>
    <s v="This is an endline evaluation. This will be condcuted by following the qualitative and quantitative research tools and methods."/>
    <x v="1"/>
    <s v="NO"/>
    <s v="NO"/>
    <s v="YES"/>
    <s v="YES"/>
    <s v="NO"/>
    <s v="NO"/>
    <s v="NO"/>
    <s v="NO"/>
    <m/>
    <x v="1"/>
    <s v="PEEWF project has institutionalize and strengthening the participation committee and Anti-harrasmsnt committee of factories to fighting against inequlity within factory."/>
    <x v="0"/>
    <m/>
    <x v="1"/>
    <x v="1"/>
    <s v="YES"/>
    <x v="0"/>
    <x v="0"/>
    <x v="0"/>
    <x v="2"/>
    <n v="4"/>
    <x v="1"/>
    <x v="1"/>
    <x v="1"/>
    <x v="1"/>
    <x v="1"/>
    <x v="1"/>
    <n v="4"/>
    <x v="0"/>
    <x v="0"/>
    <x v="0"/>
    <x v="0"/>
    <x v="0"/>
    <n v="0"/>
    <x v="2"/>
    <x v="1"/>
    <m/>
    <m/>
    <m/>
    <m/>
    <x v="2"/>
    <s v="Awareness development on women rights, violence against women etc."/>
    <m/>
    <s v="Peer facilitator has ensured the sustainability of PEEWF project by sharing their learning with all workers"/>
    <s v="Institutionalization and capacity development  of  factory level committes ( such as Participation committees and Anti-harrasmsnt committees) have mobilized the enabling working environment indictors for ensuring the enabling environment."/>
    <s v="Community support group has fostered to create an enabling living enviroment for women workers through their initiatives."/>
    <s v="Cpacity development of Peer facilitator can ensure the program sustainability within factories by sharing the learning among the workers."/>
    <s v="Leadesrship development of Women workers  can ensure the women workers rights"/>
    <s v="Institutionalization of factory level committes ( such as Participation committees and Anti-harrasmsnt committees) can create an enabling culture by promoting the indicators of enabling working environment within factory."/>
    <m/>
    <s v="PEEWF_annual report2016_CARE"/>
    <n v="2822"/>
    <n v="4250"/>
    <n v="1.5060240963855422"/>
    <n v="0.70729978738483346"/>
    <n v="0.24705882352941178"/>
    <n v="1996"/>
    <n v="1050"/>
    <s v=""/>
    <n v="0"/>
    <n v="0"/>
    <s v=""/>
    <n v="1"/>
    <n v="2822"/>
    <n v="4250"/>
    <n v="1.5060240963855422"/>
    <s v=""/>
    <n v="0"/>
    <n v="0"/>
    <s v=""/>
    <n v="1"/>
    <n v="2822"/>
    <n v="4250"/>
    <n v="1.5060240963855422"/>
    <n v="1"/>
    <n v="2822"/>
    <n v="4250"/>
    <n v="1.5060240963855422"/>
    <s v="4. Transformative"/>
    <s v="2. Accommodating"/>
    <s v="No marker score"/>
    <s v="It tested new ways for fighting poverty, but did not measure results of innovation"/>
    <s v="Moderate advocacy"/>
    <s v="It did not take tested solutions to scale"/>
  </r>
  <r>
    <x v="3"/>
    <x v="0"/>
    <n v="2784"/>
    <s v="Promoting Sustainable Consumption and Production of Jute Diversified Product"/>
    <s v="Bangladesh"/>
    <s v="CFRABD008"/>
    <s v="CARE France"/>
    <s v="Multilateral agency"/>
    <s v="EU - European Union (other than ECHO)"/>
    <s v="EU"/>
    <m/>
    <m/>
    <m/>
    <m/>
    <m/>
    <m/>
    <m/>
    <m/>
    <m/>
    <m/>
    <m/>
    <m/>
    <m/>
    <m/>
    <m/>
    <m/>
    <m/>
    <m/>
    <m/>
    <m/>
    <m/>
    <m/>
    <m/>
    <m/>
    <m/>
    <m/>
    <m/>
    <m/>
    <m/>
    <m/>
    <m/>
    <m/>
    <m/>
    <m/>
    <m/>
    <m/>
    <m/>
    <m/>
    <m/>
    <m/>
    <m/>
    <m/>
    <m/>
    <m/>
    <m/>
    <d v="2013-01-03T00:00:00"/>
    <d v="2016-08-31T00:00:00"/>
    <d v="2016-12-31T00:00:00"/>
    <s v="Development Other"/>
    <n v="2421596"/>
    <s v="Elias"/>
    <s v="TC"/>
    <s v="elias@care.org"/>
    <m/>
    <m/>
    <m/>
    <s v="NO"/>
    <s v="YES"/>
    <s v="NO"/>
    <s v="To contribute to pro-poor economic growth social business promotion with an emphasis on sustainable agricultural sector growth and poverty reduction in Northwest &amp; Southwest region of Bangladesh (MDGs 1 &amp; 7)."/>
    <s v="Sub-National"/>
    <s v="Northwest (Rangpur &amp; Kurigram) &amp; Southwest (Jessore &amp; Satkhira). And the nine sub-districts are – (i) Rangpur Sadar (ii) Pirgacha (iii) kawnia &amp; (iv) Mithapukur under Rangpur district; (v) Kurigram Sadar &amp; (vi) Ulipur under Kurigra district; (vii) Monirampur under Jessore district (vii) Tala &amp; (ix) Kolaroa under Satkhira district. Under this nine sub-districts each implementing partners are working in 10 unions (40 unions in total)."/>
    <s v="The project is working for 16000 jute producers, 2000 Jute Diversified Products (JDPs) workers &amp; 60 Organic Fertilizer Producer, 20 SMEs, 3 jute mills and others national associations and public agencies that are active in the jute industry of the country"/>
    <n v="3750"/>
    <n v="14330"/>
    <n v="18080"/>
    <n v="18228"/>
    <n v="64141"/>
    <n v="82369"/>
    <s v="Participants who received the benefit from the project in directly are describe direct project participants. And those who benefited from the project acitivites and from the project participants are described indirect participants."/>
    <m/>
    <m/>
    <m/>
    <m/>
    <m/>
    <m/>
    <m/>
    <m/>
    <m/>
    <m/>
    <m/>
    <m/>
    <m/>
    <m/>
    <m/>
    <m/>
    <m/>
    <m/>
    <m/>
    <m/>
    <m/>
    <m/>
    <m/>
    <m/>
    <m/>
    <m/>
    <m/>
    <m/>
    <m/>
    <m/>
    <m/>
    <m/>
    <m/>
    <m/>
    <m/>
    <m/>
    <m/>
    <m/>
    <m/>
    <m/>
    <m/>
    <m/>
    <m/>
    <m/>
    <m/>
    <m/>
    <m/>
    <m/>
    <m/>
    <m/>
    <m/>
    <m/>
    <m/>
    <m/>
    <m/>
    <m/>
    <m/>
    <m/>
    <m/>
    <m/>
    <n v="0"/>
    <n v="0"/>
    <n v="0"/>
    <n v="0"/>
    <n v="0"/>
    <n v="0"/>
    <s v="NO"/>
    <m/>
    <m/>
    <m/>
    <s v="NO"/>
    <m/>
    <m/>
    <m/>
    <s v="NO"/>
    <m/>
    <m/>
    <m/>
    <s v="NO"/>
    <m/>
    <m/>
    <m/>
    <s v="NO"/>
    <m/>
    <m/>
    <m/>
    <s v="NO"/>
    <m/>
    <m/>
    <m/>
    <s v="NO"/>
    <m/>
    <m/>
    <m/>
    <s v="NO"/>
    <m/>
    <m/>
    <m/>
    <s v="NO"/>
    <m/>
    <m/>
    <m/>
    <s v="NO"/>
    <m/>
    <m/>
    <m/>
    <s v="NO"/>
    <m/>
    <m/>
    <m/>
    <s v="NO"/>
    <m/>
    <m/>
    <m/>
    <s v="NO"/>
    <m/>
    <m/>
    <m/>
    <s v="NO"/>
    <m/>
    <m/>
    <m/>
    <s v="NO"/>
    <m/>
    <m/>
    <m/>
    <s v="NO"/>
    <m/>
    <m/>
    <m/>
    <m/>
    <m/>
    <m/>
    <m/>
    <m/>
    <s v="NO"/>
    <m/>
    <m/>
    <s v="YES"/>
    <s v="NO"/>
    <m/>
    <m/>
    <m/>
    <x v="0"/>
    <s v="NO"/>
    <s v="NO"/>
    <s v="NO"/>
    <s v="NO"/>
    <s v="NO"/>
    <s v="NO"/>
    <s v="NO"/>
    <s v="NO"/>
    <m/>
    <x v="0"/>
    <m/>
    <x v="1"/>
    <m/>
    <x v="0"/>
    <x v="0"/>
    <s v="YES"/>
    <x v="0"/>
    <x v="0"/>
    <x v="0"/>
    <x v="0"/>
    <n v="4"/>
    <x v="3"/>
    <x v="0"/>
    <x v="0"/>
    <x v="0"/>
    <x v="0"/>
    <x v="3"/>
    <n v="0"/>
    <x v="0"/>
    <x v="0"/>
    <x v="0"/>
    <x v="0"/>
    <x v="0"/>
    <n v="0"/>
    <x v="0"/>
    <x v="3"/>
    <n v="4"/>
    <s v="Local NGO(s)/CSO(s)"/>
    <s v="Private sector"/>
    <s v="Regional alliance(s)/Platform(s)/Network(s) of  NGOs/CSOs"/>
    <x v="1"/>
    <m/>
    <m/>
    <s v="Value chain approach"/>
    <s v="Market systeem approach"/>
    <s v="Engaging the stakeholders"/>
    <s v="Market driven products developed"/>
    <s v="Sustainable linkage: It was evident that SMEs are now more knowledgeable about JDP workers that help them catering large and middle sized orders inbound and outbound. JDP workers have also seen heightened confidence as they have participated in different fairs and exhibitions and are now more connected with buying groups acquiring versatile knowledge on products, price and other specifications required to remain competitive in the market. SME Consortium brought 20 SMEs together under one umbrella and now has more open and integrated platform to discuss about the sectoral growth, threats and how to tap potentials."/>
    <s v="SME Consortium: SME consortium has the structure and intention of promoting the sector development activities in future. The consortium has already shown keen interest in working with other small enterprises in regional level and directly with the JDP workers also. It has been working on increasing the financial and management strength as orgnaization and building a robust platform to uphold the interest of JDP sector."/>
    <m/>
    <s v="Final Evaluation"/>
    <n v="0"/>
    <n v="0"/>
    <s v=""/>
    <s v=""/>
    <s v=""/>
    <n v="0"/>
    <n v="0"/>
    <s v=""/>
    <n v="0"/>
    <n v="0"/>
    <s v=""/>
    <s v=""/>
    <n v="0"/>
    <n v="0"/>
    <s v=""/>
    <s v=""/>
    <n v="0"/>
    <n v="0"/>
    <s v=""/>
    <s v=""/>
    <n v="0"/>
    <n v="0"/>
    <s v=""/>
    <s v=""/>
    <n v="0"/>
    <n v="0"/>
    <s v=""/>
    <s v="2. Sensitive"/>
    <s v="0. Unaware"/>
    <s v="No marker score"/>
    <s v="It did not develop any specific innovation"/>
    <s v="Little or no advocacy"/>
    <s v="It linked and worked with strategic alliances and partners to take tested and effective solutions to scale"/>
  </r>
  <r>
    <x v="3"/>
    <x v="0"/>
    <m/>
    <s v="Response to Flooding in North-west Bangladesh 2016"/>
    <s v="Bangladesh"/>
    <s v="CCANBD0012"/>
    <s v="CARE Canada"/>
    <s v="Multilateral agency"/>
    <s v="Other"/>
    <s v="Humanitarian Coalition"/>
    <m/>
    <m/>
    <m/>
    <m/>
    <m/>
    <m/>
    <m/>
    <m/>
    <m/>
    <m/>
    <m/>
    <m/>
    <m/>
    <m/>
    <m/>
    <m/>
    <m/>
    <m/>
    <m/>
    <m/>
    <m/>
    <m/>
    <m/>
    <m/>
    <m/>
    <m/>
    <m/>
    <m/>
    <m/>
    <m/>
    <m/>
    <m/>
    <m/>
    <m/>
    <m/>
    <m/>
    <m/>
    <m/>
    <m/>
    <m/>
    <m/>
    <m/>
    <m/>
    <m/>
    <m/>
    <d v="2016-08-20T00:00:00"/>
    <d v="2016-12-19T00:00:00"/>
    <m/>
    <s v="Humanitarian Access to and Control over Economic Resources"/>
    <n v="225564.3"/>
    <s v="Md. Mahbubur Rahman"/>
    <s v="Emergency Response Program Manager"/>
    <s v="mahbubur.rahman@care.org"/>
    <m/>
    <m/>
    <m/>
    <s v="YES"/>
    <s v="NO"/>
    <s v="NO"/>
    <s v="To support with Unconditional Cash Grant, Shelter and Non-food items to the flood affected people."/>
    <s v="Sub-National"/>
    <s v="Kurigram Sadar Sub-district of Kurigram District and Islampur Sub district of Jamalpur District"/>
    <s v="3600 flood affected families in Northern Bangladesh."/>
    <n v="6920"/>
    <n v="6798"/>
    <n v="13718"/>
    <n v="0"/>
    <n v="0"/>
    <n v="0"/>
    <s v="Thus the project reached to 13,718 people (male- 6,798 and female-6,920) from 3,600 families"/>
    <m/>
    <n v="6920"/>
    <n v="6798"/>
    <n v="13718"/>
    <n v="0"/>
    <n v="0"/>
    <n v="0"/>
    <s v="NO"/>
    <m/>
    <m/>
    <m/>
    <s v="YES"/>
    <n v="8102"/>
    <n v="0.51"/>
    <n v="0"/>
    <s v="NO"/>
    <m/>
    <m/>
    <m/>
    <s v="NO"/>
    <m/>
    <m/>
    <m/>
    <s v="NO"/>
    <m/>
    <m/>
    <m/>
    <s v="NO"/>
    <m/>
    <m/>
    <m/>
    <s v="NO"/>
    <m/>
    <m/>
    <m/>
    <s v="NO"/>
    <m/>
    <m/>
    <m/>
    <s v="NO"/>
    <m/>
    <m/>
    <m/>
    <s v="NO"/>
    <m/>
    <m/>
    <m/>
    <s v="YES"/>
    <n v="13341"/>
    <n v="0.51"/>
    <n v="0"/>
    <s v="NO"/>
    <m/>
    <m/>
    <m/>
    <m/>
    <m/>
    <m/>
    <m/>
    <m/>
    <m/>
    <m/>
    <m/>
    <m/>
    <m/>
    <m/>
    <m/>
    <m/>
    <m/>
    <m/>
    <m/>
    <m/>
    <m/>
    <m/>
    <m/>
    <m/>
    <m/>
    <m/>
    <m/>
    <m/>
    <m/>
    <m/>
    <m/>
    <m/>
    <m/>
    <m/>
    <m/>
    <m/>
    <m/>
    <m/>
    <m/>
    <m/>
    <m/>
    <m/>
    <m/>
    <m/>
    <m/>
    <m/>
    <m/>
    <m/>
    <m/>
    <m/>
    <m/>
    <m/>
    <m/>
    <m/>
    <m/>
    <m/>
    <m/>
    <m/>
    <m/>
    <m/>
    <m/>
    <m/>
    <m/>
    <m/>
    <m/>
    <m/>
    <m/>
    <m/>
    <m/>
    <m/>
    <m/>
    <m/>
    <m/>
    <m/>
    <m/>
    <m/>
    <m/>
    <m/>
    <m/>
    <m/>
    <m/>
    <m/>
    <m/>
    <s v="NO"/>
    <m/>
    <m/>
    <s v="NO"/>
    <s v="NO"/>
    <m/>
    <m/>
    <m/>
    <x v="0"/>
    <s v="NO"/>
    <s v="NO"/>
    <s v="NO"/>
    <s v="NO"/>
    <s v="NO"/>
    <s v="NO"/>
    <s v="NO"/>
    <s v="NO"/>
    <m/>
    <x v="0"/>
    <m/>
    <x v="0"/>
    <m/>
    <x v="1"/>
    <x v="0"/>
    <s v="YES"/>
    <x v="0"/>
    <x v="0"/>
    <x v="0"/>
    <x v="0"/>
    <n v="4"/>
    <x v="1"/>
    <x v="1"/>
    <x v="1"/>
    <x v="1"/>
    <x v="1"/>
    <x v="1"/>
    <n v="4"/>
    <x v="1"/>
    <x v="1"/>
    <x v="1"/>
    <x v="2"/>
    <x v="3"/>
    <n v="2"/>
    <x v="0"/>
    <x v="2"/>
    <n v="3"/>
    <s v="Local NGO(s)/CSO(s)"/>
    <s v="Local government(s)"/>
    <m/>
    <x v="1"/>
    <m/>
    <s v="Initially, this project has plan to support 2000 families in 03 unions of Kurigram Sadar upazila (sub-district) through local partner- SOLIDARITY. But considering the severe needs in other areas too, the project provided Non-food item support to 1500 additional families in additional 03 unions of Islampur upazila (sub-distric) under Jamalpur district."/>
    <s v="Multi-sector unconditional cash support provided to the most vulnerable flood affected families to empower them to meet their immediate family needs."/>
    <s v="NFI support provided to flood affected, displaced and most vulnerable families to meet their critical immediate shelter needs"/>
    <m/>
    <s v="Dispalying of a set of NFIs at distribution center enabled beneficiries to check if they have received what they were entitled to. Orientation to beneficiaries before distribution on how to make the best use the NFI's  was also very helpful."/>
    <s v="The Project Implementation Guideline was in English, not in local language (Bangla). Field staff with less english language skill faced difficulty."/>
    <s v="Providing local partner extended control over resources enables them to stretch their legs and ensure staff wellbeing in humanitarian responses. For Emergency proejcts with cash distribution components there should be less percentage of budget kept on hold (to be disbursed after the final financial settlements with partner). It needs to be decided based on the nature and budget of the prject inconsultaion with the involved partner."/>
    <m/>
    <s v="1. CHAF Project Report"/>
    <n v="13718"/>
    <n v="0"/>
    <n v="0"/>
    <n v="0.50444671234873883"/>
    <s v=""/>
    <n v="6920"/>
    <n v="0"/>
    <n v="1"/>
    <n v="13718"/>
    <n v="0"/>
    <n v="0"/>
    <s v=""/>
    <n v="0"/>
    <n v="0"/>
    <s v=""/>
    <s v=""/>
    <n v="0"/>
    <n v="0"/>
    <s v=""/>
    <s v=""/>
    <n v="0"/>
    <n v="0"/>
    <s v=""/>
    <s v=""/>
    <n v="0"/>
    <n v="0"/>
    <s v=""/>
    <s v="2. Sensitive"/>
    <s v="2. Accommodating"/>
    <s v="1. Neutral"/>
    <s v="It did not develop any specific innovation"/>
    <s v="Little or no advocacy"/>
    <s v="It did not take tested solutions to scale"/>
  </r>
  <r>
    <x v="3"/>
    <x v="0"/>
    <n v="2787"/>
    <s v="Scaling up Inclusive Resilience Amongst Water Logged Communities in South Western Bangladesh"/>
    <s v="Bangladesh"/>
    <s v="CGBRBD0101"/>
    <s v="CARE UK"/>
    <s v="Multilateral agency"/>
    <s v="ECHO - European Commission for Humanitarian Aid and Civil Protection"/>
    <s v="ECHO"/>
    <m/>
    <m/>
    <m/>
    <m/>
    <m/>
    <m/>
    <m/>
    <m/>
    <m/>
    <m/>
    <m/>
    <m/>
    <m/>
    <m/>
    <m/>
    <m/>
    <m/>
    <m/>
    <m/>
    <m/>
    <m/>
    <m/>
    <m/>
    <m/>
    <m/>
    <m/>
    <m/>
    <m/>
    <m/>
    <m/>
    <m/>
    <m/>
    <m/>
    <m/>
    <m/>
    <m/>
    <m/>
    <m/>
    <m/>
    <m/>
    <m/>
    <m/>
    <m/>
    <m/>
    <m/>
    <d v="2016-04-01T00:00:00"/>
    <d v="2017-09-30T00:00:00"/>
    <m/>
    <s v="Development Food &amp; Nutrition Security and Resilience to Climate Change"/>
    <n v="389841"/>
    <s v="Mr. Palash Mondal"/>
    <s v="Coordinator-Resilience and Climate Change"/>
    <s v="palash.mondal@care.org"/>
    <s v="Md. Mahabbat Ali"/>
    <s v="Project Manager"/>
    <s v="mahabbat.ali@care.org"/>
    <s v="NO"/>
    <s v="YES"/>
    <s v="NO"/>
    <s v="To enhance inclusive resilience of the most waterlogged affected communities in South Western Bangladesh."/>
    <s v="Sub-National"/>
    <s v="Region: South West Bangladesh:  Districts -Satkhira , 2 Upazillas (Sathkira Sadar, Kolaroa),26 unions and 2 municipalities."/>
    <s v="The most waterlogged affected vulnerable communities emphasizing the female and person with disabilities (PWD) in the local Disaster Management Committees for inclusion and this will create enabling environment of   Inclusive Resilience Amongst Water Logged Communities regarding DRM"/>
    <n v="12272"/>
    <n v="22240"/>
    <n v="34512"/>
    <n v="397493"/>
    <n v="720281"/>
    <n v="1117774"/>
    <s v="Individuals (Disaster Managent Committee(DMC) &amp; School Management Comittee(SMC) member + Volunteers + population benefited directly from small scale mitigation etc ) are the direct participants and Total Indirect beneficiaries is  population of CARE Implemented  rural areas minus Directs participants. The calculation have made as per Annex 5_benificiary Calculation_CARE which is also attached herewith."/>
    <m/>
    <m/>
    <m/>
    <m/>
    <m/>
    <m/>
    <m/>
    <m/>
    <m/>
    <m/>
    <m/>
    <m/>
    <m/>
    <m/>
    <m/>
    <m/>
    <m/>
    <m/>
    <m/>
    <m/>
    <m/>
    <m/>
    <m/>
    <m/>
    <m/>
    <m/>
    <m/>
    <m/>
    <m/>
    <m/>
    <m/>
    <m/>
    <m/>
    <m/>
    <m/>
    <m/>
    <m/>
    <m/>
    <m/>
    <m/>
    <m/>
    <m/>
    <m/>
    <m/>
    <m/>
    <m/>
    <m/>
    <m/>
    <m/>
    <m/>
    <m/>
    <m/>
    <m/>
    <m/>
    <m/>
    <m/>
    <m/>
    <m/>
    <m/>
    <m/>
    <n v="2029"/>
    <n v="6386"/>
    <n v="8415"/>
    <n v="73068"/>
    <n v="129899"/>
    <n v="202967"/>
    <s v="YES"/>
    <n v="150"/>
    <n v="0.85"/>
    <n v="525"/>
    <s v="YES"/>
    <n v="6748"/>
    <n v="0.18"/>
    <n v="202967"/>
    <s v="NO"/>
    <m/>
    <m/>
    <m/>
    <s v="YES"/>
    <n v="6748"/>
    <n v="0.18"/>
    <n v="202967"/>
    <s v="YES"/>
    <n v="150"/>
    <n v="0.85"/>
    <n v="525"/>
    <s v="NO"/>
    <m/>
    <m/>
    <m/>
    <s v="NO"/>
    <m/>
    <m/>
    <m/>
    <s v="NO"/>
    <m/>
    <m/>
    <m/>
    <s v="YES"/>
    <n v="6748"/>
    <n v="0.18"/>
    <n v="33740"/>
    <s v="NO"/>
    <m/>
    <m/>
    <m/>
    <s v="YES"/>
    <n v="1167"/>
    <n v="0.49"/>
    <n v="202967"/>
    <s v="NO"/>
    <m/>
    <m/>
    <m/>
    <s v="NO"/>
    <m/>
    <m/>
    <m/>
    <s v="NO"/>
    <m/>
    <m/>
    <m/>
    <s v="YES"/>
    <n v="6748"/>
    <n v="0.18"/>
    <n v="202967"/>
    <s v="YES"/>
    <n v="128"/>
    <n v="1"/>
    <n v="422"/>
    <s v="Small Scale Mitigation work (Earthen road repairing ,School field raising,Canal Re-excavation cum road construction,Construction of Pacca drain , Construct palisading ,Latrine maintenance,Construction of Eidgah) with co-financing with respective UDMC's)"/>
    <s v="YES"/>
    <n v="1732"/>
    <n v="0.49"/>
    <n v="8660"/>
    <s v="YES"/>
    <s v="November"/>
    <n v="2016"/>
    <s v="YES"/>
    <s v="YES"/>
    <s v="August"/>
    <n v="2017"/>
    <s v="End line report would be regulated by External Consultant and NARRI Secretariat at the last month of the project."/>
    <x v="2"/>
    <s v="YES"/>
    <s v="NO"/>
    <s v="NO"/>
    <s v="NO"/>
    <s v="YES"/>
    <s v="YES"/>
    <s v="YES"/>
    <s v="NO"/>
    <m/>
    <x v="2"/>
    <s v="Innovative agriculture option from DIPECHO- households are  introduced to alternative agricultural, livestock and fisheries options when developing their livelihood business plan considering hazards, their household constraints as well as opportunities. Innovative agriculture practices includes e.g. bag gardening (360 degree) (for those with limited arable homestead areas), floating gardens (for those with limited arable land but access to water body), saline tolerant varieties, adaptive agriculture not previously in area but found to have promising results based on other projects/findings of research bodies such as BARI/BIRI. Crop production gap and/or crop failure could be removed by applying some techniques in agriculture for example use of salt tolerant crops and varieties, sex pheromone trap (organic pest control) and designing cropping schedule to maintain the growing and transplanting schedules closely."/>
    <x v="1"/>
    <s v="Conducting Upazilla and Municipalities implemented (Community Base Disaster Preparednedd) CBDP &amp; (School base Disaster Preparedness)SBDP Institutionalisation model are effectively works and sacleup this model."/>
    <x v="0"/>
    <x v="0"/>
    <s v="YES"/>
    <x v="0"/>
    <x v="0"/>
    <x v="0"/>
    <x v="0"/>
    <n v="4"/>
    <x v="1"/>
    <x v="1"/>
    <x v="1"/>
    <x v="1"/>
    <x v="1"/>
    <x v="1"/>
    <n v="4"/>
    <x v="3"/>
    <x v="1"/>
    <x v="1"/>
    <x v="1"/>
    <x v="4"/>
    <n v="3"/>
    <x v="3"/>
    <x v="1"/>
    <m/>
    <m/>
    <m/>
    <m/>
    <x v="0"/>
    <s v="NARRI have developing a platform called South West Bangladesh Water Logging Platform and link with wider network of civil societies, government institutions, research institutions, and strategic advocacy alliances to influence decision making at the local and national level. The activities of this platform will supplemented through continuous publicity and media mileage, lobbying to push the water -logging issue."/>
    <s v="The female and person with disabilities (PWD) in the local Disaster Management Committees (DMC's) for inclusion and this will create enabling environment of   Inclusive Resilience Amongst Water Logged Communities regarding DRM"/>
    <s v="1.Endorsement of the CBDP models from the DDM (Department of Disaster Management) generated high level acceptability and motivated both the government institutions and communities to engage with the DRR and DP (Disaster Preparedness) activities"/>
    <s v="2.School based disaster preparedness (SBDP) created a safe learning environment on the face of disaster by promoting a culture of safety at school."/>
    <s v="3.Co-funding for RRAP implementation, matching fund from Government of Bangladesh, was effective in generating financial support to decrease locally identified risks."/>
    <s v="1. Activating the Word level DMC's which is very supportive to existing union level DMC's.As per SoD, WDMC is not mandatory. This project has taken this activity with importance to test how the structures bring benefits to the populations at risk."/>
    <s v="2.Conduction of Community Risk Assessment (CRA/URA) as well as RRAP development and preparing the DM plan. Through these initiatives the community are able to prioritize the local risk factors and also make a plan for mitigation as per RRAP schemes implementation through ADP budget/external funds."/>
    <s v="3.DRR awareness and resilient livelihood practices targeting multiple stakeholders including local community, DMCs, local government bodies etc."/>
    <s v="All relevent data are enclosed herewith."/>
    <s v="1.Proposal 2.M&amp; Plan 3.Base line Report 4.Benificiary Calculation Work sheet 4. Interim Report 5. 4th Qtr Narrative rreeport 6. DMC_database 7.150 livelihood beneficiaries database."/>
    <n v="8415"/>
    <n v="202967"/>
    <n v="24.11966726084373"/>
    <n v="0.24111705288175878"/>
    <n v="0.35999940877088393"/>
    <n v="2029"/>
    <n v="73068"/>
    <s v=""/>
    <n v="0"/>
    <n v="0"/>
    <s v=""/>
    <n v="1"/>
    <n v="6748"/>
    <n v="202967"/>
    <n v="30.078097213989331"/>
    <s v=""/>
    <n v="0"/>
    <n v="0"/>
    <s v=""/>
    <s v=""/>
    <n v="0"/>
    <n v="0"/>
    <s v=""/>
    <n v="1"/>
    <n v="128"/>
    <n v="446.25"/>
    <n v="3.486328125"/>
    <s v="2. Sensitive"/>
    <s v="2. Accommodating"/>
    <s v="4. Transformative"/>
    <s v="It tested new ways for fighting poverty and measured results of innovation"/>
    <s v="Intensive advocacy"/>
    <s v="It linked and worked with strategic alliances and partners to take tested and effective solutions to scale"/>
  </r>
  <r>
    <x v="3"/>
    <x v="0"/>
    <n v="2781"/>
    <s v="SDC – Shomoshti -Prosperity for the poor and disadvantaged"/>
    <s v="Bangladesh"/>
    <s v="SDCXBD004"/>
    <s v="CARE USA"/>
    <s v="Corporation"/>
    <s v="Government - Switzerland"/>
    <s v="Swiss Agency for Development and Cooperation (SDC)"/>
    <m/>
    <m/>
    <m/>
    <m/>
    <m/>
    <m/>
    <m/>
    <m/>
    <m/>
    <m/>
    <m/>
    <m/>
    <m/>
    <m/>
    <m/>
    <m/>
    <m/>
    <m/>
    <m/>
    <m/>
    <m/>
    <m/>
    <m/>
    <m/>
    <m/>
    <m/>
    <m/>
    <m/>
    <m/>
    <m/>
    <m/>
    <m/>
    <m/>
    <m/>
    <m/>
    <m/>
    <m/>
    <m/>
    <m/>
    <m/>
    <m/>
    <m/>
    <m/>
    <m/>
    <m/>
    <d v="2016-03-15T00:00:00"/>
    <d v="2017-03-31T00:00:00"/>
    <m/>
    <s v="Development Access to and Control over Economic Resources"/>
    <n v="1152709"/>
    <s v="Giasuddin Talukder"/>
    <s v="Senior Team Leader"/>
    <s v="giasuddin.talukder@care.org"/>
    <s v="Md.Mizanur Rahman"/>
    <s v="Monitoring and Evaluation Specialist, SDC-Shomoshti Project"/>
    <s v="mizanur.rahman2@care.org"/>
    <s v="NO"/>
    <s v="YES"/>
    <s v="NO"/>
    <s v="Rural households, particularly the poor and disadvantaged, benefit from a better wellbeing due to higher incomes, better nutrition, improved health and more education. This improved wellbeing includes increased capacities to sustain and further improve the gains in income and social aspects."/>
    <s v="Sub-National"/>
    <s v="Northwest: Kurigram, Lalmonirhat, Nilphamari, Dinajpur, Rangpur and  Gaibandha;  _x000a_Mid north west: Natore and Rajshahi; _x000a_Southwest: Sunamgonj, Moulavibazar and  Sylhet; _x000a_Northeast:  Khulna, Jessore and Shatkhira"/>
    <s v="Poor, disadvantaged and marginalized women households"/>
    <n v="5400"/>
    <n v="12600"/>
    <n v="18000"/>
    <n v="34141"/>
    <n v="27059"/>
    <n v="61200"/>
    <s v="Direct participants are the directly impacted household member by the project intervention (in this case one person from each household considered as direct participants). The indirect participans are calculated by multiplying the average members of each household (in this case an average of 4.4 per household collected from national average household, census report, BBS 2011) with the number of households."/>
    <m/>
    <m/>
    <m/>
    <m/>
    <m/>
    <m/>
    <m/>
    <m/>
    <m/>
    <m/>
    <m/>
    <m/>
    <m/>
    <m/>
    <m/>
    <m/>
    <m/>
    <m/>
    <m/>
    <m/>
    <m/>
    <m/>
    <m/>
    <m/>
    <m/>
    <m/>
    <m/>
    <m/>
    <m/>
    <m/>
    <m/>
    <m/>
    <m/>
    <m/>
    <m/>
    <m/>
    <m/>
    <m/>
    <m/>
    <m/>
    <m/>
    <m/>
    <m/>
    <m/>
    <m/>
    <m/>
    <m/>
    <m/>
    <m/>
    <m/>
    <m/>
    <m/>
    <m/>
    <m/>
    <m/>
    <m/>
    <m/>
    <m/>
    <m/>
    <m/>
    <n v="14430"/>
    <n v="8066"/>
    <n v="22496"/>
    <n v="34987"/>
    <n v="41499"/>
    <n v="76486"/>
    <s v="YES"/>
    <n v="22496"/>
    <n v="0.64"/>
    <n v="76486"/>
    <s v="NO"/>
    <m/>
    <m/>
    <m/>
    <s v="NO"/>
    <m/>
    <m/>
    <m/>
    <s v="YES"/>
    <n v="22496"/>
    <n v="0.64"/>
    <n v="76486"/>
    <s v="YES"/>
    <n v="22496"/>
    <n v="0.64"/>
    <n v="76486"/>
    <s v="NO"/>
    <m/>
    <m/>
    <m/>
    <s v="NO"/>
    <m/>
    <m/>
    <m/>
    <s v="NO"/>
    <m/>
    <m/>
    <m/>
    <s v="NO"/>
    <m/>
    <m/>
    <m/>
    <s v="NO"/>
    <m/>
    <m/>
    <m/>
    <s v="NO"/>
    <m/>
    <m/>
    <m/>
    <s v="NO"/>
    <m/>
    <m/>
    <m/>
    <s v="YES"/>
    <n v="22496"/>
    <n v="0.64"/>
    <n v="76486"/>
    <s v="NO"/>
    <m/>
    <m/>
    <m/>
    <s v="YES"/>
    <n v="22496"/>
    <n v="0.64"/>
    <n v="76486"/>
    <s v="YES"/>
    <n v="22496"/>
    <n v="0.64"/>
    <n v="76486"/>
    <m/>
    <m/>
    <m/>
    <m/>
    <m/>
    <s v="YES"/>
    <s v="February"/>
    <n v="2017"/>
    <s v="YES"/>
    <s v="YES"/>
    <s v="July"/>
    <n v="2018"/>
    <s v="Project has the plan to conduct bi-annual assessment along with mid-tem and final evaluation.  These assessments shall be conducted through sample household survey."/>
    <x v="0"/>
    <s v="NO"/>
    <s v="NO"/>
    <s v="YES"/>
    <s v="YES"/>
    <s v="NO"/>
    <s v="NO"/>
    <s v="NO"/>
    <s v="NO"/>
    <m/>
    <x v="1"/>
    <m/>
    <x v="1"/>
    <m/>
    <x v="0"/>
    <x v="0"/>
    <s v="YES"/>
    <x v="0"/>
    <x v="0"/>
    <x v="0"/>
    <x v="0"/>
    <n v="4"/>
    <x v="1"/>
    <x v="1"/>
    <x v="1"/>
    <x v="1"/>
    <x v="1"/>
    <x v="1"/>
    <n v="4"/>
    <x v="1"/>
    <x v="1"/>
    <x v="1"/>
    <x v="1"/>
    <x v="1"/>
    <n v="3"/>
    <x v="0"/>
    <x v="2"/>
    <n v="5"/>
    <s v="Local NGO(s)/CSO(s)"/>
    <m/>
    <m/>
    <x v="1"/>
    <m/>
    <s v="At the initial approval of project, there was three outcomes and eight outputs and the project was plan to reach 200000  poor disadvantaged and marginalized households, however, project has revised its outcomes, outputs and it targeting consultation with donor. Now the main phase of project has 2 outcomes, 4 outputs and it has plan to reach 180000 poor, disadvantaged and marginalized households"/>
    <s v="Participatory Poverty Analysis (PPA) process"/>
    <s v="M4P approach"/>
    <s v="Cmss Model"/>
    <s v="Multi-tiered inception process has created a supportive environment for the project. This point was mentioned by each of the regions. Several points were observed. First that the inception meeting and social and resource map sharing at the union level is effective in helping UP members to understand the project, and to gain their support. Second, the inception meetings have also been helpful in involving Upazila level GOB personnel."/>
    <s v="Community members and participants have shown a positive and supportive attitude and supportive role in the PPA process, wherever they have had previous exposure to CARE and its partners, since collectively they have a good reputation with communities in terms of the prior capacity building and empowerment processes in which they have engaged"/>
    <s v="Need for improved technology and knowledge. Following from the above point, rural production in many value chains is hampered by the lack of improved technology and knowledge amongst those who have the ability to engage in the value chains. This can be solved only by linking more effectively producers with the those who are the source of these improved technologies. The holding of agricultural fairs can be helpful in creating these linkages and brokering better understandings of the local market and production contexts."/>
    <m/>
    <s v="1. Project Proposal 1st Approved-SDC-Shomoshti Project_x000a_2. Analysis Sectors and Markets Systems by Collecting Pro-poor Relevant Data _x000a_3. C S monitoring matrix Target and Results_x000a_4. Gender Report for SDC-Shomoshti Project_x000a_5. Inception final Report_x000a_6. Baseline report"/>
    <n v="22496"/>
    <n v="76486"/>
    <n v="3.3999822190611666"/>
    <n v="0.64144736842105265"/>
    <n v="0.45743011793007871"/>
    <n v="14430"/>
    <n v="34987"/>
    <s v=""/>
    <n v="0"/>
    <n v="0"/>
    <s v=""/>
    <n v="1"/>
    <n v="22496"/>
    <n v="76486"/>
    <n v="3.3999822190611666"/>
    <s v=""/>
    <n v="0"/>
    <n v="0"/>
    <s v=""/>
    <s v=""/>
    <n v="0"/>
    <n v="0"/>
    <s v=""/>
    <n v="1"/>
    <n v="22496"/>
    <n v="76486"/>
    <n v="3.3999822190611666"/>
    <s v="2. Sensitive"/>
    <s v="2. Accommodating"/>
    <s v="2. Sensitive"/>
    <s v="It tested new ways for fighting poverty, but did not measure results of innovation"/>
    <s v="Little or no advocacy"/>
    <s v="It linked and worked with strategic alliances and partners to take tested and effective solutions to scale"/>
  </r>
  <r>
    <x v="3"/>
    <x v="0"/>
    <m/>
    <s v="SDC – Shomoshti, Prosperity for the poor and disadvantaged"/>
    <s v="Bangladesh"/>
    <s v="SDCXBD0010"/>
    <s v="CARE USA"/>
    <s v="Corporation"/>
    <s v="Government - Switzerland"/>
    <s v="Swiss Agency for Development and Cooperation (SDC)"/>
    <m/>
    <m/>
    <m/>
    <m/>
    <m/>
    <m/>
    <m/>
    <m/>
    <m/>
    <m/>
    <m/>
    <m/>
    <m/>
    <m/>
    <m/>
    <m/>
    <m/>
    <m/>
    <m/>
    <m/>
    <m/>
    <m/>
    <m/>
    <m/>
    <m/>
    <m/>
    <m/>
    <m/>
    <m/>
    <m/>
    <m/>
    <m/>
    <m/>
    <m/>
    <m/>
    <m/>
    <m/>
    <m/>
    <m/>
    <m/>
    <m/>
    <m/>
    <m/>
    <m/>
    <m/>
    <d v="2017-04-01T00:00:00"/>
    <d v="2020-03-31T00:00:00"/>
    <m/>
    <s v="Development Access to and Control over Economic Resources"/>
    <n v="6240000"/>
    <s v="Giasuddin Talukder"/>
    <s v="Senior Team Leader"/>
    <s v="giasuddin.talukder@care.org"/>
    <s v="Md.Mizanur Rahman"/>
    <s v="Monitoring and Evaluation Specialist, SDC-Shomoshti Project"/>
    <s v="mizanur.rahman2@care.org"/>
    <s v="NO"/>
    <s v="YES"/>
    <s v="NO"/>
    <s v="Rural households improve their wellbeing as a result of greater income, dietary diversity and social service opportunities"/>
    <s v="Sub-National"/>
    <s v="Northwest: Kurigram, Lalmonirhat, Nilphamari, Dinajpur, Rangpur and  Gaibandha;  _x000a_Mid north west: Natore and Rajshahi; _x000a_Southwest: Sunamgonj, Moulavibazar and  Sylhet; _x000a_Northeast:  Khulna, Jessore and Shatkhira"/>
    <s v="Poor, disadvantaged and marginalized women households"/>
    <n v="54000"/>
    <n v="146000"/>
    <n v="180000"/>
    <n v="341407"/>
    <n v="270593"/>
    <n v="612000"/>
    <s v="Direct participants are the directly impacted household by the project intervention (in this case one person from each household considered as direct participants). The indirect participans are calculated by multiplying the average members of each household (in this case an average of 4.4 per household collected from national average household) with the number of households."/>
    <m/>
    <m/>
    <m/>
    <m/>
    <m/>
    <m/>
    <m/>
    <m/>
    <m/>
    <m/>
    <m/>
    <m/>
    <m/>
    <m/>
    <m/>
    <m/>
    <m/>
    <m/>
    <m/>
    <m/>
    <m/>
    <m/>
    <m/>
    <m/>
    <m/>
    <m/>
    <m/>
    <m/>
    <m/>
    <m/>
    <m/>
    <m/>
    <m/>
    <m/>
    <m/>
    <m/>
    <m/>
    <m/>
    <m/>
    <m/>
    <m/>
    <m/>
    <m/>
    <m/>
    <m/>
    <m/>
    <m/>
    <m/>
    <m/>
    <m/>
    <m/>
    <m/>
    <m/>
    <m/>
    <m/>
    <m/>
    <m/>
    <m/>
    <m/>
    <m/>
    <n v="0"/>
    <n v="0"/>
    <n v="0"/>
    <n v="0"/>
    <n v="0"/>
    <n v="0"/>
    <s v="NO"/>
    <m/>
    <m/>
    <m/>
    <s v="NO"/>
    <m/>
    <m/>
    <m/>
    <s v="NO"/>
    <m/>
    <m/>
    <m/>
    <s v="NO"/>
    <m/>
    <m/>
    <m/>
    <s v="NO"/>
    <m/>
    <m/>
    <m/>
    <s v="NO"/>
    <m/>
    <m/>
    <m/>
    <s v="NO"/>
    <m/>
    <m/>
    <m/>
    <s v="NO"/>
    <m/>
    <m/>
    <m/>
    <s v="NO"/>
    <m/>
    <m/>
    <m/>
    <s v="NO"/>
    <m/>
    <m/>
    <m/>
    <s v="NO"/>
    <m/>
    <m/>
    <m/>
    <s v="NO"/>
    <m/>
    <m/>
    <m/>
    <s v="NO"/>
    <m/>
    <m/>
    <m/>
    <s v="NO"/>
    <m/>
    <m/>
    <m/>
    <s v="NO"/>
    <m/>
    <m/>
    <m/>
    <s v="NO"/>
    <m/>
    <m/>
    <m/>
    <m/>
    <m/>
    <m/>
    <m/>
    <m/>
    <s v="YES"/>
    <s v="February"/>
    <n v="2017"/>
    <s v="NO"/>
    <s v="YES"/>
    <s v="July"/>
    <n v="2018"/>
    <s v="Project baseline complete n February 2017 and plan to conduct midterm evaluation on July 2018 and also has plan to end line study on the last quarter of project."/>
    <x v="0"/>
    <s v="NO"/>
    <s v="NO"/>
    <s v="YES"/>
    <s v="YES"/>
    <s v="NO"/>
    <s v="NO"/>
    <s v="NO"/>
    <s v="NO"/>
    <m/>
    <x v="0"/>
    <m/>
    <x v="1"/>
    <m/>
    <x v="0"/>
    <x v="0"/>
    <s v="YES"/>
    <x v="0"/>
    <x v="0"/>
    <x v="0"/>
    <x v="0"/>
    <n v="4"/>
    <x v="1"/>
    <x v="1"/>
    <x v="1"/>
    <x v="1"/>
    <x v="1"/>
    <x v="1"/>
    <n v="4"/>
    <x v="1"/>
    <x v="1"/>
    <x v="1"/>
    <x v="1"/>
    <x v="1"/>
    <n v="3"/>
    <x v="0"/>
    <x v="2"/>
    <n v="5"/>
    <s v="Local NGO(s)/CSO(s)"/>
    <m/>
    <m/>
    <x v="1"/>
    <m/>
    <m/>
    <s v="Participatory Poverty Analysis (PPA) process"/>
    <s v="M4P approach"/>
    <s v="Cmss Model"/>
    <s v="To early to say any learning"/>
    <m/>
    <m/>
    <m/>
    <s v="1. Project Proposal revised _SDC-Shomoshti project_x000a_2. Analysis Sectors and Markets Systems by Collecting Pro-poor Relevant Data _x000a_3. Gender Report for SDC-Shomoshti Project_x000a_4. Baseline report"/>
    <n v="0"/>
    <n v="0"/>
    <s v=""/>
    <s v=""/>
    <s v=""/>
    <n v="0"/>
    <n v="0"/>
    <s v=""/>
    <n v="0"/>
    <n v="0"/>
    <s v=""/>
    <s v=""/>
    <n v="0"/>
    <n v="0"/>
    <s v=""/>
    <s v=""/>
    <n v="0"/>
    <n v="0"/>
    <s v=""/>
    <s v=""/>
    <n v="0"/>
    <n v="0"/>
    <s v=""/>
    <s v=""/>
    <n v="0"/>
    <n v="0"/>
    <s v=""/>
    <s v="2. Sensitive"/>
    <s v="2. Accommodating"/>
    <s v="2. Sensitive"/>
    <s v="It did not develop any specific innovation"/>
    <s v="Little or no advocacy"/>
    <s v="It linked and worked with strategic alliances and partners to take tested and effective solutions to scale"/>
  </r>
  <r>
    <x v="3"/>
    <x v="0"/>
    <n v="2775"/>
    <s v="SHOUHARDO III"/>
    <s v="Bangladesh"/>
    <s v="UFFPBD0034, UFFPBD0035, UFFPBD0036"/>
    <s v="CARE USA"/>
    <s v="Government"/>
    <s v="Government - US"/>
    <s v="CARE USA"/>
    <s v="CARE USA"/>
    <s v="Government"/>
    <s v="Other"/>
    <s v="Other"/>
    <s v="Government of Bangladesh"/>
    <m/>
    <m/>
    <m/>
    <m/>
    <m/>
    <m/>
    <m/>
    <m/>
    <m/>
    <m/>
    <m/>
    <m/>
    <m/>
    <m/>
    <m/>
    <m/>
    <m/>
    <m/>
    <m/>
    <m/>
    <m/>
    <m/>
    <m/>
    <m/>
    <m/>
    <m/>
    <m/>
    <m/>
    <m/>
    <m/>
    <m/>
    <m/>
    <m/>
    <m/>
    <m/>
    <m/>
    <m/>
    <m/>
    <m/>
    <m/>
    <d v="2015-09-29T00:00:00"/>
    <d v="2020-09-28T00:00:00"/>
    <m/>
    <s v="Humanitarian Food &amp; Nutrition Security and Resilience to Climate Change"/>
    <n v="8800000"/>
    <s v="Walter Mwasaa"/>
    <s v="Chief of Party"/>
    <s v="walter.mwasaa@care.org"/>
    <s v="H.J.M. Kamal"/>
    <s v="Deputy Chief of Party"/>
    <s v="hjm.kamal@care.org"/>
    <s v="YES"/>
    <s v="YES"/>
    <s v="YES"/>
    <s v=" Improved gender equitable food and nutrition security and resilience of the vulnerable people living in the Char and Haor in Bangladesh by 2020"/>
    <s v="Sub-National"/>
    <s v="Number of Districts-08 (Kurigram, Gaibandha, Sirajganj, Jamalpur, Netrakona, Habiganj, Kishoreganj, Sunamganj) and 23 Upazila"/>
    <s v="Poor and Extreme Poor (PEP) households in 08 district of  the vulnerable Char and Haor area in Bangladesh"/>
    <n v="280602"/>
    <n v="126398"/>
    <n v="407000"/>
    <n v="55573"/>
    <n v="212283"/>
    <n v="267856"/>
    <s v="SHOUHARDO III conduct a census survey and found a Total of 674,856 Poor and Extreme poor participants in the working area. Program has plan to direct reached 407000 participants within the program period. And rest of the 267856 participants will indirectly benefited from direct particpants."/>
    <m/>
    <n v="2778"/>
    <n v="2938"/>
    <n v="5716"/>
    <n v="9678"/>
    <n v="9756"/>
    <n v="19434"/>
    <s v="NO"/>
    <m/>
    <m/>
    <m/>
    <s v="NO"/>
    <m/>
    <m/>
    <m/>
    <s v="NO"/>
    <m/>
    <m/>
    <m/>
    <s v="NO"/>
    <m/>
    <m/>
    <m/>
    <s v="NO"/>
    <m/>
    <m/>
    <m/>
    <s v="NO"/>
    <m/>
    <m/>
    <m/>
    <s v="NO"/>
    <m/>
    <m/>
    <m/>
    <s v="NO"/>
    <m/>
    <m/>
    <m/>
    <s v="NO"/>
    <m/>
    <m/>
    <m/>
    <s v="NO"/>
    <m/>
    <m/>
    <m/>
    <s v="YES"/>
    <n v="5716"/>
    <n v="0.49"/>
    <n v="19434"/>
    <s v="YES"/>
    <n v="5716"/>
    <n v="0.49"/>
    <n v="19434"/>
    <m/>
    <m/>
    <m/>
    <m/>
    <m/>
    <n v="142950"/>
    <n v="50068"/>
    <n v="193018"/>
    <n v="159428"/>
    <n v="160708"/>
    <n v="320136"/>
    <s v="YES"/>
    <n v="62580"/>
    <n v="0.69"/>
    <n v="212772"/>
    <s v="NO"/>
    <m/>
    <m/>
    <m/>
    <s v="NO"/>
    <m/>
    <m/>
    <m/>
    <s v="YES"/>
    <n v="4663"/>
    <n v="0.36"/>
    <n v="15854"/>
    <s v="YES"/>
    <n v="43243"/>
    <n v="1"/>
    <n v="147026"/>
    <s v="NO"/>
    <m/>
    <m/>
    <m/>
    <s v="YES"/>
    <n v="63904"/>
    <n v="0.77"/>
    <n v="87601"/>
    <s v="NO"/>
    <m/>
    <m/>
    <m/>
    <s v="NO"/>
    <m/>
    <m/>
    <m/>
    <s v="YES"/>
    <n v="103306"/>
    <n v="0.77"/>
    <n v="177524"/>
    <s v="YES"/>
    <n v="602"/>
    <n v="0.53"/>
    <n v="837"/>
    <s v="NO"/>
    <m/>
    <m/>
    <m/>
    <s v="YES"/>
    <n v="9831"/>
    <n v="0.56999999999999995"/>
    <n v="33425"/>
    <s v="NO"/>
    <m/>
    <m/>
    <m/>
    <s v="NO"/>
    <m/>
    <m/>
    <m/>
    <s v="YES"/>
    <n v="32559"/>
    <n v="1"/>
    <n v="110287"/>
    <m/>
    <m/>
    <m/>
    <m/>
    <m/>
    <s v="NO"/>
    <m/>
    <m/>
    <s v="NO"/>
    <s v="YES"/>
    <s v="March"/>
    <n v="2018"/>
    <s v="The methods employed will sample the participant population. The MTE will take place approximately during March-May 2018. CARE will finalize the timing of the MTE data collection after consultation with and approval of the AoR and the USAID Mission. The midterm evaluation will be managed by CARE through an externally contracted third party firm."/>
    <x v="1"/>
    <s v="YES"/>
    <s v="NO"/>
    <s v="NO"/>
    <s v="YES"/>
    <s v="NO"/>
    <s v="NO"/>
    <s v="YES"/>
    <s v="NO"/>
    <m/>
    <x v="1"/>
    <s v="VSLA and FFBS model"/>
    <x v="3"/>
    <s v="Program advisory and Coordination Committee (PACC) meeting"/>
    <x v="1"/>
    <x v="0"/>
    <s v="YES"/>
    <x v="0"/>
    <x v="0"/>
    <x v="0"/>
    <x v="0"/>
    <n v="4"/>
    <x v="1"/>
    <x v="1"/>
    <x v="1"/>
    <x v="1"/>
    <x v="1"/>
    <x v="1"/>
    <n v="4"/>
    <x v="3"/>
    <x v="1"/>
    <x v="1"/>
    <x v="1"/>
    <x v="4"/>
    <n v="3"/>
    <x v="0"/>
    <x v="2"/>
    <n v="6"/>
    <s v="Local NGO(s)/CSO(s)"/>
    <m/>
    <m/>
    <x v="0"/>
    <s v="Provide technical support to form Village development committee (VDC) continuing their regular activity with local government institute"/>
    <s v="During this period program refined strategy and finalized LOA activity plan"/>
    <s v="VSLA"/>
    <s v="FFBS"/>
    <s v="Engage men and boys and Influence local decision makers"/>
    <s v="Procurement of maize seed as a group has given the farmers better negotiation with seed vendors. The vendors provided follow up visits to the farmers’ fields and provided tips to solve problems."/>
    <s v="Established better linkages with GoB departments through holding USCC, DSCC and Divisional PACC meeting and updating them on program progress. By tapping them and working with them closely, sustainability planning can be done earlier to ensure smooth transition in service delivery in program areas."/>
    <s v="Vegetables and maize cultivation may be more profitable than rice cultivation considering early flash floods, particularly in Haor region."/>
    <m/>
    <s v="1) FINAL REPORT Baseline Study of Food for Peace Development Food Assistance Projects in Bangladesh_x000a_2) CARE Gender Marker Vetting Form_x000a_3) CARE Resilience Marker Vetting Form_x000a_4) CARE Inclusive Goverrnance Marker Vetting Form"/>
    <n v="193018"/>
    <n v="320136"/>
    <n v="1.6585810649783959"/>
    <n v="0.74060450320695481"/>
    <n v="0.49800084963890345"/>
    <n v="142950"/>
    <n v="159428"/>
    <n v="1"/>
    <n v="5716"/>
    <n v="19434"/>
    <n v="3.3999300209937018"/>
    <n v="1"/>
    <n v="63904"/>
    <n v="212772"/>
    <n v="3.3295568352528795"/>
    <s v=""/>
    <n v="0"/>
    <n v="0"/>
    <s v=""/>
    <s v=""/>
    <n v="0"/>
    <n v="0"/>
    <s v=""/>
    <n v="1"/>
    <n v="43243"/>
    <n v="147026"/>
    <n v="3.3999953749739844"/>
    <s v="2. Sensitive"/>
    <s v="2. Accommodating"/>
    <s v="4. Transformative"/>
    <s v="It tested new ways for fighting poverty, but did not measure results of innovation"/>
    <s v="Moderate advocacy"/>
    <s v="It took tested solutions to scale on its own"/>
  </r>
  <r>
    <x v="3"/>
    <x v="0"/>
    <n v="2780"/>
    <s v="Social and Economic Transformation of the Ultra-poor (SETU) Phase II"/>
    <s v="Bangladesh"/>
    <s v="HILXBD0014"/>
    <s v="CARE USA"/>
    <s v="Government"/>
    <s v="Government - UK"/>
    <s v="DFID"/>
    <s v="HILXBD0015"/>
    <s v="CARE USA"/>
    <s v="Government"/>
    <s v="Other"/>
    <s v="Government of Bangladesh"/>
    <s v="HILXBD0016"/>
    <s v="CARE USA"/>
    <s v="Government"/>
    <s v="Government - Switzerland"/>
    <s v="Swiss Agency for Development and Cooperation (SDC)"/>
    <m/>
    <m/>
    <m/>
    <m/>
    <m/>
    <m/>
    <m/>
    <m/>
    <m/>
    <m/>
    <m/>
    <m/>
    <m/>
    <m/>
    <m/>
    <m/>
    <m/>
    <m/>
    <m/>
    <m/>
    <m/>
    <m/>
    <m/>
    <m/>
    <m/>
    <m/>
    <m/>
    <m/>
    <m/>
    <m/>
    <m/>
    <m/>
    <m/>
    <m/>
    <m/>
    <d v="2012-03-01T00:00:00"/>
    <d v="2015-12-31T00:00:00"/>
    <d v="2016-08-31T00:00:00"/>
    <s v="Development Access to and Control over Economic Resources"/>
    <n v="9090303"/>
    <s v="Abdul Matin Sharder"/>
    <s v="Team Leader, AECM"/>
    <s v="AbdulMatin.Shardar@care.org"/>
    <s v="AbdulMatin.Shardar@care.org"/>
    <s v="Anowarul Haq"/>
    <s v="Anowarul.Haq@care.org"/>
    <s v="NO"/>
    <s v="YES"/>
    <s v="NO"/>
    <s v="Goal: &quot;Government of Bangladesh MDG targets 1 and 2 on income poverty reduction and hunger achieved by 2015&quot;. Purpose: '45,000 extreme poor beneficiary households of north-west Bangladesh will be economically, socially and politically empowered'."/>
    <s v="Sub-National"/>
    <s v="Four districts of northwest of Bangladesh namely Rangpur, Gaibandha, Lalmonirhat and Nilphamari."/>
    <s v="Rural extremely poor women, men and children who may be economically active or dependent, and highly marginalised and vulnerable due to factors of economic, social and_x000a_ political exclusion, which sustain them in the bottom 10% of society."/>
    <n v="77551"/>
    <n v="72074"/>
    <n v="149625"/>
    <n v="86483"/>
    <n v="79881"/>
    <n v="166364"/>
    <s v="Direct participant who are benefitated from the project and indirect participant household member of the benefitated participant"/>
    <m/>
    <m/>
    <m/>
    <m/>
    <m/>
    <m/>
    <m/>
    <m/>
    <m/>
    <m/>
    <m/>
    <m/>
    <m/>
    <m/>
    <m/>
    <m/>
    <m/>
    <m/>
    <m/>
    <m/>
    <m/>
    <m/>
    <m/>
    <m/>
    <m/>
    <m/>
    <m/>
    <m/>
    <m/>
    <m/>
    <m/>
    <m/>
    <m/>
    <m/>
    <m/>
    <m/>
    <m/>
    <m/>
    <m/>
    <m/>
    <m/>
    <m/>
    <m/>
    <m/>
    <m/>
    <m/>
    <m/>
    <m/>
    <m/>
    <m/>
    <m/>
    <m/>
    <m/>
    <m/>
    <m/>
    <m/>
    <m/>
    <m/>
    <m/>
    <m/>
    <m/>
    <m/>
    <m/>
    <m/>
    <m/>
    <m/>
    <s v="NO"/>
    <m/>
    <m/>
    <m/>
    <s v="NO"/>
    <m/>
    <m/>
    <m/>
    <s v="NO"/>
    <m/>
    <m/>
    <m/>
    <s v="NO"/>
    <m/>
    <m/>
    <m/>
    <s v="NO"/>
    <m/>
    <m/>
    <m/>
    <s v="NO"/>
    <m/>
    <m/>
    <m/>
    <s v="NO"/>
    <m/>
    <m/>
    <m/>
    <s v="NO"/>
    <m/>
    <m/>
    <m/>
    <s v="NO"/>
    <m/>
    <m/>
    <m/>
    <s v="NO"/>
    <m/>
    <m/>
    <m/>
    <s v="NO"/>
    <m/>
    <m/>
    <m/>
    <s v="NO"/>
    <m/>
    <m/>
    <m/>
    <s v="NO"/>
    <m/>
    <m/>
    <m/>
    <s v="NO"/>
    <m/>
    <m/>
    <m/>
    <s v="NO"/>
    <m/>
    <m/>
    <m/>
    <s v="NO"/>
    <m/>
    <m/>
    <m/>
    <m/>
    <s v="NO"/>
    <m/>
    <m/>
    <m/>
    <s v="NO"/>
    <m/>
    <m/>
    <s v="NO"/>
    <s v="NO"/>
    <m/>
    <m/>
    <m/>
    <x v="0"/>
    <s v="NO"/>
    <s v="NO"/>
    <s v="NO"/>
    <s v="NO"/>
    <s v="NO"/>
    <s v="NO"/>
    <s v="NO"/>
    <s v="NO"/>
    <m/>
    <x v="2"/>
    <m/>
    <x v="1"/>
    <m/>
    <x v="1"/>
    <x v="0"/>
    <s v="YES"/>
    <x v="0"/>
    <x v="0"/>
    <x v="1"/>
    <x v="1"/>
    <n v="3"/>
    <x v="2"/>
    <x v="1"/>
    <x v="1"/>
    <x v="1"/>
    <x v="1"/>
    <x v="2"/>
    <n v="4"/>
    <x v="1"/>
    <x v="1"/>
    <x v="1"/>
    <x v="1"/>
    <x v="1"/>
    <n v="3"/>
    <x v="2"/>
    <x v="3"/>
    <n v="5"/>
    <s v="Local NGO(s)/CSO(s)"/>
    <s v="Private sector"/>
    <s v="Local government(s)"/>
    <x v="0"/>
    <m/>
    <s v="The project only had two closing months during this reporting period. So there was no changes happened here."/>
    <s v="between CARE and respective entrepreneur; and some others were employed in CARE-facilitated social enterprise, e.g. NCVI/Living Blue."/>
    <s v="development of community groups, and economic empowerment."/>
    <s v="handed over to the respective UP so that they can continue monitoring and supporting after the end of this project."/>
    <s v="change in lives of project beneficiaries."/>
    <s v="logically sequenced and mutually reinforcing. Also, balancing between community-led and market-led interventions is of critical importance."/>
    <s v="input support in installments (at least two) can be more effective in asset and capital management for IGAs using input support."/>
    <s v="To strengthen household resilience against health shocks, CARE has taken an initiative of ‘micro health insurance’ for SETU beneficiaries. A total of 2477 BHHs enrolled in 100 community-based savings groups have been brought under micro health insurance support. This insurance was not included in the original plan, CARE planned for this initiative while it was planning for the extension (NCE) phase. CARE has signed a MoU with Pragati Life Insurance Limited. The insurance coverage started on August 10, 2016. The insured members are receiving health services from NHSDP Smiling Sun Clinics (in Rangpur, Lalmonirhat and Nilphamari Districts) and Marie Stopes Clinics (in Gaibandha District) under this insurance coverage. _x000a_Partner organization implementing the 60% of total worked."/>
    <m/>
    <n v="0"/>
    <n v="0"/>
    <s v=""/>
    <s v=""/>
    <s v=""/>
    <n v="0"/>
    <n v="0"/>
    <s v=""/>
    <n v="0"/>
    <n v="0"/>
    <s v=""/>
    <s v=""/>
    <n v="0"/>
    <n v="0"/>
    <s v=""/>
    <s v=""/>
    <n v="0"/>
    <n v="0"/>
    <s v=""/>
    <s v=""/>
    <n v="0"/>
    <n v="0"/>
    <s v=""/>
    <s v=""/>
    <n v="0"/>
    <n v="0"/>
    <s v=""/>
    <s v="1. Neutral"/>
    <s v="4. Transformational"/>
    <s v="2. Sensitive"/>
    <s v="It tested new ways for fighting poverty and measured results of innovation"/>
    <s v="Little or no advocacy"/>
    <s v="It linked and worked with strategic alliances and partners to take tested and effective solutions to scale"/>
  </r>
  <r>
    <x v="3"/>
    <x v="0"/>
    <m/>
    <s v="Strengthening Multisectoral Nutrition Programming through Implementation Science Activity"/>
    <s v="Bangladesh"/>
    <s v="FHIXBD0001"/>
    <s v="CARE USA"/>
    <s v="Other"/>
    <s v="Other"/>
    <s v="FHI360"/>
    <s v="FHIXBD0001"/>
    <s v="CARE USA"/>
    <s v="Government"/>
    <s v="Government - US"/>
    <s v="USAID"/>
    <m/>
    <m/>
    <m/>
    <m/>
    <m/>
    <m/>
    <m/>
    <m/>
    <m/>
    <m/>
    <m/>
    <m/>
    <m/>
    <m/>
    <m/>
    <m/>
    <m/>
    <m/>
    <m/>
    <m/>
    <m/>
    <m/>
    <m/>
    <m/>
    <m/>
    <m/>
    <m/>
    <m/>
    <m/>
    <m/>
    <m/>
    <m/>
    <m/>
    <m/>
    <m/>
    <m/>
    <m/>
    <m/>
    <m/>
    <m/>
    <d v="2017-06-01T00:00:00"/>
    <d v="2021-12-31T00:00:00"/>
    <m/>
    <s v="Development Other"/>
    <n v="2966462"/>
    <s v="Dr. Jahangir Hossain"/>
    <s v="Program Director-Health"/>
    <s v="jahagir.hossain@care.org"/>
    <s v="Dr. Sheikh Shahed Rahman"/>
    <s v="National Nutrition Coordinator"/>
    <s v="SheikhShahed.Rahman@care.org"/>
    <s v="NO"/>
    <s v="YES"/>
    <s v="NO"/>
    <s v="To improve nutrtional status of women and children under 5"/>
    <s v="Sub-National"/>
    <s v="South west part of Bangladesh. 13 districts: Barguna, Barisal, Patuakhali, Pirojpur, Bagerhat, Chuadanga, Jessore, Jhenaidah, Khulna, Kushtia, Meherpur, Narail, Satkhira"/>
    <s v="Adoelscent, women of reproductive age and children under 2"/>
    <n v="14508"/>
    <n v="14579"/>
    <n v="28587"/>
    <n v="48302"/>
    <n v="50274"/>
    <n v="98576"/>
    <s v="Direct participants are: the adolescent married women and pregnant women, lacating women and children under 2; Indirect participants are other family members of the households from where the adolescent married women are selected."/>
    <m/>
    <m/>
    <m/>
    <m/>
    <m/>
    <m/>
    <m/>
    <m/>
    <m/>
    <m/>
    <m/>
    <m/>
    <m/>
    <m/>
    <m/>
    <m/>
    <m/>
    <m/>
    <m/>
    <m/>
    <m/>
    <m/>
    <m/>
    <m/>
    <m/>
    <m/>
    <m/>
    <m/>
    <m/>
    <m/>
    <m/>
    <m/>
    <m/>
    <m/>
    <m/>
    <m/>
    <m/>
    <m/>
    <m/>
    <m/>
    <m/>
    <m/>
    <m/>
    <m/>
    <m/>
    <m/>
    <m/>
    <m/>
    <m/>
    <m/>
    <m/>
    <m/>
    <m/>
    <m/>
    <m/>
    <m/>
    <m/>
    <m/>
    <m/>
    <m/>
    <n v="0"/>
    <n v="0"/>
    <n v="0"/>
    <n v="0"/>
    <n v="0"/>
    <n v="0"/>
    <s v="NO"/>
    <m/>
    <m/>
    <m/>
    <s v="NO"/>
    <m/>
    <m/>
    <m/>
    <s v="NO"/>
    <m/>
    <m/>
    <m/>
    <s v="NO"/>
    <m/>
    <m/>
    <m/>
    <s v="NO"/>
    <m/>
    <m/>
    <m/>
    <s v="NO"/>
    <m/>
    <m/>
    <m/>
    <s v="NO"/>
    <m/>
    <m/>
    <m/>
    <s v="NO"/>
    <m/>
    <m/>
    <m/>
    <s v="NO"/>
    <m/>
    <m/>
    <m/>
    <s v="NO"/>
    <m/>
    <m/>
    <m/>
    <s v="NO"/>
    <m/>
    <m/>
    <m/>
    <s v="NO"/>
    <m/>
    <m/>
    <m/>
    <s v="NO"/>
    <m/>
    <m/>
    <m/>
    <s v="NO"/>
    <m/>
    <m/>
    <m/>
    <s v="NO"/>
    <m/>
    <m/>
    <m/>
    <s v="NO"/>
    <m/>
    <m/>
    <m/>
    <m/>
    <m/>
    <m/>
    <m/>
    <m/>
    <s v="NO"/>
    <m/>
    <m/>
    <s v="NO"/>
    <s v="NO"/>
    <m/>
    <m/>
    <s v="This project is a randomized Controlled Trial to see the effectiveness of multosectoral approach and its impact on child nutritional improvement"/>
    <x v="0"/>
    <m/>
    <m/>
    <m/>
    <m/>
    <m/>
    <m/>
    <m/>
    <m/>
    <m/>
    <x v="0"/>
    <m/>
    <x v="2"/>
    <m/>
    <x v="1"/>
    <x v="2"/>
    <m/>
    <x v="2"/>
    <x v="2"/>
    <x v="2"/>
    <x v="3"/>
    <n v="0"/>
    <x v="0"/>
    <x v="0"/>
    <x v="0"/>
    <x v="0"/>
    <x v="0"/>
    <x v="0"/>
    <n v="0"/>
    <x v="0"/>
    <x v="0"/>
    <x v="0"/>
    <x v="0"/>
    <x v="0"/>
    <n v="0"/>
    <x v="1"/>
    <x v="4"/>
    <m/>
    <m/>
    <m/>
    <m/>
    <x v="3"/>
    <m/>
    <m/>
    <m/>
    <m/>
    <m/>
    <m/>
    <m/>
    <m/>
    <s v="We have awarded this project from June 2017, working on finalization of intervention that will be tested and inclued into the unified packaage of interventions (combination of multisectoral nutrition specific and sensitive interventions) in the Randomized Controlled Trial (RCT) to observe the cumulative impact on child growth and stunting of a"/>
    <s v="Project proposal"/>
    <n v="0"/>
    <n v="0"/>
    <s v=""/>
    <s v=""/>
    <s v=""/>
    <n v="0"/>
    <n v="0"/>
    <s v=""/>
    <n v="0"/>
    <n v="0"/>
    <s v=""/>
    <s v=""/>
    <n v="0"/>
    <n v="0"/>
    <s v=""/>
    <s v=""/>
    <n v="0"/>
    <n v="0"/>
    <s v=""/>
    <s v=""/>
    <n v="0"/>
    <n v="0"/>
    <s v=""/>
    <s v=""/>
    <n v="0"/>
    <n v="0"/>
    <s v=""/>
    <s v="No marker score"/>
    <s v="No marker score"/>
    <s v="No marker score"/>
    <s v="It did not develop any specific innovation"/>
    <s v="Little or no advocacy"/>
    <n v="0"/>
  </r>
  <r>
    <x v="3"/>
    <x v="0"/>
    <m/>
    <s v="Strengthening the Community Support System to Improve Maternal and Infant Health"/>
    <s v="Bangladesh"/>
    <s v="CUPFBD0006"/>
    <s v="CARE USA"/>
    <s v="Individual supporter"/>
    <s v="Other"/>
    <s v="David Whichs and Geoffrey Chorbajian"/>
    <m/>
    <m/>
    <m/>
    <m/>
    <m/>
    <m/>
    <m/>
    <m/>
    <m/>
    <m/>
    <m/>
    <m/>
    <m/>
    <m/>
    <m/>
    <m/>
    <m/>
    <m/>
    <m/>
    <m/>
    <m/>
    <m/>
    <m/>
    <m/>
    <m/>
    <m/>
    <m/>
    <m/>
    <m/>
    <m/>
    <m/>
    <m/>
    <m/>
    <m/>
    <m/>
    <m/>
    <m/>
    <m/>
    <m/>
    <m/>
    <m/>
    <m/>
    <m/>
    <m/>
    <m/>
    <d v="2015-11-04T00:00:00"/>
    <d v="2017-11-15T00:00:00"/>
    <m/>
    <s v="Development Sexual, Reproductive and Maternal Health (SRMH)"/>
    <n v="139217"/>
    <s v="Patlyn Gamble"/>
    <s v="Grants Coordinator"/>
    <s v="pgamble@care.org"/>
    <s v="Ahsanul Islam"/>
    <s v="Coodinator- HSS"/>
    <s v="ahsanul.islam@care.org"/>
    <s v="NO"/>
    <s v="YES"/>
    <s v="NO"/>
    <s v="The overall goal is to improve the health status of woman and children under age 5 of one poor-performing and remote district of Bangladesh"/>
    <s v="Sub-National"/>
    <s v="Gaibandha District, Bangladesh"/>
    <s v="During the two years project implementation period, the project will reach total 17,160 pregnant women and more than 20,000 under 5 children directly through health services"/>
    <n v="27160"/>
    <n v="10000"/>
    <n v="37160"/>
    <n v="50000"/>
    <n v="50000"/>
    <n v="100000"/>
    <s v="Direct participant are how received direct treatment and indirect participant who received health messages and counseling."/>
    <m/>
    <m/>
    <m/>
    <m/>
    <m/>
    <m/>
    <m/>
    <m/>
    <m/>
    <m/>
    <m/>
    <m/>
    <m/>
    <m/>
    <m/>
    <m/>
    <m/>
    <m/>
    <m/>
    <m/>
    <m/>
    <m/>
    <m/>
    <m/>
    <m/>
    <m/>
    <m/>
    <m/>
    <m/>
    <m/>
    <m/>
    <m/>
    <m/>
    <m/>
    <m/>
    <m/>
    <m/>
    <m/>
    <m/>
    <m/>
    <m/>
    <m/>
    <m/>
    <m/>
    <m/>
    <m/>
    <m/>
    <m/>
    <m/>
    <m/>
    <m/>
    <m/>
    <m/>
    <m/>
    <m/>
    <m/>
    <m/>
    <m/>
    <m/>
    <m/>
    <n v="27160"/>
    <n v="5689"/>
    <n v="32849"/>
    <n v="54320"/>
    <n v="11378"/>
    <n v="65698"/>
    <s v="NO"/>
    <m/>
    <m/>
    <m/>
    <s v="NO"/>
    <m/>
    <m/>
    <m/>
    <s v="NO"/>
    <m/>
    <m/>
    <m/>
    <s v="NO"/>
    <m/>
    <m/>
    <m/>
    <s v="NO"/>
    <m/>
    <m/>
    <m/>
    <s v="NO"/>
    <m/>
    <m/>
    <m/>
    <s v="NO"/>
    <m/>
    <m/>
    <m/>
    <s v="NO"/>
    <m/>
    <m/>
    <m/>
    <s v="NO"/>
    <m/>
    <m/>
    <m/>
    <s v="YES"/>
    <n v="27160"/>
    <n v="0.83"/>
    <n v="65698"/>
    <s v="NO"/>
    <m/>
    <m/>
    <m/>
    <s v="NO"/>
    <m/>
    <m/>
    <m/>
    <s v="NO"/>
    <m/>
    <m/>
    <m/>
    <s v="YES"/>
    <n v="27160"/>
    <n v="0.83"/>
    <n v="65698"/>
    <s v="NO"/>
    <m/>
    <m/>
    <m/>
    <s v="NO"/>
    <m/>
    <m/>
    <m/>
    <m/>
    <m/>
    <m/>
    <m/>
    <m/>
    <s v="NO"/>
    <m/>
    <m/>
    <s v="NO"/>
    <s v="NO"/>
    <m/>
    <m/>
    <m/>
    <x v="1"/>
    <s v="NO"/>
    <s v="NO"/>
    <s v="YES"/>
    <s v="NO"/>
    <s v="NO"/>
    <s v="NO"/>
    <s v="NO"/>
    <s v="NO"/>
    <m/>
    <x v="0"/>
    <m/>
    <x v="1"/>
    <s v="featured a community support system (CmSS) approach"/>
    <x v="0"/>
    <x v="1"/>
    <s v="NO"/>
    <x v="0"/>
    <x v="0"/>
    <x v="1"/>
    <x v="4"/>
    <n v="2"/>
    <x v="1"/>
    <x v="2"/>
    <x v="1"/>
    <x v="1"/>
    <x v="1"/>
    <x v="1"/>
    <n v="3"/>
    <x v="1"/>
    <x v="1"/>
    <x v="1"/>
    <x v="1"/>
    <x v="1"/>
    <n v="3"/>
    <x v="0"/>
    <x v="1"/>
    <m/>
    <m/>
    <m/>
    <m/>
    <x v="2"/>
    <m/>
    <m/>
    <m/>
    <m/>
    <m/>
    <m/>
    <m/>
    <m/>
    <m/>
    <m/>
    <n v="32849"/>
    <n v="65698"/>
    <n v="2"/>
    <n v="0.82681360163170869"/>
    <n v="0.82681360163170869"/>
    <n v="27160"/>
    <n v="54320"/>
    <s v=""/>
    <n v="0"/>
    <n v="0"/>
    <s v=""/>
    <s v=""/>
    <n v="0"/>
    <n v="0"/>
    <s v=""/>
    <n v="1"/>
    <n v="27160"/>
    <n v="65698"/>
    <n v="2.4189248895434461"/>
    <s v=""/>
    <n v="0"/>
    <n v="0"/>
    <s v=""/>
    <s v=""/>
    <n v="0"/>
    <n v="0"/>
    <s v=""/>
    <s v="3. Responsive"/>
    <s v="2. Accommodating"/>
    <s v="2. Sensitive"/>
    <s v="It did not develop any specific innovation"/>
    <s v="Moderate advocacy"/>
    <s v="It linked and worked with strategic alliances and partners to take tested and effective solutions to scale"/>
  </r>
  <r>
    <x v="3"/>
    <x v="0"/>
    <n v="2779"/>
    <s v="Strengthening the Dairy Value Chain project II (SDVC II)"/>
    <s v="Bangladesh"/>
    <s v="GATEBD0016"/>
    <s v="CARE USA"/>
    <s v="Foundation"/>
    <s v="Bill &amp; Melinda Gates Foundation"/>
    <s v="Bill &amp; Melinda Gates Foundation"/>
    <s v="MSKWBD0001"/>
    <s v="CARE USA"/>
    <s v="Foundation"/>
    <s v="Other"/>
    <s v="Mosakawski Family Foundation"/>
    <m/>
    <m/>
    <m/>
    <m/>
    <m/>
    <m/>
    <m/>
    <m/>
    <m/>
    <m/>
    <m/>
    <m/>
    <m/>
    <m/>
    <m/>
    <m/>
    <m/>
    <m/>
    <m/>
    <m/>
    <m/>
    <m/>
    <m/>
    <m/>
    <m/>
    <m/>
    <m/>
    <m/>
    <m/>
    <m/>
    <m/>
    <m/>
    <m/>
    <m/>
    <m/>
    <m/>
    <m/>
    <m/>
    <m/>
    <m/>
    <d v="2013-01-01T00:00:00"/>
    <d v="2016-12-31T00:00:00"/>
    <m/>
    <s v="Development Access to and Control over Economic Resources"/>
    <n v="3914749"/>
    <s v="Anowarul Haq"/>
    <s v="Directior-Extreme Rural Poverty Program"/>
    <s v="anowarul.haq@care.org"/>
    <s v="Coordinator-Agriculture and Value Chain"/>
    <s v="ahmadsadequl.amin@care.org"/>
    <s v="ahmadsadequl.amin@care.org"/>
    <s v="NO"/>
    <s v="YES"/>
    <s v="NO"/>
    <s v="30,000 targeted smallholder dairy producers (approximately 70% women) in seven districts of North and Northwest Bangladesh have dairy household milk sales income increased by 75% and more sustainable livelihoods through their inclusion in a sustainable pro-poor Dairy Hub value chain model."/>
    <s v="Sub-National"/>
    <s v="Northwest Region of Bangladesh – Rangpur, Kurigram, Borga, Joypurhat,  Pabna, Natore and  Sirajgonj district"/>
    <s v="Smallholder dairy producers (70% women), competitive community-level service provision across input supplies and collection (Livestock Health Worker (LHW), Artificial Insemination Worker (AIW), Collection point manager), upgrading local level businesses (Input shop owner) and creating opportunities for women in more advantageous roles."/>
    <n v="21000"/>
    <n v="9000"/>
    <n v="30000"/>
    <n v="44932"/>
    <n v="45068"/>
    <n v="90000"/>
    <s v="Direct participants are the directly selected by the project Households (in this case 1 person from each household). The indirect participans are calculated by multiplying the average members of each house hold (in this case an average of 4 per household collected from national average household) with the number of households."/>
    <m/>
    <m/>
    <m/>
    <m/>
    <m/>
    <m/>
    <m/>
    <m/>
    <m/>
    <m/>
    <m/>
    <m/>
    <m/>
    <m/>
    <m/>
    <m/>
    <m/>
    <m/>
    <m/>
    <m/>
    <m/>
    <m/>
    <m/>
    <m/>
    <m/>
    <m/>
    <m/>
    <m/>
    <m/>
    <m/>
    <m/>
    <m/>
    <m/>
    <m/>
    <m/>
    <m/>
    <m/>
    <m/>
    <m/>
    <m/>
    <m/>
    <m/>
    <m/>
    <m/>
    <m/>
    <m/>
    <m/>
    <m/>
    <m/>
    <m/>
    <m/>
    <m/>
    <m/>
    <m/>
    <m/>
    <m/>
    <m/>
    <m/>
    <m/>
    <m/>
    <n v="0"/>
    <n v="0"/>
    <n v="0"/>
    <n v="0"/>
    <n v="0"/>
    <n v="0"/>
    <s v="NO"/>
    <m/>
    <m/>
    <m/>
    <s v="NO"/>
    <m/>
    <m/>
    <m/>
    <s v="NO"/>
    <m/>
    <m/>
    <m/>
    <s v="NO"/>
    <m/>
    <m/>
    <m/>
    <s v="NO"/>
    <m/>
    <m/>
    <m/>
    <s v="NO"/>
    <m/>
    <m/>
    <m/>
    <s v="NO"/>
    <m/>
    <m/>
    <m/>
    <s v="NO"/>
    <m/>
    <m/>
    <m/>
    <s v="NO"/>
    <m/>
    <m/>
    <m/>
    <s v="NO"/>
    <m/>
    <m/>
    <m/>
    <s v="NO"/>
    <m/>
    <m/>
    <m/>
    <s v="NO"/>
    <m/>
    <m/>
    <m/>
    <s v="NO"/>
    <m/>
    <m/>
    <m/>
    <s v="NO"/>
    <m/>
    <m/>
    <m/>
    <s v="NO"/>
    <m/>
    <m/>
    <m/>
    <s v="NO"/>
    <m/>
    <m/>
    <m/>
    <m/>
    <m/>
    <m/>
    <m/>
    <m/>
    <s v="YES"/>
    <s v="October"/>
    <n v="2016"/>
    <s v="YES"/>
    <s v="NO"/>
    <m/>
    <m/>
    <m/>
    <x v="1"/>
    <s v="NO"/>
    <s v="NO"/>
    <s v="YES"/>
    <s v="YES"/>
    <s v="YES"/>
    <s v="YES"/>
    <s v="NO"/>
    <s v="NO"/>
    <m/>
    <x v="2"/>
    <s v="1. Introducing Digital Fat Tester to create a transparent market system_x000a_2. Dairy hub model implementation for developing a better market system_x000a_3. Establishing Krishi Utsho microfrancise for better input market access"/>
    <x v="1"/>
    <s v="In particular SDVC I’s Digital Fat Testing (DFT) initiative expanded from 6 to 22 chilling plants and 16 to 89 collection points during the concomitant three year phase. The network of retail input shops is ensuring that farmers have timely and adequate access to necessary inputs such as quality feeds, tools, medicines, training and provides them with an opportunity to compete in fast-growing and ever changing markets. The initiative has been able to the serve the majority of the project beneficiaries and is also extending its services to other marginal farmers of the community._x000a_The DFT pilot results was shared with other big processors like MilkVita, PRAN, Grameen, and DANONE to create a better market portfolio and tap them into a systemized milk supply system, starting at the bottom of the pyramid. Impressive result has been observed as BRAC, the 2nd largest dairy processor is already initiated the replication of the model and till dates installed 48 of their 60 machines imported by their own initiative. The project also had project exit meeting with PRAN and they are very much enthusiastic about the replication of the model and seeking for CARE’s assistance in this regard. MilkVita the largest dairy processor of Bangladesh already imported few DFT systems to test the possibility of such."/>
    <x v="0"/>
    <x v="0"/>
    <s v="YES"/>
    <x v="0"/>
    <x v="0"/>
    <x v="0"/>
    <x v="0"/>
    <n v="4"/>
    <x v="1"/>
    <x v="1"/>
    <x v="1"/>
    <x v="1"/>
    <x v="1"/>
    <x v="1"/>
    <n v="4"/>
    <x v="1"/>
    <x v="1"/>
    <x v="1"/>
    <x v="1"/>
    <x v="1"/>
    <n v="3"/>
    <x v="0"/>
    <x v="2"/>
    <n v="1"/>
    <s v="Private sector"/>
    <m/>
    <m/>
    <x v="2"/>
    <m/>
    <s v="No adjustments and changes were made"/>
    <s v="Dairy Hub Model. Ref: Innovation brief: Dairy Hub Model Strategy"/>
    <s v="Participatory Performance Tracking. Ref: PPT Innovation Brief"/>
    <s v="ICT Application: GIS Innovation Brief"/>
    <s v="1. The testing, implementation and handover of sustainable and replicable technology required a well-focused iterative approach with private sector’s partners. At the beginning investing into testing the right prototype of fat testing technologies was a concern for the private sectors. A series of a successful piloting of the different technology prototypes helped build the confidence of the private sector to understand the benefit and reduced uncertainty. The process also helps to build the confidence of the associated teams to move forward. The successful implementation and shared value process developed the inner confidence and organizational strength of the private sector partner to finally carry over and to play more proactive role to run the technology smoothly in an independent manner. A formal handover process between CARE and BRAC has also built trust and confidence between private sector and technology user and it also made the private sector more accountable for their commitment. To speed up adoption it was necessary to have equipment, materials, as well as market and entrepreneurship development capacities available along with the transfer of knowledge and technology on improved practice. Absence of lab and testing facilities is still a major obstacle for ensuring service quality as well as service market development. Determining the causes of specific diseases, checking feed ingredient quality, and determining semen quality are still areas of interest for the producers and service providers to receive and offer improved service."/>
    <s v="2. Three components of dairy hub model are the dairy producers and their communities, digital milk collection points and input shops. Businesses of mentioned three parties are interdependent. Producers need to use the services of input shops to keep their cow healthy and to improve the quality of milk so that they can get better price from the DFT collection points. Meanwhile input shops need more farmers’ access to grow their business and the DFT collection point needs more quality milk to make more profit. So each associated parties have their own interest of benefit in this model. The interconnectedness of the three pillars were key to the success of the project deliverables. The project also needed to take specific attention to adopt the technology by producers as well. Producer’s communities have to be well oriented regarding the technology and its benefit. Then they needed to be well trained on production technology to produce and supply good quality product to attract the processors attention. To maintain continuous production flow convenient access to quality inputs and services must be ensured for farmers. Finally progress tracking and experience sharing with both parties can strengthen the adoption process."/>
    <s v="3. To understand how international market affects national milk market in relation to pricing and market saturation is a core trend to make the dairy farmers resilient. The first step of increasing resiliency is to analyze the market and orient the producers about the previous and possible upcoming trends and develop their capacity on alternative market linkage, smart and climate adaptive farm management practices, better negotiation and so on and how to handle each of those crisis in any given situation. From the first phase the project collected huge number of market data which helped the project to understand the market dynamics to orient the producers accordingly. In addition from the earlier stage project introduced savings to the producers groups and that was an advantage for them to run their farm during any unbalance market situation or overcome shocks. Fresh milk campaign posters, leaflets, dramas, rallies discussing milk consumption related topics and awareness on nutritional value of milk insist that producers maintain the minimum requirement of household demand as well as increase the household consumption with the increase of productivity. SDVC producers especially women are very much market aware and anxious about meeting the nutritional needs of their children and family members."/>
    <m/>
    <s v="https://www.dropbox.com/sh/dhcxgrda4wih6qg/AADtuBeFogGN6Glrg7tJO32Ca?dl=0"/>
    <n v="0"/>
    <n v="0"/>
    <s v=""/>
    <s v=""/>
    <s v=""/>
    <n v="0"/>
    <n v="0"/>
    <s v=""/>
    <n v="0"/>
    <n v="0"/>
    <s v=""/>
    <s v=""/>
    <n v="0"/>
    <n v="0"/>
    <s v=""/>
    <s v=""/>
    <n v="0"/>
    <n v="0"/>
    <s v=""/>
    <s v=""/>
    <n v="0"/>
    <n v="0"/>
    <s v=""/>
    <s v=""/>
    <n v="0"/>
    <n v="0"/>
    <s v=""/>
    <s v="2. Sensitive"/>
    <s v="2. Accommodating"/>
    <s v="2. Sensitive"/>
    <s v="It tested new ways for fighting poverty and measured results of innovation"/>
    <s v="Moderate advocacy"/>
    <s v="It linked and worked with strategic alliances and partners to take tested and effective solutions to scale"/>
  </r>
  <r>
    <x v="3"/>
    <x v="0"/>
    <m/>
    <s v="Supporting Bangladesh Rapid Needs Assessment (SUBARNA) Project"/>
    <s v="Bangladesh"/>
    <s v="CGBRBD0107"/>
    <s v="CARE UK"/>
    <s v="Government"/>
    <s v="Government - UK"/>
    <s v="DFID"/>
    <m/>
    <m/>
    <m/>
    <m/>
    <m/>
    <m/>
    <m/>
    <m/>
    <m/>
    <m/>
    <m/>
    <m/>
    <m/>
    <m/>
    <m/>
    <m/>
    <m/>
    <m/>
    <m/>
    <m/>
    <m/>
    <m/>
    <m/>
    <m/>
    <m/>
    <m/>
    <m/>
    <m/>
    <m/>
    <m/>
    <m/>
    <m/>
    <m/>
    <m/>
    <m/>
    <m/>
    <m/>
    <m/>
    <m/>
    <m/>
    <m/>
    <m/>
    <m/>
    <m/>
    <m/>
    <d v="2017-05-01T00:00:00"/>
    <d v="2020-09-30T00:00:00"/>
    <m/>
    <s v="Humanitarian Other"/>
    <n v="876571"/>
    <s v="Arshad Muhammad"/>
    <s v="Assistant Country Director"/>
    <s v="arshad.muhammad@care.org"/>
    <s v="Solitaire Morton"/>
    <s v="Emergency Programme Coordinator"/>
    <s v="smorton@careinternational.org"/>
    <s v="YES"/>
    <s v="YES"/>
    <s v="YES"/>
    <s v="To make significant contributions towards helping key stakeholders in Bangladesh develop a joint needs assessment framework"/>
    <s v="National"/>
    <s v="It's work enter Bangladesh"/>
    <s v="All humanitarian stakeholders in Bangladesh"/>
    <n v="390"/>
    <n v="300"/>
    <n v="690"/>
    <n v="2500000"/>
    <n v="2500000"/>
    <n v="5000000"/>
    <s v="The direct participants will the local and national level government representatives, UN, NGO, INGO members who will get training for their assessment capacity building. Indirect participant The logic is that where SUBARNA project’s assessment products are used they directly contribute to improved decision making and better responses for disaster-affected populations. It is also recognised that assessment is one part of the response plan and that funding availability, agency capacity and access will also shape a response. Specific attention to vulnerable groups has been included in the programme design."/>
    <m/>
    <n v="0"/>
    <n v="0"/>
    <n v="0"/>
    <n v="0"/>
    <n v="0"/>
    <n v="0"/>
    <s v="NO"/>
    <m/>
    <m/>
    <m/>
    <s v="NO"/>
    <m/>
    <m/>
    <m/>
    <s v="NO"/>
    <m/>
    <m/>
    <m/>
    <s v="NO"/>
    <m/>
    <m/>
    <m/>
    <s v="NO"/>
    <m/>
    <m/>
    <m/>
    <s v="NO"/>
    <m/>
    <m/>
    <m/>
    <s v="NO"/>
    <m/>
    <m/>
    <m/>
    <s v="NO"/>
    <m/>
    <m/>
    <m/>
    <s v="NO"/>
    <m/>
    <m/>
    <m/>
    <s v="NO"/>
    <m/>
    <m/>
    <m/>
    <s v="NO"/>
    <m/>
    <m/>
    <m/>
    <s v="NO"/>
    <m/>
    <m/>
    <m/>
    <m/>
    <m/>
    <m/>
    <m/>
    <m/>
    <m/>
    <m/>
    <m/>
    <m/>
    <m/>
    <m/>
    <s v="NO"/>
    <m/>
    <m/>
    <m/>
    <s v="NO"/>
    <m/>
    <m/>
    <m/>
    <s v="NO"/>
    <m/>
    <m/>
    <m/>
    <s v="NO"/>
    <m/>
    <m/>
    <m/>
    <s v="NO"/>
    <m/>
    <m/>
    <m/>
    <s v="NO"/>
    <m/>
    <m/>
    <m/>
    <s v="NO"/>
    <m/>
    <m/>
    <m/>
    <s v="NO"/>
    <m/>
    <m/>
    <m/>
    <s v="NO"/>
    <m/>
    <m/>
    <m/>
    <s v="NO"/>
    <m/>
    <m/>
    <m/>
    <s v="NO"/>
    <m/>
    <m/>
    <m/>
    <s v="NO"/>
    <m/>
    <m/>
    <m/>
    <s v="NO"/>
    <m/>
    <m/>
    <m/>
    <s v="NO"/>
    <m/>
    <m/>
    <m/>
    <s v="NO"/>
    <m/>
    <m/>
    <m/>
    <s v="NO"/>
    <m/>
    <m/>
    <m/>
    <m/>
    <s v="NO"/>
    <m/>
    <m/>
    <m/>
    <s v="NO"/>
    <m/>
    <m/>
    <s v="NO"/>
    <s v="NO"/>
    <m/>
    <m/>
    <m/>
    <x v="0"/>
    <s v="NO"/>
    <s v="NO"/>
    <s v="NO"/>
    <s v="NO"/>
    <s v="NO"/>
    <s v="NO"/>
    <s v="NO"/>
    <s v="NO"/>
    <m/>
    <x v="0"/>
    <m/>
    <x v="1"/>
    <s v="Thihs project will work with partner organizations to build their capacity in Assessment process."/>
    <x v="0"/>
    <x v="0"/>
    <s v="YES"/>
    <x v="0"/>
    <x v="0"/>
    <x v="0"/>
    <x v="0"/>
    <n v="4"/>
    <x v="1"/>
    <x v="1"/>
    <x v="1"/>
    <x v="1"/>
    <x v="1"/>
    <x v="1"/>
    <n v="4"/>
    <x v="1"/>
    <x v="1"/>
    <x v="1"/>
    <x v="1"/>
    <x v="1"/>
    <n v="3"/>
    <x v="2"/>
    <x v="1"/>
    <m/>
    <m/>
    <m/>
    <m/>
    <x v="1"/>
    <m/>
    <m/>
    <m/>
    <m/>
    <m/>
    <m/>
    <m/>
    <m/>
    <s v="This is a very new project. This will be updated in the next year."/>
    <m/>
    <n v="0"/>
    <n v="0"/>
    <s v=""/>
    <s v=""/>
    <s v=""/>
    <n v="0"/>
    <n v="0"/>
    <n v="1"/>
    <n v="0"/>
    <n v="0"/>
    <s v=""/>
    <s v=""/>
    <n v="0"/>
    <n v="0"/>
    <s v=""/>
    <s v=""/>
    <n v="0"/>
    <n v="0"/>
    <s v=""/>
    <s v=""/>
    <n v="0"/>
    <n v="0"/>
    <s v=""/>
    <s v=""/>
    <n v="0"/>
    <n v="0"/>
    <s v=""/>
    <s v="2. Sensitive"/>
    <s v="2. Accommodating"/>
    <s v="2. Sensitive"/>
    <s v="It did not develop any specific innovation"/>
    <s v="Little or no advocacy"/>
    <s v="It linked and worked with strategic alliances and partners to take tested and effective solutions to scale"/>
  </r>
  <r>
    <x v="3"/>
    <x v="0"/>
    <m/>
    <s v="Supporting Married iparous Adolescent Project"/>
    <s v="Bangladesh"/>
    <s v="GATEBD00019"/>
    <s v="CARE USA"/>
    <s v="Foundation"/>
    <s v="Bill &amp; Melinda Gates Foundation"/>
    <s v="Bill &amp; Melinda Gates Foundation"/>
    <m/>
    <m/>
    <m/>
    <m/>
    <m/>
    <m/>
    <m/>
    <m/>
    <m/>
    <m/>
    <m/>
    <m/>
    <m/>
    <m/>
    <m/>
    <m/>
    <m/>
    <m/>
    <m/>
    <m/>
    <m/>
    <m/>
    <m/>
    <m/>
    <m/>
    <m/>
    <m/>
    <m/>
    <m/>
    <m/>
    <m/>
    <m/>
    <m/>
    <m/>
    <m/>
    <m/>
    <m/>
    <m/>
    <m/>
    <m/>
    <m/>
    <m/>
    <m/>
    <m/>
    <m/>
    <d v="2016-11-01T00:00:00"/>
    <d v="2020-10-31T00:00:00"/>
    <m/>
    <s v="Development Sexual, Reproductive and Maternal Health (SRMH)"/>
    <n v="242835"/>
    <s v="Humaira Aziz"/>
    <s v="Director Women and Girl's Empowerment Program"/>
    <s v="humaira.aziz@care.org"/>
    <s v="Dr. Syeda Nabin Ara Nitu"/>
    <s v="Program Manager"/>
    <s v="nabinara.nitu@care.org"/>
    <s v="NO"/>
    <s v="YES"/>
    <s v="NO"/>
    <s v="To develop a model(s) for a scalable and effective intervention to delay first birth among married adolescent couples through voluntary use of modern contraceptive methods."/>
    <s v="Sub-National"/>
    <s v="District-Kurigram, Division-Rangpur, Country-Bangladesh."/>
    <s v="Adolescent girls aged between 15-19 who are married or soon to be married in Kurigram district who will potentially receive benefit from our intervention."/>
    <n v="58057"/>
    <n v="0"/>
    <n v="58057"/>
    <n v="116114"/>
    <n v="116114"/>
    <n v="232228"/>
    <s v="This project will implement in Kurigram district of Rangpur Division. The total population of Kurigram was 2,069,273 at the last census conducted 2011. Based on these data, there are 74,432 girls aged 15-19. During the year 2013, UNICEF Multiple Indicator Cluster Survey estimated that, in Kurigram, 78% of young women were married before age 18. These estimates together suggest that there are approximately 58,057 adolescent girls who are married or soon to be married in the district who could potentially benefit from our intervention but yet to be decided after project design workshop during November'17. so these 58,057 married adolescent girls were considered as direct beneficiaries. On the other hand, indirect beneficiaries were counted by multiplying direct beneficiaries with 4 (for married adolescents their husband, both father &amp; mother in laws and one positive deviant was cosidered) diving them equally into women &amp; girls and men &amp; boys."/>
    <m/>
    <m/>
    <m/>
    <m/>
    <m/>
    <m/>
    <m/>
    <m/>
    <m/>
    <m/>
    <m/>
    <m/>
    <m/>
    <m/>
    <m/>
    <m/>
    <m/>
    <m/>
    <m/>
    <m/>
    <m/>
    <m/>
    <m/>
    <m/>
    <m/>
    <m/>
    <m/>
    <m/>
    <m/>
    <m/>
    <m/>
    <m/>
    <m/>
    <m/>
    <m/>
    <m/>
    <m/>
    <m/>
    <m/>
    <m/>
    <m/>
    <m/>
    <m/>
    <m/>
    <m/>
    <m/>
    <m/>
    <m/>
    <m/>
    <m/>
    <m/>
    <m/>
    <m/>
    <m/>
    <m/>
    <m/>
    <m/>
    <m/>
    <m/>
    <m/>
    <m/>
    <m/>
    <m/>
    <m/>
    <m/>
    <m/>
    <s v="NO"/>
    <m/>
    <m/>
    <m/>
    <s v="NO"/>
    <m/>
    <m/>
    <m/>
    <s v="NO"/>
    <m/>
    <m/>
    <m/>
    <s v="NO"/>
    <m/>
    <m/>
    <m/>
    <s v="NO"/>
    <m/>
    <m/>
    <m/>
    <s v="NO"/>
    <m/>
    <m/>
    <m/>
    <s v="NO"/>
    <m/>
    <m/>
    <m/>
    <s v="NO"/>
    <m/>
    <m/>
    <m/>
    <s v="NO"/>
    <m/>
    <m/>
    <m/>
    <s v="NO"/>
    <m/>
    <m/>
    <m/>
    <s v="NO"/>
    <m/>
    <m/>
    <m/>
    <s v="NO"/>
    <m/>
    <m/>
    <m/>
    <s v="NO"/>
    <m/>
    <m/>
    <m/>
    <s v="NO"/>
    <m/>
    <m/>
    <m/>
    <s v="NO"/>
    <m/>
    <m/>
    <m/>
    <s v="NO"/>
    <m/>
    <m/>
    <m/>
    <m/>
    <m/>
    <m/>
    <m/>
    <m/>
    <s v="NO"/>
    <m/>
    <m/>
    <s v="NO"/>
    <s v="NO"/>
    <m/>
    <m/>
    <m/>
    <x v="0"/>
    <s v="NO"/>
    <s v="NO"/>
    <s v="NO"/>
    <s v="NO"/>
    <s v="NO"/>
    <s v="NO"/>
    <s v="NO"/>
    <m/>
    <m/>
    <x v="0"/>
    <m/>
    <x v="0"/>
    <m/>
    <x v="0"/>
    <x v="1"/>
    <s v="YES"/>
    <x v="0"/>
    <x v="0"/>
    <x v="1"/>
    <x v="4"/>
    <n v="3"/>
    <x v="1"/>
    <x v="1"/>
    <x v="1"/>
    <x v="1"/>
    <x v="2"/>
    <x v="1"/>
    <n v="3"/>
    <x v="0"/>
    <x v="0"/>
    <x v="0"/>
    <x v="0"/>
    <x v="0"/>
    <n v="0"/>
    <x v="2"/>
    <x v="1"/>
    <m/>
    <m/>
    <m/>
    <m/>
    <x v="1"/>
    <m/>
    <m/>
    <s v="scalable and effective intervention to delay first birth among married adolescent couples through voluntary use of modern contraceptive methods"/>
    <m/>
    <m/>
    <m/>
    <m/>
    <m/>
    <m/>
    <m/>
    <n v="0"/>
    <n v="0"/>
    <s v=""/>
    <s v=""/>
    <s v=""/>
    <n v="0"/>
    <n v="0"/>
    <s v=""/>
    <n v="0"/>
    <n v="0"/>
    <s v=""/>
    <s v=""/>
    <n v="0"/>
    <n v="0"/>
    <s v=""/>
    <s v=""/>
    <n v="0"/>
    <n v="0"/>
    <s v=""/>
    <s v=""/>
    <n v="0"/>
    <n v="0"/>
    <s v=""/>
    <s v=""/>
    <n v="0"/>
    <n v="0"/>
    <s v=""/>
    <s v="3. Responsive"/>
    <s v="2. Accommodating"/>
    <s v="No marker score"/>
    <s v="It did not develop any specific innovation"/>
    <s v="Little or no advocacy"/>
    <s v="It did not take tested solutions to scale"/>
  </r>
  <r>
    <x v="3"/>
    <x v="0"/>
    <n v="2785"/>
    <s v="Tipping Point Project: Innovation and advocacy in addressing underlying causes of child marriage"/>
    <s v="Bangladesh"/>
    <s v="KENDBD0001"/>
    <s v="CARE USA"/>
    <s v="Foundation"/>
    <s v="Other"/>
    <s v="Kendeda Foundation"/>
    <m/>
    <m/>
    <m/>
    <m/>
    <m/>
    <m/>
    <m/>
    <m/>
    <m/>
    <m/>
    <m/>
    <m/>
    <m/>
    <m/>
    <m/>
    <m/>
    <m/>
    <m/>
    <m/>
    <m/>
    <m/>
    <m/>
    <m/>
    <m/>
    <m/>
    <m/>
    <m/>
    <m/>
    <m/>
    <m/>
    <m/>
    <m/>
    <m/>
    <m/>
    <m/>
    <m/>
    <m/>
    <m/>
    <m/>
    <m/>
    <m/>
    <m/>
    <m/>
    <m/>
    <m/>
    <d v="2013-07-01T00:00:00"/>
    <d v="2017-04-30T00:00:00"/>
    <d v="2017-06-30T00:00:00"/>
    <s v="Development A Life Free From Violence (GBV)"/>
    <n v="1830000"/>
    <s v="Abu Nur Muhammad KaiserZillany"/>
    <s v="Team Leader"/>
    <s v="kaiser.zillany@care.org"/>
    <m/>
    <m/>
    <m/>
    <s v="NO"/>
    <s v="YES"/>
    <s v="NO"/>
    <s v="The goal of the project is to address child marriage through a dynamic process of innovation, insite (Analysis and learning) and influence through advocacy"/>
    <s v="Multiple countries"/>
    <s v="03 sub-districts (Derai, Dowarabazar and Jamalganj) of remote Sunamganj district in Sylhet Division of Bangladesh"/>
    <s v="Adolescent girls and boys, EVAW Forums (A group of community peoples fighting for the rights of adolescent), Parents of adolescent girls and boys, National and local level service providers and policy makers."/>
    <n v="5000"/>
    <n v="4000"/>
    <n v="9000"/>
    <n v="20000"/>
    <n v="16000"/>
    <n v="36000"/>
    <s v="A.1. Direct Participants (women and girls): Total adolescent girls (1980) are from 90 Fun Centers; 22 from each Fun Center. Total women (2970) are from Ending Violence Against Women (EVAW) forum members and from Project Mothers Groups.                                                                                                                                                                                                                                                                                                           A.2: Direct Participants (men and boys): Total adolescent boys (1980) are from 90 Fun Centers; 22 from each Fun Center. Total men (1980) are from Ending Violence Against Women (EVAW) forum members and from Project Fathers Groups.                                                                                                                                                                                                                                                                                                                                    B.1: Indirect Participants (women and girls): Total girls (9900) and women (9900) are from other girls (other than Fun Center) and mothers of project 90 villages.                                                                                                                                                                 B.2: Indirect Participants (men and boys): Total boys (8910) and men (7920) are from other boys (other than Fun Center) and men of project 90 villages."/>
    <m/>
    <m/>
    <m/>
    <m/>
    <m/>
    <m/>
    <m/>
    <m/>
    <m/>
    <m/>
    <m/>
    <m/>
    <m/>
    <m/>
    <m/>
    <m/>
    <m/>
    <m/>
    <m/>
    <m/>
    <m/>
    <m/>
    <m/>
    <m/>
    <m/>
    <m/>
    <m/>
    <m/>
    <m/>
    <m/>
    <m/>
    <m/>
    <m/>
    <m/>
    <m/>
    <m/>
    <m/>
    <m/>
    <m/>
    <m/>
    <m/>
    <m/>
    <m/>
    <m/>
    <m/>
    <m/>
    <m/>
    <m/>
    <m/>
    <m/>
    <m/>
    <m/>
    <m/>
    <m/>
    <m/>
    <m/>
    <m/>
    <m/>
    <m/>
    <m/>
    <n v="5892"/>
    <n v="2257"/>
    <n v="8149"/>
    <n v="18000"/>
    <n v="7000"/>
    <n v="25000"/>
    <s v="NO"/>
    <m/>
    <m/>
    <m/>
    <s v="NO"/>
    <m/>
    <m/>
    <m/>
    <s v="NO"/>
    <m/>
    <m/>
    <m/>
    <s v="NO"/>
    <m/>
    <m/>
    <m/>
    <s v="NO"/>
    <m/>
    <m/>
    <m/>
    <s v="NO"/>
    <m/>
    <m/>
    <m/>
    <s v="NO"/>
    <m/>
    <m/>
    <m/>
    <s v="YES"/>
    <n v="8149"/>
    <n v="0.72"/>
    <n v="25000"/>
    <s v="YES"/>
    <n v="8149"/>
    <n v="0.72"/>
    <n v="25000"/>
    <s v="NO"/>
    <m/>
    <m/>
    <m/>
    <s v="NO"/>
    <m/>
    <m/>
    <m/>
    <s v="NO"/>
    <m/>
    <m/>
    <m/>
    <s v="NO"/>
    <m/>
    <m/>
    <m/>
    <s v="NO"/>
    <m/>
    <m/>
    <m/>
    <s v="NO"/>
    <m/>
    <m/>
    <m/>
    <s v="NO"/>
    <m/>
    <m/>
    <m/>
    <s v="Adolescent Sexual Reproductive Health Rights (ASRHR)"/>
    <s v="YES"/>
    <n v="5000"/>
    <n v="1"/>
    <n v="0"/>
    <s v="YES"/>
    <s v="March"/>
    <n v="2017"/>
    <s v="YES"/>
    <s v="NO"/>
    <m/>
    <m/>
    <s v="Based on evaluation findings, learning will be used for designing strategy for phase-02"/>
    <x v="1"/>
    <s v="YES"/>
    <s v="YES"/>
    <s v="NO"/>
    <s v="YES"/>
    <s v="YES"/>
    <s v="YES"/>
    <s v="NO"/>
    <s v="NO"/>
    <m/>
    <x v="1"/>
    <s v="Mobilize community through changing their behavioural practices focusing on social norms approach where parents will treat girls as assets and giving equal opportunity in all aspects."/>
    <x v="1"/>
    <s v="CARE is a strategic partner of GNB and playing a vital role at national level advocacy related to women rights. Tipping Point project has implemented by partnership approach where selected partner's have adequate knowledge and expertise on local context."/>
    <x v="1"/>
    <x v="1"/>
    <s v="YES"/>
    <x v="0"/>
    <x v="0"/>
    <x v="0"/>
    <x v="2"/>
    <n v="4"/>
    <x v="1"/>
    <x v="1"/>
    <x v="1"/>
    <x v="1"/>
    <x v="1"/>
    <x v="1"/>
    <n v="4"/>
    <x v="0"/>
    <x v="0"/>
    <x v="0"/>
    <x v="0"/>
    <x v="0"/>
    <n v="0"/>
    <x v="2"/>
    <x v="3"/>
    <n v="2"/>
    <s v="Local NGO(s)/CSO(s)"/>
    <m/>
    <m/>
    <x v="0"/>
    <s v="Different Day observances with engagement of civil society and design some campaigns covering large community which has challenged existing social norms those are obstracle for gender equity."/>
    <s v="Harmful gender practices has been changed, Increase girls mobility, boys and girls are treated equaly. Giving priority to increase knowledge on SRHR issues,  Girls are giving more focus to develop them as assets rather than early marriage."/>
    <s v="Personal Reflection and development of Adolescent Girls and boys through fun centers and create safe space for them"/>
    <s v="Transforming relationships and building a base for adolescent rights through families, community forum and institutional support"/>
    <s v="Mobilizing for social change through forum theatre, community dialogues and celebrating local champions for adolescent empowerment  as well as district and national level advocacy"/>
    <s v="Adolescents Sexual Reproductive Health Rights (ASRHR) session is not only working to increase the knowledge of adolescent but it also contributing to change social norms related to child marriage."/>
    <s v="Household chores are supposed to be women’s job has been the belief and hence when it was discussed by project staff that work at home is everyone’s responsibility, reflected on their own beliefs and behaviors related to household chores. Challenging the norm that boys and men do not involve in household chores, some of them started doing their own laundry and cleaning their own utensils to start with. Gradually it was felt to bring the positive practices in open and hence the team wanted to give it a name of a campaign where the men said 'Amra o korchi' that means ‘we too do’ for all that only women used to do till now. The campaign has created a positive change among the community people. Now community people believes that household chores are not supposed to do by only girl or women; rather men and boys can do the household chores with a view to sharing the responsibilities among them."/>
    <s v="Demonstrating positive practices are playing as driver to change the social norms. In the working area of the project boys has started to do household work which was considered earlier as women work, Even male member has started to support their wife to do the household work that was not happened in the community earlier. These positive practice are influencing other community people to be gender sensitive by understanding their roles and responsibilities."/>
    <s v="The project is operating outcome mapping aproach for planning, monitoring and evaluating the project and gathering data and evidence systemetically by folloing progress marker of each boundary partner. The system has collected lot of qualitative and quantitative information by using outcome mapping tools and techniques."/>
    <s v="Innovation brief (Draft), Evaluation report (Draft), event report/video of outdoor games. Poster developed with positive messages."/>
    <n v="8149"/>
    <n v="25000"/>
    <n v="3.0678610872499692"/>
    <n v="0.72303350104307273"/>
    <n v="0.72"/>
    <n v="5892"/>
    <n v="18000"/>
    <s v=""/>
    <n v="0"/>
    <n v="0"/>
    <s v=""/>
    <s v=""/>
    <n v="0"/>
    <n v="0"/>
    <s v=""/>
    <s v=""/>
    <n v="0"/>
    <n v="0"/>
    <s v=""/>
    <n v="1"/>
    <n v="8149"/>
    <n v="25000"/>
    <n v="3.0678610872499692"/>
    <s v=""/>
    <n v="0"/>
    <n v="0"/>
    <s v=""/>
    <s v="4. Transformative"/>
    <s v="2. Accommodating"/>
    <s v="No marker score"/>
    <s v="It tested new ways for fighting poverty, but did not measure results of innovation"/>
    <s v="Moderate advocacy"/>
    <s v="It linked and worked with strategic alliances and partners to take tested and effective solutions to scale"/>
  </r>
  <r>
    <x v="3"/>
    <x v="0"/>
    <n v="2751"/>
    <s v="USAID Agricultural Extension Support Activity (Ag Extension/ AESA) Project"/>
    <s v="Bangladesh"/>
    <s v="DAMXBD0001"/>
    <s v="CARE USA"/>
    <s v="Government"/>
    <s v="Government - US"/>
    <s v="USAID"/>
    <s v="DAMXBD0001"/>
    <s v="CARE USA"/>
    <s v="Other"/>
    <s v="Other"/>
    <s v="Dhaka Ahsania Mission"/>
    <m/>
    <m/>
    <m/>
    <m/>
    <m/>
    <m/>
    <m/>
    <m/>
    <m/>
    <m/>
    <m/>
    <m/>
    <m/>
    <m/>
    <m/>
    <m/>
    <m/>
    <m/>
    <m/>
    <m/>
    <m/>
    <m/>
    <m/>
    <m/>
    <m/>
    <m/>
    <m/>
    <m/>
    <m/>
    <m/>
    <m/>
    <m/>
    <m/>
    <m/>
    <m/>
    <m/>
    <m/>
    <m/>
    <m/>
    <m/>
    <d v="2012-10-22T00:00:00"/>
    <d v="2017-10-20T00:00:00"/>
    <d v="2018-02-28T00:00:00"/>
    <s v="Development Food &amp; Nutrition Security and Resilience to Climate Change"/>
    <n v="3871144"/>
    <s v="Anowarul Haq"/>
    <s v="Director - Extreme Rural Poverty Program, CARE B"/>
    <s v="anowarul.haq@care.org "/>
    <s v="Tania Sharmin"/>
    <s v="National Technical Cordinator, AESA Project, CARE B"/>
    <s v="tania.sharmin@care.org "/>
    <s v="NO"/>
    <s v="YES"/>
    <s v="NO"/>
    <s v="Strengthen the existing agriculture extension system in southwest and central Bangladesh to sustainably improve food security and nutrition for smallholder farmers with an emphasis on women."/>
    <s v="Sub-National"/>
    <s v="231 Unions of 26 Upazilas in 12 districts (Jessore, Magura, Faridpur, Rajbari, Khulna, Satkhira, Narail, Barisal, Bhola, Pirojpur, Barguna and Patuakhali) in central and southwest Bangladesh through 3 regions (Jessore, Khulna, and Barisal)."/>
    <s v="i) Smallholder farmers (both men and women) and ii) Public and Private Extension Agents"/>
    <n v="33240"/>
    <n v="77560"/>
    <n v="110800"/>
    <n v="116340"/>
    <n v="271460"/>
    <n v="387800"/>
    <s v="The men and women farmers and the male and female public and private extension agents who are directly benefitted from the project's initiatives are the direct participants of the project. Direct participants include all people whose lives are affected by the project's initiatives. Individuals who are not directly involved with project activities and who do not receive direct support from the project but are some way linked with the project (e.g. household members and neighboring farmers of direct participants, etc. who adopt project's initiatives from the direct participants or get benefitted by the project, etc.) are considered as indirect participants. Indirect participants are calculated by multiplying the direct participants by 3.5. "/>
    <m/>
    <m/>
    <m/>
    <m/>
    <m/>
    <m/>
    <m/>
    <m/>
    <m/>
    <m/>
    <m/>
    <m/>
    <m/>
    <m/>
    <m/>
    <m/>
    <m/>
    <m/>
    <m/>
    <m/>
    <m/>
    <m/>
    <m/>
    <m/>
    <m/>
    <m/>
    <m/>
    <m/>
    <m/>
    <m/>
    <m/>
    <m/>
    <m/>
    <m/>
    <m/>
    <m/>
    <m/>
    <m/>
    <m/>
    <m/>
    <m/>
    <m/>
    <m/>
    <m/>
    <m/>
    <m/>
    <m/>
    <m/>
    <m/>
    <m/>
    <m/>
    <m/>
    <m/>
    <m/>
    <m/>
    <m/>
    <m/>
    <m/>
    <m/>
    <m/>
    <n v="55510"/>
    <n v="51591"/>
    <n v="107101"/>
    <n v="194285"/>
    <n v="180569"/>
    <n v="374854"/>
    <s v="YES"/>
    <n v="105779"/>
    <n v="0.52"/>
    <n v="370227"/>
    <s v="YES"/>
    <m/>
    <m/>
    <m/>
    <s v="NO"/>
    <m/>
    <m/>
    <m/>
    <s v="NO"/>
    <m/>
    <m/>
    <m/>
    <s v="YES"/>
    <n v="105779"/>
    <n v="0.52"/>
    <n v="370227"/>
    <s v="NO"/>
    <m/>
    <m/>
    <m/>
    <s v="YES"/>
    <n v="105779"/>
    <n v="0.52"/>
    <n v="370227"/>
    <s v="NO"/>
    <m/>
    <m/>
    <m/>
    <s v="YES"/>
    <n v="105779"/>
    <n v="0.52"/>
    <n v="370227"/>
    <s v="NO"/>
    <m/>
    <m/>
    <m/>
    <s v="NO"/>
    <m/>
    <m/>
    <m/>
    <s v="NO"/>
    <m/>
    <m/>
    <m/>
    <s v="NO"/>
    <m/>
    <m/>
    <m/>
    <s v="NO"/>
    <m/>
    <m/>
    <m/>
    <s v="NO"/>
    <m/>
    <m/>
    <m/>
    <s v="YES"/>
    <n v="55387"/>
    <n v="1"/>
    <n v="193855"/>
    <m/>
    <m/>
    <m/>
    <m/>
    <m/>
    <s v="YES"/>
    <s v="August"/>
    <n v="2016"/>
    <s v="NO"/>
    <s v="YES"/>
    <s v="July"/>
    <n v="2017"/>
    <m/>
    <x v="0"/>
    <s v="NO"/>
    <s v="NO"/>
    <s v="YES"/>
    <s v="YES"/>
    <s v="NO"/>
    <s v="NO"/>
    <s v="NO"/>
    <s v="NO"/>
    <m/>
    <x v="2"/>
    <s v="i) &quot;A-card: smallholders' access to finance through Bank&quot; - it is a unique initiative of the AESA project where the farmers receive agricultural loans directly from the commercial Bank – Bank Asia with the assistance of the local MFIs with a low interest rate (10% per annum) and with a flexible payback period of six months. Through the A-card initiative, the farmers can buy necessary agricultural inputs from selected local retailers using the NFC (near field communications) enabled smartphones and this is the first time that an NFC has been used for financial transaction for the farmers in rural Bangladesh. ii) AESC: A total of 139 Agricultural Extension Service Centers (AESCs) were established in four demonstrated upazilas: Barisal Sadar, Barisal, Faridpur Sadar, Faridpur, Kalia, Narail and Chougachha, Jessore to demonstrate improved agricultural extension services to the smallholder farmers. iii) ICT applications: Project promoted innovative ICT apps are being used by both farmers and public and private extension agents. "/>
    <x v="1"/>
    <s v="i) The A-card initiative has been tested and taken to scale. ii) The project developed mobile based ICT apps - especially, the farmer query system (FQS) has been tested and taken to scale."/>
    <x v="0"/>
    <x v="1"/>
    <s v="YES"/>
    <x v="0"/>
    <x v="1"/>
    <x v="1"/>
    <x v="4"/>
    <n v="2"/>
    <x v="1"/>
    <x v="2"/>
    <x v="1"/>
    <x v="1"/>
    <x v="1"/>
    <x v="1"/>
    <n v="3"/>
    <x v="1"/>
    <x v="1"/>
    <x v="1"/>
    <x v="2"/>
    <x v="3"/>
    <n v="2"/>
    <x v="2"/>
    <x v="2"/>
    <n v="9"/>
    <s v="National government"/>
    <s v="Local NGO(s)/CSO(s)"/>
    <s v="Private sector"/>
    <x v="1"/>
    <m/>
    <s v="1. Categorization of FPGs were done during this FY and as per the recommendation of the categorization, technical and other related supports were provided to the FPGs. 2. A new initiative named A-card was introduced for the smallholder farmers so that they can have access to flexible loan products from a formal financial institution at lower interest rate and with flexible repayment method. The smallholders are also able to access quality inputs through the A-card initiative. 3. In order to create a pool of local service providers, the project along with the private sector and a public university organized capacity building of the women livestock LSPs and provided them certificates and toolkits so that they can provide better service to the community. "/>
    <s v="Creating opportunities for the smallholders to access finance through Bank through the A-card is a unique strategy. Through the A-card initiative, the farmers can buy necessary agricultural inputs from selected local retailers using the NFC (near field communications) enabled smartphones and this is the first time that an NFC has been used for financial transaction for the farmers in rural Bangladesh."/>
    <s v="A formal set up for the frontline government grassroots employees provide them self esteem and enthusiasm to work more effectively and efficiently."/>
    <s v="Sensitizing men to gender roles and activities and involving them in household chores proven to be quite effective."/>
    <s v="Smallolders with proper support to accessing flexible loan products can easily aquire quality output to increase their productivity."/>
    <s v="The close proximity of public and private extension agents help smallholder farmers to access them more easily."/>
    <s v="Engaging men to the household activities allows women to have leisure time."/>
    <s v="The project worked in partnership to implement its activities properly at fields and signed formal agreements with different partners in this year. The data provided in this form are collected from the M&amp;E unit of the project."/>
    <s v="Project documents attached - Annual Report Year 4 (with data of July-September 2016 Quarter) and Quaterly Reports - October-December 2016, January-March 2017, April-June 2017 and vetting forms of the markers."/>
    <n v="107101"/>
    <n v="374854"/>
    <n v="3.5000046684904902"/>
    <n v="0.51829581423142645"/>
    <n v="0.51829512290118285"/>
    <n v="55510"/>
    <n v="194285"/>
    <s v=""/>
    <n v="0"/>
    <n v="0"/>
    <s v=""/>
    <n v="1"/>
    <n v="105779"/>
    <n v="370227"/>
    <n v="3.5000047268361394"/>
    <s v=""/>
    <n v="0"/>
    <n v="0"/>
    <s v=""/>
    <s v=""/>
    <n v="0"/>
    <n v="0"/>
    <s v=""/>
    <n v="1"/>
    <n v="55387"/>
    <n v="193855"/>
    <n v="3.5000090273890985"/>
    <s v="3. Responsive"/>
    <s v="2. Accommodating"/>
    <s v="1. Neutral"/>
    <s v="It tested new ways for fighting poverty and measured results of innovation"/>
    <s v="Little or no advocacy"/>
    <s v="It linked and worked with strategic alliances and partners to take tested and effective solutions to scale"/>
  </r>
  <r>
    <x v="3"/>
    <x v="0"/>
    <n v="2790"/>
    <s v="Where the Rain Falls (WtRF)"/>
    <s v="Bangladesh"/>
    <s v="CFRABD0013"/>
    <s v="CARE France"/>
    <s v="Foundation"/>
    <s v="Other"/>
    <s v="Prince Albert II of Monaco Foundation"/>
    <m/>
    <m/>
    <m/>
    <m/>
    <m/>
    <m/>
    <m/>
    <m/>
    <m/>
    <m/>
    <m/>
    <m/>
    <m/>
    <m/>
    <m/>
    <m/>
    <m/>
    <m/>
    <m/>
    <m/>
    <m/>
    <m/>
    <m/>
    <m/>
    <m/>
    <m/>
    <m/>
    <m/>
    <m/>
    <m/>
    <m/>
    <m/>
    <m/>
    <m/>
    <m/>
    <m/>
    <m/>
    <m/>
    <m/>
    <m/>
    <m/>
    <m/>
    <m/>
    <m/>
    <m/>
    <d v="2016-03-01T00:00:00"/>
    <d v="2017-03-30T00:00:00"/>
    <m/>
    <s v="Development Food &amp; Nutrition Security and Resilience to Climate Change"/>
    <n v="35855.4"/>
    <s v="Md. Nure Alam Siddique"/>
    <s v="Team Leader"/>
    <s v="nooraalam.siddiqui@care.org"/>
    <m/>
    <m/>
    <m/>
    <s v="NO"/>
    <s v="YES"/>
    <s v="NO"/>
    <s v="To improve the resilience of targeted vulnerable communities to the increasing consequences of rainfall variability by promting adapive agricultural practices and efficient water resource  (irrigation) management."/>
    <s v="Sub-National"/>
    <s v="Kurigram in the nothern region of Bangladesh"/>
    <s v="The small and marginal farmers (poor &amp; extreme poor), whose cultivation practices depends on rain water and face challenges of drought, flood, irregular rainfall river errotion, cold &amp; fog. The positive changes expected from project activities is the farmers and community will be able to analyse and adapt with the climatic vulnerability in agriculture specially cropping system (variety, pattern and technolog"/>
    <n v="455"/>
    <n v="3545"/>
    <n v="4000"/>
    <n v="5013"/>
    <n v="5013"/>
    <n v="10026"/>
    <s v="The small and marginal farmers (poor &amp; extreme poor), whose cultivation practices depends on rain water and face challenges of drought, flood, irregular rainfall river errotion, cold &amp; fog. The positive changes expected from project activities is the farmers and community will be able to analyse and adapt with the climatic vulnerability in agriculture specially cropping system (variety, pattern and technolog"/>
    <m/>
    <m/>
    <m/>
    <m/>
    <m/>
    <m/>
    <m/>
    <m/>
    <m/>
    <m/>
    <m/>
    <m/>
    <m/>
    <m/>
    <m/>
    <m/>
    <m/>
    <m/>
    <m/>
    <m/>
    <m/>
    <m/>
    <m/>
    <m/>
    <m/>
    <m/>
    <m/>
    <m/>
    <m/>
    <m/>
    <m/>
    <m/>
    <m/>
    <m/>
    <m/>
    <m/>
    <m/>
    <m/>
    <m/>
    <m/>
    <m/>
    <m/>
    <m/>
    <m/>
    <m/>
    <m/>
    <m/>
    <m/>
    <m/>
    <m/>
    <m/>
    <m/>
    <m/>
    <m/>
    <m/>
    <m/>
    <m/>
    <m/>
    <m/>
    <m/>
    <n v="455"/>
    <n v="3545"/>
    <n v="4000"/>
    <n v="5013"/>
    <n v="5013"/>
    <n v="10026"/>
    <s v="YES"/>
    <n v="4000"/>
    <n v="0.13"/>
    <n v="10026"/>
    <s v="YES"/>
    <n v="4000"/>
    <n v="0.13"/>
    <n v="10026"/>
    <s v="NO"/>
    <m/>
    <m/>
    <m/>
    <s v="YES"/>
    <n v="4000"/>
    <n v="0.13"/>
    <n v="10026"/>
    <s v="YES"/>
    <n v="4000"/>
    <n v="0.13"/>
    <n v="10026"/>
    <s v="NO"/>
    <m/>
    <m/>
    <m/>
    <s v="YES"/>
    <n v="4000"/>
    <n v="0.13"/>
    <n v="10026"/>
    <s v="NO"/>
    <m/>
    <m/>
    <m/>
    <s v="YES"/>
    <n v="455"/>
    <n v="1"/>
    <n v="5013"/>
    <s v="NO"/>
    <m/>
    <m/>
    <m/>
    <s v="NO"/>
    <m/>
    <m/>
    <m/>
    <s v="YES"/>
    <n v="1585"/>
    <n v="0.13"/>
    <n v="4000"/>
    <s v="NO"/>
    <m/>
    <m/>
    <m/>
    <s v="NO"/>
    <m/>
    <m/>
    <m/>
    <s v="NO"/>
    <m/>
    <m/>
    <m/>
    <s v="YES"/>
    <n v="455"/>
    <n v="1"/>
    <n v="5013"/>
    <m/>
    <m/>
    <m/>
    <m/>
    <m/>
    <s v="YES"/>
    <s v="March"/>
    <n v="2017"/>
    <s v="YES"/>
    <s v="NO"/>
    <m/>
    <m/>
    <m/>
    <x v="0"/>
    <s v="NO"/>
    <s v="NO"/>
    <s v="YES"/>
    <s v="NO"/>
    <s v="NO"/>
    <s v="NO"/>
    <s v="NO"/>
    <s v="NO"/>
    <m/>
    <x v="2"/>
    <s v="It introduced new disaster-resilient varieties of crops created by the state-run agro-research lab to field-test their effectiveness"/>
    <x v="1"/>
    <s v="1585 FFS farmers (selected and trained by project) preserved Mustard seed (BINA-4) for next season cultivation and have a plan to sell these to other communities. 167 FFS farmers (selected and trained by project) preserved BRRI dhan 52 (rice seed) and have a same plan."/>
    <x v="1"/>
    <x v="0"/>
    <s v="YES"/>
    <x v="0"/>
    <x v="0"/>
    <x v="0"/>
    <x v="0"/>
    <n v="4"/>
    <x v="1"/>
    <x v="1"/>
    <x v="2"/>
    <x v="1"/>
    <x v="2"/>
    <x v="4"/>
    <n v="2"/>
    <x v="3"/>
    <x v="1"/>
    <x v="1"/>
    <x v="1"/>
    <x v="4"/>
    <n v="3"/>
    <x v="3"/>
    <x v="3"/>
    <n v="2"/>
    <s v="National government"/>
    <s v="Local NGO(s)/CSO(s)"/>
    <m/>
    <x v="1"/>
    <m/>
    <m/>
    <s v="Use of Farmer Field Schools (FFS)"/>
    <s v="Community Based Adaptation (CBA)"/>
    <s v="Agro-input support, demo plots and Coordination meeting with DAE, UP and research institutes"/>
    <s v="1. Adaptive seeds, especially flood tolerant rice varieties were not available in Research Institutes. We made the seeds available by purchasing from certified local seed agency. As a way to make seeds available in the locality the project also facilitated the establishment of Seed banks at two Union Parishads."/>
    <s v="2. Sudden flash flood in WtRF working areas is a regular phenomenon. During Aman season in 2016, 65% seed beds of demo plots and 90% seed beds of trial plots got totally damaged by flash flood. As a way of recovering the loss, we arranged seedling from BADC for few farmers. Many farmers collected seedlings from neighboring districts on their own."/>
    <s v="3. We did not reach the target of involving 25% of women in terms of our target beneficiaries as women from “middle and rich” families are not directly involved with the agriculture cultivation and thus show low interest to join FFD for example.  Thus the target was too optimistic given the context. Though, we have reached the 50% target in terms of % of women within the FFS members."/>
    <m/>
    <s v="Local NGO Narrative Report_x000a_Final Evaluation Report"/>
    <n v="4000"/>
    <n v="10026"/>
    <n v="2.5065"/>
    <n v="0.11375"/>
    <n v="0.5"/>
    <n v="455"/>
    <n v="5013"/>
    <s v=""/>
    <n v="0"/>
    <n v="0"/>
    <s v=""/>
    <n v="1"/>
    <n v="4000"/>
    <n v="10026"/>
    <n v="2.5065"/>
    <s v=""/>
    <n v="0"/>
    <n v="0"/>
    <s v=""/>
    <s v=""/>
    <n v="0"/>
    <n v="0"/>
    <s v=""/>
    <n v="1"/>
    <n v="520"/>
    <n v="5013"/>
    <n v="9.6403846153846153"/>
    <s v="2. Sensitive"/>
    <s v="1. Tokenistic"/>
    <s v="4. Transformative"/>
    <s v="It tested new ways for fighting poverty and measured results of innovation"/>
    <s v="Little or no advocacy"/>
    <s v="It linked and worked with strategic alliances and partners to take tested and effective solutions to scale"/>
  </r>
  <r>
    <x v="3"/>
    <x v="0"/>
    <m/>
    <s v="Where the Rain Falls (WtRF) - Phase III"/>
    <s v="Bangladesh"/>
    <s v="CFRABD0020"/>
    <s v="CARE France"/>
    <s v="Foundation"/>
    <s v="Other"/>
    <s v="Prince Albert II of Monaco Foundation"/>
    <m/>
    <m/>
    <m/>
    <m/>
    <m/>
    <m/>
    <m/>
    <m/>
    <m/>
    <m/>
    <m/>
    <m/>
    <m/>
    <m/>
    <m/>
    <m/>
    <m/>
    <m/>
    <m/>
    <m/>
    <m/>
    <m/>
    <m/>
    <m/>
    <m/>
    <m/>
    <m/>
    <m/>
    <m/>
    <m/>
    <m/>
    <m/>
    <m/>
    <m/>
    <m/>
    <m/>
    <m/>
    <m/>
    <m/>
    <m/>
    <m/>
    <m/>
    <m/>
    <m/>
    <m/>
    <d v="2017-01-01T00:00:00"/>
    <d v="2018-12-31T00:00:00"/>
    <m/>
    <s v="Development Food &amp; Nutrition Security and Resilience to Climate Change"/>
    <n v="198964"/>
    <s v="Palash Mondal"/>
    <s v="Coordinator - Resilience and Climate Change"/>
    <s v="palash.mondal@care.org"/>
    <s v="Dipan Kumar Shaha"/>
    <s v="Project Officer - Monitoring and Learning, WtRF III"/>
    <s v="dipankumar.shaha@care.org"/>
    <s v="NO"/>
    <s v="YES"/>
    <s v="NO"/>
    <s v="To improve resilience of 20 communities, especially women, from Kurigram district against increasing vulnerability of rainfall patterns by promoting SuPER agriculture approach and community based adaptation. [SuPER stands - Sustainable, Profitable, Equitable and Resilient]"/>
    <s v="Multiple countries"/>
    <s v="Kurigram district, Bangladesh"/>
    <s v="Small holder farmers, with particular focus on women."/>
    <n v="759"/>
    <n v="280"/>
    <n v="1039"/>
    <n v="1155"/>
    <n v="4306"/>
    <n v="5461"/>
    <s v="Direct Participants- The small holder farmers who are members of Farmers Field School (FFS) receiving various trainings and involved directly with project activities, and the Union Parishad members who are to receive trainings for capacity building and to disseminate the agricultural practices covered by the projects through establishing demonstration plots. Indirect participants- The small holder farmers who are not directlly involved with the project activities but learn from the FFS members and attend Farmers Field Day."/>
    <m/>
    <m/>
    <m/>
    <m/>
    <m/>
    <m/>
    <m/>
    <m/>
    <m/>
    <m/>
    <m/>
    <m/>
    <m/>
    <m/>
    <m/>
    <m/>
    <m/>
    <m/>
    <m/>
    <m/>
    <m/>
    <m/>
    <m/>
    <m/>
    <m/>
    <m/>
    <m/>
    <m/>
    <m/>
    <m/>
    <m/>
    <m/>
    <m/>
    <m/>
    <m/>
    <m/>
    <m/>
    <m/>
    <m/>
    <m/>
    <m/>
    <m/>
    <m/>
    <m/>
    <m/>
    <m/>
    <m/>
    <m/>
    <m/>
    <m/>
    <m/>
    <m/>
    <m/>
    <m/>
    <m/>
    <m/>
    <m/>
    <m/>
    <m/>
    <m/>
    <n v="759"/>
    <n v="280"/>
    <n v="1039"/>
    <n v="0"/>
    <n v="0"/>
    <n v="0"/>
    <s v="YES"/>
    <n v="1039"/>
    <n v="0.73050000000000004"/>
    <n v="0"/>
    <s v="YES"/>
    <n v="1039"/>
    <n v="0.73050000000000004"/>
    <n v="0"/>
    <s v="NO"/>
    <m/>
    <m/>
    <m/>
    <s v="YES"/>
    <n v="1000"/>
    <n v="0.73050000000000004"/>
    <n v="0"/>
    <s v="NO"/>
    <m/>
    <m/>
    <m/>
    <s v="NO"/>
    <m/>
    <m/>
    <m/>
    <s v="NO"/>
    <m/>
    <m/>
    <m/>
    <s v="NO"/>
    <m/>
    <m/>
    <m/>
    <s v="NO"/>
    <m/>
    <m/>
    <m/>
    <s v="NO"/>
    <m/>
    <m/>
    <m/>
    <s v="NO"/>
    <m/>
    <m/>
    <m/>
    <s v="NO"/>
    <m/>
    <m/>
    <m/>
    <s v="NO"/>
    <m/>
    <m/>
    <m/>
    <s v="NO"/>
    <m/>
    <m/>
    <m/>
    <s v="NO"/>
    <m/>
    <m/>
    <m/>
    <s v="NO"/>
    <m/>
    <m/>
    <m/>
    <m/>
    <s v="NO"/>
    <m/>
    <m/>
    <m/>
    <s v="YES"/>
    <s v="May"/>
    <n v="2017"/>
    <s v="NO"/>
    <s v="NO"/>
    <m/>
    <m/>
    <s v="The project has a plan to conduct final evaluation at the end the project life that is tentatively scheduled in month of December, 2018."/>
    <x v="1"/>
    <s v="NO"/>
    <s v="NO"/>
    <s v="YES"/>
    <s v="NO"/>
    <s v="NO"/>
    <s v="NO"/>
    <s v="YES"/>
    <s v="NO"/>
    <m/>
    <x v="1"/>
    <s v="Farmers to farmers learning mechanism, Women to be recognized as farmers"/>
    <x v="1"/>
    <s v="Community Based Adaptation (CBA), Adaptive agriculture in terms of improved variety and pattern"/>
    <x v="1"/>
    <x v="0"/>
    <s v="YES"/>
    <x v="0"/>
    <x v="0"/>
    <x v="0"/>
    <x v="0"/>
    <n v="4"/>
    <x v="1"/>
    <x v="1"/>
    <x v="1"/>
    <x v="1"/>
    <x v="1"/>
    <x v="1"/>
    <n v="4"/>
    <x v="3"/>
    <x v="1"/>
    <x v="1"/>
    <x v="1"/>
    <x v="4"/>
    <n v="3"/>
    <x v="3"/>
    <x v="2"/>
    <n v="1"/>
    <s v="Local NGO(s)/CSO(s)"/>
    <m/>
    <m/>
    <x v="1"/>
    <m/>
    <s v="No, we haven't made any such changes."/>
    <s v="Farmers Field School"/>
    <s v="Climate Adaption Action Planning (using CVCA)"/>
    <s v="Integrating CBA activitities into union parishad annual planning"/>
    <s v="Not just passive contributor; women have potentials to lead agriculture innovation if their meaningful participation is ensured"/>
    <s v="If community raise a strong voice and take a solid stand for their betterment, it results into the adoption of activities in the annual plan by the Union Parishad"/>
    <s v="Repeated flash floods cause lots of damages to the crops of the farmers during the aman season"/>
    <m/>
    <s v="Proposal and logframe to be submitted"/>
    <n v="1039"/>
    <n v="0"/>
    <n v="0"/>
    <n v="0.73051010587102982"/>
    <s v=""/>
    <n v="759"/>
    <n v="0"/>
    <s v=""/>
    <n v="0"/>
    <n v="0"/>
    <s v=""/>
    <n v="1"/>
    <n v="1039"/>
    <n v="0"/>
    <n v="0"/>
    <s v=""/>
    <n v="0"/>
    <n v="0"/>
    <s v=""/>
    <s v=""/>
    <n v="0"/>
    <n v="0"/>
    <s v=""/>
    <s v=""/>
    <n v="0"/>
    <n v="0"/>
    <s v=""/>
    <s v="2. Sensitive"/>
    <s v="2. Accommodating"/>
    <s v="4. Transformative"/>
    <s v="It tested new ways for fighting poverty, but did not measure results of innovation"/>
    <s v="Moderate advocacy"/>
    <s v="It linked and worked with strategic alliances and partners to take tested and effective solutions to scale"/>
  </r>
  <r>
    <x v="3"/>
    <x v="0"/>
    <n v="2789"/>
    <s v="Women in Factories (Phase-2)"/>
    <s v="Bangladesh"/>
    <s v="WALMBD0008, WALMBD0009, WALMBD0010"/>
    <s v="CARE USA"/>
    <s v="Foundation"/>
    <s v="Other"/>
    <s v="WALMART Foundation"/>
    <m/>
    <m/>
    <m/>
    <m/>
    <m/>
    <m/>
    <m/>
    <m/>
    <m/>
    <m/>
    <m/>
    <m/>
    <m/>
    <m/>
    <m/>
    <m/>
    <m/>
    <m/>
    <m/>
    <m/>
    <m/>
    <m/>
    <m/>
    <m/>
    <m/>
    <m/>
    <m/>
    <m/>
    <m/>
    <m/>
    <m/>
    <m/>
    <m/>
    <m/>
    <m/>
    <m/>
    <m/>
    <m/>
    <m/>
    <m/>
    <m/>
    <m/>
    <m/>
    <m/>
    <m/>
    <d v="2014-02-01T00:00:00"/>
    <d v="2016-01-31T00:00:00"/>
    <d v="2016-10-31T00:00:00"/>
    <s v="Development Access to and Control over Economic Resources"/>
    <n v="1069498"/>
    <s v="Humaira Aziz"/>
    <s v="Director-WE"/>
    <s v="humaira.aziz@care.org"/>
    <s v="Md. Mahadi Hasan"/>
    <s v="TM-M&amp;E, Workforce Empowermet"/>
    <s v="mahadi.hasan@care.org"/>
    <s v="NO"/>
    <s v="YES"/>
    <s v="NO"/>
    <s v="Create  an ecosystem in which women attain their full protential, positivitly contributing their career and personal life."/>
    <s v="Sub-National"/>
    <s v="City corporation of Dhaka, Chittagong, Naryangounj and Gazipur"/>
    <s v="Women  garment workers"/>
    <n v="42663"/>
    <n v="113645"/>
    <n v="156308"/>
    <n v="213315"/>
    <n v="22729"/>
    <n v="236044"/>
    <s v="Direct beneficiaries are those who got any direct assistance through training, workshop and outreach activities. Indirect participants are those who were reached  through campaigning, community mobilzation, male engagement and other linkage services."/>
    <m/>
    <m/>
    <m/>
    <m/>
    <m/>
    <m/>
    <m/>
    <m/>
    <m/>
    <m/>
    <m/>
    <m/>
    <m/>
    <m/>
    <m/>
    <m/>
    <m/>
    <m/>
    <m/>
    <m/>
    <m/>
    <m/>
    <m/>
    <m/>
    <m/>
    <m/>
    <m/>
    <m/>
    <m/>
    <m/>
    <m/>
    <m/>
    <m/>
    <m/>
    <m/>
    <m/>
    <m/>
    <m/>
    <m/>
    <m/>
    <m/>
    <m/>
    <m/>
    <m/>
    <m/>
    <m/>
    <m/>
    <m/>
    <m/>
    <m/>
    <m/>
    <m/>
    <m/>
    <m/>
    <m/>
    <m/>
    <m/>
    <m/>
    <m/>
    <m/>
    <n v="50"/>
    <n v="100"/>
    <n v="150"/>
    <n v="250"/>
    <n v="500"/>
    <n v="750"/>
    <s v="NO"/>
    <m/>
    <m/>
    <m/>
    <s v="NO"/>
    <m/>
    <m/>
    <m/>
    <s v="NO"/>
    <m/>
    <m/>
    <m/>
    <s v="NO"/>
    <m/>
    <m/>
    <m/>
    <s v="NO"/>
    <m/>
    <m/>
    <m/>
    <s v="NO"/>
    <m/>
    <m/>
    <m/>
    <s v="NO"/>
    <m/>
    <m/>
    <m/>
    <s v="NO"/>
    <m/>
    <m/>
    <m/>
    <s v="NO"/>
    <m/>
    <m/>
    <m/>
    <s v="NO"/>
    <m/>
    <m/>
    <m/>
    <s v="NO"/>
    <m/>
    <m/>
    <m/>
    <s v="NO"/>
    <m/>
    <m/>
    <m/>
    <s v="NO"/>
    <m/>
    <m/>
    <m/>
    <s v="NO"/>
    <m/>
    <m/>
    <m/>
    <s v="NO"/>
    <m/>
    <m/>
    <m/>
    <s v="YES"/>
    <n v="150"/>
    <n v="0.33"/>
    <n v="750"/>
    <m/>
    <m/>
    <m/>
    <m/>
    <m/>
    <s v="NO"/>
    <m/>
    <m/>
    <s v="NO"/>
    <s v="NO"/>
    <m/>
    <m/>
    <s v="Endline evaluation is being conducted by TUFT University and they did not submit the report yet."/>
    <x v="1"/>
    <s v="NO"/>
    <s v="NO"/>
    <s v="YES"/>
    <s v="YES"/>
    <s v="YES"/>
    <s v="YES"/>
    <s v="YES"/>
    <m/>
    <m/>
    <x v="2"/>
    <s v="Project pilotted a training program and developed training module for both garment workers and supervisors. After initial analysis it found the WIFI model very effective to mitigate the inequality between women"/>
    <x v="3"/>
    <s v="Project  arrenged a national level learning sharing event. Project initiated to new phase to ensure the sustainability of the model."/>
    <x v="1"/>
    <x v="1"/>
    <s v="YES"/>
    <x v="0"/>
    <x v="0"/>
    <x v="0"/>
    <x v="2"/>
    <n v="4"/>
    <x v="1"/>
    <x v="1"/>
    <x v="1"/>
    <x v="1"/>
    <x v="1"/>
    <x v="1"/>
    <n v="4"/>
    <x v="0"/>
    <x v="0"/>
    <x v="0"/>
    <x v="0"/>
    <x v="0"/>
    <n v="0"/>
    <x v="2"/>
    <x v="3"/>
    <n v="2"/>
    <s v="Local NGO(s)/CSO(s)"/>
    <m/>
    <m/>
    <x v="2"/>
    <s v="Project engaged civil society at different level. At field level it incorporated civil society to ensure service linkage for the beneficiaries. At national level, project initiated to share the WIFI  model with linkminded organization, government and other civiil society organizaiton."/>
    <s v="Project got no cost extention for few months to ensure quality accomplishmen tof the some planned activities."/>
    <s v="Development of WIFI model which later found very effective in the garemnt setting."/>
    <s v="Advocacy with the factory management"/>
    <s v="Return of investemnt analysis also found effective as it was sellable to the owners and higher management of the garemnt factories."/>
    <s v="Time management was very important as factory had a tight schedule to reach their target production."/>
    <s v="Support from the supervisors were very crutial ."/>
    <s v="Capacity of the partners was very crutial. If the partner was more efficient the we could have achieved some more fruittul result."/>
    <m/>
    <s v="Baseline Summary Report, Project Final report"/>
    <n v="150"/>
    <n v="750"/>
    <n v="5"/>
    <n v="0.33333333333333331"/>
    <n v="0.33333333333333331"/>
    <n v="50"/>
    <n v="250"/>
    <s v=""/>
    <n v="0"/>
    <n v="0"/>
    <s v=""/>
    <s v=""/>
    <n v="0"/>
    <n v="0"/>
    <s v=""/>
    <s v=""/>
    <n v="0"/>
    <n v="0"/>
    <s v=""/>
    <s v=""/>
    <n v="0"/>
    <n v="0"/>
    <s v=""/>
    <n v="1"/>
    <n v="150"/>
    <n v="750"/>
    <n v="5"/>
    <s v="4. Transformative"/>
    <s v="2. Accommodating"/>
    <s v="No marker score"/>
    <s v="It tested new ways for fighting poverty and measured results of innovation"/>
    <s v="Moderate advocacy"/>
    <s v="It took tested solutions to scale on its own"/>
  </r>
  <r>
    <x v="3"/>
    <x v="0"/>
    <m/>
    <s v="Women in Factories Initiative-Sustainability phase"/>
    <s v="Bangladesh"/>
    <s v="WALMBD0011"/>
    <s v="CARE USA"/>
    <s v="Foundation"/>
    <s v="Other"/>
    <s v="Walmart Foundation"/>
    <m/>
    <m/>
    <m/>
    <m/>
    <m/>
    <m/>
    <m/>
    <m/>
    <m/>
    <m/>
    <m/>
    <m/>
    <m/>
    <m/>
    <m/>
    <m/>
    <m/>
    <m/>
    <m/>
    <m/>
    <m/>
    <m/>
    <m/>
    <m/>
    <m/>
    <m/>
    <m/>
    <m/>
    <m/>
    <m/>
    <m/>
    <m/>
    <m/>
    <m/>
    <m/>
    <m/>
    <m/>
    <m/>
    <m/>
    <m/>
    <m/>
    <m/>
    <m/>
    <m/>
    <m/>
    <d v="2016-08-15T00:00:00"/>
    <d v="2018-02-15T00:00:00"/>
    <m/>
    <s v="Development Other"/>
    <n v="389328"/>
    <s v="Himaira Aziz"/>
    <s v="Director-WGEP"/>
    <s v="humaira.aziz@care.org"/>
    <s v="Nadia Afrin Shams"/>
    <s v="Program Coordinator-Workforce Empowerment Program"/>
    <s v="nadiaafrin.shams@care.org"/>
    <s v="NO"/>
    <s v="YES"/>
    <s v="NO"/>
    <s v="Empower women working in factories to: Obtain skills necessary for career advancement and increase earning potential; Gain practical knowledge that, when implemented, can enhance quality of life for workers and their families; Access support networks; Share knowledge with others in the factory and community."/>
    <s v="Sub-National"/>
    <s v="Dhaka, Gazipur and Chittagang district"/>
    <s v="Women garment workers"/>
    <n v="24000"/>
    <n v="6000"/>
    <n v="30000"/>
    <n v="120000"/>
    <n v="60000"/>
    <n v="180000"/>
    <s v="Female and male garment worker as direct benificiaries. Community people and family members of the direct beneficiaries will be counted as indirect beneficiaries."/>
    <m/>
    <m/>
    <m/>
    <m/>
    <m/>
    <m/>
    <m/>
    <m/>
    <m/>
    <m/>
    <m/>
    <m/>
    <m/>
    <m/>
    <m/>
    <m/>
    <m/>
    <m/>
    <m/>
    <m/>
    <m/>
    <m/>
    <m/>
    <m/>
    <m/>
    <m/>
    <m/>
    <m/>
    <m/>
    <m/>
    <m/>
    <m/>
    <m/>
    <m/>
    <m/>
    <m/>
    <m/>
    <m/>
    <m/>
    <m/>
    <m/>
    <m/>
    <m/>
    <m/>
    <m/>
    <m/>
    <m/>
    <m/>
    <m/>
    <m/>
    <m/>
    <m/>
    <m/>
    <m/>
    <m/>
    <m/>
    <m/>
    <m/>
    <m/>
    <m/>
    <m/>
    <m/>
    <m/>
    <m/>
    <m/>
    <m/>
    <m/>
    <m/>
    <m/>
    <m/>
    <m/>
    <m/>
    <m/>
    <m/>
    <m/>
    <m/>
    <m/>
    <m/>
    <m/>
    <m/>
    <m/>
    <m/>
    <m/>
    <m/>
    <m/>
    <m/>
    <m/>
    <m/>
    <m/>
    <m/>
    <m/>
    <m/>
    <m/>
    <m/>
    <m/>
    <m/>
    <m/>
    <m/>
    <m/>
    <m/>
    <m/>
    <m/>
    <m/>
    <m/>
    <m/>
    <m/>
    <m/>
    <m/>
    <m/>
    <m/>
    <m/>
    <m/>
    <m/>
    <m/>
    <m/>
    <m/>
    <m/>
    <m/>
    <m/>
    <m/>
    <m/>
    <m/>
    <m/>
    <m/>
    <m/>
    <m/>
    <m/>
    <m/>
    <m/>
    <m/>
    <s v="Project has not started the implementation yet"/>
    <s v="YES"/>
    <m/>
    <m/>
    <m/>
    <s v="NO"/>
    <m/>
    <m/>
    <s v="NO"/>
    <s v="YES"/>
    <s v="December"/>
    <n v="2017"/>
    <s v="Project did not start implementation yet."/>
    <x v="0"/>
    <m/>
    <m/>
    <m/>
    <m/>
    <m/>
    <m/>
    <m/>
    <m/>
    <m/>
    <x v="0"/>
    <m/>
    <x v="0"/>
    <m/>
    <x v="0"/>
    <x v="1"/>
    <s v="YES"/>
    <x v="0"/>
    <x v="0"/>
    <x v="1"/>
    <x v="4"/>
    <n v="3"/>
    <x v="1"/>
    <x v="1"/>
    <x v="1"/>
    <x v="1"/>
    <x v="2"/>
    <x v="1"/>
    <n v="3"/>
    <x v="0"/>
    <x v="0"/>
    <x v="0"/>
    <x v="0"/>
    <x v="0"/>
    <n v="0"/>
    <x v="2"/>
    <x v="1"/>
    <m/>
    <m/>
    <m/>
    <m/>
    <x v="2"/>
    <m/>
    <m/>
    <s v="Development of WIFI model which later found very effective in the garemnt setting."/>
    <s v="Advocacy with the factory management"/>
    <s v="Return of investemnt analysis also found effective as it was sellable to the owners and higher management of the garemnt factories."/>
    <m/>
    <m/>
    <m/>
    <m/>
    <m/>
    <n v="0"/>
    <n v="0"/>
    <s v=""/>
    <s v=""/>
    <s v=""/>
    <n v="0"/>
    <n v="0"/>
    <s v=""/>
    <n v="0"/>
    <n v="0"/>
    <s v=""/>
    <s v=""/>
    <n v="0"/>
    <n v="0"/>
    <s v=""/>
    <s v=""/>
    <n v="0"/>
    <n v="0"/>
    <s v=""/>
    <s v=""/>
    <n v="0"/>
    <n v="0"/>
    <s v=""/>
    <s v=""/>
    <n v="0"/>
    <n v="0"/>
    <s v=""/>
    <s v="3. Responsive"/>
    <s v="2. Accommodating"/>
    <s v="No marker score"/>
    <s v="It did not develop any specific innovation"/>
    <s v="Little or no advocacy"/>
    <s v="It did not take tested solutions to scale"/>
  </r>
  <r>
    <x v="4"/>
    <x v="1"/>
    <m/>
    <s v="Brussels Syria Conference - EU Syria Strategy"/>
    <s v="Belgium"/>
    <m/>
    <s v="CI Secretariat"/>
    <m/>
    <m/>
    <m/>
    <m/>
    <m/>
    <m/>
    <m/>
    <m/>
    <m/>
    <m/>
    <m/>
    <m/>
    <m/>
    <m/>
    <m/>
    <m/>
    <m/>
    <m/>
    <m/>
    <m/>
    <m/>
    <m/>
    <m/>
    <m/>
    <m/>
    <m/>
    <m/>
    <m/>
    <m/>
    <m/>
    <m/>
    <m/>
    <m/>
    <m/>
    <m/>
    <m/>
    <m/>
    <m/>
    <m/>
    <m/>
    <m/>
    <m/>
    <m/>
    <m/>
    <m/>
    <m/>
    <m/>
    <m/>
    <d v="2016-11-01T00:00:00"/>
    <s v="31/04/2017"/>
    <m/>
    <s v="Humanitarian Other"/>
    <m/>
    <s v="Inge BREES"/>
    <s v="Senior EU Advocacy Officer"/>
    <s v="brees@careinternational.org"/>
    <m/>
    <m/>
    <m/>
    <s v="YES"/>
    <s v="YES"/>
    <s v="YES"/>
    <s v="To influence new EU Strategy on Syria and outcome of Brussels Syria conference"/>
    <s v="Regional"/>
    <s v="Brussels and Amman"/>
    <s v="Syrian population inside Syria and in exile , particularly women"/>
    <m/>
    <m/>
    <m/>
    <m/>
    <m/>
    <m/>
    <s v="Direct participants: EEAS, ECHO, NEAR, Norway, COHAFA, Syrian CSOs, UN Women, other international NGOs, EU Member States (from capital or Permrep, particularly UK and Germany), other donors (eg Switzerland)   / Indirect participants: Journalists"/>
    <m/>
    <m/>
    <m/>
    <m/>
    <m/>
    <m/>
    <m/>
    <m/>
    <m/>
    <m/>
    <m/>
    <m/>
    <m/>
    <m/>
    <m/>
    <m/>
    <m/>
    <m/>
    <m/>
    <m/>
    <m/>
    <m/>
    <m/>
    <m/>
    <m/>
    <m/>
    <m/>
    <m/>
    <m/>
    <m/>
    <m/>
    <m/>
    <m/>
    <m/>
    <m/>
    <m/>
    <m/>
    <m/>
    <m/>
    <m/>
    <m/>
    <m/>
    <m/>
    <m/>
    <m/>
    <m/>
    <m/>
    <m/>
    <m/>
    <m/>
    <m/>
    <m/>
    <m/>
    <m/>
    <m/>
    <m/>
    <m/>
    <m/>
    <m/>
    <m/>
    <m/>
    <m/>
    <m/>
    <m/>
    <m/>
    <m/>
    <m/>
    <m/>
    <m/>
    <m/>
    <m/>
    <m/>
    <m/>
    <m/>
    <s v="YES"/>
    <m/>
    <m/>
    <m/>
    <m/>
    <m/>
    <m/>
    <m/>
    <m/>
    <m/>
    <m/>
    <m/>
    <m/>
    <m/>
    <m/>
    <m/>
    <s v="YES"/>
    <m/>
    <m/>
    <m/>
    <s v="YES"/>
    <m/>
    <m/>
    <m/>
    <s v="YES"/>
    <m/>
    <m/>
    <m/>
    <m/>
    <m/>
    <m/>
    <m/>
    <s v="YES"/>
    <m/>
    <m/>
    <m/>
    <m/>
    <m/>
    <m/>
    <m/>
    <s v="YES"/>
    <m/>
    <m/>
    <m/>
    <m/>
    <m/>
    <m/>
    <m/>
    <m/>
    <m/>
    <m/>
    <m/>
    <s v="YES"/>
    <m/>
    <m/>
    <m/>
    <s v="Displacement, Funding"/>
    <s v="YES"/>
    <m/>
    <m/>
    <m/>
    <s v="NO"/>
    <m/>
    <m/>
    <m/>
    <s v="NO"/>
    <m/>
    <m/>
    <s v="We will monitor the EU's rhetoric and practice (in terms of funding and policy dialogue), to see whether the EU Strategy is being implemented and respected"/>
    <x v="2"/>
    <s v="YES"/>
    <s v="YES"/>
    <m/>
    <m/>
    <m/>
    <s v="YES"/>
    <s v="YES"/>
    <s v="YES"/>
    <m/>
    <x v="3"/>
    <s v="In line with CARE WHS commitment to localisation, we have sought to ensure to bring a Syrian CSO speaker for every speaking slot and event we organised on Syria (and other Type 4s), which turned out to be very impactful and positively received by the EU presidencies"/>
    <x v="2"/>
    <m/>
    <x v="1"/>
    <x v="1"/>
    <m/>
    <x v="2"/>
    <x v="2"/>
    <x v="2"/>
    <x v="3"/>
    <n v="0"/>
    <x v="2"/>
    <x v="0"/>
    <x v="1"/>
    <x v="1"/>
    <x v="0"/>
    <x v="5"/>
    <n v="2"/>
    <x v="3"/>
    <x v="0"/>
    <x v="0"/>
    <x v="0"/>
    <x v="0"/>
    <n v="0"/>
    <x v="2"/>
    <x v="3"/>
    <m/>
    <s v="Local NGO(s)/CSO(s)"/>
    <s v="International NGO(s)"/>
    <s v="Multilateral organization(s)"/>
    <x v="0"/>
    <m/>
    <m/>
    <s v="Advocacy effort on EU Syria strategy"/>
    <s v="Advocacy effort on Brussels Syria conference"/>
    <s v="Greater engagement with Syrian CSOs and enabling their advocacy and coordination without visibility for CARE"/>
    <s v="Journalists are interested in talking to affected local CSOs, and facilitating those links can also lead to access to media for CARE"/>
    <s v="Allies are crucial to achieve impact on EU policies"/>
    <m/>
    <s v="The influencing of the EU strategy was mostly done in Brussels, but with input from across CARE, including from the Syria region, and via direct linkage to the regional NGO Forum SIRF. In addition, a high level event was organised by CARE UK, UN Women and the Norwegian government, which was one of the co-sponsors of the event, focusing on women's perspective on the crisis, bringing in plenty of women's organisations.Furthermore, we did work to support Syrian CSOs without visibility for CARE, to enable their reach to decision makers such as the US delegation to the conference."/>
    <s v="http://www.consilium.europa.eu/en/meetings/fac/2017/04/st07922_en17_pdf - http://www.consilium.europa.eu/en/press/press-releases/2017/04/05-syria-conference-co-chairs-declaration/ -  https://www.norway.no/en/missions/eu/about-the-mission/news-events-statements/news2/including-women-a-prerequisite-for-lasting-peace-in-syria/"/>
    <n v="0"/>
    <n v="0"/>
    <s v=""/>
    <s v=""/>
    <s v=""/>
    <n v="0"/>
    <n v="0"/>
    <n v="1"/>
    <n v="0"/>
    <n v="0"/>
    <s v=""/>
    <n v="1"/>
    <n v="0"/>
    <n v="0"/>
    <s v=""/>
    <s v=""/>
    <n v="0"/>
    <n v="0"/>
    <s v=""/>
    <n v="1"/>
    <n v="0"/>
    <n v="0"/>
    <s v=""/>
    <n v="1"/>
    <n v="0"/>
    <n v="0"/>
    <s v=""/>
    <s v="No marker score"/>
    <s v="3. Responsive"/>
    <s v="No marker score"/>
    <n v="0"/>
    <s v="Intensive advocacy"/>
    <n v="0"/>
  </r>
  <r>
    <x v="4"/>
    <x v="1"/>
    <m/>
    <s v="EU resilience policy"/>
    <s v="Belgium"/>
    <m/>
    <s v="CI Secretariat"/>
    <m/>
    <m/>
    <m/>
    <m/>
    <m/>
    <m/>
    <m/>
    <m/>
    <m/>
    <m/>
    <m/>
    <m/>
    <m/>
    <m/>
    <m/>
    <m/>
    <m/>
    <m/>
    <m/>
    <m/>
    <m/>
    <m/>
    <m/>
    <m/>
    <m/>
    <m/>
    <m/>
    <m/>
    <m/>
    <m/>
    <m/>
    <m/>
    <m/>
    <m/>
    <m/>
    <m/>
    <m/>
    <m/>
    <m/>
    <m/>
    <m/>
    <m/>
    <m/>
    <m/>
    <m/>
    <m/>
    <m/>
    <m/>
    <d v="2016-10-01T00:00:00"/>
    <d v="2017-10-30T00:00:00"/>
    <m/>
    <s v="Development Other"/>
    <m/>
    <s v="Inge BREES"/>
    <s v="Senior EU Advocacy Officer"/>
    <s v="brees@careinternational.org"/>
    <m/>
    <m/>
    <m/>
    <s v="YES"/>
    <s v="YES"/>
    <s v="YES"/>
    <s v="Influence EU Global strategy strand on resilience, Resilience Communication, and Resilience Council Conclusions"/>
    <s v="Global"/>
    <s v="Everywhere"/>
    <s v="Anyone benefiting from development funding from the European Commission or EU Member States or experiencing impact of EU external action policy, including development policy"/>
    <m/>
    <m/>
    <m/>
    <m/>
    <m/>
    <m/>
    <s v="Direct participants: European External Action Service, European Commission (ECHO and DEVCO), international NGOs, Perm Reps/EU Member States"/>
    <m/>
    <m/>
    <m/>
    <m/>
    <m/>
    <m/>
    <m/>
    <m/>
    <m/>
    <m/>
    <m/>
    <m/>
    <m/>
    <m/>
    <m/>
    <m/>
    <m/>
    <m/>
    <m/>
    <s v="YES"/>
    <m/>
    <m/>
    <m/>
    <m/>
    <m/>
    <m/>
    <m/>
    <m/>
    <m/>
    <m/>
    <m/>
    <m/>
    <m/>
    <m/>
    <m/>
    <s v="Yes"/>
    <m/>
    <m/>
    <m/>
    <m/>
    <m/>
    <m/>
    <m/>
    <m/>
    <m/>
    <m/>
    <m/>
    <m/>
    <m/>
    <m/>
    <m/>
    <m/>
    <m/>
    <m/>
    <m/>
    <m/>
    <m/>
    <m/>
    <m/>
    <m/>
    <m/>
    <m/>
    <m/>
    <m/>
    <m/>
    <m/>
    <m/>
    <m/>
    <m/>
    <m/>
    <s v="YES"/>
    <m/>
    <m/>
    <m/>
    <s v="YES"/>
    <m/>
    <m/>
    <m/>
    <s v="YES"/>
    <m/>
    <m/>
    <m/>
    <m/>
    <m/>
    <m/>
    <m/>
    <m/>
    <m/>
    <m/>
    <m/>
    <s v="YES"/>
    <m/>
    <m/>
    <m/>
    <m/>
    <m/>
    <m/>
    <m/>
    <s v="YES"/>
    <m/>
    <m/>
    <m/>
    <m/>
    <m/>
    <m/>
    <m/>
    <m/>
    <m/>
    <m/>
    <m/>
    <s v="YES"/>
    <m/>
    <m/>
    <m/>
    <s v="YES"/>
    <m/>
    <m/>
    <m/>
    <m/>
    <m/>
    <m/>
    <m/>
    <m/>
    <m/>
    <m/>
    <m/>
    <m/>
    <m/>
    <m/>
    <m/>
    <s v="Migration and forced displacement"/>
    <s v="YES"/>
    <m/>
    <m/>
    <m/>
    <s v="NO"/>
    <m/>
    <m/>
    <m/>
    <s v="YES"/>
    <m/>
    <m/>
    <s v="The project is still ongoing as we are seeking to influence Member States' position on resilience, after which we will make an evaluation of how we influenced the council conclusions"/>
    <x v="2"/>
    <s v="YES"/>
    <m/>
    <s v="YES"/>
    <m/>
    <m/>
    <m/>
    <m/>
    <m/>
    <m/>
    <x v="0"/>
    <m/>
    <x v="2"/>
    <m/>
    <x v="3"/>
    <x v="0"/>
    <s v="YES"/>
    <x v="2"/>
    <x v="2"/>
    <x v="2"/>
    <x v="5"/>
    <n v="1"/>
    <x v="2"/>
    <x v="1"/>
    <x v="1"/>
    <x v="1"/>
    <x v="0"/>
    <x v="5"/>
    <n v="3"/>
    <x v="3"/>
    <x v="1"/>
    <x v="1"/>
    <x v="1"/>
    <x v="4"/>
    <n v="3"/>
    <x v="3"/>
    <x v="3"/>
    <n v="15"/>
    <s v="International NGO(s)"/>
    <s v="Multilateral organization(s)"/>
    <s v="Regional alliance(s)/Platform(s)/Network(s) of  NGOs/CSOs"/>
    <x v="1"/>
    <m/>
    <s v="CARE influenced the text of the European Commission and European External Action Service Communication, which is the basis for the discussions with Member States and the European Parliament. We ensured effective damage control as the Communication is truly global and not just focusing on migrant-producing regions, and is not just about security but also reinforces a lot of points relating to CARE's position on resilience, including the gender dimension of resilience. Moreover, we successfully got VOICE and CONCORD to adopt our view on 'state resilience' being really about inclusive governance (CARE approach)."/>
    <s v="Advocacy"/>
    <s v="Working in CSO alliances"/>
    <m/>
    <s v="Position CARE as a thought-leader to gain access to policy writers and decision-makers"/>
    <s v="Have clear and impactful messaging"/>
    <s v="Influence alliances and peers to strengthen voice and impact"/>
    <m/>
    <s v="https://eeas.europa.eu/sites/eeas/files/join_2017_21_f1_communication_from_commission_to_inst_en_v7_p1_916039.pdf  /  http://minerva.care.ca/livelink1/livelink.exe?func=ll&amp;objaction=overview&amp;objid=6815471"/>
    <n v="0"/>
    <n v="0"/>
    <s v=""/>
    <s v=""/>
    <s v=""/>
    <n v="0"/>
    <n v="0"/>
    <n v="1"/>
    <n v="0"/>
    <n v="0"/>
    <s v=""/>
    <n v="1"/>
    <n v="0"/>
    <n v="0"/>
    <s v=""/>
    <s v=""/>
    <n v="0"/>
    <n v="0"/>
    <s v=""/>
    <s v=""/>
    <n v="0"/>
    <n v="0"/>
    <s v=""/>
    <s v=""/>
    <n v="0"/>
    <n v="0"/>
    <s v=""/>
    <s v="0. Harmful"/>
    <s v="3. Responsive"/>
    <s v="4. Transformative"/>
    <s v="It did not develop any specific innovation"/>
    <s v="Intensive advocacy"/>
    <n v="0"/>
  </r>
  <r>
    <x v="4"/>
    <x v="1"/>
    <m/>
    <s v="European Consensus on Development"/>
    <s v="Belgium"/>
    <m/>
    <s v="CI Secretariat"/>
    <m/>
    <m/>
    <m/>
    <m/>
    <m/>
    <m/>
    <m/>
    <m/>
    <m/>
    <m/>
    <m/>
    <m/>
    <m/>
    <m/>
    <m/>
    <m/>
    <m/>
    <m/>
    <m/>
    <m/>
    <m/>
    <m/>
    <m/>
    <m/>
    <m/>
    <m/>
    <m/>
    <m/>
    <m/>
    <m/>
    <m/>
    <m/>
    <m/>
    <m/>
    <m/>
    <m/>
    <m/>
    <m/>
    <m/>
    <m/>
    <m/>
    <m/>
    <m/>
    <m/>
    <m/>
    <m/>
    <m/>
    <m/>
    <d v="2016-05-01T00:00:00"/>
    <d v="2017-06-07T00:00:00"/>
    <m/>
    <s v="Development Other"/>
    <m/>
    <s v="Inge BREES"/>
    <s v="Senior EU Advocacy Officer"/>
    <s v="brees@careinternational.org"/>
    <m/>
    <m/>
    <m/>
    <s v="NO"/>
    <s v="YES"/>
    <s v="NO"/>
    <s v="To influence the new development policy of the European Commission and Member States. The policy is for at least 10 years."/>
    <s v="Global"/>
    <s v="Brussels and (via CONCORD) other European capitals"/>
    <s v="Anyone benefiting from development funding of the European Commission or Member States and citizens of EU partner countries influenced through EU development policy dialogue"/>
    <m/>
    <m/>
    <m/>
    <m/>
    <m/>
    <m/>
    <s v="Direct participants: Concord NGO umbrella, European Commission (DEVCO and NEAR), European Parliament (DEVE committee), European External Action Service, 28 EU Member States (particularly Malta as EU presidency and in particular the CODEV representatives of the 28 Member States)"/>
    <m/>
    <m/>
    <m/>
    <m/>
    <m/>
    <m/>
    <m/>
    <m/>
    <m/>
    <m/>
    <m/>
    <m/>
    <m/>
    <m/>
    <m/>
    <m/>
    <m/>
    <m/>
    <m/>
    <m/>
    <m/>
    <m/>
    <m/>
    <m/>
    <m/>
    <m/>
    <m/>
    <m/>
    <m/>
    <m/>
    <m/>
    <m/>
    <m/>
    <m/>
    <m/>
    <m/>
    <m/>
    <m/>
    <m/>
    <m/>
    <m/>
    <m/>
    <m/>
    <m/>
    <m/>
    <m/>
    <m/>
    <m/>
    <m/>
    <m/>
    <m/>
    <m/>
    <m/>
    <m/>
    <m/>
    <m/>
    <m/>
    <m/>
    <m/>
    <m/>
    <m/>
    <m/>
    <m/>
    <m/>
    <m/>
    <m/>
    <s v="YES"/>
    <m/>
    <m/>
    <m/>
    <s v="YES"/>
    <m/>
    <m/>
    <m/>
    <s v="YES"/>
    <m/>
    <m/>
    <m/>
    <s v="YES"/>
    <m/>
    <m/>
    <m/>
    <m/>
    <m/>
    <m/>
    <m/>
    <m/>
    <m/>
    <m/>
    <m/>
    <s v="YES"/>
    <m/>
    <m/>
    <m/>
    <s v="YES"/>
    <m/>
    <m/>
    <m/>
    <s v="YES"/>
    <m/>
    <m/>
    <m/>
    <m/>
    <m/>
    <m/>
    <m/>
    <m/>
    <m/>
    <m/>
    <m/>
    <m/>
    <m/>
    <m/>
    <m/>
    <s v="YES"/>
    <m/>
    <m/>
    <m/>
    <s v="YES"/>
    <m/>
    <m/>
    <m/>
    <m/>
    <m/>
    <m/>
    <m/>
    <s v="YES"/>
    <m/>
    <m/>
    <m/>
    <s v="Migration; Aid effectiveness; Financing for Development; Role of the Private Sector"/>
    <s v="YES"/>
    <m/>
    <m/>
    <m/>
    <s v="NO"/>
    <m/>
    <m/>
    <m/>
    <s v="NO"/>
    <m/>
    <m/>
    <s v="We will monitor funding  and policy decisions and rhetoric by the European Commission (EC) and the EU more broadly at topline level, combined with intell and evidence from the CONCORD network and the EC itself via its annual reports, to see whether EU action is in line with the commitments made in the European Consensus on Development."/>
    <x v="2"/>
    <s v="YES"/>
    <m/>
    <m/>
    <m/>
    <m/>
    <m/>
    <m/>
    <m/>
    <m/>
    <x v="3"/>
    <m/>
    <x v="2"/>
    <m/>
    <x v="1"/>
    <x v="1"/>
    <m/>
    <x v="2"/>
    <x v="2"/>
    <x v="2"/>
    <x v="3"/>
    <n v="0"/>
    <x v="1"/>
    <x v="0"/>
    <x v="0"/>
    <x v="1"/>
    <x v="0"/>
    <x v="4"/>
    <n v="1"/>
    <x v="3"/>
    <x v="0"/>
    <x v="0"/>
    <x v="0"/>
    <x v="0"/>
    <n v="0"/>
    <x v="1"/>
    <x v="3"/>
    <n v="40"/>
    <s v="Regional alliance(s)/Platform(s)/Network(s) of  NGOs/CSOs"/>
    <s v="International NGO(s)"/>
    <s v="Other"/>
    <x v="1"/>
    <m/>
    <s v="Yes, less staff capacity due to the end of the Gates project, and as a result less engagement with Parliament and Council in the final negotiations of the Consensus."/>
    <s v="Advocacy"/>
    <m/>
    <m/>
    <s v="Intensive advocacy towards the European Parliament can pay off, as showcased by explicit CARE language in final position of the Parliament on the Consensus, which ultimately influenced the final policy document"/>
    <m/>
    <m/>
    <m/>
    <s v="https://www.care-international.org/files/files/CARE_the_European_Consensus_on_Development.pdf   /   http://concordeurope.org/wp-content/uploads/2016/09/European-Consensus-on-Development-CONCORD-political-position-paper-Aug-2016.pdf"/>
    <n v="0"/>
    <n v="0"/>
    <s v=""/>
    <s v=""/>
    <s v=""/>
    <n v="0"/>
    <n v="0"/>
    <s v=""/>
    <n v="0"/>
    <n v="0"/>
    <s v=""/>
    <n v="1"/>
    <n v="0"/>
    <n v="0"/>
    <s v=""/>
    <n v="1"/>
    <n v="0"/>
    <n v="0"/>
    <s v=""/>
    <n v="1"/>
    <n v="0"/>
    <n v="0"/>
    <s v=""/>
    <n v="1"/>
    <n v="0"/>
    <n v="0"/>
    <s v=""/>
    <s v="No marker score"/>
    <s v="1. Tokenistic"/>
    <s v="No marker score"/>
    <n v="0"/>
    <s v="Intensive advocacy"/>
    <n v="0"/>
  </r>
  <r>
    <x v="4"/>
    <x v="1"/>
    <m/>
    <s v="Gender in emergencies- EU advocacy"/>
    <s v="Belgium"/>
    <m/>
    <s v="CI Secretariat"/>
    <m/>
    <m/>
    <m/>
    <m/>
    <m/>
    <m/>
    <m/>
    <m/>
    <m/>
    <m/>
    <m/>
    <m/>
    <m/>
    <m/>
    <m/>
    <m/>
    <m/>
    <m/>
    <m/>
    <m/>
    <m/>
    <m/>
    <m/>
    <m/>
    <m/>
    <m/>
    <m/>
    <m/>
    <m/>
    <m/>
    <m/>
    <m/>
    <m/>
    <m/>
    <m/>
    <m/>
    <m/>
    <m/>
    <m/>
    <m/>
    <m/>
    <m/>
    <m/>
    <m/>
    <m/>
    <m/>
    <m/>
    <m/>
    <m/>
    <m/>
    <m/>
    <s v="Humanitarian Other"/>
    <m/>
    <s v="Inge BREES"/>
    <s v="Senior EU Advocacy Officer"/>
    <s v="brees@careinternational.org"/>
    <m/>
    <m/>
    <m/>
    <s v="YES"/>
    <s v="NO"/>
    <s v="NO"/>
    <s v="To monitor the implementation of the WHS and gender and emergencies policies"/>
    <s v="Global"/>
    <s v="Everywhere"/>
    <s v="Anyone benefiting from humanitarian and peacebuilding funding from the European Commission or EU Member States via EU aid beneficiaries"/>
    <m/>
    <m/>
    <m/>
    <m/>
    <m/>
    <m/>
    <s v="Direct participants:  EEAS, Permrep, ECHO, COHAFA, DEVCO, NEAR, IRC, EPLO, EuroNGOs network, VOICE, Syrian CSOs"/>
    <m/>
    <m/>
    <m/>
    <m/>
    <m/>
    <m/>
    <m/>
    <m/>
    <m/>
    <m/>
    <m/>
    <s v="YES"/>
    <m/>
    <m/>
    <m/>
    <s v="YES"/>
    <m/>
    <m/>
    <m/>
    <s v="YES"/>
    <m/>
    <m/>
    <m/>
    <s v="YES"/>
    <m/>
    <m/>
    <m/>
    <s v="YES"/>
    <m/>
    <m/>
    <m/>
    <m/>
    <m/>
    <m/>
    <m/>
    <m/>
    <m/>
    <m/>
    <m/>
    <s v="YES"/>
    <m/>
    <m/>
    <m/>
    <s v="YES"/>
    <m/>
    <m/>
    <m/>
    <m/>
    <m/>
    <m/>
    <m/>
    <m/>
    <m/>
    <m/>
    <m/>
    <m/>
    <m/>
    <m/>
    <m/>
    <m/>
    <m/>
    <m/>
    <m/>
    <m/>
    <m/>
    <m/>
    <m/>
    <m/>
    <m/>
    <m/>
    <m/>
    <m/>
    <m/>
    <m/>
    <m/>
    <m/>
    <m/>
    <m/>
    <m/>
    <m/>
    <m/>
    <m/>
    <m/>
    <m/>
    <m/>
    <m/>
    <m/>
    <m/>
    <m/>
    <m/>
    <m/>
    <m/>
    <m/>
    <m/>
    <m/>
    <m/>
    <m/>
    <m/>
    <m/>
    <m/>
    <m/>
    <m/>
    <m/>
    <m/>
    <m/>
    <m/>
    <m/>
    <m/>
    <m/>
    <m/>
    <m/>
    <m/>
    <m/>
    <m/>
    <m/>
    <m/>
    <m/>
    <m/>
    <m/>
    <m/>
    <m/>
    <m/>
    <m/>
    <m/>
    <m/>
    <m/>
    <m/>
    <m/>
    <m/>
    <m/>
    <m/>
    <m/>
    <m/>
    <m/>
    <m/>
    <s v="NO"/>
    <m/>
    <m/>
    <m/>
    <s v="NO"/>
    <m/>
    <m/>
    <s v="It is self-monitoring. We will monitor funding decisions and rhetoric by the European Commission, combined with intell and evidence from the VOICE network."/>
    <x v="2"/>
    <s v="NO"/>
    <m/>
    <s v="YES"/>
    <s v="YES"/>
    <m/>
    <m/>
    <m/>
    <m/>
    <m/>
    <x v="3"/>
    <s v="In line with CARE WHS commitment to localisation, we have sought to ensure to bring a Syrian CSO speaker for every speaking slot and event we organised on Syria (and other Type 4s), which turned out to be very impactful and positively received by the EU presidencies"/>
    <x v="2"/>
    <m/>
    <x v="2"/>
    <x v="1"/>
    <s v="YES"/>
    <x v="0"/>
    <x v="2"/>
    <x v="2"/>
    <x v="4"/>
    <n v="2"/>
    <x v="2"/>
    <x v="0"/>
    <x v="1"/>
    <x v="0"/>
    <x v="0"/>
    <x v="0"/>
    <n v="1"/>
    <x v="3"/>
    <x v="0"/>
    <x v="0"/>
    <x v="0"/>
    <x v="0"/>
    <n v="0"/>
    <x v="2"/>
    <x v="0"/>
    <m/>
    <s v="International NGO(s)"/>
    <s v="Local alliance(s)/Platform(s)/Network(s) of  NGOs/CSOs"/>
    <s v="National government"/>
    <x v="0"/>
    <m/>
    <m/>
    <s v="Advocacy"/>
    <s v="Speaking together with local partners"/>
    <m/>
    <s v="CARE is a thought leader at EU level when it comes to implementation of gender commitments at the World Humanitarian Summit, demonstrated for example via the opportunity to brief EU Member States twice in one year with concrete recommendations on that topic, focusing respectively on Syria and Jordan."/>
    <m/>
    <m/>
    <m/>
    <s v="http://www.agendaforhumanity.org/sites/default/files/CARE_She-is-a-humanitarian-report_Feb-2017.pdf"/>
    <n v="0"/>
    <n v="0"/>
    <s v=""/>
    <s v=""/>
    <s v=""/>
    <n v="0"/>
    <n v="0"/>
    <n v="1"/>
    <n v="0"/>
    <n v="0"/>
    <s v=""/>
    <n v="1"/>
    <n v="0"/>
    <n v="0"/>
    <s v=""/>
    <n v="1"/>
    <n v="0"/>
    <n v="0"/>
    <s v=""/>
    <n v="1"/>
    <n v="0"/>
    <n v="0"/>
    <s v=""/>
    <s v=""/>
    <n v="0"/>
    <n v="0"/>
    <s v=""/>
    <s v="3. Responsive"/>
    <s v="No marker score"/>
    <s v="No marker score"/>
    <n v="0"/>
    <s v="Intensive advocacy"/>
    <n v="0"/>
  </r>
  <r>
    <x v="4"/>
    <x v="1"/>
    <m/>
    <s v="Humanitarian Advocacy (Global Support to Yemen Program)"/>
    <s v="Belgium"/>
    <m/>
    <s v="CI Secretariat"/>
    <m/>
    <m/>
    <m/>
    <m/>
    <m/>
    <m/>
    <m/>
    <m/>
    <m/>
    <m/>
    <m/>
    <m/>
    <m/>
    <m/>
    <m/>
    <m/>
    <m/>
    <m/>
    <m/>
    <m/>
    <m/>
    <m/>
    <m/>
    <m/>
    <m/>
    <m/>
    <m/>
    <m/>
    <m/>
    <m/>
    <m/>
    <m/>
    <m/>
    <m/>
    <m/>
    <m/>
    <m/>
    <m/>
    <m/>
    <m/>
    <m/>
    <m/>
    <m/>
    <m/>
    <m/>
    <m/>
    <m/>
    <m/>
    <m/>
    <m/>
    <m/>
    <s v="Humanitarian Other"/>
    <m/>
    <s v="Inge BREES"/>
    <s v="Senior EU Advocacy Officer"/>
    <s v="brees@careinternational.org"/>
    <m/>
    <m/>
    <m/>
    <s v="YES"/>
    <s v="YES"/>
    <s v="YES"/>
    <s v="To influence EU policy and programming on Yemen, in line with CO advocacy direction"/>
    <s v="National"/>
    <s v="Brussels"/>
    <s v="Yemeni population"/>
    <m/>
    <m/>
    <m/>
    <m/>
    <m/>
    <m/>
    <s v="Direct participants: EP, CO &amp; C-US, ad hoc NGO group Brussels, EC/EEAS/EU delegation, COHAFA (EU Member States)"/>
    <m/>
    <m/>
    <m/>
    <m/>
    <m/>
    <m/>
    <m/>
    <m/>
    <m/>
    <m/>
    <m/>
    <m/>
    <m/>
    <m/>
    <m/>
    <m/>
    <m/>
    <m/>
    <m/>
    <m/>
    <m/>
    <m/>
    <m/>
    <m/>
    <m/>
    <m/>
    <m/>
    <m/>
    <m/>
    <m/>
    <m/>
    <m/>
    <m/>
    <m/>
    <m/>
    <m/>
    <m/>
    <m/>
    <m/>
    <m/>
    <m/>
    <m/>
    <m/>
    <m/>
    <m/>
    <m/>
    <m/>
    <m/>
    <m/>
    <m/>
    <m/>
    <m/>
    <m/>
    <m/>
    <m/>
    <m/>
    <m/>
    <m/>
    <m/>
    <m/>
    <m/>
    <m/>
    <m/>
    <m/>
    <m/>
    <m/>
    <m/>
    <m/>
    <m/>
    <m/>
    <m/>
    <m/>
    <m/>
    <m/>
    <s v="YES"/>
    <m/>
    <m/>
    <m/>
    <m/>
    <m/>
    <m/>
    <m/>
    <s v="YES"/>
    <m/>
    <m/>
    <m/>
    <s v="NO"/>
    <m/>
    <m/>
    <m/>
    <s v="YES"/>
    <m/>
    <m/>
    <m/>
    <s v="YES"/>
    <m/>
    <m/>
    <m/>
    <s v="YES"/>
    <m/>
    <m/>
    <m/>
    <s v="YES"/>
    <m/>
    <m/>
    <m/>
    <s v="YES"/>
    <m/>
    <m/>
    <m/>
    <m/>
    <m/>
    <m/>
    <m/>
    <s v="YES"/>
    <m/>
    <m/>
    <m/>
    <s v="YES"/>
    <m/>
    <m/>
    <m/>
    <s v="YES"/>
    <m/>
    <m/>
    <m/>
    <s v="YES"/>
    <m/>
    <m/>
    <m/>
    <s v="Increasing Aid"/>
    <s v="YES"/>
    <m/>
    <m/>
    <m/>
    <s v="NO"/>
    <m/>
    <m/>
    <m/>
    <s v="NO"/>
    <m/>
    <m/>
    <m/>
    <x v="2"/>
    <m/>
    <s v="YES"/>
    <s v="YES"/>
    <m/>
    <s v="YES"/>
    <s v="YES"/>
    <s v="YES"/>
    <s v="YES"/>
    <m/>
    <x v="0"/>
    <m/>
    <x v="2"/>
    <m/>
    <x v="1"/>
    <x v="0"/>
    <m/>
    <x v="0"/>
    <x v="2"/>
    <x v="2"/>
    <x v="5"/>
    <n v="1"/>
    <x v="2"/>
    <x v="0"/>
    <x v="1"/>
    <x v="1"/>
    <x v="0"/>
    <x v="5"/>
    <n v="2"/>
    <x v="3"/>
    <x v="0"/>
    <x v="0"/>
    <x v="1"/>
    <x v="5"/>
    <n v="1"/>
    <x v="2"/>
    <x v="3"/>
    <m/>
    <s v="International NGO(s)"/>
    <s v="Multilateral organization(s)"/>
    <m/>
    <x v="3"/>
    <m/>
    <s v="Positive impact on EU positions for Yemen, including humanitarian demarche and Council conclusions_x000a_- CARE s advocacy in partnership with other international NGOs was the key factor that prevented EU development funding for Yemen being shifted to other crises_x000a_- European Parliament event on situation of women and girls in Yemen, making the EP a key ally in our advocacy for more awareness of this crisis_x000a_- CARE is considered as a key player on Yemen by the EU, for advocacy and funding"/>
    <s v="Partnership with other NGOs"/>
    <s v="Strong investment in relationshipbuilding with Yemen desks in ECHO, DEVCO, EEAS and with the political head of the (evacuated) EU Delegation for Yemen"/>
    <m/>
    <s v="An active CD who sees the value of briefing CARE advocacy people is priceless, and so are the donor sitreps which the CO produced"/>
    <s v="a good and co-owned advocacy strategy that regularly gets updated, regular advocacy calls, dedicated support of C-NL, CI UK, and CI EU"/>
    <s v="Challenge will be to keep the intel flowing while the EU Delegation is moving to Amman and CARE has no regional advocacy capacity to do advocacy work with key donors or multilaterals"/>
    <m/>
    <s v="http://www.consilium.europa.eu/press-releases-pdf/2017/4/47244657148_en.pdf"/>
    <n v="0"/>
    <n v="0"/>
    <s v=""/>
    <s v=""/>
    <s v=""/>
    <n v="0"/>
    <n v="0"/>
    <n v="1"/>
    <n v="0"/>
    <n v="0"/>
    <s v=""/>
    <n v="1"/>
    <n v="0"/>
    <n v="0"/>
    <s v=""/>
    <n v="1"/>
    <n v="0"/>
    <n v="0"/>
    <s v=""/>
    <n v="1"/>
    <n v="0"/>
    <n v="0"/>
    <s v=""/>
    <n v="1"/>
    <n v="0"/>
    <n v="0"/>
    <s v=""/>
    <s v="0. Harmful"/>
    <s v="3. Responsive"/>
    <s v="3. Responsive"/>
    <s v="It did not develop any specific innovation"/>
    <s v="Intensive advocacy"/>
    <n v="0"/>
  </r>
  <r>
    <x v="5"/>
    <x v="2"/>
    <m/>
    <s v="Approche Communale pour le Marché Agricole (ACMA)"/>
    <s v="Benin"/>
    <s v="IFDCBJ0001"/>
    <s v="No CARE member related to the project/initiative"/>
    <s v="Multilateral agency"/>
    <s v="Government - Netherlands"/>
    <s v="Embassy of the Netherlands"/>
    <m/>
    <m/>
    <m/>
    <m/>
    <m/>
    <m/>
    <m/>
    <m/>
    <m/>
    <m/>
    <m/>
    <m/>
    <m/>
    <m/>
    <m/>
    <m/>
    <m/>
    <m/>
    <m/>
    <m/>
    <m/>
    <m/>
    <m/>
    <m/>
    <m/>
    <m/>
    <m/>
    <m/>
    <m/>
    <m/>
    <m/>
    <m/>
    <m/>
    <m/>
    <m/>
    <m/>
    <m/>
    <m/>
    <m/>
    <m/>
    <m/>
    <m/>
    <m/>
    <m/>
    <m/>
    <d v="2013-11-01T00:00:00"/>
    <d v="2017-10-30T00:00:00"/>
    <m/>
    <s v="Development Food &amp; Nutrition Security and Resilience to Climate Change"/>
    <n v="1193230"/>
    <s v="Huguette SEKPE Sossouhounto"/>
    <s v="Program Team Manager  Securite Alimentaire Nutritionnelle &amp; Aadaptation au Changement Climatique"/>
    <s v="Huguette.Sekpe@care.org"/>
    <s v="Bonaventure NZavuga"/>
    <m/>
    <m/>
    <s v="NO"/>
    <s v="YES"/>
    <s v="NO"/>
    <s v="Amélioration de la sécurité alimentaire et l’accroissement des revenus agricoles des acteurs directs"/>
    <s v="Sub-National"/>
    <s v="Le programme ACMA intervient dans les départements de l'Ouémé, du Plateau et du Zou qui comprennent au total 22 communes. Il s'agit pour la plupart de communes frontalières du Nigéria (Ouémé, Plateau et Zou)"/>
    <s v="Le groupe d'impact du projet sont surtout Les acteurs  économiques directs regroupés sous forme de Pôles d'Entreprises Agricoles (PEA) y compris les groupes vulnérables notamment les femmes productrices, les transformatrices et commerçantes et autres petits acteurs. C'est également des groupes sensibles n'ayant pas accès au marché et au crédit. Le projet s'investit dans leur coaching pour la mobilisation de volume de prroduits agricole de qualité pour le marché béninois et nigérian."/>
    <n v="28000"/>
    <n v="42000"/>
    <n v="70000"/>
    <m/>
    <m/>
    <m/>
    <s v="Les participants directs sont les acteurs économiques béninois qui commercialisent leur produits sur le marché local et le marché nigérian. Ils participent dans les formations organisées par le projet, ils recoivent les équipements des infrastructures de stockage de la part du projet. ces acteurs s'inscrivent dans une dynamique de travailler dans les Pôles d'Entreprise Agricoles en renforcant les relation d'affaire entre les acteurs d'une même chaine de valeur."/>
    <m/>
    <m/>
    <m/>
    <m/>
    <m/>
    <m/>
    <m/>
    <m/>
    <m/>
    <m/>
    <m/>
    <m/>
    <m/>
    <m/>
    <m/>
    <m/>
    <m/>
    <m/>
    <m/>
    <m/>
    <m/>
    <m/>
    <m/>
    <m/>
    <m/>
    <m/>
    <m/>
    <m/>
    <m/>
    <m/>
    <m/>
    <m/>
    <m/>
    <m/>
    <m/>
    <m/>
    <m/>
    <m/>
    <m/>
    <m/>
    <m/>
    <m/>
    <m/>
    <m/>
    <m/>
    <m/>
    <m/>
    <m/>
    <m/>
    <m/>
    <m/>
    <m/>
    <m/>
    <m/>
    <m/>
    <m/>
    <m/>
    <m/>
    <m/>
    <m/>
    <n v="15234"/>
    <n v="15149"/>
    <n v="30383"/>
    <m/>
    <m/>
    <m/>
    <s v="NO"/>
    <m/>
    <m/>
    <m/>
    <s v="NO"/>
    <m/>
    <m/>
    <m/>
    <s v="NO"/>
    <m/>
    <m/>
    <m/>
    <s v="NO"/>
    <m/>
    <m/>
    <m/>
    <s v="NO"/>
    <m/>
    <m/>
    <m/>
    <s v="NO"/>
    <m/>
    <m/>
    <m/>
    <s v="YES"/>
    <n v="30383"/>
    <n v="0.50129999999999997"/>
    <m/>
    <s v="NO"/>
    <m/>
    <m/>
    <m/>
    <s v="YES"/>
    <n v="30383"/>
    <n v="0.50129999999999997"/>
    <m/>
    <s v="NO"/>
    <m/>
    <m/>
    <m/>
    <s v="YES"/>
    <n v="30383"/>
    <n v="0.50129999999999997"/>
    <m/>
    <s v="NO"/>
    <m/>
    <m/>
    <m/>
    <s v="NO"/>
    <m/>
    <m/>
    <m/>
    <s v="NO"/>
    <m/>
    <m/>
    <m/>
    <s v="NO"/>
    <m/>
    <m/>
    <m/>
    <s v="NO"/>
    <m/>
    <m/>
    <m/>
    <m/>
    <s v="NO"/>
    <m/>
    <m/>
    <m/>
    <s v="YES"/>
    <s v="June"/>
    <n v="2017"/>
    <s v="NO"/>
    <s v="NO"/>
    <m/>
    <m/>
    <s v="Une évaluation finale du projet a été réalisée par le bailleurs courant le mois de Juiln2017"/>
    <x v="1"/>
    <m/>
    <m/>
    <m/>
    <s v="YES"/>
    <m/>
    <m/>
    <m/>
    <s v="YES"/>
    <m/>
    <x v="0"/>
    <m/>
    <x v="0"/>
    <m/>
    <x v="1"/>
    <x v="2"/>
    <m/>
    <x v="2"/>
    <x v="2"/>
    <x v="2"/>
    <x v="3"/>
    <n v="0"/>
    <x v="0"/>
    <x v="0"/>
    <x v="0"/>
    <x v="0"/>
    <x v="0"/>
    <x v="0"/>
    <n v="0"/>
    <x v="0"/>
    <x v="0"/>
    <x v="0"/>
    <x v="0"/>
    <x v="0"/>
    <n v="0"/>
    <x v="1"/>
    <x v="4"/>
    <m/>
    <s v="Grassroots organization(s)"/>
    <s v="Local NGO(s)/CSO(s)"/>
    <s v="Local government(s)"/>
    <x v="3"/>
    <m/>
    <m/>
    <m/>
    <m/>
    <m/>
    <s v="Le financement est un outil important pour accroître les activités commerciales des PEA appuyés par le programme ACMA aussi bien au niveau de la production, de la transformation que de la commercialisation des produits agricoles ;"/>
    <s v="L’accès des produits warrantés à un bon marché est un élément capital qui motive l’adhésion de nouveaux acteurs économiques au système de warrantage ;"/>
    <s v="L’organisation de l’offre de certains produits peut être un facteur de régulation de leur prix sur le marché comme c’est le cas cette année avec la mobilisation de l’huile de palme à travers le warrantage qui favorise une meilleure négociation du prix de vente par les acteurs des PEA huile de palme ;"/>
    <m/>
    <s v="Rapports détaillés des axes du projet, rapport semestriel Janvier -Juin 2017"/>
    <n v="30383"/>
    <n v="0"/>
    <n v="0"/>
    <n v="0.50139880854425167"/>
    <s v=""/>
    <n v="15234"/>
    <n v="0"/>
    <s v=""/>
    <n v="0"/>
    <n v="0"/>
    <s v=""/>
    <n v="1"/>
    <n v="30383"/>
    <n v="0"/>
    <n v="0"/>
    <s v=""/>
    <n v="0"/>
    <n v="0"/>
    <s v=""/>
    <s v=""/>
    <n v="0"/>
    <n v="0"/>
    <s v=""/>
    <s v=""/>
    <n v="0"/>
    <n v="0"/>
    <s v=""/>
    <s v="No marker score"/>
    <s v="No marker score"/>
    <s v="No marker score"/>
    <s v="It did not develop any specific innovation"/>
    <s v="Moderate advocacy"/>
    <s v="It did not take tested solutions to scale"/>
  </r>
  <r>
    <x v="5"/>
    <x v="2"/>
    <m/>
    <s v="HINNOU VIVO"/>
    <s v="Benin"/>
    <s v="PFIZBJ0002"/>
    <s v="CARE USA"/>
    <s v="Foundation"/>
    <s v="Other"/>
    <s v="PFIZER Foundation"/>
    <m/>
    <m/>
    <m/>
    <m/>
    <m/>
    <m/>
    <m/>
    <m/>
    <m/>
    <m/>
    <m/>
    <m/>
    <m/>
    <m/>
    <m/>
    <m/>
    <m/>
    <m/>
    <m/>
    <m/>
    <m/>
    <m/>
    <m/>
    <m/>
    <m/>
    <m/>
    <m/>
    <m/>
    <m/>
    <m/>
    <m/>
    <m/>
    <m/>
    <m/>
    <m/>
    <m/>
    <m/>
    <m/>
    <m/>
    <m/>
    <m/>
    <m/>
    <m/>
    <m/>
    <m/>
    <d v="2016-01-01T00:00:00"/>
    <d v="2017-06-30T00:00:00"/>
    <d v="2017-12-31T00:00:00"/>
    <s v="Development Sexual, Reproductive and Maternal Health (SRMH)"/>
    <m/>
    <s v="Marius GNINTOUNGBE"/>
    <s v="Programme Initiative Manager"/>
    <s v="marius.gnintoungbe@care.org"/>
    <s v="Modeste ANATO"/>
    <s v="Superviseur de zone"/>
    <s v="modeste.anato@care .org"/>
    <s v="NO"/>
    <s v="YES"/>
    <s v="NO"/>
    <s v="Contribuer à la réduction de la mortalité maternelle et infantile en améliorant l’offre des services de PF et de vaccination et  en créant un environnement favorable qui encourage les pratiques de vaccination durables et aborde les obstacles à la demande de méthodes de PF"/>
    <s v="Sub-National"/>
    <s v="Le projet a été mis en œuvre dans 20 aires sanitaires de la zone sanitaire Adjohoun-Bonou-Dangbo dans le département de l'ouémé"/>
    <s v="Les Femmes de 15 à 49 ans"/>
    <n v="12236"/>
    <n v="130"/>
    <n v="12366"/>
    <n v="65618"/>
    <n v="63044"/>
    <n v="128662"/>
    <s v="Les participants directs sont les femmes en âges de procréer et ayant reçu les méthodes contraceptives ainsi que lles agents de sannté des 20 centres de santé bénéficiaires_x000a_Les participants indirects sont les membres des les communautés des 20 aires sanitaires (femmesn hommes et jeunes)  "/>
    <m/>
    <m/>
    <m/>
    <m/>
    <m/>
    <m/>
    <m/>
    <m/>
    <m/>
    <m/>
    <m/>
    <m/>
    <m/>
    <m/>
    <m/>
    <m/>
    <m/>
    <m/>
    <m/>
    <m/>
    <m/>
    <m/>
    <m/>
    <m/>
    <m/>
    <m/>
    <m/>
    <m/>
    <m/>
    <m/>
    <m/>
    <m/>
    <m/>
    <m/>
    <m/>
    <m/>
    <m/>
    <m/>
    <m/>
    <m/>
    <m/>
    <m/>
    <m/>
    <m/>
    <m/>
    <m/>
    <m/>
    <m/>
    <m/>
    <m/>
    <m/>
    <m/>
    <m/>
    <m/>
    <m/>
    <m/>
    <m/>
    <m/>
    <m/>
    <m/>
    <n v="4136"/>
    <n v="123"/>
    <n v="4259"/>
    <n v="38981"/>
    <n v="19508"/>
    <n v="58489"/>
    <m/>
    <m/>
    <m/>
    <m/>
    <m/>
    <m/>
    <m/>
    <m/>
    <m/>
    <m/>
    <m/>
    <m/>
    <m/>
    <m/>
    <m/>
    <m/>
    <m/>
    <m/>
    <m/>
    <m/>
    <m/>
    <m/>
    <m/>
    <m/>
    <m/>
    <m/>
    <m/>
    <m/>
    <m/>
    <m/>
    <m/>
    <m/>
    <m/>
    <m/>
    <m/>
    <m/>
    <m/>
    <m/>
    <m/>
    <m/>
    <m/>
    <m/>
    <m/>
    <m/>
    <m/>
    <m/>
    <m/>
    <m/>
    <m/>
    <m/>
    <m/>
    <m/>
    <s v="YES"/>
    <n v="3922"/>
    <n v="0.97099999999999997"/>
    <n v="58489"/>
    <m/>
    <m/>
    <m/>
    <m/>
    <m/>
    <m/>
    <m/>
    <m/>
    <m/>
    <m/>
    <m/>
    <m/>
    <m/>
    <s v="NO"/>
    <m/>
    <m/>
    <s v="NO"/>
    <s v="YES"/>
    <s v="October"/>
    <n v="2017"/>
    <s v="Il s'agit d'une évaluation de l'approche d'intégration qui a été developpée et mise en œuvre par CARE Bénin/Togo. Elle sera réalisée par LTSHM et a été commanditée par le bailleur."/>
    <x v="0"/>
    <s v="NO"/>
    <s v="NO"/>
    <s v="YES"/>
    <s v="YES"/>
    <s v="YES"/>
    <s v="NO"/>
    <s v="NO"/>
    <m/>
    <m/>
    <x v="1"/>
    <s v="L'approche d'intégration des services de vaccination et de PF a été une inovation mise en oeuvre pour la première fois dans le pays et à permis d'augmenter l'intervalle intergénisique entre deux grossesses et favoriser l'autonomisation économique des femmes et filles de la zone sanitaire où elle a été développée."/>
    <x v="3"/>
    <s v="L'approche d'intégration des services de vaccination et de PF a permis d'enroler des nouvelles clientes pour la contraception, contribuant ainsi à l'atteinte de l'objectif global de CARE international de 100 millions de femmes ayant exercé leurs droits en santé sexuelle et reproductive"/>
    <x v="1"/>
    <x v="1"/>
    <s v="YES"/>
    <x v="0"/>
    <x v="0"/>
    <x v="1"/>
    <x v="4"/>
    <n v="3"/>
    <x v="2"/>
    <x v="1"/>
    <x v="2"/>
    <x v="2"/>
    <x v="1"/>
    <x v="5"/>
    <n v="2"/>
    <x v="2"/>
    <x v="1"/>
    <x v="1"/>
    <x v="0"/>
    <x v="2"/>
    <n v="2"/>
    <x v="2"/>
    <x v="2"/>
    <n v="1"/>
    <s v="Local government(s)"/>
    <s v="Grassroots organization(s)"/>
    <s v="Media or journalist network(s)"/>
    <x v="2"/>
    <m/>
    <m/>
    <s v="Intégration des services de PF et de vaccination dans les centres de santé"/>
    <s v="utilisation des VSLA comme plate forme pour les dialogues réflectifs sur les barrières socio culturelles identifiées"/>
    <s v="L'utilisation de l'approche Analyse sociale et Action pour engager les communautés dans la lutte contre les barrières socio culturelles et de genre"/>
    <s v="L'engagement des hommes contribue à lutter contre les barrières socio-culturelles et de genre non favorables à la demande de PF"/>
    <s v="L'implication des assistants cliniques dans le coaching des agents de santé formés dans les centres de santé permet de maintenir et d'améliorer les compétences reçues"/>
    <s v="Le maintien des acquis du projet au niveau communautaire sans une motivation pour les catalyseurs; continuité des activités de dialogues réflectifs dans les communautés après la fin du projet"/>
    <m/>
    <s v="Rapport d'activités du projet VIVO de Décembre 2016"/>
    <n v="4259"/>
    <n v="58489"/>
    <n v="13.733035923925804"/>
    <n v="0.97111998121624798"/>
    <n v="0.66646719896048834"/>
    <n v="4136"/>
    <n v="38981"/>
    <s v=""/>
    <n v="0"/>
    <n v="0"/>
    <s v=""/>
    <s v=""/>
    <n v="0"/>
    <n v="0"/>
    <s v=""/>
    <n v="1"/>
    <n v="3922"/>
    <n v="58489"/>
    <n v="14.91305456399796"/>
    <s v=""/>
    <n v="0"/>
    <n v="0"/>
    <s v=""/>
    <s v=""/>
    <n v="0"/>
    <n v="0"/>
    <s v=""/>
    <s v="3. Responsive"/>
    <s v="3. Responsive"/>
    <s v="0. Harmful"/>
    <s v="It tested new ways for fighting poverty, but did not measure results of innovation"/>
    <s v="Little or no advocacy"/>
    <s v="It took tested solutions to scale on its own"/>
  </r>
  <r>
    <x v="5"/>
    <x v="2"/>
    <m/>
    <s v="Nutrition au Centre (N@C)"/>
    <s v="Benin"/>
    <s v="SALLBJ002"/>
    <s v="CARE USA"/>
    <s v="Foundation"/>
    <s v="Other"/>
    <s v="Sall Family Foundation"/>
    <m/>
    <m/>
    <m/>
    <m/>
    <m/>
    <m/>
    <m/>
    <m/>
    <m/>
    <m/>
    <m/>
    <m/>
    <m/>
    <m/>
    <m/>
    <m/>
    <m/>
    <m/>
    <m/>
    <m/>
    <m/>
    <m/>
    <m/>
    <m/>
    <m/>
    <m/>
    <m/>
    <m/>
    <m/>
    <m/>
    <m/>
    <m/>
    <m/>
    <m/>
    <m/>
    <m/>
    <m/>
    <m/>
    <m/>
    <m/>
    <m/>
    <m/>
    <m/>
    <m/>
    <m/>
    <d v="2013-06-01T00:00:00"/>
    <d v="2017-12-31T00:00:00"/>
    <m/>
    <s v="Development Food &amp; Nutrition Security and Resilience to Climate Change"/>
    <n v="1621986"/>
    <s v="Bonaventure Nzavugambonyimana"/>
    <s v="Directeur des Programme de la Mission CARE Bénin/Togo"/>
    <s v="bonaventure.nzavuga@care.org"/>
    <s v="Huguette SEKPE"/>
    <s v="Program Initiative Manager"/>
    <s v="huguette.sekpe@care.org"/>
    <s v="NO"/>
    <s v="YES"/>
    <s v="NO"/>
    <s v="Réduire le retard de croissance chez les enfants de moins de 2 ans et l'anémie maternelle et infantile dans les zones à faible revenu"/>
    <s v="National"/>
    <s v="Deux communes de la vallée de l'Ouémé (Bonou et Dangbo) et 32 villages dans ces communes"/>
    <s v="les femmes de 15 à 49 ans et les enfants de moins de 2 ans"/>
    <n v="8740"/>
    <n v="460"/>
    <n v="9200"/>
    <n v="32798"/>
    <n v="14056"/>
    <n v="46854"/>
    <s v="Women in Reproductive age : (5 VSLA of pregnant and lactating women x 25 members X 32 villages = 4000 individuals)_x000a_Children under 24 months:  880  Bonou + 760 Dangbo = 1640  children &lt; 2yrs_x000a_Direct beneficiaries : 9200 direct beneficiaries (224 VSLA x 25 members = 5600 individuals ) + ( 720  households  with challenge books totaling 5 members  x 720 = 3600 members )_x000a_Indirect beneficiaries: 46854 indirect beneficiaries ( 224 VSLA  X  25 family x 4 other members  of family = 22400) + (224 VSLA x 25 members  x 1 partner  per member = 5600 individuals) + total number of households without challenge book  in Participatory Diagnosis Villages =3771 totaling  5 members x 3771 = 18854 individuals)_x000a_Total  to be reached =  direct + indirect  = 9200+ 46854= 56054  individuals to be reached by N@C activities_x000a_% of population to be reached= 56054 / 71256 = 78.7 % of total population for N@C villages_x000a_% of men 5 for direct participants and 30% men for indirect participants"/>
    <m/>
    <m/>
    <m/>
    <m/>
    <m/>
    <m/>
    <m/>
    <m/>
    <m/>
    <m/>
    <m/>
    <m/>
    <m/>
    <m/>
    <m/>
    <m/>
    <m/>
    <m/>
    <m/>
    <m/>
    <m/>
    <m/>
    <m/>
    <m/>
    <m/>
    <m/>
    <m/>
    <m/>
    <m/>
    <m/>
    <m/>
    <m/>
    <m/>
    <m/>
    <m/>
    <m/>
    <m/>
    <m/>
    <m/>
    <m/>
    <m/>
    <m/>
    <m/>
    <m/>
    <m/>
    <m/>
    <m/>
    <m/>
    <m/>
    <m/>
    <m/>
    <m/>
    <m/>
    <m/>
    <m/>
    <m/>
    <m/>
    <m/>
    <m/>
    <m/>
    <n v="11840"/>
    <n v="623"/>
    <n v="12463"/>
    <n v="34896"/>
    <n v="14956"/>
    <n v="49852"/>
    <s v="NO"/>
    <m/>
    <m/>
    <m/>
    <s v="NO"/>
    <m/>
    <m/>
    <m/>
    <s v="NO"/>
    <m/>
    <m/>
    <m/>
    <s v="NO"/>
    <m/>
    <m/>
    <m/>
    <s v="NO"/>
    <m/>
    <m/>
    <m/>
    <s v="NO"/>
    <m/>
    <m/>
    <m/>
    <s v="YES"/>
    <n v="12463"/>
    <n v="0.95"/>
    <n v="49852"/>
    <s v="NO"/>
    <m/>
    <m/>
    <m/>
    <s v="YES"/>
    <n v="4751"/>
    <n v="0.95"/>
    <n v="19004"/>
    <s v="NO"/>
    <m/>
    <m/>
    <m/>
    <s v="NO"/>
    <m/>
    <m/>
    <m/>
    <s v="NO"/>
    <m/>
    <m/>
    <m/>
    <s v="YES"/>
    <m/>
    <m/>
    <m/>
    <s v="YES"/>
    <n v="12463"/>
    <n v="0.95"/>
    <n v="49852"/>
    <s v="YES"/>
    <n v="4840"/>
    <n v="0.95"/>
    <n v="19360"/>
    <s v="YES"/>
    <n v="4840"/>
    <n v="0.95"/>
    <n v="19360"/>
    <m/>
    <s v="NO"/>
    <m/>
    <m/>
    <m/>
    <s v="YES"/>
    <s v="March"/>
    <n v="2017"/>
    <s v="YES"/>
    <s v="YES"/>
    <s v="February"/>
    <n v="2018"/>
    <s v="L'évaluation finale du projet la Nutrition au centre en 2018 sera faite sous le leadership de CARE USA"/>
    <x v="2"/>
    <m/>
    <m/>
    <m/>
    <m/>
    <m/>
    <m/>
    <s v="YES"/>
    <m/>
    <m/>
    <x v="1"/>
    <s v="l'approche SAA, développement d'une stratégie avancée pour le suivi de la croissance de l'enfant à l'image de ce qui est fait pour la vaccination"/>
    <x v="1"/>
    <s v="Mise en place de plateforme d'Alliances pour l'Apprentissage et le Plaidoyer (LPA)"/>
    <x v="1"/>
    <x v="0"/>
    <s v="YES"/>
    <x v="0"/>
    <x v="0"/>
    <x v="0"/>
    <x v="0"/>
    <n v="4"/>
    <x v="1"/>
    <x v="1"/>
    <x v="1"/>
    <x v="1"/>
    <x v="1"/>
    <x v="1"/>
    <n v="4"/>
    <x v="1"/>
    <x v="2"/>
    <x v="1"/>
    <x v="2"/>
    <x v="3"/>
    <n v="1"/>
    <x v="2"/>
    <x v="2"/>
    <n v="10"/>
    <s v="Local NGO(s)/CSO(s)"/>
    <s v="Local government(s)"/>
    <s v="Media or journalist network(s)"/>
    <x v="1"/>
    <m/>
    <s v="Le projet a étendu la mise en œuvre de l'approche SAA à tous ses groupes AVEC"/>
    <s v="Les AVEC sont une bonne stratégie pou l'autonomisation des femmes"/>
    <s v="La stratégie avancée pour le suivi de la croissance des enfants"/>
    <m/>
    <s v="Les AVEC doivent être accompagnées pour devenir des entraprises sociales ou organisées en PEA (pôle d'expertise agricole)"/>
    <s v="La Carte Communautaire de Performance doit être utilisé dans les projets où l'utilisation des services de santé doit être accru et elle doit etre adapté à des services de santé en communauté"/>
    <m/>
    <m/>
    <m/>
    <n v="12463"/>
    <n v="49852"/>
    <n v="4"/>
    <n v="0.95001203562545133"/>
    <n v="0.69999197624969911"/>
    <n v="11840"/>
    <n v="34896"/>
    <s v=""/>
    <n v="0"/>
    <n v="0"/>
    <s v=""/>
    <n v="1"/>
    <n v="12463"/>
    <n v="49852"/>
    <n v="4"/>
    <n v="1"/>
    <n v="12463"/>
    <n v="49852"/>
    <n v="4"/>
    <s v=""/>
    <n v="0"/>
    <n v="0"/>
    <s v=""/>
    <n v="1"/>
    <n v="4840"/>
    <n v="19360"/>
    <n v="4"/>
    <s v="2. Sensitive"/>
    <s v="2. Accommodating"/>
    <s v="1. Neutral"/>
    <s v="It tested new ways for fighting poverty, but did not measure results of innovation"/>
    <s v="Intensive advocacy"/>
    <s v="It linked and worked with strategic alliances and partners to take tested and effective solutions to scale"/>
  </r>
  <r>
    <x v="5"/>
    <x v="2"/>
    <m/>
    <s v="Partenariat Contre le Trafic, l'Exploitation des Enfants et les Violences faites aux Filles et aux Femmes (PACTE pour les Enfants et les Femmes) au Bénin"/>
    <s v="Benin"/>
    <s v="CFRABJ0055"/>
    <s v="CARE France"/>
    <s v="Multilateral agency"/>
    <s v="EU - European Union (other than ECHO)"/>
    <s v="EU"/>
    <m/>
    <m/>
    <m/>
    <m/>
    <m/>
    <m/>
    <m/>
    <m/>
    <m/>
    <m/>
    <m/>
    <m/>
    <m/>
    <m/>
    <m/>
    <m/>
    <m/>
    <m/>
    <m/>
    <m/>
    <m/>
    <m/>
    <m/>
    <m/>
    <m/>
    <m/>
    <m/>
    <m/>
    <m/>
    <m/>
    <m/>
    <m/>
    <m/>
    <m/>
    <m/>
    <m/>
    <m/>
    <m/>
    <m/>
    <m/>
    <m/>
    <m/>
    <m/>
    <m/>
    <m/>
    <d v="2017-01-02T00:00:00"/>
    <d v="2020-01-01T00:00:00"/>
    <m/>
    <s v="Development Other"/>
    <n v="1352784"/>
    <s v="NZAVUGAMBONYIMANA"/>
    <s v="Bonaventure"/>
    <s v="Bona.nzavuga@care.org"/>
    <s v="LEVEQUE"/>
    <s v="Philippe"/>
    <m/>
    <s v="YES"/>
    <s v="YES"/>
    <s v="YES"/>
    <s v="Contribuer à l’éradication de l’exploitation et des violences envers les enfants et les femmes au Bénin."/>
    <s v="Sub-National"/>
    <s v="Département de l'Alibori ( communes Malanville et Karimama) ; Département du Borgou (communes de NIkki et Kalalé); Département de la Donga (Djougou et Ouaké); Département du Plateau (Pobè et kétou)"/>
    <s v=" 2000 femmes membres de 80 AVEC ; _x000a_ 200 hommes champions, engagés dans la lutte contre l'exploitation des enfants et les violences faites aux femmes ; _x000a_ 2 400 enfants, de 10 à 16 ans, membres de 80 Clubs scolaires (dont 1 200 garçons et 1 200 filles) ; _x000a_ 300 femmes et enfants  survivant(e)s assisté(e)s ; _x000a_ 80 Autorités locales (maires, conseillers communaux, chefs de villages) ; _x000a_ 240 hommes et femmes (leaders traditionnels et religieux, leaders d’opinion) dépositaires des valeurs morales endogènes."/>
    <n v="3470"/>
    <n v="1670"/>
    <n v="5140"/>
    <n v="1178238"/>
    <n v="589119"/>
    <n v="1767357"/>
    <s v="Bénéficiaires directs:                                                                                                                                                                                                                2000 femmes membres de 80 AVEC ; _x000a_ 200 hommes champions, engagés dans la lutte contre l'exploitation des enfants et les violences faites aux femmes ; _x000a_ 2 400 enfants, de 10 à 16 ans, membres de 80 Clubs scolaires (dont 1 200 garçons et 1 200 filles) ; _x000a_ 300 femmes et enfants  survivant(e)s assisté(e)s ; _x000a_ 80 Autorités locales (maires, conseillers communaux, chefs de villages) ; _x000a_ 240 hommes et femmes (leaders traditionnels et religieux, leaders d’opinion) dépositaires des valeurs morales endogènes .                                                                                                                                                                                                                                                         Bénéficiaires idirects: 12% de la population des 8 communes d'intervention."/>
    <m/>
    <n v="16"/>
    <n v="17"/>
    <n v="33"/>
    <n v="1168"/>
    <n v="465"/>
    <n v="1633"/>
    <m/>
    <m/>
    <m/>
    <m/>
    <m/>
    <m/>
    <m/>
    <m/>
    <m/>
    <m/>
    <m/>
    <m/>
    <m/>
    <m/>
    <m/>
    <m/>
    <m/>
    <m/>
    <m/>
    <m/>
    <m/>
    <m/>
    <m/>
    <m/>
    <m/>
    <m/>
    <m/>
    <m/>
    <m/>
    <m/>
    <m/>
    <m/>
    <m/>
    <m/>
    <m/>
    <m/>
    <m/>
    <m/>
    <m/>
    <m/>
    <m/>
    <m/>
    <m/>
    <m/>
    <m/>
    <m/>
    <m/>
    <m/>
    <m/>
    <m/>
    <m/>
    <m/>
    <m/>
    <m/>
    <m/>
    <m/>
    <m/>
    <m/>
    <m/>
    <m/>
    <m/>
    <m/>
    <m/>
    <m/>
    <m/>
    <m/>
    <m/>
    <m/>
    <m/>
    <m/>
    <m/>
    <m/>
    <m/>
    <m/>
    <m/>
    <m/>
    <m/>
    <m/>
    <m/>
    <m/>
    <m/>
    <m/>
    <m/>
    <m/>
    <m/>
    <m/>
    <m/>
    <m/>
    <m/>
    <m/>
    <m/>
    <m/>
    <m/>
    <m/>
    <m/>
    <m/>
    <m/>
    <m/>
    <m/>
    <m/>
    <m/>
    <m/>
    <m/>
    <m/>
    <m/>
    <m/>
    <m/>
    <m/>
    <m/>
    <m/>
    <m/>
    <m/>
    <m/>
    <m/>
    <m/>
    <m/>
    <m/>
    <m/>
    <m/>
    <m/>
    <m/>
    <m/>
    <m/>
    <m/>
    <m/>
    <m/>
    <m/>
    <m/>
    <s v="YES"/>
    <s v="May"/>
    <n v="2017"/>
    <s v="NO"/>
    <s v="YES"/>
    <s v="July"/>
    <m/>
    <s v="Une évaluation à mi parcours devrait se réaliser."/>
    <x v="2"/>
    <s v="NO"/>
    <s v="NO"/>
    <m/>
    <s v="YES"/>
    <m/>
    <s v="YES"/>
    <s v="NO"/>
    <s v="NO"/>
    <m/>
    <x v="0"/>
    <m/>
    <x v="2"/>
    <m/>
    <x v="2"/>
    <x v="0"/>
    <s v="YES"/>
    <x v="0"/>
    <x v="0"/>
    <x v="1"/>
    <x v="1"/>
    <n v="3"/>
    <x v="3"/>
    <x v="1"/>
    <x v="1"/>
    <x v="1"/>
    <x v="1"/>
    <x v="3"/>
    <n v="4"/>
    <x v="2"/>
    <x v="2"/>
    <x v="0"/>
    <x v="2"/>
    <x v="2"/>
    <n v="0"/>
    <x v="2"/>
    <x v="4"/>
    <m/>
    <s v="Local NGO(s)/CSO(s)"/>
    <s v="Local NGO(s)/CSO(s)"/>
    <m/>
    <x v="3"/>
    <m/>
    <m/>
    <m/>
    <m/>
    <m/>
    <m/>
    <m/>
    <m/>
    <m/>
    <m/>
    <n v="33"/>
    <n v="1633"/>
    <n v="49.484848484848484"/>
    <n v="0.48484848484848486"/>
    <n v="0.71524800979791792"/>
    <n v="16"/>
    <n v="1168"/>
    <n v="1"/>
    <n v="33"/>
    <n v="1633"/>
    <n v="49.484848484848484"/>
    <s v=""/>
    <n v="0"/>
    <n v="0"/>
    <s v=""/>
    <s v=""/>
    <n v="0"/>
    <n v="0"/>
    <s v=""/>
    <s v=""/>
    <n v="0"/>
    <n v="0"/>
    <s v=""/>
    <s v=""/>
    <n v="0"/>
    <n v="0"/>
    <s v=""/>
    <s v="1. Neutral"/>
    <s v="0. Unaware"/>
    <s v="0. Harmful"/>
    <s v="It did not develop any specific innovation"/>
    <s v="Intensive advocacy"/>
    <n v="0"/>
  </r>
  <r>
    <x v="5"/>
    <x v="2"/>
    <m/>
    <s v="Programme d’Appui au Secteur de la Gouvernance Locale et de la Décentralisation, phase 3 (ASGoL 3)"/>
    <s v="Benin"/>
    <s v="DDCXBJ0002"/>
    <s v="No CARE member related to the project/initiative"/>
    <s v="Government"/>
    <s v="Government - Switzerland"/>
    <s v="Swiss Agency for Development and Cooperation (SDC)"/>
    <m/>
    <m/>
    <m/>
    <m/>
    <m/>
    <m/>
    <m/>
    <m/>
    <m/>
    <m/>
    <m/>
    <m/>
    <m/>
    <m/>
    <m/>
    <m/>
    <m/>
    <m/>
    <m/>
    <m/>
    <m/>
    <m/>
    <m/>
    <m/>
    <m/>
    <m/>
    <m/>
    <m/>
    <m/>
    <m/>
    <m/>
    <m/>
    <m/>
    <m/>
    <m/>
    <m/>
    <m/>
    <m/>
    <m/>
    <m/>
    <m/>
    <m/>
    <m/>
    <m/>
    <m/>
    <d v="2017-03-20T00:00:00"/>
    <d v="2020-12-31T00:00:00"/>
    <m/>
    <s v="Development Other"/>
    <n v="652131"/>
    <s v="Daniel Djodjouhouin"/>
    <s v="Coordinateur Mesure de l'Impact, Apprentissage et Redevabilité - Point Focal ASGoL3"/>
    <s v="Daniel.Djodjouhouin@care.org"/>
    <s v="Bonaventure Nzavugambonyimana"/>
    <s v="Directeur des Programmes"/>
    <s v="bonaventure.nzavuga@care.org"/>
    <s v="NO"/>
    <s v="YES"/>
    <s v="NO"/>
    <s v="L'objectif du programme est de « contribuer à l’amélioration de la gouvernance locale en vue de la délivrance de services sociaux dans les domaines de l’éducation, de la santé et de l’état civil, dans les départements du Borgou et de l’Alibori »."/>
    <s v="Sub-National"/>
    <s v="Le programme ASGoL3 intervient dans les départements du Borgou et de l'Alibori, notamment dans les 14 communes"/>
    <s v="Populations du Borgou et de l'Alibori, notamment celles bénéficiant des services sociaux dans les domaines de l’éducation, de la santé et de l’état civi"/>
    <m/>
    <m/>
    <m/>
    <m/>
    <m/>
    <m/>
    <s v="Les participants directs sont les populations bénéficiaires des services sociaux dans les secteurs de l'éducation, de la santé et de l'état civile ; Les participants indirects sont les acteurs de mise en œuvre que sont les associations de communes, l'UFeC ABC et les ministères concernés, de même que leurs services déconcentrés. Il est difficile de calculer ces bénéficiaires, surtout les bénéficiaires directs"/>
    <m/>
    <m/>
    <m/>
    <m/>
    <m/>
    <m/>
    <m/>
    <m/>
    <m/>
    <m/>
    <m/>
    <m/>
    <m/>
    <m/>
    <m/>
    <m/>
    <m/>
    <m/>
    <m/>
    <m/>
    <m/>
    <m/>
    <m/>
    <m/>
    <m/>
    <m/>
    <m/>
    <m/>
    <m/>
    <m/>
    <m/>
    <m/>
    <m/>
    <m/>
    <m/>
    <m/>
    <m/>
    <m/>
    <m/>
    <m/>
    <m/>
    <m/>
    <m/>
    <m/>
    <m/>
    <m/>
    <m/>
    <m/>
    <m/>
    <m/>
    <m/>
    <m/>
    <m/>
    <m/>
    <m/>
    <m/>
    <m/>
    <m/>
    <m/>
    <m/>
    <m/>
    <m/>
    <m/>
    <m/>
    <m/>
    <m/>
    <s v="NO"/>
    <m/>
    <m/>
    <m/>
    <s v="NO"/>
    <m/>
    <m/>
    <m/>
    <s v="NO"/>
    <m/>
    <m/>
    <m/>
    <s v="NO"/>
    <m/>
    <m/>
    <m/>
    <s v="NO"/>
    <m/>
    <m/>
    <m/>
    <s v="YES"/>
    <m/>
    <m/>
    <m/>
    <s v="NO"/>
    <m/>
    <m/>
    <m/>
    <s v="NO"/>
    <m/>
    <m/>
    <m/>
    <s v="YES"/>
    <n v="30383"/>
    <n v="0.50129999999999997"/>
    <m/>
    <s v="YES"/>
    <m/>
    <m/>
    <m/>
    <s v="YES"/>
    <n v="30383"/>
    <n v="0.50129999999999997"/>
    <m/>
    <s v="NO"/>
    <m/>
    <m/>
    <m/>
    <s v="NO"/>
    <m/>
    <m/>
    <m/>
    <s v="NO"/>
    <m/>
    <m/>
    <m/>
    <s v="NO"/>
    <m/>
    <m/>
    <m/>
    <s v="NO"/>
    <m/>
    <m/>
    <m/>
    <s v="Etat civil"/>
    <s v="YES"/>
    <m/>
    <m/>
    <m/>
    <s v="NO"/>
    <m/>
    <m/>
    <s v="NO"/>
    <s v="YES"/>
    <s v="April"/>
    <n v="2017"/>
    <s v="Il s'agit d'une évaluation de base ( de référence) sur les indicateurs du cadre logique du programme"/>
    <x v="0"/>
    <m/>
    <m/>
    <m/>
    <m/>
    <m/>
    <m/>
    <m/>
    <m/>
    <m/>
    <x v="0"/>
    <m/>
    <x v="0"/>
    <m/>
    <x v="0"/>
    <x v="0"/>
    <s v="YES"/>
    <x v="0"/>
    <x v="1"/>
    <x v="1"/>
    <x v="1"/>
    <n v="2"/>
    <x v="1"/>
    <x v="2"/>
    <x v="2"/>
    <x v="1"/>
    <x v="1"/>
    <x v="4"/>
    <n v="2"/>
    <x v="2"/>
    <x v="1"/>
    <x v="1"/>
    <x v="2"/>
    <x v="2"/>
    <n v="2"/>
    <x v="2"/>
    <x v="3"/>
    <n v="6"/>
    <s v="Local government(s)"/>
    <s v="National government"/>
    <s v="Local NGO(s)/CSO(s)"/>
    <x v="2"/>
    <m/>
    <m/>
    <m/>
    <m/>
    <m/>
    <s v="Le long délai de finalisation et de validation des planifications des partenaires a influencé les délais de mise en œuvre des actions planifiées pour l’année 2017, ce qui nécessite un recadrage et une relecture des formats et la priorisation des actions qui contribuent au renseignement des indicateurs du cadre logique"/>
    <s v="L’esprit de synergie d’actions doit gouverner certains partenaires travaillant sur les mêmes thématiques comme c’est le cas pour la DAT et des deux associations de communes (ADECOB et APIDA), de même que le Ministère en charge de la décentralisation autour des préoccupations de l’aménagement du territoire et de l’intercommunalité ;"/>
    <s v="Les prérequis et les insuffisances des actions de renforcement des capacités menées au profit de l’ADECOB et de l’UFeC/ABC au cours des deux phases antérieures méritent d’être exploités pour améliorer les actions futures."/>
    <m/>
    <s v="Document technique du programme"/>
    <n v="0"/>
    <n v="0"/>
    <s v=""/>
    <s v=""/>
    <s v=""/>
    <n v="0"/>
    <n v="0"/>
    <s v=""/>
    <n v="0"/>
    <n v="0"/>
    <s v=""/>
    <s v=""/>
    <n v="0"/>
    <n v="0"/>
    <s v=""/>
    <s v=""/>
    <n v="0"/>
    <n v="0"/>
    <s v=""/>
    <s v=""/>
    <n v="0"/>
    <n v="0"/>
    <s v=""/>
    <s v=""/>
    <n v="0"/>
    <n v="0"/>
    <s v=""/>
    <s v="1. Neutral"/>
    <s v="1. Tokenistic"/>
    <s v="0. Harmful"/>
    <s v="It did not develop any specific innovation"/>
    <s v="Little or no advocacy"/>
    <s v="It did not take tested solutions to scale"/>
  </r>
  <r>
    <x v="5"/>
    <x v="2"/>
    <m/>
    <s v="Programme de Renforcement de Capacité d'Action des Femmes au Bénin (RECAFEM)"/>
    <s v="Benin"/>
    <s v="PID"/>
    <s v="No CARE member related to the project/initiative"/>
    <s v="Multilateral agency"/>
    <s v="Other"/>
    <s v="Switzerland"/>
    <m/>
    <m/>
    <m/>
    <m/>
    <m/>
    <m/>
    <m/>
    <m/>
    <m/>
    <m/>
    <m/>
    <m/>
    <m/>
    <m/>
    <m/>
    <m/>
    <m/>
    <m/>
    <m/>
    <m/>
    <m/>
    <m/>
    <m/>
    <m/>
    <m/>
    <m/>
    <m/>
    <m/>
    <m/>
    <m/>
    <m/>
    <m/>
    <m/>
    <m/>
    <m/>
    <m/>
    <m/>
    <m/>
    <m/>
    <m/>
    <m/>
    <m/>
    <m/>
    <m/>
    <m/>
    <d v="2016-04-01T00:00:00"/>
    <d v="2019-05-01T00:00:00"/>
    <m/>
    <s v="Development Other"/>
    <n v="2355550"/>
    <s v="Bonaventure NZAVUGAMBONYIMANA"/>
    <s v="Directeur des programmes"/>
    <s v="bonaventure.nzavuga@care.org"/>
    <s v="Aquéline BEHANZIN"/>
    <s v="Chief Of Party"/>
    <s v="aqueline.behanzin@care.org"/>
    <s v="NO"/>
    <s v="YES"/>
    <s v="NO"/>
    <s v="Le programme de Renforcement des Capacités d’Action des femmes (RECAFEM) vise à atteindre des progrès significatifs en vue de l’égalité homme/femme dans les domaines social, culturel, juridique et économique."/>
    <s v="National"/>
    <s v="Les 12 départements du Bénin:Alibori, Borgou, Atacora, Donga, Collines, Zou, Littoral, Atlantique, Ouémé, Plateau,Mono, Couffo; Soit dans 77 communes du Bénin"/>
    <s v="243 jeunes filles et femmes béninoises âgées de 18 à 40 ans _x000a_Environ 200 parents proches des bénéficiaires directes _x000a_Au moins 100 coaches (média, politique, éthique/moral) et 2000 membres de la communauté ciblée."/>
    <n v="743"/>
    <n v="0"/>
    <n v="743"/>
    <n v="2120"/>
    <n v="0"/>
    <n v="2120"/>
    <s v="243 jeunes filles et femmes béninoises âgées de 18 à 40 ans et 500 femmes "/>
    <m/>
    <m/>
    <m/>
    <m/>
    <m/>
    <m/>
    <m/>
    <m/>
    <m/>
    <m/>
    <m/>
    <m/>
    <m/>
    <m/>
    <m/>
    <m/>
    <m/>
    <m/>
    <m/>
    <m/>
    <m/>
    <m/>
    <m/>
    <m/>
    <m/>
    <m/>
    <m/>
    <m/>
    <m/>
    <m/>
    <m/>
    <m/>
    <m/>
    <m/>
    <m/>
    <m/>
    <m/>
    <m/>
    <m/>
    <m/>
    <m/>
    <m/>
    <m/>
    <m/>
    <m/>
    <m/>
    <m/>
    <m/>
    <m/>
    <m/>
    <m/>
    <m/>
    <m/>
    <m/>
    <m/>
    <m/>
    <m/>
    <m/>
    <m/>
    <m/>
    <n v="240"/>
    <m/>
    <n v="240"/>
    <n v="2120"/>
    <m/>
    <n v="2120"/>
    <m/>
    <m/>
    <m/>
    <m/>
    <m/>
    <m/>
    <m/>
    <m/>
    <m/>
    <m/>
    <m/>
    <m/>
    <m/>
    <m/>
    <m/>
    <m/>
    <s v="YES"/>
    <m/>
    <m/>
    <m/>
    <m/>
    <m/>
    <m/>
    <m/>
    <m/>
    <m/>
    <m/>
    <m/>
    <s v="YES"/>
    <m/>
    <m/>
    <m/>
    <s v="YES"/>
    <m/>
    <m/>
    <m/>
    <m/>
    <m/>
    <m/>
    <m/>
    <m/>
    <m/>
    <m/>
    <m/>
    <m/>
    <m/>
    <m/>
    <m/>
    <s v="YES"/>
    <m/>
    <m/>
    <m/>
    <m/>
    <m/>
    <m/>
    <m/>
    <m/>
    <m/>
    <m/>
    <m/>
    <s v="YES"/>
    <m/>
    <m/>
    <m/>
    <s v="Leadership des femmes"/>
    <s v="YES"/>
    <m/>
    <m/>
    <m/>
    <s v="YES"/>
    <s v="April"/>
    <n v="2017"/>
    <s v="NO"/>
    <s v="YES"/>
    <s v="June"/>
    <n v="2018"/>
    <s v="Il sera réalisé une évaluation a mi parcours classique_x000a_La méthodologie va se basée sur la collecte de données pour apprécier l'évolution des indicateur du programme"/>
    <x v="1"/>
    <m/>
    <s v="YES"/>
    <m/>
    <m/>
    <m/>
    <m/>
    <m/>
    <m/>
    <m/>
    <x v="1"/>
    <s v="Une mission d'identification est en cours pour les domaines d'inovations ci après:_x000a_dans le domaine de la production_x000a_Dans le domaine de l'artisanat_x000a_Dans le domaine de la transformation_x000a_Dans le commaine de la commercialisation"/>
    <x v="2"/>
    <m/>
    <x v="1"/>
    <x v="0"/>
    <s v="YES"/>
    <x v="0"/>
    <x v="0"/>
    <x v="0"/>
    <x v="0"/>
    <n v="4"/>
    <x v="1"/>
    <x v="1"/>
    <x v="1"/>
    <x v="1"/>
    <x v="1"/>
    <x v="1"/>
    <n v="4"/>
    <x v="3"/>
    <x v="1"/>
    <x v="1"/>
    <x v="1"/>
    <x v="4"/>
    <n v="3"/>
    <x v="2"/>
    <x v="3"/>
    <n v="5"/>
    <s v="Local alliance(s)/Platform(s)/Network(s) of  NGOs/CSOs"/>
    <s v="Grassroots organization(s)"/>
    <s v="Local NGO(s)/CSO(s)"/>
    <x v="2"/>
    <m/>
    <s v="Pas de changement"/>
    <s v="Partenariat avec les Organisations de la société civile"/>
    <s v="Partenariat avec un Centre de recherche scientifique pour les innovations en matière d'autonomisation économique de la Femme"/>
    <s v="Partenariat avec le Gouvernement"/>
    <s v="Le partage d’expériences, des bonnes pratiques et outils entre les partenaires de mise en œuvre est gage d’un succès en matière de réalisation des objectifs du programme."/>
    <s v="Les partenaires OSC se focalisent plus sur leurs activités sur le terrain et ont de difficultés à partager leurs pratiques et expériences avec les autres intervenants sur la même thématique"/>
    <s v="Un nouveau gouvernement est mis en place le 06 Avril 2016. Les attributions du Ministère qui s’occupe des questions liées au genre ont changé depuis le 06 Avril 2016. Le Ministère est devenu « Ministère du Travail, de la Fonction Publique et des Affaires Sociales »."/>
    <s v="Le programme a démarré en Avril 2016, Au cours du FY17, les formations des bénéficiaires, les rencontres des coaches et participants et les réunions de sensibilisation des époux et des parents proches ainsi que les émissions radios sont les principales activités menées."/>
    <s v="Cadre de Mesure de Rendement, Cadre logique, rapport d'étude de référence, Plans annuels et plans pluriannuels, rapport opérationnel et financier."/>
    <n v="240"/>
    <n v="2120"/>
    <n v="8.8333333333333339"/>
    <n v="1"/>
    <n v="1"/>
    <n v="240"/>
    <n v="2120"/>
    <s v=""/>
    <n v="0"/>
    <n v="0"/>
    <s v=""/>
    <n v="1"/>
    <n v="0"/>
    <n v="0"/>
    <s v=""/>
    <s v=""/>
    <n v="0"/>
    <n v="0"/>
    <s v=""/>
    <n v="1"/>
    <n v="0"/>
    <n v="0"/>
    <s v=""/>
    <n v="1"/>
    <n v="0"/>
    <n v="0"/>
    <s v=""/>
    <s v="2. Sensitive"/>
    <s v="2. Accommodating"/>
    <s v="4. Transformative"/>
    <s v="It tested new ways for fighting poverty, but did not measure results of innovation"/>
    <s v="Moderate advocacy"/>
    <n v="0"/>
  </r>
  <r>
    <x v="5"/>
    <x v="2"/>
    <m/>
    <s v="Protéines pour la Population (P4P)"/>
    <s v="Benin"/>
    <s v=" CLDSBJ0001"/>
    <s v="CARE USA"/>
    <s v="Foundation"/>
    <s v="Other"/>
    <s v="Sall Family Foundation"/>
    <s v="CARE USA"/>
    <s v="Foundation"/>
    <s v="Other"/>
    <s v="Peierls Foundation"/>
    <m/>
    <m/>
    <m/>
    <m/>
    <m/>
    <m/>
    <m/>
    <m/>
    <m/>
    <m/>
    <m/>
    <m/>
    <m/>
    <m/>
    <m/>
    <m/>
    <m/>
    <m/>
    <m/>
    <m/>
    <m/>
    <m/>
    <m/>
    <m/>
    <m/>
    <m/>
    <m/>
    <m/>
    <m/>
    <m/>
    <m/>
    <m/>
    <m/>
    <m/>
    <m/>
    <m/>
    <m/>
    <m/>
    <m/>
    <m/>
    <m/>
    <d v="2016-07-01T00:00:00"/>
    <d v="2017-06-30T00:00:00"/>
    <d v="2018-08-01T00:00:00"/>
    <s v="Development Food &amp; Nutrition Security and Resilience to Climate Change"/>
    <n v="400000"/>
    <s v="Bonaventure Nzavugambonyimana"/>
    <s v="Directeur des Programme de la Mission CARE Bénin/Togo"/>
    <s v="bonaventure.nzavuga@care.org"/>
    <s v="Huguette SEKPE"/>
    <s v="Program Initiative Manager"/>
    <s v="huguette.sekpe@care.org"/>
    <s v="NO"/>
    <s v="YES"/>
    <s v="NO"/>
    <s v="Réduire le retard de croissance chez les enfants et l'anémie maternelle et infantile chez les enfants de moins de 2 ans, et l'anémie chez les femmes en âge de procréer, par l’augmentation de la disponibilité et de l'accès équitable aux aliments d'origine animale."/>
    <s v="National"/>
    <s v="Deux communes de la vallée de l'Ouémé (Bonou et Dangbo) et 32 villages dans ces communes"/>
    <s v="les femmes de 15 à 49 ans et les enfants de moins de 2 ans"/>
    <n v="1705"/>
    <n v="416"/>
    <n v="2121"/>
    <n v="6820"/>
    <n v="1664"/>
    <n v="8484"/>
    <s v="Direct beneficiaries  for fish: 32 VSLA of 453 members in Bonou and 415 in Dangbo; total of 868 directs beneficiairies_x000a_Direct beneficiaries for poultry: 562 members in Bonou and 691 in Dangbo; total of 1253 directs beneficiaries_x000a_Total Direct beneficiaries: 868+1253= 2121 beneficiairies (689 women in fishries and 1016 women in poultry; 179 men in fishries and 237 in poultry)_x000a_Indirect beneficiaries:2121 (directs members/families)*4 (person reach per family)=10605 indirect beneficiaries"/>
    <m/>
    <m/>
    <m/>
    <m/>
    <m/>
    <m/>
    <m/>
    <m/>
    <m/>
    <m/>
    <m/>
    <m/>
    <m/>
    <m/>
    <m/>
    <m/>
    <m/>
    <m/>
    <m/>
    <m/>
    <m/>
    <m/>
    <m/>
    <m/>
    <m/>
    <m/>
    <m/>
    <m/>
    <m/>
    <m/>
    <m/>
    <m/>
    <m/>
    <m/>
    <m/>
    <m/>
    <m/>
    <m/>
    <m/>
    <m/>
    <m/>
    <m/>
    <m/>
    <m/>
    <m/>
    <m/>
    <m/>
    <m/>
    <m/>
    <m/>
    <m/>
    <m/>
    <m/>
    <m/>
    <m/>
    <m/>
    <m/>
    <m/>
    <m/>
    <m/>
    <n v="1705"/>
    <n v="416"/>
    <n v="2121"/>
    <n v="6820"/>
    <n v="1664"/>
    <n v="8484"/>
    <s v="NO"/>
    <m/>
    <m/>
    <m/>
    <s v="NO"/>
    <m/>
    <m/>
    <m/>
    <s v="NO"/>
    <m/>
    <m/>
    <m/>
    <s v="NO"/>
    <m/>
    <m/>
    <m/>
    <s v="NO"/>
    <m/>
    <m/>
    <m/>
    <s v="NO"/>
    <m/>
    <m/>
    <m/>
    <s v="YES"/>
    <n v="2121"/>
    <n v="0.75"/>
    <n v="8484"/>
    <s v="NO"/>
    <m/>
    <m/>
    <m/>
    <s v="YES"/>
    <n v="2121"/>
    <n v="0.75"/>
    <n v="8484"/>
    <s v="NO"/>
    <m/>
    <m/>
    <m/>
    <s v="NO"/>
    <m/>
    <m/>
    <m/>
    <s v="NO"/>
    <m/>
    <m/>
    <m/>
    <s v="NO"/>
    <m/>
    <m/>
    <m/>
    <s v="NO"/>
    <m/>
    <m/>
    <m/>
    <s v="NO"/>
    <m/>
    <m/>
    <m/>
    <s v="YES"/>
    <n v="2121"/>
    <n v="0.75"/>
    <n v="8484"/>
    <m/>
    <m/>
    <m/>
    <m/>
    <m/>
    <s v="NO"/>
    <m/>
    <m/>
    <s v="NO"/>
    <s v="YES"/>
    <s v="September"/>
    <n v="2017"/>
    <s v="L'évaluation initiale de la phase 2 du projet P4P en partenariat avec la Faculté des Sciences Agronomiques"/>
    <x v="2"/>
    <m/>
    <m/>
    <m/>
    <s v="YES"/>
    <m/>
    <m/>
    <m/>
    <m/>
    <m/>
    <x v="1"/>
    <s v="l'approche SAA dans le domaine de la sécurité alimentaire et nutritionnelle"/>
    <x v="1"/>
    <m/>
    <x v="1"/>
    <x v="0"/>
    <s v="YES"/>
    <x v="0"/>
    <x v="0"/>
    <x v="0"/>
    <x v="0"/>
    <n v="4"/>
    <x v="1"/>
    <x v="0"/>
    <x v="1"/>
    <x v="1"/>
    <x v="1"/>
    <x v="1"/>
    <n v="3"/>
    <x v="1"/>
    <x v="2"/>
    <x v="1"/>
    <x v="2"/>
    <x v="3"/>
    <n v="1"/>
    <x v="0"/>
    <x v="2"/>
    <n v="10"/>
    <s v="Local NGO(s)/CSO(s)"/>
    <s v="Local government(s)"/>
    <m/>
    <x v="1"/>
    <m/>
    <s v="Le projet a inclue la mise en œuvre de l'approche SAA comme n objectif specifique, ce qui a permis de l'étendre à tous les groupes AVEC de la nutrition au centre"/>
    <s v="Les AVEC sont une bonne stratégie pou l'autonomisation des femmes"/>
    <s v="Le développement de la pisciculture par les femmes des AVEC a été une innovation pour elles"/>
    <m/>
    <s v="Les AVEC doivent être accompagnées pour devenir des entreprises sociales ou organisées en PEA (pôle d'expertise agricole)"/>
    <s v="La Carte Communautaire de Performance doit être utilisée dans les projets où l'utilisation des services agricoles doit être accrus"/>
    <m/>
    <m/>
    <m/>
    <n v="2121"/>
    <n v="8484"/>
    <n v="4"/>
    <n v="0.8038661008958039"/>
    <n v="0.8038661008958039"/>
    <n v="1705"/>
    <n v="6820"/>
    <s v=""/>
    <n v="0"/>
    <n v="0"/>
    <s v=""/>
    <n v="1"/>
    <n v="2121"/>
    <n v="8484"/>
    <n v="4"/>
    <s v=""/>
    <n v="0"/>
    <n v="0"/>
    <s v=""/>
    <s v=""/>
    <n v="0"/>
    <n v="0"/>
    <s v=""/>
    <n v="1"/>
    <n v="2121"/>
    <n v="8484"/>
    <n v="4"/>
    <s v="2. Sensitive"/>
    <s v="2. Accommodating"/>
    <s v="1. Neutral"/>
    <s v="It tested new ways for fighting poverty, but did not measure results of innovation"/>
    <s v="Intensive advocacy"/>
    <s v="It linked and worked with strategic alliances and partners to take tested and effective solutions to scale"/>
  </r>
  <r>
    <x v="5"/>
    <x v="2"/>
    <m/>
    <s v="Travaillons ensemble contre les mariages précoces (TEMPS)"/>
    <s v="Benin"/>
    <m/>
    <s v="CARE Canada"/>
    <s v="Government"/>
    <s v="Government - Canada"/>
    <s v="DFATD-Canada"/>
    <m/>
    <m/>
    <m/>
    <m/>
    <m/>
    <m/>
    <m/>
    <m/>
    <m/>
    <m/>
    <m/>
    <m/>
    <m/>
    <m/>
    <m/>
    <m/>
    <m/>
    <m/>
    <m/>
    <m/>
    <m/>
    <m/>
    <m/>
    <m/>
    <m/>
    <m/>
    <m/>
    <m/>
    <m/>
    <m/>
    <m/>
    <m/>
    <m/>
    <m/>
    <m/>
    <m/>
    <m/>
    <m/>
    <m/>
    <m/>
    <m/>
    <m/>
    <m/>
    <m/>
    <m/>
    <d v="2015-03-27T00:00:00"/>
    <d v="2017-03-31T00:00:00"/>
    <d v="2017-06-30T00:00:00"/>
    <s v="Development A Life Free From Violence (GBV)"/>
    <n v="939692"/>
    <s v="AHOUNOU Madinatou"/>
    <s v="Program Initiative Manager"/>
    <s v="Madinatou.Ahounou@care.org"/>
    <s v="Bonaventure Nzavugambonyimana"/>
    <s v="Program Director"/>
    <s v="bonaventure.nzavuga@care.org"/>
    <s v="NO"/>
    <s v="YES"/>
    <s v="NO"/>
    <s v="contribuer au renforcement de la prévention et de l’atténuation des effets du mariage précoce/forcé des jeunes filles dans les zones à fortes prévalences"/>
    <s v="Multiple countries"/>
    <s v="Au Bénin: Département de l'Alibori ( communes Malanville et Karimama) ; Département du Borgou (communes de NIkki et Kalalé); Département du Couffo (Aplahoué, Djakotomey, Dogbo et Lalo)_x000a_Au Mali, huit (8) communes des régions de Mopti et Tombouctou"/>
    <s v="Bénéficiaires directs: 10,200 femmes, hommes, filles et garçons et 40 organisations_x000a_Bénéficiaires indirects: 467,560 femmes, filles, hommes et garçons"/>
    <n v="6296"/>
    <n v="3904"/>
    <n v="10200"/>
    <n v="239800"/>
    <n v="227760"/>
    <n v="467560"/>
    <s v="Les bénéficiaires directs de l'initiative les filles survivantes assistées, les femmes, membres des AVEC, les élèves de clubs scolaires, les bénéficiaires des dialogues communautaires_x000a_Les bénéficiaires indirects de l’initiative au Bénin incluent les autorités communales et locales, les organisations de la société civile (OSC),, les réseaux d’ONG, les services étatiques et privés intervenant dans la prise en charge des cas de violence basée sur le genre (VBG), en particulier le mariage précoce forcé et les partenaires locaux les leaders communautaire, les radios locales, les Ministères stratégiques (de la Famille, de la Solidarité, des Personnes Âgée; de la Justice, de la Législation et des Droits de l’Homme, l’Éducation et Santé, l’Intérieur et la Sécurité Publique, la Défense Nationale)."/>
    <m/>
    <m/>
    <m/>
    <m/>
    <m/>
    <m/>
    <m/>
    <m/>
    <m/>
    <m/>
    <m/>
    <m/>
    <m/>
    <m/>
    <m/>
    <m/>
    <m/>
    <m/>
    <m/>
    <m/>
    <m/>
    <m/>
    <m/>
    <m/>
    <m/>
    <m/>
    <m/>
    <m/>
    <m/>
    <m/>
    <m/>
    <m/>
    <m/>
    <m/>
    <m/>
    <m/>
    <m/>
    <m/>
    <m/>
    <m/>
    <m/>
    <m/>
    <m/>
    <m/>
    <m/>
    <m/>
    <m/>
    <m/>
    <m/>
    <m/>
    <m/>
    <m/>
    <m/>
    <m/>
    <m/>
    <m/>
    <m/>
    <m/>
    <m/>
    <m/>
    <n v="7232"/>
    <n v="4750"/>
    <n v="11982"/>
    <n v="7645"/>
    <n v="8172"/>
    <n v="15817"/>
    <m/>
    <m/>
    <m/>
    <m/>
    <m/>
    <m/>
    <m/>
    <m/>
    <m/>
    <m/>
    <m/>
    <m/>
    <m/>
    <m/>
    <m/>
    <m/>
    <m/>
    <m/>
    <m/>
    <m/>
    <m/>
    <m/>
    <m/>
    <m/>
    <m/>
    <m/>
    <m/>
    <m/>
    <s v="YES"/>
    <m/>
    <m/>
    <m/>
    <m/>
    <m/>
    <m/>
    <m/>
    <m/>
    <m/>
    <m/>
    <m/>
    <m/>
    <m/>
    <m/>
    <m/>
    <m/>
    <m/>
    <m/>
    <m/>
    <m/>
    <m/>
    <m/>
    <m/>
    <s v="YES"/>
    <m/>
    <m/>
    <m/>
    <m/>
    <m/>
    <m/>
    <m/>
    <s v="YES"/>
    <m/>
    <m/>
    <m/>
    <m/>
    <m/>
    <m/>
    <m/>
    <m/>
    <s v="YES"/>
    <s v="April"/>
    <n v="2017"/>
    <s v="YES"/>
    <s v="NO"/>
    <m/>
    <m/>
    <m/>
    <x v="1"/>
    <s v="NO"/>
    <s v="YES"/>
    <s v="YES"/>
    <s v="YES"/>
    <s v="YES"/>
    <s v="NO"/>
    <s v="NO"/>
    <m/>
    <m/>
    <x v="2"/>
    <s v="Le projet a utilisé une nouvelle approche notamment, l'analyse Sociale et Action (SAA) pour adresser les questions de normes socio culturelles qui vont en défaveur des filles mineures. en effet, des dialogues communautaires ont été organisés avec les gardiens de la tradition, leaders femmes et hommes sur les normes sociales et la pratique du mariage précoce/forcé et la protection des filles, enfants et adolescents."/>
    <x v="1"/>
    <s v="Le projet devant lutter contre le mariage précoce des filles, il s'est avérer important de travailler avec des structures et personnalité clées dans les zones d'intervention. A cet égard, des cadres de concertations multi acteurs ont été créés dans les 8 communes d'intervention du projet et ont constitué des creusés d'échanges et de prise de décision pour lutter efficacement contre ce phénomène de mariage précoce"/>
    <x v="2"/>
    <x v="1"/>
    <s v="YES"/>
    <x v="0"/>
    <x v="0"/>
    <x v="0"/>
    <x v="2"/>
    <n v="4"/>
    <x v="1"/>
    <x v="1"/>
    <x v="1"/>
    <x v="1"/>
    <x v="1"/>
    <x v="1"/>
    <n v="4"/>
    <x v="0"/>
    <x v="0"/>
    <x v="0"/>
    <x v="0"/>
    <x v="0"/>
    <n v="0"/>
    <x v="0"/>
    <x v="3"/>
    <n v="23"/>
    <s v="Local NGO(s)/CSO(s)"/>
    <s v="Grassroots organization(s)"/>
    <s v="Media or journalist network(s)"/>
    <x v="0"/>
    <s v="Des visites d’échanges/de partage et de meilleure pratique organisés entre les communautés_x000a_Développement des stratégies avec des responsables des écoles pour une prise en compte de l’équité de genre en milieu scolaire_x000a_Etablissement/redynamisation et formation des clubs scolaires sur leurs droits sexuels et éducatifs et les méfaits du mariage précoce_x000a_Formation et accompagnement des Centres de Promotion Sociale (CPS) et services d’aide juridique et judiciaire (Police, Gendarmerie, Tribunal, Centres de Santé, Centre d’accueil et de réhabilitation des survivantes de mariage précoce) _x000a_Formation des AVEC sur un paquet technique (genre, VBG, Santé Sexuelle de la Reproduction/VIH SIDA) avec un focus sur le mariage précoce des filles et la protection de leurs droits_x000a_Des OSC et des praticiens de droits sont dotés des packages sur les lois et textes en rapport avec les VBG dont le mariage précoce et la protection des droits des filles"/>
    <s v="Il n'y a pas eu de changement important pendant ce fiscal year"/>
    <s v="Analyse sociale et Action (SAA) a travers les dialogues communautaires"/>
    <s v="LA mise en place des clubs scolaires dans les établissements scolaires pour sensibiliser les élèves et écoliers. Ces clubs étaient aussi des cnaux fiables de dénonciation des cas de mariages précoces dans les localité d'intervention du projet"/>
    <s v="L'utilisation de la plate forme des AVEC pour accompagner les filles victimes de mariage précoce"/>
    <s v="Les autorités locales, les responsables des services déconcentrés de l’Etat (OPJ, CPS, Responsable Centre de santé etc.), les OSC doivent poursuivre la veille auprès des communautés pour s’assurer que les acquis vont perdurer pour le respect du code des enfants."/>
    <s v="Le partage d’expériences et de bonnes pratiques est une approche d’apprentissage (visite d’échanges) à renforcer pour changer les mentalités des communautés, car les moins performants voient que dans leurs communautés, il y a des groupements/ leaders performants sur qui le projet peut s’appuyer pour atteindre des résultats, des témoignages sur les bienfaits de ces visites sont faits par presque toutes les AVE&amp;C parcourues lors du sondage sur la pertinence de ces visites d’échanges."/>
    <s v="L’éducation est primordiale afin de briser le cercle vicieux de la perpétration des mauvaises pratiques de génération en génération."/>
    <s v="Rien à signaler"/>
    <m/>
    <n v="11982"/>
    <n v="15817"/>
    <n v="1.3200634284760473"/>
    <n v="0.60357202470372229"/>
    <n v="0.48334070936334322"/>
    <n v="7232"/>
    <n v="7645"/>
    <s v=""/>
    <n v="0"/>
    <n v="0"/>
    <s v=""/>
    <s v=""/>
    <n v="0"/>
    <n v="0"/>
    <s v=""/>
    <n v="1"/>
    <n v="0"/>
    <n v="0"/>
    <s v=""/>
    <n v="1"/>
    <n v="0"/>
    <n v="0"/>
    <s v=""/>
    <n v="1"/>
    <n v="0"/>
    <n v="0"/>
    <s v=""/>
    <s v="4. Transformative"/>
    <s v="2. Accommodating"/>
    <s v="No marker score"/>
    <s v="It tested new ways for fighting poverty and measured results of innovation"/>
    <s v="Moderate advocacy"/>
    <s v="It linked and worked with strategic alliances and partners to take tested and effective solutions to scale"/>
  </r>
  <r>
    <x v="6"/>
    <x v="1"/>
    <n v="2801"/>
    <s v="For Active Inclusion and Rights of Roma Women in the Western Balkans II (FAIR II)"/>
    <s v="Bosnia and Herzegovina"/>
    <s v="BIH131, BA331"/>
    <s v="CARE Österreich"/>
    <s v="Government"/>
    <s v="Government - Austria"/>
    <s v="Austrian Development Agency (ADA)"/>
    <m/>
    <m/>
    <m/>
    <m/>
    <m/>
    <m/>
    <m/>
    <m/>
    <m/>
    <m/>
    <m/>
    <m/>
    <m/>
    <m/>
    <m/>
    <m/>
    <m/>
    <m/>
    <m/>
    <m/>
    <m/>
    <m/>
    <m/>
    <m/>
    <m/>
    <m/>
    <m/>
    <m/>
    <m/>
    <m/>
    <m/>
    <m/>
    <m/>
    <m/>
    <m/>
    <m/>
    <m/>
    <m/>
    <m/>
    <m/>
    <m/>
    <m/>
    <m/>
    <m/>
    <m/>
    <d v="2015-11-01T00:00:00"/>
    <d v="2018-10-31T00:00:00"/>
    <m/>
    <s v="Humanitarian A Life Free From Violence (GBV)"/>
    <n v="1256496.6599999999"/>
    <s v="Jadranka Miličević"/>
    <s v="Project Manager"/>
    <s v="jmilicevic@carenwb.org"/>
    <s v="Maja Petek"/>
    <s v="Project Officer"/>
    <s v="mpetek@carenwb.org"/>
    <s v="NO"/>
    <s v="YES"/>
    <s v="NO"/>
    <s v="To strenghten Roma women NGO's capacities to address the national and European level strategies and interventions related to Roma women rights and social inclusion of Roma communities"/>
    <s v="Regional"/>
    <s v="Balkan Region; Countries: Bosnia and Herzegovina, Republic of Serbia and Montenegro; throughout three countries"/>
    <s v="Local partners -Roma women lead non-governmental organizations, Roma women, girls, boys and men"/>
    <n v="4620"/>
    <n v="2380"/>
    <n v="7000"/>
    <n v="14000"/>
    <n v="6000"/>
    <n v="20000"/>
    <s v="Direct participants: Roma women and girls, men and boys in targeted localities, women Roma organizations, representatives of non Roma organizations and institutions addressing Roma issues, national governmental representatives._x000a_Indirect participants: family members of Roma individuals, colleagues of representatives of NGOs and institutional representatives, general public in Roma and majority population._x000a_The project team developed tailor maide monitoring tables for all implemented project activities with special tables for multiple and individual count of persons who directly participated at some project activities."/>
    <m/>
    <m/>
    <m/>
    <m/>
    <m/>
    <m/>
    <m/>
    <m/>
    <m/>
    <m/>
    <m/>
    <m/>
    <m/>
    <m/>
    <m/>
    <m/>
    <m/>
    <m/>
    <m/>
    <m/>
    <m/>
    <m/>
    <m/>
    <m/>
    <m/>
    <m/>
    <m/>
    <m/>
    <m/>
    <m/>
    <m/>
    <m/>
    <m/>
    <m/>
    <m/>
    <m/>
    <m/>
    <m/>
    <m/>
    <m/>
    <m/>
    <m/>
    <m/>
    <m/>
    <m/>
    <m/>
    <m/>
    <m/>
    <m/>
    <m/>
    <m/>
    <m/>
    <m/>
    <m/>
    <m/>
    <m/>
    <m/>
    <m/>
    <m/>
    <m/>
    <n v="2388"/>
    <n v="1405"/>
    <n v="3793"/>
    <n v="6500"/>
    <n v="4000"/>
    <n v="10500"/>
    <s v="NO"/>
    <m/>
    <m/>
    <m/>
    <s v="NO"/>
    <m/>
    <m/>
    <m/>
    <s v="NO"/>
    <m/>
    <m/>
    <m/>
    <s v="NO"/>
    <m/>
    <m/>
    <m/>
    <s v="NO"/>
    <m/>
    <m/>
    <m/>
    <s v="YES"/>
    <n v="962"/>
    <n v="0.57379999999999998"/>
    <n v="2500"/>
    <s v="NO"/>
    <m/>
    <m/>
    <m/>
    <s v="YES"/>
    <n v="990"/>
    <n v="0.61519999999999997"/>
    <n v="2800"/>
    <s v="YES"/>
    <n v="120"/>
    <n v="0.50829999999999997"/>
    <n v="350"/>
    <s v="YES"/>
    <n v="664"/>
    <n v="0.5696"/>
    <n v="1900"/>
    <s v="NO"/>
    <m/>
    <m/>
    <m/>
    <s v="NO"/>
    <m/>
    <m/>
    <m/>
    <s v="YES"/>
    <n v="297"/>
    <n v="0.69020000000000004"/>
    <n v="800"/>
    <s v="YES"/>
    <n v="133"/>
    <n v="1"/>
    <n v="400"/>
    <s v="NO"/>
    <m/>
    <m/>
    <m/>
    <s v="NO"/>
    <m/>
    <m/>
    <m/>
    <s v="Assistance in Ensuring Access to Social Rights"/>
    <s v="YES"/>
    <n v="627"/>
    <n v="0.622"/>
    <n v="1750"/>
    <s v="YES"/>
    <s v="December"/>
    <n v="2016"/>
    <s v="NO"/>
    <s v="YES"/>
    <s v="October"/>
    <n v="2017"/>
    <s v="Midterm evaluation is ongoing and conducted by the Regional Gender Program Coordinator and the project team"/>
    <x v="1"/>
    <s v="YES"/>
    <s v="YES"/>
    <s v="YES"/>
    <s v="YES"/>
    <s v="YES"/>
    <m/>
    <s v="YES"/>
    <m/>
    <m/>
    <x v="1"/>
    <s v="We are testing working with men and fighting inequality ???"/>
    <x v="3"/>
    <m/>
    <x v="1"/>
    <x v="1"/>
    <s v="YES"/>
    <x v="0"/>
    <x v="0"/>
    <x v="0"/>
    <x v="2"/>
    <n v="4"/>
    <x v="1"/>
    <x v="1"/>
    <x v="1"/>
    <x v="1"/>
    <x v="1"/>
    <x v="1"/>
    <n v="4"/>
    <x v="1"/>
    <x v="2"/>
    <x v="1"/>
    <x v="2"/>
    <x v="3"/>
    <n v="1"/>
    <x v="2"/>
    <x v="3"/>
    <n v="7"/>
    <s v="Local NGO(s)/CSO(s)"/>
    <m/>
    <m/>
    <x v="0"/>
    <s v="FAIR II project is strenghtening local CSO through a range of  tailor made capacity building actions directed at improving their organizational management and advocacy skills, reporting, monitoring and evaluation procedures, providing support in networking of organizations and institutions working on similar issues, nationally and regionally."/>
    <m/>
    <s v="Men engagement; to bring the change into the community and to support women empowerment and contribute to decrease GBV it is necessary to include men into workshops and work on changing their attitudes. This goes not only for adult men but also for young men."/>
    <s v="Inter-Sectoral Commissions; This is a local coordination mechanism, a body, consisted of representatives of local partner organization and institions which address certain related issues but have different roles. The representatives of this body jointly addrees individual issue and solve cases and/or start theirown initiatives"/>
    <s v="Peer to peer education is conducted in high schools attended by Roma students as well and in Roma communities targeting youth that do not attend schools. Information on sensitive issues are best transfered from peers to peers, open discussion is more frequent during peer to peer educations."/>
    <s v="Men engagement targets men in Roma community working on sensitive issues such as GBV and gender roles. One of the lessons learned is taking light approach in establishment of trust; meaning men were not interested to participate in GBV workshops thus partner organization now approached men through organization of workshops for men on different topics (mental health and support), after building trust targeted topics will be introduced."/>
    <s v="Roma Community Mediators are proven to be one of the assessts of this project to Roma community directly. Roma Mediators work in Roma communities and assist Roma population in different areas: education, gender based violence, gender equality, access to social rights and sometimes even provision of support. Roma Mediators act as the link between institutions and Roma individuals and are supported by main project partner in regards to transfer of knowledge and information. Unfortunatelly, this model, even proven to be supportive and very helpful to Roma community it is highely unlikely to be taken over by instutions due to lack of funds."/>
    <s v="Resistence of our longterm partners to test new tools, for example: Community Score Card i Most Significant Change has been noticed."/>
    <s v="Women Roma organizations that are main parnters in this project have been our partners for years during which CARE has been supporting these organizations and built their capacities. This capacity building has enabled these organizations now to be leaders in implemetation of succesfull projects of economic empowerment of women in their communities."/>
    <m/>
    <n v="3793"/>
    <n v="10500"/>
    <n v="2.7682573161086212"/>
    <n v="0.62958080674927497"/>
    <n v="0.61904761904761907"/>
    <n v="2388"/>
    <n v="6500"/>
    <s v=""/>
    <n v="0"/>
    <n v="0"/>
    <s v=""/>
    <s v=""/>
    <n v="0"/>
    <n v="0"/>
    <s v=""/>
    <n v="1"/>
    <n v="133"/>
    <n v="400"/>
    <n v="3.007518796992481"/>
    <n v="1"/>
    <n v="990"/>
    <n v="2800"/>
    <n v="2.8282828282828283"/>
    <s v=""/>
    <n v="0"/>
    <n v="0"/>
    <s v=""/>
    <s v="4. Transformative"/>
    <s v="2. Accommodating"/>
    <s v="1. Neutral"/>
    <s v="It tested new ways for fighting poverty, but did not measure results of innovation"/>
    <s v="Moderate advocacy"/>
    <s v="It took tested solutions to scale on its own"/>
  </r>
  <r>
    <x v="6"/>
    <x v="1"/>
    <n v="2802"/>
    <s v="Inclusive Economic Growth and Employment Generation in Eastern Bosnia and Herzegovina – Birac Region"/>
    <s v="Bosnia and Herzegovina"/>
    <s v="2013/336-866"/>
    <s v="CARE Österreich"/>
    <s v="Other"/>
    <s v="Other"/>
    <s v="CARE Austria"/>
    <s v="2013/336-866"/>
    <s v="No CARE member related to the project/initiative"/>
    <s v="Government"/>
    <s v="EU - European Union (other than ECHO)"/>
    <s v="EU"/>
    <s v="2013/336-866"/>
    <s v="No CARE member related to the project/initiative"/>
    <s v="Government"/>
    <s v="Government - Austria"/>
    <s v="Austrian Development Agency (ADA)"/>
    <m/>
    <m/>
    <m/>
    <m/>
    <m/>
    <m/>
    <m/>
    <m/>
    <m/>
    <m/>
    <m/>
    <m/>
    <m/>
    <m/>
    <m/>
    <m/>
    <m/>
    <m/>
    <m/>
    <m/>
    <m/>
    <m/>
    <m/>
    <m/>
    <m/>
    <m/>
    <m/>
    <m/>
    <m/>
    <m/>
    <m/>
    <m/>
    <m/>
    <m/>
    <m/>
    <d v="2014-01-15T00:00:00"/>
    <d v="2016-07-15T00:00:00"/>
    <d v="2016-12-31T00:00:00"/>
    <s v="Development Access to and Control over Economic Resources"/>
    <m/>
    <s v="Branislav Tanasijevic"/>
    <s v="btanasijevic@carenwb.org"/>
    <s v="Vesna Jovanovic"/>
    <s v="Regional Program Coordinator Social and Economic Inclusion"/>
    <s v="vjovanovic@care.rs"/>
    <s v="vjovanovic@care.rs"/>
    <s v="NO"/>
    <s v="YES"/>
    <s v="NO"/>
    <s v="The main goal of the Action was to enhance inclusive economic growth and employment generation in eastern Bosnia and Herzegovina in the Birac Region and to improve competitiveness of agricultural SMEs and producers through the establishment of sustainable support mechanisms and the provision of technical support in 4 target municipalities – Bratunac, Srebrenica, Milici and Vlasenica."/>
    <s v="National"/>
    <s v="The project targeted four municipalities – Srebrenica, Bratunac, Vlasenica and Milici, often referred to as “the Birac region”, one of the least developed in Bosnia and Herzegovina (BiH). Since 1999 CARE has been involved in the region in inclusive local economic development, fighting poverty and strengthening civil society and municipalities´ capacities to assist local agricultural SMEs and producers. CARE has, in previous actions, facilitated the establishment of the Regional Advisory Service (former Agro-Business Centre), a technical assistance provider, one of the co-applicants in the proposed Action. As part of its programming strategy CARE is focusing on the economic empowerment of women, returnees and other disadvantaged groups. One of its key partners has been the women NGO MAJA, another co-applicant in this project, which in 2013 established the first women cooperative in BiH, in Bratunac municipality. The third co-applicant, the municipality of Vlasenica, has been a cooperation partner of CARE since 2006. The municipalities of Bratunac, Srebrenica, Milici will support project implementation as Associates. In preparation of the action CARE and partners met also with SMEs, cooperatives, individual producers, CSO’s in the target area and. built the project idea on the research done."/>
    <s v="Agricultural producers from the target regions and their households,  members of women's agricultural cooperative, food production SMEs, other cooperatives and their members,  project partner organizations and municipalities Vlasenica and Bratunac"/>
    <n v="100"/>
    <n v="50"/>
    <n v="150"/>
    <n v="2000"/>
    <n v="500"/>
    <n v="2500"/>
    <s v="Calculation was made based on number of events held in FY counting participants and one mayor event supported by project –agricultural fair which happened in this FY."/>
    <m/>
    <m/>
    <m/>
    <m/>
    <m/>
    <m/>
    <m/>
    <m/>
    <m/>
    <m/>
    <m/>
    <m/>
    <m/>
    <m/>
    <m/>
    <m/>
    <m/>
    <m/>
    <m/>
    <m/>
    <m/>
    <m/>
    <m/>
    <m/>
    <m/>
    <m/>
    <m/>
    <m/>
    <m/>
    <m/>
    <m/>
    <m/>
    <m/>
    <m/>
    <m/>
    <m/>
    <m/>
    <m/>
    <m/>
    <m/>
    <m/>
    <m/>
    <m/>
    <m/>
    <m/>
    <m/>
    <m/>
    <m/>
    <m/>
    <m/>
    <m/>
    <m/>
    <m/>
    <m/>
    <m/>
    <m/>
    <m/>
    <m/>
    <m/>
    <m/>
    <n v="100"/>
    <n v="50"/>
    <n v="150"/>
    <n v="400"/>
    <n v="150"/>
    <n v="550"/>
    <s v="YES"/>
    <n v="120"/>
    <n v="0.7"/>
    <n v="500"/>
    <s v="NO"/>
    <m/>
    <m/>
    <m/>
    <s v="NO"/>
    <m/>
    <m/>
    <m/>
    <s v="NO"/>
    <m/>
    <m/>
    <m/>
    <s v="YES"/>
    <n v="50"/>
    <n v="0.7"/>
    <n v="200"/>
    <s v="NO"/>
    <m/>
    <m/>
    <m/>
    <s v="NO"/>
    <m/>
    <m/>
    <m/>
    <s v="NO"/>
    <m/>
    <m/>
    <m/>
    <s v="NO"/>
    <m/>
    <m/>
    <m/>
    <s v="NO"/>
    <m/>
    <m/>
    <m/>
    <s v="YES"/>
    <n v="8"/>
    <n v="0.8"/>
    <n v="32"/>
    <s v="NO"/>
    <m/>
    <m/>
    <m/>
    <s v="YES"/>
    <n v="30"/>
    <n v="0.75"/>
    <n v="250"/>
    <s v="NO"/>
    <m/>
    <m/>
    <m/>
    <s v="NO"/>
    <m/>
    <m/>
    <m/>
    <s v="YES"/>
    <n v="80"/>
    <n v="1"/>
    <n v="500"/>
    <m/>
    <m/>
    <m/>
    <m/>
    <m/>
    <s v="YES"/>
    <s v="December"/>
    <n v="2016"/>
    <s v="NO"/>
    <s v="NO"/>
    <m/>
    <m/>
    <s v="No further evaluations since project is finished in December 2016"/>
    <x v="1"/>
    <s v="YES"/>
    <s v="YES"/>
    <s v="YES"/>
    <s v="YES"/>
    <s v="NO"/>
    <s v="NO"/>
    <s v="YES"/>
    <s v="YES"/>
    <s v="Activities to promote women's economic empowerment in the sector of agriculture, particularly around social agricultural cooperatives, on the local, regional and national level in Bosnia and Hercegovina."/>
    <x v="1"/>
    <s v="Agricultural advisory services are made available for the entire target area and their work promoted among the agro-producers and local authorities._x000a_Involvement of women from rural areas and their representative organisations in social cooperative entrepreneurship was promoted largely in BIH._x000a_The project advocated for the recognition of social entrepreneurship in local legislature of BIH and lead a public debate on formulations for the new law on social entrepreneurship."/>
    <x v="1"/>
    <s v="The project 'patented' forum exchange meetings, particular social dialogue forums, gathering agricultural producers, cooperatives and food production SMEs on the one side and local and national authorities' and institutions' representatives, finance institutions, large market chains. they discussed priorities for improving environment for development of food production, larger investments in agri-businesses of marginalised groups etc."/>
    <x v="1"/>
    <x v="1"/>
    <s v="YES"/>
    <x v="1"/>
    <x v="0"/>
    <x v="1"/>
    <x v="4"/>
    <n v="2"/>
    <x v="1"/>
    <x v="1"/>
    <x v="1"/>
    <x v="1"/>
    <x v="1"/>
    <x v="1"/>
    <n v="4"/>
    <x v="1"/>
    <x v="1"/>
    <x v="1"/>
    <x v="1"/>
    <x v="1"/>
    <n v="3"/>
    <x v="0"/>
    <x v="3"/>
    <n v="3"/>
    <s v="Local NGO(s)/CSO(s)"/>
    <s v="Local government(s)"/>
    <s v="Media or journalist network(s)"/>
    <x v="0"/>
    <s v="Both NGO partners received core financial support. One of the partner NGOs (women's association MAJA) received trainings to become resource centre for women's entrepreneurship and a sub-grant to support their agricultural social cooperative. The other partner, Advisory Service, was supported to spread their service portfolio and target territory."/>
    <s v="CARE tacked rural development by co-financing small cooling facilities for individual agri-producers (including women), in order to enable them to sell their products in a more organised manner and obtain higher price."/>
    <s v="Forum exchange meetings enabled successful women who were supported by the project to speak about their challenges, obstacles and plans for the future in front of local authority representatives, other NGOs, other women, financial institutions and present media who will spread positive impact to wider audience.  Often meetings are very emotional due to the fact that not often poor women are given chance to speak about their success."/>
    <s v="Cluster support and various promotional project activities, such as round tables, exchange forums helped partners to be linked to main institutions of their interest."/>
    <m/>
    <s v="It is all about the partner NGOs you choose, the more they are focused and interested, the better results will be achieved."/>
    <s v="Constant presence at local media and with decisions makers is important"/>
    <s v="Training, advocacy campaign, awareness raising actions or else without visible direct support is not 100% productive. People wish to see in practice immediate change with their neighbour and then they will be more interested to participate and allocate their time."/>
    <m/>
    <s v="The project undertook a case study on the agricultural (social) cooperative &quot;Woman&quot;, founded by our partner organisation Women's Association MAJA Kravica (Bratunac, Bosnia and Herzegovina): http://care-balkan.org/dok/adc-eng.pdf"/>
    <n v="150"/>
    <n v="550"/>
    <n v="3.6666666666666665"/>
    <n v="0.66666666666666663"/>
    <n v="0.72727272727272729"/>
    <n v="100"/>
    <n v="400"/>
    <s v=""/>
    <n v="0"/>
    <n v="0"/>
    <s v=""/>
    <n v="1"/>
    <n v="120"/>
    <n v="500"/>
    <n v="4.166666666666667"/>
    <s v=""/>
    <n v="0"/>
    <n v="0"/>
    <s v=""/>
    <s v=""/>
    <n v="0"/>
    <n v="0"/>
    <s v=""/>
    <n v="1"/>
    <n v="80"/>
    <n v="500"/>
    <n v="6.25"/>
    <s v="3. Responsive"/>
    <s v="2. Accommodating"/>
    <s v="2. Sensitive"/>
    <s v="It tested new ways for fighting poverty, but did not measure results of innovation"/>
    <s v="Moderate advocacy"/>
    <s v="It linked and worked with strategic alliances and partners to take tested and effective solutions to scale"/>
  </r>
  <r>
    <x v="6"/>
    <x v="1"/>
    <n v="2806"/>
    <s v="The Boys and Men as Allies in Violence Prevention and Gender Transformation in the Western Balkans"/>
    <s v="Bosnia and Herzegovina"/>
    <s v="PN: BIH105 FC: BA305"/>
    <s v="CARE Österreich"/>
    <s v="Government"/>
    <s v="Government - Austria"/>
    <s v="Austrian Development Agency (ADA)"/>
    <s v="PN: BIH116 FC: BA316"/>
    <s v="No CARE member related to the project/initiative"/>
    <s v="Foundation"/>
    <s v="Other"/>
    <s v="OAK Foundation"/>
    <m/>
    <m/>
    <s v="Foundation"/>
    <s v="Other"/>
    <m/>
    <m/>
    <m/>
    <m/>
    <m/>
    <m/>
    <m/>
    <m/>
    <m/>
    <m/>
    <m/>
    <m/>
    <m/>
    <m/>
    <m/>
    <m/>
    <m/>
    <m/>
    <m/>
    <m/>
    <m/>
    <m/>
    <m/>
    <m/>
    <m/>
    <m/>
    <m/>
    <m/>
    <m/>
    <m/>
    <m/>
    <m/>
    <m/>
    <m/>
    <m/>
    <m/>
    <d v="2013-12-01T00:00:00"/>
    <d v="2016-11-30T00:00:00"/>
    <m/>
    <s v="Development A Life Free From Violence (GBV)"/>
    <n v="1471221"/>
    <s v="Sumka Bučan"/>
    <s v="Regional Director"/>
    <s v="sbucan@carenwb.org"/>
    <s v="Saša Petković"/>
    <s v="Project Manager"/>
    <s v="spetkovic@carenwb.org"/>
    <s v="NO"/>
    <s v="YES"/>
    <s v="NO"/>
    <s v="The project purpose is to increase the uptake of healthy, non-violent and gender equitable lifestyles amongst boys and men (and girls and women) participating in the program. _x000a_This will be achieved through 3 inter-related results:_x000a_ER1: Gender Transformative Life Skills program (Program M) adopted, accredited and teachers trained by Ministry of Education for use in secondary schools;_x000a_ER 2: Lifestyle and social norms campaigns to engage boys and men on issues of violence prevention, gender equality and fatherhood are developed and reach the targeted audience;_x000a_ER3: Local NGO partners act as national resource centres and promote practice, policy and research work engaging boys and men._x000a_The project purpose is to increase the uptake of healthy, non-violent and gender equitable lifestyles amongst boys and men (and girls and women) participating in the program. _x000a_This will be achieved through 3 inter-related results:_x000a_ER1: Gender Transformative Life Skills program (Program M) adopted, accredited and teachers trained by Ministry of Education for use in secondary schools;_x000a_ER 2: Lifestyle and social norms campaigns to engage boys and men on issues of violence prevention, gender equality and fatherhood are developed and reach the targeted audience;_x000a_ER3: Local NGO partners act as national resource centres and promote practice, policy and research work engaging boys and men."/>
    <s v="Multiple countries"/>
    <s v="Serbia, Croatia, Kosovo, Bosnia &amp; Herzegovina and Albania"/>
    <s v="The major target groups of the project are the five local partner organisations, 25,000 secondary school age youth, especially those from lower socio-economic background who face higher levels of social exclusion in Serbia, Croatia, Kosovo, Bosnia and Herzegovina and Albania, with an emphasis on young men; in addition 2000 fathers and other male care givers. Secondary target groups include 500 educators that will be trained in the Young Men Initiative methodology, based on the Program M Manual. Additionally 200 pedagogy students will be targeted, in order to provide them practical skills before entering the profession. Also the capacities of 20 educators will be strengthened to become trainers of trainers (ToT), thus to create a group of peer educators that would act as catalysts for disseminating the Gender Transformative Life Skills program (Program M) in schools. A key target group is staff from the Ministry for Education and Gender Agencies and ministries dealing with gender equality as well as decentralised governmental gender structures at entity/canton/municipality level. With the aim of mainstreaming gender equitable approaches in the educational system, educators and pedagogy students will be directly targeted with capacity building. The main beneficiaries are young men in the targeted 4 countries."/>
    <n v="31"/>
    <n v="123"/>
    <n v="154"/>
    <n v="1000"/>
    <n v="4400"/>
    <n v="5400"/>
    <s v="In this project, 5 local organisations are partners in the implementation of the planned results. In each country (Kosovo, Albania, Serbia and Bosnia and Herzegovina). They have a network of over 1000 peer educators around the country that supports its primary focus on youth health and violence prevention. These organisations are both, implementing partners of CARE but also a target group of the project, since CARE continues to focus on building their capacity to be the leading CSOs and partners of choice of different stakeholders in addressing violence and work with boys and men with a gender equality framework. Another target group are 500 secondary school educators and 200 students of pedagogical faculties in the countries. In addition 20 selected educators will be targeted and provided with capacity building as trainers of trainers (ToT). In addition 2000 fathers and male care givers will be targeted in educational and campaign related activities.  The project anticipates reaching over 25,000 youth over 3 years by educational workshops and campaigns. The final beneficiaries include the wider family environment of the participating 25,000 youth and the 2000 fathers.  It is around 5,400 direct and indirect beneficiaries per state including Croatia - OAK component opf the YMI regional project)."/>
    <m/>
    <m/>
    <m/>
    <m/>
    <m/>
    <m/>
    <m/>
    <m/>
    <m/>
    <m/>
    <m/>
    <m/>
    <m/>
    <m/>
    <m/>
    <m/>
    <m/>
    <m/>
    <m/>
    <m/>
    <m/>
    <m/>
    <m/>
    <m/>
    <m/>
    <m/>
    <m/>
    <m/>
    <m/>
    <m/>
    <m/>
    <m/>
    <m/>
    <m/>
    <m/>
    <m/>
    <m/>
    <m/>
    <m/>
    <m/>
    <m/>
    <m/>
    <m/>
    <m/>
    <m/>
    <m/>
    <m/>
    <m/>
    <m/>
    <m/>
    <m/>
    <m/>
    <m/>
    <m/>
    <m/>
    <m/>
    <m/>
    <m/>
    <m/>
    <m/>
    <n v="378"/>
    <n v="869"/>
    <n v="1247"/>
    <n v="2117"/>
    <n v="2852"/>
    <n v="4969"/>
    <m/>
    <m/>
    <m/>
    <m/>
    <m/>
    <m/>
    <m/>
    <m/>
    <m/>
    <m/>
    <m/>
    <m/>
    <m/>
    <m/>
    <m/>
    <m/>
    <m/>
    <m/>
    <m/>
    <m/>
    <s v="YES"/>
    <n v="1247"/>
    <n v="0.3"/>
    <m/>
    <m/>
    <m/>
    <m/>
    <m/>
    <s v="YES"/>
    <n v="1247"/>
    <m/>
    <n v="4969"/>
    <s v="YES"/>
    <n v="1247"/>
    <m/>
    <n v="4969"/>
    <m/>
    <m/>
    <m/>
    <m/>
    <m/>
    <m/>
    <m/>
    <m/>
    <m/>
    <m/>
    <m/>
    <m/>
    <m/>
    <m/>
    <m/>
    <m/>
    <s v="YES"/>
    <n v="1247"/>
    <n v="0.3"/>
    <m/>
    <m/>
    <m/>
    <m/>
    <m/>
    <m/>
    <m/>
    <m/>
    <m/>
    <m/>
    <m/>
    <m/>
    <m/>
    <m/>
    <s v="NO"/>
    <m/>
    <m/>
    <s v="YES"/>
    <s v="NO"/>
    <m/>
    <m/>
    <s v="End line assessment and Final evaluation are done in October 2016."/>
    <x v="2"/>
    <m/>
    <m/>
    <m/>
    <m/>
    <m/>
    <m/>
    <m/>
    <m/>
    <m/>
    <x v="1"/>
    <s v="YMI Project achieved great success by getting first official support by Ministry of education of Herzegovina-Neretva Canton, BiH that officially supported (accredited) Program Y and above mentioned program has been included in the draft of Strategy and Action Plan on prevention of violence and juvenile delinquency in Herzegovina-Neretva Canton (HNC). Thanks to dedication of our partner organization, Youth Power from Mostar and patient and systematic work by CARE on lobbying and advocacy, Program Y as innovative, more modern and more inclusive option of Program M that was the “heart” of our project became mandatory part of education of young men and women’s education in GBV prevention and promotion of healthier lifestyles in all high schools in HNC ( Program Y is available at http://www.youngmeninitiative.net/en/?page=36). In other words, all schools undertook a commitment to plan implementation of workshops during school headteacher classes (“časovi odjeljenske zajednice, local language) that amounts to 25% of all classes with head teacher during school year. Mandatory application of this program in all high schools in HNC is important because that model might in future be an example for responsible ministries in other parts of BiH as well as in our wider environment, like countries in the region of Western Balkans."/>
    <x v="1"/>
    <s v="All three key partner organizations and CARE as a mentor’s organization responsible for M&amp;E are engaged in implementation of UNWOMEN Program “Standards and Engagement for Ending Violence against Women and Domestic Violence in Bosnia and Herzegovina”. To be more precise, three main partners will work in 27 months (October 2016-December 2018) on implementation of project: “Comprehensive Approach in Engaging Young Men and Media in Ending Violence against Women and Domestic Violence in Bosnia and Herzegovina”. Main partner organizations will be involved in the development of advocacy strategy that will support the inclusion of Program Youth (Program Y - gender transformative educational methodology for preventing GBV, SGBV and VAW) in formal education in selected communities (Istočno Sarajevo, Travnik, Bijeljina and Tomislavgrad/Livno). This is the proof that main partner organizations have strengthened a lot but that they are also capable of further development. Partner organizations have more room for improvement of knowledge and skills in project proposal writing (even though they have written and implemented great number of projects so far). We are planning to improve project proposal writing skills in the next phase through CARE’s in-house trainings and/or trainings by top fundraisers."/>
    <x v="2"/>
    <x v="1"/>
    <s v="YES"/>
    <x v="0"/>
    <x v="0"/>
    <x v="0"/>
    <x v="2"/>
    <n v="4"/>
    <x v="2"/>
    <x v="1"/>
    <x v="1"/>
    <x v="1"/>
    <x v="1"/>
    <x v="2"/>
    <n v="4"/>
    <x v="3"/>
    <x v="1"/>
    <x v="1"/>
    <x v="1"/>
    <x v="4"/>
    <n v="3"/>
    <x v="2"/>
    <x v="3"/>
    <n v="13"/>
    <s v="Local NGO(s)/CSO(s)"/>
    <s v="National government"/>
    <s v="Grassroots organization(s)"/>
    <x v="0"/>
    <s v="CARE is supporting networking and mutual join actions implemented by CARE three main partners NGOs from Banja Luka, Mostar and Sarajevo and 8 Youth NGOs from 8 cities from BiH as well as formal cooperation with entities and cantonal governments."/>
    <s v="The project has not experienced any important changes/adjustments in this FY"/>
    <s v="YMI Project achieved great success by getting first official support by Ministry of education of Herzeg-Neretva Canton that officially supported (accredited) Programme Y. Ministry of education and culture of Republic of Srpska officially supported Programme Y, next step is inclusion in curriculum for secondary schools in Republic of Srpska. In Canton Sarajevo, progress in getting official support has not been achieved yet. Accreditations of Program Y should be top priority in future work."/>
    <s v="One of the aspects of sustainability are developed human, organisational and technical resources that exists and devotedly act even after finalisation of the programme. In all cities it was underlined that through this programme the organisations have grown and developed in all aspects of work. During the program, different didactic, educational and promotional stationary and material have been created and they will serve their purpose after completion of the programme. The most important legacy is manual “Programme Y”. Besides this manual, numerous smaller brochures, thousands of leaflets and dozens of video materials that promote different campaigns will remain after the project."/>
    <s v="Youth from all cities pointed out that the project had a great impact. They mentioned different indicators of project’s impact. The most concrete impact relates to change of attitudes and behaviours of youth who directly participated in the programme. Special credit for sucess goest to &quot;Be a man&quot; clubs."/>
    <s v="1. Flexibility is also our virtue and during the next year we will work on adaptation of Program Y to work with higher grades of elementary schools. We want to shift focus from high schools partly to elementary schools because there are more acts of intolerance, violence and unhealthy lifestyles in higher grades of elementary schools than in high schools."/>
    <s v="2. Unpredictability of the representatives from official institutions is something that always “surprises” us. Frequent elections in BiH (every two years) lead to changes in key people we worked with in the previous period and we always have to be ready for a change. Success of the model in Herzegovina-Neretva Canton gives us hope that we will be able to accredit Program Y in whole of BiH."/>
    <s v="3. Increasing visibility of program in schools has become important for maintaining messages and trying to change culture in school and social norms.  This has included getting wall space from the school for highlighting club events and actions; to place posters, and school anti violence declaration.  The workshops are only one element in promoting attitudinal and behavior change. We have to be innovative and we have to use digital media much more."/>
    <s v="RECOMMENDATIONS_x000a_In the course of implementation of the research (focus groups and interviews, document analyses) and results’ analyses we identified significant number of recommendations for future work. Majority of recommendations are result of direct work and experience of participants who were implementing the programme or participated in it. We divided the recommendations into strategic and specific. Strategic recommendations are those that can be of great importance for future progress of this project and the overall result. Specific recommendations are related to some details and should be considered during implementation of some concrete activities such as workshops, campaigns, and similar._x000a__x000a_Strategic recommendations_x000a_The most important recommendation is to come up with detailed plan of advocacy which would contribute that key decision makers include this project in regular school curriculum. This can imply establishment of coalitions, identification of allies and potential enemies, identification of primary and secondary decision makers, planned media pressure, etc._x000a_Having in mind that in BIH there are several organisations that implement different workshops in schools, it is maybe needed that those non-governmental organisations work closer and make one joint and integrated programme that would then be presented to respective ministries. Otherwise, respective ministries of education will most probably take a stand that they cannot include couple of different programmes, implemented by different organisation, into a school system. This recommendation is not a simple one, but it probably represents a path how this idea could be successfully solved in a long run._x000a_There is a great need that this programme is implemented with pupils of final grades in primary schools. This age period (13-15 years of age) represents beginning of adolescent period and is very important for development of attitudes and life values with youth. In this period new attitudes of youth towards different life spheres (violence, ethnic relations, sexuality, gender equality, etc.) are created and it is important to direct the youth in a right way. Work with younger categories would probably imply additional adaptation of manual that is used in secondary school._x000a_In several cities project coordinators were underlining importance of greater inclusion of parents in project activities. This is important for several reasons. It is difficult to expect long-term change in attitude of young people if their parents present violent behaviour, gender prejudice, etc. Additionally, parents can be useful ally in the process of introduction of the programme into school system._x000a_Important strategic question is whether to work with bigger or smaller number of schools. This directly relates to intensity of work. The bigger the number is it is more difficult to organise it and to guarantee success and quality of work. It is necessary to dedicate great attention to the process of selection of schools and partner organisations in the future. The work should be done only where there are conditions for successful realisation of the programme. Including partners that do not have sufficient capacities and commitment to the programme can only bring negative image to the project._x000a__x000a_In the context of expending and sustainability of the programme, one of the possibilities is to more include young unemployed psychologists, pedagogues and social workers. Before getting a formal employment they need to do their internship. One of the possibilities is to make an agreement with the ministry of education and define a possibility that the internship programme can be conducted in schools that implement Programme Y. In this way it would be easier to expend the programme, and it would also be very useful for young expert associates._x000a__x000a_It is important to continue the work in the area of community involvement. The idea of BMCs, which function as local youth clubs and resource centres for youth in the domain of promotion of gender equality, healthy lifestyles and violence prevention, should be additionally supported. In addition, CARE could support additional capacity development of BMCs to become key actors of local referral mechanisms for youth in need of additional support._x000a__x000a_One recommendation related to methodology of work. Participative and flexible principle of work that was being used in the project gave excellent results and that practice should be continued. Method of work where youth plan their own actions is obviously an additional motivation, develops their commitment and identification with the project. Outcome is that in planned actions and campaigns there was 3-4 times more youth than originally planned. This should continue. It would be ideal if this could be linked with workshops, i.e. that each workshop is followed by some practical action youth came up with, and the last phase is presentation in media. This is similar to what has been done by BMC from Sarajevo, under the name “3D”. _x000a__x000a_Existing structure for education programs’ implementation needs continuous support in development. It would be of great importance to further utilize established structure of educators and this would require development of clear selection criteria of future educators, their capacity development in conducting workshops and development in wider understanding of the training topics and policy framework._x000a__x000a_Specific recommendations_x000a_In some workshops it is necessary to pay more attention to understanding and control of emotions. They are often a root to violent and discriminatory behaviour. By raising emotional maturity their problems could be solved._x000a__x000a_In the end line research, consumption of alcohol came out as significant problem the programme could not influence a lot. Youngsters often drink under the influence of peers. In working with youth more attention should be given in explaining them how to oppose peer pressure._x000a__x000a_It should be re-examined if the workshop “What is gender/sex” is an optimal solution for the first workshop in education. That first workshop, depending on peer educator, can be pretty confusing and boarding (that was feedback from interviewed young men and young women). It is maybe better to start with a workshop that would be interesting to youth._x000a__x000a_In majority of cities youth pointed out that workshop on violence on internet (cyber bulling) should be included in the programme. One of the proposals is to also include workshop “Healthy eating” in the programme as there is a lot of obesity with youth._x000a__x000a_In order to know how to act once serious problem between students is identified it is necessary to have better cooperation with expert associates (pedagogies / psychologist / social worker)._x000a__x000a_In some cities project participants feel that peer educators were not trained enough to work in schools. Thus, it is necessary to pay more attention to selection of peer educators and their education. It is necessary to synchronise education in all cities to make it as similar as possible. Joint educations of peer educators proved to be a good thing, and this should continue._x000a__x000a_In some situations peer educators were confronted with psychological problems of students. Their job was definitely not to go deeper into those problems, but it would maybe be useful to have psychologist supervisor who could occasionally give advice how to behave in those situations. It would be useful that qualified psychologist holds a workshop on this topic during joint education of peer educators._x000a__x000a_Numerous professors distanced themselves and their attention should be drawn and importance of such programmes should be highlighted. Also, some expert associates were not well informed about the programme. This aspect of work should be improved. _x000a_Practice of including youth in other activities, not only workshops, should be continued. As mentioned above, through BMC activities significant change in the minds of young people happens._x000a_It would be good that future camps gather even more youth from each city._x000a_Budget for youth network partners should be increased._x000a__x000a_One of the possibilities for better promotion and coordination is to create an application through which youngsters could over the phone receive necessary and important information about the programme. _x000a__x000a_Attention should be paid to what to emphasize during first presentations of the programme in schools and media. Have in mind that in first presentations ‘attack on traditional norms’ or reduction of homophobia should not be mentioned immediately in first presentations. That will most probably cause resistance and scepticism at first, as was the case in some schools in the past. Main focus of opening presentations should be development of healthy life styles, reduction of violence and use of psychoactive substances, and development of more human relations between men and women._x000a__x000a_Concerning promotion of the programme, the most efficient way to reach youth is via internet and different social networks. But, television should not be neglected as that is source of information mostly used by parents, professors and representatives of education institutions."/>
    <s v="http://www.youngmeninitiative.net/en/?page=36"/>
    <n v="1247"/>
    <n v="4969"/>
    <n v="3.9847634322373695"/>
    <n v="0.30312750601443467"/>
    <n v="0.42604145703360835"/>
    <n v="378"/>
    <n v="2117"/>
    <s v=""/>
    <n v="0"/>
    <n v="0"/>
    <s v=""/>
    <s v=""/>
    <n v="0"/>
    <n v="0"/>
    <s v=""/>
    <n v="1"/>
    <n v="1247"/>
    <n v="0"/>
    <n v="0"/>
    <n v="1"/>
    <n v="1247"/>
    <n v="4969"/>
    <n v="3.9847634322373695"/>
    <s v=""/>
    <n v="0"/>
    <n v="0"/>
    <s v=""/>
    <s v="4. Transformative"/>
    <s v="4. Transformational"/>
    <s v="4. Transformative"/>
    <s v="It tested new ways for fighting poverty, but did not measure results of innovation"/>
    <s v="Intensive advocacy"/>
    <s v="It linked and worked with strategic alliances and partners to take tested and effective solutions to scale"/>
  </r>
  <r>
    <x v="6"/>
    <x v="1"/>
    <n v="2803"/>
    <s v="Women's economic empowerment (WEE)"/>
    <s v="Bosnia and Herzegovina"/>
    <s v="BA 310"/>
    <s v="CARE Österreich"/>
    <s v="Government"/>
    <s v="Government - Austria"/>
    <s v="Austrian Development Agency (ADA)"/>
    <s v="BA322"/>
    <s v="CARE Österreich"/>
    <s v="Foundation"/>
    <s v="Other"/>
    <s v="OAK Foundation"/>
    <m/>
    <s v="CARE Österreich"/>
    <s v="Other"/>
    <s v="Other"/>
    <s v="CARE Austria"/>
    <m/>
    <m/>
    <m/>
    <m/>
    <m/>
    <m/>
    <m/>
    <m/>
    <m/>
    <m/>
    <m/>
    <m/>
    <m/>
    <m/>
    <m/>
    <m/>
    <m/>
    <m/>
    <m/>
    <m/>
    <m/>
    <m/>
    <m/>
    <m/>
    <m/>
    <m/>
    <m/>
    <m/>
    <m/>
    <m/>
    <m/>
    <m/>
    <m/>
    <m/>
    <m/>
    <d v="2014-06-01T00:00:00"/>
    <d v="2017-05-31T00:00:00"/>
    <d v="2017-08-31T00:00:00"/>
    <s v="Development Access to and Control over Economic Resources"/>
    <n v="419098.75"/>
    <s v="Dubravka Kovacevic"/>
    <s v="Project Manager"/>
    <s v="dkovacevic@carenwb.org"/>
    <s v="Vesna Jovanovic"/>
    <s v="Regional Program Coordinator Social and Economic Inclusion"/>
    <s v="vjovanovic@care.rs"/>
    <s v="NO"/>
    <s v="YES"/>
    <s v="NO"/>
    <s v="To increase economic opportunities for socially deprived and marginalized women vulnerable to violence by fostering their economic empowerment, enabling them to achieve their economic rights and financial independence."/>
    <s v="National"/>
    <s v="Bosnia and Herzegovina - Bijeljina, Bratunac, Konjevic polje and Rogatica (in Republika Srpska) and Tuzla and Visoko (in Federation of BiH )"/>
    <s v="Project partner NGOs - women's grass root organisations; women vulnerable to violence from the project target areas."/>
    <n v="1100"/>
    <n v="300"/>
    <n v="1400"/>
    <n v="1500"/>
    <n v="400"/>
    <n v="1900"/>
    <s v="Direct participants ( from workshops' participant lists and provided grants and services): 30 members of 6 CSOs, 160 individual woman who  received trainings, 15 members of 3 co-operatives and 150 co-operants, 30 members of DMCs, 800 members of 6 local communities who received support from women who started up own businesses. Indirect participants: 1500 of women and 400 of men in 6 local communities enabled with access to the vocational and financial services by 3 co-operatives and 6 municipalities."/>
    <m/>
    <m/>
    <m/>
    <m/>
    <m/>
    <m/>
    <m/>
    <m/>
    <m/>
    <m/>
    <m/>
    <m/>
    <m/>
    <m/>
    <m/>
    <m/>
    <m/>
    <m/>
    <m/>
    <m/>
    <m/>
    <m/>
    <m/>
    <m/>
    <m/>
    <m/>
    <m/>
    <m/>
    <m/>
    <m/>
    <m/>
    <m/>
    <m/>
    <m/>
    <m/>
    <m/>
    <m/>
    <m/>
    <m/>
    <m/>
    <m/>
    <m/>
    <m/>
    <m/>
    <m/>
    <m/>
    <m/>
    <m/>
    <m/>
    <m/>
    <m/>
    <m/>
    <m/>
    <m/>
    <m/>
    <m/>
    <m/>
    <m/>
    <m/>
    <m/>
    <n v="100"/>
    <n v="0"/>
    <n v="100"/>
    <n v="1350"/>
    <n v="400"/>
    <n v="1750"/>
    <s v="YES"/>
    <n v="80"/>
    <n v="0.8"/>
    <n v="1150"/>
    <m/>
    <m/>
    <m/>
    <m/>
    <m/>
    <m/>
    <m/>
    <m/>
    <m/>
    <m/>
    <m/>
    <m/>
    <s v="YES"/>
    <n v="100"/>
    <n v="1"/>
    <n v="1750"/>
    <s v="YES"/>
    <n v="40"/>
    <n v="0.4"/>
    <n v="250"/>
    <s v="YES"/>
    <n v="40"/>
    <n v="1"/>
    <n v="150"/>
    <s v="YES"/>
    <n v="40"/>
    <n v="1"/>
    <n v="100"/>
    <m/>
    <m/>
    <m/>
    <m/>
    <m/>
    <m/>
    <m/>
    <m/>
    <m/>
    <m/>
    <m/>
    <m/>
    <m/>
    <m/>
    <m/>
    <m/>
    <m/>
    <m/>
    <m/>
    <m/>
    <m/>
    <m/>
    <m/>
    <m/>
    <m/>
    <m/>
    <m/>
    <m/>
    <s v="YES"/>
    <n v="100"/>
    <n v="1"/>
    <n v="1750"/>
    <m/>
    <m/>
    <m/>
    <m/>
    <m/>
    <s v="NO"/>
    <m/>
    <m/>
    <s v="NO"/>
    <s v="YES"/>
    <s v="September"/>
    <n v="2017"/>
    <m/>
    <x v="1"/>
    <s v="YES"/>
    <m/>
    <s v="YES"/>
    <s v="NO"/>
    <s v="NO"/>
    <s v="NO"/>
    <s v="NO"/>
    <m/>
    <m/>
    <x v="1"/>
    <s v="Intense involvement of marginalised women, vulnerable to violence in income generation activities, through women's cooperatives founded within the project: women from Roma communities, from rural communities, women beneficiaries of safe houses against family violence."/>
    <x v="1"/>
    <s v="Experience and knowledge from the first agricultural women's cooperative (agricultural cooperative Zena from Kravica - BIH) was conveyed to other partner NGOs, who founded their own women's cooperatives and attracted a number of members - women vulnerable to violence."/>
    <x v="1"/>
    <x v="1"/>
    <s v="YES"/>
    <x v="0"/>
    <x v="0"/>
    <x v="1"/>
    <x v="4"/>
    <n v="3"/>
    <x v="2"/>
    <x v="1"/>
    <x v="2"/>
    <x v="1"/>
    <x v="2"/>
    <x v="5"/>
    <n v="2"/>
    <x v="1"/>
    <x v="1"/>
    <x v="2"/>
    <x v="1"/>
    <x v="3"/>
    <n v="2"/>
    <x v="2"/>
    <x v="2"/>
    <n v="6"/>
    <s v="Grassroots organization(s)"/>
    <s v="Local NGO(s)/CSO(s)"/>
    <s v="Local alliance(s)/Platform(s)/Network(s) of  NGOs/CSOs"/>
    <x v="0"/>
    <s v="We strenghtened the capacities of 6 women CSOs and 3 women lead co-operatives (2 of which were formed within the project, with direct support from the project)."/>
    <s v="CARE program strategy in the Balkans lays on gender equality and job creations that is the core of the project and activities. In this FY, the project managed to mainstream the necessity of association within women's economic empowerment and to facilitate formation of two new women's cooperatives from the side of two project partner organisations.  (As addition to the one cooperative that had already existed prior to the project start)"/>
    <s v="Capacity building of women's NGOs in economic empowerment of women issues is a key  in combating poverty among  vulnerable and deprived women."/>
    <s v="In order to improve women's self confidence to participate in a sustainable economic activity and to increase their family incom, they need to be equiped with vocational training skills, mentoring and finance support to start their own business."/>
    <s v="Networking  and exchange of experience, as well as cooperation with local stakeholders ( local government institutions, center for social work, etc) and increasing their capacities and knowledge is important to address the economic needs of women in the project target municipalities."/>
    <s v="Promissing practice: 6 partner organizations with capacity strengthened within the project, and 3cooperatives (social entreprises) strengthened founded/strengthened within the project are acting as  resource business centers for women and are encouraging and advising women how to become economically included."/>
    <s v="Effective market linking, management and marketing support leads to sustainability of the newly established women's businesses."/>
    <s v="CARE and partners formed communication with local (state organised) Employment Bureay offices in 6 target areas, to facilitate involvement of women in  eventual governmental opportunities for employment and financial support."/>
    <s v="The project supported  activities and actions to promote greater women’s participation and contributed to better women’s living conditions, such as support in establishment of the Roma Women´s Cooperative by the NGO Better Future from Tuzla and Women Victims of Domestic Violence cooperative by NGO Lara from Bijeljina. The cooperatives seek to foster local entrepreneurship, supporting the needs of vulnerable and marginalised women to diversify and expand their economic base by leveraging the resources."/>
    <s v="http://www.care-balkan.org/"/>
    <n v="100"/>
    <n v="1750"/>
    <n v="17.5"/>
    <n v="1"/>
    <n v="0.77142857142857146"/>
    <n v="100"/>
    <n v="1350"/>
    <s v=""/>
    <n v="0"/>
    <n v="0"/>
    <s v=""/>
    <n v="1"/>
    <n v="100"/>
    <n v="1750"/>
    <n v="17.5"/>
    <s v=""/>
    <n v="0"/>
    <n v="0"/>
    <s v=""/>
    <n v="1"/>
    <n v="40"/>
    <n v="100"/>
    <n v="2.5"/>
    <n v="1"/>
    <n v="100"/>
    <n v="1750"/>
    <n v="17.5"/>
    <s v="3. Responsive"/>
    <s v="3. Responsive"/>
    <s v="1. Neutral"/>
    <s v="It tested new ways for fighting poverty, but did not measure results of innovation"/>
    <s v="Moderate advocacy"/>
    <s v="It linked and worked with strategic alliances and partners to take tested and effective solutions to scale"/>
  </r>
  <r>
    <x v="6"/>
    <x v="1"/>
    <n v="2805"/>
    <s v="Young Men Initiative - Promoting Healthier Lifestyles among Youth in Bosnia and Herzegovina by Challenging Gender Stereotypes"/>
    <s v="Bosnia and Herzegovina"/>
    <s v="PN: BIH115, FC: BA315"/>
    <s v="CARE Deutschland-Luxemburg"/>
    <s v="Government"/>
    <s v="Government - Switzerland"/>
    <s v="Swiss Agency for Development and Cooperation (SDC)"/>
    <m/>
    <m/>
    <m/>
    <m/>
    <m/>
    <m/>
    <m/>
    <m/>
    <m/>
    <m/>
    <m/>
    <m/>
    <m/>
    <m/>
    <m/>
    <m/>
    <m/>
    <m/>
    <m/>
    <m/>
    <m/>
    <m/>
    <m/>
    <m/>
    <m/>
    <m/>
    <m/>
    <m/>
    <m/>
    <m/>
    <m/>
    <m/>
    <m/>
    <m/>
    <m/>
    <m/>
    <m/>
    <m/>
    <m/>
    <m/>
    <m/>
    <m/>
    <m/>
    <m/>
    <m/>
    <d v="2014-09-01T00:00:00"/>
    <d v="2017-08-31T00:00:00"/>
    <d v="2017-10-31T00:00:00"/>
    <s v="Development A Life Free From Violence (GBV)"/>
    <n v="641003"/>
    <s v="Sumka Bučan"/>
    <s v="Regional Director"/>
    <s v="sbucan@carenwb.org"/>
    <s v="Saša Petković"/>
    <s v="Project Manager"/>
    <s v="spetkovic@carenwb.org"/>
    <s v="NO"/>
    <s v="YES"/>
    <s v="NO"/>
    <s v="To increase the uptake of healthy, nonviolent and gender equitable lifestyles among young men and women in Bosnia and Herzegovina and our intention is to reach that goal. The goal will be reached through a combination of three expected outcomes: _x000a_Expected Outcome 1: Youth NGOs have increased capacities and resources for delivery of non-formal education to youth (including vulnerable and out of school youth) related to healthy, non-violent lifestyles._x000a_Expected Outcome 2: Ministries and agencies of education, youth and gender (entity and cantonal) and the Agency for pre-primary, primary and secondary education (state level) support the program methodology and have integrated life skills education into formal or non-formal school curricula.    _x000a_Expected outcome 3: Youth have increased awareness and improved attitudes related to health, violence and gender equality through participation in group education and youth led-campaigns, on healthy lifestyles, violence prevention and gender equality at the local and national level."/>
    <s v="National"/>
    <s v="CARE works in partnership with three experienced local youth non-governmental organizations (NGOs) from Sarajevo, Banja Luka and Mostar that are further building capacities of other youth NGOS in 10- 15 locations in BiH."/>
    <s v="The target group of the project includes state, entity and cantonal ministries responsible for youth, education and health; the state-level agency for education with its coordinating role, educational professionals/teachers;youth aged 15-26 with an emphasis on boys and men in vocational schools; parents; and NGO partners who are developing as national resource centres related to this work."/>
    <n v="1500"/>
    <n v="3500"/>
    <n v="5000"/>
    <n v="20000"/>
    <n v="30000"/>
    <n v="50000"/>
    <s v="Beneficiaries: Through educational workshops and campaigns targeting  young men and women in 10-15 secondary schools/communities, reaching over 10,000 youth (approx. 70% male and 30% female) over 3 years (we are working in two school years -  with around 5000 students). Through campaigns and other related activities 50,000 youth will be targeted indirectly. In addition Roma youth, as minority representatives, are integrated into all activities. Teachers and youth in the entire country have also be included  through diffferent awareness raising and community work. _x000a_CARE has developed a monitoring tool/table that partners use for regular monitoring of all of the activities/beneficiaries by gender and type for each project indicator. One table calculated one time only beneficiary and the other repeatitive beneficiaries, in order to have a clearer idea of the reach. The tables are being updated on a weekly and monthly basis and used for reporting, both of partners to CARE and CARE to donors."/>
    <m/>
    <m/>
    <m/>
    <m/>
    <m/>
    <m/>
    <m/>
    <m/>
    <m/>
    <m/>
    <m/>
    <m/>
    <m/>
    <m/>
    <m/>
    <m/>
    <m/>
    <m/>
    <m/>
    <m/>
    <m/>
    <m/>
    <m/>
    <m/>
    <m/>
    <m/>
    <m/>
    <m/>
    <m/>
    <m/>
    <m/>
    <m/>
    <m/>
    <m/>
    <m/>
    <m/>
    <m/>
    <m/>
    <m/>
    <m/>
    <m/>
    <m/>
    <m/>
    <m/>
    <m/>
    <m/>
    <m/>
    <m/>
    <m/>
    <m/>
    <m/>
    <m/>
    <m/>
    <m/>
    <m/>
    <m/>
    <m/>
    <m/>
    <m/>
    <m/>
    <n v="3208"/>
    <n v="3710"/>
    <n v="6918"/>
    <n v="67636"/>
    <n v="75131"/>
    <n v="142767"/>
    <m/>
    <m/>
    <m/>
    <m/>
    <m/>
    <m/>
    <m/>
    <m/>
    <m/>
    <m/>
    <m/>
    <m/>
    <m/>
    <m/>
    <m/>
    <m/>
    <m/>
    <m/>
    <m/>
    <m/>
    <s v="YES"/>
    <n v="6918"/>
    <n v="0.46"/>
    <m/>
    <m/>
    <m/>
    <m/>
    <m/>
    <s v="YES"/>
    <m/>
    <n v="0.47"/>
    <n v="142767"/>
    <s v="YES"/>
    <m/>
    <n v="0.47"/>
    <n v="142767"/>
    <m/>
    <m/>
    <m/>
    <m/>
    <m/>
    <m/>
    <m/>
    <m/>
    <m/>
    <m/>
    <m/>
    <m/>
    <m/>
    <m/>
    <m/>
    <m/>
    <s v="YES"/>
    <n v="6918"/>
    <n v="0.46"/>
    <m/>
    <m/>
    <m/>
    <m/>
    <m/>
    <m/>
    <m/>
    <m/>
    <m/>
    <m/>
    <m/>
    <m/>
    <m/>
    <m/>
    <s v="NO"/>
    <m/>
    <m/>
    <m/>
    <s v="YES"/>
    <s v="September"/>
    <n v="2017"/>
    <s v="End line assessment and Final evaluation were done in May and June 2016."/>
    <x v="2"/>
    <m/>
    <m/>
    <m/>
    <m/>
    <m/>
    <m/>
    <m/>
    <m/>
    <m/>
    <x v="1"/>
    <s v="YMI Project achieved great success by getting first official support by Ministry of education of Herzegovina-Neretva Canton, BiH that officially supported (accredited) Program Y and above mentioned program has been included in the draft of Strategy and Action Plan on prevention of violence and juvenile delinquency in Herzegovina-Neretva Canton (HNC). Thanks to dedication of our partner organization, Youth Power from Mostar and patience and systematic work by CARE on lobbying and advocacy, Program Y as innovative, more modern and more inclusive option of Program M that was the “heart” of our project became mandatory part of education of young men and women’s education in GBV prevention and promotion of healthier lifestyles in all high schools in HNC ( Program Y is available at http://www.youngmeninitiative.net/en/?page=36). In other words, all schools undertook a commitment to plan implementation of workshops during school headteacher classes that amounts to 25% of all classes with head teacher during school year. Mandatory application of this program in all high schools in HNC is important because that model might in future be an example for responsible ministries in other parts of BiH as well as in our wider environment, like countries in the region of Western Balkans."/>
    <x v="1"/>
    <s v="All three key partner organizations and CARE as a mentor’s organization responsible for M&amp;E are engaged in implementation of UNWOMEN Program “Standards and Engagement for Ending Violence against Women and Domestic Violence in Bosnia and Herzegovina”. To be more precise, three main partners will work during 27 months (October 2016-December 2018) on implementation of project: “Comprehensive Approach in Engaging Young Men and Media in Ending Violence against Women and Domestic Violence in Bosnia and Herzegovina”. Main partner organizations will be involved in the development of advocacy strategy that will support the inclusion of Program Youth (Program Y - gender transformative educational methodology for preventing GBV, SGBV and VAW) in formal education in selected communities (Istočno Sarajevo, Travnik, Bijeljina and Tomislavgrad/Livno)."/>
    <x v="2"/>
    <x v="1"/>
    <s v="YES"/>
    <x v="0"/>
    <x v="0"/>
    <x v="0"/>
    <x v="2"/>
    <n v="4"/>
    <x v="2"/>
    <x v="1"/>
    <x v="1"/>
    <x v="1"/>
    <x v="1"/>
    <x v="2"/>
    <n v="4"/>
    <x v="3"/>
    <x v="1"/>
    <x v="1"/>
    <x v="1"/>
    <x v="4"/>
    <n v="3"/>
    <x v="2"/>
    <x v="2"/>
    <n v="15"/>
    <s v="Local NGO(s)/CSO(s)"/>
    <s v="National government"/>
    <s v="Grassroots organization(s)"/>
    <x v="0"/>
    <s v="CARE is supporting networking and mutual joint actions implemented by CARE three main partners NGOs from Banja Luka, Mostar and Sarajevo and 8 Youth NGOs from 8 cities from BiH as well as formal cooperation with entities and cantonal governments."/>
    <s v="The project has not experienced any important changes/adjustments in this FY"/>
    <s v="YMI Project achieved great success by getting first official support by Ministry of education of Herzeg-Neretva Canton that officially supported (accredited) Programme Y. Ministry of education and culture of Republic of Srpska officially supported Programme Y, next step is inclusion in curriculum for secondary schools in Republic of Srpska. In Canton Sarajevo, progress in getting official support has not been achieved yet. Accreditations of Program Y should be top priority in future work."/>
    <s v="One of the aspects of sustainability are developed human, organisational and technical resources that exist and devotedly act even after finalisation of the programme. In all cities it was underlined that through this programme the organisations have grown and developed in all aspects of work. During the program, different didactic, educational and promotional stationary and material have been created and they will serve their purpose after completion of the programme. The most important legacy is manual “Programme Y”. Besides this manual, numerous smaller brochures, thousands of leaflets and dozens of video materials that promote different campaigns will remain after the project."/>
    <s v="Youth from all cities pointed out that the project had a great impact. They mentioned different indicators of project’s impact. The most concrete impact relates to change of attitudes and behaviours of youth who directly participated in the programme. Special credit for sucess goest to &quot;Be a man&quot; clubs."/>
    <s v="1. Flexibility is also our virtue and during the next year we will work on adaptation of Program Y to work with higher grades of elementary schools. We want to shift focus from high schools partly to elementary schools because there are more acts of intolerance, violence and unhealthy lifestyles in higher grades of elementary schools than in high schools."/>
    <s v="2. Unpredictability of the representatives from official institutions is something that always “surprises” us. Frequent elections in BiH (every two years) lead to changes in key people we worked with in the previous period and we always have to be ready for a change. Success of the model in Herzegovina-Neretva Canton gives us hope that we will be able to accredit Program Y in whole of BiH."/>
    <s v="3. Increasing visibility of program in schools has become important for maintaining messages and trying to change culture in school and social norms.  This has included getting wall space from the school for highlighting club events and actions; to place posters, and school anti violence declaration.  The workshops are only one element in promoting attitudinal and behavior change. We have to be innovative and we have to use digital media much more."/>
    <s v="RECOMMENDATIONS_x000a_In the course of implementation of the research (focus groups and interviews, document analyses) and results’ analyses we identified significant number of recommendations for future work. Majority of recommendations are result of direct work and experience of participants who were implementing the programme or participated in it. We divided the recommendations into strategic and specific. Strategic recommendations are those that can be of great importance for future progress of this project and the overall result. Specific recommendations are related to some details and should be considered during implementation of some concrete activities such as workshops, campaigns, and similar._x000a__x000a_Strategic recommendations_x000a_The most important recommendation is to come up with detailed plan of advocacy which would contribute that key decision makers include this project in regular school curriculum. This can imply establishment of coalitions, identification of allies and potential enemies, identification of primary and secondary decision makers, planned media pressure, etc._x000a_Having in mind that in BIH there are several organisations that implement different workshops in schools, it is maybe needed that those non-governmental organisations work closer and make one joint and integrated programme that would then be presented to respective ministries. Otherwise, respective ministries of education will most probably take a stand that they cannot include couple of different programmes, implemented by different organisation, into a school system. This recommendation is not a simple one, but it probably represents a path how this idea could be successfully solved in a long run._x000a_There is a great need that this programme is implemented with pupils of final grades in primary schools. This age period (13-15 years of age) represents beginning of adolescent period and is very important for development of attitudes and life values with youth. In this period new attitudes of youth towards different life spheres (violence, ethnic relations, sexuality, gender equality, etc.) are created and it is important to direct the youth in a right way. Work with younger categories would probably imply additional adaptation of manual that is used in secondary school._x000a_In several cities project coordinators were underlining importance of greater inclusion of parents in project activities. This is important for several reasons. It is difficult to expect long-term change in attitude of young people if their parents present violent behaviour, gender prejudice, etc. Additionally, parents can be useful ally in the process of introduction of the programme into school system._x000a_Important strategic question is whether to work with bigger or smaller number of schools. This directly relates to intensity of work. The bigger the number is it is more difficult to organise it and to guarantee success and quality of work. It is necessary to dedicate great attention to the process of selection of schools and partner organisations in the future. The work should be done only where there are conditions for successful realisation of the programme. Including partners that do not have sufficient capacities and commitment to the programme can only bring negative image to the project._x000a__x000a_In the context of expending and sustainability of the programme, one of the possibilities is to more include young unemployed psychologists, pedagogues and social workers. Before getting a formal employment they need to do their internship. One of the possibilities is to make an agreement with the ministry of education and define a possibility that the internship programme can be conducted in schools that implement Programme Y. In this way it would be easier to expend the programme, and it would also be very useful for young expert associates._x000a__x000a_It is important to continue the work in the area of community involvement. The idea of BMCs, which function as local youth clubs and resource centres for youth in the domain of promotion of gender equality, healthy lifestyles and violence prevention, should be additionally supported. In addition, CARE could support additional capacity development of BMCs to become key actors of local referral mechanisms for youth in need of additional support._x000a__x000a_One recommendation related to methodology of work. Participative and flexible principle of work that was being used in the project gave excellent results and that practice should be continued. Method of work where youth plan their own actions is obviously an additional motivation, develops their commitment and identification with the project. Outcome is that in planned actions and campaigns there was 3-4 times more youth than originally planned. This should continue. It would be ideal if this could be linked with workshops, i.e. that each workshop is followed by some practical action youth came up with, and the last phase is presentation in media. This is similar to what has been done by BMC from Sarajevo, under the name “3D”. _x000a__x000a_Existing structure for education programs’ implementation needs continuous support in development. It would be of great importance to further utilize established structure of educators and this would require development of clear selection criteria of future educators, their capacity development in conducting workshops and development in wider understanding of the training topics and policy framework._x000a__x000a_Specific recommendations_x000a_In some workshops it is necessary to pay more attention to understanding and control of emotions. They are often a root to violent and discriminatory behaviour. By raising emotional maturity their problems could be solved._x000a__x000a_In the end line research, consumption of alcohol came out as significant problem the programme could not influence a lot. Youngsters often drink under the influence of peers. In working with youth more attention should be given in explaining them how to oppose peer pressure._x000a__x000a_It should be re-examined if the workshop “What is gender/sex” is an optimal solution for the first workshop in education. That first workshop, depending on peer educator, can be pretty confusing and boarding (that was feedback from interviewed young men and young women). It is maybe better to start with a workshop that would be interesting to youth._x000a__x000a_In majority of cities youth pointed out that workshop on violence on internet (cyber bulling) should be included in the programme. One of the proposals is to also include workshop “Healthy eating” in the programme as there is a lot of obesity with youth._x000a__x000a_In order to know how to act once serious problem between students is identified it is necessary to have better cooperation with expert associates (pedagogies / psychologist / social worker)._x000a__x000a_In some cities project participants feel that peer educators were not trained enough to work in schools. Thus, it is necessary to pay more attention to selection of peer educators and their education. It is necessary to synchronise education in all cities to make it as similar as possible. Joint educations of peer educators proved to be a good thing, and this should continue._x000a__x000a_In some situations peer educators were confronted with psychological problems of students. Their job was definitely not to go deeper into those problems, but it would maybe be useful to have psychologist supervisor who could occasionally give advice how to behave in those situations. It would be useful that qualified psychologist holds a workshop on this topic during joint education of peer educators._x000a__x000a_Numerous professors distanced themselves and their attention should be drawn and importance of such programmes should be highlighted. Also, some expert associates were not well informed about the programme. This aspect of work should be improved. _x000a_Practice of including youth in other activities, not only workshops, should be continued. As mentioned above, through BMC activities significant change in the minds of young people happens._x000a_It would be good that future camps gather even more youth from each city._x000a_Budget for youth network partners should be increased._x000a__x000a_One of the possibilities for better promotion and coordination is to create an application through which youngsters could over the phone receive necessary and important information about the programme. _x000a__x000a_Attention should be paid to what to emphasize during first presentations of the programme in schools and media. Have in mind that in first presentations ‘attack on traditional norms’ or reduction of homophobia should not be mentioned immediately in first presentations. That will most probably cause resistance and scepticism at first, as was the case in some schools in the past. Main focus of opening presentations should be development of healthy life styles, reduction of violence and use of psychoactive substances, and development of more human relations between men and women._x000a__x000a_Concerning promotion of the programme, the most efficient way to reach youth is via internet and different social networks. But, television should not be neglected as that is source of information mostly used by parents, professors and representatives of education institutions."/>
    <s v="http://www.youngmeninitiative.net/en/?page=36"/>
    <n v="6918"/>
    <n v="142767"/>
    <n v="20.637033824804856"/>
    <n v="0.46371783752529633"/>
    <n v="0.47375093684114677"/>
    <n v="3208"/>
    <n v="67636"/>
    <s v=""/>
    <n v="0"/>
    <n v="0"/>
    <s v=""/>
    <s v=""/>
    <n v="0"/>
    <n v="0"/>
    <s v=""/>
    <n v="1"/>
    <n v="6918"/>
    <n v="0"/>
    <n v="0"/>
    <n v="1"/>
    <n v="0"/>
    <n v="142767"/>
    <s v=""/>
    <s v=""/>
    <n v="0"/>
    <n v="0"/>
    <s v=""/>
    <s v="4. Transformative"/>
    <s v="4. Transformational"/>
    <s v="4. Transformative"/>
    <s v="It tested new ways for fighting poverty, but did not measure results of innovation"/>
    <s v="Intensive advocacy"/>
    <s v="It linked and worked with strategic alliances and partners to take tested and effective solutions to scale"/>
  </r>
  <r>
    <x v="7"/>
    <x v="2"/>
    <n v="3231"/>
    <s v="Initiative Paix et Diversité au Sahel (IPAD)"/>
    <s v="Burkina Faso"/>
    <s v="CAUTNE0007"/>
    <s v="CARE Australia"/>
    <s v="Government"/>
    <s v="EU - European Union (other than ECHO)"/>
    <s v="EU"/>
    <m/>
    <m/>
    <m/>
    <m/>
    <m/>
    <m/>
    <m/>
    <m/>
    <m/>
    <m/>
    <m/>
    <m/>
    <m/>
    <m/>
    <m/>
    <m/>
    <m/>
    <m/>
    <m/>
    <m/>
    <m/>
    <m/>
    <m/>
    <m/>
    <m/>
    <m/>
    <m/>
    <m/>
    <m/>
    <m/>
    <m/>
    <m/>
    <m/>
    <m/>
    <m/>
    <m/>
    <m/>
    <m/>
    <m/>
    <m/>
    <m/>
    <m/>
    <m/>
    <m/>
    <m/>
    <d v="2014-12-20T00:00:00"/>
    <d v="2017-12-19T00:00:00"/>
    <m/>
    <s v="Development Other"/>
    <m/>
    <s v="Saratou Malam Goni"/>
    <s v="Chargée de programme LEFF"/>
    <s v="Saratou,MalamGoni@care,org"/>
    <s v="Zakari Insa"/>
    <s v="Chef de projet"/>
    <s v="Zakari.Insa@care.org    "/>
    <s v="NO"/>
    <s v="YES"/>
    <s v="NO"/>
    <s v="Renforcer les capacités d'au moins 200 femmes au Niger et au Burkina en vue de leur participation dans la consolidation de la paix  et de leur influence pour changer les comportements et changements des acteurs acteurs publics  "/>
    <s v="Multiple countries"/>
    <s v="Le projet intervient dans deux régions : pour le Niger: la région de Tillabéri avec 5 commununes (Namaro, Say, Hamdallaye, Liboré, Tamou); Pour le Burkina, la région de Dori dans deux provinces (Séno et Yagha) au sein de trois communes (Sampelga, Boundoré, Falangountou)."/>
    <s v="les groupes d'impact du projet se situent à deux niveaux : au niveau communautaire : les femmes au sein de 160 organisations et groupements communautaires. Au niveau National et Sous Régional : les femmes leaders issues de 40 réseaux et fédérations."/>
    <m/>
    <m/>
    <m/>
    <m/>
    <m/>
    <m/>
    <m/>
    <m/>
    <m/>
    <m/>
    <m/>
    <m/>
    <m/>
    <m/>
    <m/>
    <m/>
    <m/>
    <m/>
    <m/>
    <m/>
    <m/>
    <m/>
    <m/>
    <m/>
    <m/>
    <m/>
    <m/>
    <m/>
    <m/>
    <m/>
    <m/>
    <m/>
    <m/>
    <m/>
    <m/>
    <m/>
    <m/>
    <m/>
    <m/>
    <m/>
    <m/>
    <m/>
    <m/>
    <m/>
    <m/>
    <m/>
    <m/>
    <m/>
    <m/>
    <m/>
    <m/>
    <m/>
    <m/>
    <m/>
    <m/>
    <m/>
    <m/>
    <m/>
    <m/>
    <m/>
    <m/>
    <m/>
    <m/>
    <m/>
    <m/>
    <m/>
    <m/>
    <m/>
    <m/>
    <m/>
    <m/>
    <m/>
    <m/>
    <m/>
    <m/>
    <m/>
    <m/>
    <m/>
    <m/>
    <m/>
    <m/>
    <s v="YES"/>
    <m/>
    <m/>
    <m/>
    <m/>
    <m/>
    <m/>
    <m/>
    <m/>
    <m/>
    <m/>
    <m/>
    <m/>
    <m/>
    <m/>
    <m/>
    <m/>
    <m/>
    <m/>
    <m/>
    <m/>
    <m/>
    <m/>
    <m/>
    <m/>
    <m/>
    <m/>
    <m/>
    <m/>
    <m/>
    <m/>
    <m/>
    <m/>
    <m/>
    <m/>
    <m/>
    <m/>
    <m/>
    <m/>
    <m/>
    <m/>
    <m/>
    <m/>
    <m/>
    <m/>
    <m/>
    <m/>
    <m/>
    <m/>
    <m/>
    <m/>
    <m/>
    <m/>
    <m/>
    <m/>
    <m/>
    <m/>
    <m/>
    <m/>
    <m/>
    <m/>
    <s v="YES"/>
    <m/>
    <m/>
    <s v="YES"/>
    <s v="YES"/>
    <s v="November"/>
    <n v="2017"/>
    <s v="Une etude des effets de l'intervention  du projet interviendra en fin septembre 2017 avec pour objectif de capitaliser leschangements perceptibles, les bonnes pratiques et les leçons apprises en matière de participation inclusive des femmes et des hommes dans la consolidation de la paix pendant la periode d'intervention du projet, ensuite suivra une evaluation finale du projet en fin octobre au Niger et au Burkina ,"/>
    <x v="1"/>
    <s v="NO"/>
    <s v="NO"/>
    <s v="NO"/>
    <s v="YES"/>
    <s v="YES"/>
    <s v="YES"/>
    <s v="NO"/>
    <m/>
    <m/>
    <x v="1"/>
    <s v="la mobilisation des beneficiares à travers une approche participative et la responsabilisation des learders communautaires,"/>
    <x v="1"/>
    <m/>
    <x v="1"/>
    <x v="0"/>
    <s v="YES"/>
    <x v="0"/>
    <x v="0"/>
    <x v="0"/>
    <x v="0"/>
    <n v="4"/>
    <x v="1"/>
    <x v="1"/>
    <x v="1"/>
    <x v="1"/>
    <x v="1"/>
    <x v="1"/>
    <n v="4"/>
    <x v="1"/>
    <x v="1"/>
    <x v="1"/>
    <x v="1"/>
    <x v="1"/>
    <n v="3"/>
    <x v="0"/>
    <x v="3"/>
    <n v="3"/>
    <s v="Local NGO(s)/CSO(s)"/>
    <s v="Local NGO(s)/CSO(s)"/>
    <s v="Local NGO(s)/CSO(s)"/>
    <x v="0"/>
    <s v="Evaluation du fonctionnement du contrôle interne du partenaire sur le plan financier et appui dans l'amélioration des insuffisances constatées et dans l'utilisation de checlist de liquidation des dépenses plus adapté."/>
    <s v="forte implication des femmes dans les instances de prise de decision et de gestion de conflits au niveau local, renforment des capacites sur les procedures de gestion rationnelle des fonds"/>
    <s v="Une intervention centrée sur les communautés pour influencer les niveaux national et sous régional : le projet travaillera avec les groupements féminins et les hommes champions et le Reseau des Femmes Elues du Niger pour démultiplier l'impact sur la participation des femmes dans la gestion de la paix et la vulgarisation des resolutions 1325 et annexes des UN."/>
    <s v="Travailler avec uns société civile dynamique : les groupements, les réseaux et fédérations MMD du Niger ainsi que leurs homologues du Burkina sont les partenaires clés du projet."/>
    <s v="Une mise à l'échelle de l'approche Engaging Men: un élément essentiel du projet réside dans le dialogue inclusif entre les femmes leaders et les hommes champions, prêts  à soutenir l'innovation et à s'engager dans des changements transformationnels."/>
    <s v="Adoption de nouveaux comportements par les populations (hommes et femmes) qui consistent à s'écouter, à dialoguer et à résoudre eux - mêmes les conflits. Ce qui a effet la dimunition des conflits dans les communautés.  "/>
    <s v="Les femmes  participent pleinement  au sein des instances de règlement des conflits en même temps que les hommes et elles expriment leurs points de vue."/>
    <s v="La leçon apprise : l'engagement et le soutien des autorités et des chefs de village qu ont un leadership au sein de leurs communautés constitue u gage d'implication effective des femmes dans les mécanismes de prévention et gestion des conflits."/>
    <s v="une forte implication des autorites communales et des services techniques dans l'accompagnement et l'encadrement des acteurs dans la gestions et la resoltuions des conflits dans la zone d'intervention. No data on budget or participant was included beacuase this project is managed from Niger and that data has already been reporeted by Niger"/>
    <s v="l'evaluation à mi-parcour du projet, le rapport narratif et financier du avril juin du projet"/>
    <n v="0"/>
    <n v="0"/>
    <s v=""/>
    <s v=""/>
    <s v=""/>
    <n v="0"/>
    <n v="0"/>
    <s v=""/>
    <n v="0"/>
    <n v="0"/>
    <s v=""/>
    <s v=""/>
    <n v="0"/>
    <n v="0"/>
    <s v=""/>
    <s v=""/>
    <n v="0"/>
    <n v="0"/>
    <s v=""/>
    <s v=""/>
    <n v="0"/>
    <n v="0"/>
    <s v=""/>
    <s v=""/>
    <n v="0"/>
    <n v="0"/>
    <s v=""/>
    <s v="2. Sensitive"/>
    <s v="2. Accommodating"/>
    <s v="2. Sensitive"/>
    <s v="It tested new ways for fighting poverty, but did not measure results of innovation"/>
    <s v="Moderate advocacy"/>
    <s v="It linked and worked with strategic alliances and partners to take tested and effective solutions to scale"/>
  </r>
  <r>
    <x v="7"/>
    <x v="2"/>
    <n v="3226"/>
    <s v="Programme de Gestion Equitable des Ressources Naturelles et de Renforcement de la Société Civile PHASE 2"/>
    <s v="Burkina Faso"/>
    <s v="CDNKNE0092"/>
    <s v="CARE Danmark"/>
    <s v="Government"/>
    <s v="Government - Denmark"/>
    <s v="DANIDA"/>
    <m/>
    <m/>
    <m/>
    <m/>
    <m/>
    <m/>
    <m/>
    <m/>
    <m/>
    <m/>
    <m/>
    <m/>
    <m/>
    <m/>
    <m/>
    <m/>
    <m/>
    <m/>
    <m/>
    <m/>
    <m/>
    <m/>
    <m/>
    <m/>
    <m/>
    <m/>
    <m/>
    <m/>
    <m/>
    <m/>
    <m/>
    <m/>
    <m/>
    <m/>
    <m/>
    <m/>
    <m/>
    <m/>
    <m/>
    <m/>
    <m/>
    <m/>
    <m/>
    <m/>
    <m/>
    <d v="2013-01-01T00:00:00"/>
    <d v="2017-12-01T00:00:00"/>
    <m/>
    <s v="Development Other"/>
    <m/>
    <s v="ABOUBACAR DJIMRAOU"/>
    <s v="ACD"/>
    <s v="Djimraou,Aboubacar@care,org"/>
    <s v="Souley GARBA"/>
    <s v="Chef de projet"/>
    <s v="Souley.Garba@care.org"/>
    <s v="NO"/>
    <s v="YES"/>
    <s v="NO"/>
    <s v="Contribuer à la promotion dune société civile forte, diversifiée, engagée qui représente et défend les droits et intérêts des pasteurs"/>
    <s v="Multiple countries"/>
    <s v="Le Programme intervient dans quatre régions sur les huit que compte le Niger, mais des actions transversales s'étendent sur 7 régions notemment dans le cadre du plaidoyer qui intègre également des zones transfrontalières au niveau de l'Afrique de l'Ouest principalement au Burkina Faso, Mali et Sénégal à travers le Réseau des organisations pastorales de ces pays."/>
    <s v="Familles et ménages des pasteurs les plus pauvres et vulnérables composées de femmes et hommes adultes, de jeunes filles et garçons, de jeunes enfants des 2 sexes, dhommes et femmes âgés et de personnes victimes de handicaps physiques et /ou psychiques"/>
    <m/>
    <m/>
    <m/>
    <m/>
    <m/>
    <m/>
    <s v="Bénéficiaires directs: Ce sont les familles et ménages des pasteurs les plus pauvres et vulnérables composées de femmes et hommes adultes, de jeunes filles et garçons, de jeunes enfants des 2 sexes, dhommes et femmes âgés et de personnes victimes de handicaps physiques et /ou psychiques. Il sagit aussi de familles déleveurs qui se déplacent  vers le  Nigéria, le Tchad, le Cameroun,  le Burkina, le Benin et le Togo avec femmes et enfants, victimes dexactions et de tracasseries  de toutes sortes dans leur mobilité et  prises entre les tenailles dune double justice traditionnelle et moderne. Bénéficiaires indirects : Toutes les familles et ménages des pasteurs et agro-pasteurs au Niger et dans lespace CEDEAO qui peuvent jouir des avantages dun plaidoyer abouti.  "/>
    <m/>
    <m/>
    <m/>
    <m/>
    <m/>
    <m/>
    <n v="0"/>
    <m/>
    <m/>
    <m/>
    <m/>
    <m/>
    <m/>
    <m/>
    <m/>
    <m/>
    <m/>
    <m/>
    <m/>
    <m/>
    <m/>
    <m/>
    <m/>
    <m/>
    <m/>
    <m/>
    <m/>
    <m/>
    <m/>
    <m/>
    <m/>
    <m/>
    <m/>
    <m/>
    <m/>
    <m/>
    <m/>
    <m/>
    <m/>
    <m/>
    <m/>
    <m/>
    <m/>
    <m/>
    <m/>
    <m/>
    <m/>
    <m/>
    <m/>
    <m/>
    <m/>
    <m/>
    <m/>
    <m/>
    <m/>
    <m/>
    <m/>
    <m/>
    <m/>
    <m/>
    <m/>
    <m/>
    <n v="0"/>
    <m/>
    <m/>
    <n v="0"/>
    <s v="YES"/>
    <m/>
    <m/>
    <m/>
    <s v="YES"/>
    <m/>
    <m/>
    <m/>
    <s v="YES"/>
    <m/>
    <m/>
    <m/>
    <m/>
    <m/>
    <m/>
    <m/>
    <m/>
    <m/>
    <m/>
    <m/>
    <m/>
    <m/>
    <m/>
    <m/>
    <m/>
    <m/>
    <m/>
    <m/>
    <m/>
    <m/>
    <m/>
    <m/>
    <m/>
    <m/>
    <m/>
    <m/>
    <m/>
    <m/>
    <m/>
    <m/>
    <m/>
    <m/>
    <m/>
    <m/>
    <s v="YES"/>
    <m/>
    <m/>
    <m/>
    <s v="YES"/>
    <m/>
    <m/>
    <m/>
    <m/>
    <m/>
    <m/>
    <m/>
    <m/>
    <m/>
    <m/>
    <m/>
    <m/>
    <m/>
    <m/>
    <m/>
    <m/>
    <m/>
    <m/>
    <m/>
    <m/>
    <s v="NO"/>
    <m/>
    <m/>
    <m/>
    <s v="YES"/>
    <s v="November"/>
    <n v="2017"/>
    <s v="L'évaluation future de PROGRESII qui est l'évaluation finale intégrera les indicateurs de CARE 2020 notamment les N°2;  19 et 20 relatifs aux domaines d'impact, approche et rôle de CARE. Sa particularité se caractérise par la mesure des indicateurs clés de CARE DANMARK et l'approche outcome mapping adoptée en cours d'exécution du programme sera au centre des mesures de changements induits."/>
    <x v="2"/>
    <s v="YES"/>
    <s v="YES"/>
    <s v="YES"/>
    <s v="YES"/>
    <s v="YES"/>
    <s v="YES"/>
    <s v="YES"/>
    <m/>
    <m/>
    <x v="1"/>
    <m/>
    <x v="1"/>
    <m/>
    <x v="0"/>
    <x v="0"/>
    <s v="YES"/>
    <x v="0"/>
    <x v="0"/>
    <x v="0"/>
    <x v="0"/>
    <n v="4"/>
    <x v="2"/>
    <x v="1"/>
    <x v="1"/>
    <x v="1"/>
    <x v="1"/>
    <x v="2"/>
    <n v="4"/>
    <x v="1"/>
    <x v="1"/>
    <x v="1"/>
    <x v="1"/>
    <x v="1"/>
    <n v="3"/>
    <x v="0"/>
    <x v="2"/>
    <n v="3"/>
    <s v="Local NGO(s)/CSO(s)"/>
    <s v="Local alliance(s)/Platform(s)/Network(s) of  NGOs/CSOs"/>
    <s v="Media or journalist network(s)"/>
    <x v="0"/>
    <m/>
    <s v="le programme n'a pas connu des changements/ajustement dans sa strategie de mise en oeuvre ou au niveau de son document."/>
    <s v="Partenariat stratégique basé sur la mis en uvre de plan stratégique des partenaires, sur la stratégie de CARE Niger, CARE Sahel et la vision 2020 de CARE plus globalement; les rôles joués par CARE"/>
    <s v="Les alliances stratégiques pour la conduite des actions de plaidoyer; la collecte des évidences;"/>
    <s v="L'engagement de CARE et ses partenaires dans le cadre de PROGRES; l'approche outcome mapping qui permet de suivre plus aisement les changements induit au niveau de chaque partenaire."/>
    <s v="Les actions de plaidoyer, si réussies, sont de véritables moyens de mobilisation des acteurs à tous les niveaux. Lexemple illustratif est la campagne Sauvons les terres qui a vu la mobilisation des communautés membres et non membres dAREN, des OSC pastorales en coalition, des médias,  des magistrats, des membres de COFO et même le Gouvernemnt dans une certaine mesure à travers les ministres du Domaine public et celui de lEnvironnement ;"/>
    <s v="Changements climatiques : La mobilisation des ministères et des délégués africains autour des initiatives africaines et de la solidarité Sud-Sud dans le cadre du plaidoyer sur les questions de CC est gage de succès surtout avec linfluence des élections americaines et larrivée de TRUMP au pouvoir."/>
    <s v="linstitutionnalisation de la rencontre de haut niveau sur la transhumance transfrontalière, ladoption du PRIDEC, lélaboration du PREDIP, la mise en place des cadres de concertation transfrontaliers, la participation à la formulation du PRIASAN et du PCD TASAN contribuent à la sécurisation de la mobilité pastorale même si le nombre de conflits liés à la transhumance dans les pays côtiers na pas encore nettement diminué."/>
    <s v="No data on budget or participant was included beacuase this project is managed from Niger and that data has already been reporeted by Niger"/>
    <m/>
    <n v="0"/>
    <n v="0"/>
    <s v=""/>
    <s v=""/>
    <s v=""/>
    <n v="0"/>
    <n v="0"/>
    <s v=""/>
    <n v="0"/>
    <n v="0"/>
    <s v=""/>
    <n v="1"/>
    <n v="0"/>
    <n v="0"/>
    <s v=""/>
    <s v=""/>
    <n v="0"/>
    <n v="0"/>
    <s v=""/>
    <s v=""/>
    <n v="0"/>
    <n v="0"/>
    <s v=""/>
    <s v=""/>
    <n v="0"/>
    <n v="0"/>
    <s v=""/>
    <s v="2. Sensitive"/>
    <s v="4. Transformational"/>
    <s v="2. Sensitive"/>
    <s v="It tested new ways for fighting poverty, but did not measure results of innovation"/>
    <s v="Intensive advocacy"/>
    <s v="It linked and worked with strategic alliances and partners to take tested and effective solutions to scale"/>
  </r>
  <r>
    <x v="8"/>
    <x v="3"/>
    <m/>
    <s v="Addressing roots causes/Nyubahiriza"/>
    <s v="Burundi"/>
    <s v="NL195"/>
    <s v="CARE Nederland"/>
    <s v="Government"/>
    <s v="Government - Netherlands"/>
    <s v="Ministry of Foreign Affairs of the Netherlands"/>
    <m/>
    <m/>
    <m/>
    <m/>
    <m/>
    <m/>
    <m/>
    <m/>
    <m/>
    <m/>
    <m/>
    <m/>
    <m/>
    <m/>
    <m/>
    <m/>
    <m/>
    <m/>
    <m/>
    <m/>
    <m/>
    <m/>
    <m/>
    <m/>
    <m/>
    <m/>
    <m/>
    <m/>
    <m/>
    <m/>
    <m/>
    <m/>
    <m/>
    <m/>
    <m/>
    <m/>
    <m/>
    <m/>
    <m/>
    <m/>
    <m/>
    <m/>
    <m/>
    <m/>
    <m/>
    <d v="2016-09-01T00:00:00"/>
    <d v="2020-09-30T00:00:00"/>
    <m/>
    <s v="Development Other"/>
    <n v="1927030.2"/>
    <s v="UWUMUREMYI LAURENT"/>
    <s v="Country Director"/>
    <s v="Laurent.Uwumuremyi@care.org"/>
    <s v="NDAYIRAGIJE  REMY"/>
    <s v="Team Leader_Nyubahiriza &amp; OSC"/>
    <s v="Remy.Ndayiragije@care.org"/>
    <s v="NO"/>
    <s v="YES"/>
    <s v="NO"/>
    <s v="Contribuer à la réduction de la violence, l'instabilité et à la migration forcée auxquelles font face les Burundais."/>
    <s v="Multiple countries"/>
    <s v="Le projet Nyubahiriza est exécuté en consortium de 3 ONGs internationales (OXFAM, Impunity Watch et CARE). CARE intervient dans la province de muyinga et dans les communes de Buhinyuza, Muyinga, Gasorwe, Butihinda, Giteranyi"/>
    <s v="Le groupe d'impact du projet est les femmes, les jeunes(garçons et filles), les jeunes affiliés aux partis politiques"/>
    <n v="2000"/>
    <n v="2000"/>
    <n v="4000"/>
    <n v="30000"/>
    <n v="50000"/>
    <n v="80000"/>
    <s v="Pour les bénéficiaires directs, nous avons pris les cibles du projet par activité et nous avons divisé par 3 provinces. Pour les bénéficiaires indirects, il y a déjà des cibles dans le document de projet, nous avons divisé par 3 provinces pour avoir les bénéficiaires de chaque province. Le projet est encore nouveau, il n'y a pas eu des cibles atteints pendant l'année en cours"/>
    <m/>
    <m/>
    <m/>
    <m/>
    <m/>
    <m/>
    <m/>
    <m/>
    <m/>
    <m/>
    <m/>
    <m/>
    <m/>
    <m/>
    <m/>
    <m/>
    <m/>
    <m/>
    <m/>
    <m/>
    <m/>
    <m/>
    <m/>
    <m/>
    <m/>
    <m/>
    <m/>
    <m/>
    <m/>
    <m/>
    <m/>
    <m/>
    <m/>
    <m/>
    <m/>
    <m/>
    <m/>
    <m/>
    <m/>
    <m/>
    <m/>
    <m/>
    <m/>
    <m/>
    <m/>
    <m/>
    <m/>
    <m/>
    <m/>
    <m/>
    <m/>
    <m/>
    <m/>
    <m/>
    <m/>
    <m/>
    <m/>
    <m/>
    <m/>
    <m/>
    <m/>
    <m/>
    <n v="28000"/>
    <m/>
    <m/>
    <n v="700000"/>
    <s v="NO"/>
    <m/>
    <m/>
    <m/>
    <s v="NO"/>
    <m/>
    <m/>
    <m/>
    <s v="YES"/>
    <m/>
    <m/>
    <m/>
    <s v="NO"/>
    <m/>
    <m/>
    <m/>
    <s v="YES"/>
    <m/>
    <m/>
    <m/>
    <s v="NO"/>
    <m/>
    <m/>
    <m/>
    <s v="NO"/>
    <m/>
    <m/>
    <m/>
    <s v="YES"/>
    <m/>
    <m/>
    <m/>
    <s v="NO"/>
    <m/>
    <m/>
    <m/>
    <s v="NO"/>
    <m/>
    <m/>
    <m/>
    <s v="NO"/>
    <m/>
    <m/>
    <m/>
    <s v="NO"/>
    <m/>
    <m/>
    <m/>
    <s v="YES"/>
    <m/>
    <m/>
    <m/>
    <s v="NO"/>
    <m/>
    <m/>
    <m/>
    <s v="NO"/>
    <m/>
    <m/>
    <m/>
    <s v="NO"/>
    <m/>
    <m/>
    <m/>
    <m/>
    <m/>
    <m/>
    <m/>
    <m/>
    <s v="YES"/>
    <s v="February"/>
    <n v="2017"/>
    <s v="YES"/>
    <s v="NO"/>
    <m/>
    <m/>
    <m/>
    <x v="0"/>
    <s v="NO"/>
    <s v="NO"/>
    <s v="NO"/>
    <s v="NO"/>
    <s v="NO"/>
    <s v="NO"/>
    <s v="NO"/>
    <m/>
    <m/>
    <x v="0"/>
    <s v="Le projet est à la phase de démarrage"/>
    <x v="0"/>
    <s v="On n'a pas encore testé des innovations"/>
    <x v="0"/>
    <x v="3"/>
    <s v="NO"/>
    <x v="1"/>
    <x v="1"/>
    <x v="1"/>
    <x v="5"/>
    <n v="0"/>
    <x v="3"/>
    <x v="2"/>
    <x v="2"/>
    <x v="2"/>
    <x v="2"/>
    <x v="3"/>
    <n v="0"/>
    <x v="2"/>
    <x v="1"/>
    <x v="1"/>
    <x v="1"/>
    <x v="2"/>
    <n v="3"/>
    <x v="2"/>
    <x v="2"/>
    <n v="3"/>
    <s v="Local NGO(s)/CSO(s)"/>
    <s v="International NGO(s)"/>
    <s v="Grassroots organization(s)"/>
    <x v="1"/>
    <s v="CARE est train de mettre en place les structures de base Communautaire"/>
    <m/>
    <s v="L'approche clubs de paix"/>
    <s v="L'approche engagement des hommes - abatangamuco"/>
    <m/>
    <m/>
    <m/>
    <m/>
    <s v="Le projet Nyubahiriza est à la phase de démarrage. Il est en train de négocier les contrats de partenariats et de mettre en place les structures communautaires et explication du projet à l'administration."/>
    <m/>
    <n v="28000"/>
    <n v="700000"/>
    <n v="25"/>
    <n v="0"/>
    <n v="0"/>
    <n v="0"/>
    <n v="0"/>
    <s v=""/>
    <n v="0"/>
    <n v="0"/>
    <s v=""/>
    <n v="1"/>
    <n v="0"/>
    <n v="0"/>
    <s v=""/>
    <s v=""/>
    <n v="0"/>
    <n v="0"/>
    <s v=""/>
    <n v="1"/>
    <n v="0"/>
    <n v="0"/>
    <s v=""/>
    <n v="1"/>
    <n v="0"/>
    <n v="0"/>
    <s v=""/>
    <s v="0. Harmful"/>
    <s v="0. Unaware"/>
    <s v="0. Harmful"/>
    <s v="It did not develop any specific innovation"/>
    <s v="Little or no advocacy"/>
    <s v="It did not take tested solutions to scale"/>
  </r>
  <r>
    <x v="8"/>
    <x v="3"/>
    <m/>
    <s v="Every Voice Counts"/>
    <s v="Burundi"/>
    <s v="NL 173"/>
    <s v="CARE Nederland"/>
    <s v="Government"/>
    <s v="Government - Netherlands"/>
    <s v="Ministry of Foreign Affairs of the Netherlands"/>
    <m/>
    <m/>
    <m/>
    <m/>
    <m/>
    <m/>
    <m/>
    <m/>
    <m/>
    <m/>
    <m/>
    <m/>
    <m/>
    <m/>
    <m/>
    <m/>
    <m/>
    <m/>
    <m/>
    <m/>
    <m/>
    <m/>
    <m/>
    <m/>
    <m/>
    <m/>
    <m/>
    <m/>
    <m/>
    <m/>
    <m/>
    <m/>
    <m/>
    <m/>
    <m/>
    <m/>
    <m/>
    <m/>
    <m/>
    <m/>
    <m/>
    <m/>
    <m/>
    <m/>
    <m/>
    <d v="2016-06-01T00:00:00"/>
    <d v="2020-12-31T00:00:00"/>
    <m/>
    <s v="Development A Life Free From Violence (GBV)"/>
    <n v="2567435"/>
    <s v="UWUMUREMYI LAURENT"/>
    <s v="Country Director"/>
    <s v="Laurent.uwumuremyi@care.org"/>
    <s v="CIVUZE THADDEE"/>
    <s v="Team Leader"/>
    <s v="Civuze.Thaddee@care.org"/>
    <s v="NO"/>
    <s v="YES"/>
    <s v="NO"/>
    <s v="D’ici 2020, la voix et l'autonomisation de 25.600 femmes et filles vulnérables est augmentée pour atteindre le processus de gouvernance plus inclusif et efficace en provinces de Gitega (Giheta, Gitega, Bukirasazi), Muyinga (Gasorwe, Giteranyi) et Kirundo (Vumbi, Kirundo)"/>
    <s v="Sub-National"/>
    <s v="Le projet est implaté dans 3 provinces du pays qui sont:Gitega ( communes :Gitega,Giheta,Bukirasazi);Muyinga(communes:Muyinga,Giteranyi et Gasorwe);Kirundo (Communes:Kirundo et Vumbi).Au total 80 collines sont couvertes par le projet."/>
    <s v="Les femmes et  filles vulnerables"/>
    <n v="16309"/>
    <n v="0"/>
    <n v="16309"/>
    <n v="48242"/>
    <n v="39924"/>
    <n v="88166"/>
    <s v="Le projet a ciblé 25600 filles et femmes vulnerables comme participants directs a raison de 320 filles et femmes vulnérables par colline. Le projet intervient sur les cibles des projets GEWEP et POWER AFRICA, raison pour laquelle les lignes 32 et 33 n'ont pas ete completé pour éviter le double comptage."/>
    <m/>
    <m/>
    <m/>
    <m/>
    <m/>
    <m/>
    <m/>
    <m/>
    <m/>
    <m/>
    <m/>
    <m/>
    <m/>
    <m/>
    <m/>
    <m/>
    <m/>
    <m/>
    <m/>
    <m/>
    <m/>
    <m/>
    <m/>
    <m/>
    <m/>
    <m/>
    <m/>
    <m/>
    <m/>
    <m/>
    <m/>
    <m/>
    <m/>
    <m/>
    <m/>
    <m/>
    <m/>
    <m/>
    <m/>
    <m/>
    <m/>
    <m/>
    <m/>
    <m/>
    <m/>
    <m/>
    <m/>
    <m/>
    <m/>
    <m/>
    <m/>
    <m/>
    <m/>
    <m/>
    <m/>
    <m/>
    <m/>
    <m/>
    <m/>
    <m/>
    <n v="16309"/>
    <m/>
    <n v="16309"/>
    <n v="48242"/>
    <n v="39924"/>
    <n v="88166"/>
    <s v="NO"/>
    <m/>
    <m/>
    <m/>
    <s v="NO"/>
    <m/>
    <m/>
    <m/>
    <s v="NO"/>
    <m/>
    <m/>
    <m/>
    <s v="NO"/>
    <m/>
    <m/>
    <m/>
    <s v="NO"/>
    <m/>
    <m/>
    <m/>
    <s v="NO"/>
    <m/>
    <m/>
    <m/>
    <s v="NO"/>
    <m/>
    <m/>
    <m/>
    <s v="YES"/>
    <n v="16309"/>
    <n v="0.63700000000000001"/>
    <m/>
    <s v="NO"/>
    <m/>
    <m/>
    <m/>
    <s v="NO"/>
    <m/>
    <m/>
    <m/>
    <s v="NO"/>
    <m/>
    <m/>
    <m/>
    <s v="NO"/>
    <m/>
    <m/>
    <m/>
    <s v="YES"/>
    <n v="4800"/>
    <n v="0.19"/>
    <m/>
    <s v="NO"/>
    <m/>
    <m/>
    <m/>
    <s v="NO"/>
    <m/>
    <m/>
    <m/>
    <s v="NO"/>
    <m/>
    <m/>
    <m/>
    <m/>
    <s v="NO"/>
    <m/>
    <m/>
    <m/>
    <s v="YES"/>
    <s v="March"/>
    <n v="2017"/>
    <s v="YES"/>
    <s v="NO"/>
    <m/>
    <m/>
    <m/>
    <x v="2"/>
    <s v="NO"/>
    <s v="NO"/>
    <s v="NO"/>
    <s v="YES"/>
    <s v="YES"/>
    <s v="YES"/>
    <s v="YES"/>
    <s v="YES"/>
    <s v="Le projet EVC organise des activites pour influencer le ministere du développement communal  à intégrer dans les plans et budget annuels des communes , les plans d'action issus des cartes de scores communautaires visant à améliorer les droits des femmes et filles"/>
    <x v="0"/>
    <m/>
    <x v="1"/>
    <m/>
    <x v="2"/>
    <x v="0"/>
    <s v="YES"/>
    <x v="0"/>
    <x v="0"/>
    <x v="0"/>
    <x v="0"/>
    <n v="4"/>
    <x v="2"/>
    <x v="1"/>
    <x v="1"/>
    <x v="1"/>
    <x v="1"/>
    <x v="2"/>
    <n v="4"/>
    <x v="2"/>
    <x v="1"/>
    <x v="1"/>
    <x v="1"/>
    <x v="2"/>
    <n v="3"/>
    <x v="2"/>
    <x v="2"/>
    <n v="2"/>
    <s v="Local NGO(s)/CSO(s)"/>
    <s v="International NGO(s)"/>
    <s v="Local government(s)"/>
    <x v="0"/>
    <s v="Octroi des subventions _x000a_Renforcement des capacites organisationelles et institutionelles_x000a_Appui institutionnel"/>
    <s v="Aucun changement n'a ete opere au sein du projet"/>
    <s v="L'approche  cartes de scores communautaires"/>
    <m/>
    <m/>
    <s v="Lecons apprises:"/>
    <s v="Pratiques prometeuses:_x000a_-Les réunions de sensibilisation communautaire sur les droits des femmes devraient etre menees séparemment avec celles des hommes au depart et mettre les femmes et les hommes après pour favoriser la libre expression des femmes et des hommes. Les réunions ensemble doivent être aussi faites sur consensus des deux groupes._x000a_-L'approche rôle modèle est une approche qu'on devrait promouvoir/repliquer à grande échelle pour la multiplication d'impact_x000a_-L'implication des membres communautaires dans la facilitation des cartes de scores communautaires permet l'appropriation des interventions par la communauté."/>
    <s v="Défis ou apprentissage:_x000a__x000a_Le contexte politique actuel a eu des implication sur le démarrage des activités dans la province de Kirundo frontalière avec le Rwanda. Le projet a démarré avec un retard de 9 mois dans cette province."/>
    <s v="Le projet est implanté dans 3 provinces du pays qui sont:Gitega ( communes :Gitega,Giheta,Bukirasazi);Muyinga(communes:Muyinga,Giteranyi et Gasorwe);Kirundo (Communes:Kirundo et Vumbi).Au total 80 collines sont couvertes par le projet et c'est une zone d'intervention des autres projets en cours .Les participants directs sont 25600 femme et filles vulnerables qui sont dans les groupes de solidarites mises en place par les autres projets comme POWER AFRICA et GEWEP.Raison pour laquelle on n'a pas mis dans la partie participants directs pour eviter des doublons."/>
    <s v="1.Theorie de changement de EVC_x000a_2.Rapport de l'étude de base_x000a_3.Rapport annuel"/>
    <n v="16309"/>
    <n v="88166"/>
    <n v="5.4059721626096024"/>
    <n v="1"/>
    <n v="0.54717237937526941"/>
    <n v="16309"/>
    <n v="48242"/>
    <s v=""/>
    <n v="0"/>
    <n v="0"/>
    <s v=""/>
    <s v=""/>
    <n v="0"/>
    <n v="0"/>
    <s v=""/>
    <s v=""/>
    <n v="0"/>
    <n v="0"/>
    <s v=""/>
    <n v="1"/>
    <n v="16309"/>
    <n v="0"/>
    <n v="0"/>
    <s v=""/>
    <n v="0"/>
    <n v="0"/>
    <s v=""/>
    <s v="2. Sensitive"/>
    <s v="4. Transformational"/>
    <s v="0. Harmful"/>
    <s v="It did not develop any specific innovation"/>
    <s v="Intensive advocacy"/>
    <s v="It linked and worked with strategic alliances and partners to take tested and effective solutions to scale"/>
  </r>
  <r>
    <x v="8"/>
    <x v="3"/>
    <m/>
    <s v="Formation et accompagnement des partenaires de la FAO sur l'approche VSLA"/>
    <s v="Burundi"/>
    <s v="US1RL"/>
    <s v="No CARE member related to the project/initiative"/>
    <s v="Multilateral agency"/>
    <s v="UN - United Nations agencies/offices"/>
    <s v="FAO"/>
    <m/>
    <m/>
    <m/>
    <m/>
    <m/>
    <m/>
    <m/>
    <m/>
    <m/>
    <m/>
    <m/>
    <m/>
    <m/>
    <m/>
    <m/>
    <m/>
    <m/>
    <m/>
    <m/>
    <m/>
    <m/>
    <m/>
    <m/>
    <m/>
    <m/>
    <m/>
    <m/>
    <m/>
    <m/>
    <m/>
    <m/>
    <m/>
    <m/>
    <m/>
    <m/>
    <m/>
    <m/>
    <m/>
    <m/>
    <m/>
    <m/>
    <m/>
    <m/>
    <m/>
    <m/>
    <d v="2016-08-31T00:00:00"/>
    <d v="2017-06-30T00:00:00"/>
    <m/>
    <s v="Development Food &amp; Nutrition Security and Resilience to Climate Change"/>
    <n v="42462"/>
    <s v="NKURUNZIZA Nicedore"/>
    <s v="Economic Empowerment and VSLA Tchnical Advisor"/>
    <s v="Nicedore.Nkurunziza@care.org"/>
    <s v="NYABENDA Tite"/>
    <s v="Gestionnaire du projet avec la FAO"/>
    <s v="Tite.Nyabenda@care.org"/>
    <s v="NO"/>
    <s v="YES"/>
    <s v="NO"/>
    <s v="Le projet a pour objectif de renforcer les moyens d'existence et la résilience des communautés à travers l'amélioration de la disponibilité et accessibilité à une alimentation régulière diversifiée ainsi qu'à travers un réseau d'organisations locales dynamiques, solidaires  et responsables vis à vis de l'environnement."/>
    <s v="National"/>
    <s v="Le projet intervient dans 5 provinces (Kirundo, Muyinga, Karusi, Makamba et Rutana)."/>
    <s v="Le groupe d'impact du projet est composé de 2500 ménages faisant parties de 100 groupes VSLA encadrés par 7 partenaires de mise en œuvre du projet PRO-ACT."/>
    <n v="1750"/>
    <n v="750"/>
    <n v="2500"/>
    <n v="8925"/>
    <n v="3827"/>
    <n v="12752"/>
    <s v="Pour les participants directs, les membres sont déjà identifiés dans le document de projet, ce sont les participants dans les VSLA. Les proportions par sexe sont aussi connues. Pour les participants indirects, nous avons multipliés les membres par la taille du ménage donc la moyenne (5.1)."/>
    <m/>
    <m/>
    <m/>
    <m/>
    <m/>
    <m/>
    <m/>
    <m/>
    <m/>
    <m/>
    <m/>
    <m/>
    <m/>
    <m/>
    <m/>
    <m/>
    <m/>
    <m/>
    <m/>
    <m/>
    <m/>
    <m/>
    <m/>
    <m/>
    <m/>
    <m/>
    <m/>
    <m/>
    <m/>
    <m/>
    <m/>
    <m/>
    <m/>
    <m/>
    <m/>
    <m/>
    <m/>
    <m/>
    <m/>
    <m/>
    <m/>
    <m/>
    <m/>
    <m/>
    <m/>
    <m/>
    <m/>
    <m/>
    <m/>
    <m/>
    <m/>
    <m/>
    <m/>
    <m/>
    <m/>
    <m/>
    <m/>
    <m/>
    <m/>
    <m/>
    <n v="1750"/>
    <n v="750"/>
    <n v="2500"/>
    <n v="8925"/>
    <n v="3827"/>
    <n v="12752"/>
    <s v="YES"/>
    <n v="2500"/>
    <n v="0.7"/>
    <n v="12752"/>
    <s v="YES"/>
    <n v="2500"/>
    <n v="0.7"/>
    <n v="12752"/>
    <s v="NO"/>
    <m/>
    <m/>
    <m/>
    <s v="NO"/>
    <m/>
    <m/>
    <m/>
    <s v="NO"/>
    <m/>
    <m/>
    <m/>
    <s v="NO"/>
    <m/>
    <m/>
    <m/>
    <s v="YES"/>
    <n v="2500"/>
    <n v="0.7"/>
    <n v="12752"/>
    <s v="NO"/>
    <m/>
    <m/>
    <m/>
    <s v="YES"/>
    <n v="2500"/>
    <n v="0.7"/>
    <n v="12752"/>
    <s v="NO"/>
    <m/>
    <m/>
    <m/>
    <s v="NO"/>
    <m/>
    <m/>
    <m/>
    <s v="NO"/>
    <m/>
    <m/>
    <m/>
    <s v="NO"/>
    <m/>
    <m/>
    <m/>
    <s v="NO"/>
    <m/>
    <m/>
    <m/>
    <s v="NO"/>
    <m/>
    <m/>
    <m/>
    <s v="YES"/>
    <n v="2500"/>
    <n v="0.7"/>
    <n v="12752"/>
    <m/>
    <m/>
    <m/>
    <m/>
    <m/>
    <s v="NO"/>
    <m/>
    <m/>
    <s v="NO"/>
    <s v="NO"/>
    <m/>
    <m/>
    <s v="La gestion du projet est faite par la FAO d'où toutes les études sont planifiées et réalisées par cette dernière. CARE fourni un appui dans la formation et l'accompagnement des partenaires sur la méthodologie VSLA."/>
    <x v="0"/>
    <s v="NO"/>
    <s v="NO"/>
    <s v="YES"/>
    <s v="NO"/>
    <s v="NO"/>
    <s v="NO"/>
    <s v="NO"/>
    <s v="NO"/>
    <m/>
    <x v="1"/>
    <s v="L'innovation est liée à la méthodologie VSLA dans les programmes de la FAO."/>
    <x v="1"/>
    <s v="Les solutions testées sont liées à l'utilisation de l'approche VSLA pour financer le domaine agricole dans la communauté."/>
    <x v="0"/>
    <x v="1"/>
    <s v="NO"/>
    <x v="1"/>
    <x v="1"/>
    <x v="1"/>
    <x v="3"/>
    <n v="0"/>
    <x v="3"/>
    <x v="1"/>
    <x v="1"/>
    <x v="1"/>
    <x v="1"/>
    <x v="3"/>
    <n v="4"/>
    <x v="3"/>
    <x v="1"/>
    <x v="1"/>
    <x v="1"/>
    <x v="4"/>
    <n v="3"/>
    <x v="0"/>
    <x v="2"/>
    <n v="1"/>
    <s v="Grassroots organization(s)"/>
    <s v="Local government(s)"/>
    <s v="Local NGO(s)/CSO(s)"/>
    <x v="0"/>
    <s v="CARE a signé le protocole d'accort pour renforcer les capacités des partenaires de la FAO sur l'approche VSLA et l'outil MIS pour le suivi évaluation des groupes."/>
    <m/>
    <s v="Formation des facilitateurs communautaires des groupements sur l'approche VSLA"/>
    <s v="Eveiller la sensibilité des partenaires de mise en œuvre des projets de la FAO sur le genre."/>
    <s v="Utilisation de l'approche rôle-modèle pour eveiller la conscience des membres des VSLAs sur la performance du modèle VSLA dans l'autonomisation économique des ménages."/>
    <s v="Utilisation de l'approche rôle-modèle est prometteur si on veut provoquer un changement rapide ou une adoption d'une bonne pratique par la communauté."/>
    <s v="Les témoignages des succès enregistrés par les membres dans l'exercice des activités génératrices des revenus (AGRs) encourage les autres membres réticents à pendre le risque de crédit pour s'engager à exercer les AGRs"/>
    <m/>
    <m/>
    <s v="Le projet PRO-ACT/FAO a pris fin ce 30 juin 2017 et nous attendons un renouvellement du protocile d'accord."/>
    <n v="2500"/>
    <n v="12752"/>
    <n v="5.1007999999999996"/>
    <n v="0.7"/>
    <n v="0.69989021329987455"/>
    <n v="1750"/>
    <n v="8925"/>
    <s v=""/>
    <n v="0"/>
    <n v="0"/>
    <s v=""/>
    <n v="1"/>
    <n v="2500"/>
    <n v="12752"/>
    <n v="5.1007999999999996"/>
    <s v=""/>
    <n v="0"/>
    <n v="0"/>
    <s v=""/>
    <s v=""/>
    <n v="0"/>
    <n v="0"/>
    <s v=""/>
    <n v="1"/>
    <n v="2500"/>
    <n v="12752"/>
    <n v="5.1007999999999996"/>
    <s v="No marker score"/>
    <s v="0. Unaware"/>
    <s v="4. Transformative"/>
    <s v="It tested new ways for fighting poverty, but did not measure results of innovation"/>
    <s v="Little or no advocacy"/>
    <s v="It linked and worked with strategic alliances and partners to take tested and effective solutions to scale"/>
  </r>
  <r>
    <x v="8"/>
    <x v="3"/>
    <n v="3726"/>
    <s v="Gender Equality Women's  Empowerment Programme II (GEWEPII) UMWIZERO III"/>
    <s v="Burundi"/>
    <s v="FC N0 161"/>
    <s v="CARE Norge"/>
    <s v="Government"/>
    <s v="Government - Norway"/>
    <s v="NORAD"/>
    <m/>
    <m/>
    <m/>
    <m/>
    <m/>
    <m/>
    <m/>
    <m/>
    <m/>
    <m/>
    <m/>
    <m/>
    <m/>
    <m/>
    <m/>
    <m/>
    <m/>
    <m/>
    <m/>
    <m/>
    <m/>
    <m/>
    <m/>
    <m/>
    <m/>
    <m/>
    <m/>
    <m/>
    <m/>
    <m/>
    <m/>
    <m/>
    <m/>
    <m/>
    <m/>
    <m/>
    <m/>
    <m/>
    <m/>
    <m/>
    <m/>
    <m/>
    <m/>
    <m/>
    <m/>
    <d v="2016-03-01T00:00:00"/>
    <d v="2020-02-29T00:00:00"/>
    <m/>
    <s v="Development Access to and Control over Economic Resources"/>
    <n v="5716244"/>
    <s v="Uwumuremyi Laurent"/>
    <s v="Country Director"/>
    <s v="Laurent.Uwumuremyi@care.org"/>
    <s v="Ntabahungu Josee"/>
    <s v="Team Leader"/>
    <s v="Josee.Ntabahungu@care.org"/>
    <s v="NO"/>
    <s v="YES"/>
    <s v="NO"/>
    <s v="By 2019, 331,825 women  and female youth in Ngozi, Kayanza, Kirundo, Muyinga, Gitega and Bujumbura provinces have improved the realization of their rights to education, health, economic activity, security and participation in decision making"/>
    <s v="Multiple countries"/>
    <s v="Burundi, Province:  Rumonge (Dans les communes de Muhuta et Bugarama) et provinces de Bujumbura rural, Gitega, Ngozi, Muyinga, Kirundo, Kayanza dans toutes les communes. En tout c'est 54 communes."/>
    <s v="331,825 femmes et jeunes filles don’t 298 643 femmes et 33 182 jeunes filles"/>
    <n v="331825"/>
    <n v="20000"/>
    <n v="351825"/>
    <n v="900743"/>
    <n v="882800"/>
    <n v="1783543"/>
    <s v="Les participants directs sont des femmes, des jeunes filles, des hommes, jeunes garcons  qui vont être organise en VSLAs.                                                                                                                                              Les participants indirects sont les membres des familles des bénéficiaires directs. La moyenne de la constitution d'une famille au Burundi est de 5.1 et en moyenne la population burundaise est constituee en moyenne de 52% de femmes et 48% d'hommes._x000a_Indirect participants are reported as zero because they are already covered by NARATEYINTAMBE"/>
    <m/>
    <m/>
    <m/>
    <m/>
    <m/>
    <m/>
    <m/>
    <m/>
    <m/>
    <m/>
    <m/>
    <m/>
    <m/>
    <m/>
    <m/>
    <m/>
    <m/>
    <m/>
    <m/>
    <m/>
    <m/>
    <m/>
    <m/>
    <m/>
    <m/>
    <m/>
    <m/>
    <m/>
    <m/>
    <m/>
    <m/>
    <m/>
    <m/>
    <m/>
    <m/>
    <m/>
    <m/>
    <m/>
    <m/>
    <m/>
    <m/>
    <m/>
    <m/>
    <m/>
    <m/>
    <m/>
    <m/>
    <m/>
    <m/>
    <m/>
    <m/>
    <m/>
    <m/>
    <m/>
    <m/>
    <m/>
    <m/>
    <m/>
    <m/>
    <m/>
    <n v="236194"/>
    <n v="20000"/>
    <n v="256194"/>
    <m/>
    <m/>
    <m/>
    <s v="NO"/>
    <m/>
    <m/>
    <m/>
    <s v="NO"/>
    <m/>
    <m/>
    <m/>
    <s v="YES"/>
    <n v="299228"/>
    <n v="0.79"/>
    <m/>
    <s v="NO"/>
    <m/>
    <m/>
    <m/>
    <s v="NO"/>
    <m/>
    <m/>
    <m/>
    <s v="NO"/>
    <m/>
    <m/>
    <m/>
    <s v="NO"/>
    <m/>
    <m/>
    <m/>
    <s v="YES"/>
    <n v="9824"/>
    <n v="0.5"/>
    <m/>
    <s v="YES"/>
    <n v="13716"/>
    <n v="0.62"/>
    <m/>
    <s v="NO"/>
    <m/>
    <m/>
    <m/>
    <s v="NO"/>
    <m/>
    <m/>
    <m/>
    <s v="NO"/>
    <m/>
    <m/>
    <m/>
    <s v="YES"/>
    <n v="299228"/>
    <n v="0.79"/>
    <n v="1526062"/>
    <s v="YES"/>
    <n v="80164"/>
    <n v="0.97"/>
    <m/>
    <s v="NO"/>
    <m/>
    <m/>
    <m/>
    <s v="YES"/>
    <n v="299228"/>
    <n v="0.79"/>
    <m/>
    <m/>
    <m/>
    <m/>
    <m/>
    <m/>
    <s v="NO"/>
    <m/>
    <m/>
    <s v="NO"/>
    <s v="NO"/>
    <m/>
    <m/>
    <m/>
    <x v="2"/>
    <s v="YES"/>
    <s v="YES"/>
    <s v="NO"/>
    <s v="YES"/>
    <s v="YES"/>
    <s v="YES"/>
    <s v="YES"/>
    <s v="NO"/>
    <m/>
    <x v="1"/>
    <s v="Connexion des VSLAs au institutions financieres et mise en place des usines de transformation agro alimentaire avec les femmes membres des VSLAs."/>
    <x v="1"/>
    <s v="La mise a l'echelle de l'approche VSLAs par des ONGI, Onusienne et associations locales au niveau national pour l'autonomisation de la femme."/>
    <x v="1"/>
    <x v="1"/>
    <s v="YES"/>
    <x v="0"/>
    <x v="0"/>
    <x v="0"/>
    <x v="2"/>
    <n v="4"/>
    <x v="1"/>
    <x v="1"/>
    <x v="1"/>
    <x v="1"/>
    <x v="1"/>
    <x v="1"/>
    <n v="4"/>
    <x v="1"/>
    <x v="1"/>
    <x v="1"/>
    <x v="1"/>
    <x v="1"/>
    <n v="3"/>
    <x v="2"/>
    <x v="3"/>
    <n v="8"/>
    <s v="Local NGO(s)/CSO(s)"/>
    <s v="Local alliance(s)/Platform(s)/Network(s) of  NGOs/CSOs"/>
    <s v="Regional alliance(s)/Platform(s)/Network(s) of  NGOs/CSOs"/>
    <x v="0"/>
    <s v="Renforcement sur la gestion financiere, la redevabilite, la recolte des donnees sur terrain."/>
    <m/>
    <s v="Associations villageoises (Nawe nuze)"/>
    <s v="L'engagement des hommes (Abatangamuco)"/>
    <s v="Carte de score"/>
    <s v="Si tu veux atteindre l'empowerment de la femme et la lutte contre les VBGs, l'engagement des hommes et des leaders d'opinion est un atout important pour l'atteinte des résultats durables"/>
    <s v="Si tu veux promouvoir l'épanouissement de la femme, il faut travailler sur l'autonomisation économique comme porte d'entrée de tout autre changement qu'on cherche autour de la femme. Ce n'est qu'après avoir satisfait aux besoins primaires, qu'une femme peut aspirer aux besoins secondaires et tertiaires. L'autonomisation économique crée un espace pour la femme pour réclamer ses droits et refuser certaines injustices autour d'elle et lui confert un statut social considérable. Leadership, self estime"/>
    <m/>
    <s v="L'initiation GEWEP II a initie des VSLAs et les initiatives Every Voice Counts travaille avec certains de ces VSLAs dans le domaine de bonne gouvernence et plaidoyer, L'initiative WIN WIN travaille aussi avec certains de ces VSLAs dans les domaines de l'agricultures, nutrition et genre transformatiel. L'initiative Power Africa travaille sur l'inclusion financiere et l'entreprenariat avec certains VSLAS de GEWEPII._x000a_Indirect Participants for GEWEP are reported zero as project NARATEYINTAMBWE already covers ALL indirect participants for this project. Specific figures of indirect participants for this FY, for this project alone, would have included:_x000a_INDIRECT women&amp;girsl 766,084 Men&amp;boys 759,979  Total  1,526,063_x000a_WEE  Direct 299,228  %Women 79.00%  Indirect   1,526,062_x000a_"/>
    <s v="Un rapport semestriel est partage avec les bailleurs ainsi que des histoires de changement, des indicateurs d'avancement des activites sont mesure et reportes dans le Result framework mais certains indicateurs d'impact seront mesure avec l'evaluation a mi parcours et l'evalauation finale."/>
    <n v="256194"/>
    <n v="0"/>
    <n v="0"/>
    <n v="0.92193415926992828"/>
    <s v=""/>
    <n v="236194"/>
    <n v="0"/>
    <s v=""/>
    <n v="0"/>
    <n v="0"/>
    <s v=""/>
    <s v=""/>
    <n v="0"/>
    <n v="0"/>
    <s v=""/>
    <n v="1"/>
    <n v="80164"/>
    <n v="0"/>
    <n v="0"/>
    <n v="1"/>
    <n v="9824"/>
    <n v="0"/>
    <n v="0"/>
    <n v="1"/>
    <n v="299228"/>
    <n v="0"/>
    <n v="0"/>
    <s v="4. Transformative"/>
    <s v="2. Accommodating"/>
    <s v="2. Sensitive"/>
    <s v="It tested new ways for fighting poverty, but did not measure results of innovation"/>
    <s v="Intensive advocacy"/>
    <s v="It linked and worked with strategic alliances and partners to take tested and effective solutions to scale"/>
  </r>
  <r>
    <x v="8"/>
    <x v="3"/>
    <n v="3724"/>
    <s v="Grand Challenges - Women &amp; Girls at the Center of Development : A Win-Win for Gender, Agriculture and Nutrition: Testing a Gender-Transformative Approach from Asia in Africa"/>
    <s v="Burundi"/>
    <s v="US1M2"/>
    <s v="CARE USA"/>
    <s v="Foundation"/>
    <s v="Bill &amp; Melinda Gates Foundation"/>
    <s v="Bill &amp; Melinda Gates Foundation"/>
    <m/>
    <m/>
    <m/>
    <m/>
    <m/>
    <m/>
    <m/>
    <m/>
    <m/>
    <m/>
    <m/>
    <m/>
    <m/>
    <m/>
    <m/>
    <m/>
    <m/>
    <m/>
    <m/>
    <m/>
    <m/>
    <m/>
    <m/>
    <m/>
    <m/>
    <m/>
    <m/>
    <m/>
    <m/>
    <m/>
    <m/>
    <m/>
    <m/>
    <m/>
    <m/>
    <m/>
    <m/>
    <m/>
    <m/>
    <m/>
    <m/>
    <m/>
    <m/>
    <m/>
    <m/>
    <d v="2016-06-01T00:00:00"/>
    <d v="2019-12-31T00:00:00"/>
    <m/>
    <s v="Development Food &amp; Nutrition Security and Resilience to Climate Change"/>
    <n v="2578671"/>
    <s v="Laurent UWUMUREMYI"/>
    <s v="Country Director"/>
    <s v="Laurent.Uwumuremyi@care.org"/>
    <s v="Domitille NTACOBAKIMVUNA"/>
    <s v="Team Leader"/>
    <s v="Domitille.Ntacobakinvuna@care.org"/>
    <s v="NO"/>
    <s v="YES"/>
    <s v="NO"/>
    <s v="Adapter une approche prouvée de genre transformative (EKATA) pour améliorer le bien-être économique, la sécurité alimentaire et la nutrition chez les femmes, petits exploitants agricoles au Burundi.                                                                                                                                                                                                                                                                                     Evaluer les différences dans les résultats et les processus de l’approche genre transformative EKATA comparée à une approche standard Genre Léger dans les domaines de l’équité genre, la sécurité alimentaire et le bien-être économique                                                                                                                                                                             Déterminer les coûts et les capacités requises pour produire des changements durables dans l’équité genre et l’amélioration des résultats sectoriels à travers une approche transformative du genre en comparaison avec l'approche Genre Léger."/>
    <s v="Sub-National"/>
    <s v="Le projet Win Win est un projet de recherche qui est en train de tester la valeur ajouté d'une approche genre transformatif dans une intervention agricole. Il est exécuté dan 2 provinces du Burundi à savoir la province de Kirundo (dans 3 communes : Kirundo, Bwambarangwe et Ntega) ;  et celle de Gitega dans les communes de Bugendana, Mutaho et Buraza"/>
    <s v="Les femmes membres des VSLAs et leurs maris"/>
    <m/>
    <m/>
    <m/>
    <m/>
    <m/>
    <m/>
    <s v="Le projet Win Win travaille avec 9911 femmes membres des VSLAs et leurs maris (5497)encadrés par le projet GEWEP. Ils seront comptés dans le projet GEWEP pour éviter le double comptage._x000a_Indirect Participants for WEE are reported zero as project NARATEYINTAMBWE and GEWEP already cover participants for this project. Figures for WEE under this project alone would  have included:_x000a_WEE  Direct 9,911 %women 100.00% Indirect 50,546_x000a_"/>
    <m/>
    <m/>
    <m/>
    <m/>
    <m/>
    <m/>
    <m/>
    <m/>
    <m/>
    <m/>
    <m/>
    <m/>
    <m/>
    <m/>
    <m/>
    <m/>
    <m/>
    <m/>
    <m/>
    <m/>
    <m/>
    <m/>
    <m/>
    <m/>
    <m/>
    <m/>
    <m/>
    <m/>
    <m/>
    <m/>
    <m/>
    <m/>
    <m/>
    <m/>
    <m/>
    <m/>
    <m/>
    <m/>
    <m/>
    <m/>
    <m/>
    <m/>
    <m/>
    <m/>
    <m/>
    <m/>
    <m/>
    <m/>
    <m/>
    <m/>
    <m/>
    <m/>
    <m/>
    <m/>
    <m/>
    <m/>
    <m/>
    <m/>
    <m/>
    <m/>
    <m/>
    <m/>
    <m/>
    <m/>
    <m/>
    <m/>
    <s v="YES"/>
    <n v="15858"/>
    <n v="0.62"/>
    <n v="50546"/>
    <s v="NO"/>
    <m/>
    <m/>
    <m/>
    <s v="NO"/>
    <m/>
    <m/>
    <m/>
    <s v="NO"/>
    <m/>
    <m/>
    <m/>
    <s v="YES"/>
    <n v="15858"/>
    <n v="1"/>
    <n v="50546"/>
    <s v="NO"/>
    <m/>
    <m/>
    <m/>
    <s v="YES"/>
    <n v="15858"/>
    <n v="0.62"/>
    <n v="50546"/>
    <s v="YES"/>
    <n v="10572"/>
    <n v="0.62"/>
    <n v="64297"/>
    <s v="YES"/>
    <n v="10572"/>
    <n v="0.62"/>
    <n v="64297"/>
    <s v="NO"/>
    <m/>
    <m/>
    <m/>
    <s v="NO"/>
    <m/>
    <m/>
    <m/>
    <s v="NO"/>
    <m/>
    <m/>
    <m/>
    <s v="NO"/>
    <m/>
    <m/>
    <m/>
    <s v="NO"/>
    <m/>
    <m/>
    <m/>
    <s v="NO"/>
    <m/>
    <m/>
    <m/>
    <s v="YES"/>
    <m/>
    <m/>
    <m/>
    <m/>
    <m/>
    <m/>
    <m/>
    <m/>
    <s v="YES"/>
    <s v="April"/>
    <n v="2016"/>
    <s v="YES"/>
    <s v="NO"/>
    <m/>
    <m/>
    <m/>
    <x v="0"/>
    <s v="NO"/>
    <s v="NO"/>
    <s v="NO"/>
    <s v="NO"/>
    <s v="NO"/>
    <s v="NO"/>
    <s v="NO"/>
    <s v="NO"/>
    <m/>
    <x v="1"/>
    <s v="Le projet Win Win est un projet de recherche qui est en train de tester la valeur ajoutée d'une approche genre transformatif (EKATA) dans une intervention agricole en comparant 3 traitements. 12 collines avec des interventions intensives de genre transformatif, 12 collines avec des interventions genre modéré (Gender light), 12 collines d'observations sans aucune intervention en genre"/>
    <x v="1"/>
    <s v="Win Win travaille avec des institutions de recherche : la Faculté d'agronomie de l'université du Burundi, Africa Gender Center de Nairobi, les partenaires locaux, CARE Bangladesh. Le staff du Ministère du Genre est aussi impliqué pour favoriser l'appropriation des résultats"/>
    <x v="2"/>
    <x v="1"/>
    <s v="YES"/>
    <x v="0"/>
    <x v="0"/>
    <x v="0"/>
    <x v="2"/>
    <n v="4"/>
    <x v="1"/>
    <x v="1"/>
    <x v="2"/>
    <x v="1"/>
    <x v="2"/>
    <x v="4"/>
    <n v="2"/>
    <x v="1"/>
    <x v="1"/>
    <x v="1"/>
    <x v="1"/>
    <x v="1"/>
    <n v="3"/>
    <x v="0"/>
    <x v="2"/>
    <n v="4"/>
    <s v="Local NGO(s)/CSO(s)"/>
    <s v="University/research institution(s)"/>
    <s v="Local government(s)"/>
    <x v="2"/>
    <s v="Renforcement des capacités institutionnelles et fonctionnelles  en terme de foctionnement des bureaux des organisations partenaires et des formations adaptées en fonction des besoins  pour l'implementation du projet"/>
    <m/>
    <s v="L'approche genre transformatif  ''EKATA&quot; : Une approche de reflexion critique pour éveiller la conscience des femmes à identifier les problèmes, à faire des plans d'actions et à nouer des alliances pour changer leur situation. Nous avons combiné à l'approche EKATA , L'approche ''Engagement des hommes&quot; qui a ciblé les hommes qui commettent les violences pour défier la masculinité, les normes socio-culturelles et devenir des agents de changement. L'approche abatangamuco qui utilise les histoires de vie personnelles pour le changement de comportement des autres hommes."/>
    <s v="L'approche FARN &quot;Foyer d'Apprentissage et de Réhabilitation Nutritionnelle&quot; pour les mamans ayant des enfants malnoutris. C'est une approche pour renforcer la capacités des mères sur la nutrition des enfants à base des aliments locaux"/>
    <s v="L'approche Farm Field School (FFS) : Les champs écoles pour les femmes productrices de riz et la spécialisation dans la production des semences de riz."/>
    <s v="Les interventions qui ciblent les femmes doivent impérativement avoir une dose d'actions d'implication des hommes pour avoir des changements durables chez les femmes. Nous avons appris par exemple que les femmes qui sont dans les VSLAs quand leurs maris ne sont pas d'accord ou qui violentent souvent leurs femmes, elles vont continuer à participer dans les VSLAs à cause du soutien émotionnel du groupe mais ne peuvent pas aller plus loin avec les activités économiques.  Il faut prévoir des séances d'explication du projet à leurs maris et d'autres sur le genre transformatif et sur les VBGs"/>
    <s v="Cibler explicitement les hommes qui commettent des violences envers leurs femmes dans les séances de transformation de genre est une stratégie efficace pour impulser le changement chez ces hommes donc pour atténuer les violences faites aux femmes."/>
    <s v="Le gardiennage de petits enfants pemet aux jeunes femmes du milieu rural de participer dans les activités de développement. La plupart d'intervenants ne ciblent pas ces femmes dans les formations car il est difficile de faciliter la formation quand les enfants pleurent, veulent dormir, etc. Elles sont donc victimes alors qu'elles sont encore plus actives. Lors d'une formation qque nous avons dispensées à l'endroit des facilitatrices EKATA, elles ont mis en place une stratégie consensuelle de recruter une gardienne des enfants. Elles ont mis ensemble de petites contributions pour la payer."/>
    <s v="Indirect Participants for WEE are reported zero as project NARATEYINTAMBWE and GEWEP already cover participants for this project. Figures for WEE under this project alone would  have included:_x000a_WEE  Direct 9,911 %women 100.00% Indirect 50,546_x000a_"/>
    <s v="Le rapport de l'étude de base                                                                                                                                                                                                                                                                                                                                                                                              Win Win factsheet                                                                                                                                                                                                                                                                                                                                                                                                                                                                                                                                                                                                                                                                 Rapport annuel"/>
    <n v="0"/>
    <n v="0"/>
    <s v=""/>
    <s v=""/>
    <s v=""/>
    <n v="0"/>
    <n v="0"/>
    <s v=""/>
    <n v="0"/>
    <n v="0"/>
    <s v=""/>
    <n v="1"/>
    <n v="15858"/>
    <n v="50546"/>
    <n v="3.1874132929751546"/>
    <s v=""/>
    <n v="0"/>
    <n v="0"/>
    <s v=""/>
    <n v="1"/>
    <n v="10572"/>
    <n v="64297"/>
    <n v="6.0818199016269388"/>
    <n v="1"/>
    <n v="15858"/>
    <n v="50546"/>
    <n v="3.1874132929751546"/>
    <s v="4. Transformative"/>
    <s v="1. Tokenistic"/>
    <s v="2. Sensitive"/>
    <s v="It tested new ways for fighting poverty, but did not measure results of innovation"/>
    <s v="Little or no advocacy"/>
    <s v="It linked and worked with strategic alliances and partners to take tested and effective solutions to scale"/>
  </r>
  <r>
    <x v="8"/>
    <x v="3"/>
    <n v="3717"/>
    <s v="INITIATIVE SISI VIJANA"/>
    <s v="Burundi"/>
    <s v="NO161"/>
    <s v="CARE Norge"/>
    <s v="Foundation"/>
    <s v="Government - Norway"/>
    <s v="NORAD"/>
    <m/>
    <m/>
    <m/>
    <m/>
    <m/>
    <m/>
    <m/>
    <m/>
    <m/>
    <m/>
    <m/>
    <m/>
    <m/>
    <m/>
    <m/>
    <m/>
    <m/>
    <m/>
    <m/>
    <m/>
    <m/>
    <m/>
    <m/>
    <m/>
    <m/>
    <m/>
    <m/>
    <m/>
    <m/>
    <m/>
    <m/>
    <m/>
    <m/>
    <m/>
    <m/>
    <m/>
    <m/>
    <m/>
    <m/>
    <m/>
    <m/>
    <m/>
    <m/>
    <m/>
    <m/>
    <d v="2013-12-01T00:00:00"/>
    <d v="2016-11-30T00:00:00"/>
    <m/>
    <s v="Development A Life Free From Violence (GBV)"/>
    <n v="1073341"/>
    <s v="Laurent UWUMUREMYI"/>
    <s v="Country Director"/>
    <s v="Laurent.Uwumuremyi@care.org"/>
    <s v="Jean NIMUBONA"/>
    <s v="Project Manager"/>
    <s v="Jean.Nimubona@care.org"/>
    <s v="NO"/>
    <s v="YES"/>
    <s v="NO"/>
    <s v="Les jeunes hommes et jeunes filles âgés 13 à 23 ans acceptent les normes sociales égalitaires entre les genres  et font preuve d'intolérence  aux violences sexuelles et basées sur le genre"/>
    <s v="Multiple countries"/>
    <s v="Le projet était exécuté au Burundi et en République Démocratique du Congo. Au Burundi, il était exécuté dans deux provinces de GITEGA et NGOZI."/>
    <s v="Les jeunes hommes et jeunes femmes âgées de 13- 24 ans"/>
    <n v="1270"/>
    <n v="2470"/>
    <n v="3700"/>
    <n v="16000"/>
    <n v="30000"/>
    <n v="46000"/>
    <s v="Les participants directs  ont été calculés sur base des personnes  qui participent directement lors de nos activites ou qui ont bénéficié des services et des interventions du programme. Ils incluent les jeunes ayant participé dans les clubs, les parents, les enseignants. Pour calculer  les participants indirects, nous comptions les collègues de classe de ces jeunes qui sont estimés à  20000, les frères et soeurs de ce ces jeunes estimés à 18500, les enseignants estimés à 300 ainsi que les parents estimés à 7200"/>
    <m/>
    <m/>
    <m/>
    <m/>
    <m/>
    <m/>
    <m/>
    <m/>
    <m/>
    <m/>
    <m/>
    <m/>
    <m/>
    <m/>
    <m/>
    <m/>
    <m/>
    <m/>
    <m/>
    <m/>
    <m/>
    <m/>
    <m/>
    <m/>
    <m/>
    <m/>
    <m/>
    <m/>
    <m/>
    <m/>
    <m/>
    <m/>
    <m/>
    <m/>
    <m/>
    <m/>
    <m/>
    <m/>
    <m/>
    <m/>
    <m/>
    <m/>
    <m/>
    <m/>
    <m/>
    <m/>
    <m/>
    <m/>
    <m/>
    <m/>
    <m/>
    <m/>
    <m/>
    <m/>
    <m/>
    <m/>
    <m/>
    <m/>
    <m/>
    <m/>
    <n v="2884"/>
    <n v="4582"/>
    <n v="7466"/>
    <n v="16422"/>
    <n v="33432"/>
    <n v="49854"/>
    <s v="NO"/>
    <m/>
    <m/>
    <m/>
    <s v="NO"/>
    <m/>
    <m/>
    <m/>
    <s v="NO"/>
    <m/>
    <m/>
    <m/>
    <s v="NO"/>
    <m/>
    <m/>
    <m/>
    <s v="NO"/>
    <m/>
    <m/>
    <m/>
    <s v="NO"/>
    <m/>
    <m/>
    <m/>
    <s v="NO"/>
    <m/>
    <m/>
    <m/>
    <s v="YES"/>
    <n v="7466"/>
    <n v="0.39"/>
    <n v="49854"/>
    <s v="YES"/>
    <n v="7466"/>
    <n v="0.39"/>
    <n v="49854"/>
    <s v="NO"/>
    <m/>
    <m/>
    <m/>
    <s v="NO"/>
    <m/>
    <m/>
    <m/>
    <s v="NO"/>
    <m/>
    <m/>
    <m/>
    <s v="NO"/>
    <m/>
    <m/>
    <m/>
    <s v="YES"/>
    <n v="7466"/>
    <n v="0.39"/>
    <n v="9543"/>
    <s v="NO"/>
    <m/>
    <m/>
    <m/>
    <s v="YES"/>
    <n v="2884"/>
    <n v="1"/>
    <m/>
    <m/>
    <m/>
    <m/>
    <m/>
    <m/>
    <s v="NO"/>
    <m/>
    <m/>
    <s v="NO"/>
    <s v="NO"/>
    <m/>
    <m/>
    <s v="L'initiative a clôturé en Novembre 2016, et ne prévoit pas une évaluation dans le futur"/>
    <x v="1"/>
    <s v="NO"/>
    <s v="YES"/>
    <s v="YES"/>
    <s v="YES"/>
    <s v="NO"/>
    <s v="NO"/>
    <s v="YES"/>
    <s v="NO"/>
    <m/>
    <x v="1"/>
    <s v="Recherche PLA et développement d'un modèle adapté aux jeunes, utilisé par les jeunes eux-mêmes pour renforcer les capacitése des pairs sur l'égalité des genres et la lutte contre les VSBG"/>
    <x v="1"/>
    <s v="Introduction du modèle d'engagement des jeunes dans les clubs extra-scolaires"/>
    <x v="1"/>
    <x v="1"/>
    <s v="YES"/>
    <x v="0"/>
    <x v="0"/>
    <x v="0"/>
    <x v="2"/>
    <n v="4"/>
    <x v="1"/>
    <x v="1"/>
    <x v="1"/>
    <x v="1"/>
    <x v="1"/>
    <x v="1"/>
    <n v="4"/>
    <x v="1"/>
    <x v="1"/>
    <x v="1"/>
    <x v="1"/>
    <x v="1"/>
    <n v="3"/>
    <x v="2"/>
    <x v="2"/>
    <n v="2"/>
    <s v="Local NGO(s)/CSO(s)"/>
    <s v="Media or journalist network(s)"/>
    <s v="Local government(s)"/>
    <x v="0"/>
    <s v="Renforcement des capacités institutionnelles et fonctionnelles  en terme de foctionnement des bureaux des organisations partenaires et des formations adaptées en fonction des besoins pour l'implementation du projet et pour développer les capacités en plaidoyer"/>
    <s v="Le projet a initié les dialogues intergénerationnels entre les jeunes hommes et leurs parents ainsi et entre les jeunes femmes et les femmes mentors pour échager sur les contributions de chacun dans l'éradication des barrières socioculturelles qui freinent l'empowerment de la femme et de la fille"/>
    <s v="L'engagement des hommes et garçons pour une tolérance zéro face aux violences sexuelles et basées sur le genre"/>
    <s v="L'approche VSLA pour aider les jeunes hommes et jeunes filles à répondre à leurs besoins et être responsables de leurs corps"/>
    <s v="Le plaidoyer pour l'intégration du genre dans le curriculum scolaire"/>
    <s v="Le Burundi enregistre beaucoup de jeunes qui sont sans emploi. Pour aborder d'autres thématiques, il est important d'introduire d'abord des activités de VSLAs/entreprenariat comme point d'entrée de toute autre intervention sinon il y a réticence des jeunes dans la participation dans l'intervention"/>
    <s v="Bien que le changement des normes socioculturelles soit un résultat atteignable à long terme, travailler avec les jeunes, et en particulier les garçons est une bonne stratégie pour la tansformation des barrières socioculturelles, particulièrement l'approche intergénérationnelle permet d'éveiller la conscience des jeunes et des adultes et de défier certaines normes. Le changement se produit chez les jeunes et chez les adultes."/>
    <m/>
    <m/>
    <m/>
    <n v="7466"/>
    <n v="49854"/>
    <n v="6.6774712027859628"/>
    <n v="0.38628448968657914"/>
    <n v="0.32940185341196293"/>
    <n v="2884"/>
    <n v="16422"/>
    <s v=""/>
    <n v="0"/>
    <n v="0"/>
    <s v=""/>
    <s v=""/>
    <n v="0"/>
    <n v="0"/>
    <s v=""/>
    <n v="1"/>
    <n v="7466"/>
    <n v="9543"/>
    <n v="1.2781944816501474"/>
    <n v="1"/>
    <n v="7466"/>
    <n v="49854"/>
    <n v="6.6774712027859628"/>
    <n v="1"/>
    <n v="2884"/>
    <n v="0"/>
    <n v="0"/>
    <s v="4. Transformative"/>
    <s v="2. Accommodating"/>
    <s v="2. Sensitive"/>
    <s v="It tested new ways for fighting poverty, but did not measure results of innovation"/>
    <s v="Moderate advocacy"/>
    <s v="It linked and worked with strategic alliances and partners to take tested and effective solutions to scale"/>
  </r>
  <r>
    <x v="8"/>
    <x v="3"/>
    <n v="3721"/>
    <s v="ISHAKA II: A Promising Innovation for Girls’ Social and Economic   Empowerment “ Courage pour le future”"/>
    <s v="Burundi"/>
    <m/>
    <s v="CARE USA"/>
    <s v="Foundation"/>
    <s v="Other"/>
    <s v="Tim and Debbie Kiss/Oliver Kiss Endowment"/>
    <m/>
    <m/>
    <m/>
    <m/>
    <m/>
    <m/>
    <m/>
    <m/>
    <m/>
    <m/>
    <m/>
    <m/>
    <m/>
    <m/>
    <m/>
    <m/>
    <m/>
    <m/>
    <m/>
    <m/>
    <m/>
    <m/>
    <m/>
    <m/>
    <m/>
    <m/>
    <m/>
    <m/>
    <m/>
    <m/>
    <m/>
    <m/>
    <m/>
    <m/>
    <m/>
    <m/>
    <m/>
    <m/>
    <m/>
    <m/>
    <m/>
    <m/>
    <m/>
    <m/>
    <m/>
    <d v="2014-06-01T00:00:00"/>
    <d v="2017-01-31T00:00:00"/>
    <m/>
    <s v="Development Access to and Control over Economic Resources"/>
    <n v="60000"/>
    <s v="UWUMUREMYI Laurent"/>
    <s v="Directeur de CARE Burundi"/>
    <s v="Laurent.Uwumuremyi@care.org"/>
    <s v="NKURUNZIZA Nicedore"/>
    <s v="Gestionnaire de Power-Africa Burundi"/>
    <s v="Nicedore.Nkurunziza@care.org"/>
    <s v="NO"/>
    <s v="YES"/>
    <s v="NO"/>
    <s v="Contribuer à empowerment (social, économique) de 1500 filles adolescentes (âgées de 14 à 18 ans) dans les zones urbaines et rurales de Bujumbura et Gitega."/>
    <s v="Sub-National"/>
    <s v="Le projet est mis en œuvre en Mairie de Bujumbura dans les trois communes Mukaza, Muha et Ntahangwa, dans 6 zones urbaines (anciennement des communes urbaines) : Buyenzi, Buterere, Cibitoke, Gihosha, Kinama et Rohero), et en province de Gitega dans 2 commune (Gitega, Giheta et Makebuko)"/>
    <s v="Jeunes filles vulnérables âgées de14 à 24 ans"/>
    <n v="1500"/>
    <m/>
    <n v="1500"/>
    <n v="3840"/>
    <n v="3809"/>
    <n v="7649"/>
    <s v="Les participants directs ce sont les jeunes filles adolescentes et les femmes. Quant aux participants indirects ce sont des membres des ménages dont sont issus les participants directs. Pour y arriver , il faut multiplier par 5.1 qui est la moyenne nationale des membres du ménage. Pour distinguer les participants femmes et hommes , nous avons tenu compte des réultats du recensement national à raison de 52 % femmes et 48% Hommes."/>
    <m/>
    <m/>
    <m/>
    <m/>
    <m/>
    <m/>
    <m/>
    <m/>
    <m/>
    <m/>
    <m/>
    <m/>
    <m/>
    <m/>
    <m/>
    <m/>
    <m/>
    <m/>
    <m/>
    <m/>
    <m/>
    <m/>
    <m/>
    <m/>
    <m/>
    <m/>
    <m/>
    <m/>
    <m/>
    <m/>
    <m/>
    <m/>
    <m/>
    <m/>
    <m/>
    <m/>
    <m/>
    <m/>
    <m/>
    <m/>
    <m/>
    <m/>
    <m/>
    <m/>
    <m/>
    <m/>
    <m/>
    <m/>
    <m/>
    <m/>
    <m/>
    <m/>
    <m/>
    <m/>
    <m/>
    <m/>
    <m/>
    <m/>
    <m/>
    <m/>
    <n v="1836"/>
    <m/>
    <n v="1836"/>
    <n v="4700"/>
    <n v="4663"/>
    <n v="9363"/>
    <m/>
    <m/>
    <m/>
    <m/>
    <m/>
    <m/>
    <m/>
    <m/>
    <m/>
    <m/>
    <m/>
    <m/>
    <m/>
    <m/>
    <m/>
    <m/>
    <m/>
    <m/>
    <m/>
    <m/>
    <m/>
    <m/>
    <m/>
    <m/>
    <m/>
    <m/>
    <m/>
    <m/>
    <m/>
    <m/>
    <m/>
    <m/>
    <m/>
    <m/>
    <m/>
    <m/>
    <m/>
    <m/>
    <m/>
    <m/>
    <m/>
    <m/>
    <m/>
    <m/>
    <m/>
    <m/>
    <m/>
    <m/>
    <m/>
    <m/>
    <m/>
    <m/>
    <m/>
    <m/>
    <m/>
    <m/>
    <m/>
    <m/>
    <m/>
    <m/>
    <s v="YES"/>
    <n v="1836"/>
    <n v="1"/>
    <n v="9363"/>
    <m/>
    <m/>
    <m/>
    <m/>
    <m/>
    <s v="NO"/>
    <m/>
    <m/>
    <s v="NO"/>
    <s v="NO"/>
    <m/>
    <m/>
    <m/>
    <x v="0"/>
    <s v="NO"/>
    <s v="NO"/>
    <s v="YES"/>
    <s v="NO"/>
    <s v="NO"/>
    <s v="NO"/>
    <m/>
    <s v="NO"/>
    <m/>
    <x v="1"/>
    <s v="Le projet a participé au test d'une phase pilote d'inclusion financiere à travers un partenariat entre CARE et une banque (Kenyan Commercial Bank)"/>
    <x v="1"/>
    <m/>
    <x v="1"/>
    <x v="0"/>
    <s v="YES"/>
    <x v="0"/>
    <x v="2"/>
    <x v="0"/>
    <x v="1"/>
    <n v="3"/>
    <x v="1"/>
    <x v="1"/>
    <x v="2"/>
    <x v="1"/>
    <x v="2"/>
    <x v="4"/>
    <n v="2"/>
    <x v="1"/>
    <x v="2"/>
    <x v="1"/>
    <x v="2"/>
    <x v="3"/>
    <n v="1"/>
    <x v="2"/>
    <x v="2"/>
    <n v="1"/>
    <s v="Local NGO(s)/CSO(s)"/>
    <m/>
    <m/>
    <x v="1"/>
    <m/>
    <m/>
    <s v="Les associations villageoises (VSLA)"/>
    <m/>
    <m/>
    <s v="Investir dans les adolescentes est le meilleur moyen de développer un pays. CARE International a organisé une compétition de femmes entrepreneurs rôles modèles. Ces femmes ont été élus par les femmes elles-mêmes et la majorité des gagnantes étaient celles qui avaient participé dans les VSLA depuis un âge relativement jeunes. Elles sont plus innovatrices et dynamiques en matière d’entreprenariat."/>
    <s v="La majorité des problèmes auxquels font face les filles est les iniquités genre, des grossesses non désirées dus à des abus, l’impossibilité pour les filles d’être propriétaire de biens et le mariage précoce. Pour assurer l’empowerment économique, la méthodologie VSLA doit inclure des activités liées à la transformation des relations de genre."/>
    <m/>
    <m/>
    <m/>
    <n v="1836"/>
    <n v="9363"/>
    <n v="5.0996732026143787"/>
    <n v="1"/>
    <n v="0.50197586243725301"/>
    <n v="1836"/>
    <n v="4700"/>
    <s v=""/>
    <n v="0"/>
    <n v="0"/>
    <s v=""/>
    <s v=""/>
    <n v="0"/>
    <n v="0"/>
    <s v=""/>
    <s v=""/>
    <n v="0"/>
    <n v="0"/>
    <s v=""/>
    <s v=""/>
    <n v="0"/>
    <n v="0"/>
    <s v=""/>
    <n v="1"/>
    <n v="1836"/>
    <n v="9363"/>
    <n v="5.0996732026143787"/>
    <s v="1. Neutral"/>
    <s v="1. Tokenistic"/>
    <s v="1. Neutral"/>
    <s v="It tested new ways for fighting poverty, but did not measure results of innovation"/>
    <s v="Little or no advocacy"/>
    <s v="It linked and worked with strategic alliances and partners to take tested and effective solutions to scale"/>
  </r>
  <r>
    <x v="8"/>
    <x v="3"/>
    <m/>
    <s v="Le projet INTORE 2"/>
    <s v="Burundi"/>
    <s v="AT573"/>
    <s v="CARE Österreich"/>
    <s v="Foundation"/>
    <s v="Other"/>
    <s v="PORKAR Foundation"/>
    <m/>
    <m/>
    <m/>
    <m/>
    <m/>
    <m/>
    <m/>
    <m/>
    <m/>
    <m/>
    <m/>
    <m/>
    <m/>
    <m/>
    <m/>
    <m/>
    <m/>
    <m/>
    <m/>
    <m/>
    <m/>
    <m/>
    <m/>
    <m/>
    <m/>
    <m/>
    <m/>
    <m/>
    <m/>
    <m/>
    <m/>
    <m/>
    <m/>
    <m/>
    <m/>
    <m/>
    <m/>
    <m/>
    <m/>
    <m/>
    <m/>
    <m/>
    <m/>
    <m/>
    <m/>
    <d v="2016-05-01T00:00:00"/>
    <d v="2019-04-30T00:00:00"/>
    <m/>
    <s v="Development Other"/>
    <m/>
    <s v="Laurent UWUMUREMYI"/>
    <s v="Country Director"/>
    <s v="Laurent.Uwumuremyi@care.org"/>
    <s v="Domitille NTACOBAKINVUNA"/>
    <s v="Team Leader"/>
    <s v="Domitille.Ntacobakimvuna@care.org"/>
    <s v="NO"/>
    <s v="YES"/>
    <s v="NO"/>
    <s v="Contribuer à l'établissement d'un environnement éducatif et reacréatif pour les enfants orphelins et vulnérables"/>
    <s v="Sub-National"/>
    <s v="Le projet Intore 2 travaille es provinces de Bujumbura Mairie (les communes de Muha et Ntahangwa) et dans la province Gitega (les communes de Giheta et Itaba)"/>
    <s v="Les enfants orphelins et vulnérables et autres enfants non accompagnés"/>
    <n v="2000"/>
    <n v="2000"/>
    <n v="4000"/>
    <n v="41600"/>
    <n v="38400"/>
    <n v="80000"/>
    <s v="Les participants directs (4000) et indirects (80000) sont déjà précisés dans le document de projet."/>
    <m/>
    <m/>
    <m/>
    <m/>
    <m/>
    <m/>
    <m/>
    <m/>
    <m/>
    <m/>
    <m/>
    <m/>
    <m/>
    <m/>
    <m/>
    <m/>
    <m/>
    <m/>
    <m/>
    <m/>
    <m/>
    <m/>
    <m/>
    <m/>
    <m/>
    <m/>
    <m/>
    <m/>
    <m/>
    <m/>
    <m/>
    <m/>
    <m/>
    <m/>
    <m/>
    <m/>
    <m/>
    <m/>
    <m/>
    <m/>
    <m/>
    <m/>
    <m/>
    <m/>
    <m/>
    <m/>
    <m/>
    <m/>
    <m/>
    <m/>
    <m/>
    <m/>
    <m/>
    <m/>
    <m/>
    <m/>
    <m/>
    <m/>
    <m/>
    <m/>
    <n v="1280"/>
    <n v="1180"/>
    <n v="2460"/>
    <n v="25584"/>
    <n v="23616"/>
    <n v="49200"/>
    <s v="YES"/>
    <n v="360"/>
    <n v="0.52"/>
    <n v="6400"/>
    <s v="NO"/>
    <m/>
    <m/>
    <m/>
    <s v="NO"/>
    <m/>
    <m/>
    <m/>
    <s v="NO"/>
    <m/>
    <m/>
    <m/>
    <s v="NO"/>
    <m/>
    <m/>
    <m/>
    <s v="NO"/>
    <m/>
    <m/>
    <m/>
    <s v="NO"/>
    <m/>
    <m/>
    <m/>
    <s v="NO"/>
    <m/>
    <m/>
    <m/>
    <s v="NO"/>
    <m/>
    <m/>
    <m/>
    <s v="NO"/>
    <m/>
    <m/>
    <m/>
    <s v="NO"/>
    <m/>
    <m/>
    <m/>
    <s v="NO"/>
    <m/>
    <m/>
    <m/>
    <s v="NO"/>
    <m/>
    <m/>
    <m/>
    <s v="NO"/>
    <m/>
    <m/>
    <m/>
    <s v="NO"/>
    <m/>
    <m/>
    <m/>
    <s v="NO"/>
    <m/>
    <m/>
    <m/>
    <s v="Encadrement des jeunes par des activités socio-culturelles et sportives"/>
    <s v="YES"/>
    <n v="2000"/>
    <n v="0.5"/>
    <m/>
    <s v="NO"/>
    <m/>
    <m/>
    <s v="NO"/>
    <s v="NO"/>
    <m/>
    <m/>
    <m/>
    <x v="0"/>
    <s v="NO"/>
    <s v="NO"/>
    <s v="NO"/>
    <s v="NO"/>
    <s v="NO"/>
    <s v="NO"/>
    <s v="NO"/>
    <s v="NO"/>
    <m/>
    <x v="1"/>
    <s v="L'approche aménagement des kitchen garden dans les ménages urbains est une innovation qui permet à ces ménages de valoriser les espaces des parcelles et le matériel getable ou usager pour produire des légumes. c'est aussi une stratégie qui permet aux ménages d'équilibrer l'alimentation. C'est un apprentissage car ces ménages ne savaient que cela était possible."/>
    <x v="0"/>
    <m/>
    <x v="1"/>
    <x v="0"/>
    <s v="YES"/>
    <x v="0"/>
    <x v="0"/>
    <x v="1"/>
    <x v="1"/>
    <n v="3"/>
    <x v="1"/>
    <x v="1"/>
    <x v="2"/>
    <x v="1"/>
    <x v="2"/>
    <x v="4"/>
    <n v="2"/>
    <x v="1"/>
    <x v="1"/>
    <x v="2"/>
    <x v="2"/>
    <x v="3"/>
    <n v="1"/>
    <x v="2"/>
    <x v="1"/>
    <m/>
    <s v="Local government(s)"/>
    <m/>
    <m/>
    <x v="3"/>
    <m/>
    <m/>
    <s v="L'implication des services techniques étatiques tels que les enseignants, les techniciens agronomes dans la mise en oeuvre des activités du projet"/>
    <s v="La sensibilisation des jeunes à travers les activités socio-culturelles et sportives"/>
    <m/>
    <s v="La stratégie d'utiliser les activités socio-culturelles et sportives dans la sensibilisation des jeunes permet de toucher beaucoup de personnes et de transmettre les messages très faciliement. C'est une stratégie très adaptée à la communauté rurale."/>
    <s v="L'approche kitchnen garden est très adaptée dans les villes où il n'y a pas des espaces cultivables et est en train de pemettre aux ménages des élèves du milieu urbain de produire des légumes pour équilibrer l'alimentation."/>
    <m/>
    <m/>
    <m/>
    <n v="2460"/>
    <n v="49200"/>
    <n v="20"/>
    <n v="0.52032520325203258"/>
    <n v="0.52"/>
    <n v="1280"/>
    <n v="25584"/>
    <s v=""/>
    <n v="0"/>
    <n v="0"/>
    <s v=""/>
    <n v="1"/>
    <n v="360"/>
    <n v="6400"/>
    <n v="17.777777777777779"/>
    <s v=""/>
    <n v="0"/>
    <n v="0"/>
    <s v=""/>
    <s v=""/>
    <n v="0"/>
    <n v="0"/>
    <s v=""/>
    <s v=""/>
    <n v="0"/>
    <n v="0"/>
    <s v=""/>
    <s v="1. Neutral"/>
    <s v="1. Tokenistic"/>
    <s v="1. Neutral"/>
    <s v="It tested new ways for fighting poverty, but did not measure results of innovation"/>
    <s v="Little or no advocacy"/>
    <s v="It did not take tested solutions to scale"/>
  </r>
  <r>
    <x v="8"/>
    <x v="3"/>
    <m/>
    <s v="NARATEYINTAMBWE &quot;I MADE A STEP FORWARD&quot;"/>
    <s v="Burundi"/>
    <s v="NL798"/>
    <s v="CARE Nederland"/>
    <s v="Foundation"/>
    <s v="Other"/>
    <s v="H&amp;M Conscious Foundation"/>
    <m/>
    <m/>
    <m/>
    <m/>
    <m/>
    <m/>
    <m/>
    <m/>
    <m/>
    <m/>
    <m/>
    <m/>
    <m/>
    <m/>
    <m/>
    <m/>
    <m/>
    <m/>
    <m/>
    <m/>
    <m/>
    <m/>
    <m/>
    <m/>
    <m/>
    <m/>
    <m/>
    <m/>
    <m/>
    <m/>
    <m/>
    <m/>
    <m/>
    <m/>
    <m/>
    <m/>
    <m/>
    <m/>
    <m/>
    <m/>
    <m/>
    <m/>
    <m/>
    <m/>
    <m/>
    <d v="2016-03-01T00:00:00"/>
    <d v="2017-01-31T00:00:00"/>
    <m/>
    <s v="Development Access to and Control over Economic Resources"/>
    <n v="146438"/>
    <s v="Laurent UWUMUREMYI"/>
    <s v="Country Director"/>
    <s v="Laurent.Uwumuremyi@care.org"/>
    <s v="NINON NDAYIKENGURUKIYE"/>
    <s v="Communications and Advocacy Advisor"/>
    <s v="Ninon.Ndayikengurukiye@care.org"/>
    <s v="NO"/>
    <s v="YES"/>
    <s v="NO"/>
    <s v="Le projet a été mis en œuvre dans 6 provinces du Burundi ( Gitega, Ngozi, Kayanza, Muyinga, Bujumbura Mairie et Rumonge)"/>
    <s v="Sub-National"/>
    <s v="Le projet était mis en œuvre dans les 6 provinces de la zone d'action de GEWEP  ( Provinces Gitega, Ngozi, Kayanza, Muyinga, Kirundo et Bujumbura rural) et dans deux autres provinces ( Mairie de Bujumbura et Rumonge)"/>
    <s v="Le projet était mis en œuvre dans les 6 provinces de la zone d'action de GEWEP  ( Provinces Gitega, Ngozi, Kayanza, Muyinga, Kirundo et Bujumbura rural) et dans deux autres provinces ( Mairie de Bujumbura et Rumonge)"/>
    <n v="268175"/>
    <m/>
    <n v="268175"/>
    <n v="659257"/>
    <n v="557200"/>
    <n v="1216457"/>
    <s v="Les participants directs étaient estimés dans le document de projet donc les 600000 femmes touchées par la campagne et 3.000.000 participants indirects. Toutefois, pour calculer les participants indirects atteints pendant la mise en œuvre du projet, nous avons considéré la population adulte totale vivant dans la zone d'intervention. Selon les données des études existantes, 80% des ménages ont un poste radio. Nous avons alors appliqué le taux de 80% à la population totale et nous avons appliqué les proportions hommes femmes (52% femmes et 48% hommes)_x000a_Direct Participants for this NARATEYINTAMBWE are reported zero as project GEWEP already covers ALL direct participants for this project. Specific figures of direct participants for this FY, for this project alone, would have included:_x000a_Total women&amp;girsl 115,288   Men&amp;boys  85,052   Total 200,340_x000a_WEE total direct 200,340"/>
    <m/>
    <m/>
    <m/>
    <m/>
    <m/>
    <m/>
    <m/>
    <m/>
    <m/>
    <m/>
    <m/>
    <m/>
    <m/>
    <m/>
    <m/>
    <m/>
    <m/>
    <m/>
    <m/>
    <m/>
    <m/>
    <m/>
    <m/>
    <m/>
    <m/>
    <m/>
    <m/>
    <m/>
    <m/>
    <m/>
    <m/>
    <m/>
    <m/>
    <m/>
    <m/>
    <m/>
    <m/>
    <m/>
    <m/>
    <m/>
    <m/>
    <m/>
    <m/>
    <m/>
    <m/>
    <m/>
    <m/>
    <m/>
    <m/>
    <m/>
    <m/>
    <m/>
    <m/>
    <m/>
    <m/>
    <m/>
    <m/>
    <m/>
    <m/>
    <m/>
    <m/>
    <m/>
    <m/>
    <n v="1447231"/>
    <n v="1283081"/>
    <n v="2730312"/>
    <s v="NO"/>
    <m/>
    <m/>
    <m/>
    <s v="NO"/>
    <m/>
    <m/>
    <m/>
    <s v="NO"/>
    <m/>
    <m/>
    <m/>
    <s v="NO"/>
    <m/>
    <m/>
    <m/>
    <s v="NO"/>
    <m/>
    <m/>
    <m/>
    <s v="NO"/>
    <m/>
    <m/>
    <m/>
    <s v="NO"/>
    <m/>
    <m/>
    <m/>
    <s v="NO"/>
    <m/>
    <m/>
    <m/>
    <s v="NO"/>
    <m/>
    <m/>
    <m/>
    <s v="NO"/>
    <m/>
    <m/>
    <m/>
    <s v="NO"/>
    <m/>
    <m/>
    <m/>
    <s v="NO"/>
    <m/>
    <m/>
    <m/>
    <s v="NO"/>
    <m/>
    <m/>
    <m/>
    <s v="NO"/>
    <m/>
    <m/>
    <m/>
    <s v="NO"/>
    <m/>
    <m/>
    <m/>
    <s v="YES"/>
    <m/>
    <m/>
    <n v="2730312"/>
    <m/>
    <m/>
    <m/>
    <m/>
    <m/>
    <s v="NO"/>
    <m/>
    <m/>
    <s v="NO"/>
    <s v="NO"/>
    <m/>
    <m/>
    <m/>
    <x v="0"/>
    <s v="NO"/>
    <s v="YES"/>
    <s v="YES"/>
    <s v="YES"/>
    <s v="NO"/>
    <s v="NO"/>
    <s v="NO"/>
    <s v="NO"/>
    <m/>
    <x v="1"/>
    <s v="Nous avons appris pendant la mise en œuvre du projet qu'on ne peut pas promouvoir l'entreprenariat avec les femmes sans travailler sur les barrières socio-culturelles. Les hommes (les maris des femmes) bloquent les femmes à développer l'entreprenariat, ce qui causent beaucoup de conflit et déteriore les relations hommes-femmes. Nous avons organisé des formations sur le genre transformatif à l'endroit des couples et nous avons eu des résultats extraordinaires à la fin du projet. Cette activité n'était pas prévu dans le budget, nous avons exprimé sa nécessité et le bailleur nous a accordé un budget supplémentaire pour conduire l'activité."/>
    <x v="1"/>
    <s v="L'approche des rôles modèles est une solution pour faire l'extension de NAWE NUZE à grande l'échelle. Avec un seul jour de road show, un minimun de 2 VSLA ont été créés.  Les médias, les organisations féminines, les autorités publiques et les représentants de la communauté ont été impliqués"/>
    <x v="1"/>
    <x v="1"/>
    <s v="YES"/>
    <x v="0"/>
    <x v="0"/>
    <x v="1"/>
    <x v="4"/>
    <n v="3"/>
    <x v="2"/>
    <x v="1"/>
    <x v="1"/>
    <x v="1"/>
    <x v="1"/>
    <x v="2"/>
    <n v="4"/>
    <x v="1"/>
    <x v="2"/>
    <x v="1"/>
    <x v="2"/>
    <x v="3"/>
    <n v="1"/>
    <x v="2"/>
    <x v="2"/>
    <n v="2"/>
    <s v="Media or journalist network(s)"/>
    <s v="Local NGO(s)/CSO(s)"/>
    <s v="Local government(s)"/>
    <x v="1"/>
    <s v="La subvention des activités de deux organisations partenaires de mise en œuvre et renforcement des capacités sur la gestion financière."/>
    <s v="Le lobbying et plaidoyer ne faisaient pas partie des activités ciblées par le projet, mais cela a été faite suite aux réflexions faites avec les partenaires et les femmes modèles."/>
    <s v="L'approche VSLA"/>
    <s v="La participation communautaire"/>
    <m/>
    <s v="L'implication de la communauté, les organisations féminines, les IMFs, les autorités locales dans le choix des femmes rôles modèles était une excellente idée  car cela nous a permis d'obtenir les profils qui reflètent le visage réel des femmes entrepreneuses burundaises. Nous avons pu avoir une jeune fille, les divorcées, les veuve, femmes mariées, mère célibataire"/>
    <s v="L'utilisation des panneaux publicitaires avec des photos des femmes rôles modèles ont été aussi un succès car dans chaque place, il y a eu au moins 2 nouveau VSLA crées"/>
    <s v="L'approche rôles modèles a été très innovatrice, elle a pu rappeler aux femmes entrepreneuses leur rôle dans la communauté d'aider les autres femmes à devenir des entrepreneurs. Un mois après leur élection, chaque modèle avait au minimum 40 femmes qu'elles entraînaient/coaching."/>
    <s v="Direct Participants for this NARATEYINTAMBWE are reported zero as project GEWEP already covers ALL direct participants for this project. Specific figures of direct participants for this FY, for this project alone, would have included:_x000a_Total women&amp;girsl 115,288   Men&amp;boys  85,052   Total 200,340_x000a_WEE total direct 200,340_x000a_"/>
    <m/>
    <n v="0"/>
    <n v="2730312"/>
    <s v=""/>
    <s v=""/>
    <n v="0.53006066705929578"/>
    <n v="0"/>
    <n v="1447231"/>
    <s v=""/>
    <n v="0"/>
    <n v="0"/>
    <s v=""/>
    <s v=""/>
    <n v="0"/>
    <n v="0"/>
    <s v=""/>
    <s v=""/>
    <n v="0"/>
    <n v="0"/>
    <s v=""/>
    <s v=""/>
    <n v="0"/>
    <n v="0"/>
    <s v=""/>
    <n v="1"/>
    <n v="0"/>
    <n v="2730312"/>
    <s v=""/>
    <s v="3. Responsive"/>
    <s v="4. Transformational"/>
    <s v="1. Neutral"/>
    <s v="It tested new ways for fighting poverty, but did not measure results of innovation"/>
    <s v="Little or no advocacy"/>
    <s v="It linked and worked with strategic alliances and partners to take tested and effective solutions to scale"/>
  </r>
  <r>
    <x v="8"/>
    <x v="3"/>
    <m/>
    <s v="Programme Conjoint d'amélioration de la Santé sexuelle et reproductive des adolescents et des jeunes: MENYUMENYESHE"/>
    <s v="Burundi"/>
    <s v="NL199"/>
    <s v="CARE Nederland"/>
    <s v="Government"/>
    <s v="Government - Netherlands"/>
    <s v="Ministry of Foreign Affairs of the Netherlands"/>
    <m/>
    <m/>
    <m/>
    <m/>
    <m/>
    <m/>
    <m/>
    <m/>
    <m/>
    <m/>
    <m/>
    <m/>
    <m/>
    <m/>
    <m/>
    <m/>
    <m/>
    <m/>
    <m/>
    <m/>
    <m/>
    <m/>
    <m/>
    <m/>
    <m/>
    <m/>
    <m/>
    <m/>
    <m/>
    <m/>
    <m/>
    <m/>
    <m/>
    <m/>
    <m/>
    <m/>
    <m/>
    <m/>
    <m/>
    <m/>
    <m/>
    <m/>
    <m/>
    <m/>
    <m/>
    <d v="2015-12-31T00:00:00"/>
    <d v="2020-12-31T00:00:00"/>
    <m/>
    <s v="Development Sexual, Reproductive and Maternal Health (SRMH)"/>
    <n v="7342603"/>
    <s v="Laurent UWUMUREMYI"/>
    <s v="Country Director"/>
    <s v="Laurent.Uwumuremyi@care.org"/>
    <s v="Jacqueline NINTUNZE"/>
    <s v="Team Leader"/>
    <s v="Jacqueline.Nintunze@care.org"/>
    <s v="NO"/>
    <s v="YES"/>
    <s v="NO"/>
    <s v="Les adolescents et  jeunes de 10-24 ans du Burundi sont autonomes (empowered) et jouissent d'une bonne santé sexuelle et reproductive"/>
    <s v="Sub-National"/>
    <s v="La zone d'intervention de CARE s'etend sur 65 communes de 8 provinces: Bujumbura Mairie, Bujumbura Rural, Bubanza, Cibitoke, Gitega, Kayanza, Muyinga et Kirundo"/>
    <s v="Les adolescents et les  jeunes  scolarisés et non scolarisés de 10-24 ans"/>
    <n v="288217"/>
    <n v="266047"/>
    <n v="554264"/>
    <n v="1441085"/>
    <n v="1330233"/>
    <n v="2771318"/>
    <s v="Les participants directs  ont ete calculés sur base des personnes cibles qui participent directement lors de nos activites: ils incluent les enseignants; les prestataires de services de sante, les parents, les leaders ad,inistratifs, communautaires, leaders religieux mais surtout les jeunes pairs educateurs de 10-24 ans. Pour calculer les participants indirects, nous nous referons au recessement national qui montrent que la taille du menage est de 5.1 et nous avons suppose qu'une personne touches directement peut toucher au moins les membres de son menage. Par après, pour calculer le pourcentage Homme/Femmes , nous avons utilise le pourecentage de la population generale du burundi ou 52% sont des femmes et 48% sont des hommes"/>
    <m/>
    <m/>
    <m/>
    <m/>
    <m/>
    <m/>
    <m/>
    <m/>
    <m/>
    <m/>
    <m/>
    <m/>
    <m/>
    <m/>
    <m/>
    <m/>
    <m/>
    <m/>
    <m/>
    <m/>
    <m/>
    <m/>
    <m/>
    <m/>
    <m/>
    <m/>
    <m/>
    <m/>
    <m/>
    <m/>
    <m/>
    <m/>
    <m/>
    <m/>
    <m/>
    <m/>
    <m/>
    <m/>
    <m/>
    <m/>
    <m/>
    <m/>
    <m/>
    <m/>
    <m/>
    <m/>
    <m/>
    <m/>
    <m/>
    <m/>
    <m/>
    <m/>
    <m/>
    <m/>
    <m/>
    <m/>
    <m/>
    <m/>
    <m/>
    <m/>
    <n v="82835"/>
    <n v="23494"/>
    <n v="106329"/>
    <n v="414175"/>
    <n v="117470"/>
    <n v="531645"/>
    <s v="NO"/>
    <m/>
    <m/>
    <m/>
    <s v="NO"/>
    <m/>
    <m/>
    <m/>
    <s v="NO"/>
    <m/>
    <m/>
    <m/>
    <s v="NO"/>
    <m/>
    <m/>
    <m/>
    <s v="NO"/>
    <m/>
    <m/>
    <m/>
    <s v="NO"/>
    <m/>
    <m/>
    <m/>
    <s v="NO"/>
    <m/>
    <m/>
    <m/>
    <s v="YES"/>
    <n v="2251"/>
    <n v="0.48199999999999998"/>
    <n v="11255"/>
    <s v="NO"/>
    <m/>
    <m/>
    <m/>
    <s v="NO"/>
    <m/>
    <m/>
    <m/>
    <s v="NO"/>
    <m/>
    <m/>
    <m/>
    <s v="NO"/>
    <m/>
    <m/>
    <m/>
    <s v="NO"/>
    <m/>
    <m/>
    <m/>
    <s v="YES"/>
    <n v="88536"/>
    <n v="0.8"/>
    <n v="442680"/>
    <s v="NO"/>
    <m/>
    <m/>
    <m/>
    <s v="NO"/>
    <m/>
    <m/>
    <m/>
    <m/>
    <s v="NO"/>
    <m/>
    <m/>
    <m/>
    <s v="YES"/>
    <s v="February"/>
    <n v="2017"/>
    <s v="YES"/>
    <s v="NO"/>
    <m/>
    <m/>
    <m/>
    <x v="1"/>
    <s v="NO"/>
    <s v="NO"/>
    <s v="YES"/>
    <s v="YES"/>
    <s v="YES"/>
    <s v="YES"/>
    <s v="NO"/>
    <s v="NO"/>
    <m/>
    <x v="1"/>
    <s v="Approche de Reseautage socio-communautaire (Centre de Sante amis des Jeunes, les ecoles au tour, la communaute et l'administration) pour ameliorer la sante sexuelle et reproductive des jeunes: … L'autre innovation c'est la frabrication des serviettes hygieniques lavables et reutilisables  pour la periode menstruelle des jeunes filles des clubs scolaires."/>
    <x v="1"/>
    <s v="Reseautage socio communautaire et Serviette hygienique dans les ecoles"/>
    <x v="1"/>
    <x v="1"/>
    <s v="YES"/>
    <x v="0"/>
    <x v="0"/>
    <x v="0"/>
    <x v="2"/>
    <n v="4"/>
    <x v="1"/>
    <x v="1"/>
    <x v="2"/>
    <x v="1"/>
    <x v="2"/>
    <x v="4"/>
    <n v="2"/>
    <x v="2"/>
    <x v="1"/>
    <x v="1"/>
    <x v="1"/>
    <x v="2"/>
    <n v="3"/>
    <x v="2"/>
    <x v="2"/>
    <n v="6"/>
    <s v="Local NGO(s)/CSO(s)"/>
    <s v="National government"/>
    <s v="International NGO(s)"/>
    <x v="0"/>
    <s v="Renforcement des capacités institutionnelles et fonctionnelles  en terme de foctionnement des bureaux des organisations partenaires et des formations adaptées en fonction des besoins pour l'implementation du projet"/>
    <m/>
    <s v="Les association VSLA comme porte d'entrée pour renforcer les jeunes en Santé sexuelle et reproductive des adolescents et des jeunes"/>
    <s v="Deux approches  ''Le Monde Commence par Moi'' et SASA, "/>
    <s v="Le Réseautage Socio-Communautaire (le réseau école, communauté et centre de santé Amis des Jeunes)"/>
    <s v="Si tu veux avoir des changements dans l'adoption du comporment sexuel et reproductif responsable, on doit former un réseau des différents acteurs pour créer un espace de d'échange/discussion entre les adultes et les jeunes. Cela pemet de casser les tabous, des créer des interactions et d'adresser les normes socio-culturelles autour de la santé sexuelle et reproductive chez les jeunes."/>
    <s v="L'implication des Ministères techniques, des organisations nationales et internationales et les jeunes est un élement crucial pour la réussite et la durabilité des interventions dans le domaine aussi sensible  de la promotion de la santé sexuelle et reproductive des jeunes."/>
    <s v="Si on veut que les jeunes participent avec intérêt dans les activités de santé sexuelle et reproductive, on doit utiliser des stratégies et des outils attractifs (théatres interactifs, musiques, SMS, ....)"/>
    <m/>
    <m/>
    <n v="106329"/>
    <n v="531645"/>
    <n v="5"/>
    <n v="0.77904428707125994"/>
    <n v="0.77904428707125994"/>
    <n v="82835"/>
    <n v="414175"/>
    <s v=""/>
    <n v="0"/>
    <n v="0"/>
    <s v=""/>
    <s v=""/>
    <n v="0"/>
    <n v="0"/>
    <s v=""/>
    <n v="1"/>
    <n v="88536"/>
    <n v="442680"/>
    <n v="5"/>
    <n v="1"/>
    <n v="2251"/>
    <n v="11255"/>
    <n v="5"/>
    <s v=""/>
    <n v="0"/>
    <n v="0"/>
    <s v=""/>
    <s v="4. Transformative"/>
    <s v="1. Tokenistic"/>
    <s v="0. Harmful"/>
    <s v="It tested new ways for fighting poverty, but did not measure results of innovation"/>
    <s v="Moderate advocacy"/>
    <s v="It linked and worked with strategic alliances and partners to take tested and effective solutions to scale"/>
  </r>
  <r>
    <x v="8"/>
    <x v="3"/>
    <m/>
    <s v="Promoting Opportunities for Women's economic Emporment  In Rural Africa (POWER Africa)"/>
    <s v="Burundi"/>
    <s v="CA305"/>
    <s v="CARE Canada"/>
    <s v="Foundation"/>
    <s v="Other"/>
    <s v="MasterCard Foundation"/>
    <m/>
    <m/>
    <m/>
    <m/>
    <m/>
    <m/>
    <m/>
    <m/>
    <m/>
    <m/>
    <m/>
    <m/>
    <m/>
    <m/>
    <m/>
    <m/>
    <m/>
    <m/>
    <m/>
    <m/>
    <m/>
    <m/>
    <m/>
    <m/>
    <m/>
    <m/>
    <m/>
    <m/>
    <m/>
    <m/>
    <m/>
    <m/>
    <m/>
    <m/>
    <m/>
    <m/>
    <m/>
    <m/>
    <m/>
    <m/>
    <m/>
    <m/>
    <m/>
    <m/>
    <m/>
    <d v="2013-11-01T00:00:00"/>
    <d v="2017-12-31T00:00:00"/>
    <d v="2018-06-30T00:00:00"/>
    <s v="Development Access to and Control over Economic Resources"/>
    <n v="2386991"/>
    <s v="UWUMUREMYI Laurent"/>
    <s v="Directeur de CARE Burundi"/>
    <s v="Laurent.Uwumuremyi@care.org"/>
    <s v="NKURUNZIZA Nicedore"/>
    <s v="Economic Empowerment and VSLA Technical Advisor"/>
    <s v="Economic Empowerment and VSLA Technical Advisor"/>
    <s v="NO"/>
    <s v="YES"/>
    <s v="NO"/>
    <s v="Le Projet POWER- Africa  vise à accroître l'inclusion financière au Burundi à travers l’approche  VSLA construit  autour des groupes d’épargne et crédit et  sera une voie pour l'inclusion financière informelle et formelle"/>
    <s v="Multiple countries"/>
    <s v="Le projet Power-Africa intervient dans 7 provinces (Bujumbura, Gitega, Kayanza, Kirundo,Muyinga,Ngozi,  Rumonge) et dans 27 communes."/>
    <s v="Le groupe d'impact de Power-Africa est composé de 75 000 jeunes filles de 14 a 22 ans  et 25 000  femmes."/>
    <n v="100000"/>
    <n v="0"/>
    <n v="100000"/>
    <n v="265200"/>
    <n v="244800"/>
    <n v="510000"/>
    <s v="Les participants directs ce sont les jeunes filles adolescentes et les femmes. Quant aux participants indirects ce sont des membres des ménages dont sont issus les participants directs. Pour y arriver , il faut multiplier par 5.1 qui est la moyenne nationale des membres du ménage. Pour distinguer les participants femmes et hommes , nous avons tenu compte des réultats du recensement national à raison de 52 % femmes et 48% Hommes."/>
    <m/>
    <m/>
    <m/>
    <m/>
    <m/>
    <m/>
    <m/>
    <m/>
    <m/>
    <m/>
    <m/>
    <m/>
    <m/>
    <m/>
    <m/>
    <m/>
    <m/>
    <m/>
    <m/>
    <m/>
    <m/>
    <m/>
    <m/>
    <m/>
    <m/>
    <m/>
    <m/>
    <m/>
    <m/>
    <m/>
    <m/>
    <m/>
    <m/>
    <m/>
    <m/>
    <m/>
    <m/>
    <m/>
    <m/>
    <m/>
    <m/>
    <m/>
    <m/>
    <m/>
    <m/>
    <m/>
    <m/>
    <m/>
    <m/>
    <m/>
    <m/>
    <m/>
    <m/>
    <m/>
    <m/>
    <m/>
    <m/>
    <m/>
    <m/>
    <m/>
    <n v="123714"/>
    <m/>
    <n v="123714"/>
    <n v="328090"/>
    <n v="302581"/>
    <n v="630671"/>
    <s v="NO"/>
    <m/>
    <m/>
    <m/>
    <s v="NO"/>
    <m/>
    <m/>
    <m/>
    <s v="NO"/>
    <m/>
    <m/>
    <m/>
    <s v="NO"/>
    <m/>
    <m/>
    <m/>
    <s v="NO"/>
    <m/>
    <m/>
    <m/>
    <s v="NO"/>
    <m/>
    <m/>
    <m/>
    <s v="NO"/>
    <m/>
    <m/>
    <m/>
    <s v="NO"/>
    <m/>
    <m/>
    <m/>
    <s v="YES"/>
    <n v="123714"/>
    <n v="1"/>
    <n v="630941"/>
    <s v="NO"/>
    <m/>
    <m/>
    <m/>
    <s v="NO"/>
    <m/>
    <m/>
    <m/>
    <s v="NO"/>
    <m/>
    <m/>
    <m/>
    <s v="NO"/>
    <m/>
    <m/>
    <m/>
    <s v="NO"/>
    <m/>
    <m/>
    <m/>
    <s v="NO"/>
    <m/>
    <m/>
    <m/>
    <s v="YES"/>
    <n v="123714"/>
    <n v="1"/>
    <n v="630941"/>
    <m/>
    <m/>
    <m/>
    <m/>
    <m/>
    <s v="YES"/>
    <s v="November"/>
    <n v="2016"/>
    <s v="NO"/>
    <s v="YES"/>
    <s v="November"/>
    <n v="2017"/>
    <s v="L'evaluation se basera sur des indicatteurs du programme de CARE Burundi."/>
    <x v="1"/>
    <s v="YES"/>
    <s v="NO"/>
    <s v="YES"/>
    <s v="YES"/>
    <s v="YES"/>
    <s v="NO"/>
    <s v="NO"/>
    <s v="YES"/>
    <m/>
    <x v="2"/>
    <s v="L'innovation est liée à la connexion des groupes communautaires d'épargne et crédit aux institutions de micro-finance pour accroître le capital des membres des personnes vulnérables."/>
    <x v="1"/>
    <s v="Les solutions testées sont liées à l'utilisation du mobile banking au niveau communautaire dans la connexion des groupes aux IMFs."/>
    <x v="1"/>
    <x v="1"/>
    <s v="YES"/>
    <x v="0"/>
    <x v="1"/>
    <x v="1"/>
    <x v="4"/>
    <n v="2"/>
    <x v="1"/>
    <x v="1"/>
    <x v="2"/>
    <x v="1"/>
    <x v="2"/>
    <x v="4"/>
    <n v="2"/>
    <x v="2"/>
    <x v="1"/>
    <x v="1"/>
    <x v="1"/>
    <x v="2"/>
    <n v="3"/>
    <x v="2"/>
    <x v="2"/>
    <n v="1"/>
    <s v="Grassroots organization(s)"/>
    <s v="Local government(s)"/>
    <s v="Local NGO(s)/CSO(s)"/>
    <x v="0"/>
    <s v="Octroi des subventions, renforcement des capacités sur des thématiques diverses telles que:  les outils de connexion  et  l'entreprenariat."/>
    <s v="La connexion  des groupes  VSLA aux services financiers formels a commence  alors wuelle n'etait pas palanifiee pour donner acces aux finances pour les plus vulnerabless"/>
    <s v="Reseautage des agents encadreurs des VSLA au niveau de chaque commune"/>
    <s v="L'implication des hommes et garçons pour l'empowerment économique des femmes et filles."/>
    <s v="La connexion  des groupes  VSLA aux services financiers formels et adaptation des produits financiers aux groupes VSLAs"/>
    <s v="La mise en réseau des agents encadreurs des VSLAs au niveau communal a réduit sensiblement le coût du modèle VSLAs (diminution des staffs rémunérés) et une appropriation du modèle par les filles. Cela a permis aussi aux VSLAs d'être plus efficaces à cause du suivi de proximité des groupes. C'est une stratégie de durabilité parce qu'ils vont continuer les VSLAs après le projet et vont constituer des réseaux forts de plaidoyer."/>
    <s v="La connexion des VSLAs aux IMFs nécessite une mise en place des produits adaptés aux groupes d'impacts (aux populations vulnérables qui dorénavant n'avait pas à ces institutions bancaires)."/>
    <m/>
    <m/>
    <m/>
    <n v="123714"/>
    <n v="630671"/>
    <n v="5.0978143136589233"/>
    <n v="1"/>
    <n v="0.5202236982515448"/>
    <n v="123714"/>
    <n v="328090"/>
    <s v=""/>
    <n v="0"/>
    <n v="0"/>
    <s v=""/>
    <s v=""/>
    <n v="0"/>
    <n v="0"/>
    <s v=""/>
    <s v=""/>
    <n v="0"/>
    <n v="0"/>
    <s v=""/>
    <s v=""/>
    <n v="0"/>
    <n v="0"/>
    <s v=""/>
    <n v="1"/>
    <n v="123714"/>
    <n v="630941"/>
    <n v="5.0999967667361821"/>
    <s v="3. Responsive"/>
    <s v="1. Tokenistic"/>
    <s v="0. Harmful"/>
    <s v="It tested new ways for fighting poverty and measured results of innovation"/>
    <s v="Moderate advocacy"/>
    <s v="It linked and worked with strategic alliances and partners to take tested and effective solutions to scale"/>
  </r>
  <r>
    <x v="8"/>
    <x v="3"/>
    <m/>
    <s v="Renforcement des Organisations de la Société Civile pour accroître leur contribution au processus de gouvernance et au développement"/>
    <s v="Burundi"/>
    <s v="NO105"/>
    <s v="CARE Norge"/>
    <s v="Multilateral agency"/>
    <s v="EU - European Union (other than ECHO)"/>
    <s v="EU"/>
    <m/>
    <m/>
    <m/>
    <m/>
    <m/>
    <m/>
    <m/>
    <m/>
    <m/>
    <m/>
    <m/>
    <m/>
    <m/>
    <m/>
    <m/>
    <m/>
    <m/>
    <m/>
    <m/>
    <m/>
    <m/>
    <m/>
    <m/>
    <m/>
    <m/>
    <m/>
    <m/>
    <m/>
    <m/>
    <m/>
    <m/>
    <m/>
    <m/>
    <m/>
    <m/>
    <m/>
    <m/>
    <m/>
    <m/>
    <m/>
    <m/>
    <m/>
    <m/>
    <m/>
    <m/>
    <d v="2016-12-01T00:00:00"/>
    <d v="2018-11-30T00:00:00"/>
    <m/>
    <s v="Development Other"/>
    <n v="1000243"/>
    <s v="NDAYIRAGIJE Rémy"/>
    <s v="Consortium Team Leader"/>
    <s v="Remy.Ndayiragije@care.org"/>
    <s v="UWUMUREMYI Laurent"/>
    <s v="Directeur Pays"/>
    <s v="Laurent.Uwumuremyi@care.org"/>
    <s v="NO"/>
    <s v="YES"/>
    <s v="NO"/>
    <s v="Les OSC burundaises sont des partenaires efficaces et reconnues en matière de Plaidoyer et lobbying dans le domaine de la bonne gouvernance, des droits de l'Homme et dans la livraison de services aux communautés"/>
    <s v="Sub-National"/>
    <s v="Le projet est mis en œuvre dans toutes les 18 provinces du pays mais CARE intervient dans 7 provinces qui sont Kayanza, Ngozi, Muyinga, Kirundo, Mwaro, Muramvya et Gitega"/>
    <s v="Le groupe d'impact est constitué des organisations de la société civile"/>
    <n v="435"/>
    <n v="564"/>
    <n v="999"/>
    <n v="8710"/>
    <n v="11270"/>
    <n v="19980"/>
    <s v="Les participants directs sont des membres des structures des organisations de la société civile au Burundi enregistrées dans la base de données du Projet OSCAR; les participants indirects sont la société civile au sens large; les autorités locales, provinciales et nationales, les communautés touchées par les projets de développement, citoyens du Burundi affectés par les effets du plaidoyer"/>
    <m/>
    <m/>
    <m/>
    <m/>
    <m/>
    <m/>
    <m/>
    <m/>
    <m/>
    <m/>
    <m/>
    <m/>
    <m/>
    <m/>
    <m/>
    <m/>
    <m/>
    <m/>
    <m/>
    <m/>
    <m/>
    <m/>
    <m/>
    <m/>
    <m/>
    <m/>
    <m/>
    <m/>
    <m/>
    <m/>
    <m/>
    <m/>
    <m/>
    <m/>
    <m/>
    <m/>
    <m/>
    <m/>
    <m/>
    <m/>
    <m/>
    <m/>
    <m/>
    <m/>
    <m/>
    <m/>
    <m/>
    <m/>
    <m/>
    <m/>
    <m/>
    <m/>
    <m/>
    <m/>
    <m/>
    <m/>
    <m/>
    <m/>
    <m/>
    <m/>
    <m/>
    <m/>
    <m/>
    <m/>
    <m/>
    <m/>
    <m/>
    <m/>
    <m/>
    <m/>
    <m/>
    <m/>
    <m/>
    <m/>
    <m/>
    <m/>
    <m/>
    <m/>
    <m/>
    <m/>
    <m/>
    <m/>
    <m/>
    <m/>
    <m/>
    <m/>
    <m/>
    <m/>
    <m/>
    <m/>
    <m/>
    <m/>
    <m/>
    <m/>
    <m/>
    <m/>
    <m/>
    <m/>
    <m/>
    <m/>
    <m/>
    <m/>
    <m/>
    <m/>
    <m/>
    <m/>
    <m/>
    <m/>
    <m/>
    <m/>
    <m/>
    <m/>
    <m/>
    <m/>
    <m/>
    <m/>
    <m/>
    <m/>
    <m/>
    <m/>
    <m/>
    <m/>
    <m/>
    <m/>
    <m/>
    <m/>
    <m/>
    <m/>
    <m/>
    <m/>
    <m/>
    <m/>
    <m/>
    <m/>
    <m/>
    <s v="NO"/>
    <m/>
    <m/>
    <m/>
    <s v="NO"/>
    <m/>
    <m/>
    <m/>
    <x v="3"/>
    <m/>
    <m/>
    <m/>
    <m/>
    <m/>
    <m/>
    <m/>
    <m/>
    <m/>
    <x v="3"/>
    <m/>
    <x v="2"/>
    <m/>
    <x v="3"/>
    <x v="2"/>
    <m/>
    <x v="2"/>
    <x v="2"/>
    <x v="2"/>
    <x v="3"/>
    <n v="0"/>
    <x v="1"/>
    <x v="1"/>
    <x v="1"/>
    <x v="1"/>
    <x v="1"/>
    <x v="1"/>
    <n v="4"/>
    <x v="2"/>
    <x v="2"/>
    <x v="2"/>
    <x v="2"/>
    <x v="2"/>
    <n v="0"/>
    <x v="2"/>
    <x v="1"/>
    <m/>
    <m/>
    <m/>
    <m/>
    <x v="0"/>
    <s v="Identification des besoins en renforcement de capacites"/>
    <m/>
    <m/>
    <m/>
    <m/>
    <m/>
    <m/>
    <m/>
    <s v="Le projet a demarre au mois de decembre 2016 et donc coincidait avec le 2e semestre de l'annee fiscale en cours. Ce semestre a donc ete consacre aux diverses activites de demarrage et identification des besoins des organisations de la societe civile."/>
    <s v="cadre logique, Description de l'action"/>
    <n v="0"/>
    <n v="0"/>
    <s v=""/>
    <s v=""/>
    <s v=""/>
    <n v="0"/>
    <n v="0"/>
    <s v=""/>
    <n v="0"/>
    <n v="0"/>
    <s v=""/>
    <s v=""/>
    <n v="0"/>
    <n v="0"/>
    <s v=""/>
    <s v=""/>
    <n v="0"/>
    <n v="0"/>
    <s v=""/>
    <s v=""/>
    <n v="0"/>
    <n v="0"/>
    <s v=""/>
    <s v=""/>
    <n v="0"/>
    <n v="0"/>
    <s v=""/>
    <s v="No marker score"/>
    <s v="2. Accommodating"/>
    <s v="0. Harmful"/>
    <n v="0"/>
    <n v="0"/>
    <n v="0"/>
  </r>
  <r>
    <x v="8"/>
    <x v="3"/>
    <n v="3715"/>
    <s v="TERA INTAMBWE project (Kirundi for “Go ahead”)"/>
    <s v="Burundi"/>
    <s v="NL798"/>
    <s v="CARE Nederland"/>
    <s v="Foundation"/>
    <s v="Other"/>
    <s v="H&amp;M Conscious Foundation"/>
    <m/>
    <m/>
    <m/>
    <m/>
    <m/>
    <m/>
    <m/>
    <m/>
    <m/>
    <m/>
    <m/>
    <m/>
    <m/>
    <m/>
    <m/>
    <m/>
    <m/>
    <m/>
    <m/>
    <m/>
    <m/>
    <m/>
    <m/>
    <m/>
    <m/>
    <m/>
    <m/>
    <m/>
    <m/>
    <m/>
    <m/>
    <m/>
    <m/>
    <m/>
    <m/>
    <m/>
    <m/>
    <m/>
    <m/>
    <m/>
    <m/>
    <m/>
    <m/>
    <m/>
    <m/>
    <d v="2014-11-01T00:00:00"/>
    <d v="2016-10-31T00:00:00"/>
    <m/>
    <s v="Development Access to and Control over Economic Resources"/>
    <n v="132961"/>
    <s v="Laurent UWUMUREMYI"/>
    <s v="Country Director"/>
    <s v="Laurent.Uwumuremyi@care.org"/>
    <s v="Josée Ntabahungu"/>
    <s v="Team Leader"/>
    <s v="Josee.Ntabahungu@care.org"/>
    <s v="NO"/>
    <s v="YES"/>
    <s v="NO"/>
    <s v="Le projet TERA INTAMBWE permettra à 10 000 femmes entrepreneuses d'atteindre leur autonomisation économique et d'étendre leurs business."/>
    <s v="Sub-National"/>
    <s v="Le projet était mis en œuvre dans les 6 provinces de la zone d'action de GEWEP  ( Provinces Gitega, Ngozi, Kayanza, Muyinga, Kirundo et Bujumbura rural) et dans deux autres provinces ( Mairie de Bujumbura et Rumonge)"/>
    <s v="250 femmes (18-49 ans) dont 50% ne sont pas impliquées dans les projet de CARE), qui répondent aux critères, ont été sélectionnées pour un paquet maximun de services.      9750 femmes qui sont des participants dans les projets CARE inexistants, ont été identifiées à partir d'un groupe d'impact plus large et comprend: les femmes extrêmement pauvres et les femmes pauvres du milieu rurales des ménages économiquement marginalisés, ayant moins de 0,5 hectares de terres et sans accès ni contrôle d'autres sources de revenus."/>
    <n v="10000"/>
    <m/>
    <n v="10000"/>
    <n v="26520"/>
    <n v="24480"/>
    <n v="51000"/>
    <s v="Pour les participants directs, les membres sont déjà identifiés dans le document de projet, ce sont les participants dans les VSLA. Les proportions par sexe sont aussi connues. Pour les participants indirects, nous avons multipliés les membres par la taille du ménage donc la moyenne (5.1)._x000a_Participants for this project are reported zero as project GEWEP already covers ALL direct participants for this project and NARATEYINTAMBWE covers ALL indirect participants for this project. Specific figures of participants for this FY, for this project alone, would have included:_x000a_DIRECT women&amp;girsl 10,007  Men&amp;boys 0   Total  10,007   _x000a_INDIRECT women&amp;girsl 26,539  Men&amp;boys  24,497   Total 51,036_x000a_WEE  Direct 10,007  % women 100.00% Indirect  51,036_x000a__x000a_"/>
    <m/>
    <m/>
    <m/>
    <m/>
    <m/>
    <m/>
    <m/>
    <m/>
    <m/>
    <m/>
    <m/>
    <m/>
    <m/>
    <m/>
    <m/>
    <m/>
    <m/>
    <m/>
    <m/>
    <m/>
    <m/>
    <m/>
    <m/>
    <m/>
    <m/>
    <m/>
    <m/>
    <m/>
    <m/>
    <m/>
    <m/>
    <m/>
    <m/>
    <m/>
    <m/>
    <m/>
    <m/>
    <m/>
    <m/>
    <m/>
    <m/>
    <m/>
    <m/>
    <m/>
    <m/>
    <m/>
    <m/>
    <m/>
    <m/>
    <m/>
    <m/>
    <m/>
    <m/>
    <m/>
    <m/>
    <m/>
    <m/>
    <m/>
    <m/>
    <m/>
    <m/>
    <m/>
    <m/>
    <m/>
    <m/>
    <m/>
    <s v="NO"/>
    <m/>
    <m/>
    <m/>
    <s v="NO"/>
    <m/>
    <m/>
    <m/>
    <s v="NO"/>
    <m/>
    <m/>
    <m/>
    <s v="NO"/>
    <m/>
    <m/>
    <m/>
    <s v="YES"/>
    <n v="1007"/>
    <n v="1"/>
    <n v="51036"/>
    <s v="NO"/>
    <m/>
    <m/>
    <m/>
    <s v="NO"/>
    <m/>
    <m/>
    <m/>
    <s v="NO"/>
    <m/>
    <m/>
    <m/>
    <s v="NO"/>
    <m/>
    <m/>
    <m/>
    <s v="NO"/>
    <m/>
    <m/>
    <m/>
    <s v="NO"/>
    <m/>
    <m/>
    <m/>
    <s v="NO"/>
    <m/>
    <m/>
    <m/>
    <s v="NO"/>
    <m/>
    <m/>
    <m/>
    <s v="NO"/>
    <m/>
    <m/>
    <m/>
    <s v="NO"/>
    <m/>
    <m/>
    <m/>
    <s v="YES"/>
    <m/>
    <m/>
    <m/>
    <m/>
    <m/>
    <m/>
    <m/>
    <m/>
    <s v="YES"/>
    <s v="April"/>
    <n v="2016"/>
    <s v="YES"/>
    <s v="NO"/>
    <m/>
    <m/>
    <s v="L'évaluation du projet Terintambwe était plus qualitative. On a recueilli des histoires des changements significatifs des femmes entrepreuneuses et de leurs maris"/>
    <x v="0"/>
    <s v="NO"/>
    <s v="NO"/>
    <s v="NO"/>
    <s v="NO"/>
    <s v="NO"/>
    <s v="NO"/>
    <s v="NO"/>
    <s v="NO"/>
    <m/>
    <x v="1"/>
    <s v="Nous avons appris pendant la mise en œuvre du projet qu'on ne peut pas promouvoir l'entreprenariat avec les femmes sans travailler sur les barrières socio-culturelles. Les hommes (les maris des femmes) bloquent les femmes à développer l'entreprenariat, ce qui causent beaucoup de conflit et déteriore les relations hommes-femmes. Nous avons organisé des formations sur le genre transformatif à l'endroit des couples et nous avons eu des résultats extraordinaires à la fin du projet. Cette activité n'était pas prévu dans le budget, nous avons exprimé sa nécessité et le bailleur nous a accordé un budget supplémentaire pour conduire l'activité."/>
    <x v="0"/>
    <m/>
    <x v="1"/>
    <x v="1"/>
    <s v="YES"/>
    <x v="0"/>
    <x v="1"/>
    <x v="1"/>
    <x v="4"/>
    <n v="2"/>
    <x v="3"/>
    <x v="1"/>
    <x v="1"/>
    <x v="1"/>
    <x v="1"/>
    <x v="3"/>
    <n v="4"/>
    <x v="2"/>
    <x v="1"/>
    <x v="1"/>
    <x v="1"/>
    <x v="2"/>
    <n v="3"/>
    <x v="2"/>
    <x v="2"/>
    <n v="2"/>
    <s v="Local government(s)"/>
    <s v="Media or journalist network(s)"/>
    <s v="Private sector"/>
    <x v="0"/>
    <s v="La subvention des activités de deux organisations partenaires de mise en œuvre et renforcement des capacités sur la gestion financière."/>
    <s v="Au cours de la mise en œuvre du projet, les femmes ont exprimé les violences qu'elles subissent de la part de leurs maris et leurs inquiétudes de pouvoir avancer dans leur business sans sensibiliser leurs maris sur les normes de genre, les violences basées sur le genre, etc. Nous avons exprimé ces inquiétudes auprès du bailleur, il a acdepté de nous accordé un budget suplémentaire et nous avons alors intégré des activités sur le genre transformatif, les VBGs, etc. c'était des activités de formations et d'échanges pour les couples dont la femme est entrepreuneuse. A la fin, les hommes soutenaiet et appréciaient les entreprises de leurs femmes et les violences avaient sensiblement diminués;"/>
    <s v="L'approche VSLA"/>
    <s v="La connection des participantes aux IMFs et aux banques"/>
    <s v="Formation par pair"/>
    <s v="On ne peut pas espérer avoir des résultats dans le domaine de l'autonomisation économique de la femme sans impliquer leurs maris. Ils constituent des fois des blocages au développement de l'entreprenariat de leurs femmes à cause des normes socio-culturelles qui disent que quand une femme a plus d'argent que son mari, elle ne va plus le respecter, elle va se méconduire, etc."/>
    <s v="Nous avons appris que le renforcement des capacités entre pairs par le coaching et le mentorat est primordial pour renforcer l'esprit d'entreprise des femmes. Toutefois, le projet ne disposait pas d'un budget suffisant pour accroître l'échange d'expériences entre les 250 femmes ciblées comme coach entre elles; entre les 9750 femmes et entre  250 femmes et 9750 femmes."/>
    <s v="Le projet de TERA INTAMBWE aurait dû alloué plus de budget et du temps pour atteindre un cible important, compte tenu des besoins exprimés par les femmes, de la pertinence en termes d'autonomisation économique des femmes et de développement de l'esprit de l'entreprenariat féminin"/>
    <s v="Participants for this project are reported zero as project GEWEP already covers ALL direct participants for this project and NARATEYINTAMBWE covers ALL indirect participants for this project. Specific figures of participants for this FY, for this project alone, would have included:_x000a_DIRECT women&amp;girsl 10,007  Men&amp;boys 0   Total  10,007   _x000a_INDIRECT women&amp;girsl 26,539  Men&amp;boys  24,497   Total 51,036_x000a_WEE  Direct 10,007  % women 100.00% Indirect  51,036_x000a_"/>
    <m/>
    <n v="0"/>
    <n v="0"/>
    <s v=""/>
    <s v=""/>
    <s v=""/>
    <n v="0"/>
    <n v="0"/>
    <s v=""/>
    <n v="0"/>
    <n v="0"/>
    <s v=""/>
    <n v="1"/>
    <n v="1007"/>
    <n v="51036"/>
    <n v="50.681231380337636"/>
    <s v=""/>
    <n v="0"/>
    <n v="0"/>
    <s v=""/>
    <s v=""/>
    <n v="0"/>
    <n v="0"/>
    <s v=""/>
    <n v="1"/>
    <n v="1007"/>
    <n v="51036"/>
    <n v="50.681231380337636"/>
    <s v="3. Responsive"/>
    <s v="0. Unaware"/>
    <s v="0. Harmful"/>
    <s v="It tested new ways for fighting poverty, but did not measure results of innovation"/>
    <s v="Little or no advocacy"/>
    <s v="It did not take tested solutions to scale"/>
  </r>
  <r>
    <x v="8"/>
    <x v="3"/>
    <m/>
    <s v="Wottro research project: Young Burundians tactil agency regarding Sexual relations and decision making"/>
    <s v="Burundi"/>
    <s v="US1XF"/>
    <s v="No CARE member related to the project/initiative"/>
    <s v="Government"/>
    <s v="Other"/>
    <s v="Dutch research Council(NOW-WOTTRO)"/>
    <m/>
    <m/>
    <m/>
    <m/>
    <m/>
    <m/>
    <m/>
    <m/>
    <m/>
    <m/>
    <m/>
    <m/>
    <m/>
    <m/>
    <m/>
    <m/>
    <m/>
    <m/>
    <m/>
    <m/>
    <m/>
    <m/>
    <m/>
    <m/>
    <m/>
    <m/>
    <m/>
    <m/>
    <m/>
    <m/>
    <m/>
    <m/>
    <m/>
    <m/>
    <m/>
    <m/>
    <m/>
    <m/>
    <m/>
    <m/>
    <m/>
    <m/>
    <m/>
    <m/>
    <m/>
    <d v="2016-07-01T00:00:00"/>
    <d v="2019-06-30T00:00:00"/>
    <m/>
    <s v="Development Sexual, Reproductive and Maternal Health (SRMH)"/>
    <n v="41087"/>
    <s v="Laurent UWUMUREMYI"/>
    <s v="Country Director"/>
    <s v="Laurent.Uwumuremyi@care.org"/>
    <s v="Jacqueline NINTUNZE"/>
    <s v="Team Leader"/>
    <s v="Jacqueline.Nintunze@care.org"/>
    <s v="NO"/>
    <s v="YES"/>
    <s v="NO"/>
    <s v="Generer une connaissance approfondie sur la facon dont les structures  de pouvoir et les processus sociaux inhibent ou permettent l'interiorisation et l'application des connaissances et competences en Sante Sexuelle et Reproductive pour les jeunes burundais. Transformer ces resultats en strategies pour renforcer l'actuel module d'edcation sur la Sante Sexuelle et Reproductive des Adolescents et Jeunes."/>
    <s v="Sub-National"/>
    <s v="Le projet est executé en consortium avec l'Universite d'Amsterdam, en tant que lead, Universite de MAKERERE/UGANDA, Rutgers et CARE. Le projet se focalisera sur 3provinces de la zone d'action du programme conjoint d'Amelioration de la Sante Sexuelle et Reproductivedes Adolescents et Jeunes. CARE BURUNDI va faciliter l'acces sur terrain en collaboration avec les organisations locales."/>
    <s v="Les adolescents et les  jeunes  scolarisés  de 12-17 ans au BURUNDI"/>
    <n v="1287"/>
    <n v="693"/>
    <n v="1980"/>
    <m/>
    <m/>
    <m/>
    <s v="La recerche se focalisera sur 30 ecoles(15 d'intervention et 15 de comparaison).Les jeunes seront touches directement par des interviews. Les calculs de pondération sont faits avec une moyenne de 22 interviews par école par vague, ce qui totalise 660 interviews par vague et ainsi 1980 interviews au total (3 vagues). Le projet est encore en phase preparatoire. Il n'a pas encore commence sur terrain suite aux echanges encore en cours avec le ministere de l'education qui doit nommer une comite de pilotage de l'etudes."/>
    <m/>
    <m/>
    <m/>
    <m/>
    <m/>
    <m/>
    <m/>
    <m/>
    <m/>
    <m/>
    <m/>
    <m/>
    <m/>
    <m/>
    <m/>
    <m/>
    <m/>
    <m/>
    <m/>
    <m/>
    <m/>
    <m/>
    <m/>
    <m/>
    <m/>
    <m/>
    <m/>
    <m/>
    <m/>
    <m/>
    <m/>
    <m/>
    <m/>
    <m/>
    <m/>
    <m/>
    <m/>
    <m/>
    <m/>
    <m/>
    <m/>
    <m/>
    <m/>
    <m/>
    <m/>
    <m/>
    <m/>
    <m/>
    <m/>
    <m/>
    <m/>
    <m/>
    <m/>
    <m/>
    <m/>
    <m/>
    <m/>
    <m/>
    <m/>
    <m/>
    <m/>
    <m/>
    <m/>
    <m/>
    <m/>
    <m/>
    <s v="NO"/>
    <m/>
    <m/>
    <m/>
    <s v="NO"/>
    <m/>
    <m/>
    <m/>
    <s v="NO"/>
    <m/>
    <m/>
    <m/>
    <s v="NO"/>
    <m/>
    <m/>
    <m/>
    <s v="NO"/>
    <m/>
    <m/>
    <m/>
    <s v="NO"/>
    <m/>
    <m/>
    <m/>
    <s v="NO"/>
    <m/>
    <m/>
    <m/>
    <s v="YES"/>
    <m/>
    <m/>
    <m/>
    <s v="NO"/>
    <m/>
    <m/>
    <m/>
    <s v="NO"/>
    <m/>
    <m/>
    <m/>
    <s v="NO"/>
    <m/>
    <m/>
    <m/>
    <s v="NO"/>
    <m/>
    <m/>
    <m/>
    <s v="NO"/>
    <m/>
    <m/>
    <m/>
    <s v="YES"/>
    <n v="88536"/>
    <n v="0.8"/>
    <n v="442680"/>
    <s v="NO"/>
    <m/>
    <m/>
    <m/>
    <s v="NO"/>
    <m/>
    <m/>
    <m/>
    <m/>
    <m/>
    <m/>
    <m/>
    <m/>
    <s v="NO"/>
    <m/>
    <m/>
    <s v="NO"/>
    <s v="NO"/>
    <m/>
    <m/>
    <m/>
    <x v="1"/>
    <m/>
    <m/>
    <s v="YES"/>
    <m/>
    <m/>
    <s v="NO"/>
    <m/>
    <m/>
    <m/>
    <x v="3"/>
    <m/>
    <x v="2"/>
    <m/>
    <x v="1"/>
    <x v="0"/>
    <m/>
    <x v="0"/>
    <x v="2"/>
    <x v="0"/>
    <x v="1"/>
    <n v="2"/>
    <x v="1"/>
    <x v="0"/>
    <x v="2"/>
    <x v="0"/>
    <x v="2"/>
    <x v="3"/>
    <n v="0"/>
    <x v="1"/>
    <x v="0"/>
    <x v="0"/>
    <x v="0"/>
    <x v="2"/>
    <n v="0"/>
    <x v="2"/>
    <x v="2"/>
    <n v="6"/>
    <s v="Local NGO(s)/CSO(s)"/>
    <s v="Local government(s)"/>
    <s v="International NGO(s)"/>
    <x v="3"/>
    <m/>
    <m/>
    <m/>
    <m/>
    <m/>
    <m/>
    <m/>
    <m/>
    <m/>
    <m/>
    <n v="0"/>
    <n v="0"/>
    <s v=""/>
    <s v=""/>
    <s v=""/>
    <n v="0"/>
    <n v="0"/>
    <s v=""/>
    <n v="0"/>
    <n v="0"/>
    <s v=""/>
    <s v=""/>
    <n v="0"/>
    <n v="0"/>
    <s v=""/>
    <n v="1"/>
    <n v="88536"/>
    <n v="442680"/>
    <n v="5"/>
    <n v="1"/>
    <n v="0"/>
    <n v="0"/>
    <s v=""/>
    <s v=""/>
    <n v="0"/>
    <n v="0"/>
    <s v=""/>
    <s v="1. Neutral"/>
    <s v="0. Unaware"/>
    <s v="0. Harmful"/>
    <n v="0"/>
    <s v="Moderate advocacy"/>
    <n v="0"/>
  </r>
  <r>
    <x v="9"/>
    <x v="0"/>
    <n v="2809"/>
    <s v="Catapult to Impact in Cambodia"/>
    <s v="Cambodia"/>
    <s v="KHM 214   KH 352"/>
    <s v="CARE USA"/>
    <s v="Corporation"/>
    <s v="Other"/>
    <s v="Margaret A. Cargill Philanthropies (MACP)"/>
    <m/>
    <m/>
    <m/>
    <m/>
    <m/>
    <m/>
    <m/>
    <m/>
    <m/>
    <m/>
    <m/>
    <m/>
    <m/>
    <m/>
    <m/>
    <m/>
    <m/>
    <m/>
    <m/>
    <m/>
    <m/>
    <m/>
    <m/>
    <m/>
    <m/>
    <m/>
    <m/>
    <m/>
    <m/>
    <m/>
    <m/>
    <m/>
    <m/>
    <m/>
    <m/>
    <m/>
    <m/>
    <m/>
    <m/>
    <m/>
    <m/>
    <m/>
    <m/>
    <m/>
    <m/>
    <d v="2015-08-01T00:00:00"/>
    <d v="2017-07-31T00:00:00"/>
    <d v="2017-09-30T00:00:00"/>
    <s v="Development Other"/>
    <n v="72392"/>
    <s v="Hemrin Aun"/>
    <s v="Monitoring and Evaluation Advisor"/>
    <s v="hemrin.aun@careint.org"/>
    <s v="Jan Noorlander"/>
    <s v="Assistant Country Director-Programs"/>
    <s v="Jan.Noorlander@careint.org"/>
    <s v="NO"/>
    <s v="YES"/>
    <s v="NO"/>
    <s v="To strenthen CARE Cambodia's role in emergency response, and to lessen the impact of increasing hazards on vulnerable communities"/>
    <s v="Sub-National"/>
    <s v="Prey Veng and Ratanak Kiri provinces of Cambodia"/>
    <s v="Members of disaster management committee at sub-national level in project target areas_x000a_Emergency response team (ERT) and staff of CARE Cambodia_x000a_CARE's pre-partner staff for emergency response"/>
    <n v="150"/>
    <n v="153"/>
    <n v="303"/>
    <n v="606"/>
    <n v="606"/>
    <n v="1212"/>
    <s v="Members of disaster management committee at sub-national level, CARE staff, and CARE's pre-partner staff for emergency response, attended the project activities such as, trainings and workshops are caculated as direct participants._x000a__x000a_The indirect participants are calculated to people receive sharing knowledge from direct participants; people receive and use emergency preparedness and response plan (EPRP). This indirect participants are government official and agencies at sub-national level and communities people."/>
    <m/>
    <m/>
    <m/>
    <m/>
    <m/>
    <m/>
    <m/>
    <m/>
    <m/>
    <m/>
    <m/>
    <m/>
    <m/>
    <m/>
    <m/>
    <m/>
    <m/>
    <m/>
    <m/>
    <m/>
    <m/>
    <m/>
    <m/>
    <m/>
    <m/>
    <m/>
    <m/>
    <m/>
    <m/>
    <m/>
    <m/>
    <m/>
    <m/>
    <m/>
    <m/>
    <m/>
    <m/>
    <m/>
    <m/>
    <m/>
    <m/>
    <m/>
    <m/>
    <m/>
    <m/>
    <m/>
    <m/>
    <m/>
    <m/>
    <m/>
    <m/>
    <m/>
    <m/>
    <m/>
    <m/>
    <m/>
    <m/>
    <m/>
    <m/>
    <m/>
    <n v="79"/>
    <n v="237"/>
    <n v="316"/>
    <n v="294"/>
    <n v="440"/>
    <n v="734"/>
    <m/>
    <m/>
    <m/>
    <m/>
    <m/>
    <m/>
    <m/>
    <m/>
    <m/>
    <m/>
    <m/>
    <m/>
    <s v="YES"/>
    <n v="90"/>
    <n v="0.2"/>
    <n v="734"/>
    <m/>
    <m/>
    <m/>
    <m/>
    <m/>
    <m/>
    <m/>
    <m/>
    <m/>
    <m/>
    <m/>
    <m/>
    <m/>
    <m/>
    <m/>
    <m/>
    <s v="YES"/>
    <n v="226"/>
    <n v="0.27"/>
    <n v="0"/>
    <m/>
    <m/>
    <m/>
    <m/>
    <m/>
    <m/>
    <m/>
    <m/>
    <m/>
    <m/>
    <m/>
    <m/>
    <m/>
    <m/>
    <m/>
    <m/>
    <m/>
    <m/>
    <m/>
    <m/>
    <m/>
    <m/>
    <m/>
    <m/>
    <m/>
    <m/>
    <m/>
    <m/>
    <m/>
    <m/>
    <m/>
    <m/>
    <m/>
    <s v="NO"/>
    <m/>
    <m/>
    <s v="NO"/>
    <s v="YES"/>
    <s v="July"/>
    <n v="2017"/>
    <s v="In July 2017, the Emergency Coordinator organized the end project reflection and learning workshop in Mondul Kiri in order to bring together the disaster management committees who have involved in the project implementation at the provincial and district levels come to one place for discussion. A total of 19 (7 women) participant from PCDMs, DCDMs, and CARE staff reviewed and discussed on key issues of partnership and cooperation, and participation._x000a_The workshop aims to reflect and learn on project achievements; to identify and reflect on key issues affecting implementation; and to identify areas for improvements._x000a_The workshop applied a methodology of reviewing and presenting the key achievements; two divided groups by geographic areas for discussions; sharing and clarifications in the plenary discussion."/>
    <x v="1"/>
    <s v="NO"/>
    <s v="NO"/>
    <s v="YES"/>
    <s v="NO"/>
    <s v="NO"/>
    <s v="NO"/>
    <s v="NO"/>
    <s v="NO"/>
    <m/>
    <x v="0"/>
    <m/>
    <x v="1"/>
    <s v="CARE Cambodia is a part of HRF and JAG working on DRR and emergencies to raise up concerns/issues to govt and stakeholders._x000a__x000a_Establishment of Mekong Emergency Response Team (MERT) of CARE Countries Offices. This aims to improve resources for emergency response and to share information of disaster crossboundaries."/>
    <x v="1"/>
    <x v="0"/>
    <s v="YES"/>
    <x v="0"/>
    <x v="0"/>
    <x v="0"/>
    <x v="0"/>
    <n v="4"/>
    <x v="1"/>
    <x v="1"/>
    <x v="1"/>
    <x v="1"/>
    <x v="1"/>
    <x v="1"/>
    <n v="4"/>
    <x v="1"/>
    <x v="1"/>
    <x v="1"/>
    <x v="1"/>
    <x v="1"/>
    <n v="3"/>
    <x v="0"/>
    <x v="1"/>
    <m/>
    <m/>
    <m/>
    <m/>
    <x v="0"/>
    <s v="Provided training on gender in emergencies to local NOGs working in CARE's target areas._x000a__x000a_CARE has contributed the knowledge and experience on gender in emergencies to the members of humanitarian response forum (HRF)."/>
    <s v="Due to the Tropical Storm SUNCA happening in July 2017 and heavy rainfall in the moonson season, the donor of this project has provided cost extension for two months from August to September 2017. This extension aims to better prepare subnational disaster management committees in Ratanak Kiri and Prey Veng provinces to respond to flooding that is likely to occur in this monsoon season, lessening the impact that extreme weather may have on communities in remote Cambodia."/>
    <s v="Emergency Preparedness and Response Plan (EPRP) has been updated and made for hundreds workbooks for distribution to all concerned stakeholders in four target districts. This EPRP development is made on a right time of moonson season coming."/>
    <s v="CARE Cambodia has an updated EPP for using this moonson season."/>
    <m/>
    <s v="Documents of Mekong Emergency Response Team (MERT) plateform has been finalized. A proposal to form the MERT was presented to the Mekong Leadership Team (MLT) in Melbourne in April 2016. However, this plateform seems do not have commitment and resource funding supports from heads of COs and MLM (the Mekong Leadership Team)."/>
    <s v="Empowerment and resource provision to PCDM and DCDM on updating/developing emergency preparedness and response plan (EPRP) has been shown the ownership and productive."/>
    <m/>
    <m/>
    <s v="The completion of gender, governance and resilience marker provided as requested."/>
    <n v="316"/>
    <n v="734"/>
    <n v="2.3227848101265822"/>
    <n v="0.25"/>
    <n v="0.40054495912806537"/>
    <n v="79"/>
    <n v="294"/>
    <s v=""/>
    <n v="0"/>
    <n v="0"/>
    <s v=""/>
    <n v="1"/>
    <n v="90"/>
    <n v="734"/>
    <n v="8.155555555555555"/>
    <s v=""/>
    <n v="0"/>
    <n v="0"/>
    <s v=""/>
    <s v=""/>
    <n v="0"/>
    <n v="0"/>
    <s v=""/>
    <s v=""/>
    <n v="0"/>
    <n v="0"/>
    <s v=""/>
    <s v="2. Sensitive"/>
    <s v="2. Accommodating"/>
    <s v="2. Sensitive"/>
    <s v="It did not develop any specific innovation"/>
    <s v="Moderate advocacy"/>
    <s v="It linked and worked with strategic alliances and partners to take tested and effective solutions to scale"/>
  </r>
  <r>
    <x v="9"/>
    <x v="0"/>
    <n v="2819"/>
    <s v="Consultancy Work (Technical Assistance to Plan International on Multilingual Education pre school) (2819), PCTFI Additional Grant (2820) ,  Technical Assistance to the Ministry of Education on Multilingual Education (2821) Multilingual Education Teacher Training (2822) , and Educate a Child – Ethnic Minority Children in Cambodia  (2823)"/>
    <s v="Cambodia"/>
    <s v="KHM040/ KH363"/>
    <s v="No CARE member related to the project/initiative"/>
    <s v="Other"/>
    <s v="Other"/>
    <s v="Plan International"/>
    <s v="KHM040/ KH344"/>
    <s v="CARE USA"/>
    <s v="Foundation"/>
    <s v="Other"/>
    <s v="Patsy Collins Trust Fund Initiative (PCTFI)"/>
    <s v="KHM040/ KH358"/>
    <s v="No CARE member related to the project/initiative"/>
    <s v="Multilateral agency"/>
    <s v="UN - United Nations agencies/offices"/>
    <s v="UNICEF"/>
    <s v="KHM040/ KH349"/>
    <s v="CARE Australia"/>
    <s v="Foundation"/>
    <s v="Other"/>
    <s v="Maitri Trust"/>
    <s v="KHM212/ KH345"/>
    <s v="No CARE member related to the project/initiative"/>
    <s v="Foundation"/>
    <s v="Other"/>
    <s v="Educate a Child"/>
    <m/>
    <m/>
    <m/>
    <m/>
    <m/>
    <m/>
    <m/>
    <m/>
    <m/>
    <m/>
    <m/>
    <m/>
    <m/>
    <m/>
    <m/>
    <m/>
    <m/>
    <m/>
    <m/>
    <m/>
    <m/>
    <m/>
    <m/>
    <m/>
    <m/>
    <d v="2014-07-01T00:00:00"/>
    <d v="2017-11-30T00:00:00"/>
    <m/>
    <s v="Development Access to and Control over Economic Resources"/>
    <n v="936302.47"/>
    <s v="Hemrin Aun"/>
    <s v="Monitoring and Evaluation Advisor"/>
    <s v="hemrin.aun@careint.org"/>
    <s v="Jan Noorlander"/>
    <s v="Assistant Country Director-Programs"/>
    <s v="Jan.Noorlander@careint.org"/>
    <s v="NO"/>
    <s v="YES"/>
    <s v="NO"/>
    <s v="To improve education  for ethnic minority students in Multi-Lingual Education (MLE) schools through buidling capacity of teachers, provision of technical assitants to district, provincial offic of education and Ministry of Education, Youth and Sport to implement the Multilingual Education National Action Plan (MENAP) which envisages expanding the MLE in more schools and more languages."/>
    <s v="National"/>
    <s v="Ratanak Kiri , Stung Treng, Kratie and Mondul Kiri Provinces"/>
    <s v="Indigenous pre-school teachers, Indigenous teachers , Indigenous state school teachers , community leaders , indigenous students in remote areas of Cambodia and Government officials of the Ministry of Education, government officials at provincial level."/>
    <n v="2082"/>
    <n v="2249"/>
    <n v="4331"/>
    <n v="8536"/>
    <n v="9221"/>
    <n v="17757"/>
    <s v="Direct beneficiaries refer on number of student attent MLE schools in four north-eastern provinces in Cambodia, namely Ratanak Kiri, Mondul Kiri, Kratie, and Stung Treng to improve the accessibility of school in ethnic minority communities. In addtion, the MLE teachers and core trainer from national and local education department who received training from project were included in the direct beneficiary._x000a_ Indirect: was calculated by multiplying total beneficiaries to 5.1 and minus the total of direct beneficary, the average size of a household in the project coverage areas. It is expected that the other members of the family will benefit in the future from students attending school."/>
    <m/>
    <m/>
    <m/>
    <m/>
    <m/>
    <m/>
    <m/>
    <m/>
    <m/>
    <m/>
    <m/>
    <m/>
    <m/>
    <m/>
    <m/>
    <m/>
    <m/>
    <m/>
    <m/>
    <m/>
    <m/>
    <m/>
    <m/>
    <m/>
    <m/>
    <m/>
    <m/>
    <m/>
    <m/>
    <m/>
    <m/>
    <m/>
    <m/>
    <m/>
    <m/>
    <m/>
    <m/>
    <m/>
    <m/>
    <m/>
    <m/>
    <m/>
    <m/>
    <m/>
    <m/>
    <m/>
    <m/>
    <m/>
    <m/>
    <m/>
    <m/>
    <m/>
    <m/>
    <m/>
    <m/>
    <m/>
    <m/>
    <m/>
    <m/>
    <m/>
    <n v="2997"/>
    <n v="3297"/>
    <n v="6294"/>
    <n v="12288"/>
    <n v="13518"/>
    <n v="25806"/>
    <m/>
    <m/>
    <m/>
    <m/>
    <m/>
    <m/>
    <m/>
    <m/>
    <m/>
    <m/>
    <m/>
    <m/>
    <m/>
    <m/>
    <m/>
    <m/>
    <m/>
    <m/>
    <m/>
    <m/>
    <s v="YES"/>
    <n v="6294"/>
    <n v="0.47610000000000002"/>
    <n v="25806"/>
    <m/>
    <m/>
    <m/>
    <m/>
    <m/>
    <m/>
    <m/>
    <m/>
    <s v="YES"/>
    <n v="330"/>
    <n v="0.35449999999999998"/>
    <n v="1353"/>
    <m/>
    <m/>
    <m/>
    <m/>
    <m/>
    <m/>
    <m/>
    <m/>
    <m/>
    <m/>
    <m/>
    <m/>
    <s v="YES"/>
    <n v="330"/>
    <n v="0.35449999999999998"/>
    <n v="1353"/>
    <m/>
    <m/>
    <m/>
    <m/>
    <m/>
    <m/>
    <m/>
    <m/>
    <s v="YES"/>
    <n v="330"/>
    <n v="0.35449999999999998"/>
    <n v="1353"/>
    <m/>
    <m/>
    <m/>
    <m/>
    <m/>
    <s v="NO"/>
    <m/>
    <m/>
    <s v="NO"/>
    <s v="NO"/>
    <m/>
    <m/>
    <s v="N/A"/>
    <x v="2"/>
    <s v="NO"/>
    <s v="NO"/>
    <s v="YES"/>
    <s v="YES"/>
    <s v="YES"/>
    <s v="YES"/>
    <s v="NO"/>
    <s v="NO"/>
    <m/>
    <x v="1"/>
    <s v="Delivery process and project implementation of activities and provided the technical advice to national core trainers on how to train sub-national core trainers and then supported the national core trainers to conduct ToT training to sub-national core trainers and then nation and sub-national core trainer to delivered training workshops to teachers. This approach builds the capacity of educational actors at multiple levels of government, to encourage the MoEYS to take ownership of the program and ensure the future in Cambodia. CARE Cambodia works towards the sustainability of the program by holding talks with the MoEYS, PoEs, and DoEs for the transition of MLE community teachers to contract teachers and state school teachers. 130 community teachers (46 women) from four provinces—Ratanak Kiri, Mondul Kiri, Kratie and Stung Treng—were recognised as contract teachers by the MoEYS and are now on the government’s payroll.  Also, in February 2017, 20 community teachers (five women) were promoted to state school teacher positions, which provides them with a greater level of job security and elevates their social standing in school, their communities, and with the government.  During an interview with CARE, one teacher said that the promotion meant she could provide a better standard of living for her young family.  The promotion of these teachers highlights the fact that the government is extending their support for and ownership of multilingual education in Cambodia. CARE advocated with the Provincial Office of Education (PoE), Ratanak Kiri, Mondul Kiri and Stung Treng to recruit indigenous students to attend Regional Teacher Training College in Stung Treng, Along with this, indigenous students who study at  the Regional Teacher Training College have significantly contributed in increasing the schooling/enrolment of the ethnic minority children in the MLE program"/>
    <x v="1"/>
    <s v="CARE has been a member of the Chiild Friendly Schools Steering Committee but this meeting is rarely convened by the Ministry anymore. These discussions are taken to other platforms such as the Education Sector Working Group (ESWG) and the Joint Technical Working Group (JTFW). The ESWG is the meeting among Development Partners currently chaired by UNICEF and representation of civil society agencies through the NHO Education Partnership (NEP), a membership organisation for NGOs working on education. The JTWG is the meeting between ESWG and the Ministry chaired by the Minister and the highest platform for policy dialogue. CARE is now a member of these meetings and represented by the Assistant Country Director Programs. NEP is currently discussing how to best select representatives through NEP for this platform."/>
    <x v="1"/>
    <x v="0"/>
    <s v="YES"/>
    <x v="0"/>
    <x v="0"/>
    <x v="0"/>
    <x v="0"/>
    <n v="4"/>
    <x v="1"/>
    <x v="1"/>
    <x v="1"/>
    <x v="1"/>
    <x v="1"/>
    <x v="1"/>
    <n v="4"/>
    <x v="1"/>
    <x v="1"/>
    <x v="2"/>
    <x v="1"/>
    <x v="3"/>
    <n v="2"/>
    <x v="2"/>
    <x v="1"/>
    <n v="3"/>
    <s v="Local government(s)"/>
    <s v="National government"/>
    <s v="Multilateral organization(s)"/>
    <x v="1"/>
    <s v="Delivery process and project implementation of activities and provided the technical advice to national core trainers on how to train sub-national core trainers and then supported the national core trainers to conduct ToT training to sub-national core trainers and then nation and sub-national core trainer to delivered training workshops to teachers. This approach builds the capacity of educational actors at multiple levels of government, to encourage the MoEYS to take ownership of the program and ensure the future in Cambodia."/>
    <m/>
    <s v="Build the capacity of government officials to take over the training of the Multilingual Education (MLE) to Indigenous teachers in pre-school and primary school , Indigenous state school teachers , community leaders , indigenous students  in remote areas of Cambodia."/>
    <s v="Advocated with the Provincial Office of Education (PoE), Ratanak Kiri, Mondul Kiri and Stung Treng to recruit indigenous students to attend Regional Teacher Training College in Stung Treng, and works towards the sustainability of the program by holding talks with the MoEYS, PoEs, and DoEs for the transition of MLE community teachers to contract teachers and state school teachers on the government’s payroll.  and promoted to state school teacher positions, which provides them with a greater level of job security and elevates their social standing in school, their communities, and with the government."/>
    <s v="Providing technical support to the MoEYS in replicating this model of multilingual  education in Cambodia to ensure complete ownership of the MLE program by the Ministry of Education."/>
    <s v="The Minister of Education continues to strongly endorse the MLE program. MoEYS has taken ownership of Multilingual Education and the goal of handing over MLE to the MoEYS is on target for full handover by July 2017.  The Multilingual Education National Action Plan (MENAP) was approved by minister of MoEYS by October 2015, and launched on 1 March 2016 at Kratie province, one of CARE coverage province.The Multilingual Education National Action Plan is very essential for the implementation of the MLE program, as well as to promote the plan which aims to expand MLE in Cambodia so that more children can access education in their own language"/>
    <s v="The MLE program in Cambodia is widely recognized by agencies such as UNESCO and UNICEF, especially because the Ministry is now taking ownership of the program. CARE has been invited to share this learning by UNESCO and CIES to tended the Fifth International Conference for Language and Sustainable Development in Bangkok Thailand. This conference brought together about 350 government officials, implementers and scholars from 34 countries, mainly from the Asia Pacific region, Europe, Australia and the USA, to discuss language policies, and good practices on multilingual education. Cambodia are seen as guiding countries because of their success on policy development, replicable models and experience supported by evidence based research."/>
    <s v="Commune elections were conducted across Cambodia in June 17.  During this period, all NGOs were instructed to cease activities that involved meeting with government officials, including all MoEYS officials which this project works with.  This restriction caused some delay in implementing project activities. To overcome this challenge, project staff rescheduled those activities which required the participation of MoEYS and other government department officials to later dates.  This process was handled smoothly, made possible through CARE’s positive, long-standing relationship with the ministries."/>
    <s v="After 15 years of developing school programs and working with teachers to make the shift to multilingual education, CARE is now in the process of handing over the program to be administered by the Ministry of Education, Youth and Sport (MoEYS). CARE has a Memorandum of Understanding with the MoEYS, which outlines facilitation guidelines, CARE employment counterpart designation, efficiency and transparency and open communication to assist planning, management and problem solving and that community teachers are recognised by MoEYS by the end of the project. The 2016/17 financial year is the third of a three-year handover period, in which CARE will work with communities, teachers and the government to best train and develop a system for a sustainable multilingual education. Multilingual education is in 78 primary schools in four provinces in Cambodia reaching 5,600 students (2,683 of which are girls), supported by the Patsy Collins Trust Fund Initiative(PCTFI), the Maitri Trust Fund, the UNICEF, the Australian government, Aide et Action International and private donors."/>
    <s v="Project documents and progress report; to be provided up on request."/>
    <n v="6294"/>
    <n v="25806"/>
    <n v="4.1000953288846524"/>
    <n v="0.47616777883698763"/>
    <n v="0.47616833294582656"/>
    <n v="2997"/>
    <n v="12288"/>
    <s v=""/>
    <n v="0"/>
    <n v="0"/>
    <s v=""/>
    <s v=""/>
    <n v="0"/>
    <n v="0"/>
    <s v=""/>
    <s v=""/>
    <n v="0"/>
    <n v="0"/>
    <s v=""/>
    <s v=""/>
    <n v="0"/>
    <n v="0"/>
    <s v=""/>
    <n v="1"/>
    <n v="330"/>
    <n v="1353"/>
    <n v="4.0999999999999996"/>
    <s v="2. Sensitive"/>
    <s v="2. Accommodating"/>
    <s v="1. Neutral"/>
    <s v="It tested new ways for fighting poverty, but did not measure results of innovation"/>
    <s v="Intensive advocacy"/>
    <s v="It linked and worked with strategic alliances and partners to take tested and effective solutions to scale"/>
  </r>
  <r>
    <x v="9"/>
    <x v="0"/>
    <n v="2818"/>
    <s v="Education for Ethnic Minorities (2818) and Scholarship Program (2815)"/>
    <s v="Cambodia"/>
    <s v="KHM040/ KH321"/>
    <s v="CARE Australia"/>
    <s v="Government"/>
    <s v="Government - Australia"/>
    <s v="Australian NGO Cooperation Program (ANCP)"/>
    <s v="KHM040/ KH350"/>
    <s v="CARE USA"/>
    <s v="Foundation"/>
    <s v="Other"/>
    <s v="Ping Y. Tai Foundation"/>
    <m/>
    <m/>
    <m/>
    <m/>
    <m/>
    <m/>
    <m/>
    <m/>
    <m/>
    <m/>
    <m/>
    <m/>
    <m/>
    <m/>
    <m/>
    <m/>
    <m/>
    <m/>
    <m/>
    <m/>
    <m/>
    <m/>
    <m/>
    <m/>
    <m/>
    <m/>
    <m/>
    <m/>
    <m/>
    <m/>
    <m/>
    <m/>
    <m/>
    <m/>
    <m/>
    <m/>
    <m/>
    <m/>
    <m/>
    <m/>
    <d v="2013-07-01T00:00:00"/>
    <d v="2018-09-30T00:00:00"/>
    <m/>
    <s v="Development Access to and Control over Economic Resources"/>
    <n v="1647293"/>
    <s v="Hemrin Aun"/>
    <s v="Monitoring and Evaluation Advisor"/>
    <s v="hemrin.aun@careint.org"/>
    <s v="Jan Noorlander"/>
    <s v="Assistant Country Director-Programs"/>
    <s v="Jan.Noorlander@careint.org"/>
    <s v="NO"/>
    <s v="YES"/>
    <s v="NO"/>
    <s v="Multilingual education in primary schools and scholarships will enable remote ethnic minority children to access basic education and beyond,  capacity of teachers at secondary schools will ensure an ethnic minority sensitive environment, free of discrimination and gender inequity."/>
    <s v="Sub-National"/>
    <s v="Ratanak Kiri and Mondule Kiri provinces."/>
    <s v="Ethnic minority girls and boys in lower secondary schools and both primary and lower secondary  teachers"/>
    <n v="2282"/>
    <n v="2444"/>
    <n v="4726"/>
    <n v="9584"/>
    <n v="10265"/>
    <n v="19849"/>
    <s v="The direct beneficiary is a total number of students at low secondary schools that study at the target schools in both RTK and MDK where CARE provide training to teachers about gender and ethnic, cultural sensitivity and/or number student received  scholarship from projects._x000a_The indirect beneficiary is estimated base on the average of number of members of family size (5.1 people per housewhole) by multiply to the total number of students,  as assume that each students will get indirect impact to their family members in their community."/>
    <m/>
    <m/>
    <m/>
    <m/>
    <m/>
    <m/>
    <m/>
    <m/>
    <m/>
    <m/>
    <m/>
    <m/>
    <m/>
    <m/>
    <m/>
    <m/>
    <m/>
    <m/>
    <m/>
    <m/>
    <m/>
    <m/>
    <m/>
    <m/>
    <m/>
    <m/>
    <m/>
    <m/>
    <m/>
    <m/>
    <m/>
    <m/>
    <m/>
    <m/>
    <m/>
    <m/>
    <m/>
    <m/>
    <m/>
    <m/>
    <m/>
    <m/>
    <m/>
    <m/>
    <m/>
    <m/>
    <m/>
    <m/>
    <m/>
    <m/>
    <m/>
    <m/>
    <m/>
    <m/>
    <m/>
    <m/>
    <m/>
    <m/>
    <m/>
    <m/>
    <n v="4594"/>
    <n v="5487"/>
    <n v="10081"/>
    <n v="18835"/>
    <n v="22497"/>
    <n v="41332"/>
    <m/>
    <m/>
    <m/>
    <m/>
    <m/>
    <m/>
    <m/>
    <m/>
    <m/>
    <m/>
    <m/>
    <m/>
    <m/>
    <m/>
    <m/>
    <m/>
    <m/>
    <m/>
    <m/>
    <m/>
    <s v="YES"/>
    <n v="10081"/>
    <n v="0.46"/>
    <n v="41332"/>
    <m/>
    <m/>
    <m/>
    <m/>
    <m/>
    <m/>
    <m/>
    <m/>
    <s v="YES"/>
    <n v="102"/>
    <n v="0.33"/>
    <n v="10081"/>
    <m/>
    <m/>
    <m/>
    <m/>
    <m/>
    <m/>
    <m/>
    <m/>
    <m/>
    <m/>
    <m/>
    <m/>
    <s v="YES"/>
    <n v="54"/>
    <n v="1"/>
    <n v="3574"/>
    <m/>
    <m/>
    <m/>
    <m/>
    <m/>
    <m/>
    <m/>
    <m/>
    <s v="YES"/>
    <n v="84"/>
    <n v="1"/>
    <m/>
    <m/>
    <m/>
    <m/>
    <m/>
    <m/>
    <s v="NO"/>
    <m/>
    <m/>
    <m/>
    <s v="NO"/>
    <m/>
    <m/>
    <m/>
    <x v="2"/>
    <s v="NO"/>
    <s v="NO"/>
    <s v="NO"/>
    <s v="YES"/>
    <s v="YES"/>
    <s v="YES"/>
    <s v="NO"/>
    <s v="NO"/>
    <m/>
    <x v="1"/>
    <s v="Provision of scholarship to teste if student continue to continue studying till completed  lower secondary school?_x000a_Provision of  social, ethnic and gender stereotype to teachers, help to better to student participation and less drop out and better education outcome."/>
    <x v="1"/>
    <s v="The project  work in collaboration with POE/DOE in selected school, if this project success, we will convince POE and DOE to apply to other schools, and even other provinces"/>
    <x v="1"/>
    <x v="1"/>
    <s v="YES"/>
    <x v="0"/>
    <x v="0"/>
    <x v="0"/>
    <x v="2"/>
    <n v="4"/>
    <x v="1"/>
    <x v="1"/>
    <x v="1"/>
    <x v="1"/>
    <x v="1"/>
    <x v="1"/>
    <n v="4"/>
    <x v="2"/>
    <x v="1"/>
    <x v="1"/>
    <x v="1"/>
    <x v="2"/>
    <n v="3"/>
    <x v="2"/>
    <x v="0"/>
    <n v="2"/>
    <s v="Local government(s)"/>
    <s v="National government"/>
    <m/>
    <x v="1"/>
    <m/>
    <s v="no important change"/>
    <s v="The MoEYS has already committed to developing a second MENAP (2019-2021).  Over the next two years (FY17/18 and FY18/19) CARE will provide technical assistance to the MoEYS in their efforts to develop this policy framework.  This initiative will be complimented with three national workshops and a study tour, which brings together MLE experts and SED officials to strengthen their understanding of MLE and its theoretical approach.  This exit strategy will conclude CARE’s 15-year-commitment to developing MLE in the northeast of Cambodia and working with the government to secure its continuation into the future."/>
    <m/>
    <m/>
    <s v="CARE aims to strengthen the capacity of government and support its efforts to improve access to education for children in the northeast of Cambodia, to ensure the impact of CARE’s work is sustained beyond individual projects.  Part of this approach involves understanding and working within existing government structures/processes, and building positive relationships and mutual understanding with key departments.  In the EEM project, CARE enacts this approach through ToT to lower secondary school core trainers, to ensure they are able to train teachers when the project finishes.  This same approach is also used for the MLE component of this project: CARE conducts ToT with national and sub-national trainers for the MLE, to strengthen their theoretical understanding of MLE and capacity to train primary school teachers across the four provinces implementing this program.  This activity aligns the government’s MENAP 2015-2018 that identifies education for ethnic minorities as a priority for the government, highlighting their value of and commitment to the expansion of this program."/>
    <s v="In June 2017, commune elections were conducted across Cambodia.  During this period, all NGOs were instructed to cease activities that involved meeting with government officials, including all MoEYS officials which this project works with.  This restriction caused some delay in implementing project activities."/>
    <s v="The newly-created Special Education Department (SED) will play central role in implementing MLE in the future.  Some staff within the department have limited or no understanding of MLE, which could hinder the expansion and quality of this program."/>
    <m/>
    <s v="baseline report is available up on request."/>
    <n v="10081"/>
    <n v="41332"/>
    <n v="4.0999900803491718"/>
    <n v="0.4557087590516814"/>
    <n v="0.45570018387689926"/>
    <n v="4594"/>
    <n v="18835"/>
    <s v=""/>
    <n v="0"/>
    <n v="0"/>
    <s v=""/>
    <s v=""/>
    <n v="0"/>
    <n v="0"/>
    <s v=""/>
    <s v=""/>
    <n v="0"/>
    <n v="0"/>
    <s v=""/>
    <s v=""/>
    <n v="0"/>
    <n v="0"/>
    <s v=""/>
    <n v="1"/>
    <n v="84"/>
    <n v="0"/>
    <n v="0"/>
    <s v="4. Transformative"/>
    <s v="2. Accommodating"/>
    <s v="0. Harmful"/>
    <s v="It tested new ways for fighting poverty, but did not measure results of innovation"/>
    <s v="Intensive advocacy"/>
    <s v="It linked and worked with strategic alliances and partners to take tested and effective solutions to scale"/>
  </r>
  <r>
    <x v="9"/>
    <x v="0"/>
    <n v="2807"/>
    <s v="Emergency Response to the Water Shortage Crisis in Koh Kong Province / Gender in Emergencies Training to CARE's Emergency Response Partners"/>
    <s v="Cambodia"/>
    <s v="KHM221   KH364"/>
    <s v="CARE Australia"/>
    <s v="Multilateral agency"/>
    <s v="Other"/>
    <s v="CARE Inernational"/>
    <m/>
    <m/>
    <m/>
    <m/>
    <m/>
    <m/>
    <m/>
    <m/>
    <m/>
    <m/>
    <m/>
    <m/>
    <m/>
    <m/>
    <m/>
    <m/>
    <m/>
    <m/>
    <m/>
    <m/>
    <m/>
    <m/>
    <m/>
    <m/>
    <m/>
    <m/>
    <m/>
    <m/>
    <m/>
    <m/>
    <m/>
    <m/>
    <m/>
    <m/>
    <m/>
    <m/>
    <m/>
    <m/>
    <m/>
    <m/>
    <m/>
    <m/>
    <m/>
    <m/>
    <m/>
    <d v="2016-05-06T00:00:00"/>
    <d v="2016-07-15T00:00:00"/>
    <d v="2016-09-30T00:00:00"/>
    <s v="Humanitarian Other"/>
    <n v="42209"/>
    <s v="Hemrin Aun"/>
    <s v="Monitoring and Evaluation Advisor"/>
    <s v="hemrin.aun@careint.org"/>
    <s v="Jan Noorlander"/>
    <s v="Assistant Country Director-Programs"/>
    <s v="Jan.Noorlander@careint.org"/>
    <s v="YES"/>
    <s v="YES"/>
    <s v="YES"/>
    <s v="Project goal: To mitigate the impacts of the ongoing El Nino weather events on the most vulnerable households in Koh Kong province._x000a__x000a_Aim of Gender in Emergency training: To bring together the CARE staff and partner staff to share working experiences and improve understanding about the importance of providing inclusive responses to gender in emergencies. (The GIE training is the project extention activity)"/>
    <s v="Sub-National"/>
    <s v="Koh Kong was a target province for emergency response to the water shortage crisis (i.e. provided water containers, water filter, …). This was reported in FY16._x000a__x000a_Mondul Kiri, Ratanak Kiri, Stung Treng, Kratie, Prey Veng, Phnom Penh, Kampot, and Koh Kong are the provinces where CARE Cambodia's emergency response partners working in. These partners were built up the capacity of gender in emergencies (GIE)."/>
    <s v="Poor households including the elderly and woman-headed households, do not have big water tanks (this is for emergency response to water shortage crisis in Koh Kong province)_x000a__x000a_CARE Cambodia's emergency response partners from local NGOs in Mondul Kiri, Ratanak Kiri, Stung Treng, Kratie, Prey Veng, Phnom Penh, Kampot, and Koh Kong provinces (this is for building up the capacity to CARE staff and partner staff on gender in emergencies)"/>
    <n v="500"/>
    <n v="500"/>
    <n v="1000"/>
    <n v="2060"/>
    <n v="1940"/>
    <n v="4000"/>
    <s v="The headed person of poor households receives WASH kits in Koh Kong province were calculated as direct beneficiaries. A total of 880 (690 women household-headed) households headed. Whereas, the household members were counted as indirect beneficiaries. This was already reported in FY16._x000a__x000a_Official staff, technical staff, and managment staff of CARE Cambodia and CARE Cambodia's Emergency Response Partners attended the training are calculated as direct beneficiaries. A total of 27 (8 women) participants attended. Whereas, the indirect participants are calculated in a way of trained CARE staff and partner staff provide and share knowledge on gender in emergencies to their staff and team members. Assuming at least 2 indirect participants get sharing knowledge from trained CARE staff and partner staff."/>
    <m/>
    <n v="3105"/>
    <n v="855"/>
    <n v="3960"/>
    <n v="0"/>
    <n v="0"/>
    <n v="0"/>
    <m/>
    <m/>
    <m/>
    <m/>
    <m/>
    <m/>
    <m/>
    <m/>
    <m/>
    <m/>
    <m/>
    <m/>
    <m/>
    <m/>
    <m/>
    <m/>
    <m/>
    <m/>
    <m/>
    <m/>
    <m/>
    <m/>
    <m/>
    <m/>
    <m/>
    <m/>
    <m/>
    <m/>
    <m/>
    <m/>
    <m/>
    <m/>
    <m/>
    <m/>
    <m/>
    <m/>
    <m/>
    <m/>
    <m/>
    <m/>
    <m/>
    <m/>
    <m/>
    <m/>
    <s v="YES"/>
    <n v="3960"/>
    <n v="0.78"/>
    <n v="0"/>
    <m/>
    <m/>
    <m/>
    <m/>
    <m/>
    <n v="9"/>
    <n v="20"/>
    <n v="29"/>
    <n v="22"/>
    <n v="50"/>
    <n v="72"/>
    <m/>
    <m/>
    <m/>
    <m/>
    <m/>
    <m/>
    <m/>
    <m/>
    <m/>
    <m/>
    <m/>
    <m/>
    <m/>
    <m/>
    <m/>
    <m/>
    <m/>
    <m/>
    <m/>
    <m/>
    <m/>
    <m/>
    <m/>
    <m/>
    <m/>
    <m/>
    <m/>
    <m/>
    <m/>
    <m/>
    <m/>
    <m/>
    <s v="YES"/>
    <n v="29"/>
    <n v="0.31"/>
    <n v="72"/>
    <m/>
    <m/>
    <m/>
    <m/>
    <m/>
    <m/>
    <m/>
    <m/>
    <m/>
    <m/>
    <m/>
    <m/>
    <m/>
    <m/>
    <m/>
    <m/>
    <m/>
    <m/>
    <m/>
    <m/>
    <m/>
    <m/>
    <m/>
    <m/>
    <m/>
    <m/>
    <m/>
    <m/>
    <m/>
    <m/>
    <m/>
    <m/>
    <m/>
    <s v="YES"/>
    <s v="July"/>
    <n v="2016"/>
    <s v="YES"/>
    <s v="NO"/>
    <m/>
    <m/>
    <m/>
    <x v="1"/>
    <s v="NO"/>
    <s v="NO"/>
    <s v="YES"/>
    <s v="NO"/>
    <s v="NO"/>
    <s v="NO"/>
    <s v="NO"/>
    <s v="NO"/>
    <m/>
    <x v="0"/>
    <m/>
    <x v="1"/>
    <s v="the identified local NGOs in target provinces where CARE works were provided capacity building on gender in emergencies. These partners can be selected for assisting CARE's emergency response in their respective province."/>
    <x v="1"/>
    <x v="0"/>
    <s v="YES"/>
    <x v="0"/>
    <x v="0"/>
    <x v="0"/>
    <x v="0"/>
    <n v="4"/>
    <x v="1"/>
    <x v="1"/>
    <x v="1"/>
    <x v="1"/>
    <x v="1"/>
    <x v="1"/>
    <n v="4"/>
    <x v="1"/>
    <x v="1"/>
    <x v="1"/>
    <x v="1"/>
    <x v="1"/>
    <n v="3"/>
    <x v="3"/>
    <x v="1"/>
    <n v="1"/>
    <s v="International NGO(s)"/>
    <m/>
    <m/>
    <x v="0"/>
    <s v="Provided induction on rapid gender assessment to the Koh Kong rapid assessment team comprised of members from PIN and Save the Children._x000a__x000a_Provided training on gender in emergencies to local NOGs working in CARE's target areas."/>
    <s v="Due to lack capacity of gender in emergency , CARE Cambodia requested the remaining fund of emergency assessment to conduct training on Gender in Emergency to CARE staff and CARE NGO partners staff in September 2016."/>
    <s v="Establish community committee in village level and engage them in the process of beneficiaries selection to receive emergency WASH packages. The community committee help select right poor household in their village to be beneficiaries for the project."/>
    <s v="Local communities, authorities (village/commune chiefs) and Selection and Complaint Committees can identify the complaint response mechanism (CRM) process and that communities are actively using it."/>
    <m/>
    <s v="Some participants met the selection criteria but lived far away from a well and others didn’t. The selection criteria could have accounted for this by including an ‘other’ extra vulnerability selection criteria to pre-empt these circumstances, as the “real poor” were hard to reach in some circumstances."/>
    <m/>
    <m/>
    <m/>
    <s v="https://www.dropbox.com/sh/rkqj00xy4k0njve/AADFLnFKUMGQuvvmTwLU_VTOa?dl=0"/>
    <n v="3960"/>
    <n v="72"/>
    <n v="1.8181818181818181E-2"/>
    <n v="0.78409090909090906"/>
    <n v="0.30555555555555558"/>
    <n v="3105"/>
    <n v="22"/>
    <n v="1"/>
    <n v="3960"/>
    <n v="0"/>
    <n v="0"/>
    <s v=""/>
    <n v="0"/>
    <n v="0"/>
    <s v=""/>
    <s v=""/>
    <n v="0"/>
    <n v="0"/>
    <s v=""/>
    <s v=""/>
    <n v="0"/>
    <n v="0"/>
    <s v=""/>
    <s v=""/>
    <n v="0"/>
    <n v="0"/>
    <s v=""/>
    <s v="2. Sensitive"/>
    <s v="2. Accommodating"/>
    <s v="2. Sensitive"/>
    <s v="It did not develop any specific innovation"/>
    <s v="Moderate advocacy"/>
    <s v="It linked and worked with strategic alliances and partners to take tested and effective solutions to scale"/>
  </r>
  <r>
    <x v="9"/>
    <x v="0"/>
    <n v="2812"/>
    <s v="Enhancing adaptive capacity of women and ethnic minority smallholder farmers through improved agro-climate information System in South-East Asia (ACIS project)"/>
    <s v="Cambodia"/>
    <s v="KH354"/>
    <s v="CARE Danmark"/>
    <s v="Government"/>
    <s v="Government - Denmark"/>
    <s v="Climate Change, Agriculture and Food Security (CCAFS)"/>
    <s v="KH371"/>
    <s v="CARE Danmark"/>
    <s v="Foundation"/>
    <s v="Other"/>
    <s v="Fondation Ensemble"/>
    <m/>
    <m/>
    <m/>
    <m/>
    <m/>
    <m/>
    <m/>
    <m/>
    <m/>
    <m/>
    <m/>
    <m/>
    <m/>
    <m/>
    <m/>
    <m/>
    <m/>
    <m/>
    <m/>
    <m/>
    <m/>
    <m/>
    <m/>
    <m/>
    <m/>
    <m/>
    <m/>
    <m/>
    <m/>
    <m/>
    <m/>
    <m/>
    <m/>
    <m/>
    <m/>
    <m/>
    <m/>
    <m/>
    <m/>
    <m/>
    <d v="2015-01-01T00:00:00"/>
    <d v="2018-12-21T00:00:00"/>
    <m/>
    <s v="Development Food &amp; Nutrition Security and Resilience to Climate Change"/>
    <n v="434243"/>
    <s v="Hemrin Aun"/>
    <s v="Monitoring and Evaluation Advisor"/>
    <s v="hemrin.aun@careint.org"/>
    <s v="Jan Noorlander"/>
    <s v="Assistant Country Director-Programs"/>
    <s v="Jan.Noorlander@careint.org"/>
    <s v="NO"/>
    <s v="YES"/>
    <s v="NO"/>
    <s v="The ACIS project aims to enhance the adaptive capacity of women and ethnic minority (W&amp;EM) farmers to better anticipate and respond to risks and opportunities from climatic variability."/>
    <s v="Sub-National"/>
    <s v="The project is located in Ratanak Kiri province , North-East of Cambodia. The project is currently working in 15 villages, three communes of Koun Mom and Lumphat district."/>
    <s v="Ethnic Minority women and community members"/>
    <n v="6225"/>
    <n v="6189"/>
    <n v="12414"/>
    <n v="15857"/>
    <n v="15236"/>
    <n v="31093"/>
    <s v="* The direct beneficiary is estimated  the total population in 3 communes where project implementing ACIS activities, including training activities, PSP, and emabling them to used broacasting information in appling agriculture._x000a_* Indirect beneficiary was estimate the total pupulation the the two districts where project implemented, but excluded the estimated number of direct beneficiary. The local authories and government department involved the project will learn and apply in other commune within the two districts."/>
    <m/>
    <m/>
    <m/>
    <m/>
    <m/>
    <m/>
    <m/>
    <m/>
    <m/>
    <m/>
    <m/>
    <m/>
    <m/>
    <m/>
    <m/>
    <m/>
    <m/>
    <m/>
    <m/>
    <m/>
    <m/>
    <m/>
    <m/>
    <m/>
    <m/>
    <m/>
    <m/>
    <m/>
    <m/>
    <m/>
    <m/>
    <m/>
    <m/>
    <m/>
    <m/>
    <m/>
    <m/>
    <m/>
    <m/>
    <m/>
    <m/>
    <m/>
    <m/>
    <m/>
    <m/>
    <m/>
    <m/>
    <m/>
    <m/>
    <m/>
    <m/>
    <m/>
    <m/>
    <m/>
    <m/>
    <m/>
    <m/>
    <m/>
    <m/>
    <m/>
    <n v="726"/>
    <n v="653"/>
    <n v="1379"/>
    <n v="2884"/>
    <n v="2770"/>
    <n v="5654"/>
    <s v="YES"/>
    <n v="373"/>
    <n v="0.55000000000000004"/>
    <n v="1529"/>
    <s v="YES"/>
    <n v="1379"/>
    <n v="0.53"/>
    <n v="5654"/>
    <m/>
    <m/>
    <m/>
    <m/>
    <m/>
    <m/>
    <m/>
    <m/>
    <m/>
    <m/>
    <m/>
    <m/>
    <s v="YES"/>
    <m/>
    <m/>
    <m/>
    <s v="YES"/>
    <n v="373"/>
    <n v="0.55000000000000004"/>
    <n v="1529"/>
    <m/>
    <m/>
    <m/>
    <m/>
    <s v="YES"/>
    <n v="1379"/>
    <n v="0.53"/>
    <n v="5654"/>
    <m/>
    <m/>
    <m/>
    <m/>
    <m/>
    <m/>
    <m/>
    <m/>
    <m/>
    <m/>
    <m/>
    <m/>
    <m/>
    <m/>
    <m/>
    <m/>
    <m/>
    <m/>
    <m/>
    <m/>
    <m/>
    <m/>
    <m/>
    <m/>
    <s v="YES"/>
    <n v="373"/>
    <n v="0.55000000000000004"/>
    <n v="1529"/>
    <m/>
    <m/>
    <m/>
    <m/>
    <m/>
    <s v="YES"/>
    <s v="November"/>
    <n v="2016"/>
    <s v="NO"/>
    <s v="NO"/>
    <m/>
    <m/>
    <s v="N/A"/>
    <x v="1"/>
    <s v="NO"/>
    <s v="NO"/>
    <s v="YES"/>
    <s v="YES"/>
    <s v="YES"/>
    <s v="YES"/>
    <s v="YES"/>
    <s v="NO"/>
    <m/>
    <x v="2"/>
    <s v="Using weather information for improving farming practise of the community people"/>
    <x v="1"/>
    <s v="The project is testing use of weather broacasting to apply agriculture and then measure the yiel of the crop. The project is piloting in two communes,we are gathering the result, if success, CARE will convince donnor, goverment and implementing in other areas."/>
    <x v="1"/>
    <x v="1"/>
    <s v="YES"/>
    <x v="0"/>
    <x v="0"/>
    <x v="0"/>
    <x v="2"/>
    <n v="4"/>
    <x v="1"/>
    <x v="1"/>
    <x v="1"/>
    <x v="1"/>
    <x v="1"/>
    <x v="1"/>
    <n v="4"/>
    <x v="3"/>
    <x v="1"/>
    <x v="1"/>
    <x v="1"/>
    <x v="4"/>
    <n v="3"/>
    <x v="0"/>
    <x v="3"/>
    <n v="4"/>
    <s v="Local government(s)"/>
    <s v="Local NGO(s)/CSO(s)"/>
    <m/>
    <x v="2"/>
    <s v="Participatory Scenario Planning (PSP) is a tool to strengthening the capacity of farmer learning network (FLN) at the community level."/>
    <s v="There is no important change in this FY."/>
    <s v="Ensuring broad ownership of intent, key processes and models, amongst CARE, authorities and communities and strong investment phased capacity building and leadership for marginalised rural women, men, and local authorities to build momentum for change, and support sustainable local action."/>
    <s v="A focus on the identification of lessons learned and the sharing of these amongst key stakeholders will contribute to broader sustainability. Specific studies and targeted learning processes will ensure key lessons learned are captured, documented and linked to focused engagement in national and provincial dialogue."/>
    <m/>
    <s v="Participatory Scenario Planning (PSP) is a key tool that mobilize the participatory action from all relevant actors/stakeholders in the discussion on how to improve agriculture productivities through using agro-climate informaiton."/>
    <s v="The agro-advisory is important on how to scale up the project activities. More picture or simple on the agro-advisory is much more useful for the community people, especially for illiteracy people."/>
    <m/>
    <m/>
    <m/>
    <n v="1379"/>
    <n v="5654"/>
    <n v="4.1000725163161711"/>
    <n v="0.52646845540246556"/>
    <n v="0.51008135833038559"/>
    <n v="726"/>
    <n v="2884"/>
    <s v=""/>
    <n v="0"/>
    <n v="0"/>
    <s v=""/>
    <n v="1"/>
    <n v="1379"/>
    <n v="5654"/>
    <n v="4.1000725163161711"/>
    <s v=""/>
    <n v="0"/>
    <n v="0"/>
    <s v=""/>
    <s v=""/>
    <n v="0"/>
    <n v="0"/>
    <s v=""/>
    <n v="1"/>
    <n v="373"/>
    <n v="1529"/>
    <n v="4.0991957104557644"/>
    <s v="4. Transformative"/>
    <s v="2. Accommodating"/>
    <s v="4. Transformative"/>
    <s v="It tested new ways for fighting poverty and measured results of innovation"/>
    <s v="Moderate advocacy"/>
    <s v="It linked and worked with strategic alliances and partners to take tested and effective solutions to scale"/>
  </r>
  <r>
    <x v="9"/>
    <x v="0"/>
    <n v="2827"/>
    <s v="Healthy Women Healthy Workplace (HWHW)"/>
    <s v="Cambodia"/>
    <s v="KHM220/GSK3K/KH362"/>
    <s v="CARE UK"/>
    <s v="Corporation"/>
    <s v="Other"/>
    <s v="GlaxoSmithKline (GSK)"/>
    <m/>
    <m/>
    <m/>
    <m/>
    <m/>
    <m/>
    <m/>
    <m/>
    <m/>
    <m/>
    <m/>
    <m/>
    <m/>
    <m/>
    <m/>
    <m/>
    <m/>
    <m/>
    <m/>
    <m/>
    <m/>
    <m/>
    <m/>
    <m/>
    <m/>
    <m/>
    <m/>
    <m/>
    <m/>
    <m/>
    <m/>
    <m/>
    <m/>
    <m/>
    <m/>
    <m/>
    <m/>
    <m/>
    <m/>
    <m/>
    <m/>
    <m/>
    <m/>
    <m/>
    <m/>
    <d v="2016-05-01T00:00:00"/>
    <d v="2019-04-30T00:00:00"/>
    <m/>
    <s v="Development Sexual, Reproductive and Maternal Health (SRMH)"/>
    <n v="938542.05"/>
    <s v="Hemrin Aun"/>
    <s v="Monitoring and Evaluation Advisor"/>
    <s v="hemrin.aun@careint.org"/>
    <s v="Jan Noorlander"/>
    <s v="Assistant Country Director-Programs"/>
    <s v="Jan.Noorlander@careint.org"/>
    <s v="NO"/>
    <s v="YES"/>
    <s v="NO"/>
    <s v="Improve the SRMH and nutrition status of young, urban garment factory workers"/>
    <s v="Sub-National"/>
    <s v="Phnom Penh"/>
    <s v="Urban garment factory workers"/>
    <n v="27000"/>
    <n v="0"/>
    <n v="27000"/>
    <n v="96000"/>
    <n v="2000"/>
    <n v="98000"/>
    <s v="Direct participants: is the female factory workers. It is caculated as 90% of average number of total female workers from 15 target factories_x000a_Indirect participants: indirect participants for BCC activities inlcude male workers and two additional friends or family members the female workers will share with through vaious medium. Indirect participants for capacity building at health centers include the estimated number of non-factory clients who will recieve services for SRMH or nutrition."/>
    <m/>
    <m/>
    <m/>
    <m/>
    <m/>
    <m/>
    <m/>
    <m/>
    <m/>
    <m/>
    <m/>
    <m/>
    <m/>
    <m/>
    <m/>
    <m/>
    <m/>
    <m/>
    <m/>
    <m/>
    <m/>
    <m/>
    <m/>
    <m/>
    <m/>
    <m/>
    <m/>
    <m/>
    <m/>
    <m/>
    <m/>
    <m/>
    <m/>
    <m/>
    <m/>
    <m/>
    <m/>
    <m/>
    <m/>
    <m/>
    <m/>
    <m/>
    <m/>
    <m/>
    <m/>
    <m/>
    <m/>
    <m/>
    <m/>
    <m/>
    <m/>
    <m/>
    <m/>
    <m/>
    <m/>
    <m/>
    <m/>
    <m/>
    <m/>
    <m/>
    <n v="3264"/>
    <n v="0"/>
    <n v="3264"/>
    <n v="9500"/>
    <n v="456"/>
    <n v="9956"/>
    <m/>
    <m/>
    <m/>
    <m/>
    <m/>
    <m/>
    <m/>
    <m/>
    <m/>
    <m/>
    <m/>
    <m/>
    <m/>
    <m/>
    <m/>
    <m/>
    <m/>
    <m/>
    <m/>
    <m/>
    <m/>
    <m/>
    <m/>
    <m/>
    <s v="YES"/>
    <n v="3264"/>
    <n v="1"/>
    <n v="9956"/>
    <m/>
    <m/>
    <m/>
    <m/>
    <m/>
    <m/>
    <m/>
    <m/>
    <m/>
    <m/>
    <m/>
    <m/>
    <m/>
    <m/>
    <m/>
    <m/>
    <m/>
    <m/>
    <m/>
    <m/>
    <m/>
    <m/>
    <m/>
    <m/>
    <s v="YES"/>
    <n v="3264"/>
    <n v="1"/>
    <n v="9956"/>
    <m/>
    <m/>
    <m/>
    <m/>
    <m/>
    <m/>
    <m/>
    <m/>
    <m/>
    <m/>
    <m/>
    <m/>
    <m/>
    <s v="YES"/>
    <s v="August"/>
    <n v="2016"/>
    <s v="YES"/>
    <s v="NO"/>
    <m/>
    <m/>
    <s v="N.A"/>
    <x v="1"/>
    <s v="NO"/>
    <s v="NO"/>
    <s v="YES"/>
    <s v="YES"/>
    <s v="YES"/>
    <s v="NO"/>
    <s v="YES"/>
    <s v="NO"/>
    <m/>
    <x v="2"/>
    <s v="The project used the human-centered design (HCD) approach to develop the maternal &amp; newborn health (MNH) and nutrtion package. The products from HCD includes: video dramma for MNH and nutrition, counselling App for infirmary staff, food vendor experience and the works with Ring Tone Guy (RTG). We expect this pilot approach would bring positive changes to reach more factory female workers"/>
    <x v="1"/>
    <s v="In the factory: the project would work closely with factory management team to implement the SRH chat! Contraceptive package_x000a_With health service providers: the project work closely with Govt. health officials to implement youth friendly service activities at health facilities"/>
    <x v="1"/>
    <x v="0"/>
    <s v="YES"/>
    <x v="0"/>
    <x v="0"/>
    <x v="0"/>
    <x v="0"/>
    <n v="4"/>
    <x v="1"/>
    <x v="1"/>
    <x v="1"/>
    <x v="1"/>
    <x v="1"/>
    <x v="1"/>
    <n v="4"/>
    <x v="1"/>
    <x v="1"/>
    <x v="1"/>
    <x v="2"/>
    <x v="3"/>
    <n v="2"/>
    <x v="2"/>
    <x v="0"/>
    <n v="2"/>
    <s v="Local government(s)"/>
    <s v="National government"/>
    <m/>
    <x v="1"/>
    <m/>
    <s v="The project is modified by using the Human Center Design (HCD) for the development of BCC packages as an innovative solution. In addition , we also including CARE CI 2020 indicators in the baseline. Another area the project is looking for is to incoorpate SAA tool into the exisitng relevant project actvities. That  would address the existing gender norm for female workers to utilize SRMH services"/>
    <s v="Regular engagment the top factory management team in desgining and implementing of project activities is good way to increase mutuall understanding on the benefits project has had to the factory. It enhances a remarkable cooperation and coordination"/>
    <s v="Using Human Center Design (HCD) to develop the BCC package for MNH and Nutrition is innovative solution to refill the target needs and demand of factory workers for the service. It gives better chance to the target audience and relevant stakeholds at the begining stage of development to engage in a full process of activity design. The products of HCDs were under process of development and that inlcuded: Video drama, couselling Apps, food vendor experience and Ring Tone Service"/>
    <m/>
    <s v="Working with the factories need to be very flexible and often challenges to the delay of project activities implementation especially when the high season of factory production is coming. There is not specific timeframe for high season production. It usually vary depends on the orders from the buyer"/>
    <s v="Factory is a private and profitable firm that mostly emphasize on generating business income rathern a focus on improving worker's wellbeing. Thefore, it's always time consuming to explain and convince the factory managent team to collaborate and support the implementation of project health's activites in their factory. Sometimes, approaching to the factory through buyers or influencing Govt entity could be also a good solution"/>
    <s v="Inboxing female as the priority programming is what we have to do. But, engaging men in project activities is another considerable elements that project/program should take into account since the designing stage. So, working with female and male should start at same time. When male partners understands well on benefits and needs to female, they could support fully to female's decision making. For example, using modern contraceptive."/>
    <s v="Due to the time consumming to proceed the administrative procedure with 02 key ministiries (ministry of health and ministry of labor and vocational traininng) and to approach the new factories, The project start-up is 5 month behind the schedule. Therefore, the number of participants reached reflect to the period from Sep 16-Jun 17"/>
    <s v="Project proposal and key M&amp;E document, progress report are available at CARE Cambodia Office."/>
    <n v="3264"/>
    <n v="9956"/>
    <n v="3.0502450980392157"/>
    <n v="1"/>
    <n v="0.95419847328244278"/>
    <n v="3264"/>
    <n v="9500"/>
    <s v=""/>
    <n v="0"/>
    <n v="0"/>
    <s v=""/>
    <n v="1"/>
    <n v="3264"/>
    <n v="9956"/>
    <n v="3.0502450980392157"/>
    <n v="1"/>
    <n v="3264"/>
    <n v="9956"/>
    <n v="3.0502450980392157"/>
    <s v=""/>
    <n v="0"/>
    <n v="0"/>
    <s v=""/>
    <s v=""/>
    <n v="0"/>
    <n v="0"/>
    <s v=""/>
    <s v="2. Sensitive"/>
    <s v="2. Accommodating"/>
    <s v="1. Neutral"/>
    <s v="It tested new ways for fighting poverty and measured results of innovation"/>
    <s v="Moderate advocacy"/>
    <s v="It linked and worked with strategic alliances and partners to take tested and effective solutions to scale"/>
  </r>
  <r>
    <x v="9"/>
    <x v="0"/>
    <n v="2811"/>
    <s v="Implementation of Social Accountability Framework (ISAF)"/>
    <s v="Cambodia"/>
    <s v="KHM 218"/>
    <s v="CARE Deutschland-Luxemburg"/>
    <s v="Multilateral agency"/>
    <s v="EU - European Union (other than ECHO)"/>
    <s v="EU"/>
    <m/>
    <m/>
    <m/>
    <m/>
    <m/>
    <m/>
    <m/>
    <m/>
    <m/>
    <m/>
    <m/>
    <m/>
    <m/>
    <m/>
    <m/>
    <m/>
    <m/>
    <m/>
    <m/>
    <m/>
    <m/>
    <m/>
    <m/>
    <m/>
    <m/>
    <m/>
    <m/>
    <m/>
    <m/>
    <m/>
    <m/>
    <m/>
    <m/>
    <m/>
    <m/>
    <m/>
    <m/>
    <m/>
    <m/>
    <m/>
    <m/>
    <m/>
    <m/>
    <m/>
    <m/>
    <d v="2015-10-22T00:00:00"/>
    <d v="2018-08-22T00:00:00"/>
    <m/>
    <s v="Development Other"/>
    <n v="2512800"/>
    <s v="Hemrin Aun"/>
    <s v="Monitoring and Evaluation Advisor"/>
    <s v="hemrin.aun@careint.org"/>
    <s v="Jan Noorlander"/>
    <s v="Assistant Country Director-Programs"/>
    <s v="Jan.Noorlander@careint.org"/>
    <s v="NO"/>
    <s v="YES"/>
    <s v="NO"/>
    <s v="To reduce poverty through democratic, inclusive and equitable local governance and more accessible and equitable public service delivery."/>
    <s v="Sub-National"/>
    <s v="Ratanak Kiri, Mondul Kiri, Koh Kong, and Kampot  provinces"/>
    <s v="women, youth and ethnic minoirties, rural people in community in the coverage areas."/>
    <n v="14250"/>
    <n v="14250"/>
    <n v="28500"/>
    <n v="465049"/>
    <n v="451067"/>
    <n v="916116"/>
    <s v="• Direct beneficiary of ISAF project particular refer to specific individual participant, government, non-profit organization, and community members who funded and participated with ISAF activities funded and facilitated by ISAF project. It is covered in 71 communes 20 district within the 4 provinces calculation of participants included numbers of volunteers and staff of 25 NGOs partners, community members who regularly participated with ISAF activities/training and local authority that participate activities/training. _x000a__x000a_• Indirect beneficiary of ISAF project defined based on the population of coverage areas of the project. Because the project advocate and implement at national policy level and the awareness raising activities such as radio talk show, educational videos on social accountability are broadcasted national wide. The program strategically focus on governance system strengthening on the standard performance of the local service delivery such as primary school, health centre, and commune administrative. The whole population of the target areas covered impact from the project implementing. Each household and family access to local public services thus the result from the project might directly or indirectly influence."/>
    <m/>
    <m/>
    <m/>
    <m/>
    <m/>
    <m/>
    <m/>
    <m/>
    <m/>
    <m/>
    <m/>
    <m/>
    <m/>
    <m/>
    <m/>
    <m/>
    <m/>
    <m/>
    <m/>
    <m/>
    <m/>
    <m/>
    <m/>
    <m/>
    <m/>
    <m/>
    <m/>
    <m/>
    <m/>
    <m/>
    <m/>
    <m/>
    <m/>
    <m/>
    <m/>
    <m/>
    <m/>
    <m/>
    <m/>
    <m/>
    <m/>
    <m/>
    <m/>
    <m/>
    <m/>
    <m/>
    <m/>
    <m/>
    <m/>
    <m/>
    <m/>
    <m/>
    <m/>
    <m/>
    <m/>
    <m/>
    <m/>
    <m/>
    <m/>
    <m/>
    <n v="12963"/>
    <n v="9429"/>
    <n v="22392"/>
    <n v="465049"/>
    <n v="451067"/>
    <n v="916116"/>
    <m/>
    <m/>
    <m/>
    <m/>
    <m/>
    <m/>
    <m/>
    <m/>
    <m/>
    <m/>
    <m/>
    <m/>
    <m/>
    <m/>
    <m/>
    <m/>
    <m/>
    <m/>
    <m/>
    <m/>
    <s v="YES"/>
    <n v="22392"/>
    <n v="0.57999999999999996"/>
    <n v="916116"/>
    <m/>
    <m/>
    <m/>
    <m/>
    <m/>
    <m/>
    <m/>
    <m/>
    <m/>
    <m/>
    <m/>
    <m/>
    <s v="YES"/>
    <n v="22392"/>
    <n v="0.57999999999999996"/>
    <n v="916116"/>
    <m/>
    <m/>
    <m/>
    <m/>
    <m/>
    <m/>
    <m/>
    <m/>
    <s v="YES"/>
    <n v="22392"/>
    <n v="0.57999999999999996"/>
    <n v="916116"/>
    <m/>
    <m/>
    <m/>
    <m/>
    <m/>
    <m/>
    <m/>
    <m/>
    <m/>
    <m/>
    <m/>
    <m/>
    <m/>
    <m/>
    <m/>
    <m/>
    <m/>
    <s v="YES"/>
    <s v="January"/>
    <n v="2017"/>
    <s v="YES"/>
    <s v="NO"/>
    <m/>
    <m/>
    <s v="The Impact Evaluation (endline) for Implementation of Social Accountability Framework (ISAF) will be a joined assessment by INGOs members namely CARE, RACHA, World Vision,and Save the Children. This endline baseline will use similar method as baseline randomised control trial with simlar sample size with comparision before and afer as well as intervention and control areas. The endline plan to conduct after project ended (2 year after implementation, Dec 2018)"/>
    <x v="1"/>
    <s v="YES"/>
    <s v="NO"/>
    <s v="NO"/>
    <s v="YES"/>
    <s v="YES"/>
    <s v="NO"/>
    <s v="YES"/>
    <s v="NO"/>
    <m/>
    <x v="0"/>
    <s v="Not avialable, the project is working based on the national policy that have gape on demand side - citizen participation."/>
    <x v="1"/>
    <s v="The ISAF have undertake the process audit to test what's work, what's not work, and what've should be done better for the sustainability of the project. Some communes were piloting analysis to observe impact and find the strategic to be scale up and sustainable in the furture."/>
    <x v="0"/>
    <x v="1"/>
    <s v="YES"/>
    <x v="1"/>
    <x v="0"/>
    <x v="0"/>
    <x v="4"/>
    <n v="3"/>
    <x v="2"/>
    <x v="1"/>
    <x v="1"/>
    <x v="1"/>
    <x v="1"/>
    <x v="2"/>
    <n v="4"/>
    <x v="2"/>
    <x v="1"/>
    <x v="1"/>
    <x v="1"/>
    <x v="2"/>
    <n v="3"/>
    <x v="2"/>
    <x v="3"/>
    <n v="30"/>
    <s v="National government"/>
    <s v="Local NGO(s)/CSO(s)"/>
    <s v="Local government(s)"/>
    <x v="0"/>
    <s v="The main tasks under this project are to build the capacity of LNGOs (CARE’s sub-grantees) in the area of financial management and monitoring and evaluation enabling their capacity to be able to work effectively and efficiency. They trained to use Community Scorecard in the their advocacy, citizen engagement and strengthen local governances, improving service deliveries. _x000a_The 27 local NGOs partnered Implementation Social Accountability Framework in Cambodia which aims to empower citizens, strengthen partnerships between sub-national administrations (SNAs) and citizens, and enhance the accountability of local service providers and to implement the full four components:_x000a_(1) Access to information and open budgets_x000a_(2) Citizen monitoring_x000a_(3) Facilitation and capacity building _x000a_(4) Learning and monitoring."/>
    <s v="During the implementation of the activities, there is no change yet to happen. However, the program team did proposed an amendment on partnership agreement. The program want to select two consultant firm to provide more capacity building to local NGOs specifically on financial management and monitoring and evaluation. However, it is rejected by EU – the donor of the project."/>
    <s v="Community Accountability Facilitators (CAFs)"/>
    <s v="Community Score Cards (CSCs)"/>
    <s v="Information for Citizen (I4C) packages awareness raising on rights of citizen access to service dileveries and and standard performance of local service deliveries in primary school, health centre, and commune administrative."/>
    <s v="Supply side collaboration: strengthening relationship between supply-side and demand-side creates enabling environment to smoother social accountability implementation process, this helps strengthen civil society and creates a more democratic relationship between government agencies and the community. Experience shows that there are several good practices of approaching and engaging officials. It starts with  informing the authorities about implementing activities clearly and in a timely way, from the senior level down to the local level; it increases the responsiveness of officials and promotes partnership. Besides, using formal invitation letters and sharing progress reports regularly with government officials help to better engage with the authorities."/>
    <s v="CAF Selection: trustful and active CAFs are important in ensuring successful social accountability framework implementation. It turned out that people who have good reputations and are well-known in their community were able to mobilize citizen more effectively. For Ratanak Kiri and Mondul Kiri, CAFs who are from ethnic minority communities have high potential to mobilize citizens and use multiple languages to communicate information for citizen and facilitate scorecards.  In addition to this, CARE Cambodia became aware that having a wide range of age groups represented in CAF selection was beneficial to facilitate and mobilize citizen to participate with I-SAF activites."/>
    <s v="Peer learning improved skill of community accountability facilitators (CAFs):  besides the training through demand side operational guideline, Implementing Partners reported found that peer to peer learning helps community accountability facilitators to gain confidence in social accountability framework implementation particularly information for citizen dissemination and facilitation of community score card. Thus, providing more time for community accountability facilitators to meet and discuss is helpful to build trust and build skills to facilitate the process."/>
    <s v="The baseline evaluation of the project should conduct earlier. As a lesson learn from this, it is recommended that the baseline should conduct by CARE individually because when cooperate with other CSOs who implement ISAF CARE could not control the timeline to deliver the result of the baseline. Anyway, there is pro and con in term of budgeting."/>
    <s v="ISAF annual report 2016 _x000a_ISAF semi-annual report 2017"/>
    <n v="22392"/>
    <n v="916116"/>
    <n v="40.912647374062168"/>
    <n v="0.57891211146838162"/>
    <n v="0.50763112968226731"/>
    <n v="12963"/>
    <n v="465049"/>
    <s v=""/>
    <n v="0"/>
    <n v="0"/>
    <s v=""/>
    <s v=""/>
    <n v="0"/>
    <n v="0"/>
    <s v=""/>
    <s v=""/>
    <n v="0"/>
    <n v="0"/>
    <s v=""/>
    <s v=""/>
    <n v="0"/>
    <n v="0"/>
    <s v=""/>
    <s v=""/>
    <n v="0"/>
    <n v="0"/>
    <s v=""/>
    <s v="3. Responsive"/>
    <s v="4. Transformational"/>
    <s v="0. Harmful"/>
    <s v="It did not develop any specific innovation"/>
    <s v="Moderate advocacy"/>
    <s v="It linked and worked with strategic alliances and partners to take tested and effective solutions to scale"/>
  </r>
  <r>
    <x v="9"/>
    <x v="0"/>
    <n v="2826"/>
    <s v="Improvement for Health Service Delivery in Remote and Marginalized Communities of Cambodia (GSK 20% REINVESTMENT INITITIATIVE ), and MCAT and sustainability (a new extention from Mar to Oct 2017)"/>
    <s v="Cambodia"/>
    <s v="KHM 200, GSK3K/KH333"/>
    <s v="CARE UK"/>
    <s v="Corporation"/>
    <s v="Other"/>
    <s v="GlaxoSmithKline (GSK)"/>
    <s v="KHM225,GS3K/KH373"/>
    <s v="CARE UK"/>
    <s v="Corporation"/>
    <s v="Other"/>
    <s v="GlaxoSmithKline (GSK)"/>
    <m/>
    <m/>
    <m/>
    <m/>
    <m/>
    <m/>
    <m/>
    <m/>
    <m/>
    <m/>
    <m/>
    <m/>
    <m/>
    <m/>
    <m/>
    <m/>
    <m/>
    <m/>
    <m/>
    <m/>
    <m/>
    <m/>
    <m/>
    <m/>
    <m/>
    <m/>
    <m/>
    <m/>
    <m/>
    <m/>
    <m/>
    <m/>
    <m/>
    <m/>
    <m/>
    <m/>
    <m/>
    <m/>
    <m/>
    <m/>
    <d v="2015-12-01T00:00:00"/>
    <d v="2016-11-30T00:00:00"/>
    <d v="2017-10-30T00:00:00"/>
    <s v="Development Sexual, Reproductive and Maternal Health (SRMH)"/>
    <n v="166770.48000000001"/>
    <s v="Hemrin Aun"/>
    <s v="Monitoring and Evaluation Advisor"/>
    <s v="hemrin.aun@careint.org"/>
    <s v="Jan Noorlander"/>
    <s v="Assistant Country Director-Programs"/>
    <s v="Jan.Noorlander@careint.org"/>
    <s v="NO"/>
    <s v="YES"/>
    <s v="NO"/>
    <s v="To contribute to the reduction of maternal and neonatal mortality through increasing access to and the quality of sexual, reproductive, maternal, neonatal and child health services"/>
    <s v="Sub-National"/>
    <s v="The project has undertaken in Koh Koh Province located in the southwestern of Cambodia. It covered 02 operational districts, 12 health centers and 62 villages"/>
    <s v="Rural women of Reproductive age and children under 5"/>
    <n v="6480"/>
    <n v="5520"/>
    <n v="12000"/>
    <n v="13230"/>
    <n v="13770"/>
    <n v="27000"/>
    <s v="Direct participants: women, girl, men and boys who directly utilized the health services at target health facilities_x000a_Indirect participants: family members percieved the benefits from project participants who attended the community health education. It's estimated to have 4 members per households as an indirect beneficiaries"/>
    <m/>
    <m/>
    <m/>
    <m/>
    <m/>
    <m/>
    <m/>
    <m/>
    <m/>
    <m/>
    <m/>
    <m/>
    <m/>
    <m/>
    <m/>
    <m/>
    <m/>
    <m/>
    <m/>
    <m/>
    <m/>
    <m/>
    <m/>
    <m/>
    <m/>
    <m/>
    <m/>
    <m/>
    <m/>
    <m/>
    <m/>
    <m/>
    <m/>
    <m/>
    <m/>
    <m/>
    <m/>
    <m/>
    <m/>
    <m/>
    <m/>
    <m/>
    <m/>
    <m/>
    <m/>
    <m/>
    <m/>
    <m/>
    <m/>
    <m/>
    <m/>
    <m/>
    <m/>
    <m/>
    <m/>
    <m/>
    <m/>
    <m/>
    <m/>
    <m/>
    <n v="11346"/>
    <n v="3162"/>
    <n v="14508"/>
    <n v="12407"/>
    <n v="12913"/>
    <n v="25320"/>
    <m/>
    <m/>
    <m/>
    <m/>
    <m/>
    <m/>
    <m/>
    <m/>
    <m/>
    <m/>
    <m/>
    <m/>
    <m/>
    <m/>
    <m/>
    <m/>
    <m/>
    <m/>
    <m/>
    <m/>
    <m/>
    <m/>
    <m/>
    <m/>
    <m/>
    <m/>
    <m/>
    <m/>
    <m/>
    <m/>
    <m/>
    <m/>
    <m/>
    <m/>
    <m/>
    <m/>
    <s v="YES"/>
    <n v="6874"/>
    <n v="0.54"/>
    <n v="0"/>
    <m/>
    <m/>
    <m/>
    <m/>
    <m/>
    <m/>
    <m/>
    <m/>
    <m/>
    <m/>
    <m/>
    <m/>
    <s v="YES"/>
    <n v="7634"/>
    <n v="1"/>
    <n v="25320"/>
    <m/>
    <m/>
    <m/>
    <m/>
    <m/>
    <m/>
    <m/>
    <m/>
    <m/>
    <m/>
    <m/>
    <m/>
    <m/>
    <s v="NO"/>
    <m/>
    <m/>
    <m/>
    <s v="NO"/>
    <m/>
    <m/>
    <s v="N.A"/>
    <x v="1"/>
    <s v="NO"/>
    <s v="NO"/>
    <s v="YES"/>
    <s v="YES"/>
    <s v="NO"/>
    <s v="NO"/>
    <s v="NO"/>
    <s v="NO"/>
    <m/>
    <x v="0"/>
    <m/>
    <x v="0"/>
    <m/>
    <x v="0"/>
    <x v="0"/>
    <s v="YES"/>
    <x v="0"/>
    <x v="0"/>
    <x v="0"/>
    <x v="0"/>
    <n v="4"/>
    <x v="1"/>
    <x v="1"/>
    <x v="1"/>
    <x v="1"/>
    <x v="1"/>
    <x v="1"/>
    <n v="4"/>
    <x v="1"/>
    <x v="1"/>
    <x v="2"/>
    <x v="1"/>
    <x v="3"/>
    <n v="2"/>
    <x v="2"/>
    <x v="3"/>
    <n v="2"/>
    <s v="Local government(s)"/>
    <s v="National government"/>
    <m/>
    <x v="1"/>
    <m/>
    <s v="No adjustment was made as the project was finished by Nov 2016"/>
    <s v="Midwifery Coordination Alliance Team (MCAT) meeting and on-job-coaching supportive suppervision at health center base (including the follow-up on the clinical skill practice) are the effective mechanism/approach to build the clinincal capacity and improve confidence of frontline midwives in delivering the quality of health care service, particularly for those freshly graduating from training programs with the lack of practical opportunities to deliver babies during the trainings. This mechanism is seen to sustain reductions in maternal and neonatal mortality"/>
    <m/>
    <m/>
    <s v="Capacity building of HC midwives through MCAT meetings is a great way of learning, providing all midwives the opportunity to practice their clinical skills and share their"/>
    <m/>
    <m/>
    <s v="The project was finished by Nov 2016. A new extented agreement was contracted from Mar - Oct 2017 to support Midwifery Coordination Alliance Team Meeting and support to health center to build capacity of Midwives on sexual reproductive, maternal and newborn health, which is part of the previous project. The new contract aim to advocate to provinical health department to keep continue this activities after the project ended."/>
    <s v="The 6-month progress report and annual report are available at CARE CO stored drive, to be provided up on request"/>
    <n v="14508"/>
    <n v="25320"/>
    <n v="1.7452440033085195"/>
    <n v="0.78205128205128205"/>
    <n v="0.4900078988941548"/>
    <n v="11346"/>
    <n v="12407"/>
    <s v=""/>
    <n v="0"/>
    <n v="0"/>
    <s v=""/>
    <s v=""/>
    <n v="0"/>
    <n v="0"/>
    <s v=""/>
    <n v="1"/>
    <n v="7634"/>
    <n v="25320"/>
    <n v="3.3167408959916163"/>
    <s v=""/>
    <n v="0"/>
    <n v="0"/>
    <s v=""/>
    <s v=""/>
    <n v="0"/>
    <n v="0"/>
    <s v=""/>
    <s v="2. Sensitive"/>
    <s v="2. Accommodating"/>
    <s v="1. Neutral"/>
    <s v="It did not develop any specific innovation"/>
    <s v="Moderate advocacy"/>
    <s v="It did not take tested solutions to scale"/>
  </r>
  <r>
    <x v="9"/>
    <x v="0"/>
    <n v="2817"/>
    <s v="Know &amp; Grow (2817), Microscopes Project (2816) and Team4Teach (new project)"/>
    <s v="Cambodia"/>
    <s v="KHM 213  KH351"/>
    <s v="CARE USA"/>
    <s v="Foundation"/>
    <s v="Other"/>
    <s v="Patsy Collins Trust Fund Initiative (PCTFI)"/>
    <s v="KHM040/ KH361"/>
    <s v="CARE USA"/>
    <s v="Foundation"/>
    <s v="Other"/>
    <s v="Ping Y. Tai Foundation"/>
    <s v="KHM224/KH369"/>
    <s v="CARE USA"/>
    <s v="Corporation"/>
    <s v="Other"/>
    <s v="Team 4 Tech"/>
    <m/>
    <m/>
    <m/>
    <m/>
    <m/>
    <m/>
    <m/>
    <m/>
    <m/>
    <m/>
    <m/>
    <m/>
    <m/>
    <m/>
    <m/>
    <m/>
    <m/>
    <m/>
    <m/>
    <m/>
    <m/>
    <m/>
    <m/>
    <m/>
    <m/>
    <m/>
    <m/>
    <m/>
    <m/>
    <m/>
    <m/>
    <m/>
    <m/>
    <m/>
    <m/>
    <d v="2015-02-15T00:00:00"/>
    <d v="2020-06-30T00:00:00"/>
    <m/>
    <s v="Development Access to and Control over Economic Resources"/>
    <n v="1233057"/>
    <s v="Hemrin Aun"/>
    <s v="Monitoring and Evaluation Advisor"/>
    <s v="hemrin.aun@careint.org"/>
    <s v="Jan Noorlander"/>
    <s v="Assistant Country Director-Programs"/>
    <s v="Jan.Noorlander@careint.org"/>
    <s v="NO"/>
    <s v="YES"/>
    <s v="NO"/>
    <s v="To improve marginalized ethnic minority adolescent girls and boys to expand their life options through access to quality learning for the 21st Century and equip them with the knowledge and skills needed to be engaged ASEAN citizens in preparation for ASEAN integration 2015"/>
    <s v="Sub-National"/>
    <s v="Ratanak Kiri province of Cambodia covering 11 lower secondary schools."/>
    <s v="Ethnic minority girls and boys enrolled in 11 target lower secondary schools (grade 7-9) in rural areas of Ratanak Kiri Province"/>
    <n v="3847"/>
    <n v="4344"/>
    <n v="8190"/>
    <n v="16157"/>
    <n v="18245"/>
    <n v="34402"/>
    <s v="The direct beneficiary is an estimated total number of students and teachers grade 7-9 that study at the 11 schools and one more high school in Banlong under the project converage areas for period 2015-2020 under the life of the project. _x000a_The indirect beneficiary is estimated based on the average of number of members of family size (5.1 people per housewhole) by multiply to the total number of students,  as assume that each students will get indirect impact to their family members in their community."/>
    <m/>
    <m/>
    <m/>
    <m/>
    <m/>
    <m/>
    <m/>
    <m/>
    <m/>
    <m/>
    <m/>
    <m/>
    <m/>
    <m/>
    <m/>
    <m/>
    <m/>
    <m/>
    <m/>
    <m/>
    <m/>
    <m/>
    <m/>
    <m/>
    <m/>
    <m/>
    <m/>
    <m/>
    <m/>
    <m/>
    <m/>
    <m/>
    <m/>
    <m/>
    <m/>
    <m/>
    <m/>
    <m/>
    <m/>
    <m/>
    <m/>
    <m/>
    <m/>
    <m/>
    <m/>
    <m/>
    <m/>
    <m/>
    <m/>
    <m/>
    <m/>
    <m/>
    <m/>
    <m/>
    <m/>
    <m/>
    <m/>
    <m/>
    <m/>
    <m/>
    <n v="1521"/>
    <n v="1943"/>
    <n v="3464"/>
    <n v="0"/>
    <n v="0"/>
    <n v="0"/>
    <m/>
    <m/>
    <m/>
    <m/>
    <m/>
    <m/>
    <m/>
    <m/>
    <m/>
    <m/>
    <m/>
    <m/>
    <m/>
    <m/>
    <m/>
    <m/>
    <m/>
    <m/>
    <m/>
    <m/>
    <s v="YES"/>
    <n v="3464"/>
    <n v="0.44"/>
    <n v="0"/>
    <m/>
    <m/>
    <m/>
    <m/>
    <m/>
    <m/>
    <m/>
    <m/>
    <s v="YES"/>
    <n v="3464"/>
    <n v="0.44"/>
    <n v="0"/>
    <m/>
    <m/>
    <m/>
    <m/>
    <m/>
    <m/>
    <m/>
    <m/>
    <m/>
    <m/>
    <m/>
    <m/>
    <m/>
    <m/>
    <m/>
    <m/>
    <s v="YES"/>
    <n v="36"/>
    <n v="0.5"/>
    <n v="0"/>
    <m/>
    <m/>
    <m/>
    <m/>
    <s v="YES"/>
    <n v="1521"/>
    <n v="1"/>
    <n v="0"/>
    <m/>
    <m/>
    <m/>
    <m/>
    <m/>
    <s v="YES"/>
    <s v="December"/>
    <n v="2016"/>
    <s v="NO"/>
    <s v="NO"/>
    <m/>
    <m/>
    <m/>
    <x v="1"/>
    <s v="NO"/>
    <s v="NO"/>
    <s v="YES"/>
    <s v="YES"/>
    <s v="YES"/>
    <s v="NO"/>
    <s v="NO"/>
    <s v="NO"/>
    <m/>
    <x v="1"/>
    <s v="The project aims to improve application of ICT into lower secondary schools, thus will measure education outcome of the student as compare with students/schools that did not use the ICT. In addition, SRH subject were included into the training to improve knowledge of student, that expect delay early age of pregnency,  as it is one of the concern issue."/>
    <x v="0"/>
    <m/>
    <x v="1"/>
    <x v="1"/>
    <s v="YES"/>
    <x v="0"/>
    <x v="0"/>
    <x v="0"/>
    <x v="2"/>
    <n v="4"/>
    <x v="1"/>
    <x v="1"/>
    <x v="1"/>
    <x v="1"/>
    <x v="1"/>
    <x v="1"/>
    <n v="4"/>
    <x v="2"/>
    <x v="1"/>
    <x v="2"/>
    <x v="2"/>
    <x v="2"/>
    <n v="1"/>
    <x v="2"/>
    <x v="0"/>
    <n v="2"/>
    <s v="Local government(s)"/>
    <s v="Other"/>
    <m/>
    <x v="1"/>
    <m/>
    <s v="no important change"/>
    <s v="Due to the delay of consutant selection to conduct baseline, the project activities was also delayed, there was no top strategy or model to be indentify and prove effective yet."/>
    <m/>
    <m/>
    <s v="The project is relied on consultant to develop application for career counseling; however, after the consultant completed their task, they could not manage to develop the prototype for developement the mobile app yet. This lead to deley some activities at the ground."/>
    <m/>
    <m/>
    <m/>
    <s v="baseline report is available up on request."/>
    <n v="3464"/>
    <n v="0"/>
    <n v="0"/>
    <n v="0.43908775981524251"/>
    <s v=""/>
    <n v="1521"/>
    <n v="0"/>
    <s v=""/>
    <n v="0"/>
    <n v="0"/>
    <s v=""/>
    <s v=""/>
    <n v="0"/>
    <n v="0"/>
    <s v=""/>
    <n v="1"/>
    <n v="36"/>
    <n v="0"/>
    <n v="0"/>
    <s v=""/>
    <n v="0"/>
    <n v="0"/>
    <s v=""/>
    <n v="1"/>
    <n v="1521"/>
    <n v="0"/>
    <n v="0"/>
    <s v="4. Transformative"/>
    <s v="2. Accommodating"/>
    <s v="0. Harmful"/>
    <s v="It tested new ways for fighting poverty, but did not measure results of innovation"/>
    <s v="Moderate advocacy"/>
    <s v="It did not take tested solutions to scale"/>
  </r>
  <r>
    <x v="9"/>
    <x v="0"/>
    <n v="2833"/>
    <s v="Labour Rights for Female Cosntruction Workers"/>
    <s v="Cambodia"/>
    <s v="KHM219,   KH360"/>
    <s v="CARE Österreich"/>
    <s v="Multilateral agency"/>
    <s v="EU - European Union (other than ECHO)"/>
    <s v="EU"/>
    <m/>
    <m/>
    <m/>
    <m/>
    <m/>
    <m/>
    <m/>
    <m/>
    <m/>
    <m/>
    <m/>
    <m/>
    <m/>
    <m/>
    <m/>
    <m/>
    <m/>
    <m/>
    <m/>
    <m/>
    <m/>
    <m/>
    <m/>
    <m/>
    <m/>
    <m/>
    <m/>
    <m/>
    <m/>
    <m/>
    <m/>
    <m/>
    <m/>
    <m/>
    <m/>
    <m/>
    <m/>
    <m/>
    <m/>
    <m/>
    <m/>
    <m/>
    <m/>
    <m/>
    <m/>
    <d v="2016-01-01T00:00:00"/>
    <d v="2018-12-30T00:00:00"/>
    <m/>
    <s v="Development Access to and Control over Economic Resources"/>
    <m/>
    <s v="Hemrin Aun"/>
    <s v="Monitoring and Evaluation Advisor"/>
    <s v="hemrin.aun@careint.org"/>
    <s v="Jan Noorlander"/>
    <s v="Assistant Country Director-Programs"/>
    <s v="Jan.Noorlander@careint.org"/>
    <s v="NO"/>
    <s v="YES"/>
    <s v="NO"/>
    <s v="To advocate for and promote implementation of fundalmental labour rights and protections for women in the construction sector in Cambodia."/>
    <s v="Sub-National"/>
    <s v="Seven districts covered in Phnom Pehn city"/>
    <s v="Female Construction Workers"/>
    <n v="3000"/>
    <n v="300"/>
    <n v="3300"/>
    <n v="60000"/>
    <n v="140000"/>
    <n v="200000"/>
    <s v="3,000 female construction direct contact through, a database (Visual Basic Application) and Microsoft Excell developed by project partner (CWDP) to ensure no double counting. CARE ATS will countitue to store the number. The data from Ministry of Urband planning in late 2016 Have said construction sector have provide a job to 190,000 to 200,000 workers per day across country and in Phnom Penh it has provided to 140,000 to 150,000 per day. The assumption of 20% are women."/>
    <m/>
    <m/>
    <m/>
    <m/>
    <m/>
    <m/>
    <m/>
    <m/>
    <m/>
    <m/>
    <m/>
    <m/>
    <m/>
    <m/>
    <m/>
    <m/>
    <m/>
    <m/>
    <m/>
    <m/>
    <m/>
    <m/>
    <m/>
    <m/>
    <m/>
    <m/>
    <m/>
    <m/>
    <m/>
    <m/>
    <m/>
    <m/>
    <m/>
    <m/>
    <m/>
    <m/>
    <m/>
    <m/>
    <m/>
    <m/>
    <m/>
    <m/>
    <m/>
    <m/>
    <m/>
    <m/>
    <m/>
    <m/>
    <m/>
    <m/>
    <m/>
    <m/>
    <m/>
    <m/>
    <m/>
    <m/>
    <m/>
    <m/>
    <m/>
    <m/>
    <n v="1242"/>
    <n v="77"/>
    <n v="1319"/>
    <n v="2071"/>
    <n v="1600"/>
    <n v="3671"/>
    <m/>
    <m/>
    <m/>
    <m/>
    <m/>
    <m/>
    <m/>
    <m/>
    <m/>
    <m/>
    <m/>
    <m/>
    <m/>
    <m/>
    <m/>
    <m/>
    <m/>
    <m/>
    <m/>
    <m/>
    <m/>
    <m/>
    <m/>
    <m/>
    <m/>
    <m/>
    <m/>
    <m/>
    <m/>
    <m/>
    <m/>
    <m/>
    <s v="YES"/>
    <n v="573"/>
    <n v="0.88149999999999995"/>
    <n v="3671"/>
    <m/>
    <m/>
    <m/>
    <m/>
    <m/>
    <m/>
    <m/>
    <m/>
    <m/>
    <m/>
    <m/>
    <m/>
    <s v="YES"/>
    <m/>
    <m/>
    <m/>
    <m/>
    <m/>
    <m/>
    <m/>
    <m/>
    <m/>
    <m/>
    <m/>
    <s v="YES"/>
    <n v="501"/>
    <n v="0.85"/>
    <n v="3671"/>
    <s v="Occupational Safety and Health"/>
    <s v="YES"/>
    <n v="245"/>
    <n v="1"/>
    <n v="3671"/>
    <s v="NO"/>
    <m/>
    <m/>
    <m/>
    <s v="NO"/>
    <m/>
    <m/>
    <s v="Endline evaluation to confirm project logframe, as compare to the baseline, CARE plan to conduct Dec 2018."/>
    <x v="1"/>
    <s v="NO"/>
    <s v="NO"/>
    <s v="YES"/>
    <s v="YES"/>
    <s v="YES"/>
    <s v="NO"/>
    <s v="NO"/>
    <s v="NO"/>
    <m/>
    <x v="0"/>
    <m/>
    <x v="1"/>
    <s v="BWTUC (a construction worker union) is a strategies alline with CARE in promoting Female union leaders and will be represent FCWs voice and at the federation level"/>
    <x v="1"/>
    <x v="1"/>
    <s v="YES"/>
    <x v="0"/>
    <x v="1"/>
    <x v="0"/>
    <x v="4"/>
    <n v="3"/>
    <x v="1"/>
    <x v="1"/>
    <x v="1"/>
    <x v="1"/>
    <x v="2"/>
    <x v="1"/>
    <n v="3"/>
    <x v="1"/>
    <x v="2"/>
    <x v="1"/>
    <x v="1"/>
    <x v="3"/>
    <n v="2"/>
    <x v="2"/>
    <x v="3"/>
    <n v="3"/>
    <s v="Local NGO(s)/CSO(s)"/>
    <s v="Labor union(s)"/>
    <m/>
    <x v="0"/>
    <s v="Srtenthening the capacity of local partner/ Union Labour on gender sensitivity and increase Trade Union female Leadership"/>
    <s v="No. The project new project in new sector which CARE need to learn and explore of how to the best acheivement."/>
    <s v="continue to make relationship with private sector in construction sector."/>
    <s v="Working with Project technical working group to be able to collect evidence to inform for law change, while Union sitting in national tripatized dialogue"/>
    <s v="Business analysis informing the engagment of private sector to protect their female workers working condition."/>
    <s v="Simliar to first PIIRs, The construction sector in Cambodia is a new industry for CARE so we are learning lessons about the structure of companies and how things work. Most challenging is to find out how the supply chain down the line is working."/>
    <s v="Gender equality sensitivties in construction is not an priority but working condition for worker is more important for protection that should be gieven by employer."/>
    <s v="The role of Trade union is very important to kick off the action plan to advocate to better protection by the law."/>
    <m/>
    <s v="Business analysis http://docs.wixstatic.com/ugd/ff000a_7b76539ee8aa4cfe9f3bed735ce7947b.pdf"/>
    <n v="1319"/>
    <n v="3671"/>
    <n v="2.78316906747536"/>
    <n v="0.94162244124336614"/>
    <n v="0.56415145736856442"/>
    <n v="1242"/>
    <n v="2071"/>
    <s v=""/>
    <n v="0"/>
    <n v="0"/>
    <s v=""/>
    <s v=""/>
    <n v="0"/>
    <n v="0"/>
    <s v=""/>
    <s v=""/>
    <n v="0"/>
    <n v="0"/>
    <s v=""/>
    <s v=""/>
    <n v="0"/>
    <n v="0"/>
    <s v=""/>
    <n v="1"/>
    <n v="501"/>
    <n v="3671"/>
    <n v="7.3273453093812373"/>
    <s v="3. Responsive"/>
    <s v="2. Accommodating"/>
    <s v="1. Neutral"/>
    <s v="It did not develop any specific innovation"/>
    <s v="Moderate advocacy"/>
    <s v="It linked and worked with strategic alliances and partners to take tested and effective solutions to scale"/>
  </r>
  <r>
    <x v="9"/>
    <x v="0"/>
    <m/>
    <s v="Lendwithcare"/>
    <s v="Cambodia"/>
    <m/>
    <s v="CARE UK"/>
    <s v="Individual supporter"/>
    <s v="Other"/>
    <m/>
    <m/>
    <s v="CARE UK"/>
    <s v="Foundation"/>
    <s v="Other"/>
    <s v="The Jimmy Choo Foundation"/>
    <m/>
    <m/>
    <m/>
    <m/>
    <m/>
    <m/>
    <m/>
    <m/>
    <m/>
    <m/>
    <m/>
    <m/>
    <m/>
    <m/>
    <m/>
    <m/>
    <m/>
    <m/>
    <m/>
    <m/>
    <m/>
    <m/>
    <m/>
    <m/>
    <m/>
    <m/>
    <m/>
    <m/>
    <m/>
    <m/>
    <m/>
    <m/>
    <m/>
    <m/>
    <m/>
    <m/>
    <m/>
    <m/>
    <m/>
    <m/>
    <d v="2016-07-01T00:00:00"/>
    <d v="2017-06-30T00:00:00"/>
    <m/>
    <s v="Development Access to and Control over Economic Resources"/>
    <n v="755469"/>
    <s v="Tracey Horner"/>
    <s v="Head of Lendwithcare"/>
    <s v="horner@careinternational.org"/>
    <m/>
    <m/>
    <m/>
    <s v="NO"/>
    <s v="YES"/>
    <s v="NO"/>
    <s v="Provide loan capital to poor and low-income individuals, mainly women, who want to start or expand a small business."/>
    <s v="Sub-National"/>
    <s v="The province of Battambang."/>
    <s v="Women and men with existing income-generating activities who are excluded from the formal financial sector. The main impact group in Cambodia are rural farmers."/>
    <n v="327"/>
    <n v="128"/>
    <n v="455"/>
    <n v="710"/>
    <n v="2055"/>
    <n v="2765"/>
    <s v="Direct participants are those who received a loan to invest in their business from Lendwithcare lenders._x000a__x000a_Indirect participants have been calculated by adding up all of the dependents of the entrepreneurs who received a loan in FY17 and the people who have been employed in their businesses. We are not able to disaggregate the data for indirect participants by male and female so I have disaggregated the dependents number based on a UN consensus and the number of employees by 10:90 (female:male) since most of the work is casual farm labour, which is predominantly done by men."/>
    <m/>
    <m/>
    <m/>
    <m/>
    <m/>
    <m/>
    <m/>
    <m/>
    <m/>
    <m/>
    <m/>
    <m/>
    <m/>
    <m/>
    <m/>
    <m/>
    <m/>
    <m/>
    <m/>
    <m/>
    <m/>
    <m/>
    <m/>
    <m/>
    <m/>
    <m/>
    <m/>
    <m/>
    <m/>
    <m/>
    <m/>
    <m/>
    <m/>
    <m/>
    <m/>
    <m/>
    <m/>
    <m/>
    <m/>
    <m/>
    <m/>
    <m/>
    <m/>
    <m/>
    <m/>
    <m/>
    <m/>
    <m/>
    <m/>
    <m/>
    <m/>
    <m/>
    <m/>
    <m/>
    <m/>
    <m/>
    <m/>
    <m/>
    <m/>
    <m/>
    <n v="327"/>
    <n v="128"/>
    <n v="455"/>
    <n v="710"/>
    <n v="2055"/>
    <n v="2765"/>
    <m/>
    <m/>
    <m/>
    <m/>
    <m/>
    <m/>
    <m/>
    <m/>
    <m/>
    <m/>
    <m/>
    <m/>
    <m/>
    <m/>
    <m/>
    <m/>
    <m/>
    <m/>
    <m/>
    <m/>
    <m/>
    <m/>
    <m/>
    <m/>
    <m/>
    <m/>
    <m/>
    <m/>
    <m/>
    <m/>
    <m/>
    <m/>
    <m/>
    <m/>
    <m/>
    <m/>
    <m/>
    <m/>
    <m/>
    <m/>
    <m/>
    <m/>
    <m/>
    <m/>
    <m/>
    <m/>
    <m/>
    <m/>
    <m/>
    <m/>
    <m/>
    <m/>
    <m/>
    <m/>
    <m/>
    <m/>
    <m/>
    <m/>
    <m/>
    <m/>
    <s v="YES"/>
    <n v="455"/>
    <n v="0.72"/>
    <n v="2765"/>
    <m/>
    <m/>
    <m/>
    <m/>
    <m/>
    <s v="YES"/>
    <s v="June"/>
    <n v="2017"/>
    <s v="YES"/>
    <s v="NO"/>
    <m/>
    <m/>
    <m/>
    <x v="0"/>
    <m/>
    <m/>
    <m/>
    <m/>
    <m/>
    <m/>
    <m/>
    <m/>
    <m/>
    <x v="0"/>
    <m/>
    <x v="0"/>
    <m/>
    <x v="0"/>
    <x v="3"/>
    <m/>
    <x v="2"/>
    <x v="2"/>
    <x v="2"/>
    <x v="5"/>
    <n v="0"/>
    <x v="3"/>
    <x v="0"/>
    <x v="0"/>
    <x v="0"/>
    <x v="0"/>
    <x v="3"/>
    <n v="0"/>
    <x v="2"/>
    <x v="0"/>
    <x v="0"/>
    <x v="0"/>
    <x v="2"/>
    <n v="0"/>
    <x v="1"/>
    <x v="2"/>
    <n v="1"/>
    <s v="Private sector"/>
    <m/>
    <m/>
    <x v="1"/>
    <m/>
    <s v="There were no important changes or adjustments made."/>
    <s v="Microfinance was used as the strategy to meet our Financial Inclusion and WEE objevtives."/>
    <s v="Peer-to-peer lending was used as the strategy to raise loan capital for the beneficiaries businesses."/>
    <s v="A Social Performance and Impact rating was used to monitor the social impact of our implementing partner."/>
    <s v="Changes to the operating status of an implementing partner can have an impact on how effectively they can meet their social mission."/>
    <s v="Big fluctuations in foreign currency (especially during politically uncertain times) impacts on the amount of money received by our implementing partners."/>
    <m/>
    <s v="This is an on-going project so we do not have a budget for the life-time of the project. The number given here is how much loan capital was raised through the Lendwithcare platform for Cambodia in FY17._x000a__x000a_Lendwithcare does not use gender, resilience or governance scorecards as part of its programming so we have had to answer no to all the questions related to these. However, an outcome of 'harmful' (particularly with regards to women's empowerment and gender equality) seems in accurate since this initiatve focuses heavily on Women's Economic Empowerment, with 72% beneficiaries that are female."/>
    <m/>
    <n v="455"/>
    <n v="2765"/>
    <n v="6.0769230769230766"/>
    <n v="0.71868131868131868"/>
    <n v="0.25678119349005424"/>
    <n v="327"/>
    <n v="710"/>
    <s v=""/>
    <n v="0"/>
    <n v="0"/>
    <s v=""/>
    <s v=""/>
    <n v="0"/>
    <n v="0"/>
    <s v=""/>
    <s v=""/>
    <n v="0"/>
    <n v="0"/>
    <s v=""/>
    <s v=""/>
    <n v="0"/>
    <n v="0"/>
    <s v=""/>
    <n v="1"/>
    <n v="455"/>
    <n v="2765"/>
    <n v="6.0769230769230766"/>
    <s v="0. Harmful"/>
    <s v="0. Unaware"/>
    <s v="0. Harmful"/>
    <s v="It did not develop any specific innovation"/>
    <s v="Little or no advocacy"/>
    <s v="It did not take tested solutions to scale"/>
  </r>
  <r>
    <x v="9"/>
    <x v="0"/>
    <n v="2829"/>
    <s v="Local Economic Leadership for Marginalised Rural Women (2829) and Personal Advancement &amp; Career Enhancement (PACE) in the Community year four (2830)"/>
    <s v="Cambodia"/>
    <s v="KHM193/KH322"/>
    <s v="CARE Australia"/>
    <s v="Government"/>
    <s v="Government - Australia"/>
    <s v="Australian NGO Cooperation Program (ANCP)"/>
    <s v="US1NL GAPFKH0009, KHM177"/>
    <s v="CARE USA"/>
    <s v="Corporation"/>
    <s v="Other"/>
    <s v="GAP Inc."/>
    <m/>
    <m/>
    <m/>
    <m/>
    <m/>
    <m/>
    <m/>
    <m/>
    <m/>
    <m/>
    <m/>
    <m/>
    <m/>
    <m/>
    <m/>
    <m/>
    <m/>
    <m/>
    <m/>
    <m/>
    <m/>
    <m/>
    <m/>
    <m/>
    <m/>
    <m/>
    <m/>
    <m/>
    <m/>
    <m/>
    <m/>
    <m/>
    <m/>
    <m/>
    <m/>
    <m/>
    <m/>
    <m/>
    <m/>
    <m/>
    <d v="2014-07-01T00:00:00"/>
    <d v="2017-09-30T00:00:00"/>
    <m/>
    <s v="Development Access to and Control over Economic Resources"/>
    <n v="1169325"/>
    <s v="Hemrin Aun"/>
    <s v="Monitoring and Evaluation Advisor"/>
    <s v="hemrin.aun@careint.org"/>
    <s v="Jan Noorlander"/>
    <s v="Assistant Country Director-Programs"/>
    <s v="Jan.Noorlander@careint.org"/>
    <s v="NO"/>
    <s v="YES"/>
    <s v="NO"/>
    <s v="The Impact Group are benefitting equitably from growth, and have greater control over decisions that affect them  and maximize the impact of Village Saving and Loan Associations for community members, particularly women, to enhance their personal agency and economic empowerment."/>
    <s v="Sub-National"/>
    <s v="Koh Kong province"/>
    <s v="Socially Marginalised Women poor rural women at risk of violence,  and denied SRM health rights, and voice"/>
    <n v="1265"/>
    <n v="11"/>
    <n v="1276"/>
    <n v="3788"/>
    <n v="3502"/>
    <n v="7290"/>
    <s v="Direct participants: are those female farmers (SDK/Women Demonstration Farmers and other femal farmers interest group/FIGs) who have increased the availability of local agriculture services resulted from receiving numbers of training e.g. on Agriculture Extension Services (both livestock and horticulture techniques), improving women’s skills to deal with middlemen as they market their products. This also included training on negotiation skills, small business, marketing and financial literacy. Livestock and horticulture training were provided for demonstration farms focused on women as farmers and they continues delivering these techniques to their farmers interest group called &quot;FIGs&quot;  through farmer field day events and follow-up coaching.  _x000a__x000a_Indirect participants: are those family members including husbands, and addtional VSLA groups members who are not belong to LEL's beneficiaries."/>
    <m/>
    <m/>
    <m/>
    <m/>
    <m/>
    <m/>
    <m/>
    <m/>
    <m/>
    <m/>
    <m/>
    <m/>
    <m/>
    <m/>
    <m/>
    <m/>
    <m/>
    <m/>
    <m/>
    <m/>
    <m/>
    <m/>
    <m/>
    <m/>
    <m/>
    <m/>
    <m/>
    <m/>
    <m/>
    <m/>
    <m/>
    <m/>
    <m/>
    <m/>
    <m/>
    <m/>
    <m/>
    <m/>
    <m/>
    <m/>
    <m/>
    <m/>
    <m/>
    <m/>
    <m/>
    <m/>
    <m/>
    <m/>
    <m/>
    <m/>
    <m/>
    <m/>
    <m/>
    <m/>
    <m/>
    <m/>
    <m/>
    <m/>
    <m/>
    <m/>
    <n v="1265"/>
    <n v="11"/>
    <n v="1276"/>
    <n v="3788"/>
    <n v="3502"/>
    <n v="7290"/>
    <s v="YES"/>
    <n v="915"/>
    <n v="1"/>
    <n v="5590"/>
    <s v="YES"/>
    <n v="915"/>
    <n v="1"/>
    <n v="5590"/>
    <m/>
    <m/>
    <m/>
    <m/>
    <m/>
    <m/>
    <m/>
    <m/>
    <m/>
    <m/>
    <m/>
    <m/>
    <m/>
    <m/>
    <m/>
    <m/>
    <m/>
    <m/>
    <m/>
    <m/>
    <m/>
    <m/>
    <m/>
    <m/>
    <s v="YES"/>
    <n v="915"/>
    <n v="1"/>
    <n v="5590"/>
    <m/>
    <m/>
    <m/>
    <m/>
    <m/>
    <m/>
    <m/>
    <m/>
    <m/>
    <m/>
    <m/>
    <m/>
    <s v="YES"/>
    <n v="915"/>
    <n v="1"/>
    <n v="5590"/>
    <m/>
    <m/>
    <m/>
    <m/>
    <s v="YES"/>
    <n v="500"/>
    <n v="0.97799999999999998"/>
    <n v="2000"/>
    <s v="YES"/>
    <n v="1265"/>
    <n v="0.99"/>
    <n v="7290"/>
    <m/>
    <m/>
    <m/>
    <m/>
    <m/>
    <s v="YES"/>
    <s v="June"/>
    <n v="2017"/>
    <s v="NO"/>
    <s v="NO"/>
    <m/>
    <m/>
    <m/>
    <x v="2"/>
    <s v="YES"/>
    <s v="YES"/>
    <s v="YES"/>
    <s v="YES"/>
    <s v="YES"/>
    <s v="NO"/>
    <s v="YES"/>
    <s v="NO"/>
    <m/>
    <x v="2"/>
    <s v="• Technically sound, low cost, locally appropriate solutions – Market based income options and jobs promoted through LEL are selected on the basis that they are locally feasible, low cost, and sustainable, and are well within the resource capacities of target groups to implement. This is supported through investment in current and thorough participatory market analysis studies conducted by experts; assessment led by CARE’s Livelihoods Advisor, and analysis of previous initiatives. _x000a_• Quality capacity building approaches - Recognising the importance of facilitating sustainable changes in practice amongst target MRW and duty bearers, LEL’s approach is to move beyond a focus on training, and uses a range of capacity building methods to support change (such as training, coaching, locally appropriate IEC materials, refresher skills development, linkages to supportive services, linkages to peer support, exposure to successful experience, follow-up on action plan implementation). The approach varies over time, with intensive support provided in early stages, to build skills, develop confidence and support action planning. The level of support is scaled back over time to focus on consolidation of results, problem solving, and allow space for target groups to take more independent action. The focus of capacity building varies, spanning technical skills, as well as associated facilitation and communication skills, particularly to support MRW and local authorities to deliver quality training and outreach. Target topics are tailored to meet the different capacity levels and interests of target groups._x000a_• Advancing innovative approaches - Building on learning from other initiatives, LEL had designed, pilot and capture learning about proven approaches on a range of programming areas addressing MRW priorities.  Examples include approaches to elevated economic options, safe migration, community accountability on livelihood services, and mobilising men and communities to support women’s economic empowerment._x000a_• Investment in learning and credible evidence - LEL introduces a number of programming innovations.  As such, investment in learning around pilot initiatives is key to ensure innovations are grounded in streamlined, effective processes relevant to the local context and that evidence to support national dialogue is targeted, robust, and that presentation of findings is accessible and convincing to key stakeholders."/>
    <x v="3"/>
    <s v="The focus of capacity building varies, spanning technical skills, as well as associated facilitation and communication skills, particularly to support MRW and local authorities to deliver quality training and outreach. Target topics are tailored to meet the different capacity levels and interests of target groups."/>
    <x v="1"/>
    <x v="1"/>
    <s v="YES"/>
    <x v="0"/>
    <x v="0"/>
    <x v="0"/>
    <x v="2"/>
    <n v="4"/>
    <x v="2"/>
    <x v="1"/>
    <x v="1"/>
    <x v="1"/>
    <x v="1"/>
    <x v="2"/>
    <n v="4"/>
    <x v="3"/>
    <x v="2"/>
    <x v="1"/>
    <x v="1"/>
    <x v="5"/>
    <n v="2"/>
    <x v="3"/>
    <x v="3"/>
    <n v="2"/>
    <s v="Local government(s)"/>
    <s v="Grassroots organization(s)"/>
    <m/>
    <x v="0"/>
    <s v="Project continue to build the capacity of  VSLA, and Demonstration Farms, through a numbers of training, follow-up coaching...etc. so that they could tranfer knowledg and skills to Farmer interest groups with confidence and applying their skills for their living."/>
    <s v="The project design was developed  in line with CI 2020  and CARE's approach  therefore, no important adjustments or changes have  been required during the implementation. A mid term review provided minor areas for  consideration to move towards a  greater gender transformation outcome. However, under PACE project, housewhole financial decision marking has been addressed to responsed to CARE 2020."/>
    <s v="VSLAs  model is more than a saving group, it is a model and approach enable and motivate more  participation of women toward community activities particularly pushing women into financial decision making, taking up and dealing with leadership roles at household, at group and community level."/>
    <s v="Men's dialogue meetings clearly demonstrated that engagement with men was one of the significant contributing factors to strengthen women’s position as an economic actor in the family and improve women's status (i.e. roles and value) in household and community."/>
    <s v="Farmer school or farmer field day -   supported the capacity development of Women Demonstration Farmers (SDKs) and Farmer Interest Group (FIG) members through training on a wide variety of topics, including technical skills in livestock rearing and vegetable and fruit tree production. These skills are learnt through a cascading model training model (SDK to FIG member) and through Farmer Field Days led by SDKs and supported by CARE. _x000a__x000a_This multi-faceted and multi-teared approach provided a comprehensive approach that promoted women’s economic empowerment in very practical and sustainable ways."/>
    <s v="Findings from men's dialogue meetings clearly demonstrated that engagement with men was one of the significant contributing factors to strengthen women’s position as an economic actor in the family and improve women's status (i.e. roles and value) in household and community. However, this was not easily achieved as communities were used to be gender-stereotype deeply rooted within culture and norm e.g. patriarchy."/>
    <s v="Engagement of the trained Village Agents as the VSLA trainers is an effective and sustainable mechanism to expand VSLAs outreaches."/>
    <s v="A better livelihood options through improved agriculture knowledge and skills impact migration decision making – this has given people more options and influence on the decision marking to migration."/>
    <m/>
    <s v="LEL:  EoP Review Report was written-up with highlighted recommendations,  2 page fact sheet outline stats and evidence of success of its approach and model.,  Impact video documentary - visual summary of how CARE’s approach is supporting Rural Marginalised Women to become female leaders – improving women's leadership and value explicitly higher economic roles and voice at household and at community level – and highlight the impact this is having through personal stories._x000a_PACE:  Gap Inc.–Proposal P.A.C.E. in the Community – Year IV: October 2016 - September 2017 available on request  from Cambodia office and Endline Survey Results for  P.A.C.E. Program Evaluation in the Community - Sep 2016 available on request  from Cambodia office."/>
    <n v="1276"/>
    <n v="7290"/>
    <n v="5.7131661442006267"/>
    <n v="0.99137931034482762"/>
    <n v="0.51961591220850478"/>
    <n v="1265"/>
    <n v="3788"/>
    <s v=""/>
    <n v="0"/>
    <n v="0"/>
    <s v=""/>
    <n v="1"/>
    <n v="915"/>
    <n v="5590"/>
    <n v="6.1092896174863389"/>
    <s v=""/>
    <n v="0"/>
    <n v="0"/>
    <s v=""/>
    <s v=""/>
    <n v="0"/>
    <n v="0"/>
    <s v=""/>
    <n v="1"/>
    <n v="1265"/>
    <n v="7290"/>
    <n v="5.7628458498023711"/>
    <s v="4. Transformative"/>
    <s v="4. Transformational"/>
    <s v="3. Responsive"/>
    <s v="It tested new ways for fighting poverty and measured results of innovation"/>
    <s v="Intensive advocacy"/>
    <s v="It took tested solutions to scale on its own"/>
  </r>
  <r>
    <x v="9"/>
    <x v="0"/>
    <n v="2825"/>
    <s v="Partnering to Save Lives (PSL)"/>
    <s v="Cambodia"/>
    <s v="KHM 200/KH325"/>
    <s v="CARE Australia"/>
    <s v="Government"/>
    <s v="Government - Australia"/>
    <s v="DFAT-Australia"/>
    <m/>
    <m/>
    <m/>
    <m/>
    <m/>
    <m/>
    <m/>
    <m/>
    <m/>
    <m/>
    <m/>
    <m/>
    <m/>
    <m/>
    <m/>
    <m/>
    <m/>
    <m/>
    <m/>
    <m/>
    <m/>
    <m/>
    <m/>
    <m/>
    <m/>
    <m/>
    <m/>
    <m/>
    <m/>
    <m/>
    <m/>
    <m/>
    <m/>
    <m/>
    <m/>
    <m/>
    <m/>
    <m/>
    <m/>
    <m/>
    <m/>
    <m/>
    <m/>
    <m/>
    <m/>
    <d v="2013-08-01T00:00:00"/>
    <d v="2018-07-31T00:00:00"/>
    <m/>
    <s v="Development Sexual, Reproductive and Maternal Health (SRMH)"/>
    <n v="3884462"/>
    <s v="Hemrin Aun"/>
    <s v="Monitoring and Evaluation Advisor"/>
    <s v="hemrin.aun@careint.org"/>
    <s v="Jan Noorlander"/>
    <s v="Assistant Country Director-Programs"/>
    <s v="Jan.Noorlander@careint.org"/>
    <s v="NO"/>
    <s v="YES"/>
    <s v="NO"/>
    <s v="To save the lives of women and neonates in Cambodia through improved quality, access and utilisation of reproductive, maternal and neonatal health services through a partnership approach"/>
    <s v="Sub-National"/>
    <s v="Phnom Penh, Ratanakiri and Mondulkiri provices"/>
    <s v="Ethnic Minority  and garment factory workers"/>
    <n v="93061"/>
    <n v="9701"/>
    <n v="102762"/>
    <n v="403800"/>
    <n v="330381"/>
    <n v="734181"/>
    <s v="Direct participants: The female workering at the 16 factories and the women in the reproductive age in the target villages of Ratanakiri and Mondulkiri. The caculation was caculated 26% of the total population as the direct participant in both at the factory and at the province."/>
    <m/>
    <m/>
    <m/>
    <m/>
    <m/>
    <m/>
    <m/>
    <m/>
    <m/>
    <m/>
    <m/>
    <m/>
    <m/>
    <m/>
    <m/>
    <m/>
    <m/>
    <m/>
    <m/>
    <m/>
    <m/>
    <m/>
    <m/>
    <m/>
    <m/>
    <m/>
    <m/>
    <m/>
    <m/>
    <m/>
    <m/>
    <m/>
    <m/>
    <m/>
    <m/>
    <m/>
    <m/>
    <m/>
    <m/>
    <m/>
    <m/>
    <m/>
    <m/>
    <m/>
    <m/>
    <m/>
    <m/>
    <m/>
    <m/>
    <m/>
    <m/>
    <m/>
    <m/>
    <m/>
    <m/>
    <m/>
    <m/>
    <m/>
    <m/>
    <m/>
    <n v="18098"/>
    <n v="5189"/>
    <n v="23287"/>
    <n v="69607"/>
    <n v="19957"/>
    <n v="89564"/>
    <m/>
    <m/>
    <m/>
    <m/>
    <m/>
    <m/>
    <m/>
    <m/>
    <m/>
    <m/>
    <m/>
    <m/>
    <m/>
    <m/>
    <m/>
    <m/>
    <m/>
    <m/>
    <m/>
    <m/>
    <m/>
    <m/>
    <m/>
    <m/>
    <m/>
    <m/>
    <m/>
    <m/>
    <m/>
    <m/>
    <m/>
    <m/>
    <s v="YES"/>
    <n v="6129"/>
    <n v="0.92"/>
    <n v="17367"/>
    <m/>
    <m/>
    <m/>
    <m/>
    <m/>
    <m/>
    <m/>
    <m/>
    <m/>
    <m/>
    <m/>
    <m/>
    <m/>
    <m/>
    <m/>
    <m/>
    <s v="YES"/>
    <n v="23287"/>
    <n v="0.78"/>
    <n v="89564"/>
    <m/>
    <m/>
    <m/>
    <m/>
    <s v="YES"/>
    <n v="2003"/>
    <n v="0.56999999999999995"/>
    <n v="10215"/>
    <m/>
    <m/>
    <m/>
    <m/>
    <m/>
    <s v="NO"/>
    <m/>
    <m/>
    <m/>
    <s v="YES"/>
    <s v="January"/>
    <n v="2018"/>
    <s v="The project will conducte the endline survey and end of project evaluation and this evaluation is under coordination of Coordination of Learnining Unit (CLU)."/>
    <x v="2"/>
    <s v="YES"/>
    <s v="NO"/>
    <s v="YES"/>
    <s v="YES"/>
    <s v="YES"/>
    <s v="NO"/>
    <s v="NO"/>
    <s v="NO"/>
    <m/>
    <x v="2"/>
    <s v="The project has developed Behavior Change Communication (BCC) package at both rural where the majority of population is ethnic minority and the urban at the garment factory called Chat package. The package aim to improve the knowledge around RMNH and modern contraceptive and decision-making around RMNH and contraceptive by women and men that this will contribute the living condition of community and factory workers and contribute for poverty reduction."/>
    <x v="1"/>
    <s v="The project is working in partnershing for effective resource mobilization and dealing on the rights issues by expertise NGO partners. Furthermore, we have work in partnership with the government who may influence on the policy improvement."/>
    <x v="1"/>
    <x v="1"/>
    <s v="YES"/>
    <x v="0"/>
    <x v="0"/>
    <x v="0"/>
    <x v="2"/>
    <n v="4"/>
    <x v="1"/>
    <x v="1"/>
    <x v="1"/>
    <x v="1"/>
    <x v="1"/>
    <x v="1"/>
    <n v="4"/>
    <x v="1"/>
    <x v="1"/>
    <x v="1"/>
    <x v="2"/>
    <x v="3"/>
    <n v="2"/>
    <x v="2"/>
    <x v="0"/>
    <n v="3"/>
    <s v="National government"/>
    <s v="Multilateral organization(s)"/>
    <s v="International NGO(s)"/>
    <x v="0"/>
    <m/>
    <s v="The project has initiate the BCC package call male engagement in both urban and rural locations the idea is to engage men the processes around RMNH and modern contraceptive to make them understand about his role and give the space for women to make her own decision."/>
    <s v="The Chat contraceptive reproductive health package aims to improve the health of garment factory workers though empowering women to make healthy sexual choices, access reliable reproductive health services, and prevent unplanned pregnancies."/>
    <s v="Male engagement: ensure men are understand about their roles supportive of the reproductive health decisions made by women, removing any social barriers within the family and community"/>
    <s v="Tranditional Birth Attendant (TBA): engage with social influencers who traditionally advise on reproductive health decisions, removing any social barriers within the community."/>
    <s v="PSL garment factory - infirmary and referal system to improve access for garment factory workers to seek for appropriate health care services and the Chat Package for garment factory workers to improve seually reproductive health and rights of garment factory workers."/>
    <s v="PSL non emergency referal systems-community transportation and financial barrieer through VSLA activities contribute to the improvement of community members accessing health services at the health facilities."/>
    <s v="Midwife coaching at the health centre is vital mechanism to provide the direct and the rights support to the midwife to improve their clinical skill around ANC, delivery, and PNC."/>
    <m/>
    <s v="The program designed, case study, policies brief, midterm evaluation, the report are available at the CARE Cambodia Country Office."/>
    <n v="23287"/>
    <n v="89564"/>
    <n v="3.846094387426461"/>
    <n v="0.77717181259930435"/>
    <n v="0.77717609753918981"/>
    <n v="18098"/>
    <n v="69607"/>
    <s v=""/>
    <n v="0"/>
    <n v="0"/>
    <s v=""/>
    <s v=""/>
    <n v="0"/>
    <n v="0"/>
    <s v=""/>
    <n v="1"/>
    <n v="23287"/>
    <n v="89564"/>
    <n v="3.846094387426461"/>
    <s v=""/>
    <n v="0"/>
    <n v="0"/>
    <s v=""/>
    <n v="1"/>
    <n v="2003"/>
    <n v="10215"/>
    <n v="5.0998502246630055"/>
    <s v="4. Transformative"/>
    <s v="2. Accommodating"/>
    <s v="1. Neutral"/>
    <s v="It tested new ways for fighting poverty and measured results of innovation"/>
    <s v="Intensive advocacy"/>
    <s v="It linked and worked with strategic alliances and partners to take tested and effective solutions to scale"/>
  </r>
  <r>
    <x v="9"/>
    <x v="0"/>
    <n v="2834"/>
    <s v="Safe Homes, Safe Communities (SHSC)"/>
    <s v="Cambodia"/>
    <s v="KHM217"/>
    <s v="CARE Australia"/>
    <s v="Government"/>
    <s v="Government - Australia"/>
    <s v="DFAT-Australia"/>
    <m/>
    <m/>
    <m/>
    <m/>
    <m/>
    <m/>
    <m/>
    <m/>
    <m/>
    <m/>
    <m/>
    <m/>
    <m/>
    <m/>
    <m/>
    <m/>
    <m/>
    <m/>
    <m/>
    <m/>
    <m/>
    <m/>
    <m/>
    <m/>
    <m/>
    <m/>
    <m/>
    <m/>
    <m/>
    <m/>
    <m/>
    <m/>
    <m/>
    <m/>
    <m/>
    <m/>
    <m/>
    <m/>
    <m/>
    <m/>
    <m/>
    <m/>
    <m/>
    <m/>
    <m/>
    <d v="2016-01-01T00:00:00"/>
    <d v="2017-06-30T00:00:00"/>
    <d v="2017-11-30T00:00:00"/>
    <s v="Development A Life Free From Violence (GBV)"/>
    <n v="692581"/>
    <s v="Hemrin Aun"/>
    <s v="Monitoring and Evaluation Advisor"/>
    <s v="hemrin.aun@careint.org"/>
    <s v="Jan Noorlander"/>
    <s v="Assistant Country Director-Programs"/>
    <s v="Jan.Noorlander@careint.org"/>
    <s v="NO"/>
    <s v="YES"/>
    <s v="NO"/>
    <s v="To reduce Violence Agaist Women (VAW) through prevention, improved response and increased access to quality services."/>
    <s v="Sub-National"/>
    <s v="The project will be carried out in 19 communes in Phnom Penh Municipality (including three Health Operational Districts, 17 Health Centres, and four Referral Hospitals) using CARE Cambodia’s strengths working in urban environments with marginalised urban women (MUW)."/>
    <s v="Marginalised urban women (MUW) who living in project targeted areas and will receive benefits through strengthening health delivery systems’ response to VAW in selected communes,strengthening commune authorities’ response to Violence Agaist Women (VAW), and empowering men and women to prevent and respond to VAW in their communities."/>
    <n v="510"/>
    <n v="510"/>
    <n v="1020"/>
    <n v="235281"/>
    <n v="223694"/>
    <n v="458975"/>
    <s v="Direct participants are the people who direct participated with project actvities such as commune authorities staff including commune council members, polices, Commune Committee for Women and Choildren, staff of Health Center, refereal hospital, and Minicipality authority and women and men group leaders/ members at the grassroots level._x000a__x000a_Indirect participants are the general citizen who living the Sangkat where CARE implementing the project. They can benifit from improved local authrity services, health center services as well as received such activities including awareness, information, counciling, refferal cases, respond to case,  recieving services from indirect participant and their events/activities."/>
    <m/>
    <m/>
    <m/>
    <m/>
    <m/>
    <m/>
    <m/>
    <m/>
    <m/>
    <m/>
    <m/>
    <m/>
    <m/>
    <m/>
    <m/>
    <m/>
    <m/>
    <m/>
    <m/>
    <m/>
    <m/>
    <m/>
    <m/>
    <m/>
    <m/>
    <m/>
    <m/>
    <m/>
    <m/>
    <m/>
    <m/>
    <m/>
    <m/>
    <m/>
    <m/>
    <m/>
    <m/>
    <m/>
    <m/>
    <m/>
    <m/>
    <m/>
    <m/>
    <m/>
    <m/>
    <m/>
    <m/>
    <m/>
    <m/>
    <m/>
    <m/>
    <m/>
    <m/>
    <m/>
    <m/>
    <m/>
    <m/>
    <m/>
    <m/>
    <m/>
    <n v="2401"/>
    <n v="1833"/>
    <n v="4234"/>
    <n v="235281"/>
    <n v="223694"/>
    <n v="458975"/>
    <m/>
    <m/>
    <m/>
    <m/>
    <m/>
    <m/>
    <m/>
    <m/>
    <m/>
    <m/>
    <m/>
    <m/>
    <m/>
    <m/>
    <m/>
    <m/>
    <m/>
    <m/>
    <m/>
    <m/>
    <m/>
    <m/>
    <m/>
    <m/>
    <m/>
    <m/>
    <m/>
    <m/>
    <s v="YES"/>
    <n v="1136"/>
    <n v="0.6"/>
    <n v="102240"/>
    <s v="YES"/>
    <n v="4234"/>
    <n v="0.56999999999999995"/>
    <n v="457272"/>
    <s v="YES"/>
    <n v="214"/>
    <n v="0.56999999999999995"/>
    <n v="23112"/>
    <m/>
    <m/>
    <m/>
    <m/>
    <m/>
    <m/>
    <m/>
    <m/>
    <m/>
    <m/>
    <m/>
    <m/>
    <m/>
    <m/>
    <m/>
    <m/>
    <m/>
    <m/>
    <m/>
    <m/>
    <m/>
    <m/>
    <m/>
    <m/>
    <m/>
    <m/>
    <m/>
    <m/>
    <m/>
    <s v="NO"/>
    <m/>
    <m/>
    <s v="NO"/>
    <s v="YES"/>
    <s v="August"/>
    <n v="2017"/>
    <s v="The project plans to conduct end of the project evaluation, using desk review and qualitative method, FGD and KII. There is no budget to conduct a large scale household survey to capture prevance or incidence for GBV as in the CARE 2020 indicators under life free from violence."/>
    <x v="2"/>
    <s v="YES"/>
    <s v="NO"/>
    <s v="YES"/>
    <s v="NO"/>
    <s v="NO"/>
    <s v="NO"/>
    <s v="NO"/>
    <s v="NO"/>
    <m/>
    <x v="2"/>
    <s v="SHSC testing to design the Violence Againt Women form for Operational Department of health for apply at their health center and referal hospital. Project also explore the new approach to develop the action respond to violece's vedoe to play on LED-TV, 41 Ing at HC while the client of violce could learn and recieved information when they are waiting the service providers at the health centers. However, these could not measure the impact due to the project period only 18 months."/>
    <x v="0"/>
    <s v="SHSC is the pilot project under EVAW which is the national committee working to prevent Violence Againt Women 2014-2018. The National Action Plan develop aligned to the Cambodia national program and  Nariratanak4. All lesson learnt and good practice will be distribute via EVAW and gender working roup at National level."/>
    <x v="2"/>
    <x v="1"/>
    <s v="YES"/>
    <x v="0"/>
    <x v="0"/>
    <x v="1"/>
    <x v="4"/>
    <n v="3"/>
    <x v="1"/>
    <x v="1"/>
    <x v="1"/>
    <x v="2"/>
    <x v="1"/>
    <x v="1"/>
    <n v="3"/>
    <x v="1"/>
    <x v="1"/>
    <x v="1"/>
    <x v="2"/>
    <x v="3"/>
    <n v="2"/>
    <x v="2"/>
    <x v="1"/>
    <n v="3"/>
    <s v="National government"/>
    <s v="Local government(s)"/>
    <m/>
    <x v="2"/>
    <m/>
    <s v="No any adjustment or change to project goal."/>
    <s v="The project has been effective in building the skills and knowledge of health service providers and commune authorities to effectively identify, respond and refer VAW survivors in their communities. The combination of training followed by coaching and mentoring helped both commune authorities and health service providers to build their confidence and put their knowledge into practices."/>
    <s v="The establishment of the Clinical Handbook working group, the Referral Network and the VHSG were effective mechanisms to provide leadership and support to the various beneficiaries (health staff, commune authorities and community members)."/>
    <s v="All health staff and commune authorities interviewed commented on the effectiveness of monthly follow up and mentoring, in particular how the consistency and quality time with the trainer contributed to reinforcing the material learnt during the initial training and allowed for opportunities to get feedback on real individual cases."/>
    <s v="Training versus mentoring: more time should be given to mentoring component with less time for training. Participants commented that the formal trainings were too long and took up too much time, both in terms of travel time and time away from work. Given that follow up training and mentoring proved to be more appreciated, the length of training workshops could be reduced."/>
    <s v="Men’s groups: men’s engagement in the community men’s groups was difficult during the project, however those men that were involved in the project were very engaged and found the activities very useful and interesting."/>
    <s v="Preparation of IEC - due to project staff changes in CARE, as well as internal restructure within MOWA, there was some miscommunication between teams which caused some delays in the finalisation of the IEC materials. A solution has now been identified to rectify the situation. During September and October 2017, CARE will work closely with MOWA to review the documents to ensure that they meet a standard that enables their endorsement."/>
    <s v="CARE project design should consider to allocate cost to ensure monitoring and follow-up the impact or change reqularly. Interm of GBV, case follow-up and impact on domestic violence is very importance to project to record to ensure project able to mesure the resulf if the case increase or decrease."/>
    <s v="Will provided up on requested."/>
    <n v="4234"/>
    <n v="458975"/>
    <n v="108.40222012281531"/>
    <n v="0.56707605101558811"/>
    <n v="0.51262269186774878"/>
    <n v="2401"/>
    <n v="235281"/>
    <s v=""/>
    <n v="0"/>
    <n v="0"/>
    <s v=""/>
    <s v=""/>
    <n v="0"/>
    <n v="0"/>
    <s v=""/>
    <s v=""/>
    <n v="0"/>
    <n v="0"/>
    <s v=""/>
    <n v="1"/>
    <n v="1136"/>
    <n v="102240"/>
    <n v="90"/>
    <s v=""/>
    <n v="0"/>
    <n v="0"/>
    <s v=""/>
    <s v="3. Responsive"/>
    <s v="2. Accommodating"/>
    <s v="1. Neutral"/>
    <s v="It tested new ways for fighting poverty and measured results of innovation"/>
    <s v="Intensive advocacy"/>
    <s v="It did not take tested solutions to scale"/>
  </r>
  <r>
    <x v="9"/>
    <x v="0"/>
    <n v="2831"/>
    <s v="Safe Workplaces, Safe Communities (SWSC) (2831) and Protections for Marginalised Urban Women Project (PMUW)  (2832)"/>
    <s v="Cambodia"/>
    <s v="KHM207"/>
    <s v="No CARE member related to the project/initiative"/>
    <s v="Multilateral agency"/>
    <s v="UN - United Nations agencies/offices"/>
    <s v="UN WOMEN"/>
    <s v="KHM210"/>
    <s v="CARE Australia"/>
    <s v="Government"/>
    <s v="Government - Australia"/>
    <s v="Australian NGO Cooperation Program (ANCP)"/>
    <m/>
    <m/>
    <m/>
    <m/>
    <m/>
    <m/>
    <m/>
    <m/>
    <m/>
    <m/>
    <m/>
    <m/>
    <m/>
    <m/>
    <m/>
    <m/>
    <m/>
    <m/>
    <m/>
    <m/>
    <m/>
    <m/>
    <m/>
    <m/>
    <m/>
    <m/>
    <m/>
    <m/>
    <m/>
    <m/>
    <m/>
    <m/>
    <m/>
    <m/>
    <m/>
    <m/>
    <m/>
    <m/>
    <m/>
    <m/>
    <d v="2013-12-01T00:00:00"/>
    <d v="2017-06-30T00:00:00"/>
    <m/>
    <s v="Development A Life Free From Violence (GBV)"/>
    <n v="1142196"/>
    <s v="Hemrin Aun"/>
    <s v="Monitoring and Evaluation Advisor"/>
    <s v="hemrin.aun@careint.org"/>
    <s v="Jan Noorlander"/>
    <s v="Assistant Country Director-Programs"/>
    <s v="Jan.Noorlander@careint.org"/>
    <s v="NO"/>
    <s v="YES"/>
    <s v="NO"/>
    <s v="The overarching goal of these projects is that marginalised urban women in Cambodia, especially female migrants working in garment factories and hospitality/tourism industries, are benefitting from improved gender-based violence and sexual harassment protections in the workplace and outside work settings."/>
    <s v="National"/>
    <s v="9 districts across  Phnom Penh, one activities Whystop campaign and Whystop short film competition was organised across country."/>
    <s v="Female workers from garment, hospitality and tourism industries"/>
    <n v="60191"/>
    <n v="30191"/>
    <n v="90382"/>
    <n v="234809"/>
    <n v="234809"/>
    <n v="469618"/>
    <s v="Direct beneficiary: female worker under tourism and entertainment and factory industry in Phnom Penh._x000a_Indirect benificaries : refered to individual woman who is impacted by the project implement while indirect benificaries refers to individual who is make or participate in women's life including polices, governement officials, employers and tuk tuk driver etc."/>
    <m/>
    <m/>
    <m/>
    <m/>
    <m/>
    <m/>
    <m/>
    <m/>
    <m/>
    <m/>
    <m/>
    <m/>
    <m/>
    <m/>
    <m/>
    <m/>
    <m/>
    <m/>
    <m/>
    <m/>
    <m/>
    <m/>
    <m/>
    <m/>
    <m/>
    <m/>
    <m/>
    <m/>
    <m/>
    <m/>
    <m/>
    <m/>
    <m/>
    <m/>
    <m/>
    <m/>
    <m/>
    <m/>
    <m/>
    <m/>
    <m/>
    <m/>
    <m/>
    <m/>
    <m/>
    <m/>
    <m/>
    <m/>
    <m/>
    <m/>
    <m/>
    <m/>
    <m/>
    <m/>
    <m/>
    <m/>
    <m/>
    <m/>
    <m/>
    <m/>
    <n v="32092"/>
    <n v="3415"/>
    <n v="35507"/>
    <n v="821559"/>
    <n v="1247970"/>
    <n v="2069529"/>
    <m/>
    <m/>
    <m/>
    <m/>
    <m/>
    <m/>
    <m/>
    <m/>
    <m/>
    <m/>
    <m/>
    <m/>
    <m/>
    <m/>
    <m/>
    <m/>
    <m/>
    <m/>
    <m/>
    <m/>
    <m/>
    <m/>
    <m/>
    <m/>
    <m/>
    <m/>
    <m/>
    <m/>
    <s v="YES"/>
    <n v="35507"/>
    <n v="0.9"/>
    <n v="2069529"/>
    <s v="YES"/>
    <n v="4262"/>
    <n v="0.8"/>
    <n v="12754"/>
    <m/>
    <m/>
    <m/>
    <m/>
    <m/>
    <m/>
    <m/>
    <m/>
    <m/>
    <m/>
    <m/>
    <m/>
    <m/>
    <m/>
    <m/>
    <m/>
    <m/>
    <m/>
    <m/>
    <m/>
    <m/>
    <m/>
    <m/>
    <m/>
    <s v="YES"/>
    <n v="32092"/>
    <n v="1"/>
    <n v="0"/>
    <m/>
    <m/>
    <m/>
    <m/>
    <m/>
    <s v="YES"/>
    <s v="June"/>
    <n v="2017"/>
    <s v="NO"/>
    <s v="NO"/>
    <m/>
    <m/>
    <s v="N/A"/>
    <x v="1"/>
    <s v="NO"/>
    <s v="YES"/>
    <s v="YES"/>
    <s v="YES"/>
    <s v="YES"/>
    <s v="NO"/>
    <s v="NO"/>
    <s v="NO"/>
    <m/>
    <x v="1"/>
    <s v="The project has developed a prevention and respond package to address Sexual Harassment with consultating with senior represenatives in garment industry."/>
    <x v="1"/>
    <s v="The project is currently working closely with stakeholders event projects finished but the dialouge mongnst stakeholders is still going on. Now the package has been scaled up to the regional in upcoming ANCP funding"/>
    <x v="2"/>
    <x v="1"/>
    <s v="YES"/>
    <x v="0"/>
    <x v="0"/>
    <x v="0"/>
    <x v="2"/>
    <n v="4"/>
    <x v="1"/>
    <x v="1"/>
    <x v="1"/>
    <x v="1"/>
    <x v="1"/>
    <x v="1"/>
    <n v="4"/>
    <x v="1"/>
    <x v="1"/>
    <x v="2"/>
    <x v="1"/>
    <x v="3"/>
    <n v="2"/>
    <x v="2"/>
    <x v="1"/>
    <n v="2"/>
    <s v="Private sector"/>
    <s v="National government"/>
    <m/>
    <x v="1"/>
    <m/>
    <m/>
    <s v="The multi-media BCC package is now scaling up to implement within the regional “STOP” project including, Laos, Vietnam, Myanmar within the government sector. Through the STOP project, CARE Cambodia will conduct a M&amp;E system to capture better on learning of the BCC package while other countries are preparing the SH consultation policy development. The PMUW project staff will play an important role share learning from the PMUW implementation."/>
    <s v="#WhyStop Campaign ideally to engage men better to say why sexual harassment is bad and how it affects women’s life, now has moved to schools and it linked to the national curriculum in the ethical training session."/>
    <m/>
    <s v="To engage men, and to influence a behavior change, CARE needs to focus our messaging to men on WHY sexual harassment must stop."/>
    <s v=" Basing project activities on clear evidence leads to greater buy-in from stakeholders."/>
    <s v="Evidence based research coupled with focussed and piloted activities can provide great leverage for new funding or scaling-up of activities by other projects."/>
    <m/>
    <s v="Safe Workplaces, Safe Communities Endline : will get approve from ACD-P and PMUW endline study : Will get approval to share from ACD-P"/>
    <n v="35507"/>
    <n v="2069529"/>
    <n v="58.285098712929845"/>
    <n v="0.90382178162052551"/>
    <n v="0.39697873284211044"/>
    <n v="32092"/>
    <n v="821559"/>
    <s v=""/>
    <n v="0"/>
    <n v="0"/>
    <s v=""/>
    <s v=""/>
    <n v="0"/>
    <n v="0"/>
    <s v=""/>
    <s v=""/>
    <n v="0"/>
    <n v="0"/>
    <s v=""/>
    <n v="1"/>
    <n v="35507"/>
    <n v="2069529"/>
    <n v="58.285098712929845"/>
    <n v="1"/>
    <n v="32092"/>
    <n v="0"/>
    <n v="0"/>
    <s v="4. Transformative"/>
    <s v="2. Accommodating"/>
    <s v="1. Neutral"/>
    <s v="It tested new ways for fighting poverty, but did not measure results of innovation"/>
    <s v="Moderate advocacy"/>
    <s v="It linked and worked with strategic alliances and partners to take tested and effective solutions to scale"/>
  </r>
  <r>
    <x v="9"/>
    <x v="0"/>
    <n v="2824"/>
    <s v="School Governance Phase III (the project was continue from last  year porject school govvernance phase I and phase II code 2824, that ended in Dec 2016, and continue another year"/>
    <s v="Cambodia"/>
    <s v="KHM040/KH372"/>
    <s v="No CARE member related to the project/initiative"/>
    <s v="Multilateral agency"/>
    <s v="UN - United Nations agencies/offices"/>
    <s v="UNICEF"/>
    <m/>
    <m/>
    <m/>
    <m/>
    <m/>
    <m/>
    <m/>
    <m/>
    <m/>
    <m/>
    <m/>
    <m/>
    <m/>
    <m/>
    <m/>
    <m/>
    <m/>
    <m/>
    <m/>
    <m/>
    <m/>
    <m/>
    <m/>
    <m/>
    <m/>
    <m/>
    <m/>
    <m/>
    <m/>
    <m/>
    <m/>
    <m/>
    <m/>
    <m/>
    <m/>
    <m/>
    <m/>
    <m/>
    <m/>
    <m/>
    <m/>
    <m/>
    <m/>
    <m/>
    <m/>
    <d v="2013-07-01T00:00:00"/>
    <d v="2016-12-31T00:00:00"/>
    <d v="2017-12-30T00:00:00"/>
    <s v="Development Access to and Control over Economic Resources"/>
    <n v="776143"/>
    <s v="Hemrin Aun"/>
    <s v="Monitoring and Evaluation Advisor"/>
    <s v="hemrin.aun@careint.org"/>
    <s v="Jan Noorlander"/>
    <s v="Assistant Country Director-Programs"/>
    <s v="Jan.Noorlander@careint.org"/>
    <s v="NO"/>
    <s v="YES"/>
    <s v="NO"/>
    <s v="Improved community participation in school management and governance – and therefore capacity-building of SSC (School support committees) DTMT1s (District Training and Monitoring Team) and DTMT2 and Ministry of Education Youth and Sport National Core Trainer backing, in all primary schools in Ratanak Kiri and Mondul Kiri provinces."/>
    <s v="Sub-National"/>
    <s v="All primary schools in Ratanak Kiri province and  Mondul Kiri province, Cambodia"/>
    <s v="Ministry of Education Youth and Sport National Core Trainer, District Training and Monitoring Team (DTMT1)  and DTMT2 and School Support Committees (SSC)."/>
    <n v="953"/>
    <n v="953"/>
    <n v="1906"/>
    <n v="25026"/>
    <n v="26876"/>
    <n v="51902"/>
    <s v="Direct beneficiaries refer on number of school support committee (SSC) in 291 state primary schools in two north-eastern provinces in Cambodia, Ratanak Kiri and Mondul Kiri, and  DTMT1 and DTMT2  core trainer from national and sub-national levels of government who attended ToT training from project.                                                                                                                                                                                                _x000a_ Indirect: was students who study in the schools that benefit from improved capacity of SSC and core trainer of DTMT at national and subnational of MoEYS."/>
    <m/>
    <m/>
    <m/>
    <m/>
    <m/>
    <m/>
    <m/>
    <m/>
    <m/>
    <m/>
    <m/>
    <m/>
    <m/>
    <m/>
    <m/>
    <m/>
    <m/>
    <m/>
    <m/>
    <m/>
    <m/>
    <m/>
    <m/>
    <m/>
    <m/>
    <m/>
    <m/>
    <m/>
    <m/>
    <m/>
    <m/>
    <m/>
    <m/>
    <m/>
    <m/>
    <m/>
    <m/>
    <m/>
    <m/>
    <m/>
    <m/>
    <m/>
    <m/>
    <m/>
    <m/>
    <m/>
    <m/>
    <m/>
    <m/>
    <m/>
    <m/>
    <m/>
    <m/>
    <m/>
    <m/>
    <m/>
    <m/>
    <m/>
    <m/>
    <m/>
    <n v="418"/>
    <n v="1565"/>
    <n v="1983"/>
    <n v="25026"/>
    <n v="26876"/>
    <n v="51902"/>
    <m/>
    <m/>
    <m/>
    <m/>
    <m/>
    <m/>
    <m/>
    <m/>
    <m/>
    <m/>
    <m/>
    <m/>
    <m/>
    <m/>
    <m/>
    <m/>
    <m/>
    <m/>
    <m/>
    <m/>
    <s v="YES"/>
    <n v="1983"/>
    <n v="0.21"/>
    <n v="51902"/>
    <m/>
    <m/>
    <m/>
    <m/>
    <m/>
    <m/>
    <m/>
    <m/>
    <s v="YES"/>
    <n v="1983"/>
    <n v="0.21"/>
    <n v="51902"/>
    <m/>
    <m/>
    <m/>
    <m/>
    <m/>
    <m/>
    <m/>
    <m/>
    <m/>
    <m/>
    <m/>
    <m/>
    <s v="YES"/>
    <n v="1983"/>
    <n v="0.21"/>
    <n v="51902"/>
    <m/>
    <m/>
    <m/>
    <m/>
    <m/>
    <m/>
    <m/>
    <m/>
    <m/>
    <m/>
    <m/>
    <m/>
    <m/>
    <m/>
    <m/>
    <m/>
    <m/>
    <s v="NO"/>
    <m/>
    <m/>
    <s v="NO"/>
    <s v="NO"/>
    <m/>
    <m/>
    <s v="N/A"/>
    <x v="1"/>
    <s v="NO"/>
    <s v="NO"/>
    <s v="NO"/>
    <s v="YES"/>
    <s v="YES"/>
    <s v="YES"/>
    <s v="NO"/>
    <s v="NO"/>
    <m/>
    <x v="1"/>
    <s v="Delivery process and project implementation of the project built capacity of school support committees in all primary schools in the two provinces and built capacity of national core trainers on how to train sub-national core trainers (DTMT1 and DTMT2) and then supported the national core trainers to conduct ToT training to sub-national core trainers (DTMT1 and DTMT2) and then nation and sub-national core trainer to delivered training workshops to school support committee. This approach builds the capacity of educational actors at multiple levels of government, to encourage the MoEYS to take ownership of the program and ensure the future in Cambodia."/>
    <x v="1"/>
    <s v="CARE has been a member of the Child Friendly Schools Steering Committee but this meeting is rarely convened by the Ministry anymore. These discussions are taken to other platforms such as the Education Sector Working Group (ESWG) and the Joint Technical Working Group (JTFW). The ESWG is the meeting among Development Partners currently chaired by UNICEF and representation of civil society agencies through the NHO Education Partnership (NEP), a membership organisation for NGOs working on education. The JTWG is the meeting between ESWG and the Ministry chaired by the Minister and the highest platform for policy dialogue. CARE is now a member of these meetings and represented by the Assistant Country Director Programs. NEP is currently discussing how to best select representatives through NEP for this platform."/>
    <x v="0"/>
    <x v="0"/>
    <s v="YES"/>
    <x v="0"/>
    <x v="0"/>
    <x v="0"/>
    <x v="0"/>
    <n v="4"/>
    <x v="2"/>
    <x v="1"/>
    <x v="1"/>
    <x v="1"/>
    <x v="1"/>
    <x v="2"/>
    <n v="4"/>
    <x v="1"/>
    <x v="1"/>
    <x v="1"/>
    <x v="1"/>
    <x v="1"/>
    <n v="3"/>
    <x v="0"/>
    <x v="2"/>
    <n v="2"/>
    <s v="National government"/>
    <s v="Local government(s)"/>
    <m/>
    <x v="2"/>
    <s v="The project built capacity of school support committees in all primary schools in the two provinces and built capacity of national core trainers on how to train sub-national core trainers (DTMT1 and DTMT2) and then supported the national core trainers to conduct ToT training to sub-national core trainers (DTMT1 and DTMT2) and then nation and sub-national core trainer to delivered training workshops to school support committee. This approach builds the capacity of educational actors at multiple levels of government, to encourage the MoEYS to take ownership of the program and ensure the future in Cambodia."/>
    <s v="no important change."/>
    <s v="Build capacity of DTMT1 and DTMT2 members (District Training and Monitoring Team) to promote community involvement for education with special focus on culturally diverse SSCs (School Support Committees) and staff from the Regional Teacher Training College knowledge of participatory approaches, diversity and gender.  Improved results of existing DTMT1 and DTMT2 members, MoEYS core trainers and staff from the Regional Teacher Training College knowledge on delivering more effective of teaching and learning."/>
    <s v="Build capacity of Functioning School Support Committees who understand the roles and responsibilities following the Ministry Guideline on the Establishment and Functioning of Primary School Support Committees. In the school and then find good solution the address in this problem."/>
    <s v="Strengthen the utilisation of existing materials and manuals for community participation in school development of the Ministry of Education."/>
    <s v="The District Training and Monitoring Teams (DTMT1 and DTMT2) from which the Core Trainers are selected are appointed by government officials with other responsibilities as well. This puts enormous workloads on these core trainers. The Ministry of Education, Provincial Office of Education and District Office of Education knew clearly about their roles and responsibilities for the Primary Education activities. CARE Cambodia has supported to the MoEYS,DTMT1,DTMT2 and School Support Committee and help them to get well functioning with their tasks, We all should regained that the CARE's work activities is not only belong to CARE it is really for us altogether."/>
    <s v="In June 2017, commune elections were conducted across Cambodia.  During this period, all NGOs were instructed to cease activities that involved meeting with government officials, including all MoEYS officials which this project works with.  This restriction caused some delay in implementing project activities. To overcome this challenge, project staff rescheduled those activities which required the participation of MoEYS and other government department officials to later dates.  This process was handled smoothly, made possible through CARE’s positive, long-standing relationship with the ministries. It should also be noted that according to election observers these commune elections were largely free and fair. This evaluation is collaborated with the outcome that the ruling party after thirty years lost a third of their votes in the commune elections. This indicated no fraud in the elections as it reflects the decreasing popularity of the ruling party."/>
    <m/>
    <s v="Although it is very positive that now all School Support Committee members are informed about their roles and responsibilities, they have opportunity to join with all the school activities such as: support children's access to school, the monitoring of children's attendance and performance, the monitoring of teachers' attendance, the creating and implementing of School Improvement Plan and monitoring to the school budget expenditure. This means there is still a need for greater understanding on the roles of the School Support Committee. This means that without refreshers and prolonged follow up by the District Training and Monitoring Teams the knowledge may sink away after some time. CARE has a Memorandum of Understanding with the MoEYS, which outlines facilitation guidelines, CARE employment counterpart designation, efficiency and transparency and open communication to assist planning, management and problem solving and that community teachers are recognised by MoEYS by the end of the project. The 2016/17 financial year is the School Governance Phase III period, in which CARE working with school support communities, teachers and the government to best train and develop a system for a sustainable of education MoEYS core trainers and staff from the Regional Teacher Training College knowledge on delivering more effective of teaching and learning. School Governance education Phase III project is in 295 primary schools in two provinces in Cambodia reaching 1,983 (418 of which are women) supported by the Capacity Building Partnership Fund (EU and SIDA) through UNICEF."/>
    <s v="Project documents and progress report; to be provided up on request."/>
    <n v="1983"/>
    <n v="51902"/>
    <n v="26.17347453353505"/>
    <n v="0.21079172970247101"/>
    <n v="0.48217795075334285"/>
    <n v="418"/>
    <n v="25026"/>
    <s v=""/>
    <n v="0"/>
    <n v="0"/>
    <s v=""/>
    <s v=""/>
    <n v="0"/>
    <n v="0"/>
    <s v=""/>
    <s v=""/>
    <n v="0"/>
    <n v="0"/>
    <s v=""/>
    <s v=""/>
    <n v="0"/>
    <n v="0"/>
    <s v=""/>
    <s v=""/>
    <n v="0"/>
    <n v="0"/>
    <s v=""/>
    <s v="2. Sensitive"/>
    <s v="4. Transformational"/>
    <s v="2. Sensitive"/>
    <s v="It tested new ways for fighting poverty, but did not measure results of innovation"/>
    <s v="Moderate advocacy"/>
    <s v="It linked and worked with strategic alliances and partners to take tested and effective solutions to scale"/>
  </r>
  <r>
    <x v="9"/>
    <x v="0"/>
    <n v="2828"/>
    <s v="Sewing for a Brighter Future (2828) and Healthy Food Healthy Workplace (new)"/>
    <s v="Cambodia"/>
    <s v="KHM 186/KH368"/>
    <s v="CARE USA"/>
    <s v="Foundation"/>
    <s v="Other"/>
    <s v="Levi Strauss Foundation"/>
    <s v="KHM 223/KH367"/>
    <s v="CARE USA"/>
    <s v="Individual supporter"/>
    <s v="Other"/>
    <s v="The Children Place (TCP)"/>
    <m/>
    <m/>
    <m/>
    <m/>
    <m/>
    <m/>
    <m/>
    <m/>
    <m/>
    <m/>
    <m/>
    <m/>
    <m/>
    <m/>
    <m/>
    <m/>
    <m/>
    <m/>
    <m/>
    <m/>
    <m/>
    <m/>
    <m/>
    <m/>
    <m/>
    <m/>
    <m/>
    <m/>
    <m/>
    <m/>
    <m/>
    <m/>
    <m/>
    <m/>
    <m/>
    <m/>
    <m/>
    <m/>
    <m/>
    <m/>
    <d v="2016-11-01T00:00:00"/>
    <d v="2019-05-31T00:00:00"/>
    <m/>
    <s v="Development Sexual, Reproductive and Maternal Health (SRMH)"/>
    <n v="262830"/>
    <s v="Hemrin Aun"/>
    <s v="Monitoring and Evaluation Advisor"/>
    <s v="hemrin.aun@careint.org"/>
    <s v="Jan Noorlander"/>
    <s v="Assistant Country Director-Programs"/>
    <s v="Jan.Noorlander@careint.org"/>
    <s v="NO"/>
    <s v="YES"/>
    <s v="NO"/>
    <s v="Improving Worker Well being throug knowledge, understanding and reflect positive behaviour changes on: Sexual/reproductive health (SRH), Maternal and Newborn health, Nutrition and Hygiene, Financial literacy, and sexual harassment, HIV/ AIDs."/>
    <s v="Sub-National"/>
    <s v="Phnom Penh and Kandal province, Cambodia"/>
    <s v="The garment factory workers have improved knowledge, understanding and reflect positive behaviour changes on: 1. Sexual/reproductive health (SRH), 2. Maternal and child health (MCH), 3. Nutrition and Hygiene, 4. HIV/ AIDs, 5. Financial Literacy"/>
    <n v="5834"/>
    <n v="1445"/>
    <n v="7279"/>
    <n v="18529"/>
    <n v="7112"/>
    <n v="25641"/>
    <s v="Direct participants in SBF are the workers who attent the training which conduct by the factory training team including the training team. The participants the topic cover in project such as:_x000a_Workers who have 18 - 30 age receive 1 hours awareness session on reproductive health._x000a_Worker recieve 1 hours awareness session on the financial literacy._x000a_Pregnant worker or female or male workers who will be a parent recieve the 2 hours awareness session on Maternal &amp; New Born Health._x000a_Nutrition awareness sesssion at Lunch time to worker have lunch at the canteen, aim they can reflected their lunch behaviors._x000a_Adm, compliance, HR staff, security gards, Line Leaders, and 3 workers in the each line recieve the 5 session of Sexual Harrassment awarenession._x000a__x000a_Indirect participants in SBF are all workers who recieved information from the workers who attend in the training session and they share what they learned._x000a__x000a_Direct participants in HFHW are workers who attend the training with the project training on Nutrition and Hygiene and through the awareness session.  _x000a_Indirect participants in HFHW all workers and family member who recieved information from the worker who attended the session through the project."/>
    <m/>
    <m/>
    <m/>
    <m/>
    <m/>
    <m/>
    <m/>
    <m/>
    <m/>
    <m/>
    <m/>
    <m/>
    <m/>
    <m/>
    <m/>
    <m/>
    <m/>
    <m/>
    <m/>
    <m/>
    <m/>
    <m/>
    <m/>
    <m/>
    <m/>
    <m/>
    <m/>
    <m/>
    <m/>
    <m/>
    <m/>
    <m/>
    <m/>
    <m/>
    <m/>
    <m/>
    <m/>
    <m/>
    <m/>
    <m/>
    <m/>
    <m/>
    <m/>
    <m/>
    <m/>
    <m/>
    <m/>
    <m/>
    <m/>
    <m/>
    <m/>
    <m/>
    <m/>
    <m/>
    <m/>
    <m/>
    <m/>
    <m/>
    <m/>
    <m/>
    <n v="4500"/>
    <n v="1093"/>
    <n v="5593"/>
    <n v="1929"/>
    <n v="469"/>
    <n v="2398"/>
    <m/>
    <m/>
    <m/>
    <m/>
    <m/>
    <m/>
    <m/>
    <m/>
    <m/>
    <m/>
    <m/>
    <m/>
    <m/>
    <m/>
    <m/>
    <m/>
    <m/>
    <m/>
    <m/>
    <m/>
    <m/>
    <m/>
    <m/>
    <m/>
    <s v="YES"/>
    <n v="4363"/>
    <n v="0.82"/>
    <n v="2398"/>
    <m/>
    <m/>
    <m/>
    <m/>
    <m/>
    <m/>
    <m/>
    <m/>
    <s v="YES"/>
    <n v="4363"/>
    <n v="0.81"/>
    <n v="2398"/>
    <m/>
    <m/>
    <m/>
    <m/>
    <m/>
    <m/>
    <m/>
    <m/>
    <m/>
    <m/>
    <m/>
    <m/>
    <s v="YES"/>
    <n v="5413"/>
    <n v="0.8"/>
    <n v="2398"/>
    <s v="YES"/>
    <n v="2182"/>
    <n v="0.82"/>
    <n v="2398"/>
    <s v="YES"/>
    <n v="2327"/>
    <n v="0.87"/>
    <n v="2398"/>
    <m/>
    <m/>
    <m/>
    <m/>
    <m/>
    <s v="YES"/>
    <s v="November"/>
    <n v="2016"/>
    <s v="NO"/>
    <s v="YES"/>
    <s v="October"/>
    <n v="2017"/>
    <s v="CARE plan to conduct a quantitative survery for baseline of HFHW project focus on knowledge and practive of food consumption among female factorty worker in the project coverage areas."/>
    <x v="1"/>
    <s v="NO"/>
    <s v="NO"/>
    <s v="NO"/>
    <s v="YES"/>
    <s v="YES"/>
    <s v="NO"/>
    <s v="NO"/>
    <s v="NO"/>
    <m/>
    <x v="1"/>
    <s v="SBF Adoption of a new way to implement the project such as: _x000a_Revise the training material make more simple and easy to understand base on the target situation._x000a_Finding the new way to implementation activities by specific on the target:_x000a_Sexual reproductive health (contraceptive and Safe abortion) with the workers limited age 18 - 30 year olds._x000a_Maternal and New born health focus on the pregnant workers and worker who interest to this topic. Including counselling from the midwife to better understand around birth prepareness, ANC, PNC, and new born care._x000a_Develop the financial literacy manual that comply with the workers suituation and reflect their behavior._x000a_Adupt Nutrition and Food hygiene session plan to reflect thier eating behavior and let them know on how healthy eating is._x000a_HFHW will conduct Human Center Designe to find out what is the workers issue, barria and practice related gainst nutrient through their daily behavior._x000a_Human Center Designe will find method for improving their knowledge on nutrition and food hygiene among worker and food vendor."/>
    <x v="3"/>
    <m/>
    <x v="1"/>
    <x v="0"/>
    <s v="YES"/>
    <x v="0"/>
    <x v="0"/>
    <x v="0"/>
    <x v="0"/>
    <n v="4"/>
    <x v="1"/>
    <x v="1"/>
    <x v="1"/>
    <x v="1"/>
    <x v="2"/>
    <x v="1"/>
    <n v="3"/>
    <x v="1"/>
    <x v="1"/>
    <x v="2"/>
    <x v="1"/>
    <x v="3"/>
    <n v="2"/>
    <x v="2"/>
    <x v="2"/>
    <n v="3"/>
    <s v="Local NGO(s)/CSO(s)"/>
    <s v="Private sector"/>
    <s v="Local government(s)"/>
    <x v="0"/>
    <s v="we conducted training to workers on sexual reproductive health ( contraceptive and safe abortion), financial literacy, nutrition and food hygiene, maternal &amp; new born, sexual harrassment. And the workers who attended the training share information what they learn to thier family and friend in the factory and communities."/>
    <s v="In this FY, the project has been meet the project expected results on providing knowledge to garment factory workers in the target 6 factories that contributing to addressing CARE's approach on improving sexual reproductive health, gender role and women empowerment."/>
    <s v="Factory training team capacity building and Research development of a BCC framework"/>
    <s v="Management, facilitate, support and encouragement and BCC media"/>
    <s v="Formal training approach and orientation and Working with food vendors"/>
    <s v="Meeting and develop activities plan with the factory and agreed on the implement plan. Regularly update the progress and challenges and solving basis."/>
    <s v="Factories management teams are aware of the SBF project and implementation support required from the factory."/>
    <s v="Strong networking and community with the project partners and stakeholders like GMAC, and local sub-grantee"/>
    <s v="The roll out for the SBF project for the year 2016 – 17 started in November 2016. There has been  changes in implementation approach from the previous years align with Improved Worker well being, which is a supply chain program introduced by LS &amp; Co. A detailed impact and needs assessment has been conducted to define focus areas under each of the training topics to ensure trainings meet the specific needs of workers.The capacity, skills and expertise of project sub-grantee (CWPD) on specific topics have been improved through Master Class and observation visits  conducted by CARE staff and technical experts. The training process as the following:_x000a_- Sexual Reproductive Health  - 1 hour awareness session - focus on limitted age 18-30 of garment workers._x000a_- Maternal and New born Health - 2 hours awareness session - focus on the pregnant workers and the workers who interest or just married ._x000a_- Nutrition &amp;Hygiene - conducted lunch time to reflect workers behavior of their eating._x000a_- Financial literacy - coducted the 1 hours awareness in working time to 50% of total workers in each factory._x000a_- Sexual Harassment - 5 session conduct to Office staff, Line leaders, security gards, and workers."/>
    <s v="Need Assessment report, Project proposal, Project SBF interim report (Nov 2016- Mar 2017)"/>
    <n v="5593"/>
    <n v="2398"/>
    <n v="0.42875022349365277"/>
    <n v="0.8045771500089397"/>
    <n v="0.80442035029190995"/>
    <n v="4500"/>
    <n v="1929"/>
    <s v=""/>
    <n v="0"/>
    <n v="0"/>
    <s v=""/>
    <n v="1"/>
    <n v="4363"/>
    <n v="2398"/>
    <n v="0.54962181984872793"/>
    <n v="1"/>
    <n v="5413"/>
    <n v="2398"/>
    <n v="0.44300757435802696"/>
    <s v=""/>
    <n v="0"/>
    <n v="0"/>
    <s v=""/>
    <n v="1"/>
    <n v="2327"/>
    <n v="2398"/>
    <n v="1.0305113880532875"/>
    <s v="2. Sensitive"/>
    <s v="2. Accommodating"/>
    <s v="1. Neutral"/>
    <s v="It tested new ways for fighting poverty, but did not measure results of innovation"/>
    <s v="Moderate advocacy"/>
    <s v="It took tested solutions to scale on its own"/>
  </r>
  <r>
    <x v="9"/>
    <x v="0"/>
    <n v="2814"/>
    <s v="WASH in Schools and Communities to Elevate Ethnic Minority Women (WISC) (2814) and WASH in schools supported by UNICEF (2813)"/>
    <s v="Cambodia"/>
    <s v="KH348"/>
    <s v="CARE Australia"/>
    <s v="Government"/>
    <s v="Government - Australia"/>
    <s v="Australian NGO Cooperation Program (ANCP)"/>
    <s v="KH365"/>
    <s v="No CARE member related to the project/initiative"/>
    <s v="Multilateral agency"/>
    <s v="UN - United Nations agencies/offices"/>
    <s v="UNICEF"/>
    <m/>
    <m/>
    <m/>
    <m/>
    <m/>
    <m/>
    <m/>
    <m/>
    <m/>
    <m/>
    <m/>
    <m/>
    <m/>
    <m/>
    <m/>
    <m/>
    <m/>
    <m/>
    <m/>
    <m/>
    <m/>
    <m/>
    <m/>
    <m/>
    <m/>
    <m/>
    <m/>
    <m/>
    <m/>
    <m/>
    <m/>
    <m/>
    <m/>
    <m/>
    <m/>
    <m/>
    <m/>
    <m/>
    <m/>
    <m/>
    <d v="2015-01-01T00:00:00"/>
    <d v="2017-06-30T00:00:00"/>
    <m/>
    <s v="Development Access to and Control over Economic Resources"/>
    <n v="649120"/>
    <s v="Hemrin Aun"/>
    <s v="Monitoring and Evaluation Advisor"/>
    <s v="hemrin.aun@careint.org"/>
    <s v="Jan Noorlander"/>
    <s v="Assistant Country Director-Programs"/>
    <s v="Jan.Noorlander@careint.org"/>
    <s v="NO"/>
    <s v="YES"/>
    <s v="NO"/>
    <s v="Increased gender equity, through better health and quality of life for ethnic minority women and girls, througn improve availability and accessibility to quality water and higiene practice in schools and community."/>
    <s v="Sub-National"/>
    <s v="The project is located in Ratanak Kiri province , North-East of Cambodia. Currently, the project is working in 11 villages and 10 primary and Lower Secondary schools in Bar Kaev district and  5 Lower Secondary schools in Andoung Meas, O Yadav, Ta Vaeang, and Lumphat district."/>
    <s v="Ethnic minirity women, students and community members"/>
    <n v="3989"/>
    <n v="4508"/>
    <n v="8497"/>
    <n v="3398"/>
    <n v="3159"/>
    <n v="6557"/>
    <s v="* The direct beneficiary who direct benefit from the project implementation through training activities,awareness raising,  construction facilities and  those who received materials such as water jar. At community  are included whole village member if we buiilt a large community pond that served people in whole village, 25 families of 5.1 persons  if we build a dig bore hole and a family for 5.1 people if we provide a water jar and/or received education and awareness raising activities including established water uses committee. At shools, we included all students in the schools if we established a water system , build or renovate well or toilet and/or provided education to students in the schools._x000a_* Indirect beneficiary are estimated based on the nature of the activities. At community:indirect beneficiary are other commune members living  in the villages of the project coverage areas who were not counted as direct beneficiary; and at school  is calculated their famility member of the student by mutiply the average family size (5.1) and deducted those students."/>
    <m/>
    <m/>
    <m/>
    <m/>
    <m/>
    <m/>
    <m/>
    <m/>
    <m/>
    <m/>
    <m/>
    <m/>
    <m/>
    <m/>
    <m/>
    <m/>
    <m/>
    <m/>
    <m/>
    <m/>
    <m/>
    <m/>
    <m/>
    <m/>
    <m/>
    <m/>
    <m/>
    <m/>
    <m/>
    <m/>
    <m/>
    <m/>
    <m/>
    <m/>
    <m/>
    <m/>
    <m/>
    <m/>
    <m/>
    <m/>
    <m/>
    <m/>
    <m/>
    <m/>
    <m/>
    <m/>
    <m/>
    <m/>
    <m/>
    <m/>
    <m/>
    <m/>
    <m/>
    <m/>
    <m/>
    <m/>
    <m/>
    <m/>
    <m/>
    <m/>
    <n v="1862"/>
    <n v="1924"/>
    <n v="3786"/>
    <n v="3182"/>
    <n v="3207"/>
    <n v="6389"/>
    <m/>
    <m/>
    <m/>
    <m/>
    <s v="YES"/>
    <n v="204"/>
    <n v="0.51"/>
    <n v="836"/>
    <m/>
    <m/>
    <m/>
    <m/>
    <m/>
    <m/>
    <m/>
    <m/>
    <m/>
    <m/>
    <m/>
    <m/>
    <s v="YES"/>
    <n v="3109"/>
    <n v="0.46"/>
    <n v="4001"/>
    <s v="YES"/>
    <n v="3786"/>
    <n v="0.49"/>
    <n v="6389"/>
    <m/>
    <m/>
    <m/>
    <m/>
    <s v="YES"/>
    <n v="3036"/>
    <n v="0.54"/>
    <n v="6389"/>
    <m/>
    <m/>
    <m/>
    <m/>
    <s v="YES"/>
    <n v="2302"/>
    <n v="0.44"/>
    <n v="6389"/>
    <m/>
    <m/>
    <m/>
    <m/>
    <m/>
    <m/>
    <m/>
    <m/>
    <m/>
    <m/>
    <m/>
    <m/>
    <s v="YES"/>
    <n v="3786"/>
    <n v="0.49"/>
    <n v="6389"/>
    <m/>
    <m/>
    <m/>
    <m/>
    <m/>
    <m/>
    <m/>
    <m/>
    <m/>
    <s v="YES"/>
    <s v="June"/>
    <n v="2017"/>
    <s v="NO"/>
    <s v="NO"/>
    <m/>
    <m/>
    <s v="N/A"/>
    <x v="1"/>
    <s v="NO"/>
    <s v="NO"/>
    <s v="YES"/>
    <s v="YES"/>
    <s v="NO"/>
    <s v="NO"/>
    <s v="NO"/>
    <s v="NO"/>
    <m/>
    <x v="1"/>
    <s v="Solar power used to operate water pumps to address the issue of power outages in remote locations.  This approach is also more sustainable, because schools do not have to pay electricity to operate the pumps."/>
    <x v="0"/>
    <m/>
    <x v="1"/>
    <x v="1"/>
    <s v="YES"/>
    <x v="0"/>
    <x v="0"/>
    <x v="0"/>
    <x v="2"/>
    <n v="4"/>
    <x v="1"/>
    <x v="1"/>
    <x v="1"/>
    <x v="1"/>
    <x v="1"/>
    <x v="1"/>
    <n v="4"/>
    <x v="1"/>
    <x v="1"/>
    <x v="1"/>
    <x v="2"/>
    <x v="3"/>
    <n v="2"/>
    <x v="0"/>
    <x v="0"/>
    <n v="1"/>
    <s v="Local government(s)"/>
    <m/>
    <m/>
    <x v="1"/>
    <m/>
    <s v="no important change"/>
    <s v="Ensuring broad ownership of intent, key processes and models, amongst CARE, authorities and communities and strong investment phased capacity building and leadership for marginalised rural women, men, and local authorities to build momentum for change, and support sustainable local action."/>
    <s v="A focus on the identification of lessons learned and the sharing of these amongst key stakeholders will contribute to broader sustainability. Specific studies and targeted learning processes will ensure key lessons learned are captured, documented and linked to focused engagement in national and provincial dialogue."/>
    <s v="The project had reviewed and adjusted such activities to include WASH minimum standard the target school. This lead to better plan to teacher to allocate time  to provide education to student and  help to improve better practices of student learing in the schools"/>
    <s v="CARE implemented many activities from the community to the national level. To be more sustainable, CARE had been identified the local and governmental partner to implement the project activities. To ensure the cooperation between CARE and partners, the inception phase to present CARE activities with the director/vice director of the relevant department should be done at the planning stage. The MOU should also have in place before project implementation."/>
    <s v="Forecasting the growth or reducing of the school population is important to ensure there is no shortage of toilets per student once the project is finished because of students has increased."/>
    <m/>
    <m/>
    <m/>
    <n v="3786"/>
    <n v="6389"/>
    <n v="1.6875330163761226"/>
    <n v="0.49181193872160589"/>
    <n v="0.49804351228674282"/>
    <n v="1862"/>
    <n v="3182"/>
    <s v=""/>
    <n v="0"/>
    <n v="0"/>
    <s v=""/>
    <n v="1"/>
    <n v="3786"/>
    <n v="6389"/>
    <n v="1.6875330163761226"/>
    <s v=""/>
    <n v="0"/>
    <n v="0"/>
    <s v=""/>
    <s v=""/>
    <n v="0"/>
    <n v="0"/>
    <s v=""/>
    <s v=""/>
    <n v="0"/>
    <n v="0"/>
    <s v=""/>
    <s v="4. Transformative"/>
    <s v="2. Accommodating"/>
    <s v="1. Neutral"/>
    <s v="It tested new ways for fighting poverty, but did not measure results of innovation"/>
    <s v="Moderate advocacy"/>
    <s v="It did not take tested solutions to scale"/>
  </r>
  <r>
    <x v="10"/>
    <x v="2"/>
    <m/>
    <s v="Continuum of prevention, Care and Treatment (CoPCT) of HIV/AIDS with most at risk populations"/>
    <s v="Cameroon"/>
    <s v="CMR074/217"/>
    <s v="CARE USA"/>
    <s v="Government"/>
    <s v="Other"/>
    <s v="President Emergency Program for AIDS Relief PEPFAR"/>
    <m/>
    <m/>
    <s v="Government"/>
    <s v="Other"/>
    <s v="USAID"/>
    <m/>
    <m/>
    <m/>
    <m/>
    <m/>
    <m/>
    <m/>
    <m/>
    <m/>
    <m/>
    <m/>
    <m/>
    <m/>
    <m/>
    <m/>
    <m/>
    <m/>
    <m/>
    <m/>
    <m/>
    <m/>
    <m/>
    <m/>
    <m/>
    <m/>
    <m/>
    <m/>
    <m/>
    <m/>
    <m/>
    <m/>
    <m/>
    <m/>
    <m/>
    <m/>
    <m/>
    <m/>
    <m/>
    <m/>
    <m/>
    <d v="2014-04-01T00:00:00"/>
    <d v="2019-07-01T00:00:00"/>
    <m/>
    <s v="Development Other"/>
    <n v="18761142"/>
    <s v="Denis HYNES"/>
    <s v="Chief of party"/>
    <s v="dhynes@care.org"/>
    <s v="Sandra Georges"/>
    <s v="Deputy Chief of Party, Finace and administration"/>
    <s v="sgeorges@care.org"/>
    <s v="NO"/>
    <s v="YES"/>
    <s v="NO"/>
    <s v="Réduire les infections VIH/IST et la morbidité y relative , et atténuer l'impact du VIH sur le developpement socio-économique du Cameroun"/>
    <s v="Sub-National"/>
    <s v="Régions du Centre (Yaoundé), le Littoral (Douala),le Nord-Ouest (Bamenda)"/>
    <s v="Les populations clés: les hommes ayant des relations sexuelles avec les hommes (HSH) et les travailleurs de sexe (TS)"/>
    <n v="66000"/>
    <n v="16000"/>
    <n v="82000"/>
    <n v="29350"/>
    <n v="27650"/>
    <n v="57000"/>
    <s v="Les cibles du programme viennent d'un étude de base faite par le bailleur sur les populations clés au Cameroun. Les participants directs (population clés, les travailleuss de sexe et leur clients), sont les cibles du programme , ils sont calculés en termes de nouvelles personnes touchées au cours du trimestre au cours des activités de sensibilisation .Les participants indirects sont les agants de l'Etat , les formations sanitaires , les hopitaux  les journalistes , les staffs des OBC elles meme."/>
    <m/>
    <m/>
    <m/>
    <m/>
    <m/>
    <m/>
    <m/>
    <m/>
    <m/>
    <m/>
    <m/>
    <m/>
    <m/>
    <m/>
    <m/>
    <m/>
    <m/>
    <m/>
    <m/>
    <m/>
    <m/>
    <m/>
    <m/>
    <m/>
    <m/>
    <m/>
    <m/>
    <m/>
    <m/>
    <m/>
    <m/>
    <m/>
    <m/>
    <m/>
    <m/>
    <m/>
    <m/>
    <m/>
    <m/>
    <m/>
    <m/>
    <m/>
    <m/>
    <m/>
    <m/>
    <m/>
    <m/>
    <m/>
    <m/>
    <m/>
    <m/>
    <m/>
    <m/>
    <m/>
    <m/>
    <m/>
    <m/>
    <m/>
    <m/>
    <m/>
    <n v="22988"/>
    <n v="32944"/>
    <n v="55932"/>
    <n v="325"/>
    <n v="362"/>
    <n v="687"/>
    <m/>
    <m/>
    <m/>
    <m/>
    <m/>
    <m/>
    <m/>
    <m/>
    <m/>
    <m/>
    <m/>
    <m/>
    <m/>
    <m/>
    <m/>
    <m/>
    <m/>
    <m/>
    <m/>
    <m/>
    <m/>
    <m/>
    <m/>
    <m/>
    <m/>
    <m/>
    <m/>
    <m/>
    <s v="YES"/>
    <n v="1740"/>
    <n v="1.2999999999999999E-2"/>
    <n v="21"/>
    <m/>
    <m/>
    <m/>
    <m/>
    <m/>
    <m/>
    <m/>
    <m/>
    <m/>
    <m/>
    <m/>
    <m/>
    <m/>
    <m/>
    <m/>
    <m/>
    <m/>
    <m/>
    <m/>
    <m/>
    <s v="YES"/>
    <n v="54192"/>
    <n v="0.98699999999999999"/>
    <n v="666"/>
    <m/>
    <m/>
    <m/>
    <m/>
    <m/>
    <m/>
    <m/>
    <m/>
    <m/>
    <m/>
    <m/>
    <m/>
    <m/>
    <s v="YES"/>
    <s v="October"/>
    <n v="2016"/>
    <s v="NO"/>
    <s v="YES"/>
    <s v="September"/>
    <n v="2017"/>
    <m/>
    <x v="2"/>
    <s v="YES"/>
    <s v="YES"/>
    <s v="YES"/>
    <s v="YES"/>
    <s v="YES"/>
    <s v="YES"/>
    <s v="YES"/>
    <m/>
    <s v="Developpement du plan stratégique de plaidoyer ,  facilitation des ateliers de palidoyers en direction des autorité judiciares et des forces de l'orde  organisés par les partenaires (CAMNAFAW), la troisieme conference internationale sur les populations clés avec pour thème “Leaving No One Behind: Bringing Key Population programs in West and Central Africa to scale to meet the 90-90-90 targets”, Participation à l'atelier de validation du rapport de l'analyse situationnelle dans le cadre du projet SOGIR Africa du PNUD, Formation des journalistes et production des documentaires /articles et émissions radios dans le but d'améliorer la visibilité du projet et promouvoir un environement favorable pour les populations clés,"/>
    <x v="1"/>
    <s v="Implémentions des principes de « test &amp; treat » pour le VIH chez les bénéficiaires directe et indirecte a amélioré le cascade 90 90 90"/>
    <x v="1"/>
    <s v="Collaboration avec CAMNAFAW dans la fourniture des Kits IST aux ONC partenaires"/>
    <x v="1"/>
    <x v="0"/>
    <s v="YES"/>
    <x v="0"/>
    <x v="0"/>
    <x v="0"/>
    <x v="0"/>
    <n v="4"/>
    <x v="1"/>
    <x v="1"/>
    <x v="1"/>
    <x v="1"/>
    <x v="1"/>
    <x v="1"/>
    <n v="4"/>
    <x v="1"/>
    <x v="1"/>
    <x v="1"/>
    <x v="1"/>
    <x v="1"/>
    <n v="3"/>
    <x v="0"/>
    <x v="3"/>
    <n v="15"/>
    <s v="Local government(s)"/>
    <s v="Grassroots organization(s)"/>
    <s v="Local NGO(s)/CSO(s)"/>
    <x v="0"/>
    <s v="Formation sur le plaidoyer , formation des nouvelles OBC sur tous le programmes, Voyages/conferences internationaux des partenaires, founitures et financement des partenaires , supervisions formatives , renforcement des capacités en rapid finger prick test, formation sur le KP Friendly services pour les staff des formations sanitaires"/>
    <s v="La réorientation du bailleur par rapports aux activites attendues du projet , les OEV inclus dans les indicateurs du projet, extension du partenariat de mise en œuvre du projet à d'autres OBC,"/>
    <s v="L'approche de l'Education et Mobilisation Avancée des Pairs (EMAP) qui a amélioré la mobisation ciblée vers le dépistage"/>
    <s v="La stratégie de la paire Navigation , qui a aidé a l'observance et rétention des clients positifs sous traitement ,"/>
    <s v="Le suivi rapprochant des OBC , en mettant a la disposition des OBC  des stagiaires M&amp;E qui les accompagnent au quotidien sur la qualité des données"/>
    <s v="Renforcer la collaboration avec le système de santé national et les programme et opportunites existentes a permis d'ameiolrer la qualite du programme en ce qi concerne le lien aux ARV"/>
    <s v="le processus d'assurance et d'amelioration de la qualité du programme a également permi aux partenaires de mieux délivrer les services auprès des bénéficiares"/>
    <s v="Le plaidoyer pour l'environnement favorables des populations clés a été renforcé par l'implication du ministeres en charges des VBG et aussi de la contribution du programme du Fonds Mondial"/>
    <s v="La stratégie qui a été developpée pour mieux identifier la prévalence des client  des travailleuses de sexe est celle du Sex &amp; Test , ce qui nous a permi de mieux identifier les clients des travailleuses de sexes et d'avoir des informations sur le r taux de prévalence de ette cible( Il ya eu des coupons qui ont été remis aux travailleuses de sexe lors de l'activité , le taux d'acceptation du test a augmanté et les indicateurs des clients des travailleuses de sexe a tester ont été atteint avant la fin de l'année fiscale). Une autre stratégie a été mise en place pour mieux ciibler le dépistage des enfants des travailleuses de sexe (les counselling ont été fait aux travailleuses de sexe positives au VIH pour emmener leurs enfants se faire dépister). Pour améliorer la rétention des populations clés testées positives au VIH, il a été recruté des conseillers relais pour le suivi de proximité des respects des rendez-vous de la prise des médicaments des cohortes des personnes infectées."/>
    <s v="Rapport trimestres 1,2,3(FY17)"/>
    <n v="55932"/>
    <n v="687"/>
    <n v="1.2282771937352499E-2"/>
    <n v="0.41099907029964955"/>
    <n v="0.47307132459970885"/>
    <n v="22988"/>
    <n v="325"/>
    <s v=""/>
    <n v="0"/>
    <n v="0"/>
    <s v=""/>
    <s v=""/>
    <n v="0"/>
    <n v="0"/>
    <s v=""/>
    <n v="1"/>
    <n v="54192"/>
    <n v="666"/>
    <n v="1.228963684676705E-2"/>
    <n v="1"/>
    <n v="1740"/>
    <n v="21"/>
    <n v="1.2068965517241379E-2"/>
    <s v=""/>
    <n v="0"/>
    <n v="0"/>
    <s v=""/>
    <s v="2. Sensitive"/>
    <s v="2. Accommodating"/>
    <s v="2. Sensitive"/>
    <s v="It tested new ways for fighting poverty, but did not measure results of innovation"/>
    <s v="Intensive advocacy"/>
    <s v="It linked and worked with strategic alliances and partners to take tested and effective solutions to scale"/>
  </r>
  <r>
    <x v="10"/>
    <x v="2"/>
    <m/>
    <s v="Projet Communes et Organisations de la Société Civile Performantes pour des Populations Engagées et Résilientes (COOPERER)"/>
    <s v="Cameroon"/>
    <s v="MAEX0002/FR817"/>
    <s v="CARE France"/>
    <s v="Government"/>
    <s v="Government - France"/>
    <s v="Embassy of France"/>
    <m/>
    <m/>
    <m/>
    <m/>
    <m/>
    <m/>
    <m/>
    <m/>
    <m/>
    <m/>
    <m/>
    <m/>
    <m/>
    <m/>
    <m/>
    <m/>
    <m/>
    <m/>
    <m/>
    <m/>
    <m/>
    <m/>
    <m/>
    <m/>
    <m/>
    <m/>
    <m/>
    <m/>
    <m/>
    <m/>
    <m/>
    <m/>
    <m/>
    <m/>
    <m/>
    <m/>
    <m/>
    <m/>
    <m/>
    <m/>
    <m/>
    <m/>
    <m/>
    <m/>
    <m/>
    <d v="2016-11-01T00:00:00"/>
    <d v="2017-10-31T00:00:00"/>
    <m/>
    <s v="Humanitarian Food &amp; Nutrition Security and Resilience to Climate Change"/>
    <n v="375000"/>
    <s v="ANNE PERROT BIHINA"/>
    <s v="Directrice Nationale de Care Internation Cameroun"/>
    <s v="perrot@carecameroun.org"/>
    <s v="PEINE Marceline"/>
    <s v="Chef de Base CARE Maroua"/>
    <s v="peine@carecameroun.org"/>
    <s v="NO"/>
    <s v="YES"/>
    <s v="NO"/>
    <s v="Contribuer à la stabilité sociale et économique des jeunes et des femmes dans les zones de vulnérabilités complexes et combinées (sécurité, climat, déficit structurel grave) au Cameroun."/>
    <s v="Regional"/>
    <s v="Cameroun, Région de l'Extrême-Nord, Départements du Mayo Kani (commune de Kaélé) et Département du Mayo Danay (Commune de Gobo)"/>
    <m/>
    <n v="2482"/>
    <n v="2318"/>
    <n v="4800"/>
    <n v="15510"/>
    <n v="14490"/>
    <n v="30000"/>
    <s v="L'initiative compte toucher 30000 personnes pour l'amélioration de l'accès aux services de base (eau, santé) et 800 ménages pour l'amélioration du statut économique et la sécurité alimentaire"/>
    <m/>
    <m/>
    <m/>
    <m/>
    <m/>
    <m/>
    <m/>
    <m/>
    <m/>
    <m/>
    <m/>
    <m/>
    <m/>
    <m/>
    <m/>
    <m/>
    <m/>
    <m/>
    <m/>
    <m/>
    <m/>
    <m/>
    <m/>
    <m/>
    <m/>
    <m/>
    <m/>
    <m/>
    <m/>
    <m/>
    <m/>
    <m/>
    <m/>
    <m/>
    <m/>
    <m/>
    <m/>
    <m/>
    <m/>
    <m/>
    <m/>
    <m/>
    <m/>
    <m/>
    <m/>
    <m/>
    <m/>
    <m/>
    <m/>
    <m/>
    <m/>
    <m/>
    <m/>
    <m/>
    <m/>
    <m/>
    <m/>
    <m/>
    <m/>
    <m/>
    <n v="1085"/>
    <n v="186"/>
    <n v="1271"/>
    <n v="6106"/>
    <n v="5501"/>
    <n v="11607"/>
    <m/>
    <m/>
    <m/>
    <m/>
    <m/>
    <m/>
    <m/>
    <m/>
    <m/>
    <m/>
    <m/>
    <m/>
    <m/>
    <m/>
    <m/>
    <m/>
    <m/>
    <m/>
    <m/>
    <m/>
    <m/>
    <m/>
    <m/>
    <m/>
    <m/>
    <m/>
    <m/>
    <m/>
    <m/>
    <m/>
    <m/>
    <m/>
    <m/>
    <m/>
    <m/>
    <m/>
    <m/>
    <m/>
    <m/>
    <m/>
    <m/>
    <m/>
    <m/>
    <m/>
    <m/>
    <m/>
    <m/>
    <m/>
    <m/>
    <m/>
    <m/>
    <m/>
    <m/>
    <m/>
    <m/>
    <m/>
    <s v="YES"/>
    <n v="197"/>
    <n v="0.155"/>
    <n v="11556"/>
    <s v="YES"/>
    <n v="1074"/>
    <n v="0.84499999999999997"/>
    <n v="51"/>
    <m/>
    <m/>
    <m/>
    <m/>
    <m/>
    <s v="NO"/>
    <m/>
    <m/>
    <s v="NO"/>
    <m/>
    <m/>
    <m/>
    <m/>
    <x v="1"/>
    <s v="YES"/>
    <s v="YES"/>
    <s v="YES"/>
    <s v="YES"/>
    <s v="YES"/>
    <s v="YES"/>
    <m/>
    <s v="NO"/>
    <m/>
    <x v="1"/>
    <m/>
    <x v="1"/>
    <s v="L'initiative a travaillé avec les services étatiques (Ministère de l'Agriculture, Ministère de l'Energie et Eau) avec des activités de résilience (formaition en agro-écologie) et accès à l'eau potable"/>
    <x v="3"/>
    <x v="1"/>
    <s v="YES"/>
    <x v="0"/>
    <x v="0"/>
    <x v="0"/>
    <x v="2"/>
    <n v="4"/>
    <x v="1"/>
    <x v="1"/>
    <x v="1"/>
    <x v="1"/>
    <x v="1"/>
    <x v="1"/>
    <n v="4"/>
    <x v="1"/>
    <x v="1"/>
    <x v="1"/>
    <x v="1"/>
    <x v="1"/>
    <n v="3"/>
    <x v="0"/>
    <x v="3"/>
    <n v="6"/>
    <s v="Grassroots organization(s)"/>
    <s v="Local government(s)"/>
    <m/>
    <x v="0"/>
    <m/>
    <s v="L'initiative a renforcé les capacités de l'OSC Sana Logone pour pouvoir directement inclure les femmes et les jeunes dans les activités de la société civile : comités de gestion des points d'eau, associations villageoises d'épargne et de crédit, relais communautaire santé et eau"/>
    <s v="Mise en place des Associations Villageoises d'Epargne et de Crédit (AVEC)"/>
    <s v="Mise en place des Commissions Communales de Développement Economique et Social (CCODES)"/>
    <s v="Mise en place des Comités de Gestion des Points d'Eau (CGPE)"/>
    <s v="La mise en œuvre de l’action dans une commune dont les capacités institutionnelles et organisationnelles ont été renforcées et qui a pérennisé les acquis des initiatives antérieures est plus favorable à accompagner un nouveau projet et à financer les actions même au-delà de la vie du projet"/>
    <s v="L'appropriation du projet par les bénéficiaires directs constitue une garantie pour la durabilité du projet"/>
    <m/>
    <m/>
    <s v="o Note de Projet auprès du SCAC (Service de Coopération de d’Action Culturelle), Ambassade de France au Cameroun (Yaounde)_x000a_o Rapport Intermédiaire COOPERER, Novembre à Juillet 2017_x000a_o Cadre de performance du projet"/>
    <n v="1271"/>
    <n v="11607"/>
    <n v="9.1321793863099927"/>
    <n v="0.85365853658536583"/>
    <n v="0.52606185922288273"/>
    <n v="1085"/>
    <n v="6106"/>
    <s v=""/>
    <n v="0"/>
    <n v="0"/>
    <s v=""/>
    <n v="1"/>
    <n v="197"/>
    <n v="11556"/>
    <n v="58.659898477157363"/>
    <s v=""/>
    <n v="0"/>
    <n v="0"/>
    <s v=""/>
    <s v=""/>
    <n v="0"/>
    <n v="0"/>
    <s v=""/>
    <n v="1"/>
    <n v="1074"/>
    <n v="51"/>
    <n v="4.7486033519553071E-2"/>
    <s v="4. Transformative"/>
    <s v="2. Accommodating"/>
    <s v="2. Sensitive"/>
    <s v="It tested new ways for fighting poverty, but did not measure results of innovation"/>
    <s v="Moderate advocacy"/>
    <s v="It linked and worked with strategic alliances and partners to take tested and effective solutions to scale"/>
  </r>
  <r>
    <x v="10"/>
    <x v="2"/>
    <m/>
    <s v="Projet d’accompagnement des bénéficiaires dans la mise en œuvre des activités du volet HIMO au Programme National de Développement Participatif (PNDP)"/>
    <s v="Cameroon"/>
    <s v="CMR 788"/>
    <s v="CARE France"/>
    <s v="Government"/>
    <s v="Other"/>
    <s v="National Participatory Development Program (PNDP)"/>
    <m/>
    <m/>
    <m/>
    <m/>
    <m/>
    <m/>
    <m/>
    <m/>
    <m/>
    <m/>
    <m/>
    <m/>
    <m/>
    <m/>
    <m/>
    <m/>
    <m/>
    <m/>
    <m/>
    <m/>
    <m/>
    <m/>
    <m/>
    <m/>
    <m/>
    <m/>
    <m/>
    <m/>
    <m/>
    <m/>
    <m/>
    <m/>
    <m/>
    <m/>
    <m/>
    <m/>
    <m/>
    <m/>
    <m/>
    <m/>
    <m/>
    <m/>
    <m/>
    <m/>
    <m/>
    <d v="2016-04-22T00:00:00"/>
    <d v="2017-04-21T00:00:00"/>
    <m/>
    <s v="Development Access to and Control over Economic Resources"/>
    <n v="548435"/>
    <s v="PEINE MARCELINE"/>
    <s v="Coordonnatrice du programme résilience"/>
    <s v="peine@carecameroun.org"/>
    <s v="ACHILI ASANJI MELVIN"/>
    <s v="Gestionnaire du projet HIMO"/>
    <s v="achili@carecameroun.org"/>
    <s v="NO"/>
    <s v="YES"/>
    <s v="NO"/>
    <s v="Contribuer  à l’insertion des jeunes désœuvrés par la création d’emplois durables dans la partie septentrionale du Cameroun marquée par la sévérité du climat et l’insécurité engendrée par les attaques terroristes"/>
    <s v="Sub-National"/>
    <s v="Région de l’Extrême-Nord à travers les Communes de Moutourwa, Mindif, Hina, Guidiguis, Gobo, Wina, Kaélé, Kar hay et Mokolo"/>
    <s v="Les Jeunes femmes et hommes Camerounais âgés de 18 à 35 ans employés comme ouvriers sur les différents chantiers de réalisation des routes, mares d'eau et de construction du magasin dans les zones ciblées par le projet HIMO"/>
    <n v="405"/>
    <n v="945"/>
    <n v="1350"/>
    <n v="2430"/>
    <n v="5670"/>
    <n v="8100"/>
    <s v="Les participants directs: sont les personnes pour qui CARE s'est engagé à s'améliorer et mesurer les changements pendant la durée du projet. Ce nombre a été déterminé par les objectifs fixés par le bailleur; soit 1350 bénéficiaires avec 30% (405) femmes de femmes et 70% (945) hommes.                                                                                                                                                                                                                                                                                          Les participants indirects: incluent toutes les personnes qui NE SONT PAS directement impliquées dans les activités du projet, qui NE REÇOIVENT PAS de soutien direct, des services, des biens, des ressources du projet, mais sont affectés par le projet. Par exemple :_x000a_- Les membres du ménage qui ne sont pas directement impliqués dans les activités du projet_x000a_- Les membres de la Communauté qui ne sont pas directement impliqués dans les activités du projet"/>
    <m/>
    <m/>
    <m/>
    <m/>
    <m/>
    <m/>
    <m/>
    <s v="NO"/>
    <m/>
    <m/>
    <m/>
    <s v="NO"/>
    <m/>
    <m/>
    <m/>
    <s v="NO"/>
    <m/>
    <m/>
    <m/>
    <s v="NO"/>
    <m/>
    <m/>
    <m/>
    <s v="NO"/>
    <m/>
    <m/>
    <m/>
    <s v="NO"/>
    <m/>
    <m/>
    <m/>
    <s v="NO"/>
    <m/>
    <m/>
    <m/>
    <s v="NO"/>
    <m/>
    <m/>
    <m/>
    <s v="NO"/>
    <m/>
    <m/>
    <m/>
    <s v="NO"/>
    <m/>
    <m/>
    <m/>
    <s v="NO"/>
    <m/>
    <m/>
    <m/>
    <s v="NO"/>
    <m/>
    <m/>
    <m/>
    <m/>
    <s v="NO"/>
    <m/>
    <m/>
    <m/>
    <n v="591"/>
    <n v="1206"/>
    <n v="1797"/>
    <n v="153"/>
    <n v="165"/>
    <n v="318"/>
    <s v="NO"/>
    <m/>
    <m/>
    <m/>
    <s v="YES"/>
    <n v="666"/>
    <n v="0.13600000000000001"/>
    <n v="230"/>
    <s v="NO"/>
    <m/>
    <m/>
    <m/>
    <s v="YES"/>
    <n v="225"/>
    <n v="4.7E-2"/>
    <n v="66"/>
    <s v="YES"/>
    <n v="559"/>
    <n v="1.2999999999999999E-2"/>
    <m/>
    <s v="NO"/>
    <m/>
    <m/>
    <m/>
    <s v="NO"/>
    <m/>
    <m/>
    <m/>
    <s v="NO"/>
    <m/>
    <m/>
    <m/>
    <s v="NO"/>
    <m/>
    <m/>
    <m/>
    <s v="NO"/>
    <m/>
    <m/>
    <m/>
    <s v="NO"/>
    <m/>
    <m/>
    <m/>
    <s v="NO"/>
    <m/>
    <m/>
    <m/>
    <s v="NO"/>
    <m/>
    <m/>
    <m/>
    <s v="NO"/>
    <m/>
    <m/>
    <m/>
    <s v="NO"/>
    <m/>
    <m/>
    <m/>
    <s v="YES"/>
    <n v="347"/>
    <n v="4.2000000000000003E-2"/>
    <n v="22"/>
    <m/>
    <m/>
    <m/>
    <m/>
    <m/>
    <s v="NO"/>
    <m/>
    <m/>
    <s v="NO"/>
    <s v="YES"/>
    <s v="September"/>
    <n v="2017"/>
    <s v="Cette évaluation sera faite par le PNDP"/>
    <x v="1"/>
    <s v="YES"/>
    <s v="YES"/>
    <s v="YES"/>
    <s v="YES"/>
    <s v="YES"/>
    <s v="YES"/>
    <s v="YES"/>
    <s v="YES"/>
    <s v="Plaidoyé auprès des Communes pour la pérénisation des acquis du projet à travers la création des Commissions Communales HIMO (instance de prise en compte/ de suivi du processus d'insertion socio économique des jeunes au sein de l'exécutif communale); Plaidoyé auprès des leaders traditionnelles et des hommes dans les communautés pour l'enregistrement d'au moins 30% de femme comme bénéficiaires du projet;"/>
    <x v="2"/>
    <s v="L'insertion socioéconomique des jeunes via la méthode haute Intensité de la Main d'oeuvre"/>
    <x v="1"/>
    <s v="L'implication des Collectivités Térritoriales Decentralisées (CDT), des partenaires au développement (AFOP, FNE, GIZ), des sectoriels du gouvernement (MINFOP, MINEPIA, MINADER) et acteurs locaux dans la mise en œuvre du projet. Ceci à travers la création des cadres de reflexions au sein des Communes (Commission Communales HIMO) au au niveau communautaire (Comité Villageois HIMO) et entre les acteurs de developpement (Groupe sectoriel relèvement précoce)."/>
    <x v="0"/>
    <x v="1"/>
    <s v="YES"/>
    <x v="0"/>
    <x v="0"/>
    <x v="0"/>
    <x v="2"/>
    <n v="4"/>
    <x v="1"/>
    <x v="1"/>
    <x v="1"/>
    <x v="1"/>
    <x v="1"/>
    <x v="1"/>
    <n v="4"/>
    <x v="3"/>
    <x v="1"/>
    <x v="1"/>
    <x v="1"/>
    <x v="4"/>
    <n v="3"/>
    <x v="2"/>
    <x v="3"/>
    <n v="3"/>
    <s v="Local government(s)"/>
    <s v="Local alliance(s)/Platform(s)/Network(s) of  NGOs/CSOs"/>
    <s v="Media or journalist network(s)"/>
    <x v="0"/>
    <s v="Formation, transfere de compétances technique sur divers thématique à savoir: La méthodologie et les outils du projet, La prise en compte du genre."/>
    <s v="La sensibilisation des leaders traditionnels, des membres des communautés a favoriser l'implication des femmes comme bénéficiaires du projet. Cela a contribuer à changer les préjugés des populations qui jusque là considérais certain metiers comme reservés aux hommes."/>
    <s v="La stratégie d'insertion socioéconomique en utilisant l'approche HIMO a permis d'inserer plus de jeunes que prévus. Cela a permi de lutter contre l'oisiveté des jeunes, la délinquance."/>
    <s v="La mise en place des Commissions Communales HIMO (CC HIMO) auprès de l'executif communale a permis a constitué un cadre de suivi des activités du projet, a constitué un cadre de reflexion sur la mise en œuvre du projet."/>
    <s v="La mise en place des Associations villageoises d'épargne et de crédit (AVEC) a permi de renforcer le pouvoir économique des femmes dans les ménages et celles des communautés cibles du projet. Cela a aussi permi d'impulser l'esprit d'initiative commune dans les localités cible, et en fin elle a permis de toucher un grand nombre de bénéficiaires par les méssages de sensibilisations"/>
    <s v="Encourager les AVEC à dévelloper des AGR/microprojet pour booster d'avantage leurs pouvoirs économiques et faciliter la mise en place d'un reseau des AVEC"/>
    <s v="Encourager les femmes à s'inscrire plus dans les AVEC"/>
    <s v="Approfondire l'étude sur les filières porteuses dans les sites du projet afin d'orienter plus éfficacement les bénéficiaires vers les secteurs porteurs"/>
    <s v="L'approche HIMO telle que décrite par la note méthodologique du projet est une innovation, elle a été expérimenté avec un grand succès au vu des résultats obtenus."/>
    <s v="Rapport final de la phase I du projet HIMO, Note méthodologique du projet"/>
    <n v="1797"/>
    <n v="318"/>
    <n v="0.17696160267111852"/>
    <n v="0.328881469115192"/>
    <n v="0.48113207547169812"/>
    <n v="591"/>
    <n v="153"/>
    <s v=""/>
    <n v="0"/>
    <n v="0"/>
    <s v=""/>
    <n v="1"/>
    <n v="666"/>
    <n v="230"/>
    <n v="0.34534534534534533"/>
    <s v=""/>
    <n v="0"/>
    <n v="0"/>
    <s v=""/>
    <s v=""/>
    <n v="0"/>
    <n v="0"/>
    <s v=""/>
    <n v="1"/>
    <n v="347"/>
    <n v="22"/>
    <n v="6.3400576368876083E-2"/>
    <s v="4. Transformative"/>
    <s v="2. Accommodating"/>
    <s v="4. Transformative"/>
    <s v="It tested new ways for fighting poverty and measured results of innovation"/>
    <s v="Moderate advocacy"/>
    <s v="It linked and worked with strategic alliances and partners to take tested and effective solutions to scale"/>
  </r>
  <r>
    <x v="10"/>
    <x v="2"/>
    <m/>
    <s v="Projet d'Aide d’urgence aux populations déplacées et communautés hôtes affectées par l’insécurité au Cameroun 2015/2016"/>
    <s v="Cameroon"/>
    <s v="CCANCM0001 - CA 357"/>
    <s v="CARE Canada"/>
    <s v="Government"/>
    <s v="Government - Canada"/>
    <s v="Global Affairs Canada (GAC) "/>
    <s v="CCANCM0001 - FR 777"/>
    <s v="CARE France"/>
    <s v="Government"/>
    <s v="Government - France"/>
    <s v="Mairie de Paris – MdP"/>
    <s v="CCANCM001 - FR 786"/>
    <s v="CARE France"/>
    <s v="Government"/>
    <s v="Government - Australia"/>
    <s v="Direct Aid Programme - DAP du Haut-Commissariat d’Australie au Nigeria"/>
    <m/>
    <m/>
    <m/>
    <m/>
    <m/>
    <m/>
    <m/>
    <m/>
    <m/>
    <m/>
    <m/>
    <m/>
    <m/>
    <m/>
    <m/>
    <m/>
    <m/>
    <m/>
    <m/>
    <m/>
    <m/>
    <m/>
    <m/>
    <m/>
    <m/>
    <m/>
    <m/>
    <m/>
    <m/>
    <m/>
    <m/>
    <m/>
    <m/>
    <m/>
    <m/>
    <d v="2017-04-01T00:00:00"/>
    <d v="2019-03-31T00:00:00"/>
    <m/>
    <s v="Humanitarian Other"/>
    <n v="1153039"/>
    <s v="Robert PALE"/>
    <s v="Gestionnaire de projet"/>
    <s v="pale@carecameroun.org"/>
    <s v="Dr Yssouf OUATTARA"/>
    <s v="Directeur-Pays Adjoint Programme et Partenariat"/>
    <s v="ouattara@carecameroun.org"/>
    <s v="YES"/>
    <s v="YES"/>
    <s v="YES"/>
    <s v="Eviter que les populations ne s’engagent dans des stratégies de survie négatives et puissent vivre avec un minimum de dignité"/>
    <s v="Sub-National"/>
    <s v="Départements du Mayo Sava (Arrondissement de Tokombéré et Mora (canton de Mémé) et du Diamaré (arrondissement de Maroua II et Maroua III)"/>
    <s v="Populations déplacées (IDP et retournés) et communautés hôtes vulnérables"/>
    <n v="7820"/>
    <n v="9180"/>
    <n v="17000"/>
    <n v="0"/>
    <n v="0"/>
    <n v="0"/>
    <s v="Les participants directs sont les déplacés internes, les rétournés et les populations hôtes qui bénéficient directement de l'action et des interventions du Projet: Les comités de gestions des points d'eau, les déplacés internes, les femmes, les hommes, les jeunes filles et femmes, les usagers de l'eau, les populations sensibilisées sur les thématiques en lein avec l'eau, hygiène et assainissement.                                                                                                                                        Les participants indirects sont ce qui appui l'action et joue le rôle d'interface entre l'équipe du Projet et les bénéficiaires directs: Artisans réparateurs, les Agents Communautaires Eau, Hygiène et Assanissement, les élus locaux, les leaders traditionnels, les leaders réligieux, les leaders d'opignion, les autorités administratives et les services déconcentrés de l'Etat (MINEE, MINSANTE etc... .)"/>
    <m/>
    <n v="33575"/>
    <n v="10595"/>
    <n v="44170"/>
    <n v="11211"/>
    <n v="31859"/>
    <n v="43070"/>
    <s v="NO"/>
    <m/>
    <m/>
    <m/>
    <s v="YES"/>
    <n v="7575"/>
    <n v="0.17"/>
    <n v="6700"/>
    <s v="NO"/>
    <m/>
    <m/>
    <m/>
    <s v="NO"/>
    <m/>
    <m/>
    <m/>
    <s v="NO"/>
    <m/>
    <m/>
    <m/>
    <s v="NO"/>
    <m/>
    <m/>
    <m/>
    <s v="NO"/>
    <m/>
    <m/>
    <m/>
    <s v="NO"/>
    <m/>
    <m/>
    <m/>
    <s v="NO"/>
    <m/>
    <m/>
    <m/>
    <s v="NO"/>
    <m/>
    <m/>
    <m/>
    <s v="NO"/>
    <m/>
    <m/>
    <m/>
    <s v="YES"/>
    <n v="23401"/>
    <n v="0.3"/>
    <n v="6932"/>
    <s v="Distrubtion en nature et bons / vouchers"/>
    <s v="YES"/>
    <n v="13194"/>
    <n v="0.3"/>
    <n v="6932"/>
    <m/>
    <m/>
    <m/>
    <m/>
    <m/>
    <m/>
    <s v="NO"/>
    <m/>
    <m/>
    <m/>
    <s v="NO"/>
    <m/>
    <m/>
    <m/>
    <s v="NO"/>
    <m/>
    <m/>
    <m/>
    <s v="NO"/>
    <m/>
    <m/>
    <m/>
    <s v="NO"/>
    <m/>
    <m/>
    <m/>
    <s v="NO"/>
    <m/>
    <m/>
    <m/>
    <s v="NO"/>
    <m/>
    <m/>
    <m/>
    <s v="NO"/>
    <m/>
    <m/>
    <m/>
    <s v="NO"/>
    <m/>
    <m/>
    <m/>
    <s v="NO"/>
    <m/>
    <m/>
    <m/>
    <s v="NO"/>
    <m/>
    <m/>
    <m/>
    <s v="NO"/>
    <m/>
    <m/>
    <m/>
    <s v="NO"/>
    <m/>
    <m/>
    <m/>
    <s v="NO"/>
    <m/>
    <m/>
    <m/>
    <s v="NO"/>
    <m/>
    <m/>
    <m/>
    <s v="NO"/>
    <m/>
    <m/>
    <m/>
    <m/>
    <m/>
    <m/>
    <m/>
    <m/>
    <s v="YES"/>
    <s v="October"/>
    <n v="2016"/>
    <s v="YES"/>
    <s v="YES"/>
    <s v="November"/>
    <n v="2017"/>
    <s v=" Les Unités d’analyse sont :_x000a_o Les ménages, Les structures de dialogue communautaire (Comité des Aires de Santé (COSA), Comité de Santé de District (COSADI) et Comité de Gestion de District de Santé (COGEDI), Les Comités de Gestion des Points d’eau (liste à établir par commune); Les formations sanitaires._x000a_TYPE D’ENQUETE _x000a_ L’enquête sera basée sur deux types d’étude :_x000a_Rétrospective (révision documentaire) et Transversale (Qualitative et Quantitative)._x000a_COLLECTE DES DONNEES_x000a_• Révision des documents existant relatifs à la gestion de l’eau, décision de création de comité de gestion de l’eau, rapports  d’activités, rapport de formation sanitaire etc. Une grille sera  utilisée pour collecter les données lors de la révision. _x000a_• Groupes de discussions avec un guide de discussion._x000a_• Interviews avec les répondants clés avec un guide de l’interview._x000a_• Interviews individuels par une enquête en grappe de la population adulte à l’âge de maturité (20 ans et plus) dans les ménages avec un questionnaire_x000a_TAILLE D’ECHANTILLONS_x000a_Groupe de Discussion:_x000a_• Population hôte du Village,Comité de gestion de point eau, Président du Comité de Développement du Village, Chef du village, Chef du District de Santé ou Responsable du Centre de Santé_x000a_Enquête en grappe de la population _x000a_Chaque commune et sa population sera considéré comme une unité (strate). Le nombre de sujets nécessaires pour chaque commune sera déduit de la formule de l’intervalle de confiance à 95%_x000a_n = t² x p (1-p); m²; n = la taille  de l’échantillon; t = écart réduite pour le risqué consenti (valeur standard 1.96); p = proportion présumée chaque commune (en absence d’une proportion présumée pour chaque commune la valeur de p est assignée à 50% - valeur standard 0.5); m = risqué d’erreur à 6% (valeur standard à 0.06); Effet de grappe (Z) = 2_x000a_En appliquant cette formule au total 534 ménages seront tirés en 30 grappes (18 ménages par grappe), selon la technique de sondage mise au point par Henderson et Sundaresan en 1982."/>
    <x v="1"/>
    <s v="YES"/>
    <s v="YES"/>
    <s v="YES"/>
    <s v="YES"/>
    <s v="YES"/>
    <s v="YES"/>
    <s v="YES"/>
    <s v="YES"/>
    <m/>
    <x v="1"/>
    <s v="La micro assurance, un processus de mutualisation des comités de gestion des points d’eau qui se mette ensemble au niveau communal pour garantir la durabilité de la pompe et la santé de la communauté._x000a_Elle repose sur six fondements suivants : 1) La durabilité de l'approvisionnement en eau potable dans les milieux ruraux, l’amélioration des services grâce à la participation du bénéficiaire ; 2) La viabilité de nos activités et de nos interventions ; 3) L’amélioration, et le maintien de la sante des communautés vulnérables, à travers la consommation des eaux saines ; 4) L’appui à la décentralisation des communes en matière de la gouvernance sur l’approvisionnement en eau potable ; 5) L’appropriation par les communautés bénéficiaires des interventions et ouvrages d’eau potable ; 6) Et la prise de conscience sur la responsabilité primaire, et le développement de la résilience des communautés des pays du tiers monde sortant des crises."/>
    <x v="1"/>
    <s v="La mise en œuvre de l’approche ATPC, approche qui ne nécessite pas une subvention, mais combinée à la méthode PHAST (Participatory Hygiene and Sanitation Transformation) ou Transformation Participative de l’Hygiène et Assainissement en français est une méthode participative introduite dans le projet pour accompagner les populations locales à identifier toutes les problématiques liées à l'hygiène et l'assainissement et proposer des solutions réalistes et réalisables pour apporter des changements réels dans leurs communautés respectives. Cette démarche qui a permis de retenir que les populations sont capables de construire leur latrine avec les matériaux locaux, cependant afin d’améliorer les pratiques d’hygiène, l’accès à un assainissement et de réduire les risques liés aux maladies diarrhéiques et de protéger leur environnement, le projet en concertation avec les populations a opté pour la subvention des dalles &quot;SANPLAT&quot;en bétons lavables aux bénéficiaires afin de réduire la pression sur les ressources forestières existantes pour protéger l’environnement et de réduire le risque de désertification. L’approche Haute Intensité de Main d’œuvre (HIMO) a été développée autour des constructions des points d’eau que ce soit les travaux nécessitant la main d’œuvre, les locaux étaient sollicités pour les travaux de construction des superstructures et la sensibilisation sur le reboisement autour des points d’eau pour l’ombrage."/>
    <x v="0"/>
    <x v="0"/>
    <s v="YES"/>
    <x v="0"/>
    <x v="0"/>
    <x v="0"/>
    <x v="0"/>
    <n v="4"/>
    <x v="1"/>
    <x v="1"/>
    <x v="1"/>
    <x v="1"/>
    <x v="1"/>
    <x v="1"/>
    <n v="4"/>
    <x v="1"/>
    <x v="1"/>
    <x v="1"/>
    <x v="1"/>
    <x v="1"/>
    <n v="3"/>
    <x v="0"/>
    <x v="3"/>
    <n v="3"/>
    <s v="Local government(s)"/>
    <s v="Other"/>
    <m/>
    <x v="1"/>
    <m/>
    <s v="Le projet a mis un accent sur les activités de confection de dalles des latrines et de construction des superstructures des points d’eau à travers l’approche « CASH FOR WORK » et cela a permis une très bonne participation de la communauté aux travaux et l’impact se mesure au niveau d’amélioration des revenus des ménages et valorisation du métier de maçonnerie. La mobilisation des matériaux locaux étaient directement fait par les bénéficiaires._x000a_D’autre part dans la mise en œuvre effective, parmi les 31 Agents Communautaires, les femmes représentent une proportion de 35 %."/>
    <s v="Dans nos interventions la prise en compte du genre pilier des interventions de CARE s’est améliorée grâce aux plaidoyers en direction des leaders, des époux et des sensibilisations pendant les activités de regroupement. Bien que le contexte de cette zone reste particulier le projet à travers ces interventions a pu faire participer de 25 % les femmes dans la mise en place des comités de gestion des points d’eau. _x000a_Le projet s’est inspiré de l’analyse genre réalisée dans la zone d’intervention et s’est aussi appuyée sur le fait que la problématique du genre fait actuellement l’objet de plusieurs débats dans la région de l’Extrême-Nord. Pour cela, un taux acceptable de 30% de représentation des femmes était fixé. L’intégration des femmes dans les comités de gestion des points d’eau s’est fait sans difficulté. _x000a_Les relations entre les hommes et les femmes ont contribuées à la réussite du projet. En effet, les hommes et les femmes se sont mis ensemble ou ont réunis leurs dynamismes afin de chercher l’excellence pour leurs communautés à travers un changement de comportement. Cette recherche de l’excellence a ainsi contribué à atteindre l’impact de 25 %"/>
    <s v="Les stratégies développées dans la cadre de cette intervention étaient basées sur le travail en binôme lors d’organisation des activités de formations et d’envergure dans les sites d’intervention en direction des groupes d’impact. Cette stratégie a été adopté du fait que certains staff du projet ne connaissant pas la langue locale qui est d’autre terme une langue commerciale de la région notamment le « Foufouldé » ne pouvant pas animer une session de formation ou trianguler les informations collectées lors de ces sessions d’envergure descendait sur le terrain avec un autre membre de l’équipe du projet pour faciliter des éventuelles échanges. Parfois, des recourt aux personnes ressources bénévoles et agents communautaires comme acteurs du projet, parfois même les journaliers et des leaders qui pouvaient aider pour faciliter la communication."/>
    <s v="Une autre stratégie est l’accompagnement du Projet par les acteurs institutionnels, notamment le MINEE et le MINSANTE dans le cadre du renforcement des capacités de l’équipe notamment dans la réhabilitation des points d’eau, la construction et la mise en place de l’ATPC qui requiert leur compétence pour validation des normes standard prévue par la réglementation en vigueur au Cameroun._x000a_Toutefois, il est à signaler l’accompagnement par l’équipe senior de CARE Cameroun dans le renforcement au quotidien de l’équipe de terrain en planification, suivi évaluation et de séances de renforcement de capacité interne"/>
    <s v="L’Approche ATPC est réalisable dans les localités : En effet, la mise en œuvre de cette démarche a permis de retenir que les populations sont capables de construire leur latrine avec les matériaux locaux. Cependant, la sensibilisation sur l’importance des latrines est nécessaire pour déclencher les changements de comportements chez les populations et un appui en dalle lavable pour améliorer les pratiques d’hygiène, l’accès à un assainissement de base et la préservation des ressources naturelles existantes pour réduire la pression sur les formations boisées dans l’optique de réduire les risques liés aux maladies diarrhéiques."/>
    <s v="Mise en place du ciblage: Les bénéficiaires et les parties prenantes ont appréciés les résultats du ciblage, les plaintes et résident sur le ratissage où la plupart des personnes enquêtés ont pensé que c’était déjà l’enregistrement et accuse les personnes concernés d’avoir tronquée leur nom dans la liste finale. Il est important de mener de bonne campagne de sensibilisation sur le processus avant, pendant et après l’opération de ciblage."/>
    <s v="Les comités de suivi/plainte: Le projet a testé dans le cadre de la distribution directe et par coupons valeurs, le fonctionnement des comités des plaintes dans les villages concernées. Il ressort de l’analyse des résultats obtenus que, pour que les comités soient efficaces, il faut absolument retenir que des personnes qui ne sont pas impliquées dans la mise en œuvre pour éviter des accusations d’impartialité et nous pensons que les comités de plaintes ainsi qu’un numéro vert gratuit doit être disponible et mis à la disposition des populations dès le début des interventions.                                                                                                                                            La mise en place des comités de plainte ou la recevabilité : En réalité, la qualité des services rendus aux usagers peut être améliorée lorsque les voies de recours sont possibles et connues. Et quand les résultats des traitements sont diffusés aux plaignants ou aux usagers. Cette approche devrait être bien renforcée."/>
    <m/>
    <m/>
    <n v="44170"/>
    <n v="43070"/>
    <n v="0.97509621915327149"/>
    <n v="0.76013131084446461"/>
    <n v="0.26029719061992107"/>
    <n v="33575"/>
    <n v="11211"/>
    <n v="1"/>
    <n v="44170"/>
    <n v="43070"/>
    <n v="0.97509621915327149"/>
    <s v=""/>
    <n v="0"/>
    <n v="0"/>
    <s v=""/>
    <s v=""/>
    <n v="0"/>
    <n v="0"/>
    <s v=""/>
    <s v=""/>
    <n v="0"/>
    <n v="0"/>
    <s v=""/>
    <s v=""/>
    <n v="0"/>
    <n v="0"/>
    <s v=""/>
    <s v="2. Sensitive"/>
    <s v="2. Accommodating"/>
    <s v="2. Sensitive"/>
    <s v="It tested new ways for fighting poverty, but did not measure results of innovation"/>
    <s v="Moderate advocacy"/>
    <s v="It linked and worked with strategic alliances and partners to take tested and effective solutions to scale"/>
  </r>
  <r>
    <x v="10"/>
    <x v="2"/>
    <m/>
    <s v="Projet de Résilience et Autonomisation des femmes et des jeunes par la Formation et l'Epargne (RESAFE)"/>
    <s v="Cameroon"/>
    <s v="FR242/SGNRCM001"/>
    <s v="CARE France"/>
    <s v="Foundation"/>
    <s v="Other"/>
    <s v="Societe Generale Foundation"/>
    <m/>
    <m/>
    <m/>
    <m/>
    <m/>
    <m/>
    <m/>
    <m/>
    <m/>
    <m/>
    <m/>
    <m/>
    <m/>
    <m/>
    <m/>
    <m/>
    <m/>
    <m/>
    <m/>
    <m/>
    <m/>
    <m/>
    <m/>
    <m/>
    <m/>
    <m/>
    <m/>
    <m/>
    <m/>
    <m/>
    <m/>
    <m/>
    <m/>
    <m/>
    <m/>
    <m/>
    <m/>
    <m/>
    <m/>
    <m/>
    <m/>
    <m/>
    <m/>
    <m/>
    <m/>
    <d v="2014-04-01T00:00:00"/>
    <d v="2016-12-31T00:00:00"/>
    <d v="2017-06-30T00:00:00"/>
    <s v="Development Food &amp; Nutrition Security and Resilience to Climate Change"/>
    <n v="575875"/>
    <s v="Dr Yssouf OUATTARA"/>
    <s v="Directeur National Adjoint, Chargé des programmes et Partenariats"/>
    <s v="ouattara@carecameroun.org"/>
    <s v="Samuel LONDO"/>
    <s v="Gestionnaire du Projet"/>
    <s v="londo.carecameroun@gmail.com"/>
    <s v="NO"/>
    <s v="YES"/>
    <s v="NO"/>
    <s v="D'améliorer les opportunités d’insertion et de développement d'activités économiques génératrices de revenus des femmes et des jeunes en décrochage scolaire  dans trois (3) communes de la région du Nord."/>
    <s v="Sub-National"/>
    <s v="Le projet est situé dans les communes de Garoua I, Garoua II et Pitoa, dans le département de la Bénoué, Région du Nord, Cameroun"/>
    <s v="Les femmes vulnérables et des jeunes en décrochage scolaire"/>
    <n v="240"/>
    <n v="100"/>
    <n v="340"/>
    <n v="1300"/>
    <n v="900"/>
    <n v="2200"/>
    <s v="Les participants directs du projet RESAFE sont les femmes  et jeunes vulnérables (membres d'AVEC et/ou ceux formés pour les activités augmentant la résilience). le projet a prévu 22 AVEC( 12 AVEC femmes et 10 AVEC Jeunes) mais a permis la mis en place de 93 AVEC ; ce qui explique le fait que le nombre de bénéficiaires direct touché soit largement au dessus du nombre prevu.                                                                                                                                                          les bénéficiaires indirects du projet sont les membres des ménages dont sont issus les bénéficiaires directs (en moyenne 6 personne par ménage au nord selon le dernier recensement de la population). les femmes et filles représentent 51,4% de cette population"/>
    <m/>
    <m/>
    <m/>
    <m/>
    <m/>
    <m/>
    <m/>
    <m/>
    <m/>
    <m/>
    <m/>
    <m/>
    <m/>
    <m/>
    <m/>
    <m/>
    <m/>
    <m/>
    <m/>
    <m/>
    <m/>
    <m/>
    <m/>
    <m/>
    <m/>
    <m/>
    <m/>
    <m/>
    <m/>
    <m/>
    <m/>
    <m/>
    <m/>
    <m/>
    <m/>
    <m/>
    <m/>
    <m/>
    <m/>
    <m/>
    <m/>
    <m/>
    <m/>
    <m/>
    <m/>
    <m/>
    <m/>
    <m/>
    <m/>
    <m/>
    <m/>
    <m/>
    <m/>
    <m/>
    <m/>
    <m/>
    <m/>
    <m/>
    <m/>
    <m/>
    <n v="2033"/>
    <n v="511"/>
    <n v="2544"/>
    <n v="9280"/>
    <n v="8774"/>
    <n v="18054"/>
    <s v="YES"/>
    <n v="612"/>
    <n v="0.248"/>
    <n v="3672"/>
    <s v="YES"/>
    <n v="226"/>
    <n v="8.6999999999999994E-2"/>
    <n v="1356"/>
    <m/>
    <m/>
    <m/>
    <m/>
    <m/>
    <m/>
    <m/>
    <m/>
    <s v="YES"/>
    <n v="354"/>
    <n v="0"/>
    <n v="2124"/>
    <m/>
    <m/>
    <m/>
    <m/>
    <m/>
    <m/>
    <m/>
    <m/>
    <m/>
    <m/>
    <m/>
    <m/>
    <m/>
    <m/>
    <m/>
    <m/>
    <m/>
    <m/>
    <m/>
    <m/>
    <m/>
    <m/>
    <m/>
    <m/>
    <m/>
    <m/>
    <m/>
    <m/>
    <m/>
    <m/>
    <m/>
    <m/>
    <m/>
    <m/>
    <m/>
    <m/>
    <m/>
    <m/>
    <m/>
    <m/>
    <s v="YES"/>
    <n v="1352"/>
    <n v="0.66500000000000004"/>
    <n v="8112"/>
    <m/>
    <m/>
    <m/>
    <m/>
    <m/>
    <s v="YES"/>
    <s v="June"/>
    <m/>
    <s v="YES"/>
    <s v="NO"/>
    <m/>
    <m/>
    <s v="Une évaluation est prévue en 2018 dans le cadre du projet Résilience financé en partie par l'AFD. Cette évaluation permettrra de comparer l'étude finale du Résafé."/>
    <x v="1"/>
    <s v="NO"/>
    <s v="YES"/>
    <s v="YES"/>
    <s v="YES"/>
    <s v="YES"/>
    <s v="YES"/>
    <s v="NO"/>
    <m/>
    <m/>
    <x v="2"/>
    <s v="la mise en place des AVEC;"/>
    <x v="1"/>
    <s v="les parteanaires des mise en œuvre(OSC), les agents d'encadrement de groupes"/>
    <x v="1"/>
    <x v="0"/>
    <s v="YES"/>
    <x v="0"/>
    <x v="0"/>
    <x v="0"/>
    <x v="0"/>
    <n v="4"/>
    <x v="1"/>
    <x v="1"/>
    <x v="1"/>
    <x v="1"/>
    <x v="1"/>
    <x v="1"/>
    <n v="4"/>
    <x v="3"/>
    <x v="1"/>
    <x v="2"/>
    <x v="1"/>
    <x v="5"/>
    <n v="2"/>
    <x v="0"/>
    <x v="3"/>
    <n v="5"/>
    <s v="Grassroots organization(s)"/>
    <s v="Local government(s)"/>
    <m/>
    <x v="0"/>
    <s v="formations à l'endroit des OSC, voyages d'echanges en côte d'Ivoire pour le renforcement des capacités à la mise en œuvre des AVEC, les descentes de suivis et supervisions à l'endroit de ces derniers"/>
    <s v="On a pu obtenir  l'extension sans cout d'une periode de 6 Mois allant de Janv à Juin 2017 dü à l'insecurité dans la zone, le projet a pu mieux accompagner les communautés et ancrer  ainsi l'approche et le rôle de CARE"/>
    <s v="Implication des agents d'encadrement de groupes AVEC"/>
    <s v="La participation des hommes"/>
    <s v="les AVEC/VSLA et le reseautage des AVEC"/>
    <s v="La promotion des associations d’épargne et crédit est un moyen efficace de dynamisation des activités génératrices de revenus et de mobilisation sociale au sein des communautés qui a pu être adapté en milieu rurale et urbaine / péri-urbaine."/>
    <s v="Lorsque les femmes se mettent ensemble en associations ou en réseaux, elles deviennent plus confiantes, plus entreprenantes et peuvent plus contribuer aux revenues de leurs ménages"/>
    <m/>
    <s v="l'insertion des jeunes a été suvies de prêt et a connue une forte implication de la delegation départementale de la Jeunesse de pitoa"/>
    <s v="Cadre logique, Rapport semestriel juillet-décembre 2016, état d'avancement du projet (janvier-mars 2017)"/>
    <n v="2544"/>
    <n v="18054"/>
    <n v="7.0966981132075473"/>
    <n v="0.79913522012578619"/>
    <n v="0.51401351501052395"/>
    <n v="2033"/>
    <n v="9280"/>
    <s v=""/>
    <n v="0"/>
    <n v="0"/>
    <s v=""/>
    <n v="1"/>
    <n v="612"/>
    <n v="3672"/>
    <n v="6"/>
    <s v=""/>
    <n v="0"/>
    <n v="0"/>
    <s v=""/>
    <s v=""/>
    <n v="0"/>
    <n v="0"/>
    <s v=""/>
    <n v="1"/>
    <n v="1352"/>
    <n v="8112"/>
    <n v="6"/>
    <s v="2. Sensitive"/>
    <s v="2. Accommodating"/>
    <s v="3. Responsive"/>
    <s v="It tested new ways for fighting poverty and measured results of innovation"/>
    <s v="Moderate advocacy"/>
    <s v="It linked and worked with strategic alliances and partners to take tested and effective solutions to scale"/>
  </r>
  <r>
    <x v="10"/>
    <x v="2"/>
    <m/>
    <s v="Projet de Résilience et résistance des femmes face aux aléas climatiques/ environnementaux (RESOFEMMES)"/>
    <s v="Cameroon"/>
    <s v="FR170/CACFCM0001"/>
    <s v="CARE France"/>
    <s v="Foundation"/>
    <s v="Other"/>
    <s v="Cartier Charitable Foundation (CCF)"/>
    <m/>
    <m/>
    <m/>
    <m/>
    <m/>
    <m/>
    <m/>
    <m/>
    <m/>
    <m/>
    <m/>
    <m/>
    <m/>
    <m/>
    <m/>
    <m/>
    <m/>
    <m/>
    <m/>
    <m/>
    <m/>
    <m/>
    <m/>
    <m/>
    <m/>
    <m/>
    <m/>
    <m/>
    <m/>
    <m/>
    <m/>
    <m/>
    <m/>
    <m/>
    <m/>
    <m/>
    <m/>
    <m/>
    <m/>
    <m/>
    <m/>
    <m/>
    <m/>
    <m/>
    <m/>
    <d v="2014-01-01T00:00:00"/>
    <d v="2016-12-31T00:00:00"/>
    <d v="2017-04-30T00:00:00"/>
    <s v="Development Food &amp; Nutrition Security and Resilience to Climate Change"/>
    <n v="750000"/>
    <s v="Dr Yssouf OUATTARA"/>
    <s v="Directeur National Adjoint, Chargé des programmes et Partenariats"/>
    <s v="ouattara@carecameroun.org"/>
    <s v="Samuel LONDO"/>
    <s v="Gestionnaire du Projet"/>
    <s v="londo.carecameroun@gmail.com"/>
    <s v="NO"/>
    <s v="YES"/>
    <s v="NO"/>
    <s v="Renforcer les capacités économiques et d’adaptation des femmes et de leurs communautés pour mieux  faire face aux aléas climatiques, et agir sur l’insécurité alimentaire"/>
    <s v="Sub-National"/>
    <s v="Le projet est situé dans les communes de Garoua I, Garoua II et Pitoa, dans le département de la Bénoué, Région du Nord, Cameroun"/>
    <s v="Les femmes et leurs communautés"/>
    <n v="179840"/>
    <n v="177600"/>
    <n v="357440"/>
    <n v="305000"/>
    <n v="303000"/>
    <n v="608000"/>
    <s v="Les participants directs du projet RESOFEMMES sont les femmes  et leur communauté (membres d'AVEC , les bénéficiaires de renforcement ABC et les bénéficiaires directs du SCAP).                                                                                                                                                          Les bénéficiaires indirects du projet RESOFEMMES sont les membres des ménages dont sont issus les bénéficiaires directs (en moyenne 6 personne par ménage au nord selon le dernier recensement de la population). les femmes et filles représentent 51,4% de cette population"/>
    <m/>
    <m/>
    <m/>
    <m/>
    <m/>
    <m/>
    <m/>
    <m/>
    <m/>
    <m/>
    <m/>
    <m/>
    <m/>
    <m/>
    <m/>
    <m/>
    <m/>
    <m/>
    <m/>
    <m/>
    <m/>
    <m/>
    <m/>
    <m/>
    <m/>
    <m/>
    <m/>
    <m/>
    <m/>
    <m/>
    <m/>
    <m/>
    <m/>
    <m/>
    <m/>
    <m/>
    <m/>
    <m/>
    <m/>
    <m/>
    <m/>
    <m/>
    <m/>
    <m/>
    <m/>
    <m/>
    <m/>
    <m/>
    <m/>
    <m/>
    <m/>
    <m/>
    <m/>
    <m/>
    <m/>
    <m/>
    <m/>
    <m/>
    <m/>
    <m/>
    <n v="5239"/>
    <n v="4076"/>
    <n v="9315"/>
    <n v="7321"/>
    <n v="9623"/>
    <n v="16944"/>
    <s v="YES"/>
    <n v="1051"/>
    <n v="0.123"/>
    <n v="6306"/>
    <s v="YES"/>
    <n v="42"/>
    <n v="1E-3"/>
    <n v="252"/>
    <m/>
    <m/>
    <m/>
    <m/>
    <s v="YES"/>
    <n v="1058"/>
    <n v="0.13900000000000001"/>
    <m/>
    <s v="YES"/>
    <n v="7"/>
    <n v="0"/>
    <n v="42"/>
    <m/>
    <m/>
    <m/>
    <m/>
    <s v="YES"/>
    <n v="216"/>
    <n v="3.4000000000000002E-2"/>
    <n v="1296"/>
    <m/>
    <m/>
    <m/>
    <m/>
    <m/>
    <m/>
    <m/>
    <m/>
    <m/>
    <m/>
    <m/>
    <m/>
    <m/>
    <m/>
    <m/>
    <m/>
    <m/>
    <m/>
    <m/>
    <m/>
    <s v="YES"/>
    <n v="147"/>
    <n v="1.9E-2"/>
    <m/>
    <m/>
    <m/>
    <m/>
    <m/>
    <s v="YES"/>
    <n v="6600"/>
    <n v="0.64700000000000002"/>
    <m/>
    <s v="YES"/>
    <n v="194"/>
    <n v="3.6999999999999998E-2"/>
    <m/>
    <m/>
    <m/>
    <m/>
    <m/>
    <m/>
    <s v="YES"/>
    <s v="April"/>
    <n v="2017"/>
    <s v="YES"/>
    <s v="NO"/>
    <m/>
    <m/>
    <s v="Une évaluation est prévue en 2018 dans le cadre du projet Résilience financé en partie par l'AFD. Cette évaluation permettrra de comparer l'étude finale du Résofemmes."/>
    <x v="1"/>
    <s v="NO"/>
    <s v="NO"/>
    <m/>
    <s v="YES"/>
    <s v="NO"/>
    <s v="YES"/>
    <s v="NO"/>
    <s v="YES"/>
    <s v="les actions pour ameliorer l'anticipation et l'adaptation des communautés dans les pratiques agricoles  a travers la collecté des données pluviometriques"/>
    <x v="2"/>
    <s v="la mise en place des AVEC; l'adaptation a base communautaire"/>
    <x v="1"/>
    <s v="les agents d'encadrement de groupe; les partenaires de mise en œuvre (Organisations à base communautaires), les Volontaires communautaires"/>
    <x v="1"/>
    <x v="0"/>
    <s v="YES"/>
    <x v="0"/>
    <x v="0"/>
    <x v="0"/>
    <x v="0"/>
    <n v="4"/>
    <x v="1"/>
    <x v="1"/>
    <x v="1"/>
    <x v="1"/>
    <x v="1"/>
    <x v="1"/>
    <n v="4"/>
    <x v="3"/>
    <x v="1"/>
    <x v="1"/>
    <x v="1"/>
    <x v="4"/>
    <n v="3"/>
    <x v="0"/>
    <x v="3"/>
    <n v="5"/>
    <s v="Local NGO(s)/CSO(s)"/>
    <s v="Local government(s)"/>
    <m/>
    <x v="0"/>
    <s v="les formations à l'endroit des OSC ,les suivis et supervisions d'activités"/>
    <s v="On a pu obtenir  l'extension sans cout d'une periode de 4 Mois allant de Janv à Mars dü à l'insecurité dans la zone, le projet a pu mieux accompagner les communautés et ancrer  ainsi l'approche et le rôle de CARE"/>
    <s v="les agents d'encadrement de groupe des AVEC"/>
    <s v="l'implication des hommes"/>
    <s v="les AVEC/VSLA"/>
    <s v="Les populations des communautés rurales perçoivent plus aisément les effets des aléas climatiques sur leurs activités que celles des communautés urbaines. En conséquence, il faut adapter l’approche en milieu urbaine"/>
    <s v="Le succès de la mise œuvre des plans d’adaptations dans les communautés n’est pas possible sans l’appropriation préalable des communes pour appuyer le co-financement et la pérennisation des solutions proposés."/>
    <s v="La promotion des AVEC (Associations d'Epargne et de Crédit) est une porte d'entrée efficace pour toucher les ménages et lutter contre la malnutrition"/>
    <s v="la perception de la communauté par rapport aux Changements Climatiques a été plus visible en cette fin d'année fiscale qui marque également la fin du  projet (forte implication de la population)"/>
    <s v="Cadre logique du projet, Rapport final du projet Résofemmes, Rappot dévaluation finale Résofemmes."/>
    <n v="9315"/>
    <n v="16944"/>
    <n v="1.8190016103059581"/>
    <n v="0.56242619431025231"/>
    <n v="0.43207034938621341"/>
    <n v="5239"/>
    <n v="7321"/>
    <s v=""/>
    <n v="0"/>
    <n v="0"/>
    <s v=""/>
    <n v="1"/>
    <n v="6600"/>
    <n v="6306"/>
    <n v="0.95545454545454545"/>
    <s v=""/>
    <n v="0"/>
    <n v="0"/>
    <s v=""/>
    <s v=""/>
    <n v="0"/>
    <n v="0"/>
    <s v=""/>
    <n v="1"/>
    <n v="194"/>
    <n v="0"/>
    <n v="0"/>
    <s v="2. Sensitive"/>
    <s v="2. Accommodating"/>
    <s v="4. Transformative"/>
    <s v="It tested new ways for fighting poverty and measured results of innovation"/>
    <s v="Moderate advocacy"/>
    <s v="It linked and worked with strategic alliances and partners to take tested and effective solutions to scale"/>
  </r>
  <r>
    <x v="11"/>
    <x v="2"/>
    <m/>
    <s v="Appui à l'amélioration et aux bonnes pratiques d'hygiène pour la population de Danamadji, Djékédjéké, Maro et Sido."/>
    <s v="Chad"/>
    <s v="TCD 306 TD 516"/>
    <s v="CARE Deutschland-Luxemburg"/>
    <s v="Government"/>
    <s v="Other"/>
    <s v="GIZ"/>
    <m/>
    <m/>
    <m/>
    <m/>
    <m/>
    <m/>
    <m/>
    <m/>
    <m/>
    <m/>
    <m/>
    <m/>
    <m/>
    <m/>
    <m/>
    <m/>
    <m/>
    <m/>
    <m/>
    <m/>
    <m/>
    <m/>
    <m/>
    <m/>
    <m/>
    <m/>
    <m/>
    <m/>
    <m/>
    <m/>
    <m/>
    <m/>
    <m/>
    <m/>
    <m/>
    <m/>
    <m/>
    <m/>
    <m/>
    <m/>
    <m/>
    <m/>
    <m/>
    <m/>
    <s v="EURO"/>
    <d v="2016-11-01T00:00:00"/>
    <d v="2017-04-30T00:00:00"/>
    <m/>
    <s v="Humanitarian Other"/>
    <n v="250000"/>
    <s v="NENODJI   CELINE"/>
    <s v="COORDINATRICE DU PILIER DEFFI"/>
    <s v="coordo.deffi@care-tchad.org"/>
    <s v="MAINOUDJI  LUCIE"/>
    <s v="CHEF DE PROJET GIZ"/>
    <s v="expert.wash@care-tchad.org"/>
    <s v="YES"/>
    <s v="YES"/>
    <s v="YES"/>
    <s v="Projet  a pour but d’améliorer l'accés aux services sociaux de bases pour les populations deplacées et hotes de la region du Moyen Chari"/>
    <s v="Sub-National"/>
    <s v="Le projet est localisé à dans les sous prefectures de Maro, Danamadji, Djékédjéké et Sido dans le département de la  Grande Sido, région du Moyen Chari"/>
    <s v="50.000 bénéficiaires  retournés et population hotes (sites des retournés de Sido, villages hotes: Maro, Gourourou, Moyo, Danamadji et Sido)"/>
    <n v="6050"/>
    <n v="4950"/>
    <n v="11000"/>
    <n v="27500"/>
    <n v="22500"/>
    <n v="50000"/>
    <m/>
    <m/>
    <n v="5720"/>
    <n v="5280"/>
    <n v="11000"/>
    <n v="40015"/>
    <n v="32160"/>
    <n v="72175"/>
    <s v="NO"/>
    <m/>
    <m/>
    <m/>
    <s v="NO"/>
    <m/>
    <m/>
    <m/>
    <s v="NO"/>
    <m/>
    <m/>
    <m/>
    <s v="NO"/>
    <m/>
    <m/>
    <m/>
    <s v="NO"/>
    <m/>
    <m/>
    <m/>
    <s v="NO"/>
    <m/>
    <m/>
    <m/>
    <s v="NO"/>
    <m/>
    <m/>
    <m/>
    <s v="NO"/>
    <m/>
    <m/>
    <m/>
    <s v="NO"/>
    <m/>
    <m/>
    <m/>
    <s v="NO"/>
    <m/>
    <m/>
    <m/>
    <s v="NO"/>
    <m/>
    <m/>
    <m/>
    <s v="YES"/>
    <n v="11000"/>
    <n v="0.52"/>
    <n v="76952"/>
    <m/>
    <m/>
    <m/>
    <m/>
    <m/>
    <m/>
    <m/>
    <m/>
    <m/>
    <m/>
    <m/>
    <m/>
    <m/>
    <m/>
    <m/>
    <s v="NO"/>
    <m/>
    <m/>
    <m/>
    <s v="NO"/>
    <m/>
    <m/>
    <m/>
    <s v="NO"/>
    <m/>
    <m/>
    <m/>
    <s v="NO"/>
    <m/>
    <m/>
    <m/>
    <s v="NO"/>
    <m/>
    <m/>
    <m/>
    <s v="NO"/>
    <m/>
    <m/>
    <m/>
    <s v="NO"/>
    <m/>
    <m/>
    <m/>
    <s v="NO"/>
    <m/>
    <m/>
    <m/>
    <s v="NO"/>
    <m/>
    <m/>
    <m/>
    <s v="NO"/>
    <m/>
    <m/>
    <m/>
    <s v="NO"/>
    <m/>
    <m/>
    <m/>
    <s v="NO"/>
    <m/>
    <m/>
    <m/>
    <s v="NO"/>
    <m/>
    <m/>
    <m/>
    <s v="YES"/>
    <n v="11000"/>
    <n v="0.52"/>
    <n v="76952"/>
    <s v="NO"/>
    <m/>
    <m/>
    <m/>
    <m/>
    <m/>
    <m/>
    <m/>
    <m/>
    <s v="YES"/>
    <s v="February"/>
    <n v="2017"/>
    <s v="YES"/>
    <s v="NO"/>
    <m/>
    <m/>
    <s v="Une enquête CAP initiale et une enquête CAP finale ont été réalisées au debut et à la fin du projet"/>
    <x v="3"/>
    <s v="NO"/>
    <s v="NO"/>
    <s v="YES"/>
    <s v="YES"/>
    <s v="NO"/>
    <s v="YES"/>
    <s v="NO"/>
    <m/>
    <m/>
    <x v="2"/>
    <s v="Cash for work"/>
    <x v="1"/>
    <m/>
    <x v="0"/>
    <x v="0"/>
    <s v="YES"/>
    <x v="0"/>
    <x v="0"/>
    <x v="0"/>
    <x v="0"/>
    <n v="4"/>
    <x v="1"/>
    <x v="1"/>
    <x v="2"/>
    <x v="1"/>
    <x v="1"/>
    <x v="1"/>
    <n v="3"/>
    <x v="1"/>
    <x v="2"/>
    <x v="1"/>
    <x v="2"/>
    <x v="3"/>
    <n v="1"/>
    <x v="3"/>
    <x v="2"/>
    <m/>
    <s v="Local government(s)"/>
    <s v="Local government(s)"/>
    <s v="Local government(s)"/>
    <x v="1"/>
    <m/>
    <s v="Aucun"/>
    <s v="Implication des bénéficiaires dans la mise en œuvre du projet"/>
    <s v="Formation sur le prossesus d'autonomisation des bénéficiaires dans tous les domaines de WaSH et autres activités"/>
    <s v="Aborder le lien entre le Wash et la nutrition lors des formations et sensibilisations"/>
    <s v="L'implication des bénéficiaires dans la mise en œuvre des activités ( Cash for work par exemple) a permis d'avoir un impact économique sur les ménages."/>
    <m/>
    <m/>
    <m/>
    <m/>
    <n v="11000"/>
    <n v="72175"/>
    <n v="6.5613636363636365"/>
    <n v="0.52"/>
    <n v="0.55441634915136817"/>
    <n v="5720"/>
    <n v="40015"/>
    <n v="1"/>
    <n v="11000"/>
    <n v="72175"/>
    <n v="6.5613636363636365"/>
    <n v="1"/>
    <n v="11000"/>
    <n v="76952"/>
    <n v="6.9956363636363639"/>
    <s v=""/>
    <n v="0"/>
    <n v="0"/>
    <s v=""/>
    <s v=""/>
    <n v="0"/>
    <n v="0"/>
    <s v=""/>
    <s v=""/>
    <n v="0"/>
    <n v="0"/>
    <s v=""/>
    <s v="2. Sensitive"/>
    <s v="2. Accommodating"/>
    <s v="1. Neutral"/>
    <s v="It tested new ways for fighting poverty and measured results of innovation"/>
    <n v="0"/>
    <s v="It linked and worked with strategic alliances and partners to take tested and effective solutions to scale"/>
  </r>
  <r>
    <x v="11"/>
    <x v="2"/>
    <n v="2855"/>
    <s v="Appui aux ménages en déficit alimentaire et à risque de malnutrition aiguë dans la Région de Wadi Fira, Départements de Biltine, Mégri et Kobé."/>
    <s v="Chad"/>
    <s v="TD 508"/>
    <s v="CARE France"/>
    <s v="Government"/>
    <s v="ECHO - European Commission for Humanitarian Aid and Civil Protection"/>
    <s v="ECHO"/>
    <m/>
    <m/>
    <m/>
    <m/>
    <m/>
    <m/>
    <m/>
    <m/>
    <m/>
    <m/>
    <m/>
    <m/>
    <m/>
    <m/>
    <m/>
    <m/>
    <m/>
    <m/>
    <m/>
    <m/>
    <m/>
    <m/>
    <m/>
    <m/>
    <m/>
    <m/>
    <m/>
    <m/>
    <m/>
    <m/>
    <m/>
    <m/>
    <m/>
    <m/>
    <m/>
    <m/>
    <m/>
    <m/>
    <m/>
    <m/>
    <m/>
    <m/>
    <m/>
    <m/>
    <m/>
    <d v="2016-03-01T00:00:00"/>
    <s v="31/02/2017"/>
    <m/>
    <s v="Humanitarian Food &amp; Nutrition Security and Resilience to Climate Change"/>
    <n v="2500000"/>
    <s v="Aristide Rassou Pierre Yameogo"/>
    <s v="Chef de base Wadi Fira"/>
    <s v="base.biltine@care-tchad.org"/>
    <s v="Iretie Lokonon"/>
    <s v="ACD Program"/>
    <s v="iretie.lokonon@care.ca"/>
    <s v="YES"/>
    <s v="NO"/>
    <s v="NO"/>
    <s v="Contribuer au renforcement de la résilience des ménages très pauvres et pauvres à risque de malnutrition pour faire face aux chocs futurs. Appuyer les ménages Très pauvres et Pauvres en déficit de survie et de protection de leurs moyens d'existence et à risque de malnutrition. Cette initiative couvrira leurs besoins alimentaires et non alimentaires essentiels pendant la période de soudure 2016 afin d'améliorer leur sécurité alimentaire et nutritionnelle, dans la région du Wadi Fira, les départements de Biltine, Mégri et Kobe"/>
    <s v="Sub-National"/>
    <s v="CHAD; Wadi Fira; Départements de Biltine, Mégri &amp;amp; Kobé; sous-préfectures de Biltine rural, d'Arada,  de Matadjana, de Martibé , de Tronga et d'Iriba"/>
    <s v="Bénéficiaires du cash: 11 833 ménages (66 156 individus) vulnérables  repartis en 6.762 Très pauvres et 5.071 Pauvres à risque de Malnutrition, notamment ceux ayant des enfants de 0 à 59 mois et ou avec des Femmes Enceintes et/ou Allaitantes. Bénéficiaires des formations: 125 mamans lumières toutes des femmes, 20 relais communautaires tous des hommes, 77 membres des comités de gestion des centres de santé"/>
    <n v="31892"/>
    <n v="34401"/>
    <n v="66293"/>
    <n v="55168"/>
    <n v="50925"/>
    <n v="106093"/>
    <s v="les participants directs sont les membres des ménages bénéficiaires des cash et les membres des organisations bénéficiaires des formations. Le calcul du nombre des participants directs a été sur la base de comptage individuel des membres de ménages et les personnes ayant bénéficiées des formations ( ceux qui ne sont pas comptabilisés parmi les bénéficiaires de cash). les participants indirects sont l'ensemble de la population de la population de tous les villages retenus pour bénéficier de l'assistance alimentaire et cela est estimé à 106 093"/>
    <m/>
    <n v="31892"/>
    <n v="34401"/>
    <n v="66293"/>
    <n v="55168"/>
    <n v="50925"/>
    <n v="106093"/>
    <s v="NO"/>
    <m/>
    <m/>
    <m/>
    <s v="YES"/>
    <n v="66293"/>
    <n v="0.48"/>
    <n v="106093"/>
    <s v="NO"/>
    <m/>
    <m/>
    <m/>
    <s v="YES"/>
    <n v="66293"/>
    <n v="0.48"/>
    <n v="106093"/>
    <s v="NO"/>
    <m/>
    <m/>
    <m/>
    <s v="NO"/>
    <m/>
    <m/>
    <m/>
    <s v="NO"/>
    <m/>
    <m/>
    <m/>
    <s v="NO"/>
    <m/>
    <m/>
    <m/>
    <s v="NO"/>
    <m/>
    <m/>
    <m/>
    <s v="NO"/>
    <m/>
    <m/>
    <m/>
    <s v="NO"/>
    <m/>
    <m/>
    <m/>
    <s v="NO"/>
    <m/>
    <m/>
    <m/>
    <m/>
    <m/>
    <m/>
    <m/>
    <m/>
    <m/>
    <m/>
    <m/>
    <m/>
    <m/>
    <m/>
    <m/>
    <m/>
    <m/>
    <m/>
    <m/>
    <m/>
    <m/>
    <m/>
    <m/>
    <m/>
    <m/>
    <m/>
    <m/>
    <m/>
    <m/>
    <m/>
    <m/>
    <m/>
    <m/>
    <m/>
    <m/>
    <m/>
    <m/>
    <m/>
    <m/>
    <m/>
    <m/>
    <m/>
    <m/>
    <m/>
    <m/>
    <m/>
    <m/>
    <m/>
    <m/>
    <m/>
    <m/>
    <m/>
    <m/>
    <m/>
    <m/>
    <m/>
    <m/>
    <m/>
    <m/>
    <m/>
    <m/>
    <m/>
    <m/>
    <m/>
    <m/>
    <m/>
    <m/>
    <m/>
    <m/>
    <m/>
    <m/>
    <m/>
    <m/>
    <m/>
    <m/>
    <m/>
    <m/>
    <m/>
    <m/>
    <m/>
    <m/>
    <m/>
    <m/>
    <s v="YES"/>
    <s v="February"/>
    <n v="2017"/>
    <s v="YES"/>
    <s v="NO"/>
    <m/>
    <m/>
    <m/>
    <x v="1"/>
    <s v="NO"/>
    <s v="NO"/>
    <s v="YES"/>
    <s v="YES"/>
    <s v="YES"/>
    <s v="NO"/>
    <s v="NO"/>
    <m/>
    <m/>
    <x v="2"/>
    <s v="Il s'agissait d'inciter la population vulnérable en plus de l'achat de la nourriture, à aussi investir le cash reçu dans les biens productifs tels que le matériel agricole, les sémences et aussi aà initier des AGR telles que l'élevage des petits ruminants."/>
    <x v="1"/>
    <s v="Durant ce projet une étude sur les impacts du transfert monetaires a été réalisée et les résultats de cette étude ont été diffusés dans toutes les instances de rencontre telles que le cluster securité alimentaire, au bureau ECHO et à l'alliance des ONG pratiquant les transferts monetaires"/>
    <x v="0"/>
    <x v="0"/>
    <s v="YES"/>
    <x v="0"/>
    <x v="0"/>
    <x v="0"/>
    <x v="0"/>
    <n v="4"/>
    <x v="1"/>
    <x v="1"/>
    <x v="1"/>
    <x v="1"/>
    <x v="1"/>
    <x v="1"/>
    <n v="4"/>
    <x v="1"/>
    <x v="1"/>
    <x v="1"/>
    <x v="1"/>
    <x v="1"/>
    <n v="3"/>
    <x v="2"/>
    <x v="1"/>
    <m/>
    <s v="Local government(s)"/>
    <m/>
    <m/>
    <x v="3"/>
    <m/>
    <m/>
    <s v="L'intégration des autorités dans tout le processus de mise en oeuvre des activités, la transparence et la communication juste ont permis de résoudre des litiges les équipes et la communauté."/>
    <s v="Le choix de plus d'animatrices que d'animateurs dans les équipes a facilité la communication entre les bénéficiaires et le staff car culturellement dans cette zone beaucoup islamisée les femmes ne s'adressent à des hommes inconnus même en présence de leur mari."/>
    <s v="La distribution du cash se deroule les jours des marchés, ce qui permet aux bénéficiaires une fois le cash reçu de se rendre directement sur le marché pour faire ses achats avant de rentrer à la maison. A cela s'ajoute aussi des séances de sensibilisation et de suivi des prix des denrées alimentaires sur les marché de la zone d(intervention afin d'éviter que les commercants augmentent les prix durant les périodes de distribution."/>
    <s v="Le ciblage prend énormément de temps et constitue la partie essentielle des projets d'assistance humanitaire. La durée de la période de soudure étant 3 mois de juillet à septembre pour la plupart des saisons. Il arrive parfois que le mois de juillet arrive et que le ciblage ne soit pas encore terminé et ce retard accusé joue sur le chronogramme des activités et pour la plupart du temps la période de soudure passe et les distributions sont toujours en cours. C'est une situation vécue et qui met une forte pression sur les équipes d'implémentation qui pour palier à cela font souvent recours à des raccourcis en ciblant des bénéficiaires qui ne sont pas nécessairement vulnérables. Pour ce faire un plaidoyer à l'endroit de l'état et des partenaires techniques et financiers afin de mettre en place au préalable une liste de bénéficiaires vulnérables de toutes les régions._x000a_Le ciblage doit se faire de façon biométrique avec reconnaissance faciale ou par empreintes du bénéficiaire cela permet de résoudre le problème des doublons, des homonymes et de la distribution du cash aux mauvais bénéficiaires."/>
    <s v="La production de la farine enrichie a joué un rôle surtout pendant les retards et les insuffisances des vivres PAM. Les mères payaient les farines enrichies pour palier ce gap. Pour cela la mise en place des unités semi industrielles de productions de farine enrichie dans les zones d'interventions (par exemple une unité à Abéché ou à Biltine) parait opportun. Les vivres à distribuer aux enfants et aux femmes enceintes seront achetés auprès de ces unités ce qui permettra de minimiser les fréquentes ruptures d'intrants et les retards d'approvisionnements due au fait que ces vivres sont commandés à l'étranger."/>
    <s v="Les communautés de la région de Wadi Fira ne fréquente pas les centres de santé ce qui fait que les femmes enceintes ou allaitantes n'observent pas les consultations pré et post natales et surtout les vaccins ne sont pas administrés aux enfants. Et au cours des distributions de cash et de vivres dont les bénéficiaires sont essentiellement les femmes, les agents de santé profitent de ces rassemblement pour faire les consultations pré et post natales et administrer les vaccins ce qui constitue un bel exemple d'intégration."/>
    <s v="Il faut ajouter que cette année les bénéficiaires ont investi une partie de leur cash dans les biens productifs. Ce qui constitue des investissements qui leurs permettront d'être relevés précocement et de tendre vers la résilience."/>
    <s v="i) Enquête SMART Unicef Août/Sept 2015;_x000a_ii) Situation de la campagne agro-pastorale 2015-2016, rapport ONDR Biltine (Octobre 2016);_x000a_iii) Tchad Perspectives sur la sécurité Alimentaire Oct. 2015 à mars 2016 &quot; FEWS NET&quot;;_x000a_iv) Analyse du Cadre Harmonisé d'identification des zones à risque et des populations vulnérables au Sahel et en Afrique de l'Ouest (CH-CILSS nov. 2015);_x000a_v) Résultats préliminaires de la campagne agricole et l'analyse consensuelle de la situation alimentaire et nutritionnelle (CASAGC Novembre 2015); vi) Enquête Nationale sur la sécurité alimentaire des ménages ruraux ENSA, (SISAAP-PAM,Oct 2015); vii) Outcome Analysis AEM, (Novembre 2015);_x000a_vi) PDM's CARE Tchad; ix) Etude élargie de la vulnérabilité au changement climatique et de réduction des risques face aux chocs futurs ( CARE Tchad février 2015); Rapport suivi du marché au Tchad ( PAM, mai 2015);_x000a_vii) Screening Nutritionnel chez les enfants de 6 à 59 mois, (CARE, Août 2015)._x000a_viii) ECHO/-CF/EDF/2015/01001 : Appui aux ménages en déficit alimentaire et à risque de malnutrition aiguë dans la Région de Wadi Fira, Départements de Biltine, Mégri et Kobé._x000a_ix) Etude des impacts des Programmes de Transfert monétaires sur les ménages, Decembre 2016_x000a_x) Rapport d’enquête base line, Juin 2016_x000a_xi) Rapport de PDM 1, 2 et 3_x000a_xii) Rapport d’enquête CAP Décembre 2016"/>
    <n v="66293"/>
    <n v="106093"/>
    <n v="1.6003650460832968"/>
    <n v="0.48107643340925887"/>
    <n v="0.51999660675068105"/>
    <n v="31892"/>
    <n v="55168"/>
    <n v="1"/>
    <n v="66293"/>
    <n v="106093"/>
    <n v="1.6003650460832968"/>
    <n v="1"/>
    <n v="66293"/>
    <n v="106093"/>
    <n v="1.6003650460832968"/>
    <s v=""/>
    <n v="0"/>
    <n v="0"/>
    <s v=""/>
    <s v=""/>
    <n v="0"/>
    <n v="0"/>
    <s v=""/>
    <s v=""/>
    <n v="0"/>
    <n v="0"/>
    <s v=""/>
    <s v="2. Sensitive"/>
    <s v="2. Accommodating"/>
    <s v="2. Sensitive"/>
    <s v="It tested new ways for fighting poverty and measured results of innovation"/>
    <s v="Moderate advocacy"/>
    <s v="It linked and worked with strategic alliances and partners to take tested and effective solutions to scale"/>
  </r>
  <r>
    <x v="11"/>
    <x v="2"/>
    <n v="2847"/>
    <s v="Construction d'un environnement protecteur pour les femmes et filles des sites des retournés, et villages hôtes, au Sud du Tchad dans les situation de risques aux VBG au Sud du Tchad(MADJI LODJI)"/>
    <s v="Chad"/>
    <s v="TD499"/>
    <s v="CARE USA"/>
    <s v="Government"/>
    <s v="Government - US"/>
    <s v="PRM-Bureau of Populations, Refugees and Migrations"/>
    <m/>
    <m/>
    <m/>
    <m/>
    <m/>
    <m/>
    <m/>
    <m/>
    <m/>
    <m/>
    <m/>
    <m/>
    <m/>
    <m/>
    <m/>
    <m/>
    <m/>
    <m/>
    <m/>
    <m/>
    <m/>
    <m/>
    <m/>
    <m/>
    <m/>
    <m/>
    <m/>
    <m/>
    <m/>
    <m/>
    <m/>
    <m/>
    <m/>
    <m/>
    <m/>
    <m/>
    <m/>
    <m/>
    <m/>
    <m/>
    <m/>
    <m/>
    <m/>
    <m/>
    <m/>
    <d v="2015-09-01T00:00:00"/>
    <d v="2016-11-30T00:00:00"/>
    <m/>
    <s v="Humanitarian A Life Free From Violence (GBV)"/>
    <n v="800000"/>
    <s v="Nenodji Celine"/>
    <s v="Coordinatrice du pillier Droit et empowerment des Femmes et des Filles"/>
    <s v="coordo.deffi@care-tchad.org"/>
    <s v="Iretie Lokonon"/>
    <s v="Directrice adjointe aux programmes"/>
    <s v="iretie.lokonon@care.ca"/>
    <s v="YES"/>
    <s v="YES"/>
    <s v="YES"/>
    <s v="Reduire les risques de Violences basées sur le Genre en construisant un environnement protecteur pour les femmes et filles dans les villages hôtes, les communautés des retournés et réfugiés."/>
    <s v="Sub-National"/>
    <s v="2 camps de réfugiés à savoir Dosseye et Doholo à Goré dans le Logone Oriental 10 villages hôtes de Moissala ayant accueilli les réfugiés et retournés de la RCA à savoir Dilingala, Bekourou, Doubadéné5, Dembo, Bata, Kaba, Mbetikandja, Guidikouti, Kaba3 et Doubadéné5 Sud du Tchad(Nya-pendé et le Barh Sara)"/>
    <s v="Les femmes et les filles"/>
    <n v="16500"/>
    <n v="13500"/>
    <n v="30000"/>
    <n v="28766"/>
    <n v="23534"/>
    <n v="52300"/>
    <s v="Les participants directs sont la population de la zone du projetournés et ceux des villages hôtes. Les bénéficiaires indirects incluent outre les bénéficiaires directs, les populations des villages periphériques à notre zone d'intervention."/>
    <m/>
    <n v="11479"/>
    <n v="7370"/>
    <n v="18849"/>
    <n v="28766"/>
    <n v="23534"/>
    <n v="52300"/>
    <s v="NO"/>
    <m/>
    <m/>
    <m/>
    <s v="YES"/>
    <n v="2960"/>
    <n v="1"/>
    <m/>
    <s v="YES"/>
    <n v="1100"/>
    <n v="1"/>
    <m/>
    <s v="NO"/>
    <m/>
    <m/>
    <m/>
    <s v="YES"/>
    <n v="25313"/>
    <n v="0.68"/>
    <m/>
    <s v="YES"/>
    <n v="10374"/>
    <n v="0.65"/>
    <m/>
    <s v="NO"/>
    <m/>
    <m/>
    <m/>
    <s v="NO"/>
    <m/>
    <m/>
    <m/>
    <m/>
    <m/>
    <m/>
    <m/>
    <s v="NO"/>
    <m/>
    <m/>
    <m/>
    <s v="NO"/>
    <m/>
    <m/>
    <m/>
    <s v="NO"/>
    <m/>
    <m/>
    <m/>
    <m/>
    <m/>
    <m/>
    <m/>
    <m/>
    <m/>
    <m/>
    <m/>
    <m/>
    <m/>
    <m/>
    <m/>
    <m/>
    <m/>
    <m/>
    <m/>
    <m/>
    <m/>
    <m/>
    <m/>
    <m/>
    <m/>
    <m/>
    <m/>
    <m/>
    <m/>
    <m/>
    <m/>
    <m/>
    <m/>
    <m/>
    <m/>
    <m/>
    <m/>
    <m/>
    <m/>
    <m/>
    <m/>
    <m/>
    <m/>
    <m/>
    <m/>
    <m/>
    <m/>
    <m/>
    <m/>
    <m/>
    <m/>
    <m/>
    <m/>
    <m/>
    <m/>
    <m/>
    <m/>
    <m/>
    <m/>
    <m/>
    <m/>
    <m/>
    <m/>
    <m/>
    <m/>
    <m/>
    <m/>
    <m/>
    <m/>
    <m/>
    <m/>
    <m/>
    <m/>
    <m/>
    <m/>
    <m/>
    <m/>
    <m/>
    <m/>
    <m/>
    <m/>
    <m/>
    <m/>
    <s v="YES"/>
    <s v="November"/>
    <n v="2016"/>
    <s v="YES"/>
    <s v="NO"/>
    <m/>
    <m/>
    <m/>
    <x v="1"/>
    <s v="YES"/>
    <s v="YES"/>
    <s v="YES"/>
    <s v="YES"/>
    <s v="YES"/>
    <s v="YES"/>
    <s v="NO"/>
    <m/>
    <m/>
    <x v="2"/>
    <s v="Les VSLA accompagnés d'un appui financier, le cash tranfer pour des bénéficiaires dans la zone du projet"/>
    <x v="1"/>
    <s v="Partenariat avec la Cellule de Liaison et des Actions Féminines(CELIAF)"/>
    <x v="2"/>
    <x v="1"/>
    <s v="YES"/>
    <x v="0"/>
    <x v="0"/>
    <x v="1"/>
    <x v="4"/>
    <n v="3"/>
    <x v="1"/>
    <x v="1"/>
    <x v="1"/>
    <x v="1"/>
    <x v="1"/>
    <x v="1"/>
    <n v="4"/>
    <x v="3"/>
    <x v="1"/>
    <x v="1"/>
    <x v="1"/>
    <x v="4"/>
    <n v="3"/>
    <x v="2"/>
    <x v="3"/>
    <n v="20"/>
    <s v="Local NGO(s)/CSO(s)"/>
    <s v="Grassroots organization(s)"/>
    <s v="International NGO(s)"/>
    <x v="0"/>
    <s v="Formations, Appui en matériel (pour activité de sensibilisation…)"/>
    <s v="Au constat du démarrage des activités faits avec retard, il a été proposé une petite extension qui a permis d'accompagner les groupements VSLA ayant bénéficié de l'appui financier."/>
    <s v="Collaboration/partenariat avec les organisations internationales, nationales et locales, permettant de définir les techniques et méthodes d'intervention sur le terrain. Cela a permis d'avoir une même vision, objectif et d'atteindre plus de personnes sur le terrain à travers toutes les activités mises en oeuvre en faveur des bénéficiaires"/>
    <s v="Les séries de discussions de couples ont permis d'évaluer les niveaux de prise de décision dans les couples et leur permettre d'avoir les mêmes visions en rapport avec les besoins dans les ménages. Cette méthode a réduit les risques de violences dans les couples quant à la gestion des revenus des ménages"/>
    <s v="Les consultances ont permis d'avoir des vues externes à l'équipe. Ces consultants ont donné des appuis techniques considérables qui ont permis aux structures (VSLA en particulier) de faire des choix judicieux des AGR durables pour leur emporwerment soicoéconomique et mettre sur pied des microprojets. En outre l'évaluation et les renforcement de capacités des organisations à base communautaire et de la société civile a permis de renforcer les capacités des structures communautaires et société civile pour des partenariats efficaces."/>
    <s v="L'alphabétisation des femmes dans les groupements VSLA a été un atout pour ces femmes qui ont appris à lire et à écrire"/>
    <s v="L’audit de sécurité SGBV a permis aux femmes et filles de connaitre les risques réels auxquels elles sont exposées dans leurs milieux de vie"/>
    <s v="Les femmes et filles membres des groupements ont pu identifier les AGRs durables qui leur permettent d’exercer pour leur autonomisation socioéconomique. Il faut ajouter à cela, l'appui donné par CARE en termes de fond d'appui qui a le plus soutenu qui sont tout au départ vulnérable et donc dans une grande difficulté de cotiser pour s'octroyer les crédit. Cela a revélé une autre forme de VSLA qu'on pourra désigner de ''VSLA subventionné''"/>
    <m/>
    <m/>
    <n v="18849"/>
    <n v="52300"/>
    <n v="2.7746830070560771"/>
    <n v="0.60899782481829279"/>
    <n v="0.55001912045889101"/>
    <n v="11479"/>
    <n v="28766"/>
    <n v="1"/>
    <n v="18849"/>
    <n v="52300"/>
    <n v="2.7746830070560771"/>
    <s v=""/>
    <n v="0"/>
    <n v="0"/>
    <s v=""/>
    <s v=""/>
    <n v="0"/>
    <n v="0"/>
    <s v=""/>
    <n v="1"/>
    <n v="25313"/>
    <n v="0"/>
    <n v="0"/>
    <s v=""/>
    <n v="0"/>
    <n v="0"/>
    <s v=""/>
    <s v="3. Responsive"/>
    <s v="2. Accommodating"/>
    <s v="4. Transformative"/>
    <s v="It tested new ways for fighting poverty and measured results of innovation"/>
    <s v="Moderate advocacy"/>
    <s v="It linked and worked with strategic alliances and partners to take tested and effective solutions to scale"/>
  </r>
  <r>
    <x v="11"/>
    <x v="2"/>
    <n v="2840"/>
    <s v="Femmes Adaptation aux Changements Climatique, Eaux et Resiliences"/>
    <s v="Chad"/>
    <s v="TD491"/>
    <s v="CARE Österreich"/>
    <s v="Multilateral agency"/>
    <s v="EU - European Union (other than ECHO)"/>
    <s v="EU"/>
    <m/>
    <m/>
    <m/>
    <m/>
    <m/>
    <m/>
    <m/>
    <m/>
    <m/>
    <m/>
    <m/>
    <m/>
    <m/>
    <m/>
    <m/>
    <m/>
    <m/>
    <m/>
    <m/>
    <m/>
    <m/>
    <m/>
    <m/>
    <m/>
    <m/>
    <m/>
    <m/>
    <m/>
    <m/>
    <m/>
    <m/>
    <m/>
    <m/>
    <m/>
    <m/>
    <m/>
    <m/>
    <m/>
    <m/>
    <m/>
    <m/>
    <m/>
    <m/>
    <m/>
    <m/>
    <d v="2015-02-01T00:00:00"/>
    <d v="2017-11-30T00:00:00"/>
    <m/>
    <s v="Development Food &amp; Nutrition Security and Resilience to Climate Change"/>
    <n v="2043874.91"/>
    <s v="Iretie Lokonon"/>
    <s v="ACD programme"/>
    <s v="Iretie-lokonon@care.ca"/>
    <s v="Perpetue NOMBRE YAMMA"/>
    <s v="Coordonnatrice RACC"/>
    <s v="coordo.racc@care-tchad.org"/>
    <s v="NO"/>
    <s v="YES"/>
    <s v="NO"/>
    <s v="le projet FACER vise a restaurer la securité alimentaire et nutritionnelle en milieu rural Tchadien et qu'elle soit assurée de manière durable, notamment a travers la resilience des familles pauvres/tres pauvres et le renversement de la tendance de la feminisation de la pauvrété."/>
    <s v="Sub-National"/>
    <s v="Le projet intervient dans la region du Wadi-Fira située à l'Est du pays à environ 1000 Kilometres de la capitale (N'djamena). Geographiquement, le projet couvre le departement de Biltine avec trois sous prefecture notamment Arada, Amzoer et Biltine rurale. six cantons sont logés à l'interieur dessous prefecteures avec 109 villages."/>
    <s v="Hommes, femmes et enfants des menages agropastoraux des zones rurales ayant atteint le seuil de protection de leurs moyens d'existence."/>
    <n v="4200"/>
    <n v="2800"/>
    <n v="7000"/>
    <n v="29400"/>
    <n v="19600"/>
    <n v="49000"/>
    <s v="les beneficiaires directs sont les cibles du projet identifiées suite à des sensibilisations suivies des enquétes de ciblages specifiques en fonction des activités. Par contre, les participants indirects sont determinés a travers la moyenne des tailles de menages (7membres/menages) des beneficiares direct."/>
    <m/>
    <m/>
    <m/>
    <m/>
    <m/>
    <m/>
    <m/>
    <m/>
    <m/>
    <m/>
    <m/>
    <m/>
    <m/>
    <m/>
    <m/>
    <m/>
    <m/>
    <m/>
    <m/>
    <m/>
    <m/>
    <m/>
    <m/>
    <m/>
    <m/>
    <m/>
    <m/>
    <m/>
    <m/>
    <m/>
    <m/>
    <m/>
    <m/>
    <m/>
    <m/>
    <m/>
    <m/>
    <m/>
    <m/>
    <m/>
    <m/>
    <m/>
    <m/>
    <m/>
    <m/>
    <m/>
    <m/>
    <m/>
    <m/>
    <m/>
    <m/>
    <m/>
    <m/>
    <m/>
    <m/>
    <m/>
    <m/>
    <m/>
    <m/>
    <m/>
    <n v="3237"/>
    <n v="2158"/>
    <n v="5395"/>
    <n v="29400"/>
    <n v="19600"/>
    <n v="49000"/>
    <m/>
    <m/>
    <m/>
    <m/>
    <s v="YES"/>
    <n v="3630"/>
    <n v="0.6"/>
    <n v="25410"/>
    <m/>
    <m/>
    <m/>
    <m/>
    <m/>
    <m/>
    <m/>
    <m/>
    <m/>
    <m/>
    <m/>
    <m/>
    <s v="YES"/>
    <n v="791"/>
    <n v="1"/>
    <n v="5537"/>
    <s v="YES"/>
    <n v="7635"/>
    <n v="0.8"/>
    <n v="53445"/>
    <m/>
    <m/>
    <m/>
    <m/>
    <m/>
    <m/>
    <m/>
    <m/>
    <m/>
    <m/>
    <m/>
    <m/>
    <s v="YES"/>
    <n v="4450"/>
    <n v="0.6"/>
    <n v="2670"/>
    <m/>
    <m/>
    <m/>
    <m/>
    <m/>
    <m/>
    <m/>
    <m/>
    <m/>
    <m/>
    <m/>
    <m/>
    <m/>
    <m/>
    <m/>
    <m/>
    <m/>
    <m/>
    <m/>
    <m/>
    <m/>
    <m/>
    <m/>
    <m/>
    <m/>
    <s v="NO"/>
    <m/>
    <m/>
    <s v="NO"/>
    <s v="NO"/>
    <m/>
    <m/>
    <s v="N/A"/>
    <x v="0"/>
    <s v="NO"/>
    <s v="NO"/>
    <s v="NO"/>
    <s v="NO"/>
    <s v="NO"/>
    <s v="NO"/>
    <s v="NO"/>
    <s v="NO"/>
    <m/>
    <x v="2"/>
    <s v="l'organisation de la semaine nationale de la femme pour une autonomisation economisation de la femme."/>
    <x v="1"/>
    <s v="dans le cadre de la mise œuvre de cette action, les alliances etaient etablies a plusieurs niveaux notamment avec les services déconcentrés de l'Etat, les partenaires de mise en œuvre avec une forte collaboration de la communauté locale ainsi que les autorités administratives et traditionnelles."/>
    <x v="0"/>
    <x v="1"/>
    <s v="YES"/>
    <x v="0"/>
    <x v="2"/>
    <x v="2"/>
    <x v="4"/>
    <n v="2"/>
    <x v="1"/>
    <x v="1"/>
    <x v="2"/>
    <x v="2"/>
    <x v="1"/>
    <x v="4"/>
    <n v="2"/>
    <x v="1"/>
    <x v="1"/>
    <x v="1"/>
    <x v="1"/>
    <x v="1"/>
    <n v="3"/>
    <x v="0"/>
    <x v="2"/>
    <n v="2"/>
    <s v="Local NGO(s)/CSO(s)"/>
    <s v="Local government(s)"/>
    <s v="Grassroots organization(s)"/>
    <x v="1"/>
    <m/>
    <s v="le projet dans sa globalité a contribue a l'atteinte de la vision 2020 de Care par le developpement d'une dynamique organisationnelle feminine a travers les groupements VSLA qui ont renforcé leur autonomisation par une mobilisation financiére endogéne aux groupements, le renforcement des activités generatrices de revenus. En ce qui concerne le volet genre, Il y'a eu une transformation dans la mentalité de la communauté et une prise de conscience collective dans la responsabilité des activités productive. Il existe un debut d'implication réelle des femmes aux instances de gouvernance communautaire à travers les comités villageois et la participation aux discussions communautaires"/>
    <s v="les progrés sont enregistrés au sein des communautés beneficiaires par la vulgarisatioon des varieté des semences  ameliorées, la divertification des cultures et l'augmentation des rendement agricole."/>
    <s v="Ce volet de production agricole basé sur les techniques innovantes constitue un cadre d'ecole d'agriculture pour les beneficiaires et non beneficiaires"/>
    <s v="Un constat a été fait dans la responsabilisation de comités cantonaux dans la planification et collecte des données pour les previsions saisonnieres climatiques. d'autres progrés sont focalisés au niveau des FARN a travers les mamans lumieres et relais communautaires qui prennent en charge les enfants malnutris."/>
    <s v="Concernant, les lecons apprises, un accent particulier doit etre mis sur la construction des seuils d'epandages en serie pour stabiliser le sol, casser la vitesse de l'eau et faciliter la recharge des nappes en amont et en aval."/>
    <s v="Pour rendre coherent, le fonctionnement des groupements VSLA, un agent villageois doit avoir sous sa responsabilité un groupement pour faciliter le suivi de la cotisation des membres; alors que dans le cas de l'espece douze agents villageois suivent 120 groupements VSLA."/>
    <s v="referencement des enfants malnutris dans les centres de santé n'obtiennent pas dans tout les cas les resultats satisfaisant a cause de la rupture des intrants."/>
    <s v="Dans le cadre du projet FACER, un succés assez capitale est à souligner notamment l'introduction des activités cash for work et cash for learning. Ces deux approches innovantes sont incitatives pour la communauté rurale pauvre et très pauvre qui etaient plus habituées au cash inconditionnel (ECHO). Ces activités de resilience sont à poursuivre dans les communautés touchées pour permettre à la communauté d'atteindre un niveau elevé de resilience. Autre chose qui requiert notre attention est l'implication réelle des autorités traditionnelles et administratives dans la mise en oeuvre des activités. Il faut aussi noter qu'on pourrait atteindre plus d'impact avec une diversification en serie des seuils d'epandage au niveau communautaire car le plus grand probléme de la communauté reste l'accés à l'eau. Un travail de sensibilisation sur les pratiques traditionnelles nefastes doit etre poursuivi à long terme."/>
    <m/>
    <n v="5395"/>
    <n v="49000"/>
    <n v="9.0824837812789614"/>
    <n v="0.6"/>
    <n v="0.6"/>
    <n v="3237"/>
    <n v="29400"/>
    <s v=""/>
    <n v="0"/>
    <n v="0"/>
    <s v=""/>
    <n v="1"/>
    <n v="7635"/>
    <n v="53445"/>
    <n v="7"/>
    <s v=""/>
    <n v="0"/>
    <n v="0"/>
    <s v=""/>
    <s v=""/>
    <n v="0"/>
    <n v="0"/>
    <s v=""/>
    <s v=""/>
    <n v="0"/>
    <n v="0"/>
    <s v=""/>
    <s v="3. Responsive"/>
    <s v="1. Tokenistic"/>
    <s v="2. Sensitive"/>
    <s v="It tested new ways for fighting poverty and measured results of innovation"/>
    <s v="Little or no advocacy"/>
    <s v="It linked and worked with strategic alliances and partners to take tested and effective solutions to scale"/>
  </r>
  <r>
    <x v="11"/>
    <x v="2"/>
    <m/>
    <s v="MOFA LAC"/>
    <s v="Chad"/>
    <s v="TCD306"/>
    <s v="CARE Deutschland-Luxemburg"/>
    <s v="Government"/>
    <s v="Government - Germany"/>
    <s v="Ministry of Foreign Affairs of Germany"/>
    <m/>
    <m/>
    <m/>
    <m/>
    <m/>
    <m/>
    <m/>
    <m/>
    <m/>
    <m/>
    <m/>
    <m/>
    <m/>
    <m/>
    <m/>
    <m/>
    <m/>
    <m/>
    <m/>
    <m/>
    <m/>
    <m/>
    <m/>
    <m/>
    <m/>
    <m/>
    <m/>
    <m/>
    <m/>
    <m/>
    <m/>
    <m/>
    <m/>
    <m/>
    <m/>
    <m/>
    <m/>
    <m/>
    <m/>
    <m/>
    <m/>
    <m/>
    <m/>
    <m/>
    <m/>
    <d v="2016-05-01T00:00:00"/>
    <d v="2017-01-31T00:00:00"/>
    <m/>
    <s v="Humanitarian Other"/>
    <n v="700.04"/>
    <s v="iretie LOKONON"/>
    <s v="ACD Program"/>
    <s v="iretie.lokonon@care.ca"/>
    <s v="Céline NENODJI"/>
    <s v="Coordinatrice Pillier DEFFI"/>
    <s v="coordo.deffi@care-tchad.org"/>
    <s v="YES"/>
    <s v="NO"/>
    <s v="NO"/>
    <s v="L'amélioration des conditions de vie des réfugiés, rapatriés, et personnes déplacées grace une meilleure dotation dans le domaine de shelter et NFI's ainsi qu'une amélioration psychosociaux et de la santé sexuelle, particulièrement des femmes"/>
    <s v="Regional"/>
    <s v="Le projet est implementé dans la région du Lac plus précisement dans trois département de Fouli, Mamdi et Kaya"/>
    <s v="Le groupe principal d'iimpact du projet est les personnes très vulnérables afféctées par la crise causé par le groupe de Boko Haram dans la région du Lac"/>
    <n v="7080"/>
    <n v="9420"/>
    <n v="16500"/>
    <n v="15000"/>
    <n v="14000"/>
    <n v="29000"/>
    <m/>
    <m/>
    <n v="16422"/>
    <n v="8318"/>
    <n v="24740"/>
    <n v="16894"/>
    <n v="14354"/>
    <n v="31248"/>
    <s v="NO"/>
    <m/>
    <m/>
    <m/>
    <s v="YES"/>
    <n v="1650"/>
    <n v="0.7"/>
    <m/>
    <s v="NO"/>
    <m/>
    <m/>
    <m/>
    <s v="NO"/>
    <m/>
    <m/>
    <m/>
    <s v="YES"/>
    <n v="24740"/>
    <n v="0.8"/>
    <m/>
    <s v="NO"/>
    <m/>
    <m/>
    <m/>
    <s v="YES"/>
    <n v="5026"/>
    <n v="0.8"/>
    <m/>
    <s v="NO"/>
    <m/>
    <m/>
    <m/>
    <s v="YES"/>
    <n v="24740"/>
    <n v="0.8"/>
    <m/>
    <s v="NO"/>
    <m/>
    <m/>
    <m/>
    <s v="YES"/>
    <n v="1662"/>
    <n v="0.54"/>
    <m/>
    <s v="NO"/>
    <m/>
    <m/>
    <m/>
    <m/>
    <s v="NO"/>
    <m/>
    <m/>
    <m/>
    <m/>
    <m/>
    <m/>
    <m/>
    <m/>
    <m/>
    <s v="NO"/>
    <m/>
    <m/>
    <m/>
    <s v="NO"/>
    <m/>
    <m/>
    <m/>
    <s v="NO"/>
    <m/>
    <m/>
    <m/>
    <s v="NO"/>
    <m/>
    <m/>
    <m/>
    <s v="NO"/>
    <m/>
    <m/>
    <m/>
    <s v="NO"/>
    <m/>
    <m/>
    <m/>
    <s v="NO"/>
    <m/>
    <m/>
    <m/>
    <s v="NO"/>
    <m/>
    <m/>
    <m/>
    <s v="NO"/>
    <m/>
    <m/>
    <m/>
    <s v="NO"/>
    <m/>
    <m/>
    <m/>
    <s v="NO"/>
    <m/>
    <m/>
    <m/>
    <s v="NO"/>
    <m/>
    <m/>
    <m/>
    <s v="NO"/>
    <m/>
    <m/>
    <m/>
    <s v="NO"/>
    <m/>
    <m/>
    <m/>
    <s v="NO"/>
    <m/>
    <m/>
    <m/>
    <s v="NO"/>
    <m/>
    <m/>
    <m/>
    <m/>
    <s v="NO"/>
    <m/>
    <m/>
    <m/>
    <s v="YES"/>
    <s v="August"/>
    <n v="2016"/>
    <s v="YES"/>
    <s v="YES"/>
    <s v="January"/>
    <n v="2017"/>
    <s v="RAS"/>
    <x v="1"/>
    <s v="NO"/>
    <s v="NO"/>
    <s v="NO"/>
    <s v="NO"/>
    <s v="NO"/>
    <s v="NO"/>
    <s v="NO"/>
    <s v="NO"/>
    <m/>
    <x v="0"/>
    <m/>
    <x v="0"/>
    <m/>
    <x v="2"/>
    <x v="0"/>
    <s v="YES"/>
    <x v="0"/>
    <x v="0"/>
    <x v="0"/>
    <x v="0"/>
    <n v="4"/>
    <x v="3"/>
    <x v="2"/>
    <x v="2"/>
    <x v="2"/>
    <x v="2"/>
    <x v="3"/>
    <n v="0"/>
    <x v="1"/>
    <x v="1"/>
    <x v="1"/>
    <x v="2"/>
    <x v="3"/>
    <n v="2"/>
    <x v="0"/>
    <x v="1"/>
    <m/>
    <s v="Local government(s)"/>
    <s v="Local government(s)"/>
    <s v="Local government(s)"/>
    <x v="1"/>
    <s v="Appui en médicament essentiel, matériles médicaux et le renforcement de capacité des prestataires de santé et la mobilisation communautaire sur la santé de reproduction et le SGBV"/>
    <m/>
    <s v="En ce qui concerne le progrés en abris, plus de 1662 ménages ont reduit leur degrés de vulnerabilité en terme de logment"/>
    <s v="Plus 2000 femmes/filles ont reçu des NFI's et ceci à amélioré leur besoin d'urgence"/>
    <s v="Plus de 60% de bénéficiaires ont l'accès aux soins dans les FoSa les plus proches de leurs sites"/>
    <s v="Le modele des abris réalisés était apprécié par les bénéficiaires et voir les partenaires humanitaires"/>
    <s v="Les femmes/filles sont informées et sensibilisées sur les formes de violences et prennent des mesures pour le suivi des cas rapportés"/>
    <s v="5% des femmes/filles  sont soumises aux méthodes de planification et fréquentent les centres de santé lors de consultations prénatales"/>
    <m/>
    <m/>
    <n v="24740"/>
    <n v="31248"/>
    <n v="1.263055780113177"/>
    <n v="0.66378334680679063"/>
    <n v="0.54064260112647211"/>
    <n v="16422"/>
    <n v="16894"/>
    <n v="1"/>
    <n v="24740"/>
    <n v="31248"/>
    <n v="1.263055780113177"/>
    <s v=""/>
    <n v="0"/>
    <n v="0"/>
    <s v=""/>
    <s v=""/>
    <n v="0"/>
    <n v="0"/>
    <s v=""/>
    <n v="1"/>
    <n v="24740"/>
    <n v="0"/>
    <n v="0"/>
    <s v=""/>
    <n v="0"/>
    <n v="0"/>
    <s v=""/>
    <s v="2. Sensitive"/>
    <s v="0. Unaware"/>
    <s v="1. Neutral"/>
    <s v="It did not develop any specific innovation"/>
    <s v="Moderate advocacy"/>
    <s v="It did not take tested solutions to scale"/>
  </r>
  <r>
    <x v="11"/>
    <x v="2"/>
    <m/>
    <s v="PAIR-PPD : Projet d'Appui a l'Integration/Autonomisation des retournes Pour une Paix Durable"/>
    <s v="Chad"/>
    <s v="TD515"/>
    <s v="CARE Deutschland-Luxemburg"/>
    <s v="Government"/>
    <s v="Government - Germany"/>
    <s v="BMZ"/>
    <m/>
    <m/>
    <m/>
    <m/>
    <m/>
    <m/>
    <m/>
    <m/>
    <m/>
    <m/>
    <m/>
    <m/>
    <m/>
    <m/>
    <m/>
    <m/>
    <m/>
    <m/>
    <m/>
    <m/>
    <m/>
    <m/>
    <m/>
    <m/>
    <m/>
    <m/>
    <m/>
    <m/>
    <m/>
    <m/>
    <m/>
    <m/>
    <m/>
    <m/>
    <m/>
    <m/>
    <m/>
    <m/>
    <m/>
    <m/>
    <m/>
    <m/>
    <m/>
    <m/>
    <m/>
    <d v="2016-07-01T00:00:00"/>
    <d v="2019-04-30T00:00:00"/>
    <m/>
    <s v="Development Food &amp; Nutrition Security and Resilience to Climate Change"/>
    <n v="1848206.66"/>
    <s v="Iretie Lokonon"/>
    <s v="ACD program"/>
    <s v="iretie.lokonon@care.ca"/>
    <s v="Celine Nenodjo"/>
    <s v="coordonatrice Pilier Droit et empowerment des femmes et des filles"/>
    <s v="coordo.deffi@care-tchad.org"/>
    <s v="YES"/>
    <s v="YES"/>
    <s v="YES"/>
    <s v="Contribuer à la création des conditions d’une réelle intégration locale et ou réintégration dans le milieu de leur choix (y compris en RCA) à travers un appui conséquent et dégressif qui promeut l’autonomisation et la résilience socio-économiques et psychologique des  femmes, filles et des jeunes des sites de Maingama, Sido et des villages hôtes."/>
    <s v="Sub-National"/>
    <s v="Projet d’Appui a l’Integration /Autonomisation des Retournees –Pour une Paix Durable (PAIR – PPD)  intervient qu Sud du Tchad plus précisement das la reion du Moyen chari , Departement de la grande et spécifiquement dans les sous-prefectures de Maro et  sido"/>
    <s v="Le  projer  PAIR-PPD  a pour  objet  de Contribuer à la création des conditions d’une réelle intégration locale et ou réintégration dans le milieu de leur choix (y compris en RCA) à travers un appui conséquent et dégressif qui promeut l’autonomisation et la résilience socio-économiques et psychologique des  femmes, filles et des jeunes des sites de Maingama, Sido et des villages hôtes pour  un developpement durable"/>
    <n v="9000"/>
    <n v="6000"/>
    <n v="15000"/>
    <n v="11000"/>
    <n v="24000"/>
    <n v="35000"/>
    <s v="les beneficiares  sont les  retournés et populations hoes  ayant reçu de l'appui  en cash inconditionel  , maraichage  , prise en harge  en santé de la reproduction , prise en charge des enfants lmalnutri moderés, l'accés à l'eau , aux latrines ,  distribution des dalles mozambicaines"/>
    <m/>
    <n v="9000"/>
    <n v="6000"/>
    <n v="15000"/>
    <n v="11000"/>
    <n v="24000"/>
    <n v="35000"/>
    <m/>
    <m/>
    <m/>
    <m/>
    <s v="YES"/>
    <n v="1000"/>
    <n v="0.72699999999999998"/>
    <n v="5000"/>
    <m/>
    <m/>
    <m/>
    <m/>
    <s v="YES"/>
    <n v="2628"/>
    <n v="1"/>
    <n v="13140"/>
    <s v="YES"/>
    <n v="3434"/>
    <n v="0.7"/>
    <n v="35000"/>
    <m/>
    <m/>
    <m/>
    <m/>
    <m/>
    <m/>
    <m/>
    <m/>
    <s v="Yes"/>
    <n v="1025"/>
    <n v="1"/>
    <n v="5125"/>
    <m/>
    <m/>
    <m/>
    <m/>
    <s v="YES"/>
    <n v="3000"/>
    <n v="0.38400000000000001"/>
    <n v="35000"/>
    <m/>
    <m/>
    <m/>
    <m/>
    <s v="YES"/>
    <n v="7100"/>
    <n v="0.4"/>
    <n v="35000"/>
    <m/>
    <m/>
    <m/>
    <m/>
    <m/>
    <n v="9000"/>
    <n v="6000"/>
    <n v="15000"/>
    <n v="11000"/>
    <n v="24000"/>
    <n v="35000"/>
    <s v="YES"/>
    <n v="400"/>
    <n v="1"/>
    <n v="2000"/>
    <s v="YES"/>
    <n v="400"/>
    <n v="1"/>
    <n v="2000"/>
    <s v="YES"/>
    <n v="125"/>
    <n v="0.5"/>
    <m/>
    <m/>
    <m/>
    <m/>
    <m/>
    <m/>
    <m/>
    <m/>
    <m/>
    <m/>
    <m/>
    <m/>
    <m/>
    <s v="YES"/>
    <n v="1432"/>
    <n v="0.84099999999999997"/>
    <n v="7160"/>
    <s v="YES"/>
    <n v="3434"/>
    <n v="1"/>
    <n v="35000"/>
    <m/>
    <m/>
    <m/>
    <m/>
    <m/>
    <m/>
    <m/>
    <m/>
    <m/>
    <m/>
    <m/>
    <m/>
    <m/>
    <m/>
    <m/>
    <m/>
    <m/>
    <m/>
    <m/>
    <m/>
    <s v="YES"/>
    <n v="4001"/>
    <n v="0.75"/>
    <n v="35000"/>
    <s v="YES"/>
    <n v="7100"/>
    <n v="0.5"/>
    <n v="35000"/>
    <s v="YES"/>
    <n v="625"/>
    <n v="1"/>
    <n v="3125"/>
    <m/>
    <m/>
    <m/>
    <m/>
    <m/>
    <s v="YES"/>
    <m/>
    <m/>
    <s v="YES"/>
    <s v="YES"/>
    <s v="November"/>
    <m/>
    <s v="analyse portera sur les opportunites et defits lies a l'integration des retournes dans le milieu de leur choix. Une enquete sera menee aupres des retournes pour recueillir des information sur liees a la thematique du projet"/>
    <x v="0"/>
    <s v="NO"/>
    <s v="NO"/>
    <s v="YES"/>
    <s v="YES"/>
    <s v="NO"/>
    <s v="NO"/>
    <s v="YES"/>
    <m/>
    <m/>
    <x v="2"/>
    <s v="Le projet a facilite la mise en place des AGR et la subvention des micro-projet"/>
    <x v="1"/>
    <s v="Le projet a eu l'appui technique de l'Office National de Developpement Rural"/>
    <x v="1"/>
    <x v="0"/>
    <s v="YES"/>
    <x v="0"/>
    <x v="0"/>
    <x v="0"/>
    <x v="0"/>
    <n v="4"/>
    <x v="1"/>
    <x v="1"/>
    <x v="2"/>
    <x v="1"/>
    <x v="1"/>
    <x v="1"/>
    <n v="3"/>
    <x v="1"/>
    <x v="1"/>
    <x v="1"/>
    <x v="1"/>
    <x v="1"/>
    <n v="3"/>
    <x v="0"/>
    <x v="0"/>
    <n v="4"/>
    <s v="Local government(s)"/>
    <s v="Media or journalist network(s)"/>
    <m/>
    <x v="0"/>
    <s v="Appui aux associations des jeunes, des autorites administratives et locales"/>
    <m/>
    <s v="VSLA : en espace de trois mois les femmes membres des groupements ont pu epargner et actuellement les groupements octroient de credit aux membres pour le developpement des AGR et remboursement a taux d'interet faible, tout cela grace aux differentes formation sur la vie associative et l'education financiere"/>
    <s v="Micro-projet : les subventions aux micro-projets a permis aux differents porteurs de se relencer economiquement"/>
    <s v="Developpement du maraichage: cette activite a permis de subvenir aux besoins alimentaires des menages membres ainsi d'autres besoins qu'alimentaires."/>
    <s v="L'absence d'une filiere economique"/>
    <s v="Faible niveau d'assimilation de procedure de subvention de micro-projet"/>
    <s v="Faible niveau d'assainissement et d'hygiene sur les sites."/>
    <m/>
    <s v="Rapports mensuels d'activites, Rapports programmatiques, les resultats d'enquetes."/>
    <n v="15000"/>
    <n v="35000"/>
    <n v="2.3333333333333335"/>
    <n v="0.6"/>
    <n v="0.31428571428571428"/>
    <n v="9000"/>
    <n v="11000"/>
    <n v="1"/>
    <n v="15000"/>
    <n v="35000"/>
    <n v="2.3333333333333335"/>
    <n v="1"/>
    <n v="7100"/>
    <n v="35000"/>
    <n v="4.929577464788732"/>
    <n v="1"/>
    <n v="4001"/>
    <n v="35000"/>
    <n v="8.7478130467383153"/>
    <n v="1"/>
    <n v="3434"/>
    <n v="35000"/>
    <n v="10.19219569015725"/>
    <n v="1"/>
    <n v="625"/>
    <n v="3125"/>
    <n v="5"/>
    <s v="2. Sensitive"/>
    <s v="2. Accommodating"/>
    <s v="2. Sensitive"/>
    <s v="It tested new ways for fighting poverty and measured results of innovation"/>
    <s v="Little or no advocacy"/>
    <s v="It linked and worked with strategic alliances and partners to take tested and effective solutions to scale"/>
  </r>
  <r>
    <x v="11"/>
    <x v="2"/>
    <n v="2853"/>
    <s v="Projet d'appui à la planification familiale et aux soins après avortement"/>
    <s v="Chad"/>
    <s v="TCD306"/>
    <s v="CARE USA"/>
    <m/>
    <s v="Other"/>
    <s v="Thomson Foundation"/>
    <m/>
    <m/>
    <m/>
    <m/>
    <m/>
    <m/>
    <m/>
    <m/>
    <m/>
    <m/>
    <m/>
    <m/>
    <m/>
    <m/>
    <m/>
    <m/>
    <m/>
    <m/>
    <m/>
    <m/>
    <m/>
    <m/>
    <m/>
    <m/>
    <m/>
    <m/>
    <m/>
    <m/>
    <m/>
    <m/>
    <m/>
    <m/>
    <m/>
    <m/>
    <m/>
    <m/>
    <m/>
    <m/>
    <m/>
    <m/>
    <m/>
    <m/>
    <m/>
    <m/>
    <m/>
    <d v="2016-01-01T00:00:00"/>
    <d v="2018-12-31T00:00:00"/>
    <m/>
    <s v="Humanitarian Sexual, Reproductive and Maternal Health (SRMH)"/>
    <n v="4450558"/>
    <s v="Iretie Lokonon"/>
    <s v="Directrice Adjointe-Programme ACD-P"/>
    <s v="iretie.lokonon@care.ca"/>
    <s v="Justin MUMBERE"/>
    <s v="Chef de Projet"/>
    <s v="pm.sante@care-tchad.org"/>
    <s v="NO"/>
    <s v="YES"/>
    <s v="NO"/>
    <s v="Contribuer a la reduire de la mortalite maternelle par la reduction des grosseses non desirees."/>
    <s v="Multiple countries"/>
    <s v="Regions de: Moyen Chari et Logone Oriental au Tchad"/>
    <s v="Femmes en age de procreer"/>
    <n v="82713"/>
    <n v="567"/>
    <n v="83280"/>
    <n v="259834"/>
    <n v="239846"/>
    <n v="499680"/>
    <s v="Pour les paticipants directs nous avons fait la sommes des beneficiaires directes (cibles du projet) soit pres de 81085 clients beneficiares des services de planifications familiales (femmes et hommes), des soins apres avortement; des prestataires des soins, des facilitateurs de dialogues communautaires pour la creation de la demande. _x000a_Les bénéficiaires indirect sont estimés par les membres des familles et des communautes qui vont beneficier indirectement des retombees des bienfaits de services"/>
    <m/>
    <m/>
    <m/>
    <m/>
    <m/>
    <m/>
    <m/>
    <m/>
    <m/>
    <m/>
    <m/>
    <m/>
    <m/>
    <m/>
    <m/>
    <m/>
    <m/>
    <m/>
    <m/>
    <m/>
    <m/>
    <m/>
    <m/>
    <m/>
    <m/>
    <m/>
    <m/>
    <m/>
    <m/>
    <m/>
    <m/>
    <m/>
    <m/>
    <m/>
    <m/>
    <m/>
    <m/>
    <m/>
    <m/>
    <m/>
    <m/>
    <m/>
    <m/>
    <m/>
    <m/>
    <m/>
    <m/>
    <m/>
    <m/>
    <m/>
    <m/>
    <m/>
    <m/>
    <m/>
    <m/>
    <m/>
    <m/>
    <m/>
    <m/>
    <m/>
    <n v="21291"/>
    <n v="531"/>
    <n v="21822"/>
    <n v="65040"/>
    <n v="62490"/>
    <n v="127530"/>
    <s v="NO"/>
    <m/>
    <m/>
    <m/>
    <s v="NO"/>
    <m/>
    <m/>
    <m/>
    <s v="NO"/>
    <m/>
    <m/>
    <m/>
    <s v="NO"/>
    <m/>
    <m/>
    <m/>
    <s v="NO"/>
    <m/>
    <m/>
    <m/>
    <s v="NO"/>
    <m/>
    <m/>
    <m/>
    <s v="NO"/>
    <m/>
    <m/>
    <m/>
    <s v="NO"/>
    <m/>
    <m/>
    <m/>
    <s v="NO"/>
    <m/>
    <m/>
    <m/>
    <s v="NO"/>
    <m/>
    <m/>
    <m/>
    <s v="NO"/>
    <m/>
    <m/>
    <m/>
    <s v="NO"/>
    <m/>
    <m/>
    <m/>
    <s v="NO"/>
    <m/>
    <m/>
    <m/>
    <s v="YES"/>
    <n v="21822"/>
    <n v="0.98"/>
    <n v="127530"/>
    <s v="NO"/>
    <m/>
    <m/>
    <m/>
    <s v="NO"/>
    <m/>
    <m/>
    <m/>
    <m/>
    <s v="NO"/>
    <m/>
    <m/>
    <m/>
    <s v="YES"/>
    <s v="January"/>
    <n v="2016"/>
    <s v="YES"/>
    <s v="YES"/>
    <s v="January"/>
    <n v="2018"/>
    <m/>
    <x v="1"/>
    <s v="NO"/>
    <s v="YES"/>
    <s v="YES"/>
    <s v="YES"/>
    <s v="YES"/>
    <s v="YES"/>
    <s v="YES"/>
    <s v="YES"/>
    <m/>
    <x v="1"/>
    <s v="L'utilisation des dialogues reflexifs au niveau communautaire pour tacler les barieres limitant l'acces aux services SSR"/>
    <x v="1"/>
    <s v="Alliances strategiques avec UNFPA et la DSR (Ministere de la Sante Publique). Des actions synergiques sont mene pour l'approvisionnement en produits contraceptifs mais aussi dans le cadre du plaidoyer."/>
    <x v="1"/>
    <x v="1"/>
    <s v="YES"/>
    <x v="0"/>
    <x v="0"/>
    <x v="0"/>
    <x v="2"/>
    <n v="4"/>
    <x v="2"/>
    <x v="1"/>
    <x v="1"/>
    <x v="1"/>
    <x v="1"/>
    <x v="2"/>
    <n v="4"/>
    <x v="3"/>
    <x v="2"/>
    <x v="2"/>
    <x v="1"/>
    <x v="5"/>
    <n v="1"/>
    <x v="0"/>
    <x v="3"/>
    <n v="55"/>
    <s v="Local government(s)"/>
    <s v="Grassroots organization(s)"/>
    <s v="Media or journalist network(s)"/>
    <x v="0"/>
    <s v="L'organisation des comites de leaders en Association reconnue par l'Etat. Le regroupement des association en reseaux. La mise en place des activites generatrices des revenues pour l'autonomie finaciere de ces associations."/>
    <s v="Dialogue reflexif au sein des communautes pour la creation de la demande"/>
    <s v="Engagement des hommes"/>
    <s v="Engagement communautaires grace a des discussions reflexives pour l'amelioration de l'acces des femmes et des filles aux services complets SSR"/>
    <s v="Le regroupement des associations en  reseaux"/>
    <s v="Partenariat strategique avec UNFPA et la DSR"/>
    <m/>
    <m/>
    <m/>
    <m/>
    <n v="21822"/>
    <n v="127530"/>
    <n v="5.8441022821006321"/>
    <n v="0.97566675831729444"/>
    <n v="0.50999764761232647"/>
    <n v="21291"/>
    <n v="65040"/>
    <s v=""/>
    <n v="0"/>
    <n v="0"/>
    <s v=""/>
    <s v=""/>
    <n v="0"/>
    <n v="0"/>
    <s v=""/>
    <n v="1"/>
    <n v="21822"/>
    <n v="127530"/>
    <n v="5.8441022821006321"/>
    <s v=""/>
    <n v="0"/>
    <n v="0"/>
    <s v=""/>
    <s v=""/>
    <n v="0"/>
    <n v="0"/>
    <s v=""/>
    <s v="4. Transformative"/>
    <s v="4. Transformational"/>
    <s v="3. Responsive"/>
    <s v="It tested new ways for fighting poverty, but did not measure results of innovation"/>
    <s v="Moderate advocacy"/>
    <s v="It linked and worked with strategic alliances and partners to take tested and effective solutions to scale"/>
  </r>
  <r>
    <x v="11"/>
    <x v="2"/>
    <n v="2854"/>
    <s v="PROJET D'APPUI A LA RELANCE ECONOMIQUE AU TCHAD/RENFORCEMENT DE CAPACITES DES MENAGES TRES VULNERABLES VICTIMES DE LA CRISE DANS LA REGION DU LAC TCHAD"/>
    <s v="Chad"/>
    <s v="TD507"/>
    <s v="CARE France"/>
    <s v="Government"/>
    <s v="Government - France"/>
    <s v="Embassy of France"/>
    <s v="TD510"/>
    <s v="CARE France"/>
    <s v="Government"/>
    <s v="Government - France"/>
    <s v="Centre de crise français"/>
    <m/>
    <m/>
    <m/>
    <m/>
    <m/>
    <m/>
    <m/>
    <m/>
    <m/>
    <m/>
    <m/>
    <m/>
    <m/>
    <m/>
    <m/>
    <m/>
    <m/>
    <m/>
    <m/>
    <m/>
    <m/>
    <m/>
    <m/>
    <m/>
    <m/>
    <m/>
    <m/>
    <m/>
    <m/>
    <m/>
    <m/>
    <m/>
    <m/>
    <m/>
    <m/>
    <m/>
    <m/>
    <m/>
    <m/>
    <m/>
    <d v="2015-12-03T00:00:00"/>
    <d v="2017-06-02T00:00:00"/>
    <m/>
    <s v="Development Food &amp; Nutrition Security and Resilience to Climate Change"/>
    <n v="679021"/>
    <s v="Iretie Lokonon"/>
    <s v="ACD Program"/>
    <s v="iretie.lokonon@care.ca"/>
    <s v="Mass Bwikanye"/>
    <s v="Coordonnateur pilier RACC"/>
    <s v="coordo.racc@care-tchad.org"/>
    <s v="NO"/>
    <s v="YES"/>
    <s v="NO"/>
    <s v="Augmenter le pouvoir d'achat et realncer la production agro-pastorales des ménages très pauvres et pauvres dans la région du Lac"/>
    <s v="Regional"/>
    <s v=", les sites et vilages hôtes du département de Mamdi dans la région du lac sont bénéficiaires."/>
    <s v="Femme et Hommes déplacés, retournés et hôtes très pauvre et pauvres"/>
    <n v="1491"/>
    <n v="759"/>
    <n v="2250"/>
    <n v="4853"/>
    <n v="4879"/>
    <n v="9732"/>
    <m/>
    <m/>
    <m/>
    <m/>
    <m/>
    <m/>
    <m/>
    <m/>
    <m/>
    <m/>
    <m/>
    <m/>
    <m/>
    <m/>
    <m/>
    <m/>
    <m/>
    <m/>
    <m/>
    <m/>
    <m/>
    <m/>
    <m/>
    <m/>
    <m/>
    <m/>
    <m/>
    <m/>
    <m/>
    <m/>
    <m/>
    <m/>
    <m/>
    <m/>
    <m/>
    <m/>
    <m/>
    <m/>
    <m/>
    <m/>
    <m/>
    <m/>
    <m/>
    <m/>
    <m/>
    <m/>
    <m/>
    <m/>
    <m/>
    <m/>
    <m/>
    <m/>
    <m/>
    <m/>
    <m/>
    <m/>
    <m/>
    <m/>
    <m/>
    <m/>
    <m/>
    <n v="1466"/>
    <n v="784"/>
    <n v="2250"/>
    <n v="7330"/>
    <n v="3920"/>
    <n v="11250"/>
    <s v="YES"/>
    <n v="1500"/>
    <n v="0.55600000000000005"/>
    <n v="7500"/>
    <m/>
    <m/>
    <m/>
    <m/>
    <m/>
    <m/>
    <m/>
    <m/>
    <m/>
    <m/>
    <m/>
    <m/>
    <s v="NO"/>
    <m/>
    <m/>
    <m/>
    <m/>
    <m/>
    <m/>
    <m/>
    <m/>
    <m/>
    <m/>
    <m/>
    <m/>
    <m/>
    <m/>
    <m/>
    <m/>
    <m/>
    <m/>
    <m/>
    <m/>
    <m/>
    <m/>
    <m/>
    <m/>
    <m/>
    <m/>
    <m/>
    <m/>
    <m/>
    <m/>
    <m/>
    <m/>
    <m/>
    <m/>
    <m/>
    <m/>
    <m/>
    <m/>
    <m/>
    <m/>
    <m/>
    <m/>
    <m/>
    <s v="YES"/>
    <n v="750"/>
    <n v="1"/>
    <n v="3750"/>
    <m/>
    <m/>
    <m/>
    <m/>
    <m/>
    <s v="YES"/>
    <s v="May"/>
    <n v="2017"/>
    <s v="YES"/>
    <s v="NO"/>
    <m/>
    <m/>
    <m/>
    <x v="1"/>
    <m/>
    <m/>
    <m/>
    <s v="YES"/>
    <s v="YES"/>
    <s v="NO"/>
    <s v="YES"/>
    <m/>
    <m/>
    <x v="2"/>
    <s v="l'introduction de l'approche VSLA est une nouvelle innovante tendant à autonomiser les femmes qui sont des couches vulnérables et marginalisées dans la zone du projet"/>
    <x v="1"/>
    <s v="Implication des ervices de l'etat pour la perrenisation des aquis"/>
    <x v="0"/>
    <x v="0"/>
    <s v="YES"/>
    <x v="0"/>
    <x v="0"/>
    <x v="0"/>
    <x v="0"/>
    <n v="4"/>
    <x v="1"/>
    <x v="1"/>
    <x v="1"/>
    <x v="1"/>
    <x v="1"/>
    <x v="1"/>
    <n v="4"/>
    <x v="3"/>
    <x v="2"/>
    <x v="1"/>
    <x v="2"/>
    <x v="5"/>
    <n v="1"/>
    <x v="2"/>
    <x v="2"/>
    <n v="2"/>
    <s v="International NGO(s)"/>
    <s v="National government"/>
    <m/>
    <x v="0"/>
    <s v="les capacités des  structures locales CLA,CDA,CRA ont été renforcées"/>
    <m/>
    <s v="Implication des services techniques de l'état notamment la Délégation de l'élevage et la SODELAC est une stratégie qui permet de reduire des risques surtout dans la prise en charge sanitaire des petits ruminants (vaccination et déparasitage) et rassure la pérénnisation de l'action"/>
    <s v="l'identification des ménages vulnérables exclusivement tenus par des femmes pour la distribution de petits ruminants afin d'augmenter le bétail pour l'amélioration de la sécurité alimentaire est une stratégie efficace"/>
    <m/>
    <s v="Les plaidoyers pour l'accès à la terre sont réalisés dans les villages bénéficiaires, des parcelles ont été mis à la disposition des bénéficiaires à l'issue de ces exercices mais l'accès à la terre fertiles reste toujours un défis à rélever pour l'atteinte des objectifs du projet."/>
    <s v="Le manque de maitrise de l'eau  pour production agricole, le respect des calendriers culturau dans la mise en eouvre des activités_x000a_Vulgariser les cultures maraichères en alternatif des cultures pluviales dépandantes des eaux de pluie de plus en plus rares, sans oublier le défis lié à la maîtrise de l'eau"/>
    <s v="La passation de petits ruminants après mise bas a permis l'accès aux ménages plus vulnérables notamment les femmes aux animaux grâce au dispositif organisationnel et a favorisé la cohésion entre les membres de la communauté"/>
    <m/>
    <m/>
    <n v="2250"/>
    <n v="11250"/>
    <n v="5"/>
    <n v="0.65155555555555555"/>
    <n v="0.65155555555555555"/>
    <n v="1466"/>
    <n v="7330"/>
    <s v=""/>
    <n v="0"/>
    <n v="0"/>
    <s v=""/>
    <n v="1"/>
    <n v="1500"/>
    <n v="7500"/>
    <n v="5"/>
    <s v=""/>
    <n v="0"/>
    <n v="0"/>
    <s v=""/>
    <s v=""/>
    <n v="0"/>
    <n v="0"/>
    <s v=""/>
    <n v="1"/>
    <n v="750"/>
    <n v="3750"/>
    <n v="5"/>
    <s v="2. Sensitive"/>
    <s v="2. Accommodating"/>
    <s v="3. Responsive"/>
    <s v="It tested new ways for fighting poverty and measured results of innovation"/>
    <s v="Moderate advocacy"/>
    <s v="It linked and worked with strategic alliances and partners to take tested and effective solutions to scale"/>
  </r>
  <r>
    <x v="11"/>
    <x v="2"/>
    <n v="2841"/>
    <s v="Projet d'appui à la sécurité des conditions de vie et moyens d'existence des femmes des groupements ruraux le long de l'axe butimé de la route Sarh-Kyabé"/>
    <s v="Chad"/>
    <s v="TD492"/>
    <s v="CARE France"/>
    <s v="Multilateral agency"/>
    <s v="EU - European Union (other than ECHO)"/>
    <s v="EU"/>
    <m/>
    <m/>
    <m/>
    <m/>
    <m/>
    <m/>
    <m/>
    <m/>
    <m/>
    <m/>
    <m/>
    <m/>
    <m/>
    <m/>
    <m/>
    <m/>
    <m/>
    <m/>
    <m/>
    <m/>
    <m/>
    <m/>
    <m/>
    <m/>
    <m/>
    <m/>
    <m/>
    <m/>
    <m/>
    <m/>
    <m/>
    <m/>
    <m/>
    <m/>
    <m/>
    <m/>
    <m/>
    <m/>
    <m/>
    <m/>
    <m/>
    <m/>
    <m/>
    <m/>
    <m/>
    <d v="2014-12-09T00:00:00"/>
    <d v="2016-12-08T00:00:00"/>
    <d v="2017-03-31T00:00:00"/>
    <s v="Development Access to and Control over Economic Resources"/>
    <m/>
    <s v="IRETIE LOKONON"/>
    <s v="ADC - Program"/>
    <s v="iretie.lokonon@care.ca"/>
    <s v="NENODJI CELINE"/>
    <s v="Coordinatrice DEFFI"/>
    <s v="coordo.deffi@care-tchad.org"/>
    <s v="NO"/>
    <s v="YES"/>
    <s v="NO"/>
    <s v="Atténuer et/ou compenser les impacts négatifs générés par le projet de bitumage de l'axe Sarh-Kyabé et amplifier les impacts positifs attendus"/>
    <s v="Regional"/>
    <s v="Départements du Lac Iro et du  Barh Koh, dans 4 cantons: Banda, Kotngoro, Makoubou et Marabé"/>
    <s v="22 organisations de 330 femmes Productrices et filles-mères identifiées de façon concertée avec la communauté locale à l’issue de l’atelier de mise en place de l’observatoire genre dans chaque village; les membres des 3 comités des leaders religieux (CLR) et les 2 organisations de gestion du terroir (OGT) existantes"/>
    <n v="330"/>
    <n v="110"/>
    <n v="440"/>
    <n v="8955"/>
    <n v="6045"/>
    <n v="15000"/>
    <s v="les participants directs sont les personnes identifiées, formées et appartenant aux structures mises en place et appuyées par le projet d'une part et d'autres part les personnes qui soutiennent le projet de part leur position."/>
    <m/>
    <m/>
    <m/>
    <m/>
    <m/>
    <m/>
    <m/>
    <m/>
    <m/>
    <m/>
    <m/>
    <m/>
    <m/>
    <m/>
    <m/>
    <m/>
    <m/>
    <m/>
    <m/>
    <m/>
    <m/>
    <m/>
    <m/>
    <m/>
    <m/>
    <m/>
    <m/>
    <m/>
    <m/>
    <m/>
    <m/>
    <m/>
    <m/>
    <m/>
    <m/>
    <m/>
    <m/>
    <m/>
    <m/>
    <m/>
    <m/>
    <m/>
    <m/>
    <m/>
    <m/>
    <m/>
    <m/>
    <m/>
    <m/>
    <m/>
    <m/>
    <m/>
    <m/>
    <m/>
    <m/>
    <m/>
    <m/>
    <m/>
    <m/>
    <m/>
    <n v="375"/>
    <n v="110"/>
    <n v="485"/>
    <n v="8955"/>
    <n v="6045"/>
    <n v="15000"/>
    <s v="YES"/>
    <n v="485"/>
    <m/>
    <n v="15000"/>
    <m/>
    <m/>
    <m/>
    <m/>
    <m/>
    <m/>
    <m/>
    <m/>
    <m/>
    <m/>
    <m/>
    <m/>
    <m/>
    <m/>
    <m/>
    <m/>
    <m/>
    <m/>
    <m/>
    <m/>
    <s v="YES"/>
    <n v="375"/>
    <n v="1"/>
    <n v="15000"/>
    <m/>
    <m/>
    <m/>
    <m/>
    <s v="YES"/>
    <n v="485"/>
    <n v="0.75"/>
    <n v="15000"/>
    <m/>
    <m/>
    <m/>
    <m/>
    <m/>
    <m/>
    <m/>
    <m/>
    <m/>
    <m/>
    <m/>
    <m/>
    <m/>
    <m/>
    <m/>
    <m/>
    <m/>
    <m/>
    <m/>
    <m/>
    <m/>
    <m/>
    <m/>
    <m/>
    <s v="YES"/>
    <n v="485"/>
    <n v="0.75"/>
    <n v="15000"/>
    <m/>
    <m/>
    <m/>
    <m/>
    <m/>
    <s v="YES"/>
    <s v="April"/>
    <n v="2017"/>
    <s v="YES"/>
    <s v="NO"/>
    <m/>
    <m/>
    <m/>
    <x v="1"/>
    <s v="NO"/>
    <s v="YES"/>
    <s v="YES"/>
    <s v="YES"/>
    <s v="NO"/>
    <s v="NO"/>
    <s v="NO"/>
    <s v="YES"/>
    <m/>
    <x v="2"/>
    <s v="le projet a initié les actions pour la mise en place des AVEC pour aider les femmes à mener des AGR et s'octroyer des crédits à partir de la mobilisation de leur épargne.La mise en place des observatoires genre pour dénoncer les mauvaises pratiques et encourager les bonnes protiques liées au genre dans une zone où lles droits de la femme sont méconnus."/>
    <x v="1"/>
    <m/>
    <x v="1"/>
    <x v="0"/>
    <s v="YES"/>
    <x v="0"/>
    <x v="0"/>
    <x v="0"/>
    <x v="0"/>
    <n v="4"/>
    <x v="1"/>
    <x v="1"/>
    <x v="1"/>
    <x v="1"/>
    <x v="2"/>
    <x v="1"/>
    <n v="3"/>
    <x v="1"/>
    <x v="1"/>
    <x v="1"/>
    <x v="2"/>
    <x v="3"/>
    <n v="2"/>
    <x v="0"/>
    <x v="2"/>
    <n v="3"/>
    <s v="Local NGO(s)/CSO(s)"/>
    <s v="Local government(s)"/>
    <s v="Grassroots organization(s)"/>
    <x v="3"/>
    <m/>
    <m/>
    <m/>
    <s v="la mise en place des observatoires genre et les ateliers communautaires ont permis à certains hommes de s'engager pour défendre les hommes et cela nous l'avons constaté à travers leurs témoignages"/>
    <s v="le VSLA a été une innovation dans la zone et cela a permis aux femmes et aussi certains hommes à avoir la notion de l'épargne et surtout développer l'esprit associatif"/>
    <m/>
    <m/>
    <m/>
    <m/>
    <m/>
    <n v="485"/>
    <n v="15000"/>
    <n v="30.927835051546392"/>
    <n v="0.77319587628865982"/>
    <n v="0.59699999999999998"/>
    <n v="375"/>
    <n v="8955"/>
    <s v=""/>
    <n v="0"/>
    <n v="0"/>
    <s v=""/>
    <n v="1"/>
    <n v="485"/>
    <n v="15000"/>
    <n v="30.927835051546392"/>
    <s v=""/>
    <n v="0"/>
    <n v="0"/>
    <s v=""/>
    <s v=""/>
    <n v="0"/>
    <n v="0"/>
    <s v=""/>
    <n v="1"/>
    <n v="485"/>
    <n v="15000"/>
    <n v="30.927835051546392"/>
    <s v="2. Sensitive"/>
    <s v="2. Accommodating"/>
    <s v="1. Neutral"/>
    <s v="It tested new ways for fighting poverty and measured results of innovation"/>
    <s v="Moderate advocacy"/>
    <s v="It linked and worked with strategic alliances and partners to take tested and effective solutions to scale"/>
  </r>
  <r>
    <x v="11"/>
    <x v="2"/>
    <n v="2856"/>
    <s v="Projet d'assistance humanitaire et de renforcment de la résilience  des  populations deplacées et hôtes  affectées par la crise de la région du lac Tchad"/>
    <s v="Chad"/>
    <s v="TCD 509"/>
    <s v="CARE France"/>
    <s v="Multilateral agency"/>
    <s v="ECHO - European Commission for Humanitarian Aid and Civil Protection"/>
    <s v="ECHO"/>
    <m/>
    <m/>
    <m/>
    <m/>
    <m/>
    <m/>
    <m/>
    <m/>
    <m/>
    <m/>
    <m/>
    <m/>
    <m/>
    <m/>
    <m/>
    <m/>
    <m/>
    <m/>
    <m/>
    <m/>
    <m/>
    <m/>
    <m/>
    <m/>
    <m/>
    <m/>
    <m/>
    <m/>
    <m/>
    <m/>
    <m/>
    <m/>
    <m/>
    <m/>
    <m/>
    <m/>
    <m/>
    <m/>
    <m/>
    <m/>
    <m/>
    <m/>
    <m/>
    <m/>
    <m/>
    <d v="2016-03-01T00:00:00"/>
    <d v="2017-02-28T00:00:00"/>
    <d v="2018-02-28T00:00:00"/>
    <s v="Humanitarian Food &amp; Nutrition Security and Resilience to Climate Change"/>
    <n v="2062770"/>
    <s v="IRETIE LOKONON"/>
    <s v="Programm Director"/>
    <s v="iretie.lokonon@care.ca"/>
    <s v="PERPETUE  nombre YAMMA"/>
    <s v="Pillar Coordinator RACC"/>
    <s v="coordo.racc@care-tchad.org"/>
    <s v="YES"/>
    <s v="NO"/>
    <s v="NO"/>
    <s v="Contribuer à l'amélioration des conditions de vie des personnes en situation de  vulnérabilité aigue suite à la crise du basin du lac Tchad"/>
    <s v="Sub-National"/>
    <s v="Région du Lac-Tchad, départements de Fouli, Cantons de Liwa, Kiskra et Magui"/>
    <s v="Le projet vise à améliorer la couverture des besoins et services essentiels et renforcer la resilience des ménages deplacés/retournés,hôtes très pauvres et pauvres"/>
    <n v="14870"/>
    <n v="13605"/>
    <n v="28475"/>
    <n v="19214"/>
    <n v="18416"/>
    <n v="37630"/>
    <s v="les participants directes sont les personnes qui sont enrôlées par le projet et  bénéficieront de l'aide prevue dans le narratif  du projet. La formule utilisée pour faire le calcul se repose sur le nombre de ménage * la taille de ménage(taille de ménage selon les enquetes HEA)"/>
    <m/>
    <n v="14704"/>
    <n v="13371"/>
    <n v="28075"/>
    <n v="17786"/>
    <n v="17089"/>
    <n v="34875"/>
    <m/>
    <m/>
    <m/>
    <m/>
    <s v="YES"/>
    <n v="26375"/>
    <n v="0.51"/>
    <n v="26375"/>
    <m/>
    <m/>
    <m/>
    <m/>
    <s v="YES"/>
    <n v="26375"/>
    <n v="0.51"/>
    <n v="26375"/>
    <m/>
    <m/>
    <m/>
    <m/>
    <m/>
    <m/>
    <m/>
    <m/>
    <m/>
    <m/>
    <m/>
    <m/>
    <s v="Yes"/>
    <n v="1700"/>
    <n v="0.73699999999999999"/>
    <n v="8500"/>
    <m/>
    <m/>
    <m/>
    <m/>
    <m/>
    <m/>
    <m/>
    <m/>
    <m/>
    <m/>
    <m/>
    <m/>
    <m/>
    <m/>
    <m/>
    <m/>
    <m/>
    <m/>
    <m/>
    <m/>
    <m/>
    <m/>
    <m/>
    <m/>
    <m/>
    <m/>
    <m/>
    <m/>
    <m/>
    <m/>
    <m/>
    <m/>
    <m/>
    <m/>
    <m/>
    <m/>
    <m/>
    <m/>
    <m/>
    <m/>
    <m/>
    <m/>
    <m/>
    <m/>
    <m/>
    <m/>
    <m/>
    <m/>
    <m/>
    <m/>
    <m/>
    <m/>
    <m/>
    <m/>
    <m/>
    <m/>
    <m/>
    <m/>
    <m/>
    <m/>
    <m/>
    <m/>
    <m/>
    <m/>
    <m/>
    <m/>
    <m/>
    <m/>
    <m/>
    <m/>
    <m/>
    <m/>
    <m/>
    <m/>
    <m/>
    <m/>
    <m/>
    <m/>
    <m/>
    <m/>
    <m/>
    <m/>
    <m/>
    <m/>
    <m/>
    <m/>
    <m/>
    <m/>
    <m/>
    <m/>
    <m/>
    <m/>
    <m/>
    <m/>
    <m/>
    <m/>
    <s v="YES"/>
    <s v="April"/>
    <n v="2017"/>
    <s v="YES"/>
    <s v="YES"/>
    <s v="February"/>
    <n v="2018"/>
    <s v="Des évaluations internes et externes  seront realisées durant le cycle du projet  afin d'analyser la pertinence  de l'action, mesurer l'impact et l'efficience du projet par rapport à  la situation de référence et  Finale. Des enquêtes post distribution monitoring et de suivi de proximité des ménages ayant bénéficié  des activités du projet seront également conduits afin de renseigner le progrès des indicateurs prévus dans le narratif du projet."/>
    <x v="0"/>
    <s v="NO"/>
    <s v="NO"/>
    <s v="YES"/>
    <s v="YES"/>
    <s v="NO"/>
    <s v="NO"/>
    <m/>
    <m/>
    <m/>
    <x v="2"/>
    <m/>
    <x v="1"/>
    <m/>
    <x v="1"/>
    <x v="0"/>
    <s v="YES"/>
    <x v="0"/>
    <x v="0"/>
    <x v="0"/>
    <x v="0"/>
    <n v="4"/>
    <x v="1"/>
    <x v="1"/>
    <x v="1"/>
    <x v="1"/>
    <x v="1"/>
    <x v="1"/>
    <n v="4"/>
    <x v="1"/>
    <x v="1"/>
    <x v="1"/>
    <x v="1"/>
    <x v="1"/>
    <n v="3"/>
    <x v="3"/>
    <x v="1"/>
    <m/>
    <m/>
    <m/>
    <m/>
    <x v="0"/>
    <m/>
    <s v="pas à ce stade de la mise en œuvre de ce projet"/>
    <s v="la redevalibilité de CARE vis-à-vis des bénéficiaires"/>
    <s v="L'implication active des femmes dans les diffrentes activités du projet"/>
    <s v="L'implication de toutes les parties prenantes dans la mise en œuvre des activités ( bénéficiares, autorités administratives,  traditionnelles et partenaires humanitaires)"/>
    <s v="l'assistance des ménages très pauvres et pauvres à travres  le cash inconditionnel et l'iniative de l'enrolement des beneficiaires par l'outils SCOPE permet à CARE de se positionner comme lead dans la zone"/>
    <s v="la mise en place des comités de gestion de plainte et feedbact dans les sites/villages d'intervention, l'implication des autorités traditionnelles et administratives dans les differentes activités  ont permis d'atteindre l'objectif fixé  d'une part et  renforcer la rédevabilité de CARE vis-à-vis des populations bénéficiaires d'autre part"/>
    <s v="la vulgarisation des bonnes pratiques d'hygiène alimentaire et les  démonstrations culinaires à base des produits agricoles locaux"/>
    <s v=" Des stratégies mises en place par les deux  organisations en consortium à travers les  missions conjointes et l'utilisation de meme outil pour la  collecte des données de terrain permettent de mener à bien les activités sur le terrain"/>
    <m/>
    <n v="28075"/>
    <n v="34875"/>
    <n v="1.2422083704363314"/>
    <n v="0.52373998219056095"/>
    <n v="0.50999283154121866"/>
    <n v="14704"/>
    <n v="17786"/>
    <n v="1"/>
    <n v="28075"/>
    <n v="34875"/>
    <n v="1.2422083704363314"/>
    <n v="1"/>
    <n v="26375"/>
    <n v="26375"/>
    <n v="1"/>
    <s v=""/>
    <n v="0"/>
    <n v="0"/>
    <s v=""/>
    <s v=""/>
    <n v="0"/>
    <n v="0"/>
    <s v=""/>
    <s v=""/>
    <n v="0"/>
    <n v="0"/>
    <s v=""/>
    <s v="2. Sensitive"/>
    <s v="2. Accommodating"/>
    <s v="2. Sensitive"/>
    <s v="It tested new ways for fighting poverty and measured results of innovation"/>
    <s v="Little or no advocacy"/>
    <s v="It linked and worked with strategic alliances and partners to take tested and effective solutions to scale"/>
  </r>
  <r>
    <x v="11"/>
    <x v="2"/>
    <n v="2845"/>
    <s v="Projet Femme, Elevage et Activités Génératrices de Revenus"/>
    <s v="Chad"/>
    <s v="TD496"/>
    <s v="CARE France"/>
    <s v="Government"/>
    <s v="Other"/>
    <s v="Azzedine ALAIA"/>
    <m/>
    <m/>
    <m/>
    <m/>
    <m/>
    <m/>
    <m/>
    <m/>
    <m/>
    <m/>
    <m/>
    <m/>
    <m/>
    <m/>
    <m/>
    <m/>
    <m/>
    <m/>
    <m/>
    <m/>
    <m/>
    <m/>
    <m/>
    <m/>
    <m/>
    <m/>
    <m/>
    <m/>
    <m/>
    <m/>
    <m/>
    <m/>
    <m/>
    <m/>
    <m/>
    <m/>
    <m/>
    <m/>
    <m/>
    <m/>
    <m/>
    <m/>
    <m/>
    <m/>
    <m/>
    <d v="2015-05-01T00:00:00"/>
    <d v="2018-05-31T00:00:00"/>
    <m/>
    <s v="Development Food &amp; Nutrition Security and Resilience to Climate Change"/>
    <n v="454279.87"/>
    <s v="Iretie Lokonon"/>
    <s v="DIRECTRICE PROGRAMME"/>
    <s v="iretie.lokonon@care.ca"/>
    <s v="Perpetue Nombre Yamma"/>
    <s v="COORDONNATRICE RACC"/>
    <s v="coordo.racc@care-tchad.org"/>
    <s v="NO"/>
    <s v="YES"/>
    <s v="NO"/>
    <s v="Ameliorer de manière durable la securitéalimentaire des menages tenus par les femmes dans la region de Wadi Fira"/>
    <s v="Sub-National"/>
    <s v="Le projet est logé dans la région du Wadi Fira, Département de biltine, Canton de Mimi Hadjer sur 18 villages"/>
    <s v=" Femmes chefs de menages agropastoraux des zones rurales ayant atteint le seuil de protection de leurs moyens d'existences"/>
    <n v="500"/>
    <n v="0"/>
    <n v="500"/>
    <n v="2100"/>
    <n v="1400"/>
    <n v="3500"/>
    <s v="Les participants directs du projet sont 500 femmes agropasteurs chefs de menages identifiées suite aux inondations de 2012 dans le canton.  Par contre les beneficiaires indirects sont les membres des ménages dirigés par les femmes bénéficiaires directs  dont la moyenne dans le departement est estimée à 7 personnes par ménage."/>
    <m/>
    <m/>
    <m/>
    <m/>
    <m/>
    <m/>
    <m/>
    <m/>
    <m/>
    <m/>
    <m/>
    <m/>
    <m/>
    <m/>
    <m/>
    <m/>
    <m/>
    <m/>
    <m/>
    <m/>
    <m/>
    <m/>
    <m/>
    <m/>
    <m/>
    <m/>
    <m/>
    <m/>
    <m/>
    <m/>
    <m/>
    <m/>
    <m/>
    <m/>
    <m/>
    <m/>
    <m/>
    <m/>
    <m/>
    <m/>
    <m/>
    <m/>
    <m/>
    <m/>
    <m/>
    <m/>
    <m/>
    <m/>
    <m/>
    <m/>
    <m/>
    <m/>
    <m/>
    <m/>
    <m/>
    <m/>
    <m/>
    <m/>
    <m/>
    <m/>
    <n v="827"/>
    <n v="0"/>
    <n v="827"/>
    <n v="3473"/>
    <n v="2316"/>
    <n v="5789"/>
    <s v="YES"/>
    <n v="492"/>
    <n v="0.99"/>
    <n v="3444"/>
    <s v="YES"/>
    <n v="492"/>
    <n v="0.99"/>
    <n v="3444"/>
    <m/>
    <m/>
    <m/>
    <m/>
    <m/>
    <m/>
    <m/>
    <m/>
    <m/>
    <m/>
    <m/>
    <m/>
    <s v="YES"/>
    <n v="128"/>
    <n v="1"/>
    <n v="896"/>
    <s v="YES"/>
    <n v="827"/>
    <n v="1"/>
    <n v="5789"/>
    <m/>
    <m/>
    <m/>
    <m/>
    <m/>
    <m/>
    <m/>
    <m/>
    <m/>
    <m/>
    <m/>
    <m/>
    <m/>
    <m/>
    <m/>
    <m/>
    <m/>
    <m/>
    <m/>
    <m/>
    <m/>
    <m/>
    <m/>
    <m/>
    <m/>
    <m/>
    <m/>
    <m/>
    <m/>
    <m/>
    <m/>
    <m/>
    <s v="YES"/>
    <n v="827"/>
    <n v="1"/>
    <n v="5789"/>
    <m/>
    <m/>
    <m/>
    <m/>
    <m/>
    <s v="NO"/>
    <m/>
    <m/>
    <m/>
    <s v="YES"/>
    <s v="March"/>
    <n v="2018"/>
    <m/>
    <x v="1"/>
    <s v="NO"/>
    <s v="NO"/>
    <s v="YES"/>
    <s v="NO"/>
    <s v="NO"/>
    <s v="NO"/>
    <s v="NO"/>
    <s v="YES"/>
    <m/>
    <x v="2"/>
    <s v="Structuration des groupements pour une meilleure rentabilité des activités qui se faisaient par le passé de façon individuelle"/>
    <x v="1"/>
    <s v="Dans le cadre de la mise en œuvre de cette action les alliances etaient etablie a plusieurs niveau notamment avec les services deconcentré de l'Etat  ( secteur de l'élélevage, direction des protection des vegetaux et du conditionnement) avec une forte collaboration de la communauté locale ainsi que les autorités administratives et traditionnels"/>
    <x v="0"/>
    <x v="0"/>
    <s v="YES"/>
    <x v="0"/>
    <x v="0"/>
    <x v="0"/>
    <x v="0"/>
    <n v="4"/>
    <x v="1"/>
    <x v="2"/>
    <x v="2"/>
    <x v="1"/>
    <x v="1"/>
    <x v="4"/>
    <n v="2"/>
    <x v="1"/>
    <x v="2"/>
    <x v="1"/>
    <x v="1"/>
    <x v="3"/>
    <n v="2"/>
    <x v="0"/>
    <x v="0"/>
    <n v="3"/>
    <s v="Local government(s)"/>
    <s v="Grassroots organization(s)"/>
    <s v="Grassroots organization(s)"/>
    <x v="1"/>
    <m/>
    <s v="Le projet dans sa globalité a contribuer a l'atteinte de la vision 2020 de CARE  par le developpement d'une dynamique organisationnelle feminine a travers les groupements VSLA . Il ya eu une tranformation dans la communauté en ce qui conserne le volet genre dans la mentalité de la communauté et une prise de conscience collective dans la responsabilité des activites productive et reprodutive."/>
    <s v="Les progres sont enregistrés au sein des communautés beneficiaires par la vulgarisation des varietés des semences ameliorées, la diversification des cultures et l'augmentation des rendements agricoles."/>
    <s v="Le volet production agricole basée sur les techniques innovantes (itinéraires techniques, structuration des bénéficiaires en groupements, techniques de conduite des troupaux)costitut un cadre d'ecole d'agriculture pour les beneficiaires et non beneficiaires. En meme temps ces groupements communautaires qui developpenet les champs, exercent aussi les activités VSLA dont les seuils de de cotisations leur ont permis de passer de la phase intensive à la phase de developpement"/>
    <s v="Les groupements VSLA s'octroient des credits pour permettre aux membres de developper des AGR. Le remboursement de se fait avec un taux d'interet de 10% pour renflouer la caisse de chaque groupement VSLA"/>
    <s v="Consernant les leçons apprises un accent particulier doit etre mis sur les produits pytho-sanitaires pour permetre  aux groupements de combattre les ennemis de culture et d'avoir un bon rendement ;"/>
    <s v="pour rendre coherent les fonctionnements des groupements VSLA un agent villageois doit avoir sous sa responsabilité un groupement pour faciliter le suivi de la cotisation des membres."/>
    <s v="L'incitation cash pour les activités d'alphabétisation a donné de bons résultats"/>
    <s v="Dans le cadre de la mise en ouevre des activites du projet ALAIA, plusieurs activités ont été meneées, l'education, l'agriculture, des groupements VSLA , la fabrication des blocs nutritionnelles, l'organisation des foires au petits ruminants. Des resitances se developpent sur l'approche relative à la fabrication de bloc nutritionnel. Des sensibilisations sont encours pour permettre à la communauté de s'adonner à cette approche qui est prometteuse"/>
    <m/>
    <n v="827"/>
    <n v="5789"/>
    <n v="7"/>
    <n v="1"/>
    <n v="0.59993090343755395"/>
    <n v="827"/>
    <n v="3473"/>
    <s v=""/>
    <n v="0"/>
    <n v="0"/>
    <s v=""/>
    <n v="1"/>
    <n v="827"/>
    <n v="5789"/>
    <n v="7"/>
    <s v=""/>
    <n v="0"/>
    <n v="0"/>
    <s v=""/>
    <s v=""/>
    <n v="0"/>
    <n v="0"/>
    <s v=""/>
    <n v="1"/>
    <n v="827"/>
    <n v="5789"/>
    <n v="7"/>
    <s v="2. Sensitive"/>
    <s v="1. Tokenistic"/>
    <s v="1. Neutral"/>
    <s v="It tested new ways for fighting poverty and measured results of innovation"/>
    <s v="Moderate advocacy"/>
    <s v="It linked and worked with strategic alliances and partners to take tested and effective solutions to scale"/>
  </r>
  <r>
    <x v="11"/>
    <x v="2"/>
    <n v="2852"/>
    <s v="Protection et solutions mixtes pour les refugiés centrafricains vivant au sud du Tchad"/>
    <s v="Chad"/>
    <m/>
    <s v="CARE Canada"/>
    <s v="Multilateral agency"/>
    <s v="UN - United Nations agencies/offices"/>
    <m/>
    <m/>
    <m/>
    <m/>
    <m/>
    <m/>
    <m/>
    <m/>
    <m/>
    <m/>
    <m/>
    <m/>
    <m/>
    <m/>
    <m/>
    <m/>
    <m/>
    <m/>
    <m/>
    <m/>
    <m/>
    <m/>
    <m/>
    <m/>
    <m/>
    <m/>
    <m/>
    <m/>
    <m/>
    <m/>
    <m/>
    <m/>
    <m/>
    <m/>
    <m/>
    <m/>
    <m/>
    <m/>
    <m/>
    <m/>
    <m/>
    <m/>
    <m/>
    <m/>
    <m/>
    <m/>
    <d v="2016-01-01T00:00:00"/>
    <d v="2016-12-31T00:00:00"/>
    <m/>
    <s v="Humanitarian Other"/>
    <n v="154080"/>
    <s v="Nénodji Celine"/>
    <s v="Coordinatrice Pillier Droit Empowerment des femmes et des filles"/>
    <s v="coordo.deffi@care-tchad.org"/>
    <s v="Iretie Lokonon"/>
    <s v="ACD- Program"/>
    <s v="iretie.lokonon@care-tchad.org"/>
    <s v="YES"/>
    <s v="NO"/>
    <s v="NO"/>
    <s v="Protection et solutions mixtes pour les refugiés centrafricains vivant au sud du Tchad"/>
    <s v="Sub-National"/>
    <s v="Le projet « Protection et solutions mixtes pour les réfugiés Centrafricains vivant au sud du Tchad » est mis en œuvre dans les régions du Logone Oriental, du Moyen Chari, Mandoul  et du Salamat notamment à travers les bureaux de Goré, de Maro et de Haraze au bénéfice des réfugiés  et population hôtes installés dans les camps et les villages d’installation  environnant : Doholo, Dosseyé, Gondjé ,Amboko, Vom  dans les Département de la Nya Pendé et Baibokoum au Logone Oriental , 10 villages de Moissala dans le Département de Barh Sara:Bekourou, Dilingala,Doubadene5, Koldaga,Dembo,Bata1, Doubadene4;Guidikouti,kaba3 et Mbetikandja, Maro dans  le Département de la grande Sido et à Haraze dans le departement d'Haraze Magaye."/>
    <s v="Au début de la mise en œuvre du présent projet, le nombre total des personnes relevant de la compétence de CARE et du HCR qui vivent dans les 5 camps et 19 villages hôtes, enregistrées dans la base des données ProGres est de 89 114 dont 15 224 arrivées en 2014. Cependant, au 30 Septembre 2016, avec les résultats de la biométrie et avec l'arrivé des refugiés de Vom, ce nombre est revu à 65,584 et réparti entre les 6 camps et villages hôtes"/>
    <n v="47961"/>
    <n v="41153"/>
    <n v="89114"/>
    <n v="287766"/>
    <n v="246918"/>
    <n v="534684"/>
    <s v="Les beneficiaires sont calculés sur la base des données de  la statistique du HCR en date du 30 Septembre 2016, tandisque les bénéficiaires sont la population hotes de la zone du projet."/>
    <m/>
    <n v="35222"/>
    <n v="30362"/>
    <n v="65584"/>
    <n v="287766"/>
    <n v="246918"/>
    <n v="534684"/>
    <s v="NO"/>
    <m/>
    <m/>
    <m/>
    <s v="YES"/>
    <n v="1730"/>
    <n v="0.6"/>
    <n v="10380"/>
    <s v="NO"/>
    <m/>
    <m/>
    <m/>
    <s v="YES"/>
    <n v="7477"/>
    <n v="0.25"/>
    <n v="18715"/>
    <s v="YES"/>
    <n v="632"/>
    <n v="0.55000000000000004"/>
    <n v="34780"/>
    <s v="YES"/>
    <n v="1772"/>
    <n v="0.59499999999999997"/>
    <n v="10550"/>
    <m/>
    <m/>
    <m/>
    <m/>
    <s v="Yes"/>
    <n v="7477"/>
    <n v="0.224"/>
    <n v="16715"/>
    <s v="YES"/>
    <n v="9807"/>
    <n v="0.65"/>
    <n v="63780"/>
    <m/>
    <m/>
    <m/>
    <m/>
    <s v="YES"/>
    <n v="7073"/>
    <n v="0.55000000000000004"/>
    <n v="7073"/>
    <s v="YES"/>
    <n v="63780"/>
    <n v="0.52"/>
    <n v="524684"/>
    <m/>
    <m/>
    <m/>
    <m/>
    <m/>
    <m/>
    <m/>
    <m/>
    <m/>
    <m/>
    <m/>
    <m/>
    <m/>
    <m/>
    <m/>
    <m/>
    <m/>
    <m/>
    <m/>
    <m/>
    <m/>
    <m/>
    <m/>
    <m/>
    <m/>
    <m/>
    <m/>
    <m/>
    <m/>
    <m/>
    <m/>
    <m/>
    <m/>
    <m/>
    <m/>
    <m/>
    <m/>
    <m/>
    <m/>
    <m/>
    <m/>
    <m/>
    <m/>
    <m/>
    <m/>
    <m/>
    <m/>
    <m/>
    <m/>
    <m/>
    <m/>
    <m/>
    <m/>
    <m/>
    <m/>
    <m/>
    <m/>
    <m/>
    <m/>
    <m/>
    <m/>
    <m/>
    <m/>
    <m/>
    <m/>
    <m/>
    <m/>
    <m/>
    <m/>
    <m/>
    <m/>
    <m/>
    <m/>
    <m/>
    <m/>
    <m/>
    <m/>
    <m/>
    <m/>
    <m/>
    <s v="YES"/>
    <s v="December"/>
    <n v="2016"/>
    <s v="YES"/>
    <s v="NO"/>
    <m/>
    <m/>
    <s v="Le projet etant finis en fin decembre 2016 donc nous n'avons pas planifié des evaluations futures"/>
    <x v="1"/>
    <s v="NO"/>
    <s v="YES"/>
    <s v="YES"/>
    <s v="YES"/>
    <s v="NO"/>
    <s v="YES"/>
    <s v="NO"/>
    <s v="NO"/>
    <m/>
    <x v="2"/>
    <s v="Gestion des points d'eau, l'assainissement dans les camps et les points d'eau, la reconnaissance juridique des associations des usagers de l'eau, la mise en place de la production des semences améliorées, l'auto prise en charge à travers la production agricole, le renforcement des capacités techniques au niveau de l'élévage et de l'agriculture, l'appuis au PBS à travers la foire des petits ruminants. L'octroi de cash transfert conditionnel et la mise en place des groupes de VSLA pour renforcer la resilience des femmes membres et  developper la capacité de leadership feminin, la formation des jeunes filles refugiées sur la fabrication des serviettes hygiéniques recyclables  permettant à la fois d’assurer le bien être psychosocial, l’hygiène corporelle et surtout une ouverture aux opportunités économiques."/>
    <x v="1"/>
    <s v="Le projet a travaillé les differents acteurs (l'Etat et le secteur privé), à differents niveaux (au moins reliant la communauté avec les changements au niveau sous national). La distribution de cash transfert conditionnel a permis aux beneficiaires de prendre en charge leurs besoins éssentiels et le VSLA qui est le moteur d'autopromotion"/>
    <x v="1"/>
    <x v="0"/>
    <s v="YES"/>
    <x v="0"/>
    <x v="0"/>
    <x v="0"/>
    <x v="0"/>
    <n v="4"/>
    <x v="1"/>
    <x v="1"/>
    <x v="1"/>
    <x v="1"/>
    <x v="1"/>
    <x v="1"/>
    <n v="4"/>
    <x v="0"/>
    <x v="0"/>
    <x v="0"/>
    <x v="0"/>
    <x v="0"/>
    <n v="0"/>
    <x v="1"/>
    <x v="4"/>
    <m/>
    <s v="Local alliance(s)/Platform(s)/Network(s) of  NGOs/CSOs"/>
    <s v="National government"/>
    <s v="Local alliance(s)/Platform(s)/Network(s) of  NGOs/CSOs"/>
    <x v="0"/>
    <s v="L'atelier sur l'aunomisation des refugiés, l'implication des délégués regionaux dans nos activités, le renforcement des capcités des leaders communautaires sur l'approche ATPC, la reconnaissance juridique des usagers de l'eau."/>
    <s v="La methodologie de VSLA s'est revelée etre un franc succés dans la lutte contre la pauvreté et les faits sortir de la vulnérabilité. Selon les entretiens ménées avec les femmes de Dosseye qui participent au VSLA, &quot;plus de 64% des menages mangent 2 fois par jours contre 34% en 2014, toutes les femmes bénéficiaires ont pu maintenir leurs enfants à l'école. 43,7% des femmes ont au moins une ou deux activités génératrice de revenues: car elle font l'élévage des petits ruminants et d'autres ont acheté un boeuf."/>
    <s v="L'engagement des leaders religieux, des autorités tradionnelles et administratives a été tres efficace dans le domaine de la prevention et de lutte contre les SGBV"/>
    <s v="Le renforcement et le redynamisation des comités de gestion de point d'eau à travers la mise à disposition d'outils de gestion du recouvrement du cout de l'eau. La securisation des fonds issus du recouvrement à travers l'ouverture des comptes bancaires de chaque camps excepter le camp de Moyo par manque d'institution banquaire."/>
    <s v="La methodologie de VSLA s'est revelée etre un franc succés dans la lutte contre la pauvreté et les faits sortir de la vulnérabilité. Selon les entretiens ménées avec les femmes de Dosseye qui participent au VSLA, &quot;plus de 64% des menages mangent 2 fois par jours contre 34% en 2014, toutes les femmes bénéficiaires ont pu maintenir leurs enfants à l'école. 43,7% des femmes ont au moins une ou deux activités génératrice de revenues: car elle font l'élévage des petits ruminants et d'autres ont acheté un boeuf."/>
    <s v="La néccessité de renforcer les capacités de population locales et leur mécanisme de reponse face aux mouvements de la population fréquent dans la zone."/>
    <s v="La connaissance du domaine d'intervention de Care par tous les intervenants et les autorités."/>
    <s v="Le changement de comportement des beneficiaires par rapport aux questions de SGBV."/>
    <m/>
    <m/>
    <n v="65584"/>
    <n v="534684"/>
    <n v="8.1526591851671135"/>
    <n v="0.53705171993169065"/>
    <n v="0.5381982628992078"/>
    <n v="35222"/>
    <n v="287766"/>
    <n v="1"/>
    <n v="65584"/>
    <n v="534684"/>
    <n v="8.1526591851671135"/>
    <n v="1"/>
    <n v="7477"/>
    <n v="18715"/>
    <n v="2.5030092283001202"/>
    <s v=""/>
    <n v="0"/>
    <n v="0"/>
    <s v=""/>
    <n v="1"/>
    <n v="632"/>
    <n v="34780"/>
    <n v="55.031645569620252"/>
    <s v=""/>
    <n v="0"/>
    <n v="0"/>
    <s v=""/>
    <s v="2. Sensitive"/>
    <s v="2. Accommodating"/>
    <s v="No marker score"/>
    <s v="It tested new ways for fighting poverty and measured results of innovation"/>
    <s v="Moderate advocacy"/>
    <s v="It linked and worked with strategic alliances and partners to take tested and effective solutions to scale"/>
  </r>
  <r>
    <x v="11"/>
    <x v="2"/>
    <n v="2859"/>
    <s v="Soutien alimentaire additionnel aux enfants à risque ou affectés par la malnutrition dans le WADI-FIRA"/>
    <s v="Chad"/>
    <s v="TD 514"/>
    <s v="CARE Canada"/>
    <s v="Government"/>
    <s v="UN - United Nations agencies/offices"/>
    <s v="World Food Programme (WFP)"/>
    <m/>
    <m/>
    <m/>
    <m/>
    <m/>
    <m/>
    <m/>
    <m/>
    <m/>
    <m/>
    <m/>
    <m/>
    <m/>
    <m/>
    <m/>
    <m/>
    <m/>
    <m/>
    <m/>
    <m/>
    <m/>
    <m/>
    <m/>
    <m/>
    <m/>
    <m/>
    <m/>
    <m/>
    <m/>
    <m/>
    <m/>
    <m/>
    <m/>
    <m/>
    <m/>
    <m/>
    <m/>
    <m/>
    <m/>
    <m/>
    <m/>
    <m/>
    <m/>
    <m/>
    <m/>
    <d v="2016-05-15T00:00:00"/>
    <d v="2016-10-15T00:00:00"/>
    <m/>
    <s v="Humanitarian Food &amp; Nutrition Security and Resilience to Climate Change"/>
    <n v="198000"/>
    <s v="Pierre Valiquette"/>
    <s v="Directeur Pays"/>
    <s v="pierre.valiquette@care.ca"/>
    <m/>
    <m/>
    <m/>
    <s v="YES"/>
    <s v="NO"/>
    <s v="NO"/>
    <s v="Contribuer au renforcement de la résilience des ménages très pauvres et pauvres à risque de malnutrition pour faire face aux chocs futurs. Appuyer les ménages Très pauvres et Pauvres en déficit de survie et de protection de leurs moyens d'existence et à risque de malnutrition. Cette initiative couvrira leurs besoins alimentaires et non alimentaires essentiels pendant la période de soudure 2016 afin d'améliorer leur sécurité alimentaire et nutritionnelle, dans la région du Wadi Fira, Département de Biltine, Sous-préfecture d’Amzoer : Canton Wadi Bouboula, Aboucharib1 et Aboucharib 2"/>
    <s v="Sub-National"/>
    <s v="CHAD; Wadi Fira; Départements de Biltine, Sous-préfecture d’Amzoer : Canton Wadi Bouboula, Aboucharib1 et Aboucharib 2"/>
    <s v="Bénéficiaires du cash: 3 600 ménages (21600 individus) vulnérables"/>
    <n v="11232"/>
    <n v="10368"/>
    <n v="21600"/>
    <n v="23920"/>
    <n v="22080"/>
    <n v="46000"/>
    <s v="les participants directs sont les membres des ménages bénéficiaires des cash et les membres des organisations bénéficiaires des formations. Le calcul du nombre des participants directs a été sur la base de comptage individuel des membres de ménages et les personnes ayant bénéficiées des formations ( ceux qui ne sont pas comptabilisés parmi les bénéficiaires de cash). les participants indirects sont l'ensemble de la population de la population de tous les villages retenus pour bénéficier de l'assistance alimentaire et cela est estimé à 46000"/>
    <m/>
    <n v="11232"/>
    <n v="10368"/>
    <n v="21600"/>
    <n v="23920"/>
    <n v="22080"/>
    <n v="46000"/>
    <s v="NO"/>
    <m/>
    <m/>
    <m/>
    <s v="YES"/>
    <n v="21600"/>
    <n v="0.52"/>
    <n v="46000"/>
    <s v="NO"/>
    <m/>
    <m/>
    <m/>
    <s v="YES"/>
    <n v="21600"/>
    <n v="0.52"/>
    <n v="46000"/>
    <s v="NO"/>
    <m/>
    <m/>
    <m/>
    <s v="NO"/>
    <m/>
    <m/>
    <m/>
    <s v="NO"/>
    <m/>
    <m/>
    <m/>
    <s v="NO"/>
    <m/>
    <m/>
    <m/>
    <s v="NO"/>
    <m/>
    <m/>
    <m/>
    <s v="NO"/>
    <m/>
    <m/>
    <m/>
    <s v="NO"/>
    <m/>
    <m/>
    <m/>
    <s v="NO"/>
    <m/>
    <m/>
    <m/>
    <m/>
    <m/>
    <m/>
    <m/>
    <m/>
    <m/>
    <m/>
    <m/>
    <m/>
    <m/>
    <m/>
    <m/>
    <m/>
    <m/>
    <m/>
    <m/>
    <m/>
    <m/>
    <m/>
    <m/>
    <m/>
    <m/>
    <m/>
    <m/>
    <m/>
    <m/>
    <m/>
    <m/>
    <m/>
    <m/>
    <m/>
    <m/>
    <m/>
    <m/>
    <m/>
    <m/>
    <m/>
    <m/>
    <m/>
    <m/>
    <m/>
    <m/>
    <m/>
    <m/>
    <m/>
    <m/>
    <m/>
    <m/>
    <m/>
    <m/>
    <m/>
    <m/>
    <m/>
    <m/>
    <m/>
    <m/>
    <m/>
    <m/>
    <m/>
    <m/>
    <m/>
    <m/>
    <m/>
    <m/>
    <m/>
    <m/>
    <m/>
    <m/>
    <m/>
    <m/>
    <m/>
    <m/>
    <m/>
    <m/>
    <m/>
    <m/>
    <m/>
    <m/>
    <m/>
    <m/>
    <s v="NO"/>
    <m/>
    <m/>
    <s v="NO"/>
    <s v="NO"/>
    <m/>
    <m/>
    <m/>
    <x v="1"/>
    <s v="NO"/>
    <s v="NO"/>
    <s v="YES"/>
    <s v="YES"/>
    <s v="YES"/>
    <s v="NO"/>
    <s v="NO"/>
    <m/>
    <m/>
    <x v="2"/>
    <s v="Il s'agissait d'inciter la population vulnérable en plus de l'achat de la nourriture, à aussi investir le cash reçu dans les biens productifs tels que le matériel agricole, les sémences et aussi aà initier des AGR telles que l'élevage des petits ruminants."/>
    <x v="1"/>
    <s v="Durant ce projet une étude sur les impacts du transfert monetaires a été réalisée et les résultats de cette étude ont été diffusés dans toutes les instances de rencontre telles que le cluster securité alimentaire, au bureau ECHO et à l'alliance des ONG pratiquant les transferts monetaires"/>
    <x v="0"/>
    <x v="0"/>
    <s v="YES"/>
    <x v="0"/>
    <x v="0"/>
    <x v="0"/>
    <x v="0"/>
    <n v="4"/>
    <x v="1"/>
    <x v="1"/>
    <x v="1"/>
    <x v="1"/>
    <x v="1"/>
    <x v="1"/>
    <n v="4"/>
    <x v="1"/>
    <x v="1"/>
    <x v="1"/>
    <x v="1"/>
    <x v="1"/>
    <n v="3"/>
    <x v="2"/>
    <x v="1"/>
    <m/>
    <s v="Local government(s)"/>
    <m/>
    <m/>
    <x v="3"/>
    <m/>
    <m/>
    <s v="L'intégration des autorités dans tout le processus de mise en oeuvre des activités, la transparence et la communication juste ont permis de résoudre des litiges les équipes et la communauté."/>
    <s v="Le choix de plus d'animatrices que d'animateurs dans les équipes a facilité la communication entre les bénéficiaires et le staff car culturellement dans cette zone beaucoup islamisée les femmes ne s'adressent à des hommes inconnus même en présence de leur mari."/>
    <s v="La distribution du cash se deroule les jours des marchés, ce qui permet aux bénéficiaires une fois le cash reçu de se rendre directement sur le marché pour faire ses achats avant de rentrer à la maison. A cela s'ajoute aussi des séances de sensibilisation et de suivi des prix des denrées alimentaires sur les marché de la zone d(intervention afin d'éviter que les commercants augmentent les prix durant les périodes de distribution."/>
    <s v="Le ciblage prend énormément de temps et constitue la partie essentielle des projets d'assistance humanitaire. La durée de la période de soudure étant 3 mois de juillet à septembre pour la plupart des saisons. Il arrive parfois que le mois de juillet arrive et que le ciblage ne soit pas encore terminé et ce retard accusé joue sur le chronogramme des activités et pour la plupart du temps la période de soudure passe et les distributions sont toujours en cours. C'est une situation vécue et qui met une forte pression sur les équipes d'implémentation qui pour palier à cela font souvent recours à des raccourcis en ciblant des bénéficiaires qui ne sont pas nécessairement vulnérables. Pour ce faire un plaidoyer à l'endroit de l'état et des partenaires techniques et financiers afin de mettre en place au préalable une liste de bénéficiaires vulnérables de toutes les régions._x000a_Le ciblage doit se faire de façon biométrique avec reconnaissance faciale ou par empreintes du bénéficiaire cela permet de résoudre le problème des doublons, des homonymes et de la distribution du cash aux mauvais bénéficiaires."/>
    <s v="La production de la farine enrichie a joué un rôle surtout pendant les retards et les insuffisances des vivres PAM. Les mères payaient les farines enrichies pour palier ce gap. Pour cela la mise en place des unités semi industrielles de productions de farine enrichie dans les zones d'interventions (par exemple une unité à Abéché ou à Biltine) parait opportun. Les vivres à distribuer aux enfants et aux femmes enceintes seront achetés auprès de ces unités ce qui permettra de minimiser les fréquentes ruptures d'intrants et les retards d'approvisionnements due au fait que ces vivres sont commandés à l'étranger."/>
    <s v="Les communautés de la région de Wadi Fira ne fréquente pas les centres de santé ce qui fait que les femmes enceintes ou allaitantes n'observent pas les consultations pré et post natales et surtout les vaccins ne sont pas administrés aux enfants. Et au cours des distributions de cash et de vivres dont les bénéficiaires sont essentiellement les femmes, les agents de santé profitent de ces rassemblement pour faire les consultations pré et post natales et administrer les vaccins ce qui constitue un bel exemple d'intégration."/>
    <s v="Il faut ajouter que cette année les bénéficiaires ont investi une partie de leur cash dans les biens productifs. Ce qui constitue des investissements qui leurs permettront d'être relevés précocement et de tendre vers la résilience."/>
    <s v="i) Enquête SMART Unicef Août/Sept 2015;_x000a_ii) Situation de la campagne agro-pastorale 2015-2016, rapport ONDR Biltine (Octobre 2016);_x000a_iii) Tchad Perspectives sur la sécurité Alimentaire Oct. 2015 à mars 2016 &quot; FEWS NET&quot;;_x000a_iv) Analyse du Cadre Harmonisé d'identification des zones à risque et des populations vulnérables au Sahel et en Afrique de l'Ouest (CH-CILSS nov. 2015);_x000a_v) Résultats préliminaires de la campagne agricole et l'analyse consensuelle de la situation alimentaire et nutritionnelle (CASAGC Novembre 2015); vi) Enquête Nationale sur la sécurité alimentaire des ménages ruraux ENSA, (SISAAP-PAM,Oct 2015); vii) Outcome Analysis AEM, (Novembre 2015);_x000a_vi) PDM's CARE Tchad; ix) Etude élargie de la vulnérabilité au changement climatique et de réduction des risques face aux chocs futurs ( CARE Tchad février 2015); Rapport suivi du marché au Tchad ( PAM, mai 2015);_x000a_vii) Screening Nutritionnel chez les enfants de 6 à 59 mois, (CARE, Août 2015)._x000a_viii) Rapport final PAM 2016_x000a_ix) Etude des impacts des Programmes de Transfert monétaires sur les ménages, Decembre 2016"/>
    <n v="21600"/>
    <n v="46000"/>
    <n v="2.1296296296296298"/>
    <n v="0.52"/>
    <n v="0.52"/>
    <n v="11232"/>
    <n v="23920"/>
    <n v="1"/>
    <n v="21600"/>
    <n v="46000"/>
    <n v="2.1296296296296298"/>
    <n v="1"/>
    <n v="21600"/>
    <n v="46000"/>
    <n v="2.1296296296296298"/>
    <s v=""/>
    <n v="0"/>
    <n v="0"/>
    <s v=""/>
    <s v=""/>
    <n v="0"/>
    <n v="0"/>
    <s v=""/>
    <s v=""/>
    <n v="0"/>
    <n v="0"/>
    <s v=""/>
    <s v="2. Sensitive"/>
    <s v="2. Accommodating"/>
    <s v="2. Sensitive"/>
    <s v="It tested new ways for fighting poverty and measured results of innovation"/>
    <s v="Moderate advocacy"/>
    <s v="It linked and worked with strategic alliances and partners to take tested and effective solutions to scale"/>
  </r>
  <r>
    <x v="11"/>
    <x v="2"/>
    <n v="2848"/>
    <s v="Support to the most vulnerable households affected by the successive food crisis in WadiFira"/>
    <s v="Chad"/>
    <s v="TD500"/>
    <s v="CARE USA"/>
    <s v="Government"/>
    <s v="Government - US"/>
    <s v="OFDA"/>
    <m/>
    <m/>
    <m/>
    <m/>
    <m/>
    <m/>
    <m/>
    <m/>
    <m/>
    <m/>
    <m/>
    <m/>
    <m/>
    <m/>
    <m/>
    <m/>
    <m/>
    <m/>
    <m/>
    <m/>
    <m/>
    <m/>
    <m/>
    <m/>
    <m/>
    <m/>
    <m/>
    <m/>
    <m/>
    <m/>
    <m/>
    <m/>
    <m/>
    <m/>
    <m/>
    <m/>
    <m/>
    <m/>
    <m/>
    <m/>
    <m/>
    <m/>
    <m/>
    <m/>
    <m/>
    <d v="2015-09-01T00:00:00"/>
    <d v="2016-08-31T00:00:00"/>
    <m/>
    <s v="Humanitarian Food &amp; Nutrition Security and Resilience to Climate Change"/>
    <n v="945775.76"/>
    <s v="IRETIE LOKONON"/>
    <s v="ACD/Programmes"/>
    <s v="iretie.lokonon@care.ca"/>
    <s v="Sue Gloor"/>
    <s v="Programmes"/>
    <s v="sgloor@care.org"/>
    <s v="YES"/>
    <s v="NO"/>
    <s v="NO"/>
    <s v="Soutenir les ménages les plus vulnérables affectées par les chocs successifs de la bande sahélienne du Tchad pour récupérer et protéger leurs moyens de subsistance pour atteindre la sécurité alimentaire et les niveaux nutritionnels adéquats."/>
    <s v="Sub-National"/>
    <s v="Tchad, Région de Wadi-Fira, Département de Biltine et de Kobé, sous-préfecture Rurale de Biltine et de Kobé (Canton Margouille, Kobé sud 1, Mimi-Hadjer, Ourba,"/>
    <s v="Le projet a touché les groupes cibles suivants : les femmes, les filles, les  hommes et les enfants de 0 à 59 mois"/>
    <n v="25060"/>
    <n v="16706"/>
    <n v="41766"/>
    <n v="6718"/>
    <n v="243"/>
    <n v="6961"/>
    <s v="Les participants directs de l'action sont les ménages pauvres et très pauvres de la zone d'intervention, ils ont calculé sur la base de la méthodologie HEA. Les bénéficiaires indirects sont les populations de la Région Wadi-Fira."/>
    <m/>
    <n v="7437"/>
    <n v="846"/>
    <n v="8283"/>
    <n v="25060"/>
    <n v="16706"/>
    <n v="41766"/>
    <m/>
    <m/>
    <m/>
    <m/>
    <m/>
    <m/>
    <m/>
    <m/>
    <m/>
    <m/>
    <m/>
    <m/>
    <s v="YES"/>
    <n v="4435"/>
    <n v="0.95499999999999996"/>
    <m/>
    <m/>
    <m/>
    <m/>
    <m/>
    <m/>
    <m/>
    <m/>
    <m/>
    <m/>
    <m/>
    <m/>
    <m/>
    <s v="Yes"/>
    <n v="3281"/>
    <n v="0.83699999999999997"/>
    <m/>
    <m/>
    <m/>
    <m/>
    <m/>
    <m/>
    <m/>
    <m/>
    <m/>
    <m/>
    <m/>
    <m/>
    <m/>
    <m/>
    <m/>
    <m/>
    <m/>
    <m/>
    <m/>
    <m/>
    <m/>
    <m/>
    <m/>
    <m/>
    <m/>
    <m/>
    <m/>
    <m/>
    <m/>
    <m/>
    <m/>
    <m/>
    <m/>
    <m/>
    <m/>
    <m/>
    <m/>
    <m/>
    <m/>
    <m/>
    <m/>
    <m/>
    <m/>
    <m/>
    <m/>
    <m/>
    <m/>
    <m/>
    <m/>
    <m/>
    <m/>
    <m/>
    <m/>
    <m/>
    <m/>
    <m/>
    <m/>
    <m/>
    <m/>
    <m/>
    <m/>
    <m/>
    <m/>
    <m/>
    <m/>
    <m/>
    <m/>
    <m/>
    <m/>
    <m/>
    <m/>
    <m/>
    <m/>
    <m/>
    <m/>
    <m/>
    <m/>
    <m/>
    <m/>
    <m/>
    <m/>
    <m/>
    <m/>
    <m/>
    <m/>
    <m/>
    <m/>
    <m/>
    <m/>
    <m/>
    <m/>
    <m/>
    <m/>
    <m/>
    <m/>
    <m/>
    <m/>
    <s v="YES"/>
    <s v="October"/>
    <n v="2016"/>
    <s v="YES"/>
    <s v="NO"/>
    <m/>
    <m/>
    <s v="Evaluatin finale du projet faisant recours à un consultant externe"/>
    <x v="1"/>
    <s v="NO"/>
    <s v="NO"/>
    <s v="YES"/>
    <s v="YES"/>
    <s v="NO"/>
    <s v="NO"/>
    <s v="NO"/>
    <s v="YES"/>
    <s v="Accès à la terre pour les femmes pauvres et très pauvres"/>
    <x v="2"/>
    <s v="Prise en compte des caste ou des personnes marginalisées par la société comme nos bénéficiaires qui représentent autour de 30%."/>
    <x v="1"/>
    <m/>
    <x v="0"/>
    <x v="0"/>
    <s v="YES"/>
    <x v="0"/>
    <x v="0"/>
    <x v="0"/>
    <x v="0"/>
    <n v="4"/>
    <x v="2"/>
    <x v="1"/>
    <x v="1"/>
    <x v="1"/>
    <x v="1"/>
    <x v="2"/>
    <n v="4"/>
    <x v="3"/>
    <x v="1"/>
    <x v="1"/>
    <x v="1"/>
    <x v="4"/>
    <n v="3"/>
    <x v="0"/>
    <x v="2"/>
    <m/>
    <s v="Local NGO(s)/CSO(s)"/>
    <s v="National government"/>
    <s v="Private sector"/>
    <x v="2"/>
    <m/>
    <s v="L'inmplication effective des groupes marginalisés dans les prises de décisions, à la participation dans les activités. Chose qui n'était pas possible avant ce projet."/>
    <s v="Les VSLA"/>
    <s v="Engagement des hommes dans l'intégration des castes dans la communauté"/>
    <s v="Participation des castes"/>
    <s v="La gouvernance locale à travers l'accès des femmes pauvres et très pauvres à la terre"/>
    <s v="La participation active des castes dans les prises de décisions au niveau communautaire"/>
    <m/>
    <m/>
    <m/>
    <n v="8283"/>
    <n v="41766"/>
    <n v="5.0423759507424846"/>
    <n v="0.89786309308221657"/>
    <n v="0.60000957716803138"/>
    <n v="7437"/>
    <n v="25060"/>
    <n v="1"/>
    <n v="8283"/>
    <n v="41766"/>
    <n v="5.0423759507424846"/>
    <n v="1"/>
    <n v="4435"/>
    <n v="0"/>
    <n v="0"/>
    <s v=""/>
    <n v="0"/>
    <n v="0"/>
    <s v=""/>
    <s v=""/>
    <n v="0"/>
    <n v="0"/>
    <s v=""/>
    <s v=""/>
    <n v="0"/>
    <n v="0"/>
    <s v=""/>
    <s v="2. Sensitive"/>
    <s v="4. Transformational"/>
    <s v="4. Transformative"/>
    <s v="It tested new ways for fighting poverty and measured results of innovation"/>
    <s v="Moderate advocacy"/>
    <s v="It linked and worked with strategic alliances and partners to take tested and effective solutions to scale"/>
  </r>
  <r>
    <x v="11"/>
    <x v="2"/>
    <n v="2850"/>
    <s v="Women on Move for Women"/>
    <s v="Chad"/>
    <s v="TD502"/>
    <s v="CARE UK"/>
    <s v="Corporation"/>
    <s v="Other"/>
    <s v="GlaxoSmithKline (GSK)"/>
    <m/>
    <m/>
    <m/>
    <m/>
    <m/>
    <m/>
    <m/>
    <m/>
    <m/>
    <m/>
    <m/>
    <m/>
    <m/>
    <m/>
    <m/>
    <m/>
    <m/>
    <m/>
    <m/>
    <m/>
    <m/>
    <m/>
    <m/>
    <m/>
    <m/>
    <m/>
    <m/>
    <m/>
    <m/>
    <m/>
    <m/>
    <m/>
    <m/>
    <m/>
    <m/>
    <m/>
    <m/>
    <m/>
    <m/>
    <m/>
    <m/>
    <m/>
    <m/>
    <m/>
    <m/>
    <d v="2015-11-01T00:00:00"/>
    <d v="2017-10-30T00:00:00"/>
    <m/>
    <s v="Humanitarian Sexual, Reproductive and Maternal Health (SRMH)"/>
    <n v="193136"/>
    <s v="Celine Nenodji"/>
    <s v="Coordonatrice DEFFI"/>
    <s v="coordo.deffi@care-tchad.org"/>
    <s v="Justin Mumbere"/>
    <s v="Chef de programme Sante"/>
    <s v="pm.sante@care-tchad.org"/>
    <s v="YES"/>
    <s v="YES"/>
    <s v="YES"/>
    <s v="Contribuer a la reduction de la mortalite maternelle et infantile"/>
    <s v="Regional"/>
    <s v="District santiare de Gore (Dans la Region du Logone Oriental) dans les aires de responsabilites des centres de sante de Dosseye, Beureuh et Kagpal"/>
    <s v="Femmes en age de procreer"/>
    <n v="5000"/>
    <n v="0"/>
    <n v="5000"/>
    <n v="15000"/>
    <n v="10000"/>
    <n v="25000"/>
    <s v="Les femmes en âge de procreer constituent les bénéficiaires directs du projet et les bénéficiaires indirects sont les membres de leurs ménages respectifs"/>
    <m/>
    <n v="2275"/>
    <m/>
    <n v="2275"/>
    <n v="6825"/>
    <n v="4550"/>
    <n v="11375"/>
    <s v="NO"/>
    <m/>
    <m/>
    <m/>
    <s v="NO"/>
    <m/>
    <m/>
    <m/>
    <s v="NO"/>
    <m/>
    <m/>
    <m/>
    <s v="NO"/>
    <m/>
    <m/>
    <m/>
    <s v="NO"/>
    <m/>
    <m/>
    <m/>
    <s v="NO"/>
    <m/>
    <m/>
    <m/>
    <s v="NO"/>
    <m/>
    <m/>
    <m/>
    <s v="NO"/>
    <m/>
    <m/>
    <m/>
    <s v="NO"/>
    <m/>
    <m/>
    <m/>
    <s v="YES"/>
    <n v="2275"/>
    <n v="1"/>
    <n v="11375"/>
    <s v="NO"/>
    <m/>
    <m/>
    <m/>
    <s v="NO"/>
    <m/>
    <m/>
    <m/>
    <m/>
    <m/>
    <m/>
    <m/>
    <m/>
    <n v="2275"/>
    <m/>
    <n v="2275"/>
    <n v="6825"/>
    <n v="4550"/>
    <n v="11375"/>
    <s v="NO"/>
    <m/>
    <m/>
    <m/>
    <s v="NO"/>
    <m/>
    <m/>
    <m/>
    <s v="NO"/>
    <m/>
    <m/>
    <m/>
    <s v="NO"/>
    <m/>
    <m/>
    <m/>
    <s v="NO"/>
    <m/>
    <m/>
    <m/>
    <s v="NO"/>
    <m/>
    <m/>
    <m/>
    <s v="NO"/>
    <m/>
    <m/>
    <m/>
    <s v="NO"/>
    <m/>
    <m/>
    <m/>
    <s v="NO"/>
    <m/>
    <m/>
    <m/>
    <s v="NO"/>
    <m/>
    <m/>
    <m/>
    <s v="NO"/>
    <m/>
    <m/>
    <m/>
    <s v="NO"/>
    <m/>
    <m/>
    <m/>
    <s v="NO"/>
    <m/>
    <m/>
    <m/>
    <s v="YES"/>
    <n v="2275"/>
    <n v="1"/>
    <n v="11375"/>
    <s v="NO"/>
    <m/>
    <m/>
    <m/>
    <s v="NO"/>
    <m/>
    <m/>
    <m/>
    <m/>
    <s v="NO"/>
    <m/>
    <m/>
    <m/>
    <s v="YES"/>
    <s v="December"/>
    <n v="2016"/>
    <s v="YES"/>
    <s v="YES"/>
    <s v="September"/>
    <n v="2017"/>
    <s v="Evaluation finale"/>
    <x v="1"/>
    <s v="NO"/>
    <s v="YES"/>
    <s v="YES"/>
    <s v="NO"/>
    <s v="NO"/>
    <s v="YES"/>
    <s v="NO"/>
    <s v="NO"/>
    <m/>
    <x v="1"/>
    <s v="Appui a la mise en place d'un système de référence communautaire qui peut assurer que les femmes de ménages ruraux pauvres peuvent accéder à des soins d'urgence en temps opportun"/>
    <x v="1"/>
    <s v="Le projet s'appui sur les formations sanitaires existantes"/>
    <x v="1"/>
    <x v="0"/>
    <s v="YES"/>
    <x v="0"/>
    <x v="0"/>
    <x v="0"/>
    <x v="0"/>
    <n v="4"/>
    <x v="1"/>
    <x v="2"/>
    <x v="1"/>
    <x v="1"/>
    <x v="1"/>
    <x v="1"/>
    <n v="3"/>
    <x v="3"/>
    <x v="1"/>
    <x v="1"/>
    <x v="1"/>
    <x v="4"/>
    <n v="3"/>
    <x v="2"/>
    <x v="2"/>
    <n v="2"/>
    <s v="Local government(s)"/>
    <s v="Grassroots organization(s)"/>
    <m/>
    <x v="0"/>
    <s v="Appui a la creation et au financement des groupements VSLA dans les 15 villages des aires de sante appuyees"/>
    <m/>
    <s v="Associations villageaoises"/>
    <s v="Planification communautaire"/>
    <s v="Dialogues reflexifs dans les villages"/>
    <s v="La mise en place d'un systeme de referencement a partir de la communaute  peut ameliorer l'acces aux soins"/>
    <s v="Les us et coutumes constituent une des barrieres a defier pour l'amelioration de l'utilsation des services CPN et maternite afin de reduire les accochements a domicile et la mortalite maternelle et neonatale"/>
    <s v="Importance de la mise en place d'un systeme de suivi et evaluation en impliquant les populations beneficaires a toutes les etapes."/>
    <m/>
    <m/>
    <n v="2275"/>
    <n v="11375"/>
    <n v="5"/>
    <n v="1"/>
    <n v="0.6"/>
    <n v="2275"/>
    <n v="6825"/>
    <n v="1"/>
    <n v="2275"/>
    <n v="11375"/>
    <n v="5"/>
    <s v=""/>
    <n v="0"/>
    <n v="0"/>
    <s v=""/>
    <n v="1"/>
    <n v="2275"/>
    <n v="11375"/>
    <n v="5"/>
    <s v=""/>
    <n v="0"/>
    <n v="0"/>
    <s v=""/>
    <s v=""/>
    <n v="0"/>
    <n v="0"/>
    <s v=""/>
    <s v="2. Sensitive"/>
    <s v="2. Accommodating"/>
    <s v="4. Transformative"/>
    <s v="It tested new ways for fighting poverty, but did not measure results of innovation"/>
    <s v="Moderate advocacy"/>
    <s v="It linked and worked with strategic alliances and partners to take tested and effective solutions to scale"/>
  </r>
  <r>
    <x v="12"/>
    <x v="4"/>
    <m/>
    <s v="INICIATIVA IGS LAC - Programa regional de Trabajo Digno"/>
    <s v="Colombia"/>
    <m/>
    <s v="CARE USA"/>
    <s v="Other"/>
    <s v="Other"/>
    <m/>
    <m/>
    <m/>
    <m/>
    <m/>
    <m/>
    <m/>
    <m/>
    <m/>
    <m/>
    <m/>
    <m/>
    <m/>
    <m/>
    <m/>
    <m/>
    <m/>
    <m/>
    <m/>
    <m/>
    <m/>
    <m/>
    <m/>
    <m/>
    <m/>
    <m/>
    <m/>
    <m/>
    <m/>
    <m/>
    <m/>
    <m/>
    <m/>
    <m/>
    <m/>
    <m/>
    <m/>
    <m/>
    <m/>
    <m/>
    <m/>
    <m/>
    <m/>
    <m/>
    <m/>
    <m/>
    <d v="2016-07-01T00:00:00"/>
    <d v="2030-12-01T00:00:00"/>
    <m/>
    <s v="Development Other"/>
    <m/>
    <s v="Claudia Sanchez"/>
    <s v="Regional Coordinator Program Quality &amp; Impact"/>
    <s v="Claudia.Sanchez@care.org"/>
    <s v="Viviana Osorio"/>
    <s v="Regional Advocacy Advisor LAC"/>
    <s v="Viviana.Osorio@care.org"/>
    <s v="NO"/>
    <s v="YES"/>
    <s v="NO"/>
    <s v="Al 2030, mujeres trabajadoras del hogar de 6 paises en LAC  (Colombia, Mexico, Ecuador, Guatemala, Honduras y Brasil),  conocen, ejercen y demandan sus derechos humanos y laborales, impulsando un sistema de protección social que garantiza una vida digna y libre de violencia. La iniciativa gestiona un conjunto de estrategias enfocados en la creacion de alianzas y asocios nacionales y regionales para la incidencia politica para la ratificacion del convenio 189 y su implementacion en politica publica en cada pais, la comunicacion para el cambio de comportamiento de las y los empleadores, el aprendizaje y la gestion de conocimiento entre paises, el fortaleciento de las organizaciones de trabajadoras del hogar, que permitan lograr que 10 millones de trabajadoras del hogar al 2030 logren acceso a salario justo, acceso a seguridad social y acceso a un contrato digno de trabajo. Las condiciones en cada pais son distintas para alcanzar estas metas, por los cual los avances y estrategia por pais difieren segun los contextos y realidades especificos."/>
    <s v="Regional"/>
    <s v="Ecuador, Colombia, Guatemala, Honduras, Mexico y Brasil"/>
    <s v="Trabajadoras del Hogar remuneradas"/>
    <m/>
    <m/>
    <m/>
    <m/>
    <m/>
    <m/>
    <s v="Participantes directos&gt; Numero de Trabajadoras del hogar afiliadas a las organizaciones, Numero de tomadores de decision de Gobiernos en 6 paises (Congresistas, Ministros, otros politicos), numero de representantes de organizaciones socias afines a la problematica de los derechos de las trabajadoras del hogar, Numero de influenciadores / lideres de opinion sensibilizados, numero de personas que participan en actividades desarrolladas por con socios y aliados en favor de los derechos de las trabajadoras. Participantes indirectos&gt; Numero de personas (empleadores) sensibilizadas por campañas comunicacionales en favor de los derechos de las trabajadoras, Numero de trabajadoras del hogar sensibilizadas en sus derechos por alcance indirecto de otras trabajadoras del hogar, numero de trabajadoras del hogar que logran tener al menos 1 de 3 indicadores considerados: acceso a contrato de trabajo, acceso a seguridad social, acceso a un salario justo en los 6 paises en los que se desarrolla la iniciativa._x000a_NOTA: Todos los participantes totales de la IGS han sido reportados desde Ecuador. Para evitar doble conteo, este formulario no incluye cifras especificas para Honduras"/>
    <m/>
    <m/>
    <m/>
    <m/>
    <m/>
    <m/>
    <m/>
    <m/>
    <m/>
    <m/>
    <m/>
    <m/>
    <m/>
    <m/>
    <m/>
    <m/>
    <m/>
    <m/>
    <m/>
    <m/>
    <m/>
    <m/>
    <m/>
    <m/>
    <m/>
    <m/>
    <m/>
    <m/>
    <m/>
    <m/>
    <m/>
    <m/>
    <m/>
    <m/>
    <m/>
    <m/>
    <m/>
    <m/>
    <m/>
    <m/>
    <m/>
    <m/>
    <m/>
    <m/>
    <m/>
    <m/>
    <m/>
    <m/>
    <m/>
    <m/>
    <m/>
    <m/>
    <m/>
    <m/>
    <m/>
    <m/>
    <m/>
    <m/>
    <m/>
    <m/>
    <m/>
    <m/>
    <m/>
    <m/>
    <m/>
    <m/>
    <m/>
    <m/>
    <m/>
    <m/>
    <m/>
    <m/>
    <m/>
    <m/>
    <m/>
    <m/>
    <m/>
    <m/>
    <m/>
    <m/>
    <m/>
    <m/>
    <m/>
    <m/>
    <m/>
    <m/>
    <m/>
    <m/>
    <m/>
    <m/>
    <m/>
    <m/>
    <m/>
    <m/>
    <s v="YES"/>
    <m/>
    <m/>
    <m/>
    <s v="YES"/>
    <m/>
    <m/>
    <m/>
    <m/>
    <m/>
    <m/>
    <m/>
    <m/>
    <m/>
    <m/>
    <m/>
    <m/>
    <m/>
    <m/>
    <m/>
    <s v="YES"/>
    <m/>
    <m/>
    <m/>
    <m/>
    <m/>
    <m/>
    <m/>
    <m/>
    <m/>
    <m/>
    <m/>
    <s v="YES"/>
    <m/>
    <m/>
    <m/>
    <m/>
    <m/>
    <m/>
    <m/>
    <m/>
    <s v="NO"/>
    <m/>
    <m/>
    <m/>
    <s v="YES"/>
    <s v="June"/>
    <n v="2018"/>
    <s v="1) Desarrollar la linea de base por pais. 2) Desarrollar Encuestas de percepcion y cambio de actitudes y practicas (CAP) en diferentes actores involucrados en la inicitiva, para evaluar nivel de sensibilizacion e involucramiento respecto a la problematica de las trabajadoras del hogar"/>
    <x v="1"/>
    <s v="NO"/>
    <s v="NO"/>
    <s v="YES"/>
    <s v="YES"/>
    <s v="YES"/>
    <s v="YES"/>
    <s v="NO"/>
    <s v="YES"/>
    <s v="agenda politica comun entre org regionales de trabajadoras del hogar asi como entre las org en Colombia. Acompañamiento al fortalecimiento de las organizaciones de trabajadoras del hogar para el desarrollo de agendas de incidencia."/>
    <x v="1"/>
    <s v="El apoyo a las organizaciones de trabajadoras domésticas de México y Colombia para la expansión de sus afiliadas y la formación de los liderazgos femeninos en las organizaciones, así como la impementación de acciones de comunicación pública para sensibilizar a la sociedad civil sobre la problemetica y la falta de derechos de las trabajadoras del hogar. Se espera realizar una evaluacion en af18 para medir el cambio de actitudes y practicas sobre eun conjunto de actores involucrados en la iniciativa."/>
    <x v="1"/>
    <s v="En el primer año se han conformado las alianzas estratégicas bajo prioridades y enfoques comunes de actuación, vinculando a las organizaciones nacionales de trabajadoras del hogar con las organizaciones regionales en la propuesta de agendas y planes de accion comunes. Recordar que esta iniciativa se contruye sobre una primera fase que abarco acciones entre el 2010 al 2015 en 3 paises: Bolivia, Peru y Ecuador. Las lecciones aprendidas de esta experiencia, son las bases del diseño de la estrategia 2017 - 2030 en los 6 paises previstos para esta fase: Ecuador, Honduras, Guatemala, Colombia, Mexico y Brasil. Se ha trabajado en el acercamiento de las dos redes latinoamericanas de trabajo domestico *FITH y CONLACTRAO, asi como con la OIT. El acercamiento con Brasil se ha dado en los ultimos meses, se esta buscando movilizar nuevos recursos para poder afianzar un proyecto mayor con las organizaciones en Brasil (con apoyo de CARE Francia)"/>
    <x v="1"/>
    <x v="1"/>
    <s v="YES"/>
    <x v="0"/>
    <x v="0"/>
    <x v="1"/>
    <x v="4"/>
    <n v="3"/>
    <x v="2"/>
    <x v="1"/>
    <x v="1"/>
    <x v="1"/>
    <x v="1"/>
    <x v="2"/>
    <n v="4"/>
    <x v="1"/>
    <x v="2"/>
    <x v="1"/>
    <x v="2"/>
    <x v="3"/>
    <n v="1"/>
    <x v="2"/>
    <x v="2"/>
    <m/>
    <s v="Labor union(s)"/>
    <s v="Local NGO(s)/CSO(s)"/>
    <s v="Multilateral organization(s)"/>
    <x v="0"/>
    <s v="El apoyo a las organizaciones de trabajadoras domésticas de Honduras, Guatemala, Ecuador, México y Colombia para la expansión de sus afiliadas y la formación de los liderazgos femeninos en las organizaciones, así como la impementación de acciones de comunicación pública para sensibilizar a la sociedad a cerca del valor del trabajo doméstico"/>
    <s v="La inicitiva tuvo mucho interes en consolidar las acciones de fortalecimiento del nivel regional de las organizaciones de trabajadoras del hogar, lo mismo establacer las alianzas con paises de no presencia de CARE como los son Mexico y Colombia, donde se han desarrollado los asocios con las organizaciones y sindicatos de trabajadoras en cada pais, asi como con organizaciones afines de fortalecimiento organizacional, ademas de continuar con los asocios con las organizaciones en Guatemala, Ecuador y Honduras. Un primer a;o de sentar las bases del asocio en 6 paises, lo mismo consolidar los asocios con OIT en el nivel regional fueron las prioridades del equipo en este primer año. Otro tema fue el apoyo a las campañas de sensibilizacion y eventos publicos (foros abiertos) dirigidas a la sociedad civil sobre la situacion de las trabajadoras del hogar, en especial en Mexico, Guatemala, Colombia y Honduras. Un tema importante ha sido diseñar un conjunto de indicadores de resultado que permitan consolidar los avances de la incidencia politica en cada pais. Si bien en el año 1 estos indicadores estuvieron mas concentrados en la generacion de redes y asocios, en el año 2 se proponen nuevas metas como son definir cambios en las politicas publicas existentes, formar plataformas de incidencia por pais, incrementar el numero de afiliadas a las organizaciones, desarrollar mayores investigaciones sobre la situacion de las trabajadoras en cada pais que sirvan como evidencia para la incidencia politica, involucrar a mayor numero de congresistas y actores de gobierno al movimiento por los derechos de las trabajadoras, entre otros.....ello con el fin de trabajar los 2 proximos años en los cambios necesarios en las leyes y la normativa existente que puedan generar las condiciones para el cumplimiento de los 3 indicadores propuestos: incremento de salario basico, incremento de acceso a seguridad social, incremento en numerode contratos. se esera que al 2020 al menos 5 millones de trabajadoras sean alcanzadas por estos beneficios en los 6 paises en los que trabaja la iniciativa."/>
    <s v="El poder catalizador de las alianzas es un modelo de actuación vital para el logro de los objetivos del programa, en especial considerando la estrategia multidimensional expresada en nuestra teoría de cambio para transformar las condiciones laborales y la vida de las trabajadoras del hogar. Además de hace posible la mayor movilización de recursos, la experiencia y el conocimiento de los diversos actores es el activo mas valioso que las alianzas estratégicas permiten capitalizar para el desarrollo de la IGS.                                                                                                                                                                                                                                             Adicionalmente, la unidad y la articulación de las organizaciones de las trabajadoras domésticas es el enfoque más exitoso para la representación política, ya que incrementa la visibilidad política, el poder de negociación de las mismas y propicia agendas políticas menos diversas. La apuesta del Programa es que las organizaciones existentes amplíen sus bases, desarrollen sus liderazgos, sean sostenibles y avancen en redes y alianzas para su mayor capacidad de incidencia."/>
    <s v="El desarrollo de un nuevo modelo de presencia de CARE para expandir la acción a países en los cuales no se cuenta con oficina, ha sido exitoso en el primer año del proyecto. De esta manera, en México y Colombia, con la actuación con socios estratégicos y los sindicatos más fuertes de trabajadoras domésticas, los objetivos del programa avanzan de manera exitosa e incluso generando experiencias exitosas para replicar en otros países de la región."/>
    <s v="El social business aplicado a las organizaciones de trabajadoras domésticas  hace possible la formalización laboral, la profesionalización y cualificación de las trabajadoras. Asimismo, tiene importantes efectos en la organización sindical, como su sostenibilidad financiera, la ampliación de sus bases, el ejercicio de la negociación colectiva, entre otros. Tras su sistematización, será un modelo susceptible de ser replicado"/>
    <s v="Es fundamental que los procesos de diseño y la implementación de las estrategias de incidencia y de comunicación pública se articulen a los procesos de este tipo que ya adelantan las organizaciones en sus respetivos países, reconociendo su conocimiento, experiencia y comprensión del contexto. Desde este reconocimiento, nuestras estrategias deben recoger las prioridades comunes, potenciar las capacidades de los actores y proporcionar una visión del panorama político regional y global para una articulación colectiva en propósitos comunes.  De otro lado, el proceso de conformación de alianzas y asocios hace posible ver con mayor claridad las necesidades de la región a partir del conocimiento de lo que los múltiples actores han adelantado para promover los derechos d elas trabjaadoras domésticas."/>
    <s v="La conformación de plataformas a nivel nacional y regional determinarán formas de actuación y roles distintos para CARE, dependiendo del modelo de presencia y la relación con los socios y aliados en cada país. En el caso de los países donde tenemos oficina, es el equipo nacional quien tiene la iniciativa y el equipo regional apoya sus decisiones; en el caso de los países donde tenemos asocios fuertes, apoyaremos la constitución de las plataformas brindando soporte técnico, político y financiero. En el nivel regional se privilegiará nuestro rol articulador y dinamizador de procesos, pues esta es una gestión que no está siendo realizada por otros actores y es el valor agregado del trabajo que CARE puede realizar y posicionarse desde este espacio en la temática y en el contexto latinoamericano."/>
    <s v="Se requiere generar espacios de diálogo, intercambio y trabajo conjunto entre FITH y CONLACTRAHO, tomando en cuenta los ritmos y situación organizativa de cada una y aportando técnica y políticamente para su consolidación como expresión regional de las trabajadoras del hogar. Esto considerando además la improtancia de traducir en estrategias y actividades conjuntas el acuerdo de articulación para la acción en América Latina."/>
    <s v="EL FORMULARIO NO INCLUYE DATA DE PRESUPUESTO NI PARTICIPANTES PORQUE TODOS ESTAN REPORTADOS BAJO EL CONSOLIDADO REPORTADO POR ECUADOR_x000a_La gestión del conocimiento y la experiencia adquirida (ver sistematización de la experiencia del Programa Regional de Trabajo Digno 2009-2017), ha permitido avanzar más rápido en la relación con las organizaciones y consolidación de acuerdos de confianza y trabajo conjunto._x000a_Los procesos de formación que impulsamos al considerar a los seres humanos como un todo integral, potencia las capacidades individuales y colectivas y aporta a la conformación de liderazgos de nuevo tipo, que enfrentan desde una práctica distinta, a las prácticas de los sindicatos tradicionales jerárquicos, patriarcales y que invisibilizan el trabajo doméstico._x000a_La necesidad de contar con indicadores de resultado anual para dar cuenta de los logros y resultados de incidencia de manera cuantitativa y cualitativa. Se ha trabajado una matriz de indicadores en este sentido que han sido completados al final del primer año por los 5 paises en los que se ha implementado la iniciative este año. Se han propuesto un conjunto nuevo de indicadores de resultado de incidencia para el año 2 como parte del sistema de MyE escalonado (o en fases) diseñado para la iniciativa. Se propone monitorear estos avances de manera trimestral en el AF18."/>
    <s v="i) Marco lógico; ii) Informe anual regional y por país. iii) sistematización de la experiencia del Programa Regional de Trabajo Digno 2009-2017) iv) Video Trabajadoras del Hogar:  https://www.dropbox.com/s/b9loiehxnohuknc/CARE_WORKSHOP_1080P_h264_FINAL_Spanish.mov?dl=0"/>
    <n v="0"/>
    <n v="0"/>
    <s v=""/>
    <s v=""/>
    <s v=""/>
    <n v="0"/>
    <n v="0"/>
    <s v=""/>
    <n v="0"/>
    <n v="0"/>
    <s v=""/>
    <s v=""/>
    <n v="0"/>
    <n v="0"/>
    <s v=""/>
    <s v=""/>
    <n v="0"/>
    <n v="0"/>
    <s v=""/>
    <n v="1"/>
    <n v="0"/>
    <n v="0"/>
    <s v=""/>
    <n v="1"/>
    <n v="0"/>
    <n v="0"/>
    <s v=""/>
    <s v="3. Responsive"/>
    <s v="4. Transformational"/>
    <s v="1. Neutral"/>
    <s v="It tested new ways for fighting poverty, but did not measure results of innovation"/>
    <s v="Moderate advocacy"/>
    <s v="It linked and worked with strategic alliances and partners to take tested and effective solutions to scale"/>
  </r>
  <r>
    <x v="13"/>
    <x v="4"/>
    <n v="2323"/>
    <s v="Proyecto Nutriendo El Futuro"/>
    <s v="Costa Rica"/>
    <m/>
    <s v="CARE USA"/>
    <s v="Other"/>
    <s v="Other"/>
    <s v="Margaret A. Cargill Philanthropies (MACP)"/>
    <m/>
    <m/>
    <m/>
    <m/>
    <m/>
    <m/>
    <m/>
    <m/>
    <m/>
    <m/>
    <m/>
    <m/>
    <m/>
    <m/>
    <m/>
    <m/>
    <m/>
    <m/>
    <m/>
    <m/>
    <m/>
    <m/>
    <m/>
    <m/>
    <m/>
    <m/>
    <m/>
    <m/>
    <m/>
    <m/>
    <m/>
    <m/>
    <m/>
    <m/>
    <m/>
    <m/>
    <m/>
    <m/>
    <m/>
    <m/>
    <m/>
    <m/>
    <m/>
    <m/>
    <m/>
    <d v="2016-09-01T00:00:00"/>
    <d v="2019-08-31T00:00:00"/>
    <m/>
    <s v="Development Food &amp; Nutrition Security and Resilience to Climate Change"/>
    <m/>
    <s v="Manuel Enamorado"/>
    <s v="Oficial Monitoreo"/>
    <s v="Manuel.Enamorado@care.org"/>
    <s v="Jose Antonio Sauceda"/>
    <s v="Gerente"/>
    <s v="jose.sauceda@care.org"/>
    <s v="NO"/>
    <s v="YES"/>
    <s v="NO"/>
    <s v="Los productores y productoras rurales empoderadas, micro-empresarios y comunidades locales garantizan la seguridad alimentaria de sus familias, con igualdad de acceso a los mercados, el control de sus recursos y el aumento de la resiliencia al cambio climático."/>
    <s v="Regional"/>
    <s v="3 países: Honduras, Nicaragua y Costa Rica: Honduras: Villanueva, Siguatepeque, Santa Cruz de Yojoa, Quimistan y San Marcos; Nicaragua: Tipitapa, Masaya, Nindiri,  Ticuatepe, Chinandega, El Viejo y  Chichigalpa;  Costa Rica: 2 Provincias: Alajuela y Heredia."/>
    <s v="Hombres y Mujeres Productores agricolas, mujeres emprendedoras y niños y niñas en edad escolar  de hogares de escuelas atendidas por el proyecto."/>
    <n v="15365"/>
    <n v="14512"/>
    <n v="29877"/>
    <n v="83988"/>
    <n v="77995"/>
    <n v="161983"/>
    <s v="Participantes directos son los grupos poblacionales de impacto, que participan directamente de las actividades del proyecto, están integrados por 3 grupos: a) niños y niñas de las escuelas; b) Hombres y Mujeres productoras agrícolas y c) Mujeres microempresarias, que son madres de niños y niñas de las escuelas.                                                                                                                                                                                                                                                                     Los participantes indirectos; son los otros miembros de los hogares de los grupos de impacto y familias de comunidades donde interviene el proyecto, que aunque no participan en las actividades del proyecto, si se benefician de las actividades y resultados del mismo."/>
    <m/>
    <m/>
    <m/>
    <m/>
    <m/>
    <m/>
    <m/>
    <m/>
    <m/>
    <m/>
    <m/>
    <m/>
    <m/>
    <m/>
    <m/>
    <m/>
    <m/>
    <m/>
    <m/>
    <m/>
    <m/>
    <m/>
    <m/>
    <m/>
    <m/>
    <m/>
    <m/>
    <m/>
    <m/>
    <m/>
    <m/>
    <m/>
    <m/>
    <m/>
    <m/>
    <m/>
    <m/>
    <m/>
    <m/>
    <m/>
    <m/>
    <m/>
    <m/>
    <m/>
    <m/>
    <m/>
    <m/>
    <m/>
    <m/>
    <m/>
    <m/>
    <m/>
    <m/>
    <m/>
    <m/>
    <m/>
    <m/>
    <m/>
    <m/>
    <m/>
    <m/>
    <m/>
    <m/>
    <m/>
    <m/>
    <m/>
    <s v="YES"/>
    <m/>
    <m/>
    <m/>
    <s v="YES"/>
    <m/>
    <m/>
    <m/>
    <m/>
    <m/>
    <m/>
    <m/>
    <m/>
    <m/>
    <m/>
    <m/>
    <s v="YES"/>
    <m/>
    <m/>
    <m/>
    <m/>
    <m/>
    <m/>
    <m/>
    <s v="YES"/>
    <m/>
    <m/>
    <m/>
    <m/>
    <m/>
    <m/>
    <m/>
    <m/>
    <m/>
    <m/>
    <m/>
    <m/>
    <m/>
    <m/>
    <m/>
    <s v="YES"/>
    <m/>
    <m/>
    <m/>
    <s v="YES"/>
    <m/>
    <m/>
    <m/>
    <m/>
    <m/>
    <m/>
    <m/>
    <m/>
    <m/>
    <m/>
    <m/>
    <s v="YES"/>
    <m/>
    <m/>
    <m/>
    <s v="YES"/>
    <m/>
    <m/>
    <m/>
    <s v="Gobernanza gremial y comunitaria"/>
    <s v="YES"/>
    <m/>
    <m/>
    <m/>
    <s v="YES"/>
    <s v="April"/>
    <n v="2017"/>
    <s v="YES"/>
    <s v="YES"/>
    <s v="June"/>
    <n v="2018"/>
    <s v="Para el periodo Junio-Julio/18 esta programado realizar evaluación de medio termino."/>
    <x v="1"/>
    <s v="YES"/>
    <m/>
    <s v="YES"/>
    <m/>
    <m/>
    <m/>
    <m/>
    <m/>
    <m/>
    <x v="2"/>
    <s v="Modelo de  educación inclusiva, promoviendo buenas prácticas alimentarias y nutricionales en manuales institucionales con los Ministerios de Educación.  Igual el modelo de negocios inclusivos llevado a plataformas con el sector empresarial y de responsbailidad social empresarial."/>
    <x v="1"/>
    <s v="Educación en SAN y Promoción de habitos y buenas prácticas alimentarias; se integro a manuales institucionales de los Minsitrios de Educación."/>
    <x v="1"/>
    <x v="1"/>
    <s v="YES"/>
    <x v="0"/>
    <x v="0"/>
    <x v="0"/>
    <x v="2"/>
    <n v="4"/>
    <x v="1"/>
    <x v="1"/>
    <x v="1"/>
    <x v="1"/>
    <x v="1"/>
    <x v="1"/>
    <n v="4"/>
    <x v="3"/>
    <x v="2"/>
    <x v="1"/>
    <x v="1"/>
    <x v="5"/>
    <n v="2"/>
    <x v="3"/>
    <x v="2"/>
    <n v="2"/>
    <s v="Local NGO(s)/CSO(s)"/>
    <s v="Local government(s)"/>
    <s v="Grassroots organization(s)"/>
    <x v="2"/>
    <s v="Realizo acciones de fortalecimiento a organizaciones de base gremial y redes de ellas, enfocado a la gestión empresarial y gremial de pequeños productores agrícolas."/>
    <s v="A nivel de Nicaragua y Costa Rica, los ajustes son en cuanto al modelo de implementación, pasando a  un modelo de implementación con socios locales del PNF. No hay cambios de objetivos y resultados. Solo de actividades, incorporando el tema de violencia infantil en las escuelas."/>
    <s v="Modelo de negocios inclusivos, de cadenas de valor:  Teniendo como eje la asociatividad empresarial de los pequeños productores hobres y mujeres agricolas; con un enfoque de Win to Win, con CARGILL."/>
    <s v="La metodologia de extensión, de &quot;Escuelas de Campo&quot;, es un éxito entre los pequeños agrícultores, en la transferencia de tecnologias agricolas, producción de calidad y adpatación al cambio climatico."/>
    <s v="En el trabajo en las escuelas, las metodologias ludicas utilizando juegos infantiles han tenido aceptación en la comunidad educativa de los 3 países."/>
    <s v="El Modelo de trabajo con socios locales implementando las acciones del proyecto, requiere asesoria y transferencia de capacidades programaticas y adminsitrativas de CARE; para mantener los estandares de gestión requridos por CARE USA."/>
    <s v="Los pequeños productores (hombres y mujeres) tienen la capacidad de cumplir los  contratos comerciales y  estandares de calidad, requeridos por CARGILL; previa transferencia de capacidades técnicas."/>
    <m/>
    <s v="No se reporta data de presupuesto o participantes porque esa data esta ya reportada por el mismo proyecto en Honduras, desde donde se gestionan las acciones"/>
    <m/>
    <n v="0"/>
    <n v="0"/>
    <s v=""/>
    <s v=""/>
    <s v=""/>
    <n v="0"/>
    <n v="0"/>
    <s v=""/>
    <n v="0"/>
    <n v="0"/>
    <s v=""/>
    <n v="1"/>
    <n v="0"/>
    <n v="0"/>
    <s v=""/>
    <s v=""/>
    <n v="0"/>
    <n v="0"/>
    <s v=""/>
    <s v=""/>
    <n v="0"/>
    <n v="0"/>
    <s v=""/>
    <n v="1"/>
    <n v="0"/>
    <n v="0"/>
    <s v=""/>
    <s v="4. Transformative"/>
    <s v="2. Accommodating"/>
    <s v="3. Responsive"/>
    <s v="It tested new ways for fighting poverty and measured results of innovation"/>
    <s v="Moderate advocacy"/>
    <s v="It linked and worked with strategic alliances and partners to take tested and effective solutions to scale"/>
  </r>
  <r>
    <x v="14"/>
    <x v="2"/>
    <n v="2863"/>
    <s v="Autonomisation de la femme et développement économique"/>
    <s v="Cote d'Ivoire"/>
    <n v="2863"/>
    <s v="CARE Nederland"/>
    <s v="Foundation"/>
    <s v="Other"/>
    <m/>
    <m/>
    <m/>
    <m/>
    <m/>
    <m/>
    <m/>
    <m/>
    <m/>
    <m/>
    <m/>
    <m/>
    <m/>
    <m/>
    <m/>
    <m/>
    <m/>
    <m/>
    <m/>
    <m/>
    <m/>
    <m/>
    <m/>
    <m/>
    <m/>
    <m/>
    <m/>
    <m/>
    <m/>
    <m/>
    <m/>
    <m/>
    <m/>
    <m/>
    <m/>
    <m/>
    <m/>
    <m/>
    <m/>
    <m/>
    <m/>
    <m/>
    <m/>
    <m/>
    <m/>
    <m/>
    <d v="2015-06-01T00:00:00"/>
    <d v="2016-12-31T00:00:00"/>
    <d v="2017-03-31T00:00:00"/>
    <s v="Development Access to and Control over Economic Resources"/>
    <m/>
    <s v="Jacob NIAMIEN"/>
    <s v="Coordonnateur de Projet"/>
    <s v="jnamien@care.org"/>
    <m/>
    <m/>
    <m/>
    <s v="NO"/>
    <s v="YES"/>
    <s v="NO"/>
    <s v="Contribuer à l’autonomisation et au développement économique des femmes de la Côte d’Ivoire et de la Sierra Leone."/>
    <s v="Sub-National"/>
    <s v="District Autonome d'Abidjan, Région de GBEKE, Région du PORO"/>
    <s v="filles et femmes de 15-49 ans vivant en milieu rural et périurbain"/>
    <n v="15154"/>
    <n v="0"/>
    <n v="15154"/>
    <n v="3786480"/>
    <n v="4019733"/>
    <n v="7806213"/>
    <s v="Les participants directs au projets sont:                                                                                                                                                                                                                                                                                                                                                                                                    - La cible identifiée: ce sont les femmes issues des VSLA Matures et des partenaires locaux que sont les associations de femmes légalement constituées ayant un mode de fonctionnement qui s'apparente à la stratégie VSLA de CARE.                                                                                                                                                                                                                                                                                                                             - les bénéficiaires directes pour suivre la formation au développement des complétences entrepreneuriales: le nombre par zone a été déterminé à l'issu du processus d'identification sur la base d'un certain nombre de critères ( nombre de groupements VSLA identifiés par zone; Effectif global, ancienneté du VSLA, âge des femmes et jeunes filles; activités individuelles ou de groupe réalisée; disponibilité à participer au processus)                                                                                                                                                                                                                                                                                                                                               - les autorités administratives (Préfets, Sous-préfets, DR Administrations centrales): Sous l'autorité de chaque préfet de région eu égard au groupements VSLA présentent dans chaque circonscription administrative avec à sa tête un Sous préfet en vue de leur implication; les DR des Ministères techniques et de partenaires sur les bases des activités que pratiquent les bénéficiaires finaux (Agriculture, Elevage, Commerce, Service à la personne)                                                                                                                                                                                                                                                                                                                                               - Les chefs coutumiers, religieux, leaders communautaires...: pour appuyer l'initiative étant les dépositaires de l'administration de la communauté pour donner leur caution aux initiatives des femmes et partant susciter auprès de toute la communauté sonadhésion au projet                                                                                                                                                                                                                                                                                              Les participants indirects: Ce sont les hommes et les femmes touchées par les émissions radios et télévisées, les articles de presse ainsi que par la diffusion des spots sur les informations économiques du marché; les message de sensibilisation pour le soutrien aux femmes entrepreneures.  selon le rapport d'activité, 7 775 113 personnes ont bénéficiées indirectement des activités du projet. en s'appuyant sur le Recensement Général de la Popoulation et de l'Habitat (RGPH 2014), on a en Côte d'ivoire une proportion de 51,7% hommes et de 48,3% de femmes. partant de ce principe, on obtient les bénéficiaires indirects par sexe (voir D33 et F33)"/>
    <m/>
    <m/>
    <m/>
    <m/>
    <m/>
    <m/>
    <m/>
    <m/>
    <m/>
    <m/>
    <m/>
    <m/>
    <m/>
    <m/>
    <m/>
    <m/>
    <m/>
    <m/>
    <m/>
    <m/>
    <m/>
    <m/>
    <m/>
    <m/>
    <m/>
    <m/>
    <m/>
    <m/>
    <m/>
    <m/>
    <m/>
    <m/>
    <m/>
    <m/>
    <m/>
    <m/>
    <m/>
    <m/>
    <m/>
    <m/>
    <m/>
    <m/>
    <m/>
    <m/>
    <m/>
    <m/>
    <m/>
    <m/>
    <m/>
    <m/>
    <m/>
    <m/>
    <m/>
    <m/>
    <m/>
    <m/>
    <m/>
    <m/>
    <m/>
    <m/>
    <n v="15154"/>
    <n v="0"/>
    <n v="15154"/>
    <m/>
    <m/>
    <n v="75770"/>
    <m/>
    <m/>
    <m/>
    <m/>
    <m/>
    <m/>
    <m/>
    <m/>
    <m/>
    <m/>
    <m/>
    <m/>
    <m/>
    <m/>
    <m/>
    <m/>
    <m/>
    <m/>
    <m/>
    <m/>
    <m/>
    <m/>
    <m/>
    <m/>
    <m/>
    <m/>
    <m/>
    <m/>
    <m/>
    <m/>
    <m/>
    <m/>
    <m/>
    <m/>
    <m/>
    <m/>
    <m/>
    <m/>
    <m/>
    <m/>
    <m/>
    <m/>
    <m/>
    <m/>
    <m/>
    <m/>
    <m/>
    <m/>
    <m/>
    <m/>
    <m/>
    <m/>
    <m/>
    <m/>
    <m/>
    <m/>
    <m/>
    <m/>
    <m/>
    <m/>
    <s v="YES"/>
    <n v="8738"/>
    <n v="0.93"/>
    <n v="75770"/>
    <m/>
    <m/>
    <m/>
    <m/>
    <m/>
    <m/>
    <m/>
    <m/>
    <s v="YES"/>
    <s v="YES"/>
    <s v="February"/>
    <n v="2017"/>
    <m/>
    <x v="1"/>
    <m/>
    <m/>
    <m/>
    <m/>
    <m/>
    <m/>
    <m/>
    <s v="YES"/>
    <s v="Accès équitable au biens de production (la terre)"/>
    <x v="0"/>
    <m/>
    <x v="1"/>
    <s v="Des partenariats stratégiques avec le Ministère de la Femme, de la Protection de l'Enfant et de la Solidarité à travers les Instituts de Formations Feminins pour multiplier l'impact. partenariats tecniques avec l'ANADER et l'OCPV pour un encdrement et accompagnement spécialisés des bénéficiares, la disponibilité de l'information de marché et avec des ONGs locales pour démultiplier la formation et augmenter l'impact recherché. Implication des autorités administratives, des élus locaux et leaders communautaires dans la mise en oeuvre des activités"/>
    <x v="0"/>
    <x v="0"/>
    <s v="YES"/>
    <x v="0"/>
    <x v="0"/>
    <x v="1"/>
    <x v="1"/>
    <n v="3"/>
    <x v="1"/>
    <x v="1"/>
    <x v="1"/>
    <x v="1"/>
    <x v="1"/>
    <x v="1"/>
    <n v="4"/>
    <x v="2"/>
    <x v="1"/>
    <x v="0"/>
    <x v="1"/>
    <x v="2"/>
    <n v="2"/>
    <x v="2"/>
    <x v="3"/>
    <n v="4"/>
    <s v="Local government(s)"/>
    <s v="Media or journalist network(s)"/>
    <s v="Local NGO(s)/CSO(s)"/>
    <x v="2"/>
    <s v="Renforcement des capacités des acteurs en techniques entrepreneuriales et commerciales; Plaidoyer pour l'inclusion financière des femmes"/>
    <s v="1- Objectif et résultats du projet: nous avons apporté un ajustement au niveau du nombre de bénéficiaires finaux ayant été sélectionné pour participer aux formations sur le développement des compétences entrepreneuriales. On est passé de 15 000 à un échantillon de 3000 femmes et jeunes filles                                                                                                                                                                                                                                                                                           2- La planification et la mise en oeuvre du projet: La formation de formateurs en vue de multiplier l'impact au-delà du cadre du projet circonscris à un échantillon défini                                                                                                                                                                                3- Le suivi et l'évaluation: Le recrutement d'un consulatant pour mener l'évaluation finale                                                                                                                                                                                                                                                                                                                    4- Les capacités et les rôles des personnels: L'appui de stagiaires au staff projet pour palier le défaut de recrutementlié à la contrainte budgétaire                                                                                                                                                                                                  5- Les changement dans la manière dont les participants donnent des feedback ou prennent des décisions concernant le projet: Evolution des mentalités et cahangement qualitatif de comportement dû à l'initiative du projet. Meilleure acceptation par les hommes de voir des femmes développer des AGR traduit par la participation directe aux activités des femmes et la mise à disposition de moyens de production"/>
    <s v="Engagement des hommes, des autorités et leaders communautaires à faciliter l'intégration des femmes dans le système productif"/>
    <s v="les cartes score de la communauté"/>
    <s v="Le désir des autres femmes à créer des associations sur le modèles des VSLA; de bénéficier de formetions et être mis en lien avec des structures bancaires formelles"/>
    <s v="l'ancrage insitutionnel du projet: A permis de travailler globalement avec le Ministère de la Femme, de la Protection de l’Enfant et de la Solidarité et particulièrement avec les DR, DD et surtout les auditrices des IFEF comme formatrices,"/>
    <s v="L’utilisation des radios de proximité pour diffuser les informations sur le marché,"/>
    <s v="L’implication de l’OCPV dans la collecte et la diffusion des informations sur le marché,"/>
    <m/>
    <s v="le rapport de l'évaluation de base                                                                                                                                                                                                                                                                                                                                                                                                                                                                                        - Les rapports périodiques d'activités                                                                                                                                                                                                                                                                                                                                                                                                            - Les convention de partenariat avec des tructures techniques                                                                                                                                                                                                                                                                                                                                                                                                                                                                                                               - Les comptes rendus de réunions                                                                                                                                                                                                                                                                                                                                                                                                                                                                                                                                                         - Les outils de formation                                                                                                                                                                                                                                                                                                                                                                                                                                                                                                                                                            - Les supports d'émissions et de diffusions radios et presse écrite                                                                                                                                                                                                                                                                                                                                                                                                                                                                                                                                   - Le rapport de l'évaluation finale"/>
    <n v="15154"/>
    <n v="75770"/>
    <n v="5"/>
    <n v="1"/>
    <n v="0"/>
    <n v="15154"/>
    <n v="0"/>
    <s v=""/>
    <n v="0"/>
    <n v="0"/>
    <s v=""/>
    <s v=""/>
    <n v="0"/>
    <n v="0"/>
    <s v=""/>
    <s v=""/>
    <n v="0"/>
    <n v="0"/>
    <s v=""/>
    <s v=""/>
    <n v="0"/>
    <n v="0"/>
    <s v=""/>
    <n v="1"/>
    <n v="8738"/>
    <n v="75770"/>
    <n v="8.6713206683451585"/>
    <s v="1. Neutral"/>
    <s v="2. Accommodating"/>
    <s v="0. Harmful"/>
    <s v="It did not develop any specific innovation"/>
    <s v="Moderate advocacy"/>
    <s v="It linked and worked with strategic alliances and partners to take tested and effective solutions to scale"/>
  </r>
  <r>
    <x v="14"/>
    <x v="2"/>
    <n v="2861"/>
    <s v="COCOA LIFE EXTENSION"/>
    <s v="Cote d'Ivoire"/>
    <n v="2861"/>
    <s v="CARE UK"/>
    <s v="Corporation"/>
    <s v="Other"/>
    <s v="Mondelez International"/>
    <m/>
    <m/>
    <m/>
    <m/>
    <m/>
    <m/>
    <m/>
    <m/>
    <m/>
    <m/>
    <m/>
    <m/>
    <m/>
    <m/>
    <m/>
    <m/>
    <m/>
    <m/>
    <m/>
    <m/>
    <m/>
    <m/>
    <m/>
    <m/>
    <m/>
    <m/>
    <m/>
    <m/>
    <m/>
    <m/>
    <m/>
    <m/>
    <m/>
    <m/>
    <m/>
    <m/>
    <m/>
    <m/>
    <m/>
    <m/>
    <m/>
    <m/>
    <m/>
    <m/>
    <m/>
    <d v="2015-01-01T00:00:00"/>
    <d v="2017-12-31T00:00:00"/>
    <d v="2012-12-31T00:00:00"/>
    <s v="Development Access to and Control over Economic Resources"/>
    <n v="5078905"/>
    <s v="Youssouf NDJORE"/>
    <s v="Coordonnateur Programme Cacao et Secteur Privé"/>
    <s v="youssouf.ndjore@care.org"/>
    <s v="Mamadou TRAORE"/>
    <s v="Coordonateur Activités Terrain"/>
    <s v="mamadou.traore@care.org"/>
    <s v="NO"/>
    <s v="YES"/>
    <s v="NO"/>
    <s v="Renforcer la durabilité de la chaîne d'approvisionnement du cacao à travers l'amélioration des moyens de subsistance et la capacité des producteurs et de leurs communautés"/>
    <s v="Sub-National"/>
    <s v="Zone Ecom: Départements de Daloa (Centre- Ouest, 79 localités dans 09 terroirs, avec 3 coopératives + La Case du Planteur) et de Méagui (Sud-Ouest, 23 localités dans 3 terroirs, avec 2 coopératives);_x000a_Zone Cargill: Département d'Aboisso (Ouest, 33 localités dans 05 terroirs, avec 2 coopératives) et de Duékoué (Sud-Est, 46 localités dans 05 terroirs, avec 2 coopératives)."/>
    <s v="Femmes des communautés productrices de cacao et producteurs de cacao"/>
    <n v="6474"/>
    <n v="4220"/>
    <n v="10694"/>
    <n v="32370"/>
    <n v="21100"/>
    <n v="53470"/>
    <s v="Les participants directs sont tous ceux qui ont été sensibilisés, formés, qui ont reçus un appui matériel ou technique ou qui participent aux AVEC. Ils sont calculés en faisant un simple comptage. Les mêmes individus ayant participé à plusieurs activités ou ayant bénéficié de divers appusi sont comptés une seule fois.                                                                                                                             Les participants indirects sont ceux qui bénéficient indirectement du projet à travers les participants directs. Nous nous sommes appuyés sur l'approche ménage (quand un membre de ménage bénéficie d'un appui, indirectement les autres membres en bénéficient).  En référence aux statistiques nationales relatives à la taille des ménages en Côte d'ivoire (RGPH 2014), nous avons considéré 06 membres par ménage. Ainsi, hormi le participant direct, il en reste 05. Autrement dit, nous avons un ratio dde 01 participant pour 05 participants indirects. Pour calculer le nombre de participants indirects, le nombre de participants directs a été multiplié par 05."/>
    <m/>
    <m/>
    <m/>
    <m/>
    <m/>
    <m/>
    <m/>
    <m/>
    <m/>
    <m/>
    <m/>
    <m/>
    <m/>
    <m/>
    <m/>
    <m/>
    <m/>
    <m/>
    <m/>
    <m/>
    <m/>
    <m/>
    <m/>
    <m/>
    <m/>
    <m/>
    <m/>
    <m/>
    <m/>
    <m/>
    <m/>
    <m/>
    <m/>
    <m/>
    <m/>
    <m/>
    <m/>
    <m/>
    <m/>
    <m/>
    <m/>
    <m/>
    <m/>
    <m/>
    <m/>
    <m/>
    <m/>
    <m/>
    <m/>
    <m/>
    <m/>
    <m/>
    <m/>
    <m/>
    <m/>
    <m/>
    <m/>
    <m/>
    <m/>
    <m/>
    <n v="8727"/>
    <n v="3234"/>
    <n v="11961"/>
    <n v="43635"/>
    <n v="16170"/>
    <n v="59805"/>
    <m/>
    <m/>
    <m/>
    <m/>
    <m/>
    <m/>
    <m/>
    <m/>
    <m/>
    <m/>
    <m/>
    <m/>
    <m/>
    <m/>
    <m/>
    <m/>
    <m/>
    <m/>
    <m/>
    <m/>
    <m/>
    <m/>
    <m/>
    <m/>
    <m/>
    <m/>
    <m/>
    <m/>
    <m/>
    <m/>
    <m/>
    <m/>
    <m/>
    <m/>
    <m/>
    <m/>
    <m/>
    <m/>
    <m/>
    <m/>
    <m/>
    <m/>
    <m/>
    <m/>
    <m/>
    <m/>
    <m/>
    <m/>
    <m/>
    <m/>
    <m/>
    <m/>
    <m/>
    <m/>
    <m/>
    <m/>
    <m/>
    <m/>
    <m/>
    <m/>
    <s v="YES"/>
    <n v="8404"/>
    <n v="0.7026"/>
    <n v="42020"/>
    <m/>
    <m/>
    <m/>
    <m/>
    <m/>
    <s v="YES"/>
    <s v="March"/>
    <n v="2017"/>
    <m/>
    <m/>
    <m/>
    <m/>
    <s v="Nous souhaiterions être associés aux prochaines évaluations pilotées par le Bailleur"/>
    <x v="1"/>
    <m/>
    <m/>
    <m/>
    <s v="YES"/>
    <m/>
    <m/>
    <m/>
    <m/>
    <m/>
    <x v="1"/>
    <s v="le renforcement des capacités des CDCOM (représantant les communautés rurales) pour conduire elles mêmes des actions de lobbying en vue d'impliquer divers partenaires au developpement dans la recherche de solutions à leurs besoins"/>
    <x v="1"/>
    <s v="le projet est mis en œuvre dans les zones d'Aboisso et de Duékoué où il a été demandé au Partenaire de mise en œuvre de repliquer les différentes stratégies developpées par CARE, en vue d'accroître le nombre de bénéficiaires du projet"/>
    <x v="1"/>
    <x v="0"/>
    <s v="YES"/>
    <x v="0"/>
    <x v="0"/>
    <x v="0"/>
    <x v="0"/>
    <n v="4"/>
    <x v="1"/>
    <x v="1"/>
    <x v="1"/>
    <x v="1"/>
    <x v="1"/>
    <x v="1"/>
    <n v="4"/>
    <x v="1"/>
    <x v="1"/>
    <x v="1"/>
    <x v="1"/>
    <x v="1"/>
    <n v="3"/>
    <x v="3"/>
    <x v="3"/>
    <n v="3"/>
    <s v="National government"/>
    <s v="Multilateral organization(s)"/>
    <s v="Local NGO(s)/CSO(s)"/>
    <x v="0"/>
    <s v="le projet a contribué au renforcement des capacités des leaders communautaires et des membres des CDCOM terroirs sur le statut de la chefferie, la procédure d’obtention d’une infrastructure, la procédure d’érection d’une localité en village et l’exploitation forestière"/>
    <s v="le projet connaît une restructuration budgétaire qui entraine une réorganisation du plan d'action et le suivi de celui-ci"/>
    <s v="L'action des Comités de Développement Communautaire (CDCOM) dans la réalisation des Plans d'Actions"/>
    <s v="Le developpement du partenariat"/>
    <s v="L'identification et le renforcement des capacités des Chargés de Suivi Evaluation (CSE) au niveau communautaire"/>
    <s v="L'engagement des membres des Comités de Développement Communautaire (CDCOM) permet son bon fonctionnement et la mise en œuvre effective du Plan d'Action Communautaire (PAC)"/>
    <s v="La collaboration avec les partenaires (coopératives et trader) a facilité la réalisation des Diagnostics Participatifs. Les réunions de coordination ont contribué à une bonne synergie d'actions dans le cadre de la réalisation des activités"/>
    <s v="Le renforcement des capacités des CSE contribue à collecter des données de meilleures qualités au plan local"/>
    <s v="le renforcement des capacités des femmes en matière de construction et d'utilisation des foyers améliorés contribuant à réduire la dégradation et la pollution de l'environnement"/>
    <s v="le workplan 2017, le plan de suivi evaluation, le manuel de procedure de gestion des données, les rapports d'activités et rapports trimestriels, les rapports des diagnostics participatifs"/>
    <n v="11961"/>
    <n v="59805"/>
    <n v="5"/>
    <n v="0.72962126912465508"/>
    <n v="0.72962126912465508"/>
    <n v="8727"/>
    <n v="43635"/>
    <s v=""/>
    <n v="0"/>
    <n v="0"/>
    <s v=""/>
    <s v=""/>
    <n v="0"/>
    <n v="0"/>
    <s v=""/>
    <s v=""/>
    <n v="0"/>
    <n v="0"/>
    <s v=""/>
    <s v=""/>
    <n v="0"/>
    <n v="0"/>
    <s v=""/>
    <n v="1"/>
    <n v="8404"/>
    <n v="42020"/>
    <n v="5"/>
    <s v="2. Sensitive"/>
    <s v="2. Accommodating"/>
    <s v="2. Sensitive"/>
    <s v="It tested new ways for fighting poverty, but did not measure results of innovation"/>
    <s v="Moderate advocacy"/>
    <s v="It linked and worked with strategic alliances and partners to take tested and effective solutions to scale"/>
  </r>
  <r>
    <x v="14"/>
    <x v="2"/>
    <n v="2864"/>
    <s v="PARSSI (Appui à la Redynamisation des établissements sanitaire à base communautaire de la commune de San de la Commune de San Pedro)"/>
    <s v="Cote d'Ivoire"/>
    <n v="2864"/>
    <s v="CARE France"/>
    <s v="Multilateral agency"/>
    <s v="EU - European Union (other than ECHO)"/>
    <s v="EU"/>
    <m/>
    <m/>
    <m/>
    <m/>
    <m/>
    <m/>
    <m/>
    <m/>
    <m/>
    <m/>
    <m/>
    <m/>
    <m/>
    <m/>
    <m/>
    <m/>
    <m/>
    <m/>
    <m/>
    <m/>
    <m/>
    <m/>
    <m/>
    <m/>
    <m/>
    <m/>
    <m/>
    <m/>
    <m/>
    <m/>
    <m/>
    <m/>
    <m/>
    <m/>
    <m/>
    <m/>
    <m/>
    <m/>
    <m/>
    <m/>
    <m/>
    <m/>
    <m/>
    <m/>
    <m/>
    <d v="2014-07-03T00:00:00"/>
    <d v="2016-11-21T00:00:00"/>
    <d v="2017-11-21T00:00:00"/>
    <s v="Development Sexual, Reproductive and Maternal Health (SRMH)"/>
    <n v="1241904.29"/>
    <s v="GUILLAUME AGUETTANT"/>
    <s v="DIRECTEUR PAYS"/>
    <s v="gaguettant@care.org"/>
    <s v="YAO NDRI"/>
    <s v="CONSEILLER TECHNIQUE"/>
    <s v="ndri.yao@care.org"/>
    <s v="NO"/>
    <s v="YES"/>
    <s v="NO"/>
    <s v="Contribuer à améliorer l’offre de soins dans le district de San Pedro en général et en particulier dans le quartier de Bardot au profit des groupes vulnérables"/>
    <s v="Sub-National"/>
    <s v="Le projet est mis en œuvre dans la Commune de San Pedro, Région Sanitaire du Gboklê Nawa San Pedro"/>
    <s v="Cibles: les 4 ESCom du quartier Bardot de la commune de San Pedro, la Direction régionale, le District sanitaire de San Pedro, les structures communautaires impliquées dans la gestion des ESCom et les Collectivités locales notamment la Mairie et le Conseil Régional_x000a_Bénéficiaires finaux: La population générale de la commune de San Pedro, en particulier les femmes et les enfants de moins de 5 ans."/>
    <n v="190200"/>
    <n v="240000"/>
    <n v="420200"/>
    <n v="337536"/>
    <n v="351312"/>
    <n v="688848"/>
    <s v="Participants directs: Femmes en âge de reproduction, les enfants de 0-5 ans; les femmes enceintes, tous  les malades et population bénéficiant des soins préventifs, promotionnels et curatifs dans les ESCOM cibles du projet_x000a_Participants indirects: prestataires de santé, les membres des COGES, CCDQ, population générale de la commune de San Pédro et tous les parents qui habitent le département de San Pédro"/>
    <m/>
    <m/>
    <m/>
    <m/>
    <m/>
    <m/>
    <m/>
    <m/>
    <m/>
    <m/>
    <m/>
    <m/>
    <m/>
    <m/>
    <m/>
    <m/>
    <m/>
    <m/>
    <m/>
    <m/>
    <m/>
    <m/>
    <m/>
    <m/>
    <m/>
    <m/>
    <m/>
    <m/>
    <m/>
    <m/>
    <m/>
    <m/>
    <m/>
    <m/>
    <m/>
    <m/>
    <m/>
    <m/>
    <m/>
    <m/>
    <m/>
    <m/>
    <m/>
    <m/>
    <m/>
    <m/>
    <m/>
    <m/>
    <m/>
    <m/>
    <m/>
    <m/>
    <m/>
    <m/>
    <m/>
    <m/>
    <m/>
    <m/>
    <m/>
    <m/>
    <n v="144400"/>
    <n v="160000"/>
    <n v="304400"/>
    <n v="188380"/>
    <n v="196068"/>
    <n v="384448"/>
    <m/>
    <m/>
    <m/>
    <m/>
    <m/>
    <m/>
    <m/>
    <m/>
    <m/>
    <m/>
    <m/>
    <m/>
    <m/>
    <m/>
    <m/>
    <m/>
    <m/>
    <m/>
    <m/>
    <m/>
    <m/>
    <m/>
    <m/>
    <m/>
    <s v="YES"/>
    <n v="304400"/>
    <n v="0.79"/>
    <n v="384448"/>
    <m/>
    <m/>
    <m/>
    <m/>
    <m/>
    <m/>
    <m/>
    <m/>
    <s v="YES"/>
    <n v="304400"/>
    <n v="0.79"/>
    <n v="384448"/>
    <m/>
    <m/>
    <m/>
    <m/>
    <m/>
    <m/>
    <m/>
    <m/>
    <m/>
    <m/>
    <m/>
    <m/>
    <m/>
    <m/>
    <m/>
    <m/>
    <m/>
    <m/>
    <m/>
    <m/>
    <m/>
    <m/>
    <m/>
    <m/>
    <m/>
    <m/>
    <m/>
    <m/>
    <m/>
    <s v="NO"/>
    <m/>
    <m/>
    <s v="NO"/>
    <s v="YES"/>
    <s v="November"/>
    <n v="2017"/>
    <s v="Il s'agira de faire une évaluation finale du projet pour apprécier l'impact des actions. Elle se fera aux niveaux des ESCOM cibles et auprès des bénéficiaires directs et indirects."/>
    <x v="1"/>
    <s v="YES"/>
    <s v="YES"/>
    <s v="YES"/>
    <s v="YES"/>
    <s v="YES"/>
    <s v="NO"/>
    <s v="NO"/>
    <s v="NO"/>
    <m/>
    <x v="1"/>
    <s v="Redynamisation des comités de gestion des centres de santé sur la base de la mise en place des Comités Communautaires de développement de quartier (CCDQ). Ce qui a faciliter l'implication véritable des communautés aux problèmes de santé. Les comités d'assainissement ont été installés pour lutter contre les maladies dirrhéiques dans les pricipaux quartiers de la commune."/>
    <x v="1"/>
    <s v="Durant la période de mise en œuvre, les affiliés que sont les collectivités locales, les responsables administratifs et sanitaires  et communautaires ont bénéficié de renforement de capacités. Les actions de plaidoyer ont permis d'obtenir gratuitement un terrain pour la construction d'un nouveau centre de santé dans une zone de silence sanitaire."/>
    <x v="2"/>
    <x v="0"/>
    <s v="YES"/>
    <x v="0"/>
    <x v="0"/>
    <x v="0"/>
    <x v="0"/>
    <n v="4"/>
    <x v="1"/>
    <x v="1"/>
    <x v="1"/>
    <x v="1"/>
    <x v="1"/>
    <x v="1"/>
    <n v="4"/>
    <x v="3"/>
    <x v="1"/>
    <x v="1"/>
    <x v="1"/>
    <x v="4"/>
    <n v="3"/>
    <x v="0"/>
    <x v="0"/>
    <n v="3"/>
    <s v="National government"/>
    <s v="Local government(s)"/>
    <s v="Grassroots organization(s)"/>
    <x v="0"/>
    <s v="Implémentation de la méthodologie PHAST (PARTICIPATION A LA TRANSFORMATION DE L'HYGIENE ET DE L'ASSAINISSEMENT)  pour lutter contre les maladies diarrhéiques_x000a_Rédynamisation des COGES des centres de santé avec l'appui des CCDQ installés"/>
    <s v="L'année fiscale a été marquée par des interventions allant dans le sens du changement de comportement des bénéficiaires, à la mobilisation et à la fréquentation des centres de santé ciblés. L'approche qualité basée sur les droits des clients et les besoins des prestataires a été mise en place et permis de renforcer les capacité d'accueil et à la fréquentation des services de santé.Ensuite, les activités liées au renforcement de capacité sur la vie associative et la bonne gouvernance, la gestion financière et le paquet minimum d'activité ont été addrsssées."/>
    <s v="La mise en œuvre de la méthode PHAST vise de façon participative à donner à la communauté, les connaissances, l'autonomie et la responsabilité nécessaires. Ainsi, grâce à cette méthode, nous avons contribuer de façon significative aux efforts communs pour améliorer l'environnement et la santé."/>
    <s v="Le COPE est une approche d’amélioration de la qualité des services de santé basée sur l’auto-évaluation du personnel de santé. Il a été initié en 1998 par un organisme appelé EngenderHealth qui  a identifié sept (07) DROITS des clients et des trois (03) BESOINS du personnel sanitaires afin d’améliorer la qualité des services de santé. Chaque ESCOM a identifié entre  dix-neuf (19) à quarante-cinq (45) problèmes, dont les actions et/ou les recommandations sont formulées pour leur résolution selon les responsabilités partagées dans le temps. Voilà pourquoi après trois (03) mois de mise en œuvre, la plupart des problèmes identifiés par les centres de santé ont été résolus, d’autres ont été partiellement résolus et d’autres enfin n’ont pas été du tout résolus."/>
    <s v="L'approche de partenariat avec les collectivités locales dans la mise en oeuvre de ce projet a permis d'obtenir un terrain pour la construction d'un centre de santé dans la zone de silence sanitaire au quartier DAFCI."/>
    <s v="L'expérience de collaboration avec une ONG locale récipiendaire principale avec une ONG intervationale CARE a permis de relever les défis de gouvernance et bonne gestion."/>
    <s v="La population des quartiers précaires qui ont bénéficié de la mise en ouvre de la méthode PHAST ont un environnement sain."/>
    <s v="L'implication effective des communautés dans le fonctionnement des COGES facilite la mobilisation de la population et la fréquentation des centres de santé."/>
    <s v="Pour cette année la mise en œuvre du projet s'est focalisée sur le renforcement de capacités des acteurs clés du projet. Le renforcement du plateau technique et la prise en compte des équipements techniques des centres de santé."/>
    <m/>
    <n v="304400"/>
    <n v="384448"/>
    <n v="1.2629697766097241"/>
    <n v="0.47437582128777922"/>
    <n v="0.49000124854336607"/>
    <n v="144400"/>
    <n v="188380"/>
    <s v=""/>
    <n v="0"/>
    <n v="0"/>
    <s v=""/>
    <n v="1"/>
    <n v="304400"/>
    <n v="384448"/>
    <n v="1.2629697766097241"/>
    <s v=""/>
    <n v="0"/>
    <n v="0"/>
    <s v=""/>
    <s v=""/>
    <n v="0"/>
    <n v="0"/>
    <s v=""/>
    <s v=""/>
    <n v="0"/>
    <n v="0"/>
    <s v=""/>
    <s v="2. Sensitive"/>
    <s v="2. Accommodating"/>
    <s v="4. Transformative"/>
    <s v="It tested new ways for fighting poverty, but did not measure results of innovation"/>
    <s v="Moderate advocacy"/>
    <s v="It linked and worked with strategic alliances and partners to take tested and effective solutions to scale"/>
  </r>
  <r>
    <x v="14"/>
    <x v="2"/>
    <n v="2866"/>
    <s v="POWER AFRICA"/>
    <s v="Cote d'Ivoire"/>
    <n v="2866"/>
    <s v="CARE USA"/>
    <s v="Foundation"/>
    <s v="Other"/>
    <s v="MasterCard Foundation"/>
    <m/>
    <m/>
    <m/>
    <m/>
    <m/>
    <m/>
    <m/>
    <m/>
    <m/>
    <m/>
    <m/>
    <m/>
    <m/>
    <m/>
    <m/>
    <m/>
    <m/>
    <m/>
    <m/>
    <m/>
    <m/>
    <m/>
    <m/>
    <m/>
    <m/>
    <m/>
    <m/>
    <m/>
    <m/>
    <m/>
    <m/>
    <m/>
    <m/>
    <m/>
    <m/>
    <m/>
    <m/>
    <m/>
    <m/>
    <m/>
    <m/>
    <m/>
    <m/>
    <m/>
    <m/>
    <d v="2013-11-01T00:00:00"/>
    <d v="2017-12-31T00:00:00"/>
    <d v="2018-03-01T00:00:00"/>
    <s v="Development Access to and Control over Economic Resources"/>
    <n v="3171530"/>
    <s v="ABDOU FATI KARINE"/>
    <s v="CHEF DE PROJET"/>
    <s v="fati.abdou@care.org"/>
    <s v="TAKIKAN LEONARD"/>
    <s v="RESPONSABLE DE SUIVI ET EVALUATION"/>
    <s v="ltaki@care.org"/>
    <s v="NO"/>
    <s v="YES"/>
    <s v="NO"/>
    <s v="Mise à échelle de 6000 groupement d'Association Villageois d'Epargne et Crédit et la mise  en lien de 25 000 membres aux FSP"/>
    <s v="Sub-National"/>
    <s v="Le projet est mise en oeuvre en milieu rural, peri-urbain et urbain des régions de Man; Bouaké;Korhogo; et Abidjan."/>
    <s v="Les filles et femmes chefs de menages en milieu rural et peri urbain                                                                                                                                                                                                                                 Les hommes et jeunes garçons descolarisés et defavorises intervenant dans les tarvaux précaires et/ou petits boulots peu valorisant"/>
    <n v="87500"/>
    <n v="37500"/>
    <n v="125000"/>
    <n v="350000"/>
    <n v="150000"/>
    <n v="500000"/>
    <s v="Les participants directs sont ciblés par le projet , les jeunes et femmes chef de menage, les hommes sans emplois , soit 125 000 membres (70% femmes et 30% hommes)                                                                                                                                                                                                                                                                                                                                               Les participants indirects sont estimés à partir du nombre moyen par menage qui est de 6.On a  appliquer la formule suivante: Participants indirects= Participant direct X 6 ."/>
    <m/>
    <m/>
    <m/>
    <m/>
    <m/>
    <m/>
    <m/>
    <m/>
    <m/>
    <m/>
    <m/>
    <m/>
    <m/>
    <m/>
    <m/>
    <m/>
    <m/>
    <m/>
    <m/>
    <m/>
    <m/>
    <m/>
    <m/>
    <m/>
    <m/>
    <m/>
    <m/>
    <m/>
    <m/>
    <m/>
    <m/>
    <m/>
    <m/>
    <m/>
    <m/>
    <m/>
    <m/>
    <m/>
    <m/>
    <m/>
    <m/>
    <m/>
    <m/>
    <m/>
    <m/>
    <m/>
    <m/>
    <m/>
    <m/>
    <m/>
    <m/>
    <m/>
    <m/>
    <m/>
    <m/>
    <m/>
    <m/>
    <m/>
    <m/>
    <m/>
    <n v="24363"/>
    <n v="13225"/>
    <n v="37588"/>
    <n v="146178"/>
    <n v="79350"/>
    <n v="225528"/>
    <m/>
    <m/>
    <m/>
    <m/>
    <m/>
    <m/>
    <m/>
    <m/>
    <m/>
    <m/>
    <m/>
    <m/>
    <m/>
    <m/>
    <m/>
    <m/>
    <m/>
    <m/>
    <m/>
    <m/>
    <m/>
    <m/>
    <m/>
    <m/>
    <m/>
    <m/>
    <m/>
    <m/>
    <m/>
    <m/>
    <m/>
    <m/>
    <m/>
    <m/>
    <m/>
    <m/>
    <m/>
    <m/>
    <m/>
    <m/>
    <m/>
    <m/>
    <m/>
    <m/>
    <m/>
    <m/>
    <m/>
    <m/>
    <m/>
    <m/>
    <m/>
    <m/>
    <m/>
    <m/>
    <m/>
    <m/>
    <m/>
    <m/>
    <m/>
    <m/>
    <s v="YES"/>
    <n v="37588"/>
    <n v="0.64800000000000002"/>
    <n v="225528"/>
    <m/>
    <m/>
    <m/>
    <m/>
    <m/>
    <s v="YES"/>
    <s v="February"/>
    <n v="2017"/>
    <s v="YES"/>
    <s v="NO"/>
    <m/>
    <m/>
    <m/>
    <x v="1"/>
    <s v="NO"/>
    <s v="NO"/>
    <s v="YES"/>
    <s v="NO"/>
    <s v="YES"/>
    <s v="NO"/>
    <s v="NO"/>
    <s v="YES"/>
    <s v="Plaidoyer pour l'adoption de la strategie de l'inclusion financière en faveur des femmes vulnérables."/>
    <x v="1"/>
    <s v="Au compte des innvations , le projet est en train d'implementation la strategie à travers l'approche district visant à impliquer les collectivités territoriales.Le document de plaidoyer sur l'inclusion financière en faveur des femmes vulnerable."/>
    <x v="1"/>
    <s v="Au niveau interne, le projet travaille avec les autres initiatives du bureau en terme de synergie des actions et de complementarité des activités visant à multiplier l'impact.Au niveau externe, le prjet travaille avec 4 partenaires opérationnelles  pour assurer une présence de proximité sur le terrain et garantir un impact plus large."/>
    <x v="1"/>
    <x v="1"/>
    <s v="YES"/>
    <x v="0"/>
    <x v="0"/>
    <x v="0"/>
    <x v="2"/>
    <n v="4"/>
    <x v="1"/>
    <x v="1"/>
    <x v="1"/>
    <x v="1"/>
    <x v="1"/>
    <x v="1"/>
    <n v="4"/>
    <x v="1"/>
    <x v="1"/>
    <x v="1"/>
    <x v="1"/>
    <x v="1"/>
    <n v="3"/>
    <x v="0"/>
    <x v="2"/>
    <n v="9"/>
    <m/>
    <s v="Local NGO(s)/CSO(s)"/>
    <s v="Private sector"/>
    <x v="2"/>
    <s v="La société civil au cours de cette année fiscale a bénéficié des seances d'information sur les actions et résultats du projet,des ateliers d'apprentissage ont été organsés par les partenaires de mise en œuvre (à l'égard de la société civile); des renforecment de leurs capacité sur le genre ont été organisés."/>
    <s v="Au cours de cette année fiscale, deux changements majeurs sont intervenus au niveaux des activités liées aux  objectifs et resultats du projet.Les activités de mise en place des groupements ont été suspendue et l'accent a été mis sur le suivi de la qualité des groupes déja mis en place.Ensuite, les activités liées au renforcement de capacité sur l'éducation financière ont été arretées au profit du renforcement de capacité sur l'entrepreneuriat. Un consultant a été aussi recruté pour implémenter et faire le suivi du plan de renforcement de capcité des partenaires de mise en eouvre."/>
    <s v="La mise en place de la strategie sur l'inclusion financière pour l'autonomisation des femmes vulnerable et qui fait en ce moment l'objet d'un plaidoyer au près du Gouvernement pour son adoption au niveau national.Lorsqu'elle sera opérationnelle,les collectivités decentralisées pourraient s'approprier de cette strategie pour contribuer à la multiplication de l'impact et à l'atteinte des objectifs de CARE 2020."/>
    <s v="L'approche de partenariat avec les Conseils Généraux et Communes utilisée par les 4 partenaires de mise en eouvre va fortement contribuer à l'atteinte des objectifs de CARE 2020.Cette approche va scuciter les leaders d'opinion,les associaions feminimes , les chefs coutumiers et  les communatés bénéficiaires de s'approprier et d'assurer la durabilités des actions du projet."/>
    <s v="Le renforcement de capacité organisationnelle et institutionnelle des 4 partenaires (ONG ) durant cette année fiscale leurs ont fait disposer de tous les outils de recherches et capter des financements; d'assurer la bonne gouvernance et la durabilité des actions du projet.Il a permis aux partenaires d'acquerir d'autres financements et d'autres son en phase de negociation de d'autres financements avec d'autres bailleurs."/>
    <s v="Nous retenons qu'en plus de la facilitation de CARE aux groupes AVEC pour l'accès aux services financiers formels, les actions du projet ont conduit certains groupes non facilités à accéder de façon spontanée à certains services financier (ouverture de compte, epargne et créit ).Ces groupes sont dotés d'une bonne performance en terme de mouvement sur leurs compte."/>
    <s v="La prise en compte du marqueur genre dans l'analyse des informations (genre) a permis à l'équipe projet de se rendre compte l'action des activités de l'entrepreneuriat et de l'edcucation financière ont fortement participé à la bonne gestions des AGRs ainsi que le controle des ressources  par les bénéficiaires."/>
    <m/>
    <s v="Pour cette année la mise en œuvre du projet s'est focalisée sur la qualité des groupes mis en place  pendant les années anterieurs et la qualité du processus du lien financier.La strategie de plaidoyer sur l'inclusion financière a crée une dynamique dans le processus du lien de nos membres aus FSP."/>
    <s v="• Client survey report 2017;  Workshop of strengthening of capacities in management of conflicts and governance (https://youtu.be/XVusVQv3dc8);_x000a_• The workshop of strengthening of capacity of the partners of implementation in Monitoring and Evaluation (https://youtu.be/NQVgm9jp2ak).                                                                 • Linkage Awareness (https://www.youtube.com/watch?v=lmM1rhgQS0k) _x000a_• Signing of an ANADER-CARE agreement (https://www.youtube.com/watch?v=C9zL-2XV44Q)_x000a_• Media coverage on the event of Memorandum of understanding (MoU) signing between CARE International and ADVANS. ANADER transmitted this in the local media including RTI 1 and  on YouTube platform: https://www.youtube.com/watch?v=C9zL-2XV44Q"/>
    <n v="37588"/>
    <n v="225528"/>
    <n v="6"/>
    <n v="0.64815898691071616"/>
    <n v="0.64815898691071616"/>
    <n v="24363"/>
    <n v="146178"/>
    <s v=""/>
    <n v="0"/>
    <n v="0"/>
    <s v=""/>
    <s v=""/>
    <n v="0"/>
    <n v="0"/>
    <s v=""/>
    <s v=""/>
    <n v="0"/>
    <n v="0"/>
    <s v=""/>
    <s v=""/>
    <n v="0"/>
    <n v="0"/>
    <s v=""/>
    <n v="1"/>
    <n v="37588"/>
    <n v="225528"/>
    <n v="6"/>
    <s v="4. Transformative"/>
    <s v="2. Accommodating"/>
    <s v="2. Sensitive"/>
    <s v="It tested new ways for fighting poverty, but did not measure results of innovation"/>
    <s v="Moderate advocacy"/>
    <s v="It linked and worked with strategic alliances and partners to take tested and effective solutions to scale"/>
  </r>
  <r>
    <x v="14"/>
    <x v="2"/>
    <m/>
    <s v="Projet d'appui à l'engagement soutenu des femmes dans la consolidation de la paix et de la sécurité à l'ouest de la Côte d'Ivoire (SWEEP)"/>
    <s v="Cote d'Ivoire"/>
    <s v="UNDPCI0003"/>
    <s v="CARE USA"/>
    <s v="Multilateral agency"/>
    <s v="UN - United Nations agencies/offices"/>
    <s v="UNPBF"/>
    <m/>
    <m/>
    <m/>
    <m/>
    <m/>
    <m/>
    <m/>
    <m/>
    <m/>
    <m/>
    <m/>
    <m/>
    <m/>
    <m/>
    <m/>
    <m/>
    <m/>
    <m/>
    <m/>
    <m/>
    <m/>
    <m/>
    <m/>
    <m/>
    <m/>
    <m/>
    <m/>
    <m/>
    <m/>
    <m/>
    <m/>
    <m/>
    <m/>
    <m/>
    <m/>
    <m/>
    <m/>
    <m/>
    <m/>
    <m/>
    <m/>
    <m/>
    <m/>
    <m/>
    <m/>
    <d v="2017-03-06T00:00:00"/>
    <d v="2018-08-05T00:00:00"/>
    <m/>
    <s v="Development Other"/>
    <n v="1000000"/>
    <s v="COULIBALY Losseni"/>
    <s v="Coordonnateur"/>
    <s v="losseni.coulibaly@care.org"/>
    <s v="SEKONGO Tchorna"/>
    <s v="Chargé de Suivi Evaluation et Gestion des Connaissances"/>
    <s v="sekongo.tchorna@care.org"/>
    <s v="NO"/>
    <s v="YES"/>
    <s v="NO"/>
    <s v="L'objectif principal du projet SWEEP est de renforcer la consolidation de la paix et la sécurité à travers l'implication des femmes et des jeunes dans les initiatives communautaires et administratives et la liberté d'exercices de leurs activités commerciales"/>
    <s v="Sub-National"/>
    <s v="Le projet se déroule à l'ouest de la Côte d'Ivoire dans les départements de Bloléquin, Guiglo, Taï, Toulepleu et Tabou. Ses activités se déroulent dans 50 villages desdits départements en raison de 10 villages par Département."/>
    <s v="Le projet SWEEP vise spécifiquement les femmes et les jeunes impliqués dans le petit commerce dans et à travers les communautés cibles frontalières dans les départements de Bloléquin, Guiglo, Taï, Toulepleu et Tabou, en raison de leur rôle central dans l'économie locale de leurs communautés. Les femmes et les jeunes sont particulièrement vulnérables aux crises sécuritaires et de violence périodiques causées soit par des incursions de groupes armés à travers la frontière du Libéria soit par des abus du personnel de sécurité."/>
    <n v="3500"/>
    <n v="5000"/>
    <n v="8500"/>
    <n v="24500"/>
    <n v="35000"/>
    <n v="59500"/>
    <s v="Les bénéficiaires directs sont les femmes et les jeunes bénéficieront directement des actions du projet à travers les séances de formation et leur restitution, les séances de sensiblisation, la participation aux espaces de dialogues sociosécuritaires, les panels d'enregistrement radio et diffusion. Le nombre des bénéficiaires directs est calculé sur la base des comptages obtenus à partir des listes de présence et les outils primaires de collecte des données_x000a__x000a_Les bénéficiaires indirects sont toutes les personnes qui seront affectées par les actions du projet à travers les réponses aux rapports des incidents sécuritaires, l'effet des diffusions et publications des messages radiophoniques, les notes circulaires de resolution des incidents, les actions de prévention sécuritaires liées aux messages d'allerte;..._x000a__x000a_Le nombre des bénéficiaires indirects est calculé par estimation de la taille moyenne des menages des bénéficiaires directes des femmes et des jeunes, soit (3500x8 + 5000x8)- 8500."/>
    <m/>
    <m/>
    <m/>
    <m/>
    <m/>
    <m/>
    <m/>
    <m/>
    <m/>
    <m/>
    <m/>
    <m/>
    <m/>
    <m/>
    <m/>
    <m/>
    <m/>
    <m/>
    <m/>
    <m/>
    <m/>
    <m/>
    <m/>
    <m/>
    <m/>
    <m/>
    <m/>
    <m/>
    <m/>
    <m/>
    <m/>
    <m/>
    <m/>
    <m/>
    <m/>
    <m/>
    <m/>
    <m/>
    <m/>
    <m/>
    <m/>
    <m/>
    <m/>
    <m/>
    <m/>
    <m/>
    <m/>
    <m/>
    <m/>
    <m/>
    <m/>
    <m/>
    <m/>
    <m/>
    <m/>
    <m/>
    <m/>
    <m/>
    <m/>
    <m/>
    <m/>
    <m/>
    <m/>
    <m/>
    <m/>
    <m/>
    <m/>
    <m/>
    <m/>
    <m/>
    <m/>
    <m/>
    <m/>
    <m/>
    <m/>
    <m/>
    <m/>
    <m/>
    <m/>
    <m/>
    <m/>
    <m/>
    <m/>
    <m/>
    <m/>
    <m/>
    <m/>
    <m/>
    <m/>
    <m/>
    <m/>
    <m/>
    <m/>
    <m/>
    <m/>
    <m/>
    <m/>
    <m/>
    <m/>
    <m/>
    <m/>
    <m/>
    <m/>
    <m/>
    <m/>
    <m/>
    <m/>
    <m/>
    <m/>
    <m/>
    <m/>
    <m/>
    <m/>
    <m/>
    <m/>
    <m/>
    <m/>
    <m/>
    <m/>
    <m/>
    <m/>
    <m/>
    <m/>
    <m/>
    <m/>
    <m/>
    <m/>
    <m/>
    <m/>
    <m/>
    <m/>
    <m/>
    <m/>
    <m/>
    <m/>
    <s v="NO"/>
    <m/>
    <m/>
    <s v="NO"/>
    <s v="YES"/>
    <s v="August"/>
    <n v="2018"/>
    <s v="Une étude de base est prévue sur le projet et elle est prévu pour la période de Juillet à Septembre 2017. Ces études portent sur l'implication des femmes et des jeunes dans les initiatives gouvernementales de consolidation de la paix et de la sécurité à l'Ouest."/>
    <x v="1"/>
    <s v="NO"/>
    <s v="YES"/>
    <s v="NO"/>
    <s v="NO"/>
    <s v="YES"/>
    <s v="NO"/>
    <s v="NO"/>
    <m/>
    <m/>
    <x v="0"/>
    <s v="Le projet prévoit la mise en place d'un système de collecte d'informations de base sur la sécurité, rapportée par les femmes et les jeunes des milieux communautaires éloignés des centres de décisions. Ainsi, avec un système électronique basé sur le web, les femmes et les jeunes de milieu rural pourront contribuer, en temps réel, à l'influence sur les décisions de sécurité les concernants."/>
    <x v="0"/>
    <m/>
    <x v="1"/>
    <x v="0"/>
    <s v="YES"/>
    <x v="0"/>
    <x v="0"/>
    <x v="0"/>
    <x v="0"/>
    <n v="4"/>
    <x v="1"/>
    <x v="1"/>
    <x v="1"/>
    <x v="1"/>
    <x v="1"/>
    <x v="1"/>
    <n v="4"/>
    <x v="1"/>
    <x v="1"/>
    <x v="1"/>
    <x v="1"/>
    <x v="1"/>
    <n v="3"/>
    <x v="2"/>
    <x v="3"/>
    <n v="3"/>
    <s v="Local NGO(s)/CSO(s)"/>
    <s v="Local government(s)"/>
    <m/>
    <x v="0"/>
    <m/>
    <s v="Ce projet est dans sa phase de démarrage. Il prendra fin en Août 2018"/>
    <m/>
    <m/>
    <m/>
    <s v="RAS, pas encore de leçon apprise à ce stade."/>
    <s v="RAS, pas encore de leçon apprise à ce stade."/>
    <s v="RAS, pas encore de leçon apprise à ce stade."/>
    <m/>
    <m/>
    <n v="0"/>
    <n v="0"/>
    <s v=""/>
    <s v=""/>
    <s v=""/>
    <n v="0"/>
    <n v="0"/>
    <s v=""/>
    <n v="0"/>
    <n v="0"/>
    <s v=""/>
    <s v=""/>
    <n v="0"/>
    <n v="0"/>
    <s v=""/>
    <s v=""/>
    <n v="0"/>
    <n v="0"/>
    <s v=""/>
    <s v=""/>
    <n v="0"/>
    <n v="0"/>
    <s v=""/>
    <s v=""/>
    <n v="0"/>
    <n v="0"/>
    <s v=""/>
    <s v="2. Sensitive"/>
    <s v="2. Accommodating"/>
    <s v="2. Sensitive"/>
    <s v="It did not develop any specific innovation"/>
    <s v="Moderate advocacy"/>
    <s v="It did not take tested solutions to scale"/>
  </r>
  <r>
    <x v="14"/>
    <x v="2"/>
    <n v="2865"/>
    <s v="Projet de Promotion de l'Accès aux Toilettes et aux Emplois à Bouaké et Katiola par la Réutilisation des boues et des urines (PATER)"/>
    <s v="Cote d'Ivoire"/>
    <s v="UVICCI0001"/>
    <s v="No CARE member related to the project/initiative"/>
    <s v="Multilateral agency"/>
    <s v="Other"/>
    <s v="African Development Bank  "/>
    <m/>
    <m/>
    <m/>
    <m/>
    <m/>
    <m/>
    <m/>
    <m/>
    <m/>
    <m/>
    <m/>
    <m/>
    <m/>
    <m/>
    <m/>
    <m/>
    <m/>
    <m/>
    <m/>
    <m/>
    <m/>
    <m/>
    <m/>
    <m/>
    <m/>
    <m/>
    <m/>
    <m/>
    <m/>
    <m/>
    <m/>
    <m/>
    <m/>
    <m/>
    <m/>
    <m/>
    <m/>
    <m/>
    <m/>
    <m/>
    <m/>
    <m/>
    <m/>
    <m/>
    <m/>
    <d v="2014-06-13T00:00:00"/>
    <d v="2017-12-31T00:00:00"/>
    <d v="2018-12-31T00:00:00"/>
    <s v="Development Other"/>
    <n v="1500000"/>
    <s v="COULIBALY Losseni"/>
    <s v="Coordonnateur du Projet"/>
    <s v="losseni.coulibaly@care.org"/>
    <s v="Guillaume AGUETTANT"/>
    <s v="CD"/>
    <s v="aguettant.guillaume@care.org"/>
    <s v="NO"/>
    <s v="YES"/>
    <s v="NO"/>
    <s v="L'objectif principal du projet est l'amélioration des conditions de vie des populations des communes urbaines des régions septentrionales de la Côte d’Ivoire à travers la promotion d’activités économiques le long de la chaîne de gestion des produits de vidange"/>
    <s v="Sub-National"/>
    <s v="Le projet se déroule dans le centre de la Côte d'Ivoire dans les Communes de Bouaké et de Katiola. Le projet mènera des études dans 6 autres communes que sont Sinématiali, Odienne, Man, Bangolo, Daloa et Vavoua"/>
    <s v="Le projet vise essentiellement la création d’activités économiques et des emplois à même d’améliorer durablement l’assainissement des populations défavorisées dans les zones urbaines. Il s'agit essentiellement des populations pauvres des quartiers défavorisées et populaires des zones d'intervention."/>
    <n v="452"/>
    <n v="518"/>
    <n v="970"/>
    <n v="397364"/>
    <n v="423636"/>
    <n v="821000"/>
    <s v="Les bénéficiaires directs sont les femmes et les jeunes qui bénéficieront de l'appui du projet dans les domaines de la création de microentreprises sur la chaine de valeur de gestion des boues de vidange. Le nombre des bénéficiaires directs est calculé sur la base des comptages obtenus à partir des listes des membres des microentreprises et des bénéficiaires des latrines qui seront construites par le projet. Pour les latrines, le calcul se base sur les statistiques officielles de la composition par sexe de la population ivoirienne. _x000a__x000a_Les bénéficiaires indirects sont toutes les personnes qui seront affectées directement par les actions du projet d'assainissement dans les quartiers d'intervention. Il s'agit des populations des quartiers d'intervention du projet dans les deux communes. _x000a__x000a_Le nombre des bénéficiaires indirects est calculé par estimation à partir des données statistiques des Communes pour les quartiers concernés par l'intervention."/>
    <m/>
    <m/>
    <m/>
    <m/>
    <m/>
    <m/>
    <m/>
    <m/>
    <m/>
    <m/>
    <m/>
    <m/>
    <m/>
    <m/>
    <m/>
    <m/>
    <m/>
    <m/>
    <m/>
    <m/>
    <m/>
    <m/>
    <m/>
    <m/>
    <m/>
    <m/>
    <m/>
    <m/>
    <m/>
    <m/>
    <m/>
    <m/>
    <m/>
    <m/>
    <m/>
    <m/>
    <m/>
    <m/>
    <m/>
    <m/>
    <m/>
    <m/>
    <m/>
    <m/>
    <m/>
    <m/>
    <m/>
    <m/>
    <m/>
    <m/>
    <m/>
    <m/>
    <m/>
    <m/>
    <m/>
    <m/>
    <m/>
    <m/>
    <m/>
    <m/>
    <m/>
    <m/>
    <m/>
    <m/>
    <m/>
    <m/>
    <m/>
    <m/>
    <m/>
    <m/>
    <m/>
    <m/>
    <m/>
    <m/>
    <m/>
    <m/>
    <m/>
    <m/>
    <m/>
    <m/>
    <m/>
    <m/>
    <m/>
    <m/>
    <m/>
    <m/>
    <m/>
    <m/>
    <m/>
    <m/>
    <m/>
    <m/>
    <m/>
    <m/>
    <m/>
    <m/>
    <m/>
    <m/>
    <m/>
    <m/>
    <m/>
    <m/>
    <m/>
    <m/>
    <m/>
    <m/>
    <m/>
    <m/>
    <m/>
    <m/>
    <m/>
    <m/>
    <m/>
    <m/>
    <m/>
    <m/>
    <m/>
    <m/>
    <m/>
    <m/>
    <m/>
    <m/>
    <m/>
    <m/>
    <m/>
    <m/>
    <m/>
    <m/>
    <m/>
    <m/>
    <m/>
    <m/>
    <m/>
    <m/>
    <m/>
    <s v="NO"/>
    <m/>
    <m/>
    <s v="NO"/>
    <s v="YES"/>
    <s v="August"/>
    <n v="2017"/>
    <s v="Le projet prévoit la réalisation d'enquêtes CAP sur la situation de l'assainissement dans les quartiers populaires des villes de Bouaké et de Katiola. Ceci permettra de comprendre le comportement des ménages relativement aux problèmes d'assainissement. Par ailleurs, les études situationnelles permettront de mettre en relief les conditions d'entrée du secteur privé dans la chaîne de gestion des boues de vidanges."/>
    <x v="0"/>
    <s v="YES"/>
    <s v="NO"/>
    <s v="NO"/>
    <s v="YES"/>
    <s v="YES"/>
    <s v="NO"/>
    <s v="YES"/>
    <m/>
    <m/>
    <x v="0"/>
    <m/>
    <x v="0"/>
    <m/>
    <x v="0"/>
    <x v="3"/>
    <s v="NO"/>
    <x v="1"/>
    <x v="1"/>
    <x v="1"/>
    <x v="5"/>
    <n v="0"/>
    <x v="3"/>
    <x v="2"/>
    <x v="2"/>
    <x v="2"/>
    <x v="2"/>
    <x v="3"/>
    <n v="0"/>
    <x v="2"/>
    <x v="0"/>
    <x v="0"/>
    <x v="0"/>
    <x v="2"/>
    <n v="0"/>
    <x v="2"/>
    <x v="1"/>
    <m/>
    <m/>
    <m/>
    <m/>
    <x v="1"/>
    <m/>
    <s v="Du fait du grand retard retard accusé dans la sélection du maître d'œuvre pour les études, la formation, le contrôle des travaux et le suivi accompagnement du projet, le projet a soumis une demande d'extension sans coût pour une période de 12 mois. Cette modification a été acceptée. Ce retard a également entrainé un décallage dans l'ensemble des activités à conduire sous ce projet."/>
    <s v="Le projet est dans sa phase de démarrage normale avec la mise en place du contrat du consultant. C'est à partir des travaux de ce dernier que les autres exercices seront conduits."/>
    <m/>
    <m/>
    <s v="Aucune véritable leçon tirée à ce stade de la mise en œuvre du projet."/>
    <m/>
    <m/>
    <m/>
    <m/>
    <n v="0"/>
    <n v="0"/>
    <s v=""/>
    <s v=""/>
    <s v=""/>
    <n v="0"/>
    <n v="0"/>
    <s v=""/>
    <n v="0"/>
    <n v="0"/>
    <s v=""/>
    <s v=""/>
    <n v="0"/>
    <n v="0"/>
    <s v=""/>
    <s v=""/>
    <n v="0"/>
    <n v="0"/>
    <s v=""/>
    <s v=""/>
    <n v="0"/>
    <n v="0"/>
    <s v=""/>
    <s v=""/>
    <n v="0"/>
    <n v="0"/>
    <s v=""/>
    <s v="0. Harmful"/>
    <s v="0. Unaware"/>
    <s v="0. Harmful"/>
    <s v="It did not develop any specific innovation"/>
    <s v="Little or no advocacy"/>
    <s v="It did not take tested solutions to scale"/>
  </r>
  <r>
    <x v="14"/>
    <x v="2"/>
    <n v="2867"/>
    <s v="Prosperous Cocoa-Farming Communities (PROCOCO) &amp; Community Substainability Initiative (CSI)"/>
    <s v="Cote d'Ivoire"/>
    <n v="2867"/>
    <s v="CARE USA"/>
    <s v="Corporation"/>
    <s v="Other"/>
    <s v="Cargill, Inc."/>
    <m/>
    <m/>
    <m/>
    <m/>
    <m/>
    <m/>
    <m/>
    <m/>
    <m/>
    <m/>
    <m/>
    <m/>
    <m/>
    <m/>
    <m/>
    <m/>
    <m/>
    <m/>
    <m/>
    <m/>
    <m/>
    <m/>
    <m/>
    <m/>
    <m/>
    <m/>
    <m/>
    <m/>
    <m/>
    <m/>
    <m/>
    <m/>
    <m/>
    <m/>
    <m/>
    <m/>
    <m/>
    <m/>
    <m/>
    <m/>
    <m/>
    <m/>
    <m/>
    <m/>
    <m/>
    <d v="2013-09-01T00:00:00"/>
    <d v="2016-08-31T00:00:00"/>
    <d v="2017-08-31T00:00:00"/>
    <s v="Development Food &amp; Nutrition Security and Resilience to Climate Change"/>
    <n v="770047"/>
    <s v="N'DJORE Youssouf"/>
    <s v="Coordinateur Programme Cacao et Secteur Privé"/>
    <s v="youssouf.ndjore@care.org"/>
    <s v="SILUE Gninaguignon"/>
    <s v="Coordinateur Activités Terrain"/>
    <s v="gsilue@care.org"/>
    <s v="NO"/>
    <s v="YES"/>
    <s v="NO"/>
    <s v="Contribuer à l'amelioration des conditions de vie des communautés productrices de cacao"/>
    <s v="Sub-National"/>
    <s v="06 régions que sont: Worodougou, Haut-Sassandra, Gôh, Marahoué, Mê et Lôh-Djiboua."/>
    <s v="Les hommes, les femmes, les jeunes et les enfants des communautés productrices de cacao"/>
    <n v="2995"/>
    <n v="3245"/>
    <n v="6240"/>
    <n v="6989"/>
    <n v="7571"/>
    <n v="14560"/>
    <s v="1/3 des populations des localités participantes et des campements satellites représente les participants directs et le reste les participants indirects. Pour avoir l'effectif des participants du sexe feminin, un taux de 48,3% (selon le dernier recensement de la population, 2014, les femmes représente 48,3% de la population totale) a été appliqué à l'effectif total. A titre de rappel, le projet n'a pas fait d'étude de base; seulement une évaluation a mi-parcours a été faite en comparant la localités cibles et des localités temoins."/>
    <m/>
    <m/>
    <m/>
    <m/>
    <m/>
    <m/>
    <m/>
    <m/>
    <m/>
    <m/>
    <m/>
    <m/>
    <m/>
    <m/>
    <m/>
    <m/>
    <m/>
    <m/>
    <m/>
    <m/>
    <m/>
    <m/>
    <m/>
    <m/>
    <m/>
    <m/>
    <m/>
    <m/>
    <m/>
    <m/>
    <m/>
    <m/>
    <m/>
    <m/>
    <m/>
    <m/>
    <m/>
    <m/>
    <m/>
    <m/>
    <m/>
    <m/>
    <m/>
    <m/>
    <m/>
    <m/>
    <m/>
    <m/>
    <m/>
    <m/>
    <m/>
    <m/>
    <m/>
    <m/>
    <m/>
    <m/>
    <m/>
    <m/>
    <m/>
    <m/>
    <n v="1650"/>
    <n v="850"/>
    <n v="2500"/>
    <n v="8839"/>
    <n v="9461"/>
    <n v="18300"/>
    <s v="YES"/>
    <n v="2500"/>
    <n v="0.66"/>
    <n v="18300"/>
    <s v="NO"/>
    <m/>
    <m/>
    <m/>
    <s v="NO"/>
    <m/>
    <m/>
    <m/>
    <s v="NO"/>
    <m/>
    <m/>
    <m/>
    <s v="NO"/>
    <m/>
    <m/>
    <m/>
    <s v="NO"/>
    <m/>
    <m/>
    <m/>
    <s v="NO"/>
    <m/>
    <m/>
    <m/>
    <s v="NO"/>
    <m/>
    <m/>
    <m/>
    <s v="NO"/>
    <m/>
    <m/>
    <m/>
    <s v="NO"/>
    <m/>
    <m/>
    <m/>
    <s v="NO"/>
    <m/>
    <m/>
    <m/>
    <s v="NO"/>
    <m/>
    <m/>
    <m/>
    <s v="NO"/>
    <m/>
    <m/>
    <m/>
    <s v="NO"/>
    <m/>
    <m/>
    <m/>
    <s v="NO"/>
    <m/>
    <m/>
    <m/>
    <s v="NO"/>
    <m/>
    <m/>
    <m/>
    <m/>
    <s v="NO"/>
    <m/>
    <m/>
    <m/>
    <s v="YES"/>
    <s v="February"/>
    <n v="2017"/>
    <s v="YES"/>
    <s v="YES"/>
    <s v="November"/>
    <n v="2017"/>
    <s v="L'administration des questionnaires doit s'adapter au langage ou au niveau de compréhension des communautés; les revenus générés à partir des productions vivrières ne seront pas exhaustives au niveau de la banane plantain, car toute la vente ne sera pas effective pour cause de maturation.  Le nombre de participants (directs et indirects) n'a pas été déterminé dans l'étude de reference, représentée par l'évaluation a mi-parcours."/>
    <x v="1"/>
    <m/>
    <m/>
    <m/>
    <m/>
    <m/>
    <m/>
    <m/>
    <s v="YES"/>
    <s v="Cadre de concertation communautés productrices de cultures de rente et partenaires commerciaux pour le financement de plan d'action communautaire."/>
    <x v="1"/>
    <s v="Dans le but d'être resilient aux changements climatiques, le projet a initié des retenues d'eau en terre battue (dont la mise en place a été enseignée aux communautés) pour leur permettre de produire des vivriers durant toute l'année."/>
    <x v="0"/>
    <m/>
    <x v="1"/>
    <x v="0"/>
    <s v="NO"/>
    <x v="0"/>
    <x v="0"/>
    <x v="1"/>
    <x v="1"/>
    <n v="2"/>
    <x v="1"/>
    <x v="1"/>
    <x v="1"/>
    <x v="1"/>
    <x v="1"/>
    <x v="1"/>
    <n v="4"/>
    <x v="2"/>
    <x v="2"/>
    <x v="2"/>
    <x v="2"/>
    <x v="2"/>
    <n v="0"/>
    <x v="2"/>
    <x v="3"/>
    <n v="5"/>
    <s v="Private sector"/>
    <s v="University/research institution(s)"/>
    <m/>
    <x v="0"/>
    <s v="renforcement des capacités des membres des Comités de Développement Communautaire et leaders communautaire pour la mise en œuvre de plans d'action communautaire."/>
    <s v="le projet PROCOCO a apporté un veritable changement dans les communautés participantes au projet dans la mesure où les hommes aident leurs femmes à : transporter les vivres du champ à la maison, approvisionner le menage en eau, draisser le lit, laver leurs enfants de 01 à 05 ans et surtout tenir compte de l'avis de la femme dans les prises de decision. Ce qui n'était pas possible auparavant, car il revenait à l'homme seul de prendre les decisions et les toutes les travaux ménagères étaient réserveé exclusivement aux femmes."/>
    <s v="Les comités de développement communautaires et relais communautaires"/>
    <s v="Les VSLA"/>
    <s v="Le cadre de concertation Communauté productrice de cacao et Coopérative de cacao pour le financement de plan d'action communautaire"/>
    <s v="l'approche CDCOM est efficace dans la mise en œuvre de plan d'action communautaires"/>
    <s v="Le Cadre de concertation Communauté productrice de culture de rente et leurs Partenaires commerciaux est un moyen efficace pour mobiliser des financements dediés à la réalisation d'infrastructures communautaires de bases."/>
    <s v="les enseignements en matière de nutrition sont mieux dispensés au sein des VSLA"/>
    <m/>
    <s v="l'évaluation à mi-parcours et les rapports semestriels soumis aux bailleurs"/>
    <n v="2500"/>
    <n v="18300"/>
    <n v="7.32"/>
    <n v="0.66"/>
    <n v="0.48300546448087434"/>
    <n v="1650"/>
    <n v="8839"/>
    <s v=""/>
    <n v="0"/>
    <n v="0"/>
    <s v=""/>
    <n v="1"/>
    <n v="2500"/>
    <n v="18300"/>
    <n v="7.32"/>
    <s v=""/>
    <n v="0"/>
    <n v="0"/>
    <s v=""/>
    <s v=""/>
    <n v="0"/>
    <n v="0"/>
    <s v=""/>
    <s v=""/>
    <n v="0"/>
    <n v="0"/>
    <s v=""/>
    <s v="1. Neutral"/>
    <s v="2. Accommodating"/>
    <s v="0. Harmful"/>
    <s v="It tested new ways for fighting poverty, but did not measure results of innovation"/>
    <s v="Moderate advocacy"/>
    <s v="It did not take tested solutions to scale"/>
  </r>
  <r>
    <x v="14"/>
    <x v="2"/>
    <m/>
    <s v="SAFPAC"/>
    <s v="Cote d'Ivoire"/>
    <m/>
    <s v="CARE USA"/>
    <s v="Government"/>
    <s v="Other"/>
    <s v="Anonymous"/>
    <m/>
    <m/>
    <m/>
    <m/>
    <m/>
    <m/>
    <m/>
    <m/>
    <m/>
    <m/>
    <m/>
    <m/>
    <m/>
    <m/>
    <m/>
    <m/>
    <m/>
    <m/>
    <m/>
    <m/>
    <m/>
    <m/>
    <m/>
    <m/>
    <m/>
    <m/>
    <m/>
    <m/>
    <m/>
    <m/>
    <m/>
    <m/>
    <m/>
    <m/>
    <m/>
    <m/>
    <m/>
    <m/>
    <m/>
    <m/>
    <m/>
    <m/>
    <m/>
    <m/>
    <m/>
    <d v="2017-01-01T00:00:00"/>
    <d v="2018-06-30T00:00:00"/>
    <m/>
    <s v="Development Sexual, Reproductive and Maternal Health (SRMH)"/>
    <n v="150000"/>
    <s v="YAO N'DRI"/>
    <s v="CHEF DE PROJET"/>
    <s v="ndri.yao@care.org"/>
    <s v="TOURE ODETTE"/>
    <s v="SUPERVISEUR COMMUNAUTAIRE"/>
    <s v="odette.toure@care.org"/>
    <s v="NO"/>
    <s v="YES"/>
    <s v="NO"/>
    <s v="Accompagner le gouvernement  dans l’accélération de ses engagements en matière de Planification Familiale d’ici 2020."/>
    <s v="Sub-National"/>
    <s v="Le projet est mis en œuvre dans 10 Formation Sanitaire du département de Méagui dans le district sanitaire de Soubré"/>
    <s v="Toute femme ou fille en activités sexuelles et/ou en âge de reproduction agées de  15 à 49 ans"/>
    <n v="7200"/>
    <n v="0"/>
    <n v="7200"/>
    <n v="73500"/>
    <n v="76500"/>
    <n v="150000"/>
    <s v="Les participants directs sont les femmes âgées de 15 à 49 ans vivant dans le département de Méagui.  _x000a_Les participants indirects sont les couples des femmes bénéficiaires d'une méthode de contraception, les facilitateurs communautaires identifiés sur le projet, les membres des associations et groupements de femmes et leur famille.  Dans l'ensemble, toute la population du département de Méagui fréquentant les formations sanitaires cibles du projet."/>
    <m/>
    <m/>
    <m/>
    <m/>
    <m/>
    <m/>
    <m/>
    <m/>
    <m/>
    <m/>
    <m/>
    <m/>
    <m/>
    <m/>
    <m/>
    <m/>
    <m/>
    <m/>
    <m/>
    <m/>
    <m/>
    <m/>
    <m/>
    <m/>
    <m/>
    <m/>
    <m/>
    <m/>
    <m/>
    <m/>
    <m/>
    <m/>
    <m/>
    <m/>
    <m/>
    <m/>
    <m/>
    <m/>
    <m/>
    <m/>
    <m/>
    <m/>
    <m/>
    <m/>
    <m/>
    <m/>
    <m/>
    <m/>
    <m/>
    <m/>
    <m/>
    <m/>
    <m/>
    <m/>
    <m/>
    <m/>
    <m/>
    <m/>
    <m/>
    <m/>
    <n v="1800"/>
    <n v="0"/>
    <n v="1800"/>
    <n v="5292"/>
    <n v="5508"/>
    <n v="10800"/>
    <m/>
    <m/>
    <m/>
    <m/>
    <m/>
    <m/>
    <m/>
    <m/>
    <m/>
    <m/>
    <m/>
    <m/>
    <m/>
    <m/>
    <m/>
    <m/>
    <m/>
    <m/>
    <m/>
    <m/>
    <m/>
    <m/>
    <m/>
    <m/>
    <m/>
    <m/>
    <m/>
    <m/>
    <m/>
    <m/>
    <m/>
    <m/>
    <m/>
    <m/>
    <m/>
    <m/>
    <m/>
    <m/>
    <m/>
    <m/>
    <m/>
    <m/>
    <m/>
    <m/>
    <m/>
    <m/>
    <m/>
    <m/>
    <m/>
    <m/>
    <m/>
    <m/>
    <s v="YES"/>
    <n v="1800"/>
    <n v="0.25"/>
    <n v="10800"/>
    <m/>
    <m/>
    <m/>
    <m/>
    <m/>
    <m/>
    <m/>
    <m/>
    <m/>
    <m/>
    <m/>
    <m/>
    <m/>
    <s v="YES"/>
    <s v="November"/>
    <n v="2016"/>
    <s v="YES"/>
    <s v="YES"/>
    <s v="December"/>
    <n v="2018"/>
    <s v="1. Evaluer les attitudes des prestataires des Formations Sanitaires du département de Méagui,_x000a_2.  Evaluer les capacités des Formations Sanitaires du département de Méagui."/>
    <x v="1"/>
    <s v="YES"/>
    <s v="YES"/>
    <s v="YES"/>
    <s v="YES"/>
    <s v="YES"/>
    <s v="YES"/>
    <s v="YES"/>
    <s v="YES"/>
    <s v="Plaidoyer pour l'adoption de la loi sur l'avortement médicalisé"/>
    <x v="2"/>
    <s v="Développement de dialogue communuataire sur la base des histoires vécues par les femmes pour promouvoir la santé sexuelle reproductive."/>
    <x v="1"/>
    <s v="Faire face aux pesenteurs socio-culturels exigent la pleine implication des leaders communautaires et réligieux . Ils ont été sollicité pour l'identification des facilitateurs qui sont eux-mêmes issues des associations et groupements formels et informels constitués."/>
    <x v="1"/>
    <x v="0"/>
    <s v="YES"/>
    <x v="0"/>
    <x v="0"/>
    <x v="0"/>
    <x v="0"/>
    <n v="4"/>
    <x v="1"/>
    <x v="1"/>
    <x v="1"/>
    <x v="1"/>
    <x v="1"/>
    <x v="1"/>
    <n v="4"/>
    <x v="1"/>
    <x v="1"/>
    <x v="1"/>
    <x v="1"/>
    <x v="1"/>
    <n v="3"/>
    <x v="0"/>
    <x v="3"/>
    <n v="10"/>
    <s v="National government"/>
    <s v="Local government(s)"/>
    <s v="Grassroots organization(s)"/>
    <x v="0"/>
    <s v="Phase de démarrage des activités classiques du projet. La présentation du projet a été faite. Une réunion de coordination et de présentation des résultats est prévue au FY18."/>
    <s v="L'année fiscale a été marquée par la présentation du projet aux autorités administratives, sanitaires, leaders communautaires. Les prestaires de santé ont bénéficiés d'une formation en PF/SAA."/>
    <s v="1. Planification Familiale: Pour une offre de nouvelles méthodes de contraception dans les FOSA il s'agissait de rendre disponible les contraceptifs dans les 10 FOSA et faire la dispensation selon les portes d'entrées traditionnelles des activités cliniques, promotionnelles et préventives."/>
    <s v="2. Soins post-Avortement: Pour lutter contre les décès matenelles, il faut assurer une prise en charge des cas d'avortement provoqués et spontannés dans un environnement sanitaire sans risque."/>
    <s v="3. S'agissant des références des cas malades et besoins de produits contraceptifs vers les FOSA, les leaders communuatiares ont été approchés pour l'identification des facilitatires communautaires qui bénéficieront d'une formation en PF/SAA et technique de dialogue communautaire au cours du FY18"/>
    <s v="Associer les autorités sanitaires dans l'identification de la zone d'intervention du projet permet d'accompagner le Ministère de la santé dans l'atteinte des objectifs 2020 en planification familiale"/>
    <s v="Le développement du dialogue communautaire sur la base des associations et groupements constitués facilite la mobilisation des femmes et permet solutionner les pesenteurs socio-culturels"/>
    <m/>
    <s v="Le processus d'apprentissage à échelle réduit dans un seul département ne permet pas de faire face aux besoins globaux du district sanitaire"/>
    <m/>
    <n v="1800"/>
    <n v="10800"/>
    <n v="6"/>
    <n v="1"/>
    <n v="0.49"/>
    <n v="1800"/>
    <n v="5292"/>
    <s v=""/>
    <n v="0"/>
    <n v="0"/>
    <s v=""/>
    <s v=""/>
    <n v="0"/>
    <n v="0"/>
    <s v=""/>
    <n v="1"/>
    <n v="1800"/>
    <n v="10800"/>
    <n v="6"/>
    <s v=""/>
    <n v="0"/>
    <n v="0"/>
    <s v=""/>
    <s v=""/>
    <n v="0"/>
    <n v="0"/>
    <s v=""/>
    <s v="2. Sensitive"/>
    <s v="2. Accommodating"/>
    <s v="2. Sensitive"/>
    <s v="It tested new ways for fighting poverty and measured results of innovation"/>
    <s v="Moderate advocacy"/>
    <s v="It linked and worked with strategic alliances and partners to take tested and effective solutions to scale"/>
  </r>
  <r>
    <x v="14"/>
    <x v="2"/>
    <n v="2869"/>
    <s v="Women for change"/>
    <s v="Cote d'Ivoire"/>
    <n v="2869"/>
    <s v="CARE USA"/>
    <s v="Corporation"/>
    <s v="Other"/>
    <s v="Mars Chocolate Foundation"/>
    <m/>
    <m/>
    <m/>
    <m/>
    <m/>
    <m/>
    <m/>
    <m/>
    <m/>
    <m/>
    <m/>
    <m/>
    <m/>
    <m/>
    <m/>
    <m/>
    <m/>
    <m/>
    <m/>
    <m/>
    <m/>
    <m/>
    <m/>
    <m/>
    <m/>
    <m/>
    <m/>
    <m/>
    <m/>
    <m/>
    <m/>
    <m/>
    <m/>
    <m/>
    <m/>
    <m/>
    <m/>
    <m/>
    <m/>
    <m/>
    <m/>
    <m/>
    <m/>
    <m/>
    <m/>
    <d v="2015-07-01T00:00:00"/>
    <d v="2018-07-01T00:00:00"/>
    <m/>
    <s v="Development Access to and Control over Economic Resources"/>
    <n v="711558"/>
    <s v="GADOU LEOPODINE"/>
    <s v="CHEF DE PROJET"/>
    <s v="leopodine.gadou@care.org"/>
    <s v="OULAI BOH ALEXIS"/>
    <s v="CHARGE SUIVI EVALUATION"/>
    <s v="alexis.oulai@care.org"/>
    <s v="NO"/>
    <s v="YES"/>
    <s v="NO"/>
    <s v="Habiliter les femmes issues des ménages producteurs de cacao  à accroître leur participation dans le développement communautaire et la prise de décision dans la gestion du ménage  en augmentant leur capacité de leadership et de contrôle de leur propre revenu"/>
    <s v="Sub-National"/>
    <s v="Côte d'Ivoire, Region de la Nawa, Départements de  Gueyo, Soubré et Méagui"/>
    <s v="Femmes issues des menages producteurs de cacao"/>
    <n v="4900"/>
    <n v="0"/>
    <n v="4900"/>
    <n v="1750"/>
    <n v="1750"/>
    <n v="3500"/>
    <s v="Bénéficiaires directs: Membres de VSLA                                   Beneficiaire indirect = ( Benificiaire total-total jeune/2*6)-(Benificiaire total-total jeune/2)"/>
    <m/>
    <m/>
    <m/>
    <m/>
    <m/>
    <m/>
    <m/>
    <m/>
    <m/>
    <m/>
    <m/>
    <m/>
    <m/>
    <m/>
    <m/>
    <m/>
    <m/>
    <m/>
    <m/>
    <m/>
    <m/>
    <m/>
    <m/>
    <m/>
    <m/>
    <m/>
    <m/>
    <m/>
    <m/>
    <m/>
    <m/>
    <m/>
    <m/>
    <m/>
    <m/>
    <m/>
    <m/>
    <m/>
    <m/>
    <m/>
    <m/>
    <m/>
    <m/>
    <m/>
    <m/>
    <m/>
    <m/>
    <m/>
    <m/>
    <m/>
    <m/>
    <m/>
    <m/>
    <m/>
    <m/>
    <m/>
    <m/>
    <m/>
    <m/>
    <m/>
    <n v="1414"/>
    <n v="309"/>
    <n v="1723"/>
    <n v="2985"/>
    <n v="652"/>
    <n v="3637"/>
    <m/>
    <m/>
    <m/>
    <m/>
    <m/>
    <m/>
    <m/>
    <m/>
    <m/>
    <m/>
    <m/>
    <m/>
    <m/>
    <m/>
    <m/>
    <m/>
    <m/>
    <m/>
    <m/>
    <m/>
    <m/>
    <m/>
    <m/>
    <m/>
    <m/>
    <m/>
    <m/>
    <m/>
    <m/>
    <m/>
    <m/>
    <m/>
    <m/>
    <m/>
    <m/>
    <m/>
    <m/>
    <m/>
    <m/>
    <m/>
    <m/>
    <m/>
    <m/>
    <m/>
    <m/>
    <m/>
    <m/>
    <m/>
    <m/>
    <m/>
    <m/>
    <m/>
    <m/>
    <m/>
    <m/>
    <m/>
    <m/>
    <m/>
    <m/>
    <m/>
    <s v="YES"/>
    <n v="1723"/>
    <n v="0.82"/>
    <n v="3637"/>
    <s v="Méthodologie VSLA, Education financière, lien financier et entrepreneuriat"/>
    <s v="YES"/>
    <n v="37"/>
    <n v="0.27"/>
    <n v="1723"/>
    <s v="NO"/>
    <m/>
    <m/>
    <m/>
    <s v="YES"/>
    <s v="October"/>
    <n v="2018"/>
    <s v="cette étude combinera l’approche quantitative et l’approche qualitative. Un  questionnaire et l’entretien seront les outils de collecte des données. Elle portera  sur le même échantillon de la première évaluation. Elle sera réalisée par des consultants."/>
    <x v="0"/>
    <m/>
    <m/>
    <m/>
    <m/>
    <m/>
    <m/>
    <m/>
    <m/>
    <m/>
    <x v="2"/>
    <s v="Création de comission  pour chaque thématique ( ex:comssion genre, comission lien financier)  création de responsable ou chef de secteur pour palier l'inssufisance de ressources humaines au niveau de l'équipe projet"/>
    <x v="0"/>
    <m/>
    <x v="1"/>
    <x v="1"/>
    <s v="YES"/>
    <x v="0"/>
    <x v="0"/>
    <x v="0"/>
    <x v="2"/>
    <n v="4"/>
    <x v="1"/>
    <x v="1"/>
    <x v="1"/>
    <x v="1"/>
    <x v="1"/>
    <x v="1"/>
    <n v="4"/>
    <x v="1"/>
    <x v="1"/>
    <x v="1"/>
    <x v="1"/>
    <x v="1"/>
    <n v="3"/>
    <x v="2"/>
    <x v="1"/>
    <m/>
    <m/>
    <m/>
    <m/>
    <x v="0"/>
    <s v="mise en place des VSLA, formation sur la methodologie et les modules additionnelles (entrepreunariat, lien financier)"/>
    <s v="revu de la strategie et de certains indicateurs sur le genre (dialogues de couple). Identification de certaines valeurs de reference. La revision du cadre logique"/>
    <s v="l'implication des leaders communautaires dans toutes les activités du projet"/>
    <s v="la mise en reseau des promoteurs qui assure le relais des activités (la formation des VSLA, le suivi et la collecte des données etc…)"/>
    <s v="la mise en place des comités genre qui facilitent toutes les activités genre"/>
    <s v=" La formation sur l’entrepreneuriat a suscité le développement des activités collectives dans les groupements  (30 activités collectives) et individuelles (706 à Guéyo et 118 à Soubré)_x000a_Après l’assurance suscitée par le partage, les membres mobilisent plus de fonds pour le deuxième cycle (augmentation des mises,  plus de 2 mises pour la plupart)"/>
    <s v="La participation de plus en plus des chefs aux activités et leur intégration aux AVEC. Par exemple, à Oussoukonankro (Soubré), presque tout le village est membre d’AVEC, y compris le chef et certains notables."/>
    <s v="3. La collaboration avec ICRAF a contribué favorablement à la mobilisation des communautés et des chefs dans la plupart des localités. En l’occurrence à Kouadiokro (Soubré), les communautés des campements environnants informées par ICRAF, ont loué des véhicules afin de rencontrer l’équipe projet à Kouadiokro."/>
    <m/>
    <s v="le cadre logique, les rapports"/>
    <n v="1723"/>
    <n v="3637"/>
    <n v="2.1108531630876377"/>
    <n v="0.82066163668020897"/>
    <n v="0.82073137200989832"/>
    <n v="1414"/>
    <n v="2985"/>
    <s v=""/>
    <n v="0"/>
    <n v="0"/>
    <s v=""/>
    <s v=""/>
    <n v="0"/>
    <n v="0"/>
    <s v=""/>
    <s v=""/>
    <n v="0"/>
    <n v="0"/>
    <s v=""/>
    <s v=""/>
    <n v="0"/>
    <n v="0"/>
    <s v=""/>
    <n v="1"/>
    <n v="1723"/>
    <n v="3637"/>
    <n v="2.1108531630876377"/>
    <s v="4. Transformative"/>
    <s v="2. Accommodating"/>
    <s v="2. Sensitive"/>
    <s v="It tested new ways for fighting poverty and measured results of innovation"/>
    <s v="Little or no advocacy"/>
    <s v="It did not take tested solutions to scale"/>
  </r>
  <r>
    <x v="15"/>
    <x v="1"/>
    <m/>
    <s v="The Boys and Men as Allies in Violence Prevention and Gender Transformation in the Western Balkans"/>
    <s v="Croatia"/>
    <s v="PN: BIH116 FC: BA316"/>
    <s v="CARE Deutschland-Luxemburg"/>
    <s v="Foundation"/>
    <s v="Other"/>
    <s v="OAK Foundation"/>
    <m/>
    <m/>
    <m/>
    <m/>
    <m/>
    <m/>
    <m/>
    <m/>
    <m/>
    <m/>
    <m/>
    <m/>
    <m/>
    <m/>
    <m/>
    <m/>
    <m/>
    <m/>
    <m/>
    <m/>
    <m/>
    <m/>
    <m/>
    <m/>
    <m/>
    <m/>
    <m/>
    <m/>
    <m/>
    <m/>
    <m/>
    <m/>
    <m/>
    <m/>
    <m/>
    <m/>
    <m/>
    <m/>
    <m/>
    <m/>
    <m/>
    <m/>
    <m/>
    <m/>
    <m/>
    <d v="2014-07-01T00:00:00"/>
    <d v="2017-06-30T00:00:00"/>
    <m/>
    <s v="Development A Life Free From Violence (GBV)"/>
    <n v="365000"/>
    <s v="Sumka Bučan"/>
    <s v="Regional Director"/>
    <s v="sbucan@carenwb.org"/>
    <s v="Saša Petković"/>
    <s v="Project Manager"/>
    <s v="spetkovic@carenwb.org"/>
    <s v="NO"/>
    <s v="YES"/>
    <s v="NO"/>
    <s v="The project purpose is to increase the uptake of healthy, non-violent and gender equitable lifestyles amongst boys and men (and girls and women) participating in the program. _x000a_This will be achieved through 3 inter-related results:_x000a_ER1: Gender Transformative Life Skills program (Program M) adopted, accredited and teachers trained by Ministry of Education for use in secondary schools;_x000a_ER 2: Lifestyle and social norms campaigns to engage boys and men on issues of violence prevention, gender equality and fatherhood are developed and reach the targeted audience;_x000a_ER3: Local NGO partners act as national resource centres and promote practice, policy and research work engaging boys and men."/>
    <s v="Multiple countries"/>
    <s v="Serbia, Croatia, Kosovo, Bosnia &amp; Herzegovina and Albania"/>
    <s v="The major target groups of the project are the five local partner organisations, 25,000 secondary school age youth, especially those from lower socio-economic background who face higher levels of social exclusion in Serbia, Croatia, Kosovo, Bosnia and Herzegovina and Albania, with an emphasis on young men; in addition 2000 fathers and other male care givers. Secondary target groups include 500 educators that will be trained in the Young Men Initiative methodology, based on the Program M Manual. Additionally 200 pedagogy students will be targeted, in order to provide them practical skills before entering the profession. Also the capacities of 20 educators will be strengthened to become trainers of trainers (ToT), thus to create a group of peer educators that would act as catalysts for disseminating the Gender Transformative Life Skills program (Program M) in schools. A key target group is staff from the Ministry for Education and Gender Agencies and ministries dealing with gender equality as well as decentralised governmental gender structures at entity/canton/municipality level. With the aim of mainstreaming gender equitable approaches in the educational system, educators and pedagogy students will be directly targeted with capacity building. The main beneficiaries are young men in the targeted 4 countries."/>
    <n v="31"/>
    <n v="123"/>
    <n v="154"/>
    <n v="1000"/>
    <n v="4400"/>
    <n v="5400"/>
    <s v="In this project, 6 local organisations are partners in the implementation of the planned results. In each country (Croatia, Kosovo, Albania, Serbia and Bosnia and Herzegovina). They have a network of over 1000 peer educators around the country that supports its primary focus on youth health and violence prevention. These organisations are both, implementing partners of CARE but also a target group of the project, since CARE continues to focus on building their capacity to be the leading CSOs and partners of choice of different stakeholders in addressing violence and work with boys and men with a gender equality framework. Another target group are 500 secondary school educators and 200 students of pedagogical faculties in the countries. In addition 20 selected educators will be targeted and provided with capacity building as trainers of trainers (ToT). In addition 2000 fathers and male care givers will be targeted in educational and campaign related activities.  The project anticipates reaching over 25,000 youth over 3 years by educational workshops and campaigns. The final beneficiaries include the wider family environment of the participating 25,000 youth and the 2000 fathers.  It is around 5,400 direct and indirect beneficiaries per state including Croatia - OAK component opf the YMI regional project)."/>
    <m/>
    <m/>
    <m/>
    <m/>
    <m/>
    <m/>
    <m/>
    <m/>
    <m/>
    <m/>
    <m/>
    <m/>
    <m/>
    <m/>
    <m/>
    <m/>
    <m/>
    <m/>
    <m/>
    <m/>
    <m/>
    <m/>
    <m/>
    <m/>
    <m/>
    <m/>
    <m/>
    <m/>
    <m/>
    <m/>
    <m/>
    <m/>
    <m/>
    <m/>
    <m/>
    <m/>
    <m/>
    <m/>
    <m/>
    <m/>
    <m/>
    <m/>
    <m/>
    <m/>
    <m/>
    <m/>
    <m/>
    <m/>
    <m/>
    <m/>
    <m/>
    <m/>
    <m/>
    <m/>
    <m/>
    <m/>
    <m/>
    <m/>
    <m/>
    <m/>
    <n v="31"/>
    <n v="108"/>
    <n v="139"/>
    <n v="430"/>
    <n v="1360"/>
    <n v="1790"/>
    <m/>
    <m/>
    <m/>
    <m/>
    <m/>
    <m/>
    <m/>
    <m/>
    <m/>
    <m/>
    <m/>
    <m/>
    <m/>
    <m/>
    <m/>
    <m/>
    <m/>
    <m/>
    <m/>
    <m/>
    <s v="YES"/>
    <n v="139"/>
    <n v="0.22"/>
    <m/>
    <m/>
    <m/>
    <m/>
    <m/>
    <s v="YES"/>
    <n v="1790"/>
    <n v="0.24"/>
    <m/>
    <s v="YES"/>
    <n v="1790"/>
    <n v="0.24"/>
    <m/>
    <m/>
    <m/>
    <m/>
    <m/>
    <m/>
    <m/>
    <m/>
    <m/>
    <m/>
    <m/>
    <m/>
    <m/>
    <m/>
    <m/>
    <m/>
    <m/>
    <s v="YES"/>
    <n v="139"/>
    <n v="0.22"/>
    <m/>
    <m/>
    <m/>
    <m/>
    <m/>
    <m/>
    <m/>
    <m/>
    <m/>
    <m/>
    <m/>
    <m/>
    <m/>
    <m/>
    <s v="NO"/>
    <m/>
    <m/>
    <s v="YES"/>
    <s v="YES"/>
    <s v="September"/>
    <m/>
    <s v="End line assessment and Final evaluation are done in October 2016."/>
    <x v="1"/>
    <m/>
    <m/>
    <m/>
    <m/>
    <m/>
    <m/>
    <m/>
    <m/>
    <m/>
    <x v="1"/>
    <s v="Our partner organization from Zagreb, Status M, besides classic workshops for teachers and peer educators implements Program Y via online platform and education of prisoners."/>
    <x v="1"/>
    <m/>
    <x v="2"/>
    <x v="1"/>
    <s v="YES"/>
    <x v="0"/>
    <x v="0"/>
    <x v="0"/>
    <x v="2"/>
    <n v="4"/>
    <x v="2"/>
    <x v="1"/>
    <x v="1"/>
    <x v="1"/>
    <x v="1"/>
    <x v="2"/>
    <n v="4"/>
    <x v="3"/>
    <x v="1"/>
    <x v="1"/>
    <x v="1"/>
    <x v="4"/>
    <n v="3"/>
    <x v="2"/>
    <x v="3"/>
    <n v="1"/>
    <s v="Local NGO(s)/CSO(s)"/>
    <s v="National government"/>
    <s v="Grassroots organization(s)"/>
    <x v="0"/>
    <s v="During the course of 3 years of project implementation CARE was building the capacities of local partners to lead the debates and engage with policy makers and other important stakeholders on violence prevention and promotion of healthy lifestyles among youth. The capacity building was done through regular consultative meetings between CARE and partners, at the Partners meetings (twice per year), through online communication. Furthermore during the every visit of CARE staff to the project site, CARE and partners had attended the meetings with relevant stakeholders (Ministries of Education, Gender Centres etc.), where the discussion about action plans and sustainability and as well evaluation of the project implementation were discussed. The trainings were also done, two related to Most Significant Change Methodology, two related to Child Protection Policy Development, one related to Youth Extremism and 3 related to Youth Mental Health."/>
    <s v="The project has not experienced any important changes/adjustments in this FY"/>
    <s v="Innovative strategic approach is important for the success of initiatives striving to bring about social change. The YMI Project has been unique on multiple levels and that has contributed a lot to the recognition and support in the arena overpopulated with policies and CSOs."/>
    <s v="Most Significant Change Methodology – this methodology was presented and introduced at the project start as part of the capacity building program of partner organizations and an innovative monitoring tool. Based on the discussion with partners, it was decided that only one segment of this method would be used and tested during the project. The methodology was piloted in a way to focus on gathering personal stories from beneficiaries, mainly young men, with help of a specific interviewing template. The benefit was twofold, first of all the team leaders and coordinators got trained on using the technique; they learned how to observe and practice interviewing beneficiaries in search of different type of changes. Secondly, the partner organizations embraced this monitoring tool as a great method of qualitative data gathering and recording, but also as a useful technique that can and should be built upon and expanded in the future to also include wider organizational monitoring and development aspects. During the project period, the partner organizations gathered more than 50 stories describing different types of changes that have happened to the beneficiaries as a direct result of participating in the project. The project team has selected four, one representing each country as a sample in Annex 7. We would also like to emphasize that this methodology enabled that Dragan Kisin, young men from Banja Luka tells his story which was used by Thomson Reuters Foundation for making a short documentary Story of &quot;Dragan&quot;: Balkan boys challenge post-war machismo that premiered in May of 2016. This short film tells Dragan’s story in his own words about how his involvement in the project has had a positive impact on his life. The film won the 1st prize Ron Kovic Peace Prize at 12th Annual My Hero International Film Festival in USA in 2016. https://www.consciousgood.com/post-war-machismo-be-a-man/"/>
    <s v="Youth from all cities pointed out that the project had a great impact. They mentioned different indicators of project’s impact. The most concrete impact relates to change of attitudes and behaviours of youth who directly participated in the programme. Special credit for sucess goest to &quot;Be a man&quot; clubs."/>
    <s v="1. Clear and good structure of the program produces results in the long run, even when the envisaged goals are ambitious. YMI Project has been positively valued by its participants because of its &quot;firm structure and coordination&quot;. By also applying a flexible approach when it comes to implementation, based on specific needs and contexts, the YMI Project has ensured proper coordination and a more effective results. The project has a strong coordination function with the key activities implemented and standards ensured, but it also promoted tailored-made approach at the local level."/>
    <s v="2. What you measure is what you get. During the implementation of such complex project as YMI is, a regular and adequate monitoring is of greatest importance. YMI Project has succeeded to develop comprehensive but user friendly measuring instruments which enabled a regular and accurate monitoring and reporting. The YMI has even managed to reach the most socially excluded youth groups through different activities. The approaches on how to involve Roma, Ashkali and Egyptian community in the Project activities differ among the countries, since they were based on the local circumstances (presence of Roma children in selected schools) as well as the of the local stakeholders’ capacities."/>
    <s v="3. Piloting before rolling-out decreases the cost of implementation. Piloting can contribute to the cost decrease and avoidance of unnecessary transactional costs during the process of implementation. This can improve productivity and efficiency of some specific services and products before scaling-up at the wider territory. The cost of some YMI project activities were decreased through step by step approach and development of products and services on a smaller scale. Such models were then further implemented and scaled-up"/>
    <s v="• Efforts should be invested in mainstreaming gender equality and GBV issues into existing curricula and programs of various organizations which implement activities in schools. This could significantly contribute to further sustainability of the project results. Every year different organizations and institutions develop number of programs and new curricula and schools have lot of issues with identifying the most suitable and relevant ones. Instead of producing new education programs and investing lot of efforts in its accreditation, mainstreaming serve as a more strategic and feasible option. _x000a_• As per the content of the educational programs, respondents recognized the need for including/emphasizing following topics: psychological violence, Internet safety, safety of youth in general. _x000a_• One could ensure even greater and more strategic involvement of media in the program. For the long term success of the program it is not enough only to have a number of media releases about the project activities, but also to have editors and journalists setting the societal values. Additional strategies for media sensitization and participation could be also added value for the next phases of the YMI initiative. _x000a_• Public advocacy space is still to be explored and comprehensive strategies as well as national advocacy action plans to be developed and coordinated, since this would be logical next step in the project concept further development. Attention should be specifically put on the involvement of the primer constituency group in the advocacy initiatives. Students should be supported to formulate their own initiatives and to advocate for sustainable systemic changes. Most significant change methodology could also be used in this process as a good communication tool for gaining wider public support. _x000a_• Continue the work in the area of community involvement. The idea of BMCs which function as local youth clubs and resource centers for youth in the domain of promotion of gender equality, healthy lifestyles and violence prevention, should be additionally supported. In addition, CARE could support additional capacity development of  BMCs to become key actors of local referral mechanisms for youth in need of additional support – mediation, counseling, etc. Interest members’ capacities for the provision of this type of peer support could be also developed and the communities as a whole could benefit a lot from this approach. _x000a_• Partner organizations need continuous support in becoming learning organizations. Namely, their M&amp;E capacities and members’ capacities for continues learning and development need additional support from CARE. In addition, their knowledge on gender equality, relevant international standards in this area, as well as regional legislation and strategic framework, should also be further developed. Cooperation with women’s organizations should be intensify in the future, since feminist expertise could provide the Project with additional impetus and quality_x000a_Also, local partner organizations should be additionally supported to advance their position in the civil society and become sectorial leaders which promote participation, wide consultations and innovative approaches._x000a_• In future, some efforts should be invested in creating relevant links with existing mechanisms for violence prevention. For example, General and Specific Protocols for Protection of Children against Abuse and Neglect in Serbia envisage specific mechanism for dealing with violence in school context. Apart from potential advancement of such norms, activities could be coordinated with similar mechanisms in the region in order to become integral part of future practices._x000a_• Apart from high school students, younger youth could be involved more actively in the Project implementation in the next phase. Good examples from Banjaluka in this regard could be a roadmap for further program development. Namely, Perpetuum Mobile had implemented set of educational activities in the primary school in Banjaluka and had great success with this activity. One could argue that the social change starts with the formation of attitudes in early stages of childhood. CARE’s capacities should be utilized for this purposes. _x000a_• Existing structure for education programs’ implementation needs continues support in development. It would be of great importance to further utilize established structure of educators, including peer educators and this would require: a. Development of clear criteria for the selection of future educators; b. Educators’ continues capacity development in training design, working methods and tools, reporting and evaluation; c. Educators’ continues development in wider understanding of the training topics, including policy framework and school mechanism for protection against discrimination and violence._x000a_• Regional networking events should be organized in future, since this approach influence reconciliation and peace building in the whole region and motivate young men to adopt new values and to be more active and involved within their communities."/>
    <s v="http://www.youngmeninitiative.net/en/?page=36"/>
    <n v="139"/>
    <n v="1790"/>
    <n v="12.877697841726619"/>
    <n v="0.22302158273381295"/>
    <n v="0.24022346368715083"/>
    <n v="31"/>
    <n v="430"/>
    <s v=""/>
    <n v="0"/>
    <n v="0"/>
    <s v=""/>
    <s v=""/>
    <n v="0"/>
    <n v="0"/>
    <s v=""/>
    <n v="1"/>
    <n v="139"/>
    <n v="0"/>
    <n v="0"/>
    <n v="1"/>
    <n v="1790"/>
    <n v="0"/>
    <n v="0"/>
    <s v=""/>
    <n v="0"/>
    <n v="0"/>
    <s v=""/>
    <s v="4. Transformative"/>
    <s v="4. Transformational"/>
    <s v="4. Transformative"/>
    <s v="It tested new ways for fighting poverty, but did not measure results of innovation"/>
    <s v="Moderate advocacy"/>
    <s v="It linked and worked with strategic alliances and partners to take tested and effective solutions to scale"/>
  </r>
  <r>
    <x v="16"/>
    <x v="4"/>
    <m/>
    <s v="Ciudades Preparadas y Alertas ante el riesgo sísmico en el oriente cubano"/>
    <s v="Cuba"/>
    <m/>
    <s v="CARE France"/>
    <s v="Multilateral agency"/>
    <s v="ECHO - European Commission for Humanitarian Aid and Civil Protection"/>
    <m/>
    <m/>
    <m/>
    <m/>
    <m/>
    <m/>
    <m/>
    <m/>
    <m/>
    <m/>
    <m/>
    <m/>
    <m/>
    <m/>
    <m/>
    <m/>
    <m/>
    <m/>
    <m/>
    <m/>
    <m/>
    <m/>
    <m/>
    <m/>
    <m/>
    <m/>
    <m/>
    <m/>
    <m/>
    <m/>
    <m/>
    <m/>
    <m/>
    <m/>
    <m/>
    <m/>
    <m/>
    <m/>
    <m/>
    <m/>
    <m/>
    <m/>
    <m/>
    <m/>
    <m/>
    <m/>
    <d v="2015-05-17T00:00:00"/>
    <d v="2016-10-31T00:00:00"/>
    <d v="2016-12-31T00:00:00"/>
    <s v="Humanitarian Other"/>
    <n v="780583"/>
    <s v="Guadalupe González Fernández"/>
    <s v="Encargada de Programas"/>
    <s v="lupe.carecuba@gmail.com"/>
    <m/>
    <m/>
    <m/>
    <s v="YES"/>
    <s v="YES"/>
    <s v="YES"/>
    <s v="Objetivo General: Incrementar la resiliencia de ciudades y comunidades vulnerables de la región oriental de Cuba desde un enfoque de derechos e igualdad de género_x000a_Objetivo Específico: Fortalecer la capacidad gestión ante riesgo sísmico de autoridades, instituciones técnicas, y población vulnerable (con énfasis en mujeres y personas con discapacidad) en las ciudades de Santiago, Guantánamo y Baracoa"/>
    <s v="Sub-National"/>
    <s v="3 municipios (Santiago de Cuba, Guantánamo y Baracoa), 2 provincias (Santiago de Cuba y Guantánamo), región oriental de Cuba"/>
    <s v="80,321 personas (aproximadamente 10% de la población residente de las tres ciudades), y 23 instituciones de los centros urbanos de Santiago, Guantánamo y Baracoa. De ellas, 51% son mujeres; 23.6% son niños y jóvenes; 31% son personas mayores; y 16.2% son personas con discapacidad, incluyendo 6273 mujeres con discapacidad.  Esta población se beneficiará por contar con gobiernos y actores territoriales mejor preparados para la gestión del riesgo sísmico y para brindar servicios de respuesta a la población, respondiendo a sus necesidades específicas. Estos beneficiarios también mejorarán su percepción y preparación para enfrentar el riesgo sísmico a través de la información que reciben por diferentes medios y la campaña de sensibilización."/>
    <n v="40964"/>
    <n v="39357"/>
    <n v="80321"/>
    <m/>
    <m/>
    <n v="1562428"/>
    <s v="Defensa Civil. Avala el proyecto; participa en la implementación del sistema de monitoreo y alerta sísmica; apoya en la difusión de las buenas practicas a nivel cubano y región Caribe._x000a_Gobiernos provinciales y municipales. Facilitan la coordinación entre provincia y municipio. Participan en capacitaciones. Organizaran las comunidades para la sensibilización._x000a_CGRR e Grupos Multidisciplinarios. Participan en capacitaciones para fortalecer su entendimiento del riesgo sísmico; usan los conocimientos adquiridos para la toma de decisión. Participan con la Cruz Roja en la sensibilización comunitaria._x000a_CENAIS y CITMA. Socio técnico responsable de la implementación del sistema de monitoreo y alerta sísmica. Avala todos materiales de capacitación por su precisión técnica. Apoya a la Cruz Roja y a la Universidad en sus programas de sensibilización y formación la campaña de sensibilización a través de su plataforma de comunicación existente._x000a_Facultad de Construcción de la Universidad de Oriente. Desarrolla de conjunto con el CENAIS la capacitación a técnicos y decisores locales y otros especialistas de Cuba, del Caribe y Centroamérica a través del diseño e implementación de un Diplomado y talleres de capacitación._x000a_Coordinadores y voluntarios de la Cruz Roja Cubana. Su capacitación será coordinada con el proyecto propuesto por la Cruz Roja Noruega. Serán capacitados en riesgo sísmico (con apoyo del CENAIS),  el salvamento de PCD (con apoyo de Handicap Internacional), y responsable de aplicar herramientas de sensibilización comunitaria._x000a_Miembro de asociaciones cubanas de personas con discapacidad (ANSOC, ANCI, ACLIFIM). serán capacitados en Educación y Comunicación Inclusiva, preparación de planes de contingencia familiares inclusivos, e inclusión de PCD en los planes locales de contingencia._x000a_Pobladores de las ciudades de Santiago, Guantánamo y Baracoa. Participan en actividades de sensibilización y transmiten la información a otros pobladores._x000a_Los beneficiarios diretos en SECTOR HUMANITARIO son  pobladores que se calcularon teniendo en cuenta la cantidad de población a la que se podía llegar en 18 meses con acciones directas de Los beneficiarios indirectos en SECTOR DESARROLLO son pobladores que se calcularon  teniendo en cuenta la población que se beneficia con el fortalecimiento de la red del servicio sismológico nacional. sensibilización comunitaria directa en las ciudades donde se iban a implementar el proyecto._x000a_Los beneficiarios directos en SECTOR DESARROLLO son organizaciones que  se calcularon teniendo en cuenta quienes eran las organizaciones más involucradas en la gestiòn del riesgo sísmico en las ciudades seleccionadas y que necesitaban fortalecer sus potencialidades para gestionar mejor el riesgo del territorio._x000a_Los beneficiarios indirectos en SECTOR HUMANITARIO son pobladores de las tres ciudades de accionamiento a la que se podía llegar por medios de comunicación en las acciones de sensibillización comunitaria"/>
    <m/>
    <n v="68262"/>
    <n v="55697"/>
    <n v="123959"/>
    <m/>
    <m/>
    <n v="1562428"/>
    <s v="NO"/>
    <m/>
    <m/>
    <m/>
    <s v="NO"/>
    <m/>
    <m/>
    <m/>
    <s v="YES"/>
    <n v="123959"/>
    <n v="0.55000000000000004"/>
    <n v="1562428"/>
    <s v="NO"/>
    <m/>
    <m/>
    <m/>
    <s v="NO"/>
    <m/>
    <m/>
    <m/>
    <s v="NO"/>
    <m/>
    <m/>
    <m/>
    <s v="NO"/>
    <m/>
    <m/>
    <m/>
    <s v="NO"/>
    <m/>
    <m/>
    <m/>
    <s v="YES"/>
    <n v="123959"/>
    <n v="0.55000000000000004"/>
    <n v="1562428"/>
    <s v="NO"/>
    <m/>
    <m/>
    <m/>
    <s v="NO"/>
    <m/>
    <m/>
    <m/>
    <s v="NO"/>
    <m/>
    <m/>
    <m/>
    <m/>
    <m/>
    <m/>
    <m/>
    <m/>
    <n v="1524"/>
    <n v="1283"/>
    <n v="2807"/>
    <m/>
    <m/>
    <n v="2390053"/>
    <s v="NO"/>
    <m/>
    <m/>
    <m/>
    <s v="NO"/>
    <m/>
    <m/>
    <m/>
    <m/>
    <m/>
    <m/>
    <m/>
    <s v="YES"/>
    <n v="2807"/>
    <n v="0.46"/>
    <n v="2390053"/>
    <m/>
    <m/>
    <m/>
    <m/>
    <s v="YES"/>
    <n v="2807"/>
    <n v="0.46"/>
    <n v="10000"/>
    <s v="NO"/>
    <m/>
    <m/>
    <m/>
    <s v="NO"/>
    <m/>
    <m/>
    <m/>
    <s v="NO"/>
    <m/>
    <m/>
    <m/>
    <s v="NO"/>
    <m/>
    <m/>
    <m/>
    <s v="YES"/>
    <n v="2807"/>
    <n v="0.46"/>
    <n v="2390053"/>
    <s v="NO"/>
    <m/>
    <m/>
    <m/>
    <s v="NO"/>
    <m/>
    <m/>
    <m/>
    <s v="NO"/>
    <m/>
    <m/>
    <m/>
    <s v="NO"/>
    <m/>
    <m/>
    <m/>
    <s v="NO"/>
    <m/>
    <m/>
    <m/>
    <m/>
    <m/>
    <m/>
    <m/>
    <m/>
    <s v="YES"/>
    <s v="September"/>
    <n v="2016"/>
    <s v="NO"/>
    <s v="NO"/>
    <m/>
    <m/>
    <m/>
    <x v="1"/>
    <s v="NO"/>
    <s v="NO"/>
    <s v="YES"/>
    <s v="YES"/>
    <s v="YES"/>
    <s v="NO"/>
    <s v="YES"/>
    <s v="NO"/>
    <m/>
    <x v="2"/>
    <s v="Sensibilizó y creó capacidades para la Gestión Inclusiva de la Gestión de Riesgo desde el nivel local hasta el nacional_x000a_Incertó en las Asociaciones de Personas con Discapacidad la planificación para la gestión del riesgo_x000a_Realizó pilotaje tecnológico para mejorar el monitoreo sismológico y la información en tiempo real"/>
    <x v="1"/>
    <s v="Se implemento en consorcio internacional CARE OXFAM comparitiendo prácticas internacionales con CENAIS y Defensa Civil Cubana_x000a_Faciitó el dialogo, elaboración de programass de trabajo conjunto y materiales educativos y de sensibilización  entre Universidad y Centro de Investigaciones Sismológicas con el Sistema de Defensa Civil, la Cruz Roja Cubana, los Bomberos y las Asociaciones de Personas con Discapacidad para acciones de preparación y sensibilización comunitaria Proporcionó la inclusión del riesgo sísmico con mayor profundidad en los planes de la Defensa Civil Cubana"/>
    <x v="0"/>
    <x v="0"/>
    <s v="YES"/>
    <x v="2"/>
    <x v="0"/>
    <x v="0"/>
    <x v="1"/>
    <n v="3"/>
    <x v="1"/>
    <x v="1"/>
    <x v="1"/>
    <x v="1"/>
    <x v="1"/>
    <x v="1"/>
    <n v="4"/>
    <x v="1"/>
    <x v="1"/>
    <x v="1"/>
    <x v="1"/>
    <x v="1"/>
    <n v="3"/>
    <x v="0"/>
    <x v="2"/>
    <n v="4"/>
    <s v="International NGO(s)"/>
    <s v="University/research institution(s)"/>
    <s v="Local NGO(s)/CSO(s)"/>
    <x v="2"/>
    <s v="Capacitación en gestion inclusiva del riesgo sísmico a la Cruz Roja Cubana_x000a_Formación de promotores voluntarios de las Asociaciones de Personas con Discapacidad para la gestión inclusiva del riesgo sísmico_x000a_Elboración de material para continuar la formación de promotores voluntarios_x000a_Elaboración de material didáctico para continuar utilizando en la sensibilización a nivel local por la sociedad civil cubana (Cruz Roja, Asociaciones de Personas con Discapacida)_x000a_Preposicionados medios en la Asociación de Personas con Discapacidad Físico Motora (ACLIFIM)"/>
    <s v="Diversificó e incrmentó  los tipos de actividades para llegar a una mayor cantidad de grupos metas identificados e incrementar el impacto previsto, previa coordinación con socios locale y a partir de un análisis del contexto y necesidades existentes."/>
    <s v="El proceso de sensibilización liderado por la Cruz Roja, un espacio de aprendizaje mutuo donde actores y grupos de impacto ganaron en cultura sismológica y capacidades en gestión inclusiva de reducción de riesgos, desde una perspectiva de igualdad de género. Específicamente se destacan, el rabajo de formaciòn de  capacidades con las Asociaciones de Personas con Discapacidad, que se convierten en voluntarios y voluntarias para la reducción de riesgo sísmico, y los métodos y herramientas utilizados para la sensibilización y formación de capacidades, inclusivos a necesidades específicas de los grupos más vulnerables._x000a_Es la primera vez en el país que las Asociaciones de Personas con Discapacidad son beneficiarias de acciones relacionadas con la gestión de riesgo, viven una experiencia de aprendizaje mutuo e interactúan con la Cruz Roja y entre ellas mismas. La clave del éxito ha sido el trabajo sostenido, asesorado metodológicamente por Handicap Internacional y el CENAIS, en interlocución con las recomendaciones de los propios asociados y asociadas para seleccionar métodos y herramientas adecuados._x000a_Se ha incrementado la percepción del riesgo y la sensibilidad sobre cómo abordarlo con atención diferenciada a las necesidades e intereses diferenciados de mujeres y hombres. Es la primera vez que las Asociaciones cuentan con un plan de reducción de riesgos con enfoque de género y sus asociados/das cuentan con planes familiares, y participan con simulacros en el Ejercicio METEORO organizado por el Sistema Cubano de la Defensa Civil."/>
    <s v="La Estrategia de Comunicación con enfoque de género, que rompe las barreras del proyecto y se convierte en una estrategia territorial al servicio del Sistema de la Defensa Civil para la reducción de riesgo sísmico._x000a_Por primera vez la sensibilización en gestión de riesgos se trabaja con profundidad dentro de la plataforma de comunicación del Ministerio de Ciencia, Tecnología y Medioambiente, lo que amplía su alcance, la valida y le da rigor científico. Se potencia el Consejo de Comunicación liderado por este Ministerio y sus ventajas para un trabajo estructurado y coordinado entre las diversas instituciones que lo conforman. Se cultiva de manera efectiva su relación estrecha y sistemática con el Círculo de la Prensa. Se diversifican de manera significativa los espacios y medios de comunicación con interés en abordar la temática."/>
    <s v="El Diplomado en Gestión Inclusiva de Riegos de Desastres y Resiliencia Comunitaria, donde docentes y estudiantes aprenden juntos y juntas, incorporan enfoques de igualdad de género e inclusión de personas con discapacidad y proponen modificaciones para una nueva edición del Diplomado con una Convocatoria Regional."/>
    <s v="El reconocimiento sobre la importancia de fortalecer la metodología de trabajo de la Cruz Roja y el uso de herramientas y materiales adaptados a diferentes públicos y necesidades para ampliar la escala de trabajo y la cantidad de personas a beneficiar de sus esfuerzos, en el período de un año_x000a_Aún quedan como desafíos mejorar sus métodos y herramientas de trabajo desde el enfoque de la educación popular, e institucionalizar una metodología común para el trabajo con cada grupo objetivo. Importante sería comprender la importancia de modificar la herramienta AVC para convertirla en un AVC inclusivo, con enfoque de género, y a partir de ahí retomar la formación en su uso."/>
    <s v="El reconocimiento de la importancia de integrar a las Asociaciones de Personas con Discapacidad para llegar a grupos generalmente autoexcluidas o excluidas de los espacios comunitarios y con dificultades para beneficiarse de productos comunicacionales que no tienen en cuenta sus necesidades y capacidades específicas"/>
    <s v="La necesidad de continuar desarrollando materiales de apoyo a la sensibilización y formación de capacidades. Los materiales elaborados con apoyo del proyecto fueron validados con muy buena calidad y aceptación por la población, tanto en su formato, contenido, como en su diseño. Igualmente, para bien de la implementación no dejaron de destacarse, algunos otros materiales que comienzan a producirse por medios propios tanto por parte del Sistema de la Defensa Civil como por los grupos de personas promotoras y voluntarias, que se sumaron de manera progresiva al trabajo en terreno, y que tomaron como base informativa los productos elaborados por el proyecto.  Quedaron como desafíos, el diseño de materiales relacionadas con el tema de ayuda psicológica durante los primeros auxilios y otros, que faciliten un acercamiento más práctico al enfoque de igualdad de género y sus conexiones con la gestión de riesgos."/>
    <s v="Se identicaron como los mayores resultados del proyecto:_x000a_1- Haber garantizado mayor precisión en el dato sísmico obtenido a partir del monitoreo continuo, mejores resultados en las investigaciones sismológicas, y un incremento de la efectividad en el aviso y la toma de decisiones por el Sistema de la Defensa Civil ante la emergencia, ofreciendo mayor seguridad a la población, en particular las personas con discapacidad y las mujeres._x000a_2- Haber proporcionado una formación teórico práctica en talleres, conferencias e intercambios de experiencias en Cuba y la Región, donde se destacó de manera significativa la contribución de la Facultad de Construcciones de la Universidad de Oriente con formaciones específicas para personas en puestos de decisión y la primera edición de un Diplomado, que con el liderazgo de docentes sensibilizados/as, devino al final del proyecto en su preparación para una Convocatoria Regional con el nombre Gestión Inclusiva de Riesgos de Desastres y Resiliencia Comunitaria._x000a_3- Haber facilitado mayores capacidades para la preparación y atención de la población ante un sismo, con atención a necesidades diferenciadas de mujeres, personas con discapacidad y de la tercera edad._x000a_- Sistema de la Defensa Civil con materiales pre-posicionados en la región oriental del país para responder ante un sismo, con especial atención a las necesidades diferenciadas de mujeres y personas con discapacidad._x000a_- Creadas y en funcionamiento comisiones municipales intersectoriales para una gestión de riesgo sísmico con igualdad de género._x000a_Organizado en dos niveles, el primero para la formación de formadores/es y, el segundo con la facilitación sistemática de intercambios de experiencias que ayudaron a validar lo aprendido, e ir construyendo de manera progresiva metodologías y herramientas inclusivas utilizadas posteriormente en los territorios. Se destaca la formación coordinada de Cruz Roja- Bomberos- Asociaciones de Personas con Discapacidad- Sistema de Defensa Civil para la gestión inclusiva de reducción de riesgo sísmico._x000a_Al finalizar el proyecto quedan como desafíos:_x000a_Por Cruz Roja seguir capacitándose y extender su trabajo a otros equipos en la zona de riesgo en coordinación con los Centros de Gestión de Reducción de Riesgo y seguir apoyando a las Asociaciones de Personas con Discapacidad sobre la temática_x000a_Por los Centros de Gestión de Reducción de Riesgos mantener actualizado el tema sísmico con enfoque inclusivo en las Comisiones Municipales, así como mantener un trabajo sistemático con las Asociaciones de Personas con Discapacidad._x000a_Por las Asociaciones dar continuidad en el trabajo de elaboración, actualización e implementación de los planes de reducción de riesgos. Se resalta la necesidad de incluir las vulnerabilidades, oportunidades y capacidades de las personas con discapacidad en situaciones de emergencias. Se facilita que estas personas incorporen e incrementen conocimientos sobre el peligro sísmico y la gestión inclusiva del riesgo de desastres. Se aumenta la percepción del riesgo y se logran cambios de actitud en sus integrantes._x000a_Potenciar la confianza y fertilizar la esperanza que las personas con discapacidad han depositado en las instituciones responsabilizadas con la Gestión Inclusiva de Reducción de Riesgos, y de este modo, aportar a una sociedad más inclusiva."/>
    <m/>
    <n v="123959"/>
    <n v="2390053"/>
    <n v="19.280996135819102"/>
    <n v="0.5506820803652821"/>
    <n v="0"/>
    <n v="68262"/>
    <n v="0"/>
    <n v="1"/>
    <n v="123959"/>
    <n v="1562428"/>
    <n v="12.604393388136399"/>
    <n v="1"/>
    <n v="2807"/>
    <n v="2390053"/>
    <n v="851.46170288564304"/>
    <s v=""/>
    <n v="0"/>
    <n v="0"/>
    <s v=""/>
    <s v=""/>
    <n v="0"/>
    <n v="0"/>
    <s v=""/>
    <s v=""/>
    <n v="0"/>
    <n v="0"/>
    <s v=""/>
    <s v="1. Neutral"/>
    <s v="2. Accommodating"/>
    <s v="2. Sensitive"/>
    <s v="It tested new ways for fighting poverty and measured results of innovation"/>
    <s v="Moderate advocacy"/>
    <s v="It linked and worked with strategic alliances and partners to take tested and effective solutions to scale"/>
  </r>
  <r>
    <x v="16"/>
    <x v="4"/>
    <m/>
    <s v="Hurricane Matthew Emergency Response"/>
    <s v="Cuba"/>
    <s v="CU091"/>
    <s v="CARE USA"/>
    <s v="Other"/>
    <s v="Other"/>
    <s v="CARE USA"/>
    <s v="CU092"/>
    <s v="CARE Canada"/>
    <s v="Other"/>
    <s v="Other"/>
    <s v="CARE Canada - Humanitarian Coalition"/>
    <s v="CU093"/>
    <s v="CI Secretariat"/>
    <s v="Other"/>
    <s v="Other"/>
    <s v="CI - ERF"/>
    <s v="CU095"/>
    <s v="CARE Deutschland-Luxemburg"/>
    <s v="Foundation"/>
    <s v="Other"/>
    <s v="ADH"/>
    <s v="CU096"/>
    <s v="CARE Deutschland-Luxemburg"/>
    <s v="Foundation"/>
    <s v="Other"/>
    <s v="ADH"/>
    <m/>
    <m/>
    <m/>
    <m/>
    <m/>
    <m/>
    <m/>
    <m/>
    <m/>
    <m/>
    <m/>
    <m/>
    <m/>
    <m/>
    <m/>
    <m/>
    <m/>
    <m/>
    <m/>
    <m/>
    <m/>
    <m/>
    <m/>
    <m/>
    <m/>
    <d v="2016-10-05T00:00:00"/>
    <d v="2017-08-15T00:00:00"/>
    <m/>
    <s v="Humanitarian Other"/>
    <n v="302000"/>
    <s v="Richard Paterson"/>
    <s v="Country Representative"/>
    <s v="richard.paterson@care.ca"/>
    <m/>
    <m/>
    <m/>
    <s v="YES"/>
    <s v="NO"/>
    <s v="NO"/>
    <s v="to support livesaving interventions and house reconstruction, addressing immediate WASH and household item needs as well as roofing materials"/>
    <s v="Sub-National"/>
    <s v="Provincia de Guantanamo, municipios de Baracoa y Maisi"/>
    <s v="the most vulnerable members of the affected communities, prioritising single mothers, women caring for elderly parents, and the handicapped"/>
    <n v="3234"/>
    <n v="3376"/>
    <n v="6610"/>
    <m/>
    <m/>
    <m/>
    <s v="the cell '# de mujeres y niñas' allowed me to insert some text that was destined for another cell, but then it wouldn't let me remove it, I tried to unprotect it but it required a password.  The cell '# mujeres y niñas' should have the number 3,234.       Los participantes son los comunitarios que recibieron kits de WASH y kits de hogar (NFIs) como beneficiarios/as de nuestra respuesta a la emergencia.  Ademas recibieron informacion e instructivos sobre el buen uso de los mosquiteros, como purificar el agua y de convivencia."/>
    <m/>
    <n v="3234"/>
    <n v="3376"/>
    <n v="6610"/>
    <m/>
    <m/>
    <m/>
    <s v="NO"/>
    <m/>
    <m/>
    <m/>
    <s v="NO"/>
    <m/>
    <m/>
    <m/>
    <s v="NO"/>
    <m/>
    <m/>
    <m/>
    <s v="YES"/>
    <n v="6077"/>
    <n v="0.49"/>
    <m/>
    <s v="NO"/>
    <m/>
    <m/>
    <m/>
    <s v="NO"/>
    <m/>
    <m/>
    <m/>
    <s v="NO"/>
    <m/>
    <m/>
    <m/>
    <s v="NO"/>
    <m/>
    <m/>
    <m/>
    <s v="NO"/>
    <m/>
    <m/>
    <m/>
    <s v="NO"/>
    <m/>
    <m/>
    <m/>
    <s v="YES"/>
    <n v="6610"/>
    <n v="0.49"/>
    <m/>
    <s v="YES"/>
    <n v="6077"/>
    <n v="0.49"/>
    <m/>
    <m/>
    <m/>
    <m/>
    <m/>
    <m/>
    <m/>
    <m/>
    <m/>
    <m/>
    <m/>
    <m/>
    <s v="NO"/>
    <m/>
    <m/>
    <m/>
    <s v="NO"/>
    <m/>
    <m/>
    <m/>
    <s v="NO"/>
    <m/>
    <m/>
    <m/>
    <s v="NO"/>
    <m/>
    <m/>
    <m/>
    <s v="NO"/>
    <m/>
    <m/>
    <m/>
    <s v="NO"/>
    <m/>
    <m/>
    <m/>
    <s v="NO"/>
    <m/>
    <m/>
    <m/>
    <s v="NO"/>
    <m/>
    <m/>
    <m/>
    <s v="NO"/>
    <m/>
    <m/>
    <m/>
    <s v="NO"/>
    <m/>
    <m/>
    <m/>
    <s v="NO"/>
    <m/>
    <m/>
    <m/>
    <s v="NO"/>
    <m/>
    <m/>
    <m/>
    <s v="NO"/>
    <m/>
    <m/>
    <m/>
    <s v="NO"/>
    <m/>
    <m/>
    <m/>
    <s v="NO"/>
    <m/>
    <m/>
    <m/>
    <s v="NO"/>
    <m/>
    <m/>
    <m/>
    <m/>
    <m/>
    <m/>
    <m/>
    <m/>
    <s v="NO"/>
    <m/>
    <m/>
    <s v="NO"/>
    <s v="NO"/>
    <m/>
    <m/>
    <s v="como mencionamos, no se ha realizado una evaluacion ni se esta planificando una.  Si, se hizo un 'After Action Review' de la respuesta."/>
    <x v="1"/>
    <s v="NO"/>
    <s v="NO"/>
    <s v="NO"/>
    <s v="NO"/>
    <s v="NO"/>
    <s v="NO"/>
    <s v="NO"/>
    <s v="YES"/>
    <s v="se promovio la priorizacion de grupos mas vulnerables en particular adultos mayores y personas con discapacidad.  Ademas, se introdujeron mecanismos para reducir el estres en particular en las mujeres y de promover una convivencia entre hombres y mujeres y entre vecinos."/>
    <x v="2"/>
    <s v="ver arriba"/>
    <x v="0"/>
    <s v="incorporamos a aliados estrategicos en la respuesta, y en particular en la atencion a mujeres, pero no se llevaron a escala"/>
    <x v="0"/>
    <x v="0"/>
    <s v="YES"/>
    <x v="2"/>
    <x v="0"/>
    <x v="0"/>
    <x v="1"/>
    <n v="3"/>
    <x v="1"/>
    <x v="2"/>
    <x v="2"/>
    <x v="1"/>
    <x v="1"/>
    <x v="4"/>
    <n v="2"/>
    <x v="1"/>
    <x v="1"/>
    <x v="2"/>
    <x v="1"/>
    <x v="3"/>
    <n v="2"/>
    <x v="2"/>
    <x v="3"/>
    <n v="2"/>
    <s v="Local government(s)"/>
    <s v="Local NGO(s)/CSO(s)"/>
    <m/>
    <x v="2"/>
    <s v="Capacitación en gestion inclusiva del riesgo sísmico a la Cruz Roja Cubana_x000a_Formación de promotores voluntarios de las Asociaciones de Personas con Discapacidad para la gestión inclusiva del riesgo sísmico_x000a_Elboración de material para continuar la formación de promotores voluntarios_x000a_Elaboración de material didáctico para continuar utilizando en la sensibilización a nivel local por la sociedad civil cubana (Cruz Roja, Asociaciones de Personas con Discapacida)_x000a_Preposicionados medios en la Asociación de Personas con Discapacidad Físico Motora (ACLIFIM)"/>
    <s v="ajustamos el contenido de los kits, tanto WASH como los NFIs, para proximas emergencias;  mejoramos la preparacion de la OP para futuras emergencias (stock de combustible, dinero en efectivo, tarjetas celular, mochila/kit de emergencia)"/>
    <s v="involucrar a miembros de la comunidad en los procesos de analisis, distribucion de articulos, recogida de informacion, etc"/>
    <s v="apoyo psicosocial para las familias (hombres, mujeres y niños)"/>
    <s v="revisar con cuidado el contenido de los 'kits' que se distribuyen - ajustar segun las caracteristicas de cada emergencia, zona, grupo, etc."/>
    <s v="que no hay que acatar a ciegas los consejos de los especialistas de CI"/>
    <s v="pensar en la visibilidad desde el comienzo de las intervenciones"/>
    <s v="no hay que pensar solamente en la cantidad de personas o familias que ayudamos sino tambien en la calidad de las intervenciones.   "/>
    <m/>
    <s v="Hay varios documentos relacionado con el 'proyecto' ya que fueron varios pequeños financiamientos - el mas grande fue de US$ 100,000.  Entonces son 5 propuestas, una estrategia, 5 propuestas, 5 IPIAs, 5 informes (por lo menos), etc.  Pero no tenemos los links para acceder a ellos, quizas CARE Canada."/>
    <n v="6610"/>
    <n v="0"/>
    <n v="0"/>
    <n v="0.48925869894099849"/>
    <s v=""/>
    <n v="3234"/>
    <n v="0"/>
    <n v="1"/>
    <n v="6610"/>
    <n v="0"/>
    <n v="0"/>
    <n v="1"/>
    <n v="6077"/>
    <n v="0"/>
    <n v="0"/>
    <s v=""/>
    <n v="0"/>
    <n v="0"/>
    <s v=""/>
    <s v=""/>
    <n v="0"/>
    <n v="0"/>
    <s v=""/>
    <s v=""/>
    <n v="0"/>
    <n v="0"/>
    <s v=""/>
    <s v="1. Neutral"/>
    <s v="1. Tokenistic"/>
    <s v="1. Neutral"/>
    <s v="It tested new ways for fighting poverty and measured results of innovation"/>
    <s v="Moderate advocacy"/>
    <s v="It did not take tested solutions to scale"/>
  </r>
  <r>
    <x v="16"/>
    <x v="4"/>
    <m/>
    <s v="Mujeres Exitosas por el empoderamiento de mujeres y su aporte al desarrollo económico local sostenible en el contexto cubano actual"/>
    <s v="Cuba"/>
    <m/>
    <s v="CARE Canada"/>
    <s v="Government"/>
    <s v="Government - Canada"/>
    <s v="Canada Fund for Local Initiatives (CFLI)"/>
    <m/>
    <m/>
    <m/>
    <m/>
    <m/>
    <m/>
    <m/>
    <m/>
    <m/>
    <m/>
    <m/>
    <m/>
    <m/>
    <m/>
    <m/>
    <m/>
    <m/>
    <m/>
    <m/>
    <m/>
    <m/>
    <m/>
    <m/>
    <m/>
    <m/>
    <m/>
    <m/>
    <m/>
    <m/>
    <m/>
    <m/>
    <m/>
    <m/>
    <m/>
    <m/>
    <m/>
    <m/>
    <m/>
    <m/>
    <m/>
    <m/>
    <m/>
    <m/>
    <m/>
    <m/>
    <d v="2016-09-01T00:00:00"/>
    <d v="2017-02-28T00:00:00"/>
    <m/>
    <s v="Development Access to and Control over Economic Resources"/>
    <n v="23832.639999999999"/>
    <s v="Guadalupe González Fernández"/>
    <s v="Encargada de Programas"/>
    <s v="lupe.carecuba@gmail.com"/>
    <m/>
    <m/>
    <m/>
    <s v="YES"/>
    <s v="YES"/>
    <s v="YES"/>
    <s v="Resultado Final (Objetivo General)- Incrementado el empoderamiento socioeconómico de las mujeres cubanas._x000a_Resultado Intermedio (Objetivo del Proyecto)- Estimulada la credibilidad de mujeres cubanas diversas y la confianza de actores estatales y no estatales a diferentes niveles, para asumir y apoyar las oportunidades y desafíos que ofrecen los nuevos modelos de gestión en el contexto cubano actual."/>
    <s v="Sub-National"/>
    <s v="La Habana, Cuba"/>
    <s v="El impacto del proyecto será más enfocado hacia las mujeres protagonistas y receptoras fundamentales del producto audiovisual previsto a realizar para incentivar el debate y sus mensajes fundamentales. Significará un escenario donde las representaciones sociales, económicas y culturales se evidencian como sujetas de cambio hacia los espacios públicos, en los diversos ámbitos de la sociedad cubana._x000a_En los hombres resultará de conocimientos para lograr un ejercicio pleno de igualdad sustantiva con respecto a la igualdad de oportunidades, señalando alcanzar el bienestar social. Sensibiliza a los hombres sobre el potencial emprendedor de las mujeres, que de una manera general está sumergido. Además de incentivarlos a facilitar y/o apoyar acciones a favor de estas actividades en las mujeres._x000a_Algunos de los beneficiarios y de las beneficiarias citadas han demandado de estos espacios en diferentes momentos. Con la aprobación del proyecto las mujeres testimoniantes serán parte del diseño del documental y su uso para el debate en diferentees espacios y niveles.  Parte de los grupos beneficiarios directos citados serán protagonistas de los primeros espacios de debate y reflexión sobre la temática, y otros, serán receptores del documental y sus mensajes fundamentales. Todos y todas tendrán la oportunidad de convertirse en activistas de la temática dando continuidad al debate en sus territorios y espacios de actuación."/>
    <n v="800"/>
    <n v="515"/>
    <n v="1315"/>
    <m/>
    <m/>
    <n v="5000"/>
    <s v="Beneficiarios directos_x000a_Al mínimo 15 mujeres (de diferentes procedencias territoriales, capacidades, edades, color de piel, orientación sexual y situación económica)- que expresarán sus testimonios, experiencias claves para la fundamentación del documental y tendrán la oportunidad de visibilizar sus buenas prácticas y lecciones aprendidas con diferentes públicos._x000a_Un mínimo de 500 mujeres que ven el documental en diferentes espacios- se encuentran con las testimoniantes y quedan mejor informadas, motivadas y con la confianza de hacer o seguir sus proyectos económicos._x000a_Personal decisor de 16 gobiernos provinciales, y del 50 % de los gobiernos municipales- que podrán disponer del documental para informarse y debatir sobre el tema como parte de un proceso de sensibilización._x000a_Personal decisor de 8 ministerios e institutos cubanos con los que se viene trabajando la temática (Ministerio de la Agricultura, Ministerio de la Industria Alimenticia, Ministerio de Economía y Planificación, Ministerio del Trabajo y la Seguridad Social, Ministerio de Educación Superior, Ministerio de Cultura, Instituto Nacional de Recursos Hidráulicos, ICAIC)-  participaran en el taller de reflexión propiciado por el proyecto  y podrán debatir sobre el tema como parte de un proceso de sensibilización._x000a_7 Cátedras que en diferentes Universidades del país (Pinar del Río, Habana, Villa Clara, Camagüey, Ciego de Ávila, Las Tunas, Santiago de Cuba) están potenciando la temática, como base para sus investigaciones, formaciones y proyectos, que podrán disponer del documental para informarse, participaran el espacio de reflexión propiciado por el proyecto y podrán debatir sobre el tema como parte de un proceso de sensibilización._x000a_CETED de la Universidad de La Habana (Centro de Estudios de Técnicas de Dirección) que se dedica específicamente a la investigación y la formación de capacidades sobre emprendimientos- podrán disponer del documental para informarse, participaran el espacio de reflexión propiciado por el proyecto  y podrán debatir sobre el tema como parte de un proceso de sensibilización,_x000a_SEMlac y su red de mujeres emprendedoras- que podrán disponer del documental para informarse, participaran el espacio de reflexión propiciado por el proyecto y podrán debatir sobre el tema como parte de un proceso de sensibilización._x000a_EDITORIAL DE LA MUJER- que podrán disponer del documental para informarse, participaran el espacio de reflexión propiciado por el proyecto y podrán debatir sobre el tema como parte de un proceso de sensibilización._x000a_Escuela Internacional de Cine y Televisión de San Antonio de los Baños- especialmente la Cátedra de Audiovisuales que podrán disponer del documental para informarse y motivarse en la temática._x000a_4 Oficinas del Historiador (Santiago de Cuba, Camagüey, Cienfuegos, La Habana), interesados en la temática y con acciones puntuales, que podrán disponer del documental para informarse, participaran el espacio de reflexión propiciado por el proyecto y podrán debatir sobre el tema como parte de un proceso de sensibilización._x000a_15 organizaciones de la sociedad civil cubana que trabajan la temática y utilizaran el documental como base de sus acciones de sensibilización y/o formación, y participaran el espacio de reflexión propiciado por el proyecto (ANEC, CIERIC, CEDEL, Asociación de Pedagogos de Cuba, ACPA, ACTAF, ANAP, Consejo Científico Veterinario, Consejo de Iglesias de Cuba, Centro Martin Luther King, Centro La Bastida en Santiago de Cuba, Unión de Escritores y Artistas de Cuba, Central de Trabajadores de Cuba, Centro de Estudios sobre la Juventud Cubana, Fundación Nicolás Guillén)_x000a_12 organizaciones de la cooperación internacional que en Cuba promueven cambios a favor de las mujeres y los emprendimientos y utilizaran el documental como base de sus acciones de sensibilización y/o formación y participaran el espacio de reflexión propiciado por el proyecto (CARE, OXFAM, HIVOS, Agro Acción Alemana, OIKOS, MUNDUBAT, MPDL, CIPS, GVC, COSPE, TECNALIA, Grupos de Solidaridad Cuba Sí de Alemania)_x000a_11 donantes interesados en continuar apoyando las temáticas en Cuba que se estima se sensibilicen más con la temática y su apoyo, y participaran el espacio de reflexión propiciado por el proyecto (Unión Europea, Cooperación Canadiense, Cooperación Española, Embajada de Reino Unido, Embajada de Francia, Embajada de Holanda, Embajada de Bélgica, Embajada de Noruega, Fondo de Desarrollo de las Naciones Unidas, UNESCO, Partido de Izquierda Alemana)_x000a_3 Universidades de países latinoamericanos que trabajan la temática (Universidad Nacional Autónoma de México, Universidad de Santo Tomás de Bogotá en Colombia, Universidad Autónoma de Medellín en Colombia) y la Filial Dominicana de la Fundación Nicolás Guillén - dispondrán del documental, conocerán de la realidad cubana y aportarán al debate._x000a_Beneficiarios indirectos- mujeres y hombres de todo el país vinculados a proyectos y población general que será partícipe de la proyección del documental y de los espacios de reflexión que se estima se potencien a partir del mismo"/>
    <m/>
    <n v="2000"/>
    <n v="1000"/>
    <n v="3000"/>
    <m/>
    <m/>
    <n v="114097"/>
    <s v="NO"/>
    <m/>
    <m/>
    <m/>
    <s v="NO"/>
    <m/>
    <m/>
    <m/>
    <s v="YES"/>
    <n v="2000"/>
    <n v="0.6"/>
    <n v="2000"/>
    <s v="NO"/>
    <m/>
    <m/>
    <m/>
    <s v="NO"/>
    <m/>
    <m/>
    <m/>
    <s v="NO"/>
    <m/>
    <m/>
    <m/>
    <s v="NO"/>
    <m/>
    <m/>
    <m/>
    <s v="NO"/>
    <m/>
    <m/>
    <m/>
    <s v="NO"/>
    <m/>
    <m/>
    <m/>
    <s v="NO"/>
    <m/>
    <m/>
    <m/>
    <s v="NO"/>
    <m/>
    <m/>
    <m/>
    <s v="NO"/>
    <m/>
    <m/>
    <m/>
    <m/>
    <m/>
    <m/>
    <m/>
    <m/>
    <n v="1000"/>
    <n v="500"/>
    <n v="1500"/>
    <m/>
    <m/>
    <n v="5000"/>
    <s v="NO"/>
    <m/>
    <m/>
    <m/>
    <s v="NO"/>
    <m/>
    <m/>
    <m/>
    <s v="NO"/>
    <m/>
    <m/>
    <m/>
    <s v="NO"/>
    <m/>
    <m/>
    <m/>
    <s v="NO"/>
    <m/>
    <m/>
    <m/>
    <s v="NO"/>
    <m/>
    <m/>
    <m/>
    <s v="NO"/>
    <m/>
    <m/>
    <m/>
    <s v="NO"/>
    <m/>
    <m/>
    <m/>
    <s v="NO"/>
    <m/>
    <m/>
    <m/>
    <s v="NO"/>
    <m/>
    <m/>
    <m/>
    <s v="NO"/>
    <m/>
    <m/>
    <m/>
    <s v="NO"/>
    <m/>
    <m/>
    <m/>
    <s v="NO"/>
    <m/>
    <m/>
    <m/>
    <s v="NO"/>
    <m/>
    <m/>
    <m/>
    <s v="NO"/>
    <m/>
    <m/>
    <m/>
    <s v="YES"/>
    <n v="1000"/>
    <n v="0.5"/>
    <n v="5000"/>
    <m/>
    <m/>
    <m/>
    <m/>
    <m/>
    <s v="NO"/>
    <m/>
    <m/>
    <s v="NO"/>
    <s v="NO"/>
    <m/>
    <m/>
    <m/>
    <x v="1"/>
    <s v="NO"/>
    <s v="YES"/>
    <s v="NO"/>
    <s v="YES"/>
    <s v="YES"/>
    <s v="NO"/>
    <s v="NO"/>
    <s v="NO"/>
    <m/>
    <x v="1"/>
    <s v="Se aportan testimonios de mujeres que desde diferentes procedencias, capacidades, niveles económicos, color de la piel, edades y orientación sexual, han desafiado barreras al optar por los nuevos modelos de gestión no estatal que se promueven en el país. Comparten experiencias exitosas, lecciones aprendidas, para de esta forma estimular la credibilidad de otras a optar por este camino y la confianza de decisores y decisoras en apoyarlas para que lo puedan realizar bajo principios responsables y solidarios, no incompatibles con las políticas estatales. Palomas ha dado un espacio a la voz de las emprendedoras cubanas."/>
    <x v="1"/>
    <s v="Estuvo orientado hacia el estímulo de la credibilidad de mujeres cubanas diversas y la confianza de actores estatales y no estatales a diferentes niveles, para asumir y apoyar las oportunidades y desafíos que ofrecen los nuevos modelos de gestión en Cuba. El producto fundamental fue el documental Mujeres los poderes vitales del éxito realizado y subtitulado al inglés bajo la dirección de Lizette Vila e Ingrid León, centrado en experiencias actuales de mujeres exitosas de diferentes estratos sociales, edades, razas y orientación sexual. El documental tuvo la colaboración de SEMlac y servirá de base material para el debate en diferentes espacios del país después de su presentación especial en el Cine 23 y 12 de La Habana, en conmemoración al Día Naranja (25 marzo), además de distribuirse 150 copias actores a los que interesa el tema._x000a_Adicionalmente se dejaron preparadas las condiciones para realizar una Conferencia de Prensa para la presentación del documental a periodistas y comunicadores relacionados con la temática y una tercera presentación a personal clave en la implementación de los lineamientos en Cuba, que se realizará por Lizette Vila con el apoyo de la Presidencia del ICAIC en el mes de abril._x000a_El amplio proceso investigativo realizado deja las bases para nuevos materiales que servirán al activismo social que caracteriza al Proyecto Palomas y que se espera poder seguir siendo apoyado por CARE. Se prevén presentaciones especiales fuera del país con apoyo de la comunidad de aprendizaje de CARE sobre empoderamiento socio económico de mujeres."/>
    <x v="1"/>
    <x v="0"/>
    <s v="YES"/>
    <x v="0"/>
    <x v="0"/>
    <x v="0"/>
    <x v="0"/>
    <n v="4"/>
    <x v="1"/>
    <x v="1"/>
    <x v="1"/>
    <x v="1"/>
    <x v="1"/>
    <x v="1"/>
    <n v="4"/>
    <x v="1"/>
    <x v="1"/>
    <x v="1"/>
    <x v="1"/>
    <x v="1"/>
    <n v="3"/>
    <x v="2"/>
    <x v="2"/>
    <n v="2"/>
    <s v="Other"/>
    <s v="Local NGO(s)/CSO(s)"/>
    <m/>
    <x v="2"/>
    <s v="Desarrolló un producto de alta demanda para el debate en el marco de la sociedad civil cubana"/>
    <s v="Programar acciones paralelas y post presentaciòn del documental, con seguimiento de CARE y rendición de cuentas al donante."/>
    <s v="Formó parte de una plataforma de debate en el contexto cubano actual, con amplia participación de lideres de opinión y actores que pudieran incidir en el cambio. El audiovisual es un producto efectivo para levantar historias de vida que testimonian la necesidad de promover transformaciones socio económicas en la sociedad cubana actual, siempre que es desarrollado con personalidades que tienen alta incidencia en los medios de comunicación y en los espacios de dialógo entre gobierno y sociedad civil"/>
    <s v="Las historias de vida con una buena conducción en la forma de divulgarlas, siguen siendo una herramienta importante para el cambio."/>
    <s v="La participación de periodistas que trabajan la investigaciòn en la temática de género y la consulta con personalidades reconocidas por la Academia le dan fundamento científico al producto realizado, facilitando la incidencia"/>
    <s v="Estas iniciativas deben ser sistemáticas en el accionar de CARE en Cuba como parte del Programa de Empoderamiento Socioeconómico de Mujeres, no ser acciones aisladas."/>
    <s v="Estas iniciativas deben cpmplementarse con apoyo a la difusion y el debate, post realización, tanto a nivel regional como nacional e internacional."/>
    <m/>
    <m/>
    <m/>
    <n v="3000"/>
    <n v="114097"/>
    <n v="38.032333333333334"/>
    <n v="0.66666666666666663"/>
    <n v="0"/>
    <n v="2000"/>
    <n v="0"/>
    <n v="1"/>
    <n v="3000"/>
    <n v="114097"/>
    <n v="38.032333333333334"/>
    <s v=""/>
    <n v="0"/>
    <n v="0"/>
    <s v=""/>
    <s v=""/>
    <n v="0"/>
    <n v="0"/>
    <s v=""/>
    <s v=""/>
    <n v="0"/>
    <n v="0"/>
    <s v=""/>
    <n v="1"/>
    <n v="1000"/>
    <n v="5000"/>
    <n v="5"/>
    <s v="2. Sensitive"/>
    <s v="2. Accommodating"/>
    <s v="2. Sensitive"/>
    <s v="It tested new ways for fighting poverty, but did not measure results of innovation"/>
    <s v="Moderate advocacy"/>
    <s v="It linked and worked with strategic alliances and partners to take tested and effective solutions to scale"/>
  </r>
  <r>
    <x v="16"/>
    <x v="4"/>
    <m/>
    <s v="PROSAM - Acelerar la producción sostenible de alimentos en municipios cubanos"/>
    <s v="Cuba"/>
    <s v="CU089"/>
    <s v="CARE Canada"/>
    <s v="Government"/>
    <s v="Government - Canada"/>
    <s v="Global Affairs Canada (GAC) "/>
    <m/>
    <m/>
    <m/>
    <m/>
    <m/>
    <m/>
    <m/>
    <m/>
    <m/>
    <m/>
    <m/>
    <m/>
    <m/>
    <m/>
    <m/>
    <m/>
    <m/>
    <m/>
    <m/>
    <m/>
    <m/>
    <m/>
    <m/>
    <m/>
    <m/>
    <m/>
    <m/>
    <m/>
    <m/>
    <m/>
    <m/>
    <m/>
    <m/>
    <m/>
    <m/>
    <m/>
    <m/>
    <m/>
    <m/>
    <m/>
    <m/>
    <m/>
    <m/>
    <m/>
    <m/>
    <d v="2015-11-03T00:00:00"/>
    <d v="2020-10-31T00:00:00"/>
    <m/>
    <s v="Development Food &amp; Nutrition Security and Resilience to Climate Change"/>
    <n v="3784847"/>
    <s v="Gregory Spira"/>
    <s v="Project Manager"/>
    <s v="gregory.spira@care.ca"/>
    <s v="Richard Paterson"/>
    <s v="Deputy Project Manager"/>
    <s v="Richard.paterson@care.ca"/>
    <s v="NO"/>
    <s v="YES"/>
    <s v="NO"/>
    <s v="Incremento de la producción agrícola sostenible para mujeres y hombres en los municipios urbanos y suburbanos seleccionados."/>
    <s v="Sub-National"/>
    <s v="Cuba, provincias La Habana, Artemisa y Mayabeque. Municipios Artemisa, Bejucal, Guanabacoa, Guines y Madruga."/>
    <s v="El proyecto beneficiará aproximadamente a 5,200 personas, directamente a través de sus dos resultados intermedios (fortalecimiento de la gestión del desarrollo agrícola municipal sostenible e incrementada la producción sostenible de productos alimenticios diversificados, especialmente por parte de las mujeres) y 323,456 personas (163,158 mujeres y 160,298 hombres), indirectamente de la población de los cinco municipios meta del proyecto"/>
    <n v="2717"/>
    <n v="2483"/>
    <n v="5200"/>
    <n v="163158"/>
    <n v="160298"/>
    <n v="323456"/>
    <s v="Beneficiarios Directos: Aproximadamente 5,200 personas distribuidas de la siguiente forma: Personal del IS (35 mujeres, 15 hombres); Productores y productoras de los municipios (1000 mujeres, 1000 hombres); Familias residentes en las comunidades y cooperativas (1000 mujeres, 1000 hombres); Personal de las entidades municipales que producen y/o comercializan insumos y servicios (260 mujeres, 170 hombres) Personal   de   las  empresas  agropecuarias  municipales   (17 mujeres, 8 hombres); Personal de las Direcciones/Delegaciones de la Agricultura (45 mujeres, 30 hombres); Personas  que  laboran  en  las  mini-industrias  y  centros  de beneficio (100 mujeres, 50 hombres); Personas que laboran en los mercados y puntos de venta (100 mujeres, 50 hombres); Personal de los gobiernos municipales (10 mujeres, 10 hombres) Decisores y decisoras de las cooperativas de los municipios (150 mujeres, 150 hombres)._x000a_Beneficiarios Indirectos: Toda la población de los cinco municipios, 323,456 personas, 163,158 mujeres y 160,298 hombres. Instituciones: MINAG provincial y nacional, CITMA, ANAP, ACPA, ACTAF, FMC"/>
    <m/>
    <m/>
    <m/>
    <m/>
    <m/>
    <m/>
    <m/>
    <s v="NO"/>
    <m/>
    <m/>
    <m/>
    <s v="NO"/>
    <m/>
    <m/>
    <m/>
    <s v="NO"/>
    <m/>
    <m/>
    <m/>
    <s v="NO"/>
    <m/>
    <m/>
    <m/>
    <s v="NO"/>
    <m/>
    <m/>
    <m/>
    <s v="NO"/>
    <m/>
    <m/>
    <m/>
    <s v="NO"/>
    <m/>
    <m/>
    <m/>
    <s v="NO"/>
    <m/>
    <m/>
    <m/>
    <s v="NO"/>
    <m/>
    <m/>
    <m/>
    <s v="NO"/>
    <m/>
    <m/>
    <m/>
    <s v="NO"/>
    <m/>
    <m/>
    <m/>
    <s v="NO"/>
    <m/>
    <m/>
    <m/>
    <m/>
    <m/>
    <m/>
    <m/>
    <m/>
    <n v="2717"/>
    <n v="2843"/>
    <n v="5560"/>
    <n v="163158"/>
    <n v="160298"/>
    <n v="323456"/>
    <s v="YES"/>
    <n v="1299"/>
    <n v="0.52"/>
    <m/>
    <s v="NO"/>
    <m/>
    <m/>
    <m/>
    <s v="NO"/>
    <m/>
    <m/>
    <m/>
    <s v="NO"/>
    <m/>
    <m/>
    <m/>
    <s v="NO"/>
    <m/>
    <m/>
    <m/>
    <s v="NO"/>
    <m/>
    <m/>
    <m/>
    <s v="YES"/>
    <n v="1299"/>
    <n v="0.52"/>
    <m/>
    <s v="NO"/>
    <m/>
    <m/>
    <m/>
    <s v="NO"/>
    <m/>
    <m/>
    <m/>
    <s v="NO"/>
    <m/>
    <m/>
    <m/>
    <s v="NO"/>
    <m/>
    <m/>
    <m/>
    <s v="NO"/>
    <m/>
    <m/>
    <m/>
    <s v="NO"/>
    <m/>
    <m/>
    <m/>
    <s v="NO"/>
    <m/>
    <m/>
    <m/>
    <s v="NO"/>
    <m/>
    <m/>
    <m/>
    <s v="YES"/>
    <n v="1299"/>
    <n v="0.52"/>
    <m/>
    <m/>
    <m/>
    <m/>
    <m/>
    <m/>
    <s v="YES"/>
    <m/>
    <m/>
    <s v="NO"/>
    <s v="NO"/>
    <m/>
    <m/>
    <m/>
    <x v="1"/>
    <s v="NO"/>
    <s v="NO"/>
    <s v="NO"/>
    <s v="NO"/>
    <s v="NO"/>
    <s v="NO"/>
    <s v="NO"/>
    <s v="NO"/>
    <m/>
    <x v="0"/>
    <m/>
    <x v="0"/>
    <m/>
    <x v="1"/>
    <x v="1"/>
    <s v="YES"/>
    <x v="0"/>
    <x v="0"/>
    <x v="0"/>
    <x v="2"/>
    <n v="4"/>
    <x v="1"/>
    <x v="1"/>
    <x v="1"/>
    <x v="1"/>
    <x v="1"/>
    <x v="1"/>
    <n v="4"/>
    <x v="3"/>
    <x v="1"/>
    <x v="1"/>
    <x v="1"/>
    <x v="4"/>
    <n v="3"/>
    <x v="3"/>
    <x v="2"/>
    <n v="15"/>
    <s v="International NGO(s)"/>
    <s v="National government"/>
    <s v="University/research institution(s)"/>
    <x v="1"/>
    <m/>
    <s v="Los cambios en el contexto de la colaboración en Cuba, llevaron a reajustes en el personal que por CARE y OXFAM participan en el proyecto, y durante un proceso de análisis de esta situación y su reajuste, el proyecto se encuentra con su plan de trabajo practicamente detenido y con el mínimo de actividades. Un grupo de ellas han sido retrasadas."/>
    <s v="Planificación Comunitaria"/>
    <s v="Escuelas de Campo"/>
    <m/>
    <s v="El trabajo sistemático de seguimiento e intercambio por parte del equipo de proyecto con actores locales/beneficiarios genera confianza en las acciones del proyecto"/>
    <s v="La Estrategia de Género del Sistema de la Agricultura, es una oportunidad para PROSAM, ya que permite conectar el rol político de las DMA con el trabajo por la IG. Esa estrategia no tiene aún plan de implementación muy claro y su difusión no se está aparentemente priorizada"/>
    <s v="Es necesario dedicar tiempo a formar el equipo de proyecto, distribuir claramente los roles y establecer los mecanismos de comunicación para su mejor funcionamiento, no resulta la mejor opción arrancar el proyecto y formarlo sobre la marcha"/>
    <m/>
    <m/>
    <n v="5560"/>
    <n v="323456"/>
    <n v="58.175539568345322"/>
    <n v="0.48866906474820143"/>
    <n v="0.50442100316580929"/>
    <n v="2717"/>
    <n v="163158"/>
    <s v=""/>
    <n v="0"/>
    <n v="0"/>
    <s v=""/>
    <n v="1"/>
    <n v="1299"/>
    <n v="0"/>
    <n v="0"/>
    <s v=""/>
    <n v="0"/>
    <n v="0"/>
    <s v=""/>
    <s v=""/>
    <n v="0"/>
    <n v="0"/>
    <s v=""/>
    <n v="1"/>
    <n v="1299"/>
    <n v="0"/>
    <n v="0"/>
    <s v="4. Transformative"/>
    <s v="2. Accommodating"/>
    <s v="4. Transformative"/>
    <s v="It did not develop any specific innovation"/>
    <s v="Moderate advocacy"/>
    <s v="It did not take tested solutions to scale"/>
  </r>
  <r>
    <x v="16"/>
    <x v="4"/>
    <m/>
    <s v="Strengthening early warning system, adaptation, preparedness and response actions to increase drought resilience and reduce its impact on food and nutrition security and water supply in eastern provinces of Cuba."/>
    <s v="Cuba"/>
    <m/>
    <s v="No CARE member related to the project/initiative"/>
    <s v="Multilateral agency"/>
    <s v="ECHO - European Commission for Humanitarian Aid and Civil Protection"/>
    <s v="ECHO"/>
    <m/>
    <m/>
    <m/>
    <m/>
    <m/>
    <m/>
    <m/>
    <m/>
    <m/>
    <m/>
    <m/>
    <m/>
    <m/>
    <m/>
    <m/>
    <m/>
    <m/>
    <m/>
    <m/>
    <m/>
    <m/>
    <m/>
    <m/>
    <m/>
    <m/>
    <m/>
    <m/>
    <m/>
    <m/>
    <m/>
    <m/>
    <m/>
    <m/>
    <m/>
    <m/>
    <m/>
    <m/>
    <m/>
    <m/>
    <m/>
    <m/>
    <m/>
    <m/>
    <m/>
    <m/>
    <d v="2016-05-01T00:00:00"/>
    <d v="2017-10-31T00:00:00"/>
    <d v="2017-12-31T00:00:00"/>
    <s v="Humanitarian Other"/>
    <n v="14000"/>
    <s v="Guadalupe González Fernández"/>
    <s v="Encargada de Programas"/>
    <s v="lupe.carecuba@gmail.com"/>
    <m/>
    <m/>
    <m/>
    <s v="YES"/>
    <s v="YES"/>
    <s v="YES"/>
    <s v="Mejorar la preparación de autoridades, instituciones y población  para la adaptación y respuesta al riesgo de sequía"/>
    <s v="Sub-National"/>
    <s v="Centro Urbano Abel Santamaría, municipio Santiago de Cuba, provincia Santiago de Cuba"/>
    <s v="Directamente- 3000 personas residentes en el Centro Urbano Abel Santamaría. Esta población  se beneficiará por contar con autoridades, instituciones y población mejor preparados para la gestión del riesgo de sequía y para adoptar medidas de adaptación y respuesta, respondiendo a las necesidades específicas de cada localidad. Estos beneficiarios también mejorarán su percepción y preparación para enfrentar el riesgo de sequía a través de la información que recibirán de los diferentes medios y del sistema de gestión del conocimiento._x000a_Indirectamente- 25 % de la población residente en la ciudad de Santiago de Cuba  y 13 instituciones del centro urbano de Santiago.  "/>
    <n v="2000"/>
    <n v="1000"/>
    <n v="3000"/>
    <m/>
    <m/>
    <n v="114097"/>
    <s v="Defensa Civil. Avala el proyecto y apoya la implementación; apoya en la difusión de las buenas prácticas a nivel cubano y región Caribe.  _x000a_Gobierno provincial y municipal. Facilitan la coordinación entre provincia y municipio. Participan en las capacitaciones. Organizan las comunidades para la sensibilización a través de los consejos populares y el apoyo de los CGRRD._x000a_CGRRD y Grupos Multidisciplinarios. Participan en capacitaciones para fortalecer su entendimiento del riesgo de sequía; usan los conocimientos adquiridos  para la toma de decisiones.  Participan los Comités de Gestión Comunitaria del Agua en la sensibilización comunitaria._x000a_Voluntarios de la Cruz Roja Cubana. Se integran y aportan su experiencia en los Comités de Gestión Comunitaria del Agua. Son capacitados para fortalecer el enfoque multiriesgo de su trabajo._x000a_Miembros de asociaciones cubanas de personas con discapacidad (ANSOC, ANCI, ACLIFIM). Se integran a los Comités de Gestión Comunitaria del Agua, garantizando la inclusión de las necesidades y expectativas de las personas con discapacidad.  _x000a_Pobladores de la ciudad de Santiago de Cuba. Participan en actividades de sensibilización y capacitación, y transmiten la información a otros pobladores._x000a_Consejos populares, escuelas, instituciones y asociaciones de personas con discapacidad. Participan en la implementación de la estrategia comunitaria de sensibilización y divulgación._x000a_Se decidió reducir el alcance a la ciudad de Santiago de Cuba, tratando de hacer sinergias y aprovechar las capacidades creadas por los dos proyectos DIPECHO en GRRD implementados por CARE (HIP 2013 y HIP 2015), y por ser la ciudad de mayor afectación en estos momentos con el abasto de agua a la población y hacia destinos económicos._x000a_Por la dimensión geográfica de la ciudad de Santiago de Cuba, la alta densidad de población, el tiempo limitado para la implementación del proyecto y el marco financiero, se seleccionarán los 14 consejos populares más vulnerables ante la sequía (selección que aportará la Dirección Provincial de Recursos Hidráulicos), de los 29 existentes para el resultado 1, relacionado con el aumento de la percepción de riesgo y la preparación para la adaptación, aunque toda la ciudad será beneficiada indirectamente con la campaña de sensibilización. Para el resultado 2, se selecciona el Centro Urbano Abel Santamaría, por su densidad de población y condiciones críticas de abasto de agua a la población. Para el resultado 3, se prevé incidir en el municipio Santiago de Cuba, y tener un alcance nacional a través del sistema de gestión del conocimiento a desarrollar."/>
    <m/>
    <n v="2000"/>
    <n v="1000"/>
    <n v="3000"/>
    <m/>
    <m/>
    <n v="114097"/>
    <s v="NO"/>
    <m/>
    <m/>
    <m/>
    <s v="NO"/>
    <m/>
    <m/>
    <m/>
    <s v="YES"/>
    <n v="2000"/>
    <n v="0.6"/>
    <n v="2000"/>
    <s v="NO"/>
    <m/>
    <m/>
    <m/>
    <s v="NO"/>
    <m/>
    <m/>
    <m/>
    <s v="NO"/>
    <m/>
    <m/>
    <m/>
    <s v="NO"/>
    <m/>
    <m/>
    <m/>
    <s v="NO"/>
    <m/>
    <m/>
    <m/>
    <s v="NO"/>
    <m/>
    <m/>
    <m/>
    <s v="NO"/>
    <m/>
    <m/>
    <m/>
    <s v="NO"/>
    <m/>
    <m/>
    <m/>
    <s v="NO"/>
    <m/>
    <m/>
    <m/>
    <m/>
    <m/>
    <m/>
    <m/>
    <m/>
    <m/>
    <m/>
    <n v="2807"/>
    <m/>
    <m/>
    <m/>
    <s v="NO"/>
    <m/>
    <m/>
    <m/>
    <s v="NO"/>
    <m/>
    <m/>
    <m/>
    <m/>
    <m/>
    <m/>
    <m/>
    <s v="YES"/>
    <n v="2807"/>
    <n v="0.46"/>
    <n v="114097"/>
    <m/>
    <m/>
    <m/>
    <m/>
    <s v="YES"/>
    <n v="2807"/>
    <n v="0.46"/>
    <n v="10000"/>
    <s v="NO"/>
    <m/>
    <m/>
    <m/>
    <s v="NO"/>
    <m/>
    <m/>
    <m/>
    <s v="NO"/>
    <m/>
    <m/>
    <m/>
    <s v="NO"/>
    <m/>
    <m/>
    <m/>
    <s v="YES"/>
    <n v="2807"/>
    <n v="0.46"/>
    <m/>
    <s v="NO"/>
    <m/>
    <m/>
    <m/>
    <s v="NO"/>
    <m/>
    <m/>
    <m/>
    <s v="NO"/>
    <m/>
    <m/>
    <m/>
    <s v="NO"/>
    <m/>
    <m/>
    <m/>
    <s v="NO"/>
    <m/>
    <m/>
    <m/>
    <m/>
    <m/>
    <m/>
    <m/>
    <m/>
    <s v="NO"/>
    <m/>
    <m/>
    <s v="NO"/>
    <s v="NO"/>
    <m/>
    <m/>
    <m/>
    <x v="1"/>
    <s v="NO"/>
    <s v="NO"/>
    <s v="YES"/>
    <s v="YES"/>
    <s v="YES"/>
    <s v="NO"/>
    <s v="NO"/>
    <s v="NO"/>
    <m/>
    <x v="1"/>
    <s v="Sensibilizó y creó capacidades para la Gestión Inclusiva de la Gestión de Riesgo desde el nivel local hasta el nacional, enfocado en sequía pero con un enfoque multiriesgo_x000a_Incertó en las Asociaciones de Personas con Discapacidad la planificación para la gestión del riesgo"/>
    <x v="1"/>
    <s v="Se implemento en el marco de un proyecto que se implementa por un consorcio internacional liderado por MPDL  y OIKOS y donde participan además de CARE, las organizaciones internacionales OXFAM, MUNDUBAT, CIPS, GVC junto a dos programas multilaterales PNUD y PMA, comparitiendo prácticas internacionales con Recursos Hidráulicos y Defensa Civil Cubana_x000a_Faciitó el dialogo, elaboración de programass de trabajo conjunto y materiales educativos y de sensibilización  entre Recursos Hidráulicos con el Sistema de Defensa Civil, la Cruz Roja Cubana, las Asociaciones de Personas con Discapacidad  y la Asociación de Técnicos Agrícolas y Forestales para acciones de preparación y sensibilización comunitaria_x000a_Proporcionó la inclusión del riesgo sequía con mayor profundidad en los planes de la Defensa Civil Cubana"/>
    <x v="0"/>
    <x v="0"/>
    <s v="YES"/>
    <x v="2"/>
    <x v="0"/>
    <x v="0"/>
    <x v="1"/>
    <n v="3"/>
    <x v="1"/>
    <x v="1"/>
    <x v="1"/>
    <x v="1"/>
    <x v="1"/>
    <x v="1"/>
    <n v="4"/>
    <x v="1"/>
    <x v="1"/>
    <x v="1"/>
    <x v="1"/>
    <x v="1"/>
    <n v="3"/>
    <x v="0"/>
    <x v="2"/>
    <n v="11"/>
    <s v="International NGO(s)"/>
    <s v="Multilateral organization(s)"/>
    <s v="Local NGO(s)/CSO(s)"/>
    <x v="2"/>
    <s v="Capacitación en gestion inclusiva del riesgo de sequía a la Cruz Roja Cubana_x000a_Formación de promotores voluntarios de las Asociaciones de Personas con Discapacidad para la gestión inclusiva de la sequía_x000a_Elaboración de material didáctico para continuar utilizando en la sensibilización a nivel local por la sociedad civil cubana (Cruz Roja, Asociaciones de Personas con Discapacida, ACTAF)"/>
    <m/>
    <m/>
    <m/>
    <m/>
    <m/>
    <m/>
    <m/>
    <m/>
    <m/>
    <n v="3000"/>
    <n v="114097"/>
    <n v="38.032333333333334"/>
    <n v="0.66666666666666663"/>
    <n v="0"/>
    <n v="2000"/>
    <n v="0"/>
    <n v="1"/>
    <n v="3000"/>
    <n v="114097"/>
    <n v="38.032333333333334"/>
    <n v="1"/>
    <n v="2807"/>
    <n v="114097"/>
    <n v="40.647310295689351"/>
    <s v=""/>
    <n v="0"/>
    <n v="0"/>
    <s v=""/>
    <s v=""/>
    <n v="0"/>
    <n v="0"/>
    <s v=""/>
    <s v=""/>
    <n v="0"/>
    <n v="0"/>
    <s v=""/>
    <s v="1. Neutral"/>
    <s v="2. Accommodating"/>
    <s v="2. Sensitive"/>
    <s v="It tested new ways for fighting poverty, but did not measure results of innovation"/>
    <s v="Moderate advocacy"/>
    <s v="It linked and worked with strategic alliances and partners to take tested and effective solutions to scale"/>
  </r>
  <r>
    <x v="17"/>
    <x v="1"/>
    <m/>
    <s v="Support of expert capacities of CARE (Czech Rep.) in networking, partnerships and cooperation"/>
    <s v="Czech Republic"/>
    <s v="KAP17"/>
    <s v="No CARE member related to the project/initiative"/>
    <s v="Government"/>
    <s v="Other"/>
    <s v="Czech Development Agency (CZDA)"/>
    <m/>
    <m/>
    <m/>
    <m/>
    <m/>
    <m/>
    <m/>
    <m/>
    <m/>
    <m/>
    <m/>
    <m/>
    <m/>
    <m/>
    <m/>
    <m/>
    <m/>
    <m/>
    <m/>
    <m/>
    <m/>
    <m/>
    <m/>
    <m/>
    <m/>
    <m/>
    <m/>
    <m/>
    <m/>
    <m/>
    <m/>
    <m/>
    <m/>
    <m/>
    <m/>
    <m/>
    <m/>
    <m/>
    <m/>
    <m/>
    <m/>
    <m/>
    <m/>
    <m/>
    <m/>
    <d v="2017-01-01T00:00:00"/>
    <d v="2017-12-31T00:00:00"/>
    <m/>
    <s v="Development Other"/>
    <n v="13600"/>
    <s v="Jan Koubek Kejzlar"/>
    <s v="director"/>
    <s v="jan.kejzlar@care.cz"/>
    <m/>
    <m/>
    <m/>
    <s v="NO"/>
    <s v="YES"/>
    <s v="NO"/>
    <s v="Strenghtening of expert capacities within CARE Czech Republic team, focused on resources mobilisation, EU partnership and advocacy. Establishing the Czech consortium of the NGOs (ADRA, CARE, Diaconia)"/>
    <s v="National"/>
    <s v="Czech Republic in cooperation with other CARE members, focused on European level"/>
    <s v="Internal CARE capacities, partners (NGOs) and within CARE International network"/>
    <n v="10"/>
    <n v="10"/>
    <n v="20"/>
    <m/>
    <m/>
    <m/>
    <s v="Direct participants: CARE team members, cooparating NGOs partners (within trainings, consortium development; advocacy initiatives) No indirect due to character of the project activities and goals."/>
    <m/>
    <m/>
    <m/>
    <m/>
    <m/>
    <m/>
    <m/>
    <m/>
    <m/>
    <m/>
    <m/>
    <m/>
    <m/>
    <m/>
    <m/>
    <m/>
    <m/>
    <m/>
    <m/>
    <m/>
    <m/>
    <m/>
    <m/>
    <m/>
    <m/>
    <m/>
    <m/>
    <m/>
    <m/>
    <m/>
    <m/>
    <m/>
    <m/>
    <m/>
    <m/>
    <m/>
    <m/>
    <m/>
    <m/>
    <m/>
    <m/>
    <m/>
    <m/>
    <m/>
    <m/>
    <m/>
    <m/>
    <m/>
    <m/>
    <m/>
    <m/>
    <m/>
    <m/>
    <m/>
    <m/>
    <m/>
    <m/>
    <m/>
    <m/>
    <m/>
    <n v="5"/>
    <n v="5"/>
    <n v="10"/>
    <m/>
    <m/>
    <m/>
    <m/>
    <m/>
    <m/>
    <m/>
    <m/>
    <m/>
    <m/>
    <m/>
    <m/>
    <m/>
    <m/>
    <m/>
    <m/>
    <m/>
    <m/>
    <m/>
    <m/>
    <m/>
    <m/>
    <m/>
    <m/>
    <m/>
    <m/>
    <m/>
    <m/>
    <m/>
    <m/>
    <m/>
    <m/>
    <m/>
    <m/>
    <m/>
    <m/>
    <m/>
    <m/>
    <m/>
    <m/>
    <m/>
    <m/>
    <m/>
    <m/>
    <m/>
    <m/>
    <m/>
    <m/>
    <m/>
    <m/>
    <m/>
    <m/>
    <m/>
    <m/>
    <m/>
    <m/>
    <m/>
    <m/>
    <m/>
    <m/>
    <m/>
    <m/>
    <m/>
    <m/>
    <m/>
    <m/>
    <m/>
    <s v="capacity building"/>
    <s v="YES"/>
    <n v="10"/>
    <n v="0.5"/>
    <m/>
    <s v="NO"/>
    <m/>
    <m/>
    <m/>
    <m/>
    <m/>
    <m/>
    <m/>
    <x v="0"/>
    <m/>
    <m/>
    <m/>
    <m/>
    <s v="YES"/>
    <m/>
    <m/>
    <m/>
    <m/>
    <x v="0"/>
    <m/>
    <x v="3"/>
    <s v="Best practices in cooperation, joint advocacy initiative (for programmes changes) and workshop on gender issues organised for CSOs and institutional participants."/>
    <x v="1"/>
    <x v="0"/>
    <s v="YES"/>
    <x v="1"/>
    <x v="1"/>
    <x v="0"/>
    <x v="1"/>
    <n v="2"/>
    <x v="3"/>
    <x v="0"/>
    <x v="0"/>
    <x v="0"/>
    <x v="0"/>
    <x v="3"/>
    <n v="0"/>
    <x v="2"/>
    <x v="0"/>
    <x v="0"/>
    <x v="0"/>
    <x v="2"/>
    <n v="0"/>
    <x v="0"/>
    <x v="3"/>
    <n v="5"/>
    <s v="University/research institution(s)"/>
    <s v="Regional alliance(s)/Platform(s)/Network(s) of  NGOs/CSOs"/>
    <s v="Local NGO(s)/CSO(s)"/>
    <x v="2"/>
    <s v="Workshop on gender in development; networking and capacity building with partners."/>
    <s v="At the initial stage of activities planning, the need for gender issues awareness within the sector (humanitarian and development) became important add on for the capacity building goals."/>
    <s v="Interactive workshop for key partners on gender issues in development."/>
    <s v="Joint advocacy with strategic partners in platform/consortium helped to raise voice (issues) towards the governmental representatives."/>
    <m/>
    <s v="Variety of knowledge basis on gender mainstreaming and gender in development issues even within expert partners. Need for segmented approach."/>
    <s v="Building trust with partners in cooperation led to promising cooperation."/>
    <m/>
    <m/>
    <m/>
    <n v="10"/>
    <n v="0"/>
    <n v="0"/>
    <n v="0.5"/>
    <s v=""/>
    <n v="5"/>
    <n v="0"/>
    <s v=""/>
    <n v="0"/>
    <n v="0"/>
    <s v=""/>
    <s v=""/>
    <n v="0"/>
    <n v="0"/>
    <s v=""/>
    <s v=""/>
    <n v="0"/>
    <n v="0"/>
    <s v=""/>
    <s v=""/>
    <n v="0"/>
    <n v="0"/>
    <s v=""/>
    <s v=""/>
    <n v="0"/>
    <n v="0"/>
    <s v=""/>
    <s v="1. Neutral"/>
    <s v="0. Unaware"/>
    <s v="0. Harmful"/>
    <s v="It did not develop any specific innovation"/>
    <s v="Little or no advocacy"/>
    <s v="It took tested solutions to scale on its own"/>
  </r>
  <r>
    <x v="18"/>
    <x v="1"/>
    <m/>
    <s v="CARE DK report on the impact of climate change on migration (&quot;Fleeing Climate Change: The Impacts on Migration and Displacement&quot;)"/>
    <s v="Denmark"/>
    <m/>
    <s v="CARE Danmark"/>
    <m/>
    <m/>
    <m/>
    <m/>
    <m/>
    <m/>
    <m/>
    <m/>
    <m/>
    <m/>
    <m/>
    <m/>
    <m/>
    <m/>
    <m/>
    <m/>
    <m/>
    <m/>
    <m/>
    <m/>
    <m/>
    <m/>
    <m/>
    <m/>
    <m/>
    <m/>
    <m/>
    <m/>
    <m/>
    <m/>
    <m/>
    <m/>
    <m/>
    <m/>
    <m/>
    <m/>
    <m/>
    <m/>
    <m/>
    <m/>
    <m/>
    <m/>
    <m/>
    <m/>
    <m/>
    <m/>
    <m/>
    <m/>
    <m/>
    <m/>
    <m/>
    <s v="Development Food &amp; Nutrition Security and Resilience to Climate Change"/>
    <m/>
    <s v="Sarah Kristine Johansen"/>
    <s v="Head of Advocacy"/>
    <s v="skjohansen@care.dk"/>
    <m/>
    <m/>
    <m/>
    <s v="NO"/>
    <s v="YES"/>
    <s v="NO"/>
    <s v="1) change the discourse around migration and improve the general understanding of push factors driving migration (Africa, Asia), 2) the policy ask was to get the Danish government to prioritize - by allocating additional funding to Climate Change adaptation in developing countries and actively contribute to the discussions around Loss and Damage under the UNFCCC framework. The initiative generated good media coverage and CARE DK will organize a round table discussion in the fall of 2017 to influence the new Danish Foreign Affairs and Security Policy."/>
    <s v="National"/>
    <m/>
    <s v="The primary target group was Danish decision-makers/politicians_x000a_The potential impact group is people from Africa and Asia benefiting from additional funding and improved cooperation policies from CARE DK"/>
    <n v="20"/>
    <n v="20"/>
    <n v="40"/>
    <n v="1000000"/>
    <n v="1000000"/>
    <n v="2000000"/>
    <s v="Direct participants are the politicians/decision-makers CARE DK met with directly and attempted to influence through this initiative._x000a_NB: Indirect participants in this case is the Danish public reached through mass media coverage. This should not be counted as people benefiting from the initiative. It does not make sense to estimate the number of people who are likely to benefit from a change in Danish development policy."/>
    <m/>
    <m/>
    <m/>
    <m/>
    <m/>
    <m/>
    <m/>
    <m/>
    <m/>
    <m/>
    <m/>
    <m/>
    <m/>
    <m/>
    <m/>
    <m/>
    <m/>
    <m/>
    <m/>
    <m/>
    <m/>
    <m/>
    <m/>
    <m/>
    <m/>
    <m/>
    <m/>
    <m/>
    <m/>
    <m/>
    <m/>
    <m/>
    <m/>
    <m/>
    <m/>
    <m/>
    <m/>
    <m/>
    <m/>
    <m/>
    <m/>
    <m/>
    <m/>
    <m/>
    <m/>
    <m/>
    <m/>
    <m/>
    <m/>
    <m/>
    <m/>
    <m/>
    <m/>
    <m/>
    <m/>
    <m/>
    <m/>
    <m/>
    <m/>
    <m/>
    <n v="20"/>
    <n v="20"/>
    <n v="40"/>
    <n v="1000000"/>
    <n v="1000000"/>
    <n v="2000000"/>
    <m/>
    <m/>
    <m/>
    <m/>
    <s v="YES"/>
    <n v="40"/>
    <n v="0.5"/>
    <n v="2000000"/>
    <m/>
    <m/>
    <m/>
    <m/>
    <m/>
    <m/>
    <m/>
    <m/>
    <m/>
    <m/>
    <m/>
    <m/>
    <m/>
    <m/>
    <m/>
    <m/>
    <m/>
    <m/>
    <m/>
    <m/>
    <m/>
    <m/>
    <m/>
    <m/>
    <m/>
    <m/>
    <m/>
    <m/>
    <m/>
    <m/>
    <m/>
    <m/>
    <m/>
    <m/>
    <m/>
    <m/>
    <m/>
    <m/>
    <m/>
    <m/>
    <m/>
    <m/>
    <m/>
    <m/>
    <m/>
    <m/>
    <m/>
    <m/>
    <m/>
    <m/>
    <m/>
    <m/>
    <m/>
    <m/>
    <m/>
    <m/>
    <m/>
    <m/>
    <m/>
    <m/>
    <m/>
    <m/>
    <m/>
    <m/>
    <m/>
    <m/>
    <m/>
    <m/>
    <m/>
    <x v="2"/>
    <s v="YES"/>
    <s v="YES"/>
    <s v="YES"/>
    <s v="NO"/>
    <s v="YES"/>
    <s v="YES"/>
    <s v="YES"/>
    <m/>
    <m/>
    <x v="3"/>
    <m/>
    <x v="2"/>
    <m/>
    <x v="3"/>
    <x v="1"/>
    <s v="YES"/>
    <x v="0"/>
    <x v="1"/>
    <x v="1"/>
    <x v="4"/>
    <n v="2"/>
    <x v="2"/>
    <x v="1"/>
    <x v="1"/>
    <x v="1"/>
    <x v="2"/>
    <x v="5"/>
    <n v="3"/>
    <x v="3"/>
    <x v="1"/>
    <x v="2"/>
    <x v="1"/>
    <x v="5"/>
    <n v="2"/>
    <x v="3"/>
    <x v="1"/>
    <m/>
    <m/>
    <m/>
    <m/>
    <x v="3"/>
    <m/>
    <m/>
    <s v="Bi-lateral meetings with politicians and direct lobbying"/>
    <s v="Leveraging an international event/agenda (COP22) to influence a national agenda around climate and migration in Denmark"/>
    <m/>
    <m/>
    <m/>
    <m/>
    <s v="Just to clarify, the initiative described above was about the following: CARE DK developed and launched a report on the impact of climate change on migration (&quot;Fleeing Climate Change: The Impacts on Migration and Displacement&quot;) - the primary target group was Danish decision-makers/politicians and it served the purpose to 1) change the discourse around migration and improve the general understanding of push factors driving migration (Africa, Asia), 2) the policy ask was to get the Danish government to prioritize - by allocating additional funding to Climate Change adaptation in developing countries and actively contribute to the discussions around Loss and Damage under the UNFCCC framework. The initiative generated good media coverage and CARE DK will organize a round table discussion in the fall of 2017 to influence the new Danish Foreign Affairs and Security Policy."/>
    <s v="Link to report: http://careclimatechange.org/publications/fleeing-climate-change-impacts-migration-displacement/"/>
    <n v="40"/>
    <n v="2000000"/>
    <n v="50000"/>
    <n v="0.5"/>
    <n v="0.5"/>
    <n v="20"/>
    <n v="1000000"/>
    <s v=""/>
    <n v="0"/>
    <n v="0"/>
    <s v=""/>
    <n v="1"/>
    <n v="40"/>
    <n v="2000000"/>
    <n v="50000"/>
    <s v=""/>
    <n v="0"/>
    <n v="0"/>
    <s v=""/>
    <s v=""/>
    <n v="0"/>
    <n v="0"/>
    <s v=""/>
    <s v=""/>
    <n v="0"/>
    <n v="0"/>
    <s v=""/>
    <s v="3. Responsive"/>
    <s v="3. Responsive"/>
    <s v="3. Responsive"/>
    <n v="0"/>
    <s v="Intensive advocacy"/>
    <n v="0"/>
  </r>
  <r>
    <x v="19"/>
    <x v="4"/>
    <m/>
    <s v="Amway Nutrilite Little Bits"/>
    <s v="Dominican Republic"/>
    <m/>
    <s v="CARE USA"/>
    <s v="Corporation"/>
    <s v="Other"/>
    <s v="Alticor, Inc."/>
    <m/>
    <m/>
    <m/>
    <m/>
    <m/>
    <m/>
    <m/>
    <m/>
    <m/>
    <m/>
    <m/>
    <m/>
    <m/>
    <m/>
    <m/>
    <m/>
    <m/>
    <m/>
    <m/>
    <m/>
    <m/>
    <m/>
    <m/>
    <m/>
    <m/>
    <m/>
    <m/>
    <m/>
    <m/>
    <m/>
    <m/>
    <m/>
    <m/>
    <m/>
    <m/>
    <m/>
    <m/>
    <m/>
    <m/>
    <m/>
    <m/>
    <m/>
    <m/>
    <m/>
    <m/>
    <d v="2014-08-08T00:00:00"/>
    <d v="2016-12-31T00:00:00"/>
    <d v="2017-12-31T00:00:00"/>
    <s v="Development Food &amp; Nutrition Security and Resilience to Climate Change"/>
    <n v="1227356"/>
    <s v="Rebecca Feinberg"/>
    <s v="Director of Development"/>
    <s v="rebecca.feinberg@care.org"/>
    <s v="Aliya Firozvi"/>
    <s v="Project Manager, Nutrilite Little Bits"/>
    <s v="afirozvi@care.org"/>
    <s v="NO"/>
    <s v="YES"/>
    <s v="NO"/>
    <s v="CARE and Amway have embarked on a strategic partnership based on the shared goals of helping people live better lives and finding sustainable solutions to hunger and malnutrition. The partnership strives to expand the use of Amway’s Nutrilite Little Bits (NLB) micronutrient product in robust infant and young child feeding (IYCF) programs."/>
    <s v="Multiple countries"/>
    <s v="Regions within several countries."/>
    <s v="The main impact group is children 0-5 years old, and young school-aged children above 5 years old."/>
    <m/>
    <m/>
    <n v="85"/>
    <m/>
    <m/>
    <m/>
    <m/>
    <m/>
    <m/>
    <m/>
    <m/>
    <m/>
    <m/>
    <m/>
    <m/>
    <m/>
    <m/>
    <m/>
    <m/>
    <m/>
    <m/>
    <m/>
    <m/>
    <m/>
    <m/>
    <m/>
    <m/>
    <m/>
    <m/>
    <m/>
    <m/>
    <m/>
    <m/>
    <m/>
    <m/>
    <m/>
    <m/>
    <m/>
    <m/>
    <m/>
    <m/>
    <m/>
    <m/>
    <m/>
    <m/>
    <m/>
    <m/>
    <m/>
    <m/>
    <m/>
    <m/>
    <m/>
    <m/>
    <m/>
    <m/>
    <m/>
    <m/>
    <m/>
    <m/>
    <m/>
    <m/>
    <m/>
    <m/>
    <m/>
    <m/>
    <m/>
    <m/>
    <m/>
    <m/>
    <m/>
    <m/>
    <m/>
    <m/>
    <s v="NO"/>
    <m/>
    <m/>
    <m/>
    <s v="NO"/>
    <m/>
    <m/>
    <m/>
    <s v="NO"/>
    <m/>
    <m/>
    <m/>
    <s v="NO"/>
    <m/>
    <m/>
    <m/>
    <s v="NO"/>
    <m/>
    <m/>
    <m/>
    <s v="NO"/>
    <m/>
    <m/>
    <m/>
    <s v="YES"/>
    <n v="85"/>
    <m/>
    <m/>
    <s v="NO"/>
    <m/>
    <m/>
    <m/>
    <s v="NO"/>
    <m/>
    <m/>
    <m/>
    <s v="NO"/>
    <m/>
    <m/>
    <m/>
    <s v="NO"/>
    <m/>
    <m/>
    <m/>
    <s v="NO"/>
    <m/>
    <m/>
    <m/>
    <s v="NO"/>
    <m/>
    <m/>
    <m/>
    <s v="NO"/>
    <m/>
    <m/>
    <m/>
    <s v="NO"/>
    <m/>
    <m/>
    <m/>
    <s v="NO"/>
    <m/>
    <m/>
    <m/>
    <m/>
    <s v="NO"/>
    <m/>
    <m/>
    <m/>
    <m/>
    <m/>
    <m/>
    <m/>
    <m/>
    <m/>
    <m/>
    <m/>
    <x v="3"/>
    <m/>
    <m/>
    <m/>
    <m/>
    <m/>
    <m/>
    <m/>
    <m/>
    <m/>
    <x v="3"/>
    <m/>
    <x v="2"/>
    <m/>
    <x v="3"/>
    <x v="2"/>
    <m/>
    <x v="2"/>
    <x v="2"/>
    <x v="2"/>
    <x v="3"/>
    <n v="0"/>
    <x v="0"/>
    <x v="0"/>
    <x v="0"/>
    <x v="0"/>
    <x v="0"/>
    <x v="0"/>
    <n v="0"/>
    <x v="0"/>
    <x v="0"/>
    <x v="0"/>
    <x v="0"/>
    <x v="0"/>
    <n v="0"/>
    <x v="1"/>
    <x v="4"/>
    <m/>
    <m/>
    <m/>
    <m/>
    <x v="3"/>
    <m/>
    <m/>
    <m/>
    <m/>
    <m/>
    <m/>
    <m/>
    <m/>
    <m/>
    <m/>
    <n v="0"/>
    <n v="0"/>
    <s v=""/>
    <s v=""/>
    <s v=""/>
    <n v="0"/>
    <n v="0"/>
    <s v=""/>
    <n v="0"/>
    <n v="0"/>
    <s v=""/>
    <n v="1"/>
    <n v="85"/>
    <n v="0"/>
    <n v="0"/>
    <s v=""/>
    <n v="0"/>
    <n v="0"/>
    <s v=""/>
    <s v=""/>
    <n v="0"/>
    <n v="0"/>
    <s v=""/>
    <s v=""/>
    <n v="0"/>
    <n v="0"/>
    <s v=""/>
    <s v="No marker score"/>
    <s v="No marker score"/>
    <s v="No marker score"/>
    <n v="0"/>
    <n v="0"/>
    <n v="0"/>
  </r>
  <r>
    <x v="20"/>
    <x v="3"/>
    <m/>
    <s v="AID MATCH"/>
    <s v="DRC"/>
    <s v="CGBRCD0013"/>
    <s v="CARE USA"/>
    <s v="Government"/>
    <s v="Government - UK"/>
    <s v="DFID"/>
    <m/>
    <m/>
    <m/>
    <m/>
    <m/>
    <m/>
    <m/>
    <m/>
    <m/>
    <m/>
    <m/>
    <m/>
    <m/>
    <m/>
    <m/>
    <m/>
    <m/>
    <m/>
    <m/>
    <m/>
    <m/>
    <m/>
    <m/>
    <m/>
    <m/>
    <m/>
    <m/>
    <m/>
    <m/>
    <m/>
    <m/>
    <m/>
    <m/>
    <m/>
    <m/>
    <m/>
    <m/>
    <m/>
    <m/>
    <m/>
    <m/>
    <m/>
    <m/>
    <m/>
    <m/>
    <d v="2015-11-01T00:00:00"/>
    <d v="2017-10-31T00:00:00"/>
    <m/>
    <s v="Development Sexual, Reproductive and Maternal Health (SRMH)"/>
    <m/>
    <s v="Raoza Vololona, Denise MATHE"/>
    <s v="Program Manager,Superviseur de zone"/>
    <s v="raoza.vololona@care.org , denise.kavira@care.org"/>
    <s v="Papy Boendi et Blaise KIBISWA"/>
    <s v="Chargé d'engagement communautaire"/>
    <s v="Papy.boendi@care.org , blaise.kibiswa@care.org"/>
    <s v="YES"/>
    <s v="YES"/>
    <s v="YES"/>
    <s v="Contribuer à améliorer la qualité et l'accès aux services de santé génésique pour assurer que les adolescents et jeunes ont un meilleur choix à la planification familiale à Goma."/>
    <s v="National"/>
    <s v="RDCongo - Nord Kivu /Goma"/>
    <s v="Adolescents et jeunes"/>
    <n v="9000"/>
    <n v="5000"/>
    <n v="14000"/>
    <n v="36000"/>
    <n v="20000"/>
    <n v="56000"/>
    <s v="_ Les participants directs representent les Jeunes et  Adolescents ciblés par le projet soit 14000 pour les deux années (7000 pour une année) (cfr Logfram Aidmatch). Nous avons consideré que les filles représent 52 % (3640 ) et les garcons 48 % (3360).                                                                                                                                                                                                                                                                                                                                                                                                                                                           _ Les participants indirects representent les membres de la communauté ciblés par les message de sensibilisation sur l'utilisation des servives dans les aires de santé appuyés par le projet, 171576 dont 44610 filles et 41178 garcons"/>
    <m/>
    <n v="9000"/>
    <n v="5000"/>
    <n v="14000"/>
    <n v="36000"/>
    <n v="20000"/>
    <n v="56000"/>
    <s v="NO"/>
    <m/>
    <m/>
    <m/>
    <s v="NO"/>
    <m/>
    <m/>
    <m/>
    <s v="NO"/>
    <m/>
    <m/>
    <m/>
    <s v="NO"/>
    <m/>
    <m/>
    <m/>
    <s v="NO"/>
    <m/>
    <m/>
    <m/>
    <s v="NO"/>
    <m/>
    <m/>
    <m/>
    <s v="NO"/>
    <m/>
    <m/>
    <m/>
    <s v="NO"/>
    <m/>
    <m/>
    <m/>
    <s v="NO"/>
    <m/>
    <m/>
    <m/>
    <s v="NO"/>
    <m/>
    <m/>
    <m/>
    <s v="YES"/>
    <n v="11133"/>
    <n v="0.8"/>
    <n v="56000"/>
    <s v="NO"/>
    <m/>
    <m/>
    <m/>
    <m/>
    <m/>
    <m/>
    <m/>
    <m/>
    <m/>
    <m/>
    <m/>
    <m/>
    <m/>
    <m/>
    <s v="NO"/>
    <m/>
    <m/>
    <m/>
    <s v="NO"/>
    <m/>
    <m/>
    <m/>
    <s v="NO"/>
    <m/>
    <m/>
    <m/>
    <s v="NO"/>
    <m/>
    <m/>
    <m/>
    <s v="NO"/>
    <m/>
    <m/>
    <m/>
    <s v="NO"/>
    <m/>
    <m/>
    <m/>
    <s v="NO"/>
    <m/>
    <m/>
    <m/>
    <s v="NO"/>
    <m/>
    <m/>
    <m/>
    <s v="NO"/>
    <m/>
    <m/>
    <m/>
    <s v="YES"/>
    <n v="11133"/>
    <n v="0.8"/>
    <n v="56000"/>
    <s v="NO"/>
    <m/>
    <m/>
    <m/>
    <s v="NO"/>
    <m/>
    <m/>
    <m/>
    <s v="NO"/>
    <m/>
    <m/>
    <m/>
    <s v="NO"/>
    <m/>
    <m/>
    <m/>
    <s v="NO"/>
    <m/>
    <m/>
    <m/>
    <s v="NO"/>
    <m/>
    <m/>
    <m/>
    <m/>
    <s v="NO"/>
    <m/>
    <m/>
    <m/>
    <s v="YES"/>
    <s v="March"/>
    <n v="2016"/>
    <s v="YES"/>
    <s v="YES"/>
    <s v="August"/>
    <n v="2017"/>
    <s v="Le Endline a eu lieu au mois d'Aoiut , les resulats de cette etude seront compares aux Donnees de depart ( baseline ) pour evaluer l'impact du projet"/>
    <x v="1"/>
    <s v="NO"/>
    <s v="NO"/>
    <s v="YES"/>
    <s v="YES"/>
    <s v="YES"/>
    <s v="YES"/>
    <s v="YES"/>
    <m/>
    <m/>
    <x v="2"/>
    <m/>
    <x v="1"/>
    <m/>
    <x v="1"/>
    <x v="0"/>
    <s v="YES"/>
    <x v="0"/>
    <x v="0"/>
    <x v="2"/>
    <x v="1"/>
    <n v="3"/>
    <x v="1"/>
    <x v="1"/>
    <x v="1"/>
    <x v="1"/>
    <x v="1"/>
    <x v="1"/>
    <n v="4"/>
    <x v="1"/>
    <x v="1"/>
    <x v="1"/>
    <x v="1"/>
    <x v="1"/>
    <n v="3"/>
    <x v="2"/>
    <x v="3"/>
    <n v="5"/>
    <s v="National government"/>
    <s v="Private sector"/>
    <s v="Grassroots organization(s)"/>
    <x v="2"/>
    <m/>
    <s v="Le community Score card a ete utilise comme un outil pour renforcer la redevabilite . Ce processus participatif impliquant les Pears leaders et les prestetataires a apporte un changement significatif dans la gouvernance et la redevablite et ameliorer la qualite de l'offre de services ."/>
    <s v="Comminity score card, sensibilisation par Pairs,approche champions, cartographie  sociale , approche competences de vie courantes"/>
    <m/>
    <m/>
    <s v="Le CSC ameliore la gouvernance et la redevabilite de services SR de jeunes"/>
    <s v="L'apport de confessions religieuses est un facteur cle pour le changement et l'adoption des attitudes / normes qui limitent l'acces de jeunes / adolescents aux services SR"/>
    <s v="L'utilisation de l'approche champions et de Youth mentor comme modele positif constituent un soutien pour le developpement futurs de jeunes"/>
    <s v="Le projet constitue un modele qui merite d'etre mis en echelle"/>
    <m/>
    <n v="14000"/>
    <n v="56000"/>
    <n v="4"/>
    <n v="0.6428571428571429"/>
    <n v="0.6428571428571429"/>
    <n v="9000"/>
    <n v="36000"/>
    <n v="1"/>
    <n v="14000"/>
    <n v="56000"/>
    <n v="4"/>
    <s v=""/>
    <n v="0"/>
    <n v="0"/>
    <s v=""/>
    <s v=""/>
    <n v="0"/>
    <n v="0"/>
    <s v=""/>
    <s v=""/>
    <n v="0"/>
    <n v="0"/>
    <s v=""/>
    <s v=""/>
    <n v="0"/>
    <n v="0"/>
    <s v=""/>
    <s v="1. Neutral"/>
    <s v="2. Accommodating"/>
    <s v="2. Sensitive"/>
    <s v="It tested new ways for fighting poverty and measured results of innovation"/>
    <s v="Moderate advocacy"/>
    <s v="It linked and worked with strategic alliances and partners to take tested and effective solutions to scale"/>
  </r>
  <r>
    <x v="20"/>
    <x v="3"/>
    <m/>
    <s v="Gender Equality Women Empowerment Program ( GEWEP)"/>
    <s v="DRC"/>
    <s v="CNORCD0017"/>
    <s v="CARE Norge"/>
    <s v="Government"/>
    <s v="Government - Norway"/>
    <s v="NORAD"/>
    <m/>
    <m/>
    <m/>
    <m/>
    <m/>
    <m/>
    <m/>
    <m/>
    <m/>
    <m/>
    <m/>
    <m/>
    <m/>
    <m/>
    <m/>
    <m/>
    <m/>
    <m/>
    <m/>
    <m/>
    <m/>
    <m/>
    <m/>
    <m/>
    <m/>
    <m/>
    <m/>
    <m/>
    <m/>
    <m/>
    <m/>
    <m/>
    <m/>
    <m/>
    <m/>
    <m/>
    <m/>
    <m/>
    <m/>
    <m/>
    <m/>
    <m/>
    <m/>
    <m/>
    <m/>
    <d v="2016-01-01T00:00:00"/>
    <d v="2020-02-29T00:00:00"/>
    <m/>
    <s v="Development Access to and Control over Economic Resources"/>
    <n v="2472112.2000000002"/>
    <s v="Alexis Kisubi"/>
    <s v="Program Manager"/>
    <s v="alexis.kisubi@care.org"/>
    <m/>
    <m/>
    <m/>
    <s v="NO"/>
    <s v="YES"/>
    <s v="NO"/>
    <s v="D'ici 2020, 70 550 femmes et filles de 9 zones de sante de la province du Nord Kivu beneficieront d'une transformation en faveur du genre dans leur communaute"/>
    <s v="Sub-National"/>
    <s v="Province du North Kivu, a l'Est de la RDC, dans 9 zones de sante reparties dans les territoires de Rutshuru, Lubero, Masisi, et Nyiragongo, et dans la ville de Goma."/>
    <s v="Les femmes et filles vulnerables de 15 a 49 ans ( filles meres, veuves, victimes ou survivantes des GBV, economiquement pauvre)"/>
    <n v="70550"/>
    <n v="18650"/>
    <n v="89200"/>
    <n v="2400000"/>
    <n v="0"/>
    <n v="2400000"/>
    <s v="le groupe d'impact comprend :  - les femmes et filles vulerables en age de procreation ( de 13 a 49 ans )                                                                                                                                                                        -The male heads of households where women are part of the impact group;_x000a_-    Women who are already organized into VSLA,_x000a_-    Men who are members of gender mixed VSLA;_x000a_-    Young people (boys and girls) through the Young Men Engage initiative_x000a_-    Community leaders (local and religious authorities, activists) and leaders of civil society"/>
    <m/>
    <m/>
    <m/>
    <m/>
    <m/>
    <m/>
    <m/>
    <m/>
    <m/>
    <m/>
    <m/>
    <m/>
    <m/>
    <m/>
    <m/>
    <m/>
    <m/>
    <m/>
    <m/>
    <m/>
    <m/>
    <m/>
    <m/>
    <m/>
    <m/>
    <m/>
    <m/>
    <m/>
    <m/>
    <m/>
    <m/>
    <m/>
    <m/>
    <m/>
    <m/>
    <m/>
    <m/>
    <m/>
    <m/>
    <m/>
    <m/>
    <m/>
    <m/>
    <m/>
    <m/>
    <m/>
    <m/>
    <m/>
    <m/>
    <m/>
    <m/>
    <m/>
    <m/>
    <m/>
    <m/>
    <m/>
    <m/>
    <m/>
    <m/>
    <m/>
    <n v="9756"/>
    <n v="9485"/>
    <n v="19241"/>
    <n v="58536"/>
    <n v="56910"/>
    <n v="115446"/>
    <m/>
    <m/>
    <m/>
    <m/>
    <m/>
    <m/>
    <m/>
    <m/>
    <s v="YES"/>
    <n v="180"/>
    <n v="0.3"/>
    <n v="1080"/>
    <m/>
    <m/>
    <m/>
    <m/>
    <s v="YES"/>
    <n v="129"/>
    <n v="0.33300000000000002"/>
    <n v="774"/>
    <m/>
    <m/>
    <m/>
    <m/>
    <m/>
    <m/>
    <m/>
    <m/>
    <s v="YES"/>
    <n v="7021"/>
    <n v="6.8000000000000005E-2"/>
    <n v="42126"/>
    <m/>
    <m/>
    <m/>
    <m/>
    <s v="YES"/>
    <n v="2000"/>
    <n v="0.75"/>
    <n v="12000"/>
    <m/>
    <m/>
    <m/>
    <m/>
    <m/>
    <m/>
    <m/>
    <m/>
    <s v="YES"/>
    <n v="553"/>
    <n v="0.318"/>
    <n v="3318"/>
    <s v="YES"/>
    <n v="1369"/>
    <n v="0.59099999999999997"/>
    <n v="8214"/>
    <m/>
    <m/>
    <m/>
    <m/>
    <s v="YES"/>
    <n v="6697"/>
    <n v="0.83799999999999997"/>
    <n v="47934"/>
    <m/>
    <m/>
    <m/>
    <m/>
    <m/>
    <s v="YES"/>
    <s v="February"/>
    <m/>
    <s v="YES"/>
    <s v="YES"/>
    <s v="December"/>
    <n v="2018"/>
    <s v="il est prevu une evaluation finale du programme vers fin 2018-2019. Deja en septembre 2017, une reunion des experts M&amp;E sera tenue a Dubai pour fixer les outils , le calendrier et les agenda de conduite de ces evaluations finales des GEWEP dns tous les pays concernees : Mali, Niger, RDC, Burundi, Rwanda, Ouganda, Tanzanie, Myanmar. l'un des defis de cet exercice pour GEWEP RDC est la contextualisation de certains indicateurs et la documentation des indicateurs globaux dont les resultats ne sont pas n'ont pas d'activites consequentes"/>
    <x v="2"/>
    <s v="YES"/>
    <s v="YES"/>
    <s v="YES"/>
    <s v="YES"/>
    <m/>
    <m/>
    <s v="YES"/>
    <m/>
    <m/>
    <x v="2"/>
    <s v="GEWEP II a experimentee l'approche VSLA dans un contexte  fragile en iniitiant par exemple l'opertaionnalisation du fond de cohesion sociale entre les membres des reseaux des VSLA pour les rendre beaucoup plus resilients face aux crises et chocs qui les affectent."/>
    <x v="1"/>
    <s v="GEWEP II a developpee des collaborations strategiques avec des organisations telles que ONU femmes et LPI specialement sur l'approche engagemet des hommes dans la lutte contre les VBG. La Synergie des reseaux des VSLA est devenu preque un mouvement social a Goma et au Nord-Kivu."/>
    <x v="2"/>
    <x v="1"/>
    <s v="YES"/>
    <x v="0"/>
    <x v="0"/>
    <x v="0"/>
    <x v="2"/>
    <n v="4"/>
    <x v="2"/>
    <x v="1"/>
    <x v="1"/>
    <x v="1"/>
    <x v="1"/>
    <x v="2"/>
    <n v="4"/>
    <x v="1"/>
    <x v="1"/>
    <x v="1"/>
    <x v="1"/>
    <x v="1"/>
    <n v="3"/>
    <x v="0"/>
    <x v="3"/>
    <n v="2"/>
    <s v="Local NGO(s)/CSO(s)"/>
    <s v="Local NGO(s)/CSO(s)"/>
    <s v="Local alliance(s)/Platform(s)/Network(s) of  NGOs/CSOs"/>
    <x v="0"/>
    <s v="CARE a (i) renforcé les capacités des membres des alliances des organisations de la societe civile en leadership feminin; en marketing social et negociaion; en droits des femmes , genre et gouvernance; (ii) appuyé la mise en reseaux et en alliances  des organisations de la societe civile y compris les jeunes organisations dont les reseaux des associations villageaoise d epargne et de credit (VSLA) et (iii) soutenu la synergie des reseaux des associations villageoises d'epargne et de crédit dans leur institutionnalisation et operationnalisation en faveur des VSLA ; (iv) appuyé l'integration du genre dans les politiaues des orgnisations non gouvernemetales et celles a assises communautaires  et dans le plaidoyer"/>
    <s v="Au cours de cette annee fiscale ; les changements introduits sont notamment : (i) l'integration des activités et ligne bugdtaires relatives a l'appui a la planification locle dans certaines entités territoriales décentralisées ciblées  et a la mise en oeuvre de la declaration de Kampala et la Resolution 1325 du Conseil de Securite de Nations-Unies , (ii) revision budgetaire pour integrer et renforcer le suivi et la docu,entation des resultats sur terrain"/>
    <s v="le modele VSLA a servi des point d'entrée pour le reste de composantes"/>
    <s v="les approches communautaires ci-dessous : (i) Analyse sociale et Action-dialogue communautaire-fora et plaidoyer pour defier les normes socilaes discriminatoires ; (ii) planification locale du developpement moyennant le guide methodologique de plainification locale et provinaile de la RDC ; (iii) approche communautaire de la resilience et getion des crises ; (iv) l'opertaionnalisation du fonds de cohesion sociale entre les reseaux des associations villageoises d'epargne et de crédit pour la preparation a la prise en charge des persones deplacees internes ; (v) restructuratin de la communauté locale a travers les comités locaux de paix et de développement"/>
    <m/>
    <s v="Les dogmes de certaines communautés ecclésiastiques ne sont pas favorables à certains thèmes surtout ceux qui ont trait à la planification familiale, à la santé sexuelle et reproductive et à l’éducation sexuelle des jeunes. Les normes sociales dont les racines profondes sont les coutumes et usages discriminatoires sont des freins à l’engagement des hommes. La peur de la disparition des us et coutumes autochtones, et par ricochet les éléments des identités tribales, le plus souvent discriminatoires envers les femmes –filles en faveurs des cultures occidentales sont aussi un frein dans le changement (surtout pour les vieux hommes). La méconnaissance des lois qui protègent les droits des femmes même par les femmes elles même (à la cause : les lois ne sont pas vulgarisées et le taux élevé d’analphabétisme)"/>
    <s v="Le rôle de la société civile celui de chien de garde (Watch dog ) et contrepouvoir-dans le sens de suivre et influencer les politiques publiques dans la droite ligne des intérêts des communautés locales. Les Organisations de la Société civile ne sont pas toujours à la hauteur pour satisfaire ce besoin et bien jouer ce rôle que les communautés attendent d’elles. Ce qui nécessite de la part de CARE d’appuyer les espaces de discussion sur le rôle et la responsabilité de la société civile et sa redevabilité par rapport aux demandes des populations locales."/>
    <s v="etant donné le faible niveau dùinstruction des femmes et filles dans les milieux ruraux , l'égalité du genre et le renforcement du pouvoir socio)economiaue de cescategories importantes de notre groupe dùimpact recquierent des mecanismes alternatifs notamment la miseen oeuvre des cercles et/ou centres d'alphabetisation  pour aue pouvoir et avoir soient soutenus par le savoir. Ce trio de pouvoir, avoir et savoir sont interconnectés pour l'égalité du genre et l'équité entre hommes et femmes soient effectives."/>
    <s v="le modèle de programme GEWEP expériementé dans 09 wones de santé de la province du Nord-Kivu en RDC devrait etre mis à l'échelle sur d'autres provinces du Pays en l'adaptant à ce contexte a la fois humanitaire /urgences et developpement"/>
    <s v="https://drive.google.com/file/d/0B4va3gO-1mh6Skt2Q3pUODlYSUk/view  ; https://drive.google.com/file/d/0B4va3gO-1mh6Skt2Q3pUODlYSUk/view ; https://drive.google.com/file/d/0B4va3gO-1mh6dUVNY2kyMWVWVEU/view ; https://drive.google.com/file/d/0B4va3gO-1mh6VHNRYW9CeUI2cTQ/view  ;    pour la cellule C77 ; veuillez noter que les bqselines pour GEWEP II ont ete conduites en 2015"/>
    <n v="19241"/>
    <n v="115446"/>
    <n v="6"/>
    <n v="0.50704225352112675"/>
    <n v="0.50704225352112675"/>
    <n v="9756"/>
    <n v="58536"/>
    <s v=""/>
    <n v="0"/>
    <n v="0"/>
    <s v=""/>
    <n v="1"/>
    <n v="129"/>
    <n v="774"/>
    <n v="6"/>
    <n v="1"/>
    <n v="1369"/>
    <n v="8214"/>
    <n v="6"/>
    <n v="1"/>
    <n v="7021"/>
    <n v="42126"/>
    <n v="6"/>
    <n v="1"/>
    <n v="6697"/>
    <n v="47934"/>
    <n v="7.1575332238315665"/>
    <s v="4. Transformative"/>
    <s v="4. Transformational"/>
    <s v="2. Sensitive"/>
    <s v="It tested new ways for fighting poverty and measured results of innovation"/>
    <s v="Intensive advocacy"/>
    <s v="It linked and worked with strategic alliances and partners to take tested and effective solutions to scale"/>
  </r>
  <r>
    <x v="20"/>
    <x v="3"/>
    <m/>
    <s v="MAWE TATU"/>
    <s v="DRC"/>
    <s v="CNLDCD0048"/>
    <s v="CARE Nederland"/>
    <s v="Government"/>
    <m/>
    <m/>
    <m/>
    <m/>
    <m/>
    <m/>
    <m/>
    <m/>
    <m/>
    <m/>
    <m/>
    <m/>
    <m/>
    <m/>
    <m/>
    <m/>
    <m/>
    <m/>
    <m/>
    <m/>
    <m/>
    <m/>
    <m/>
    <m/>
    <m/>
    <m/>
    <m/>
    <m/>
    <m/>
    <m/>
    <m/>
    <m/>
    <m/>
    <m/>
    <m/>
    <m/>
    <m/>
    <m/>
    <m/>
    <m/>
    <m/>
    <m/>
    <m/>
    <m/>
    <m/>
    <m/>
    <m/>
    <d v="2015-12-01T00:00:00"/>
    <d v="2019-05-31T00:00:00"/>
    <m/>
    <s v="Development Access to and Control over Economic Resources"/>
    <m/>
    <s v="Jean Makelele"/>
    <s v="Project Manager"/>
    <s v="jean.makelele@care.org"/>
    <m/>
    <m/>
    <m/>
    <s v="NO"/>
    <s v="YES"/>
    <s v="NO"/>
    <s v="Les femmes, hommes et jeunes dans cinq territoires du Nord et du Sud Kivu seront en 2019, des  acteurs clés des relations  femmes- hommes plus égales qui préviennent les violences basées sur le genre, promeuvent une gestion économique des ménages améliorée et des comportements qui améliorent la santé sexuelle et reproductive(SSR) saine, y compris le planning  familial, dans une perspective trans-générationnelle."/>
    <s v="Sub-National"/>
    <s v="Nord Kivu : ville  de Goma ( zone de santé de Goma, Karisimbiet Territoires de Nyiragongo ( zone de santé de Nyiragongo) et de Rutshuru ( zone de santé de Rutshuru._x000a_Sud Kivu: ville de Bukavu ( zones de santé de Bukavu, Bagira, Ibanda) et Territoire de Walungu ( zone de santé de Walungu)."/>
    <s v="FEMMES, groupe d’impact principal de participants de “Mawe Tatu”: femmes et jeunes femmes âgées de 13 – 49 ans, dont la vulnérabilité est due à la pauvrette et la violence basée sur le genre dans leurs communautés. _x000a_HOMMES : âgés de plus de 25 ans qui adoptent des attitudes et comportements  contribuant à améliorer les relations hommes-femmes et réduire les violences Basées sur le Genre (VSBG). _x000a_JEUNES : filles et garçons âgés de 10-24 ans des écoles et non-scolarisés fréquent les centres d’échange des jeunes."/>
    <n v="33760"/>
    <n v="24790"/>
    <n v="58550"/>
    <n v="50000"/>
    <n v="22000"/>
    <n v="72000"/>
    <m/>
    <m/>
    <m/>
    <m/>
    <m/>
    <m/>
    <m/>
    <m/>
    <m/>
    <m/>
    <m/>
    <m/>
    <m/>
    <m/>
    <m/>
    <m/>
    <m/>
    <m/>
    <m/>
    <m/>
    <m/>
    <m/>
    <m/>
    <m/>
    <m/>
    <m/>
    <m/>
    <m/>
    <m/>
    <m/>
    <m/>
    <m/>
    <m/>
    <m/>
    <m/>
    <m/>
    <m/>
    <m/>
    <m/>
    <m/>
    <m/>
    <m/>
    <m/>
    <m/>
    <m/>
    <m/>
    <m/>
    <m/>
    <m/>
    <m/>
    <m/>
    <m/>
    <m/>
    <m/>
    <m/>
    <m/>
    <m/>
    <m/>
    <m/>
    <m/>
    <m/>
    <n v="12542"/>
    <n v="2294"/>
    <n v="14836"/>
    <n v="50538"/>
    <n v="4500"/>
    <n v="55038"/>
    <s v="NO"/>
    <m/>
    <m/>
    <m/>
    <s v="NO"/>
    <m/>
    <m/>
    <m/>
    <s v="NO"/>
    <m/>
    <m/>
    <m/>
    <s v="NO"/>
    <m/>
    <m/>
    <m/>
    <s v="YES"/>
    <n v="9975"/>
    <n v="1"/>
    <n v="59850"/>
    <s v="NO"/>
    <m/>
    <m/>
    <m/>
    <s v="NO"/>
    <m/>
    <m/>
    <m/>
    <s v="YES"/>
    <n v="2294"/>
    <n v="0.76500000000000001"/>
    <n v="22294"/>
    <s v="NO"/>
    <m/>
    <m/>
    <m/>
    <s v="NO"/>
    <m/>
    <m/>
    <m/>
    <s v="NO"/>
    <m/>
    <m/>
    <m/>
    <s v="NO"/>
    <m/>
    <m/>
    <m/>
    <s v="NO"/>
    <m/>
    <m/>
    <m/>
    <s v="YES"/>
    <n v="8734"/>
    <n v="1.028"/>
    <n v="2800"/>
    <s v="N O"/>
    <m/>
    <m/>
    <m/>
    <s v="YES"/>
    <n v="9975"/>
    <n v="1.4890000000000001"/>
    <m/>
    <m/>
    <m/>
    <m/>
    <m/>
    <m/>
    <s v="YES"/>
    <s v="April"/>
    <n v="2017"/>
    <s v="YES"/>
    <s v="YES"/>
    <s v="November"/>
    <m/>
    <m/>
    <x v="1"/>
    <m/>
    <m/>
    <m/>
    <m/>
    <s v="YES"/>
    <m/>
    <m/>
    <m/>
    <m/>
    <x v="2"/>
    <m/>
    <x v="1"/>
    <m/>
    <x v="1"/>
    <x v="1"/>
    <s v="YES"/>
    <x v="0"/>
    <x v="0"/>
    <x v="0"/>
    <x v="2"/>
    <n v="4"/>
    <x v="1"/>
    <x v="1"/>
    <x v="1"/>
    <x v="1"/>
    <x v="0"/>
    <x v="1"/>
    <n v="3"/>
    <x v="1"/>
    <x v="1"/>
    <x v="1"/>
    <x v="1"/>
    <x v="1"/>
    <n v="3"/>
    <x v="2"/>
    <x v="2"/>
    <n v="4"/>
    <s v="International NGO(s)"/>
    <s v="Local NGO(s)/CSO(s)"/>
    <s v="Local government(s)"/>
    <x v="2"/>
    <m/>
    <s v="Le constat lors de ces visites a été moins positif pour les activités concernant l’outcome 3, relatif à l’éducation complète à la sexualité au sein des jeunes. Pour cette raison la stratégie a été révisée et le budget adapté aux modifications apportées à la stratégie.                                                                                                                                                                                                                                                                                                                                                                                                                                           Le partenaire qui été responsable de la mise en œuvre de la composante jeunesse n'a pas produit des bons résultats et CARE a pris la décision d'arrêter le contrat de partenariat.                                                                                                                                                                                                                                                                                                                                                                                                                                                                                                                                   Des modifications budgétaires ont été apportée au budget concernant l'outcome 1 (Développement économique) suite à la mis en œuvre des stratégies permettant d'atteindre la cible de 23900 femmes organisées dans les VSLA."/>
    <s v="Associations Villageoises d’Epargne et de Crédit. Le modèle d’AVEC de CARE est bien adapté (et très accepté dans les communautés) comme un véhicule pour l’avancement/le développement économique des femmes pauvres et  de leur capacité d’opérer leur changement individuel, relationnel et structurel. 422 VSLA ont été mises en place et leurs membres ont été formé sur differents themes à savoir: la Gouvernance participative, l'économie de menage, le Genre, les droits humains, les violences basés sur le genre, la planification familale, communication et plaidoyer et partenariat."/>
    <s v="Engagement des hommes à la masculinité positive et lutte contre les SGBV: Le cadre de CARE pour la capacitation des femmes rend clair que  les hommes doivent prendre part à la déconstruction/destruction des masculinités négatives et des normes sociales injustes, et à la redéfinition des relations interpersonnelles. Les changements par les femmes, seules, ne suffisent pas pour surmonter les relations inégales et les structures sociales qui donnent beaucoup de pouvoir, prestige et ressources aux hommes. CARE travaille avec les hommes et les garçons comme ses partenaires et alliés parce que leur leadership et leur adhésion sont essentiels pour réduire les inégalités et lutter contre la pauvreté."/>
    <s v="L’Education Complete à la Sexualité pour les jeunes dans les écoles et en dehors de l'école afin de leur permettre d'acquérir une information exacte, de développer des compétences essentielles et de cultiver des attitudes et valeurs positives qui leur permettraient de prendre des décisions bonnes et renseignées. l’Education complete à la sexualité couvre le grand éventail de sujets qui affectent la sexualité et la santé sexuelle, y compris l'information et les préoccupations concernant l'abstinence, l'image corporelle, la contraception, le sexe, la croissance humaine et le développement, la reproduction humaine, la grossesse, les relations, les relations sexuelles plus sûres (prévention des infections sexuellement transmissibles), les attitudes et les valeurs sexuelles, l’anatomie  et la physiologie sexuelle, le comportement sexuel, la santé sexuelle, l'orientation sexuelle et le plaisir sexuel."/>
    <s v="The reflection group is breaking the social barriers in so much that members of the same group become friends and share confidence, and communicate experiences, help in the healing process of inner wounds among the members. During the discussions “leaders throw away their leaders’ hats” and behave like ordinary group members."/>
    <s v="Women's empowerment programs need to deepen and take into account the activities of economic interest of men in order to prevent men's efforts from being vain because idleness and precariousness of life corroborate the violence of men."/>
    <s v="Unexpected activities may arise from other approaches or projects executed in the area: civil marriage demanded by men to express their degree of change of behavior and new vision of harmonious life."/>
    <s v="Le projet a connu assez des défis dans la mise en œuvre pendant cette année concernant les partenaires de mis en œuvre. Un partenaire a été disqualifié suite aux faibles capacités de mis en œuvre des activités et megestion. Un cas de fraude a été identifié chez un autre partenaire. Ces évènements ont eu un impact négatif, notamment le retard dans la mise en œuvre du projet."/>
    <s v="'- Le Proposal du projet Mawe Tatu,                                                                                                                                                                                                                                                                                                                                                                                                                                                                            '- Le Workplan du projet Mawe Tatu,                                                                                                                                                                                                                                                                                                                                                                 '- Monitoring protocol tool                                                                                                                                                                                                                                                                                                                                                                                                                                                                                                               '- Bases de Données"/>
    <n v="14836"/>
    <n v="55038"/>
    <n v="3.7097600431383122"/>
    <n v="0.84537611215961173"/>
    <n v="0.91823830807805518"/>
    <n v="12542"/>
    <n v="50538"/>
    <s v=""/>
    <n v="0"/>
    <n v="0"/>
    <s v=""/>
    <n v="1"/>
    <n v="9975"/>
    <n v="59850"/>
    <n v="6"/>
    <n v="1"/>
    <n v="8734"/>
    <n v="2800"/>
    <n v="0.32058621479276389"/>
    <n v="1"/>
    <n v="2294"/>
    <n v="22294"/>
    <n v="9.7183958151700089"/>
    <n v="1"/>
    <n v="9975"/>
    <n v="59850"/>
    <n v="6"/>
    <s v="4. Transformative"/>
    <s v="2. Accommodating"/>
    <s v="2. Sensitive"/>
    <s v="It tested new ways for fighting poverty and measured results of innovation"/>
    <s v="Moderate advocacy"/>
    <s v="It linked and worked with strategic alliances and partners to take tested and effective solutions to scale"/>
  </r>
  <r>
    <x v="20"/>
    <x v="3"/>
    <m/>
    <s v="Supporting Access To Family Planning and Post Abortion Care (SAFPAC III)"/>
    <s v="DRC"/>
    <s v="ANO1CD0002"/>
    <s v="CARE USA"/>
    <s v="Foundation"/>
    <s v="Other"/>
    <s v="Anonymous"/>
    <m/>
    <m/>
    <m/>
    <m/>
    <m/>
    <m/>
    <m/>
    <m/>
    <m/>
    <m/>
    <m/>
    <m/>
    <m/>
    <m/>
    <m/>
    <m/>
    <m/>
    <m/>
    <m/>
    <m/>
    <m/>
    <m/>
    <m/>
    <m/>
    <m/>
    <m/>
    <m/>
    <m/>
    <m/>
    <m/>
    <m/>
    <m/>
    <m/>
    <m/>
    <m/>
    <m/>
    <m/>
    <m/>
    <m/>
    <m/>
    <m/>
    <m/>
    <m/>
    <m/>
    <m/>
    <d v="2016-01-01T00:00:00"/>
    <d v="2018-12-31T00:00:00"/>
    <m/>
    <s v="Humanitarian Sexual, Reproductive and Maternal Health (SRMH)"/>
    <n v="4986893"/>
    <s v="Raoza VOLOLONA RAFANOHARANA"/>
    <s v="Program Manager"/>
    <s v="raoza.vololona@care.org"/>
    <s v="Bergson KAKULE"/>
    <s v="Coordonnateur de zone"/>
    <s v="bergson.kakule@care.org"/>
    <s v="YES"/>
    <s v="YES"/>
    <s v="YES"/>
    <s v="Contribuer à la réduction de la morbidité et de la  mortalité maternelle et infantile"/>
    <s v="National"/>
    <s v="RD-Congo / Nord Kivu (Goma, Kayna, Lubero et  Butembo)"/>
    <s v="Les femmes en âge de procréer"/>
    <n v="106744"/>
    <n v="536"/>
    <n v="107280"/>
    <n v="73291"/>
    <n v="48860"/>
    <n v="122151"/>
    <s v="_ Les participants directs  sont constitués par nos différentes cibles devant utilisé les services de PF et SAA  soit 107280 dont  101520 nouveaux clients  attendus pour l'utilisation  des des méthodes PF  et 6768 clientes attendus pour les services SAA. Les bénéficiaires de sexe féminin représentant 99,5% (clientes PF et clientes SAA) tandisque ceux de sexe masculin représente seulement 0,5 % (utilisateurs de la vasectomie).                                                                                                                                                                                                                                                                                                                                                                                                                                                                                             _ Les participants indirects representent toutes les femmes et les hommes en âge de procréer dans les 4 sites d'intervention de SAFPAC parmi lesquelles  nous comnptions atteindre 60 % soit 122151 parmi lesquels 73291 femmes (35%) et filles (25%) et 48860 hommes (25%) et garçons (15%)."/>
    <m/>
    <n v="30742"/>
    <n v="88"/>
    <n v="30830"/>
    <n v="105400"/>
    <n v="59885"/>
    <n v="165285"/>
    <s v="NO"/>
    <m/>
    <m/>
    <m/>
    <s v="NO"/>
    <m/>
    <m/>
    <m/>
    <s v="NO"/>
    <m/>
    <m/>
    <m/>
    <s v="NO"/>
    <m/>
    <m/>
    <m/>
    <s v="NO"/>
    <m/>
    <m/>
    <m/>
    <s v="NO"/>
    <m/>
    <m/>
    <m/>
    <s v="NO"/>
    <m/>
    <m/>
    <m/>
    <s v="NO"/>
    <m/>
    <m/>
    <m/>
    <s v="NO"/>
    <m/>
    <m/>
    <m/>
    <s v="NO"/>
    <m/>
    <m/>
    <m/>
    <s v="YES"/>
    <n v="30742"/>
    <n v="0.99"/>
    <n v="165285"/>
    <s v="NO"/>
    <m/>
    <m/>
    <m/>
    <m/>
    <m/>
    <m/>
    <m/>
    <m/>
    <m/>
    <m/>
    <m/>
    <m/>
    <m/>
    <m/>
    <s v="NO"/>
    <m/>
    <m/>
    <m/>
    <s v="NO"/>
    <m/>
    <m/>
    <m/>
    <s v="NO"/>
    <m/>
    <m/>
    <m/>
    <s v="NO"/>
    <m/>
    <m/>
    <m/>
    <s v="NO"/>
    <m/>
    <m/>
    <m/>
    <s v="NO"/>
    <m/>
    <m/>
    <m/>
    <s v="NO"/>
    <m/>
    <m/>
    <m/>
    <s v="NO"/>
    <m/>
    <m/>
    <m/>
    <s v="NO"/>
    <m/>
    <m/>
    <m/>
    <s v="NO"/>
    <m/>
    <m/>
    <m/>
    <s v="NO"/>
    <m/>
    <m/>
    <m/>
    <s v="NO"/>
    <m/>
    <m/>
    <m/>
    <s v="NO"/>
    <m/>
    <m/>
    <m/>
    <s v="YES"/>
    <m/>
    <m/>
    <m/>
    <s v="NO"/>
    <m/>
    <m/>
    <m/>
    <s v="NO"/>
    <m/>
    <m/>
    <m/>
    <m/>
    <m/>
    <m/>
    <m/>
    <m/>
    <s v="YES"/>
    <s v="August"/>
    <n v="2016"/>
    <s v="YES"/>
    <s v="YES"/>
    <m/>
    <m/>
    <s v="Ce sera une recherche qualitative/LQAS"/>
    <x v="1"/>
    <s v="YES"/>
    <s v="NO"/>
    <s v="NO"/>
    <s v="YES"/>
    <s v="NO"/>
    <s v="YES"/>
    <s v="YES"/>
    <s v="YES"/>
    <s v="Le projet a  poursuivi deux initiatives de plaidoyer au niveau provincial afin d'influencer les decisions sur l'adoption du realignement budgetaire pour l'achat des contraceptifs d'une part et d'autre part au niveau national pour l'adoption de la loi SR incluant l'acces au droit a  l'avortement .Grace aux efforts de plaidoyer de la Coalition, le parlement national a repris la discussion sur la loi SR incluant  l'acces au SAC”"/>
    <x v="1"/>
    <s v="Nous avons travaillé avec des groupoes de VSLA en faisant le lien entre la PF et le dividende démographique"/>
    <x v="1"/>
    <s v="_ Le projet a fait des alliances avec d'autres organisations nationales et internationales pour ouvrir le débat sur les droits des femmes et des filles à l'avortement thérapeutique                                                                                                           _ La coalition a soumis une proposition de loi sur la SR incluant l'accès à l'avortement thérapeutique.                                                                       -- Le projet a su tisser des Alliances avec le Projet Sante sexuelle et Reproductive des Adolescents permettant a nos cible l'utilisation de la phonie mobile (1-5-5)                                                                                                                                                                 "/>
    <x v="1"/>
    <x v="0"/>
    <s v="YES"/>
    <x v="0"/>
    <x v="0"/>
    <x v="0"/>
    <x v="0"/>
    <n v="4"/>
    <x v="1"/>
    <x v="1"/>
    <x v="2"/>
    <x v="1"/>
    <x v="1"/>
    <x v="1"/>
    <n v="3"/>
    <x v="1"/>
    <x v="1"/>
    <x v="0"/>
    <x v="1"/>
    <x v="3"/>
    <n v="2"/>
    <x v="2"/>
    <x v="3"/>
    <n v="66"/>
    <s v="National government"/>
    <s v="Local government(s)"/>
    <s v="Grassroots organization(s)"/>
    <x v="2"/>
    <s v="_ Renforcement des capacités des membres de la coalition Grossesses non désirées incluant les Organisation de la socité civile nationale sur les droits à la SSR                                                                                                                                  _ La coalition a appuyé la Société civile sous le lead de &quot;Si jeunesse savait&quot; pour la rédaction des argumantaires pour l'application du protocole de Maputo dans son intégralité"/>
    <s v="_ Le projet a orgqnisé un atelier d'harmonisation des outils de gestion de collecte des données avec les autres organisations non gouvernementales (Save the Clildren, RESCUE, MSF, Cordaid) et le ministère provinciale de la santé du Nord Kivu"/>
    <s v="_ L'utilisation des travailleurs de santé communautaire avec des audiences spécifiques  contribue à l'amélioration de  l'accessibilité  aux services de certaines de presque toutes les couches de la population"/>
    <s v="_ L'appui aux membres de la communauté  de différentes  aires de santé appuyées  à travers  l'identification  des besoins et l'élaboration des stratégies d'amélioration a permis aux différents comité de santé de se doter des Plans conjoints d'amélioration des services"/>
    <s v="_ La cartographie de pouvoir nous a permis d'identifier des Leaders avec lesquels nous avons ouvert le débat autour des questions de SR et la bonne compréhension des aspects y relatifs a été à la base de leur implication dans la mise en œuvre des activités"/>
    <s v="_ La Migration des équipes du projet vers les bureaux de BCZ dans les Zones de santé de Butembo , Lubero &amp; Kayna , a contribué favorablement à l'appropiation du projet par le partenaire du ministère et de travailler différemment et de devenir plus efficace dans la planification des actvités ,  la supervision  de FOSA  et la collecte de données."/>
    <s v="_ L'implication de la Communauté dans la planification communautaire est un facteur essentiel pour un engagement accru de la communauté pour l'amélioration de la qualité de l'offre des services ( La participation de la communauté a plus de 50 % dans la réhabilitation / l'amélioration de l'environnement physique de travail )"/>
    <s v="_ L'intégration des autres services (SGBV, DMU, SONU) dans le projet SAFPAC est une necessité pour améliorer l'utilisation des services PF et SAA dans les structures sanitaires appuyées"/>
    <s v="_ Le projet SAFPAC travaille actuellement avec 66 partenaires avec accord formel à savoir: Le ministère national de la santé Publique, Le minstère Provincial de la santé du Nord Kivu, 5 Bureaux Centraux de zone de santé, 48 structures sanitaires, 2 confessions religieues (CBCA et Eglise Adventiste), le PNSR et le PNSA pronvinciaux du nord Kivu.                                                                                                                                                                                                                                                                                                                                                                                                                                                                                                                                    _ Care international est membre de la coalition &quot; Grossesses Non Désirées &quot;avec d'autres organisations internationales notamment: Pathfinder, RESCUE, ABF, Si Jeunesse savait, SGF, MdM etc.."/>
    <s v="Les différentes  documents clés desquels sont tirés ces informations sont :  _ Le Proposal du projet SAFPAC, _ Le Workplan du projet SAFPAC, _  Les Bases de Donnees  clinique et communautaire de SAFPAC RDC"/>
    <n v="30830"/>
    <n v="165285"/>
    <n v="5.3611741809925402"/>
    <n v="0.99714563736620176"/>
    <n v="0.63768642042532597"/>
    <n v="30742"/>
    <n v="105400"/>
    <n v="1"/>
    <n v="30830"/>
    <n v="165285"/>
    <n v="5.3611741809925402"/>
    <s v=""/>
    <n v="0"/>
    <n v="0"/>
    <s v=""/>
    <n v="1"/>
    <n v="0"/>
    <n v="0"/>
    <s v=""/>
    <s v=""/>
    <n v="0"/>
    <n v="0"/>
    <s v=""/>
    <s v=""/>
    <n v="0"/>
    <n v="0"/>
    <s v=""/>
    <s v="2. Sensitive"/>
    <s v="2. Accommodating"/>
    <s v="1. Neutral"/>
    <s v="It tested new ways for fighting poverty, but did not measure results of innovation"/>
    <s v="Moderate advocacy"/>
    <s v="It linked and worked with strategic alliances and partners to take tested and effective solutions to scale"/>
  </r>
  <r>
    <x v="20"/>
    <x v="3"/>
    <m/>
    <s v="TUONGOZE PAMOJA"/>
    <s v="DRC"/>
    <s v="CNLD0047"/>
    <s v="CARE Nederland"/>
    <s v="Multilateral agency"/>
    <s v="EU - European Union (other than ECHO)"/>
    <s v="EU"/>
    <m/>
    <s v="CARE Nederland"/>
    <s v="Multilateral agency"/>
    <s v="EU - European Union (other than ECHO)"/>
    <m/>
    <m/>
    <s v="CARE Nederland"/>
    <s v="Multilateral agency"/>
    <s v="EU - European Union (other than ECHO)"/>
    <m/>
    <m/>
    <m/>
    <m/>
    <m/>
    <m/>
    <m/>
    <m/>
    <m/>
    <m/>
    <m/>
    <m/>
    <m/>
    <m/>
    <m/>
    <m/>
    <m/>
    <m/>
    <m/>
    <m/>
    <m/>
    <m/>
    <m/>
    <m/>
    <m/>
    <m/>
    <m/>
    <m/>
    <m/>
    <m/>
    <m/>
    <m/>
    <m/>
    <m/>
    <m/>
    <m/>
    <d v="2015-04-01T00:00:00"/>
    <d v="2018-03-31T00:00:00"/>
    <m/>
    <s v="Development Access to and Control over Economic Resources"/>
    <n v="770453.61"/>
    <s v="Bernard Kimongo"/>
    <s v="Chef de projet"/>
    <m/>
    <m/>
    <m/>
    <m/>
    <s v="NO"/>
    <s v="YES"/>
    <s v="NO"/>
    <s v="Contribuer au développement du système de gouvernance concertée entre Acteurs Etatiques (AE) et Organisations  de la Société Civile (OSC) afin de répondre efficacement aux besoins sociaux de base de 297.700 ménages  vulnérables des Territoires de Rutshuru et Lubero dans la Province du Nord Kivu"/>
    <s v="Sub-National"/>
    <s v="Le projet intervient dans le territoire de Rutshuru(Chefferie de Bwisha) et celui de Lubero( chefferies de Baswagha,Bamate et Batangi), province du Nord-Kivu en RDCongo"/>
    <s v="30 OSC,15 AL,2 reseaux d'OSC et 100 CLD"/>
    <n v="13000"/>
    <n v="12000"/>
    <n v="25000"/>
    <n v="928720"/>
    <n v="857280"/>
    <n v="1786000"/>
    <s v="Les participants directs sont constitues des membres de 30 organisations de la societe civile selectionnees dans les deux territoires(Lubero et Rutshuru) et formant deux reseaux, des autorites locales de deux territoires et de 100 comites locaux de development situes dans les villages. Tandisque les participants indirects sont constitues des membres de 297.700 menages vulnerables identifies dans les 4 chefferies qui constituent le rayon d'action du projet, soit 1786000 personnes a raison de 6 personnes par menage."/>
    <m/>
    <m/>
    <m/>
    <m/>
    <m/>
    <m/>
    <m/>
    <m/>
    <m/>
    <m/>
    <m/>
    <m/>
    <m/>
    <m/>
    <m/>
    <m/>
    <m/>
    <m/>
    <m/>
    <m/>
    <m/>
    <m/>
    <m/>
    <m/>
    <m/>
    <m/>
    <m/>
    <m/>
    <m/>
    <m/>
    <m/>
    <m/>
    <m/>
    <m/>
    <m/>
    <m/>
    <m/>
    <m/>
    <m/>
    <m/>
    <m/>
    <m/>
    <m/>
    <m/>
    <m/>
    <m/>
    <m/>
    <m/>
    <m/>
    <m/>
    <m/>
    <m/>
    <m/>
    <m/>
    <m/>
    <m/>
    <m/>
    <m/>
    <m/>
    <m/>
    <n v="4334"/>
    <n v="4000"/>
    <n v="8334"/>
    <n v="309574"/>
    <n v="285760"/>
    <n v="595334"/>
    <m/>
    <m/>
    <m/>
    <m/>
    <m/>
    <m/>
    <m/>
    <m/>
    <m/>
    <m/>
    <m/>
    <m/>
    <m/>
    <m/>
    <m/>
    <m/>
    <m/>
    <m/>
    <m/>
    <m/>
    <m/>
    <m/>
    <m/>
    <m/>
    <m/>
    <m/>
    <m/>
    <m/>
    <m/>
    <m/>
    <m/>
    <m/>
    <m/>
    <m/>
    <m/>
    <m/>
    <m/>
    <m/>
    <m/>
    <m/>
    <m/>
    <m/>
    <m/>
    <m/>
    <m/>
    <m/>
    <m/>
    <m/>
    <s v="YES"/>
    <n v="1807"/>
    <m/>
    <m/>
    <m/>
    <m/>
    <m/>
    <m/>
    <m/>
    <m/>
    <m/>
    <m/>
    <m/>
    <m/>
    <m/>
    <m/>
    <m/>
    <m/>
    <m/>
    <m/>
    <m/>
    <s v="YES"/>
    <s v="May"/>
    <m/>
    <s v="YES"/>
    <s v="YES"/>
    <s v="February"/>
    <n v="2018"/>
    <s v="L'evaluation finale nous permttra de mesurer le progres realise par rapport aux indicateurs definis dans le cadre logique notamment: le changement sur l'utilisation des ecoles et des centres de sante, le fonctionnement des cadres de dialogue social, la redevabilite et la receptivite des autlrites locales, la capacite d'analyse et d'influence de la societe civile aupres des autorites locales et provinciales etc"/>
    <x v="1"/>
    <s v="YES"/>
    <m/>
    <s v="YES"/>
    <s v="YES"/>
    <m/>
    <m/>
    <s v="YES"/>
    <m/>
    <m/>
    <x v="2"/>
    <m/>
    <x v="1"/>
    <m/>
    <x v="1"/>
    <x v="0"/>
    <s v="YES"/>
    <x v="0"/>
    <x v="0"/>
    <x v="0"/>
    <x v="0"/>
    <n v="4"/>
    <x v="1"/>
    <x v="1"/>
    <x v="1"/>
    <x v="0"/>
    <x v="1"/>
    <x v="1"/>
    <n v="3"/>
    <x v="1"/>
    <x v="1"/>
    <x v="1"/>
    <x v="2"/>
    <x v="3"/>
    <n v="2"/>
    <x v="2"/>
    <x v="2"/>
    <n v="63"/>
    <s v="Grassroots organization(s)"/>
    <s v="Local government(s)"/>
    <s v="Local alliance(s)/Platform(s)/Network(s) of  NGOs/CSOs"/>
    <x v="0"/>
    <m/>
    <s v="Le projet a contribue a deux innovations importantes a savoir: Implication totale de la societe civile dans le processus d'elaboration et de suivi des budgets des chefferies, la signature et la mise en oeuvre  des conventions avec les chefs des chefferies sur l'appui financier et moral des plans conjoints d'amelioration des services elabores par les populations vulnerables dans les ecoles et les centres de sante, la creation d'une ligne budgetaire sur le fonctionnement continue des cadres de dialogue social mis en place par le projet"/>
    <s v="L'approche community score a permis aux membres des communautes de base d'evaluer, d'une maniere participative et responsible, les services organises dans les ecoles et les centres et de produire les plans conjoints d'ameioration des services don’t les actions verticales ont fait l'objet d'un plaidoyer aupres des autorites locales et provinciales. Cet outil de la citoyennete responsable contribue a l'amelioration de la culture de redevabilite des autorites locales et autres prestatuires des services envers les populations vulnerables"/>
    <s v="La tenue des seances trimestrielles de dialogue social  a permis a la societe civile de s'impliquer reellellement dans le processus d'elaboration, de mise en oeuvre et de suivi-evaluation des budgets et des plans de develpement local des cheferies. C'est une activite qui reenforce les relations entre  la societe civile, les autorites locales et les membres des  communautes dont le niveau de confiance ne cesse d'augmenter"/>
    <s v="Le renforcement des capapcites organisationnelles des membres des communautes a contribue significativement a leur engagement et  contribution dans le processus de mise en oeuvre des microprojets pilotes issus des plans conjoints d'amelioration des servicves elaboires dans les ecoles et les centres de sante."/>
    <s v="Le projet contribue significativement a la cohesion sociale dans les 4 chefferies"/>
    <s v="Le projet permet aux membres de la societe civile de jouer efficacement leur role d'accompagner les autorites locales  dans la mobilisation et la gestion transparente des ressources publiques."/>
    <s v="La crise politique  qui persiste dans toute la RDC risque de fragiliser les efforts fournis par les acteurs de la gouvernance locale de deux territoires par rapport au processus de mise en oeuvre de la decentralisation territoriale."/>
    <s v="Bien que les cadres de dalogue social mis en place par le projet aient bien fonctionne durant cette annee fiscale, la double casquette des chefs des chefferies  qui sont en meme temps autorites politico-administratives et presidents des comites  locaux  de developement constitue encore un risque potentiel sur le bon fonctionement de ces cadre dans le futur et merite d'attirer l'attention de tous les intervenants."/>
    <s v="Pendant cette annee fiscale, nous nous sommes referes, dans le cadre de  la mise en oeuvere des activites du projet, aux documents suivants:  cadre logique, le proposol, le Budget, le plan de suivi et le plan global d'activites."/>
    <n v="8334"/>
    <n v="595334"/>
    <n v="71.434365250779933"/>
    <n v="0.52003839692824572"/>
    <n v="0.52000053751339581"/>
    <n v="4334"/>
    <n v="309574"/>
    <s v=""/>
    <n v="0"/>
    <n v="0"/>
    <s v=""/>
    <s v=""/>
    <n v="0"/>
    <n v="0"/>
    <s v=""/>
    <s v=""/>
    <n v="0"/>
    <n v="0"/>
    <s v=""/>
    <s v=""/>
    <n v="0"/>
    <n v="0"/>
    <s v=""/>
    <s v=""/>
    <n v="0"/>
    <n v="0"/>
    <s v=""/>
    <s v="2. Sensitive"/>
    <s v="2. Accommodating"/>
    <s v="1. Neutral"/>
    <s v="It tested new ways for fighting poverty and measured results of innovation"/>
    <s v="Moderate advocacy"/>
    <s v="It linked and worked with strategic alliances and partners to take tested and effective solutions to scale"/>
  </r>
  <r>
    <x v="21"/>
    <x v="4"/>
    <n v="2900"/>
    <s v="2016 Ecuador Earthquake Response"/>
    <s v="Ecuador"/>
    <s v="CA359"/>
    <s v="CARE Canada"/>
    <s v="Other"/>
    <s v="Other"/>
    <s v="Humanitarian Coalition"/>
    <m/>
    <m/>
    <m/>
    <m/>
    <m/>
    <m/>
    <m/>
    <m/>
    <m/>
    <m/>
    <m/>
    <m/>
    <m/>
    <m/>
    <m/>
    <m/>
    <m/>
    <m/>
    <m/>
    <m/>
    <m/>
    <m/>
    <m/>
    <m/>
    <m/>
    <m/>
    <m/>
    <m/>
    <m/>
    <m/>
    <m/>
    <m/>
    <m/>
    <m/>
    <m/>
    <m/>
    <m/>
    <m/>
    <m/>
    <m/>
    <m/>
    <m/>
    <m/>
    <m/>
    <m/>
    <d v="2016-04-20T00:00:00"/>
    <d v="2016-10-20T00:00:00"/>
    <m/>
    <s v="Humanitarian Other"/>
    <n v="296296"/>
    <s v="Catalina Vargas"/>
    <s v="Gerente de Calidad Programática y Movilización de Recursos"/>
    <s v="catalina.vargas@care.org"/>
    <s v="Andrés Córdova"/>
    <s v="Coordinador"/>
    <s v="andres.cordova@care.org"/>
    <s v="YES"/>
    <s v="NO"/>
    <s v="NO"/>
    <s v="Responder a las necesidades básicas de las poblaciones afectadas por el terremoto en las ciudades de San Vicente y Jama, Manabí."/>
    <s v="Sub-National"/>
    <s v="Provincia de Manabí. Cantones San Vicente y Jama"/>
    <s v="Población  afectada por el terremoto del 16 de abril ubicada en la provincia de Manabí, específicamente en los cantones de Jama, San Vicente"/>
    <n v="1965"/>
    <n v="1965"/>
    <n v="3930"/>
    <n v="4528"/>
    <n v="4528"/>
    <n v="9056"/>
    <s v="Directos: población afectada (mujeres y hombres - adultos y niños) por el terremoto del 16 de abril ubicados específicamente en los cantones de Jama, San Vicente en la provincia de Manabí._x000a_Indirectos: población de los cantones de Jama y San Vicente favorecidos por las acciones del proyecto. el numero total de la poblacion (45278) se ha dividido entre los 5 proyectos de emergencia que se desarrollaron en estos mismos cantones, para evitar doble conteo."/>
    <m/>
    <n v="1965"/>
    <n v="1965"/>
    <n v="3930"/>
    <n v="4528"/>
    <n v="4528"/>
    <n v="9056"/>
    <m/>
    <m/>
    <m/>
    <m/>
    <m/>
    <m/>
    <m/>
    <m/>
    <m/>
    <m/>
    <m/>
    <m/>
    <m/>
    <m/>
    <m/>
    <m/>
    <m/>
    <m/>
    <m/>
    <m/>
    <m/>
    <m/>
    <m/>
    <m/>
    <m/>
    <m/>
    <m/>
    <m/>
    <m/>
    <m/>
    <m/>
    <m/>
    <m/>
    <m/>
    <m/>
    <m/>
    <m/>
    <m/>
    <m/>
    <m/>
    <s v="YES"/>
    <n v="3930"/>
    <n v="0.5"/>
    <n v="9056"/>
    <s v="YES"/>
    <n v="3930"/>
    <n v="0.5"/>
    <n v="9056"/>
    <m/>
    <m/>
    <m/>
    <m/>
    <m/>
    <m/>
    <m/>
    <m/>
    <m/>
    <m/>
    <m/>
    <m/>
    <m/>
    <m/>
    <m/>
    <m/>
    <m/>
    <m/>
    <m/>
    <m/>
    <m/>
    <m/>
    <m/>
    <m/>
    <m/>
    <m/>
    <m/>
    <m/>
    <m/>
    <m/>
    <m/>
    <m/>
    <m/>
    <m/>
    <m/>
    <m/>
    <m/>
    <m/>
    <m/>
    <m/>
    <m/>
    <m/>
    <m/>
    <m/>
    <m/>
    <m/>
    <m/>
    <m/>
    <m/>
    <m/>
    <m/>
    <m/>
    <m/>
    <m/>
    <m/>
    <m/>
    <m/>
    <m/>
    <m/>
    <m/>
    <m/>
    <m/>
    <m/>
    <m/>
    <m/>
    <m/>
    <m/>
    <m/>
    <m/>
    <m/>
    <m/>
    <m/>
    <m/>
    <m/>
    <m/>
    <m/>
    <m/>
    <m/>
    <m/>
    <m/>
    <s v="NO"/>
    <m/>
    <m/>
    <m/>
    <s v="NO"/>
    <m/>
    <m/>
    <m/>
    <x v="2"/>
    <m/>
    <m/>
    <s v="YES"/>
    <m/>
    <m/>
    <m/>
    <m/>
    <m/>
    <m/>
    <x v="0"/>
    <m/>
    <x v="1"/>
    <s v="Coordinación con otros actcores humanitarios para determinar áreas de intervención y estandarización de kits humanitarios a ser entregados a los participantes."/>
    <x v="0"/>
    <x v="0"/>
    <s v="NO"/>
    <x v="1"/>
    <x v="0"/>
    <x v="0"/>
    <x v="1"/>
    <n v="2"/>
    <x v="1"/>
    <x v="1"/>
    <x v="1"/>
    <x v="1"/>
    <x v="2"/>
    <x v="1"/>
    <n v="3"/>
    <x v="1"/>
    <x v="1"/>
    <x v="1"/>
    <x v="2"/>
    <x v="3"/>
    <n v="2"/>
    <x v="3"/>
    <x v="0"/>
    <m/>
    <s v="International NGO(s)"/>
    <s v="Local NGO(s)/CSO(s)"/>
    <m/>
    <x v="1"/>
    <m/>
    <m/>
    <s v="Planificación y participación comunitaria en conjunto con organizaciones de base"/>
    <m/>
    <m/>
    <s v="La importancia de trabajar en alianza y coordinación con otras organizaciones humanitarias presentes en el área de intervención, así como con los Gobiernos Locales."/>
    <s v="Los kits entrergados fueron elaborados en consenso a través de las Mesas Técnicas de respuesta humanitaria."/>
    <s v="Es necesario mejorar los mecanismos de rendición de cuentas a los participantes del proyecto."/>
    <s v="La intervención se realizó en base al análisis de las áreas afectadas y las condiciones de vulnerabilidad de las comunidades que sufrieron mayor impacto como consecuencia del terremoto del 16 de Abril de 2016. La asistencia humanitaria proporcionada por CARE fue muy importante para la recuperación de las familias que sufrieron pérdidas importantes luego del evento adverso, entre otras: apoyo psicosocial, techo seguro, colchones, sábanas, mosquiteros, kits de cocina, limpieza e higiene. Estos componentes contribuyeron en absorber el impacto del terremoto (shocks) y en adaptarse a nuevas condiciones de vida en su nuevo entorno. "/>
    <s v="Sistema de monitoreo (base de datos de los beneficiarios/participantes desglosados por sexo y edad de comunidades intervenidas inicialmente) - Matriz de intervención - Registro fotográfico y actas de entrega"/>
    <n v="3930"/>
    <n v="9056"/>
    <n v="2.3043256997455472"/>
    <n v="0.5"/>
    <n v="0.5"/>
    <n v="1965"/>
    <n v="4528"/>
    <n v="1"/>
    <n v="3930"/>
    <n v="9056"/>
    <n v="2.3043256997455472"/>
    <s v=""/>
    <n v="0"/>
    <n v="0"/>
    <s v=""/>
    <s v=""/>
    <n v="0"/>
    <n v="0"/>
    <s v=""/>
    <s v=""/>
    <n v="0"/>
    <n v="0"/>
    <s v=""/>
    <s v=""/>
    <n v="0"/>
    <n v="0"/>
    <s v=""/>
    <s v="1. Neutral"/>
    <s v="2. Accommodating"/>
    <s v="1. Neutral"/>
    <s v="It did not develop any specific innovation"/>
    <s v="Intensive advocacy"/>
    <s v="It linked and worked with strategic alliances and partners to take tested and effective solutions to scale"/>
  </r>
  <r>
    <x v="21"/>
    <x v="4"/>
    <n v="2892"/>
    <s v="ADAPTACION AL CAMBIO CLIMATICO DE POBLACIONES ANDINAS, MEDIANTE EL  MANEJO, CONSERVACIÓN Y RESTAURACIÓN DE PÁRAMOS"/>
    <s v="Ecuador"/>
    <s v="FR747"/>
    <s v="CARE France"/>
    <s v="Foundation"/>
    <s v="Other"/>
    <s v="Ensemble Foundation"/>
    <m/>
    <m/>
    <m/>
    <m/>
    <m/>
    <m/>
    <m/>
    <m/>
    <m/>
    <m/>
    <m/>
    <m/>
    <m/>
    <m/>
    <m/>
    <m/>
    <m/>
    <m/>
    <m/>
    <m/>
    <m/>
    <m/>
    <m/>
    <m/>
    <m/>
    <m/>
    <m/>
    <m/>
    <m/>
    <m/>
    <m/>
    <m/>
    <m/>
    <m/>
    <m/>
    <m/>
    <m/>
    <m/>
    <m/>
    <m/>
    <m/>
    <m/>
    <m/>
    <m/>
    <m/>
    <d v="2016-04-15T00:00:00"/>
    <d v="2019-04-15T00:00:00"/>
    <m/>
    <s v="Humanitarian Food &amp; Nutrition Security and Resilience to Climate Change"/>
    <n v="392221.18"/>
    <s v="Andrés Córdova"/>
    <s v="COORDINADOR"/>
    <s v="andres.cordova@care.org"/>
    <s v="Catalina Vargas"/>
    <s v="Gerente de Calidad Programática y Movilización de Recursos"/>
    <s v="catalina.vargas@care.org"/>
    <s v="NO"/>
    <s v="YES"/>
    <s v="NO"/>
    <s v="Reducir la vulnerabilidad de las comunidades ubicadas en los páramos alto andinos  de las parroquias de Tupigachi y Tabacundo, del catón Pedro Moncayo,  frente a los impactos del cambio climático en sus medios de vida."/>
    <s v="Sub-National"/>
    <s v="Provincia de Pichincha, Cantón Pedro Moncayo, Parroquias de Tupigachi y Tabacundo"/>
    <s v="Mujeres productoras y productores agropecuarios del cantón Pedro Moncayo"/>
    <n v="1800"/>
    <n v="1200"/>
    <n v="3000"/>
    <n v="21000"/>
    <n v="14000"/>
    <n v="35000"/>
    <s v="Directos: Son las 200 familias (5 miembros de promedio) que participan en el programa de agricultura sostenible de altura, implementado por el GAD de Pedro Moncayo. Actores de gobernalibidad: 2 alcaldes: Pedro Moncayo y Otavalo; 2 presidentes de juntas parroquiales: Tupigachi y La Esperanza; 1 jefe politico de Pedro Moncayo; 3 concejales de Pedro Moncayo; 4 tenientes politicos de las 4 parroquias_x000a_Directos por efecto: 400 familias (5 miembros de promedio) de las 4 parroquias_x000a_Indirectos: toda la población de las 5 parroquias del canton. Para este FY, se tomó en cuenta el 40% de la población del cantón (14000)"/>
    <m/>
    <m/>
    <m/>
    <m/>
    <m/>
    <m/>
    <m/>
    <m/>
    <m/>
    <m/>
    <m/>
    <m/>
    <m/>
    <m/>
    <m/>
    <m/>
    <m/>
    <m/>
    <m/>
    <m/>
    <m/>
    <m/>
    <m/>
    <m/>
    <m/>
    <m/>
    <m/>
    <m/>
    <m/>
    <m/>
    <m/>
    <m/>
    <m/>
    <m/>
    <m/>
    <m/>
    <m/>
    <m/>
    <m/>
    <m/>
    <m/>
    <m/>
    <m/>
    <m/>
    <m/>
    <m/>
    <m/>
    <m/>
    <m/>
    <m/>
    <m/>
    <m/>
    <m/>
    <m/>
    <m/>
    <m/>
    <m/>
    <m/>
    <m/>
    <m/>
    <n v="420"/>
    <n v="332"/>
    <n v="752"/>
    <n v="7840"/>
    <n v="6160"/>
    <n v="14000"/>
    <s v="YES"/>
    <n v="752"/>
    <n v="0.55900000000000005"/>
    <n v="14000"/>
    <s v="YES"/>
    <n v="752"/>
    <n v="0.55900000000000005"/>
    <n v="14000"/>
    <m/>
    <m/>
    <m/>
    <m/>
    <m/>
    <m/>
    <m/>
    <m/>
    <m/>
    <m/>
    <m/>
    <m/>
    <m/>
    <m/>
    <m/>
    <m/>
    <s v="YES"/>
    <n v="130"/>
    <n v="1"/>
    <n v="650"/>
    <m/>
    <m/>
    <m/>
    <m/>
    <m/>
    <m/>
    <m/>
    <m/>
    <m/>
    <m/>
    <m/>
    <m/>
    <m/>
    <m/>
    <m/>
    <m/>
    <s v="YES"/>
    <n v="205"/>
    <n v="1"/>
    <n v="14000"/>
    <m/>
    <m/>
    <m/>
    <m/>
    <m/>
    <m/>
    <m/>
    <m/>
    <m/>
    <m/>
    <m/>
    <m/>
    <s v="YES"/>
    <n v="752"/>
    <n v="0.55900000000000005"/>
    <n v="1500"/>
    <m/>
    <m/>
    <m/>
    <m/>
    <m/>
    <s v="NO"/>
    <m/>
    <m/>
    <s v="NO"/>
    <s v="YES"/>
    <s v="October"/>
    <n v="2017"/>
    <s v="Evaluacion interna (no requerido por el donante) de avances en los procesos y resultados. La metodologia aun esta por definirse."/>
    <x v="2"/>
    <s v="YES"/>
    <s v="YES"/>
    <s v="YES"/>
    <m/>
    <m/>
    <s v="NO"/>
    <s v="YES"/>
    <m/>
    <m/>
    <x v="1"/>
    <s v="Programa de capacitación cantonal en agroecología; fortalecimiento de capacidades de brigadistas forestales para la prevención, control y combate de incendios forestales; alternativas de comercialización solidarias con procesos de emprendimientos locales que fortalezcan las dinámicas económicas de la zona."/>
    <x v="1"/>
    <s v="Establecimiento de modelo de gestión territorial con el GAD de Pedro Moncayo, Declaratoria del Area Protegida de Mojanda, Creación del Fondo de Agua"/>
    <x v="0"/>
    <x v="1"/>
    <s v="YES"/>
    <x v="0"/>
    <x v="0"/>
    <x v="1"/>
    <x v="4"/>
    <n v="3"/>
    <x v="1"/>
    <x v="1"/>
    <x v="1"/>
    <x v="1"/>
    <x v="1"/>
    <x v="1"/>
    <n v="4"/>
    <x v="3"/>
    <x v="1"/>
    <x v="1"/>
    <x v="1"/>
    <x v="4"/>
    <n v="3"/>
    <x v="3"/>
    <x v="2"/>
    <n v="3"/>
    <s v="Local government(s)"/>
    <s v="Local alliance(s)/Platform(s)/Network(s) of  NGOs/CSOs"/>
    <s v="Local NGO(s)/CSO(s)"/>
    <x v="0"/>
    <s v="1)Campañas de sencibilización y conciención a la población para la Declaratoria del Area de conservación de Uso Sustentable Mojanda, 2)Capacitación a Brigadistas forestales para la prevención, control y combate de incendios forestales, y conformacion de la mesa de seguridad cantonal para incidir a nivel politica y financiero con el gobierno local"/>
    <m/>
    <s v="Programa de Capacitación en Agroecología con la participación de hombres y mujeres de las Parroquias de Tabacundo y Tupigachi"/>
    <s v="Involucramiento y participación  de los propietarios, dirigentes comunitarios en la limitación de la frontera agrícola en las parroquias de Tabacundo y Tupigachi"/>
    <s v="Capacitar a brigadistas forestales para la prevención, control y combate de incendios forestales"/>
    <s v="La conformación de una mesa técnica para la implementación del proceso y replica de capacitación a brigadistas forestales"/>
    <s v="Conocer en insitu la realidad del crecimiento de la frontera agrícola y la construcción de propuestas desde los y las propietarios en coordinación con el Gad Municipal de Pedro Moncayo"/>
    <s v="Inclusión en el equipo técnico de la Escuela Cantonal de Agroecología para la reorganización metodologica del Programa de Capacitación."/>
    <m/>
    <s v="Diagnóstico/Linea Base_x000a_Informe Anual_x000a_Registros de actividades y participantes_x000a_Actas de entrega de materiales_x000a_Actas de reuniones"/>
    <n v="752"/>
    <n v="14000"/>
    <n v="18.617021276595743"/>
    <n v="0.55851063829787229"/>
    <n v="0.56000000000000005"/>
    <n v="420"/>
    <n v="7840"/>
    <s v=""/>
    <n v="0"/>
    <n v="0"/>
    <s v=""/>
    <n v="1"/>
    <n v="752"/>
    <n v="14000"/>
    <n v="18.617021276595743"/>
    <s v=""/>
    <n v="0"/>
    <n v="0"/>
    <s v=""/>
    <s v=""/>
    <n v="0"/>
    <n v="0"/>
    <s v=""/>
    <n v="1"/>
    <n v="752"/>
    <n v="1500"/>
    <n v="1.9946808510638299"/>
    <s v="3. Responsive"/>
    <s v="2. Accommodating"/>
    <s v="4. Transformative"/>
    <s v="It tested new ways for fighting poverty, but did not measure results of innovation"/>
    <s v="Intensive advocacy"/>
    <s v="It linked and worked with strategic alliances and partners to take tested and effective solutions to scale"/>
  </r>
  <r>
    <x v="21"/>
    <x v="4"/>
    <n v="2898"/>
    <s v="Adquisición y distribución de kits de alojamiento de emergencia a 1000 hogares en San Vicente y Jama."/>
    <s v="Ecuador"/>
    <s v="US1PI"/>
    <s v="No CARE member related to the project/initiative"/>
    <s v="Multilateral agency"/>
    <s v="UN - United Nations agencies/offices"/>
    <s v="IOM-International Organisation for Migration"/>
    <m/>
    <m/>
    <m/>
    <m/>
    <m/>
    <m/>
    <m/>
    <m/>
    <m/>
    <m/>
    <m/>
    <m/>
    <m/>
    <m/>
    <m/>
    <m/>
    <m/>
    <m/>
    <m/>
    <m/>
    <m/>
    <m/>
    <m/>
    <m/>
    <m/>
    <m/>
    <m/>
    <m/>
    <m/>
    <m/>
    <m/>
    <m/>
    <m/>
    <m/>
    <m/>
    <m/>
    <m/>
    <m/>
    <m/>
    <m/>
    <m/>
    <m/>
    <m/>
    <m/>
    <m/>
    <d v="2016-05-13T00:00:00"/>
    <d v="2016-07-15T00:00:00"/>
    <d v="2016-10-16T00:00:00"/>
    <s v="Humanitarian Other"/>
    <n v="325000"/>
    <s v="Catalina Vargas"/>
    <s v="Gerente de Calidad Programática y Movilización de Recursos"/>
    <s v="catalina.vargas@care.org"/>
    <s v="Andrés Córdova"/>
    <s v="Coordinador"/>
    <s v="andres.cordova@care.org"/>
    <s v="YES"/>
    <s v="NO"/>
    <s v="NO"/>
    <s v="Adquisición y distribución de kits de aojamiento de emergencia a 1000 hogares en sitios urbanos y rurales de  los cantones de  San Vicente y Jama."/>
    <s v="Sub-National"/>
    <s v="Provincia de Manabí, cantones San Vicente y Jama"/>
    <s v="Población  afectada por el terremoto del 16 de abril ubicada en la provincia de Manabí,  en los cantones de Jama, San Vicente."/>
    <n v="2000"/>
    <n v="1945"/>
    <n v="3945"/>
    <n v="4528"/>
    <n v="4528"/>
    <n v="9056"/>
    <s v="Directos: población afectada (mujeres y hombres - adultos y niños) por el terremoto del 16 de abril ubicados específicamente en los cantones de Jama, San Vicente en la provincia de Manabí._x000a_Indirectos: población de los cantones de Jama y San Vicente favorecidos por las acciones del proyecto. el numero total de la poblacion (45278) se ha dividido entre los 5 proyectos de emergencia que se desarrollaron en estos mismos cantones, para evitar doble conteo."/>
    <m/>
    <n v="2000"/>
    <n v="1945"/>
    <n v="3945"/>
    <n v="4528"/>
    <n v="4528"/>
    <n v="9056"/>
    <m/>
    <m/>
    <m/>
    <m/>
    <m/>
    <m/>
    <m/>
    <m/>
    <m/>
    <m/>
    <m/>
    <m/>
    <s v="YES"/>
    <n v="3945"/>
    <n v="0.5"/>
    <n v="9056"/>
    <m/>
    <m/>
    <m/>
    <m/>
    <m/>
    <m/>
    <m/>
    <m/>
    <m/>
    <m/>
    <m/>
    <m/>
    <m/>
    <m/>
    <m/>
    <m/>
    <m/>
    <m/>
    <m/>
    <m/>
    <m/>
    <m/>
    <m/>
    <m/>
    <s v="YES"/>
    <n v="3945"/>
    <n v="0.5"/>
    <n v="9056"/>
    <s v="YES"/>
    <n v="3945"/>
    <n v="0.5"/>
    <n v="9056"/>
    <m/>
    <m/>
    <m/>
    <m/>
    <m/>
    <m/>
    <m/>
    <m/>
    <m/>
    <m/>
    <m/>
    <m/>
    <m/>
    <m/>
    <m/>
    <m/>
    <m/>
    <m/>
    <m/>
    <m/>
    <m/>
    <m/>
    <m/>
    <m/>
    <m/>
    <m/>
    <m/>
    <m/>
    <m/>
    <m/>
    <m/>
    <m/>
    <m/>
    <m/>
    <m/>
    <m/>
    <m/>
    <m/>
    <m/>
    <m/>
    <m/>
    <m/>
    <m/>
    <m/>
    <m/>
    <m/>
    <m/>
    <m/>
    <m/>
    <m/>
    <m/>
    <m/>
    <m/>
    <m/>
    <m/>
    <m/>
    <m/>
    <m/>
    <m/>
    <m/>
    <m/>
    <m/>
    <m/>
    <m/>
    <m/>
    <m/>
    <m/>
    <m/>
    <m/>
    <m/>
    <m/>
    <m/>
    <m/>
    <m/>
    <m/>
    <m/>
    <m/>
    <m/>
    <m/>
    <m/>
    <s v="NO"/>
    <m/>
    <m/>
    <m/>
    <s v="NO"/>
    <m/>
    <m/>
    <m/>
    <x v="1"/>
    <m/>
    <m/>
    <s v="YES"/>
    <m/>
    <m/>
    <m/>
    <m/>
    <m/>
    <m/>
    <x v="0"/>
    <m/>
    <x v="1"/>
    <s v="Coordinación con otros actcores humanitarios para determinar áreas de intervención y estandarización de kits humanitarios a ser entregados a los participantes."/>
    <x v="0"/>
    <x v="0"/>
    <s v="NO"/>
    <x v="0"/>
    <x v="0"/>
    <x v="0"/>
    <x v="1"/>
    <n v="3"/>
    <x v="1"/>
    <x v="1"/>
    <x v="1"/>
    <x v="1"/>
    <x v="2"/>
    <x v="1"/>
    <n v="3"/>
    <x v="1"/>
    <x v="1"/>
    <x v="1"/>
    <x v="1"/>
    <x v="1"/>
    <n v="3"/>
    <x v="0"/>
    <x v="0"/>
    <m/>
    <s v="International NGO(s)"/>
    <s v="Local NGO(s)/CSO(s)"/>
    <m/>
    <x v="1"/>
    <m/>
    <m/>
    <s v="Planificación y participación comunitaria en conjunto con organizaciones de base"/>
    <m/>
    <m/>
    <s v="La importancia de trabajar en alianza y coordinación con otras organizaciones humanitarias presentes en el área de intervención, así como con los Gobiernos Locales."/>
    <s v="Los kits entrergados fueron elaborados en consenso a través de las Mesas Técnicas de respuesta humanitaria."/>
    <s v="Es necesario mejorar los mecanismos de rendición de cuentas a los participantes del proyecto."/>
    <s v="Todas las intervenciones en el marco de la asistencia humanitaria por el terremoto del 16 de abril, incluyeron componentes de reducción de riesgo de desastres, promoviendo medidas de prevención en caso de nuevos eventos y brindando mensajes de sensibilización que buscan generar actitudes resilientes en la sociedad afectada.  El proyecto contribuyó indirectamente en la recuperación de activos al entregar artículos no alimentarios (carretillas, palas, colchones). El ahorro de dinero en estos artículos permite a los participantes (beneficiarios afectados por el terremoto) a destinar parte de ese dinero en la recuperación de sus actividades productivas. Esto contribuyó a la adaptación de nuevas condiciones y a absorber el impacto del shock causado por el terremoto."/>
    <s v="Como soporte a la intervención se cuentan con los siguientes documentos: Propuesta del proyecto, informes y actas de entrega-recepción de la asistencia suministraba a los participantes/beneficiarios."/>
    <n v="3945"/>
    <n v="9056"/>
    <n v="2.2955640050697084"/>
    <n v="0.50697084917617241"/>
    <n v="0.5"/>
    <n v="2000"/>
    <n v="4528"/>
    <n v="1"/>
    <n v="3945"/>
    <n v="9056"/>
    <n v="2.2955640050697084"/>
    <n v="1"/>
    <n v="3945"/>
    <n v="9056"/>
    <n v="2.2955640050697084"/>
    <s v=""/>
    <n v="0"/>
    <n v="0"/>
    <s v=""/>
    <s v=""/>
    <n v="0"/>
    <n v="0"/>
    <s v=""/>
    <s v=""/>
    <n v="0"/>
    <n v="0"/>
    <s v=""/>
    <s v="1. Neutral"/>
    <s v="2. Accommodating"/>
    <s v="2. Sensitive"/>
    <s v="It did not develop any specific innovation"/>
    <s v="Moderate advocacy"/>
    <s v="It linked and worked with strategic alliances and partners to take tested and effective solutions to scale"/>
  </r>
  <r>
    <x v="21"/>
    <x v="4"/>
    <m/>
    <s v="Augmentation &quot;Fortalecimiento de capacidades locales para la gestión de sistemas de agua y saneamiento en comunidades afectadas por el terremoto provincia de Manabí Ecuador&quot;."/>
    <s v="Ecuador"/>
    <s v="CDEUEC0006"/>
    <s v="CARE Deutschland-Luxemburg"/>
    <s v="Government"/>
    <s v="Government - Luxemburg"/>
    <s v="Ministry of Foreign Affairs of Luxemburg"/>
    <m/>
    <m/>
    <m/>
    <m/>
    <m/>
    <m/>
    <m/>
    <m/>
    <m/>
    <m/>
    <m/>
    <m/>
    <m/>
    <m/>
    <m/>
    <m/>
    <m/>
    <m/>
    <m/>
    <m/>
    <m/>
    <m/>
    <m/>
    <m/>
    <m/>
    <m/>
    <m/>
    <m/>
    <m/>
    <m/>
    <m/>
    <m/>
    <m/>
    <m/>
    <m/>
    <m/>
    <m/>
    <m/>
    <m/>
    <m/>
    <m/>
    <m/>
    <m/>
    <m/>
    <m/>
    <d v="2016-07-01T00:00:00"/>
    <d v="2017-03-31T00:00:00"/>
    <d v="2017-05-31T00:00:00"/>
    <s v="Humanitarian Other"/>
    <n v="68750"/>
    <s v="Catalina Vargas"/>
    <s v="Gerente de Calidad Programática y movilización de recursos"/>
    <s v="catalina.vargas@care.org"/>
    <s v="Andres Cordova"/>
    <s v="Coordinador Proyecto"/>
    <s v="andres.cordova@care.org"/>
    <s v="YES"/>
    <s v="NO"/>
    <s v="NO"/>
    <s v="Analizar los procesos que permitan mejorar la organización y gestión comunitaria en la administración eficiente y sostenible de los sistemas comunitarios de agua potable, fortalecer las capacidades de los operadores/as del agua, que permitan un manejo adecuado y funcionalidad de los sistemas de agua y la calidad del servicio para las familias beneficiarias de los sistemas de agua."/>
    <s v="Sub-National"/>
    <s v="Provincia de Manabí, cantones San Vicente, Jama, Chone y Portoviejo."/>
    <s v="Población afectada por el terremoto del 16 de Abril ubicada en los cantones San Vicente, Jama, Chone y Portoviejo de la Provincia de Manabí."/>
    <n v="6517"/>
    <n v="6968"/>
    <n v="13485"/>
    <n v="207788"/>
    <n v="207788"/>
    <n v="415576"/>
    <s v="Directos: Total de hombres y mujeres que conforman las 36 Juntas Administradoras de agua en los cantones Jama, San Vicente, Chone y Portoviejo._x000a_Directos por efecto: número de usuarios de las 36 Juntas Administradoras de Agua de los cantones Jama, San Vicente, Chone y Portoviejo._x000a_Indirectos: población de los cantones de Chone, Portoviejo, Jama y San Vicente favorecidos por las acciones del proyecto. para los dos ultimos, el numero total de la poblacion (45278) se ha dividido entre los 5 proyectos de emergencia que se desarrollaron en estos mismos cantones, para evitar doble conteo."/>
    <m/>
    <n v="6517"/>
    <n v="6968"/>
    <n v="13485"/>
    <n v="207788"/>
    <n v="207788"/>
    <n v="415576"/>
    <s v="NO"/>
    <m/>
    <m/>
    <m/>
    <s v="NO"/>
    <m/>
    <m/>
    <m/>
    <s v="YES"/>
    <n v="180"/>
    <n v="0.4"/>
    <n v="2700"/>
    <s v="YES"/>
    <n v="13485"/>
    <n v="0.48330000000000001"/>
    <n v="415576"/>
    <s v="NO"/>
    <m/>
    <m/>
    <m/>
    <s v="NO"/>
    <m/>
    <m/>
    <m/>
    <s v="NO"/>
    <m/>
    <m/>
    <m/>
    <s v="NO"/>
    <m/>
    <m/>
    <m/>
    <s v="NO"/>
    <m/>
    <m/>
    <m/>
    <s v="NO"/>
    <m/>
    <m/>
    <m/>
    <s v="NO"/>
    <m/>
    <m/>
    <m/>
    <s v="YES"/>
    <n v="13485"/>
    <n v="0.48330000000000001"/>
    <n v="415576"/>
    <m/>
    <m/>
    <m/>
    <m/>
    <m/>
    <m/>
    <m/>
    <m/>
    <m/>
    <m/>
    <m/>
    <s v="NO"/>
    <m/>
    <m/>
    <m/>
    <s v="NO"/>
    <m/>
    <m/>
    <m/>
    <s v="NO"/>
    <m/>
    <m/>
    <m/>
    <s v="NO"/>
    <m/>
    <m/>
    <m/>
    <s v="NO"/>
    <m/>
    <m/>
    <m/>
    <s v="NO"/>
    <m/>
    <m/>
    <m/>
    <s v="NO"/>
    <m/>
    <m/>
    <m/>
    <s v="NO"/>
    <m/>
    <m/>
    <m/>
    <s v="NO"/>
    <m/>
    <m/>
    <m/>
    <s v="NO"/>
    <m/>
    <m/>
    <m/>
    <s v="NO"/>
    <m/>
    <m/>
    <m/>
    <s v="NO"/>
    <m/>
    <m/>
    <m/>
    <s v="NO"/>
    <m/>
    <m/>
    <m/>
    <s v="NO"/>
    <m/>
    <m/>
    <m/>
    <s v="NO"/>
    <m/>
    <m/>
    <m/>
    <s v="NO"/>
    <m/>
    <m/>
    <m/>
    <m/>
    <m/>
    <m/>
    <m/>
    <m/>
    <s v="NO"/>
    <m/>
    <m/>
    <s v="NO"/>
    <s v="NO"/>
    <m/>
    <m/>
    <m/>
    <x v="1"/>
    <m/>
    <m/>
    <s v="YES"/>
    <s v="YES"/>
    <m/>
    <m/>
    <m/>
    <m/>
    <m/>
    <x v="0"/>
    <m/>
    <x v="1"/>
    <s v="Programa de fortalecimiento de capcidades impartido a las 36 JAAPs avalado por CARE y la SENAGUA."/>
    <x v="1"/>
    <x v="0"/>
    <s v="NO"/>
    <x v="1"/>
    <x v="0"/>
    <x v="0"/>
    <x v="1"/>
    <n v="2"/>
    <x v="1"/>
    <x v="1"/>
    <x v="1"/>
    <x v="1"/>
    <x v="1"/>
    <x v="1"/>
    <n v="4"/>
    <x v="1"/>
    <x v="1"/>
    <x v="1"/>
    <x v="1"/>
    <x v="1"/>
    <n v="3"/>
    <x v="0"/>
    <x v="3"/>
    <n v="3"/>
    <s v="Multilateral organization(s)"/>
    <s v="National government"/>
    <s v="International NGO(s)"/>
    <x v="0"/>
    <s v="Fortalecimiento de capacidades para las Juntas administradoras de agua para toma de desiciones y gestión._x000a_Espacios de encuentro e intercambio de experiencias a nivel nacional de las JAAPS."/>
    <s v="Se ajusto el número de JAAPs, de 45 inicialmente a 36, porque en el CLUSTER de WASH se coordino con las otras organizaciones de cooperación  y se amplio la cobertura a los cantones Chone y Portoviejo. Se extendió el proyecto de 2 meses por llegar a los objetivos en los procesos organizativos y de fortalecimiento de capacidades con las juntas de agua participantes."/>
    <s v="Participación de las JAAPs como organizaciones legalmente constituídas y reconocidas por el ente rector la SENAGUA"/>
    <s v="Muchas Juntas Adminsitradoras de Agua, conocen sobre la normativa y han elaborado sus reglamentos internos"/>
    <s v="Estrategia integral desde la rehabillitación del sistema de agua,  hasta el fortalecimiento organizativo de las Juntas Administradoras de Agua."/>
    <s v="Socialización de las normativas vigentes por parte de la SENAGUA, que permitio la actualizacion de los conocimientos a las juntas de agua, con respecto a la nueva ley de recursos hidricos."/>
    <s v="Débil estructura organizativa de las JAAPs en los territorios de Manabí."/>
    <s v="Promover mayor participación de las mujeres en espacios de toma de desición en temas referentes al manejo de Agua."/>
    <m/>
    <s v="Registros de participantes_x000a_Actas de entrega de materiales y heramientas_x000a_Informe final_x000a_Propuesta"/>
    <n v="13485"/>
    <n v="415576"/>
    <n v="30.817649239896181"/>
    <n v="0.48327771598071934"/>
    <n v="0.5"/>
    <n v="6517"/>
    <n v="207788"/>
    <n v="1"/>
    <n v="13485"/>
    <n v="415576"/>
    <n v="30.817649239896181"/>
    <n v="1"/>
    <n v="13485"/>
    <n v="415576"/>
    <n v="30.817649239896181"/>
    <s v=""/>
    <n v="0"/>
    <n v="0"/>
    <s v=""/>
    <s v=""/>
    <n v="0"/>
    <n v="0"/>
    <s v=""/>
    <s v=""/>
    <n v="0"/>
    <n v="0"/>
    <s v=""/>
    <s v="1. Neutral"/>
    <s v="2. Accommodating"/>
    <s v="2. Sensitive"/>
    <s v="It did not develop any specific innovation"/>
    <s v="Moderate advocacy"/>
    <s v="It linked and worked with strategic alliances and partners to take tested and effective solutions to scale"/>
  </r>
  <r>
    <x v="21"/>
    <x v="4"/>
    <n v="2894"/>
    <s v="Autonomía social y económica de mujeres indígenas, afrodescendientes y mestizas en situación de pobreza y vulnerabilidad"/>
    <s v="Ecuador"/>
    <s v="CFRAEC0002"/>
    <s v="CARE France"/>
    <s v="Foundation"/>
    <s v="Other"/>
    <s v="Cartier Charitable Foundation (CCF)"/>
    <m/>
    <m/>
    <m/>
    <m/>
    <m/>
    <m/>
    <m/>
    <m/>
    <m/>
    <m/>
    <m/>
    <m/>
    <m/>
    <m/>
    <m/>
    <m/>
    <m/>
    <m/>
    <m/>
    <m/>
    <m/>
    <m/>
    <m/>
    <m/>
    <m/>
    <m/>
    <m/>
    <m/>
    <m/>
    <m/>
    <m/>
    <m/>
    <m/>
    <m/>
    <m/>
    <m/>
    <m/>
    <m/>
    <m/>
    <m/>
    <m/>
    <m/>
    <m/>
    <m/>
    <m/>
    <d v="2014-01-01T00:00:00"/>
    <d v="2016-12-31T00:00:00"/>
    <m/>
    <s v="Development Access to and Control over Economic Resources"/>
    <n v="762000"/>
    <s v="Catalina Vargas"/>
    <s v="Gerente de programas y de movilización de recursos"/>
    <s v="catalina.vargas@care.org"/>
    <m/>
    <m/>
    <m/>
    <s v="NO"/>
    <s v="YES"/>
    <s v="NO"/>
    <s v="Contribuir al buen vivir de mujeres indígenas, afrodescendientes y mestizas en situación de pobreza y vulnerabilidad a partir del fomento de actividades generadoras de ingresos y el desarrollo de negocios inclusivos y de cadenas de valor."/>
    <s v="National"/>
    <s v="Provincia de Pichincha: cantones Pedro Moncayo y Cayambe; provincia de Imbabura: cantones Otavalo, Cotacachi, Antonioo Ante, Ibarra, Pimampiro, Urcuquí; provincia del Carchi: cantón Mira."/>
    <s v="Mujeres jefas de hogar vinculadas a cadenas de valor."/>
    <n v="2116"/>
    <n v="936"/>
    <n v="3052"/>
    <n v="34225"/>
    <n v="34225"/>
    <n v="68450"/>
    <s v="Directos: miembros de las 17 aosciaciones que recibieron capacitaciones y realizaron procesos de replicas con sus socios directos_x000a__x000a_Indirectos: poblacion de las parroquias beneficiadas por las politicas publicas validadas y aprobadas. 18.500 familias del: Cantón cotacachi (Parroquia San Francisco, Garcia Moreno, Plaza Gutierres, Vacas Galindo, Apuela, Peñaherrera, Quiroga, Imantag, Cuellaje) Cantón Ibarra (Parroquia Salinas), Canton Cayambe (Parroquia  Cangahua, Olmedo, Otón, Cusubamba), Canton Urcuqui (Parroquia Cahuasqui), Cantón Antonio Ante (Parroquia San Roque, Chaltura, Natabuela)."/>
    <m/>
    <m/>
    <m/>
    <m/>
    <m/>
    <m/>
    <m/>
    <m/>
    <m/>
    <m/>
    <m/>
    <m/>
    <m/>
    <m/>
    <m/>
    <m/>
    <m/>
    <m/>
    <m/>
    <m/>
    <m/>
    <m/>
    <m/>
    <m/>
    <m/>
    <m/>
    <m/>
    <m/>
    <m/>
    <m/>
    <m/>
    <m/>
    <m/>
    <m/>
    <m/>
    <m/>
    <m/>
    <m/>
    <m/>
    <m/>
    <m/>
    <m/>
    <m/>
    <m/>
    <m/>
    <m/>
    <m/>
    <m/>
    <m/>
    <m/>
    <m/>
    <m/>
    <m/>
    <m/>
    <m/>
    <m/>
    <m/>
    <m/>
    <m/>
    <m/>
    <n v="2116"/>
    <n v="936"/>
    <n v="3052"/>
    <n v="34225"/>
    <n v="34225"/>
    <n v="68450"/>
    <s v="YES"/>
    <n v="3052"/>
    <n v="0.69299999999999995"/>
    <n v="68450"/>
    <m/>
    <m/>
    <m/>
    <m/>
    <m/>
    <m/>
    <m/>
    <m/>
    <m/>
    <m/>
    <m/>
    <m/>
    <s v="YES"/>
    <n v="3052"/>
    <n v="0.69299999999999995"/>
    <m/>
    <m/>
    <m/>
    <m/>
    <m/>
    <m/>
    <m/>
    <m/>
    <m/>
    <m/>
    <m/>
    <m/>
    <m/>
    <s v="YES"/>
    <n v="3052"/>
    <n v="0.69299999999999995"/>
    <n v="68450"/>
    <m/>
    <m/>
    <m/>
    <m/>
    <s v="YES"/>
    <n v="3052"/>
    <n v="0.69299999999999995"/>
    <m/>
    <m/>
    <m/>
    <m/>
    <m/>
    <m/>
    <m/>
    <m/>
    <m/>
    <m/>
    <m/>
    <m/>
    <m/>
    <m/>
    <m/>
    <m/>
    <m/>
    <s v="YES"/>
    <n v="3052"/>
    <n v="0.69299999999999995"/>
    <m/>
    <m/>
    <m/>
    <m/>
    <m/>
    <m/>
    <s v="YES"/>
    <s v="January"/>
    <n v="2017"/>
    <s v="YES"/>
    <s v="NO"/>
    <m/>
    <m/>
    <m/>
    <x v="1"/>
    <s v="YES"/>
    <m/>
    <s v="YES"/>
    <m/>
    <m/>
    <m/>
    <s v="YES"/>
    <m/>
    <m/>
    <x v="2"/>
    <s v="Formacion de 14 organizaciones dentro de 4 cadenas de valores a traves de fortalecimento de capacidades de sus miembros, concientizacion y fortalcimiento de las estructuras existentes; Inovación productiva a través del vinculo entre la universidad y productores locales (sistemas de recuperacion de agua)"/>
    <x v="1"/>
    <m/>
    <x v="1"/>
    <x v="0"/>
    <s v="YES"/>
    <x v="0"/>
    <x v="0"/>
    <x v="0"/>
    <x v="0"/>
    <n v="4"/>
    <x v="1"/>
    <x v="1"/>
    <x v="1"/>
    <x v="1"/>
    <x v="1"/>
    <x v="1"/>
    <n v="4"/>
    <x v="1"/>
    <x v="1"/>
    <x v="1"/>
    <x v="1"/>
    <x v="1"/>
    <n v="3"/>
    <x v="0"/>
    <x v="3"/>
    <n v="3"/>
    <s v="Local government(s)"/>
    <s v="Grassroots organization(s)"/>
    <s v="International NGO(s)"/>
    <x v="2"/>
    <s v="El programa de formacion del proyecto se articula en los derechos de las mujeres, sus derechos respecto al agua, tierra, agrobiodiversidad y la microfinanzas y educacion financiera"/>
    <m/>
    <s v="La combinacion de la formacion en derechos con la tecnica financiera fomenta la participacion y el dialogo, orientado a una mejor organizacion de las empresas y un mayor reconocimiento social de las mujeres en el hogar y en la comunidad"/>
    <s v="Para fomentar las iniciativas dentro de las 4 cadenas de valores, varias alianzas estrategicas fueron desarrolladas con actores del mercado y responsables del marketing asociativo"/>
    <s v="El fortalecimiento de las directivas de las empresas encabezadas por mujeres y el desarrollo de capacidades para influir en las políticas públicas de desarrollo productivo contribuyen para que estas políticas consideren el enfoque cultural y de género, y alienta la promoción de actividades productivas dentro la esfera pública con los actores sociales"/>
    <s v="Las iniciativas de apoyo a las cadenas de valor requieren un trabajo en asocio con diversos actores (sector privado, organizaciones pares, sector público) para formar espacios de diálogo, establecer acuerdos concretos, y desarrollar planes de trabajo que se traducen en compromisos entre las partes interesadas, promoviendo la institucionalización de los procesos."/>
    <s v="El fortalecimiento de la capacidad técnica y de gestión de las organizaciones, cuyo objetivo es prevenir la dependencia y lograr la mejora de la autonomía social y económica de las mujeres productoras, requieren estrategias combinadas de intercambio de conocimientos y experiencias, aprendizaje práctico y consolidación de conocimientos."/>
    <s v="Las solicitudes de fortalecimiento de capacidad son constantes, y cambiando con el contexto. Es por esto que es muy importante que las organizaciones pueden transmitir los conocimientos y prácticas adquiridos. Es esencial promover directivas con esta capacidad. Asociadas a un soporte técnico, serán capaces de asegurar la sostenibilidad de los procesos"/>
    <m/>
    <s v="Propuesta Inicial; Informe final; Evaluacion del Proyecto"/>
    <n v="3052"/>
    <n v="68450"/>
    <n v="22.427916120576672"/>
    <n v="0.6933158584534731"/>
    <n v="0.5"/>
    <n v="2116"/>
    <n v="34225"/>
    <s v=""/>
    <n v="0"/>
    <n v="0"/>
    <s v=""/>
    <n v="1"/>
    <n v="3052"/>
    <n v="68450"/>
    <n v="22.427916120576672"/>
    <s v=""/>
    <n v="0"/>
    <n v="0"/>
    <s v=""/>
    <s v=""/>
    <n v="0"/>
    <n v="0"/>
    <s v=""/>
    <n v="1"/>
    <n v="3052"/>
    <n v="0"/>
    <n v="0"/>
    <s v="2. Sensitive"/>
    <s v="2. Accommodating"/>
    <s v="2. Sensitive"/>
    <s v="It tested new ways for fighting poverty and measured results of innovation"/>
    <s v="Moderate advocacy"/>
    <s v="It linked and worked with strategic alliances and partners to take tested and effective solutions to scale"/>
  </r>
  <r>
    <x v="21"/>
    <x v="4"/>
    <m/>
    <s v="Construyendo resiliencia en gestión del riesgo de desastres en barrios peri-urbanos y comunidades rurales de Manabí y Esmeraldas"/>
    <s v="Ecuador"/>
    <s v="CNLDEC0008"/>
    <s v="CARE Nederland"/>
    <s v="Multilateral agency"/>
    <s v="ECHO - European Commission for Humanitarian Aid and Civil Protection"/>
    <s v="ECHO"/>
    <m/>
    <m/>
    <m/>
    <m/>
    <m/>
    <m/>
    <m/>
    <m/>
    <m/>
    <m/>
    <m/>
    <m/>
    <m/>
    <m/>
    <m/>
    <m/>
    <m/>
    <m/>
    <m/>
    <m/>
    <m/>
    <m/>
    <m/>
    <m/>
    <m/>
    <m/>
    <m/>
    <m/>
    <m/>
    <m/>
    <m/>
    <m/>
    <m/>
    <m/>
    <m/>
    <m/>
    <m/>
    <m/>
    <m/>
    <m/>
    <m/>
    <m/>
    <m/>
    <m/>
    <m/>
    <d v="2017-05-01T00:00:00"/>
    <d v="2018-10-31T00:00:00"/>
    <m/>
    <s v="Humanitarian Other"/>
    <n v="602340"/>
    <s v="Catalina Vargas"/>
    <s v="Gerente de Calidad Porgramática y Movilización y Recursos"/>
    <s v="catalina.vargas@care.org"/>
    <s v="Xavier Muenala"/>
    <s v="Coordinador de Programa"/>
    <s v="xavier.muenala@care.org"/>
    <s v="NO"/>
    <s v="YES"/>
    <s v="NO"/>
    <s v="Contribuir a una sociedad civil resiliente en gestión del riesgo de desastres con enfoque en derechos, protección y género"/>
    <s v="Sub-National"/>
    <s v="Provincia de Manabí: Municipios de Portoviejo, San Vicente y Jama_x000a_Provincia de Esmeraldas: Municipio de Muisne"/>
    <s v="Población local: hombres, mujeres, niños, niñas y adolescentes viviendo en zonas de riesgo ante inundaciones, deslizamiento, terremotos o tsunamis. Incluye población mestiza, afro-descendiente y montubios."/>
    <n v="11350"/>
    <n v="11350"/>
    <n v="22700"/>
    <m/>
    <m/>
    <m/>
    <s v="Población local: hombres, mujeres, niños, niñas y adolescentes viviendo en zonas de riesgo ante inundaciones, deslizamiento, terremotos o tsunamis. Incluye población mestiza, afro-descendiente y montubios._x000a_Los datos de la población beneficiaria fueron calculados en base a estimaciones de número de población en los cantones y parroquias donde interviene el proyecto, en base a la proyección del Censo de Población y Vivienda del año 2010."/>
    <m/>
    <m/>
    <m/>
    <m/>
    <m/>
    <m/>
    <m/>
    <m/>
    <m/>
    <m/>
    <m/>
    <m/>
    <m/>
    <m/>
    <m/>
    <m/>
    <m/>
    <m/>
    <m/>
    <m/>
    <m/>
    <m/>
    <m/>
    <m/>
    <m/>
    <m/>
    <m/>
    <m/>
    <m/>
    <m/>
    <m/>
    <m/>
    <m/>
    <m/>
    <m/>
    <m/>
    <m/>
    <m/>
    <m/>
    <m/>
    <m/>
    <m/>
    <m/>
    <m/>
    <m/>
    <m/>
    <m/>
    <m/>
    <m/>
    <m/>
    <m/>
    <m/>
    <m/>
    <m/>
    <m/>
    <m/>
    <m/>
    <m/>
    <m/>
    <m/>
    <n v="2"/>
    <n v="18"/>
    <n v="20"/>
    <n v="0"/>
    <n v="0"/>
    <n v="0"/>
    <m/>
    <m/>
    <m/>
    <m/>
    <m/>
    <m/>
    <m/>
    <m/>
    <m/>
    <m/>
    <m/>
    <m/>
    <s v="YES"/>
    <n v="20"/>
    <n v="0.1"/>
    <m/>
    <m/>
    <m/>
    <m/>
    <m/>
    <m/>
    <m/>
    <m/>
    <m/>
    <m/>
    <m/>
    <m/>
    <m/>
    <m/>
    <m/>
    <m/>
    <m/>
    <m/>
    <m/>
    <m/>
    <m/>
    <m/>
    <m/>
    <m/>
    <m/>
    <m/>
    <m/>
    <m/>
    <m/>
    <m/>
    <m/>
    <m/>
    <m/>
    <m/>
    <m/>
    <m/>
    <m/>
    <m/>
    <m/>
    <m/>
    <m/>
    <m/>
    <m/>
    <m/>
    <m/>
    <m/>
    <m/>
    <m/>
    <m/>
    <m/>
    <m/>
    <m/>
    <m/>
    <m/>
    <s v="NO"/>
    <m/>
    <m/>
    <m/>
    <s v="YES"/>
    <s v="December"/>
    <n v="2017"/>
    <s v="Evaluación Intermedia"/>
    <x v="1"/>
    <s v="NO"/>
    <s v="NO"/>
    <s v="YES"/>
    <s v="NO"/>
    <s v="YES"/>
    <s v="NO"/>
    <s v="NO"/>
    <s v="NO"/>
    <m/>
    <x v="0"/>
    <m/>
    <x v="1"/>
    <s v="Firma de Convenios de Cooperación con Municipios"/>
    <x v="0"/>
    <x v="0"/>
    <s v="YES"/>
    <x v="0"/>
    <x v="0"/>
    <x v="0"/>
    <x v="0"/>
    <n v="4"/>
    <x v="1"/>
    <x v="1"/>
    <x v="1"/>
    <x v="1"/>
    <x v="1"/>
    <x v="1"/>
    <n v="4"/>
    <x v="1"/>
    <x v="1"/>
    <x v="1"/>
    <x v="1"/>
    <x v="1"/>
    <n v="3"/>
    <x v="0"/>
    <x v="0"/>
    <n v="5"/>
    <s v="Local government(s)"/>
    <s v="National government"/>
    <s v="International NGO(s)"/>
    <x v="2"/>
    <m/>
    <m/>
    <m/>
    <s v="Luego de la soclialización del proyecto a los Gobiernos Locales, fue evidente la necesidad de fortalecer las estructuras municipales de Gestión de Riesgos de Desastres"/>
    <m/>
    <m/>
    <m/>
    <m/>
    <s v="Se abordará la resiliencia de la población de impacto desde las vertientes social, individual, afectiva y económica. La resiliencia en la gestión de riesgos será vista además como la capacidad para enfrentar las adversidades de manera creativa y proactiva. Las acciones considerarán la elaboración de un Plan Operativo Anual cuya supervisión general es responsabilidad de CARE. Para ello, se realizarán reuniones de seguimiento mensuales complementando las acciones de seguimiento establecidas. Las reuniones de seguimiento incluirán la revisión técnica y presupuestaria. De conformidad con los sistemas y políticas de gestión de CARE, se llevarán a cabo procesos de control técnico, administrativo y financiero para garantizar la calidad y transparencia de la intervención. Estos componentes se enmarcan dentro de los siguiente ámbitos del marco de Gobernabilidad: Ciudadanos empoderados y organizados; y Espacios de negociación efectivos e inclusivos. Está acción parte de un análisis de vulnerabilidad y particularmente (como punto de partida) la capacidad demostrada en la respuesta al terremoto del 16 de Abril por parte de actores sociales, ya sea de manera individual y/o colectiva, para resistir, absorber, adaptarse y recuperarse de sus efectos de manera oportuna y eficaz, lo que incluye la preservación y la restauración de sus estructuras y medios de vida. En base a los aprendizajes identificados esta iniciativa trabajará para que barrios y comunidades cuenten con los recursos cognitivos y materiales necesarios para organizarse tanto antes como durante los momentos apremiantes que se generan en la preparación y respuesta para la gestión de riesgos. Es decir, que estén en mejores condiciones para absorber el impacto de un evento adverso/crisis y, posteriormente, de poder adaptarse a condiciones cambiantes  e intentar retomar sus condiciones normales de vida. Durante el período de implementación, CARE realizará procesos de rendición de cuentas (avances, logros, dificultades y presupuesto destinado) sobre los componentes más relevantes del proyecto, tanto a nivel comunitario como institucional. Esto se hará a través de mecanismos de retroalimentación, a nivel comunitario, centros educativos y GADs municipales beneficiarios del proyecto."/>
    <s v="Como documentos de soporte del proyecto se cuenta con la siguiente información: Propuesta del proyecto (Single Form de ECHO), Workplan, IPIA con CARE Holanda"/>
    <n v="20"/>
    <n v="0"/>
    <n v="0"/>
    <n v="0.1"/>
    <s v=""/>
    <n v="2"/>
    <n v="0"/>
    <s v=""/>
    <n v="0"/>
    <n v="0"/>
    <s v=""/>
    <n v="1"/>
    <n v="20"/>
    <n v="0"/>
    <n v="0"/>
    <s v=""/>
    <n v="0"/>
    <n v="0"/>
    <s v=""/>
    <s v=""/>
    <n v="0"/>
    <n v="0"/>
    <s v=""/>
    <s v=""/>
    <n v="0"/>
    <n v="0"/>
    <s v=""/>
    <s v="2. Sensitive"/>
    <s v="2. Accommodating"/>
    <s v="2. Sensitive"/>
    <s v="It did not develop any specific innovation"/>
    <s v="Moderate advocacy"/>
    <s v="It linked and worked with strategic alliances and partners to take tested and effective solutions to scale"/>
  </r>
  <r>
    <x v="21"/>
    <x v="4"/>
    <n v="2889"/>
    <s v="Democratización, Derechos y Diálogo Intercultural para la Inclusión Étnica en Áreas de Frontera Norte del Ecuador"/>
    <s v="Ecuador"/>
    <s v="CFRAE0004"/>
    <s v="CARE France"/>
    <s v="Multilateral agency"/>
    <s v="EU - European Union (other than ECHO)"/>
    <s v="EU"/>
    <m/>
    <m/>
    <m/>
    <m/>
    <m/>
    <m/>
    <m/>
    <m/>
    <m/>
    <m/>
    <m/>
    <m/>
    <m/>
    <m/>
    <m/>
    <m/>
    <m/>
    <m/>
    <m/>
    <m/>
    <m/>
    <m/>
    <m/>
    <m/>
    <m/>
    <m/>
    <m/>
    <m/>
    <m/>
    <m/>
    <m/>
    <m/>
    <m/>
    <m/>
    <m/>
    <m/>
    <m/>
    <m/>
    <m/>
    <m/>
    <m/>
    <m/>
    <m/>
    <m/>
    <m/>
    <d v="2014-02-01T00:00:00"/>
    <d v="2017-01-31T00:00:00"/>
    <m/>
    <s v="Development A Life Free From Violence (GBV)"/>
    <n v="1148618"/>
    <s v="Nubia Zambrano Mendoza"/>
    <s v="Coordinadora de Programa"/>
    <s v="nubia.zambrano@care.org"/>
    <s v="Catalina Vargas"/>
    <s v="Gerente de programas y de movilización de recursos"/>
    <s v="catalina.vargas@care.org"/>
    <s v="NO"/>
    <s v="YES"/>
    <s v="NO"/>
    <s v="Contribuir al fortalecimiento de procesos orientados a superar la opresión étnica y de género en indígenas y afrodescendientes, apoyando la cultura y la comunicación y los derechos como condición de los procesos de democratización, revalorización de la diversidad e interculturalidad y desarrollo socioeconómico"/>
    <s v="National"/>
    <s v="Sucumbios, Pichincha, Esmeraldas, Carchi, Imbabura"/>
    <s v="Poblaciones afrodescendientes, awás e indígenas kichwas de la sierra y de amazonía ubicadas en las provincias del norte del Ecuador."/>
    <n v="4156"/>
    <n v="3994"/>
    <n v="8150"/>
    <n v="19363"/>
    <n v="18603"/>
    <n v="37966"/>
    <s v="Directos: Indígenas: Awá (1.630), provincias Carchi, Esmeraldas e Imbabura. Kichwas de la sierra (2.445), provincia Imbabura. Kichwas amazónicos (815), Provincia Sucumbíos. Afrodescendiente (3.260), provincias  Carchi, Esmeraldas, Imbabura y área urbana marginal de Quito._x000a_Indirectos: Espectro amplio de grupos étnicos destinatarios; habitantes ecuatorianos y colombianos de la frontera norte, sociedad civil, personal de entidades públicas. Total: 37.966 personas. _x000a_Agregamos en la parte de indirectos del FY por la aprobación de ordenanza del cantón de Mira: 13.364 indirectos (población total del cantón) y la ordenanza del cantón Sucumbios: 176.472  (población total del cantón). Además, en los cantones dónde no se ha aprobado aún las ordenanzas, contabilizamos la cobertura (según la población beneficiada por cada ordenanza) de las agendas politicas de mújeres: Cotacachi (población feminina total del cantón 19,996); Ibarra (7% mujeres del canton 6,537); Carchi (7% mujeres del canton 5835); Pichincha (7% mujeres del canton 92,440); Ibarra (población total del canton 181,175)"/>
    <m/>
    <m/>
    <m/>
    <m/>
    <m/>
    <m/>
    <m/>
    <m/>
    <m/>
    <m/>
    <m/>
    <m/>
    <m/>
    <m/>
    <m/>
    <m/>
    <m/>
    <m/>
    <m/>
    <m/>
    <m/>
    <m/>
    <m/>
    <m/>
    <m/>
    <m/>
    <m/>
    <m/>
    <m/>
    <m/>
    <m/>
    <m/>
    <m/>
    <m/>
    <m/>
    <m/>
    <m/>
    <m/>
    <m/>
    <m/>
    <m/>
    <m/>
    <m/>
    <m/>
    <m/>
    <m/>
    <m/>
    <m/>
    <m/>
    <m/>
    <m/>
    <m/>
    <m/>
    <m/>
    <m/>
    <m/>
    <m/>
    <m/>
    <m/>
    <m/>
    <n v="6836"/>
    <n v="3216"/>
    <n v="10052"/>
    <n v="315778"/>
    <n v="190969"/>
    <n v="506747"/>
    <m/>
    <m/>
    <m/>
    <m/>
    <m/>
    <m/>
    <m/>
    <m/>
    <m/>
    <m/>
    <m/>
    <m/>
    <m/>
    <m/>
    <m/>
    <m/>
    <m/>
    <m/>
    <m/>
    <m/>
    <m/>
    <m/>
    <m/>
    <m/>
    <m/>
    <m/>
    <m/>
    <m/>
    <s v="YES"/>
    <n v="10052"/>
    <n v="0.68"/>
    <n v="506747"/>
    <m/>
    <m/>
    <m/>
    <m/>
    <m/>
    <m/>
    <m/>
    <m/>
    <m/>
    <m/>
    <m/>
    <m/>
    <m/>
    <m/>
    <m/>
    <m/>
    <m/>
    <m/>
    <m/>
    <m/>
    <m/>
    <m/>
    <m/>
    <m/>
    <m/>
    <m/>
    <m/>
    <m/>
    <m/>
    <m/>
    <m/>
    <m/>
    <m/>
    <m/>
    <m/>
    <m/>
    <m/>
    <s v="YES"/>
    <s v="March"/>
    <n v="2017"/>
    <s v="NO"/>
    <s v="NO"/>
    <m/>
    <m/>
    <m/>
    <x v="2"/>
    <s v="YES"/>
    <m/>
    <s v="YES"/>
    <m/>
    <m/>
    <m/>
    <m/>
    <m/>
    <m/>
    <x v="2"/>
    <s v="Visibilizacion del papel determinante de la cultura, la identidad cultural y el diálogo intercultural en la construcción de una sociedad verdaderamente plurinacional e intercultural, basada en el reconocimiento de las diversidades de pueblos y nacionalidades y el ejercicio efectivo de sus derechos individuales y colectivos."/>
    <x v="1"/>
    <s v="En el ámbito institucional, se creó un modelo que recopila numerosas experiencias y busca convertirlas en lecciones aprendidas. A su vez, formularlas dentro de una metodología de procesos que evidencie sus efectos en la equidad de las relaciones de poder. En ese sentido, es una herramienta necesaria para generar procesos de réplicas a escala provincial y nacional, que garanticen la efectividad de iniciativas similares"/>
    <x v="1"/>
    <x v="0"/>
    <s v="YES"/>
    <x v="0"/>
    <x v="0"/>
    <x v="0"/>
    <x v="0"/>
    <n v="4"/>
    <x v="1"/>
    <x v="1"/>
    <x v="1"/>
    <x v="1"/>
    <x v="1"/>
    <x v="1"/>
    <n v="4"/>
    <x v="1"/>
    <x v="1"/>
    <x v="1"/>
    <x v="1"/>
    <x v="1"/>
    <n v="3"/>
    <x v="0"/>
    <x v="0"/>
    <n v="2"/>
    <s v="Grassroots organization(s)"/>
    <s v="International NGO(s)"/>
    <m/>
    <x v="0"/>
    <s v="Fortalecer las capacidades, incidir en las políticas públicas y gestionar el conocimiento desde el género, la interculturalidad, los derechos humanos, lo intergeneracional, para alcanzar cambios resilientes y sostenibles"/>
    <m/>
    <s v="1. Formación a jóvenes, adultos y niños de etnias destinatarias, en enfoques intercultural, diversidad, derechos, género, generacional, diálogo interétnico, ambiente"/>
    <s v="2. Conformación y/o fortalecimiento de “agentes culturales y  de comunicación” de grupos étnicos que permite sistematizar los procesos culturales vividos"/>
    <s v="3.  Organización de “Focos intergeneracionales de rescate y producción cultural” (intercambios, concursos, eventos públicos, diseño gráfico, diálogo intercultural y generacional)"/>
    <s v="1. Impulso a elaboración/divulgación de productos culturales en etnias que rescaten y prestigien sus culturas (costumbrismos, espiritualidad, imaginarios, música, comics, poesía, programas radiales, radio-teatro, producción audiovisual, otros)"/>
    <s v="2. Manejo de redes sociales para el intercambio y diálogo interétnico es de amplia difusión"/>
    <s v="3. El sustento más importante para incidencia son las  investigaciones de patrones culturales de cada etnia, con enfoque generacional, derechos y de género"/>
    <m/>
    <s v="IPIA; Propuesta Inicial; Informes intermedio y final; Investigaciones sobre temas culturales e identitarios publicadas; Modelo de intervención sistematizado y publicado"/>
    <n v="10052"/>
    <n v="506747"/>
    <n v="50.412554715479509"/>
    <n v="0.68006366892160763"/>
    <n v="0.62314725099507251"/>
    <n v="6836"/>
    <n v="315778"/>
    <s v=""/>
    <n v="0"/>
    <n v="0"/>
    <s v=""/>
    <s v=""/>
    <n v="0"/>
    <n v="0"/>
    <s v=""/>
    <s v=""/>
    <n v="0"/>
    <n v="0"/>
    <s v=""/>
    <n v="1"/>
    <n v="10052"/>
    <n v="506747"/>
    <n v="50.412554715479509"/>
    <s v=""/>
    <n v="0"/>
    <n v="0"/>
    <s v=""/>
    <s v="2. Sensitive"/>
    <s v="2. Accommodating"/>
    <s v="2. Sensitive"/>
    <s v="It tested new ways for fighting poverty and measured results of innovation"/>
    <s v="Intensive advocacy"/>
    <s v="It linked and worked with strategic alliances and partners to take tested and effective solutions to scale"/>
  </r>
  <r>
    <x v="21"/>
    <x v="4"/>
    <n v="2899"/>
    <s v="Ecuador Earthquake Emergency Wash Assistance"/>
    <s v="Ecuador"/>
    <s v="DE715"/>
    <s v="CARE Deutschland-Luxemburg"/>
    <s v="Government"/>
    <s v="Government - Luxemburg"/>
    <s v="Ministry of Foreign Affairs of Luxemburg"/>
    <s v="WALMEC0001"/>
    <s v="No CARE member related to the project/initiative"/>
    <s v="Corporation"/>
    <s v="Other"/>
    <s v="WalMart"/>
    <m/>
    <m/>
    <m/>
    <m/>
    <m/>
    <m/>
    <m/>
    <m/>
    <m/>
    <m/>
    <m/>
    <m/>
    <m/>
    <m/>
    <m/>
    <m/>
    <m/>
    <m/>
    <m/>
    <m/>
    <m/>
    <m/>
    <m/>
    <m/>
    <m/>
    <m/>
    <m/>
    <m/>
    <m/>
    <m/>
    <m/>
    <m/>
    <m/>
    <m/>
    <m/>
    <m/>
    <m/>
    <m/>
    <m/>
    <m/>
    <d v="2016-06-01T00:00:00"/>
    <d v="2016-11-30T00:00:00"/>
    <d v="2017-04-30T00:00:00"/>
    <s v="Humanitarian Other"/>
    <n v="147028"/>
    <s v="Catalina Vargas"/>
    <s v="Gerente de Calidad Programática y Movilización de Recursos"/>
    <s v="catalina.vargas@care.org"/>
    <s v="Andrés Córdova"/>
    <s v="Coordinador"/>
    <s v="andres.cordova@care.org"/>
    <s v="YES"/>
    <s v="NO"/>
    <s v="NO"/>
    <s v="Permitir a las familias afectadas a recuperarse de los efectos del terremoto y reanudar su vida con dignidad."/>
    <s v="Sub-National"/>
    <s v="Provincia de Manabí, cantones San Vicente y Jama"/>
    <s v="Población  afectada por el terremoto del 16 de abril ubicada en la provincia de Manabí,  en los cantones de Jama, San Vicente."/>
    <n v="4823"/>
    <n v="4822"/>
    <n v="9645"/>
    <n v="4528"/>
    <n v="4528"/>
    <n v="9056"/>
    <s v="Directos: población afectada (mujeres y hombres - adultos y niños) por el terremoto del 16 de abril ubicados específicamente en los cantones de Jama, San Vicente en la provincia de Manabí._x000a_Indirectos: población de los cantones de Jama y San Vicente favorecidos por las acciones del proyecto. el numero total de la poblacion (45278) se ha dividido entre los 5 proyectos de emergencia que se desarrollaron en estos mismos cantones, para evitar doble conteo."/>
    <m/>
    <n v="4823"/>
    <n v="4822"/>
    <n v="9645"/>
    <n v="4528"/>
    <n v="4528"/>
    <n v="9056"/>
    <m/>
    <m/>
    <m/>
    <m/>
    <m/>
    <m/>
    <m/>
    <m/>
    <m/>
    <m/>
    <m/>
    <m/>
    <m/>
    <m/>
    <m/>
    <m/>
    <m/>
    <m/>
    <m/>
    <m/>
    <m/>
    <m/>
    <m/>
    <m/>
    <m/>
    <m/>
    <m/>
    <m/>
    <m/>
    <m/>
    <m/>
    <m/>
    <m/>
    <m/>
    <m/>
    <m/>
    <m/>
    <m/>
    <m/>
    <m/>
    <s v="YES"/>
    <n v="9645"/>
    <n v="0.5"/>
    <n v="9056"/>
    <s v="YES"/>
    <n v="9645"/>
    <n v="0.5"/>
    <n v="9056"/>
    <m/>
    <m/>
    <m/>
    <m/>
    <m/>
    <m/>
    <m/>
    <m/>
    <m/>
    <m/>
    <m/>
    <m/>
    <m/>
    <m/>
    <m/>
    <m/>
    <m/>
    <m/>
    <m/>
    <m/>
    <m/>
    <m/>
    <m/>
    <m/>
    <m/>
    <m/>
    <m/>
    <m/>
    <m/>
    <m/>
    <m/>
    <m/>
    <m/>
    <m/>
    <m/>
    <m/>
    <m/>
    <m/>
    <m/>
    <m/>
    <m/>
    <m/>
    <m/>
    <m/>
    <m/>
    <m/>
    <m/>
    <m/>
    <m/>
    <m/>
    <m/>
    <m/>
    <m/>
    <m/>
    <m/>
    <m/>
    <m/>
    <m/>
    <m/>
    <m/>
    <m/>
    <m/>
    <m/>
    <m/>
    <m/>
    <m/>
    <m/>
    <m/>
    <m/>
    <m/>
    <m/>
    <m/>
    <m/>
    <m/>
    <m/>
    <m/>
    <m/>
    <m/>
    <m/>
    <m/>
    <s v="NO"/>
    <m/>
    <m/>
    <m/>
    <s v="NO"/>
    <m/>
    <m/>
    <m/>
    <x v="1"/>
    <m/>
    <m/>
    <s v="YES"/>
    <m/>
    <m/>
    <m/>
    <m/>
    <m/>
    <m/>
    <x v="0"/>
    <m/>
    <x v="1"/>
    <s v="Coordinación con otros actcores humanitarios para determinar áreas de intervención y estandarización de kits humanitarios a ser entregados a los participantes."/>
    <x v="0"/>
    <x v="0"/>
    <s v="NO"/>
    <x v="1"/>
    <x v="0"/>
    <x v="0"/>
    <x v="1"/>
    <n v="2"/>
    <x v="1"/>
    <x v="1"/>
    <x v="1"/>
    <x v="1"/>
    <x v="2"/>
    <x v="1"/>
    <n v="3"/>
    <x v="1"/>
    <x v="1"/>
    <x v="1"/>
    <x v="2"/>
    <x v="3"/>
    <n v="2"/>
    <x v="0"/>
    <x v="0"/>
    <n v="2"/>
    <s v="Grassroots organization(s)"/>
    <s v="International NGO(s)"/>
    <m/>
    <x v="0"/>
    <s v="Fortalecer las capacidades, incidir en las políticas públicas y gestionar el conocimiento desde el género, la interculturalidad, los derechos humanos, lo intergeneracional, para alcanzar cambios resilientes y sostenibles"/>
    <m/>
    <s v="1. Formación a jóvenes, adultos y niños de etnias destinatarias, en enfoques intercultural, diversidad, derechos, género, generacional, diálogo interétnico, ambiente"/>
    <s v="2. Conformación y/o fortalecimiento de “agentes culturales y  de comunicación” de grupos étnicos que permite sistematizar los procesos culturales vividos"/>
    <s v="3.  Organización de “Focos intergeneracionales de rescate y producción cultural” (intercambios, concursos, eventos públicos, diseño gráfico, diálogo intercultural y generacional)"/>
    <s v="1. Impulso a elaboración/divulgación de productos culturales en etnias que rescaten y prestigien sus culturas (costumbrismos, espiritualidad, imaginarios, música, comics, poesía, programas radiales, radio-teatro, producción audiovisual, otros)"/>
    <s v="2. Manejo de redes sociales para el intercambio y diálogo interétnico es de amplia difusión"/>
    <s v="3. El sustento más importante para incidencia son las  investigaciones de patrones culturales de cada etnia, con enfoque generacional, derechos y de género"/>
    <m/>
    <s v="IPIA; Propuesta Inicial; Informes intermedio y final; Investigaciones sobre temas culturales e identitarios publicadas; Modelo de intervención sistematizado y publicado"/>
    <n v="9645"/>
    <n v="9056"/>
    <n v="0.93893208916537063"/>
    <n v="0.50005184033177807"/>
    <n v="0.5"/>
    <n v="4823"/>
    <n v="4528"/>
    <n v="1"/>
    <n v="9645"/>
    <n v="9056"/>
    <n v="0.93893208916537063"/>
    <s v=""/>
    <n v="0"/>
    <n v="0"/>
    <s v=""/>
    <s v=""/>
    <n v="0"/>
    <n v="0"/>
    <s v=""/>
    <s v=""/>
    <n v="0"/>
    <n v="0"/>
    <s v=""/>
    <s v=""/>
    <n v="0"/>
    <n v="0"/>
    <s v=""/>
    <s v="1. Neutral"/>
    <s v="2. Accommodating"/>
    <s v="1. Neutral"/>
    <s v="It did not develop any specific innovation"/>
    <s v="Moderate advocacy"/>
    <s v="It linked and worked with strategic alliances and partners to take tested and effective solutions to scale"/>
  </r>
  <r>
    <x v="21"/>
    <x v="4"/>
    <m/>
    <s v="INICIATIVA IGS LAC - Programa regional de Trabajo Digno"/>
    <s v="Ecuador"/>
    <m/>
    <s v="CARE USA"/>
    <s v="Other"/>
    <s v="Other"/>
    <m/>
    <m/>
    <m/>
    <m/>
    <m/>
    <m/>
    <m/>
    <m/>
    <m/>
    <m/>
    <m/>
    <m/>
    <m/>
    <m/>
    <m/>
    <m/>
    <m/>
    <m/>
    <m/>
    <m/>
    <m/>
    <m/>
    <m/>
    <m/>
    <m/>
    <m/>
    <m/>
    <m/>
    <m/>
    <m/>
    <m/>
    <m/>
    <m/>
    <m/>
    <m/>
    <m/>
    <m/>
    <m/>
    <m/>
    <m/>
    <m/>
    <m/>
    <m/>
    <m/>
    <m/>
    <m/>
    <d v="2016-07-01T00:00:00"/>
    <d v="2030-12-01T00:00:00"/>
    <m/>
    <s v="Development Other"/>
    <n v="348803"/>
    <s v="Claudia Sanchez"/>
    <s v="Regional Coordinator Program Quality &amp; Impact"/>
    <s v="Claudia.Sanchez@care.org"/>
    <s v="Viviana Osorio"/>
    <s v="Regional Advocacy Advisor LAC"/>
    <s v="Viviana.Osorio@care.org"/>
    <s v="NO"/>
    <s v="YES"/>
    <s v="NO"/>
    <s v="Al 2030, mujeres trabajadoras del hogar de 6 paises en LAC  (Colombia, Mexico, Ecuador, Guatemala, Honduras y Brasil),  conocen, ejercen y demandan sus derechos humanos y laborales, impulsando un sistema de protección social que garantiza una vida digna y libre de violencia. La iniciativa gestiona un conjunto de estrategias enfocados en la creacion de alianzas y asocios nacionales y regionales para la incidencia politica para la ratificacion del convenio 189 y su implementacion en politica publica en cada pais, la comunicacion para el cambio de comportamiento de las y los empleadores, el aprendizaje y la gestion de conocimiento entre paises, el fortaleciento de las organizaciones de trabajadoras del hogar, que permitan lograr que 10 millones de trabajadoras del hogar al 2030 logren acceso a salario justo, acceso a seguridad social y acceso a un contrato digno de trabajo. Las condiciones en cada pais son distintas para alcanzar estas metas, por los cual los avances y estrategia por pais difieren segun los contextos y realidades especificos."/>
    <s v="Regional"/>
    <s v="Ecuador, Colombia, Guatemala, Honduras, Mexico y Brasil"/>
    <s v="Trabajadoras del Hogar remuneradas"/>
    <m/>
    <m/>
    <n v="10000"/>
    <m/>
    <m/>
    <n v="10000000"/>
    <s v="Participantes directos&gt; Numero de Trabajadoras del hogar afiliadas a las organizaciones, Numero de tomadores de decision de Gobiernos en 6 paises (Congresistas, Ministros, otros politicos), numero de representantes de organizaciones socias afines a la problematica de los derechos de las trabajadoras del hogar, Numero de influenciadores / lideres de opinion sensibilizados, numero de personas que participan en actividades desarrolladas por con socios y aliados en favor de los derechos de las trabajadoras. Participantes indirectos&gt; Numero de personas (empleadores) sensibilizadas por campañas comunicacionales en favor de los derechos de las trabajadoras, Numero de trabajadoras del hogar sensibilizadas en sus derechos por alcance indirecto de otras trabajadoras del hogar, numero de trabajadoras del hogar que logran tener al menos 1 de 3 indicadores considerados: acceso a contrato de trabajo, acceso a seguridad social, acceso a un salario justo en los 6 paises en los que se desarrolla la iniciativa"/>
    <m/>
    <m/>
    <m/>
    <m/>
    <m/>
    <m/>
    <m/>
    <m/>
    <m/>
    <m/>
    <m/>
    <m/>
    <m/>
    <m/>
    <m/>
    <m/>
    <m/>
    <m/>
    <m/>
    <m/>
    <m/>
    <m/>
    <m/>
    <m/>
    <m/>
    <m/>
    <m/>
    <m/>
    <m/>
    <m/>
    <m/>
    <m/>
    <m/>
    <m/>
    <m/>
    <m/>
    <m/>
    <m/>
    <m/>
    <m/>
    <m/>
    <m/>
    <m/>
    <m/>
    <m/>
    <m/>
    <m/>
    <m/>
    <m/>
    <m/>
    <m/>
    <m/>
    <m/>
    <m/>
    <m/>
    <m/>
    <m/>
    <m/>
    <m/>
    <m/>
    <n v="2568"/>
    <n v="1175"/>
    <n v="3743"/>
    <n v="599039"/>
    <n v="392000"/>
    <n v="991039"/>
    <m/>
    <m/>
    <m/>
    <m/>
    <m/>
    <m/>
    <m/>
    <m/>
    <m/>
    <m/>
    <m/>
    <m/>
    <m/>
    <m/>
    <m/>
    <m/>
    <m/>
    <m/>
    <m/>
    <m/>
    <m/>
    <m/>
    <m/>
    <m/>
    <m/>
    <m/>
    <m/>
    <m/>
    <s v="YES"/>
    <n v="1918"/>
    <m/>
    <m/>
    <s v="YES"/>
    <n v="1918"/>
    <m/>
    <m/>
    <m/>
    <m/>
    <m/>
    <m/>
    <m/>
    <m/>
    <m/>
    <m/>
    <m/>
    <m/>
    <m/>
    <m/>
    <s v="YES"/>
    <n v="1083"/>
    <m/>
    <m/>
    <m/>
    <m/>
    <m/>
    <m/>
    <m/>
    <m/>
    <m/>
    <m/>
    <s v="YES"/>
    <n v="1918"/>
    <m/>
    <m/>
    <m/>
    <m/>
    <m/>
    <m/>
    <m/>
    <s v="NO"/>
    <m/>
    <m/>
    <m/>
    <s v="YES"/>
    <s v="June"/>
    <n v="2018"/>
    <s v="1) Desarrollar la linea de base por pais. 2) Desarrollar Encuestas de percepcion y cambio de actitudes y practicas (CAP) en diferentes actores involucrados en la inicitiva, para evaluar nivel de sensibilizacion e involucramiento respecto a la problematica de las trabajadoras del hogar"/>
    <x v="1"/>
    <s v="NO"/>
    <s v="NO"/>
    <s v="YES"/>
    <s v="YES"/>
    <s v="YES"/>
    <s v="YES"/>
    <s v="NO"/>
    <s v="YES"/>
    <s v="agenda politica comun entre org regionales de trabajadoras del hogar asi como entre las org en Colombia. Acompañamiento al fortalecimiento de las organizaciones de trabajadoras del hogar para el desarrollo de agendas de incidencia."/>
    <x v="1"/>
    <s v="El apoyo a las organizaciones de trabajadoras domésticas de México y Colombia para la expansión de sus afiliadas y la formación de los liderazgos femeninos en las organizaciones, así como la impementación de acciones de comunicación pública para sensibilizar a la sociedad civil sobre la problemetica y la falta de derechos de las trabajadoras del hogar. Se espera realizar una evaluacion en af18 para medir el cambio de actitudes y practicas sobre eun conjunto de actores involucrados en la iniciativa."/>
    <x v="1"/>
    <s v="En el primer año se han conformado las alianzas estratégicas bajo prioridades y enfoques comunes de actuación, vinculando a las organizaciones nacionales de trabajadoras del hogar con las organizaciones regionales en la propuesta de agendas y planes de accion comunes. Recordar que esta iniciativa se contruye sobre una primera fase que abarco acciones entre el 2010 al 2015 en 3 paises: Bolivia, Peru y Ecuador. Las lecciones aprendidas de esta experiencia, son las bases del diseño de la estrategia 2017 - 2030 en los 6 paises previstos para esta fase: Ecuador, Honduras, Guatemala, Colombia, Mexico y Brasil. Se ha trabajado en el acercamiento de las dos redes latinoamericanas de trabajo domestico *FITH y CONLACTRAO, asi como con la OIT. El acercamiento con Brasil se ha dado en los ultimos meses, se esta buscando movilizar nuevos recursos para poder afianzar un proyecto mayor con las organizaciones en Brasil (con apoyo de CARE Francia)"/>
    <x v="1"/>
    <x v="1"/>
    <s v="YES"/>
    <x v="0"/>
    <x v="0"/>
    <x v="1"/>
    <x v="4"/>
    <n v="3"/>
    <x v="2"/>
    <x v="1"/>
    <x v="1"/>
    <x v="1"/>
    <x v="1"/>
    <x v="2"/>
    <n v="4"/>
    <x v="1"/>
    <x v="2"/>
    <x v="1"/>
    <x v="2"/>
    <x v="3"/>
    <n v="1"/>
    <x v="2"/>
    <x v="2"/>
    <m/>
    <s v="Labor union(s)"/>
    <s v="Local NGO(s)/CSO(s)"/>
    <s v="Multilateral organization(s)"/>
    <x v="0"/>
    <s v="El apoyo a las organizaciones de trabajadoras domésticas de Honduras, Guatemala, Ecuador, México y Colombia para la expansión de sus afiliadas y la formación de los liderazgos femeninos en las organizaciones, así como la impementación de acciones de comunicación pública para sensibilizar a la sociedad a cerca del valor del trabajo doméstico"/>
    <s v="La inicitiva tuvo mucho interes en consolidar las acciones de fortalecimiento del nivel regional de las organizaciones de trabajadoras del hogar, lo mismo establacer las alianzas con paises de no presencia de CARE como los son Mexico y Colombia, donde se han desarrollado los asocios con las organizaciones y sindicatos de trabajadoras en cada pais, asi como con organizaciones afines de fortalecimiento organizacional, ademas de continuar con los asocios con las organizaciones en Guatemala, Ecuador y Honduras. Un primer a;o de sentar las bases del asocio en 6 paises, lo mismo consolidar los asocios con OIT en el nivel regional fueron las prioridades del equipo en este primer año. Otro tema fue el apoyo a las campañas de sensibilizacion y eventos publicos (foros abiertos) dirigidas a la sociedad civil sobre la situacion de las trabajadoras del hogar, en especial en Mexico, Guatemala, Colombia y Honduras. Un tema importante ha sido diseñar un conjunto de indicadores de resultado que permitan consolidar los avances de la incidencia politica en cada pais. Si bien en el año 1 estos indicadores estuvieron mas concentrados en la generacion de redes y asocios, en el año 2 se proponen nuevas metas como son definir cambios en las politicas publicas existentes, formar plataformas de incidencia por pais, incrementar el numero de afiliadas a las organizaciones, desarrollar mayores investigaciones sobre la situacion de las trabajadoras en cada pais que sirvan como evidencia para la incidencia politica, involucrar a mayor numero de congresistas y actores de gobierno al movimiento por los derechos de las trabajadoras, entre otros.....ello con el fin de trabajar los 2 proximos años en los cambios necesarios en las leyes y la normativa existente que puedan generar las condiciones para el cumplimiento de los 3 indicadores propuestos: incremento de salario basico, incremento de acceso a seguridad social, incremento en numerode contratos. se esera que al 2020 al menos 5 millones de trabajadoras sean alcanzadas por estos beneficios en los 6 paises en los que trabaja la iniciativa."/>
    <s v="El poder catalizador de las alianzas es un modelo de actuación vital para el logro de los objetivos del programa, en especial considerando la estrategia multidimensional expresada en nuestra teoría de cambio para transformar las condiciones laborales y la vida de las trabajadoras del hogar. Además de hace posible la mayor movilización de recursos, la experiencia y el conocimiento de los diversos actores es el activo mas valioso que las alianzas estratégicas permiten capitalizar para el desarrollo de la IGS.                                                                                                                                                                                                                                             Adicionalmente, la unidad y la articulación de las organizaciones de las trabajadoras domésticas es el enfoque más exitoso para la representación política, ya que incrementa la visibilidad política, el poder de negociación de las mismas y propicia agendas políticas menos diversas. La apuesta del Programa es que las organizaciones existentes amplíen sus bases, desarrollen sus liderazgos, sean sostenibles y avancen en redes y alianzas para su mayor capacidad de incidencia."/>
    <s v="El desarrollo de un nuevo modelo de presencia de CARE para expandir la acción a países en los cuales no se cuenta con oficina, ha sido exitoso en el primer año del proyecto. De esta manera, en México y Colombia, con la actuación con socios estratégicos y los sindicatos más fuertes de trabajadoras domésticas, los objetivos del programa avanzan de manera exitosa e incluso generando experiencias exitosas para replicar en otros países de la región."/>
    <s v="El social business aplicado a las organizaciones de trabajadoras domésticas  hace possible la formalización laboral, la profesionalización y cualificación de las trabajadoras. Asimismo, tiene importantes efectos en la organización sindical, como su sostenibilidad financiera, la ampliación de sus bases, el ejercicio de la negociación colectiva, entre otros. Tras su sistematización, será un modelo susceptible de ser replicado"/>
    <s v="Es fundamental que los procesos de diseño y la implementación de las estrategias de incidencia y de comunicación pública se articulen a los procesos de este tipo que ya adelantan las organizaciones en sus respetivos países, reconociendo su conocimiento, experiencia y comprensión del contexto. Desde este reconocimiento, nuestras estrategias deben recoger las prioridades comunes, potenciar las capacidades de los actores y proporcionar una visión del panorama político regional y global para una articulación colectiva en propósitos comunes.  De otro lado, el proceso de conformación de alianzas y asocios hace posible ver con mayor claridad las necesidades de la región a partir del conocimiento de lo que los múltiples actores han adelantado para promover los derechos d elas trabjaadoras domésticas."/>
    <s v="La conformación de plataformas a nivel nacional y regional determinarán formas de actuación y roles distintos para CARE, dependiendo del modelo de presencia y la relación con los socios y aliados en cada país. En el caso de los países donde tenemos oficina, es el equipo nacional quien tiene la iniciativa y el equipo regional apoya sus decisiones; en el caso de los países donde tenemos asocios fuertes, apoyaremos la constitución de las plataformas brindando soporte técnico, político y financiero. En el nivel regional se privilegiará nuestro rol articulador y dinamizador de procesos, pues esta es una gestión que no está siendo realizada por otros actores y es el valor agregado del trabajo que CARE puede realizar y posicionarse desde este espacio en la temática y en el contexto latinoamericano."/>
    <s v="Se requiere generar espacios de diálogo, intercambio y trabajo conjunto entre FITH y CONLACTRAHO, tomando en cuenta los ritmos y situación organizativa de cada una y aportando técnica y políticamente para su consolidación como expresión regional de las trabajadoras del hogar. Esto considerando además la improtancia de traducir en estrategias y actividades conjuntas el acuerdo de articulación para la acción en América Latina."/>
    <s v="La gestión del conocimiento y la experiencia adquirida (ver sistematización de la experiencia del Programa Regional de Trabajo Digno 2009-2017), ha permitido avanzar más rápido en la relación con las organizaciones y consolidación de acuerdos de confianza y trabajo conjunto._x000a_Los procesos de formación que impulsamos al considerar a los seres humanos como un todo integral, potencia las capacidades individuales y colectivas y aporta a la conformación de liderazgos de nuevo tipo, que enfrentan desde una práctica distinta, a las prácticas de los sindicatos tradicionales jerárquicos, patriarcales y que invisibilizan el trabajo doméstico._x000a_La necesidad de contar con indicadores de resultado anual para dar cuenta de los logros y resultados de incidencia de manera cuantitativa y cualitativa. Se ha trabajado una matriz de indicadores en este sentido que han sido completados al final del primer año por los 5 paises en los que se ha implementado la iniciative este año. Se han propuesto un conjunto nuevo de indicadores de resultado de incidencia para el año 2 como parte del sistema de MyE escalonado (o en fases) diseñado para la iniciativa. Se propone monitorear estos avances de manera trimestral en el AF18."/>
    <s v="i) Marco lógico; ii) Informe anual regional y por país. iii) sistematización de la experiencia del Programa Regional de Trabajo Digno 2009-2017) iv) Video Trabajadoras del Hogar:  https://www.dropbox.com/s/b9loiehxnohuknc/CARE_WORKSHOP_1080P_h264_FINAL_Spanish.mov?dl=0"/>
    <n v="3743"/>
    <n v="991039"/>
    <n v="264.77130643868554"/>
    <n v="0.68608068394336097"/>
    <n v="0.60445552596820107"/>
    <n v="2568"/>
    <n v="599039"/>
    <s v=""/>
    <n v="0"/>
    <n v="0"/>
    <s v=""/>
    <s v=""/>
    <n v="0"/>
    <n v="0"/>
    <s v=""/>
    <s v=""/>
    <n v="0"/>
    <n v="0"/>
    <s v=""/>
    <n v="1"/>
    <n v="1918"/>
    <n v="0"/>
    <n v="0"/>
    <n v="1"/>
    <n v="1918"/>
    <n v="0"/>
    <n v="0"/>
    <s v="3. Responsive"/>
    <s v="4. Transformational"/>
    <s v="1. Neutral"/>
    <s v="It tested new ways for fighting poverty, but did not measure results of innovation"/>
    <s v="Moderate advocacy"/>
    <s v="It linked and worked with strategic alliances and partners to take tested and effective solutions to scale"/>
  </r>
  <r>
    <x v="21"/>
    <x v="4"/>
    <m/>
    <s v="Lendwithcare"/>
    <s v="Ecuador"/>
    <s v="UNRTGB0076"/>
    <s v="CARE UK"/>
    <s v="Individual supporter"/>
    <s v="Other"/>
    <m/>
    <s v="UNRTGB0076"/>
    <s v="CARE UK"/>
    <s v="Foundation"/>
    <s v="Other"/>
    <s v="The Jimmy Choo Foundation"/>
    <m/>
    <m/>
    <m/>
    <m/>
    <m/>
    <m/>
    <m/>
    <m/>
    <m/>
    <m/>
    <m/>
    <m/>
    <m/>
    <m/>
    <m/>
    <m/>
    <m/>
    <m/>
    <m/>
    <m/>
    <m/>
    <m/>
    <m/>
    <m/>
    <m/>
    <m/>
    <m/>
    <m/>
    <m/>
    <m/>
    <m/>
    <m/>
    <m/>
    <m/>
    <m/>
    <m/>
    <m/>
    <m/>
    <m/>
    <m/>
    <d v="2016-07-01T00:00:00"/>
    <d v="2017-06-30T00:00:00"/>
    <m/>
    <s v="Development Access to and Control over Economic Resources"/>
    <n v="797700"/>
    <s v="Tracey Horner"/>
    <s v="Head of Lendwithcare"/>
    <s v="horner@careinternational.org"/>
    <m/>
    <m/>
    <m/>
    <s v="NO"/>
    <s v="YES"/>
    <s v="NO"/>
    <s v="Provide loan capital to poor and low-income individuals, mainly women, who want to start or expand a small business."/>
    <s v="Sub-National"/>
    <s v="Loja, Zamora-Chinchipe, El Oro, Imbabura and Carchi."/>
    <s v="Women and men with existing income-generating activities who are excluded from the formal financial sector. The main impact groups are individuals engaged insmall-scale farming, animal husbandry and petty trading."/>
    <n v="250"/>
    <n v="215"/>
    <n v="465"/>
    <n v="886"/>
    <n v="922"/>
    <n v="1808"/>
    <s v="Direct participants are those who received a loan to invest in their business from Lendwithcare lenders in FY17._x000a__x000a_Indirect participants have been calculated by adding up all of the dependents of the entrepreneurs who received a loan in FY17 and the people who have been employed in their businesses. We are not able to disaggregate the data for indirect participants by female and male, so I have used the ratio of 49:51 that is in the CIA World Factbook for Ecuador https://www.cia.gov/library/publications/the-world-factbook/geos/ec.html _x000a__x000a_This is an on-going project so I have given the numbers of participants just in this FY as there is no end date to the project."/>
    <m/>
    <m/>
    <m/>
    <m/>
    <m/>
    <m/>
    <m/>
    <m/>
    <m/>
    <m/>
    <m/>
    <m/>
    <m/>
    <m/>
    <m/>
    <m/>
    <m/>
    <m/>
    <m/>
    <m/>
    <m/>
    <m/>
    <m/>
    <m/>
    <m/>
    <m/>
    <m/>
    <m/>
    <m/>
    <m/>
    <m/>
    <m/>
    <m/>
    <m/>
    <m/>
    <m/>
    <m/>
    <m/>
    <m/>
    <m/>
    <m/>
    <m/>
    <m/>
    <m/>
    <m/>
    <m/>
    <m/>
    <m/>
    <m/>
    <m/>
    <m/>
    <m/>
    <m/>
    <m/>
    <m/>
    <m/>
    <m/>
    <m/>
    <m/>
    <m/>
    <n v="250"/>
    <n v="215"/>
    <n v="465"/>
    <n v="886"/>
    <n v="992"/>
    <n v="1878"/>
    <m/>
    <m/>
    <m/>
    <m/>
    <m/>
    <m/>
    <m/>
    <m/>
    <m/>
    <m/>
    <m/>
    <m/>
    <m/>
    <m/>
    <m/>
    <m/>
    <m/>
    <m/>
    <m/>
    <m/>
    <m/>
    <m/>
    <m/>
    <m/>
    <m/>
    <m/>
    <m/>
    <m/>
    <m/>
    <m/>
    <m/>
    <m/>
    <m/>
    <m/>
    <m/>
    <m/>
    <m/>
    <m/>
    <m/>
    <m/>
    <m/>
    <m/>
    <m/>
    <m/>
    <m/>
    <m/>
    <m/>
    <m/>
    <m/>
    <m/>
    <m/>
    <m/>
    <m/>
    <m/>
    <m/>
    <m/>
    <m/>
    <m/>
    <m/>
    <m/>
    <s v="YES"/>
    <n v="465"/>
    <n v="0.54"/>
    <n v="1808"/>
    <m/>
    <m/>
    <m/>
    <m/>
    <m/>
    <s v="NO"/>
    <m/>
    <m/>
    <m/>
    <s v="NO"/>
    <m/>
    <m/>
    <m/>
    <x v="0"/>
    <m/>
    <m/>
    <m/>
    <m/>
    <m/>
    <m/>
    <m/>
    <m/>
    <m/>
    <x v="0"/>
    <m/>
    <x v="0"/>
    <m/>
    <x v="0"/>
    <x v="3"/>
    <m/>
    <x v="2"/>
    <x v="2"/>
    <x v="2"/>
    <x v="5"/>
    <n v="0"/>
    <x v="3"/>
    <x v="0"/>
    <x v="0"/>
    <x v="0"/>
    <x v="0"/>
    <x v="3"/>
    <n v="0"/>
    <x v="2"/>
    <x v="0"/>
    <x v="0"/>
    <x v="0"/>
    <x v="2"/>
    <n v="0"/>
    <x v="2"/>
    <x v="2"/>
    <n v="2"/>
    <s v="Private sector"/>
    <m/>
    <m/>
    <x v="1"/>
    <m/>
    <s v="There were no important changes or adjustments made."/>
    <s v="Microfinance was used as the strategy to meet our Financial Inclusion and WEE objectives."/>
    <s v="Peer-to-peer lending was used as the strategy to raise loan capital for the project's participants."/>
    <m/>
    <s v="Our partners in Ecuador are subject to a 5% tax on all transfers out of the country. This adds significant cost to them as we often require repayments on the loan capital we have raised for them."/>
    <s v="Due to the interest free capital one of our partner's receives, they have reduced their interest rates for lendwithcare funded entrepreneurs."/>
    <s v="The interest free capital has also allowed one of our partners in Ecuador to focus on promoting financial inclusion in the poorest areas and among the most vulnerable groups and extend the non-financial services it offers, such a campaigning against domestic violence and the development of affordable health insurance."/>
    <s v="This is an on-going project so we do not have a budget for the lifetime of the project. The number we have reported is how much loan capital was raised through the Lendwithcare platform for Ecuador in FY17._x000a__x000a_Lendwithcare does not use gender, resilience or governance scorecards as part of its programming so we have had to answer no to all the questions related to these. However, an outcome of 'harmful' (particularly with regards to women's empowerment and gender equality) seems in accurate since this initiatve focuses heavily on Women's Economic Empowerment, with 54% beneficiaries that are female."/>
    <m/>
    <n v="465"/>
    <n v="1878"/>
    <n v="4.0387096774193552"/>
    <n v="0.5376344086021505"/>
    <n v="0.47177848775292863"/>
    <n v="250"/>
    <n v="886"/>
    <s v=""/>
    <n v="0"/>
    <n v="0"/>
    <s v=""/>
    <s v=""/>
    <n v="0"/>
    <n v="0"/>
    <s v=""/>
    <s v=""/>
    <n v="0"/>
    <n v="0"/>
    <s v=""/>
    <s v=""/>
    <n v="0"/>
    <n v="0"/>
    <s v=""/>
    <n v="1"/>
    <n v="465"/>
    <n v="1808"/>
    <n v="3.8881720430107527"/>
    <s v="0. Harmful"/>
    <s v="0. Unaware"/>
    <s v="0. Harmful"/>
    <s v="It did not develop any specific innovation"/>
    <s v="Little or no advocacy"/>
    <s v="It did not take tested solutions to scale"/>
  </r>
  <r>
    <x v="21"/>
    <x v="4"/>
    <m/>
    <s v="Mujeres con Voz"/>
    <s v="Ecuador"/>
    <s v="CFRAEC0015"/>
    <s v="CARE France"/>
    <s v="Multilateral agency"/>
    <s v="EU - European Union (other than ECHO)"/>
    <s v="EU"/>
    <m/>
    <m/>
    <m/>
    <m/>
    <m/>
    <m/>
    <m/>
    <m/>
    <m/>
    <m/>
    <m/>
    <m/>
    <m/>
    <m/>
    <m/>
    <m/>
    <m/>
    <m/>
    <m/>
    <m/>
    <m/>
    <m/>
    <m/>
    <m/>
    <m/>
    <m/>
    <m/>
    <m/>
    <m/>
    <m/>
    <m/>
    <m/>
    <m/>
    <m/>
    <m/>
    <m/>
    <m/>
    <m/>
    <m/>
    <m/>
    <m/>
    <m/>
    <m/>
    <m/>
    <m/>
    <d v="2017-02-01T00:00:00"/>
    <d v="2019-01-31T00:00:00"/>
    <m/>
    <s v="Development A Life Free From Violence (GBV)"/>
    <n v="370000"/>
    <s v="Nubia Zambrano"/>
    <s v="Coordinadora de Programa"/>
    <s v="nubia.zambrano@care.org"/>
    <s v="Catalina Vargas"/>
    <s v="Gerente de Programas y movilización de recursos"/>
    <s v="catalina.vargas@care.org"/>
    <s v="NO"/>
    <s v="YES"/>
    <s v="NO"/>
    <s v="Contribuir al ejercicio de derechos de las mujeres en su diversidad , a la igualdad entre los géneros y a la prevención de las violencias desde su empoderamiento y resiliencia."/>
    <s v="National"/>
    <s v="Nacional, provincias de Imbabura, Pichincha, Esmeraldas, Sucumbios y Chimborazo"/>
    <s v="250 mujeres y jóvenes líderes, lideresas defensores de derechos humanos; 28.000 mujeres y jóvenes pertenecientes a las nacionalidades y pueblos ancestrales:  Awa, Secoya, Cofan, Siona, Shuar, Puruha, Chachi, Karamki, Natabuela, Otavalo,  Kitukara, pueblo afro, mestizo y en movilidad humana."/>
    <n v="17050"/>
    <n v="8400"/>
    <n v="28250"/>
    <n v="16800"/>
    <n v="39200"/>
    <n v="56000"/>
    <s v="Directos: De las 5 provincias, se escogio 50 lideresas y lideres defensores de derechos humanos y se hizo una estimación de mujeres y jóvenes (28000) de las universidades pertenecientes a las nacionalidades y pueblos ancestrales, pueblo afro, mestizo y en movilidad humana. _x000a_Indirectos: Total de las personas a las cuales se llega a traves de procesos de comunicacion (TV, radio, prensa, etc) provenientes de las diversidades culturales"/>
    <m/>
    <m/>
    <m/>
    <m/>
    <m/>
    <m/>
    <m/>
    <m/>
    <m/>
    <m/>
    <m/>
    <m/>
    <m/>
    <m/>
    <m/>
    <m/>
    <m/>
    <m/>
    <m/>
    <m/>
    <m/>
    <m/>
    <m/>
    <m/>
    <m/>
    <m/>
    <m/>
    <m/>
    <m/>
    <m/>
    <m/>
    <m/>
    <m/>
    <m/>
    <m/>
    <m/>
    <m/>
    <m/>
    <m/>
    <m/>
    <m/>
    <m/>
    <m/>
    <m/>
    <m/>
    <m/>
    <m/>
    <m/>
    <m/>
    <m/>
    <m/>
    <m/>
    <m/>
    <m/>
    <m/>
    <m/>
    <m/>
    <m/>
    <m/>
    <m/>
    <n v="308"/>
    <n v="72"/>
    <n v="380"/>
    <n v="76055"/>
    <n v="32595"/>
    <n v="108650"/>
    <m/>
    <m/>
    <m/>
    <m/>
    <m/>
    <m/>
    <m/>
    <m/>
    <m/>
    <m/>
    <m/>
    <m/>
    <m/>
    <m/>
    <m/>
    <m/>
    <m/>
    <m/>
    <m/>
    <m/>
    <m/>
    <m/>
    <m/>
    <m/>
    <m/>
    <m/>
    <m/>
    <m/>
    <s v="YES"/>
    <n v="380"/>
    <n v="0.66"/>
    <n v="108651"/>
    <m/>
    <m/>
    <m/>
    <m/>
    <m/>
    <m/>
    <m/>
    <m/>
    <m/>
    <m/>
    <m/>
    <m/>
    <m/>
    <m/>
    <m/>
    <m/>
    <m/>
    <m/>
    <m/>
    <m/>
    <m/>
    <m/>
    <m/>
    <m/>
    <m/>
    <m/>
    <m/>
    <m/>
    <m/>
    <m/>
    <m/>
    <m/>
    <m/>
    <m/>
    <m/>
    <m/>
    <m/>
    <s v="NO"/>
    <m/>
    <m/>
    <m/>
    <s v="NO"/>
    <m/>
    <m/>
    <m/>
    <x v="2"/>
    <s v="YES"/>
    <m/>
    <s v="YES"/>
    <s v="YES"/>
    <m/>
    <m/>
    <m/>
    <m/>
    <m/>
    <x v="1"/>
    <s v="1. Contextualización de rutas para respuesta a la violencia de género._x000a_2. Conformación de Observatorios para politicas publicas referidas a violencia de género."/>
    <x v="1"/>
    <s v="1. Construcción participativa de normativas locales referidas a violencia de género."/>
    <x v="2"/>
    <x v="1"/>
    <s v="YES"/>
    <x v="0"/>
    <x v="0"/>
    <x v="1"/>
    <x v="4"/>
    <n v="3"/>
    <x v="1"/>
    <x v="1"/>
    <x v="1"/>
    <x v="1"/>
    <x v="2"/>
    <x v="1"/>
    <n v="3"/>
    <x v="1"/>
    <x v="1"/>
    <x v="1"/>
    <x v="1"/>
    <x v="1"/>
    <n v="3"/>
    <x v="2"/>
    <x v="0"/>
    <n v="1"/>
    <s v="Local NGO(s)/CSO(s)"/>
    <m/>
    <m/>
    <x v="0"/>
    <s v="1. Fortalecer capacidades para construcción de normativas para prevención de la violencia de género._x000a_2. Aportes a nivel nacional para la prevención de la violencia de género."/>
    <m/>
    <s v="E1. Construccion de Política Publica con la participacion de Organizaciones de la sociedad civil, a nivel local y nacional"/>
    <s v="E2: Formación: Desarrollo de capacidades y prevención de violencias de género"/>
    <s v="E3:  Observatorios: para el control social y rendición de cuentas: Jóvenes hombres y mujeres vinculados con OSC desarrollan e implementan un sistema de veeduría y control social"/>
    <s v="1. Es fundamental que la actoria y base social de las organizaciones de mujeres sean el elemento clave en la construcción de normativas."/>
    <s v="2. Los procesos de formación on line da alternativas para formación y actualización de lideresas"/>
    <s v="3. Los medios virtuales son importantes en la sensibilización de la violencia de género"/>
    <m/>
    <s v="Propuesta Inicial; Marco logico"/>
    <n v="380"/>
    <n v="108650"/>
    <n v="285.92105263157896"/>
    <n v="0.81052631578947365"/>
    <n v="0.7"/>
    <n v="308"/>
    <n v="76055"/>
    <s v=""/>
    <n v="0"/>
    <n v="0"/>
    <s v=""/>
    <s v=""/>
    <n v="0"/>
    <n v="0"/>
    <s v=""/>
    <s v=""/>
    <n v="0"/>
    <n v="0"/>
    <s v=""/>
    <n v="1"/>
    <n v="380"/>
    <n v="108651"/>
    <n v="285.92368421052629"/>
    <s v=""/>
    <n v="0"/>
    <n v="0"/>
    <s v=""/>
    <s v="3. Responsive"/>
    <s v="2. Accommodating"/>
    <s v="2. Sensitive"/>
    <s v="It tested new ways for fighting poverty, but did not measure results of innovation"/>
    <s v="Intensive advocacy"/>
    <s v="It linked and worked with strategic alliances and partners to take tested and effective solutions to scale"/>
  </r>
  <r>
    <x v="21"/>
    <x v="4"/>
    <m/>
    <s v="POOL Alemania (REACTIVACIÓN ECONOMICA DESDE LA ACTORIA DE LAS MUJERES PRODUCTORAS-EMPRENDEDORAS DE MANABÍ)"/>
    <s v="Ecuador"/>
    <s v="CDEUEC0005"/>
    <s v="CARE Deutschland-Luxemburg"/>
    <s v="Government"/>
    <s v="Government - Luxemburg"/>
    <s v="Ministry of Foreign Affairs of Luxemburg"/>
    <m/>
    <m/>
    <m/>
    <m/>
    <m/>
    <m/>
    <m/>
    <m/>
    <m/>
    <m/>
    <m/>
    <m/>
    <m/>
    <m/>
    <m/>
    <m/>
    <m/>
    <m/>
    <m/>
    <m/>
    <m/>
    <m/>
    <m/>
    <m/>
    <m/>
    <m/>
    <m/>
    <m/>
    <m/>
    <m/>
    <m/>
    <m/>
    <m/>
    <m/>
    <m/>
    <m/>
    <m/>
    <m/>
    <m/>
    <m/>
    <m/>
    <m/>
    <m/>
    <m/>
    <m/>
    <d v="2016-08-01T00:00:00"/>
    <d v="2017-01-01T00:00:00"/>
    <d v="2017-06-30T00:00:00"/>
    <s v="Humanitarian Other"/>
    <n v="55319"/>
    <s v="Catalina Vargas"/>
    <s v="Gerente de Calidad Programática y Movilización de Recursos"/>
    <s v="catalina.vargas@care.org"/>
    <s v="Andrés Córdova"/>
    <s v="Coordinador"/>
    <s v="andres.cordova@care.org"/>
    <s v="YES"/>
    <s v="NO"/>
    <s v="NO"/>
    <s v="Reactivar la economia de los territorios afectados por el terremoto, fortaleciendo el trabajo de mujeres productoras / emprendedoras en procesos ligados a la cadena de valor de turismo."/>
    <s v="Sub-National"/>
    <s v="Provincia de Manabí, canton San Vicente."/>
    <s v="Población afectada por el terremoto del 16 de Abril ubicada en los canton San Vicente, Provincia de Manabí."/>
    <n v="190"/>
    <n v="178"/>
    <n v="368"/>
    <n v="5983"/>
    <n v="5922"/>
    <n v="11905"/>
    <s v="Directos: total de hombres y mujeres que conforman las 3 asociaciones de productoras y/o emprendedoras del cantón San Vicente._x000a_Indirectos:Las 3 asociaciones en 10 comunidades, en las cuales se desarrolla la actividad economica de las asociaciones participantes. Toda la comunidad es tomada en cuenta ya que recibe algun beneficio de la actividad economica de las asociaciones (compra de insumos, ingresos generados gastados dentro de la comunidad, etc.)"/>
    <m/>
    <n v="190"/>
    <n v="178"/>
    <n v="368"/>
    <n v="5983"/>
    <n v="5922"/>
    <n v="11905"/>
    <s v="NO"/>
    <m/>
    <m/>
    <m/>
    <s v="NO"/>
    <m/>
    <m/>
    <m/>
    <s v="NO"/>
    <m/>
    <m/>
    <m/>
    <s v="NO"/>
    <m/>
    <m/>
    <m/>
    <s v="NO"/>
    <m/>
    <m/>
    <m/>
    <s v="NO"/>
    <m/>
    <m/>
    <m/>
    <s v="NO"/>
    <m/>
    <m/>
    <m/>
    <s v="Yes"/>
    <n v="368"/>
    <n v="0.51629999999999998"/>
    <n v="11905"/>
    <s v="NO"/>
    <m/>
    <m/>
    <m/>
    <s v="NO"/>
    <m/>
    <m/>
    <m/>
    <s v="NO"/>
    <m/>
    <m/>
    <m/>
    <s v="NO"/>
    <m/>
    <m/>
    <m/>
    <m/>
    <m/>
    <m/>
    <m/>
    <m/>
    <m/>
    <m/>
    <m/>
    <m/>
    <m/>
    <m/>
    <s v="NO"/>
    <m/>
    <m/>
    <m/>
    <s v="NO"/>
    <m/>
    <m/>
    <m/>
    <s v="NO"/>
    <m/>
    <m/>
    <m/>
    <s v="NO"/>
    <m/>
    <m/>
    <m/>
    <s v="NO"/>
    <m/>
    <m/>
    <m/>
    <s v="NO"/>
    <m/>
    <m/>
    <m/>
    <s v="NO"/>
    <m/>
    <m/>
    <m/>
    <s v="NO"/>
    <m/>
    <m/>
    <m/>
    <s v="NO"/>
    <m/>
    <m/>
    <m/>
    <s v="NO"/>
    <m/>
    <m/>
    <m/>
    <s v="NO"/>
    <m/>
    <m/>
    <m/>
    <s v="NO"/>
    <m/>
    <m/>
    <m/>
    <s v="NO"/>
    <m/>
    <m/>
    <m/>
    <s v="NO"/>
    <m/>
    <m/>
    <m/>
    <s v="NO"/>
    <m/>
    <m/>
    <m/>
    <s v="NO"/>
    <m/>
    <m/>
    <m/>
    <m/>
    <m/>
    <m/>
    <m/>
    <m/>
    <s v="NO"/>
    <m/>
    <m/>
    <s v="NO"/>
    <s v="NO"/>
    <m/>
    <m/>
    <m/>
    <x v="1"/>
    <m/>
    <m/>
    <s v="YES"/>
    <s v="YES"/>
    <m/>
    <m/>
    <s v="YES"/>
    <m/>
    <m/>
    <x v="0"/>
    <m/>
    <x v="1"/>
    <s v="Se establecio un modelo de gestión de las asociaciones de productoras con el Gobierno Autonomo descentralizado de San Vicente._x000a_Fortalecio las capacidades en temas de comercialización y emprendimientos con las asociaciones de productoras, ademas de proporcionarles equipos e insumos para su actividad económica."/>
    <x v="0"/>
    <x v="0"/>
    <s v="YES"/>
    <x v="0"/>
    <x v="0"/>
    <x v="0"/>
    <x v="0"/>
    <n v="4"/>
    <x v="1"/>
    <x v="1"/>
    <x v="1"/>
    <x v="1"/>
    <x v="1"/>
    <x v="1"/>
    <n v="4"/>
    <x v="1"/>
    <x v="1"/>
    <x v="1"/>
    <x v="1"/>
    <x v="1"/>
    <n v="3"/>
    <x v="2"/>
    <x v="0"/>
    <n v="1"/>
    <s v="Local government(s)"/>
    <m/>
    <m/>
    <x v="2"/>
    <s v="Fortalecimiento de capacidades para las asociaciones de mujeres productoras y/o emprendedoras del cantón para mejorar su gestión en temas de empoderamiento, emprendimiento y comercialización."/>
    <s v="Por el proceso de respuesta a la emergencia, el accionar en la recuperación de los medios de vida estuvo tardía. Se esperó varios meses para poder implementar acciones en desarrollo economico local, por lo que el proyecto se amplió de 5 meses para cumplir con los objetivos."/>
    <s v="Realización de modelos de gestión con enfoque a mediano plazo construido con las mujeres que conforman las Asociaciónes, los cuales ayudan a mejorar sus actividades e implementar nuevas acciones de emprendimiento."/>
    <s v="Involucramiento directo del GAD de San Vicente en los procesos productivos con un enfoque fuerte hacia el emprendimiento de mujeres campesinas afectadas por el terremotpo del 16A."/>
    <s v="Contraparte del GAD de San Vicente en todos los procesos desde la legalización de las asociaciones hasta la comeraciliazación, basada en la ordenaza de economia popular y solidaria del cantón."/>
    <s v="Promover espacios de comercialización mas equitativos que apoyen a los pequeños y pequeñas productores del cantón."/>
    <s v="Trabajo en asocio con el GAD local que fomenta el empoderamiento y sostenibilidad de las acciones."/>
    <s v="Fortalecer los procesos de seguimiento y monitoreo  de capacidades adquiridas por las asociaciones de mujeres productoras."/>
    <s v="El proceso de reactivación economica de las zonas afectadas por el terremoto del 16A es un trabajo a mediano plazo que necesita un tiempo coherente para poder evaluar los impactos."/>
    <s v="Registros de participantes_x000a_Actas de entrega de materiales, heramientas e insumos_x000a_Informe final_x000a_IPIA"/>
    <n v="368"/>
    <n v="11905"/>
    <n v="32.350543478260867"/>
    <n v="0.51630434782608692"/>
    <n v="0.50256194876102478"/>
    <n v="190"/>
    <n v="5983"/>
    <n v="1"/>
    <n v="368"/>
    <n v="11905"/>
    <n v="32.350543478260867"/>
    <n v="1"/>
    <n v="368"/>
    <n v="11905"/>
    <n v="32.350543478260867"/>
    <s v=""/>
    <n v="0"/>
    <n v="0"/>
    <s v=""/>
    <s v=""/>
    <n v="0"/>
    <n v="0"/>
    <s v=""/>
    <s v=""/>
    <n v="0"/>
    <n v="0"/>
    <s v=""/>
    <s v="2. Sensitive"/>
    <s v="2. Accommodating"/>
    <s v="2. Sensitive"/>
    <s v="It did not develop any specific innovation"/>
    <s v="Moderate advocacy"/>
    <s v="It linked and worked with strategic alliances and partners to take tested and effective solutions to scale"/>
  </r>
  <r>
    <x v="21"/>
    <x v="4"/>
    <m/>
    <s v="Programa l “Redoblando Esfuerzos por Ecuador ”"/>
    <s v="Ecuador"/>
    <s v="KALFEC0001"/>
    <s v="No CARE member related to the project/initiative"/>
    <s v="Foundation"/>
    <s v="Other"/>
    <s v="Kaluz Foundation"/>
    <m/>
    <m/>
    <m/>
    <m/>
    <m/>
    <m/>
    <m/>
    <m/>
    <m/>
    <m/>
    <m/>
    <m/>
    <m/>
    <m/>
    <m/>
    <m/>
    <m/>
    <m/>
    <m/>
    <m/>
    <m/>
    <m/>
    <m/>
    <m/>
    <m/>
    <m/>
    <m/>
    <m/>
    <m/>
    <m/>
    <m/>
    <m/>
    <m/>
    <m/>
    <m/>
    <m/>
    <m/>
    <m/>
    <m/>
    <m/>
    <m/>
    <m/>
    <m/>
    <m/>
    <m/>
    <d v="2016-09-01T00:00:00"/>
    <d v="2017-08-31T00:00:00"/>
    <d v="2017-10-31T00:00:00"/>
    <s v="Humanitarian Other"/>
    <n v="90900"/>
    <s v="Catalina Vargas"/>
    <s v="Gerente de Calidad Programática y Movilización de Recursos"/>
    <s v="catalina.vargas@care.org"/>
    <s v="Andrés Córdova"/>
    <s v="Coordinador"/>
    <s v="andres.cordova@care.org"/>
    <s v="YES"/>
    <s v="NO"/>
    <s v="NO"/>
    <s v="Contribuir con el diseño y la entrega de materiales del proyecto  que, posterior a su instalación, permita a los habitantes del proyecto Ceibo Renacer Si Vivienda de la ciudad de Manta, contar con un sistema de agua potable y alcantarillado, además de un sistema de tratamiento de aguas servidas en óptimo estado."/>
    <s v="Sub-National"/>
    <s v="Provincia de Manabí, canton Manta"/>
    <s v="Población afectada por el terremoto del 16 de Abril ubicada en el cantón Manta, Provincia de Manabí."/>
    <n v="379"/>
    <n v="400"/>
    <n v="779"/>
    <m/>
    <m/>
    <m/>
    <s v="Directos: total de la población que actuamente se encuentra en los terrenos de Si Vivienda urbanización CEIBOS RENACER la cual esta proyectada para 255 familias y actualmente se encuentran 199 familias._x000a_Indirectos: no existe en esta iniciativa ya que es un beneficio directo para la población ubicada en este sitio."/>
    <m/>
    <n v="379"/>
    <n v="400"/>
    <n v="779"/>
    <m/>
    <m/>
    <m/>
    <s v="NO"/>
    <m/>
    <m/>
    <m/>
    <s v="NO"/>
    <m/>
    <m/>
    <m/>
    <s v="NO"/>
    <m/>
    <m/>
    <m/>
    <s v="NO"/>
    <m/>
    <m/>
    <m/>
    <s v="NO"/>
    <m/>
    <m/>
    <m/>
    <s v="NO"/>
    <m/>
    <m/>
    <m/>
    <s v="NO"/>
    <m/>
    <m/>
    <m/>
    <s v="NO"/>
    <m/>
    <m/>
    <m/>
    <s v="NO"/>
    <m/>
    <m/>
    <m/>
    <s v="NO"/>
    <m/>
    <m/>
    <m/>
    <s v="NO"/>
    <m/>
    <m/>
    <m/>
    <s v="YES"/>
    <n v="779"/>
    <n v="0.48649999999999999"/>
    <m/>
    <m/>
    <m/>
    <m/>
    <m/>
    <m/>
    <m/>
    <m/>
    <m/>
    <m/>
    <m/>
    <m/>
    <s v="NO"/>
    <m/>
    <m/>
    <m/>
    <s v="NO"/>
    <m/>
    <m/>
    <m/>
    <s v="NO"/>
    <m/>
    <m/>
    <m/>
    <s v="NO"/>
    <m/>
    <m/>
    <m/>
    <s v="NO"/>
    <m/>
    <m/>
    <m/>
    <s v="NO"/>
    <m/>
    <m/>
    <m/>
    <s v="NO"/>
    <m/>
    <m/>
    <m/>
    <s v="NO"/>
    <m/>
    <m/>
    <m/>
    <s v="NO"/>
    <m/>
    <m/>
    <m/>
    <s v="NO"/>
    <m/>
    <m/>
    <m/>
    <s v="NO"/>
    <m/>
    <m/>
    <m/>
    <s v="NO"/>
    <m/>
    <m/>
    <m/>
    <s v="NO"/>
    <m/>
    <m/>
    <m/>
    <s v="NO"/>
    <m/>
    <m/>
    <m/>
    <s v="NO"/>
    <m/>
    <m/>
    <m/>
    <s v="NO"/>
    <m/>
    <m/>
    <m/>
    <m/>
    <m/>
    <m/>
    <m/>
    <m/>
    <s v="NO"/>
    <m/>
    <m/>
    <s v="NO"/>
    <s v="NO"/>
    <m/>
    <m/>
    <m/>
    <x v="0"/>
    <m/>
    <m/>
    <s v="YES"/>
    <m/>
    <m/>
    <m/>
    <m/>
    <m/>
    <m/>
    <x v="1"/>
    <s v="Se implemento un sistema de saneamiento mediante biodigestores muy innovadores para los territorios con una vida util de 20 años."/>
    <x v="1"/>
    <s v="Se implemento un  sistema de saneamiento y manejo de agua residuales, mediante biodigestores probado por el donante Mexichem en otros paises."/>
    <x v="1"/>
    <x v="0"/>
    <s v="YES"/>
    <x v="0"/>
    <x v="0"/>
    <x v="0"/>
    <x v="0"/>
    <n v="4"/>
    <x v="1"/>
    <x v="1"/>
    <x v="1"/>
    <x v="1"/>
    <x v="1"/>
    <x v="1"/>
    <n v="4"/>
    <x v="1"/>
    <x v="1"/>
    <x v="1"/>
    <x v="1"/>
    <x v="1"/>
    <n v="3"/>
    <x v="2"/>
    <x v="2"/>
    <n v="3"/>
    <s v="Local government(s)"/>
    <s v="Grassroots organization(s)"/>
    <s v="Private sector"/>
    <x v="2"/>
    <s v="Se fortalecieron las capacidades de la población de Ceibos Renacer en procesos organizativos, gestión, derechos y convivencia."/>
    <s v="En el trascurso del año se ajusto algunos procesos del proyecto para la implementación del sistema de agua potable y saneamiento con el apoyo de la Empresa Publica Municipal de Agua Potable EPAM."/>
    <s v="El proceso de articulación público privado entre la EPAM, Municipio de Manta y la Empresa Mexichem."/>
    <s v="Procesos organizativos de las familias de CEIBOS RENACER, para la implementación de manual de convivencia."/>
    <s v="Trabajo de sensibilización en temas de género, emprendimiento, higiene y control de vectores para prevenir el Zika."/>
    <s v="Estabelcer un mayor seguimiento a los compromisos asumidos por los GADs y empresas públicas para cumplir con los tiempos del proyecto."/>
    <s v="Mejorar la implementación del manual de convivencia que contemple los enfoques de no discriminación, género y resiliencia."/>
    <s v="Las actividades prácticas (Mingas, giras, etc.)para el control y prevención de Zika fueron muy acogidas por la población."/>
    <s v="Este es un proyecto novedoso donde CARE trabaja esclusivamente a través de socios, por ende los procesos de seguimiento y cumplimiento de acuerdos debe ser mucho mas estricto.  _x000a_Aunque pusimos una prorroga arriba, no existe una duracion limite en la ejecucion de las actividades sino en la parte financiera."/>
    <s v="Registros de participantes talleres_x000a_Actas de entrega de materiales._x000a_Manual de convivencia_x000a_Informe parcial"/>
    <n v="779"/>
    <n v="0"/>
    <n v="0"/>
    <n v="0.48652118100128372"/>
    <s v=""/>
    <n v="379"/>
    <n v="0"/>
    <n v="1"/>
    <n v="779"/>
    <n v="0"/>
    <n v="0"/>
    <s v=""/>
    <n v="0"/>
    <n v="0"/>
    <s v=""/>
    <s v=""/>
    <n v="0"/>
    <n v="0"/>
    <s v=""/>
    <s v=""/>
    <n v="0"/>
    <n v="0"/>
    <s v=""/>
    <s v=""/>
    <n v="0"/>
    <n v="0"/>
    <s v=""/>
    <s v="2. Sensitive"/>
    <s v="2. Accommodating"/>
    <s v="2. Sensitive"/>
    <s v="It tested new ways for fighting poverty, but did not measure results of innovation"/>
    <s v="Little or no advocacy"/>
    <s v="It linked and worked with strategic alliances and partners to take tested and effective solutions to scale"/>
  </r>
  <r>
    <x v="21"/>
    <x v="4"/>
    <m/>
    <s v="PROGRAMA WASH EN ESCUELAS AFECTADAS POR EL SISMO EN LA PROVINCIA DE MANABÍ"/>
    <s v="Ecuador"/>
    <s v="UNCFEC0003"/>
    <s v="No CARE member related to the project/initiative"/>
    <s v="Multilateral agency"/>
    <s v="UN - United Nations agencies/offices"/>
    <s v="UNICEF"/>
    <m/>
    <m/>
    <m/>
    <m/>
    <m/>
    <m/>
    <m/>
    <m/>
    <m/>
    <m/>
    <m/>
    <m/>
    <m/>
    <m/>
    <m/>
    <m/>
    <m/>
    <m/>
    <m/>
    <m/>
    <m/>
    <m/>
    <m/>
    <m/>
    <m/>
    <m/>
    <m/>
    <m/>
    <m/>
    <m/>
    <m/>
    <m/>
    <m/>
    <m/>
    <m/>
    <m/>
    <m/>
    <m/>
    <m/>
    <m/>
    <m/>
    <m/>
    <m/>
    <m/>
    <m/>
    <d v="2016-11-08T00:00:00"/>
    <d v="2017-02-08T00:00:00"/>
    <d v="2017-03-31T00:00:00"/>
    <s v="Humanitarian Other"/>
    <n v="211053"/>
    <s v="Catalina Vargas"/>
    <s v="Gerente de Calidad Programática y Movilización de Recursos"/>
    <s v="catalina.vargas@care.org"/>
    <s v="Andrés Córdova"/>
    <s v="Coordinador"/>
    <s v="andres.cordova@care.org"/>
    <s v="YES"/>
    <s v="NO"/>
    <s v="NO"/>
    <s v="Mejorar el acceso a agua segura, saneamiento e higiene, conocimientos de control de vectores de al menos 6.000 individuos de los cantones Jama, San Vicente, Chone y Sucre Provincia de Manabí."/>
    <s v="Sub-National"/>
    <s v="Provincia de Manabí, cantones Jama, San Vicente, Chone y Sucre."/>
    <s v="Población afectada por el terremoto del 16 de Abril ubicada en los cantones de Jama, San Vicente, Chone y Sucre de la Provincia de Manabí."/>
    <n v="5612"/>
    <n v="5638"/>
    <n v="11250"/>
    <n v="20764"/>
    <n v="20860"/>
    <n v="41624"/>
    <s v="Los participantes directos es el total de los estudiantes (niño-niñas) y docentes de las intervenciones realizadas._x000a_Los participantes indirectos se los calculo con el numero promedio (3,7) de miembros de las familias de los estudiantes que fueron capacitados en las campañas de higiene, prevención y control de vectores, a su vez reproducidos en casa."/>
    <m/>
    <n v="5612"/>
    <n v="5638"/>
    <n v="11250"/>
    <n v="20764"/>
    <n v="20860"/>
    <n v="41624"/>
    <s v="NO"/>
    <m/>
    <m/>
    <m/>
    <s v="NO"/>
    <m/>
    <m/>
    <m/>
    <s v="YES"/>
    <n v="11250"/>
    <n v="0.499"/>
    <n v="41625"/>
    <s v="NO"/>
    <m/>
    <m/>
    <m/>
    <s v="NO"/>
    <m/>
    <m/>
    <m/>
    <s v="NO"/>
    <m/>
    <m/>
    <m/>
    <s v="NO"/>
    <m/>
    <m/>
    <m/>
    <s v="NO"/>
    <m/>
    <m/>
    <m/>
    <s v="NO"/>
    <m/>
    <m/>
    <m/>
    <s v="NO"/>
    <m/>
    <m/>
    <m/>
    <s v="NO"/>
    <m/>
    <m/>
    <m/>
    <s v="YES"/>
    <n v="11250"/>
    <n v="0.49880000000000002"/>
    <m/>
    <m/>
    <m/>
    <m/>
    <m/>
    <m/>
    <m/>
    <m/>
    <m/>
    <m/>
    <m/>
    <m/>
    <s v="NO"/>
    <m/>
    <m/>
    <m/>
    <s v="NO"/>
    <m/>
    <m/>
    <m/>
    <s v="NO"/>
    <m/>
    <m/>
    <m/>
    <s v="NO"/>
    <m/>
    <m/>
    <m/>
    <s v="NO"/>
    <m/>
    <m/>
    <m/>
    <s v="NO"/>
    <m/>
    <m/>
    <m/>
    <s v="NO"/>
    <m/>
    <m/>
    <m/>
    <s v="NO"/>
    <m/>
    <m/>
    <m/>
    <s v="NO"/>
    <m/>
    <m/>
    <m/>
    <s v="NO"/>
    <m/>
    <m/>
    <m/>
    <s v="NO"/>
    <m/>
    <m/>
    <m/>
    <s v="NO"/>
    <m/>
    <m/>
    <m/>
    <s v="NO"/>
    <m/>
    <m/>
    <m/>
    <s v="NO"/>
    <m/>
    <m/>
    <m/>
    <s v="NO"/>
    <m/>
    <m/>
    <m/>
    <s v="NO"/>
    <m/>
    <m/>
    <m/>
    <m/>
    <m/>
    <m/>
    <m/>
    <m/>
    <s v="NO"/>
    <m/>
    <m/>
    <s v="NO"/>
    <s v="NO"/>
    <m/>
    <m/>
    <m/>
    <x v="1"/>
    <m/>
    <m/>
    <s v="YES"/>
    <m/>
    <s v="YES"/>
    <m/>
    <m/>
    <m/>
    <m/>
    <x v="0"/>
    <m/>
    <x v="1"/>
    <s v="Mejora y rehabilitación de baterias sanitarias escolares mediante procesos y modelos de CARE implementados en otros territorios._x000a_Procesos de sensibilización mediante campañas de educación sanitaria con temas de higiene y control de vectores de manera lúdica y practica."/>
    <x v="0"/>
    <x v="0"/>
    <s v="YES"/>
    <x v="0"/>
    <x v="0"/>
    <x v="0"/>
    <x v="0"/>
    <n v="4"/>
    <x v="1"/>
    <x v="2"/>
    <x v="1"/>
    <x v="1"/>
    <x v="1"/>
    <x v="1"/>
    <n v="3"/>
    <x v="1"/>
    <x v="1"/>
    <x v="1"/>
    <x v="1"/>
    <x v="1"/>
    <n v="3"/>
    <x v="2"/>
    <x v="0"/>
    <n v="2"/>
    <s v="Multilateral organization(s)"/>
    <s v="National government"/>
    <m/>
    <x v="1"/>
    <m/>
    <s v="Existio una ampliación de tiempo (1 mes) por varias razones: la presencia de fuertes lluvias en la zona que impidieron el normal desenvolvimiento de las acciones; las negociaciones de rehabilitacion con los actores locales."/>
    <s v="La participación inclusiva de hombres, mujeres, niños y niñas en talleres y acciones (mingas, control de vectores)."/>
    <s v="Metodologias ludicas y practicas en temas de higiene y control de vectores"/>
    <s v="Modelos de infrestructura para baterias sanitarias escolares (aprobados por CARE en otros proyectos)."/>
    <s v="La rehabilitación completa de baterias necesita mantenimiento de las mismas en continuidad del proyecto para que su vida util se alarge."/>
    <s v="Reforzar los procesos con el personal docente y estudiantes para fortalecer sus conocimientos en temas de higiene, prevención y control de vectores con respecto al Zika. no se tuvo el suficiente tiempo para esta actividad."/>
    <s v="Necesidad de mayor involucramiento de los gobiernos seccionales en procesos de educación y control de vectores."/>
    <m/>
    <s v="Registros de participantes_x000a_Actas de entrega de baterias rehabilitadas_x000a_Informe final_x000a_Propuesta inicial"/>
    <n v="11250"/>
    <n v="41624"/>
    <n v="3.6999111111111112"/>
    <n v="0.49884444444444442"/>
    <n v="0.49884681914280221"/>
    <n v="5612"/>
    <n v="20764"/>
    <n v="1"/>
    <n v="11250"/>
    <n v="41624"/>
    <n v="3.6999111111111112"/>
    <s v=""/>
    <n v="0"/>
    <n v="0"/>
    <s v=""/>
    <s v=""/>
    <n v="0"/>
    <n v="0"/>
    <s v=""/>
    <s v=""/>
    <n v="0"/>
    <n v="0"/>
    <s v=""/>
    <s v=""/>
    <n v="0"/>
    <n v="0"/>
    <s v=""/>
    <s v="2. Sensitive"/>
    <s v="2. Accommodating"/>
    <s v="2. Sensitive"/>
    <s v="It did not develop any specific innovation"/>
    <s v="Moderate advocacy"/>
    <s v="It linked and worked with strategic alliances and partners to take tested and effective solutions to scale"/>
  </r>
  <r>
    <x v="21"/>
    <x v="4"/>
    <m/>
    <s v="Proyecto de Recuperación Temprana Implementación de Plantas de purificación de agua en tres sitios afectados por el terremoto 16.A, en los cantones San Vicente y Jama"/>
    <s v="Ecuador"/>
    <s v="COKEEC0004"/>
    <s v="No CARE member related to the project/initiative"/>
    <s v="Foundation"/>
    <s v="Other"/>
    <s v="Coca-Cola Foundation"/>
    <m/>
    <m/>
    <m/>
    <m/>
    <m/>
    <m/>
    <m/>
    <m/>
    <m/>
    <m/>
    <m/>
    <m/>
    <m/>
    <m/>
    <m/>
    <m/>
    <m/>
    <m/>
    <m/>
    <m/>
    <m/>
    <m/>
    <m/>
    <m/>
    <m/>
    <m/>
    <m/>
    <m/>
    <m/>
    <m/>
    <m/>
    <m/>
    <m/>
    <m/>
    <m/>
    <m/>
    <m/>
    <m/>
    <m/>
    <m/>
    <m/>
    <m/>
    <m/>
    <m/>
    <m/>
    <d v="2016-12-23T00:00:00"/>
    <d v="2017-09-23T00:00:00"/>
    <d v="2017-10-31T00:00:00"/>
    <s v="Humanitarian Other"/>
    <n v="100000"/>
    <s v="Catalina Vargas"/>
    <s v="Gerente de Calidad Programática y movilización de recursos"/>
    <s v="Catalina.Vargas@care.org"/>
    <s v="Andrés Córdova"/>
    <s v="Coordinador Proyecto"/>
    <s v="Andres.cordova@care.org"/>
    <s v="YES"/>
    <s v="NO"/>
    <s v="NO"/>
    <s v="Establecer los procesos de sostenibilidad social y técnica de  las plantas de purificación de agua potable implementadas en 4 sistemas comunitarios de agua del área de intervención que incluye los cantones de: San Vicente y Jama"/>
    <s v="Sub-National"/>
    <s v="Provincia de Manabí, cantones San Vicente y Jama"/>
    <s v="Población afectada por el terremoto del 16 de Abril ubicada en los cantones San Vicente y Jama de la Provincia de Manabí."/>
    <n v="3326"/>
    <n v="3465"/>
    <n v="6791"/>
    <n v="13046"/>
    <n v="10469"/>
    <n v="23515"/>
    <s v="Directos: Total de la población urbana de Jama centro, población de la comunidad de Tabuga y los pobladores de la comunidad de San Felipe, pertenecientes al cantón San Vicente._x000a_Indirectos: Población total del cantón Jama (Menos los beneficiarios directpos de Jama centro y Tabuga) y la población urbana de San Vicente."/>
    <m/>
    <n v="3326"/>
    <n v="3465"/>
    <n v="6791"/>
    <n v="13046"/>
    <n v="10469"/>
    <n v="23515"/>
    <s v="NO"/>
    <m/>
    <m/>
    <m/>
    <s v="NO"/>
    <m/>
    <m/>
    <m/>
    <s v="NO"/>
    <m/>
    <m/>
    <m/>
    <s v="NO"/>
    <m/>
    <m/>
    <m/>
    <s v="NO"/>
    <m/>
    <m/>
    <m/>
    <s v="NO"/>
    <m/>
    <m/>
    <m/>
    <s v="NO"/>
    <m/>
    <m/>
    <m/>
    <s v="NO"/>
    <m/>
    <m/>
    <m/>
    <s v="NO"/>
    <m/>
    <m/>
    <m/>
    <s v="NO"/>
    <m/>
    <m/>
    <m/>
    <s v="NO"/>
    <m/>
    <m/>
    <m/>
    <s v="YES"/>
    <n v="6791"/>
    <n v="0.48980000000000001"/>
    <n v="23515"/>
    <m/>
    <m/>
    <m/>
    <m/>
    <m/>
    <m/>
    <m/>
    <m/>
    <m/>
    <m/>
    <m/>
    <s v="NO"/>
    <m/>
    <m/>
    <m/>
    <s v="NO"/>
    <m/>
    <m/>
    <m/>
    <s v="NO"/>
    <m/>
    <m/>
    <m/>
    <s v="NO"/>
    <m/>
    <m/>
    <m/>
    <s v="NO"/>
    <m/>
    <m/>
    <m/>
    <s v="NO"/>
    <m/>
    <m/>
    <m/>
    <s v="NO"/>
    <m/>
    <m/>
    <m/>
    <s v="NO"/>
    <m/>
    <m/>
    <m/>
    <s v="NO"/>
    <m/>
    <m/>
    <m/>
    <s v="NO"/>
    <m/>
    <m/>
    <m/>
    <s v="NO"/>
    <m/>
    <m/>
    <m/>
    <s v="NO"/>
    <m/>
    <m/>
    <m/>
    <s v="NO"/>
    <m/>
    <m/>
    <m/>
    <s v="NO"/>
    <m/>
    <m/>
    <m/>
    <s v="NO"/>
    <m/>
    <m/>
    <m/>
    <s v="NO"/>
    <m/>
    <m/>
    <m/>
    <m/>
    <m/>
    <m/>
    <m/>
    <m/>
    <s v="NO"/>
    <m/>
    <m/>
    <s v="NO"/>
    <s v="NO"/>
    <m/>
    <m/>
    <m/>
    <x v="1"/>
    <m/>
    <m/>
    <s v="YES"/>
    <m/>
    <m/>
    <m/>
    <m/>
    <s v="YES"/>
    <s v="Modelo de gestión implementado con participación de los actores locales y el compromiso político de los GADs de Jama y San Vicente."/>
    <x v="1"/>
    <s v="Implementación de Planta purificadora de agua en sitios vulnerables con uso eficientes de energia solar y modelo de gestión participativo y sostenible."/>
    <x v="1"/>
    <s v="Se implemento 3 plantas de purificación de agua validada por el grupo corporativo Coca-Cola, en otros paises del mundo."/>
    <x v="0"/>
    <x v="0"/>
    <s v="YES"/>
    <x v="0"/>
    <x v="0"/>
    <x v="0"/>
    <x v="0"/>
    <n v="4"/>
    <x v="1"/>
    <x v="2"/>
    <x v="1"/>
    <x v="1"/>
    <x v="1"/>
    <x v="1"/>
    <n v="3"/>
    <x v="1"/>
    <x v="1"/>
    <x v="1"/>
    <x v="1"/>
    <x v="1"/>
    <n v="3"/>
    <x v="2"/>
    <x v="0"/>
    <n v="3"/>
    <s v="Local government(s)"/>
    <s v="Grassroots organization(s)"/>
    <s v="Private sector"/>
    <x v="2"/>
    <s v="Conformación de 3 espacios de gestión y manejo de Plantas purificadoras de agua, basadas en un modelo de gestión público/social, que de sustento a la veeduría ciudadana y al enfoque de inclusión de CARE."/>
    <s v="De acuerdo al area de intervención de CARE en el proceso de respuesta a la emergencia, incialmente se planificó la implementación en 4 cantones (Jama, San Vicente, Portoviejo, Manta). Por la alta vulnerabilidad en calidad y acceso al agua, se decidió la implementacion de las 4 Plantas de purificación solo en en los dos primeros cantones."/>
    <s v="Se llevo a cabo un proceso participativo de modelos de gestión para las plantas purificadoras de agua, con procesos de veeduría y decisión equitativos."/>
    <s v="Involucramiento de las comunidades y los Gobiernos locales desde la selección de los sitios, implementación, manejo y sostenibilidad de las plantas de purificación de agua."/>
    <s v="Elaboración de herramientas didácticas para el manejo y mantenimento de las plantas de purificación de agua."/>
    <s v="Identificar sitios en los cuales el abastecimiento de agua sea constante para evitar daños en las plantas de tratamiento."/>
    <s v="Hacer análisis completos de la calidad del agua antes de tener un proceso de distribución, para verificar el correcto funcionamiento de las plantas."/>
    <s v="Procurar mantener protocolos de almacenamiento y purificación de agua estrictos con los operadores locales."/>
    <s v="Es clave dar continuidad a los procesos sociales, ya que son dinámicos y cambiantes de acuerdos a las epocas. Este tema ha sido delegado a las autoridades locales (Gobiernos seccionales), para que lo puedan ir monitoreando en el tiempo de implementación."/>
    <s v="Registros de participantes talleres_x000a_Actas de entrega de materiales, heramientas e insumos._x000a_Modelos de gestión._x000a_Informe de avance de actividades_x000a_Propuesta"/>
    <n v="6791"/>
    <n v="23515"/>
    <n v="3.4626711824473566"/>
    <n v="0.48976586658813137"/>
    <n v="0.55479481182224111"/>
    <n v="3326"/>
    <n v="13046"/>
    <n v="1"/>
    <n v="6791"/>
    <n v="23515"/>
    <n v="3.4626711824473566"/>
    <s v=""/>
    <n v="0"/>
    <n v="0"/>
    <s v=""/>
    <s v=""/>
    <n v="0"/>
    <n v="0"/>
    <s v=""/>
    <s v=""/>
    <n v="0"/>
    <n v="0"/>
    <s v=""/>
    <s v=""/>
    <n v="0"/>
    <n v="0"/>
    <s v=""/>
    <s v="2. Sensitive"/>
    <s v="2. Accommodating"/>
    <s v="2. Sensitive"/>
    <s v="It tested new ways for fighting poverty, but did not measure results of innovation"/>
    <s v="Moderate advocacy"/>
    <s v="It linked and worked with strategic alliances and partners to take tested and effective solutions to scale"/>
  </r>
  <r>
    <x v="21"/>
    <x v="4"/>
    <n v="2897"/>
    <s v="Proyecto para la respuesta humanitaria."/>
    <s v="Ecuador"/>
    <s v="US1P8"/>
    <s v="No CARE member related to the project/initiative"/>
    <s v="Multilateral agency"/>
    <s v="UN - United Nations agencies/offices"/>
    <s v="UNICEF"/>
    <m/>
    <m/>
    <m/>
    <m/>
    <m/>
    <m/>
    <m/>
    <m/>
    <m/>
    <m/>
    <m/>
    <m/>
    <m/>
    <m/>
    <m/>
    <m/>
    <m/>
    <m/>
    <m/>
    <m/>
    <m/>
    <m/>
    <m/>
    <m/>
    <m/>
    <m/>
    <m/>
    <m/>
    <m/>
    <m/>
    <m/>
    <m/>
    <m/>
    <m/>
    <m/>
    <m/>
    <m/>
    <m/>
    <m/>
    <m/>
    <m/>
    <m/>
    <m/>
    <m/>
    <m/>
    <d v="2016-04-16T00:00:00"/>
    <d v="2016-07-16T00:00:00"/>
    <d v="2016-10-16T00:00:00"/>
    <s v="Humanitarian Other"/>
    <n v="220000"/>
    <s v="Catalina Vargas"/>
    <s v="Gerente de Calidad Programática y Movilización de Recursos"/>
    <s v="catalina.vargas@care.org"/>
    <s v="Andrés Córdova"/>
    <s v="Coordinador"/>
    <s v="andres.cordova@care.org"/>
    <s v="YES"/>
    <s v="NO"/>
    <s v="NO"/>
    <s v="Mejorar el acceso a agua segura, saneamiento e higiene de al menos 8.000 individuos de los cantones de Jama, San Vicente, Provincia de Manabí."/>
    <s v="Sub-National"/>
    <s v="Provincia de Manabí, cantones San Vicente y Jama"/>
    <s v="Población  afectada por el terremoto del 16 de abril ubicada en la provincia de Manabí,  en los cantones de Jama, San Vicente."/>
    <n v="6020"/>
    <n v="6000"/>
    <n v="12020"/>
    <n v="4528"/>
    <n v="4528"/>
    <n v="9056"/>
    <s v="Directos: población afectada (mujeres y hombres - adultos y niños) por el terremoto del 16 de abril ubicados específicamente en los cantones de Jama, San Vicente en la provincia de Manabí._x000a_Indirectos: población de los cantones de Jama y San Vicente favorecidos por las acciones del proyecto. el numero total de la poblacion (45278) se ha dividido entre los 5 proyectos de emergencia que se desarrollaron en estos mismos cantones, para evitar doble conteo."/>
    <m/>
    <n v="6020"/>
    <n v="6000"/>
    <n v="12020"/>
    <n v="4528"/>
    <n v="4528"/>
    <n v="9056"/>
    <m/>
    <m/>
    <m/>
    <m/>
    <m/>
    <m/>
    <m/>
    <m/>
    <m/>
    <m/>
    <m/>
    <m/>
    <m/>
    <m/>
    <m/>
    <m/>
    <m/>
    <m/>
    <m/>
    <m/>
    <m/>
    <m/>
    <m/>
    <m/>
    <m/>
    <m/>
    <m/>
    <m/>
    <m/>
    <m/>
    <m/>
    <m/>
    <m/>
    <m/>
    <m/>
    <m/>
    <m/>
    <m/>
    <m/>
    <m/>
    <s v="YES"/>
    <n v="12020"/>
    <n v="0.5"/>
    <n v="9056"/>
    <s v="YES"/>
    <n v="12020"/>
    <n v="0.5"/>
    <n v="9056"/>
    <m/>
    <m/>
    <m/>
    <m/>
    <m/>
    <m/>
    <m/>
    <m/>
    <m/>
    <m/>
    <m/>
    <m/>
    <m/>
    <m/>
    <m/>
    <m/>
    <m/>
    <m/>
    <m/>
    <m/>
    <m/>
    <m/>
    <m/>
    <m/>
    <m/>
    <m/>
    <m/>
    <m/>
    <m/>
    <m/>
    <m/>
    <m/>
    <m/>
    <m/>
    <m/>
    <m/>
    <m/>
    <m/>
    <m/>
    <m/>
    <m/>
    <m/>
    <m/>
    <m/>
    <m/>
    <m/>
    <m/>
    <m/>
    <m/>
    <m/>
    <m/>
    <m/>
    <m/>
    <m/>
    <m/>
    <m/>
    <m/>
    <m/>
    <m/>
    <m/>
    <m/>
    <m/>
    <m/>
    <m/>
    <m/>
    <m/>
    <m/>
    <m/>
    <m/>
    <m/>
    <m/>
    <m/>
    <m/>
    <m/>
    <m/>
    <m/>
    <m/>
    <m/>
    <m/>
    <m/>
    <s v="NO"/>
    <m/>
    <m/>
    <m/>
    <s v="NO"/>
    <m/>
    <m/>
    <m/>
    <x v="1"/>
    <m/>
    <m/>
    <s v="YES"/>
    <m/>
    <m/>
    <m/>
    <m/>
    <m/>
    <m/>
    <x v="0"/>
    <m/>
    <x v="1"/>
    <s v="Coordinación con otros actcores humanitarios para determinar áreas de intervención y estandarización de kits humanitarios a ser entregados a los participantes."/>
    <x v="0"/>
    <x v="0"/>
    <s v="NO"/>
    <x v="1"/>
    <x v="0"/>
    <x v="0"/>
    <x v="1"/>
    <n v="2"/>
    <x v="1"/>
    <x v="1"/>
    <x v="1"/>
    <x v="1"/>
    <x v="2"/>
    <x v="1"/>
    <n v="3"/>
    <x v="1"/>
    <x v="1"/>
    <x v="1"/>
    <x v="2"/>
    <x v="3"/>
    <n v="2"/>
    <x v="0"/>
    <x v="0"/>
    <m/>
    <s v="Multilateral organization(s)"/>
    <s v="Local NGO(s)/CSO(s)"/>
    <s v="Local alliance(s)/Platform(s)/Network(s) of  NGOs/CSOs"/>
    <x v="1"/>
    <m/>
    <m/>
    <s v="Planificación y participación comunitaria en conjunto con organizaciones de base"/>
    <m/>
    <m/>
    <s v="La importancia de trabajar en alianza y coordinación con otras organizaciones humanitarias presentes en el área de intervención, así como con los Gobiernos Locales."/>
    <s v="Los kits entrergados fueron elaborados en consenso a través de las Mesas Técnicas de respuesta humanitaria."/>
    <s v="Es necesario mejorar los mecanismos de rendición de cuentas a los participantes del proyecto."/>
    <s v="La intervención se realizó en base al análisis de las áreas afectadas y las condiciones de vulnerabilidad de las comunidades que sufrieron mayor impacto como consecuencia del terremoto del 16 de Abril de 2016. La asistencia humanitaria proporcionada por CARE fue muy importante para la recuperación de las familias que sufrieron pérdidas importantes luego del evento adverso, como: rehabilitacion baterías sanitarias de escuelas, lavandería en el albergue de canoa, talleres de capacidades (cocina, belleza y costura). Esto contribuyó a la adaptación de nuevas condiciones y a absorber el impacto del shock causado por el terremoto."/>
    <s v="Sistema de monitoreo (base de datos desglosados por sexo y edad de comunidades intervenidas inicialmente); Matriz de intervención; Anexos fotográficos; Actas de entrega."/>
    <n v="12020"/>
    <n v="9056"/>
    <n v="0.75341098169717136"/>
    <n v="0.50083194675540765"/>
    <n v="0.5"/>
    <n v="6020"/>
    <n v="4528"/>
    <n v="1"/>
    <n v="12020"/>
    <n v="9056"/>
    <n v="0.75341098169717136"/>
    <s v=""/>
    <n v="0"/>
    <n v="0"/>
    <s v=""/>
    <s v=""/>
    <n v="0"/>
    <n v="0"/>
    <s v=""/>
    <s v=""/>
    <n v="0"/>
    <n v="0"/>
    <s v=""/>
    <s v=""/>
    <n v="0"/>
    <n v="0"/>
    <s v=""/>
    <s v="1. Neutral"/>
    <s v="2. Accommodating"/>
    <s v="1. Neutral"/>
    <s v="It did not develop any specific innovation"/>
    <s v="Moderate advocacy"/>
    <s v="It linked and worked with strategic alliances and partners to take tested and effective solutions to scale"/>
  </r>
  <r>
    <x v="21"/>
    <x v="4"/>
    <m/>
    <s v="Resiliencia desde la Educación"/>
    <s v="Ecuador"/>
    <s v="CFRAEC0014"/>
    <s v="CARE France"/>
    <s v="Foundation"/>
    <s v="Other"/>
    <s v="Stavros Niarchos Foundation"/>
    <m/>
    <m/>
    <m/>
    <m/>
    <m/>
    <m/>
    <m/>
    <m/>
    <m/>
    <m/>
    <m/>
    <m/>
    <m/>
    <m/>
    <m/>
    <m/>
    <m/>
    <m/>
    <m/>
    <m/>
    <m/>
    <m/>
    <m/>
    <m/>
    <m/>
    <m/>
    <m/>
    <m/>
    <m/>
    <m/>
    <m/>
    <m/>
    <m/>
    <m/>
    <m/>
    <m/>
    <m/>
    <m/>
    <m/>
    <m/>
    <m/>
    <m/>
    <m/>
    <m/>
    <m/>
    <d v="2016-08-15T00:00:00"/>
    <d v="2017-03-15T00:00:00"/>
    <m/>
    <s v="Humanitarian Other"/>
    <n v="100000"/>
    <s v="Nubia Zambrano"/>
    <s v="Coordinadora de Programa"/>
    <s v="nubia.zambrano@care.org"/>
    <s v="Catalina Vargas"/>
    <s v="Gerente de programas y de movilización de recursos"/>
    <s v="catalina.vargas@care.org"/>
    <s v="YES"/>
    <s v="NO"/>
    <s v="NO"/>
    <s v="Contribuir en la respuesta al terremoto garantizando el acceso a agua, con un enfoque de defensa de derechos, en escuelas de la zona de Esmeraldas."/>
    <s v="Sub-National"/>
    <s v="Provincia de Esmeraldas, cantón Muisne."/>
    <s v="Niñas, niños, familias y docentes de las Unidades Educativas de Canton Muisne."/>
    <n v="706"/>
    <n v="594"/>
    <n v="1300"/>
    <m/>
    <m/>
    <m/>
    <s v="Directos: NNA, familias y docentes de centros educativos de comunidades afectadas por el terremoto del Canton Muisne."/>
    <m/>
    <n v="706"/>
    <n v="594"/>
    <n v="1300"/>
    <m/>
    <m/>
    <m/>
    <m/>
    <m/>
    <m/>
    <m/>
    <m/>
    <m/>
    <m/>
    <m/>
    <m/>
    <m/>
    <m/>
    <m/>
    <m/>
    <m/>
    <m/>
    <m/>
    <m/>
    <m/>
    <m/>
    <m/>
    <m/>
    <m/>
    <m/>
    <m/>
    <m/>
    <m/>
    <m/>
    <m/>
    <m/>
    <m/>
    <m/>
    <m/>
    <m/>
    <m/>
    <m/>
    <m/>
    <m/>
    <m/>
    <m/>
    <m/>
    <m/>
    <m/>
    <m/>
    <m/>
    <s v="YES"/>
    <n v="1300"/>
    <n v="0.54"/>
    <m/>
    <m/>
    <m/>
    <m/>
    <m/>
    <m/>
    <m/>
    <m/>
    <m/>
    <m/>
    <m/>
    <m/>
    <m/>
    <m/>
    <m/>
    <m/>
    <m/>
    <m/>
    <m/>
    <m/>
    <m/>
    <m/>
    <m/>
    <m/>
    <m/>
    <m/>
    <m/>
    <m/>
    <m/>
    <m/>
    <m/>
    <m/>
    <m/>
    <m/>
    <m/>
    <m/>
    <m/>
    <m/>
    <m/>
    <m/>
    <m/>
    <m/>
    <m/>
    <m/>
    <m/>
    <m/>
    <m/>
    <m/>
    <m/>
    <m/>
    <m/>
    <m/>
    <m/>
    <m/>
    <m/>
    <m/>
    <m/>
    <m/>
    <m/>
    <m/>
    <m/>
    <m/>
    <m/>
    <m/>
    <m/>
    <m/>
    <m/>
    <m/>
    <m/>
    <m/>
    <m/>
    <m/>
    <m/>
    <m/>
    <m/>
    <m/>
    <m/>
    <m/>
    <m/>
    <m/>
    <m/>
    <s v="NO"/>
    <m/>
    <m/>
    <m/>
    <s v="NO"/>
    <m/>
    <m/>
    <m/>
    <x v="0"/>
    <m/>
    <m/>
    <m/>
    <m/>
    <m/>
    <m/>
    <m/>
    <m/>
    <m/>
    <x v="1"/>
    <s v="1. Abordar desde la cultura (música, danza, tradicion oral) el apoyo psicosocial en respuesta al terremoto."/>
    <x v="1"/>
    <s v="1. Diseño de proceso metodologico para talleres de sensibilización a familias, en respuestas a terremoto: manual de familia para replicas a otros territorios entregado al distrito de educación"/>
    <x v="1"/>
    <x v="0"/>
    <s v="YES"/>
    <x v="0"/>
    <x v="0"/>
    <x v="0"/>
    <x v="0"/>
    <n v="4"/>
    <x v="1"/>
    <x v="1"/>
    <x v="1"/>
    <x v="1"/>
    <x v="0"/>
    <x v="1"/>
    <n v="3"/>
    <x v="1"/>
    <x v="1"/>
    <x v="1"/>
    <x v="1"/>
    <x v="1"/>
    <n v="3"/>
    <x v="0"/>
    <x v="0"/>
    <n v="1"/>
    <s v="Grassroots organization(s)"/>
    <m/>
    <m/>
    <x v="2"/>
    <s v="1. Construcción participativa (mingas) de espacios recreativos con materiales reciclados para los centros educativos_x000a_2. Fortalecimiento identitario desde la valoración de los saberes ancestrales."/>
    <m/>
    <m/>
    <m/>
    <m/>
    <s v="1. Respuesta post emergencias desde las expresiones culturales para encontrar un equilibrio comunitario"/>
    <s v="2. El abordamiento integral (restauracion baterias sanitarias, dotacion de agua segura, capacitacion maestros, sensibilizacion familias, construccion de espacios recreativos para NNA) permitió un accionar en las ejes claves de las comunidades"/>
    <s v="3. Los espacios recreativos y ludicos fortalecen el desarrollo integral "/>
    <m/>
    <s v="Marco logico; Propuesta; Informe intermedio y final; Manual de familia y libros de cuentos infantiles"/>
    <n v="1300"/>
    <n v="0"/>
    <n v="0"/>
    <n v="0.54307692307692312"/>
    <s v=""/>
    <n v="706"/>
    <n v="0"/>
    <n v="1"/>
    <n v="1300"/>
    <n v="0"/>
    <n v="0"/>
    <s v=""/>
    <n v="0"/>
    <n v="0"/>
    <s v=""/>
    <s v=""/>
    <n v="0"/>
    <n v="0"/>
    <s v=""/>
    <s v=""/>
    <n v="0"/>
    <n v="0"/>
    <s v=""/>
    <s v=""/>
    <n v="0"/>
    <n v="0"/>
    <s v=""/>
    <s v="2. Sensitive"/>
    <s v="2. Accommodating"/>
    <s v="2. Sensitive"/>
    <s v="It tested new ways for fighting poverty, but did not measure results of innovation"/>
    <s v="Little or no advocacy"/>
    <s v="It linked and worked with strategic alliances and partners to take tested and effective solutions to scale"/>
  </r>
  <r>
    <x v="21"/>
    <x v="4"/>
    <m/>
    <s v="WOMAN"/>
    <s v="Ecuador"/>
    <s v="US1R5"/>
    <s v="CARE USA"/>
    <s v="Other"/>
    <s v="Other"/>
    <s v="Women's initiatives in Chicago and New York"/>
    <m/>
    <m/>
    <m/>
    <m/>
    <m/>
    <m/>
    <m/>
    <m/>
    <m/>
    <m/>
    <m/>
    <m/>
    <m/>
    <m/>
    <m/>
    <m/>
    <m/>
    <m/>
    <m/>
    <m/>
    <m/>
    <m/>
    <m/>
    <m/>
    <m/>
    <m/>
    <m/>
    <m/>
    <m/>
    <m/>
    <m/>
    <m/>
    <m/>
    <m/>
    <m/>
    <m/>
    <m/>
    <m/>
    <m/>
    <m/>
    <m/>
    <m/>
    <m/>
    <m/>
    <m/>
    <d v="2017-06-01T00:00:00"/>
    <d v="2018-06-30T00:00:00"/>
    <m/>
    <s v="Humanitarian A Life Free From Violence (GBV)"/>
    <n v="200000"/>
    <s v="Nubia Zambrano Mendoza"/>
    <s v="Coordinadora de Programa"/>
    <s v="nubia.zambrano@care.org"/>
    <s v="Johanna Aguirre"/>
    <s v="Tecnica Proyecto"/>
    <s v="johanna.aguirre@care.org"/>
    <s v="NO"/>
    <s v="YES"/>
    <s v="NO"/>
    <s v="Promover la actoría de las mujeres indígenas, afroecuatorianas y refugiadas sobrevivientes de violencia en la construcción de normativas nacionales que garanticen sus derechos. "/>
    <s v="National"/>
    <s v="Ecuador, en las provincias de Pichincha, Carchi, Sucumbios, Esmeraldas e Imbabura."/>
    <s v="a) 3.000 mujeres indígenas, afroecuatorianas y refugiadas, en Pichincha, Imbabura y Sucumbíos;_x000a_b) 200 funcionarios/as de la asamblea, gobiernos autónomos descentralizados, operadores/as de justicia y funcionarios/as de entidades de Gobierno vinculadas con los derechos de las mujeres."/>
    <n v="2240"/>
    <n v="960"/>
    <n v="3200"/>
    <n v="10500"/>
    <n v="4500"/>
    <n v="15000"/>
    <s v="Directos: Son niñas, adolescentes y mujeres que participen en procesos de formación, en talleres de sensibilización y de construcción de normativas a nivel local._x000a_Indirectos: Población cantonal de mújeres que se beneficien de normativas locales y de campañas de sensibilización a traves de medios de comunicación, redes virtuales."/>
    <m/>
    <m/>
    <m/>
    <m/>
    <m/>
    <m/>
    <m/>
    <m/>
    <m/>
    <m/>
    <m/>
    <m/>
    <m/>
    <m/>
    <m/>
    <m/>
    <m/>
    <m/>
    <m/>
    <m/>
    <m/>
    <m/>
    <m/>
    <m/>
    <m/>
    <m/>
    <m/>
    <m/>
    <m/>
    <m/>
    <m/>
    <m/>
    <m/>
    <m/>
    <m/>
    <m/>
    <m/>
    <m/>
    <m/>
    <m/>
    <m/>
    <m/>
    <m/>
    <m/>
    <m/>
    <m/>
    <m/>
    <m/>
    <m/>
    <m/>
    <m/>
    <m/>
    <m/>
    <m/>
    <m/>
    <m/>
    <m/>
    <m/>
    <m/>
    <m/>
    <n v="2560"/>
    <n v="640"/>
    <n v="3200"/>
    <n v="10500"/>
    <n v="4500"/>
    <n v="15000"/>
    <m/>
    <m/>
    <m/>
    <m/>
    <m/>
    <m/>
    <m/>
    <m/>
    <m/>
    <m/>
    <m/>
    <m/>
    <m/>
    <m/>
    <m/>
    <m/>
    <m/>
    <m/>
    <m/>
    <m/>
    <m/>
    <m/>
    <m/>
    <m/>
    <m/>
    <m/>
    <m/>
    <m/>
    <s v="YES"/>
    <n v="3200"/>
    <n v="0.79"/>
    <n v="15000"/>
    <m/>
    <m/>
    <m/>
    <m/>
    <m/>
    <m/>
    <m/>
    <m/>
    <m/>
    <m/>
    <m/>
    <m/>
    <m/>
    <m/>
    <m/>
    <m/>
    <m/>
    <m/>
    <m/>
    <m/>
    <m/>
    <m/>
    <m/>
    <m/>
    <m/>
    <m/>
    <m/>
    <m/>
    <m/>
    <m/>
    <m/>
    <m/>
    <m/>
    <m/>
    <m/>
    <m/>
    <m/>
    <s v="NO"/>
    <m/>
    <m/>
    <m/>
    <s v="NO"/>
    <m/>
    <m/>
    <m/>
    <x v="2"/>
    <s v="YES"/>
    <m/>
    <s v="YES"/>
    <m/>
    <m/>
    <m/>
    <m/>
    <m/>
    <m/>
    <x v="1"/>
    <s v="Construcción de politicas publicas para la prevención de la violencia de género"/>
    <x v="1"/>
    <s v="Desarrollo desde una coparticipación de gobiernos locales, consejos de proteccion de derechos y organización de mujeres, para la construción de normativas a nivel local"/>
    <x v="2"/>
    <x v="1"/>
    <s v="YES"/>
    <x v="0"/>
    <x v="0"/>
    <x v="0"/>
    <x v="2"/>
    <n v="4"/>
    <x v="2"/>
    <x v="1"/>
    <x v="1"/>
    <x v="1"/>
    <x v="2"/>
    <x v="5"/>
    <n v="3"/>
    <x v="1"/>
    <x v="1"/>
    <x v="1"/>
    <x v="1"/>
    <x v="1"/>
    <n v="3"/>
    <x v="2"/>
    <x v="1"/>
    <m/>
    <s v="Local government(s)"/>
    <s v="Grassroots organization(s)"/>
    <s v="Local NGO(s)/CSO(s)"/>
    <x v="0"/>
    <s v="Formación de lideresas y sociedad civil en la normativa y marco conceptual para prevención de violencia de género."/>
    <m/>
    <s v="A) Consolidar a nivel local los procesos organizativos de mujeres indígenas, afroecuatorianas y refugiadas sobrevivientes de violencia. "/>
    <s v="B) Promover la implementación de normativas aprobadas a nivel local en las provincias de Pichincha, Imbabura y Sucumbíos."/>
    <s v="C) Desarrollar procesos de investigación participativa que den insumos para la incidencia en la toma de decisiones en torno a las normativas locales y nacionales a favor de los derechos de las mujeres refugiadas."/>
    <s v="1. La urgencia de contar con una normativa nacional para la prevención de la violencia de género dados los indicadores de violencia. "/>
    <s v="2. Construcción conjunta con organizaciones de mujeres de normativas locales"/>
    <s v="3. La formación ONLINE genera un proceso profundo de cambio de actitudes y comportamientos"/>
    <m/>
    <s v="Marco lógico; PAL; 2 Informe intermedios; Investigacion sobre los derechos de las mujeres en las provincias de intervencion"/>
    <n v="3200"/>
    <n v="15000"/>
    <n v="4.6875"/>
    <n v="0.8"/>
    <n v="0.7"/>
    <n v="2560"/>
    <n v="10500"/>
    <s v=""/>
    <n v="0"/>
    <n v="0"/>
    <s v=""/>
    <s v=""/>
    <n v="0"/>
    <n v="0"/>
    <s v=""/>
    <s v=""/>
    <n v="0"/>
    <n v="0"/>
    <s v=""/>
    <n v="1"/>
    <n v="3200"/>
    <n v="15000"/>
    <n v="4.6875"/>
    <s v=""/>
    <n v="0"/>
    <n v="0"/>
    <s v=""/>
    <s v="4. Transformative"/>
    <s v="3. Responsive"/>
    <s v="2. Sensitive"/>
    <s v="It tested new ways for fighting poverty, but did not measure results of innovation"/>
    <s v="Intensive advocacy"/>
    <s v="It linked and worked with strategic alliances and partners to take tested and effective solutions to scale"/>
  </r>
  <r>
    <x v="21"/>
    <x v="4"/>
    <m/>
    <s v="Zika Response in Ecuador and Peru."/>
    <s v="Ecuador"/>
    <s v="US1RJ"/>
    <s v="No CARE member related to the project/initiative"/>
    <s v="Government"/>
    <s v="Government - US"/>
    <s v="USAID"/>
    <m/>
    <m/>
    <m/>
    <m/>
    <m/>
    <m/>
    <m/>
    <m/>
    <m/>
    <m/>
    <m/>
    <m/>
    <m/>
    <m/>
    <m/>
    <m/>
    <m/>
    <m/>
    <m/>
    <m/>
    <m/>
    <m/>
    <m/>
    <m/>
    <m/>
    <m/>
    <m/>
    <m/>
    <m/>
    <m/>
    <m/>
    <m/>
    <m/>
    <m/>
    <m/>
    <m/>
    <m/>
    <m/>
    <m/>
    <m/>
    <m/>
    <m/>
    <m/>
    <m/>
    <m/>
    <d v="2016-09-30T00:00:00"/>
    <d v="2019-08-31T00:00:00"/>
    <m/>
    <s v="Humanitarian Other"/>
    <n v="9100000"/>
    <s v="Catalina Vargas"/>
    <s v="Program Quality and Resources Mob. Manager"/>
    <s v="catalina.vargas@care.org"/>
    <s v="Cecilia Tamayo"/>
    <s v="Project Director"/>
    <s v="cecilia.tamayo@care.org"/>
    <s v="YES"/>
    <s v="NO"/>
    <s v="NO"/>
    <s v="Aumentar las capacidades comunitarias, locales y nacionales para responder de manera efectiva y oportuna al brote del virus zika y otras enfermedades transmitidas por vectores. Fortalecer la participación directa de las comunidades para la prevención y control del Zika. Fortalecer los esfuerzos regionales y nacionales de reducción de la transmisión del Zika."/>
    <s v="National"/>
    <s v="País: Ecuador_x000a_Provincia de Manabí; Cantones: Portoviejo, Manta, Sucre, San Vicente, Jama, Pedernales_x000a_Provincia de Esmeraldas;Cantón: Muisne_x000a_Provincia de El Oro; Cantones: Huaquillas, Arenilla y Las Lajas"/>
    <s v="Mujeres y hombres en edad reproductiva, embarazadas, adolescentes hombres y mujeres."/>
    <n v="64561"/>
    <n v="64383"/>
    <n v="128944"/>
    <n v="64561"/>
    <n v="64384"/>
    <n v="128945"/>
    <s v="Los participantes directos constituyen  los grupos poblacionales vulnerables (Mujeres embarazadas, población en edad reproductiva, adolescentes hombres y mujeres) y los participantes indirectos el resto de la población del aréa de intervención seleccionada."/>
    <m/>
    <n v="1934"/>
    <n v="1289"/>
    <n v="3223"/>
    <n v="1934"/>
    <n v="1289"/>
    <n v="3223"/>
    <s v="NO"/>
    <m/>
    <m/>
    <m/>
    <s v="NO"/>
    <m/>
    <m/>
    <m/>
    <s v="NO"/>
    <m/>
    <m/>
    <m/>
    <s v="NO"/>
    <m/>
    <m/>
    <m/>
    <s v="NO"/>
    <m/>
    <m/>
    <m/>
    <s v="YES"/>
    <n v="3223"/>
    <n v="0.6"/>
    <n v="1459"/>
    <s v="YES"/>
    <n v="3223"/>
    <n v="0.6"/>
    <n v="1459"/>
    <s v="NO"/>
    <m/>
    <m/>
    <m/>
    <s v="NO"/>
    <m/>
    <m/>
    <m/>
    <s v="YES"/>
    <n v="3223"/>
    <n v="0.6"/>
    <n v="1459"/>
    <s v="NO"/>
    <m/>
    <m/>
    <m/>
    <s v="YES"/>
    <n v="3223"/>
    <n v="0.6"/>
    <n v="1459"/>
    <m/>
    <m/>
    <m/>
    <m/>
    <m/>
    <m/>
    <m/>
    <m/>
    <m/>
    <m/>
    <m/>
    <m/>
    <m/>
    <m/>
    <m/>
    <m/>
    <m/>
    <m/>
    <m/>
    <m/>
    <m/>
    <m/>
    <m/>
    <m/>
    <m/>
    <m/>
    <m/>
    <m/>
    <m/>
    <m/>
    <m/>
    <m/>
    <m/>
    <m/>
    <m/>
    <m/>
    <m/>
    <m/>
    <m/>
    <m/>
    <m/>
    <m/>
    <m/>
    <m/>
    <m/>
    <m/>
    <m/>
    <m/>
    <m/>
    <m/>
    <m/>
    <m/>
    <m/>
    <m/>
    <m/>
    <m/>
    <m/>
    <m/>
    <m/>
    <m/>
    <m/>
    <m/>
    <m/>
    <m/>
    <m/>
    <m/>
    <m/>
    <m/>
    <m/>
    <m/>
    <m/>
    <m/>
    <m/>
    <m/>
    <m/>
    <m/>
    <m/>
    <m/>
    <m/>
    <m/>
    <s v="NO"/>
    <m/>
    <m/>
    <s v="NO"/>
    <s v="YES"/>
    <s v="March"/>
    <n v="2018"/>
    <s v="Se realizará recolección de información para evaluación de medio término a travez de encuestas CAP y estudios EBA."/>
    <x v="1"/>
    <s v="NO"/>
    <s v="NO"/>
    <s v="YES"/>
    <s v="NO"/>
    <s v="NO"/>
    <s v="NO"/>
    <s v="NO"/>
    <s v="NO"/>
    <m/>
    <x v="0"/>
    <m/>
    <x v="1"/>
    <s v="Con municipios se acordó trabajar en mejorar los aspectos relacionados a la recolección de desechos sólidos( potenciales criaderos), y proporcionar infromación a la población sobre manejo adecuado del agua."/>
    <x v="0"/>
    <x v="0"/>
    <s v="YES"/>
    <x v="0"/>
    <x v="0"/>
    <x v="0"/>
    <x v="0"/>
    <n v="4"/>
    <x v="1"/>
    <x v="1"/>
    <x v="1"/>
    <x v="1"/>
    <x v="2"/>
    <x v="1"/>
    <n v="3"/>
    <x v="1"/>
    <x v="1"/>
    <x v="1"/>
    <x v="1"/>
    <x v="1"/>
    <n v="3"/>
    <x v="0"/>
    <x v="3"/>
    <n v="3"/>
    <s v="Local government(s)"/>
    <s v="International NGO(s)"/>
    <s v="University/research institution(s)"/>
    <x v="0"/>
    <s v="SE fortaleció a las OSC propiciando espacios de diálogo y discusión de los temas relevantes que atñen a la comunidad con otros actores tanto del nivle público comom privado( MSP, Municipios, Gobernación, Universidades y otros)"/>
    <m/>
    <m/>
    <m/>
    <m/>
    <s v="Frente a la falta de evidencias y experiencias de trabajo preventivo de zika, con enfoque de género en adolescentes, desarrollar trabajo con mujeres y adolescentes para generar evidencias."/>
    <s v="Se identificó de la necesidad de trabajar con enfoque de género desde fase de formulación del proyecto para lo cual se requiere vincular con presupuesto."/>
    <s v=" Se debe Fortalecer el proceso de rendición de cuentas para lo cual se debe realizar ajustes en la planificación para incorporar dichos procesos, así como definir metodología y herramientas adecuadas."/>
    <s v="Aunque el proyecto tenga una duración de 3 años decidimos referir que el proyecto es humanitario y no desarrollo ya que los sectores propuestos en desarrollo no corresponden a lo que realiza el proyecto y sí en la parte humanitaria."/>
    <s v="POA año 1; IPIA Proyecto; Acuerdo firmado con el donante; Diseño EBA y KAP; Workplan"/>
    <n v="3223"/>
    <n v="3223"/>
    <n v="1"/>
    <n v="0.60006205398696866"/>
    <n v="0.60006205398696866"/>
    <n v="1934"/>
    <n v="1934"/>
    <n v="1"/>
    <n v="3223"/>
    <n v="3223"/>
    <n v="1"/>
    <s v=""/>
    <n v="0"/>
    <n v="0"/>
    <s v=""/>
    <n v="1"/>
    <n v="3223"/>
    <n v="1459"/>
    <n v="0.45268383493639464"/>
    <s v=""/>
    <n v="0"/>
    <n v="0"/>
    <s v=""/>
    <s v=""/>
    <n v="0"/>
    <n v="0"/>
    <s v=""/>
    <s v="2. Sensitive"/>
    <s v="2. Accommodating"/>
    <s v="2. Sensitive"/>
    <s v="It did not develop any specific innovation"/>
    <s v="Moderate advocacy"/>
    <s v="It linked and worked with strategic alliances and partners to take tested and effective solutions to scale"/>
  </r>
  <r>
    <x v="22"/>
    <x v="1"/>
    <n v="2909"/>
    <s v="All Children Reading: Improving School Literacy Through Community Engagement"/>
    <s v="Egypt"/>
    <n v="2909"/>
    <s v="CARE Deutschland-Luxemburg"/>
    <s v="Government"/>
    <s v="Government - Germany"/>
    <s v="GIZ"/>
    <m/>
    <m/>
    <s v="Multilateral agency"/>
    <s v="EU - European Union (other than ECHO)"/>
    <s v="EC-European Commission"/>
    <m/>
    <m/>
    <m/>
    <m/>
    <m/>
    <m/>
    <m/>
    <m/>
    <m/>
    <m/>
    <m/>
    <m/>
    <m/>
    <m/>
    <m/>
    <m/>
    <m/>
    <m/>
    <m/>
    <m/>
    <m/>
    <m/>
    <m/>
    <m/>
    <m/>
    <m/>
    <m/>
    <m/>
    <m/>
    <m/>
    <m/>
    <m/>
    <m/>
    <m/>
    <m/>
    <m/>
    <m/>
    <m/>
    <m/>
    <m/>
    <d v="2015-11-01T00:00:00"/>
    <d v="2017-04-30T00:00:00"/>
    <d v="2017-10-31T00:00:00"/>
    <s v="Development Other"/>
    <n v="364914"/>
    <s v="Ali Abdelmohsen"/>
    <s v="Initiative's Manager"/>
    <s v="ali.mohsen@care.org"/>
    <s v="Amira Hussein"/>
    <s v="Program Director"/>
    <s v="Amira.hussein@care.org"/>
    <s v="NO"/>
    <s v="YES"/>
    <s v="NO"/>
    <s v="Improved quality of educational services in El Warraq and Gaziret El Dahab, especially for children and youth and people with special needs"/>
    <s v="Sub-National"/>
    <s v="Giza"/>
    <s v="students in grades 4, 5 and 6 from the 28 target schools; teachers (mainly Arabic language teachers) from the 28 target schools; social workers; school administrators; MOE Supervisors; school administrations and MOE Readability Department; Members of 20 BOTs (approximately 7 members per BOT); representatives of the MOE, government and key education experts"/>
    <n v="3485"/>
    <n v="3485"/>
    <n v="6970"/>
    <n v="14400"/>
    <n v="14400"/>
    <n v="28800"/>
    <s v="Direct:_x000a_- 6,500 Students in public primary and preparatory schools; 195 teachers; 20 social workers; 57 school administrators; 133 Board of Trustee (BOT) members; 30 community development associations (CDAs) members; 15 supervisors; and 20 representatives of the Ministry of Education (MOE)._x000a_Indirect:_x000a_- Number of Students from 20 schools renovated (32,988)_x000a_- Number of teachers supervised and supported by the 35 supervisors and readability coordinators trained (363)_x000a_- Training on positive discipline and gender awareness to be casacaded to 300 teachers and social workers (300)"/>
    <m/>
    <m/>
    <m/>
    <m/>
    <m/>
    <m/>
    <m/>
    <s v="NO"/>
    <m/>
    <m/>
    <m/>
    <s v="NO"/>
    <m/>
    <m/>
    <m/>
    <s v="NO"/>
    <m/>
    <m/>
    <m/>
    <s v="NO"/>
    <m/>
    <m/>
    <m/>
    <s v="NO"/>
    <m/>
    <m/>
    <m/>
    <s v="NO"/>
    <m/>
    <m/>
    <m/>
    <s v="NO"/>
    <m/>
    <m/>
    <m/>
    <s v="NO"/>
    <m/>
    <m/>
    <m/>
    <s v="NO"/>
    <m/>
    <m/>
    <m/>
    <s v="NO"/>
    <m/>
    <m/>
    <m/>
    <s v="NO"/>
    <m/>
    <m/>
    <m/>
    <s v="NO"/>
    <m/>
    <m/>
    <m/>
    <m/>
    <s v="NO"/>
    <m/>
    <m/>
    <m/>
    <n v="3323"/>
    <n v="4034"/>
    <n v="7357"/>
    <n v="15007"/>
    <n v="18344"/>
    <n v="33351"/>
    <s v="NO"/>
    <m/>
    <m/>
    <m/>
    <s v="NO"/>
    <m/>
    <m/>
    <m/>
    <s v="NO"/>
    <m/>
    <m/>
    <m/>
    <s v="NO"/>
    <m/>
    <m/>
    <m/>
    <s v="NO"/>
    <m/>
    <m/>
    <m/>
    <s v="YES"/>
    <n v="7357"/>
    <n v="0.45"/>
    <n v="33351"/>
    <s v="NO"/>
    <m/>
    <m/>
    <m/>
    <s v="NO"/>
    <m/>
    <m/>
    <m/>
    <s v="NO"/>
    <m/>
    <m/>
    <m/>
    <s v="NO"/>
    <m/>
    <m/>
    <m/>
    <s v="NO"/>
    <m/>
    <m/>
    <m/>
    <s v="NO"/>
    <m/>
    <m/>
    <m/>
    <s v="YES"/>
    <n v="36"/>
    <n v="0.67"/>
    <m/>
    <s v="NO"/>
    <m/>
    <m/>
    <m/>
    <s v="NO"/>
    <m/>
    <m/>
    <m/>
    <s v="NO"/>
    <m/>
    <m/>
    <m/>
    <m/>
    <s v="NO"/>
    <m/>
    <m/>
    <m/>
    <s v="NO"/>
    <m/>
    <m/>
    <m/>
    <s v="YES"/>
    <s v="October"/>
    <n v="2017"/>
    <m/>
    <x v="1"/>
    <s v="NO"/>
    <s v="NO"/>
    <s v="YES"/>
    <s v="YES"/>
    <s v="YES"/>
    <s v="NO"/>
    <s v="NO"/>
    <s v="NO"/>
    <m/>
    <x v="0"/>
    <m/>
    <x v="3"/>
    <m/>
    <x v="0"/>
    <x v="0"/>
    <s v="YES"/>
    <x v="1"/>
    <x v="0"/>
    <x v="0"/>
    <x v="1"/>
    <n v="3"/>
    <x v="1"/>
    <x v="1"/>
    <x v="1"/>
    <x v="1"/>
    <x v="1"/>
    <x v="1"/>
    <n v="4"/>
    <x v="1"/>
    <x v="1"/>
    <x v="2"/>
    <x v="1"/>
    <x v="3"/>
    <n v="2"/>
    <x v="2"/>
    <x v="2"/>
    <n v="4"/>
    <s v="Local government(s)"/>
    <s v="Local NGO(s)/CSO(s)"/>
    <m/>
    <x v="0"/>
    <s v="Training on social accountability and public hearings"/>
    <m/>
    <s v="Engaging government partners"/>
    <s v="Participatory implementation of the project's interventions"/>
    <s v="Readability Program"/>
    <s v="Training MOE supersivers is crucial to precede training teachers in order to enable supervisors to give teachers timely needed support and monitor their performance"/>
    <s v="Renovating school infrastructure without formation of a maintenance team in the school jeopradizes sustainability of renovation"/>
    <s v="Addressing teachers' motivation is important for implementing the Readability Program, especailly in urban settings where private tutoring is more common"/>
    <m/>
    <m/>
    <n v="7357"/>
    <n v="33351"/>
    <n v="4.5332336550224275"/>
    <n v="0.4516786733722985"/>
    <n v="0.44997151509699856"/>
    <n v="3323"/>
    <n v="15007"/>
    <s v=""/>
    <n v="0"/>
    <n v="0"/>
    <s v=""/>
    <s v=""/>
    <n v="0"/>
    <n v="0"/>
    <s v=""/>
    <s v=""/>
    <n v="0"/>
    <n v="0"/>
    <s v=""/>
    <s v=""/>
    <n v="0"/>
    <n v="0"/>
    <s v=""/>
    <s v=""/>
    <n v="0"/>
    <n v="0"/>
    <s v=""/>
    <s v="1. Neutral"/>
    <s v="2. Accommodating"/>
    <s v="1. Neutral"/>
    <s v="It did not develop any specific innovation"/>
    <s v="Moderate advocacy"/>
    <s v="It took tested solutions to scale on its own"/>
  </r>
  <r>
    <x v="22"/>
    <x v="1"/>
    <m/>
    <s v="Engaging Men and Boys (EMB) in combatting GBV in Egypt"/>
    <s v="Egypt"/>
    <s v="DEUEEG0002"/>
    <s v="CARE Egypt"/>
    <s v="Government"/>
    <s v="ECHO - European Commission for Humanitarian Aid and Civil Protection"/>
    <s v="EC-European Commission"/>
    <m/>
    <m/>
    <m/>
    <m/>
    <m/>
    <m/>
    <m/>
    <m/>
    <m/>
    <m/>
    <m/>
    <m/>
    <m/>
    <m/>
    <m/>
    <m/>
    <m/>
    <m/>
    <m/>
    <m/>
    <m/>
    <m/>
    <m/>
    <m/>
    <m/>
    <m/>
    <m/>
    <m/>
    <m/>
    <m/>
    <m/>
    <m/>
    <m/>
    <m/>
    <m/>
    <m/>
    <m/>
    <m/>
    <m/>
    <m/>
    <m/>
    <m/>
    <m/>
    <m/>
    <m/>
    <d v="2016-03-01T00:00:00"/>
    <d v="2018-02-28T00:00:00"/>
    <m/>
    <s v="Development A Life Free From Violence (GBV)"/>
    <n v="326158"/>
    <s v="Sandra Azmy"/>
    <s v="Women's Rights Program Director"/>
    <s v="sandra.azmy@care.org"/>
    <m/>
    <m/>
    <m/>
    <s v="NO"/>
    <s v="YES"/>
    <s v="NO"/>
    <s v="To reduce gender-based violence and promote gender equity in rural and low-income communities in Egypt."/>
    <s v="Sub-National"/>
    <s v="The project is implemented in five target areas (Cairo, Giza, Sohag, Assiut, and Minia)"/>
    <s v="The impact group is 6000 beneficiaries (1500 women and girls + 4500 men and boys) from the five targeted governorates. This will be achieved through the development of two curricula for engaging men and boys for age groups 10-18 and 19-35 in a participatory manner in conjunction with four NGOs. The successful finalization of the manual willl follow subsequent trainings to another 40 NGOs, which will guarantee the scaling and widespread impact of the initiatives as an outreach endeavour that targets the wider community."/>
    <n v="1500"/>
    <n v="4500"/>
    <n v="6000"/>
    <m/>
    <m/>
    <m/>
    <s v="The indirect beneficiaries will be measured as per the unfolding of the project, and upon evaluations. For this fiscal year, the project is at its preparatory phase wherein only capacity building trainings for NGOs' staff were implemented; thus, no indirect beneficiaries have been reached. Starting from the new fiscal year, CARE will incorporate a question on the transfer of knowledge in order to accurately calculate the indirect beneficiaries."/>
    <m/>
    <m/>
    <m/>
    <m/>
    <m/>
    <m/>
    <m/>
    <m/>
    <m/>
    <m/>
    <m/>
    <m/>
    <m/>
    <m/>
    <m/>
    <m/>
    <m/>
    <m/>
    <m/>
    <m/>
    <m/>
    <m/>
    <m/>
    <m/>
    <m/>
    <m/>
    <m/>
    <m/>
    <m/>
    <m/>
    <m/>
    <m/>
    <m/>
    <m/>
    <m/>
    <m/>
    <m/>
    <m/>
    <m/>
    <m/>
    <m/>
    <m/>
    <m/>
    <m/>
    <m/>
    <m/>
    <m/>
    <m/>
    <m/>
    <m/>
    <m/>
    <m/>
    <m/>
    <m/>
    <m/>
    <m/>
    <m/>
    <m/>
    <m/>
    <m/>
    <n v="9"/>
    <n v="25"/>
    <n v="34"/>
    <n v="0"/>
    <n v="0"/>
    <n v="0"/>
    <m/>
    <m/>
    <m/>
    <m/>
    <m/>
    <m/>
    <m/>
    <m/>
    <m/>
    <m/>
    <m/>
    <m/>
    <m/>
    <m/>
    <m/>
    <m/>
    <m/>
    <m/>
    <m/>
    <m/>
    <m/>
    <m/>
    <m/>
    <m/>
    <m/>
    <m/>
    <m/>
    <m/>
    <s v="YES"/>
    <n v="34"/>
    <n v="0.26"/>
    <m/>
    <s v="YES"/>
    <m/>
    <m/>
    <m/>
    <m/>
    <m/>
    <m/>
    <m/>
    <m/>
    <m/>
    <m/>
    <m/>
    <m/>
    <m/>
    <m/>
    <m/>
    <m/>
    <m/>
    <m/>
    <m/>
    <m/>
    <m/>
    <m/>
    <m/>
    <m/>
    <m/>
    <m/>
    <m/>
    <m/>
    <m/>
    <m/>
    <m/>
    <m/>
    <m/>
    <m/>
    <m/>
    <m/>
    <s v="YES"/>
    <s v="March"/>
    <n v="2016"/>
    <s v="YES"/>
    <s v="YES"/>
    <s v="February"/>
    <n v="2018"/>
    <m/>
    <x v="0"/>
    <m/>
    <m/>
    <s v="YES"/>
    <m/>
    <m/>
    <m/>
    <m/>
    <m/>
    <m/>
    <x v="1"/>
    <s v="This project aims to end gender-based violence in Egypt through a holistic and synchronized approach to social change, including a practical model for engaging men and boys (EMB) culturally adapted to the Middle Easter context."/>
    <x v="1"/>
    <s v="A first draft of engaging men (aged 19 to 35) manual has been developed along with the toolkit, in a participatory manner in conjunction with four NGOs. CARE is currently testing the manual and obtaining feedback on it."/>
    <x v="2"/>
    <x v="1"/>
    <s v="YES"/>
    <x v="0"/>
    <x v="0"/>
    <x v="1"/>
    <x v="4"/>
    <n v="3"/>
    <x v="1"/>
    <x v="1"/>
    <x v="2"/>
    <x v="1"/>
    <x v="2"/>
    <x v="4"/>
    <n v="2"/>
    <x v="1"/>
    <x v="1"/>
    <x v="1"/>
    <x v="1"/>
    <x v="1"/>
    <n v="3"/>
    <x v="2"/>
    <x v="2"/>
    <n v="4"/>
    <s v="Grassroots organization(s)"/>
    <m/>
    <m/>
    <x v="0"/>
    <s v="NGOs were provided with a capacity building training on proposal writing in order to assist them with developing their pilot ideas and drafting their concept notes in regards to engaging men and boys. In addition, a training on character-building skills benefited NGOs' staff between the 26th of February and the 2nd of March 2017. That was in order to increase their self-awareness and to grasp the extent of how much their backgrounds and life experiences could trigger violence. Through the training, participants were cognized on ways to channel their internal energy in positive ways rather than expressing themselves in coercive methods such as violence. They also became aware of their identity and self-image, and comprehended their rights and responsibilities. They were subsequently provided with practical ways to deal with anger, respect boundaries and privacy, and challenge cultural expectations that reinforce certain pre-determined gender roles both within and outside the family."/>
    <m/>
    <s v="Engaging Men and Boys (EMB) in combatting GBV in Egypt"/>
    <s v="Parterning with four local NGOs to develop engaging men and boys curricula."/>
    <m/>
    <s v="Scaling the innovation of engaging men and boys requires an in-depth, gender transformative, and focused cirriculum, which takes a prolonged time to develop and test."/>
    <s v="Capacity building is crucial for NGOs in Egypt as there is a general lack in the knowhow and needed skills to integrate EMB among most NGOs working on women rights in Egypt today."/>
    <m/>
    <s v="The project is still in its preparatory phase, as CARE is currently in the process of developing and testing engaging men and boys curricula."/>
    <m/>
    <n v="34"/>
    <n v="0"/>
    <n v="0"/>
    <n v="0.26470588235294118"/>
    <s v=""/>
    <n v="9"/>
    <n v="0"/>
    <s v=""/>
    <n v="0"/>
    <n v="0"/>
    <s v=""/>
    <s v=""/>
    <n v="0"/>
    <n v="0"/>
    <s v=""/>
    <s v=""/>
    <n v="0"/>
    <n v="0"/>
    <s v=""/>
    <n v="1"/>
    <n v="34"/>
    <n v="0"/>
    <n v="0"/>
    <s v=""/>
    <n v="0"/>
    <n v="0"/>
    <s v=""/>
    <s v="3. Responsive"/>
    <s v="1. Tokenistic"/>
    <s v="2. Sensitive"/>
    <s v="It tested new ways for fighting poverty, but did not measure results of innovation"/>
    <s v="Little or no advocacy"/>
    <s v="It linked and worked with strategic alliances and partners to take tested and effective solutions to scale"/>
  </r>
  <r>
    <x v="22"/>
    <x v="1"/>
    <m/>
    <s v="Ensuring Supportive and Safe Quality Education for Girls"/>
    <s v="Egypt"/>
    <m/>
    <s v="CARE USA"/>
    <s v="Foundation"/>
    <s v="Other"/>
    <s v="Dubai Cares"/>
    <n v="2910"/>
    <s v="No CARE member related to the project/initiative"/>
    <s v="Multilateral agency"/>
    <s v="UN - United Nations agencies/offices"/>
    <s v="UN WOMEN"/>
    <n v="2910"/>
    <s v="No CARE member related to the project/initiative"/>
    <s v="Government"/>
    <s v="Government - Japan"/>
    <s v="The Japanese Embassy in Egypt"/>
    <m/>
    <s v="No CARE member related to the project/initiative"/>
    <s v="Foundation"/>
    <s v="Other"/>
    <s v="Sawiris Foundation"/>
    <m/>
    <m/>
    <m/>
    <m/>
    <m/>
    <m/>
    <m/>
    <m/>
    <m/>
    <m/>
    <m/>
    <m/>
    <m/>
    <m/>
    <m/>
    <m/>
    <m/>
    <m/>
    <m/>
    <m/>
    <m/>
    <m/>
    <m/>
    <m/>
    <m/>
    <m/>
    <m/>
    <m/>
    <m/>
    <m/>
    <d v="2016-04-01T00:00:00"/>
    <d v="2019-07-01T00:00:00"/>
    <m/>
    <s v="Development Other"/>
    <n v="3295417"/>
    <s v="Amira Hussein"/>
    <s v="Director of the Education Program"/>
    <s v="amira.hussein@care.org "/>
    <s v="Hesham El Zeftawi"/>
    <s v="Initiative's Manager"/>
    <s v="hesham.elzeftawi@care.org"/>
    <s v="NO"/>
    <s v="YES"/>
    <s v="NO"/>
    <s v="Improve quality of education for girls in a safe and engaging school environment across 3 governorates in Upper Egypt"/>
    <s v="Sub-National"/>
    <s v="Giza, Sharqiah, Minya, Beni Suief, Assiut"/>
    <s v="Students, teachers, social workers, school administrators, supervisors, parents, grassroots organizations and youth groups, NGOs"/>
    <n v="8304"/>
    <n v="8315"/>
    <n v="16619"/>
    <n v="18720"/>
    <n v="18720"/>
    <n v="37440"/>
    <s v="These numbers are an aggregation for two projects, one titled Ensuring Safe and Support Quality Education (DC), and another titled Promoting Equitable Education for Girls (UNW). The breakdown is as follows: _x000a_DC Direct: 1500 students (50% female), 250 teachers (50% female), 50 social workers, (50% female), 60 school management staff (50% female), 60 P.E. teachers (50% female), 90 girl community leaders, 90 members of the maintenance team (50% female)_x000a_UNW direct: 25 community CDA members (12 female), 70 BoT members (30 female), 600 students (50% female), 100 community youth (50% female), 12 social workers (50% female), 60 teachers (50% female), 12 school management staff (50% female)_x000a_Indirect for both: there are a total of 36 schools that will receive renovation; with an average number of 1000 students per school (amounting to 36,000, 50% female). Additionally, 60 social workers will be trained (50 DC and 10 UNW) who coach an average of 24 teachers each."/>
    <m/>
    <m/>
    <m/>
    <m/>
    <m/>
    <m/>
    <m/>
    <m/>
    <m/>
    <m/>
    <m/>
    <m/>
    <m/>
    <m/>
    <m/>
    <m/>
    <m/>
    <m/>
    <m/>
    <m/>
    <m/>
    <m/>
    <m/>
    <m/>
    <m/>
    <m/>
    <m/>
    <m/>
    <m/>
    <m/>
    <m/>
    <m/>
    <m/>
    <m/>
    <m/>
    <m/>
    <m/>
    <m/>
    <m/>
    <m/>
    <m/>
    <m/>
    <m/>
    <m/>
    <m/>
    <m/>
    <m/>
    <m/>
    <m/>
    <m/>
    <m/>
    <m/>
    <m/>
    <m/>
    <m/>
    <m/>
    <m/>
    <m/>
    <m/>
    <m/>
    <m/>
    <m/>
    <n v="15222"/>
    <n v="5329"/>
    <n v="5000"/>
    <n v="10329"/>
    <s v="NO"/>
    <m/>
    <m/>
    <m/>
    <s v="NO"/>
    <m/>
    <m/>
    <m/>
    <s v="NO"/>
    <m/>
    <m/>
    <m/>
    <s v="NO"/>
    <m/>
    <m/>
    <m/>
    <s v="NO"/>
    <m/>
    <m/>
    <m/>
    <s v="YES"/>
    <n v="15122"/>
    <m/>
    <n v="329"/>
    <s v="NO"/>
    <m/>
    <m/>
    <m/>
    <s v="NO"/>
    <m/>
    <m/>
    <m/>
    <s v="NO"/>
    <m/>
    <m/>
    <m/>
    <s v="NO"/>
    <m/>
    <m/>
    <m/>
    <s v="NO"/>
    <m/>
    <m/>
    <m/>
    <s v="NO"/>
    <m/>
    <m/>
    <m/>
    <s v="NO"/>
    <m/>
    <m/>
    <m/>
    <s v="NO"/>
    <m/>
    <m/>
    <m/>
    <s v="YES"/>
    <n v="10579"/>
    <m/>
    <n v="10000"/>
    <m/>
    <m/>
    <m/>
    <m/>
    <m/>
    <m/>
    <m/>
    <m/>
    <m/>
    <s v="YES"/>
    <s v="November"/>
    <n v="2016"/>
    <s v="YES"/>
    <s v="YES"/>
    <s v="December"/>
    <n v="2017"/>
    <s v="The baseline conducted in November 2016 and the final evaluation that will be conducted in December 2017 will only be for the &quot;promoting equitable education for girls&quot; project while the &quot;ensuring safe and support quality education for girls&quot; project is yet to have its baseline results revealed and its final evaluation will likely be in 2019"/>
    <x v="2"/>
    <s v="NO"/>
    <s v="YES"/>
    <s v="YES"/>
    <s v="YES"/>
    <s v="YES"/>
    <s v="NO"/>
    <s v="NO"/>
    <s v="NO"/>
    <m/>
    <x v="1"/>
    <s v="Developed a manual for Student Union activation, accredited it in the Professional Academy for Teachers, and trained a group of MoE trainers on cascading the manual; advocating for the establishment of a central level child protection unit."/>
    <x v="1"/>
    <s v="It applied the readability program in cooperation with the MoE. It activated child protection policies and trained local level social workers' supervisors on the CP mechanisms"/>
    <x v="1"/>
    <x v="1"/>
    <s v="YES"/>
    <x v="0"/>
    <x v="1"/>
    <x v="1"/>
    <x v="4"/>
    <n v="2"/>
    <x v="1"/>
    <x v="1"/>
    <x v="1"/>
    <x v="1"/>
    <x v="1"/>
    <x v="1"/>
    <n v="4"/>
    <x v="1"/>
    <x v="1"/>
    <x v="1"/>
    <x v="2"/>
    <x v="3"/>
    <n v="2"/>
    <x v="2"/>
    <x v="0"/>
    <n v="3"/>
    <s v="National government"/>
    <s v="Local government(s)"/>
    <s v="Grassroots organization(s)"/>
    <x v="2"/>
    <s v="It trained members of community development associations on resource mobilization, initiative planning, and awareness campaigns."/>
    <s v="While CDAs were initially only going to participate in the project as volunteers in activities, CARE established MoUs with all 4 partner CDAs and supported them in leading their own awareness campaigns"/>
    <s v="CSO engagement"/>
    <s v="MoE partnership in building teacher capacity"/>
    <s v="Strengthening child protection mechanisms in school through engagement of social workers"/>
    <s v="MoE support is necessary to activate change to current school protection mechanisms - which led us to start an advocacy plan in creating a child protection unit in the MoE central level"/>
    <s v="Relying on volunteers is better for sustainability as they are more present in the community. Youth volunteers and CDAs were very useful in reaching out to the community when conducting awareness campaigns. Additionally, CDAs conducted awareness campaigns independently of CARE's work."/>
    <s v="A maintenance team that is capable of simple maintenance is a good tool to preserve school renovations"/>
    <m/>
    <m/>
    <n v="15222"/>
    <n v="10329"/>
    <n v="0.67855735120220728"/>
    <n v="0"/>
    <n v="0.51592603349791843"/>
    <n v="0"/>
    <n v="5329"/>
    <s v=""/>
    <n v="0"/>
    <n v="0"/>
    <s v=""/>
    <n v="1"/>
    <n v="10579"/>
    <n v="10000"/>
    <n v="0.94526892901030346"/>
    <s v=""/>
    <n v="0"/>
    <n v="0"/>
    <s v=""/>
    <s v=""/>
    <n v="0"/>
    <n v="0"/>
    <s v=""/>
    <s v=""/>
    <n v="0"/>
    <n v="0"/>
    <s v=""/>
    <s v="3. Responsive"/>
    <s v="2. Accommodating"/>
    <s v="1. Neutral"/>
    <s v="It tested new ways for fighting poverty, but did not measure results of innovation"/>
    <s v="Intensive advocacy"/>
    <s v="It linked and worked with strategic alliances and partners to take tested and effective solutions to scale"/>
  </r>
  <r>
    <x v="22"/>
    <x v="1"/>
    <n v="2915"/>
    <s v="Human Security through Inclusive Socioeconomic Development in Upper Egypt: 2915_x000a__x000a_Kadam ElKhier: 2916"/>
    <s v="Egypt"/>
    <s v="UNWNEG0006"/>
    <s v="CARE Egypt"/>
    <s v="Multilateral agency"/>
    <s v="UN - United Nations agencies/offices"/>
    <s v="UN WOMEN"/>
    <s v="UNWNEG0004"/>
    <s v="CARE Egypt"/>
    <s v="Multilateral agency"/>
    <s v="UN - United Nations agencies/offices"/>
    <s v="UN WOMEN"/>
    <m/>
    <m/>
    <m/>
    <m/>
    <m/>
    <m/>
    <m/>
    <m/>
    <m/>
    <m/>
    <m/>
    <m/>
    <m/>
    <m/>
    <m/>
    <m/>
    <m/>
    <m/>
    <m/>
    <m/>
    <m/>
    <m/>
    <m/>
    <m/>
    <m/>
    <m/>
    <m/>
    <m/>
    <m/>
    <m/>
    <m/>
    <m/>
    <m/>
    <m/>
    <m/>
    <m/>
    <m/>
    <m/>
    <m/>
    <m/>
    <d v="2013-11-01T00:00:00"/>
    <d v="2017-09-30T00:00:00"/>
    <m/>
    <s v="Development Access to and Control over Economic Resources"/>
    <n v="1152099"/>
    <s v="Sandra Azmy"/>
    <s v="Women's Rights Program Director"/>
    <s v="sandra.azmy@care.org"/>
    <s v="Marwa Saleh"/>
    <s v="Initiative Manager"/>
    <s v="marwa.saleh@care.org"/>
    <s v="NO"/>
    <s v="YES"/>
    <s v="NO"/>
    <s v="To improve women’s economic and social security in the targeted communities."/>
    <s v="Sub-National"/>
    <s v="HAYAT was implemented in Minia governorate, wherein Kadam ElKhier is in Assiut and Beni Suef."/>
    <s v="Poorest and most marginalized women in Upper Egypt (especially in Minia, Assiut, and Beni Suef)"/>
    <n v="10000"/>
    <n v="0"/>
    <n v="10000"/>
    <n v="40000"/>
    <n v="0"/>
    <n v="40000"/>
    <s v="The indirect beneficiaries are the household members of VSLA members as VSLA in fact improves the socioeconomic of the whole familiy. Thus, the indirect is the direct multiplied by 4 (5 'average household numbers' - 1 'direct beneficiary')."/>
    <m/>
    <m/>
    <m/>
    <m/>
    <m/>
    <m/>
    <m/>
    <m/>
    <m/>
    <m/>
    <m/>
    <m/>
    <m/>
    <m/>
    <m/>
    <m/>
    <m/>
    <m/>
    <m/>
    <m/>
    <m/>
    <m/>
    <m/>
    <m/>
    <m/>
    <m/>
    <m/>
    <m/>
    <m/>
    <m/>
    <m/>
    <m/>
    <m/>
    <m/>
    <m/>
    <m/>
    <m/>
    <m/>
    <m/>
    <m/>
    <m/>
    <m/>
    <m/>
    <m/>
    <m/>
    <m/>
    <m/>
    <m/>
    <m/>
    <m/>
    <m/>
    <m/>
    <m/>
    <m/>
    <m/>
    <m/>
    <m/>
    <m/>
    <m/>
    <m/>
    <n v="13876"/>
    <n v="769"/>
    <n v="14645"/>
    <n v="55504"/>
    <n v="3076"/>
    <n v="58580"/>
    <m/>
    <m/>
    <m/>
    <m/>
    <m/>
    <m/>
    <m/>
    <m/>
    <m/>
    <m/>
    <m/>
    <m/>
    <m/>
    <m/>
    <m/>
    <m/>
    <m/>
    <m/>
    <m/>
    <m/>
    <m/>
    <m/>
    <m/>
    <m/>
    <m/>
    <m/>
    <m/>
    <m/>
    <m/>
    <m/>
    <m/>
    <m/>
    <m/>
    <m/>
    <m/>
    <m/>
    <m/>
    <m/>
    <m/>
    <m/>
    <m/>
    <m/>
    <m/>
    <m/>
    <m/>
    <m/>
    <m/>
    <m/>
    <m/>
    <m/>
    <m/>
    <m/>
    <m/>
    <m/>
    <m/>
    <m/>
    <m/>
    <m/>
    <m/>
    <m/>
    <s v="YES"/>
    <n v="14645"/>
    <n v="0.95"/>
    <n v="65580"/>
    <m/>
    <m/>
    <m/>
    <m/>
    <m/>
    <s v="YES"/>
    <s v="March"/>
    <n v="2017"/>
    <s v="YES"/>
    <s v="NO"/>
    <m/>
    <m/>
    <m/>
    <x v="0"/>
    <m/>
    <m/>
    <s v="YES"/>
    <m/>
    <m/>
    <m/>
    <m/>
    <m/>
    <m/>
    <x v="2"/>
    <m/>
    <x v="0"/>
    <m/>
    <x v="1"/>
    <x v="1"/>
    <s v="YES"/>
    <x v="0"/>
    <x v="0"/>
    <x v="0"/>
    <x v="2"/>
    <n v="4"/>
    <x v="1"/>
    <x v="1"/>
    <x v="1"/>
    <x v="1"/>
    <x v="2"/>
    <x v="1"/>
    <n v="3"/>
    <x v="1"/>
    <x v="2"/>
    <x v="1"/>
    <x v="1"/>
    <x v="3"/>
    <n v="2"/>
    <x v="2"/>
    <x v="3"/>
    <n v="2"/>
    <s v="Grassroots organization(s)"/>
    <m/>
    <m/>
    <x v="3"/>
    <m/>
    <m/>
    <s v="A capacity-building program for community-based organizations (CBOs) has proven influential to address their actual needs and to assist them in realizing the relevance of the project’s interventions to their communities’ needs was crucial to reach the project’s target and impact"/>
    <s v="Financial literacy and social empowerment were stepping stones for women’s success in VSLA groups."/>
    <s v="Creating partnerships with local and international NGOs provided VSLA members with access to other activities/services including vocational trainings, issuing of national identifications, etc."/>
    <s v="Engaging community leaders and CBOs from the beginning of the project increases their ownership of the project"/>
    <s v="Communities and CBOs must be carefully selected, as many value philanthropy over development activities."/>
    <s v="Prevalence of religious misconceptions regarding interest on loans refrained some people from joining VSLA groups."/>
    <s v="When determining the indirect beneficiaries during the fiscal year, it was calculated as such:_x000a_- Household members of VSLA members (an average of 4 members), as VSLA does not only benefit direct beneficiaries; but, it also reaches out to their households and improves their economic securities. _x000a_- A comic awareness-raising book on human security was distributed among 1,750 families in the targeted communities; thus, the indirect is 7000 individuals (not yet disaggregated as per sex and age)"/>
    <m/>
    <n v="14645"/>
    <n v="58580"/>
    <n v="4"/>
    <n v="0.94749061113007849"/>
    <n v="0.94749061113007849"/>
    <n v="13876"/>
    <n v="55504"/>
    <s v=""/>
    <n v="0"/>
    <n v="0"/>
    <s v=""/>
    <s v=""/>
    <n v="0"/>
    <n v="0"/>
    <s v=""/>
    <s v=""/>
    <n v="0"/>
    <n v="0"/>
    <s v=""/>
    <s v=""/>
    <n v="0"/>
    <n v="0"/>
    <s v=""/>
    <n v="1"/>
    <n v="14645"/>
    <n v="65580"/>
    <n v="4.477978832365995"/>
    <s v="4. Transformative"/>
    <s v="2. Accommodating"/>
    <s v="1. Neutral"/>
    <s v="It tested new ways for fighting poverty and measured results of innovation"/>
    <s v="Little or no advocacy"/>
    <s v="It did not take tested solutions to scale"/>
  </r>
  <r>
    <x v="22"/>
    <x v="1"/>
    <n v="2908"/>
    <s v="Improving Syrian and Egyptian Children's Access to Formal and Informal Education"/>
    <s v="Egypt"/>
    <n v="2908"/>
    <s v="CARE Canada"/>
    <s v="Government"/>
    <s v="Government - Canada"/>
    <s v="Global Affairs Canada (GAC) "/>
    <m/>
    <m/>
    <m/>
    <m/>
    <m/>
    <m/>
    <m/>
    <m/>
    <m/>
    <m/>
    <m/>
    <m/>
    <m/>
    <m/>
    <m/>
    <m/>
    <m/>
    <m/>
    <m/>
    <m/>
    <m/>
    <m/>
    <m/>
    <m/>
    <m/>
    <m/>
    <m/>
    <m/>
    <m/>
    <m/>
    <m/>
    <m/>
    <m/>
    <m/>
    <m/>
    <m/>
    <m/>
    <m/>
    <m/>
    <m/>
    <m/>
    <m/>
    <m/>
    <m/>
    <m/>
    <d v="2015-04-01T00:00:00"/>
    <d v="2017-06-01T00:00:00"/>
    <d v="2018-04-01T00:00:00"/>
    <s v="Development Other"/>
    <n v="1784569"/>
    <s v="Amira Hussein"/>
    <s v="Director of the Education Program"/>
    <s v="amira.hussein@care.org "/>
    <s v="Samar Dowidar"/>
    <s v="Initiative's Manager"/>
    <s v="samar.dowidar@care.org"/>
    <s v="YES"/>
    <s v="YES"/>
    <s v="YES"/>
    <s v="Improved access to quality formal and non-formal education in a protective learning environment for vulnerable school-aged girls and boys from Syrian and Egypt"/>
    <s v="Sub-National"/>
    <s v="Cairo, Giza, Qalyubia, Sharqiya"/>
    <s v="Syrian and Egyptian students, teachers, social workers, school administrators, supervisors, parents"/>
    <n v="13016"/>
    <n v="13128"/>
    <n v="26144"/>
    <n v="18538"/>
    <n v="18538"/>
    <n v="37076"/>
    <s v="Direct Participants: 196 BoT members (30% women), 56 supervisors (50% women), 56 social workers (50% women), 152 teachers (50% women), 84 school management members (30% women), 20,000 students (50% girls), and 5600 parents (50% women). _x000a_Indirect Participants: total number of students in all 28 schools (33,604 - 50% girls) as renovation is part of the project activities and it impacts all students, 54 supervisors usually work in 4 schools each, which has 6 arabic teachers on average - meaning that each supervisor can reach 24 teachers (thus, 54*24), all 196 BoT members have spouses who they can cascade the trainings to (thus, 196*2)"/>
    <m/>
    <n v="2314"/>
    <n v="2072"/>
    <n v="4386"/>
    <n v="5242"/>
    <n v="4838"/>
    <n v="10080"/>
    <m/>
    <m/>
    <m/>
    <m/>
    <m/>
    <m/>
    <m/>
    <m/>
    <s v="YES"/>
    <n v="4386"/>
    <n v="0.52"/>
    <m/>
    <m/>
    <m/>
    <m/>
    <m/>
    <m/>
    <m/>
    <m/>
    <m/>
    <m/>
    <m/>
    <m/>
    <m/>
    <m/>
    <m/>
    <m/>
    <m/>
    <m/>
    <m/>
    <m/>
    <m/>
    <m/>
    <m/>
    <m/>
    <m/>
    <m/>
    <m/>
    <m/>
    <m/>
    <m/>
    <m/>
    <m/>
    <m/>
    <s v="YES"/>
    <n v="4386"/>
    <n v="0.52"/>
    <n v="10080"/>
    <m/>
    <m/>
    <m/>
    <m/>
    <m/>
    <n v="2543"/>
    <n v="2516"/>
    <n v="5059"/>
    <n v="11659"/>
    <n v="12219"/>
    <n v="23878"/>
    <s v="NO"/>
    <m/>
    <m/>
    <m/>
    <s v="NO"/>
    <m/>
    <m/>
    <m/>
    <s v="NO"/>
    <m/>
    <m/>
    <m/>
    <s v="NO"/>
    <m/>
    <m/>
    <m/>
    <s v="NO"/>
    <m/>
    <m/>
    <m/>
    <s v="YES"/>
    <n v="5059"/>
    <m/>
    <n v="356"/>
    <s v="NO"/>
    <m/>
    <m/>
    <m/>
    <s v="NO"/>
    <m/>
    <m/>
    <m/>
    <s v="NO"/>
    <m/>
    <m/>
    <m/>
    <s v="NO"/>
    <m/>
    <m/>
    <m/>
    <s v="NO"/>
    <m/>
    <m/>
    <m/>
    <s v="NO"/>
    <m/>
    <m/>
    <m/>
    <s v="NO"/>
    <m/>
    <m/>
    <m/>
    <s v="NO"/>
    <m/>
    <m/>
    <m/>
    <s v="YES"/>
    <n v="4477"/>
    <m/>
    <n v="23522"/>
    <s v="NO"/>
    <m/>
    <m/>
    <m/>
    <m/>
    <m/>
    <m/>
    <m/>
    <m/>
    <s v="NO"/>
    <m/>
    <m/>
    <m/>
    <s v="YES"/>
    <s v="March"/>
    <n v="2018"/>
    <s v="The final evaluation will be conducted in March 2018. The most noteworthy issue with the evaluation is that this project aims to improve enrollment levels of Syrians in Egyptian schools; however, significant demographic changes has happened since the start of the project and thus it is likely to receive data of enrollment dropping in some of the target schools. Unfortunately, there is no available data to cross check on whether the Syrian population has also reduced from the target communities to confirm that the change is an externality."/>
    <x v="1"/>
    <m/>
    <m/>
    <s v="YES"/>
    <s v="YES"/>
    <s v="YES"/>
    <m/>
    <m/>
    <m/>
    <m/>
    <x v="0"/>
    <m/>
    <x v="1"/>
    <s v="It applied the readability program in Asmarat in cooperation with the Ministry of Education. Additionally, it applied child protection committees in the ten target schools and activated Student Unions."/>
    <x v="1"/>
    <x v="1"/>
    <s v="YES"/>
    <x v="0"/>
    <x v="1"/>
    <x v="1"/>
    <x v="4"/>
    <n v="2"/>
    <x v="1"/>
    <x v="1"/>
    <x v="1"/>
    <x v="1"/>
    <x v="1"/>
    <x v="1"/>
    <n v="4"/>
    <x v="1"/>
    <x v="1"/>
    <x v="1"/>
    <x v="1"/>
    <x v="1"/>
    <n v="3"/>
    <x v="2"/>
    <x v="0"/>
    <n v="2"/>
    <s v="International NGO(s)"/>
    <s v="Local government(s)"/>
    <m/>
    <x v="1"/>
    <m/>
    <s v="The project team has exerted a great deal of effort in creating training material for raising gender awareness. It was noted in the previous assessment of the project that CARE's gender material needs to be tailored to fit the true needs of the beneficiaries."/>
    <s v="Cultural events to create bonds between Syrians and Egyptians students. This proejct relied heavily on student camps, open days, theatre, art etc. to build social cohesion between Syrian refugees and the host community"/>
    <s v="Mainstreaming child protection policies and mechanisms in school"/>
    <s v="Partnering with the Ministry of Education to reach positive results in the readability program"/>
    <s v="Conducting awareness events with beneficiaries on how to maintain the school is a necessary step that must be taken before starting school renovation"/>
    <s v="Engaging relevant government partners is essential to take trainings on new pedagogical tools and methods to scale"/>
    <s v="Relying on distribution of unifrms and educational kits for incentivizing students to go to school should only occur in  a confined manner where students are unaware of who is receiving the kits or otherwise to the entire school to avoid potential discrimination between students who received kits an those who didnt."/>
    <m/>
    <m/>
    <n v="5059"/>
    <n v="23878"/>
    <n v="4.7199051195888515"/>
    <n v="0.50266851156355008"/>
    <n v="0.48827372476756847"/>
    <n v="2543"/>
    <n v="11659"/>
    <n v="1"/>
    <n v="4386"/>
    <n v="10080"/>
    <n v="2.2982216142270864"/>
    <n v="1"/>
    <n v="4477"/>
    <n v="23522"/>
    <n v="5.2539647085101633"/>
    <s v=""/>
    <n v="0"/>
    <n v="0"/>
    <s v=""/>
    <s v=""/>
    <n v="0"/>
    <n v="0"/>
    <s v=""/>
    <s v=""/>
    <n v="0"/>
    <n v="0"/>
    <s v=""/>
    <s v="3. Responsive"/>
    <s v="2. Accommodating"/>
    <s v="2. Sensitive"/>
    <s v="It did not develop any specific innovation"/>
    <s v="Moderate advocacy"/>
    <s v="It linked and worked with strategic alliances and partners to take tested and effective solutions to scale"/>
  </r>
  <r>
    <x v="22"/>
    <x v="1"/>
    <n v="2919"/>
    <s v="Mainstreaming Social Accountability in the Emergency Labor Intensive Investment Project"/>
    <s v="Egypt"/>
    <s v="FORDEG0014"/>
    <s v="CARE USA"/>
    <s v="Foundation"/>
    <s v="Other"/>
    <s v="Ford Foundation"/>
    <s v="CGBREG0026"/>
    <s v="CARE UK"/>
    <s v="Government"/>
    <s v="Government - UK"/>
    <s v="UK Embassy - Foreign and Commenwealth Office "/>
    <m/>
    <m/>
    <m/>
    <m/>
    <m/>
    <m/>
    <m/>
    <m/>
    <m/>
    <m/>
    <m/>
    <m/>
    <m/>
    <m/>
    <m/>
    <m/>
    <m/>
    <m/>
    <m/>
    <m/>
    <m/>
    <m/>
    <m/>
    <m/>
    <m/>
    <m/>
    <m/>
    <m/>
    <m/>
    <m/>
    <m/>
    <m/>
    <m/>
    <m/>
    <m/>
    <m/>
    <m/>
    <m/>
    <m/>
    <m/>
    <d v="2013-08-01T00:00:00"/>
    <d v="2016-07-31T00:00:00"/>
    <d v="2018-03-31T00:00:00"/>
    <s v="Development Other"/>
    <n v="755960"/>
    <s v="Mays Abou Hegab"/>
    <s v="Governance Department Manager"/>
    <s v="mays.abouhegab@care.org"/>
    <s v="Amr Lashin"/>
    <s v="Strategies and Governance Unit Director"/>
    <s v="amr.lashin@care.org"/>
    <s v="NO"/>
    <s v="YES"/>
    <s v="NO"/>
    <s v="CARE International in Egypt is working with the Social Fund for Development (SFD) and other partners to establish mechanisms and processes for citizens to provide feedback and oversight of the implementation of public works and basic services infrastructure in poor communities.  In doing so it contributes to raising awareness among government and civil society stakeholders of the impact of social accountability mechanisms in improving development outcomes."/>
    <s v="Sub-National"/>
    <s v="This pilot project is being implemented in 3 Governorates namely Assuit, Beni-Suef and Sharkeya"/>
    <s v="• 9 Civil Society Organizations (CSOs) and independent youth groups (project partners)_x000a_• 15 SFD staff in the headquarters and in the 3 regional offices engaged in project implementation_x000a_• SFD Implementing partners (CSOs personnel and Government officials) in the target governorates. An average of 100 representatives of CSOs and local government authorities (SFD programme implementation units (irrigation, housing etc.) and local administration staff from the Governorate/district/village level in the 3 target governorates. _x000a_• Unskilled and semi-skilled youth obtaining temporary employment opportunities through the Emergency Labor Intensive Investment Programme (ELIIP) being implemented by SFD in the 3 target governorates. These youth are going to benefit from the application/integration of SA within the implemented project(s); thus ensuring the equity and transparency of the employment process, which will in turn have a positive impact on the overall process._x000a_• Male, female and children beneficiaries of community social service projects being implemented by ELIIP in the 3 target governorates. The SAc process will ensure their satisfaction, knowledge, understanding and acceptance of the implemented projects."/>
    <n v="918"/>
    <n v="2142"/>
    <n v="3060"/>
    <n v="3672"/>
    <n v="8568"/>
    <n v="12240"/>
    <s v="• CSOs in the 3 governorates._x000a_• Independent Youth groups (aged below 30)._x000a_• SFD staff in the headquarters and in the 3 regional offices in addition to adjacent/nearby SFD regional offices. The nearby offices will benefit from the Social Accountability (SAc) awareness sessions and introductory trainings that will be conducted in the target governorates._x000a_• SFD Implementing partners (CSOs personnel and Government officials) in the target governorates. _x000a_• Unskilled and semi-skilled youth obtaining temporary employment opportunities through the Emergency Labor Intensive Investment Programme (ELIIP) being implemented by SFD in the 3 target governorates. These youth are going to benefit from the application/integration of SA within the implemented project(s); thus ensuring the equity and transparency of the employment process, which will in turn have a positive impact on the overall process._x000a_• Male, female and children beneficiaries of community social service projects being implemented by ELIIP in the 3 target governorates. The SAc process will ensure their satisfaction, knowledge, understanding and acceptance of the implemented projects."/>
    <m/>
    <m/>
    <m/>
    <m/>
    <m/>
    <m/>
    <m/>
    <m/>
    <m/>
    <m/>
    <m/>
    <m/>
    <m/>
    <m/>
    <m/>
    <m/>
    <m/>
    <m/>
    <m/>
    <m/>
    <m/>
    <m/>
    <m/>
    <m/>
    <m/>
    <m/>
    <m/>
    <m/>
    <m/>
    <m/>
    <m/>
    <m/>
    <m/>
    <m/>
    <m/>
    <m/>
    <m/>
    <m/>
    <m/>
    <m/>
    <m/>
    <m/>
    <m/>
    <m/>
    <m/>
    <m/>
    <m/>
    <m/>
    <m/>
    <m/>
    <m/>
    <m/>
    <m/>
    <m/>
    <m/>
    <m/>
    <m/>
    <m/>
    <m/>
    <m/>
    <m/>
    <m/>
    <n v="302"/>
    <m/>
    <m/>
    <n v="37634"/>
    <m/>
    <m/>
    <m/>
    <m/>
    <m/>
    <m/>
    <m/>
    <m/>
    <m/>
    <m/>
    <m/>
    <m/>
    <m/>
    <m/>
    <m/>
    <m/>
    <m/>
    <m/>
    <m/>
    <m/>
    <m/>
    <m/>
    <m/>
    <m/>
    <m/>
    <m/>
    <m/>
    <m/>
    <m/>
    <m/>
    <m/>
    <m/>
    <m/>
    <m/>
    <m/>
    <m/>
    <m/>
    <m/>
    <m/>
    <m/>
    <m/>
    <m/>
    <m/>
    <m/>
    <m/>
    <m/>
    <m/>
    <m/>
    <s v="YES"/>
    <n v="302"/>
    <m/>
    <n v="37634"/>
    <m/>
    <m/>
    <m/>
    <m/>
    <m/>
    <m/>
    <m/>
    <m/>
    <m/>
    <m/>
    <m/>
    <m/>
    <m/>
    <m/>
    <m/>
    <m/>
    <m/>
    <s v="NO"/>
    <m/>
    <m/>
    <m/>
    <s v="YES"/>
    <s v="December"/>
    <n v="2017"/>
    <m/>
    <x v="1"/>
    <m/>
    <m/>
    <s v="YES"/>
    <m/>
    <m/>
    <m/>
    <m/>
    <m/>
    <m/>
    <x v="0"/>
    <s v="The whole project's idea is unique and innovative; which is based on the idea of third party monitoring"/>
    <x v="1"/>
    <s v="CARE International in Egypt designed the Social Accountability Model; which includes input tracking meetings, site visits, public hearings and review and coordination meetings. As a result of this model, lots of recommendations were highlighted and most of these recommendations were acted upon as corrective actions taken by the SFD and/or its implementing partners"/>
    <x v="0"/>
    <x v="0"/>
    <s v="NO"/>
    <x v="1"/>
    <x v="0"/>
    <x v="1"/>
    <x v="5"/>
    <n v="1"/>
    <x v="2"/>
    <x v="1"/>
    <x v="1"/>
    <x v="1"/>
    <x v="1"/>
    <x v="2"/>
    <n v="4"/>
    <x v="2"/>
    <x v="2"/>
    <x v="1"/>
    <x v="1"/>
    <x v="2"/>
    <n v="2"/>
    <x v="2"/>
    <x v="2"/>
    <n v="4"/>
    <s v="Local NGO(s)/CSO(s)"/>
    <s v="National government"/>
    <m/>
    <x v="0"/>
    <s v="1. Technical assistance to youth groups; 2. Technical assistance to the Social Fund for Development regional staff"/>
    <m/>
    <s v="Coordination startegies with the multiple stakeholders (government; media and civil society)"/>
    <s v="Building the capacity of the Social Fund for Development's officials to lead Social Accountability activities within its offices"/>
    <s v="Third party monitoring strategies building on youth civic engagement aspirations"/>
    <s v="Institutionalization of Social Accountability (SA) within the SFD offices: As part of CARE’s work on completing our duty to institutionalize SA within the SFD offices, CARE organized an exchange visit workshop in order to transfer SA knowledge from the three regional offices (Beni Suef, Sharkeya and Assiut) to two new offices (Qena and Minia). This exchange visit has assisted a lot at speeding the process of drafting the technical assistance required by the two new regional offices in order to start their SA work; similarly to the other three regional offices."/>
    <s v="As some of the youth members missed project activities due to their study commitments. CARE Egypt will plan afterwards; when the project’s activities require youth implementers, to take into consideration the projects’ activities implementation timing."/>
    <s v="During review meetings, it is important to mention for CSOs’ staff and/or SFD’s officials the positives notes on their work before listing the negatives; as this encourages them to take the recommended corrective actions into consideration better than just listing the negatives."/>
    <m/>
    <s v="Annual Progress Report and Updated Monitoring Matrix"/>
    <n v="302"/>
    <n v="37634"/>
    <n v="124.6158940397351"/>
    <n v="0"/>
    <n v="0"/>
    <n v="0"/>
    <n v="0"/>
    <s v=""/>
    <n v="0"/>
    <n v="0"/>
    <s v=""/>
    <s v=""/>
    <n v="0"/>
    <n v="0"/>
    <s v=""/>
    <s v=""/>
    <n v="0"/>
    <n v="0"/>
    <s v=""/>
    <s v=""/>
    <n v="0"/>
    <n v="0"/>
    <s v=""/>
    <s v=""/>
    <n v="0"/>
    <n v="0"/>
    <s v=""/>
    <s v="0. Harmful"/>
    <s v="4. Transformational"/>
    <s v="0. Harmful"/>
    <s v="It did not develop any specific innovation"/>
    <s v="Moderate advocacy"/>
    <s v="It linked and worked with strategic alliances and partners to take tested and effective solutions to scale"/>
  </r>
  <r>
    <x v="22"/>
    <x v="1"/>
    <m/>
    <s v="Men and Women for Gender Equality"/>
    <s v="Egypt"/>
    <s v="UNWNEG0014"/>
    <s v="CARE Egypt"/>
    <s v="Multilateral agency"/>
    <s v="UN - United Nations agencies/offices"/>
    <s v="UN WOMEN"/>
    <m/>
    <m/>
    <m/>
    <m/>
    <m/>
    <m/>
    <m/>
    <m/>
    <m/>
    <m/>
    <m/>
    <m/>
    <m/>
    <m/>
    <m/>
    <m/>
    <m/>
    <m/>
    <m/>
    <m/>
    <m/>
    <m/>
    <m/>
    <m/>
    <m/>
    <m/>
    <m/>
    <m/>
    <m/>
    <m/>
    <m/>
    <m/>
    <m/>
    <m/>
    <m/>
    <m/>
    <m/>
    <m/>
    <m/>
    <m/>
    <m/>
    <m/>
    <m/>
    <m/>
    <m/>
    <d v="2015-01-01T00:00:00"/>
    <d v="2017-09-15T00:00:00"/>
    <m/>
    <m/>
    <n v="100000"/>
    <s v="Emy Yanni"/>
    <s v="Initiative Manager"/>
    <s v="emy.yanni@care.org"/>
    <m/>
    <m/>
    <m/>
    <s v="NO"/>
    <s v="YES"/>
    <s v="NO"/>
    <s v="Women and men in Arab societies are given equal Rights and opportunities to live a life free of violence and to engage equally as active citizens in their communities and countries."/>
    <s v="Sub-National"/>
    <s v="It is implemented in five governorates in Egypt (Cairo, Qalybia, Alexandria, Assiut, and Sohag)"/>
    <s v="Community-based organizations"/>
    <n v="0"/>
    <n v="0"/>
    <n v="0"/>
    <n v="0"/>
    <n v="0"/>
    <n v="0"/>
    <s v="The target for this project is not individuals but 15 community-based organizations (three in each targeted area). _x000a__x000a_For this fiscal year, only capacity building trainings for NGOs' staff were implemented; thus, no indirect beneficiaries have been reached. Starting from the new fiscal year, CARE will incorporate a question on the transfer of knowledge in order to accurately calculate the indirect beneficiaries."/>
    <m/>
    <m/>
    <m/>
    <m/>
    <m/>
    <m/>
    <m/>
    <m/>
    <m/>
    <m/>
    <m/>
    <m/>
    <m/>
    <m/>
    <m/>
    <m/>
    <m/>
    <m/>
    <m/>
    <m/>
    <m/>
    <m/>
    <m/>
    <m/>
    <m/>
    <m/>
    <m/>
    <m/>
    <m/>
    <m/>
    <m/>
    <m/>
    <m/>
    <m/>
    <m/>
    <m/>
    <m/>
    <m/>
    <m/>
    <m/>
    <m/>
    <m/>
    <m/>
    <m/>
    <m/>
    <m/>
    <m/>
    <m/>
    <m/>
    <m/>
    <m/>
    <m/>
    <m/>
    <m/>
    <m/>
    <m/>
    <m/>
    <m/>
    <m/>
    <m/>
    <n v="78"/>
    <n v="65"/>
    <n v="143"/>
    <n v="0"/>
    <n v="0"/>
    <n v="0"/>
    <m/>
    <m/>
    <m/>
    <m/>
    <m/>
    <m/>
    <m/>
    <m/>
    <m/>
    <m/>
    <m/>
    <m/>
    <m/>
    <m/>
    <m/>
    <m/>
    <m/>
    <m/>
    <m/>
    <m/>
    <m/>
    <m/>
    <m/>
    <m/>
    <m/>
    <m/>
    <m/>
    <m/>
    <m/>
    <m/>
    <m/>
    <m/>
    <s v="YES"/>
    <m/>
    <m/>
    <m/>
    <m/>
    <m/>
    <m/>
    <m/>
    <m/>
    <m/>
    <m/>
    <m/>
    <m/>
    <m/>
    <m/>
    <m/>
    <m/>
    <m/>
    <m/>
    <m/>
    <m/>
    <m/>
    <m/>
    <m/>
    <m/>
    <m/>
    <m/>
    <m/>
    <m/>
    <m/>
    <m/>
    <m/>
    <m/>
    <m/>
    <m/>
    <m/>
    <m/>
    <s v="NO"/>
    <m/>
    <m/>
    <s v="NO"/>
    <s v="YES"/>
    <s v="September"/>
    <n v="2017"/>
    <m/>
    <x v="0"/>
    <m/>
    <m/>
    <s v="YES"/>
    <m/>
    <m/>
    <m/>
    <m/>
    <m/>
    <m/>
    <x v="1"/>
    <m/>
    <x v="0"/>
    <m/>
    <x v="2"/>
    <x v="1"/>
    <s v="YES"/>
    <x v="0"/>
    <x v="0"/>
    <x v="1"/>
    <x v="4"/>
    <n v="3"/>
    <x v="1"/>
    <x v="1"/>
    <x v="2"/>
    <x v="1"/>
    <x v="1"/>
    <x v="1"/>
    <n v="3"/>
    <x v="1"/>
    <x v="1"/>
    <x v="1"/>
    <x v="2"/>
    <x v="3"/>
    <n v="2"/>
    <x v="2"/>
    <x v="1"/>
    <m/>
    <m/>
    <m/>
    <m/>
    <x v="0"/>
    <m/>
    <m/>
    <m/>
    <m/>
    <m/>
    <m/>
    <m/>
    <m/>
    <m/>
    <m/>
    <n v="143"/>
    <n v="0"/>
    <n v="0"/>
    <n v="0.54545454545454541"/>
    <s v=""/>
    <n v="78"/>
    <n v="0"/>
    <s v=""/>
    <n v="0"/>
    <n v="0"/>
    <s v=""/>
    <s v=""/>
    <n v="0"/>
    <n v="0"/>
    <s v=""/>
    <s v=""/>
    <n v="0"/>
    <n v="0"/>
    <s v=""/>
    <s v=""/>
    <n v="0"/>
    <n v="0"/>
    <s v=""/>
    <s v=""/>
    <n v="0"/>
    <n v="0"/>
    <s v=""/>
    <s v="3. Responsive"/>
    <s v="2. Accommodating"/>
    <s v="1. Neutral"/>
    <s v="It tested new ways for fighting poverty, but did not measure results of innovation"/>
    <s v="Little or no advocacy"/>
    <s v="It did not take tested solutions to scale"/>
  </r>
  <r>
    <x v="22"/>
    <x v="1"/>
    <n v="2902"/>
    <s v="Milk Collection communities (MCC)"/>
    <s v="Egypt"/>
    <m/>
    <s v="CARE France"/>
    <s v="Corporation"/>
    <s v="Other"/>
    <s v="Danone Ecosysteme"/>
    <m/>
    <m/>
    <m/>
    <m/>
    <m/>
    <m/>
    <m/>
    <m/>
    <m/>
    <m/>
    <m/>
    <m/>
    <m/>
    <m/>
    <m/>
    <m/>
    <m/>
    <m/>
    <m/>
    <m/>
    <m/>
    <m/>
    <m/>
    <m/>
    <m/>
    <m/>
    <m/>
    <m/>
    <m/>
    <m/>
    <m/>
    <m/>
    <m/>
    <m/>
    <m/>
    <m/>
    <m/>
    <m/>
    <m/>
    <m/>
    <m/>
    <m/>
    <m/>
    <m/>
    <m/>
    <d v="2014-07-01T00:00:00"/>
    <d v="2016-12-31T00:00:00"/>
    <d v="2017-10-31T00:00:00"/>
    <s v="Development Food &amp; Nutrition Security and Resilience to Climate Change"/>
    <n v="784000"/>
    <s v="Heba El Beheidy"/>
    <s v="Initiatives Manager"/>
    <s v="Heba.ElBeheidy@care.org"/>
    <m/>
    <m/>
    <m/>
    <s v="NO"/>
    <s v="YES"/>
    <s v="NO"/>
    <s v="Improve to socio-economic development of small-holder dairy producers and to the development of raw milk trade in Egypt"/>
    <s v="Sub-National"/>
    <s v="4 Governorates in Egypt, 2 in Delta and 2 in Upper Egypt: Behera, Kafr el-Sheikh, Beni Suef, and Fayoum"/>
    <s v="The impact group is smallholder dairy farmers and their households in rural Upper Egypt and Delta regions that supply milk to Milk Collection Centers established by the project"/>
    <n v="2861"/>
    <n v="1059"/>
    <n v="3920"/>
    <n v="7442"/>
    <n v="7746"/>
    <n v="15188"/>
    <s v="Direct beneficiaries are headcounts of Dairy farmers that supply milk to the milk collection Centers. Indirect beneficiaries are household members of dairy farmers who are calculated as 4 members excluding the direct beneficiary"/>
    <m/>
    <m/>
    <m/>
    <m/>
    <m/>
    <m/>
    <m/>
    <m/>
    <m/>
    <m/>
    <m/>
    <m/>
    <m/>
    <m/>
    <m/>
    <m/>
    <m/>
    <m/>
    <m/>
    <m/>
    <m/>
    <m/>
    <m/>
    <m/>
    <m/>
    <m/>
    <m/>
    <m/>
    <m/>
    <m/>
    <m/>
    <m/>
    <m/>
    <m/>
    <m/>
    <m/>
    <m/>
    <m/>
    <m/>
    <m/>
    <m/>
    <m/>
    <m/>
    <m/>
    <m/>
    <m/>
    <m/>
    <m/>
    <m/>
    <m/>
    <m/>
    <m/>
    <m/>
    <m/>
    <m/>
    <m/>
    <m/>
    <m/>
    <m/>
    <m/>
    <m/>
    <m/>
    <m/>
    <m/>
    <m/>
    <m/>
    <m/>
    <m/>
    <m/>
    <m/>
    <m/>
    <m/>
    <m/>
    <m/>
    <m/>
    <m/>
    <m/>
    <m/>
    <m/>
    <m/>
    <m/>
    <m/>
    <s v="YES"/>
    <n v="3920"/>
    <n v="0.75"/>
    <n v="15188"/>
    <m/>
    <m/>
    <m/>
    <m/>
    <m/>
    <m/>
    <m/>
    <m/>
    <m/>
    <m/>
    <m/>
    <m/>
    <m/>
    <m/>
    <m/>
    <m/>
    <m/>
    <m/>
    <m/>
    <m/>
    <m/>
    <m/>
    <m/>
    <m/>
    <m/>
    <m/>
    <m/>
    <m/>
    <m/>
    <m/>
    <m/>
    <m/>
    <m/>
    <m/>
    <m/>
    <m/>
    <m/>
    <m/>
    <m/>
    <m/>
    <m/>
    <m/>
    <m/>
    <m/>
    <m/>
    <m/>
    <m/>
    <m/>
    <m/>
    <s v="NO"/>
    <m/>
    <m/>
    <m/>
    <s v="NO"/>
    <m/>
    <m/>
    <m/>
    <x v="0"/>
    <s v="NO"/>
    <s v="NO"/>
    <s v="NO"/>
    <s v="YES"/>
    <s v="NO"/>
    <s v="NO"/>
    <s v="NO"/>
    <m/>
    <m/>
    <x v="2"/>
    <s v="Milk Collection Centers were utilized as an innovative hub for smallholder dairy farmers to increease their income"/>
    <x v="0"/>
    <s v="This FY the project focused on getting the MCCs sustainable"/>
    <x v="0"/>
    <x v="0"/>
    <s v="YES"/>
    <x v="0"/>
    <x v="1"/>
    <x v="0"/>
    <x v="1"/>
    <n v="3"/>
    <x v="1"/>
    <x v="1"/>
    <x v="1"/>
    <x v="1"/>
    <x v="2"/>
    <x v="1"/>
    <n v="3"/>
    <x v="1"/>
    <x v="1"/>
    <x v="2"/>
    <x v="1"/>
    <x v="3"/>
    <n v="2"/>
    <x v="2"/>
    <x v="3"/>
    <n v="13"/>
    <s v="Local NGO(s)/CSO(s)"/>
    <m/>
    <m/>
    <x v="2"/>
    <s v="The project operates Milk Collection Centers through partner agricultural cooperatives. Ongoing capacity building and business capacity development is an essential part of the project"/>
    <s v="No changes took place during this FY"/>
    <s v="Partnership with corporate as a main buyer in value chain development remains an efficient way to empower BoP"/>
    <s v="Establishing longterm commitment between smallholder farmers and agricultural cooperatives to ensure sustainable milk supply to collection centers and to Danone"/>
    <s v="Revolving funds to agricultural cooperatives to ensure timely development of milk collection centers to mitigate gaps pertainingto early stage cash flow challenges and services provided"/>
    <s v="Direct supply of milk by smallholder farmers to collection centers ensures quality control"/>
    <s v="Commitment to payment schedule for farmers is critical to control drop out rate from collection centers"/>
    <s v="Acting ahead of market prices is essential to ensure commitment of smallholder farmers to collection centers"/>
    <m/>
    <m/>
    <n v="0"/>
    <n v="0"/>
    <s v=""/>
    <s v=""/>
    <s v=""/>
    <n v="0"/>
    <n v="0"/>
    <s v=""/>
    <n v="0"/>
    <n v="0"/>
    <s v=""/>
    <n v="1"/>
    <n v="3920"/>
    <n v="15188"/>
    <n v="3.8744897959183673"/>
    <s v=""/>
    <n v="0"/>
    <n v="0"/>
    <s v=""/>
    <s v=""/>
    <n v="0"/>
    <n v="0"/>
    <s v=""/>
    <n v="1"/>
    <n v="2940"/>
    <n v="11391"/>
    <n v="3.8744897959183673"/>
    <s v="1. Neutral"/>
    <s v="2. Accommodating"/>
    <s v="1. Neutral"/>
    <s v="It tested new ways for fighting poverty and measured results of innovation"/>
    <s v="Little or no advocacy"/>
    <s v="It did not take tested solutions to scale"/>
  </r>
  <r>
    <x v="22"/>
    <x v="1"/>
    <n v="2903"/>
    <s v="Origination and development of the soya bean smallholder farmers in Egypt"/>
    <s v="Egypt"/>
    <s v="CTLCEG0001"/>
    <s v="CARE USA"/>
    <m/>
    <s v="Other"/>
    <s v="Cargill, Inc."/>
    <m/>
    <m/>
    <m/>
    <m/>
    <m/>
    <m/>
    <m/>
    <m/>
    <m/>
    <m/>
    <m/>
    <m/>
    <m/>
    <m/>
    <m/>
    <m/>
    <m/>
    <m/>
    <m/>
    <m/>
    <m/>
    <m/>
    <m/>
    <m/>
    <m/>
    <m/>
    <m/>
    <m/>
    <m/>
    <m/>
    <m/>
    <m/>
    <m/>
    <m/>
    <m/>
    <m/>
    <m/>
    <m/>
    <m/>
    <m/>
    <m/>
    <m/>
    <m/>
    <m/>
    <m/>
    <d v="2014-02-01T00:00:00"/>
    <d v="2017-01-31T00:00:00"/>
    <d v="2014-07-31T00:00:00"/>
    <s v="Development Food &amp; Nutrition Security and Resilience to Climate Change"/>
    <n v="370000"/>
    <s v="Ihab Anwar"/>
    <s v="Initatives Manager"/>
    <s v="ehab.anwar@care.org"/>
    <m/>
    <m/>
    <m/>
    <s v="NO"/>
    <s v="YES"/>
    <s v="NO"/>
    <s v="Improve socio-economic conditions for rural communities through attaining 6,000mt of soya beans in project life and developing an effective and sustainable social enterprise model"/>
    <s v="Sub-National"/>
    <s v="3 governorates in Egypt: Beni Suef, Minya, and Beheira"/>
    <s v="Smallholder farmers"/>
    <m/>
    <n v="6000"/>
    <n v="6000"/>
    <n v="15000"/>
    <n v="15000"/>
    <n v="30000"/>
    <s v="Direct participants are headcounts of farmers receiving technical assitance and training from the project."/>
    <m/>
    <m/>
    <m/>
    <m/>
    <m/>
    <m/>
    <m/>
    <m/>
    <m/>
    <m/>
    <m/>
    <m/>
    <m/>
    <m/>
    <m/>
    <m/>
    <m/>
    <m/>
    <m/>
    <m/>
    <m/>
    <m/>
    <m/>
    <m/>
    <m/>
    <m/>
    <m/>
    <m/>
    <m/>
    <m/>
    <m/>
    <m/>
    <m/>
    <m/>
    <m/>
    <m/>
    <m/>
    <m/>
    <m/>
    <m/>
    <m/>
    <m/>
    <m/>
    <m/>
    <m/>
    <m/>
    <m/>
    <m/>
    <m/>
    <m/>
    <m/>
    <m/>
    <m/>
    <m/>
    <m/>
    <m/>
    <m/>
    <m/>
    <m/>
    <m/>
    <m/>
    <n v="2932"/>
    <n v="2932"/>
    <n v="5864"/>
    <n v="5864"/>
    <n v="11728"/>
    <s v="YES"/>
    <n v="2932"/>
    <n v="0"/>
    <n v="11728"/>
    <m/>
    <m/>
    <m/>
    <m/>
    <m/>
    <m/>
    <m/>
    <m/>
    <m/>
    <m/>
    <m/>
    <m/>
    <s v="YES"/>
    <n v="2932"/>
    <n v="0"/>
    <n v="11728"/>
    <m/>
    <m/>
    <m/>
    <m/>
    <m/>
    <m/>
    <m/>
    <m/>
    <m/>
    <m/>
    <m/>
    <m/>
    <m/>
    <m/>
    <m/>
    <m/>
    <m/>
    <m/>
    <m/>
    <m/>
    <m/>
    <m/>
    <m/>
    <m/>
    <m/>
    <m/>
    <m/>
    <m/>
    <m/>
    <m/>
    <m/>
    <m/>
    <m/>
    <m/>
    <m/>
    <m/>
    <m/>
    <m/>
    <m/>
    <m/>
    <m/>
    <m/>
    <m/>
    <m/>
    <m/>
    <m/>
    <m/>
    <m/>
    <m/>
    <s v="NO"/>
    <m/>
    <m/>
    <s v="NO"/>
    <s v="YES"/>
    <s v="July"/>
    <n v="2017"/>
    <s v="Final Evaluation was intended to take place during current FY but had to be pushed back due to  varied limitations and challenges. The final evaluation consultant proved to be incompetent and was not able to deliver the evaluation report. Hence, project team developed a mitigation plan and another consultant was hired accordingly. Final Evaluation report will be developed during upcoming FY and shall be included in upcoming PIIRS."/>
    <x v="0"/>
    <s v="NO"/>
    <s v="NO"/>
    <s v="YES"/>
    <s v="YES"/>
    <s v="NO"/>
    <s v="NO"/>
    <s v="NO"/>
    <m/>
    <m/>
    <x v="0"/>
    <s v="Project built upon innovation from previous years of the project."/>
    <x v="0"/>
    <s v="The project is still testing for scalability"/>
    <x v="0"/>
    <x v="2"/>
    <m/>
    <x v="2"/>
    <x v="2"/>
    <x v="2"/>
    <x v="3"/>
    <n v="0"/>
    <x v="1"/>
    <x v="1"/>
    <x v="2"/>
    <x v="1"/>
    <x v="1"/>
    <x v="1"/>
    <n v="3"/>
    <x v="1"/>
    <x v="2"/>
    <x v="1"/>
    <x v="1"/>
    <x v="3"/>
    <n v="2"/>
    <x v="0"/>
    <x v="3"/>
    <n v="6"/>
    <s v="Local NGO(s)/CSO(s)"/>
    <m/>
    <m/>
    <x v="2"/>
    <s v="Developing the technical capacity of extension agents and board of partner agricultural cooperatives and local NGOs"/>
    <s v="The project was built upon Cargill's commitment as the main buyer of soya beans from farmers. However, due to foreign reserve challenges at the national level and local business challenges, project team negotiated with cargill to be able to include other marketing channels for farmers in future phases."/>
    <s v="Developing local capacities (i.e. extension officers) continued to prove effectiveness"/>
    <s v="Farmer schools is the most effective mean in delivering technical information to farmers"/>
    <s v="Setting prices at the beginning of marketing season increased general price of soya beans in the market"/>
    <s v="Marketing channels need to be diversified to mitigate economic challenges and allow the chance to farmers to make their decisions accordingly"/>
    <s v="Soya bean proved to have a very high potential for expansion and as a better summer substitution for farmers due to the relatively lower cost and higher profit"/>
    <s v="Technical assistance need to be further expanded for farmers to ensure farmer understanding of climate smart agriculture. Capacity building for cooperatives need to include marketing skills"/>
    <m/>
    <m/>
    <n v="2932"/>
    <n v="11728"/>
    <n v="4"/>
    <n v="0"/>
    <n v="0.5"/>
    <n v="0"/>
    <n v="5864"/>
    <s v=""/>
    <n v="0"/>
    <n v="0"/>
    <s v=""/>
    <n v="1"/>
    <n v="2932"/>
    <n v="11728"/>
    <n v="4"/>
    <s v=""/>
    <n v="0"/>
    <n v="0"/>
    <s v=""/>
    <s v=""/>
    <n v="0"/>
    <n v="0"/>
    <s v=""/>
    <n v="1"/>
    <n v="0"/>
    <n v="0"/>
    <s v=""/>
    <s v="No marker score"/>
    <s v="2. Accommodating"/>
    <s v="1. Neutral"/>
    <s v="It did not develop any specific innovation"/>
    <s v="Little or no advocacy"/>
    <s v="It did not take tested solutions to scale"/>
  </r>
  <r>
    <x v="22"/>
    <x v="1"/>
    <n v="2901"/>
    <s v="Our Children's Wheat (Phase II)"/>
    <s v="Egypt"/>
    <s v="MOIFEG00011"/>
    <s v="CARE USA"/>
    <s v="Corporation"/>
    <s v="Other"/>
    <s v="Mondelez International"/>
    <m/>
    <m/>
    <m/>
    <m/>
    <m/>
    <m/>
    <m/>
    <m/>
    <m/>
    <m/>
    <m/>
    <m/>
    <m/>
    <m/>
    <m/>
    <m/>
    <m/>
    <m/>
    <m/>
    <m/>
    <m/>
    <m/>
    <m/>
    <m/>
    <m/>
    <m/>
    <m/>
    <m/>
    <m/>
    <m/>
    <m/>
    <m/>
    <m/>
    <m/>
    <m/>
    <m/>
    <m/>
    <m/>
    <m/>
    <m/>
    <m/>
    <m/>
    <m/>
    <m/>
    <m/>
    <d v="2016-09-01T00:00:00"/>
    <d v="2017-08-01T00:00:00"/>
    <d v="2017-12-31T00:00:00"/>
    <s v="Development Food &amp; Nutrition Security and Resilience to Climate Change"/>
    <m/>
    <s v="Ihab Anwar"/>
    <s v="Initatives Manager"/>
    <s v="ehab.anwar@care.org"/>
    <m/>
    <m/>
    <m/>
    <s v="NO"/>
    <s v="YES"/>
    <s v="NO"/>
    <s v="Support Egypt in self-sufficiency in wheat through increase production by 5%  in 1 year in 5 governorates"/>
    <s v="National"/>
    <s v="5 governorates in Egypt: Aswan, Luxor, Suhag, Minya and Beheira"/>
    <s v="Smallholder farmers"/>
    <n v="665"/>
    <n v="2828"/>
    <n v="3493"/>
    <n v="5554"/>
    <n v="5758"/>
    <n v="11312"/>
    <s v="Direct beneficiaries are headcounts of smallholder farmers receiving direct training and technical assitance from the project. Indirect beneficiaries are household members of direct beneficiaries calculated at 4 additional household members"/>
    <m/>
    <m/>
    <m/>
    <m/>
    <m/>
    <m/>
    <m/>
    <m/>
    <m/>
    <m/>
    <m/>
    <m/>
    <m/>
    <m/>
    <m/>
    <m/>
    <m/>
    <m/>
    <m/>
    <m/>
    <m/>
    <m/>
    <m/>
    <m/>
    <m/>
    <m/>
    <m/>
    <m/>
    <m/>
    <m/>
    <m/>
    <m/>
    <m/>
    <m/>
    <m/>
    <m/>
    <m/>
    <m/>
    <m/>
    <m/>
    <m/>
    <m/>
    <m/>
    <m/>
    <m/>
    <m/>
    <m/>
    <m/>
    <m/>
    <m/>
    <m/>
    <m/>
    <m/>
    <m/>
    <m/>
    <m/>
    <m/>
    <m/>
    <m/>
    <m/>
    <n v="665"/>
    <n v="2828"/>
    <n v="3493"/>
    <n v="5554"/>
    <n v="5758"/>
    <n v="11312"/>
    <s v="YES"/>
    <n v="2828"/>
    <m/>
    <n v="11312"/>
    <m/>
    <m/>
    <m/>
    <m/>
    <m/>
    <m/>
    <m/>
    <m/>
    <m/>
    <m/>
    <m/>
    <m/>
    <m/>
    <m/>
    <m/>
    <m/>
    <m/>
    <m/>
    <m/>
    <m/>
    <s v="YES"/>
    <n v="665"/>
    <n v="1"/>
    <m/>
    <m/>
    <m/>
    <m/>
    <m/>
    <m/>
    <m/>
    <m/>
    <m/>
    <m/>
    <m/>
    <m/>
    <m/>
    <m/>
    <m/>
    <m/>
    <m/>
    <m/>
    <m/>
    <m/>
    <m/>
    <m/>
    <m/>
    <m/>
    <m/>
    <m/>
    <m/>
    <m/>
    <m/>
    <m/>
    <m/>
    <m/>
    <m/>
    <m/>
    <m/>
    <m/>
    <m/>
    <m/>
    <m/>
    <m/>
    <m/>
    <m/>
    <s v="NO"/>
    <m/>
    <m/>
    <m/>
    <s v="YES"/>
    <s v="January"/>
    <n v="2018"/>
    <m/>
    <x v="0"/>
    <s v="NO"/>
    <s v="NO"/>
    <s v="YES"/>
    <s v="YES"/>
    <s v="NO"/>
    <s v="NO"/>
    <s v="NO"/>
    <s v="NO"/>
    <m/>
    <x v="0"/>
    <s v="This FY is an extension to interventions of previous Our Children's Wheat. The project expanded on previous innovations that increase productivity"/>
    <x v="3"/>
    <s v="This FY expanded interventions of previous phase of the project."/>
    <x v="0"/>
    <x v="0"/>
    <s v="YES"/>
    <x v="0"/>
    <x v="1"/>
    <x v="0"/>
    <x v="1"/>
    <n v="3"/>
    <x v="1"/>
    <x v="1"/>
    <x v="1"/>
    <x v="1"/>
    <x v="2"/>
    <x v="1"/>
    <n v="3"/>
    <x v="1"/>
    <x v="1"/>
    <x v="1"/>
    <x v="1"/>
    <x v="1"/>
    <n v="3"/>
    <x v="0"/>
    <x v="3"/>
    <n v="3"/>
    <s v="Local government(s)"/>
    <s v="Local NGO(s)/CSO(s)"/>
    <m/>
    <x v="0"/>
    <s v="The project operates mainly through agricultural cooperatives and public agricultural extension. The project provided capacity building for both parties"/>
    <s v="The project addressed healthy nutritional needs of beneficiaries in 11 communities in 5 governorates. As a result 665 women benefitted directly out of which 345 were able to reduce their BMI by 1 to 2.2 points"/>
    <s v="Farmer Schools"/>
    <s v="Estension fields"/>
    <s v="Community leaders' led nutrition programs"/>
    <s v="Nutrition education classes to rural women showed major changes in their eating habits: vegetable and fruit intakes increased; ensuring nutritionally balanced meals; decreasing sugar and salts in their diets"/>
    <s v="Extension agents and farms continued to be effective means in delivering technical information and training to farmers"/>
    <s v="Improved varieties provided by government-funded research centers continued to receive great interest from farmers"/>
    <m/>
    <m/>
    <n v="3493"/>
    <n v="11312"/>
    <n v="3.2384769539078158"/>
    <n v="0.19038076152304609"/>
    <n v="0.49098302687411599"/>
    <n v="665"/>
    <n v="5554"/>
    <s v=""/>
    <n v="0"/>
    <n v="0"/>
    <s v=""/>
    <n v="1"/>
    <n v="2828"/>
    <n v="11312"/>
    <n v="4"/>
    <s v=""/>
    <n v="0"/>
    <n v="0"/>
    <s v=""/>
    <s v=""/>
    <n v="0"/>
    <n v="0"/>
    <s v=""/>
    <s v=""/>
    <n v="0"/>
    <n v="0"/>
    <s v=""/>
    <s v="1. Neutral"/>
    <s v="2. Accommodating"/>
    <s v="2. Sensitive"/>
    <s v="It did not develop any specific innovation"/>
    <s v="Little or no advocacy"/>
    <s v="It took tested solutions to scale on its own"/>
  </r>
  <r>
    <x v="22"/>
    <x v="1"/>
    <n v="2912"/>
    <s v="Preventing SGBV among Syrian Refugees in Egypt: 2912_x000a__x000a_Prevention and Response to SGBV: 2913"/>
    <s v="Egypt"/>
    <s v="UNHCEG0006"/>
    <s v="CARE Egypt"/>
    <s v="Multilateral agency"/>
    <s v="UN - United Nations agencies/offices"/>
    <s v="UNHCR"/>
    <s v="BPRMEG0002"/>
    <s v="CARE Egypt"/>
    <s v="Government"/>
    <s v="Government - US"/>
    <s v="Bureau of Population Refugees and Migration"/>
    <m/>
    <m/>
    <m/>
    <m/>
    <m/>
    <m/>
    <m/>
    <m/>
    <m/>
    <m/>
    <m/>
    <m/>
    <m/>
    <m/>
    <m/>
    <m/>
    <m/>
    <m/>
    <m/>
    <m/>
    <m/>
    <m/>
    <m/>
    <m/>
    <m/>
    <m/>
    <m/>
    <m/>
    <m/>
    <m/>
    <m/>
    <m/>
    <m/>
    <m/>
    <m/>
    <m/>
    <m/>
    <m/>
    <m/>
    <m/>
    <d v="2015-09-01T00:00:00"/>
    <d v="2017-12-31T00:00:00"/>
    <m/>
    <s v="Humanitarian A Life Free From Violence (GBV)"/>
    <n v="862969"/>
    <s v="Silvia Doss"/>
    <s v="Initiative Manager"/>
    <s v="silvia.doss@care.org"/>
    <s v="Sandra Azmy"/>
    <s v="Women's Rights Program Director"/>
    <s v="sandra.azmy@care.org"/>
    <s v="YES"/>
    <s v="NO"/>
    <s v="NO"/>
    <s v="To reduce SGBV amongs refugees in Cairo and Alexandria"/>
    <s v="Sub-National"/>
    <s v="Cairo and Alexandria"/>
    <s v="Female and male refugees, especially SGBV survivors"/>
    <n v="7677"/>
    <n v="1919"/>
    <n v="9596"/>
    <n v="30708"/>
    <n v="7676"/>
    <n v="38384"/>
    <s v="In the proposals, the indirect was calculated by multiplying the direct by 4 (5 'average household numbers' - 1 'direct beneficiary')._x000a__x000a_For this fiscal year, the confimed indirect beneficiaries are:_x000a_- The 1,510 whom brochures were distributed to. _x000a_- 200 views (not disaggregated by sex) on CARE's Youtube Channe: https://www.youtube.com/user/TheCareEgypt_x000a_- The families of the 179 SGBV survivors who were provided with housing assistance (716 individuals)_x000a__x000a_For this fiscal year, CARE wished to only include the confirmed indirect instead of calculating the direct by 4 (5 'average household numbers' - 1 'direct beneficiary'). Starting from the new fiscal year, CARE will incorporate a question on the transfer of knowledge in order to accurately calculate the indirect beneficiaries."/>
    <m/>
    <n v="12006"/>
    <n v="2274"/>
    <n v="14280"/>
    <m/>
    <m/>
    <n v="2426"/>
    <m/>
    <m/>
    <m/>
    <m/>
    <m/>
    <m/>
    <m/>
    <m/>
    <m/>
    <m/>
    <m/>
    <m/>
    <m/>
    <m/>
    <m/>
    <m/>
    <s v="YES"/>
    <n v="13743"/>
    <n v="0.75"/>
    <n v="1710"/>
    <m/>
    <m/>
    <m/>
    <m/>
    <m/>
    <m/>
    <m/>
    <m/>
    <m/>
    <m/>
    <m/>
    <m/>
    <s v="YES"/>
    <n v="537"/>
    <n v="0.8"/>
    <m/>
    <m/>
    <m/>
    <m/>
    <m/>
    <s v="YES"/>
    <n v="179"/>
    <n v="0.84"/>
    <n v="716"/>
    <m/>
    <m/>
    <m/>
    <m/>
    <m/>
    <m/>
    <m/>
    <m/>
    <m/>
    <m/>
    <m/>
    <m/>
    <m/>
    <m/>
    <m/>
    <m/>
    <m/>
    <m/>
    <m/>
    <m/>
    <m/>
    <m/>
    <m/>
    <m/>
    <m/>
    <m/>
    <m/>
    <m/>
    <m/>
    <m/>
    <m/>
    <m/>
    <m/>
    <m/>
    <m/>
    <m/>
    <m/>
    <m/>
    <m/>
    <m/>
    <m/>
    <m/>
    <m/>
    <m/>
    <m/>
    <m/>
    <m/>
    <m/>
    <m/>
    <m/>
    <m/>
    <m/>
    <m/>
    <m/>
    <m/>
    <m/>
    <m/>
    <m/>
    <m/>
    <m/>
    <m/>
    <m/>
    <m/>
    <m/>
    <m/>
    <m/>
    <m/>
    <m/>
    <m/>
    <m/>
    <m/>
    <m/>
    <m/>
    <m/>
    <m/>
    <m/>
    <m/>
    <m/>
    <m/>
    <m/>
    <m/>
    <m/>
    <m/>
    <m/>
    <s v="YES"/>
    <s v="October"/>
    <n v="2016"/>
    <s v="YES"/>
    <s v="YES"/>
    <s v="December"/>
    <n v="2017"/>
    <m/>
    <x v="0"/>
    <m/>
    <m/>
    <s v="YES"/>
    <m/>
    <m/>
    <m/>
    <m/>
    <m/>
    <m/>
    <x v="2"/>
    <m/>
    <x v="0"/>
    <m/>
    <x v="2"/>
    <x v="1"/>
    <s v="YES"/>
    <x v="0"/>
    <x v="0"/>
    <x v="0"/>
    <x v="2"/>
    <n v="4"/>
    <x v="1"/>
    <x v="1"/>
    <x v="1"/>
    <x v="0"/>
    <x v="1"/>
    <x v="1"/>
    <n v="3"/>
    <x v="1"/>
    <x v="1"/>
    <x v="1"/>
    <x v="2"/>
    <x v="3"/>
    <n v="2"/>
    <x v="2"/>
    <x v="1"/>
    <m/>
    <m/>
    <m/>
    <m/>
    <x v="2"/>
    <m/>
    <s v="The project did not make any adjustments to its  goals or activities. It is continuing to work towards its main goal: &quot;Syrian and non-Syrian refugees are safe from sexual and gender based violence.&quot;"/>
    <s v="Innovative measures such as art therapy, psychodrama, and sports for change have enabled us to tackle sensitive topics with refugees and delve into the roots of problems that may be considered taboo topics among refugee communities."/>
    <s v="Engaging men and boys has proven to be crucial in raising awareness on SGBV and promoting behavioral change among the community."/>
    <s v="Building the capacities of local partners and volunteers working among the Syrian community in Cairo and Alexandria has enabled them to create channels of communication with refugee communities."/>
    <s v="Awareness raising activities have permitted refugees to gain knowledge on SGBV and to express themselves in a non-judgemental environment."/>
    <s v="African refugees in various areas of Cairo and Alexandria are excluded from services by International NGOs."/>
    <s v="The integration of Egyptian nationals is key in order to truly reduce SGBV among refugees, as almost half of the perpetrators are Egyptians."/>
    <m/>
    <m/>
    <n v="14280"/>
    <n v="2426"/>
    <n v="0.16988795518207284"/>
    <n v="0.84075630252100841"/>
    <n v="0"/>
    <n v="12006"/>
    <n v="0"/>
    <n v="1"/>
    <n v="14280"/>
    <n v="2426"/>
    <n v="0.16988795518207284"/>
    <s v=""/>
    <n v="0"/>
    <n v="0"/>
    <s v=""/>
    <s v=""/>
    <n v="0"/>
    <n v="0"/>
    <s v=""/>
    <n v="1"/>
    <n v="13743"/>
    <n v="1710"/>
    <n v="0.12442698100851342"/>
    <s v=""/>
    <n v="0"/>
    <n v="0"/>
    <s v=""/>
    <s v="4. Transformative"/>
    <s v="2. Accommodating"/>
    <s v="1. Neutral"/>
    <s v="It tested new ways for fighting poverty and measured results of innovation"/>
    <s v="Little or no advocacy"/>
    <s v="It did not take tested solutions to scale"/>
  </r>
  <r>
    <x v="22"/>
    <x v="1"/>
    <n v="2911"/>
    <s v="Safe Cities Free From Violence Against Women and Girls"/>
    <s v="Egypt"/>
    <s v="UNWNEG0001"/>
    <s v="CARE Egypt"/>
    <s v="Multilateral agency"/>
    <s v="UN - United Nations agencies/offices"/>
    <s v="UN WOMEN"/>
    <m/>
    <m/>
    <m/>
    <m/>
    <m/>
    <m/>
    <m/>
    <m/>
    <m/>
    <m/>
    <m/>
    <m/>
    <m/>
    <m/>
    <m/>
    <m/>
    <m/>
    <m/>
    <m/>
    <m/>
    <m/>
    <m/>
    <m/>
    <m/>
    <m/>
    <m/>
    <m/>
    <m/>
    <m/>
    <m/>
    <m/>
    <m/>
    <m/>
    <m/>
    <m/>
    <m/>
    <m/>
    <m/>
    <m/>
    <m/>
    <m/>
    <m/>
    <m/>
    <m/>
    <m/>
    <d v="2012-06-01T00:00:00"/>
    <d v="2017-12-31T00:00:00"/>
    <m/>
    <s v="Development A Life Free From Violence (GBV)"/>
    <n v="948769"/>
    <s v="Sandra Azmy"/>
    <s v="Women's Rights Program Director"/>
    <s v="sandra.azmy@care.org"/>
    <m/>
    <m/>
    <m/>
    <s v="NO"/>
    <s v="YES"/>
    <s v="NO"/>
    <s v="Rights holders gain knowledge, skills, and organizational capacities to demand their rights and entitlements in relation to responding to, and preventing violence against women and girls in public spaces"/>
    <s v="Sub-National"/>
    <s v="Three locations in Cairo and Giza (Imbaba, Mansheyet Nasser, and Ezbet ElHagana)"/>
    <s v="1) Volunteers _x000a_2) Community members"/>
    <n v="0"/>
    <n v="0"/>
    <n v="0"/>
    <n v="0"/>
    <n v="0"/>
    <n v="0"/>
    <s v="When the proposal was written in 2012, quantitative targets were not included. For the previous years, the direct was multiplied by 4 (5 'average household numbers' - 1 'direct beneficiary') in order to attain the indirect data. Nonetheless, this year, the indirect is as following:_x000a_- Street campaigns that were held by tok tok drivers during the fiscal year targeted: 251 men and 939 women._x000a__x000a_For this fiscal year, CARE wished to only include the confirmed indirect instead of calculating the direct by 4 (5 'average household numbers' - 1 'direct beneficiary'). Starting from the new fiscal year, CARE will incorporate a question on the transfer of knowledge in order to accurately calculate the indirect beneficiaries."/>
    <m/>
    <m/>
    <m/>
    <m/>
    <m/>
    <m/>
    <m/>
    <m/>
    <m/>
    <m/>
    <m/>
    <m/>
    <m/>
    <m/>
    <m/>
    <m/>
    <m/>
    <m/>
    <m/>
    <m/>
    <m/>
    <m/>
    <m/>
    <m/>
    <m/>
    <m/>
    <m/>
    <m/>
    <m/>
    <m/>
    <m/>
    <m/>
    <m/>
    <m/>
    <m/>
    <m/>
    <m/>
    <m/>
    <m/>
    <m/>
    <m/>
    <m/>
    <m/>
    <m/>
    <m/>
    <m/>
    <m/>
    <m/>
    <m/>
    <m/>
    <m/>
    <m/>
    <m/>
    <m/>
    <m/>
    <m/>
    <m/>
    <m/>
    <m/>
    <m/>
    <n v="2465"/>
    <n v="2110"/>
    <n v="4575"/>
    <n v="939"/>
    <n v="251"/>
    <n v="1190"/>
    <m/>
    <m/>
    <m/>
    <m/>
    <m/>
    <m/>
    <m/>
    <m/>
    <m/>
    <m/>
    <m/>
    <m/>
    <m/>
    <m/>
    <m/>
    <m/>
    <m/>
    <m/>
    <m/>
    <m/>
    <m/>
    <m/>
    <m/>
    <m/>
    <m/>
    <m/>
    <m/>
    <m/>
    <s v="YES"/>
    <n v="4200"/>
    <n v="0.55000000000000004"/>
    <n v="1390"/>
    <s v="YES"/>
    <n v="160"/>
    <n v="0.49"/>
    <m/>
    <m/>
    <m/>
    <m/>
    <m/>
    <m/>
    <m/>
    <m/>
    <m/>
    <m/>
    <m/>
    <m/>
    <m/>
    <s v="YES"/>
    <n v="215"/>
    <n v="0.41"/>
    <m/>
    <m/>
    <m/>
    <m/>
    <m/>
    <m/>
    <m/>
    <m/>
    <m/>
    <m/>
    <m/>
    <m/>
    <m/>
    <m/>
    <m/>
    <m/>
    <m/>
    <m/>
    <s v="NO"/>
    <m/>
    <m/>
    <s v="NO"/>
    <s v="YES"/>
    <s v="December"/>
    <n v="2017"/>
    <m/>
    <x v="1"/>
    <m/>
    <m/>
    <s v="YES"/>
    <m/>
    <m/>
    <m/>
    <m/>
    <s v="YES"/>
    <s v="Supporting local communities to voice their demands through trainings on the state system, eligibility to run for elections, etc."/>
    <x v="1"/>
    <m/>
    <x v="1"/>
    <m/>
    <x v="2"/>
    <x v="1"/>
    <s v="YES"/>
    <x v="0"/>
    <x v="0"/>
    <x v="0"/>
    <x v="2"/>
    <n v="4"/>
    <x v="1"/>
    <x v="1"/>
    <x v="1"/>
    <x v="1"/>
    <x v="1"/>
    <x v="1"/>
    <n v="4"/>
    <x v="1"/>
    <x v="1"/>
    <x v="1"/>
    <x v="1"/>
    <x v="1"/>
    <n v="3"/>
    <x v="2"/>
    <x v="2"/>
    <n v="3"/>
    <s v="Grassroots organization(s)"/>
    <m/>
    <m/>
    <x v="0"/>
    <m/>
    <s v="The project has made a change in its activities, wherein it began building coalitions in the intervention sites in order to assure advocacy against harassment, and sustainability."/>
    <s v="A theoretical model of engaging men and boys has been developed based on the past experience, and has been tested in one of the intervention sites."/>
    <s v="Creating volunteer units has proven successful as volunteers become dedicated to work and more enthusiastic  in carrying out activities."/>
    <s v="Life coaching for partners and volunteers ventured into the unique intricacies of every participant and gave s/he self-knowledge, in which s/he was able to identify his/her strengths and areas of development. That did not only affect individual change; but, it simultaneously worked on improving interpersonal relations among the team (e.g. identifying common goals and objectives, dividing responsibilities, adopting communication skills, and establishing a decision-making mechanism)."/>
    <s v="A genuine bottom-up impact has proven to be more achievable when creating and empowering groups of youth volunteers to lead community awareness."/>
    <s v="Building coalitions in the targeted areas is key for sustainability and advocacy."/>
    <s v="Using innovative measures such as art therapy, theatre, etc. are more effective in tackling harassment."/>
    <m/>
    <m/>
    <n v="4575"/>
    <n v="1190"/>
    <n v="0.26010928961748636"/>
    <n v="0.53879781420765027"/>
    <n v="0.78907563025210081"/>
    <n v="2465"/>
    <n v="939"/>
    <s v=""/>
    <n v="0"/>
    <n v="0"/>
    <s v=""/>
    <s v=""/>
    <n v="0"/>
    <n v="0"/>
    <s v=""/>
    <s v=""/>
    <n v="0"/>
    <n v="0"/>
    <s v=""/>
    <n v="1"/>
    <n v="4200"/>
    <n v="1390"/>
    <n v="0.33095238095238094"/>
    <s v=""/>
    <n v="0"/>
    <n v="0"/>
    <s v=""/>
    <s v="4. Transformative"/>
    <s v="2. Accommodating"/>
    <s v="2. Sensitive"/>
    <s v="It tested new ways for fighting poverty, but did not measure results of innovation"/>
    <s v="Moderate advocacy"/>
    <s v="It linked and worked with strategic alliances and partners to take tested and effective solutions to scale"/>
  </r>
  <r>
    <x v="22"/>
    <x v="1"/>
    <n v="2920"/>
    <s v="Strengthening Civil Society Participation in the Agricultural Sector in Egypt"/>
    <s v="Egypt"/>
    <s v="CAUTEG0010"/>
    <s v="CARE Österreich"/>
    <s v="Multilateral agency"/>
    <s v="EU - European Union (other than ECHO)"/>
    <m/>
    <m/>
    <m/>
    <m/>
    <m/>
    <m/>
    <m/>
    <m/>
    <m/>
    <m/>
    <m/>
    <m/>
    <m/>
    <m/>
    <m/>
    <m/>
    <m/>
    <m/>
    <m/>
    <m/>
    <m/>
    <m/>
    <m/>
    <m/>
    <m/>
    <m/>
    <m/>
    <m/>
    <m/>
    <m/>
    <m/>
    <m/>
    <m/>
    <m/>
    <m/>
    <m/>
    <m/>
    <m/>
    <m/>
    <m/>
    <m/>
    <m/>
    <m/>
    <m/>
    <m/>
    <m/>
    <d v="2015-01-01T00:00:00"/>
    <d v="2017-03-31T00:00:00"/>
    <d v="2017-09-30T00:00:00"/>
    <s v="Development Other"/>
    <n v="538045"/>
    <s v="Mays Abou Hegab"/>
    <s v="Governance Department Manager"/>
    <s v="mays.abouhegab@care.org"/>
    <s v="Amr Lashin"/>
    <s v="Strategies and Governance Unit Director"/>
    <s v="amr.lashin@care.org"/>
    <s v="NO"/>
    <s v="YES"/>
    <s v="NO"/>
    <s v="This project’s overall objective is to improve local governance and accountability within the agricultural sector in Egypt through greater participation of a stronger civil society in policy-making processes and policy dialogue. That will be accomplished through strengthening the capacities of civil society and government authorities in the governorates of Beni Suef and Minya - pilot governorates - to engage in more structured, visible and inclusive dialogue(s) targeting the reform of the agriculture sector."/>
    <s v="Sub-National"/>
    <s v="This pilot project is being implemented in 2 Governorates namely Beni Suef (El Fashn and Ihnasia Districts) and Minya (Matay and Maghagha Districts)"/>
    <s v="(1) 16 Civil Society Organisations (Community Development Associations  and cooperatives) providing agricultural services. _x000a_(2) At least 30 representatives of local government authorities at governorate and district level responsible for providing extension services to farmers"/>
    <n v="20"/>
    <n v="1835"/>
    <n v="1855"/>
    <n v="60078"/>
    <n v="57722"/>
    <n v="117800"/>
    <s v="(1) Farmers/ landowners within selected districts. _x000a_(2) Local Communities in the selected districts  who will benefit from improved agricultural services"/>
    <m/>
    <m/>
    <m/>
    <m/>
    <m/>
    <m/>
    <m/>
    <m/>
    <m/>
    <m/>
    <m/>
    <m/>
    <m/>
    <m/>
    <m/>
    <m/>
    <m/>
    <m/>
    <m/>
    <m/>
    <m/>
    <m/>
    <m/>
    <m/>
    <m/>
    <m/>
    <m/>
    <m/>
    <m/>
    <m/>
    <m/>
    <m/>
    <m/>
    <m/>
    <m/>
    <m/>
    <m/>
    <m/>
    <m/>
    <m/>
    <m/>
    <m/>
    <m/>
    <m/>
    <m/>
    <m/>
    <m/>
    <m/>
    <m/>
    <m/>
    <m/>
    <m/>
    <m/>
    <m/>
    <m/>
    <m/>
    <m/>
    <m/>
    <m/>
    <m/>
    <n v="0"/>
    <n v="580"/>
    <n v="580"/>
    <n v="2469"/>
    <n v="2372"/>
    <n v="4841"/>
    <m/>
    <m/>
    <m/>
    <m/>
    <m/>
    <m/>
    <m/>
    <m/>
    <m/>
    <m/>
    <m/>
    <m/>
    <m/>
    <m/>
    <m/>
    <m/>
    <m/>
    <m/>
    <m/>
    <m/>
    <m/>
    <m/>
    <m/>
    <m/>
    <m/>
    <m/>
    <m/>
    <m/>
    <m/>
    <m/>
    <m/>
    <m/>
    <m/>
    <m/>
    <m/>
    <m/>
    <m/>
    <m/>
    <m/>
    <m/>
    <m/>
    <m/>
    <m/>
    <m/>
    <m/>
    <m/>
    <m/>
    <m/>
    <s v="YES"/>
    <n v="580"/>
    <n v="0"/>
    <n v="4841"/>
    <m/>
    <m/>
    <m/>
    <m/>
    <m/>
    <m/>
    <m/>
    <m/>
    <m/>
    <m/>
    <m/>
    <m/>
    <m/>
    <m/>
    <m/>
    <m/>
    <m/>
    <s v="NO"/>
    <m/>
    <m/>
    <m/>
    <s v="YES"/>
    <s v="September"/>
    <n v="2017"/>
    <s v="Final evaluation will build on: Baseline study (satisfaction survey and governance pillars study in services); and End line study (yet to be conducted)"/>
    <x v="1"/>
    <m/>
    <m/>
    <s v="YES"/>
    <m/>
    <m/>
    <m/>
    <m/>
    <s v="YES"/>
    <s v="Influencing agricultural cooperatives' participation to serve the farmers"/>
    <x v="1"/>
    <s v="• Through capacity-building which aims of assessing and strengthening the capacities of both local state and non-state actors to apply inclusive governance mechanisms (both internal and external) to improve their own governance and to engage in governance and social accountability initiatives and policy dialogue. _x000a_• Through the development and implementation of a scheme for introducing citizens’ engagement mechanisms (including satisfaction surveys and complaints mechanisms) and establishing a platform for dialogue between CSOs, government authorities and the media."/>
    <x v="1"/>
    <s v="Through the farmers-led Platforms by identifying platform policy topics, developing policy briefs:_x000a_In order to identify the platform policy topics, a series of local village/district/governorate/among the two governorates level FGDs and/or roundtables and/or public hearings were held in order to identify farmers specific problems. Based on the identified problems, these problems were listed and prioritized. Once all problem issues have been prioritized at local and sub-national levels, the first platform policy topic and brief will be identified and drafted. This will take place in the next FY."/>
    <x v="0"/>
    <x v="0"/>
    <s v="YES"/>
    <x v="1"/>
    <x v="0"/>
    <x v="1"/>
    <x v="1"/>
    <n v="2"/>
    <x v="2"/>
    <x v="1"/>
    <x v="1"/>
    <x v="1"/>
    <x v="1"/>
    <x v="2"/>
    <n v="4"/>
    <x v="2"/>
    <x v="2"/>
    <x v="1"/>
    <x v="1"/>
    <x v="2"/>
    <n v="2"/>
    <x v="2"/>
    <x v="2"/>
    <n v="4"/>
    <s v="Local government(s)"/>
    <s v="Local NGO(s)/CSO(s)"/>
    <s v="National government"/>
    <x v="0"/>
    <s v="1. Assessment of internal and external governance practice; 2. capacity building trainings"/>
    <m/>
    <s v="Creating a demand on policy dialogue and changes"/>
    <s v="Creating demand on good governance practices (transparency; accountability, responsiveness and participation mechanisms)"/>
    <s v="Creating demand on increasing service users' satisfaction"/>
    <s v="Engaging farmers in discussion forums at local, sub-national and national level, and introducing immediate corrective actions has been very successful"/>
    <s v="Exchange of experience taking place between countires; where study tour took place to the Netherlands and attended by local stakeholders participants. This study tour exposed the participants to know an effective cooperative system."/>
    <s v="Post the study tour, local exchange of experience took place between the study tour participants and other local stakeholders. Several topics were discussed as listed below:_x000a_• The most important things that impressed participants in Netherlands._x000a_• The most important things that impressed participants in the agricultural cooperatives in the Netherlands. _x000a_• Differences in the agricultural cooperation laws between Egypt and Netherlands. _x000a_• The study tour participants visits, in Netherlands, to the Rose Stock Market, Cheese Factory, Rabobank, Broccoli Farms and Dairy Farms. _x000a_• The possibility to apply the different systems they explored in Egypt."/>
    <m/>
    <s v="Progress Report; Baselie Surveys (satisfaction report and governance pillars report &amp; guide) and Updated Monitoring Matrix"/>
    <n v="580"/>
    <n v="4841"/>
    <n v="8.3465517241379317"/>
    <n v="0"/>
    <n v="0.51001859120016524"/>
    <n v="0"/>
    <n v="2469"/>
    <s v=""/>
    <n v="0"/>
    <n v="0"/>
    <s v=""/>
    <s v=""/>
    <n v="0"/>
    <n v="0"/>
    <s v=""/>
    <s v=""/>
    <n v="0"/>
    <n v="0"/>
    <s v=""/>
    <s v=""/>
    <n v="0"/>
    <n v="0"/>
    <s v=""/>
    <s v=""/>
    <n v="0"/>
    <n v="0"/>
    <s v=""/>
    <s v="1. Neutral"/>
    <s v="4. Transformational"/>
    <s v="0. Harmful"/>
    <s v="It tested new ways for fighting poverty, but did not measure results of innovation"/>
    <s v="Moderate advocacy"/>
    <s v="It linked and worked with strategic alliances and partners to take tested and effective solutions to scale"/>
  </r>
  <r>
    <x v="22"/>
    <x v="1"/>
    <n v="2907"/>
    <s v="Supporting Participation and Accountability for Communities’ Education (SPACE)"/>
    <s v="Egypt"/>
    <n v="2907"/>
    <s v="CARE Deutschland-Luxemburg"/>
    <s v="Multilateral agency"/>
    <s v="EU - European Union (other than ECHO)"/>
    <s v="EC-European Commission"/>
    <m/>
    <m/>
    <m/>
    <m/>
    <m/>
    <m/>
    <m/>
    <m/>
    <m/>
    <m/>
    <m/>
    <m/>
    <m/>
    <m/>
    <m/>
    <m/>
    <m/>
    <m/>
    <m/>
    <m/>
    <m/>
    <m/>
    <m/>
    <m/>
    <m/>
    <m/>
    <m/>
    <m/>
    <m/>
    <m/>
    <m/>
    <m/>
    <m/>
    <m/>
    <m/>
    <m/>
    <m/>
    <m/>
    <m/>
    <m/>
    <m/>
    <m/>
    <m/>
    <m/>
    <m/>
    <d v="2016-07-04T00:00:00"/>
    <d v="2017-07-03T00:00:00"/>
    <m/>
    <s v="Development Other"/>
    <n v="610308"/>
    <s v="Ali Abdelmohsen"/>
    <s v="Initiative's Manager"/>
    <s v="ali.mohsen@care.org"/>
    <s v="Amira Hussein"/>
    <s v="Program Director"/>
    <s v="Amira.hussein@care.org"/>
    <s v="NO"/>
    <s v="YES"/>
    <s v="NO"/>
    <s v="To strengthen the capacity of Egyptian local actors including Civil Society Organisations (CSOs) in Egypt to participate in defining, implementing and monitoring education services and strategies."/>
    <s v="Sub-National"/>
    <s v="Rural Upper Egypt, Governorates of Minya, Benisueif, Fayoum and Giza – Egypt"/>
    <s v="Egyptian local actors including Civil Society Organisations (CSOs), and schools Board of Trustees (BOTs)"/>
    <n v="670"/>
    <n v="670"/>
    <n v="1340"/>
    <n v="8000"/>
    <n v="8000"/>
    <n v="16000"/>
    <s v="Direct:_x000a_20 Community Based Organizations (CBOs) with 200 members; 40 Boards of Trustees (BoTs) with 400 members; 40 Student Unions (SUs) with 400 members, 200 young men and women aged 18-30, 20 education committees in local elected bodies with 100 members, 4 governorate level BoTs with 40 members, 4 Intermediate Organizations (IOs) from Education For All Coalition (EFAC) and 5 Civil Society Departments in the Ministry of Education (MoE) at governorate and national level._x000a__x000a_Indirect:_x000a_6,000 community members, 10,000 girls and boys aged 4-18 years attending and not attending schools, particularly vulnerable children in rural Upper Egypt who will benefit from increased community participation and accountability for better education."/>
    <m/>
    <m/>
    <m/>
    <m/>
    <m/>
    <m/>
    <m/>
    <s v="NO"/>
    <m/>
    <m/>
    <m/>
    <s v="NO"/>
    <m/>
    <m/>
    <m/>
    <s v="NO"/>
    <m/>
    <m/>
    <m/>
    <s v="NO"/>
    <m/>
    <m/>
    <m/>
    <s v="NO"/>
    <m/>
    <m/>
    <m/>
    <s v="NO"/>
    <m/>
    <m/>
    <m/>
    <s v="NO"/>
    <m/>
    <m/>
    <m/>
    <s v="NO"/>
    <m/>
    <m/>
    <m/>
    <s v="NO"/>
    <m/>
    <m/>
    <m/>
    <s v="NO"/>
    <m/>
    <m/>
    <m/>
    <s v="NO"/>
    <m/>
    <m/>
    <m/>
    <s v="NO"/>
    <m/>
    <m/>
    <m/>
    <m/>
    <s v="NO"/>
    <m/>
    <m/>
    <m/>
    <m/>
    <m/>
    <n v="579"/>
    <n v="5302"/>
    <n v="5302"/>
    <n v="10604"/>
    <s v="NO"/>
    <m/>
    <m/>
    <m/>
    <s v="NO"/>
    <m/>
    <m/>
    <m/>
    <s v="NO"/>
    <m/>
    <m/>
    <m/>
    <s v="NO"/>
    <m/>
    <m/>
    <m/>
    <s v="NO"/>
    <m/>
    <m/>
    <m/>
    <s v="YES"/>
    <n v="579"/>
    <m/>
    <n v="10604"/>
    <s v="NO"/>
    <m/>
    <m/>
    <m/>
    <s v="NO"/>
    <m/>
    <m/>
    <m/>
    <s v="NO"/>
    <m/>
    <m/>
    <m/>
    <s v="NO"/>
    <m/>
    <m/>
    <m/>
    <s v="NO"/>
    <m/>
    <m/>
    <m/>
    <s v="NO"/>
    <m/>
    <m/>
    <m/>
    <s v="YES"/>
    <n v="511"/>
    <m/>
    <n v="1354"/>
    <s v="NO"/>
    <m/>
    <m/>
    <m/>
    <s v="NO"/>
    <m/>
    <m/>
    <m/>
    <s v="NO"/>
    <m/>
    <m/>
    <m/>
    <m/>
    <s v="NO"/>
    <m/>
    <m/>
    <m/>
    <s v="YES"/>
    <s v="February"/>
    <n v="2017"/>
    <s v="NO"/>
    <s v="NO"/>
    <m/>
    <m/>
    <m/>
    <x v="1"/>
    <s v="NO"/>
    <s v="NO"/>
    <s v="YES"/>
    <s v="YES"/>
    <s v="NO"/>
    <s v="NO"/>
    <s v="YES"/>
    <s v="NO"/>
    <m/>
    <x v="0"/>
    <m/>
    <x v="1"/>
    <s v="Community Score Cards"/>
    <x v="0"/>
    <x v="0"/>
    <s v="YES"/>
    <x v="0"/>
    <x v="0"/>
    <x v="1"/>
    <x v="1"/>
    <n v="3"/>
    <x v="2"/>
    <x v="1"/>
    <x v="1"/>
    <x v="1"/>
    <x v="1"/>
    <x v="2"/>
    <n v="4"/>
    <x v="1"/>
    <x v="1"/>
    <x v="2"/>
    <x v="1"/>
    <x v="3"/>
    <n v="2"/>
    <x v="2"/>
    <x v="2"/>
    <n v="6"/>
    <s v="Local government(s)"/>
    <s v="Local NGO(s)/CSO(s)"/>
    <m/>
    <x v="0"/>
    <s v="Capacity building of technical support teams comprising of CBO members, MoE members and partner NGOs_x000a_- Supporting technical support teams as they build capacities of youth groups in target communities_x000a_                                                                                                                                                                                                                                                                Capacity building packages included resource mobilization, advocacy and community initiatives"/>
    <m/>
    <s v="Community score cards"/>
    <s v="Carrying capicity building activities through technical support teams"/>
    <s v="Engaging government partners"/>
    <s v="Community score cards, while eventually gaining support among various project's beneficiaries, could initially be met with some resistance"/>
    <s v="Community score cards were more challenging when implemented in an urban setting"/>
    <s v="It is important to manage and address expectations of communities and schools before implementing community score cards, as some of the participants expect direct service delivery from CSOs"/>
    <s v="While an evaluation was conducetd in the current period, it was more qualitative in nature and did not gather new quantitative data to be included in the IMPACT/OUTCOMES form for FY17"/>
    <m/>
    <n v="579"/>
    <n v="10604"/>
    <n v="18.31433506044905"/>
    <n v="0"/>
    <n v="0.5"/>
    <n v="0"/>
    <n v="5302"/>
    <s v=""/>
    <n v="0"/>
    <n v="0"/>
    <s v=""/>
    <s v=""/>
    <n v="0"/>
    <n v="0"/>
    <s v=""/>
    <s v=""/>
    <n v="0"/>
    <n v="0"/>
    <s v=""/>
    <s v=""/>
    <n v="0"/>
    <n v="0"/>
    <s v=""/>
    <s v=""/>
    <n v="0"/>
    <n v="0"/>
    <s v=""/>
    <s v="1. Neutral"/>
    <s v="4. Transformational"/>
    <s v="1. Neutral"/>
    <s v="It did not develop any specific innovation"/>
    <s v="Moderate advocacy"/>
    <s v="It linked and worked with strategic alliances and partners to take tested and effective solutions to scale"/>
  </r>
  <r>
    <x v="22"/>
    <x v="1"/>
    <n v="2904"/>
    <s v="Sustainable Transformation of Egypt’s Aquaculture Market System (STREAMS)"/>
    <s v="Egypt"/>
    <s v="WFSHEG0010"/>
    <s v="CARE USA"/>
    <s v="Government"/>
    <s v="Government - US"/>
    <s v="Swiss Agency for Development and Cooperation (SDC)"/>
    <m/>
    <m/>
    <m/>
    <m/>
    <m/>
    <m/>
    <m/>
    <m/>
    <m/>
    <m/>
    <m/>
    <m/>
    <m/>
    <m/>
    <m/>
    <m/>
    <m/>
    <m/>
    <m/>
    <m/>
    <m/>
    <m/>
    <m/>
    <m/>
    <m/>
    <m/>
    <m/>
    <m/>
    <m/>
    <m/>
    <m/>
    <m/>
    <m/>
    <m/>
    <m/>
    <m/>
    <m/>
    <m/>
    <m/>
    <m/>
    <m/>
    <m/>
    <m/>
    <m/>
    <m/>
    <d v="2016-02-01T00:00:00"/>
    <d v="2018-11-30T00:00:00"/>
    <m/>
    <s v="Development Food &amp; Nutrition Security and Resilience to Climate Change"/>
    <n v="505000"/>
    <s v="Ihab Anwar"/>
    <s v="Initatives Manager"/>
    <s v="ehab.anwar@care.org"/>
    <m/>
    <m/>
    <m/>
    <s v="NO"/>
    <s v="YES"/>
    <s v="NO"/>
    <s v="continue to support women fish retailers who are vulnerable players in the farmed fish value chains"/>
    <s v="Sub-National"/>
    <s v="3 governorates in Egypt: Kafr El Sheikh, Fayoum, and Minya"/>
    <s v="Women Fish retailers and their households who are part of the farmed fish value chain"/>
    <n v="1070"/>
    <n v="30"/>
    <n v="1100"/>
    <n v="2200"/>
    <n v="2200"/>
    <n v="4400"/>
    <s v="Direct beneficiaries are women fish retailers directly benefiting from project interventions through capacity building and VSLA groups. Indirect beneficiaries are household members of direct beneficiaries calculated as 4 excluding direct beneficiary."/>
    <m/>
    <m/>
    <m/>
    <m/>
    <m/>
    <m/>
    <m/>
    <m/>
    <m/>
    <m/>
    <m/>
    <m/>
    <m/>
    <m/>
    <m/>
    <m/>
    <m/>
    <m/>
    <m/>
    <m/>
    <m/>
    <m/>
    <m/>
    <m/>
    <m/>
    <m/>
    <m/>
    <m/>
    <m/>
    <m/>
    <m/>
    <m/>
    <m/>
    <m/>
    <m/>
    <m/>
    <m/>
    <m/>
    <m/>
    <m/>
    <m/>
    <m/>
    <m/>
    <m/>
    <m/>
    <m/>
    <m/>
    <m/>
    <m/>
    <m/>
    <m/>
    <m/>
    <m/>
    <m/>
    <m/>
    <m/>
    <m/>
    <m/>
    <m/>
    <m/>
    <n v="547"/>
    <n v="320"/>
    <n v="867"/>
    <n v="1734"/>
    <n v="1734"/>
    <n v="3468"/>
    <m/>
    <m/>
    <m/>
    <m/>
    <m/>
    <m/>
    <m/>
    <m/>
    <m/>
    <m/>
    <m/>
    <m/>
    <m/>
    <m/>
    <m/>
    <m/>
    <s v="YES"/>
    <n v="320"/>
    <n v="0"/>
    <n v="1280"/>
    <m/>
    <m/>
    <m/>
    <m/>
    <m/>
    <m/>
    <m/>
    <m/>
    <m/>
    <m/>
    <m/>
    <m/>
    <m/>
    <m/>
    <m/>
    <m/>
    <m/>
    <m/>
    <m/>
    <m/>
    <m/>
    <m/>
    <m/>
    <m/>
    <m/>
    <m/>
    <m/>
    <m/>
    <m/>
    <m/>
    <m/>
    <m/>
    <m/>
    <m/>
    <m/>
    <m/>
    <m/>
    <m/>
    <m/>
    <m/>
    <s v="YES"/>
    <n v="547"/>
    <n v="0.63"/>
    <n v="2188"/>
    <m/>
    <m/>
    <m/>
    <m/>
    <m/>
    <s v="NO"/>
    <m/>
    <m/>
    <m/>
    <s v="YES"/>
    <s v="August"/>
    <n v="2017"/>
    <m/>
    <x v="1"/>
    <s v="NO"/>
    <s v="YES"/>
    <s v="YES"/>
    <s v="YES"/>
    <s v="YES"/>
    <s v="NO"/>
    <s v="NO"/>
    <s v="YES"/>
    <s v="The project supported stakeholder to negotiate with state representatives to advocate against a policy that was harming fish farmers and supported women fish retailers to form a labor union (syndicate)"/>
    <x v="1"/>
    <s v="The project supported women fish retailers to form a committee to act as a platform that advocates for fish retailer rights. WRC was supported by formation of VSLA groups and taking steps to establish a market place"/>
    <x v="1"/>
    <s v="Women Retail committees were utilized as an empowerment platform to advocate for women retailers' rights. WRC in once governorate is taking steps to formalize theire status as registered street vendors."/>
    <x v="1"/>
    <x v="1"/>
    <s v="NO"/>
    <x v="0"/>
    <x v="0"/>
    <x v="1"/>
    <x v="4"/>
    <n v="2"/>
    <x v="1"/>
    <x v="1"/>
    <x v="1"/>
    <x v="1"/>
    <x v="1"/>
    <x v="1"/>
    <n v="4"/>
    <x v="0"/>
    <x v="0"/>
    <x v="0"/>
    <x v="0"/>
    <x v="0"/>
    <n v="0"/>
    <x v="2"/>
    <x v="0"/>
    <n v="5"/>
    <s v="Local NGO(s)/CSO(s)"/>
    <s v="Local alliance(s)/Platform(s)/Network(s) of  NGOs/CSOs"/>
    <m/>
    <x v="0"/>
    <s v="Capacity building and governance training"/>
    <m/>
    <s v="Interactive theatre continued to prove as one of the best means to address community challenges and ensure community buy-in"/>
    <s v="Fish Farmer Organization led value chain development improved conditions for fish farmers in Minya"/>
    <s v="VSLA not only acted as a method for women economic empowerment but also acted as knowledge management platform"/>
    <s v="Women fish retailers were introduced to varied recipes for preparing fish by professional chefs that helped them improve their nutritional needs and diversify their income generating streams"/>
    <s v="Women retailer committees were very effective in arranging and advocating for the rights of women retailers"/>
    <s v="VSLA acted as a knowledge management platform that helped increase awareness of women fish retailers"/>
    <m/>
    <m/>
    <n v="867"/>
    <n v="3468"/>
    <n v="4"/>
    <n v="0.63091118800461365"/>
    <n v="0.5"/>
    <n v="547"/>
    <n v="1734"/>
    <s v=""/>
    <n v="0"/>
    <n v="0"/>
    <s v=""/>
    <n v="1"/>
    <n v="320"/>
    <n v="1280"/>
    <n v="4"/>
    <s v=""/>
    <n v="0"/>
    <n v="0"/>
    <s v=""/>
    <s v=""/>
    <n v="0"/>
    <n v="0"/>
    <s v=""/>
    <n v="1"/>
    <n v="547"/>
    <n v="2188"/>
    <n v="4"/>
    <s v="3. Responsive"/>
    <s v="2. Accommodating"/>
    <s v="No marker score"/>
    <s v="It tested new ways for fighting poverty, but did not measure results of innovation"/>
    <s v="Moderate advocacy"/>
    <s v="It linked and worked with strategic alliances and partners to take tested and effective solutions to scale"/>
  </r>
  <r>
    <x v="22"/>
    <x v="1"/>
    <n v="2922"/>
    <s v="Towards socio-economic wellbeing and women empowerment in Upper Egypt (Hayat Kareema)"/>
    <s v="Egypt"/>
    <s v="CAUTEG0013"/>
    <s v="CARE Österreich"/>
    <s v="Multilateral agency"/>
    <s v="EU - European Union (other than ECHO)"/>
    <s v="EU"/>
    <m/>
    <m/>
    <m/>
    <m/>
    <m/>
    <m/>
    <m/>
    <m/>
    <m/>
    <m/>
    <m/>
    <m/>
    <m/>
    <m/>
    <m/>
    <m/>
    <m/>
    <m/>
    <m/>
    <m/>
    <m/>
    <m/>
    <m/>
    <m/>
    <m/>
    <m/>
    <m/>
    <m/>
    <m/>
    <m/>
    <m/>
    <m/>
    <m/>
    <m/>
    <m/>
    <m/>
    <m/>
    <m/>
    <m/>
    <m/>
    <m/>
    <m/>
    <m/>
    <m/>
    <m/>
    <d v="2016-04-28T00:00:00"/>
    <d v="2018-11-26T00:00:00"/>
    <m/>
    <s v="Development Other"/>
    <n v="3268500"/>
    <s v="Amr Lashin"/>
    <s v="Strategies and Governance Unit Director"/>
    <s v="amr.lashin@care.org"/>
    <s v="Howaida Nagy"/>
    <s v="Initiatives Manager"/>
    <s v="howaida.nagy@care.org"/>
    <s v="NO"/>
    <s v="YES"/>
    <s v="NO"/>
    <s v="Socio-economic wellbeing in the target communities in Beni Suef and Assiut is improved."/>
    <s v="Sub-National"/>
    <s v="Beni Suef &amp; Assiut governorates"/>
    <s v="130 CSOs - 15000 women - 1500 small farmers - 200 youth"/>
    <m/>
    <m/>
    <n v="16700"/>
    <n v="33660"/>
    <n v="32340"/>
    <n v="66000"/>
    <s v="o Civil society organizations in Beni-Suef and Assiut governorates._x000a_o Smallholder farmer groups and cooperatives._x000a_o CSOs supporting women’s groups._x000a_o CSOs supported to train youth in community-based monitoring. Through these CSOs, youth (aged 18-30) will be reached._x000a_o Household members in Beni-Suef and Assiut governorates."/>
    <m/>
    <m/>
    <m/>
    <m/>
    <m/>
    <m/>
    <m/>
    <m/>
    <m/>
    <m/>
    <m/>
    <m/>
    <m/>
    <m/>
    <m/>
    <m/>
    <m/>
    <m/>
    <m/>
    <m/>
    <m/>
    <m/>
    <m/>
    <m/>
    <m/>
    <m/>
    <m/>
    <m/>
    <m/>
    <m/>
    <m/>
    <m/>
    <m/>
    <m/>
    <m/>
    <m/>
    <m/>
    <m/>
    <m/>
    <m/>
    <m/>
    <m/>
    <m/>
    <m/>
    <m/>
    <m/>
    <m/>
    <m/>
    <m/>
    <m/>
    <m/>
    <m/>
    <m/>
    <m/>
    <m/>
    <m/>
    <m/>
    <m/>
    <m/>
    <m/>
    <m/>
    <m/>
    <m/>
    <m/>
    <m/>
    <m/>
    <s v="YES"/>
    <m/>
    <m/>
    <m/>
    <m/>
    <m/>
    <m/>
    <m/>
    <m/>
    <m/>
    <m/>
    <m/>
    <m/>
    <m/>
    <m/>
    <m/>
    <m/>
    <m/>
    <m/>
    <m/>
    <m/>
    <m/>
    <m/>
    <m/>
    <m/>
    <m/>
    <m/>
    <m/>
    <m/>
    <m/>
    <m/>
    <m/>
    <m/>
    <m/>
    <m/>
    <m/>
    <m/>
    <m/>
    <m/>
    <m/>
    <m/>
    <m/>
    <m/>
    <m/>
    <m/>
    <m/>
    <m/>
    <m/>
    <s v="YES"/>
    <m/>
    <m/>
    <m/>
    <m/>
    <m/>
    <m/>
    <m/>
    <m/>
    <m/>
    <m/>
    <m/>
    <s v="YES"/>
    <m/>
    <m/>
    <m/>
    <m/>
    <m/>
    <m/>
    <m/>
    <m/>
    <s v="YES"/>
    <s v="September"/>
    <n v="2016"/>
    <s v="YES"/>
    <s v="NO"/>
    <m/>
    <m/>
    <s v="An evaluation study will take place by the end of the project using various methodologies such as comparability with baseline, project documents review and focus group discussions."/>
    <x v="0"/>
    <m/>
    <m/>
    <m/>
    <m/>
    <m/>
    <m/>
    <m/>
    <m/>
    <m/>
    <x v="0"/>
    <m/>
    <x v="0"/>
    <m/>
    <x v="0"/>
    <x v="0"/>
    <s v="YES"/>
    <x v="0"/>
    <x v="0"/>
    <x v="1"/>
    <x v="1"/>
    <n v="3"/>
    <x v="2"/>
    <x v="1"/>
    <x v="1"/>
    <x v="1"/>
    <x v="1"/>
    <x v="2"/>
    <n v="4"/>
    <x v="2"/>
    <x v="2"/>
    <x v="1"/>
    <x v="1"/>
    <x v="2"/>
    <n v="2"/>
    <x v="2"/>
    <x v="2"/>
    <n v="2"/>
    <s v="Local NGO(s)/CSO(s)"/>
    <m/>
    <m/>
    <x v="2"/>
    <s v="Needs assessment took place by our partner organizations to prepare a capacity building plan for the project’s local CSOs. This plan is supposed to be conducted by next FY."/>
    <m/>
    <s v="An effective grant scheme mechanism has been established to disburse funds to socio-economic development micro projects."/>
    <s v="The launch of the project’s national launch event; where 35 stakeholders attended the event in Cairo governorate. The stakeholders ranged from the governmental officials from Ministry of Social Solidatity and Ministry of International Cooperation, Partner Organizations’ representatives, media representatives and selected CARE staff. Many media publications were issued covering Hayat Kareema launching event; highlighting the importance of this project and its impact."/>
    <s v="Deign of a data collection tool to be disseminated widely during the launch of the different grants’ rounds with Request for Applications to be filled-in by all interested applicant CSOs /cooperatives. The main purpose of this tool is to help potential grantees, grassroots CSOs/Cooperatives with situational analysis and thus determine their communities’ needs."/>
    <s v="More technical support will be exerted for the grassroots organizations during the proposal writing and budgeting of their projects’ ideas due to their limited experience in this area."/>
    <s v="Agricultural cooperatives are very potential candidates; that the project will maximize its efforts with them. Fortunately, this will result in positive impact on the farmers as a result of the direct work between these cooperatives and the farmers."/>
    <s v="CARE and the partner organizations have exchanged their experiences with the first round of the application from launching the RFA to the signing of the grant agreements. This workshop aimed at to enhance the process during the second round."/>
    <m/>
    <s v="Project Proposal, Logframe, Updated Monitoring Matrix, Progress Reports and 1st Interim Narrative Report"/>
    <n v="0"/>
    <n v="0"/>
    <s v=""/>
    <s v=""/>
    <s v=""/>
    <n v="0"/>
    <n v="0"/>
    <s v=""/>
    <n v="0"/>
    <n v="0"/>
    <s v=""/>
    <n v="1"/>
    <n v="0"/>
    <n v="0"/>
    <s v=""/>
    <s v=""/>
    <n v="0"/>
    <n v="0"/>
    <s v=""/>
    <s v=""/>
    <n v="0"/>
    <n v="0"/>
    <s v=""/>
    <n v="1"/>
    <n v="0"/>
    <n v="0"/>
    <s v=""/>
    <s v="1. Neutral"/>
    <s v="4. Transformational"/>
    <s v="0. Harmful"/>
    <s v="It did not develop any specific innovation"/>
    <s v="Little or no advocacy"/>
    <s v="It did not take tested solutions to scale"/>
  </r>
  <r>
    <x v="22"/>
    <x v="1"/>
    <n v="2914"/>
    <s v="Women Friendly Spaces for Syrian Refugees"/>
    <s v="Egypt"/>
    <s v="UNFPEG0003"/>
    <s v="CARE Egypt"/>
    <s v="Multilateral agency"/>
    <s v="UN - United Nations agencies/offices"/>
    <s v="UNFPA"/>
    <m/>
    <m/>
    <m/>
    <m/>
    <m/>
    <m/>
    <m/>
    <m/>
    <m/>
    <m/>
    <m/>
    <m/>
    <m/>
    <m/>
    <m/>
    <m/>
    <m/>
    <m/>
    <m/>
    <m/>
    <m/>
    <m/>
    <m/>
    <m/>
    <m/>
    <m/>
    <m/>
    <m/>
    <m/>
    <m/>
    <m/>
    <m/>
    <m/>
    <m/>
    <m/>
    <m/>
    <m/>
    <m/>
    <m/>
    <m/>
    <m/>
    <m/>
    <m/>
    <m/>
    <m/>
    <d v="2016-01-01T00:00:00"/>
    <d v="2017-07-31T00:00:00"/>
    <m/>
    <s v="Humanitarian A Life Free From Violence (GBV)"/>
    <n v="97061"/>
    <s v="Marwa Saleh"/>
    <s v="Initiative Manager"/>
    <s v="marwa.saleh@care.org"/>
    <s v="Sandra Azmy"/>
    <s v="Women's Rights Program Director"/>
    <s v="sandra.azmy@care.org"/>
    <s v="YES"/>
    <s v="NO"/>
    <s v="NO"/>
    <s v="The main goal is to provide Syrian female refugees with safe spaces, where they benefit from empowering, awareness-raising, and resilience activities."/>
    <s v="Sub-National"/>
    <s v="Maadi and Nasr City in Cairo as well as Agami in Alexandria."/>
    <s v="Syrian refugee women"/>
    <n v="0"/>
    <n v="0"/>
    <n v="0"/>
    <n v="0"/>
    <n v="0"/>
    <n v="0"/>
    <s v="When the proposal was written in 2012, quantitative targets were not included. The direct was multiplied by 4 (5 'average household numbers' - 1 'direct beneficiary') in order to attain the indirect data."/>
    <m/>
    <n v="1774"/>
    <n v="276"/>
    <n v="2050"/>
    <n v="7096"/>
    <n v="0"/>
    <n v="7096"/>
    <s v="NO"/>
    <m/>
    <m/>
    <m/>
    <s v="NO"/>
    <m/>
    <m/>
    <m/>
    <s v="NO"/>
    <m/>
    <m/>
    <m/>
    <s v="NO"/>
    <m/>
    <m/>
    <m/>
    <s v="YES"/>
    <m/>
    <m/>
    <m/>
    <s v="YES"/>
    <m/>
    <m/>
    <m/>
    <s v="NO"/>
    <m/>
    <m/>
    <m/>
    <s v="NO"/>
    <m/>
    <m/>
    <m/>
    <s v="NO"/>
    <m/>
    <m/>
    <m/>
    <s v="NO"/>
    <m/>
    <m/>
    <m/>
    <s v="NO"/>
    <m/>
    <m/>
    <m/>
    <s v="NO"/>
    <m/>
    <m/>
    <m/>
    <m/>
    <m/>
    <m/>
    <m/>
    <m/>
    <m/>
    <m/>
    <m/>
    <m/>
    <m/>
    <m/>
    <m/>
    <m/>
    <m/>
    <m/>
    <m/>
    <m/>
    <m/>
    <m/>
    <m/>
    <m/>
    <m/>
    <m/>
    <m/>
    <m/>
    <m/>
    <m/>
    <m/>
    <m/>
    <m/>
    <m/>
    <m/>
    <m/>
    <m/>
    <m/>
    <m/>
    <m/>
    <m/>
    <m/>
    <m/>
    <m/>
    <m/>
    <m/>
    <m/>
    <m/>
    <m/>
    <m/>
    <m/>
    <m/>
    <m/>
    <m/>
    <m/>
    <m/>
    <m/>
    <m/>
    <m/>
    <m/>
    <m/>
    <m/>
    <m/>
    <m/>
    <m/>
    <m/>
    <m/>
    <m/>
    <m/>
    <m/>
    <m/>
    <m/>
    <m/>
    <m/>
    <m/>
    <m/>
    <m/>
    <m/>
    <m/>
    <m/>
    <m/>
    <m/>
    <m/>
    <s v="NO"/>
    <m/>
    <m/>
    <s v="NO"/>
    <s v="YES"/>
    <s v="March"/>
    <n v="2018"/>
    <m/>
    <x v="0"/>
    <m/>
    <m/>
    <s v="YES"/>
    <m/>
    <m/>
    <m/>
    <m/>
    <m/>
    <m/>
    <x v="1"/>
    <m/>
    <x v="0"/>
    <m/>
    <x v="2"/>
    <x v="1"/>
    <s v="YES"/>
    <x v="0"/>
    <x v="0"/>
    <x v="1"/>
    <x v="4"/>
    <n v="3"/>
    <x v="1"/>
    <x v="1"/>
    <x v="1"/>
    <x v="2"/>
    <x v="1"/>
    <x v="1"/>
    <n v="3"/>
    <x v="1"/>
    <x v="2"/>
    <x v="1"/>
    <x v="1"/>
    <x v="3"/>
    <n v="2"/>
    <x v="2"/>
    <x v="1"/>
    <m/>
    <m/>
    <m/>
    <m/>
    <x v="1"/>
    <m/>
    <m/>
    <s v="Social empowerment activities equipped beneficiaries with social and life skills as well as experience necessary for them to make percise life choices and adopt enhanced self-esteem. Participants gained the knowledge and acquired resilience to handle different life situations."/>
    <s v="The engagement of Egyptian nationals initiated a dialogue between refugees and nationals, working towards creating an inclusive host community."/>
    <s v="Vocational trainings provided refugee women with the opportunity to develop new competencies that aimed for them to become self-reliant."/>
    <s v="Women friendly spaces acted as recreational and eductional hubs, where beneficiaries gained knowledge on GBV, built resilience, and felt empowered in a non-judgemental environment."/>
    <s v="Hiring Syrian volunteers provided the spaces with the opportunity to become renowned amongst Syrian refugee communities, as that created prompt channels of communication."/>
    <s v="Acceptance and cultural understanding between Egyptians and refugees is a prolonged a process."/>
    <m/>
    <m/>
    <n v="2050"/>
    <n v="7096"/>
    <n v="3.4614634146341463"/>
    <n v="0.86536585365853658"/>
    <n v="1"/>
    <n v="1774"/>
    <n v="7096"/>
    <n v="1"/>
    <n v="2050"/>
    <n v="7096"/>
    <n v="3.4614634146341463"/>
    <s v=""/>
    <n v="0"/>
    <n v="0"/>
    <s v=""/>
    <s v=""/>
    <n v="0"/>
    <n v="0"/>
    <s v=""/>
    <n v="1"/>
    <n v="0"/>
    <n v="0"/>
    <s v=""/>
    <s v=""/>
    <n v="0"/>
    <n v="0"/>
    <s v=""/>
    <s v="3. Responsive"/>
    <s v="2. Accommodating"/>
    <s v="1. Neutral"/>
    <s v="It tested new ways for fighting poverty, but did not measure results of innovation"/>
    <s v="Little or no advocacy"/>
    <s v="It did not take tested solutions to scale"/>
  </r>
  <r>
    <x v="22"/>
    <x v="1"/>
    <m/>
    <s v="Women’s Employment Promotion Programme"/>
    <s v="Egypt"/>
    <s v="UNWNEG0012"/>
    <s v="CARE USA"/>
    <s v="Government"/>
    <s v="UN - United Nations agencies/offices"/>
    <s v="UN WOMEN"/>
    <m/>
    <m/>
    <m/>
    <m/>
    <m/>
    <m/>
    <m/>
    <m/>
    <m/>
    <m/>
    <m/>
    <m/>
    <m/>
    <m/>
    <m/>
    <m/>
    <m/>
    <m/>
    <m/>
    <m/>
    <m/>
    <m/>
    <m/>
    <m/>
    <m/>
    <m/>
    <m/>
    <m/>
    <m/>
    <m/>
    <m/>
    <m/>
    <m/>
    <m/>
    <m/>
    <m/>
    <m/>
    <m/>
    <m/>
    <m/>
    <m/>
    <m/>
    <m/>
    <m/>
    <m/>
    <d v="2016-07-01T00:00:00"/>
    <d v="2017-08-31T00:00:00"/>
    <d v="2018-03-31T00:00:00"/>
    <s v="Development Food &amp; Nutrition Security and Resilience to Climate Change"/>
    <n v="399694"/>
    <s v="Georgina Louis"/>
    <s v="Initiatives Manager"/>
    <s v="geogina.louis@care.org"/>
    <s v="Moustafa Osama"/>
    <s v="DME Officer"/>
    <s v="moustafa.osama@care.org"/>
    <s v="NO"/>
    <s v="YES"/>
    <s v="NO"/>
    <s v="Contribute to achieving the overarching goal for the USAID-UN Women agreement, i.e. a more gender-inclusive environment along agricultural value chains reflected through enhanced work environment for female employees in the agribusiness firms receiving USG assistance"/>
    <s v="Sub-National"/>
    <s v="3 Governorates in Egypt: Minya, Beni Sueif, and Giza"/>
    <s v="Women laborers in agribusiness firms and farms"/>
    <n v="1485"/>
    <n v="1085"/>
    <n v="2570"/>
    <n v="4340"/>
    <n v="4340"/>
    <n v="8680"/>
    <s v="Direct participants are women laborers receiving capacity building trainings from the project directly, as well as community members participating in interactive theatres and sports days (activities of the project). Indirect participants are household members of direct participants"/>
    <m/>
    <m/>
    <m/>
    <m/>
    <m/>
    <m/>
    <m/>
    <m/>
    <m/>
    <m/>
    <m/>
    <m/>
    <m/>
    <m/>
    <m/>
    <m/>
    <m/>
    <m/>
    <m/>
    <m/>
    <m/>
    <m/>
    <m/>
    <m/>
    <m/>
    <m/>
    <m/>
    <m/>
    <m/>
    <m/>
    <m/>
    <m/>
    <m/>
    <m/>
    <m/>
    <m/>
    <m/>
    <m/>
    <m/>
    <m/>
    <m/>
    <m/>
    <m/>
    <m/>
    <m/>
    <m/>
    <m/>
    <m/>
    <m/>
    <m/>
    <m/>
    <m/>
    <m/>
    <m/>
    <m/>
    <m/>
    <m/>
    <m/>
    <m/>
    <m/>
    <n v="3108"/>
    <n v="850"/>
    <n v="3958"/>
    <n v="12432"/>
    <n v="3400"/>
    <n v="15832"/>
    <m/>
    <m/>
    <m/>
    <m/>
    <m/>
    <m/>
    <m/>
    <m/>
    <m/>
    <m/>
    <m/>
    <m/>
    <m/>
    <m/>
    <m/>
    <m/>
    <m/>
    <m/>
    <m/>
    <m/>
    <m/>
    <m/>
    <m/>
    <m/>
    <m/>
    <m/>
    <m/>
    <m/>
    <s v="YES"/>
    <n v="3985"/>
    <n v="0.78"/>
    <n v="15832"/>
    <s v="YES"/>
    <n v="3985"/>
    <n v="0.78"/>
    <n v="15832"/>
    <m/>
    <m/>
    <m/>
    <m/>
    <m/>
    <m/>
    <m/>
    <m/>
    <m/>
    <m/>
    <m/>
    <m/>
    <m/>
    <m/>
    <m/>
    <m/>
    <m/>
    <m/>
    <m/>
    <m/>
    <m/>
    <m/>
    <m/>
    <m/>
    <s v="YES"/>
    <n v="3108"/>
    <n v="1"/>
    <n v="12432"/>
    <m/>
    <m/>
    <m/>
    <m/>
    <m/>
    <s v="NO"/>
    <m/>
    <m/>
    <s v="NO"/>
    <s v="NO"/>
    <m/>
    <m/>
    <m/>
    <x v="0"/>
    <s v="NO"/>
    <s v="NO"/>
    <s v="YES"/>
    <s v="NO"/>
    <s v="YES"/>
    <s v="NO"/>
    <s v="NO"/>
    <m/>
    <m/>
    <x v="1"/>
    <s v="The project worked to improve working condition for women working in agribusiness firms. The intervention aims to improve producitivity, attendance and retention of women laborers"/>
    <x v="3"/>
    <s v="The project ois testing methods for improving working condition for women in partner agribusiness firms. Lessons learned by the end of the project can be taken to scale"/>
    <x v="1"/>
    <x v="1"/>
    <s v="YES"/>
    <x v="0"/>
    <x v="0"/>
    <x v="0"/>
    <x v="2"/>
    <n v="4"/>
    <x v="1"/>
    <x v="1"/>
    <x v="1"/>
    <x v="1"/>
    <x v="1"/>
    <x v="1"/>
    <n v="4"/>
    <x v="1"/>
    <x v="2"/>
    <x v="1"/>
    <x v="2"/>
    <x v="3"/>
    <n v="1"/>
    <x v="2"/>
    <x v="0"/>
    <n v="10"/>
    <s v="National government"/>
    <s v="Local NGO(s)/CSO(s)"/>
    <m/>
    <x v="0"/>
    <s v="The project built the capacity of local NGOs establish in areas of operation of partner agribusiness firms. Local NGOs were targeted to support better working conditions for women laborers working in agribusiness firms"/>
    <m/>
    <s v="Interactive theatres and sports days proved to be very effective in enhancing awareness on gender roles and GBV in target communities"/>
    <s v="Labor committees proved to be effective in mainstreaming gender equality in agribusiness firms"/>
    <s v="Paricipatory needs assessment with women laborers proved to have a significant impact on women's self-image and commitment to the work place"/>
    <s v="Interactive theatres should be mainstreamed in addressing community-based and cultural challenges"/>
    <s v="Agribusinesses are willing to find alternatives for labor contractors (that source women laborers). However, this kind of intervention requires a longer timeframe to be materialized"/>
    <s v="Providing gender sensitive services at the work place (such as nurseries for mothers with children) increased commitment of women laborers and encouraged new entrants"/>
    <m/>
    <m/>
    <n v="3958"/>
    <n v="15832"/>
    <n v="4"/>
    <n v="0.78524507326932791"/>
    <n v="0.78524507326932791"/>
    <n v="3108"/>
    <n v="12432"/>
    <s v=""/>
    <n v="0"/>
    <n v="0"/>
    <s v=""/>
    <s v=""/>
    <n v="0"/>
    <n v="0"/>
    <s v=""/>
    <s v=""/>
    <n v="0"/>
    <n v="0"/>
    <s v=""/>
    <n v="1"/>
    <n v="3985"/>
    <n v="15832"/>
    <n v="3.9728983688833126"/>
    <n v="1"/>
    <n v="3108"/>
    <n v="12432"/>
    <n v="4"/>
    <s v="4. Transformative"/>
    <s v="2. Accommodating"/>
    <s v="1. Neutral"/>
    <s v="It tested new ways for fighting poverty, but did not measure results of innovation"/>
    <s v="Little or no advocacy"/>
    <s v="It took tested solutions to scale on its own"/>
  </r>
  <r>
    <x v="22"/>
    <x v="1"/>
    <n v="2905"/>
    <s v="Youth Employment in Aswan Project (YEP)"/>
    <s v="Egypt"/>
    <s v="SDCXEG0002"/>
    <s v="CARE USA"/>
    <s v="Government"/>
    <s v="Government - Switzerland"/>
    <s v="Swiss Agency for Development and Cooperation (SDC)"/>
    <m/>
    <m/>
    <m/>
    <m/>
    <m/>
    <m/>
    <m/>
    <m/>
    <m/>
    <m/>
    <m/>
    <m/>
    <m/>
    <m/>
    <m/>
    <m/>
    <m/>
    <m/>
    <m/>
    <m/>
    <m/>
    <m/>
    <m/>
    <m/>
    <m/>
    <m/>
    <m/>
    <m/>
    <m/>
    <m/>
    <m/>
    <m/>
    <m/>
    <m/>
    <m/>
    <m/>
    <m/>
    <m/>
    <m/>
    <m/>
    <m/>
    <m/>
    <m/>
    <m/>
    <m/>
    <d v="2014-09-01T00:00:00"/>
    <d v="2017-06-30T00:00:00"/>
    <m/>
    <s v="Development Food &amp; Nutrition Security and Resilience to Climate Change"/>
    <n v="4900000"/>
    <s v="Osama Abdou"/>
    <s v="Program Director"/>
    <s v="osama.abdou@care.org"/>
    <s v="Moustafa Osama"/>
    <s v="DME Officer"/>
    <s v="moustafa.osama@care.org"/>
    <s v="NO"/>
    <s v="YES"/>
    <s v="NO"/>
    <s v="provide increased and sustainable income for 2,500 disadvantaged youth and employment for a further 4,000 youth"/>
    <s v="Sub-National"/>
    <s v="The project operated in the soutern region of Egypt in Aswan governorate"/>
    <s v="Men and women under the age of 40 who depend on agriculture as their main source of income"/>
    <n v="1625"/>
    <n v="4875"/>
    <n v="6500"/>
    <n v="13000"/>
    <n v="13000"/>
    <n v="26000"/>
    <m/>
    <m/>
    <m/>
    <m/>
    <m/>
    <m/>
    <m/>
    <m/>
    <m/>
    <m/>
    <m/>
    <m/>
    <m/>
    <m/>
    <m/>
    <m/>
    <m/>
    <m/>
    <m/>
    <m/>
    <m/>
    <m/>
    <m/>
    <m/>
    <m/>
    <m/>
    <m/>
    <m/>
    <m/>
    <m/>
    <m/>
    <m/>
    <m/>
    <m/>
    <m/>
    <m/>
    <m/>
    <m/>
    <m/>
    <m/>
    <m/>
    <m/>
    <m/>
    <m/>
    <m/>
    <m/>
    <m/>
    <m/>
    <m/>
    <m/>
    <m/>
    <m/>
    <m/>
    <m/>
    <m/>
    <m/>
    <m/>
    <m/>
    <m/>
    <m/>
    <m/>
    <n v="526"/>
    <n v="301"/>
    <n v="827"/>
    <m/>
    <m/>
    <m/>
    <s v="YES"/>
    <n v="827"/>
    <n v="0.63"/>
    <n v="3308"/>
    <m/>
    <m/>
    <m/>
    <m/>
    <m/>
    <m/>
    <m/>
    <m/>
    <m/>
    <m/>
    <m/>
    <m/>
    <s v="YES"/>
    <n v="827"/>
    <n v="0.63"/>
    <n v="3308"/>
    <m/>
    <m/>
    <m/>
    <m/>
    <m/>
    <m/>
    <m/>
    <m/>
    <m/>
    <m/>
    <m/>
    <m/>
    <m/>
    <m/>
    <m/>
    <m/>
    <m/>
    <m/>
    <m/>
    <m/>
    <m/>
    <m/>
    <m/>
    <m/>
    <m/>
    <m/>
    <m/>
    <m/>
    <m/>
    <m/>
    <m/>
    <m/>
    <m/>
    <m/>
    <m/>
    <m/>
    <m/>
    <m/>
    <m/>
    <m/>
    <m/>
    <m/>
    <m/>
    <m/>
    <m/>
    <m/>
    <m/>
    <m/>
    <m/>
    <s v="YES"/>
    <s v="July"/>
    <n v="2016"/>
    <s v="NO"/>
    <s v="NO"/>
    <m/>
    <m/>
    <m/>
    <x v="0"/>
    <s v="NO"/>
    <s v="NO"/>
    <s v="YES"/>
    <s v="NO"/>
    <s v="YES"/>
    <s v="NO"/>
    <s v="NO"/>
    <m/>
    <m/>
    <x v="2"/>
    <s v="The project introduced new opportunties for stakeholders in horticulture, livestock and fisheries value chains from input to end-user markets"/>
    <x v="1"/>
    <s v="The project worked closely with local research centers, other itnernational NGOs, local Microfinance Institutions and local businesses to test new opportunities in agricultural value chai.s However, the results did not meet expectations to fit marginalized youth"/>
    <x v="0"/>
    <x v="0"/>
    <s v="YES"/>
    <x v="0"/>
    <x v="0"/>
    <x v="0"/>
    <x v="0"/>
    <n v="4"/>
    <x v="1"/>
    <x v="1"/>
    <x v="1"/>
    <x v="1"/>
    <x v="2"/>
    <x v="1"/>
    <n v="3"/>
    <x v="1"/>
    <x v="1"/>
    <x v="1"/>
    <x v="1"/>
    <x v="1"/>
    <n v="3"/>
    <x v="0"/>
    <x v="3"/>
    <n v="18"/>
    <s v="International NGO(s)"/>
    <s v="Local NGO(s)/CSO(s)"/>
    <m/>
    <x v="0"/>
    <s v="The project continued to build the capacity of local Community Development Associations, MFIs, and Agricultural Cooperatives. Sustainability plans were developed for post-project activities in a participatory manner to ensure impact group continues to benefit from established services"/>
    <m/>
    <s v="Financial rewards deemed successful to encourage women to expand poultry rearing from sustenance to commerncail purposes"/>
    <s v="VSLA groups proved to be very successful in building social capital that helped women become more business oriented"/>
    <s v="Zero-interest loans proved successful in encouraging agricultural cooperatives in utilizing their idle assets"/>
    <s v="Job creation is a very complex process that requires deeper analysis for future programming and a flexible method of measurement"/>
    <s v="Behavioural change require longterm programming particularly in changing attitude and perception in job creation"/>
    <s v="In-kind micro-loans to women are successful, particularly in poultry, if presented as a comprehensive package including veterinarian services"/>
    <m/>
    <m/>
    <n v="827"/>
    <n v="0"/>
    <n v="0"/>
    <n v="0.63603385731559858"/>
    <s v=""/>
    <n v="526"/>
    <n v="0"/>
    <s v=""/>
    <n v="0"/>
    <n v="0"/>
    <s v=""/>
    <n v="1"/>
    <n v="827"/>
    <n v="3308"/>
    <n v="4"/>
    <s v=""/>
    <n v="0"/>
    <n v="0"/>
    <s v=""/>
    <s v=""/>
    <n v="0"/>
    <n v="0"/>
    <s v=""/>
    <n v="1"/>
    <n v="521.01"/>
    <n v="2084.04"/>
    <n v="4"/>
    <s v="2. Sensitive"/>
    <s v="2. Accommodating"/>
    <s v="2. Sensitive"/>
    <s v="It tested new ways for fighting poverty and measured results of innovation"/>
    <s v="Little or no advocacy"/>
    <s v="It linked and worked with strategic alliances and partners to take tested and effective solutions to scale"/>
  </r>
  <r>
    <x v="23"/>
    <x v="3"/>
    <m/>
    <s v="Afar Region Emergency Nutrition Response project"/>
    <s v="Ethiopia"/>
    <m/>
    <s v="No CARE member related to the project/initiative"/>
    <s v="Multilateral agency"/>
    <s v="UN - United Nations agencies/offices"/>
    <s v="UN OCHA"/>
    <m/>
    <m/>
    <m/>
    <m/>
    <m/>
    <m/>
    <m/>
    <m/>
    <m/>
    <m/>
    <m/>
    <m/>
    <m/>
    <m/>
    <m/>
    <m/>
    <m/>
    <m/>
    <m/>
    <m/>
    <m/>
    <m/>
    <m/>
    <m/>
    <m/>
    <m/>
    <m/>
    <m/>
    <m/>
    <m/>
    <m/>
    <m/>
    <m/>
    <m/>
    <m/>
    <m/>
    <m/>
    <m/>
    <m/>
    <m/>
    <m/>
    <m/>
    <m/>
    <m/>
    <m/>
    <d v="2017-01-06T00:00:00"/>
    <s v="31/11/2017"/>
    <m/>
    <s v="Humanitarian Food &amp; Nutrition Security and Resilience to Climate Change"/>
    <n v="280279.39"/>
    <s v="Teyent Tadesse"/>
    <s v="Emergency Program Coordinator"/>
    <s v="teyent.tadesse@care.org"/>
    <s v="Ayele Getahun"/>
    <s v="Emergency Nutrition Technical Advisor"/>
    <s v="ayele.getahun@care.org"/>
    <s v="YES"/>
    <s v="NO"/>
    <s v="NO"/>
    <s v="The overall objective of this project is to support and stregthen government's health system to manage increasing cases of acute malnutrition among children less than 5 years, and pregnant and lactating women in the six drought affected Woredas (Gomole, Ele-woye, Teltele, Arero Dubluk, and Wachile) of Borena Zone."/>
    <s v="Sub-National"/>
    <s v="Teltele, El Waye, Gomole, Dubluk, Arero, Wachile woredas in Borena  zone of Oromiya Region, Ethiopia"/>
    <s v="The project targets male and female children less than five years, pregnant women, and lactating women for direct nutrition support and mothers of children less than 2 years (regardless of their nutritional status) for IYCF-E, Health, and Nutrition counseling."/>
    <n v="2493"/>
    <n v="913"/>
    <n v="3406"/>
    <m/>
    <m/>
    <m/>
    <s v="The proposed project will directly  reach to: _x000a_• 1226 moderately malnourished children age between 6 to 59 months_x000a_• 600 severely acute malnourished children less than five years_x000a_• 1580 moderately malnourished pregnant and lactating women _x000a_• 500 women with children less than two years"/>
    <m/>
    <n v="2493"/>
    <n v="913"/>
    <n v="3406"/>
    <m/>
    <m/>
    <m/>
    <s v="NO"/>
    <m/>
    <m/>
    <m/>
    <s v="NO"/>
    <m/>
    <m/>
    <m/>
    <s v="NO"/>
    <m/>
    <m/>
    <m/>
    <s v="YES"/>
    <n v="3406"/>
    <n v="0.73"/>
    <m/>
    <s v="NO"/>
    <m/>
    <m/>
    <m/>
    <s v="NO"/>
    <m/>
    <m/>
    <m/>
    <s v="NO"/>
    <m/>
    <m/>
    <m/>
    <s v="NO"/>
    <m/>
    <m/>
    <m/>
    <s v="NO"/>
    <m/>
    <m/>
    <m/>
    <s v="NO"/>
    <m/>
    <m/>
    <m/>
    <s v="NO"/>
    <m/>
    <m/>
    <m/>
    <s v="NO"/>
    <m/>
    <m/>
    <m/>
    <m/>
    <m/>
    <m/>
    <m/>
    <m/>
    <m/>
    <m/>
    <m/>
    <m/>
    <m/>
    <m/>
    <m/>
    <m/>
    <m/>
    <m/>
    <m/>
    <m/>
    <m/>
    <m/>
    <m/>
    <m/>
    <m/>
    <m/>
    <m/>
    <m/>
    <m/>
    <m/>
    <m/>
    <m/>
    <m/>
    <m/>
    <m/>
    <m/>
    <m/>
    <m/>
    <m/>
    <m/>
    <m/>
    <m/>
    <m/>
    <m/>
    <m/>
    <m/>
    <m/>
    <m/>
    <m/>
    <m/>
    <m/>
    <m/>
    <m/>
    <m/>
    <m/>
    <m/>
    <m/>
    <m/>
    <m/>
    <m/>
    <m/>
    <m/>
    <m/>
    <m/>
    <m/>
    <m/>
    <m/>
    <m/>
    <m/>
    <m/>
    <m/>
    <m/>
    <m/>
    <m/>
    <m/>
    <m/>
    <m/>
    <m/>
    <m/>
    <m/>
    <m/>
    <m/>
    <m/>
    <s v="NO"/>
    <m/>
    <m/>
    <m/>
    <s v="NO"/>
    <m/>
    <m/>
    <m/>
    <x v="0"/>
    <s v="NO"/>
    <m/>
    <m/>
    <s v="NO"/>
    <m/>
    <m/>
    <s v="NO"/>
    <m/>
    <m/>
    <x v="0"/>
    <m/>
    <x v="0"/>
    <m/>
    <x v="0"/>
    <x v="0"/>
    <s v="YES"/>
    <x v="0"/>
    <x v="0"/>
    <x v="0"/>
    <x v="0"/>
    <n v="4"/>
    <x v="1"/>
    <x v="1"/>
    <x v="1"/>
    <x v="1"/>
    <x v="1"/>
    <x v="1"/>
    <n v="4"/>
    <x v="1"/>
    <x v="1"/>
    <x v="1"/>
    <x v="1"/>
    <x v="1"/>
    <n v="3"/>
    <x v="0"/>
    <x v="2"/>
    <n v="2"/>
    <s v="National government"/>
    <s v="Local government(s)"/>
    <m/>
    <x v="1"/>
    <m/>
    <m/>
    <m/>
    <m/>
    <m/>
    <m/>
    <s v="This a new project under implimentation and we are hopping to genarate lessons after or at the end of the project period"/>
    <m/>
    <m/>
    <m/>
    <n v="3406"/>
    <n v="0"/>
    <n v="0"/>
    <n v="0.73194362889019382"/>
    <s v=""/>
    <n v="2493"/>
    <n v="0"/>
    <n v="1"/>
    <n v="3406"/>
    <n v="0"/>
    <n v="0"/>
    <n v="1"/>
    <n v="3406"/>
    <n v="0"/>
    <n v="0"/>
    <s v=""/>
    <n v="0"/>
    <n v="0"/>
    <s v=""/>
    <s v=""/>
    <n v="0"/>
    <n v="0"/>
    <s v=""/>
    <s v=""/>
    <n v="0"/>
    <n v="0"/>
    <s v=""/>
    <s v="2. Sensitive"/>
    <s v="2. Accommodating"/>
    <s v="2. Sensitive"/>
    <s v="It did not develop any specific innovation"/>
    <s v="Little or no advocacy"/>
    <s v="It did not take tested solutions to scale"/>
  </r>
  <r>
    <x v="23"/>
    <x v="3"/>
    <m/>
    <s v="AWD response in East and West Hararghe"/>
    <s v="Ethiopia"/>
    <s v="US1RE"/>
    <s v="No CARE member related to the project/initiative"/>
    <s v="Multilateral agency"/>
    <s v="UN - United Nations agencies/offices"/>
    <s v="UN OCHA"/>
    <m/>
    <m/>
    <m/>
    <m/>
    <m/>
    <m/>
    <m/>
    <m/>
    <m/>
    <m/>
    <m/>
    <m/>
    <m/>
    <m/>
    <m/>
    <m/>
    <m/>
    <m/>
    <m/>
    <m/>
    <m/>
    <m/>
    <m/>
    <m/>
    <m/>
    <m/>
    <m/>
    <m/>
    <m/>
    <m/>
    <m/>
    <m/>
    <m/>
    <m/>
    <m/>
    <m/>
    <m/>
    <m/>
    <m/>
    <m/>
    <m/>
    <m/>
    <m/>
    <m/>
    <m/>
    <d v="2016-09-30T00:00:00"/>
    <d v="2017-02-28T00:00:00"/>
    <m/>
    <s v="Humanitarian Food &amp; Nutrition Security and Resilience to Climate Change"/>
    <n v="489385.43"/>
    <s v="Teyent Tadesse"/>
    <s v="Emergency Program Coordinator"/>
    <s v="teyent.tadesse@care.org"/>
    <s v="Desta Baye"/>
    <s v="Emergency WaSH Technical Advisor"/>
    <s v="desta.baye@care.org"/>
    <s v="YES"/>
    <s v="NO"/>
    <s v="NO"/>
    <s v="The main objective of the Emergency Water, Sanitation and Hygiene interventions is to reduce morbidity and mortality due to WaSHrelated hazards by increasing access to safe drinking water."/>
    <s v="Sub-National"/>
    <s v="Meiso, Doba, Chiro, Gemechis  from West Hararghe zone and  Fedis, Babile, Kombolcha and Jarso from East Hararghe zone"/>
    <s v="Chronically Food Insecure Rural Women"/>
    <n v="35239"/>
    <n v="33857"/>
    <n v="69096"/>
    <m/>
    <m/>
    <m/>
    <s v="The direct beneficaries are those who are directly reached by the project either through provision of different  resources ( water treatment chemicals and treatment medication in the CTCs) or through training and eduction"/>
    <m/>
    <n v="89288"/>
    <n v="85903"/>
    <n v="175191"/>
    <m/>
    <m/>
    <m/>
    <s v="NO"/>
    <m/>
    <m/>
    <m/>
    <s v="NO"/>
    <m/>
    <m/>
    <m/>
    <s v="NO"/>
    <m/>
    <m/>
    <m/>
    <s v="NO"/>
    <m/>
    <m/>
    <m/>
    <s v="NO"/>
    <m/>
    <m/>
    <m/>
    <s v="NO"/>
    <m/>
    <m/>
    <m/>
    <s v="NO"/>
    <m/>
    <m/>
    <m/>
    <s v="NO"/>
    <m/>
    <m/>
    <m/>
    <s v="NO"/>
    <m/>
    <m/>
    <m/>
    <s v="NO"/>
    <m/>
    <m/>
    <m/>
    <s v="NO"/>
    <m/>
    <m/>
    <m/>
    <s v="YES"/>
    <n v="175191"/>
    <n v="0.51"/>
    <m/>
    <m/>
    <s v="NO"/>
    <m/>
    <m/>
    <m/>
    <m/>
    <m/>
    <m/>
    <m/>
    <m/>
    <m/>
    <m/>
    <m/>
    <m/>
    <m/>
    <m/>
    <m/>
    <m/>
    <m/>
    <m/>
    <m/>
    <m/>
    <m/>
    <m/>
    <m/>
    <m/>
    <m/>
    <m/>
    <m/>
    <m/>
    <m/>
    <m/>
    <m/>
    <m/>
    <m/>
    <m/>
    <m/>
    <m/>
    <m/>
    <m/>
    <m/>
    <m/>
    <m/>
    <m/>
    <m/>
    <m/>
    <m/>
    <m/>
    <m/>
    <m/>
    <m/>
    <m/>
    <m/>
    <m/>
    <m/>
    <m/>
    <m/>
    <m/>
    <m/>
    <m/>
    <m/>
    <m/>
    <m/>
    <m/>
    <m/>
    <m/>
    <m/>
    <m/>
    <m/>
    <m/>
    <m/>
    <m/>
    <m/>
    <m/>
    <m/>
    <m/>
    <m/>
    <m/>
    <m/>
    <m/>
    <s v="YES"/>
    <s v="October"/>
    <n v="2016"/>
    <s v="NO"/>
    <s v="NO"/>
    <m/>
    <m/>
    <m/>
    <x v="0"/>
    <s v="NO"/>
    <m/>
    <m/>
    <s v="NO"/>
    <m/>
    <m/>
    <s v="NO"/>
    <m/>
    <m/>
    <x v="0"/>
    <m/>
    <x v="0"/>
    <m/>
    <x v="0"/>
    <x v="0"/>
    <s v="YES"/>
    <x v="0"/>
    <x v="0"/>
    <x v="0"/>
    <x v="0"/>
    <n v="4"/>
    <x v="1"/>
    <x v="1"/>
    <x v="1"/>
    <x v="1"/>
    <x v="1"/>
    <x v="1"/>
    <n v="4"/>
    <x v="1"/>
    <x v="1"/>
    <x v="1"/>
    <x v="1"/>
    <x v="1"/>
    <n v="3"/>
    <x v="0"/>
    <x v="2"/>
    <n v="2"/>
    <s v="National government"/>
    <s v="Local government(s)"/>
    <m/>
    <x v="1"/>
    <m/>
    <m/>
    <m/>
    <m/>
    <m/>
    <m/>
    <s v="Coordinated effort by the different actors, information sharing  and regular coordnation meeting were some of the strategies helped to make the AWD respose more effective. The spread of the epidemic in many parts of the country at same time was a big challenge for the NGOs and the government as well"/>
    <m/>
    <m/>
    <m/>
    <n v="175191"/>
    <n v="0"/>
    <n v="0"/>
    <n v="0.50966088440616242"/>
    <s v=""/>
    <n v="89288"/>
    <n v="0"/>
    <n v="1"/>
    <n v="175191"/>
    <n v="0"/>
    <n v="0"/>
    <s v=""/>
    <n v="0"/>
    <n v="0"/>
    <s v=""/>
    <s v=""/>
    <n v="0"/>
    <n v="0"/>
    <s v=""/>
    <s v=""/>
    <n v="0"/>
    <n v="0"/>
    <s v=""/>
    <s v=""/>
    <n v="0"/>
    <n v="0"/>
    <s v=""/>
    <s v="2. Sensitive"/>
    <s v="2. Accommodating"/>
    <s v="2. Sensitive"/>
    <s v="It did not develop any specific innovation"/>
    <s v="Little or no advocacy"/>
    <s v="It did not take tested solutions to scale"/>
  </r>
  <r>
    <x v="23"/>
    <x v="3"/>
    <m/>
    <s v="Borena zone Emergency Nutrition Réponse Project"/>
    <s v="Ethiopia"/>
    <s v="US1VD"/>
    <s v="No CARE member related to the project/initiative"/>
    <s v="Multilateral agency"/>
    <s v="UN - United Nations agencies/offices"/>
    <s v="UN OCHA"/>
    <m/>
    <m/>
    <m/>
    <m/>
    <m/>
    <m/>
    <m/>
    <m/>
    <m/>
    <m/>
    <m/>
    <m/>
    <m/>
    <m/>
    <m/>
    <m/>
    <m/>
    <m/>
    <m/>
    <m/>
    <m/>
    <m/>
    <m/>
    <m/>
    <m/>
    <m/>
    <m/>
    <m/>
    <m/>
    <m/>
    <m/>
    <m/>
    <m/>
    <m/>
    <m/>
    <m/>
    <m/>
    <m/>
    <m/>
    <m/>
    <m/>
    <m/>
    <m/>
    <m/>
    <m/>
    <d v="2017-02-20T00:00:00"/>
    <d v="2017-08-20T00:00:00"/>
    <m/>
    <s v="Humanitarian Food &amp; Nutrition Security and Resilience to Climate Change"/>
    <n v="431313.81"/>
    <s v="Teyent Tadesse"/>
    <s v="Emergency Program Coordinator"/>
    <s v="teyent.tadesse@care.org"/>
    <s v="Ayele Getahun"/>
    <s v="Emergency Nutrition Technical Advisor"/>
    <s v="ayele.getahun@care.org"/>
    <s v="YES"/>
    <s v="NO"/>
    <s v="NO"/>
    <s v="The overall objective of this project is to support and stregthen government's health system to manage increasing cases of acute malnutrition among children less than 5 years, and pregnant and lactating women in the six drought affected Woredas (Gomole, Ele-woye, Teltele, Arero Dubluk, and Wachile) of Borena Zone."/>
    <s v="Sub-National"/>
    <s v="Teltele, El Waye, Gomole, Dubluk, Arero, Wachile woredas in Borena  zone of Oromiya Region, Ethiopia"/>
    <s v="Pastoral School Age Girls"/>
    <n v="19570"/>
    <n v="5431"/>
    <n v="25001"/>
    <m/>
    <m/>
    <m/>
    <s v="The proposed project will reach the following direct beneficaries through Nutritional support, IYCF-E, Health and Nutritional Counceling: Beneficaries will be targeted based on thier nutritional status _x000a_• 9973 moderately malnourished children age between 6 to 59 months_x000a_• 1342 severely acute malnourished children less than five years_x000a_• 13686 moderately malnourished pregnant and lactating women _x000a_• 1500 women of reproductive age and men will receive maternal and child nutrition education"/>
    <m/>
    <n v="19570"/>
    <n v="5431"/>
    <n v="25001"/>
    <m/>
    <m/>
    <m/>
    <s v="NO"/>
    <m/>
    <m/>
    <m/>
    <s v="NO"/>
    <m/>
    <m/>
    <m/>
    <s v="NO"/>
    <m/>
    <m/>
    <m/>
    <s v="YES"/>
    <n v="25001"/>
    <n v="0.78"/>
    <m/>
    <s v="NO"/>
    <m/>
    <m/>
    <m/>
    <s v="NO"/>
    <m/>
    <m/>
    <m/>
    <s v="NO"/>
    <m/>
    <m/>
    <m/>
    <s v="NO"/>
    <m/>
    <m/>
    <m/>
    <s v="NO"/>
    <m/>
    <m/>
    <m/>
    <s v="NO"/>
    <m/>
    <m/>
    <m/>
    <s v="NO"/>
    <m/>
    <m/>
    <m/>
    <s v="NO"/>
    <m/>
    <m/>
    <m/>
    <m/>
    <s v="NO"/>
    <m/>
    <m/>
    <m/>
    <m/>
    <m/>
    <m/>
    <m/>
    <m/>
    <m/>
    <m/>
    <m/>
    <m/>
    <m/>
    <m/>
    <m/>
    <m/>
    <m/>
    <m/>
    <m/>
    <m/>
    <m/>
    <m/>
    <m/>
    <m/>
    <m/>
    <m/>
    <m/>
    <m/>
    <m/>
    <m/>
    <m/>
    <m/>
    <m/>
    <m/>
    <m/>
    <m/>
    <m/>
    <m/>
    <m/>
    <m/>
    <m/>
    <m/>
    <m/>
    <m/>
    <m/>
    <m/>
    <m/>
    <m/>
    <m/>
    <m/>
    <m/>
    <m/>
    <m/>
    <m/>
    <m/>
    <m/>
    <m/>
    <m/>
    <m/>
    <m/>
    <m/>
    <m/>
    <m/>
    <m/>
    <m/>
    <m/>
    <m/>
    <m/>
    <m/>
    <m/>
    <m/>
    <m/>
    <m/>
    <m/>
    <m/>
    <m/>
    <m/>
    <m/>
    <s v="NO"/>
    <m/>
    <m/>
    <s v="NO"/>
    <s v="NO"/>
    <m/>
    <m/>
    <m/>
    <x v="0"/>
    <s v="NO"/>
    <m/>
    <m/>
    <s v="NO"/>
    <m/>
    <m/>
    <s v="NO"/>
    <m/>
    <m/>
    <x v="0"/>
    <m/>
    <x v="0"/>
    <m/>
    <x v="0"/>
    <x v="0"/>
    <s v="YES"/>
    <x v="0"/>
    <x v="0"/>
    <x v="0"/>
    <x v="0"/>
    <n v="4"/>
    <x v="1"/>
    <x v="1"/>
    <x v="1"/>
    <x v="1"/>
    <x v="1"/>
    <x v="1"/>
    <n v="4"/>
    <x v="1"/>
    <x v="1"/>
    <x v="1"/>
    <x v="1"/>
    <x v="1"/>
    <n v="3"/>
    <x v="0"/>
    <x v="2"/>
    <n v="2"/>
    <s v="National government"/>
    <s v="Local government(s)"/>
    <m/>
    <x v="1"/>
    <m/>
    <m/>
    <m/>
    <m/>
    <m/>
    <m/>
    <s v="This is a six month emergency nutrition project ; the after action workshop that will be done at the end of the project will help us to generate lessons"/>
    <m/>
    <m/>
    <m/>
    <n v="25001"/>
    <n v="0"/>
    <n v="0"/>
    <n v="0.78276868925242993"/>
    <s v=""/>
    <n v="19570"/>
    <n v="0"/>
    <n v="1"/>
    <n v="25001"/>
    <n v="0"/>
    <n v="0"/>
    <n v="1"/>
    <n v="25001"/>
    <n v="0"/>
    <n v="0"/>
    <s v=""/>
    <n v="0"/>
    <n v="0"/>
    <s v=""/>
    <s v=""/>
    <n v="0"/>
    <n v="0"/>
    <s v=""/>
    <s v=""/>
    <n v="0"/>
    <n v="0"/>
    <s v=""/>
    <s v="2. Sensitive"/>
    <s v="2. Accommodating"/>
    <s v="2. Sensitive"/>
    <s v="It did not develop any specific innovation"/>
    <s v="Little or no advocacy"/>
    <s v="It did not take tested solutions to scale"/>
  </r>
  <r>
    <x v="23"/>
    <x v="3"/>
    <m/>
    <s v="Emegency WASH response for drought affected people of East and West Hararge"/>
    <s v="Ethiopia"/>
    <s v="US10M"/>
    <s v="No CARE member related to the project/initiative"/>
    <s v="Multilateral agency"/>
    <s v="UN - United Nations agencies/offices"/>
    <s v="UN OCHA"/>
    <m/>
    <m/>
    <m/>
    <m/>
    <m/>
    <m/>
    <m/>
    <m/>
    <m/>
    <m/>
    <m/>
    <m/>
    <m/>
    <m/>
    <m/>
    <m/>
    <m/>
    <m/>
    <m/>
    <m/>
    <m/>
    <m/>
    <m/>
    <m/>
    <m/>
    <m/>
    <m/>
    <m/>
    <m/>
    <m/>
    <m/>
    <m/>
    <m/>
    <m/>
    <m/>
    <m/>
    <m/>
    <m/>
    <m/>
    <m/>
    <m/>
    <m/>
    <m/>
    <m/>
    <m/>
    <d v="2016-03-14T00:00:00"/>
    <d v="2016-09-14T00:00:00"/>
    <d v="2016-10-14T00:00:00"/>
    <s v="Humanitarian Food &amp; Nutrition Security and Resilience to Climate Change"/>
    <n v="477793"/>
    <s v="Teyent Tadesse"/>
    <s v="Emergency Program Coordinator"/>
    <s v="teyent.tadesse@care.org"/>
    <s v="Desta Baye"/>
    <s v="Emergency WaSH Technical Advisor"/>
    <s v="desta.baye@care.org"/>
    <s v="YES"/>
    <s v="NO"/>
    <s v="NO"/>
    <s v="The overall objective is to improve the health and wellbeing of drought affected communities in 4 targeted Woredas across East and West Hararghe: Meiso, Doba (West), Fedis and Babile (East), by increasing access to safe drinking water and improving hygiene and sanitation awareness and practices."/>
    <s v="Sub-National"/>
    <s v="Two zones of Oromiya Region    Meiso, Doba from West Hararghe zone and  Fedis and Babile from East Hararghe zone"/>
    <s v="Chironically Food Insecure Rural Women"/>
    <n v="10968"/>
    <n v="9717"/>
    <n v="20685"/>
    <m/>
    <m/>
    <m/>
    <s v="The direct beneficaries are those who are directly benefiting from the WaSH interventions through the project"/>
    <m/>
    <n v="9970"/>
    <n v="9717"/>
    <n v="19687"/>
    <m/>
    <m/>
    <m/>
    <s v="NO"/>
    <m/>
    <m/>
    <m/>
    <s v="NO"/>
    <m/>
    <m/>
    <m/>
    <s v="NO"/>
    <m/>
    <m/>
    <m/>
    <s v="NO"/>
    <m/>
    <m/>
    <m/>
    <s v="NO"/>
    <m/>
    <m/>
    <m/>
    <s v="NO"/>
    <m/>
    <m/>
    <m/>
    <s v="NO"/>
    <m/>
    <m/>
    <m/>
    <s v="NO"/>
    <m/>
    <m/>
    <m/>
    <s v="NO"/>
    <m/>
    <m/>
    <m/>
    <s v="NO"/>
    <m/>
    <m/>
    <m/>
    <s v="NO"/>
    <m/>
    <m/>
    <m/>
    <s v="YES"/>
    <n v="19687"/>
    <n v="0.51"/>
    <m/>
    <m/>
    <s v="NO"/>
    <m/>
    <m/>
    <m/>
    <m/>
    <m/>
    <m/>
    <m/>
    <m/>
    <m/>
    <m/>
    <m/>
    <m/>
    <m/>
    <m/>
    <m/>
    <m/>
    <m/>
    <m/>
    <m/>
    <m/>
    <m/>
    <m/>
    <m/>
    <m/>
    <m/>
    <m/>
    <m/>
    <m/>
    <m/>
    <m/>
    <m/>
    <m/>
    <m/>
    <m/>
    <m/>
    <m/>
    <m/>
    <m/>
    <m/>
    <m/>
    <m/>
    <m/>
    <m/>
    <m/>
    <m/>
    <m/>
    <m/>
    <m/>
    <m/>
    <m/>
    <m/>
    <m/>
    <m/>
    <m/>
    <m/>
    <m/>
    <m/>
    <m/>
    <m/>
    <m/>
    <m/>
    <m/>
    <m/>
    <m/>
    <m/>
    <m/>
    <m/>
    <m/>
    <m/>
    <m/>
    <m/>
    <m/>
    <m/>
    <m/>
    <m/>
    <m/>
    <m/>
    <m/>
    <s v="YES"/>
    <s v="February"/>
    <n v="2016"/>
    <s v="NO"/>
    <s v="NO"/>
    <m/>
    <m/>
    <m/>
    <x v="0"/>
    <s v="NO"/>
    <m/>
    <m/>
    <s v="NO"/>
    <m/>
    <m/>
    <s v="NO"/>
    <m/>
    <m/>
    <x v="0"/>
    <m/>
    <x v="0"/>
    <m/>
    <x v="0"/>
    <x v="0"/>
    <s v="YES"/>
    <x v="0"/>
    <x v="0"/>
    <x v="0"/>
    <x v="0"/>
    <n v="4"/>
    <x v="1"/>
    <x v="2"/>
    <x v="1"/>
    <x v="1"/>
    <x v="1"/>
    <x v="1"/>
    <n v="3"/>
    <x v="1"/>
    <x v="1"/>
    <x v="1"/>
    <x v="1"/>
    <x v="1"/>
    <n v="3"/>
    <x v="3"/>
    <x v="0"/>
    <n v="3"/>
    <s v="National government"/>
    <s v="Local government(s)"/>
    <s v="International NGO(s)"/>
    <x v="1"/>
    <m/>
    <m/>
    <m/>
    <m/>
    <m/>
    <m/>
    <s v="The  project interventions enhanced  access to safe drinking water to drought affected population in East and West Harraghe zone. The involvment of government stakeholders from the outset of the project was crutial to achice the inteded project objectives."/>
    <s v="Lack of reliabele data regarding the maintained water schemes were a big challenge"/>
    <m/>
    <m/>
    <n v="19687"/>
    <n v="0"/>
    <n v="0"/>
    <n v="0.50642556001422256"/>
    <s v=""/>
    <n v="9970"/>
    <n v="0"/>
    <n v="1"/>
    <n v="19687"/>
    <n v="0"/>
    <n v="0"/>
    <s v=""/>
    <n v="0"/>
    <n v="0"/>
    <s v=""/>
    <s v=""/>
    <n v="0"/>
    <n v="0"/>
    <s v=""/>
    <s v=""/>
    <n v="0"/>
    <n v="0"/>
    <s v=""/>
    <s v=""/>
    <n v="0"/>
    <n v="0"/>
    <s v=""/>
    <s v="2. Sensitive"/>
    <s v="2. Accommodating"/>
    <s v="2. Sensitive"/>
    <s v="It did not develop any specific innovation"/>
    <s v="Little or no advocacy"/>
    <s v="It did not take tested solutions to scale"/>
  </r>
  <r>
    <x v="23"/>
    <x v="3"/>
    <m/>
    <s v="Emergency livestock response in southern parts (Oromiya, region) of Ethiopia"/>
    <s v="Ethiopia"/>
    <s v="US1UT"/>
    <s v="No CARE member related to the project/initiative"/>
    <s v="Multilateral agency"/>
    <s v="UN - United Nations agencies/offices"/>
    <s v="UN OCHA"/>
    <m/>
    <m/>
    <m/>
    <m/>
    <m/>
    <m/>
    <m/>
    <m/>
    <m/>
    <m/>
    <m/>
    <m/>
    <m/>
    <m/>
    <m/>
    <m/>
    <m/>
    <m/>
    <m/>
    <m/>
    <m/>
    <m/>
    <m/>
    <m/>
    <m/>
    <m/>
    <m/>
    <m/>
    <m/>
    <m/>
    <m/>
    <m/>
    <m/>
    <m/>
    <m/>
    <m/>
    <m/>
    <m/>
    <m/>
    <m/>
    <m/>
    <m/>
    <m/>
    <m/>
    <m/>
    <d v="2017-01-25T00:00:00"/>
    <d v="2017-07-25T00:00:00"/>
    <d v="2017-08-25T00:00:00"/>
    <s v="Humanitarian Food &amp; Nutrition Security and Resilience to Climate Change"/>
    <n v="632750.96"/>
    <s v="Teyent Tadesse"/>
    <s v="Emergency Program Coordinator"/>
    <s v="teyent.tadesse@care.org"/>
    <s v="Worku Abebaw"/>
    <s v="Emergency Program and Operations Manager"/>
    <s v="worku.abebaw@care.org"/>
    <s v="YES"/>
    <s v="NO"/>
    <s v="NO"/>
    <s v="The main objective of this project is to prevent further deterioration of the food security situation of targeted HH in the southern pastoral areas of Borena zone of Oromia region (9 woredas). CARE will be working in three woredas while ACF, SOS Sahel will cover the remaining six woredas."/>
    <s v="Sub-National"/>
    <s v="Teltele, El Waye, Gomole, Dubluk, Arero, Wachile woredas in Borena  zone of Oromiya Region, Ethiopia"/>
    <s v="This project targeted the most vulnerable households, with a specific attention to women headed households and pregnant women."/>
    <n v="14580"/>
    <n v="13676"/>
    <n v="28256"/>
    <m/>
    <m/>
    <m/>
    <s v="Theproject direct participants are those households received  fodder and veterinary drugs for the core breeding animals from the projcet and those who attended trainig/ awarness eductation through the project            Households who have livestock that have a potential to recover with support of feed (including concentrates) and targeted househoids were supported to preserve their core breeding animals. Households with livestock that are severely affected by the drought were  offered cash to slaughter weakened animals and to share the meat. Clear and transparent selection criteria was developed with the community leaders and government partners, to identify those that have the greatest need."/>
    <m/>
    <n v="8640"/>
    <n v="8301"/>
    <n v="16941"/>
    <m/>
    <m/>
    <m/>
    <s v="NO"/>
    <m/>
    <m/>
    <m/>
    <s v="NO"/>
    <m/>
    <m/>
    <m/>
    <s v="NO"/>
    <m/>
    <m/>
    <m/>
    <s v="NO"/>
    <m/>
    <m/>
    <m/>
    <s v="NO"/>
    <m/>
    <m/>
    <m/>
    <s v="NO"/>
    <m/>
    <m/>
    <m/>
    <s v="NO"/>
    <m/>
    <m/>
    <m/>
    <s v="Yes"/>
    <n v="16941"/>
    <n v="0.51"/>
    <m/>
    <s v="NO"/>
    <m/>
    <m/>
    <m/>
    <s v="NO"/>
    <m/>
    <m/>
    <m/>
    <s v="NO"/>
    <m/>
    <m/>
    <m/>
    <s v="NO"/>
    <m/>
    <m/>
    <m/>
    <m/>
    <s v="NO"/>
    <m/>
    <m/>
    <m/>
    <m/>
    <m/>
    <m/>
    <m/>
    <m/>
    <m/>
    <m/>
    <m/>
    <m/>
    <m/>
    <m/>
    <m/>
    <m/>
    <m/>
    <m/>
    <m/>
    <m/>
    <m/>
    <m/>
    <m/>
    <m/>
    <m/>
    <m/>
    <m/>
    <m/>
    <m/>
    <m/>
    <m/>
    <m/>
    <m/>
    <m/>
    <m/>
    <m/>
    <m/>
    <m/>
    <m/>
    <m/>
    <m/>
    <m/>
    <m/>
    <m/>
    <m/>
    <m/>
    <m/>
    <m/>
    <m/>
    <m/>
    <m/>
    <m/>
    <m/>
    <m/>
    <m/>
    <m/>
    <m/>
    <m/>
    <m/>
    <m/>
    <m/>
    <m/>
    <m/>
    <m/>
    <m/>
    <m/>
    <m/>
    <m/>
    <m/>
    <m/>
    <m/>
    <m/>
    <m/>
    <m/>
    <m/>
    <m/>
    <m/>
    <m/>
    <s v="NO"/>
    <m/>
    <m/>
    <m/>
    <s v="NO"/>
    <m/>
    <m/>
    <m/>
    <x v="0"/>
    <s v="NO"/>
    <m/>
    <m/>
    <s v="NO"/>
    <m/>
    <m/>
    <s v="NO"/>
    <m/>
    <m/>
    <x v="0"/>
    <m/>
    <x v="0"/>
    <m/>
    <x v="0"/>
    <x v="0"/>
    <s v="YES"/>
    <x v="0"/>
    <x v="0"/>
    <x v="0"/>
    <x v="0"/>
    <n v="4"/>
    <x v="1"/>
    <x v="1"/>
    <x v="1"/>
    <x v="1"/>
    <x v="1"/>
    <x v="1"/>
    <n v="4"/>
    <x v="1"/>
    <x v="1"/>
    <x v="1"/>
    <x v="1"/>
    <x v="1"/>
    <n v="3"/>
    <x v="0"/>
    <x v="2"/>
    <n v="2"/>
    <s v="National government"/>
    <s v="Local government(s)"/>
    <m/>
    <x v="1"/>
    <m/>
    <m/>
    <m/>
    <m/>
    <m/>
    <m/>
    <s v="Because of the prolonged drought in the area pasture availabilty is highly deteriorted  as a result there is a big demand for the supply that wahat has been provided so far. This project is under implimentation now and hope to generate lesson at the end of the project period"/>
    <m/>
    <m/>
    <m/>
    <n v="16941"/>
    <n v="0"/>
    <n v="0"/>
    <n v="0.5100053125553391"/>
    <s v=""/>
    <n v="8640"/>
    <n v="0"/>
    <n v="1"/>
    <n v="16941"/>
    <n v="0"/>
    <n v="0"/>
    <n v="1"/>
    <n v="16941"/>
    <n v="0"/>
    <n v="0"/>
    <s v=""/>
    <n v="0"/>
    <n v="0"/>
    <s v=""/>
    <s v=""/>
    <n v="0"/>
    <n v="0"/>
    <s v=""/>
    <s v=""/>
    <n v="0"/>
    <n v="0"/>
    <s v=""/>
    <s v="2. Sensitive"/>
    <s v="2. Accommodating"/>
    <s v="2. Sensitive"/>
    <s v="It did not develop any specific innovation"/>
    <s v="Little or no advocacy"/>
    <s v="It did not take tested solutions to scale"/>
  </r>
  <r>
    <x v="23"/>
    <x v="3"/>
    <m/>
    <s v="Emergency nutrition and cash assistance for people affected by drought in Afar, Ethiopia, 2016"/>
    <s v="Ethiopia"/>
    <s v="CA368"/>
    <s v="No CARE member related to the project/initiative"/>
    <s v="Other"/>
    <s v="Other"/>
    <m/>
    <m/>
    <m/>
    <m/>
    <m/>
    <m/>
    <m/>
    <m/>
    <m/>
    <m/>
    <m/>
    <m/>
    <m/>
    <m/>
    <m/>
    <m/>
    <m/>
    <m/>
    <m/>
    <m/>
    <m/>
    <m/>
    <m/>
    <m/>
    <m/>
    <m/>
    <m/>
    <m/>
    <m/>
    <m/>
    <m/>
    <m/>
    <m/>
    <m/>
    <m/>
    <m/>
    <m/>
    <m/>
    <m/>
    <m/>
    <m/>
    <m/>
    <m/>
    <m/>
    <m/>
    <m/>
    <d v="2016-08-01T00:00:00"/>
    <d v="2017-07-31T00:00:00"/>
    <d v="2017-11-30T00:00:00"/>
    <s v="Humanitarian Food &amp; Nutrition Security and Resilience to Climate Change"/>
    <n v="1111111"/>
    <s v="Teyent Tadesse"/>
    <s v="Emergency Program Coordinator"/>
    <s v="teyent.tadesse@care.org"/>
    <s v="Ayele Getahun"/>
    <s v="Emergency Nutrition Technical Advisor"/>
    <s v="ayele.getahun@care.org"/>
    <s v="YES"/>
    <s v="NO"/>
    <s v="NO"/>
    <s v="Is to reduce the vulnerability of crisis-affected people, especially women, girls and boys in Zone 3 of Afar region, Ethiopia (In response to continued deterioration of food and nutrition insecurity in Afar, and to meet the immediate needs of communities affected and/or at risk of malnutrition, CARE proposes to implement an emergency nutrition response through a Community Based Management of Acute Malnutrition (CMAM) intervention, which will be complemented by a cash transfer component and implemented in Zone 3 of Afar region."/>
    <s v="Sub-National"/>
    <s v="Argoba and Dulecha woredas in Zone 3 of Afar region, Ethiopia"/>
    <s v="Pastorial School Age Girls"/>
    <n v="7013"/>
    <n v="6737"/>
    <n v="13750"/>
    <m/>
    <m/>
    <m/>
    <s v="The project direct beneficaries are those  direcly targeted and benefit from niutrition intervention (Severe and moderate acute malnutritioned  children, pregnant lactating women) and other vulnerable groups (men, women, boys and girls)  who will benefit from the cash transfer programing."/>
    <m/>
    <n v="7013"/>
    <n v="6737"/>
    <n v="13750"/>
    <m/>
    <m/>
    <m/>
    <s v="NO"/>
    <m/>
    <m/>
    <m/>
    <s v="NO"/>
    <m/>
    <m/>
    <m/>
    <s v="NO"/>
    <m/>
    <m/>
    <m/>
    <s v="YES"/>
    <n v="13750"/>
    <n v="0.51"/>
    <m/>
    <s v="NO"/>
    <m/>
    <m/>
    <m/>
    <s v="NO"/>
    <m/>
    <m/>
    <m/>
    <s v="NO"/>
    <m/>
    <m/>
    <m/>
    <s v="NO"/>
    <m/>
    <m/>
    <m/>
    <s v="NO"/>
    <m/>
    <m/>
    <m/>
    <s v="NO"/>
    <m/>
    <m/>
    <m/>
    <s v="NO"/>
    <m/>
    <m/>
    <m/>
    <s v="NO"/>
    <m/>
    <m/>
    <m/>
    <m/>
    <s v="NO"/>
    <m/>
    <m/>
    <m/>
    <m/>
    <m/>
    <m/>
    <m/>
    <m/>
    <m/>
    <m/>
    <m/>
    <m/>
    <m/>
    <m/>
    <m/>
    <m/>
    <m/>
    <m/>
    <m/>
    <m/>
    <m/>
    <m/>
    <m/>
    <m/>
    <m/>
    <m/>
    <m/>
    <m/>
    <m/>
    <m/>
    <m/>
    <m/>
    <m/>
    <m/>
    <m/>
    <m/>
    <m/>
    <m/>
    <m/>
    <m/>
    <m/>
    <m/>
    <m/>
    <m/>
    <m/>
    <m/>
    <m/>
    <m/>
    <m/>
    <m/>
    <m/>
    <m/>
    <m/>
    <m/>
    <m/>
    <m/>
    <m/>
    <m/>
    <m/>
    <m/>
    <m/>
    <m/>
    <m/>
    <m/>
    <m/>
    <m/>
    <m/>
    <m/>
    <m/>
    <m/>
    <m/>
    <m/>
    <m/>
    <m/>
    <m/>
    <m/>
    <m/>
    <m/>
    <s v="NO"/>
    <m/>
    <m/>
    <m/>
    <s v="YES"/>
    <s v="November"/>
    <n v="2017"/>
    <m/>
    <x v="3"/>
    <s v="NO"/>
    <m/>
    <m/>
    <s v="NO"/>
    <m/>
    <m/>
    <s v="NO"/>
    <m/>
    <m/>
    <x v="0"/>
    <m/>
    <x v="0"/>
    <m/>
    <x v="0"/>
    <x v="0"/>
    <s v="YES"/>
    <x v="0"/>
    <x v="0"/>
    <x v="0"/>
    <x v="0"/>
    <n v="4"/>
    <x v="1"/>
    <x v="1"/>
    <x v="1"/>
    <x v="1"/>
    <x v="1"/>
    <x v="1"/>
    <n v="4"/>
    <x v="1"/>
    <x v="1"/>
    <x v="1"/>
    <x v="1"/>
    <x v="1"/>
    <n v="3"/>
    <x v="0"/>
    <x v="2"/>
    <n v="2"/>
    <s v="National government"/>
    <s v="Local government(s)"/>
    <m/>
    <x v="1"/>
    <m/>
    <m/>
    <m/>
    <m/>
    <m/>
    <m/>
    <s v="This is a new project under implimentatiomn and we are hopping to have lessons in the future"/>
    <m/>
    <m/>
    <m/>
    <n v="13750"/>
    <n v="0"/>
    <n v="0"/>
    <n v="0.51003636363636362"/>
    <s v=""/>
    <n v="7013"/>
    <n v="0"/>
    <n v="1"/>
    <n v="13750"/>
    <n v="0"/>
    <n v="0"/>
    <n v="1"/>
    <n v="13750"/>
    <n v="0"/>
    <n v="0"/>
    <s v=""/>
    <n v="0"/>
    <n v="0"/>
    <s v=""/>
    <s v=""/>
    <n v="0"/>
    <n v="0"/>
    <s v=""/>
    <s v=""/>
    <n v="0"/>
    <n v="0"/>
    <s v=""/>
    <s v="2. Sensitive"/>
    <s v="2. Accommodating"/>
    <s v="2. Sensitive"/>
    <s v="It did not develop any specific innovation"/>
    <n v="0"/>
    <s v="It did not take tested solutions to scale"/>
  </r>
  <r>
    <x v="23"/>
    <x v="3"/>
    <m/>
    <s v="Emergency nutrition and livelihood support for drought affected communities of East and West Hararghe, Ethiopia, 2017-18"/>
    <s v="Ethiopia"/>
    <s v="CA377"/>
    <s v="CARE Canada"/>
    <s v="Government"/>
    <s v="UN - United Nations agencies/offices"/>
    <s v="Global Affairs Canada (GAC) "/>
    <m/>
    <m/>
    <m/>
    <m/>
    <m/>
    <m/>
    <m/>
    <m/>
    <m/>
    <m/>
    <m/>
    <m/>
    <m/>
    <m/>
    <m/>
    <m/>
    <m/>
    <m/>
    <m/>
    <m/>
    <m/>
    <m/>
    <m/>
    <m/>
    <m/>
    <m/>
    <m/>
    <m/>
    <m/>
    <m/>
    <m/>
    <m/>
    <m/>
    <m/>
    <m/>
    <m/>
    <m/>
    <m/>
    <m/>
    <m/>
    <m/>
    <m/>
    <m/>
    <m/>
    <m/>
    <d v="2017-04-01T00:00:00"/>
    <d v="2018-03-31T00:00:00"/>
    <m/>
    <s v="Humanitarian Food &amp; Nutrition Security and Resilience to Climate Change"/>
    <n v="2350000"/>
    <s v="Teyent Tadesse"/>
    <s v="Emergency Program Coordinator"/>
    <s v="teyent.tadesse@care.org"/>
    <s v="Ayele Getahun"/>
    <s v="Emergency Nutrition Technical Advisor"/>
    <s v="ayele.getahun@care.org"/>
    <s v="YES"/>
    <s v="NO"/>
    <s v="NO"/>
    <s v="The ultimate outcome of this project will be to ensure that lives are saved, suffering alleviated and human dignity maintained in Ethiopia. _x000a_The intermediate outcome of this project is to reduce the vulnerability of crisis-affected people, especially women, girls and boys in East and West Hararghe zones, Oromiya Region, Ethiopia"/>
    <s v="Sub-National"/>
    <s v="This project seeks to address immediate humanitarian needs of populations affected by the El-Nino drought and its prolonged aftermath in East and West Hararghe, Oromiya region, Ethiopia.  (Jarso, Kurfa chelle, Haromaya, Kombolcha, Goro gutu and Kerssa woredas from East Hararghe and Gemechis, Chiro, Doba and  Mieso woredas from West Hararghe zone)"/>
    <s v="Chronically Food Insecure Rural Women"/>
    <n v="23256"/>
    <n v="22344"/>
    <n v="45600"/>
    <m/>
    <m/>
    <m/>
    <m/>
    <m/>
    <n v="23256"/>
    <n v="22344"/>
    <n v="45600"/>
    <m/>
    <m/>
    <m/>
    <s v="NO"/>
    <m/>
    <m/>
    <m/>
    <s v="NO"/>
    <m/>
    <m/>
    <m/>
    <s v="NO"/>
    <m/>
    <m/>
    <m/>
    <s v="YES"/>
    <n v="45600"/>
    <n v="0.51"/>
    <m/>
    <s v="NO"/>
    <m/>
    <m/>
    <m/>
    <s v="NO"/>
    <m/>
    <m/>
    <m/>
    <s v="NO"/>
    <m/>
    <m/>
    <m/>
    <s v="NO"/>
    <m/>
    <m/>
    <m/>
    <s v="NO"/>
    <m/>
    <m/>
    <m/>
    <s v="NO"/>
    <m/>
    <m/>
    <m/>
    <s v="NO"/>
    <m/>
    <m/>
    <m/>
    <s v="NO"/>
    <m/>
    <m/>
    <m/>
    <m/>
    <s v="NO"/>
    <m/>
    <m/>
    <m/>
    <m/>
    <m/>
    <m/>
    <m/>
    <m/>
    <m/>
    <m/>
    <m/>
    <m/>
    <m/>
    <m/>
    <m/>
    <m/>
    <m/>
    <m/>
    <m/>
    <m/>
    <m/>
    <m/>
    <m/>
    <m/>
    <m/>
    <m/>
    <m/>
    <m/>
    <m/>
    <m/>
    <m/>
    <m/>
    <m/>
    <m/>
    <m/>
    <m/>
    <m/>
    <m/>
    <m/>
    <m/>
    <m/>
    <m/>
    <m/>
    <m/>
    <m/>
    <m/>
    <m/>
    <m/>
    <m/>
    <m/>
    <m/>
    <m/>
    <m/>
    <m/>
    <m/>
    <m/>
    <m/>
    <m/>
    <m/>
    <m/>
    <m/>
    <m/>
    <m/>
    <m/>
    <m/>
    <m/>
    <m/>
    <m/>
    <m/>
    <m/>
    <m/>
    <m/>
    <m/>
    <m/>
    <m/>
    <m/>
    <m/>
    <m/>
    <s v="NO"/>
    <m/>
    <m/>
    <m/>
    <s v="NO"/>
    <m/>
    <m/>
    <m/>
    <x v="0"/>
    <s v="NO"/>
    <s v="NO"/>
    <s v="YES"/>
    <s v="NO"/>
    <s v="NO"/>
    <s v="NO"/>
    <s v="NO"/>
    <s v="NO"/>
    <m/>
    <x v="0"/>
    <m/>
    <x v="0"/>
    <m/>
    <x v="0"/>
    <x v="0"/>
    <s v="YES"/>
    <x v="0"/>
    <x v="0"/>
    <x v="0"/>
    <x v="0"/>
    <n v="4"/>
    <x v="1"/>
    <x v="1"/>
    <x v="1"/>
    <x v="1"/>
    <x v="1"/>
    <x v="1"/>
    <n v="4"/>
    <x v="1"/>
    <x v="1"/>
    <x v="1"/>
    <x v="1"/>
    <x v="1"/>
    <n v="3"/>
    <x v="0"/>
    <x v="2"/>
    <n v="2"/>
    <s v="National government"/>
    <s v="Local government(s)"/>
    <m/>
    <x v="1"/>
    <m/>
    <m/>
    <m/>
    <m/>
    <m/>
    <m/>
    <s v="This is a new project started recently and we are hopping to generate lessons at the end of the prroject"/>
    <m/>
    <m/>
    <m/>
    <n v="45600"/>
    <n v="0"/>
    <n v="0"/>
    <n v="0.51"/>
    <s v=""/>
    <n v="23256"/>
    <n v="0"/>
    <n v="1"/>
    <n v="45600"/>
    <n v="0"/>
    <n v="0"/>
    <n v="1"/>
    <n v="45600"/>
    <n v="0"/>
    <n v="0"/>
    <s v=""/>
    <n v="0"/>
    <n v="0"/>
    <s v=""/>
    <s v=""/>
    <n v="0"/>
    <n v="0"/>
    <s v=""/>
    <s v=""/>
    <n v="0"/>
    <n v="0"/>
    <s v=""/>
    <s v="2. Sensitive"/>
    <s v="2. Accommodating"/>
    <s v="2. Sensitive"/>
    <s v="It did not develop any specific innovation"/>
    <s v="Little or no advocacy"/>
    <s v="It did not take tested solutions to scale"/>
  </r>
  <r>
    <x v="23"/>
    <x v="3"/>
    <m/>
    <s v="Emergency WASH response for drought affected people of Borena zone, Oromiya National Regional State"/>
    <s v="Ethiopia"/>
    <s v="NL197"/>
    <s v="No CARE member related to the project/initiative"/>
    <s v="Government"/>
    <s v="Other"/>
    <s v="Ministry of Foreign Affairs of the Netherlands"/>
    <m/>
    <m/>
    <m/>
    <m/>
    <m/>
    <m/>
    <m/>
    <m/>
    <m/>
    <m/>
    <m/>
    <m/>
    <m/>
    <m/>
    <m/>
    <m/>
    <m/>
    <m/>
    <m/>
    <m/>
    <m/>
    <m/>
    <m/>
    <m/>
    <m/>
    <m/>
    <m/>
    <m/>
    <m/>
    <m/>
    <m/>
    <m/>
    <m/>
    <m/>
    <m/>
    <m/>
    <m/>
    <m/>
    <m/>
    <m/>
    <m/>
    <m/>
    <m/>
    <m/>
    <m/>
    <d v="2016-06-16T00:00:00"/>
    <d v="2016-12-21T00:00:00"/>
    <m/>
    <s v="Humanitarian Food &amp; Nutrition Security and Resilience to Climate Change"/>
    <n v="405907"/>
    <s v="Teyent Tadesse"/>
    <s v="Emergency Program Coordinator"/>
    <s v="teyent.tadesse@care.org"/>
    <s v="Desta Baye"/>
    <s v="Emergency WaSH Technical Advisor"/>
    <s v="desta.baye@care.org"/>
    <s v="YES"/>
    <s v="NO"/>
    <s v="NO"/>
    <s v="The overall objective is to improve the health and wellbeing of drought affected communities in 3 targeted Woredas in Borena Zone by increasing access to safe drinking water and improving hygiene and sanitation awareness and practices."/>
    <s v="Sub-National"/>
    <s v="Arero, Dhas and Moyale Woredas of Borena Zone , Oromia Region in Ethiopia"/>
    <s v="Pastoral School Age Girls"/>
    <n v="16630"/>
    <n v="17686"/>
    <n v="34316"/>
    <m/>
    <m/>
    <m/>
    <s v="Through this project, 10 non-functional water schemes were  rehabilitated to provide enough water for the communities and supplying of 900,000.00 sachet water treatment chemicals of Arero, Dhas and Moyale Woreda were done. The direct beneficaries were those who directly benfited from these activities in those 3 woredas"/>
    <m/>
    <n v="16250"/>
    <n v="15818"/>
    <n v="32068"/>
    <m/>
    <m/>
    <m/>
    <s v="NO"/>
    <m/>
    <m/>
    <m/>
    <s v="NO"/>
    <m/>
    <m/>
    <m/>
    <s v="NO"/>
    <m/>
    <m/>
    <m/>
    <s v="NO"/>
    <m/>
    <m/>
    <m/>
    <s v="NO"/>
    <m/>
    <m/>
    <m/>
    <s v="NO"/>
    <m/>
    <m/>
    <m/>
    <s v="NO"/>
    <m/>
    <m/>
    <m/>
    <s v="NO"/>
    <m/>
    <m/>
    <m/>
    <s v="NO"/>
    <m/>
    <m/>
    <m/>
    <s v="NO"/>
    <m/>
    <m/>
    <m/>
    <s v="NO"/>
    <m/>
    <m/>
    <m/>
    <s v="YES"/>
    <n v="32068"/>
    <n v="0.51"/>
    <m/>
    <m/>
    <s v="NO"/>
    <m/>
    <m/>
    <m/>
    <m/>
    <m/>
    <m/>
    <m/>
    <m/>
    <m/>
    <m/>
    <m/>
    <m/>
    <m/>
    <m/>
    <m/>
    <m/>
    <m/>
    <m/>
    <m/>
    <m/>
    <m/>
    <m/>
    <m/>
    <m/>
    <m/>
    <m/>
    <m/>
    <m/>
    <m/>
    <m/>
    <m/>
    <m/>
    <m/>
    <m/>
    <m/>
    <m/>
    <m/>
    <m/>
    <m/>
    <m/>
    <m/>
    <m/>
    <m/>
    <m/>
    <m/>
    <m/>
    <m/>
    <m/>
    <m/>
    <m/>
    <m/>
    <m/>
    <m/>
    <m/>
    <m/>
    <m/>
    <m/>
    <m/>
    <m/>
    <m/>
    <m/>
    <m/>
    <m/>
    <m/>
    <m/>
    <m/>
    <m/>
    <m/>
    <m/>
    <m/>
    <m/>
    <m/>
    <m/>
    <m/>
    <m/>
    <m/>
    <m/>
    <m/>
    <s v="YES"/>
    <s v="April"/>
    <n v="2016"/>
    <s v="NO"/>
    <s v="NO"/>
    <m/>
    <m/>
    <m/>
    <x v="0"/>
    <s v="NO"/>
    <s v="NO"/>
    <s v="YES"/>
    <s v="NO"/>
    <s v="NO"/>
    <s v="NO"/>
    <s v="NO"/>
    <m/>
    <m/>
    <x v="0"/>
    <m/>
    <x v="0"/>
    <m/>
    <x v="0"/>
    <x v="0"/>
    <s v="YES"/>
    <x v="0"/>
    <x v="0"/>
    <x v="0"/>
    <x v="0"/>
    <n v="4"/>
    <x v="1"/>
    <x v="1"/>
    <x v="1"/>
    <x v="1"/>
    <x v="1"/>
    <x v="1"/>
    <n v="4"/>
    <x v="1"/>
    <x v="1"/>
    <x v="1"/>
    <x v="1"/>
    <x v="1"/>
    <n v="3"/>
    <x v="0"/>
    <x v="0"/>
    <n v="2"/>
    <s v="National government"/>
    <s v="Local government(s)"/>
    <m/>
    <x v="1"/>
    <m/>
    <m/>
    <m/>
    <m/>
    <m/>
    <m/>
    <s v="Lack of documented data on the selected water schemes were the big challenge and affected timliness of the project. History of the water well is the base for any mainatinance work and documentation of the history is very helpful and will easy the mainatinace work"/>
    <m/>
    <m/>
    <m/>
    <n v="32068"/>
    <n v="0"/>
    <n v="0"/>
    <n v="0.50673568666583513"/>
    <s v=""/>
    <n v="16250"/>
    <n v="0"/>
    <n v="1"/>
    <n v="32068"/>
    <n v="0"/>
    <n v="0"/>
    <s v=""/>
    <n v="0"/>
    <n v="0"/>
    <s v=""/>
    <s v=""/>
    <n v="0"/>
    <n v="0"/>
    <s v=""/>
    <s v=""/>
    <n v="0"/>
    <n v="0"/>
    <s v=""/>
    <s v=""/>
    <n v="0"/>
    <n v="0"/>
    <s v=""/>
    <s v="2. Sensitive"/>
    <s v="2. Accommodating"/>
    <s v="2. Sensitive"/>
    <s v="It did not develop any specific innovation"/>
    <s v="Little or no advocacy"/>
    <s v="It did not take tested solutions to scale"/>
  </r>
  <r>
    <x v="23"/>
    <x v="3"/>
    <n v="2949"/>
    <s v="Estie, Farta, Andabet and Dera (EFAD) Water and Sanitation Project"/>
    <s v="Ethiopia"/>
    <s v="US1BM"/>
    <s v="CARE USA"/>
    <s v="Foundation"/>
    <s v="Other"/>
    <s v="Conrad N. Hilton Foundation;  Johnson &amp; Johnson Foundation, Chales Lamr Family Foundation, Perlis Foundation, and Guernsey Overseas Aid Commission (GOAC)"/>
    <m/>
    <m/>
    <m/>
    <m/>
    <m/>
    <m/>
    <m/>
    <m/>
    <m/>
    <m/>
    <m/>
    <m/>
    <m/>
    <m/>
    <m/>
    <m/>
    <m/>
    <m/>
    <m/>
    <m/>
    <m/>
    <m/>
    <m/>
    <m/>
    <m/>
    <m/>
    <m/>
    <m/>
    <m/>
    <m/>
    <m/>
    <m/>
    <m/>
    <m/>
    <m/>
    <m/>
    <m/>
    <m/>
    <m/>
    <m/>
    <m/>
    <m/>
    <m/>
    <m/>
    <m/>
    <d v="2014-07-01T00:00:00"/>
    <d v="2017-06-30T00:00:00"/>
    <d v="2017-10-31T00:00:00"/>
    <s v="Development Other"/>
    <n v="2018356"/>
    <s v="Abebaw Kebede"/>
    <s v="WaTER+ Program Coordinator"/>
    <s v="abebaw.kebede@care.org"/>
    <s v="Gardachew Tiruneh"/>
    <s v="Learning, Design and Mesuerment (LDM) Manager"/>
    <s v="gardachew.tiruneh@care.org"/>
    <s v="NO"/>
    <s v="YES"/>
    <s v="NO"/>
    <s v="Increase access to safe water, sanitation and hygiene facilities in Estie, Farta, Andabet and Dera of South Gondar Zone in Amhara Regional State"/>
    <s v="Sub-National"/>
    <s v="Ethiopia; Amhara National Regional State of South Gondar Zone in four districts of Estie, Farta, Andabet and Dera"/>
    <s v="Chronically Food Insecure Rural Women"/>
    <n v="84430"/>
    <n v="81120"/>
    <n v="165550"/>
    <m/>
    <m/>
    <m/>
    <s v="The direct participants are those persons (adult men and women; young boys and girls, and cgildren who are geeting services from constructed/rehabilitated water supply schemes and saniation facilities both at community and instituational levels. The dircet partcipants are caluculated by counting the households and multiplying it by the regional family size standard. There is national standards for each water supply technology type and then the # of HHs served by the constructed/rehabilitated scheme are multiplies by the avrage family size of the region. And those beneficararies at instituational levels are counted by head count."/>
    <m/>
    <m/>
    <m/>
    <m/>
    <m/>
    <m/>
    <m/>
    <m/>
    <m/>
    <m/>
    <m/>
    <m/>
    <m/>
    <m/>
    <m/>
    <m/>
    <m/>
    <m/>
    <m/>
    <m/>
    <m/>
    <m/>
    <m/>
    <m/>
    <m/>
    <m/>
    <m/>
    <m/>
    <m/>
    <m/>
    <m/>
    <m/>
    <m/>
    <m/>
    <m/>
    <m/>
    <m/>
    <m/>
    <m/>
    <m/>
    <m/>
    <m/>
    <m/>
    <m/>
    <m/>
    <m/>
    <m/>
    <m/>
    <m/>
    <m/>
    <m/>
    <m/>
    <m/>
    <m/>
    <m/>
    <m/>
    <m/>
    <m/>
    <m/>
    <m/>
    <n v="44251"/>
    <n v="42515"/>
    <n v="86766"/>
    <m/>
    <m/>
    <m/>
    <m/>
    <m/>
    <m/>
    <m/>
    <m/>
    <m/>
    <m/>
    <m/>
    <m/>
    <m/>
    <m/>
    <m/>
    <m/>
    <m/>
    <m/>
    <m/>
    <m/>
    <m/>
    <m/>
    <m/>
    <m/>
    <m/>
    <m/>
    <m/>
    <m/>
    <m/>
    <m/>
    <m/>
    <m/>
    <m/>
    <m/>
    <m/>
    <m/>
    <m/>
    <m/>
    <m/>
    <m/>
    <m/>
    <m/>
    <m/>
    <s v="YES"/>
    <m/>
    <m/>
    <m/>
    <m/>
    <m/>
    <m/>
    <m/>
    <s v="YES"/>
    <m/>
    <m/>
    <m/>
    <m/>
    <m/>
    <m/>
    <m/>
    <s v="YES"/>
    <n v="86766"/>
    <n v="0.51"/>
    <m/>
    <m/>
    <m/>
    <m/>
    <m/>
    <m/>
    <m/>
    <m/>
    <m/>
    <m/>
    <s v="NO"/>
    <m/>
    <m/>
    <m/>
    <s v="YES"/>
    <s v="September"/>
    <n v="2017"/>
    <s v="Final evaluation of the project will be conducted from September-October, 2017 using quanitative and qualitative methodologies in order to measure the relevance, effecicency, effcetivness, impact and ustinability of the project. All the achivements of the project are done in comparision with the baseline data. The challanges and lessons learn from the implmenttaion of the project also assessed for future use. The final evaluation will be conducted by MWA in cllobartion with CARE and other partners."/>
    <x v="0"/>
    <s v="YES"/>
    <s v="NO"/>
    <s v="YES"/>
    <s v="YES"/>
    <s v="YES"/>
    <s v="YES"/>
    <m/>
    <m/>
    <m/>
    <x v="2"/>
    <s v="It is testing the Self Supply Accelaeration (SSA) approch, which is self/household levele investement for WASH services"/>
    <x v="1"/>
    <s v="It is testing the Self Supply Accelaeration (SSA) approch, which is self/household levele investement for WASH services by linking it with  governments 2014 policy on SSA introduced by MoWIE"/>
    <x v="0"/>
    <x v="0"/>
    <s v="YES"/>
    <x v="0"/>
    <x v="0"/>
    <x v="0"/>
    <x v="0"/>
    <n v="4"/>
    <x v="1"/>
    <x v="1"/>
    <x v="1"/>
    <x v="1"/>
    <x v="1"/>
    <x v="1"/>
    <n v="4"/>
    <x v="3"/>
    <x v="1"/>
    <x v="2"/>
    <x v="1"/>
    <x v="5"/>
    <n v="2"/>
    <x v="0"/>
    <x v="3"/>
    <n v="3"/>
    <s v="Local government(s)"/>
    <s v="International NGO(s)"/>
    <s v="Private sector"/>
    <x v="1"/>
    <m/>
    <s v="No changes made"/>
    <s v="Women engagement and empowerement-partcipation and leadership roles"/>
    <s v="Community enaggement and contribution"/>
    <s v="Partnership and capacity  building"/>
    <s v="The importance of working with communities through out the project phase enhances and ensures ownership, sustinability and community contributions. The community contribution reached 30-40% reached interms of labor and locally avilable construction materials, which is very important in ensuring ownership among the user communities. The project also involve and partcipate pertinenet local governments at region, zone and district levels during design, implmenttaion, monitoring/supervision and evaluation of the project, and this enhances and ensures greter collaboration/partnership, sustinability, accountibility, trnasparency, participation/engagement and ownership."/>
    <s v="The imprtance of working with local governments starting from the design of the project through out the whole implmentation of the project. The project involve and partcipate pertinenet local governments at region, zone and district levels during design, implmenttaion, monitoring/supervision and evaluation of the project, and this enhances and ensures greter collaboration/partnership, sustinability, accountibility, trnasparency, participation/engagement and ownership."/>
    <s v="High potential of realizing self-supply acceleration (SSA) approach-self investements for WASH services. The achivements of CARE Ethiopia on SSA showed the existance of high potenatial of implmenting the 2014 SSA policy, if promotions are executing properly. CARE's achivement is serving as evidence based promotions and advocacy for SSA implmenttaion and achivements of GTP-2."/>
    <s v="The project is piloting two initatives in such as Chlorine dispancers and Tesing-Integrating NTDs with WASH services models; and also implmenting self supply acceleration (self investemnt for WASH services). Both the pilots and self supply acceleration interventions are found very relavant and important interms of adressing water quality issues (chlorine dispernsers), cost-effectivness of integrating NTDs with the existing WASH services (only 8-10% addational cost is required for NTD interventions), and the high potentials on self invetsemnts for WASH services, which all should be incorporated in future interventions within CARE and beyond."/>
    <m/>
    <n v="86766"/>
    <n v="0"/>
    <n v="0"/>
    <n v="0.51000391858562111"/>
    <s v=""/>
    <n v="44251"/>
    <n v="0"/>
    <s v=""/>
    <n v="0"/>
    <n v="0"/>
    <s v=""/>
    <n v="1"/>
    <n v="86766"/>
    <n v="0"/>
    <n v="0"/>
    <s v=""/>
    <n v="0"/>
    <n v="0"/>
    <s v=""/>
    <s v=""/>
    <n v="0"/>
    <n v="0"/>
    <s v=""/>
    <s v=""/>
    <n v="0"/>
    <n v="0"/>
    <s v=""/>
    <s v="2. Sensitive"/>
    <s v="2. Accommodating"/>
    <s v="3. Responsive"/>
    <s v="It tested new ways for fighting poverty and measured results of innovation"/>
    <s v="Little or no advocacy"/>
    <s v="It linked and worked with strategic alliances and partners to take tested and effective solutions to scale"/>
  </r>
  <r>
    <x v="23"/>
    <x v="3"/>
    <s v="CCANET0026"/>
    <s v="Food Sufficiency for Farmers (FSF)"/>
    <s v="Ethiopia"/>
    <s v="CCANET0026"/>
    <s v="CARE Canada"/>
    <s v="Government"/>
    <s v="Government - Canada"/>
    <s v="DFATD-Canada"/>
    <m/>
    <m/>
    <m/>
    <m/>
    <m/>
    <m/>
    <m/>
    <m/>
    <m/>
    <m/>
    <m/>
    <m/>
    <m/>
    <m/>
    <m/>
    <m/>
    <m/>
    <m/>
    <m/>
    <m/>
    <m/>
    <m/>
    <m/>
    <m/>
    <m/>
    <m/>
    <m/>
    <m/>
    <m/>
    <m/>
    <m/>
    <m/>
    <m/>
    <m/>
    <m/>
    <m/>
    <m/>
    <m/>
    <m/>
    <m/>
    <m/>
    <m/>
    <m/>
    <m/>
    <m/>
    <d v="2013-05-08T00:00:00"/>
    <d v="2018-06-30T00:00:00"/>
    <m/>
    <s v="Development Food &amp; Nutrition Security and Resilience to Climate Change"/>
    <n v="12000000"/>
    <s v="Hailu Girma"/>
    <s v="Chief of Party"/>
    <s v="Girma.Hailu@care.org"/>
    <s v="Nathan Samson"/>
    <s v="MEL specialist"/>
    <s v="nathan.samson@care.org"/>
    <s v="NO"/>
    <s v="YES"/>
    <s v="NO"/>
    <s v="Sustained food security for chronically food insecure households"/>
    <s v="Sub-National"/>
    <s v="Amhara region, South Gonder Zone, Ebinat, Tach Gayint and Simada district, Oromiya region east Harerge Zone Kurfachele, Meta, Deder and Haromaya district, Oromiya region in west Harerge Zone, Messela, Tullo, Odabultum, Doba districts"/>
    <s v="Chronically Food Insecure Rural Women"/>
    <n v="8577"/>
    <n v="34309"/>
    <n v="42886"/>
    <n v="34308"/>
    <n v="137236"/>
    <n v="171544"/>
    <s v="The project direct partcipants are the PSNP women &amp; men households heades calculated on base of head counts whereas each familiy members are indirect partcipants of the project.  The calculation for the indirrect partcipants is based on assuming the average family size is  4 person per each househshold_x000a_Project FSF has total overlap with project POWER Africa. In order to avoid double counting, FSF reports zero participants in the FY. Nonetheless, figures for this specific project in the FY would otherways include:_x000a_DIRECT:  43,996 women and girls        23,895 men and boys   =    67,891 total_x000a_INDIRECT: 175,984 women and girls          95,580 men and boys     =   271,564 total_x000a_"/>
    <m/>
    <m/>
    <m/>
    <m/>
    <m/>
    <m/>
    <m/>
    <m/>
    <m/>
    <m/>
    <m/>
    <m/>
    <m/>
    <m/>
    <m/>
    <m/>
    <m/>
    <m/>
    <m/>
    <m/>
    <m/>
    <m/>
    <m/>
    <m/>
    <m/>
    <m/>
    <m/>
    <m/>
    <m/>
    <m/>
    <m/>
    <m/>
    <m/>
    <m/>
    <m/>
    <m/>
    <m/>
    <m/>
    <m/>
    <m/>
    <m/>
    <m/>
    <m/>
    <m/>
    <m/>
    <m/>
    <m/>
    <m/>
    <m/>
    <m/>
    <m/>
    <m/>
    <m/>
    <m/>
    <m/>
    <m/>
    <m/>
    <m/>
    <m/>
    <m/>
    <m/>
    <m/>
    <m/>
    <m/>
    <m/>
    <m/>
    <s v="YES"/>
    <n v="32636"/>
    <n v="0.71"/>
    <n v="130544"/>
    <s v="YES"/>
    <n v="36845"/>
    <n v="0.68"/>
    <n v="147380"/>
    <s v="NO"/>
    <m/>
    <m/>
    <m/>
    <s v="YES"/>
    <n v="36845"/>
    <n v="0.68"/>
    <n v="147380"/>
    <s v="NO"/>
    <m/>
    <m/>
    <m/>
    <s v="NO"/>
    <m/>
    <m/>
    <m/>
    <s v="NO"/>
    <m/>
    <m/>
    <m/>
    <s v="NO"/>
    <m/>
    <m/>
    <m/>
    <s v="YES"/>
    <n v="67891"/>
    <n v="0.65"/>
    <n v="271564"/>
    <s v="NO"/>
    <m/>
    <m/>
    <m/>
    <s v="NO"/>
    <m/>
    <m/>
    <m/>
    <s v="NO"/>
    <m/>
    <m/>
    <m/>
    <s v="NO"/>
    <m/>
    <m/>
    <m/>
    <s v="NO"/>
    <m/>
    <m/>
    <m/>
    <s v="NO"/>
    <m/>
    <m/>
    <m/>
    <s v="YES"/>
    <m/>
    <m/>
    <m/>
    <m/>
    <m/>
    <m/>
    <m/>
    <m/>
    <s v="YES"/>
    <s v="May"/>
    <n v="2017"/>
    <s v="YES"/>
    <s v="YES"/>
    <s v="April"/>
    <n v="2018"/>
    <s v="The upcamong evaluation focusing on assessing the achivement of the project in terms of meeting its overall goal. The evaluation will be done by independent consultant contracted by the project. At this time not possible to mdefine about the methodology that will be employed in thi evaluation. But since this is endline evaluation, we assume the methodology will be consistent with baseline."/>
    <x v="0"/>
    <s v="NO"/>
    <s v="NO"/>
    <s v="YES"/>
    <s v="YES"/>
    <s v="NO"/>
    <s v="NO"/>
    <s v="NO"/>
    <s v="NO"/>
    <m/>
    <x v="2"/>
    <s v="Focusing on CFIRW-the project engages women VSLA to generate own income and particpate in different/diversified income generating activies(proting of women centered value chain approach)"/>
    <x v="3"/>
    <s v="Working throgh government structure hepls to scale up the Women focused VSLA and market oriented approch. Currently, this approch has got acceptance at national level for  the process of scale up in PSNP phase 4 nationaly."/>
    <x v="1"/>
    <x v="0"/>
    <s v="YES"/>
    <x v="0"/>
    <x v="0"/>
    <x v="0"/>
    <x v="0"/>
    <n v="4"/>
    <x v="1"/>
    <x v="1"/>
    <x v="1"/>
    <x v="1"/>
    <x v="1"/>
    <x v="1"/>
    <n v="4"/>
    <x v="3"/>
    <x v="1"/>
    <x v="1"/>
    <x v="1"/>
    <x v="4"/>
    <n v="3"/>
    <x v="3"/>
    <x v="3"/>
    <m/>
    <s v="National government"/>
    <s v="Local alliance(s)/Platform(s)/Network(s) of  NGOs/CSOs"/>
    <s v="University/research institution(s)"/>
    <x v="2"/>
    <s v="Capacity building training"/>
    <s v="Given that the project is at its last implemntation year, no adjustment was made."/>
    <s v="Diversification and increasing an income of target houeholds"/>
    <s v="building the capacity of counterpart government office to improve provision of food security service to traget beneficiaries"/>
    <s v="Building resilience of target beneficiaries aginst drought and other forms of shocks"/>
    <s v="while providing training to school environmental and gender clubs, its better prioritize lower grade student. They provide long years services as they stay longer to graduate from the school"/>
    <s v="learning the success of VSLA  groups, the community has started being  organied in VSLA by their oun intiative. This tell how much a VSLA approach is got acceptance in rural community."/>
    <m/>
    <s v="Project FSF has total overlap with project POWER Africa. In order to avoid double counting, FSF reports zero participants. Nonetheless, figures for this specific project in the FY would include:_x000a_DIRECT:  43,996 women and girls        23,895 men and boys   =    67,891 total_x000a_INDIRECT: 175,984 women and girls          95,580 men and boys     =   271,564 total_x000a_"/>
    <s v="AP, annual report, and outcome survey brief"/>
    <n v="0"/>
    <n v="0"/>
    <s v=""/>
    <s v=""/>
    <s v=""/>
    <n v="0"/>
    <n v="0"/>
    <s v=""/>
    <n v="0"/>
    <n v="0"/>
    <s v=""/>
    <n v="1"/>
    <n v="36845"/>
    <n v="147380"/>
    <n v="4"/>
    <s v=""/>
    <n v="0"/>
    <n v="0"/>
    <s v=""/>
    <s v=""/>
    <n v="0"/>
    <n v="0"/>
    <s v=""/>
    <n v="1"/>
    <n v="0"/>
    <n v="0"/>
    <s v=""/>
    <s v="2. Sensitive"/>
    <s v="2. Accommodating"/>
    <s v="4. Transformative"/>
    <s v="It tested new ways for fighting poverty and measured results of innovation"/>
    <s v="Little or no advocacy"/>
    <s v="It took tested solutions to scale on its own"/>
  </r>
  <r>
    <x v="23"/>
    <x v="3"/>
    <m/>
    <s v="Graduation with Resilience to Achieve Sustanable Development (GRAD)"/>
    <s v="Ethiopia"/>
    <s v="USLMET0007"/>
    <s v="CARE USA"/>
    <s v="Government"/>
    <s v="Government - US"/>
    <s v="USAID"/>
    <m/>
    <m/>
    <m/>
    <m/>
    <m/>
    <m/>
    <m/>
    <m/>
    <m/>
    <m/>
    <m/>
    <m/>
    <m/>
    <m/>
    <m/>
    <m/>
    <m/>
    <m/>
    <m/>
    <m/>
    <m/>
    <m/>
    <m/>
    <m/>
    <m/>
    <m/>
    <m/>
    <m/>
    <m/>
    <m/>
    <m/>
    <m/>
    <m/>
    <m/>
    <m/>
    <m/>
    <m/>
    <m/>
    <m/>
    <m/>
    <m/>
    <m/>
    <m/>
    <m/>
    <m/>
    <d v="2011-12-05T00:00:00"/>
    <d v="2016-12-04T00:00:00"/>
    <m/>
    <s v="Development Food &amp; Nutrition Security and Resilience to Climate Change"/>
    <n v="25244680"/>
    <s v="John Meyer"/>
    <s v="Chief of Party"/>
    <s v="john.meyer@care.org"/>
    <s v="Elisabeth Farmer"/>
    <s v="Deputy Chief of Party"/>
    <s v="elisabeth.farmer@care.org"/>
    <s v="NO"/>
    <s v="YES"/>
    <s v="NO"/>
    <s v="helping 65,000 households to graduate from the government -run Productive Safety Net Program (PSNP) in part by increasing each household's income by at least $365 per year"/>
    <s v="Sub-National"/>
    <s v="Southern Nation and Nationality Peoples region, in Sidama Zone  in Shebedino, Loka Abaya, Hawale Tula districts and in Hawassa zone in Hawassa Zuria district; in Guraghe zone in Meskan and Mareko districts; Tigray region, So. Tigray zone in Ofla, Alamata, Enda Mehoni and Raya Azebo districts; Amhara region, South Gonder Zone, Libo Kemkem and Lay Gayint districts; and in Oromia region Arsi zone, Arsi-Negele, Zeway Dugda and Shalla districts and Oromiya region, East Showa zone, Adami Tulu district"/>
    <s v="Chronically Food Insecure Rural women"/>
    <n v="33150"/>
    <n v="31850"/>
    <n v="65000"/>
    <n v="132600"/>
    <n v="127400"/>
    <n v="260000"/>
    <s v="Direct participants: Chronically food insecure households; Indirect participants: members of the family Eg. Children, youths, etc.members of direct project participants"/>
    <m/>
    <m/>
    <m/>
    <m/>
    <m/>
    <m/>
    <m/>
    <m/>
    <m/>
    <m/>
    <m/>
    <m/>
    <m/>
    <m/>
    <m/>
    <m/>
    <m/>
    <m/>
    <m/>
    <m/>
    <m/>
    <m/>
    <m/>
    <m/>
    <m/>
    <m/>
    <m/>
    <m/>
    <m/>
    <m/>
    <m/>
    <m/>
    <m/>
    <m/>
    <m/>
    <m/>
    <m/>
    <m/>
    <m/>
    <m/>
    <m/>
    <m/>
    <m/>
    <m/>
    <m/>
    <m/>
    <m/>
    <m/>
    <m/>
    <m/>
    <m/>
    <m/>
    <m/>
    <m/>
    <m/>
    <m/>
    <m/>
    <m/>
    <m/>
    <m/>
    <n v="6279"/>
    <n v="9962"/>
    <n v="16241"/>
    <n v="28255"/>
    <n v="44829"/>
    <n v="73084"/>
    <s v="YES"/>
    <n v="1940"/>
    <n v="0.24"/>
    <n v="8924"/>
    <s v="NO"/>
    <m/>
    <m/>
    <m/>
    <s v="NO"/>
    <m/>
    <m/>
    <m/>
    <s v="YES"/>
    <m/>
    <m/>
    <m/>
    <s v="YES"/>
    <n v="3398"/>
    <n v="0.36"/>
    <n v="15631"/>
    <s v="NO"/>
    <m/>
    <m/>
    <m/>
    <s v="YES"/>
    <n v="2546"/>
    <n v="0.77"/>
    <n v="11712"/>
    <s v="NO"/>
    <m/>
    <m/>
    <m/>
    <s v="YES"/>
    <n v="321"/>
    <n v="0.5"/>
    <n v="1477"/>
    <s v="NO"/>
    <m/>
    <m/>
    <m/>
    <s v="NO"/>
    <m/>
    <m/>
    <m/>
    <s v="NO"/>
    <m/>
    <m/>
    <m/>
    <s v="NO"/>
    <m/>
    <m/>
    <m/>
    <s v="NO"/>
    <m/>
    <m/>
    <m/>
    <s v="NO"/>
    <m/>
    <m/>
    <m/>
    <s v="YES"/>
    <n v="387"/>
    <n v="1"/>
    <n v="1651"/>
    <m/>
    <m/>
    <m/>
    <m/>
    <m/>
    <s v="YES"/>
    <s v="March"/>
    <n v="2017"/>
    <s v="YES"/>
    <s v="NO"/>
    <m/>
    <m/>
    <s v="The project has been completed "/>
    <x v="0"/>
    <m/>
    <m/>
    <m/>
    <s v="YES"/>
    <s v="YES"/>
    <s v="YES"/>
    <m/>
    <m/>
    <m/>
    <x v="2"/>
    <s v="Adopted video based extension appproach to create awareness on improved technologies and practices "/>
    <x v="1"/>
    <s v="Video based extension"/>
    <x v="1"/>
    <x v="1"/>
    <s v="YES"/>
    <x v="0"/>
    <x v="0"/>
    <x v="0"/>
    <x v="2"/>
    <n v="4"/>
    <x v="1"/>
    <x v="1"/>
    <x v="1"/>
    <x v="1"/>
    <x v="1"/>
    <x v="1"/>
    <n v="4"/>
    <x v="3"/>
    <x v="1"/>
    <x v="1"/>
    <x v="1"/>
    <x v="4"/>
    <n v="3"/>
    <x v="3"/>
    <x v="3"/>
    <n v="6"/>
    <s v="Regional alliance(s)/Platform(s)/Network(s) of  NGOs/CSOs"/>
    <s v="Local NGO(s)/CSO(s)"/>
    <s v="University/research institution(s)"/>
    <x v="1"/>
    <m/>
    <m/>
    <s v="VESA discussions, Social Analysis and Action and CARE's women empowerment framework have been helpful in addressing gender inequality"/>
    <s v="VESA as an entry point to facilitate different activities such as saving, access to credit, awareness raising session and trainings that have been  effective for the economic and social empowerment of poor households "/>
    <s v="Loan guarantee fund was an effective strategy to extending loans to poor households "/>
    <s v="The linkage of VESAs with RuSACCO s  is an effictive approach to improve the saving culture of the community and  provide an additional option for credt access; Livestock collection centers promote modern livestock marketing, enhancin the participation of poor househols in sustainable markets, and adding value along the chain. "/>
    <m/>
    <m/>
    <m/>
    <s v="GRAD Final Evaluation"/>
    <n v="16241"/>
    <n v="73084"/>
    <n v="4.4999692137183667"/>
    <n v="0.3866141247460132"/>
    <n v="0.38660992830168028"/>
    <n v="6279"/>
    <n v="28255"/>
    <s v=""/>
    <n v="0"/>
    <n v="0"/>
    <s v=""/>
    <n v="1"/>
    <n v="3398"/>
    <n v="15631"/>
    <n v="4.6000588581518542"/>
    <s v=""/>
    <n v="0"/>
    <n v="0"/>
    <s v=""/>
    <s v=""/>
    <n v="0"/>
    <n v="0"/>
    <s v=""/>
    <n v="1"/>
    <n v="1223.28"/>
    <n v="5627.16"/>
    <n v="4.6000588581518542"/>
    <s v="4. Transformative"/>
    <s v="2. Accommodating"/>
    <s v="4. Transformative"/>
    <s v="It tested new ways for fighting poverty and measured results of innovation"/>
    <s v="Little or no advocacy"/>
    <s v="It linked and worked with strategic alliances and partners to take tested and effective solutions to scale"/>
  </r>
  <r>
    <x v="23"/>
    <x v="3"/>
    <m/>
    <s v="Growing Nutrition for Mothers and Children (GROW)"/>
    <s v="Ethiopia"/>
    <m/>
    <s v="CARE Canada"/>
    <s v="Government"/>
    <s v="Government - Canada"/>
    <s v="Global Affairs Canada (GAC) "/>
    <m/>
    <m/>
    <m/>
    <m/>
    <m/>
    <m/>
    <m/>
    <m/>
    <m/>
    <m/>
    <m/>
    <m/>
    <m/>
    <m/>
    <m/>
    <m/>
    <m/>
    <m/>
    <m/>
    <m/>
    <m/>
    <m/>
    <m/>
    <m/>
    <m/>
    <m/>
    <m/>
    <m/>
    <m/>
    <m/>
    <m/>
    <m/>
    <m/>
    <m/>
    <m/>
    <m/>
    <m/>
    <m/>
    <m/>
    <m/>
    <m/>
    <m/>
    <m/>
    <m/>
    <m/>
    <d v="2016-04-01T00:00:00"/>
    <d v="2020-03-01T00:00:00"/>
    <m/>
    <s v="Development Food &amp; Nutrition Security and Resilience to Climate Change"/>
    <n v="27216000"/>
    <s v="Caitlin Goggin"/>
    <s v="Chief of Party"/>
    <s v="caitlin.goggin@care.org"/>
    <s v="Martha Alemayehu"/>
    <s v="LDM manager"/>
    <s v="martha.alemayehu@care.org"/>
    <s v="NO"/>
    <s v="YES"/>
    <s v="NO"/>
    <s v="Improve nutritional status of women and children in Ethiopia"/>
    <s v="Sub-National"/>
    <s v="West Hararge zone, East Hararge zone and Afar Region in Ethiopia"/>
    <s v="Women of reporductive age ( WRA) ( 15-49) and boys and girls under 5 in Ethiopia (Chronically Food Insecure Rural Women-CFIRW)"/>
    <n v="94765"/>
    <n v="93865"/>
    <n v="188630"/>
    <n v="422440"/>
    <n v="402778"/>
    <n v="825218"/>
    <s v="Indirect beneficiaries are calculated using the conversion factors that are set nationally to calculate population by age group in Ethiopia. _x000a_And also considering  children  between the age of 6-14  as an indirect beneficiaries."/>
    <m/>
    <m/>
    <m/>
    <m/>
    <m/>
    <m/>
    <m/>
    <m/>
    <m/>
    <m/>
    <m/>
    <m/>
    <m/>
    <m/>
    <m/>
    <m/>
    <m/>
    <m/>
    <m/>
    <m/>
    <m/>
    <m/>
    <m/>
    <m/>
    <m/>
    <m/>
    <m/>
    <m/>
    <m/>
    <m/>
    <m/>
    <m/>
    <m/>
    <m/>
    <m/>
    <m/>
    <m/>
    <m/>
    <m/>
    <m/>
    <m/>
    <m/>
    <m/>
    <m/>
    <m/>
    <m/>
    <m/>
    <m/>
    <m/>
    <m/>
    <m/>
    <m/>
    <m/>
    <m/>
    <m/>
    <m/>
    <m/>
    <m/>
    <m/>
    <m/>
    <n v="79265"/>
    <n v="70382"/>
    <n v="149647"/>
    <n v="217186"/>
    <n v="182289"/>
    <n v="399475"/>
    <m/>
    <m/>
    <m/>
    <m/>
    <m/>
    <m/>
    <m/>
    <m/>
    <m/>
    <m/>
    <m/>
    <m/>
    <m/>
    <m/>
    <m/>
    <m/>
    <m/>
    <m/>
    <m/>
    <m/>
    <m/>
    <m/>
    <m/>
    <m/>
    <s v="YES"/>
    <n v="149674"/>
    <n v="0.52900000000000003"/>
    <n v="399475"/>
    <m/>
    <m/>
    <m/>
    <m/>
    <m/>
    <m/>
    <m/>
    <m/>
    <m/>
    <m/>
    <m/>
    <m/>
    <m/>
    <m/>
    <m/>
    <m/>
    <m/>
    <m/>
    <m/>
    <m/>
    <m/>
    <m/>
    <m/>
    <m/>
    <m/>
    <m/>
    <m/>
    <m/>
    <m/>
    <m/>
    <m/>
    <m/>
    <m/>
    <m/>
    <m/>
    <m/>
    <m/>
    <m/>
    <m/>
    <m/>
    <m/>
    <s v="YES"/>
    <s v="December"/>
    <n v="2016"/>
    <s v="YES"/>
    <s v="NO"/>
    <m/>
    <m/>
    <m/>
    <x v="0"/>
    <m/>
    <m/>
    <s v="YES"/>
    <s v="YES"/>
    <s v="YES"/>
    <s v="YES"/>
    <m/>
    <m/>
    <m/>
    <x v="0"/>
    <m/>
    <x v="1"/>
    <m/>
    <x v="0"/>
    <x v="0"/>
    <s v="YES"/>
    <x v="0"/>
    <x v="0"/>
    <x v="0"/>
    <x v="0"/>
    <n v="4"/>
    <x v="1"/>
    <x v="1"/>
    <x v="1"/>
    <x v="1"/>
    <x v="1"/>
    <x v="1"/>
    <n v="4"/>
    <x v="1"/>
    <x v="1"/>
    <x v="1"/>
    <x v="1"/>
    <x v="1"/>
    <n v="3"/>
    <x v="2"/>
    <x v="3"/>
    <n v="1"/>
    <s v="National government"/>
    <s v="Local government(s)"/>
    <s v="University/research institution(s)"/>
    <x v="2"/>
    <m/>
    <s v="The project starting from the stage of designing has conisdered gender in its planning, implementation and monitoring and evaluation."/>
    <s v="Mother to Mother groups"/>
    <s v="Father to father groups"/>
    <s v="Collaboration with the government Nutrition Coordination and Technical committees at Zone and woreda level"/>
    <s v="Reaching direct beneficiaries i.e  women of reproductive age groups ( 15-49) through Mother to Mother groups"/>
    <s v="Men engagement  through formation of father to father discussion groups (F2F)"/>
    <s v="Implementation of the project activities in through the government structure for  effectiveness, efficiency and sustainability"/>
    <s v="The project major direct beneficiaries are M2M and F2F groups and are used as an entry point for other project interventions. Hence, the groups are formed in year one and are going to be continuous target until end of the project life._x000a_Currently GROW project is in its year 2 -first quarter implementation period. GROW project is launched  in Jan 2016 during the first year the project was mostly focused on creating a strong foundation through establishing close coordination with relevant government line departments as well as with the community level stakeholders. This helps ensuring a participatory and demand driven quality project delivery approach. in addition to that in year 1, the project engaged in emergency seed (shorter-maturing crop seeds)provision due to the severity of the El Nino-induced drought that affected the country. Thus, the project has started implementing the strategies  that it originally intended to address in this FY."/>
    <s v="Quantitative baseline report _x000a_Annual progress report _x000a_Project Implementation Plan- for reference of direct and indirect beneficiaries of the project"/>
    <n v="149647"/>
    <n v="399475"/>
    <n v="2.6694487694374094"/>
    <n v="0.52967984657226674"/>
    <n v="0.54367857813380061"/>
    <n v="79265"/>
    <n v="217186"/>
    <s v=""/>
    <n v="0"/>
    <n v="0"/>
    <s v=""/>
    <n v="1"/>
    <n v="149674"/>
    <n v="399475"/>
    <n v="2.6689672220960219"/>
    <s v=""/>
    <n v="0"/>
    <n v="0"/>
    <s v=""/>
    <s v=""/>
    <n v="0"/>
    <n v="0"/>
    <s v=""/>
    <s v=""/>
    <n v="0"/>
    <n v="0"/>
    <s v=""/>
    <s v="2. Sensitive"/>
    <s v="2. Accommodating"/>
    <s v="2. Sensitive"/>
    <s v="It did not develop any specific innovation"/>
    <s v="Little or no advocacy"/>
    <s v="It linked and worked with strategic alliances and partners to take tested and effective solutions to scale"/>
  </r>
  <r>
    <x v="23"/>
    <x v="3"/>
    <m/>
    <s v="Improved and Sustainable Water, Sanitation and Hygiene Plus Services within a Women and Girls’ Empowerment Programme in the Pastoral Lowlands of Dalifagie Woreda of Afar Region"/>
    <s v="Ethiopia"/>
    <s v="GB433"/>
    <s v="CARE UK"/>
    <s v="Government"/>
    <s v="Government - UK"/>
    <s v="DFID"/>
    <s v="GB424"/>
    <s v="CARE UK"/>
    <s v="Foundation"/>
    <m/>
    <s v="The Betitudes Fund"/>
    <m/>
    <m/>
    <m/>
    <m/>
    <m/>
    <m/>
    <m/>
    <m/>
    <m/>
    <m/>
    <m/>
    <m/>
    <m/>
    <m/>
    <m/>
    <m/>
    <m/>
    <m/>
    <m/>
    <m/>
    <m/>
    <m/>
    <m/>
    <m/>
    <m/>
    <m/>
    <m/>
    <m/>
    <m/>
    <m/>
    <m/>
    <m/>
    <m/>
    <m/>
    <m/>
    <m/>
    <m/>
    <m/>
    <m/>
    <m/>
    <d v="2016-10-01T00:00:00"/>
    <d v="2018-09-30T00:00:00"/>
    <m/>
    <s v="Development Other"/>
    <n v="641090"/>
    <s v="Abebaw Kebede"/>
    <s v="WaTER+ Program Coordinator"/>
    <s v="Abebaw.Kebede@care.org"/>
    <s v="Sintayehu Mesele"/>
    <s v="Program Manager"/>
    <s v="Sintayehu.Mesele@care.org"/>
    <s v="NO"/>
    <s v="YES"/>
    <s v="NO"/>
    <s v="Improve the health status and gender equity among pastoralist communities in Dalifagie woreda of Afar regional state through integrated WASH implementation with high community and government participation and leadership"/>
    <s v="Sub-National"/>
    <s v="Ethiopia ,Afar Regional State; Zone 5;  Dalifagie Woreda"/>
    <s v="Pasturalist School Age Girls"/>
    <n v="8952"/>
    <n v="8848"/>
    <n v="17800"/>
    <n v="20910"/>
    <n v="20090"/>
    <n v="41000"/>
    <s v="The direct participants are those who access to safe and sustainable water sources and partcipants of any training both at communities and schools. Students who are benefiting from the constructed latrines are also considered as direct partcipants fro this project. Indirect beneficaries are partcipants who are benefiting from sanitation and hygiene promotions, sanitation facilities (community level), NRM activities and family members of training partcipants."/>
    <m/>
    <m/>
    <m/>
    <m/>
    <m/>
    <m/>
    <m/>
    <m/>
    <m/>
    <m/>
    <m/>
    <m/>
    <m/>
    <m/>
    <m/>
    <m/>
    <m/>
    <m/>
    <m/>
    <m/>
    <m/>
    <m/>
    <m/>
    <m/>
    <m/>
    <m/>
    <m/>
    <m/>
    <m/>
    <m/>
    <m/>
    <m/>
    <m/>
    <m/>
    <m/>
    <m/>
    <m/>
    <m/>
    <m/>
    <m/>
    <m/>
    <m/>
    <m/>
    <m/>
    <m/>
    <m/>
    <m/>
    <m/>
    <m/>
    <m/>
    <m/>
    <m/>
    <m/>
    <m/>
    <m/>
    <m/>
    <m/>
    <m/>
    <m/>
    <m/>
    <n v="93"/>
    <n v="67"/>
    <n v="160"/>
    <n v="1017"/>
    <n v="873"/>
    <n v="1890"/>
    <m/>
    <m/>
    <m/>
    <m/>
    <m/>
    <m/>
    <m/>
    <m/>
    <m/>
    <m/>
    <m/>
    <m/>
    <m/>
    <m/>
    <m/>
    <m/>
    <m/>
    <m/>
    <m/>
    <m/>
    <m/>
    <m/>
    <m/>
    <m/>
    <m/>
    <m/>
    <m/>
    <m/>
    <m/>
    <m/>
    <m/>
    <m/>
    <m/>
    <m/>
    <m/>
    <m/>
    <m/>
    <m/>
    <m/>
    <m/>
    <s v="YES"/>
    <m/>
    <m/>
    <m/>
    <s v="YES"/>
    <m/>
    <m/>
    <m/>
    <m/>
    <m/>
    <m/>
    <m/>
    <m/>
    <m/>
    <m/>
    <m/>
    <s v="YES"/>
    <n v="160"/>
    <n v="0.57999999999999996"/>
    <n v="1890"/>
    <m/>
    <m/>
    <m/>
    <m/>
    <m/>
    <m/>
    <m/>
    <m/>
    <m/>
    <s v="YES"/>
    <s v="May"/>
    <n v="2017"/>
    <s v="YES"/>
    <s v="YES"/>
    <s v="August"/>
    <n v="2018"/>
    <s v="It is a project final evaluation surveyconducted to measure the sucsess of the intended results of the project-to measure relavance, efficency, effectivness, outcome and sustinability. It will use both quanitatative qualitative information."/>
    <x v="0"/>
    <s v="YES"/>
    <s v="YES"/>
    <s v="YES"/>
    <s v="YES"/>
    <s v="YES"/>
    <s v="NO"/>
    <s v="NO"/>
    <m/>
    <m/>
    <x v="2"/>
    <s v="Community demand responsive apparoch and alternative use of technologies like the solar system and CLTSH approches are found relevant in providing WASH services in cost effective way and sustainable way."/>
    <x v="1"/>
    <s v="The project is in line with GTP-2 and SDG in providing WASH services in sustained mannaer with the active participation and engagemnt of governments at all levels, communities/target groups, private sectors and community based instituations."/>
    <x v="1"/>
    <x v="0"/>
    <s v="YES"/>
    <x v="0"/>
    <x v="0"/>
    <x v="0"/>
    <x v="0"/>
    <n v="4"/>
    <x v="1"/>
    <x v="1"/>
    <x v="1"/>
    <x v="1"/>
    <x v="1"/>
    <x v="1"/>
    <n v="4"/>
    <x v="1"/>
    <x v="1"/>
    <x v="1"/>
    <x v="1"/>
    <x v="1"/>
    <n v="3"/>
    <x v="0"/>
    <x v="0"/>
    <n v="2"/>
    <s v="Local government(s)"/>
    <s v="Private sector"/>
    <s v="Grassroots organization(s)"/>
    <x v="1"/>
    <m/>
    <s v="No important changes or adjustements are made in FY17"/>
    <s v="Demand responsive apparoch/strategy-the importance of conducting need assessemnts/situational assessemnts with the active partcipation of the target groups, mainly women and girls, are highly important in addressing the critical needs of the communities in a very cost effective and sustained mannaer."/>
    <s v="Empowering and engaging/partcipation of the communities an dtarget groups highly vital in acheving the intended results and for ensuring ownership"/>
    <s v="The startegies employed working with the existing government structure at all levels and community based instituatiins like religious and clan leaaders contributed highly for acheving the saniatation and hygiene promotion and success."/>
    <s v="Adoption of new technology for pastoralist water supply ensure access to safe and sustinable water supply in sustained manner like using solars"/>
    <s v="The need for empowering women and girls with men involvement is crucial in adressing the challenges of the communities in sustained manner, and also to adress the practical and strategic needs of women and girls."/>
    <s v="The importance of working with the existing government structure and communities through empowering approch in acheving the intended results in cost effectve and sustained mannaer"/>
    <s v="Though it is in its early stage of the project period, the demand responsive approch, working with the existing government structures, working with communities, community based instituations, and empowering omen and girls are very imprortant in acheving the intended results of the project."/>
    <s v="The baseline survey is conducted by CARE staffs (internally) in colaboration with the government and it is in its analysis stage (not finaliyzed). Results will be shared within a short period of time."/>
    <n v="160"/>
    <n v="1890"/>
    <n v="11.8125"/>
    <n v="0.58125000000000004"/>
    <n v="0.53809523809523807"/>
    <n v="93"/>
    <n v="1017"/>
    <s v=""/>
    <n v="0"/>
    <n v="0"/>
    <s v=""/>
    <n v="1"/>
    <n v="160"/>
    <n v="1890"/>
    <n v="11.8125"/>
    <s v=""/>
    <n v="0"/>
    <n v="0"/>
    <s v=""/>
    <s v=""/>
    <n v="0"/>
    <n v="0"/>
    <s v=""/>
    <s v=""/>
    <n v="0"/>
    <n v="0"/>
    <s v=""/>
    <s v="2. Sensitive"/>
    <s v="2. Accommodating"/>
    <s v="2. Sensitive"/>
    <s v="It tested new ways for fighting poverty and measured results of innovation"/>
    <s v="Little or no advocacy"/>
    <s v="It linked and worked with strategic alliances and partners to take tested and effective solutions to scale"/>
  </r>
  <r>
    <x v="23"/>
    <x v="3"/>
    <m/>
    <s v="Improving Adolescent Reproductive Health and Nutrition in Ethiopia through Structural solutions /Abdiboru/ Research Project"/>
    <s v="Ethiopia"/>
    <s v="GATEET0002"/>
    <s v="CARE USA"/>
    <s v="Foundation"/>
    <s v="Bill &amp; Melinda Gates Foundation"/>
    <s v="Bill &amp; Melinda Gates Foundation"/>
    <m/>
    <m/>
    <m/>
    <m/>
    <m/>
    <m/>
    <m/>
    <m/>
    <m/>
    <m/>
    <m/>
    <m/>
    <m/>
    <m/>
    <m/>
    <m/>
    <m/>
    <m/>
    <m/>
    <m/>
    <m/>
    <m/>
    <m/>
    <m/>
    <m/>
    <m/>
    <m/>
    <m/>
    <m/>
    <m/>
    <m/>
    <m/>
    <m/>
    <m/>
    <m/>
    <m/>
    <m/>
    <m/>
    <m/>
    <m/>
    <m/>
    <m/>
    <m/>
    <m/>
    <m/>
    <d v="2015-10-01T00:00:00"/>
    <d v="2020-07-31T00:00:00"/>
    <m/>
    <s v="Development Sexual, Reproductive and Maternal Health (SRMH)"/>
    <n v="3919781"/>
    <s v="Alem Agazi"/>
    <s v="SRH and Nutrition Coordinators"/>
    <s v="Alem.Agazi@care.org"/>
    <s v="Ribka Dinku"/>
    <s v="Project Manager"/>
    <s v="Ribka.Dinku@care.org"/>
    <s v="NO"/>
    <s v="YES"/>
    <s v="NO"/>
    <s v="The goal of the project is to establish cost effective model to reduce the vulnerability of girls age 10 -14 years, ensure their empowerment, and improve their health and development outcome."/>
    <s v="Sub-National"/>
    <s v="Chiro, Doba,Mesela and Boke Woredas of West Hararge Zone of  Oromia regional state of Ethiopia"/>
    <s v="Adolosent girls age 10-14 (Both in and out of school)"/>
    <n v="26533"/>
    <n v="0"/>
    <n v="26533"/>
    <n v="67120"/>
    <n v="55000"/>
    <n v="122120"/>
    <s v="The direct beneficiaries of  the project calculated  taking in to consideration the  total population of  the four project intervetnion Woredas in  West Hararghe is 570,459  of whi ch 6.1 % of them are girls age 10-14 years of old, This equal to 34,798. As the project is a research project and one of the Woreda is control ARM . Thus 3/4 of 34,798 equal to 26,098 add 435  taking in to consideration  acceptable errors of targeting direct beneficiaries. The indirect beneficiaries were calculated based on  the estimated average household family size (4.6) . Thus the total indirect beneficiaries is 4.6 X 26,533=122,051."/>
    <m/>
    <m/>
    <m/>
    <m/>
    <m/>
    <m/>
    <m/>
    <m/>
    <m/>
    <m/>
    <m/>
    <m/>
    <m/>
    <m/>
    <m/>
    <m/>
    <m/>
    <m/>
    <m/>
    <m/>
    <m/>
    <m/>
    <m/>
    <m/>
    <m/>
    <m/>
    <m/>
    <m/>
    <m/>
    <m/>
    <m/>
    <m/>
    <m/>
    <m/>
    <m/>
    <m/>
    <m/>
    <m/>
    <m/>
    <m/>
    <m/>
    <m/>
    <m/>
    <m/>
    <m/>
    <m/>
    <m/>
    <m/>
    <m/>
    <m/>
    <m/>
    <m/>
    <m/>
    <m/>
    <m/>
    <m/>
    <m/>
    <m/>
    <m/>
    <m/>
    <n v="26533"/>
    <n v="0"/>
    <n v="26533"/>
    <n v="6300"/>
    <n v="6700"/>
    <n v="13000"/>
    <s v="NO"/>
    <m/>
    <m/>
    <m/>
    <s v="NO"/>
    <m/>
    <m/>
    <m/>
    <s v="NO"/>
    <m/>
    <m/>
    <m/>
    <s v="NO"/>
    <m/>
    <m/>
    <m/>
    <s v="NO"/>
    <m/>
    <m/>
    <m/>
    <s v="YES"/>
    <n v="21226"/>
    <n v="1"/>
    <m/>
    <s v="NO"/>
    <m/>
    <m/>
    <m/>
    <s v="YES"/>
    <n v="26533"/>
    <n v="1"/>
    <m/>
    <s v="YES"/>
    <n v="41533"/>
    <n v="0.83"/>
    <m/>
    <s v="YES"/>
    <n v="26533"/>
    <n v="1"/>
    <m/>
    <s v="NO"/>
    <m/>
    <m/>
    <m/>
    <s v="NO"/>
    <m/>
    <m/>
    <m/>
    <s v="YES"/>
    <m/>
    <m/>
    <m/>
    <s v="YES"/>
    <m/>
    <m/>
    <m/>
    <s v="NO"/>
    <m/>
    <m/>
    <m/>
    <s v="YES"/>
    <n v="21252"/>
    <n v="1"/>
    <m/>
    <s v="Social norms"/>
    <s v="YES"/>
    <m/>
    <m/>
    <m/>
    <s v="NO"/>
    <m/>
    <m/>
    <s v="NO"/>
    <s v="YES"/>
    <s v="September"/>
    <n v="2017"/>
    <s v="The planned evaluation is light qualitative proceess evaluation with the purpose  to improve dose and fidelity of implementation, as well as reach of the intervention into the target population"/>
    <x v="0"/>
    <s v="NO"/>
    <s v="NO"/>
    <s v="YES"/>
    <s v="NO"/>
    <s v="YES"/>
    <s v="NO"/>
    <s v="NO"/>
    <s v="NO"/>
    <m/>
    <x v="0"/>
    <m/>
    <x v="1"/>
    <s v="The project is a research project /learning project works on early adolocent age 10-14 years to empower and significantly to contribute to education, sexual &amp; reproductive health and nutrition outcomes of very young adolescent girls and to develop evidence base model for social norms programming that can be scaled up by the government in a cost effective way by 2020.So large scale quantitative baseline survey both in qualitative and quantiative was done  and regional level dissmination workshop conducted to share the finding of  the research and further to buy in the regional partners to work closely with then and to faciliatae scale up the project ."/>
    <x v="2"/>
    <x v="1"/>
    <s v="YES"/>
    <x v="0"/>
    <x v="0"/>
    <x v="0"/>
    <x v="2"/>
    <n v="4"/>
    <x v="2"/>
    <x v="1"/>
    <x v="1"/>
    <x v="1"/>
    <x v="1"/>
    <x v="2"/>
    <n v="4"/>
    <x v="1"/>
    <x v="1"/>
    <x v="1"/>
    <x v="1"/>
    <x v="1"/>
    <n v="3"/>
    <x v="2"/>
    <x v="2"/>
    <n v="4"/>
    <s v="Local government(s)"/>
    <s v="University/research institution(s)"/>
    <s v="Local alliance(s)/Platform(s)/Network(s) of  NGOs/CSOs"/>
    <x v="1"/>
    <m/>
    <s v="Delay in getting the baseline qualitative and survey report because of a security-related issues, large data base about 10,000 participants  coupled with the rainy season and rough topography of some study areas, especially Doba and Mesela, caused challenges in accessing study sites caused a delay in program startup. Due to these reason, development of training materials, cascading training and community group formation has been included in the second year plan."/>
    <s v="VSLA  approach."/>
    <s v="SAA approach."/>
    <s v="Working in partnership with the government sector offcies are the top three strategies or model that have proven to be most effectives"/>
    <s v="Early adolescents are physicaly, emotionaly and cognitively immature so it is important to increase the community level man power for close followup and coach/mentor them until graduation of the group"/>
    <s v="To be more sucessful boys should be part of the implementation, Even they can support their sisters,classmates and neighbors"/>
    <s v="If their parents participate in the VSLA tool. They will understand the tool properly and will support the adolescents as per expectations"/>
    <m/>
    <m/>
    <n v="26533"/>
    <n v="13000"/>
    <n v="0.4899559039686428"/>
    <n v="1"/>
    <n v="0.48461538461538461"/>
    <n v="26533"/>
    <n v="6300"/>
    <s v=""/>
    <n v="0"/>
    <n v="0"/>
    <s v=""/>
    <s v=""/>
    <n v="0"/>
    <n v="0"/>
    <s v=""/>
    <n v="1"/>
    <n v="0"/>
    <n v="0"/>
    <s v=""/>
    <n v="1"/>
    <n v="26533"/>
    <n v="0"/>
    <n v="0"/>
    <n v="1"/>
    <n v="21252"/>
    <n v="0"/>
    <n v="0"/>
    <s v="4. Transformative"/>
    <s v="4. Transformational"/>
    <s v="2. Sensitive"/>
    <s v="It did not develop any specific innovation"/>
    <s v="Little or no advocacy"/>
    <s v="It linked and worked with strategic alliances and partners to take tested and effective solutions to scale"/>
  </r>
  <r>
    <x v="23"/>
    <x v="3"/>
    <m/>
    <s v="Joint Emergency Operation Plan (JEOP)"/>
    <s v="Ethiopia"/>
    <s v="US17Y"/>
    <s v="No CARE member related to the project/initiative"/>
    <s v="Government"/>
    <s v="Government - US"/>
    <s v="USAID"/>
    <m/>
    <m/>
    <m/>
    <m/>
    <m/>
    <m/>
    <m/>
    <m/>
    <m/>
    <m/>
    <m/>
    <m/>
    <m/>
    <m/>
    <m/>
    <m/>
    <m/>
    <m/>
    <m/>
    <m/>
    <m/>
    <m/>
    <m/>
    <m/>
    <m/>
    <m/>
    <m/>
    <m/>
    <m/>
    <m/>
    <m/>
    <m/>
    <m/>
    <m/>
    <m/>
    <m/>
    <m/>
    <m/>
    <m/>
    <m/>
    <m/>
    <m/>
    <m/>
    <m/>
    <m/>
    <d v="2012-08-01T00:00:00"/>
    <d v="2015-07-31T00:00:00"/>
    <d v="2017-09-30T00:00:00"/>
    <s v="Humanitarian Food &amp; Nutrition Security and Resilience to Climate Change"/>
    <n v="54926521"/>
    <s v="Teyent Tadesse"/>
    <s v="Emergency Program Coordinator"/>
    <s v="teyent.tadesse@care.org"/>
    <s v="Worku Abebaw"/>
    <s v="Emergency Program and Operations Manager"/>
    <s v="worku.abebaw@care.org"/>
    <s v="YES"/>
    <s v="NO"/>
    <s v="NO"/>
    <s v="The main Goal of the project is to Protect Lives and livelihoods of emergency affected rural Ethiopians"/>
    <s v="Sub-National"/>
    <s v="Grawa, Bedeno, Kurfa Chale, Haramaya and Kombolcha woredas from East Hararghe zone; Chiro, Gmichis, Doba, Miesso, Tullo woredas from West Hararge zone and Dire, Miyo, Yabelo and Teltele from Borena zone of Oromia Region in Ethiopia"/>
    <s v="Transitory Food Insecured Households ( Transitory food insecured houselds who are selected as JEOP beneficaries in those 15 CARE operational woredas are recieving full basket of food commodities comprising of 15kg wheat, 1.5kg pulses, and 0.45kg of edible oil per per son per month)"/>
    <n v="357237"/>
    <n v="378886"/>
    <n v="736123"/>
    <m/>
    <m/>
    <m/>
    <s v="The direct beneficaries are those who are directly reciving the project resources (Cereal, Oil and Peas) in this case. (Targeting/ selection  related works are mainly done by government bodies (by woreda and kebele Food Security Task Forces where CARE is a member). Those households who are transitory food insecured including women headed households will be given priority in the selection process. The will  participate in the process through verification of selected households  and this will  be done through posting the list &amp;/or reading the targeted list in public gatherings."/>
    <m/>
    <n v="357237"/>
    <n v="378886"/>
    <n v="736123"/>
    <m/>
    <m/>
    <m/>
    <s v="NO"/>
    <m/>
    <m/>
    <m/>
    <s v="NO"/>
    <m/>
    <m/>
    <m/>
    <s v="NO"/>
    <m/>
    <m/>
    <m/>
    <s v="YES"/>
    <n v="736123"/>
    <n v="0.49"/>
    <m/>
    <s v="NO"/>
    <m/>
    <m/>
    <m/>
    <s v="NO"/>
    <m/>
    <m/>
    <m/>
    <s v="NO"/>
    <m/>
    <m/>
    <m/>
    <s v="NO"/>
    <m/>
    <m/>
    <m/>
    <s v="NO"/>
    <m/>
    <m/>
    <m/>
    <s v="NO"/>
    <m/>
    <m/>
    <m/>
    <s v="NO"/>
    <m/>
    <m/>
    <m/>
    <s v="NO"/>
    <m/>
    <m/>
    <m/>
    <m/>
    <s v="NO"/>
    <m/>
    <m/>
    <m/>
    <m/>
    <m/>
    <m/>
    <m/>
    <m/>
    <m/>
    <m/>
    <m/>
    <m/>
    <m/>
    <m/>
    <m/>
    <m/>
    <m/>
    <m/>
    <m/>
    <m/>
    <m/>
    <m/>
    <m/>
    <m/>
    <m/>
    <m/>
    <m/>
    <m/>
    <m/>
    <m/>
    <m/>
    <m/>
    <m/>
    <m/>
    <m/>
    <m/>
    <m/>
    <m/>
    <m/>
    <m/>
    <m/>
    <m/>
    <m/>
    <m/>
    <m/>
    <m/>
    <m/>
    <m/>
    <m/>
    <m/>
    <m/>
    <m/>
    <m/>
    <m/>
    <m/>
    <m/>
    <m/>
    <m/>
    <m/>
    <m/>
    <m/>
    <m/>
    <m/>
    <m/>
    <m/>
    <m/>
    <m/>
    <m/>
    <m/>
    <m/>
    <m/>
    <m/>
    <m/>
    <m/>
    <m/>
    <m/>
    <m/>
    <m/>
    <s v="NO"/>
    <m/>
    <m/>
    <m/>
    <s v="YES"/>
    <s v="July"/>
    <n v="2017"/>
    <s v="This project is run by a consotium of 5 NGOs and CARE will not do a separate final evaluation  rather the lead agency/ CRS the evaluation work and CARE will the process in its operaational  sampled woredas. The evaluation work will consis both qualitative and quantitative methods and will be done by external consultant"/>
    <x v="0"/>
    <s v="NO"/>
    <m/>
    <m/>
    <s v="NO"/>
    <m/>
    <m/>
    <s v="NO"/>
    <m/>
    <m/>
    <x v="0"/>
    <m/>
    <x v="0"/>
    <m/>
    <x v="0"/>
    <x v="0"/>
    <s v="YES"/>
    <x v="0"/>
    <x v="0"/>
    <x v="0"/>
    <x v="0"/>
    <n v="4"/>
    <x v="1"/>
    <x v="1"/>
    <x v="1"/>
    <x v="1"/>
    <x v="1"/>
    <x v="1"/>
    <n v="4"/>
    <x v="1"/>
    <x v="1"/>
    <x v="1"/>
    <x v="1"/>
    <x v="1"/>
    <n v="3"/>
    <x v="0"/>
    <x v="2"/>
    <n v="5"/>
    <s v="National government"/>
    <s v="Local government(s)"/>
    <s v="International NGO(s)"/>
    <x v="1"/>
    <m/>
    <m/>
    <m/>
    <m/>
    <m/>
    <s v="Timely   public verification during targeting is critical to  reduce inclusion and exclusion errors_x000a_ Timely food distribution enhances protection of life and livelihoods of  vulnerable households, minimizes negative cooping measures_x000a_ Setting up compliant and response mechanism  improves accountability towards beneficary, Donor  and other stakeholders and hence enhances quality of the project implimenation."/>
    <s v="The main challege in this project has beeln lack of full family targetion and registartion; family size reduction  during targeting  has been  experienced to reach out more households with the limited resources at hand  as a result, in most cases, the food baskets run out earlier than the supposed 30 days."/>
    <m/>
    <m/>
    <m/>
    <n v="736123"/>
    <n v="0"/>
    <n v="0"/>
    <n v="0.48529525636340665"/>
    <s v=""/>
    <n v="357237"/>
    <n v="0"/>
    <n v="1"/>
    <n v="736123"/>
    <n v="0"/>
    <n v="0"/>
    <n v="1"/>
    <n v="736123"/>
    <n v="0"/>
    <n v="0"/>
    <s v=""/>
    <n v="0"/>
    <n v="0"/>
    <s v=""/>
    <s v=""/>
    <n v="0"/>
    <n v="0"/>
    <s v=""/>
    <s v=""/>
    <n v="0"/>
    <n v="0"/>
    <s v=""/>
    <s v="2. Sensitive"/>
    <s v="2. Accommodating"/>
    <s v="2. Sensitive"/>
    <s v="It did not develop any specific innovation"/>
    <s v="Little or no advocacy"/>
    <s v="It did not take tested solutions to scale"/>
  </r>
  <r>
    <x v="23"/>
    <x v="3"/>
    <m/>
    <s v="Learning for change ( L4C) strengthening Women's voices in East Africa"/>
    <s v="Ethiopia"/>
    <s v="CAUTET0022"/>
    <s v="CARE Österreich"/>
    <s v="Government"/>
    <s v="Government - Austria"/>
    <s v="Austrian Development Agency (ADA)"/>
    <m/>
    <m/>
    <m/>
    <m/>
    <m/>
    <m/>
    <m/>
    <m/>
    <m/>
    <m/>
    <m/>
    <m/>
    <m/>
    <m/>
    <m/>
    <m/>
    <m/>
    <m/>
    <m/>
    <m/>
    <m/>
    <m/>
    <m/>
    <m/>
    <m/>
    <m/>
    <m/>
    <m/>
    <m/>
    <m/>
    <m/>
    <m/>
    <m/>
    <m/>
    <m/>
    <m/>
    <m/>
    <m/>
    <m/>
    <m/>
    <m/>
    <m/>
    <m/>
    <m/>
    <m/>
    <d v="2016-04-01T00:00:00"/>
    <d v="2019-03-31T00:00:00"/>
    <m/>
    <s v="Development Other"/>
    <n v="1108000"/>
    <s v="Girma Hailu"/>
    <s v="Chief of party"/>
    <s v="girma.hailu@care.org"/>
    <s v="Hewan Tesfaye"/>
    <s v="Project coordinator"/>
    <s v="hewan.tesfaye@care.org"/>
    <s v="NO"/>
    <s v="YES"/>
    <s v="NO"/>
    <s v="Promotion of meaningful participation of women in decsion making proecess at disfferent levels. At a result of the intervention, women shall benefit of increased participation in decsion making, better acess to resources and equality in different parts of life."/>
    <s v="Regional"/>
    <s v="The regional program is applying an integrated program approach and is implemented by CARE Austria in cooperation with CARE country offices in Ethiopia, Uganda and Rwanda and also at EU level and in the Great Lakes Region"/>
    <s v="Staffs of  CARE Ethiopia and FSF+ five government partners offices  in Amhara region, South Gonder Zone, Ebinat, Tach Gayint and Simada district."/>
    <m/>
    <m/>
    <m/>
    <m/>
    <m/>
    <n v="70000"/>
    <s v="Direct participants are staffs of CARE Ethiopia and  5 partner organizations at  Amhara regional state of Ethiopia, South Gonder. At impact level All 5 government partners are supported in three districts (Weredas) of South Gondar Zone. The project is implemented in 91 Kebeles (villages) of Amhara Region. As all government partners work with the same target groups and L4C supports own field officers and community facilitators to backstop the program activities of last phase the impact level  implementation "/>
    <m/>
    <m/>
    <m/>
    <m/>
    <m/>
    <m/>
    <m/>
    <m/>
    <m/>
    <m/>
    <m/>
    <m/>
    <m/>
    <m/>
    <m/>
    <m/>
    <m/>
    <m/>
    <m/>
    <m/>
    <m/>
    <m/>
    <m/>
    <m/>
    <m/>
    <m/>
    <m/>
    <m/>
    <m/>
    <m/>
    <m/>
    <m/>
    <m/>
    <m/>
    <m/>
    <m/>
    <m/>
    <m/>
    <m/>
    <m/>
    <m/>
    <m/>
    <m/>
    <m/>
    <m/>
    <m/>
    <m/>
    <m/>
    <m/>
    <m/>
    <m/>
    <m/>
    <m/>
    <m/>
    <m/>
    <m/>
    <m/>
    <m/>
    <m/>
    <m/>
    <n v="64"/>
    <n v="39"/>
    <n v="103"/>
    <n v="3360"/>
    <n v="1892"/>
    <n v="5252"/>
    <s v="NO"/>
    <m/>
    <m/>
    <m/>
    <s v="NO"/>
    <m/>
    <m/>
    <m/>
    <s v="NO"/>
    <m/>
    <m/>
    <m/>
    <s v="NO"/>
    <m/>
    <m/>
    <m/>
    <s v="NO"/>
    <m/>
    <m/>
    <m/>
    <s v="NO"/>
    <m/>
    <m/>
    <m/>
    <s v="NO"/>
    <m/>
    <m/>
    <m/>
    <s v="NO"/>
    <m/>
    <m/>
    <m/>
    <s v="NO"/>
    <m/>
    <m/>
    <m/>
    <s v="NO"/>
    <m/>
    <m/>
    <m/>
    <s v="NO"/>
    <m/>
    <m/>
    <m/>
    <s v="NO"/>
    <m/>
    <m/>
    <m/>
    <s v="NO"/>
    <m/>
    <m/>
    <m/>
    <s v="NO"/>
    <m/>
    <m/>
    <m/>
    <s v="NO"/>
    <m/>
    <m/>
    <m/>
    <s v="NO"/>
    <m/>
    <m/>
    <m/>
    <s v="capacity building related activities for CARE and partners"/>
    <s v="YES"/>
    <m/>
    <m/>
    <m/>
    <s v="YES"/>
    <s v="December"/>
    <n v="2016"/>
    <s v="YES"/>
    <s v="NO"/>
    <m/>
    <m/>
    <m/>
    <x v="3"/>
    <m/>
    <m/>
    <m/>
    <m/>
    <m/>
    <m/>
    <m/>
    <m/>
    <m/>
    <x v="3"/>
    <m/>
    <x v="1"/>
    <s v="Gender capacity assessments was worked on CARE and 5 partners, which helped to indetify the gaps and  validate, priortized thematic areas to work on develop actions plans together with partners."/>
    <x v="3"/>
    <x v="0"/>
    <s v="YES"/>
    <x v="0"/>
    <x v="0"/>
    <x v="0"/>
    <x v="0"/>
    <n v="4"/>
    <x v="1"/>
    <x v="1"/>
    <x v="1"/>
    <x v="1"/>
    <x v="1"/>
    <x v="1"/>
    <n v="4"/>
    <x v="3"/>
    <x v="1"/>
    <x v="1"/>
    <x v="0"/>
    <x v="5"/>
    <n v="2"/>
    <x v="1"/>
    <x v="3"/>
    <n v="5"/>
    <s v="Local government(s)"/>
    <s v="Local alliance(s)/Platform(s)/Network(s) of  NGOs/CSOs"/>
    <s v="Other"/>
    <x v="3"/>
    <m/>
    <s v="Work plan &amp; budget is revised with the relevance of the project objectives and planned interventions based on the impact level baselines study and organizational assesments which confirmed the needs of partners to be addressed also at impact level,"/>
    <m/>
    <s v="Social action and Analyis (SAA),and Gender Equity and Diversity (GED) trainings"/>
    <m/>
    <m/>
    <m/>
    <m/>
    <m/>
    <m/>
    <n v="103"/>
    <n v="5252"/>
    <n v="50.990291262135919"/>
    <n v="0.62135922330097082"/>
    <n v="0.63975628332063972"/>
    <n v="64"/>
    <n v="3360"/>
    <s v=""/>
    <n v="0"/>
    <n v="0"/>
    <s v=""/>
    <s v=""/>
    <n v="0"/>
    <n v="0"/>
    <s v=""/>
    <s v=""/>
    <n v="0"/>
    <n v="0"/>
    <s v=""/>
    <s v=""/>
    <n v="0"/>
    <n v="0"/>
    <s v=""/>
    <s v=""/>
    <n v="0"/>
    <n v="0"/>
    <s v=""/>
    <s v="2. Sensitive"/>
    <s v="2. Accommodating"/>
    <s v="3. Responsive"/>
    <n v="0"/>
    <n v="0"/>
    <s v="It linked and worked with strategic alliances and partners to take tested and effective solutions to scale"/>
  </r>
  <r>
    <x v="23"/>
    <x v="3"/>
    <s v="USLMET0023"/>
    <s v="Livelihoods for Resilience Activity (GRAD 2) "/>
    <s v="Ethiopia"/>
    <s v="USLMET0023"/>
    <s v="CARE USA"/>
    <s v="Government"/>
    <s v="Other"/>
    <s v="USAID"/>
    <m/>
    <m/>
    <m/>
    <m/>
    <m/>
    <m/>
    <m/>
    <m/>
    <m/>
    <m/>
    <m/>
    <m/>
    <m/>
    <m/>
    <m/>
    <m/>
    <m/>
    <m/>
    <m/>
    <m/>
    <m/>
    <m/>
    <m/>
    <m/>
    <m/>
    <m/>
    <m/>
    <m/>
    <m/>
    <m/>
    <m/>
    <m/>
    <m/>
    <m/>
    <m/>
    <m/>
    <m/>
    <m/>
    <m/>
    <m/>
    <m/>
    <m/>
    <m/>
    <m/>
    <m/>
    <d v="2016-12-05T00:00:00"/>
    <d v="2021-12-03T00:00:00"/>
    <m/>
    <s v="Development Food &amp; Nutrition Security and Resilience to Climate Change"/>
    <n v="47996597"/>
    <s v="John Meyer"/>
    <s v="Chief of Party"/>
    <s v="john.meyer@care.org"/>
    <s v="Elisabeth Farmer"/>
    <s v="Deputy Chief of Party"/>
    <s v="elisabeth.farmer@care.org"/>
    <s v="NO"/>
    <s v="YES"/>
    <s v="NO"/>
    <s v="Reducing food insecurity and increasing resilience for households (HHs) in highland areas of three regions in rural Ethiopia"/>
    <s v="Sub-National"/>
    <s v="Southern Nation and Nationality Peoples Region (Gedio zone- Kochire, Wonago, Dilla Zuria;  Sidama Zone- Aleta Wendo, Dara, Boricha, and Chuko; and Hadiya zone- Soru, Duna, Misha, Lemu, Anlemu); Tigray region (South Tigray- Ofla, ALamata, Enda Mehoni, Emba Alage, Hintalo Wojerat; and East Tigray-  Genta Afeshum, Hawzen, Gulomekeda); Amhara region ( North Wollo- Guba Lafto, Harbu, Raya Kobo, Meket, Wadla; North Shewa-  Menz Mama and menz Gera)"/>
    <s v="Chronically Food Insecure Rural women"/>
    <n v="48950"/>
    <n v="48950"/>
    <n v="97900"/>
    <n v="244750"/>
    <n v="244750"/>
    <n v="489500"/>
    <s v="Direct participants are household heads who directly particpating in the project. Indirect participats are as guiding notes refering are family members of direct project participants"/>
    <m/>
    <m/>
    <m/>
    <m/>
    <m/>
    <m/>
    <m/>
    <m/>
    <m/>
    <m/>
    <m/>
    <m/>
    <m/>
    <m/>
    <m/>
    <m/>
    <m/>
    <m/>
    <m/>
    <m/>
    <m/>
    <m/>
    <m/>
    <m/>
    <m/>
    <m/>
    <m/>
    <m/>
    <m/>
    <m/>
    <m/>
    <m/>
    <m/>
    <m/>
    <m/>
    <m/>
    <m/>
    <m/>
    <m/>
    <m/>
    <m/>
    <m/>
    <m/>
    <m/>
    <m/>
    <m/>
    <m/>
    <m/>
    <m/>
    <m/>
    <m/>
    <m/>
    <m/>
    <m/>
    <m/>
    <m/>
    <m/>
    <m/>
    <m/>
    <m/>
    <n v="8672"/>
    <n v="10041"/>
    <n v="18713"/>
    <n v="43360"/>
    <n v="50205"/>
    <n v="93565"/>
    <s v="NO"/>
    <m/>
    <m/>
    <m/>
    <s v="NO"/>
    <m/>
    <m/>
    <m/>
    <s v="NO"/>
    <m/>
    <m/>
    <m/>
    <s v="NO"/>
    <m/>
    <m/>
    <m/>
    <s v="YES"/>
    <n v="11890"/>
    <n v="0.52"/>
    <n v="59450"/>
    <s v="NO"/>
    <m/>
    <m/>
    <m/>
    <s v="NO"/>
    <m/>
    <m/>
    <m/>
    <s v="NO"/>
    <m/>
    <m/>
    <m/>
    <s v="NO"/>
    <m/>
    <m/>
    <m/>
    <s v="NO"/>
    <m/>
    <m/>
    <m/>
    <s v="NO"/>
    <m/>
    <m/>
    <m/>
    <s v="NO"/>
    <m/>
    <m/>
    <m/>
    <s v="NO"/>
    <m/>
    <m/>
    <m/>
    <s v="NO"/>
    <m/>
    <m/>
    <m/>
    <s v="NO"/>
    <m/>
    <m/>
    <m/>
    <s v="NO"/>
    <m/>
    <m/>
    <m/>
    <m/>
    <m/>
    <m/>
    <m/>
    <m/>
    <s v="NO"/>
    <m/>
    <m/>
    <m/>
    <s v="YES"/>
    <s v="September"/>
    <n v="2017"/>
    <s v="Livelihoods for Resilience Activity is a new project that launched at mid of the fiscal year. In order to track the progress of the project, baseline survey will be conducted in the coming fiscal year. During time of compiling this freport, shartlisting potential consultant who could do the survey was finalized. Atthis point of time it won't be possible to provide detail information regarding methodological issue of this survey."/>
    <x v="0"/>
    <m/>
    <m/>
    <m/>
    <m/>
    <m/>
    <m/>
    <m/>
    <m/>
    <m/>
    <x v="0"/>
    <m/>
    <x v="0"/>
    <m/>
    <x v="1"/>
    <x v="1"/>
    <s v="YES"/>
    <x v="0"/>
    <x v="0"/>
    <x v="0"/>
    <x v="2"/>
    <n v="4"/>
    <x v="1"/>
    <x v="1"/>
    <x v="1"/>
    <x v="1"/>
    <x v="0"/>
    <x v="1"/>
    <n v="3"/>
    <x v="1"/>
    <x v="1"/>
    <x v="1"/>
    <x v="1"/>
    <x v="1"/>
    <n v="3"/>
    <x v="0"/>
    <x v="3"/>
    <n v="5"/>
    <s v="International NGO(s)"/>
    <s v="Local NGO(s)/CSO(s)"/>
    <m/>
    <x v="1"/>
    <m/>
    <s v="no adjustment has been made so far"/>
    <s v="''VESA groups'' serving as a plat form to bring social transformation and build the resilience capacity of target households"/>
    <s v="using role models testimonies in order to inspire households to make changes in their savings habits, livelihoods investments, nutrition practices, and gender norms."/>
    <s v="Collaboration and layering plan helped the project to identify other projects, and areas of integration which inturn facilitate replication of impact"/>
    <s v="Since the project was at start up phase, lessons and or best practices will be collected and reported in the up coming project period."/>
    <m/>
    <m/>
    <m/>
    <s v="Quarterly progress report"/>
    <n v="18713"/>
    <n v="93565"/>
    <n v="5"/>
    <n v="0.46342115107144766"/>
    <n v="0.46342115107144766"/>
    <n v="8672"/>
    <n v="43360"/>
    <s v=""/>
    <n v="0"/>
    <n v="0"/>
    <s v=""/>
    <n v="1"/>
    <n v="11890"/>
    <n v="59450"/>
    <n v="5"/>
    <s v=""/>
    <n v="0"/>
    <n v="0"/>
    <s v=""/>
    <s v=""/>
    <n v="0"/>
    <n v="0"/>
    <s v=""/>
    <n v="1"/>
    <n v="6182.8"/>
    <n v="30914"/>
    <n v="5"/>
    <s v="4. Transformative"/>
    <s v="2. Accommodating"/>
    <s v="2. Sensitive"/>
    <s v="It did not develop any specific innovation"/>
    <s v="Little or no advocacy"/>
    <s v="It did not take tested solutions to scale"/>
  </r>
  <r>
    <x v="23"/>
    <x v="3"/>
    <m/>
    <s v="Nutrition at the center"/>
    <s v="Ethiopia"/>
    <s v="SALLET0001"/>
    <s v="CARE USA"/>
    <s v="Foundation"/>
    <s v="Other"/>
    <s v="Sall Family Foundation"/>
    <m/>
    <m/>
    <m/>
    <m/>
    <m/>
    <m/>
    <m/>
    <m/>
    <m/>
    <m/>
    <m/>
    <m/>
    <m/>
    <m/>
    <m/>
    <m/>
    <m/>
    <m/>
    <m/>
    <m/>
    <m/>
    <m/>
    <m/>
    <m/>
    <m/>
    <m/>
    <m/>
    <m/>
    <m/>
    <m/>
    <m/>
    <m/>
    <m/>
    <m/>
    <m/>
    <m/>
    <m/>
    <m/>
    <m/>
    <m/>
    <m/>
    <m/>
    <m/>
    <m/>
    <m/>
    <d v="2014-01-01T00:00:00"/>
    <d v="2017-12-31T00:00:00"/>
    <m/>
    <s v="Development Food &amp; Nutrition Security and Resilience to Climate Change"/>
    <n v="1296580"/>
    <s v="Alem Agazi"/>
    <s v="SRH and Nutrition unit coordinantors"/>
    <s v="Alem.Agazi@care.org"/>
    <s v="Sisay Mengesha"/>
    <s v="Nutrition at the center manager"/>
    <s v="Sisay.Mengesha@care.org"/>
    <s v="NO"/>
    <s v="YES"/>
    <s v="NO"/>
    <s v="Improve nutrition status of women of  reproductive age and children under two  years of age by reducing stunting among children and anemia among mothers of reproductive age and under two children"/>
    <s v="Sub-National"/>
    <s v="Ebinet and Simada Woredas of South Gonder Zone of Amhara Regional State"/>
    <s v="Mothers with reproductive age (15-49) and children under two years of age"/>
    <n v="75825"/>
    <n v="8482"/>
    <n v="84307"/>
    <n v="36576"/>
    <n v="76866"/>
    <n v="113442"/>
    <s v="The direct beneficiairieries are  women of reproductive age group 15 to 49 years old of 67,675 and children under two years both girls and boys of 16,632.and the indirect beneficiaries are 113,442. The caluculation is done based on  the total population of  women and girls in Ebinet and Simada-254,552. of which 24.1% are women of reporductive age, which equal to 61,347 , howerver based on evidance given by the woredas the estimated number of women of reproductive age is 61,347 and similarly under two children are 16,632.The indirect beneficiaries of the program include household members who live with the direct beneficiaries, who are estimated to be 113,442 (male = 76,866, female= 36,576)."/>
    <m/>
    <m/>
    <m/>
    <m/>
    <m/>
    <m/>
    <m/>
    <m/>
    <m/>
    <m/>
    <m/>
    <m/>
    <m/>
    <m/>
    <m/>
    <m/>
    <m/>
    <m/>
    <m/>
    <m/>
    <m/>
    <m/>
    <m/>
    <m/>
    <m/>
    <m/>
    <m/>
    <m/>
    <m/>
    <m/>
    <m/>
    <m/>
    <m/>
    <m/>
    <m/>
    <m/>
    <m/>
    <m/>
    <m/>
    <m/>
    <m/>
    <m/>
    <m/>
    <m/>
    <m/>
    <m/>
    <m/>
    <m/>
    <m/>
    <m/>
    <m/>
    <m/>
    <m/>
    <m/>
    <m/>
    <m/>
    <m/>
    <m/>
    <m/>
    <m/>
    <n v="48640"/>
    <n v="131"/>
    <n v="48771"/>
    <n v="5167"/>
    <n v="8958"/>
    <n v="14125"/>
    <s v="YES"/>
    <n v="291"/>
    <n v="1"/>
    <m/>
    <s v="NO"/>
    <m/>
    <m/>
    <m/>
    <s v="NO"/>
    <m/>
    <m/>
    <m/>
    <s v="NO"/>
    <m/>
    <m/>
    <m/>
    <s v="NO"/>
    <m/>
    <m/>
    <m/>
    <s v="NO"/>
    <m/>
    <m/>
    <m/>
    <s v="YES"/>
    <n v="1291"/>
    <n v="1"/>
    <m/>
    <s v="NO"/>
    <m/>
    <m/>
    <m/>
    <s v="YES"/>
    <n v="51178"/>
    <n v="0.97"/>
    <m/>
    <s v="YES"/>
    <n v="30"/>
    <n v="1"/>
    <m/>
    <s v="NO"/>
    <m/>
    <m/>
    <m/>
    <s v="NO"/>
    <m/>
    <m/>
    <m/>
    <s v="NO"/>
    <m/>
    <m/>
    <m/>
    <s v="NO"/>
    <m/>
    <m/>
    <m/>
    <s v="YES"/>
    <n v="2080"/>
    <n v="0.43"/>
    <m/>
    <s v="YES"/>
    <n v="18736"/>
    <n v="1"/>
    <m/>
    <m/>
    <m/>
    <m/>
    <m/>
    <m/>
    <s v="NO"/>
    <m/>
    <m/>
    <s v="NO"/>
    <s v="YES"/>
    <s v="October"/>
    <n v="2017"/>
    <s v="The futrue evaluation is the project final evaluation to measures program effects in the target population by assessing the progress in the outcomes or outcome objectives that the program is to achieve."/>
    <x v="1"/>
    <s v="NO"/>
    <s v="NO"/>
    <s v="YES"/>
    <s v="YES"/>
    <s v="NO"/>
    <s v="NO"/>
    <s v="NO"/>
    <s v="NO"/>
    <m/>
    <x v="0"/>
    <m/>
    <x v="3"/>
    <s v="We promote food diversity  for target beneficiaries through awarness raising and support poultry and vegetable and fruit seedlings to increase access to dietary diversity."/>
    <x v="0"/>
    <x v="1"/>
    <s v="YES"/>
    <x v="0"/>
    <x v="0"/>
    <x v="0"/>
    <x v="2"/>
    <n v="4"/>
    <x v="1"/>
    <x v="1"/>
    <x v="1"/>
    <x v="1"/>
    <x v="1"/>
    <x v="1"/>
    <n v="4"/>
    <x v="1"/>
    <x v="1"/>
    <x v="1"/>
    <x v="1"/>
    <x v="1"/>
    <n v="3"/>
    <x v="2"/>
    <x v="3"/>
    <n v="6"/>
    <s v="Local government(s)"/>
    <s v="University/research institution(s)"/>
    <s v="Media or journalist network(s)"/>
    <x v="1"/>
    <m/>
    <s v="Engaging religious leaders to teach the population  on the importance of feeding pregnant and lactating women with diversified foods, using pit latrines, women and equality.Husbands have started to give priority to their wives in providing adequate diversified foods, husbands gave space to their wives for day time rest by partaking in household chores."/>
    <s v="M2M, VSLA and SAA platforms are found to be a good communication media in bringing the intended behavioural chang"/>
    <s v="Strong ,bright child and healthy  mother's day/Village Model event to ensure N@C's targeted beneficiaries have access to comprehensive services"/>
    <s v="Engaging religious leaders to teach on key nutrition related  messages  to the population during  Sunday mass and  church specific holidays and funeral events."/>
    <s v="Working with community level structures such as Women Health Development Armies/M2M groups is found promising to implement nutrition related programs"/>
    <s v="Working with the local university ( Bahardar University ) on  wild edible plants and its contribution for maternal and child nutrition and on promotion is  promising activities in  securing food in area where  draought affected"/>
    <s v="Using religious leaders is also the other promising practice to realize adequate nutrition for pregnant and lactating women. Religious leaders engagement in teaching the mass can accelerate the progresses of positive nutritional out comes. Religious leaders are high acceptance in community - pregnant women become reliable to eat animal products in time of fasting, men have changed their attitude, become interested to provide support to their wives and children for better nutritional out comes."/>
    <m/>
    <m/>
    <n v="48771"/>
    <n v="14125"/>
    <n v="0.28961883086260276"/>
    <n v="0.99731397756863704"/>
    <n v="0.36580530973451325"/>
    <n v="48640"/>
    <n v="5167"/>
    <s v=""/>
    <n v="0"/>
    <n v="0"/>
    <s v=""/>
    <n v="1"/>
    <n v="2080"/>
    <n v="0"/>
    <n v="0"/>
    <s v=""/>
    <n v="0"/>
    <n v="0"/>
    <s v=""/>
    <s v=""/>
    <n v="0"/>
    <n v="0"/>
    <s v=""/>
    <n v="1"/>
    <n v="18736"/>
    <n v="0"/>
    <n v="0"/>
    <s v="4. Transformative"/>
    <s v="2. Accommodating"/>
    <s v="2. Sensitive"/>
    <s v="It did not develop any specific innovation"/>
    <s v="Moderate advocacy"/>
    <s v="It took tested solutions to scale on its own"/>
  </r>
  <r>
    <x v="23"/>
    <x v="3"/>
    <m/>
    <s v="Pastoralist Afar girls' education support (PAGES)"/>
    <s v="Ethiopia"/>
    <s v="CGBRET0043, GB234"/>
    <s v="CARE UK"/>
    <s v="Government"/>
    <s v="Government - UK"/>
    <s v="DFID"/>
    <m/>
    <m/>
    <m/>
    <m/>
    <m/>
    <m/>
    <m/>
    <m/>
    <m/>
    <m/>
    <m/>
    <m/>
    <m/>
    <m/>
    <m/>
    <m/>
    <m/>
    <m/>
    <m/>
    <m/>
    <m/>
    <m/>
    <m/>
    <m/>
    <m/>
    <m/>
    <m/>
    <m/>
    <m/>
    <m/>
    <m/>
    <m/>
    <m/>
    <m/>
    <m/>
    <m/>
    <m/>
    <m/>
    <m/>
    <m/>
    <m/>
    <m/>
    <m/>
    <m/>
    <m/>
    <d v="2013-03-01T00:00:00"/>
    <d v="2016-12-31T00:00:00"/>
    <m/>
    <s v="Development Other"/>
    <n v="426131"/>
    <s v="Alem Agazi"/>
    <s v="SRH and Nutrition Coordinators"/>
    <s v="Alem.Agazi@care.org"/>
    <s v="Zemed Yemenu"/>
    <s v="Project Manager"/>
    <s v="zemed.yimenu@care.org"/>
    <s v="NO"/>
    <s v="YES"/>
    <s v="NO"/>
    <s v="To contribute to the improvement of 18,500 girls' life chances in Afar through achievement of their rights to education."/>
    <s v="Sub-National"/>
    <s v="Eight woredas (Dewe, Adear, Mile, Semurobi, Hadelela, Chifra, Gewane and Burimedayitu woredas) of Afar region of Ethiopia"/>
    <s v="Marginalized pastoralist girls"/>
    <n v="18500"/>
    <m/>
    <n v="18500"/>
    <m/>
    <m/>
    <m/>
    <m/>
    <m/>
    <m/>
    <m/>
    <m/>
    <m/>
    <m/>
    <m/>
    <m/>
    <m/>
    <m/>
    <m/>
    <m/>
    <m/>
    <m/>
    <m/>
    <m/>
    <m/>
    <m/>
    <m/>
    <m/>
    <m/>
    <m/>
    <m/>
    <m/>
    <m/>
    <m/>
    <m/>
    <m/>
    <m/>
    <m/>
    <m/>
    <m/>
    <m/>
    <m/>
    <m/>
    <m/>
    <m/>
    <m/>
    <m/>
    <m/>
    <m/>
    <m/>
    <m/>
    <m/>
    <m/>
    <m/>
    <m/>
    <m/>
    <m/>
    <m/>
    <m/>
    <m/>
    <m/>
    <m/>
    <m/>
    <m/>
    <m/>
    <m/>
    <m/>
    <m/>
    <m/>
    <m/>
    <m/>
    <m/>
    <m/>
    <m/>
    <s v="NO"/>
    <m/>
    <m/>
    <m/>
    <s v="NO"/>
    <m/>
    <m/>
    <m/>
    <s v="NO"/>
    <m/>
    <m/>
    <m/>
    <s v="NO"/>
    <m/>
    <m/>
    <m/>
    <s v="NO"/>
    <m/>
    <m/>
    <m/>
    <s v="YES"/>
    <m/>
    <m/>
    <m/>
    <s v="NO"/>
    <m/>
    <m/>
    <m/>
    <s v="YES"/>
    <m/>
    <m/>
    <m/>
    <s v="YES"/>
    <n v="625"/>
    <n v="1"/>
    <m/>
    <s v="NO"/>
    <m/>
    <m/>
    <m/>
    <s v="NO"/>
    <m/>
    <m/>
    <m/>
    <s v="NO"/>
    <m/>
    <m/>
    <m/>
    <s v="NO"/>
    <m/>
    <m/>
    <m/>
    <s v="YES"/>
    <m/>
    <m/>
    <m/>
    <s v="NO"/>
    <m/>
    <m/>
    <m/>
    <s v="YES"/>
    <n v="1104"/>
    <n v="1"/>
    <m/>
    <s v="Social Analysis and action"/>
    <s v="YES"/>
    <m/>
    <m/>
    <m/>
    <s v="YES"/>
    <s v="October"/>
    <n v="2016"/>
    <m/>
    <m/>
    <m/>
    <m/>
    <m/>
    <x v="3"/>
    <m/>
    <m/>
    <m/>
    <m/>
    <m/>
    <m/>
    <m/>
    <m/>
    <m/>
    <x v="1"/>
    <m/>
    <x v="0"/>
    <m/>
    <x v="3"/>
    <x v="0"/>
    <s v="YES"/>
    <x v="0"/>
    <x v="0"/>
    <x v="0"/>
    <x v="0"/>
    <n v="4"/>
    <x v="1"/>
    <x v="1"/>
    <x v="1"/>
    <x v="1"/>
    <x v="1"/>
    <x v="1"/>
    <n v="4"/>
    <x v="1"/>
    <x v="1"/>
    <x v="1"/>
    <x v="1"/>
    <x v="1"/>
    <n v="3"/>
    <x v="1"/>
    <x v="4"/>
    <m/>
    <m/>
    <m/>
    <m/>
    <x v="3"/>
    <m/>
    <m/>
    <s v="• Having strong partnership between the woreda implementing consortium member and government partners is helped to implment the project implmentation activities at  community level"/>
    <s v="Creating the room for reviewing achievements with the SAA facilitator is important to share experiences among the facilitators and provide support and guidance for the challenges raised. It will also contribute for handing over of the project results to the woreda partners."/>
    <m/>
    <s v="•  Maintaining a monthly woreda level review meeting between implementing project staffs and woreda partners is also important to follow the progress of our intervention and took timely action for the challenges observed"/>
    <s v="• Due to the current drought and lack of regular follow up most of currently assessed SAAs and VSLAs are not functioning to the desired level. Hence it would be helpful for CARE and implementing consortium to critical analyse the assessments result and provide support based on their gaps and needs"/>
    <s v="• Assigning responsible project staffs and woreda partner for each SAA and VSLA groups is crucial so as to let the responsible person to be accountable for the success and failure of the groups. Hence initiating this is an important step to improve our impact on the larger community."/>
    <m/>
    <m/>
    <n v="0"/>
    <n v="0"/>
    <s v=""/>
    <s v=""/>
    <s v=""/>
    <n v="0"/>
    <n v="0"/>
    <s v=""/>
    <n v="0"/>
    <n v="0"/>
    <s v=""/>
    <s v=""/>
    <n v="0"/>
    <n v="0"/>
    <s v=""/>
    <n v="1"/>
    <n v="0"/>
    <n v="0"/>
    <s v=""/>
    <n v="1"/>
    <n v="0"/>
    <n v="0"/>
    <s v=""/>
    <n v="1"/>
    <n v="1104"/>
    <n v="0"/>
    <n v="0"/>
    <s v="2. Sensitive"/>
    <s v="2. Accommodating"/>
    <s v="2. Sensitive"/>
    <s v="It tested new ways for fighting poverty, but did not measure results of innovation"/>
    <n v="0"/>
    <s v="It did not take tested solutions to scale"/>
  </r>
  <r>
    <x v="23"/>
    <x v="3"/>
    <s v="CCANET0028"/>
    <s v="POWER Africa: Promoting Opportunities for Women's Economic Empowerment in Rural Africa"/>
    <s v="Ethiopia"/>
    <s v="CCANET0028"/>
    <s v="CARE Canada"/>
    <s v="Foundation"/>
    <s v="Other"/>
    <s v="MasterCard Foundation"/>
    <m/>
    <m/>
    <m/>
    <m/>
    <m/>
    <m/>
    <m/>
    <m/>
    <m/>
    <m/>
    <m/>
    <m/>
    <m/>
    <m/>
    <m/>
    <m/>
    <m/>
    <m/>
    <m/>
    <m/>
    <m/>
    <m/>
    <m/>
    <m/>
    <m/>
    <m/>
    <m/>
    <m/>
    <m/>
    <m/>
    <m/>
    <m/>
    <m/>
    <m/>
    <m/>
    <m/>
    <m/>
    <m/>
    <m/>
    <m/>
    <m/>
    <m/>
    <m/>
    <m/>
    <m/>
    <d v="2013-11-01T00:00:00"/>
    <d v="2017-12-31T00:00:00"/>
    <m/>
    <s v="Development Access to and Control over Economic Resources"/>
    <n v="2156507.69"/>
    <s v="Helal Haque"/>
    <s v="Chief of Party"/>
    <s v="helal.haque@care.org"/>
    <s v="Natthan Samson"/>
    <s v="LDM specialist"/>
    <s v="nathan.samson@care.org"/>
    <s v="NO"/>
    <s v="YES"/>
    <s v="NO"/>
    <s v="Increase financial inclusion for 75,000 individuals and their families"/>
    <s v="Multiple countries"/>
    <s v="Amhara region, South Gonder Zone, Ebinat, Tach Gayint and Simada district, Oromiya region east Harerge Zone Kurfachele, Meta, Deder and Haromaya district, Oromiya region in west Harerge Zone, Messela, Tullo, Odabultum, Doba districts"/>
    <s v="Chronically Food Insecure Rural Women"/>
    <n v="52500"/>
    <n v="22500"/>
    <n v="75000"/>
    <n v="153000"/>
    <n v="147000"/>
    <n v="300000"/>
    <m/>
    <m/>
    <m/>
    <m/>
    <m/>
    <m/>
    <m/>
    <m/>
    <m/>
    <m/>
    <m/>
    <m/>
    <m/>
    <m/>
    <m/>
    <m/>
    <m/>
    <m/>
    <m/>
    <m/>
    <m/>
    <m/>
    <m/>
    <m/>
    <m/>
    <m/>
    <m/>
    <m/>
    <m/>
    <m/>
    <m/>
    <m/>
    <m/>
    <m/>
    <m/>
    <m/>
    <m/>
    <m/>
    <m/>
    <m/>
    <m/>
    <m/>
    <m/>
    <m/>
    <m/>
    <m/>
    <m/>
    <m/>
    <m/>
    <m/>
    <m/>
    <m/>
    <m/>
    <m/>
    <m/>
    <m/>
    <m/>
    <m/>
    <m/>
    <m/>
    <m/>
    <n v="52500"/>
    <n v="22500"/>
    <n v="75000"/>
    <n v="175984"/>
    <n v="95580"/>
    <n v="271564"/>
    <s v="NO"/>
    <m/>
    <m/>
    <m/>
    <s v="NO"/>
    <m/>
    <m/>
    <m/>
    <s v="NO"/>
    <m/>
    <m/>
    <m/>
    <s v="NO"/>
    <m/>
    <m/>
    <m/>
    <s v="YES"/>
    <n v="67891"/>
    <n v="0.65"/>
    <n v="271564"/>
    <s v="NO"/>
    <m/>
    <m/>
    <m/>
    <s v="NO"/>
    <m/>
    <m/>
    <m/>
    <s v="NO"/>
    <m/>
    <m/>
    <m/>
    <s v="NO"/>
    <m/>
    <m/>
    <m/>
    <s v="NO"/>
    <m/>
    <m/>
    <m/>
    <s v="NO"/>
    <m/>
    <m/>
    <m/>
    <s v="NO"/>
    <m/>
    <m/>
    <m/>
    <s v="NO"/>
    <m/>
    <m/>
    <m/>
    <s v="NO"/>
    <m/>
    <m/>
    <m/>
    <s v="NO"/>
    <m/>
    <m/>
    <m/>
    <s v="YES"/>
    <n v="67891"/>
    <n v="0.65"/>
    <n v="271564"/>
    <m/>
    <m/>
    <m/>
    <m/>
    <m/>
    <s v="NO"/>
    <m/>
    <m/>
    <s v="NO"/>
    <s v="YES"/>
    <s v="November"/>
    <n v="2017"/>
    <s v="End line assessment"/>
    <x v="0"/>
    <s v="NO"/>
    <s v="NO"/>
    <s v="YES"/>
    <s v="YES"/>
    <s v="NO"/>
    <s v="YES"/>
    <s v="NO"/>
    <s v="NO"/>
    <m/>
    <x v="2"/>
    <m/>
    <x v="3"/>
    <m/>
    <x v="1"/>
    <x v="0"/>
    <s v="YES"/>
    <x v="0"/>
    <x v="0"/>
    <x v="0"/>
    <x v="0"/>
    <n v="4"/>
    <x v="1"/>
    <x v="1"/>
    <x v="1"/>
    <x v="1"/>
    <x v="1"/>
    <x v="1"/>
    <n v="4"/>
    <x v="1"/>
    <x v="1"/>
    <x v="1"/>
    <x v="1"/>
    <x v="1"/>
    <n v="3"/>
    <x v="0"/>
    <x v="0"/>
    <m/>
    <s v="Local government(s)"/>
    <s v="Local NGO(s)/CSO(s)"/>
    <m/>
    <x v="2"/>
    <s v="Capacity building training"/>
    <m/>
    <m/>
    <m/>
    <m/>
    <s v="VSLA has contrubuted for the formation and strengthining of RUSACCO"/>
    <s v="Some VSLA members have more saving and demanding larger loan sizes that will enable them to engage in different IGA activites"/>
    <m/>
    <m/>
    <s v="AP, MIS data , annual report, and outcome survey brief"/>
    <n v="75000"/>
    <n v="271564"/>
    <n v="3.6208533333333333"/>
    <n v="0.7"/>
    <n v="0.64803876802521687"/>
    <n v="52500"/>
    <n v="175984"/>
    <s v=""/>
    <n v="0"/>
    <n v="0"/>
    <s v=""/>
    <n v="1"/>
    <n v="67891"/>
    <n v="271564"/>
    <n v="4"/>
    <s v=""/>
    <n v="0"/>
    <n v="0"/>
    <s v=""/>
    <s v=""/>
    <n v="0"/>
    <n v="0"/>
    <s v=""/>
    <n v="1"/>
    <n v="67891"/>
    <n v="271564"/>
    <n v="4"/>
    <s v="2. Sensitive"/>
    <s v="2. Accommodating"/>
    <s v="2. Sensitive"/>
    <s v="It tested new ways for fighting poverty and measured results of innovation"/>
    <s v="Little or no advocacy"/>
    <s v="It took tested solutions to scale on its own"/>
  </r>
  <r>
    <x v="23"/>
    <x v="3"/>
    <m/>
    <s v="PRIME (Pastoralist Areas Resilience Improvement and Market Expansion)"/>
    <s v="Ethiopia"/>
    <m/>
    <s v="CARE USA"/>
    <s v="Government"/>
    <s v="Other"/>
    <s v="USAID"/>
    <m/>
    <m/>
    <m/>
    <m/>
    <m/>
    <m/>
    <m/>
    <m/>
    <m/>
    <m/>
    <m/>
    <m/>
    <m/>
    <m/>
    <m/>
    <m/>
    <m/>
    <m/>
    <m/>
    <m/>
    <m/>
    <m/>
    <m/>
    <m/>
    <m/>
    <m/>
    <m/>
    <m/>
    <m/>
    <m/>
    <m/>
    <m/>
    <m/>
    <m/>
    <m/>
    <m/>
    <m/>
    <m/>
    <m/>
    <m/>
    <m/>
    <m/>
    <m/>
    <m/>
    <m/>
    <d v="2012-10-14T00:00:00"/>
    <d v="2017-10-14T00:00:00"/>
    <d v="2018-07-30T00:00:00"/>
    <s v="Development Food &amp; Nutrition Security and Resilience to Climate Change"/>
    <n v="11700000"/>
    <s v="Benedict Irwin"/>
    <s v="PRIME Program Manager"/>
    <s v="Ben.irwin@care.org"/>
    <m/>
    <m/>
    <m/>
    <s v="NO"/>
    <s v="YES"/>
    <s v="NO"/>
    <s v="Enhanced Pastoralists’ Adaptation to Climate Change and  Increase Household Incomes"/>
    <s v="Sub-National"/>
    <s v="Oromia, Afar and Somali regions of Ethiopia"/>
    <s v="Pastoral School Age Girls"/>
    <n v="892500"/>
    <n v="857500"/>
    <n v="1750000"/>
    <m/>
    <m/>
    <n v="1750000"/>
    <s v="Direct Beneficiaries: Pastoralists and agro-pastoralist households who directly involve in PRIME project activities. These includes, VSLA members, Milk collectors, Rangeland system members who are directly benefited from Livestock productivity and marketing interventions, NRM and CCA activities, Self and recruited employment opportunities to youth transitioning out Pastoralism in private sectors, Nutrition interventions etc. PRIME calculates its direct beneficiary households, not individuals. However, according the project baseline report, the average household size in its implementation area is thought to be seven (7). Hence, we multiplied the total households reached during the fiscal year by seven (7). To segregate the number of women and men beneficiaries, we used 51% and 49% respectively according to the national population survey report (2007)._x000a_Indirect Beneficiaries: PRIME has been working with different intuitions such as Afar Micro Finance, Addis Kidan milk processor, Private veterinary Pharmacies, livestock trader and other business institutions to create access to finance, market and animal health etc. According to the project M&amp;E plan, these intuitions are not accounted as direct or indirect beneficiaries, but as number of intuitions supported."/>
    <m/>
    <m/>
    <m/>
    <m/>
    <m/>
    <m/>
    <m/>
    <s v="NO"/>
    <m/>
    <m/>
    <m/>
    <s v="NO"/>
    <m/>
    <m/>
    <m/>
    <s v="NO"/>
    <m/>
    <m/>
    <m/>
    <s v="NO"/>
    <m/>
    <m/>
    <m/>
    <s v="NO"/>
    <m/>
    <m/>
    <m/>
    <s v="NO"/>
    <m/>
    <m/>
    <m/>
    <s v="NO"/>
    <m/>
    <m/>
    <m/>
    <s v="NO"/>
    <m/>
    <m/>
    <m/>
    <s v="NO"/>
    <m/>
    <m/>
    <m/>
    <s v="NO"/>
    <m/>
    <m/>
    <m/>
    <s v="NO"/>
    <m/>
    <m/>
    <m/>
    <s v="NO"/>
    <m/>
    <m/>
    <m/>
    <m/>
    <m/>
    <m/>
    <m/>
    <m/>
    <n v="94619"/>
    <n v="62244"/>
    <n v="156863"/>
    <m/>
    <m/>
    <m/>
    <s v="NO"/>
    <m/>
    <m/>
    <m/>
    <s v="YES"/>
    <n v="7553"/>
    <n v="0.25"/>
    <m/>
    <s v="NO"/>
    <m/>
    <m/>
    <m/>
    <s v="YES"/>
    <n v="7553"/>
    <n v="0.25"/>
    <m/>
    <s v="YES"/>
    <n v="53886"/>
    <n v="0.59899999999999998"/>
    <m/>
    <s v="NO"/>
    <m/>
    <m/>
    <m/>
    <s v="YES"/>
    <n v="110222"/>
    <n v="0.54"/>
    <m/>
    <s v="NO"/>
    <m/>
    <m/>
    <m/>
    <s v="NO"/>
    <m/>
    <m/>
    <m/>
    <s v="NO"/>
    <m/>
    <m/>
    <m/>
    <s v="NO"/>
    <m/>
    <m/>
    <m/>
    <s v="YES"/>
    <n v="777"/>
    <n v="0.24"/>
    <m/>
    <s v="NO"/>
    <m/>
    <m/>
    <m/>
    <s v="NO"/>
    <m/>
    <m/>
    <m/>
    <s v="NO"/>
    <m/>
    <m/>
    <m/>
    <s v="NO"/>
    <m/>
    <m/>
    <m/>
    <m/>
    <s v="NO"/>
    <m/>
    <m/>
    <m/>
    <s v="YES"/>
    <s v="June"/>
    <n v="2017"/>
    <s v="YES"/>
    <s v="YES"/>
    <s v="October"/>
    <n v="2017"/>
    <s v="The End line evaluation has already been conducted on June, 2017. However, compilation of the report is yet to be finalized on October, 2017"/>
    <x v="0"/>
    <s v="NO"/>
    <s v="NO"/>
    <s v="YES"/>
    <s v="NO"/>
    <s v="YES"/>
    <s v="NO"/>
    <s v="NO"/>
    <s v="NO"/>
    <m/>
    <x v="2"/>
    <s v="PRIME project works to expand input and output market opportunities to poor pastoralist households in Ethiopia's Dry land by partnering up with local private business development; like Private Veterinary Pharmacy expansion to enhance pastoralist access to animal health and also feeds. The project also supported set markets for pastoralist by improving local livestock markets infrastructure and increase linkages with milk processing companies; like Addis Kidan which is more sustainable than direct service delivery. The project measured these integrated interventions that has resulted in household income and resilience capacities even in the presence of frequent drought in its implementation areas."/>
    <x v="3"/>
    <s v="PRIME project by itself is implemented through multi stakeholders and work closely with government institutions such as NMA and DRM._x000a_PSP (Participatory Scenario Planning): PRIME provides information service that is down skilled, blended, and contextualized for its end users (pastoralists, local government, local businesses and farmers) through creating a link for indigenous forecasters in the community and metrological forecasts to be blended and disseminated in a user friendly manner. _x000a_SAA (The project organized both men and women groups that focus on behavioural change regarding adaptation like water conservation before dry seasons, saving and other gender cross cutting issues as early marriage etc.)_x000a_VSLA:  Unlike the traditional village saving and loan associations, the project helps its beneficiaries save by making institutional and systematic saving accessible._x000a_NRM-PRM (Participatory Rangeland Management): Conservation of rangeland through participation of community, government and stakeholders, a process which has three phases (investigation, negotiation and implementation phases) and 10 steps._x000a_Step1. Rangeland resource identification 2. Participatory mapping 3. Institutional Analysis 4. Map digitalization and verification 5. Institutional strengthening 6. Community rangeland management plan and bylaw development 7. Legitimizing the plans and bylaws with stakeholders 8. Building stakeholders’ capacity 9. Support implementation of management plan by stakeholders 10. Monitoring and evaluation"/>
    <x v="3"/>
    <x v="1"/>
    <s v="YES"/>
    <x v="0"/>
    <x v="0"/>
    <x v="1"/>
    <x v="4"/>
    <n v="3"/>
    <x v="2"/>
    <x v="1"/>
    <x v="0"/>
    <x v="1"/>
    <x v="1"/>
    <x v="5"/>
    <n v="3"/>
    <x v="3"/>
    <x v="1"/>
    <x v="1"/>
    <x v="1"/>
    <x v="4"/>
    <n v="3"/>
    <x v="3"/>
    <x v="2"/>
    <n v="9"/>
    <s v="Local NGO(s)/CSO(s)"/>
    <s v="Grassroots organization(s)"/>
    <s v="Local government(s)"/>
    <x v="0"/>
    <s v="CARE PRIME project grated three local NGOs, namely AISDA, SOS SAHEL and FSA to implemented PRIME project in Afar and Oromia regions. Besides, CARE gave technical suppport to these local NGOs in strenthening their financial management, human resource development and leadership skills."/>
    <s v="The total budget that was modified for the 12th time. Crisis Modifier applied to drought situation in Eastern and Southern Clusters"/>
    <s v="Participatory Rangeland Management"/>
    <s v="Participatory Senario Planning"/>
    <s v="VSLA/SAA"/>
    <s v="Observed behavioural changes regarding culture of saving and spending as a result of dialogs from SAA groups"/>
    <s v="Institutionalisation of PSP catalysed by exhange visit to Kenya projects"/>
    <s v="Need to biulding close collaborative and learning relationships with Government at the Federal and Regional levels"/>
    <m/>
    <s v="PRIME Quarter 17, 18 and 19 reports, PRIME Project Proposal and http://prime.ki-projects.com/Home.aspx"/>
    <n v="156863"/>
    <n v="0"/>
    <n v="0"/>
    <n v="0.60319514480788972"/>
    <s v=""/>
    <n v="94619"/>
    <n v="0"/>
    <s v=""/>
    <n v="0"/>
    <n v="0"/>
    <s v=""/>
    <n v="1"/>
    <n v="110222"/>
    <n v="0"/>
    <n v="0"/>
    <s v=""/>
    <n v="0"/>
    <n v="0"/>
    <s v=""/>
    <s v=""/>
    <n v="0"/>
    <n v="0"/>
    <s v=""/>
    <n v="1"/>
    <n v="32277.714"/>
    <n v="0"/>
    <n v="0"/>
    <s v="3. Responsive"/>
    <s v="3. Responsive"/>
    <s v="4. Transformative"/>
    <s v="It tested new ways for fighting poverty and measured results of innovation"/>
    <s v="Little or no advocacy"/>
    <s v="It took tested solutions to scale on its own"/>
  </r>
  <r>
    <x v="23"/>
    <x v="3"/>
    <m/>
    <s v="Resilience building &amp; creation of Economic opportunities in Ethiopia"/>
    <s v="Ethiopia"/>
    <s v="CNLDET0018"/>
    <s v="CARE Nederland"/>
    <s v="Multilateral agency"/>
    <s v="EU - European Union (other than ECHO)"/>
    <s v="EU"/>
    <m/>
    <m/>
    <m/>
    <m/>
    <m/>
    <m/>
    <m/>
    <m/>
    <m/>
    <m/>
    <m/>
    <m/>
    <m/>
    <m/>
    <m/>
    <m/>
    <m/>
    <m/>
    <m/>
    <m/>
    <m/>
    <m/>
    <m/>
    <m/>
    <m/>
    <m/>
    <m/>
    <m/>
    <m/>
    <m/>
    <m/>
    <m/>
    <m/>
    <m/>
    <m/>
    <m/>
    <m/>
    <m/>
    <m/>
    <m/>
    <m/>
    <m/>
    <m/>
    <m/>
    <m/>
    <d v="2017-03-01T00:00:00"/>
    <d v="2020-02-29T00:00:00"/>
    <d v="2020-08-31T00:00:00"/>
    <s v="Development Access to and Control over Economic Resources"/>
    <n v="3341670.6"/>
    <s v="Benedict Irwin"/>
    <s v="Pastoral Unit Coordinator"/>
    <s v="benedict.irwin@care.org"/>
    <s v="Did Boru"/>
    <s v="RESET II Programme Manager"/>
    <s v="did.boru@care.org"/>
    <s v="NO"/>
    <s v="YES"/>
    <s v="NO"/>
    <s v="To address the root causes of displacement and irregular migration in Borana Zone, Oromia Region through the craetion of economic opportunities and increased resilience capacity of volunerable communities"/>
    <s v="Regional"/>
    <s v="Ethiopia, Oromia Regional State, Borana Zone, Dillo, Arero and Moyale woredas"/>
    <s v="Pastoral School Age Girls"/>
    <n v="35000"/>
    <n v="15000"/>
    <n v="50000"/>
    <n v="92048"/>
    <n v="39449"/>
    <n v="131497"/>
    <m/>
    <m/>
    <m/>
    <m/>
    <m/>
    <m/>
    <m/>
    <m/>
    <m/>
    <m/>
    <m/>
    <m/>
    <m/>
    <m/>
    <m/>
    <m/>
    <m/>
    <m/>
    <m/>
    <m/>
    <m/>
    <m/>
    <m/>
    <m/>
    <m/>
    <m/>
    <m/>
    <m/>
    <m/>
    <m/>
    <m/>
    <m/>
    <m/>
    <m/>
    <m/>
    <m/>
    <m/>
    <m/>
    <m/>
    <m/>
    <m/>
    <m/>
    <m/>
    <m/>
    <m/>
    <m/>
    <m/>
    <m/>
    <m/>
    <m/>
    <m/>
    <m/>
    <m/>
    <m/>
    <m/>
    <m/>
    <m/>
    <m/>
    <m/>
    <m/>
    <m/>
    <n v="11667"/>
    <n v="5000"/>
    <n v="16667"/>
    <n v="30682"/>
    <n v="13150"/>
    <n v="43832"/>
    <s v="YES"/>
    <n v="29975"/>
    <n v="0.31"/>
    <n v="149875"/>
    <s v="YES"/>
    <m/>
    <m/>
    <m/>
    <s v="NO"/>
    <m/>
    <m/>
    <m/>
    <s v="YES"/>
    <m/>
    <m/>
    <m/>
    <s v="YES"/>
    <n v="110"/>
    <n v="1"/>
    <n v="550"/>
    <s v="NO"/>
    <m/>
    <m/>
    <m/>
    <s v="YES"/>
    <n v="45898"/>
    <n v="0.39"/>
    <n v="229490"/>
    <s v="NO"/>
    <m/>
    <m/>
    <m/>
    <s v="YES"/>
    <n v="276"/>
    <n v="0.62"/>
    <n v="1380"/>
    <s v="YES"/>
    <n v="115"/>
    <n v="0.78"/>
    <n v="133752"/>
    <s v="NO"/>
    <m/>
    <m/>
    <m/>
    <s v="YES"/>
    <n v="12785"/>
    <n v="0.54"/>
    <n v="63925"/>
    <s v="NO"/>
    <m/>
    <m/>
    <m/>
    <s v="YES"/>
    <n v="115"/>
    <n v="0.78"/>
    <n v="133752"/>
    <s v="YES"/>
    <n v="29023"/>
    <n v="0.55000000000000004"/>
    <n v="145115"/>
    <s v="NO"/>
    <m/>
    <m/>
    <m/>
    <m/>
    <m/>
    <m/>
    <m/>
    <m/>
    <s v="NO"/>
    <m/>
    <m/>
    <s v="NO"/>
    <s v="YES"/>
    <s v="March"/>
    <n v="2018"/>
    <s v="RESET II started its operation after March 2017 and thus, the mid term evalution period may extend beyond March 2018."/>
    <x v="0"/>
    <s v="NO"/>
    <m/>
    <m/>
    <s v="NO"/>
    <m/>
    <m/>
    <s v="NO"/>
    <m/>
    <m/>
    <x v="2"/>
    <s v="Moving out of the traditional ways of doing things and promoting community participations and empwering senses of ownerships, for instance scaling-up on the best practices and innovatve ideas of PLI and PRIME projects like working with and through customary institutions of natrual resources management units."/>
    <x v="1"/>
    <s v="Participatory natuiral resources management whereby rangelands are divided into traditional grazing units of Dheedas, Reera and resources are managed accordingly and customary leaders taking lead roles and seasonal management systems being upgraded."/>
    <x v="0"/>
    <x v="0"/>
    <s v="YES"/>
    <x v="0"/>
    <x v="0"/>
    <x v="0"/>
    <x v="0"/>
    <n v="4"/>
    <x v="1"/>
    <x v="1"/>
    <x v="2"/>
    <x v="1"/>
    <x v="1"/>
    <x v="1"/>
    <n v="3"/>
    <x v="3"/>
    <x v="1"/>
    <x v="1"/>
    <x v="1"/>
    <x v="4"/>
    <n v="3"/>
    <x v="0"/>
    <x v="2"/>
    <n v="4"/>
    <s v="Local government(s)"/>
    <s v="International NGO(s)"/>
    <s v="Local NGO(s)/CSO(s)"/>
    <x v="1"/>
    <m/>
    <s v="The project is at its early stage to make adjustments-this will be considered based on the outcome of baseline survey and other resaerch results."/>
    <s v="Impacts are yet to be seen, however, there are some positve signals that community-led total hygiene and sanitation is demonstrating clear impact of making open defecation free environment."/>
    <m/>
    <m/>
    <s v="Clsoe work relationships with government, community and NGO partners have higher potentail impact on sustainability of project activties after project phase-out or project action ends"/>
    <s v="Late inception of the project and failures of two consecutive rainfalls"/>
    <s v="Captalizing on exisitng good practices and joint planning and implementations of project actions with relevant stakeholders will have high sustainability impacts."/>
    <m/>
    <m/>
    <n v="16667"/>
    <n v="43832"/>
    <n v="2.6298674026519469"/>
    <n v="0.70000599988000245"/>
    <n v="0.69999087424712536"/>
    <n v="11667"/>
    <n v="30682"/>
    <s v=""/>
    <n v="0"/>
    <n v="0"/>
    <s v=""/>
    <n v="1"/>
    <n v="45898"/>
    <n v="229490"/>
    <n v="5"/>
    <n v="1"/>
    <n v="115"/>
    <n v="133752"/>
    <n v="1163.0608695652174"/>
    <s v=""/>
    <n v="0"/>
    <n v="0"/>
    <s v=""/>
    <n v="1"/>
    <n v="110"/>
    <n v="550"/>
    <n v="5"/>
    <s v="2. Sensitive"/>
    <s v="2. Accommodating"/>
    <s v="4. Transformative"/>
    <s v="It tested new ways for fighting poverty and measured results of innovation"/>
    <s v="Little or no advocacy"/>
    <s v="It linked and worked with strategic alliances and partners to take tested and effective solutions to scale"/>
  </r>
  <r>
    <x v="23"/>
    <x v="3"/>
    <m/>
    <s v="Safe Drinking Water for Vulnerable Communities in Afar region"/>
    <s v="Ethiopia"/>
    <s v="USL72"/>
    <s v="CARE USA"/>
    <s v="Other"/>
    <s v="Other"/>
    <s v="Procter &amp; Gamble"/>
    <m/>
    <m/>
    <m/>
    <m/>
    <m/>
    <m/>
    <m/>
    <m/>
    <m/>
    <m/>
    <m/>
    <m/>
    <m/>
    <m/>
    <m/>
    <m/>
    <m/>
    <m/>
    <m/>
    <m/>
    <m/>
    <m/>
    <m/>
    <m/>
    <m/>
    <m/>
    <m/>
    <m/>
    <m/>
    <m/>
    <m/>
    <m/>
    <m/>
    <m/>
    <m/>
    <m/>
    <m/>
    <m/>
    <m/>
    <m/>
    <m/>
    <m/>
    <m/>
    <m/>
    <m/>
    <d v="2015-01-01T00:00:00"/>
    <d v="2016-12-31T00:00:00"/>
    <m/>
    <s v="Humanitarian Food &amp; Nutrition Security and Resilience to Climate Change"/>
    <n v="466669"/>
    <s v="Teyent Tadesse"/>
    <s v="Emergency Program Coordinator"/>
    <s v="teyent.tadesse@care.org"/>
    <s v="Desta Baye"/>
    <s v="Emergency WaSH Technical Advisor"/>
    <s v="desta.baye@care.org"/>
    <s v="YES"/>
    <s v="NO"/>
    <s v="NO"/>
    <s v="The overall goal of the project is to improve and sustain the health and livelihoods of families affected by severe drought in the four targeted Woredas of zone three, Afar region through WASH interventions"/>
    <s v="Sub-National"/>
    <s v="Afar region, Zone 3, Amibara, Awash Fentale, Buremedaitu, Mille and Gewane woredas"/>
    <s v="Pastoral School Age Girls"/>
    <n v="96900"/>
    <n v="93100"/>
    <n v="190000"/>
    <m/>
    <m/>
    <m/>
    <s v="The direct beneficaries are those who are directly benefiting from the WaSH activities undertaken in their locality"/>
    <m/>
    <n v="54996"/>
    <n v="79994"/>
    <n v="134990"/>
    <m/>
    <m/>
    <m/>
    <s v="NO"/>
    <m/>
    <m/>
    <m/>
    <s v="NO"/>
    <m/>
    <m/>
    <m/>
    <s v="NO"/>
    <m/>
    <m/>
    <m/>
    <s v="YES"/>
    <n v="134990"/>
    <n v="0.41"/>
    <m/>
    <s v="NO"/>
    <m/>
    <m/>
    <m/>
    <s v="NO"/>
    <m/>
    <m/>
    <m/>
    <s v="NO"/>
    <m/>
    <m/>
    <m/>
    <s v="NO"/>
    <m/>
    <m/>
    <m/>
    <s v="NO"/>
    <m/>
    <m/>
    <m/>
    <s v="NO"/>
    <m/>
    <m/>
    <m/>
    <s v="NO"/>
    <m/>
    <m/>
    <m/>
    <s v="YES"/>
    <n v="134990"/>
    <n v="0.41"/>
    <m/>
    <m/>
    <s v="NO"/>
    <m/>
    <m/>
    <m/>
    <m/>
    <m/>
    <m/>
    <m/>
    <m/>
    <m/>
    <m/>
    <m/>
    <m/>
    <m/>
    <m/>
    <m/>
    <m/>
    <m/>
    <m/>
    <m/>
    <m/>
    <m/>
    <m/>
    <m/>
    <m/>
    <m/>
    <m/>
    <m/>
    <m/>
    <m/>
    <m/>
    <m/>
    <m/>
    <m/>
    <m/>
    <m/>
    <m/>
    <m/>
    <m/>
    <m/>
    <m/>
    <m/>
    <m/>
    <m/>
    <m/>
    <m/>
    <m/>
    <m/>
    <m/>
    <m/>
    <m/>
    <m/>
    <m/>
    <m/>
    <m/>
    <m/>
    <m/>
    <m/>
    <m/>
    <m/>
    <m/>
    <m/>
    <m/>
    <m/>
    <m/>
    <m/>
    <m/>
    <m/>
    <m/>
    <m/>
    <m/>
    <m/>
    <m/>
    <m/>
    <m/>
    <m/>
    <m/>
    <m/>
    <m/>
    <s v="YES"/>
    <s v="December"/>
    <n v="2017"/>
    <s v="NO"/>
    <s v="NO"/>
    <m/>
    <m/>
    <m/>
    <x v="0"/>
    <s v="NO"/>
    <s v="NO"/>
    <s v="NO"/>
    <s v="NO"/>
    <s v="NO"/>
    <s v="NO"/>
    <s v="NO"/>
    <s v="NO"/>
    <m/>
    <x v="0"/>
    <m/>
    <x v="0"/>
    <m/>
    <x v="0"/>
    <x v="0"/>
    <s v="YES"/>
    <x v="0"/>
    <x v="0"/>
    <x v="0"/>
    <x v="0"/>
    <n v="4"/>
    <x v="1"/>
    <x v="1"/>
    <x v="2"/>
    <x v="1"/>
    <x v="1"/>
    <x v="1"/>
    <n v="3"/>
    <x v="1"/>
    <x v="1"/>
    <x v="1"/>
    <x v="1"/>
    <x v="1"/>
    <n v="3"/>
    <x v="0"/>
    <x v="0"/>
    <n v="3"/>
    <s v="National government"/>
    <s v="Local government(s)"/>
    <s v="International NGO(s)"/>
    <x v="1"/>
    <m/>
    <m/>
    <m/>
    <m/>
    <m/>
    <s v="This project is under implimenation and we are hoping to generate lessons in the upcoming timre"/>
    <s v="Recurrent drought as a result of consequative  3 seasons rain failure in the area has been a big challenge"/>
    <m/>
    <m/>
    <m/>
    <n v="134990"/>
    <n v="0"/>
    <n v="0"/>
    <n v="0.40740795614489961"/>
    <s v=""/>
    <n v="54996"/>
    <n v="0"/>
    <n v="1"/>
    <n v="134990"/>
    <n v="0"/>
    <n v="0"/>
    <n v="1"/>
    <n v="134990"/>
    <n v="0"/>
    <n v="0"/>
    <s v=""/>
    <n v="0"/>
    <n v="0"/>
    <s v=""/>
    <s v=""/>
    <n v="0"/>
    <n v="0"/>
    <s v=""/>
    <s v=""/>
    <n v="0"/>
    <n v="0"/>
    <s v=""/>
    <s v="2. Sensitive"/>
    <s v="2. Accommodating"/>
    <s v="2. Sensitive"/>
    <s v="It did not develop any specific innovation"/>
    <s v="Little or no advocacy"/>
    <s v="It did not take tested solutions to scale"/>
  </r>
  <r>
    <x v="23"/>
    <x v="3"/>
    <m/>
    <s v="Seed Emergency Response with the Government of Ethiopia (SERGE) Project"/>
    <s v="Ethiopia"/>
    <s v="AT568"/>
    <s v="CARE Österreich"/>
    <s v="Government"/>
    <s v="Other"/>
    <s v="ECHO"/>
    <m/>
    <m/>
    <m/>
    <m/>
    <m/>
    <m/>
    <m/>
    <m/>
    <m/>
    <m/>
    <m/>
    <m/>
    <m/>
    <m/>
    <m/>
    <m/>
    <m/>
    <m/>
    <m/>
    <m/>
    <m/>
    <m/>
    <m/>
    <m/>
    <m/>
    <m/>
    <m/>
    <m/>
    <m/>
    <m/>
    <m/>
    <m/>
    <m/>
    <m/>
    <m/>
    <m/>
    <m/>
    <m/>
    <m/>
    <m/>
    <m/>
    <m/>
    <m/>
    <m/>
    <m/>
    <d v="2016-05-26T00:00:00"/>
    <d v="2017-03-25T00:00:00"/>
    <m/>
    <s v="Humanitarian Food &amp; Nutrition Security and Resilience to Climate Change"/>
    <n v="2200000"/>
    <s v="Teyent Tadesse"/>
    <s v="Emergency Program Coordinator"/>
    <s v="teyent.tadesse@care.org"/>
    <s v="Worku Abebaw"/>
    <s v="Emergency Program and Operations Manager"/>
    <s v="worku.abebaw@care.org"/>
    <s v="YES"/>
    <s v="NO"/>
    <s v="NO"/>
    <s v="To contribute to the food security and livelihood recovery of drought-affected smallholder farmers in target woredas of Amhara, Oromiya, Tigray and SNNP Regions, preventing further asset depletion and food shortages."/>
    <s v="Sub-National"/>
    <s v="Babile, Fedis, Grawa, Haramaya, Jarso, Kurfachele woredas from East Hararghe zone  and , Anchar, Chiro, Gemechis, Mesela, Mieso, Odabultum, Tullo and Doba  woredas from west Hararghe zone in Oromia Region. Loke Abaya, Hawassa Zuria, Shebedino and Hawela tula from SNNPR  and Ebinat woreda from South Gonder in Ethiopia"/>
    <s v="Chironically Food Insecure Rural Women"/>
    <n v="28768"/>
    <n v="159894"/>
    <n v="188662"/>
    <n v="115072"/>
    <n v="639576"/>
    <n v="754648"/>
    <s v="The project direct participants are those housholdes a) severely affected households with low purchasing power; b) nutritional hotspot kebeles, communities and malnourished families; c) households enrolled in either the current emergency food aid or the government Productive Safety Net Programme (PSNP); d) women-headed households who are vulnerable to shocks/recurrent droughts; e) seed insecure households; and f) households with family members with disabilities or PLW.   The indirect project participants are members of the householdes who are selected as a s project participants"/>
    <m/>
    <n v="16584"/>
    <n v="94958"/>
    <n v="111542"/>
    <n v="66336"/>
    <n v="379832"/>
    <n v="446168"/>
    <s v="NO"/>
    <m/>
    <m/>
    <m/>
    <s v="YES"/>
    <m/>
    <m/>
    <m/>
    <s v="NO"/>
    <m/>
    <m/>
    <m/>
    <s v="NO"/>
    <m/>
    <m/>
    <m/>
    <s v="NO"/>
    <m/>
    <m/>
    <m/>
    <s v="NO"/>
    <m/>
    <m/>
    <m/>
    <s v="NO"/>
    <m/>
    <m/>
    <m/>
    <s v="Yes"/>
    <n v="111542"/>
    <n v="0.15"/>
    <m/>
    <s v="NO"/>
    <m/>
    <m/>
    <m/>
    <s v="NO"/>
    <m/>
    <m/>
    <m/>
    <s v="NO"/>
    <m/>
    <m/>
    <m/>
    <s v="NO"/>
    <m/>
    <m/>
    <m/>
    <m/>
    <s v="NO"/>
    <m/>
    <m/>
    <m/>
    <m/>
    <m/>
    <m/>
    <m/>
    <m/>
    <m/>
    <m/>
    <m/>
    <m/>
    <m/>
    <m/>
    <m/>
    <m/>
    <m/>
    <m/>
    <m/>
    <m/>
    <m/>
    <m/>
    <m/>
    <m/>
    <m/>
    <m/>
    <m/>
    <m/>
    <m/>
    <m/>
    <m/>
    <m/>
    <m/>
    <m/>
    <m/>
    <m/>
    <m/>
    <m/>
    <m/>
    <m/>
    <m/>
    <m/>
    <m/>
    <m/>
    <m/>
    <m/>
    <m/>
    <m/>
    <m/>
    <m/>
    <m/>
    <m/>
    <m/>
    <m/>
    <m/>
    <m/>
    <m/>
    <m/>
    <m/>
    <m/>
    <m/>
    <m/>
    <m/>
    <m/>
    <m/>
    <m/>
    <m/>
    <m/>
    <m/>
    <m/>
    <m/>
    <m/>
    <m/>
    <m/>
    <m/>
    <m/>
    <m/>
    <m/>
    <s v="NO"/>
    <m/>
    <m/>
    <m/>
    <s v="NO"/>
    <m/>
    <m/>
    <m/>
    <x v="0"/>
    <s v="NO"/>
    <m/>
    <m/>
    <s v="NO"/>
    <m/>
    <m/>
    <s v="NO"/>
    <m/>
    <m/>
    <x v="0"/>
    <m/>
    <x v="0"/>
    <m/>
    <x v="0"/>
    <x v="0"/>
    <s v="YES"/>
    <x v="0"/>
    <x v="0"/>
    <x v="0"/>
    <x v="0"/>
    <n v="4"/>
    <x v="1"/>
    <x v="1"/>
    <x v="1"/>
    <x v="1"/>
    <x v="1"/>
    <x v="1"/>
    <n v="4"/>
    <x v="1"/>
    <x v="1"/>
    <x v="1"/>
    <x v="1"/>
    <x v="1"/>
    <n v="3"/>
    <x v="0"/>
    <x v="2"/>
    <n v="2"/>
    <s v="National government"/>
    <s v="Local government(s)"/>
    <m/>
    <x v="1"/>
    <m/>
    <m/>
    <m/>
    <m/>
    <m/>
    <m/>
    <s v=" Targeted households gained increased access to adequate seed quality and quantity enabling increased food production following the Meher 2016 harvest period."/>
    <m/>
    <m/>
    <m/>
    <n v="111542"/>
    <n v="446168"/>
    <n v="4"/>
    <n v="0.14867942120456867"/>
    <n v="0.14867942120456867"/>
    <n v="16584"/>
    <n v="66336"/>
    <n v="1"/>
    <n v="111542"/>
    <n v="446168"/>
    <n v="4"/>
    <n v="1"/>
    <n v="111542"/>
    <n v="0"/>
    <n v="0"/>
    <s v=""/>
    <n v="0"/>
    <n v="0"/>
    <s v=""/>
    <s v=""/>
    <n v="0"/>
    <n v="0"/>
    <s v=""/>
    <s v=""/>
    <n v="0"/>
    <n v="0"/>
    <s v=""/>
    <s v="2. Sensitive"/>
    <s v="2. Accommodating"/>
    <s v="2. Sensitive"/>
    <s v="It did not develop any specific innovation"/>
    <s v="Little or no advocacy"/>
    <s v="It did not take tested solutions to scale"/>
  </r>
  <r>
    <x v="23"/>
    <x v="3"/>
    <m/>
    <s v="Strengthining PSNP Institutions and Resilance"/>
    <s v="Ethiopia"/>
    <m/>
    <s v="No CARE member related to the project/initiative"/>
    <s v="Government"/>
    <s v="Government - US"/>
    <s v="USAID"/>
    <m/>
    <m/>
    <m/>
    <m/>
    <m/>
    <m/>
    <m/>
    <m/>
    <m/>
    <m/>
    <m/>
    <m/>
    <m/>
    <m/>
    <m/>
    <m/>
    <m/>
    <m/>
    <m/>
    <m/>
    <m/>
    <m/>
    <m/>
    <m/>
    <m/>
    <m/>
    <m/>
    <m/>
    <m/>
    <m/>
    <m/>
    <m/>
    <m/>
    <m/>
    <m/>
    <m/>
    <m/>
    <m/>
    <m/>
    <m/>
    <m/>
    <m/>
    <m/>
    <m/>
    <m/>
    <d v="2016-10-01T00:00:00"/>
    <d v="2021-09-30T00:00:00"/>
    <m/>
    <s v="Development Food &amp; Nutrition Security and Resilience to Climate Change"/>
    <n v="33194815"/>
    <s v="Tadele Taye"/>
    <s v="program coordinator"/>
    <s v="tadele.taye@care.org"/>
    <s v="Beza Shimelis"/>
    <s v="LDM manger"/>
    <s v="beza.shimelis@care.org"/>
    <s v="YES"/>
    <s v="YES"/>
    <s v="YES"/>
    <s v="Resilience to shocks and livelihoods enhanced, and food security and nutrition improved for rural households vulnerable to food insecurity"/>
    <s v="Sub-National"/>
    <s v="West Hararge zone(Chiro &amp; Gemechis), East Hararge zone(Kurfachale &amp; Grawa)"/>
    <s v="Chronically Food Insecure Rural Women"/>
    <n v="53908"/>
    <n v="52273"/>
    <n v="106181"/>
    <m/>
    <m/>
    <m/>
    <s v="DFSA-SPIR is using government identified PSNP beneficiaries (chronically food insecure rural population) and the project is using all government identified beneficaries in its implementaion areas"/>
    <m/>
    <m/>
    <m/>
    <m/>
    <m/>
    <m/>
    <m/>
    <m/>
    <m/>
    <m/>
    <m/>
    <m/>
    <m/>
    <m/>
    <m/>
    <m/>
    <m/>
    <m/>
    <m/>
    <m/>
    <m/>
    <m/>
    <m/>
    <m/>
    <m/>
    <m/>
    <m/>
    <m/>
    <m/>
    <m/>
    <m/>
    <m/>
    <m/>
    <m/>
    <m/>
    <m/>
    <m/>
    <m/>
    <m/>
    <m/>
    <m/>
    <m/>
    <m/>
    <m/>
    <m/>
    <m/>
    <m/>
    <m/>
    <m/>
    <m/>
    <m/>
    <m/>
    <m/>
    <m/>
    <m/>
    <m/>
    <m/>
    <m/>
    <m/>
    <m/>
    <n v="53908"/>
    <n v="52273"/>
    <n v="106181"/>
    <m/>
    <m/>
    <m/>
    <s v="YES"/>
    <n v="305"/>
    <n v="0.54749999999999999"/>
    <m/>
    <s v="NO"/>
    <m/>
    <m/>
    <m/>
    <s v="NO"/>
    <m/>
    <m/>
    <m/>
    <s v="NO"/>
    <m/>
    <m/>
    <m/>
    <s v="YES"/>
    <n v="11935"/>
    <n v="0.53100000000000003"/>
    <m/>
    <s v="NO"/>
    <m/>
    <m/>
    <m/>
    <s v="YES"/>
    <n v="106181"/>
    <n v="0.49"/>
    <m/>
    <s v="NO"/>
    <m/>
    <m/>
    <m/>
    <s v="NO"/>
    <m/>
    <m/>
    <m/>
    <s v="NO"/>
    <m/>
    <m/>
    <m/>
    <s v="YES"/>
    <n v="11480"/>
    <n v="0.53500000000000003"/>
    <m/>
    <s v="YES"/>
    <n v="168"/>
    <n v="0.255"/>
    <m/>
    <s v="NO"/>
    <m/>
    <m/>
    <m/>
    <s v="NO"/>
    <m/>
    <m/>
    <m/>
    <s v="YES"/>
    <n v="855"/>
    <n v="0.48499999999999999"/>
    <m/>
    <s v="NO"/>
    <m/>
    <m/>
    <m/>
    <m/>
    <m/>
    <m/>
    <m/>
    <m/>
    <s v="NO"/>
    <m/>
    <m/>
    <m/>
    <s v="YES"/>
    <s v="August"/>
    <n v="2017"/>
    <s v="the project will have two evaluations (midterm and final) both evaluations will be conducted by external party. The final evaluation will be conducted to compare the project achivement against the base values"/>
    <x v="1"/>
    <m/>
    <m/>
    <m/>
    <s v="YES"/>
    <s v="YES"/>
    <s v="YES"/>
    <m/>
    <m/>
    <m/>
    <x v="1"/>
    <s v="by using VESA model, SPIR is trying to break the social and economic barriers of the community."/>
    <x v="1"/>
    <s v="World vision's FMNR model and ORDA's CLH models for effective natural resource management"/>
    <x v="0"/>
    <x v="1"/>
    <s v="YES"/>
    <x v="0"/>
    <x v="0"/>
    <x v="0"/>
    <x v="2"/>
    <n v="4"/>
    <x v="1"/>
    <x v="1"/>
    <x v="1"/>
    <x v="1"/>
    <x v="1"/>
    <x v="1"/>
    <n v="4"/>
    <x v="3"/>
    <x v="1"/>
    <x v="1"/>
    <x v="1"/>
    <x v="4"/>
    <n v="3"/>
    <x v="3"/>
    <x v="2"/>
    <n v="3"/>
    <s v="Local government(s)"/>
    <s v="International NGO(s)"/>
    <s v="Local alliance(s)/Platform(s)/Network(s) of  NGOs/CSOs"/>
    <x v="2"/>
    <m/>
    <s v="since the project is in its initial stage there is no significant change made in this FY."/>
    <m/>
    <m/>
    <m/>
    <m/>
    <m/>
    <m/>
    <m/>
    <m/>
    <n v="106181"/>
    <n v="0"/>
    <n v="0"/>
    <n v="0.50769911754457009"/>
    <s v=""/>
    <n v="53908"/>
    <n v="0"/>
    <n v="1"/>
    <n v="0"/>
    <n v="0"/>
    <s v=""/>
    <n v="1"/>
    <n v="106181"/>
    <n v="0"/>
    <n v="0"/>
    <s v=""/>
    <n v="0"/>
    <n v="0"/>
    <s v=""/>
    <s v=""/>
    <n v="0"/>
    <n v="0"/>
    <s v=""/>
    <n v="1"/>
    <n v="6337.4850000000006"/>
    <n v="0"/>
    <n v="0"/>
    <s v="4. Transformative"/>
    <s v="2. Accommodating"/>
    <s v="4. Transformative"/>
    <s v="It tested new ways for fighting poverty, but did not measure results of innovation"/>
    <s v="Moderate advocacy"/>
    <s v="It linked and worked with strategic alliances and partners to take tested and effective solutions to scale"/>
  </r>
  <r>
    <x v="23"/>
    <x v="3"/>
    <s v="CGBRET0047"/>
    <s v="Support to Early Recovery and Socio-Economic Stability of the Drought Affected Population in Ethiopia"/>
    <s v="Ethiopia"/>
    <s v="CGBRET0047"/>
    <s v="CARE UK"/>
    <s v="Government"/>
    <s v="EU - European Union (other than ECHO)"/>
    <s v="EU"/>
    <m/>
    <m/>
    <m/>
    <m/>
    <m/>
    <m/>
    <m/>
    <m/>
    <m/>
    <m/>
    <m/>
    <m/>
    <m/>
    <m/>
    <m/>
    <m/>
    <m/>
    <m/>
    <m/>
    <m/>
    <m/>
    <m/>
    <m/>
    <m/>
    <m/>
    <m/>
    <m/>
    <m/>
    <m/>
    <m/>
    <m/>
    <m/>
    <m/>
    <m/>
    <m/>
    <m/>
    <m/>
    <m/>
    <m/>
    <m/>
    <m/>
    <m/>
    <m/>
    <m/>
    <m/>
    <d v="2016-01-15T00:00:00"/>
    <d v="2017-07-15T00:00:00"/>
    <d v="2018-01-15T00:00:00"/>
    <s v="Humanitarian Food &amp; Nutrition Security and Resilience to Climate Change"/>
    <n v="10062583.59"/>
    <s v="Meron Kidane"/>
    <s v="EU Recovery Program coordinator"/>
    <s v="meron.kidane@care.org"/>
    <m/>
    <m/>
    <m/>
    <s v="YES"/>
    <s v="YES"/>
    <s v="YES"/>
    <s v="To foster social and economic stability of communities in the drought affected areas"/>
    <s v="Sub-National"/>
    <s v="Oromiya region: East Hararge zone (Fadis, Kurfa Chale, Meta, and Deder Woredas) and West hararge zone (Boke, Chiro, Doba and Oba bultum Woredas); Tigray region: East Tigray zone (Atsbi Wenberta, Ganta Afeshum, Gulomekada and Hawzen Woredas); Amhara region: Waghimra zone (Dahina, Gazgible, Sekota and Ziquala ) and North wollo zone (Meket and Bugna woredas)"/>
    <s v="Chronically Food Insecure Rural Women"/>
    <n v="1280926"/>
    <n v="1354726"/>
    <n v="2635652"/>
    <n v="42250"/>
    <n v="158938"/>
    <n v="201188"/>
    <m/>
    <m/>
    <n v="342621"/>
    <n v="541113"/>
    <n v="883734"/>
    <n v="11301"/>
    <n v="63484"/>
    <n v="74785"/>
    <s v="NO"/>
    <m/>
    <m/>
    <m/>
    <s v="YES"/>
    <n v="31034"/>
    <n v="0.60670000000000002"/>
    <m/>
    <s v="NO"/>
    <m/>
    <m/>
    <m/>
    <s v="YES"/>
    <m/>
    <m/>
    <m/>
    <s v="NO"/>
    <m/>
    <m/>
    <m/>
    <s v="YES"/>
    <m/>
    <m/>
    <m/>
    <s v="NO"/>
    <m/>
    <m/>
    <m/>
    <s v="Yes"/>
    <n v="74785"/>
    <m/>
    <m/>
    <s v="NO"/>
    <m/>
    <m/>
    <m/>
    <s v="NO"/>
    <m/>
    <m/>
    <m/>
    <s v="NO"/>
    <m/>
    <m/>
    <m/>
    <s v="YES"/>
    <m/>
    <m/>
    <m/>
    <m/>
    <m/>
    <m/>
    <m/>
    <m/>
    <n v="342621"/>
    <n v="541113"/>
    <n v="883734"/>
    <n v="11301"/>
    <n v="63484"/>
    <n v="74785"/>
    <s v="YES"/>
    <n v="74531"/>
    <m/>
    <m/>
    <s v="YES"/>
    <m/>
    <m/>
    <m/>
    <s v="YES"/>
    <m/>
    <m/>
    <m/>
    <s v="YES"/>
    <n v="179"/>
    <m/>
    <m/>
    <s v="YES"/>
    <n v="421"/>
    <m/>
    <m/>
    <s v="NO"/>
    <m/>
    <m/>
    <m/>
    <s v="YES"/>
    <m/>
    <m/>
    <m/>
    <s v="NO"/>
    <m/>
    <m/>
    <m/>
    <s v="YES"/>
    <n v="30"/>
    <m/>
    <m/>
    <s v="NO"/>
    <m/>
    <m/>
    <m/>
    <s v="YES"/>
    <m/>
    <m/>
    <m/>
    <s v="YES"/>
    <n v="254"/>
    <m/>
    <m/>
    <s v="NO"/>
    <m/>
    <m/>
    <m/>
    <s v="NO"/>
    <m/>
    <m/>
    <m/>
    <s v="YES"/>
    <n v="60"/>
    <m/>
    <m/>
    <s v="YES"/>
    <n v="4313"/>
    <m/>
    <m/>
    <m/>
    <m/>
    <m/>
    <m/>
    <m/>
    <s v="YES"/>
    <s v="July"/>
    <n v="2017"/>
    <s v="YES"/>
    <s v="YES"/>
    <s v="September"/>
    <n v="2017"/>
    <m/>
    <x v="0"/>
    <s v="NO"/>
    <s v="NO"/>
    <m/>
    <s v="YES"/>
    <s v="YES"/>
    <s v="YES"/>
    <s v="NO"/>
    <m/>
    <m/>
    <x v="1"/>
    <m/>
    <x v="2"/>
    <m/>
    <x v="3"/>
    <x v="1"/>
    <s v="YES"/>
    <x v="0"/>
    <x v="0"/>
    <x v="0"/>
    <x v="2"/>
    <n v="4"/>
    <x v="1"/>
    <x v="1"/>
    <x v="1"/>
    <x v="1"/>
    <x v="2"/>
    <x v="1"/>
    <n v="3"/>
    <x v="3"/>
    <x v="1"/>
    <x v="1"/>
    <x v="1"/>
    <x v="4"/>
    <n v="3"/>
    <x v="0"/>
    <x v="0"/>
    <n v="3"/>
    <s v="Local NGO(s)/CSO(s)"/>
    <s v="Local NGO(s)/CSO(s)"/>
    <s v="International NGO(s)"/>
    <x v="2"/>
    <m/>
    <m/>
    <s v="Voucher based procurment that engaged local vendors positively impacting local economy"/>
    <s v="SAA dialogue at household and community level"/>
    <s v="Layered set of interventions on recovery planning"/>
    <m/>
    <m/>
    <m/>
    <m/>
    <m/>
    <n v="883734"/>
    <n v="74785"/>
    <n v="8.4623880036300517E-2"/>
    <n v="0.38769697669208153"/>
    <n v="0.15111319114795749"/>
    <n v="342621"/>
    <n v="11301"/>
    <n v="1"/>
    <n v="883734"/>
    <n v="74785"/>
    <n v="8.4623880036300517E-2"/>
    <n v="1"/>
    <n v="74785"/>
    <n v="0"/>
    <n v="0"/>
    <s v=""/>
    <n v="0"/>
    <n v="0"/>
    <s v=""/>
    <s v=""/>
    <n v="0"/>
    <n v="0"/>
    <s v=""/>
    <n v="1"/>
    <n v="4313"/>
    <n v="0"/>
    <n v="0"/>
    <s v="4. Transformative"/>
    <s v="2. Accommodating"/>
    <s v="4. Transformative"/>
    <s v="It tested new ways for fighting poverty, but did not measure results of innovation"/>
    <s v="Little or no advocacy"/>
    <n v="0"/>
  </r>
  <r>
    <x v="23"/>
    <x v="3"/>
    <m/>
    <s v="Towards Improved Economic and Sexual Reproductive Health Outcomes for Adolescent Girls (TESFA ) in Ethiopia"/>
    <s v="Ethiopia"/>
    <s v="JHJHE0005"/>
    <s v="CARE USA"/>
    <s v="Corporation"/>
    <s v="Other"/>
    <s v="Johnson &amp; Johnson Foundation"/>
    <m/>
    <m/>
    <m/>
    <m/>
    <m/>
    <m/>
    <m/>
    <m/>
    <m/>
    <m/>
    <m/>
    <m/>
    <m/>
    <m/>
    <m/>
    <m/>
    <m/>
    <m/>
    <m/>
    <m/>
    <m/>
    <m/>
    <m/>
    <m/>
    <m/>
    <m/>
    <m/>
    <m/>
    <m/>
    <m/>
    <m/>
    <m/>
    <m/>
    <m/>
    <m/>
    <m/>
    <m/>
    <m/>
    <m/>
    <m/>
    <m/>
    <m/>
    <m/>
    <m/>
    <m/>
    <d v="2015-01-01T00:00:00"/>
    <d v="2017-12-31T00:00:00"/>
    <m/>
    <s v="Development Sexual, Reproductive and Maternal Health (SRMH)"/>
    <n v="669000"/>
    <s v="Alem Agazi"/>
    <s v="SRH and Nutrition Coordinators"/>
    <s v="Alem.Agazi@care.org"/>
    <s v="Taye mengiste"/>
    <s v="Project officer"/>
    <s v="taye.mengist@care.org "/>
    <s v="NO"/>
    <s v="YES"/>
    <s v="NO"/>
    <s v="To  reach 3000 ever-married adolescent girls to bring measurable, positive change to their economic status and SRH."/>
    <s v="Sub-National"/>
    <s v="Farta district , South Gonder of Amhara regional state of Ethiopia"/>
    <s v="Ever married adolescent girls 10-19 years old."/>
    <n v="3590"/>
    <n v="850"/>
    <n v="4440"/>
    <n v="2950"/>
    <n v="4250"/>
    <n v="7200"/>
    <s v="The direct beneficiaries of TESFA project is 3000 ever married adolecent girls of age 10-19  and community groups of 1440 men and women. The project direct beneficiaries are based on the estimated numbers of ever married adolocent girls who lives in the selected interventioin kebeles  based on the local government estimates. The indirect beneficiaries 7200 housholdes who received information from the community group members. The indirect beneficaries calculated based on the government 1 to 5 structures. Thus the 1440  direct beneficiarie of community group members expected to  dissminate the information they learnt to 7200 (i.e 1440*5=7200)."/>
    <m/>
    <m/>
    <m/>
    <m/>
    <m/>
    <m/>
    <m/>
    <m/>
    <m/>
    <m/>
    <m/>
    <m/>
    <m/>
    <m/>
    <m/>
    <m/>
    <m/>
    <m/>
    <m/>
    <m/>
    <m/>
    <m/>
    <m/>
    <m/>
    <m/>
    <m/>
    <m/>
    <m/>
    <m/>
    <m/>
    <m/>
    <m/>
    <m/>
    <m/>
    <m/>
    <m/>
    <m/>
    <m/>
    <m/>
    <m/>
    <m/>
    <m/>
    <m/>
    <m/>
    <m/>
    <m/>
    <m/>
    <m/>
    <m/>
    <m/>
    <m/>
    <m/>
    <m/>
    <m/>
    <m/>
    <m/>
    <m/>
    <m/>
    <m/>
    <m/>
    <n v="2585"/>
    <n v="545"/>
    <n v="3130"/>
    <n v="2719"/>
    <n v="4888"/>
    <n v="7607"/>
    <s v="NO"/>
    <m/>
    <m/>
    <m/>
    <s v="NO"/>
    <m/>
    <m/>
    <m/>
    <s v="NO"/>
    <m/>
    <m/>
    <m/>
    <s v="NO"/>
    <m/>
    <m/>
    <m/>
    <s v="YES"/>
    <n v="3130"/>
    <n v="0.82589999999999997"/>
    <m/>
    <s v="YES"/>
    <m/>
    <m/>
    <m/>
    <s v="NO"/>
    <m/>
    <m/>
    <m/>
    <s v="YES"/>
    <n v="2212"/>
    <n v="1"/>
    <m/>
    <s v="YES"/>
    <n v="3130"/>
    <n v="0.83"/>
    <m/>
    <s v="NO"/>
    <m/>
    <m/>
    <m/>
    <s v="NO"/>
    <m/>
    <m/>
    <m/>
    <s v="NO"/>
    <m/>
    <m/>
    <m/>
    <s v="NO"/>
    <m/>
    <m/>
    <m/>
    <s v="YES"/>
    <n v="1665"/>
    <n v="1"/>
    <m/>
    <s v="NO"/>
    <m/>
    <m/>
    <m/>
    <s v="YES"/>
    <n v="2585"/>
    <n v="1"/>
    <m/>
    <m/>
    <m/>
    <m/>
    <m/>
    <m/>
    <s v="NO"/>
    <m/>
    <m/>
    <s v="NO"/>
    <s v="YES"/>
    <s v="October"/>
    <n v="2017"/>
    <s v="The futrue evaluation is the project final evaluation to measures program effects in the target population by assessing the progress in the outcomes or outcome objectives that the program is to achieve."/>
    <x v="0"/>
    <s v="NO"/>
    <s v="NO"/>
    <s v="YES"/>
    <s v="YES"/>
    <s v="YES"/>
    <s v="NO"/>
    <s v="NO"/>
    <m/>
    <m/>
    <x v="2"/>
    <m/>
    <x v="3"/>
    <s v="This project is based on the previous TESFA project (2010-2013),which tested the intervention model using robust research methods with the research component of the project aimed to provide directly actionable and relevant evidence on the effectiveness of providing EE and SRH programming.This project is based on the previous TESFA and scale up to reach additionational ever married girls age 10-19 years in farta districts"/>
    <x v="1"/>
    <x v="1"/>
    <s v="YES"/>
    <x v="0"/>
    <x v="0"/>
    <x v="1"/>
    <x v="4"/>
    <n v="3"/>
    <x v="1"/>
    <x v="1"/>
    <x v="1"/>
    <x v="1"/>
    <x v="1"/>
    <x v="1"/>
    <n v="4"/>
    <x v="0"/>
    <x v="0"/>
    <x v="0"/>
    <x v="0"/>
    <x v="0"/>
    <n v="0"/>
    <x v="2"/>
    <x v="3"/>
    <n v="5"/>
    <s v="Local government(s)"/>
    <s v="Local alliance(s)/Platform(s)/Network(s) of  NGOs/CSOs"/>
    <s v="Regional alliance(s)/Platform(s)/Network(s) of  NGOs/CSOs"/>
    <x v="1"/>
    <m/>
    <m/>
    <s v="VSLA approach is the  most effective approach in the project, most of the VSLA girls group members engaged in different Income generating activities which changes the life of the adolescent girls."/>
    <s v="Cross learning visit among the different enrolled groups  was the best approach to share the experience and to encourage the ever married adolescent girls in engaging in different Income genrating activities"/>
    <s v="SAA appraoch-Facilitating the SAA groups members to support the ever married adolescent girls increased retention of the girls group members in the group and encourage them to engage in different IGA activities and to get acceptance in challenge the existing norms."/>
    <s v="Using the SAA plat form as VSLA is one of the lesson for the economic empowerment of  women and men and to support the ever married adoloecent girls"/>
    <s v="Working closely with the government partners resulted in accessiblity of SRH services e.g Accessible youth friendly services"/>
    <s v="Forming the community members in SAA groups helps to challenge the  existing norms in the community and to mobilize the community for the development activities e.g the SAA groups able to construct second cycle school to avoid school drop out because of distance."/>
    <m/>
    <m/>
    <n v="3130"/>
    <n v="7607"/>
    <n v="2.4303514376996804"/>
    <n v="0.82587859424920129"/>
    <n v="0.35743394242145393"/>
    <n v="2585"/>
    <n v="2719"/>
    <s v=""/>
    <n v="0"/>
    <n v="0"/>
    <s v=""/>
    <n v="1"/>
    <n v="3130"/>
    <n v="0"/>
    <n v="0"/>
    <n v="1"/>
    <n v="1665"/>
    <n v="0"/>
    <n v="0"/>
    <n v="1"/>
    <n v="2212"/>
    <n v="0"/>
    <n v="0"/>
    <n v="1"/>
    <n v="2585.067"/>
    <n v="0"/>
    <n v="0"/>
    <s v="3. Responsive"/>
    <s v="2. Accommodating"/>
    <s v="No marker score"/>
    <s v="It tested new ways for fighting poverty and measured results of innovation"/>
    <s v="Little or no advocacy"/>
    <s v="It took tested solutions to scale on its own"/>
  </r>
  <r>
    <x v="23"/>
    <x v="3"/>
    <m/>
    <s v="USAID LOWLAND WATER, SANITATION, AND HYGIENE ACTIVITY"/>
    <s v="Ethiopia"/>
    <s v="US1L4"/>
    <s v="CARE USA"/>
    <s v="Government"/>
    <s v="Government - US"/>
    <s v="USAID"/>
    <m/>
    <m/>
    <m/>
    <m/>
    <m/>
    <m/>
    <m/>
    <m/>
    <m/>
    <m/>
    <m/>
    <m/>
    <m/>
    <m/>
    <m/>
    <m/>
    <m/>
    <m/>
    <m/>
    <m/>
    <m/>
    <m/>
    <m/>
    <m/>
    <m/>
    <m/>
    <m/>
    <m/>
    <m/>
    <m/>
    <m/>
    <m/>
    <m/>
    <m/>
    <m/>
    <m/>
    <m/>
    <m/>
    <m/>
    <m/>
    <m/>
    <m/>
    <m/>
    <m/>
    <m/>
    <d v="2015-11-01T00:00:00"/>
    <d v="2018-05-31T00:00:00"/>
    <d v="2019-11-30T00:00:00"/>
    <s v="Development Other"/>
    <n v="4094539"/>
    <s v="Abebaw Kebede"/>
    <s v="WaTER+ Program Coordinator"/>
    <s v="abebaw.kebede@care.org"/>
    <s v="Sintayehu Mesele"/>
    <s v="Program Manager"/>
    <s v="Sintayehu.Mesele@care.org"/>
    <s v="NO"/>
    <s v="YES"/>
    <s v="NO"/>
    <s v="Enhance resilience and reduce conflict through improved sustinable access to safe water and sanitation, environmentally sustainable natural resources managemnt and improved hygiene behavior for targeted pasoralist communities in Afar region"/>
    <s v="Sub-National"/>
    <s v="Ethiopia; Afar Regional State; Zone 1, 2, 3 and 4; Mile, Adahar, Dubit, Teru, Kunaba , Erebit, Dalol, Gewane, Gelalo and Buremudayitu Woredas"/>
    <s v="Pasturalist School Age Girls"/>
    <n v="23490"/>
    <n v="20010"/>
    <n v="43500"/>
    <n v="31050"/>
    <n v="26450"/>
    <n v="57500"/>
    <s v="The direct participants are those who access to safe and sustainable water sources and partcipants of any training. Partciapants who are benefiting from the small irrigation schemes are also direct partcipants. Indirect participants are benefiting from sanitation and hygiene promotions, sanitation facilities, NRM activities and family members of small scale irrigation schemes and any particiapants of any training."/>
    <m/>
    <m/>
    <m/>
    <m/>
    <m/>
    <m/>
    <m/>
    <m/>
    <m/>
    <m/>
    <m/>
    <m/>
    <m/>
    <m/>
    <m/>
    <m/>
    <m/>
    <m/>
    <m/>
    <m/>
    <m/>
    <m/>
    <m/>
    <m/>
    <m/>
    <m/>
    <m/>
    <m/>
    <m/>
    <m/>
    <m/>
    <m/>
    <m/>
    <m/>
    <m/>
    <m/>
    <m/>
    <m/>
    <m/>
    <m/>
    <m/>
    <m/>
    <m/>
    <m/>
    <m/>
    <m/>
    <m/>
    <m/>
    <m/>
    <m/>
    <m/>
    <m/>
    <m/>
    <m/>
    <m/>
    <m/>
    <m/>
    <m/>
    <m/>
    <m/>
    <n v="11340"/>
    <n v="10973"/>
    <n v="22313"/>
    <n v="15545"/>
    <n v="14470"/>
    <n v="30015"/>
    <m/>
    <m/>
    <m/>
    <m/>
    <m/>
    <m/>
    <m/>
    <m/>
    <m/>
    <m/>
    <m/>
    <m/>
    <m/>
    <m/>
    <m/>
    <m/>
    <m/>
    <m/>
    <m/>
    <m/>
    <m/>
    <m/>
    <m/>
    <m/>
    <m/>
    <m/>
    <m/>
    <m/>
    <m/>
    <m/>
    <m/>
    <m/>
    <m/>
    <m/>
    <m/>
    <m/>
    <m/>
    <m/>
    <m/>
    <m/>
    <s v="YES"/>
    <m/>
    <m/>
    <m/>
    <s v="YES"/>
    <m/>
    <m/>
    <m/>
    <m/>
    <m/>
    <m/>
    <m/>
    <m/>
    <m/>
    <m/>
    <m/>
    <s v="YES"/>
    <n v="22313"/>
    <n v="0.51"/>
    <n v="30015"/>
    <m/>
    <m/>
    <m/>
    <m/>
    <m/>
    <m/>
    <m/>
    <m/>
    <m/>
    <s v="YES"/>
    <s v="May"/>
    <n v="2016"/>
    <s v="YES"/>
    <s v="YES"/>
    <s v="March"/>
    <n v="2018"/>
    <s v="It is a follow-up/midterm evaluation conducted to measure the progress of the project and make adustemnts/actions, if any thing reqiured based on the findings of the survey."/>
    <x v="0"/>
    <s v="YES"/>
    <s v="YES"/>
    <s v="YES"/>
    <s v="YES"/>
    <m/>
    <s v="YES"/>
    <s v="NO"/>
    <m/>
    <m/>
    <x v="2"/>
    <s v="Introducing optional and new technology for safe water supply like disalenation plant for safe water supply, Sollar panles as alternative and cost effective power supplies, Pioonner water tankers for qualiaty and sustained water storages, etc. It also  intrduces new accountability mechanisms (CSC) and gender empowerment tools (SSA)."/>
    <x v="1"/>
    <s v="The project is working towards GTP-2 and SDG on access to safe water supply and saniation facilities"/>
    <x v="1"/>
    <x v="0"/>
    <s v="YES"/>
    <x v="0"/>
    <x v="0"/>
    <x v="0"/>
    <x v="0"/>
    <n v="4"/>
    <x v="1"/>
    <x v="1"/>
    <x v="1"/>
    <x v="1"/>
    <x v="1"/>
    <x v="1"/>
    <n v="4"/>
    <x v="1"/>
    <x v="1"/>
    <x v="1"/>
    <x v="1"/>
    <x v="1"/>
    <n v="3"/>
    <x v="0"/>
    <x v="0"/>
    <n v="3"/>
    <s v="International NGO(s)"/>
    <s v="Local government(s)"/>
    <s v="Private sector"/>
    <x v="1"/>
    <m/>
    <s v="No important changes or adjustements are made in this FY"/>
    <s v="Demand responsive approch"/>
    <s v="Community participation and engagemnt"/>
    <s v="Ensuring ocial accountability and transparency"/>
    <s v="Adoption of new technology for pastoralist water supply ensure access to safe and sustinable water supply"/>
    <s v="Women and girls empowerment and engagements"/>
    <s v="The importance of working with the government structures, engaging/participating communities/target groups and community based instituations"/>
    <s v="The pasoralist communities like in Afar are very vulnerable and affected communities in many ways, mainly women and girls. One of the priority needs of the target communities is accessing sustinable safe water supply for domestic use and their animals. It is the priority stratagic intervention plans of the regional and local governments. The project is tried its maximum efforts to address the needs (the practical needs) and also strtagic needs of women and girls, and the monitoring results revaled that the project is contributing highly in addressing the needs, but more interventions are needed and required."/>
    <m/>
    <n v="22313"/>
    <n v="30015"/>
    <n v="1.3451799399453233"/>
    <n v="0.50822390534665884"/>
    <n v="0.51790771281026149"/>
    <n v="11340"/>
    <n v="15545"/>
    <s v=""/>
    <n v="0"/>
    <n v="0"/>
    <s v=""/>
    <n v="1"/>
    <n v="22313"/>
    <n v="30015"/>
    <n v="1.3451799399453233"/>
    <s v=""/>
    <n v="0"/>
    <n v="0"/>
    <s v=""/>
    <s v=""/>
    <n v="0"/>
    <n v="0"/>
    <s v=""/>
    <s v=""/>
    <n v="0"/>
    <n v="0"/>
    <s v=""/>
    <s v="2. Sensitive"/>
    <s v="2. Accommodating"/>
    <s v="2. Sensitive"/>
    <s v="It tested new ways for fighting poverty and measured results of innovation"/>
    <s v="Little or no advocacy"/>
    <s v="It linked and worked with strategic alliances and partners to take tested and effective solutions to scale"/>
  </r>
  <r>
    <x v="23"/>
    <x v="3"/>
    <m/>
    <s v="WASH and livelihood support to drought affected communities in  South Gondar"/>
    <s v="Ethiopia"/>
    <s v="AT574"/>
    <s v="CARE Österreich"/>
    <s v="Government"/>
    <s v="Other"/>
    <s v="ECHO"/>
    <m/>
    <m/>
    <m/>
    <m/>
    <m/>
    <m/>
    <m/>
    <m/>
    <m/>
    <m/>
    <m/>
    <m/>
    <m/>
    <m/>
    <m/>
    <m/>
    <m/>
    <m/>
    <m/>
    <m/>
    <m/>
    <m/>
    <m/>
    <m/>
    <m/>
    <m/>
    <m/>
    <m/>
    <m/>
    <m/>
    <m/>
    <m/>
    <m/>
    <m/>
    <m/>
    <m/>
    <m/>
    <m/>
    <m/>
    <m/>
    <m/>
    <m/>
    <m/>
    <m/>
    <m/>
    <d v="2016-04-01T00:00:00"/>
    <d v="2017-01-31T00:00:00"/>
    <m/>
    <s v="Humanitarian Food &amp; Nutrition Security and Resilience to Climate Change"/>
    <n v="1074489.8999999999"/>
    <s v="Teyent Tadesse"/>
    <s v="Emergency Program Coordinator"/>
    <s v="teyent.tadesse@care.org"/>
    <s v="Desta Baye"/>
    <s v="Emergency WaSH Technical Advisor"/>
    <s v="desta.baye@care.org"/>
    <s v="YES"/>
    <s v="NO"/>
    <s v="NO"/>
    <s v="To address critical WASH and food security/livelihood needs and opportunities in a gender sensitive way for the most dorught-affected popualtion in target woredas"/>
    <s v="Sub-National"/>
    <s v="Amhara region, South Gondar zone, Tach Gayint and Ebinat woredas"/>
    <s v="This project addressed critical WASH and Food Security / Livelihood needs and opportunities in a gender sensitive way for the most drought-affected populations in the two woredas. Particularly women headed households who are vulnarable were given priority for livelihoods support"/>
    <n v="12300"/>
    <n v="12485"/>
    <n v="24785"/>
    <m/>
    <m/>
    <m/>
    <s v="The direct beneficaries are those who are directkly benefited from the  WASH and Livelihood activities undertaken by the project and, thereby improving thier health, income and food and livelihood security and strengthening household and community resilience to current and future droughts"/>
    <m/>
    <n v="12300"/>
    <n v="12485"/>
    <n v="24785"/>
    <m/>
    <m/>
    <m/>
    <s v="NO"/>
    <m/>
    <m/>
    <m/>
    <s v="NO"/>
    <m/>
    <m/>
    <m/>
    <s v="NO"/>
    <m/>
    <m/>
    <m/>
    <s v="YES"/>
    <n v="24785"/>
    <n v="0.5"/>
    <m/>
    <s v="NO"/>
    <m/>
    <m/>
    <m/>
    <s v="NO"/>
    <m/>
    <m/>
    <m/>
    <s v="NO"/>
    <m/>
    <m/>
    <m/>
    <s v="NO"/>
    <m/>
    <m/>
    <m/>
    <s v="NO"/>
    <m/>
    <m/>
    <m/>
    <s v="NO"/>
    <m/>
    <m/>
    <m/>
    <s v="NO"/>
    <m/>
    <m/>
    <m/>
    <s v="YES"/>
    <n v="24785"/>
    <n v="0.5"/>
    <m/>
    <m/>
    <s v="NO"/>
    <m/>
    <m/>
    <m/>
    <m/>
    <m/>
    <m/>
    <m/>
    <m/>
    <m/>
    <m/>
    <m/>
    <m/>
    <m/>
    <m/>
    <m/>
    <m/>
    <m/>
    <m/>
    <m/>
    <m/>
    <m/>
    <m/>
    <m/>
    <m/>
    <m/>
    <m/>
    <m/>
    <m/>
    <m/>
    <m/>
    <m/>
    <m/>
    <m/>
    <m/>
    <m/>
    <m/>
    <m/>
    <m/>
    <m/>
    <m/>
    <m/>
    <m/>
    <m/>
    <m/>
    <m/>
    <m/>
    <m/>
    <m/>
    <m/>
    <m/>
    <m/>
    <m/>
    <m/>
    <m/>
    <m/>
    <m/>
    <m/>
    <m/>
    <m/>
    <m/>
    <m/>
    <m/>
    <m/>
    <m/>
    <m/>
    <m/>
    <m/>
    <m/>
    <m/>
    <m/>
    <m/>
    <m/>
    <m/>
    <m/>
    <m/>
    <m/>
    <m/>
    <m/>
    <s v="NO"/>
    <m/>
    <m/>
    <m/>
    <s v="NO"/>
    <m/>
    <m/>
    <m/>
    <x v="0"/>
    <s v="NO"/>
    <s v="NO"/>
    <s v="YES"/>
    <s v="NO"/>
    <s v="NO"/>
    <s v="NO"/>
    <s v="NO"/>
    <s v="NO"/>
    <m/>
    <x v="0"/>
    <m/>
    <x v="0"/>
    <m/>
    <x v="0"/>
    <x v="0"/>
    <s v="YES"/>
    <x v="0"/>
    <x v="0"/>
    <x v="0"/>
    <x v="0"/>
    <n v="4"/>
    <x v="1"/>
    <x v="1"/>
    <x v="1"/>
    <x v="2"/>
    <x v="1"/>
    <x v="1"/>
    <n v="3"/>
    <x v="1"/>
    <x v="1"/>
    <x v="1"/>
    <x v="1"/>
    <x v="1"/>
    <n v="3"/>
    <x v="0"/>
    <x v="0"/>
    <n v="3"/>
    <s v="National government"/>
    <s v="Local government(s)"/>
    <s v="Other"/>
    <x v="1"/>
    <m/>
    <m/>
    <m/>
    <s v="Lack of documented well history data on the selected water schemes were the big challenge and affected timliness of the project. History of the water well is the base for any mainatinance work and documentation of the history is very helpful and will easy the mainatinace work"/>
    <m/>
    <m/>
    <m/>
    <m/>
    <m/>
    <m/>
    <n v="24785"/>
    <n v="0"/>
    <n v="0"/>
    <n v="0.49626790397417792"/>
    <s v=""/>
    <n v="12300"/>
    <n v="0"/>
    <n v="1"/>
    <n v="24785"/>
    <n v="0"/>
    <n v="0"/>
    <n v="1"/>
    <n v="24785"/>
    <n v="0"/>
    <n v="0"/>
    <s v=""/>
    <n v="0"/>
    <n v="0"/>
    <s v=""/>
    <s v=""/>
    <n v="0"/>
    <n v="0"/>
    <s v=""/>
    <s v=""/>
    <n v="0"/>
    <n v="0"/>
    <s v=""/>
    <s v="2. Sensitive"/>
    <s v="2. Accommodating"/>
    <s v="2. Sensitive"/>
    <s v="It did not develop any specific innovation"/>
    <s v="Little or no advocacy"/>
    <s v="It did not take tested solutions to scale"/>
  </r>
  <r>
    <x v="23"/>
    <x v="3"/>
    <m/>
    <s v="Women for Women: Creating Opportunity for Women in Enterprise Development in Addis Ababa, Ethiopia"/>
    <s v="Ethiopia"/>
    <m/>
    <s v="CARE Nederland"/>
    <s v="Foundation"/>
    <s v="Other"/>
    <s v="H&amp;M Conscious Foundation"/>
    <m/>
    <m/>
    <m/>
    <m/>
    <m/>
    <m/>
    <m/>
    <m/>
    <m/>
    <m/>
    <m/>
    <m/>
    <m/>
    <m/>
    <m/>
    <m/>
    <m/>
    <m/>
    <m/>
    <m/>
    <m/>
    <m/>
    <m/>
    <m/>
    <m/>
    <m/>
    <m/>
    <m/>
    <m/>
    <m/>
    <m/>
    <m/>
    <m/>
    <m/>
    <m/>
    <m/>
    <m/>
    <m/>
    <m/>
    <m/>
    <m/>
    <m/>
    <m/>
    <m/>
    <m/>
    <d v="2015-10-08T00:00:00"/>
    <d v="2018-01-31T00:00:00"/>
    <d v="2018-07-31T00:00:00"/>
    <s v="Development Access to and Control over Economic Resources"/>
    <n v="1501048"/>
    <s v="Silke Hhandley"/>
    <s v="Program Director"/>
    <s v="Handley, Silke &lt;Silke.Handley@care.org"/>
    <s v="Misrach Mekonnen"/>
    <s v="Project Manager"/>
    <s v="misrach.mekonnen@care.org"/>
    <s v="NO"/>
    <s v="YES"/>
    <s v="NO"/>
    <s v="Economic Empowerment of Low Income Women"/>
    <s v="Sub-National"/>
    <s v="Three Sub Cities of (Lideta woreda 5&amp;7, Kirkos wereda 9 &amp; 10 and Arada wreda 5&amp;10) Addis Ababa City Adminstration, Ethiopia"/>
    <s v="(Resource poor urban youth female) Women from low-income communities in urban areas of Addis Ababa, Ethiopia"/>
    <n v="5000"/>
    <m/>
    <n v="5000"/>
    <n v="15000"/>
    <n v="10000"/>
    <n v="25000"/>
    <s v="Direct:Direct Beneficiaries:_x000a_• 5000 women to be organized into VSLAs, SHGs, SACCOs_x000a_• 500 women led enterprises (in groups and individual)_x000a_• 50 Women led Social Service Providers_x000a__x000a_Indirect Beneficiaires: _x000a_• Family members of 5,000 women, Micro and Small Scale Enterprise, WCYAO, Training Institutes like DOT, Micro Finance Institutions like Addis Credit and Saving Institute, Banks and the Addis Ababa community at large are targets which indirectly benefit from this project."/>
    <m/>
    <m/>
    <m/>
    <m/>
    <m/>
    <m/>
    <m/>
    <m/>
    <m/>
    <m/>
    <m/>
    <m/>
    <m/>
    <m/>
    <m/>
    <m/>
    <m/>
    <m/>
    <m/>
    <m/>
    <m/>
    <m/>
    <m/>
    <m/>
    <m/>
    <m/>
    <m/>
    <m/>
    <m/>
    <m/>
    <m/>
    <m/>
    <m/>
    <m/>
    <m/>
    <m/>
    <m/>
    <m/>
    <m/>
    <m/>
    <m/>
    <m/>
    <m/>
    <m/>
    <m/>
    <m/>
    <m/>
    <m/>
    <m/>
    <m/>
    <m/>
    <m/>
    <m/>
    <m/>
    <m/>
    <m/>
    <m/>
    <m/>
    <m/>
    <m/>
    <n v="4972"/>
    <n v="2448"/>
    <n v="7420"/>
    <n v="12750"/>
    <n v="12250"/>
    <n v="25000"/>
    <s v="NO"/>
    <m/>
    <m/>
    <m/>
    <s v="NO"/>
    <m/>
    <m/>
    <m/>
    <s v="NO"/>
    <m/>
    <m/>
    <m/>
    <s v="NO"/>
    <m/>
    <m/>
    <m/>
    <s v="NO"/>
    <m/>
    <m/>
    <m/>
    <s v="NO"/>
    <m/>
    <m/>
    <m/>
    <s v="NO"/>
    <m/>
    <m/>
    <m/>
    <s v="NO"/>
    <m/>
    <m/>
    <m/>
    <s v="YES"/>
    <m/>
    <m/>
    <m/>
    <s v="NO"/>
    <m/>
    <m/>
    <m/>
    <s v="NO"/>
    <m/>
    <m/>
    <m/>
    <s v="NO"/>
    <m/>
    <m/>
    <m/>
    <s v="NO"/>
    <m/>
    <m/>
    <m/>
    <s v="NO"/>
    <m/>
    <m/>
    <m/>
    <s v="NO"/>
    <m/>
    <m/>
    <m/>
    <s v="YES"/>
    <n v="4972"/>
    <n v="1"/>
    <n v="2448"/>
    <m/>
    <s v="NO"/>
    <m/>
    <m/>
    <m/>
    <s v="YES"/>
    <s v="February"/>
    <n v="2017"/>
    <s v="YES"/>
    <s v="YES"/>
    <s v="July"/>
    <n v="2018"/>
    <m/>
    <x v="0"/>
    <s v="NO"/>
    <s v="NO"/>
    <s v="YES"/>
    <s v="YES"/>
    <s v="NO"/>
    <m/>
    <m/>
    <s v="NO"/>
    <m/>
    <x v="1"/>
    <s v="Using Enterprise Development as a means of eradicating poverty and gender inequality"/>
    <x v="1"/>
    <s v="One of the strategies we used was providing an intensive capacity building trainings which helped our target to generate innovative ideas to diversify their livelihood strategies and this innovative approach inspired the wider community for change. _x000a__x000a_• Partners incorporated “Women-led Enterprise Development” strategy as a key tool in promoting pro-poor solutions."/>
    <x v="1"/>
    <x v="0"/>
    <s v="YES"/>
    <x v="0"/>
    <x v="0"/>
    <x v="0"/>
    <x v="0"/>
    <n v="4"/>
    <x v="1"/>
    <x v="1"/>
    <x v="0"/>
    <x v="1"/>
    <x v="1"/>
    <x v="1"/>
    <n v="3"/>
    <x v="1"/>
    <x v="1"/>
    <x v="1"/>
    <x v="1"/>
    <x v="1"/>
    <n v="3"/>
    <x v="2"/>
    <x v="2"/>
    <n v="6"/>
    <s v="Local NGO(s)/CSO(s)"/>
    <s v="Local government(s)"/>
    <s v="Private sector"/>
    <x v="1"/>
    <m/>
    <s v="Yes, as it was difficult to meet the planned 5000 targets based on the  pre-defined selection criteria, a “cascading” mechanism was developed to reache the unmet targets whereby women who were previously involved in VSLA start-up and in VSLA trainings provide/share experiences with other women."/>
    <s v="Organizing targets in to VSLA groups and also formation of SACCOs"/>
    <s v="Engaging men"/>
    <s v="Community scord training is provided at the end of this FY and implementation will be in the next FY"/>
    <s v="We learned that working in partnership including collaboration with government is very advantageous to use available opportunities, for example, this year by collaborating with the Women and Children affairs office, we were able to organize bazaar for our targets which may not be impossible to conduct the bazaar for us as our targets are involved in informal activities."/>
    <s v="Being flexiable to change strategies and adabtive according to situations  is very much infulencial in meeting the project objectives."/>
    <s v="Though effort was made to link targets with micro finance institutions to access soft loan, it became challenging as the targets were having different expectation in terms of service provision."/>
    <m/>
    <s v="Project proposal, Base line survey document"/>
    <n v="7420"/>
    <n v="25000"/>
    <n v="3.3692722371967654"/>
    <n v="0.6700808625336927"/>
    <n v="0.51"/>
    <n v="4972"/>
    <n v="12750"/>
    <s v=""/>
    <n v="0"/>
    <n v="0"/>
    <s v=""/>
    <s v=""/>
    <n v="0"/>
    <n v="0"/>
    <s v=""/>
    <s v=""/>
    <n v="0"/>
    <n v="0"/>
    <s v=""/>
    <s v=""/>
    <n v="0"/>
    <n v="0"/>
    <s v=""/>
    <n v="1"/>
    <n v="4972"/>
    <n v="2448"/>
    <n v="0.49235720032180208"/>
    <s v="2. Sensitive"/>
    <s v="2. Accommodating"/>
    <s v="2. Sensitive"/>
    <s v="It tested new ways for fighting poverty, but did not measure results of innovation"/>
    <s v="Little or no advocacy"/>
    <s v="It linked and worked with strategic alliances and partners to take tested and effective solutions to scale"/>
  </r>
  <r>
    <x v="24"/>
    <x v="0"/>
    <n v="3564"/>
    <s v="Tropical Cyclone Winston (Fiji) Response"/>
    <s v="Fiji"/>
    <s v="FJI001/FJ002 (DFAT)"/>
    <s v="CARE Australia"/>
    <s v="Government"/>
    <s v="Government - Australia"/>
    <s v="DFAT-Australia"/>
    <s v="FJI001/ FJI003 (CA Restricted)"/>
    <s v="CARE Australia"/>
    <s v="Other"/>
    <s v="Other"/>
    <s v="CARE Australia"/>
    <s v="FJI001/FJ006 (IHG/CARE UK)"/>
    <s v="CARE Australia"/>
    <s v="Corporation"/>
    <s v="Other"/>
    <s v="CARE UK"/>
    <m/>
    <m/>
    <m/>
    <m/>
    <m/>
    <m/>
    <m/>
    <m/>
    <m/>
    <m/>
    <m/>
    <m/>
    <m/>
    <m/>
    <m/>
    <m/>
    <m/>
    <m/>
    <m/>
    <m/>
    <m/>
    <m/>
    <m/>
    <m/>
    <m/>
    <m/>
    <m/>
    <m/>
    <m/>
    <m/>
    <m/>
    <m/>
    <m/>
    <m/>
    <m/>
    <d v="2016-02-01T00:00:00"/>
    <d v="2017-04-30T00:00:00"/>
    <m/>
    <s v="Humanitarian Other"/>
    <n v="1658497"/>
    <s v="Cathy Boyle"/>
    <s v="Country Programs Manager"/>
    <s v="cathy.boyle@care.org.au"/>
    <s v="Mary Larkin"/>
    <s v="Pacific and Timor-Leste Coordinator"/>
    <s v="mary.larkin@care.org.au"/>
    <s v="YES"/>
    <s v="NO"/>
    <s v="NO"/>
    <s v="To provide immediate essential assistance through improving access to clean and safe water, sanitation and hygiene, food security and emergency shelter solutions to the most vulnerable people, especially women and girls, affected by Tropical Cyclone Winston."/>
    <s v="Sub-National"/>
    <s v="Northern and Western Divisions – Cakaudrove, Macuata, Ba and Ra Provinces."/>
    <s v="Impact group was identified as those with highest need with a particular focus on the most vulnerable people, especially women and girls. They include communities in rural areas and informal settlements in the project sites."/>
    <n v="12908"/>
    <n v="14184"/>
    <n v="27092"/>
    <m/>
    <m/>
    <m/>
    <s v="The participants are members of of vulnerable, cyclone-affected communities in Fiji in areas worst affected by the cyclone. Direct participants were calculated (BY HEADCOUNT??) as those reached with i) delivery of goods (e.g. hygiene kits, seeds); ii) services (e.g. access to sanitation and clean water via rehabilitated water systems and construction of sanitation facilities; access to nurseries contructed in target communities); and iii)training and information."/>
    <m/>
    <n v="12908"/>
    <n v="14184"/>
    <n v="27092"/>
    <m/>
    <m/>
    <m/>
    <s v="NO"/>
    <m/>
    <m/>
    <m/>
    <s v="NO"/>
    <m/>
    <m/>
    <m/>
    <s v="NO"/>
    <m/>
    <m/>
    <m/>
    <s v="NO"/>
    <m/>
    <m/>
    <m/>
    <s v="NO"/>
    <m/>
    <m/>
    <m/>
    <s v="NO"/>
    <m/>
    <m/>
    <m/>
    <s v="NO"/>
    <m/>
    <m/>
    <m/>
    <s v="Yes"/>
    <n v="21516"/>
    <n v="0.48"/>
    <m/>
    <s v="NO"/>
    <m/>
    <m/>
    <m/>
    <s v="NO"/>
    <m/>
    <m/>
    <m/>
    <s v="NO"/>
    <m/>
    <m/>
    <m/>
    <s v="YES"/>
    <n v="24763"/>
    <n v="0.48"/>
    <m/>
    <m/>
    <m/>
    <m/>
    <m/>
    <m/>
    <m/>
    <m/>
    <m/>
    <m/>
    <m/>
    <m/>
    <m/>
    <m/>
    <m/>
    <m/>
    <m/>
    <m/>
    <m/>
    <m/>
    <m/>
    <m/>
    <m/>
    <m/>
    <m/>
    <m/>
    <m/>
    <m/>
    <m/>
    <m/>
    <m/>
    <m/>
    <m/>
    <m/>
    <m/>
    <m/>
    <m/>
    <m/>
    <m/>
    <m/>
    <m/>
    <m/>
    <m/>
    <m/>
    <m/>
    <m/>
    <m/>
    <m/>
    <m/>
    <m/>
    <m/>
    <m/>
    <m/>
    <m/>
    <m/>
    <m/>
    <m/>
    <m/>
    <m/>
    <m/>
    <m/>
    <m/>
    <m/>
    <m/>
    <m/>
    <m/>
    <m/>
    <m/>
    <m/>
    <m/>
    <m/>
    <m/>
    <m/>
    <m/>
    <m/>
    <m/>
    <m/>
    <m/>
    <m/>
    <m/>
    <m/>
    <s v="YES"/>
    <s v="August"/>
    <n v="2016"/>
    <s v="NO"/>
    <s v="NO"/>
    <m/>
    <m/>
    <m/>
    <x v="1"/>
    <s v="NO"/>
    <s v="NO"/>
    <s v="YES"/>
    <s v="YES"/>
    <s v="YES"/>
    <s v="NO"/>
    <s v="NO"/>
    <s v="NO"/>
    <m/>
    <x v="1"/>
    <s v="Localisation in practice' in which national responders take the lead, with appropriate support from international actors to enhance the effectiveness and sustainability of the disaster response."/>
    <x v="0"/>
    <m/>
    <x v="0"/>
    <x v="0"/>
    <s v="YES"/>
    <x v="0"/>
    <x v="0"/>
    <x v="0"/>
    <x v="0"/>
    <n v="4"/>
    <x v="1"/>
    <x v="1"/>
    <x v="1"/>
    <x v="1"/>
    <x v="1"/>
    <x v="1"/>
    <n v="4"/>
    <x v="1"/>
    <x v="1"/>
    <x v="1"/>
    <x v="1"/>
    <x v="1"/>
    <n v="3"/>
    <x v="0"/>
    <x v="2"/>
    <n v="1"/>
    <s v="Local alliance(s)/Platform(s)/Network(s) of  NGOs/CSOs"/>
    <m/>
    <m/>
    <x v="2"/>
    <s v="The project was implemented through our local partner Live &amp; Learn Fiji. CARE and LL had a project agreement with an objective for CARE to strengthen LL's capacity to respond to a humanitarian emergency. CARE provided technical expertise, capacity building (training; mentoring); tools and technical guidance; and access to donors funds."/>
    <s v="No important changes or adjustments in this FY."/>
    <s v="The 'localisation in practice model and building on Live &amp; Learn's relationships with communities and provincial government to access areas and identify needs."/>
    <s v="Development and dissemination of a rapid gender analysis. CARE and LL had broad engagement across the cluster system in Fiji on the findings of our RGA"/>
    <s v="Investing time in nurturing the partnership between CARE and LL.  Holding an after action review (AAR) that focussed on the partnership helped strengthen the partnership."/>
    <s v="CARE’s TC Winston response demonstrated that effective localisation (response in partnership) can be achieved – however, it comes on the back of significant investment and capacity building. This is necessary for suistainability and will ensure that local partners  will be able to respond effectively to future emergencies, including the rapid scale up that this involves."/>
    <s v="Strong synergies between development programming and emergency programming should be leveraged to ensure coherent programming. Bridging the gap between existing development programming and emergency response also fosters learning across the teams. For future responses, Live &amp; Learn is exploring the potential to bring development staff into the emergency response teams in order to prevent team silos from forming."/>
    <s v="As this was a response and recovery program working in partnership, this needed to be appropriately presented to the media and in communications. CARE’s model, which relies on sharing real-time stories at a high pace, contrasted with Live &amp; Learn's approach. This showed the need for clear communication protocols. Both partners agreed that issues linked to media, visibility and branding of the partnership must be discussed and agreed to pre-emergency. Terms of Reference should establish how the partnership will be portrayed including the appropriate use of the CARE and L&amp;L’s logos and brands."/>
    <m/>
    <s v="Mid term report for DFAT reporting on progress from 1 March to 1 September 2016. Individual_Agency_L2__Joint_Learning_Report. Project Completion Report April 2017. Case study on localisation - see https://www.care.org.au/wp-content/uploads/2016/10/Localisation-Case-Study-October-2016-13.10.pdf."/>
    <n v="27092"/>
    <n v="0"/>
    <n v="0"/>
    <n v="0.47645061272700429"/>
    <s v=""/>
    <n v="12908"/>
    <n v="0"/>
    <n v="1"/>
    <n v="27092"/>
    <n v="0"/>
    <n v="0"/>
    <n v="1"/>
    <n v="21516"/>
    <n v="0"/>
    <n v="0"/>
    <s v=""/>
    <n v="0"/>
    <n v="0"/>
    <s v=""/>
    <s v=""/>
    <n v="0"/>
    <n v="0"/>
    <s v=""/>
    <s v=""/>
    <n v="0"/>
    <n v="0"/>
    <s v=""/>
    <s v="2. Sensitive"/>
    <s v="2. Accommodating"/>
    <s v="2. Sensitive"/>
    <s v="It tested new ways for fighting poverty, but did not measure results of innovation"/>
    <s v="Moderate advocacy"/>
    <s v="It did not take tested solutions to scale"/>
  </r>
  <r>
    <x v="25"/>
    <x v="1"/>
    <m/>
    <s v="CARE Learning Tours in Europe: Building Champions and Deepening the Connection for International Development Assistance"/>
    <s v="France"/>
    <s v="CUSAFR0007"/>
    <s v="CARE USA"/>
    <s v="Foundation"/>
    <m/>
    <s v="Bill &amp; Melinda Gates Foundation"/>
    <m/>
    <m/>
    <m/>
    <m/>
    <m/>
    <m/>
    <m/>
    <m/>
    <m/>
    <m/>
    <m/>
    <m/>
    <m/>
    <m/>
    <m/>
    <m/>
    <m/>
    <m/>
    <m/>
    <m/>
    <m/>
    <m/>
    <m/>
    <m/>
    <m/>
    <m/>
    <m/>
    <m/>
    <m/>
    <m/>
    <m/>
    <m/>
    <m/>
    <m/>
    <m/>
    <m/>
    <m/>
    <m/>
    <m/>
    <m/>
    <m/>
    <m/>
    <m/>
    <m/>
    <m/>
    <d v="2015-03-25T00:00:00"/>
    <d v="2016-08-31T00:00:00"/>
    <d v="2017-01-31T00:00:00"/>
    <s v="Development Other"/>
    <n v="170202"/>
    <s v="Fanny PETITBON"/>
    <s v="Advocacy Manager"/>
    <s v="petitbon@carefrance.org"/>
    <s v="Sophie CHASSOT"/>
    <s v="Advocacy Officer"/>
    <s v="chassot@carefrance.org"/>
    <s v="NO"/>
    <s v="YES"/>
    <s v="NO"/>
    <s v="To cultivate Parliamentarian champions and other influential individuals in Europe to improve policies and increase funding for foreign aid  with the aim of empowering women and girls, reducing poverty, and achieving sustainable development and social justice globally for women and their families, through uniquely designed trips and follow-up opportunities to deepen engagement with trip participants."/>
    <s v="Multiple countries"/>
    <s v="France (Paris) / Germany (Berlin and Bonn)/ Belgium (Brussels) as well as the countries where the Learning Tours took place (Madagascar, Ivory Coast, Chad, Sierra Leone, Malawi)"/>
    <s v="French Members of Parliament"/>
    <n v="5"/>
    <n v="5"/>
    <n v="10"/>
    <n v="12"/>
    <n v="17"/>
    <n v="29"/>
    <s v="Direct participants: MPs that CARE France took on a Learning Tour/ Indirect participants: MPs that CARE France mobilized during the post-trip phase and took action in favour of increased French Overseas Development Assistance (submitted amendments for French budget law, signed op-eds, financially supported CARE projects)"/>
    <m/>
    <m/>
    <m/>
    <m/>
    <m/>
    <m/>
    <m/>
    <s v="NO"/>
    <m/>
    <m/>
    <m/>
    <s v="NO"/>
    <m/>
    <m/>
    <m/>
    <s v="NO"/>
    <m/>
    <m/>
    <m/>
    <s v="NO"/>
    <m/>
    <m/>
    <m/>
    <s v="NO"/>
    <m/>
    <m/>
    <m/>
    <s v="NO"/>
    <m/>
    <m/>
    <m/>
    <s v="NO"/>
    <m/>
    <m/>
    <m/>
    <s v="NO"/>
    <m/>
    <m/>
    <m/>
    <s v="NO"/>
    <m/>
    <m/>
    <m/>
    <s v="NO"/>
    <m/>
    <m/>
    <m/>
    <s v="NO"/>
    <m/>
    <m/>
    <m/>
    <s v="NO"/>
    <m/>
    <m/>
    <m/>
    <m/>
    <s v="NO"/>
    <m/>
    <m/>
    <m/>
    <n v="3"/>
    <n v="3"/>
    <n v="6"/>
    <n v="8"/>
    <n v="12"/>
    <n v="20"/>
    <m/>
    <m/>
    <m/>
    <m/>
    <m/>
    <m/>
    <m/>
    <m/>
    <m/>
    <m/>
    <m/>
    <m/>
    <m/>
    <m/>
    <m/>
    <m/>
    <m/>
    <m/>
    <m/>
    <m/>
    <m/>
    <m/>
    <m/>
    <m/>
    <m/>
    <m/>
    <m/>
    <m/>
    <m/>
    <m/>
    <m/>
    <m/>
    <m/>
    <m/>
    <m/>
    <m/>
    <m/>
    <m/>
    <m/>
    <m/>
    <m/>
    <m/>
    <m/>
    <m/>
    <m/>
    <m/>
    <m/>
    <m/>
    <m/>
    <m/>
    <m/>
    <m/>
    <m/>
    <m/>
    <m/>
    <m/>
    <m/>
    <m/>
    <m/>
    <m/>
    <m/>
    <m/>
    <m/>
    <m/>
    <s v="Overseas Development Assistance"/>
    <s v="YES"/>
    <n v="6"/>
    <n v="0.5"/>
    <n v="20"/>
    <s v="NO"/>
    <m/>
    <m/>
    <s v="NO"/>
    <s v="NO"/>
    <m/>
    <m/>
    <m/>
    <x v="2"/>
    <s v="YES"/>
    <s v="NO"/>
    <s v="NO"/>
    <s v="NO"/>
    <s v="NO"/>
    <s v="NO"/>
    <s v="YES"/>
    <s v="NO"/>
    <m/>
    <x v="0"/>
    <m/>
    <x v="3"/>
    <s v="Replicating CARE USA's Learning Tour model and adapting it to the European context."/>
    <x v="0"/>
    <x v="0"/>
    <s v="YES"/>
    <x v="0"/>
    <x v="1"/>
    <x v="1"/>
    <x v="1"/>
    <n v="2"/>
    <x v="1"/>
    <x v="1"/>
    <x v="2"/>
    <x v="1"/>
    <x v="2"/>
    <x v="4"/>
    <n v="2"/>
    <x v="1"/>
    <x v="2"/>
    <x v="2"/>
    <x v="2"/>
    <x v="2"/>
    <n v="0"/>
    <x v="0"/>
    <x v="1"/>
    <m/>
    <m/>
    <m/>
    <m/>
    <x v="2"/>
    <s v="During the Learning Tours, local CSOs had the opportunity to present their work to French MPs and the challenges tey face every day. They strengthened their representation, communication and advocacy capacities."/>
    <m/>
    <s v="Engaging Members of Parliament"/>
    <s v="Building coalitions with peer NGOs to advocate for increased ODA"/>
    <m/>
    <m/>
    <m/>
    <m/>
    <m/>
    <m/>
    <n v="6"/>
    <n v="20"/>
    <n v="3.3333333333333335"/>
    <n v="0.5"/>
    <n v="0.4"/>
    <n v="3"/>
    <n v="8"/>
    <s v=""/>
    <n v="0"/>
    <n v="0"/>
    <s v=""/>
    <s v=""/>
    <n v="0"/>
    <n v="0"/>
    <s v=""/>
    <s v=""/>
    <n v="0"/>
    <n v="0"/>
    <s v=""/>
    <s v=""/>
    <n v="0"/>
    <n v="0"/>
    <s v=""/>
    <s v=""/>
    <n v="0"/>
    <n v="0"/>
    <s v=""/>
    <s v="1. Neutral"/>
    <s v="1. Tokenistic"/>
    <s v="0. Harmful"/>
    <s v="It did not develop any specific innovation"/>
    <s v="Intensive advocacy"/>
    <s v="It took tested solutions to scale on its own"/>
  </r>
  <r>
    <x v="25"/>
    <x v="1"/>
    <m/>
    <s v="PAMOC"/>
    <s v="France"/>
    <m/>
    <s v="CARE France"/>
    <s v="Government"/>
    <s v="Government - France"/>
    <s v="French Development Agency"/>
    <m/>
    <m/>
    <m/>
    <m/>
    <m/>
    <m/>
    <m/>
    <m/>
    <m/>
    <m/>
    <m/>
    <m/>
    <m/>
    <m/>
    <m/>
    <m/>
    <m/>
    <m/>
    <m/>
    <m/>
    <m/>
    <m/>
    <m/>
    <m/>
    <m/>
    <m/>
    <m/>
    <m/>
    <m/>
    <m/>
    <m/>
    <m/>
    <m/>
    <m/>
    <m/>
    <m/>
    <m/>
    <m/>
    <m/>
    <m/>
    <m/>
    <m/>
    <m/>
    <m/>
    <m/>
    <d v="2013-07-01T00:00:00"/>
    <d v="2016-06-30T00:00:00"/>
    <d v="2016-12-31T00:00:00"/>
    <s v="Development Other"/>
    <n v="96693"/>
    <s v="Aurélie Ceinos"/>
    <s v="responsable changement climatique"/>
    <s v="ceinos@carefrance.org"/>
    <m/>
    <m/>
    <m/>
    <s v="NO"/>
    <s v="YES"/>
    <s v="NO"/>
    <s v="Contribuer au sein d'un consortium d'ONG francaises, à l'identification, la diffusion et la mise en œuvre de modèles de développement sobre en carbone et résilients face aux impacts du changement climatique en sensibilisant et formant les acteur du dévelopemment et en influencant les politiques nationales et internationales."/>
    <s v="National"/>
    <s v="Les ONG Francaises, pouvoir publics francais et le grand public francais sont principalement visés par les activités de sensibilisation et plaidoyer."/>
    <s v="Le principal group d'impact sont les praticiens d'ONG. Ils sont un intermédiaire pour améliorer les pratiques de développement (en intégrant le risque climatique) et infine augmenter l'impact à long terme auprès des populations vulnérables"/>
    <n v="250"/>
    <n v="250"/>
    <n v="500"/>
    <m/>
    <m/>
    <m/>
    <m/>
    <m/>
    <m/>
    <m/>
    <m/>
    <m/>
    <m/>
    <m/>
    <m/>
    <m/>
    <m/>
    <m/>
    <m/>
    <m/>
    <m/>
    <m/>
    <m/>
    <m/>
    <m/>
    <m/>
    <m/>
    <m/>
    <m/>
    <m/>
    <m/>
    <m/>
    <m/>
    <m/>
    <m/>
    <m/>
    <m/>
    <m/>
    <m/>
    <m/>
    <m/>
    <m/>
    <m/>
    <m/>
    <m/>
    <m/>
    <m/>
    <m/>
    <m/>
    <m/>
    <m/>
    <m/>
    <m/>
    <m/>
    <m/>
    <m/>
    <m/>
    <m/>
    <m/>
    <m/>
    <m/>
    <m/>
    <m/>
    <m/>
    <m/>
    <m/>
    <m/>
    <n v="40"/>
    <n v="40"/>
    <n v="80"/>
    <m/>
    <m/>
    <m/>
    <s v="YES"/>
    <n v="40"/>
    <n v="0.5"/>
    <m/>
    <s v="YES"/>
    <n v="40"/>
    <n v="0.5"/>
    <m/>
    <m/>
    <m/>
    <m/>
    <m/>
    <s v="YES"/>
    <n v="40"/>
    <n v="0.5"/>
    <m/>
    <m/>
    <m/>
    <m/>
    <m/>
    <m/>
    <m/>
    <m/>
    <m/>
    <s v="YES"/>
    <n v="40"/>
    <n v="0.5"/>
    <m/>
    <m/>
    <m/>
    <m/>
    <m/>
    <m/>
    <m/>
    <m/>
    <m/>
    <m/>
    <m/>
    <m/>
    <m/>
    <m/>
    <m/>
    <m/>
    <m/>
    <s v="YES"/>
    <n v="40"/>
    <n v="0.5"/>
    <m/>
    <s v="YES"/>
    <n v="40"/>
    <n v="0.5"/>
    <m/>
    <m/>
    <m/>
    <m/>
    <m/>
    <m/>
    <m/>
    <m/>
    <m/>
    <m/>
    <m/>
    <m/>
    <m/>
    <m/>
    <m/>
    <m/>
    <m/>
    <m/>
    <s v="NO"/>
    <m/>
    <m/>
    <s v="NO"/>
    <s v="NO"/>
    <m/>
    <m/>
    <m/>
    <x v="1"/>
    <m/>
    <m/>
    <m/>
    <m/>
    <s v="YES"/>
    <m/>
    <m/>
    <m/>
    <m/>
    <x v="0"/>
    <m/>
    <x v="1"/>
    <s v="Projet multi acteurs impliquand plusieurs ONG et ayant œuvré à établir des partenariats avec des insitutions publiques française."/>
    <x v="0"/>
    <x v="0"/>
    <s v="NO"/>
    <x v="1"/>
    <x v="0"/>
    <x v="0"/>
    <x v="1"/>
    <n v="2"/>
    <x v="1"/>
    <x v="1"/>
    <x v="1"/>
    <x v="2"/>
    <x v="1"/>
    <x v="1"/>
    <n v="3"/>
    <x v="3"/>
    <x v="1"/>
    <x v="1"/>
    <x v="2"/>
    <x v="5"/>
    <n v="2"/>
    <x v="1"/>
    <x v="3"/>
    <n v="7"/>
    <s v="Local NGO(s)/CSO(s)"/>
    <m/>
    <m/>
    <x v="0"/>
    <s v="Formations, construction de stratégies et positions communes entre membres de la société civile, organisation d'ateliers internes, construction de savoir collectifs."/>
    <s v="Lors de l'année fiscale, seule a été mise en œuvre une extension du projets ur 6 mois, durant laquelle les composantes du projet n'ont pas été significativement modifiés."/>
    <s v="La production, la valorisation et les échanges de savoirs collectifs sur les enjeux et pratiques climat-développement."/>
    <s v="Le dialogue avec les pouvoirs publics français sur les enjeux climat et développement et le plaidoyer."/>
    <m/>
    <s v="Renforcer les capacités non seulement des OSC du Nord, mais aussi des OSC du Sud (difficulté)"/>
    <s v="Pratique prometteuse: Les relations tissées entre les membres actifs du consortium du projet, le secteur de la recherche et les négociateurs climat"/>
    <m/>
    <m/>
    <m/>
    <n v="80"/>
    <n v="0"/>
    <n v="0"/>
    <n v="0.5"/>
    <s v=""/>
    <n v="40"/>
    <n v="0"/>
    <s v=""/>
    <n v="0"/>
    <n v="0"/>
    <s v=""/>
    <n v="1"/>
    <n v="40"/>
    <n v="0"/>
    <n v="0"/>
    <s v=""/>
    <n v="0"/>
    <n v="0"/>
    <s v=""/>
    <s v=""/>
    <n v="0"/>
    <n v="0"/>
    <s v=""/>
    <s v=""/>
    <n v="0"/>
    <n v="0"/>
    <s v=""/>
    <s v="1. Neutral"/>
    <s v="2. Accommodating"/>
    <s v="3. Responsive"/>
    <s v="It did not develop any specific innovation"/>
    <s v="Moderate advocacy"/>
    <s v="It linked and worked with strategic alliances and partners to take tested and effective solutions to scale"/>
  </r>
  <r>
    <x v="25"/>
    <x v="1"/>
    <m/>
    <s v="Soutien au programme &quot;Traitements médicaux en France pour enfants roumains&quot;"/>
    <s v="France"/>
    <m/>
    <s v="No CARE member related to the project/initiative"/>
    <s v="Government"/>
    <m/>
    <m/>
    <m/>
    <m/>
    <m/>
    <m/>
    <m/>
    <m/>
    <m/>
    <m/>
    <m/>
    <m/>
    <m/>
    <m/>
    <m/>
    <m/>
    <m/>
    <m/>
    <m/>
    <m/>
    <m/>
    <m/>
    <m/>
    <m/>
    <m/>
    <m/>
    <m/>
    <m/>
    <m/>
    <m/>
    <m/>
    <m/>
    <m/>
    <m/>
    <m/>
    <m/>
    <m/>
    <m/>
    <m/>
    <m/>
    <m/>
    <m/>
    <m/>
    <m/>
    <m/>
    <m/>
    <m/>
    <d v="2013-01-01T00:00:00"/>
    <m/>
    <m/>
    <s v="Development Other"/>
    <n v="210000"/>
    <s v="Florian Pena"/>
    <s v="Directeur Adjoint Service Prévention"/>
    <s v="florian.pena@sauvegarde01.fr"/>
    <m/>
    <m/>
    <m/>
    <s v="NO"/>
    <s v="YES"/>
    <s v="NO"/>
    <s v="Ce programme est un programme à part, issu de la fusion entre CARE France et SERA France en 2003. Il suit des enfants et des jeunes de Roumanie accueilli.e.s en France entre 1991 et 2011, pour raisons médicales et dont l'accueil a été un accueil à long terme. Ces jeunes sont dans des familles d'accueil bénévole et le suivi concerne les jeunes et les familles, inclut des projets de vie pour les jeunes (dont la recherche des origines si besoin) et un suivi avec les autorités roumaines (et avec le partenaire local SERA ROMANIA)."/>
    <s v="National"/>
    <s v="en FY17 le projet s'est déroulé dans 17 départements français (enfants et jeunes répartis dans 17 départements)"/>
    <s v="Enfants et jeunes venu.e.s en France entre 1991 et 2011 pour raisons médicales, intégré.e.s dans des familles ou structures françaises et nécessitant un suivi notamment pour faire le lien avec les autorités roumaines."/>
    <n v="37"/>
    <n v="47"/>
    <n v="84"/>
    <n v="148"/>
    <n v="188"/>
    <n v="336"/>
    <s v="les participant.e.s direct.e.s sont les jeunes. Les participant.e.s indirect.e.s sont les familles d'accueil."/>
    <m/>
    <m/>
    <m/>
    <m/>
    <m/>
    <m/>
    <m/>
    <m/>
    <m/>
    <m/>
    <m/>
    <m/>
    <m/>
    <m/>
    <m/>
    <m/>
    <m/>
    <m/>
    <m/>
    <m/>
    <m/>
    <m/>
    <m/>
    <m/>
    <m/>
    <m/>
    <m/>
    <m/>
    <m/>
    <m/>
    <m/>
    <m/>
    <m/>
    <m/>
    <m/>
    <m/>
    <m/>
    <m/>
    <m/>
    <m/>
    <m/>
    <m/>
    <m/>
    <m/>
    <m/>
    <m/>
    <m/>
    <m/>
    <m/>
    <m/>
    <m/>
    <m/>
    <m/>
    <m/>
    <m/>
    <m/>
    <m/>
    <m/>
    <m/>
    <m/>
    <n v="37"/>
    <n v="47"/>
    <n v="84"/>
    <n v="148"/>
    <n v="188"/>
    <n v="336"/>
    <s v="NO"/>
    <m/>
    <m/>
    <m/>
    <s v="NO"/>
    <m/>
    <m/>
    <m/>
    <s v="NO"/>
    <m/>
    <m/>
    <m/>
    <s v="NO"/>
    <m/>
    <m/>
    <m/>
    <s v="NO"/>
    <m/>
    <m/>
    <m/>
    <s v="NO"/>
    <m/>
    <m/>
    <m/>
    <s v="NO"/>
    <m/>
    <m/>
    <m/>
    <s v="NO"/>
    <m/>
    <m/>
    <m/>
    <s v="NO"/>
    <m/>
    <m/>
    <m/>
    <s v="YES"/>
    <n v="84"/>
    <n v="0.44"/>
    <n v="336"/>
    <s v="NO"/>
    <m/>
    <m/>
    <m/>
    <s v="NO"/>
    <m/>
    <m/>
    <m/>
    <s v="NO"/>
    <m/>
    <m/>
    <m/>
    <s v="NO"/>
    <m/>
    <m/>
    <m/>
    <s v="NO"/>
    <m/>
    <m/>
    <m/>
    <s v="NO"/>
    <m/>
    <m/>
    <m/>
    <s v="protection de l'enfance/ désinstitutionnalisation, prévention"/>
    <s v="YES"/>
    <m/>
    <m/>
    <m/>
    <s v="NO"/>
    <m/>
    <m/>
    <s v="NO"/>
    <s v="NO"/>
    <m/>
    <m/>
    <m/>
    <x v="0"/>
    <s v="NO"/>
    <s v="NO"/>
    <s v="NO"/>
    <s v="NO"/>
    <s v="NO"/>
    <s v="NO"/>
    <s v="NO"/>
    <s v="NO"/>
    <m/>
    <x v="0"/>
    <s v="développement de modèles réplicables au niveau départemental pour l'amélioration des pratiques liées à la protection de l'enfant (développement de services alternatifs, prévention et désinstitutionnalisation, prévention des grossesses non désirées)"/>
    <x v="0"/>
    <s v="modèles de programmes de prévention, désinstitutionnalisation, développement de services (maisons de type familial, centres thérapeutiques pour enfants en situation de handicap), à l'échelle du département et réplicables dans d'autres départements"/>
    <x v="0"/>
    <x v="0"/>
    <s v="NO"/>
    <x v="0"/>
    <x v="0"/>
    <x v="1"/>
    <x v="1"/>
    <n v="2"/>
    <x v="3"/>
    <x v="0"/>
    <x v="0"/>
    <x v="0"/>
    <x v="0"/>
    <x v="3"/>
    <n v="0"/>
    <x v="2"/>
    <x v="0"/>
    <x v="0"/>
    <x v="0"/>
    <x v="2"/>
    <n v="0"/>
    <x v="2"/>
    <x v="2"/>
    <n v="1"/>
    <s v="Local NGO(s)/CSO(s)"/>
    <m/>
    <m/>
    <x v="1"/>
    <m/>
    <m/>
    <s v="CARE France a changé d'organisation partenaire dans un souci de meilleur suivi des jeunes pour un nouveau partenariat démarrant début juillet 2017"/>
    <m/>
    <m/>
    <m/>
    <m/>
    <m/>
    <s v="les tableaux ne sont malheureusement pas vraiment adaptés aux programmes liés à la protection de l'enfance, notamment entre la France et la Roumanie, donc j'ai adapté aussi bien que possible."/>
    <m/>
    <n v="84"/>
    <n v="336"/>
    <n v="4"/>
    <n v="0.44047619047619047"/>
    <n v="0.44047619047619047"/>
    <n v="37"/>
    <n v="148"/>
    <s v=""/>
    <n v="0"/>
    <n v="0"/>
    <s v=""/>
    <s v=""/>
    <n v="0"/>
    <n v="0"/>
    <s v=""/>
    <s v=""/>
    <n v="0"/>
    <n v="0"/>
    <s v=""/>
    <s v=""/>
    <n v="0"/>
    <n v="0"/>
    <s v=""/>
    <s v=""/>
    <n v="0"/>
    <n v="0"/>
    <s v=""/>
    <s v="1. Neutral"/>
    <s v="0. Unaware"/>
    <s v="0. Harmful"/>
    <s v="It did not develop any specific innovation"/>
    <s v="Little or no advocacy"/>
    <s v="It did not take tested solutions to scale"/>
  </r>
  <r>
    <x v="25"/>
    <x v="1"/>
    <m/>
    <s v="Welcome jeunes"/>
    <s v="France"/>
    <m/>
    <s v="CARE France"/>
    <s v="Other"/>
    <m/>
    <s v="CARE France"/>
    <m/>
    <m/>
    <m/>
    <m/>
    <m/>
    <m/>
    <m/>
    <m/>
    <m/>
    <m/>
    <m/>
    <m/>
    <m/>
    <m/>
    <m/>
    <m/>
    <m/>
    <m/>
    <m/>
    <m/>
    <m/>
    <m/>
    <m/>
    <m/>
    <m/>
    <m/>
    <m/>
    <m/>
    <m/>
    <m/>
    <m/>
    <m/>
    <m/>
    <m/>
    <m/>
    <m/>
    <m/>
    <m/>
    <m/>
    <m/>
    <m/>
    <m/>
    <m/>
    <m/>
    <m/>
    <m/>
    <m/>
    <m/>
    <s v="Development Other"/>
    <m/>
    <s v="Pastoureau Laure"/>
    <m/>
    <s v="pastoureau@carefrance.org"/>
    <m/>
    <m/>
    <m/>
    <s v="NO"/>
    <s v="YES"/>
    <s v="NO"/>
    <s v="Le programme Welcome Jeunes, permet à des jeunes, qu’ils soient demandeurs d’asile ou réfugiés, étudiants ou jeunes professionnels français, de se rencontrer et d’apprendre à se connaitre au travers d’activités communes et ludiques qu’ils coaniment (sorties culturelles, ateliers de conversation, évènements sportifs …). En favorisant le « Faire avec » plutôt que le « Faire pour », l’association permet aux participants de reprendre confiance en eux et en la vie."/>
    <s v="Sub-National"/>
    <s v="Paris"/>
    <s v="Demandeurs d'asile, réfugiés"/>
    <n v="100"/>
    <n v="100"/>
    <n v="200"/>
    <n v="450"/>
    <n v="530"/>
    <n v="980"/>
    <s v="directs : demandeurs d'asile et réfugiés ; indirects : bénévoles et partenaires"/>
    <m/>
    <m/>
    <m/>
    <m/>
    <m/>
    <m/>
    <m/>
    <m/>
    <m/>
    <m/>
    <m/>
    <m/>
    <m/>
    <m/>
    <m/>
    <m/>
    <m/>
    <m/>
    <m/>
    <m/>
    <m/>
    <m/>
    <m/>
    <m/>
    <m/>
    <m/>
    <m/>
    <m/>
    <m/>
    <m/>
    <m/>
    <m/>
    <m/>
    <m/>
    <m/>
    <m/>
    <m/>
    <m/>
    <m/>
    <m/>
    <m/>
    <m/>
    <m/>
    <m/>
    <m/>
    <m/>
    <m/>
    <m/>
    <m/>
    <m/>
    <m/>
    <m/>
    <m/>
    <m/>
    <m/>
    <m/>
    <m/>
    <m/>
    <m/>
    <m/>
    <n v="100"/>
    <n v="100"/>
    <n v="200"/>
    <n v="450"/>
    <n v="530"/>
    <n v="980"/>
    <m/>
    <m/>
    <m/>
    <m/>
    <m/>
    <m/>
    <m/>
    <m/>
    <s v="YES"/>
    <n v="200"/>
    <n v="0.5"/>
    <n v="980"/>
    <m/>
    <m/>
    <m/>
    <m/>
    <m/>
    <m/>
    <m/>
    <m/>
    <s v="YES"/>
    <n v="50"/>
    <n v="0.5"/>
    <n v="400"/>
    <m/>
    <m/>
    <m/>
    <m/>
    <m/>
    <m/>
    <m/>
    <m/>
    <s v="YES"/>
    <n v="100"/>
    <n v="0.7"/>
    <n v="250"/>
    <s v="YES"/>
    <n v="200"/>
    <n v="0.5"/>
    <n v="980"/>
    <m/>
    <m/>
    <m/>
    <m/>
    <m/>
    <m/>
    <m/>
    <m/>
    <s v="YES"/>
    <n v="600"/>
    <n v="0.5"/>
    <n v="930"/>
    <m/>
    <m/>
    <m/>
    <m/>
    <m/>
    <m/>
    <m/>
    <m/>
    <m/>
    <m/>
    <m/>
    <m/>
    <m/>
    <m/>
    <m/>
    <m/>
    <m/>
    <s v="NO"/>
    <m/>
    <m/>
    <s v="NO"/>
    <s v="NO"/>
    <m/>
    <m/>
    <m/>
    <x v="0"/>
    <m/>
    <m/>
    <m/>
    <m/>
    <m/>
    <m/>
    <m/>
    <m/>
    <m/>
    <x v="1"/>
    <m/>
    <x v="0"/>
    <m/>
    <x v="0"/>
    <x v="0"/>
    <s v="YES"/>
    <x v="0"/>
    <x v="0"/>
    <x v="1"/>
    <x v="1"/>
    <n v="3"/>
    <x v="1"/>
    <x v="2"/>
    <x v="1"/>
    <x v="1"/>
    <x v="2"/>
    <x v="4"/>
    <n v="2"/>
    <x v="2"/>
    <x v="0"/>
    <x v="0"/>
    <x v="0"/>
    <x v="2"/>
    <n v="0"/>
    <x v="2"/>
    <x v="2"/>
    <n v="3"/>
    <s v="Grassroots organization(s)"/>
    <s v="Local NGO(s)/CSO(s)"/>
    <m/>
    <x v="2"/>
    <s v="Renforcement des capacités de décisions, de mise en débat, d'échanges"/>
    <m/>
    <m/>
    <m/>
    <m/>
    <m/>
    <m/>
    <m/>
    <m/>
    <m/>
    <n v="200"/>
    <n v="980"/>
    <n v="4.9000000000000004"/>
    <n v="0.5"/>
    <n v="0.45918367346938777"/>
    <n v="100"/>
    <n v="450"/>
    <s v=""/>
    <n v="0"/>
    <n v="0"/>
    <s v=""/>
    <s v=""/>
    <n v="0"/>
    <n v="0"/>
    <s v=""/>
    <s v=""/>
    <n v="0"/>
    <n v="0"/>
    <s v=""/>
    <s v=""/>
    <n v="0"/>
    <n v="0"/>
    <s v=""/>
    <s v=""/>
    <n v="0"/>
    <n v="0"/>
    <s v=""/>
    <s v="1. Neutral"/>
    <s v="1. Tokenistic"/>
    <s v="0. Harmful"/>
    <s v="It tested new ways for fighting poverty, but did not measure results of innovation"/>
    <s v="Little or no advocacy"/>
    <s v="It did not take tested solutions to scale"/>
  </r>
  <r>
    <x v="26"/>
    <x v="1"/>
    <n v="3566"/>
    <s v="Cooperation for Rural Prosperity in Georgia"/>
    <s v="Georgia"/>
    <s v="AT472 / CAUTGE0045"/>
    <s v="CARE Österreich"/>
    <s v="Multilateral agency"/>
    <s v="EU - European Union (other than ECHO)"/>
    <s v="EuropeAid "/>
    <s v="AT472 / CAUTGE0045"/>
    <s v="CARE Österreich"/>
    <s v="Government"/>
    <s v="Government - Austria"/>
    <s v="Austrian Development Agency (ADA)"/>
    <s v="USN28 / REPLGE0001"/>
    <s v="CAR USA"/>
    <s v="Foundation"/>
    <s v="Other"/>
    <s v="Peierls Foundation"/>
    <s v="AT807 / CAUTGE0046"/>
    <s v="CARE Österreich"/>
    <s v="Other"/>
    <s v="Other"/>
    <s v="CARE Österreich (CIC Shared Cost)"/>
    <s v="US000 / UNRTGE0010(11/12/13)"/>
    <s v="CARE USA"/>
    <s v="Other"/>
    <s v="Other"/>
    <s v="CARE USA"/>
    <m/>
    <m/>
    <m/>
    <m/>
    <m/>
    <m/>
    <m/>
    <m/>
    <m/>
    <m/>
    <m/>
    <m/>
    <m/>
    <m/>
    <m/>
    <m/>
    <m/>
    <m/>
    <m/>
    <m/>
    <m/>
    <m/>
    <m/>
    <m/>
    <m/>
    <d v="2014-01-01T00:00:00"/>
    <d v="2017-12-31T00:00:00"/>
    <m/>
    <s v="Development Access to and Control over Economic Resources"/>
    <n v="5119143"/>
    <s v="Silvia Sanjuan Munoz"/>
    <s v="Project Director"/>
    <s v="Silvia.Sanjuan@care.org"/>
    <s v="Natia Katsia"/>
    <s v="M&amp;E Coordinator"/>
    <s v="Natia.Katsia@care.org"/>
    <s v="NO"/>
    <s v="YES"/>
    <s v="NO"/>
    <s v="The overall objective of the project is the sustained increase of food production and rural poverty reduction in Georgia. The specific objective is that business-oriented smallholder farmer groups within a sustainable support framework cooperate and compete well in markets"/>
    <s v="National"/>
    <s v="Republic of Georgia. 9 municipalities: Khobi, Abasha, Senaki and Martvili in Samegrelo Region; Ozurgeti, Lanchkhuti and Chokhatauri in Guria Region; Tsageri and Lentekhi in Racha-Lechkhumi &amp; Kvemo Svaneti Region. Advocacy actions and the work with the Georgian Farmers' Association have a national scope."/>
    <s v="Business-oriented stallholder farmers in the project target area and Georgian Farmers Association (GFA), entity to represent and support farmer groups, whose capacities to represent and advocate for an enabling policy framework for smallholder farmers will be enhanced."/>
    <n v="678"/>
    <n v="1462"/>
    <n v="2140"/>
    <n v="6855"/>
    <n v="14645"/>
    <n v="21500"/>
    <s v="Direct Participants: Current member of granted cooperatives, training participants, forum participant, informational campaigns participants, Regional tour participants, Farmers who used agronomic consultations, personnel from Georgian Farmers' Association (GFA). Indirect Participants: Members of GFA, members of Agriculture Cooperative Development Agency (ACDA), household members of direct participants, comunity members hired by cooperative, community members providing inputs for supported cooperatives, community members replicating production systems from supported cooperatives, personnel from Infomational and Consultation Centers (ICCs), farmers benefiting from advocacy actions and improved policy environment, member of farmer groups applied grant competition, farmers users of GFA website and call center, farmers users of GFA, ISET, CARE websites and facebook sites, readers of tea and trout value chains analysis, infographics and articles developed in the frame of the project."/>
    <m/>
    <m/>
    <m/>
    <m/>
    <m/>
    <m/>
    <m/>
    <m/>
    <m/>
    <m/>
    <m/>
    <m/>
    <m/>
    <m/>
    <m/>
    <m/>
    <m/>
    <m/>
    <m/>
    <m/>
    <m/>
    <m/>
    <m/>
    <m/>
    <m/>
    <m/>
    <m/>
    <m/>
    <m/>
    <m/>
    <m/>
    <m/>
    <m/>
    <m/>
    <m/>
    <m/>
    <m/>
    <m/>
    <m/>
    <m/>
    <m/>
    <m/>
    <m/>
    <m/>
    <m/>
    <m/>
    <m/>
    <m/>
    <m/>
    <m/>
    <m/>
    <m/>
    <m/>
    <m/>
    <m/>
    <m/>
    <m/>
    <m/>
    <m/>
    <m/>
    <n v="691"/>
    <n v="1107"/>
    <n v="1798"/>
    <n v="10327"/>
    <n v="18796"/>
    <n v="29123"/>
    <s v="YES"/>
    <n v="1798"/>
    <n v="0.38"/>
    <n v="19123"/>
    <s v="NO"/>
    <m/>
    <m/>
    <m/>
    <s v="NO"/>
    <m/>
    <m/>
    <m/>
    <s v="NO"/>
    <m/>
    <m/>
    <m/>
    <s v="YES"/>
    <n v="1798"/>
    <n v="0.38"/>
    <n v="19123"/>
    <s v="NO"/>
    <m/>
    <m/>
    <m/>
    <s v="NO"/>
    <m/>
    <m/>
    <m/>
    <s v="NO"/>
    <m/>
    <m/>
    <m/>
    <s v="NO"/>
    <m/>
    <m/>
    <m/>
    <s v="NO"/>
    <m/>
    <m/>
    <m/>
    <s v="NO"/>
    <m/>
    <m/>
    <m/>
    <s v="NO"/>
    <m/>
    <m/>
    <m/>
    <s v="YES"/>
    <n v="1798"/>
    <n v="0.38"/>
    <n v="29123"/>
    <s v="NO"/>
    <m/>
    <m/>
    <m/>
    <s v="NO"/>
    <m/>
    <m/>
    <m/>
    <s v="YES"/>
    <n v="691"/>
    <n v="1"/>
    <n v="10327"/>
    <m/>
    <s v="NO"/>
    <m/>
    <m/>
    <m/>
    <s v="NO"/>
    <m/>
    <m/>
    <m/>
    <s v="YES"/>
    <s v="October"/>
    <n v="2017"/>
    <s v="As an ongoing process the project carries out two types of assessments: _x000a_• The Direct Beneficiary survey (by interviewing each member of the selected cooperative first at initial stage and then by the end of project implementation). Main challenges of the survey is the new cooperatives (members of 12 cooperatives), financed at the beginning of 2017 (5th competition). In order not to waste money and time for interviewing those twice in a short period, project decided to do it once with retrospective questionnaire. As an exception, the largest cooperative with 132 official members will be evaluated through focus group discussions. _x000a_• The Cooperative Level survey (in-depth interviews with heads of each cooperative) conducting at the beginning of the interventions, with follow up evaluations (on an annual basis) and by the end of project (will take place in October 2017). _x000a_• Beside these two, the baseline General Household level Survey (GHS) has conducted in project target area. The end line survey for GHS will take place at the end of 2017."/>
    <x v="2"/>
    <s v="YES"/>
    <s v="YES"/>
    <s v="NO"/>
    <s v="YES"/>
    <s v="YES"/>
    <s v="NO"/>
    <s v="YES"/>
    <m/>
    <m/>
    <x v="2"/>
    <s v="Establishment of Agricultural Cooperatives - Promoting cooperation among farmers to achieve economies of scale. The cooperative model provides an effective mechanism for reducing poverty in rural areas, strengthening social capital and triggering broader rural development._x000a_Supporting the establishment of a General Assembly (named Farmers’ Council) as a decision making body integrated in the governance structure of the Georgian Farmers’ Association. _x000a_Developing a fund, through funds returned by payments from the beneficiaries, for re-investing in already supported agricultural cooperatives and therefore ensuring their sustainability"/>
    <x v="1"/>
    <s v="Cooperatives and unions or associations of farmers are tested and proved to be successful tools for improving living conditions of farmers all around the world. Cooperatives enable access to markets for small scale farmers and make them part of larger economic development. Farmers’ Associations allow the defense of the rights and interests from farmers and cooperatives and are essential for an inclusive policy making. In both processes, the project is establishing synergies and working together with national and international entities such as civil society organizations, governmental bodies (ACDA), Ministry of Agriculture and the European confederation of farmers and cooperatives (COPA-COGECA). CARE in the Caucasus as a member of Georgian Alliance on Agriculture and Rural Development (GAARD) working to empower rural communities, particularly smallholder farmers, to reinforce their capacities for representing their interests in the policy development and its implementation process."/>
    <x v="0"/>
    <x v="0"/>
    <s v="YES"/>
    <x v="0"/>
    <x v="0"/>
    <x v="0"/>
    <x v="0"/>
    <n v="4"/>
    <x v="2"/>
    <x v="1"/>
    <x v="1"/>
    <x v="1"/>
    <x v="1"/>
    <x v="2"/>
    <n v="4"/>
    <x v="3"/>
    <x v="1"/>
    <x v="1"/>
    <x v="1"/>
    <x v="4"/>
    <n v="3"/>
    <x v="2"/>
    <x v="2"/>
    <n v="3"/>
    <s v="Local NGO(s)/CSO(s)"/>
    <s v="University/research institution(s)"/>
    <m/>
    <x v="0"/>
    <s v="Capacity building, technical assistance and coaching addressed to strengthening the governance, structure, decision making, advocacy capabilities, and in overall the economic and organizational sustainablity of agricultural cooperatives and GFA."/>
    <m/>
    <s v="Although GFA has been since its establishment a national umbrella association, its organizational and governance structure didn't have a representative structure. Therefore, farmers could be members of GFA but not participate (at least not in a systematic manner) in GFA decision making or advocacy agenda. During the FY, and with the support of an international consultant with expertise in European farmers' associations, the process of defining the engagement of farmers in GFA's governance structure and decision making has been initiated, and farmers throughout all the country have been mobilized to integrate GFA General Assembly (named Farmers' Council), structured by regions and sectors, which will be a main body in the definition of GFA's action plan and advocacy agenda."/>
    <s v="The capacity building and assistance for cooperative members - duration, methodology, subjects, and monitoring - have been and are under continuous improvement during the project implementation. In the current FY, the project has conducted visits to successful agricultural experiences and on-the-job trainings, which have proven to be more effective than traditional trainings on transforming practices and views from project beneficiaries. At the same time, these activities have allowed the establishment of (still) informal linkages among farmers which with project support can evolve into associations or entities with an improved economy of scale and access to markets."/>
    <s v="The fact that the cooperatives supported by the initiative have to repay the financial support received from the initiative - for the establishment of a common fund for financing cooperatives in Georgia - is challenging the competition, selection and further support of cooperatives, also in the current FY. However, it's a guarantee of the feasibility of the selected cooperatives (only the ones showing a financial projection allowing the repayment will be selected) and will help with the sustainability of the financial support to cooperatives in Georgia, since it's planned to establish a fund for financing cooperatives with the returned funds. During the FY the first funds returned from beneficiary cooperatives have been received. This process has proven to be very challenging, with quite a high percentage of cooperatives requesting postponing payments and making changes in the repayment schedule. The fact that, agriculturally, it has been a very difficult year for many different value chains, has increased this problem. Thanks to the close contact and effective monitoring of the beneficiaries' business activities, the project could determine if the requests for delays were justified. In all these cases, the project has accepted delayed payments and softer repayment schedule with lower amounts during a certain period. This has allowed an increased trust from beneficiaries while encouraging return of funds. The future launching of a call for financing beneficiary cooperatives with the returned funds is strenghtening the trust in the process from beneficiaries side and it's also encouraging the repayment of perceived funds."/>
    <s v="Study tours and field visit are effective mechanisms of providing information to farmers. The learning and changes in practices and views are faster than with more traditional trainings (which can still be necessary for certain fields), since the beneficiaries can perceive the results of those changes. Due to this, the project has maximized this kind of actions during the FY and plan to conduct also study tours abroad to countries with a higher agricultural development, for representatives of the most relevant value chains."/>
    <s v="The existence of appropriate technical expertise for certain agricultural practices has been a great challenge during the project implementation, also in the FY. Georgia doesn't have experts on relatively new value chains, like strawberry production, and even on other more consolidated value chains, the experts can difer on how to tackle a certain problem. The country is at this moment implementing different actions to improve the quality of the agricultural expertise. Bringing experts from other countries can be a temporary solution; although in experiences conducted by other projects, it didn't work that well due to the lack of awareness from international experts on the local context. Therefore, for future CIC interventions, capacity building of agricultural experts might be considered."/>
    <s v="GFA's financial sustainability is being one of the main aims of the project. Initially it was planned to provide paid services to farmers, or to request a paid membership, for ensuring this financial sustainability. However, considering the Georgian context, CARE and GFA determined that this should happen only when Georgian farmers would have complete trust in this association. Given the existence of numerous donors in the country aiming to provide funds for local organizations, the project decided to change the strategy and build GFA's financial sustainability through projects and donors' funds, while providing free services to farmers. By the end of the FY GFA has reached financial sustainability at least for the few years to come. Since farmers are using those free services and can check the quality and need of the same, in the near future GFA can consider to request a fee for the services or for the membership, since by then Georgian farmers will have a clear understanding on how GFA can benefit them."/>
    <m/>
    <s v="Articles/Blogs/Researches/Studies  on agriculture: _x000a_Blogs http://iset-pi.ge/index.php/en/iset-economist-blog-2/entry/innovation-starts-here-and-now-in-lisi-lake-greenhouses_x000a_Article http://www.iset-pi.ge/index.php/en/agriculture-news/1164-strengthening-the-system-of-parliamentary-democracy-in-georgia_x000a_Blogs http://iset-pi.ge/index.php/en/iset-economist-blog-2/entry/georgian-wine-plan-for-the-worst-hope-for-the-best; _x000a_Blogs http://iset-pi.ge/index.php/en/iset-economist-blog-2/entry/thin-but-strong-georgian-silk; http://georgiatoday.ge/news/1865/Georgian-Tea%3A-Finding-New-Strength-In-Unity%3F;_x000a_Article http://iset-pi.ge/index.php/en/agriculture-news/1261-private-sector-led-agricultural-extension-in-georgia_x000a_Blogs http://iset-pi.ge/index.php/en/iset-economist-blog-2/entry/let-it-be_x000a_Blogs http://iset-pi.ge/index.php/en/iset-economist-blog-2/entry/young-seedlings-of-georgia-s-agriculture_x000a_Blogs http://iset-pi.ge/index.php/en/iset-economist-blog-2/entry/a-portrait-of-a-tushetian-farmer-as-an-entrepreneur_x000a_Blogs http://iset-pi.ge/index.php/en/iset-economist-blog-2/entry/how-safe-is-your-food_x000a_Blogs http://iset-pi.ge/index.php/en/iset-economist-blog-2/entry/hunger-games-speculation-in-food-markets_x000a_Blogs http://iset-pi.ge/index.php/en/iset-economist-blog-2/entry/working-together-for-a-bigger-pie_x000a_Blogs http://iset-pi.ge/index.php/en/iset-economist-blog-2/entry/joint-marketing-a-key-to-success_x000a_Blogs http://iset-pi.ge/index.php/en/iset-economist-blog-2/entry/rising-generation-of-georgian-agripreneurs_x000a_Blogs http://iset-pi.ge/index.php/en/iset-economist-blog-2/entry/two-heads-one-public-one-private-are-better-than-one_x000a_Blogs http://iset-pi.ge/index.php/en/iset-economist-blog-2/entry/professionals-for-georgian-agriculture_x000a_Blogs http://iset-pi.ge/index.php/en/iset-economist-blog-2/entry/to-cut-or-not-to-cut-shifting-government-priorities_x000a_Blogs http://iset-pi.ge/index.php/en/iset-economist-blog-2/entry/the-shortest-road-to-strawberry-field-isn-t-always-the-sweetest-or-quickest_x000a_Blogs http://iset-pi.ge/index.php/en/iset-economist-blog-2/entry/back-to-the-future-will-an-old-farming-practice-provide-a-market-niche-for-georgian-farmers_x000a_Blogs http://iset-pi.ge/index.php/en/iset-economist-blog-2/entry/to-bee-or-not-to-bee_x000a_Agri Index http://iset-pi.ge/index.php/en/agr-index/1888-cheese-prices-follow-milk-prices-but-what-about-other-milk-products-2_x000a_Study http://enpard.ge/en/studies-and-other-documents1/_x000a_Study http://enpard.ge/en/wp-content/uploads/2015/05/TroutValueChainAnalysis_ENG.pdf_x000a_GFA facebook page https://www.facebook.com/gfa.com.ge/?ref=br_tf_x000a_CARE facebook page https://www.facebook.com/CARE-International-in-the-Caucasus-112080732201576/_x000a_Stories http://enpard.ge/en/brochures-and-newsletters1/ _x000a_Stories http://enpard.ge/en/media/a-blooming-industry-georgia-faces-a-growing-demand-for-flowers/_x000a_Stories http://enpard.ge/en/media/story-about-cooperative-samegobro-2014/_x000a_Stories http://enpard.ge/en/media/story-about-cooperative-dk-qolga/ _x000a__x000a_  _x000a_ Forum _x000a_Tea Forum http://iset-pi.ge/index.php/en/agricultural-policy-briefs/1702-stakeholders-forum-on-the-tea-sector_x000a_Access to finance http://iset-pi.ge/index.php/en/publications/policy-briefs/212-policy-briefs/aprc-policy-briefs/1647-access-to-finance-for-agricultural-cooperatives_x000a_Round Table discussion-Tea http://iset-pi.ge/index.php/en/agricultural-policy-briefs/1700-tea-cooperatives-round-table-discussion_x000a_Trout Forum http://iset-pi.ge/index.php/en/agricultural-policy-briefs/1701-stakeholders-forum-on-the-trout-sector_x000a_  _x000a_ Project Reports _x000a_ https://drive.google.com/drive/folders/0B6kEHmPLQgU5bnpQTnp3WUxHZU0?usp=sharing_x000a__x000a_ Survey: _x000a_HH Survey (Baseline)  http://enpard.ge/en/wp-content/uploads/2015/05/Agriculture-and-Rural-Development-in-Western-Georgia-A-Baseline-Assessment.pdf_x000a_Annual Cooperative Survey-Follow up 2016 http://iset-pi.ge/index.php/en/agricultural-policy-briefs/1925-enpard-annual-cooperative-survey-results_x000a_Annual Cooperative Survey-Follow up 2015 http://enpard.ge/en/wp-content/uploads/2017/03/Key-Findings-of-Cooperative-Survey.-ENG.pdf_x000a_ http://enpard.ge/en/wp-content/uploads/2017/03/ENPARD-Cooperatives-Survey-Results-2014-2015.-ENG.pdf_x000a_Direct Beneficiary Survey (Baseline) https://drive.google.com/open?id=0B6kEHmPLQgU5Q0VoMmpNbW50Z3c_x000a_  _x000a_ Proposal and Logframe_x000a_ https://drive.google.com/drive/folders/0B6kEHmPLQgU5Ymp5OFFNZ1JFUFk?usp=sharing"/>
    <n v="1798"/>
    <n v="29123"/>
    <n v="16.197441601779754"/>
    <n v="0.38431590656284759"/>
    <n v="0.3545994574734746"/>
    <n v="691"/>
    <n v="10327"/>
    <s v=""/>
    <n v="0"/>
    <n v="0"/>
    <s v=""/>
    <n v="1"/>
    <n v="1798"/>
    <n v="19123"/>
    <n v="10.635706340378198"/>
    <s v=""/>
    <n v="0"/>
    <n v="0"/>
    <s v=""/>
    <s v=""/>
    <n v="0"/>
    <n v="0"/>
    <s v=""/>
    <n v="1"/>
    <n v="691"/>
    <n v="10327"/>
    <n v="14.945007235890014"/>
    <s v="2. Sensitive"/>
    <s v="4. Transformational"/>
    <s v="4. Transformative"/>
    <s v="It tested new ways for fighting poverty and measured results of innovation"/>
    <s v="Intensive advocacy"/>
    <s v="It linked and worked with strategic alliances and partners to take tested and effective solutions to scale"/>
  </r>
  <r>
    <x v="26"/>
    <x v="1"/>
    <n v="3744"/>
    <s v="Gender Theme Group in Georgia"/>
    <s v="Georgia"/>
    <m/>
    <s v="No CARE member related to the project/initiative"/>
    <m/>
    <m/>
    <m/>
    <m/>
    <m/>
    <m/>
    <m/>
    <m/>
    <m/>
    <m/>
    <m/>
    <m/>
    <m/>
    <m/>
    <m/>
    <m/>
    <m/>
    <m/>
    <m/>
    <m/>
    <m/>
    <m/>
    <m/>
    <m/>
    <m/>
    <m/>
    <m/>
    <m/>
    <m/>
    <m/>
    <m/>
    <m/>
    <m/>
    <m/>
    <m/>
    <m/>
    <m/>
    <m/>
    <m/>
    <m/>
    <m/>
    <m/>
    <m/>
    <m/>
    <m/>
    <m/>
    <m/>
    <m/>
    <d v="2011-04-18T00:00:00"/>
    <m/>
    <m/>
    <s v="Development A Life Free From Violence (GBV)"/>
    <m/>
    <s v="Khatuna Madurashvili"/>
    <s v="Impact Opportunities Manager"/>
    <s v="khatuna.madurashvili@care.org"/>
    <m/>
    <m/>
    <m/>
    <s v="NO"/>
    <s v="YES"/>
    <s v="NO"/>
    <s v="To strengthen coordinated action of the GTG towards greater gender equality and women’s empowerment in Georgia"/>
    <s v="National"/>
    <m/>
    <s v="Population of Georgia, with main focus to women, girls and all genders."/>
    <n v="400"/>
    <n v="200"/>
    <n v="600"/>
    <n v="1224000"/>
    <n v="1176000"/>
    <n v="2400000"/>
    <s v="Direct participants are: parliamentarians, representatives of Georgian Government, Civil Society organizations and donor organizations._x000a_Indirect participants are: General population of Georgia, ethnic and religuos minorities, LGBTI community members, women, girls, victims of GBV etc."/>
    <m/>
    <m/>
    <m/>
    <m/>
    <m/>
    <m/>
    <m/>
    <m/>
    <m/>
    <m/>
    <m/>
    <m/>
    <m/>
    <m/>
    <m/>
    <m/>
    <m/>
    <m/>
    <m/>
    <m/>
    <m/>
    <m/>
    <m/>
    <m/>
    <m/>
    <m/>
    <m/>
    <m/>
    <m/>
    <m/>
    <m/>
    <m/>
    <m/>
    <m/>
    <m/>
    <m/>
    <m/>
    <m/>
    <m/>
    <m/>
    <m/>
    <m/>
    <m/>
    <m/>
    <m/>
    <m/>
    <m/>
    <m/>
    <m/>
    <m/>
    <m/>
    <m/>
    <m/>
    <m/>
    <m/>
    <m/>
    <m/>
    <m/>
    <m/>
    <m/>
    <n v="300"/>
    <n v="150"/>
    <n v="450"/>
    <n v="1020000"/>
    <n v="980000"/>
    <n v="2000000"/>
    <m/>
    <m/>
    <m/>
    <m/>
    <m/>
    <m/>
    <m/>
    <m/>
    <s v="YES"/>
    <n v="30"/>
    <n v="1"/>
    <n v="200000"/>
    <m/>
    <m/>
    <m/>
    <m/>
    <m/>
    <m/>
    <m/>
    <m/>
    <m/>
    <m/>
    <m/>
    <m/>
    <m/>
    <m/>
    <m/>
    <m/>
    <s v="YES"/>
    <n v="80"/>
    <n v="0.7"/>
    <n v="500000"/>
    <s v="YES"/>
    <n v="110"/>
    <n v="0.7"/>
    <n v="700000"/>
    <m/>
    <m/>
    <m/>
    <m/>
    <m/>
    <m/>
    <m/>
    <m/>
    <m/>
    <m/>
    <m/>
    <m/>
    <m/>
    <m/>
    <m/>
    <m/>
    <s v="YES"/>
    <n v="35"/>
    <n v="1"/>
    <n v="300000"/>
    <m/>
    <m/>
    <m/>
    <m/>
    <s v="YES"/>
    <n v="45"/>
    <n v="0.7"/>
    <n v="300000"/>
    <m/>
    <m/>
    <m/>
    <m/>
    <m/>
    <s v="NO"/>
    <m/>
    <m/>
    <m/>
    <s v="NO"/>
    <m/>
    <m/>
    <s v="N/A"/>
    <x v="2"/>
    <s v="YES"/>
    <m/>
    <m/>
    <s v="YES"/>
    <m/>
    <s v="YES"/>
    <s v="YES"/>
    <m/>
    <m/>
    <x v="0"/>
    <m/>
    <x v="0"/>
    <m/>
    <x v="2"/>
    <x v="2"/>
    <m/>
    <x v="2"/>
    <x v="2"/>
    <x v="2"/>
    <x v="3"/>
    <n v="0"/>
    <x v="0"/>
    <x v="0"/>
    <x v="0"/>
    <x v="0"/>
    <x v="0"/>
    <x v="0"/>
    <n v="0"/>
    <x v="0"/>
    <x v="0"/>
    <x v="0"/>
    <x v="0"/>
    <x v="0"/>
    <n v="0"/>
    <x v="1"/>
    <x v="4"/>
    <m/>
    <m/>
    <m/>
    <m/>
    <x v="1"/>
    <m/>
    <s v="As result of the Gender Theme Group advocacy work Parliament of Georgia ratified Istanbul Convention and package of legislation ammdendments to harmonize existing legislation with Istanbul Convention provisions."/>
    <m/>
    <m/>
    <m/>
    <m/>
    <m/>
    <m/>
    <m/>
    <m/>
    <n v="450"/>
    <n v="2000000"/>
    <n v="4444.4444444444443"/>
    <n v="0.66666666666666663"/>
    <n v="0.51"/>
    <n v="300"/>
    <n v="1020000"/>
    <s v=""/>
    <n v="0"/>
    <n v="0"/>
    <s v=""/>
    <s v=""/>
    <n v="0"/>
    <n v="0"/>
    <s v=""/>
    <n v="1"/>
    <n v="35"/>
    <n v="300000"/>
    <n v="8571.4285714285706"/>
    <n v="1"/>
    <n v="80"/>
    <n v="500000"/>
    <n v="6250"/>
    <n v="1"/>
    <n v="45"/>
    <n v="300000"/>
    <n v="6666.666666666667"/>
    <s v="No marker score"/>
    <s v="No marker score"/>
    <s v="No marker score"/>
    <s v="It did not develop any specific innovation"/>
    <s v="Intensive advocacy"/>
    <s v="It did not take tested solutions to scale"/>
  </r>
  <r>
    <x v="26"/>
    <x v="1"/>
    <n v="3569"/>
    <s v="Increasing Quality and Work Opportunities for Women with Disabilities in Georgia"/>
    <s v="Georgia"/>
    <s v="CAUTGE0065"/>
    <s v="CARE Österreich"/>
    <s v="Government"/>
    <s v="Other"/>
    <s v="Czech Development Agency (CZDA)"/>
    <m/>
    <m/>
    <m/>
    <m/>
    <m/>
    <m/>
    <m/>
    <m/>
    <m/>
    <m/>
    <m/>
    <m/>
    <m/>
    <m/>
    <m/>
    <m/>
    <m/>
    <m/>
    <m/>
    <m/>
    <m/>
    <m/>
    <m/>
    <m/>
    <m/>
    <m/>
    <m/>
    <m/>
    <m/>
    <m/>
    <m/>
    <m/>
    <m/>
    <m/>
    <m/>
    <m/>
    <m/>
    <m/>
    <m/>
    <m/>
    <m/>
    <m/>
    <m/>
    <m/>
    <m/>
    <d v="2015-07-01T00:00:00"/>
    <d v="2017-12-31T00:00:00"/>
    <m/>
    <s v="Development Access to and Control over Economic Resources"/>
    <n v="223798"/>
    <s v="Teona Makatsaria"/>
    <s v="Project Coordinator"/>
    <s v="Teona.Makatsara@care.org"/>
    <m/>
    <m/>
    <m/>
    <s v="NO"/>
    <s v="YES"/>
    <s v="NO"/>
    <s v="A goal of the project is that women with disabilities are benefiting from increased utilization of employment and income generating opportunities in three target municipalities of Georgia (Samtredia, Abasha, Senaki). It will be reached through identification of their priority needs and creating employment opportunities for them."/>
    <s v="Sub-National"/>
    <s v="Samtredia (Imereti region), Senaki and Abasha (Samegrelo-Zemo Svaneti region) Municipalities in West Georgia"/>
    <s v="The main impact group of the project is the general population residing in  three target muncipalities of West Georgia-Samtredia, Senaki and Abasha."/>
    <n v="260"/>
    <n v="100"/>
    <n v="360"/>
    <n v="1500"/>
    <n v="1000"/>
    <n v="2500"/>
    <s v="The direct beneficiaries of the projects are participants of informational campaign, capacity-building trainings, business plan competition, leaders and members of beneficiary social enterprises, local authorities of target municipalities, civil society and private sector representatives. _x000a_Indirect participants of the project are target population reached out across 3 target municipalities."/>
    <m/>
    <m/>
    <m/>
    <m/>
    <m/>
    <m/>
    <m/>
    <m/>
    <m/>
    <m/>
    <m/>
    <m/>
    <m/>
    <m/>
    <m/>
    <m/>
    <m/>
    <m/>
    <m/>
    <m/>
    <m/>
    <m/>
    <m/>
    <m/>
    <m/>
    <m/>
    <m/>
    <m/>
    <m/>
    <m/>
    <m/>
    <m/>
    <m/>
    <m/>
    <m/>
    <m/>
    <m/>
    <m/>
    <m/>
    <m/>
    <m/>
    <m/>
    <m/>
    <m/>
    <m/>
    <m/>
    <m/>
    <m/>
    <m/>
    <m/>
    <m/>
    <m/>
    <m/>
    <m/>
    <m/>
    <m/>
    <m/>
    <m/>
    <m/>
    <m/>
    <n v="334"/>
    <n v="170"/>
    <n v="504"/>
    <n v="835"/>
    <n v="425"/>
    <n v="1260"/>
    <s v="NO"/>
    <m/>
    <m/>
    <m/>
    <s v="NO"/>
    <m/>
    <m/>
    <m/>
    <s v="NO"/>
    <m/>
    <m/>
    <m/>
    <s v="NO"/>
    <m/>
    <m/>
    <m/>
    <s v="NO"/>
    <m/>
    <m/>
    <m/>
    <s v="YES"/>
    <n v="477"/>
    <n v="0.55000000000000004"/>
    <n v="1193"/>
    <s v="NO"/>
    <m/>
    <m/>
    <m/>
    <s v="NO"/>
    <m/>
    <m/>
    <m/>
    <s v="YES"/>
    <n v="153"/>
    <n v="0.54"/>
    <n v="383"/>
    <s v="NO"/>
    <m/>
    <m/>
    <m/>
    <s v="NO"/>
    <m/>
    <m/>
    <m/>
    <s v="NO"/>
    <m/>
    <m/>
    <m/>
    <s v="NO"/>
    <m/>
    <m/>
    <m/>
    <s v="NO"/>
    <m/>
    <m/>
    <m/>
    <s v="NO"/>
    <m/>
    <m/>
    <m/>
    <s v="YES"/>
    <n v="65"/>
    <n v="0.9"/>
    <n v="163"/>
    <m/>
    <m/>
    <m/>
    <m/>
    <m/>
    <s v="NO"/>
    <m/>
    <m/>
    <s v="NO"/>
    <s v="YES"/>
    <s v="November"/>
    <n v="2017"/>
    <s v="Qualitative approach such as focus group discussions will be used to establish an evidence about the project impact and track changes to key outcome areas. Research will be conducted with all women with disabilities who got employed through the project."/>
    <x v="0"/>
    <s v="NO"/>
    <s v="NO"/>
    <s v="NO"/>
    <s v="YES"/>
    <s v="NO"/>
    <s v="NO"/>
    <s v="NO"/>
    <m/>
    <m/>
    <x v="1"/>
    <s v="The project is based on the business model of CARE International in the Caucasus (CIC) to incubate and accelerate social enterprises in vulnerable groups. Acknowledging the power of people to change their own lives and their communities, it capacitates women with disabilities to make a long lasting change by providing the necessary outlets, skills, funding and connection to run a social enterprise. The capacity-building component of the project had the greatest impact in terms of empowering the beneficiary women, improving their entrepreneur and social skills, increase their competitiveness at job market as well."/>
    <x v="3"/>
    <s v="This project started breaking the stereotypes and myths about the working capacities of disabled people by engaging women with disabilities in the income generation opportunities. The beneficiary women with disabilities and supported social enterprises became a role model for both target community from and beyond target area."/>
    <x v="1"/>
    <x v="1"/>
    <s v="YES"/>
    <x v="0"/>
    <x v="0"/>
    <x v="0"/>
    <x v="2"/>
    <n v="4"/>
    <x v="1"/>
    <x v="1"/>
    <x v="2"/>
    <x v="1"/>
    <x v="1"/>
    <x v="1"/>
    <n v="3"/>
    <x v="3"/>
    <x v="1"/>
    <x v="1"/>
    <x v="1"/>
    <x v="4"/>
    <n v="3"/>
    <x v="2"/>
    <x v="1"/>
    <m/>
    <m/>
    <m/>
    <m/>
    <x v="3"/>
    <m/>
    <s v="Civil society strengthening was not one of the project's explicit objectives, yet it carried out actions in this FY to strengthen civil society."/>
    <s v="Based on the selected priorities a concrete plan is created for including the women with disabilities into existing program of CARE Caucasus."/>
    <s v="Conducting community meetings on a regular basis (quarterly)  to encourage and promote idea submission from rural populations with special focus on women with disabilities."/>
    <s v="Providing capacity building trainings to women with disabilities aimed at increasing their awareness on: a) the rights of people with disabilities; b) women’s rights and gender equality; c) basic management skills to run small-scale enterprises."/>
    <s v="More resources werr  needed for implementation an in-depth analysis and rapid assessments of baseline situation with regard to women with disabilities residing in target area."/>
    <s v="The intensive awareness raising seminars and non-formal education are needed for changing existing stereotypes and increasing the awareness on rights of PPLD and gender equality."/>
    <s v="The capacities of local NGOs/CSOs should be incraesed."/>
    <s v="All the lessons learnt from previous year are reflected in  extension project  activities for ensuring the sustainability of project impacts. As  a result of monitoring missions, it has been assessed the creation and strengthening of market linkages, marketing and promotion as well as business planning is crucial for ensuring the sustainability of beneficiary  enterprises.  Therefore , extension project  &quot;Better access to local/central markets and expansion of operations for beneficiary social enterprises” is designed / aims to secure the sustainability of the social enterprises established in the women with disabilities ."/>
    <s v="Project Reports: monthly reports, mid-term reports and final reports. (see N drive Women With Disabilities  folder 2016  ) _x000a_Logframe a(see N drive Women With Disabilities  folder  )"/>
    <n v="504"/>
    <n v="1260"/>
    <n v="2.5"/>
    <n v="0.66269841269841268"/>
    <n v="0.66269841269841268"/>
    <n v="334"/>
    <n v="835"/>
    <s v=""/>
    <n v="0"/>
    <n v="0"/>
    <s v=""/>
    <s v=""/>
    <n v="0"/>
    <n v="0"/>
    <s v=""/>
    <s v=""/>
    <n v="0"/>
    <n v="0"/>
    <s v=""/>
    <s v=""/>
    <n v="0"/>
    <n v="0"/>
    <s v=""/>
    <n v="1"/>
    <n v="65"/>
    <n v="163"/>
    <n v="2.5076923076923077"/>
    <s v="4. Transformative"/>
    <s v="2. Accommodating"/>
    <s v="4. Transformative"/>
    <s v="It tested new ways for fighting poverty, but did not measure results of innovation"/>
    <s v="Little or no advocacy"/>
    <s v="It took tested solutions to scale on its own"/>
  </r>
  <r>
    <x v="26"/>
    <x v="1"/>
    <n v="3568"/>
    <s v="Participatory Rural Development"/>
    <s v="Georgia"/>
    <s v="AT555 / CAUTGE0064"/>
    <s v="CARE Österreich"/>
    <s v="Other"/>
    <s v="EU - European Union (other than ECHO)"/>
    <s v="EuropeAid "/>
    <s v="AT555 / CAUTGE0064"/>
    <s v="CARE Österreich"/>
    <s v="Other"/>
    <s v="Government - Austria"/>
    <s v="Austrian Development Agency (ADA)"/>
    <m/>
    <m/>
    <m/>
    <m/>
    <m/>
    <m/>
    <m/>
    <m/>
    <m/>
    <m/>
    <m/>
    <m/>
    <m/>
    <m/>
    <m/>
    <m/>
    <m/>
    <m/>
    <m/>
    <m/>
    <m/>
    <m/>
    <m/>
    <m/>
    <m/>
    <m/>
    <m/>
    <m/>
    <m/>
    <m/>
    <m/>
    <m/>
    <m/>
    <m/>
    <m/>
    <m/>
    <m/>
    <m/>
    <m/>
    <m/>
    <d v="2015-07-01T00:00:00"/>
    <d v="2017-10-30T00:00:00"/>
    <m/>
    <s v="Development Access to and Control over Economic Resources"/>
    <n v="1402179"/>
    <s v="Juba Maruashvili"/>
    <s v="CARE International in the Caucasus, Georgia Office, Project Manager"/>
    <s v="juba.maruashvili@care.org"/>
    <s v="Julia Weber"/>
    <s v="CARE Österreich  Project Officer"/>
    <s v="julia.weber@care.at"/>
    <s v="NO"/>
    <s v="YES"/>
    <s v="NO"/>
    <s v="The project’s goal is to create an enabling environment for sustainable pro-poor socio-economic development in the district of Lagodekhi. The project promotes and uses an integrated approach to socio-economic development which takes into account not only the creation of employment and income-generation opportunities, but also factors such as community relations and development, human development, preservation of natural resources, cultural cooperation, civic integration etc. All these factors influence economic development and poverty reduction, even if indirectly, and are essential for the long-term sustainable development of the territory."/>
    <s v="Sub-National"/>
    <s v="Republic of Georgia, Kakheti Region, Lagodekhi Municipality. Lagodekhi is located at the eastern-most tip of Kakheti region, bordering Azerbaijan to the east. Its population numbers approximately 46,678, living in 15 communities (67 villages) and the town of Lagodekhi (population ca.7,000)."/>
    <s v="The impact  groups of the program are the  population of Lagodekhi municipality, different actors from private, civil and municipality sectors, business communities, small farmers, women’s groups, ethnic minorities etc."/>
    <n v="1224"/>
    <n v="1176"/>
    <n v="2400"/>
    <n v="8381"/>
    <n v="8290"/>
    <n v="16671"/>
    <s v="Direct patricipants are those individuals who are actively involved in project related activities: seminars, workshops, trainings, etc. The indirect participants are those people who benefit from project related activities indirectly through information campaigns, community mobilization meetings, and funded social projects in targeted areas."/>
    <m/>
    <m/>
    <m/>
    <m/>
    <m/>
    <m/>
    <m/>
    <s v="NO"/>
    <m/>
    <m/>
    <m/>
    <s v="NO"/>
    <m/>
    <m/>
    <m/>
    <s v="NO"/>
    <m/>
    <m/>
    <m/>
    <s v="NO"/>
    <m/>
    <m/>
    <m/>
    <s v="NO"/>
    <m/>
    <m/>
    <m/>
    <s v="NO"/>
    <m/>
    <m/>
    <m/>
    <s v="NO"/>
    <m/>
    <m/>
    <m/>
    <s v="NO"/>
    <m/>
    <m/>
    <m/>
    <s v="NO"/>
    <m/>
    <m/>
    <m/>
    <s v="NO"/>
    <m/>
    <m/>
    <m/>
    <s v="NO"/>
    <m/>
    <m/>
    <m/>
    <s v="NO"/>
    <m/>
    <m/>
    <m/>
    <m/>
    <m/>
    <m/>
    <m/>
    <m/>
    <n v="4886"/>
    <n v="5736"/>
    <n v="10622"/>
    <n v="10644"/>
    <n v="12496"/>
    <n v="23140"/>
    <s v="YES"/>
    <n v="2695"/>
    <n v="0.38"/>
    <n v="9532"/>
    <s v="NO"/>
    <m/>
    <m/>
    <m/>
    <s v="NO"/>
    <m/>
    <m/>
    <m/>
    <s v="NO"/>
    <m/>
    <m/>
    <m/>
    <s v="YES"/>
    <n v="5154"/>
    <n v="0.45"/>
    <n v="18037"/>
    <s v="YES"/>
    <n v="3286"/>
    <n v="0.6"/>
    <n v="11501"/>
    <s v="NO"/>
    <m/>
    <m/>
    <m/>
    <s v="YES"/>
    <n v="3650"/>
    <n v="0.65"/>
    <n v="12775"/>
    <s v="YES"/>
    <n v="1741"/>
    <n v="0.55000000000000004"/>
    <n v="6094"/>
    <s v="NO"/>
    <m/>
    <m/>
    <m/>
    <s v="YES"/>
    <n v="4393"/>
    <n v="0.4"/>
    <n v="15256"/>
    <s v="YES"/>
    <n v="1080"/>
    <n v="0.35"/>
    <n v="3780"/>
    <s v="YES"/>
    <n v="2590"/>
    <n v="0.4"/>
    <n v="9065"/>
    <s v="NO"/>
    <m/>
    <m/>
    <m/>
    <s v="NO"/>
    <m/>
    <m/>
    <m/>
    <s v="YES"/>
    <n v="1385"/>
    <n v="0.65"/>
    <n v="4848"/>
    <m/>
    <s v="NO"/>
    <m/>
    <m/>
    <m/>
    <s v="NO"/>
    <m/>
    <m/>
    <s v="YES"/>
    <s v="NO"/>
    <s v="September"/>
    <n v="2017"/>
    <s v="At the end of the project the final evaluation is planned in August - September, 2017"/>
    <x v="2"/>
    <s v="YES"/>
    <s v="YES"/>
    <s v="NO"/>
    <s v="YES"/>
    <s v="YES"/>
    <s v="NO"/>
    <s v="YES"/>
    <s v="YES"/>
    <m/>
    <x v="2"/>
    <s v="The European model of LEADER approach was put into practice and work of Local Action Group - LAG, and promoted the idea of bottom-up approach in targeted area."/>
    <x v="1"/>
    <s v="Project has supported establishment of alliances with European LAGs(Spanish) as well as has strengthened cooperation with other international organizations"/>
    <x v="1"/>
    <x v="0"/>
    <s v="YES"/>
    <x v="0"/>
    <x v="0"/>
    <x v="0"/>
    <x v="0"/>
    <n v="4"/>
    <x v="2"/>
    <x v="1"/>
    <x v="1"/>
    <x v="1"/>
    <x v="1"/>
    <x v="2"/>
    <n v="4"/>
    <x v="3"/>
    <x v="1"/>
    <x v="1"/>
    <x v="1"/>
    <x v="4"/>
    <n v="3"/>
    <x v="0"/>
    <x v="0"/>
    <n v="3"/>
    <s v="Local government(s)"/>
    <s v="International NGO(s)"/>
    <s v="Local NGO(s)/CSO(s)"/>
    <x v="0"/>
    <s v="capacity building trainings and community mobilization activities throughout the project target area"/>
    <s v="More training activities for strengthening local communities (engaging more youth and women) was added to the implementation plan, and conducted successfully."/>
    <s v="Engaging more women in project related activities, such as: trainings, meetings, LAG general assembly meetings, etc."/>
    <s v="Empowering youth through capacity building trainings on leadership and participation"/>
    <s v="Tailor-made trainings for project beneficiaries about project management, financial management, budgeting, proposal writing, etc."/>
    <s v="Promotion the idea of Local Action Group - LAG and bring the LEADER approach throughout the Kakheti region and all Kakhetian municipalities. Making the work of Lagodekhi LAG more visible and attractive for all interested individuals."/>
    <s v="Put on agenda the formal adoption of Lagodekhi local development plan as a guiding document for local authorities"/>
    <s v="Support the local initiatives and create employment opportunities for local population through successfully funded projects"/>
    <s v="The project implementation is on-going smoothly: a). For reducing the poverty and support the local project ideas two grant competitions were conducted successfully, resulting 31 projects funded locally. The main areas covered were: agricultural commercial, agricultural non-commercial, infrastructural, social, social infrastructural, environmental spheres. b). Yhe Local Action Group - Lagodekhi LAG is functional and provides periodic reporting to its members - local action group general assembly and board; drafts internal documents and regulations for better management. c). Local development plan - Strategy was developed and presented to local self-government as the major needs and assessment of local municipality for further discussion and implementation. d). The connection between other local action groups (in Borjomi and Kazbegi), as well as European (Spanish) LAGs were set which enabled Lagodekhi LAG to share its own experience and get more information for better management and its development."/>
    <s v="The periodic reports are prepared and submitted, as well as the evaluation was made. Moreover the final evaluation is upcoming in nearest months."/>
    <n v="10622"/>
    <n v="23140"/>
    <n v="2.1784974581058183"/>
    <n v="0.45998870269252495"/>
    <n v="0.45998271391529816"/>
    <n v="4886"/>
    <n v="10644"/>
    <s v=""/>
    <n v="0"/>
    <n v="0"/>
    <s v=""/>
    <n v="1"/>
    <n v="5154"/>
    <n v="18037"/>
    <n v="3.4996119518820334"/>
    <s v=""/>
    <n v="0"/>
    <n v="0"/>
    <s v=""/>
    <n v="1"/>
    <n v="3650"/>
    <n v="12775"/>
    <n v="3.5"/>
    <n v="1"/>
    <n v="2319.3000000000002"/>
    <n v="8116.6500000000005"/>
    <n v="3.4996119518820334"/>
    <s v="2. Sensitive"/>
    <s v="4. Transformational"/>
    <s v="4. Transformative"/>
    <s v="It tested new ways for fighting poverty and measured results of innovation"/>
    <s v="Intensive advocacy"/>
    <s v="It linked and worked with strategic alliances and partners to take tested and effective solutions to scale"/>
  </r>
  <r>
    <x v="27"/>
    <x v="1"/>
    <m/>
    <s v="KIWI - Kids andYoungsters Welcome Initiative: Life skills, education and the promotion of integration of refugees in Germany"/>
    <s v="Germany"/>
    <s v="DEU3297"/>
    <s v="CARE Deutschland-Luxemburg"/>
    <s v="Other"/>
    <s v="Other"/>
    <s v="Aktion Deutschland Hilft (ADH) + Foundation (RTL Stiftung)"/>
    <m/>
    <m/>
    <m/>
    <m/>
    <m/>
    <m/>
    <m/>
    <m/>
    <m/>
    <m/>
    <m/>
    <m/>
    <m/>
    <m/>
    <m/>
    <m/>
    <m/>
    <m/>
    <m/>
    <m/>
    <m/>
    <m/>
    <m/>
    <m/>
    <m/>
    <m/>
    <m/>
    <m/>
    <m/>
    <m/>
    <m/>
    <m/>
    <m/>
    <m/>
    <m/>
    <m/>
    <m/>
    <m/>
    <m/>
    <m/>
    <m/>
    <m/>
    <m/>
    <m/>
    <m/>
    <d v="2016-01-01T00:00:00"/>
    <d v="2016-09-30T00:00:00"/>
    <m/>
    <s v="Development Other"/>
    <n v="220000"/>
    <s v="Thomas Knoll"/>
    <s v="Team Leader"/>
    <s v="knoll@care.de"/>
    <m/>
    <m/>
    <m/>
    <s v="NO"/>
    <s v="YES"/>
    <s v="NO"/>
    <s v="Achieve positive change among migrant students concerning equal rights and gender equality, conflict resolution/prevention of violence, tolerance and respect and 2) promote integration through working in mixed groups of students and empowerment in decision-making and carrying out student projects."/>
    <s v="Sub-National"/>
    <s v="North-Rhine Westphalia"/>
    <s v="Migrant students in Germany"/>
    <n v="500"/>
    <n v="500"/>
    <m/>
    <n v="300"/>
    <n v="300"/>
    <n v="600"/>
    <s v="Direct participants are teachers in German schools who have newly arrived refugees in their classes as well as migrant students and German students who participated in KIWI trainings. The number of teachers was counted, for students we have approximate numbers. Indirect particpants were teachers and students who did not receive direct support /training), but received materials etc."/>
    <m/>
    <m/>
    <m/>
    <m/>
    <m/>
    <m/>
    <m/>
    <m/>
    <m/>
    <m/>
    <m/>
    <m/>
    <m/>
    <m/>
    <m/>
    <m/>
    <m/>
    <m/>
    <m/>
    <m/>
    <m/>
    <m/>
    <m/>
    <m/>
    <m/>
    <m/>
    <m/>
    <m/>
    <m/>
    <m/>
    <m/>
    <m/>
    <m/>
    <m/>
    <m/>
    <m/>
    <m/>
    <m/>
    <m/>
    <m/>
    <m/>
    <m/>
    <m/>
    <m/>
    <m/>
    <m/>
    <m/>
    <m/>
    <m/>
    <m/>
    <m/>
    <m/>
    <m/>
    <m/>
    <m/>
    <m/>
    <m/>
    <m/>
    <m/>
    <m/>
    <n v="500"/>
    <n v="500"/>
    <n v="1000"/>
    <n v="300"/>
    <n v="300"/>
    <n v="600"/>
    <m/>
    <m/>
    <m/>
    <m/>
    <m/>
    <m/>
    <m/>
    <m/>
    <m/>
    <m/>
    <m/>
    <m/>
    <m/>
    <m/>
    <m/>
    <m/>
    <m/>
    <m/>
    <m/>
    <m/>
    <s v="YES"/>
    <n v="1000"/>
    <n v="0.5"/>
    <n v="500"/>
    <m/>
    <m/>
    <m/>
    <m/>
    <m/>
    <m/>
    <m/>
    <m/>
    <m/>
    <m/>
    <m/>
    <m/>
    <m/>
    <m/>
    <m/>
    <m/>
    <m/>
    <m/>
    <m/>
    <m/>
    <m/>
    <m/>
    <m/>
    <m/>
    <m/>
    <m/>
    <m/>
    <m/>
    <m/>
    <m/>
    <m/>
    <m/>
    <m/>
    <m/>
    <m/>
    <m/>
    <m/>
    <m/>
    <m/>
    <m/>
    <m/>
    <m/>
    <m/>
    <m/>
    <m/>
    <s v="YES"/>
    <s v="February"/>
    <n v="2016"/>
    <m/>
    <s v="YES"/>
    <m/>
    <n v="2017"/>
    <m/>
    <x v="1"/>
    <m/>
    <s v="YES"/>
    <m/>
    <m/>
    <s v="YES"/>
    <m/>
    <m/>
    <m/>
    <m/>
    <x v="1"/>
    <s v="The innovation consisted in doing refugee work within Germany based on best-practice examples of inclusion and working wih ethnic minorities in other geographic locations."/>
    <x v="0"/>
    <m/>
    <x v="1"/>
    <x v="0"/>
    <s v="YES"/>
    <x v="0"/>
    <x v="0"/>
    <x v="0"/>
    <x v="0"/>
    <n v="4"/>
    <x v="2"/>
    <x v="1"/>
    <x v="2"/>
    <x v="1"/>
    <x v="2"/>
    <x v="5"/>
    <n v="2"/>
    <x v="2"/>
    <x v="1"/>
    <x v="1"/>
    <x v="1"/>
    <x v="2"/>
    <n v="3"/>
    <x v="2"/>
    <x v="2"/>
    <n v="1"/>
    <s v="Private sector"/>
    <s v="University/research institution(s)"/>
    <m/>
    <x v="0"/>
    <m/>
    <s v="a) standardization and deepening of the process consulting in the schools"/>
    <s v="Employment of volunteers (&quot;Bundesfreiwilligendienst&quot;) with migrant background as co-trainers and ressource persons"/>
    <s v="Establishment of a program in order to support students' projects financially"/>
    <s v="Engaging men: Working with mixed student groups (students both with and without migrant background)"/>
    <s v="Language barrier for students with little German language skills"/>
    <s v="Demand for additional content (professional orientation, facts about migration and asylum)"/>
    <s v="Exchange among schools as unintended impact"/>
    <s v="For the follow-up project and scaling-up this meant: Revision of handbook, simplification of workshops, development of additional content and a new module 6 (myfuture),"/>
    <s v="Contact: kiwi@care.de"/>
    <n v="1000"/>
    <n v="600"/>
    <n v="0.6"/>
    <n v="0.5"/>
    <n v="0.5"/>
    <n v="500"/>
    <n v="300"/>
    <s v=""/>
    <n v="0"/>
    <n v="0"/>
    <s v=""/>
    <s v=""/>
    <n v="0"/>
    <n v="0"/>
    <s v=""/>
    <s v=""/>
    <n v="0"/>
    <n v="0"/>
    <s v=""/>
    <s v=""/>
    <n v="0"/>
    <n v="0"/>
    <s v=""/>
    <s v=""/>
    <n v="0"/>
    <n v="0"/>
    <s v=""/>
    <s v="2. Sensitive"/>
    <s v="3. Responsive"/>
    <s v="0. Harmful"/>
    <s v="It tested new ways for fighting poverty, but did not measure results of innovation"/>
    <s v="Moderate advocacy"/>
    <s v="It did not take tested solutions to scale"/>
  </r>
  <r>
    <x v="27"/>
    <x v="1"/>
    <m/>
    <s v="Social support for refugees and migrants in Germany (Bonn)"/>
    <s v="Germany"/>
    <s v="DEU3287"/>
    <s v="CARE Deutschland-Luxemburg"/>
    <s v="Other"/>
    <s v="Other"/>
    <s v="Aktion Deutschland Hilft (ADH)"/>
    <m/>
    <m/>
    <m/>
    <m/>
    <m/>
    <m/>
    <m/>
    <m/>
    <m/>
    <m/>
    <m/>
    <m/>
    <m/>
    <m/>
    <m/>
    <m/>
    <m/>
    <m/>
    <m/>
    <m/>
    <m/>
    <m/>
    <m/>
    <m/>
    <m/>
    <m/>
    <m/>
    <m/>
    <m/>
    <m/>
    <m/>
    <m/>
    <m/>
    <m/>
    <m/>
    <m/>
    <m/>
    <m/>
    <m/>
    <m/>
    <m/>
    <m/>
    <m/>
    <m/>
    <m/>
    <d v="2015-09-01T00:00:00"/>
    <d v="2016-10-31T00:00:00"/>
    <m/>
    <s v="Development Other"/>
    <n v="22000"/>
    <s v="Wolfgang Tyderle"/>
    <s v="Emergency Director"/>
    <s v="tyderle@care.de"/>
    <m/>
    <m/>
    <m/>
    <s v="NO"/>
    <s v="YES"/>
    <s v="NO"/>
    <s v="The main goal was to reach as many refugee networks in the state of Saxony and to strengthen local civil society."/>
    <s v="Sub-National"/>
    <s v="Saxony in East Germany"/>
    <s v="Refugees/migrants in Germany"/>
    <n v="100"/>
    <n v="100"/>
    <m/>
    <n v="0"/>
    <n v="0"/>
    <m/>
    <s v="Direct participants are the refugees and migrants themselves."/>
    <m/>
    <m/>
    <m/>
    <m/>
    <m/>
    <m/>
    <m/>
    <m/>
    <m/>
    <m/>
    <m/>
    <m/>
    <m/>
    <m/>
    <m/>
    <m/>
    <m/>
    <m/>
    <m/>
    <m/>
    <m/>
    <m/>
    <m/>
    <m/>
    <m/>
    <m/>
    <m/>
    <m/>
    <m/>
    <m/>
    <m/>
    <m/>
    <m/>
    <m/>
    <m/>
    <m/>
    <m/>
    <m/>
    <m/>
    <m/>
    <m/>
    <m/>
    <m/>
    <m/>
    <m/>
    <m/>
    <m/>
    <m/>
    <m/>
    <m/>
    <m/>
    <m/>
    <m/>
    <m/>
    <m/>
    <m/>
    <m/>
    <m/>
    <m/>
    <m/>
    <n v="100"/>
    <n v="100"/>
    <n v="200"/>
    <m/>
    <m/>
    <m/>
    <m/>
    <m/>
    <m/>
    <m/>
    <m/>
    <m/>
    <m/>
    <m/>
    <m/>
    <m/>
    <m/>
    <m/>
    <m/>
    <m/>
    <m/>
    <m/>
    <m/>
    <m/>
    <m/>
    <m/>
    <s v="YES"/>
    <n v="200"/>
    <n v="0.5"/>
    <m/>
    <m/>
    <m/>
    <m/>
    <m/>
    <m/>
    <m/>
    <m/>
    <m/>
    <m/>
    <m/>
    <m/>
    <m/>
    <m/>
    <m/>
    <m/>
    <m/>
    <m/>
    <m/>
    <m/>
    <m/>
    <m/>
    <m/>
    <m/>
    <m/>
    <m/>
    <m/>
    <m/>
    <m/>
    <m/>
    <m/>
    <m/>
    <m/>
    <m/>
    <m/>
    <m/>
    <m/>
    <m/>
    <m/>
    <m/>
    <m/>
    <m/>
    <m/>
    <m/>
    <m/>
    <m/>
    <s v="NO"/>
    <m/>
    <m/>
    <m/>
    <s v="NO"/>
    <m/>
    <m/>
    <m/>
    <x v="1"/>
    <s v="NO"/>
    <s v="YES"/>
    <s v="NO"/>
    <s v="NO"/>
    <m/>
    <s v="NO"/>
    <s v="NO"/>
    <m/>
    <m/>
    <x v="1"/>
    <s v="The innovation consisted in doing refugee work within Germany based on best-practice examples of inclusion and transferring experience with migrant/refugee work in the Global South."/>
    <x v="0"/>
    <m/>
    <x v="1"/>
    <x v="0"/>
    <s v="YES"/>
    <x v="0"/>
    <x v="0"/>
    <x v="1"/>
    <x v="1"/>
    <n v="3"/>
    <x v="2"/>
    <x v="1"/>
    <x v="2"/>
    <x v="1"/>
    <x v="2"/>
    <x v="5"/>
    <n v="2"/>
    <x v="2"/>
    <x v="1"/>
    <x v="1"/>
    <x v="1"/>
    <x v="2"/>
    <n v="3"/>
    <x v="2"/>
    <x v="2"/>
    <n v="1"/>
    <s v="Local NGO(s)/CSO(s)"/>
    <m/>
    <m/>
    <x v="2"/>
    <s v="Bisher sind bereits verschiedenste Aktivitäten wie eine Selbsthilfewerkstatt, ein Begegnungscafé, Theaterkurse, Sportevents und Deutschkurse durch den Förderfonds Flüchtlingshilfe in Sachsen ermöglicht worden. Darüber hinaus wurde auch ein Netzwerktreffen der Initiativen mit Workshops und Arbeitsgruppen zu Beginn des Jahres veranstaltet."/>
    <s v="The project provided short-term social support to newly arrived refugee/migrants in Germany and was very limited in scope and finance volume."/>
    <m/>
    <s v="Engaging men was key"/>
    <m/>
    <s v="Working with refugees/migrants is part of CARE's work and mandate"/>
    <s v="Lessons from other parts of the world can be transferred to refugee work within Germany, e.g. YMI in the Balkans"/>
    <m/>
    <m/>
    <m/>
    <n v="200"/>
    <n v="0"/>
    <n v="0"/>
    <n v="0.5"/>
    <s v=""/>
    <n v="100"/>
    <n v="0"/>
    <s v=""/>
    <n v="0"/>
    <n v="0"/>
    <s v=""/>
    <s v=""/>
    <n v="0"/>
    <n v="0"/>
    <s v=""/>
    <s v=""/>
    <n v="0"/>
    <n v="0"/>
    <s v=""/>
    <s v=""/>
    <n v="0"/>
    <n v="0"/>
    <s v=""/>
    <s v=""/>
    <n v="0"/>
    <n v="0"/>
    <s v=""/>
    <s v="1. Neutral"/>
    <s v="3. Responsive"/>
    <s v="0. Harmful"/>
    <s v="It tested new ways for fighting poverty, but did not measure results of innovation"/>
    <s v="Moderate advocacy"/>
    <s v="It did not take tested solutions to scale"/>
  </r>
  <r>
    <x v="27"/>
    <x v="1"/>
    <m/>
    <s v="Social support for refugees and migrants in Germany (Saxony)"/>
    <s v="Germany"/>
    <s v="DEU3286"/>
    <s v="CARE Deutschland-Luxemburg"/>
    <s v="Other"/>
    <s v="Other"/>
    <s v="Aktion Deutschland Hilft (ADH)"/>
    <m/>
    <m/>
    <m/>
    <m/>
    <m/>
    <m/>
    <m/>
    <m/>
    <m/>
    <m/>
    <m/>
    <m/>
    <m/>
    <m/>
    <m/>
    <m/>
    <m/>
    <m/>
    <m/>
    <m/>
    <m/>
    <m/>
    <m/>
    <m/>
    <m/>
    <m/>
    <m/>
    <m/>
    <m/>
    <m/>
    <m/>
    <m/>
    <m/>
    <m/>
    <m/>
    <m/>
    <m/>
    <m/>
    <m/>
    <m/>
    <m/>
    <m/>
    <m/>
    <m/>
    <m/>
    <d v="2015-09-01T00:00:00"/>
    <d v="2016-12-31T00:00:00"/>
    <m/>
    <s v="Development Other"/>
    <n v="51000"/>
    <s v="Wolfgang Tyderle"/>
    <s v="Emergency Director"/>
    <s v="tyderle@care.de"/>
    <m/>
    <m/>
    <m/>
    <s v="NO"/>
    <s v="YES"/>
    <s v="NO"/>
    <s v="To provide social services to refugees that have recently arrived in Germany"/>
    <s v="Sub-National"/>
    <s v="North Rhine Westphalia in West Germany"/>
    <s v="Refugees/migrants in Germany"/>
    <n v="65"/>
    <n v="65"/>
    <m/>
    <n v="0"/>
    <n v="0"/>
    <m/>
    <s v="Direct participants are the refugees/migrants themselves."/>
    <m/>
    <m/>
    <m/>
    <m/>
    <m/>
    <m/>
    <m/>
    <m/>
    <m/>
    <m/>
    <m/>
    <m/>
    <m/>
    <m/>
    <m/>
    <m/>
    <m/>
    <m/>
    <m/>
    <m/>
    <m/>
    <m/>
    <m/>
    <m/>
    <m/>
    <m/>
    <m/>
    <m/>
    <m/>
    <m/>
    <m/>
    <m/>
    <m/>
    <m/>
    <m/>
    <m/>
    <m/>
    <m/>
    <m/>
    <m/>
    <m/>
    <m/>
    <m/>
    <m/>
    <m/>
    <m/>
    <m/>
    <m/>
    <m/>
    <m/>
    <m/>
    <m/>
    <m/>
    <m/>
    <m/>
    <m/>
    <m/>
    <m/>
    <m/>
    <m/>
    <n v="65"/>
    <n v="65"/>
    <n v="130"/>
    <n v="0"/>
    <n v="0"/>
    <n v="0"/>
    <m/>
    <m/>
    <m/>
    <m/>
    <m/>
    <m/>
    <m/>
    <m/>
    <m/>
    <m/>
    <m/>
    <m/>
    <m/>
    <m/>
    <m/>
    <m/>
    <m/>
    <m/>
    <m/>
    <m/>
    <s v="YES"/>
    <n v="130"/>
    <n v="0.5"/>
    <m/>
    <m/>
    <m/>
    <m/>
    <m/>
    <m/>
    <m/>
    <m/>
    <m/>
    <m/>
    <m/>
    <m/>
    <m/>
    <m/>
    <m/>
    <m/>
    <m/>
    <m/>
    <m/>
    <m/>
    <m/>
    <m/>
    <m/>
    <m/>
    <m/>
    <m/>
    <m/>
    <m/>
    <m/>
    <m/>
    <m/>
    <m/>
    <m/>
    <m/>
    <m/>
    <m/>
    <m/>
    <m/>
    <m/>
    <m/>
    <m/>
    <m/>
    <m/>
    <m/>
    <m/>
    <m/>
    <s v="NO"/>
    <m/>
    <m/>
    <m/>
    <s v="NO"/>
    <m/>
    <m/>
    <m/>
    <x v="1"/>
    <m/>
    <s v="YES"/>
    <m/>
    <m/>
    <s v="YES"/>
    <m/>
    <m/>
    <m/>
    <m/>
    <x v="1"/>
    <s v="The innovation consisted in doing refugee work within Germany based on best-practice examples of inclusion and transferring experience with migrant/refugee work in the Global South.refugee work within Germany based on best-practice examples of inclusion and working wih ethnic minorities in other geographic locations."/>
    <x v="0"/>
    <m/>
    <x v="1"/>
    <x v="0"/>
    <s v="YES"/>
    <x v="0"/>
    <x v="0"/>
    <x v="1"/>
    <x v="1"/>
    <n v="3"/>
    <x v="2"/>
    <x v="1"/>
    <x v="2"/>
    <x v="1"/>
    <x v="2"/>
    <x v="5"/>
    <n v="2"/>
    <x v="2"/>
    <x v="1"/>
    <x v="1"/>
    <x v="1"/>
    <x v="2"/>
    <n v="3"/>
    <x v="2"/>
    <x v="2"/>
    <n v="1"/>
    <s v="Local NGO(s)/CSO(s)"/>
    <m/>
    <m/>
    <x v="2"/>
    <m/>
    <s v="The project provided short-term social support to newly arrived refugees in Germany and was very limited in scope and finance volume."/>
    <m/>
    <s v="Engaging men was key"/>
    <m/>
    <s v="Working with refugees/migrants is part of CARE's work and mandate."/>
    <s v="Lessons from other parts of the world can be transferred to refugee work within Germany, e.g. YMI"/>
    <m/>
    <m/>
    <m/>
    <n v="130"/>
    <n v="0"/>
    <n v="0"/>
    <n v="0.5"/>
    <s v=""/>
    <n v="65"/>
    <n v="0"/>
    <s v=""/>
    <n v="0"/>
    <n v="0"/>
    <s v=""/>
    <s v=""/>
    <n v="0"/>
    <n v="0"/>
    <s v=""/>
    <s v=""/>
    <n v="0"/>
    <n v="0"/>
    <s v=""/>
    <s v=""/>
    <n v="0"/>
    <n v="0"/>
    <s v=""/>
    <s v=""/>
    <n v="0"/>
    <n v="0"/>
    <s v=""/>
    <s v="1. Neutral"/>
    <s v="3. Responsive"/>
    <s v="0. Harmful"/>
    <s v="It tested new ways for fighting poverty, but did not measure results of innovation"/>
    <s v="Moderate advocacy"/>
    <s v="It did not take tested solutions to scale"/>
  </r>
  <r>
    <x v="28"/>
    <x v="2"/>
    <m/>
    <s v="Adaptation Learning Programme for Africa"/>
    <s v="Ghana"/>
    <s v="CDNKGH0064"/>
    <s v="CARE Danmark"/>
    <s v="Government"/>
    <s v="Other"/>
    <s v="DFID"/>
    <m/>
    <m/>
    <m/>
    <m/>
    <m/>
    <m/>
    <m/>
    <m/>
    <m/>
    <m/>
    <m/>
    <m/>
    <m/>
    <m/>
    <m/>
    <m/>
    <m/>
    <m/>
    <m/>
    <m/>
    <m/>
    <m/>
    <m/>
    <m/>
    <m/>
    <m/>
    <m/>
    <m/>
    <m/>
    <m/>
    <m/>
    <m/>
    <m/>
    <m/>
    <m/>
    <m/>
    <m/>
    <m/>
    <m/>
    <m/>
    <m/>
    <m/>
    <m/>
    <m/>
    <m/>
    <d v="2010-07-01T00:00:00"/>
    <d v="2014-06-30T00:00:00"/>
    <m/>
    <s v="Humanitarian Food &amp; Nutrition Security and Resilience to Climate Change"/>
    <m/>
    <s v="Romanus Gyang"/>
    <s v="National Coordinator - Adaptation Learning Programme for Africa"/>
    <s v="romanusgyang@yahoo.co.uk"/>
    <m/>
    <m/>
    <m/>
    <s v="YES"/>
    <s v="YES"/>
    <s v="YES"/>
    <s v="Capacity of vulnerable people in Sub-Saharan Africa to adapt to climate variability and change increased"/>
    <s v="Multiple countries"/>
    <s v="Ghana {East Mamprusi (Saamini, Dimea, Jawani and Zambulugu communities), Garu-Tempane (Akara, Kugri, Tariganga and Farfar communities) and Nadowli-Kaleo (Zambogu, Duong, Chaang, Kanyini, Takpo and Nanville communities) districts}, Kenya, Mozambique and Niger"/>
    <s v="The district assembly and the department of agriculture at the district level, Ghana meterological Agency from the regional and national level, ABANTU for development that looks at the advocacy aspect of ALP, the Ministry of Finance, Institute for Local Government Studies and community members in the 14 ALP sites in the above listed three districts"/>
    <n v="6224"/>
    <n v="1671"/>
    <n v="7895"/>
    <n v="11888"/>
    <n v="12375"/>
    <n v="24263"/>
    <s v="Direct participants are beneficiaries directly engaged in the project, benefitted  and participated in project activities and initiatives. The indirect beneficiaries was calculated by decucting the total males from the total beneficiaries and multiplied by the average household size of 6."/>
    <m/>
    <m/>
    <m/>
    <m/>
    <m/>
    <m/>
    <m/>
    <m/>
    <m/>
    <m/>
    <m/>
    <m/>
    <m/>
    <m/>
    <m/>
    <m/>
    <m/>
    <m/>
    <m/>
    <m/>
    <m/>
    <m/>
    <m/>
    <m/>
    <m/>
    <m/>
    <m/>
    <m/>
    <m/>
    <m/>
    <m/>
    <m/>
    <m/>
    <m/>
    <m/>
    <m/>
    <m/>
    <m/>
    <m/>
    <m/>
    <m/>
    <m/>
    <m/>
    <m/>
    <m/>
    <m/>
    <m/>
    <m/>
    <m/>
    <m/>
    <m/>
    <m/>
    <m/>
    <m/>
    <m/>
    <m/>
    <m/>
    <m/>
    <m/>
    <m/>
    <n v="31"/>
    <n v="11"/>
    <n v="42"/>
    <n v="95"/>
    <n v="91"/>
    <n v="186"/>
    <s v="YES"/>
    <m/>
    <m/>
    <m/>
    <s v="YES"/>
    <n v="457"/>
    <n v="0.36"/>
    <n v="2742"/>
    <s v="YES"/>
    <n v="21"/>
    <n v="0.24"/>
    <n v="126"/>
    <s v="YES"/>
    <n v="2160"/>
    <n v="0.68"/>
    <n v="8748"/>
    <s v="YES"/>
    <n v="207"/>
    <n v="0.9"/>
    <n v="1122"/>
    <m/>
    <m/>
    <m/>
    <m/>
    <m/>
    <m/>
    <m/>
    <m/>
    <m/>
    <m/>
    <m/>
    <m/>
    <m/>
    <m/>
    <m/>
    <m/>
    <m/>
    <m/>
    <m/>
    <m/>
    <m/>
    <m/>
    <m/>
    <m/>
    <m/>
    <m/>
    <m/>
    <m/>
    <s v="YES"/>
    <n v="185"/>
    <n v="0.27"/>
    <n v="810"/>
    <m/>
    <m/>
    <m/>
    <m/>
    <m/>
    <m/>
    <m/>
    <m/>
    <m/>
    <m/>
    <m/>
    <m/>
    <m/>
    <m/>
    <m/>
    <m/>
    <m/>
    <s v="YES"/>
    <s v="May"/>
    <n v="2017"/>
    <m/>
    <s v="NO"/>
    <m/>
    <m/>
    <m/>
    <x v="2"/>
    <s v="YES"/>
    <s v="YES"/>
    <m/>
    <s v="YES"/>
    <s v="YES"/>
    <m/>
    <m/>
    <s v="YES"/>
    <m/>
    <x v="2"/>
    <s v="From the baseline in the Nadowli-Kaleo District it was realized that women had little access to climate information and for this reason the ALP identified VSLA members with phones in various sections of the community and included them on the climate information dissemination list by Ghana Meterological Agency. Also the ALP collaborated with the community to establish the Climate Information Centre (CIC) to further record and disseminate climate information at times which were convinient especially for women"/>
    <x v="1"/>
    <s v="The participatory scenario planning which looks at analysing the seasonal forecast, developing advisories and disseminating climate information has been upscaled. The development of budget codes for tracking the use of adaptation financeby MMDAs and National Implementing Entities of the Adaptaton Fund project. The adoption of rain gauges by INGOs (OXFAM) and CSO (PARED). Farmers and District Chief Executives adoption and propmtion of dry season farming and the cultivation of the early maturing (6 months variety) variety of cassava"/>
    <x v="3"/>
    <x v="0"/>
    <s v="YES"/>
    <x v="0"/>
    <x v="0"/>
    <x v="0"/>
    <x v="0"/>
    <n v="4"/>
    <x v="1"/>
    <x v="1"/>
    <x v="1"/>
    <x v="1"/>
    <x v="1"/>
    <x v="1"/>
    <n v="4"/>
    <x v="3"/>
    <x v="1"/>
    <x v="1"/>
    <x v="1"/>
    <x v="4"/>
    <n v="3"/>
    <x v="3"/>
    <x v="3"/>
    <n v="1"/>
    <s v="Regional alliance(s)/Platform(s)/Network(s) of  NGOs/CSOs"/>
    <m/>
    <m/>
    <x v="0"/>
    <s v="Together with ABANTU for Development, CARE built the capacity of its platform members in Climate change adaptation and finance. It also built their capacity on advocacy in this regard and on climate change issues in the global arena. This led CSOs such as Community Development Alliance advocating for tranparency and access to information in the implementation of the Adaptation Fund project."/>
    <s v="Participatory Scenario Planning (PSP) which was done at the regional and district level is more effective when facilitated at community level as observed by Trade Aid Integrated. Thus, the ALP in this FY facilitated the facilitators training at the regional level and these trainees facilitators PSP at the community level unlike the district level."/>
    <s v="Early bulking cassava variety that takes six months to mature aid food security. The leaves start sprouting early and are harvested for soup and the tubers suitable for various local dishes."/>
    <s v="climate information platform established by GMET with farmers on the platform who receive daily weather information and early warning for free."/>
    <s v="Dry season garden (water melon/ onion). This serves as a source of income for farmers and in the upper west region is a great way to make jusicious use of the several water points in the area."/>
    <s v="From a study, the project realized VSLA was a source of maladaptation. This is to say it was sustainable since most of the members engaged in charcoal buring to earn income to save into the VSLA boxes. This though realized at the later stage of the project, got management thinking of how to ensure source of contribution to VSLA are sustainable."/>
    <s v="It was realized that empowerment should be done along all the components of the agriculture value chain and not just at the stage of production. we ought to empower individuals within the value chain especially the components or role women play within this chain."/>
    <s v="It is necessary to have civil society to start monitoring on the ground policy implementation and tracking the flow and use of climate funds. Most climate-oriented CSOs are strictly advocacy-focused and based in Accra while the well-placed rural CBOs are more focused on service delivery."/>
    <s v="The numbers reported reflects beneficiaries for the initial phase of ALP and the extension. The ALP under the estension used VSLAs as its direct beneficiaries."/>
    <s v="ALP Ghana 2017  Logframe report         ALP 2017 Narrative Report       Programme Document ALP extension 2015 to 2017 public     ALP LOGFRAME extension and 2015 milestones 210915 with notes"/>
    <n v="42"/>
    <n v="186"/>
    <n v="4.4285714285714288"/>
    <n v="0.73809523809523814"/>
    <n v="0.510752688172043"/>
    <n v="31"/>
    <n v="95"/>
    <n v="1"/>
    <n v="0"/>
    <n v="0"/>
    <s v=""/>
    <n v="1"/>
    <n v="2160"/>
    <n v="8748"/>
    <n v="4.05"/>
    <s v=""/>
    <n v="0"/>
    <n v="0"/>
    <s v=""/>
    <s v=""/>
    <n v="0"/>
    <n v="0"/>
    <s v=""/>
    <n v="1"/>
    <n v="186.3"/>
    <n v="1009.8000000000001"/>
    <n v="5.4202898550724639"/>
    <s v="2. Sensitive"/>
    <s v="2. Accommodating"/>
    <s v="4. Transformative"/>
    <s v="It tested new ways for fighting poverty and measured results of innovation"/>
    <s v="Intensive advocacy"/>
    <s v="It linked and worked with strategic alliances and partners to take tested and effective solutions to scale"/>
  </r>
  <r>
    <x v="28"/>
    <x v="2"/>
    <m/>
    <s v="COCOA LIFE"/>
    <s v="Ghana"/>
    <s v="CGBRGHOO67"/>
    <s v="CARE UK"/>
    <s v="Corporation"/>
    <s v="Other"/>
    <s v="Mondelez International"/>
    <m/>
    <m/>
    <m/>
    <m/>
    <m/>
    <m/>
    <m/>
    <m/>
    <m/>
    <m/>
    <m/>
    <m/>
    <m/>
    <m/>
    <m/>
    <m/>
    <m/>
    <m/>
    <m/>
    <m/>
    <m/>
    <m/>
    <m/>
    <m/>
    <m/>
    <m/>
    <m/>
    <m/>
    <m/>
    <m/>
    <m/>
    <m/>
    <m/>
    <m/>
    <m/>
    <m/>
    <m/>
    <m/>
    <m/>
    <m/>
    <m/>
    <m/>
    <m/>
    <m/>
    <m/>
    <d v="2009-09-01T00:00:00"/>
    <d v="2016-12-31T00:00:00"/>
    <d v="2017-02-28T00:00:00"/>
    <s v="Development Access to and Control over Economic Resources"/>
    <n v="3624630"/>
    <s v="Gifty Blekpe"/>
    <s v="Head of Programs/ACD"/>
    <s v="gifty.blekpe@care.org"/>
    <s v="Dr. Theophilus Nkansah"/>
    <s v="Project Manager"/>
    <s v="tnkansah@care.org"/>
    <s v="NO"/>
    <s v="YES"/>
    <s v="NO"/>
    <s v="Cocoa Life's goal is to empower and ensure thriving communities as essential foundation for sustainable cocoa supply."/>
    <s v="Sub-National"/>
    <s v="CARE's operational scope of the project falls within 2 regions namely the Ashanti Region and the Brong Ahafo Region. The project operated in 35 communities in the Amansie West District in the Ashanti Region and 41 communities in the Asunafo North Municipality in the Brong Ahafo Region."/>
    <s v="The main impact groups of the project are:  _x000a_Youth between the ages of 15 to 35_x000a_Children of school going age._x000a_Women and men of reproductive age."/>
    <n v="13680"/>
    <n v="9120"/>
    <n v="22800"/>
    <n v="79104"/>
    <n v="53136"/>
    <n v="132240"/>
    <s v="The direct participants represents farmers, youth (15-35 years), women and men of reproductive age who were directly involved in activities implemented by the project._x000a__x000a_The indirect participants was calculated using an average household size of 5.8, with 60% alloted for women and girls and 40% representing men and boys based on Ghana Population and Housing Census (2010)"/>
    <m/>
    <m/>
    <m/>
    <m/>
    <m/>
    <m/>
    <m/>
    <m/>
    <m/>
    <m/>
    <m/>
    <m/>
    <m/>
    <m/>
    <m/>
    <m/>
    <m/>
    <m/>
    <m/>
    <m/>
    <m/>
    <m/>
    <m/>
    <m/>
    <m/>
    <m/>
    <m/>
    <m/>
    <m/>
    <m/>
    <m/>
    <m/>
    <m/>
    <m/>
    <m/>
    <m/>
    <m/>
    <m/>
    <m/>
    <m/>
    <m/>
    <m/>
    <m/>
    <m/>
    <m/>
    <m/>
    <m/>
    <m/>
    <m/>
    <m/>
    <m/>
    <m/>
    <m/>
    <m/>
    <m/>
    <m/>
    <m/>
    <m/>
    <m/>
    <m/>
    <n v="16051"/>
    <n v="12715"/>
    <n v="28766"/>
    <n v="100106"/>
    <n v="66737"/>
    <n v="166843"/>
    <s v="YES"/>
    <n v="22438"/>
    <n v="0.63"/>
    <n v="130140"/>
    <s v="NO"/>
    <m/>
    <m/>
    <m/>
    <s v="NO"/>
    <m/>
    <m/>
    <m/>
    <s v="NO"/>
    <m/>
    <m/>
    <m/>
    <s v="YES"/>
    <n v="5421"/>
    <n v="0.71"/>
    <n v="31442"/>
    <s v="YES"/>
    <n v="100"/>
    <n v="0.4"/>
    <n v="5000"/>
    <s v="YES"/>
    <n v="1061"/>
    <n v="0.56000000000000005"/>
    <n v="11890"/>
    <s v="NO"/>
    <m/>
    <m/>
    <m/>
    <s v="YES"/>
    <n v="4100"/>
    <n v="0.8"/>
    <n v="23780"/>
    <s v="NO"/>
    <m/>
    <m/>
    <m/>
    <s v="NO"/>
    <m/>
    <m/>
    <m/>
    <s v="NO"/>
    <m/>
    <m/>
    <m/>
    <s v="YES"/>
    <n v="132"/>
    <n v="0.3"/>
    <n v="22800"/>
    <s v="NO"/>
    <m/>
    <m/>
    <m/>
    <m/>
    <m/>
    <m/>
    <m/>
    <s v="YES"/>
    <n v="3844"/>
    <n v="1"/>
    <n v="22295"/>
    <m/>
    <m/>
    <m/>
    <m/>
    <m/>
    <s v="NO"/>
    <m/>
    <m/>
    <m/>
    <s v="NO"/>
    <m/>
    <m/>
    <m/>
    <x v="1"/>
    <s v="NO"/>
    <s v="NO"/>
    <s v="YES"/>
    <s v="YES"/>
    <s v="YES"/>
    <s v="NO"/>
    <s v="NO"/>
    <m/>
    <m/>
    <x v="1"/>
    <m/>
    <x v="0"/>
    <m/>
    <x v="0"/>
    <x v="1"/>
    <s v="YES"/>
    <x v="0"/>
    <x v="0"/>
    <x v="0"/>
    <x v="2"/>
    <n v="4"/>
    <x v="2"/>
    <x v="1"/>
    <x v="1"/>
    <x v="1"/>
    <x v="1"/>
    <x v="2"/>
    <n v="4"/>
    <x v="1"/>
    <x v="2"/>
    <x v="1"/>
    <x v="2"/>
    <x v="3"/>
    <n v="1"/>
    <x v="2"/>
    <x v="3"/>
    <n v="1"/>
    <s v="Local government(s)"/>
    <s v="Grassroots organization(s)"/>
    <m/>
    <x v="0"/>
    <m/>
    <s v="1. Cocoa life formalised women's roles and contributions to development by forming and strengthening women's groups via leadership training_x000a_2.  Community Development Committees (CDCs) were formed ,  trained and linked to all the key local government institutions at the district level to spearhead development initiatives at the community level."/>
    <s v="1. An engagement forum that brings all the key district government officials together with community representatives to dialogue and provide feedback on critical development issues affecting community members. Actions points are drafted, shared and pursued to ensure that community concerns and feedback are addressed. This promotes accountability between power holders and duty bearers."/>
    <s v="2. District-level partners (officials) are frequently used in carrying out most interventions and trainings. This promotes sustainability of interventions."/>
    <s v="3. Women were facilitated to form women's groups to give them viisbility and voice as well as build their collective and individual agency to participate actively in dedcision making processes and local governance."/>
    <s v="1. Empowered women leaders are able to take new development initiatives"/>
    <s v="2. Women extension volunteer (WEV) groups are adapting the VSLA concept to suit their farming needs. This is being done by using their group farming proceeds as revolving funds that provide loans (with little interest) to group members. Some have started new businesses like 'frying and selling of doughnuts' among several interesting outcomes."/>
    <s v="3. Communities can be self-reliant if the needed awareness creation is done and capacities built. Many communities are now initiating projects instead of depending entirely on government."/>
    <s v="As the project comes to a close, all activities that were implemented were done with sustainability at the back of our minds. This informed the formation of women's groups and community development committees and linking them to all local government stakeholders in the district/ Municipality. This way, they become visible and they also know where to go for supp"/>
    <s v="1. Cocoa Life Annual Technical Narrative Report 2017"/>
    <n v="28766"/>
    <n v="166843"/>
    <n v="5.8000069526524367"/>
    <n v="0.55798512132378497"/>
    <n v="0.60000119873174185"/>
    <n v="16051"/>
    <n v="100106"/>
    <s v=""/>
    <n v="0"/>
    <n v="0"/>
    <s v=""/>
    <n v="1"/>
    <n v="22438"/>
    <n v="130140"/>
    <n v="5.7999821730992069"/>
    <s v=""/>
    <n v="0"/>
    <n v="0"/>
    <s v=""/>
    <s v=""/>
    <n v="0"/>
    <n v="0"/>
    <s v=""/>
    <n v="1"/>
    <n v="3848.91"/>
    <n v="22323.82"/>
    <n v="5.8000368935620736"/>
    <s v="4. Transformative"/>
    <s v="4. Transformational"/>
    <s v="1. Neutral"/>
    <s v="It tested new ways for fighting poverty, but did not measure results of innovation"/>
    <s v="Moderate advocacy"/>
    <s v="It did not take tested solutions to scale"/>
  </r>
  <r>
    <x v="28"/>
    <x v="2"/>
    <s v="TCAOGH0004 and TCAOGH0002"/>
    <s v="COMPLEMENTARY BASIC EDUCATION (CBE)"/>
    <s v="Ghana"/>
    <s v="TCAOGH0004/TCAOGH002"/>
    <s v="CARE USA"/>
    <s v="Multilateral agency"/>
    <s v="Government - UK"/>
    <s v="UKAid"/>
    <m/>
    <m/>
    <s v="Multilateral agency"/>
    <s v="Government - US"/>
    <s v="USAID"/>
    <m/>
    <m/>
    <m/>
    <m/>
    <m/>
    <m/>
    <m/>
    <m/>
    <m/>
    <m/>
    <m/>
    <m/>
    <m/>
    <m/>
    <m/>
    <m/>
    <m/>
    <m/>
    <m/>
    <m/>
    <m/>
    <m/>
    <m/>
    <m/>
    <m/>
    <m/>
    <m/>
    <m/>
    <m/>
    <m/>
    <m/>
    <m/>
    <m/>
    <m/>
    <m/>
    <m/>
    <m/>
    <m/>
    <m/>
    <m/>
    <d v="2016-05-01T00:00:00"/>
    <d v="2017-07-30T00:00:00"/>
    <m/>
    <s v="Development Other"/>
    <n v="413307"/>
    <s v="GEORGE APPIAH KWASI"/>
    <s v="PROGRAM MANAGER"/>
    <s v="George.Appiah@care.org"/>
    <s v="GERALD TETTEH-ASHONG"/>
    <s v="M&amp;E OFFICER"/>
    <s v="Gerald.Tetteh-Ashong@care.org"/>
    <s v="NO"/>
    <s v="YES"/>
    <s v="NO"/>
    <s v=".   Facilitate the expansion of Complementary Basic Education (CBE) to cover all out-of-school children aged 8 to 14 (the age range for basic education);_x000a_.   Harmonise existing CBE provision through a Government-approved approach for the delivery of CBE by non-state providers;_x000a_.   Ensure effective non-state provision and governmental management of the programme; Ensure quality of teaching and learning outcomes;_x000a_.   Strengthen community ownership; and_x000a_.   Through these means, achieve the Free Compulsory and Basic Education (FCUBE) goal and thereby strengthen:_x000a_           - Social and economic development of the poorer regions of Ghana;_x000a_           - Social integration in these regions with a consequent reduction in urban migration, unemployment and crime;_x000a_           - Gender equity and its associated quality of life, health and other benefits; and Improved opportunities for children with disability"/>
    <s v="National"/>
    <s v="West Mamprusi District in the Northern Region; Tain and Nkoranza North Districts in the Brong-Ahafo Region of Ghana"/>
    <s v="The main impact  group is made up of  the  cohort of out of school children(8-14 years)  and  Community  Facilitators(young women)"/>
    <n v="1951"/>
    <n v="2006"/>
    <n v="3957"/>
    <n v="6232"/>
    <n v="6688"/>
    <n v="12920"/>
    <s v="The Direct Participants are made up of 3230 (1672 boys and 1578 girls) Out of School Children(8-14 years)  who participated in the Complementray Basic Education (CBE) Program; 127 (94 young men and 33 young women)                                                                                                                                                                          who were trained  to teach the out of school children in the CBE classes established in 92   partner communities within 3 administrative districts in Ghana;  and 600 ( 240 men and 360 women) Local Management Committees who were also trained to ensure the  effective implementation of the program in  the above partner communities. The Indirect participants was  produced  by multiplying  the average household  of 4 by the number of Out of School Children who enrolled unto the CBE program"/>
    <m/>
    <m/>
    <m/>
    <m/>
    <m/>
    <m/>
    <m/>
    <m/>
    <m/>
    <m/>
    <m/>
    <m/>
    <m/>
    <m/>
    <m/>
    <m/>
    <m/>
    <m/>
    <m/>
    <m/>
    <m/>
    <m/>
    <m/>
    <m/>
    <m/>
    <m/>
    <m/>
    <m/>
    <m/>
    <m/>
    <m/>
    <m/>
    <m/>
    <m/>
    <m/>
    <m/>
    <m/>
    <m/>
    <m/>
    <m/>
    <m/>
    <m/>
    <m/>
    <m/>
    <m/>
    <m/>
    <m/>
    <m/>
    <m/>
    <m/>
    <m/>
    <m/>
    <m/>
    <m/>
    <m/>
    <m/>
    <m/>
    <m/>
    <m/>
    <m/>
    <n v="1951"/>
    <n v="2006"/>
    <n v="3957"/>
    <n v="6232"/>
    <n v="6688"/>
    <n v="12920"/>
    <m/>
    <m/>
    <m/>
    <m/>
    <m/>
    <m/>
    <m/>
    <m/>
    <m/>
    <m/>
    <m/>
    <m/>
    <m/>
    <m/>
    <m/>
    <m/>
    <m/>
    <m/>
    <m/>
    <m/>
    <s v="YES"/>
    <n v="3957"/>
    <n v="0.49"/>
    <n v="12920"/>
    <m/>
    <m/>
    <m/>
    <m/>
    <m/>
    <m/>
    <m/>
    <m/>
    <m/>
    <m/>
    <m/>
    <m/>
    <m/>
    <m/>
    <m/>
    <m/>
    <m/>
    <m/>
    <m/>
    <m/>
    <m/>
    <m/>
    <m/>
    <m/>
    <m/>
    <m/>
    <m/>
    <m/>
    <m/>
    <m/>
    <m/>
    <m/>
    <m/>
    <m/>
    <m/>
    <m/>
    <s v="YES"/>
    <n v="33"/>
    <n v="1"/>
    <n v="132"/>
    <m/>
    <m/>
    <m/>
    <m/>
    <m/>
    <s v="YES"/>
    <s v="August"/>
    <n v="2016"/>
    <s v="YES"/>
    <s v="NO"/>
    <m/>
    <m/>
    <m/>
    <x v="1"/>
    <m/>
    <m/>
    <m/>
    <s v="YES"/>
    <m/>
    <m/>
    <m/>
    <m/>
    <m/>
    <x v="0"/>
    <m/>
    <x v="1"/>
    <s v="The District Education Directorate and District Assembly  of pilot districts were strengthened to take the lead in implementing the core CBE activities during the FY. Over the past years, the above has been the main contributory factor to  the effective implementation of the program in CARE's partner districts.  During the FY, all IPS  were asked to employ the above strategy to implement the program in their respective PILOT districts"/>
    <x v="0"/>
    <x v="1"/>
    <s v="YES"/>
    <x v="0"/>
    <x v="0"/>
    <x v="0"/>
    <x v="2"/>
    <n v="4"/>
    <x v="1"/>
    <x v="1"/>
    <x v="1"/>
    <x v="1"/>
    <x v="1"/>
    <x v="1"/>
    <n v="4"/>
    <x v="1"/>
    <x v="1"/>
    <x v="1"/>
    <x v="1"/>
    <x v="1"/>
    <n v="3"/>
    <x v="2"/>
    <x v="2"/>
    <n v="3"/>
    <s v="National government"/>
    <s v="Local government(s)"/>
    <m/>
    <x v="1"/>
    <m/>
    <s v="To meet the target of 20% representation of females among the Community Facilitators who are recriuted and trained to manage the CBE classes, CARE in collaboration with the District Education Directorate, District Assembly and the Local Management Communitty considered for selection communities that are able to select a female volunteer as a facilitator. CARE  provided  nanny services to females to effectively participate in the Facilitator tarining workshop. In addition, communities that were selected to participate were made up of those that had more gilrs(8-14 years) who are out of school.. This contributed  in  identifying more out of school  children (3230 )than expected(2900) . More girls were identified(1558) than expected(1450)"/>
    <s v="Forgiing very close working relationship with district institutions (the diastrict assembly and district education office) and making them lead the implementation all field activitie."/>
    <s v="Employing the PLA methodology in conducting community animation exercise in all the partner districts to encourage awareness, commitment and far reaching participation among stakeholders at the community level to effectively deliver the Complementary Basic Education program"/>
    <s v="The formation of the CBE LOCAL COMMITTEES with 60% women representation  to support, manage and advocate for the successful implementation of the program"/>
    <s v="Economic and social conditions are influencing the willingness and ability of parents and guardians in farming communities  in hard to reach areas to enroll and retain their children in school"/>
    <s v="A significant number of out of school children exist in the partner communities. Most of these children are supporting their parents on their farms and also child labour"/>
    <s v="The CBE programme as an innovative tool for fighting poverty and injustice and a cost-effective strategy for reaching those who face the greatest obstacles to access education. It also provides strong evidence that a second chance strategy is effective for addressing marginalization and also the fact that Volunteer CBE Facilitators with minimum qualification can be effective at delivering accelerated literacy instruction provided they receive both pre and in-service training. The programme also provides evidence that Community participation in management of education can increase time on task, ensuring that there is a teacher in the classroom who is regularly engaging the children in learning activities. Opening classroom doors to all out of school children especially girls through the CBE programme will help break the intergenerational chains of poverty because education is intrinsically linked to all development goals"/>
    <s v="According to the CBE enrolment targets, CARE is expected to create 116 CBE classes to serve 2900 Out of School Children(OOSC) with at least 1450 representing 50% being females.During the current  FY,  CARE  delivered  a  highly effective CBE programme  within 127 CBE classes  which  served 3230 as against the contractual target of 2900 out of school children in  92 communities within 3 administrative districts. The female proportion is 1558 representing 48.2%. Comparing the actuals with the planned targets, the result show that more females were mobilized than expected.  The results  produced by the M&amp;E system reveals  out of  3230 OOSC   who  participated  in the program 3227  with 1556  representing  girls  were able  to  complete the nine months basic literacy and numeracy program. CARE ' s effective partnership with the District Assembly, Education Drrectorate and the partner communities contributed to the above achievement. Our expectation is at least 95% of the learners will  transition to the formal school in September 2017.  The  CBE program contributes to the achievement of SDG  1, 4 and 5."/>
    <s v="CBE Baseline Reports"/>
    <n v="3957"/>
    <n v="12920"/>
    <n v="3.2650998230983066"/>
    <n v="0.49305029062421024"/>
    <n v="0.4823529411764706"/>
    <n v="1951"/>
    <n v="6232"/>
    <s v=""/>
    <n v="0"/>
    <n v="0"/>
    <s v=""/>
    <s v=""/>
    <n v="0"/>
    <n v="0"/>
    <s v=""/>
    <s v=""/>
    <n v="0"/>
    <n v="0"/>
    <s v=""/>
    <s v=""/>
    <n v="0"/>
    <n v="0"/>
    <s v=""/>
    <n v="1"/>
    <n v="33"/>
    <n v="132"/>
    <n v="4"/>
    <s v="4. Transformative"/>
    <s v="2. Accommodating"/>
    <s v="2. Sensitive"/>
    <s v="It did not develop any specific innovation"/>
    <s v="Moderate advocacy"/>
    <s v="It linked and worked with strategic alliances and partners to take tested and effective solutions to scale"/>
  </r>
  <r>
    <x v="28"/>
    <x v="2"/>
    <m/>
    <s v="Ghana's  Strengthening Accountability Mechanisms(GSAM)  Project"/>
    <s v="Ghana"/>
    <s v="PID: USLMGH0005"/>
    <s v="CARE USA"/>
    <s v="Multilateral agency"/>
    <s v="Government - US"/>
    <s v="USAID"/>
    <m/>
    <m/>
    <m/>
    <m/>
    <m/>
    <m/>
    <m/>
    <m/>
    <m/>
    <m/>
    <m/>
    <m/>
    <m/>
    <m/>
    <m/>
    <m/>
    <m/>
    <m/>
    <m/>
    <m/>
    <m/>
    <m/>
    <m/>
    <m/>
    <m/>
    <m/>
    <m/>
    <m/>
    <m/>
    <m/>
    <m/>
    <m/>
    <m/>
    <m/>
    <m/>
    <m/>
    <m/>
    <m/>
    <m/>
    <m/>
    <m/>
    <m/>
    <m/>
    <m/>
    <m/>
    <d v="2014-11-03T00:00:00"/>
    <d v="2019-11-03T00:00:00"/>
    <m/>
    <s v="Development Access to and Control over Economic Resources"/>
    <n v="9340000"/>
    <s v="Clement Nana Tandoh"/>
    <s v="Chief of Party"/>
    <s v="clement.tandoh@care.org"/>
    <s v="Samuel Addai Boateng"/>
    <s v="Monitoring and Evaluation Specialist"/>
    <s v="samuel.boateng@care.org"/>
    <s v="NO"/>
    <s v="YES"/>
    <s v="NO"/>
    <s v="The goal of  GSAM  is to strengthen citizens oversight of  Capital development projects to improve local government transparency, accountability and performance in 100 districts in Ghana"/>
    <s v="National"/>
    <s v="The project is located in 100 out of the 216 Districts in Ghana with its  presence in all 10 regions of Ghana  ."/>
    <s v="The main impact groups of the project are citizens , District Assemblies  and Civil Society Oranizations"/>
    <n v="108577"/>
    <n v="101437"/>
    <n v="210014"/>
    <n v="1072845"/>
    <n v="1002291"/>
    <n v="2075136"/>
    <s v="The direct participants are Citizens, Civil Society Organizations, opinion leaders and local government actors at the sub-national levels who participates directly in GSAM project activities: This include those who participate in bi-weekly project monitoring, generation of community scorecards, capacity building sessions, townhall meetings, radio discussions as well as citizens who directly receive project performance updates during community durbars. _x000a__x000a_The indirect beneficiaries are the estimated number of citizens  that the project expect to reach through its numerous information and advocacy campaigns such as playing of jingles and mounting of project information on billboards. The indirect  project participants were arrived at after considering the population 16years and above within the 100 districts and applying the 50.6% coverage of the radio set ownership within the impact communities."/>
    <m/>
    <m/>
    <m/>
    <m/>
    <m/>
    <m/>
    <m/>
    <m/>
    <m/>
    <m/>
    <m/>
    <m/>
    <m/>
    <m/>
    <m/>
    <m/>
    <m/>
    <m/>
    <m/>
    <m/>
    <m/>
    <m/>
    <m/>
    <m/>
    <m/>
    <m/>
    <m/>
    <m/>
    <m/>
    <m/>
    <m/>
    <m/>
    <m/>
    <m/>
    <m/>
    <m/>
    <m/>
    <m/>
    <m/>
    <m/>
    <m/>
    <m/>
    <m/>
    <m/>
    <m/>
    <m/>
    <m/>
    <m/>
    <m/>
    <m/>
    <m/>
    <m/>
    <m/>
    <m/>
    <m/>
    <m/>
    <m/>
    <m/>
    <m/>
    <m/>
    <n v="17285"/>
    <n v="21798"/>
    <n v="39083"/>
    <n v="1072845"/>
    <n v="1002291"/>
    <n v="2075136"/>
    <m/>
    <m/>
    <m/>
    <m/>
    <m/>
    <m/>
    <m/>
    <m/>
    <m/>
    <m/>
    <m/>
    <m/>
    <m/>
    <m/>
    <m/>
    <m/>
    <m/>
    <m/>
    <m/>
    <m/>
    <m/>
    <m/>
    <m/>
    <m/>
    <m/>
    <m/>
    <m/>
    <m/>
    <m/>
    <m/>
    <m/>
    <m/>
    <m/>
    <m/>
    <m/>
    <m/>
    <m/>
    <m/>
    <m/>
    <m/>
    <m/>
    <m/>
    <m/>
    <m/>
    <m/>
    <m/>
    <m/>
    <m/>
    <s v="YES"/>
    <n v="39083"/>
    <n v="0.44"/>
    <n v="2075136"/>
    <m/>
    <m/>
    <m/>
    <m/>
    <m/>
    <m/>
    <m/>
    <m/>
    <m/>
    <m/>
    <m/>
    <m/>
    <m/>
    <m/>
    <m/>
    <m/>
    <m/>
    <s v="YES"/>
    <s v="March"/>
    <n v="2017"/>
    <s v="NO"/>
    <s v="NO"/>
    <m/>
    <m/>
    <s v="Report on the mid-term evaluation which was commissioned by USAID is still being finalized. The end - line evaluation which is scheduled for  2019 respectively shall also be conducted by the  Impact Evaluation Team , a third party consultant hired by USAID to undertake all project evaluations. Findings of these evaluations will be compared with project baseline levels for effective project decision making."/>
    <x v="2"/>
    <m/>
    <m/>
    <m/>
    <s v="YES"/>
    <m/>
    <m/>
    <m/>
    <m/>
    <m/>
    <x v="2"/>
    <s v="1. Working with the Ghana Audit Service to conduct Performance Auditing on local government institutions promoted vertical accountability(top -down) and also enabled an interface between the Audit Service,local government authorities and citizens._x000a_2. The community scorecard and citizen report scorecard methodology  adopted by the project promoted lateral(bottom-up) accountability in capital project design and execution."/>
    <x v="1"/>
    <s v="1.Collaborating with Ghana Audit Service which is a state institution to conduct performance auditing on local governance performance and facilitating the dissemination of the performance audit findings to citizens through citizens report cards has has received both regional and national attention and the concept being integrated into other project designs. _x000a_2.To instutionalize the Performance Auditing on local government institutions,  the project identified Africa Centre for Parliamentary Affairs (ACEPA), and GIZ's project on 'Support for Decentralization Reforms (SfDR )as strategic partners, which can scale up this issues to the Parliament of Ghana."/>
    <x v="0"/>
    <x v="0"/>
    <s v="YES"/>
    <x v="0"/>
    <x v="0"/>
    <x v="0"/>
    <x v="0"/>
    <n v="4"/>
    <x v="2"/>
    <x v="1"/>
    <x v="1"/>
    <x v="1"/>
    <x v="1"/>
    <x v="2"/>
    <n v="4"/>
    <x v="1"/>
    <x v="1"/>
    <x v="1"/>
    <x v="1"/>
    <x v="1"/>
    <n v="3"/>
    <x v="2"/>
    <x v="2"/>
    <n v="28"/>
    <s v="Local NGO(s)/CSO(s)"/>
    <s v="International NGO(s)"/>
    <s v="Grassroots organization(s)"/>
    <x v="0"/>
    <s v="CARE under the GSAM Initiative supported 26 civil society organizations across the country with sub-grant to facilitate citizen monitoring of capital projects initiated by district assemblies. The project also built the capacity of these CSOs in District Assemblies’ participatory planning, budgeting, monitoring and the use of social accountability tools for citizen monitoring to hold duty bearers accountable"/>
    <s v="To improve women participation in project activities, the project adjusted its strategy of using mainly formal spaces for citizen engagements to the use of alternative spaces such as churches, mosques, markets and VSLA groups in instances where those spaces were assessed as the best medium for women participation."/>
    <s v="Working with the Ghana Audit Service to conduct Performance Auditing on local government institutions promoted vertical accountability(top -down) and also enabled an interface between the Audit Service,local government authorities and citizens."/>
    <s v="District steering committees and Network of Community Development monitors, which were formed at the district level to address project challenges and to lead others to demand accountability from the relevant duty bearers has been very useful in facilitating project delivery within the year."/>
    <s v="The use of Community  and citizen report cards with  self explainatory info-graphics  contributed to  effective dialouge between duty bearers and right holders."/>
    <s v="Change of government sometimes leads to leadership gap (i.e. unavailability of District Chief Executives) in most districts, which slowed down decisions on capital project implementation. Using the non-political heads such as the community-based structures such as District Coordinating Directors (DCDs) and community structures such as network of community development monitors and district steering committees was useful in bridging the gap."/>
    <s v="We have learnt from our project implementation that, efforts  to reduce corruption and improve accountability within our local governance system will be more effective if performance auditing is  added to the current financal auditing of local government institutions in Ghana with mechanisms for disseminating the findings of the audit."/>
    <s v="Active and well informed citizens can be a catalyst of change in the capital project design, implementation and monitoring."/>
    <s v="GSAM's intervention is currently linked to the achievement of SDG 9 which focuses on industry ,innovation and infrastructure and 16 with special focus on peace, justice and strong institutions. The project also plays active roles in the national SDG platform and in local level SDG platforms, especially in the districts where the project is implemented."/>
    <s v="The main reference to  the design and implementation of the project is the GSAM Activity Monitoring and Evaluation Plan(March, 2016). The Y3Q1  to Y3Q3 and Year 2 Annual progress reports of GSAM  also contains information on all data presented."/>
    <n v="39083"/>
    <n v="2075136"/>
    <n v="53.095617020187802"/>
    <n v="0.44226389990532966"/>
    <n v="0.51699984964840862"/>
    <n v="17285"/>
    <n v="1072845"/>
    <s v=""/>
    <n v="0"/>
    <n v="0"/>
    <s v=""/>
    <s v=""/>
    <n v="0"/>
    <n v="0"/>
    <s v=""/>
    <s v=""/>
    <n v="0"/>
    <n v="0"/>
    <s v=""/>
    <s v=""/>
    <n v="0"/>
    <n v="0"/>
    <s v=""/>
    <s v=""/>
    <n v="0"/>
    <n v="0"/>
    <s v=""/>
    <s v="2. Sensitive"/>
    <s v="4. Transformational"/>
    <s v="2. Sensitive"/>
    <s v="It tested new ways for fighting poverty and measured results of innovation"/>
    <s v="Intensive advocacy"/>
    <s v="It linked and worked with strategic alliances and partners to take tested and effective solutions to scale"/>
  </r>
  <r>
    <x v="28"/>
    <x v="2"/>
    <m/>
    <s v="Good Growh Project"/>
    <s v="Ghana"/>
    <s v="CJPNGH0006"/>
    <s v="CARE Japan"/>
    <s v="Government"/>
    <s v="Government - Japan"/>
    <s v="Ministry of Foreign Affairs of Japan"/>
    <s v="CJPNGH0007"/>
    <s v="CARE Japan"/>
    <s v="Foundation"/>
    <s v="Other"/>
    <s v="Ajinomoto Foundation"/>
    <m/>
    <m/>
    <m/>
    <m/>
    <m/>
    <m/>
    <m/>
    <m/>
    <m/>
    <m/>
    <m/>
    <m/>
    <m/>
    <m/>
    <m/>
    <m/>
    <m/>
    <m/>
    <m/>
    <m/>
    <m/>
    <m/>
    <m/>
    <m/>
    <m/>
    <m/>
    <m/>
    <m/>
    <m/>
    <m/>
    <m/>
    <m/>
    <m/>
    <m/>
    <m/>
    <m/>
    <m/>
    <m/>
    <m/>
    <m/>
    <d v="2016-02-16T00:00:00"/>
    <d v="2019-02-15T00:00:00"/>
    <m/>
    <s v="Development Other"/>
    <m/>
    <s v="Mercy Nyamikeh"/>
    <s v="Nutrition and Communications Manager"/>
    <s v="mercy.nyamikeh@care.org"/>
    <s v="Naoto Usami"/>
    <s v="MOFA Project Manager for Good Growth"/>
    <s v="n.usami@careintjp.org"/>
    <s v="NO"/>
    <s v="YES"/>
    <s v="NO"/>
    <s v="Mortality among children under two years of age is reduced within the East Mamprusi district of Ghana."/>
    <s v="Sub-National"/>
    <s v="Project is implemented in East Mamprusi district of the northern region of Ghana. 60 communities are beneficiaries with estimated population of 78,078 people.Eight pecent (8%) are the estimated children under the age of two years who are the impact group."/>
    <s v="Children under 2 years of age."/>
    <n v="3265"/>
    <n v="817"/>
    <n v="4082"/>
    <n v="23892"/>
    <n v="22955"/>
    <n v="46847"/>
    <s v="Direct Participants ( see attacehed excel sheet). 1. Members of 117 new VSLA groups formed; members of 20 existing VSLAs revived. 2. 145 Community Health volunteers  trained to disseminate nutrition messages to comunty members 3. 135 male champions trained to disseminate messages among men. Indrect participants ( see attached excel sheet): - Sixty percent ( 60%) of beneficiary population; 49% being male; 51% being female."/>
    <m/>
    <m/>
    <m/>
    <m/>
    <m/>
    <m/>
    <m/>
    <m/>
    <m/>
    <m/>
    <m/>
    <m/>
    <m/>
    <m/>
    <m/>
    <m/>
    <m/>
    <m/>
    <m/>
    <m/>
    <m/>
    <m/>
    <m/>
    <m/>
    <m/>
    <m/>
    <m/>
    <m/>
    <m/>
    <m/>
    <m/>
    <m/>
    <m/>
    <m/>
    <m/>
    <m/>
    <m/>
    <m/>
    <m/>
    <m/>
    <m/>
    <m/>
    <m/>
    <m/>
    <m/>
    <m/>
    <m/>
    <m/>
    <m/>
    <m/>
    <m/>
    <m/>
    <m/>
    <m/>
    <m/>
    <m/>
    <m/>
    <m/>
    <m/>
    <m/>
    <n v="3265"/>
    <n v="817"/>
    <n v="4082"/>
    <n v="19590"/>
    <n v="4902"/>
    <n v="24492"/>
    <m/>
    <m/>
    <m/>
    <m/>
    <m/>
    <m/>
    <m/>
    <m/>
    <m/>
    <m/>
    <m/>
    <m/>
    <m/>
    <m/>
    <m/>
    <m/>
    <m/>
    <m/>
    <m/>
    <m/>
    <m/>
    <m/>
    <m/>
    <m/>
    <s v="YES"/>
    <n v="4082"/>
    <n v="0.8"/>
    <n v="24492"/>
    <m/>
    <m/>
    <m/>
    <m/>
    <m/>
    <m/>
    <m/>
    <m/>
    <m/>
    <m/>
    <m/>
    <m/>
    <m/>
    <m/>
    <m/>
    <m/>
    <m/>
    <m/>
    <m/>
    <m/>
    <m/>
    <m/>
    <m/>
    <m/>
    <m/>
    <m/>
    <m/>
    <m/>
    <m/>
    <m/>
    <m/>
    <m/>
    <s v="YES"/>
    <n v="3802"/>
    <n v="0.84399999999999997"/>
    <n v="22812"/>
    <m/>
    <m/>
    <m/>
    <m/>
    <m/>
    <s v="YES"/>
    <s v="October"/>
    <n v="2016"/>
    <s v="NO"/>
    <s v="NO"/>
    <m/>
    <m/>
    <s v="An  endline survey is scheduled for October 2018 where we can measure impact and outcomes"/>
    <x v="1"/>
    <s v="NO"/>
    <s v="NO"/>
    <m/>
    <s v="NO"/>
    <s v="NO"/>
    <m/>
    <s v="NO"/>
    <s v="YES"/>
    <s v="Trainings to decrease negative cultural practices against infant and young child nutrition"/>
    <x v="0"/>
    <m/>
    <x v="1"/>
    <s v="Using the VSLA as a platfrom to disseminate nutrition messages and products to communities. Piloted in 13 communities; scaled up to 60 communities in the FY; working with the government agencies (Ghana Health Service)"/>
    <x v="0"/>
    <x v="0"/>
    <s v="YES"/>
    <x v="0"/>
    <x v="0"/>
    <x v="0"/>
    <x v="0"/>
    <n v="4"/>
    <x v="0"/>
    <x v="0"/>
    <x v="0"/>
    <x v="0"/>
    <x v="0"/>
    <x v="0"/>
    <n v="0"/>
    <x v="0"/>
    <x v="0"/>
    <x v="0"/>
    <x v="0"/>
    <x v="0"/>
    <n v="0"/>
    <x v="2"/>
    <x v="2"/>
    <m/>
    <s v="Local NGO(s)/CSO(s)"/>
    <m/>
    <m/>
    <x v="1"/>
    <m/>
    <m/>
    <s v="Formation of new VSLA; reviving exisiting VSLAs"/>
    <s v="Training of selected members of communities- such as Community health volunteers, peer educators, ale champions -  for mobilization, nutrition education and community planning."/>
    <s v="Working with exisiting community structures such Traditional Authority towards sustainability"/>
    <s v="Promising pratices: communities learn best by doing ( Social Analysis and Acton and Socil &amp; Bheaviour Change Techniques Techniques facilitate change toward receommneded behaviours"/>
    <s v="Challenges- Low literacy of beneficiary communities delays adoption of VSLA methodology and maturity"/>
    <s v="Learning:Community members playing the role of peer educators and male champions faciltate change. These Community workers are also very enthusiastic compared to those &quot;selected&quot; an &quot;trained&quot; by government agencies who expect some kind of standard remuneration for their roles."/>
    <m/>
    <s v="1. Project narrative document 2. Monthly Monitoring Data ( June 2017)  3.  Project Database ( February 2017)  4. Training report June 2017."/>
    <n v="4082"/>
    <n v="24492"/>
    <n v="6"/>
    <n v="0.79985301322880942"/>
    <n v="0.79985301322880942"/>
    <n v="3265"/>
    <n v="19590"/>
    <s v=""/>
    <n v="0"/>
    <n v="0"/>
    <s v=""/>
    <n v="1"/>
    <n v="4082"/>
    <n v="24492"/>
    <n v="6"/>
    <s v=""/>
    <n v="0"/>
    <n v="0"/>
    <s v=""/>
    <s v=""/>
    <n v="0"/>
    <n v="0"/>
    <s v=""/>
    <n v="1"/>
    <n v="3802"/>
    <n v="22812"/>
    <n v="6"/>
    <s v="2. Sensitive"/>
    <s v="No marker score"/>
    <s v="No marker score"/>
    <s v="It did not develop any specific innovation"/>
    <s v="Moderate advocacy"/>
    <s v="It linked and worked with strategic alliances and partners to take tested and effective solutions to scale"/>
  </r>
  <r>
    <x v="28"/>
    <x v="2"/>
    <m/>
    <s v="Household Economic Security for Poor women (HESP)"/>
    <s v="Ghana"/>
    <s v="CGBGH0066"/>
    <s v="CARE UK"/>
    <s v="Foundation"/>
    <s v="Other"/>
    <s v="Big Lottery Foundation"/>
    <m/>
    <m/>
    <m/>
    <m/>
    <m/>
    <m/>
    <m/>
    <m/>
    <m/>
    <m/>
    <m/>
    <m/>
    <m/>
    <m/>
    <m/>
    <m/>
    <m/>
    <m/>
    <m/>
    <m/>
    <m/>
    <m/>
    <m/>
    <m/>
    <m/>
    <m/>
    <m/>
    <m/>
    <m/>
    <m/>
    <m/>
    <m/>
    <m/>
    <m/>
    <m/>
    <m/>
    <m/>
    <m/>
    <m/>
    <m/>
    <m/>
    <m/>
    <m/>
    <m/>
    <m/>
    <d v="2015-05-01T00:00:00"/>
    <d v="2018-04-30T00:00:00"/>
    <m/>
    <s v="Development Food &amp; Nutrition Security and Resilience to Climate Change"/>
    <n v="587834"/>
    <s v="Agnes Loriba"/>
    <s v="Project Manajer"/>
    <s v="Loriba.Agnes@care.org"/>
    <s v="Gladys Assibi Atia"/>
    <s v="Gender Advisor"/>
    <s v="Assibi.Gladys@care.org"/>
    <s v="NO"/>
    <s v="YES"/>
    <s v="NO"/>
    <s v="Improved Economic Security of Women Smallholder Farmers and their Households in Northern Ghana."/>
    <s v="Sub-National"/>
    <s v="HESP in Ghana is implemented in 32 communities in 2 districts; Garu Tempany and Lambussie in the Upper East and Upper West regions respectively"/>
    <s v="HESP will reach out to 3000 female direct beneficiaries(women and girls). These are active female members of the village savings and loans association located in the operational communities"/>
    <n v="3000"/>
    <m/>
    <n v="3000"/>
    <n v="9306"/>
    <n v="8694"/>
    <n v="18000"/>
    <s v="The project direct participants are women participants in the Village Savings and Loans Association. These women are actively engaged in agricultural activities, marketing, cooking demonstrations and gender related issues. The direct participants are calculated by counting the number of active women in all the groups. The indirect participants are family members or household members of the direct participants. This is calculated by multiplying the average household size of the district ie 6 by the number of direct participants."/>
    <m/>
    <m/>
    <m/>
    <m/>
    <m/>
    <m/>
    <m/>
    <m/>
    <m/>
    <m/>
    <m/>
    <m/>
    <m/>
    <m/>
    <m/>
    <m/>
    <m/>
    <m/>
    <m/>
    <m/>
    <m/>
    <m/>
    <m/>
    <m/>
    <m/>
    <m/>
    <m/>
    <m/>
    <m/>
    <m/>
    <m/>
    <m/>
    <m/>
    <m/>
    <m/>
    <m/>
    <m/>
    <m/>
    <m/>
    <m/>
    <m/>
    <m/>
    <m/>
    <m/>
    <m/>
    <m/>
    <m/>
    <m/>
    <m/>
    <m/>
    <m/>
    <m/>
    <m/>
    <m/>
    <m/>
    <m/>
    <m/>
    <m/>
    <m/>
    <m/>
    <n v="2559"/>
    <n v="387"/>
    <n v="2946"/>
    <n v="15354"/>
    <n v="2322"/>
    <n v="17676"/>
    <s v="YES"/>
    <n v="2559"/>
    <n v="0.85299999999999998"/>
    <n v="15354"/>
    <s v="YES"/>
    <n v="2559"/>
    <n v="0.85"/>
    <n v="15354"/>
    <m/>
    <m/>
    <m/>
    <m/>
    <m/>
    <m/>
    <m/>
    <m/>
    <m/>
    <m/>
    <m/>
    <m/>
    <m/>
    <m/>
    <m/>
    <m/>
    <s v="YES"/>
    <n v="2559"/>
    <n v="0.85"/>
    <n v="15354"/>
    <m/>
    <m/>
    <m/>
    <m/>
    <s v="YES"/>
    <n v="2559"/>
    <n v="0.85"/>
    <n v="15354"/>
    <m/>
    <m/>
    <m/>
    <m/>
    <m/>
    <m/>
    <m/>
    <m/>
    <m/>
    <m/>
    <m/>
    <m/>
    <m/>
    <m/>
    <m/>
    <m/>
    <m/>
    <m/>
    <m/>
    <m/>
    <m/>
    <m/>
    <m/>
    <m/>
    <m/>
    <m/>
    <m/>
    <m/>
    <m/>
    <m/>
    <m/>
    <m/>
    <m/>
    <m/>
    <m/>
    <m/>
    <m/>
    <s v="YES"/>
    <s v="February"/>
    <n v="2018"/>
    <s v="The evaluation will use the same tool that was used for the baseline and the same respondents who were interviewed for baseline will be interviewed during the endline. The endline tool will be based on the women's empowerment in Agriculture framework. The project will employ both quantitative and qualitative methods to collect primary data."/>
    <x v="1"/>
    <s v="NO"/>
    <s v="NO"/>
    <s v="YES"/>
    <s v="YES"/>
    <s v="NO"/>
    <s v="NO"/>
    <s v="NO"/>
    <s v="YES"/>
    <m/>
    <x v="1"/>
    <s v="The project initiated an input dealer scheme, Community seed grower scheme and Value addition on soy and groundnuts. Results from these inovations are yet to be measured"/>
    <x v="1"/>
    <s v="The project in a quest to make available certified seeds for community farmers collaborated with Heritage seed company to initiate the seed growers scheme. The project started with 10 seed growers in 2016. The number has been scaled to 30 in 2017, following the success in the previous year. This model has been shared with Care USA and other platforms."/>
    <x v="1"/>
    <x v="1"/>
    <s v="YES"/>
    <x v="0"/>
    <x v="0"/>
    <x v="0"/>
    <x v="2"/>
    <n v="4"/>
    <x v="1"/>
    <x v="1"/>
    <x v="1"/>
    <x v="1"/>
    <x v="1"/>
    <x v="1"/>
    <n v="4"/>
    <x v="1"/>
    <x v="1"/>
    <x v="1"/>
    <x v="1"/>
    <x v="1"/>
    <n v="3"/>
    <x v="3"/>
    <x v="0"/>
    <n v="3"/>
    <s v="Local NGO(s)/CSO(s)"/>
    <s v="Local government(s)"/>
    <s v="University/research institution(s)"/>
    <x v="2"/>
    <s v="Care provides leadership training for the leaders of VSLA on roles and responsibilities of a leader, advocacy and lobbying skills. These trainings empowered the VSLA members that enable them negotiate for lands from land owners for group members."/>
    <s v="The HESP project from the onset did not include community gender dialogue as a strategy to address gender challenges. Having realised the effect of community gender dialogues and gender champions for the project to realize its objectives, the project adopted the community gender dialogue and gender champions strategy."/>
    <s v="The formation of tractor owners operators association in Lambussie district improved access to traction services which hitherto was a serious challenge. This association worked with partner staff to assign tractors to women farmers in project communities. This has eased the challenge of women accessing traction services."/>
    <s v="The input dealer scheme is yet another strategy that made available inputs in project communities.This scheme resulted in the establishment of an agro-input shop by one of the beneficiaries of the scheme. The community input dealers are linked to major input dealers who supply the community input dealers with products on credit. The community input dealers pay up the credit and request for supplies."/>
    <s v="The seed grower scheme offered an opportunity for beneficiaries to increase their income from soy yields. Whilst a 100kg of soy was bought for 100 Ghana cedis ($ 22), the seed growers 100kg was bought at 240 Ghana cedis($ 54) representing more than 100% increase over the open market price. eventhough the scheme is to make available certified seeds at the community level, it also gives opportunity to beneficiaries to make more income."/>
    <s v="The Market Research Committee strategy has improved access to market information and reduced the drudgery farmers experince by traveling distances in search for market. Thus community members are able to sell in bulk to buyers at the community level."/>
    <s v="The use of Community Based Extension Agents model has made available extension to women farmers who hitherto found it difficult to access extension services from the Department of Agriculture"/>
    <s v="The Participatory Scenario Planing is a platform for multistakeholders to learn and share information on the onset and cessation period of rainfall in a geographical area. This has enabled farmers to decide on the right crop variety (drought resistant, early maturing), and crop water requirement."/>
    <s v="The project employs the community gender dialogues to make available productive resources for women farmers. This strategy brings together Traditional Leaders, community elders, family heads , men and women to engage in a peaceful discussion. The dialogues focuses on how to reduce women work load, women participating in decision  making, improving intra household and inter household relations. The project also contributes to the SDGs 1,2,5 and 13."/>
    <s v="Semi-annual and Annual report"/>
    <n v="2946"/>
    <n v="17676"/>
    <n v="6"/>
    <n v="0.8686354378818737"/>
    <n v="0.8686354378818737"/>
    <n v="2559"/>
    <n v="15354"/>
    <s v=""/>
    <n v="0"/>
    <n v="0"/>
    <s v=""/>
    <n v="1"/>
    <n v="2559"/>
    <n v="15354"/>
    <n v="6"/>
    <s v=""/>
    <n v="0"/>
    <n v="0"/>
    <s v=""/>
    <s v=""/>
    <n v="0"/>
    <n v="0"/>
    <s v=""/>
    <s v=""/>
    <n v="0"/>
    <n v="0"/>
    <s v=""/>
    <s v="4. Transformative"/>
    <s v="2. Accommodating"/>
    <s v="2. Sensitive"/>
    <s v="It tested new ways for fighting poverty, but did not measure results of innovation"/>
    <s v="Moderate advocacy"/>
    <s v="It linked and worked with strategic alliances and partners to take tested and effective solutions to scale"/>
  </r>
  <r>
    <x v="28"/>
    <x v="2"/>
    <m/>
    <s v="MICROLEAD EXPANSION PROGRAM"/>
    <s v="Ghana"/>
    <m/>
    <s v="No CARE member related to the project/initiative"/>
    <s v="Multilateral agency"/>
    <s v="UN - United Nations agencies/offices"/>
    <s v="UNCDF"/>
    <m/>
    <m/>
    <m/>
    <m/>
    <m/>
    <m/>
    <m/>
    <m/>
    <m/>
    <m/>
    <m/>
    <m/>
    <m/>
    <m/>
    <m/>
    <m/>
    <m/>
    <m/>
    <m/>
    <m/>
    <m/>
    <m/>
    <m/>
    <m/>
    <m/>
    <m/>
    <m/>
    <m/>
    <m/>
    <m/>
    <m/>
    <m/>
    <m/>
    <m/>
    <m/>
    <m/>
    <m/>
    <m/>
    <m/>
    <m/>
    <m/>
    <m/>
    <m/>
    <m/>
    <m/>
    <d v="2014-06-01T00:00:00"/>
    <d v="2017-03-31T00:00:00"/>
    <m/>
    <s v="Development Access to and Control over Economic Resources"/>
    <n v="2070235"/>
    <s v="Gifty Blekpe"/>
    <s v="Head of Programs"/>
    <s v="Gifty.Blekpe@care.org"/>
    <s v="Ellen Sedziafa"/>
    <s v="Project Officer"/>
    <s v="Ellen.Sedziafa@care.org"/>
    <s v="NO"/>
    <s v="YES"/>
    <s v="NO"/>
    <s v="To provide acces to  Financial Educiation and basic financial services through VSLAs to 72,500 completely excluded people and access to formal financial services to 30,000 members of VSLAs in the rural areas of Ghana with focus on Northern sector"/>
    <s v="Sub-National"/>
    <s v="Northern, Upper East, Upper West and Brong Ahafo Region"/>
    <s v="The impact group includes women and their households. The household include both male and females who are part of the family."/>
    <n v="55875"/>
    <n v="16625"/>
    <n v="72500"/>
    <n v="318487"/>
    <n v="94762"/>
    <n v="413249"/>
    <m/>
    <m/>
    <m/>
    <m/>
    <m/>
    <m/>
    <m/>
    <m/>
    <m/>
    <m/>
    <m/>
    <m/>
    <m/>
    <m/>
    <m/>
    <m/>
    <m/>
    <m/>
    <m/>
    <m/>
    <m/>
    <m/>
    <m/>
    <m/>
    <m/>
    <m/>
    <m/>
    <m/>
    <m/>
    <m/>
    <m/>
    <m/>
    <m/>
    <m/>
    <m/>
    <m/>
    <m/>
    <m/>
    <m/>
    <m/>
    <m/>
    <m/>
    <m/>
    <m/>
    <m/>
    <m/>
    <m/>
    <m/>
    <m/>
    <m/>
    <m/>
    <m/>
    <m/>
    <m/>
    <m/>
    <m/>
    <m/>
    <m/>
    <m/>
    <m/>
    <m/>
    <n v="69074"/>
    <n v="20633"/>
    <n v="89707"/>
    <n v="393721"/>
    <n v="117608"/>
    <n v="511329"/>
    <s v="NO"/>
    <m/>
    <m/>
    <m/>
    <s v="NO"/>
    <m/>
    <m/>
    <m/>
    <s v="NO"/>
    <m/>
    <m/>
    <m/>
    <s v="NO"/>
    <m/>
    <m/>
    <m/>
    <s v="NO"/>
    <m/>
    <m/>
    <m/>
    <s v="NO"/>
    <m/>
    <m/>
    <m/>
    <s v="NO"/>
    <m/>
    <m/>
    <m/>
    <s v="NO"/>
    <m/>
    <m/>
    <m/>
    <s v="NO"/>
    <m/>
    <m/>
    <m/>
    <s v="NO"/>
    <m/>
    <m/>
    <m/>
    <s v="NO"/>
    <m/>
    <m/>
    <m/>
    <s v="NO"/>
    <m/>
    <m/>
    <m/>
    <s v="NO"/>
    <m/>
    <m/>
    <m/>
    <s v="NO"/>
    <m/>
    <m/>
    <m/>
    <s v="NO"/>
    <m/>
    <m/>
    <m/>
    <s v="YES"/>
    <n v="69074"/>
    <n v="0.77"/>
    <n v="393721"/>
    <m/>
    <m/>
    <m/>
    <m/>
    <m/>
    <s v="NO"/>
    <m/>
    <m/>
    <s v="NO"/>
    <m/>
    <m/>
    <m/>
    <s v="An endline survey will be conducted by the Donor"/>
    <x v="1"/>
    <s v="YES"/>
    <m/>
    <m/>
    <s v="NO"/>
    <m/>
    <m/>
    <s v="NO"/>
    <m/>
    <m/>
    <x v="2"/>
    <s v="The use of the Financial Education manual, Linkage  manual, Financial Edcuation picture/cards for easy facilitation of trainings. The use of the savix also enabled effective data collection on VSL groups which could be accessed on online. The use of Fildelity smart card and linkage of groups to GN Bank using mobile bankers were also effective. The setting up of some Village Agents to operate Fidelity Smart card and MTN Mobile money was also good."/>
    <x v="1"/>
    <s v="Microlead made inputs and presentations to the Ghana inclusive growth strategy, it made presentations to the ministry of Finance and also invited the Ministry to take part in the project planning meetings. Microlead also made presentations to SADA and participated in round table meetings on  inclusive finance organized by USAID."/>
    <x v="0"/>
    <x v="0"/>
    <s v="YES"/>
    <x v="0"/>
    <x v="0"/>
    <x v="0"/>
    <x v="0"/>
    <n v="4"/>
    <x v="1"/>
    <x v="2"/>
    <x v="2"/>
    <x v="2"/>
    <x v="2"/>
    <x v="3"/>
    <n v="0"/>
    <x v="1"/>
    <x v="1"/>
    <x v="1"/>
    <x v="1"/>
    <x v="1"/>
    <n v="3"/>
    <x v="2"/>
    <x v="2"/>
    <n v="6"/>
    <s v="Local NGO(s)/CSO(s)"/>
    <s v="Private sector"/>
    <m/>
    <x v="0"/>
    <s v="Trainings"/>
    <s v="The project initially targeted remote areas with technology for improving economic empowerment of women but the technology could not be roolled out successfully in these areas and had to adapt peri-urban areas to test the tecnology."/>
    <s v="VSLA is a small group of 25 to 30 members that come together to save on weekly basis. VSL groups have management committee members and a constitution that guides the group meetings. Members ste rules for loans and fines. There is social fund which is an emergency fund for members in times of distress and loan fund for members to access on monthly basis. The groups operate within 9 to 12 months in which the loan amounts are shares out and a new cycle begins."/>
    <s v="Technology for financial inclusion"/>
    <s v="The use of private sector partnerships"/>
    <s v="Consider locations before rolling out new technologies especially on financial inclusion"/>
    <s v="The effective  engagement of the private sector could promote the roll out of financial inclusion strategies"/>
    <s v="The use of financial education cards, pictures demonstrations and sharing of experriences of participants made trainings very participatory and also improved on group attendance to trainings"/>
    <s v="The project supported the in achieving the SDG goal 1 (No poverty) and goal 5 (Gender equality) through improving the livelihoods of members and empowering women. Microlead shared experiences with USAID at VSLA forum that led to the adoption of the Microlead strategies for rolling out Community Managed Savings and Loans Associations in the Feed the Future Project."/>
    <s v="VSL Access Africa manual, CARE Financial Education manual and CARE Linkage manual"/>
    <n v="89707"/>
    <n v="511329"/>
    <n v="5.6999899673381123"/>
    <n v="0.76999565251318181"/>
    <n v="0.76999544324691149"/>
    <n v="69074"/>
    <n v="393721"/>
    <s v=""/>
    <n v="0"/>
    <n v="0"/>
    <s v=""/>
    <s v=""/>
    <n v="0"/>
    <n v="0"/>
    <s v=""/>
    <s v=""/>
    <n v="0"/>
    <n v="0"/>
    <s v=""/>
    <s v=""/>
    <n v="0"/>
    <n v="0"/>
    <s v=""/>
    <n v="1"/>
    <n v="69074"/>
    <n v="393721"/>
    <n v="5.6999884182181431"/>
    <s v="2. Sensitive"/>
    <s v="0. Unaware"/>
    <s v="2. Sensitive"/>
    <s v="It tested new ways for fighting poverty and measured results of innovation"/>
    <s v="Moderate advocacy"/>
    <s v="It linked and worked with strategic alliances and partners to take tested and effective solutions to scale"/>
  </r>
  <r>
    <x v="28"/>
    <x v="2"/>
    <m/>
    <s v="NORTHERN GHANA GOVERNANCE ACTIVITY"/>
    <s v="Ghana"/>
    <s v="USLMGHOOO8"/>
    <s v="CARE USA"/>
    <s v="Government"/>
    <s v="Government - US"/>
    <s v="USAID"/>
    <m/>
    <m/>
    <m/>
    <m/>
    <m/>
    <m/>
    <m/>
    <m/>
    <m/>
    <m/>
    <m/>
    <m/>
    <m/>
    <m/>
    <m/>
    <m/>
    <m/>
    <m/>
    <m/>
    <m/>
    <m/>
    <m/>
    <m/>
    <m/>
    <m/>
    <m/>
    <m/>
    <m/>
    <m/>
    <m/>
    <m/>
    <m/>
    <m/>
    <m/>
    <m/>
    <m/>
    <m/>
    <m/>
    <m/>
    <m/>
    <m/>
    <m/>
    <m/>
    <m/>
    <m/>
    <d v="2016-03-15T00:00:00"/>
    <d v="2021-02-28T00:00:00"/>
    <m/>
    <s v="Development Other"/>
    <n v="11447513"/>
    <s v="Michael Alandu"/>
    <s v="Chief of Party"/>
    <s v="michael.alandu@care.org"/>
    <s v="Thomas Ayamga"/>
    <s v="Monitoring and Evaluation Specialist"/>
    <s v="thomas.ayamga@care.org"/>
    <s v="NO"/>
    <s v="YES"/>
    <s v="NO"/>
    <s v="Strengthened responsive governance for improved agriculture development in Northern Ghana"/>
    <s v="Sub-National"/>
    <s v="The project is implemented in 28 districts in Northern Ghana (ie. The Upper East, Upper West and Northern regions). It cover 15 Metropoloitan/Municipal/District Assemblies in Northern Region, 6 in Upper West and 7 in Upper East Region."/>
    <s v="The main impact group are the smallholder farmers including producers, markets,processors, input dealers who are mostly women. The reach targets women groups and CSOs in agriculture, government institutions and tradional authorities."/>
    <n v="84000"/>
    <n v="56000"/>
    <n v="140000"/>
    <n v="478000"/>
    <n v="319200"/>
    <n v="797200"/>
    <s v="The direct participants are small holder farmers, input dealers, processors and women in agriculture platforms members the project formed in 28 districts with a membership of at least 30 in a group. The groups per a district number over 240. the indirect reach includes members of the women platfroms who receive step down training and information sharing from the women platforms that are directly engaged by the project.  this also include the household beneficiaries of the women groups that the project works with. An average calculation of the indirct reach is based on the total number of direct participants by the average household size of 5.7."/>
    <m/>
    <m/>
    <m/>
    <m/>
    <m/>
    <m/>
    <m/>
    <m/>
    <m/>
    <m/>
    <m/>
    <m/>
    <m/>
    <m/>
    <m/>
    <m/>
    <m/>
    <m/>
    <m/>
    <m/>
    <m/>
    <m/>
    <m/>
    <m/>
    <m/>
    <m/>
    <m/>
    <m/>
    <m/>
    <m/>
    <m/>
    <m/>
    <m/>
    <m/>
    <m/>
    <m/>
    <m/>
    <m/>
    <m/>
    <m/>
    <m/>
    <m/>
    <m/>
    <m/>
    <m/>
    <m/>
    <m/>
    <m/>
    <m/>
    <m/>
    <m/>
    <m/>
    <m/>
    <m/>
    <m/>
    <m/>
    <m/>
    <m/>
    <m/>
    <m/>
    <n v="1766"/>
    <n v="1470"/>
    <n v="3236"/>
    <n v="8374"/>
    <n v="2094"/>
    <n v="10468"/>
    <s v="YES"/>
    <n v="3236"/>
    <n v="0.54569999999999996"/>
    <m/>
    <s v="NO"/>
    <m/>
    <m/>
    <m/>
    <s v="YES"/>
    <n v="122"/>
    <n v="1"/>
    <m/>
    <s v="NO"/>
    <m/>
    <m/>
    <m/>
    <s v="NO"/>
    <m/>
    <m/>
    <m/>
    <s v="NO"/>
    <m/>
    <m/>
    <m/>
    <s v="YES"/>
    <n v="3236"/>
    <n v="0.55000000000000004"/>
    <m/>
    <s v="NO"/>
    <m/>
    <m/>
    <m/>
    <s v="YES"/>
    <n v="161"/>
    <n v="0.85"/>
    <m/>
    <s v="NO"/>
    <m/>
    <m/>
    <m/>
    <s v="NO"/>
    <m/>
    <m/>
    <m/>
    <s v="NO"/>
    <m/>
    <m/>
    <m/>
    <s v="YES"/>
    <n v="3236"/>
    <n v="0.55000000000000004"/>
    <m/>
    <s v="NO"/>
    <m/>
    <m/>
    <m/>
    <s v="NO"/>
    <m/>
    <m/>
    <m/>
    <s v="YES"/>
    <n v="2347"/>
    <n v="1"/>
    <m/>
    <m/>
    <m/>
    <m/>
    <m/>
    <m/>
    <s v="YES"/>
    <s v="June"/>
    <n v="2017"/>
    <s v="YES"/>
    <s v="YES"/>
    <s v="June"/>
    <n v="2018"/>
    <s v="the evaluation is a midline to assess the progress towards achieving project results. This is to evluation the relevance, effectiveness of processes as well as efficiency in the approaches adopted. It assesses progress towards performance (targets against which performance will be measured), assess the level of project stakeholders and beneficiaries' acquaintance with the Goal, objectives and key intervention strategy of NGGA. The midline will further enable the project to identify innovative aproaches by NGGA, the lessons and recommendation for project enhancement. These will enable project attribution or contribution of results."/>
    <x v="2"/>
    <s v="NO"/>
    <s v="NO"/>
    <s v="YES"/>
    <s v="YES"/>
    <s v="NO"/>
    <s v="NO"/>
    <s v="YES"/>
    <m/>
    <m/>
    <x v="1"/>
    <s v="The innovation that was tested the District Agricultural Governance Index (DAGI).It is an Index/ composite Indicator that combines two or more data sources into a single measure to define what should make up a Responsive Agricultural District. It is an innovative tool that seeks to promote agriculture and share experience among Metropolitan/Municipal/District Assemblies in the areas of planning, budgeting and expose the gaps in governing agriculture in a district."/>
    <x v="1"/>
    <s v="THE innovation that was tested is the District Agricultural Governance Index (DAGI) which is being developed in partnership with the District assemblies and the department of agriculture. Higher level consultations are yet to be done with the Ministry of Local Government and Rural Development and the Ministry of Food and Agriculture. The higher level engagement with the Ministries and USAID together with other development partners is to seek expert opinion for buy-inn and adoption as a national model used as an assessment tool for all the district assemblies in Ghana."/>
    <x v="0"/>
    <x v="1"/>
    <s v="YES"/>
    <x v="0"/>
    <x v="0"/>
    <x v="0"/>
    <x v="2"/>
    <n v="4"/>
    <x v="1"/>
    <x v="1"/>
    <x v="1"/>
    <x v="1"/>
    <x v="1"/>
    <x v="1"/>
    <n v="4"/>
    <x v="1"/>
    <x v="1"/>
    <x v="1"/>
    <x v="1"/>
    <x v="1"/>
    <n v="3"/>
    <x v="2"/>
    <x v="2"/>
    <n v="4"/>
    <s v="Local government(s)"/>
    <s v="Local alliance(s)/Platform(s)/Network(s) of  NGOs/CSOs"/>
    <s v="National government"/>
    <x v="0"/>
    <s v="one of the objectives  of the project is to Strengthen CSO and private sector capacity to demand accountability from duty bearers. CSOs and civic groups have therefore been trained on how to use social acountability mechanism tools to improve the decentralisation process for agriculture development."/>
    <s v="The porject has factored in a grants making component for women groups and cooporatives which is geared towards women empowerment. The project has also incorporated its gender strategy and the gender integration framework from USAID to improve gender maintreaming into the project's activities."/>
    <s v="DAGI- the index is to increase local and central governments’ prioritization for agriculture as well as increase accountability between decision-makers and citizens to improve  supply of quality agricultural services. It is a tool for assessing a Responsive Agricultural District."/>
    <s v="Regional Multi-stakeholder Agricultural Sector Governance Platforms (RASSGOP) and District Agricultural Sector Multi-stakeholder Governance Platform (DASSGOP). This is to strengthen the multi stakeholder actors in the agricultural sector to enahnce particiaption , inclusiveness and voice"/>
    <s v="CSO and Women platforms- this is to stregthen Civil Soceity and civic groups towards active participation in decision making and demanding accountabiltiy from duty bearers."/>
    <s v="Empowering women groups and given them a voice in decision making to demand accountability requires some level of economic/ financial reliance of the women groups that the project is supporting."/>
    <s v="Government staff are willing to support the process of improving agricultural governance only when they feel they have been consulted in the process of change."/>
    <m/>
    <m/>
    <s v="Project baseline report, Activity Monitoring, Evalaution and Leraning Plan, Project Implementation Mannual"/>
    <n v="3236"/>
    <n v="10468"/>
    <n v="3.2348578491965387"/>
    <n v="0.54573547589616811"/>
    <n v="0.79996178830722198"/>
    <n v="1766"/>
    <n v="8374"/>
    <s v=""/>
    <n v="0"/>
    <n v="0"/>
    <s v=""/>
    <n v="1"/>
    <n v="3236"/>
    <n v="0"/>
    <n v="0"/>
    <s v=""/>
    <n v="0"/>
    <n v="0"/>
    <s v=""/>
    <s v=""/>
    <n v="0"/>
    <n v="0"/>
    <s v=""/>
    <n v="1"/>
    <n v="2347"/>
    <n v="0"/>
    <n v="0"/>
    <s v="4. Transformative"/>
    <s v="2. Accommodating"/>
    <s v="2. Sensitive"/>
    <s v="It tested new ways for fighting poverty, but did not measure results of innovation"/>
    <s v="Intensive advocacy"/>
    <s v="It linked and worked with strategic alliances and partners to take tested and effective solutions to scale"/>
  </r>
  <r>
    <x v="28"/>
    <x v="2"/>
    <m/>
    <s v="Pathways to Secure  Resilient Livelihoods"/>
    <s v="Ghana"/>
    <s v="MCARGH0001"/>
    <s v="CARE USA"/>
    <s v="Foundation"/>
    <s v="Other"/>
    <s v="Margaret A. Cargill Philanthropies (MACP)"/>
    <m/>
    <m/>
    <m/>
    <m/>
    <m/>
    <m/>
    <m/>
    <m/>
    <m/>
    <m/>
    <m/>
    <m/>
    <m/>
    <m/>
    <m/>
    <m/>
    <m/>
    <m/>
    <m/>
    <m/>
    <m/>
    <m/>
    <m/>
    <m/>
    <m/>
    <m/>
    <m/>
    <m/>
    <m/>
    <m/>
    <m/>
    <m/>
    <m/>
    <m/>
    <m/>
    <m/>
    <m/>
    <m/>
    <m/>
    <m/>
    <m/>
    <m/>
    <m/>
    <m/>
    <m/>
    <d v="2014-11-01T00:00:00"/>
    <d v="2016-11-30T00:00:00"/>
    <d v="2017-05-30T00:00:00"/>
    <s v="Development Food &amp; Nutrition Security and Resilience to Climate Change"/>
    <n v="654783"/>
    <s v="Agnes Loriba"/>
    <s v="Food and Nutrition Security Manager"/>
    <s v="agnes.loriba@care.org"/>
    <s v="Gladys Assibi Atia"/>
    <s v="Gender Advisor"/>
    <s v="assibi.gladys@care.org"/>
    <s v="NO"/>
    <s v="YES"/>
    <s v="NO"/>
    <s v="To increase women smallholder farmers’, from poor households, resilience in the face of climate change to reduce their vulnerability and susceptibility to natural disasters"/>
    <s v="Sub-National"/>
    <s v="The Pathways MAC project  in Ghana is being implemented in 30 communities in 2 districts (Garu Tempane and Lambussie) in Upper East and upper west Regions respectively."/>
    <s v="The project targets to impact 3000 poor and vulnerable smallholder women farmers and their households. These  farmers depend on a single increasingly erratic rainy season typically produce enough grain to meet five to eight months’ of their households’ annual requirements (less in bad years).  Floods often submerge large areas of farmland, washing away food crops, crumbling homes, driving up food prices, and leaving the poor hungry and destitute.Women and female-headed households engaged in subsistence agriculture constitute the majority of the poorest and most vulnerable populations."/>
    <n v="3000"/>
    <m/>
    <n v="3000"/>
    <n v="18000"/>
    <m/>
    <n v="18000"/>
    <s v="The direct participants are smallholder women farmers (3000) who are part of the VSLAs  in the project communities. The project  directly involved them in the implementation of  activities such as establishment and management of Farmer Field and Business Schools (FFBS), preparation and utilization of bio-insecticides, cultivation of Groundnut and soya and value added interventions. They are also engaged in gender activities such dialogues and radio discussions.  The indrect participants are all family/household members of direct participants, who are not directly involved in project activities. The indrect participants are calculated by multiplying the direct participants by 6. The multiplier (6) is the average household size of the direct participants calculated during the project baseline study."/>
    <m/>
    <m/>
    <m/>
    <m/>
    <m/>
    <m/>
    <m/>
    <m/>
    <m/>
    <m/>
    <m/>
    <m/>
    <m/>
    <m/>
    <m/>
    <m/>
    <m/>
    <m/>
    <m/>
    <m/>
    <m/>
    <m/>
    <m/>
    <m/>
    <m/>
    <m/>
    <m/>
    <m/>
    <m/>
    <m/>
    <m/>
    <m/>
    <m/>
    <m/>
    <m/>
    <m/>
    <m/>
    <m/>
    <m/>
    <m/>
    <m/>
    <m/>
    <m/>
    <m/>
    <m/>
    <m/>
    <m/>
    <m/>
    <m/>
    <m/>
    <m/>
    <m/>
    <m/>
    <m/>
    <m/>
    <m/>
    <m/>
    <m/>
    <m/>
    <m/>
    <n v="3112"/>
    <n v="527"/>
    <n v="3639"/>
    <n v="18672"/>
    <n v="3162"/>
    <n v="21834"/>
    <s v="YES"/>
    <n v="3639"/>
    <n v="0.86"/>
    <n v="21834"/>
    <s v="YES"/>
    <n v="3639"/>
    <n v="0.86"/>
    <n v="21834"/>
    <m/>
    <m/>
    <m/>
    <m/>
    <m/>
    <m/>
    <m/>
    <m/>
    <m/>
    <m/>
    <m/>
    <m/>
    <m/>
    <m/>
    <m/>
    <m/>
    <s v="YES"/>
    <n v="3639"/>
    <n v="0.86"/>
    <n v="21834"/>
    <m/>
    <m/>
    <m/>
    <m/>
    <m/>
    <m/>
    <m/>
    <m/>
    <m/>
    <m/>
    <m/>
    <m/>
    <m/>
    <m/>
    <m/>
    <m/>
    <m/>
    <m/>
    <m/>
    <m/>
    <m/>
    <m/>
    <m/>
    <m/>
    <m/>
    <m/>
    <m/>
    <m/>
    <m/>
    <m/>
    <m/>
    <m/>
    <s v="YES"/>
    <n v="3639"/>
    <n v="0.86"/>
    <n v="21834"/>
    <m/>
    <m/>
    <m/>
    <m/>
    <m/>
    <s v="YES"/>
    <s v="April"/>
    <n v="2017"/>
    <s v="YES"/>
    <s v="NO"/>
    <m/>
    <m/>
    <m/>
    <x v="1"/>
    <s v="NO"/>
    <s v="NO"/>
    <s v="YES"/>
    <s v="YES"/>
    <s v="YES"/>
    <s v="YES"/>
    <s v="NO"/>
    <s v="YES"/>
    <s v="The project  work closely with  WILDAF, Netright, tradtional authorities (Chiefs, queen mothers, landlords), local governent and women leaders to influence changes in commmunity norms that inhibit the development of community members espercially women. The team  also work to  influence policies that promote women rights. The project employ strategies such as community gender dialogues and  engaging men and boys to reach out to households and duty bearers to negotiate with land owners to release productive resources (fertile lands and traction services)  to women."/>
    <x v="0"/>
    <m/>
    <x v="1"/>
    <s v="Farmer Field and Business School model focus on a learning by doing approach, putting farmers at the heart of learning and decision-making around new agricultural techniques. The strength of the model is that it integrates multiple components including sustainable agriculture practices, market engagement, gender and equity, food and nutrition security, group empowerment and Monitoring &amp;Evaluation. Pathways engaged a number of  strategic partners;   Food and Agricultural Organisation(FAO), Savannah Agricultural Research Institute (SARI, Ghana) IFPRI,University for Dvelopment Studies (UDS, Ghana), Savannah Accelerated Development Authority (SADA) and Internation Institute for Tropical Agriculture  (IITA) to develop  and dessiminate the FFBS model.                                  Literacy bridge signed an MOU with UNICEF  to incoporate maternal health issues into the Talking book so that the project participants can benefit."/>
    <x v="1"/>
    <x v="1"/>
    <s v="YES"/>
    <x v="0"/>
    <x v="0"/>
    <x v="0"/>
    <x v="2"/>
    <n v="4"/>
    <x v="1"/>
    <x v="1"/>
    <x v="1"/>
    <x v="1"/>
    <x v="1"/>
    <x v="1"/>
    <n v="4"/>
    <x v="1"/>
    <x v="1"/>
    <x v="1"/>
    <x v="1"/>
    <x v="1"/>
    <n v="3"/>
    <x v="3"/>
    <x v="0"/>
    <n v="3"/>
    <s v="Local NGO(s)/CSO(s)"/>
    <s v="National government"/>
    <s v="University/research institution(s)"/>
    <x v="1"/>
    <m/>
    <m/>
    <s v="Participatory Scenario Planning (PSP): It is a multi-stakeholder platform that employs both indigenous and scientific knowledge in determining weather patterns and advisories for a particular geographical area. The platform brings togther traditional rain callers, the Ghana Meteorological Service Agency, the District Assembly, District Department of Agriculture, National Disaster Management Organization, Community development to develop advisories for the season. The platform identifies opportunities, hazards and impacts of scenarios for normal, above normal and below normal rainfall parterns). The advisories are developed based on the impact on the livelihoods identified. These advisories state the variety of seed to plant, time to plant, sources of inputs, livestock management etc. These final advisories are then disseminated through meetings, the radio Farmer Base Organization (FBO) meetings and all available medium for farmers to adequately prepare towards the impending season."/>
    <s v="Farmer Field and Business School (FFBS): This model  focus on a learning by doing approach, putting farmers at the heart of learning and decision-making around new agricultural techniques. The strength of the model is that it integrates multiple components including sustainable agriculture practices, market engagement, gender and equity, food and nutrition security, group empowerment and M&amp;E. It builds on existing VSLAs based Garu-Tempane and Lambussie districts. The project built on this model by incorporating resilience  issues such as using local knowledge in  weather forecasting,dry season gardening, value addition, use of local materials for composing and bio-insecticides."/>
    <s v="Market Research Committees (MRCs): They are two representatives from each group in the same communities. They are responsible for market activities  that is by supporting their groups to plan their production, sensitize members of the VSLA in their communities on market issues, aggregation and keeping sales records of their groups at the community level, monitor production of their members."/>
    <s v="There is so much local knowledge  that can be harnessed to improve CARE’s promoted technologies. Evidence from indigenous practices point to a rich but localized knowledge and technologies that have a potential of enriching project interventions. For instance the project adopted the use of neem and sand  to preserve  seeds as one of the methods that can help store seeds."/>
    <s v="Community level input dealership scheme piloted by the project is improving farmers access to quality agro inputs."/>
    <s v="The project engagement of Market Research Committees have made it possible for farmers to improve their collective sales and incomes."/>
    <m/>
    <s v="Annual reports, baseline report, evaluation report and end of project report."/>
    <n v="3639"/>
    <n v="21834"/>
    <n v="6"/>
    <n v="0.85517999450398463"/>
    <n v="0.85517999450398463"/>
    <n v="3112"/>
    <n v="18672"/>
    <s v=""/>
    <n v="0"/>
    <n v="0"/>
    <s v=""/>
    <n v="1"/>
    <n v="3639"/>
    <n v="21834"/>
    <n v="6"/>
    <s v=""/>
    <n v="0"/>
    <n v="0"/>
    <s v=""/>
    <s v=""/>
    <n v="0"/>
    <n v="0"/>
    <s v=""/>
    <n v="1"/>
    <n v="3639"/>
    <n v="21834"/>
    <n v="6"/>
    <s v="4. Transformative"/>
    <s v="2. Accommodating"/>
    <s v="2. Sensitive"/>
    <s v="It did not develop any specific innovation"/>
    <s v="Moderate advocacy"/>
    <s v="It linked and worked with strategic alliances and partners to take tested and effective solutions to scale"/>
  </r>
  <r>
    <x v="28"/>
    <x v="2"/>
    <m/>
    <s v="Pathways to Secure Livelihoods"/>
    <s v="Ghana"/>
    <s v="GATEGH0003"/>
    <s v="CARE USA"/>
    <s v="Foundation"/>
    <s v="Bill &amp; Melinda Gates Foundation"/>
    <s v="Bill &amp; Melinda Gates Foundation"/>
    <m/>
    <m/>
    <m/>
    <m/>
    <m/>
    <m/>
    <m/>
    <m/>
    <m/>
    <m/>
    <m/>
    <m/>
    <m/>
    <m/>
    <m/>
    <m/>
    <m/>
    <m/>
    <m/>
    <m/>
    <m/>
    <m/>
    <m/>
    <m/>
    <m/>
    <m/>
    <m/>
    <m/>
    <m/>
    <m/>
    <m/>
    <m/>
    <m/>
    <m/>
    <m/>
    <m/>
    <m/>
    <m/>
    <m/>
    <m/>
    <m/>
    <m/>
    <m/>
    <m/>
    <m/>
    <d v="2011-11-01T00:00:00"/>
    <d v="2016-03-31T00:00:00"/>
    <d v="2018-03-31T00:00:00"/>
    <s v="Development Food &amp; Nutrition Security and Resilience to Climate Change"/>
    <n v="1891004"/>
    <s v="Agnes Loriba"/>
    <s v="Food and Nutrition Security program manager"/>
    <s v="agnes.loriba@care.org"/>
    <s v="Gladys Assibi Atia"/>
    <s v="Gender Advisor"/>
    <s v="assibi.gladys@care.org"/>
    <s v="NO"/>
    <s v="YES"/>
    <s v="NO"/>
    <s v="The main goal Pathways is to increase poor women farmers’ productivity and empowerment in more equitable agriculture systems at scale."/>
    <s v="Sub-National"/>
    <s v="The Pathways to Secure Livelihoods project is  being implemented in Garu-Tempane and Lambussie districts of  Upper East and Upper West regions of Ghana. These regions comprises 15.4 percent of national land area.  Rainfall occurs in one season and therefore, short-season arable crops (cereals, legumes, roots and tubers) are dominant in the region. The short agricultural season also limits employment opportunities for families.  The Pathways initiative is been implemented  in these regions because of the high levels of poverty and malnutrition in the context of a high regional productivity potential, particularly for high quality nutritious foods and economic opportunities for women and their families."/>
    <s v="The project targets to impact 7000 poor and vulnerable smallholder women farmers (and their households) who  are particularly vulnerable to food insecurity. These  included female-headed households who have been identified as some of the most vulnerable, regardless of poverty ranking, and CARE  considers them a unique sub-set of priority women smallholders with tailored interventions to address their particular opportunities and constraints."/>
    <n v="7000"/>
    <m/>
    <n v="7000"/>
    <n v="42000"/>
    <m/>
    <n v="42000"/>
    <s v="The direct participants are smallholder women farmers (7000) who are part of the VSLAs  in the project communities. The project  directly involved them in the implementation of  activities such as establishment and management of Farmer Field and Business Schools (FFBS), Cooking demonstrations, cultivation of Groundnut and soya and value added interventions. They participate  in gender activities such dialogues and radio discussions.  The indrect participants are all family/household members of direct participants, who are not directly involved in project activities. The multiplier (6) is the average household size of the direct participants calculated during the project baseline study."/>
    <m/>
    <m/>
    <m/>
    <m/>
    <m/>
    <m/>
    <m/>
    <m/>
    <m/>
    <m/>
    <m/>
    <m/>
    <m/>
    <m/>
    <m/>
    <m/>
    <m/>
    <m/>
    <m/>
    <m/>
    <m/>
    <m/>
    <m/>
    <m/>
    <m/>
    <m/>
    <m/>
    <m/>
    <m/>
    <m/>
    <m/>
    <m/>
    <m/>
    <m/>
    <m/>
    <m/>
    <m/>
    <m/>
    <m/>
    <m/>
    <m/>
    <m/>
    <m/>
    <m/>
    <m/>
    <m/>
    <m/>
    <m/>
    <m/>
    <m/>
    <m/>
    <m/>
    <m/>
    <m/>
    <m/>
    <m/>
    <m/>
    <m/>
    <m/>
    <m/>
    <n v="7014"/>
    <n v="2338"/>
    <n v="9352"/>
    <n v="42084"/>
    <n v="14028"/>
    <n v="56112"/>
    <s v="YES"/>
    <n v="9352"/>
    <n v="0.74"/>
    <n v="56112"/>
    <s v="YES"/>
    <n v="9352"/>
    <n v="0.74"/>
    <n v="56112"/>
    <m/>
    <m/>
    <m/>
    <m/>
    <m/>
    <m/>
    <m/>
    <m/>
    <m/>
    <m/>
    <m/>
    <m/>
    <m/>
    <m/>
    <m/>
    <m/>
    <s v="YES"/>
    <n v="9352"/>
    <n v="0.74"/>
    <n v="56112"/>
    <m/>
    <m/>
    <m/>
    <m/>
    <s v="YES"/>
    <n v="9352"/>
    <n v="0.74"/>
    <n v="56112"/>
    <m/>
    <m/>
    <m/>
    <m/>
    <m/>
    <m/>
    <m/>
    <m/>
    <m/>
    <m/>
    <m/>
    <m/>
    <m/>
    <m/>
    <m/>
    <m/>
    <m/>
    <m/>
    <m/>
    <m/>
    <m/>
    <m/>
    <m/>
    <m/>
    <s v="YES"/>
    <n v="9352"/>
    <m/>
    <n v="56112"/>
    <m/>
    <m/>
    <m/>
    <m/>
    <m/>
    <s v="NO"/>
    <m/>
    <m/>
    <m/>
    <s v="NO"/>
    <m/>
    <m/>
    <m/>
    <x v="2"/>
    <s v="NO"/>
    <s v="NO"/>
    <s v="YES"/>
    <s v="YES"/>
    <s v="YES"/>
    <s v="YES"/>
    <s v="NO"/>
    <s v="YES"/>
    <s v="The project  work closely with  WILDAF, Netright, tradtional authorities (Chiefs, queen mothers, landlords), local governent and women leaders to influence changes in commmunity norms that inhibit the development of community members espercially women. The team  also work to  influence policies that promote women rights. The project employ strategies such as community gender dialogues and  engaging men and boys to reach out to households and duty bearers to negotiate with land owners to release productive resources (fertile lands and traction services)  to women."/>
    <x v="2"/>
    <s v="Talking book (audio device for extension services dellivery): It is  developed by litracy bridge  which helps to  improve smallholder farmers' access to agricultural technologies, nutrition messages, market information and gender related issues.It is a device that women can easily carry along for listening and discussions on the above mentioned topics.  According to literacy bridge,  usage statistics information reveals high level of usage of the device by project participants. Almost all the women who listened to the Talking Book reported satisfaction with the service. They further indicated that Talking Book has enlighten them and broaden their minds so now they engage their spouses and other men effectively on issues bothering them as women."/>
    <x v="1"/>
    <s v="Farmer Field and Business School model focus on a learning by doing approach, putting farmers at the heart of learning and decision-making around new agricultural techniques. The strength of the model is that it integrates multiple components including sustainable agriculture practices, market engagement, gender and equity, food and nutrition security, group empowerment and Monitoring &amp;Evaluation. Pathways engaged a number of  strategic partners;   Food and Agricultural Organisation(FAO), Savannah Agricultural Research Institute (SARI, Ghana) IFPRI,University for Dvelopment Studies (UDS, Ghana), Savannah Accelerated Development Authority (SADA) and Internation Institute for Tropical Agriculture  (IITA) to develop  and dessiminate the FFBS model.                                  Literacy bridge signed an MOU with UNICEF  to incoporate maternal health issues into the Talking book so that the project participants can benefit."/>
    <x v="1"/>
    <x v="1"/>
    <s v="YES"/>
    <x v="0"/>
    <x v="0"/>
    <x v="0"/>
    <x v="2"/>
    <n v="4"/>
    <x v="1"/>
    <x v="1"/>
    <x v="1"/>
    <x v="1"/>
    <x v="1"/>
    <x v="1"/>
    <n v="4"/>
    <x v="1"/>
    <x v="1"/>
    <x v="1"/>
    <x v="1"/>
    <x v="1"/>
    <n v="3"/>
    <x v="3"/>
    <x v="0"/>
    <n v="3"/>
    <s v="Local NGO(s)/CSO(s)"/>
    <s v="Local government(s)"/>
    <s v="University/research institution(s)"/>
    <x v="2"/>
    <s v="The project work closely with women leaders, Gender champions and tradtional leaders to adovcate for  peoductive resources such fertille lands for women in the project communities."/>
    <m/>
    <s v="The &quot;Talking Book&quot; device used by the project to complement the work of CBEAs  in the dessimination of Good Agronomic Practices, markteting , gender and nutrition information has contributed significantly to  improve farmers access to timely extension services. The  device enable  farmers  to listen to  the mesaages repeatedly  espercially during their leisure hours.  Usage statistics information provided by Literacy bridge reveals high level of usage of the device by project participants."/>
    <s v="Farmer Field and Business School (FFBS): This model  focus on a learning by doing approach, putting farmers at the heart of learning and decision-making around new agricultural techniques. The strength of the model is that it integrates multiple components including sustainable agriculture practices, market engagement, gender and equity, food and nutrition security, group empowerment and M&amp;E. The training cycle follows the seasonal cycle (before, during &amp; after) ensuring that learning and other activities are done in real time without requiring extra time from already time constrained women farmers. It builds on existing VSLAs based Garu-Tempane and Lambussie districts.These groups already have established social capital and governance mechanisms and focuses on the added value of the other Pathways components. It is based on adult learning principles that offer practical lessons through participatory approaches. Monitoring and evaluation are built into the FFBS enabling farmers to track progress, costs as well as profit and loss and to use this information to make decisions based on farmers’ specific circumstances."/>
    <s v="Community Gender Dialogues and radio discussions: A gender dialogue is an exchange of ideas or opinions on socio-cultural and religious issues between men, women, boys and girls with a view of reaching an amicable agreement or settlement within a given society.During gender dialogues, community members are able to freely discuss issues that they identify as factors that affect the development of all citizens which include gender in-equalities. These platforms are where collective decisions are taken, bylaws are enacted, and laws are reformed and enforced."/>
    <s v="The team learnt that   radio discussions  is a very strong for development because it covers beyond the project operations areas. Through   phone in sessions listeners are able to contribute and make constructive criticisms to help shape our programming."/>
    <s v="As a result of Participatory Scenario Plannning, farmers are well informed about the weather patterns and that has enable them to be able plan as to when to start their cropping  season and the variety of seed to use on their farms."/>
    <s v="Engagement of community Market Research Committees have made it possible for farmers to improve their collective sales.The MRCs are  supporting their groups to plan their production, sensitize members of the VSLA in their communities on market issues, aggregation and keeping sales records of their groups at the community level, monitor production of their members."/>
    <s v="we are contributing to SDG 1…."/>
    <s v="Annual and semi-annual reports, baseline and evaluation reports."/>
    <n v="9352"/>
    <n v="56112"/>
    <n v="6"/>
    <n v="0.75"/>
    <n v="0.75"/>
    <n v="7014"/>
    <n v="42084"/>
    <s v=""/>
    <n v="0"/>
    <n v="0"/>
    <s v=""/>
    <n v="1"/>
    <n v="9352"/>
    <n v="56112"/>
    <n v="6"/>
    <s v=""/>
    <n v="0"/>
    <n v="0"/>
    <s v=""/>
    <s v=""/>
    <n v="0"/>
    <n v="0"/>
    <s v=""/>
    <n v="1"/>
    <n v="9352"/>
    <n v="56112"/>
    <n v="6"/>
    <s v="4. Transformative"/>
    <s v="2. Accommodating"/>
    <s v="2. Sensitive"/>
    <s v="It tested new ways for fighting poverty and measured results of innovation"/>
    <s v="Intensive advocacy"/>
    <s v="It linked and worked with strategic alliances and partners to take tested and effective solutions to scale"/>
  </r>
  <r>
    <x v="28"/>
    <x v="2"/>
    <m/>
    <s v="Promoting a Sustainable and Food Secure World (PROSPER)"/>
    <s v="Ghana"/>
    <s v="CAPGGH00008"/>
    <s v="CARE USA"/>
    <s v="Corporation"/>
    <s v="Other"/>
    <s v="Cargill, Inc."/>
    <m/>
    <m/>
    <m/>
    <m/>
    <m/>
    <m/>
    <m/>
    <m/>
    <m/>
    <m/>
    <m/>
    <m/>
    <m/>
    <m/>
    <m/>
    <m/>
    <m/>
    <m/>
    <m/>
    <m/>
    <m/>
    <m/>
    <m/>
    <m/>
    <m/>
    <m/>
    <m/>
    <m/>
    <m/>
    <m/>
    <m/>
    <m/>
    <m/>
    <m/>
    <m/>
    <m/>
    <m/>
    <m/>
    <m/>
    <m/>
    <m/>
    <m/>
    <m/>
    <m/>
    <m/>
    <d v="2016-09-01T00:00:00"/>
    <d v="2019-08-30T00:00:00"/>
    <m/>
    <s v="Development Food &amp; Nutrition Security and Resilience to Climate Change"/>
    <n v="900000"/>
    <s v="Dr. Theophilus Nkansah"/>
    <s v="Project Manager"/>
    <s v="tnkansah@care.org"/>
    <s v="Eunice Oduro"/>
    <s v="Monitoring and Evaluation Officer"/>
    <s v="eunice.oduro@care.org"/>
    <s v="NO"/>
    <s v="YES"/>
    <s v="NO"/>
    <s v="The main goal of the PROSPER project is to increased gender equitable food security &amp; resilience to climate change"/>
    <s v="Sub-National"/>
    <s v="The project operates 108 communities in the Western region of Ghana in 7 political districts-Sefwi Wiawso Municipal, Bibiani-Anhwiaso Bekwai, Amenfi Central, Bodi, Sefwi Akontombra, Amenfi West and Juaboso districts"/>
    <s v="The main impact groups of the project are:  _x000a_Women and men of reproductive age_x000a_Children under five_x000a_Children of school going age."/>
    <n v="12960"/>
    <n v="8640"/>
    <n v="21600"/>
    <n v="44928"/>
    <n v="41472"/>
    <n v="86400"/>
    <s v="The  direct participants are the women groups,  community leaders and community members  who are directly involved in activities implemented by the project._x000a_The indirect participants represents the families/ households of the direct participants  who are not directly involved in the project's activities,  using a multiplier of 4 ( average household size), with 48.3% representing  men and boys and 51.7% representing  women and girls.  (GLSS-6)"/>
    <m/>
    <m/>
    <m/>
    <m/>
    <m/>
    <m/>
    <m/>
    <m/>
    <m/>
    <m/>
    <m/>
    <m/>
    <m/>
    <m/>
    <m/>
    <m/>
    <m/>
    <m/>
    <m/>
    <m/>
    <m/>
    <m/>
    <m/>
    <m/>
    <m/>
    <m/>
    <m/>
    <m/>
    <m/>
    <m/>
    <m/>
    <m/>
    <m/>
    <m/>
    <m/>
    <m/>
    <m/>
    <m/>
    <m/>
    <m/>
    <m/>
    <m/>
    <m/>
    <m/>
    <m/>
    <m/>
    <m/>
    <m/>
    <m/>
    <m/>
    <m/>
    <m/>
    <m/>
    <m/>
    <m/>
    <m/>
    <m/>
    <m/>
    <m/>
    <m/>
    <n v="8424"/>
    <n v="7776"/>
    <n v="16200"/>
    <n v="33696"/>
    <n v="31104"/>
    <n v="64800"/>
    <m/>
    <m/>
    <m/>
    <m/>
    <m/>
    <m/>
    <m/>
    <m/>
    <m/>
    <m/>
    <m/>
    <m/>
    <m/>
    <m/>
    <m/>
    <m/>
    <m/>
    <m/>
    <m/>
    <m/>
    <m/>
    <m/>
    <m/>
    <m/>
    <s v="YES"/>
    <n v="16200"/>
    <n v="0.51700000000000002"/>
    <n v="64800"/>
    <m/>
    <m/>
    <m/>
    <m/>
    <m/>
    <m/>
    <m/>
    <m/>
    <m/>
    <m/>
    <m/>
    <m/>
    <m/>
    <m/>
    <m/>
    <m/>
    <m/>
    <m/>
    <m/>
    <m/>
    <s v="YES"/>
    <n v="16200"/>
    <n v="0.51700000000000002"/>
    <n v="64800"/>
    <m/>
    <m/>
    <m/>
    <m/>
    <m/>
    <m/>
    <m/>
    <m/>
    <s v="YES"/>
    <n v="5400"/>
    <n v="1"/>
    <n v="21600"/>
    <m/>
    <m/>
    <m/>
    <m/>
    <m/>
    <s v="NO"/>
    <m/>
    <m/>
    <s v="NO"/>
    <s v="NO"/>
    <m/>
    <m/>
    <m/>
    <x v="1"/>
    <s v="NO"/>
    <s v="NO"/>
    <s v="YES"/>
    <s v="YES"/>
    <s v="YES"/>
    <s v="NO"/>
    <s v="NO"/>
    <s v="NO"/>
    <m/>
    <x v="1"/>
    <s v="Strengthened communities through the formation and training of Community Development Committees and women's groups to empower women and the community at large+A58:H85"/>
    <x v="1"/>
    <s v="Partnered with the Community Development, Planning Unit of the District Assembly in the formation and training of Women's groups and Community Development Committees whiles facilitating the inclusion of Community Action Plans into the District Medium Term Development Plans"/>
    <x v="0"/>
    <x v="0"/>
    <s v="YES"/>
    <x v="0"/>
    <x v="0"/>
    <x v="0"/>
    <x v="0"/>
    <n v="4"/>
    <x v="1"/>
    <x v="1"/>
    <x v="1"/>
    <x v="1"/>
    <x v="1"/>
    <x v="1"/>
    <n v="4"/>
    <x v="1"/>
    <x v="1"/>
    <x v="1"/>
    <x v="1"/>
    <x v="1"/>
    <n v="3"/>
    <x v="2"/>
    <x v="2"/>
    <m/>
    <s v="Local government(s)"/>
    <s v="Grassroots organization(s)"/>
    <m/>
    <x v="0"/>
    <s v="CARE facilitated the formation and training of Community Development Committees and Women's groups to voice their concerns, advocate for their rights and also defend their interest+"/>
    <s v="I. PROSPER  formalised women's roles and contributions to development by forming and strengthening women's groups through leadership training_x000a_II.  Community Development Committees (CDCs) were formed ,  trained and linked to all the key local government institutions at the district level to spearhead development initiatives at the community level."/>
    <s v="I. Women were facilitated to form women's groups to give them visIbility and voice as well as build their collective and individual agency to participate actively in decision making processes and local governance."/>
    <s v="II.  An engagement forum that brings all the key district government officials together with community representatives to dialogue and provide feedback on critical development issues affecting community members. This promotes accountability between power holders and duty bearers."/>
    <s v="III. District-level partners (officials) are frequently used in carrying out most interventions and trainings and this promotes sustainability of interventions."/>
    <s v="I. Stakeholder collaboration has improved and this is a positive step in promoting  sustainability of  project interventions"/>
    <s v="II. Community Organizational Development processes has raised the interest of community members in mobilizing local resources to address their developmental challenges."/>
    <m/>
    <s v="The project contributed to SDG goal 1(No poverty) goal 4(quality education) and goal 5(Gender Equality)"/>
    <s v="PROSPER Proposal, 2016_x000a_PROSPER Monitoring and Evaluation Framework"/>
    <n v="16200"/>
    <n v="64800"/>
    <n v="4"/>
    <n v="0.52"/>
    <n v="0.52"/>
    <n v="8424"/>
    <n v="33696"/>
    <s v=""/>
    <n v="0"/>
    <n v="0"/>
    <s v=""/>
    <n v="1"/>
    <n v="16200"/>
    <n v="64800"/>
    <n v="4"/>
    <s v=""/>
    <n v="0"/>
    <n v="0"/>
    <s v=""/>
    <s v=""/>
    <n v="0"/>
    <n v="0"/>
    <s v=""/>
    <n v="1"/>
    <n v="5400"/>
    <n v="21600"/>
    <n v="4"/>
    <s v="2. Sensitive"/>
    <s v="2. Accommodating"/>
    <s v="2. Sensitive"/>
    <s v="It tested new ways for fighting poverty, but did not measure results of innovation"/>
    <s v="Moderate advocacy"/>
    <s v="It linked and worked with strategic alliances and partners to take tested and effective solutions to scale"/>
  </r>
  <r>
    <x v="28"/>
    <x v="2"/>
    <m/>
    <s v="Prosperous Cocoa Farming Communties (PROCOCO)"/>
    <s v="Ghana"/>
    <s v="CAPGGH00008"/>
    <s v="CARE USA"/>
    <s v="Corporation"/>
    <s v="Other"/>
    <s v="Cargill, Inc."/>
    <m/>
    <m/>
    <m/>
    <m/>
    <m/>
    <m/>
    <m/>
    <m/>
    <m/>
    <m/>
    <m/>
    <m/>
    <m/>
    <m/>
    <m/>
    <m/>
    <m/>
    <m/>
    <m/>
    <m/>
    <m/>
    <m/>
    <m/>
    <m/>
    <m/>
    <m/>
    <m/>
    <m/>
    <m/>
    <m/>
    <m/>
    <m/>
    <m/>
    <m/>
    <m/>
    <m/>
    <m/>
    <m/>
    <m/>
    <m/>
    <m/>
    <m/>
    <m/>
    <m/>
    <m/>
    <d v="2013-09-01T00:00:00"/>
    <d v="2016-08-30T00:00:00"/>
    <m/>
    <s v="Development Access to and Control over Economic Resources"/>
    <n v="825000"/>
    <s v="Dr. Theophilus Nkansah"/>
    <s v="Project Manager"/>
    <s v="tnkansah@care.org"/>
    <s v="Eunice Oduro"/>
    <s v="Monitoring and Evaluation Officer"/>
    <s v="eunice.oduro@care.org"/>
    <s v="NO"/>
    <s v="YES"/>
    <s v="NO"/>
    <s v="The goal of PROCOCO is to promote more prosperous, sustainable and resilient cocoa-farming communities"/>
    <s v="Sub-National"/>
    <s v="The project operates in four of Ghana's cocoa districts two in Ashanti Region (Ahafo Ano North and South), one in the Brong Ahafo region (Tano North) and one in the Central region (Asikuma Odoben Brakwa). The project covers 110 communities in the 4 districts with 35 communities in Ahafo Ano North district, 35 communities in the Ahafo Ano South district, 20 communities in the Tano North district and 20 communities in the Asikuma Odoben Brakwa district."/>
    <s v="Women, Children under 5 years, Children 5-15 years, Households of farmer groups"/>
    <n v="4337"/>
    <n v="5806"/>
    <n v="10143"/>
    <n v="25317"/>
    <n v="23369"/>
    <n v="48686"/>
    <s v="The direct participants are the women groups, farmer groups, community leaders and community members  who are directly involved in activities implemented by the project._x000a_The indirect participants represents  all family/household members of direct participants, who are not directly involved in project activities. The average household size for the project communities with reference to the an Evaluation studyis 4.8 which is higher than the national average of 3.7 and rural average of 4.019. The large household size in the surveyed district may be indicative of high fertility rate. women constitute 51% while their male counterpart forms 48%. of the indirect participants."/>
    <m/>
    <m/>
    <m/>
    <m/>
    <m/>
    <m/>
    <m/>
    <m/>
    <m/>
    <m/>
    <m/>
    <m/>
    <m/>
    <m/>
    <m/>
    <m/>
    <m/>
    <m/>
    <m/>
    <m/>
    <m/>
    <m/>
    <m/>
    <m/>
    <m/>
    <m/>
    <m/>
    <m/>
    <m/>
    <m/>
    <m/>
    <m/>
    <m/>
    <m/>
    <m/>
    <m/>
    <m/>
    <m/>
    <m/>
    <m/>
    <m/>
    <m/>
    <m/>
    <m/>
    <m/>
    <m/>
    <m/>
    <m/>
    <m/>
    <m/>
    <m/>
    <m/>
    <m/>
    <m/>
    <m/>
    <m/>
    <m/>
    <m/>
    <m/>
    <m/>
    <n v="4337"/>
    <n v="5806"/>
    <n v="10143"/>
    <n v="25317"/>
    <n v="23369"/>
    <n v="48686"/>
    <s v="YES"/>
    <n v="6454"/>
    <n v="0.39500000000000002"/>
    <n v="19362"/>
    <m/>
    <m/>
    <m/>
    <m/>
    <m/>
    <m/>
    <m/>
    <m/>
    <m/>
    <m/>
    <m/>
    <m/>
    <s v="YES"/>
    <n v="2180"/>
    <n v="0.57999999999999996"/>
    <n v="8720"/>
    <s v="YES"/>
    <n v="1509"/>
    <n v="0.34"/>
    <n v="22000"/>
    <s v="YES"/>
    <n v="8070"/>
    <n v="0.65"/>
    <n v="32280"/>
    <m/>
    <m/>
    <m/>
    <m/>
    <m/>
    <m/>
    <m/>
    <m/>
    <m/>
    <m/>
    <m/>
    <m/>
    <m/>
    <m/>
    <m/>
    <m/>
    <m/>
    <m/>
    <m/>
    <m/>
    <s v="YES"/>
    <n v="1100"/>
    <n v="0.3"/>
    <n v="55000"/>
    <m/>
    <m/>
    <m/>
    <m/>
    <m/>
    <m/>
    <m/>
    <m/>
    <s v="YES"/>
    <n v="2180"/>
    <n v="0.57999999999999996"/>
    <n v="8720"/>
    <m/>
    <m/>
    <m/>
    <m/>
    <m/>
    <s v="YES"/>
    <s v="September"/>
    <n v="2016"/>
    <s v="YES"/>
    <s v="NO"/>
    <m/>
    <m/>
    <m/>
    <x v="1"/>
    <s v="NO"/>
    <s v="NO"/>
    <s v="YES"/>
    <s v="YES"/>
    <s v="NO"/>
    <s v="NO"/>
    <s v="NO"/>
    <s v="NO"/>
    <m/>
    <x v="2"/>
    <s v="Introduced VSLA to some project communities and measured the results of the VSLA"/>
    <x v="1"/>
    <s v="Partnered with the Community Development, Planning Unit of the District Assembly in the formation and training of Women's groups and Community Development Committees whiles facilitating the inclusion of Community Action Plans into the District Medium Term Development Plans"/>
    <x v="0"/>
    <x v="0"/>
    <s v="YES"/>
    <x v="0"/>
    <x v="0"/>
    <x v="0"/>
    <x v="0"/>
    <n v="4"/>
    <x v="1"/>
    <x v="1"/>
    <x v="1"/>
    <x v="1"/>
    <x v="1"/>
    <x v="1"/>
    <n v="4"/>
    <x v="1"/>
    <x v="1"/>
    <x v="1"/>
    <x v="1"/>
    <x v="1"/>
    <n v="3"/>
    <x v="2"/>
    <x v="2"/>
    <m/>
    <s v="Local government(s)"/>
    <m/>
    <m/>
    <x v="0"/>
    <s v="CARE facilitated the formation and training of Community Development Committees and Women's groups to voice their concerns, advocate for their rights and also defend their interest"/>
    <m/>
    <s v="The use of VSLAs was an effective means of financial empowerment and created a platform  for implementing project interventions."/>
    <s v="The use of community driven approach to development has contributed to the mobilization of local resources in addressing community needs"/>
    <s v="Presence of strong institutional linkages that facilitates the sustainability and scalability of project interventions."/>
    <s v="I. Stakeholder collaboration has improved and this is a positive step in promoting  sustainability of  project interventions"/>
    <s v="II. Community Organizational Development processes has raised the interest of community members in mobilizing local resources to address their developmental challenges."/>
    <m/>
    <m/>
    <s v="PROCOCO Final Evaluation Report, 2016"/>
    <n v="10143"/>
    <n v="48686"/>
    <n v="4.799960563935719"/>
    <n v="0.42758552696440894"/>
    <n v="0.52000575113995806"/>
    <n v="4337"/>
    <n v="25317"/>
    <s v=""/>
    <n v="0"/>
    <n v="0"/>
    <s v=""/>
    <n v="1"/>
    <n v="8070"/>
    <n v="32280"/>
    <n v="4"/>
    <s v=""/>
    <n v="0"/>
    <n v="0"/>
    <s v=""/>
    <s v=""/>
    <n v="0"/>
    <n v="0"/>
    <s v=""/>
    <n v="1"/>
    <n v="2180"/>
    <n v="8720"/>
    <n v="4"/>
    <s v="2. Sensitive"/>
    <s v="2. Accommodating"/>
    <s v="2. Sensitive"/>
    <s v="It tested new ways for fighting poverty and measured results of innovation"/>
    <s v="Moderate advocacy"/>
    <s v="It linked and worked with strategic alliances and partners to take tested and effective solutions to scale"/>
  </r>
  <r>
    <x v="28"/>
    <x v="2"/>
    <m/>
    <s v="YenSore Programme"/>
    <s v="Ghana"/>
    <s v="CDNKGH0062"/>
    <s v="CARE Danmark"/>
    <s v="Government"/>
    <s v="Government - Denmark"/>
    <s v="DANIDA"/>
    <m/>
    <m/>
    <m/>
    <m/>
    <m/>
    <m/>
    <m/>
    <m/>
    <m/>
    <m/>
    <m/>
    <m/>
    <m/>
    <m/>
    <m/>
    <m/>
    <m/>
    <m/>
    <m/>
    <m/>
    <m/>
    <m/>
    <m/>
    <m/>
    <m/>
    <m/>
    <m/>
    <m/>
    <m/>
    <m/>
    <m/>
    <m/>
    <m/>
    <m/>
    <m/>
    <m/>
    <m/>
    <m/>
    <m/>
    <m/>
    <m/>
    <m/>
    <m/>
    <m/>
    <m/>
    <d v="2014-01-01T00:00:00"/>
    <s v="31/12/201"/>
    <m/>
    <s v="Development Other"/>
    <n v="2435011"/>
    <s v="Zakaria Yakubu"/>
    <s v="Programme Coordinator, Yensore"/>
    <s v="yakubu.zakaria@care.org"/>
    <m/>
    <m/>
    <m/>
    <s v="NO"/>
    <s v="YES"/>
    <s v="NO"/>
    <s v="Rights of community members affected by forestry and extractive industries are respected, protected and fulfilled”. The YenSore Programme seek to empower  local civil society be able to provide an effective and legitimate voice around forest, mining and oil and gas and promote the rights of affected communities, and environmental justice at international, regional, national and local levels."/>
    <s v="National"/>
    <s v="Forest / Logging and mining areas in southern Ghana and six coastal districts in western region affected by Oil and Gas activities. National level policy enagagement on climate change and Policy influencing for Good natural resources and environmental governance"/>
    <s v="1) Poor and vulnerable women , men and children affected by Mining and Oil and Gas extractive activities, and also poor and vulnerable women and men dependant on Forest and other natural resouces for their livelihoods."/>
    <n v="1040000"/>
    <n v="960000"/>
    <n v="2000000"/>
    <n v="2700000"/>
    <n v="1300000"/>
    <n v="4000000"/>
    <s v="1) Poor and vulnerable women , men and children affected by Mining and Oil and Gas extractive activities, 2) poor and vulnerable women and men dependant on Forest and other natural resouces for their livelihoods. 3) Local Government (Distrist Assemblies) authorities in forest, mining, oil and gas activities; 4) Traditional authorities/community leaders; 5) local NGOs / CSOs network&amp; coalitions in the NRE sector; 6) women groups/Community Groups 6) Staff of Government /Regulary agencies in the NRE sector, Parliament select committees on Enviroment and natural resources, offcials of extractive sector companies. 8) forest-fringed community members and communities affected by mining 6 regions of Ghana."/>
    <m/>
    <m/>
    <m/>
    <m/>
    <m/>
    <m/>
    <m/>
    <m/>
    <m/>
    <m/>
    <m/>
    <m/>
    <m/>
    <m/>
    <m/>
    <m/>
    <m/>
    <m/>
    <m/>
    <m/>
    <m/>
    <m/>
    <m/>
    <m/>
    <m/>
    <m/>
    <m/>
    <m/>
    <m/>
    <m/>
    <m/>
    <m/>
    <m/>
    <m/>
    <m/>
    <m/>
    <m/>
    <m/>
    <m/>
    <m/>
    <m/>
    <m/>
    <m/>
    <m/>
    <m/>
    <m/>
    <m/>
    <m/>
    <m/>
    <m/>
    <m/>
    <m/>
    <m/>
    <m/>
    <m/>
    <m/>
    <m/>
    <m/>
    <m/>
    <m/>
    <n v="669000"/>
    <n v="578200"/>
    <n v="1247200"/>
    <n v="2009800"/>
    <n v="1592100"/>
    <n v="3601900"/>
    <m/>
    <m/>
    <m/>
    <m/>
    <s v="YES"/>
    <n v="1243200"/>
    <n v="0.54"/>
    <n v="3601900"/>
    <m/>
    <m/>
    <m/>
    <m/>
    <m/>
    <m/>
    <m/>
    <m/>
    <m/>
    <m/>
    <m/>
    <m/>
    <m/>
    <m/>
    <m/>
    <m/>
    <m/>
    <m/>
    <m/>
    <m/>
    <m/>
    <m/>
    <m/>
    <m/>
    <m/>
    <m/>
    <m/>
    <m/>
    <m/>
    <m/>
    <m/>
    <m/>
    <m/>
    <m/>
    <m/>
    <m/>
    <s v="YES"/>
    <n v="1243200"/>
    <n v="0.54"/>
    <n v="3601900"/>
    <s v="YES"/>
    <n v="1243200"/>
    <n v="0.54"/>
    <n v="3601900"/>
    <m/>
    <m/>
    <m/>
    <m/>
    <m/>
    <m/>
    <m/>
    <m/>
    <m/>
    <m/>
    <m/>
    <m/>
    <m/>
    <m/>
    <m/>
    <m/>
    <m/>
    <s v="NO"/>
    <m/>
    <m/>
    <s v="NO"/>
    <s v="YES"/>
    <s v="December"/>
    <n v="2017"/>
    <s v="To be supported by CARE Denmark as part of multi country evaluation of Danida framework funded initiatives."/>
    <x v="2"/>
    <s v="YES"/>
    <s v="YES"/>
    <s v="YES"/>
    <s v="YES"/>
    <s v="YES"/>
    <m/>
    <s v="YES"/>
    <s v="YES"/>
    <m/>
    <x v="1"/>
    <s v="strategic partnership with selected civil society groups with core funding and capacity building for joint advocacy initiatives based on partners strategic plans and alignment with CARE's goal for the imapct group. Also include strengtheing CSOs networks/coalitions and social movements to advocacy for equitable benefits, transparency and accountability in natural resource governance."/>
    <x v="1"/>
    <s v="Promoted the adoptoin and scale out of VSLAs model by other CSOs partner. 5 CSOs coalitions / partners organisations requested and received technial support from CARE to rollout VSLAs in their own projects.  Also a national platform for CSOs coordinate engagement on NRE policy dialogue established with the support of CARE, has been accepted and adopted by Govt and DPs and CSOs as the mechanism for consultations with Govt. on NRE issues."/>
    <x v="0"/>
    <x v="1"/>
    <s v="YES"/>
    <x v="0"/>
    <x v="0"/>
    <x v="2"/>
    <x v="4"/>
    <n v="3"/>
    <x v="2"/>
    <x v="1"/>
    <x v="1"/>
    <x v="1"/>
    <x v="1"/>
    <x v="2"/>
    <n v="4"/>
    <x v="1"/>
    <x v="1"/>
    <x v="1"/>
    <x v="1"/>
    <x v="1"/>
    <n v="3"/>
    <x v="3"/>
    <x v="2"/>
    <n v="5"/>
    <s v="Local alliance(s)/Platform(s)/Network(s) of  NGOs/CSOs"/>
    <s v="Local NGO(s)/CSO(s)"/>
    <m/>
    <x v="0"/>
    <s v="Financial support for organisational development as well as for program design and implementation.Tecnical assistance for Fund rising; Capacity building &amp; Organisational Development support; Join advocacy initiatives, sharing of Innovative tools and joint reviews and learning events.Also supporting to strengthen CSOs networks and platforms for coordinated engagement with duty bearers on policy.  CARE's Core roles in this partnership has been mainly that of: faciliationa;Capacity building/training/coaching/knowledge broker, convennor and being fellow advocate with partners. CARe also provides linkages to international space &amp; opportuinities for local CSOs engagements, eg on climate change; UN Universal Periodic Review of Humam Rights, etc."/>
    <s v="Yensor program initially did not include VSLA approach /strateg, but due to the interest and request of the strategic partners, CARE had to include the provision of technical support for partners to integrate and rollout VSLAs in their own projects.  2) through lessons learnt and feeback from strategic partners, CARE and partners have taken steps to ensure more responsive sub-grants managment in the context of 'strategic' partnerships."/>
    <s v="Strategic partnership approach of CARE had promoted more trust, openness, mutual accountability and ownership of the Yensore Program among the Strategic partners. In this model of strategic partnerships, CARE makes a contribution to partners based on their own strategic plans and programming agenda that are aligned with CARE's Yesnore program goal."/>
    <s v="The strategy of moblising and supporting CSOs coalitions / platforms for coordinated engagements and policy influencing in the Natural Resoucre and Environment governance in Ghana. Government and other stakeholders now recongnise and use these platform for consultative involvement of citizen groups in the NRE sector policy dialogue"/>
    <s v="CARE together with the strategic partners Developed capacity assessment tools and faciliated Partners to adopt annual Organisational self-assessment to gauge their levels of capacity for Advocacy and Organisational Development. The tool enable partners to score their current capacity and their preferred / targeted capacity level by end of year, and then develop action plans for improvements. CARE provide technical assistance based on demand by a partners and there is also a joint learning and peer review and partnership feedback mechanism, where partners meet quarterly to discuss progress and plans for the year, including joint advocacy agenda."/>
    <s v="Strategic Partnerships relationship strives best in an organisational culture of open and respectful communication together with effective mechanism for regular joint reviews and reflections on the partnership. This helps to narrow the 'power' distance btn CARE and local partners and also promotes a sense of mutual accountability responsibility for achieving program objectives."/>
    <s v="The legacy of most poor communities still expecting ‘handouts’ from NGOs still lingers in some communities, and mobilisation and sustaining interest of such communities for advocacy, can be more challenging and will need to be linked to some project with immediate benefits to the communities. Strategic partners of Yensore (UCSOND and WACAM) have therefore integrated ‘livelihoods empowerments’ in their projects communities and have also received technical support from CARE for roll out of VSLAs in their project areas, as a way of addressing some immediate interest of poor communities, whilst moblising and empowering them for policy advocacy."/>
    <m/>
    <s v="In the context of the Yensore Strategic partnerships, CARE is carefully balancing the need for attributable information on outcomes or results of CARE’s support to strategic partners and also promoting a harmonised and wholistic reports of partners organisation’s activities that may compass the needs of all 'funding' partners and other stakeholders. Yensore has leant that strategic parnerships using the &quot;program approach' has  better multiplier effects on results, than a &quot;project-focused partnership where partners become mere &quot;implementers'' or subcontractors of a specific CARE's project.. Partners are in the driving seat, setting their own agenda for CARE's role and collaborative engaments. as such partner are more motivated to provided share information with CARE beyond the specific activities funded by CARE. Strategic Partners have changed from activity-based reporting to 'Results / outcome-oriented reporting with acknowledgement of CARE's contribution."/>
    <s v="see 2016 annual report of Yensore."/>
    <n v="1247200"/>
    <n v="3601900"/>
    <n v="2.8879890955740861"/>
    <n v="0.53640153944836433"/>
    <n v="0.55798328659873953"/>
    <n v="669000"/>
    <n v="2009800"/>
    <s v=""/>
    <n v="0"/>
    <n v="0"/>
    <s v=""/>
    <n v="1"/>
    <n v="1243200"/>
    <n v="3601900"/>
    <n v="2.8972812097812097"/>
    <s v=""/>
    <n v="0"/>
    <n v="0"/>
    <s v=""/>
    <s v=""/>
    <n v="0"/>
    <n v="0"/>
    <s v=""/>
    <s v=""/>
    <n v="0"/>
    <n v="0"/>
    <s v=""/>
    <s v="3. Responsive"/>
    <s v="4. Transformational"/>
    <s v="2. Sensitive"/>
    <s v="It tested new ways for fighting poverty, but did not measure results of innovation"/>
    <s v="Intensive advocacy"/>
    <s v="It linked and worked with strategic alliances and partners to take tested and effective solutions to scale"/>
  </r>
  <r>
    <x v="29"/>
    <x v="1"/>
    <m/>
    <s v="Refugee response in Greece"/>
    <s v="Greece"/>
    <s v="DE744"/>
    <s v="CARE Deutschland-Luxemburg"/>
    <s v="Multilateral agency"/>
    <s v="ECHO - European Commission for Humanitarian Aid and Civil Protection"/>
    <s v="ECHO"/>
    <s v="DE799"/>
    <s v="CARE Deutschland-Luxemburg"/>
    <s v="Multilateral agency"/>
    <s v="UN - United Nations agencies/offices"/>
    <s v="UNHCR"/>
    <s v="DE735"/>
    <s v="CARE Deutschland-Luxemburg"/>
    <s v="Government"/>
    <s v="Government - France"/>
    <s v="Centre de Crise"/>
    <s v="DE735"/>
    <s v="CARE Deutschland-Luxemburg"/>
    <s v="Corporation"/>
    <s v="Other"/>
    <s v="BNP"/>
    <s v="DE734"/>
    <s v="CARE Deutschland-Luxemburg"/>
    <s v="Foundation"/>
    <s v="Other"/>
    <s v="Neighbours in Need Foundation"/>
    <s v="DE723"/>
    <s v="CARE Deutschland-Luxemburg"/>
    <s v="Government"/>
    <s v="Government - Luxemburg"/>
    <s v="Ministry of Foreign Affairs of Luxemburg"/>
    <s v="DE775"/>
    <s v="CARE Deutschland-Luxemburg"/>
    <s v="Government"/>
    <s v="Government - UK"/>
    <s v="DFID"/>
    <s v="NL676"/>
    <s v="CARE Deutschland-Luxemburg"/>
    <s v="Other"/>
    <s v="Other"/>
    <s v="Public collection by CARE NL"/>
    <s v="BA340"/>
    <s v="CARE Deutschland-Luxemburg"/>
    <s v="Foundation"/>
    <s v="Other"/>
    <s v="LDS"/>
    <s v="FR767"/>
    <s v="CARE Deutschland-Luxemburg"/>
    <s v="Corporation"/>
    <s v="Other"/>
    <s v="Rescue telecom"/>
    <d v="2016-07-01T00:00:00"/>
    <d v="2017-12-31T00:00:00"/>
    <m/>
    <s v="Humanitarian Other"/>
    <n v="6113628.1100000003"/>
    <s v="Aleksandra Godziejewska"/>
    <s v="Head of Mission"/>
    <s v="godziejewska@care.de"/>
    <s v="Ben Mascall"/>
    <s v="Program and Partnership Manager"/>
    <s v="mascall@care.de"/>
    <s v="YES"/>
    <s v="NO"/>
    <s v="NO"/>
    <s v="Support to refugees and migrants linked to the recent influx with tailored case management and targeted support for basic needs (accomodation, protection and cash)"/>
    <s v="National"/>
    <s v="The main focus is on urban areas of Athens and Thessaloniki"/>
    <s v="Refugees in the urban areas of Athens and Thessaloniki"/>
    <m/>
    <m/>
    <m/>
    <m/>
    <m/>
    <m/>
    <m/>
    <m/>
    <m/>
    <m/>
    <n v="12841"/>
    <m/>
    <m/>
    <n v="0"/>
    <m/>
    <m/>
    <m/>
    <m/>
    <s v="YES"/>
    <n v="2763"/>
    <m/>
    <m/>
    <m/>
    <m/>
    <m/>
    <m/>
    <m/>
    <m/>
    <m/>
    <m/>
    <m/>
    <m/>
    <m/>
    <m/>
    <m/>
    <m/>
    <m/>
    <m/>
    <s v="YES"/>
    <n v="927"/>
    <n v="0.25"/>
    <m/>
    <m/>
    <m/>
    <m/>
    <m/>
    <s v="YES"/>
    <n v="7123"/>
    <m/>
    <m/>
    <m/>
    <m/>
    <m/>
    <m/>
    <s v="YES"/>
    <n v="111"/>
    <n v="0.54"/>
    <m/>
    <m/>
    <m/>
    <m/>
    <m/>
    <m/>
    <m/>
    <m/>
    <m/>
    <m/>
    <m/>
    <m/>
    <m/>
    <m/>
    <m/>
    <m/>
    <m/>
    <m/>
    <m/>
    <m/>
    <m/>
    <m/>
    <m/>
    <m/>
    <m/>
    <m/>
    <m/>
    <m/>
    <m/>
    <m/>
    <m/>
    <m/>
    <m/>
    <m/>
    <m/>
    <m/>
    <m/>
    <m/>
    <m/>
    <m/>
    <m/>
    <m/>
    <m/>
    <m/>
    <m/>
    <m/>
    <m/>
    <m/>
    <m/>
    <m/>
    <m/>
    <m/>
    <m/>
    <m/>
    <m/>
    <m/>
    <m/>
    <m/>
    <m/>
    <m/>
    <m/>
    <m/>
    <m/>
    <m/>
    <m/>
    <m/>
    <m/>
    <m/>
    <m/>
    <m/>
    <m/>
    <m/>
    <m/>
    <m/>
    <m/>
    <m/>
    <m/>
    <m/>
    <m/>
    <m/>
    <m/>
    <m/>
    <m/>
    <m/>
    <m/>
    <s v="YES"/>
    <s v="July"/>
    <n v="2017"/>
    <s v="NO"/>
    <s v="NO"/>
    <m/>
    <m/>
    <m/>
    <x v="1"/>
    <s v="YES"/>
    <s v="YES"/>
    <s v="YES"/>
    <s v="YES"/>
    <s v="YES"/>
    <s v="NO"/>
    <s v="NO"/>
    <m/>
    <m/>
    <x v="0"/>
    <m/>
    <x v="0"/>
    <m/>
    <x v="1"/>
    <x v="0"/>
    <s v="YES"/>
    <x v="0"/>
    <x v="0"/>
    <x v="0"/>
    <x v="0"/>
    <n v="4"/>
    <x v="1"/>
    <x v="1"/>
    <x v="1"/>
    <x v="1"/>
    <x v="1"/>
    <x v="1"/>
    <n v="4"/>
    <x v="2"/>
    <x v="2"/>
    <x v="1"/>
    <x v="2"/>
    <x v="2"/>
    <n v="1"/>
    <x v="2"/>
    <x v="0"/>
    <n v="3"/>
    <s v="Local NGO(s)/CSO(s)"/>
    <s v="Grassroots organization(s)"/>
    <m/>
    <x v="0"/>
    <s v="capacity building trainigs for the partner organizations, support in developing M&amp;E system of the local partner, support provided to Melissa strenghtening advocacy skills among beneficiaries"/>
    <s v="21 apartments for vulnerable women, modification of the program at the end of the FY to include SGBV case management component, continuation of cooperation with Melissa Migrant Women Network, assessing new partner capacties and developing a new proposal for the next FY focusing on pregnant and lactating women"/>
    <s v="urban cash program"/>
    <s v="shelter and accomodation of particularly vulnerable refugees (single women with newly born babies and unaccompanied youth exiting minors shelters)"/>
    <s v="use of CommCare as a data collection and monitoring tool"/>
    <s v="local partners not reporting on time and preventing joint engagement on project implemenation, therefore, impacting project monitoring, quality and timely spending"/>
    <s v="donors approving short timeframes of the projects, therefore, not allowing to properly scale up to meet the needs (cash program)"/>
    <s v="use of CommCare as a data collection and monitoring tool has been beneficial but complicated therefore it took long time to properly adjust it to the project needs"/>
    <m/>
    <m/>
    <n v="12841"/>
    <n v="0"/>
    <n v="0"/>
    <n v="0"/>
    <s v=""/>
    <n v="0"/>
    <n v="0"/>
    <n v="1"/>
    <n v="12841"/>
    <n v="0"/>
    <n v="0"/>
    <s v=""/>
    <n v="0"/>
    <n v="0"/>
    <s v=""/>
    <s v=""/>
    <n v="0"/>
    <n v="0"/>
    <s v=""/>
    <s v=""/>
    <n v="0"/>
    <n v="0"/>
    <s v=""/>
    <s v=""/>
    <n v="0"/>
    <n v="0"/>
    <s v=""/>
    <s v="2. Sensitive"/>
    <s v="2. Accommodating"/>
    <s v="0. Harmful"/>
    <s v="It did not develop any specific innovation"/>
    <s v="Moderate advocacy"/>
    <s v="It did not take tested solutions to scale"/>
  </r>
  <r>
    <x v="30"/>
    <x v="4"/>
    <m/>
    <s v="Amway Nutrilite Little Bits"/>
    <s v="Guatemala"/>
    <m/>
    <s v="CARE USA"/>
    <s v="Corporation"/>
    <s v="Other"/>
    <s v="Alticor, Inc."/>
    <m/>
    <m/>
    <m/>
    <m/>
    <m/>
    <m/>
    <m/>
    <m/>
    <m/>
    <m/>
    <m/>
    <m/>
    <m/>
    <m/>
    <m/>
    <m/>
    <m/>
    <m/>
    <m/>
    <m/>
    <m/>
    <m/>
    <m/>
    <m/>
    <m/>
    <m/>
    <m/>
    <m/>
    <m/>
    <m/>
    <m/>
    <m/>
    <m/>
    <m/>
    <m/>
    <m/>
    <m/>
    <m/>
    <m/>
    <m/>
    <m/>
    <m/>
    <m/>
    <m/>
    <m/>
    <d v="2014-08-08T00:00:00"/>
    <d v="2016-12-31T00:00:00"/>
    <d v="2017-12-31T00:00:00"/>
    <s v="Development Food &amp; Nutrition Security and Resilience to Climate Change"/>
    <n v="1127356"/>
    <s v="Rebecca Feinberg"/>
    <s v="Director of Development"/>
    <s v="rebecca.feinberg@care.org"/>
    <s v="Aliya Firozvi"/>
    <s v="Project Manager, Nutrilite Little Bits"/>
    <s v="afirozvi@care.org"/>
    <s v="NO"/>
    <s v="YES"/>
    <s v="NO"/>
    <s v="CARE and Amway have embarked on a strategic partnership based on the shared goals of helping people live better lives and finding sustainable solutions to hunger and malnutrition. The partnership strives to expand the use of Amway’s Nutrilite Little Bits (NLB) micronutrient product in robust infant and young child feeding (IYCF) programs."/>
    <s v="Multiple countries"/>
    <s v="Regions within several countries."/>
    <s v="The main impact group is children 0-5 years old, and young school-aged children above 5 years old."/>
    <m/>
    <m/>
    <m/>
    <m/>
    <m/>
    <m/>
    <m/>
    <m/>
    <m/>
    <m/>
    <m/>
    <m/>
    <m/>
    <m/>
    <m/>
    <m/>
    <m/>
    <m/>
    <m/>
    <m/>
    <m/>
    <m/>
    <m/>
    <m/>
    <m/>
    <m/>
    <m/>
    <m/>
    <m/>
    <m/>
    <m/>
    <m/>
    <m/>
    <m/>
    <m/>
    <m/>
    <m/>
    <m/>
    <m/>
    <m/>
    <m/>
    <m/>
    <m/>
    <m/>
    <m/>
    <m/>
    <m/>
    <m/>
    <m/>
    <m/>
    <m/>
    <m/>
    <m/>
    <m/>
    <m/>
    <m/>
    <m/>
    <m/>
    <m/>
    <m/>
    <m/>
    <m/>
    <m/>
    <m/>
    <m/>
    <m/>
    <m/>
    <m/>
    <m/>
    <n v="143"/>
    <m/>
    <m/>
    <m/>
    <s v="NO"/>
    <m/>
    <m/>
    <m/>
    <s v="NO"/>
    <m/>
    <m/>
    <m/>
    <s v="NO"/>
    <m/>
    <m/>
    <m/>
    <s v="NO"/>
    <m/>
    <m/>
    <m/>
    <s v="NO"/>
    <m/>
    <m/>
    <m/>
    <s v="NO"/>
    <m/>
    <m/>
    <m/>
    <s v="YES"/>
    <n v="143"/>
    <m/>
    <m/>
    <s v="NO"/>
    <m/>
    <m/>
    <m/>
    <s v="NO"/>
    <m/>
    <m/>
    <m/>
    <s v="NO"/>
    <m/>
    <m/>
    <m/>
    <s v="NO"/>
    <m/>
    <m/>
    <m/>
    <s v="NO"/>
    <m/>
    <m/>
    <m/>
    <s v="NO"/>
    <m/>
    <m/>
    <m/>
    <s v="NO"/>
    <m/>
    <m/>
    <m/>
    <s v="NO"/>
    <m/>
    <m/>
    <m/>
    <s v="NO"/>
    <m/>
    <m/>
    <m/>
    <m/>
    <s v="NO"/>
    <m/>
    <m/>
    <m/>
    <m/>
    <m/>
    <m/>
    <m/>
    <m/>
    <m/>
    <m/>
    <m/>
    <x v="3"/>
    <m/>
    <m/>
    <m/>
    <m/>
    <m/>
    <m/>
    <m/>
    <m/>
    <m/>
    <x v="3"/>
    <m/>
    <x v="2"/>
    <m/>
    <x v="3"/>
    <x v="2"/>
    <m/>
    <x v="2"/>
    <x v="2"/>
    <x v="2"/>
    <x v="3"/>
    <n v="0"/>
    <x v="0"/>
    <x v="0"/>
    <x v="0"/>
    <x v="0"/>
    <x v="0"/>
    <x v="0"/>
    <n v="0"/>
    <x v="0"/>
    <x v="0"/>
    <x v="0"/>
    <x v="0"/>
    <x v="0"/>
    <n v="0"/>
    <x v="1"/>
    <x v="4"/>
    <m/>
    <m/>
    <m/>
    <m/>
    <x v="3"/>
    <m/>
    <m/>
    <m/>
    <m/>
    <m/>
    <m/>
    <m/>
    <m/>
    <m/>
    <m/>
    <n v="143"/>
    <n v="0"/>
    <n v="0"/>
    <n v="0"/>
    <s v=""/>
    <n v="0"/>
    <n v="0"/>
    <s v=""/>
    <n v="0"/>
    <n v="0"/>
    <s v=""/>
    <n v="1"/>
    <n v="143"/>
    <n v="0"/>
    <n v="0"/>
    <s v=""/>
    <n v="0"/>
    <n v="0"/>
    <s v=""/>
    <s v=""/>
    <n v="0"/>
    <n v="0"/>
    <s v=""/>
    <s v=""/>
    <n v="0"/>
    <n v="0"/>
    <s v=""/>
    <s v="No marker score"/>
    <s v="No marker score"/>
    <s v="No marker score"/>
    <n v="0"/>
    <n v="0"/>
    <n v="0"/>
  </r>
  <r>
    <x v="30"/>
    <x v="4"/>
    <m/>
    <s v="Conservación y restauración de la biodiversidad y conectividad del bosque nuboso de la Sierra María Tecún para la provisión de bienes y servicios naturales de los municipios de Totonicapán y Santa María Chiquimula."/>
    <s v="Guatemala"/>
    <s v="US1QB - FCBXGT0009"/>
    <s v="CARE USA"/>
    <s v="Foundation"/>
    <s v="Other"/>
    <s v="National Natural Resources Conservation Foundation"/>
    <m/>
    <m/>
    <m/>
    <m/>
    <m/>
    <m/>
    <m/>
    <m/>
    <m/>
    <m/>
    <m/>
    <m/>
    <m/>
    <m/>
    <m/>
    <m/>
    <m/>
    <m/>
    <m/>
    <m/>
    <m/>
    <m/>
    <m/>
    <m/>
    <m/>
    <m/>
    <m/>
    <m/>
    <m/>
    <m/>
    <m/>
    <m/>
    <m/>
    <m/>
    <m/>
    <m/>
    <m/>
    <m/>
    <m/>
    <m/>
    <m/>
    <m/>
    <m/>
    <m/>
    <m/>
    <d v="2016-07-01T00:00:00"/>
    <d v="2018-12-31T00:00:00"/>
    <m/>
    <s v="Development Food &amp; Nutrition Security and Resilience to Climate Change"/>
    <n v="434787.28"/>
    <s v="Ada Zambrano"/>
    <s v="Directora Nacional"/>
    <s v="ada.zambrano@care.org"/>
    <s v="Roberto Chuc"/>
    <s v="Coordinador de Proyecto"/>
    <s v="jose.chuc@care.org"/>
    <s v="NO"/>
    <s v="YES"/>
    <s v="NO"/>
    <s v="Recuperar y conservar la biodiversidad de los ecosistemas forestales y su conectividad para mantener la integridad y funcionalidad del bosque nuboso de la Sierra María Tecún y asegurar la provisión de bienes y servicios ambientales para las poblaciones indígenas en especial mujeres y jóvenes de los municipios de Totonicapán y Santa María Chiquimula."/>
    <s v="Sub-National"/>
    <s v="Municipios de Santa María Chiquimula y Totonicapán, del departamento de Totonicapán, en el Occidente de Guatemala"/>
    <s v="Hogares y comunidades indígenas vulnerables, especialmente mujeres y jóvenes que dependen de la agricultura y de los bienes y servicios de los bosques"/>
    <n v="5426"/>
    <n v="4661"/>
    <n v="10087"/>
    <n v="39201"/>
    <n v="33914"/>
    <n v="73115"/>
    <s v="Los participantes directos, son las personas hombres, mujeres, jóvenes y niños, que participan en las actividades del proyecto, principalmente en las actividades de manejo de terreno, acceso a incentivos forestales, producción de planfas forestales en viveros, restauración del paisaje forestal a través de reforestaciones masivas y regeneración natural, los comités de agua y forestales que reciben capacitación y estudiantes que reciben periódicamente  capacitaciónes de medio ambiente y participan en campañas de reforestación.  se han calculado dichos participantes a nivel de cada comunidad y posteriormente a nivel de municipio.  Los participantes indirectos se han estimado como los habitantes de una comunidad que reciben los beneficios de la protección de los bosques, especialmente la protección de las zonas de recarga hidríca, así tambien se incluyen a los miembros de una familila que realiza planes de manejo de finca."/>
    <m/>
    <m/>
    <m/>
    <m/>
    <m/>
    <m/>
    <m/>
    <m/>
    <m/>
    <m/>
    <m/>
    <m/>
    <m/>
    <m/>
    <m/>
    <m/>
    <m/>
    <m/>
    <m/>
    <m/>
    <m/>
    <m/>
    <m/>
    <m/>
    <m/>
    <m/>
    <m/>
    <m/>
    <m/>
    <m/>
    <m/>
    <m/>
    <m/>
    <m/>
    <m/>
    <m/>
    <m/>
    <m/>
    <m/>
    <m/>
    <m/>
    <m/>
    <m/>
    <m/>
    <m/>
    <m/>
    <m/>
    <m/>
    <m/>
    <m/>
    <m/>
    <m/>
    <m/>
    <m/>
    <m/>
    <m/>
    <m/>
    <m/>
    <m/>
    <m/>
    <n v="4981"/>
    <n v="5826"/>
    <n v="10807"/>
    <n v="36420"/>
    <n v="33273"/>
    <n v="69693"/>
    <s v="YES"/>
    <n v="555"/>
    <n v="0.81100000000000005"/>
    <n v="3330"/>
    <s v="YES"/>
    <n v="858"/>
    <n v="0.52400000000000002"/>
    <n v="5148"/>
    <m/>
    <m/>
    <m/>
    <m/>
    <s v="YES"/>
    <n v="70"/>
    <n v="0.129"/>
    <n v="420"/>
    <m/>
    <m/>
    <m/>
    <m/>
    <m/>
    <m/>
    <m/>
    <m/>
    <m/>
    <m/>
    <m/>
    <m/>
    <m/>
    <m/>
    <m/>
    <m/>
    <s v="YES"/>
    <n v="79"/>
    <n v="0.63300000000000001"/>
    <n v="474"/>
    <m/>
    <m/>
    <m/>
    <m/>
    <m/>
    <m/>
    <m/>
    <m/>
    <s v="YES"/>
    <n v="10500"/>
    <n v="0.42899999999999999"/>
    <n v="63000"/>
    <s v="YES"/>
    <n v="50"/>
    <n v="0.3"/>
    <n v="300"/>
    <m/>
    <m/>
    <m/>
    <m/>
    <m/>
    <m/>
    <m/>
    <m/>
    <m/>
    <m/>
    <m/>
    <m/>
    <m/>
    <m/>
    <m/>
    <m/>
    <m/>
    <s v="YES"/>
    <s v="July"/>
    <n v="2016"/>
    <s v="NO"/>
    <s v="YES"/>
    <s v="January"/>
    <n v="2018"/>
    <s v="La referencia utilizada es geográfica, utilizando sistemas satelitales y ortofotografías para medir impactos en el paisaje forestal para beneficio de las poblaciones priorizadas"/>
    <x v="1"/>
    <s v="NO"/>
    <m/>
    <s v="YES"/>
    <s v="YES"/>
    <m/>
    <m/>
    <s v="YES"/>
    <m/>
    <m/>
    <x v="1"/>
    <s v="Modelos de adaptación basado en ecosistémas, principalmente en restauración del paisaje, en áreas de tenencia colectiva administradas por comunidades indígenas y locales."/>
    <x v="3"/>
    <s v="Se impulsaron acciones de mitigacion a adaptación a través de oficinas técnicas forestales y ambientales municipales"/>
    <x v="0"/>
    <x v="0"/>
    <s v="YES"/>
    <x v="0"/>
    <x v="0"/>
    <x v="1"/>
    <x v="1"/>
    <n v="3"/>
    <x v="1"/>
    <x v="1"/>
    <x v="1"/>
    <x v="1"/>
    <x v="1"/>
    <x v="1"/>
    <n v="4"/>
    <x v="1"/>
    <x v="1"/>
    <x v="1"/>
    <x v="1"/>
    <x v="1"/>
    <n v="3"/>
    <x v="0"/>
    <x v="2"/>
    <n v="4"/>
    <s v="Local government(s)"/>
    <s v="University/research institution(s)"/>
    <s v="Grassroots organization(s)"/>
    <x v="2"/>
    <s v="El proyecto ha apoyado a comités de agua potable, comités ambientales y grupos de mujeres para el tema de cambio climático y manejo de recursos naturales"/>
    <m/>
    <s v="Fortalecimiento de Capacidades de Oficinas Técnicas Municipales"/>
    <s v="Planificación a nivel de comunidades priorizadas"/>
    <s v="Planificacíon a nivel de finca utililzando herramientas de planificación"/>
    <s v="Los estudios de valoración de la biodiversidad por parte de la academia han servido como motivante para que las comunidades gestionen y protegan sus recursos naturales"/>
    <s v="El intercambio de experiencias comunitarias a través de giras educativas a permitido la implementación de sistemas agroforestal como medida para mejorar la adaptación al cambio climático"/>
    <s v="La participación de hombres en los talleres de género  ha mejorado la sensibilidad hacia una nueva masculinidad"/>
    <s v="Aunque el proyecto está enfocado a los recursos naturales, se ha logrado insertar la pertinencia cultural y consideraciones de género"/>
    <s v="El proyecto es parte de un fondo nacional de conservación de bosques tropicales:      http://www.fondofcaguatemala.org/documentos/Reporte/10AnosFCAGuatemala20062016.pdf     _x000a__x000a_Documentos del proyecto: https://www.dropbox.com/sh/tp645gdjd6rvks9/AAB2EFREWkhSRLTo9Sx6D8rqa?dl=0"/>
    <n v="10807"/>
    <n v="69693"/>
    <n v="6.4488757286943645"/>
    <n v="0.46090496900157307"/>
    <n v="0.52257759028883821"/>
    <n v="4981"/>
    <n v="36420"/>
    <s v=""/>
    <n v="0"/>
    <n v="0"/>
    <s v=""/>
    <n v="1"/>
    <n v="10500"/>
    <n v="63000"/>
    <n v="6"/>
    <s v=""/>
    <n v="0"/>
    <n v="0"/>
    <s v=""/>
    <s v=""/>
    <n v="0"/>
    <n v="0"/>
    <s v=""/>
    <s v=""/>
    <n v="0"/>
    <n v="0"/>
    <s v=""/>
    <s v="1. Neutral"/>
    <s v="2. Accommodating"/>
    <s v="2. Sensitive"/>
    <s v="It tested new ways for fighting poverty, but did not measure results of innovation"/>
    <s v="Moderate advocacy"/>
    <s v="It took tested solutions to scale on its own"/>
  </r>
  <r>
    <x v="30"/>
    <x v="4"/>
    <n v="2970"/>
    <s v="Empoderamiento  de pequeñas productoras rurales"/>
    <s v="Guatemala"/>
    <s v="NL798 - CNLDGT0007"/>
    <s v="CARE Nederland"/>
    <s v="Foundation"/>
    <s v="Other"/>
    <s v="H&amp;M Conscious Foundation"/>
    <m/>
    <m/>
    <m/>
    <m/>
    <m/>
    <m/>
    <m/>
    <m/>
    <m/>
    <m/>
    <m/>
    <m/>
    <m/>
    <m/>
    <m/>
    <m/>
    <m/>
    <m/>
    <m/>
    <m/>
    <m/>
    <m/>
    <m/>
    <m/>
    <m/>
    <m/>
    <m/>
    <m/>
    <m/>
    <m/>
    <m/>
    <m/>
    <m/>
    <m/>
    <m/>
    <m/>
    <m/>
    <m/>
    <m/>
    <m/>
    <m/>
    <m/>
    <m/>
    <m/>
    <m/>
    <d v="2014-12-01T00:00:00"/>
    <d v="2016-11-30T00:00:00"/>
    <d v="2017-03-30T00:00:00"/>
    <s v="Development Access to and Control over Economic Resources"/>
    <n v="121000"/>
    <s v="Marta Verónica Iscamey Pérez"/>
    <s v="Asesora del Proyecto"/>
    <s v="veronica.iscamey@care.org"/>
    <s v="Haroldo Chiquin"/>
    <s v="Gerente de Programa WEE"/>
    <s v="haroldo.chiquin@care.org"/>
    <s v="NO"/>
    <s v="YES"/>
    <s v="NO"/>
    <s v="Fortalecer  capacidades  y habilidades de producción  relacionamiento y negociación de mujeres productoras indígeneas que viven en pobreza y condiciones de vulnerabilidad, para mejorar sus condiciones de vida."/>
    <s v="Sub-National"/>
    <s v="Municiipios de Sacatepéquez, Chimaltenango y Sololá,  Guatamala"/>
    <s v="*Mujeres Pequeñas productoras rurales_x000a_-Lideresas de las organizaciones de Mujeres_x000a_-Mujeres integrantes de los Centros de Aprendizaje para el desarrollo del Ministerios de Agricultura y ganadería"/>
    <n v="1580"/>
    <n v="363"/>
    <n v="1943"/>
    <n v="7900"/>
    <n v="1815"/>
    <n v="9715"/>
    <s v="Directos:_x000a_-Las mujeres pequeñas productoras rurales,  que tienen actividades productivas  agrícolas y no agrícolas, vínculdas a organizacioanes y asociaciones de mujeres formales y no formales en el departamento de Chimaltenango, Sacatepéquez y Sololá._x000a_-Las mujeres  integrantes de los Centros de  aprendizaje para el desarrollo rural -CADERES- del Minsterio de Agricultura, Alimentación y Ganadería -MAGA-_x000a_-Lideresas e integrantes de las Juntas Lidectivas de organizaciones  formales y no formales de mujeres del área de intervención._x000a_-Lideresas de las Direcciones Municipales de la Mujer -DMM-_x000a_-Educadoras de los CADRES del MAGA_x000a__x000a_Indirectos_x000a_-Mujeres con nuevos empleos  indirectos para mujeres que se estarán incorporando al trabajo en campo y otros  servicios como  alimentación, material de empaque, uniformes, material de imprenta, entre otros, como resultado de la implementación de actividades directas_x000a_-Las Familias de las  beneficiarias directas: Hijas, hijos, hermanas, madres y espososo"/>
    <m/>
    <m/>
    <m/>
    <m/>
    <m/>
    <m/>
    <m/>
    <m/>
    <m/>
    <m/>
    <m/>
    <m/>
    <m/>
    <m/>
    <m/>
    <m/>
    <m/>
    <m/>
    <m/>
    <m/>
    <m/>
    <m/>
    <m/>
    <m/>
    <m/>
    <m/>
    <m/>
    <m/>
    <m/>
    <m/>
    <m/>
    <m/>
    <m/>
    <m/>
    <m/>
    <m/>
    <m/>
    <m/>
    <m/>
    <m/>
    <m/>
    <m/>
    <m/>
    <m/>
    <m/>
    <m/>
    <m/>
    <m/>
    <m/>
    <m/>
    <m/>
    <m/>
    <m/>
    <m/>
    <m/>
    <m/>
    <m/>
    <m/>
    <m/>
    <m/>
    <n v="1000"/>
    <n v="150"/>
    <n v="1150"/>
    <n v="4000"/>
    <n v="650"/>
    <n v="4650"/>
    <s v="YES"/>
    <n v="1006"/>
    <n v="0.98"/>
    <n v="5030"/>
    <s v="NO"/>
    <m/>
    <m/>
    <m/>
    <s v="NO"/>
    <m/>
    <m/>
    <m/>
    <s v="NO"/>
    <m/>
    <m/>
    <m/>
    <s v="YES"/>
    <n v="850"/>
    <n v="1"/>
    <n v="4250"/>
    <s v="YES"/>
    <n v="850"/>
    <n v="1"/>
    <n v="4250"/>
    <s v="NO"/>
    <m/>
    <m/>
    <m/>
    <s v="NO"/>
    <m/>
    <m/>
    <m/>
    <s v="YES"/>
    <n v="1140"/>
    <n v="0.85"/>
    <n v="5700"/>
    <s v="NO"/>
    <m/>
    <m/>
    <m/>
    <s v="NO"/>
    <m/>
    <m/>
    <m/>
    <s v="NO"/>
    <m/>
    <m/>
    <m/>
    <s v="NO"/>
    <m/>
    <m/>
    <m/>
    <s v="NO"/>
    <m/>
    <m/>
    <m/>
    <s v="NO"/>
    <m/>
    <m/>
    <m/>
    <s v="YES"/>
    <n v="1275"/>
    <n v="1"/>
    <n v="6875"/>
    <m/>
    <m/>
    <m/>
    <m/>
    <m/>
    <s v="NO"/>
    <m/>
    <m/>
    <s v="YES"/>
    <s v="NO"/>
    <m/>
    <m/>
    <s v="Para la segunda fase del proyecto que inicia  conjuntamente con el nuevo año fiscal, se tiene establecido aplicar una línea base incial, además de  sistematizar los modelos que  funcionan para el empoderaiento económico de las mujeres, la implementación de las Storytelling y realizar investigación cuali-cuantitativa para tener mayor  mecanimos de soporte y de evidencia."/>
    <x v="1"/>
    <s v="YES"/>
    <s v="NO"/>
    <s v="YES"/>
    <s v="YES"/>
    <s v="YES"/>
    <s v="NO"/>
    <s v="NO"/>
    <m/>
    <m/>
    <x v="1"/>
    <s v="El proyecto implemento procesos de empoderamiento de mujeres y formas novedosas de diversificacion de la producción"/>
    <x v="3"/>
    <s v="Se coordinaron acciones con El Ministerio de Agricultura -MAGA y la Secretaria  presidencial de la mujer para promover acciones de empoderamiento de las mujeres  con personal de estas instituciones (equipo técnio, quienes  transfirieron  conocimientos a grupos de mujeres  a nivel municipal y departamental que contribuyo a multiplicar el conocimiento."/>
    <x v="0"/>
    <x v="1"/>
    <s v="YES"/>
    <x v="0"/>
    <x v="0"/>
    <x v="1"/>
    <x v="4"/>
    <n v="3"/>
    <x v="1"/>
    <x v="1"/>
    <x v="1"/>
    <x v="1"/>
    <x v="1"/>
    <x v="1"/>
    <n v="4"/>
    <x v="1"/>
    <x v="2"/>
    <x v="1"/>
    <x v="1"/>
    <x v="3"/>
    <n v="2"/>
    <x v="0"/>
    <x v="0"/>
    <n v="1"/>
    <s v="Private sector"/>
    <s v="Grassroots organization(s)"/>
    <s v="Local government(s)"/>
    <x v="2"/>
    <m/>
    <s v="Se identificaron nuevos grupos de mujeres vinculados a Organizaciones Gubernamentales del MAGA (Ministerio de Agricultura) para poder ampliar la cobertura del proyecto y  tener procesos con mayor sostenibilidad."/>
    <s v="Aplicar las dimenciones del marco estrategico para el  Empoderamiento de las mujeres de CARE Internacional"/>
    <s v="Realizar intercambios de experiencias con grupos de mujeres"/>
    <s v="Las escuelas de campo, para el aprendizaje de mujer a mujer,"/>
    <s v="Que se deben generar procesos  que  contribuyan al  empoderamiento personal de las mujeres para que poseter y gradualmente se puedan ir estableciendo acciones para el empoderamiento social y económico."/>
    <s v="Es importante e indispensable  establecer alianzas estrategicas con organizaciones del sector gubernamental, local y sector privado para que conjuntamente se puedan realizar acciones que contribuyan a alcanzar los objetivos del proyecto, pero sobre todo para establecer mecanismo de sostenibilidad."/>
    <s v="Se deben alinear y/o ajustar  los indicadores del proyecto especialmente de gobernanza y de Resiliencia, que no estan definidos desde la propuesta inicial"/>
    <m/>
    <s v="Documentos del proyecto: https://www.dropbox.com/sh/cjcwa52t1z4zncm/AABXVVYV78AuKKUV1TkGFdLma?dl=0"/>
    <n v="1150"/>
    <n v="4650"/>
    <n v="4.0434782608695654"/>
    <n v="0.86956521739130432"/>
    <n v="0.86021505376344087"/>
    <n v="1000"/>
    <n v="4000"/>
    <s v=""/>
    <n v="0"/>
    <n v="0"/>
    <s v=""/>
    <n v="1"/>
    <n v="1006"/>
    <n v="5030"/>
    <n v="5"/>
    <s v=""/>
    <n v="0"/>
    <n v="0"/>
    <s v=""/>
    <s v=""/>
    <n v="0"/>
    <n v="0"/>
    <s v=""/>
    <n v="1"/>
    <n v="1275"/>
    <n v="6875"/>
    <n v="5.3921568627450984"/>
    <s v="3. Responsive"/>
    <s v="2. Accommodating"/>
    <s v="1. Neutral"/>
    <s v="It tested new ways for fighting poverty, but did not measure results of innovation"/>
    <s v="Moderate advocacy"/>
    <s v="It took tested solutions to scale on its own"/>
  </r>
  <r>
    <x v="30"/>
    <x v="4"/>
    <n v="2323"/>
    <s v="Fortalecimiento al Sistema Nacional de Prevención y Control de Incendios Forestales -SIPECIF- en los Departamentos de Quiche y Totonicapan, Guatemala."/>
    <s v="Guatemala"/>
    <s v="AID-OFDA-G-16-00236"/>
    <s v="CARE USA"/>
    <s v="Other"/>
    <s v="Government - US"/>
    <s v="OFDA/USAID"/>
    <s v="US1QE - OFDAGT0003"/>
    <m/>
    <m/>
    <m/>
    <m/>
    <m/>
    <m/>
    <m/>
    <m/>
    <m/>
    <m/>
    <m/>
    <m/>
    <m/>
    <m/>
    <m/>
    <m/>
    <m/>
    <m/>
    <m/>
    <m/>
    <m/>
    <m/>
    <m/>
    <m/>
    <m/>
    <m/>
    <m/>
    <m/>
    <m/>
    <m/>
    <m/>
    <m/>
    <m/>
    <m/>
    <m/>
    <m/>
    <m/>
    <m/>
    <m/>
    <m/>
    <m/>
    <m/>
    <m/>
    <m/>
    <d v="2016-08-01T00:00:00"/>
    <d v="2017-04-30T00:00:00"/>
    <d v="2017-07-30T00:00:00"/>
    <s v="Development Food &amp; Nutrition Security and Resilience to Climate Change"/>
    <n v="300000"/>
    <s v="Ada Zambrano"/>
    <s v="Directora de Pais"/>
    <s v="ada.zambrano@care.org"/>
    <s v="Amilcar Mirón"/>
    <s v="Coordinador de Calidad Programatica"/>
    <s v="wilfredo.miron@care.org"/>
    <s v="YES"/>
    <s v="NO"/>
    <s v="NO"/>
    <s v="Prevencion y preparacion ante los incendios forestales a nivel comunitaria, y a anivel municipal."/>
    <s v="Sub-National"/>
    <s v="Departamanentos de Quiche (Municipios de Santa Cruz del Quiche, Sacapulas, San Antonio Illotenango, Chinique, Chiche, San Bartolome Jocotenango y San Pedro Jocopilas). En el Departamento de Totonicapan (Municipios de Totonicapan y Santa Maria Chiquimula)."/>
    <s v="Se procedio a sencibilizar  y acapacitar  a 5 lideres o lideresas de  60 comunidades que participaron durante el desarrollo del proyecto, asi mismo se procedio a capacitar a personal tecnicos de los departamentos en prevencion, control y respuesta a incendios forestales y fuegos de interfaz o urbano-forestal."/>
    <n v="41387"/>
    <n v="40252"/>
    <n v="81639"/>
    <n v="207570"/>
    <n v="199430"/>
    <n v="407000"/>
    <s v="El proyecto se desarrollo en 60 comunidades de 10 municipios de los departamentos de Totonicapan, y Quiche; aquí participaron 5 lideres y lideresas representantetes de cada comunidad, esto da como resultado  300 lideres y lideresas capacitadas y sencibilizadas, sumando a  este proceso  se  agrega personal tecnico y operativo en prevencion de incendios forestales representados por intitutiones de gobierno como el SIPECIF, INAB, CONAP, MAGA, MARN entre otros. Agregamos  la difusion radial a travez de spots radiales, reuniones con comisiones gubernamentales o  comunales para dar  a conocer y sencibilizar lo relacionado a la prevencion de incendios forestales.(Ver Anexo Excel del calculo)"/>
    <m/>
    <n v="41387"/>
    <n v="40252"/>
    <n v="81639"/>
    <n v="207570"/>
    <n v="199430"/>
    <n v="407000"/>
    <m/>
    <m/>
    <m/>
    <m/>
    <m/>
    <m/>
    <m/>
    <m/>
    <m/>
    <m/>
    <m/>
    <m/>
    <m/>
    <m/>
    <m/>
    <m/>
    <m/>
    <m/>
    <m/>
    <m/>
    <m/>
    <m/>
    <m/>
    <m/>
    <m/>
    <m/>
    <m/>
    <m/>
    <m/>
    <m/>
    <m/>
    <m/>
    <m/>
    <m/>
    <m/>
    <m/>
    <m/>
    <m/>
    <m/>
    <m/>
    <m/>
    <m/>
    <m/>
    <m/>
    <m/>
    <m/>
    <m/>
    <m/>
    <s v="Prevención Incendios Forstales"/>
    <s v="YES"/>
    <n v="81639"/>
    <n v="0.51"/>
    <n v="407000"/>
    <m/>
    <m/>
    <m/>
    <m/>
    <m/>
    <m/>
    <m/>
    <m/>
    <m/>
    <m/>
    <m/>
    <m/>
    <m/>
    <m/>
    <m/>
    <m/>
    <m/>
    <m/>
    <m/>
    <m/>
    <m/>
    <m/>
    <m/>
    <m/>
    <m/>
    <m/>
    <m/>
    <m/>
    <m/>
    <m/>
    <m/>
    <m/>
    <m/>
    <m/>
    <m/>
    <m/>
    <m/>
    <m/>
    <m/>
    <m/>
    <m/>
    <m/>
    <m/>
    <m/>
    <m/>
    <m/>
    <m/>
    <m/>
    <m/>
    <m/>
    <m/>
    <m/>
    <m/>
    <m/>
    <m/>
    <m/>
    <m/>
    <m/>
    <m/>
    <m/>
    <m/>
    <m/>
    <m/>
    <m/>
    <m/>
    <m/>
    <m/>
    <m/>
    <m/>
    <m/>
    <m/>
    <m/>
    <m/>
    <m/>
    <m/>
    <s v="NO"/>
    <m/>
    <m/>
    <s v="NO"/>
    <s v="NO"/>
    <m/>
    <m/>
    <s v="Por ser un proyecto de respuesta a emergencias OFDA no requiere evaluacion"/>
    <x v="2"/>
    <s v="NO"/>
    <s v="NO"/>
    <s v="YES"/>
    <s v="NO"/>
    <s v="YES"/>
    <s v="NO"/>
    <s v="NO"/>
    <m/>
    <m/>
    <x v="1"/>
    <s v="La proteccion de los recursos naturales como lo es la masa boscosa de las comunidades, con prevencion de incendios forestales para evitar su degradacion y perdida"/>
    <x v="1"/>
    <s v="La conformacion de equipos o cuadrillas comunitarias para dar respuesta a los incendios forestales en sus localidades."/>
    <x v="0"/>
    <x v="0"/>
    <s v="YES"/>
    <x v="0"/>
    <x v="0"/>
    <x v="0"/>
    <x v="0"/>
    <n v="4"/>
    <x v="2"/>
    <x v="2"/>
    <x v="1"/>
    <x v="1"/>
    <x v="1"/>
    <x v="5"/>
    <n v="3"/>
    <x v="3"/>
    <x v="1"/>
    <x v="1"/>
    <x v="1"/>
    <x v="4"/>
    <n v="3"/>
    <x v="3"/>
    <x v="3"/>
    <n v="1"/>
    <s v="Local government(s)"/>
    <s v="International NGO(s)"/>
    <s v="Local NGO(s)/CSO(s)"/>
    <x v="0"/>
    <s v="Proceso de capacitacion desde nivel tecnico gubenamental y municipal hasta el nivel comunitario. Equipamiento de herramientas y equipo basico de seguridad para la prevencion y control de incendios forestales (Personal tecnio departamental, Bomberos Estructurales, Municipalidades y comunidades participantes en el proyecto)."/>
    <m/>
    <s v="Construcción de alianzas con organizaciones gubernamentales para la implementación y promoción del proyecto"/>
    <s v="Implementación de campañas de sensibilización sobre la prevención de incendios forestales con la población, lideres, lideresas y funcionarios municipales."/>
    <s v="Promoción de la participación de las mujeres en las acción de preparación para la prevención de incendios forestales."/>
    <s v="El apoyo a mujeres y hombres para ser convocados, participar,trabajar en tareas de prevencion y control de incendios forstales."/>
    <s v="El acercamiento y la sensibilizacion en tareas preventivas de incendios forestales y fuegos de interfaz urbano-forestal son tareas que requieren el trabajo, periodico y constante ya que son medidas preventivas que debemos aplicar todo el tiempo y siempre."/>
    <m/>
    <m/>
    <s v="Documentos del proyecto: https://www.dropbox.com/sh/q2dnini2tcvq3d9/AABaUCC1vNJHt6-XN4oI5Phsa?dl=0"/>
    <n v="81639"/>
    <n v="407000"/>
    <n v="4.9853623880743276"/>
    <n v="0.50695133453373997"/>
    <n v="0.51"/>
    <n v="41387"/>
    <n v="207570"/>
    <n v="1"/>
    <n v="81639"/>
    <n v="407000"/>
    <n v="4.9853623880743276"/>
    <s v=""/>
    <n v="0"/>
    <n v="0"/>
    <s v=""/>
    <s v=""/>
    <n v="0"/>
    <n v="0"/>
    <s v=""/>
    <s v=""/>
    <n v="0"/>
    <n v="0"/>
    <s v=""/>
    <s v=""/>
    <n v="0"/>
    <n v="0"/>
    <s v=""/>
    <s v="2. Sensitive"/>
    <s v="3. Responsive"/>
    <s v="4. Transformative"/>
    <s v="It tested new ways for fighting poverty, but did not measure results of innovation"/>
    <s v="Intensive advocacy"/>
    <s v="It linked and worked with strategic alliances and partners to take tested and effective solutions to scale"/>
  </r>
  <r>
    <x v="30"/>
    <x v="4"/>
    <m/>
    <s v="Gobernabilidad del Agua + Género"/>
    <s v="Guatemala"/>
    <s v="US0R2 - KIESGT0003"/>
    <s v="CARE USA"/>
    <s v="Foundation"/>
    <s v="Other"/>
    <s v="Joseph &amp; Bonnie Kies Endow"/>
    <s v="US1T2 - LIONGT0004"/>
    <s v="CARE USA"/>
    <s v="Foundation"/>
    <s v="Other"/>
    <s v="Multiple District 19 Lions"/>
    <m/>
    <m/>
    <m/>
    <m/>
    <m/>
    <m/>
    <m/>
    <m/>
    <m/>
    <m/>
    <m/>
    <m/>
    <m/>
    <m/>
    <m/>
    <m/>
    <m/>
    <m/>
    <m/>
    <m/>
    <m/>
    <m/>
    <m/>
    <m/>
    <m/>
    <m/>
    <m/>
    <m/>
    <m/>
    <m/>
    <m/>
    <m/>
    <m/>
    <m/>
    <m/>
    <m/>
    <m/>
    <m/>
    <m/>
    <m/>
    <d v="2016-09-01T00:00:00"/>
    <d v="2018-08-31T00:00:00"/>
    <m/>
    <s v="Development Food &amp; Nutrition Security and Resilience to Climate Change"/>
    <n v="191158.67"/>
    <s v="Adolfo Ochoa"/>
    <s v="Coordinator of Governability of Water + Gender"/>
    <s v="adolfo.ochoa@care.org"/>
    <s v="Stephanie Ogden"/>
    <s v="Senior Water Policy Advisor"/>
    <s v="sogden@care.org"/>
    <s v="NO"/>
    <s v="YES"/>
    <s v="NO"/>
    <s v="Fortalecimiento de la gobernabilidad para la gestión sostenible de los servicios de agua potable, higiene y saneamiento básico, promoviendo el empoderamiento de mujeres y niñas en el departamento de San Marcos, en Guatemala."/>
    <s v="Sub-National"/>
    <s v="País: Guatemala_x000a_Departamento: San Marcos_x000a_Municipios: Tacaná, San José Ojetenam, Concepción Tutuapa, San Miguel Ixtahuacán, Sipacapa, Tejutla, Sibinal, Tajumulco, Comitancillo, Río Blanco, San Lorenzo, San Antonio Sacatepéquez, San Pablo, Esquipulas Palo Gordo y El Tumbador_x000a_Comunidades de Tacaná: Las Tablas, Chiquilau, Pin Pin, Tuipíc y Tojoj Florida"/>
    <s v="Personal Técnico de Unidades Técnicas Municipales (Oficina Municipal de Agua y Saneamiento y Dirección Municipal de la Mujer) y Personal del Ministerio de Salud Pública y Asistencia Social -MSPAS- (Inspectores de Saneamiento Ambiental y Vigilantes de Agua)."/>
    <n v="2829"/>
    <n v="2728"/>
    <n v="5557"/>
    <n v="54065"/>
    <n v="46546"/>
    <n v="100611"/>
    <s v="Participantes directos: _x000a_Personal Técnico de Unidades Técnicas Municipales (Oficina Municipal de Agua y Saneamiento y Dirección Municipal de la Mujer) y Personal del Ministerio de Salud Pública y Asistencia Social -MSPAS- (Inspectores de Saneamiento Ambiental y Vigilantes de Agua) que están participando directamente en los procesos de fortalecimiento de capacidades en temas de gobernabilidad del agua y género, y familias de 5 comunidades del municipios de Tacaná que están siendo beneficiadas con acciones para la mejora de la calidad del agua y promoción para el cambio de comportamiento en prácticas de higiene y saneamiento (se calcularon de acuerdo a registro de participantes en proceso de fortalecimiento de capacidades)_x000a__x000a_Participantes indirectos:_x000a_Población comunitaria que es atendida por el personal de las Unidades Ténicas Municipales y personas del Ministerio de Salud Pública y Asistencia Social (se calcularón en base a la población atendida por el personal de las Unidades Técnicas Municipales y del Ministerio de Salud)"/>
    <m/>
    <m/>
    <m/>
    <m/>
    <m/>
    <m/>
    <m/>
    <m/>
    <m/>
    <m/>
    <m/>
    <m/>
    <m/>
    <m/>
    <m/>
    <m/>
    <m/>
    <m/>
    <m/>
    <m/>
    <m/>
    <m/>
    <m/>
    <m/>
    <m/>
    <m/>
    <m/>
    <m/>
    <m/>
    <m/>
    <m/>
    <m/>
    <m/>
    <m/>
    <m/>
    <m/>
    <m/>
    <m/>
    <m/>
    <m/>
    <m/>
    <m/>
    <m/>
    <m/>
    <m/>
    <m/>
    <m/>
    <m/>
    <m/>
    <m/>
    <m/>
    <m/>
    <m/>
    <m/>
    <m/>
    <m/>
    <m/>
    <m/>
    <m/>
    <m/>
    <n v="2829"/>
    <n v="2728"/>
    <n v="5557"/>
    <n v="21626"/>
    <n v="18618"/>
    <n v="40244"/>
    <s v="NO"/>
    <m/>
    <m/>
    <m/>
    <s v="NO"/>
    <m/>
    <m/>
    <m/>
    <s v="NO"/>
    <m/>
    <m/>
    <m/>
    <s v="NO"/>
    <m/>
    <m/>
    <m/>
    <s v="NO"/>
    <m/>
    <m/>
    <m/>
    <s v="NO"/>
    <m/>
    <m/>
    <m/>
    <s v="NO"/>
    <m/>
    <m/>
    <m/>
    <s v="NO"/>
    <m/>
    <m/>
    <m/>
    <s v="NO"/>
    <m/>
    <m/>
    <m/>
    <s v="NO"/>
    <m/>
    <m/>
    <m/>
    <s v="NO"/>
    <m/>
    <m/>
    <m/>
    <s v="NO"/>
    <m/>
    <m/>
    <m/>
    <s v="YES"/>
    <n v="52"/>
    <n v="0.44"/>
    <n v="40244"/>
    <s v="NO"/>
    <m/>
    <m/>
    <m/>
    <s v="YES"/>
    <n v="5505"/>
    <n v="0.51"/>
    <n v="0"/>
    <s v="NO"/>
    <m/>
    <m/>
    <m/>
    <m/>
    <m/>
    <m/>
    <m/>
    <m/>
    <s v="NO"/>
    <m/>
    <m/>
    <s v="YES"/>
    <s v="NO"/>
    <m/>
    <m/>
    <s v="Se tiene planificado realizar una evaluación final en el FY19 a través de encuestas dirigidas al Personal Técnico de Unidades Técnicas Municipales (Oficina Municipal de Agua y Saneamiento y Dirección Municipal de la Mujer) y Personal del Ministerio de Salud Pública y Asistencia Social -MSPAS- (Inspectores de Saneamiento Ambiental y Vigilantes de Agua)."/>
    <x v="0"/>
    <s v="NO"/>
    <s v="NO"/>
    <s v="YES"/>
    <s v="NO"/>
    <s v="NO"/>
    <s v="YES"/>
    <s v="NO"/>
    <m/>
    <m/>
    <x v="1"/>
    <s v="Fortalecimiento de capacidades de personal clave para la promoción de buenas prácticas en la gestión de los servicios de agua y saneamiento a traves de grupos y redes de forma escalonada."/>
    <x v="1"/>
    <s v="Para la implementación de las acciones de la iniciativa, se coordina de manera escalonada con la Red de Agua Potable y Saneamiento de Guatemala -RASGUA-, Global Water Partnership -GWP-, Red de Agua y Saneamiento Marquense -RASMARQ- y Unidades Técnicas Municipales."/>
    <x v="0"/>
    <x v="0"/>
    <s v="YES"/>
    <x v="0"/>
    <x v="0"/>
    <x v="1"/>
    <x v="1"/>
    <n v="3"/>
    <x v="2"/>
    <x v="2"/>
    <x v="1"/>
    <x v="1"/>
    <x v="1"/>
    <x v="5"/>
    <n v="3"/>
    <x v="1"/>
    <x v="2"/>
    <x v="1"/>
    <x v="1"/>
    <x v="3"/>
    <n v="2"/>
    <x v="2"/>
    <x v="1"/>
    <m/>
    <m/>
    <m/>
    <m/>
    <x v="2"/>
    <s v="Fortalecimiento de capacidades de gestión de los Consejos Comunitarios de Desarrollo -COCODE- y Comisiones de Agua y Saneamiento -CAS- con y a través de las Unidades Técnicas Municipales."/>
    <m/>
    <s v="Incidencia a nivel nacional y departamental para la mejora en la prestación de los servicios de agua potable y saneamiento a través de las Redes nacional y departamentales de agua y saneamiento."/>
    <s v="Fortalecimiento de capacidades del personal de Unidades Técnicas Municipales y del Ministerio de Salud a través del desarrollo del Diplomado &quot;Fortalecimiento de la Gobernanza para la Gestión Municipal en Agua y Saneamiento."/>
    <s v="Generación del modelo de intervención integral en agua, saneamiento e higiene a nivel nacional desarrollado conjuntamente con otras organizaciones gubernamentales y no gubernamentales que implementan acciones en el sector."/>
    <s v="El involucramiento de las autoridades y unidades técnicas municipales (Oficina Municipal de Agua y Saneamiento -OMAS-, Oficina Forestal Municipal -OFM-, Oficina Municipal de la Mujer -DMM-) para la solución de la problemática de agua y saneamiento es muy importante para garantizar el seguimiento y sostenibilidad de las intervenciones."/>
    <s v="El fortalecimiento del personal del Ministerio de Salud para la promocion de cambios de comportamiento social alrededor de la mejora de las prácticas de higiene y saneamiento utilizando las herramientas de la metodología SARAR-PHAST, contribuirá en la mejora de la calidad de vida de los habitantes de comunidades rurales."/>
    <s v="El implementar una estrategia para el fortalecimiento de capacidades del personal de las Unidades Técnicas Municipales y del Ministerio de Salud permite llevar a escala temas claves para la gestión de los servicios de agua y saneamiento y alcanzar indirectamente a mayor población."/>
    <m/>
    <s v="Documentos de la Iniciativa: https://www.dropbox.com/sh/yxjaynf2zrxlm6c/AACMMNYAq2Yg7COy8gae_1Sna?dl=0"/>
    <n v="5557"/>
    <n v="40244"/>
    <n v="7.2420370703617056"/>
    <n v="0.50908763721432426"/>
    <n v="0.53737203061325911"/>
    <n v="2829"/>
    <n v="21626"/>
    <s v=""/>
    <n v="0"/>
    <n v="0"/>
    <s v=""/>
    <n v="1"/>
    <n v="5505"/>
    <n v="0"/>
    <n v="0"/>
    <s v=""/>
    <n v="0"/>
    <n v="0"/>
    <s v=""/>
    <s v=""/>
    <n v="0"/>
    <n v="0"/>
    <s v=""/>
    <s v=""/>
    <n v="0"/>
    <n v="0"/>
    <s v=""/>
    <s v="1. Neutral"/>
    <s v="3. Responsive"/>
    <s v="1. Neutral"/>
    <s v="It tested new ways for fighting poverty, but did not measure results of innovation"/>
    <s v="Little or no advocacy"/>
    <s v="It linked and worked with strategic alliances and partners to take tested and effective solutions to scale"/>
  </r>
  <r>
    <x v="30"/>
    <x v="4"/>
    <m/>
    <s v="INICIATIVA IGS LAC - Programa regional de Trabajo Digno"/>
    <s v="Guatemala"/>
    <m/>
    <s v="CARE USA"/>
    <s v="Other"/>
    <s v="Other"/>
    <m/>
    <m/>
    <m/>
    <m/>
    <m/>
    <m/>
    <m/>
    <m/>
    <m/>
    <m/>
    <m/>
    <m/>
    <m/>
    <m/>
    <m/>
    <m/>
    <m/>
    <m/>
    <m/>
    <m/>
    <m/>
    <m/>
    <m/>
    <m/>
    <m/>
    <m/>
    <m/>
    <m/>
    <m/>
    <m/>
    <m/>
    <m/>
    <m/>
    <m/>
    <m/>
    <m/>
    <m/>
    <m/>
    <m/>
    <m/>
    <m/>
    <m/>
    <m/>
    <m/>
    <m/>
    <m/>
    <d v="2016-07-01T00:00:00"/>
    <d v="2030-12-01T00:00:00"/>
    <m/>
    <s v="Development Other"/>
    <m/>
    <s v="Claudia Sanchez"/>
    <s v="Regional Coordinator Program Quality &amp; Impact"/>
    <s v="Claudia.Sanchez@care.org"/>
    <s v="Viviana Osorio"/>
    <s v="Regional Advocacy Advisor LAC"/>
    <s v="Viviana.Osorio@care.org"/>
    <s v="NO"/>
    <s v="YES"/>
    <s v="NO"/>
    <s v="Al 2030, mujeres trabajadoras del hogar de 6 paises en LAC  (Colombia, Mexico, Ecuador, Guatemala, Honduras y Brasil),  conocen, ejercen y demandan sus derechos humanos y laborales, impulsando un sistema de protección social que garantiza una vida digna y libre de violencia. La iniciativa gestiona un conjunto de estrategias enfocados en la creacion de alianzas y asocios nacionales y regionales para la incidencia politica para la ratificacion del convenio 189 y su implementacion en politica publica en cada pais, la comunicacion para el cambio de comportamiento de las y los empleadores, el aprendizaje y la gestion de conocimiento entre paises, el fortaleciento de las organizaciones de trabajadoras del hogar, que permitan lograr que 10 millones de trabajadoras del hogar al 2030 logren acceso a salario justo, acceso a seguridad social y acceso a un contrato digno de trabajo. Las condiciones en cada pais son distintas para alcanzar estas metas, por los cual los avances y estrategia por pais difieren segun los contextos y realidades especificos."/>
    <s v="Regional"/>
    <s v="Ecuador, Colombia, Guatemala, Honduras, Mexico y Brasil"/>
    <s v="Trabajadoras del Hogar remuneradas"/>
    <m/>
    <m/>
    <m/>
    <m/>
    <m/>
    <m/>
    <s v="Participantes directos&gt; Numero de Trabajadoras del hogar afiliadas a las organizaciones, Numero de tomadores de decision de Gobiernos en 6 paises (Congresistas, Ministros, otros politicos), numero de representantes de organizaciones socias afines a la problematica de los derechos de las trabajadoras del hogar, Numero de influenciadores / lideres de opinion sensibilizados, numero de personas que participan en actividades desarrolladas por con socios y aliados en favor de los derechos de las trabajadoras. Participantes indirectos&gt; Numero de personas (empleadores) sensibilizadas por campañas comunicacionales en favor de los derechos de las trabajadoras, Numero de trabajadoras del hogar sensibilizadas en sus derechos por alcance indirecto de otras trabajadoras del hogar, numero de trabajadoras del hogar que logran tener al menos 1 de 3 indicadores considerados: acceso a contrato de trabajo, acceso a seguridad social, acceso a un salario justo en los 6 paises en los que se desarrolla la iniciativa._x000a_NOTA: Todos los participantes totales de la IGS han sido reportados desde Ecuador. Para evitar doble conteo, este formulario no incluye cifras especificas para Colombia"/>
    <m/>
    <m/>
    <m/>
    <m/>
    <m/>
    <m/>
    <m/>
    <m/>
    <m/>
    <m/>
    <m/>
    <m/>
    <m/>
    <m/>
    <m/>
    <m/>
    <m/>
    <m/>
    <m/>
    <m/>
    <m/>
    <m/>
    <m/>
    <m/>
    <m/>
    <m/>
    <m/>
    <m/>
    <m/>
    <m/>
    <m/>
    <m/>
    <m/>
    <m/>
    <m/>
    <m/>
    <m/>
    <m/>
    <m/>
    <m/>
    <m/>
    <m/>
    <m/>
    <m/>
    <m/>
    <m/>
    <m/>
    <m/>
    <m/>
    <m/>
    <m/>
    <m/>
    <m/>
    <m/>
    <m/>
    <m/>
    <m/>
    <m/>
    <m/>
    <m/>
    <m/>
    <m/>
    <m/>
    <m/>
    <m/>
    <m/>
    <m/>
    <m/>
    <m/>
    <m/>
    <m/>
    <m/>
    <m/>
    <m/>
    <m/>
    <m/>
    <m/>
    <m/>
    <m/>
    <m/>
    <m/>
    <m/>
    <m/>
    <m/>
    <m/>
    <m/>
    <m/>
    <m/>
    <m/>
    <m/>
    <m/>
    <m/>
    <m/>
    <m/>
    <s v="YES"/>
    <m/>
    <m/>
    <m/>
    <s v="YES"/>
    <m/>
    <m/>
    <m/>
    <m/>
    <m/>
    <m/>
    <m/>
    <m/>
    <m/>
    <m/>
    <m/>
    <m/>
    <m/>
    <m/>
    <m/>
    <s v="YES"/>
    <m/>
    <m/>
    <m/>
    <m/>
    <m/>
    <m/>
    <m/>
    <m/>
    <m/>
    <m/>
    <m/>
    <s v="YES"/>
    <m/>
    <m/>
    <m/>
    <m/>
    <m/>
    <m/>
    <m/>
    <m/>
    <s v="NO"/>
    <m/>
    <m/>
    <m/>
    <s v="YES"/>
    <s v="June"/>
    <n v="2018"/>
    <s v="1) Desarrollar la linea de base por pais. 2) Desarrollar Encuestas de percepcion y cambio de actitudes y practicas (CAP) en diferentes actores involucrados en la inicitiva, para evaluar nivel de sensibilizacion e involucramiento respecto a la problematica de las trabajadoras del hogar"/>
    <x v="1"/>
    <s v="NO"/>
    <s v="NO"/>
    <s v="YES"/>
    <s v="YES"/>
    <s v="YES"/>
    <s v="YES"/>
    <s v="NO"/>
    <s v="YES"/>
    <s v="agenda politica comun entre org regionales de trabajadoras del hogar asi como entre las org en Colombia. Acompañamiento al fortalecimiento de las organizaciones de trabajadoras del hogar para el desarrollo de agendas de incidencia."/>
    <x v="1"/>
    <s v="El apoyo a las organizaciones de trabajadoras domésticas de México y Colombia para la expansión de sus afiliadas y la formación de los liderazgos femeninos en las organizaciones, así como la impementación de acciones de comunicación pública para sensibilizar a la sociedad civil sobre la problemetica y la falta de derechos de las trabajadoras del hogar. Se espera realizar una evaluacion en af18 para medir el cambio de actitudes y practicas sobre eun conjunto de actores involucrados en la iniciativa."/>
    <x v="1"/>
    <s v="En el primer año se han conformado las alianzas estratégicas bajo prioridades y enfoques comunes de actuación, vinculando a las organizaciones nacionales de trabajadoras del hogar con las organizaciones regionales en la propuesta de agendas y planes de accion comunes. Recordar que esta iniciativa se contruye sobre una primera fase que abarco acciones entre el 2010 al 2015 en 3 paises: Bolivia, Peru y Ecuador. Las lecciones aprendidas de esta experiencia, son las bases del diseño de la estrategia 2017 - 2030 en los 6 paises previstos para esta fase: Ecuador, Honduras, Guatemala, Colombia, Mexico y Brasil. Se ha trabajado en el acercamiento de las dos redes latinoamericanas de trabajo domestico *FITH y CONLACTRAO, asi como con la OIT. El acercamiento con Brasil se ha dado en los ultimos meses, se esta buscando movilizar nuevos recursos para poder afianzar un proyecto mayor con las organizaciones en Brasil (con apoyo de CARE Francia)"/>
    <x v="1"/>
    <x v="1"/>
    <s v="YES"/>
    <x v="0"/>
    <x v="0"/>
    <x v="1"/>
    <x v="4"/>
    <n v="3"/>
    <x v="2"/>
    <x v="1"/>
    <x v="1"/>
    <x v="1"/>
    <x v="1"/>
    <x v="2"/>
    <n v="4"/>
    <x v="1"/>
    <x v="2"/>
    <x v="1"/>
    <x v="2"/>
    <x v="3"/>
    <n v="1"/>
    <x v="2"/>
    <x v="2"/>
    <m/>
    <s v="Labor union(s)"/>
    <s v="Local NGO(s)/CSO(s)"/>
    <s v="Multilateral organization(s)"/>
    <x v="0"/>
    <s v="El apoyo a las organizaciones de trabajadoras domésticas de Honduras, Guatemala, Ecuador, México y Colombia para la expansión de sus afiliadas y la formación de los liderazgos femeninos en las organizaciones, así como la impementación de acciones de comunicación pública para sensibilizar a la sociedad a cerca del valor del trabajo doméstico"/>
    <s v="La inicitiva tuvo mucho interes en consolidar las acciones de fortalecimiento del nivel regional de las organizaciones de trabajadoras del hogar, lo mismo establacer las alianzas con paises de no presencia de CARE como los son Mexico y Colombia, donde se han desarrollado los asocios con las organizaciones y sindicatos de trabajadoras en cada pais, asi como con organizaciones afines de fortalecimiento organizacional, ademas de continuar con los asocios con las organizaciones en Guatemala, Ecuador y Honduras. Un primer a;o de sentar las bases del asocio en 6 paises, lo mismo consolidar los asocios con OIT en el nivel regional fueron las prioridades del equipo en este primer año. Otro tema fue el apoyo a las campañas de sensibilizacion y eventos publicos (foros abiertos) dirigidas a la sociedad civil sobre la situacion de las trabajadoras del hogar, en especial en Mexico, Guatemala, Colombia y Honduras. Un tema importante ha sido diseñar un conjunto de indicadores de resultado que permitan consolidar los avances de la incidencia politica en cada pais. Si bien en el año 1 estos indicadores estuvieron mas concentrados en la generacion de redes y asocios, en el año 2 se proponen nuevas metas como son definir cambios en las politicas publicas existentes, formar plataformas de incidencia por pais, incrementar el numero de afiliadas a las organizaciones, desarrollar mayores investigaciones sobre la situacion de las trabajadoras en cada pais que sirvan como evidencia para la incidencia politica, involucrar a mayor numero de congresistas y actores de gobierno al movimiento por los derechos de las trabajadoras, entre otros.....ello con el fin de trabajar los 2 proximos años en los cambios necesarios en las leyes y la normativa existente que puedan generar las condiciones para el cumplimiento de los 3 indicadores propuestos: incremento de salario basico, incremento de acceso a seguridad social, incremento en numerode contratos. se esera que al 2020 al menos 5 millones de trabajadoras sean alcanzadas por estos beneficios en los 6 paises en los que trabaja la iniciativa."/>
    <s v="El poder catalizador de las alianzas es un modelo de actuación vital para el logro de los objetivos del programa, en especial considerando la estrategia multidimensional expresada en nuestra teoría de cambio para transformar las condiciones laborales y la vida de las trabajadoras del hogar. Además de hace posible la mayor movilización de recursos, la experiencia y el conocimiento de los diversos actores es el activo mas valioso que las alianzas estratégicas permiten capitalizar para el desarrollo de la IGS.                                                                                                                                                                                                                                             Adicionalmente, la unidad y la articulación de las organizaciones de las trabajadoras domésticas es el enfoque más exitoso para la representación política, ya que incrementa la visibilidad política, el poder de negociación de las mismas y propicia agendas políticas menos diversas. La apuesta del Programa es que las organizaciones existentes amplíen sus bases, desarrollen sus liderazgos, sean sostenibles y avancen en redes y alianzas para su mayor capacidad de incidencia."/>
    <s v="El desarrollo de un nuevo modelo de presencia de CARE para expandir la acción a países en los cuales no se cuenta con oficina, ha sido exitoso en el primer año del proyecto. De esta manera, en México y Colombia, con la actuación con socios estratégicos y los sindicatos más fuertes de trabajadoras domésticas, los objetivos del programa avanzan de manera exitosa e incluso generando experiencias exitosas para replicar en otros países de la región."/>
    <s v="El social business aplicado a las organizaciones de trabajadoras domésticas  hace possible la formalización laboral, la profesionalización y cualificación de las trabajadoras. Asimismo, tiene importantes efectos en la organización sindical, como su sostenibilidad financiera, la ampliación de sus bases, el ejercicio de la negociación colectiva, entre otros. Tras su sistematización, será un modelo susceptible de ser replicado"/>
    <s v="Es fundamental que los procesos de diseño y la implementación de las estrategias de incidencia y de comunicación pública se articulen a los procesos de este tipo que ya adelantan las organizaciones en sus respetivos países, reconociendo su conocimiento, experiencia y comprensión del contexto. Desde este reconocimiento, nuestras estrategias deben recoger las prioridades comunes, potenciar las capacidades de los actores y proporcionar una visión del panorama político regional y global para una articulación colectiva en propósitos comunes.  De otro lado, el proceso de conformación de alianzas y asocios hace posible ver con mayor claridad las necesidades de la región a partir del conocimiento de lo que los múltiples actores han adelantado para promover los derechos d elas trabjaadoras domésticas."/>
    <s v="La conformación de plataformas a nivel nacional y regional determinarán formas de actuación y roles distintos para CARE, dependiendo del modelo de presencia y la relación con los socios y aliados en cada país. En el caso de los países donde tenemos oficina, es el equipo nacional quien tiene la iniciativa y el equipo regional apoya sus decisiones; en el caso de los países donde tenemos asocios fuertes, apoyaremos la constitución de las plataformas brindando soporte técnico, político y financiero. En el nivel regional se privilegiará nuestro rol articulador y dinamizador de procesos, pues esta es una gestión que no está siendo realizada por otros actores y es el valor agregado del trabajo que CARE puede realizar y posicionarse desde este espacio en la temática y en el contexto latinoamericano."/>
    <s v="Se requiere generar espacios de diálogo, intercambio y trabajo conjunto entre FITH y CONLACTRAHO, tomando en cuenta los ritmos y situación organizativa de cada una y aportando técnica y políticamente para su consolidación como expresión regional de las trabajadoras del hogar. Esto considerando además la improtancia de traducir en estrategias y actividades conjuntas el acuerdo de articulación para la acción en América Latina."/>
    <s v="EL FORMULARIO NO INCLUYE DATA DE PRESUPUESTO NI PARTICIPANTES PORQUE TODOS ESTAN REPORTADOS BAJO EL CONSOLIDADO REPORTADO POR ECUADOR_x000a_La gestión del conocimiento y la experiencia adquirida (ver sistematización de la experiencia del Programa Regional de Trabajo Digno 2009-2017), ha permitido avanzar más rápido en la relación con las organizaciones y consolidación de acuerdos de confianza y trabajo conjunto._x000a_Los procesos de formación que impulsamos al considerar a los seres humanos como un todo integral, potencia las capacidades individuales y colectivas y aporta a la conformación de liderazgos de nuevo tipo, que enfrentan desde una práctica distinta, a las prácticas de los sindicatos tradicionales jerárquicos, patriarcales y que invisibilizan el trabajo doméstico._x000a_La necesidad de contar con indicadores de resultado anual para dar cuenta de los logros y resultados de incidencia de manera cuantitativa y cualitativa. Se ha trabajado una matriz de indicadores en este sentido que han sido completados al final del primer año por los 5 paises en los que se ha implementado la iniciative este año. Se han propuesto un conjunto nuevo de indicadores de resultado de incidencia para el año 2 como parte del sistema de MyE escalonado (o en fases) diseñado para la iniciativa. Se propone monitorear estos avances de manera trimestral en el AF18."/>
    <s v="i) Marco lógico; ii) Informe anual regional y por país. iii) sistematización de la experiencia del Programa Regional de Trabajo Digno 2009-2017) iv) Video Trabajadoras del Hogar:  https://www.dropbox.com/s/b9loiehxnohuknc/CARE_WORKSHOP_1080P_h264_FINAL_Spanish.mov?dl=0"/>
    <n v="0"/>
    <n v="0"/>
    <s v=""/>
    <s v=""/>
    <s v=""/>
    <n v="0"/>
    <n v="0"/>
    <s v=""/>
    <n v="0"/>
    <n v="0"/>
    <s v=""/>
    <s v=""/>
    <n v="0"/>
    <n v="0"/>
    <s v=""/>
    <s v=""/>
    <n v="0"/>
    <n v="0"/>
    <s v=""/>
    <n v="1"/>
    <n v="0"/>
    <n v="0"/>
    <s v=""/>
    <n v="1"/>
    <n v="0"/>
    <n v="0"/>
    <s v=""/>
    <s v="3. Responsive"/>
    <s v="4. Transformational"/>
    <s v="1. Neutral"/>
    <s v="It tested new ways for fighting poverty, but did not measure results of innovation"/>
    <s v="Moderate advocacy"/>
    <s v="It linked and worked with strategic alliances and partners to take tested and effective solutions to scale"/>
  </r>
  <r>
    <x v="30"/>
    <x v="4"/>
    <n v="2977"/>
    <s v="Mejora de la Seguridad Alimentaria y la Resiliencia a traves de agricultura sostenible en comunidades rurales del corredor seco en El Quiché, Guatemala"/>
    <s v="Guatemala"/>
    <s v="OFDAGT0002"/>
    <s v="CARE USA"/>
    <s v="Government"/>
    <s v="Government - US"/>
    <s v="OFDA"/>
    <m/>
    <m/>
    <m/>
    <m/>
    <m/>
    <m/>
    <m/>
    <m/>
    <m/>
    <m/>
    <m/>
    <m/>
    <m/>
    <m/>
    <m/>
    <m/>
    <m/>
    <m/>
    <m/>
    <m/>
    <m/>
    <m/>
    <m/>
    <m/>
    <m/>
    <m/>
    <m/>
    <m/>
    <m/>
    <m/>
    <m/>
    <m/>
    <m/>
    <m/>
    <m/>
    <m/>
    <m/>
    <m/>
    <m/>
    <m/>
    <m/>
    <m/>
    <m/>
    <m/>
    <m/>
    <d v="2015-10-01T00:00:00"/>
    <d v="2017-09-30T00:00:00"/>
    <m/>
    <s v="Humanitarian Food &amp; Nutrition Security and Resilience to Climate Change"/>
    <n v="490033"/>
    <s v="Ada Zambrano"/>
    <s v="Directora de Pais"/>
    <s v="ada.zambrano@care.org"/>
    <s v="Amilcar Mirón"/>
    <s v="Coordinador de Calidad Programatica y Movilizacion de Recursos"/>
    <s v="wilfredo.miron@care.org"/>
    <s v="YES"/>
    <s v="NO"/>
    <s v="NO"/>
    <s v="Reducir la inseguridad alimentaria mediante la mejora de la resiliencia y los medios de subsistencia de pequeños agricultores."/>
    <s v="Sub-National"/>
    <s v="Municipios de San Pedro Jocopilas y San Bartolome Jocotenango departamento de Quiché, Guatemala"/>
    <s v="Pequeños agricultores, hombres y mujeres indigenas de las comunidades rural ubicadas en el corredor seco ampliado del altiplano occidental de Guatemala que viven en condiciones de pobreza e inseguridad alimentaria."/>
    <n v="3000"/>
    <n v="3000"/>
    <n v="6000"/>
    <n v="21817"/>
    <n v="20960"/>
    <n v="42777"/>
    <s v="Los participantes directos son las personas, hombres y mujeres que participan y se benefician de las actividades que implementa el proyecto, que por la naturaleza del proyecto se han tomado en cuenta todos los miembros de las familias que participan, las cuales fueron definidas por sus condiciones precarias de inseguridad alimentaria, número de miembros, condiciones de pobreza y vulnerables ante los efectos de la sequia, especialmente en la produccion de alimentos. participantes indirectos son todas las demás familias que integran las comunidades en donde el proyecto tiene intervencion, quienes obtienen un beneficio al obtener ejemplos enseñanzas y  practicas que desarrollan los participantes directos del proyecro."/>
    <m/>
    <n v="844"/>
    <n v="809"/>
    <n v="1653"/>
    <n v="6010"/>
    <n v="5775"/>
    <n v="11785"/>
    <m/>
    <m/>
    <m/>
    <m/>
    <m/>
    <m/>
    <m/>
    <m/>
    <m/>
    <m/>
    <m/>
    <m/>
    <s v="YES"/>
    <n v="1653"/>
    <n v="0.51"/>
    <n v="11785"/>
    <m/>
    <m/>
    <m/>
    <m/>
    <m/>
    <m/>
    <m/>
    <m/>
    <m/>
    <m/>
    <m/>
    <m/>
    <s v="Yes"/>
    <n v="252"/>
    <n v="0.93"/>
    <n v="1260"/>
    <m/>
    <m/>
    <m/>
    <m/>
    <m/>
    <m/>
    <m/>
    <m/>
    <m/>
    <m/>
    <m/>
    <m/>
    <m/>
    <m/>
    <m/>
    <m/>
    <m/>
    <m/>
    <m/>
    <m/>
    <m/>
    <m/>
    <m/>
    <m/>
    <m/>
    <m/>
    <m/>
    <m/>
    <m/>
    <m/>
    <m/>
    <m/>
    <m/>
    <m/>
    <m/>
    <m/>
    <m/>
    <m/>
    <m/>
    <m/>
    <m/>
    <m/>
    <m/>
    <m/>
    <m/>
    <m/>
    <m/>
    <m/>
    <m/>
    <m/>
    <m/>
    <m/>
    <m/>
    <m/>
    <m/>
    <m/>
    <m/>
    <m/>
    <m/>
    <m/>
    <m/>
    <m/>
    <m/>
    <m/>
    <m/>
    <m/>
    <m/>
    <m/>
    <m/>
    <m/>
    <m/>
    <m/>
    <m/>
    <m/>
    <m/>
    <m/>
    <m/>
    <m/>
    <m/>
    <m/>
    <m/>
    <m/>
    <m/>
    <m/>
    <m/>
    <m/>
    <m/>
    <m/>
    <m/>
    <m/>
    <m/>
    <m/>
    <m/>
    <m/>
    <m/>
    <m/>
    <s v="NO"/>
    <m/>
    <m/>
    <s v="NO"/>
    <s v="NO"/>
    <m/>
    <m/>
    <s v="Como parte del cierre del proyecto a septiembre 2017, actualmente se estaran sistematizando algunas experiencias e historias de vida de personas partipantes con base a la metodologia del Cambio Mas Significativo CMS, el cual busca aportar información cualitativa relacionada a os resultados del proyecto en la vida de las personas y familias."/>
    <x v="0"/>
    <s v="NO"/>
    <s v="NO"/>
    <s v="NO"/>
    <s v="NO"/>
    <s v="NO"/>
    <s v="NO"/>
    <s v="NO"/>
    <s v="YES"/>
    <s v="desd las municipalidades promovió el apoyo complementario de algunas acciones que el proyecto desarrolló, por ejemplo la dotación de canales para recopilar el agua de lluvia de los techos para almacenarlo y usar en los huertos familiares, de los participantes que no pueden comprar"/>
    <x v="1"/>
    <s v="Practica de cosecha de agua de lluvia y microriego para la producción de alimentos, practicas familiares para el mejor aprovechamiento nutricional de la produccion agrícola local, introducción de nuevas variedades de semillas resistentes a sequia, estructuras de secado y almacenamiento de granos, implementacion de la metodologia VSLA, implementación de Sistema de alerta temprana en codisiones de INSAN."/>
    <x v="1"/>
    <s v="Mejor aprovechamiento nutricional de la producción agrícola mediante técnicas de preparación de alimentos con base a un recetario de preparacion de alimentos elaborado dentro del proyecto y de manera participativa. Sistemas familiares de cosecha de agua de lluvia que asegura el ciclo de produccion de hortalizas. Introduccion de nuevas variedades de maiz y frijol adaptadas a las condiciones de sequia que mejora la produccion y disponibilidad de granos."/>
    <x v="1"/>
    <x v="0"/>
    <s v="YES"/>
    <x v="0"/>
    <x v="0"/>
    <x v="0"/>
    <x v="0"/>
    <n v="4"/>
    <x v="1"/>
    <x v="1"/>
    <x v="1"/>
    <x v="1"/>
    <x v="1"/>
    <x v="1"/>
    <n v="4"/>
    <x v="3"/>
    <x v="1"/>
    <x v="2"/>
    <x v="1"/>
    <x v="5"/>
    <n v="2"/>
    <x v="0"/>
    <x v="3"/>
    <n v="3"/>
    <s v="Local government(s)"/>
    <m/>
    <m/>
    <x v="2"/>
    <s v="Promoción de grupos de mujeres organizados en torno a la metodología del VSLA. Formación y capacitacion a un grupo de promotores agrícolas."/>
    <s v="Se promovio y se aseguro una mejor participación de las mujeres en los espacios de tomas de decisiones grupales, fundamentalmente en los grupos VSLA en donde  la conformacion de las juntas directivas estan integradas por una amplia mayoria de mujeres y hacia quienes se les ha dado acompañamiento y capacitación para mejora sus conocimientos y tener mejora capacidad de particiación y toma de decisiones."/>
    <s v="Formacion de promotores agricolas comunitarios."/>
    <s v="La implementación de la metodología VSLA"/>
    <s v="Intercambios de experiencias y giras educativas"/>
    <s v="El proceso de formación desarrollado con los pequeños agricultores, mediante demostraciones y prácticas concretas sobre el mejoramiento de la producción agrícola a pequeña escala, demuestra cambios en su manera de pensar y actuar en el manejo de sus parcelas agrícolas, beneficiando el mejoramiento de vida familiar"/>
    <s v="La aplicación de la metodologia VSLA especialmente con grupos de mujeres, ha demostrado resultados significativos en las personas participantes, quienes además de promoverles conciencia y práctica ordinaria en el ahorro, tambien les ha permitido mayor autoestima, participación y liderazgo, transformando su manera de actuar en el ambiente grupal y comunitario."/>
    <s v="para que el asocio o alianza con las entidades gubernamentales sea efectivo, requiere desarrollarlo tanto desde la parte formal, mediante convenios, así como desde el establecimiento de relaciones amistosas que facilite la coordinación y ejecución de actividades conjuntas."/>
    <s v="el proyecto Seguridad Alimentaria y Resiliencia, estará culminando el 30 de septiembre del 2017 por lo que los datos de participantes acá indicados, son practicamente definitivos, por lo que el período julio-septiembe- no presentará mayor movimiento de este dato."/>
    <s v="Metodologia de VSLA, Narrativa del proyecto, Informe trimestrales, linea base, Informe post cosecha, Marco lógico, Base de datos de Monitoreo y evaluación._x000a__x000a_Documentos del proyecto: https://www.dropbox.com/sh/fspoya5mpmhp9u8/AAB977vfQDADxTCZQO_JE8sKa?dl=0"/>
    <n v="1653"/>
    <n v="11785"/>
    <n v="7.1294615849969754"/>
    <n v="0.51058681185722932"/>
    <n v="0.50997030123037757"/>
    <n v="844"/>
    <n v="6010"/>
    <n v="1"/>
    <n v="1653"/>
    <n v="11785"/>
    <n v="7.1294615849969754"/>
    <n v="1"/>
    <n v="1653"/>
    <n v="11785"/>
    <n v="7.1294615849969754"/>
    <s v=""/>
    <n v="0"/>
    <n v="0"/>
    <s v=""/>
    <s v=""/>
    <n v="0"/>
    <n v="0"/>
    <s v=""/>
    <s v=""/>
    <n v="0"/>
    <n v="0"/>
    <s v=""/>
    <s v="2. Sensitive"/>
    <s v="2. Accommodating"/>
    <s v="3. Responsive"/>
    <s v="It tested new ways for fighting poverty, but did not measure results of innovation"/>
    <s v="Little or no advocacy"/>
    <s v="It linked and worked with strategic alliances and partners to take tested and effective solutions to scale"/>
  </r>
  <r>
    <x v="30"/>
    <x v="4"/>
    <n v="2966"/>
    <s v="Mejorando la Capacidad de Resisliencia y a la Respuesta a Desastres de Poblaciones expuestas a Multi-Amenazas en el Departamento de Quiché, Guatemala."/>
    <s v="Guatemala"/>
    <s v="FR779 - CFRAGT0008"/>
    <s v="CARE France"/>
    <s v="Government"/>
    <s v="EU - European Union (other than ECHO)"/>
    <s v="ECHO"/>
    <m/>
    <m/>
    <m/>
    <m/>
    <m/>
    <m/>
    <m/>
    <m/>
    <m/>
    <m/>
    <m/>
    <m/>
    <m/>
    <m/>
    <m/>
    <m/>
    <m/>
    <m/>
    <m/>
    <m/>
    <m/>
    <m/>
    <m/>
    <m/>
    <m/>
    <m/>
    <m/>
    <m/>
    <m/>
    <m/>
    <m/>
    <m/>
    <m/>
    <m/>
    <m/>
    <m/>
    <m/>
    <m/>
    <m/>
    <m/>
    <m/>
    <m/>
    <m/>
    <m/>
    <m/>
    <d v="2017-04-01T00:00:00"/>
    <d v="2017-09-30T00:00:00"/>
    <d v="2017-10-31T00:00:00"/>
    <s v="Humanitarian Food &amp; Nutrition Security and Resilience to Climate Change"/>
    <n v="670020"/>
    <s v="Ada Zambrano"/>
    <s v="Directora de Pais"/>
    <s v="ada.zambrano@care.org"/>
    <s v="Amilcar Mirón"/>
    <s v="Coordinador de Calidad Programatica y Movilizacion de Recursos"/>
    <s v="wilfredo.miron@care.org"/>
    <s v="YES"/>
    <s v="NO"/>
    <s v="NO"/>
    <s v="Reducir las vulnerabilidades institucionales, educativas, y sociales; mejorar la capacidad de resiliencia ante escenarios de multi-amenazas de las comunidades de los municipios de San Pedro Jocopilas y San Bartolomé Jocotenango, del departamento de Quiché, al final del proyecto."/>
    <s v="Sub-National"/>
    <s v="Municipios de San Pedro Jocopilas y San Bartolome Jocotenango departamento de Quiché, Guatemala"/>
    <s v="Población expuesta a altos grados de riesgo y vulnerbilidad por amenaza de sequía, incendios forestales, sismos y derrumbes, dentro del área de cobertura (mujeres, hombres, niños, niñas, adolescentes, personas con discapacidad y adultos mayores)."/>
    <n v="10391"/>
    <n v="10139"/>
    <n v="20530"/>
    <n v="21817"/>
    <n v="20960"/>
    <n v="42777"/>
    <s v="Los participantes directos son todos los hombres, mujeres, adolescentes, niños/as y autoridades municipales que componen la población total de las 22 comunidades priorizadas por el proyecto y sus cabeceras municipales; ya que de acuerdo al objetivo del proyecto y su naturaleza, la organización y capacitación de las coordinadoras locales favorece directamente a toda la población que componen el sector priorizado. El equipamiento y las obras trabajadas son de beneficio para la comunidad y el trabajo con autoridades municipales permite que el alcance sea total. Para realizar el cálculo, se cuenta con un censo de la población total de las áreas de intervención, planillas de participantes y cuadros de registro de la población que queda acreditada y reconocida por medio del ente rector. _x000a__x000a_Los participantes indirectos son todos los que se ha beneficiado, o son impactados por el proyecto, por medio de acciones específicas, como lo son las campañas de sensibilización (spots radiales y televisivos, ferias temáticas, celebraciones del día internacional para la reduccion de riesgo a desastres, perifonéos, etc.). Estos son calculados en un monitoreo de población que asiste a días de plaza, y constancias de alcance radial y televisivo de las empresas contratadas."/>
    <m/>
    <n v="10391"/>
    <n v="10139"/>
    <n v="20530"/>
    <n v="21817"/>
    <n v="20960"/>
    <n v="42777"/>
    <s v="NO"/>
    <m/>
    <m/>
    <m/>
    <s v="NO"/>
    <m/>
    <m/>
    <m/>
    <s v="NO"/>
    <m/>
    <m/>
    <m/>
    <s v="NO"/>
    <m/>
    <m/>
    <m/>
    <s v="NO"/>
    <m/>
    <m/>
    <m/>
    <s v="YES"/>
    <n v="20530"/>
    <n v="0.50600000000000001"/>
    <n v="42777"/>
    <s v="NO"/>
    <m/>
    <m/>
    <m/>
    <s v="Yes"/>
    <n v="20530"/>
    <n v="0.50600000000000001"/>
    <n v="42777"/>
    <s v="NO"/>
    <m/>
    <m/>
    <m/>
    <s v="NO"/>
    <m/>
    <m/>
    <m/>
    <s v="NO"/>
    <m/>
    <m/>
    <m/>
    <s v="NO"/>
    <m/>
    <m/>
    <m/>
    <m/>
    <s v="NO"/>
    <m/>
    <m/>
    <m/>
    <m/>
    <m/>
    <m/>
    <m/>
    <m/>
    <m/>
    <m/>
    <m/>
    <m/>
    <m/>
    <m/>
    <m/>
    <m/>
    <m/>
    <m/>
    <m/>
    <m/>
    <m/>
    <m/>
    <m/>
    <m/>
    <m/>
    <m/>
    <m/>
    <m/>
    <m/>
    <m/>
    <m/>
    <m/>
    <m/>
    <m/>
    <m/>
    <m/>
    <m/>
    <m/>
    <m/>
    <m/>
    <m/>
    <m/>
    <m/>
    <m/>
    <m/>
    <m/>
    <m/>
    <m/>
    <m/>
    <m/>
    <m/>
    <m/>
    <m/>
    <m/>
    <m/>
    <m/>
    <m/>
    <m/>
    <m/>
    <m/>
    <m/>
    <m/>
    <m/>
    <m/>
    <m/>
    <m/>
    <m/>
    <m/>
    <m/>
    <m/>
    <m/>
    <m/>
    <m/>
    <m/>
    <m/>
    <m/>
    <m/>
    <m/>
    <s v="NO"/>
    <m/>
    <m/>
    <s v="NO"/>
    <s v="YES"/>
    <s v="September"/>
    <n v="2017"/>
    <s v="Como parte del cierre del proyecto a septiembre 2017, se llevarppa a cabo la evaluación final del proyecto, así como la evaluación CAP final."/>
    <x v="1"/>
    <s v="NO"/>
    <s v="NO"/>
    <s v="NO"/>
    <s v="YES"/>
    <s v="NO"/>
    <s v="NO"/>
    <s v="YES"/>
    <s v="YES"/>
    <s v="Se promueve la creación de Unidades Municipales para la Gestión Integral del Riesgo, en las cuales es asignado un técnico municipal para asumir responsabilidad, y en donde en ambas municipalidades se plantea asignar presupuesta para su funcionalidad."/>
    <x v="1"/>
    <s v="Se promueven acciones para la práctica de protección de medios de vida, y adaptación al cambio climático (sistemas de cosecha de agua de lluvia, implmentación de huertos familiares, siembra de árboles frutales adaptados a condiciones de sequía, entrega de botiquines pecuarios para el cuidado de animales para consumo y venta.)"/>
    <x v="1"/>
    <s v="Se trabaja coordinadamente con las instituciones rectoras para asegurar la vinculación y sostenibilidad de los procesos; así como el empoderamiento y relación de instituciones y comunidades. En el tema de protección de medios de vida, se trabaja fuertemente con el acompañamiento del Ministerio de Agricultura; los proceosos de formación y conformación de coordinadoras para respuesta son trabajados con la CONRED y Ministerio de Educación. Las otras oficinas fuertemente ligadas son: Dirección Municipal de la Mujer, Oficina Municipal de la Niñez y Juventud, Ofcina Forestal, Dirección de Planificación Municipal, Ministerio de Salud."/>
    <x v="1"/>
    <x v="0"/>
    <s v="YES"/>
    <x v="0"/>
    <x v="0"/>
    <x v="0"/>
    <x v="0"/>
    <n v="4"/>
    <x v="1"/>
    <x v="1"/>
    <x v="1"/>
    <x v="1"/>
    <x v="1"/>
    <x v="1"/>
    <n v="4"/>
    <x v="3"/>
    <x v="1"/>
    <x v="1"/>
    <x v="1"/>
    <x v="4"/>
    <n v="3"/>
    <x v="0"/>
    <x v="2"/>
    <n v="2"/>
    <s v="Local alliance(s)/Platform(s)/Network(s) of  NGOs/CSOs"/>
    <s v="Local government(s)"/>
    <m/>
    <x v="0"/>
    <s v="El proyecto contempla la conformación y formación de Coordinadoras Locales para la Respuesta, así como la conformación de los Comités Escolares para Respuesta y formación de un grupo de voluntarios a nivel municipal. Todo este fortalecimeinto y organización es a nivel comunitario, y es a partir del fortalecimiento de la sociedad civil."/>
    <s v="Por medio de la metodología de diagnósticos de medios de vida, se identifcaron algunas prácticas que son factibles y sostenibles, para el cuidado y mejora de la calidad de animales de patio; se realizaron ajustes y coordinaciones con el Ministerio de Agricultura, para proveeer y capacitar a los comunitarios, en el uso y manejo de un botiquín pecuario; acción que no se contemplaba dentro del proyecto, pero que fortalecia las prácticas de protección a medios de vida. Además de permitir trabajar con las comunidades, en la identificación de prácticas sostenibles que pueden mejorar significativamente sus nivles de incremento en la optimización de medios de vida."/>
    <s v="Organización comunitaria, inclusiva (considerar a las poblaciones más vulnerables dentro de la planificación y preaparación a desastres, permite ser más inclusivos y reconocer realemnte las necesidades de todos/as)"/>
    <s v="Intercambios de experiencias con socios que implementan acciones similares, para fortalecer procesos y establecer lineamientos homogéneos con el ente rector."/>
    <s v="Diagnósticos participativos que permitan que los y las involucradas se apropien y hagan uso de la información obtenida."/>
    <s v="Dentro de las necesidades que no pudieron abordarse al 100% con el proyecto, al querer abordar el tema de inclusión y equidad de género, son el balance entre las responsabilidades que las mujeres tienen dentro de la familia y la recarga que podría impmlicar participar en los procesos de formación del proyecto, tales como: volver a casa y encontrarse con las tareas que dejaron al salir; el cuidado de hijos que deben hacer, aún cuando participan con el proyecto; la carga de asumir un cargo de toma de decisiones dentro de las coordinadoras, cuando se reconoce que las tareas del hogar no son equitativamente distribuidas."/>
    <s v="La metodología utilizada para la elaboración y socialización del diagnóstico de medios de vida, permitió contar con representación significativa de las comunidades y autoridades municipales; promoviendo así el empoderamiento en el uso del mismo y el manejo de la información."/>
    <s v="El contar con un asocio durante la implementación del proyecto, se identifica como una práctica exitosa, en la busca de la sostenibilidad y empoderamiento de organizaciones locales."/>
    <s v="Aún cuando el proyecto inicia en abril del año 2016; las actividades de campo e intervención con comunidades, da inicio en el mes de junio 2017; por lo que todos los beneficiarios se ven reflejados directamente en el año fiscal actual. Es importante considerar que debido a encontrarse en su fase de cierre, los datos no varian en este período restante."/>
    <s v="Documentos del proyecto: https://www.dropbox.com/sh/7gvw5t27l5udfet/AAA7F4rUGUpuTkdqiXcQ28lia?dl=0"/>
    <n v="20530"/>
    <n v="42777"/>
    <n v="2.0836337067705797"/>
    <n v="0.5061373599610326"/>
    <n v="0.51001706524534207"/>
    <n v="10391"/>
    <n v="21817"/>
    <n v="1"/>
    <n v="20530"/>
    <n v="42777"/>
    <n v="2.0836337067705797"/>
    <n v="1"/>
    <n v="20530"/>
    <n v="42777"/>
    <n v="2.0836337067705797"/>
    <s v=""/>
    <n v="0"/>
    <n v="0"/>
    <s v=""/>
    <s v=""/>
    <n v="0"/>
    <n v="0"/>
    <s v=""/>
    <s v=""/>
    <n v="0"/>
    <n v="0"/>
    <s v=""/>
    <s v="2. Sensitive"/>
    <s v="2. Accommodating"/>
    <s v="4. Transformative"/>
    <s v="It tested new ways for fighting poverty, but did not measure results of innovation"/>
    <s v="Moderate advocacy"/>
    <s v="It linked and worked with strategic alliances and partners to take tested and effective solutions to scale"/>
  </r>
  <r>
    <x v="30"/>
    <x v="4"/>
    <n v="2973"/>
    <s v="Nutriendo el Futuro"/>
    <s v="Guatemala"/>
    <s v="CAPGGT0009, US865"/>
    <s v="CARE USA"/>
    <s v="Foundation"/>
    <s v="Other"/>
    <s v="Cargill Foundation"/>
    <m/>
    <m/>
    <m/>
    <m/>
    <m/>
    <m/>
    <m/>
    <m/>
    <m/>
    <m/>
    <m/>
    <m/>
    <m/>
    <m/>
    <m/>
    <m/>
    <m/>
    <m/>
    <m/>
    <m/>
    <m/>
    <m/>
    <m/>
    <m/>
    <m/>
    <m/>
    <m/>
    <m/>
    <m/>
    <m/>
    <m/>
    <m/>
    <m/>
    <m/>
    <m/>
    <m/>
    <m/>
    <m/>
    <m/>
    <m/>
    <m/>
    <m/>
    <m/>
    <m/>
    <m/>
    <d v="2013-09-01T00:00:00"/>
    <d v="2016-08-30T00:00:00"/>
    <d v="2019-08-31T00:00:00"/>
    <s v="Development Food &amp; Nutrition Security and Resilience to Climate Change"/>
    <n v="1795214"/>
    <s v="Ada Zambrano"/>
    <s v="Directora Nacional"/>
    <s v="ada.zambrano@care.org"/>
    <s v="Haroldo Chiquin"/>
    <s v="Coordinador de Proyecto"/>
    <s v="haroldo.chiquin@care.org"/>
    <s v="NO"/>
    <s v="YES"/>
    <s v="NO"/>
    <s v="Aumento de la Seguridad Alimentaria con Equidad de Género y Resiliencia al Cambio Climático"/>
    <s v="Multiple countries"/>
    <s v="El proyecto se implementó en los municipios de San Martín Jilotepeque, San Juan Comalapa de Chimaltenango, y zona 03 de ciudad de Guatemala. El proyecto tambien se implementó en Honduras, y Nicaragua."/>
    <s v="El proyecto se dirigió a dos grupos de impacto: Productores y productoras agrícolas de minivegetales y berries; piscicultores y porcicultores;  y familias con riesgo a inseguridad alimentaria y nutricional, tanto del área rural como del área urbana especialmente de Guatemala. La población de impacto son: productores, productoras, mujeres, niñas y niños escolares, padres de familia, docentes jovenes hombres y mujeres, lideres, lideresas y autoridades municipales."/>
    <n v="2907"/>
    <n v="2273"/>
    <n v="5180"/>
    <n v="9180"/>
    <n v="8820"/>
    <n v="18000"/>
    <s v="Productores y productoras de minivegetales y berries de 3 cadenas de valor_x000a_Familias con riesgo a inseguridad alimentaria y nutricional que tengan hijos matriculados en la escuela primaria"/>
    <m/>
    <m/>
    <m/>
    <m/>
    <m/>
    <m/>
    <m/>
    <m/>
    <m/>
    <m/>
    <m/>
    <m/>
    <m/>
    <m/>
    <m/>
    <m/>
    <m/>
    <m/>
    <m/>
    <m/>
    <m/>
    <m/>
    <m/>
    <m/>
    <m/>
    <m/>
    <m/>
    <m/>
    <m/>
    <m/>
    <m/>
    <m/>
    <m/>
    <m/>
    <m/>
    <m/>
    <m/>
    <m/>
    <m/>
    <m/>
    <m/>
    <m/>
    <m/>
    <m/>
    <m/>
    <m/>
    <m/>
    <m/>
    <m/>
    <m/>
    <m/>
    <m/>
    <m/>
    <m/>
    <m/>
    <m/>
    <m/>
    <m/>
    <m/>
    <m/>
    <n v="4873"/>
    <n v="3630"/>
    <n v="8503"/>
    <n v="124110"/>
    <n v="91903"/>
    <n v="216013"/>
    <s v="YES"/>
    <n v="2298"/>
    <n v="0.75470000000000004"/>
    <n v="8921"/>
    <s v="YES"/>
    <n v="2298"/>
    <n v="0.75470000000000004"/>
    <n v="7813"/>
    <m/>
    <m/>
    <m/>
    <m/>
    <s v="YES"/>
    <n v="5688"/>
    <n v="0.4899"/>
    <n v="66768"/>
    <s v="YES"/>
    <n v="1647"/>
    <n v="0.88470000000000004"/>
    <n v="8291"/>
    <s v="YES"/>
    <n v="6394"/>
    <n v="0.48"/>
    <n v="22812"/>
    <s v="YES"/>
    <n v="8505"/>
    <n v="0.46789999999999998"/>
    <n v="121013"/>
    <s v="YES"/>
    <n v="1647"/>
    <n v="0.88470000000000004"/>
    <n v="3981"/>
    <s v="YES"/>
    <n v="8505"/>
    <n v="0.46789999999999998"/>
    <n v="19382"/>
    <m/>
    <m/>
    <m/>
    <m/>
    <m/>
    <m/>
    <m/>
    <m/>
    <m/>
    <m/>
    <m/>
    <m/>
    <s v="YES"/>
    <n v="2298"/>
    <n v="0.75470000000000004"/>
    <n v="12981"/>
    <s v="YES"/>
    <n v="1647"/>
    <n v="0.88470000000000004"/>
    <n v="16091"/>
    <s v="YES"/>
    <n v="8505"/>
    <n v="0.46789999999999998"/>
    <n v="102113"/>
    <s v="YES"/>
    <n v="1647"/>
    <n v="0.88470000000000004"/>
    <n v="7921"/>
    <m/>
    <m/>
    <m/>
    <m/>
    <m/>
    <s v="YES"/>
    <s v="May"/>
    <n v="2016"/>
    <s v="NO"/>
    <m/>
    <m/>
    <m/>
    <m/>
    <x v="2"/>
    <s v="YES"/>
    <s v="NO"/>
    <m/>
    <s v="YES"/>
    <s v="YES"/>
    <m/>
    <s v="NO"/>
    <m/>
    <m/>
    <x v="1"/>
    <m/>
    <x v="1"/>
    <m/>
    <x v="1"/>
    <x v="1"/>
    <s v="YES"/>
    <x v="0"/>
    <x v="0"/>
    <x v="1"/>
    <x v="4"/>
    <n v="3"/>
    <x v="2"/>
    <x v="1"/>
    <x v="1"/>
    <x v="1"/>
    <x v="2"/>
    <x v="5"/>
    <n v="3"/>
    <x v="3"/>
    <x v="1"/>
    <x v="2"/>
    <x v="1"/>
    <x v="5"/>
    <n v="2"/>
    <x v="0"/>
    <x v="3"/>
    <n v="6"/>
    <s v="Private sector"/>
    <s v="University/research institution(s)"/>
    <s v="National government"/>
    <x v="0"/>
    <m/>
    <s v=" - Mejoró su capacidad de relacionamiento con otros actores claves, con el propósito de involucrarlos como aliados estrategicos para multiplicar el impacto del proyecto Nutriendo el Futuro._x000a_- Fortaleció las capacidades de lideres y Lideresas locales a quien se les transfirío el conocimiento sobre las metodologías existosas para la producción y cambio de comportamiento._x000a_- se fortalecieron los roles del equipo técnicos y personal técnicos de los aliados estratégicos sobre monitoreo y evaluación para el seguimiento de los procesos, la transparencia y la rendición de cuentas."/>
    <s v="Estrategia de comunicación social para el cambio de comportamiento, basada en 04 mensajes claves"/>
    <s v="Metodología lúdica para trabajar la seguridad alimentaria y nutricional"/>
    <s v="Educación alimentaria y nutricional"/>
    <s v="Los cuatro mensajes clave difundidos en los territorios, incrementó la mejora de hábitos de consumo de frutas, vegetales, y mayor consumo de agua"/>
    <s v="Incorporar la metodología lúdica en la estrategia programática del proyecto, fue determinante para provocar cambios de comportamientos en la población de impacto."/>
    <s v="Formar a jóvenes y apoyar las redes júveniles fue importante para dejar capacidad instalada en los territorios. Los jóvenes son agentes multiplicadores de las técnicas y conocimientos en las comunidades locales."/>
    <m/>
    <s v="Documentos del proyecto: https://www.dropbox.com/sh/6ylupxh4qujit0v/AABjdFNXJtVh-tQCaC09NdGea?dl=0"/>
    <n v="8503"/>
    <n v="216013"/>
    <n v="25.404327884276139"/>
    <n v="0.57309184993531692"/>
    <n v="0.57454875401017536"/>
    <n v="4873"/>
    <n v="124110"/>
    <s v=""/>
    <n v="0"/>
    <n v="0"/>
    <s v=""/>
    <n v="1"/>
    <n v="8505"/>
    <n v="121013"/>
    <n v="14.228453850676074"/>
    <n v="1"/>
    <n v="1647"/>
    <n v="16091"/>
    <n v="9.7698846387370981"/>
    <n v="1"/>
    <n v="1647"/>
    <n v="3981"/>
    <n v="2.4171220400728597"/>
    <n v="1"/>
    <n v="1647"/>
    <n v="7921"/>
    <n v="4.8093503339404977"/>
    <s v="3. Responsive"/>
    <s v="3. Responsive"/>
    <s v="3. Responsive"/>
    <s v="It tested new ways for fighting poverty, but did not measure results of innovation"/>
    <s v="Intensive advocacy"/>
    <s v="It linked and worked with strategic alliances and partners to take tested and effective solutions to scale"/>
  </r>
  <r>
    <x v="30"/>
    <x v="4"/>
    <m/>
    <s v="Partners for Resilience Strategic Partnership"/>
    <s v="Guatemala"/>
    <s v="NL178 - CNLDGT0009"/>
    <s v="CARE Nederland"/>
    <s v="Government"/>
    <s v="Government - Netherlands"/>
    <s v="Ministry of Foreign Affairs of the Netherlands"/>
    <m/>
    <m/>
    <m/>
    <m/>
    <m/>
    <m/>
    <m/>
    <m/>
    <m/>
    <m/>
    <m/>
    <m/>
    <m/>
    <m/>
    <m/>
    <m/>
    <m/>
    <m/>
    <m/>
    <m/>
    <m/>
    <m/>
    <m/>
    <m/>
    <m/>
    <m/>
    <m/>
    <m/>
    <m/>
    <m/>
    <m/>
    <m/>
    <m/>
    <m/>
    <m/>
    <m/>
    <m/>
    <m/>
    <m/>
    <m/>
    <m/>
    <m/>
    <m/>
    <m/>
    <m/>
    <d v="2016-01-01T00:00:00"/>
    <d v="2019-12-31T00:00:00"/>
    <m/>
    <s v="Humanitarian Other"/>
    <n v="1020933"/>
    <s v="Edwin Kestler"/>
    <s v="Coordinador de Iniciativas"/>
    <s v="edwin.kestler@care.org"/>
    <s v="Carmen Wilson"/>
    <s v="Especialista MEL"/>
    <s v="carmen.wilson@care.org"/>
    <s v="YES"/>
    <s v="YES"/>
    <s v="YES"/>
    <s v="La población guatemalteca más vulnerable al cambio climático, degradación ambiental y desastres, incrementan su resiliencia luego de incorporar la gestión integral de riesgo en los procesos de desarrollo."/>
    <s v="Multiple countries"/>
    <s v="Guatemala a nivel nacional, los municipios Santa Catarina Ixtahuacan y Nahualá en el departamento de Sololá, los municipios de San Cristobal Acasaguastlan en el municipio en el departamento de El Progreso, los municipios de Zacapa, Usumatlán y Cabañas en el departamento de Zacapa, los municipios de Taxisco y Chiquimulilla en el departamento de Santa Rosa, municipio de Moyuta en el departamento de Jutiapa y municipio de Puerto Barrios en el departamento de Izabal.  Y a nivel regional los países  que conforman el Sistema de Integración Centroamericano (SICA)"/>
    <s v="La población guatemalteca y regional más vulnerable al cambio climático, degradación ambiental y desastres."/>
    <n v="334"/>
    <n v="309"/>
    <n v="643"/>
    <n v="308762"/>
    <n v="299263"/>
    <n v="608025"/>
    <s v="Participantes directos: Organizaciones de la sociedad civil, organizaciones locales (COCODES y COLREDES), empleados técnicos de los 10 municipios (OMM, DMP, OFM), tomadores de decisiones de los 10 municipios (COMUDES), funcionarios del sector público: MARN, CONRED, CONAP y SEGEPLAN y funcionarios regionales de CEPREDENAC."/>
    <m/>
    <n v="334"/>
    <n v="309"/>
    <n v="643"/>
    <n v="308762"/>
    <n v="299263"/>
    <n v="608025"/>
    <s v="NO"/>
    <m/>
    <m/>
    <m/>
    <s v="NO"/>
    <m/>
    <m/>
    <m/>
    <s v="YES"/>
    <n v="143"/>
    <n v="0.52"/>
    <n v="608025"/>
    <s v="NO"/>
    <m/>
    <m/>
    <m/>
    <s v="NO"/>
    <m/>
    <m/>
    <m/>
    <s v="YES"/>
    <n v="643"/>
    <n v="0.52"/>
    <n v="608025"/>
    <s v="NO"/>
    <m/>
    <m/>
    <m/>
    <s v="NO"/>
    <m/>
    <m/>
    <m/>
    <s v="YES"/>
    <n v="643"/>
    <n v="0.52"/>
    <n v="608025"/>
    <s v="NO"/>
    <m/>
    <m/>
    <m/>
    <s v="NO"/>
    <m/>
    <m/>
    <m/>
    <s v="NO"/>
    <m/>
    <m/>
    <m/>
    <m/>
    <m/>
    <m/>
    <m/>
    <m/>
    <n v="334"/>
    <n v="309"/>
    <n v="643"/>
    <n v="308762"/>
    <n v="299263"/>
    <n v="608025"/>
    <s v="NO"/>
    <m/>
    <m/>
    <m/>
    <s v="YES"/>
    <n v="643"/>
    <n v="0.52"/>
    <n v="608025"/>
    <s v="NO"/>
    <m/>
    <m/>
    <m/>
    <s v="YES"/>
    <n v="643"/>
    <n v="0.52"/>
    <n v="608025"/>
    <s v="NO"/>
    <m/>
    <m/>
    <m/>
    <s v="YES"/>
    <n v="143"/>
    <n v="0.52"/>
    <n v="608025"/>
    <s v="NO"/>
    <m/>
    <m/>
    <m/>
    <s v="NO"/>
    <m/>
    <m/>
    <m/>
    <s v="YES"/>
    <n v="643"/>
    <n v="0.52"/>
    <n v="608025"/>
    <s v="NO"/>
    <m/>
    <m/>
    <m/>
    <s v="NO"/>
    <m/>
    <m/>
    <m/>
    <s v="YES"/>
    <n v="643"/>
    <n v="0.52"/>
    <n v="608025"/>
    <s v="YES"/>
    <n v="643"/>
    <n v="0.52"/>
    <n v="608025"/>
    <s v="NO"/>
    <m/>
    <m/>
    <m/>
    <s v="NO"/>
    <m/>
    <m/>
    <m/>
    <s v="NO"/>
    <m/>
    <m/>
    <m/>
    <m/>
    <m/>
    <m/>
    <m/>
    <m/>
    <s v="NO"/>
    <m/>
    <m/>
    <s v="YES"/>
    <s v="YES"/>
    <s v="June"/>
    <n v="2018"/>
    <s v="Se tiene planificada una evaluación de medio término en 2018, la metodología principal utilizada para el sistema de M&amp;E de PfR es Cosecha de Alcances."/>
    <x v="2"/>
    <s v="YES"/>
    <s v="NO"/>
    <s v="YES"/>
    <s v="YES"/>
    <s v="YES"/>
    <s v="YES"/>
    <s v="NO"/>
    <m/>
    <m/>
    <x v="1"/>
    <s v="Elaboración y promoción de módulos de apoyo metodologico para la formación de niños y niñas en temas de Reducción de Riesgos de Desastres, Adapatación al Cambio Climático y Ecosistemas"/>
    <x v="1"/>
    <s v="Intercambio de información y experiencias en la aplicación de la herramienta para la incorporación de la equidad de género: Igualdad Casa Adentro"/>
    <x v="0"/>
    <x v="1"/>
    <s v="NO"/>
    <x v="0"/>
    <x v="0"/>
    <x v="1"/>
    <x v="4"/>
    <n v="2"/>
    <x v="2"/>
    <x v="1"/>
    <x v="1"/>
    <x v="1"/>
    <x v="2"/>
    <x v="5"/>
    <n v="3"/>
    <x v="3"/>
    <x v="1"/>
    <x v="1"/>
    <x v="1"/>
    <x v="4"/>
    <n v="3"/>
    <x v="3"/>
    <x v="2"/>
    <n v="6"/>
    <s v="International NGO(s)"/>
    <s v="National government"/>
    <s v="Local NGO(s)/CSO(s)"/>
    <x v="0"/>
    <s v="Fortalecimiento de capacidades en RRD, ACC, MRE de Asociación de Mujeres Madre Tierra"/>
    <m/>
    <s v="Fortalecimiento de capacidades de sociedad civil y organizaciones locales"/>
    <s v="Dialogo y trabajo coordinado con instituciones del gobierno central"/>
    <s v="Incidencia para incorporar los enfoques de gestión integral de riesgo y género en herramientas gubernamentales de planificación territorial"/>
    <s v="Se inició la construcción del plan regional del programa que se llevará a nivel de la subregión centroamericana"/>
    <s v="Los módulos educativos para la formación en RRD, ACC, MRE se mantiene como un producto importante para promover a diferentes niveles"/>
    <s v="El trabajo en alianza con todos los socios requiere de mayor comunicación y coordinación para la implementación de las actividades conjuntas"/>
    <s v="Existe la expectativa, de parte del donante y los socios en Holanda, por el plan regional centroamericano del PFR SP.  Hasta ahora los resultados a nivel nacional han sido satisfactorios pero se deben llevar a escala para aumentar su impacto en la región."/>
    <s v="Documento de diseño del programa._x000a__x000a_Documentos de la Iniciativa: https://www.dropbox.com/sh/p5vmtwykctmvn1o/AAA1uZtCHpVaPz8crj4AqrC4a?dl=0"/>
    <n v="643"/>
    <n v="608025"/>
    <n v="945.60653188180402"/>
    <n v="0.51944012441679632"/>
    <n v="0.50781135644093578"/>
    <n v="334"/>
    <n v="308762"/>
    <n v="1"/>
    <n v="643"/>
    <n v="608025"/>
    <n v="945.60653188180402"/>
    <n v="1"/>
    <n v="643"/>
    <n v="608025"/>
    <n v="945.60653188180402"/>
    <s v=""/>
    <n v="0"/>
    <n v="0"/>
    <s v=""/>
    <s v=""/>
    <n v="0"/>
    <n v="0"/>
    <s v=""/>
    <s v=""/>
    <n v="0"/>
    <n v="0"/>
    <s v=""/>
    <s v="3. Responsive"/>
    <s v="3. Responsive"/>
    <s v="4. Transformative"/>
    <s v="It tested new ways for fighting poverty, but did not measure results of innovation"/>
    <s v="Intensive advocacy"/>
    <s v="It linked and worked with strategic alliances and partners to take tested and effective solutions to scale"/>
  </r>
  <r>
    <x v="30"/>
    <x v="4"/>
    <n v="2972"/>
    <s v="Preparativos para la reducción de riesgos a desastres/Catapult to impact"/>
    <s v="Guatemala"/>
    <s v="MCARGT0001"/>
    <s v="CARE USA"/>
    <s v="Foundation"/>
    <s v="Other"/>
    <s v="Margaret A. Cargill Foundation"/>
    <m/>
    <m/>
    <m/>
    <m/>
    <m/>
    <m/>
    <m/>
    <m/>
    <m/>
    <m/>
    <m/>
    <m/>
    <m/>
    <m/>
    <m/>
    <m/>
    <m/>
    <m/>
    <m/>
    <m/>
    <m/>
    <m/>
    <m/>
    <m/>
    <m/>
    <m/>
    <m/>
    <m/>
    <m/>
    <m/>
    <m/>
    <m/>
    <m/>
    <m/>
    <m/>
    <m/>
    <m/>
    <m/>
    <m/>
    <m/>
    <m/>
    <m/>
    <m/>
    <m/>
    <m/>
    <d v="2015-08-01T00:00:00"/>
    <d v="2017-07-31T00:00:00"/>
    <m/>
    <s v="Humanitarian Other"/>
    <n v="77000"/>
    <s v="Amilcar Mirón"/>
    <s v="Coordinador Programático y Monivilización de recursos"/>
    <s v="wilfredo.miron@care.org"/>
    <s v="Edwin Kestler"/>
    <s v="Gerente proyecto PFR"/>
    <s v="edwin.kestler@care.org"/>
    <s v="YES"/>
    <s v="YES"/>
    <s v="YES"/>
    <s v="Fortalecimiento de capacidades a lo interno del personal de CARE Guatemala y CARE Honduras, así como el fortalecimiento de las coordinaciones entre organizaciones que trabajan por los derechos de las mujeres en la acción humanitaria"/>
    <s v="Regional"/>
    <s v="Guatemala y Honduras"/>
    <s v="Personal que integra el equipo de respuesta ante emergencias de CARE Guatemala y CARE Honduras.  Personal del ente rector de reducción de riesgos a desastres"/>
    <n v="708"/>
    <n v="480"/>
    <n v="1188"/>
    <n v="2500"/>
    <n v="2000"/>
    <n v="4500"/>
    <s v="Los participantes directos son: personal central del ente rector para la reducción de riesgos de desastres (SE CONRED) que participó en las capacitaciones de género en la GIR y género en emergencias, delegados territoriales del Ministerio de Ambiente y Recursos Naturales y SE CONRED, representantes de las organizaciones que integran la Mesa Interinstitucional de Medio ambiente y género.  Personal que implementa proyecto &quot;reducción de reisgosa desastres con enfoque de género en comunidades rurales de dos municipios del Quiché expuesta a multiamenazas.  Personal que integra al equipo de respuesta a emergencias de CARE Guatemala y CARE Honduras."/>
    <m/>
    <n v="177"/>
    <n v="179"/>
    <n v="356"/>
    <n v="1100"/>
    <n v="1200"/>
    <n v="2300"/>
    <s v="NO"/>
    <m/>
    <m/>
    <m/>
    <s v="NO"/>
    <m/>
    <m/>
    <m/>
    <s v="NO"/>
    <m/>
    <m/>
    <m/>
    <s v="NO"/>
    <m/>
    <m/>
    <m/>
    <s v="NO"/>
    <m/>
    <m/>
    <m/>
    <s v="YES"/>
    <n v="356"/>
    <n v="0.49"/>
    <n v="2300"/>
    <s v="NO"/>
    <m/>
    <m/>
    <m/>
    <s v="NO"/>
    <m/>
    <m/>
    <m/>
    <s v="YES"/>
    <n v="356"/>
    <n v="0.49"/>
    <n v="2300"/>
    <s v="NO"/>
    <m/>
    <m/>
    <m/>
    <s v="NO"/>
    <m/>
    <m/>
    <m/>
    <s v="NO"/>
    <m/>
    <m/>
    <m/>
    <m/>
    <s v="NO"/>
    <m/>
    <m/>
    <m/>
    <m/>
    <m/>
    <m/>
    <m/>
    <m/>
    <m/>
    <s v="NO"/>
    <m/>
    <m/>
    <m/>
    <s v="NO"/>
    <m/>
    <m/>
    <m/>
    <s v="NO"/>
    <m/>
    <m/>
    <m/>
    <s v="YES"/>
    <n v="356"/>
    <n v="0.49"/>
    <n v="2300"/>
    <s v="NO"/>
    <m/>
    <m/>
    <m/>
    <s v="NO"/>
    <m/>
    <m/>
    <m/>
    <s v="NO"/>
    <m/>
    <m/>
    <m/>
    <s v="NO"/>
    <m/>
    <m/>
    <m/>
    <s v="YES"/>
    <m/>
    <m/>
    <m/>
    <s v="NO"/>
    <m/>
    <m/>
    <m/>
    <s v="NO"/>
    <m/>
    <m/>
    <m/>
    <s v="NO"/>
    <m/>
    <m/>
    <m/>
    <s v="NO"/>
    <m/>
    <m/>
    <m/>
    <s v="NO"/>
    <m/>
    <m/>
    <m/>
    <s v="NO"/>
    <m/>
    <m/>
    <m/>
    <s v="NO"/>
    <m/>
    <m/>
    <m/>
    <m/>
    <s v="NO"/>
    <m/>
    <m/>
    <m/>
    <s v="NO"/>
    <m/>
    <m/>
    <s v="NO"/>
    <s v="NO"/>
    <m/>
    <m/>
    <m/>
    <x v="1"/>
    <s v="NO"/>
    <s v="NO"/>
    <s v="YES"/>
    <s v="YES"/>
    <s v="YES"/>
    <s v="NO"/>
    <s v="NO"/>
    <s v="NO"/>
    <m/>
    <x v="1"/>
    <s v="Se adaptó la metodología de las Directrices del IASC en una herramienta práctica que permite a los actores humanitarios guiar su accionar desde la mirada de género"/>
    <x v="1"/>
    <s v="Se realizaron alianzas con organizaciones a favor de los derechos de las mujeres como CEPREDENAC, OCHA, ONU Mujeres, quienes compartieron su experiencia a los equipos de respuesta de los paises centroamericanos"/>
    <x v="1"/>
    <x v="1"/>
    <s v="YES"/>
    <x v="0"/>
    <x v="0"/>
    <x v="1"/>
    <x v="4"/>
    <n v="3"/>
    <x v="2"/>
    <x v="1"/>
    <x v="1"/>
    <x v="1"/>
    <x v="2"/>
    <x v="5"/>
    <n v="3"/>
    <x v="3"/>
    <x v="2"/>
    <x v="1"/>
    <x v="1"/>
    <x v="5"/>
    <n v="2"/>
    <x v="2"/>
    <x v="1"/>
    <m/>
    <s v="Local government(s)"/>
    <s v="International NGO(s)"/>
    <s v="Local alliance(s)/Platform(s)/Network(s) of  NGOs/CSOs"/>
    <x v="2"/>
    <s v="En algunos procesos de fortalecimiento de capacidades se incluyo a la Asociación de Mujeres Rurales Madre Tierra"/>
    <s v="Se gestionó un aumento en el presupuesto para implementar un Encuentro Regional sobre la incorporación del enfoque de género en la evaluación de necesidades con el fin de construir un plan de acción regional cuyo objetivo sea incorporar la perspectiva de género en las evaluaciones durante la emergencia"/>
    <s v="Involucramiento de hombres en los procesos de sensibilización e incorporación del enfoque de género"/>
    <m/>
    <m/>
    <s v="Que es necesario realizar mas procesos de sensibilización en las instituciones para la incorporación del enfoque de género"/>
    <s v="Que dentro de las instituciones las oficinas/puntos focales de género no sean un elemento aislado, si no que se le brinde el acompañamiento para que su trabajo sea transversal a todo el quehacer institucional"/>
    <s v="Que si las herramientas se construyen de forma participativa, dentro del proceso se va generando mayor sensibilidad y se logra que quienes pudieran estar reacios a usarlas, las implementen en sus trabajos"/>
    <m/>
    <s v="Documentos del proyecto: https://www.dropbox.com/sh/lltln2gtara91cs/AAAl5FixA9gqCG1E7XRM0iATa?dl=0"/>
    <n v="356"/>
    <n v="2300"/>
    <n v="6.4606741573033704"/>
    <n v="0.49719101123595505"/>
    <n v="0.47826086956521741"/>
    <n v="177"/>
    <n v="1100"/>
    <n v="1"/>
    <n v="356"/>
    <n v="2300"/>
    <n v="6.4606741573033704"/>
    <n v="1"/>
    <n v="356"/>
    <n v="2300"/>
    <n v="6.4606741573033704"/>
    <s v=""/>
    <n v="0"/>
    <n v="0"/>
    <s v=""/>
    <s v=""/>
    <n v="0"/>
    <n v="0"/>
    <s v=""/>
    <s v=""/>
    <n v="0"/>
    <n v="0"/>
    <s v=""/>
    <s v="3. Responsive"/>
    <s v="3. Responsive"/>
    <s v="3. Responsive"/>
    <s v="It tested new ways for fighting poverty, but did not measure results of innovation"/>
    <s v="Moderate advocacy"/>
    <s v="It linked and worked with strategic alliances and partners to take tested and effective solutions to scale"/>
  </r>
  <r>
    <x v="30"/>
    <x v="4"/>
    <n v="2976"/>
    <s v="Programa Regional de Cambio Climático -PRCC-"/>
    <s v="Guatemala"/>
    <s v="US26C - TTARGT0001"/>
    <s v="CARE USA"/>
    <s v="Government"/>
    <s v="Government - US"/>
    <s v="USAID"/>
    <m/>
    <m/>
    <m/>
    <m/>
    <m/>
    <m/>
    <m/>
    <m/>
    <m/>
    <m/>
    <m/>
    <m/>
    <m/>
    <m/>
    <m/>
    <m/>
    <m/>
    <m/>
    <m/>
    <m/>
    <m/>
    <m/>
    <m/>
    <m/>
    <m/>
    <m/>
    <m/>
    <m/>
    <m/>
    <m/>
    <m/>
    <m/>
    <m/>
    <m/>
    <m/>
    <m/>
    <m/>
    <m/>
    <m/>
    <m/>
    <m/>
    <m/>
    <m/>
    <m/>
    <m/>
    <d v="2013-04-01T00:00:00"/>
    <d v="2018-03-31T00:00:00"/>
    <m/>
    <s v="Humanitarian Food &amp; Nutrition Security and Resilience to Climate Change"/>
    <n v="643301"/>
    <s v="Ada Zambrano"/>
    <s v="Directora Nacional"/>
    <s v="ada.zambrano@care.org"/>
    <s v="Roberto Chuc"/>
    <s v="Coordinador Técnico"/>
    <s v="jose.chuc@care.org"/>
    <s v="NO"/>
    <s v="YES"/>
    <s v="NO"/>
    <s v="Incidencia política en los temas de REDD y Salvaguardas Sociales y  Ambientales con multiples actores a nivel regional.  Armonizar e integrar regionalmente las estrategias REDD y sus protocolos de monitoreo, reporte y verificación."/>
    <s v="Multiple countries"/>
    <s v="El proyecto se implementa en conjunto con CATIE, UICN, DAI, TERRA GLOBAL, en los paises de Guatemala, El Salvador, Honduras, Costa Rica y República Domicana."/>
    <s v="Gobiernos nacionales y grupos representantivos de diversos sectores de sociedad civil,  entre ellos la academia, sector mujeres, pueblos indígenas y comunidades locales, sector privado, ambientalistas."/>
    <n v="300"/>
    <n v="600"/>
    <n v="900"/>
    <n v="1500"/>
    <n v="1500"/>
    <n v="3000"/>
    <s v="Los participantes directos, son las personas hombres y mujeres  representantes de partes interesadas de distintos sectores  de cada país de intervención, con quienes se incidión en la construccion de Enfoques Nacionales de Salvaguardas REDD+.  Los participantes indirectos se estimaron en base a los miembros de las familias de un proyecto piloto REDD+ que se impulsó en el Caribe de Guatemala, más un aproximado de integrantes de las organizaciones sociales participantes en las discusiones nacionales de Salvaguardas REDD+, tales como la Mesa Nacional Indígena de Cambio Climático de Guatemala -MNICC-, las redes indígenas de Honduras (REMBLAH, REDMIAH, CONPAH) y mesa Nacional Indígena de El Salvador."/>
    <m/>
    <m/>
    <m/>
    <m/>
    <m/>
    <m/>
    <m/>
    <m/>
    <m/>
    <m/>
    <m/>
    <m/>
    <m/>
    <m/>
    <m/>
    <m/>
    <m/>
    <m/>
    <m/>
    <m/>
    <m/>
    <m/>
    <m/>
    <m/>
    <m/>
    <m/>
    <m/>
    <m/>
    <m/>
    <m/>
    <m/>
    <m/>
    <m/>
    <m/>
    <m/>
    <m/>
    <m/>
    <m/>
    <m/>
    <m/>
    <m/>
    <m/>
    <m/>
    <m/>
    <m/>
    <m/>
    <m/>
    <m/>
    <m/>
    <m/>
    <m/>
    <m/>
    <m/>
    <m/>
    <m/>
    <m/>
    <m/>
    <m/>
    <m/>
    <m/>
    <n v="261"/>
    <n v="554"/>
    <n v="815"/>
    <n v="1400"/>
    <n v="1350"/>
    <n v="2750"/>
    <s v="NO"/>
    <m/>
    <m/>
    <m/>
    <s v="YES"/>
    <n v="815"/>
    <n v="0.32"/>
    <n v="2750"/>
    <m/>
    <m/>
    <m/>
    <m/>
    <s v="NO"/>
    <m/>
    <m/>
    <m/>
    <m/>
    <m/>
    <m/>
    <m/>
    <m/>
    <m/>
    <m/>
    <m/>
    <m/>
    <m/>
    <m/>
    <m/>
    <m/>
    <m/>
    <m/>
    <m/>
    <s v="YES"/>
    <n v="815"/>
    <n v="0.32"/>
    <n v="2750"/>
    <m/>
    <m/>
    <m/>
    <m/>
    <m/>
    <m/>
    <m/>
    <m/>
    <s v="YES"/>
    <n v="815"/>
    <n v="0.32"/>
    <n v="2750"/>
    <s v="YES"/>
    <n v="815"/>
    <n v="0.32"/>
    <n v="2750"/>
    <m/>
    <m/>
    <m/>
    <m/>
    <m/>
    <m/>
    <m/>
    <m/>
    <m/>
    <m/>
    <m/>
    <m/>
    <m/>
    <m/>
    <m/>
    <m/>
    <m/>
    <s v="YES"/>
    <s v="June"/>
    <n v="2017"/>
    <s v="NO"/>
    <s v="YES"/>
    <s v="April"/>
    <n v="2018"/>
    <s v="Se llevará a cabo una Evaluación final de Proyecto, que involucra los objetivos y resultados bajo responsabilidad de todos los integrantes del consorcio."/>
    <x v="2"/>
    <s v="YES"/>
    <m/>
    <s v="YES"/>
    <s v="YES"/>
    <s v="YES"/>
    <s v="YES"/>
    <s v="YES"/>
    <m/>
    <m/>
    <x v="1"/>
    <s v="Los enfoques Nacionales de Salvaguardas que el programa contribuyó en su construcción, son requerimientos de la Convención Marco de Cambio Climático para que los paises puedan acceder a proyectos REDD+ que beneficiarán a comunidades indígenas y locales."/>
    <x v="1"/>
    <s v="Los procesos de Consulta participativa, inclusiva con enfoque de género, han sido adoptados en otros procesos de país."/>
    <x v="0"/>
    <x v="0"/>
    <s v="YES"/>
    <x v="0"/>
    <x v="0"/>
    <x v="0"/>
    <x v="0"/>
    <n v="4"/>
    <x v="2"/>
    <x v="2"/>
    <x v="1"/>
    <x v="1"/>
    <x v="1"/>
    <x v="5"/>
    <n v="3"/>
    <x v="1"/>
    <x v="1"/>
    <x v="1"/>
    <x v="1"/>
    <x v="1"/>
    <n v="3"/>
    <x v="3"/>
    <x v="2"/>
    <n v="5"/>
    <s v="Local government(s)"/>
    <s v="Local NGO(s)/CSO(s)"/>
    <m/>
    <x v="2"/>
    <s v="El proyecto ha apoyado a comités de agua potable, comités ambientales y grupos de mujeres para el tema de cambio climático y manejo de recursos naturales"/>
    <m/>
    <s v="Relacionamiento de alto nivel con Ministerios de Ambiente"/>
    <s v="Hojas de ruta y planificaciones anuales en cada país"/>
    <s v="Involucramiento directo de sectores y lideres de género para enriquecer el enfoque de Salvaguardas a nivel de cada país."/>
    <s v="La construccion de Enfoques de Salvaguardas  ha sido exitosa debido a un estructurado proceso de capacitación de partes interesadas en temas conceptuales para una correcta interpretación de las salvaguardas de Cancún."/>
    <s v="El involucramiento de líderes de organizaciones indígenas y comunidades locales en las discusiones de Salvaguardas ha facilitado la aprobación de las mismas."/>
    <s v="El diseño de una Guía de construcción de Enfoques de Salvaguardas ha sido de alta utilidad para los gobiernos en su proceso de preparación para REDD+"/>
    <s v="La experiencia de CARE de asegurar la participación de la mayoría de sectores en los procesos de construcción de Enfoques de Salvaguardas ha sido muy bien vista por el Banco Mundial y los Gobiernos Nacionales quienes han solicitado un apoyo adicional de la Institución para las siguientes fases REDD+ con fondos de los ministerios."/>
    <s v="El programa Regional de Cambio Climático es un consorcio con CATIE como prime. Su página web es:  https://www.catie.ac.cr/prcc/_x000a__x000a_Documentos del proyecto: https://www.dropbox.com/sh/oluarwvoferfuih/AAAuneSlgohf1caNQPhuv5Eta?dl=0"/>
    <n v="815"/>
    <n v="2750"/>
    <n v="3.3742331288343559"/>
    <n v="0.32024539877300612"/>
    <n v="0.50909090909090904"/>
    <n v="261"/>
    <n v="1400"/>
    <s v=""/>
    <n v="0"/>
    <n v="0"/>
    <s v=""/>
    <n v="1"/>
    <n v="815"/>
    <n v="2750"/>
    <n v="3.3742331288343559"/>
    <s v=""/>
    <n v="0"/>
    <n v="0"/>
    <s v=""/>
    <s v=""/>
    <n v="0"/>
    <n v="0"/>
    <s v=""/>
    <s v=""/>
    <n v="0"/>
    <n v="0"/>
    <s v=""/>
    <s v="2. Sensitive"/>
    <s v="3. Responsive"/>
    <s v="2. Sensitive"/>
    <s v="It tested new ways for fighting poverty, but did not measure results of innovation"/>
    <s v="Intensive advocacy"/>
    <s v="It linked and worked with strategic alliances and partners to take tested and effective solutions to scale"/>
  </r>
  <r>
    <x v="30"/>
    <x v="4"/>
    <n v="2967"/>
    <s v="Proyecto Esperanza para Mujeres Jóvenes"/>
    <s v="Guatemala"/>
    <s v="CUPFGT0007"/>
    <s v="CARE USA"/>
    <s v="Corporation"/>
    <s v="Other"/>
    <s v="Women's initiatives in Chicago and New York"/>
    <m/>
    <m/>
    <m/>
    <m/>
    <m/>
    <m/>
    <m/>
    <m/>
    <m/>
    <m/>
    <m/>
    <m/>
    <m/>
    <m/>
    <m/>
    <m/>
    <m/>
    <m/>
    <m/>
    <m/>
    <m/>
    <m/>
    <m/>
    <m/>
    <m/>
    <m/>
    <m/>
    <m/>
    <m/>
    <m/>
    <m/>
    <m/>
    <m/>
    <m/>
    <m/>
    <m/>
    <m/>
    <m/>
    <m/>
    <m/>
    <m/>
    <m/>
    <m/>
    <m/>
    <m/>
    <d v="2015-07-01T00:00:00"/>
    <d v="2017-07-31T00:00:00"/>
    <d v="2017-12-31T00:00:00"/>
    <s v="Development Other"/>
    <n v="202100"/>
    <s v="Agustina Tipáz Rojas"/>
    <s v="Coordinadora de Proyecto"/>
    <s v="agustina.tipaz@care.org"/>
    <s v="Amilcar Mirón"/>
    <s v="Coordinador Calidad programatica"/>
    <s v="wilfredo.miron@care.org"/>
    <s v="NO"/>
    <s v="YES"/>
    <s v="NO"/>
    <s v="Contribuir en la creación de un entorno que facilite mejores oportunidades educativas y de desarrollo económico para cambiar la vida de las niñas y mujeres jóvenes indígenas y evitar que migren y trabajen como empleadas de hogares en Guatemala."/>
    <s v="Sub-National"/>
    <s v="Municipio Santa María Chiquimula, Departamento Totonicapán, Guatemala."/>
    <s v="Niñas y mujeres jóvenes de siete comunidades de la cobertura del proyecto"/>
    <n v="500"/>
    <n v="0"/>
    <n v="500"/>
    <n v="1250"/>
    <n v="1250"/>
    <n v="2500"/>
    <s v="Directos: Niñas, niños, mujeres jóvenes, docentes, padres y madres de familia que oarticipan en escuela de padres.                                                                                                                                                                                                                                                                                                               Indirectos: Niñas, niños (hermanos, hermanas), padres y madres de familia que no participan en la escuela de padres, lideres comunitarios y docentes capacitados de otras comunidades del municipio."/>
    <m/>
    <m/>
    <m/>
    <m/>
    <m/>
    <m/>
    <m/>
    <m/>
    <m/>
    <m/>
    <m/>
    <m/>
    <m/>
    <m/>
    <m/>
    <m/>
    <m/>
    <m/>
    <m/>
    <m/>
    <m/>
    <m/>
    <m/>
    <m/>
    <m/>
    <m/>
    <m/>
    <m/>
    <m/>
    <m/>
    <m/>
    <m/>
    <m/>
    <m/>
    <m/>
    <m/>
    <m/>
    <m/>
    <m/>
    <m/>
    <m/>
    <m/>
    <m/>
    <m/>
    <m/>
    <m/>
    <m/>
    <m/>
    <m/>
    <m/>
    <m/>
    <m/>
    <m/>
    <m/>
    <m/>
    <m/>
    <m/>
    <m/>
    <m/>
    <m/>
    <n v="1261"/>
    <n v="1036"/>
    <n v="2297"/>
    <n v="2149"/>
    <n v="2662"/>
    <n v="4811"/>
    <m/>
    <m/>
    <m/>
    <m/>
    <m/>
    <m/>
    <m/>
    <m/>
    <m/>
    <m/>
    <m/>
    <m/>
    <m/>
    <m/>
    <m/>
    <m/>
    <m/>
    <m/>
    <m/>
    <m/>
    <s v="YES"/>
    <n v="2297"/>
    <n v="0.55000000000000004"/>
    <n v="3169"/>
    <m/>
    <m/>
    <m/>
    <m/>
    <s v="YES"/>
    <n v="589"/>
    <n v="0.95"/>
    <n v="2945"/>
    <s v="YES"/>
    <n v="589"/>
    <n v="1.95"/>
    <n v="2945"/>
    <s v="NO"/>
    <m/>
    <m/>
    <m/>
    <m/>
    <m/>
    <m/>
    <m/>
    <m/>
    <m/>
    <m/>
    <m/>
    <m/>
    <m/>
    <m/>
    <m/>
    <m/>
    <m/>
    <m/>
    <m/>
    <m/>
    <m/>
    <m/>
    <m/>
    <m/>
    <m/>
    <m/>
    <m/>
    <s v="Emprendimiento y oportunidades económicas"/>
    <s v="YES"/>
    <n v="56"/>
    <n v="1"/>
    <n v="280"/>
    <s v="YES"/>
    <s v="September"/>
    <n v="2016"/>
    <s v="YES"/>
    <s v="YES"/>
    <s v="October"/>
    <n v="2017"/>
    <s v="Los resultados obtenidos en la evalucación inicial se comparará con los finales, para medir los niveles de impacto o resultados obtenidos en la intervención del proyecto."/>
    <x v="1"/>
    <m/>
    <m/>
    <m/>
    <s v="YES"/>
    <s v="YES"/>
    <m/>
    <m/>
    <m/>
    <m/>
    <x v="2"/>
    <m/>
    <x v="1"/>
    <m/>
    <x v="1"/>
    <x v="0"/>
    <s v="YES"/>
    <x v="0"/>
    <x v="0"/>
    <x v="0"/>
    <x v="0"/>
    <n v="4"/>
    <x v="1"/>
    <x v="1"/>
    <x v="1"/>
    <x v="1"/>
    <x v="1"/>
    <x v="1"/>
    <n v="4"/>
    <x v="1"/>
    <x v="1"/>
    <x v="1"/>
    <x v="1"/>
    <x v="1"/>
    <n v="3"/>
    <x v="2"/>
    <x v="3"/>
    <n v="4"/>
    <s v="Grassroots organization(s)"/>
    <s v="Local alliance(s)/Platform(s)/Network(s) of  NGOs/CSOs"/>
    <s v="Local government(s)"/>
    <x v="2"/>
    <s v="Escuela para padres y madres de familia.                                                   Cursos de formación técnicas y vocacional para mujeres jóvenes."/>
    <s v="Integrar la parte de emprendimiento en formación técnica vocacional de las mujeres jóvenes, para vincular la parte práctica con la planificación de su propio negocio."/>
    <s v="Atención a niñas de tercero a sexto primaria, con problemas de aprendizaje de los establecimientos de cobertura."/>
    <s v="Escuela para padres y madres"/>
    <s v="Capacitaciones técnicas vocacionales para mujeres jóvenes."/>
    <s v="La coordinación de actividades tanto con el Ministerio de Educación de Totonicapán, como con otras organizaciones afines requiere más tiempo para cultivar la relación y crear confianza"/>
    <s v="Integrar en las capacitaciones técnicas de las mujeres jóvenes la parte de comercialización y emprendimiento, despertó más interés y motivación de las jóvenes participantes, además ha permitido facilitar la toma de decisiones para iniciar su propio negocio."/>
    <s v="Se han identificado familias con mucha vulnerabilidad en la zona de implementación del proyecto, esto ha permitido beneficiarlas con mochilas, utiles escolares para sus hijos que asisten a la escuela y buscar coordinación y enlace de organizaciones existentes en el municipio para que les brinden apoyo directo."/>
    <m/>
    <s v="Documentos del proyecto: https://www.dropbox.com/sh/ohmbonc9lvaj7bk/AAB53EcD-Kk_YHtcxh0s0AFga?dl=0"/>
    <n v="2297"/>
    <n v="4811"/>
    <n v="2.0944710491946017"/>
    <n v="0.54897692642577278"/>
    <n v="0.44668468093951363"/>
    <n v="1261"/>
    <n v="2149"/>
    <s v=""/>
    <n v="0"/>
    <n v="0"/>
    <s v=""/>
    <s v=""/>
    <n v="0"/>
    <n v="0"/>
    <s v=""/>
    <s v=""/>
    <n v="0"/>
    <n v="0"/>
    <s v=""/>
    <n v="1"/>
    <n v="589"/>
    <n v="2945"/>
    <n v="5"/>
    <s v=""/>
    <n v="0"/>
    <n v="0"/>
    <s v=""/>
    <s v="2. Sensitive"/>
    <s v="2. Accommodating"/>
    <s v="2. Sensitive"/>
    <s v="It tested new ways for fighting poverty and measured results of innovation"/>
    <s v="Moderate advocacy"/>
    <s v="It linked and worked with strategic alliances and partners to take tested and effective solutions to scale"/>
  </r>
  <r>
    <x v="30"/>
    <x v="4"/>
    <n v="2979"/>
    <s v="Proyecto Mujeres Mayas y Garífunas, construyendo una vida digna y con justicia"/>
    <s v="Guatemala"/>
    <s v="CFRAGT0007"/>
    <s v="CARE France"/>
    <s v="Multilateral agency"/>
    <s v="EU - European Union (other than ECHO)"/>
    <s v="EU"/>
    <m/>
    <m/>
    <m/>
    <m/>
    <m/>
    <m/>
    <m/>
    <m/>
    <m/>
    <m/>
    <m/>
    <m/>
    <m/>
    <m/>
    <m/>
    <m/>
    <m/>
    <m/>
    <m/>
    <m/>
    <m/>
    <m/>
    <m/>
    <m/>
    <m/>
    <m/>
    <m/>
    <m/>
    <m/>
    <m/>
    <m/>
    <m/>
    <m/>
    <m/>
    <m/>
    <m/>
    <m/>
    <m/>
    <m/>
    <m/>
    <m/>
    <m/>
    <m/>
    <m/>
    <m/>
    <d v="2016-02-01T00:00:00"/>
    <d v="2018-08-31T00:00:00"/>
    <m/>
    <s v="Development A Life Free From Violence (GBV)"/>
    <n v="320153"/>
    <s v="Ada Zambrano"/>
    <s v="Country Director"/>
    <s v="Ada.Zambrano@care.org"/>
    <s v="Juana Sales"/>
    <s v="Coordinator Project"/>
    <s v="juanasmorales@yahoo.com"/>
    <s v="NO"/>
    <s v="YES"/>
    <s v="NO"/>
    <m/>
    <s v="Sub-National"/>
    <s v="12 municipalities of two departments, Quiché and Izabal, both in the northern of the country, with high rates of indigenous population, poverty and exclusion."/>
    <s v="20 indigenous women organisations, human rights defenders, articulated to the Movimiento de Mujeres Indígenas Tz'ununija' and the formation of 40 indigenous women human rights defenders."/>
    <n v="474"/>
    <n v="0"/>
    <n v="474"/>
    <n v="4000"/>
    <n v="3500"/>
    <n v="7500"/>
    <s v="Development A Life Free From Violence (GBV)_x000a_Direct participants: 474 indigenous women that are part of 20 women organisations, commnity based, articulated to the Movimiento de Mujeres Indígenas Tz'ununija', participating as follows: 400 indigenous women that are part of these 20 women organistaions; 40 indigenous women  identified and formated as human rights defenders, who are leaders  of their orgaisations and communities; 28 indigenous women from the different decision-making structures of the Tz'ununija' Movement: 20 of them participate in the Political Council of Tz'ununija', 8 indigenous women, leaders, who participate in the Consejo Menor, and 6 women, part of the technical staff of the project._x000a__x000a_The indirect participants were calculated as follows:  4500 indirect participants are part of the families of the women organisations leaders and associated members, affected possitively by the indigenous women directly participating of the project; 3,000 people from the civil society, NGO leaders, community leaders, public sector officials or employees, specifically justice sector employees (prosecuting attorney, judges, magistrates, etc.), invited to participate in the different public events of the project (forums, information media campaign, etc.)."/>
    <m/>
    <m/>
    <m/>
    <m/>
    <m/>
    <m/>
    <m/>
    <m/>
    <m/>
    <m/>
    <m/>
    <m/>
    <m/>
    <m/>
    <m/>
    <m/>
    <m/>
    <m/>
    <m/>
    <m/>
    <m/>
    <m/>
    <m/>
    <m/>
    <m/>
    <m/>
    <m/>
    <m/>
    <m/>
    <m/>
    <m/>
    <m/>
    <m/>
    <m/>
    <m/>
    <m/>
    <m/>
    <m/>
    <m/>
    <m/>
    <m/>
    <m/>
    <m/>
    <m/>
    <m/>
    <m/>
    <m/>
    <m/>
    <m/>
    <m/>
    <m/>
    <m/>
    <m/>
    <m/>
    <m/>
    <m/>
    <m/>
    <m/>
    <m/>
    <m/>
    <n v="537"/>
    <n v="0"/>
    <n v="537"/>
    <n v="4000"/>
    <n v="3000"/>
    <n v="7000"/>
    <m/>
    <m/>
    <m/>
    <m/>
    <m/>
    <m/>
    <m/>
    <m/>
    <m/>
    <m/>
    <m/>
    <m/>
    <m/>
    <m/>
    <m/>
    <m/>
    <m/>
    <m/>
    <m/>
    <m/>
    <m/>
    <m/>
    <m/>
    <m/>
    <m/>
    <m/>
    <m/>
    <m/>
    <s v="YES"/>
    <n v="537"/>
    <n v="1"/>
    <n v="7000"/>
    <m/>
    <m/>
    <m/>
    <m/>
    <m/>
    <m/>
    <m/>
    <m/>
    <m/>
    <m/>
    <m/>
    <m/>
    <m/>
    <m/>
    <m/>
    <m/>
    <m/>
    <m/>
    <m/>
    <m/>
    <m/>
    <m/>
    <m/>
    <m/>
    <m/>
    <m/>
    <m/>
    <m/>
    <m/>
    <m/>
    <m/>
    <m/>
    <m/>
    <m/>
    <m/>
    <m/>
    <m/>
    <s v="YES"/>
    <s v="July"/>
    <n v="2016"/>
    <s v="YES"/>
    <s v="YES"/>
    <s v="May"/>
    <n v="2018"/>
    <s v="The final evaluation will take place by May, 2018, and it wil be a comparable evaluation with baseline, also evaluating the effectiveness and impact.  The same instruments are to be used in the final evaluation."/>
    <x v="2"/>
    <s v="YES"/>
    <s v="YES"/>
    <s v="NO"/>
    <s v="YES"/>
    <s v="YES"/>
    <s v="NO"/>
    <s v="NO"/>
    <s v="NO"/>
    <m/>
    <x v="2"/>
    <s v="La diagnóstico de mujeres garífunas en el acceso a la justicia, y el proceso de formación de mujeres garífunas defensoras de DDHH, es una iniciativa que por primera vez se impulsa.  Especialmente el estudio, ha permitido a las mujeres comprender lo histórico de la injusticia, discriminación racial y de género y fortalecer la exigibilidad de sus derechos.  El Movimiento Tz'ununija' ha ampliado la agenda de incidencia en el Organismo Judicial, demandando la formación de intérpretes en idioma Garífuna, que a la fecha no existe personal formado, siendo una responsabilidad del Estado atender a los pueblos indígenas en sus propios idiomas."/>
    <x v="1"/>
    <s v="El protocolo de atención paa mujeres indígenas y su acceso a la justicia, inicialmente propuesto para el Organismo Judicial (OJ) se realizó para el Miniserio Público, debido a que el OJ ya contaba con un protocolo de atención para mujeres indígenas y el acceso a la justicia, se dio apoyo al OJ para mejorarlo y se trabajo en su socialización y mayor exigibilidad.  Actualmente se continúa con la incidencia para que se apruebe el protocolo de atención en el Ministerio Públic para su posterior implementación.  Ambos protocolos beneficiarán a las mujeres indígenas del país de ser implementados, puesto que se trata de mecanismos de política pública en el sector justicia."/>
    <x v="2"/>
    <x v="1"/>
    <s v="YES"/>
    <x v="0"/>
    <x v="0"/>
    <x v="0"/>
    <x v="2"/>
    <n v="4"/>
    <x v="2"/>
    <x v="1"/>
    <x v="1"/>
    <x v="1"/>
    <x v="1"/>
    <x v="2"/>
    <n v="4"/>
    <x v="3"/>
    <x v="1"/>
    <x v="1"/>
    <x v="1"/>
    <x v="4"/>
    <n v="3"/>
    <x v="2"/>
    <x v="2"/>
    <n v="4"/>
    <s v="Grassroots organization(s)"/>
    <s v="National government"/>
    <s v="Media or journalist network(s)"/>
    <x v="0"/>
    <s v="El Movimiento de Mujeres Indígenas Tz'ununija', es un movimiento social integrado por más de 80 organizaciones de mujeres de 13 departamentos del país.  El fortalecimiento de sus estructuras organizativas que están conformadas por reprsentantes de las diferentes comunidades lingüisticas es uno de los objetivos del proyecto (Consejo Político, Consejo Menor y 20 organizaciones locales articuladas)."/>
    <s v="El primer año estaban planificados los foros y diálogos con operadores de justicia, jueces, magistrados del Organismo Judicial y fiscales del Ministerio Público.  Estos fueron trasladados para el segundo año, para profundizar en la formación y fortalecimiento de capacidades y de sanación de las 40 mujeres indígenas defensoras de derechos humanos (2016), durante los foros realizados en el primer semestre de 2017, las mujeres defensoras formadas, que provienen de comunidades remotas, fueron ponentes, en las mesas de discusión con los operadores de justicia, algunas tomaron la palabra para expresar sus opiniones durante los foros con operadores de justicia.  Asimismo, las defensoras de DDHH, sobrepasaron las metas de acompañamiento de casos en sus comunidades a otras mujeres víctimas de violencia, acompañando hasta 57 casos de diversa índole, logrando una sentencia favorable en uno de los casos asesorado por el equipo legal del proyecto."/>
    <s v="Formación de mujeres indígenas defensoras de derechos humanos de las comunidades remotas."/>
    <s v="La investigación como una herramienta para fortalecer la incidencia en políticas."/>
    <s v="Un movimiento de mujeres indígenas articulado, que tiene una agenda política comprometida y de largo plazo y un conjunto de relaciones estratégicas claves que ya existín antes del inicio del proyecto y que fueron claves en los avances de sus objetivos y resultados."/>
    <s v="La incidencia política con los operadores de justicia a nivel local/departamental, por las debilidades del sector justicia en este nive (falta de recursos, escasa cobertura, compromiso con el tema en el nivel local/departamenta)l, no ha avanzado como se esperaba, mientras en el nivel nacional el proyecto alcanzó un adecuado grado de efectividad."/>
    <s v="Indicadores y metas bien formuladas, versus un limitado presupuesto, y que debido a la pérdida cambiaria de Euros a Dólares afectó la disponibilidad financiera para algunas de las metas, como los encuentros y planes de las 20 organizaciones de mujeres para dar seguimiento al proyecto.  Un reto a considera en el año 3 del proyecto."/>
    <s v="Los procesos de investigación han contribuido a fortalecer otros procesos del proyecto como la formación de las defensoras y la incidencia política en los protocolos de atención de las mujeres indígenas y el acceso a la justicia, para la exigibilidad de sus derechos humanos con los estándares internacionales ratificados por el país."/>
    <m/>
    <m/>
    <n v="537"/>
    <n v="7000"/>
    <n v="13.035381750465548"/>
    <n v="1"/>
    <n v="0.5714285714285714"/>
    <n v="537"/>
    <n v="4000"/>
    <s v=""/>
    <n v="0"/>
    <n v="0"/>
    <s v=""/>
    <s v=""/>
    <n v="0"/>
    <n v="0"/>
    <s v=""/>
    <s v=""/>
    <n v="0"/>
    <n v="0"/>
    <s v=""/>
    <n v="1"/>
    <n v="537"/>
    <n v="7000"/>
    <n v="13.035381750465548"/>
    <s v=""/>
    <n v="0"/>
    <n v="0"/>
    <s v=""/>
    <s v="4. Transformative"/>
    <s v="4. Transformational"/>
    <s v="4. Transformative"/>
    <s v="It tested new ways for fighting poverty and measured results of innovation"/>
    <s v="Intensive advocacy"/>
    <s v="It linked and worked with strategic alliances and partners to take tested and effective solutions to scale"/>
  </r>
  <r>
    <x v="30"/>
    <x v="4"/>
    <m/>
    <s v="Proyecto Nutriendo el Futuro"/>
    <s v="Guatemala"/>
    <s v="US1PQ - CAPGGT0011"/>
    <s v="CARE USA"/>
    <s v="Foundation"/>
    <s v="Other"/>
    <s v="Cargill Foundation"/>
    <m/>
    <m/>
    <m/>
    <m/>
    <m/>
    <m/>
    <m/>
    <m/>
    <m/>
    <m/>
    <m/>
    <m/>
    <m/>
    <m/>
    <m/>
    <m/>
    <m/>
    <m/>
    <m/>
    <m/>
    <m/>
    <m/>
    <m/>
    <m/>
    <m/>
    <m/>
    <m/>
    <m/>
    <m/>
    <m/>
    <m/>
    <m/>
    <m/>
    <m/>
    <m/>
    <m/>
    <m/>
    <m/>
    <m/>
    <m/>
    <m/>
    <m/>
    <m/>
    <m/>
    <m/>
    <d v="2016-09-01T00:00:00"/>
    <d v="2019-08-30T00:00:00"/>
    <m/>
    <s v="Development Food &amp; Nutrition Security and Resilience to Climate Change"/>
    <n v="728532"/>
    <s v="Ada Zambrano"/>
    <s v="Directora Nacional"/>
    <s v="ada.zambrano@care.org"/>
    <s v="Haroldo Chiquin"/>
    <s v="Coordinador de Proyecto"/>
    <s v="haroldo.chiquin@care.org"/>
    <s v="NO"/>
    <s v="YES"/>
    <s v="NO"/>
    <s v="El empoderamiento de los productores rurales, micro-empresarios y comunidades locales, garantizar la seguridad alimentaria de sus familias, con igualdad de acceso a los mercados, el control de sus recursos y el aumento de la resiliencia al cambio climático"/>
    <s v="Multiple countries"/>
    <s v="En el pais de Guatemala el proyecto se implementa en los municipios: San Martín Jilotepeque, San Juan Comalapa de Chimaltenango, Masagua de Escuintla y zona 3 de ciudad de Guatemala. El proyecto tambien se implementa en los paises de Honduras, Nicaragua y Costa Rica"/>
    <s v="* productoras y productores agricolas de minivegetales y pecuarios_x000a_- Microempresarias_x000a_- Familias con niños matriculados en la escuela primaria."/>
    <n v="2972"/>
    <n v="2888"/>
    <n v="5860"/>
    <n v="14860"/>
    <n v="14440"/>
    <n v="29300"/>
    <s v="Directos: Niños y niñas matriculados en la escuela primaria, productores de minivegetales y pecuarios, microempresarias, docentes del ministerio de educación, padre y madres de familia de niños matriculados en la escuela, lidres y lideresas comunitarias, representantes de gobieernos municipales._x000a__x000a_Indirectos: Jovenes matriculados en la escuela, representantes de oficinas y secretarias de gobierno, voluntarios de empresas nacionales de Cargill, integrantes del conseco comunitario de desarrollo de las comunidades de intervención, integrantes de equipo basico de salud del ministerio de Salud Pública y Asistencia Social -MSPAS-. _x000a__x000a_El calculo para participantes directos e indirectos fueron definidos en base listados de miembros de asociaciones de productores, listados de niños matriculados en la escuela primaria, actores clave identificados."/>
    <m/>
    <m/>
    <m/>
    <m/>
    <m/>
    <m/>
    <m/>
    <m/>
    <m/>
    <m/>
    <m/>
    <m/>
    <m/>
    <m/>
    <m/>
    <m/>
    <m/>
    <m/>
    <m/>
    <m/>
    <m/>
    <m/>
    <m/>
    <m/>
    <m/>
    <m/>
    <m/>
    <m/>
    <m/>
    <m/>
    <m/>
    <m/>
    <m/>
    <m/>
    <m/>
    <m/>
    <m/>
    <m/>
    <m/>
    <m/>
    <m/>
    <m/>
    <m/>
    <m/>
    <m/>
    <m/>
    <m/>
    <m/>
    <m/>
    <m/>
    <m/>
    <m/>
    <m/>
    <m/>
    <m/>
    <m/>
    <m/>
    <m/>
    <m/>
    <m/>
    <n v="7410"/>
    <n v="5654"/>
    <n v="13064"/>
    <n v="3043"/>
    <n v="2980"/>
    <n v="6023"/>
    <s v="YES"/>
    <n v="425"/>
    <n v="0.55759999999999998"/>
    <n v="28"/>
    <s v="YES"/>
    <n v="525"/>
    <n v="0.58479999999999999"/>
    <n v="92"/>
    <m/>
    <m/>
    <m/>
    <m/>
    <s v="YES"/>
    <n v="700"/>
    <n v="0.68859999999999999"/>
    <n v="92"/>
    <s v="YES"/>
    <n v="700"/>
    <n v="0.68859999999999999"/>
    <n v="28"/>
    <s v="YES"/>
    <n v="10515"/>
    <n v="0.48249999999999998"/>
    <n v="5804"/>
    <s v="YES"/>
    <n v="1252"/>
    <n v="0.87"/>
    <n v="169"/>
    <s v="YES"/>
    <n v="313"/>
    <n v="0.85940000000000005"/>
    <m/>
    <s v="YES"/>
    <n v="313"/>
    <n v="0.85940000000000005"/>
    <m/>
    <m/>
    <m/>
    <m/>
    <m/>
    <m/>
    <m/>
    <m/>
    <m/>
    <m/>
    <m/>
    <m/>
    <m/>
    <s v="YES"/>
    <n v="182"/>
    <n v="0.65380000000000005"/>
    <m/>
    <m/>
    <m/>
    <m/>
    <m/>
    <s v="YES"/>
    <n v="1252"/>
    <n v="0.87"/>
    <m/>
    <s v="YES"/>
    <n v="482"/>
    <n v="1"/>
    <m/>
    <m/>
    <m/>
    <m/>
    <m/>
    <m/>
    <s v="YES"/>
    <s v="April"/>
    <n v="2017"/>
    <s v="YES"/>
    <s v="NO"/>
    <m/>
    <m/>
    <m/>
    <x v="1"/>
    <s v="NO"/>
    <s v="NO"/>
    <s v="YES"/>
    <s v="YES"/>
    <s v="YES"/>
    <s v="YES"/>
    <s v="NO"/>
    <m/>
    <m/>
    <x v="1"/>
    <s v="Inicio acciones de alfabetización financiera y de negocios con microempresarias de la zona 3 de Guatemala, estas estan vinculadas a la cadena de clientes de Cargill a través de una de las marcas nacionales._x000a__x000a_Se inicio con el fortalecimiento de capacidades a productores y productoras de crianza de cerdos, a traves del mejoramiento de razas de porcinos y capacitaciones sobre el manejo adecuado durante la implementación de la acticidad"/>
    <x v="1"/>
    <s v="A través de la vinculación del proyecto a la mesa técnica, se esta construyendo el programa de refacción escolar con el cual se proyecta beneficiar a mas de 2.5 Millones de niños y niñas."/>
    <x v="1"/>
    <x v="1"/>
    <s v="YES"/>
    <x v="0"/>
    <x v="0"/>
    <x v="1"/>
    <x v="4"/>
    <n v="3"/>
    <x v="2"/>
    <x v="1"/>
    <x v="1"/>
    <x v="1"/>
    <x v="2"/>
    <x v="5"/>
    <n v="3"/>
    <x v="3"/>
    <x v="1"/>
    <x v="2"/>
    <x v="1"/>
    <x v="5"/>
    <n v="2"/>
    <x v="0"/>
    <x v="0"/>
    <n v="7"/>
    <s v="Grassroots organization(s)"/>
    <s v="Local government(s)"/>
    <m/>
    <x v="1"/>
    <m/>
    <m/>
    <s v="Educación alimentaria y nutricional"/>
    <s v="Empoderamiento de mujeres a traves de circulos de reflexión y análisis sobre: roles de género, violencia basada en género, uso y control de los recursos."/>
    <s v="Diplomado con docentes del ministerio de educación de escuelas de cobertura con el abal del ministerio de educación de Guatemala, Secretaria de seguridad alimentaria y CARE"/>
    <s v="El impacto del diplomado de seguridad alimentaria y nutricional fue una determinante para lograr participación de docentes en las acciones de fortalecimiento de capacidades y conocimientos."/>
    <s v="Las sesiones demostraciones sobre manipulación y preparación de alimentos locales a traves de recetas nutritivas es promuevió que la persona encargada de preparar alimentos asista a las reuniones por ser a traves de metologias participativas y prácticas."/>
    <s v="Utilización de técnicas de agricultura urbana para el establecimiento de huertos en escuelas de cobertura logró el involucramiento de la comunidad educativa y generó expectativa por ser una técnica innovadora en un contexto urbano."/>
    <m/>
    <s v="Documentos del proyecto: https://www.dropbox.com/sh/d922kcz86zic9wv/AADaBsgallkbCQ25iwgpa2Coa?dl=0"/>
    <n v="13064"/>
    <n v="6023"/>
    <n v="0.46103796693202692"/>
    <n v="0.56720759338640536"/>
    <n v="0.50522995185123698"/>
    <n v="7410"/>
    <n v="3043"/>
    <s v=""/>
    <n v="0"/>
    <n v="0"/>
    <s v=""/>
    <n v="1"/>
    <n v="1252"/>
    <n v="169"/>
    <n v="0.13498402555910544"/>
    <s v=""/>
    <n v="0"/>
    <n v="0"/>
    <s v=""/>
    <n v="1"/>
    <n v="313"/>
    <n v="0"/>
    <n v="0"/>
    <n v="1"/>
    <n v="482.02"/>
    <n v="19.280799999999999"/>
    <n v="0.04"/>
    <s v="3. Responsive"/>
    <s v="3. Responsive"/>
    <s v="3. Responsive"/>
    <s v="It tested new ways for fighting poverty, but did not measure results of innovation"/>
    <s v="Moderate advocacy"/>
    <s v="It linked and worked with strategic alliances and partners to take tested and effective solutions to scale"/>
  </r>
  <r>
    <x v="30"/>
    <x v="4"/>
    <n v="2978"/>
    <s v="Tres Pasos para la Salud"/>
    <s v="Guatemala"/>
    <s v="US1AI - HCTXGT0001"/>
    <s v="CARE USA"/>
    <s v="Foundation"/>
    <s v="Other"/>
    <s v="Helmsley Charitable Trust"/>
    <m/>
    <m/>
    <m/>
    <m/>
    <m/>
    <m/>
    <m/>
    <m/>
    <m/>
    <m/>
    <m/>
    <m/>
    <m/>
    <m/>
    <m/>
    <m/>
    <m/>
    <m/>
    <m/>
    <m/>
    <m/>
    <m/>
    <m/>
    <m/>
    <m/>
    <m/>
    <m/>
    <m/>
    <m/>
    <m/>
    <m/>
    <m/>
    <m/>
    <m/>
    <m/>
    <m/>
    <m/>
    <m/>
    <m/>
    <m/>
    <m/>
    <m/>
    <m/>
    <m/>
    <m/>
    <d v="2014-04-15T00:00:00"/>
    <d v="2017-04-14T00:00:00"/>
    <m/>
    <s v="Development Food &amp; Nutrition Security and Resilience to Climate Change"/>
    <n v="705000"/>
    <s v="Amilcar Mirón"/>
    <s v="Coordinador Calidad Programatica y Movilización de Recursos"/>
    <s v="wilfredo.miron@care.org"/>
    <m/>
    <m/>
    <m/>
    <s v="NO"/>
    <s v="YES"/>
    <s v="NO"/>
    <s v="Apoyar en el mejoramiento del nivel de vida de 1,500 niños, niñas, mujeres y hombres de 400 familias vulnerables, residentes en comunidades rurales del occidente de Guatemala."/>
    <s v="Sub-National"/>
    <s v="Municipio de Nahualá, departamento de Sololá, Guatemala"/>
    <s v="Familias rurales indigenas. Hombres y Mujeres productoras Rurales. Niños y niñas en edad escolar."/>
    <n v="1200"/>
    <n v="1200"/>
    <n v="2400"/>
    <n v="7200"/>
    <n v="7200"/>
    <n v="14400"/>
    <s v="los participantes directos son 2,139 niños y niñas y 400 hombres y mujeres productores. _x000a_Los participantes directos _x000a_-son las familias de los niños y las mujeres y hombres productores. En Guatemala el promedio de miembros en la familia en el area rural es de 6 miembros por lo cual los 2,539 participantes directos se multiplica por 5 = 12,695_x000a_- Maestros de las escuelas participantes = 40 maestros"/>
    <m/>
    <m/>
    <m/>
    <m/>
    <m/>
    <m/>
    <m/>
    <m/>
    <m/>
    <m/>
    <m/>
    <m/>
    <m/>
    <m/>
    <m/>
    <m/>
    <m/>
    <m/>
    <m/>
    <m/>
    <m/>
    <m/>
    <m/>
    <m/>
    <m/>
    <m/>
    <m/>
    <m/>
    <m/>
    <m/>
    <m/>
    <m/>
    <m/>
    <m/>
    <m/>
    <m/>
    <m/>
    <m/>
    <m/>
    <m/>
    <m/>
    <m/>
    <m/>
    <m/>
    <m/>
    <m/>
    <m/>
    <m/>
    <m/>
    <m/>
    <m/>
    <m/>
    <m/>
    <m/>
    <m/>
    <m/>
    <m/>
    <m/>
    <m/>
    <m/>
    <n v="825"/>
    <n v="974"/>
    <n v="1799"/>
    <n v="1520"/>
    <n v="1608"/>
    <n v="3128"/>
    <s v="YES"/>
    <n v="559"/>
    <n v="7.0000000000000007E-2"/>
    <n v="2216"/>
    <m/>
    <m/>
    <m/>
    <m/>
    <m/>
    <m/>
    <m/>
    <m/>
    <m/>
    <m/>
    <m/>
    <m/>
    <m/>
    <m/>
    <m/>
    <m/>
    <s v="YES"/>
    <n v="668"/>
    <n v="0.5"/>
    <n v="3340"/>
    <s v="YES"/>
    <n v="2400"/>
    <n v="0.5"/>
    <n v="12000"/>
    <m/>
    <m/>
    <m/>
    <m/>
    <m/>
    <m/>
    <m/>
    <m/>
    <m/>
    <m/>
    <m/>
    <m/>
    <m/>
    <m/>
    <m/>
    <m/>
    <m/>
    <m/>
    <m/>
    <m/>
    <m/>
    <m/>
    <m/>
    <m/>
    <s v="YES"/>
    <n v="206"/>
    <n v="0.5"/>
    <n v="824"/>
    <m/>
    <m/>
    <m/>
    <m/>
    <s v="YES"/>
    <n v="240"/>
    <n v="1"/>
    <n v="1440"/>
    <m/>
    <m/>
    <m/>
    <m/>
    <m/>
    <s v="YES"/>
    <s v="March"/>
    <n v="2017"/>
    <s v="YES"/>
    <s v="NO"/>
    <m/>
    <m/>
    <m/>
    <x v="0"/>
    <s v="NO"/>
    <s v="NO"/>
    <s v="NO"/>
    <s v="YES"/>
    <s v="NO"/>
    <s v="NO"/>
    <s v="NO"/>
    <m/>
    <m/>
    <x v="1"/>
    <s v=" Vinculación de productores locales con agroexportadoras que incluian un incentivo economico para la producción de las mujeres."/>
    <x v="3"/>
    <s v="Junto con el ministerio de agricultura se implementaron procesos post-cosecha. Se implemento la estrategia VSLA con grupos de mujeres."/>
    <x v="1"/>
    <x v="0"/>
    <s v="YES"/>
    <x v="0"/>
    <x v="0"/>
    <x v="0"/>
    <x v="0"/>
    <n v="4"/>
    <x v="1"/>
    <x v="1"/>
    <x v="1"/>
    <x v="1"/>
    <x v="1"/>
    <x v="1"/>
    <n v="4"/>
    <x v="1"/>
    <x v="1"/>
    <x v="1"/>
    <x v="1"/>
    <x v="1"/>
    <n v="3"/>
    <x v="0"/>
    <x v="0"/>
    <n v="6"/>
    <s v="Local government(s)"/>
    <s v="Local alliance(s)/Platform(s)/Network(s) of  NGOs/CSOs"/>
    <s v="Local NGO(s)/CSO(s)"/>
    <x v="1"/>
    <m/>
    <m/>
    <s v="Construcción de alianzas de trabajo: el proyecto establecio alianzas de trabajo con el ministerio de salud, educación y agricultura para la implementación conjunta de actividades del proyecto, lo cual permitio el involucramiento y toma de responsabilidad de parte de estos entes rectores."/>
    <s v="Capacitacion especializada a maestros utilizando  técnicas y metodologías activas en la enseñanza-aprendizaje."/>
    <s v="Estrategia de grupos de autoahorro (VSLA) permitio el fortalecimiento del liderazgo, organización y autoestima de las Mujeres. Como resultado se tiene una red de Mujeres que busca el beneficio de sus asociadas con proyectos productivos, como el de engorde de ovejas y estufas ahorradoras de leña."/>
    <s v="práctica prometedora: apoyo a las prácticas de salud tradicionales a traves de fortalecer capacidades de 38 comadronas que atienden a mujeres en gestación y brindan la atención a los partos. Esto ha reducido la cantidad de niñas y niños que nacen con desnutrición."/>
    <s v="Desafio: Los maestros continuan utilizando un sistema tradicional de enseñanza-aprendizaje, centrado en la transmisión de conocimientos y no potencia la capacidad de niñas niños lo que es reflejado en el rendimiento académico. Esto se constituye en un reto para el proyecto."/>
    <s v="En Generación de ingresos, la metodología del Autoahorro (VSLA) ha sido una práctica exitosa en 8 grupos de mujeres de pobreza extrema. Les ha permitido organizarse, capacitarse en liderazgo, autoestima y otros temas importantes para su vida."/>
    <s v="Debido a que este proyecto inicio en el 2014 sus indicadores no estan alineados a los indicadores CI, y no fue posible ajustarlos dado el cierre del proyecto en abril del 2017."/>
    <s v="Documentos del proyecto: https://www.dropbox.com/sh/a0588u32uh93yzh/AABrdCLvyh5rOG8nw9AS5mcja?dl=0"/>
    <n v="1799"/>
    <n v="3128"/>
    <n v="1.7387437465258477"/>
    <n v="0.45858810450250137"/>
    <n v="0.48593350383631712"/>
    <n v="825"/>
    <n v="1520"/>
    <s v=""/>
    <n v="0"/>
    <n v="0"/>
    <s v=""/>
    <n v="1"/>
    <n v="2400"/>
    <n v="12000"/>
    <n v="5"/>
    <n v="1"/>
    <n v="206"/>
    <n v="824"/>
    <n v="4"/>
    <s v=""/>
    <n v="0"/>
    <n v="0"/>
    <s v=""/>
    <n v="1"/>
    <n v="240"/>
    <n v="1440"/>
    <n v="6"/>
    <s v="2. Sensitive"/>
    <s v="2. Accommodating"/>
    <s v="2. Sensitive"/>
    <s v="It tested new ways for fighting poverty, but did not measure results of innovation"/>
    <s v="Little or no advocacy"/>
    <s v="It took tested solutions to scale on its own"/>
  </r>
  <r>
    <x v="31"/>
    <x v="4"/>
    <m/>
    <s v="Assistance durgence à la sécurité alimentaire, Education Abris aux personnes vulnérables affectées par lOuragan Matthew dans la Grande Anse"/>
    <s v="Haiti"/>
    <s v="CFRAHT0026"/>
    <s v="CARE France"/>
    <s v="Government"/>
    <s v="ECHO - European Commission for Humanitarian Aid and Civil Protection"/>
    <s v="ECHO"/>
    <m/>
    <m/>
    <m/>
    <m/>
    <m/>
    <m/>
    <m/>
    <m/>
    <m/>
    <m/>
    <m/>
    <m/>
    <m/>
    <m/>
    <m/>
    <m/>
    <m/>
    <m/>
    <m/>
    <m/>
    <m/>
    <m/>
    <m/>
    <m/>
    <m/>
    <m/>
    <m/>
    <m/>
    <m/>
    <m/>
    <m/>
    <m/>
    <m/>
    <m/>
    <m/>
    <m/>
    <m/>
    <m/>
    <m/>
    <m/>
    <m/>
    <m/>
    <m/>
    <m/>
    <m/>
    <d v="2016-12-08T00:00:00"/>
    <d v="2017-10-07T00:00:00"/>
    <m/>
    <s v="Humanitarian Food &amp; Nutrition Security and Resilience to Climate Change"/>
    <n v="2661503"/>
    <s v="Laura SEWELL"/>
    <s v="Assistant Country Director (CARE Haïti)"/>
    <s v="juvenal@pap.care.org  "/>
    <s v="Jean Elie Joseph"/>
    <s v="Coordonnateur de terrain"/>
    <s v="fenold.clerval@care.org"/>
    <s v="YES"/>
    <s v="NO"/>
    <s v="NO"/>
    <s v="Apporter une assistance d'urgence aux ménages vulnérables affectés par l'ouragan Matthew via une réponse intégrée qui permettra également de renforcer leurs moyens de subsistance."/>
    <s v="Sub-National"/>
    <s v="Nous intervenons au niveau de 3 communautés de la commune de Jéréme (Le Centre-ville à travers le Quartier Sainte Hélène, la 1ère Section Basse Voldrogue, et la 3ème Section Haute Guinaudée) - Département de la Grand'Anse."/>
    <s v="Les ménages pauvres et vulnérables de la Grand'Anse affectés par l'ouragan Matthew."/>
    <n v="6852"/>
    <n v="5664"/>
    <n v="12405"/>
    <m/>
    <m/>
    <m/>
    <s v="Dans le cadre de ce programme, les personnes visées sont celles victimes par louragan Matthew dans la commune de Jérémie particulièrement la première, la troisième section et le centre ville. Lensemble de ces personnes est au nombre de 2029. Considérant que chacune delle est issue dune famille, et avec la moyenne de 4.7 personnes par famille, le nombre de bénéficiaires indirectement touché par le programme sélève à 9536."/>
    <m/>
    <n v="6457"/>
    <n v="5426"/>
    <n v="11883"/>
    <m/>
    <m/>
    <m/>
    <s v="NO"/>
    <m/>
    <m/>
    <m/>
    <s v="YES"/>
    <n v="6800"/>
    <m/>
    <m/>
    <s v="YES"/>
    <n v="553"/>
    <m/>
    <n v="0"/>
    <s v="YES"/>
    <n v="10145"/>
    <m/>
    <m/>
    <s v="YES"/>
    <m/>
    <m/>
    <m/>
    <s v="YES"/>
    <n v="70"/>
    <m/>
    <n v="700"/>
    <s v="NO"/>
    <m/>
    <m/>
    <m/>
    <s v="Yes"/>
    <n v="1360"/>
    <m/>
    <n v="0"/>
    <s v="YES"/>
    <n v="70"/>
    <m/>
    <n v="700"/>
    <s v="NO"/>
    <m/>
    <m/>
    <m/>
    <s v="YES"/>
    <n v="5640"/>
    <m/>
    <m/>
    <s v="NO"/>
    <n v="0"/>
    <m/>
    <n v="0"/>
    <m/>
    <s v="NO"/>
    <m/>
    <m/>
    <m/>
    <m/>
    <m/>
    <m/>
    <m/>
    <m/>
    <m/>
    <m/>
    <m/>
    <m/>
    <m/>
    <m/>
    <m/>
    <m/>
    <m/>
    <m/>
    <m/>
    <m/>
    <m/>
    <m/>
    <m/>
    <m/>
    <m/>
    <m/>
    <m/>
    <m/>
    <m/>
    <m/>
    <m/>
    <m/>
    <m/>
    <m/>
    <m/>
    <m/>
    <m/>
    <m/>
    <m/>
    <m/>
    <m/>
    <m/>
    <m/>
    <m/>
    <m/>
    <m/>
    <m/>
    <m/>
    <m/>
    <m/>
    <m/>
    <m/>
    <m/>
    <m/>
    <m/>
    <m/>
    <m/>
    <m/>
    <m/>
    <m/>
    <m/>
    <m/>
    <m/>
    <m/>
    <m/>
    <m/>
    <m/>
    <m/>
    <m/>
    <m/>
    <m/>
    <m/>
    <m/>
    <m/>
    <m/>
    <m/>
    <m/>
    <m/>
    <s v="YES"/>
    <s v="June"/>
    <n v="2017"/>
    <s v="NO"/>
    <s v="YES"/>
    <s v="December"/>
    <m/>
    <s v="L'évaluation finale du projet sera réalisée au cours du mois de Décembre 2017. Les données seront collectées fondamentalement au niveau primaire selon une méthodologie mixte (quantitative et qualitative)._x000a_Les questionnaires individuels seront administrés aux bénéficiaires des 3 communautés d'intervention (Choisis suivant un tirage aléatoire en fonction du nombre de services reçus par les bénéficiaires)._x000a_Un Focus group sera réalisé au niveau des chaque section communales avec un échantillon représentatif de l'ensemble des bénéficiaires touchés et en fonction des services offerts._x000a_Par ailleurs, des entretiens individuels seront effectués avec les autorites locales et/ou leaders communautaires impliqués dans l'implémentation du projet._x000a_La Coordination du projet sera appuyée par le PQL pour la conduite de l'évaluation notamment dans l'élaboration de la méthodologie et des outils de collecte, et la finalisation du rapport."/>
    <x v="0"/>
    <s v="NO"/>
    <s v="NO"/>
    <s v="NO"/>
    <s v="NO"/>
    <s v="NO"/>
    <s v="NO"/>
    <s v="NO"/>
    <s v="NO"/>
    <m/>
    <x v="0"/>
    <m/>
    <x v="1"/>
    <s v="Le programme est implémenté de concert avec les autorités étatiques au niveau National et local et des organisations de la société civile. Ca a permis dêtre plus proche de la population et toucher les ménages les plus vulnérables.  "/>
    <x v="1"/>
    <x v="0"/>
    <s v="YES"/>
    <x v="0"/>
    <x v="0"/>
    <x v="0"/>
    <x v="0"/>
    <n v="4"/>
    <x v="1"/>
    <x v="1"/>
    <x v="1"/>
    <x v="1"/>
    <x v="1"/>
    <x v="1"/>
    <n v="4"/>
    <x v="1"/>
    <x v="1"/>
    <x v="1"/>
    <x v="1"/>
    <x v="1"/>
    <n v="3"/>
    <x v="0"/>
    <x v="3"/>
    <n v="2"/>
    <s v="National government"/>
    <s v="Local government(s)"/>
    <s v="Grassroots organization(s)"/>
    <x v="2"/>
    <s v="Nous avons particulièrement formé des Comités de Coordination Communal à travers les différentes structures communautaires dans nos zones d'intervention en vue de la mobilisation des bénéficiaires et de profiter de leur appui quant à la mise en oeuvre des activités."/>
    <s v="Dans le but de recueillir les plaintes, les feed-back et les commentaires des communautés notamment des bénéficiaires directs, un mécanisme comportant plusieurs éléments (Boîtes à suggestion, lignes téléphoniques gratuites) a été mis en place. Grâce à ce mécanisme, CARE devient plus proche et à l'écoute des bénéficiaires et des autorités locales. Pour les plaintes non sensibles, les feed-back étaient donnés à travers les kiosques communautaires ou le téléphone. En revanche pour les plaintes non sensibles, les partenaires ont créé un comité pour les traiter._x000a_Nous avons mis en place des bureaux de référencement en vue de recueillir les doléances des personnes vulnérables non pris en compte dans le processus de sélection des bénéficiaires et de procéder ainsi au remplacement des cas de doublon par de nouveaux bénéficiaires."/>
    <s v="L'implication des autorités locales dans la planification des activités, la préparation des séances de distribution, le choix des sites de distribution, et la mise en uvre des activités nous a facilité le travail et nous a permis d'assurer l'appropriation du programme par les communautés."/>
    <s v="Le recours à la formation des structures communautaires (Comité de Coordination Communal) proches des communautés, capables de mobiliser les bénéficiaires nous ont beaucoup aidé durant tout le processus d'implémentation du programme (du recensement des ménages à la mobilisation des bénéficiaires pour les séances de distribution en passant par les enquêtes de contre vérification des listes, et la préparation des kiosques communautaires)."/>
    <s v="L'utilisation des Institutions de Micro Finances et les Vendeurs locaux respectivement pour les distribution de cash et les échanges de coupons alimentaires. Grâce à l'expertise et la flexibilité des IMF et des vendeurs, nous avons pu desservi les bénéficiaires sans trop grande difficulté."/>
    <s v="La formation des CCC (Comité de Coordination Communal) au sein de structures communautaires avec lesquelles nous avons l'habitude de travailler. Nous devons nous assurer aussi que les CCC comprennent bien leurs rôles et leurs responsabilités, disposent de ressources nécessaires pour effectuer leurs tâches."/>
    <s v="Les évaluations post distribution  qui nous ont permis de mesurer le niveau de satisfaction des bénéficiaires, de voir l'évolution des indicateurs de résultats, et d'améliorer ainsi la qualité du programme."/>
    <s v="La mise en place d'un mécanisme de veille pour s'assurer que le protocole M&amp;E est respecté à la lettre."/>
    <m/>
    <m/>
    <n v="11883"/>
    <n v="0"/>
    <n v="0"/>
    <n v="0.54338130101826143"/>
    <s v=""/>
    <n v="6457"/>
    <n v="0"/>
    <n v="1"/>
    <n v="11883"/>
    <n v="0"/>
    <n v="0"/>
    <n v="1"/>
    <n v="10145"/>
    <n v="0"/>
    <n v="0"/>
    <s v=""/>
    <n v="0"/>
    <n v="0"/>
    <s v=""/>
    <n v="1"/>
    <n v="0"/>
    <n v="0"/>
    <s v=""/>
    <s v=""/>
    <n v="0"/>
    <n v="0"/>
    <s v=""/>
    <s v="2. Sensitive"/>
    <s v="2. Accommodating"/>
    <s v="2. Sensitive"/>
    <s v="It did not develop any specific innovation"/>
    <s v="Little or no advocacy"/>
    <s v="It linked and worked with strategic alliances and partners to take tested and effective solutions to scale"/>
  </r>
  <r>
    <x v="31"/>
    <x v="4"/>
    <n v="3575"/>
    <s v="Assistance Sociale dUrgence Sécheresse"/>
    <s v="Haiti"/>
    <s v="UFFPHT0031"/>
    <s v="CARE USA"/>
    <s v="Government"/>
    <s v="Government - US"/>
    <s v="USAID"/>
    <m/>
    <m/>
    <m/>
    <m/>
    <m/>
    <m/>
    <m/>
    <m/>
    <m/>
    <m/>
    <m/>
    <m/>
    <m/>
    <m/>
    <m/>
    <m/>
    <m/>
    <m/>
    <m/>
    <m/>
    <m/>
    <m/>
    <m/>
    <m/>
    <m/>
    <m/>
    <m/>
    <m/>
    <m/>
    <m/>
    <m/>
    <m/>
    <m/>
    <m/>
    <m/>
    <m/>
    <m/>
    <m/>
    <m/>
    <m/>
    <m/>
    <m/>
    <m/>
    <m/>
    <m/>
    <m/>
    <m/>
    <m/>
    <s v="Humanitarian Food &amp; Nutrition Security and Resilience to Climate Change"/>
    <n v="5888597"/>
    <s v="Afurika Juvenal"/>
    <s v="Directeur de Programme"/>
    <s v="juvenal@pap.care.org  "/>
    <s v="Fénold Clerval"/>
    <s v="Commodity Manager"/>
    <s v="fenold.clerval@care.org"/>
    <s v="YES"/>
    <s v="NO"/>
    <s v="NO"/>
    <s v="Le projet dASUS a pour objectif de répondre aux besoins urgents des ménages  vulnérables touchés par la sécheresse à travers des travaux à haute intensité de mains  duvre payant cash permettant une recapitalisation de ces derniers et une meilleur résilience communautaire aux sécheresses."/>
    <s v="Sub-National"/>
    <s v="Le département du sudest à travers les communes de Belle-Anse, Grand Grosier, Thiotte et Anse-à-Pitre et le département du Centre au niveau des communes de Thomassique et Cerca La Source.  "/>
    <s v="Les ménages vulnérables touchés par la sécheresse et ceux venant de la République Dominicaine"/>
    <m/>
    <m/>
    <n v="14785"/>
    <m/>
    <m/>
    <n v="69490"/>
    <s v="Le programme est implémenté pour supporté les ménages victimes de la sécheresse. Selon les données collectées dans les zones affectées, 14785 personnes sont touchées par ce phénomène._x000a_Chaque personne fait partie dun ménage. Avec 4.7 personnes par ménages, on a touché indirectement 69490 personnes."/>
    <m/>
    <n v="5767"/>
    <n v="8298"/>
    <n v="14065"/>
    <m/>
    <m/>
    <n v="66106"/>
    <s v="NO"/>
    <m/>
    <m/>
    <m/>
    <s v="NO"/>
    <m/>
    <m/>
    <m/>
    <s v="NO"/>
    <m/>
    <m/>
    <m/>
    <s v="YES"/>
    <n v="14065"/>
    <n v="0.41"/>
    <n v="66106"/>
    <s v="NO"/>
    <m/>
    <m/>
    <m/>
    <s v="NO"/>
    <m/>
    <m/>
    <m/>
    <s v="NO"/>
    <m/>
    <m/>
    <m/>
    <s v="NO"/>
    <m/>
    <m/>
    <m/>
    <s v="NO"/>
    <m/>
    <m/>
    <m/>
    <s v="NO"/>
    <m/>
    <m/>
    <m/>
    <s v="NO"/>
    <m/>
    <m/>
    <m/>
    <s v="YES"/>
    <n v="14065"/>
    <n v="0.41"/>
    <n v="66106"/>
    <m/>
    <s v="NO"/>
    <m/>
    <m/>
    <m/>
    <m/>
    <m/>
    <m/>
    <m/>
    <m/>
    <m/>
    <m/>
    <m/>
    <m/>
    <m/>
    <m/>
    <m/>
    <m/>
    <m/>
    <m/>
    <m/>
    <m/>
    <m/>
    <m/>
    <m/>
    <m/>
    <m/>
    <m/>
    <m/>
    <m/>
    <m/>
    <m/>
    <m/>
    <m/>
    <m/>
    <m/>
    <m/>
    <m/>
    <m/>
    <m/>
    <m/>
    <m/>
    <m/>
    <m/>
    <m/>
    <m/>
    <m/>
    <m/>
    <m/>
    <m/>
    <m/>
    <m/>
    <m/>
    <m/>
    <m/>
    <m/>
    <m/>
    <m/>
    <m/>
    <m/>
    <m/>
    <m/>
    <m/>
    <m/>
    <m/>
    <m/>
    <m/>
    <m/>
    <m/>
    <m/>
    <m/>
    <m/>
    <m/>
    <m/>
    <m/>
    <m/>
    <m/>
    <m/>
    <m/>
    <m/>
    <s v="YES"/>
    <s v="October"/>
    <n v="2016"/>
    <s v="NO"/>
    <s v="NO"/>
    <m/>
    <m/>
    <m/>
    <x v="0"/>
    <s v="NO"/>
    <s v="NO"/>
    <s v="NO"/>
    <s v="NO"/>
    <s v="NO"/>
    <s v="NO"/>
    <s v="NO"/>
    <s v="NO"/>
    <m/>
    <x v="0"/>
    <m/>
    <x v="1"/>
    <s v="Le programme est implémenté de concert avec les autorités étatiques au niveau National et local et des organisations de la société civile. Ca a permis dêtre plus proche de la population et toucher les ménages les plus vulnérables.  "/>
    <x v="1"/>
    <x v="0"/>
    <s v="YES"/>
    <x v="0"/>
    <x v="0"/>
    <x v="0"/>
    <x v="0"/>
    <n v="4"/>
    <x v="1"/>
    <x v="1"/>
    <x v="1"/>
    <x v="1"/>
    <x v="1"/>
    <x v="1"/>
    <n v="4"/>
    <x v="1"/>
    <x v="1"/>
    <x v="1"/>
    <x v="1"/>
    <x v="1"/>
    <n v="3"/>
    <x v="0"/>
    <x v="3"/>
    <n v="2"/>
    <s v="National government"/>
    <s v="Local government(s)"/>
    <s v="Grassroots organization(s)"/>
    <x v="2"/>
    <s v="Nous avons travaillé et formé les membres des CADEC et de la Marie pour renforcer leur capacité en matière de suivi et évaluation des programmes durgence. Grace aux formations reçues, ils ont pu faire réaliser des visites de supervision des activités réalisées dans le cadre du Cash For Work du programme.  "/>
    <m/>
    <s v="Limplication des autorités locales dans le choix des bénéficiaires et des sites dintervention"/>
    <s v="Le choix des institutions de microfinance des zones dintervention pour effectuer le payroll des travailleurs cash for work"/>
    <s v="La réalisation des focus group et entretien individuel pour connaitre la perception des bénéficiaires et des leaders communautaires sur limplémentation du projet"/>
    <s v="Le choix dun site dans un projet cash for work doit être fait de concert avec le staff du projet, les autorités locales et les propriétaires des sites"/>
    <s v="Le staff dun projet doit être partie prenante du comité ayant pour objectif de choisir les bénéficiaires"/>
    <s v="Un projet durgence ne doit pas être assujetti à des procédures destinées à des projets de développement"/>
    <m/>
    <m/>
    <n v="14065"/>
    <n v="66106"/>
    <n v="4.7000355492356913"/>
    <n v="0.41002488446498403"/>
    <n v="0"/>
    <n v="5767"/>
    <n v="0"/>
    <n v="1"/>
    <n v="14065"/>
    <n v="66106"/>
    <n v="4.7000355492356913"/>
    <n v="1"/>
    <n v="14065"/>
    <n v="66106"/>
    <n v="4.7000355492356913"/>
    <s v=""/>
    <n v="0"/>
    <n v="0"/>
    <s v=""/>
    <s v=""/>
    <n v="0"/>
    <n v="0"/>
    <s v=""/>
    <s v=""/>
    <n v="0"/>
    <n v="0"/>
    <s v=""/>
    <s v="2. Sensitive"/>
    <s v="2. Accommodating"/>
    <s v="2. Sensitive"/>
    <s v="It did not develop any specific innovation"/>
    <s v="Little or no advocacy"/>
    <s v="It linked and worked with strategic alliances and partners to take tested and effective solutions to scale"/>
  </r>
  <r>
    <x v="31"/>
    <x v="4"/>
    <m/>
    <s v="Cash-based response to hurricane Matthew emergency project / Ansanm Nap Kanpe Ak Diyite (ANKAD)"/>
    <s v="Haiti"/>
    <s v="UFFPHT0034"/>
    <s v="CARE USA"/>
    <s v="Government"/>
    <s v="Government - US"/>
    <s v="USAID"/>
    <m/>
    <m/>
    <m/>
    <m/>
    <m/>
    <m/>
    <m/>
    <m/>
    <m/>
    <m/>
    <m/>
    <m/>
    <m/>
    <m/>
    <m/>
    <m/>
    <m/>
    <m/>
    <m/>
    <m/>
    <m/>
    <m/>
    <m/>
    <m/>
    <m/>
    <m/>
    <m/>
    <m/>
    <m/>
    <m/>
    <m/>
    <m/>
    <m/>
    <m/>
    <m/>
    <m/>
    <m/>
    <m/>
    <m/>
    <m/>
    <m/>
    <m/>
    <m/>
    <m/>
    <m/>
    <d v="2016-10-17T00:00:00"/>
    <d v="2017-02-16T00:00:00"/>
    <d v="2017-09-01T00:00:00"/>
    <s v="Humanitarian Food &amp; Nutrition Security and Resilience to Climate Change"/>
    <n v="14421000"/>
    <s v="Laura SEWELL"/>
    <s v="Assistant Country Director (CARE Haïti)"/>
    <s v="laura.sewell@care.org"/>
    <s v="Magalie François BENJAMIN"/>
    <s v="Emergency Team Leader, Grand'Anse"/>
    <s v="magalie.benjamin@care.org"/>
    <s v="YES"/>
    <s v="NO"/>
    <s v="NO"/>
    <s v="Contribuer à l'assistance des populations affectées pour qu'elles puissent satisfaire leurs besoins alimentaires de base."/>
    <s v="Sub-National"/>
    <s v="Nous intervenons dans 3 départements (Grand'Anse, Nippes, Sud) à travers 18 communes (Abricots, Chambellan, Dame-Marie, Jérémie, Les Irois, Moron, Roseaux pour la Grand'Anse; Petit Trou de Nippes pour les Nippes; Cavaillon, Chantal, Chardonnières, Côteau, Iles-à-Vache, Les Anglais, Maniche, Port-à-Piment, Roche-à-Bateau, Tiburon pour le Sud)."/>
    <s v="Les ménages pauvres et vulnérables de la Grand'Anse, des Nippes et du Sud affectés par l'ouragan Matthew."/>
    <m/>
    <m/>
    <n v="482916"/>
    <m/>
    <m/>
    <n v="120729"/>
    <s v="Le programme ANKAD est implémenté dans 18 Communes de trois départements du Pays. Tous les ménages touchés lors du passage de louragan Matthew sont considérés comme des bénéficiaires directes. En effet, selon les chiffres de lInstitut Haïtien de Statistique et dInformatique (IHSI) (Estimation population totale, 18 ans, ménages 2015), le nombre total de ménages, pour les 18 communes dintervention sélèvent à 128,435. Le gouvernement haïtien estime que 80% des ménages étaient victimes lors du passage de Matthew. Cest donc la raison pour laquelle le nombre total de bénéficiaires directs du programme sélève à 102,748 ménages ou encore 482,916 personnes à raison de 4.7 personnes par ménages (RGPH 2003)._x000a_En ce qui a trait aux bénéficiaires indirects, on a considéré le reste de 20% soit 25687 ménages qui représentent 120,729 personnes avec encore 4.7 personnes par ménages (RGPH 2003)."/>
    <m/>
    <m/>
    <m/>
    <n v="484502"/>
    <m/>
    <m/>
    <n v="120729"/>
    <s v="NO"/>
    <m/>
    <m/>
    <m/>
    <s v="YES"/>
    <n v="484502"/>
    <m/>
    <m/>
    <s v="NO"/>
    <m/>
    <m/>
    <m/>
    <s v="YES"/>
    <n v="484502"/>
    <m/>
    <n v="120729"/>
    <s v="NO"/>
    <m/>
    <m/>
    <m/>
    <s v="NO"/>
    <m/>
    <m/>
    <m/>
    <s v="NO"/>
    <m/>
    <m/>
    <m/>
    <s v="Yes"/>
    <n v="484502"/>
    <m/>
    <m/>
    <s v="NO"/>
    <m/>
    <m/>
    <m/>
    <s v="NO"/>
    <m/>
    <m/>
    <m/>
    <s v="NO"/>
    <m/>
    <m/>
    <m/>
    <s v="NO"/>
    <m/>
    <m/>
    <m/>
    <m/>
    <s v="NO"/>
    <m/>
    <m/>
    <m/>
    <m/>
    <m/>
    <m/>
    <m/>
    <m/>
    <m/>
    <m/>
    <m/>
    <m/>
    <m/>
    <m/>
    <m/>
    <m/>
    <m/>
    <m/>
    <m/>
    <m/>
    <m/>
    <m/>
    <m/>
    <m/>
    <m/>
    <m/>
    <m/>
    <m/>
    <m/>
    <m/>
    <m/>
    <m/>
    <m/>
    <m/>
    <m/>
    <m/>
    <m/>
    <m/>
    <m/>
    <m/>
    <m/>
    <m/>
    <m/>
    <m/>
    <m/>
    <m/>
    <m/>
    <m/>
    <m/>
    <m/>
    <m/>
    <m/>
    <m/>
    <m/>
    <m/>
    <m/>
    <m/>
    <m/>
    <m/>
    <m/>
    <m/>
    <m/>
    <m/>
    <m/>
    <m/>
    <m/>
    <m/>
    <m/>
    <m/>
    <m/>
    <m/>
    <m/>
    <m/>
    <m/>
    <m/>
    <m/>
    <m/>
    <m/>
    <s v="YES"/>
    <s v="February"/>
    <n v="2017"/>
    <s v="NO"/>
    <s v="YES"/>
    <s v="July"/>
    <n v="2017"/>
    <s v="L'évaluation finale du projet sera réalisée au cours du mois de Juillet 2017. Les données seront collectées fondamentalement au niveau primaire selon une méthodologie mixte (quantitative et qualitative)._x000a_Les questionnaires individuels seront administrés aux bénéficiaires des 18 communes d'intervention (Choisis suivant un tirage aléatoire en fonction des communes d'intervention)._x000a_Un Focus group sera réalisé au niveau de chaque commune avec un échantillon représentatif de l'ensemble des sections communales)._x000a_Par ailleurs, des entretiens individuels seront effectués avec les autorites locales et/ou leaders communautaires impliqués dans l'implémentation du projet."/>
    <x v="1"/>
    <s v="NO"/>
    <s v="NO"/>
    <s v="NO"/>
    <s v="NO"/>
    <s v="NO"/>
    <s v="NO"/>
    <s v="NO"/>
    <s v="YES"/>
    <s v="Dans le cadre de ce programme, on a fait des plaidoyers aux près des partenaires pour que 30% des membres des Comités de Coordination Communautaires soient des femmes.  "/>
    <x v="1"/>
    <s v="Le programme est mis en place sur deux phases. Une première où lon a fait de la distribution de cash léger à 80% de la population totale des zones cibles et une deuxième phase où seulement 15% de ces ménages ont reçu de largent en échange des travaux communautaires effectués au niveau des zones. L'innovation est a deux niveaux: le premier porte sur le modele cash for work leger ou les beneficiaires travaillent pendant 1 ou 2 jours pour accomplir un travail leger et le suivi est fait sur le resultat et non sur les personnes. Le deuxieme est sur le modele d'implication de la communaute dans la reponse d'urgence a travers un &quot;conseil consultatif communautaire (CCC) qui comprend un representant de toutes les localites de la commune et ce CCC est implique dans la selection des beneficiaires, le choix des sites de travail, la communication etc.  "/>
    <x v="1"/>
    <s v="Le programme est implémenté de concert avec 4 ONG partenaires, les autorités étatiques au niveau National et local et des organisations de la société civile. Ca a permis dêtre plus proche de la population et toucher les ménages les plus vulnérables.  "/>
    <x v="1"/>
    <x v="0"/>
    <s v="YES"/>
    <x v="0"/>
    <x v="0"/>
    <x v="0"/>
    <x v="0"/>
    <n v="4"/>
    <x v="1"/>
    <x v="1"/>
    <x v="1"/>
    <x v="1"/>
    <x v="1"/>
    <x v="1"/>
    <n v="4"/>
    <x v="1"/>
    <x v="1"/>
    <x v="1"/>
    <x v="1"/>
    <x v="1"/>
    <n v="3"/>
    <x v="0"/>
    <x v="2"/>
    <n v="5"/>
    <s v="National government"/>
    <s v="International NGO(s)"/>
    <s v="Local government(s)"/>
    <x v="2"/>
    <s v="Nous avons particulièrement formé des Comités de Coordination Communal à travers les différentes structures communautaires dans nos zones d'intervention en vue de la mobilisation des bénéficiaires et de profiter de leur appui quant à la mise en oeuvre des activités."/>
    <s v="Pour faire face au problème d'identification des bénéficiaires qui n'ont pas eu de pièces d'identité valides, les Organisations-partenaires ont eu recours à des autorités locales (notamment les membres des Comités de Coordination Communal) comme personne de référence._x000a_Au cours du programme, les partenaires ont compris la nécessité de se mettre d'accord sur un protocole M&amp;E harmonisé. Cela a permis aux différents partenaires d'avoir une compréhension commune des différents indicateurs, d'utiliser les mêmes outils de collecte et de rapportage. Les évaluations post distributions légères réalisées à l'issue de chaque distribution nous ont ainsi permis de connaitre le niveau de satisfaction des bénéficiaires par rapport à l'implémentation du programme. Par ailleurs, les résultats des évaluations (post distribution, intermédiaire) ont été utilisés respectivement pour améliorer la qualité du programme et voir l'évolution des indicateurs de résultats._x000a_Dans le but de recueillir les plaintes, les feed-back et les commentaires des communautés notamment des bénéficiaires directs, un mécanisme comportant plusieurs éléments (Boîtes à suggestion, lignes téléphoniques gratuites) a été mis en place. Grâce à ce mécanisme, les partenaires étaient plus proches et à l'écoute des bénéficiaires et des autorités locales. Pour les plaintes non sensibles, les feed-back étaient donnés à travers les kiosques communautaires ou le téléphone. En revanche pour les plaintes non sensibles, les partenaires ont créé un comité pour les traiter."/>
    <s v="L'implication des autorités locales dans la planification des activités, la préparation des séances de distribution, le choix des sites de distribution, et la mise en uvre des activités nous a facilité le travail et nous a permis d'assurer l'appropriation du programme par les communautés."/>
    <s v="Le recours à la formation des structures communautaires (Comité de Coordination Communal) proches des communautés, capables de mobiliser les bénéficiaires nous ont beaucoup aidé durant tout le processus d'implémentation du programme (du recensement des ménages à la mobilisation des bénéficiaires pour les séances de distribution en passant par les enquêtes de contre vérification des listes, et la préparation des kiosques communautaires)."/>
    <s v="L'utilisation des Institutions de Micro Finances pour les distribution de cash. Grâce à l'expertise et la flexibilité des IMF, nous avons pu desservir les bénéficiaires sans trop grande difficulté."/>
    <s v="La formation des CCC (Comité de Coordination Communal) au sein de structures communautaires avec lesquelles nous avons l'habitude de travailler. Nous devons nous assurer aussi que les CCC comprennent bien leurs rôles et leurs responsabilités, disposent de ressources nécessaires pour effectuer leurs tâches."/>
    <s v="La définition d'une stratégie de communication claire de concert avec tous les partenaires locaux prenant en compte tous les paramètres de la sélection des bénéficiaires."/>
    <s v="La mise en place d'un mécanisme de veille pour s'assurer que le protocole M&amp;E est respecté à la lettre."/>
    <m/>
    <m/>
    <n v="484502"/>
    <n v="120729"/>
    <n v="0.24918163392514375"/>
    <n v="0"/>
    <n v="0"/>
    <n v="0"/>
    <n v="0"/>
    <n v="1"/>
    <n v="484502"/>
    <n v="120729"/>
    <n v="0.24918163392514375"/>
    <n v="1"/>
    <n v="484502"/>
    <n v="120729"/>
    <n v="0.24918163392514375"/>
    <s v=""/>
    <n v="0"/>
    <n v="0"/>
    <s v=""/>
    <s v=""/>
    <n v="0"/>
    <n v="0"/>
    <s v=""/>
    <s v=""/>
    <n v="0"/>
    <n v="0"/>
    <s v=""/>
    <s v="2. Sensitive"/>
    <s v="2. Accommodating"/>
    <s v="2. Sensitive"/>
    <s v="It tested new ways for fighting poverty, but did not measure results of innovation"/>
    <s v="Moderate advocacy"/>
    <s v="It linked and worked with strategic alliances and partners to take tested and effective solutions to scale"/>
  </r>
  <r>
    <x v="31"/>
    <x v="4"/>
    <m/>
    <s v="Haiti Gagne: Lire, Ecrire et Reussir"/>
    <s v="Haiti"/>
    <s v="UNCFHT0011"/>
    <s v="CARE USA"/>
    <s v="Multilateral agency"/>
    <s v="UN - United Nations agencies/offices"/>
    <s v="UNICEF"/>
    <m/>
    <m/>
    <m/>
    <m/>
    <m/>
    <m/>
    <m/>
    <m/>
    <m/>
    <m/>
    <m/>
    <m/>
    <m/>
    <m/>
    <m/>
    <m/>
    <m/>
    <m/>
    <m/>
    <m/>
    <m/>
    <m/>
    <m/>
    <m/>
    <m/>
    <m/>
    <m/>
    <m/>
    <m/>
    <m/>
    <m/>
    <m/>
    <m/>
    <m/>
    <m/>
    <m/>
    <m/>
    <m/>
    <m/>
    <m/>
    <m/>
    <m/>
    <m/>
    <m/>
    <m/>
    <d v="2017-01-01T00:00:00"/>
    <d v="2018-06-30T00:00:00"/>
    <m/>
    <s v="Development Other"/>
    <n v="2820929"/>
    <s v="Maude MORIN"/>
    <s v="Chief Of Party (COP)"/>
    <s v="maude.morin@care.org"/>
    <s v="Marie Nelie JEANTILLON"/>
    <s v="Specialiste en Education de Qualite et Formation"/>
    <s v="MarieNelie.Jeantillon@care.org"/>
    <s v="NO"/>
    <s v="YES"/>
    <s v="NO"/>
    <s v="En 2021, les filles et les garcons en milieu rural acquièrent les compétences de base requises dans un systeme éducatif inclusif de qualité"/>
    <s v="Sub-National"/>
    <s v="Département : Nord et Sud'est._x000a_Communes : Cap-Haitien, Limbe, Quartier Morin, Milot, Plaisance, Pilate, Port-Margot, Dondon, Borgne, Thiotte, Anse-a-Pitre, Grand Gosier et Belle-Anse."/>
    <s v="Les éleves de la 1ere année à la 4e annee"/>
    <m/>
    <m/>
    <n v="16390"/>
    <m/>
    <m/>
    <n v="376"/>
    <s v="Les bénéficiaires directs dans le cadre de projet sont lensemble des élèves des 57 écoles partenaires. En faisant le calcul, on a abouti à un total de 16390 élèves._x000a_Lobjectif du projet étant de permettre aux garçons et aux filles dacquérir les compétences de base requises dans un système éducatif inclusif de qualité, on a considéré comme bénéficiaires indirect toutes les parties prenantes avec lesquelles on va travailler pour atteindre cet objectif. Et ces parties prenantes sont: les Professeurs, les Directeurs et les Inspecteurs des écoles concernées. La somme donne 376."/>
    <m/>
    <m/>
    <m/>
    <m/>
    <m/>
    <m/>
    <m/>
    <m/>
    <m/>
    <m/>
    <m/>
    <m/>
    <m/>
    <m/>
    <m/>
    <m/>
    <m/>
    <m/>
    <m/>
    <m/>
    <m/>
    <m/>
    <m/>
    <m/>
    <m/>
    <m/>
    <m/>
    <m/>
    <m/>
    <m/>
    <m/>
    <m/>
    <m/>
    <m/>
    <m/>
    <m/>
    <m/>
    <m/>
    <m/>
    <m/>
    <m/>
    <m/>
    <m/>
    <m/>
    <m/>
    <m/>
    <m/>
    <m/>
    <m/>
    <m/>
    <m/>
    <m/>
    <m/>
    <m/>
    <m/>
    <m/>
    <m/>
    <m/>
    <m/>
    <m/>
    <m/>
    <m/>
    <m/>
    <m/>
    <m/>
    <m/>
    <s v="NO"/>
    <m/>
    <m/>
    <m/>
    <s v="NO"/>
    <m/>
    <m/>
    <m/>
    <s v="NO"/>
    <m/>
    <m/>
    <m/>
    <s v="NO"/>
    <m/>
    <m/>
    <m/>
    <s v="NO"/>
    <m/>
    <m/>
    <m/>
    <s v="YES"/>
    <m/>
    <m/>
    <m/>
    <s v="NO"/>
    <m/>
    <m/>
    <m/>
    <s v="NO"/>
    <m/>
    <m/>
    <m/>
    <s v="YES"/>
    <m/>
    <m/>
    <m/>
    <s v="NO"/>
    <m/>
    <m/>
    <m/>
    <s v="NO"/>
    <m/>
    <m/>
    <m/>
    <s v="NO"/>
    <m/>
    <m/>
    <m/>
    <s v="NO"/>
    <m/>
    <m/>
    <m/>
    <s v="NO"/>
    <m/>
    <m/>
    <m/>
    <s v="NO"/>
    <m/>
    <m/>
    <m/>
    <s v="NO"/>
    <m/>
    <m/>
    <m/>
    <m/>
    <m/>
    <m/>
    <m/>
    <m/>
    <s v="YES"/>
    <s v="June"/>
    <n v="2017"/>
    <s v="NO"/>
    <s v="YES"/>
    <s v="May"/>
    <n v="2018"/>
    <m/>
    <x v="1"/>
    <s v="NO"/>
    <s v="NO"/>
    <s v="NO"/>
    <s v="NO"/>
    <s v="NO"/>
    <s v="NO"/>
    <s v="NO"/>
    <s v="YES"/>
    <m/>
    <x v="0"/>
    <m/>
    <x v="1"/>
    <m/>
    <x v="1"/>
    <x v="0"/>
    <s v="YES"/>
    <x v="0"/>
    <x v="0"/>
    <x v="0"/>
    <x v="0"/>
    <n v="4"/>
    <x v="1"/>
    <x v="1"/>
    <x v="1"/>
    <x v="1"/>
    <x v="1"/>
    <x v="1"/>
    <n v="4"/>
    <x v="1"/>
    <x v="1"/>
    <x v="2"/>
    <x v="0"/>
    <x v="3"/>
    <n v="1"/>
    <x v="2"/>
    <x v="0"/>
    <n v="3"/>
    <s v="National government"/>
    <s v="International NGO(s)"/>
    <s v="Local government(s)"/>
    <x v="1"/>
    <m/>
    <s v="Pas de changements"/>
    <s v="La collecte dinformations detaillées sur le statut des enseignants pour faire le plaidoyer auprès des DDE pour obtenir des enseignants réguliers et stables dans le projet. CARE a fourni un etat des lieux detaillé de la situation des enseignats au sud-est qui a permis a la DDE de prendre des decisions sur le transfert denseignants dun niveau a un autre pour garantir que les 1AF et 2AF aient des enseignants fiables"/>
    <s v="Lappui institutionnel aux DDE/ BDS/BIZ au travers de commissions au sein desquelles CARE apporte son appui technique pour la définition des besoins et du budget afférent ce qui a permis de completer le projet et de responsabiliser les entités etatiques pour leur participation au projet"/>
    <m/>
    <s v="Le travail sur la gouvernance locale et la redevabilité des agents du MENFP doit rester un point dattention sur toute la durée du projet et les relations avec les DDE et inspecteurs sont cruciales pour latteinte des résultats du projet"/>
    <s v="Le projet etant basé sur la qualité, les interventions ne doivent pas nécessairement être mises en uvre dans toutes les écoles et à destination de tous les enfants, des approches pilotes sont recommandées pour tester des solutions efficaces (camps dété, système dalerte précoce, clubs de lectures"/>
    <m/>
    <m/>
    <m/>
    <n v="0"/>
    <n v="0"/>
    <s v=""/>
    <s v=""/>
    <s v=""/>
    <n v="0"/>
    <n v="0"/>
    <s v=""/>
    <n v="0"/>
    <n v="0"/>
    <s v=""/>
    <s v=""/>
    <n v="0"/>
    <n v="0"/>
    <s v=""/>
    <s v=""/>
    <n v="0"/>
    <n v="0"/>
    <s v=""/>
    <s v=""/>
    <n v="0"/>
    <n v="0"/>
    <s v=""/>
    <s v=""/>
    <n v="0"/>
    <n v="0"/>
    <s v=""/>
    <s v="2. Sensitive"/>
    <s v="2. Accommodating"/>
    <s v="1. Neutral"/>
    <s v="It did not develop any specific innovation"/>
    <s v="Moderate advocacy"/>
    <s v="It linked and worked with strategic alliances and partners to take tested and effective solutions to scale"/>
  </r>
  <r>
    <x v="31"/>
    <x v="4"/>
    <m/>
    <s v="Hurricane Matthew Emergency Response and Recovery Project / Réponses d'urgence à l'ouragan Matthew"/>
    <s v="Haiti"/>
    <s v="GATEHT0002"/>
    <s v="CARE USA"/>
    <s v="Foundation"/>
    <s v="Bill &amp; Melinda Gates Foundation"/>
    <s v="Bill &amp; Melinda Gates Foundation"/>
    <s v="INTLHT0001"/>
    <s v="CARE USA"/>
    <s v="Corporation"/>
    <s v="Other"/>
    <s v="Intel Corporation"/>
    <s v="WALMHT0001"/>
    <s v="CARE USA"/>
    <s v="Corporation"/>
    <s v="Other"/>
    <s v="Walmart"/>
    <s v="CDEUHT0062"/>
    <s v="CARE Deutschland-Luxemburg"/>
    <s v="Government"/>
    <s v="Government - Luxemburg"/>
    <s v="Ministry of Foreign Affairs of Luxemburg"/>
    <m/>
    <m/>
    <m/>
    <m/>
    <m/>
    <m/>
    <m/>
    <m/>
    <m/>
    <m/>
    <m/>
    <m/>
    <m/>
    <m/>
    <m/>
    <m/>
    <m/>
    <m/>
    <m/>
    <m/>
    <m/>
    <m/>
    <m/>
    <m/>
    <m/>
    <m/>
    <m/>
    <m/>
    <m/>
    <m/>
    <d v="2016-10-17T00:00:00"/>
    <d v="2017-02-16T00:00:00"/>
    <d v="2018-10-30T00:00:00"/>
    <s v="Humanitarian Other"/>
    <n v="1241067"/>
    <s v="Laura SEWELL"/>
    <s v="Assistant Country Directo"/>
    <s v="laura.sewell@care.org"/>
    <s v="Jean Elie Joseph"/>
    <s v="Coordonnateur de terrain"/>
    <s v="magalie.benjamin@care.org"/>
    <s v="YES"/>
    <s v="NO"/>
    <s v="NO"/>
    <s v="Apporter une assistance d'urgence aux ménages vulnérables affectés par l'ouragan Matthew."/>
    <s v="Sub-National"/>
    <s v="Nous intervenons au niveau de 5 communes du département de la Grand'Anse (Chambellan, Dame-Marie, Jérémie, Moron, Roseaux)"/>
    <s v="Les ménages pauvres et vulnérables de la Grand'Anse affectés par l'ouragan Matthew."/>
    <m/>
    <m/>
    <n v="98000"/>
    <m/>
    <m/>
    <n v="460600"/>
    <s v="Dans le cadre de ces programmes, les personnes visées sont celles victimes par l’ouragan Matthew dans les communes de Chambellan, Dame-Marie, Jérémie, Moron, Roseaux. L’ensemble de ces personnes est au nombre de 98000. Considérant que chacune d’elle est issue d’une famille, et avec la moyenne de 4.7 personnes par famille, le nombre de bénéficiaires indirectement touché par le programme s’élève à 460600. "/>
    <m/>
    <m/>
    <m/>
    <n v="97625"/>
    <m/>
    <m/>
    <n v="458838"/>
    <s v="NO"/>
    <m/>
    <m/>
    <m/>
    <s v="NO"/>
    <m/>
    <m/>
    <m/>
    <s v="YES"/>
    <n v="13202"/>
    <m/>
    <n v="62049"/>
    <s v="YES"/>
    <n v="1894"/>
    <m/>
    <n v="8902"/>
    <s v="YES"/>
    <n v="3133"/>
    <m/>
    <n v="14725"/>
    <s v="NO"/>
    <m/>
    <m/>
    <m/>
    <s v="NO"/>
    <m/>
    <m/>
    <m/>
    <s v="Yes"/>
    <n v="10500"/>
    <m/>
    <n v="49350"/>
    <s v="YES"/>
    <n v="3206"/>
    <m/>
    <n v="15068"/>
    <s v="NO"/>
    <m/>
    <m/>
    <m/>
    <s v="YES"/>
    <n v="4040"/>
    <m/>
    <n v="18988"/>
    <s v="YES"/>
    <n v="61656"/>
    <m/>
    <n v="289783"/>
    <s v="NO"/>
    <s v="NO"/>
    <m/>
    <m/>
    <m/>
    <m/>
    <m/>
    <m/>
    <m/>
    <m/>
    <m/>
    <m/>
    <m/>
    <m/>
    <m/>
    <m/>
    <m/>
    <m/>
    <m/>
    <m/>
    <m/>
    <m/>
    <m/>
    <m/>
    <m/>
    <m/>
    <m/>
    <m/>
    <m/>
    <m/>
    <m/>
    <m/>
    <m/>
    <m/>
    <m/>
    <m/>
    <m/>
    <m/>
    <m/>
    <m/>
    <m/>
    <m/>
    <m/>
    <m/>
    <m/>
    <m/>
    <m/>
    <m/>
    <m/>
    <m/>
    <m/>
    <m/>
    <m/>
    <m/>
    <m/>
    <m/>
    <m/>
    <m/>
    <m/>
    <m/>
    <m/>
    <m/>
    <m/>
    <m/>
    <m/>
    <m/>
    <m/>
    <m/>
    <m/>
    <m/>
    <m/>
    <m/>
    <m/>
    <m/>
    <m/>
    <m/>
    <m/>
    <m/>
    <m/>
    <m/>
    <s v="YES"/>
    <s v="June "/>
    <n v="2017"/>
    <s v="NO"/>
    <m/>
    <m/>
    <m/>
    <m/>
    <x v="0"/>
    <s v="NO"/>
    <s v="NO"/>
    <s v="NO"/>
    <s v="NO"/>
    <s v="NO"/>
    <s v="NO"/>
    <s v="NO"/>
    <s v="NO"/>
    <m/>
    <x v="1"/>
    <m/>
    <x v="1"/>
    <s v="Le programme est implémenté de concert avec 4 ONG partenaires, les autorités étatiques au niveau National et local et des organisations de la société civile. Ca a permis d’être plus proche de la population et toucher les ménages les plus vulnérables."/>
    <x v="1"/>
    <x v="0"/>
    <s v="YES"/>
    <x v="0"/>
    <x v="0"/>
    <x v="0"/>
    <x v="0"/>
    <n v="4"/>
    <x v="1"/>
    <x v="1"/>
    <x v="1"/>
    <x v="1"/>
    <x v="1"/>
    <x v="1"/>
    <n v="4"/>
    <x v="1"/>
    <x v="1"/>
    <x v="1"/>
    <x v="1"/>
    <x v="1"/>
    <n v="3"/>
    <x v="0"/>
    <x v="3"/>
    <n v="3"/>
    <s v="National government"/>
    <s v="International NGO(s)"/>
    <s v="Local government(s)"/>
    <x v="2"/>
    <s v="Nous avons particulièrement formé des Comités de Coordination Communal à travers les différentes structures communautaires dans nos zones d'intervention en vue de la mobilisation des bénéficiaires et de profiter de leur appui quant à la mise en oeuvre des activités."/>
    <s v="Dans le but de recueillir les plaintes, les feed-back et les commentaires des communautés notamment des bénéficiaires directs, un mécanisme comportant plusieurs éléments (Boîtes à suggestion, lignes téléphoniques gratuites) a été mis en place. Grâce à ce mécanisme, CARE devient plus proche et à l'écoute des bénéficiaires et des autorités locales. Pour les plaintes non sensibles, les feed-back étaient donnés à travers les kiosques communautaires ou le téléphone. En revanche pour les plaintes non sensibles, les partenaires ont créé un comité pour les traiter._x000a__x000a_Nous avons mis en place des bureaux de référencement en vue de recueillir les doléances des personnes vulnérables non pris en compte dans le processus de sélection des bénéficiaires et de procéder ainsi au remplacement des cas de doublon par de nouveaux bénéficiaires."/>
    <s v="L'implication des autorités locales dans la planification des activités, la préparation des séances de distribution, le choix des sites de distribution, et la mise en œuvre des activités nous a facilité le travail et nous a permis d'assurer l'appropriation du programme par les communautés."/>
    <s v="Le recours à la formation des structures communautaires (Comité de Coordination Communal) proches des communautés, capables de mobiliser les bénéficiaires nous ont beaucoup aidé durant tout le processus d'implémentation du programme (du recensement des ménages à la mobilisation des bénéficiaires pour les séances de distribution en passant par les enquêtes de contre vérification des listes, et la préparation des kiosques communautaires)."/>
    <s v="L'utilisation des Institutions de Micro Finances et les Vendeurs locaux respectivement pour les distribution de cash et les échanges de coupons alimentaires. Grâce à l'expertise et la flexibilité des IMF et des vendeurs, nous avons pu desservi les bénéficiaires sans trop grande difficulté."/>
    <s v="La formation des CCC (Comité de Coordination Communal) au sein de structures communautaires avec lesquelles nous avons l'habitude de travailler. Nous devons nous assurer aussi que les CCC comprennent bien leurs rôles et leurs responsabilités, disposent de ressources nécessaires pour effectuer leurs tâches."/>
    <s v="Les évaluations post distribution  qui nous ont permis de mesurer le niveau de satisfaction des bénéficiaires, de voir l'évolution des indicateurs de résultats, et d'améliorer ainsi la qualité du programme."/>
    <s v="La mise en place d'un mécanisme de veille pour s'assurer que le protocole M&amp;E est respecté à la lettre."/>
    <m/>
    <m/>
    <n v="97625"/>
    <n v="458838"/>
    <n v="4.7000051216389247"/>
    <n v="0"/>
    <n v="0"/>
    <n v="0"/>
    <n v="0"/>
    <n v="1"/>
    <n v="97625"/>
    <n v="458838"/>
    <n v="4.7000051216389247"/>
    <n v="1"/>
    <n v="10500"/>
    <n v="49350"/>
    <n v="4.7"/>
    <s v=""/>
    <n v="0"/>
    <n v="0"/>
    <s v=""/>
    <n v="1"/>
    <n v="3133"/>
    <n v="14725"/>
    <n v="4.6999680817108205"/>
    <s v=""/>
    <n v="0"/>
    <n v="0"/>
    <s v=""/>
    <s v="2. Sensitive"/>
    <s v="2. Accommodating"/>
    <s v="2. Sensitive"/>
    <s v="It tested new ways for fighting poverty, but did not measure results of innovation"/>
    <s v="Little or no advocacy"/>
    <s v="It linked and worked with strategic alliances and partners to take tested and effective solutions to scale"/>
  </r>
  <r>
    <x v="31"/>
    <x v="4"/>
    <n v="3577"/>
    <s v="KORE LAVI"/>
    <s v="Haiti"/>
    <s v="UFFPHT0017/UFFPHT0018"/>
    <s v="CARE USA"/>
    <s v="Government"/>
    <s v="Government - US"/>
    <s v="USAID"/>
    <m/>
    <m/>
    <m/>
    <m/>
    <m/>
    <m/>
    <m/>
    <m/>
    <m/>
    <m/>
    <m/>
    <m/>
    <m/>
    <m/>
    <m/>
    <m/>
    <m/>
    <m/>
    <m/>
    <m/>
    <m/>
    <m/>
    <m/>
    <m/>
    <m/>
    <m/>
    <m/>
    <m/>
    <m/>
    <m/>
    <m/>
    <m/>
    <m/>
    <m/>
    <m/>
    <m/>
    <m/>
    <m/>
    <m/>
    <m/>
    <m/>
    <m/>
    <m/>
    <m/>
    <m/>
    <d v="2013-10-01T00:00:00"/>
    <d v="2017-09-01T00:00:00"/>
    <d v="2019-09-01T00:00:00"/>
    <s v="Development Food &amp; Nutrition Security and Resilience to Climate Change"/>
    <n v="80000000"/>
    <s v="Afurika Juvenal"/>
    <s v="Chief of Parti"/>
    <s v="juvenal.afurika@care.org"/>
    <s v="Supreme Roseval"/>
    <s v="Deputy Chief of Party"/>
    <s v="supreme.roseval@care.org"/>
    <s v="YES"/>
    <s v="YES"/>
    <s v="YES"/>
    <s v="Réduire l'insécurité alimentaire et la vulnérabilité en soutenant le gouvernement d'Haïti dans l’établissement  d’ un système de filet de sécurité reproductible et l'expansion des capacités à prévenir la dénutrition des enfants."/>
    <s v="Sub-National"/>
    <s v="Département : Artibonite, Nord-Ouest, Centre, Sud-Est et Ouest_x000a_Communes : Anse Rouge, Gonaives, Terre-Neuve / Baie de Henne, Bassin Bleu, Bombardopolis, Jean Rabel, Mole Saint-Nicolas, Port-de-Paix / Anse-à-Pitre, Cote de fer, Grand Gossier, La Vallée, Thiotte, Belle Anse, Cayes Jacmel / Boucan Carré, CercaCarvajal, Thomonde, Thomassique, Cerca la Source, Hinche / Anse a gallet, Pointe a Raquette"/>
    <s v="Les familles les plus vulnerables des zones d'intervention, les femmes enceintes et allaitantes, les enfents moins de 2ans et moins de 5 ans"/>
    <m/>
    <m/>
    <n v="482429"/>
    <m/>
    <m/>
    <n v="821026"/>
    <s v="L’ensemble des ménages vulnérables dans les zones cibles constituent les bénéficiaires directs du programme. Les bénéficiaires indirects regroupent les employés du MAST au niveau départemental et national, les vendeurs du programme et d’autres personnes qui vivent dans les zones cibles. "/>
    <m/>
    <n v="57659"/>
    <n v="43395"/>
    <n v="101054"/>
    <n v="564706"/>
    <n v="241307.3"/>
    <n v="806013"/>
    <m/>
    <m/>
    <m/>
    <m/>
    <m/>
    <m/>
    <m/>
    <m/>
    <m/>
    <m/>
    <m/>
    <m/>
    <s v="YES"/>
    <n v="101054"/>
    <m/>
    <n v="806013"/>
    <m/>
    <m/>
    <m/>
    <m/>
    <m/>
    <m/>
    <m/>
    <m/>
    <m/>
    <m/>
    <m/>
    <m/>
    <m/>
    <m/>
    <m/>
    <m/>
    <m/>
    <m/>
    <m/>
    <m/>
    <m/>
    <m/>
    <m/>
    <m/>
    <m/>
    <m/>
    <m/>
    <m/>
    <s v="YES"/>
    <n v="13072"/>
    <m/>
    <n v="52288"/>
    <m/>
    <m/>
    <m/>
    <m/>
    <m/>
    <n v="57659"/>
    <n v="43395"/>
    <n v="57659"/>
    <n v="105302"/>
    <n v="42920"/>
    <n v="148222"/>
    <s v="NO"/>
    <m/>
    <m/>
    <m/>
    <s v="NO"/>
    <m/>
    <m/>
    <m/>
    <s v="NO"/>
    <m/>
    <m/>
    <m/>
    <s v="NO"/>
    <m/>
    <m/>
    <m/>
    <s v="YES"/>
    <n v="1446"/>
    <m/>
    <n v="5784"/>
    <s v="NO"/>
    <m/>
    <m/>
    <m/>
    <s v="YES"/>
    <n v="119720"/>
    <m/>
    <n v="568600"/>
    <s v="NO"/>
    <m/>
    <m/>
    <m/>
    <s v="YES"/>
    <n v="3531"/>
    <m/>
    <n v="3531"/>
    <s v="NO"/>
    <m/>
    <m/>
    <m/>
    <s v="NO"/>
    <m/>
    <m/>
    <m/>
    <s v="NO"/>
    <m/>
    <m/>
    <m/>
    <s v="YES"/>
    <n v="395"/>
    <m/>
    <n v="395"/>
    <s v="NO"/>
    <m/>
    <m/>
    <m/>
    <s v="NO"/>
    <m/>
    <m/>
    <m/>
    <s v="YES"/>
    <n v="36906"/>
    <m/>
    <n v="184530"/>
    <m/>
    <m/>
    <m/>
    <m/>
    <m/>
    <s v="NO"/>
    <m/>
    <m/>
    <s v="NO"/>
    <m/>
    <m/>
    <m/>
    <m/>
    <x v="2"/>
    <s v="NO"/>
    <s v="YES"/>
    <s v="YES"/>
    <s v="NO"/>
    <s v="NO"/>
    <s v="NO"/>
    <s v="YES"/>
    <s v="NO"/>
    <m/>
    <x v="2"/>
    <s v="Il y a des bénéficiaires du programme coupon qui ont été gradué car ils ont vu leur situation s’améliorée. Ces personnes se transforment en vendeurs du programme. On peut aussi mentionner l'effort de former les groupes VSLA sur l'entrepreunariat et accompagner les membres a monter leur plan d'affaire. L'autre element d'innovation qu'il convient d'enoncer est la mise en place d'un nouveau modele de cantine conjointement avec le projet education. En effet, ce modele est base sur des restauratrices externes qui sont formees, recoivent des materiels et equipements et qui fournissent le service de cantine. C'est une innovation car elle enleve cette responsabilite aux directeurs qui peuvent s'occcuper des questions admnistratives et pedagogiques de l'ecole et cela permet aussi de generer un revenu au niveau de la communaute en creant cette activite generatrice de revenus. Il faut aussi mentionner qu'on utilise des produits locaux, ce qui sert de levier sur l'agriculture dans la zone."/>
    <x v="1"/>
    <s v="Le programme a un volet d'institutionnalisation qui consiste a renforcer le Ministere des affaires sociales pour qu'il puisse appliquer le modele de protection sociale de Kore lavi"/>
    <x v="1"/>
    <x v="1"/>
    <s v="YES"/>
    <x v="0"/>
    <x v="0"/>
    <x v="0"/>
    <x v="2"/>
    <n v="4"/>
    <x v="1"/>
    <x v="1"/>
    <x v="1"/>
    <x v="1"/>
    <x v="1"/>
    <x v="1"/>
    <n v="4"/>
    <x v="1"/>
    <x v="1"/>
    <x v="1"/>
    <x v="1"/>
    <x v="1"/>
    <n v="3"/>
    <x v="0"/>
    <x v="2"/>
    <n v="5"/>
    <s v="National government"/>
    <s v="Local alliance(s)/Platform(s)/Network(s) of  NGOs/CSOs"/>
    <s v="Local government(s)"/>
    <x v="0"/>
    <s v="Appuis en formation et materiels  fournis aux structures communautaires (CADEC)"/>
    <s v="Le renforcement de la capacite du MAST de maniere a reprendre le programme pour le mettre a l'echel"/>
    <s v="La strategie de definir des indicateurs quantitatifs pour mesurer les progres et mieux cerner les obstacles a surmonter au niveau du renforcement institutionnel du MAST/Structure etatique pour la reprise du programme"/>
    <s v="L'integration des vivres dans la promotion du changement de comportement nutritionnel exige un shema simplifie de gestion des commodites dans lequel les communautes ont un role majeur (l'agence responsable de lamobilisation pour le cahngement de comportement soit la meme qui est responsable pour les distributions"/>
    <s v="L'encouragement des goupes VSLA a s'eriger en vendeurs de produits sec dans le programme"/>
    <s v="La composante SO1/Le Système d’Information géré par le MAST(SIMAST). Ce système a permis de doter le Ministère des Affaires  Sociales et du Travail d'une base de données centralisée pouvant identifier les ménages les plus pauvres. Ce système contribue grandement dans le choix des ménages les plus vulnérables non seulement pour l'Etat Haïtien dans le cadre de la protection sociale mais également aux ONGs qui comptent apporter leurs supports aux familles défavorisées."/>
    <s v="Recours aux services des stagiaires. L'utilisation des stagiaires qualifiés gérant le système d'Information au MAST était une approche efficace et efficiente.  Cette stratégie a beaucoup aidé MAST/Kore Lavi car le cout qui devait être alloué en embauchant des salariés a complétement réduit. Le choix d’avoir recours aux services des étudiants finissants qualifiés sont hautement recommandés, tout en faisant choix des universités locales. Ces étudiants grâce à leurs habiletés et leurs expériences acquises pourraient être embauchés afin d'assurer la gestion du SIMAST à l’avenir."/>
    <s v="Approche groupe de soin est une stratégie efficace (Mères et Pères Leaders). Dans les zones reculées en Haiti, la santé publique reste et demeure un problème majeur. Kore lavi durant ses quatre ans contribue grandement à apporter une solution en ce sens, car la constitution des groupes de soin était une meilleure stratégie pour toucher les ménages qui se trouvent dans ces zones. Les responsables ont surtout mis l’accent sur des activités de soin de santé primaire non curatives c’est-à-dire la prévention et la réalisation des séances éducatives de formation au profit des gens habitant dans des zones les plus reculées."/>
    <s v="Un des elements cles a considerer dans ce projet est sa capacite a travailler sur certaines thematiques de facon innovante: pour remettre en question les rapports de genre en faisant la sensibilisation/formation sur la nutrition equitable en promouvant la coresponsabilite parentale et impliquer les peres particulierement dans le soin des enfants et en renforcant le leadership des femmes . On peut aussi mentionner le partenariat strategique avec le gouvernement car le modele de vis a vis et de renforcement continu de capacite des cadres du ministere est un modele tres interressant."/>
    <m/>
    <n v="101054"/>
    <n v="806013"/>
    <n v="7.9760623033229763"/>
    <n v="0.57057612761493859"/>
    <n v="0.70061649129728676"/>
    <n v="57659"/>
    <n v="564706"/>
    <n v="1"/>
    <n v="101054"/>
    <n v="806013"/>
    <n v="7.9760623033229763"/>
    <n v="1"/>
    <n v="119720"/>
    <n v="806013"/>
    <n v="6.7324841296358171"/>
    <s v=""/>
    <n v="0"/>
    <n v="0"/>
    <s v=""/>
    <s v=""/>
    <n v="0"/>
    <n v="0"/>
    <s v=""/>
    <n v="1"/>
    <n v="36906"/>
    <n v="184530"/>
    <n v="5"/>
    <s v="4. Transformative"/>
    <s v="2. Accommodating"/>
    <s v="2. Sensitive"/>
    <s v="It tested new ways for fighting poverty and measured results of innovation"/>
    <s v="Intensive advocacy"/>
    <s v="It linked and worked with strategic alliances and partners to take tested and effective solutions to scale"/>
  </r>
  <r>
    <x v="31"/>
    <x v="4"/>
    <m/>
    <s v="PACE in the community - Haïti Phase III"/>
    <s v="Haiti"/>
    <s v="GAPFHT0002"/>
    <s v="CARE USA"/>
    <s v="Foundation"/>
    <s v="Other"/>
    <s v="GAP Foundation"/>
    <m/>
    <m/>
    <m/>
    <m/>
    <m/>
    <m/>
    <m/>
    <m/>
    <m/>
    <m/>
    <m/>
    <m/>
    <m/>
    <m/>
    <m/>
    <m/>
    <m/>
    <m/>
    <m/>
    <m/>
    <m/>
    <m/>
    <m/>
    <m/>
    <m/>
    <m/>
    <m/>
    <m/>
    <m/>
    <m/>
    <m/>
    <m/>
    <m/>
    <m/>
    <m/>
    <m/>
    <m/>
    <m/>
    <m/>
    <m/>
    <m/>
    <m/>
    <m/>
    <m/>
    <m/>
    <d v="2017-01-01T00:00:00"/>
    <d v="2017-12-12T00:00:00"/>
    <d v="2018-04-30T00:00:00"/>
    <m/>
    <n v="150000"/>
    <s v="Laura SEWELL"/>
    <s v="Assistant Country Director"/>
    <s v="laura.sewell@care.org"/>
    <s v="Jean Elie Joseph"/>
    <s v="Coordonnateur de terrain"/>
    <s v="magalie.benjamin@care.org"/>
    <s v="NO"/>
    <s v="YES"/>
    <s v="NO"/>
    <s v="Enhance women’s life skills, personal agency, and economic empowerment through the incorporation of the P.A.C.E. modules within the VSLA methodology. "/>
    <s v="Sub-National"/>
    <s v="Nous intervenons au niveau de 4 communes du département de la Grand'Anse (Jérémie, Marfranc, Moron, Roseaux)"/>
    <s v="Les membres des groupes AVEC"/>
    <n v="9900"/>
    <m/>
    <n v="9900"/>
    <m/>
    <m/>
    <n v="49500"/>
    <s v="Le programme est exécuté dans les groupes VSLA créé par CARE. Un total de 330 Groupes est fixé. Etant donné que les groupes sont de 30 personnes, le nombre de bénéficiaire direct est donc de 9900. Aussi, du fait que chaque personne dans les groupes viennent d’une famille, avec 4.7 personnes en moyenne par famille, le nombre de bénéficiaire indirect est donc de 46530 personnes. "/>
    <m/>
    <m/>
    <m/>
    <m/>
    <m/>
    <m/>
    <m/>
    <m/>
    <m/>
    <m/>
    <m/>
    <m/>
    <m/>
    <m/>
    <m/>
    <m/>
    <m/>
    <m/>
    <m/>
    <m/>
    <m/>
    <m/>
    <m/>
    <m/>
    <m/>
    <m/>
    <m/>
    <m/>
    <m/>
    <m/>
    <m/>
    <m/>
    <m/>
    <m/>
    <m/>
    <m/>
    <m/>
    <m/>
    <m/>
    <m/>
    <m/>
    <m/>
    <m/>
    <m/>
    <m/>
    <m/>
    <m/>
    <m/>
    <m/>
    <m/>
    <m/>
    <m/>
    <m/>
    <m/>
    <m/>
    <m/>
    <m/>
    <m/>
    <m/>
    <m/>
    <n v="7290"/>
    <n v="2430"/>
    <n v="9720"/>
    <m/>
    <m/>
    <n v="48600"/>
    <m/>
    <m/>
    <m/>
    <m/>
    <m/>
    <m/>
    <m/>
    <m/>
    <m/>
    <m/>
    <m/>
    <m/>
    <m/>
    <m/>
    <m/>
    <m/>
    <m/>
    <m/>
    <m/>
    <m/>
    <m/>
    <m/>
    <m/>
    <m/>
    <m/>
    <m/>
    <m/>
    <m/>
    <m/>
    <m/>
    <m/>
    <m/>
    <m/>
    <m/>
    <m/>
    <m/>
    <m/>
    <m/>
    <m/>
    <m/>
    <m/>
    <m/>
    <m/>
    <m/>
    <m/>
    <m/>
    <m/>
    <m/>
    <m/>
    <m/>
    <m/>
    <m/>
    <m/>
    <m/>
    <m/>
    <m/>
    <m/>
    <m/>
    <m/>
    <m/>
    <m/>
    <m/>
    <m/>
    <m/>
    <s v="Communication et gestion de stress"/>
    <s v="YES"/>
    <m/>
    <m/>
    <m/>
    <s v="NO"/>
    <m/>
    <m/>
    <s v="YES"/>
    <m/>
    <m/>
    <m/>
    <s v="Une approche fondamentalement quantitative sera utilisée pour mener cette évaluation. En effet, des enquêtes seront menées dans les groupes VSLA ciblés par le programme en vue de mesurer son efficacité, sa pertinence et son effet. "/>
    <x v="0"/>
    <s v="NO"/>
    <s v="NO"/>
    <s v="NO"/>
    <s v="NO"/>
    <s v="NO"/>
    <s v="NO"/>
    <s v="NO"/>
    <s v="NO"/>
    <m/>
    <x v="0"/>
    <m/>
    <x v="0"/>
    <m/>
    <x v="1"/>
    <x v="0"/>
    <s v="YES"/>
    <x v="0"/>
    <x v="0"/>
    <x v="0"/>
    <x v="0"/>
    <n v="4"/>
    <x v="1"/>
    <x v="1"/>
    <x v="1"/>
    <x v="1"/>
    <x v="1"/>
    <x v="1"/>
    <n v="4"/>
    <x v="1"/>
    <x v="1"/>
    <x v="1"/>
    <x v="1"/>
    <x v="1"/>
    <n v="3"/>
    <x v="0"/>
    <x v="3"/>
    <n v="3"/>
    <s v="National government"/>
    <s v="International NGO(s)"/>
    <s v="Local government(s)"/>
    <x v="2"/>
    <s v="Le fait de renforcer les groupes VSLA qui sont des structures volontairement créés par les gens de la communauté, cela va renforcer la volonté des gens à se mettre ensemble pour réaliser des choses."/>
    <m/>
    <m/>
    <m/>
    <m/>
    <m/>
    <m/>
    <m/>
    <s v="Veuillez fournir des références aux documents clés et/ou des liens relatifs à la conception et à la mise en uvre du projet/initiative pendant l'exercice fiscal : les propositions, les cadres logiques, les rapports, les évaluations, les formulaires de vérification des marqueurs, etc."/>
    <s v="Merci de fournir les informations et remplir le formulaire sur LA PORTÉE !_x000a_Veuillez voir ci-dessous pour un aperçu sur les données déclarées. Si vous trouvez des incohérences dans l'aperçu, veuillez ajuster les données indiquées dans le formulaire, en conséquence._x000a_Si vous avez répondu OUI dans la cellule C77, veuillez consulter le formulaire dIMPACT."/>
    <n v="9720"/>
    <n v="48600"/>
    <n v="5"/>
    <n v="0.75"/>
    <n v="0"/>
    <n v="7290"/>
    <n v="0"/>
    <s v=""/>
    <n v="0"/>
    <n v="0"/>
    <s v=""/>
    <s v=""/>
    <n v="0"/>
    <n v="0"/>
    <s v=""/>
    <s v=""/>
    <n v="0"/>
    <n v="0"/>
    <s v=""/>
    <s v=""/>
    <n v="0"/>
    <n v="0"/>
    <s v=""/>
    <s v=""/>
    <n v="0"/>
    <n v="0"/>
    <s v=""/>
    <s v="2. Sensitive"/>
    <s v="2. Accommodating"/>
    <s v="2. Sensitive"/>
    <s v="It did not develop any specific innovation"/>
    <s v="Little or no advocacy"/>
    <s v="It did not take tested solutions to scale"/>
  </r>
  <r>
    <x v="31"/>
    <x v="4"/>
    <n v="3578"/>
    <s v="Partners for Learning: Improving Quality, Equity, and Access to Primary Education for Out-of-School Girls and Boys in Haiti"/>
    <s v="Haiti"/>
    <s v="EACFHT0001"/>
    <s v="CARE USA"/>
    <s v="Foundation"/>
    <s v="Other"/>
    <s v="Educate A Child Foundation"/>
    <m/>
    <m/>
    <m/>
    <m/>
    <m/>
    <m/>
    <m/>
    <m/>
    <m/>
    <m/>
    <m/>
    <m/>
    <m/>
    <m/>
    <m/>
    <m/>
    <m/>
    <m/>
    <m/>
    <m/>
    <m/>
    <m/>
    <m/>
    <m/>
    <m/>
    <m/>
    <m/>
    <m/>
    <m/>
    <m/>
    <m/>
    <m/>
    <m/>
    <m/>
    <m/>
    <m/>
    <m/>
    <m/>
    <m/>
    <m/>
    <m/>
    <m/>
    <m/>
    <m/>
    <m/>
    <d v="2013-11-18T00:00:00"/>
    <d v="2018-11-17T00:00:00"/>
    <m/>
    <s v="Development Other"/>
    <n v="11916751"/>
    <s v="Maude MORIN"/>
    <s v="Chief Of Party (COP)"/>
    <s v="maude.morin@care.org"/>
    <s v="Magalie Benjamin"/>
    <s v="Deputy Chief of Party (DCOP)"/>
    <m/>
    <s v="NO"/>
    <s v="YES"/>
    <s v="NO"/>
    <s v="Contribuer à améliorer l'accès à une éducation de qualité et équitable primaire pour les filles et les garçons en Haïti. Plus spécifiquement, le programme vise à accroître la scolarisation et l'achèvement d'un cycle primaire de l'éducation de qualité pour les filles et les garçons hors de l'école en Haïti"/>
    <s v="Sub-National"/>
    <s v="Departements :Artibonite/ Centre/ Grand'Anse/Ouest               _x000a_Communes: Petite-Riviere de l'Artibonite, Gonaives, Gros-Mornes, Anse-Rouge/ Hinche, Thomassique, Cerca-La-Source, Boucan-Carre, Thomonde/ Pestel, Jeremie, Corail, Roseaux, Beaumont/ Port-Au-Prince, Carrefour, Pointe-a-Raquette, Anse-a-Galets"/>
    <s v="Filles et garcons non-scolarises (OOSGB) dans les zones d'intervention"/>
    <m/>
    <m/>
    <n v="50000"/>
    <m/>
    <m/>
    <n v="189633"/>
    <s v="Les bénéficiaires directs sont les enfants dans les écoles cibles. En ce qui a trait aux bénéficiaires indirects, ils regroupent les professeurs, directeurs des écoles. Aussi, ils comportent les membres des Conseils d’écoles et les parents des élèves dans les écoles partenaires."/>
    <m/>
    <m/>
    <m/>
    <m/>
    <m/>
    <m/>
    <m/>
    <m/>
    <m/>
    <m/>
    <m/>
    <m/>
    <m/>
    <m/>
    <m/>
    <m/>
    <m/>
    <m/>
    <m/>
    <m/>
    <m/>
    <m/>
    <m/>
    <m/>
    <m/>
    <m/>
    <m/>
    <m/>
    <m/>
    <m/>
    <m/>
    <m/>
    <m/>
    <m/>
    <m/>
    <m/>
    <m/>
    <m/>
    <m/>
    <m/>
    <m/>
    <m/>
    <m/>
    <m/>
    <m/>
    <m/>
    <m/>
    <m/>
    <m/>
    <m/>
    <m/>
    <m/>
    <m/>
    <m/>
    <m/>
    <m/>
    <m/>
    <m/>
    <m/>
    <m/>
    <n v="19797"/>
    <n v="22582"/>
    <n v="4237"/>
    <n v="575"/>
    <n v="1251"/>
    <n v="1826"/>
    <m/>
    <m/>
    <m/>
    <m/>
    <m/>
    <m/>
    <m/>
    <m/>
    <m/>
    <m/>
    <m/>
    <m/>
    <m/>
    <m/>
    <m/>
    <m/>
    <m/>
    <m/>
    <m/>
    <m/>
    <s v="YES"/>
    <n v="42379"/>
    <n v="0.46700000000000003"/>
    <n v="1826"/>
    <m/>
    <m/>
    <m/>
    <m/>
    <m/>
    <m/>
    <m/>
    <m/>
    <s v="YES"/>
    <n v="42379"/>
    <n v="0.46700000000000003"/>
    <n v="1826"/>
    <m/>
    <m/>
    <m/>
    <m/>
    <s v="YES"/>
    <n v="1923"/>
    <m/>
    <m/>
    <m/>
    <m/>
    <m/>
    <m/>
    <s v="YES"/>
    <n v="1075"/>
    <m/>
    <n v="269"/>
    <m/>
    <m/>
    <m/>
    <m/>
    <m/>
    <m/>
    <m/>
    <m/>
    <m/>
    <m/>
    <m/>
    <m/>
    <m/>
    <m/>
    <m/>
    <m/>
    <m/>
    <s v="YES"/>
    <s v="May"/>
    <n v="2017"/>
    <m/>
    <s v="YES"/>
    <s v="March"/>
    <n v="2018"/>
    <s v="Une approche fondamentalement quantitative sera utilisée pour mener cette évaluation. On va réaliser des enquêtes auprès des Directeurs et des professeurs des écoles partenaires, des élèves et des parents."/>
    <x v="2"/>
    <s v="NO"/>
    <s v="YES"/>
    <s v="NO"/>
    <s v="NO"/>
    <s v="YES"/>
    <s v="NO"/>
    <s v="YES"/>
    <s v="YES"/>
    <s v="Plaidoyer intensif pour le vote et l’application de la loi sur le Fond National d’Education (FNE). La loi a ete votee cette annee, mais la mobilisation continue sur son application."/>
    <x v="0"/>
    <m/>
    <x v="0"/>
    <m/>
    <x v="1"/>
    <x v="0"/>
    <s v="YES"/>
    <x v="0"/>
    <x v="0"/>
    <x v="0"/>
    <x v="0"/>
    <n v="4"/>
    <x v="1"/>
    <x v="1"/>
    <x v="1"/>
    <x v="1"/>
    <x v="1"/>
    <x v="1"/>
    <n v="4"/>
    <x v="1"/>
    <x v="1"/>
    <x v="2"/>
    <x v="1"/>
    <x v="3"/>
    <n v="2"/>
    <x v="0"/>
    <x v="2"/>
    <n v="20"/>
    <s v="National government"/>
    <s v="Local alliance(s)/Platform(s)/Network(s) of  NGOs/CSOs"/>
    <s v="Local government(s)"/>
    <x v="0"/>
    <s v="Facilitation de la mise en place des structures participatives telles Conseils Ecoles(CE), Commision Municipale d'Education (CME)."/>
    <m/>
    <s v="IMPLICATION DES PERSONNELS DES ECOLES DANS LES ACTIVITES DU PROJET telles que les remontees d'informations sur la la promotion, le redoublement et la graduation, implication dans la distribution aux enfants."/>
    <s v="UTILISATION D'UNE STRATEGIE DEFINIE POUR LA DISTRIBUTION: La redaction et la mise en place d'une strategie de la distribution a permis de mieux realiser les distributions avec un personnel reduit dans un temps plus court avec l'implication du personnel scolaire."/>
    <s v="REVISION DE LA STRATEGIE DE RETENTION: Le changement dans la strategie a permis aux agents de terrain d'avoir plus de temps pour suivre les enfants abandonnes et les faire revenir."/>
    <s v="Nécessité d'avoir des strategies en fonction du profil des ecoles en ce qui a rapport a la distribution, aux collectes de donnees et a la gestion des mini-bibliotheques."/>
    <s v="Nécessité d'impliquer un peu plus les membres de la communaute dans notre strategie de retention et dans nos autres activites"/>
    <s v="L'utilisation du Staff de projet comme formateur dans certaines formations constitue un plus pour CARE et aide a avoir un meilleur suivi."/>
    <m/>
    <m/>
    <n v="4237"/>
    <n v="1826"/>
    <n v="0.43096530564078356"/>
    <n v="4.6724097238612226"/>
    <n v="0.31489594742606791"/>
    <n v="19797"/>
    <n v="575"/>
    <s v=""/>
    <n v="0"/>
    <n v="0"/>
    <s v=""/>
    <s v=""/>
    <n v="0"/>
    <n v="0"/>
    <s v=""/>
    <s v=""/>
    <n v="0"/>
    <n v="0"/>
    <s v=""/>
    <s v=""/>
    <n v="0"/>
    <n v="0"/>
    <s v=""/>
    <s v=""/>
    <n v="0"/>
    <n v="0"/>
    <s v=""/>
    <s v="2. Sensitive"/>
    <s v="2. Accommodating"/>
    <s v="1. Neutral"/>
    <s v="It did not develop any specific innovation"/>
    <s v="Intensive advocacy"/>
    <s v="It did not take tested solutions to scale"/>
  </r>
  <r>
    <x v="32"/>
    <x v="4"/>
    <m/>
    <s v="“Contribuyendo al fortalecimiento de las estructuras del SINAGER y a la resiliencia de familias vulnerables ante los efectos de sequías en 15 comunidades de los municipios Langue, Aramecina, Caridad y San Francisco de Coray  del Departamento de Valle en el corredor seco de Honduras”."/>
    <s v="Honduras"/>
    <s v="FR780"/>
    <s v="CARE France"/>
    <s v="Other"/>
    <s v="ECHO - European Commission for Humanitarian Aid and Civil Protection"/>
    <s v="ECHO"/>
    <m/>
    <m/>
    <m/>
    <m/>
    <m/>
    <m/>
    <m/>
    <m/>
    <m/>
    <m/>
    <m/>
    <m/>
    <m/>
    <m/>
    <m/>
    <m/>
    <m/>
    <m/>
    <m/>
    <m/>
    <m/>
    <m/>
    <m/>
    <m/>
    <m/>
    <m/>
    <m/>
    <m/>
    <m/>
    <m/>
    <m/>
    <m/>
    <m/>
    <m/>
    <m/>
    <m/>
    <m/>
    <m/>
    <m/>
    <m/>
    <m/>
    <m/>
    <m/>
    <m/>
    <m/>
    <d v="2016-04-01T00:00:00"/>
    <d v="2017-09-30T00:00:00"/>
    <d v="2017-12-31T00:00:00"/>
    <s v="Humanitarian Other"/>
    <m/>
    <s v="ADOLFO PACHECHO"/>
    <s v="DIRECTOR GENERAL DE CARE EN HONDURAS"/>
    <m/>
    <s v="TANIUSKA MARIA ARCIA GOMEZ"/>
    <s v="COORDINADORA INICIATIVA"/>
    <s v="taniuska.arcia@care.org"/>
    <s v="YES"/>
    <s v="NO"/>
    <s v="NO"/>
    <s v="Estructuras del SINAGER y familias vulnerables en comunidades del corredor seco de Honduras han reducido sus vulnerabilidades institucionales, educativas y organizativas, mejorando sus capacidades a través de la preparación para hacerle frente a la amenaza por sequía y peligros asociados, al final del proyecto."/>
    <s v="Sub-National"/>
    <s v="Municipios de Caridad, Aramecina, Langue y San Francisco de Coray del departamento de Valle, Honduras"/>
    <s v="Lideres comunitarios, familias de 15 comuniades, sector educativo de comunidades, Gobiernos Municipales e Instituciones de Gobierno, Sociedad Civil y Privados."/>
    <n v="5117"/>
    <n v="5838"/>
    <n v="10955"/>
    <n v="273000"/>
    <n v="182000"/>
    <n v="455000"/>
    <s v="Los participantes directos son personas que fueron capacitadas, que fueron beneficiadas con obras de infraestructura  y fortalecidas con buenas practicas y herramientas para la preparacion, siembra y cosecha en el tema de gestion de riesgo y, si la persona fue beneficiada y fortalecida se hace mas resiliente y por lo tanto los miembros de la familia tambien seran resilientes a la sequia por lo tanto se toma como participante directo tanto a la persona beneficiada como a la familia del actor beneficado. _x000a_Los participantes indirectos serian todas aquellas personas que fueron alcanzadas con información que proveen los equipos metereologicos que se otorgados a los CODEL y al CODEM y la Estrucutra que monitoreo el clima a nivel nacional COPECO el cual se dono 7 estaciones climatologicas que transmiten datos sobre el clima del corredor seco de honduras y se repararon 9 estaciones mas que se encuentran distribuidas en el corredor seco."/>
    <m/>
    <n v="653"/>
    <n v="711"/>
    <n v="1364"/>
    <n v="19010"/>
    <n v="23231"/>
    <n v="42241"/>
    <s v="NO"/>
    <m/>
    <m/>
    <m/>
    <s v="NO"/>
    <m/>
    <m/>
    <m/>
    <s v="YES"/>
    <n v="1080"/>
    <n v="0.6"/>
    <n v="2000"/>
    <s v="YES"/>
    <n v="1040"/>
    <n v="0.55000000000000004"/>
    <n v="200"/>
    <s v="NO"/>
    <m/>
    <m/>
    <m/>
    <s v="YES"/>
    <n v="72"/>
    <n v="0.8"/>
    <n v="432"/>
    <s v="NO"/>
    <m/>
    <m/>
    <m/>
    <s v="Yes"/>
    <n v="792"/>
    <n v="0.65"/>
    <n v="600"/>
    <s v="NO"/>
    <m/>
    <m/>
    <m/>
    <s v="NO"/>
    <m/>
    <m/>
    <m/>
    <s v="NO"/>
    <m/>
    <m/>
    <m/>
    <s v="NO"/>
    <m/>
    <m/>
    <m/>
    <s v="Monitoreo meteorologico aumentando resiliencia en cambio climatico"/>
    <s v="YES"/>
    <n v="1364"/>
    <n v="0.45"/>
    <n v="45474"/>
    <m/>
    <m/>
    <m/>
    <m/>
    <m/>
    <m/>
    <m/>
    <m/>
    <m/>
    <m/>
    <m/>
    <m/>
    <m/>
    <m/>
    <m/>
    <m/>
    <m/>
    <m/>
    <m/>
    <m/>
    <m/>
    <m/>
    <m/>
    <m/>
    <m/>
    <m/>
    <m/>
    <m/>
    <m/>
    <m/>
    <m/>
    <m/>
    <m/>
    <m/>
    <m/>
    <m/>
    <m/>
    <m/>
    <m/>
    <m/>
    <m/>
    <m/>
    <m/>
    <m/>
    <m/>
    <m/>
    <m/>
    <m/>
    <m/>
    <m/>
    <m/>
    <m/>
    <m/>
    <m/>
    <m/>
    <m/>
    <m/>
    <m/>
    <m/>
    <m/>
    <m/>
    <m/>
    <m/>
    <m/>
    <m/>
    <m/>
    <m/>
    <m/>
    <m/>
    <m/>
    <m/>
    <m/>
    <m/>
    <m/>
    <m/>
    <s v="YES"/>
    <s v="August"/>
    <n v="2016"/>
    <s v="YES"/>
    <s v="YES"/>
    <s v="December"/>
    <n v="2017"/>
    <s v="La iniciativa dio inicio operativo el 01 de julio 2017 por tanto la Linea de Base Inicial se desarrollo en el período del año fiscal agosto 2017.  La evaluación está planificada para el FY18 en el mes de diciembre del 2017, contratando un colsultor externo previa autorización de los TDR."/>
    <x v="0"/>
    <s v="NO"/>
    <s v="NO"/>
    <s v="NO"/>
    <s v="NO"/>
    <s v="NO"/>
    <s v="NO"/>
    <s v="NO"/>
    <s v="NO"/>
    <m/>
    <x v="1"/>
    <s v="Apartir de la implementación del sistema de alerta temprana ante sequia se contribuye a la construccion de la resiliencia en las  comunidades quienes han puesto en practica los conocimientos adquiridos en los procesos de capacitacion asi como la implementación de buenas practicas agricolas y uso de tecnologia para cosecha de agua."/>
    <x v="1"/>
    <s v="CARE  a traves del proyecto esta en el proceso de validación de la herramienta SAT SEQUIA SAN en la cual se coordina con diferentes actores del sistema nacional de gestion de riesgo con el objetivo de institucionalizar la herramienta."/>
    <x v="1"/>
    <x v="0"/>
    <s v="YES"/>
    <x v="0"/>
    <x v="0"/>
    <x v="0"/>
    <x v="0"/>
    <n v="4"/>
    <x v="1"/>
    <x v="1"/>
    <x v="1"/>
    <x v="1"/>
    <x v="1"/>
    <x v="1"/>
    <n v="4"/>
    <x v="3"/>
    <x v="1"/>
    <x v="1"/>
    <x v="1"/>
    <x v="4"/>
    <n v="3"/>
    <x v="3"/>
    <x v="3"/>
    <n v="4"/>
    <s v="National government"/>
    <s v="Grassroots organization(s)"/>
    <s v="International NGO(s)"/>
    <x v="0"/>
    <s v="Como una estrategia de implemetnacion de las acciones del proyecto, CARE firmo convenio de colaboración con la Mesa Nacional de Incidencia para la Gestión del Riesgo la cual esta conformada por organizaciones de sociedad civil, quienes participan como implementadores de acciones asi como parte del grupo de beneficiarios en procesos de formación."/>
    <m/>
    <s v="Involucramiento en el desarrollo de las actividades del proyecto a los actores claves como: alcaldes,  tenicos municipales,  Instituciones publicas referentes, asi como el apoyo de organismos internacionales y nacionales."/>
    <s v="La construcción de obras demostrativas y mitigacion ante sequia fueron desarrolladas en las comunidades con la contribución de mano de obra y materiales los cuales fueron gestionados por los lideres y lideresas miembros de los comité de emergencia."/>
    <m/>
    <s v="La inicitiva esta enfocada al tema de preparación y respuesta ante la amenaza por sequía en el corredor seco de Honduras, y su tiempo de ejecución es muy corto para poder visualizar el imapcto obtenido dao que fue de 18 meses. Sin embargo la apertura hacia la participación de las mujeres, niños y niñas dentro del proyecto logró hacer un cambio en la visión del fenómeno, y hacer consiencia que se debe preparar a la población para hacerle frente a la sequía"/>
    <s v="El involucrar a las autoridades y diferentes actores,  (potenciales socios), dentro de la formulación del proyecto permitió el empoderamiento del mismo, lo cual se manifestó en los niveles de apoyo obtenido por parte de las instancias del SINAGER dentro del desarrollo de las actividades y de los compromisos asumidos."/>
    <s v="El aprendizaje que CARE ha tenido en el manejo de SAT ante distintos escenarios permitió la construcción del SAT ante sequía, el cual tubo lugar al organizar las acciones desarrolladas en proyectos ya ejecutados dentro corredor seco de Honduras y darle un valor agregado, el cual fue poder visualizar la sequía como una amenaza la cual puede ser atendida desde la Gestión del Riesgo."/>
    <m/>
    <m/>
    <n v="1364"/>
    <n v="42241"/>
    <n v="30.968475073313783"/>
    <n v="0.47873900293255134"/>
    <n v="0.45003669420705"/>
    <n v="653"/>
    <n v="19010"/>
    <n v="1"/>
    <n v="1364"/>
    <n v="42241"/>
    <n v="30.968475073313783"/>
    <n v="1"/>
    <n v="1040"/>
    <n v="600"/>
    <n v="0.57692307692307687"/>
    <s v=""/>
    <n v="0"/>
    <n v="0"/>
    <s v=""/>
    <s v=""/>
    <n v="0"/>
    <n v="0"/>
    <s v=""/>
    <s v=""/>
    <n v="0"/>
    <n v="0"/>
    <s v=""/>
    <s v="2. Sensitive"/>
    <s v="2. Accommodating"/>
    <s v="4. Transformative"/>
    <s v="It tested new ways for fighting poverty, but did not measure results of innovation"/>
    <s v="Little or no advocacy"/>
    <s v="It linked and worked with strategic alliances and partners to take tested and effective solutions to scale"/>
  </r>
  <r>
    <x v="32"/>
    <x v="4"/>
    <n v="2323"/>
    <s v="DESARROLLO DEL ENFOQUE NACIONAL DE SALVAGUARDAS DE HONDURAS, DISEÑO DEL SISTEMA DE INFORMACIÓN DE SALVAGUARDAS (SIS) Y DESARROLLO DE LOS MECANISMOS DE QUEJAS PARA LAS SALVAGUARDAS EN EL MARCO DE LA ESTRATEGIA NACIONAL REDD+ DE HONDURAS"/>
    <s v="Honduras"/>
    <m/>
    <m/>
    <s v="Government"/>
    <s v="UN - United Nations agencies/offices"/>
    <s v="Minitry of Natural Ressources and Mines of Honduras"/>
    <m/>
    <m/>
    <m/>
    <m/>
    <m/>
    <m/>
    <m/>
    <m/>
    <m/>
    <m/>
    <m/>
    <m/>
    <m/>
    <m/>
    <m/>
    <m/>
    <m/>
    <m/>
    <m/>
    <m/>
    <m/>
    <m/>
    <m/>
    <m/>
    <m/>
    <m/>
    <m/>
    <m/>
    <m/>
    <m/>
    <m/>
    <m/>
    <m/>
    <m/>
    <m/>
    <m/>
    <m/>
    <m/>
    <m/>
    <m/>
    <m/>
    <m/>
    <m/>
    <m/>
    <m/>
    <d v="2016-08-22T00:00:00"/>
    <d v="2017-08-22T00:00:00"/>
    <m/>
    <s v="Development Food &amp; Nutrition Security and Resilience to Climate Change"/>
    <n v="199332"/>
    <s v="Sandra Mendoza"/>
    <s v="Gerente de Calidad Programática"/>
    <s v="sandra.mendoza@care.org"/>
    <s v="Ana María Tablada"/>
    <s v="Coordinadora de Proyecto"/>
    <s v="ana.tablada@care.org"/>
    <s v="NO"/>
    <s v="YES"/>
    <s v="NO"/>
    <s v="Desarrollar el Enfoque Nacional de Salvaguardas REDD+ de Honduras como base para diseñar el Sistema Nacional de Salvaguardas (SNS) y su capítulo del Sistema de información sobre Salvaguardas (SIS) y el mecanismo de Quejas asociado a las Salvaguardas REDD+ con la participación de las partes interesadas."/>
    <s v="National"/>
    <s v="Plataforma nacional con sede en Tegucigalpa, Francisco Morazán"/>
    <s v="Pueblos indígenas, Afrohondureños, Asociaciones agroforestales, comunidades que viven en relación con el bosque; ONG, instituciones estatales, grupos de mujeres."/>
    <n v="75"/>
    <n v="97"/>
    <n v="172"/>
    <n v="1461309"/>
    <n v="1583085"/>
    <n v="3044394"/>
    <s v="Directos_x000a_172 miembros del CONASASH = 75 mujeres y 97 hombres_x000a_Pueblos Indígenas y Afrohondureños Indirectos: 741,116  = 55736 Hombres y 385,380 mujeres   _x000a_Cooperativas Agroforestales  Indirectos contabilizados: 7190 hombres y 2388 mujeres          _x000a_Miembros de comunidades y actores en bosque latifoliado (REMBLAH) 300 indirectos : 99 mujeres y 201 hombres                                                                                                         _x000a_MAPSP  Indirectos 20729: 10548 hombres y 10181 mujeres_x000a_MOCAPH Indirectos 3430,613 = 1646694 hombres y 1783919 mujeres   _x000a_COLPROFORH indirectos 1400 = 672 hombres  mujeres  y 728 mujeres     _x000a_ANASILH indirectos 79 = 37 hombres y 42 mujeres  _x000a_CIFH indirectos: 650 = 312 hombres y 338 mujeres_x000a__x000a_Sobre los indirectos: los actores que aparecen en el PIIRS como indirectos son aquellos vinculados a las organizaciones representadas en el comité nacional de Salvaguardas; de acuerdo al PIIRS los participantes aparecen como si reciben beneficios de los sectores: siguientes_x000a_• Cambio climático y resiliencia_x000a_• Violencia de género_x000a_• Igualdad de género_x000a_• Gestión de recursos naturales_x000a_• Participación y buena gobernabilidad_x000a_• Empoderamiento económico de la mujer_x000a__x000a_ ¿Por qué aparecen? Esto se relaciona a que las salvaguardas buscan el respeto de tratados internacionales, leyes nacionales e implementación de políticas nuevas para estas poblaciones y en este tema. _x000a__x000a_Los participantes directos e indirectos si pueden beneficiarse por más de uno de los sectores, por pertenecer a los grupos para los cuales se implementarán estas políticas a nivel nacional, por ejemplo, una mujer presidenta de junta de agua que vive de una comunidad indígena en un área protegida trabajando agricultura se podría beneficiar de hasta 4 políticas o sectores: igualdad de género, empoderamiento económico de la mujer, gobernabilidad y participación, gestión de RRNN y cambio climático y resiliencia; agregando el tema de la pertenencia a pueblos indígenas. _x000a_ _x000a_Para ampliar un poco a continuación describo el alcance y tema de abordaje de cada una de las Salvaguardas._x000a_Cálculo de población de impacto debido a la temática que abordan las 7 Salvaguardas tiene cobertura a nivel nacional:_x000a_Salvaguarda Cobertura Tema/palabras clave_x000a_Salvaguarda A Nacional Armonización políticas forestales y REDD+_x000a_Salvaguarda B Nacional Transparencia, gobernanza, respeto a tratados, acceso a información pública_x000a_Salvaguarda C Localizada Pueblos indígenas, conocimientos de los pueblos, comunidades locales_x000a_Salvaguarda  D Nacional  Participación plena y efectiva_x000a_Salvaguarda E Nacional Diversidad biológica_x000a_Salvaguarda F Nacional Riesgos de reversión, políticas, monitoreo forestal, frontera agrícola, deforestación evitada._x000a_Salvaguarda G Nacional Desplazamiento de emisiones evitadas, políticas, manejo sostenible."/>
    <m/>
    <m/>
    <m/>
    <m/>
    <m/>
    <m/>
    <m/>
    <m/>
    <m/>
    <m/>
    <m/>
    <m/>
    <m/>
    <m/>
    <m/>
    <m/>
    <m/>
    <m/>
    <m/>
    <m/>
    <m/>
    <m/>
    <m/>
    <m/>
    <m/>
    <m/>
    <m/>
    <m/>
    <m/>
    <m/>
    <m/>
    <m/>
    <m/>
    <m/>
    <m/>
    <m/>
    <m/>
    <m/>
    <m/>
    <m/>
    <m/>
    <m/>
    <m/>
    <m/>
    <m/>
    <m/>
    <m/>
    <m/>
    <m/>
    <m/>
    <m/>
    <m/>
    <m/>
    <m/>
    <m/>
    <m/>
    <m/>
    <m/>
    <m/>
    <m/>
    <n v="75"/>
    <n v="97"/>
    <n v="172"/>
    <n v="1461309"/>
    <n v="1583085"/>
    <n v="3044394"/>
    <s v="NO"/>
    <m/>
    <m/>
    <m/>
    <s v="YES"/>
    <n v="172"/>
    <n v="0.44"/>
    <n v="3044394"/>
    <s v="NO"/>
    <m/>
    <m/>
    <m/>
    <s v="NO"/>
    <m/>
    <m/>
    <m/>
    <s v="NO"/>
    <m/>
    <m/>
    <m/>
    <s v="NO"/>
    <m/>
    <m/>
    <m/>
    <s v="NO"/>
    <m/>
    <m/>
    <m/>
    <s v="YES"/>
    <n v="172"/>
    <n v="0.44"/>
    <n v="3044394"/>
    <s v="YES"/>
    <n v="172"/>
    <n v="0.44"/>
    <n v="3044394"/>
    <s v="NO"/>
    <m/>
    <m/>
    <m/>
    <s v="NO"/>
    <m/>
    <m/>
    <m/>
    <s v="YES"/>
    <n v="172"/>
    <n v="0.44"/>
    <n v="3044394"/>
    <s v="YES"/>
    <n v="172"/>
    <n v="0.44"/>
    <n v="3044394"/>
    <s v="NO"/>
    <m/>
    <m/>
    <m/>
    <s v="NO"/>
    <m/>
    <m/>
    <m/>
    <s v="YES"/>
    <n v="172"/>
    <n v="0.44"/>
    <n v="3044394"/>
    <m/>
    <m/>
    <m/>
    <m/>
    <m/>
    <s v="NO"/>
    <m/>
    <m/>
    <s v="YES"/>
    <s v="NO"/>
    <m/>
    <m/>
    <m/>
    <x v="2"/>
    <s v="YES"/>
    <s v="YES"/>
    <s v="NO"/>
    <s v="YES"/>
    <s v="YES"/>
    <m/>
    <s v="NO"/>
    <m/>
    <m/>
    <x v="2"/>
    <s v="Plataformas de dialogos, participación de multiactores del sector forestal"/>
    <x v="1"/>
    <s v="recomendaciones del Comité Nacional de Salvaguardas a la Secretaria de Estado a cargo del tema de Cambio Climático."/>
    <x v="1"/>
    <x v="1"/>
    <s v="YES"/>
    <x v="0"/>
    <x v="0"/>
    <x v="0"/>
    <x v="2"/>
    <n v="4"/>
    <x v="2"/>
    <x v="1"/>
    <x v="1"/>
    <x v="1"/>
    <x v="1"/>
    <x v="2"/>
    <n v="4"/>
    <x v="1"/>
    <x v="1"/>
    <x v="0"/>
    <x v="1"/>
    <x v="3"/>
    <n v="2"/>
    <x v="3"/>
    <x v="2"/>
    <n v="36"/>
    <s v="National government"/>
    <s v="Local NGO(s)/CSO(s)"/>
    <s v="Grassroots organization(s)"/>
    <x v="0"/>
    <s v="Promover la participación de organizaciones de base y sociedad civil junto a la academia y el gobierno para implementar la Estrategia REDD+ y velar el cumplimiento del respeto de las Salvaguardas que aseguren su particvipación y beneficios en el tema REDD+."/>
    <m/>
    <s v="Comité Nacional de Salvaguardas"/>
    <s v="Revisiones de Marcos Juridicos Existentes"/>
    <s v="Análisis de vacios para respetar derechos de actores interesados en REDD+"/>
    <s v="La flexibilidad en la incorporación de temas de interés en las reuniones con el CONASASH"/>
    <s v="Conformar un equipo multiactor: gobierno-sociedad civil-cooperación para liderar al Comité"/>
    <s v="Trabajo en equipo CARE y Contraparte Nacional"/>
    <m/>
    <s v="Informes Técnicos Proyecto Salvaguardas; Análisis del Marco Legal, institucional y de Cumplimiento; Recomendaciones CONASASH a MiAmbiente; Conceptos construidos con recomendaciones a la participación de la mujer en el tema REDD+."/>
    <n v="172"/>
    <n v="3044394"/>
    <n v="17699.965116279069"/>
    <n v="0.43604651162790697"/>
    <n v="0.47999996058328848"/>
    <n v="75"/>
    <n v="1461309"/>
    <s v=""/>
    <n v="0"/>
    <n v="0"/>
    <s v=""/>
    <n v="1"/>
    <n v="172"/>
    <n v="3044394"/>
    <n v="17699.965116279069"/>
    <s v=""/>
    <n v="0"/>
    <n v="0"/>
    <s v=""/>
    <n v="1"/>
    <n v="172"/>
    <n v="3044394"/>
    <n v="17699.965116279069"/>
    <n v="1"/>
    <n v="172"/>
    <n v="3044394"/>
    <n v="17699.965116279069"/>
    <s v="4. Transformative"/>
    <s v="4. Transformational"/>
    <s v="1. Neutral"/>
    <s v="It tested new ways for fighting poverty and measured results of innovation"/>
    <s v="Intensive advocacy"/>
    <s v="It linked and worked with strategic alliances and partners to take tested and effective solutions to scale"/>
  </r>
  <r>
    <x v="32"/>
    <x v="4"/>
    <n v="2990"/>
    <s v="HOGARES GESTORES DE ATENCION EN SALUD (HOGASA)"/>
    <s v="Honduras"/>
    <s v="GHONHN0017"/>
    <s v="CARE USA"/>
    <s v="Government"/>
    <s v="Other"/>
    <s v="Ministry of Health of Honduras"/>
    <m/>
    <m/>
    <m/>
    <m/>
    <m/>
    <m/>
    <m/>
    <m/>
    <m/>
    <m/>
    <m/>
    <m/>
    <m/>
    <m/>
    <m/>
    <m/>
    <m/>
    <m/>
    <m/>
    <m/>
    <m/>
    <m/>
    <m/>
    <m/>
    <m/>
    <m/>
    <m/>
    <m/>
    <m/>
    <m/>
    <m/>
    <m/>
    <m/>
    <m/>
    <m/>
    <m/>
    <m/>
    <m/>
    <m/>
    <m/>
    <m/>
    <m/>
    <m/>
    <m/>
    <m/>
    <d v="2017-01-01T00:00:00"/>
    <d v="2017-12-31T00:00:00"/>
    <m/>
    <s v="Development Food &amp; Nutrition Security and Resilience to Climate Change"/>
    <n v="169000"/>
    <s v="Sandra Isabel Mendoza Meraz"/>
    <s v="Gerenta de Calidad Programatica y Movilizacion de Recursos"/>
    <s v="Sandra.Mendoza@care.org"/>
    <s v="Carmen Aleida Hernandez Ardon"/>
    <s v="Coordinadora de Iniciativa"/>
    <s v="Carmen.Hernandez@care.org"/>
    <s v="NO"/>
    <s v="YES"/>
    <s v="NO"/>
    <s v="Contribuir al mejoramiento de la salud, expandiendo la experiencia HOGASA y alineando los componentes y estrategias de cuidado de la salud comunitaria mediante un ejercicio de transferencia técnica a socios locales y de un sostenido proceso de facilitación de acciones para el cuidado de la  salud en la primera infancia con especial énfasis en el corredor seco que  responde a la visión de CARE de incorporar un enfoque integral que trascienda la sumatoria de acciones sectoriales generando una la articulación de medidas en beneficio de la salud de los niños y niñas y sus familias, lo cual está en consonancia con la política de salud de la SESAL que enfatiza las estrategias dirigidas al hogar para apoyar a los responsables de la atención y cuidado del niño."/>
    <s v="Sub-National"/>
    <s v="Departamento Lempira:Municipios:Erandique, Santa Cruz, Gualcinse, San Francisco,_x000a_Departamento La Paz: Municpios: Yarula, Opatoro, Chinacla, Guajiquiro_x000a_Departamento Intibuca:Municpios:Yamaranguila, San Marcos,Masaguara,San Isidro,Dolores,San Juan"/>
    <s v="Embarazadas, Madres y padres de familia de niños menores de cinco años, Niñas y Niños Menores de cinco años, Voluntarios de Salud, Jóvenes menores de 19 años, Personal de la Secretaria de Salud y Gestores descentralizados de servicios de salud"/>
    <n v="44226"/>
    <n v="38967"/>
    <n v="83193"/>
    <n v="66470"/>
    <n v="70197"/>
    <n v="136667"/>
    <s v="Directos:Los participantes directos son los individuos hombres, mujeres, niños y niñas en quienes se espera generar cambios en función de los indicadores propuestos por el proyecto, que son seleccionados de acuerdo a los criterios de postergación establecidos por la Secretaría de salud de Honduras en sus niveles nacional, regional y municipal Embarazadas, población ubicada en el corredor seco del pais, categorizado como de extrema probreza por sus condiciones climáticas y de exclusión étnica y geográfica_x000a_Indirectos: Hombres y mujeres niños y niñas de municipios y comunidades circundantes a la zona de influencia del proyecto referidos a comunidades y municipios"/>
    <m/>
    <m/>
    <m/>
    <m/>
    <m/>
    <m/>
    <m/>
    <m/>
    <m/>
    <m/>
    <m/>
    <m/>
    <m/>
    <m/>
    <m/>
    <m/>
    <m/>
    <m/>
    <m/>
    <m/>
    <m/>
    <m/>
    <m/>
    <m/>
    <m/>
    <m/>
    <m/>
    <m/>
    <m/>
    <m/>
    <m/>
    <m/>
    <m/>
    <m/>
    <m/>
    <m/>
    <m/>
    <m/>
    <m/>
    <m/>
    <m/>
    <m/>
    <m/>
    <m/>
    <m/>
    <m/>
    <m/>
    <m/>
    <m/>
    <m/>
    <m/>
    <m/>
    <m/>
    <m/>
    <m/>
    <m/>
    <m/>
    <m/>
    <m/>
    <m/>
    <n v="53749"/>
    <n v="47838"/>
    <n v="101587"/>
    <n v="82940"/>
    <n v="85318"/>
    <n v="168258"/>
    <m/>
    <m/>
    <m/>
    <m/>
    <m/>
    <m/>
    <m/>
    <m/>
    <m/>
    <m/>
    <m/>
    <m/>
    <m/>
    <m/>
    <m/>
    <m/>
    <m/>
    <m/>
    <m/>
    <m/>
    <m/>
    <m/>
    <m/>
    <m/>
    <s v="YES"/>
    <n v="35013"/>
    <n v="0.35"/>
    <n v="57208"/>
    <m/>
    <m/>
    <m/>
    <m/>
    <m/>
    <m/>
    <m/>
    <m/>
    <s v="YES"/>
    <n v="2160"/>
    <n v="0.02"/>
    <n v="45430"/>
    <m/>
    <m/>
    <m/>
    <m/>
    <m/>
    <m/>
    <m/>
    <m/>
    <m/>
    <m/>
    <m/>
    <m/>
    <s v="YES"/>
    <n v="64414"/>
    <n v="0.63"/>
    <n v="65620"/>
    <m/>
    <m/>
    <m/>
    <m/>
    <m/>
    <m/>
    <m/>
    <m/>
    <m/>
    <m/>
    <m/>
    <m/>
    <m/>
    <s v="YES"/>
    <s v="November"/>
    <n v="2017"/>
    <s v="YES"/>
    <s v="YES"/>
    <s v="November"/>
    <n v="2018"/>
    <s v="La metodologia utilizada  para medir el indicadores de impacto sobre el Estado Nutricional en menores de cinco años es la medicion antropométrica (del peso y talla); el procesamiento  y resultados de la informacion se realiza en el Programa WHO ANTRHO.  _x000a__x000a_La metodologia utilizada para medir indicador de impacto sobre conocimiento de signos y sintomas de enfermedades infecciosas (IRAs Y DIARREAS) son entrevistas individuales a madres con niños menores de cinco; y el procesamiento y resultados se generan en el Programa SPSS._x000a__x000a_Para los indicadores de salud sexual reproductivo como reducción de embarazo en adolesccentes, mortalidad materna e infantil, se urilizan los registros, reportes y protocolos establecidos en la Secretaría de Salud"/>
    <x v="1"/>
    <s v="NO"/>
    <s v="NO"/>
    <s v="YES"/>
    <s v="YES"/>
    <s v="YES"/>
    <s v="NO"/>
    <s v="YES"/>
    <s v="NO"/>
    <m/>
    <x v="2"/>
    <s v="Adaptación del enfoque de Análisis Social y Acción (SAA) para el Abordaje de la Nutrición infantil y Materna, derechos de salud sexual reproductiva para adolescentes desde la perspectiva de la participación comunitaria con el propósito de generar consciencia en la sociedad hacia la protección de niños, niña y jóvenes, impulsando conocimientos y promoviendo prácticas enmarcadas en el derecho a una infancia y juventud libre de violencia, en un ambiente afectivo en el seno de la familia, Reforzando conocimientos y practicas adecuadas de salud, nutrición y SSR para asegurar un ambiente óptimo que contribuya a mejorar las condiciones y la calidad de vida._x000a_Una innovación importante es la implementación de normas de vigilancia y programas de meddición nutricional que no habían sido implementadas en la zona de influencia del proyecto como el programa WHO Antrho y el desarrollo de estudios de estado nutricional a nivel municipal"/>
    <x v="1"/>
    <s v="Fortalecimiento de la Capacidad del Prestador de Servicios de Salud para el abordaje de la Nutricion desde la implementación de la nueva norma de vigilancia nutricional aprobada en el pais_x000a_Generación de información nutricional actualizada mediante el desarrollo de estudios de estado nutricional que escaló desde lo commuitario hasta lo municipal y regional"/>
    <x v="1"/>
    <x v="0"/>
    <s v="YES"/>
    <x v="0"/>
    <x v="0"/>
    <x v="0"/>
    <x v="0"/>
    <n v="4"/>
    <x v="1"/>
    <x v="1"/>
    <x v="1"/>
    <x v="1"/>
    <x v="1"/>
    <x v="1"/>
    <n v="4"/>
    <x v="1"/>
    <x v="1"/>
    <x v="1"/>
    <x v="1"/>
    <x v="1"/>
    <n v="3"/>
    <x v="0"/>
    <x v="2"/>
    <n v="1"/>
    <s v="Local government(s)"/>
    <s v="Local alliance(s)/Platform(s)/Network(s) of  NGOs/CSOs"/>
    <s v="Grassroots organization(s)"/>
    <x v="0"/>
    <s v="Fortalecimiento de la capacidades técnicas de los gestores descentralizados y voluntarios de Salud en temas de vigilancia nutricional, gerencia e inducción de personal, salud sexual reprooductiva._x000a_Fortalecimiento de las mesas de protección social a nivel regional y las mesas temáticas de salud a nivel municipal como instancias para la revisión de indicadores y toma de desiciones para la coordinación institucional"/>
    <s v="Uno de los cambios más significativos está alineado con asumir plenamente el rol facilitador que nos ha permitido desarrollar un proceso de transferencia metodológica que incluye algunas adaptaciones en los temas de vigilancia nutricional, salud sexual y reproductiva, con metododolgías propias de Care como el enfoque de SAA y la utilización de algunas de las herramientas del enfoque de género casa adentro, además de trabajar fuertemente en procesos de fortalecimiento en estructuras de sociedad civil en el sector salud. _x000a_Impulsar la iniciativa de servicios amigables de salud para la juventud, insentivando a los gestores descentralizados a trabajar de manera diferenciada con la población juvenil y su derecho a un acceso oportuno a servicios de salud sexual reproductiva"/>
    <s v="Estudios de estado nutricional: utilizzando los estandares internacionales de medición antropométrica y el programa WHO Anthro, nos permite proporcionar información nutricional actualizada, fundamental para influenciar la toma de decisiones con respecto al cuidado de la salud y la nutrición infantil"/>
    <s v="Utilización del enfoque de análisis social y acción: Como la principal metodología de educación en salud que permite utilizar, adaptar y crear herramientas de reflexión y análisis para abordar la problemática de salud con ejercicios que confrontan los conocimientos con las prácticas que afectan positiva o negativamente la salud y el bienestar de las familias"/>
    <s v="Fortalecimiento de mesas de protección social y mesas temáticas: instanciass para el análisis, la concertación y el asocio que facilitan la implementación de acciones conjuntas para incrementar las coberturas, el acceso y el mejoramiento de los indicadores de salud en general"/>
    <s v="El trabajo en asocio es fundamental para mejorar las posibilidades de alcanzar logros significativos en ls intervenciones planteadas"/>
    <s v="Incrementar la gestión de recusos para potenciar la sostenibilidad de las acciones, pero adicionalmente acompañar el escalamiento y la documentación de las experiencias validadas por el proyecto"/>
    <s v="Un reto importante para el proyecto es retomar la documentación relacionada con la identificación de historias de intrés humano, pero tambien la sistematización de las innovaciones implementadas como elemento básico para la sustentación de los resultados ante Care pero tambien ante el rector y donante de esta iniciativa, La Secretaría ed salud"/>
    <s v="Para el proyecto HOGASA existe una fuerte demanda de apoyo por parte de los gestores descentralizados de servicios de salud, autoridades municipales y de la secretaría de educación en términos de apoyo a la implementación del componente de salud sexual y reproductiva para la población juvenil, demanda que no puede ser satisfecha en su totalidad debido a las limitaciones presupuestarias con ls que se opera, por lo que se tiene un importante reto para encontrar fuentes financieras que nos permitan incrementar la capacidad de atención a otras zonas y poblaciones"/>
    <s v="Los documentos de referencia con que cuenta el proyecto son: Marco lógico, Plan Operativo anual, informes trimestrales, informes de evaluaciones anuales, informes narrativos mensuales, informes cuantitativos"/>
    <n v="101587"/>
    <n v="168258"/>
    <n v="1.6562946046246074"/>
    <n v="0.52909328949570322"/>
    <n v="0.49293347121682179"/>
    <n v="53749"/>
    <n v="82940"/>
    <s v=""/>
    <n v="0"/>
    <n v="0"/>
    <s v=""/>
    <n v="1"/>
    <n v="35013"/>
    <n v="57208"/>
    <n v="1.6339074058206953"/>
    <n v="1"/>
    <n v="64414"/>
    <n v="65620"/>
    <n v="1.0187226379358525"/>
    <s v=""/>
    <n v="0"/>
    <n v="0"/>
    <s v=""/>
    <s v=""/>
    <n v="0"/>
    <n v="0"/>
    <s v=""/>
    <s v="2. Sensitive"/>
    <s v="2. Accommodating"/>
    <s v="2. Sensitive"/>
    <s v="It tested new ways for fighting poverty and measured results of innovation"/>
    <s v="Moderate advocacy"/>
    <s v="It linked and worked with strategic alliances and partners to take tested and effective solutions to scale"/>
  </r>
  <r>
    <x v="32"/>
    <x v="4"/>
    <m/>
    <s v="INICIATIVA IGS LAC - Programa regional de Trabajo Digno"/>
    <s v="Honduras"/>
    <m/>
    <s v="CARE USA"/>
    <s v="Other"/>
    <s v="Other"/>
    <m/>
    <m/>
    <m/>
    <m/>
    <m/>
    <m/>
    <m/>
    <m/>
    <m/>
    <m/>
    <m/>
    <m/>
    <m/>
    <m/>
    <m/>
    <m/>
    <m/>
    <m/>
    <m/>
    <m/>
    <m/>
    <m/>
    <m/>
    <m/>
    <m/>
    <m/>
    <m/>
    <m/>
    <m/>
    <m/>
    <m/>
    <m/>
    <m/>
    <m/>
    <m/>
    <m/>
    <m/>
    <m/>
    <m/>
    <m/>
    <m/>
    <m/>
    <m/>
    <m/>
    <m/>
    <m/>
    <d v="2016-07-01T00:00:00"/>
    <d v="2030-12-01T00:00:00"/>
    <m/>
    <s v="Development Other"/>
    <m/>
    <s v="Claudia Sanchez"/>
    <s v="Regional Coordinator Program Quality &amp; Impact"/>
    <s v="Claudia.Sanchez@care.org"/>
    <s v="Viviana Osorio"/>
    <s v="Regional Advocacy Advisor LAC"/>
    <s v="Viviana.Osorio@care.org"/>
    <s v="NO"/>
    <s v="YES"/>
    <s v="NO"/>
    <s v="Al 2030, mujeres trabajadoras del hogar de 6 paises en LAC  (Colombia, Mexico, Ecuador, Guatemala, Honduras y Brasil),  conocen, ejercen y demandan sus derechos humanos y laborales, impulsando un sistema de protección social que garantiza una vida digna y libre de violencia. La iniciativa gestiona un conjunto de estrategias enfocados en la creacion de alianzas y asocios nacionales y regionales para la incidencia politica para la ratificacion del convenio 189 y su implementacion en politica publica en cada pais, la comunicacion para el cambio de comportamiento de las y los empleadores, el aprendizaje y la gestion de conocimiento entre paises, el fortaleciento de las organizaciones de trabajadoras del hogar, que permitan lograr que 10 millones de trabajadoras del hogar al 2030 logren acceso a salario justo, acceso a seguridad social y acceso a un contrato digno de trabajo. Las condiciones en cada pais son distintas para alcanzar estas metas, por los cual los avances y estrategia por pais difieren segun los contextos y realidades especificos."/>
    <s v="Regional"/>
    <s v="Ecuador, Colombia, Guatemala, Honduras, Mexico y Brasil"/>
    <s v="Trabajadoras del Hogar remuneradas"/>
    <m/>
    <m/>
    <m/>
    <m/>
    <m/>
    <m/>
    <s v="Participantes directos&gt; Numero de Trabajadoras del hogar afiliadas a las organizaciones, Numero de tomadores de decision de Gobiernos en 6 paises (Congresistas, Ministros, otros politicos), numero de representantes de organizaciones socias afines a la problematica de los derechos de las trabajadoras del hogar, Numero de influenciadores / lideres de opinion sensibilizados, numero de personas que participan en actividades desarrolladas por con socios y aliados en favor de los derechos de las trabajadoras. Participantes indirectos&gt; Numero de personas (empleadores) sensibilizadas por campañas comunicacionales en favor de los derechos de las trabajadoras, Numero de trabajadoras del hogar sensibilizadas en sus derechos por alcance indirecto de otras trabajadoras del hogar, numero de trabajadoras del hogar que logran tener al menos 1 de 3 indicadores considerados: acceso a contrato de trabajo, acceso a seguridad social, acceso a un salario justo en los 6 paises en los que se desarrolla la iniciativa._x000a_NOTA: Todos los participantes totales de la IGS han sido reportados desde Ecuador. Para evitar doble conteo, este formulario no incluye cifras especificas para Guatemala"/>
    <m/>
    <m/>
    <m/>
    <m/>
    <m/>
    <m/>
    <m/>
    <m/>
    <m/>
    <m/>
    <m/>
    <m/>
    <m/>
    <m/>
    <m/>
    <m/>
    <m/>
    <m/>
    <m/>
    <m/>
    <m/>
    <m/>
    <m/>
    <m/>
    <m/>
    <m/>
    <m/>
    <m/>
    <m/>
    <m/>
    <m/>
    <m/>
    <m/>
    <m/>
    <m/>
    <m/>
    <m/>
    <m/>
    <m/>
    <m/>
    <m/>
    <m/>
    <m/>
    <m/>
    <m/>
    <m/>
    <m/>
    <m/>
    <m/>
    <m/>
    <m/>
    <m/>
    <m/>
    <m/>
    <m/>
    <m/>
    <m/>
    <m/>
    <m/>
    <m/>
    <m/>
    <m/>
    <m/>
    <m/>
    <m/>
    <m/>
    <m/>
    <m/>
    <m/>
    <m/>
    <m/>
    <m/>
    <m/>
    <m/>
    <m/>
    <m/>
    <m/>
    <m/>
    <m/>
    <m/>
    <m/>
    <m/>
    <m/>
    <m/>
    <m/>
    <m/>
    <m/>
    <m/>
    <m/>
    <m/>
    <m/>
    <m/>
    <m/>
    <m/>
    <s v="YES"/>
    <m/>
    <m/>
    <m/>
    <s v="YES"/>
    <m/>
    <m/>
    <m/>
    <m/>
    <m/>
    <m/>
    <m/>
    <m/>
    <m/>
    <m/>
    <m/>
    <m/>
    <m/>
    <m/>
    <m/>
    <s v="YES"/>
    <m/>
    <m/>
    <m/>
    <m/>
    <m/>
    <m/>
    <m/>
    <m/>
    <m/>
    <m/>
    <m/>
    <s v="YES"/>
    <m/>
    <m/>
    <m/>
    <m/>
    <m/>
    <m/>
    <m/>
    <m/>
    <s v="NO"/>
    <m/>
    <m/>
    <m/>
    <s v="YES"/>
    <s v="June"/>
    <n v="2018"/>
    <s v="1) Desarrollar la linea de base por pais. 2) Desarrollar Encuestas de percepcion y cambio de actitudes y practicas (CAP) en diferentes actores involucrados en la inicitiva, para evaluar nivel de sensibilizacion e involucramiento respecto a la problematica de las trabajadoras del hogar"/>
    <x v="1"/>
    <s v="NO"/>
    <s v="NO"/>
    <s v="YES"/>
    <s v="YES"/>
    <s v="YES"/>
    <s v="YES"/>
    <s v="NO"/>
    <s v="YES"/>
    <s v="agenda politica comun entre org regionales de trabajadoras del hogar asi como entre las org en Colombia. Acompañamiento al fortalecimiento de las organizaciones de trabajadoras del hogar para el desarrollo de agendas de incidencia."/>
    <x v="1"/>
    <s v="El apoyo a las organizaciones de trabajadoras domésticas de México y Colombia para la expansión de sus afiliadas y la formación de los liderazgos femeninos en las organizaciones, así como la impementación de acciones de comunicación pública para sensibilizar a la sociedad civil sobre la problemetica y la falta de derechos de las trabajadoras del hogar. Se espera realizar una evaluacion en af18 para medir el cambio de actitudes y practicas sobre eun conjunto de actores involucrados en la iniciativa."/>
    <x v="1"/>
    <s v="En el primer año se han conformado las alianzas estratégicas bajo prioridades y enfoques comunes de actuación, vinculando a las organizaciones nacionales de trabajadoras del hogar con las organizaciones regionales en la propuesta de agendas y planes de accion comunes. Recordar que esta iniciativa se contruye sobre una primera fase que abarco acciones entre el 2010 al 2015 en 3 paises: Bolivia, Peru y Ecuador. Las lecciones aprendidas de esta experiencia, son las bases del diseño de la estrategia 2017 - 2030 en los 6 paises previstos para esta fase: Ecuador, Honduras, Guatemala, Colombia, Mexico y Brasil. Se ha trabajado en el acercamiento de las dos redes latinoamericanas de trabajo domestico *FITH y CONLACTRAO, asi como con la OIT. El acercamiento con Brasil se ha dado en los ultimos meses, se esta buscando movilizar nuevos recursos para poder afianzar un proyecto mayor con las organizaciones en Brasil (con apoyo de CARE Francia)"/>
    <x v="1"/>
    <x v="1"/>
    <s v="YES"/>
    <x v="0"/>
    <x v="0"/>
    <x v="1"/>
    <x v="4"/>
    <n v="3"/>
    <x v="2"/>
    <x v="1"/>
    <x v="1"/>
    <x v="1"/>
    <x v="1"/>
    <x v="2"/>
    <n v="4"/>
    <x v="1"/>
    <x v="2"/>
    <x v="1"/>
    <x v="2"/>
    <x v="3"/>
    <n v="1"/>
    <x v="2"/>
    <x v="2"/>
    <m/>
    <s v="Labor union(s)"/>
    <s v="Local NGO(s)/CSO(s)"/>
    <s v="Multilateral organization(s)"/>
    <x v="0"/>
    <s v="El apoyo a las organizaciones de trabajadoras domésticas de Honduras, Guatemala, Ecuador, México y Colombia para la expansión de sus afiliadas y la formación de los liderazgos femeninos en las organizaciones, así como la impementación de acciones de comunicación pública para sensibilizar a la sociedad a cerca del valor del trabajo doméstico"/>
    <s v="La inicitiva tuvo mucho interes en consolidar las acciones de fortalecimiento del nivel regional de las organizaciones de trabajadoras del hogar, lo mismo establacer las alianzas con paises de no presencia de CARE como los son Mexico y Colombia, donde se han desarrollado los asocios con las organizaciones y sindicatos de trabajadoras en cada pais, asi como con organizaciones afines de fortalecimiento organizacional, ademas de continuar con los asocios con las organizaciones en Guatemala, Ecuador y Honduras. Un primer a;o de sentar las bases del asocio en 6 paises, lo mismo consolidar los asocios con OIT en el nivel regional fueron las prioridades del equipo en este primer año. Otro tema fue el apoyo a las campañas de sensibilizacion y eventos publicos (foros abiertos) dirigidas a la sociedad civil sobre la situacion de las trabajadoras del hogar, en especial en Mexico, Guatemala, Colombia y Honduras. Un tema importante ha sido diseñar un conjunto de indicadores de resultado que permitan consolidar los avances de la incidencia politica en cada pais. Si bien en el año 1 estos indicadores estuvieron mas concentrados en la generacion de redes y asocios, en el año 2 se proponen nuevas metas como son definir cambios en las politicas publicas existentes, formar plataformas de incidencia por pais, incrementar el numero de afiliadas a las organizaciones, desarrollar mayores investigaciones sobre la situacion de las trabajadoras en cada pais que sirvan como evidencia para la incidencia politica, involucrar a mayor numero de congresistas y actores de gobierno al movimiento por los derechos de las trabajadoras, entre otros.....ello con el fin de trabajar los 2 proximos años en los cambios necesarios en las leyes y la normativa existente que puedan generar las condiciones para el cumplimiento de los 3 indicadores propuestos: incremento de salario basico, incremento de acceso a seguridad social, incremento en numerode contratos. se esera que al 2020 al menos 5 millones de trabajadoras sean alcanzadas por estos beneficios en los 6 paises en los que trabaja la iniciativa."/>
    <s v="El poder catalizador de las alianzas es un modelo de actuación vital para el logro de los objetivos del programa, en especial considerando la estrategia multidimensional expresada en nuestra teoría de cambio para transformar las condiciones laborales y la vida de las trabajadoras del hogar. Además de hace posible la mayor movilización de recursos, la experiencia y el conocimiento de los diversos actores es el activo mas valioso que las alianzas estratégicas permiten capitalizar para el desarrollo de la IGS.                                                                                                                                                                                                                                             Adicionalmente, la unidad y la articulación de las organizaciones de las trabajadoras domésticas es el enfoque más exitoso para la representación política, ya que incrementa la visibilidad política, el poder de negociación de las mismas y propicia agendas políticas menos diversas. La apuesta del Programa es que las organizaciones existentes amplíen sus bases, desarrollen sus liderazgos, sean sostenibles y avancen en redes y alianzas para su mayor capacidad de incidencia."/>
    <s v="El desarrollo de un nuevo modelo de presencia de CARE para expandir la acción a países en los cuales no se cuenta con oficina, ha sido exitoso en el primer año del proyecto. De esta manera, en México y Colombia, con la actuación con socios estratégicos y los sindicatos más fuertes de trabajadoras domésticas, los objetivos del programa avanzan de manera exitosa e incluso generando experiencias exitosas para replicar en otros países de la región."/>
    <s v="El social business aplicado a las organizaciones de trabajadoras domésticas  hace possible la formalización laboral, la profesionalización y cualificación de las trabajadoras. Asimismo, tiene importantes efectos en la organización sindical, como su sostenibilidad financiera, la ampliación de sus bases, el ejercicio de la negociación colectiva, entre otros. Tras su sistematización, será un modelo susceptible de ser replicado"/>
    <s v="Es fundamental que los procesos de diseño y la implementación de las estrategias de incidencia y de comunicación pública se articulen a los procesos de este tipo que ya adelantan las organizaciones en sus respetivos países, reconociendo su conocimiento, experiencia y comprensión del contexto. Desde este reconocimiento, nuestras estrategias deben recoger las prioridades comunes, potenciar las capacidades de los actores y proporcionar una visión del panorama político regional y global para una articulación colectiva en propósitos comunes.  De otro lado, el proceso de conformación de alianzas y asocios hace posible ver con mayor claridad las necesidades de la región a partir del conocimiento de lo que los múltiples actores han adelantado para promover los derechos d elas trabjaadoras domésticas."/>
    <s v="La conformación de plataformas a nivel nacional y regional determinarán formas de actuación y roles distintos para CARE, dependiendo del modelo de presencia y la relación con los socios y aliados en cada país. En el caso de los países donde tenemos oficina, es el equipo nacional quien tiene la iniciativa y el equipo regional apoya sus decisiones; en el caso de los países donde tenemos asocios fuertes, apoyaremos la constitución de las plataformas brindando soporte técnico, político y financiero. En el nivel regional se privilegiará nuestro rol articulador y dinamizador de procesos, pues esta es una gestión que no está siendo realizada por otros actores y es el valor agregado del trabajo que CARE puede realizar y posicionarse desde este espacio en la temática y en el contexto latinoamericano."/>
    <s v="Se requiere generar espacios de diálogo, intercambio y trabajo conjunto entre FITH y CONLACTRAHO, tomando en cuenta los ritmos y situación organizativa de cada una y aportando técnica y políticamente para su consolidación como expresión regional de las trabajadoras del hogar. Esto considerando además la improtancia de traducir en estrategias y actividades conjuntas el acuerdo de articulación para la acción en América Latina."/>
    <s v="EL FORMULARIO NO INCLUYE DATA DE PRESUPUESTO NI PARTICIPANTES PORQUE TODOS ESTAN REPORTADOS BAJO EL CONSOLIDADO REPORTADO POR ECUADOR_x000a_La gestión del conocimiento y la experiencia adquirida (ver sistematización de la experiencia del Programa Regional de Trabajo Digno 2009-2017), ha permitido avanzar más rápido en la relación con las organizaciones y consolidación de acuerdos de confianza y trabajo conjunto._x000a_Los procesos de formación que impulsamos al considerar a los seres humanos como un todo integral, potencia las capacidades individuales y colectivas y aporta a la conformación de liderazgos de nuevo tipo, que enfrentan desde una práctica distinta, a las prácticas de los sindicatos tradicionales jerárquicos, patriarcales y que invisibilizan el trabajo doméstico._x000a_La necesidad de contar con indicadores de resultado anual para dar cuenta de los logros y resultados de incidencia de manera cuantitativa y cualitativa. Se ha trabajado una matriz de indicadores en este sentido que han sido completados al final del primer año por los 5 paises en los que se ha implementado la iniciative este año. Se han propuesto un conjunto nuevo de indicadores de resultado de incidencia para el año 2 como parte del sistema de MyE escalonado (o en fases) diseñado para la iniciativa. Se propone monitorear estos avances de manera trimestral en el AF18."/>
    <s v="i) Marco lógico; ii) Informe anual regional y por país. iii) sistematización de la experiencia del Programa Regional de Trabajo Digno 2009-2017) iv) Video Trabajadoras del Hogar:  https://www.dropbox.com/s/b9loiehxnohuknc/CARE_WORKSHOP_1080P_h264_FINAL_Spanish.mov?dl=0"/>
    <n v="0"/>
    <n v="0"/>
    <s v=""/>
    <s v=""/>
    <s v=""/>
    <n v="0"/>
    <n v="0"/>
    <s v=""/>
    <n v="0"/>
    <n v="0"/>
    <s v=""/>
    <s v=""/>
    <n v="0"/>
    <n v="0"/>
    <s v=""/>
    <s v=""/>
    <n v="0"/>
    <n v="0"/>
    <s v=""/>
    <n v="1"/>
    <n v="0"/>
    <n v="0"/>
    <s v=""/>
    <n v="1"/>
    <n v="0"/>
    <n v="0"/>
    <s v=""/>
    <s v="3. Responsive"/>
    <s v="4. Transformational"/>
    <s v="1. Neutral"/>
    <s v="It tested new ways for fighting poverty, but did not measure results of innovation"/>
    <s v="Moderate advocacy"/>
    <s v="It linked and worked with strategic alliances and partners to take tested and effective solutions to scale"/>
  </r>
  <r>
    <x v="32"/>
    <x v="4"/>
    <n v="2983"/>
    <s v="PROMOCIÓN DE LA SEGURIDAD ALIMENTARIA E INCLUSIÓN SOCIAL EN LA REGION LEMPA DE HONDURAS"/>
    <s v="Honduras"/>
    <s v="GHONHN0018"/>
    <s v="CARE USA"/>
    <s v="Government"/>
    <s v="Other"/>
    <s v="GHONSEDIS"/>
    <m/>
    <m/>
    <m/>
    <m/>
    <m/>
    <m/>
    <m/>
    <m/>
    <m/>
    <m/>
    <m/>
    <m/>
    <m/>
    <m/>
    <m/>
    <m/>
    <m/>
    <m/>
    <m/>
    <m/>
    <m/>
    <m/>
    <m/>
    <m/>
    <m/>
    <m/>
    <m/>
    <m/>
    <m/>
    <m/>
    <m/>
    <m/>
    <m/>
    <m/>
    <m/>
    <m/>
    <m/>
    <m/>
    <m/>
    <m/>
    <m/>
    <m/>
    <m/>
    <m/>
    <m/>
    <d v="2016-01-26T00:00:00"/>
    <d v="2017-12-31T00:00:00"/>
    <m/>
    <s v="Humanitarian Food &amp; Nutrition Security and Resilience to Climate Change"/>
    <n v="5044952.1399999997"/>
    <s v="Ovilso Dimedis Zuniga López"/>
    <s v="Coordinador de Iniciativa"/>
    <s v="ovilso.zuniga@care.org"/>
    <s v="Sandra Mendoza"/>
    <s v="Gerente de Calidad Programatica"/>
    <s v="sandra.mendoza@care.org"/>
    <s v="YES"/>
    <s v="YES"/>
    <s v="YES"/>
    <s v="Contribuir a mejorar la calidad de vida de hombres, mujeres, niñas, niños, jóvenes y pueblos indígenas, que viven en condiciones de pobreza, exclusión, vulnerabilidad y riesgo social, en la Región del Corredor Seco en la Región Lempa, generando condiciones para la seguridad alimentaria, salud y nutrición, mediante  el abordaje de los riesgos derivados de la sequía."/>
    <s v="Sub-National"/>
    <s v="Departamento de Intibuca/Municipios: San marcos de la Sierra, Concepcion, camasca, Colomoncagua, Magdalena, Santa Lucia, San Antonio._x000a_Departamento de Lempira/Municipios:  San ta Cruz, Erandique, San Francisco, San Andres, Piraera, Gualcinse, Candelaria, Mapulaca, Virginia, La Virtud, Valladolid, tambla, Tomala, Guarita, San Juan Guarita y Cololaca."/>
    <s v="6466 familias productoras agroalimentarias con los beneficios finales._x000a__x000a_Desarrollo de capacidades a los actores locales: 23 Gobiernos Municipales, 4 Mancomunidades, 1 Consejo Regional, 111 Grupos y Asociaciones de  productores y productoras, 23 Redes y Movimientos de Mujeres, 119 Cajas de Ahorro y Crédito (CAC), 5 Proveedores descentralizados de servicios de Salud, 23 Redes de voluntarios de salud local, 23 municipio con Sistema de Alerta Temprana ante sequia, 23 Comites de Emergencia Municipal, 304 Comites de Emergencia Local. _x000a_ 1150 niñas y niños menores de cinco años  de 45 comunidades , 1755 niñas y niños de 23 centros educativos._x000a__x000a_249 Especialistas en Seguridad alimentaria y Cambio Climatico (60 SAT, 62 Produccion,11 DER y 116 Promotores de Salud)"/>
    <n v="39000"/>
    <n v="35247"/>
    <n v="74247"/>
    <n v="61023"/>
    <n v="58630"/>
    <n v="119653"/>
    <s v="Los beneficiarios directos representan el 38.3% de la poblacion  de los municipios de intervencion, son las personas que reciben beneficio directo del proyecto y hacen uso inmediato de los recursos: Familias productoras (grupos de mujeres, Cajas Rurales), desarrollo de capacidades (gobiernos locales, mancomunidades, consejo regional, Redes y  Proveedores de servicios de salud, redes de voluntarios de Salud, CODEM, CODELs, Centros educativos y Unidades municipales de Salud), atencion de ninas y niños menores de 5 años y en edad escolar y la formacion de especialistas locales._x000a__x000a_Los banaficiarios indirectos son el 61.7% (considerando el area geografica de intervencion del proyecto y el Censo INE 2013), representan la poblacion beneficiada con Escuelas de campo, estrategias de atencion de salud, politicas municipales, planes y presupuestos y sistemas de alerta temprana."/>
    <m/>
    <m/>
    <m/>
    <m/>
    <m/>
    <m/>
    <m/>
    <s v="NO"/>
    <m/>
    <m/>
    <m/>
    <s v="NO"/>
    <m/>
    <m/>
    <m/>
    <s v="YES"/>
    <m/>
    <m/>
    <m/>
    <s v="YES"/>
    <m/>
    <m/>
    <m/>
    <s v="YES"/>
    <m/>
    <m/>
    <m/>
    <s v="YES"/>
    <m/>
    <m/>
    <m/>
    <s v="YES"/>
    <m/>
    <m/>
    <m/>
    <s v="Yes"/>
    <m/>
    <m/>
    <m/>
    <s v="NO"/>
    <m/>
    <m/>
    <m/>
    <s v="YES"/>
    <m/>
    <m/>
    <m/>
    <s v="NO"/>
    <m/>
    <m/>
    <m/>
    <s v="NO"/>
    <m/>
    <m/>
    <m/>
    <m/>
    <m/>
    <m/>
    <m/>
    <m/>
    <n v="39000"/>
    <n v="35247"/>
    <n v="74247"/>
    <n v="61023"/>
    <n v="58630"/>
    <n v="119653"/>
    <m/>
    <m/>
    <m/>
    <m/>
    <s v="YES"/>
    <n v="29900"/>
    <n v="0.49159999999999998"/>
    <n v="48197"/>
    <m/>
    <m/>
    <m/>
    <m/>
    <m/>
    <m/>
    <m/>
    <m/>
    <m/>
    <m/>
    <m/>
    <m/>
    <s v="YES"/>
    <n v="1755"/>
    <n v="0.49"/>
    <n v="2829"/>
    <s v="YES"/>
    <n v="19773"/>
    <n v="0.497"/>
    <n v="31873"/>
    <m/>
    <m/>
    <m/>
    <m/>
    <s v="YES"/>
    <n v="1242"/>
    <n v="1"/>
    <n v="2002"/>
    <s v="YES"/>
    <n v="435"/>
    <n v="0.40229999999999999"/>
    <n v="701"/>
    <m/>
    <m/>
    <m/>
    <m/>
    <m/>
    <m/>
    <m/>
    <m/>
    <m/>
    <m/>
    <m/>
    <m/>
    <s v="YES"/>
    <n v="1150"/>
    <n v="0.48959999999999998"/>
    <n v="1854"/>
    <m/>
    <m/>
    <m/>
    <m/>
    <s v="YES"/>
    <n v="19992"/>
    <n v="0.503"/>
    <n v="32226"/>
    <m/>
    <m/>
    <m/>
    <m/>
    <m/>
    <s v="YES"/>
    <s v="September"/>
    <n v="2016"/>
    <s v="YES"/>
    <s v="NO"/>
    <m/>
    <m/>
    <m/>
    <x v="2"/>
    <s v="NO"/>
    <s v="NO"/>
    <s v="YES"/>
    <s v="YES"/>
    <s v="NO"/>
    <s v="YES"/>
    <s v="YES"/>
    <s v="NO"/>
    <m/>
    <x v="2"/>
    <s v="Elevo un modelo desarrollado en 10 municipios a un decreto nacional y lo replico en 23 municipios con financiamiento del Gobierno."/>
    <x v="1"/>
    <s v="La Implementacion del sistema de alerta temprana ante sequia &quot;SAT&quot;_x000a_Implementacion de tecnologias de gestion del agua lluvia para fortalecer la autonomia de gricultores y agricultoras ante la sequia._x000a_Vinculacion de Instancias Locales con espacios regionales y de coordinacion nacional de gobierno._x000a_Esquemas de capitalizacion de instancias locales para fortalecer la autonomia economica de las mujeres._x000a_Empoderamiento de gobiernos locales para invertir la ejecucion del proyectos agricolas, DER, gobernabilidad y gestion del conocimiento._x000a_Ejecucion del proyecto a traves de socios brindando un rol protagonico a MANCOMUNIDADES y Prestadores de servicios de salud."/>
    <x v="1"/>
    <x v="0"/>
    <s v="YES"/>
    <x v="0"/>
    <x v="0"/>
    <x v="0"/>
    <x v="0"/>
    <n v="4"/>
    <x v="1"/>
    <x v="1"/>
    <x v="1"/>
    <x v="1"/>
    <x v="1"/>
    <x v="1"/>
    <n v="4"/>
    <x v="3"/>
    <x v="1"/>
    <x v="1"/>
    <x v="1"/>
    <x v="4"/>
    <n v="3"/>
    <x v="3"/>
    <x v="2"/>
    <n v="7"/>
    <s v="Local government(s)"/>
    <s v="Local NGO(s)/CSO(s)"/>
    <m/>
    <x v="0"/>
    <s v="Desarrollo de capacidades a los actores locales:A100"/>
    <s v="La iniciativa nos ha permitido, posesionar en nuestro enfoque institucional, el trabajo con grupos y redes de mujeres, fortaleciendo su autonomia fisica, economica y de participacion._x000a_Se elevo la capacidad de formulacion y gestion  de las redes de mujeres, a un nivel de ministerios y secretarias gubernamentales._x000a_Todas las acciones de resiliencia desarrolladas, estan bajo las normativas de las diferentes mesas tematicas regionales y a nivel nacional por Ejemplo: COPECO, Consejo Regional de Desarrollo, Mesas Agroclimatica, Mesa SAN, Mesa DER, UTPR, Regionales de Salud, SAG-DICTA."/>
    <s v="En la selección de participantes se consideraron las estructuras locales existentes"/>
    <s v="La estrategia de implementacion del proyecto a nivel de socios locales, Sub regional y Nacional."/>
    <s v="Esquema de asesoria y asistencia tecnica basado en la contratacion de especialistas locales y expertos a nivel nacional e internacional."/>
    <s v="Es importante la gestion de contrapartidas locales para garantizar su sostenibilidad"/>
    <s v="Fortalecimiento de las capacidades de recursos humanos locales y la transferencia de recursos bajo un esquema de fondo revolvente, garantiza la ejecucion efectiva y el uso efectivo de los recursos transferidos."/>
    <s v="La inestabilidad politica y financiera del donante (Gobierno de Honduras) demando esfuerzos adicionales para minimisar riesgos en el proceso de implementacion."/>
    <m/>
    <m/>
    <n v="74247"/>
    <n v="119653"/>
    <n v="1.6115533287540238"/>
    <n v="0.52527374843428021"/>
    <n v="0.50999974927498681"/>
    <n v="39000"/>
    <n v="61023"/>
    <n v="1"/>
    <n v="0"/>
    <n v="0"/>
    <s v=""/>
    <n v="1"/>
    <n v="29900"/>
    <n v="48197"/>
    <n v="1.6119397993311038"/>
    <n v="1"/>
    <n v="1150"/>
    <n v="1854"/>
    <n v="1.6121739130434782"/>
    <n v="1"/>
    <n v="0"/>
    <n v="0"/>
    <s v=""/>
    <n v="1"/>
    <n v="19992"/>
    <n v="32226"/>
    <n v="1.6119447779111644"/>
    <s v="2. Sensitive"/>
    <s v="2. Accommodating"/>
    <s v="4. Transformative"/>
    <s v="It tested new ways for fighting poverty and measured results of innovation"/>
    <s v="Intensive advocacy"/>
    <s v="It linked and worked with strategic alliances and partners to take tested and effective solutions to scale"/>
  </r>
  <r>
    <x v="32"/>
    <x v="4"/>
    <m/>
    <s v="Proyecto de Oportunidades de Desarrollo y Empleo Rural &quot;PODER&quot;"/>
    <s v="Honduras"/>
    <s v="GHONHN0023"/>
    <s v="CARE USA"/>
    <s v="Government"/>
    <s v="Other"/>
    <s v="Ministry of Human Rights Justice Governance and Decentralization of Honduras"/>
    <m/>
    <m/>
    <m/>
    <m/>
    <m/>
    <m/>
    <m/>
    <m/>
    <m/>
    <m/>
    <m/>
    <m/>
    <m/>
    <m/>
    <m/>
    <m/>
    <m/>
    <m/>
    <m/>
    <m/>
    <m/>
    <m/>
    <m/>
    <m/>
    <m/>
    <m/>
    <m/>
    <m/>
    <m/>
    <m/>
    <m/>
    <m/>
    <m/>
    <m/>
    <m/>
    <m/>
    <m/>
    <m/>
    <m/>
    <m/>
    <m/>
    <m/>
    <m/>
    <m/>
    <m/>
    <d v="2017-01-01T00:00:00"/>
    <d v="2017-12-31T00:00:00"/>
    <m/>
    <s v="Development Access to and Control over Economic Resources"/>
    <n v="12955.49"/>
    <s v="Ovilso Dimedis Zuniga López"/>
    <s v="Coordinador de Iniciativa"/>
    <s v="ovilso.zuniga@care.org"/>
    <s v="Sandra Mendoza"/>
    <s v="Gerente de Calidad Programatica"/>
    <s v="sandra.mendoza@care.org"/>
    <s v="YES"/>
    <s v="YES"/>
    <s v="YES"/>
    <s v="Fortalecer la capacidad institucional de las Municipalidades, Mancomunidades, Gobernaciones y Consejos Regionales para impulsar en el corredor seco del país los procesos de Democracia, Gobernabilidad, Ciudadanía y Desarrollo Económico Local que contribuyan para que mujeres productoras rurales  ejerzan sus derechos, participen equitativamente  y  se beneficien  del crecimiento económico  en el marco de modelos de desarrollo más inclusivos y resilientes."/>
    <s v="Sub-National"/>
    <s v="Departamento Lempira:Municipios:Erandique, Santa Cruz, Gualcinse, San Francisco, San Andres, Piraera, Candelaria, Mapulaca, La virtud, Valladolid, Virginia, La virtud, Tambla, Tomala, San Juan Guarita, Guarita, Cololaca, San Marcos de Caiquin, San Sebastian, San Marcos de Colohete_x000a__x000a_Departamento La Paz: Municpios: Yarula, Opatoro, Marcala, Cabañas, Santa Ana, Santa Elena_x000a__x000a__x000a_Departamento Intibuca:Municpios:Yamaranguila, San Marcos Sierras, Masaguara, San Isidro,Dolores, San Juan, Jesus de Otoro, La Esperanza, Intibuca, San Francisco de Opalaca, San Miguelito, Concepcion, Camasca, Colomoncagua, San Antonio, Magdalena, Santa Lucia    _x000a__x000a_Departamentos de Francisco Morazan y Cortes"/>
    <s v="Mujeres y Hombres funcionarios municipales responsables de gestionar el desarrollo municipal en la Region Lempa._x000a_Mujeres rurales que emprenden iniciativas productivas para mejorar el ingreso en los departamentos de Francisco Morazan y Cortes._x000a_Organizaciones de sociedad civil que participan en la plataforma del consejo regional Lempa."/>
    <n v="3300"/>
    <n v="2400"/>
    <n v="5700"/>
    <n v="19800"/>
    <n v="14400"/>
    <n v="34200"/>
    <s v="Mujeres y Hombres funcionarios municipales responsables de gestionar el desarrollo municipal en la Region Lempa._x000a_Mujeres rurales que emprenden iniciativas productivas para mejorar el ingreso en los departamentos de Francisco Morazan y Cortes._x000a_Organizaciones de sociedad civil que participan en la plataforma del consejo regional Lempa."/>
    <m/>
    <m/>
    <m/>
    <m/>
    <m/>
    <m/>
    <m/>
    <s v="NO"/>
    <m/>
    <m/>
    <m/>
    <s v="NO"/>
    <m/>
    <m/>
    <m/>
    <s v="NO"/>
    <m/>
    <m/>
    <m/>
    <s v="YES"/>
    <m/>
    <m/>
    <m/>
    <s v="NO"/>
    <m/>
    <m/>
    <m/>
    <s v="YES"/>
    <m/>
    <m/>
    <m/>
    <s v="NO"/>
    <m/>
    <m/>
    <m/>
    <s v="NO"/>
    <m/>
    <m/>
    <m/>
    <s v="NO"/>
    <m/>
    <m/>
    <m/>
    <s v="NO"/>
    <m/>
    <m/>
    <m/>
    <s v="NO"/>
    <m/>
    <m/>
    <m/>
    <s v="NO"/>
    <m/>
    <m/>
    <m/>
    <m/>
    <m/>
    <m/>
    <m/>
    <m/>
    <n v="3300"/>
    <n v="2400"/>
    <n v="5700"/>
    <n v="19800"/>
    <n v="14400"/>
    <n v="34200"/>
    <m/>
    <m/>
    <m/>
    <m/>
    <m/>
    <m/>
    <m/>
    <m/>
    <m/>
    <m/>
    <m/>
    <m/>
    <m/>
    <m/>
    <m/>
    <m/>
    <m/>
    <m/>
    <m/>
    <m/>
    <m/>
    <m/>
    <m/>
    <m/>
    <s v="YES"/>
    <n v="3300"/>
    <n v="1"/>
    <n v="19800"/>
    <m/>
    <m/>
    <m/>
    <m/>
    <s v="YES"/>
    <m/>
    <m/>
    <m/>
    <m/>
    <m/>
    <m/>
    <m/>
    <m/>
    <m/>
    <m/>
    <m/>
    <m/>
    <m/>
    <m/>
    <m/>
    <m/>
    <m/>
    <m/>
    <m/>
    <m/>
    <m/>
    <m/>
    <m/>
    <m/>
    <m/>
    <m/>
    <m/>
    <s v="YES"/>
    <n v="2400"/>
    <n v="0.49"/>
    <n v="14400"/>
    <m/>
    <m/>
    <m/>
    <m/>
    <m/>
    <s v="YES"/>
    <s v="January"/>
    <n v="2017"/>
    <s v="NO"/>
    <s v="NO"/>
    <m/>
    <m/>
    <m/>
    <x v="2"/>
    <s v="YES"/>
    <s v="NO"/>
    <s v="YES"/>
    <s v="YES"/>
    <s v="YES"/>
    <s v="YES"/>
    <s v="YES"/>
    <s v="NO"/>
    <m/>
    <x v="2"/>
    <s v="Implementacion de la politica nacional en Desarrollo Economico_x000a_Implementacion de la politica de descentralizacion del pais_x000a_Implementacion de la ley vision de pais y plan de nacion"/>
    <x v="1"/>
    <s v="Coordinacion con la Unidades tecnicas permanente regionales para implementar la vision de pais y plan de nacion_x000a_Coordinacion directa en la ejecucion de intervenciones con instancias normadoras de gobierno."/>
    <x v="1"/>
    <x v="0"/>
    <s v="YES"/>
    <x v="0"/>
    <x v="0"/>
    <x v="0"/>
    <x v="0"/>
    <n v="4"/>
    <x v="1"/>
    <x v="1"/>
    <x v="1"/>
    <x v="1"/>
    <x v="1"/>
    <x v="1"/>
    <n v="4"/>
    <x v="3"/>
    <x v="1"/>
    <x v="2"/>
    <x v="2"/>
    <x v="5"/>
    <n v="1"/>
    <x v="3"/>
    <x v="2"/>
    <n v="1"/>
    <s v="Local government(s)"/>
    <s v="Local NGO(s)/CSO(s)"/>
    <s v="National government"/>
    <x v="0"/>
    <s v="Participar en el consejo nacional de vision de pais y plan de nacion_x000a_Miembro de la plataforma institucional para la descentralizacion"/>
    <s v="Modelo a seguir para el posisionamiento en instancias nacionales."/>
    <s v="Acompañamiento al consejo regional como instancia que aglutina la sociedad civil, sector gobierno y cooperacion y facilita la cohesion social"/>
    <s v="Apoyar los procesos de empoderamiento de las mujeres y Facilitar capital semilla a los grupos."/>
    <s v="Fortalecer las asociaciones de municipios como instancias de gestion territorial."/>
    <s v="Las iniciativas son mas exitosas si se desarrollan considerando los analisis de contexto en espacios territoriales amplios y de las condiciones y la posicion social de los actores."/>
    <s v="El empoderamiento de las poblaciones de impacto se debe de promover basado en el establecimiento de alianzas amplias con capacidad de brindar las respuestas que no facilita la iniciativa."/>
    <s v="Se debe de fortalecer la coordinacion interna de programas y proyectos en los territorios y establecer metas de manera coordinada."/>
    <m/>
    <m/>
    <n v="5700"/>
    <n v="34200"/>
    <n v="6"/>
    <n v="0.57894736842105265"/>
    <n v="0.57894736842105265"/>
    <n v="3300"/>
    <n v="19800"/>
    <n v="1"/>
    <n v="0"/>
    <n v="0"/>
    <s v=""/>
    <n v="1"/>
    <n v="3300"/>
    <n v="19800"/>
    <n v="6"/>
    <s v=""/>
    <n v="0"/>
    <n v="0"/>
    <s v=""/>
    <s v=""/>
    <n v="0"/>
    <n v="0"/>
    <s v=""/>
    <n v="1"/>
    <n v="2400"/>
    <n v="14400"/>
    <n v="6"/>
    <s v="2. Sensitive"/>
    <s v="2. Accommodating"/>
    <s v="3. Responsive"/>
    <s v="It tested new ways for fighting poverty and measured results of innovation"/>
    <s v="Intensive advocacy"/>
    <s v="It linked and worked with strategic alliances and partners to take tested and effective solutions to scale"/>
  </r>
  <r>
    <x v="32"/>
    <x v="4"/>
    <n v="2323"/>
    <s v="Proyecto Nutriendo El Futuro"/>
    <s v="Honduras"/>
    <m/>
    <s v="CARE USA"/>
    <s v="Other"/>
    <s v="Other"/>
    <s v="CARGILL"/>
    <m/>
    <m/>
    <m/>
    <m/>
    <m/>
    <m/>
    <m/>
    <m/>
    <m/>
    <m/>
    <m/>
    <m/>
    <m/>
    <m/>
    <m/>
    <m/>
    <m/>
    <m/>
    <m/>
    <m/>
    <m/>
    <m/>
    <m/>
    <m/>
    <m/>
    <m/>
    <m/>
    <m/>
    <m/>
    <m/>
    <m/>
    <m/>
    <m/>
    <m/>
    <m/>
    <m/>
    <m/>
    <m/>
    <m/>
    <m/>
    <m/>
    <m/>
    <m/>
    <m/>
    <m/>
    <d v="2016-09-01T00:00:00"/>
    <d v="2019-08-31T00:00:00"/>
    <m/>
    <s v="Development Food &amp; Nutrition Security and Resilience to Climate Change"/>
    <n v="2347468"/>
    <s v="Manuel Enamorado"/>
    <s v="Oficial Monitoreo"/>
    <s v="Manuel.Enamorado@care.org"/>
    <s v="Jose Antonio Sauceda"/>
    <s v="Gerente"/>
    <s v="jose.sauceda@care.org"/>
    <s v="NO"/>
    <s v="YES"/>
    <s v="NO"/>
    <s v="Los productores y productoras rurales empoderadas, micro-empresarios y comunidades locales garantizan la seguridad alimentaria de sus familias, con igualdad de acceso a los mercados, el control de sus recursos y el aumento de la resiliencia al cambio climático."/>
    <s v="Regional"/>
    <s v="3 países: Honduras, Nicaragua y Costa Rica: Honduras: Villanueva, Siguatepeque, Santa Cruz de Yojoa, Quimistan y San Marcos; Nicaragua: Tipitapa, Masaya, Nindiri,  Ticuatepe, Chinandega, El Viejo y  Chichigalpa;  Costa Rica: 2 Provincias: Alajuela y Heredia."/>
    <s v="Hombres y Mujeres Productores agricolas, mujeres emprendedoras y niños y niñas en edad escolar  de hogares de escuelas atendidas por el proyecto."/>
    <n v="15365"/>
    <n v="14512"/>
    <n v="29877"/>
    <n v="83988"/>
    <n v="77995"/>
    <n v="161983"/>
    <s v="Participantes directos son los grupos poblacionales de impacto, que participan directamente de las actividades del proyecto, están integrados por 3 grupos: a) niños y niñas de las escuelas; b) Hombres y Mujeres productoras agrícolas y c) Mujeres microempresarias, que son madres de niños y niñas de las escuelas.                                                                                                                                                                                                                                                                     Los participantes indirectos; son los otros miembros de los hogares de los grupos de impacto y familias de comunidades donde interviene el proyecto, que aunque no participan en las actividades del proyecto, si se benefician de las actividades y resultados del mismo."/>
    <m/>
    <m/>
    <m/>
    <m/>
    <m/>
    <m/>
    <m/>
    <m/>
    <m/>
    <m/>
    <m/>
    <m/>
    <m/>
    <m/>
    <m/>
    <m/>
    <m/>
    <m/>
    <m/>
    <m/>
    <m/>
    <m/>
    <m/>
    <m/>
    <m/>
    <m/>
    <m/>
    <m/>
    <m/>
    <m/>
    <m/>
    <m/>
    <m/>
    <m/>
    <m/>
    <m/>
    <m/>
    <m/>
    <m/>
    <m/>
    <m/>
    <m/>
    <m/>
    <m/>
    <m/>
    <m/>
    <m/>
    <m/>
    <m/>
    <m/>
    <m/>
    <m/>
    <m/>
    <m/>
    <m/>
    <m/>
    <m/>
    <m/>
    <m/>
    <m/>
    <n v="3453"/>
    <n v="3268"/>
    <n v="6721"/>
    <n v="25171"/>
    <n v="23072"/>
    <n v="48243"/>
    <s v="YES"/>
    <n v="240"/>
    <n v="0.3"/>
    <n v="960"/>
    <s v="YES"/>
    <n v="240"/>
    <n v="0.3"/>
    <n v="2960"/>
    <m/>
    <m/>
    <m/>
    <m/>
    <m/>
    <m/>
    <m/>
    <m/>
    <s v="YES"/>
    <n v="280"/>
    <n v="0.5"/>
    <n v="1120"/>
    <m/>
    <m/>
    <m/>
    <m/>
    <s v="YES"/>
    <n v="3251"/>
    <n v="0.52"/>
    <n v="13004"/>
    <m/>
    <m/>
    <m/>
    <m/>
    <m/>
    <m/>
    <m/>
    <m/>
    <m/>
    <m/>
    <m/>
    <m/>
    <s v="YES"/>
    <n v="6430"/>
    <n v="0.52"/>
    <n v="12860"/>
    <s v="YES"/>
    <n v="240"/>
    <n v="0.3"/>
    <n v="2960"/>
    <m/>
    <m/>
    <m/>
    <m/>
    <m/>
    <m/>
    <m/>
    <m/>
    <s v="YES"/>
    <n v="6100"/>
    <n v="0.52"/>
    <n v="28100"/>
    <s v="YES"/>
    <n v="60"/>
    <n v="1"/>
    <n v="1200"/>
    <s v="Gobernanza gremial y comunitaria"/>
    <s v="YES"/>
    <n v="80"/>
    <n v="0.5"/>
    <n v="12400"/>
    <s v="YES"/>
    <s v="April"/>
    <n v="2017"/>
    <s v="YES"/>
    <s v="YES"/>
    <s v="June"/>
    <n v="2018"/>
    <s v="Para el periodo Junio-Julio/18 esta programado realizar evaluación de medio termino."/>
    <x v="1"/>
    <s v="YES"/>
    <m/>
    <s v="YES"/>
    <m/>
    <m/>
    <m/>
    <m/>
    <m/>
    <m/>
    <x v="2"/>
    <s v="Modelo de  educación inclusiva, promoviendo buenas prácticas alimentarias y nutricionales en manuales institucionales con los Ministerios de Educación.  Igual el modelo de negocios inclusivos llevado a plataformas con el sector empresarial y de responsbailidad social empresarial."/>
    <x v="1"/>
    <s v="Educación en SAN y Promoción de habitos y buenas prácticas alimentarias; se integro a manuales institucionales de los Minsitrios de Educación."/>
    <x v="1"/>
    <x v="1"/>
    <s v="YES"/>
    <x v="0"/>
    <x v="0"/>
    <x v="0"/>
    <x v="2"/>
    <n v="4"/>
    <x v="1"/>
    <x v="1"/>
    <x v="1"/>
    <x v="1"/>
    <x v="1"/>
    <x v="1"/>
    <n v="4"/>
    <x v="3"/>
    <x v="2"/>
    <x v="1"/>
    <x v="1"/>
    <x v="5"/>
    <n v="2"/>
    <x v="3"/>
    <x v="2"/>
    <n v="2"/>
    <s v="Local NGO(s)/CSO(s)"/>
    <s v="Local government(s)"/>
    <s v="Grassroots organization(s)"/>
    <x v="2"/>
    <s v="Realizo acciones de fortalecimiento a organizaciones de base gremial y redes de ellas, enfocado a la gestión empresarial y gremial de pequeños productores agrícolas."/>
    <s v="A nivel de Nicaragua y Costa Rica, los ajustes son en cuanto al modelo de implementación, pasando a  un modelo de implementación con socios locales del PNF. No hay cambios de objetivos y resultados. Solo de actividades, incorporando el tema de violencia infantil en las escuelas."/>
    <s v="Modelo de negocios inclusivos, de cadenas de valor:  Teniendo como eje la asociatividad empresarial de los pequeños productores hobres y mujeres agricolas; con un enfoque de Win to Win, con CARGILL."/>
    <s v="La metodologia de extensión, de &quot;Escuelas de Campo&quot;, es un éxito entre los pequeños agrícultores, en la transferencia de tecnologias agricolas, producción de calidad y adpatación al cambio climatico."/>
    <s v="En el trabajo en las escuelas, las metodologias ludicas utilizando juegos infantiles han tenido aceptación en la comunidad educativa de los 3 países."/>
    <s v="El Modelo de trabajo con socios locales implementando las acciones del proyecto, requiere asesoria y transferencia de capacidades programaticas y adminsitrativas de CARE; para mantener los estandares de gestión requridos por CARE USA."/>
    <s v="Los pequeños productores (hombres y mujeres) tienen la capacidad de cumplir los  contratos comerciales y  estandares de calidad, requeridos por CARGILL; previa transferencia de capacidades técnicas."/>
    <m/>
    <m/>
    <m/>
    <n v="6721"/>
    <n v="48243"/>
    <n v="7.1779497098646035"/>
    <n v="0.51376283291176905"/>
    <n v="0.52175445142300436"/>
    <n v="3453"/>
    <n v="25171"/>
    <s v=""/>
    <n v="0"/>
    <n v="0"/>
    <s v=""/>
    <n v="1"/>
    <n v="6100"/>
    <n v="28100"/>
    <n v="4.6065573770491799"/>
    <s v=""/>
    <n v="0"/>
    <n v="0"/>
    <s v=""/>
    <s v=""/>
    <n v="0"/>
    <n v="0"/>
    <s v=""/>
    <n v="1"/>
    <n v="140"/>
    <n v="1200"/>
    <n v="8.5714285714285712"/>
    <s v="4. Transformative"/>
    <s v="2. Accommodating"/>
    <s v="3. Responsive"/>
    <s v="It tested new ways for fighting poverty and measured results of innovation"/>
    <s v="Moderate advocacy"/>
    <s v="It linked and worked with strategic alliances and partners to take tested and effective solutions to scale"/>
  </r>
  <r>
    <x v="33"/>
    <x v="0"/>
    <n v="3008"/>
    <s v="AXSHYA India Project"/>
    <s v="India"/>
    <s v="CS023"/>
    <s v="CARE India"/>
    <s v="Other"/>
    <s v="Other"/>
    <s v="World Vision"/>
    <m/>
    <m/>
    <m/>
    <m/>
    <m/>
    <m/>
    <m/>
    <m/>
    <m/>
    <m/>
    <m/>
    <m/>
    <m/>
    <m/>
    <m/>
    <m/>
    <m/>
    <m/>
    <m/>
    <m/>
    <m/>
    <m/>
    <m/>
    <m/>
    <m/>
    <m/>
    <m/>
    <m/>
    <m/>
    <m/>
    <m/>
    <m/>
    <m/>
    <m/>
    <m/>
    <m/>
    <m/>
    <m/>
    <m/>
    <m/>
    <m/>
    <m/>
    <m/>
    <m/>
    <m/>
    <d v="2010-04-01T00:00:00"/>
    <d v="2015-09-30T00:00:00"/>
    <d v="2017-12-31T00:00:00"/>
    <s v="Development Other"/>
    <n v="2596270"/>
    <s v="SHARAD KISLAYA"/>
    <s v="Project Manager"/>
    <s v="skislaya@careindia.org"/>
    <s v="Susmita Mukherjee"/>
    <s v="Head Program Operations"/>
    <s v="susmita@careindia.org"/>
    <s v="NO"/>
    <s v="YES"/>
    <s v="NO"/>
    <s v="Enhancing access to quality TB care for vulnerable and marginalized populations through innovative and sustainable interventions, community participation and engagement of all healthcare providers"/>
    <s v="Sub-National"/>
    <s v="Chhattisgarh State (Sarguja, Korea, Jashpur, Dhamtari, Kanker &amp; Baloda Bazar Districts)_x000a_Jharkhand State (East Singhbhum, Bokaro, Dhanbad, Ramgarh &amp; Koderma District)_x000a_Madhya Pradesh State (Dhar, Mandsaur, Khargaon &amp; Badwani Districts)"/>
    <s v="Adivasis, dalits, marginalized population from tribal villages, villages located to difficult-to-reach areas leading to poor access to TB services, villages not reported TB cases in the last 3-5 years, urban Slums, people living with HIV &amp; AIDS and their networks, HIV high risk groups currently being covered under Targeted Intervention projects of NACP (National AIDS Control Program), homeless, migrants, prisons, other co-morbidities (Diabetes, occupational lung diseases), refugees/IDP (Internally Displaced Population), unorganized job sectors, schools."/>
    <n v="28694"/>
    <n v="43041"/>
    <n v="71735"/>
    <n v="1169264"/>
    <n v="1753896"/>
    <n v="2923160"/>
    <s v="Direct Participants: The participants who were identified symptomatic TB cases during house hold screening at village/slum level and got tested for TB in lab through the efforts of the projects and DR-TB (Drug Resistant TB)  cases being counselled and provided nutritionl support._x000a__x000a_Indirect Participants: House hold screening at village/urban slum are done using the verbal screen tool to reach, inform/ aware them about TB and srceening for symptomatic TB cases  at village/slum by the project. An average of 5 family members for rural and 4 for urban slums has been taken per house hold for Indirect Participants."/>
    <m/>
    <m/>
    <m/>
    <m/>
    <m/>
    <m/>
    <m/>
    <m/>
    <m/>
    <m/>
    <m/>
    <m/>
    <m/>
    <m/>
    <m/>
    <m/>
    <m/>
    <m/>
    <m/>
    <m/>
    <m/>
    <m/>
    <m/>
    <m/>
    <m/>
    <m/>
    <m/>
    <m/>
    <m/>
    <m/>
    <m/>
    <m/>
    <m/>
    <m/>
    <m/>
    <m/>
    <m/>
    <m/>
    <m/>
    <m/>
    <m/>
    <m/>
    <m/>
    <m/>
    <m/>
    <m/>
    <m/>
    <m/>
    <m/>
    <m/>
    <m/>
    <m/>
    <m/>
    <m/>
    <m/>
    <m/>
    <m/>
    <m/>
    <m/>
    <m/>
    <n v="14036"/>
    <n v="16938"/>
    <n v="30974"/>
    <n v="692603"/>
    <n v="816464"/>
    <n v="1509067"/>
    <m/>
    <m/>
    <m/>
    <m/>
    <m/>
    <m/>
    <m/>
    <m/>
    <m/>
    <m/>
    <m/>
    <m/>
    <m/>
    <m/>
    <m/>
    <m/>
    <m/>
    <m/>
    <m/>
    <m/>
    <m/>
    <m/>
    <m/>
    <m/>
    <m/>
    <m/>
    <m/>
    <m/>
    <m/>
    <m/>
    <m/>
    <m/>
    <m/>
    <m/>
    <m/>
    <m/>
    <s v="YES"/>
    <n v="30974"/>
    <n v="0.4531"/>
    <n v="1509068"/>
    <m/>
    <m/>
    <m/>
    <m/>
    <m/>
    <m/>
    <m/>
    <m/>
    <m/>
    <m/>
    <m/>
    <m/>
    <m/>
    <m/>
    <m/>
    <m/>
    <m/>
    <m/>
    <m/>
    <m/>
    <m/>
    <m/>
    <m/>
    <m/>
    <m/>
    <m/>
    <m/>
    <m/>
    <m/>
    <s v="NO"/>
    <m/>
    <m/>
    <s v="NO"/>
    <s v="NO"/>
    <m/>
    <m/>
    <m/>
    <x v="1"/>
    <m/>
    <m/>
    <m/>
    <s v="YES"/>
    <m/>
    <m/>
    <m/>
    <m/>
    <m/>
    <x v="0"/>
    <m/>
    <x v="1"/>
    <m/>
    <x v="0"/>
    <x v="0"/>
    <s v="YES"/>
    <x v="0"/>
    <x v="0"/>
    <x v="0"/>
    <x v="0"/>
    <n v="4"/>
    <x v="1"/>
    <x v="1"/>
    <x v="1"/>
    <x v="1"/>
    <x v="1"/>
    <x v="1"/>
    <n v="4"/>
    <x v="1"/>
    <x v="1"/>
    <x v="1"/>
    <x v="1"/>
    <x v="1"/>
    <n v="3"/>
    <x v="2"/>
    <x v="1"/>
    <m/>
    <m/>
    <m/>
    <m/>
    <x v="1"/>
    <m/>
    <s v="The project is a disease (Tuberculosis) control project and TB can happen to anybody irrespective of castes, creed, ethnic groups, religions, male/females, class, etc.  The project addresses the impact population at different levels but still it focusses the marginalized women especially tribal, hard to reach areas in terms of training for directly ensuring active participation of women members in all its training, meeting, campaigns, screening and testing/diagnosis etc. Women are focused for counselling for continuing treatment for family members."/>
    <s v="Enhance TB case detection through Active Case Finding from the High-risk groups of the targeted villages &amp; cities"/>
    <s v="Private sector engagement - Assist qualified private doctors and hospital in TB case notification"/>
    <s v="Treatment support through counselling of the DR-TB cases, INH prophylaxis of the child-contacts &amp; HIV C &amp; T of TB cases"/>
    <s v="Active Case Finding is key to identifying the symptomatic TB patients"/>
    <s v="Nutritional Support increases the drug adherence among DR TB patients"/>
    <m/>
    <s v="The expected number of participants for direct and indirect is for the NFM (New Funding Model) phase which has started from 01 October 2015."/>
    <m/>
    <n v="30974"/>
    <n v="1509067"/>
    <n v="48.720442952153419"/>
    <n v="0.45315425841027956"/>
    <n v="0.45896106667232139"/>
    <n v="14036"/>
    <n v="692603"/>
    <s v=""/>
    <n v="0"/>
    <n v="0"/>
    <s v=""/>
    <s v=""/>
    <n v="0"/>
    <n v="0"/>
    <s v=""/>
    <s v=""/>
    <n v="0"/>
    <n v="0"/>
    <s v=""/>
    <s v=""/>
    <n v="0"/>
    <n v="0"/>
    <s v=""/>
    <m/>
    <n v="0"/>
    <n v="0"/>
    <s v=""/>
    <s v="2. Sensitive"/>
    <s v="2. Accommodating"/>
    <s v="2. Sensitive"/>
    <s v="It did not develop any specific innovation"/>
    <s v="Moderate advocacy"/>
    <s v="It linked and worked with strategic alliances and partners to take tested and effective solutions to scale"/>
  </r>
  <r>
    <x v="33"/>
    <x v="0"/>
    <n v="3008"/>
    <s v="Bihar - Employability, resilient livelihood and improved health for women and girls in Madhepura (B-ERLIH)"/>
    <s v="India"/>
    <m/>
    <s v="CARE India"/>
    <s v="Foundation"/>
    <s v="Other"/>
    <s v="Alstom"/>
    <m/>
    <m/>
    <m/>
    <m/>
    <m/>
    <m/>
    <m/>
    <m/>
    <m/>
    <m/>
    <m/>
    <m/>
    <m/>
    <m/>
    <m/>
    <m/>
    <m/>
    <m/>
    <m/>
    <m/>
    <m/>
    <m/>
    <m/>
    <m/>
    <m/>
    <m/>
    <m/>
    <m/>
    <m/>
    <m/>
    <m/>
    <m/>
    <m/>
    <m/>
    <m/>
    <m/>
    <m/>
    <m/>
    <m/>
    <m/>
    <m/>
    <m/>
    <m/>
    <m/>
    <m/>
    <d v="2017-05-01T00:00:00"/>
    <d v="2020-05-31T00:00:00"/>
    <m/>
    <s v="Development Other"/>
    <n v="572587"/>
    <s v="Ravi Subbiah"/>
    <s v="Technical Directir-Health"/>
    <s v="rsubbiah@careindia.org"/>
    <m/>
    <m/>
    <m/>
    <s v="NO"/>
    <s v="YES"/>
    <s v="NO"/>
    <s v="Enhancing employability of 5000 women and girls for dignified livelihoods and improved health."/>
    <s v="Sub-National"/>
    <s v="7 villages in Madhepura district in Bihar"/>
    <s v="Women and girls from poor and disadvantaged households"/>
    <n v="5000"/>
    <m/>
    <n v="5000"/>
    <m/>
    <m/>
    <n v="12500"/>
    <s v="Direct- Pregnant, lactating mothers and children in 0-6 years; Indirect - Members of the target households"/>
    <m/>
    <m/>
    <m/>
    <m/>
    <m/>
    <m/>
    <m/>
    <m/>
    <m/>
    <m/>
    <m/>
    <m/>
    <m/>
    <m/>
    <m/>
    <m/>
    <m/>
    <m/>
    <m/>
    <m/>
    <m/>
    <m/>
    <m/>
    <m/>
    <m/>
    <m/>
    <m/>
    <m/>
    <m/>
    <m/>
    <m/>
    <m/>
    <m/>
    <m/>
    <m/>
    <m/>
    <m/>
    <m/>
    <m/>
    <m/>
    <m/>
    <m/>
    <m/>
    <m/>
    <m/>
    <m/>
    <m/>
    <m/>
    <m/>
    <m/>
    <m/>
    <m/>
    <m/>
    <m/>
    <m/>
    <m/>
    <m/>
    <m/>
    <m/>
    <m/>
    <m/>
    <m/>
    <m/>
    <m/>
    <m/>
    <m/>
    <m/>
    <m/>
    <m/>
    <m/>
    <m/>
    <m/>
    <m/>
    <m/>
    <m/>
    <m/>
    <m/>
    <m/>
    <m/>
    <m/>
    <m/>
    <m/>
    <m/>
    <m/>
    <m/>
    <m/>
    <m/>
    <m/>
    <m/>
    <m/>
    <m/>
    <m/>
    <m/>
    <m/>
    <m/>
    <m/>
    <m/>
    <m/>
    <m/>
    <m/>
    <m/>
    <m/>
    <m/>
    <m/>
    <m/>
    <m/>
    <m/>
    <m/>
    <m/>
    <m/>
    <m/>
    <m/>
    <m/>
    <m/>
    <m/>
    <m/>
    <m/>
    <m/>
    <m/>
    <m/>
    <m/>
    <m/>
    <m/>
    <m/>
    <m/>
    <m/>
    <m/>
    <m/>
    <m/>
    <m/>
    <m/>
    <m/>
    <m/>
    <m/>
    <m/>
    <s v="NO"/>
    <m/>
    <m/>
    <s v="NO"/>
    <s v="NO"/>
    <m/>
    <m/>
    <m/>
    <x v="3"/>
    <m/>
    <m/>
    <m/>
    <m/>
    <m/>
    <m/>
    <m/>
    <m/>
    <m/>
    <x v="3"/>
    <m/>
    <x v="2"/>
    <m/>
    <x v="3"/>
    <x v="2"/>
    <m/>
    <x v="2"/>
    <x v="2"/>
    <x v="2"/>
    <x v="3"/>
    <n v="0"/>
    <x v="0"/>
    <x v="0"/>
    <x v="0"/>
    <x v="0"/>
    <x v="0"/>
    <x v="0"/>
    <n v="0"/>
    <x v="0"/>
    <x v="0"/>
    <x v="0"/>
    <x v="0"/>
    <x v="0"/>
    <n v="0"/>
    <x v="1"/>
    <x v="4"/>
    <m/>
    <m/>
    <m/>
    <m/>
    <x v="3"/>
    <m/>
    <m/>
    <m/>
    <m/>
    <m/>
    <m/>
    <m/>
    <m/>
    <s v="The project has just begun. There has been no activities on ground. Hence reporting on fiscal year intervention is not applicable."/>
    <m/>
    <n v="0"/>
    <n v="0"/>
    <s v=""/>
    <s v=""/>
    <s v=""/>
    <n v="0"/>
    <n v="0"/>
    <s v=""/>
    <n v="0"/>
    <n v="0"/>
    <s v=""/>
    <s v=""/>
    <n v="0"/>
    <n v="0"/>
    <s v=""/>
    <s v=""/>
    <n v="0"/>
    <n v="0"/>
    <s v=""/>
    <s v=""/>
    <n v="0"/>
    <n v="0"/>
    <s v=""/>
    <s v=""/>
    <n v="0"/>
    <n v="0"/>
    <s v=""/>
    <s v="No marker score"/>
    <s v="No marker score"/>
    <s v="No marker score"/>
    <n v="0"/>
    <n v="0"/>
    <n v="0"/>
  </r>
  <r>
    <x v="33"/>
    <x v="0"/>
    <m/>
    <s v="Disaster Preparedness and Resilience Project (DPRP)"/>
    <s v="India"/>
    <s v="CS201"/>
    <s v="CARE India"/>
    <s v="Foundation"/>
    <s v="Other"/>
    <s v="Federation of Indian Chambers of Commerce &amp; Industry (FICCI)"/>
    <m/>
    <m/>
    <m/>
    <m/>
    <m/>
    <m/>
    <m/>
    <m/>
    <m/>
    <m/>
    <m/>
    <m/>
    <m/>
    <m/>
    <m/>
    <m/>
    <m/>
    <m/>
    <m/>
    <m/>
    <m/>
    <m/>
    <m/>
    <m/>
    <m/>
    <m/>
    <m/>
    <m/>
    <m/>
    <m/>
    <m/>
    <m/>
    <m/>
    <m/>
    <m/>
    <m/>
    <m/>
    <m/>
    <m/>
    <m/>
    <m/>
    <m/>
    <m/>
    <m/>
    <m/>
    <d v="2017-04-01T00:00:00"/>
    <d v="2018-03-31T00:00:00"/>
    <m/>
    <s v="Humanitarian Other"/>
    <n v="62744.5"/>
    <s v="Eilia Jafar"/>
    <s v="Head - Disaster Management Unit"/>
    <s v="ejafar@careindia.org"/>
    <s v="Aditya Ranjan"/>
    <s v="Project Officer, Bahraich, Uttar Pradesh"/>
    <s v="aditya@careindia.org"/>
    <s v="NO"/>
    <s v="YES"/>
    <s v="NO"/>
    <s v="To enhance CARE India's institutional preparedness to manage future disasters and build resilience in dalit women and girls and their communities."/>
    <s v="Sub-National"/>
    <s v="Bahraich District, Uttar Pradesh, India"/>
    <s v="Dalit women and girls and their communities"/>
    <n v="148"/>
    <n v="141"/>
    <n v="289"/>
    <n v="391"/>
    <n v="417"/>
    <n v="808"/>
    <s v="Direct Participants: 127 Girls participants from the School Awareness Program+21 Women Member of the Social Monitoring Committee+ 122 Boys participants from the school awareness program+19 Men Member of the formed SMC (127+21+122+19=289)                                                                                                                                                                                                                                                                                                                                                                                                          Indirect Participants:( Total Women &amp; Girls population in both the intervened villages is 539- Direct Participants from Women &amp; Girls is 148)+ (Total Men &amp; Boys Population in both the intervened villages is 558 - Direct Participants from Men &amp; Boys is 141)                                                                                                                                                                                                                                                                                                                                                                                                  Indirect Participants = (539 - 148) + ( 558-148)= 808"/>
    <m/>
    <m/>
    <m/>
    <m/>
    <m/>
    <m/>
    <m/>
    <m/>
    <m/>
    <m/>
    <m/>
    <m/>
    <m/>
    <m/>
    <m/>
    <m/>
    <m/>
    <m/>
    <m/>
    <m/>
    <m/>
    <m/>
    <m/>
    <m/>
    <m/>
    <m/>
    <m/>
    <m/>
    <m/>
    <m/>
    <m/>
    <m/>
    <m/>
    <m/>
    <m/>
    <m/>
    <m/>
    <m/>
    <m/>
    <m/>
    <m/>
    <m/>
    <m/>
    <m/>
    <m/>
    <m/>
    <m/>
    <m/>
    <m/>
    <m/>
    <m/>
    <m/>
    <m/>
    <m/>
    <m/>
    <m/>
    <m/>
    <m/>
    <m/>
    <m/>
    <n v="148"/>
    <n v="141"/>
    <n v="289"/>
    <n v="391"/>
    <n v="471"/>
    <n v="862"/>
    <s v="NO"/>
    <m/>
    <m/>
    <m/>
    <s v="NO"/>
    <m/>
    <m/>
    <m/>
    <s v="NO"/>
    <m/>
    <m/>
    <m/>
    <s v="YES"/>
    <n v="289"/>
    <n v="0.51"/>
    <n v="325"/>
    <s v="NO"/>
    <m/>
    <m/>
    <m/>
    <s v="NO"/>
    <m/>
    <m/>
    <m/>
    <s v="NO"/>
    <m/>
    <m/>
    <m/>
    <s v="NO"/>
    <m/>
    <m/>
    <m/>
    <s v="YES"/>
    <n v="40"/>
    <n v="0.53"/>
    <n v="160"/>
    <s v="NO"/>
    <m/>
    <m/>
    <m/>
    <s v="NO"/>
    <m/>
    <m/>
    <m/>
    <s v="NO"/>
    <m/>
    <m/>
    <m/>
    <s v="NO"/>
    <m/>
    <m/>
    <m/>
    <s v="NO"/>
    <m/>
    <m/>
    <m/>
    <s v="YES"/>
    <n v="249"/>
    <n v="0.51"/>
    <n v="498"/>
    <s v="NO"/>
    <m/>
    <m/>
    <m/>
    <m/>
    <m/>
    <m/>
    <m/>
    <m/>
    <s v="NO"/>
    <m/>
    <m/>
    <s v="NO"/>
    <s v="YES"/>
    <s v="September"/>
    <n v="2017"/>
    <m/>
    <x v="0"/>
    <s v="NO"/>
    <s v="NO"/>
    <s v="YES"/>
    <s v="NO"/>
    <s v="NO"/>
    <s v="NO"/>
    <s v="YES"/>
    <s v="YES"/>
    <s v="Local level advocacy issues will be identified with the help of community based Social Monitoring Committee and will be addressed at the Panchayat, Block, Sub-Division, District and State level such as construction of toilet, Community Shelter, Safe Drinking water and strengthening of embankment etc."/>
    <x v="0"/>
    <m/>
    <x v="0"/>
    <m/>
    <x v="0"/>
    <x v="1"/>
    <s v="NO"/>
    <x v="0"/>
    <x v="0"/>
    <x v="0"/>
    <x v="4"/>
    <n v="3"/>
    <x v="2"/>
    <x v="1"/>
    <x v="2"/>
    <x v="2"/>
    <x v="1"/>
    <x v="5"/>
    <n v="2"/>
    <x v="3"/>
    <x v="2"/>
    <x v="2"/>
    <x v="1"/>
    <x v="5"/>
    <n v="1"/>
    <x v="0"/>
    <x v="2"/>
    <n v="1"/>
    <s v="Local NGO(s)/CSO(s)"/>
    <s v="Local government(s)"/>
    <s v="Media or journalist network(s)"/>
    <x v="0"/>
    <s v="Formation and Strengthening of Social Monitoring Committee with good women participation and with clear rules and regulation for the proper functioning of the same. It also includes the roles and responsibilities of the committee members."/>
    <s v="As most of the initial activities were carried out by the partner organization and without addressing gender balance in the formed Social Mpnitoring Committee. After the initial observation made by the project officer, CARE India and the recent visit of M&amp;E officer from CARE India to the intervened villages and based on the FGD with SMCs and in-depth interview with key stakeholders, it was decided to strengthen the formed SMCs with healthy women participation and for that most of the activities has to be carried out once again with clear objectives under the supervision of Project Officer and with timely guidence from M&amp;E officer, CARE India and timeline was also changed accordingly and shared with CIHQ and get approved at the state level and HQ level."/>
    <s v="Individual Meeting with women group (Total 6 in both villages) to ensure their participation in SMCs"/>
    <s v="Rules and Regulation for the formed SMCs was also introduced and very appriciated by the SMCs and community people."/>
    <s v="Transparency in sharing of the initiatives under this project with the community along with available budget has greatly help to gain the trust of the community and which will have good outcomes in the long run of the project. Feedback mechanism at organizational, SMCs level and community level was another initiatives."/>
    <s v="Feedback mechanism has helped to gain the trust of the community and they are willing to contribute for the same."/>
    <s v="Transparency in sharing of the initiatives under this project with the community along with available budget has greatly help to gain the trust of the community and which will have good outcomes in the long run of the project."/>
    <s v="Mixed meeting with the community for ensuring women participation was practice in the initial part of the project and women turnout was very poor, but individual meeting with women has shown great participation and they are also sharing their basic need while formulating action plan at the community level."/>
    <m/>
    <m/>
    <n v="289"/>
    <n v="862"/>
    <n v="2.9826989619377162"/>
    <n v="0.51211072664359858"/>
    <n v="0.45359628770301624"/>
    <n v="148"/>
    <n v="391"/>
    <s v=""/>
    <n v="0"/>
    <n v="0"/>
    <s v=""/>
    <n v="1"/>
    <n v="289"/>
    <n v="498"/>
    <n v="1.7231833910034602"/>
    <s v=""/>
    <n v="0"/>
    <n v="0"/>
    <s v=""/>
    <s v=""/>
    <n v="0"/>
    <n v="0"/>
    <s v=""/>
    <s v=""/>
    <n v="0"/>
    <n v="0"/>
    <s v=""/>
    <s v="3. Responsive"/>
    <s v="3. Responsive"/>
    <s v="3. Responsive"/>
    <s v="It did not develop any specific innovation"/>
    <s v="Little or no advocacy"/>
    <s v="It did not take tested solutions to scale"/>
  </r>
  <r>
    <x v="33"/>
    <x v="0"/>
    <m/>
    <s v="Drought Response - Water Supply to Villages in Maharashtra"/>
    <s v="India"/>
    <m/>
    <s v="CARE India"/>
    <s v="Other"/>
    <s v="Other"/>
    <s v="Ratnakar Bank Limited (RBL)"/>
    <m/>
    <s v="CARE India"/>
    <s v="Other"/>
    <s v="Other"/>
    <s v="CISSD UNR"/>
    <m/>
    <m/>
    <m/>
    <m/>
    <m/>
    <m/>
    <m/>
    <m/>
    <m/>
    <m/>
    <m/>
    <m/>
    <m/>
    <m/>
    <m/>
    <m/>
    <m/>
    <m/>
    <m/>
    <m/>
    <m/>
    <m/>
    <m/>
    <m/>
    <m/>
    <m/>
    <m/>
    <m/>
    <m/>
    <m/>
    <m/>
    <m/>
    <m/>
    <m/>
    <m/>
    <m/>
    <m/>
    <m/>
    <m/>
    <m/>
    <d v="2016-06-01T00:00:00"/>
    <d v="2016-07-31T00:00:00"/>
    <m/>
    <s v="Humanitarian Other"/>
    <n v="14960"/>
    <s v="Wasi Md Alam"/>
    <s v="Monitoring and Evalutaion Officer - Disaster Management Unit"/>
    <s v="walam@careindia.org"/>
    <m/>
    <m/>
    <m/>
    <s v="YES"/>
    <s v="YES"/>
    <s v="YES"/>
    <s v="To supply drinking water to identified households in two villages."/>
    <s v="Sub-National"/>
    <s v="Solapur district, Maharashtra"/>
    <s v="Drought affected communities"/>
    <n v="5419"/>
    <n v="5777"/>
    <n v="11196"/>
    <m/>
    <m/>
    <m/>
    <s v="Direct Participants- Affected people who received drinking water and jerry cans."/>
    <m/>
    <n v="5419"/>
    <n v="5777"/>
    <n v="11196"/>
    <m/>
    <m/>
    <m/>
    <m/>
    <m/>
    <m/>
    <m/>
    <m/>
    <m/>
    <m/>
    <m/>
    <m/>
    <m/>
    <m/>
    <m/>
    <m/>
    <m/>
    <m/>
    <m/>
    <m/>
    <m/>
    <m/>
    <m/>
    <m/>
    <m/>
    <m/>
    <m/>
    <m/>
    <m/>
    <m/>
    <m/>
    <m/>
    <m/>
    <m/>
    <m/>
    <m/>
    <m/>
    <m/>
    <m/>
    <m/>
    <m/>
    <m/>
    <m/>
    <m/>
    <m/>
    <m/>
    <m/>
    <s v="YES"/>
    <n v="11196"/>
    <n v="0.48"/>
    <m/>
    <m/>
    <m/>
    <m/>
    <m/>
    <m/>
    <m/>
    <m/>
    <m/>
    <m/>
    <m/>
    <m/>
    <m/>
    <m/>
    <m/>
    <m/>
    <m/>
    <m/>
    <m/>
    <m/>
    <m/>
    <m/>
    <m/>
    <m/>
    <m/>
    <m/>
    <m/>
    <m/>
    <m/>
    <m/>
    <m/>
    <m/>
    <m/>
    <m/>
    <m/>
    <m/>
    <m/>
    <m/>
    <m/>
    <m/>
    <m/>
    <m/>
    <m/>
    <m/>
    <m/>
    <m/>
    <m/>
    <m/>
    <m/>
    <m/>
    <m/>
    <m/>
    <m/>
    <m/>
    <m/>
    <m/>
    <m/>
    <m/>
    <m/>
    <m/>
    <m/>
    <m/>
    <m/>
    <m/>
    <m/>
    <m/>
    <m/>
    <m/>
    <m/>
    <m/>
    <m/>
    <m/>
    <m/>
    <m/>
    <m/>
    <m/>
    <m/>
    <m/>
    <m/>
    <m/>
    <m/>
    <s v="NO"/>
    <m/>
    <m/>
    <m/>
    <s v="NO"/>
    <m/>
    <m/>
    <m/>
    <x v="1"/>
    <m/>
    <m/>
    <m/>
    <m/>
    <m/>
    <m/>
    <m/>
    <s v="YES"/>
    <s v="CARE networked with National IAG/Sphere on drought situation and updated Unified response Matrix."/>
    <x v="0"/>
    <m/>
    <x v="0"/>
    <m/>
    <x v="0"/>
    <x v="0"/>
    <s v="YES"/>
    <x v="0"/>
    <x v="0"/>
    <x v="0"/>
    <x v="0"/>
    <n v="4"/>
    <x v="1"/>
    <x v="1"/>
    <x v="2"/>
    <x v="1"/>
    <x v="1"/>
    <x v="1"/>
    <n v="3"/>
    <x v="1"/>
    <x v="1"/>
    <x v="1"/>
    <x v="2"/>
    <x v="3"/>
    <n v="2"/>
    <x v="0"/>
    <x v="3"/>
    <n v="1"/>
    <s v="Grassroots organization(s)"/>
    <m/>
    <m/>
    <x v="2"/>
    <s v="Field partner agency was facilitated and guided by CARE's project team in implementation of activities to ensure quality."/>
    <m/>
    <m/>
    <m/>
    <m/>
    <m/>
    <m/>
    <m/>
    <m/>
    <m/>
    <n v="11196"/>
    <n v="0"/>
    <n v="0"/>
    <n v="0.48401214719542696"/>
    <s v=""/>
    <n v="5419"/>
    <n v="0"/>
    <n v="1"/>
    <n v="11196"/>
    <n v="0"/>
    <n v="0"/>
    <s v=""/>
    <n v="0"/>
    <n v="0"/>
    <s v=""/>
    <s v=""/>
    <n v="0"/>
    <n v="0"/>
    <s v=""/>
    <s v=""/>
    <n v="0"/>
    <n v="0"/>
    <s v=""/>
    <s v=""/>
    <n v="0"/>
    <n v="0"/>
    <s v=""/>
    <s v="2. Sensitive"/>
    <s v="2. Accommodating"/>
    <s v="1. Neutral"/>
    <s v="It did not develop any specific innovation"/>
    <s v="Moderate advocacy"/>
    <s v="It did not take tested solutions to scale"/>
  </r>
  <r>
    <x v="33"/>
    <x v="0"/>
    <n v="2994"/>
    <s v="Emergency Preparedness Project- Vulnerability and Capacity Assessment (VCA)"/>
    <s v="India"/>
    <s v="CS-156"/>
    <s v="CARE India"/>
    <s v="Corporation"/>
    <s v="Other"/>
    <s v="Citi Bank"/>
    <m/>
    <m/>
    <m/>
    <m/>
    <m/>
    <m/>
    <m/>
    <m/>
    <m/>
    <m/>
    <m/>
    <m/>
    <m/>
    <m/>
    <m/>
    <m/>
    <m/>
    <m/>
    <m/>
    <m/>
    <m/>
    <m/>
    <m/>
    <m/>
    <m/>
    <m/>
    <m/>
    <m/>
    <m/>
    <m/>
    <m/>
    <m/>
    <m/>
    <m/>
    <m/>
    <m/>
    <m/>
    <m/>
    <m/>
    <m/>
    <m/>
    <m/>
    <m/>
    <m/>
    <m/>
    <d v="2015-09-03T00:00:00"/>
    <d v="2016-09-02T00:00:00"/>
    <d v="2016-10-04T00:00:00"/>
    <s v="Development Other"/>
    <n v="34328"/>
    <s v="Wasi Md Alam"/>
    <s v="M&amp;E  Officer, DMU"/>
    <s v="walam@careindia.org"/>
    <m/>
    <m/>
    <m/>
    <s v="NO"/>
    <s v="YES"/>
    <s v="NO"/>
    <s v="To enhance capacities of communities and stakeholders in the project areas of three states of India to deal and respond to emergencies and contribute to District Disaster Management Plans"/>
    <s v="Sub-National"/>
    <s v="Bahraich District - Uttar Pradesh; Jalpaiguri District - West Bengal &amp; Supaul District - Bihar"/>
    <s v="District Disaster Management Authority (DDMA), Community Based Staff of Local organizations and Community"/>
    <m/>
    <m/>
    <m/>
    <m/>
    <m/>
    <m/>
    <s v="Direct participants include volunteers/staff from partner organization from the community who were trained on Vulnerability and capacity assessment. There were no indirect participants."/>
    <m/>
    <m/>
    <m/>
    <m/>
    <m/>
    <m/>
    <m/>
    <m/>
    <m/>
    <m/>
    <m/>
    <m/>
    <m/>
    <m/>
    <m/>
    <m/>
    <m/>
    <m/>
    <m/>
    <m/>
    <m/>
    <m/>
    <m/>
    <m/>
    <m/>
    <m/>
    <m/>
    <m/>
    <m/>
    <m/>
    <m/>
    <m/>
    <m/>
    <m/>
    <m/>
    <m/>
    <m/>
    <m/>
    <m/>
    <m/>
    <m/>
    <m/>
    <m/>
    <m/>
    <m/>
    <m/>
    <m/>
    <m/>
    <m/>
    <m/>
    <m/>
    <m/>
    <m/>
    <m/>
    <m/>
    <m/>
    <m/>
    <m/>
    <m/>
    <m/>
    <n v="31"/>
    <n v="43"/>
    <n v="74"/>
    <m/>
    <m/>
    <m/>
    <m/>
    <m/>
    <m/>
    <m/>
    <m/>
    <m/>
    <m/>
    <m/>
    <m/>
    <m/>
    <m/>
    <m/>
    <s v="YES"/>
    <n v="74"/>
    <n v="0.42"/>
    <n v="0"/>
    <m/>
    <m/>
    <m/>
    <m/>
    <m/>
    <m/>
    <m/>
    <m/>
    <m/>
    <m/>
    <m/>
    <m/>
    <m/>
    <m/>
    <m/>
    <m/>
    <m/>
    <m/>
    <m/>
    <m/>
    <m/>
    <m/>
    <m/>
    <m/>
    <m/>
    <m/>
    <m/>
    <m/>
    <m/>
    <m/>
    <m/>
    <m/>
    <m/>
    <m/>
    <m/>
    <m/>
    <m/>
    <m/>
    <m/>
    <m/>
    <m/>
    <m/>
    <m/>
    <m/>
    <m/>
    <m/>
    <m/>
    <m/>
    <m/>
    <m/>
    <m/>
    <m/>
    <m/>
    <s v="NO"/>
    <m/>
    <m/>
    <s v="NO"/>
    <s v="NO"/>
    <m/>
    <m/>
    <m/>
    <x v="1"/>
    <m/>
    <m/>
    <m/>
    <m/>
    <m/>
    <m/>
    <m/>
    <s v="YES"/>
    <s v="Advocacy for gender sensitive District Disaster Management Plan"/>
    <x v="0"/>
    <m/>
    <x v="1"/>
    <m/>
    <x v="0"/>
    <x v="0"/>
    <s v="YES"/>
    <x v="0"/>
    <x v="0"/>
    <x v="0"/>
    <x v="0"/>
    <n v="4"/>
    <x v="1"/>
    <x v="1"/>
    <x v="1"/>
    <x v="1"/>
    <x v="1"/>
    <x v="1"/>
    <n v="4"/>
    <x v="3"/>
    <x v="1"/>
    <x v="2"/>
    <x v="1"/>
    <x v="5"/>
    <n v="2"/>
    <x v="2"/>
    <x v="1"/>
    <m/>
    <m/>
    <m/>
    <m/>
    <x v="0"/>
    <s v="Training &amp; simulation of staff members from civil society on Vulnerability and capacity assessment and developing Village disaster Management Plans"/>
    <m/>
    <s v="Identification of Partners across districts who will be better equipped to conduct Vulnerability and Capacity Assessment (VCA) and respond in case of an emergency in their districts as well as neighbouring districts."/>
    <s v="Operationalize District Emergency Operation Centers District Disaster Management Units will have improved coordination and communication mechanisms for preparedness, response and recovery."/>
    <s v="Influence District Disaster Management Plan to include strategies for addressing needs of women and girls who are most vulnerable in disaster situation."/>
    <s v="• Linkage of trained participants, training module and further collaboration to strengthen district level emergency preparedness planning"/>
    <s v="• Mapping of existing capacities and presence of partner NGOs is essential for preparedness planning as well as for their facilitating their leadership’s engagement with planning and trainings to sustain the process. _x000a_• Organizational systems need to be robust and responsive to the diversity of local needs and capabilities, with agility in coordination and sharing of resources."/>
    <s v="• • There is wide variation in the capacities of local staff of NGO partners, and their leadership is engaged in an uneven manner."/>
    <m/>
    <m/>
    <n v="74"/>
    <n v="0"/>
    <n v="0"/>
    <n v="0.41891891891891891"/>
    <s v=""/>
    <n v="31"/>
    <n v="0"/>
    <s v=""/>
    <n v="0"/>
    <n v="0"/>
    <s v=""/>
    <n v="1"/>
    <n v="74"/>
    <n v="0"/>
    <n v="0"/>
    <s v=""/>
    <n v="0"/>
    <n v="0"/>
    <s v=""/>
    <s v=""/>
    <n v="0"/>
    <n v="0"/>
    <s v=""/>
    <s v=""/>
    <n v="0"/>
    <n v="0"/>
    <s v=""/>
    <s v="2. Sensitive"/>
    <s v="2. Accommodating"/>
    <s v="3. Responsive"/>
    <s v="It did not develop any specific innovation"/>
    <s v="Moderate advocacy"/>
    <s v="It linked and worked with strategic alliances and partners to take tested and effective solutions to scale"/>
  </r>
  <r>
    <x v="33"/>
    <x v="0"/>
    <m/>
    <s v="Emergency Response to Bihar Floods"/>
    <s v="India"/>
    <m/>
    <s v="CARE UK"/>
    <s v="Other"/>
    <s v="Other"/>
    <s v="Start Fund"/>
    <m/>
    <m/>
    <m/>
    <m/>
    <m/>
    <m/>
    <m/>
    <m/>
    <m/>
    <m/>
    <m/>
    <m/>
    <m/>
    <m/>
    <m/>
    <m/>
    <m/>
    <m/>
    <m/>
    <m/>
    <m/>
    <m/>
    <m/>
    <m/>
    <m/>
    <m/>
    <m/>
    <m/>
    <m/>
    <m/>
    <m/>
    <m/>
    <m/>
    <m/>
    <m/>
    <m/>
    <m/>
    <m/>
    <m/>
    <m/>
    <m/>
    <m/>
    <m/>
    <m/>
    <m/>
    <d v="2016-08-12T00:00:00"/>
    <d v="2016-09-26T00:00:00"/>
    <m/>
    <s v="Humanitarian Other"/>
    <n v="140618"/>
    <s v="Wasi Md Alam"/>
    <s v="Monitoring and Evaluation Officer - Disaster Management Unit"/>
    <s v="walam@careindia.org"/>
    <m/>
    <m/>
    <m/>
    <s v="YES"/>
    <s v="NO"/>
    <s v="NO"/>
    <s v="Provide relief assistance to affected people in three worst affected blocks of Supaul district in Bihar"/>
    <s v="Sub-National"/>
    <s v="Supaul, Bihar"/>
    <s v="CARE targeted  the marginalised, extremely poor communities with low coping capacity who are severely affected by the rains and floods and had suffered damage to their houses, lost their household items and  did not have access to water storage and hygiene facilities. The beneficiaries targeted also included displaced families (due to house damage and inundation) from the most marginalised communities.  From amongst the worst affected, CARE focused on single women headed households, households having pregnant and lactating mothers,households with persons with disabilities, from socially excluded Dalit and Maha Dalit communities."/>
    <n v="5724"/>
    <n v="5846"/>
    <n v="11570"/>
    <n v="3212"/>
    <n v="3456"/>
    <n v="6668"/>
    <s v="Direct participants- The beneficiaries who have received Shelter &amp; WASH NFI kits_x000a_Indirect Participants- The communities reached with WASH awareness with IEC material"/>
    <m/>
    <n v="5724"/>
    <n v="5846"/>
    <n v="11570"/>
    <n v="3212"/>
    <n v="3456"/>
    <n v="6668"/>
    <m/>
    <m/>
    <m/>
    <m/>
    <m/>
    <m/>
    <m/>
    <m/>
    <m/>
    <m/>
    <m/>
    <m/>
    <m/>
    <m/>
    <m/>
    <m/>
    <m/>
    <m/>
    <m/>
    <m/>
    <m/>
    <m/>
    <m/>
    <m/>
    <m/>
    <m/>
    <m/>
    <m/>
    <m/>
    <m/>
    <m/>
    <m/>
    <m/>
    <m/>
    <m/>
    <m/>
    <m/>
    <m/>
    <m/>
    <m/>
    <s v="YES"/>
    <n v="11570"/>
    <n v="0.5"/>
    <m/>
    <s v="YES"/>
    <n v="11570"/>
    <n v="0.5"/>
    <n v="6668"/>
    <m/>
    <m/>
    <m/>
    <m/>
    <m/>
    <m/>
    <m/>
    <m/>
    <m/>
    <m/>
    <m/>
    <m/>
    <m/>
    <m/>
    <m/>
    <m/>
    <m/>
    <m/>
    <m/>
    <m/>
    <m/>
    <m/>
    <m/>
    <m/>
    <m/>
    <m/>
    <m/>
    <m/>
    <m/>
    <m/>
    <m/>
    <m/>
    <m/>
    <m/>
    <m/>
    <m/>
    <m/>
    <m/>
    <m/>
    <m/>
    <m/>
    <m/>
    <m/>
    <m/>
    <m/>
    <m/>
    <m/>
    <m/>
    <m/>
    <m/>
    <m/>
    <m/>
    <m/>
    <m/>
    <m/>
    <m/>
    <m/>
    <m/>
    <m/>
    <m/>
    <m/>
    <m/>
    <m/>
    <m/>
    <m/>
    <m/>
    <m/>
    <m/>
    <m/>
    <m/>
    <m/>
    <m/>
    <m/>
    <m/>
    <m/>
    <m/>
    <m/>
    <m/>
    <m/>
    <m/>
    <s v="NO"/>
    <m/>
    <m/>
    <m/>
    <s v="NO"/>
    <m/>
    <m/>
    <m/>
    <x v="0"/>
    <m/>
    <m/>
    <s v="YES"/>
    <m/>
    <m/>
    <m/>
    <m/>
    <m/>
    <m/>
    <x v="0"/>
    <m/>
    <x v="0"/>
    <m/>
    <x v="0"/>
    <x v="0"/>
    <s v="YES"/>
    <x v="0"/>
    <x v="0"/>
    <x v="0"/>
    <x v="0"/>
    <n v="4"/>
    <x v="1"/>
    <x v="1"/>
    <x v="1"/>
    <x v="1"/>
    <x v="1"/>
    <x v="1"/>
    <n v="4"/>
    <x v="1"/>
    <x v="1"/>
    <x v="1"/>
    <x v="1"/>
    <x v="1"/>
    <n v="3"/>
    <x v="0"/>
    <x v="3"/>
    <n v="1"/>
    <s v="Grassroots organization(s)"/>
    <m/>
    <m/>
    <x v="0"/>
    <s v="Orientation of staff/ volunteers of civil society in relief distribution process"/>
    <s v="CARE ensured the beneficiaries listing included females of the identifiied household."/>
    <s v="Engaging elected panchayat representatives in finalizing targeting criteria"/>
    <s v="Engaging community volunteers in relief distribution process"/>
    <s v="Setting up feedback and complaint mechanism"/>
    <s v="The emergency response project met the immediate needs of Shelter and WASH NFIs  of 700 households - who were severely affected, vulnerable and living in acute poverty belonging to 25 village hamlets of 3 blocks in Kanchipuram district due to systematic relief distribution processes. Moreover, the entire 700 households received the relief kit within 20 days from the project start date. The entire relief operation was completed within a month. Certainly, the in time and swift services have supported the beneficiaries in handling with the present condition efficiently. Relief was timely available and timely distributed due to quick turnaround time of START funding."/>
    <s v="Agencies should consider adding some material like stationery and game materials for engaging boys and girls post disaster (based on feedback received from community)"/>
    <s v="Coordination of START network agencies ensured synergy in approach for the entire WASH campaign in the inetrvention villages i.e. Finalization of IEC materials and activities/exercises to be undertaken during the campaign."/>
    <m/>
    <s v="Project Proposal, Report- Narrative and Financial, Post Distribution Monitoring"/>
    <n v="11570"/>
    <n v="6668"/>
    <n v="0.57631806395851337"/>
    <n v="0.49472774416594639"/>
    <n v="0.48170365926814634"/>
    <n v="5724"/>
    <n v="3212"/>
    <n v="1"/>
    <n v="11570"/>
    <n v="6668"/>
    <n v="0.57631806395851337"/>
    <s v=""/>
    <n v="0"/>
    <n v="0"/>
    <s v=""/>
    <s v=""/>
    <n v="0"/>
    <n v="0"/>
    <s v=""/>
    <s v=""/>
    <n v="0"/>
    <n v="0"/>
    <s v=""/>
    <s v=""/>
    <n v="0"/>
    <n v="0"/>
    <s v=""/>
    <s v="2. Sensitive"/>
    <s v="2. Accommodating"/>
    <s v="2. Sensitive"/>
    <s v="It did not develop any specific innovation"/>
    <s v="Little or no advocacy"/>
    <s v="It did not take tested solutions to scale"/>
  </r>
  <r>
    <x v="33"/>
    <x v="0"/>
    <m/>
    <s v="Emergency Response to Cyclone Vardah in Tamil Nadu, India"/>
    <s v="India"/>
    <m/>
    <s v="CARE UK"/>
    <s v="Other"/>
    <s v="Other"/>
    <s v="Start Fund"/>
    <m/>
    <m/>
    <m/>
    <m/>
    <m/>
    <m/>
    <m/>
    <m/>
    <m/>
    <m/>
    <m/>
    <m/>
    <m/>
    <m/>
    <m/>
    <m/>
    <m/>
    <m/>
    <m/>
    <m/>
    <m/>
    <m/>
    <m/>
    <m/>
    <m/>
    <m/>
    <m/>
    <m/>
    <m/>
    <m/>
    <m/>
    <m/>
    <m/>
    <m/>
    <m/>
    <m/>
    <m/>
    <m/>
    <m/>
    <m/>
    <m/>
    <m/>
    <m/>
    <m/>
    <m/>
    <d v="2016-12-19T00:00:00"/>
    <d v="2017-02-02T00:00:00"/>
    <m/>
    <s v="Humanitarian Other"/>
    <n v="60070"/>
    <s v="Wasi Md Alam"/>
    <s v="Monitoring and Evaluation Officer, Disaster Management Unit"/>
    <s v="walam@careindia.org"/>
    <m/>
    <m/>
    <m/>
    <s v="YES"/>
    <s v="NO"/>
    <s v="NO"/>
    <s v="Provide relief assistance to affected people in three worst affected blocks"/>
    <s v="Sub-National"/>
    <s v="Kanchipuram, Tamil Nadu"/>
    <s v="Cyclone affected communities"/>
    <n v="1342"/>
    <n v="1339"/>
    <n v="2681"/>
    <n v="2174"/>
    <n v="1992"/>
    <n v="4166"/>
    <s v="Direct participants- The beneficiaries who have received Shelter &amp; WASH NFI kits_x000a_Indirect Participants- The communities reached with WASH awareness with IEC material"/>
    <m/>
    <n v="1342"/>
    <n v="1339"/>
    <n v="2681"/>
    <n v="2174"/>
    <n v="1992"/>
    <n v="4166"/>
    <m/>
    <m/>
    <m/>
    <m/>
    <m/>
    <m/>
    <m/>
    <m/>
    <m/>
    <m/>
    <m/>
    <m/>
    <m/>
    <m/>
    <m/>
    <m/>
    <m/>
    <m/>
    <m/>
    <m/>
    <m/>
    <m/>
    <m/>
    <m/>
    <m/>
    <m/>
    <m/>
    <m/>
    <m/>
    <m/>
    <m/>
    <m/>
    <m/>
    <m/>
    <m/>
    <m/>
    <m/>
    <m/>
    <m/>
    <m/>
    <s v="YES"/>
    <n v="700"/>
    <n v="0.5"/>
    <n v="2681"/>
    <s v="YES"/>
    <n v="2681"/>
    <n v="0.5"/>
    <n v="4166"/>
    <m/>
    <m/>
    <m/>
    <m/>
    <m/>
    <m/>
    <m/>
    <m/>
    <m/>
    <m/>
    <m/>
    <m/>
    <m/>
    <m/>
    <m/>
    <m/>
    <m/>
    <m/>
    <m/>
    <m/>
    <m/>
    <m/>
    <m/>
    <m/>
    <m/>
    <m/>
    <m/>
    <m/>
    <m/>
    <m/>
    <m/>
    <m/>
    <m/>
    <m/>
    <m/>
    <m/>
    <m/>
    <m/>
    <m/>
    <m/>
    <m/>
    <m/>
    <m/>
    <m/>
    <m/>
    <m/>
    <m/>
    <m/>
    <m/>
    <m/>
    <m/>
    <m/>
    <m/>
    <m/>
    <m/>
    <m/>
    <m/>
    <m/>
    <m/>
    <m/>
    <m/>
    <m/>
    <m/>
    <m/>
    <m/>
    <m/>
    <m/>
    <m/>
    <m/>
    <m/>
    <m/>
    <m/>
    <m/>
    <m/>
    <m/>
    <m/>
    <m/>
    <m/>
    <m/>
    <m/>
    <s v="NO"/>
    <m/>
    <m/>
    <m/>
    <s v="NO"/>
    <m/>
    <m/>
    <m/>
    <x v="0"/>
    <m/>
    <m/>
    <s v="YES"/>
    <m/>
    <m/>
    <m/>
    <m/>
    <m/>
    <m/>
    <x v="0"/>
    <m/>
    <x v="0"/>
    <m/>
    <x v="0"/>
    <x v="0"/>
    <s v="YES"/>
    <x v="0"/>
    <x v="0"/>
    <x v="0"/>
    <x v="0"/>
    <n v="4"/>
    <x v="1"/>
    <x v="1"/>
    <x v="1"/>
    <x v="1"/>
    <x v="1"/>
    <x v="1"/>
    <n v="4"/>
    <x v="1"/>
    <x v="1"/>
    <x v="1"/>
    <x v="1"/>
    <x v="1"/>
    <n v="3"/>
    <x v="0"/>
    <x v="3"/>
    <n v="1"/>
    <s v="Grassroots organization(s)"/>
    <m/>
    <m/>
    <x v="0"/>
    <s v="Orientation of staff/ volunteers of civil society in relief distribution process"/>
    <s v="CARE ensured the beneficiaries listing included females of the identifiied household."/>
    <m/>
    <m/>
    <m/>
    <s v="The emergency response project met the immediate needs of Shelter and WASH NFIs  of 700 households - who were severely affected, vulnerable and living in acute poverty belonging to 25 village hamlets of 3 blocks in Kanchipuram district due to systematic relief distribution processes. Moreover, the entire 700 households received the relief kit within 20 days from the project start date. The entire relief operation was completed within a month. Certainly, the in time and swift services have supported the beneficiaries in handling with the present condition efficiently. Relief was timely available and timely distributed due to quick turnaround time of START funding."/>
    <s v="Agencies should consider adding some material like stationery and game materials for engaging boys and girls post disaster (based on feedback received from community)"/>
    <s v="Coordination of START network agencies ensured synergy in approach for the entire WASH campaign in the inetrvention villages i.e. Finalization of IEC materials and activities/exercises to be undertaken during the campaign."/>
    <m/>
    <s v="Project Proposal, Report- Narrative and Financial, Post Distribution Monitoring"/>
    <n v="2681"/>
    <n v="4166"/>
    <n v="1.5538977993286087"/>
    <n v="0.5005594927265945"/>
    <n v="0.52184349495919347"/>
    <n v="1342"/>
    <n v="2174"/>
    <n v="1"/>
    <n v="2681"/>
    <n v="4166"/>
    <n v="1.5538977993286087"/>
    <s v=""/>
    <n v="0"/>
    <n v="0"/>
    <s v=""/>
    <s v=""/>
    <n v="0"/>
    <n v="0"/>
    <s v=""/>
    <s v=""/>
    <n v="0"/>
    <n v="0"/>
    <s v=""/>
    <s v=""/>
    <n v="0"/>
    <n v="0"/>
    <s v=""/>
    <s v="2. Sensitive"/>
    <s v="2. Accommodating"/>
    <s v="2. Sensitive"/>
    <s v="It did not develop any specific innovation"/>
    <s v="Little or no advocacy"/>
    <s v="It did not take tested solutions to scale"/>
  </r>
  <r>
    <x v="33"/>
    <x v="0"/>
    <m/>
    <s v="Enhancing Community Well Being in Rural Tamilnadu"/>
    <s v="India"/>
    <m/>
    <s v="CARE India"/>
    <s v="Other"/>
    <s v="Other"/>
    <s v="Amazon"/>
    <m/>
    <m/>
    <m/>
    <m/>
    <m/>
    <m/>
    <m/>
    <m/>
    <m/>
    <m/>
    <m/>
    <m/>
    <m/>
    <m/>
    <m/>
    <m/>
    <m/>
    <m/>
    <m/>
    <m/>
    <m/>
    <m/>
    <m/>
    <m/>
    <m/>
    <m/>
    <m/>
    <m/>
    <m/>
    <m/>
    <m/>
    <m/>
    <m/>
    <m/>
    <m/>
    <m/>
    <m/>
    <m/>
    <m/>
    <m/>
    <m/>
    <m/>
    <m/>
    <m/>
    <m/>
    <d v="2016-06-01T00:00:00"/>
    <d v="2019-10-31T00:00:00"/>
    <m/>
    <s v="Development Other"/>
    <n v="214306.93"/>
    <s v="Mr.Nabesh Bohidar"/>
    <s v="Program Manager"/>
    <s v="nbohidar@careindia.org"/>
    <s v="Mr.Prabusankar"/>
    <s v="Project Coordinator"/>
    <s v="prabusankar@careindia.org"/>
    <s v="NO"/>
    <s v="YES"/>
    <s v="NO"/>
    <s v="Wellbeing of 700 Households are enhanced and women in these households are empowered."/>
    <s v="Sub-National"/>
    <s v="Ponneri Taluk , Tiruvallur Distrcit , Tamilnadu"/>
    <s v="Men, women and children from the identified marginalized 700 households from 8 villages"/>
    <n v="1400"/>
    <n v="0"/>
    <n v="1400"/>
    <n v="0"/>
    <n v="1400"/>
    <n v="1400"/>
    <s v="Women from the marginalized community in the selected households in intervention villages  are the direct participants and all family members in the household  of the direct participants are calculated as indirect participants"/>
    <m/>
    <m/>
    <m/>
    <m/>
    <m/>
    <m/>
    <m/>
    <m/>
    <m/>
    <m/>
    <m/>
    <m/>
    <m/>
    <m/>
    <m/>
    <m/>
    <m/>
    <m/>
    <m/>
    <m/>
    <m/>
    <m/>
    <m/>
    <m/>
    <m/>
    <m/>
    <m/>
    <m/>
    <m/>
    <m/>
    <m/>
    <m/>
    <m/>
    <m/>
    <m/>
    <m/>
    <m/>
    <m/>
    <m/>
    <m/>
    <m/>
    <m/>
    <m/>
    <m/>
    <m/>
    <m/>
    <m/>
    <m/>
    <m/>
    <m/>
    <m/>
    <m/>
    <m/>
    <m/>
    <m/>
    <m/>
    <m/>
    <m/>
    <m/>
    <m/>
    <n v="1070"/>
    <n v="0"/>
    <n v="1070"/>
    <n v="0"/>
    <n v="1070"/>
    <n v="1070"/>
    <m/>
    <m/>
    <m/>
    <m/>
    <m/>
    <m/>
    <m/>
    <m/>
    <m/>
    <m/>
    <m/>
    <m/>
    <m/>
    <m/>
    <m/>
    <m/>
    <m/>
    <m/>
    <m/>
    <m/>
    <m/>
    <m/>
    <m/>
    <m/>
    <m/>
    <m/>
    <m/>
    <m/>
    <m/>
    <m/>
    <m/>
    <m/>
    <s v="YES"/>
    <n v="174"/>
    <n v="0.32"/>
    <n v="696"/>
    <m/>
    <m/>
    <m/>
    <m/>
    <m/>
    <m/>
    <m/>
    <m/>
    <m/>
    <m/>
    <m/>
    <m/>
    <m/>
    <m/>
    <m/>
    <m/>
    <m/>
    <m/>
    <m/>
    <m/>
    <s v="YES"/>
    <n v="163"/>
    <n v="0.3"/>
    <n v="652"/>
    <m/>
    <m/>
    <m/>
    <m/>
    <m/>
    <m/>
    <m/>
    <m/>
    <m/>
    <s v="YES"/>
    <s v="June"/>
    <n v="2017"/>
    <s v="YES"/>
    <s v="YES"/>
    <s v="March"/>
    <n v="2018"/>
    <s v="Planning to conduct village wise cohort study for outcome monitoring in the next FY"/>
    <x v="0"/>
    <s v="NO"/>
    <s v="NO"/>
    <s v="NO"/>
    <s v="NO"/>
    <s v="NO"/>
    <s v="NO"/>
    <s v="NO"/>
    <s v="NO"/>
    <m/>
    <x v="1"/>
    <s v="A study on underlying causes of poverty was conducted and sensitization and awareness creation meeting based on learning’s identified from the study underlying causes of poverty cinducted in  project villages"/>
    <x v="0"/>
    <m/>
    <x v="0"/>
    <x v="0"/>
    <s v="YES"/>
    <x v="0"/>
    <x v="0"/>
    <x v="0"/>
    <x v="0"/>
    <n v="4"/>
    <x v="1"/>
    <x v="1"/>
    <x v="1"/>
    <x v="1"/>
    <x v="1"/>
    <x v="1"/>
    <n v="4"/>
    <x v="3"/>
    <x v="1"/>
    <x v="1"/>
    <x v="1"/>
    <x v="4"/>
    <n v="3"/>
    <x v="0"/>
    <x v="0"/>
    <n v="1"/>
    <s v="Local NGO(s)/CSO(s)"/>
    <m/>
    <m/>
    <x v="0"/>
    <s v="Various training program organized to the village level committees to be participatory in approach in their decision making processes"/>
    <s v="Enabling environment created for the community members to approach Government officials to solve their welfare schemes related issues through interface meetings and now women groups are together demanding their entiltlements"/>
    <s v="Strengthening women SHGs for effetive operations and Governance"/>
    <s v="Interface meeting between service providers and community members created positive environment"/>
    <s v="Enable access to entitlements through capacity building and  other strategy"/>
    <s v="The local Panchayat elections are due since last year. As the term of the earlier functionaries are over, the officials are delaying the processing of applications for schemes."/>
    <m/>
    <m/>
    <m/>
    <s v="Baseline survey report"/>
    <n v="1070"/>
    <n v="1070"/>
    <n v="1"/>
    <n v="1"/>
    <n v="0"/>
    <n v="1070"/>
    <n v="0"/>
    <s v=""/>
    <n v="0"/>
    <n v="0"/>
    <s v=""/>
    <n v="1"/>
    <n v="163"/>
    <n v="652"/>
    <n v="4"/>
    <s v=""/>
    <n v="0"/>
    <n v="0"/>
    <s v=""/>
    <s v=""/>
    <n v="0"/>
    <n v="0"/>
    <s v=""/>
    <s v=""/>
    <n v="0"/>
    <n v="0"/>
    <s v=""/>
    <s v="2. Sensitive"/>
    <s v="2. Accommodating"/>
    <s v="4. Transformative"/>
    <s v="It tested new ways for fighting poverty, but did not measure results of innovation"/>
    <s v="Little or no advocacy"/>
    <s v="It did not take tested solutions to scale"/>
  </r>
  <r>
    <x v="33"/>
    <x v="0"/>
    <n v="3028"/>
    <s v="Enhancing the Sustainable Farming Initiative through Gender &amp; Nutrition (EnSIGN)"/>
    <s v="India"/>
    <s v="CS096"/>
    <s v="CARE USA"/>
    <s v="Multilateral agency"/>
    <s v="Other"/>
    <s v="PepsiCo USA"/>
    <m/>
    <m/>
    <m/>
    <m/>
    <m/>
    <m/>
    <m/>
    <m/>
    <m/>
    <m/>
    <m/>
    <m/>
    <m/>
    <m/>
    <m/>
    <m/>
    <m/>
    <m/>
    <m/>
    <m/>
    <m/>
    <m/>
    <m/>
    <m/>
    <m/>
    <m/>
    <m/>
    <m/>
    <m/>
    <m/>
    <m/>
    <m/>
    <m/>
    <m/>
    <m/>
    <m/>
    <m/>
    <m/>
    <m/>
    <m/>
    <m/>
    <m/>
    <m/>
    <m/>
    <m/>
    <d v="2014-06-01T00:00:00"/>
    <d v="2016-11-30T00:00:00"/>
    <d v="2016-12-31T00:00:00"/>
    <s v="Development Food &amp; Nutrition Security and Resilience to Climate Change"/>
    <n v="350570"/>
    <s v="BISWARANJAN PATNAIK"/>
    <s v="Reginal Porgramme Director"/>
    <s v="bpatnaik@careindia.org"/>
    <s v="MD EHTESHAMUDDIN"/>
    <s v="Monitoring &amp; Evaluation officer"/>
    <s v="mehteshamuddin@careindia.org"/>
    <s v="NO"/>
    <s v="YES"/>
    <s v="NO"/>
    <s v="To enhance smallholder women farmers' productivity, well being and empowerment in Sustainable Farm Initiative (SFI)"/>
    <s v="Sub-National"/>
    <s v="India, State- West Bengal, Dist- Bankura, Block- Kotulpur"/>
    <s v="Women Farmers in age group 15-49"/>
    <n v="504"/>
    <n v="0"/>
    <m/>
    <n v="5000"/>
    <n v="1000"/>
    <n v="6000"/>
    <s v="Direct Participants: Women farmers in age group 15-49 are direct participants. Project intervention was inteded to bring change in lives of 504 women farmers. These are head count_x000a_Indirect Participants: Project has included the men and in laws of 504 women famrers in intervention so that gender based barriers can be avoided to bring change. Engaging Panchayati Raj Institutions, Public health funationaires were also the part of strategy. these were considered into indirect participants. Husband and other male in family: 500*2= 1,000, Other peer women famers engaged in intervention. voluntary support, PRI and ASHA/AWW/AWH= 5,000"/>
    <m/>
    <m/>
    <m/>
    <m/>
    <m/>
    <m/>
    <m/>
    <m/>
    <m/>
    <m/>
    <m/>
    <m/>
    <m/>
    <m/>
    <m/>
    <m/>
    <m/>
    <m/>
    <m/>
    <m/>
    <m/>
    <m/>
    <m/>
    <m/>
    <m/>
    <m/>
    <m/>
    <m/>
    <m/>
    <m/>
    <m/>
    <m/>
    <m/>
    <m/>
    <m/>
    <m/>
    <m/>
    <m/>
    <m/>
    <m/>
    <m/>
    <m/>
    <m/>
    <m/>
    <m/>
    <m/>
    <m/>
    <m/>
    <m/>
    <m/>
    <m/>
    <m/>
    <m/>
    <m/>
    <m/>
    <m/>
    <m/>
    <m/>
    <m/>
    <m/>
    <n v="504"/>
    <m/>
    <n v="504"/>
    <n v="5000"/>
    <n v="1000"/>
    <n v="6000"/>
    <s v="YES"/>
    <n v="504"/>
    <n v="1"/>
    <n v="6000"/>
    <m/>
    <m/>
    <m/>
    <m/>
    <m/>
    <m/>
    <m/>
    <m/>
    <m/>
    <m/>
    <m/>
    <m/>
    <s v="YES"/>
    <n v="504"/>
    <n v="1"/>
    <n v="6000"/>
    <m/>
    <m/>
    <m/>
    <m/>
    <s v="YES"/>
    <n v="504"/>
    <n v="1"/>
    <n v="6000"/>
    <m/>
    <m/>
    <m/>
    <m/>
    <m/>
    <m/>
    <m/>
    <m/>
    <m/>
    <m/>
    <m/>
    <m/>
    <m/>
    <m/>
    <m/>
    <m/>
    <m/>
    <m/>
    <m/>
    <m/>
    <m/>
    <m/>
    <m/>
    <m/>
    <m/>
    <m/>
    <m/>
    <m/>
    <m/>
    <m/>
    <m/>
    <m/>
    <m/>
    <m/>
    <m/>
    <m/>
    <m/>
    <m/>
    <m/>
    <m/>
    <m/>
    <s v="YES"/>
    <s v="December"/>
    <n v="2016"/>
    <s v="YES"/>
    <s v="NO"/>
    <m/>
    <m/>
    <m/>
    <x v="0"/>
    <m/>
    <m/>
    <m/>
    <m/>
    <m/>
    <m/>
    <m/>
    <m/>
    <m/>
    <x v="1"/>
    <s v="A model on dieatry practices of women farmers"/>
    <x v="0"/>
    <m/>
    <x v="0"/>
    <x v="1"/>
    <s v="YES"/>
    <x v="0"/>
    <x v="0"/>
    <x v="0"/>
    <x v="2"/>
    <n v="4"/>
    <x v="1"/>
    <x v="1"/>
    <x v="2"/>
    <x v="2"/>
    <x v="2"/>
    <x v="4"/>
    <n v="1"/>
    <x v="3"/>
    <x v="1"/>
    <x v="1"/>
    <x v="1"/>
    <x v="4"/>
    <n v="3"/>
    <x v="2"/>
    <x v="1"/>
    <m/>
    <m/>
    <m/>
    <m/>
    <x v="1"/>
    <m/>
    <s v="Project Logframe and indicators were revised based on the findings"/>
    <s v="Common interest groups of women farmers were identified as platform for women agency building"/>
    <s v="Engaging men and boys"/>
    <s v="Develop a system for participatory performance Tracker  and involving women's group for track their own performances on regular time interval."/>
    <s v="Women and men are equally involved in agricultural practices however women have very limited opportunity to take part in training around extension services or market linkages. If women gets trained the productivity will be increased."/>
    <s v="If community space (Gram Sabha) or women based insititutions (SHG, CIG, Cooperative Groups) are not strengthen enough to negotiate within the community or outside regarding social restrictions, practices and innovations, Social changes will not be seen."/>
    <s v="Men and In Laws have Peer pressure which does not allow them to change the gender barriers at home. This needs to be broken through empowemenr and capacity building."/>
    <s v="Project closed in Dec 2016"/>
    <s v="All the documents like Logframe, Monitoring &amp; Evaluation framwork, DIP, IEC, training modules are uploaded on CARE Insite."/>
    <n v="504"/>
    <n v="6000"/>
    <n v="11.904761904761905"/>
    <n v="1"/>
    <n v="0.83333333333333337"/>
    <n v="504"/>
    <n v="5000"/>
    <s v=""/>
    <n v="0"/>
    <n v="0"/>
    <s v=""/>
    <n v="1"/>
    <n v="504"/>
    <n v="6000"/>
    <n v="11.904761904761905"/>
    <s v=""/>
    <n v="0"/>
    <n v="0"/>
    <s v=""/>
    <s v=""/>
    <n v="0"/>
    <n v="0"/>
    <s v=""/>
    <n v="1"/>
    <n v="504"/>
    <n v="6000"/>
    <n v="11.904761904761905"/>
    <s v="4. Transformative"/>
    <s v="1. Tokenistic"/>
    <s v="4. Transformative"/>
    <s v="It tested new ways for fighting poverty, but did not measure results of innovation"/>
    <s v="Little or no advocacy"/>
    <s v="It did not take tested solutions to scale"/>
  </r>
  <r>
    <x v="33"/>
    <x v="0"/>
    <n v="3029"/>
    <s v="Evolving a Women-centered Model of Extension of Improved Cook Stoves (ICS) for Sustained Adoption at Scale"/>
    <s v="India"/>
    <s v="CS170"/>
    <s v="CARE India"/>
    <s v="Other"/>
    <s v="EU - European Union (other than ECHO)"/>
    <s v="EU"/>
    <m/>
    <m/>
    <m/>
    <m/>
    <m/>
    <m/>
    <m/>
    <m/>
    <m/>
    <m/>
    <m/>
    <m/>
    <m/>
    <m/>
    <m/>
    <m/>
    <m/>
    <m/>
    <m/>
    <m/>
    <m/>
    <m/>
    <m/>
    <m/>
    <m/>
    <m/>
    <m/>
    <m/>
    <m/>
    <m/>
    <m/>
    <m/>
    <m/>
    <m/>
    <m/>
    <m/>
    <m/>
    <m/>
    <m/>
    <m/>
    <m/>
    <m/>
    <m/>
    <m/>
    <m/>
    <d v="2016-01-01T00:00:00"/>
    <d v="2019-12-31T00:00:00"/>
    <m/>
    <s v="Development Other"/>
    <n v="2800000"/>
    <s v="Sushmita Mukerjee"/>
    <s v="Head Program Operations"/>
    <s v="susmita@careindia.org"/>
    <s v="Rekha Panigrahi"/>
    <s v="Project Manager"/>
    <s v="rpanigrahi@careindia.org"/>
    <s v="NO"/>
    <s v="YES"/>
    <s v="NO"/>
    <s v="To promote sustainable adoption of Improved Cook Stoves (ICS) as a clean cooking energy solution among forest-dependent households (FDH), through a combination of capacity building, collectivization, market development, and multi-stakeholder engagement actions, resulting in 10,000 women from FDHs using ICS and developing a sustainable ICS adoption model for replication among 800 million rural households in the country who use traditional and polluting cook stoves."/>
    <s v="Sub-National"/>
    <s v="Country: India_x000a_States:Chhattisgarh and Odisha_x000a_Districts:Jashpur (Chhattisgarh) and Kalahandi &amp; Kandhamal (Odisha)"/>
    <s v="10,000 forest dependent women and their households"/>
    <n v="10000"/>
    <n v="0"/>
    <n v="10000"/>
    <n v="15000"/>
    <n v="15100"/>
    <n v="30100"/>
    <s v="Direct participants include women from forest dependent households, who is primarily responsible for cooking in her house and with whom the project is directly engaging with. Indirect participants include other family members both men and women of these forest dependent households who are indirectly benefited and Improved Cook Stove Value Chain actors with whom the project is engaging with."/>
    <m/>
    <m/>
    <m/>
    <m/>
    <m/>
    <m/>
    <m/>
    <m/>
    <m/>
    <m/>
    <m/>
    <m/>
    <m/>
    <m/>
    <m/>
    <m/>
    <m/>
    <m/>
    <m/>
    <m/>
    <m/>
    <m/>
    <m/>
    <m/>
    <m/>
    <m/>
    <m/>
    <m/>
    <m/>
    <m/>
    <m/>
    <m/>
    <m/>
    <m/>
    <m/>
    <m/>
    <m/>
    <m/>
    <m/>
    <m/>
    <m/>
    <m/>
    <m/>
    <m/>
    <m/>
    <m/>
    <m/>
    <m/>
    <m/>
    <m/>
    <m/>
    <m/>
    <m/>
    <m/>
    <m/>
    <m/>
    <m/>
    <m/>
    <m/>
    <m/>
    <n v="19292"/>
    <n v="0"/>
    <n v="19292"/>
    <n v="4793"/>
    <n v="4901"/>
    <n v="9694"/>
    <m/>
    <m/>
    <m/>
    <m/>
    <m/>
    <m/>
    <m/>
    <m/>
    <m/>
    <m/>
    <m/>
    <m/>
    <m/>
    <m/>
    <m/>
    <m/>
    <m/>
    <m/>
    <m/>
    <m/>
    <m/>
    <m/>
    <m/>
    <m/>
    <m/>
    <m/>
    <m/>
    <m/>
    <m/>
    <m/>
    <m/>
    <m/>
    <m/>
    <m/>
    <m/>
    <m/>
    <m/>
    <m/>
    <m/>
    <m/>
    <m/>
    <m/>
    <m/>
    <m/>
    <m/>
    <m/>
    <m/>
    <m/>
    <m/>
    <m/>
    <m/>
    <m/>
    <m/>
    <m/>
    <m/>
    <m/>
    <m/>
    <m/>
    <m/>
    <m/>
    <s v="YES"/>
    <n v="19292"/>
    <n v="1"/>
    <n v="9694"/>
    <m/>
    <m/>
    <m/>
    <m/>
    <m/>
    <s v="YES"/>
    <s v="August"/>
    <n v="2016"/>
    <s v="NO"/>
    <s v="NO"/>
    <m/>
    <m/>
    <s v="KAP and Cohort studies are planned to be undertaken in December 2017."/>
    <x v="1"/>
    <m/>
    <m/>
    <m/>
    <s v="YES"/>
    <m/>
    <m/>
    <m/>
    <m/>
    <m/>
    <x v="1"/>
    <s v="1. Constituting Sustainable Household Energy Schools consisting of  women from forest dependent housholds  as a learning platform promoting practice based capacity building of women on clean energy and improved cook stove (ICS) options leading to adoption of clean energy practices and options.                                                                                                 2. In-situ perfromance assessment of varied improved cook stoves by the women users  to facilitate identification of the season specific/fuel requirement/maintenance &amp; repairing requirement suitablility ICS options for scale (based on user’s year long experience)"/>
    <x v="0"/>
    <m/>
    <x v="0"/>
    <x v="1"/>
    <s v="YES"/>
    <x v="0"/>
    <x v="0"/>
    <x v="0"/>
    <x v="2"/>
    <n v="4"/>
    <x v="1"/>
    <x v="1"/>
    <x v="1"/>
    <x v="1"/>
    <x v="1"/>
    <x v="1"/>
    <n v="4"/>
    <x v="1"/>
    <x v="1"/>
    <x v="1"/>
    <x v="2"/>
    <x v="3"/>
    <n v="2"/>
    <x v="0"/>
    <x v="1"/>
    <m/>
    <m/>
    <m/>
    <m/>
    <x v="1"/>
    <m/>
    <m/>
    <s v="Promoting Sustainable Household Energy (SHE) Schools providing a collective learning platform to women exchanging dialogue, experiences and learning among each other on clean energy and improved cook stove options"/>
    <s v="Improved Cook Stoves performance assessment across different seasons by users at household level through pictorial tool"/>
    <s v="Holding Joint Sessions to bring together consumers (women users) and ICS manufacturers for building knowledge of the latter around ICS"/>
    <s v="Men's engagement as a strategy is found to be effective in encouraging men to support their spouse in ICS performance testing"/>
    <s v="BCC interventions should go hand-in-hand with capacity building to enable women to accept change"/>
    <s v="Affordability is a critical factor that influence adoption of accepted option so, interventions towards enhancing the purchasing capacity of poor households has to be a focused intervention."/>
    <s v="The project started in January 2016 and is in second year of implementation. Varied activities enhancing the capacities and skills of women from forest dependent households, enhancing knowledge of men in the housholds, promoting and strengthening collective learning platform of women have been undertaken during the reporting period."/>
    <s v="CARE International Gender marker, PQPAT, Log frame"/>
    <n v="19292"/>
    <n v="9694"/>
    <n v="0.50248807795977612"/>
    <n v="1"/>
    <n v="0.49442954404786466"/>
    <n v="19292"/>
    <n v="4793"/>
    <s v=""/>
    <n v="0"/>
    <n v="0"/>
    <s v=""/>
    <s v=""/>
    <n v="0"/>
    <n v="0"/>
    <s v=""/>
    <s v=""/>
    <n v="0"/>
    <n v="0"/>
    <s v=""/>
    <s v=""/>
    <n v="0"/>
    <n v="0"/>
    <s v=""/>
    <n v="1"/>
    <n v="19292"/>
    <n v="9694"/>
    <n v="0.50248807795977612"/>
    <s v="4. Transformative"/>
    <s v="2. Accommodating"/>
    <s v="1. Neutral"/>
    <s v="It tested new ways for fighting poverty, but did not measure results of innovation"/>
    <s v="Moderate advocacy"/>
    <s v="It did not take tested solutions to scale"/>
  </r>
  <r>
    <x v="33"/>
    <x v="0"/>
    <m/>
    <s v="Improved Agriculture and Inclusive Dairy Value Chain Promotion (IAIDVC)"/>
    <s v="India"/>
    <s v="CS216"/>
    <s v="CARE India"/>
    <s v="Foundation"/>
    <s v="Other"/>
    <s v="PI Industries"/>
    <m/>
    <m/>
    <m/>
    <m/>
    <m/>
    <m/>
    <m/>
    <m/>
    <m/>
    <m/>
    <m/>
    <m/>
    <m/>
    <m/>
    <m/>
    <m/>
    <m/>
    <m/>
    <m/>
    <m/>
    <m/>
    <m/>
    <m/>
    <m/>
    <m/>
    <m/>
    <m/>
    <m/>
    <m/>
    <m/>
    <m/>
    <m/>
    <m/>
    <m/>
    <m/>
    <m/>
    <m/>
    <m/>
    <m/>
    <m/>
    <m/>
    <m/>
    <m/>
    <m/>
    <m/>
    <d v="2017-04-15T00:00:00"/>
    <d v="2020-04-14T00:00:00"/>
    <m/>
    <s v="Development Other"/>
    <n v="416338"/>
    <s v="Mr.Nabesh  Bohidar"/>
    <s v="Programme Manager"/>
    <s v="nbohidar@careindia.org"/>
    <s v="Mr Arun Tiwari"/>
    <s v="Project Manager"/>
    <s v="arunk@careindia.org"/>
    <s v="NO"/>
    <s v="YES"/>
    <s v="NO"/>
    <s v="Enhance the incomes and productivity of women smallholders and workers"/>
    <s v="Sub-National"/>
    <s v="Jambusar Block of Gujarat, India"/>
    <s v="Women smallholders and workers especially from the marginalized communities (SC,ST,OBC and BPL)"/>
    <n v="3000"/>
    <n v="0"/>
    <n v="3000"/>
    <n v="11500"/>
    <n v="8852"/>
    <n v="20352"/>
    <s v="Direct Participants : Community  specially  women belongs to  ST,SC,OBC family with having less than one hectare land, less numbers of animal holding , land less and wage laborers categories. Direct participant would be eligible to avail directly all provision, interventions and service from the project.  These participants will be organized in collectives (SHGs) and members of these collectives would avail the productivity input and improved technologies, financial and marketing linkages, technical knowhow and capacity building aspects by the project directly. These direct participants are calculated on the basis of head count maintained by project MIS when the inputs received from project.                                                                    _x000a_Indirect participants: are those who associated with households of direct participants, Households those are not included as direct participants but they fall under same category/socio economic conditions, farmers and livestock rearers of project area. Indirect participant will be eligible to avail and benefited from convergence and linkages activities of the project with different stakeholders, capacity building programme and project extension activities _x000a_Project would work directly with 3000 households in 59 villages. As per the secondary data of Jambusar block, project villages have about 19500 households with 25 percent family belongs to ST, SC (18 percent)and OBC category. Out of these 19500 H/Hs, Project has identified about 16 percent most marginal H/Hs (3000 households) as impact group’s population and these household will be considered as direct participants. _x000a_Total 20352 Indirect participants are identified from women H/Hs who are left out in impact groups of project (direct participants),male associated with  impact population H/Hs, Small and Marginal Farmers, small animal holders and laborers from marginalised H/Hs in project villages  were included as indirect participant for the project."/>
    <m/>
    <n v="0"/>
    <n v="0"/>
    <n v="0"/>
    <n v="0"/>
    <n v="0"/>
    <n v="0"/>
    <m/>
    <m/>
    <m/>
    <m/>
    <m/>
    <m/>
    <m/>
    <m/>
    <m/>
    <m/>
    <m/>
    <m/>
    <m/>
    <m/>
    <m/>
    <m/>
    <m/>
    <m/>
    <m/>
    <m/>
    <m/>
    <m/>
    <m/>
    <m/>
    <m/>
    <m/>
    <m/>
    <m/>
    <m/>
    <m/>
    <m/>
    <m/>
    <m/>
    <m/>
    <m/>
    <m/>
    <m/>
    <m/>
    <m/>
    <m/>
    <m/>
    <m/>
    <m/>
    <m/>
    <m/>
    <m/>
    <m/>
    <m/>
    <m/>
    <m/>
    <m/>
    <m/>
    <m/>
    <n v="0"/>
    <n v="0"/>
    <n v="0"/>
    <n v="0"/>
    <n v="0"/>
    <n v="0"/>
    <m/>
    <m/>
    <m/>
    <m/>
    <m/>
    <m/>
    <m/>
    <m/>
    <m/>
    <m/>
    <m/>
    <m/>
    <m/>
    <m/>
    <m/>
    <m/>
    <s v="YES"/>
    <m/>
    <m/>
    <m/>
    <m/>
    <m/>
    <m/>
    <m/>
    <m/>
    <m/>
    <m/>
    <m/>
    <m/>
    <m/>
    <m/>
    <m/>
    <m/>
    <m/>
    <m/>
    <m/>
    <m/>
    <m/>
    <m/>
    <m/>
    <m/>
    <m/>
    <m/>
    <m/>
    <m/>
    <m/>
    <m/>
    <m/>
    <m/>
    <m/>
    <m/>
    <m/>
    <m/>
    <m/>
    <m/>
    <m/>
    <m/>
    <m/>
    <m/>
    <m/>
    <s v="YES"/>
    <m/>
    <m/>
    <m/>
    <m/>
    <m/>
    <m/>
    <m/>
    <m/>
    <s v="NO"/>
    <m/>
    <m/>
    <s v="NO"/>
    <s v="YES"/>
    <s v="September"/>
    <n v="2017"/>
    <m/>
    <x v="0"/>
    <m/>
    <m/>
    <m/>
    <m/>
    <m/>
    <m/>
    <m/>
    <m/>
    <m/>
    <x v="0"/>
    <s v="Project did not create any innovations in this period as the projectstarted in April2017."/>
    <x v="0"/>
    <s v="Project did not create any innovations in this period as the projectstarted in April2017."/>
    <x v="0"/>
    <x v="2"/>
    <m/>
    <x v="2"/>
    <x v="2"/>
    <x v="2"/>
    <x v="3"/>
    <n v="0"/>
    <x v="0"/>
    <x v="0"/>
    <x v="0"/>
    <x v="0"/>
    <x v="0"/>
    <x v="0"/>
    <n v="0"/>
    <x v="0"/>
    <x v="0"/>
    <x v="0"/>
    <x v="0"/>
    <x v="0"/>
    <n v="0"/>
    <x v="2"/>
    <x v="4"/>
    <m/>
    <s v="Private sector"/>
    <m/>
    <m/>
    <x v="1"/>
    <m/>
    <s v="NA for project in current financial year as project just initiated in April,2017"/>
    <s v="The project is in the early stage of implemenation"/>
    <m/>
    <m/>
    <m/>
    <m/>
    <m/>
    <s v="IAIDVC project is initaied in April 2017 in Jambusar Gujarat.Project has identified the villages for first year implementation throgh intensive village mappng exercise done by project and impact population is identified  by  project through adopting systemetic approach. Base line excercise is planned in September month this year. At point of time we are not in position to rate progress on Gender, Governance, Outreach and Resilience markers, since project not reached yet on ground as began in April, 2017. We would able to provide these data in next round"/>
    <s v="Quartely Progress  report (April-June 2017)"/>
    <n v="0"/>
    <n v="0"/>
    <s v=""/>
    <s v=""/>
    <s v=""/>
    <n v="0"/>
    <n v="0"/>
    <s v=""/>
    <n v="0"/>
    <n v="0"/>
    <s v=""/>
    <n v="1"/>
    <n v="0"/>
    <n v="0"/>
    <s v=""/>
    <s v=""/>
    <n v="0"/>
    <n v="0"/>
    <s v=""/>
    <s v=""/>
    <n v="0"/>
    <n v="0"/>
    <s v=""/>
    <n v="1"/>
    <n v="0"/>
    <n v="0"/>
    <s v=""/>
    <s v="No marker score"/>
    <s v="No marker score"/>
    <s v="No marker score"/>
    <s v="It did not develop any specific innovation"/>
    <s v="Little or no advocacy"/>
    <s v="It did not take tested solutions to scale"/>
  </r>
  <r>
    <x v="33"/>
    <x v="0"/>
    <n v="3018"/>
    <s v="Improved quality of community and low level facility management of childhood pneumonia and diarrhea in Bihar (TCH)"/>
    <s v="India"/>
    <s v="CS132"/>
    <s v="CARE USA"/>
    <s v="Foundation"/>
    <s v="Bill &amp; Melinda Gates Foundation"/>
    <s v="Bill &amp; Melinda Gates Foundation"/>
    <m/>
    <m/>
    <m/>
    <m/>
    <m/>
    <m/>
    <m/>
    <m/>
    <m/>
    <m/>
    <m/>
    <m/>
    <m/>
    <m/>
    <m/>
    <m/>
    <m/>
    <m/>
    <m/>
    <m/>
    <m/>
    <m/>
    <m/>
    <m/>
    <m/>
    <m/>
    <m/>
    <m/>
    <m/>
    <m/>
    <m/>
    <m/>
    <m/>
    <m/>
    <m/>
    <m/>
    <m/>
    <m/>
    <m/>
    <m/>
    <m/>
    <m/>
    <m/>
    <m/>
    <m/>
    <d v="2014-11-20T00:00:00"/>
    <d v="2017-10-31T00:00:00"/>
    <d v="2018-10-31T00:00:00"/>
    <s v="Development Other"/>
    <n v="6299343"/>
    <s v="Dr.Hemant Shah"/>
    <s v="Chief of Party, Bihar Technical Support Program (TSU)"/>
    <s v="hshah@careindia.org"/>
    <s v="Sunil Babu"/>
    <s v="Senior Technical Director : SPM"/>
    <s v="sunilb@careindia.org"/>
    <s v="NO"/>
    <s v="YES"/>
    <s v="NO"/>
    <s v="The work under the grant seeks to learn through efforts at the scale of two districst and evolve a comprehensive model for effectively addressing child mortality related to diarrhea and pneumonia, combining interventions engaging public facilities, outreach public programs, and the ubiquitous private providers"/>
    <s v="Sub-National"/>
    <s v="The project is working in 3 blocks in the district of Purnia and 3 blocks in the district of Samastipur in the state of Bihar, India"/>
    <s v="Children under the age of 5 who are most vulnerable to childhood illness"/>
    <n v="103655"/>
    <n v="112060"/>
    <n v="215715"/>
    <n v="3801604"/>
    <n v="4109843"/>
    <n v="7911447"/>
    <s v="Direct Reach: Total number of under five children form the study area. _x000a_Indirect reach: Total rural population of that study area after subtracting direct reach._x000a_This project has important overlap with other projects in Bihar. The figures reported only include the participants that ARE NOT overlapped with other projects. Nonetheless, TOTAL FIGURES for this project in the FY (including overlap), would include the following:_x000a_DIRECT: 103,655 women&amp;girls 112,060 men&amp;boys = 215,715 total_x000a_INDIRECT: 3,801,604 women&amp;girls 4,109,843men&amp;boys =  7,911,447 total"/>
    <m/>
    <m/>
    <m/>
    <m/>
    <m/>
    <m/>
    <m/>
    <m/>
    <m/>
    <m/>
    <m/>
    <m/>
    <m/>
    <m/>
    <m/>
    <m/>
    <m/>
    <m/>
    <m/>
    <m/>
    <m/>
    <m/>
    <m/>
    <m/>
    <m/>
    <m/>
    <m/>
    <m/>
    <m/>
    <m/>
    <m/>
    <m/>
    <m/>
    <m/>
    <m/>
    <m/>
    <m/>
    <m/>
    <m/>
    <m/>
    <m/>
    <m/>
    <m/>
    <m/>
    <m/>
    <m/>
    <m/>
    <m/>
    <m/>
    <m/>
    <m/>
    <m/>
    <m/>
    <m/>
    <m/>
    <m/>
    <m/>
    <m/>
    <m/>
    <m/>
    <n v="74067"/>
    <n v="80240"/>
    <n v="154307"/>
    <m/>
    <m/>
    <m/>
    <m/>
    <m/>
    <m/>
    <m/>
    <m/>
    <m/>
    <m/>
    <m/>
    <m/>
    <m/>
    <m/>
    <m/>
    <m/>
    <m/>
    <m/>
    <m/>
    <m/>
    <m/>
    <m/>
    <m/>
    <m/>
    <m/>
    <m/>
    <m/>
    <m/>
    <m/>
    <m/>
    <m/>
    <m/>
    <m/>
    <m/>
    <m/>
    <m/>
    <m/>
    <m/>
    <m/>
    <s v="YES"/>
    <n v="154307"/>
    <n v="0.48"/>
    <m/>
    <m/>
    <m/>
    <m/>
    <m/>
    <m/>
    <m/>
    <m/>
    <m/>
    <m/>
    <m/>
    <m/>
    <m/>
    <m/>
    <m/>
    <m/>
    <m/>
    <m/>
    <m/>
    <m/>
    <m/>
    <m/>
    <m/>
    <m/>
    <m/>
    <m/>
    <m/>
    <m/>
    <m/>
    <m/>
    <s v="NO"/>
    <m/>
    <m/>
    <s v="NO"/>
    <s v="NO"/>
    <m/>
    <m/>
    <s v="This is a pilot project to test effectiveness of reaching specific population groups with higher vulnerability to childhood illnesses and mortality. An earlier baseline exists, which will be used to compare progress being made during implementation and assessments in between (to be planned for next FY)"/>
    <x v="0"/>
    <s v="NO"/>
    <s v="NO"/>
    <s v="YES"/>
    <s v="NO"/>
    <s v="YES"/>
    <s v="YES"/>
    <s v="NO"/>
    <s v="NO"/>
    <m/>
    <x v="0"/>
    <m/>
    <x v="0"/>
    <m/>
    <x v="0"/>
    <x v="0"/>
    <s v="YES"/>
    <x v="0"/>
    <x v="0"/>
    <x v="0"/>
    <x v="0"/>
    <n v="4"/>
    <x v="1"/>
    <x v="1"/>
    <x v="1"/>
    <x v="1"/>
    <x v="1"/>
    <x v="1"/>
    <n v="4"/>
    <x v="1"/>
    <x v="1"/>
    <x v="1"/>
    <x v="1"/>
    <x v="1"/>
    <n v="3"/>
    <x v="2"/>
    <x v="0"/>
    <n v="2"/>
    <s v="Local government(s)"/>
    <s v="Private sector"/>
    <m/>
    <x v="1"/>
    <m/>
    <m/>
    <s v="Advocacy with Government of Bihar for operationalization of Paediatric care at the Block Hospitals"/>
    <s v="Establishment of surveillance records with ASHAs for seriously sick children"/>
    <s v="Capacity building of service providers (government doctors and nurses) by paediatricians"/>
    <s v="Seamless, continuous and effective supplies of drugs, consumables and equipments through an elaborate supply chain management system  is detrimental for quality and coverage of services"/>
    <s v="Inadequate number of qualified paediatricians in the Government systems is detrimental to enabling quality IPD services for child health"/>
    <s v="Pneumonia and Diaherria do not  appear to be the primary contributor to child mortality"/>
    <s v="This project has important overlap with other projects in Bihar. The figures reported only include the participants that ARE NOT overlapped with other projects. Nonetheless, TOTAL FIGURES for this project in the FY (including overlap), would include the following:_x000a_DIRECT: 103,655 women&amp;girls 112,060 men&amp;boys = 215,715 total_x000a_INDIRECT: 3,801,604 women&amp;girls 4,109,843men&amp;boys =  7,911,447 total_x000a_This is a pilot grant to be built on the platform of larger Technical Assistance project. Through this project efforts, CARE and its partenrs have been able to question the established notions of under 5 mortality from childhood infections, at least in the state of Bihar. Through the data generated as part of this project, CARE has been able to demonstrate that contribution of severe diarrhoea and pneumonia to child deaths is much lower than what was known and hence traditional interventions of ORS-Zn and ARI management by FLWs may not be the required interventions to impact child mortality. This is a significant contribution to help governments and donor agencies in evidence based prioritization of interventions"/>
    <s v="Project proposal and Final reports"/>
    <n v="154307"/>
    <n v="0"/>
    <n v="0"/>
    <n v="0.47999766698853585"/>
    <s v=""/>
    <n v="74067"/>
    <n v="0"/>
    <s v=""/>
    <n v="0"/>
    <n v="0"/>
    <s v=""/>
    <s v=""/>
    <n v="0"/>
    <n v="0"/>
    <s v=""/>
    <s v=""/>
    <n v="0"/>
    <n v="0"/>
    <s v=""/>
    <s v=""/>
    <n v="0"/>
    <n v="0"/>
    <s v=""/>
    <s v=""/>
    <n v="0"/>
    <n v="0"/>
    <s v=""/>
    <s v="2. Sensitive"/>
    <s v="2. Accommodating"/>
    <s v="2. Sensitive"/>
    <s v="It did not develop any specific innovation"/>
    <s v="Little or no advocacy"/>
    <s v="It did not take tested solutions to scale"/>
  </r>
  <r>
    <x v="33"/>
    <x v="0"/>
    <n v="3010"/>
    <s v="Improving Maternal Health through Engaging Family and Community"/>
    <s v="India"/>
    <s v="CS159"/>
    <s v="CARE India"/>
    <s v="Corporation"/>
    <s v="Other"/>
    <s v="Eros"/>
    <m/>
    <m/>
    <m/>
    <m/>
    <m/>
    <m/>
    <m/>
    <m/>
    <m/>
    <m/>
    <m/>
    <m/>
    <m/>
    <m/>
    <m/>
    <m/>
    <m/>
    <m/>
    <m/>
    <m/>
    <m/>
    <m/>
    <m/>
    <m/>
    <m/>
    <m/>
    <m/>
    <m/>
    <m/>
    <m/>
    <m/>
    <m/>
    <m/>
    <m/>
    <m/>
    <m/>
    <m/>
    <m/>
    <m/>
    <m/>
    <m/>
    <m/>
    <m/>
    <m/>
    <m/>
    <d v="2015-11-15T00:00:00"/>
    <d v="2016-10-15T00:00:00"/>
    <m/>
    <s v="Development Sexual, Reproductive and Maternal Health (SRMH)"/>
    <m/>
    <s v="Biswa Ranjan Patnaik"/>
    <s v="Regional Project Director"/>
    <s v="bpatnaik@careindia.org"/>
    <m/>
    <m/>
    <m/>
    <s v="NO"/>
    <s v="YES"/>
    <s v="NO"/>
    <s v="To improve Maternal and Neo natal health by engaging men along side women for better maternal and no natal health outcomes"/>
    <s v="Sub-National"/>
    <s v="The project is being implemented in Deva block of Barabanki district in Uttar Pradesh India."/>
    <s v="The main impact groups of the project are pregnant women and new born children. The project  aims to build local capacities of the service providers to enhance their skills for addressing maternal and neo natal health issues. The training builds capacity  to counsel and involve husbands of pregnant and lactating mothers. The project addresses inequal gender norms and promote positive role models amongst men in the community."/>
    <n v="770"/>
    <n v="515"/>
    <n v="1285"/>
    <n v="15297"/>
    <n v="17091"/>
    <n v="32388"/>
    <s v="Direct participants of the project are pregnant women and new born children in the project location."/>
    <m/>
    <m/>
    <m/>
    <m/>
    <m/>
    <m/>
    <m/>
    <m/>
    <m/>
    <m/>
    <m/>
    <m/>
    <m/>
    <m/>
    <m/>
    <m/>
    <m/>
    <m/>
    <m/>
    <m/>
    <m/>
    <m/>
    <m/>
    <m/>
    <m/>
    <m/>
    <m/>
    <m/>
    <m/>
    <m/>
    <m/>
    <m/>
    <m/>
    <m/>
    <m/>
    <m/>
    <m/>
    <m/>
    <m/>
    <m/>
    <m/>
    <m/>
    <m/>
    <m/>
    <m/>
    <m/>
    <m/>
    <m/>
    <m/>
    <m/>
    <m/>
    <m/>
    <m/>
    <m/>
    <m/>
    <m/>
    <m/>
    <m/>
    <m/>
    <m/>
    <n v="770"/>
    <n v="515"/>
    <n v="1285"/>
    <n v="15297"/>
    <n v="17091"/>
    <n v="32388"/>
    <m/>
    <m/>
    <m/>
    <m/>
    <m/>
    <m/>
    <m/>
    <m/>
    <m/>
    <m/>
    <m/>
    <m/>
    <m/>
    <m/>
    <m/>
    <m/>
    <m/>
    <m/>
    <m/>
    <m/>
    <m/>
    <m/>
    <m/>
    <m/>
    <m/>
    <m/>
    <m/>
    <m/>
    <m/>
    <m/>
    <m/>
    <m/>
    <m/>
    <m/>
    <m/>
    <m/>
    <m/>
    <m/>
    <m/>
    <m/>
    <m/>
    <m/>
    <m/>
    <m/>
    <m/>
    <m/>
    <m/>
    <m/>
    <m/>
    <m/>
    <m/>
    <m/>
    <s v="YES"/>
    <n v="1285"/>
    <n v="0.6"/>
    <n v="32388"/>
    <m/>
    <m/>
    <m/>
    <m/>
    <m/>
    <m/>
    <m/>
    <m/>
    <m/>
    <m/>
    <m/>
    <m/>
    <m/>
    <s v="NO"/>
    <m/>
    <m/>
    <s v="NO"/>
    <s v="NO"/>
    <m/>
    <m/>
    <m/>
    <x v="1"/>
    <m/>
    <m/>
    <m/>
    <m/>
    <m/>
    <m/>
    <m/>
    <m/>
    <m/>
    <x v="2"/>
    <m/>
    <x v="1"/>
    <m/>
    <x v="1"/>
    <x v="1"/>
    <s v="YES"/>
    <x v="0"/>
    <x v="0"/>
    <x v="0"/>
    <x v="2"/>
    <n v="4"/>
    <x v="1"/>
    <x v="2"/>
    <x v="1"/>
    <x v="1"/>
    <x v="2"/>
    <x v="4"/>
    <n v="2"/>
    <x v="1"/>
    <x v="1"/>
    <x v="1"/>
    <x v="1"/>
    <x v="1"/>
    <n v="3"/>
    <x v="2"/>
    <x v="2"/>
    <n v="1"/>
    <s v="Grassroots organization(s)"/>
    <m/>
    <m/>
    <x v="2"/>
    <s v="The project strengthened the mother's groups, men's groups and adolescent girls groups. The service providers were motivated and trained to hand hold the groups and support activism."/>
    <s v="The project was expected to start with support funding but finally had to start on its own. Given the realities the implementation design focussed more on engaging communities into challenging unequal social norms and supporting service providers to take up the responsibility of hand holding the processes with the groups. The service providers were trained and were observed. supported while they conducted sessions with the community/ groups of mothers/ adolescents."/>
    <s v="Enhance service providers capacities: this included the technical capacities as well as addressing gender and sexuality norms in their own lives plus practicing skills to engage men and address unequal social norms along with health behaviour messaging"/>
    <s v="Work with communities to strengthen demand and activism"/>
    <s v="Male involvement to celebrate role models who come forward for equitable gender roles, participating in household chores and joint decision making"/>
    <s v="Identifying and celebrating role models"/>
    <s v="investment in staff and service providers capacity"/>
    <s v="Short time for implementation does not help in laying out long term sustainable strategies"/>
    <s v="The implementation period was very short, by the time the communities and the service providers came forward, the project was towards closing formalities. If there were some more time, the processes could have been better instutionalised."/>
    <m/>
    <n v="1285"/>
    <n v="32388"/>
    <n v="25.204669260700388"/>
    <n v="0.59922178988326846"/>
    <n v="0.47230455724342352"/>
    <n v="770"/>
    <n v="15297"/>
    <s v=""/>
    <n v="0"/>
    <n v="0"/>
    <s v=""/>
    <s v=""/>
    <n v="0"/>
    <n v="0"/>
    <s v=""/>
    <n v="1"/>
    <n v="1285"/>
    <n v="32388"/>
    <n v="25.204669260700388"/>
    <s v=""/>
    <n v="0"/>
    <n v="0"/>
    <s v=""/>
    <s v=""/>
    <n v="0"/>
    <n v="0"/>
    <s v=""/>
    <s v="4. Transformative"/>
    <s v="1. Tokenistic"/>
    <s v="2. Sensitive"/>
    <s v="It tested new ways for fighting poverty and measured results of innovation"/>
    <s v="Moderate advocacy"/>
    <s v="It linked and worked with strategic alliances and partners to take tested and effective solutions to scale"/>
  </r>
  <r>
    <x v="33"/>
    <x v="0"/>
    <m/>
    <s v="Increase Women Farmers Productivity and Empowerment in more Equitable Agriculture Systems at Scale in India"/>
    <s v="India"/>
    <s v="CS090"/>
    <s v="CARE USA"/>
    <s v="Foundation"/>
    <s v="Bill &amp; Melinda Gates Foundation"/>
    <s v="Bill &amp; Melinda Gates Foundation"/>
    <m/>
    <m/>
    <m/>
    <m/>
    <m/>
    <m/>
    <m/>
    <m/>
    <m/>
    <m/>
    <m/>
    <m/>
    <m/>
    <m/>
    <m/>
    <m/>
    <m/>
    <m/>
    <m/>
    <m/>
    <m/>
    <m/>
    <m/>
    <m/>
    <m/>
    <m/>
    <m/>
    <m/>
    <m/>
    <m/>
    <m/>
    <m/>
    <m/>
    <m/>
    <m/>
    <m/>
    <m/>
    <m/>
    <m/>
    <m/>
    <m/>
    <m/>
    <m/>
    <m/>
    <m/>
    <d v="2011-11-17T00:00:00"/>
    <d v="2016-03-31T00:00:00"/>
    <d v="2017-03-31T00:00:00"/>
    <s v="Development Access to and Control over Economic Resources"/>
    <n v="2980000"/>
    <s v="Sushmita Mukherjee"/>
    <s v="Head - Program Operations"/>
    <s v="susmita@careindia.org"/>
    <s v="Manoj Singh"/>
    <s v="Technical Specialist - Livelihoods"/>
    <s v="msingh@careindia.org"/>
    <s v="NO"/>
    <s v="YES"/>
    <s v="NO"/>
    <s v="The goal of the project is to increase the productivity and empowerment of women smallholder farmers in more equitable agriculture ecosystems at scale."/>
    <s v="Sub-National"/>
    <s v="The project is operational in 26 Gram Panchayats and 9 blocks in Kandhamal amd Kalahandi disctricts of Odisha State in India."/>
    <s v="Scheduled Tribe (SC) and Scheduled Caste(SC) women smallholders are the main Impact Group of the project"/>
    <n v="13006"/>
    <n v="0"/>
    <n v="13006"/>
    <n v="26000"/>
    <n v="40000"/>
    <n v="66000"/>
    <s v="The project participants are the registered members of collectives and those who received services/ inputs from the project directly. The reported participants are from the MIS data which has a head-counts method to track. Indirect participants are the members of the project participants household."/>
    <m/>
    <m/>
    <m/>
    <m/>
    <m/>
    <m/>
    <m/>
    <m/>
    <m/>
    <m/>
    <m/>
    <m/>
    <m/>
    <m/>
    <m/>
    <m/>
    <m/>
    <m/>
    <m/>
    <m/>
    <m/>
    <m/>
    <m/>
    <m/>
    <m/>
    <m/>
    <m/>
    <m/>
    <m/>
    <m/>
    <m/>
    <m/>
    <m/>
    <m/>
    <m/>
    <m/>
    <m/>
    <m/>
    <m/>
    <m/>
    <m/>
    <m/>
    <m/>
    <m/>
    <m/>
    <m/>
    <m/>
    <m/>
    <m/>
    <m/>
    <m/>
    <m/>
    <m/>
    <m/>
    <m/>
    <m/>
    <m/>
    <m/>
    <m/>
    <m/>
    <n v="13006"/>
    <n v="0"/>
    <n v="13006"/>
    <n v="23500"/>
    <n v="24500"/>
    <n v="48000"/>
    <s v="YES"/>
    <n v="13006"/>
    <n v="1"/>
    <n v="48000"/>
    <s v="YES"/>
    <n v="13006"/>
    <n v="1"/>
    <n v="48000"/>
    <m/>
    <m/>
    <m/>
    <m/>
    <m/>
    <m/>
    <m/>
    <m/>
    <m/>
    <m/>
    <m/>
    <m/>
    <m/>
    <m/>
    <m/>
    <m/>
    <s v="YES"/>
    <n v="8000"/>
    <n v="0.61509999999999998"/>
    <n v="32000"/>
    <s v="YES"/>
    <n v="13006"/>
    <n v="1"/>
    <n v="48000"/>
    <m/>
    <m/>
    <m/>
    <m/>
    <m/>
    <m/>
    <m/>
    <m/>
    <m/>
    <m/>
    <m/>
    <m/>
    <s v="YES"/>
    <n v="13006"/>
    <n v="1"/>
    <n v="48000"/>
    <s v="YES"/>
    <n v="8000"/>
    <m/>
    <n v="32000"/>
    <m/>
    <m/>
    <m/>
    <m/>
    <m/>
    <m/>
    <m/>
    <m/>
    <s v="YES"/>
    <n v="8000"/>
    <m/>
    <n v="32000"/>
    <m/>
    <m/>
    <m/>
    <m/>
    <m/>
    <s v="YES"/>
    <s v="July"/>
    <n v="2016"/>
    <s v="NO"/>
    <s v="NO"/>
    <m/>
    <m/>
    <m/>
    <x v="1"/>
    <s v="NO"/>
    <s v="NO"/>
    <s v="YES"/>
    <s v="NO"/>
    <s v="NO"/>
    <s v="YES"/>
    <s v="NO"/>
    <s v="YES"/>
    <s v="Influence national and state level stakeholders including local government and NGO functionaries to adopt women led agriculture system at scale."/>
    <x v="1"/>
    <m/>
    <x v="1"/>
    <s v="Farmer Field and Business Schools approach"/>
    <x v="1"/>
    <x v="1"/>
    <s v="YES"/>
    <x v="0"/>
    <x v="0"/>
    <x v="1"/>
    <x v="4"/>
    <n v="3"/>
    <x v="1"/>
    <x v="1"/>
    <x v="1"/>
    <x v="1"/>
    <x v="1"/>
    <x v="1"/>
    <n v="4"/>
    <x v="3"/>
    <x v="2"/>
    <x v="1"/>
    <x v="1"/>
    <x v="5"/>
    <n v="2"/>
    <x v="2"/>
    <x v="3"/>
    <n v="0"/>
    <m/>
    <m/>
    <m/>
    <x v="2"/>
    <s v="CARE organized trainings and workshop to different civil society organizations for gender integration in agricultural programs at scale."/>
    <m/>
    <s v="Farmer Field and Business School"/>
    <s v="Reflect Circles"/>
    <s v="Market engagement with collectives"/>
    <s v="Promotion of livelihood service providers - The LSPs worked on incentive based system, post project they will act as a service provider who will charge fees for their services from the communities."/>
    <s v="Sustainability factors if planned during the project life will enable impact population have resilience at the end of project life."/>
    <s v="Need to have persistent engagement with the state government’s line department viz. Agriculture, Horticulture, Animal Husbandry, Forest and Revenue has resulted in positive and enabling environment in the project villages. This has resulted in increased accessibility of the impact population to these line departments and their schemes. These line departments have also responded positively which has benefitted the impact population"/>
    <s v="The current period was extension phase of Pathways to work towards ustainability of intervention."/>
    <m/>
    <n v="13006"/>
    <n v="48000"/>
    <n v="3.6906043364600953"/>
    <n v="1"/>
    <n v="0.48958333333333331"/>
    <n v="13006"/>
    <n v="23500"/>
    <s v=""/>
    <n v="0"/>
    <n v="0"/>
    <s v=""/>
    <n v="1"/>
    <n v="13006"/>
    <n v="48000"/>
    <n v="3.6906043364600953"/>
    <s v=""/>
    <n v="0"/>
    <n v="0"/>
    <s v=""/>
    <n v="1"/>
    <n v="13006"/>
    <n v="48000"/>
    <n v="3.6906043364600953"/>
    <n v="1"/>
    <n v="8000"/>
    <n v="32000"/>
    <n v="4"/>
    <s v="3. Responsive"/>
    <s v="2. Accommodating"/>
    <s v="3. Responsive"/>
    <s v="It tested new ways for fighting poverty, but did not measure results of innovation"/>
    <s v="Moderate advocacy"/>
    <s v="It linked and worked with strategic alliances and partners to take tested and effective solutions to scale"/>
  </r>
  <r>
    <x v="33"/>
    <x v="0"/>
    <n v="3011"/>
    <s v="Integrated Family Health Initiative (IFHI)"/>
    <s v="India"/>
    <s v="CS089"/>
    <s v="CARE USA"/>
    <s v="Foundation"/>
    <s v="Bill &amp; Melinda Gates Foundation"/>
    <s v="Bill &amp; Melinda Gates Foundation"/>
    <m/>
    <m/>
    <m/>
    <m/>
    <m/>
    <m/>
    <m/>
    <m/>
    <m/>
    <m/>
    <m/>
    <m/>
    <m/>
    <m/>
    <m/>
    <m/>
    <m/>
    <m/>
    <m/>
    <m/>
    <m/>
    <m/>
    <m/>
    <m/>
    <m/>
    <m/>
    <m/>
    <m/>
    <m/>
    <m/>
    <m/>
    <m/>
    <m/>
    <m/>
    <m/>
    <m/>
    <m/>
    <m/>
    <m/>
    <m/>
    <m/>
    <m/>
    <m/>
    <m/>
    <m/>
    <d v="2014-11-21T00:00:00"/>
    <d v="2015-10-31T00:00:00"/>
    <d v="2017-03-31T00:00:00"/>
    <s v="Development Sexual, Reproductive and Maternal Health (SRMH)"/>
    <n v="1204212"/>
    <s v="Dr.Hemant Shah"/>
    <s v="Chief of Party, Bihar Technical Support Program (TSU)"/>
    <s v="hshah@careindia.org"/>
    <s v="Sunil Babu"/>
    <s v="Senior Technical Director : SPM"/>
    <s v="sunilb@careindia.org"/>
    <s v="NO"/>
    <s v="YES"/>
    <s v="NO"/>
    <s v="To support the Government of Bihar (GoB) in improving the effective delivery and coverage of maternal, newborn and child health outcomes by 2015"/>
    <s v="Sub-National"/>
    <s v="Eight Districts of the state of Bihar: Beguarai, East Champaran, Gopalganj, Khagaria, Patna, Saharsa, Samastipur, West Champaran"/>
    <s v="The project is ensuring availability and quality of MCH services (at the outreach and facility level) for pregnant women, recently delivered mothers and children upto 2 years of age."/>
    <m/>
    <m/>
    <m/>
    <m/>
    <m/>
    <m/>
    <s v="Total married women of IFHI districts and children in the age of 0-2 age - Direct reach;  Total rural population of Bihar after subtracting direct reach of study area - Indirect reach. The project reached 25,213 people in the FY but this population is already covered by other projects in Bihar. To avoid double counting, no participants are reported under the sectors. "/>
    <m/>
    <m/>
    <m/>
    <m/>
    <m/>
    <m/>
    <m/>
    <m/>
    <m/>
    <m/>
    <m/>
    <m/>
    <m/>
    <m/>
    <m/>
    <m/>
    <m/>
    <m/>
    <m/>
    <m/>
    <m/>
    <m/>
    <m/>
    <m/>
    <m/>
    <m/>
    <m/>
    <m/>
    <m/>
    <m/>
    <m/>
    <m/>
    <m/>
    <m/>
    <m/>
    <m/>
    <m/>
    <m/>
    <m/>
    <m/>
    <m/>
    <m/>
    <m/>
    <m/>
    <m/>
    <m/>
    <m/>
    <m/>
    <m/>
    <m/>
    <m/>
    <m/>
    <m/>
    <m/>
    <m/>
    <m/>
    <m/>
    <m/>
    <m/>
    <m/>
    <m/>
    <m/>
    <n v="0"/>
    <m/>
    <m/>
    <m/>
    <m/>
    <m/>
    <m/>
    <m/>
    <m/>
    <m/>
    <m/>
    <m/>
    <m/>
    <m/>
    <m/>
    <m/>
    <m/>
    <m/>
    <m/>
    <m/>
    <m/>
    <m/>
    <m/>
    <m/>
    <m/>
    <m/>
    <m/>
    <m/>
    <m/>
    <m/>
    <m/>
    <m/>
    <m/>
    <m/>
    <m/>
    <m/>
    <m/>
    <m/>
    <m/>
    <m/>
    <m/>
    <m/>
    <m/>
    <m/>
    <m/>
    <m/>
    <m/>
    <m/>
    <m/>
    <m/>
    <m/>
    <m/>
    <m/>
    <m/>
    <m/>
    <m/>
    <s v="YES"/>
    <m/>
    <m/>
    <m/>
    <m/>
    <m/>
    <m/>
    <m/>
    <m/>
    <m/>
    <m/>
    <m/>
    <m/>
    <m/>
    <m/>
    <m/>
    <m/>
    <s v="YES"/>
    <m/>
    <m/>
    <s v="YES"/>
    <s v="NO"/>
    <m/>
    <m/>
    <s v="This grant was for conducting a pilot, for which baseline and endline were completed in previous FY s. As government wanted to test operational approaches to scale up, the grant period was continued to enable CARE to support the government. No further evaluations are planned."/>
    <x v="0"/>
    <s v="NO"/>
    <s v="NO"/>
    <s v="NO"/>
    <s v="NO"/>
    <s v="NO"/>
    <s v="NO"/>
    <s v="NO"/>
    <s v="NO"/>
    <m/>
    <x v="1"/>
    <m/>
    <x v="1"/>
    <m/>
    <x v="0"/>
    <x v="0"/>
    <s v="YES"/>
    <x v="0"/>
    <x v="0"/>
    <x v="0"/>
    <x v="0"/>
    <n v="4"/>
    <x v="1"/>
    <x v="0"/>
    <x v="1"/>
    <x v="1"/>
    <x v="1"/>
    <x v="1"/>
    <n v="3"/>
    <x v="1"/>
    <x v="1"/>
    <x v="1"/>
    <x v="1"/>
    <x v="1"/>
    <n v="3"/>
    <x v="2"/>
    <x v="0"/>
    <m/>
    <s v="International NGO(s)"/>
    <s v="Local alliance(s)/Platform(s)/Network(s) of  NGOs/CSOs"/>
    <s v="Local government(s)"/>
    <x v="2"/>
    <m/>
    <m/>
    <m/>
    <m/>
    <m/>
    <m/>
    <m/>
    <m/>
    <s v="The project reached 25,213 people in the FY but this population is already covered by other projects in Bihar. To avoid double counting, no participants are reported under the sectors. _x000a_This project was initiated to generate learning on what is required to implement the existing newborn care  intervention package for improving detection of newborn sepsis at community level and its treatment at public health facilities in rural Bihar. The project involved strengthening services in public facilities, training flws in PSBI case detection and management and follow up and also develop and implement relevant IEC/BCC materials._x000a_The results revealed that with efficient disease management systems the overall  treatment seeking at public facilities has improved and also the program in built referral system has improved the interaction with FLWs leading to quicker referrals of cases and thereby lesser delay in treatment seeking behavior."/>
    <m/>
    <n v="0"/>
    <n v="0"/>
    <s v=""/>
    <s v=""/>
    <s v=""/>
    <n v="0"/>
    <n v="0"/>
    <s v=""/>
    <n v="0"/>
    <n v="0"/>
    <s v=""/>
    <s v=""/>
    <n v="0"/>
    <n v="0"/>
    <s v=""/>
    <n v="1"/>
    <n v="0"/>
    <n v="0"/>
    <s v=""/>
    <s v=""/>
    <n v="0"/>
    <n v="0"/>
    <s v=""/>
    <s v=""/>
    <n v="0"/>
    <n v="0"/>
    <s v=""/>
    <s v="2. Sensitive"/>
    <s v="2. Accommodating"/>
    <s v="2. Sensitive"/>
    <s v="It tested new ways for fighting poverty, but did not measure results of innovation"/>
    <s v="Little or no advocacy"/>
    <s v="It linked and worked with strategic alliances and partners to take tested and effective solutions to scale"/>
  </r>
  <r>
    <x v="33"/>
    <x v="0"/>
    <n v="3037"/>
    <s v="Justice for Domestic Violence Survivor in India"/>
    <s v="India"/>
    <s v="CS133"/>
    <s v="CARE India"/>
    <s v="Foundation"/>
    <s v="Bill &amp; Melinda Gates Foundation"/>
    <s v="Bill &amp; Melinda Gates Foundation"/>
    <m/>
    <s v="CARE India"/>
    <s v="Other"/>
    <s v="Other"/>
    <m/>
    <m/>
    <m/>
    <m/>
    <m/>
    <m/>
    <m/>
    <m/>
    <m/>
    <m/>
    <m/>
    <m/>
    <m/>
    <m/>
    <m/>
    <m/>
    <m/>
    <m/>
    <m/>
    <m/>
    <m/>
    <m/>
    <m/>
    <m/>
    <m/>
    <m/>
    <m/>
    <m/>
    <m/>
    <m/>
    <m/>
    <m/>
    <m/>
    <m/>
    <m/>
    <m/>
    <m/>
    <m/>
    <m/>
    <m/>
    <m/>
    <d v="2016-04-01T00:00:00"/>
    <d v="2016-12-31T00:00:00"/>
    <d v="2017-03-25T00:00:00"/>
    <s v="Development A Life Free From Violence (GBV)"/>
    <n v="44994"/>
    <s v="Saibal Baroi"/>
    <s v="Director Advocacy"/>
    <s v="sbaroi@careindia.org"/>
    <s v="Lata Krishnan"/>
    <s v="Manager Advocacy"/>
    <s v="lkrishnan@careindia.org"/>
    <s v="NO"/>
    <s v="YES"/>
    <s v="NO"/>
    <s v="The specific objectives of this advocacy initiative will be as follows:_x000a_• Raise awareness among women and communities regarding their rights under the domestic violence laws._x000a_•Sensitizing the relevant service providers to carry out their duties and obligations to register, investigate and prosecute when cases are reported by survivors."/>
    <s v="Sub-National"/>
    <s v="This is implemented in four South Asian countries -Sri Lanka, Nepal, Bangladesh and India. CARE India is implementing in two districts- Patna and Samastipur of Bihar state of India"/>
    <s v="This is an advocacy initiative to raise awareness among the community and senstize the relevant stakeholders about the Protection of Women against Domestic Violence Act, 2005 implemented by Govt. Of India. The direct impact group of the project is women and stakeholders who play a key role in improving, changing, implementing policy, or influencing social norms, as well as those clearly benefiting from a policy change. Parliamentarians,  Community leader, Community frontline workers, teachers, Doctors, Protection Officer, Advocates, Police, Media,  Civil Society representatives"/>
    <m/>
    <m/>
    <m/>
    <m/>
    <m/>
    <m/>
    <s v="This is an advocacy based initiatve. Direct participants in initiative include individuals that benefit from advocacy, research, organizational strengthening or communicational strategies. Examples:_x000a_- Recipients of media coverage and study report findings_x000a_- Women in a district who accessed service, after being part of awareness events_x000a_- Civil Society Representatives from other states participated in state and national consultation"/>
    <m/>
    <m/>
    <m/>
    <m/>
    <m/>
    <m/>
    <m/>
    <m/>
    <m/>
    <m/>
    <m/>
    <m/>
    <m/>
    <m/>
    <m/>
    <m/>
    <m/>
    <m/>
    <m/>
    <m/>
    <m/>
    <m/>
    <m/>
    <m/>
    <m/>
    <m/>
    <m/>
    <m/>
    <m/>
    <m/>
    <m/>
    <m/>
    <m/>
    <m/>
    <m/>
    <m/>
    <m/>
    <m/>
    <m/>
    <m/>
    <m/>
    <m/>
    <m/>
    <m/>
    <m/>
    <m/>
    <m/>
    <m/>
    <m/>
    <m/>
    <m/>
    <m/>
    <m/>
    <m/>
    <m/>
    <m/>
    <m/>
    <m/>
    <m/>
    <m/>
    <n v="480"/>
    <n v="400"/>
    <n v="880"/>
    <m/>
    <m/>
    <m/>
    <m/>
    <m/>
    <m/>
    <m/>
    <m/>
    <m/>
    <m/>
    <m/>
    <m/>
    <m/>
    <m/>
    <m/>
    <m/>
    <m/>
    <m/>
    <m/>
    <m/>
    <m/>
    <m/>
    <m/>
    <m/>
    <m/>
    <m/>
    <m/>
    <m/>
    <m/>
    <m/>
    <m/>
    <s v="YES"/>
    <n v="880"/>
    <n v="0.54"/>
    <m/>
    <m/>
    <m/>
    <m/>
    <m/>
    <m/>
    <m/>
    <m/>
    <m/>
    <m/>
    <m/>
    <m/>
    <m/>
    <m/>
    <m/>
    <m/>
    <m/>
    <m/>
    <m/>
    <m/>
    <m/>
    <m/>
    <m/>
    <m/>
    <m/>
    <m/>
    <m/>
    <m/>
    <m/>
    <m/>
    <m/>
    <m/>
    <m/>
    <m/>
    <m/>
    <m/>
    <m/>
    <m/>
    <s v="NO"/>
    <m/>
    <m/>
    <s v="NO"/>
    <s v="NO"/>
    <m/>
    <m/>
    <m/>
    <x v="2"/>
    <m/>
    <m/>
    <m/>
    <s v="YES"/>
    <m/>
    <m/>
    <s v="YES"/>
    <m/>
    <m/>
    <x v="1"/>
    <s v="For the first time, the project aimed at policy advocacy for effective implementation of one particular law on domestic violence against women in one state of the country through generating awareness about the provisions of law in one hand and on the other end sensitizing the responsible stakeholders with different approach and working with inflencers like media, parliamentarians etc."/>
    <x v="1"/>
    <s v="The project partnered with local NGO as implementing partner and collaborated with exisitng networks and alliance working on women issue in the state of Bihar. At National level, it also brought few prominent NGOs from other states to contribute and learn from project outcomes. CARE India has now become part of 'PWDVA group' an advocacy forum at national level, where all prominent organization of India is part of to advocate around the issue of domestic violence."/>
    <x v="2"/>
    <x v="1"/>
    <s v="YES"/>
    <x v="0"/>
    <x v="0"/>
    <x v="1"/>
    <x v="4"/>
    <n v="3"/>
    <x v="2"/>
    <x v="1"/>
    <x v="1"/>
    <x v="1"/>
    <x v="2"/>
    <x v="5"/>
    <n v="3"/>
    <x v="0"/>
    <x v="0"/>
    <x v="0"/>
    <x v="0"/>
    <x v="0"/>
    <n v="0"/>
    <x v="2"/>
    <x v="3"/>
    <n v="1"/>
    <s v="Local NGO(s)/CSO(s)"/>
    <m/>
    <m/>
    <x v="2"/>
    <s v="Civil sociiety has been part of all events organized to generate awareness about the Act including study finding dissemination event."/>
    <s v="The project period extended for additional 3 months looking desired result and relevant time period and  included few new activities - consultation with political representatives, working with media through consultation and press conference to enhance the effectivess of influencing strategy beforethe  union and state budget sessionduring beginning of 2017"/>
    <s v="Street meetings in the villages followed by community events on generating awareness about the law"/>
    <s v="Working with media supported in bring forefront the issue in public domain and generated awareness about the status of the law after decade of implementation"/>
    <s v="Working with networks and alliances help to broadbase the outcome"/>
    <s v="Generating awareness about the law among the community front line workers and village level council (Panchayats) members ensured increased outreach and  sustainable source and flow of infomration for the community"/>
    <s v="Increased awareness about the law will not impact the outcome of the project if the service providers are not sensitized at the same time"/>
    <s v="Flexibility in design to incorporate relevant changes in policy advocacy related initiatives will support in being relevant in our approach to achieve desired results"/>
    <s v="Formally the project ended in the month of December 2016. Looking at union budget session- a relevant time for policy advocacy; CARE India has supported for additional three months till March 2017 to continue the process and share the project learning at National level."/>
    <s v="The project supported to conduct two studies on the status of implementation of PWDV Act in 9 districts of Bihar. To download these reports, please follow the below links :_x000a_1. https://www.careindia.org/wp-content/uploads/2017/05/SFSSU-ACT_f.pdf"/>
    <n v="880"/>
    <n v="0"/>
    <n v="0"/>
    <n v="0.54545454545454541"/>
    <s v=""/>
    <n v="480"/>
    <n v="0"/>
    <s v=""/>
    <n v="0"/>
    <n v="0"/>
    <s v=""/>
    <s v=""/>
    <n v="0"/>
    <n v="0"/>
    <s v=""/>
    <s v=""/>
    <n v="0"/>
    <n v="0"/>
    <s v=""/>
    <n v="1"/>
    <n v="880"/>
    <n v="0"/>
    <n v="0"/>
    <s v=""/>
    <n v="0"/>
    <n v="0"/>
    <s v=""/>
    <s v="3. Responsive"/>
    <s v="3. Responsive"/>
    <s v="No marker score"/>
    <s v="It tested new ways for fighting poverty, but did not measure results of innovation"/>
    <s v="Intensive advocacy"/>
    <s v="It linked and worked with strategic alliances and partners to take tested and effective solutions to scale"/>
  </r>
  <r>
    <x v="33"/>
    <x v="0"/>
    <m/>
    <s v="KHUSHI (Chittorgarh)"/>
    <s v="India"/>
    <m/>
    <s v="CARE India"/>
    <s v="Corporation"/>
    <s v="Other"/>
    <s v="Hindustan Zinc Limited"/>
    <m/>
    <m/>
    <m/>
    <m/>
    <m/>
    <m/>
    <m/>
    <m/>
    <m/>
    <m/>
    <m/>
    <m/>
    <m/>
    <m/>
    <m/>
    <m/>
    <m/>
    <m/>
    <m/>
    <m/>
    <m/>
    <m/>
    <m/>
    <m/>
    <m/>
    <m/>
    <m/>
    <m/>
    <m/>
    <m/>
    <m/>
    <m/>
    <m/>
    <m/>
    <m/>
    <m/>
    <m/>
    <m/>
    <m/>
    <m/>
    <m/>
    <m/>
    <m/>
    <m/>
    <m/>
    <d v="2017-04-01T00:00:00"/>
    <d v="2020-03-31T00:00:00"/>
    <m/>
    <s v="Development Other"/>
    <n v="1504293"/>
    <s v="Dr. Jayant Upadhyay"/>
    <s v="State Programme Manager"/>
    <s v="jupadhyay@careindia.org"/>
    <s v="Md Ehteshamuddin"/>
    <s v="Monitoring &amp; Evaluation officer"/>
    <s v="mehteshamuddin@careindia.org"/>
    <s v="NO"/>
    <s v="YES"/>
    <s v="NO"/>
    <s v="To strengthen the efficacy of government’s Integrated Child Development Scheme (ICDS) Program, so as to improve the health and well-being of children below 6 years of age in Chittorgarh, Rajasthan"/>
    <s v="Sub-National"/>
    <s v="District- Chittorgarh, Rajasthan, India"/>
    <s v="Children 0 -6 years, Pregnant women, Lactating mothers"/>
    <n v="27196"/>
    <n v="11740"/>
    <n v="39836"/>
    <n v="54392"/>
    <n v="23480"/>
    <n v="77872"/>
    <s v="Direct paeticipants: _x000a_Children 0 -6 years are calculated from the ICDS survey data. Pregnant women, Lactating mothers  are calculated through the formula to find out total number of prengant women in specific population. Based on the formula, expected pregnancy in three intervention blocs were calculated.  (Total Population * Crude birth rate/ 1000). Estimation is done for the project life cycle of three years till 2020. _x000a__x000a_Indirect Participants: Parents of children in 0-6 years age group, Husband of pregnanct and lactating women, 504 Angwadi workers and ICDS staffs were calculated as indirect participants. _x000a_ Project is yet to roll out at field. The numbers may vary"/>
    <m/>
    <m/>
    <m/>
    <m/>
    <m/>
    <m/>
    <m/>
    <m/>
    <m/>
    <m/>
    <m/>
    <m/>
    <m/>
    <m/>
    <m/>
    <m/>
    <m/>
    <m/>
    <m/>
    <m/>
    <m/>
    <m/>
    <m/>
    <m/>
    <m/>
    <m/>
    <m/>
    <m/>
    <m/>
    <m/>
    <m/>
    <m/>
    <m/>
    <m/>
    <m/>
    <m/>
    <m/>
    <m/>
    <m/>
    <m/>
    <m/>
    <m/>
    <m/>
    <m/>
    <m/>
    <m/>
    <m/>
    <m/>
    <m/>
    <m/>
    <m/>
    <m/>
    <m/>
    <m/>
    <m/>
    <m/>
    <m/>
    <m/>
    <m/>
    <m/>
    <m/>
    <m/>
    <m/>
    <m/>
    <m/>
    <m/>
    <m/>
    <m/>
    <m/>
    <m/>
    <m/>
    <m/>
    <m/>
    <m/>
    <m/>
    <m/>
    <m/>
    <m/>
    <m/>
    <m/>
    <m/>
    <m/>
    <m/>
    <m/>
    <m/>
    <m/>
    <m/>
    <m/>
    <m/>
    <m/>
    <m/>
    <m/>
    <m/>
    <m/>
    <m/>
    <m/>
    <m/>
    <m/>
    <m/>
    <m/>
    <m/>
    <m/>
    <m/>
    <m/>
    <m/>
    <m/>
    <m/>
    <m/>
    <m/>
    <m/>
    <m/>
    <m/>
    <m/>
    <m/>
    <m/>
    <m/>
    <m/>
    <m/>
    <m/>
    <m/>
    <m/>
    <m/>
    <m/>
    <m/>
    <m/>
    <m/>
    <m/>
    <m/>
    <m/>
    <m/>
    <m/>
    <m/>
    <m/>
    <m/>
    <m/>
    <s v="NO"/>
    <m/>
    <m/>
    <m/>
    <s v="YES"/>
    <s v="December"/>
    <n v="2017"/>
    <m/>
    <x v="3"/>
    <m/>
    <m/>
    <m/>
    <m/>
    <m/>
    <m/>
    <m/>
    <m/>
    <m/>
    <x v="3"/>
    <m/>
    <x v="2"/>
    <m/>
    <x v="3"/>
    <x v="2"/>
    <m/>
    <x v="2"/>
    <x v="2"/>
    <x v="2"/>
    <x v="3"/>
    <n v="0"/>
    <x v="0"/>
    <x v="0"/>
    <x v="0"/>
    <x v="0"/>
    <x v="0"/>
    <x v="0"/>
    <n v="0"/>
    <x v="0"/>
    <x v="0"/>
    <x v="0"/>
    <x v="0"/>
    <x v="0"/>
    <n v="0"/>
    <x v="1"/>
    <x v="4"/>
    <m/>
    <m/>
    <m/>
    <m/>
    <x v="3"/>
    <m/>
    <s v="MoU has been signed with donor for FY 2017-18  The project is yet to roll out at ground level ."/>
    <m/>
    <m/>
    <m/>
    <m/>
    <m/>
    <m/>
    <m/>
    <m/>
    <n v="0"/>
    <n v="0"/>
    <s v=""/>
    <s v=""/>
    <s v=""/>
    <n v="0"/>
    <n v="0"/>
    <s v=""/>
    <n v="0"/>
    <n v="0"/>
    <s v=""/>
    <s v=""/>
    <n v="0"/>
    <n v="0"/>
    <s v=""/>
    <s v=""/>
    <n v="0"/>
    <n v="0"/>
    <s v=""/>
    <s v=""/>
    <n v="0"/>
    <n v="0"/>
    <s v=""/>
    <s v=""/>
    <n v="0"/>
    <n v="0"/>
    <s v=""/>
    <s v="No marker score"/>
    <s v="No marker score"/>
    <s v="No marker score"/>
    <n v="0"/>
    <n v="0"/>
    <n v="0"/>
  </r>
  <r>
    <x v="33"/>
    <x v="0"/>
    <n v="3012"/>
    <s v="KHUSHI-Bhilwara"/>
    <s v="India"/>
    <s v="CS193"/>
    <s v="CARE India"/>
    <s v="Corporation"/>
    <s v="Other"/>
    <s v="Hindustan Zinc Limited"/>
    <m/>
    <m/>
    <m/>
    <m/>
    <m/>
    <m/>
    <m/>
    <m/>
    <m/>
    <m/>
    <m/>
    <m/>
    <m/>
    <m/>
    <m/>
    <m/>
    <m/>
    <m/>
    <m/>
    <m/>
    <m/>
    <m/>
    <m/>
    <m/>
    <m/>
    <m/>
    <m/>
    <m/>
    <m/>
    <m/>
    <m/>
    <m/>
    <m/>
    <m/>
    <m/>
    <m/>
    <m/>
    <m/>
    <m/>
    <m/>
    <m/>
    <m/>
    <m/>
    <m/>
    <m/>
    <d v="2016-04-01T00:00:00"/>
    <d v="2020-03-31T00:00:00"/>
    <d v="2018-08-31T00:00:00"/>
    <s v="Development Other"/>
    <n v="1350477"/>
    <s v="Dr. Jayant Upadhyay"/>
    <s v="State Programme Manager"/>
    <s v="jupadhyay@careindia.org"/>
    <s v="Md Ehteshamuddin"/>
    <s v="Monitoring &amp; Evaluation officer"/>
    <s v="mehteshamuddin@careindia.org"/>
    <s v="NO"/>
    <s v="YES"/>
    <s v="NO"/>
    <s v="To strengthen the efficacy of government’s Integrated Child Development Scheme (ICDS) Program, so as to improve the health and well-being of children below 6 years of age in Bhilwara, Rajasthan"/>
    <s v="Sub-National"/>
    <s v="District- Bhilwara, Rajasthan, India"/>
    <s v="Children 0 -6 years, Pregnant women, Lactating mothers"/>
    <n v="78787"/>
    <n v="8000"/>
    <n v="86787"/>
    <n v="148381"/>
    <n v="73926"/>
    <n v="222307"/>
    <s v="Direct paeticipants: _x000a_Children 0 -6 years are calculated from the ICDS survey data. Pregnant women, Lactating mothers  are calculated through the formula to find out total number of prengant women in specific population. Based on the formula, expected pregnancy in three intervention blocs were calculated.  (Total Population * Crude birth rate/ 1000). Estimation is done for the project life cycle of three years till 2010. _x000a__x000a_Indirect Participants: Parents of children in 0-6 years age group, Husband of pregnanct and lactating women, 504 Angwadi workers and ICDS staffs were calculated as indirect participants."/>
    <m/>
    <m/>
    <m/>
    <m/>
    <m/>
    <m/>
    <m/>
    <m/>
    <m/>
    <m/>
    <m/>
    <m/>
    <m/>
    <m/>
    <m/>
    <m/>
    <m/>
    <m/>
    <m/>
    <m/>
    <m/>
    <m/>
    <m/>
    <m/>
    <m/>
    <m/>
    <m/>
    <m/>
    <m/>
    <m/>
    <m/>
    <m/>
    <m/>
    <m/>
    <m/>
    <m/>
    <m/>
    <m/>
    <m/>
    <m/>
    <m/>
    <m/>
    <m/>
    <m/>
    <m/>
    <m/>
    <m/>
    <m/>
    <m/>
    <m/>
    <m/>
    <m/>
    <m/>
    <m/>
    <m/>
    <m/>
    <m/>
    <m/>
    <m/>
    <m/>
    <n v="7718"/>
    <n v="5714"/>
    <n v="13432"/>
    <n v="9436"/>
    <n v="11428"/>
    <n v="20864"/>
    <m/>
    <m/>
    <m/>
    <m/>
    <m/>
    <m/>
    <m/>
    <m/>
    <m/>
    <m/>
    <m/>
    <m/>
    <m/>
    <m/>
    <m/>
    <m/>
    <m/>
    <m/>
    <m/>
    <m/>
    <s v="YES"/>
    <n v="10432"/>
    <n v="0.57450000000000001"/>
    <n v="20864"/>
    <m/>
    <m/>
    <m/>
    <m/>
    <m/>
    <m/>
    <m/>
    <m/>
    <s v="YES"/>
    <n v="3000"/>
    <n v="0.5"/>
    <n v="20864"/>
    <m/>
    <m/>
    <m/>
    <m/>
    <m/>
    <m/>
    <m/>
    <m/>
    <m/>
    <m/>
    <m/>
    <m/>
    <m/>
    <m/>
    <m/>
    <m/>
    <s v="YES"/>
    <n v="3000"/>
    <n v="0.5"/>
    <n v="20864"/>
    <m/>
    <m/>
    <m/>
    <m/>
    <m/>
    <m/>
    <m/>
    <m/>
    <m/>
    <m/>
    <m/>
    <m/>
    <m/>
    <s v="YES"/>
    <s v="December"/>
    <n v="2016"/>
    <s v="NO"/>
    <s v="NO"/>
    <m/>
    <m/>
    <m/>
    <x v="0"/>
    <s v="NO"/>
    <m/>
    <s v="YES"/>
    <s v="YES"/>
    <m/>
    <m/>
    <m/>
    <m/>
    <m/>
    <x v="0"/>
    <m/>
    <x v="0"/>
    <m/>
    <x v="0"/>
    <x v="0"/>
    <s v="YES"/>
    <x v="0"/>
    <x v="0"/>
    <x v="0"/>
    <x v="0"/>
    <n v="4"/>
    <x v="3"/>
    <x v="1"/>
    <x v="1"/>
    <x v="2"/>
    <x v="2"/>
    <x v="3"/>
    <n v="2"/>
    <x v="1"/>
    <x v="1"/>
    <x v="2"/>
    <x v="1"/>
    <x v="3"/>
    <n v="2"/>
    <x v="2"/>
    <x v="2"/>
    <n v="1"/>
    <s v="Local NGO(s)/CSO(s)"/>
    <m/>
    <m/>
    <x v="1"/>
    <m/>
    <s v="MoU has been revised with donor in FY 2017-18 to implement Supplimentry nutrition supply based on the experience in 2016-17 by limiting the role of CARE work in Supplimentry nutrition supply at AWC"/>
    <s v="Engaging community at Anganwadi centers through ownership and contribution."/>
    <s v="Child tracking score card institutionalisation at AWC"/>
    <s v="Capcity building of Angwandi workers and Angwadi helpers on pre school education, health and nutrition"/>
    <s v="Outcome based expectations gap between CARE long term goal and Donor perspective"/>
    <s v="Irregularity of Angwandi workers at centers due to political intervention."/>
    <s v="Retention of boys at Anganwadi centers due to availability of private school locally and mind set of parents to promote education maog boys."/>
    <m/>
    <s v="Proposal, MoU, LF, Quarterly progress reports have been uploaded on CARE Insite. If required, it can be shared separately."/>
    <n v="13432"/>
    <n v="20864"/>
    <n v="1.5533055390113162"/>
    <n v="0.57459797498511023"/>
    <n v="0.45226226993865032"/>
    <n v="7718"/>
    <n v="9436"/>
    <s v=""/>
    <n v="0"/>
    <n v="0"/>
    <s v=""/>
    <s v=""/>
    <n v="0"/>
    <n v="0"/>
    <s v=""/>
    <n v="1"/>
    <n v="3000"/>
    <n v="20864"/>
    <n v="6.9546666666666663"/>
    <s v=""/>
    <n v="0"/>
    <n v="0"/>
    <s v=""/>
    <s v=""/>
    <n v="0"/>
    <n v="0"/>
    <s v=""/>
    <s v="2. Sensitive"/>
    <s v="0. Unaware"/>
    <s v="1. Neutral"/>
    <s v="It did not develop any specific innovation"/>
    <s v="Little or no advocacy"/>
    <s v="It did not take tested solutions to scale"/>
  </r>
  <r>
    <x v="33"/>
    <x v="0"/>
    <n v="3022"/>
    <s v="Leveraging the Village Health, Sanitation and Nutrition Days (VHSNDs) to improve the reach of Community Health Workers in Bihar"/>
    <s v="India"/>
    <s v="CS135"/>
    <s v="CARE USA"/>
    <s v="Foundation"/>
    <s v="Bill &amp; Melinda Gates Foundation"/>
    <s v="Bill &amp; Melinda Gates Foundation"/>
    <m/>
    <m/>
    <m/>
    <m/>
    <m/>
    <m/>
    <m/>
    <m/>
    <m/>
    <m/>
    <m/>
    <m/>
    <m/>
    <m/>
    <m/>
    <m/>
    <m/>
    <m/>
    <m/>
    <m/>
    <m/>
    <m/>
    <m/>
    <m/>
    <m/>
    <m/>
    <m/>
    <m/>
    <m/>
    <m/>
    <m/>
    <m/>
    <m/>
    <m/>
    <m/>
    <m/>
    <m/>
    <m/>
    <m/>
    <m/>
    <m/>
    <m/>
    <m/>
    <m/>
    <m/>
    <d v="2014-11-21T00:00:00"/>
    <d v="2015-10-31T00:00:00"/>
    <d v="2017-12-31T00:00:00"/>
    <s v="Development Sexual, Reproductive and Maternal Health (SRMH)"/>
    <n v="999580"/>
    <s v="Dr.Hemant Shah"/>
    <s v="Chief of Party, Bihar Technical Support Program (TSU)"/>
    <s v="hshah@careindia.org"/>
    <s v="Sunil Babu"/>
    <s v="Senior Technical Director : SPM"/>
    <s v="sunilb@careindia.org"/>
    <s v="NO"/>
    <s v="YES"/>
    <s v="NO"/>
    <s v="To leverag Village Health, Sanitation and Nutrition Days (VHSNDs) to improve reach of Community Health Workers (CHWs) in Bihar for improving range and quality of services being delivered at VHSNDs."/>
    <s v="Sub-National"/>
    <s v="Piloted in 20 blocks spread across 14 districts of the state of Bihar, India"/>
    <s v="Pregnant women, Lactating mothers, New Born Babies, Infants and Children upto the age of 5 years, Eligible Couples,  all men and women in the community catchment seeking Family Planning services"/>
    <n v="1028455"/>
    <n v="317915"/>
    <n v="1346370"/>
    <n v="19715376"/>
    <n v="21313920"/>
    <n v="41029296"/>
    <s v="Direct Reach:  Total number of currently married women in age group of 15-49 and under five children of 20 selected blocks spread across 14 distircts of biharof Bihar._x000a_Indirect reach: Total rural population of 20 blocks of Bihar after subtracting direct reach._x000a_This project has important overlap with other projects in Bihar. In order to avoid double counting, the figures reported only include the participants that ARE NOT overlapped with other projects. Nonetheless, TOTAL FIGURES for this project in the FY (including overlap), would include the following:_x000a_DIRECT: 1,028,455 women&amp;girls 317,915 men&amp;boys = 1,346,370 total"/>
    <m/>
    <m/>
    <m/>
    <m/>
    <m/>
    <m/>
    <m/>
    <m/>
    <m/>
    <m/>
    <m/>
    <m/>
    <m/>
    <m/>
    <m/>
    <m/>
    <m/>
    <m/>
    <m/>
    <m/>
    <m/>
    <m/>
    <m/>
    <m/>
    <m/>
    <m/>
    <m/>
    <m/>
    <m/>
    <m/>
    <m/>
    <m/>
    <m/>
    <m/>
    <m/>
    <m/>
    <m/>
    <m/>
    <m/>
    <m/>
    <m/>
    <m/>
    <m/>
    <m/>
    <m/>
    <m/>
    <m/>
    <m/>
    <m/>
    <m/>
    <m/>
    <m/>
    <m/>
    <m/>
    <m/>
    <m/>
    <m/>
    <m/>
    <m/>
    <m/>
    <n v="132401"/>
    <n v="41811"/>
    <n v="174212"/>
    <m/>
    <m/>
    <m/>
    <m/>
    <m/>
    <m/>
    <m/>
    <m/>
    <m/>
    <m/>
    <m/>
    <m/>
    <m/>
    <m/>
    <m/>
    <m/>
    <m/>
    <m/>
    <m/>
    <m/>
    <m/>
    <m/>
    <m/>
    <m/>
    <m/>
    <m/>
    <m/>
    <m/>
    <m/>
    <m/>
    <m/>
    <m/>
    <m/>
    <m/>
    <m/>
    <m/>
    <m/>
    <m/>
    <m/>
    <s v="YES"/>
    <n v="174212"/>
    <n v="0.76"/>
    <m/>
    <m/>
    <m/>
    <m/>
    <m/>
    <m/>
    <m/>
    <m/>
    <m/>
    <m/>
    <m/>
    <m/>
    <m/>
    <m/>
    <m/>
    <m/>
    <m/>
    <m/>
    <m/>
    <m/>
    <m/>
    <m/>
    <m/>
    <m/>
    <m/>
    <m/>
    <m/>
    <m/>
    <m/>
    <m/>
    <s v="NO"/>
    <m/>
    <m/>
    <s v="NO"/>
    <s v="NO"/>
    <m/>
    <m/>
    <s v="This grant was for conducting a pilot, for which baseline and endline were completed in previous FY s. As government wanted to test operational approaches to scale up, the grant period was continued to enable CARE to support the government. No further evaluations are planned."/>
    <x v="1"/>
    <s v="NO"/>
    <s v="YES"/>
    <s v="YES"/>
    <s v="YES"/>
    <s v="YES"/>
    <s v="YES"/>
    <s v="NO"/>
    <s v="NO"/>
    <m/>
    <x v="1"/>
    <m/>
    <x v="1"/>
    <m/>
    <x v="0"/>
    <x v="0"/>
    <s v="YES"/>
    <x v="0"/>
    <x v="0"/>
    <x v="0"/>
    <x v="0"/>
    <n v="4"/>
    <x v="1"/>
    <x v="0"/>
    <x v="1"/>
    <x v="1"/>
    <x v="1"/>
    <x v="1"/>
    <n v="3"/>
    <x v="1"/>
    <x v="1"/>
    <x v="1"/>
    <x v="1"/>
    <x v="1"/>
    <n v="3"/>
    <x v="2"/>
    <x v="0"/>
    <m/>
    <s v="International NGO(s)"/>
    <s v="Local alliance(s)/Platform(s)/Network(s) of  NGOs/CSOs"/>
    <s v="Local government(s)"/>
    <x v="2"/>
    <m/>
    <s v="The project has formed the foundation for advocacy efforts around strengthening the VHSND platform for effective delivery of key health services by the Government of Bihar, who have adopted the learnings and are in turn conducting a pilot themselves across 9 blocks to scale up the interventions across the entire state of Bihar"/>
    <m/>
    <m/>
    <m/>
    <m/>
    <m/>
    <m/>
    <s v="This project has important overlap with other projects in Bihar. In order to avoid double counting, the figures reported only include the participants that ARE NOT overlapped with other projects. Nonetheless, TOTAL FIGURES for this project in the FY (including overlap), would include the following:_x000a_DIRECT: 1,028,455 women&amp;girls 317,915 men&amp;boys = 1,346,370 total_x000a_INDIRECT: 19,715,376 women&amp;girls 21,313,920  men&amp;boys 41,029,296 total_x000a_The project initially piloted in a smaller geography is now set to be scaled up across the state. During the reporting period, this project has been in a duration-extension phase, awaiting completion of operational approach testing by the state government, which is completed now and scale up guidelines are issued."/>
    <s v="VHSND Pilot proposal, interim and Final reports (in August 2017)"/>
    <n v="174212"/>
    <n v="0"/>
    <n v="0"/>
    <n v="0.7599993111840746"/>
    <s v=""/>
    <n v="132401"/>
    <n v="0"/>
    <s v=""/>
    <n v="0"/>
    <n v="0"/>
    <s v=""/>
    <s v=""/>
    <n v="0"/>
    <n v="0"/>
    <s v=""/>
    <s v=""/>
    <n v="0"/>
    <n v="0"/>
    <s v=""/>
    <s v=""/>
    <n v="0"/>
    <n v="0"/>
    <s v=""/>
    <s v=""/>
    <n v="0"/>
    <n v="0"/>
    <s v=""/>
    <s v="2. Sensitive"/>
    <s v="2. Accommodating"/>
    <s v="2. Sensitive"/>
    <s v="It tested new ways for fighting poverty, but did not measure results of innovation"/>
    <s v="Moderate advocacy"/>
    <s v="It linked and worked with strategic alliances and partners to take tested and effective solutions to scale"/>
  </r>
  <r>
    <x v="33"/>
    <x v="0"/>
    <n v="3015"/>
    <s v="Madhya Pradesh Nutrition Project (MPNP)"/>
    <s v="India"/>
    <n v="3015"/>
    <s v="CARE India"/>
    <s v="Corporation"/>
    <s v="Other"/>
    <s v="Cargill Foundation"/>
    <m/>
    <m/>
    <m/>
    <m/>
    <m/>
    <m/>
    <m/>
    <m/>
    <m/>
    <m/>
    <m/>
    <m/>
    <m/>
    <m/>
    <m/>
    <m/>
    <m/>
    <m/>
    <m/>
    <m/>
    <m/>
    <m/>
    <m/>
    <m/>
    <m/>
    <m/>
    <m/>
    <m/>
    <m/>
    <m/>
    <m/>
    <m/>
    <m/>
    <m/>
    <m/>
    <m/>
    <m/>
    <m/>
    <m/>
    <m/>
    <m/>
    <m/>
    <m/>
    <m/>
    <m/>
    <d v="2013-03-01T00:00:00"/>
    <d v="2015-02-28T00:00:00"/>
    <d v="2017-05-31T00:00:00"/>
    <s v="Development Food &amp; Nutrition Security and Resilience to Climate Change"/>
    <n v="2013500"/>
    <s v="Biswa Ranjan Patnaik"/>
    <s v="Reginal Project Director"/>
    <s v="bpatnaik@careindia.org"/>
    <s v="Dr. Jayanta Upadhyay"/>
    <s v="Project Manager"/>
    <s v="jupadhyay@careindia.org"/>
    <s v="NO"/>
    <s v="YES"/>
    <s v="NO"/>
    <s v="Reduce number of underwieght and severly underweight among U5 children in 3 high burden districts of Madhya Pradesh, India."/>
    <s v="Sub-National"/>
    <s v="Tikamgarh, Chattarpur and Panna districts of Madhya Pradesh"/>
    <s v="Children 0 -6 years, Pregnant women, Lactating mothers, Men and boys"/>
    <n v="103575"/>
    <n v="73550"/>
    <n v="177125"/>
    <n v="475466"/>
    <n v="240000"/>
    <n v="715466"/>
    <s v="Direct paeticipants: _x000a_Children 0 -6 years are calculated from the ICDS survey data. Pregnant women, Lactating mothers  are calculated through the formula to find out total number of prengant women in specific population. Based on the formula, expected pregnancy in three intervention blocs were calculated.  (Total Population * Crude birth rate/ 1000). Estimation is done for the project life cycle of three years till 2010. _x000a__x000a_Indirect Participants: Parents of children in 0-6 years age group, Husband of pregnanct and lactating women, 504 Angwadi workers and ICDS staffs were calculated as indirect participants."/>
    <m/>
    <m/>
    <m/>
    <m/>
    <m/>
    <m/>
    <m/>
    <m/>
    <m/>
    <m/>
    <m/>
    <m/>
    <m/>
    <m/>
    <m/>
    <m/>
    <m/>
    <m/>
    <m/>
    <m/>
    <m/>
    <m/>
    <m/>
    <m/>
    <m/>
    <m/>
    <m/>
    <m/>
    <m/>
    <m/>
    <m/>
    <m/>
    <m/>
    <m/>
    <m/>
    <m/>
    <m/>
    <m/>
    <m/>
    <m/>
    <m/>
    <m/>
    <m/>
    <m/>
    <m/>
    <m/>
    <m/>
    <m/>
    <m/>
    <m/>
    <m/>
    <m/>
    <m/>
    <m/>
    <m/>
    <m/>
    <m/>
    <m/>
    <m/>
    <m/>
    <n v="103575"/>
    <n v="73550"/>
    <n v="177125"/>
    <n v="475466"/>
    <n v="240000"/>
    <n v="715466"/>
    <m/>
    <m/>
    <m/>
    <m/>
    <m/>
    <m/>
    <m/>
    <m/>
    <m/>
    <m/>
    <m/>
    <m/>
    <m/>
    <m/>
    <m/>
    <m/>
    <m/>
    <m/>
    <m/>
    <m/>
    <m/>
    <m/>
    <m/>
    <m/>
    <s v="YES"/>
    <n v="177125"/>
    <n v="0.59"/>
    <n v="715466"/>
    <m/>
    <m/>
    <m/>
    <m/>
    <s v="YES"/>
    <n v="177125"/>
    <n v="0.59"/>
    <n v="715466"/>
    <m/>
    <m/>
    <m/>
    <m/>
    <m/>
    <m/>
    <m/>
    <m/>
    <m/>
    <m/>
    <m/>
    <m/>
    <m/>
    <m/>
    <m/>
    <m/>
    <m/>
    <m/>
    <m/>
    <m/>
    <m/>
    <m/>
    <m/>
    <m/>
    <m/>
    <m/>
    <m/>
    <m/>
    <m/>
    <m/>
    <m/>
    <m/>
    <m/>
    <s v="YES"/>
    <s v="April"/>
    <n v="2017"/>
    <s v="NO"/>
    <s v="NO"/>
    <m/>
    <m/>
    <s v="Project closed in May 2017"/>
    <x v="1"/>
    <s v="NO"/>
    <m/>
    <s v="YES"/>
    <s v="YES"/>
    <m/>
    <m/>
    <m/>
    <m/>
    <m/>
    <x v="0"/>
    <m/>
    <x v="0"/>
    <m/>
    <x v="0"/>
    <x v="1"/>
    <s v="YES"/>
    <x v="0"/>
    <x v="0"/>
    <x v="1"/>
    <x v="4"/>
    <n v="3"/>
    <x v="1"/>
    <x v="1"/>
    <x v="1"/>
    <x v="1"/>
    <x v="1"/>
    <x v="1"/>
    <n v="4"/>
    <x v="1"/>
    <x v="2"/>
    <x v="1"/>
    <x v="2"/>
    <x v="3"/>
    <n v="1"/>
    <x v="2"/>
    <x v="3"/>
    <n v="5"/>
    <s v="Local NGO(s)/CSO(s)"/>
    <s v="Local NGO(s)/CSO(s)"/>
    <s v="Local NGO(s)/CSO(s)"/>
    <x v="2"/>
    <s v="Built capacities in financial and project management. Improved technical and operational understanding of community based nutrition projects"/>
    <s v="Built local capacities for sustenance of the gains made out of this project"/>
    <s v="Scaling down of  direct intervention form  300 to 76 villages and focus  more on government system stregthening."/>
    <s v="Building the capacities of government front line workers engaged in long term effort to reduce malnutrition"/>
    <s v="Efforts made to sensitize government officials on poor quality of data genearted by the system and how data quality can be improved."/>
    <s v="For sustenability of gains made through direct project interventions, strengthening government system is absolutely necessary"/>
    <s v="Community based monitoring system remains weak that demands focussed attention by government and civil societies organization"/>
    <s v="A differential startegy needed to reduce vulnerability of children who are prone to be malnourished due to distressed migration of their parents."/>
    <s v="The project strategy to partially work throught direct intervention by project staff and indirectly through governmnet system worked well."/>
    <s v="Evaluation report conforms that the project has accomplished its intended objectives."/>
    <n v="177125"/>
    <n v="715466"/>
    <n v="4.0393281580804521"/>
    <n v="0.58475652787579391"/>
    <n v="0.66455429049039372"/>
    <n v="103575"/>
    <n v="475466"/>
    <s v=""/>
    <n v="0"/>
    <n v="0"/>
    <s v=""/>
    <n v="1"/>
    <n v="177125"/>
    <n v="715466"/>
    <n v="4.0393281580804521"/>
    <s v=""/>
    <n v="0"/>
    <n v="0"/>
    <s v=""/>
    <s v=""/>
    <n v="0"/>
    <n v="0"/>
    <s v=""/>
    <s v=""/>
    <n v="0"/>
    <n v="0"/>
    <s v=""/>
    <s v="3. Responsive"/>
    <s v="2. Accommodating"/>
    <s v="1. Neutral"/>
    <s v="It did not develop any specific innovation"/>
    <s v="Moderate advocacy"/>
    <s v="It did not take tested solutions to scale"/>
  </r>
  <r>
    <x v="33"/>
    <x v="0"/>
    <m/>
    <s v="Maitri - Regional Advocacy Project (PCTFI cohort 3)"/>
    <s v="India"/>
    <s v="CS198"/>
    <s v="CARE India"/>
    <s v="Foundation"/>
    <s v="Other"/>
    <s v="Patsy Collins Trust Fund Initiative (PCTFI)"/>
    <m/>
    <m/>
    <m/>
    <m/>
    <m/>
    <m/>
    <m/>
    <m/>
    <m/>
    <m/>
    <m/>
    <m/>
    <m/>
    <m/>
    <m/>
    <m/>
    <m/>
    <m/>
    <m/>
    <m/>
    <m/>
    <m/>
    <m/>
    <m/>
    <m/>
    <m/>
    <m/>
    <m/>
    <m/>
    <m/>
    <m/>
    <m/>
    <m/>
    <m/>
    <m/>
    <m/>
    <m/>
    <m/>
    <m/>
    <m/>
    <m/>
    <m/>
    <m/>
    <m/>
    <m/>
    <d v="2016-08-01T00:00:00"/>
    <d v="2018-06-30T00:00:00"/>
    <m/>
    <s v="Development Other"/>
    <n v="201642"/>
    <s v="Seema Rajput"/>
    <s v="Technical Specialist"/>
    <s v="srajput@careindia.org"/>
    <s v="Vandana Mishra"/>
    <s v="Program Manager"/>
    <s v="vmishra@careindia.org"/>
    <s v="NO"/>
    <s v="YES"/>
    <s v="NO"/>
    <s v="Dalit girls in selected regions of India and Nepal  have access to safe and secure education that enables them to develop necessary skills for improved life opportunities.”"/>
    <s v="Regional"/>
    <s v="Bahraich district of Uttar Pradesh (This project is also implemented in two districts of Nepal by CARE Nepal)"/>
    <s v="Girls especially from dalit and marginalised communities"/>
    <n v="4075"/>
    <n v="2165"/>
    <n v="6240"/>
    <n v="73354"/>
    <n v="77170"/>
    <n v="150524"/>
    <s v="Direct participants: The direct figure includes girls from 20 collectives, teachers and SMC members who were the part of different training programs and meetings during the reporting period.                                                          Indirect particpants: The indirect figure includes children of Upper Primary Schools and their parents ( intervention blocks)."/>
    <m/>
    <m/>
    <m/>
    <m/>
    <m/>
    <m/>
    <m/>
    <m/>
    <m/>
    <m/>
    <m/>
    <m/>
    <m/>
    <m/>
    <m/>
    <m/>
    <m/>
    <m/>
    <m/>
    <m/>
    <m/>
    <m/>
    <m/>
    <m/>
    <m/>
    <m/>
    <m/>
    <m/>
    <m/>
    <m/>
    <m/>
    <m/>
    <m/>
    <m/>
    <m/>
    <m/>
    <m/>
    <m/>
    <m/>
    <m/>
    <m/>
    <m/>
    <m/>
    <m/>
    <m/>
    <m/>
    <m/>
    <m/>
    <m/>
    <m/>
    <m/>
    <m/>
    <m/>
    <m/>
    <m/>
    <m/>
    <m/>
    <m/>
    <m/>
    <m/>
    <n v="3351"/>
    <n v="2699"/>
    <n v="6050"/>
    <n v="73354"/>
    <n v="77170"/>
    <n v="150524"/>
    <m/>
    <m/>
    <m/>
    <m/>
    <m/>
    <m/>
    <m/>
    <m/>
    <m/>
    <m/>
    <m/>
    <m/>
    <m/>
    <m/>
    <m/>
    <m/>
    <m/>
    <m/>
    <m/>
    <m/>
    <s v="YES"/>
    <n v="6050"/>
    <n v="0.55000000000000004"/>
    <n v="150524"/>
    <m/>
    <m/>
    <m/>
    <m/>
    <m/>
    <m/>
    <m/>
    <m/>
    <m/>
    <m/>
    <m/>
    <m/>
    <m/>
    <m/>
    <m/>
    <m/>
    <m/>
    <m/>
    <m/>
    <m/>
    <m/>
    <m/>
    <m/>
    <m/>
    <m/>
    <m/>
    <m/>
    <m/>
    <m/>
    <m/>
    <m/>
    <m/>
    <m/>
    <m/>
    <m/>
    <m/>
    <m/>
    <m/>
    <m/>
    <m/>
    <m/>
    <m/>
    <m/>
    <m/>
    <m/>
    <s v="YES"/>
    <s v="March"/>
    <n v="2017"/>
    <s v="NO"/>
    <s v="NO"/>
    <m/>
    <m/>
    <m/>
    <x v="2"/>
    <s v="YES"/>
    <m/>
    <s v="YES"/>
    <s v="YES"/>
    <m/>
    <m/>
    <m/>
    <m/>
    <m/>
    <x v="0"/>
    <m/>
    <x v="0"/>
    <m/>
    <x v="0"/>
    <x v="1"/>
    <s v="YES"/>
    <x v="0"/>
    <x v="0"/>
    <x v="0"/>
    <x v="2"/>
    <n v="4"/>
    <x v="2"/>
    <x v="1"/>
    <x v="1"/>
    <x v="1"/>
    <x v="2"/>
    <x v="5"/>
    <n v="3"/>
    <x v="3"/>
    <x v="2"/>
    <x v="1"/>
    <x v="1"/>
    <x v="5"/>
    <n v="2"/>
    <x v="2"/>
    <x v="1"/>
    <n v="1"/>
    <s v="Local government(s)"/>
    <m/>
    <m/>
    <x v="1"/>
    <m/>
    <m/>
    <s v="Establishment of &quot;Regional Forum for Advocacy&quot;"/>
    <s v="Training of Girls' collectives on &quot;Participatory Action Research&quot; to identify issues prevailing in their community which are hampering the growth and to draw critical path for solving the issue."/>
    <s v="Collection of evidences for advocacy from the commuity via enganging the community itself and IEC event to sensitize them"/>
    <s v="The exposure visit to &quot;Women Power Line&quot;, boosted the confidence of girls. They experienced that girls of similar background (as they have) are working there which inspired them to become independent in future, they learned few techniques of self-defence and built faith in government system that their complain will be recorded and action will be taken, as they saw the handling of complains by personnel in WPL.  Further, it is a learning for us as well, that these kind of exposure visits will be  helpful in building confidence among girls and to mitigate their issues related with safety and security."/>
    <s v="Through &quot;Public Hearing&quot; event issues related with safety and security recorded and different government and education functionaries witnessed the same."/>
    <s v="Challenges faced in evidence collection due to lack of research apptitde among the girls, lack of skill to retrieve information from community, poor documentation and data collection skills"/>
    <m/>
    <m/>
    <n v="6050"/>
    <n v="150524"/>
    <n v="24.88"/>
    <n v="0.55388429752066115"/>
    <n v="0.48732428051340648"/>
    <n v="3351"/>
    <n v="73354"/>
    <s v=""/>
    <n v="0"/>
    <n v="0"/>
    <s v=""/>
    <s v=""/>
    <n v="0"/>
    <n v="0"/>
    <s v=""/>
    <s v=""/>
    <n v="0"/>
    <n v="0"/>
    <s v=""/>
    <s v=""/>
    <n v="0"/>
    <n v="0"/>
    <s v=""/>
    <s v=""/>
    <n v="0"/>
    <n v="0"/>
    <s v=""/>
    <s v="4. Transformative"/>
    <s v="3. Responsive"/>
    <s v="3. Responsive"/>
    <s v="It did not develop any specific innovation"/>
    <s v="Intensive advocacy"/>
    <s v="It did not take tested solutions to scale"/>
  </r>
  <r>
    <x v="33"/>
    <x v="0"/>
    <n v="3017"/>
    <s v="National Level Technical Support to National Rural Livelihoods Mission (NRLM) to Integrate Health Interventions in Self-Help Groups"/>
    <s v="India"/>
    <s v="CS125"/>
    <s v="CARE India"/>
    <s v="Foundation"/>
    <s v="Bill &amp; Melinda Gates Foundation"/>
    <s v="Bill &amp; Melinda Gates Foundation"/>
    <m/>
    <m/>
    <m/>
    <m/>
    <m/>
    <m/>
    <m/>
    <m/>
    <m/>
    <m/>
    <m/>
    <m/>
    <m/>
    <m/>
    <m/>
    <m/>
    <m/>
    <m/>
    <m/>
    <m/>
    <m/>
    <m/>
    <m/>
    <m/>
    <m/>
    <m/>
    <m/>
    <m/>
    <m/>
    <m/>
    <m/>
    <m/>
    <m/>
    <m/>
    <m/>
    <m/>
    <m/>
    <m/>
    <m/>
    <m/>
    <m/>
    <m/>
    <m/>
    <m/>
    <m/>
    <d v="2014-10-06T00:00:00"/>
    <d v="2017-09-30T00:00:00"/>
    <d v="2018-03-31T00:00:00"/>
    <s v="Development Sexual, Reproductive and Maternal Health (SRMH)"/>
    <n v="999986"/>
    <s v="Ratna Mathur"/>
    <s v="Deputy Program Director"/>
    <s v="rmathur@careindia.org"/>
    <s v="Ravi Subbiah"/>
    <s v="Director Health"/>
    <s v="rsubbiah@careindia.org"/>
    <s v="NO"/>
    <s v="YES"/>
    <s v="NO"/>
    <s v="Provide national level technical support to the National Rural Livelihoods Mission (NRLM) in order to strengthen health, nutrition, and social inclusion strategies in its programming with community platforms"/>
    <s v="National"/>
    <s v="the project is focussed on rural areas across all states of the country, particularly Bihar, Chattisgarh, Uttar Pradesh, Jharkhand, West Bengal, Odisha, Maharashtra"/>
    <s v="Women's Selh Help Groups in rural areas"/>
    <m/>
    <m/>
    <m/>
    <m/>
    <m/>
    <m/>
    <m/>
    <m/>
    <m/>
    <m/>
    <m/>
    <m/>
    <m/>
    <m/>
    <m/>
    <m/>
    <m/>
    <m/>
    <m/>
    <m/>
    <m/>
    <m/>
    <m/>
    <m/>
    <m/>
    <m/>
    <m/>
    <m/>
    <m/>
    <m/>
    <m/>
    <m/>
    <m/>
    <m/>
    <m/>
    <m/>
    <m/>
    <m/>
    <m/>
    <m/>
    <m/>
    <m/>
    <m/>
    <m/>
    <m/>
    <m/>
    <m/>
    <m/>
    <m/>
    <m/>
    <m/>
    <m/>
    <m/>
    <m/>
    <m/>
    <m/>
    <m/>
    <m/>
    <m/>
    <m/>
    <m/>
    <m/>
    <m/>
    <m/>
    <m/>
    <m/>
    <m/>
    <m/>
    <m/>
    <m/>
    <m/>
    <m/>
    <m/>
    <m/>
    <m/>
    <m/>
    <m/>
    <m/>
    <m/>
    <m/>
    <m/>
    <m/>
    <m/>
    <m/>
    <m/>
    <m/>
    <m/>
    <m/>
    <m/>
    <m/>
    <m/>
    <m/>
    <m/>
    <m/>
    <m/>
    <m/>
    <m/>
    <s v="YES"/>
    <m/>
    <m/>
    <m/>
    <m/>
    <m/>
    <m/>
    <m/>
    <m/>
    <m/>
    <m/>
    <m/>
    <s v="YES"/>
    <m/>
    <m/>
    <m/>
    <m/>
    <m/>
    <m/>
    <m/>
    <m/>
    <m/>
    <m/>
    <m/>
    <m/>
    <m/>
    <m/>
    <m/>
    <s v="YES"/>
    <m/>
    <m/>
    <m/>
    <s v="YES"/>
    <m/>
    <m/>
    <m/>
    <m/>
    <m/>
    <m/>
    <m/>
    <m/>
    <m/>
    <m/>
    <m/>
    <m/>
    <s v="NO"/>
    <m/>
    <m/>
    <s v="NO"/>
    <s v="NO"/>
    <m/>
    <m/>
    <m/>
    <x v="2"/>
    <s v="YES"/>
    <s v="NO"/>
    <s v="YES"/>
    <s v="YES"/>
    <s v="YES"/>
    <s v="NO"/>
    <s v="YES"/>
    <s v="NO"/>
    <m/>
    <x v="0"/>
    <m/>
    <x v="1"/>
    <m/>
    <x v="0"/>
    <x v="1"/>
    <s v="NO"/>
    <x v="0"/>
    <x v="0"/>
    <x v="0"/>
    <x v="4"/>
    <n v="3"/>
    <x v="2"/>
    <x v="1"/>
    <x v="1"/>
    <x v="1"/>
    <x v="2"/>
    <x v="5"/>
    <n v="3"/>
    <x v="3"/>
    <x v="2"/>
    <x v="1"/>
    <x v="1"/>
    <x v="5"/>
    <n v="2"/>
    <x v="2"/>
    <x v="2"/>
    <n v="1"/>
    <s v="Local government(s)"/>
    <m/>
    <m/>
    <x v="0"/>
    <s v="The project worked with Women's Self Help Groups and their Federations; and built their capacity to demand for better health, nutrition and WASH Services, and also adopt appropriate behaviours impacting sexual, maternal and child health."/>
    <s v="1. The contributions of the TST led to the Government of India requesting CARE India to place an expanded Team at the Ministry, so as to increase the support to the Mission in the areas of Sexual, Maternal and Child Health; and WASH.                2. Two Members of the TST moved onto other Programmes in the Mission, reducing the TST to a 1 Member Team for a temporary period."/>
    <s v="Understanding the NRLM system and requirements"/>
    <s v="Supporting the NRLM develop institutional mechanisms, systems, and capacities to integrate inclusive health, nutrition, and social inclusion strategies in its programming"/>
    <s v="Building capacities staff at state level to promote health and nutrition strategies in NRLM programming"/>
    <s v="Core understanding of government system and ability to tap opportunities provided by the system requires agility and technical rigour to influence policies"/>
    <s v="The Federal System of the Government, leading to some States moving ahead earlier with Project supported Interventions"/>
    <s v="Convergence of the Mission with related Ministries of the Government needs dedicated time and skills at all levels - Centre, State, District and Block Levels."/>
    <s v="The nature of the project was conceptulaized to evolve in response to needs of the National Rural Health Mission (NRLM). The flexibility provided by the donor allowed CARE India to take up the opportunities provided inspite of severe challenges during the course of the year. The year was marked by extensive changes in the leadership, approach, policy, and funding pattern of NRLM, and CARE India's technical support to NRLM had to be calibrated to be in sync with the larger policy shifts in direction pertaining to the role and mandate of NRLM in the overall efforts of government to fight poverty. These changes have impacted the process of implementation of the project, and thus, the agility and coordination required to ensure effectiveness of this investment and support. Towards the end of Year 1, from July 2015 onwards, NRLM made a series of changes in its approach – the most significant and positive change being universalization of health, nutrition, social inclusion as its core approach – and this project directly contributes to this through development of the concepts, appropriate"/>
    <m/>
    <n v="0"/>
    <n v="0"/>
    <s v=""/>
    <s v=""/>
    <s v=""/>
    <n v="0"/>
    <n v="0"/>
    <s v=""/>
    <n v="0"/>
    <n v="0"/>
    <s v=""/>
    <n v="1"/>
    <n v="0"/>
    <n v="0"/>
    <s v=""/>
    <n v="1"/>
    <n v="0"/>
    <n v="0"/>
    <s v=""/>
    <s v=""/>
    <n v="0"/>
    <n v="0"/>
    <s v=""/>
    <s v=""/>
    <n v="0"/>
    <n v="0"/>
    <s v=""/>
    <s v="3. Responsive"/>
    <s v="3. Responsive"/>
    <s v="3. Responsive"/>
    <s v="It did not develop any specific innovation"/>
    <s v="Intensive advocacy"/>
    <s v="It linked and worked with strategic alliances and partners to take tested and effective solutions to scale"/>
  </r>
  <r>
    <x v="33"/>
    <x v="0"/>
    <n v="3016"/>
    <s v="New Born Survival Project (NBSP)"/>
    <s v="India"/>
    <s v="CS158"/>
    <s v="CARE India"/>
    <s v="Corporation"/>
    <s v="Other"/>
    <s v="GlaxoSmithKline (GSK)"/>
    <m/>
    <m/>
    <m/>
    <m/>
    <m/>
    <m/>
    <m/>
    <m/>
    <m/>
    <m/>
    <m/>
    <m/>
    <m/>
    <m/>
    <m/>
    <m/>
    <m/>
    <m/>
    <m/>
    <m/>
    <m/>
    <m/>
    <m/>
    <m/>
    <m/>
    <m/>
    <m/>
    <m/>
    <m/>
    <m/>
    <m/>
    <m/>
    <m/>
    <m/>
    <m/>
    <m/>
    <m/>
    <m/>
    <m/>
    <m/>
    <m/>
    <m/>
    <m/>
    <m/>
    <m/>
    <d v="2015-10-01T00:00:00"/>
    <d v="2017-09-30T00:00:00"/>
    <d v="2017-12-31T00:00:00"/>
    <s v="Development Sexual, Reproductive and Maternal Health (SRMH)"/>
    <n v="325000"/>
    <s v="Dr. Sribash Chandra Saha"/>
    <s v="Project Manager"/>
    <s v="scsaha@careindia.org"/>
    <s v="Md Faiz Alam Ashrafi"/>
    <s v="Monitoring &amp; Evaluation Officer"/>
    <s v="faiz@careindia.org"/>
    <s v="NO"/>
    <s v="YES"/>
    <s v="NO"/>
    <s v="To reduce newborn mortality among poor and marginalized community in panna district of Madhya Pradesh."/>
    <s v="Sub-National"/>
    <s v="The  intervention area is at Ajaygarh block of Panna District,  Madhya Pradesh."/>
    <s v="The main target group of the intervention are_x000a_                                                                                                         1.  Pregnant Woman_x000a_                                                                                                         2.  Lactating Woman _x000a_                                                                                                         3.  Newborn"/>
    <n v="22000"/>
    <m/>
    <n v="22000"/>
    <n v="71914"/>
    <n v="81887"/>
    <n v="153801"/>
    <s v="Direct participants are the total number of head count of population who are reached with delivery of services or goods, resources or other._x000a_Indirect participants in projects should includes all individuals who are NOT directly involved in project activities, who DO NOT receive direct support, services, goods, resources from the project BUT are still impacted in some way by the project as they are the household members of direct participants. It is calculated by mutiplying the total number of direct participants with 5. sex disaggregation is done on the basis of sex ratio i.e. 874 females per 1000 male."/>
    <m/>
    <m/>
    <m/>
    <m/>
    <m/>
    <m/>
    <m/>
    <m/>
    <m/>
    <m/>
    <m/>
    <m/>
    <m/>
    <m/>
    <m/>
    <m/>
    <m/>
    <m/>
    <m/>
    <m/>
    <m/>
    <m/>
    <m/>
    <m/>
    <m/>
    <m/>
    <m/>
    <m/>
    <m/>
    <m/>
    <m/>
    <m/>
    <m/>
    <m/>
    <m/>
    <m/>
    <m/>
    <m/>
    <m/>
    <m/>
    <m/>
    <m/>
    <m/>
    <m/>
    <m/>
    <m/>
    <m/>
    <m/>
    <m/>
    <m/>
    <m/>
    <m/>
    <m/>
    <m/>
    <m/>
    <m/>
    <m/>
    <m/>
    <m/>
    <m/>
    <n v="13280"/>
    <n v="534"/>
    <n v="13814"/>
    <n v="32214"/>
    <n v="36856"/>
    <n v="69070"/>
    <s v="NO"/>
    <m/>
    <m/>
    <m/>
    <s v="NO"/>
    <m/>
    <m/>
    <m/>
    <s v="NO"/>
    <m/>
    <m/>
    <m/>
    <s v="NO"/>
    <m/>
    <m/>
    <m/>
    <s v="NO"/>
    <m/>
    <m/>
    <m/>
    <s v="NO"/>
    <m/>
    <m/>
    <m/>
    <s v="NO"/>
    <m/>
    <m/>
    <m/>
    <s v="NO"/>
    <m/>
    <m/>
    <m/>
    <s v="YES"/>
    <n v="4223"/>
    <n v="0.87350000000000005"/>
    <n v="21115"/>
    <s v="YES"/>
    <n v="1170"/>
    <n v="1"/>
    <n v="5850"/>
    <s v="NO"/>
    <m/>
    <m/>
    <m/>
    <s v="NO"/>
    <m/>
    <m/>
    <m/>
    <s v="NO"/>
    <m/>
    <m/>
    <m/>
    <s v="YES"/>
    <n v="13280"/>
    <n v="1"/>
    <n v="66400"/>
    <s v="NO"/>
    <m/>
    <m/>
    <m/>
    <s v="NO"/>
    <m/>
    <m/>
    <m/>
    <m/>
    <m/>
    <m/>
    <m/>
    <m/>
    <s v="NO"/>
    <m/>
    <m/>
    <s v="NO"/>
    <s v="YES"/>
    <s v="November"/>
    <n v="2017"/>
    <m/>
    <x v="1"/>
    <s v="NO"/>
    <s v="NO"/>
    <s v="YES"/>
    <s v="YES"/>
    <s v="YES"/>
    <s v="YES"/>
    <s v="NO"/>
    <m/>
    <m/>
    <x v="0"/>
    <m/>
    <x v="3"/>
    <s v="Management of Low Birth Weight (LBWs) babies by providing them with KMC (Kangaroo Mother Care)_x000a_Strengthening of VHSCs (Village Health and Sanitation Committees) for better coordination in seeking health care among the villagers"/>
    <x v="1"/>
    <x v="1"/>
    <s v="YES"/>
    <x v="0"/>
    <x v="1"/>
    <x v="0"/>
    <x v="4"/>
    <n v="3"/>
    <x v="1"/>
    <x v="1"/>
    <x v="1"/>
    <x v="1"/>
    <x v="2"/>
    <x v="1"/>
    <n v="3"/>
    <x v="3"/>
    <x v="1"/>
    <x v="2"/>
    <x v="1"/>
    <x v="5"/>
    <n v="2"/>
    <x v="2"/>
    <x v="1"/>
    <m/>
    <m/>
    <m/>
    <m/>
    <x v="2"/>
    <s v="1. Forming mother groups in community with participation of Pregnant women and Lactating women_x000a_2. Awareness events at community level about the Pregnancy care and newborn care"/>
    <s v="Advocate and disseminate on gender related issues in all existing platform relevant to project activities."/>
    <s v="Establishing contact and coordination with local village level health workers and community representatives has enabled the project to roll out community based activities targeting maternal and newborn health"/>
    <s v="Prioritizing selection of field level staffs from the intervention block and distribution of villages based proximity to their home place has given advantage of better understanding of the intervention area and also ease of field coverage for the field staffs."/>
    <s v="For strategic advantage, project office was establsihed in the intervention block itself though it is a remote block with difficulties in support services and procurement."/>
    <s v="Formation of Mothers' Group as an advocacy and collective knoweldge sharing, seeking of health care is important for Rural Indian context"/>
    <s v="Proper tracking of Low Birth Weight babies help in inmproving the survival chances of such babies by early identification of any complication and consequent referral"/>
    <s v="Social rituals and Misconception in the society based on the years old practices are hinderance in changing the behaviour pattern of rural India particularly with reference to maternal and child health"/>
    <m/>
    <m/>
    <n v="13814"/>
    <n v="69070"/>
    <n v="5"/>
    <n v="0.96134356449978287"/>
    <n v="0.46639640943969884"/>
    <n v="13280"/>
    <n v="32214"/>
    <s v=""/>
    <n v="0"/>
    <n v="0"/>
    <s v=""/>
    <s v=""/>
    <n v="0"/>
    <n v="0"/>
    <s v=""/>
    <n v="1"/>
    <n v="13280"/>
    <n v="66400"/>
    <n v="5"/>
    <s v=""/>
    <n v="0"/>
    <n v="0"/>
    <s v=""/>
    <s v=""/>
    <n v="0"/>
    <n v="0"/>
    <s v=""/>
    <s v="3. Responsive"/>
    <s v="2. Accommodating"/>
    <s v="3. Responsive"/>
    <s v="It did not develop any specific innovation"/>
    <s v="Moderate advocacy"/>
    <s v="It took tested solutions to scale on its own"/>
  </r>
  <r>
    <x v="33"/>
    <x v="0"/>
    <n v="3003"/>
    <s v="Pragathi"/>
    <s v="India"/>
    <s v="CS206"/>
    <s v="CARE India"/>
    <s v="Foundation"/>
    <s v="Other"/>
    <s v="The Hans Foundation"/>
    <m/>
    <m/>
    <m/>
    <m/>
    <m/>
    <m/>
    <m/>
    <m/>
    <m/>
    <m/>
    <m/>
    <m/>
    <m/>
    <m/>
    <m/>
    <m/>
    <m/>
    <m/>
    <m/>
    <m/>
    <m/>
    <m/>
    <m/>
    <m/>
    <m/>
    <m/>
    <m/>
    <m/>
    <m/>
    <m/>
    <m/>
    <m/>
    <m/>
    <m/>
    <m/>
    <m/>
    <m/>
    <m/>
    <m/>
    <m/>
    <m/>
    <m/>
    <m/>
    <m/>
    <m/>
    <d v="2015-12-01T00:00:00"/>
    <d v="2016-10-01T00:00:00"/>
    <d v="2017-09-30T00:00:00"/>
    <s v="Development Other"/>
    <n v="263580"/>
    <s v="Ms. Seema Rajput"/>
    <s v="Technical Specialist-Girls Education Programme"/>
    <s v="srajput@careindia.org"/>
    <s v="Jainendra Kumar"/>
    <s v="Program Manager"/>
    <s v="jkumar@careindia.org"/>
    <s v="NO"/>
    <s v="YES"/>
    <s v="NO"/>
    <s v="Out of school children especially girls from Dalit Communities in selected districts of Bihar have age and grade appropriate learning levels and leadership skills to negotiate and continue education”"/>
    <s v="Sub-National"/>
    <s v="Bihar - Jehanabad, Gaya, Nalanda, Nawada districts"/>
    <s v="Out of school children aged between 8 to 11 years old, Educational volunteers, Head Teachers, Cluster Resource center Coordinators, Block Resource Persons, AIE Coordinators, District Program Officers (EE/SSA), State Resource Group and Community Members"/>
    <n v="3898"/>
    <n v="2846"/>
    <n v="6744"/>
    <n v="6432"/>
    <n v="6968"/>
    <n v="13400"/>
    <s v="The direct participants are children of age group 8-11 years, Educational volunteers, teachers in associated schools, head teachers, State Resource Group members,  Govt. functionaries, SMC members and parent &amp; guardians. _x000a__x000a_The indrect participants are out of school children in the four intervention districts through cluster/block and district level officials.[Each year Bihar Education Project Council conducts a survey to find out the total no. of OoSC in each of districts and identified no. and details are recorded to their book. Among these no. of OoSC CARE team works with few and selective children through Special Training Centers. The children are selected by particular block/cluster level officials. The rest are left untouched by us. Therefore, CARE train State Resource Group and District/Block/Cluster level officials to reach them. To know how these groups are working and what are their outcomes, these officials conduct a monthly meeting in which CARE also participates and try to know what is actually happening. As we focus only on the children therefore they are taken as Indirect participants where we reach through a group of medium. ]"/>
    <m/>
    <m/>
    <m/>
    <m/>
    <m/>
    <m/>
    <m/>
    <m/>
    <m/>
    <m/>
    <m/>
    <m/>
    <m/>
    <m/>
    <m/>
    <m/>
    <m/>
    <m/>
    <m/>
    <m/>
    <m/>
    <m/>
    <m/>
    <m/>
    <m/>
    <m/>
    <m/>
    <m/>
    <m/>
    <m/>
    <m/>
    <m/>
    <m/>
    <m/>
    <m/>
    <m/>
    <m/>
    <m/>
    <m/>
    <m/>
    <m/>
    <m/>
    <m/>
    <m/>
    <m/>
    <m/>
    <m/>
    <m/>
    <m/>
    <m/>
    <m/>
    <m/>
    <m/>
    <m/>
    <m/>
    <m/>
    <m/>
    <m/>
    <m/>
    <m/>
    <n v="1669"/>
    <n v="742"/>
    <n v="2411"/>
    <n v="2893"/>
    <n v="2995"/>
    <n v="5888"/>
    <m/>
    <m/>
    <m/>
    <m/>
    <m/>
    <m/>
    <m/>
    <m/>
    <m/>
    <m/>
    <m/>
    <m/>
    <m/>
    <m/>
    <m/>
    <m/>
    <m/>
    <m/>
    <m/>
    <m/>
    <s v="YES"/>
    <n v="2411"/>
    <n v="0.69"/>
    <n v="5888"/>
    <m/>
    <m/>
    <m/>
    <m/>
    <m/>
    <m/>
    <m/>
    <m/>
    <s v="YES"/>
    <m/>
    <m/>
    <m/>
    <m/>
    <m/>
    <m/>
    <m/>
    <m/>
    <m/>
    <m/>
    <m/>
    <m/>
    <m/>
    <m/>
    <m/>
    <m/>
    <m/>
    <m/>
    <m/>
    <m/>
    <m/>
    <m/>
    <m/>
    <m/>
    <m/>
    <m/>
    <m/>
    <m/>
    <m/>
    <m/>
    <m/>
    <m/>
    <m/>
    <m/>
    <m/>
    <m/>
    <s v="NO"/>
    <m/>
    <m/>
    <s v="NO"/>
    <s v="YES"/>
    <s v="September"/>
    <n v="2017"/>
    <s v="It will be endline assessment of project including interaction with children, Educational volunteers, school functionaries, district level education fucntionaries and community."/>
    <x v="1"/>
    <s v="NO"/>
    <s v="NO"/>
    <s v="YES"/>
    <s v="YES"/>
    <s v="NO"/>
    <s v="NO"/>
    <s v="NO"/>
    <s v="NO"/>
    <m/>
    <x v="0"/>
    <m/>
    <x v="3"/>
    <s v="The Govt. has organized joint trainings of State Resource Groups who were responsible to monitor, scale up of the program and provide trainings to the beneficiaries across state."/>
    <x v="0"/>
    <x v="0"/>
    <s v="YES"/>
    <x v="0"/>
    <x v="0"/>
    <x v="0"/>
    <x v="0"/>
    <n v="4"/>
    <x v="1"/>
    <x v="1"/>
    <x v="1"/>
    <x v="1"/>
    <x v="1"/>
    <x v="1"/>
    <n v="4"/>
    <x v="3"/>
    <x v="2"/>
    <x v="1"/>
    <x v="2"/>
    <x v="5"/>
    <n v="1"/>
    <x v="2"/>
    <x v="2"/>
    <n v="2"/>
    <s v="Local government(s)"/>
    <s v="Local alliance(s)/Platform(s)/Network(s) of  NGOs/CSOs"/>
    <m/>
    <x v="0"/>
    <s v="The project has partnered with RtE State Forum Chapter cosnisting of local NGOs to advocate the issues related to quality Education and Safety &amp; Security of children with State Govt."/>
    <s v="The on-site support to centers is a package which delivers the leadership ability amongst the children in terms of being more vibrant and able to raise their voice for their education, against social taboo and gender discrimiation and being the role model for others. Working with Educational volunteers and educational fucnationaries have sentized them for girls' education and providing mutliple opportunities for education and manistreaming them into the neighbourhood formal school systems. Approx 80% of chidlren have been manistreamed into the formal eductaion system where as 100% of the girls of previous batch are continuing their eductaion."/>
    <s v="Organzing community seminar"/>
    <s v="Training of System Functionaries"/>
    <s v="on-site support to centers"/>
    <s v="Regular training of the key stakeholders are very important to carry forward the planned activities."/>
    <s v="Training plan should be based on need of the participants and contextulaize to the local environment"/>
    <s v="Regular staff capacity building is very essential to take forward the agenda."/>
    <s v="Due to delay approval from donor, Closure of schools because of cold weather and delay in FCRA approval, the program has expereinces the up-downs and not been staedy."/>
    <s v="Proposal, MIS, progress reports, meeting minutes and Govt. Letters"/>
    <n v="2411"/>
    <n v="5888"/>
    <n v="2.4421401907922022"/>
    <n v="0.69224388220655331"/>
    <n v="0.4913383152173913"/>
    <n v="1669"/>
    <n v="2893"/>
    <s v=""/>
    <n v="0"/>
    <n v="0"/>
    <s v=""/>
    <s v=""/>
    <n v="0"/>
    <n v="0"/>
    <s v=""/>
    <s v=""/>
    <n v="0"/>
    <n v="0"/>
    <s v=""/>
    <s v=""/>
    <n v="0"/>
    <n v="0"/>
    <s v=""/>
    <s v=""/>
    <n v="0"/>
    <n v="0"/>
    <s v=""/>
    <s v="2. Sensitive"/>
    <s v="2. Accommodating"/>
    <s v="3. Responsive"/>
    <s v="It did not develop any specific innovation"/>
    <s v="Moderate advocacy"/>
    <s v="It took tested solutions to scale on its own"/>
  </r>
  <r>
    <x v="33"/>
    <x v="0"/>
    <n v="3038"/>
    <s v="Program Partnership Agreement (PPA) 4 Extension"/>
    <s v="India"/>
    <s v="CS187"/>
    <s v="CARE UK"/>
    <s v="Government"/>
    <s v="Government - UK"/>
    <s v="DFID"/>
    <m/>
    <m/>
    <m/>
    <m/>
    <m/>
    <m/>
    <m/>
    <m/>
    <m/>
    <m/>
    <m/>
    <m/>
    <m/>
    <m/>
    <m/>
    <m/>
    <m/>
    <m/>
    <m/>
    <m/>
    <m/>
    <m/>
    <m/>
    <m/>
    <m/>
    <m/>
    <m/>
    <m/>
    <m/>
    <m/>
    <m/>
    <m/>
    <m/>
    <m/>
    <m/>
    <m/>
    <m/>
    <m/>
    <m/>
    <m/>
    <m/>
    <m/>
    <m/>
    <m/>
    <m/>
    <d v="2014-10-01T00:00:00"/>
    <d v="2016-03-31T00:00:00"/>
    <d v="2016-12-31T00:00:00"/>
    <s v="Development Other"/>
    <n v="388839"/>
    <s v="Nabesh Bohidar"/>
    <s v="Program Manager"/>
    <s v="nbohidar@careindia.org"/>
    <m/>
    <m/>
    <m/>
    <s v="NO"/>
    <s v="YES"/>
    <s v="NO"/>
    <s v="Goal of the PPA agreement is to support institutional strengthening of CARE India with regards to Governance, Private sector Engagmement, in relation to social enterprises, and Knowledge Management. This will be accomplished through carrying out research, development of tools and publications as well as building capacity of programs in CARE India."/>
    <s v="Sub-National"/>
    <s v="As the project is focussed on carrying out research and bulding capacity for programming in CARE India, it does not have an independent area of operation, but strengthens existing programs, and builds strategies and approaches as well as capacities"/>
    <s v="There are no direct impact population for this project, as this project, strengthens exisiting projects and orgnaisational systems. Ultimately the strengthening will benefit all programs to be more inclusive and effective and thus will lead to long term impact among Dalits and Adivasis (especially women) in India."/>
    <m/>
    <m/>
    <m/>
    <m/>
    <m/>
    <m/>
    <s v="There are no specific participants in the project as this project strengthens organisational capcaity by building capacity of current CARE staff and by developing tools"/>
    <m/>
    <m/>
    <m/>
    <m/>
    <m/>
    <m/>
    <m/>
    <m/>
    <m/>
    <m/>
    <m/>
    <m/>
    <m/>
    <m/>
    <m/>
    <m/>
    <m/>
    <m/>
    <m/>
    <m/>
    <m/>
    <m/>
    <m/>
    <m/>
    <m/>
    <m/>
    <m/>
    <m/>
    <m/>
    <m/>
    <m/>
    <m/>
    <m/>
    <m/>
    <m/>
    <m/>
    <m/>
    <m/>
    <m/>
    <m/>
    <m/>
    <m/>
    <m/>
    <m/>
    <m/>
    <m/>
    <m/>
    <m/>
    <m/>
    <m/>
    <m/>
    <m/>
    <m/>
    <m/>
    <m/>
    <m/>
    <m/>
    <m/>
    <m/>
    <m/>
    <m/>
    <m/>
    <m/>
    <m/>
    <m/>
    <m/>
    <m/>
    <m/>
    <m/>
    <m/>
    <m/>
    <m/>
    <m/>
    <m/>
    <m/>
    <m/>
    <m/>
    <m/>
    <m/>
    <m/>
    <m/>
    <m/>
    <m/>
    <m/>
    <m/>
    <m/>
    <m/>
    <m/>
    <m/>
    <m/>
    <m/>
    <m/>
    <m/>
    <m/>
    <m/>
    <m/>
    <m/>
    <m/>
    <m/>
    <m/>
    <m/>
    <m/>
    <m/>
    <m/>
    <m/>
    <m/>
    <m/>
    <m/>
    <m/>
    <m/>
    <m/>
    <m/>
    <m/>
    <m/>
    <s v="YES"/>
    <m/>
    <m/>
    <m/>
    <m/>
    <m/>
    <m/>
    <m/>
    <m/>
    <m/>
    <m/>
    <m/>
    <s v="YES"/>
    <m/>
    <m/>
    <m/>
    <m/>
    <m/>
    <m/>
    <m/>
    <m/>
    <s v="NO"/>
    <m/>
    <m/>
    <s v="NO"/>
    <s v="NO"/>
    <m/>
    <m/>
    <m/>
    <x v="0"/>
    <m/>
    <m/>
    <m/>
    <m/>
    <m/>
    <m/>
    <m/>
    <m/>
    <m/>
    <x v="3"/>
    <m/>
    <x v="2"/>
    <m/>
    <x v="3"/>
    <x v="2"/>
    <m/>
    <x v="2"/>
    <x v="2"/>
    <x v="2"/>
    <x v="3"/>
    <n v="0"/>
    <x v="0"/>
    <x v="0"/>
    <x v="0"/>
    <x v="0"/>
    <x v="0"/>
    <x v="0"/>
    <n v="0"/>
    <x v="0"/>
    <x v="0"/>
    <x v="0"/>
    <x v="0"/>
    <x v="0"/>
    <n v="0"/>
    <x v="1"/>
    <x v="1"/>
    <m/>
    <m/>
    <m/>
    <m/>
    <x v="1"/>
    <m/>
    <m/>
    <m/>
    <m/>
    <m/>
    <m/>
    <m/>
    <m/>
    <s v="The project is an institutional strenthening project, that sought to strengthened projects around social entreprises and Governance, apart from strengthening CARE india's Impact Measurement systems. Evaluation was not carried out. As this was part of DFIDs global project for institutional strengthening, the donor evaluation was carried out by DFID. This project was not part of evaluation process."/>
    <s v="Some of the key documents in relation to strengtening inclusive governance within CARE India was the development of the CARE India Inclusive Goverannce Approach Document. Secondly, a field monitoring tool for monitoring Voice and Accountability of marginalized populations at spaces for negotiation was piloted and used."/>
    <n v="0"/>
    <n v="0"/>
    <s v=""/>
    <s v=""/>
    <s v=""/>
    <n v="0"/>
    <n v="0"/>
    <s v=""/>
    <n v="0"/>
    <n v="0"/>
    <s v=""/>
    <s v=""/>
    <n v="0"/>
    <n v="0"/>
    <s v=""/>
    <s v=""/>
    <n v="0"/>
    <n v="0"/>
    <s v=""/>
    <s v=""/>
    <n v="0"/>
    <n v="0"/>
    <s v=""/>
    <n v="1"/>
    <n v="0"/>
    <n v="0"/>
    <s v=""/>
    <s v="No marker score"/>
    <s v="No marker score"/>
    <s v="No marker score"/>
    <n v="0"/>
    <s v="Little or no advocacy"/>
    <n v="0"/>
  </r>
  <r>
    <x v="33"/>
    <x v="0"/>
    <m/>
    <s v="Project  SAATHI"/>
    <s v="India"/>
    <m/>
    <s v="CARE India"/>
    <s v="Other"/>
    <s v="Other"/>
    <s v="Cargill Foundation"/>
    <m/>
    <m/>
    <m/>
    <m/>
    <m/>
    <m/>
    <m/>
    <m/>
    <m/>
    <m/>
    <m/>
    <m/>
    <m/>
    <m/>
    <m/>
    <m/>
    <m/>
    <m/>
    <m/>
    <m/>
    <m/>
    <m/>
    <m/>
    <m/>
    <m/>
    <m/>
    <m/>
    <m/>
    <m/>
    <m/>
    <m/>
    <m/>
    <m/>
    <m/>
    <m/>
    <m/>
    <m/>
    <m/>
    <m/>
    <m/>
    <m/>
    <m/>
    <m/>
    <m/>
    <m/>
    <d v="2017-01-01T00:00:00"/>
    <d v="2017-12-31T00:00:00"/>
    <m/>
    <s v="Development Access to and Control over Economic Resources"/>
    <n v="233625"/>
    <s v="Ajith Kumar R"/>
    <s v="Project Manager"/>
    <s v="ajith@careindia.org"/>
    <m/>
    <m/>
    <m/>
    <s v="NO"/>
    <s v="YES"/>
    <s v="NO"/>
    <s v="Ensuring Early Childhood Care, Health and Economic Empowerment of Women Smallholders, Landless Workers and Adolescents"/>
    <s v="Sub-National"/>
    <s v="Bathinda, Punjab"/>
    <s v="Women small holders and landless, adolescent girls and boys and (0-6) yrs children,pregnant women, Employability and Remedial education"/>
    <n v="2824"/>
    <n v="2972"/>
    <n v="5382"/>
    <n v="3071"/>
    <n v="3321"/>
    <n v="6392"/>
    <s v="Direct participants are Women small holders and landless, adolescent girls and boys and (0-6) yrs children,pregnant women, Employability and Remedial education.                                            Indirect participants are Other men and women of the village other than the direct participants."/>
    <m/>
    <m/>
    <m/>
    <m/>
    <m/>
    <m/>
    <m/>
    <m/>
    <m/>
    <m/>
    <m/>
    <m/>
    <m/>
    <m/>
    <m/>
    <m/>
    <m/>
    <m/>
    <m/>
    <m/>
    <m/>
    <m/>
    <m/>
    <m/>
    <m/>
    <m/>
    <m/>
    <m/>
    <m/>
    <m/>
    <m/>
    <m/>
    <m/>
    <m/>
    <m/>
    <m/>
    <m/>
    <m/>
    <m/>
    <m/>
    <m/>
    <m/>
    <m/>
    <m/>
    <m/>
    <m/>
    <m/>
    <m/>
    <m/>
    <m/>
    <m/>
    <m/>
    <m/>
    <m/>
    <m/>
    <m/>
    <m/>
    <m/>
    <m/>
    <m/>
    <n v="113"/>
    <n v="4"/>
    <n v="117"/>
    <n v="319"/>
    <n v="29"/>
    <n v="348"/>
    <m/>
    <m/>
    <m/>
    <m/>
    <m/>
    <m/>
    <m/>
    <m/>
    <m/>
    <m/>
    <m/>
    <m/>
    <m/>
    <m/>
    <m/>
    <m/>
    <m/>
    <m/>
    <m/>
    <m/>
    <s v="YES"/>
    <n v="26"/>
    <n v="0.85"/>
    <n v="49"/>
    <m/>
    <m/>
    <m/>
    <m/>
    <m/>
    <m/>
    <m/>
    <m/>
    <m/>
    <m/>
    <m/>
    <m/>
    <s v="YES"/>
    <n v="107"/>
    <n v="1"/>
    <m/>
    <m/>
    <m/>
    <m/>
    <m/>
    <m/>
    <m/>
    <m/>
    <m/>
    <m/>
    <m/>
    <m/>
    <m/>
    <s v="YES"/>
    <n v="48"/>
    <n v="1"/>
    <m/>
    <m/>
    <m/>
    <m/>
    <m/>
    <s v="YES"/>
    <n v="43"/>
    <n v="1"/>
    <m/>
    <m/>
    <m/>
    <m/>
    <m/>
    <m/>
    <s v="YES"/>
    <s v="May"/>
    <n v="2017"/>
    <s v="NO"/>
    <s v="NO"/>
    <m/>
    <m/>
    <m/>
    <x v="0"/>
    <s v="NO"/>
    <s v="NO"/>
    <s v="YES"/>
    <s v="YES"/>
    <s v="NO"/>
    <s v="NO"/>
    <s v="NO"/>
    <s v="NO"/>
    <m/>
    <x v="0"/>
    <m/>
    <x v="0"/>
    <m/>
    <x v="0"/>
    <x v="1"/>
    <s v="YES"/>
    <x v="0"/>
    <x v="0"/>
    <x v="1"/>
    <x v="4"/>
    <n v="3"/>
    <x v="2"/>
    <x v="1"/>
    <x v="1"/>
    <x v="2"/>
    <x v="2"/>
    <x v="5"/>
    <n v="2"/>
    <x v="1"/>
    <x v="1"/>
    <x v="1"/>
    <x v="1"/>
    <x v="1"/>
    <n v="3"/>
    <x v="2"/>
    <x v="3"/>
    <n v="1"/>
    <s v="Local NGO(s)/CSO(s)"/>
    <s v="Local government(s)"/>
    <s v="Multilateral organization(s)"/>
    <x v="2"/>
    <s v="Meeting with the PRI members in the 2 villages &amp; meeting with the govt officials at district level to orient them on the project goals and objectives and share with them the plan of the project."/>
    <m/>
    <s v="1. Involving Women Small holders and landless workers in making their own collectives for improvement of their income levels  by linking them to IGA activities: The project till now has formed 4 self help groups or collectives constituting 43 women of most backward Dalit communities and have been successful in collecting savings from these groups for their own group. The bank account opening of these groups is in process."/>
    <s v="2.Establishment of Employability Centre for Youth- A total of 9 youths have joined the training classes in the CARE run Employability centre"/>
    <s v="3. Remedial Education Centres- To increase the capacities of the childrens who study in govt run schools in villages so that they reach their age appropriate learning levels. A total of 18 student admitted to remedial education centres."/>
    <m/>
    <m/>
    <m/>
    <s v="Since this was the starting and initiation phase of the project so most of the indicators have yet to be realised. The project have till date only formed 4 SHG groups of women small holders and landless workers and had estabilished a employability centre  and a remedial education centre in which 9 and 18 students have been admitted. The project has also formed 4 groups of the adolescents comprising of 48 girls b/w the age group of 15and -25 yrs for which the project is conducted meetings to educate them on  the concepts of proper food and nutrition, gender, lifeskills and anemia, reproductive health and sanitation aspects. A series of 6 meetings will be conducted for each group of girls and then they will be linked to Adolescent Reproductive health clinics at the district level. The project have also identified location near to the AWC's and in the office premises in the village for establishing kitchen gardens. The Anganwadi infrastructure assesment was conducted in all the 9 AWC's in 2 villages of Jassi and Gehri Baaghi. in which 4 villages were being identified for the first year. The project entails to support in wallpaintings , TLM's furnitures and maintainence of toilets in these AWC's."/>
    <s v="Proposal &amp; logframe attached"/>
    <n v="117"/>
    <n v="348"/>
    <n v="2.9743589743589745"/>
    <n v="0.96581196581196582"/>
    <n v="0.91666666666666663"/>
    <n v="113"/>
    <n v="319"/>
    <s v=""/>
    <n v="0"/>
    <n v="0"/>
    <s v=""/>
    <s v=""/>
    <n v="0"/>
    <n v="0"/>
    <s v=""/>
    <n v="1"/>
    <n v="48"/>
    <n v="0"/>
    <n v="0"/>
    <s v=""/>
    <n v="0"/>
    <n v="0"/>
    <s v=""/>
    <n v="1"/>
    <n v="43"/>
    <n v="0"/>
    <n v="0"/>
    <s v="3. Responsive"/>
    <s v="3. Responsive"/>
    <s v="2. Sensitive"/>
    <s v="It did not develop any specific innovation"/>
    <s v="Little or no advocacy"/>
    <s v="It did not take tested solutions to scale"/>
  </r>
  <r>
    <x v="33"/>
    <x v="0"/>
    <n v="3004"/>
    <s v="Read and Lead (RL)"/>
    <s v="India"/>
    <s v="CS191"/>
    <s v="CARE India"/>
    <s v="Foundation"/>
    <s v="Government - US"/>
    <s v="General Mills Foundation"/>
    <m/>
    <m/>
    <m/>
    <m/>
    <m/>
    <m/>
    <m/>
    <m/>
    <m/>
    <m/>
    <m/>
    <m/>
    <m/>
    <m/>
    <m/>
    <m/>
    <m/>
    <m/>
    <m/>
    <m/>
    <m/>
    <m/>
    <m/>
    <m/>
    <m/>
    <m/>
    <m/>
    <m/>
    <m/>
    <m/>
    <m/>
    <m/>
    <m/>
    <m/>
    <m/>
    <m/>
    <m/>
    <m/>
    <m/>
    <m/>
    <m/>
    <m/>
    <m/>
    <m/>
    <m/>
    <d v="2014-07-01T00:00:00"/>
    <d v="2017-05-31T00:00:00"/>
    <m/>
    <s v="Development Other"/>
    <n v="150000"/>
    <s v="Geeta Verma"/>
    <s v="Team Leader"/>
    <s v="gverma@careindia.org"/>
    <s v="Vandana Mishra"/>
    <s v="Program Manager"/>
    <s v="vmishra@careindia.org"/>
    <s v="NO"/>
    <s v="YES"/>
    <s v="NO"/>
    <s v="To empower Dalit girls by building capacities, self-esteem and leadership skills that enable them to influence change at individual, social and systemic levels."/>
    <s v="National"/>
    <s v="Bahraich, Balrampur and Shravasti districts of Uttar Pradesh"/>
    <s v="Marginalised children especially girls enrolled in elementary schools"/>
    <n v="57004"/>
    <n v="47686"/>
    <n v="104690"/>
    <n v="214675"/>
    <n v="231138"/>
    <n v="445813"/>
    <s v="Direct participants include chilldren of all the primary schools (grade 1-5) in clusters supported directly by the intervention_x000a_Indirect participants include children of all other Clusters of the intervention districts in which CARE is supporting through system. Teachers in intervention schools are also included as indirect participants._x000a_This project has important overlap on participants with other education-related projects in India. The figures reported include only those participants that are NOT double counted. Nonetheless, total figures (with overlap) for the FY include:_x000a_DIRECT: 34,107 women&amp;girls 34,832 men&amp;boys =  68,939 total_x000a_INDIRECT: 214,675 women&amp;girls 231,138 men&amp;boys =  445,813 total"/>
    <m/>
    <m/>
    <m/>
    <m/>
    <m/>
    <m/>
    <m/>
    <m/>
    <m/>
    <m/>
    <m/>
    <m/>
    <m/>
    <m/>
    <m/>
    <m/>
    <m/>
    <m/>
    <m/>
    <m/>
    <m/>
    <m/>
    <m/>
    <m/>
    <m/>
    <m/>
    <m/>
    <m/>
    <m/>
    <m/>
    <m/>
    <m/>
    <m/>
    <m/>
    <m/>
    <m/>
    <m/>
    <m/>
    <m/>
    <m/>
    <m/>
    <m/>
    <m/>
    <m/>
    <m/>
    <m/>
    <m/>
    <m/>
    <m/>
    <m/>
    <m/>
    <m/>
    <m/>
    <m/>
    <m/>
    <m/>
    <m/>
    <m/>
    <m/>
    <m/>
    <n v="4972"/>
    <n v="4826"/>
    <n v="9798"/>
    <m/>
    <m/>
    <m/>
    <m/>
    <m/>
    <m/>
    <m/>
    <m/>
    <m/>
    <m/>
    <m/>
    <m/>
    <m/>
    <m/>
    <m/>
    <m/>
    <m/>
    <m/>
    <m/>
    <m/>
    <m/>
    <m/>
    <m/>
    <s v="YES"/>
    <n v="9798"/>
    <n v="0.5"/>
    <m/>
    <m/>
    <m/>
    <m/>
    <m/>
    <m/>
    <m/>
    <m/>
    <m/>
    <m/>
    <m/>
    <m/>
    <m/>
    <m/>
    <m/>
    <m/>
    <m/>
    <m/>
    <m/>
    <m/>
    <m/>
    <m/>
    <m/>
    <m/>
    <m/>
    <m/>
    <m/>
    <m/>
    <m/>
    <m/>
    <m/>
    <m/>
    <m/>
    <m/>
    <m/>
    <m/>
    <m/>
    <m/>
    <m/>
    <m/>
    <m/>
    <m/>
    <m/>
    <m/>
    <m/>
    <m/>
    <s v="NO"/>
    <m/>
    <m/>
    <s v="NO"/>
    <s v="NO"/>
    <m/>
    <m/>
    <s v="To measure the enhancement in learning attainment of children (grade 1-4 ) for language from baseline (Year 2015), the  annual assessment of children is being conducted (on standard EGRA tools) in March 2017 under the other project (Start Early: Read in Time). Since the project share similar geography and intervention therefore the findings have been considered for this project as well."/>
    <x v="2"/>
    <s v="YES"/>
    <m/>
    <s v="YES"/>
    <s v="YES"/>
    <m/>
    <m/>
    <m/>
    <m/>
    <m/>
    <x v="0"/>
    <m/>
    <x v="1"/>
    <s v="1) Development of training modules and further to be scaled up by state governement.                                                                            2) Establishment of 100 community librararies with education department in Shravasti districts                                                                     3)  Through state Quality Cell, State has proposed budget in AWP&amp;B (Annual Work Plan &amp; Budget) for development of reading corners in primary schools to create print rich environment for promoting reading habits among the children and government has given approval for the same."/>
    <x v="0"/>
    <x v="1"/>
    <s v="YES"/>
    <x v="0"/>
    <x v="0"/>
    <x v="0"/>
    <x v="2"/>
    <n v="4"/>
    <x v="2"/>
    <x v="1"/>
    <x v="1"/>
    <x v="1"/>
    <x v="2"/>
    <x v="5"/>
    <n v="3"/>
    <x v="3"/>
    <x v="2"/>
    <x v="1"/>
    <x v="1"/>
    <x v="5"/>
    <n v="2"/>
    <x v="2"/>
    <x v="1"/>
    <n v="1"/>
    <m/>
    <m/>
    <m/>
    <x v="1"/>
    <m/>
    <m/>
    <s v="Development of specific skill module for hands on training of teachers"/>
    <s v="Development of &quot;reading corner&quot;s in primary schools to create &quot;print rich environment&quot; for promoting reading habits among the children"/>
    <s v="Establishing 'Community libraries&quot; to promote reading culture in community"/>
    <s v="CARE has provided technical support for developing Reading kit on EGR and SCERT used CARE’s selected material as reference base for kit."/>
    <s v="Training of Teachers (KGBVs) and Collectives on specific skills"/>
    <s v="Irregular SMC meeting hampering in skill development on safety and security and other issues."/>
    <s v="The Programme's  Direct and Indirect reach figures are overlapping with following interventions 1) School Improvement Programme (CS160); 2) Start Early: Read in Time (CS111); and 3) Teachers Resource Lab (CS217). This project has important overlap on participants with other education-related projects in India. The figures reported include only those participants that are NOT double counted. Nonetheless, total figures (with overlap) for the FY include:_x000a_DIRECT: 34,107 women&amp;girls 34,832 men&amp;boys =  68,939 total_x000a_INDIRECT: 214,675 women&amp;girls 231,138 men&amp;boys =  445,813 total_x000a_"/>
    <m/>
    <n v="9798"/>
    <n v="0"/>
    <n v="0"/>
    <n v="0.50745050010206161"/>
    <s v=""/>
    <n v="4972"/>
    <n v="0"/>
    <s v=""/>
    <n v="0"/>
    <n v="0"/>
    <s v=""/>
    <s v=""/>
    <n v="0"/>
    <n v="0"/>
    <s v=""/>
    <s v=""/>
    <n v="0"/>
    <n v="0"/>
    <s v=""/>
    <s v=""/>
    <n v="0"/>
    <n v="0"/>
    <s v=""/>
    <s v=""/>
    <n v="0"/>
    <n v="0"/>
    <s v=""/>
    <s v="4. Transformative"/>
    <s v="3. Responsive"/>
    <s v="3. Responsive"/>
    <s v="It did not develop any specific innovation"/>
    <s v="Intensive advocacy"/>
    <s v="It linked and worked with strategic alliances and partners to take tested and effective solutions to scale"/>
  </r>
  <r>
    <x v="33"/>
    <x v="0"/>
    <n v="3019"/>
    <s v="Reproductive and Child Health Nutrition Awareness (RACHNA)"/>
    <s v="India"/>
    <s v="CS075"/>
    <s v="CARE India"/>
    <s v="Corporation"/>
    <s v="Other"/>
    <s v="Cairn India"/>
    <m/>
    <m/>
    <m/>
    <m/>
    <m/>
    <m/>
    <m/>
    <m/>
    <m/>
    <m/>
    <m/>
    <m/>
    <m/>
    <m/>
    <m/>
    <m/>
    <m/>
    <m/>
    <m/>
    <m/>
    <m/>
    <m/>
    <m/>
    <m/>
    <m/>
    <m/>
    <m/>
    <m/>
    <m/>
    <m/>
    <m/>
    <m/>
    <m/>
    <m/>
    <m/>
    <m/>
    <m/>
    <m/>
    <m/>
    <m/>
    <m/>
    <m/>
    <m/>
    <m/>
    <m/>
    <d v="2013-12-01T00:00:00"/>
    <d v="2016-06-30T00:00:00"/>
    <d v="2017-08-31T00:00:00"/>
    <s v="Development Sexual, Reproductive and Maternal Health (SRMH)"/>
    <n v="878012"/>
    <s v="Dr. Jayant Upadhyay"/>
    <s v="State Programme Manager"/>
    <s v="jupadhyay@careindia.org"/>
    <m/>
    <m/>
    <m/>
    <s v="NO"/>
    <s v="YES"/>
    <s v="NO"/>
    <s v="The project goal is to contribute to significant reductions in maternal and infant mortality and improve menstrual hygiene and reproductive health of adolescent girls and women in Barmer district"/>
    <s v="Sub-National"/>
    <s v="District Barmer, State-Rajasthan (3 Intervention blocks - Baitu, Sindhari and Gudamalain/Dhorimanna)"/>
    <s v="Pregnant women, Lactating mothers, Mother of children upto one year, Women at reproductive age, adolescent school going and out of school girls, Adolescent school going and out of school boys and men"/>
    <n v="5000"/>
    <n v="2000"/>
    <n v="7000"/>
    <n v="245000"/>
    <n v="298000"/>
    <n v="543000"/>
    <s v="Project focus was to reduce IMR and IMR in three blocks of district Barmer. Direct participants of the project are Pregnant women, Lactating mothers, Mother of children upto one year, Women in reproductive age (15-49 years), adolescent school going &amp; out-of-school girls and adolescent school going &amp; out-of-school boys.  To calculate the direct reach, Pregnant and lactating women in three blocks calculated based on fertility rate, adolsecent girls and boys from the registration in school were considered. _x000a__x000a_Indirect Participants: we have referred the census 2011 data and NFHS-4 data. Based on fertility rate, pregnancy rate, institutional delivery data, school admission and drop out data were considered. Therefore in project life cycle 2,45,000 women and girls were expected to reach while male target was 2,98,000. Men were also targeted to challange the gender related barriers in bringing the change."/>
    <m/>
    <m/>
    <m/>
    <m/>
    <m/>
    <m/>
    <m/>
    <m/>
    <m/>
    <m/>
    <m/>
    <m/>
    <m/>
    <m/>
    <m/>
    <m/>
    <m/>
    <m/>
    <m/>
    <m/>
    <m/>
    <m/>
    <m/>
    <m/>
    <m/>
    <m/>
    <m/>
    <m/>
    <m/>
    <m/>
    <m/>
    <m/>
    <m/>
    <m/>
    <m/>
    <m/>
    <m/>
    <m/>
    <m/>
    <m/>
    <m/>
    <m/>
    <m/>
    <m/>
    <m/>
    <m/>
    <m/>
    <m/>
    <m/>
    <m/>
    <m/>
    <m/>
    <m/>
    <m/>
    <m/>
    <m/>
    <m/>
    <m/>
    <m/>
    <m/>
    <n v="14115"/>
    <n v="4361"/>
    <n v="18476"/>
    <n v="25896"/>
    <n v="5000"/>
    <n v="30896"/>
    <m/>
    <m/>
    <m/>
    <m/>
    <m/>
    <m/>
    <m/>
    <m/>
    <m/>
    <m/>
    <m/>
    <m/>
    <m/>
    <m/>
    <m/>
    <m/>
    <m/>
    <m/>
    <m/>
    <m/>
    <m/>
    <m/>
    <m/>
    <m/>
    <m/>
    <m/>
    <m/>
    <m/>
    <m/>
    <m/>
    <m/>
    <m/>
    <s v="YES"/>
    <n v="18476"/>
    <n v="0.76"/>
    <n v="30896"/>
    <m/>
    <m/>
    <m/>
    <m/>
    <m/>
    <m/>
    <m/>
    <m/>
    <m/>
    <m/>
    <m/>
    <m/>
    <m/>
    <m/>
    <m/>
    <m/>
    <s v="YES"/>
    <n v="18476"/>
    <n v="0.76"/>
    <n v="30896"/>
    <m/>
    <m/>
    <m/>
    <m/>
    <m/>
    <m/>
    <m/>
    <m/>
    <m/>
    <m/>
    <m/>
    <m/>
    <m/>
    <s v="NO"/>
    <m/>
    <m/>
    <s v="NO"/>
    <s v="NO"/>
    <m/>
    <m/>
    <s v="PROJECT CLOSING ON 31 AUGUST 2017"/>
    <x v="1"/>
    <s v="NO"/>
    <m/>
    <s v="YES"/>
    <s v="YES"/>
    <m/>
    <m/>
    <m/>
    <m/>
    <m/>
    <x v="0"/>
    <m/>
    <x v="0"/>
    <m/>
    <x v="0"/>
    <x v="1"/>
    <s v="YES"/>
    <x v="1"/>
    <x v="0"/>
    <x v="0"/>
    <x v="4"/>
    <n v="3"/>
    <x v="1"/>
    <x v="1"/>
    <x v="1"/>
    <x v="1"/>
    <x v="2"/>
    <x v="1"/>
    <n v="3"/>
    <x v="1"/>
    <x v="1"/>
    <x v="2"/>
    <x v="1"/>
    <x v="3"/>
    <n v="2"/>
    <x v="2"/>
    <x v="1"/>
    <m/>
    <m/>
    <m/>
    <m/>
    <x v="1"/>
    <m/>
    <s v="Project extension for the period Septemeber 16- August 17 was done with revised interventions strategy to engage school going boys and men in capacity building on maternal and child health."/>
    <s v="Engaging community in social audit for project outcome"/>
    <s v="interface with government health system and information sharing on monthly basis"/>
    <s v="Creating role models among school going girls and boys"/>
    <s v="Project has no focus on income generation intitiaitve which limites the community engagement"/>
    <s v="Application of ICT based monitoring may help in dta management due to scattered villages"/>
    <s v="Developing capacity of government health and ICDS functionires on regular basis especially on data management."/>
    <s v="Project closing by August 2017 without any mid term or endline evaluation which is mutually agreed by partners."/>
    <s v="Proposal, MoU, LF, Quarterly progress reports have been uploaded on CARE INSITE. If required, it can be shared separately."/>
    <n v="18476"/>
    <n v="30896"/>
    <n v="1.6722234249837626"/>
    <n v="0.76396406148516993"/>
    <n v="0.8381667529777318"/>
    <n v="14115"/>
    <n v="25896"/>
    <s v=""/>
    <n v="0"/>
    <n v="0"/>
    <s v=""/>
    <s v=""/>
    <n v="0"/>
    <n v="0"/>
    <s v=""/>
    <n v="1"/>
    <n v="18476"/>
    <n v="30896"/>
    <n v="1.6722234249837626"/>
    <s v=""/>
    <n v="0"/>
    <n v="0"/>
    <s v=""/>
    <s v=""/>
    <n v="0"/>
    <n v="0"/>
    <s v=""/>
    <s v="3. Responsive"/>
    <s v="2. Accommodating"/>
    <s v="1. Neutral"/>
    <s v="It did not develop any specific innovation"/>
    <s v="Moderate advocacy"/>
    <s v="It did not take tested solutions to scale"/>
  </r>
  <r>
    <x v="33"/>
    <x v="0"/>
    <m/>
    <s v="Research Study of Gender Roles in Basmati RiceValue Chain in Haryana (BRVC)"/>
    <s v="India"/>
    <m/>
    <s v="CARE India"/>
    <s v="Corporation"/>
    <s v="Other"/>
    <s v="Mars Food"/>
    <m/>
    <m/>
    <m/>
    <m/>
    <m/>
    <m/>
    <m/>
    <m/>
    <m/>
    <m/>
    <m/>
    <m/>
    <m/>
    <m/>
    <m/>
    <m/>
    <m/>
    <m/>
    <m/>
    <m/>
    <m/>
    <m/>
    <m/>
    <m/>
    <m/>
    <m/>
    <m/>
    <m/>
    <m/>
    <m/>
    <m/>
    <m/>
    <m/>
    <m/>
    <m/>
    <m/>
    <m/>
    <m/>
    <m/>
    <m/>
    <m/>
    <m/>
    <m/>
    <m/>
    <m/>
    <d v="2016-11-16T00:00:00"/>
    <d v="2017-04-23T00:00:00"/>
    <m/>
    <s v="Development Access to and Control over Economic Resources"/>
    <n v="30500"/>
    <s v="Sushmita Mukherjee"/>
    <s v="Head - Programme Operations"/>
    <s v="susmita@careindia.org"/>
    <s v="Manoj Singh"/>
    <s v="Technical Specialist - Economic Development Unit"/>
    <s v="msingh@careindia.org"/>
    <s v="NO"/>
    <s v="YES"/>
    <s v="NO"/>
    <s v="The goal of the project is is to identify the role played by farmers and workers, especially women, in the Basmati rice value chain and to explore possibilities for enhancing their role through appropriate interventions"/>
    <s v="Sub-National"/>
    <s v="49 villages spread over in the districts of Panipat, Jind, Kaithal, Karnal and Kurukshetra of Haryana state of India"/>
    <s v="Scheduled Caste(SC) women smallholders and landless workers  are the main Impact Group of the project"/>
    <n v="0"/>
    <n v="0"/>
    <n v="0"/>
    <n v="0"/>
    <n v="0"/>
    <n v="0"/>
    <s v="This is a research based study. There were no direct and indirect participants in the project."/>
    <m/>
    <m/>
    <m/>
    <m/>
    <m/>
    <m/>
    <m/>
    <m/>
    <m/>
    <m/>
    <m/>
    <m/>
    <m/>
    <m/>
    <m/>
    <m/>
    <m/>
    <m/>
    <m/>
    <m/>
    <m/>
    <m/>
    <m/>
    <m/>
    <m/>
    <m/>
    <m/>
    <m/>
    <m/>
    <m/>
    <m/>
    <m/>
    <m/>
    <m/>
    <m/>
    <m/>
    <m/>
    <m/>
    <m/>
    <m/>
    <m/>
    <m/>
    <m/>
    <m/>
    <m/>
    <m/>
    <m/>
    <m/>
    <m/>
    <m/>
    <m/>
    <m/>
    <m/>
    <m/>
    <m/>
    <m/>
    <m/>
    <m/>
    <m/>
    <m/>
    <n v="0"/>
    <n v="0"/>
    <n v="0"/>
    <n v="0"/>
    <n v="0"/>
    <n v="0"/>
    <s v="YES"/>
    <m/>
    <m/>
    <m/>
    <s v="YES"/>
    <m/>
    <m/>
    <m/>
    <m/>
    <m/>
    <m/>
    <m/>
    <m/>
    <m/>
    <m/>
    <m/>
    <m/>
    <m/>
    <m/>
    <m/>
    <m/>
    <m/>
    <m/>
    <m/>
    <m/>
    <m/>
    <m/>
    <m/>
    <m/>
    <m/>
    <m/>
    <m/>
    <m/>
    <m/>
    <m/>
    <m/>
    <m/>
    <m/>
    <m/>
    <m/>
    <m/>
    <m/>
    <m/>
    <m/>
    <m/>
    <m/>
    <m/>
    <m/>
    <m/>
    <m/>
    <m/>
    <m/>
    <m/>
    <m/>
    <m/>
    <m/>
    <m/>
    <m/>
    <m/>
    <m/>
    <s v="YES"/>
    <m/>
    <m/>
    <m/>
    <m/>
    <m/>
    <m/>
    <m/>
    <m/>
    <s v="NO"/>
    <m/>
    <m/>
    <s v="NO"/>
    <s v="NO"/>
    <m/>
    <m/>
    <m/>
    <x v="3"/>
    <m/>
    <m/>
    <m/>
    <m/>
    <m/>
    <m/>
    <m/>
    <m/>
    <m/>
    <x v="3"/>
    <m/>
    <x v="2"/>
    <m/>
    <x v="3"/>
    <x v="2"/>
    <m/>
    <x v="2"/>
    <x v="2"/>
    <x v="2"/>
    <x v="3"/>
    <n v="0"/>
    <x v="0"/>
    <x v="0"/>
    <x v="0"/>
    <x v="0"/>
    <x v="0"/>
    <x v="0"/>
    <n v="0"/>
    <x v="0"/>
    <x v="0"/>
    <x v="0"/>
    <x v="0"/>
    <x v="0"/>
    <n v="0"/>
    <x v="1"/>
    <x v="4"/>
    <m/>
    <m/>
    <m/>
    <m/>
    <x v="2"/>
    <m/>
    <m/>
    <m/>
    <m/>
    <m/>
    <m/>
    <m/>
    <m/>
    <s v="Since the project did not entail any on-ground intervention, there are no direct and indirect participants in the project. Hence, actions relation to advocacy, gender score, governance score and resilience score does not apply to to this research based study."/>
    <m/>
    <n v="0"/>
    <n v="0"/>
    <s v=""/>
    <s v=""/>
    <s v=""/>
    <n v="0"/>
    <n v="0"/>
    <s v=""/>
    <n v="0"/>
    <n v="0"/>
    <s v=""/>
    <n v="1"/>
    <n v="0"/>
    <n v="0"/>
    <s v=""/>
    <s v=""/>
    <n v="0"/>
    <n v="0"/>
    <s v=""/>
    <s v=""/>
    <n v="0"/>
    <n v="0"/>
    <s v=""/>
    <n v="1"/>
    <n v="0"/>
    <n v="0"/>
    <s v=""/>
    <s v="No marker score"/>
    <s v="No marker score"/>
    <s v="No marker score"/>
    <n v="0"/>
    <n v="0"/>
    <n v="0"/>
  </r>
  <r>
    <x v="33"/>
    <x v="0"/>
    <n v="3023"/>
    <s v="Scale up of Visceral Leishmaniasis control activities (VL)"/>
    <s v="India"/>
    <s v="CS078"/>
    <s v="CARE USA"/>
    <s v="Foundation"/>
    <s v="Bill &amp; Melinda Gates Foundation"/>
    <s v="Bill &amp; Melinda Gates Foundation"/>
    <m/>
    <m/>
    <m/>
    <m/>
    <m/>
    <m/>
    <m/>
    <m/>
    <m/>
    <m/>
    <m/>
    <m/>
    <m/>
    <m/>
    <m/>
    <m/>
    <m/>
    <m/>
    <m/>
    <m/>
    <m/>
    <m/>
    <m/>
    <m/>
    <m/>
    <m/>
    <m/>
    <m/>
    <m/>
    <m/>
    <m/>
    <m/>
    <m/>
    <m/>
    <m/>
    <m/>
    <m/>
    <m/>
    <m/>
    <m/>
    <m/>
    <m/>
    <m/>
    <m/>
    <m/>
    <d v="2013-11-14T00:00:00"/>
    <d v="2017-10-31T00:00:00"/>
    <m/>
    <s v="Development Other"/>
    <n v="17233282"/>
    <s v="Dr.Hemant Shah"/>
    <s v="Chief of Party, Bihar Technical Support Program (TSU)"/>
    <s v="hshah@careindia.org"/>
    <s v="Sunil Babu"/>
    <s v="Senior Technical Director : SPM"/>
    <s v="sunilb@careindia.org"/>
    <s v="NO"/>
    <s v="YES"/>
    <s v="NO"/>
    <s v="To support the Bihar government in reducing the burden of Visceral Leishmaniasis (VL) through scale up and coverage of effective VL control and elimination interventions"/>
    <s v="Sub-National"/>
    <s v="The project works in the 534 blocks across the 38 districts and 9 divisions of the state of Bihar, India with a special focus on the 33 districts and blocks defined as being endemic to the disease of Kala Azar"/>
    <s v="The poorest and most vulnerable sections of the community in the state of Bihar who are most exposed to contracting the disease"/>
    <n v="7687"/>
    <n v="8348"/>
    <n v="16036"/>
    <n v="15716021"/>
    <n v="17067333"/>
    <n v="32783354"/>
    <s v="Direct-Total Kala Azar (VL) patients in endemic blocks of 34 Districts of Bihar in july 2016 to june2017. Indirect - Population of VL endemic districts_x000a_This project has important overlap on INDIRECT participants with other projects in Bihar. We report as zero to avoid duplication however the total indirect participants in this project in the FY (including overlap), would include the following:_x000a_INDIRECT: 15,912,472 women&amp;girls 17,280,674  men&amp;boys =  33,193,146 total_x000a_"/>
    <m/>
    <m/>
    <m/>
    <m/>
    <m/>
    <m/>
    <m/>
    <m/>
    <m/>
    <m/>
    <m/>
    <m/>
    <m/>
    <m/>
    <m/>
    <m/>
    <m/>
    <m/>
    <m/>
    <m/>
    <m/>
    <m/>
    <m/>
    <m/>
    <m/>
    <m/>
    <m/>
    <m/>
    <m/>
    <m/>
    <m/>
    <m/>
    <m/>
    <m/>
    <m/>
    <m/>
    <m/>
    <m/>
    <m/>
    <m/>
    <m/>
    <m/>
    <m/>
    <m/>
    <m/>
    <m/>
    <m/>
    <m/>
    <m/>
    <m/>
    <m/>
    <m/>
    <m/>
    <m/>
    <m/>
    <m/>
    <m/>
    <m/>
    <m/>
    <m/>
    <n v="2482"/>
    <n v="2639"/>
    <n v="5121"/>
    <m/>
    <m/>
    <m/>
    <m/>
    <m/>
    <m/>
    <m/>
    <m/>
    <m/>
    <m/>
    <m/>
    <m/>
    <m/>
    <m/>
    <m/>
    <m/>
    <m/>
    <m/>
    <m/>
    <m/>
    <m/>
    <m/>
    <m/>
    <m/>
    <m/>
    <m/>
    <m/>
    <m/>
    <m/>
    <m/>
    <m/>
    <m/>
    <m/>
    <m/>
    <m/>
    <m/>
    <m/>
    <m/>
    <m/>
    <s v="YES"/>
    <n v="5121"/>
    <n v="0.48"/>
    <m/>
    <m/>
    <m/>
    <m/>
    <m/>
    <m/>
    <m/>
    <m/>
    <m/>
    <m/>
    <m/>
    <m/>
    <m/>
    <m/>
    <m/>
    <m/>
    <m/>
    <m/>
    <m/>
    <m/>
    <m/>
    <m/>
    <m/>
    <m/>
    <m/>
    <m/>
    <m/>
    <m/>
    <m/>
    <m/>
    <s v="YES"/>
    <s v="August"/>
    <n v="2016"/>
    <s v="NO"/>
    <s v="NO"/>
    <m/>
    <m/>
    <m/>
    <x v="1"/>
    <s v="NO"/>
    <s v="YES"/>
    <s v="YES"/>
    <s v="YES"/>
    <s v="YES"/>
    <s v="YES"/>
    <s v="NO"/>
    <s v="NO"/>
    <m/>
    <x v="0"/>
    <m/>
    <x v="3"/>
    <s v="the project operates at scale from the beginning and reaches to all the geographies in the state with vulnerability for the disease."/>
    <x v="0"/>
    <x v="0"/>
    <s v="YES"/>
    <x v="0"/>
    <x v="0"/>
    <x v="0"/>
    <x v="0"/>
    <n v="4"/>
    <x v="1"/>
    <x v="1"/>
    <x v="1"/>
    <x v="1"/>
    <x v="1"/>
    <x v="1"/>
    <n v="4"/>
    <x v="1"/>
    <x v="1"/>
    <x v="1"/>
    <x v="1"/>
    <x v="1"/>
    <n v="3"/>
    <x v="2"/>
    <x v="1"/>
    <n v="3"/>
    <s v="Local government(s)"/>
    <s v="National government"/>
    <s v="University/research institution(s)"/>
    <x v="1"/>
    <m/>
    <s v="Considering the difficulty in reaching elimination targets for all the geographies and absence of reliable elimination strategies, discussions to extend the project with additional resources have been initiated by the government and funding partner."/>
    <s v="CARE India has been helping the government in preparation of micro-plan for the Indoor Residual Spray (IRS) for vector (sand-fly). This has helped in streamlining  the government's efforts towards the geographies where it is needed most."/>
    <s v="Active case detection has been carried out to identify the suspected VL patients. Once identified, these suspected cases are sent for the diagnosis in the nearest health facility. This strategy has helped in treating the VL patients who might be acting as a reservoir of infection for the new cases. Hence, active cases detection might help in achieving the objective of VL elimination."/>
    <s v="Kala azar management information system (KAMIS) is now functional, and efforts are being made to register each and every identified patient on it. This will not only provide valuable data for research purpose, but it also aids in the preparation of accurate micro-plan."/>
    <s v="Preparation of effective micro-plan and optimal utilization of resources"/>
    <s v="The team is constantly involved with government to bring ground-level changes in the community. This has provided us with the opportunity to learn the methods to work effectively with the government."/>
    <s v="Data-driven planning and implementation of activities to attain the objective of block level VL elimination."/>
    <s v="This project has important overlap on INDIRECT participants with other projects in Bihar. We report as zero to avoid duplication however the total indirect participants in this project in the FY (including overlap), would include the following:_x000a_INDIRECT: 15,912,472 women&amp;girls 17,280,674  men&amp;boys =  33,193,146 total_x000a_This unique kind of project in CARE India's portfolio seeks to achieve elimination of a deadly but neglected tropical infectious disease which has remained in very few geographies world wide. Being part of this effort itself is an opportunity for CARE to become part of history of elimination of infectious diseases. While nearing the elimination target of incidence, scientific community is experiencing that many of the epidemeological aspects of the disease are not completely known and the vector as well as parasite have modified behaviors. With a large operational team engaged in intensive implementation and having scientific rigor, CARE has been able to identify several of the unanswered questions and is trying to provide operational solutions to overcome the barriers to elimination. While other partners involved in the elimination work are seeking operational rigor in government program implementation, no one except CARE is working at local levels, providing TA and monitoring implementation even up to community levels."/>
    <m/>
    <n v="5121"/>
    <n v="0"/>
    <n v="0"/>
    <n v="0.48467096270259713"/>
    <s v=""/>
    <n v="2482"/>
    <n v="0"/>
    <s v=""/>
    <n v="0"/>
    <n v="0"/>
    <s v=""/>
    <s v=""/>
    <n v="0"/>
    <n v="0"/>
    <s v=""/>
    <s v=""/>
    <n v="0"/>
    <n v="0"/>
    <s v=""/>
    <s v=""/>
    <n v="0"/>
    <n v="0"/>
    <s v=""/>
    <s v=""/>
    <n v="0"/>
    <n v="0"/>
    <s v=""/>
    <s v="2. Sensitive"/>
    <s v="2. Accommodating"/>
    <s v="2. Sensitive"/>
    <s v="It did not develop any specific innovation"/>
    <s v="Moderate advocacy"/>
    <s v="It took tested solutions to scale on its own"/>
  </r>
  <r>
    <x v="33"/>
    <x v="0"/>
    <n v="3002"/>
    <s v="School Improvement Program (Pasty Collins Trust Fund Initiative -Cohort 2)"/>
    <s v="India"/>
    <s v="CS160"/>
    <s v="CARE India"/>
    <s v="Foundation"/>
    <s v="Other"/>
    <s v="Patsy Collins Trust Fund Initiative (PCTFI)"/>
    <m/>
    <m/>
    <m/>
    <m/>
    <m/>
    <m/>
    <m/>
    <m/>
    <m/>
    <m/>
    <m/>
    <m/>
    <m/>
    <m/>
    <m/>
    <m/>
    <m/>
    <m/>
    <m/>
    <m/>
    <m/>
    <m/>
    <m/>
    <m/>
    <m/>
    <m/>
    <m/>
    <m/>
    <m/>
    <m/>
    <m/>
    <m/>
    <m/>
    <m/>
    <m/>
    <m/>
    <m/>
    <m/>
    <m/>
    <m/>
    <m/>
    <m/>
    <m/>
    <m/>
    <m/>
    <d v="2014-07-01T00:00:00"/>
    <d v="2016-10-30T00:00:00"/>
    <m/>
    <s v="Development Other"/>
    <n v="306340"/>
    <s v="S Gayathri"/>
    <s v="Senior Technical Specialist"/>
    <s v="sgayathri@careindia.org"/>
    <s v="Vandana Mishra"/>
    <s v="Program Manager"/>
    <s v="vmishra@careindia.org"/>
    <s v="NO"/>
    <s v="YES"/>
    <s v="NO"/>
    <s v="To address Early Grade Reading, leadership skills and safety  &amp; security of children, especially girls, from the marginalized Dalit communities in selected geography of Uttar Pradesh (UP) by enhancing understanding and capacities of teachers in the Government Primary schools and Kasturba Gandhi Balika Vidyalayas (KGBVs)"/>
    <s v="Sub-National"/>
    <s v="Bahraich, Balrampur and Shravasti districts of Uttar Pradesh"/>
    <s v="Marginalised children especially girls enrolled in Primary schools and KGBVs of intervention districts"/>
    <n v="35501"/>
    <n v="34721"/>
    <n v="70222"/>
    <n v="214675"/>
    <n v="231138"/>
    <n v="445813"/>
    <s v="Direct: Chilldren of all the primary schools (grade 1-5 in 480 schools) and KGBVs (24) in directly supporting Clusters in intervention districts have been included in direct participants.  Teachers in intervention schools (PS and KGBV) are also included as direct participants. _x000a_Indirect: Children of all other Clusters of the intervention districts in which CARE is supporting through system have been included in indirect participants._x000a_This project has important overlap on participants with other education-related projects in India. The figures reported include only those participants that are NOT double counted. Nonetheless, total figures (with overlap) for the FY include:_x000a_DIRECT: 35,501 women&amp;girls 34,721 men&amp;boys =  70,222 total_x000a_INDIRECT: 214,675 women&amp;girls 231,138 men&amp;boys =  445,813 total_x000a_"/>
    <m/>
    <m/>
    <m/>
    <m/>
    <m/>
    <m/>
    <m/>
    <m/>
    <m/>
    <m/>
    <m/>
    <m/>
    <m/>
    <m/>
    <m/>
    <m/>
    <m/>
    <m/>
    <m/>
    <m/>
    <m/>
    <m/>
    <m/>
    <m/>
    <m/>
    <m/>
    <m/>
    <m/>
    <m/>
    <m/>
    <m/>
    <m/>
    <m/>
    <m/>
    <m/>
    <m/>
    <m/>
    <m/>
    <m/>
    <m/>
    <m/>
    <m/>
    <m/>
    <m/>
    <m/>
    <m/>
    <m/>
    <m/>
    <m/>
    <m/>
    <m/>
    <m/>
    <m/>
    <m/>
    <m/>
    <m/>
    <m/>
    <m/>
    <m/>
    <m/>
    <n v="9394"/>
    <n v="7099"/>
    <n v="16493"/>
    <m/>
    <m/>
    <m/>
    <m/>
    <m/>
    <m/>
    <m/>
    <m/>
    <m/>
    <m/>
    <m/>
    <m/>
    <m/>
    <m/>
    <m/>
    <m/>
    <m/>
    <m/>
    <m/>
    <m/>
    <m/>
    <m/>
    <m/>
    <s v="YES"/>
    <n v="70222"/>
    <n v="0.51"/>
    <n v="445813"/>
    <m/>
    <m/>
    <m/>
    <m/>
    <m/>
    <m/>
    <m/>
    <m/>
    <m/>
    <m/>
    <m/>
    <m/>
    <m/>
    <m/>
    <m/>
    <m/>
    <m/>
    <m/>
    <m/>
    <m/>
    <m/>
    <m/>
    <m/>
    <m/>
    <m/>
    <m/>
    <m/>
    <m/>
    <m/>
    <m/>
    <m/>
    <m/>
    <m/>
    <m/>
    <m/>
    <m/>
    <m/>
    <m/>
    <m/>
    <m/>
    <m/>
    <m/>
    <m/>
    <m/>
    <m/>
    <s v="NO"/>
    <m/>
    <m/>
    <s v="NO"/>
    <s v="NO"/>
    <m/>
    <m/>
    <s v="To measure the enhancement in learning attainment of children (grade 1-4 ) for language from baseline (Year 2015), the  annual assessment of children is being conducted (on standard EGRA tools) in March 2017 under the other project. Since the project share similar geography and intervention therefore the findings have been considered for this project as well."/>
    <x v="2"/>
    <s v="YES"/>
    <m/>
    <s v="YES"/>
    <s v="YES"/>
    <m/>
    <m/>
    <m/>
    <m/>
    <m/>
    <x v="0"/>
    <m/>
    <x v="1"/>
    <s v="1) Training of KGBV Teachers on Specific skills, safety and security and Hindi language in all 746 KGBV.               2) Leverage of budget of Rs. 1,19,61,840.00 lacs to SIEMAT Allahabad for teachers training on above subjects. (through SRC-KGBV cell"/>
    <x v="0"/>
    <x v="1"/>
    <s v="YES"/>
    <x v="0"/>
    <x v="0"/>
    <x v="0"/>
    <x v="2"/>
    <n v="4"/>
    <x v="2"/>
    <x v="1"/>
    <x v="1"/>
    <x v="1"/>
    <x v="2"/>
    <x v="5"/>
    <n v="3"/>
    <x v="3"/>
    <x v="0"/>
    <x v="1"/>
    <x v="1"/>
    <x v="5"/>
    <n v="2"/>
    <x v="2"/>
    <x v="1"/>
    <n v="1"/>
    <s v="Local government(s)"/>
    <m/>
    <m/>
    <x v="1"/>
    <m/>
    <m/>
    <s v="Creation of Print rich environment in schools and appropriate reading resources for children"/>
    <s v="Creating monthly cluster based Teacher development approach"/>
    <s v="Promoting reading culture in community through community libraries and IEC events."/>
    <s v="Training of KGBV Teachers on Specific skills, safety and security (developed by CARE) and Hindi language in all 746 KGBVs of Uttar Pradesh"/>
    <s v="Leverage of budget of Rs. 1,19,61,840.00 lacs to SIEMAT Allahabad for teachers training on above subjects and domains through SRC-KGBV cell."/>
    <s v="Challenges faced in monitoring and follow up of post training development."/>
    <s v="The Programme's  Direct and Indirect reach figures are overlapping with following interventions 1) Start Early: Read in Time  (CS111); 2) Read and Lead (CS191); and 3) Teachers Resource Lab (CS 217). This project has important overlap on participants with other education-related projects in India. The figures reported include only those participants that are NOT double counted. Nonetheless, total figures (with overlap) for the FY include:_x000a_DIRECT: 35,501 women&amp;girls 34,721 men&amp;boys =  70,222 total_x000a_INDIRECT: 214,675 women&amp;girls 231,138 men&amp;boys =  445,813 total_x000a_"/>
    <m/>
    <n v="16493"/>
    <n v="0"/>
    <n v="0"/>
    <n v="0.56957497119990297"/>
    <s v=""/>
    <n v="9394"/>
    <n v="0"/>
    <s v=""/>
    <n v="0"/>
    <n v="0"/>
    <s v=""/>
    <s v=""/>
    <n v="0"/>
    <n v="0"/>
    <s v=""/>
    <s v=""/>
    <n v="0"/>
    <n v="0"/>
    <s v=""/>
    <s v=""/>
    <n v="0"/>
    <n v="0"/>
    <s v=""/>
    <s v=""/>
    <n v="0"/>
    <n v="0"/>
    <s v=""/>
    <s v="4. Transformative"/>
    <s v="3. Responsive"/>
    <s v="3. Responsive"/>
    <s v="It did not develop any specific innovation"/>
    <s v="Intensive advocacy"/>
    <s v="It linked and worked with strategic alliances and partners to take tested and effective solutions to scale"/>
  </r>
  <r>
    <x v="33"/>
    <x v="0"/>
    <n v="3005"/>
    <s v="Start Early:Read in Time"/>
    <s v="India"/>
    <s v="CS111"/>
    <s v="CARE India"/>
    <s v="Government"/>
    <s v="Government - US"/>
    <s v="USAID"/>
    <m/>
    <m/>
    <m/>
    <m/>
    <m/>
    <m/>
    <m/>
    <m/>
    <m/>
    <m/>
    <m/>
    <m/>
    <m/>
    <m/>
    <m/>
    <m/>
    <m/>
    <m/>
    <m/>
    <m/>
    <m/>
    <m/>
    <m/>
    <m/>
    <m/>
    <m/>
    <m/>
    <m/>
    <m/>
    <m/>
    <m/>
    <m/>
    <m/>
    <m/>
    <m/>
    <m/>
    <m/>
    <m/>
    <m/>
    <m/>
    <m/>
    <m/>
    <m/>
    <m/>
    <m/>
    <d v="2017-05-25T00:00:00"/>
    <d v="2018-07-24T00:00:00"/>
    <m/>
    <s v="Development Other"/>
    <n v="2400000"/>
    <s v="Geeta Verma"/>
    <s v="Team Leader"/>
    <s v="gverma@careindia.org"/>
    <s v="Vandana Mishra"/>
    <s v="Program Manager"/>
    <s v="vmishra@careindia.org"/>
    <s v="NO"/>
    <s v="YES"/>
    <s v="NO"/>
    <s v="To improve Early Grade Reading skills of children ((6-9 years of age) especially girls from marginalized Dalit and Adivasi communities in the formal primary schools in UP and Odisha.”"/>
    <s v="Sub-National"/>
    <s v="Bahraich, Balrampur, Shravasti, Gonda and Hardoi districts of Uttar Pradesh"/>
    <s v="Most marginalized children in select formal schools in Uttar Pradesh"/>
    <n v="50353"/>
    <n v="53000"/>
    <n v="103353"/>
    <n v="692258"/>
    <n v="791399"/>
    <n v="1483657"/>
    <s v="Direct participants - Chilldren (Grade 1-4) of all the primary schools (1048 schools) in directly supporting Clusters in intervention districts have been included in direct participants. The program has expanded in new districts- Gonda and Hardoi. The data of new expansion districts is also included in reach figure.  Teachers in intervention schools (PS) are also included as direct participants._x000a__x000a_Indirect participants - Children of all other Clusters of the intervention districts in which CARE is supporting through system have been included in indirect participants.."/>
    <m/>
    <m/>
    <m/>
    <m/>
    <m/>
    <m/>
    <m/>
    <m/>
    <m/>
    <m/>
    <m/>
    <m/>
    <m/>
    <m/>
    <m/>
    <m/>
    <m/>
    <m/>
    <m/>
    <m/>
    <m/>
    <m/>
    <m/>
    <m/>
    <m/>
    <m/>
    <m/>
    <m/>
    <m/>
    <m/>
    <m/>
    <m/>
    <m/>
    <m/>
    <m/>
    <m/>
    <m/>
    <m/>
    <m/>
    <m/>
    <m/>
    <m/>
    <m/>
    <m/>
    <m/>
    <m/>
    <m/>
    <m/>
    <m/>
    <m/>
    <m/>
    <m/>
    <m/>
    <m/>
    <m/>
    <m/>
    <m/>
    <m/>
    <m/>
    <m/>
    <n v="38249"/>
    <n v="40349"/>
    <n v="78598"/>
    <n v="292548"/>
    <n v="311580"/>
    <n v="604128"/>
    <m/>
    <m/>
    <m/>
    <m/>
    <m/>
    <m/>
    <m/>
    <m/>
    <m/>
    <m/>
    <m/>
    <m/>
    <m/>
    <m/>
    <m/>
    <m/>
    <m/>
    <m/>
    <m/>
    <m/>
    <s v="YES"/>
    <n v="78598"/>
    <n v="0.49"/>
    <n v="604128"/>
    <m/>
    <m/>
    <m/>
    <m/>
    <m/>
    <m/>
    <m/>
    <m/>
    <m/>
    <m/>
    <m/>
    <m/>
    <m/>
    <m/>
    <m/>
    <m/>
    <m/>
    <m/>
    <m/>
    <m/>
    <m/>
    <m/>
    <m/>
    <m/>
    <m/>
    <m/>
    <m/>
    <m/>
    <m/>
    <m/>
    <m/>
    <m/>
    <m/>
    <m/>
    <m/>
    <m/>
    <m/>
    <m/>
    <m/>
    <m/>
    <m/>
    <m/>
    <m/>
    <m/>
    <m/>
    <s v="YES"/>
    <s v="March"/>
    <n v="2017"/>
    <s v="NO"/>
    <s v="YES"/>
    <s v="March"/>
    <n v="2018"/>
    <s v="The project's baseline has been conducted in April 2015 and Two annual assement has been conducted in Year 2016 and 2017 to measure the enhancement in learning attainment of children in language from baseline."/>
    <x v="2"/>
    <s v="YES"/>
    <m/>
    <s v="YES"/>
    <s v="YES"/>
    <m/>
    <m/>
    <s v="NO"/>
    <m/>
    <m/>
    <x v="0"/>
    <m/>
    <x v="1"/>
    <s v="The state government of Uttar Pradesh recognised and scaling up :                                                            1) Community Library has been acknowledged by State Government-Sarva Shiksha Abhiyan and has recognised as best practices in innovation category. It has been featured in ShaGun Portal (a web-portal for Sarva Shiksha Abhiyan).    Education Department and CARE India will establish 100 community libraries in the Shravasti district.                                                   2) Reading corners in all governement schools."/>
    <x v="0"/>
    <x v="1"/>
    <s v="YES"/>
    <x v="0"/>
    <x v="0"/>
    <x v="0"/>
    <x v="2"/>
    <n v="4"/>
    <x v="2"/>
    <x v="1"/>
    <x v="1"/>
    <x v="1"/>
    <x v="2"/>
    <x v="5"/>
    <n v="3"/>
    <x v="3"/>
    <x v="2"/>
    <x v="1"/>
    <x v="1"/>
    <x v="5"/>
    <n v="2"/>
    <x v="2"/>
    <x v="1"/>
    <n v="1"/>
    <s v="Local government(s)"/>
    <m/>
    <m/>
    <x v="1"/>
    <m/>
    <m/>
    <s v="Creating &quot;Print rich environment&quot; ,&quot; Reading Corners&quot; and &quot;Contextual reading resources&quot; for children in intervention schools"/>
    <s v="Developing functional Forums- &quot; Morning Assemly&quot; to express and lead"/>
    <s v="Development of CCE cards and child profile for students (class I to VIII) (the key indicators from assessment register of CARE for language are incorporated in CCE cards."/>
    <s v="Community Library has been acknowledged by State Government-Sarva Shiksha Abhiyan and has recognised as best practices in innovation category. It has been featured in ShaGun Portal (a web-portal for Sarva Shiksha Abhiyan). Education Department and CARE India will establish 100 community libraries in the Shravasti district."/>
    <s v="Promotion of Early Grade Reading and Early Numeracy Skills under Padhe Bharat Badhe Bharat Innovation program."/>
    <s v="Irregular meeting of School Management Committee and lack of streategic approach"/>
    <s v="The Programme's  Direct and Indirect reach figures are the same (Overlapping) with other interventions in UP only."/>
    <s v="Baseline Report (Year 2015), Annual Assessment Report of children's learning attainment for language (Grade 1-4) in Year 2016 and Year 2017"/>
    <n v="78598"/>
    <n v="604128"/>
    <n v="7.6863024504440318"/>
    <n v="0.48664088144736506"/>
    <n v="0.48424837120610204"/>
    <n v="38249"/>
    <n v="292548"/>
    <s v=""/>
    <n v="0"/>
    <n v="0"/>
    <s v=""/>
    <s v=""/>
    <n v="0"/>
    <n v="0"/>
    <s v=""/>
    <s v=""/>
    <n v="0"/>
    <n v="0"/>
    <s v=""/>
    <s v=""/>
    <n v="0"/>
    <n v="0"/>
    <s v=""/>
    <s v=""/>
    <n v="0"/>
    <n v="0"/>
    <s v=""/>
    <s v="4. Transformative"/>
    <s v="3. Responsive"/>
    <s v="3. Responsive"/>
    <s v="It did not develop any specific innovation"/>
    <s v="Intensive advocacy"/>
    <s v="It linked and worked with strategic alliances and partners to take tested and effective solutions to scale"/>
  </r>
  <r>
    <x v="33"/>
    <x v="0"/>
    <m/>
    <s v="Tamil Nadu Flood Recovery Project"/>
    <s v="India"/>
    <m/>
    <s v="CARE France"/>
    <s v="Corporation"/>
    <s v="Other"/>
    <s v="BNP Paribas"/>
    <m/>
    <m/>
    <m/>
    <m/>
    <m/>
    <m/>
    <m/>
    <m/>
    <m/>
    <m/>
    <m/>
    <m/>
    <m/>
    <m/>
    <m/>
    <m/>
    <m/>
    <m/>
    <m/>
    <m/>
    <m/>
    <m/>
    <m/>
    <m/>
    <m/>
    <m/>
    <m/>
    <m/>
    <m/>
    <m/>
    <m/>
    <m/>
    <m/>
    <m/>
    <m/>
    <m/>
    <m/>
    <m/>
    <m/>
    <m/>
    <m/>
    <m/>
    <m/>
    <m/>
    <m/>
    <d v="2016-07-11T00:00:00"/>
    <d v="2017-06-30T00:00:00"/>
    <d v="2017-08-31T00:00:00"/>
    <s v="Humanitarian Other"/>
    <n v="56404"/>
    <s v="Nabesh Bohidar"/>
    <s v="Program Manager"/>
    <s v="nbohidar@careindia.org"/>
    <s v="Wasi MD Alam"/>
    <s v="M&amp;E Officer"/>
    <s v="walam@careindia.org"/>
    <s v="YES"/>
    <s v="NO"/>
    <s v="NO"/>
    <s v="Enhanced disaster résilience for marginalized communities especially women and girls affected by the floods in Tamil Nadu, India."/>
    <s v="Sub-National"/>
    <s v="The project works in Cuddalore District, Tamil Nadu"/>
    <s v="The Impact group belong to the the marginalized population (Dalits), especially womn and girls,  who are flood affected."/>
    <n v="235"/>
    <n v="55"/>
    <n v="290"/>
    <n v="556"/>
    <n v="614"/>
    <n v="1170"/>
    <s v="The Direct Participants are the Impact Population whose house construction was supported and those who benefitted from cash for work activity"/>
    <m/>
    <n v="235"/>
    <n v="55"/>
    <n v="290"/>
    <n v="556"/>
    <n v="614"/>
    <n v="1170"/>
    <m/>
    <m/>
    <m/>
    <m/>
    <m/>
    <m/>
    <m/>
    <m/>
    <m/>
    <m/>
    <m/>
    <m/>
    <m/>
    <m/>
    <m/>
    <m/>
    <m/>
    <m/>
    <m/>
    <m/>
    <m/>
    <m/>
    <m/>
    <m/>
    <m/>
    <m/>
    <m/>
    <m/>
    <s v="Yes"/>
    <n v="130"/>
    <n v="0.81"/>
    <n v="585"/>
    <m/>
    <m/>
    <m/>
    <m/>
    <m/>
    <m/>
    <m/>
    <m/>
    <s v="YES"/>
    <n v="130"/>
    <n v="0.85"/>
    <n v="585"/>
    <s v="YES"/>
    <m/>
    <n v="0.5"/>
    <n v="1170"/>
    <m/>
    <m/>
    <m/>
    <m/>
    <m/>
    <m/>
    <m/>
    <m/>
    <m/>
    <m/>
    <m/>
    <m/>
    <m/>
    <m/>
    <m/>
    <m/>
    <m/>
    <m/>
    <m/>
    <m/>
    <m/>
    <m/>
    <m/>
    <m/>
    <m/>
    <m/>
    <m/>
    <m/>
    <m/>
    <m/>
    <m/>
    <m/>
    <m/>
    <m/>
    <m/>
    <m/>
    <m/>
    <m/>
    <m/>
    <m/>
    <m/>
    <m/>
    <m/>
    <m/>
    <m/>
    <m/>
    <m/>
    <m/>
    <m/>
    <m/>
    <m/>
    <m/>
    <m/>
    <m/>
    <m/>
    <m/>
    <m/>
    <m/>
    <m/>
    <m/>
    <m/>
    <m/>
    <m/>
    <m/>
    <m/>
    <m/>
    <m/>
    <m/>
    <m/>
    <m/>
    <m/>
    <m/>
    <m/>
    <m/>
    <m/>
    <m/>
    <m/>
    <m/>
    <m/>
    <m/>
    <s v="YES"/>
    <s v="June"/>
    <n v="2017"/>
    <s v="YES"/>
    <s v="NO"/>
    <m/>
    <m/>
    <s v="NA"/>
    <x v="0"/>
    <m/>
    <m/>
    <s v="YES"/>
    <m/>
    <m/>
    <m/>
    <m/>
    <m/>
    <m/>
    <x v="0"/>
    <m/>
    <x v="0"/>
    <m/>
    <x v="1"/>
    <x v="1"/>
    <s v="NO"/>
    <x v="0"/>
    <x v="0"/>
    <x v="0"/>
    <x v="4"/>
    <n v="3"/>
    <x v="1"/>
    <x v="2"/>
    <x v="1"/>
    <x v="2"/>
    <x v="1"/>
    <x v="4"/>
    <n v="2"/>
    <x v="3"/>
    <x v="2"/>
    <x v="1"/>
    <x v="1"/>
    <x v="5"/>
    <n v="2"/>
    <x v="0"/>
    <x v="3"/>
    <n v="1"/>
    <s v="Local NGO(s)/CSO(s)"/>
    <m/>
    <m/>
    <x v="0"/>
    <s v="civil society organizations invited to participate in the Project Dissemination workshop where in project learning and challenges were shared along with experiences by the beneficiaries and community leaders."/>
    <s v="Purposefully over 80% of the beneiciaries selected for Shelter repair and Cash for work  were women._x000a_Women masons were identified and trained on Disaster Resilient construction. 50% participants were women."/>
    <s v="Ownership of the community in the process of shelter construction"/>
    <s v="Monitoring through Social Monitoring Committees (consisting of community members with 50% women members)"/>
    <m/>
    <s v="Due to closing of sand quarries by the government of Tamil Nadu the shelter renovation got struck without any progress for over a month and badly affected the economic condition of the community as mot of them were daily wage labourers."/>
    <s v="The community contribution for shelter repair became a major challenge. Due to drought condition the beneficiaries capacity to contribute for shelter repair reduced as they had to spend on meeting food requirements for their families."/>
    <m/>
    <m/>
    <s v="Proposal, budget, Quarterly report, Evaluation"/>
    <n v="290"/>
    <n v="1170"/>
    <n v="4.0344827586206895"/>
    <n v="0.81034482758620685"/>
    <n v="0.47521367521367519"/>
    <n v="235"/>
    <n v="556"/>
    <n v="1"/>
    <n v="290"/>
    <n v="1170"/>
    <n v="4.0344827586206895"/>
    <n v="1"/>
    <n v="130"/>
    <n v="585"/>
    <n v="4.5"/>
    <s v=""/>
    <n v="0"/>
    <n v="0"/>
    <s v=""/>
    <s v=""/>
    <n v="0"/>
    <n v="0"/>
    <s v=""/>
    <s v=""/>
    <n v="0"/>
    <n v="0"/>
    <s v=""/>
    <s v="3. Responsive"/>
    <s v="1. Tokenistic"/>
    <s v="3. Responsive"/>
    <s v="It did not develop any specific innovation"/>
    <s v="Little or no advocacy"/>
    <s v="It did not take tested solutions to scale"/>
  </r>
  <r>
    <x v="33"/>
    <x v="0"/>
    <n v="3006"/>
    <s v="Teacher Resource Lab (TRL)"/>
    <s v="India"/>
    <s v="CS217"/>
    <s v="CARE India"/>
    <s v="Corporation"/>
    <s v="Other"/>
    <s v="Charities Aid Foundation"/>
    <m/>
    <m/>
    <m/>
    <m/>
    <m/>
    <m/>
    <m/>
    <m/>
    <m/>
    <m/>
    <m/>
    <m/>
    <m/>
    <m/>
    <m/>
    <m/>
    <m/>
    <m/>
    <m/>
    <m/>
    <m/>
    <m/>
    <m/>
    <m/>
    <m/>
    <m/>
    <m/>
    <m/>
    <m/>
    <m/>
    <m/>
    <m/>
    <m/>
    <m/>
    <m/>
    <m/>
    <m/>
    <m/>
    <m/>
    <m/>
    <m/>
    <m/>
    <m/>
    <m/>
    <m/>
    <d v="2016-04-01T00:00:00"/>
    <d v="2017-03-31T00:00:00"/>
    <d v="2018-03-31T00:00:00"/>
    <s v="Development Other"/>
    <n v="105537"/>
    <s v="S Gayathri"/>
    <s v="Senior Tenchical Specialist"/>
    <s v="sgayathri@careindia.org"/>
    <s v="Vandana Mishra"/>
    <s v="Program Manager"/>
    <s v="vmishra@careindia.org"/>
    <s v="NO"/>
    <s v="YES"/>
    <s v="NO"/>
    <s v="To improve conceptual clarity, sensitivity and instructional methods of teachers in primary grades and in Kasturba Gandhi Balika Vidyalayas (KGBVs) in the domain of language, science and mathematics in select clusters of Uttar Pradesh."/>
    <s v="Sub-National"/>
    <s v="Two Clusters in Bahraich District of Uttar Pradesh"/>
    <s v="Teachers, Head Teachers and Students"/>
    <n v="4155"/>
    <n v="3970"/>
    <n v="8125"/>
    <n v="111000"/>
    <n v="35000"/>
    <n v="146000"/>
    <s v="Direct: Direct participants include children of 24 Primary schools (grade 1-5), 13 Upper Primary Schools (grade 6-8) and 13 KGBVs ((grade 6-8) of two clusters of Bahraich district which have been directly supported by the intervention are included in direct participants. 100 teachers from above schools are also included in direct participants_x000a_Indirect: Indirect participants include children of all other Clusters of the two intervention blocks of Bahraich districts in which CARE is supporting through system have been included in indirect participants. Children of KGBV across the state is also considreded aas indirect reach._x000a_This project has important overlap on participants with other education-related projects in India. The figures reported include only those participants that are NOT double counted. Nonetheless, total figures (with overlap) for the FY include:_x000a_DIRECT: 4,026 women&amp;girls 2,544 men&amp;boys =  6,570 total_x000a_INDIRECT: same as reported"/>
    <m/>
    <m/>
    <m/>
    <m/>
    <m/>
    <m/>
    <m/>
    <m/>
    <m/>
    <m/>
    <m/>
    <m/>
    <m/>
    <m/>
    <m/>
    <m/>
    <m/>
    <m/>
    <m/>
    <m/>
    <m/>
    <m/>
    <m/>
    <m/>
    <m/>
    <m/>
    <m/>
    <m/>
    <m/>
    <m/>
    <m/>
    <m/>
    <m/>
    <m/>
    <m/>
    <m/>
    <m/>
    <m/>
    <m/>
    <m/>
    <m/>
    <m/>
    <m/>
    <m/>
    <m/>
    <m/>
    <m/>
    <m/>
    <m/>
    <m/>
    <m/>
    <m/>
    <m/>
    <m/>
    <m/>
    <m/>
    <m/>
    <m/>
    <m/>
    <m/>
    <n v="2296"/>
    <n v="2288"/>
    <n v="4584"/>
    <n v="104365"/>
    <n v="33456"/>
    <n v="137821"/>
    <m/>
    <m/>
    <m/>
    <m/>
    <m/>
    <m/>
    <m/>
    <m/>
    <m/>
    <m/>
    <m/>
    <m/>
    <m/>
    <m/>
    <m/>
    <m/>
    <m/>
    <m/>
    <m/>
    <m/>
    <s v="YES"/>
    <n v="4584"/>
    <n v="0.61"/>
    <n v="137821"/>
    <m/>
    <m/>
    <m/>
    <m/>
    <m/>
    <m/>
    <m/>
    <m/>
    <m/>
    <m/>
    <m/>
    <m/>
    <m/>
    <m/>
    <m/>
    <m/>
    <m/>
    <m/>
    <m/>
    <m/>
    <m/>
    <m/>
    <m/>
    <m/>
    <m/>
    <m/>
    <m/>
    <m/>
    <m/>
    <m/>
    <m/>
    <m/>
    <m/>
    <m/>
    <m/>
    <m/>
    <m/>
    <m/>
    <m/>
    <m/>
    <m/>
    <m/>
    <m/>
    <m/>
    <m/>
    <s v="NO"/>
    <m/>
    <m/>
    <s v="NO"/>
    <s v="NO"/>
    <m/>
    <m/>
    <m/>
    <x v="2"/>
    <s v="YES"/>
    <m/>
    <s v="YES"/>
    <s v="YES"/>
    <m/>
    <m/>
    <s v="NO"/>
    <m/>
    <m/>
    <x v="1"/>
    <m/>
    <x v="1"/>
    <s v="The TRL has been acknowledged by State government as an innovation and linked with the National flagship program for innovation (Rastriya Awishkar Abhiyan). The concept note is uploaded on the Uttar Pradesh State government website."/>
    <x v="0"/>
    <x v="1"/>
    <s v="YES"/>
    <x v="0"/>
    <x v="0"/>
    <x v="0"/>
    <x v="2"/>
    <n v="4"/>
    <x v="2"/>
    <x v="1"/>
    <x v="1"/>
    <x v="1"/>
    <x v="2"/>
    <x v="5"/>
    <n v="3"/>
    <x v="3"/>
    <x v="2"/>
    <x v="1"/>
    <x v="1"/>
    <x v="5"/>
    <n v="2"/>
    <x v="2"/>
    <x v="1"/>
    <n v="1"/>
    <s v="Local government(s)"/>
    <m/>
    <m/>
    <x v="1"/>
    <m/>
    <m/>
    <s v="Exposure visit of teachers and children premier Institution (CDRI, Homi J Bhaba Science Centre, Vikram Sarabhai Community Science Centre etc.) and establishing linkages between them."/>
    <s v="Equipping TRL with the state of the art material  and conducting &quot;Mentoring Program&quot; focusing on Science, Maths and Technology."/>
    <s v="Establishing the feasibility, cost effectiveness and efficiency of the TRL strategy as part of the cluster approach"/>
    <s v="TRL project has been shortlisted as an innovative model by Scale X Design Accelerator of CARE USA"/>
    <s v="CARE will support the government to scale up this approach in all the 75 districts in the state. Government has asked CARE to design strategy for establishing TRL across the state."/>
    <s v="The challenge is being faced in working with the science and math's teachers (KGBV)as they are part time teachers and it isvery difficult to engange them.  Therefore, to overcome the issue, th Upper Primary Tecahers have been engenged in further activities."/>
    <s v="The Project's  Direct and Indirect reach figures are overlapping) for the following interventions 1) Read and Lead (CS191) , 2) PCTFI COHORT-2 (CS 160) and 3) Start Early:Read in Time (CS111). This project has important overlap on participants with other education-related projects in India. The figures reported include only those participants that are NOT double counted. Nonetheless, total figures (with overlap) for the FY include:_x000a_DIRECT: 4,026 women&amp;girls 2,544 men&amp;boys =  6,570 total_x000a_INDIRECT: same as reported_x000a_"/>
    <m/>
    <n v="4584"/>
    <n v="137821"/>
    <n v="30.065663176265272"/>
    <n v="0.50087260034904013"/>
    <n v="0.75725034646389155"/>
    <n v="2296"/>
    <n v="104365"/>
    <s v=""/>
    <n v="0"/>
    <n v="0"/>
    <s v=""/>
    <s v=""/>
    <n v="0"/>
    <n v="0"/>
    <s v=""/>
    <s v=""/>
    <n v="0"/>
    <n v="0"/>
    <s v=""/>
    <s v=""/>
    <n v="0"/>
    <n v="0"/>
    <s v=""/>
    <s v=""/>
    <n v="0"/>
    <n v="0"/>
    <s v=""/>
    <s v="4. Transformative"/>
    <s v="3. Responsive"/>
    <s v="3. Responsive"/>
    <s v="It tested new ways for fighting poverty, but did not measure results of innovation"/>
    <s v="Intensive advocacy"/>
    <s v="It linked and worked with strategic alliances and partners to take tested and effective solutions to scale"/>
  </r>
  <r>
    <x v="33"/>
    <x v="0"/>
    <n v="3034"/>
    <s v="Technical Assistance and Research for Indian Nutrition and Agriculture (TARINA)"/>
    <s v="India"/>
    <s v="CS181"/>
    <s v="CARE India"/>
    <s v="Foundation"/>
    <s v="Bill &amp; Melinda Gates Foundation"/>
    <s v="Bill &amp; Melinda Gates Foundation"/>
    <m/>
    <m/>
    <m/>
    <m/>
    <m/>
    <m/>
    <m/>
    <m/>
    <m/>
    <m/>
    <m/>
    <m/>
    <m/>
    <m/>
    <m/>
    <m/>
    <m/>
    <m/>
    <m/>
    <m/>
    <m/>
    <m/>
    <m/>
    <m/>
    <m/>
    <m/>
    <m/>
    <m/>
    <m/>
    <m/>
    <m/>
    <m/>
    <m/>
    <m/>
    <m/>
    <m/>
    <m/>
    <m/>
    <m/>
    <m/>
    <m/>
    <m/>
    <m/>
    <m/>
    <m/>
    <d v="2015-12-01T00:00:00"/>
    <d v="2019-11-30T00:00:00"/>
    <m/>
    <s v="Development Food &amp; Nutrition Security and Resilience to Climate Change"/>
    <n v="2500000"/>
    <s v="Anup Kumar Das"/>
    <s v="Deputy Director-TARINA"/>
    <s v="anup@careindia.org"/>
    <m/>
    <m/>
    <m/>
    <s v="NO"/>
    <s v="YES"/>
    <s v="NO"/>
    <s v="Improved access, affordability and consumption of quality diet"/>
    <s v="Sub-National"/>
    <s v="72 villages from Kalahandi and Kandhamal district of Odisha"/>
    <s v="Women Smallholder farmers from economically weaker section and marginal community"/>
    <n v="6084"/>
    <n v="4031"/>
    <n v="10875"/>
    <n v="14140"/>
    <n v="12134"/>
    <n v="26274"/>
    <s v="Project participants in the implmenting area whom CARE provide support directly interms of seeds, fertiliser, training and behavour change communication messaging to change thier life and livilihood  with specially focus on women small holder farmers are called direct participants. Indirect participants are those participants who are getting benefit indirectly out of the project interventions particularly the family members of the intervetions households."/>
    <m/>
    <m/>
    <m/>
    <m/>
    <m/>
    <m/>
    <m/>
    <m/>
    <m/>
    <m/>
    <m/>
    <m/>
    <m/>
    <m/>
    <m/>
    <m/>
    <m/>
    <m/>
    <m/>
    <m/>
    <m/>
    <m/>
    <m/>
    <m/>
    <m/>
    <m/>
    <m/>
    <m/>
    <m/>
    <m/>
    <m/>
    <m/>
    <m/>
    <m/>
    <m/>
    <m/>
    <m/>
    <m/>
    <m/>
    <m/>
    <m/>
    <m/>
    <m/>
    <m/>
    <m/>
    <m/>
    <m/>
    <m/>
    <m/>
    <m/>
    <m/>
    <m/>
    <m/>
    <m/>
    <m/>
    <m/>
    <m/>
    <m/>
    <m/>
    <m/>
    <n v="2134"/>
    <n v="782"/>
    <n v="2916"/>
    <n v="4003"/>
    <n v="502"/>
    <n v="4505"/>
    <m/>
    <m/>
    <m/>
    <m/>
    <m/>
    <m/>
    <m/>
    <m/>
    <m/>
    <m/>
    <m/>
    <m/>
    <m/>
    <m/>
    <m/>
    <m/>
    <m/>
    <m/>
    <m/>
    <m/>
    <m/>
    <m/>
    <m/>
    <m/>
    <s v="YES"/>
    <n v="2916"/>
    <n v="0.73"/>
    <n v="4505"/>
    <m/>
    <m/>
    <m/>
    <m/>
    <m/>
    <m/>
    <m/>
    <m/>
    <m/>
    <m/>
    <m/>
    <m/>
    <m/>
    <m/>
    <m/>
    <m/>
    <m/>
    <m/>
    <m/>
    <m/>
    <m/>
    <m/>
    <m/>
    <m/>
    <m/>
    <m/>
    <m/>
    <m/>
    <m/>
    <m/>
    <m/>
    <m/>
    <m/>
    <m/>
    <m/>
    <m/>
    <m/>
    <m/>
    <m/>
    <m/>
    <m/>
    <s v="NO"/>
    <m/>
    <m/>
    <m/>
    <s v="YES"/>
    <s v="October"/>
    <n v="2017"/>
    <s v="Complition of Intervention Specific Baseline Study by 1st week of October 2017"/>
    <x v="1"/>
    <s v="NO"/>
    <s v="NO"/>
    <s v="YES"/>
    <s v="NO"/>
    <s v="NO"/>
    <s v="NO"/>
    <s v="NO"/>
    <s v="NO"/>
    <m/>
    <x v="0"/>
    <m/>
    <x v="0"/>
    <m/>
    <x v="0"/>
    <x v="1"/>
    <s v="YES"/>
    <x v="0"/>
    <x v="0"/>
    <x v="0"/>
    <x v="2"/>
    <n v="4"/>
    <x v="2"/>
    <x v="1"/>
    <x v="2"/>
    <x v="1"/>
    <x v="2"/>
    <x v="5"/>
    <n v="2"/>
    <x v="3"/>
    <x v="1"/>
    <x v="1"/>
    <x v="1"/>
    <x v="4"/>
    <n v="3"/>
    <x v="0"/>
    <x v="1"/>
    <m/>
    <m/>
    <m/>
    <m/>
    <x v="1"/>
    <m/>
    <m/>
    <s v="Drip irrigation as effective irrigation system for addressing irrigation crisis particulary in year round kitchen gardening"/>
    <s v="Farmer Field School model"/>
    <s v="Crop diversification into pulses/vegetables and legumes"/>
    <s v="Cultivation of post paddy pulses in implementing areas; particularly in Kandhamal district"/>
    <s v="Year round kitchen garden practices among women smallholder farmers due to water scarcity"/>
    <s v="Crop diversification practices among women smallholder farmers"/>
    <s v="Although, TARINA has started since December  2015 and we are in year two (as per the actual start date) but the actual pace of implemenation starts in second quarter of year two and many things are grounded just couple months back in year two hence much of the reporting information not able to provide as this is not in grounded."/>
    <m/>
    <n v="2916"/>
    <n v="4505"/>
    <n v="1.5449245541838135"/>
    <n v="0.73182441700960221"/>
    <n v="0.88856825749167589"/>
    <n v="2134"/>
    <n v="4003"/>
    <s v=""/>
    <n v="0"/>
    <n v="0"/>
    <s v=""/>
    <n v="1"/>
    <n v="2916"/>
    <n v="4505"/>
    <n v="1.5449245541838135"/>
    <s v=""/>
    <n v="0"/>
    <n v="0"/>
    <s v=""/>
    <s v=""/>
    <n v="0"/>
    <n v="0"/>
    <s v=""/>
    <s v=""/>
    <n v="0"/>
    <n v="0"/>
    <s v=""/>
    <s v="4. Transformative"/>
    <s v="3. Responsive"/>
    <s v="4. Transformative"/>
    <s v="It did not develop any specific innovation"/>
    <s v="Moderate advocacy"/>
    <s v="It did not take tested solutions to scale"/>
  </r>
  <r>
    <x v="33"/>
    <x v="0"/>
    <m/>
    <s v="Technical Assistance for ICDS Systems Strengthening and Nutrition Improvement Project (ISSNIP)"/>
    <s v="India"/>
    <m/>
    <s v="CARE India"/>
    <s v="Other"/>
    <s v="The World Bank"/>
    <s v="The World Bank"/>
    <m/>
    <m/>
    <m/>
    <m/>
    <m/>
    <m/>
    <m/>
    <m/>
    <m/>
    <m/>
    <m/>
    <m/>
    <m/>
    <m/>
    <m/>
    <m/>
    <m/>
    <m/>
    <m/>
    <m/>
    <m/>
    <m/>
    <m/>
    <m/>
    <m/>
    <m/>
    <m/>
    <m/>
    <m/>
    <m/>
    <m/>
    <m/>
    <m/>
    <m/>
    <m/>
    <m/>
    <m/>
    <m/>
    <m/>
    <m/>
    <m/>
    <m/>
    <m/>
    <m/>
    <m/>
    <d v="2016-01-16T00:00:00"/>
    <d v="2018-03-31T00:00:00"/>
    <m/>
    <s v="Development Other"/>
    <n v="499392"/>
    <s v="Dr. Hemant Shah"/>
    <s v="Chief of Party, Bihar Technical Support Program (TSU)"/>
    <s v="hshah@careindia.org"/>
    <s v="Sunil Babu"/>
    <s v="Senior Technical Director SPM"/>
    <s v="sunilb@careindia.org"/>
    <s v="NO"/>
    <s v="YES"/>
    <s v="NO"/>
    <s v="The overarching goal of supporting the Government of India's efforts to improve nutritional  and early childhood development outcomes of children in India"/>
    <s v="Sub-National"/>
    <s v="The project coverage is in 162 districts in 8 States of India, which encompass 1865 blocks"/>
    <s v="Women in age group of 15 to 35 and under five children"/>
    <m/>
    <m/>
    <m/>
    <n v="100128205"/>
    <n v="23803224"/>
    <n v="123931429"/>
    <s v="Since this is an advocacy initiative, there is are no direct participants. Iindirect reach has been calculated as 'Total number of currently married women in age group of 15-49 and under five children as per 2017' in ISSNIP (8) states."/>
    <m/>
    <m/>
    <m/>
    <m/>
    <m/>
    <m/>
    <m/>
    <m/>
    <m/>
    <m/>
    <m/>
    <m/>
    <m/>
    <m/>
    <m/>
    <m/>
    <m/>
    <m/>
    <m/>
    <m/>
    <m/>
    <m/>
    <m/>
    <m/>
    <m/>
    <m/>
    <m/>
    <m/>
    <m/>
    <m/>
    <m/>
    <m/>
    <m/>
    <m/>
    <m/>
    <m/>
    <m/>
    <m/>
    <m/>
    <m/>
    <m/>
    <m/>
    <m/>
    <m/>
    <m/>
    <m/>
    <m/>
    <m/>
    <m/>
    <m/>
    <m/>
    <m/>
    <m/>
    <m/>
    <m/>
    <m/>
    <m/>
    <m/>
    <m/>
    <m/>
    <m/>
    <m/>
    <m/>
    <m/>
    <m/>
    <m/>
    <m/>
    <m/>
    <m/>
    <m/>
    <m/>
    <m/>
    <m/>
    <m/>
    <m/>
    <m/>
    <m/>
    <m/>
    <m/>
    <m/>
    <m/>
    <m/>
    <m/>
    <m/>
    <m/>
    <m/>
    <m/>
    <m/>
    <m/>
    <m/>
    <s v="YES"/>
    <m/>
    <m/>
    <m/>
    <m/>
    <m/>
    <m/>
    <m/>
    <m/>
    <m/>
    <m/>
    <m/>
    <m/>
    <m/>
    <m/>
    <m/>
    <m/>
    <m/>
    <m/>
    <m/>
    <m/>
    <m/>
    <m/>
    <m/>
    <m/>
    <m/>
    <m/>
    <m/>
    <m/>
    <m/>
    <m/>
    <m/>
    <m/>
    <m/>
    <m/>
    <m/>
    <m/>
    <m/>
    <m/>
    <m/>
    <m/>
    <m/>
    <m/>
    <m/>
    <m/>
    <s v="NO"/>
    <m/>
    <m/>
    <s v="NO"/>
    <s v="NO"/>
    <m/>
    <m/>
    <s v="In this techinical assistance project reaching a large population across multiple geographies, through government program platform, there is no plan to measure impact attirbutable to our efforts alone. The government program's performance is planned to be measured through periodic population level surveys like NFHS (DHS for India) and contribution of CARE's inputs to government program quality improvement will get measured through such assessments."/>
    <x v="1"/>
    <s v="YES"/>
    <m/>
    <s v="YES"/>
    <s v="YES"/>
    <s v="YES"/>
    <s v="YES"/>
    <s v="YES"/>
    <m/>
    <m/>
    <x v="0"/>
    <m/>
    <x v="0"/>
    <m/>
    <x v="0"/>
    <x v="0"/>
    <s v="YES"/>
    <x v="0"/>
    <x v="0"/>
    <x v="0"/>
    <x v="0"/>
    <n v="4"/>
    <x v="1"/>
    <x v="1"/>
    <x v="1"/>
    <x v="1"/>
    <x v="1"/>
    <x v="1"/>
    <n v="4"/>
    <x v="1"/>
    <x v="1"/>
    <x v="1"/>
    <x v="1"/>
    <x v="1"/>
    <n v="3"/>
    <x v="2"/>
    <x v="1"/>
    <n v="1"/>
    <s v="University/research institution(s)"/>
    <m/>
    <m/>
    <x v="1"/>
    <m/>
    <m/>
    <s v="Use of IT enabled tools to supplement one-to-one communication"/>
    <s v="Integrating structured review of progress on previously planned actions is essential"/>
    <m/>
    <s v="Government relations require continuity in our staff engagement - same team members continuing to engage for a project is very effective"/>
    <s v="Use of data and technical reference material is helpful to ensure consistent information dissemination down the cascade of training/ orientations"/>
    <m/>
    <s v="In this techinical assistance project reaching a large population across multiple geographies, through government program platform, there is no plan to measure impact attirbutable to our efforts alone. The government program's performance is planned ot be measured through periodic population level surveys like NFHS (DHS for India) and contribution of CARE's inputs to government program quality improvement will get measured through such assessments."/>
    <m/>
    <n v="0"/>
    <n v="0"/>
    <s v=""/>
    <s v=""/>
    <s v=""/>
    <n v="0"/>
    <n v="0"/>
    <s v=""/>
    <n v="0"/>
    <n v="0"/>
    <s v=""/>
    <n v="1"/>
    <n v="0"/>
    <n v="0"/>
    <s v=""/>
    <s v=""/>
    <n v="0"/>
    <n v="0"/>
    <s v=""/>
    <s v=""/>
    <n v="0"/>
    <n v="0"/>
    <s v=""/>
    <s v=""/>
    <n v="0"/>
    <n v="0"/>
    <s v=""/>
    <s v="2. Sensitive"/>
    <s v="2. Accommodating"/>
    <s v="2. Sensitive"/>
    <s v="It did not develop any specific innovation"/>
    <s v="Moderate advocacy"/>
    <s v="It did not take tested solutions to scale"/>
  </r>
  <r>
    <x v="33"/>
    <x v="0"/>
    <n v="3024"/>
    <s v="Technical Support to the Government of Bihar: Improving Health, Nutrition Coverage and Outcome (TSU)"/>
    <s v="India"/>
    <s v="CS077"/>
    <s v="CARE USA"/>
    <s v="Foundation"/>
    <s v="Bill &amp; Melinda Gates Foundation"/>
    <s v="Bill &amp; Melinda Gates Foundation"/>
    <m/>
    <m/>
    <m/>
    <m/>
    <m/>
    <m/>
    <m/>
    <m/>
    <m/>
    <m/>
    <m/>
    <m/>
    <m/>
    <m/>
    <m/>
    <m/>
    <m/>
    <m/>
    <m/>
    <m/>
    <m/>
    <m/>
    <m/>
    <m/>
    <m/>
    <m/>
    <m/>
    <m/>
    <m/>
    <m/>
    <m/>
    <m/>
    <m/>
    <m/>
    <m/>
    <m/>
    <m/>
    <m/>
    <m/>
    <m/>
    <m/>
    <m/>
    <m/>
    <m/>
    <m/>
    <d v="2013-08-11T00:00:00"/>
    <d v="2018-10-31T00:00:00"/>
    <m/>
    <s v="Development Other"/>
    <n v="47652289.68"/>
    <s v="Dr.Hemant Shah"/>
    <s v="Chief of Party, Bihar Technical Support Program (TSU)"/>
    <s v="hshah@careindia.org"/>
    <s v="Sunil Babu"/>
    <s v="Senior Technical Director : SPM"/>
    <s v="sunilb@careindia.org"/>
    <s v="NO"/>
    <s v="YES"/>
    <s v="NO"/>
    <s v="To strengthen public health systems and capabilities of service providers in order to impact improved maternal, newborn, child and adloscent health outcomes in Bihar"/>
    <s v="Sub-National"/>
    <s v="The project works in the 534 blocks across the 38 districts and 9 divisions of the state of Bihar, India"/>
    <s v="Pregnant women, Lactating mothers, New Born Babies, Infants and Children upto the age of 5 years, Eligible Couples,  all men and women in the community in the state of Bihar seeking Family Planning services"/>
    <n v="21229755"/>
    <n v="2362390"/>
    <n v="23592145"/>
    <n v="39568264"/>
    <n v="44952908"/>
    <n v="84521172"/>
    <s v="Direct Reach:  Total number of currently married women in age group of 15-49 and children under 0-2 years._x000a_Indirect Reach: Total rural population of Bihar after deducting direct reach. In the indirect reach of TSU mentioned as 82 million includes proportion of population above 49 year of age group as well. This was because the project reaches out to CARE givers (who are not always the mother of the children; it include grandparents/elderly who do not go out for work) with awareness and messages on child nutrition, immunisation, dietary diversity and feeding practices, birth preparedness plan, family planning, danger sign identification during pregnancy etc; SMS messages on health and nutrition/immunisation are sent to households in general. The elderly is reached as they are important decision-makers and influencers in young couples lives especially in the context of social norm and customs followed in family relationship in a household in India. Hence, from the point of view reach to those segment of the population imparted with awareness and general knowledge building on the above aspect on health and nutrition, all members of household included. This was the logic and that’s why it was included. _x000a_If you think, this is not a right representation, we can exclude the proportion of population above the 49 years. Please let me know what you think. We can estimate and send it you immediately._x000a_"/>
    <m/>
    <m/>
    <m/>
    <m/>
    <m/>
    <m/>
    <m/>
    <m/>
    <m/>
    <m/>
    <m/>
    <m/>
    <m/>
    <m/>
    <m/>
    <m/>
    <m/>
    <m/>
    <m/>
    <m/>
    <m/>
    <m/>
    <m/>
    <m/>
    <m/>
    <m/>
    <m/>
    <m/>
    <m/>
    <m/>
    <m/>
    <m/>
    <m/>
    <m/>
    <m/>
    <m/>
    <m/>
    <m/>
    <m/>
    <m/>
    <m/>
    <m/>
    <m/>
    <m/>
    <m/>
    <m/>
    <m/>
    <m/>
    <m/>
    <m/>
    <m/>
    <m/>
    <m/>
    <m/>
    <m/>
    <m/>
    <m/>
    <m/>
    <m/>
    <m/>
    <n v="21229755"/>
    <n v="2362390"/>
    <n v="23592145"/>
    <n v="39568264"/>
    <n v="42776500"/>
    <n v="82344764"/>
    <m/>
    <m/>
    <m/>
    <m/>
    <m/>
    <m/>
    <m/>
    <m/>
    <m/>
    <m/>
    <m/>
    <m/>
    <m/>
    <m/>
    <m/>
    <m/>
    <m/>
    <m/>
    <m/>
    <m/>
    <m/>
    <m/>
    <m/>
    <m/>
    <s v="YES"/>
    <n v="4614043"/>
    <n v="0.48"/>
    <m/>
    <m/>
    <m/>
    <m/>
    <m/>
    <m/>
    <m/>
    <m/>
    <m/>
    <m/>
    <m/>
    <m/>
    <m/>
    <m/>
    <m/>
    <m/>
    <m/>
    <m/>
    <m/>
    <m/>
    <m/>
    <m/>
    <m/>
    <m/>
    <m/>
    <s v="YES"/>
    <n v="23592145"/>
    <n v="0.9"/>
    <n v="82344764"/>
    <m/>
    <m/>
    <m/>
    <m/>
    <m/>
    <m/>
    <m/>
    <m/>
    <m/>
    <m/>
    <m/>
    <m/>
    <m/>
    <s v="NO"/>
    <m/>
    <m/>
    <s v="NO"/>
    <s v="NO"/>
    <m/>
    <m/>
    <s v="As per project plan, annual assessments are being conducted to know the progress being made in achieving outcomes and some of the impact parameters. Data from Such annual surveys are supplemented with additional theme-specific/ intervention-specific quantiative and qualitative studies. Data from all the annual surveys and studies are comprarable with each other and are extensively used by the project team as well as the funding partner."/>
    <x v="1"/>
    <s v="YES"/>
    <s v="YES"/>
    <s v="YES"/>
    <s v="YES"/>
    <s v="YES"/>
    <s v="YES"/>
    <s v="YES"/>
    <s v="YES"/>
    <m/>
    <x v="0"/>
    <m/>
    <x v="0"/>
    <m/>
    <x v="0"/>
    <x v="0"/>
    <s v="YES"/>
    <x v="0"/>
    <x v="0"/>
    <x v="0"/>
    <x v="0"/>
    <n v="4"/>
    <x v="1"/>
    <x v="1"/>
    <x v="1"/>
    <x v="1"/>
    <x v="1"/>
    <x v="1"/>
    <n v="4"/>
    <x v="1"/>
    <x v="1"/>
    <x v="1"/>
    <x v="1"/>
    <x v="1"/>
    <n v="3"/>
    <x v="2"/>
    <x v="0"/>
    <n v="3"/>
    <s v="International NGO(s)"/>
    <s v="Local government(s)"/>
    <s v="International NGO(s)"/>
    <x v="1"/>
    <m/>
    <s v="Extension of the project efforts through a new grant from same funding partner is being executed to continue CARE's contributions to the state of Bihar."/>
    <s v="Advocacy with the Government stakeholders at multiple levels from state to block level"/>
    <s v="Focus on both supply system strengthening and demand creation (as well as Behavior Change communication) simultaneously"/>
    <s v="Engagement with multiple departments and partners for a sustained period of time and leveraging the voice of Gates Foundation's leaders"/>
    <s v="Counselling materials which have been designed for ANC, PNC, family planning and Complimentary feeding and HSC meeting has been used as a platform to share these materials. It has been observed that this methods of working with FLWs has been emerged as a most popular knowledge sharing platform to making FLWs more active, to equipped them with skills, as well as helping them to plan their day to days task more accurately."/>
    <s v="Form LQAS study it has been observed that there were 66 blokes in Bihar where maximum home deliveries are taking place. In an intervention line, CARE had considered these as an individual packets and tried to find out the specific reasons of home delivery, individual micro plan has been developed for the betterment of newborn care and recently delivered mother in these block by program team and as well as this tracking mechanism has ensuring to start non-function delivery point of these block. This initiative worked well and has greater potential to increase the proportion of institutional delivery in future."/>
    <m/>
    <m/>
    <s v="Project Proposal, Half Yearly LQAS reports, National Survey reports, Other Program MLE reports"/>
    <n v="23592145"/>
    <n v="82344764"/>
    <n v="3.4903466386799504"/>
    <n v="0.89986540011516547"/>
    <n v="0.48051948998238675"/>
    <n v="21229755"/>
    <n v="39568264"/>
    <s v=""/>
    <n v="0"/>
    <n v="0"/>
    <s v=""/>
    <n v="1"/>
    <n v="4614043"/>
    <n v="0"/>
    <n v="0"/>
    <n v="1"/>
    <n v="23592145"/>
    <n v="82344764"/>
    <n v="3.4903466386799504"/>
    <s v=""/>
    <n v="0"/>
    <n v="0"/>
    <s v=""/>
    <s v=""/>
    <n v="0"/>
    <n v="0"/>
    <s v=""/>
    <s v="2. Sensitive"/>
    <s v="2. Accommodating"/>
    <s v="2. Sensitive"/>
    <s v="It did not develop any specific innovation"/>
    <s v="Moderate advocacy"/>
    <s v="It did not take tested solutions to scale"/>
  </r>
  <r>
    <x v="33"/>
    <x v="0"/>
    <n v="3007"/>
    <s v="Udaan - Accelerating Learning Program For Dropout Girls"/>
    <s v="India"/>
    <s v="CS177"/>
    <s v="CARE India"/>
    <s v="Foundation"/>
    <s v="Other"/>
    <s v="SYMENTAC Foundation"/>
    <s v="CS197"/>
    <s v="CARE India"/>
    <s v="Corporation"/>
    <s v="Other"/>
    <s v="SPX Flow"/>
    <s v="CS166"/>
    <s v="CARE India"/>
    <s v="Foundation"/>
    <s v="Other"/>
    <s v="Peierls Foundation"/>
    <s v="CS213"/>
    <s v="CARE India"/>
    <s v="Corporation"/>
    <s v="Other"/>
    <s v="Discover"/>
    <s v="CS202"/>
    <s v="CARE India"/>
    <s v="Foundation"/>
    <s v="Other"/>
    <s v="Glamour"/>
    <m/>
    <m/>
    <m/>
    <m/>
    <m/>
    <m/>
    <m/>
    <m/>
    <m/>
    <m/>
    <m/>
    <m/>
    <m/>
    <m/>
    <m/>
    <m/>
    <m/>
    <m/>
    <m/>
    <m/>
    <m/>
    <m/>
    <m/>
    <m/>
    <m/>
    <d v="2016-01-30T00:00:00"/>
    <d v="2017-06-30T00:00:00"/>
    <m/>
    <s v="Development Other"/>
    <n v="300910"/>
    <s v="Seema Rajput"/>
    <s v="Technical Specialist"/>
    <s v="srajput@careindia.org"/>
    <s v="Abhishek Bhatnagar"/>
    <s v="Sr Manager-Education"/>
    <s v="abhatnagar@careindia.org"/>
    <s v="NO"/>
    <s v="YES"/>
    <s v="NO"/>
    <s v="1-To ensure participation of out of school girls in age appropriate grades in mainstream schools._x000a_2-Break the social and psychological barriers which made girls believe that education is unimportant and irrelevant_x000a_3-Provide a competent accelerated system to complete primary education._x000a_4-Develop independent and critical thinking abilities, analytical skills and a spirit of inquiry_x000a_5-Equip girls with information, skills and attitudes to deal with the world from  a position of strength"/>
    <s v="Sub-National"/>
    <s v="1-Hardoi district of Uttar Pradesh,_x000a_2-Nuh District, Haryana _x000a_3-Mayurbhanj District, Odisha"/>
    <s v="Hardoi: Girls from deprived &amp; marginalized communities in selected block of Hardoi and teachers of UDAAN_x000a_Mewat: Girls from deprived &amp; marginalized Meo-Muslim community from selected villages of Nuh district and teachers of Udaan_x000a_Mayurbhanj:Girls from deprived &amp; marginalized communities (Adivasi) in the seleteced block of Mayurbhanj district and teachers of Udaan"/>
    <n v="300"/>
    <n v="0"/>
    <n v="300"/>
    <n v="724"/>
    <n v="932"/>
    <n v="1656"/>
    <s v="Direct: The direct figures include the girls who are enrolled in the UDAAN residential camp, SMC members of the Udaan and parents of girls.                                                                                                              _x000a__x000a_Indirect: The indirect participants include parents of the girl and communities where the girls belong to and are instrumental in creating an environment for change, who were reached out through events and village level meetings. The number of community members are not being tracked in numerical terms. For rough calculation to know the indirect reach 5 family members per girls is being calculated. (male and female figure is calculated on the basis of 53 % male and 47 % female of total population as per District-Census 2011 )"/>
    <m/>
    <m/>
    <m/>
    <m/>
    <m/>
    <m/>
    <m/>
    <m/>
    <m/>
    <m/>
    <m/>
    <m/>
    <m/>
    <m/>
    <m/>
    <m/>
    <m/>
    <m/>
    <m/>
    <m/>
    <m/>
    <m/>
    <m/>
    <m/>
    <m/>
    <m/>
    <m/>
    <m/>
    <m/>
    <m/>
    <m/>
    <m/>
    <m/>
    <m/>
    <m/>
    <m/>
    <m/>
    <m/>
    <m/>
    <m/>
    <m/>
    <m/>
    <m/>
    <m/>
    <m/>
    <m/>
    <m/>
    <m/>
    <m/>
    <m/>
    <m/>
    <m/>
    <m/>
    <m/>
    <m/>
    <m/>
    <m/>
    <m/>
    <m/>
    <m/>
    <n v="262"/>
    <n v="0"/>
    <n v="262"/>
    <n v="672"/>
    <n v="874"/>
    <n v="1546"/>
    <m/>
    <m/>
    <m/>
    <m/>
    <m/>
    <m/>
    <m/>
    <m/>
    <m/>
    <m/>
    <m/>
    <m/>
    <m/>
    <m/>
    <m/>
    <m/>
    <m/>
    <m/>
    <m/>
    <m/>
    <s v="YES"/>
    <n v="262"/>
    <n v="1"/>
    <n v="1546"/>
    <m/>
    <m/>
    <m/>
    <m/>
    <m/>
    <m/>
    <m/>
    <m/>
    <m/>
    <m/>
    <m/>
    <m/>
    <m/>
    <m/>
    <m/>
    <m/>
    <m/>
    <m/>
    <m/>
    <m/>
    <m/>
    <m/>
    <m/>
    <m/>
    <m/>
    <m/>
    <m/>
    <m/>
    <m/>
    <m/>
    <m/>
    <m/>
    <m/>
    <m/>
    <m/>
    <m/>
    <m/>
    <m/>
    <m/>
    <m/>
    <m/>
    <m/>
    <m/>
    <m/>
    <m/>
    <s v="YES"/>
    <s v="April"/>
    <n v="2016"/>
    <s v="NO"/>
    <s v="YES"/>
    <s v="March"/>
    <n v="2018"/>
    <s v="Pre-test (Basleline) is conducted to assess the learning level of girls on certain competencies at the beginning of the camp and at the end of the session post-test (evaluation)  is done with girls to mesuare the changes in their learning level. To know the perception of girls about gender and to measure leadership skill ,GEI and YLI is also being conducted with them in the begining and at the end of the session."/>
    <x v="2"/>
    <s v="YES"/>
    <s v="NO"/>
    <s v="YES"/>
    <s v="YES"/>
    <s v="YES"/>
    <m/>
    <s v="NO"/>
    <s v="NO"/>
    <m/>
    <x v="0"/>
    <m/>
    <x v="1"/>
    <s v="Udaan has been recognised as a model for special training program centre for out of school girls and use of specific curriculumn across the state in KGBVs is actualy originated from Udaan."/>
    <x v="0"/>
    <x v="1"/>
    <s v="YES"/>
    <x v="0"/>
    <x v="0"/>
    <x v="0"/>
    <x v="2"/>
    <n v="4"/>
    <x v="2"/>
    <x v="1"/>
    <x v="1"/>
    <x v="1"/>
    <x v="2"/>
    <x v="5"/>
    <n v="3"/>
    <x v="3"/>
    <x v="2"/>
    <x v="1"/>
    <x v="1"/>
    <x v="5"/>
    <n v="2"/>
    <x v="2"/>
    <x v="2"/>
    <n v="3"/>
    <s v="Local NGO(s)/CSO(s)"/>
    <m/>
    <m/>
    <x v="2"/>
    <m/>
    <m/>
    <s v="Formation of &quot;Clubs&quot; (Dance club, Music club, sports club etc.) to cultivate leadership and creative skills among girls and Formation of School Management Committee of Udaan,"/>
    <s v="Internship program for Udaan pass out girls"/>
    <s v="Use of technology by girls in learning process,Alumni meet"/>
    <s v="Use of special training curriculumn (developed by CARE for out of school girls) in KGBVs across the State."/>
    <s v="Promising practice-Community ownership enhanced by their meaningful engagment in Udaan and IT enabled teaching in Udaan"/>
    <s v="Lack of funds and Sub grantee accountability is very important as without this promising model like Udaan can not function"/>
    <m/>
    <m/>
    <n v="262"/>
    <n v="1546"/>
    <n v="5.9007633587786259"/>
    <n v="1"/>
    <n v="0.43467011642949549"/>
    <n v="262"/>
    <n v="672"/>
    <s v=""/>
    <n v="0"/>
    <n v="0"/>
    <s v=""/>
    <s v=""/>
    <n v="0"/>
    <n v="0"/>
    <s v=""/>
    <s v=""/>
    <n v="0"/>
    <n v="0"/>
    <s v=""/>
    <s v=""/>
    <n v="0"/>
    <n v="0"/>
    <s v=""/>
    <s v=""/>
    <n v="0"/>
    <n v="0"/>
    <s v=""/>
    <s v="4. Transformative"/>
    <s v="3. Responsive"/>
    <s v="3. Responsive"/>
    <s v="It did not develop any specific innovation"/>
    <s v="Intensive advocacy"/>
    <s v="It linked and worked with strategic alliances and partners to take tested and effective solutions to scale"/>
  </r>
  <r>
    <x v="33"/>
    <x v="0"/>
    <n v="3036"/>
    <s v="Where the Rain Falls (WtRF) II-III"/>
    <s v="India"/>
    <s v="CS211"/>
    <s v="CARE France"/>
    <s v="Corporation"/>
    <s v="Other"/>
    <s v="AXA"/>
    <m/>
    <m/>
    <s v="Corporation"/>
    <m/>
    <m/>
    <m/>
    <m/>
    <m/>
    <m/>
    <m/>
    <m/>
    <m/>
    <m/>
    <m/>
    <m/>
    <m/>
    <m/>
    <m/>
    <m/>
    <m/>
    <m/>
    <m/>
    <m/>
    <m/>
    <m/>
    <m/>
    <m/>
    <m/>
    <m/>
    <m/>
    <m/>
    <m/>
    <m/>
    <m/>
    <m/>
    <m/>
    <m/>
    <m/>
    <m/>
    <m/>
    <m/>
    <m/>
    <m/>
    <m/>
    <m/>
    <d v="2017-01-01T00:00:00"/>
    <d v="2019-12-31T00:00:00"/>
    <m/>
    <s v="Development Food &amp; Nutrition Security and Resilience to Climate Change"/>
    <n v="605920"/>
    <s v="Bharati Joshi"/>
    <s v="Technical Director - Economic Development Unit"/>
    <s v="bjoshi@careindia.org"/>
    <s v="Devabalan. R"/>
    <s v="Project Manager"/>
    <s v="rdevabalan@careindia.org"/>
    <s v="NO"/>
    <s v="YES"/>
    <s v="NO"/>
    <s v="General objective:  To enhance the resilience of marginalized population from Central India to climate risks and climate change by building their adaptive capacities. _x000a_Specific objective(s) (SOs): (1) ; To support communities to move towards more climate-resilient livelihoods and (2): To contribute to the integration of climate risks &amp; climate change in policies &amp; practices of other stakeholders"/>
    <s v="Sub-National"/>
    <s v="50 Villages from Bagicha (20) and Pathalgaon (20) Blocks of Jashpur district of Chhattisgarh state and  Jalgaon Jamod (10) block of Buldhana district of Maharashtra state in India"/>
    <s v="The main impact group of the project is women from Adivasi (Scheduled Tribe) communities from remotest regions of Chattisgarsh and Maharashtra state"/>
    <n v="3000"/>
    <n v="1422"/>
    <n v="4422"/>
    <n v="4806"/>
    <n v="4780"/>
    <n v="9586"/>
    <s v="Direct participants are Adivasi women targeted by the project for strengthening their resilience through agriculture, livelihood, governance and natrual resource management, those who participated in project activities &amp; trainings. _x000a_Indirect participants are other members of the household (spouses and children) of adivasi women who benefitted from project activities."/>
    <m/>
    <m/>
    <m/>
    <m/>
    <m/>
    <m/>
    <m/>
    <m/>
    <m/>
    <m/>
    <m/>
    <m/>
    <m/>
    <m/>
    <m/>
    <m/>
    <m/>
    <m/>
    <m/>
    <m/>
    <m/>
    <m/>
    <m/>
    <m/>
    <m/>
    <m/>
    <m/>
    <m/>
    <m/>
    <m/>
    <m/>
    <m/>
    <m/>
    <m/>
    <m/>
    <m/>
    <m/>
    <m/>
    <m/>
    <m/>
    <m/>
    <m/>
    <m/>
    <m/>
    <m/>
    <m/>
    <m/>
    <m/>
    <m/>
    <m/>
    <m/>
    <m/>
    <m/>
    <m/>
    <m/>
    <m/>
    <m/>
    <m/>
    <m/>
    <m/>
    <n v="3055"/>
    <n v="1422"/>
    <n v="4477"/>
    <n v="4806"/>
    <n v="4780"/>
    <n v="9586"/>
    <s v="YES"/>
    <n v="1750"/>
    <n v="0.8"/>
    <n v="1305"/>
    <s v="YES"/>
    <n v="3379"/>
    <n v="0.57999999999999996"/>
    <n v="9586"/>
    <m/>
    <m/>
    <m/>
    <m/>
    <s v="YES"/>
    <n v="950"/>
    <n v="0.53"/>
    <n v="2105"/>
    <m/>
    <m/>
    <m/>
    <m/>
    <m/>
    <m/>
    <m/>
    <m/>
    <m/>
    <m/>
    <m/>
    <m/>
    <m/>
    <m/>
    <m/>
    <m/>
    <s v="YES"/>
    <n v="1788"/>
    <n v="1"/>
    <n v="1267"/>
    <m/>
    <m/>
    <m/>
    <m/>
    <m/>
    <m/>
    <m/>
    <m/>
    <s v="YES"/>
    <n v="192"/>
    <n v="0.28000000000000003"/>
    <n v="1200"/>
    <m/>
    <m/>
    <m/>
    <m/>
    <m/>
    <m/>
    <m/>
    <m/>
    <s v="YES"/>
    <n v="3641"/>
    <n v="0.8"/>
    <n v="4241"/>
    <m/>
    <m/>
    <m/>
    <m/>
    <m/>
    <m/>
    <m/>
    <m/>
    <m/>
    <s v="YES"/>
    <s v="January"/>
    <n v="2017"/>
    <s v="YES"/>
    <s v="YES"/>
    <s v="November"/>
    <n v="2017"/>
    <s v="The project is planing to carry out several impact assessment studies in this phase of the project to understaand what extent community resilience is strengthened through collective actions and the team also developed M&amp;E / Results frame work to guide learning agenda for the project"/>
    <x v="1"/>
    <m/>
    <m/>
    <s v="YES"/>
    <s v="YES"/>
    <m/>
    <s v="YES"/>
    <s v="YES"/>
    <m/>
    <m/>
    <x v="1"/>
    <s v="The project introduced Participatory Scenario Based Planning for helping local community to engage with public service providers for better management of risks"/>
    <x v="1"/>
    <s v="The current phase of the project is aiming for scaling up current activities through alliance and partnership building"/>
    <x v="1"/>
    <x v="1"/>
    <s v="YES"/>
    <x v="0"/>
    <x v="0"/>
    <x v="0"/>
    <x v="2"/>
    <n v="4"/>
    <x v="2"/>
    <x v="1"/>
    <x v="1"/>
    <x v="1"/>
    <x v="1"/>
    <x v="2"/>
    <n v="4"/>
    <x v="3"/>
    <x v="1"/>
    <x v="1"/>
    <x v="1"/>
    <x v="4"/>
    <n v="3"/>
    <x v="3"/>
    <x v="2"/>
    <n v="3"/>
    <s v="Grassroots organization(s)"/>
    <s v="Local NGO(s)/CSO(s)"/>
    <s v="Local government(s)"/>
    <x v="0"/>
    <s v="CARE Trained elected representative of Panchayat Raj Institutions on their roles and responsbilities and CARE also helped communities to develop Community Action Plans to help community to influence planing of Gram panchayat further CARE trained Adivasi women on their rights to access forest resources besides training them on Forest Rights Act"/>
    <s v="The project organized reflection exercises in April 2017 to determine key activites for strengthening resilience of women and it has been decided to develop Gender Dialogue tool for facilitating interaction between men and women from adivasi communities to discuss and identify GBV against women and the project also planning to test its best working strategies on water conservation and community based adpatation planning at another disaster prone area in Maharashtra state"/>
    <s v="Water &amp; soil  conservation efforts are helping farmers to double cropping season"/>
    <s v="Farmer Field Schools are effective in reducing crop investment cost and minimizing use of chemical fertilizers"/>
    <s v="Village Development Committee role is critical in promoting community participation in Planning adapatation measure"/>
    <s v="(1) Increasing community participation in developing community based adaptation plan for addressing climate change remains greatest challenge and the project is revising its strategy to strengthen village development committee to take up leadership and ownership to take up community led action against climate change"/>
    <s v="(2) Engaging with government department is crticial for deepening impact the project collaborated with district agriculture department and KVK ( Krishi Vigyan Kendra) for training farmers on new cropping methods and besides helping them to benefit from subsidized schemes 400 farmers in Pathalgaon block benefitted from seeds and other agriculture input services"/>
    <s v="(3) Gender integration is critical in sustaining the impact, both spouses needs to be trained on agricuture practices, this leads to greater participation of men in sharing responsibilities with women particularly on transplantation and de weeding"/>
    <s v="The project has introduced standardized  data collection tools and reporting process for collecting, analysing and reporting reliable data besides that the project also developed results frame work to help the team in focusing on M&amp;E activities by defining indicators, frequency of data collection and how data will be used for different purpose"/>
    <s v="https://careindia.sharepoint.com/teams/projects/wtrf/Pages/Home.aspx"/>
    <n v="4477"/>
    <n v="9586"/>
    <n v="2.1411659593477776"/>
    <n v="0.68237659146750052"/>
    <n v="0.50135614437721676"/>
    <n v="3055"/>
    <n v="4806"/>
    <s v=""/>
    <n v="0"/>
    <n v="0"/>
    <s v=""/>
    <n v="1"/>
    <n v="3641"/>
    <n v="9586"/>
    <n v="2.6327931886844276"/>
    <s v=""/>
    <n v="0"/>
    <n v="0"/>
    <s v=""/>
    <s v=""/>
    <n v="0"/>
    <n v="0"/>
    <s v=""/>
    <s v=""/>
    <n v="0"/>
    <n v="0"/>
    <s v=""/>
    <s v="4. Transformative"/>
    <s v="4. Transformational"/>
    <s v="4. Transformative"/>
    <s v="It tested new ways for fighting poverty, but did not measure results of innovation"/>
    <s v="Moderate advocacy"/>
    <s v="It linked and worked with strategic alliances and partners to take tested and effective solutions to scale"/>
  </r>
  <r>
    <x v="33"/>
    <x v="0"/>
    <n v="3035"/>
    <s v="Women Leadership in Small and Medium Enterprises (WLSME)"/>
    <s v="India"/>
    <s v="CS088"/>
    <s v="CARE USA"/>
    <s v="Government"/>
    <s v="Government - US"/>
    <s v="USAID"/>
    <m/>
    <m/>
    <m/>
    <m/>
    <m/>
    <m/>
    <m/>
    <m/>
    <m/>
    <m/>
    <m/>
    <m/>
    <m/>
    <m/>
    <m/>
    <m/>
    <m/>
    <m/>
    <m/>
    <m/>
    <m/>
    <m/>
    <m/>
    <m/>
    <m/>
    <m/>
    <m/>
    <m/>
    <m/>
    <m/>
    <m/>
    <m/>
    <m/>
    <m/>
    <m/>
    <m/>
    <m/>
    <m/>
    <m/>
    <m/>
    <m/>
    <m/>
    <m/>
    <m/>
    <m/>
    <d v="2012-09-28T00:00:00"/>
    <d v="2015-09-27T00:00:00"/>
    <d v="2016-12-31T00:00:00"/>
    <s v="Development Access to and Control over Economic Resources"/>
    <n v="1497973"/>
    <s v="Bharati Joshi"/>
    <s v="Technical Director - Economic Development Unit"/>
    <s v="bjoshi@careindia.org"/>
    <m/>
    <m/>
    <m/>
    <s v="NO"/>
    <s v="YES"/>
    <s v="NO"/>
    <s v="To strengthen skills, capacities and capabilities of women own, managed MSMEs (Micro, Small and Medium Enterprises) by facilitating effective relationships among women entrepreneurs and with value chain actors mainly by promoting an enabling environment, more positive attitude and behaviour towards women entrepreneurs from family members and other stakeholders."/>
    <s v="Sub-National"/>
    <s v="State: Tamilnadu; Districts: Cuddalore; Block: Panruti"/>
    <s v="210 Women owned / managed Cashew processing Small and Medium Enterprises"/>
    <n v="210"/>
    <n v="30"/>
    <n v="240"/>
    <n v="10125"/>
    <n v="3870"/>
    <n v="13995"/>
    <s v="Direct participants are women entrepreneurs (small and medium) enterprises, men are male champions who have played a direct role in ensuring that project targets are met_x000a__x000a_Indirect participants are employees of 210 SMEs and their family members who have been benefitted indirectly by the intervention."/>
    <m/>
    <m/>
    <m/>
    <m/>
    <m/>
    <m/>
    <m/>
    <m/>
    <m/>
    <m/>
    <m/>
    <m/>
    <m/>
    <m/>
    <m/>
    <m/>
    <m/>
    <m/>
    <m/>
    <m/>
    <m/>
    <m/>
    <m/>
    <m/>
    <m/>
    <m/>
    <m/>
    <m/>
    <m/>
    <m/>
    <m/>
    <m/>
    <m/>
    <m/>
    <m/>
    <m/>
    <m/>
    <m/>
    <m/>
    <m/>
    <m/>
    <m/>
    <m/>
    <m/>
    <m/>
    <m/>
    <m/>
    <m/>
    <m/>
    <m/>
    <m/>
    <m/>
    <m/>
    <m/>
    <m/>
    <m/>
    <m/>
    <m/>
    <m/>
    <m/>
    <n v="210"/>
    <n v="30"/>
    <n v="240"/>
    <n v="10125"/>
    <n v="3870"/>
    <n v="13995"/>
    <m/>
    <m/>
    <m/>
    <m/>
    <m/>
    <m/>
    <m/>
    <m/>
    <m/>
    <m/>
    <m/>
    <m/>
    <m/>
    <m/>
    <m/>
    <m/>
    <s v="YES"/>
    <n v="240"/>
    <n v="0.88"/>
    <n v="13995"/>
    <m/>
    <m/>
    <m/>
    <m/>
    <m/>
    <m/>
    <m/>
    <m/>
    <m/>
    <m/>
    <m/>
    <m/>
    <m/>
    <m/>
    <m/>
    <m/>
    <m/>
    <m/>
    <m/>
    <m/>
    <m/>
    <m/>
    <m/>
    <m/>
    <m/>
    <m/>
    <m/>
    <m/>
    <s v="YES"/>
    <n v="106"/>
    <n v="1"/>
    <n v="13995"/>
    <m/>
    <m/>
    <m/>
    <m/>
    <m/>
    <m/>
    <m/>
    <m/>
    <s v="YES"/>
    <n v="240"/>
    <n v="0.88"/>
    <n v="13995"/>
    <m/>
    <m/>
    <m/>
    <m/>
    <m/>
    <s v="NO"/>
    <m/>
    <m/>
    <s v="NO"/>
    <s v="YES"/>
    <m/>
    <m/>
    <s v="With completion of the program on 31st December 2016, the final evaluation will be done by an external agency selected by donor in regular six month intervals for three times. First evalaution is scheduled on June 2017"/>
    <x v="0"/>
    <m/>
    <m/>
    <m/>
    <m/>
    <m/>
    <m/>
    <m/>
    <m/>
    <m/>
    <x v="1"/>
    <s v="Collectivising entrepreneurs, developing a registered Cashew Women Entrepreneur Network, establishing a Business Facilitation Centre, developing easy self monitoring tools"/>
    <x v="0"/>
    <m/>
    <x v="2"/>
    <x v="1"/>
    <s v="YES"/>
    <x v="0"/>
    <x v="0"/>
    <x v="0"/>
    <x v="2"/>
    <n v="4"/>
    <x v="2"/>
    <x v="1"/>
    <x v="1"/>
    <x v="1"/>
    <x v="1"/>
    <x v="2"/>
    <n v="4"/>
    <x v="1"/>
    <x v="1"/>
    <x v="1"/>
    <x v="1"/>
    <x v="1"/>
    <n v="3"/>
    <x v="2"/>
    <x v="0"/>
    <n v="1"/>
    <s v="University/research institution(s)"/>
    <m/>
    <m/>
    <x v="2"/>
    <m/>
    <s v="Not Applicable ; WLSME is a RCT based program - No changes / adjustments can be made."/>
    <s v="Training and Involving locally reknowned  experts from the project village help in reaching the cashew SMEs more effectively."/>
    <s v="Role model and change leader are effective in taking forward the ideas / activities to the SMEs."/>
    <s v="Expsoure visits and cross visits to other SMEs, units help target SMEs to understand and create positive attitude change in adoption of best practises"/>
    <s v="Business facilitation centre with its regular SMS through mobile phone able to share technical information more effectively"/>
    <s v="Peer introduction and trust led network among SMEs play a major role in business processes"/>
    <s v="Interface meetings with stakeholders and personal one to one visit and discussion by government stakeholders and value chain actors are effective in sensitising the SMEs requirements from supply and demand end."/>
    <s v="Video documentation of activities / strategies help in sharing the WLSME activity with other stakeholders involved."/>
    <m/>
    <n v="240"/>
    <n v="13995"/>
    <n v="58.3125"/>
    <n v="0.875"/>
    <n v="0.72347266881028938"/>
    <n v="210"/>
    <n v="10125"/>
    <s v=""/>
    <n v="0"/>
    <n v="0"/>
    <s v=""/>
    <n v="1"/>
    <n v="240"/>
    <n v="13995"/>
    <n v="58.3125"/>
    <s v=""/>
    <n v="0"/>
    <n v="0"/>
    <s v=""/>
    <s v=""/>
    <n v="0"/>
    <n v="0"/>
    <s v=""/>
    <n v="1"/>
    <n v="240"/>
    <n v="13995"/>
    <n v="58.3125"/>
    <s v="4. Transformative"/>
    <s v="4. Transformational"/>
    <s v="2. Sensitive"/>
    <s v="It tested new ways for fighting poverty, but did not measure results of innovation"/>
    <s v="Little or no advocacy"/>
    <s v="It did not take tested solutions to scale"/>
  </r>
  <r>
    <x v="34"/>
    <x v="0"/>
    <m/>
    <s v="Bintang Muda (Young Star)"/>
    <s v="Indonesia"/>
    <s v="IDN 561"/>
    <s v="CARE Nederland"/>
    <s v="Corporation"/>
    <s v="Other"/>
    <s v="H&amp;M Conscious Foundation"/>
    <m/>
    <m/>
    <m/>
    <m/>
    <m/>
    <m/>
    <m/>
    <m/>
    <m/>
    <m/>
    <m/>
    <m/>
    <m/>
    <m/>
    <m/>
    <m/>
    <m/>
    <m/>
    <m/>
    <m/>
    <m/>
    <m/>
    <m/>
    <m/>
    <m/>
    <m/>
    <m/>
    <m/>
    <m/>
    <m/>
    <m/>
    <m/>
    <m/>
    <m/>
    <m/>
    <m/>
    <m/>
    <m/>
    <m/>
    <m/>
    <m/>
    <m/>
    <m/>
    <m/>
    <m/>
    <d v="2015-06-15T00:00:00"/>
    <d v="2016-08-31T00:00:00"/>
    <d v="2017-02-28T00:00:00"/>
    <s v="Development Other"/>
    <n v="165061"/>
    <s v="Erlyn Shukmadewi"/>
    <s v="EED Manager/Business Development Specialist"/>
    <s v="erlyn_shukmadewi@careind.or.id"/>
    <s v="M. Idhan"/>
    <s v="Project Officer"/>
    <s v="muhammad.idhan@careind.or.id"/>
    <s v="NO"/>
    <s v="YES"/>
    <s v="NO"/>
    <s v="200 young women will be more resilient and empowered to make decisions about their future, be equipped with basic entrepreneurial and financial litercy skills, and disaster preparedness skills to start their own individual/group business or make improvements to their existing micro/small business in order to stay competitive within the market (SIAP)._x000a_40 young women who operate small business or will be helped to start up businesses, selected from the most promising of the original 200, participants for additional training, coaching and mentoring in business plan, production, efficiency, quality, market and financial access. they will serve as role models for the remaining 160 young women from SIAP. _x000a_2,000 women (4,000 people, 600 households), will receive information from SIAP participants on basic entrepreneurial and financial literacy skills by 100 pairs of SIAP participants."/>
    <s v="Sub-National"/>
    <s v="Makassar South Sulawesi"/>
    <s v="Direct: 200 young women, 2,000 friends of young women. Indirect: families of 2,2000 women"/>
    <n v="2200"/>
    <n v="0"/>
    <n v="2200"/>
    <n v="4400"/>
    <n v="4400"/>
    <n v="8800"/>
    <s v="The program works directly with 20 Trainers and 200 women, and we have included 60 men in sensitisation sessions. The women are required to socialize to other five women friends and neihbour (1000 women), as well to the government and local community leaders (200).  We count their families as indirects at 5280 (household size is 4)."/>
    <m/>
    <m/>
    <m/>
    <m/>
    <m/>
    <m/>
    <m/>
    <m/>
    <m/>
    <m/>
    <m/>
    <m/>
    <m/>
    <m/>
    <m/>
    <m/>
    <m/>
    <m/>
    <m/>
    <m/>
    <m/>
    <m/>
    <m/>
    <m/>
    <m/>
    <m/>
    <m/>
    <m/>
    <m/>
    <m/>
    <m/>
    <m/>
    <m/>
    <m/>
    <m/>
    <m/>
    <m/>
    <m/>
    <m/>
    <m/>
    <m/>
    <m/>
    <m/>
    <m/>
    <m/>
    <m/>
    <m/>
    <m/>
    <m/>
    <m/>
    <m/>
    <m/>
    <m/>
    <m/>
    <m/>
    <m/>
    <m/>
    <m/>
    <m/>
    <m/>
    <n v="2255"/>
    <n v="50"/>
    <n v="2305"/>
    <n v="4930"/>
    <n v="4770"/>
    <n v="9700"/>
    <s v="NO"/>
    <m/>
    <m/>
    <m/>
    <s v="NO"/>
    <m/>
    <m/>
    <m/>
    <s v="NO"/>
    <m/>
    <m/>
    <m/>
    <s v="NO"/>
    <m/>
    <m/>
    <m/>
    <s v="NO"/>
    <m/>
    <m/>
    <m/>
    <s v="YES"/>
    <n v="2200"/>
    <n v="1"/>
    <n v="9700"/>
    <s v="NO"/>
    <m/>
    <m/>
    <m/>
    <s v="NO"/>
    <m/>
    <m/>
    <m/>
    <s v="YES"/>
    <n v="200"/>
    <n v="1"/>
    <n v="600"/>
    <s v="NO"/>
    <m/>
    <m/>
    <m/>
    <s v="NO"/>
    <m/>
    <m/>
    <m/>
    <s v="NO"/>
    <m/>
    <m/>
    <m/>
    <s v="NO"/>
    <m/>
    <m/>
    <m/>
    <s v="NO"/>
    <m/>
    <m/>
    <m/>
    <s v="NO"/>
    <m/>
    <m/>
    <m/>
    <s v="YES"/>
    <n v="205"/>
    <n v="1"/>
    <n v="615"/>
    <m/>
    <m/>
    <m/>
    <m/>
    <m/>
    <s v="YES"/>
    <s v="June"/>
    <n v="2017"/>
    <s v="YES"/>
    <s v="YES"/>
    <s v="January"/>
    <n v="2018"/>
    <m/>
    <x v="0"/>
    <m/>
    <m/>
    <s v="YES"/>
    <m/>
    <m/>
    <m/>
    <m/>
    <m/>
    <m/>
    <x v="0"/>
    <m/>
    <x v="0"/>
    <m/>
    <x v="0"/>
    <x v="0"/>
    <s v="YES"/>
    <x v="0"/>
    <x v="0"/>
    <x v="0"/>
    <x v="0"/>
    <n v="4"/>
    <x v="1"/>
    <x v="1"/>
    <x v="1"/>
    <x v="1"/>
    <x v="1"/>
    <x v="1"/>
    <n v="4"/>
    <x v="1"/>
    <x v="1"/>
    <x v="1"/>
    <x v="1"/>
    <x v="1"/>
    <n v="3"/>
    <x v="2"/>
    <x v="0"/>
    <n v="1"/>
    <s v="Local alliance(s)/Platform(s)/Network(s) of  NGOs/CSOs"/>
    <s v="Local NGO(s)/CSO(s)"/>
    <s v="International NGO(s)"/>
    <x v="0"/>
    <s v="Partnership meetings led to collaborative actions to strengthen both partners and the community"/>
    <m/>
    <s v="strengthen local NGOs partners and universities in relevant issues to young entrepreneurs"/>
    <m/>
    <m/>
    <s v="targeting young women and open opportunity to become entrepreneurs"/>
    <s v="working with different stakeholders"/>
    <m/>
    <m/>
    <m/>
    <n v="2305"/>
    <n v="9700"/>
    <n v="4.2082429501084597"/>
    <n v="0.97830802603036882"/>
    <n v="0.50824742268041234"/>
    <n v="2255"/>
    <n v="4930"/>
    <s v=""/>
    <n v="0"/>
    <n v="0"/>
    <s v=""/>
    <s v=""/>
    <n v="0"/>
    <n v="0"/>
    <s v=""/>
    <s v=""/>
    <n v="0"/>
    <n v="0"/>
    <s v=""/>
    <s v=""/>
    <n v="0"/>
    <n v="0"/>
    <s v=""/>
    <n v="1"/>
    <n v="205"/>
    <n v="615"/>
    <n v="3"/>
    <s v="2. Sensitive"/>
    <s v="2. Accommodating"/>
    <s v="2. Sensitive"/>
    <s v="It did not develop any specific innovation"/>
    <s v="Little or no advocacy"/>
    <s v="It did not take tested solutions to scale"/>
  </r>
  <r>
    <x v="34"/>
    <x v="0"/>
    <m/>
    <s v="Bintang Muda (Young Star)"/>
    <s v="Indonesia"/>
    <s v="IDN 561"/>
    <s v="CARE Nederland"/>
    <s v="Corporation"/>
    <s v="Other"/>
    <s v="H&amp;M Conscious Foundation"/>
    <m/>
    <m/>
    <m/>
    <m/>
    <m/>
    <m/>
    <m/>
    <m/>
    <m/>
    <m/>
    <m/>
    <m/>
    <m/>
    <m/>
    <m/>
    <m/>
    <m/>
    <m/>
    <m/>
    <m/>
    <m/>
    <m/>
    <m/>
    <m/>
    <m/>
    <m/>
    <m/>
    <m/>
    <m/>
    <m/>
    <m/>
    <m/>
    <m/>
    <m/>
    <m/>
    <m/>
    <m/>
    <m/>
    <m/>
    <m/>
    <m/>
    <m/>
    <m/>
    <m/>
    <m/>
    <d v="2013-10-31T00:00:00"/>
    <d v="2016-03-31T00:00:00"/>
    <d v="2017-02-28T00:00:00"/>
    <s v="Development Other"/>
    <n v="1045641"/>
    <s v="Magdalena Yuanita Wake"/>
    <s v="Project Manager"/>
    <s v="magdalena_wake@careind.or.id"/>
    <s v="Erlyn Shukmadewi"/>
    <s v="EED Manager/Business Development Specialist"/>
    <s v="erlyn_shukmadewi@careind.or.id"/>
    <s v="NO"/>
    <s v="YES"/>
    <s v="NO"/>
    <s v="To assist national development through enhancing the commercial value of the agricultural business in eastern Indonesia. Through the ADVANCE Project, CARE will provide technical assistance to small holders to increase their productivity and efficiency in pig farming."/>
    <s v="Sub-National"/>
    <s v="City of Kupang and District of Kupang, East Nusa Tenggara"/>
    <s v="Small holders farmers managing pig livestock, government officer providing technical assistance in the area, and supply chain"/>
    <n v="910"/>
    <n v="910"/>
    <n v="1820"/>
    <n v="3650"/>
    <n v="3650"/>
    <n v="7300"/>
    <s v="Direct participants: 300 Small holder farmers, 1,500 neighbor of small holder farmers, 20 local government. Indirect families of all direct participants (times 4)."/>
    <m/>
    <m/>
    <m/>
    <m/>
    <m/>
    <m/>
    <m/>
    <m/>
    <m/>
    <m/>
    <m/>
    <m/>
    <m/>
    <m/>
    <m/>
    <m/>
    <m/>
    <m/>
    <m/>
    <m/>
    <m/>
    <m/>
    <m/>
    <m/>
    <m/>
    <m/>
    <m/>
    <m/>
    <m/>
    <m/>
    <m/>
    <m/>
    <m/>
    <m/>
    <m/>
    <m/>
    <m/>
    <m/>
    <m/>
    <m/>
    <m/>
    <m/>
    <m/>
    <m/>
    <m/>
    <m/>
    <m/>
    <m/>
    <m/>
    <m/>
    <m/>
    <m/>
    <m/>
    <m/>
    <m/>
    <m/>
    <m/>
    <m/>
    <m/>
    <m/>
    <n v="2259"/>
    <n v="1263"/>
    <n v="3522"/>
    <n v="7144"/>
    <n v="7144"/>
    <n v="14288"/>
    <s v="YES"/>
    <n v="302"/>
    <n v="0.65"/>
    <n v="604"/>
    <s v="NO"/>
    <m/>
    <m/>
    <m/>
    <s v="NO"/>
    <m/>
    <m/>
    <m/>
    <s v="NO"/>
    <m/>
    <m/>
    <m/>
    <s v="YES"/>
    <n v="302"/>
    <n v="0.65"/>
    <n v="604"/>
    <s v="NO"/>
    <m/>
    <m/>
    <m/>
    <s v="NO"/>
    <m/>
    <m/>
    <m/>
    <s v="NO"/>
    <m/>
    <m/>
    <m/>
    <s v="YES"/>
    <n v="196"/>
    <n v="1"/>
    <n v="784"/>
    <s v="NO"/>
    <m/>
    <m/>
    <m/>
    <s v="NO"/>
    <m/>
    <m/>
    <m/>
    <s v="NO"/>
    <m/>
    <m/>
    <m/>
    <s v="NO"/>
    <m/>
    <m/>
    <m/>
    <s v="NO"/>
    <m/>
    <m/>
    <m/>
    <s v="NO"/>
    <m/>
    <m/>
    <m/>
    <s v="YES"/>
    <n v="50"/>
    <n v="1"/>
    <n v="200"/>
    <m/>
    <m/>
    <m/>
    <m/>
    <m/>
    <s v="YES"/>
    <s v="June"/>
    <n v="2017"/>
    <s v="YES"/>
    <s v="YES"/>
    <s v="January"/>
    <n v="2018"/>
    <m/>
    <x v="0"/>
    <m/>
    <m/>
    <s v="YES"/>
    <s v="YES"/>
    <m/>
    <m/>
    <s v="YES"/>
    <m/>
    <m/>
    <x v="2"/>
    <s v="Introducing fermented pig pen from local row materials that reduce use of clean water"/>
    <x v="1"/>
    <s v="Working closely with local government, to replicated the approach and training modules to other communities"/>
    <x v="0"/>
    <x v="0"/>
    <s v="YES"/>
    <x v="0"/>
    <x v="0"/>
    <x v="0"/>
    <x v="0"/>
    <n v="4"/>
    <x v="1"/>
    <x v="1"/>
    <x v="1"/>
    <x v="1"/>
    <x v="1"/>
    <x v="1"/>
    <n v="4"/>
    <x v="1"/>
    <x v="1"/>
    <x v="1"/>
    <x v="1"/>
    <x v="1"/>
    <n v="3"/>
    <x v="3"/>
    <x v="2"/>
    <n v="3"/>
    <s v="Local alliance(s)/Platform(s)/Network(s) of  NGOs/CSOs"/>
    <s v="Local NGO(s)/CSO(s)"/>
    <s v="International NGO(s)"/>
    <x v="0"/>
    <s v="Partnership meetings led to collaborative actions to strengthen both partners and the community"/>
    <s v="Develop and promote VSLA groups in absent of formal financial support for livestock player"/>
    <s v="strengthen local NGOs partners and universities in relevant issues to pig/livestock management"/>
    <s v="Develop and promote VSLA groups in absent of formal financial support for livestock player"/>
    <s v="Online pig marketing to improve supply chain"/>
    <s v="working and mobilizing resources from different stakeholders"/>
    <s v="emphazise on innovative livestock management that can be applied to others easily"/>
    <m/>
    <m/>
    <m/>
    <n v="3522"/>
    <n v="14288"/>
    <n v="4.0567859170925606"/>
    <n v="0.641396933560477"/>
    <n v="0.5"/>
    <n v="2259"/>
    <n v="7144"/>
    <s v=""/>
    <n v="0"/>
    <n v="0"/>
    <s v=""/>
    <n v="1"/>
    <n v="302"/>
    <n v="604"/>
    <n v="2"/>
    <s v=""/>
    <n v="0"/>
    <n v="0"/>
    <s v=""/>
    <s v=""/>
    <n v="0"/>
    <n v="0"/>
    <s v=""/>
    <n v="1"/>
    <n v="196.3"/>
    <n v="392.6"/>
    <n v="2"/>
    <s v="2. Sensitive"/>
    <s v="2. Accommodating"/>
    <s v="2. Sensitive"/>
    <s v="It tested new ways for fighting poverty and measured results of innovation"/>
    <s v="Little or no advocacy"/>
    <s v="It linked and worked with strategic alliances and partners to take tested and effective solutions to scale"/>
  </r>
  <r>
    <x v="34"/>
    <x v="0"/>
    <n v="565"/>
    <s v="Partners for Resilience Strategic Partnership"/>
    <s v="Indonesia"/>
    <s v="ID 565"/>
    <s v="CARE Nederland"/>
    <s v="Government"/>
    <s v="Government - Netherlands"/>
    <s v="Ministry of Foreign Affairs of the Netherlands "/>
    <m/>
    <m/>
    <m/>
    <m/>
    <m/>
    <m/>
    <m/>
    <m/>
    <m/>
    <m/>
    <m/>
    <m/>
    <m/>
    <m/>
    <m/>
    <m/>
    <m/>
    <m/>
    <m/>
    <m/>
    <m/>
    <m/>
    <m/>
    <m/>
    <m/>
    <m/>
    <m/>
    <m/>
    <m/>
    <m/>
    <m/>
    <m/>
    <m/>
    <m/>
    <m/>
    <m/>
    <m/>
    <m/>
    <m/>
    <m/>
    <m/>
    <m/>
    <m/>
    <m/>
    <m/>
    <d v="2016-01-10T00:00:00"/>
    <d v="2020-12-31T00:00:00"/>
    <m/>
    <s v="Development Food &amp; Nutrition Security and Resilience to Climate Change"/>
    <n v="378770"/>
    <s v="Kartika Juwita"/>
    <s v="Program Manager"/>
    <s v="kartika_juwita@careind.or.id"/>
    <m/>
    <m/>
    <m/>
    <s v="NO"/>
    <s v="YES"/>
    <s v="NO"/>
    <s v="Vulnerable people are more resilient to crises in the face of climate change and environmental degradation, enabling sustainable inclusive economic growth"/>
    <s v="National"/>
    <s v="Indonesia, Province (Jakarta and East Nusa Tenggara), Districts (Kupang and TTS), City (Jakarta and Kupang), and 10 communities (Tuak Daun Merah, Oesapa, Nunsaen, Batnun, Oelbiteno, Oekiu, Naip, Tolnako, Oelatimo and Linamnutu)"/>
    <s v="Village government, Village facilitators, district government and communities (woman groups, farmer groups, people with disability)"/>
    <n v="20567"/>
    <n v="22383"/>
    <n v="42950"/>
    <n v="78053"/>
    <n v="182123"/>
    <n v="260176"/>
    <s v="Under the PfR SP 2016-2020, CARE International Indonesia and partner will focus on enabling community groups and village governments to advocate for IRM (Integrated Risk Management) to be streamlined in local, provincial, regional and national legislation, and in doing so enable communities to access government resources to build their resilience. Building the capacity of local CSOs, women’s groups, and other community stakeholders to use evidence to advocate for IRM, and in turn building the capacity of governments to understand the value of IRM and why it should be integrated into development planning, will be central to these efforts. Direct participants who are directly involved in activities that CARE and partners intervention that recorded in logbook of activities and policies dialogue. Indirect participants who are getting indirect impact from policies dialogue that CARE and partners conducted."/>
    <m/>
    <m/>
    <m/>
    <m/>
    <m/>
    <m/>
    <m/>
    <m/>
    <m/>
    <m/>
    <m/>
    <m/>
    <m/>
    <m/>
    <m/>
    <m/>
    <m/>
    <m/>
    <m/>
    <m/>
    <m/>
    <m/>
    <m/>
    <m/>
    <m/>
    <m/>
    <m/>
    <m/>
    <m/>
    <m/>
    <m/>
    <m/>
    <m/>
    <m/>
    <m/>
    <m/>
    <m/>
    <m/>
    <m/>
    <m/>
    <m/>
    <m/>
    <m/>
    <m/>
    <m/>
    <m/>
    <m/>
    <m/>
    <m/>
    <m/>
    <m/>
    <m/>
    <m/>
    <m/>
    <m/>
    <m/>
    <m/>
    <m/>
    <m/>
    <m/>
    <n v="345"/>
    <n v="711"/>
    <n v="1056"/>
    <n v="3367"/>
    <n v="6789"/>
    <n v="10156"/>
    <s v="YES"/>
    <n v="65"/>
    <n v="0.23"/>
    <n v="130"/>
    <s v="YES"/>
    <n v="409"/>
    <n v="0.28999999999999998"/>
    <n v="1227"/>
    <s v="NO"/>
    <m/>
    <m/>
    <m/>
    <s v="YES"/>
    <n v="21"/>
    <n v="0.1"/>
    <n v="63"/>
    <s v="NO"/>
    <m/>
    <m/>
    <m/>
    <s v="NO"/>
    <m/>
    <m/>
    <m/>
    <s v="YES"/>
    <n v="65"/>
    <n v="0.23"/>
    <n v="260"/>
    <s v="YES"/>
    <n v="60"/>
    <n v="0.2"/>
    <n v="120"/>
    <s v="YES"/>
    <n v="117"/>
    <n v="0.61"/>
    <n v="468"/>
    <s v="NO"/>
    <m/>
    <m/>
    <m/>
    <s v="NO"/>
    <m/>
    <m/>
    <m/>
    <s v="YES"/>
    <n v="12"/>
    <n v="0.42"/>
    <n v="24"/>
    <s v="YES"/>
    <n v="391"/>
    <n v="0.34"/>
    <n v="1564"/>
    <s v="NO"/>
    <m/>
    <m/>
    <m/>
    <s v="NO"/>
    <m/>
    <m/>
    <m/>
    <s v="NO"/>
    <m/>
    <m/>
    <m/>
    <m/>
    <m/>
    <m/>
    <m/>
    <m/>
    <s v="YES"/>
    <s v="June"/>
    <n v="2017"/>
    <s v="YES"/>
    <s v="YES"/>
    <s v="March"/>
    <n v="2018"/>
    <m/>
    <x v="1"/>
    <m/>
    <m/>
    <s v="YES"/>
    <s v="YES"/>
    <s v="YES"/>
    <s v="YES"/>
    <s v="YES"/>
    <s v="NO"/>
    <m/>
    <x v="0"/>
    <s v="Integrated Risk Management Approach and gender responsive are incorporated with local development planning"/>
    <x v="1"/>
    <s v="Development plan and Watershed/lowland approach"/>
    <x v="1"/>
    <x v="0"/>
    <s v="YES"/>
    <x v="0"/>
    <x v="0"/>
    <x v="0"/>
    <x v="0"/>
    <n v="4"/>
    <x v="2"/>
    <x v="1"/>
    <x v="1"/>
    <x v="1"/>
    <x v="2"/>
    <x v="5"/>
    <n v="3"/>
    <x v="3"/>
    <x v="1"/>
    <x v="2"/>
    <x v="1"/>
    <x v="5"/>
    <n v="2"/>
    <x v="2"/>
    <x v="0"/>
    <n v="1"/>
    <s v="Local alliance(s)/Platform(s)/Network(s) of  NGOs/CSOs"/>
    <s v="National government"/>
    <s v="Local government(s)"/>
    <x v="0"/>
    <s v="Capacity assessments of partners in the program (5) and strategy for building capacity for advocacy and policy development. This FY we introduced all partners to media training."/>
    <s v="Gender prespective incorporated into planning and implementation of local development planning integrated risk management"/>
    <s v="None yet: year 1 of 5 year program"/>
    <s v="In local context, engaging men is a culture, and man always be invited in every event, however woman participation should be encourage to advocate their rights"/>
    <m/>
    <s v="Need to pay more attention to ensuring that direct beneficiaries are encourage to share their learning with others"/>
    <s v="Government mechanism included beaucrarcy, policy, program, re-sturcture including political dynamic at all level"/>
    <s v="Working as alliance to introduce Integrated Risk Assesment (IRM) is a challenge to ensure the key messages achieve"/>
    <s v="As the global project (implement in 10 countries) PfR SP at global level should provide the clear guidance, tools and guideline in advocacy strategy and program management to measure the impact to countries, however that was takes time and Indonesia took initiaves to develop country advocacy strategy including planning, monitoring and evaluation tools and become model for other countries."/>
    <s v="https://drive.google.com/open?id=0BxwmnffkiDW4Qm1kLW1PcXBKaVk"/>
    <n v="1056"/>
    <n v="10156"/>
    <n v="9.6174242424242422"/>
    <n v="0.32670454545454547"/>
    <n v="0.3315281606931863"/>
    <n v="345"/>
    <n v="3367"/>
    <s v=""/>
    <n v="0"/>
    <n v="0"/>
    <s v=""/>
    <n v="1"/>
    <n v="409"/>
    <n v="1227"/>
    <n v="3"/>
    <s v=""/>
    <n v="0"/>
    <n v="0"/>
    <s v=""/>
    <n v="1"/>
    <n v="60"/>
    <n v="120"/>
    <n v="2"/>
    <s v=""/>
    <n v="0"/>
    <n v="0"/>
    <s v=""/>
    <s v="2. Sensitive"/>
    <s v="3. Responsive"/>
    <s v="3. Responsive"/>
    <s v="It did not develop any specific innovation"/>
    <s v="Moderate advocacy"/>
    <s v="It linked and worked with strategic alliances and partners to take tested and effective solutions to scale"/>
  </r>
  <r>
    <x v="34"/>
    <x v="0"/>
    <m/>
    <s v="Personal Advancement and Carrer Enhancement (PACE)"/>
    <s v="Indonesia"/>
    <s v="ID 571 IDN 129"/>
    <s v="CARE USA"/>
    <s v="Corporation"/>
    <s v="Other"/>
    <s v="GAP Inc."/>
    <m/>
    <m/>
    <m/>
    <m/>
    <m/>
    <m/>
    <m/>
    <m/>
    <m/>
    <m/>
    <m/>
    <m/>
    <m/>
    <m/>
    <m/>
    <m/>
    <m/>
    <m/>
    <m/>
    <m/>
    <m/>
    <m/>
    <m/>
    <m/>
    <m/>
    <m/>
    <m/>
    <m/>
    <m/>
    <m/>
    <m/>
    <m/>
    <m/>
    <m/>
    <m/>
    <m/>
    <m/>
    <m/>
    <m/>
    <m/>
    <m/>
    <m/>
    <m/>
    <m/>
    <m/>
    <d v="2016-02-01T00:00:00"/>
    <d v="2017-01-31T00:00:00"/>
    <d v="2017-02-28T00:00:00"/>
    <s v="Development Other"/>
    <n v="124440"/>
    <s v="Erlyn Shukmadewi"/>
    <s v="EED Manager/Business Development Specialist"/>
    <s v="erlyn_shukmadewi@careind.or.id"/>
    <s v="Andik Fatahillah"/>
    <s v="Project Officer"/>
    <s v="andik_fatahillah@careind.or.id"/>
    <s v="NO"/>
    <s v="YES"/>
    <s v="NO"/>
    <s v="The objective of the P.A.C.E. program is to improve women and youth basic lifeskills by delivering five core P.A.C.E. modules:  Communication; Problem Solving and Decision-Making; Time and Stress Management; Financial Literacy; Water, Sanitation and Hygine; as well as Small Business Module for self-employment or micro-enterprise women. The purpose of this pilot program to showcase to other river communities how improved lifeskills contribute to more effective women and youth participation in family and community decision including increased influence on government or community social organization interventions that aim to increase urban resilience of the Marunda river side population."/>
    <s v="Sub-National"/>
    <s v="Marunda, Cilincing Sub-District, North Jakarta District, Jakarta Province, Indonesia"/>
    <s v="The PACE in community-based project will predominantly support women and youth in poor communities who live on the river banks in Jakarta, especially in Marunda Village. P.A.C.E. activities will provide women and youth with a critical set of life skills that will empower them to more effectively participate and better influence in their society."/>
    <n v="1320"/>
    <n v="100"/>
    <n v="1420"/>
    <n v="3640"/>
    <n v="1640"/>
    <n v="5280"/>
    <s v="The program works directly with 20 Trainers and 200 women, and we have included 60 men in sensitisation sessions. The women are required to socialize to other five women friends and neihbour (1000 women), as well to the government and local community leaders (200).  We count their families as indirects at 5280 (household size is 4)."/>
    <m/>
    <m/>
    <m/>
    <m/>
    <m/>
    <m/>
    <m/>
    <m/>
    <m/>
    <m/>
    <m/>
    <m/>
    <m/>
    <m/>
    <m/>
    <m/>
    <m/>
    <m/>
    <m/>
    <m/>
    <m/>
    <m/>
    <m/>
    <m/>
    <m/>
    <m/>
    <m/>
    <m/>
    <m/>
    <m/>
    <m/>
    <m/>
    <m/>
    <m/>
    <m/>
    <m/>
    <m/>
    <m/>
    <m/>
    <m/>
    <m/>
    <m/>
    <m/>
    <m/>
    <m/>
    <m/>
    <m/>
    <m/>
    <m/>
    <m/>
    <m/>
    <m/>
    <m/>
    <m/>
    <m/>
    <m/>
    <m/>
    <m/>
    <m/>
    <m/>
    <n v="1626"/>
    <n v="100"/>
    <n v="1726"/>
    <n v="4507"/>
    <n v="1997"/>
    <n v="6504"/>
    <s v="NO"/>
    <m/>
    <m/>
    <m/>
    <s v="NO"/>
    <m/>
    <m/>
    <m/>
    <s v="NO"/>
    <m/>
    <m/>
    <m/>
    <s v="NO"/>
    <m/>
    <m/>
    <m/>
    <s v="NO"/>
    <m/>
    <m/>
    <m/>
    <s v="YES"/>
    <n v="271"/>
    <n v="1"/>
    <n v="542"/>
    <s v="NO"/>
    <m/>
    <m/>
    <m/>
    <s v="NO"/>
    <m/>
    <m/>
    <m/>
    <s v="YES"/>
    <n v="271"/>
    <n v="1"/>
    <n v="542"/>
    <s v="NO"/>
    <m/>
    <m/>
    <m/>
    <s v="NO"/>
    <m/>
    <m/>
    <m/>
    <s v="NO"/>
    <m/>
    <m/>
    <m/>
    <s v="NO"/>
    <m/>
    <m/>
    <m/>
    <s v="NO"/>
    <m/>
    <m/>
    <m/>
    <s v="NO"/>
    <m/>
    <m/>
    <m/>
    <s v="YES"/>
    <n v="54"/>
    <n v="1"/>
    <n v="216"/>
    <m/>
    <m/>
    <m/>
    <m/>
    <m/>
    <s v="YES"/>
    <s v="June"/>
    <n v="2017"/>
    <s v="YES"/>
    <s v="YES"/>
    <s v="January"/>
    <n v="2018"/>
    <m/>
    <x v="0"/>
    <m/>
    <m/>
    <s v="YES"/>
    <m/>
    <m/>
    <m/>
    <m/>
    <m/>
    <m/>
    <x v="0"/>
    <m/>
    <x v="0"/>
    <m/>
    <x v="0"/>
    <x v="1"/>
    <s v="YES"/>
    <x v="0"/>
    <x v="0"/>
    <x v="1"/>
    <x v="4"/>
    <n v="3"/>
    <x v="1"/>
    <x v="1"/>
    <x v="1"/>
    <x v="1"/>
    <x v="1"/>
    <x v="1"/>
    <n v="4"/>
    <x v="1"/>
    <x v="1"/>
    <x v="1"/>
    <x v="2"/>
    <x v="3"/>
    <n v="2"/>
    <x v="2"/>
    <x v="0"/>
    <n v="1"/>
    <s v="Local alliance(s)/Platform(s)/Network(s) of  NGOs/CSOs"/>
    <s v="Local NGO(s)/CSO(s)"/>
    <s v="International NGO(s)"/>
    <x v="2"/>
    <s v="Partnership meetings led to collaborative actions to strengthen both partners and the community"/>
    <m/>
    <s v="None yet."/>
    <m/>
    <m/>
    <s v="Need to build feedback mechanism"/>
    <s v="Need to engage men and boys more formally and frequently"/>
    <s v="Need to mitigate risk of use of GMO / hybrid seeds so urban farming activity is sustainable after partner program ends"/>
    <m/>
    <m/>
    <n v="1726"/>
    <n v="6504"/>
    <n v="3.7682502896871379"/>
    <n v="0.94206257242178448"/>
    <n v="0.69295817958179584"/>
    <n v="1626"/>
    <n v="4507"/>
    <s v=""/>
    <n v="0"/>
    <n v="0"/>
    <s v=""/>
    <s v=""/>
    <n v="0"/>
    <n v="0"/>
    <s v=""/>
    <s v=""/>
    <n v="0"/>
    <n v="0"/>
    <s v=""/>
    <s v=""/>
    <n v="0"/>
    <n v="0"/>
    <s v=""/>
    <n v="1"/>
    <n v="54"/>
    <n v="216"/>
    <n v="4"/>
    <s v="3. Responsive"/>
    <s v="2. Accommodating"/>
    <s v="1. Neutral"/>
    <s v="It did not develop any specific innovation"/>
    <s v="Little or no advocacy"/>
    <s v="It did not take tested solutions to scale"/>
  </r>
  <r>
    <x v="34"/>
    <x v="0"/>
    <m/>
    <s v="Personal Advancement and Carrer Enhancement (PACE) - River Side Community 2"/>
    <s v="Indonesia"/>
    <s v="ID 571 IDN 129"/>
    <s v="CARE USA"/>
    <s v="Corporation"/>
    <s v="Other"/>
    <s v="GAP Inc."/>
    <m/>
    <m/>
    <m/>
    <m/>
    <m/>
    <m/>
    <m/>
    <m/>
    <m/>
    <m/>
    <m/>
    <m/>
    <m/>
    <m/>
    <m/>
    <m/>
    <m/>
    <m/>
    <m/>
    <m/>
    <m/>
    <m/>
    <m/>
    <m/>
    <m/>
    <m/>
    <m/>
    <m/>
    <m/>
    <m/>
    <m/>
    <m/>
    <m/>
    <m/>
    <m/>
    <m/>
    <m/>
    <m/>
    <m/>
    <m/>
    <m/>
    <m/>
    <m/>
    <m/>
    <m/>
    <d v="2017-03-01T00:00:00"/>
    <d v="2018-02-28T00:00:00"/>
    <m/>
    <s v="Development Other"/>
    <n v="94990"/>
    <s v="Erlyn Shukmadewi"/>
    <s v="EED Manager/Business Development Specialist"/>
    <s v="erlyn_shukmadewi@careind.or.id"/>
    <s v="Andik Fatahillah"/>
    <s v="Andik Fatahillah"/>
    <s v="andik_fatahillan@careind.or.id"/>
    <s v="NO"/>
    <s v="YES"/>
    <s v="NO"/>
    <s v="The objective of the P.A.C.E. program is to improve women and youth basic lifeskills by delivering five core P.A.C.E. modules:  Communication; Problem Solving and Decision-Making; Time and Stress Management; Financial Literacy; Water, Sanitation and Hygine; as well as Small Business Module for self-employment or micro-enterprise women. The purpose of this pilot program to showcase to other river communities how improved lifeskills contribute to more effective women and youth participation in family and community decision including increased influence on government or community social organization interventions that aim to increase urban resilience of the Marunda river side population."/>
    <s v="Sub-National"/>
    <s v="Marunda, Cilincing Sub-District, North Jakarta District, Jakarta Province, Indonesia"/>
    <s v="The PACE in community-based project will predominantly support women and youth in poor communities who live on the river banks in Jakarta, especially in Marunda Village. P.A.C.E. activities will provide women and youth with a critical set of life skills that will empower them to more effectively participate and better influence in their society."/>
    <n v="2520"/>
    <n v="100"/>
    <n v="2620"/>
    <n v="7040"/>
    <n v="3040"/>
    <n v="10080"/>
    <s v="The program works directly with: _x000a_20 Trainers and 400 women_x000a_60 men in sensitisation sessions. _x000a_Friends or neighbours of trainee 2,000 women, local government and community leader 200 people.  We count their families as indirects at 10,080 (household size is 4, at 75% female and 25% male)"/>
    <m/>
    <m/>
    <m/>
    <m/>
    <m/>
    <m/>
    <m/>
    <m/>
    <m/>
    <m/>
    <m/>
    <m/>
    <m/>
    <m/>
    <m/>
    <m/>
    <m/>
    <m/>
    <m/>
    <m/>
    <m/>
    <m/>
    <m/>
    <m/>
    <m/>
    <m/>
    <m/>
    <m/>
    <m/>
    <m/>
    <m/>
    <m/>
    <m/>
    <m/>
    <m/>
    <m/>
    <m/>
    <m/>
    <m/>
    <m/>
    <m/>
    <m/>
    <m/>
    <m/>
    <m/>
    <m/>
    <m/>
    <m/>
    <m/>
    <m/>
    <m/>
    <m/>
    <m/>
    <m/>
    <m/>
    <m/>
    <m/>
    <m/>
    <m/>
    <m/>
    <n v="1706"/>
    <n v="0"/>
    <n v="1706"/>
    <n v="4817"/>
    <n v="2007"/>
    <n v="6824"/>
    <s v="NO"/>
    <m/>
    <m/>
    <m/>
    <s v="NO"/>
    <m/>
    <m/>
    <m/>
    <s v="NO"/>
    <m/>
    <m/>
    <m/>
    <s v="NO"/>
    <m/>
    <m/>
    <m/>
    <s v="NO"/>
    <m/>
    <m/>
    <m/>
    <s v="YES"/>
    <n v="1706"/>
    <n v="1"/>
    <n v="4817"/>
    <s v="NO"/>
    <m/>
    <m/>
    <m/>
    <s v="NO"/>
    <m/>
    <m/>
    <m/>
    <s v="YES"/>
    <n v="1706"/>
    <n v="1"/>
    <n v="4817"/>
    <s v="NO"/>
    <m/>
    <m/>
    <m/>
    <s v="NO"/>
    <m/>
    <m/>
    <m/>
    <s v="NO"/>
    <m/>
    <m/>
    <m/>
    <s v="NO"/>
    <m/>
    <m/>
    <m/>
    <s v="NO"/>
    <m/>
    <m/>
    <m/>
    <s v="NO"/>
    <m/>
    <m/>
    <m/>
    <s v="YES"/>
    <m/>
    <m/>
    <m/>
    <m/>
    <m/>
    <m/>
    <m/>
    <m/>
    <s v="YES"/>
    <s v="May"/>
    <n v="2017"/>
    <s v="YES"/>
    <s v="YES"/>
    <s v="January"/>
    <n v="2018"/>
    <m/>
    <x v="0"/>
    <m/>
    <m/>
    <s v="YES"/>
    <m/>
    <m/>
    <m/>
    <m/>
    <m/>
    <m/>
    <x v="0"/>
    <m/>
    <x v="0"/>
    <m/>
    <x v="0"/>
    <x v="1"/>
    <s v="YES"/>
    <x v="0"/>
    <x v="0"/>
    <x v="1"/>
    <x v="4"/>
    <n v="3"/>
    <x v="1"/>
    <x v="1"/>
    <x v="1"/>
    <x v="1"/>
    <x v="1"/>
    <x v="1"/>
    <n v="4"/>
    <x v="1"/>
    <x v="1"/>
    <x v="1"/>
    <x v="2"/>
    <x v="3"/>
    <n v="2"/>
    <x v="2"/>
    <x v="0"/>
    <n v="1"/>
    <s v="Local alliance(s)/Platform(s)/Network(s) of  NGOs/CSOs"/>
    <s v="Local NGO(s)/CSO(s)"/>
    <s v="International NGO(s)"/>
    <x v="2"/>
    <s v="Partnership meetings led to collaborative actions to strengthen both partners and the community"/>
    <m/>
    <s v="None yet."/>
    <m/>
    <m/>
    <s v="Need to build feedback mechanism"/>
    <s v="Need to engage men and boys more formally and frequently"/>
    <s v="Need to mitigate risk of use of GMO / hybrid seeds so urban farming activity is sustainable after partner program ends"/>
    <m/>
    <m/>
    <n v="1706"/>
    <n v="6824"/>
    <n v="4"/>
    <n v="1"/>
    <n v="0.7058909730363423"/>
    <n v="1706"/>
    <n v="4817"/>
    <s v=""/>
    <n v="0"/>
    <n v="0"/>
    <s v=""/>
    <s v=""/>
    <n v="0"/>
    <n v="0"/>
    <s v=""/>
    <s v=""/>
    <n v="0"/>
    <n v="0"/>
    <s v=""/>
    <s v=""/>
    <n v="0"/>
    <n v="0"/>
    <s v=""/>
    <n v="1"/>
    <n v="0"/>
    <n v="0"/>
    <s v=""/>
    <s v="3. Responsive"/>
    <s v="2. Accommodating"/>
    <s v="1. Neutral"/>
    <s v="It did not develop any specific innovation"/>
    <s v="Little or no advocacy"/>
    <s v="It did not take tested solutions to scale"/>
  </r>
  <r>
    <x v="34"/>
    <x v="0"/>
    <m/>
    <s v="Pidie Jaya Aceh Response (PiJAR)"/>
    <s v="Indonesia"/>
    <n v="572"/>
    <s v="CARE UK"/>
    <s v="Foundation"/>
    <m/>
    <s v="Intercontinental Hotel Group"/>
    <n v="562"/>
    <s v="CARE USA"/>
    <s v="Foundation"/>
    <m/>
    <s v="Margaret A. Cargill Foundation"/>
    <n v="559"/>
    <s v="CARE Australia"/>
    <s v="Government"/>
    <s v="Government - Australia"/>
    <s v="DFAT-Australia"/>
    <m/>
    <m/>
    <m/>
    <m/>
    <m/>
    <m/>
    <m/>
    <m/>
    <m/>
    <m/>
    <m/>
    <m/>
    <m/>
    <m/>
    <m/>
    <m/>
    <m/>
    <m/>
    <m/>
    <m/>
    <m/>
    <m/>
    <m/>
    <m/>
    <m/>
    <m/>
    <m/>
    <m/>
    <m/>
    <m/>
    <m/>
    <m/>
    <m/>
    <m/>
    <m/>
    <d v="2016-12-08T00:00:00"/>
    <d v="2017-04-30T00:00:00"/>
    <m/>
    <s v="Humanitarian Other"/>
    <n v="20000"/>
    <s v="Wahyu Widayanto,"/>
    <m/>
    <m/>
    <m/>
    <m/>
    <m/>
    <s v="YES"/>
    <s v="NO"/>
    <s v="NO"/>
    <s v="Improved access to safe water, hygiene items and practices for the earthquake-affected population"/>
    <s v="Sub-National"/>
    <s v="Pidie Jaya district in Aceh province, in three villages"/>
    <s v="Families with pregnant women, breastfeeding women and children under 5 and the elderly"/>
    <n v="500"/>
    <n v="0"/>
    <n v="500"/>
    <n v="500"/>
    <n v="1000"/>
    <n v="1500"/>
    <s v="Direct: Women and children selected based on local data; indirects: the families of the women at 4 people per household, split 50:50 F:M"/>
    <m/>
    <n v="500"/>
    <n v="0"/>
    <n v="500"/>
    <n v="500"/>
    <n v="1000"/>
    <n v="1500"/>
    <m/>
    <m/>
    <m/>
    <m/>
    <m/>
    <m/>
    <m/>
    <m/>
    <m/>
    <m/>
    <m/>
    <m/>
    <m/>
    <m/>
    <m/>
    <m/>
    <m/>
    <m/>
    <m/>
    <m/>
    <m/>
    <m/>
    <m/>
    <m/>
    <m/>
    <m/>
    <m/>
    <m/>
    <m/>
    <m/>
    <m/>
    <m/>
    <m/>
    <m/>
    <m/>
    <m/>
    <m/>
    <m/>
    <m/>
    <m/>
    <m/>
    <m/>
    <m/>
    <m/>
    <s v="YES"/>
    <n v="500"/>
    <n v="1"/>
    <n v="1500"/>
    <m/>
    <m/>
    <m/>
    <m/>
    <m/>
    <m/>
    <m/>
    <m/>
    <m/>
    <m/>
    <m/>
    <s v="NO"/>
    <m/>
    <m/>
    <m/>
    <s v="NO"/>
    <m/>
    <m/>
    <m/>
    <s v="NO"/>
    <m/>
    <m/>
    <m/>
    <s v="NO"/>
    <m/>
    <m/>
    <m/>
    <s v="NO"/>
    <m/>
    <m/>
    <m/>
    <s v="NO"/>
    <m/>
    <m/>
    <m/>
    <s v="NO"/>
    <m/>
    <m/>
    <m/>
    <s v="NO"/>
    <m/>
    <m/>
    <m/>
    <s v="NO"/>
    <m/>
    <m/>
    <m/>
    <s v="NO"/>
    <m/>
    <m/>
    <m/>
    <s v="NO"/>
    <m/>
    <m/>
    <m/>
    <s v="NO"/>
    <m/>
    <m/>
    <m/>
    <s v="NO"/>
    <m/>
    <m/>
    <m/>
    <s v="NO"/>
    <m/>
    <m/>
    <m/>
    <s v="NO"/>
    <m/>
    <m/>
    <m/>
    <s v="NO"/>
    <m/>
    <m/>
    <m/>
    <m/>
    <m/>
    <m/>
    <m/>
    <m/>
    <s v="NO"/>
    <m/>
    <m/>
    <s v="NO"/>
    <s v="NO"/>
    <m/>
    <m/>
    <m/>
    <x v="0"/>
    <m/>
    <m/>
    <s v="YES"/>
    <m/>
    <m/>
    <m/>
    <m/>
    <m/>
    <m/>
    <x v="0"/>
    <m/>
    <x v="0"/>
    <m/>
    <x v="0"/>
    <x v="0"/>
    <s v="YES"/>
    <x v="0"/>
    <x v="0"/>
    <x v="0"/>
    <x v="0"/>
    <n v="4"/>
    <x v="1"/>
    <x v="1"/>
    <x v="1"/>
    <x v="1"/>
    <x v="2"/>
    <x v="1"/>
    <n v="3"/>
    <x v="1"/>
    <x v="1"/>
    <x v="1"/>
    <x v="1"/>
    <x v="1"/>
    <n v="3"/>
    <x v="2"/>
    <x v="3"/>
    <n v="1"/>
    <s v="Local NGO(s)/CSO(s)"/>
    <m/>
    <m/>
    <x v="2"/>
    <s v="Partnership meetings led to collaborative actions to strengthen both partners and the community"/>
    <m/>
    <s v="None"/>
    <m/>
    <m/>
    <s v="Need to work with national level partners to improve the Joint Needs Assessment questionnaire for the future"/>
    <m/>
    <m/>
    <s v="This was a short and rapid response to an emergency: the collaboration with local government and local partners meant that we reinforced and supported the whole response. Funds from Margareth A Cargill and HPA were used solely to contribute to the costs of the Emergency Response Coordinator so no data is attached to them"/>
    <m/>
    <n v="500"/>
    <n v="1500"/>
    <n v="3"/>
    <n v="1"/>
    <n v="0.33333333333333331"/>
    <n v="500"/>
    <n v="500"/>
    <n v="1"/>
    <n v="500"/>
    <n v="1500"/>
    <n v="3"/>
    <s v=""/>
    <n v="0"/>
    <n v="0"/>
    <s v=""/>
    <s v=""/>
    <n v="0"/>
    <n v="0"/>
    <s v=""/>
    <s v=""/>
    <n v="0"/>
    <n v="0"/>
    <s v=""/>
    <s v=""/>
    <n v="0"/>
    <n v="0"/>
    <s v=""/>
    <s v="2. Sensitive"/>
    <s v="2. Accommodating"/>
    <s v="2. Sensitive"/>
    <s v="It did not develop any specific innovation"/>
    <s v="Little or no advocacy"/>
    <s v="It did not take tested solutions to scale"/>
  </r>
  <r>
    <x v="34"/>
    <x v="0"/>
    <m/>
    <s v="Promoting  a Sustainable and Food Secure World (PROSPER)"/>
    <s v="Indonesia"/>
    <s v="IDN 033/ID 569"/>
    <s v="CARE USA"/>
    <s v="Corporation"/>
    <m/>
    <s v="Cargill, Inc."/>
    <m/>
    <m/>
    <m/>
    <m/>
    <m/>
    <m/>
    <m/>
    <m/>
    <m/>
    <m/>
    <m/>
    <m/>
    <m/>
    <m/>
    <m/>
    <m/>
    <m/>
    <m/>
    <m/>
    <m/>
    <m/>
    <m/>
    <m/>
    <m/>
    <m/>
    <m/>
    <m/>
    <m/>
    <m/>
    <m/>
    <m/>
    <m/>
    <m/>
    <m/>
    <m/>
    <m/>
    <m/>
    <m/>
    <m/>
    <m/>
    <m/>
    <m/>
    <m/>
    <m/>
    <m/>
    <d v="2016-10-01T00:00:00"/>
    <d v="2018-12-30T00:00:00"/>
    <m/>
    <s v="Development Food &amp; Nutrition Security and Resilience to Climate Change"/>
    <n v="920916"/>
    <s v="Erlyn Shukmadewi"/>
    <s v="EED Manager"/>
    <s v="erlyn_shukmadewi@careind.or.id"/>
    <s v="A.J. Sudarto"/>
    <s v="Project Manager"/>
    <s v="A.J_Sudarto@careind.or.id"/>
    <s v="NO"/>
    <s v="YES"/>
    <s v="NO"/>
    <s v="The Goal of the PROSPER-Indonesia program is to enhance the well being of children through the reduction of diarrhoea and infectious diseases in elementary schools in Banten and South Sulawesi provinces."/>
    <s v="Sub-National"/>
    <s v="Makassar City - South Sulawesi, Serang District - Banten"/>
    <s v="Directs: students , teachers and parents, community health workers, local officials and food vendors,  indirects: families of the children at 4 per HH"/>
    <n v="4408"/>
    <n v="3404"/>
    <n v="7812"/>
    <n v="12800"/>
    <n v="12800"/>
    <n v="25600"/>
    <s v="Direct Beneficiaries # male # female #total Location_x000a_ _x000a_20 Elementary Schools_x000a_200 WASH and Nutrition committee  67 male 133 female _x000a_6,000 elementary students 3,000 boys 3,000 girls_x000a_300 Teachers 60 male 240 female  _x000a_1,200 Parents 240 male 960 female  _x000a_100 Canteen Workers/street vendors 33 male 67 female  _x000a_12 Community health clinic representatives 4 male 8 female"/>
    <m/>
    <m/>
    <m/>
    <m/>
    <m/>
    <m/>
    <m/>
    <m/>
    <m/>
    <m/>
    <m/>
    <m/>
    <m/>
    <m/>
    <m/>
    <m/>
    <m/>
    <m/>
    <m/>
    <m/>
    <m/>
    <m/>
    <m/>
    <m/>
    <m/>
    <m/>
    <m/>
    <m/>
    <m/>
    <m/>
    <m/>
    <m/>
    <m/>
    <m/>
    <m/>
    <m/>
    <m/>
    <m/>
    <m/>
    <m/>
    <m/>
    <m/>
    <m/>
    <m/>
    <m/>
    <m/>
    <m/>
    <m/>
    <m/>
    <m/>
    <m/>
    <m/>
    <m/>
    <m/>
    <m/>
    <m/>
    <m/>
    <m/>
    <m/>
    <m/>
    <n v="492"/>
    <n v="266"/>
    <n v="758"/>
    <m/>
    <m/>
    <m/>
    <s v="NO"/>
    <m/>
    <m/>
    <m/>
    <s v="NO"/>
    <m/>
    <m/>
    <m/>
    <s v="NO"/>
    <m/>
    <m/>
    <m/>
    <s v="NO"/>
    <m/>
    <m/>
    <m/>
    <s v="NO"/>
    <m/>
    <m/>
    <m/>
    <s v="YES"/>
    <n v="758"/>
    <n v="0.65"/>
    <m/>
    <s v="YES"/>
    <n v="758"/>
    <n v="0.65"/>
    <m/>
    <s v="NO"/>
    <m/>
    <m/>
    <m/>
    <s v="YES"/>
    <m/>
    <m/>
    <m/>
    <s v="YES"/>
    <n v="758"/>
    <n v="0.65"/>
    <m/>
    <s v="YES"/>
    <m/>
    <m/>
    <m/>
    <s v="NO"/>
    <m/>
    <m/>
    <m/>
    <s v="YES"/>
    <n v="150"/>
    <n v="0.5"/>
    <m/>
    <s v="NO"/>
    <m/>
    <m/>
    <m/>
    <s v="YES"/>
    <m/>
    <m/>
    <m/>
    <s v="NO"/>
    <m/>
    <m/>
    <m/>
    <m/>
    <m/>
    <m/>
    <m/>
    <m/>
    <s v="YES"/>
    <s v="April"/>
    <n v="2017"/>
    <s v="YES"/>
    <s v="NO"/>
    <m/>
    <m/>
    <m/>
    <x v="0"/>
    <s v="NO"/>
    <s v="NO"/>
    <s v="YES"/>
    <s v="NO"/>
    <s v="NO"/>
    <s v="NO"/>
    <s v="NO"/>
    <s v="NO"/>
    <m/>
    <x v="0"/>
    <m/>
    <x v="0"/>
    <m/>
    <x v="0"/>
    <x v="0"/>
    <s v="YES"/>
    <x v="0"/>
    <x v="0"/>
    <x v="0"/>
    <x v="0"/>
    <n v="4"/>
    <x v="1"/>
    <x v="1"/>
    <x v="1"/>
    <x v="1"/>
    <x v="1"/>
    <x v="1"/>
    <n v="4"/>
    <x v="1"/>
    <x v="1"/>
    <x v="2"/>
    <x v="2"/>
    <x v="3"/>
    <n v="1"/>
    <x v="2"/>
    <x v="2"/>
    <n v="4"/>
    <s v="Local government(s)"/>
    <s v="Local NGO(s)/CSO(s)"/>
    <m/>
    <x v="1"/>
    <m/>
    <m/>
    <s v="None yet."/>
    <m/>
    <m/>
    <s v="Need to widen scope of project to ensure better understanding of menstruation issues"/>
    <s v="Need to build staff and partners awareness of gender inclusion"/>
    <m/>
    <m/>
    <m/>
    <n v="758"/>
    <n v="0"/>
    <n v="0"/>
    <n v="0.64907651715039583"/>
    <s v=""/>
    <n v="492"/>
    <n v="0"/>
    <s v=""/>
    <n v="0"/>
    <n v="0"/>
    <s v=""/>
    <n v="1"/>
    <n v="758"/>
    <n v="0"/>
    <n v="0"/>
    <s v=""/>
    <n v="0"/>
    <n v="0"/>
    <s v=""/>
    <s v=""/>
    <n v="0"/>
    <n v="0"/>
    <s v=""/>
    <s v=""/>
    <n v="0"/>
    <n v="0"/>
    <s v=""/>
    <s v="2. Sensitive"/>
    <s v="2. Accommodating"/>
    <s v="1. Neutral"/>
    <s v="It did not develop any specific innovation"/>
    <s v="Little or no advocacy"/>
    <s v="It did not take tested solutions to scale"/>
  </r>
  <r>
    <x v="34"/>
    <x v="0"/>
    <m/>
    <s v="Warung Anak Sehat"/>
    <s v="Indonesia"/>
    <m/>
    <s v="CARE France"/>
    <s v="Corporation"/>
    <s v="Other"/>
    <s v="Danone Ecosysteme"/>
    <m/>
    <m/>
    <m/>
    <m/>
    <m/>
    <m/>
    <m/>
    <m/>
    <m/>
    <m/>
    <m/>
    <m/>
    <m/>
    <m/>
    <m/>
    <m/>
    <m/>
    <m/>
    <m/>
    <m/>
    <m/>
    <m/>
    <m/>
    <m/>
    <m/>
    <m/>
    <m/>
    <m/>
    <m/>
    <m/>
    <m/>
    <m/>
    <m/>
    <m/>
    <m/>
    <m/>
    <m/>
    <m/>
    <m/>
    <m/>
    <m/>
    <m/>
    <m/>
    <m/>
    <m/>
    <d v="2016-04-01T00:00:00"/>
    <d v="2017-03-31T00:00:00"/>
    <d v="2017-06-30T00:00:00"/>
    <s v="Development Access to and Control over Economic Resources"/>
    <n v="348700"/>
    <s v="Erlyn Shukmadewi"/>
    <s v="EED Manager &amp; Business Development Specialist"/>
    <s v="erlyn_shukmadewi@careind.or.id"/>
    <s v="Handayani Sagala"/>
    <s v="WAS Project Manager"/>
    <s v="handayani_sagala@careind.or.id"/>
    <s v="NO"/>
    <s v="YES"/>
    <s v="NO"/>
    <s v="To improve child nutrituion by improving access to healthy snacks and nutrition education for chiidlren aged 6 years and over, mothers and school teachers, and to empower women as entrepreneurs"/>
    <s v="Sub-National"/>
    <s v="Ambon, Bandung, Yogyakarta, Bogor"/>
    <s v="Primary school children, parents and teachers; female entrepreneurs"/>
    <n v="20370"/>
    <n v="13512"/>
    <n v="33882"/>
    <n v="54135"/>
    <n v="51755"/>
    <n v="105890"/>
    <s v="Direct: students 27,060 @ 51% female; teachers 350 @ 80% female;  Ibu WAS 350 @97% female; Parents 6,122 @ 95% female                                                                                                                                                                                                                   Indirect: Total Students at schools 86,646 @ 50% female; Teachers at schools 4900 @ 70% female; Teacher's family member 1050 @ 70% female; Parent's family 12,244 @ 50% female; Ibu WAS family 1,050 @ 50% female"/>
    <m/>
    <m/>
    <m/>
    <m/>
    <m/>
    <m/>
    <m/>
    <m/>
    <m/>
    <m/>
    <m/>
    <m/>
    <m/>
    <m/>
    <m/>
    <m/>
    <m/>
    <m/>
    <m/>
    <m/>
    <m/>
    <m/>
    <m/>
    <m/>
    <m/>
    <m/>
    <m/>
    <m/>
    <m/>
    <m/>
    <m/>
    <m/>
    <m/>
    <m/>
    <m/>
    <m/>
    <m/>
    <m/>
    <m/>
    <m/>
    <m/>
    <m/>
    <m/>
    <m/>
    <m/>
    <m/>
    <m/>
    <m/>
    <m/>
    <m/>
    <m/>
    <m/>
    <m/>
    <m/>
    <m/>
    <m/>
    <m/>
    <m/>
    <m/>
    <m/>
    <n v="20370"/>
    <n v="13512"/>
    <n v="33882"/>
    <n v="54135"/>
    <n v="51755"/>
    <n v="105890"/>
    <s v="NO"/>
    <m/>
    <m/>
    <m/>
    <s v="NO"/>
    <m/>
    <m/>
    <m/>
    <s v="NO"/>
    <m/>
    <m/>
    <m/>
    <s v="NO"/>
    <m/>
    <m/>
    <m/>
    <s v="NO"/>
    <m/>
    <m/>
    <m/>
    <s v="NO"/>
    <m/>
    <m/>
    <m/>
    <s v="NO"/>
    <m/>
    <m/>
    <m/>
    <s v="NO"/>
    <m/>
    <m/>
    <m/>
    <s v="NO"/>
    <m/>
    <m/>
    <m/>
    <s v="YES"/>
    <n v="33882"/>
    <n v="0.6"/>
    <n v="92596"/>
    <s v="NO"/>
    <m/>
    <m/>
    <m/>
    <s v="NO"/>
    <m/>
    <m/>
    <m/>
    <s v="NO"/>
    <m/>
    <m/>
    <m/>
    <s v="NO"/>
    <m/>
    <m/>
    <m/>
    <s v="NO"/>
    <m/>
    <m/>
    <m/>
    <s v="YES"/>
    <n v="339"/>
    <n v="0.97"/>
    <n v="12244"/>
    <m/>
    <m/>
    <m/>
    <m/>
    <m/>
    <s v="YES"/>
    <s v="June"/>
    <n v="2016"/>
    <s v="NO"/>
    <s v="YES"/>
    <s v="June"/>
    <n v="2017"/>
    <m/>
    <x v="1"/>
    <s v="NO"/>
    <s v="NO"/>
    <s v="YES"/>
    <s v="YES"/>
    <s v="NO"/>
    <s v="NO"/>
    <s v="YES"/>
    <m/>
    <m/>
    <x v="0"/>
    <m/>
    <x v="0"/>
    <m/>
    <x v="0"/>
    <x v="0"/>
    <s v="YES"/>
    <x v="0"/>
    <x v="0"/>
    <x v="0"/>
    <x v="0"/>
    <n v="4"/>
    <x v="1"/>
    <x v="1"/>
    <x v="1"/>
    <x v="1"/>
    <x v="1"/>
    <x v="1"/>
    <n v="4"/>
    <x v="1"/>
    <x v="2"/>
    <x v="1"/>
    <x v="2"/>
    <x v="3"/>
    <n v="1"/>
    <x v="2"/>
    <x v="3"/>
    <n v="1"/>
    <s v="Local government(s)"/>
    <s v="Private sector"/>
    <s v="Other"/>
    <x v="1"/>
    <m/>
    <m/>
    <m/>
    <m/>
    <m/>
    <s v="Need to build feedback mechanism"/>
    <s v="Need to engage men and boys more formally and frequently"/>
    <s v="Need to mitigate risk of use of GMO / hybrid seeds so urban farming activity is sustainable after partner program ends"/>
    <m/>
    <m/>
    <n v="33882"/>
    <n v="105890"/>
    <n v="3.125258249217874"/>
    <n v="0.60120417921020008"/>
    <n v="0.51123807724997639"/>
    <n v="20370"/>
    <n v="54135"/>
    <s v=""/>
    <n v="0"/>
    <n v="0"/>
    <s v=""/>
    <s v=""/>
    <n v="0"/>
    <n v="0"/>
    <s v=""/>
    <s v=""/>
    <n v="0"/>
    <n v="0"/>
    <s v=""/>
    <s v=""/>
    <n v="0"/>
    <n v="0"/>
    <s v=""/>
    <n v="1"/>
    <n v="339"/>
    <n v="12244"/>
    <n v="36.117994100294986"/>
    <s v="2. Sensitive"/>
    <s v="2. Accommodating"/>
    <s v="1. Neutral"/>
    <s v="It did not develop any specific innovation"/>
    <s v="Moderate advocacy"/>
    <s v="It did not take tested solutions to scale"/>
  </r>
  <r>
    <x v="35"/>
    <x v="1"/>
    <n v="2429"/>
    <s v="Improvement of Maternal and Child Health in return Areas, North Iraq"/>
    <s v="Iraq"/>
    <s v="IQ2429"/>
    <s v="CARE Deutschland-Luxemburg"/>
    <s v="Government"/>
    <s v="Government - Germany"/>
    <s v="BMZ"/>
    <m/>
    <m/>
    <m/>
    <m/>
    <m/>
    <m/>
    <m/>
    <m/>
    <m/>
    <m/>
    <m/>
    <m/>
    <m/>
    <m/>
    <m/>
    <m/>
    <m/>
    <m/>
    <m/>
    <m/>
    <m/>
    <m/>
    <m/>
    <m/>
    <m/>
    <m/>
    <m/>
    <m/>
    <m/>
    <m/>
    <m/>
    <m/>
    <m/>
    <m/>
    <m/>
    <m/>
    <m/>
    <m/>
    <m/>
    <m/>
    <m/>
    <m/>
    <m/>
    <m/>
    <m/>
    <d v="2016-05-01T00:00:00"/>
    <d v="2018-12-31T00:00:00"/>
    <m/>
    <s v="Humanitarian Sexual, Reproductive and Maternal Health (SRMH)"/>
    <n v="3465500"/>
    <s v="Randala Noureddine"/>
    <s v="Sexual Reproductive Health Programme Manager"/>
    <s v="nourredine@care.de"/>
    <s v="Jacqui symonds"/>
    <s v="Head of programs"/>
    <s v="symonds@care.de"/>
    <s v="YES"/>
    <s v="YES"/>
    <s v="YES"/>
    <s v="Decrease maternal and newborn and young infant morbidity and mortality"/>
    <s v="Sub-National"/>
    <s v="IRAQ, NORTH NINAWA, TALAFAR REGION"/>
    <s v="Women and girls in the reproductive age, newborns, women in rural areas, national health care staff, community members."/>
    <n v="10750"/>
    <n v="2650"/>
    <n v="13400"/>
    <n v="120000"/>
    <n v="50000"/>
    <n v="170000"/>
    <s v="Direct women and girls are the beneficieries directly contacted by the project staff and receiving health care services, counselling, supplementations, birth baby kits and advices. Direct men and boys are the male newborn babies receivng supplements, medical services.( this is calcualtes as the 50% of newborns served, while the other 100 are the men approached and given counselling on gender sensitve issue and family planning advices._x000a_In direct benefcieries are the total number of people benfeting from the health servcies provided by PHC using the constrcution, equipments and supplies provided by the project (Zummar PHC monthly register was projected for one year). Also the number of chidren ( 50% males, 50% females) the direct beneficiereis are taking care of at the house hold level."/>
    <m/>
    <n v="4050"/>
    <n v="750"/>
    <n v="4800"/>
    <n v="10000"/>
    <n v="15000"/>
    <n v="25000"/>
    <m/>
    <m/>
    <m/>
    <m/>
    <m/>
    <m/>
    <m/>
    <m/>
    <m/>
    <m/>
    <m/>
    <m/>
    <m/>
    <m/>
    <m/>
    <m/>
    <m/>
    <m/>
    <m/>
    <m/>
    <m/>
    <m/>
    <m/>
    <m/>
    <s v="YES"/>
    <n v="4800"/>
    <n v="0.84375"/>
    <n v="25000"/>
    <m/>
    <m/>
    <m/>
    <m/>
    <m/>
    <m/>
    <m/>
    <m/>
    <s v="YES"/>
    <n v="4800"/>
    <n v="0.84375"/>
    <n v="25000"/>
    <m/>
    <m/>
    <m/>
    <m/>
    <m/>
    <m/>
    <m/>
    <m/>
    <m/>
    <m/>
    <m/>
    <m/>
    <m/>
    <n v="2965"/>
    <n v="118"/>
    <n v="3083"/>
    <n v="10400"/>
    <n v="3350"/>
    <n v="13750"/>
    <m/>
    <m/>
    <m/>
    <m/>
    <m/>
    <m/>
    <m/>
    <m/>
    <m/>
    <m/>
    <m/>
    <m/>
    <m/>
    <m/>
    <m/>
    <m/>
    <m/>
    <m/>
    <m/>
    <m/>
    <m/>
    <m/>
    <m/>
    <m/>
    <m/>
    <m/>
    <m/>
    <m/>
    <m/>
    <m/>
    <m/>
    <m/>
    <m/>
    <m/>
    <m/>
    <m/>
    <s v="YES"/>
    <n v="3083"/>
    <n v="0.96"/>
    <n v="13750"/>
    <m/>
    <m/>
    <m/>
    <m/>
    <m/>
    <m/>
    <m/>
    <m/>
    <m/>
    <m/>
    <m/>
    <m/>
    <m/>
    <m/>
    <m/>
    <m/>
    <m/>
    <m/>
    <m/>
    <m/>
    <m/>
    <m/>
    <m/>
    <m/>
    <m/>
    <m/>
    <m/>
    <m/>
    <m/>
    <s v="YES"/>
    <s v="November"/>
    <n v="2016"/>
    <s v="YES"/>
    <s v="YES"/>
    <s v="September"/>
    <n v="2018"/>
    <s v="The same methodology of the baseline survey will be used, the same tool and the sample will be increased to 1000H H visit."/>
    <x v="1"/>
    <s v="YES"/>
    <s v="YES"/>
    <s v="YES"/>
    <s v="YES"/>
    <s v="YES"/>
    <s v="NO"/>
    <s v="YES"/>
    <m/>
    <m/>
    <x v="1"/>
    <s v="training 20 women from rural areas  to be certified TBAs, this will lead to economic empowerment and ensure future jobs."/>
    <x v="1"/>
    <m/>
    <x v="1"/>
    <x v="1"/>
    <s v="YES"/>
    <x v="0"/>
    <x v="0"/>
    <x v="0"/>
    <x v="2"/>
    <n v="4"/>
    <x v="3"/>
    <x v="2"/>
    <x v="2"/>
    <x v="2"/>
    <x v="2"/>
    <x v="3"/>
    <n v="0"/>
    <x v="3"/>
    <x v="1"/>
    <x v="2"/>
    <x v="1"/>
    <x v="5"/>
    <n v="2"/>
    <x v="2"/>
    <x v="2"/>
    <n v="3"/>
    <s v="Local NGO(s)/CSO(s)"/>
    <s v="National government"/>
    <s v="Local government(s)"/>
    <x v="2"/>
    <s v="Increase the role of TBAs in the ruler area, by advcoating  their importance to National Govermant."/>
    <m/>
    <s v="Engaging Females"/>
    <s v="Engaging males"/>
    <s v="Community  based mobilization"/>
    <s v="Work in close collaboration with  more than one partner."/>
    <s v="Approaching  females can make change."/>
    <s v="Good relation with the government empowers the project"/>
    <m/>
    <m/>
    <n v="4800"/>
    <n v="25000"/>
    <n v="5.208333333333333"/>
    <n v="0.84375"/>
    <n v="0.41599999999999998"/>
    <n v="4050"/>
    <n v="10400"/>
    <n v="1"/>
    <n v="4800"/>
    <n v="25000"/>
    <n v="5.208333333333333"/>
    <s v=""/>
    <n v="0"/>
    <n v="0"/>
    <s v=""/>
    <n v="1"/>
    <n v="4800"/>
    <n v="25000"/>
    <n v="5.208333333333333"/>
    <s v=""/>
    <n v="0"/>
    <n v="0"/>
    <s v=""/>
    <s v=""/>
    <n v="0"/>
    <n v="0"/>
    <s v=""/>
    <s v="4. Transformative"/>
    <s v="0. Unaware"/>
    <s v="3. Responsive"/>
    <s v="It tested new ways for fighting poverty, but did not measure results of innovation"/>
    <s v="Moderate advocacy"/>
    <s v="It linked and worked with strategic alliances and partners to take tested and effective solutions to scale"/>
  </r>
  <r>
    <x v="35"/>
    <x v="1"/>
    <n v="6134"/>
    <s v="Prepared to Respond: Prepositioning of WASH items. Enabling a quick response to alleviate suffering of IDPs affected by displacement caused by fighting in and around Mosul_x000a_Prepositioning of emergency shelter and NFI items for a quick response to the needs of vulnerable IDPs in Northern Iraq after Mosul offensive"/>
    <s v="Iraq"/>
    <m/>
    <s v="CARE Deutschland-Luxemburg"/>
    <s v="Government"/>
    <s v="UN - United Nations agencies/offices"/>
    <s v="Iraq Humanitarian Fund"/>
    <m/>
    <m/>
    <m/>
    <m/>
    <m/>
    <m/>
    <m/>
    <m/>
    <m/>
    <m/>
    <m/>
    <m/>
    <m/>
    <m/>
    <m/>
    <m/>
    <m/>
    <m/>
    <m/>
    <m/>
    <m/>
    <m/>
    <m/>
    <m/>
    <m/>
    <m/>
    <m/>
    <m/>
    <m/>
    <m/>
    <m/>
    <m/>
    <m/>
    <m/>
    <m/>
    <m/>
    <m/>
    <m/>
    <m/>
    <m/>
    <m/>
    <m/>
    <m/>
    <m/>
    <m/>
    <d v="2016-10-21T00:00:00"/>
    <d v="2017-06-20T00:00:00"/>
    <d v="2017-08-21T00:00:00"/>
    <s v="Humanitarian Other"/>
    <n v="1014586.49"/>
    <s v="Jacqui Symonds"/>
    <s v="Head of Programs"/>
    <s v="Symonds@care.de"/>
    <s v="Dilman Hameed"/>
    <s v="MEAL officer"/>
    <s v="amo@care.de"/>
    <s v="YES"/>
    <s v="NO"/>
    <s v="NO"/>
    <s v="CARE contributes to the overall goal of improving living conditions of the most vulnerable displaced population in North Iraq through preposition of lifesaving Shelter/NFI and WASH items that will allow a time-bound and effective response to the consequences of humanitarian crisis after the offensive to Mosul starts."/>
    <s v="Sub-National"/>
    <s v="Iraq, Ninawa governorate, Mosul response"/>
    <s v="Targeted IDP communities regardless to their ages and sex"/>
    <n v="45093"/>
    <n v="48445"/>
    <n v="93538"/>
    <m/>
    <m/>
    <m/>
    <s v="based on a very simple calculation that direct participants have been chosen, people who are directly benefited from Mosul response"/>
    <m/>
    <n v="45093"/>
    <n v="48445"/>
    <n v="93538"/>
    <m/>
    <m/>
    <m/>
    <m/>
    <m/>
    <m/>
    <m/>
    <m/>
    <m/>
    <m/>
    <m/>
    <m/>
    <m/>
    <m/>
    <m/>
    <m/>
    <m/>
    <m/>
    <m/>
    <m/>
    <m/>
    <m/>
    <m/>
    <m/>
    <m/>
    <m/>
    <m/>
    <m/>
    <m/>
    <m/>
    <m/>
    <m/>
    <m/>
    <m/>
    <m/>
    <m/>
    <m/>
    <m/>
    <m/>
    <m/>
    <m/>
    <m/>
    <m/>
    <s v="YES"/>
    <n v="28863"/>
    <n v="0.49"/>
    <m/>
    <s v="YES"/>
    <n v="64743"/>
    <n v="0.48"/>
    <m/>
    <m/>
    <m/>
    <m/>
    <m/>
    <m/>
    <m/>
    <m/>
    <m/>
    <m/>
    <m/>
    <m/>
    <m/>
    <m/>
    <m/>
    <m/>
    <m/>
    <m/>
    <m/>
    <m/>
    <m/>
    <m/>
    <m/>
    <m/>
    <m/>
    <m/>
    <m/>
    <m/>
    <m/>
    <m/>
    <m/>
    <m/>
    <m/>
    <m/>
    <m/>
    <m/>
    <m/>
    <m/>
    <m/>
    <m/>
    <m/>
    <m/>
    <m/>
    <m/>
    <m/>
    <m/>
    <m/>
    <m/>
    <m/>
    <m/>
    <m/>
    <m/>
    <m/>
    <m/>
    <m/>
    <m/>
    <m/>
    <m/>
    <m/>
    <m/>
    <m/>
    <m/>
    <m/>
    <m/>
    <m/>
    <m/>
    <m/>
    <m/>
    <m/>
    <m/>
    <m/>
    <m/>
    <m/>
    <m/>
    <m/>
    <m/>
    <m/>
    <m/>
    <m/>
    <m/>
    <m/>
    <s v="NO"/>
    <m/>
    <m/>
    <s v="NO"/>
    <s v="NO"/>
    <m/>
    <m/>
    <m/>
    <x v="0"/>
    <s v="NO"/>
    <s v="YES"/>
    <s v="NO"/>
    <s v="YES"/>
    <s v="YES"/>
    <s v="YES"/>
    <s v="YES"/>
    <m/>
    <m/>
    <x v="0"/>
    <m/>
    <x v="3"/>
    <m/>
    <x v="1"/>
    <x v="0"/>
    <s v="NO"/>
    <x v="0"/>
    <x v="0"/>
    <x v="0"/>
    <x v="1"/>
    <n v="3"/>
    <x v="1"/>
    <x v="2"/>
    <x v="1"/>
    <x v="1"/>
    <x v="1"/>
    <x v="1"/>
    <n v="3"/>
    <x v="2"/>
    <x v="1"/>
    <x v="2"/>
    <x v="2"/>
    <x v="2"/>
    <n v="1"/>
    <x v="2"/>
    <x v="2"/>
    <n v="3"/>
    <s v="Local NGO(s)/CSO(s)"/>
    <s v="Local NGO(s)/CSO(s)"/>
    <s v="Local NGO(s)/CSO(s)"/>
    <x v="2"/>
    <s v="Capacity building of locat partner staff as well as government staff"/>
    <s v="In the newly retaken areas, one of the main challenges the difficulties for CARE &amp; partners to locate beneficiaries in need; the initial outflux of IDPs was all contained in camps and other partners (particularly Erbil-based) were already positioned there. It was not until newly liberated areas became accessible that CARE was able to distribute, at first to stayees and then returnees. Overall for the entire humanitarian community there was a huge over capacity from October to Februrary and there was intense competition for NGOs to provide assistance to a limited number of beneficiaries. Things changed in March-April when NGO pre-positioned stocks were mostly utilized, East Mosul became accessible and IDPs from West Mosul started arriving in the East of the city._x000a_Once CARE and partners’ distributions commenced, blanket coverage of entire villages was preferred and applied to avoid tensions between host and IDP/returnee populations; the idea was (and remains) to move towards targeted distributions for recent returnees. Ensuring access to up to date and unbiased population data from local authorities, especially the provision of sex- and age- disaggregated data, to ensure provision of equal assistance to those in need in the target areas, was a real challenge, especially early on in the response._x000a_Additional challenges came from the ability to store pre-positioned relief supplies in the large quantities that were provided by a range of donors; and then the ability to be able to distribute these items, due to lack of access to affected areas (due to both security and permissions, delays in identifying suitable local partners and also due to the pre-existing division of coverage of affected areas by other, Erbil-based aid organizations). An additional challenge was the ever-changing and unreliable capacity of local vendors to supply relief items, who were prone to pulling out and leaving CARE with issues to solve in order to ensure it could supply the necessary items to complement its pre-positioned stocks._x000a_Access permissions to affected areas and populations was, and remains, an ongoing issue for provision of rapid humanitarian assistance in Mosul. One key achievement for CARE was gaining access to West Mosul IDPs in a timely manner, and allocating the distribution point at central point in East Mosul (Bashiqa). In addition, developing a good relationship with food agents via CARE’s implementing partners enabled CARE to implement a much more well-coordinated and effective, rapid response, to new influxes of IDPs as they arrived from West Mosul._x000a_The humanitarian community witnessed several direct and indirect fire attacks targeting aid distributions by government actors and local charities in East Mosul. For that reason, to avoid putting distribution teams and beneficiaries at risk, a remote distribution modality was designed, allowing for CARE and its IPs to design smaller distributions for approximately 50 - 200 households in closed compounds in the target neighborhoods, to avoid issues with deliberate targeting of distribution points. Tenets of the modality were: low visibility both during transportation and distribution, with minimal staff presence to avoid crowding. _x000a_The modality relied heavily on cooperation with local representatives and agents to ensure acceptance, as well as confirmation with Town and City Councils, whilst employing volunteers (incentives) to minimize access issues, as well as distribution costs, and to provide income-generating activities in each neighborhood."/>
    <s v="CARE regularly maintained a database of all beneficiaries assisted during its Mosul emergency response, to avoid duplication of assistance and enable cross-checking with other partners. Initially, CARE received the list of IDPs and returnees registered with food agents, local municipal councils and responsible authorities i.e. Mayor’s office, Mukhtars (community leaders) etc. CARE’s implementing partners cross-verified these lists through on-site visits in Bashiqa and through ration cards from food distribution agents in East Mosul, Qayara and Telskof."/>
    <s v="Target beneficiaries received a list of the contents of the assistance package, attached to a pre-distributed coupon. This enabled CARE to organize the distributions on the basis of the coupons and to ensure that beneficiaries knew the contents, items and quantities they would receive on the day of distribution. All the items packed in boxes (hygiene kits, kitchen sets and the tool kits) plus sealing off kits and BESKs (packed in a fabric bag) were designed with donor logos. The contents and quantities of different items were written in Arabic. Fire safety flyers in Arabic were also packed inside the wick stove boxes. Beneficiaries were advised at the end of each distribution to open the boxes and count the kit items to report back on any missing items."/>
    <s v="Over the life of the project, CARE’s complaints response mechanisms were progressively developed and implemented to ensure people had multiple avenues to provide negative (and positive!) feedback about CARE &amp; IPs activities, including directly at complaints desks but also indirectly via reporting to local representatives at distribution sites as well as the UNOPS feedback hotline, to which CARE has recently signed up and receives regular reports on feedback. During PDM activities, beneficiaries were also given the opportunity to provide further feedback."/>
    <s v="CARE’s Mosul response, involving IHPF Shelter funds and those from other donors, was initially based on an assumption of a large population influx from conflict-affected areas of Mosul , which did not eventuate at the time, nor in the numbers (not until much later into the conflict) that the humanitarian community anticipated. CARE’s initially planned response, was also based on the modality of pre-positioning of emergency relief kits, which later in the crisis were not always appropriate for a number of reasons including; ongoing restrictions due to security access; an uncertain and protracted conflict; a very mobile displaced population; and a high number of ‘stayees’. In addition, the ability of local markets to quickly re-establish meant that the demand for cash support was high, and would have been a much more appropriate, rapid and relevant means of humanitarian response to the Mosul conflict. As many other agencies, CARE is moving towards more cash-based modalities of response, however for this project, it would have been appropriate to include this as a (major) component, complementing (and/or potentially replacing) pre-positioned items. This is an important lesson for the Shelter/NFI Cluster, which during the planning phases of the interventions was not favorable to cash interventions, preferring the prepositioning modality, as it was initially imagined that markets would not be readily available to IDPs."/>
    <s v="CARE’s experience partnering with newly formed local NGOs as implementing partners was also a lesson learned in preparedness; for ensuring that capacity assessments and other due diligence and capacity building activities are already in place, rather than trying to form partnerships and quickly learning capacity limitations during the response. Funding for these types of activities should be made more readily available by Donors in similar scenarios. However, CARE’s motivation to develop and grow these partnerships paid dividends by the end of the project, with CARE’s ability to deliver the assistance much enhanced by the already well-established and maintained relationships with local community leaders, city officials and local security actors such as Asayesh. Importantly, without the access that CARE’s IPs enjoyed, CARE’s response would have been further delayed and/or potentially impossible. Through them, CARE was able to ensure that it minimized the risk to beneficiaries accessing CARE’s assistance, as well as avoiding compromising the project’s quality."/>
    <s v="Additionally, as these relations and trust with its IPs developed, so did the accountability between CARE and it’s IPs, other humanitarian actors, local authorities and the local population."/>
    <s v="Gender:_x000a_While safety concerns of beneficiary representatives in some neighborhoods of East Mosul may override our intentions, CARE encourages our partners and local representatives to encourage women to take part in distributions. Picture evidence from distribution sites show that in safer neighborhoods, representatives did not exclude women from the distribution sites, however overall, given the restrictions on movement (and other restrictions) by women in the affected areas, female participation in site selection, beneficiary list provision and other participation aspects is very difficult._x000a__x000a_CARE’s MEAL activities also aim to ensure that sex- and age-disaggregated data is collected for all distributions. Initially, only lists of the head of households and the number of family members was provided by local authorities, and during PDM activities, the breakdown of women &amp; men, boys &amp; girls was collected; but increasingly, as standard process developed in conjunction with partners and as part of building their capacity to do so, CARE gathers this information from local authorities prior to distributions occurring, to enable a more needs-based approach in terms of the kits provided, and to ensure accuracy of population data collected."/>
    <s v="in row 96: Resilience marker score: it seems that Harmful row doesn't functioning properly even changing options it remains the same"/>
    <n v="93538"/>
    <n v="0"/>
    <n v="0"/>
    <n v="0.48208214843165342"/>
    <s v=""/>
    <n v="45093"/>
    <n v="0"/>
    <n v="1"/>
    <n v="93538"/>
    <n v="0"/>
    <n v="0"/>
    <s v=""/>
    <n v="0"/>
    <n v="0"/>
    <s v=""/>
    <s v=""/>
    <n v="0"/>
    <n v="0"/>
    <s v=""/>
    <s v=""/>
    <n v="0"/>
    <n v="0"/>
    <s v=""/>
    <s v=""/>
    <n v="0"/>
    <n v="0"/>
    <s v=""/>
    <s v="1. Neutral"/>
    <s v="2. Accommodating"/>
    <s v="0. Harmful"/>
    <s v="It did not develop any specific innovation"/>
    <s v="Little or no advocacy"/>
    <s v="It took tested solutions to scale on its own"/>
  </r>
  <r>
    <x v="35"/>
    <x v="1"/>
    <n v="6129"/>
    <s v="Reduction of vulnerability of conflict-affected persons, especially women and children through improvement of WASH and Shelter in Bersive 1, Chamishku and Sheikhan Camps"/>
    <s v="Iraq"/>
    <n v="6129"/>
    <s v="CARE Deutschland-Luxemburg"/>
    <s v="Government"/>
    <s v="Government - Netherlands"/>
    <s v="North Iraq joint response 2"/>
    <m/>
    <m/>
    <m/>
    <m/>
    <m/>
    <m/>
    <m/>
    <m/>
    <m/>
    <m/>
    <m/>
    <m/>
    <m/>
    <m/>
    <m/>
    <m/>
    <m/>
    <m/>
    <m/>
    <m/>
    <m/>
    <m/>
    <m/>
    <m/>
    <m/>
    <m/>
    <m/>
    <m/>
    <m/>
    <m/>
    <m/>
    <m/>
    <m/>
    <m/>
    <m/>
    <m/>
    <m/>
    <m/>
    <m/>
    <m/>
    <m/>
    <m/>
    <m/>
    <m/>
    <m/>
    <d v="2015-10-01T00:00:00"/>
    <d v="2017-01-01T00:00:00"/>
    <d v="2017-02-01T00:00:00"/>
    <s v="Humanitarian Other"/>
    <n v="670000"/>
    <s v="Jacqui Symonds"/>
    <s v="Head of Programs"/>
    <s v="Symonds@care.de"/>
    <s v="Dilman Hameed"/>
    <s v="MEAL officer"/>
    <s v="amo@care.de"/>
    <s v="YES"/>
    <s v="NO"/>
    <s v="NO"/>
    <s v="CARE contributes to the overall goal of improving living conditions of the most vulnerable displaced population in North Iraq through providing WASH services in the targeted IDP camps and effective response to the consequences of humanitarian crisis"/>
    <s v="Multiple countries"/>
    <s v="Iraq, Kurdistand region, Duhok and Ninawa governorates, Bersive1 IDP camp and Mosul response"/>
    <s v="Targeted IDP communities regardless to their ages and sex"/>
    <n v="5552"/>
    <n v="5535"/>
    <n v="11087"/>
    <m/>
    <m/>
    <m/>
    <s v="Direct women and men are the beneficieries directly receiving WASH services, total population of beneficiaries in both IDP camps have been chosen because WASH/Shelter sectors cover the whole camp"/>
    <m/>
    <n v="5552"/>
    <n v="5535"/>
    <n v="11087"/>
    <m/>
    <m/>
    <m/>
    <m/>
    <m/>
    <m/>
    <m/>
    <m/>
    <m/>
    <m/>
    <m/>
    <m/>
    <m/>
    <m/>
    <m/>
    <m/>
    <m/>
    <m/>
    <m/>
    <m/>
    <m/>
    <m/>
    <m/>
    <m/>
    <m/>
    <m/>
    <m/>
    <m/>
    <m/>
    <m/>
    <m/>
    <m/>
    <m/>
    <m/>
    <m/>
    <m/>
    <m/>
    <m/>
    <m/>
    <m/>
    <m/>
    <m/>
    <m/>
    <m/>
    <m/>
    <m/>
    <m/>
    <s v="YES"/>
    <n v="11087"/>
    <n v="0.5"/>
    <m/>
    <m/>
    <m/>
    <m/>
    <m/>
    <m/>
    <m/>
    <m/>
    <m/>
    <m/>
    <m/>
    <m/>
    <m/>
    <m/>
    <m/>
    <m/>
    <m/>
    <m/>
    <m/>
    <m/>
    <m/>
    <m/>
    <m/>
    <m/>
    <m/>
    <m/>
    <m/>
    <m/>
    <m/>
    <m/>
    <m/>
    <m/>
    <m/>
    <m/>
    <m/>
    <m/>
    <m/>
    <m/>
    <m/>
    <m/>
    <m/>
    <m/>
    <m/>
    <m/>
    <m/>
    <m/>
    <m/>
    <m/>
    <m/>
    <m/>
    <m/>
    <m/>
    <m/>
    <m/>
    <m/>
    <m/>
    <m/>
    <m/>
    <m/>
    <m/>
    <m/>
    <m/>
    <m/>
    <m/>
    <m/>
    <m/>
    <m/>
    <m/>
    <m/>
    <m/>
    <m/>
    <m/>
    <m/>
    <m/>
    <m/>
    <m/>
    <m/>
    <m/>
    <m/>
    <m/>
    <m/>
    <s v="NO"/>
    <m/>
    <m/>
    <s v="NO"/>
    <s v="YES"/>
    <s v="June"/>
    <n v="2018"/>
    <m/>
    <x v="0"/>
    <s v="NO"/>
    <s v="YES"/>
    <s v="NO"/>
    <s v="YES"/>
    <s v="YES"/>
    <s v="YES"/>
    <s v="YES"/>
    <m/>
    <m/>
    <x v="0"/>
    <m/>
    <x v="3"/>
    <m/>
    <x v="1"/>
    <x v="0"/>
    <s v="NO"/>
    <x v="0"/>
    <x v="0"/>
    <x v="0"/>
    <x v="1"/>
    <n v="3"/>
    <x v="1"/>
    <x v="2"/>
    <x v="1"/>
    <x v="1"/>
    <x v="1"/>
    <x v="1"/>
    <n v="3"/>
    <x v="2"/>
    <x v="1"/>
    <x v="2"/>
    <x v="2"/>
    <x v="2"/>
    <n v="1"/>
    <x v="2"/>
    <x v="2"/>
    <n v="2"/>
    <s v="Local NGO(s)/CSO(s)"/>
    <s v="Local NGO(s)/CSO(s)"/>
    <m/>
    <x v="2"/>
    <s v="Capacity building of locat partner staff as well as government staff"/>
    <m/>
    <s v="Engaging local authority"/>
    <s v="Engaging women and girls with the decision"/>
    <s v="Engaging men"/>
    <s v="Partners can share information and learn from each about the quickly evolving security situation (including any on-ground information from partners and government), the humanitarian situation in Mosul, rapid needs assessments etc. by meeting regularly as a consortium."/>
    <s v="There is potential to share and align different approaches if there is overlap in sectoral activities in different areas; it is also possible to ensure coordination of activities and approaches if agencies are working in the same geographical areas. Local coordination tends to work better than at the UN Cluster level, and achieves more/has more benefits to coordinating agencies on the ground."/>
    <s v="Engaging women, girls with the decion and their satisfation with the services"/>
    <s v="Used adequate hygiene practices: calculation based on KAP survey (Feb 17) data of average percentages for answers to hygiene behaviour questions in Bersive1 IDP camp (23%)."/>
    <m/>
    <n v="11087"/>
    <n v="0"/>
    <n v="0"/>
    <n v="0.50076666366014255"/>
    <s v=""/>
    <n v="5552"/>
    <n v="0"/>
    <n v="1"/>
    <n v="11087"/>
    <n v="0"/>
    <n v="0"/>
    <s v=""/>
    <n v="0"/>
    <n v="0"/>
    <s v=""/>
    <s v=""/>
    <n v="0"/>
    <n v="0"/>
    <s v=""/>
    <s v=""/>
    <n v="0"/>
    <n v="0"/>
    <s v=""/>
    <s v=""/>
    <n v="0"/>
    <n v="0"/>
    <s v=""/>
    <s v="1. Neutral"/>
    <s v="2. Accommodating"/>
    <s v="0. Harmful"/>
    <s v="It did not develop any specific innovation"/>
    <s v="Little or no advocacy"/>
    <s v="It took tested solutions to scale on its own"/>
  </r>
  <r>
    <x v="35"/>
    <x v="1"/>
    <n v="1256"/>
    <s v="WASH and Shelter support to vulnerable IDPs in North Iraq in 2016 throughout 2017"/>
    <s v="Iraq"/>
    <n v="1256"/>
    <s v="CARE Deutschland-Luxemburg"/>
    <s v="Government"/>
    <s v="Government - Germany"/>
    <s v="Ministry  of Foreign Affairs of Germany"/>
    <m/>
    <m/>
    <m/>
    <m/>
    <m/>
    <m/>
    <m/>
    <m/>
    <m/>
    <m/>
    <m/>
    <m/>
    <m/>
    <m/>
    <m/>
    <m/>
    <m/>
    <m/>
    <m/>
    <m/>
    <m/>
    <m/>
    <m/>
    <m/>
    <m/>
    <m/>
    <m/>
    <m/>
    <m/>
    <m/>
    <m/>
    <m/>
    <m/>
    <m/>
    <m/>
    <m/>
    <m/>
    <m/>
    <m/>
    <m/>
    <m/>
    <m/>
    <m/>
    <m/>
    <m/>
    <d v="2016-07-01T00:00:00"/>
    <d v="2017-12-31T00:00:00"/>
    <m/>
    <s v="Humanitarian Other"/>
    <n v="3511744.5"/>
    <s v="Dilman Hameed"/>
    <s v="MEAL officer"/>
    <s v="amo@care.de"/>
    <s v="Jacqui Symonds"/>
    <s v="Head of Programs"/>
    <s v="Symonds@care.de"/>
    <s v="YES"/>
    <s v="NO"/>
    <s v="NO"/>
    <s v="CARE contributes to the overall goal of improving living conditions of the most vulnerable displaced population in North Iraq through providing WASH services in the targeted IDP camps and effective response to the consequences of humanitarian crisis"/>
    <s v="Sub-National"/>
    <s v="The project is implementing in Iraq, Duhok goverorate in two IDP camps, Chamishku and Sheikhan"/>
    <s v="Targeted IDP communities regardless to their ages and sex"/>
    <n v="23042"/>
    <n v="23199"/>
    <n v="46241"/>
    <m/>
    <m/>
    <m/>
    <s v="Direct women and men are the beneficieries directly receiving WASH services, total population of beneficiaries in both IDP camps have been chosen because WASH sector cover the whole camp"/>
    <m/>
    <n v="23042"/>
    <n v="23199"/>
    <n v="46241"/>
    <m/>
    <m/>
    <m/>
    <m/>
    <m/>
    <m/>
    <m/>
    <m/>
    <m/>
    <m/>
    <m/>
    <m/>
    <m/>
    <m/>
    <m/>
    <s v="YES"/>
    <n v="46241"/>
    <n v="0.5"/>
    <m/>
    <m/>
    <m/>
    <m/>
    <m/>
    <m/>
    <m/>
    <m/>
    <m/>
    <m/>
    <m/>
    <m/>
    <m/>
    <m/>
    <m/>
    <m/>
    <m/>
    <m/>
    <m/>
    <m/>
    <m/>
    <m/>
    <m/>
    <m/>
    <m/>
    <m/>
    <m/>
    <m/>
    <m/>
    <s v="YES"/>
    <n v="46241"/>
    <n v="0.5"/>
    <m/>
    <m/>
    <m/>
    <m/>
    <m/>
    <m/>
    <m/>
    <m/>
    <m/>
    <m/>
    <m/>
    <m/>
    <m/>
    <m/>
    <m/>
    <m/>
    <m/>
    <m/>
    <m/>
    <m/>
    <m/>
    <m/>
    <m/>
    <m/>
    <m/>
    <m/>
    <m/>
    <m/>
    <m/>
    <m/>
    <m/>
    <m/>
    <m/>
    <m/>
    <m/>
    <m/>
    <m/>
    <m/>
    <m/>
    <m/>
    <m/>
    <m/>
    <m/>
    <m/>
    <m/>
    <m/>
    <m/>
    <m/>
    <m/>
    <m/>
    <m/>
    <m/>
    <m/>
    <m/>
    <m/>
    <m/>
    <m/>
    <m/>
    <m/>
    <m/>
    <m/>
    <m/>
    <m/>
    <m/>
    <m/>
    <m/>
    <m/>
    <m/>
    <m/>
    <m/>
    <m/>
    <m/>
    <m/>
    <m/>
    <m/>
    <m/>
    <m/>
    <m/>
    <m/>
    <m/>
    <m/>
    <s v="NO"/>
    <m/>
    <m/>
    <s v="NO"/>
    <s v="YES"/>
    <s v="June"/>
    <n v="2018"/>
    <m/>
    <x v="0"/>
    <s v="NO"/>
    <s v="YES"/>
    <s v="YES"/>
    <s v="YES"/>
    <s v="YES"/>
    <s v="YES"/>
    <s v="YES"/>
    <m/>
    <m/>
    <x v="0"/>
    <m/>
    <x v="1"/>
    <m/>
    <x v="1"/>
    <x v="0"/>
    <s v="NO"/>
    <x v="0"/>
    <x v="0"/>
    <x v="0"/>
    <x v="1"/>
    <n v="3"/>
    <x v="1"/>
    <x v="1"/>
    <x v="1"/>
    <x v="1"/>
    <x v="1"/>
    <x v="1"/>
    <n v="4"/>
    <x v="2"/>
    <x v="1"/>
    <x v="2"/>
    <x v="1"/>
    <x v="2"/>
    <n v="2"/>
    <x v="2"/>
    <x v="2"/>
    <n v="1"/>
    <s v="Local NGO(s)/CSO(s)"/>
    <m/>
    <m/>
    <x v="2"/>
    <s v="Capacity building of local partner staff as well as government staff"/>
    <s v="CARE has been facing several issues in the camps that are rooted in the initial camp design. The infrastructure in the camps was supposed to provide immediate emergency WASH facilities to IDPs for short period (6 - 12 months); but due to the prolonged conflict IDPs are still living in those structures. Therefore, WASH facilities have been overused which leads to growing maintenance cost, leakages, rusting etc. Due to financial problems of local authorities, liquid and solid waste disposal in the camps has to be paid for by NGOs. The joint WASH assessment conducted to identify to critical gaps inside existing camps has been carried out by the WASH team and it is shared with WASH stakeholders at the end of March 2017."/>
    <s v="Engaging local authority"/>
    <s v="Engaging women and girls with the decision"/>
    <s v="Engaging men"/>
    <s v="Although the project duration was short but has significantly contributed with impact by improving hygiene, sanitation and water related issues of the IDPs in booth camp, mainly supplementing on software activities to support CARE’s ongoing other project funded byother donors on water &amp; sanitation, in which software component hasn’t designed at all in project activities, except of voucher distribution but without software activities. The Hygiene activities especially behavioral change needs quite long time it is slow and long process which needs long-term commitment."/>
    <s v="Children are the best beneficiaries as they are empty from wrong traditional habits and easier to change their habits and practices."/>
    <s v="Use of Media could to be equal important in raising awareness widely to large number of direct and indirect beneficiaries"/>
    <s v="sed adequate hygiene practices: Calculation based on KAP survey (Feb 17) data of average percentages for key hand washing times for the populations of Darkar, Chamishku, Sheikhan and Bersive 1 (19%)._x000a__x000a_* Over 96% of beneficiaries in both camps are satisfied with the mechanism of the hygiene voucher distribution and quality of items that they exchange with their vouchers, and reported that hygiene voucher grant contributed to improving levels of their family hygiene. _x000a_* Over 80% of beneficiaries in both camps reported they are “not satisfied” with the “amount of voucher” which is 4$ per person per two months."/>
    <s v="in row 96: Resilience marker score: it seems that Harmful row doesn't functioning properly even changing options it remains the same"/>
    <n v="46241"/>
    <n v="0"/>
    <n v="0"/>
    <n v="0.49830237235353908"/>
    <s v=""/>
    <n v="23042"/>
    <n v="0"/>
    <n v="1"/>
    <n v="46241"/>
    <n v="0"/>
    <n v="0"/>
    <n v="1"/>
    <n v="46241"/>
    <n v="0"/>
    <n v="0"/>
    <s v=""/>
    <n v="0"/>
    <n v="0"/>
    <s v=""/>
    <s v=""/>
    <n v="0"/>
    <n v="0"/>
    <s v=""/>
    <s v=""/>
    <n v="0"/>
    <n v="0"/>
    <s v=""/>
    <s v="1. Neutral"/>
    <s v="2. Accommodating"/>
    <s v="0. Harmful"/>
    <s v="It did not develop any specific innovation"/>
    <s v="Little or no advocacy"/>
    <s v="It linked and worked with strategic alliances and partners to take tested and effective solutions to scale"/>
  </r>
  <r>
    <x v="35"/>
    <x v="1"/>
    <n v="6136"/>
    <s v="WASH support to IDPs &amp; host communities in Dohuk &amp; Ninewa 2017-19"/>
    <s v="Iraq"/>
    <m/>
    <s v="CARE Deutschland-Luxemburg"/>
    <s v="Government"/>
    <s v="Government - Canada"/>
    <s v="Global Affairs Canada (GAC)"/>
    <m/>
    <m/>
    <m/>
    <m/>
    <m/>
    <m/>
    <m/>
    <m/>
    <m/>
    <m/>
    <m/>
    <m/>
    <m/>
    <m/>
    <m/>
    <m/>
    <m/>
    <m/>
    <m/>
    <m/>
    <m/>
    <m/>
    <m/>
    <m/>
    <m/>
    <m/>
    <m/>
    <m/>
    <m/>
    <m/>
    <m/>
    <m/>
    <m/>
    <m/>
    <m/>
    <m/>
    <m/>
    <m/>
    <m/>
    <m/>
    <m/>
    <m/>
    <m/>
    <m/>
    <m/>
    <d v="2017-01-01T00:00:00"/>
    <d v="2019-12-31T00:00:00"/>
    <m/>
    <s v="Humanitarian Other"/>
    <n v="6169954"/>
    <s v="Jacqui Symonds"/>
    <s v="Head of Programs"/>
    <s v="Symonds@care.de"/>
    <s v="Dilman Hameed"/>
    <s v="MEAL officer"/>
    <s v="amo@care.de"/>
    <s v="YES"/>
    <s v="NO"/>
    <s v="NO"/>
    <s v="Water, Sanitation and Hygiene (WASH) remain critical unmet needs in Northern Iraq. According to the Iraq Humanitarian Response Plan 2016, 6.6 million people in Iraq are in need of WASH assistance; of these, 1.8 M are estimated to be IDPs and 2.7 M from within host communities. Access to basic WASH needs is critical, including potable drinking water, basic hygiene items, access to sanitation systems for safe excreta disposal and waste management to prevent the spread of disease.  The lack of safe water, sanitation and solid waste management systems pose serious health risks, especially during the summer months due to seasonal diarrhoea trends, which may also include cholera. _x000a__x000a_CARE’s proposed three-year WASH program will provide critical water, sanitation and hygiene (WASH) services to IDPs and host communities in Dohuk and Ninewa governorates; improve overall WASH services for women, men, boys and girls; and reduce tensions between the host community and IDPs. _x000a_In collaboration with local authorities and communities, CARE and its partners will undertake WASH activities including repair and maintenance of latrines and water supply systems, water quality testing, improved waste management and establishment or support to existing WASH Committees and authorities to operate, repair and manage WASH facilities. The project will also include a strong capacity building component for local authorities, camp management, IDP and host community members and CARE &amp; partner staff, involving training and support to effectively undertake their WASH and waste management activities. Volunteers will be engaged and supported to undertake hygiene promotion activities and increase community awareness of issues around child marriage, gender and referral mechanisms for survivors of SGBV."/>
    <s v="Global"/>
    <s v="Iraq, Duhok goverorate, four IDP camps, Chamishko, Shekhan, Essyan and Mamrashan._x000a_Iraq, Duhok goverorate, Ardawan and Ayas niehbours, Mahat, Kalakchi and Ba'adre host collectives"/>
    <s v="Targeted IDP communities regardless to their ages and sex"/>
    <n v="16233"/>
    <n v="17674"/>
    <n v="33907"/>
    <n v="6224"/>
    <n v="7018"/>
    <n v="13242"/>
    <s v="Direct women and men are the beneficieries directly receiving WASH services, total population of beneficiaries in both IDP camps have been chosen because WASH sector cover the whole camp_x000a__x000a_ Indirect beneficiaries: in two host communities in direct beneficiaries have been estimated as they are indirectly getting benefit from the Water&amp; sanitation project."/>
    <m/>
    <n v="16233"/>
    <n v="17674"/>
    <n v="33907"/>
    <n v="6224"/>
    <n v="7018"/>
    <n v="13242"/>
    <m/>
    <m/>
    <m/>
    <m/>
    <m/>
    <m/>
    <m/>
    <m/>
    <m/>
    <m/>
    <m/>
    <m/>
    <s v="YES"/>
    <n v="33907"/>
    <n v="0.48"/>
    <n v="13242"/>
    <m/>
    <m/>
    <m/>
    <m/>
    <m/>
    <m/>
    <m/>
    <m/>
    <m/>
    <m/>
    <m/>
    <m/>
    <m/>
    <m/>
    <m/>
    <m/>
    <m/>
    <m/>
    <m/>
    <m/>
    <m/>
    <m/>
    <m/>
    <m/>
    <m/>
    <m/>
    <m/>
    <m/>
    <s v="YES"/>
    <n v="33907"/>
    <n v="0.48"/>
    <n v="13242"/>
    <m/>
    <m/>
    <m/>
    <m/>
    <m/>
    <m/>
    <m/>
    <m/>
    <m/>
    <m/>
    <m/>
    <m/>
    <m/>
    <m/>
    <m/>
    <m/>
    <m/>
    <m/>
    <m/>
    <m/>
    <m/>
    <m/>
    <m/>
    <m/>
    <m/>
    <m/>
    <m/>
    <m/>
    <m/>
    <m/>
    <m/>
    <m/>
    <m/>
    <m/>
    <m/>
    <m/>
    <m/>
    <m/>
    <m/>
    <m/>
    <m/>
    <m/>
    <m/>
    <m/>
    <m/>
    <m/>
    <m/>
    <m/>
    <m/>
    <m/>
    <m/>
    <m/>
    <m/>
    <m/>
    <m/>
    <m/>
    <m/>
    <m/>
    <m/>
    <m/>
    <m/>
    <m/>
    <m/>
    <m/>
    <m/>
    <m/>
    <m/>
    <m/>
    <m/>
    <m/>
    <m/>
    <m/>
    <m/>
    <m/>
    <m/>
    <m/>
    <m/>
    <m/>
    <m/>
    <m/>
    <s v="YES"/>
    <s v="February"/>
    <n v="2017"/>
    <s v="YES"/>
    <s v="YES"/>
    <s v="June"/>
    <n v="2018"/>
    <s v="Mid-term KAP survey is planned to bo conducted in June 2018"/>
    <x v="0"/>
    <s v="NO"/>
    <s v="YES"/>
    <s v="YES"/>
    <s v="YES"/>
    <s v="YES"/>
    <s v="YES"/>
    <s v="YES"/>
    <m/>
    <m/>
    <x v="0"/>
    <m/>
    <x v="1"/>
    <m/>
    <x v="1"/>
    <x v="0"/>
    <s v="NO"/>
    <x v="0"/>
    <x v="0"/>
    <x v="0"/>
    <x v="1"/>
    <n v="3"/>
    <x v="1"/>
    <x v="1"/>
    <x v="1"/>
    <x v="1"/>
    <x v="1"/>
    <x v="1"/>
    <n v="4"/>
    <x v="2"/>
    <x v="1"/>
    <x v="1"/>
    <x v="2"/>
    <x v="2"/>
    <n v="2"/>
    <x v="2"/>
    <x v="2"/>
    <n v="2"/>
    <s v="Local NGO(s)/CSO(s)"/>
    <s v="Local NGO(s)/CSO(s)"/>
    <m/>
    <x v="2"/>
    <s v="Capacity building of locat partner staff as well as government staff"/>
    <s v="The current humanitarian crises context of the region is clearly escalating with the new numbers of IDPs from the beginning of this year. To have all those IDP return to their own places will take a significant amount of time. Hence, this long term project is essential to meet the needs during this time. _x000a__x000a_The actual start-up of the project been only couple months due to existence of another NGO in the targeted areas. More time is needed to see actual/realistic program quality and effectiveness. But, local authorities, BRHA, and camp management showed satisfaction and kind of relief knowing the project is a long term one."/>
    <s v="CARE regularly maintained a database of all beneficiaries assisted, to avoid duplication of assistance and enable cross-checking with other partners. Initially, CARE received the list of IDPs registered with food agents, camp managment and responsible authorities. CARE’s implementing partners cross-verified these lists through on-site visits in both IDP camps."/>
    <s v="It is been noticed that there are two different levels of understanding concerning gender concept in general among people.  A group is on level of complete gender blindness and noticeably resistant to it. The other level has some level of gender awareness and more open to listen and this appears in a smaller group than previous. _x000a_The first group possess a dominant idea that females are not capable of doing anything other than house works and breading. While men only work outside the home which qualifies them to be served at home by women. The phrase “women can do nothing” is heard over and over not only from men but women themselves as well._x000a_Based on this issue, our activities aimed to raise awareness about gender in general and gender equality through sessions and household level visits covering men, women, girls and boys._x000a_ We already achieved success in assuring gender balance in selection of members for field teams, volunteers and WASH committee. All of those selected are from the community and some are from the high cast level ( The camp is all Yazidi ethnic group which consists of different level of casts).  This give us an advantage of people listening to them. _x000a_Another success has been attained in giving chance to some females to do operation and maintenance (O\M) works with our O/M team. Which is something only men do according to the gender blindness understanding of people. _x000a_It is worth to mention that the sessions and HH level visits can contribute to people’s knowledge. However, to see desired change in behaviour, time is needed in addition to projects that will empower women to contribute to the economic level of the family in order to give chance to girls to get education. Not only empowering women but also provide work opportunities to men to avoid using females for trading through early marriage. Hence, the expectations need to be realistic."/>
    <m/>
    <s v="Hiring females in the field is having a high impact in field. It is encouraging the females in the camps to participate as volunteers and be part of raising gender awareness. Couple of females stepped up and participated in learning how to do operation and maintenance work. Then after they learned they went with the team and did some work themselves for some families showing great example for community that women can do things just as men. _x000a_This was a result of project’s criteria in hiring equal ratio of males and females."/>
    <m/>
    <m/>
    <s v="in row 96: Resilience marker score: it seems that Harmful row doesn't functioning properly even changing options it remains the same"/>
    <m/>
    <n v="33907"/>
    <n v="13242"/>
    <n v="0.39053882679092811"/>
    <n v="0.4787507004453358"/>
    <n v="0.47001963449629963"/>
    <n v="16233"/>
    <n v="6224"/>
    <n v="1"/>
    <n v="33907"/>
    <n v="13242"/>
    <n v="0.39053882679092811"/>
    <n v="1"/>
    <n v="33907"/>
    <n v="13242"/>
    <n v="0.39053882679092811"/>
    <s v=""/>
    <n v="0"/>
    <n v="0"/>
    <s v=""/>
    <s v=""/>
    <n v="0"/>
    <n v="0"/>
    <s v=""/>
    <s v=""/>
    <n v="0"/>
    <n v="0"/>
    <s v=""/>
    <s v="1. Neutral"/>
    <s v="2. Accommodating"/>
    <s v="0. Harmful"/>
    <s v="It did not develop any specific innovation"/>
    <s v="Little or no advocacy"/>
    <s v="It linked and worked with strategic alliances and partners to take tested and effective solutions to scale"/>
  </r>
  <r>
    <x v="35"/>
    <x v="1"/>
    <n v="6131"/>
    <s v="WASH support to vulnerable IDPs and host communities in Duhok"/>
    <s v="Iraq"/>
    <n v="3161"/>
    <s v="CARE Deutschland-Luxemburg"/>
    <s v="Government"/>
    <s v="Government - Canada"/>
    <s v="Global Affairs Canada (GAC) "/>
    <m/>
    <m/>
    <m/>
    <m/>
    <m/>
    <m/>
    <m/>
    <m/>
    <m/>
    <m/>
    <m/>
    <m/>
    <m/>
    <m/>
    <m/>
    <m/>
    <m/>
    <m/>
    <m/>
    <m/>
    <m/>
    <m/>
    <m/>
    <m/>
    <m/>
    <m/>
    <m/>
    <m/>
    <m/>
    <m/>
    <m/>
    <m/>
    <m/>
    <m/>
    <m/>
    <m/>
    <m/>
    <m/>
    <m/>
    <m/>
    <m/>
    <m/>
    <m/>
    <m/>
    <m/>
    <d v="2016-04-01T00:00:00"/>
    <d v="2017-03-31T00:00:00"/>
    <m/>
    <s v="Humanitarian Other"/>
    <m/>
    <s v="Jacqui Symonds"/>
    <s v="Head of Programs"/>
    <s v="Symonds@care.de"/>
    <s v="Dilman Hameed"/>
    <s v="MEAL officer"/>
    <s v="amo@care.de"/>
    <s v="YES"/>
    <s v="NO"/>
    <s v="NO"/>
    <s v="CARE contributes to the overall goal of improving living conditions of the most vulnerable displaced population in North Iraq through providing WASH services in the targeted IDP camp and effective response to the consequences of humanitarian crisis"/>
    <s v="Global"/>
    <s v="The project has been implemented in Iraq, Duhok goverorate in two IDP camps, Bersive1 and Darkar, and host communities"/>
    <s v="Targeted IDP communities regardless to their ages and sex"/>
    <n v="13303"/>
    <n v="13112"/>
    <n v="26415"/>
    <m/>
    <m/>
    <m/>
    <s v="Direct women and men are the beneficieries directly receiving WASH services, total population of beneficiaries in both IDP camps have been chosen because WASH sector cover the whole camp"/>
    <m/>
    <n v="13303"/>
    <n v="13112"/>
    <n v="26415"/>
    <m/>
    <m/>
    <m/>
    <m/>
    <m/>
    <m/>
    <m/>
    <m/>
    <m/>
    <m/>
    <m/>
    <m/>
    <m/>
    <m/>
    <m/>
    <s v="YES"/>
    <n v="26415"/>
    <n v="0.5"/>
    <m/>
    <m/>
    <m/>
    <m/>
    <m/>
    <m/>
    <m/>
    <m/>
    <m/>
    <m/>
    <m/>
    <m/>
    <m/>
    <m/>
    <m/>
    <m/>
    <m/>
    <m/>
    <m/>
    <m/>
    <m/>
    <m/>
    <m/>
    <m/>
    <m/>
    <s v="NO"/>
    <m/>
    <m/>
    <m/>
    <s v="YES"/>
    <n v="26415"/>
    <n v="0.5"/>
    <m/>
    <m/>
    <m/>
    <m/>
    <m/>
    <m/>
    <m/>
    <m/>
    <m/>
    <m/>
    <m/>
    <m/>
    <m/>
    <m/>
    <m/>
    <m/>
    <m/>
    <m/>
    <m/>
    <m/>
    <m/>
    <m/>
    <m/>
    <m/>
    <m/>
    <m/>
    <m/>
    <m/>
    <m/>
    <m/>
    <m/>
    <m/>
    <m/>
    <m/>
    <m/>
    <m/>
    <m/>
    <m/>
    <m/>
    <m/>
    <m/>
    <m/>
    <m/>
    <m/>
    <m/>
    <m/>
    <m/>
    <m/>
    <m/>
    <m/>
    <m/>
    <m/>
    <m/>
    <m/>
    <m/>
    <m/>
    <m/>
    <m/>
    <m/>
    <m/>
    <m/>
    <m/>
    <m/>
    <m/>
    <m/>
    <m/>
    <m/>
    <m/>
    <m/>
    <m/>
    <m/>
    <m/>
    <m/>
    <m/>
    <m/>
    <m/>
    <m/>
    <m/>
    <m/>
    <m/>
    <m/>
    <s v="YES"/>
    <s v="February"/>
    <n v="2017"/>
    <s v="YES"/>
    <s v="YES"/>
    <s v="June"/>
    <n v="2018"/>
    <m/>
    <x v="0"/>
    <s v="NO"/>
    <s v="YES"/>
    <s v="YES"/>
    <s v="YES"/>
    <s v="YES"/>
    <s v="YES"/>
    <s v="YES"/>
    <m/>
    <m/>
    <x v="0"/>
    <m/>
    <x v="1"/>
    <m/>
    <x v="1"/>
    <x v="0"/>
    <s v="NO"/>
    <x v="0"/>
    <x v="0"/>
    <x v="0"/>
    <x v="1"/>
    <n v="3"/>
    <x v="1"/>
    <x v="1"/>
    <x v="1"/>
    <x v="1"/>
    <x v="1"/>
    <x v="1"/>
    <n v="4"/>
    <x v="2"/>
    <x v="1"/>
    <x v="1"/>
    <x v="2"/>
    <x v="2"/>
    <n v="2"/>
    <x v="2"/>
    <x v="2"/>
    <n v="1"/>
    <s v="Local NGO(s)/CSO(s)"/>
    <m/>
    <m/>
    <x v="2"/>
    <s v="Capacity building of locat partner staff as well as government staff"/>
    <m/>
    <s v="CARE regularly maintained a database of all beneficiaries assisted, to avoid duplication of assistance and enable cross-checking with other partners. Initially, CARE received the list of IDPs registered with food agents, camp managment and responsible authorities. CARE’s implementing partners cross-verified these lists through on-site visits in both IDP camps."/>
    <m/>
    <m/>
    <s v="1) Hiring females in the field is having a high impact in field. It is encouraging the females in the camps to participate as volunteers and be part of raising gender awareness. Couple of females stepped up and participated in learning how to do operation and maintenance work. Then after they learned they went with the team and did some work themselves for some families showing great example for community that women can do things just as men. _x000a_This was a result of project’s criteria in hiring equal ratio of males and females."/>
    <s v="2) CARE, and its partner, approached hygiene promotion in a slightly different manner in this project, by specifically targeting schools and children attending school  The successful results indicated that that children in school are willing to learn and adopt new practices, which in turn can positively impact practices in their respective families, multiplying the impact significantly. CARE, where appropriate, will use this approach in future projects. Another important lesson learned will be to factor in, in advance, the varying authorities involved. While CARE and Harikar were able to deliver hygiene promotion sessions, it came after considerable planning to navigate the varying levels of approval from the KRI Ministry of Education and Iraqi Ministry of Education, with their authority and involvement differing depending on the location of camps and villages. Each have their own and different processes of approvals and school schedules, all leading to rather complicated planning to provide hygiene promotion in schools."/>
    <s v="3) Ongoing repair and maintenance of public sanitation facilities at Bersive 1 Camp was a major ongoing issue for CARE, Harikar, camp management and IDPs because  it is public infrastructure and thus low user ownership. The lack of a sense of ownership has meant that CARE and Harikar have had to consistently follow up on sites constructed or rehabilitated. . In addition, users have very little interest in maintaining this infrastructure because they do not have access to the necessary nor adequate materials for maintenance. There is also generally a lack of available technicians/plumbers to undertake repairs. CARE has factored this in to the GAC funded multiyear project, and its other WASH projects in KRI, by undertaking specific activities to build local capacity and ownership of critical infrastructure, in to future project plans."/>
    <s v="sed adequate hygiene practices: Calculation based on KAP survey (Feb 17) data of average percentages for key hand washing times for the populations of Darkar, Chamishku, Sheikhan and Bersive 1 (19%)._x000a__x000a_* Over 96% of beneficiaries in both camps are satisfied with the mechanism of the hygiene voucher distribution and quality of items that they exchange with their vouchers, and reported that hygiene voucher grant contributed to improving levels of their family hygiene. _x000a_* Over 80% of beneficiaries in both camps reported they are “not satisfied” with the “amount of voucher” which is 4$ per person per two months."/>
    <s v="in row 96: Resilience marker score: it seems that Harmful row doesn't functioning properly even changing options it remains the same"/>
    <n v="26415"/>
    <n v="0"/>
    <n v="0"/>
    <n v="0.5036153700548931"/>
    <s v=""/>
    <n v="13303"/>
    <n v="0"/>
    <n v="1"/>
    <n v="26415"/>
    <n v="0"/>
    <n v="0"/>
    <n v="1"/>
    <n v="26415"/>
    <n v="0"/>
    <n v="0"/>
    <s v=""/>
    <n v="0"/>
    <n v="0"/>
    <s v=""/>
    <s v=""/>
    <n v="0"/>
    <n v="0"/>
    <s v=""/>
    <s v=""/>
    <n v="0"/>
    <n v="0"/>
    <s v=""/>
    <s v="1. Neutral"/>
    <s v="2. Accommodating"/>
    <s v="0. Harmful"/>
    <s v="It did not develop any specific innovation"/>
    <s v="Little or no advocacy"/>
    <s v="It linked and worked with strategic alliances and partners to take tested and effective solutions to scale"/>
  </r>
  <r>
    <x v="35"/>
    <x v="1"/>
    <m/>
    <s v="West Mosul emergancy response(ERF)"/>
    <s v="Iraq"/>
    <m/>
    <s v="CARE Deutschland-Luxemburg"/>
    <s v="Government"/>
    <s v="Other"/>
    <s v="Emergency Response Fund"/>
    <m/>
    <m/>
    <m/>
    <m/>
    <m/>
    <m/>
    <m/>
    <m/>
    <m/>
    <m/>
    <m/>
    <m/>
    <m/>
    <m/>
    <m/>
    <m/>
    <m/>
    <m/>
    <m/>
    <m/>
    <m/>
    <m/>
    <m/>
    <m/>
    <m/>
    <m/>
    <m/>
    <m/>
    <m/>
    <m/>
    <m/>
    <m/>
    <m/>
    <m/>
    <m/>
    <m/>
    <m/>
    <m/>
    <m/>
    <m/>
    <m/>
    <m/>
    <m/>
    <m/>
    <m/>
    <d v="2016-07-15T00:00:00"/>
    <d v="2017-08-06T00:00:00"/>
    <m/>
    <s v="Humanitarian Other"/>
    <n v="34500"/>
    <s v="Jacqui Symonds"/>
    <s v="Head of Programs"/>
    <s v="Symonds@care.de"/>
    <s v="Dilman Hameed"/>
    <s v="MEAL officer"/>
    <s v="amo@care.de"/>
    <s v="YES"/>
    <s v="NO"/>
    <s v="NO"/>
    <s v="CARE contributes to the overall goal of improving living conditions of the most vulnerable displaced population in North Iraq through preposition of lifesaving WASH items that will allow a time-bound and effective response to the consequences of humanitarian crisis after the offensive to Mosul starts."/>
    <s v="National"/>
    <s v="Iraq, Ninawa governorate, Mosul response"/>
    <s v="Targeted IDP communities regardless to their ages and sex"/>
    <n v="1663"/>
    <n v="1952"/>
    <n v="3615"/>
    <m/>
    <m/>
    <m/>
    <s v="Direct women and men are the beneficieries directly receiving WASH items."/>
    <m/>
    <n v="1663"/>
    <n v="1952"/>
    <n v="3615"/>
    <m/>
    <m/>
    <m/>
    <m/>
    <m/>
    <m/>
    <m/>
    <m/>
    <m/>
    <m/>
    <m/>
    <m/>
    <m/>
    <m/>
    <m/>
    <m/>
    <m/>
    <m/>
    <m/>
    <m/>
    <m/>
    <m/>
    <m/>
    <m/>
    <m/>
    <m/>
    <m/>
    <m/>
    <m/>
    <m/>
    <m/>
    <m/>
    <m/>
    <m/>
    <m/>
    <m/>
    <m/>
    <m/>
    <m/>
    <m/>
    <m/>
    <m/>
    <m/>
    <m/>
    <m/>
    <m/>
    <m/>
    <s v="YES"/>
    <n v="3615"/>
    <n v="0.46"/>
    <m/>
    <m/>
    <m/>
    <m/>
    <m/>
    <m/>
    <m/>
    <m/>
    <m/>
    <m/>
    <m/>
    <m/>
    <m/>
    <m/>
    <m/>
    <m/>
    <m/>
    <m/>
    <m/>
    <m/>
    <m/>
    <m/>
    <m/>
    <m/>
    <m/>
    <m/>
    <m/>
    <m/>
    <m/>
    <m/>
    <m/>
    <m/>
    <m/>
    <m/>
    <m/>
    <m/>
    <m/>
    <m/>
    <m/>
    <m/>
    <m/>
    <m/>
    <m/>
    <m/>
    <m/>
    <m/>
    <m/>
    <m/>
    <m/>
    <m/>
    <m/>
    <m/>
    <m/>
    <m/>
    <m/>
    <m/>
    <m/>
    <m/>
    <m/>
    <m/>
    <m/>
    <m/>
    <m/>
    <m/>
    <m/>
    <m/>
    <m/>
    <m/>
    <m/>
    <m/>
    <m/>
    <m/>
    <m/>
    <m/>
    <m/>
    <m/>
    <m/>
    <m/>
    <m/>
    <m/>
    <m/>
    <s v="NO"/>
    <m/>
    <m/>
    <s v="NO"/>
    <s v="NO"/>
    <m/>
    <m/>
    <m/>
    <x v="0"/>
    <s v="NO"/>
    <s v="YES"/>
    <s v="NO"/>
    <s v="YES"/>
    <s v="YES"/>
    <s v="YES"/>
    <s v="YES"/>
    <m/>
    <m/>
    <x v="0"/>
    <m/>
    <x v="3"/>
    <m/>
    <x v="1"/>
    <x v="0"/>
    <s v="NO"/>
    <x v="0"/>
    <x v="0"/>
    <x v="0"/>
    <x v="1"/>
    <n v="3"/>
    <x v="1"/>
    <x v="2"/>
    <x v="1"/>
    <x v="1"/>
    <x v="1"/>
    <x v="1"/>
    <n v="3"/>
    <x v="2"/>
    <x v="1"/>
    <x v="2"/>
    <x v="2"/>
    <x v="2"/>
    <n v="1"/>
    <x v="2"/>
    <x v="2"/>
    <n v="3"/>
    <s v="Local NGO(s)/CSO(s)"/>
    <s v="Local NGO(s)/CSO(s)"/>
    <s v="Local NGO(s)/CSO(s)"/>
    <x v="2"/>
    <s v="Capacity building of locat partner staff as well as government staff"/>
    <s v="In the newly retaken areas, one of the main challenges the difficulties for CARE &amp; partners to locate beneficiaries in need; the initial outflux of IDPs was all contained in camps and other partners (particularly Erbil-based) were already positioned there. It was not until newly liberated areas became accessible that CARE was able to distribute, at first to stayees and then returnees. Overall for the entire humanitarian community there was a huge over capacity from October to Februrary and there was intense competition for NGOs to provide assistance to a limited number of beneficiaries. Things changed in March-April when NGO pre-positioned stocks were mostly utilized, East Mosul became accessible and IDPs from West Mosul started arriving in the East of the city._x000a_Once CARE and partners’ distributions commenced, blanket coverage of entire villages was preferred and applied to avoid tensions between host and IDP/returnee populations; the idea was (and remains) to move towards targeted distributions for recent returnees. Ensuring access to up to date and unbiased population data from local authorities, especially the provision of sex- and age- disaggregated data, to ensure provision of equal assistance to those in need in the target areas, was a real challenge, especially early on in the response._x000a_Additional challenges came from the ability to store pre-positioned relief supplies in the large quantities that were provided by a range of donors; and then the ability to be able to distribute these items, due to lack of access to affected areas (due to both security and permissions, delays in identifying suitable local partners and also due to the pre-existing division of coverage of affected areas by other, Erbil-based aid organizations). An additional challenge was the ever-changing and unreliable capacity of local vendors to supply relief items, who were prone to pulling out and leaving CARE with issues to solve in order to ensure it could supply the necessary items to complement its pre-positioned stocks._x000a_Access permissions to affected areas and populations was, and remains, an ongoing issue for provision of rapid humanitarian assistance in Mosul. One key achievement for CARE was gaining access to West Mosul IDPs in a timely manner, and allocating the distribution point at central point in East Mosul (Bashiqa). In addition, developing a good relationship with food agents via CARE’s implementing partners enabled CARE to implement a much more well-coordinated and effective, rapid response, to new influxes of IDPs as they arrived from West Mosul._x000a_The humanitarian community witnessed several direct and indirect fire attacks targeting aid distributions by government actors and local charities in East Mosul. For that reason, to avoid putting distribution teams and beneficiaries at risk, a remote distribution modality was designed, allowing for CARE and its IPs to design smaller distributions for approximately 50 - 200 households in closed compounds in the target neighborhoods, to avoid issues with deliberate targeting of distribution points. Tenets of the modality were: low visibility both during transportation and distribution, with minimal staff presence to avoid crowding. _x000a_The modality relied heavily on cooperation with local representatives and agents to ensure acceptance, as well as confirmation with Town and City Councils, whilst employing volunteers (incentives) to minimize access issues, as well as distribution costs, and to provide income-generating activities in each neighborhood."/>
    <s v="CARE regularly maintained a database of all beneficiaries assisted during its Mosul emergency response, to avoid duplication of assistance and enable cross-checking with other partners. Initially, CARE received the list of IDPs and returnees registered with food agents, local municipal councils and responsible authorities i.e. Mayor’s office, Mukhtars (community leaders) etc. CARE’s implementing partners cross-verified these lists through on-site visits in Bashiqa and through ration cards from food distribution agents in East Mosul, Qayara and Telskof."/>
    <s v="Target beneficiaries received a list of the contents of the assistance package, attached to a pre-distributed coupon. This enabled CARE to organize the distributions on the basis of the coupons and to ensure that beneficiaries knew the contents, items and quantities they would receive on the day of distribution. All the items packed in boxes (hygiene kits, kitchen sets and the tool kits) plus sealing off kits and BESKs (packed in a fabric bag) were designed with donor logos. The contents and quantities of different items were written in Arabic. Fire safety flyers in Arabic were also packed inside the wick stove boxes. Beneficiaries were advised at the end of each distribution to open the boxes and count the kit items to report back on any missing items."/>
    <s v="Over the life of the project, CARE’s complaints response mechanisms were progressively developed and implemented to ensure people had multiple avenues to provide negative (and positive!) feedback about CARE &amp; IPs activities, including directly at complaints desks but also indirectly via reporting to local representatives at distribution sites as well as the UNOPS feedback hotline, to which CARE has recently signed up and receives regular reports on feedback. During PDM activities, beneficiaries were also given the opportunity to provide further feedback."/>
    <s v="CARE’s Mosul response, involving IHPF Shelter funds and those from other donors, was initially based on an assumption of a large population influx from conflict-affected areas of Mosul , which did not eventuate at the time, nor in the numbers (not until much later into the conflict) that the humanitarian community anticipated. CARE’s initially planned response, was also based on the modality of pre-positioning of emergency relief kits, which later in the crisis were not always appropriate for a number of reasons including; ongoing restrictions due to security access; an uncertain and protracted conflict; a very mobile displaced population; and a high number of ‘stayees’. In addition, the ability of local markets to quickly re-establish meant that the demand for cash support was high, and would have been a much more appropriate, rapid and relevant means of humanitarian response to the Mosul conflict. As many other agencies, CARE is moving towards more cash-based modalities of response, however for this project, it would have been appropriate to include this as a (major) component, complementing (and/or potentially replacing) pre-positioned items. This is an important lesson for the Shelter/NFI Cluster, which during the planning phases of the interventions was not favorable to cash interventions, preferring the prepositioning modality, as it was initially imagined that markets would not be readily available to IDPs."/>
    <s v="CARE’s experience partnering with newly formed local NGOs as implementing partners was also a lesson learned in preparedness; for ensuring that capacity assessments and other due diligence and capacity building activities are already in place, rather than trying to form partnerships and quickly learning capacity limitations during the response. Funding for these types of activities should be made more readily available by Donors in similar scenarios. However, CARE’s motivation to develop and grow these partnerships paid dividends by the end of the project, with CARE’s ability to deliver the assistance much enhanced by the already well-established and maintained relationships with local community leaders, city officials and local security actors such as Asayesh. Importantly, without the access that CARE’s IPs enjoyed, CARE’s response would have been further delayed and/or potentially impossible. Through them, CARE was able to ensure that it minimized the risk to beneficiaries accessing CARE’s assistance, as well as avoiding compromising the project’s quality."/>
    <s v="Additionally, as these relations and trust with its IPs developed, so did the accountability between CARE and it’s IPs, other humanitarian actors, local authorities and the local population."/>
    <s v="Challanges:_x000a_The protracted nature of the crisis in Iraq has meant that media interest in the conflict has waned, apart from the recent ‘liberation’ of Mosul from ISIL. There has been little contact from the Lead Member in regards to media coverage of CARE’s activities in Iraq."/>
    <s v="in row 96: Resilience marker score: it seems that Harmful row doesn't functioning properly even changing options it remains the same"/>
    <n v="3615"/>
    <n v="0"/>
    <n v="0"/>
    <n v="0.46002766251728905"/>
    <s v=""/>
    <n v="1663"/>
    <n v="0"/>
    <n v="1"/>
    <n v="3615"/>
    <n v="0"/>
    <n v="0"/>
    <s v=""/>
    <n v="0"/>
    <n v="0"/>
    <s v=""/>
    <s v=""/>
    <n v="0"/>
    <n v="0"/>
    <s v=""/>
    <s v=""/>
    <n v="0"/>
    <n v="0"/>
    <s v=""/>
    <s v=""/>
    <n v="0"/>
    <n v="0"/>
    <s v=""/>
    <s v="1. Neutral"/>
    <s v="2. Accommodating"/>
    <s v="0. Harmful"/>
    <s v="It did not develop any specific innovation"/>
    <s v="Little or no advocacy"/>
    <s v="It took tested solutions to scale on its own"/>
  </r>
  <r>
    <x v="36"/>
    <x v="1"/>
    <n v="3043"/>
    <s v="Emergency Assistance and Longer Term Recovery from the Impact of the Syria Crisis in Jordan"/>
    <s v="Jordan"/>
    <s v="204512-101"/>
    <s v="CARE UK"/>
    <s v="Government"/>
    <s v="Government - UK"/>
    <s v="DFID"/>
    <m/>
    <m/>
    <m/>
    <m/>
    <m/>
    <m/>
    <m/>
    <m/>
    <m/>
    <m/>
    <m/>
    <m/>
    <m/>
    <m/>
    <m/>
    <m/>
    <m/>
    <m/>
    <m/>
    <m/>
    <m/>
    <m/>
    <m/>
    <m/>
    <m/>
    <m/>
    <m/>
    <m/>
    <m/>
    <m/>
    <m/>
    <m/>
    <m/>
    <m/>
    <m/>
    <m/>
    <m/>
    <m/>
    <m/>
    <m/>
    <m/>
    <m/>
    <m/>
    <m/>
    <m/>
    <d v="2015-01-01T00:00:00"/>
    <d v="2016-12-31T00:00:00"/>
    <d v="2016-12-31T00:00:00"/>
    <s v="Humanitarian Other"/>
    <n v="7020437"/>
    <s v="Tesd Williams"/>
    <s v="Humanitarian Funding Manager"/>
    <s v="twilliams@careinternational.org"/>
    <s v="Salam Kanaan"/>
    <s v="Country Director"/>
    <s v="Salam.Kanaan@jo.care.org"/>
    <s v="YES"/>
    <s v="YES"/>
    <s v="YES"/>
    <s v="Vulnerable women, girls, boys and men affected by the Syria Crisis in Jordan are provided with support to meet their basic needs and maintain a standard of living that affords them increased dignity and respect."/>
    <s v="National"/>
    <s v="Jordan targeting Amman, Mafraq and Zarqa governorates"/>
    <s v="The impact group are Syrian refugees and the host community members"/>
    <n v="2100"/>
    <n v="2400"/>
    <n v="4500"/>
    <n v="8400"/>
    <n v="8400"/>
    <n v="16800"/>
    <s v="Direct participats are Syrian refugees (70%) and host community members (30%), with a focus on persons with most urgent needs and vulnerabilities, including women, youth and children at risk, female-headed households, the elderly, and the disabled (50% female and 50% male). Indirect participants are family members (the number noted is derived by multplying by 5, an average family size) and community members, as effect and impact of the project is broad in its implementation and goals."/>
    <m/>
    <n v="2125"/>
    <n v="2419"/>
    <n v="4544"/>
    <n v="9171"/>
    <n v="8967"/>
    <n v="18138"/>
    <s v="NO"/>
    <m/>
    <m/>
    <m/>
    <s v="YES"/>
    <n v="1494"/>
    <n v="0.43169999999999997"/>
    <n v="5939"/>
    <s v="NO"/>
    <m/>
    <m/>
    <m/>
    <s v="NO"/>
    <m/>
    <m/>
    <m/>
    <s v="NO"/>
    <m/>
    <m/>
    <m/>
    <s v="NO"/>
    <m/>
    <m/>
    <m/>
    <s v="NO"/>
    <m/>
    <m/>
    <m/>
    <s v="Yes"/>
    <n v="560"/>
    <n v="0.4405"/>
    <n v="1374"/>
    <s v="YES"/>
    <n v="2654"/>
    <n v="0.49959999999999999"/>
    <n v="11622"/>
    <s v="NO"/>
    <m/>
    <m/>
    <m/>
    <s v="NO"/>
    <m/>
    <m/>
    <m/>
    <s v="NO"/>
    <m/>
    <m/>
    <m/>
    <m/>
    <s v="NO"/>
    <m/>
    <m/>
    <m/>
    <n v="245"/>
    <n v="315"/>
    <n v="560"/>
    <n v="687"/>
    <n v="687"/>
    <n v="1374"/>
    <s v="NO"/>
    <m/>
    <m/>
    <m/>
    <s v="NO"/>
    <m/>
    <m/>
    <m/>
    <s v="NO"/>
    <m/>
    <m/>
    <m/>
    <s v="NO"/>
    <m/>
    <m/>
    <m/>
    <s v="YES"/>
    <n v="560"/>
    <n v="0.44"/>
    <n v="1374"/>
    <s v="NO"/>
    <m/>
    <m/>
    <m/>
    <s v="NO"/>
    <m/>
    <m/>
    <m/>
    <s v="NO"/>
    <m/>
    <m/>
    <m/>
    <s v="NO"/>
    <m/>
    <m/>
    <m/>
    <s v="NO"/>
    <m/>
    <m/>
    <m/>
    <s v="NO"/>
    <m/>
    <m/>
    <m/>
    <s v="NO"/>
    <m/>
    <m/>
    <m/>
    <s v="NO"/>
    <m/>
    <m/>
    <m/>
    <s v="NO"/>
    <m/>
    <m/>
    <m/>
    <s v="NO"/>
    <m/>
    <m/>
    <m/>
    <s v="NO"/>
    <m/>
    <m/>
    <m/>
    <m/>
    <s v="NO"/>
    <m/>
    <m/>
    <m/>
    <s v="YES"/>
    <m/>
    <m/>
    <s v="NO"/>
    <s v="NO"/>
    <m/>
    <m/>
    <s v="Internal evaluation that measures impact and reach on beneficiaries targets"/>
    <x v="1"/>
    <s v="YES"/>
    <s v="NO"/>
    <s v="YES"/>
    <s v="YES"/>
    <s v="YES"/>
    <s v="NO"/>
    <s v="YES"/>
    <s v="NO"/>
    <m/>
    <x v="2"/>
    <s v="Contributed positively in creating a social movement to fight poverty and social inequalities"/>
    <x v="3"/>
    <s v="This project scaled up on its own, seeking to influence communities through implementation of innovative approaches (i.e. psychosocial activities, peer group support sessions and community events and training, as well as support to enable them to pursue livelihood opportunities)."/>
    <x v="1"/>
    <x v="1"/>
    <s v="YES"/>
    <x v="0"/>
    <x v="0"/>
    <x v="0"/>
    <x v="2"/>
    <n v="4"/>
    <x v="1"/>
    <x v="2"/>
    <x v="1"/>
    <x v="1"/>
    <x v="1"/>
    <x v="1"/>
    <n v="3"/>
    <x v="3"/>
    <x v="1"/>
    <x v="1"/>
    <x v="1"/>
    <x v="4"/>
    <n v="3"/>
    <x v="0"/>
    <x v="1"/>
    <n v="3"/>
    <s v="Local NGO(s)/CSO(s)"/>
    <s v="Local government(s)"/>
    <m/>
    <x v="0"/>
    <s v="Psychosocial activities were held for refugees and host community members attending together; CARE formed community committee in each area, who are part of decision-making processes, proposal design and implementation activities."/>
    <s v="No changes."/>
    <s v="Fighting poverty through VSLAs and vocational training activities"/>
    <s v="Encouraging positive coping mechanisms"/>
    <s v="Comprehensive approach in engaging beneficairies to benefit from the program as a whole, instead of focusing on sole aspects of the progra. The project was successfully copleted by 31 December 2016."/>
    <s v="Limitations on medical referral services provided to Syrians"/>
    <s v="Referral processes are often linked to contact persons from other organizations who change frequently (due to high staff turnover within the sector), which often causes delays in reaching the newly appointed person for the referral. This creates a delay and it hinders the provision of services to beneficairies."/>
    <s v="There was no follow-up to advanced training activities (i.e. small business training) for beneficairies of the vocational training, which limited our full understanding of the impact this training had on the beneficairies / attendants."/>
    <s v="The project stayed on track, according to its objectiives and activities planned."/>
    <s v="Final post-monitoring analysis / report"/>
    <n v="4544"/>
    <n v="18138"/>
    <n v="3.991637323943662"/>
    <n v="0.46764964788732394"/>
    <n v="0.50562355276215676"/>
    <n v="2125"/>
    <n v="9171"/>
    <n v="1"/>
    <n v="4544"/>
    <n v="18138"/>
    <n v="3.991637323943662"/>
    <n v="1"/>
    <n v="560"/>
    <n v="1374"/>
    <n v="2.4535714285714287"/>
    <s v=""/>
    <n v="0"/>
    <n v="0"/>
    <s v=""/>
    <s v=""/>
    <n v="0"/>
    <n v="0"/>
    <s v=""/>
    <n v="1"/>
    <n v="246.4"/>
    <n v="604.56000000000006"/>
    <n v="2.4535714285714287"/>
    <s v="4. Transformative"/>
    <s v="2. Accommodating"/>
    <s v="4. Transformative"/>
    <s v="It tested new ways for fighting poverty and measured results of innovation"/>
    <s v="Moderate advocacy"/>
    <s v="It took tested solutions to scale on its own"/>
  </r>
  <r>
    <x v="36"/>
    <x v="1"/>
    <m/>
    <s v="Emergency Assistance and Safe Spaces for Crisis Affected People in Jordan"/>
    <s v="Jordan"/>
    <s v="CAUSJO0024"/>
    <s v="CARE Australia"/>
    <s v="Government"/>
    <s v="Government - Australia"/>
    <s v="DIBP"/>
    <m/>
    <m/>
    <m/>
    <m/>
    <m/>
    <m/>
    <m/>
    <m/>
    <m/>
    <m/>
    <m/>
    <m/>
    <m/>
    <m/>
    <m/>
    <m/>
    <m/>
    <m/>
    <m/>
    <m/>
    <m/>
    <m/>
    <m/>
    <m/>
    <m/>
    <m/>
    <m/>
    <m/>
    <m/>
    <m/>
    <m/>
    <m/>
    <m/>
    <m/>
    <m/>
    <m/>
    <m/>
    <m/>
    <m/>
    <m/>
    <m/>
    <m/>
    <m/>
    <m/>
    <m/>
    <d v="2016-07-13T00:00:00"/>
    <d v="2018-07-12T00:00:00"/>
    <m/>
    <s v="Humanitarian Other"/>
    <n v="1587172"/>
    <s v="Adel Al-Dahien"/>
    <s v="Program Manager for Irbid and Mafraq"/>
    <s v="Adel.AlDahien@care.org"/>
    <m/>
    <m/>
    <m/>
    <s v="YES"/>
    <s v="YES"/>
    <s v="YES"/>
    <s v="The project's purpose is to meet the most pressing needs of the most vulnerable Syrian refugees and members of the host community in Jordan, while building self-reliance and resilience  and maintaining human dignity."/>
    <s v="National"/>
    <s v="Urban neighborhoods in Irbid, Mafraq and Zarqa in Jordan"/>
    <s v="The main impact group is comprised of both refugee and Jordanian host community members, with an emphasis on women, to strengthen their long-term resilience and self-reliance."/>
    <n v="11429"/>
    <n v="11428"/>
    <n v="22857"/>
    <n v="62857"/>
    <n v="62857"/>
    <n v="125714"/>
    <s v="Direct participants are vulnerable refugees (70% received casha and psychosocial support) and host community members living in urban areas of Irbid, Zarqa and Mafraq (Jordanians comprise 30% of beneficiaries of cash and psychosocial support, 50% of vocational training), with a focus on women, youth and children, the elderly, and the disabled."/>
    <m/>
    <n v="7199"/>
    <n v="7321"/>
    <n v="14520"/>
    <n v="35995"/>
    <n v="36605"/>
    <n v="72600"/>
    <s v="NO"/>
    <m/>
    <m/>
    <m/>
    <s v="YES"/>
    <n v="802"/>
    <n v="0.4027"/>
    <n v="4010"/>
    <s v="NO"/>
    <m/>
    <m/>
    <m/>
    <s v="NO"/>
    <m/>
    <m/>
    <m/>
    <s v="NO"/>
    <m/>
    <m/>
    <m/>
    <s v="NO"/>
    <m/>
    <m/>
    <m/>
    <s v="NO"/>
    <m/>
    <m/>
    <m/>
    <s v="Yes"/>
    <n v="300"/>
    <n v="0.99650000000000005"/>
    <n v="1500"/>
    <s v="YES"/>
    <n v="13975"/>
    <n v="0.49180000000000001"/>
    <n v="69875"/>
    <s v="NO"/>
    <m/>
    <m/>
    <m/>
    <s v="NO"/>
    <m/>
    <m/>
    <m/>
    <s v="NO"/>
    <m/>
    <m/>
    <m/>
    <m/>
    <s v="NO"/>
    <m/>
    <m/>
    <m/>
    <n v="300"/>
    <n v="0"/>
    <n v="300"/>
    <n v="750"/>
    <n v="750"/>
    <n v="1500"/>
    <s v="NO"/>
    <m/>
    <m/>
    <m/>
    <s v="NO"/>
    <m/>
    <m/>
    <m/>
    <s v="NO"/>
    <m/>
    <m/>
    <m/>
    <s v="NO"/>
    <m/>
    <m/>
    <m/>
    <s v="YES"/>
    <n v="300"/>
    <n v="0.99650000000000005"/>
    <n v="1500"/>
    <s v="NO"/>
    <m/>
    <m/>
    <m/>
    <s v="NO"/>
    <m/>
    <m/>
    <m/>
    <s v="NO"/>
    <m/>
    <m/>
    <m/>
    <s v="NO"/>
    <m/>
    <m/>
    <m/>
    <s v="NO"/>
    <m/>
    <m/>
    <m/>
    <s v="NO"/>
    <m/>
    <m/>
    <m/>
    <s v="NO"/>
    <m/>
    <m/>
    <m/>
    <s v="NO"/>
    <m/>
    <m/>
    <m/>
    <s v="NO"/>
    <m/>
    <m/>
    <m/>
    <s v="NO"/>
    <m/>
    <m/>
    <m/>
    <s v="NO"/>
    <m/>
    <m/>
    <m/>
    <m/>
    <s v="NO"/>
    <m/>
    <m/>
    <m/>
    <s v="YES"/>
    <s v="December"/>
    <n v="2016"/>
    <s v="YES"/>
    <s v="YES"/>
    <s v="July"/>
    <n v="2018"/>
    <s v="Conducting 6 key formative interviews with Community Based Organizations’ (CBO) staff (of the 6 partnered CBOs) who will be directly involved in the preparation and logistics of the vocational trainings through visiting each of the organizations. A total of 2 interviews per governorate._x000a__x000a_- Developing a cohort study by randomly selecting a sample of 15 women and interviewing them every 6 months over the life of the project_x000a__x000a__x000a_- Analysis of results, and concluding the set of consolidated findings"/>
    <x v="1"/>
    <s v="NO"/>
    <s v="NO"/>
    <s v="YES"/>
    <s v="YES"/>
    <s v="YES"/>
    <s v="NO"/>
    <s v="YES"/>
    <s v="NO"/>
    <m/>
    <x v="2"/>
    <s v="community-based skills building training, CBOs' staff members provided with capacity building trainings,Small Business Development (SBD) Training,grants , Care will create job opportunities, through the legal process of recruitment of Syrians and issuance of work permits, to skilled Syrians in need for work."/>
    <x v="1"/>
    <s v="CARE worked with local CBOs and private centers to bring said project and its goals to scale."/>
    <x v="1"/>
    <x v="0"/>
    <s v="YES"/>
    <x v="0"/>
    <x v="0"/>
    <x v="0"/>
    <x v="0"/>
    <n v="4"/>
    <x v="2"/>
    <x v="1"/>
    <x v="1"/>
    <x v="1"/>
    <x v="1"/>
    <x v="2"/>
    <n v="4"/>
    <x v="3"/>
    <x v="1"/>
    <x v="1"/>
    <x v="1"/>
    <x v="4"/>
    <n v="3"/>
    <x v="2"/>
    <x v="0"/>
    <n v="3"/>
    <s v="Local NGO(s)/CSO(s)"/>
    <s v="Private sector"/>
    <s v="National government"/>
    <x v="0"/>
    <s v="CARE  worked with 3 local CBOs as implementing partners for the livelihood activity and they recived a cabcity building   to deliver activities by providing training in management, finance, procurement, and personnel management, and establishing community committees a to  enhanced social cohesion through community mobilization and peer group support programs."/>
    <m/>
    <s v="Developing community committees"/>
    <s v="Linking with local CBOs"/>
    <s v="Market Assessment"/>
    <s v="• Starting with raising awareness of employers and beneficiaries on all issues related to employment, at CARE’s community centres and partner CBOs, through case managers, through community committees, through Time Bank network, by visiting employers, by conducting customer-service oriented phone calls with large employers, and through distribution of leaflets and FAQ documents"/>
    <s v="• Enhancing the filtration process of potential beneficiaries, through updating CARE’s Database System (CDS) with additional fields on employment and skills record, as well as future interests"/>
    <s v="• Building a new partnership with ILO, whereby both organization work together; utilizing each other’s competitive advantages, and Designing future interventions that include a ‘training for employment’ stream"/>
    <m/>
    <s v="project proposal and log frame, baseline assessment,  year one annual narrative report"/>
    <n v="14520"/>
    <n v="72600"/>
    <n v="5"/>
    <n v="0.49579889807162536"/>
    <n v="0.49579889807162536"/>
    <n v="7199"/>
    <n v="35995"/>
    <n v="1"/>
    <n v="14520"/>
    <n v="72600"/>
    <n v="5"/>
    <n v="1"/>
    <n v="300"/>
    <n v="1500"/>
    <n v="5"/>
    <s v=""/>
    <n v="0"/>
    <n v="0"/>
    <s v=""/>
    <s v=""/>
    <n v="0"/>
    <n v="0"/>
    <s v=""/>
    <n v="1"/>
    <n v="298.95"/>
    <n v="1494.75"/>
    <n v="5"/>
    <s v="2. Sensitive"/>
    <s v="4. Transformational"/>
    <s v="4. Transformative"/>
    <s v="It tested new ways for fighting poverty and measured results of innovation"/>
    <s v="Moderate advocacy"/>
    <s v="It linked and worked with strategic alliances and partners to take tested and effective solutions to scale"/>
  </r>
  <r>
    <x v="36"/>
    <x v="1"/>
    <m/>
    <s v="Emergency Assistance for Refugees and Host Communities Affected by the Syrian Crisis in Jordan"/>
    <s v="Jordan"/>
    <s v="GB646"/>
    <s v="CARE UK"/>
    <s v="Government"/>
    <s v="Government - UK"/>
    <s v="DFID"/>
    <m/>
    <m/>
    <m/>
    <m/>
    <m/>
    <m/>
    <m/>
    <m/>
    <m/>
    <m/>
    <m/>
    <m/>
    <m/>
    <m/>
    <m/>
    <m/>
    <m/>
    <m/>
    <m/>
    <m/>
    <m/>
    <m/>
    <m/>
    <m/>
    <m/>
    <m/>
    <m/>
    <m/>
    <m/>
    <m/>
    <m/>
    <m/>
    <m/>
    <m/>
    <m/>
    <m/>
    <m/>
    <m/>
    <m/>
    <m/>
    <m/>
    <m/>
    <m/>
    <m/>
    <m/>
    <d v="2017-01-01T00:00:00"/>
    <d v="2018-01-31T00:00:00"/>
    <m/>
    <s v="Humanitarian Other"/>
    <n v="3600000"/>
    <s v="Angela Atzori"/>
    <s v="Program Manager / DFID Project Manager"/>
    <s v="Angela.Atzori@care.org"/>
    <m/>
    <m/>
    <m/>
    <s v="YES"/>
    <s v="YES"/>
    <s v="YES"/>
    <s v="Refugees and host communities in Jordan affected by the Syria crisis enjoy the increased social cohesion, are protected from harm, and are able to meet their basic needs."/>
    <s v="National"/>
    <s v="Jordan: Amman, Irbid, Mafraq and Zarqa"/>
    <s v="Vulnerable Jordanians and Syrians"/>
    <n v="10000"/>
    <n v="10000"/>
    <n v="20000"/>
    <n v="37000"/>
    <n v="37000"/>
    <n v="74000"/>
    <s v="Syrian and Jordanian community members from the above mentioned areas, with a focus on women and other, at risk groups. The number of indirect beneficairies is calculated by multiplying the number of household members by 4.7 (an average familly size)."/>
    <m/>
    <n v="4341"/>
    <n v="3644"/>
    <n v="7985"/>
    <n v="20040"/>
    <n v="17126"/>
    <n v="37166"/>
    <s v="NO"/>
    <m/>
    <m/>
    <m/>
    <s v="YES"/>
    <n v="1590"/>
    <n v="0.438"/>
    <n v="7473"/>
    <s v="NO"/>
    <m/>
    <m/>
    <m/>
    <s v="NO"/>
    <m/>
    <m/>
    <m/>
    <s v="NO"/>
    <m/>
    <m/>
    <m/>
    <s v="NO"/>
    <m/>
    <m/>
    <m/>
    <s v="NO"/>
    <m/>
    <m/>
    <m/>
    <s v="NO"/>
    <m/>
    <m/>
    <m/>
    <s v="YES"/>
    <n v="6711"/>
    <n v="0.56379999999999997"/>
    <n v="31541"/>
    <s v="NO"/>
    <m/>
    <m/>
    <m/>
    <s v="NO"/>
    <m/>
    <m/>
    <m/>
    <s v="NO"/>
    <m/>
    <m/>
    <m/>
    <m/>
    <s v="NO"/>
    <m/>
    <m/>
    <m/>
    <m/>
    <m/>
    <m/>
    <m/>
    <m/>
    <m/>
    <s v="NO"/>
    <m/>
    <m/>
    <m/>
    <s v="NO"/>
    <m/>
    <m/>
    <m/>
    <s v="NO"/>
    <m/>
    <m/>
    <m/>
    <s v="NO"/>
    <m/>
    <m/>
    <m/>
    <s v="NO"/>
    <m/>
    <m/>
    <m/>
    <s v="NO"/>
    <m/>
    <m/>
    <m/>
    <s v="NO"/>
    <m/>
    <m/>
    <m/>
    <s v="NO"/>
    <m/>
    <m/>
    <m/>
    <s v="NO"/>
    <m/>
    <m/>
    <m/>
    <s v="NO"/>
    <m/>
    <m/>
    <m/>
    <s v="NO"/>
    <m/>
    <m/>
    <m/>
    <s v="NO"/>
    <m/>
    <m/>
    <m/>
    <s v="NO"/>
    <m/>
    <m/>
    <m/>
    <s v="NO"/>
    <m/>
    <m/>
    <m/>
    <s v="NO"/>
    <m/>
    <m/>
    <m/>
    <s v="NO"/>
    <m/>
    <m/>
    <m/>
    <m/>
    <s v="NO"/>
    <m/>
    <m/>
    <m/>
    <s v="NO"/>
    <m/>
    <m/>
    <s v="NO"/>
    <s v="YES"/>
    <s v="February"/>
    <n v="2018"/>
    <s v="Evaluation will assess impact, efficiency, effectiveness and sustainability of the project. Details are yet to be developed."/>
    <x v="0"/>
    <s v="NO"/>
    <s v="NO"/>
    <s v="YES"/>
    <s v="YES"/>
    <s v="YES"/>
    <s v="NO"/>
    <s v="YES"/>
    <s v="NO"/>
    <m/>
    <x v="1"/>
    <s v="Conditional Cash for Education"/>
    <x v="1"/>
    <s v="CARE works with JOHUD to expand psychosocial interventions throughout the country at major JOHUD centers"/>
    <x v="1"/>
    <x v="0"/>
    <s v="YES"/>
    <x v="0"/>
    <x v="0"/>
    <x v="0"/>
    <x v="0"/>
    <n v="4"/>
    <x v="1"/>
    <x v="1"/>
    <x v="1"/>
    <x v="1"/>
    <x v="1"/>
    <x v="1"/>
    <n v="4"/>
    <x v="3"/>
    <x v="1"/>
    <x v="1"/>
    <x v="1"/>
    <x v="4"/>
    <n v="3"/>
    <x v="2"/>
    <x v="0"/>
    <n v="3"/>
    <s v="Local NGO(s)/CSO(s)"/>
    <s v="Local NGO(s)/CSO(s)"/>
    <s v="Local NGO(s)/CSO(s)"/>
    <x v="2"/>
    <s v="CARE, through partnerships with local CBOs, has enabled beneficiaries to express their opinions, challenges and artistic points of view through various means of communication."/>
    <s v="No changes noted"/>
    <s v="Emergency Cash Assistance"/>
    <s v="Conditional Cash for Education"/>
    <s v="Psychosocial support"/>
    <s v="CCE proves to be a successful way to protect children at risk"/>
    <s v="Psychosocial support activities prove to be an opportunity for women, girls, boys and men to release trauma-related tensions and rebuild community ties and social cohesion"/>
    <s v="Emergency Cash Assistance has proved crucial to assist households and individuals in most urgent and dramatic needs."/>
    <m/>
    <s v="Proposal and Theory of Change"/>
    <n v="7985"/>
    <n v="37166"/>
    <n v="4.6544771446462114"/>
    <n v="0.54364433312460869"/>
    <n v="0.53920249690577404"/>
    <n v="4341"/>
    <n v="20040"/>
    <n v="1"/>
    <n v="7985"/>
    <n v="37166"/>
    <n v="4.6544771446462114"/>
    <s v=""/>
    <n v="0"/>
    <n v="0"/>
    <s v=""/>
    <s v=""/>
    <n v="0"/>
    <n v="0"/>
    <s v=""/>
    <s v=""/>
    <n v="0"/>
    <n v="0"/>
    <s v=""/>
    <s v=""/>
    <n v="0"/>
    <n v="0"/>
    <s v=""/>
    <s v="2. Sensitive"/>
    <s v="2. Accommodating"/>
    <s v="4. Transformative"/>
    <s v="It tested new ways for fighting poverty, but did not measure results of innovation"/>
    <s v="Little or no advocacy"/>
    <s v="It linked and worked with strategic alliances and partners to take tested and effective solutions to scale"/>
  </r>
  <r>
    <x v="36"/>
    <x v="1"/>
    <n v="3048"/>
    <s v="Hemaya II for Girls and Young women in Jordan"/>
    <s v="Jordan"/>
    <s v="AT541"/>
    <s v="CARE Österreich"/>
    <s v="Government"/>
    <s v="EU - European Union (other than ECHO)"/>
    <s v="EU"/>
    <m/>
    <m/>
    <m/>
    <m/>
    <m/>
    <m/>
    <m/>
    <m/>
    <m/>
    <m/>
    <m/>
    <m/>
    <m/>
    <m/>
    <m/>
    <m/>
    <m/>
    <m/>
    <m/>
    <m/>
    <m/>
    <m/>
    <m/>
    <m/>
    <m/>
    <m/>
    <m/>
    <m/>
    <m/>
    <m/>
    <m/>
    <m/>
    <m/>
    <m/>
    <m/>
    <m/>
    <m/>
    <m/>
    <m/>
    <m/>
    <m/>
    <m/>
    <m/>
    <m/>
    <m/>
    <d v="2015-02-01T00:00:00"/>
    <d v="2017-07-03T00:00:00"/>
    <m/>
    <s v="Development A Life Free From Violence (GBV)"/>
    <n v="633658.51133999997"/>
    <s v="Sawsan Saadeh"/>
    <s v="SD Program Director"/>
    <s v="Sawsan.Mohammed@care.org"/>
    <s v="Bader Al Nammur"/>
    <s v="Project Manager"/>
    <s v="bader.alnammur@care.org"/>
    <s v="YES"/>
    <s v="YES"/>
    <s v="YES"/>
    <s v="CARE and partners seek to influence gender norms and roles towards gender equality. The project therefore adopts a holistic and community based approach, enaging with a range of key target groups, such as CBOs, schools, service providers and community groups. The project focuses on a two-pronged strategy whereby women are empowered to realise their full human rights as well as service providers capacitated to better meet needs of survivors and to stop incidents from happening again (secondary prevention)."/>
    <s v="National"/>
    <s v="Mafraq _x000a_Zarqa"/>
    <s v="the empowerment component will focus on women and girls as they are more adversely affected by SGBV than any other group. The project also takes into account a number of intersecting inequalities, which impact people with disabilities and refugee population. For instance, all community groups in this programme will aim to incorporate 25% Syrian participants (wherever possible)."/>
    <n v="730"/>
    <n v="390"/>
    <n v="1120"/>
    <n v="3650"/>
    <n v="1950"/>
    <n v="5600"/>
    <s v="Direct participants of the project are women and girls who are affected by SGBV. Indirect participants are family members (number calculated by multiplying by 5, an average family size), local CBOs, schools and commuity committee members."/>
    <m/>
    <m/>
    <m/>
    <m/>
    <m/>
    <m/>
    <m/>
    <s v="NO"/>
    <m/>
    <m/>
    <m/>
    <s v="NO"/>
    <m/>
    <m/>
    <m/>
    <s v="NO"/>
    <m/>
    <m/>
    <m/>
    <s v="NO"/>
    <m/>
    <m/>
    <m/>
    <s v="NO"/>
    <m/>
    <m/>
    <m/>
    <s v="NO"/>
    <m/>
    <m/>
    <m/>
    <s v="NO"/>
    <m/>
    <m/>
    <m/>
    <s v="NO"/>
    <m/>
    <m/>
    <m/>
    <s v="NO"/>
    <m/>
    <m/>
    <m/>
    <s v="NO"/>
    <m/>
    <m/>
    <m/>
    <s v="NO"/>
    <m/>
    <m/>
    <m/>
    <s v="NO"/>
    <m/>
    <m/>
    <m/>
    <m/>
    <s v="NO"/>
    <m/>
    <m/>
    <m/>
    <n v="808"/>
    <n v="390"/>
    <n v="1198"/>
    <n v="4040"/>
    <n v="1950"/>
    <n v="5990"/>
    <s v="NO"/>
    <m/>
    <m/>
    <m/>
    <s v="NO"/>
    <m/>
    <m/>
    <m/>
    <s v="NO"/>
    <m/>
    <m/>
    <m/>
    <s v="NO"/>
    <m/>
    <m/>
    <m/>
    <s v="YES"/>
    <n v="140"/>
    <n v="1"/>
    <n v="700"/>
    <s v="NO"/>
    <m/>
    <m/>
    <m/>
    <s v="NO"/>
    <m/>
    <m/>
    <m/>
    <s v="YES"/>
    <n v="974"/>
    <n v="0.65"/>
    <n v="4870"/>
    <s v="YES"/>
    <n v="84"/>
    <n v="0.5"/>
    <n v="420"/>
    <s v="NO"/>
    <m/>
    <m/>
    <m/>
    <s v="NO"/>
    <m/>
    <m/>
    <m/>
    <s v="NO"/>
    <m/>
    <m/>
    <m/>
    <s v="NO"/>
    <m/>
    <m/>
    <m/>
    <s v="NO"/>
    <m/>
    <m/>
    <m/>
    <s v="NO"/>
    <m/>
    <m/>
    <m/>
    <s v="NO"/>
    <m/>
    <m/>
    <m/>
    <m/>
    <s v="NO"/>
    <m/>
    <m/>
    <m/>
    <s v="YES"/>
    <s v="August"/>
    <n v="2017"/>
    <s v="YES"/>
    <s v="NO"/>
    <m/>
    <m/>
    <m/>
    <x v="2"/>
    <s v="NO"/>
    <s v="YES"/>
    <s v="YES"/>
    <s v="YES"/>
    <s v="YES"/>
    <s v="NO"/>
    <s v="NO"/>
    <m/>
    <m/>
    <x v="2"/>
    <s v="Saving and Loans Assosiations - which includeed capacity building for women, buisness skills and life skills trainings, the importance of Womens Particvpation in work force_x000a_Small - home based - buisness grants- for 120 women - which included an intensive training of how to start your own buisness"/>
    <x v="1"/>
    <m/>
    <x v="2"/>
    <x v="1"/>
    <s v="YES"/>
    <x v="0"/>
    <x v="0"/>
    <x v="0"/>
    <x v="2"/>
    <n v="4"/>
    <x v="1"/>
    <x v="1"/>
    <x v="1"/>
    <x v="1"/>
    <x v="1"/>
    <x v="1"/>
    <n v="4"/>
    <x v="3"/>
    <x v="1"/>
    <x v="1"/>
    <x v="1"/>
    <x v="4"/>
    <n v="3"/>
    <x v="0"/>
    <x v="0"/>
    <n v="6"/>
    <s v="Local NGO(s)/CSO(s)"/>
    <s v="Local government(s)"/>
    <m/>
    <x v="0"/>
    <s v="The project facilitated training to local CBOs, social service providers, school staff and community leaders that enhanced knowledge and capacity on topics, including human rights instruments, gender equality and child protection, as well as support said institutions and providers in cooperation to prevent SGBV and support survivors. Establishing local coordination committees, to help change the prevailing attitudes toward SGBV, is another way to strengthen civil society ties."/>
    <s v="no changes"/>
    <s v="Improved capacities of CBOs, schools and service providers to intervene and address SGBV"/>
    <s v="Offer training to CBOs, social service providers, school staff, and community leaders"/>
    <s v="Facilitate VSLA groups for women"/>
    <s v="Establishment of local coordination committees is a promising practice that helps raise awareness about SGBV and change attitudes about said topic"/>
    <s v="In depth, gender -sensitive market analysis has shed light on the needs, gaps and vulnerabiities women face with respect to accessing the labor market"/>
    <s v="Due to cultural restrictions, it has been difficult to conduct quarterly gender discussions with husbands and other male members. To tackle this obstacle, a trained male volunteer conducts these sessions."/>
    <m/>
    <s v="Annual report"/>
    <n v="1198"/>
    <n v="5990"/>
    <n v="5"/>
    <n v="0.67445742904841399"/>
    <n v="0.67445742904841399"/>
    <n v="808"/>
    <n v="4040"/>
    <n v="1"/>
    <n v="0"/>
    <n v="0"/>
    <s v=""/>
    <n v="1"/>
    <n v="140"/>
    <n v="700"/>
    <n v="5"/>
    <s v=""/>
    <n v="0"/>
    <n v="0"/>
    <s v=""/>
    <n v="1"/>
    <n v="974"/>
    <n v="4870"/>
    <n v="5"/>
    <n v="1"/>
    <n v="140"/>
    <n v="700"/>
    <n v="5"/>
    <s v="4. Transformative"/>
    <s v="2. Accommodating"/>
    <s v="4. Transformative"/>
    <s v="It tested new ways for fighting poverty and measured results of innovation"/>
    <s v="Intensive advocacy"/>
    <s v="It linked and worked with strategic alliances and partners to take tested and effective solutions to scale"/>
  </r>
  <r>
    <x v="36"/>
    <x v="1"/>
    <n v="3047"/>
    <s v="Humanitarian Assistance for Crisis-Affected People in Jordan, with a Focus on Women and Children"/>
    <s v="Jordan"/>
    <s v="PO#7061369-WEB#D002254"/>
    <s v="CARE Canada"/>
    <s v="Government"/>
    <s v="Government - Canada"/>
    <s v="Global Affairs Canada (GAC) "/>
    <m/>
    <m/>
    <m/>
    <m/>
    <m/>
    <m/>
    <m/>
    <m/>
    <m/>
    <m/>
    <m/>
    <m/>
    <m/>
    <m/>
    <m/>
    <m/>
    <m/>
    <m/>
    <m/>
    <m/>
    <m/>
    <m/>
    <m/>
    <m/>
    <m/>
    <m/>
    <m/>
    <m/>
    <m/>
    <m/>
    <m/>
    <m/>
    <m/>
    <m/>
    <m/>
    <m/>
    <m/>
    <m/>
    <m/>
    <m/>
    <m/>
    <m/>
    <m/>
    <m/>
    <m/>
    <d v="2015-03-30T00:00:00"/>
    <d v="2016-12-31T00:00:00"/>
    <m/>
    <s v="Humanitarian Other"/>
    <n v="3533239"/>
    <s v="Maher Qubbaj"/>
    <s v="Program Director Urban Response Protection Program"/>
    <s v="Maher.Qubbaj@care.org"/>
    <m/>
    <m/>
    <m/>
    <s v="YES"/>
    <s v="YES"/>
    <s v="YES"/>
    <s v="To meet the needs of the most vulnerable Syrian refugees and members of the host community, with an emphasis on the needs of women and children"/>
    <s v="National"/>
    <s v="Irbid, Mafraq, Zarqa, Azraq town and East Amman"/>
    <s v="70% Syrian refugees and 30% vulnerable Jordanians living in urban areas, with a focus on women and children at risk (i.e. female-headed households, people with disabilities, the elderly, and children at risk for child labor and/or early marriage)."/>
    <n v="8475"/>
    <n v="8475"/>
    <n v="16950"/>
    <n v="30988"/>
    <n v="30987"/>
    <n v="61975"/>
    <s v="Direct participants are Syrian refugees and vulnerable Jordanians with most urgent needs and vulnerabilities (i.e. protection risks, use of negative coping skills, in need of basic services, etc.). Indirect beneficiaries (the number is calculated by multiplying by 4.7, an average household sice) include family members as well as the beneficiary communities and local CBO partners. For instance, in terms of information provision, which is implemented during case management sessions,  it is important to note, that a great number of beneficiaries learn about services available to them through CARE's mapping of services, leaflets, community centers, but also through the word of mouth, making broader communities aware of the existing assistance."/>
    <m/>
    <n v="3255"/>
    <n v="3354"/>
    <n v="6609"/>
    <n v="13280"/>
    <n v="12358"/>
    <n v="25638"/>
    <s v="NO"/>
    <m/>
    <m/>
    <m/>
    <s v="YES"/>
    <n v="1366"/>
    <n v="0.43259999999999998"/>
    <n v="4067"/>
    <s v="NO"/>
    <m/>
    <m/>
    <m/>
    <s v="NO"/>
    <m/>
    <m/>
    <m/>
    <s v="NO"/>
    <m/>
    <m/>
    <m/>
    <s v="NO"/>
    <m/>
    <m/>
    <m/>
    <s v="NO"/>
    <m/>
    <m/>
    <m/>
    <s v="Yes"/>
    <n v="450"/>
    <n v="1"/>
    <n v="1674"/>
    <s v="YES"/>
    <n v="5002"/>
    <n v="0.46089999999999998"/>
    <n v="20831"/>
    <s v="NO"/>
    <m/>
    <m/>
    <m/>
    <s v="NO"/>
    <m/>
    <m/>
    <m/>
    <s v="NO"/>
    <m/>
    <m/>
    <m/>
    <m/>
    <s v="NO"/>
    <m/>
    <m/>
    <m/>
    <n v="450"/>
    <n v="0"/>
    <n v="450"/>
    <n v="837"/>
    <n v="837"/>
    <n v="1674"/>
    <s v="NO"/>
    <m/>
    <m/>
    <m/>
    <s v="NO"/>
    <m/>
    <m/>
    <m/>
    <s v="NO"/>
    <m/>
    <m/>
    <m/>
    <s v="NO"/>
    <m/>
    <m/>
    <m/>
    <s v="YES"/>
    <n v="450"/>
    <n v="1"/>
    <n v="1674"/>
    <s v="NO"/>
    <m/>
    <m/>
    <m/>
    <s v="NO"/>
    <m/>
    <m/>
    <m/>
    <s v="NO"/>
    <m/>
    <m/>
    <m/>
    <s v="NO"/>
    <m/>
    <m/>
    <m/>
    <s v="NO"/>
    <m/>
    <m/>
    <m/>
    <s v="NO"/>
    <m/>
    <m/>
    <m/>
    <s v="NO"/>
    <m/>
    <m/>
    <m/>
    <s v="NO"/>
    <m/>
    <m/>
    <m/>
    <s v="NO"/>
    <m/>
    <m/>
    <m/>
    <s v="NO"/>
    <m/>
    <m/>
    <m/>
    <s v="NO"/>
    <m/>
    <m/>
    <m/>
    <m/>
    <s v="NO"/>
    <m/>
    <m/>
    <m/>
    <s v="YES"/>
    <s v="February"/>
    <n v="2017"/>
    <m/>
    <s v="NO"/>
    <m/>
    <m/>
    <s v="Other than regular assessments that take place on an annual basis, there will be no additional evaluation with respect to this particular project."/>
    <x v="0"/>
    <s v="NO"/>
    <s v="NO"/>
    <s v="YES"/>
    <s v="YES"/>
    <s v="YES"/>
    <s v="NO"/>
    <s v="YES"/>
    <m/>
    <m/>
    <x v="2"/>
    <s v="This project returned 200 vulnerable, out-of-school children, back to classes, positively reflecting on children's education and their families' wellbeing and economic status through Conditional cash for Education initiative that is also butressed by the provision of psychosocial support activities, in alignment with the objective to strengthen children's protective environment. Furthermore, the project empowered 1150 women economically by providing them with vocational trainings, business start-up kits and livelihood protection initiatives."/>
    <x v="1"/>
    <s v="In terms of enhancing children's protective environment, this project enabled CARE to increase the number of beneficairies and scaled up the Conditional Cash for Education initiative/ solution for the out-of-school children. Moreover, in partnership with local CBOs, and throughout CARE's capacity building activities of said CBOs, the project was able to scale up the number of beneficairies and enhance the CBO's capacities to efficiently support a larger number of beneficiaries (via vocational trainings and psychosocial support activities)."/>
    <x v="1"/>
    <x v="1"/>
    <s v="YES"/>
    <x v="0"/>
    <x v="0"/>
    <x v="0"/>
    <x v="2"/>
    <n v="4"/>
    <x v="1"/>
    <x v="1"/>
    <x v="1"/>
    <x v="1"/>
    <x v="1"/>
    <x v="1"/>
    <n v="4"/>
    <x v="3"/>
    <x v="1"/>
    <x v="1"/>
    <x v="1"/>
    <x v="4"/>
    <n v="3"/>
    <x v="2"/>
    <x v="0"/>
    <n v="7"/>
    <s v="Local NGO(s)/CSO(s)"/>
    <m/>
    <m/>
    <x v="0"/>
    <s v="Capacity building was one of the objectives of the project seeking to enhance the local CBOs capacity to increase the knowledge, skills , quality and efficiency with which to assist beneficiaries in need. Said trainings and support have contributed to increased resilience of the local network."/>
    <s v="No changes or adjustments, except changes to cost, specifically CARE was offered and received cost extension and increased budget in the same duration of the project."/>
    <s v="Economic empowerment"/>
    <s v="Psychosocial support activities"/>
    <s v="Addressing urgent and basic needs (Emergency Cash Assistance and Winterization Cash Assistance)"/>
    <s v="Challenge lies in a short- term duration of the project."/>
    <s v="This project enabled CARE to implement Conditional Cash for Education, helping expand said intervention to a larger scale, which continues to be a promising practice in this operational context."/>
    <s v="Vocational training with an emphasis on women has beem an empowering experience for most participants of the training / receipients of toolkits."/>
    <m/>
    <s v="Proposal"/>
    <n v="6609"/>
    <n v="25638"/>
    <n v="3.8792555605991828"/>
    <n v="0.49251021334543804"/>
    <n v="0.5179811217723691"/>
    <n v="3255"/>
    <n v="13280"/>
    <n v="1"/>
    <n v="6609"/>
    <n v="25638"/>
    <n v="3.8792555605991828"/>
    <n v="1"/>
    <n v="450"/>
    <n v="1674"/>
    <n v="3.72"/>
    <s v=""/>
    <n v="0"/>
    <n v="0"/>
    <s v=""/>
    <s v=""/>
    <n v="0"/>
    <n v="0"/>
    <s v=""/>
    <n v="1"/>
    <n v="450"/>
    <n v="1674"/>
    <n v="3.72"/>
    <s v="4. Transformative"/>
    <s v="2. Accommodating"/>
    <s v="4. Transformative"/>
    <s v="It tested new ways for fighting poverty and measured results of innovation"/>
    <s v="Little or no advocacy"/>
    <s v="It linked and worked with strategic alliances and partners to take tested and effective solutions to scale"/>
  </r>
  <r>
    <x v="36"/>
    <x v="1"/>
    <n v="3050"/>
    <s v="Investing in Women’s Economic Empowerment – a catalyst for positive change (H&amp;M CF Flagship Program) - KHATWA"/>
    <s v="Jordan"/>
    <s v="NL798"/>
    <s v="CARE Nederland"/>
    <s v="Corporation"/>
    <s v="Other"/>
    <s v="H&amp;M Conscious Foundation"/>
    <m/>
    <m/>
    <m/>
    <m/>
    <m/>
    <m/>
    <m/>
    <m/>
    <m/>
    <m/>
    <m/>
    <m/>
    <m/>
    <m/>
    <m/>
    <m/>
    <m/>
    <m/>
    <m/>
    <m/>
    <m/>
    <m/>
    <m/>
    <m/>
    <m/>
    <m/>
    <m/>
    <m/>
    <m/>
    <m/>
    <m/>
    <m/>
    <m/>
    <m/>
    <m/>
    <m/>
    <m/>
    <m/>
    <m/>
    <m/>
    <m/>
    <m/>
    <m/>
    <m/>
    <m/>
    <d v="2014-12-01T00:00:00"/>
    <d v="2016-11-30T00:00:00"/>
    <m/>
    <s v="Development Other"/>
    <n v="191115"/>
    <s v="Sawsan Mohammed"/>
    <s v="Sustainable Development Program Director"/>
    <s v="Sawsan.Mohammed@care.org"/>
    <m/>
    <m/>
    <m/>
    <s v="NO"/>
    <s v="YES"/>
    <s v="NO"/>
    <s v="Addressing livelihood needs of vulnerable women and ensure vulnerable women have access to alternative means to develop sustainable livelihood options through small scale entrepreneurship."/>
    <s v="National"/>
    <s v="Amman and Zarqa"/>
    <s v="The main impact group includes mostly Jordanian women, along with refugee community members (Syrian and Iraqi). There are activities in the project, particularly awareness raising sessions and activities with the VSLA groups that target relevant boys and men (i.e. husbands, brothers, sons)."/>
    <n v="3200"/>
    <n v="0"/>
    <n v="3200"/>
    <n v="8000"/>
    <n v="8000"/>
    <n v="16000"/>
    <s v="Direct participants are women, primarily Jordanian community members, as well as refugees although fewer in numbers. Indirect participants are family members (number calculated by multiplying by 5, an average family size) and broader community, especially as the project has far reaching implementation and goals (i.e. economic empowerment, awareness raising via social media, and capacity building in local CBOs)."/>
    <m/>
    <m/>
    <m/>
    <m/>
    <m/>
    <m/>
    <m/>
    <s v="NO"/>
    <m/>
    <m/>
    <m/>
    <s v="NO"/>
    <m/>
    <m/>
    <m/>
    <s v="NO"/>
    <m/>
    <m/>
    <m/>
    <s v="NO"/>
    <m/>
    <m/>
    <m/>
    <s v="NO"/>
    <m/>
    <m/>
    <m/>
    <s v="NO"/>
    <m/>
    <m/>
    <m/>
    <s v="NO"/>
    <m/>
    <m/>
    <m/>
    <s v="NO"/>
    <m/>
    <m/>
    <m/>
    <s v="NO"/>
    <m/>
    <m/>
    <m/>
    <s v="NO"/>
    <m/>
    <m/>
    <m/>
    <s v="NO"/>
    <m/>
    <m/>
    <m/>
    <s v="NO"/>
    <m/>
    <m/>
    <m/>
    <m/>
    <s v="NO"/>
    <m/>
    <m/>
    <m/>
    <n v="2084"/>
    <n v="0"/>
    <n v="2084"/>
    <n v="5210"/>
    <n v="5210"/>
    <n v="10420"/>
    <s v="NO"/>
    <m/>
    <m/>
    <m/>
    <s v="NO"/>
    <m/>
    <m/>
    <m/>
    <s v="NO"/>
    <m/>
    <m/>
    <m/>
    <s v="NO"/>
    <m/>
    <m/>
    <m/>
    <s v="YES"/>
    <n v="836"/>
    <n v="1"/>
    <n v="4180"/>
    <s v="NO"/>
    <m/>
    <m/>
    <m/>
    <s v="NO"/>
    <m/>
    <m/>
    <m/>
    <s v="NO"/>
    <m/>
    <m/>
    <m/>
    <s v="NO"/>
    <m/>
    <m/>
    <m/>
    <s v="NO"/>
    <m/>
    <m/>
    <m/>
    <s v="NO"/>
    <m/>
    <m/>
    <m/>
    <s v="NO"/>
    <m/>
    <m/>
    <m/>
    <s v="NO"/>
    <m/>
    <m/>
    <m/>
    <s v="NO"/>
    <m/>
    <m/>
    <m/>
    <s v="NO"/>
    <m/>
    <m/>
    <m/>
    <s v="YES"/>
    <n v="1248"/>
    <n v="1"/>
    <n v="6240"/>
    <m/>
    <s v="NO"/>
    <m/>
    <m/>
    <m/>
    <s v="YES"/>
    <s v="November"/>
    <n v="2016"/>
    <s v="YES"/>
    <s v="NO"/>
    <m/>
    <m/>
    <s v="Final evaluation was conducted during November-December 2016. The evaluation triangulated data through FGDs, surveys, and questionnaires."/>
    <x v="0"/>
    <s v="NO"/>
    <s v="NO"/>
    <s v="YES"/>
    <s v="NO"/>
    <s v="NO"/>
    <s v="NO"/>
    <s v="NO"/>
    <s v="NO"/>
    <m/>
    <x v="1"/>
    <s v="The project established new Saving and Loans associations in local CBOs, and has used the VSLA groups as an entry point to develop entrepreneurship opportunities."/>
    <x v="1"/>
    <s v="The project continues to support women in VSLA groups, in addition to enrolling new members, in cooperation with local CBOs."/>
    <x v="1"/>
    <x v="1"/>
    <s v="YES"/>
    <x v="0"/>
    <x v="0"/>
    <x v="0"/>
    <x v="2"/>
    <n v="4"/>
    <x v="1"/>
    <x v="1"/>
    <x v="0"/>
    <x v="1"/>
    <x v="1"/>
    <x v="1"/>
    <n v="3"/>
    <x v="3"/>
    <x v="1"/>
    <x v="1"/>
    <x v="1"/>
    <x v="4"/>
    <n v="3"/>
    <x v="2"/>
    <x v="0"/>
    <n v="3"/>
    <s v="Local NGO(s)/CSO(s)"/>
    <m/>
    <m/>
    <x v="0"/>
    <s v="In addition to strengthening the CBOs capacities, the project also raised awareness about women's economic empowerment and gender equality via social media to increase acceptance of women's participation in private entrepreneurship."/>
    <s v="no changes"/>
    <s v="SLAs"/>
    <s v="Vocational training"/>
    <s v="Engaging men"/>
    <s v="Empowering women at home to help them enter the workforce"/>
    <s v="SLA groups are one of the most beneficial method to help women that are in need of immediate financial assistance. Since the majority of the women in our society are Muslim having zero interest loans has proven to be appealing to the women and they appreciate the loans and are willing to participate. If there were any interest at all, no matter what it would be called, the women will not participate and thus not improve their economic or psychosocial well-being."/>
    <s v="Keeping men involved in projects does not only promote gender sensitivity but also creates room for sustainability since they are the main decision makers in our society. Men should be included in all projects for they have proven to create sustainability for the project."/>
    <m/>
    <s v="Final evaluation"/>
    <n v="2084"/>
    <n v="10420"/>
    <n v="5"/>
    <n v="1"/>
    <n v="0.5"/>
    <n v="2084"/>
    <n v="5210"/>
    <s v=""/>
    <n v="0"/>
    <n v="0"/>
    <s v=""/>
    <n v="1"/>
    <n v="836"/>
    <n v="4180"/>
    <n v="5"/>
    <s v=""/>
    <n v="0"/>
    <n v="0"/>
    <s v=""/>
    <s v=""/>
    <n v="0"/>
    <n v="0"/>
    <s v=""/>
    <n v="1"/>
    <n v="1248"/>
    <n v="6240"/>
    <n v="5"/>
    <s v="4. Transformative"/>
    <s v="2. Accommodating"/>
    <s v="4. Transformative"/>
    <s v="It tested new ways for fighting poverty, but did not measure results of innovation"/>
    <s v="Little or no advocacy"/>
    <s v="It linked and worked with strategic alliances and partners to take tested and effective solutions to scale"/>
  </r>
  <r>
    <x v="36"/>
    <x v="1"/>
    <n v="3046"/>
    <s v="Jordanian Community Development and Support Program"/>
    <s v="Jordan"/>
    <s v="CA327"/>
    <s v="CARE Canada"/>
    <s v="Government"/>
    <s v="Government - Canada"/>
    <s v="Global Affairs Canada (GAC) "/>
    <m/>
    <m/>
    <m/>
    <m/>
    <m/>
    <m/>
    <m/>
    <m/>
    <m/>
    <m/>
    <m/>
    <m/>
    <m/>
    <m/>
    <m/>
    <m/>
    <m/>
    <m/>
    <m/>
    <m/>
    <m/>
    <m/>
    <m/>
    <m/>
    <m/>
    <m/>
    <m/>
    <m/>
    <m/>
    <m/>
    <m/>
    <m/>
    <m/>
    <m/>
    <m/>
    <m/>
    <m/>
    <m/>
    <m/>
    <m/>
    <m/>
    <m/>
    <m/>
    <m/>
    <m/>
    <d v="2014-10-09T00:00:00"/>
    <d v="2017-12-31T00:00:00"/>
    <m/>
    <s v="Development Other"/>
    <n v="3397497"/>
    <s v="Bader Al Nammur"/>
    <s v="Project Manager"/>
    <s v="bader.alnammur@care.org"/>
    <m/>
    <m/>
    <m/>
    <s v="YES"/>
    <s v="YES"/>
    <s v="YES"/>
    <s v="(1) providing case management, information services, and one-time cash infusions to extremely vulnerable Jordanian households; (2) supporting the economic development of Jordanians through a micro-finance lending initiative; and (3) establishing community programs for youth to improve their vocational skills and opportunities and reinforce positive relationships between the Jordanian and Syrian communities. Together, these components will directly address protection and livelihood needs in the host communities. The results of the project will include: increased capacity of vulnerable households to meet urgent financial needs, improved access to livelihood opportunities, and strengthened social structures and local safety nets."/>
    <s v="National"/>
    <s v="20 localities in Amman, Irbid, Marfraq, Zarqa (5 in each area)"/>
    <s v="A total of 15,046 direct beneficiaries(82,764 individuals indirectly) will be reached in the four locations over the three-year life cycle of the project. All beneficiaries of Components One and Two will be Jordanian, while the beneficiary population of Component Three will be composed of 60% Jordanians and 40% Syrians."/>
    <n v="9027"/>
    <n v="6019"/>
    <n v="15046"/>
    <n v="49658"/>
    <n v="33106"/>
    <n v="82764"/>
    <s v="Case management, info provision and cash assistance: 60%_x000a_CBOs capacity building, loans, VTC training, MoSD staff training: 10%_x000a_Community programs for youth: 30%"/>
    <m/>
    <n v="3500"/>
    <n v="2100"/>
    <n v="5600"/>
    <n v="4950"/>
    <n v="3470"/>
    <n v="8420"/>
    <s v="NO"/>
    <m/>
    <m/>
    <m/>
    <s v="YES"/>
    <n v="2250"/>
    <n v="0.75"/>
    <n v="4151"/>
    <s v="NO"/>
    <m/>
    <m/>
    <m/>
    <s v="NO"/>
    <m/>
    <m/>
    <m/>
    <s v="NO"/>
    <m/>
    <m/>
    <m/>
    <s v="NO"/>
    <m/>
    <m/>
    <m/>
    <s v="NO"/>
    <m/>
    <m/>
    <m/>
    <s v="NO"/>
    <m/>
    <m/>
    <m/>
    <s v="YES"/>
    <n v="5363"/>
    <n v="0.62"/>
    <n v="7678"/>
    <s v="NO"/>
    <m/>
    <m/>
    <m/>
    <s v="NO"/>
    <m/>
    <m/>
    <m/>
    <s v="NO"/>
    <m/>
    <m/>
    <m/>
    <m/>
    <s v="NO"/>
    <m/>
    <m/>
    <m/>
    <n v="3840"/>
    <n v="2354"/>
    <n v="6194"/>
    <n v="21120"/>
    <n v="12948"/>
    <n v="34068"/>
    <s v="NO"/>
    <m/>
    <m/>
    <m/>
    <s v="NO"/>
    <m/>
    <m/>
    <m/>
    <s v="NO"/>
    <m/>
    <m/>
    <m/>
    <s v="NO"/>
    <m/>
    <m/>
    <m/>
    <s v="YES"/>
    <n v="1870"/>
    <n v="0.69"/>
    <n v="10285"/>
    <s v="NO"/>
    <m/>
    <m/>
    <m/>
    <s v="NO"/>
    <m/>
    <m/>
    <m/>
    <s v="NO"/>
    <m/>
    <m/>
    <m/>
    <s v="NO"/>
    <m/>
    <m/>
    <m/>
    <s v="NO"/>
    <m/>
    <m/>
    <m/>
    <s v="NO"/>
    <m/>
    <m/>
    <m/>
    <s v="NO"/>
    <m/>
    <m/>
    <m/>
    <s v="NO"/>
    <m/>
    <m/>
    <m/>
    <s v="NO"/>
    <m/>
    <m/>
    <m/>
    <s v="NO"/>
    <m/>
    <m/>
    <m/>
    <s v="NO"/>
    <m/>
    <m/>
    <m/>
    <s v="Youth"/>
    <s v="YES"/>
    <n v="5065"/>
    <n v="0.6"/>
    <n v="27858"/>
    <s v="NO"/>
    <m/>
    <m/>
    <s v="NO"/>
    <s v="YES"/>
    <s v="January"/>
    <n v="2017"/>
    <m/>
    <x v="0"/>
    <s v="NO"/>
    <s v="NO"/>
    <s v="YES"/>
    <s v="YES"/>
    <s v="YES"/>
    <s v="YES"/>
    <s v="YES"/>
    <m/>
    <m/>
    <x v="0"/>
    <m/>
    <x v="0"/>
    <m/>
    <x v="1"/>
    <x v="1"/>
    <s v="YES"/>
    <x v="0"/>
    <x v="0"/>
    <x v="0"/>
    <x v="2"/>
    <n v="4"/>
    <x v="1"/>
    <x v="1"/>
    <x v="1"/>
    <x v="1"/>
    <x v="1"/>
    <x v="1"/>
    <n v="4"/>
    <x v="1"/>
    <x v="1"/>
    <x v="1"/>
    <x v="1"/>
    <x v="1"/>
    <n v="3"/>
    <x v="2"/>
    <x v="2"/>
    <n v="20"/>
    <s v="Local government(s)"/>
    <s v="Local NGO(s)/CSO(s)"/>
    <s v="Media or journalist network(s)"/>
    <x v="0"/>
    <m/>
    <m/>
    <s v="Community programs for youth"/>
    <s v="CBOs capacity building"/>
    <s v="The microfinance loan program was very successful in empowering small local businesses and their owners, especially women"/>
    <s v="Implementation through local partners, such as the access to finance scheme through CBOs, is proving to be a learning experience for the partners and is yielding positive development results for the CBOs and sustainability of the activities. The capacity building and mentoring for the CBOs is really making a difference and will be continued."/>
    <s v="Engaging men in the CBOs, VTC center managers, and family members in promoting women’s economic empowerment continues to be a proven and vital approach. It instills a sense of ownership of these activities within men and, thus, enhances the implementation of the activities."/>
    <m/>
    <m/>
    <s v="Proposal"/>
    <n v="6194"/>
    <n v="34068"/>
    <n v="5.5001614465611883"/>
    <n v="0.61995479496286732"/>
    <n v="0.61993659739344842"/>
    <n v="3840"/>
    <n v="21120"/>
    <n v="1"/>
    <n v="5600"/>
    <n v="8420"/>
    <n v="1.5035714285714286"/>
    <n v="1"/>
    <n v="1870"/>
    <n v="10285"/>
    <n v="5.5"/>
    <s v=""/>
    <n v="0"/>
    <n v="0"/>
    <s v=""/>
    <s v=""/>
    <n v="0"/>
    <n v="0"/>
    <s v=""/>
    <n v="1"/>
    <n v="1290.3"/>
    <n v="7096.65"/>
    <n v="5.5"/>
    <s v="4. Transformative"/>
    <s v="2. Accommodating"/>
    <s v="2. Sensitive"/>
    <s v="It did not develop any specific innovation"/>
    <s v="Little or no advocacy"/>
    <s v="It did not take tested solutions to scale"/>
  </r>
  <r>
    <x v="36"/>
    <x v="1"/>
    <m/>
    <s v="Life-saving Assistance to Population in Jordan Affected by the Syria Crisis"/>
    <s v="Jordan"/>
    <s v="ECHO 2016-2017 Match"/>
    <s v="CARE Österreich"/>
    <s v="Foundation"/>
    <s v="Other"/>
    <s v="Nacbar in Not (NIN)"/>
    <m/>
    <m/>
    <m/>
    <m/>
    <m/>
    <m/>
    <m/>
    <m/>
    <m/>
    <m/>
    <m/>
    <m/>
    <m/>
    <m/>
    <m/>
    <m/>
    <m/>
    <m/>
    <m/>
    <m/>
    <m/>
    <m/>
    <m/>
    <m/>
    <m/>
    <m/>
    <m/>
    <m/>
    <m/>
    <m/>
    <m/>
    <m/>
    <m/>
    <m/>
    <m/>
    <m/>
    <m/>
    <m/>
    <m/>
    <m/>
    <m/>
    <m/>
    <m/>
    <m/>
    <m/>
    <d v="2012-06-12T00:00:00"/>
    <d v="2017-07-01T00:00:00"/>
    <d v="2018-08-01T00:00:00"/>
    <s v="Humanitarian Other"/>
    <n v="84700"/>
    <s v="Noor Snober"/>
    <s v="Budget Holder for ECHO Projects"/>
    <s v="Noor.Snober@care.org"/>
    <m/>
    <m/>
    <m/>
    <s v="YES"/>
    <s v="NO"/>
    <s v="NO"/>
    <s v="This project seeks to cover urgent winterization needs and is a match to a larger project, whose overall objective of the project is to provide life-saving support and protection for the most vulnerable affected by the Syria crisis in Jordan."/>
    <s v="National"/>
    <s v="Amman, Azraq, Zarqa, Mafraq and Irbid"/>
    <s v="The main impact group of the project are vulnerable Syrian and Iraqi refugees as well as Jordanian households, with urgent needs."/>
    <n v="350"/>
    <n v="350"/>
    <n v="700"/>
    <n v="1750"/>
    <n v="1750"/>
    <n v="3500"/>
    <s v="Direct participants of this project are vulnerable Syrian and Iraqi refugees and Jordanian host community members. The number of indirect participants is derived by multiplying the number of direct beneficiaries by 5, an average family size."/>
    <m/>
    <n v="504"/>
    <n v="719"/>
    <n v="1223"/>
    <n v="2685"/>
    <n v="2562"/>
    <n v="5247"/>
    <s v="NO"/>
    <m/>
    <m/>
    <m/>
    <s v="YES"/>
    <n v="375"/>
    <n v="0.41"/>
    <n v="1292"/>
    <s v="NO"/>
    <m/>
    <m/>
    <m/>
    <s v="NO"/>
    <m/>
    <m/>
    <m/>
    <s v="NO"/>
    <m/>
    <m/>
    <m/>
    <s v="NO"/>
    <m/>
    <m/>
    <m/>
    <s v="NO"/>
    <m/>
    <m/>
    <m/>
    <s v="NO"/>
    <m/>
    <m/>
    <m/>
    <s v="YES"/>
    <n v="875"/>
    <n v="0.42"/>
    <n v="4071"/>
    <s v="NO"/>
    <m/>
    <m/>
    <m/>
    <s v="NO"/>
    <m/>
    <m/>
    <m/>
    <s v="NO"/>
    <m/>
    <m/>
    <m/>
    <m/>
    <s v="NO"/>
    <m/>
    <m/>
    <m/>
    <m/>
    <m/>
    <m/>
    <m/>
    <m/>
    <m/>
    <s v="NO"/>
    <m/>
    <m/>
    <m/>
    <s v="NO"/>
    <m/>
    <m/>
    <m/>
    <s v="NO"/>
    <m/>
    <m/>
    <m/>
    <s v="NO"/>
    <m/>
    <m/>
    <m/>
    <s v="NO"/>
    <m/>
    <m/>
    <m/>
    <s v="NO"/>
    <m/>
    <m/>
    <m/>
    <s v="NO"/>
    <m/>
    <m/>
    <m/>
    <s v="NO"/>
    <m/>
    <m/>
    <m/>
    <s v="NO"/>
    <m/>
    <m/>
    <m/>
    <s v="NO"/>
    <m/>
    <m/>
    <m/>
    <s v="NO"/>
    <m/>
    <m/>
    <m/>
    <s v="NO"/>
    <m/>
    <m/>
    <m/>
    <s v="NO"/>
    <m/>
    <m/>
    <m/>
    <s v="NO"/>
    <m/>
    <m/>
    <m/>
    <s v="NO"/>
    <m/>
    <m/>
    <m/>
    <s v="NO"/>
    <m/>
    <m/>
    <m/>
    <m/>
    <s v="NO"/>
    <m/>
    <m/>
    <m/>
    <s v="YES"/>
    <s v="April"/>
    <n v="2017"/>
    <s v="YES"/>
    <s v="NO"/>
    <m/>
    <m/>
    <s v="The project ended on the 30th of March, 2017"/>
    <x v="0"/>
    <s v="NO"/>
    <s v="NO"/>
    <s v="YES"/>
    <s v="YES"/>
    <s v="NO"/>
    <s v="NO"/>
    <s v="YES"/>
    <m/>
    <m/>
    <x v="0"/>
    <m/>
    <x v="0"/>
    <m/>
    <x v="1"/>
    <x v="1"/>
    <s v="YES"/>
    <x v="0"/>
    <x v="0"/>
    <x v="0"/>
    <x v="2"/>
    <n v="4"/>
    <x v="1"/>
    <x v="2"/>
    <x v="2"/>
    <x v="2"/>
    <x v="1"/>
    <x v="4"/>
    <n v="1"/>
    <x v="1"/>
    <x v="1"/>
    <x v="1"/>
    <x v="1"/>
    <x v="1"/>
    <n v="3"/>
    <x v="2"/>
    <x v="0"/>
    <n v="1"/>
    <s v="Local government(s)"/>
    <m/>
    <m/>
    <x v="1"/>
    <m/>
    <s v="No changes"/>
    <s v="Fighting poverty"/>
    <s v="Directing beneficiaries toward positive coping mechanisms"/>
    <s v="Using a comprehensive program approach that helps beneficiaries under a bridging system"/>
    <s v="Focus on Winterization Cash Assistance"/>
    <m/>
    <m/>
    <s v="The project internal Program Quality assessment took place from the beginning of April 2017 till the 30th of June 2017, the aforementioned question related to that has a limited drop down answer (indicating one month only). The project has ended successfully and the burn rate was 100%. It is also worth mentioning that NIN was implemented as part of the ECHO bigger action."/>
    <s v="Project proposal"/>
    <n v="1223"/>
    <n v="5247"/>
    <n v="4.2902698282910876"/>
    <n v="0.41210139002452983"/>
    <n v="0.51172098341909666"/>
    <n v="504"/>
    <n v="2685"/>
    <n v="1"/>
    <n v="1223"/>
    <n v="5247"/>
    <n v="4.2902698282910876"/>
    <s v=""/>
    <n v="0"/>
    <n v="0"/>
    <s v=""/>
    <s v=""/>
    <n v="0"/>
    <n v="0"/>
    <s v=""/>
    <s v=""/>
    <n v="0"/>
    <n v="0"/>
    <s v=""/>
    <s v=""/>
    <n v="0"/>
    <n v="0"/>
    <s v=""/>
    <s v="4. Transformative"/>
    <s v="1. Tokenistic"/>
    <s v="2. Sensitive"/>
    <s v="It did not develop any specific innovation"/>
    <s v="Little or no advocacy"/>
    <s v="It did not take tested solutions to scale"/>
  </r>
  <r>
    <x v="36"/>
    <x v="1"/>
    <m/>
    <s v="Life-saving ssistance to population in Jordan Affected by the Syria Crisis"/>
    <s v="Jordan"/>
    <s v="AT582"/>
    <s v="CARE Österreich"/>
    <s v="Multilateral agency"/>
    <s v="ECHO - European Commission for Humanitarian Aid and Civil Protection"/>
    <s v="ECHO"/>
    <m/>
    <m/>
    <m/>
    <m/>
    <m/>
    <m/>
    <m/>
    <m/>
    <m/>
    <m/>
    <m/>
    <m/>
    <m/>
    <m/>
    <m/>
    <m/>
    <m/>
    <m/>
    <m/>
    <m/>
    <m/>
    <m/>
    <m/>
    <m/>
    <m/>
    <m/>
    <m/>
    <m/>
    <m/>
    <m/>
    <m/>
    <m/>
    <m/>
    <m/>
    <m/>
    <m/>
    <m/>
    <m/>
    <m/>
    <m/>
    <m/>
    <m/>
    <m/>
    <m/>
    <m/>
    <d v="2016-06-01T00:00:00"/>
    <d v="2017-05-31T00:00:00"/>
    <m/>
    <s v="Humanitarian Other"/>
    <n v="1166300"/>
    <s v="Noor Snobar"/>
    <s v="Budget Holder for ECHO Projects (European Union Donations)"/>
    <s v="Noor.Snobar@care.org"/>
    <m/>
    <m/>
    <m/>
    <s v="YES"/>
    <s v="NO"/>
    <s v="NO"/>
    <s v="To respond to the most urgent needs of vulnerable Syrian, Iraqi and Jordanian women, men, girls and boys in Jordan."/>
    <s v="National"/>
    <s v="Jotrdan: Amman, Zarqa, Marfraq and Irbid, as well as rural areas"/>
    <s v="The main impact group are Syrian and Iraqi households (70%) as well as Jordanians (30%), with a focus on the most vulnerable, including house-bound beneficairies, female-headed households, elderly and the disabled, as well as highly vulnerable women, girls, boys and men."/>
    <n v="11592"/>
    <n v="4968"/>
    <n v="16560"/>
    <n v="57960"/>
    <n v="24840"/>
    <n v="82800"/>
    <s v="Direct participants include Syrian and Iraqi refugees: 70% women and 30% men; children represent 15%; Adults: 60%; and elderly 20%. The number of indirect participants is calculated based on the average size of a household (X5)."/>
    <m/>
    <n v="11401"/>
    <n v="8960"/>
    <n v="20361"/>
    <n v="57005"/>
    <n v="38528"/>
    <n v="95533"/>
    <s v="NO"/>
    <m/>
    <m/>
    <m/>
    <s v="YES"/>
    <n v="2724"/>
    <n v="0.42"/>
    <n v="13620"/>
    <s v="YES"/>
    <n v="257"/>
    <n v="0"/>
    <n v="1285"/>
    <s v="NO"/>
    <m/>
    <m/>
    <m/>
    <s v="NO"/>
    <m/>
    <m/>
    <m/>
    <s v="NO"/>
    <m/>
    <m/>
    <m/>
    <s v="NO"/>
    <m/>
    <m/>
    <m/>
    <s v="NO"/>
    <m/>
    <m/>
    <m/>
    <s v="YES"/>
    <n v="18859"/>
    <n v="0.56999999999999995"/>
    <n v="94295"/>
    <s v="NO"/>
    <m/>
    <m/>
    <m/>
    <s v="NO"/>
    <m/>
    <m/>
    <m/>
    <s v="NO"/>
    <m/>
    <m/>
    <m/>
    <m/>
    <s v="NO"/>
    <m/>
    <m/>
    <m/>
    <m/>
    <m/>
    <m/>
    <m/>
    <m/>
    <m/>
    <s v="NO"/>
    <m/>
    <m/>
    <m/>
    <s v="NO"/>
    <m/>
    <m/>
    <m/>
    <s v="NO"/>
    <m/>
    <m/>
    <m/>
    <s v="NO"/>
    <m/>
    <m/>
    <m/>
    <s v="NO"/>
    <m/>
    <m/>
    <m/>
    <s v="NO"/>
    <m/>
    <m/>
    <m/>
    <s v="NO"/>
    <m/>
    <m/>
    <m/>
    <s v="NO"/>
    <m/>
    <m/>
    <m/>
    <s v="NO"/>
    <m/>
    <m/>
    <m/>
    <s v="NO"/>
    <m/>
    <m/>
    <m/>
    <s v="NO"/>
    <m/>
    <m/>
    <m/>
    <s v="NO"/>
    <m/>
    <m/>
    <m/>
    <s v="NO"/>
    <m/>
    <m/>
    <m/>
    <s v="NO"/>
    <m/>
    <m/>
    <m/>
    <s v="NO"/>
    <m/>
    <m/>
    <m/>
    <s v="NO"/>
    <m/>
    <m/>
    <m/>
    <m/>
    <s v="NO"/>
    <m/>
    <m/>
    <m/>
    <s v="YES"/>
    <s v="April"/>
    <n v="2017"/>
    <s v="YES"/>
    <s v="NO"/>
    <m/>
    <m/>
    <s v="This project has ended on the 30th of May 2017"/>
    <x v="0"/>
    <s v="NO"/>
    <s v="NO"/>
    <s v="YES"/>
    <s v="YES"/>
    <s v="YES"/>
    <s v="NO"/>
    <s v="YES"/>
    <s v="NO"/>
    <m/>
    <x v="2"/>
    <s v="As a new approach to return children back to school and improve the family's economic situation and also be part of a more comprehensive approach through referral to Livelihood and PSS."/>
    <x v="1"/>
    <s v="Scaling up targets and providing remedial classes"/>
    <x v="1"/>
    <x v="1"/>
    <s v="YES"/>
    <x v="0"/>
    <x v="0"/>
    <x v="0"/>
    <x v="2"/>
    <n v="4"/>
    <x v="1"/>
    <x v="1"/>
    <x v="2"/>
    <x v="1"/>
    <x v="1"/>
    <x v="1"/>
    <n v="3"/>
    <x v="1"/>
    <x v="1"/>
    <x v="1"/>
    <x v="1"/>
    <x v="1"/>
    <n v="3"/>
    <x v="2"/>
    <x v="0"/>
    <n v="1"/>
    <s v="Local government(s)"/>
    <m/>
    <m/>
    <x v="1"/>
    <m/>
    <s v="No changes, as all was stated and indicated in the project proposal."/>
    <s v="Fighting poverty"/>
    <s v="Directing beneficiaries towards positive coping mechanisms"/>
    <s v="Using a comprehensive program approach that would help benefit project beneficiaries within a holistic approach under a bridging system."/>
    <s v="The amount of the Conditional Cash monthly assistance was proven not to be enough and the challenge of families dropping their children out of school because of that."/>
    <s v="Aiming at implementing Psychosocial activities inside schools for both teachers and students."/>
    <s v="To scale up the Conditional Cash Assistance Program on a target level and activity level; adding remedial classes through a well recognized specialized partner."/>
    <s v="The project internal Program Quality assessment took place from the beginning of April 2017 till the 30th of June 2017, the aforementioned question related to that has a limited drop down answer (indicating one month only). The project has ended successfully and the burn rate was 100%."/>
    <s v="Logframe"/>
    <n v="20361"/>
    <n v="95533"/>
    <n v="4.6919601198369429"/>
    <n v="0.5599430283384903"/>
    <n v="0.59670480357572775"/>
    <n v="11401"/>
    <n v="57005"/>
    <n v="1"/>
    <n v="20361"/>
    <n v="95533"/>
    <n v="4.6919601198369429"/>
    <s v=""/>
    <n v="0"/>
    <n v="0"/>
    <s v=""/>
    <s v=""/>
    <n v="0"/>
    <n v="0"/>
    <s v=""/>
    <s v=""/>
    <n v="0"/>
    <n v="0"/>
    <s v=""/>
    <s v=""/>
    <n v="0"/>
    <n v="0"/>
    <s v=""/>
    <s v="4. Transformative"/>
    <s v="2. Accommodating"/>
    <s v="2. Sensitive"/>
    <s v="It tested new ways for fighting poverty and measured results of innovation"/>
    <s v="Little or no advocacy"/>
    <s v="It linked and worked with strategic alliances and partners to take tested and effective solutions to scale"/>
  </r>
  <r>
    <x v="36"/>
    <x v="1"/>
    <n v="3052"/>
    <s v="MoFa Emergency Assistance and Protection for Crisis-Affected People in Jordan"/>
    <s v="Jordan"/>
    <s v="DE727"/>
    <s v="CARE Deutschland-Luxemburg"/>
    <s v="Government"/>
    <s v="Government - Germany"/>
    <s v="Ministry of Foreign Affairs of Germany"/>
    <m/>
    <m/>
    <m/>
    <m/>
    <m/>
    <m/>
    <m/>
    <m/>
    <m/>
    <m/>
    <m/>
    <m/>
    <m/>
    <m/>
    <m/>
    <m/>
    <m/>
    <m/>
    <m/>
    <m/>
    <m/>
    <m/>
    <m/>
    <m/>
    <m/>
    <m/>
    <m/>
    <m/>
    <m/>
    <m/>
    <m/>
    <m/>
    <m/>
    <m/>
    <m/>
    <m/>
    <m/>
    <m/>
    <m/>
    <m/>
    <m/>
    <m/>
    <m/>
    <m/>
    <m/>
    <d v="2016-05-01T00:00:00"/>
    <d v="2018-01-30T00:00:00"/>
    <m/>
    <s v="Humanitarian Other"/>
    <n v="3470384"/>
    <s v="Mohammad Awamreh"/>
    <s v="Program Manager / Urban Protection Program"/>
    <s v="mohammed.al-awamreh@care.org"/>
    <m/>
    <m/>
    <m/>
    <s v="YES"/>
    <s v="YES"/>
    <s v="YES"/>
    <s v="This project will provide immediate humanitarian assistance for vulnerable Syrian and Jordanian households in the urban areas of East Amman, Zarqa, Irbid, Mafraq and Azraq town."/>
    <s v="National"/>
    <s v="Amman, Irbid, Mafraq, Zarqa and Azraq town"/>
    <s v="Urban Syrian refugees and vulnerable Jordanians"/>
    <n v="8575"/>
    <n v="8575"/>
    <n v="17150"/>
    <n v="38588"/>
    <n v="38587"/>
    <n v="77175"/>
    <s v="CARE identified beneficaries through its community centers and outreach team, focusing on FHHs, the elderly, disabled and/or infirm, and those unable to reach centers. 17,150 indviduals are direct beneficiaries (50% female  and 50% male), while 77,175 are indirect. It was expected that 2000 households might receive more than one intervention, resulting in a possible overlap. The calculation of the direct and indirect beneficairies was based on empirical values from past projects. Indirect beneficairies were calculated using an average number of persons per household (5.5)."/>
    <m/>
    <n v="7546"/>
    <n v="8348"/>
    <n v="15894"/>
    <n v="33957"/>
    <n v="37566"/>
    <n v="71523"/>
    <s v="NO"/>
    <m/>
    <m/>
    <m/>
    <s v="YES"/>
    <n v="4702"/>
    <n v="0.46610000000000001"/>
    <n v="15992"/>
    <s v="YES"/>
    <n v="250"/>
    <n v="0"/>
    <n v="1741"/>
    <s v="NO"/>
    <m/>
    <m/>
    <m/>
    <s v="NO"/>
    <m/>
    <m/>
    <m/>
    <s v="NO"/>
    <m/>
    <m/>
    <m/>
    <s v="NO"/>
    <m/>
    <m/>
    <m/>
    <s v="NO"/>
    <m/>
    <m/>
    <m/>
    <s v="YES"/>
    <n v="12256"/>
    <n v="0.47510000000000002"/>
    <n v="55152"/>
    <s v="NO"/>
    <m/>
    <m/>
    <m/>
    <s v="NO"/>
    <m/>
    <m/>
    <m/>
    <s v="NO"/>
    <m/>
    <m/>
    <m/>
    <m/>
    <s v="NO"/>
    <m/>
    <m/>
    <m/>
    <m/>
    <m/>
    <m/>
    <m/>
    <m/>
    <m/>
    <s v="NO"/>
    <m/>
    <m/>
    <m/>
    <s v="NO"/>
    <m/>
    <m/>
    <m/>
    <s v="NO"/>
    <m/>
    <m/>
    <m/>
    <s v="NO"/>
    <m/>
    <m/>
    <m/>
    <s v="NO"/>
    <m/>
    <m/>
    <m/>
    <s v="NO"/>
    <m/>
    <m/>
    <m/>
    <s v="NO"/>
    <m/>
    <m/>
    <m/>
    <s v="NO"/>
    <m/>
    <m/>
    <m/>
    <s v="NO"/>
    <m/>
    <m/>
    <m/>
    <s v="NO"/>
    <m/>
    <m/>
    <m/>
    <s v="NO"/>
    <m/>
    <m/>
    <m/>
    <s v="NO"/>
    <m/>
    <m/>
    <m/>
    <s v="NO"/>
    <m/>
    <m/>
    <m/>
    <s v="NO"/>
    <m/>
    <m/>
    <m/>
    <s v="NO"/>
    <m/>
    <m/>
    <m/>
    <s v="NO"/>
    <m/>
    <m/>
    <m/>
    <m/>
    <s v="NO"/>
    <m/>
    <m/>
    <m/>
    <s v="NO"/>
    <m/>
    <m/>
    <s v="NO"/>
    <s v="YES"/>
    <s v="March"/>
    <n v="2018"/>
    <s v="Internal evaluation that measures impact and reach on beneficairies, targets through feedback and research meothods including Fgds and key informant interviews"/>
    <x v="0"/>
    <s v="NO"/>
    <s v="NO"/>
    <s v="YES"/>
    <s v="YES"/>
    <s v="YES"/>
    <s v="NO"/>
    <s v="YES"/>
    <s v="NO"/>
    <m/>
    <x v="2"/>
    <s v="This project implemented conditional cash for education as an innovative way to help extremely vulnerable children and their families fight poverty and reduce negative coping skills, including child labor and early marriage"/>
    <x v="3"/>
    <s v="Based on the success of the previous projects and interventions, which had high success rates, particularly with respect to conditional cash interventions, this project scaled up and targeted more beneficairies, seeking to influence communities through implementation of said aproaches (psychosocial activities and conditional cash for education)."/>
    <x v="1"/>
    <x v="1"/>
    <s v="YES"/>
    <x v="0"/>
    <x v="0"/>
    <x v="0"/>
    <x v="2"/>
    <n v="4"/>
    <x v="1"/>
    <x v="2"/>
    <x v="2"/>
    <x v="2"/>
    <x v="1"/>
    <x v="4"/>
    <n v="1"/>
    <x v="1"/>
    <x v="1"/>
    <x v="1"/>
    <x v="1"/>
    <x v="1"/>
    <n v="3"/>
    <x v="0"/>
    <x v="1"/>
    <n v="1"/>
    <s v="Local government(s)"/>
    <m/>
    <m/>
    <x v="0"/>
    <s v="Psychosocial activities for refugee and host community memberes together; CARE formed community committee in each area, whose members are part of decision-making processes, proposal design and implementaiton activities."/>
    <s v="No changes were made in the project throughout this FY"/>
    <s v="fighting poverty via conditional cash"/>
    <s v="positive coping mechanisms - encouraged"/>
    <s v="comprehensive approach in engaging beneficiaries to benefit from the program a a whole, instead of focusing on sole aspects of the program"/>
    <s v="In addition to provision of cash activities, the project utilized a conditional cash program, enabling children to re-nter school and their families to receive cash, to encourage importance of education and use of positive coping skills."/>
    <s v="Building upon the success and progress of the project, CARE would like to implement PS activities inside schools for both teachers and students and provide remedial classes for students. The conditional cash program has also reiterated the vast need for such an intervention, so CARE aims to scale up cash assistance to multiple cash assistance."/>
    <s v="Challenge: Parents want to take students out of school for economic reasons. Conditional cash is still not enough to compensate for the amount of money kids can potentially make in the workforce."/>
    <s v="The project is on track, according to its objectives and activities planned (the budget project is on rate)"/>
    <s v="Project proposal, logframe and donor report"/>
    <n v="15894"/>
    <n v="71523"/>
    <n v="4.5"/>
    <n v="0.47477035359255065"/>
    <n v="0.47477035359255065"/>
    <n v="7546"/>
    <n v="33957"/>
    <n v="1"/>
    <n v="15894"/>
    <n v="71523"/>
    <n v="4.5"/>
    <s v=""/>
    <n v="0"/>
    <n v="0"/>
    <s v=""/>
    <s v=""/>
    <n v="0"/>
    <n v="0"/>
    <s v=""/>
    <s v=""/>
    <n v="0"/>
    <n v="0"/>
    <s v=""/>
    <s v=""/>
    <n v="0"/>
    <n v="0"/>
    <s v=""/>
    <s v="4. Transformative"/>
    <s v="1. Tokenistic"/>
    <s v="2. Sensitive"/>
    <s v="It tested new ways for fighting poverty and measured results of innovation"/>
    <s v="Little or no advocacy"/>
    <s v="It took tested solutions to scale on its own"/>
  </r>
  <r>
    <x v="36"/>
    <x v="1"/>
    <m/>
    <s v="OCHA Protecting the dignity of Syrian refugees in Azraq camp: Winterization Support/ Enhance access to social protection in camp."/>
    <s v="Jordan"/>
    <s v="JOR-16/DDA-3560/CFP916/P-BN/INGO/4039"/>
    <s v="CARE Österreich"/>
    <s v="Multilateral agency"/>
    <s v="ECHO - European Commission for Humanitarian Aid and Civil Protection"/>
    <s v="UN OCHA"/>
    <m/>
    <m/>
    <m/>
    <m/>
    <m/>
    <m/>
    <m/>
    <m/>
    <m/>
    <m/>
    <m/>
    <m/>
    <m/>
    <m/>
    <m/>
    <m/>
    <m/>
    <m/>
    <m/>
    <m/>
    <m/>
    <m/>
    <m/>
    <m/>
    <m/>
    <m/>
    <m/>
    <m/>
    <m/>
    <m/>
    <m/>
    <m/>
    <m/>
    <m/>
    <m/>
    <m/>
    <m/>
    <m/>
    <m/>
    <m/>
    <m/>
    <m/>
    <m/>
    <m/>
    <m/>
    <d v="2016-12-15T00:00:00"/>
    <d v="2017-06-14T00:00:00"/>
    <m/>
    <s v="Humanitarian Other"/>
    <n v="400000"/>
    <s v="Jameel Dababneh"/>
    <s v="Team Leader Azraq Refugee Camp"/>
    <s v="Jameel.Dababneh@care.org"/>
    <m/>
    <m/>
    <m/>
    <s v="YES"/>
    <s v="NO"/>
    <s v="NO"/>
    <s v="To increase access to protection services for people with specific needs, including women at risk, survivors of SGBV, children engaged in labor, persons with disabilities and marginalized individuals, through case management, information provision and community services and activities, as well as to mitigate the effect of the winter season for the most vulnerable refugees."/>
    <s v="National"/>
    <s v="Azraq Refugee Camp"/>
    <s v="The most vulnerable beneficairies residing in Azraq Refugee Camp, with a specific focus on women at risk, survivors of SGBV, children engaged in labor, persons with disabilities, elderly and marginalized individuals."/>
    <n v="2160"/>
    <n v="2160"/>
    <n v="4320"/>
    <n v="10800"/>
    <n v="10800"/>
    <n v="21600"/>
    <s v="4320 direct beneficiaries represent the most vulnerable members of Azraq camp community, while the number 21600, representing indirect beneficiaries is calculated by multiplying the number of direct beneficiaries by 5 (average household size)."/>
    <m/>
    <n v="2128"/>
    <n v="2050"/>
    <n v="4178"/>
    <n v="10642"/>
    <n v="10253"/>
    <n v="20895"/>
    <s v="YES"/>
    <n v="1350"/>
    <n v="0.4"/>
    <n v="6748"/>
    <s v="YES"/>
    <n v="4178"/>
    <n v="0.5"/>
    <n v="20895"/>
    <s v="NO"/>
    <m/>
    <m/>
    <m/>
    <s v="NO"/>
    <m/>
    <m/>
    <m/>
    <s v="NO"/>
    <m/>
    <m/>
    <m/>
    <s v="NO"/>
    <m/>
    <m/>
    <m/>
    <s v="NO"/>
    <m/>
    <m/>
    <m/>
    <s v="NO"/>
    <m/>
    <m/>
    <m/>
    <s v="YES"/>
    <n v="1350"/>
    <n v="0.4"/>
    <n v="6748"/>
    <s v="NO"/>
    <m/>
    <m/>
    <m/>
    <s v="NO"/>
    <m/>
    <m/>
    <m/>
    <s v="NO"/>
    <m/>
    <m/>
    <m/>
    <m/>
    <s v="NO"/>
    <m/>
    <m/>
    <m/>
    <m/>
    <m/>
    <m/>
    <m/>
    <m/>
    <m/>
    <s v="NO"/>
    <m/>
    <m/>
    <m/>
    <s v="NO"/>
    <m/>
    <m/>
    <m/>
    <s v="NO"/>
    <m/>
    <m/>
    <m/>
    <s v="NO"/>
    <m/>
    <m/>
    <m/>
    <s v="NO"/>
    <m/>
    <m/>
    <m/>
    <s v="NO"/>
    <m/>
    <m/>
    <m/>
    <s v="NO"/>
    <m/>
    <m/>
    <m/>
    <s v="NO"/>
    <m/>
    <m/>
    <m/>
    <s v="NO"/>
    <m/>
    <m/>
    <m/>
    <s v="NO"/>
    <m/>
    <m/>
    <m/>
    <s v="NO"/>
    <m/>
    <m/>
    <m/>
    <s v="NO"/>
    <m/>
    <m/>
    <m/>
    <s v="NO"/>
    <m/>
    <m/>
    <m/>
    <s v="NO"/>
    <m/>
    <m/>
    <m/>
    <s v="NO"/>
    <m/>
    <m/>
    <m/>
    <s v="NO"/>
    <m/>
    <m/>
    <m/>
    <m/>
    <s v="NO"/>
    <m/>
    <m/>
    <m/>
    <s v="NO"/>
    <m/>
    <m/>
    <s v="NO"/>
    <s v="YES"/>
    <s v="August"/>
    <n v="2017"/>
    <m/>
    <x v="1"/>
    <s v="NO"/>
    <s v="NO"/>
    <s v="YES"/>
    <s v="YES"/>
    <s v="NO"/>
    <s v="NO"/>
    <s v="NO"/>
    <s v="YES"/>
    <s v="Through articulating clear advocacy messages about the Syrian refugees in Azraq Camp and Azraq City."/>
    <x v="0"/>
    <m/>
    <x v="1"/>
    <m/>
    <x v="1"/>
    <x v="1"/>
    <s v="YES"/>
    <x v="0"/>
    <x v="0"/>
    <x v="0"/>
    <x v="2"/>
    <n v="4"/>
    <x v="2"/>
    <x v="2"/>
    <x v="1"/>
    <x v="1"/>
    <x v="1"/>
    <x v="5"/>
    <n v="3"/>
    <x v="3"/>
    <x v="1"/>
    <x v="1"/>
    <x v="1"/>
    <x v="4"/>
    <n v="3"/>
    <x v="2"/>
    <x v="0"/>
    <n v="3"/>
    <s v="Local NGO(s)/CSO(s)"/>
    <s v="National government"/>
    <s v="National government"/>
    <x v="1"/>
    <m/>
    <m/>
    <s v="Adopating new community initiatives, like Time Banking through community representatives."/>
    <s v="Improving the Resilience level through diversifying livelihood activites targeting women, men, girls and boys."/>
    <m/>
    <s v="In Emergency Situation inside refugees camp the needs are dynamic and being always prepared is crucial."/>
    <s v="The relationships in the dynamic environment should be sufficiently sustained especially with the authorities, media, partners, local communities and the refugees."/>
    <s v="Being culturally sensitive should be addressed and any change about to take place should be piloted enough before being fully implemented."/>
    <m/>
    <s v="Proposal"/>
    <n v="4178"/>
    <n v="20895"/>
    <n v="5.0011967448539973"/>
    <n v="0.50933460986117762"/>
    <n v="0.50930844699688915"/>
    <n v="2128"/>
    <n v="10642"/>
    <n v="1"/>
    <n v="4178"/>
    <n v="20895"/>
    <n v="5.0011967448539973"/>
    <s v=""/>
    <n v="0"/>
    <n v="0"/>
    <s v=""/>
    <s v=""/>
    <n v="0"/>
    <n v="0"/>
    <s v=""/>
    <s v=""/>
    <n v="0"/>
    <n v="0"/>
    <s v=""/>
    <s v=""/>
    <n v="0"/>
    <n v="0"/>
    <s v=""/>
    <s v="4. Transformative"/>
    <s v="3. Responsive"/>
    <s v="4. Transformative"/>
    <s v="It did not develop any specific innovation"/>
    <s v="Moderate advocacy"/>
    <s v="It linked and worked with strategic alliances and partners to take tested and effective solutions to scale"/>
  </r>
  <r>
    <x v="36"/>
    <x v="1"/>
    <n v="3056"/>
    <s v="Olayan Protecting the Dignity of Syrian Refugees and Vulnerable Host Communities in Jordan"/>
    <s v="Jordan"/>
    <s v="US108"/>
    <s v="CARE USA"/>
    <s v="Foundation"/>
    <s v="Other"/>
    <s v="Suleiman S. Olayan Foundation"/>
    <m/>
    <m/>
    <m/>
    <m/>
    <m/>
    <m/>
    <m/>
    <m/>
    <m/>
    <m/>
    <m/>
    <m/>
    <m/>
    <m/>
    <m/>
    <m/>
    <m/>
    <m/>
    <m/>
    <m/>
    <m/>
    <m/>
    <m/>
    <m/>
    <m/>
    <m/>
    <m/>
    <m/>
    <m/>
    <m/>
    <m/>
    <m/>
    <m/>
    <m/>
    <m/>
    <m/>
    <m/>
    <m/>
    <m/>
    <m/>
    <m/>
    <m/>
    <m/>
    <m/>
    <m/>
    <d v="2016-04-01T00:00:00"/>
    <d v="2017-02-28T00:00:00"/>
    <m/>
    <s v="Humanitarian Other"/>
    <n v="554054"/>
    <s v="Zainab Al-Aqra'a"/>
    <s v="Budget Holder for Olayan and GAC Projects"/>
    <s v="Zainab.AlAqraa@care.org"/>
    <m/>
    <m/>
    <m/>
    <s v="YES"/>
    <s v="NO"/>
    <s v="NO"/>
    <s v="This project will provide improved access to existing support networks and services, protection from immediate threats and increased capacity for self-reliant survival strategies for the most vulnerable households in the urban areas of Amman, Mafraq, Zarqa, Irbid and Azraq."/>
    <s v="National"/>
    <s v="Urban areas of Amman, Mafraq, Zarqa, Irbid and Azraq in Jordan."/>
    <s v="The main impact group are refugees (70%) and Jordanian host community members (30%). While some components specifically target women (i.e. increased livelihood opportunities) and children (i.e. identify children for conditional cash for education), all components serve the most vulnerable, including female headed households, the elderly, the disabled, and persons at risk."/>
    <n v="1512"/>
    <n v="1511"/>
    <n v="3023"/>
    <n v="5895"/>
    <n v="5895"/>
    <n v="11790"/>
    <s v="Direct participants include vulnerable Jordanians and Syrian women, men, boys and girls. The number of indirect participants is calculated based on the average household size (multiplied by 5)."/>
    <m/>
    <n v="2064"/>
    <n v="2689"/>
    <n v="4753"/>
    <n v="9615"/>
    <n v="9016"/>
    <n v="18631"/>
    <s v="NO"/>
    <m/>
    <m/>
    <m/>
    <s v="YES"/>
    <n v="1361"/>
    <n v="0.4224"/>
    <n v="4903"/>
    <s v="NO"/>
    <m/>
    <m/>
    <m/>
    <s v="NO"/>
    <m/>
    <m/>
    <m/>
    <s v="NO"/>
    <m/>
    <m/>
    <m/>
    <s v="NO"/>
    <m/>
    <m/>
    <m/>
    <s v="NO"/>
    <m/>
    <m/>
    <m/>
    <s v="NO"/>
    <m/>
    <m/>
    <m/>
    <s v="YES"/>
    <n v="3630"/>
    <n v="0.44180000000000003"/>
    <n v="14734"/>
    <s v="NO"/>
    <m/>
    <m/>
    <m/>
    <s v="NO"/>
    <m/>
    <m/>
    <m/>
    <s v="NO"/>
    <m/>
    <m/>
    <m/>
    <m/>
    <s v="NO"/>
    <m/>
    <m/>
    <m/>
    <m/>
    <m/>
    <m/>
    <m/>
    <m/>
    <m/>
    <s v="NO"/>
    <m/>
    <m/>
    <m/>
    <s v="NO"/>
    <m/>
    <m/>
    <m/>
    <s v="NO"/>
    <m/>
    <m/>
    <m/>
    <s v="NO"/>
    <m/>
    <m/>
    <m/>
    <s v="NO"/>
    <m/>
    <m/>
    <m/>
    <s v="NO"/>
    <m/>
    <m/>
    <m/>
    <s v="NO"/>
    <m/>
    <m/>
    <m/>
    <s v="NO"/>
    <m/>
    <m/>
    <m/>
    <s v="NO"/>
    <m/>
    <m/>
    <m/>
    <s v="NO"/>
    <m/>
    <m/>
    <m/>
    <s v="NO"/>
    <m/>
    <m/>
    <m/>
    <s v="NO"/>
    <m/>
    <m/>
    <m/>
    <s v="NO"/>
    <m/>
    <m/>
    <m/>
    <s v="NO"/>
    <m/>
    <m/>
    <m/>
    <s v="NO"/>
    <m/>
    <m/>
    <m/>
    <s v="NO"/>
    <m/>
    <m/>
    <m/>
    <m/>
    <s v="NO"/>
    <m/>
    <m/>
    <m/>
    <s v="NO"/>
    <m/>
    <m/>
    <s v="NO"/>
    <s v="NO"/>
    <m/>
    <m/>
    <s v="there is no future evaluation for the project"/>
    <x v="1"/>
    <s v="NO"/>
    <s v="NO"/>
    <s v="YES"/>
    <s v="YES"/>
    <s v="YES"/>
    <s v="NO"/>
    <s v="NO"/>
    <m/>
    <m/>
    <x v="1"/>
    <m/>
    <x v="1"/>
    <s v="Through the project; we had a partnership with the ministry of social development  to help us  reaching the most vulnerable people from the local community. Also the project had a contribution in providing assistances to the north area of Jordan and this has helped  to extend the benefits and add new areas"/>
    <x v="1"/>
    <x v="0"/>
    <s v="YES"/>
    <x v="0"/>
    <x v="0"/>
    <x v="0"/>
    <x v="0"/>
    <n v="4"/>
    <x v="1"/>
    <x v="1"/>
    <x v="1"/>
    <x v="1"/>
    <x v="1"/>
    <x v="1"/>
    <n v="4"/>
    <x v="1"/>
    <x v="1"/>
    <x v="1"/>
    <x v="1"/>
    <x v="1"/>
    <n v="3"/>
    <x v="2"/>
    <x v="0"/>
    <n v="1"/>
    <s v="Local government(s)"/>
    <m/>
    <m/>
    <x v="0"/>
    <s v="30% of the emergency cash assistance was provided to the most vulnerable Jordanian to strengthen the social cohesion between refugees and local community"/>
    <s v="there were no changes or adjustments occurred during the implementation of the project"/>
    <s v="vulnerable households have improved access to available social services through the provision of essential information."/>
    <s v="extremely vulnerable households have improved access to support mechanisms through targeted case management services."/>
    <s v="extremely vulnerable households have an improved ability to meet urgent needs after receiving emergency cash assistance."/>
    <s v="the cash assistance and information provision helped mitigate serious protection threats, such as insufficient shelter, evictions, lack of basic clothing, heating sources, etc. by helping beneficiaries adapt a positive way to face the challenges they have rather than relying on negative strategies."/>
    <s v="Engaging CARE’s partnering CBO helped improve the quality of their service provision and has better enabled that CBO to serve vulnerable households in their community."/>
    <m/>
    <m/>
    <s v="Final report"/>
    <n v="4753"/>
    <n v="18631"/>
    <n v="3.9198401009888491"/>
    <n v="0.43425205133599831"/>
    <n v="0.51607535827384465"/>
    <n v="2064"/>
    <n v="9615"/>
    <n v="1"/>
    <n v="4753"/>
    <n v="18631"/>
    <n v="3.9198401009888491"/>
    <s v=""/>
    <n v="0"/>
    <n v="0"/>
    <s v=""/>
    <s v=""/>
    <n v="0"/>
    <n v="0"/>
    <s v=""/>
    <s v=""/>
    <n v="0"/>
    <n v="0"/>
    <s v=""/>
    <s v=""/>
    <n v="0"/>
    <n v="0"/>
    <s v=""/>
    <s v="2. Sensitive"/>
    <s v="2. Accommodating"/>
    <s v="2. Sensitive"/>
    <s v="It tested new ways for fighting poverty, but did not measure results of innovation"/>
    <s v="Moderate advocacy"/>
    <s v="It linked and worked with strategic alliances and partners to take tested and effective solutions to scale"/>
  </r>
  <r>
    <x v="36"/>
    <x v="1"/>
    <m/>
    <s v="P.A.C.E. in the Community – Skills Development for Women’s Empowerment &amp; Business Development – Phase II  - Azraq camp"/>
    <s v="Jordan"/>
    <s v="US1TT"/>
    <s v="CARE USA"/>
    <s v="Corporation"/>
    <s v="Other"/>
    <s v="GAP Inc."/>
    <m/>
    <m/>
    <m/>
    <m/>
    <m/>
    <m/>
    <m/>
    <m/>
    <m/>
    <m/>
    <m/>
    <m/>
    <m/>
    <m/>
    <m/>
    <m/>
    <m/>
    <m/>
    <m/>
    <m/>
    <m/>
    <m/>
    <m/>
    <m/>
    <m/>
    <m/>
    <m/>
    <m/>
    <m/>
    <m/>
    <m/>
    <m/>
    <m/>
    <m/>
    <m/>
    <m/>
    <m/>
    <m/>
    <m/>
    <m/>
    <m/>
    <m/>
    <m/>
    <m/>
    <m/>
    <d v="2017-01-01T00:00:00"/>
    <d v="2017-12-31T00:00:00"/>
    <m/>
    <s v="Development Other"/>
    <n v="150000"/>
    <s v="Mohammad Awamreh"/>
    <s v="Program Manager for Amman and Zarqa"/>
    <s v="Mohammad.Awamreh@care.org"/>
    <m/>
    <m/>
    <m/>
    <s v="NO"/>
    <s v="YES"/>
    <s v="NO"/>
    <s v="Increased women's skills and economic participation and ability to secure dignified forms of livelihood through Personal Advancement &amp; Career Enhancement (P.A.C.E.) training, TOT, in addition to capacity building activities at local CBOs."/>
    <s v="National"/>
    <s v="Jordan: East Amman, Zarqa, Irbid and Mafraq governorates and Azraq refugee camp"/>
    <s v="The main impact group of this project are women (100 Jordanian and 100 Syrian refugee women) eager to enhance their personal development and business skills."/>
    <n v="200"/>
    <n v="0"/>
    <n v="200"/>
    <n v="700"/>
    <n v="300"/>
    <n v="1000"/>
    <s v="Direct participants are Jordanian and Syrian women (100 each) and indirect number noted, 1000 participants, is derived by multuplying by 5, or average household size. In addition, local CBOs are also direct participants, as a result of capacity-building activities."/>
    <m/>
    <m/>
    <m/>
    <m/>
    <m/>
    <m/>
    <m/>
    <s v="NO"/>
    <m/>
    <m/>
    <m/>
    <s v="NO"/>
    <m/>
    <m/>
    <m/>
    <s v="NO"/>
    <m/>
    <m/>
    <m/>
    <s v="NO"/>
    <m/>
    <m/>
    <m/>
    <s v="NO"/>
    <m/>
    <m/>
    <m/>
    <s v="NO"/>
    <m/>
    <m/>
    <m/>
    <s v="NO"/>
    <m/>
    <m/>
    <m/>
    <s v="NO"/>
    <m/>
    <m/>
    <m/>
    <s v="NO"/>
    <m/>
    <m/>
    <m/>
    <s v="NO"/>
    <m/>
    <m/>
    <m/>
    <s v="NO"/>
    <m/>
    <m/>
    <m/>
    <s v="NO"/>
    <m/>
    <m/>
    <m/>
    <m/>
    <s v="NO"/>
    <m/>
    <m/>
    <m/>
    <n v="100"/>
    <n v="0"/>
    <n v="100"/>
    <n v="350"/>
    <n v="150"/>
    <n v="500"/>
    <s v="NO"/>
    <m/>
    <m/>
    <m/>
    <s v="NO"/>
    <m/>
    <m/>
    <m/>
    <s v="NO"/>
    <m/>
    <m/>
    <m/>
    <s v="NO"/>
    <m/>
    <m/>
    <m/>
    <s v="NO"/>
    <m/>
    <m/>
    <m/>
    <s v="NO"/>
    <m/>
    <m/>
    <m/>
    <s v="NO"/>
    <m/>
    <m/>
    <m/>
    <s v="NO"/>
    <m/>
    <m/>
    <m/>
    <s v="NO"/>
    <m/>
    <m/>
    <m/>
    <s v="NO"/>
    <m/>
    <m/>
    <m/>
    <s v="NO"/>
    <m/>
    <m/>
    <m/>
    <s v="NO"/>
    <m/>
    <m/>
    <m/>
    <s v="NO"/>
    <m/>
    <m/>
    <m/>
    <s v="NO"/>
    <m/>
    <m/>
    <m/>
    <s v="NO"/>
    <m/>
    <m/>
    <m/>
    <s v="YES"/>
    <n v="100"/>
    <n v="1"/>
    <n v="200"/>
    <m/>
    <m/>
    <m/>
    <m/>
    <m/>
    <s v="YES"/>
    <m/>
    <m/>
    <s v="YES"/>
    <s v="YES"/>
    <s v="November"/>
    <n v="2017"/>
    <s v="The project did not have a baseline, but the Phase I of this project was used a baseline, as this project is building upon it."/>
    <x v="1"/>
    <s v="NO"/>
    <s v="NO"/>
    <s v="YES"/>
    <s v="YES"/>
    <s v="YES"/>
    <s v="NO"/>
    <s v="YES"/>
    <s v="NO"/>
    <m/>
    <x v="1"/>
    <s v="P.A.C.E trainings followed by linking the women beneficiaries to factories in nearby areas to find employment."/>
    <x v="1"/>
    <s v="Working with factories in the localities in order to help vocationally train women and aid in producing clothing items for factories."/>
    <x v="1"/>
    <x v="1"/>
    <s v="YES"/>
    <x v="0"/>
    <x v="0"/>
    <x v="0"/>
    <x v="2"/>
    <n v="4"/>
    <x v="1"/>
    <x v="1"/>
    <x v="1"/>
    <x v="1"/>
    <x v="1"/>
    <x v="1"/>
    <n v="4"/>
    <x v="3"/>
    <x v="1"/>
    <x v="1"/>
    <x v="1"/>
    <x v="4"/>
    <n v="3"/>
    <x v="2"/>
    <x v="3"/>
    <n v="5"/>
    <s v="Local NGO(s)/CSO(s)"/>
    <s v="Private sector"/>
    <m/>
    <x v="2"/>
    <s v="Capacity building at local CBOs has contributed to enhancing said organizations' ability to better engage in economic empowerment activities for women"/>
    <s v="No changes occurred"/>
    <s v="Vocational training"/>
    <s v="P.A.C.E. training"/>
    <s v="CBO capacity building"/>
    <s v="Helping women build their skills has an important role in strengthening efforts to address social injustice, promote gender equality and social cohesion between Syrian refugees and Jordanian host community members, while increasing the women's business skills and likelihood to enter the labor market."/>
    <m/>
    <m/>
    <m/>
    <s v="Project proposal"/>
    <n v="100"/>
    <n v="500"/>
    <n v="5"/>
    <n v="1"/>
    <n v="0.7"/>
    <n v="100"/>
    <n v="350"/>
    <s v=""/>
    <n v="0"/>
    <n v="0"/>
    <s v=""/>
    <s v=""/>
    <n v="0"/>
    <n v="0"/>
    <s v=""/>
    <s v=""/>
    <n v="0"/>
    <n v="0"/>
    <s v=""/>
    <s v=""/>
    <n v="0"/>
    <n v="0"/>
    <s v=""/>
    <n v="1"/>
    <n v="100"/>
    <n v="200"/>
    <n v="2"/>
    <s v="4. Transformative"/>
    <s v="2. Accommodating"/>
    <s v="4. Transformative"/>
    <s v="It tested new ways for fighting poverty, but did not measure results of innovation"/>
    <s v="Moderate advocacy"/>
    <s v="It linked and worked with strategic alliances and partners to take tested and effective solutions to scale"/>
  </r>
  <r>
    <x v="36"/>
    <x v="1"/>
    <m/>
    <s v="Promoting inclusive local economic empowerment and development to enhance resilience and social stability"/>
    <s v="Jordan"/>
    <s v="DK-2007-DOF-2711188037"/>
    <s v="CARE France"/>
    <s v="Multilateral agency"/>
    <s v="EU - European Union (other than ECHO)"/>
    <s v="EuropeAid"/>
    <m/>
    <m/>
    <m/>
    <m/>
    <m/>
    <m/>
    <m/>
    <m/>
    <m/>
    <m/>
    <m/>
    <m/>
    <m/>
    <m/>
    <m/>
    <m/>
    <m/>
    <m/>
    <m/>
    <m/>
    <m/>
    <m/>
    <m/>
    <m/>
    <m/>
    <m/>
    <m/>
    <m/>
    <m/>
    <m/>
    <m/>
    <m/>
    <m/>
    <m/>
    <m/>
    <m/>
    <m/>
    <m/>
    <m/>
    <m/>
    <m/>
    <m/>
    <m/>
    <m/>
    <m/>
    <d v="2016-06-01T00:00:00"/>
    <d v="2017-11-30T00:00:00"/>
    <m/>
    <s v="Development Other"/>
    <n v="150000"/>
    <s v="Adel Bondokji"/>
    <s v="Project Manager of LEADERS consortium programs"/>
    <s v="adel.bondokji@care.org"/>
    <m/>
    <m/>
    <m/>
    <s v="NO"/>
    <s v="YES"/>
    <s v="NO"/>
    <s v="To contribute to the economic self-reliance, resilience and social stability of displacement-affected populations in Jordan and Lebanon in preparation for durable solutions (2 locations of the action in the project)."/>
    <s v="Multiple countries"/>
    <s v="Ajloun, Irbid, Mafraq, Amman, Zarqa and Ma'an Governorates"/>
    <s v="Displacement-affected and host community members are the main impact group, particularly women and youth, through Women's Economic Empowerment activities and local capacity building."/>
    <n v="1050"/>
    <n v="1050"/>
    <n v="2100"/>
    <n v="5250"/>
    <n v="5250"/>
    <n v="10500"/>
    <s v="70% of Syrian refugees and 30% of Jordanian community members are direct participants, having received direct assistance through the project, including training, job placement, business support, and participatory planning leading to locally-led investments in basic services and LED infrastructure. Indirect beneficairies are family members (number derived by multiplying by 5, an average family size) and broader community, including local CBOs."/>
    <m/>
    <m/>
    <m/>
    <m/>
    <m/>
    <m/>
    <m/>
    <s v="NO"/>
    <m/>
    <m/>
    <m/>
    <s v="NO"/>
    <m/>
    <m/>
    <m/>
    <s v="NO"/>
    <m/>
    <m/>
    <m/>
    <s v="NO"/>
    <m/>
    <m/>
    <m/>
    <s v="NO"/>
    <m/>
    <m/>
    <m/>
    <s v="NO"/>
    <m/>
    <m/>
    <m/>
    <s v="NO"/>
    <m/>
    <m/>
    <m/>
    <s v="NO"/>
    <m/>
    <m/>
    <m/>
    <s v="NO"/>
    <m/>
    <m/>
    <m/>
    <s v="NO"/>
    <m/>
    <m/>
    <m/>
    <s v="NO"/>
    <m/>
    <m/>
    <m/>
    <s v="NO"/>
    <m/>
    <m/>
    <m/>
    <m/>
    <s v="NO"/>
    <m/>
    <m/>
    <m/>
    <n v="887"/>
    <n v="406"/>
    <n v="1293"/>
    <n v="4435"/>
    <n v="2030"/>
    <n v="6465"/>
    <s v="NO"/>
    <m/>
    <m/>
    <m/>
    <s v="NO"/>
    <m/>
    <m/>
    <m/>
    <s v="NO"/>
    <m/>
    <m/>
    <m/>
    <s v="NO"/>
    <m/>
    <m/>
    <m/>
    <s v="YES"/>
    <n v="1293"/>
    <n v="0.7"/>
    <n v="6465"/>
    <s v="NO"/>
    <m/>
    <m/>
    <m/>
    <s v="NO"/>
    <m/>
    <m/>
    <m/>
    <s v="NO"/>
    <m/>
    <m/>
    <m/>
    <s v="NO"/>
    <m/>
    <m/>
    <m/>
    <s v="NO"/>
    <m/>
    <m/>
    <m/>
    <s v="NO"/>
    <m/>
    <m/>
    <m/>
    <s v="NO"/>
    <m/>
    <m/>
    <m/>
    <s v="NO"/>
    <m/>
    <m/>
    <m/>
    <s v="NO"/>
    <m/>
    <m/>
    <m/>
    <s v="NO"/>
    <m/>
    <m/>
    <m/>
    <s v="NO"/>
    <m/>
    <m/>
    <m/>
    <m/>
    <s v="NO"/>
    <m/>
    <m/>
    <m/>
    <s v="YES"/>
    <s v="November"/>
    <n v="2016"/>
    <s v="YES"/>
    <s v="YES"/>
    <s v="November"/>
    <n v="2017"/>
    <s v="Evaluation will be completed by the LEADERS Consortium."/>
    <x v="0"/>
    <s v="NO"/>
    <s v="NO"/>
    <s v="YES"/>
    <s v="YES"/>
    <s v="YES"/>
    <s v="NO"/>
    <s v="YES"/>
    <s v="NO"/>
    <m/>
    <x v="2"/>
    <s v="The main innovations were implemented through grants distribution to upcoming entrepreuners from extremely rural and impoverished localities."/>
    <x v="1"/>
    <s v="Capacity building trainings conducted by several different partners to compliment each other: personal development trainings, and business ethics trainings."/>
    <x v="0"/>
    <x v="1"/>
    <s v="YES"/>
    <x v="0"/>
    <x v="0"/>
    <x v="0"/>
    <x v="2"/>
    <n v="4"/>
    <x v="2"/>
    <x v="1"/>
    <x v="1"/>
    <x v="1"/>
    <x v="1"/>
    <x v="2"/>
    <n v="4"/>
    <x v="3"/>
    <x v="1"/>
    <x v="1"/>
    <x v="1"/>
    <x v="4"/>
    <n v="3"/>
    <x v="2"/>
    <x v="3"/>
    <n v="20"/>
    <s v="International NGO(s)"/>
    <s v="Local NGO(s)/CSO(s)"/>
    <m/>
    <x v="2"/>
    <s v="Capacity building for cooperatives and needs assesments conducted to ensure all needs are being met through the capacity building sessions. Capacity building for MSMEs to increase livelihood opportunities and generate more income."/>
    <m/>
    <s v="Grant distribution for small business start ups"/>
    <s v="MSME capacity building (increasing revenue)"/>
    <s v="Capacity building for individuals and cooperatives"/>
    <s v="Improving access to information and capital for scalable MSMEs through equity partnerships, joint ventures and improved business support networks"/>
    <s v="Supporting local actors including municipalities in improving the local economic enabling environment through increased networking, advocacy, fundraising and local mobilisation capacity"/>
    <s v="Supporting MSMEs to invest and scale up activities and contribute to the local economic development of their areas while reinforcing their capacities in business development and management"/>
    <m/>
    <s v="Proposal"/>
    <n v="1293"/>
    <n v="6465"/>
    <n v="5"/>
    <n v="0.68600154679040992"/>
    <n v="0.68600154679040992"/>
    <n v="887"/>
    <n v="4435"/>
    <s v=""/>
    <n v="0"/>
    <n v="0"/>
    <s v=""/>
    <n v="1"/>
    <n v="1293"/>
    <n v="6465"/>
    <n v="5"/>
    <s v=""/>
    <n v="0"/>
    <n v="0"/>
    <s v=""/>
    <s v=""/>
    <n v="0"/>
    <n v="0"/>
    <s v=""/>
    <n v="1"/>
    <n v="905.09999999999991"/>
    <n v="4525.5"/>
    <n v="5.0000000000000009"/>
    <s v="4. Transformative"/>
    <s v="4. Transformational"/>
    <s v="4. Transformative"/>
    <s v="It tested new ways for fighting poverty and measured results of innovation"/>
    <s v="Little or no advocacy"/>
    <s v="It linked and worked with strategic alliances and partners to take tested and effective solutions to scale"/>
  </r>
  <r>
    <x v="36"/>
    <x v="1"/>
    <m/>
    <s v="Protecting and Building Resilience Among the Crisis-Affected in Jordan"/>
    <s v="Jordan"/>
    <s v="CA370"/>
    <s v="CARE Canada"/>
    <s v="Government"/>
    <s v="Government - Canada"/>
    <s v="Global Affairs Canada (GAC) "/>
    <m/>
    <m/>
    <m/>
    <m/>
    <m/>
    <m/>
    <m/>
    <m/>
    <m/>
    <m/>
    <m/>
    <m/>
    <m/>
    <m/>
    <m/>
    <m/>
    <m/>
    <m/>
    <m/>
    <m/>
    <m/>
    <m/>
    <m/>
    <m/>
    <m/>
    <m/>
    <m/>
    <m/>
    <m/>
    <m/>
    <m/>
    <m/>
    <m/>
    <m/>
    <m/>
    <m/>
    <m/>
    <m/>
    <m/>
    <m/>
    <m/>
    <m/>
    <m/>
    <m/>
    <m/>
    <d v="2016-12-22T00:00:00"/>
    <d v="2019-12-31T00:00:00"/>
    <m/>
    <s v="Humanitarian Other"/>
    <n v="5530287"/>
    <s v="Zainab Al-Aqra'a"/>
    <s v="Budget Holder for Olayan and GAC Projects"/>
    <s v="Zainab.AlAqraa@care.org"/>
    <m/>
    <m/>
    <m/>
    <s v="YES"/>
    <s v="YES"/>
    <s v="YES"/>
    <s v="The project seeks to improve access to existing support networks and services, address immediate emergency protection needs, as well as increase capacity for self-reliance strategies for the most vulnerable Syrian refugee and Jordanian households in the urban areas of Amman, Irbid, Mafraq, Zarqa, and Azraq town."/>
    <s v="National"/>
    <s v="Amman, Irbid, Mafraq, Zarqa and Azraq town in Jordan"/>
    <s v="The main impact group of the project includes Syrian, Iraqi and other refugee community members (70%) as well as vulnerable Jordanians (30%) in the above-mentioned urban areas."/>
    <n v="6000"/>
    <n v="6000"/>
    <n v="12000"/>
    <n v="22200"/>
    <n v="22200"/>
    <n v="44400"/>
    <s v="Direct participants of the project include vulnerable refugee and Jordanian host community members in urban areas of Amman, Irbid, Mafraq, Zarqa, and Azraq town, particularly women, youth and children, the disabled and the elderly. The number of indirect participants, family members, is calculated by multiplying the number of direct beneficiaries by 4.7 (an average household size). Other indirect participants are community members in urban areas, as the project has wide-reaching implementation goals."/>
    <m/>
    <n v="4584"/>
    <n v="3519"/>
    <n v="8103"/>
    <n v="15019"/>
    <n v="13071"/>
    <n v="28090"/>
    <s v="NO"/>
    <m/>
    <m/>
    <m/>
    <s v="YES"/>
    <n v="2008"/>
    <n v="0.46660000000000001"/>
    <n v="6176"/>
    <s v="NO"/>
    <m/>
    <m/>
    <m/>
    <s v="NO"/>
    <m/>
    <m/>
    <m/>
    <s v="NO"/>
    <m/>
    <m/>
    <m/>
    <s v="YES"/>
    <n v="48"/>
    <n v="1"/>
    <n v="240"/>
    <s v="NO"/>
    <m/>
    <m/>
    <m/>
    <s v="Yes"/>
    <n v="100"/>
    <n v="1"/>
    <n v="450"/>
    <s v="YES"/>
    <n v="6290"/>
    <n v="0.59030000000000005"/>
    <n v="22677"/>
    <s v="NO"/>
    <m/>
    <m/>
    <m/>
    <s v="NO"/>
    <m/>
    <m/>
    <m/>
    <s v="NO"/>
    <m/>
    <m/>
    <m/>
    <m/>
    <s v="NO"/>
    <m/>
    <m/>
    <m/>
    <n v="100"/>
    <n v="0"/>
    <n v="100"/>
    <n v="250"/>
    <n v="200"/>
    <n v="450"/>
    <s v="NO"/>
    <m/>
    <m/>
    <m/>
    <s v="NO"/>
    <m/>
    <m/>
    <m/>
    <s v="NO"/>
    <m/>
    <m/>
    <m/>
    <s v="NO"/>
    <m/>
    <m/>
    <m/>
    <s v="YES"/>
    <n v="100"/>
    <n v="1"/>
    <n v="450"/>
    <s v="NO"/>
    <m/>
    <m/>
    <m/>
    <s v="NO"/>
    <m/>
    <m/>
    <m/>
    <s v="NO"/>
    <m/>
    <m/>
    <m/>
    <s v="NO"/>
    <m/>
    <m/>
    <m/>
    <s v="NO"/>
    <m/>
    <m/>
    <m/>
    <s v="NO"/>
    <m/>
    <m/>
    <m/>
    <s v="NO"/>
    <m/>
    <m/>
    <m/>
    <s v="NO"/>
    <m/>
    <m/>
    <m/>
    <s v="NO"/>
    <m/>
    <m/>
    <m/>
    <s v="NO"/>
    <m/>
    <m/>
    <m/>
    <s v="NO"/>
    <m/>
    <m/>
    <m/>
    <m/>
    <s v="NO"/>
    <m/>
    <m/>
    <m/>
    <s v="NO"/>
    <m/>
    <m/>
    <s v="NO"/>
    <s v="NO"/>
    <m/>
    <m/>
    <m/>
    <x v="2"/>
    <s v="YES"/>
    <s v="YES"/>
    <s v="YES"/>
    <s v="YES"/>
    <s v="YES"/>
    <s v="YES"/>
    <s v="YES"/>
    <m/>
    <m/>
    <x v="2"/>
    <s v="Through the project we experienced new components under the resilience unit; the small business grants and the internship. In the SBG; we provide a number of refugees with an advanced training followed with a grant to start a small business while in the internship; we are working to provide number of refugees with work permit to be able to join the market and have a legal work. _x000a_We are not only providing the typical cash assistance for the refugees but also trying to provide them with a long term source of income that will enable them living with dignity."/>
    <x v="1"/>
    <s v="In this project, we framed a women leadership council in 5 geographical area, the idea of this council is to strengthen the women refugee and enable them to plan and be involved in decision making with men, the councils will be implemented through the CBOs in each city so that the partnership with the local community is taken a big part of this council. _x000a_Moreover; we have increased the number of the partners working with the rest of the projetc’s components such as reselince, psychosocial and conditinla cash for protection."/>
    <x v="2"/>
    <x v="1"/>
    <s v="YES"/>
    <x v="0"/>
    <x v="0"/>
    <x v="0"/>
    <x v="2"/>
    <n v="4"/>
    <x v="2"/>
    <x v="1"/>
    <x v="1"/>
    <x v="1"/>
    <x v="1"/>
    <x v="2"/>
    <n v="4"/>
    <x v="3"/>
    <x v="1"/>
    <x v="1"/>
    <x v="1"/>
    <x v="4"/>
    <n v="3"/>
    <x v="2"/>
    <x v="3"/>
    <n v="12"/>
    <s v="Private sector"/>
    <s v="Grassroots organization(s)"/>
    <s v="National government"/>
    <x v="0"/>
    <s v="Most of the activities in the project are designed to serve 30% of the vulnerable people from the local community, I addition to that, the activities are designed to be implemented  through CBOs and private sector from the local community"/>
    <s v="the project is in its 1st phase and there is no changes"/>
    <s v="To enhance the role of Syrian women through involving them in the decision making process with men and make them able to plan and be part of the solution when it comes to the financial income of the family as well as raise their awareness regarding the GBV, child labor and other issues"/>
    <s v="To enhance the case management and referral systems for prevention of and response to child protection concerns, and GBV."/>
    <s v="To raise community awareness through community campaigns and interactive theater about different forms of GBV and the gender roles, norms and power dynamics that are conducive to them."/>
    <s v="For the multi-year project; The first 3 months of the project should be only for the planning"/>
    <s v="The activities that are in the piloting stage, should be revised regularly"/>
    <m/>
    <m/>
    <s v="Project proposal"/>
    <n v="8103"/>
    <n v="28090"/>
    <n v="3.4666173022337405"/>
    <n v="0.56571640133283974"/>
    <n v="0.53467426130295481"/>
    <n v="4584"/>
    <n v="15019"/>
    <n v="1"/>
    <n v="8103"/>
    <n v="28090"/>
    <n v="3.4666173022337405"/>
    <n v="1"/>
    <n v="100"/>
    <n v="450"/>
    <n v="4.5"/>
    <s v=""/>
    <n v="0"/>
    <n v="0"/>
    <s v=""/>
    <s v=""/>
    <n v="0"/>
    <n v="0"/>
    <s v=""/>
    <n v="1"/>
    <n v="100"/>
    <n v="450"/>
    <n v="4.5"/>
    <s v="4. Transformative"/>
    <s v="4. Transformational"/>
    <s v="4. Transformative"/>
    <s v="It tested new ways for fighting poverty and measured results of innovation"/>
    <s v="Intensive advocacy"/>
    <s v="It linked and worked with strategic alliances and partners to take tested and effective solutions to scale"/>
  </r>
  <r>
    <x v="36"/>
    <x v="1"/>
    <m/>
    <s v="Protecting and Supporting Vulnerable Populations, in particular Refugees and Host Community Members"/>
    <s v="Jordan"/>
    <s v="PRM-PRMOAPNE-16-002-055261"/>
    <s v="CARE USA"/>
    <s v="Government"/>
    <s v="Other"/>
    <s v="PRM-Bureau of Populations, Refugees and Migrations"/>
    <m/>
    <m/>
    <m/>
    <m/>
    <m/>
    <m/>
    <m/>
    <m/>
    <m/>
    <m/>
    <m/>
    <m/>
    <m/>
    <m/>
    <m/>
    <m/>
    <m/>
    <m/>
    <m/>
    <m/>
    <m/>
    <m/>
    <m/>
    <m/>
    <m/>
    <m/>
    <m/>
    <m/>
    <m/>
    <m/>
    <m/>
    <m/>
    <m/>
    <m/>
    <m/>
    <m/>
    <m/>
    <m/>
    <m/>
    <m/>
    <m/>
    <m/>
    <m/>
    <m/>
    <m/>
    <d v="2016-09-22T00:00:00"/>
    <d v="2018-09-21T00:00:00"/>
    <m/>
    <s v="Humanitarian Other"/>
    <n v="2100000"/>
    <s v="Maher Qubbaj"/>
    <s v="Program Director Urban Response Protection Program"/>
    <s v="Maher.Qubbaj@care.org"/>
    <m/>
    <m/>
    <m/>
    <s v="YES"/>
    <s v="YES"/>
    <s v="YES"/>
    <s v="To provide comprehensive protection support to meet the urgent needs and protect the rights of the most vulnerable refugee and Jordanian girls, boys, women and men in five urban areas in Jordan."/>
    <s v="National"/>
    <s v="Urban areas of East Amman, Irbid, Mafraq and Zarqa Governorate."/>
    <s v="The project will reach refugee community members (Syrian, Iraqi, Somali, Sudanese and other) and vulnerable Jordanians referred by the Ministry of Social Development and Jordanian National Aid Fund. The refugees in the project areas comprise over 80% of all peri-urban refugees in Jordan and their host communities are most impacted by the crisis. Assistance prioritizes the most vulnerable groups, including female-headed households, the elderly and the disabled, those scoring high against the vulnerability criteria."/>
    <n v="18000"/>
    <n v="18000"/>
    <n v="36000"/>
    <n v="99000"/>
    <n v="99000"/>
    <n v="198000"/>
    <s v="Direct beneficiaries were both Syrian refugees and vulnerable Jordanians, 70% refugees (60% Syrian and 40% Iraqi, Sudanese, Somali and other refugees) and 30% vulnerable Jordanians. Indirect beneficiaries are the family members (size multiplied by 4.7). Direct beneficairies include both children at a high risk for child labor and/or early/forced marriage, and those with the most urgent needs (women, single -headed/female-headed households, the elderly adn the disabled)."/>
    <m/>
    <n v="9521"/>
    <n v="11449"/>
    <n v="20970"/>
    <n v="37033"/>
    <n v="35671"/>
    <n v="72704"/>
    <s v="NO"/>
    <m/>
    <m/>
    <m/>
    <s v="YES"/>
    <n v="1622"/>
    <n v="0.43459999999999999"/>
    <n v="5278"/>
    <s v="YES"/>
    <n v="170"/>
    <n v="0"/>
    <n v="850"/>
    <s v="NO"/>
    <m/>
    <m/>
    <m/>
    <s v="NO"/>
    <m/>
    <m/>
    <m/>
    <s v="NO"/>
    <m/>
    <m/>
    <m/>
    <s v="NO"/>
    <m/>
    <m/>
    <m/>
    <s v="Yes"/>
    <n v="250"/>
    <n v="0.5"/>
    <n v="1250"/>
    <s v="YES"/>
    <n v="19769"/>
    <n v="0.45329999999999998"/>
    <n v="69453"/>
    <s v="NO"/>
    <m/>
    <m/>
    <m/>
    <s v="NO"/>
    <m/>
    <m/>
    <m/>
    <s v="NO"/>
    <m/>
    <m/>
    <m/>
    <m/>
    <s v="NO"/>
    <m/>
    <m/>
    <m/>
    <n v="125"/>
    <n v="125"/>
    <n v="250"/>
    <n v="625"/>
    <n v="625"/>
    <n v="1250"/>
    <s v="NO"/>
    <m/>
    <m/>
    <m/>
    <s v="NO"/>
    <m/>
    <m/>
    <m/>
    <s v="NO"/>
    <m/>
    <m/>
    <m/>
    <s v="NO"/>
    <m/>
    <m/>
    <m/>
    <s v="YES"/>
    <n v="250"/>
    <n v="0.5"/>
    <n v="1250"/>
    <s v="NO"/>
    <m/>
    <m/>
    <m/>
    <s v="NO"/>
    <m/>
    <m/>
    <m/>
    <s v="NO"/>
    <m/>
    <m/>
    <m/>
    <s v="NO"/>
    <m/>
    <m/>
    <m/>
    <s v="NO"/>
    <m/>
    <m/>
    <m/>
    <s v="NO"/>
    <m/>
    <m/>
    <m/>
    <s v="NO"/>
    <m/>
    <m/>
    <m/>
    <s v="NO"/>
    <m/>
    <m/>
    <m/>
    <s v="NO"/>
    <m/>
    <m/>
    <m/>
    <s v="NO"/>
    <m/>
    <m/>
    <m/>
    <s v="NO"/>
    <m/>
    <m/>
    <m/>
    <m/>
    <s v="NO"/>
    <m/>
    <m/>
    <m/>
    <s v="NO"/>
    <m/>
    <m/>
    <m/>
    <s v="YES"/>
    <s v="December"/>
    <n v="2017"/>
    <s v="The final report will evaluate the project's success, efficiency and delivery of services and activities that have been previously outlined and implemented, using qualitative and quantitative methods in data collection and analysis. The report will not only inform about the project itself and its effect on beneficiaries, but it will also contribute to a broader dialogue about the provision of services to vulnerable members of the community, currrent trends and needs."/>
    <x v="1"/>
    <s v="NO"/>
    <s v="YES"/>
    <s v="YES"/>
    <s v="YES"/>
    <s v="YES"/>
    <s v="NO"/>
    <s v="YES"/>
    <s v="YES"/>
    <s v="This project implemented awareness-raising campaigns, mass information campaigns and different community events to focus on the importance of education, and on the negative implications of early marriage and child labor."/>
    <x v="2"/>
    <s v="The Conditional Cash element of the project enabled young beneficairies to return to school, and not engage in the workforce or early marriage. Also, 'Time Bank' initiative, promotes two-way volunteering, using time as its currency to create sustainable and productive livelihoods with an ephasis on using locally available resources and ensuring youth participation."/>
    <x v="1"/>
    <s v="90 refugee and host community members are supported to form 6 community committees to participate in planning and implementation of awareness raising campaigns, through training and capacity-building activities via CARE local partners."/>
    <x v="1"/>
    <x v="1"/>
    <s v="YES"/>
    <x v="0"/>
    <x v="0"/>
    <x v="0"/>
    <x v="2"/>
    <n v="4"/>
    <x v="1"/>
    <x v="1"/>
    <x v="1"/>
    <x v="1"/>
    <x v="1"/>
    <x v="1"/>
    <n v="4"/>
    <x v="3"/>
    <x v="1"/>
    <x v="1"/>
    <x v="1"/>
    <x v="4"/>
    <n v="3"/>
    <x v="2"/>
    <x v="3"/>
    <n v="4"/>
    <s v="Local NGO(s)/CSO(s)"/>
    <s v="Grassroots organization(s)"/>
    <m/>
    <x v="0"/>
    <s v="This project helped form community committees comprised of both Syrian refugees and vulnerable Jordanians who participated in designing and implementing psychosocial activities, awareness raising campaigns about a range of topics, focusing on gender-based issues, all of which has helped enhance cohesion and understanding between communities. In addition, one of the project's objectives was to build capacity of local CBOs, helping build the deep understanding of the context and enhacing the quality of interventions."/>
    <s v="We have included 2 amendments, contributing to economic empowerment: 1st: added the Job Placement pillar, helping beneficiaries obtain work permits and identify potential jobs; 2nd: small business training and start up businesses"/>
    <s v="Conditional Cash"/>
    <s v="Psychosocial support activities"/>
    <s v="Resilience and economic empowerment, including a new 'Time Bank' initiative"/>
    <s v="Conditional Cash for Education continues to be  a promising and transformative practice"/>
    <s v="Long term sustainable development interventions are promising"/>
    <s v="Time Bank initiatve"/>
    <m/>
    <s v="Proposal"/>
    <n v="20970"/>
    <n v="72704"/>
    <n v="3.4670481640438724"/>
    <n v="0.45402956604673345"/>
    <n v="0.50936674735915488"/>
    <n v="9521"/>
    <n v="37033"/>
    <n v="1"/>
    <n v="20970"/>
    <n v="72704"/>
    <n v="3.4670481640438724"/>
    <n v="1"/>
    <n v="250"/>
    <n v="1250"/>
    <n v="5"/>
    <s v=""/>
    <n v="0"/>
    <n v="0"/>
    <s v=""/>
    <s v=""/>
    <n v="0"/>
    <n v="0"/>
    <s v=""/>
    <n v="1"/>
    <n v="125"/>
    <n v="625"/>
    <n v="5"/>
    <s v="4. Transformative"/>
    <s v="2. Accommodating"/>
    <s v="4. Transformative"/>
    <s v="It tested new ways for fighting poverty and measured results of innovation"/>
    <s v="Moderate advocacy"/>
    <s v="It linked and worked with strategic alliances and partners to take tested and effective solutions to scale"/>
  </r>
  <r>
    <x v="36"/>
    <x v="1"/>
    <n v="3059"/>
    <s v="Protecting the Vulnerable in Jordan's Urban Refugee Communities"/>
    <s v="Jordan"/>
    <s v="PRM-PRMOAPNE-15-010-050760"/>
    <s v="CARE USA"/>
    <s v="Government"/>
    <s v="Other"/>
    <s v="PRM-Bureau of Populations, Refugees and Migrations"/>
    <m/>
    <m/>
    <m/>
    <m/>
    <m/>
    <m/>
    <m/>
    <m/>
    <m/>
    <m/>
    <m/>
    <m/>
    <m/>
    <m/>
    <m/>
    <m/>
    <m/>
    <m/>
    <m/>
    <m/>
    <m/>
    <m/>
    <m/>
    <m/>
    <m/>
    <m/>
    <m/>
    <m/>
    <m/>
    <m/>
    <m/>
    <m/>
    <m/>
    <m/>
    <m/>
    <m/>
    <m/>
    <m/>
    <m/>
    <m/>
    <m/>
    <m/>
    <m/>
    <m/>
    <m/>
    <d v="2015-09-22T00:00:00"/>
    <d v="2016-09-21T00:00:00"/>
    <m/>
    <s v="Humanitarian Other"/>
    <n v="1487265"/>
    <s v="Maher Qubbaj"/>
    <s v="Program Director Urban Protection Response Program"/>
    <s v="Maher.Qubbaj@care.org"/>
    <m/>
    <m/>
    <m/>
    <s v="YES"/>
    <s v="YES"/>
    <s v="YES"/>
    <s v="To meet the urgent needs and protect the rights of the most vulnerable refugees and Jordanian hosts in Jordan’s urban centers through a comprehensive protection approach."/>
    <s v="National"/>
    <s v="Refugee hubs in Amman, Zarqa, Mafra and Irbid"/>
    <s v="70% Refugees (Syrian, Iraqi and other refugee community members) and 30% of vulnerable Jordanians living in urban areas are identified via assessment, outreach services and visits and through referrals by UNHCR, ingos and local CBOs, prioritizing the most vulnerable beneficiaries (female-headed households, the elderly, the disabled, single men and at risk women and youth)."/>
    <n v="12900"/>
    <n v="12900"/>
    <n v="25800"/>
    <n v="64500"/>
    <n v="64500"/>
    <n v="129000"/>
    <s v="Direct participants include the most vulnerable beneficiaries: FHHs, the elderly, disabled, single men, and at-risk women and youth (Urban refugees and Jordanians). Indirect participants are calculated by multiplying the number of direct partcipants by 4.7 (an average number of household members). In addition to family members of direct beneficairies, whose needs and issues are also addressed, including protection, material assistance, wellbeing and psychosocial needs, the project's effect ripples out to the beneficairy communities at large (these numbers are not calculated in the figure), to schools participating in the project (through psychosocial activities), local CBOs and NGOs, where capacity-building and support is taking place."/>
    <m/>
    <n v="3409"/>
    <n v="5072"/>
    <n v="8481"/>
    <n v="15757"/>
    <n v="15485"/>
    <n v="31242"/>
    <s v="NO"/>
    <m/>
    <m/>
    <m/>
    <s v="YES"/>
    <n v="340"/>
    <n v="0.44409999999999999"/>
    <n v="1333"/>
    <s v="YES"/>
    <n v="200"/>
    <n v="0"/>
    <n v="1091"/>
    <s v="NO"/>
    <m/>
    <m/>
    <m/>
    <s v="NO"/>
    <m/>
    <m/>
    <m/>
    <s v="NO"/>
    <m/>
    <m/>
    <m/>
    <s v="NO"/>
    <m/>
    <m/>
    <m/>
    <s v="Yes"/>
    <n v="150"/>
    <n v="0.5"/>
    <n v="600"/>
    <s v="YES"/>
    <n v="8022"/>
    <n v="0.38879999999999998"/>
    <n v="29279"/>
    <s v="NO"/>
    <m/>
    <m/>
    <m/>
    <s v="NO"/>
    <m/>
    <m/>
    <m/>
    <s v="NO"/>
    <m/>
    <m/>
    <m/>
    <m/>
    <s v="NO"/>
    <m/>
    <m/>
    <m/>
    <n v="75"/>
    <n v="75"/>
    <n v="150"/>
    <n v="300"/>
    <n v="300"/>
    <n v="600"/>
    <s v="NO"/>
    <m/>
    <m/>
    <m/>
    <s v="NO"/>
    <m/>
    <m/>
    <m/>
    <s v="NO"/>
    <m/>
    <m/>
    <m/>
    <s v="NO"/>
    <m/>
    <m/>
    <m/>
    <s v="YES"/>
    <n v="150"/>
    <n v="0.50339999999999996"/>
    <n v="600"/>
    <s v="NO"/>
    <m/>
    <m/>
    <m/>
    <s v="NO"/>
    <m/>
    <m/>
    <m/>
    <s v="NO"/>
    <m/>
    <m/>
    <m/>
    <s v="NO"/>
    <m/>
    <m/>
    <m/>
    <s v="NO"/>
    <m/>
    <m/>
    <m/>
    <s v="NO"/>
    <m/>
    <m/>
    <m/>
    <s v="NO"/>
    <m/>
    <m/>
    <m/>
    <s v="NO"/>
    <m/>
    <m/>
    <m/>
    <s v="NO"/>
    <m/>
    <m/>
    <m/>
    <s v="NO"/>
    <m/>
    <m/>
    <m/>
    <s v="NO"/>
    <m/>
    <m/>
    <m/>
    <m/>
    <s v="NO"/>
    <m/>
    <m/>
    <m/>
    <s v="NO"/>
    <m/>
    <m/>
    <s v="NO"/>
    <s v="NO"/>
    <m/>
    <m/>
    <s v="Other than regular assessments that take place annually, there will be no evaluation for this project for the next FY (the project ended in 2016)."/>
    <x v="0"/>
    <s v="NO"/>
    <s v="NO"/>
    <s v="YES"/>
    <s v="YES"/>
    <s v="YES"/>
    <s v="YES"/>
    <s v="YES"/>
    <s v="YES"/>
    <s v="This project advocated for economic empowerment of the beneficairies, as well as for continued focus on psychosocial support activities on the national level."/>
    <x v="2"/>
    <s v="Conditional cash for education was innovative because it was a financial incentive for families to send their children back to school, reducing negative coping skills such as child labor and early marriage. This project also focuced on vocational training as a way to promote economic empowerment among the most indigent members of the community."/>
    <x v="1"/>
    <s v="Implemented with other service providers of psychosocial support activities to exchange resources, knowledge and build a network of assistance providers for beneficairies in need."/>
    <x v="1"/>
    <x v="0"/>
    <s v="YES"/>
    <x v="0"/>
    <x v="0"/>
    <x v="0"/>
    <x v="0"/>
    <n v="4"/>
    <x v="1"/>
    <x v="1"/>
    <x v="1"/>
    <x v="1"/>
    <x v="1"/>
    <x v="1"/>
    <n v="4"/>
    <x v="3"/>
    <x v="1"/>
    <x v="1"/>
    <x v="1"/>
    <x v="4"/>
    <n v="3"/>
    <x v="2"/>
    <x v="0"/>
    <n v="4"/>
    <s v="Local NGO(s)/CSO(s)"/>
    <m/>
    <m/>
    <x v="0"/>
    <s v="Capacity-building is one of the objectives of the project, specifically to support CBOs by enhancing their abilities to provide assistance to beneficiaries for the long term. This project partnered with local CBOs focusing on improving livelihoods and access to psychological activities."/>
    <s v="no changes / amendments were made"/>
    <s v="Conditional Cash for Education activity is an extension of a successful pilot project that started in 2014."/>
    <s v="Vocational training activities"/>
    <s v="Partner training and support to local CBOs"/>
    <s v="At this point, Syrian crisis was in its 5th year, so CARE JO invested into vocational training and provided beneficiaries with toolkits to enable them with more sustainable resilience-building livelihood skills. The practice of transitioning from emergency to sustainable development has proved promising and transformative for the beneficairies."/>
    <s v="Eliminating child labor and early marriage by returning children to school via conditional cash for education is another promising practice that contributes heavily to child protection."/>
    <s v="A 12-month duration of the project is a challenge, especially when it comes to economic empowerment initiatives. A recommendation is to provide multi-year funding opportunities."/>
    <m/>
    <s v="Proposal"/>
    <n v="8481"/>
    <n v="31242"/>
    <n v="3.6837637071100104"/>
    <n v="0.40195731635420351"/>
    <n v="0.5043531143972857"/>
    <n v="3409"/>
    <n v="15757"/>
    <n v="1"/>
    <n v="8481"/>
    <n v="31242"/>
    <n v="3.6837637071100104"/>
    <n v="1"/>
    <n v="150"/>
    <n v="600"/>
    <n v="4"/>
    <s v=""/>
    <n v="0"/>
    <n v="0"/>
    <s v=""/>
    <s v=""/>
    <n v="0"/>
    <n v="0"/>
    <s v=""/>
    <n v="1"/>
    <n v="75.509999999999991"/>
    <n v="302.03999999999996"/>
    <n v="4"/>
    <s v="2. Sensitive"/>
    <s v="2. Accommodating"/>
    <s v="4. Transformative"/>
    <s v="It tested new ways for fighting poverty and measured results of innovation"/>
    <s v="Little or no advocacy"/>
    <s v="It linked and worked with strategic alliances and partners to take tested and effective solutions to scale"/>
  </r>
  <r>
    <x v="36"/>
    <x v="1"/>
    <n v="3061"/>
    <s v="UNHCR Assistance to Syrian, non –Syrian Persons of Concern (PoC) and host community members in Azraq camp and urban areas of Jordan"/>
    <s v="Jordan"/>
    <s v="JOR01/2016/0000000219/000"/>
    <s v="CARE USA"/>
    <s v="Multilateral agency"/>
    <s v="UN - United Nations agencies/offices"/>
    <s v="UNHCR"/>
    <m/>
    <m/>
    <m/>
    <m/>
    <m/>
    <m/>
    <m/>
    <m/>
    <m/>
    <m/>
    <m/>
    <m/>
    <m/>
    <m/>
    <m/>
    <m/>
    <m/>
    <m/>
    <m/>
    <m/>
    <m/>
    <m/>
    <m/>
    <m/>
    <m/>
    <m/>
    <m/>
    <m/>
    <m/>
    <m/>
    <m/>
    <m/>
    <m/>
    <m/>
    <m/>
    <m/>
    <m/>
    <m/>
    <m/>
    <m/>
    <m/>
    <m/>
    <m/>
    <m/>
    <m/>
    <d v="2016-01-01T00:00:00"/>
    <d v="2016-12-31T00:00:00"/>
    <m/>
    <s v="Humanitarian Other"/>
    <n v="2443957"/>
    <s v="Jameel Dababneh"/>
    <s v="Team Leader Azraq Refugee Camp"/>
    <s v="Jameel.Dababneh@care.org"/>
    <m/>
    <m/>
    <m/>
    <s v="YES"/>
    <s v="YES"/>
    <s v="YES"/>
    <s v="The project will enhance community empowerment and self- reliance by improving the capacities and opportunities for Syrian refugees, providing them with skills- building trainings and the access to income generating opportunities, as well as the on-going capacity building process for the CBOs in Azraq city to engage more volunteers both Jordanians and Syrians to reach the refugees community and start the establishment of community service committees CSC."/>
    <s v="National"/>
    <s v="Azraq Refugee Camp and urban area of Azraq City"/>
    <s v="The main impact group of the project comprises of Syrian refugees in Azraq Camp and vulnerable Syrians and Jordanians living in Azraq City."/>
    <n v="5545"/>
    <n v="5545"/>
    <n v="11090"/>
    <n v="27725"/>
    <n v="27725"/>
    <n v="55450"/>
    <s v="In the camp, direct participants are groups with extreme vulnerabilities, including those with special needs, female-headed households/single parents, PWD and older persons, while in the city of Azraq, direct beneficairies are Syrian refugees residing in north and south parts of the city, as well as the most indigent and marginalized host community members (50% female participants, 10% persons with disabilities and 2% elderly). Indirect participants are the beneficairies' family members (number calculated by multplying by 5) and community members as well."/>
    <m/>
    <n v="1888"/>
    <n v="1258"/>
    <n v="3146"/>
    <n v="9438"/>
    <n v="6292"/>
    <n v="15730"/>
    <s v="YES"/>
    <n v="3146"/>
    <n v="0.6"/>
    <n v="15730"/>
    <s v="NO"/>
    <m/>
    <m/>
    <m/>
    <s v="YES"/>
    <n v="257"/>
    <n v="0.6"/>
    <n v="1285"/>
    <s v="NO"/>
    <m/>
    <m/>
    <m/>
    <s v="NO"/>
    <m/>
    <m/>
    <m/>
    <s v="NO"/>
    <m/>
    <m/>
    <m/>
    <s v="NO"/>
    <m/>
    <m/>
    <m/>
    <s v="Yes"/>
    <n v="1310"/>
    <n v="0.6"/>
    <n v="6550"/>
    <s v="YES"/>
    <n v="3146"/>
    <n v="0.6"/>
    <n v="15730"/>
    <s v="NO"/>
    <m/>
    <m/>
    <m/>
    <s v="NO"/>
    <m/>
    <m/>
    <m/>
    <s v="NO"/>
    <m/>
    <m/>
    <m/>
    <m/>
    <s v="NO"/>
    <m/>
    <m/>
    <m/>
    <m/>
    <m/>
    <m/>
    <m/>
    <m/>
    <m/>
    <s v="NO"/>
    <m/>
    <m/>
    <m/>
    <s v="NO"/>
    <m/>
    <m/>
    <m/>
    <s v="NO"/>
    <m/>
    <m/>
    <m/>
    <s v="NO"/>
    <m/>
    <m/>
    <m/>
    <s v="NO"/>
    <m/>
    <m/>
    <m/>
    <s v="NO"/>
    <m/>
    <m/>
    <m/>
    <s v="NO"/>
    <m/>
    <m/>
    <m/>
    <s v="NO"/>
    <m/>
    <m/>
    <m/>
    <s v="NO"/>
    <m/>
    <m/>
    <m/>
    <s v="NO"/>
    <m/>
    <m/>
    <m/>
    <s v="NO"/>
    <m/>
    <m/>
    <m/>
    <s v="NO"/>
    <m/>
    <m/>
    <m/>
    <s v="NO"/>
    <m/>
    <m/>
    <m/>
    <s v="NO"/>
    <m/>
    <m/>
    <m/>
    <s v="NO"/>
    <m/>
    <m/>
    <m/>
    <s v="NO"/>
    <m/>
    <m/>
    <m/>
    <m/>
    <s v="NO"/>
    <m/>
    <m/>
    <m/>
    <s v="YES"/>
    <s v="February"/>
    <n v="2017"/>
    <s v="NO"/>
    <s v="NO"/>
    <m/>
    <m/>
    <m/>
    <x v="1"/>
    <s v="NO"/>
    <s v="NO"/>
    <s v="YES"/>
    <s v="YES"/>
    <s v="NO"/>
    <s v="NO"/>
    <s v="NO"/>
    <s v="YES"/>
    <s v="Through articulating clear advocacy messages about the Syrian refugees in Azraq Camp and Azraq City."/>
    <x v="0"/>
    <m/>
    <x v="1"/>
    <m/>
    <x v="1"/>
    <x v="1"/>
    <s v="YES"/>
    <x v="0"/>
    <x v="0"/>
    <x v="0"/>
    <x v="2"/>
    <n v="4"/>
    <x v="2"/>
    <x v="2"/>
    <x v="1"/>
    <x v="1"/>
    <x v="1"/>
    <x v="5"/>
    <n v="3"/>
    <x v="3"/>
    <x v="1"/>
    <x v="1"/>
    <x v="1"/>
    <x v="4"/>
    <n v="3"/>
    <x v="2"/>
    <x v="0"/>
    <n v="3"/>
    <s v="Local NGO(s)/CSO(s)"/>
    <s v="National government"/>
    <s v="National government"/>
    <x v="1"/>
    <m/>
    <m/>
    <s v="Adopting new community initatives, like Time Banking through community representatives."/>
    <s v="Improving the Reselience level through diversifying livelihood activites targeting women, men, girls and boys."/>
    <m/>
    <s v="In Emergency Situation inside refugees camp the needs are dynamic and being always prepared is crucial."/>
    <s v="The relationships in the dynamic environment should be sufficiently sustained especially with the authorities, media, partners, local communities and the refugees."/>
    <s v="Being culturally sensitive should be addressed and any change will take place should be piloted enough before being fully implemented."/>
    <m/>
    <s v="Project proposal"/>
    <n v="3146"/>
    <n v="15730"/>
    <n v="5"/>
    <n v="0.600127145581691"/>
    <n v="0.6"/>
    <n v="1888"/>
    <n v="9438"/>
    <n v="1"/>
    <n v="3146"/>
    <n v="15730"/>
    <n v="5"/>
    <n v="1"/>
    <n v="1310"/>
    <n v="6550"/>
    <n v="5"/>
    <s v=""/>
    <n v="0"/>
    <n v="0"/>
    <s v=""/>
    <s v=""/>
    <n v="0"/>
    <n v="0"/>
    <s v=""/>
    <s v=""/>
    <n v="0"/>
    <n v="0"/>
    <s v=""/>
    <s v="4. Transformative"/>
    <s v="3. Responsive"/>
    <s v="4. Transformative"/>
    <s v="It did not develop any specific innovation"/>
    <s v="Moderate advocacy"/>
    <s v="It linked and worked with strategic alliances and partners to take tested and effective solutions to scale"/>
  </r>
  <r>
    <x v="36"/>
    <x v="1"/>
    <m/>
    <s v="UNHCR Assistance to Syrian, non –Syrian Persons of Concern (PoC) and host community members in Azraq camp and urban areas of Jordan"/>
    <s v="Jordan"/>
    <s v="UNHCJO0009"/>
    <s v="CARE USA"/>
    <s v="Multilateral agency"/>
    <s v="UN - United Nations agencies/offices"/>
    <s v="UNHCR"/>
    <m/>
    <m/>
    <m/>
    <m/>
    <m/>
    <m/>
    <m/>
    <m/>
    <m/>
    <m/>
    <m/>
    <m/>
    <m/>
    <m/>
    <m/>
    <m/>
    <m/>
    <m/>
    <m/>
    <m/>
    <m/>
    <m/>
    <m/>
    <m/>
    <m/>
    <m/>
    <m/>
    <m/>
    <m/>
    <m/>
    <m/>
    <m/>
    <m/>
    <m/>
    <m/>
    <m/>
    <m/>
    <m/>
    <m/>
    <m/>
    <m/>
    <m/>
    <m/>
    <m/>
    <m/>
    <d v="2017-01-01T00:00:00"/>
    <d v="2017-12-31T00:00:00"/>
    <m/>
    <s v="Humanitarian Other"/>
    <n v="2402557"/>
    <s v="Jameel Dababneh"/>
    <s v="Team Leader Azraq Refugee Camp"/>
    <s v="Jameel.Dababneh@care.org"/>
    <m/>
    <m/>
    <m/>
    <s v="YES"/>
    <s v="YES"/>
    <s v="YES"/>
    <s v="The project aims to provide community-based protection and build the resilience of Syrian refugees in Azraq camp and vulnerable host community members in Azraq town through self-development and skills building activities, livelihood opportunities, case management, community representation networks and mechanisms for feedback and accountability."/>
    <s v="National"/>
    <s v="Azraq refugee camp and Azraq town"/>
    <s v="The main impact group of the project incudes vulnerable groups such as female-headed households, persons with special needs, women and youth at risk, PWDs or elderly living in Azraq camp and Azraq town. While humanitarian in nature, the project includes some long-term development aspects, such as vocational training activities."/>
    <n v="3375"/>
    <n v="3375"/>
    <n v="6750"/>
    <n v="16875"/>
    <n v="16875"/>
    <n v="33750"/>
    <s v="Direct participants are vulnerable beneficiaries (women, youth and children at risk, female-headed households, the disabled, the elderly). Indirect participants are family members (number derived by multuplying the number of direct participants by 5, or an average family size) and community members, as the project has a broader reach on both communities in terms of building skills and livelihood opportunities, community representation and mobilization and resilience."/>
    <m/>
    <n v="1603"/>
    <n v="2384"/>
    <n v="3987"/>
    <n v="7518"/>
    <n v="12424"/>
    <n v="19942"/>
    <s v="YES"/>
    <n v="3987"/>
    <n v="0.4"/>
    <n v="19942"/>
    <s v="NO"/>
    <m/>
    <m/>
    <m/>
    <s v="YES"/>
    <n v="150"/>
    <n v="0.5"/>
    <n v="750"/>
    <s v="NO"/>
    <m/>
    <m/>
    <m/>
    <s v="NO"/>
    <m/>
    <m/>
    <m/>
    <s v="NO"/>
    <m/>
    <m/>
    <m/>
    <s v="NO"/>
    <m/>
    <m/>
    <m/>
    <s v="Yes"/>
    <n v="702"/>
    <n v="0.7"/>
    <n v="3510"/>
    <s v="YES"/>
    <n v="3987"/>
    <n v="0.4"/>
    <n v="19942"/>
    <s v="NO"/>
    <m/>
    <m/>
    <m/>
    <s v="NO"/>
    <m/>
    <m/>
    <m/>
    <s v="NO"/>
    <m/>
    <m/>
    <m/>
    <m/>
    <s v="NO"/>
    <m/>
    <m/>
    <m/>
    <m/>
    <m/>
    <m/>
    <m/>
    <m/>
    <m/>
    <s v="NO"/>
    <m/>
    <m/>
    <m/>
    <s v="NO"/>
    <m/>
    <m/>
    <m/>
    <s v="NO"/>
    <m/>
    <m/>
    <m/>
    <s v="NO"/>
    <m/>
    <m/>
    <m/>
    <s v="NO"/>
    <m/>
    <m/>
    <m/>
    <s v="NO"/>
    <m/>
    <m/>
    <m/>
    <s v="NO"/>
    <m/>
    <m/>
    <m/>
    <s v="NO"/>
    <m/>
    <m/>
    <m/>
    <s v="NO"/>
    <m/>
    <m/>
    <m/>
    <s v="NO"/>
    <m/>
    <m/>
    <m/>
    <s v="NO"/>
    <m/>
    <m/>
    <m/>
    <s v="NO"/>
    <m/>
    <m/>
    <m/>
    <s v="NO"/>
    <m/>
    <m/>
    <m/>
    <s v="NO"/>
    <m/>
    <m/>
    <m/>
    <s v="NO"/>
    <m/>
    <m/>
    <m/>
    <s v="NO"/>
    <m/>
    <m/>
    <m/>
    <m/>
    <s v="NO"/>
    <m/>
    <m/>
    <m/>
    <s v="NO"/>
    <m/>
    <m/>
    <s v="NO"/>
    <s v="YES"/>
    <s v="August"/>
    <n v="2017"/>
    <m/>
    <x v="1"/>
    <s v="NO"/>
    <s v="NO"/>
    <s v="YES"/>
    <s v="YES"/>
    <s v="NO"/>
    <s v="NO"/>
    <s v="NO"/>
    <s v="YES"/>
    <s v="Through articulating clear advocacy messages about the Syrian refugees in Azraq Camp and Azraq City."/>
    <x v="0"/>
    <m/>
    <x v="1"/>
    <m/>
    <x v="1"/>
    <x v="1"/>
    <s v="YES"/>
    <x v="0"/>
    <x v="0"/>
    <x v="0"/>
    <x v="2"/>
    <n v="4"/>
    <x v="2"/>
    <x v="2"/>
    <x v="1"/>
    <x v="1"/>
    <x v="1"/>
    <x v="5"/>
    <n v="3"/>
    <x v="3"/>
    <x v="1"/>
    <x v="1"/>
    <x v="1"/>
    <x v="4"/>
    <n v="3"/>
    <x v="2"/>
    <x v="0"/>
    <n v="3"/>
    <s v="Local NGO(s)/CSO(s)"/>
    <s v="National government"/>
    <s v="National government"/>
    <x v="0"/>
    <s v="The project involved capacity-building of local CBOs, to help enance their skills, technical and programmatic capacities in consideration of the gradual expansion of their roles and responsibilities before full-scale implementation and management of services for refugees and other vulnerable community members. In addition, the project focused on increasing resilience of both communities through joint activities and development of Community Service Committees (volunteer teams) and support of community representatives from Azraq camp and town."/>
    <m/>
    <s v="Adopting new community initatives, like Time Banking through community representatives."/>
    <s v="Improving the Reselience level through diversifying livelihood activites targeting women, men, girls and boys."/>
    <s v="Community Representatives play a key role in community outreach activities and also help identify vulnerable individuals; it is a role that has empowered vulnerable persons participation and representation in the camp."/>
    <s v="In Emergency Situation, inside refugees camp the needs are dynamic and being always prepared is crucial."/>
    <s v="The relationships in the dynamic environment should be sufficiently sustained especially with the authorities, media, partners, local communities and the refugees."/>
    <s v="Being culturally sensitive should be addressed and any change about to take place should be piloted enough before being fully implemented."/>
    <m/>
    <s v="Project Proposal and vetting forms of markers"/>
    <n v="3987"/>
    <n v="19942"/>
    <n v="5.0017557060446451"/>
    <n v="0.40205668422372709"/>
    <n v="0.37699328051348913"/>
    <n v="1603"/>
    <n v="7518"/>
    <n v="1"/>
    <n v="3987"/>
    <n v="19942"/>
    <n v="5.0017557060446451"/>
    <n v="1"/>
    <n v="702"/>
    <n v="3510"/>
    <n v="5"/>
    <s v=""/>
    <n v="0"/>
    <n v="0"/>
    <s v=""/>
    <s v=""/>
    <n v="0"/>
    <n v="0"/>
    <s v=""/>
    <s v=""/>
    <n v="0"/>
    <n v="0"/>
    <s v=""/>
    <s v="4. Transformative"/>
    <s v="3. Responsive"/>
    <s v="4. Transformative"/>
    <s v="It did not develop any specific innovation"/>
    <s v="Moderate advocacy"/>
    <s v="It linked and worked with strategic alliances and partners to take tested and effective solutions to scale"/>
  </r>
  <r>
    <x v="36"/>
    <x v="1"/>
    <m/>
    <s v="Vocational Training for Vulnerable Jordanians and Syrian Refugees in Jordan"/>
    <s v="Jordan"/>
    <s v="DE777"/>
    <s v="CARE Deutschland-Luxemburg"/>
    <s v="Government"/>
    <s v="Government - Germany"/>
    <s v="Staatskanzlei NRW (State Chancellery NRW)"/>
    <m/>
    <m/>
    <m/>
    <m/>
    <m/>
    <m/>
    <m/>
    <m/>
    <m/>
    <m/>
    <m/>
    <m/>
    <m/>
    <m/>
    <m/>
    <m/>
    <m/>
    <m/>
    <m/>
    <m/>
    <m/>
    <m/>
    <m/>
    <m/>
    <m/>
    <m/>
    <m/>
    <m/>
    <m/>
    <m/>
    <m/>
    <m/>
    <m/>
    <m/>
    <m/>
    <m/>
    <m/>
    <m/>
    <m/>
    <m/>
    <m/>
    <m/>
    <m/>
    <m/>
    <m/>
    <d v="2016-08-11T00:00:00"/>
    <d v="2017-02-28T00:00:00"/>
    <m/>
    <s v="Humanitarian Other"/>
    <n v="72746"/>
    <s v="Maher Qubbaj"/>
    <s v="Program Director Urban Response  Protection Program"/>
    <s v="Maher.Qubbaj@care.org"/>
    <m/>
    <m/>
    <m/>
    <s v="YES"/>
    <s v="YES"/>
    <s v="YES"/>
    <s v="Economic empowerment through vocational training opportunities and provision of business toolkits"/>
    <s v="National"/>
    <s v="Jordan: Irbid and Zarqa"/>
    <s v="Syrian refugees and vulnerable Jordanians, both male and female, in urban areas of Irbid and Zarqa."/>
    <n v="79"/>
    <n v="56"/>
    <n v="135"/>
    <n v="292"/>
    <n v="184"/>
    <n v="476"/>
    <s v="They are vulnerable Syrian refugees and vulnerable Jordanians from the host community whowere selected after the initial assessment was completed by CARE case management - referred from another department. To calculate the number of indirect participants, we used the number 4.7, or the average number of household members. The number of indirect participants here does not include direct participants."/>
    <m/>
    <n v="79"/>
    <n v="56"/>
    <n v="135"/>
    <n v="292"/>
    <n v="184"/>
    <n v="476"/>
    <s v="NO"/>
    <m/>
    <m/>
    <m/>
    <s v="NO"/>
    <m/>
    <m/>
    <m/>
    <s v="NO"/>
    <m/>
    <m/>
    <m/>
    <s v="NO"/>
    <m/>
    <m/>
    <m/>
    <s v="NO"/>
    <m/>
    <m/>
    <m/>
    <s v="NO"/>
    <m/>
    <m/>
    <m/>
    <s v="NO"/>
    <m/>
    <m/>
    <m/>
    <s v="NO"/>
    <m/>
    <m/>
    <m/>
    <s v="YES"/>
    <n v="135"/>
    <n v="0.57999999999999996"/>
    <n v="476"/>
    <s v="NO"/>
    <m/>
    <m/>
    <m/>
    <s v="NO"/>
    <m/>
    <m/>
    <m/>
    <s v="NO"/>
    <m/>
    <m/>
    <m/>
    <m/>
    <s v="NO"/>
    <m/>
    <m/>
    <m/>
    <n v="79"/>
    <n v="56"/>
    <n v="135"/>
    <n v="292"/>
    <n v="184"/>
    <n v="476"/>
    <s v="NO"/>
    <m/>
    <m/>
    <m/>
    <s v="NO"/>
    <m/>
    <m/>
    <m/>
    <s v="NO"/>
    <m/>
    <m/>
    <m/>
    <s v="NO"/>
    <m/>
    <m/>
    <m/>
    <s v="YES"/>
    <n v="135"/>
    <n v="0.57999999999999996"/>
    <n v="476"/>
    <s v="NO"/>
    <m/>
    <m/>
    <m/>
    <s v="NO"/>
    <m/>
    <m/>
    <m/>
    <s v="NO"/>
    <m/>
    <m/>
    <m/>
    <s v="NO"/>
    <m/>
    <m/>
    <m/>
    <s v="NO"/>
    <m/>
    <m/>
    <m/>
    <s v="NO"/>
    <m/>
    <m/>
    <m/>
    <s v="NO"/>
    <m/>
    <m/>
    <m/>
    <s v="NO"/>
    <m/>
    <m/>
    <m/>
    <s v="NO"/>
    <m/>
    <m/>
    <m/>
    <s v="NO"/>
    <m/>
    <m/>
    <m/>
    <s v="NO"/>
    <m/>
    <m/>
    <m/>
    <m/>
    <s v="NO"/>
    <m/>
    <m/>
    <m/>
    <s v="NO"/>
    <m/>
    <m/>
    <s v="NO"/>
    <s v="NO"/>
    <m/>
    <m/>
    <s v="CARE conducts annual urban assessments (since 2012) that tackle numerous aspects of the lives and needs of beneficiaries (i.e. Livelihood Assessments, Market Assessment, etc.). For this particular project, CARE conducted progress report (linked on line 115)."/>
    <x v="0"/>
    <s v="NO"/>
    <s v="NO"/>
    <s v="YES"/>
    <s v="YES"/>
    <s v="NO"/>
    <s v="NO"/>
    <s v="YES"/>
    <m/>
    <s v="This project implemented the existing policy that includes 30% of Jorrdanian host community members"/>
    <x v="1"/>
    <s v="Included and tested new vocational trainings including photovoltaic and air conditioning maintenance, which were new trainings and opportunities to learn brand new skills."/>
    <x v="1"/>
    <s v="Previously mentioned trainings and new partnerships have since then been taken to new projects (building upon success)."/>
    <x v="1"/>
    <x v="1"/>
    <s v="YES"/>
    <x v="0"/>
    <x v="0"/>
    <x v="0"/>
    <x v="2"/>
    <n v="4"/>
    <x v="1"/>
    <x v="1"/>
    <x v="2"/>
    <x v="1"/>
    <x v="1"/>
    <x v="1"/>
    <n v="3"/>
    <x v="3"/>
    <x v="1"/>
    <x v="1"/>
    <x v="1"/>
    <x v="4"/>
    <n v="3"/>
    <x v="2"/>
    <x v="2"/>
    <n v="3"/>
    <s v="Local NGO(s)/CSO(s)"/>
    <m/>
    <m/>
    <x v="2"/>
    <s v="The project emphasized social cohesion among participants through joint activities"/>
    <m/>
    <s v="Working with/through partners"/>
    <s v="Focus on women and girls"/>
    <s v="Economic empowerment"/>
    <s v="Involving beneficiaries in the design of the project interventions"/>
    <s v="One of the promising practices was to provide vocational training to beneficiaries that would build their skills in fields that deviated from the traditional trainings, as to broaden their participation in the workforce and home-based income generating opportunities"/>
    <s v="Participation of women and girls in trainings that are typically thought of as male-dominant (i.e. air conditioning and photovoltaic systems)"/>
    <m/>
    <s v="Final report"/>
    <n v="135"/>
    <n v="476"/>
    <n v="3.5259259259259261"/>
    <n v="0.58518518518518514"/>
    <n v="0.61344537815126055"/>
    <n v="79"/>
    <n v="292"/>
    <n v="1"/>
    <n v="135"/>
    <n v="476"/>
    <n v="3.5259259259259261"/>
    <n v="1"/>
    <n v="135"/>
    <n v="476"/>
    <n v="3.5259259259259261"/>
    <s v=""/>
    <n v="0"/>
    <n v="0"/>
    <s v=""/>
    <s v=""/>
    <n v="0"/>
    <n v="0"/>
    <s v=""/>
    <n v="1"/>
    <n v="78.3"/>
    <n v="276.08"/>
    <n v="3.5259259259259257"/>
    <s v="4. Transformative"/>
    <s v="2. Accommodating"/>
    <s v="4. Transformative"/>
    <s v="It tested new ways for fighting poverty, but did not measure results of innovation"/>
    <s v="Little or no advocacy"/>
    <s v="It linked and worked with strategic alliances and partners to take tested and effective solutions to scale"/>
  </r>
  <r>
    <x v="37"/>
    <x v="3"/>
    <m/>
    <s v="Adaptation Learning Program"/>
    <s v="Kenya"/>
    <s v="KE 956"/>
    <s v="CARE Danmark"/>
    <s v="Government"/>
    <s v="Government - UK"/>
    <s v="DFID-Department for International Development, Austrian Development Agency and Civil Society in Development (Denmark)"/>
    <m/>
    <m/>
    <m/>
    <m/>
    <m/>
    <m/>
    <m/>
    <m/>
    <m/>
    <m/>
    <m/>
    <m/>
    <m/>
    <m/>
    <m/>
    <m/>
    <m/>
    <m/>
    <m/>
    <m/>
    <m/>
    <m/>
    <m/>
    <m/>
    <m/>
    <m/>
    <m/>
    <m/>
    <m/>
    <m/>
    <m/>
    <m/>
    <m/>
    <m/>
    <m/>
    <m/>
    <m/>
    <m/>
    <m/>
    <m/>
    <m/>
    <m/>
    <m/>
    <m/>
    <m/>
    <d v="2015-06-01T00:00:00"/>
    <d v="2017-06-30T00:00:00"/>
    <m/>
    <s v="Development Food &amp; Nutrition Security and Resilience to Climate Change"/>
    <n v="868611"/>
    <s v="Mwende Kusewa"/>
    <s v="Livelihoods Sector Manager"/>
    <s v="mwende@care.or.ke"/>
    <s v="Crispus Mugambi"/>
    <s v="Climate Change Specialist"/>
    <s v="crispus.mugambi@care.or.ke"/>
    <s v="NO"/>
    <s v="YES"/>
    <s v="NO"/>
    <s v="increased capacity of vulnerable households in sub-Saharan Africa to adapt to climate variability and change’increase the capacity of vulnerable households in sub-Saharan Africa to adapt to climate variability and change’"/>
    <s v="Sub-National"/>
    <s v="Embu County"/>
    <s v="increase the capacity of vulnerable households in sub-Saharan Africa to adapt to climate variability and change’increase the capacity of vulnerable households in sub-Saharan Africa to adapt to climate variability and change’"/>
    <n v="2652"/>
    <n v="1362"/>
    <n v="4014"/>
    <m/>
    <m/>
    <m/>
    <m/>
    <m/>
    <m/>
    <m/>
    <m/>
    <m/>
    <m/>
    <m/>
    <m/>
    <m/>
    <m/>
    <m/>
    <m/>
    <m/>
    <m/>
    <m/>
    <m/>
    <m/>
    <m/>
    <m/>
    <m/>
    <m/>
    <m/>
    <m/>
    <m/>
    <m/>
    <m/>
    <m/>
    <m/>
    <m/>
    <m/>
    <m/>
    <m/>
    <m/>
    <m/>
    <m/>
    <m/>
    <m/>
    <m/>
    <m/>
    <m/>
    <m/>
    <m/>
    <m/>
    <m/>
    <m/>
    <m/>
    <m/>
    <m/>
    <m/>
    <m/>
    <m/>
    <m/>
    <m/>
    <m/>
    <m/>
    <m/>
    <m/>
    <m/>
    <m/>
    <m/>
    <n v="2632"/>
    <n v="1362"/>
    <n v="3994"/>
    <m/>
    <m/>
    <m/>
    <m/>
    <m/>
    <m/>
    <m/>
    <s v="YES"/>
    <n v="4014"/>
    <n v="0.62"/>
    <m/>
    <m/>
    <m/>
    <m/>
    <m/>
    <m/>
    <m/>
    <m/>
    <m/>
    <m/>
    <m/>
    <m/>
    <m/>
    <m/>
    <m/>
    <m/>
    <m/>
    <m/>
    <m/>
    <m/>
    <m/>
    <m/>
    <m/>
    <m/>
    <m/>
    <m/>
    <m/>
    <m/>
    <m/>
    <m/>
    <m/>
    <m/>
    <m/>
    <m/>
    <m/>
    <m/>
    <m/>
    <m/>
    <m/>
    <m/>
    <m/>
    <m/>
    <m/>
    <m/>
    <m/>
    <m/>
    <m/>
    <m/>
    <m/>
    <m/>
    <m/>
    <m/>
    <m/>
    <m/>
    <m/>
    <m/>
    <m/>
    <m/>
    <m/>
    <m/>
    <m/>
    <m/>
    <s v="YES"/>
    <s v="May"/>
    <n v="2017"/>
    <s v="YES"/>
    <m/>
    <m/>
    <m/>
    <m/>
    <x v="1"/>
    <s v="NO"/>
    <m/>
    <s v="YES"/>
    <s v="NO"/>
    <s v="YES"/>
    <s v="YES"/>
    <s v="NO"/>
    <m/>
    <m/>
    <x v="2"/>
    <m/>
    <x v="1"/>
    <s v="Participatory Scenario Planning"/>
    <x v="0"/>
    <x v="0"/>
    <s v="YES"/>
    <x v="0"/>
    <x v="0"/>
    <x v="0"/>
    <x v="0"/>
    <n v="4"/>
    <x v="0"/>
    <x v="0"/>
    <x v="0"/>
    <x v="0"/>
    <x v="0"/>
    <x v="0"/>
    <n v="0"/>
    <x v="1"/>
    <x v="1"/>
    <x v="1"/>
    <x v="1"/>
    <x v="1"/>
    <n v="3"/>
    <x v="0"/>
    <x v="0"/>
    <n v="1"/>
    <s v="Local alliance(s)/Platform(s)/Network(s) of  NGOs/CSOs"/>
    <m/>
    <m/>
    <x v="0"/>
    <m/>
    <m/>
    <s v="Participatory Scenario Planning"/>
    <s v="Climate Vulnerability Capacity Assesment"/>
    <s v="Community Adaptation Planning"/>
    <m/>
    <m/>
    <m/>
    <m/>
    <m/>
    <n v="3994"/>
    <n v="0"/>
    <n v="0"/>
    <n v="0.65898848272408617"/>
    <s v=""/>
    <n v="2632"/>
    <n v="0"/>
    <s v=""/>
    <n v="0"/>
    <n v="0"/>
    <s v=""/>
    <n v="1"/>
    <n v="4014"/>
    <n v="0"/>
    <n v="0"/>
    <s v=""/>
    <n v="0"/>
    <n v="0"/>
    <s v=""/>
    <s v=""/>
    <n v="0"/>
    <n v="0"/>
    <s v=""/>
    <s v=""/>
    <n v="0"/>
    <n v="0"/>
    <s v=""/>
    <s v="2. Sensitive"/>
    <s v="No marker score"/>
    <s v="2. Sensitive"/>
    <s v="It tested new ways for fighting poverty and measured results of innovation"/>
    <s v="Moderate advocacy"/>
    <s v="It linked and worked with strategic alliances and partners to take tested and effective solutions to scale"/>
  </r>
  <r>
    <x v="37"/>
    <x v="3"/>
    <n v="935"/>
    <s v="Chagua Maisha Project - Supporting the Implementation and Expansion of High Quality HIV Prevention, Care and Treatment Activities at Facility and Community Level in Nyanza Province under the President’s Emergency Plan for AIDS Relief (PEPFAR) Kenya"/>
    <s v="Kenya"/>
    <s v="KE 935"/>
    <s v="CARE USA"/>
    <s v="Government"/>
    <s v="Government - US"/>
    <s v="CDC"/>
    <m/>
    <m/>
    <m/>
    <m/>
    <m/>
    <m/>
    <m/>
    <m/>
    <m/>
    <m/>
    <m/>
    <m/>
    <m/>
    <m/>
    <m/>
    <m/>
    <m/>
    <m/>
    <m/>
    <m/>
    <m/>
    <m/>
    <m/>
    <m/>
    <m/>
    <m/>
    <m/>
    <m/>
    <m/>
    <m/>
    <m/>
    <m/>
    <m/>
    <m/>
    <m/>
    <m/>
    <m/>
    <m/>
    <m/>
    <m/>
    <m/>
    <m/>
    <m/>
    <m/>
    <m/>
    <m/>
    <d v="2016-12-31T00:00:00"/>
    <m/>
    <s v="Humanitarian Sexual, Reproductive and Maternal Health (SRMH)"/>
    <n v="10385867"/>
    <s v="Gundegmaa Jaamaa"/>
    <s v="Grants Manager - CARE USA"/>
    <s v="Gundegmaa.Jaamaa@care.org"/>
    <s v="Emmanuel Wamalwa"/>
    <s v="Health Sector Manager - CARE Kenya"/>
    <s v="wamalwa@care.or.ke"/>
    <s v="NO"/>
    <s v="YES"/>
    <s v="NO"/>
    <s v="The program supports Kisii County to achieve the three following core program objectives: (1) Increase the quality, access and utilization of HIV prevention services at community and facility levels; (2) Increase the quality, access and utilization of HIV care and treatment services at the community and facility levels; and (3) Strengthen the capacity of indigenous institutions and the Kenya Ministry of Health to implement HIV prevention, care and treatment services at community and facility levels."/>
    <s v="Sub-National"/>
    <s v="Kisii County in Western Parts of Kenya"/>
    <s v="People infected with or affected with HIV"/>
    <n v="450000"/>
    <n v="300000"/>
    <n v="750000"/>
    <n v="900000"/>
    <n v="600000"/>
    <n v="1500000"/>
    <s v="Direct Beneficiaries: This number includes pregnant and lactating women who were tested for HIV (among whom  HIV positive pregnant and lactating women were identified and put through the PMTCT program), Adults and children who were Counselled and Tested for HIV; as well as HIV+ clients active on HIV care and treatment. Indirect beneficiaries has been estimated by multiplyign the direct beneficiaries by 2, given that the household size in the area is 6. The assumption here is given the burden of HIV, at least one other person in the household indirectly benefits if one of their household members is reached directly by the program."/>
    <m/>
    <m/>
    <m/>
    <m/>
    <m/>
    <m/>
    <m/>
    <m/>
    <m/>
    <m/>
    <m/>
    <m/>
    <m/>
    <m/>
    <m/>
    <m/>
    <m/>
    <m/>
    <m/>
    <m/>
    <m/>
    <m/>
    <m/>
    <m/>
    <m/>
    <m/>
    <m/>
    <m/>
    <m/>
    <m/>
    <m/>
    <m/>
    <m/>
    <m/>
    <m/>
    <m/>
    <m/>
    <m/>
    <m/>
    <m/>
    <m/>
    <m/>
    <m/>
    <m/>
    <m/>
    <m/>
    <m/>
    <m/>
    <m/>
    <m/>
    <m/>
    <m/>
    <m/>
    <m/>
    <m/>
    <m/>
    <m/>
    <m/>
    <m/>
    <m/>
    <n v="475369"/>
    <n v="297428"/>
    <n v="772797"/>
    <n v="750738"/>
    <n v="594856"/>
    <n v="1345594"/>
    <m/>
    <m/>
    <m/>
    <m/>
    <m/>
    <m/>
    <m/>
    <m/>
    <m/>
    <m/>
    <m/>
    <m/>
    <m/>
    <m/>
    <m/>
    <m/>
    <m/>
    <m/>
    <m/>
    <m/>
    <m/>
    <m/>
    <m/>
    <m/>
    <m/>
    <m/>
    <m/>
    <m/>
    <m/>
    <m/>
    <m/>
    <m/>
    <m/>
    <m/>
    <m/>
    <m/>
    <m/>
    <m/>
    <m/>
    <m/>
    <m/>
    <m/>
    <m/>
    <m/>
    <m/>
    <m/>
    <m/>
    <m/>
    <m/>
    <m/>
    <m/>
    <m/>
    <s v="YES"/>
    <n v="772797"/>
    <n v="0.6"/>
    <n v="1545594"/>
    <m/>
    <m/>
    <m/>
    <m/>
    <m/>
    <m/>
    <m/>
    <m/>
    <m/>
    <m/>
    <m/>
    <m/>
    <m/>
    <s v="NO"/>
    <m/>
    <m/>
    <m/>
    <s v="NO"/>
    <m/>
    <m/>
    <s v="This project has closed. The donor did not approve CARE's request for an evaluation. A human interest stories and case studies were documented. As such, output level indicators are present but not survey level indicator values. The project has closed."/>
    <x v="0"/>
    <s v="NO"/>
    <s v="NO"/>
    <s v="NO"/>
    <s v="YES"/>
    <s v="NO"/>
    <s v="YES"/>
    <s v="NO"/>
    <s v="NO"/>
    <m/>
    <x v="0"/>
    <m/>
    <x v="1"/>
    <s v="The program rolled out PMTCT, HTC and other HIV preventive, care and treatment models in partnership with Government and other agencies"/>
    <x v="1"/>
    <x v="1"/>
    <s v="YES"/>
    <x v="1"/>
    <x v="0"/>
    <x v="1"/>
    <x v="4"/>
    <n v="2"/>
    <x v="1"/>
    <x v="1"/>
    <x v="2"/>
    <x v="1"/>
    <x v="2"/>
    <x v="4"/>
    <n v="2"/>
    <x v="1"/>
    <x v="1"/>
    <x v="2"/>
    <x v="1"/>
    <x v="3"/>
    <n v="2"/>
    <x v="2"/>
    <x v="3"/>
    <n v="10"/>
    <s v="Grassroots organization(s)"/>
    <s v="International NGO(s)"/>
    <s v="Local NGO(s)/CSO(s)"/>
    <x v="1"/>
    <m/>
    <s v="The project was closed during the FY"/>
    <s v="Utilizing roving teams to bridge staffing gaps in low volume rural health facilities - The project came up with interdisciplinary roving teams to support understaffed rural facilities. They regularly visited a nuber of facilities on a routine rotor. This saw improved mentorship adn services in the visited facilties."/>
    <s v="Sub granting to Governemnt agencies for very specific roles - The program managed to sucessfully learn that sub grant to government can built their capacity in both technical and adminsitrative roles, and endure governments take up their roles in provision of social services, like health."/>
    <s v="HIV testing and counselling through out patient clinics - the program learnt to optimize results through this strategy, instead of outreaches alone."/>
    <s v="Utilizing roving teams to bridge staffing gaps in low volume rural health facilities - The project came up with interdisciplinary roving teams to support understaffed rural facilities. They regularly visited a nuber of facilities on a routine rotor. This saw improved mentorship adn services in the visited facilties."/>
    <s v="Sub granting to Governemnt agencies for very specific roles - The program managed to sucessfully learn that sub grant to government can built their capacity in both technical and adminsitrative roles, and endure governments take up their roles in provision of social services, like health."/>
    <s v="HIV testing and counselling through out patient clinics - the program learnt to optimize results through this strategy, instead of outreaches alone."/>
    <s v="A Human Interest Stories and Best Practices booklet has been published off this project"/>
    <m/>
    <n v="772797"/>
    <n v="1345594"/>
    <n v="1.7411998234982797"/>
    <n v="0.61512790551723151"/>
    <n v="0.55792311796871863"/>
    <n v="475369"/>
    <n v="750738"/>
    <s v=""/>
    <n v="0"/>
    <n v="0"/>
    <s v=""/>
    <s v=""/>
    <n v="0"/>
    <n v="0"/>
    <s v=""/>
    <n v="1"/>
    <n v="772797"/>
    <n v="1545594"/>
    <n v="2"/>
    <s v=""/>
    <n v="0"/>
    <n v="0"/>
    <s v=""/>
    <s v=""/>
    <n v="0"/>
    <n v="0"/>
    <s v=""/>
    <s v="3. Responsive"/>
    <s v="1. Tokenistic"/>
    <s v="1. Neutral"/>
    <s v="It did not develop any specific innovation"/>
    <s v="Little or no advocacy"/>
    <s v="It linked and worked with strategic alliances and partners to take tested and effective solutions to scale"/>
  </r>
  <r>
    <x v="37"/>
    <x v="3"/>
    <m/>
    <s v="Emergency Assistance for Somali Refugees Hosted in Dadaab as well as the surrounding host population"/>
    <s v="Kenya"/>
    <s v="KE986"/>
    <s v="CARE Canada"/>
    <s v="Multilateral agency"/>
    <s v="UN - United Nations agencies/offices"/>
    <s v="UNHCR"/>
    <s v="KE991"/>
    <s v="CARE Canada"/>
    <s v="Multilateral agency"/>
    <s v="UN - United Nations agencies/offices"/>
    <s v="UNHCR"/>
    <m/>
    <m/>
    <m/>
    <m/>
    <m/>
    <m/>
    <m/>
    <m/>
    <m/>
    <m/>
    <m/>
    <m/>
    <m/>
    <m/>
    <m/>
    <m/>
    <m/>
    <m/>
    <m/>
    <m/>
    <m/>
    <m/>
    <m/>
    <m/>
    <m/>
    <m/>
    <m/>
    <m/>
    <m/>
    <m/>
    <m/>
    <m/>
    <m/>
    <m/>
    <m/>
    <m/>
    <m/>
    <m/>
    <m/>
    <m/>
    <d v="2017-01-01T00:00:00"/>
    <d v="2017-12-31T00:00:00"/>
    <m/>
    <s v="Humanitarian Other"/>
    <n v="2684310"/>
    <m/>
    <m/>
    <m/>
    <s v="Nixon Otieno"/>
    <s v="nixon@ddb.care.or.ke"/>
    <n v="733637294"/>
    <s v="YES"/>
    <s v="NO"/>
    <s v="NO"/>
    <s v="Protection and mixed solutions to all refugees in Dadaab."/>
    <s v="Sub-National"/>
    <s v="Dadaab refugee camps, Garissa county  - Kenya"/>
    <s v="All refugees in Dagahaley, Ifo  and Ifo 2 camps."/>
    <n v="80235"/>
    <n v="78076"/>
    <n v="158311"/>
    <m/>
    <m/>
    <m/>
    <s v="Direct population are all the participants residing in Ifo,Ifo 2 and Dagahaley Camp. Project KE986 covers all the beneficiaries we serve in the three camps that we work in  Dadaab refugee camp( Ifo ,Ifo 2 and Dagahaley). Serves as &quot;umbrella&quot; project for the following:_x000a_1. KE 967 WFP (Rap)_x000a_2. KE 973 UNHCR (Rap)_x000a_3. KE 975 WFP (Rap)_x000a_4. KE 978 What Works(Rap)_x000a_5. KE 979 ECHO(Rap)_x000a_6. KE 982 RTL (Rap)_x000a_7. KE 986 UNHCR (Rap)_x000a_8. KE 987 WFP (Rap)_x000a_9. KE 988 ECHO (Rap)"/>
    <m/>
    <n v="80235"/>
    <n v="78076"/>
    <n v="158311"/>
    <m/>
    <m/>
    <m/>
    <s v="NO"/>
    <m/>
    <m/>
    <m/>
    <s v="NO"/>
    <m/>
    <m/>
    <m/>
    <s v="YES"/>
    <n v="11451"/>
    <n v="0.44500000000000001"/>
    <n v="57635"/>
    <s v="YES"/>
    <m/>
    <m/>
    <m/>
    <s v="YES"/>
    <m/>
    <m/>
    <m/>
    <s v="NO"/>
    <m/>
    <m/>
    <m/>
    <s v="NO"/>
    <m/>
    <m/>
    <m/>
    <s v="Yes"/>
    <n v="200"/>
    <n v="0.57999999999999996"/>
    <n v="68886"/>
    <s v="YES"/>
    <n v="373"/>
    <n v="0.6"/>
    <n v="68713"/>
    <s v="NO"/>
    <m/>
    <m/>
    <m/>
    <s v="NO"/>
    <m/>
    <m/>
    <m/>
    <s v="YES"/>
    <n v="133734"/>
    <n v="0.50960000000000005"/>
    <m/>
    <s v="Provision of 250grams of soap per person, during food distribution conducted by CARE."/>
    <s v="YES"/>
    <n v="158311"/>
    <n v="0.51"/>
    <m/>
    <m/>
    <m/>
    <m/>
    <m/>
    <m/>
    <m/>
    <m/>
    <m/>
    <m/>
    <m/>
    <m/>
    <m/>
    <m/>
    <m/>
    <m/>
    <m/>
    <m/>
    <m/>
    <m/>
    <m/>
    <m/>
    <m/>
    <m/>
    <m/>
    <m/>
    <m/>
    <m/>
    <m/>
    <m/>
    <m/>
    <m/>
    <m/>
    <m/>
    <m/>
    <m/>
    <m/>
    <m/>
    <m/>
    <m/>
    <m/>
    <m/>
    <m/>
    <m/>
    <m/>
    <m/>
    <m/>
    <m/>
    <m/>
    <m/>
    <m/>
    <m/>
    <m/>
    <m/>
    <m/>
    <m/>
    <m/>
    <m/>
    <m/>
    <m/>
    <m/>
    <m/>
    <m/>
    <m/>
    <m/>
    <m/>
    <m/>
    <m/>
    <m/>
    <m/>
    <m/>
    <m/>
    <m/>
    <m/>
    <m/>
    <m/>
    <s v="NO"/>
    <m/>
    <m/>
    <s v="NO"/>
    <s v="NO"/>
    <m/>
    <m/>
    <m/>
    <x v="0"/>
    <s v="NO"/>
    <s v="YES"/>
    <s v="YES"/>
    <s v="YES"/>
    <s v="NO"/>
    <s v="NO"/>
    <s v="NO"/>
    <m/>
    <m/>
    <x v="0"/>
    <m/>
    <x v="0"/>
    <m/>
    <x v="1"/>
    <x v="0"/>
    <s v="YES"/>
    <x v="0"/>
    <x v="0"/>
    <x v="0"/>
    <x v="0"/>
    <n v="4"/>
    <x v="1"/>
    <x v="1"/>
    <x v="1"/>
    <x v="1"/>
    <x v="1"/>
    <x v="1"/>
    <n v="4"/>
    <x v="1"/>
    <x v="1"/>
    <x v="1"/>
    <x v="1"/>
    <x v="1"/>
    <n v="3"/>
    <x v="2"/>
    <x v="1"/>
    <m/>
    <m/>
    <m/>
    <m/>
    <x v="1"/>
    <m/>
    <m/>
    <m/>
    <m/>
    <m/>
    <m/>
    <m/>
    <m/>
    <s v="Project KE986 covers all the beneficiaries we serve in the three camps that we work in  Dadaab refugee camp( Ifo ,Ifo 2 and Dagahaley). Serves as &quot;umbrella&quot; project for the following:_x000a_1. KE 967 WFP (Rap)_x000a_2. KE 973 UNHCR (Rap)_x000a_3. KE 975 WFP (Rap)_x000a_4. KE 978 What Works(Rap)_x000a_5. KE 979 ECHO(Rap)_x000a_6. KE 982 RTL (Rap)_x000a_7. KE 986 UNHCR (Rap)_x000a_8. KE 987 WFP (Rap)_x000a_9. KE 988 ECHO (Rap)"/>
    <s v="Proposal , sitrep reports and mid year report."/>
    <n v="158311"/>
    <n v="0"/>
    <n v="0"/>
    <n v="0.50681885655450343"/>
    <s v=""/>
    <n v="80235"/>
    <n v="0"/>
    <n v="1"/>
    <n v="158311"/>
    <n v="0"/>
    <n v="0"/>
    <n v="1"/>
    <n v="200"/>
    <n v="68886"/>
    <n v="344.43"/>
    <s v=""/>
    <n v="0"/>
    <n v="0"/>
    <s v=""/>
    <n v="1"/>
    <n v="0"/>
    <n v="0"/>
    <s v=""/>
    <s v=""/>
    <n v="0"/>
    <n v="0"/>
    <s v=""/>
    <s v="2. Sensitive"/>
    <s v="2. Accommodating"/>
    <s v="2. Sensitive"/>
    <s v="It did not develop any specific innovation"/>
    <s v="Little or no advocacy"/>
    <s v="It did not take tested solutions to scale"/>
  </r>
  <r>
    <x v="37"/>
    <x v="3"/>
    <m/>
    <s v="FSD Graduation Project"/>
    <s v="Kenya"/>
    <s v="KE964"/>
    <s v="CARE Canada"/>
    <s v="Foundation"/>
    <s v="Other"/>
    <s v="Financial Sector Deepening Trust"/>
    <m/>
    <m/>
    <m/>
    <m/>
    <m/>
    <m/>
    <m/>
    <m/>
    <m/>
    <m/>
    <m/>
    <m/>
    <m/>
    <m/>
    <m/>
    <m/>
    <m/>
    <m/>
    <m/>
    <m/>
    <m/>
    <m/>
    <m/>
    <m/>
    <m/>
    <m/>
    <m/>
    <m/>
    <m/>
    <m/>
    <m/>
    <m/>
    <m/>
    <m/>
    <m/>
    <m/>
    <m/>
    <m/>
    <m/>
    <m/>
    <m/>
    <m/>
    <m/>
    <m/>
    <m/>
    <d v="2015-08-01T00:00:00"/>
    <d v="2018-07-31T00:00:00"/>
    <m/>
    <s v="Development Access to and Control over Economic Resources"/>
    <n v="530575"/>
    <s v="Phyllis Kariuki"/>
    <s v="Sector Manager"/>
    <s v="pkariuki@care.or.ke"/>
    <s v="Molu Wato"/>
    <s v="Project Manager"/>
    <s v="molu.wato@care.or.ke"/>
    <s v="NO"/>
    <s v="YES"/>
    <s v="NO"/>
    <s v="To test market based approaches to building the livelihoods of the very poor households to attain sustainable livelihoods threshold"/>
    <s v="Sub-National"/>
    <s v="Laisamis Sub County of Marsabit County, Kenya"/>
    <s v="The very poor households benefitting from the Hungers Safety Net Programme(HSNP)"/>
    <n v="1104"/>
    <n v="96"/>
    <n v="1200"/>
    <n v="3744"/>
    <n v="3456"/>
    <n v="7200"/>
    <s v="The direct beneficaries are the those individuals enlisted as project particpants while indirect beneficaries are inclysive of their family members, calculated at an average of six members per household(taken as the average in the area)."/>
    <m/>
    <m/>
    <m/>
    <m/>
    <m/>
    <m/>
    <m/>
    <m/>
    <m/>
    <m/>
    <m/>
    <m/>
    <m/>
    <m/>
    <m/>
    <m/>
    <m/>
    <m/>
    <m/>
    <m/>
    <m/>
    <m/>
    <m/>
    <m/>
    <m/>
    <m/>
    <m/>
    <m/>
    <m/>
    <m/>
    <m/>
    <m/>
    <m/>
    <m/>
    <m/>
    <m/>
    <m/>
    <m/>
    <m/>
    <m/>
    <m/>
    <m/>
    <m/>
    <m/>
    <m/>
    <m/>
    <m/>
    <m/>
    <m/>
    <m/>
    <m/>
    <m/>
    <m/>
    <m/>
    <m/>
    <m/>
    <m/>
    <m/>
    <m/>
    <m/>
    <n v="1104"/>
    <n v="96"/>
    <n v="1200"/>
    <n v="3744"/>
    <n v="3456"/>
    <n v="7200"/>
    <m/>
    <m/>
    <m/>
    <m/>
    <m/>
    <m/>
    <m/>
    <m/>
    <m/>
    <m/>
    <m/>
    <m/>
    <m/>
    <m/>
    <m/>
    <m/>
    <s v="YES"/>
    <n v="1133"/>
    <n v="0.94"/>
    <n v="6798"/>
    <m/>
    <m/>
    <m/>
    <m/>
    <m/>
    <m/>
    <m/>
    <m/>
    <m/>
    <m/>
    <m/>
    <m/>
    <m/>
    <m/>
    <m/>
    <m/>
    <m/>
    <m/>
    <m/>
    <m/>
    <m/>
    <m/>
    <m/>
    <m/>
    <m/>
    <m/>
    <m/>
    <m/>
    <m/>
    <m/>
    <m/>
    <m/>
    <m/>
    <m/>
    <m/>
    <m/>
    <m/>
    <m/>
    <m/>
    <m/>
    <s v="YES"/>
    <n v="1133"/>
    <n v="0.94"/>
    <n v="6798"/>
    <m/>
    <m/>
    <m/>
    <m/>
    <m/>
    <s v="NO"/>
    <m/>
    <m/>
    <s v="NO"/>
    <s v="NO"/>
    <m/>
    <m/>
    <m/>
    <x v="0"/>
    <m/>
    <m/>
    <m/>
    <m/>
    <m/>
    <m/>
    <m/>
    <m/>
    <m/>
    <x v="1"/>
    <s v="Testing Market approach to poverty graduation-Modifying BRAC Ultra poor graduation model"/>
    <x v="1"/>
    <s v="The project is working with Equity Bank, County Government and FSD Trust to undertake the test"/>
    <x v="0"/>
    <x v="0"/>
    <s v="YES"/>
    <x v="0"/>
    <x v="0"/>
    <x v="0"/>
    <x v="0"/>
    <n v="4"/>
    <x v="1"/>
    <x v="1"/>
    <x v="1"/>
    <x v="1"/>
    <x v="1"/>
    <x v="1"/>
    <n v="4"/>
    <x v="1"/>
    <x v="1"/>
    <x v="1"/>
    <x v="1"/>
    <x v="1"/>
    <n v="3"/>
    <x v="0"/>
    <x v="1"/>
    <n v="4"/>
    <s v="Local government(s)"/>
    <s v="Other"/>
    <s v="Other"/>
    <x v="1"/>
    <m/>
    <m/>
    <s v="VSLA model is used as a plat form"/>
    <s v="Community Based Facilitators"/>
    <s v="Community Workplanning"/>
    <s v="For projects in disaster prone areas, there is need to incorporate risk/crisis modifier in the project designs"/>
    <s v="Illiteracy highly affect empowerment programmes, it is very critical to incorparte adult literacy in the design of empowerment programming for meaningful impact"/>
    <s v="Motivayion of both the community facilitators(implementors) and the project particpant plays a huge role in success or failure for empowerment projects"/>
    <m/>
    <m/>
    <n v="1200"/>
    <n v="7200"/>
    <n v="6"/>
    <n v="0.92"/>
    <n v="0.52"/>
    <n v="1104"/>
    <n v="3744"/>
    <s v=""/>
    <n v="0"/>
    <n v="0"/>
    <s v=""/>
    <n v="1"/>
    <n v="1133"/>
    <n v="6798"/>
    <n v="6"/>
    <s v=""/>
    <n v="0"/>
    <n v="0"/>
    <s v=""/>
    <s v=""/>
    <n v="0"/>
    <n v="0"/>
    <s v=""/>
    <n v="1"/>
    <n v="1133"/>
    <n v="6798"/>
    <n v="6"/>
    <s v="2. Sensitive"/>
    <s v="2. Accommodating"/>
    <s v="2. Sensitive"/>
    <s v="It tested new ways for fighting poverty, but did not measure results of innovation"/>
    <s v="Little or no advocacy"/>
    <s v="It linked and worked with strategic alliances and partners to take tested and effective solutions to scale"/>
  </r>
  <r>
    <x v="37"/>
    <x v="3"/>
    <m/>
    <s v="General food distirbution in Ifo,Ifo 2 and Dagahaley camps."/>
    <s v="Kenya"/>
    <s v="KE987"/>
    <s v="CARE Canada"/>
    <s v="Multilateral agency"/>
    <s v="UN - United Nations agencies/offices"/>
    <s v="World Food Programme (WFP)"/>
    <m/>
    <m/>
    <m/>
    <m/>
    <m/>
    <m/>
    <m/>
    <m/>
    <m/>
    <m/>
    <m/>
    <m/>
    <m/>
    <m/>
    <m/>
    <m/>
    <m/>
    <m/>
    <m/>
    <m/>
    <m/>
    <m/>
    <m/>
    <m/>
    <m/>
    <m/>
    <m/>
    <m/>
    <m/>
    <m/>
    <m/>
    <m/>
    <m/>
    <m/>
    <m/>
    <m/>
    <m/>
    <m/>
    <m/>
    <m/>
    <m/>
    <m/>
    <m/>
    <m/>
    <m/>
    <d v="2017-04-01T00:00:00"/>
    <d v="2018-06-30T00:00:00"/>
    <m/>
    <s v="Humanitarian Food &amp; Nutrition Security and Resilience to Climate Change"/>
    <n v="1134557"/>
    <s v="Bishar Salat"/>
    <s v="Logsitics and Support Manger"/>
    <s v="bishar@ddb.care.or.ke"/>
    <m/>
    <m/>
    <m/>
    <s v="YES"/>
    <s v="NO"/>
    <s v="NO"/>
    <s v="General food disitribution to all refugees  in Dagahaley, Ifo and Ifo 2 camps."/>
    <s v="Sub-National"/>
    <s v="Dadaab Camps, Garrisa County,Kenya"/>
    <s v="All refugees in Ifo,Ifo2 and Dagahaley Camps."/>
    <n v="80235"/>
    <n v="78076"/>
    <n v="158311"/>
    <m/>
    <m/>
    <m/>
    <s v="Direct participants -All the refugees residing in Ifo,Ifo 2 and Dagahaley who benefit from the general food distribution. Project KE986 covers all the beneficiaries we serve in the three camps that we work in  Dadaab refugee camp( Ifo ,Ifo 2 and Dagahaley). This project reports zero total participants as it fully overlaps with KE986. In any case, specific data for this project alone in this FY would other ways include:_x000a_Direct: 80,235  women&amp;girls 70,076 men&amp;boys =   158,311  Total"/>
    <m/>
    <m/>
    <m/>
    <m/>
    <m/>
    <m/>
    <m/>
    <m/>
    <m/>
    <m/>
    <m/>
    <m/>
    <m/>
    <m/>
    <m/>
    <m/>
    <m/>
    <m/>
    <m/>
    <s v="YES"/>
    <m/>
    <m/>
    <m/>
    <m/>
    <m/>
    <m/>
    <m/>
    <m/>
    <m/>
    <m/>
    <m/>
    <m/>
    <m/>
    <m/>
    <m/>
    <m/>
    <m/>
    <m/>
    <m/>
    <m/>
    <m/>
    <m/>
    <m/>
    <m/>
    <m/>
    <m/>
    <m/>
    <m/>
    <m/>
    <m/>
    <m/>
    <m/>
    <m/>
    <m/>
    <m/>
    <m/>
    <m/>
    <m/>
    <m/>
    <m/>
    <m/>
    <m/>
    <m/>
    <m/>
    <m/>
    <m/>
    <m/>
    <m/>
    <m/>
    <m/>
    <m/>
    <m/>
    <m/>
    <m/>
    <m/>
    <m/>
    <m/>
    <m/>
    <m/>
    <m/>
    <m/>
    <m/>
    <m/>
    <m/>
    <m/>
    <m/>
    <m/>
    <m/>
    <m/>
    <m/>
    <m/>
    <m/>
    <m/>
    <m/>
    <m/>
    <m/>
    <m/>
    <m/>
    <m/>
    <m/>
    <m/>
    <m/>
    <m/>
    <m/>
    <m/>
    <m/>
    <m/>
    <m/>
    <m/>
    <m/>
    <m/>
    <m/>
    <m/>
    <m/>
    <m/>
    <m/>
    <m/>
    <m/>
    <m/>
    <m/>
    <m/>
    <m/>
    <m/>
    <m/>
    <m/>
    <m/>
    <m/>
    <m/>
    <m/>
    <m/>
    <m/>
    <m/>
    <m/>
    <m/>
    <m/>
    <s v="NO"/>
    <m/>
    <m/>
    <s v="NO"/>
    <s v="NO"/>
    <m/>
    <m/>
    <m/>
    <x v="0"/>
    <s v="NO"/>
    <s v="NO"/>
    <s v="NO"/>
    <s v="YES"/>
    <s v="NO"/>
    <s v="NO"/>
    <s v="NO"/>
    <m/>
    <m/>
    <x v="0"/>
    <m/>
    <x v="0"/>
    <m/>
    <x v="1"/>
    <x v="0"/>
    <s v="YES"/>
    <x v="0"/>
    <x v="0"/>
    <x v="0"/>
    <x v="0"/>
    <n v="4"/>
    <x v="1"/>
    <x v="1"/>
    <x v="1"/>
    <x v="1"/>
    <x v="1"/>
    <x v="1"/>
    <n v="4"/>
    <x v="1"/>
    <x v="1"/>
    <x v="2"/>
    <x v="1"/>
    <x v="3"/>
    <n v="2"/>
    <x v="2"/>
    <x v="1"/>
    <m/>
    <m/>
    <m/>
    <m/>
    <x v="1"/>
    <m/>
    <m/>
    <m/>
    <m/>
    <m/>
    <m/>
    <m/>
    <m/>
    <s v="Project KE986 covers all the beneficiaries we serve in the three camps that we work in  Dadaab refugee camp( Ifo ,Ifo 2 and Dagahaley). This project reports zero total participants as it fully overlaps with KE986. In any case, specific data for this project alone in this FY would other ways include:_x000a_Direct: 80,235  women&amp;girls 70,076 men&amp;boys =   158,311  Total"/>
    <s v="Progress reports , feeding manifests."/>
    <n v="0"/>
    <n v="0"/>
    <s v=""/>
    <s v=""/>
    <s v=""/>
    <n v="0"/>
    <n v="0"/>
    <n v="1"/>
    <n v="0"/>
    <n v="0"/>
    <s v=""/>
    <n v="1"/>
    <n v="0"/>
    <n v="0"/>
    <s v=""/>
    <s v=""/>
    <n v="0"/>
    <n v="0"/>
    <s v=""/>
    <s v=""/>
    <n v="0"/>
    <n v="0"/>
    <s v=""/>
    <s v=""/>
    <n v="0"/>
    <n v="0"/>
    <s v=""/>
    <s v="2. Sensitive"/>
    <s v="2. Accommodating"/>
    <s v="1. Neutral"/>
    <s v="It did not develop any specific innovation"/>
    <s v="Little or no advocacy"/>
    <s v="It did not take tested solutions to scale"/>
  </r>
  <r>
    <x v="37"/>
    <x v="3"/>
    <m/>
    <s v="General Food Distribution"/>
    <s v="Kenya"/>
    <s v="KE975"/>
    <s v="CARE Canada"/>
    <s v="Multilateral agency"/>
    <s v="UN - United Nations agencies/offices"/>
    <s v="World Food Programme (WFP)"/>
    <m/>
    <m/>
    <m/>
    <m/>
    <m/>
    <m/>
    <m/>
    <m/>
    <m/>
    <m/>
    <m/>
    <m/>
    <m/>
    <m/>
    <m/>
    <m/>
    <m/>
    <m/>
    <m/>
    <m/>
    <m/>
    <m/>
    <m/>
    <m/>
    <m/>
    <m/>
    <m/>
    <m/>
    <m/>
    <m/>
    <m/>
    <m/>
    <m/>
    <m/>
    <m/>
    <m/>
    <m/>
    <m/>
    <m/>
    <m/>
    <m/>
    <m/>
    <m/>
    <m/>
    <m/>
    <d v="2016-04-01T00:00:00"/>
    <d v="2017-03-31T00:00:00"/>
    <m/>
    <s v="Humanitarian Food &amp; Nutrition Security and Resilience to Climate Change"/>
    <n v="1077211"/>
    <s v="Bishar Salat"/>
    <s v="Program Support and Logistics Manger"/>
    <s v="bishar@ddb.care.or.ke"/>
    <m/>
    <m/>
    <m/>
    <s v="YES"/>
    <s v="NO"/>
    <s v="NO"/>
    <s v="General food disitribution to all persons of concern in Dagahaley, Ifo and Ifo 2 camps."/>
    <s v="Sub-National"/>
    <s v="Dadaab Camps, Garrisa County,Kenya"/>
    <s v="All refugees in Ifo,Ifo2 and Dagahaley Camps."/>
    <n v="82885"/>
    <n v="80851"/>
    <n v="163736"/>
    <m/>
    <m/>
    <m/>
    <s v="Direct participants -All the refugees residing in Ifo,Ifo 2 and Dagahaley who benefit from the general food distribution. Project KE986 covers all the beneficiaries we serve in the three camps that we work in  Dadaab refugee camp( Ifo ,Ifo 2 and Dagahaley). This project reports zero total participants as it fully overlaps with KE986. In any case, specific data for this project alone in this FY would other ways include:_x000a_Direct: 82,885  women&amp;girls  80,851 men&amp;boys =   163,736  Total"/>
    <m/>
    <m/>
    <m/>
    <m/>
    <m/>
    <m/>
    <m/>
    <m/>
    <m/>
    <m/>
    <m/>
    <m/>
    <m/>
    <m/>
    <m/>
    <m/>
    <m/>
    <m/>
    <m/>
    <s v="YES"/>
    <n v="163736"/>
    <n v="0.51"/>
    <m/>
    <m/>
    <m/>
    <m/>
    <m/>
    <m/>
    <m/>
    <m/>
    <m/>
    <m/>
    <m/>
    <m/>
    <m/>
    <m/>
    <m/>
    <m/>
    <m/>
    <m/>
    <m/>
    <m/>
    <m/>
    <m/>
    <m/>
    <m/>
    <m/>
    <m/>
    <m/>
    <m/>
    <m/>
    <m/>
    <m/>
    <m/>
    <m/>
    <m/>
    <m/>
    <m/>
    <m/>
    <m/>
    <m/>
    <m/>
    <m/>
    <m/>
    <m/>
    <m/>
    <m/>
    <m/>
    <m/>
    <m/>
    <m/>
    <m/>
    <m/>
    <m/>
    <m/>
    <m/>
    <m/>
    <m/>
    <m/>
    <m/>
    <m/>
    <m/>
    <m/>
    <m/>
    <m/>
    <m/>
    <m/>
    <m/>
    <m/>
    <m/>
    <m/>
    <m/>
    <m/>
    <m/>
    <m/>
    <m/>
    <m/>
    <m/>
    <m/>
    <m/>
    <m/>
    <m/>
    <m/>
    <m/>
    <m/>
    <m/>
    <m/>
    <m/>
    <m/>
    <m/>
    <m/>
    <m/>
    <m/>
    <m/>
    <m/>
    <m/>
    <m/>
    <m/>
    <m/>
    <m/>
    <m/>
    <m/>
    <m/>
    <m/>
    <m/>
    <m/>
    <m/>
    <m/>
    <m/>
    <m/>
    <m/>
    <m/>
    <m/>
    <m/>
    <m/>
    <s v="NO"/>
    <m/>
    <m/>
    <s v="NO"/>
    <s v="NO"/>
    <m/>
    <m/>
    <m/>
    <x v="0"/>
    <s v="NO"/>
    <s v="NO"/>
    <s v="NO"/>
    <s v="YES"/>
    <s v="NO"/>
    <s v="NO"/>
    <s v="NO"/>
    <m/>
    <m/>
    <x v="0"/>
    <m/>
    <x v="0"/>
    <m/>
    <x v="1"/>
    <x v="0"/>
    <s v="YES"/>
    <x v="0"/>
    <x v="0"/>
    <x v="0"/>
    <x v="0"/>
    <n v="4"/>
    <x v="1"/>
    <x v="1"/>
    <x v="2"/>
    <x v="1"/>
    <x v="1"/>
    <x v="1"/>
    <n v="3"/>
    <x v="1"/>
    <x v="1"/>
    <x v="2"/>
    <x v="2"/>
    <x v="3"/>
    <n v="1"/>
    <x v="2"/>
    <x v="1"/>
    <m/>
    <m/>
    <m/>
    <m/>
    <x v="1"/>
    <m/>
    <m/>
    <s v="Engaging women to collect food on behalf of the familly ensured food reached the family and this improved the nutritional status of the family."/>
    <s v="General food distribution has improved the nutritional status of refugees in Ifo,Ifo2 annd Dagahaley camp and  is evident by the reduced motarlity rate due to malnutrition."/>
    <m/>
    <s v="Women are key stakeholders in the succesfull implementation of general food dsitribution program.Food in the hand of women reaches the household than collected by men."/>
    <s v="Refugees in Dadaaab camp highly depend on the food ration provided by donors and during food ration cut in the month of November 2016 to February 2017 they were seriously affected."/>
    <m/>
    <s v="Project KE986 covers all the beneficiaries we serve in the three camps that we work in  Dadaab refugee camp( Ifo ,Ifo 2 and Dagahaley). This project reports zero total participants as it fully overlaps with KE986. In any case, specific data for this project alone in this FY would other ways include:_x000a_Direct: 82,885  women&amp;girls  80,851 men&amp;boys =   163,736  Total"/>
    <s v="General food distribution reports and the feeding manifests."/>
    <n v="0"/>
    <n v="0"/>
    <s v=""/>
    <s v=""/>
    <s v=""/>
    <n v="0"/>
    <n v="0"/>
    <n v="1"/>
    <n v="0"/>
    <n v="0"/>
    <s v=""/>
    <n v="1"/>
    <n v="163736"/>
    <n v="0"/>
    <n v="0"/>
    <s v=""/>
    <n v="0"/>
    <n v="0"/>
    <s v=""/>
    <s v=""/>
    <n v="0"/>
    <n v="0"/>
    <s v=""/>
    <s v=""/>
    <n v="0"/>
    <n v="0"/>
    <s v=""/>
    <s v="2. Sensitive"/>
    <s v="2. Accommodating"/>
    <s v="1. Neutral"/>
    <s v="It did not develop any specific innovation"/>
    <s v="Little or no advocacy"/>
    <s v="It did not take tested solutions to scale"/>
  </r>
  <r>
    <x v="37"/>
    <x v="3"/>
    <m/>
    <s v="GIRLS SCHOLARSHIP PROJECT"/>
    <s v="Kenya"/>
    <m/>
    <s v="CARE USA"/>
    <s v="Foundation"/>
    <s v="Other"/>
    <s v="Venus Williams And Aqualia Foundation"/>
    <m/>
    <m/>
    <m/>
    <m/>
    <m/>
    <m/>
    <m/>
    <m/>
    <m/>
    <m/>
    <m/>
    <m/>
    <m/>
    <m/>
    <m/>
    <m/>
    <m/>
    <m/>
    <m/>
    <m/>
    <m/>
    <m/>
    <m/>
    <m/>
    <m/>
    <m/>
    <m/>
    <m/>
    <m/>
    <m/>
    <m/>
    <m/>
    <m/>
    <m/>
    <m/>
    <m/>
    <m/>
    <m/>
    <m/>
    <m/>
    <m/>
    <m/>
    <m/>
    <m/>
    <m/>
    <d v="2014-06-30T00:00:00"/>
    <d v="2018-12-31T00:00:00"/>
    <m/>
    <s v="Development Other"/>
    <n v="29486"/>
    <s v="EMMANUEL WAMALWA"/>
    <s v="HEALTH SECTOR MANAGER"/>
    <s v="wamalwa@care.or.ke"/>
    <s v="PAMELA AGUM"/>
    <s v="ADOLESCENT SEXUAL AND REPRODUCTIVE OFFICER"/>
    <s v="agum@care.or.ke"/>
    <s v="NO"/>
    <s v="YES"/>
    <s v="NO"/>
    <s v="To empower girls through secondary  education"/>
    <s v="Sub-National"/>
    <s v="KIBERA INFORMAL SETTLEMENT IN NAIROBI COUNTY"/>
    <s v="Girls in need of financial assistance to complete their education"/>
    <n v="4"/>
    <n v="0"/>
    <n v="4"/>
    <n v="13"/>
    <n v="12"/>
    <n v="25"/>
    <s v="DIRECT PARTICIPANTS: NEEDY GIRLS FROM THE KIBERA INFORMAL SETTLEMENTS IN NEED OF FINANCIAL ASSISTANCE TO COMPLETE THEIR EDUCATION._x000a__x000a_INDIRECT PARTICIPANTS: PARENTS, SIBLINGS AND RELATIVES OF THE NEEDY GIRLS."/>
    <m/>
    <m/>
    <m/>
    <m/>
    <m/>
    <m/>
    <m/>
    <m/>
    <m/>
    <m/>
    <m/>
    <m/>
    <m/>
    <m/>
    <m/>
    <m/>
    <m/>
    <m/>
    <m/>
    <m/>
    <m/>
    <m/>
    <m/>
    <m/>
    <m/>
    <m/>
    <m/>
    <m/>
    <m/>
    <m/>
    <m/>
    <m/>
    <m/>
    <m/>
    <m/>
    <m/>
    <m/>
    <m/>
    <m/>
    <m/>
    <m/>
    <m/>
    <m/>
    <m/>
    <m/>
    <m/>
    <m/>
    <m/>
    <m/>
    <m/>
    <m/>
    <m/>
    <m/>
    <m/>
    <m/>
    <m/>
    <m/>
    <m/>
    <m/>
    <m/>
    <n v="4"/>
    <n v="0"/>
    <n v="4"/>
    <n v="13"/>
    <n v="12"/>
    <n v="25"/>
    <m/>
    <m/>
    <m/>
    <m/>
    <m/>
    <m/>
    <m/>
    <m/>
    <m/>
    <m/>
    <m/>
    <m/>
    <m/>
    <m/>
    <m/>
    <m/>
    <m/>
    <m/>
    <m/>
    <m/>
    <s v="YES"/>
    <n v="4"/>
    <n v="1"/>
    <n v="25"/>
    <m/>
    <m/>
    <m/>
    <m/>
    <m/>
    <m/>
    <m/>
    <m/>
    <m/>
    <m/>
    <m/>
    <m/>
    <m/>
    <m/>
    <m/>
    <m/>
    <m/>
    <m/>
    <m/>
    <m/>
    <m/>
    <m/>
    <m/>
    <m/>
    <m/>
    <m/>
    <m/>
    <m/>
    <s v="YES"/>
    <n v="4"/>
    <n v="1"/>
    <n v="25"/>
    <m/>
    <m/>
    <m/>
    <m/>
    <m/>
    <m/>
    <m/>
    <m/>
    <m/>
    <m/>
    <m/>
    <m/>
    <m/>
    <s v="NO"/>
    <m/>
    <m/>
    <m/>
    <s v="NO"/>
    <m/>
    <m/>
    <m/>
    <x v="0"/>
    <s v="NO"/>
    <s v="NO"/>
    <m/>
    <s v="NO"/>
    <s v="NO"/>
    <m/>
    <s v="NO"/>
    <m/>
    <m/>
    <x v="0"/>
    <m/>
    <x v="0"/>
    <m/>
    <x v="0"/>
    <x v="0"/>
    <s v="YES"/>
    <x v="0"/>
    <x v="0"/>
    <x v="0"/>
    <x v="0"/>
    <n v="4"/>
    <x v="1"/>
    <x v="1"/>
    <x v="2"/>
    <x v="1"/>
    <x v="1"/>
    <x v="1"/>
    <n v="3"/>
    <x v="1"/>
    <x v="2"/>
    <x v="1"/>
    <x v="2"/>
    <x v="3"/>
    <n v="1"/>
    <x v="2"/>
    <x v="0"/>
    <n v="4"/>
    <s v="Other"/>
    <m/>
    <m/>
    <x v="1"/>
    <m/>
    <m/>
    <s v="Provision of mentorship and education couselling with the girls and their parents/guardians helps the girls address their personal and educational issues."/>
    <s v="Provision of supplementary school support such as transport to and from school, purchase of personal items (hygiene items) for girls while in school"/>
    <s v="Follow up with teachers on girls academic performance."/>
    <s v="mentorship sessions with the girls and parents/guardians held during the school holidays enables the girls discuss challenges they face and share lesssons with the others."/>
    <m/>
    <m/>
    <m/>
    <m/>
    <n v="4"/>
    <n v="25"/>
    <n v="6.25"/>
    <n v="1"/>
    <n v="0.52"/>
    <n v="4"/>
    <n v="13"/>
    <s v=""/>
    <n v="0"/>
    <n v="0"/>
    <s v=""/>
    <s v=""/>
    <n v="0"/>
    <n v="0"/>
    <s v=""/>
    <n v="1"/>
    <n v="4"/>
    <n v="25"/>
    <n v="6.25"/>
    <s v=""/>
    <n v="0"/>
    <n v="0"/>
    <s v=""/>
    <s v=""/>
    <n v="0"/>
    <n v="0"/>
    <s v=""/>
    <s v="2. Sensitive"/>
    <s v="2. Accommodating"/>
    <s v="1. Neutral"/>
    <s v="It did not develop any specific innovation"/>
    <s v="Little or no advocacy"/>
    <s v="It did not take tested solutions to scale"/>
  </r>
  <r>
    <x v="37"/>
    <x v="3"/>
    <n v="961"/>
    <s v="Improving maternal and child health 'UZAZI WEMA' Project."/>
    <s v="Kenya"/>
    <s v="KE961"/>
    <s v="CARE Deutschland-Luxemburg"/>
    <s v="Foundation"/>
    <s v="Other"/>
    <s v="Paul Hartmanns Foundation"/>
    <m/>
    <m/>
    <m/>
    <m/>
    <m/>
    <m/>
    <m/>
    <m/>
    <m/>
    <m/>
    <m/>
    <m/>
    <m/>
    <m/>
    <m/>
    <m/>
    <m/>
    <m/>
    <m/>
    <m/>
    <m/>
    <m/>
    <m/>
    <m/>
    <m/>
    <m/>
    <m/>
    <m/>
    <m/>
    <m/>
    <m/>
    <m/>
    <m/>
    <m/>
    <m/>
    <m/>
    <m/>
    <m/>
    <m/>
    <m/>
    <m/>
    <m/>
    <m/>
    <m/>
    <m/>
    <d v="2015-06-01T00:00:00"/>
    <d v="2018-06-01T00:00:00"/>
    <m/>
    <s v="Humanitarian Sexual, Reproductive and Maternal Health (SRMH)"/>
    <n v="300"/>
    <s v="Emmanuel wamalwa sector manager,Ferdinand Moseh project manager"/>
    <m/>
    <m/>
    <m/>
    <m/>
    <m/>
    <s v="YES"/>
    <s v="YES"/>
    <s v="YES"/>
    <s v="Improved maternal and child health among the rural poor populations of Kisumu County."/>
    <s v="Sub-National"/>
    <s v="Kenya ;Kisumu County; Gita and Nyalunya rural communities"/>
    <s v="11,100- These include women of reproductive age (2,275) their children and spouses as well as those youth reached by sexual and reproductive health information and services"/>
    <n v="11100"/>
    <m/>
    <m/>
    <n v="2275"/>
    <m/>
    <n v="2275"/>
    <s v="11,100- These include women of reproductive age (2,275) their children and spouses as well as those youth reached by sexual and reproductive health information and services"/>
    <m/>
    <n v="11100"/>
    <m/>
    <n v="11100"/>
    <n v="2275"/>
    <m/>
    <n v="2275"/>
    <m/>
    <m/>
    <m/>
    <m/>
    <m/>
    <m/>
    <m/>
    <m/>
    <m/>
    <m/>
    <m/>
    <m/>
    <m/>
    <m/>
    <m/>
    <m/>
    <m/>
    <m/>
    <m/>
    <m/>
    <s v="YES"/>
    <m/>
    <m/>
    <m/>
    <m/>
    <m/>
    <m/>
    <m/>
    <m/>
    <m/>
    <m/>
    <m/>
    <m/>
    <m/>
    <m/>
    <m/>
    <s v="YES"/>
    <m/>
    <m/>
    <m/>
    <m/>
    <m/>
    <m/>
    <m/>
    <m/>
    <m/>
    <m/>
    <m/>
    <s v="Nutrition"/>
    <s v="YES"/>
    <m/>
    <m/>
    <m/>
    <n v="2275"/>
    <m/>
    <n v="2275"/>
    <n v="11100"/>
    <m/>
    <n v="11100"/>
    <m/>
    <m/>
    <m/>
    <m/>
    <m/>
    <m/>
    <m/>
    <m/>
    <m/>
    <m/>
    <m/>
    <m/>
    <m/>
    <m/>
    <m/>
    <m/>
    <m/>
    <m/>
    <m/>
    <m/>
    <m/>
    <m/>
    <m/>
    <m/>
    <s v="YES"/>
    <n v="11100"/>
    <m/>
    <n v="11100"/>
    <m/>
    <m/>
    <m/>
    <m/>
    <s v="YES"/>
    <m/>
    <m/>
    <m/>
    <m/>
    <m/>
    <m/>
    <m/>
    <m/>
    <m/>
    <m/>
    <m/>
    <m/>
    <m/>
    <m/>
    <m/>
    <m/>
    <m/>
    <m/>
    <m/>
    <s v="YES"/>
    <m/>
    <m/>
    <m/>
    <m/>
    <m/>
    <m/>
    <m/>
    <m/>
    <m/>
    <m/>
    <m/>
    <m/>
    <m/>
    <m/>
    <m/>
    <m/>
    <s v="NO"/>
    <m/>
    <n v="2016"/>
    <m/>
    <s v="NO"/>
    <m/>
    <m/>
    <m/>
    <x v="1"/>
    <m/>
    <m/>
    <s v="YES"/>
    <s v="YES"/>
    <s v="YES"/>
    <m/>
    <m/>
    <m/>
    <m/>
    <x v="3"/>
    <m/>
    <x v="1"/>
    <s v="Accountability tools libe SAA model and Community score card models"/>
    <x v="3"/>
    <x v="1"/>
    <s v="YES"/>
    <x v="0"/>
    <x v="0"/>
    <x v="0"/>
    <x v="2"/>
    <n v="4"/>
    <x v="1"/>
    <x v="0"/>
    <x v="0"/>
    <x v="0"/>
    <x v="0"/>
    <x v="3"/>
    <n v="0"/>
    <x v="0"/>
    <x v="0"/>
    <x v="0"/>
    <x v="0"/>
    <x v="0"/>
    <n v="0"/>
    <x v="1"/>
    <x v="4"/>
    <m/>
    <m/>
    <m/>
    <m/>
    <x v="3"/>
    <m/>
    <m/>
    <m/>
    <m/>
    <m/>
    <s v="Using the SAA model to dialogue with community members on gender issues that act as barriers to access of SMNCAH services, and Social accountability tools like the community score card to promote commuty decision making on the expectations of the community at health facility levels and improve service uptake"/>
    <m/>
    <m/>
    <m/>
    <s v="program semi annual reports and baseline evaluation reports Aug 2015"/>
    <n v="11100"/>
    <n v="11100"/>
    <n v="1"/>
    <n v="1"/>
    <n v="1"/>
    <n v="11100"/>
    <n v="11100"/>
    <n v="1"/>
    <n v="11100"/>
    <n v="2275"/>
    <n v="0.20495495495495494"/>
    <n v="1"/>
    <n v="11100"/>
    <n v="11100"/>
    <n v="1"/>
    <n v="1"/>
    <n v="0"/>
    <n v="0"/>
    <s v=""/>
    <s v=""/>
    <n v="0"/>
    <n v="0"/>
    <s v=""/>
    <s v=""/>
    <n v="0"/>
    <n v="0"/>
    <s v=""/>
    <s v="4. Transformative"/>
    <s v="0. Unaware"/>
    <s v="No marker score"/>
    <n v="0"/>
    <s v="Moderate advocacy"/>
    <s v="It linked and worked with strategic alliances and partners to take tested and effective solutions to scale"/>
  </r>
  <r>
    <x v="37"/>
    <x v="3"/>
    <m/>
    <s v="Kenya Adolescent Empowerment Program"/>
    <s v="Kenya"/>
    <s v="KE963"/>
    <s v="CARE Canada"/>
    <s v="Other"/>
    <s v="Other"/>
    <s v="Patsy Collins Trust Fund Initiative (PCTFI)"/>
    <m/>
    <m/>
    <m/>
    <m/>
    <m/>
    <m/>
    <m/>
    <m/>
    <m/>
    <m/>
    <m/>
    <m/>
    <m/>
    <m/>
    <m/>
    <m/>
    <m/>
    <m/>
    <m/>
    <m/>
    <m/>
    <m/>
    <m/>
    <m/>
    <m/>
    <m/>
    <m/>
    <m/>
    <m/>
    <m/>
    <m/>
    <m/>
    <m/>
    <m/>
    <m/>
    <m/>
    <m/>
    <m/>
    <m/>
    <m/>
    <m/>
    <m/>
    <m/>
    <m/>
    <m/>
    <d v="2015-07-01T00:00:00"/>
    <d v="2020-06-30T00:00:00"/>
    <m/>
    <s v="Development Other"/>
    <n v="1349937"/>
    <s v="Emmanuel Wamalwa"/>
    <s v="Sector Manager"/>
    <s v="wamalwa@care.or.ke"/>
    <s v="Benson Mutuku"/>
    <s v="Program and Policy Manager"/>
    <s v="bmutuku@care.or.ke"/>
    <s v="YES"/>
    <s v="YES"/>
    <s v="YES"/>
    <s v="This project aims that by 2020, adolescent from chronically livelihood insecure households (in rural Kajiado and Mukuru urban slum in Nairobi) that are currently denied their rights are empowered to fully exploit their potential, take advantage of opportunities and fulfill their aspirations"/>
    <s v="Sub-National"/>
    <s v="Mukuru slum in Nairobi county and Kajiado central in Kajiado county"/>
    <s v="The project seeks to impact adolescent girls and boys in and out of school from chronically livelihood insecure households living in rural areas (Kajiado) and urban slums (Mukuru)"/>
    <n v="7568"/>
    <n v="6828"/>
    <n v="14396"/>
    <m/>
    <m/>
    <m/>
    <s v="The indirect participants are adolescent girls and boys in and out of school from chronically livelihood insecure households living in rural areas (Kajiado) and urban slums"/>
    <m/>
    <n v="464"/>
    <n v="287"/>
    <n v="751"/>
    <m/>
    <m/>
    <m/>
    <m/>
    <m/>
    <m/>
    <m/>
    <m/>
    <m/>
    <m/>
    <m/>
    <m/>
    <m/>
    <m/>
    <m/>
    <m/>
    <m/>
    <m/>
    <m/>
    <m/>
    <m/>
    <m/>
    <m/>
    <m/>
    <m/>
    <m/>
    <m/>
    <m/>
    <m/>
    <m/>
    <m/>
    <m/>
    <m/>
    <m/>
    <m/>
    <m/>
    <m/>
    <m/>
    <m/>
    <m/>
    <m/>
    <m/>
    <m/>
    <m/>
    <m/>
    <m/>
    <m/>
    <m/>
    <m/>
    <m/>
    <m/>
    <m/>
    <m/>
    <m/>
    <m/>
    <m/>
    <m/>
    <m/>
    <m/>
    <m/>
    <m/>
    <m/>
    <m/>
    <m/>
    <m/>
    <m/>
    <m/>
    <m/>
    <m/>
    <m/>
    <m/>
    <m/>
    <m/>
    <m/>
    <m/>
    <m/>
    <m/>
    <m/>
    <m/>
    <m/>
    <m/>
    <m/>
    <m/>
    <m/>
    <m/>
    <m/>
    <m/>
    <m/>
    <m/>
    <m/>
    <m/>
    <m/>
    <m/>
    <m/>
    <s v="YES"/>
    <n v="751"/>
    <n v="0.62"/>
    <m/>
    <m/>
    <m/>
    <m/>
    <m/>
    <m/>
    <m/>
    <m/>
    <m/>
    <m/>
    <m/>
    <m/>
    <m/>
    <m/>
    <m/>
    <m/>
    <m/>
    <m/>
    <m/>
    <m/>
    <m/>
    <m/>
    <m/>
    <m/>
    <m/>
    <m/>
    <m/>
    <m/>
    <m/>
    <m/>
    <m/>
    <m/>
    <m/>
    <m/>
    <s v="YES"/>
    <s v="October"/>
    <n v="2016"/>
    <s v="YES"/>
    <s v="NO"/>
    <m/>
    <m/>
    <m/>
    <x v="2"/>
    <s v="NO"/>
    <s v="YES"/>
    <s v="YES"/>
    <s v="YES"/>
    <s v="YES"/>
    <s v="YES"/>
    <s v="YES"/>
    <s v="NO"/>
    <m/>
    <x v="0"/>
    <m/>
    <x v="0"/>
    <m/>
    <x v="0"/>
    <x v="1"/>
    <s v="YES"/>
    <x v="0"/>
    <x v="0"/>
    <x v="0"/>
    <x v="2"/>
    <n v="4"/>
    <x v="0"/>
    <x v="0"/>
    <x v="0"/>
    <x v="0"/>
    <x v="0"/>
    <x v="0"/>
    <n v="0"/>
    <x v="0"/>
    <x v="0"/>
    <x v="0"/>
    <x v="0"/>
    <x v="0"/>
    <n v="0"/>
    <x v="2"/>
    <x v="4"/>
    <m/>
    <s v="Local government(s)"/>
    <s v="Local NGO(s)/CSO(s)"/>
    <s v="Local government(s)"/>
    <x v="2"/>
    <s v="Capacity building in financial reporting and M&amp;E"/>
    <s v="Involving a government body incharge of curriculum development (Kenya Institute of Curriculum Development) in the development of curriculum for adolescent sexual reproductive health and financial literacy"/>
    <s v="Not yet evaluated"/>
    <m/>
    <m/>
    <s v="Involving as many stakeholders as possible makes advocacy more effective"/>
    <m/>
    <m/>
    <s v="Involving the Ministy of Education and Kenya Institute of Curriculum Development in the curriculum development has ensured positive reaction from the government"/>
    <s v="Proposal"/>
    <n v="751"/>
    <n v="0"/>
    <n v="0"/>
    <n v="0.61784287616511313"/>
    <s v=""/>
    <n v="464"/>
    <n v="0"/>
    <n v="1"/>
    <n v="751"/>
    <n v="0"/>
    <n v="0"/>
    <s v=""/>
    <n v="0"/>
    <n v="0"/>
    <s v=""/>
    <s v=""/>
    <n v="0"/>
    <n v="0"/>
    <s v=""/>
    <s v=""/>
    <n v="0"/>
    <n v="0"/>
    <s v=""/>
    <s v=""/>
    <n v="0"/>
    <n v="0"/>
    <s v=""/>
    <s v="4. Transformative"/>
    <s v="No marker score"/>
    <s v="No marker score"/>
    <s v="It did not develop any specific innovation"/>
    <s v="Intensive advocacy"/>
    <s v="It did not take tested solutions to scale"/>
  </r>
  <r>
    <x v="37"/>
    <x v="3"/>
    <m/>
    <s v="KENYA RESILIENT ARID LANDS PARTNERSHIP FOR INTEGRATED DEVELOPMENT (KENYA RAPID) PROGRAM"/>
    <s v="Kenya"/>
    <s v="KEN115"/>
    <s v="CARE USA"/>
    <s v="Government"/>
    <s v="Government - US"/>
    <s v="USAID"/>
    <s v="KEN115"/>
    <s v="CARE USA"/>
    <s v="Government"/>
    <s v="Government - Switzerland"/>
    <s v="Swiss Agency for Development and Cooperation (SDC)"/>
    <s v="KEN115"/>
    <s v="CARE USA"/>
    <s v="Individual supporter"/>
    <s v="Other"/>
    <s v="HONORIA MATAVA &amp; JONATHAN SEAGLE FAMILY FUNDING"/>
    <m/>
    <m/>
    <m/>
    <m/>
    <m/>
    <m/>
    <m/>
    <m/>
    <m/>
    <m/>
    <m/>
    <m/>
    <m/>
    <m/>
    <m/>
    <m/>
    <m/>
    <m/>
    <m/>
    <m/>
    <m/>
    <m/>
    <m/>
    <m/>
    <m/>
    <m/>
    <m/>
    <m/>
    <m/>
    <m/>
    <m/>
    <m/>
    <m/>
    <m/>
    <m/>
    <m/>
    <d v="2020-09-24T00:00:00"/>
    <m/>
    <s v="Humanitarian Food &amp; Nutrition Security and Resilience to Climate Change"/>
    <n v="2581287"/>
    <s v="Peter Lochery"/>
    <s v="Director, Water Team, CARE US"/>
    <s v="Peter.Lochery@care.org"/>
    <s v="Rosemary M. MbalukaÇ"/>
    <s v="Assistant Country Director - Programs (ACD-P)"/>
    <s v="rosemary@care.or.ke"/>
    <s v="NO"/>
    <s v="YES"/>
    <s v="NO"/>
    <s v="To contribute to sustainable and resilient livelihoods for communities in arid and semi arid lands (ASALs)."/>
    <s v="Sub-National"/>
    <s v="Kenya RAPID Program is currently implemented in Garissa County by CARE Kenya. The same program is also in other four ASAL counties of Northern Kenya but through other agencies collectively with CARE operating under the auspices of Millennium Water Alliance (MWA). CARE targets to reach at least 70,000 beneficiaries by the end of the program period in September 24th 2020."/>
    <s v="Women and children normally left behind to tend to their homes as adult men move to new areas in search of pasture for their livestock."/>
    <n v="33600"/>
    <n v="36400"/>
    <n v="70000"/>
    <n v="14400"/>
    <n v="15600"/>
    <n v="30000"/>
    <s v="The Kenya RAPID Program at design stage in 2013, the Garissa county population was projected at 700,500 whose access to safe water then (Key indicator for determining direct beneficiaries) was 51%. The program plans to increase access to safe water by 10% by 2020 (end of program period) and is the same rate used to target at least 70,000 as direct project beneficiaries from the whole county population. The indirect beneficiaries on the other hand have been derived from the assumption that in any given intervention (water supply, sanitation campaigns and hygiene trainins), there is a likelihood of 30% uptake of this activities/interventions by the general population through cross fertilization of knowledge, motivation through peer interactions and exposure visits. The 30% of 70,000 people is roughly 21,000 plus the others who include trainers from the departments, schools with extended water piping systems from the communities supported by this program to improve their water supply and health centers attendees whose facilities have received safe water, sanitation and hygiene interventions."/>
    <m/>
    <m/>
    <m/>
    <m/>
    <m/>
    <m/>
    <m/>
    <m/>
    <m/>
    <m/>
    <m/>
    <m/>
    <m/>
    <m/>
    <m/>
    <m/>
    <m/>
    <m/>
    <m/>
    <m/>
    <m/>
    <m/>
    <m/>
    <m/>
    <m/>
    <m/>
    <m/>
    <m/>
    <m/>
    <m/>
    <m/>
    <m/>
    <m/>
    <m/>
    <m/>
    <m/>
    <m/>
    <m/>
    <m/>
    <m/>
    <m/>
    <m/>
    <m/>
    <m/>
    <m/>
    <m/>
    <m/>
    <m/>
    <m/>
    <m/>
    <m/>
    <m/>
    <m/>
    <m/>
    <m/>
    <m/>
    <m/>
    <m/>
    <m/>
    <m/>
    <n v="14160"/>
    <n v="15340"/>
    <n v="29500"/>
    <n v="4248"/>
    <n v="4602"/>
    <n v="8850"/>
    <s v="YES"/>
    <m/>
    <m/>
    <m/>
    <m/>
    <m/>
    <m/>
    <m/>
    <m/>
    <m/>
    <m/>
    <m/>
    <m/>
    <m/>
    <m/>
    <m/>
    <m/>
    <m/>
    <m/>
    <m/>
    <m/>
    <m/>
    <m/>
    <m/>
    <s v="YES"/>
    <n v="29500"/>
    <n v="0.48"/>
    <n v="8850"/>
    <m/>
    <m/>
    <m/>
    <m/>
    <m/>
    <m/>
    <m/>
    <m/>
    <m/>
    <m/>
    <m/>
    <m/>
    <m/>
    <m/>
    <m/>
    <m/>
    <s v="YES"/>
    <m/>
    <m/>
    <m/>
    <s v="YES"/>
    <m/>
    <m/>
    <m/>
    <m/>
    <m/>
    <m/>
    <m/>
    <s v="YES"/>
    <m/>
    <m/>
    <m/>
    <m/>
    <m/>
    <m/>
    <m/>
    <m/>
    <m/>
    <m/>
    <m/>
    <m/>
    <s v="NO"/>
    <m/>
    <m/>
    <m/>
    <s v="YES"/>
    <s v="June"/>
    <n v="2018"/>
    <s v="The midterm evaluation will be spearheaded by the MWA consortium who will determine sample size, and methodology. However the said evaluation will help measure a number of program indicators specifically at the output/outcome levels."/>
    <x v="1"/>
    <s v="YES"/>
    <m/>
    <s v="YES"/>
    <m/>
    <m/>
    <m/>
    <m/>
    <m/>
    <m/>
    <x v="0"/>
    <m/>
    <x v="0"/>
    <m/>
    <x v="0"/>
    <x v="0"/>
    <s v="YES"/>
    <x v="0"/>
    <x v="1"/>
    <x v="1"/>
    <x v="1"/>
    <n v="2"/>
    <x v="1"/>
    <x v="1"/>
    <x v="1"/>
    <x v="1"/>
    <x v="2"/>
    <x v="1"/>
    <n v="3"/>
    <x v="3"/>
    <x v="2"/>
    <x v="1"/>
    <x v="1"/>
    <x v="5"/>
    <n v="2"/>
    <x v="2"/>
    <x v="3"/>
    <n v="1"/>
    <s v="Local government(s)"/>
    <m/>
    <m/>
    <x v="1"/>
    <m/>
    <m/>
    <s v="Farmer schools"/>
    <s v="Integration of project activities with the county government's FY'017 County integrated development plan (CIDP)"/>
    <m/>
    <s v="Kenya RAPID Program is multiple donor funded activity and operating squarely alongside the county government development plan framework. Each donor in this arrangement has specific activities of interest e.g. USAID has special emphasis on water for humans, sanitation and food/nutrition security while SDC's focus is on water for livestock, sanitation and rangelands management. The performance of Kenya RAPID provided a platform on which different donors can evaluate CARE's approaches and donor relations across all the donors but on a single activity. The lesson here is that multiple funded activities do help CARE embrace more donors through one program."/>
    <s v="During FY'017 period, funding was relatively low especially to civil society agents largely due to global economic crunch. CARE was equally affected and saw massive restructuring at the country office to cope with the reduced funding streams. The restructuring resulted to constrained operations especially of the program support sectors and this had direct bearing on the smooth running of programs' field activities. This was manifested at the program level by the fact that the projected beneficiaries during the same period were not achieved."/>
    <m/>
    <m/>
    <m/>
    <n v="29500"/>
    <n v="8850"/>
    <n v="0.3"/>
    <n v="0.48"/>
    <n v="0.48"/>
    <n v="14160"/>
    <n v="4248"/>
    <s v=""/>
    <n v="0"/>
    <n v="0"/>
    <s v=""/>
    <n v="1"/>
    <n v="29500"/>
    <n v="8850"/>
    <n v="0.3"/>
    <s v=""/>
    <n v="0"/>
    <n v="0"/>
    <s v=""/>
    <s v=""/>
    <n v="0"/>
    <n v="0"/>
    <s v=""/>
    <s v=""/>
    <n v="0"/>
    <n v="0"/>
    <s v=""/>
    <s v="1. Neutral"/>
    <s v="2. Accommodating"/>
    <s v="3. Responsive"/>
    <s v="It did not develop any specific innovation"/>
    <s v="Moderate advocacy"/>
    <s v="It did not take tested solutions to scale"/>
  </r>
  <r>
    <x v="37"/>
    <x v="3"/>
    <m/>
    <s v="Kilimo Biashara II"/>
    <s v="Kenya"/>
    <s v="KE 942"/>
    <s v="CARE Danmark"/>
    <s v="Other"/>
    <s v="Other"/>
    <s v="COOP &amp; CARE Danmark"/>
    <m/>
    <m/>
    <m/>
    <m/>
    <m/>
    <m/>
    <m/>
    <m/>
    <m/>
    <m/>
    <m/>
    <m/>
    <m/>
    <m/>
    <m/>
    <m/>
    <m/>
    <m/>
    <m/>
    <m/>
    <m/>
    <m/>
    <m/>
    <m/>
    <m/>
    <m/>
    <m/>
    <m/>
    <m/>
    <m/>
    <m/>
    <m/>
    <m/>
    <m/>
    <m/>
    <m/>
    <m/>
    <m/>
    <m/>
    <m/>
    <m/>
    <m/>
    <m/>
    <m/>
    <m/>
    <d v="2015-01-01T00:00:00"/>
    <d v="2016-12-31T00:00:00"/>
    <m/>
    <s v="Development Food &amp; Nutrition Security and Resilience to Climate Change"/>
    <m/>
    <s v="Mwende Kusewa"/>
    <s v="Livelihood Sector Manager"/>
    <s v="mwende@care.or.ke"/>
    <s v="Chris Webo"/>
    <s v="Program Manager"/>
    <s v="webo@care.or.ke"/>
    <s v="NO"/>
    <s v="YES"/>
    <s v="NO"/>
    <s v="By the end of Kilimo Biashara Project, Coop and Sunripe have demonstrated an innovative successful model for improving rural livelihoods in Kenya via responsible trade and sourcing."/>
    <s v="Sub-National"/>
    <s v="Kirinyaga, Nyeri and Nyandarua Counties"/>
    <s v="Small Holder farmers especially women engaged in agricultural production"/>
    <n v="1125"/>
    <n v="1125"/>
    <n v="2250"/>
    <n v="4500"/>
    <n v="4500"/>
    <n v="9000"/>
    <s v="The direct participants are the small holder farmers  and GS&amp;L participants who are directly involved in the project activities . The indirect participants are the household members who are benefiting from the projects interventions through the direct participants. The calculation of indirect beneficiaries is based on average household membership of 4 dependants."/>
    <m/>
    <m/>
    <m/>
    <m/>
    <m/>
    <m/>
    <m/>
    <m/>
    <m/>
    <m/>
    <m/>
    <m/>
    <m/>
    <m/>
    <m/>
    <m/>
    <m/>
    <m/>
    <m/>
    <m/>
    <m/>
    <m/>
    <m/>
    <m/>
    <m/>
    <m/>
    <m/>
    <m/>
    <m/>
    <m/>
    <m/>
    <m/>
    <m/>
    <m/>
    <m/>
    <m/>
    <m/>
    <m/>
    <m/>
    <m/>
    <m/>
    <m/>
    <m/>
    <m/>
    <m/>
    <m/>
    <m/>
    <m/>
    <m/>
    <m/>
    <m/>
    <m/>
    <m/>
    <m/>
    <m/>
    <m/>
    <m/>
    <m/>
    <m/>
    <m/>
    <n v="1343"/>
    <n v="671"/>
    <n v="2014"/>
    <n v="5372"/>
    <n v="2684"/>
    <n v="8056"/>
    <s v="YES"/>
    <n v="294"/>
    <n v="0.35699999999999998"/>
    <n v="1176"/>
    <m/>
    <m/>
    <m/>
    <m/>
    <m/>
    <m/>
    <m/>
    <m/>
    <m/>
    <m/>
    <m/>
    <m/>
    <s v="NO"/>
    <m/>
    <m/>
    <m/>
    <m/>
    <m/>
    <m/>
    <m/>
    <m/>
    <m/>
    <m/>
    <m/>
    <m/>
    <m/>
    <m/>
    <m/>
    <m/>
    <m/>
    <m/>
    <m/>
    <m/>
    <m/>
    <m/>
    <m/>
    <m/>
    <m/>
    <m/>
    <m/>
    <m/>
    <m/>
    <m/>
    <m/>
    <m/>
    <m/>
    <m/>
    <m/>
    <m/>
    <m/>
    <m/>
    <m/>
    <m/>
    <m/>
    <m/>
    <m/>
    <m/>
    <m/>
    <m/>
    <m/>
    <m/>
    <m/>
    <m/>
    <m/>
    <m/>
    <s v="YES"/>
    <s v="October"/>
    <n v="2016"/>
    <s v="YES"/>
    <s v="NO"/>
    <m/>
    <m/>
    <m/>
    <x v="0"/>
    <m/>
    <m/>
    <m/>
    <m/>
    <m/>
    <m/>
    <m/>
    <m/>
    <m/>
    <x v="0"/>
    <m/>
    <x v="0"/>
    <m/>
    <x v="0"/>
    <x v="3"/>
    <s v="NO"/>
    <x v="1"/>
    <x v="1"/>
    <x v="0"/>
    <x v="5"/>
    <n v="1"/>
    <x v="1"/>
    <x v="1"/>
    <x v="1"/>
    <x v="1"/>
    <x v="1"/>
    <x v="1"/>
    <n v="4"/>
    <x v="2"/>
    <x v="1"/>
    <x v="2"/>
    <x v="2"/>
    <x v="2"/>
    <n v="1"/>
    <x v="3"/>
    <x v="0"/>
    <n v="2"/>
    <m/>
    <m/>
    <m/>
    <x v="1"/>
    <m/>
    <s v="No changes were experienced in this FY"/>
    <s v="Community Score Card (CSC)"/>
    <s v="Community Organizations"/>
    <m/>
    <s v="Forward contract plays a central role in group cohesion and also increases farmers confidence as it influences the farmers choice of crop leading to sustained pro-poor growth and better opportunities"/>
    <s v="Building capacity of farmers associations in business plan development is critical for identification and development of viable agro enterprises as part of diversification and livehood improvement"/>
    <m/>
    <m/>
    <m/>
    <n v="2014"/>
    <n v="8056"/>
    <n v="4"/>
    <n v="0.66683217477656409"/>
    <n v="0.66683217477656409"/>
    <n v="1343"/>
    <n v="5372"/>
    <s v=""/>
    <n v="0"/>
    <n v="0"/>
    <s v=""/>
    <n v="1"/>
    <n v="294"/>
    <n v="1176"/>
    <n v="4"/>
    <s v=""/>
    <n v="0"/>
    <n v="0"/>
    <s v=""/>
    <s v=""/>
    <n v="0"/>
    <n v="0"/>
    <s v=""/>
    <s v=""/>
    <n v="0"/>
    <n v="0"/>
    <s v=""/>
    <s v="0. Harmful"/>
    <s v="2. Accommodating"/>
    <s v="0. Harmful"/>
    <s v="It did not develop any specific innovation"/>
    <s v="Little or no advocacy"/>
    <s v="It did not take tested solutions to scale"/>
  </r>
  <r>
    <x v="37"/>
    <x v="3"/>
    <m/>
    <s v="Kisumu Intergrated Health Project"/>
    <s v="Kenya"/>
    <s v="KE 945"/>
    <s v="CARE Österreich"/>
    <s v="Multilateral agency"/>
    <s v="Government - Austria"/>
    <s v="EU, Austrian Devlopment Coorporation, CARE Austria"/>
    <m/>
    <m/>
    <m/>
    <m/>
    <m/>
    <m/>
    <m/>
    <m/>
    <m/>
    <m/>
    <m/>
    <m/>
    <m/>
    <m/>
    <m/>
    <m/>
    <m/>
    <m/>
    <m/>
    <m/>
    <m/>
    <m/>
    <m/>
    <m/>
    <m/>
    <m/>
    <m/>
    <m/>
    <m/>
    <m/>
    <m/>
    <m/>
    <m/>
    <m/>
    <m/>
    <m/>
    <m/>
    <m/>
    <m/>
    <m/>
    <m/>
    <m/>
    <m/>
    <m/>
    <m/>
    <d v="2014-11-01T00:00:00"/>
    <d v="2017-10-01T00:00:00"/>
    <m/>
    <s v="Humanitarian Sexual, Reproductive and Maternal Health (SRMH)"/>
    <n v="1163807.97"/>
    <s v="Emmanuel wamalwa sector manager,Ferdinand Moseh project manager"/>
    <m/>
    <m/>
    <m/>
    <m/>
    <m/>
    <s v="YES"/>
    <s v="YES"/>
    <s v="YES"/>
    <s v="The overall objective of the project is to Improve Maternal and Child Health, Sexual Reproductive Health, Family Planning and nutritional status of communities living within Kisumu slums"/>
    <s v="Sub-National"/>
    <s v="Kenya ;Kisumu County; Manyatta and Nyalenda slums"/>
    <s v="1.8. Final beneficiaries &amp;/or target groups  (if different) (including numbers of women and men): Direct beneficiaries 68,000. These are the final beneficiaries the project aims to impact directly from the project activities being carried out by the project teams, indirect beneficiaries 125,000,women of reproductive age 14,000, boys and girls 14,000, nutritional interventions 18,000, pregnant and lactating women 4,000 counteracting retrogressive social cultural practices 60,000 (women and men or reproductive age, under-fives, adolescents and vulnerable groups)."/>
    <n v="1"/>
    <m/>
    <m/>
    <n v="125000"/>
    <m/>
    <n v="125000"/>
    <s v="1.8. Final beneficiaries &amp;/or target groups  (if different) (including numbers of women and men): Direct beneficiaries 68,000. These are the final beneficiaries the project aims to impact directly from the project activities being carried out by the project teams, indirect beneficiaries 125,000,women of reproductive age 14,000, boys and girls 14,000, nutritional interventions 18,000, pregnant and lactating women 4,000 counteracting retrogressive social cultural practices 60,000 (women and men or reproductive age, under-fives, adolescents and vulnerable groups)."/>
    <m/>
    <n v="68000"/>
    <m/>
    <n v="68000"/>
    <n v="125000"/>
    <m/>
    <n v="125000"/>
    <m/>
    <m/>
    <m/>
    <m/>
    <m/>
    <m/>
    <m/>
    <m/>
    <m/>
    <m/>
    <m/>
    <m/>
    <m/>
    <m/>
    <m/>
    <m/>
    <m/>
    <m/>
    <m/>
    <m/>
    <m/>
    <m/>
    <m/>
    <m/>
    <m/>
    <m/>
    <m/>
    <m/>
    <m/>
    <m/>
    <m/>
    <m/>
    <m/>
    <m/>
    <m/>
    <m/>
    <s v="YES"/>
    <m/>
    <m/>
    <m/>
    <m/>
    <m/>
    <m/>
    <m/>
    <m/>
    <m/>
    <m/>
    <m/>
    <s v="Nutrition"/>
    <s v="YES"/>
    <m/>
    <m/>
    <m/>
    <m/>
    <m/>
    <m/>
    <m/>
    <m/>
    <m/>
    <m/>
    <m/>
    <m/>
    <m/>
    <m/>
    <m/>
    <m/>
    <m/>
    <m/>
    <m/>
    <m/>
    <m/>
    <m/>
    <m/>
    <m/>
    <m/>
    <m/>
    <m/>
    <m/>
    <m/>
    <m/>
    <m/>
    <m/>
    <m/>
    <m/>
    <m/>
    <m/>
    <m/>
    <m/>
    <m/>
    <m/>
    <m/>
    <m/>
    <m/>
    <m/>
    <m/>
    <m/>
    <m/>
    <m/>
    <m/>
    <m/>
    <m/>
    <m/>
    <m/>
    <m/>
    <m/>
    <m/>
    <m/>
    <m/>
    <m/>
    <m/>
    <m/>
    <m/>
    <m/>
    <m/>
    <m/>
    <m/>
    <m/>
    <m/>
    <m/>
    <m/>
    <m/>
    <m/>
    <m/>
    <m/>
    <m/>
    <m/>
    <m/>
    <m/>
    <s v="YES"/>
    <s v="December"/>
    <n v="2016"/>
    <s v="YES"/>
    <s v="YES"/>
    <s v="October"/>
    <m/>
    <s v="This projected evaluation will be the end of project evaluation demostaring if the targted beneficiaries where reached as targeted"/>
    <x v="1"/>
    <m/>
    <m/>
    <s v="YES"/>
    <s v="YES"/>
    <s v="YES"/>
    <m/>
    <m/>
    <m/>
    <m/>
    <x v="3"/>
    <m/>
    <x v="1"/>
    <s v="Accountability tools libe SAA model and Community score card models"/>
    <x v="3"/>
    <x v="1"/>
    <s v="YES"/>
    <x v="0"/>
    <x v="0"/>
    <x v="0"/>
    <x v="2"/>
    <n v="4"/>
    <x v="0"/>
    <x v="0"/>
    <x v="0"/>
    <x v="0"/>
    <x v="0"/>
    <x v="0"/>
    <n v="0"/>
    <x v="0"/>
    <x v="0"/>
    <x v="0"/>
    <x v="0"/>
    <x v="0"/>
    <n v="0"/>
    <x v="1"/>
    <x v="4"/>
    <m/>
    <m/>
    <m/>
    <m/>
    <x v="3"/>
    <m/>
    <m/>
    <m/>
    <m/>
    <m/>
    <s v="Using the SAA model to dialogue with community members on gender issues that act as barriers to access of SMNCAH services, and Social accountability tools like the community score card to promote commuty decision making on the expectations of the community at health facility levels and improve service uptake"/>
    <m/>
    <m/>
    <m/>
    <s v="year one Kisumu Integrated project reports January 2016, year two Kisumu integrated project reports January 2017,baseline evaluation reports April 2015, mid term reports for the project December 2016"/>
    <n v="68000"/>
    <n v="125000"/>
    <n v="1.838235294117647"/>
    <n v="1"/>
    <n v="1"/>
    <n v="68000"/>
    <n v="125000"/>
    <n v="1"/>
    <n v="68000"/>
    <n v="125000"/>
    <n v="1.838235294117647"/>
    <s v=""/>
    <n v="0"/>
    <n v="0"/>
    <s v=""/>
    <n v="1"/>
    <n v="0"/>
    <n v="0"/>
    <s v=""/>
    <s v=""/>
    <n v="0"/>
    <n v="0"/>
    <s v=""/>
    <s v=""/>
    <n v="0"/>
    <n v="0"/>
    <s v=""/>
    <s v="4. Transformative"/>
    <s v="No marker score"/>
    <s v="No marker score"/>
    <n v="0"/>
    <s v="Moderate advocacy"/>
    <s v="It linked and worked with strategic alliances and partners to take tested and effective solutions to scale"/>
  </r>
  <r>
    <x v="37"/>
    <x v="3"/>
    <m/>
    <s v="Link Up Kenya"/>
    <s v="Kenya"/>
    <s v="KE 925 "/>
    <s v="CARE USA"/>
    <s v="Foundation"/>
    <s v="Bill &amp; Melinda Gates Foundation"/>
    <s v="Bill &amp; Melinda Gates Foundation"/>
    <m/>
    <m/>
    <m/>
    <m/>
    <m/>
    <m/>
    <m/>
    <m/>
    <m/>
    <m/>
    <m/>
    <m/>
    <m/>
    <m/>
    <m/>
    <m/>
    <m/>
    <m/>
    <m/>
    <m/>
    <m/>
    <m/>
    <m/>
    <m/>
    <m/>
    <m/>
    <m/>
    <m/>
    <m/>
    <m/>
    <m/>
    <m/>
    <m/>
    <m/>
    <m/>
    <m/>
    <m/>
    <m/>
    <m/>
    <m/>
    <m/>
    <m/>
    <m/>
    <m/>
    <m/>
    <d v="2013-10-24T00:00:00"/>
    <d v="2017-04-30T00:00:00"/>
    <d v="2017-06-30T00:00:00"/>
    <s v="Development Other"/>
    <n v="1622678.8"/>
    <s v="PHYLLIS KARIUKI"/>
    <s v="SECTOR MANAGER"/>
    <s v="SECTOR MANAGER"/>
    <s v="EVALINE  OBIERO"/>
    <s v="PROJECT MANAGER"/>
    <s v="evaline.obiero@care.or.ke"/>
    <s v="NO"/>
    <s v="YES"/>
    <s v="NO"/>
    <s v="Financial inclusion for Savings and loans group members."/>
    <s v="Multiple countries"/>
    <s v="Kenya (Marsabit, Kisumu, Homabay, Nyamira, Kisumu, Siaya, Vihiga, Migori counties) and Tanzania"/>
    <s v="Women"/>
    <n v="93750"/>
    <n v="31250"/>
    <n v="125000"/>
    <n v="375000"/>
    <n v="125000"/>
    <n v="500000"/>
    <s v="Direct Participants are those that the project reached directly through linkage to formal financial institutions and trainings on financial literacy. Indirect participants on the other hand are the average number of dependants that the direct participants have at household level according to the latest Kenya  Demographic Household Survey."/>
    <m/>
    <m/>
    <m/>
    <m/>
    <m/>
    <m/>
    <m/>
    <m/>
    <m/>
    <m/>
    <m/>
    <m/>
    <m/>
    <m/>
    <m/>
    <m/>
    <m/>
    <m/>
    <m/>
    <m/>
    <m/>
    <m/>
    <m/>
    <m/>
    <m/>
    <m/>
    <m/>
    <m/>
    <m/>
    <m/>
    <m/>
    <m/>
    <m/>
    <m/>
    <m/>
    <m/>
    <m/>
    <m/>
    <m/>
    <m/>
    <m/>
    <m/>
    <m/>
    <m/>
    <m/>
    <m/>
    <m/>
    <m/>
    <m/>
    <m/>
    <m/>
    <m/>
    <m/>
    <m/>
    <m/>
    <m/>
    <m/>
    <m/>
    <m/>
    <m/>
    <n v="109485"/>
    <n v="19975"/>
    <n v="129460"/>
    <n v="437940"/>
    <n v="79900"/>
    <n v="517840"/>
    <m/>
    <m/>
    <m/>
    <m/>
    <m/>
    <m/>
    <m/>
    <m/>
    <m/>
    <m/>
    <m/>
    <m/>
    <m/>
    <m/>
    <m/>
    <m/>
    <m/>
    <m/>
    <m/>
    <m/>
    <m/>
    <m/>
    <m/>
    <m/>
    <m/>
    <m/>
    <m/>
    <m/>
    <m/>
    <m/>
    <m/>
    <m/>
    <s v="YES"/>
    <n v="84000"/>
    <n v="0.78"/>
    <n v="336"/>
    <m/>
    <m/>
    <m/>
    <m/>
    <m/>
    <m/>
    <m/>
    <m/>
    <m/>
    <m/>
    <m/>
    <m/>
    <m/>
    <m/>
    <m/>
    <m/>
    <m/>
    <m/>
    <m/>
    <m/>
    <m/>
    <m/>
    <m/>
    <m/>
    <s v="YES"/>
    <n v="84000"/>
    <n v="0.85"/>
    <n v="336000"/>
    <m/>
    <m/>
    <m/>
    <m/>
    <m/>
    <s v="YES"/>
    <s v="April"/>
    <n v="2017"/>
    <s v="YES"/>
    <s v="NO"/>
    <m/>
    <m/>
    <m/>
    <x v="1"/>
    <s v="NO"/>
    <s v="NO"/>
    <s v="NO"/>
    <s v="YES"/>
    <s v="YES"/>
    <s v="NO"/>
    <s v="YES"/>
    <s v="YES"/>
    <m/>
    <x v="2"/>
    <s v="The project in partnership with Financial Service Providers like Equity Bank and Kenya commercial bank worked on new bank products and unique delivery channels to aid access to formal financial services by the vulnerable population at the bottom of the pyramid especially women in the rural and peri urban areas."/>
    <x v="1"/>
    <s v="The tested bank products especially bank savings account and digital delivery channels were taken to scale especially in conjuntion with Equity Bank Kenya and Kenya Commercial Bank."/>
    <x v="3"/>
    <x v="1"/>
    <s v="YES"/>
    <x v="0"/>
    <x v="0"/>
    <x v="1"/>
    <x v="4"/>
    <n v="3"/>
    <x v="1"/>
    <x v="2"/>
    <x v="1"/>
    <x v="1"/>
    <x v="1"/>
    <x v="1"/>
    <n v="3"/>
    <x v="1"/>
    <x v="1"/>
    <x v="2"/>
    <x v="2"/>
    <x v="3"/>
    <n v="1"/>
    <x v="2"/>
    <x v="3"/>
    <n v="100"/>
    <s v="Private sector"/>
    <s v="Grassroots organization(s)"/>
    <s v="Other"/>
    <x v="2"/>
    <s v="capacity building, mentorship and stipend based financial support"/>
    <m/>
    <m/>
    <m/>
    <m/>
    <m/>
    <m/>
    <m/>
    <s v="The final endline evaluation report for the project is yet to be shared and what is available is a draft endline report."/>
    <m/>
    <n v="129460"/>
    <n v="517840"/>
    <n v="4"/>
    <n v="0.84570523713888457"/>
    <n v="0.84570523713888457"/>
    <n v="109485"/>
    <n v="437940"/>
    <s v=""/>
    <n v="0"/>
    <n v="0"/>
    <s v=""/>
    <s v=""/>
    <n v="0"/>
    <n v="0"/>
    <s v=""/>
    <s v=""/>
    <n v="0"/>
    <n v="0"/>
    <s v=""/>
    <s v=""/>
    <n v="0"/>
    <n v="0"/>
    <s v=""/>
    <n v="1"/>
    <n v="84000"/>
    <n v="336000"/>
    <n v="4"/>
    <s v="3. Responsive"/>
    <s v="2. Accommodating"/>
    <s v="1. Neutral"/>
    <s v="It tested new ways for fighting poverty and measured results of innovation"/>
    <s v="Moderate advocacy"/>
    <s v="It linked and worked with strategic alliances and partners to take tested and effective solutions to scale"/>
  </r>
  <r>
    <x v="37"/>
    <x v="3"/>
    <m/>
    <s v="Maternal and Neonatal Health Improvement (MANI)"/>
    <s v="Kenya"/>
    <s v="KE  952"/>
    <s v="CARE UK"/>
    <s v="Government"/>
    <s v="Government - UK"/>
    <s v="DFID"/>
    <m/>
    <m/>
    <m/>
    <m/>
    <m/>
    <m/>
    <m/>
    <m/>
    <m/>
    <m/>
    <m/>
    <m/>
    <m/>
    <m/>
    <m/>
    <m/>
    <m/>
    <m/>
    <m/>
    <m/>
    <m/>
    <m/>
    <m/>
    <m/>
    <m/>
    <m/>
    <m/>
    <m/>
    <m/>
    <m/>
    <m/>
    <m/>
    <m/>
    <m/>
    <m/>
    <m/>
    <m/>
    <m/>
    <m/>
    <m/>
    <m/>
    <m/>
    <m/>
    <m/>
    <m/>
    <d v="2015-01-01T00:00:00"/>
    <d v="2017-12-31T00:00:00"/>
    <d v="2018-12-31T00:00:00"/>
    <s v="Development Sexual, Reproductive and Maternal Health (SRMH)"/>
    <n v="628999.5"/>
    <s v="Kizito Wasike Mukhwana"/>
    <s v="Behaviour Change Communication Advisor"/>
    <s v="k.mukhwana@manikenya.com"/>
    <s v="Emmanuel Wamalwa"/>
    <s v="Health Sector Manager"/>
    <s v="wamalwa@care.or.ke"/>
    <s v="NO"/>
    <s v="YES"/>
    <s v="NO"/>
    <s v="The project focuses on Strengthening health systems to manage and deliver quality MNH services; Working at the community level to increase demand for services by mothers and Newborns; and Leading the County Innovation Challenge Fund to provide funding to innovative projects, which offer local solutions to local problems in reducing maternal and newborn morbidity and mortality."/>
    <s v="Sub-National"/>
    <s v="The project works in 6 out of the 10 Sub Counties in Bungoma (Kanduyi Sub County, Sirisia Sub County, Tongaren Sub County, Kabuchai Sub County, Webuye East and Webuye West),  Kenya"/>
    <s v="The impact groups include women and girls as well as neonates."/>
    <n v="209367"/>
    <n v="63237"/>
    <n v="272604"/>
    <n v="223332"/>
    <n v="203034"/>
    <n v="426366"/>
    <s v="Direct Participants: Total etimates of pregnant women and estimated neonates while Indirect participants: Indirect (calculated the total HH members within the HH whwere the preg. Women come from by multiplying by 5. the total HH members less the direct beneficiary = indirect beneficiary. Applied the F: M ratio of 1.1:1)"/>
    <m/>
    <m/>
    <m/>
    <m/>
    <m/>
    <m/>
    <m/>
    <m/>
    <m/>
    <m/>
    <m/>
    <m/>
    <m/>
    <m/>
    <m/>
    <m/>
    <m/>
    <m/>
    <m/>
    <m/>
    <m/>
    <m/>
    <m/>
    <m/>
    <m/>
    <m/>
    <m/>
    <m/>
    <m/>
    <m/>
    <m/>
    <m/>
    <m/>
    <m/>
    <m/>
    <m/>
    <m/>
    <m/>
    <m/>
    <m/>
    <m/>
    <m/>
    <m/>
    <m/>
    <m/>
    <m/>
    <m/>
    <m/>
    <m/>
    <m/>
    <m/>
    <m/>
    <m/>
    <m/>
    <m/>
    <m/>
    <m/>
    <m/>
    <m/>
    <m/>
    <n v="69789"/>
    <n v="21079"/>
    <n v="90868"/>
    <n v="74444"/>
    <n v="67677"/>
    <n v="142121"/>
    <m/>
    <m/>
    <m/>
    <m/>
    <m/>
    <m/>
    <m/>
    <m/>
    <m/>
    <m/>
    <m/>
    <m/>
    <m/>
    <m/>
    <m/>
    <m/>
    <m/>
    <m/>
    <m/>
    <m/>
    <m/>
    <m/>
    <m/>
    <m/>
    <m/>
    <m/>
    <m/>
    <m/>
    <m/>
    <m/>
    <m/>
    <m/>
    <m/>
    <m/>
    <m/>
    <m/>
    <m/>
    <m/>
    <m/>
    <m/>
    <m/>
    <m/>
    <m/>
    <m/>
    <m/>
    <m/>
    <m/>
    <m/>
    <s v="YES"/>
    <n v="3030"/>
    <n v="0.8"/>
    <n v="12120"/>
    <s v="YES"/>
    <n v="90868"/>
    <n v="0.51"/>
    <n v="142122"/>
    <m/>
    <m/>
    <m/>
    <m/>
    <s v="YES"/>
    <n v="305"/>
    <n v="0.99"/>
    <n v="1222"/>
    <m/>
    <m/>
    <m/>
    <m/>
    <m/>
    <s v="NO"/>
    <m/>
    <m/>
    <s v="NO"/>
    <s v="NO"/>
    <m/>
    <m/>
    <m/>
    <x v="1"/>
    <s v="YES"/>
    <s v="NO"/>
    <s v="YES"/>
    <s v="YES"/>
    <s v="NO"/>
    <s v="NO"/>
    <s v="YES"/>
    <s v="NO"/>
    <m/>
    <x v="1"/>
    <s v="We introduced VSLAs among the Birth Companions and trained 72 Birth companions on Income geenarating activities."/>
    <x v="0"/>
    <m/>
    <x v="1"/>
    <x v="1"/>
    <s v="NO"/>
    <x v="0"/>
    <x v="0"/>
    <x v="1"/>
    <x v="4"/>
    <n v="2"/>
    <x v="2"/>
    <x v="0"/>
    <x v="1"/>
    <x v="1"/>
    <x v="1"/>
    <x v="5"/>
    <n v="3"/>
    <x v="3"/>
    <x v="1"/>
    <x v="1"/>
    <x v="1"/>
    <x v="4"/>
    <n v="3"/>
    <x v="2"/>
    <x v="2"/>
    <n v="3"/>
    <s v="Local government(s)"/>
    <s v="Local alliance(s)/Platform(s)/Network(s) of  NGOs/CSOs"/>
    <s v="Media or journalist network(s)"/>
    <x v="2"/>
    <s v="Supported the community structures (Birth companions, CHVs and PET group mmebers) to register as CBOs. Some of the groups have been able to develop proposals and secured funding from government and other donors."/>
    <s v="The project has integrated advocacy and inclusive governance into the programming"/>
    <s v="• Social Analysis and Action (SAA): an innovative CARE methodology that is a facilitated dialogue process through which individuals and communities explore and challenge the social norms, beliefs and practices that shape their lives and health, including gender norms (the focus of this milestone);"/>
    <s v="• Community Scorecard (CSC): used to facilitate good governance through the promotion of participation, transparency, accountability and informed decision-making and stakeholder dialogue."/>
    <s v="• Transforming Traditional Birth Attendants (TBAs) into Birth Companions;  by reorienting TBAs to become ‘birth companions’ – increasing their knowledge and skills through training, giving them a role in referring and accompanying women to nearby facilities, and providing pregnant women with a mix of the personal and professional care that they need and want."/>
    <s v="• Integrating Community Scorecard (CSC) with the quality improvement approaches that MANI is implementing minimises duplication, uses resources effectively and ensures that the different aspects of the project complement and strengthen each other.  The role of the QI committees in following up with the points from the Community Scorecard action plans seems to be a natural, organic step which complements both the CSC and QI Committee work"/>
    <s v="• Through dialogues we discovered that the community and facility can understand their problems and come up with solutions."/>
    <s v="Follow up visits are important in strengthening newly trained community groups such CHVs, Birth Companions and VSLA groups as this ensures that the slow learners benefit from the informal training sessions"/>
    <s v="The data provided in this form is true to the best of my knowledge."/>
    <s v="https://twitter.com/mani_project/status/898188761288376320"/>
    <n v="90868"/>
    <n v="142121"/>
    <n v="1.5640379451512083"/>
    <n v="0.76802614781881406"/>
    <n v="0.52380717839024493"/>
    <n v="69789"/>
    <n v="74444"/>
    <s v=""/>
    <n v="0"/>
    <n v="0"/>
    <s v=""/>
    <s v=""/>
    <n v="0"/>
    <n v="0"/>
    <s v=""/>
    <n v="1"/>
    <n v="90868"/>
    <n v="142122"/>
    <n v="1.5640489501254566"/>
    <s v=""/>
    <n v="0"/>
    <n v="0"/>
    <s v=""/>
    <n v="1"/>
    <n v="305"/>
    <n v="1222"/>
    <n v="4.0065573770491802"/>
    <s v="3. Responsive"/>
    <s v="3. Responsive"/>
    <s v="4. Transformative"/>
    <s v="It tested new ways for fighting poverty, but did not measure results of innovation"/>
    <s v="Moderate advocacy"/>
    <s v="It did not take tested solutions to scale"/>
  </r>
  <r>
    <x v="37"/>
    <x v="3"/>
    <m/>
    <s v="Nyanza Healthy Water"/>
    <s v="Kenya"/>
    <s v="KE 870"/>
    <s v="CARE USA"/>
    <s v="Corporation"/>
    <s v="Other"/>
    <s v="Procter &amp; Gamble"/>
    <m/>
    <m/>
    <m/>
    <m/>
    <m/>
    <m/>
    <m/>
    <m/>
    <m/>
    <m/>
    <m/>
    <m/>
    <m/>
    <m/>
    <m/>
    <m/>
    <m/>
    <m/>
    <m/>
    <m/>
    <m/>
    <m/>
    <m/>
    <m/>
    <m/>
    <m/>
    <m/>
    <m/>
    <m/>
    <m/>
    <m/>
    <m/>
    <m/>
    <m/>
    <m/>
    <m/>
    <m/>
    <m/>
    <m/>
    <m/>
    <m/>
    <m/>
    <m/>
    <m/>
    <m/>
    <d v="2017-01-01T00:00:00"/>
    <d v="2018-12-01T00:00:00"/>
    <m/>
    <s v="Development Other"/>
    <n v="5737580"/>
    <s v="Job Wasonga"/>
    <s v="Project Manager"/>
    <s v="job.wasonga@care.or.ke"/>
    <s v="Mwende Kusewa"/>
    <s v="Livelihood Sector Manager"/>
    <s v="mwende@care.or.ke"/>
    <s v="YES"/>
    <s v="YES"/>
    <s v="YES"/>
    <s v="To improve the health status of vulnerable women, children under 5 years old and schoolchildren living in Siaya and Migori counties of Kenya"/>
    <s v="Sub-National"/>
    <s v="Siaya and Migori Counties"/>
    <s v="Vulnerable women, children under 5 years old, people living with HIV and schools children"/>
    <n v="28821"/>
    <n v="17288"/>
    <n v="46109"/>
    <n v="33469"/>
    <n v="32156"/>
    <n v="65625"/>
    <s v="We have assumed that each school has 350 pupils from 175 households and that each household has 5 persons. Since the design of the program directly influences the adoption and uptake of safe drinking water and hygiene practices at the household level, it is projected that the 75 schools will yield up to 13,125 households with a population of 65,625 as indirect beneficiaries. The figure of five members per household is based on the current national average, and the understanding that two pupils per household totaling 26,250 pupils are direct beneficiaries. School head teachers, teachers, health care workers and community health volunteers are also benefit directly from the trainings provided. Other direct and indirect beneficiaries will include pregnant mothers and those who have children under 5 who attend maternal and child health/family planning (MCH/FP) clinics, people living with HIV who attend patient support centers (PSCs) and their household"/>
    <m/>
    <n v="0"/>
    <n v="0"/>
    <n v="0"/>
    <n v="0"/>
    <n v="0"/>
    <n v="0"/>
    <s v="NO"/>
    <m/>
    <m/>
    <m/>
    <s v="NO"/>
    <m/>
    <m/>
    <m/>
    <s v="NO"/>
    <m/>
    <m/>
    <m/>
    <s v="NO"/>
    <m/>
    <m/>
    <m/>
    <s v="NO"/>
    <m/>
    <m/>
    <m/>
    <s v="NO"/>
    <m/>
    <m/>
    <m/>
    <s v="NO"/>
    <m/>
    <m/>
    <m/>
    <s v="NO"/>
    <m/>
    <m/>
    <m/>
    <s v="NO"/>
    <m/>
    <m/>
    <m/>
    <s v="NO"/>
    <m/>
    <m/>
    <m/>
    <s v="NO"/>
    <m/>
    <m/>
    <m/>
    <s v="NO"/>
    <m/>
    <m/>
    <m/>
    <m/>
    <m/>
    <m/>
    <m/>
    <m/>
    <n v="14411"/>
    <n v="8644"/>
    <n v="23055"/>
    <n v="16735"/>
    <n v="16078"/>
    <n v="32813"/>
    <s v="NO"/>
    <m/>
    <m/>
    <m/>
    <s v="NO"/>
    <m/>
    <m/>
    <m/>
    <s v="NO"/>
    <m/>
    <m/>
    <m/>
    <s v="NO"/>
    <m/>
    <m/>
    <m/>
    <s v="NO"/>
    <m/>
    <m/>
    <m/>
    <s v="NO"/>
    <m/>
    <m/>
    <m/>
    <s v="NO"/>
    <m/>
    <m/>
    <m/>
    <s v="NO"/>
    <m/>
    <m/>
    <m/>
    <s v="NO"/>
    <m/>
    <m/>
    <m/>
    <s v="NO"/>
    <m/>
    <m/>
    <m/>
    <s v="NO"/>
    <m/>
    <m/>
    <m/>
    <s v="NO"/>
    <m/>
    <m/>
    <m/>
    <s v="NO"/>
    <m/>
    <m/>
    <m/>
    <s v="NO"/>
    <m/>
    <m/>
    <m/>
    <s v="YES"/>
    <n v="3850"/>
    <n v="0.8"/>
    <n v="26540"/>
    <s v="NO"/>
    <m/>
    <m/>
    <m/>
    <m/>
    <m/>
    <m/>
    <m/>
    <m/>
    <s v="YES"/>
    <s v="April"/>
    <n v="2017"/>
    <s v="YES"/>
    <s v="NO"/>
    <m/>
    <m/>
    <s v="The project plans to pilot test small innovative ideas on WASH"/>
    <x v="1"/>
    <s v="YES"/>
    <s v="NO"/>
    <s v="NO"/>
    <s v="YES"/>
    <s v="YES"/>
    <s v="NO"/>
    <s v="YES"/>
    <m/>
    <m/>
    <x v="0"/>
    <m/>
    <x v="0"/>
    <m/>
    <x v="0"/>
    <x v="0"/>
    <s v="YES"/>
    <x v="0"/>
    <x v="0"/>
    <x v="0"/>
    <x v="0"/>
    <n v="4"/>
    <x v="1"/>
    <x v="1"/>
    <x v="1"/>
    <x v="1"/>
    <x v="1"/>
    <x v="1"/>
    <n v="4"/>
    <x v="1"/>
    <x v="2"/>
    <x v="1"/>
    <x v="1"/>
    <x v="3"/>
    <n v="2"/>
    <x v="0"/>
    <x v="0"/>
    <n v="4"/>
    <s v="Local government(s)"/>
    <s v="International NGO(s)"/>
    <s v="Local alliance(s)/Platform(s)/Network(s) of  NGOs/CSOs"/>
    <x v="0"/>
    <s v="Trained stakeholders on safe water systems to build their capacity on cholera response"/>
    <s v="The devolution of services to county government has shifted expectations and implementation approach of project activites"/>
    <s v="Engaging local government actors"/>
    <s v="implementing some activites through government officers"/>
    <m/>
    <s v="Many households lack hand washing facilities and latrines which is making hygiene promotion a little difficult but with CLTS promotion, the situation will improve."/>
    <s v="The political campings that have been on for the last five months have slowed down the project activities."/>
    <m/>
    <m/>
    <m/>
    <n v="23055"/>
    <n v="32813"/>
    <n v="1.4232487529819995"/>
    <n v="0.62507048362611151"/>
    <n v="0.51001127601865115"/>
    <n v="14411"/>
    <n v="16735"/>
    <n v="1"/>
    <n v="0"/>
    <n v="0"/>
    <s v=""/>
    <n v="1"/>
    <n v="3850"/>
    <n v="26540"/>
    <n v="6.8935064935064938"/>
    <s v=""/>
    <n v="0"/>
    <n v="0"/>
    <s v=""/>
    <s v=""/>
    <n v="0"/>
    <n v="0"/>
    <s v=""/>
    <s v=""/>
    <n v="0"/>
    <n v="0"/>
    <s v=""/>
    <s v="2. Sensitive"/>
    <s v="2. Accommodating"/>
    <s v="1. Neutral"/>
    <s v="It did not develop any specific innovation"/>
    <s v="Moderate advocacy"/>
    <s v="It did not take tested solutions to scale"/>
  </r>
  <r>
    <x v="37"/>
    <x v="3"/>
    <m/>
    <s v="Pilot for the Financial Graduation Sub-component of the Program for Rural Outreach of Financial innovations"/>
    <s v="Kenya"/>
    <s v="KE985"/>
    <s v="CARE Canada"/>
    <s v="Government"/>
    <m/>
    <s v="Government of Kenya"/>
    <m/>
    <m/>
    <m/>
    <m/>
    <m/>
    <m/>
    <m/>
    <m/>
    <m/>
    <m/>
    <m/>
    <m/>
    <m/>
    <m/>
    <m/>
    <m/>
    <m/>
    <m/>
    <m/>
    <m/>
    <m/>
    <m/>
    <m/>
    <m/>
    <m/>
    <m/>
    <m/>
    <m/>
    <m/>
    <m/>
    <m/>
    <m/>
    <m/>
    <m/>
    <m/>
    <m/>
    <m/>
    <m/>
    <m/>
    <m/>
    <m/>
    <m/>
    <m/>
    <m/>
    <m/>
    <d v="2016-09-01T00:00:00"/>
    <d v="2019-03-31T00:00:00"/>
    <m/>
    <s v="Development Other"/>
    <n v="1806562"/>
    <s v="Phylis Kariuki"/>
    <s v="Sector Manger"/>
    <s v="pkariuki@care.or.ke"/>
    <s v="Chris Wambua"/>
    <s v="Project Coordinator"/>
    <s v="christopher.wambua@care.or.ke"/>
    <s v="NO"/>
    <s v="YES"/>
    <s v="NO"/>
    <s v="To reduce extreme poverty, vulnerability and hunger in Kenya by targeting the poorest households and helping them get access to the mainstream development programs and have sustainable livelihood improvement."/>
    <s v="Sub-National"/>
    <s v="KITUI County; Mwingi North Subcounty wards of Tharaka, Mumoni, Kyuso, Tseikuru, Ngomeni; Mwingi Central Ward of Nguni"/>
    <s v="The Targeting Ultra Poor (TUP) Graduation program is designed to graduate ultra-poor households out of extreme poverty to a more stable level of livelihood. It provides beneficiaries with a holistic set of services including: livelihood trainings that include regular coaching and mentorship, productive asset transfers, consumption support, savings plans, and healthcare. By investing in this multifaceted approach, the program strives to eliminate the need for long-term safety net services"/>
    <m/>
    <m/>
    <n v="6000"/>
    <m/>
    <m/>
    <n v="163280"/>
    <s v="Direct Beneficiaries= These are the 1000 households with a household size of an average of 6 member that the project is aiming to work with.                                                                                                                                                                                Indirect beneficiaries= this include the entire population of Mwingi North - the direct beneficiaries. 169280- 6000=163280"/>
    <m/>
    <m/>
    <m/>
    <m/>
    <m/>
    <m/>
    <m/>
    <m/>
    <m/>
    <m/>
    <m/>
    <m/>
    <m/>
    <m/>
    <m/>
    <m/>
    <m/>
    <m/>
    <m/>
    <m/>
    <m/>
    <m/>
    <m/>
    <m/>
    <m/>
    <m/>
    <m/>
    <m/>
    <m/>
    <m/>
    <m/>
    <m/>
    <m/>
    <m/>
    <m/>
    <m/>
    <m/>
    <m/>
    <m/>
    <m/>
    <m/>
    <m/>
    <m/>
    <m/>
    <m/>
    <m/>
    <m/>
    <m/>
    <m/>
    <m/>
    <m/>
    <m/>
    <m/>
    <m/>
    <m/>
    <m/>
    <m/>
    <m/>
    <m/>
    <m/>
    <m/>
    <m/>
    <n v="6025"/>
    <m/>
    <m/>
    <n v="163280"/>
    <m/>
    <m/>
    <m/>
    <m/>
    <m/>
    <m/>
    <m/>
    <m/>
    <m/>
    <m/>
    <m/>
    <m/>
    <m/>
    <m/>
    <m/>
    <m/>
    <s v="YES"/>
    <m/>
    <m/>
    <m/>
    <m/>
    <m/>
    <m/>
    <m/>
    <s v="YES"/>
    <m/>
    <m/>
    <m/>
    <m/>
    <m/>
    <m/>
    <m/>
    <s v="YES"/>
    <m/>
    <m/>
    <m/>
    <m/>
    <m/>
    <m/>
    <m/>
    <m/>
    <m/>
    <m/>
    <m/>
    <m/>
    <m/>
    <m/>
    <m/>
    <m/>
    <m/>
    <m/>
    <m/>
    <m/>
    <m/>
    <m/>
    <m/>
    <m/>
    <m/>
    <m/>
    <m/>
    <s v="YES"/>
    <m/>
    <m/>
    <m/>
    <m/>
    <m/>
    <m/>
    <m/>
    <m/>
    <s v="YES"/>
    <s v="May"/>
    <n v="2017"/>
    <s v="NO"/>
    <s v="NO"/>
    <m/>
    <m/>
    <m/>
    <x v="0"/>
    <s v="NO"/>
    <s v="NO"/>
    <s v="NO"/>
    <s v="NO"/>
    <s v="NO"/>
    <s v="NO"/>
    <s v="NO"/>
    <s v="NO"/>
    <m/>
    <x v="0"/>
    <s v="This is a Pilot Project still in her formative stages( second month of implementation therefore, not so much can be measured by now; However, CARE Kenya through the Kitui work has made good inroads for partnerships for sustainable development with 2 or 3 State Actors at National and County Levels"/>
    <x v="0"/>
    <s v="This is a Pilot Project still in her formative stages( second month of implementation therefore, not so much can be measured by now. We are yet to try new innovative techniques for the project."/>
    <x v="1"/>
    <x v="0"/>
    <s v="NO"/>
    <x v="1"/>
    <x v="0"/>
    <x v="0"/>
    <x v="1"/>
    <n v="2"/>
    <x v="1"/>
    <x v="1"/>
    <x v="2"/>
    <x v="1"/>
    <x v="1"/>
    <x v="1"/>
    <n v="3"/>
    <x v="0"/>
    <x v="0"/>
    <x v="0"/>
    <x v="0"/>
    <x v="0"/>
    <n v="0"/>
    <x v="2"/>
    <x v="1"/>
    <m/>
    <m/>
    <m/>
    <m/>
    <x v="3"/>
    <m/>
    <m/>
    <m/>
    <m/>
    <m/>
    <m/>
    <m/>
    <m/>
    <m/>
    <m/>
    <n v="6025"/>
    <n v="163280"/>
    <n v="27.100414937759336"/>
    <n v="0"/>
    <n v="0"/>
    <n v="0"/>
    <n v="0"/>
    <s v=""/>
    <n v="0"/>
    <n v="0"/>
    <s v=""/>
    <n v="1"/>
    <n v="0"/>
    <n v="0"/>
    <s v=""/>
    <s v=""/>
    <n v="0"/>
    <n v="0"/>
    <s v=""/>
    <s v=""/>
    <n v="0"/>
    <n v="0"/>
    <s v=""/>
    <n v="1"/>
    <n v="0"/>
    <n v="0"/>
    <s v=""/>
    <s v="1. Neutral"/>
    <s v="2. Accommodating"/>
    <s v="No marker score"/>
    <s v="It did not develop any specific innovation"/>
    <s v="Little or no advocacy"/>
    <s v="It did not take tested solutions to scale"/>
  </r>
  <r>
    <x v="37"/>
    <x v="3"/>
    <m/>
    <s v="Protection and Assistance to Somali Refugees in Dadaab"/>
    <s v="Kenya"/>
    <s v="KE973"/>
    <s v="CARE Canada"/>
    <s v="Multilateral agency"/>
    <s v="UN - United Nations agencies/offices"/>
    <s v="UNHCR"/>
    <s v="KE981"/>
    <s v="CARE Canada"/>
    <s v="Multilateral agency"/>
    <s v="UN - United Nations agencies/offices"/>
    <s v="UNHCR"/>
    <m/>
    <m/>
    <m/>
    <m/>
    <m/>
    <m/>
    <m/>
    <m/>
    <m/>
    <m/>
    <m/>
    <m/>
    <m/>
    <m/>
    <m/>
    <m/>
    <m/>
    <m/>
    <m/>
    <m/>
    <m/>
    <m/>
    <m/>
    <m/>
    <m/>
    <m/>
    <m/>
    <m/>
    <m/>
    <m/>
    <m/>
    <m/>
    <m/>
    <m/>
    <m/>
    <m/>
    <m/>
    <m/>
    <m/>
    <m/>
    <d v="2016-01-01T00:00:00"/>
    <d v="2016-12-31T00:00:00"/>
    <m/>
    <s v="Humanitarian Other"/>
    <n v="2604506"/>
    <s v="Nixon Otieno"/>
    <s v="Senior Program Manger"/>
    <s v="nixon.otieno@ddb.care.or.ke"/>
    <m/>
    <m/>
    <m/>
    <s v="YES"/>
    <s v="NO"/>
    <s v="NO"/>
    <s v="Protection and mixed solutions"/>
    <s v="Sub-National"/>
    <s v="Dadaab Refugee camps,Garissa County,Kenya"/>
    <s v="Refugees living in Ifo,Ifo 2 and Dagahaely camps."/>
    <n v="89460"/>
    <n v="87318"/>
    <n v="176778"/>
    <m/>
    <m/>
    <m/>
    <s v="Direct participants - All the refugees  living in Ifo,Ifo 2 and Dagahaely camps. Project KE986 covers all the beneficiaries we serve in the three camps that we work in  Dadaab refugee camp( Ifo ,Ifo 2 and Dagahaley). This project reports zero total participants as it fully overlaps with KE986. In any case, specific data for this project alone in this FY would other ways include:_x000a_Direct: 89,460  women&amp;girls  87,318 men&amp;boys =   176,778  TotalDirect participants - All the refugees  living in Ifo,Ifo 2 and Dagahaely camps"/>
    <m/>
    <m/>
    <m/>
    <m/>
    <m/>
    <m/>
    <m/>
    <m/>
    <m/>
    <m/>
    <m/>
    <m/>
    <m/>
    <m/>
    <m/>
    <s v="YES"/>
    <m/>
    <m/>
    <m/>
    <m/>
    <m/>
    <m/>
    <m/>
    <s v="YES"/>
    <n v="4201"/>
    <n v="0.57999999999999996"/>
    <n v="67446"/>
    <m/>
    <m/>
    <m/>
    <m/>
    <m/>
    <m/>
    <m/>
    <m/>
    <m/>
    <m/>
    <m/>
    <m/>
    <s v="YES"/>
    <m/>
    <m/>
    <m/>
    <m/>
    <m/>
    <m/>
    <m/>
    <m/>
    <m/>
    <m/>
    <m/>
    <s v="YES"/>
    <m/>
    <m/>
    <m/>
    <s v="Provision of 250grams of bar soap per person during food distribution done by CARE"/>
    <s v="YES"/>
    <m/>
    <m/>
    <m/>
    <m/>
    <m/>
    <m/>
    <m/>
    <m/>
    <m/>
    <m/>
    <m/>
    <m/>
    <m/>
    <m/>
    <m/>
    <m/>
    <m/>
    <m/>
    <m/>
    <m/>
    <m/>
    <m/>
    <m/>
    <m/>
    <m/>
    <m/>
    <m/>
    <m/>
    <m/>
    <m/>
    <m/>
    <m/>
    <m/>
    <m/>
    <m/>
    <m/>
    <m/>
    <m/>
    <m/>
    <m/>
    <m/>
    <m/>
    <m/>
    <m/>
    <m/>
    <m/>
    <m/>
    <m/>
    <m/>
    <m/>
    <m/>
    <m/>
    <m/>
    <m/>
    <m/>
    <m/>
    <m/>
    <m/>
    <m/>
    <m/>
    <m/>
    <m/>
    <m/>
    <m/>
    <m/>
    <m/>
    <m/>
    <m/>
    <m/>
    <m/>
    <m/>
    <m/>
    <m/>
    <m/>
    <m/>
    <m/>
    <m/>
    <m/>
    <s v="NO"/>
    <m/>
    <m/>
    <s v="NO"/>
    <s v="NO"/>
    <m/>
    <m/>
    <m/>
    <x v="0"/>
    <s v="NO"/>
    <s v="NO"/>
    <s v="YES"/>
    <s v="YES"/>
    <s v="NO"/>
    <s v="NO"/>
    <s v="NO"/>
    <m/>
    <m/>
    <x v="0"/>
    <m/>
    <x v="0"/>
    <m/>
    <x v="1"/>
    <x v="0"/>
    <s v="YES"/>
    <x v="0"/>
    <x v="0"/>
    <x v="0"/>
    <x v="0"/>
    <n v="4"/>
    <x v="1"/>
    <x v="1"/>
    <x v="1"/>
    <x v="1"/>
    <x v="1"/>
    <x v="1"/>
    <n v="4"/>
    <x v="1"/>
    <x v="1"/>
    <x v="1"/>
    <x v="1"/>
    <x v="1"/>
    <n v="3"/>
    <x v="2"/>
    <x v="1"/>
    <m/>
    <m/>
    <m/>
    <m/>
    <x v="1"/>
    <m/>
    <m/>
    <s v="Engaging men in the fight of GBV."/>
    <m/>
    <m/>
    <m/>
    <m/>
    <m/>
    <s v="Project KE986 covers all the beneficiaries we serve in the three camps that we work in  Dadaab refugee camp( Ifo ,Ifo 2 and Dagahaley). This project reports zero total participants as it fully overlaps with KE986. In any case, specific data for this project alone in this FY would other ways include:_x000a_Direct: 89,460  women&amp;girls  87,318 men&amp;boys =   176,778  TotalDirect participants - All the refugees  living in Ifo,Ifo 2 and Dagahaely camps"/>
    <s v="proposal, sitrep reports, mid year report and final project performance report."/>
    <n v="0"/>
    <n v="0"/>
    <s v=""/>
    <s v=""/>
    <s v=""/>
    <n v="0"/>
    <n v="0"/>
    <n v="1"/>
    <n v="0"/>
    <n v="0"/>
    <s v=""/>
    <s v=""/>
    <n v="0"/>
    <n v="0"/>
    <s v=""/>
    <s v=""/>
    <n v="0"/>
    <n v="0"/>
    <s v=""/>
    <n v="1"/>
    <n v="4201"/>
    <n v="67446"/>
    <n v="16.054748869316828"/>
    <s v=""/>
    <n v="0"/>
    <n v="0"/>
    <s v=""/>
    <s v="2. Sensitive"/>
    <s v="2. Accommodating"/>
    <s v="2. Sensitive"/>
    <s v="It did not develop any specific innovation"/>
    <s v="Little or no advocacy"/>
    <s v="It did not take tested solutions to scale"/>
  </r>
  <r>
    <x v="37"/>
    <x v="3"/>
    <m/>
    <s v="Provision of teaching/learning resources for Dagahaley refugee camp schools"/>
    <s v="Kenya"/>
    <s v="KE982"/>
    <s v="CARE Deutschland-Luxemburg"/>
    <s v="Other"/>
    <s v="Other"/>
    <s v="RTL Stiftung"/>
    <m/>
    <m/>
    <m/>
    <m/>
    <m/>
    <m/>
    <m/>
    <m/>
    <m/>
    <m/>
    <m/>
    <m/>
    <m/>
    <m/>
    <m/>
    <m/>
    <m/>
    <m/>
    <m/>
    <m/>
    <m/>
    <m/>
    <m/>
    <m/>
    <m/>
    <m/>
    <m/>
    <m/>
    <m/>
    <m/>
    <m/>
    <m/>
    <m/>
    <m/>
    <m/>
    <m/>
    <m/>
    <m/>
    <m/>
    <m/>
    <m/>
    <m/>
    <m/>
    <m/>
    <m/>
    <d v="2016-06-01T00:00:00"/>
    <d v="2017-05-31T00:00:00"/>
    <m/>
    <s v="Humanitarian Other"/>
    <n v="111616"/>
    <s v="Nixon Otieno"/>
    <s v="Senior Program Manger"/>
    <s v="Nixon.Otieno@ddb.care.or.ke"/>
    <m/>
    <m/>
    <m/>
    <s v="YES"/>
    <s v="NO"/>
    <s v="NO"/>
    <s v="Enhance quality education for refugees in Dagahaley camp."/>
    <s v="Sub-National"/>
    <s v="Dagahaley Refugee Camp,Dadaab,Garissa County,Kenya."/>
    <s v="Primary school going children, refugee teachers and boards of management members  in schools run by CARE in Dagahaley refugee camp."/>
    <n v="6687"/>
    <n v="7877"/>
    <n v="14564"/>
    <n v="29007"/>
    <n v="26161"/>
    <n v="55168"/>
    <s v="Direct participants-  All the particcipants that benefited from the project i.e. CARE run schools in Dagahaley Camp.   Indirect Participants - The remaining  population of Dagahaley  camp as at the end of the  project_x000a_Project KE986 covers all the beneficiaries we serve in the three camps that we work in  Dadaab refugee camp( Ifo ,Ifo 2 and Dagahaley). This project reports zero total participants as it fully overlaps with KE986. In any case, specific data for this project alone in this FY would other ways include:_x000a_Direct: 6,687  women&amp;girls 7,877 men&amp;boys =   14,564  Total_x000a_Indirect: 29,007  women&amp;girls 26,161 men&amp;boys =   55,168  Total"/>
    <m/>
    <m/>
    <m/>
    <m/>
    <m/>
    <m/>
    <m/>
    <m/>
    <m/>
    <m/>
    <m/>
    <m/>
    <m/>
    <m/>
    <m/>
    <s v="YES"/>
    <m/>
    <m/>
    <m/>
    <m/>
    <m/>
    <m/>
    <m/>
    <m/>
    <m/>
    <m/>
    <m/>
    <m/>
    <m/>
    <m/>
    <m/>
    <m/>
    <m/>
    <m/>
    <m/>
    <m/>
    <m/>
    <m/>
    <m/>
    <m/>
    <m/>
    <m/>
    <m/>
    <m/>
    <m/>
    <m/>
    <m/>
    <m/>
    <m/>
    <m/>
    <m/>
    <m/>
    <m/>
    <m/>
    <m/>
    <m/>
    <m/>
    <m/>
    <m/>
    <m/>
    <m/>
    <m/>
    <m/>
    <m/>
    <m/>
    <m/>
    <m/>
    <m/>
    <m/>
    <m/>
    <m/>
    <m/>
    <m/>
    <m/>
    <m/>
    <m/>
    <m/>
    <m/>
    <m/>
    <m/>
    <m/>
    <m/>
    <m/>
    <m/>
    <m/>
    <m/>
    <m/>
    <m/>
    <m/>
    <m/>
    <m/>
    <m/>
    <m/>
    <m/>
    <m/>
    <m/>
    <m/>
    <m/>
    <m/>
    <m/>
    <m/>
    <m/>
    <m/>
    <m/>
    <m/>
    <m/>
    <m/>
    <m/>
    <m/>
    <m/>
    <m/>
    <m/>
    <m/>
    <m/>
    <m/>
    <m/>
    <m/>
    <m/>
    <m/>
    <m/>
    <m/>
    <m/>
    <m/>
    <m/>
    <m/>
    <m/>
    <m/>
    <m/>
    <m/>
    <m/>
    <m/>
    <m/>
    <m/>
    <m/>
    <m/>
    <s v="NO"/>
    <m/>
    <m/>
    <s v="NO"/>
    <s v="NO"/>
    <m/>
    <m/>
    <m/>
    <x v="0"/>
    <s v="NO"/>
    <s v="NO"/>
    <s v="NO"/>
    <s v="NO"/>
    <s v="NO"/>
    <s v="NO"/>
    <s v="NO"/>
    <s v="NO"/>
    <m/>
    <x v="0"/>
    <m/>
    <x v="0"/>
    <m/>
    <x v="1"/>
    <x v="0"/>
    <s v="YES"/>
    <x v="0"/>
    <x v="0"/>
    <x v="0"/>
    <x v="0"/>
    <n v="4"/>
    <x v="1"/>
    <x v="1"/>
    <x v="1"/>
    <x v="2"/>
    <x v="1"/>
    <x v="1"/>
    <n v="3"/>
    <x v="1"/>
    <x v="1"/>
    <x v="1"/>
    <x v="2"/>
    <x v="3"/>
    <n v="2"/>
    <x v="2"/>
    <x v="1"/>
    <m/>
    <m/>
    <m/>
    <m/>
    <x v="1"/>
    <m/>
    <m/>
    <s v="Teacher capacity enhancement - Training of teachers on professional teaching methodology is the best way to inject quality teaching in the education system since the quality of any education system is proportional to the quality of its teachers."/>
    <s v="Classroom rehabilitation - Creation of learner friendly school environment is a key quality component in education programming. A standard classroom environment which is stimulating is known to arouse learning effectively."/>
    <s v="Capacity development of the Board of Managment  members - in order to ensure there is sustainability of education intervention is to have community members who know the role they are to play in the education of their children. This can be enhanced through skill transfer for the BOM members through external and internal trainings."/>
    <s v="Skill transfer is one of the major sustainable strategy for development."/>
    <s v="Children learner better in a friendly school environment which is free from harm on their well being."/>
    <s v="High staff turnover that is increasing  institutional memory loss."/>
    <s v="Project KE986 covers all the beneficiaries we serve in the three camps that we work in  Dadaab refugee camp( Ifo ,Ifo 2 and Dagahaley). This project reports zero total participants as it fully overlaps with KE986. In any case, specific data for this project alone in this FY would other ways include:_x000a_Direct: 6,687  women&amp;girls 7,877 men&amp;boys =   14,564  Total_x000a_Indirect: 29,007  women&amp;girls 26,161 men&amp;boys =   55,168  Total"/>
    <s v="Progress reports"/>
    <n v="0"/>
    <n v="0"/>
    <s v=""/>
    <s v=""/>
    <s v=""/>
    <n v="0"/>
    <n v="0"/>
    <n v="1"/>
    <n v="0"/>
    <n v="0"/>
    <s v=""/>
    <s v=""/>
    <n v="0"/>
    <n v="0"/>
    <s v=""/>
    <s v=""/>
    <n v="0"/>
    <n v="0"/>
    <s v=""/>
    <s v=""/>
    <n v="0"/>
    <n v="0"/>
    <s v=""/>
    <s v=""/>
    <n v="0"/>
    <n v="0"/>
    <s v=""/>
    <s v="2. Sensitive"/>
    <s v="2. Accommodating"/>
    <s v="1. Neutral"/>
    <s v="It did not develop any specific innovation"/>
    <s v="Little or no advocacy"/>
    <s v="It did not take tested solutions to scale"/>
  </r>
  <r>
    <x v="37"/>
    <x v="3"/>
    <m/>
    <s v="Rural Sales Kenya"/>
    <s v="Kenya"/>
    <s v="KE968"/>
    <s v="CARE UK"/>
    <s v="Corporation"/>
    <s v="Other"/>
    <s v="Barclays Bank"/>
    <m/>
    <m/>
    <m/>
    <m/>
    <m/>
    <m/>
    <m/>
    <m/>
    <m/>
    <m/>
    <m/>
    <m/>
    <m/>
    <m/>
    <m/>
    <m/>
    <m/>
    <m/>
    <m/>
    <m/>
    <m/>
    <m/>
    <m/>
    <m/>
    <m/>
    <m/>
    <m/>
    <m/>
    <m/>
    <m/>
    <m/>
    <m/>
    <m/>
    <m/>
    <m/>
    <m/>
    <m/>
    <m/>
    <m/>
    <m/>
    <m/>
    <m/>
    <m/>
    <m/>
    <m/>
    <d v="2015-12-01T00:00:00"/>
    <d v="2017-11-30T00:00:00"/>
    <m/>
    <s v="Development Access to and Control over Economic Resources"/>
    <n v="152000"/>
    <s v="Phyllis Kariuki"/>
    <s v="Financial Inclusion Sector Manager"/>
    <s v="pkariuki@care.or.ke"/>
    <s v="Bernard Mbithi"/>
    <s v="Project Manager"/>
    <s v="bernard.muthiani@care.or.ke"/>
    <s v="NO"/>
    <s v="YES"/>
    <s v="NO"/>
    <s v="Enhance the livelihood security of 4,000 youth through provision of safe lighting solutions to 35,000 households"/>
    <s v="Sub-National"/>
    <s v="Country; Kenya. Counties of Migori, Homabay, Embu and Tharaka"/>
    <s v="Youth"/>
    <n v="29250"/>
    <n v="9750"/>
    <n v="39000"/>
    <n v="146250"/>
    <n v="48750"/>
    <n v="195000"/>
    <s v="1. Direct Beneficiaries; this are the people directly purchasing the products being promoted by the project. 2. Indirect beneficiaries are those people at household level benefitting from the products purchased by direct beneficiaries. The average house size is 5 times the household according to Household Censures survey estimates in Kenya"/>
    <m/>
    <m/>
    <m/>
    <m/>
    <m/>
    <m/>
    <m/>
    <m/>
    <m/>
    <m/>
    <m/>
    <m/>
    <m/>
    <m/>
    <m/>
    <m/>
    <m/>
    <m/>
    <m/>
    <m/>
    <m/>
    <m/>
    <m/>
    <m/>
    <m/>
    <m/>
    <m/>
    <m/>
    <m/>
    <m/>
    <m/>
    <m/>
    <m/>
    <m/>
    <m/>
    <m/>
    <m/>
    <m/>
    <m/>
    <m/>
    <m/>
    <m/>
    <m/>
    <m/>
    <m/>
    <m/>
    <m/>
    <m/>
    <m/>
    <m/>
    <m/>
    <m/>
    <m/>
    <m/>
    <m/>
    <m/>
    <m/>
    <m/>
    <m/>
    <m/>
    <n v="12319"/>
    <n v="4106"/>
    <n v="16425"/>
    <n v="61596"/>
    <n v="20532"/>
    <n v="82128"/>
    <s v="NO"/>
    <m/>
    <m/>
    <m/>
    <s v="NO"/>
    <m/>
    <m/>
    <m/>
    <s v="NO"/>
    <m/>
    <m/>
    <m/>
    <s v="NO"/>
    <m/>
    <m/>
    <m/>
    <s v="YES"/>
    <n v="32851"/>
    <n v="0.75"/>
    <n v="123191"/>
    <s v="NO"/>
    <m/>
    <m/>
    <m/>
    <s v="NO"/>
    <m/>
    <m/>
    <m/>
    <s v="NO"/>
    <m/>
    <m/>
    <m/>
    <s v="NO"/>
    <m/>
    <m/>
    <m/>
    <s v="NO"/>
    <m/>
    <m/>
    <m/>
    <s v="NO"/>
    <m/>
    <m/>
    <m/>
    <s v="NO"/>
    <m/>
    <m/>
    <m/>
    <s v="NO"/>
    <m/>
    <m/>
    <m/>
    <s v="NO"/>
    <m/>
    <m/>
    <m/>
    <s v="NO"/>
    <m/>
    <m/>
    <m/>
    <s v="NO"/>
    <m/>
    <m/>
    <m/>
    <m/>
    <s v="NO"/>
    <m/>
    <m/>
    <m/>
    <s v="NO"/>
    <m/>
    <m/>
    <m/>
    <m/>
    <m/>
    <m/>
    <s v="There was no planned evaluations in future"/>
    <x v="0"/>
    <s v="NO"/>
    <s v="YES"/>
    <s v="YES"/>
    <s v="YES"/>
    <s v="NO"/>
    <s v="NO"/>
    <s v="NO"/>
    <s v="NO"/>
    <m/>
    <x v="1"/>
    <s v="Implementing a social enterprise using Group Savings and Loans Methodology."/>
    <x v="1"/>
    <s v="Transitioning the social enterprise to partners with two key suppliers (HASBAH - distributor of Procter and Gamble products and Greenlight Planet, Manufacturers fo Solar Lanterns)"/>
    <x v="0"/>
    <x v="0"/>
    <s v="YES"/>
    <x v="0"/>
    <x v="0"/>
    <x v="1"/>
    <x v="1"/>
    <n v="3"/>
    <x v="1"/>
    <x v="1"/>
    <x v="1"/>
    <x v="1"/>
    <x v="1"/>
    <x v="1"/>
    <n v="4"/>
    <x v="3"/>
    <x v="2"/>
    <x v="1"/>
    <x v="1"/>
    <x v="5"/>
    <n v="2"/>
    <x v="0"/>
    <x v="2"/>
    <n v="13"/>
    <s v="Private sector"/>
    <s v="Grassroots organization(s)"/>
    <s v="Other"/>
    <x v="1"/>
    <m/>
    <s v="The adjustment of CARE Financial Systems to for Profit ventures"/>
    <s v="Engaing women in in VSLAs making investment decisions"/>
    <m/>
    <m/>
    <s v="Creating effective financial systems for profit ventures"/>
    <s v="Creating effective procurement systems for profit ventures"/>
    <m/>
    <s v="The project has proven to be successful and has been scaled up to youth employability skills"/>
    <s v="https://youtu.be/ru3wFJ4Tyzs"/>
    <n v="16425"/>
    <n v="82128"/>
    <n v="5.0001826484018261"/>
    <n v="0.75001522070015225"/>
    <n v="0.75"/>
    <n v="12319"/>
    <n v="61596"/>
    <s v=""/>
    <n v="0"/>
    <n v="0"/>
    <s v=""/>
    <n v="1"/>
    <n v="32851"/>
    <n v="123191"/>
    <n v="3.7499923898815863"/>
    <s v=""/>
    <n v="0"/>
    <n v="0"/>
    <s v=""/>
    <s v=""/>
    <n v="0"/>
    <n v="0"/>
    <s v=""/>
    <n v="1"/>
    <n v="24638.25"/>
    <n v="92393.25"/>
    <n v="3.7499923898815863"/>
    <s v="1. Neutral"/>
    <s v="2. Accommodating"/>
    <s v="3. Responsive"/>
    <s v="It tested new ways for fighting poverty, but did not measure results of innovation"/>
    <s v="Little or no advocacy"/>
    <s v="It linked and worked with strategic alliances and partners to take tested and effective solutions to scale"/>
  </r>
  <r>
    <x v="37"/>
    <x v="3"/>
    <m/>
    <s v="Rural Sales Kenya"/>
    <s v="Kenya"/>
    <s v="KE958 &amp; KE 984"/>
    <s v="CARE USA"/>
    <s v="Corporation"/>
    <s v="Other"/>
    <s v="Procter &amp; Gamble"/>
    <m/>
    <m/>
    <m/>
    <m/>
    <m/>
    <m/>
    <m/>
    <m/>
    <m/>
    <m/>
    <m/>
    <m/>
    <m/>
    <m/>
    <m/>
    <m/>
    <m/>
    <m/>
    <m/>
    <m/>
    <m/>
    <m/>
    <m/>
    <m/>
    <m/>
    <m/>
    <m/>
    <m/>
    <m/>
    <m/>
    <m/>
    <m/>
    <m/>
    <m/>
    <m/>
    <m/>
    <m/>
    <m/>
    <m/>
    <m/>
    <m/>
    <m/>
    <m/>
    <m/>
    <m/>
    <d v="2015-10-01T00:00:00"/>
    <d v="2017-09-30T00:00:00"/>
    <m/>
    <s v="Development Access to and Control over Economic Resources"/>
    <n v="288571"/>
    <s v="Phyllis Kariuki"/>
    <s v="Financial Inclusion Sector Manager"/>
    <s v="pkariuki@care.or.ke"/>
    <s v="Bernard Mbithi"/>
    <s v="Project Manager"/>
    <s v="bernard.muthiani@care.or.ke"/>
    <s v="NO"/>
    <s v="YES"/>
    <s v="NO"/>
    <s v="Improve the livelihood of poor rural and peri urban women and their household through income generation."/>
    <s v="Sub-National"/>
    <s v="Country; Kenya. Counties of Migori and Homabay"/>
    <s v="Women"/>
    <n v="24833"/>
    <n v="0"/>
    <n v="24833"/>
    <n v="124165"/>
    <n v="0"/>
    <n v="124165"/>
    <s v="1. Direct Beneficiaries; this are the people directly purchasing the products being promoted by the project. 2. Indirect beneficiaries are those people at household level benefitting from the products purchased by direct beneficiaries. The average house size is 5 times the household according to Household Censures survey estimates in Kenya"/>
    <m/>
    <m/>
    <m/>
    <m/>
    <m/>
    <m/>
    <m/>
    <m/>
    <m/>
    <m/>
    <m/>
    <m/>
    <m/>
    <m/>
    <m/>
    <m/>
    <m/>
    <m/>
    <m/>
    <m/>
    <m/>
    <m/>
    <m/>
    <m/>
    <m/>
    <m/>
    <m/>
    <m/>
    <m/>
    <m/>
    <m/>
    <m/>
    <m/>
    <m/>
    <m/>
    <m/>
    <m/>
    <m/>
    <m/>
    <m/>
    <m/>
    <m/>
    <m/>
    <m/>
    <m/>
    <m/>
    <m/>
    <m/>
    <m/>
    <m/>
    <m/>
    <m/>
    <m/>
    <m/>
    <m/>
    <m/>
    <m/>
    <m/>
    <m/>
    <m/>
    <n v="4600"/>
    <n v="0"/>
    <n v="4600"/>
    <n v="21500"/>
    <n v="0"/>
    <n v="21500"/>
    <s v="NO"/>
    <m/>
    <m/>
    <m/>
    <s v="NO"/>
    <m/>
    <m/>
    <m/>
    <s v="NO"/>
    <m/>
    <m/>
    <m/>
    <s v="NO"/>
    <m/>
    <m/>
    <m/>
    <s v="YES"/>
    <n v="4600"/>
    <n v="1"/>
    <n v="21500"/>
    <s v="NO"/>
    <m/>
    <m/>
    <m/>
    <s v="NO"/>
    <m/>
    <m/>
    <m/>
    <s v="NO"/>
    <m/>
    <m/>
    <m/>
    <s v="NO"/>
    <m/>
    <m/>
    <m/>
    <s v="NO"/>
    <m/>
    <m/>
    <m/>
    <s v="NO"/>
    <m/>
    <m/>
    <m/>
    <s v="NO"/>
    <m/>
    <m/>
    <m/>
    <s v="NO"/>
    <m/>
    <m/>
    <m/>
    <s v="NO"/>
    <m/>
    <m/>
    <m/>
    <s v="NO"/>
    <m/>
    <m/>
    <m/>
    <s v="NO"/>
    <m/>
    <m/>
    <m/>
    <m/>
    <s v="NO"/>
    <m/>
    <m/>
    <m/>
    <s v="NO"/>
    <m/>
    <m/>
    <m/>
    <m/>
    <m/>
    <m/>
    <s v="There are no planned evaluations in future"/>
    <x v="0"/>
    <s v="NO"/>
    <s v="YES"/>
    <s v="YES"/>
    <s v="YES"/>
    <s v="NO"/>
    <s v="NO"/>
    <s v="NO"/>
    <s v="NO"/>
    <m/>
    <x v="1"/>
    <s v="Implementing a social enterprise using Group Savings and Loans Methodology."/>
    <x v="1"/>
    <s v="Transitioning the social enterprise to partners with two key suppliers (HASBAH - distributor of Procter and Gamble products and Greenlight Planet, Manufacturers fo Solar Lanterns)"/>
    <x v="0"/>
    <x v="0"/>
    <s v="YES"/>
    <x v="0"/>
    <x v="0"/>
    <x v="1"/>
    <x v="1"/>
    <n v="3"/>
    <x v="1"/>
    <x v="1"/>
    <x v="1"/>
    <x v="1"/>
    <x v="1"/>
    <x v="1"/>
    <n v="4"/>
    <x v="3"/>
    <x v="2"/>
    <x v="1"/>
    <x v="1"/>
    <x v="5"/>
    <n v="2"/>
    <x v="0"/>
    <x v="2"/>
    <n v="13"/>
    <s v="Private sector"/>
    <s v="Grassroots organization(s)"/>
    <s v="Other"/>
    <x v="1"/>
    <m/>
    <s v="The adjustment of CARE Financial Systems to for Profit ventures"/>
    <s v="Engaing women in in VSLAs making investment decisions"/>
    <m/>
    <m/>
    <s v="Creating effective financial systems for profit ventures"/>
    <s v="Creating effective procurement systems for profit ventures"/>
    <m/>
    <m/>
    <m/>
    <n v="4600"/>
    <n v="21500"/>
    <n v="4.6739130434782608"/>
    <n v="1"/>
    <n v="1"/>
    <n v="4600"/>
    <n v="21500"/>
    <s v=""/>
    <n v="0"/>
    <n v="0"/>
    <s v=""/>
    <n v="1"/>
    <n v="4600"/>
    <n v="21500"/>
    <n v="4.6739130434782608"/>
    <s v=""/>
    <n v="0"/>
    <n v="0"/>
    <s v=""/>
    <s v=""/>
    <n v="0"/>
    <n v="0"/>
    <s v=""/>
    <n v="1"/>
    <n v="4600"/>
    <n v="21500"/>
    <n v="4.6739130434782608"/>
    <s v="1. Neutral"/>
    <s v="2. Accommodating"/>
    <s v="3. Responsive"/>
    <s v="It tested new ways for fighting poverty, but did not measure results of innovation"/>
    <s v="Little or no advocacy"/>
    <s v="It linked and worked with strategic alliances and partners to take tested and effective solutions to scale"/>
  </r>
  <r>
    <x v="37"/>
    <x v="3"/>
    <m/>
    <s v="Rural Youth Business Development Project"/>
    <s v="Kenya"/>
    <s v="KE 955"/>
    <s v="CARE Danmark"/>
    <s v="Foundation"/>
    <s v="Other"/>
    <s v="Best seller Foundation"/>
    <m/>
    <m/>
    <m/>
    <m/>
    <m/>
    <m/>
    <m/>
    <m/>
    <m/>
    <m/>
    <m/>
    <m/>
    <m/>
    <m/>
    <m/>
    <m/>
    <m/>
    <m/>
    <m/>
    <m/>
    <m/>
    <m/>
    <m/>
    <m/>
    <m/>
    <m/>
    <m/>
    <m/>
    <m/>
    <m/>
    <m/>
    <m/>
    <m/>
    <m/>
    <m/>
    <m/>
    <m/>
    <m/>
    <m/>
    <m/>
    <m/>
    <m/>
    <m/>
    <m/>
    <m/>
    <d v="2015-07-01T00:00:00"/>
    <d v="2018-06-30T00:00:00"/>
    <m/>
    <s v="Development Food &amp; Nutrition Security and Resilience to Climate Change"/>
    <m/>
    <s v="Mwende Kusewa"/>
    <s v="Livelihood Sector Manager"/>
    <s v="mwende@care.or.ke"/>
    <s v="Chris Webo"/>
    <s v="Program Manager"/>
    <s v="webo@care.or.ke"/>
    <s v="NO"/>
    <s v="YES"/>
    <s v="NO"/>
    <s v="To support young, rural enterpreneurs in Kirinyaga and Embu counties to diversify and increase their incomes for a  food secure future"/>
    <s v="Regional"/>
    <s v="Embu and Kirinyaga Counties"/>
    <s v="The rural youth especially women who have limited access to land or have land holdings that are too small to sustain their families"/>
    <n v="1200"/>
    <n v="800"/>
    <n v="2000"/>
    <n v="4800"/>
    <n v="3200"/>
    <n v="8000"/>
    <s v="The direct participants are farmers and Group Savings &amp; Loans (GS&amp;L) members  who are directly involved in the project activities. Indirect beneficiaries are the direct dependands of the project beneficiaries calculated based on average household number of 4 ."/>
    <m/>
    <m/>
    <m/>
    <m/>
    <m/>
    <m/>
    <m/>
    <m/>
    <m/>
    <m/>
    <m/>
    <m/>
    <m/>
    <m/>
    <m/>
    <m/>
    <m/>
    <m/>
    <m/>
    <m/>
    <m/>
    <m/>
    <m/>
    <m/>
    <m/>
    <m/>
    <m/>
    <m/>
    <m/>
    <m/>
    <m/>
    <m/>
    <m/>
    <m/>
    <m/>
    <m/>
    <m/>
    <m/>
    <m/>
    <m/>
    <m/>
    <m/>
    <m/>
    <m/>
    <m/>
    <m/>
    <m/>
    <m/>
    <m/>
    <m/>
    <m/>
    <m/>
    <m/>
    <m/>
    <m/>
    <m/>
    <m/>
    <m/>
    <m/>
    <m/>
    <n v="1179"/>
    <n v="589"/>
    <n v="1768"/>
    <n v="4716"/>
    <n v="2356"/>
    <n v="7072"/>
    <s v="YES"/>
    <n v="861"/>
    <n v="0.48599999999999999"/>
    <n v="3444"/>
    <m/>
    <m/>
    <m/>
    <m/>
    <m/>
    <m/>
    <m/>
    <m/>
    <m/>
    <m/>
    <m/>
    <m/>
    <s v="YES"/>
    <n v="907"/>
    <n v="0.51300000000000001"/>
    <n v="3628"/>
    <m/>
    <m/>
    <m/>
    <m/>
    <m/>
    <m/>
    <m/>
    <m/>
    <m/>
    <m/>
    <m/>
    <m/>
    <m/>
    <m/>
    <m/>
    <m/>
    <m/>
    <m/>
    <m/>
    <m/>
    <m/>
    <m/>
    <m/>
    <m/>
    <m/>
    <m/>
    <m/>
    <m/>
    <m/>
    <m/>
    <m/>
    <m/>
    <m/>
    <m/>
    <m/>
    <m/>
    <m/>
    <m/>
    <m/>
    <m/>
    <m/>
    <m/>
    <m/>
    <m/>
    <m/>
    <m/>
    <m/>
    <m/>
    <m/>
    <s v="NO"/>
    <m/>
    <m/>
    <m/>
    <s v="YES"/>
    <s v="September"/>
    <n v="2017"/>
    <m/>
    <x v="0"/>
    <m/>
    <m/>
    <m/>
    <m/>
    <m/>
    <m/>
    <m/>
    <m/>
    <m/>
    <x v="0"/>
    <m/>
    <x v="3"/>
    <m/>
    <x v="0"/>
    <x v="0"/>
    <s v="YES"/>
    <x v="0"/>
    <x v="0"/>
    <x v="0"/>
    <x v="0"/>
    <n v="4"/>
    <x v="1"/>
    <x v="2"/>
    <x v="2"/>
    <x v="1"/>
    <x v="1"/>
    <x v="4"/>
    <n v="2"/>
    <x v="1"/>
    <x v="2"/>
    <x v="1"/>
    <x v="2"/>
    <x v="3"/>
    <n v="1"/>
    <x v="0"/>
    <x v="0"/>
    <n v="1"/>
    <m/>
    <m/>
    <m/>
    <x v="1"/>
    <m/>
    <m/>
    <s v="Demonstration plots"/>
    <s v="Rural business development"/>
    <s v="VSLAs"/>
    <s v="Members participation through identification, analysis and implementation is vital for the success of any group enterprise. The project has continually ensured participation of group members to increase acceptance of identified value chains"/>
    <s v="Continous dialogue and review of project progress has ensured that each partner is meeting its obligation and that any challenges identified are promptly addressed"/>
    <m/>
    <m/>
    <m/>
    <n v="1768"/>
    <n v="7072"/>
    <n v="4"/>
    <n v="0.66685520361990946"/>
    <n v="0.66685520361990946"/>
    <n v="1179"/>
    <n v="4716"/>
    <s v=""/>
    <n v="0"/>
    <n v="0"/>
    <s v=""/>
    <n v="1"/>
    <n v="907"/>
    <n v="3628"/>
    <n v="4"/>
    <s v=""/>
    <n v="0"/>
    <n v="0"/>
    <s v=""/>
    <s v=""/>
    <n v="0"/>
    <n v="0"/>
    <s v=""/>
    <n v="1"/>
    <n v="465.291"/>
    <n v="1861.164"/>
    <n v="4"/>
    <s v="2. Sensitive"/>
    <s v="1. Tokenistic"/>
    <s v="1. Neutral"/>
    <s v="It did not develop any specific innovation"/>
    <s v="Little or no advocacy"/>
    <s v="It took tested solutions to scale on its own"/>
  </r>
  <r>
    <x v="37"/>
    <x v="3"/>
    <m/>
    <s v="SIAYA MATERNAL AND CHILD NUTRITION NAWIRI PROJECT"/>
    <s v="Kenya"/>
    <s v="KE977"/>
    <s v="CARE Österreich"/>
    <s v="Multilateral agency"/>
    <s v="Government - Austria"/>
    <s v="EU, Austrian Devlopment Coorporation, CARE Austria"/>
    <m/>
    <m/>
    <m/>
    <m/>
    <m/>
    <m/>
    <m/>
    <m/>
    <m/>
    <m/>
    <m/>
    <m/>
    <m/>
    <m/>
    <m/>
    <m/>
    <m/>
    <m/>
    <m/>
    <m/>
    <m/>
    <m/>
    <m/>
    <m/>
    <m/>
    <m/>
    <m/>
    <m/>
    <m/>
    <m/>
    <m/>
    <m/>
    <m/>
    <m/>
    <m/>
    <m/>
    <m/>
    <m/>
    <m/>
    <m/>
    <m/>
    <m/>
    <m/>
    <m/>
    <m/>
    <d v="2016-05-01T00:00:00"/>
    <d v="2019-04-30T00:00:00"/>
    <m/>
    <s v="Development Food &amp; Nutrition Security and Resilience to Climate Change"/>
    <m/>
    <s v="LILIAN KONG'ANI-"/>
    <s v="PROJECT MANAGER"/>
    <s v="lilian.kongani@care.or.ke"/>
    <m/>
    <m/>
    <m/>
    <s v="NO"/>
    <s v="YES"/>
    <s v="NO"/>
    <s v="CONTRIBUTE TO IMPROVING MATERNAL ,I NFANT AND YOUNG CHILD NUTRITION AND NUTRTION OF WOMEN OF REPRODUCTIVE AGE IN SIAYA COUNTY"/>
    <s v="Sub-National"/>
    <s v="THE PROJECT IS IN KENYA; WESTERN REGION; SIAYA COUNTY; BONDO, GEM AND RARIEDA SUB COUNTIES"/>
    <s v="WOMEN, CHILDREN BELOW 5 YEARS, ADOLESCENT GIRLS AND MEN"/>
    <n v="169065"/>
    <n v="20000"/>
    <n v="189065"/>
    <n v="845325"/>
    <n v="100000"/>
    <n v="945325"/>
    <s v="Direct participants are those directly targeted by the services in NAWIRI project. They also include 94,435 children below 5 years not included in the slots. Indirect participants is calculated as direct participants multiplied by 5 to represent 5 household members per participant reached."/>
    <m/>
    <m/>
    <m/>
    <m/>
    <m/>
    <m/>
    <m/>
    <m/>
    <m/>
    <m/>
    <m/>
    <m/>
    <m/>
    <m/>
    <m/>
    <m/>
    <m/>
    <m/>
    <m/>
    <m/>
    <m/>
    <m/>
    <m/>
    <m/>
    <m/>
    <m/>
    <m/>
    <m/>
    <m/>
    <m/>
    <m/>
    <m/>
    <m/>
    <m/>
    <m/>
    <m/>
    <m/>
    <m/>
    <m/>
    <m/>
    <m/>
    <m/>
    <m/>
    <m/>
    <m/>
    <m/>
    <m/>
    <m/>
    <m/>
    <m/>
    <m/>
    <m/>
    <m/>
    <m/>
    <m/>
    <m/>
    <m/>
    <m/>
    <m/>
    <m/>
    <n v="56355"/>
    <n v="6667"/>
    <n v="63022"/>
    <n v="281775"/>
    <n v="33335"/>
    <n v="315110"/>
    <s v="NO"/>
    <m/>
    <m/>
    <m/>
    <s v="NO"/>
    <m/>
    <m/>
    <m/>
    <s v="NO"/>
    <m/>
    <m/>
    <m/>
    <s v="NO"/>
    <m/>
    <m/>
    <m/>
    <s v="NO"/>
    <m/>
    <m/>
    <m/>
    <s v="YES"/>
    <n v="45"/>
    <n v="0.89"/>
    <n v="900"/>
    <s v="YES"/>
    <n v="35"/>
    <n v="0.71"/>
    <m/>
    <s v="NO"/>
    <m/>
    <m/>
    <m/>
    <s v="YES"/>
    <n v="30"/>
    <n v="0.63"/>
    <n v="20800"/>
    <s v="NO"/>
    <m/>
    <m/>
    <m/>
    <s v="NO"/>
    <m/>
    <m/>
    <m/>
    <s v="NO"/>
    <m/>
    <m/>
    <m/>
    <s v="YES"/>
    <n v="41"/>
    <n v="0.60899999999999999"/>
    <n v="525"/>
    <s v="NO"/>
    <m/>
    <m/>
    <m/>
    <s v="NO"/>
    <m/>
    <m/>
    <m/>
    <s v="NO"/>
    <m/>
    <m/>
    <m/>
    <m/>
    <m/>
    <m/>
    <m/>
    <m/>
    <s v="YES"/>
    <s v="September"/>
    <n v="2016"/>
    <s v="YES"/>
    <s v="YES"/>
    <s v="September"/>
    <n v="2017"/>
    <s v="the mid term evaluation is due in September 2017; a ToR has been drafted and reviewed by the donors and approved; recruitment process for consultancy to begin"/>
    <x v="1"/>
    <s v="NO"/>
    <s v="NO"/>
    <s v="NO"/>
    <s v="YES"/>
    <s v="NO"/>
    <s v="NO"/>
    <s v="YES"/>
    <m/>
    <m/>
    <x v="1"/>
    <s v="Use of the SAA methodology to change negative social norms affecting maternal and child nutrition; using the community score card at the community level to enhance accountability at the household level"/>
    <x v="1"/>
    <s v="the Community score card methodology has been adopted by our sister EU funded project STAWISHA(AMREF/MATIBABU) to enhance social accountability within their communities"/>
    <x v="0"/>
    <x v="1"/>
    <s v="YES"/>
    <x v="1"/>
    <x v="0"/>
    <x v="0"/>
    <x v="4"/>
    <n v="3"/>
    <x v="1"/>
    <x v="1"/>
    <x v="1"/>
    <x v="1"/>
    <x v="1"/>
    <x v="1"/>
    <n v="4"/>
    <x v="3"/>
    <x v="1"/>
    <x v="1"/>
    <x v="1"/>
    <x v="4"/>
    <n v="3"/>
    <x v="2"/>
    <x v="2"/>
    <m/>
    <s v="Local government(s)"/>
    <s v="Local NGO(s)/CSO(s)"/>
    <s v="International NGO(s)"/>
    <x v="0"/>
    <m/>
    <m/>
    <s v="community score cards"/>
    <s v="Social analysis and action;"/>
    <s v="community outreaches and facility in reaches; mother 2 mother support groups"/>
    <s v="planning project activities together with patners within the same area minimizes duplication, ensures optimal use of resources i.e. cost sharing for county level activities"/>
    <s v="strategies targeting the final beneficiaries realize change faster e.g. the SAA and CSC; mother 2 mother support groups"/>
    <s v="health care work force strikes hinder implementation of key strategies targeting them directly"/>
    <s v="The data provided on direct beneficiaries did not include data for children under 5 years. Most of the advocacy targets political class. therefore.  work done in year one involved prepackaging of advocacy content meant to be used in year 2 after the election of new political players."/>
    <s v="Year one Interim NAWIRI project report"/>
    <n v="63022"/>
    <n v="315110"/>
    <n v="5"/>
    <n v="0.89421154517470092"/>
    <n v="0.89421154517470092"/>
    <n v="56355"/>
    <n v="281775"/>
    <s v=""/>
    <n v="0"/>
    <n v="0"/>
    <s v=""/>
    <n v="1"/>
    <n v="35"/>
    <n v="0"/>
    <n v="0"/>
    <s v=""/>
    <n v="0"/>
    <n v="0"/>
    <s v=""/>
    <s v=""/>
    <n v="0"/>
    <n v="0"/>
    <s v=""/>
    <s v=""/>
    <n v="0"/>
    <n v="0"/>
    <s v=""/>
    <s v="3. Responsive"/>
    <s v="2. Accommodating"/>
    <s v="4. Transformative"/>
    <s v="It tested new ways for fighting poverty, but did not measure results of innovation"/>
    <s v="Moderate advocacy"/>
    <s v="It linked and worked with strategic alliances and partners to take tested and effective solutions to scale"/>
  </r>
  <r>
    <x v="37"/>
    <x v="3"/>
    <m/>
    <s v="Support to improvement and maintainance of safe Water supply, Sanitation and Hygiene for refugees living in Dadaab camps."/>
    <s v="Kenya"/>
    <s v="KE979"/>
    <s v="CARE Deutschland-Luxemburg"/>
    <s v="Multilateral agency"/>
    <s v="ECHO - European Commission for Humanitarian Aid and Civil Protection"/>
    <s v="ECHO"/>
    <m/>
    <m/>
    <m/>
    <m/>
    <m/>
    <m/>
    <m/>
    <m/>
    <m/>
    <m/>
    <m/>
    <m/>
    <m/>
    <m/>
    <m/>
    <m/>
    <m/>
    <m/>
    <m/>
    <m/>
    <m/>
    <m/>
    <m/>
    <m/>
    <m/>
    <m/>
    <m/>
    <m/>
    <m/>
    <m/>
    <m/>
    <m/>
    <m/>
    <m/>
    <m/>
    <m/>
    <m/>
    <m/>
    <m/>
    <m/>
    <m/>
    <m/>
    <m/>
    <m/>
    <m/>
    <d v="2016-04-01T00:00:00"/>
    <d v="2017-03-31T00:00:00"/>
    <m/>
    <s v="Humanitarian Other"/>
    <n v="2665700"/>
    <s v="Nixon Otieno"/>
    <s v="Senior Program Manager"/>
    <s v="nixon.otieno@ddb.care.or.ke"/>
    <m/>
    <m/>
    <m/>
    <s v="YES"/>
    <s v="NO"/>
    <s v="NO"/>
    <s v="Improve and maintain the water, sanitation and hygiene standards for the refugee population of Ifo and_x000a_Dagahaley camp."/>
    <s v="Sub-National"/>
    <s v="Dadaab refugee camps. Garissa county  - Kenya"/>
    <s v="All refugees in Ifo and Dagahaley camps."/>
    <n v="68893"/>
    <n v="66300"/>
    <n v="135193"/>
    <m/>
    <m/>
    <m/>
    <s v="Direct population- All refugees residing in Ifo and Dagahaley camps as per UNHCR statistics. Project KE986 covers all the beneficiaries we serve in the three camps that we work in  Dadaab refugee camp( Ifo ,Ifo 2 and Dagahaley). This project reports zero total participants as it fully overlaps with KE986. In any case, specific data for this project alone in this FY would other ways include:_x000a_Direct: 68,893  women&amp;girls 66,300 men&amp;boys =   135,193  Total"/>
    <m/>
    <m/>
    <m/>
    <m/>
    <m/>
    <m/>
    <m/>
    <m/>
    <m/>
    <m/>
    <m/>
    <m/>
    <m/>
    <m/>
    <m/>
    <m/>
    <m/>
    <m/>
    <m/>
    <m/>
    <m/>
    <m/>
    <m/>
    <m/>
    <m/>
    <m/>
    <m/>
    <m/>
    <m/>
    <m/>
    <m/>
    <m/>
    <m/>
    <m/>
    <m/>
    <m/>
    <m/>
    <m/>
    <m/>
    <m/>
    <m/>
    <m/>
    <m/>
    <m/>
    <m/>
    <m/>
    <m/>
    <m/>
    <m/>
    <m/>
    <m/>
    <s v="YES"/>
    <m/>
    <m/>
    <m/>
    <m/>
    <m/>
    <m/>
    <m/>
    <m/>
    <m/>
    <m/>
    <m/>
    <m/>
    <m/>
    <m/>
    <m/>
    <m/>
    <m/>
    <m/>
    <m/>
    <m/>
    <m/>
    <m/>
    <m/>
    <m/>
    <m/>
    <m/>
    <m/>
    <m/>
    <m/>
    <m/>
    <m/>
    <m/>
    <m/>
    <m/>
    <m/>
    <m/>
    <m/>
    <m/>
    <m/>
    <m/>
    <m/>
    <m/>
    <m/>
    <m/>
    <m/>
    <m/>
    <m/>
    <m/>
    <m/>
    <m/>
    <m/>
    <m/>
    <m/>
    <m/>
    <m/>
    <m/>
    <m/>
    <m/>
    <m/>
    <m/>
    <m/>
    <m/>
    <m/>
    <m/>
    <m/>
    <m/>
    <m/>
    <m/>
    <m/>
    <m/>
    <m/>
    <m/>
    <m/>
    <m/>
    <m/>
    <m/>
    <m/>
    <m/>
    <m/>
    <m/>
    <m/>
    <m/>
    <m/>
    <s v="YES"/>
    <s v="February"/>
    <n v="2017"/>
    <s v="YES"/>
    <s v="NO"/>
    <m/>
    <m/>
    <m/>
    <x v="0"/>
    <s v="NO"/>
    <s v="NO"/>
    <s v="YES"/>
    <s v="YES"/>
    <s v="NO"/>
    <s v="NO"/>
    <s v="NO"/>
    <m/>
    <m/>
    <x v="0"/>
    <m/>
    <x v="0"/>
    <m/>
    <x v="1"/>
    <x v="0"/>
    <s v="YES"/>
    <x v="0"/>
    <x v="0"/>
    <x v="0"/>
    <x v="0"/>
    <n v="4"/>
    <x v="1"/>
    <x v="1"/>
    <x v="1"/>
    <x v="1"/>
    <x v="1"/>
    <x v="1"/>
    <n v="4"/>
    <x v="1"/>
    <x v="1"/>
    <x v="1"/>
    <x v="1"/>
    <x v="1"/>
    <n v="3"/>
    <x v="2"/>
    <x v="1"/>
    <n v="1"/>
    <s v="International NGO(s)"/>
    <m/>
    <m/>
    <x v="1"/>
    <m/>
    <m/>
    <m/>
    <m/>
    <m/>
    <m/>
    <m/>
    <m/>
    <s v=" Project KE986 covers all the beneficiaries we serve in the three camps that we work in  Dadaab refugee camp( Ifo ,Ifo 2 and Dagahaley). This project reports zero total participants as it fully overlaps with KE986. In any case, specific data for this project alone in this FY would other ways include:_x000a_Direct: 68,893  women&amp;girls 66,300 men&amp;boys =   135,193  Total"/>
    <s v="Progress reports, KAP survey,propasal"/>
    <n v="0"/>
    <n v="0"/>
    <s v=""/>
    <s v=""/>
    <s v=""/>
    <n v="0"/>
    <n v="0"/>
    <n v="1"/>
    <n v="0"/>
    <n v="0"/>
    <s v=""/>
    <s v=""/>
    <n v="0"/>
    <n v="0"/>
    <s v=""/>
    <s v=""/>
    <n v="0"/>
    <n v="0"/>
    <s v=""/>
    <s v=""/>
    <n v="0"/>
    <n v="0"/>
    <s v=""/>
    <s v=""/>
    <n v="0"/>
    <n v="0"/>
    <s v=""/>
    <s v="2. Sensitive"/>
    <s v="2. Accommodating"/>
    <s v="2. Sensitive"/>
    <s v="It did not develop any specific innovation"/>
    <s v="Little or no advocacy"/>
    <s v="It did not take tested solutions to scale"/>
  </r>
  <r>
    <x v="37"/>
    <x v="3"/>
    <m/>
    <s v="Sustaining the supply of Water, Sanitation and Hygiene (WASH)  for refugees living in Dadaab camps."/>
    <s v="Kenya"/>
    <s v="KE988"/>
    <s v="CARE Deutschland-Luxemburg"/>
    <s v="Multilateral agency"/>
    <s v="ECHO - European Commission for Humanitarian Aid and Civil Protection"/>
    <s v="ECHO"/>
    <m/>
    <m/>
    <m/>
    <m/>
    <m/>
    <m/>
    <m/>
    <m/>
    <m/>
    <m/>
    <m/>
    <m/>
    <m/>
    <m/>
    <m/>
    <m/>
    <m/>
    <m/>
    <m/>
    <m/>
    <m/>
    <m/>
    <m/>
    <m/>
    <m/>
    <m/>
    <m/>
    <m/>
    <m/>
    <m/>
    <m/>
    <m/>
    <m/>
    <m/>
    <m/>
    <m/>
    <m/>
    <m/>
    <m/>
    <m/>
    <m/>
    <m/>
    <m/>
    <m/>
    <m/>
    <d v="2017-04-01T00:00:00"/>
    <d v="2018-03-31T00:00:00"/>
    <m/>
    <s v="Humanitarian Other"/>
    <n v="712740"/>
    <s v="Nixon Otieno"/>
    <s v="Senior Program Manager"/>
    <s v="nixon.otieno@ddb.care.or.ke"/>
    <m/>
    <m/>
    <m/>
    <s v="YES"/>
    <s v="NO"/>
    <s v="NO"/>
    <s v="Maintain Water,Sanitation and Hygiene standards for refugees in Ifo and Dagahaley camps."/>
    <s v="Sub-National"/>
    <s v="Dadaab refugee camps. Garissa county  - Kenya"/>
    <s v="All refugees in Ifo and Dagahaley camps."/>
    <n v="68158"/>
    <n v="65576"/>
    <n v="133734"/>
    <m/>
    <m/>
    <m/>
    <s v="Direct population- All refugees residing in Ifo and Dagahaley camps as per UNHCR statistics. Project KE986 covers all the beneficiaries we serve in the three camps that we work in  Dadaab refugee camp( Ifo ,Ifo 2 and Dagahaley). This project reports zero total participants as it fully overlaps with KE986. In any case, specific data for this project alone in this FY would other ways include:_x000a_Direct: 68,158  women&amp;girls 65,576 men&amp;boys =   133,734  Total"/>
    <m/>
    <m/>
    <m/>
    <m/>
    <m/>
    <m/>
    <m/>
    <m/>
    <m/>
    <m/>
    <m/>
    <m/>
    <m/>
    <m/>
    <m/>
    <m/>
    <m/>
    <m/>
    <m/>
    <m/>
    <m/>
    <m/>
    <m/>
    <m/>
    <m/>
    <m/>
    <m/>
    <m/>
    <m/>
    <m/>
    <m/>
    <m/>
    <m/>
    <m/>
    <m/>
    <m/>
    <m/>
    <m/>
    <m/>
    <m/>
    <m/>
    <m/>
    <m/>
    <m/>
    <m/>
    <m/>
    <m/>
    <m/>
    <m/>
    <m/>
    <m/>
    <s v="YES"/>
    <m/>
    <m/>
    <m/>
    <m/>
    <m/>
    <m/>
    <m/>
    <m/>
    <m/>
    <m/>
    <m/>
    <m/>
    <m/>
    <m/>
    <m/>
    <m/>
    <m/>
    <m/>
    <m/>
    <m/>
    <m/>
    <m/>
    <m/>
    <m/>
    <m/>
    <m/>
    <m/>
    <m/>
    <m/>
    <m/>
    <m/>
    <m/>
    <m/>
    <m/>
    <m/>
    <m/>
    <m/>
    <m/>
    <m/>
    <m/>
    <m/>
    <m/>
    <m/>
    <m/>
    <m/>
    <m/>
    <m/>
    <m/>
    <m/>
    <m/>
    <m/>
    <m/>
    <m/>
    <m/>
    <m/>
    <m/>
    <m/>
    <m/>
    <m/>
    <m/>
    <m/>
    <m/>
    <m/>
    <m/>
    <m/>
    <m/>
    <m/>
    <m/>
    <m/>
    <m/>
    <m/>
    <m/>
    <m/>
    <m/>
    <m/>
    <m/>
    <m/>
    <m/>
    <m/>
    <m/>
    <m/>
    <m/>
    <m/>
    <s v="NO"/>
    <m/>
    <m/>
    <s v="NO"/>
    <s v="YES"/>
    <s v="February"/>
    <n v="2018"/>
    <m/>
    <x v="0"/>
    <s v="NO"/>
    <s v="NO"/>
    <s v="YES"/>
    <s v="YES"/>
    <s v="NO"/>
    <s v="NO"/>
    <s v="NO"/>
    <m/>
    <m/>
    <x v="0"/>
    <m/>
    <x v="0"/>
    <m/>
    <x v="1"/>
    <x v="0"/>
    <s v="YES"/>
    <x v="0"/>
    <x v="0"/>
    <x v="0"/>
    <x v="0"/>
    <n v="4"/>
    <x v="1"/>
    <x v="1"/>
    <x v="1"/>
    <x v="1"/>
    <x v="1"/>
    <x v="1"/>
    <n v="4"/>
    <x v="1"/>
    <x v="1"/>
    <x v="1"/>
    <x v="1"/>
    <x v="1"/>
    <n v="3"/>
    <x v="2"/>
    <x v="1"/>
    <n v="1"/>
    <s v="International NGO(s)"/>
    <m/>
    <m/>
    <x v="1"/>
    <m/>
    <m/>
    <m/>
    <m/>
    <m/>
    <m/>
    <m/>
    <m/>
    <s v=" Project KE986 covers all the beneficiaries we serve in the three camps that we work in  Dadaab refugee camp( Ifo ,Ifo 2 and Dagahaley). This project reports zero total participants as it fully overlaps with KE986. In any case, specific data for this project alone in this FY would other ways include:_x000a_Direct: 68,158  women&amp;girls 65,576 men&amp;boys =   133,734  Total"/>
    <s v="Progress reports"/>
    <n v="0"/>
    <n v="0"/>
    <s v=""/>
    <s v=""/>
    <s v=""/>
    <n v="0"/>
    <n v="0"/>
    <n v="1"/>
    <n v="0"/>
    <n v="0"/>
    <s v=""/>
    <s v=""/>
    <n v="0"/>
    <n v="0"/>
    <s v=""/>
    <s v=""/>
    <n v="0"/>
    <n v="0"/>
    <s v=""/>
    <s v=""/>
    <n v="0"/>
    <n v="0"/>
    <s v=""/>
    <s v=""/>
    <n v="0"/>
    <n v="0"/>
    <s v=""/>
    <s v="2. Sensitive"/>
    <s v="2. Accommodating"/>
    <s v="2. Sensitive"/>
    <s v="It did not develop any specific innovation"/>
    <s v="Little or no advocacy"/>
    <s v="It did not take tested solutions to scale"/>
  </r>
  <r>
    <x v="37"/>
    <x v="3"/>
    <m/>
    <s v="Trader Mapping and Market Monitoring in Dadaab refugee camps"/>
    <s v="Kenya"/>
    <s v="KE967"/>
    <s v="CARE Canada"/>
    <s v="Multilateral agency"/>
    <s v="UN - United Nations agencies/offices"/>
    <s v="World Food Programme (WFP) "/>
    <m/>
    <m/>
    <m/>
    <m/>
    <m/>
    <m/>
    <m/>
    <m/>
    <m/>
    <m/>
    <m/>
    <m/>
    <m/>
    <m/>
    <m/>
    <m/>
    <m/>
    <m/>
    <m/>
    <m/>
    <m/>
    <m/>
    <m/>
    <m/>
    <m/>
    <m/>
    <m/>
    <m/>
    <m/>
    <m/>
    <m/>
    <m/>
    <m/>
    <m/>
    <m/>
    <m/>
    <m/>
    <m/>
    <m/>
    <m/>
    <m/>
    <m/>
    <m/>
    <m/>
    <m/>
    <d v="2015-11-01T00:00:00"/>
    <d v="2016-12-31T00:00:00"/>
    <d v="2018-06-30T00:00:00"/>
    <s v="Humanitarian Food &amp; Nutrition Security and Resilience to Climate Change"/>
    <n v="275881"/>
    <s v="Bishar Salat"/>
    <s v="Program Support and Logistics Manger"/>
    <s v="bishar@ddb.care.or.ke"/>
    <m/>
    <m/>
    <m/>
    <s v="YES"/>
    <s v="NO"/>
    <s v="NO"/>
    <s v="To carry out monitoring of electronic cash voucher activities in camps markets of Ifo,Ifo2 and Dagahaley refugee camps."/>
    <s v="Sub-National"/>
    <s v="Dadaab Refugee camps, Garissa county, Kenya."/>
    <s v="Refugees and the host community contracted as traders in the programme,refugees who are beneficiaries of the voucher disbused to their phones."/>
    <n v="80720"/>
    <n v="78544"/>
    <n v="159264"/>
    <m/>
    <m/>
    <m/>
    <s v="Refugees and the host community contracted as traders in the programme,refugees who are beneficiaries of the voucher disbused to their phones._x000a_Project KE986 covers all the beneficiaries we serve in the three camps that we work in  Dadaab refugee camp( Ifo ,Ifo 2 and Dagahaley). This project reports zero total participants as it fully overlaps with KE986. In any case, specific data for this project alone in this FY would other ways include:_x000a_Direct: 80,723  women&amp;girls  78,553 men&amp;boys =   159,276  Total_x000a_"/>
    <m/>
    <m/>
    <m/>
    <m/>
    <m/>
    <m/>
    <m/>
    <m/>
    <m/>
    <m/>
    <m/>
    <s v="YES"/>
    <n v="159264"/>
    <n v="0.51"/>
    <m/>
    <m/>
    <m/>
    <m/>
    <m/>
    <m/>
    <m/>
    <m/>
    <m/>
    <m/>
    <m/>
    <m/>
    <m/>
    <m/>
    <m/>
    <m/>
    <m/>
    <m/>
    <m/>
    <m/>
    <m/>
    <s v="Yes"/>
    <m/>
    <m/>
    <m/>
    <m/>
    <m/>
    <m/>
    <m/>
    <m/>
    <m/>
    <m/>
    <m/>
    <m/>
    <m/>
    <m/>
    <m/>
    <m/>
    <m/>
    <m/>
    <m/>
    <m/>
    <m/>
    <m/>
    <m/>
    <m/>
    <m/>
    <m/>
    <m/>
    <m/>
    <m/>
    <m/>
    <m/>
    <m/>
    <m/>
    <m/>
    <m/>
    <m/>
    <m/>
    <m/>
    <m/>
    <m/>
    <m/>
    <m/>
    <m/>
    <m/>
    <m/>
    <m/>
    <m/>
    <m/>
    <m/>
    <m/>
    <m/>
    <m/>
    <m/>
    <m/>
    <m/>
    <m/>
    <m/>
    <m/>
    <m/>
    <m/>
    <m/>
    <m/>
    <m/>
    <m/>
    <m/>
    <m/>
    <m/>
    <m/>
    <m/>
    <m/>
    <m/>
    <m/>
    <m/>
    <m/>
    <m/>
    <m/>
    <m/>
    <m/>
    <m/>
    <m/>
    <m/>
    <m/>
    <m/>
    <m/>
    <m/>
    <m/>
    <m/>
    <m/>
    <m/>
    <m/>
    <m/>
    <m/>
    <m/>
    <m/>
    <m/>
    <m/>
    <m/>
    <m/>
    <m/>
    <s v="YES"/>
    <s v="May"/>
    <n v="2017"/>
    <s v="NO"/>
    <s v="NO"/>
    <m/>
    <m/>
    <m/>
    <x v="0"/>
    <s v="NO"/>
    <m/>
    <m/>
    <m/>
    <m/>
    <m/>
    <m/>
    <m/>
    <m/>
    <x v="1"/>
    <s v="The use of hybrid system of offering food assistance to beneficiaries.In kind food collected at the distribution point and voucher redeemed from traders in the market by food purchase."/>
    <x v="1"/>
    <s v="Distribution of food ensured a minimum nutritional requirements for families are attained.Voucher program empowered both refugees and host comminity enrolled as traders in thee program.The voucher program also established an envirinment for healthy relationship betweeen the two groups and a peacfuly co-existance"/>
    <x v="1"/>
    <x v="0"/>
    <s v="YES"/>
    <x v="0"/>
    <x v="0"/>
    <x v="0"/>
    <x v="0"/>
    <n v="4"/>
    <x v="1"/>
    <x v="1"/>
    <x v="1"/>
    <x v="1"/>
    <x v="1"/>
    <x v="1"/>
    <n v="4"/>
    <x v="1"/>
    <x v="1"/>
    <x v="1"/>
    <x v="1"/>
    <x v="1"/>
    <n v="3"/>
    <x v="2"/>
    <x v="1"/>
    <m/>
    <m/>
    <m/>
    <m/>
    <x v="1"/>
    <m/>
    <s v="During the reporting period we encouraged women to collect food on behalf of the familiy as a continuous campaign on radio shows and public address systems during distribution.This was done as part of gender mainstreaming in our programming.Women were also ensouraged to take up responsibilities in food advisory committees which was  a respresentation of the leadership of refugees concerns with food ditribution.They were meant to ensure issues affecting women are adequately addressed in our programming."/>
    <s v="Engaging women to collect food on behalf of the familly ensured food reached the family and this improved the nutritional status of the family."/>
    <m/>
    <m/>
    <s v="Women are key stakeholders in the succesfull implementation of general food dsitribution program.Food in the hand of women reaches the household than collected by men."/>
    <s v="Cash voucher program has improve the level of economic activities in dadaab region and should be increased in value in future to realize the full potential of the program"/>
    <m/>
    <s v="The data provided is covers the provision of food assistance to refugees in Ifo,Ifo2 and dagahaley through a hybrid system of in kind general food distribution(GFD) and cash voucher.Refugees are identified using a biometric system and then allowed to receive their entitlement at the food distribution point.After collecting in kind food they are then entiltled to receive electronic voucher which is redeemable by food purchase at any shop contracted in the voucher program.The voucher value substitued 50% of cereal in the food basket._x000a_Project KE986 covers all the beneficiaries we serve in the three camps that we work in  Dadaab refugee camp( Ifo ,Ifo 2 and Dagahaley). This project reports zero participants as it fully overlaps with KE986. In any case, specific data for this project alone in this FY would other ways include:_x000a_Direct: 80,723  women&amp;girls  78,553 men&amp;boys =   159,276  Total"/>
    <s v="Monthly reports, quarterly reports."/>
    <n v="0"/>
    <n v="0"/>
    <s v=""/>
    <s v=""/>
    <s v=""/>
    <n v="0"/>
    <n v="0"/>
    <n v="1"/>
    <n v="0"/>
    <n v="0"/>
    <s v=""/>
    <n v="1"/>
    <n v="0"/>
    <n v="0"/>
    <s v=""/>
    <s v=""/>
    <n v="0"/>
    <n v="0"/>
    <s v=""/>
    <s v=""/>
    <n v="0"/>
    <n v="0"/>
    <s v=""/>
    <s v=""/>
    <n v="0"/>
    <n v="0"/>
    <s v=""/>
    <s v="2. Sensitive"/>
    <s v="2. Accommodating"/>
    <s v="2. Sensitive"/>
    <s v="It tested new ways for fighting poverty, but did not measure results of innovation"/>
    <s v="Little or no advocacy"/>
    <s v="It linked and worked with strategic alliances and partners to take tested and effective solutions to scale"/>
  </r>
  <r>
    <x v="37"/>
    <x v="3"/>
    <m/>
    <s v="VISA  PROJECT"/>
    <s v="Kenya"/>
    <s v="KE  972"/>
    <s v="CARE UK"/>
    <s v="Other"/>
    <s v="Other"/>
    <m/>
    <m/>
    <m/>
    <m/>
    <m/>
    <m/>
    <m/>
    <m/>
    <m/>
    <m/>
    <m/>
    <m/>
    <m/>
    <m/>
    <m/>
    <m/>
    <m/>
    <m/>
    <m/>
    <m/>
    <m/>
    <m/>
    <m/>
    <m/>
    <m/>
    <m/>
    <m/>
    <m/>
    <m/>
    <m/>
    <m/>
    <m/>
    <m/>
    <m/>
    <m/>
    <m/>
    <m/>
    <m/>
    <m/>
    <m/>
    <m/>
    <m/>
    <m/>
    <m/>
    <m/>
    <m/>
    <d v="2015-09-01T00:00:00"/>
    <d v="2017-04-28T00:00:00"/>
    <d v="2017-09-30T00:00:00"/>
    <s v="Development Other"/>
    <n v="22427"/>
    <s v="Phylis Kariuki"/>
    <s v="                                                   Sector Manager"/>
    <s v="pkariuki@care.or.ke"/>
    <m/>
    <m/>
    <m/>
    <s v="YES"/>
    <s v="YES"/>
    <s v="YES"/>
    <s v="To enhance financial inclusion by creating a credit scoring alogarithm through the use of e-recording application to financial institutions so that that they can  access the groups true data  for credit  purposes. The information of this data through erecords to them make indepent decision than using groups hard copies which can be compromised."/>
    <s v="Regional"/>
    <s v="Siaya county and Kisumu county  of Nyanza province"/>
    <s v="100 groups are expected to be  using erecording application and back up their records for crdit scoring. 3000 clients are the direct beneficieris"/>
    <n v="3000"/>
    <n v="200"/>
    <m/>
    <n v="18000"/>
    <n v="1200"/>
    <n v="19200"/>
    <s v="The groups have 30 members x100 groups= 3000 direct participants.But for inderct participant, a single household has a minimum of 6 beneficieries hence  3000x6= 18000"/>
    <m/>
    <m/>
    <m/>
    <m/>
    <m/>
    <m/>
    <m/>
    <m/>
    <m/>
    <m/>
    <m/>
    <m/>
    <m/>
    <m/>
    <m/>
    <m/>
    <m/>
    <m/>
    <m/>
    <m/>
    <m/>
    <m/>
    <m/>
    <m/>
    <m/>
    <m/>
    <m/>
    <m/>
    <m/>
    <m/>
    <m/>
    <m/>
    <m/>
    <m/>
    <m/>
    <m/>
    <m/>
    <m/>
    <m/>
    <m/>
    <m/>
    <m/>
    <m/>
    <m/>
    <m/>
    <m/>
    <m/>
    <m/>
    <m/>
    <m/>
    <m/>
    <m/>
    <m/>
    <m/>
    <m/>
    <m/>
    <m/>
    <m/>
    <m/>
    <m/>
    <m/>
    <m/>
    <m/>
    <m/>
    <m/>
    <m/>
    <m/>
    <m/>
    <m/>
    <m/>
    <m/>
    <m/>
    <m/>
    <m/>
    <m/>
    <m/>
    <m/>
    <m/>
    <m/>
    <m/>
    <m/>
    <m/>
    <s v="YES"/>
    <n v="3000"/>
    <n v="0.9"/>
    <n v="15000"/>
    <m/>
    <m/>
    <m/>
    <m/>
    <m/>
    <m/>
    <m/>
    <m/>
    <m/>
    <m/>
    <m/>
    <m/>
    <m/>
    <m/>
    <m/>
    <m/>
    <m/>
    <m/>
    <m/>
    <m/>
    <m/>
    <m/>
    <m/>
    <m/>
    <m/>
    <m/>
    <m/>
    <m/>
    <m/>
    <m/>
    <m/>
    <m/>
    <m/>
    <m/>
    <m/>
    <m/>
    <m/>
    <m/>
    <m/>
    <m/>
    <s v="YES"/>
    <n v="3000"/>
    <n v="0.9"/>
    <n v="200"/>
    <m/>
    <s v="YES"/>
    <m/>
    <m/>
    <m/>
    <s v="NO"/>
    <m/>
    <m/>
    <m/>
    <m/>
    <m/>
    <m/>
    <m/>
    <x v="0"/>
    <m/>
    <m/>
    <m/>
    <s v="NO"/>
    <m/>
    <m/>
    <m/>
    <m/>
    <m/>
    <x v="1"/>
    <m/>
    <x v="1"/>
    <m/>
    <x v="0"/>
    <x v="0"/>
    <s v="YES"/>
    <x v="0"/>
    <x v="0"/>
    <x v="0"/>
    <x v="0"/>
    <n v="4"/>
    <x v="1"/>
    <x v="1"/>
    <x v="1"/>
    <x v="1"/>
    <x v="1"/>
    <x v="1"/>
    <n v="4"/>
    <x v="0"/>
    <x v="0"/>
    <x v="0"/>
    <x v="0"/>
    <x v="0"/>
    <n v="0"/>
    <x v="1"/>
    <x v="4"/>
    <m/>
    <m/>
    <m/>
    <m/>
    <x v="3"/>
    <m/>
    <m/>
    <s v="Through the use of erecording application true data of the groups could be accessed and a decion reached on by anyfinancial institutio.  "/>
    <s v="By uasage of digital platform of the financial institution the groups could be credited through the system hence scoring credit for credit."/>
    <s v="Engaging the VSLAs groups to use the application to facilitate sharing out of groups funds to members and wiring to members accounts has enable group members to develop trust in the application hence reducing the impunity amongs the officials and memberss."/>
    <s v="Financial education for groups  is very critical in the sense that, for critical decision making and role out in terms of account opening and credit facility, the VSLAs can be be madeted to make prior decision."/>
    <s v="E-recording is a data based evidence which can be used by the financial institutions to make an independet decision in relation to crdeit scoring for VSLAs."/>
    <s v="There is need to interlink the erecording application with financial institutions digital platform so that they can can understand and implement the same for credit scoring for VSLAs."/>
    <m/>
    <m/>
    <n v="0"/>
    <n v="0"/>
    <s v=""/>
    <s v=""/>
    <s v=""/>
    <n v="0"/>
    <n v="0"/>
    <n v="1"/>
    <n v="0"/>
    <n v="0"/>
    <s v=""/>
    <n v="1"/>
    <n v="3000"/>
    <n v="15000"/>
    <n v="5"/>
    <s v=""/>
    <n v="0"/>
    <n v="0"/>
    <s v=""/>
    <s v=""/>
    <n v="0"/>
    <n v="0"/>
    <s v=""/>
    <n v="1"/>
    <n v="3000"/>
    <n v="13500"/>
    <n v="4.5"/>
    <s v="2. Sensitive"/>
    <s v="2. Accommodating"/>
    <s v="No marker score"/>
    <s v="It tested new ways for fighting poverty, but did not measure results of innovation"/>
    <s v="Little or no advocacy"/>
    <s v="It linked and worked with strategic alliances and partners to take tested and effective solutions to scale"/>
  </r>
  <r>
    <x v="37"/>
    <x v="3"/>
    <m/>
    <s v="Weather Information Services (WISER)-Decentralised Climate Information Services for Decision Making in Western Kenya"/>
    <s v="Kenya"/>
    <s v="KE969"/>
    <s v="CARE UK"/>
    <s v="Government"/>
    <s v="Government - UK"/>
    <s v="DFID"/>
    <m/>
    <m/>
    <m/>
    <m/>
    <m/>
    <m/>
    <m/>
    <m/>
    <m/>
    <m/>
    <m/>
    <m/>
    <m/>
    <m/>
    <m/>
    <m/>
    <m/>
    <m/>
    <m/>
    <m/>
    <m/>
    <m/>
    <m/>
    <m/>
    <m/>
    <m/>
    <m/>
    <m/>
    <m/>
    <m/>
    <m/>
    <m/>
    <m/>
    <m/>
    <m/>
    <m/>
    <m/>
    <m/>
    <m/>
    <m/>
    <m/>
    <m/>
    <m/>
    <m/>
    <m/>
    <d v="2016-01-01T00:00:00"/>
    <d v="2016-12-31T00:00:00"/>
    <m/>
    <s v="Development Food &amp; Nutrition Security and Resilience to Climate Change"/>
    <n v="360161"/>
    <s v="Mwende Kusewa"/>
    <s v="Livelihoods Sector Manager"/>
    <s v="mwende@care.or.ke"/>
    <s v="Alexander Economou"/>
    <s v="Programme Management Coordinator"/>
    <s v="economou@careinternational.org"/>
    <s v="NO"/>
    <s v="YES"/>
    <s v="NO"/>
    <s v="Increased and better use of weather and climate information to inform decision making and minimise risks at county to household level will reduce vulnerability, and contribute to economic growth and a decline in poverty."/>
    <s v="Sub-National"/>
    <s v="Siaya, Kisumu, Homabay, Migori, Bungoma, Busia, Kakamega, Trans Nzoia and Vihiga Counties"/>
    <s v="(a) individuals and communities that have weather and climate sensitive livelihoods (b) public policy officials (c) sectoral decision makers (e.g. water resource managers and agricultural planners, livestock) (d) disaster managers and first responders (e) farmers and farmers cooperative societies (including commercial farmers) and (f) the private sector (e.g. financial institutions, SMEs, insurance firms, media/ICTs)."/>
    <n v="174000"/>
    <n v="126000"/>
    <n v="300000"/>
    <m/>
    <m/>
    <m/>
    <m/>
    <m/>
    <m/>
    <m/>
    <m/>
    <m/>
    <m/>
    <m/>
    <m/>
    <m/>
    <m/>
    <m/>
    <m/>
    <m/>
    <m/>
    <m/>
    <m/>
    <m/>
    <m/>
    <m/>
    <m/>
    <m/>
    <m/>
    <m/>
    <m/>
    <m/>
    <m/>
    <m/>
    <m/>
    <m/>
    <m/>
    <m/>
    <m/>
    <m/>
    <m/>
    <m/>
    <m/>
    <m/>
    <m/>
    <m/>
    <m/>
    <m/>
    <m/>
    <m/>
    <m/>
    <m/>
    <m/>
    <m/>
    <m/>
    <m/>
    <m/>
    <m/>
    <m/>
    <m/>
    <m/>
    <m/>
    <m/>
    <m/>
    <m/>
    <m/>
    <m/>
    <n v="174000"/>
    <n v="126000"/>
    <n v="300000"/>
    <m/>
    <m/>
    <m/>
    <m/>
    <m/>
    <m/>
    <m/>
    <s v="YES"/>
    <n v="300000"/>
    <n v="0.57999999999999996"/>
    <m/>
    <m/>
    <m/>
    <m/>
    <m/>
    <m/>
    <m/>
    <m/>
    <m/>
    <m/>
    <m/>
    <m/>
    <m/>
    <m/>
    <m/>
    <m/>
    <m/>
    <m/>
    <m/>
    <m/>
    <m/>
    <m/>
    <m/>
    <m/>
    <m/>
    <m/>
    <m/>
    <m/>
    <m/>
    <m/>
    <m/>
    <m/>
    <m/>
    <m/>
    <m/>
    <m/>
    <m/>
    <m/>
    <m/>
    <m/>
    <m/>
    <m/>
    <m/>
    <m/>
    <m/>
    <m/>
    <m/>
    <m/>
    <m/>
    <m/>
    <m/>
    <m/>
    <m/>
    <m/>
    <m/>
    <m/>
    <m/>
    <m/>
    <m/>
    <m/>
    <m/>
    <m/>
    <s v="YES"/>
    <s v="February"/>
    <n v="2016"/>
    <s v="YES"/>
    <m/>
    <m/>
    <m/>
    <m/>
    <x v="1"/>
    <s v="NO"/>
    <m/>
    <s v="YES"/>
    <s v="NO"/>
    <s v="YES"/>
    <m/>
    <s v="NO"/>
    <m/>
    <m/>
    <x v="1"/>
    <m/>
    <x v="1"/>
    <m/>
    <x v="0"/>
    <x v="3"/>
    <m/>
    <x v="2"/>
    <x v="2"/>
    <x v="2"/>
    <x v="5"/>
    <n v="0"/>
    <x v="0"/>
    <x v="0"/>
    <x v="0"/>
    <x v="0"/>
    <x v="0"/>
    <x v="0"/>
    <n v="0"/>
    <x v="0"/>
    <x v="0"/>
    <x v="0"/>
    <x v="0"/>
    <x v="0"/>
    <n v="0"/>
    <x v="1"/>
    <x v="4"/>
    <m/>
    <m/>
    <m/>
    <m/>
    <x v="3"/>
    <m/>
    <m/>
    <m/>
    <m/>
    <m/>
    <m/>
    <m/>
    <m/>
    <m/>
    <m/>
    <n v="300000"/>
    <n v="0"/>
    <n v="0"/>
    <n v="0.57999999999999996"/>
    <s v=""/>
    <n v="174000"/>
    <n v="0"/>
    <s v=""/>
    <n v="0"/>
    <n v="0"/>
    <s v=""/>
    <n v="1"/>
    <n v="300000"/>
    <n v="0"/>
    <n v="0"/>
    <s v=""/>
    <n v="0"/>
    <n v="0"/>
    <s v=""/>
    <s v=""/>
    <n v="0"/>
    <n v="0"/>
    <s v=""/>
    <s v=""/>
    <n v="0"/>
    <n v="0"/>
    <s v=""/>
    <s v="0. Harmful"/>
    <s v="No marker score"/>
    <s v="No marker score"/>
    <s v="It tested new ways for fighting poverty, but did not measure results of innovation"/>
    <s v="Moderate advocacy"/>
    <s v="It linked and worked with strategic alliances and partners to take tested and effective solutions to scale"/>
  </r>
  <r>
    <x v="37"/>
    <x v="3"/>
    <m/>
    <s v="What Works to Prevent Violence Against Women and Girls Research"/>
    <s v="Kenya"/>
    <s v="KE978"/>
    <s v="CARE UK"/>
    <s v="Government"/>
    <s v="Government - UK"/>
    <s v="DFID"/>
    <m/>
    <m/>
    <m/>
    <m/>
    <m/>
    <m/>
    <m/>
    <m/>
    <m/>
    <m/>
    <m/>
    <m/>
    <m/>
    <m/>
    <m/>
    <m/>
    <m/>
    <m/>
    <m/>
    <m/>
    <m/>
    <m/>
    <m/>
    <m/>
    <m/>
    <m/>
    <m/>
    <m/>
    <m/>
    <m/>
    <m/>
    <m/>
    <m/>
    <m/>
    <m/>
    <m/>
    <m/>
    <m/>
    <m/>
    <m/>
    <m/>
    <m/>
    <m/>
    <m/>
    <m/>
    <d v="2014-11-01T00:00:00"/>
    <d v="2017-10-31T00:00:00"/>
    <m/>
    <s v="Humanitarian A Life Free From Violence (GBV)"/>
    <n v="32526"/>
    <s v="Nixon Otieno"/>
    <s v="Senior Program Manager"/>
    <s v="Nixon.Otieno@ddb.carwe.or.ke"/>
    <s v="Fred Wanyonyi Wafula"/>
    <s v="Senior Gender Project Officer"/>
    <s v="fwanyonyi@ddb.care.or.ke"/>
    <s v="YES"/>
    <s v="NO"/>
    <s v="NO"/>
    <s v="To understand the CARE and IRC GBV  model of Individual Comprehensive Case Management provision with expanded care through task shifting can influence acess, quality, health and safety outcomes among refugee women in Dadaab Refugee Camps, and how this can be applied in similar situations around the world."/>
    <s v="Sub-National"/>
    <s v="Dadaab Refugee camps, Garissa County  Kenya"/>
    <s v="Refugee women and girls living in Dadaab Refugee Camps"/>
    <n v="100"/>
    <n v="15"/>
    <n v="115"/>
    <n v="35356"/>
    <n v="33730"/>
    <n v="69086"/>
    <s v="Direct participants-The GBV survivors who have reported their cases to CARE and who have gone through Individual Comprehensive Case Management, and who have been interviewed for purposes of the research;  CARE national and refugee staff who have been interviewed for the research. Indirect participants- The remining population in Dagahaley camp. Project KE986 covers all the beneficiaries we serve in the three camps that we work in  Dadaab refugee camp( Ifo ,Ifo 2 and Dagahaley). This project reports zero total participants as it fully overlaps with KE986. In any case, specific data for this project alone in this FY would other ways include:_x000a_Direct: 100  women&amp;girls 15 men&amp;boys =   115  Total_x000a_Indirect: 35,356  women&amp;girls 33,730 men&amp;boys =   69,086  Total"/>
    <m/>
    <m/>
    <m/>
    <m/>
    <m/>
    <m/>
    <m/>
    <m/>
    <m/>
    <m/>
    <m/>
    <m/>
    <m/>
    <m/>
    <m/>
    <m/>
    <m/>
    <m/>
    <m/>
    <m/>
    <m/>
    <m/>
    <m/>
    <s v="YES"/>
    <m/>
    <m/>
    <m/>
    <m/>
    <m/>
    <m/>
    <m/>
    <m/>
    <m/>
    <m/>
    <m/>
    <m/>
    <m/>
    <m/>
    <m/>
    <m/>
    <m/>
    <m/>
    <m/>
    <m/>
    <m/>
    <m/>
    <m/>
    <m/>
    <m/>
    <m/>
    <m/>
    <m/>
    <m/>
    <m/>
    <m/>
    <m/>
    <m/>
    <m/>
    <m/>
    <m/>
    <m/>
    <m/>
    <m/>
    <m/>
    <m/>
    <m/>
    <m/>
    <m/>
    <m/>
    <m/>
    <m/>
    <m/>
    <m/>
    <m/>
    <m/>
    <m/>
    <m/>
    <m/>
    <m/>
    <m/>
    <m/>
    <m/>
    <m/>
    <m/>
    <m/>
    <m/>
    <m/>
    <m/>
    <m/>
    <m/>
    <m/>
    <m/>
    <m/>
    <m/>
    <m/>
    <m/>
    <m/>
    <m/>
    <m/>
    <m/>
    <m/>
    <m/>
    <m/>
    <m/>
    <m/>
    <m/>
    <m/>
    <m/>
    <m/>
    <m/>
    <m/>
    <m/>
    <m/>
    <m/>
    <m/>
    <m/>
    <m/>
    <m/>
    <m/>
    <m/>
    <m/>
    <m/>
    <m/>
    <m/>
    <m/>
    <m/>
    <m/>
    <m/>
    <m/>
    <m/>
    <m/>
    <m/>
    <m/>
    <m/>
    <m/>
    <s v="NO"/>
    <m/>
    <m/>
    <s v="NO"/>
    <s v="NO"/>
    <m/>
    <m/>
    <s v="This is a research project whose findings will be disseminated to stakeholders using different forums once the reports are finalized."/>
    <x v="0"/>
    <m/>
    <m/>
    <m/>
    <m/>
    <m/>
    <m/>
    <m/>
    <m/>
    <m/>
    <x v="0"/>
    <m/>
    <x v="0"/>
    <m/>
    <x v="2"/>
    <x v="0"/>
    <s v="YES"/>
    <x v="0"/>
    <x v="0"/>
    <x v="0"/>
    <x v="0"/>
    <n v="4"/>
    <x v="1"/>
    <x v="1"/>
    <x v="1"/>
    <x v="2"/>
    <x v="1"/>
    <x v="1"/>
    <n v="3"/>
    <x v="1"/>
    <x v="1"/>
    <x v="1"/>
    <x v="1"/>
    <x v="1"/>
    <n v="3"/>
    <x v="2"/>
    <x v="2"/>
    <m/>
    <m/>
    <m/>
    <m/>
    <x v="1"/>
    <m/>
    <m/>
    <m/>
    <s v="Community Score Cards"/>
    <m/>
    <s v="The participants appreciated and welcomed the involvement of men in GBV interventions, and indicated receiving satisfying assistance form both male and female staff"/>
    <s v="The participants appreciate services in which they are given a chance to decide on what course of action is appropriate for them in the way of getting assistance"/>
    <s v="Some participants confused research activities with normal GBV interventions and thus asked for material support which was not available in the project"/>
    <s v="Project KE986 covers all the beneficiaries we serve in the three camps that we work in  Dadaab refugee camp( Ifo ,Ifo 2 and Dagahaley). This project reports zero total participants as it fully overlaps with KE986. In any case, specific data for this project alone in this FY would other ways include:_x000a_Direct: 100  women&amp;girls 15 men&amp;boys =   115  Total_x000a_Indirect: 35,356  women&amp;girls 33,730 men&amp;boys =   69,086  Total"/>
    <s v="Quartely project progress reports"/>
    <n v="0"/>
    <n v="0"/>
    <s v=""/>
    <s v=""/>
    <s v=""/>
    <n v="0"/>
    <n v="0"/>
    <n v="1"/>
    <n v="0"/>
    <n v="0"/>
    <s v=""/>
    <s v=""/>
    <n v="0"/>
    <n v="0"/>
    <s v=""/>
    <s v=""/>
    <n v="0"/>
    <n v="0"/>
    <s v=""/>
    <n v="1"/>
    <n v="0"/>
    <n v="0"/>
    <s v=""/>
    <s v=""/>
    <n v="0"/>
    <n v="0"/>
    <s v=""/>
    <s v="2. Sensitive"/>
    <s v="2. Accommodating"/>
    <s v="2. Sensitive"/>
    <s v="It did not develop any specific innovation"/>
    <s v="Little or no advocacy"/>
    <s v="It did not take tested solutions to scale"/>
  </r>
  <r>
    <x v="38"/>
    <x v="1"/>
    <m/>
    <s v="Rural Economic Sustainability Inititative (RESI) project"/>
    <s v="Kosovo"/>
    <s v="AT581"/>
    <s v="CARE Österreich"/>
    <s v="Government"/>
    <s v="Government - Austria"/>
    <s v="Austrian Development Agency (ADA)"/>
    <m/>
    <m/>
    <m/>
    <m/>
    <m/>
    <m/>
    <m/>
    <m/>
    <m/>
    <m/>
    <m/>
    <m/>
    <m/>
    <m/>
    <m/>
    <m/>
    <m/>
    <m/>
    <m/>
    <m/>
    <m/>
    <m/>
    <m/>
    <m/>
    <m/>
    <m/>
    <m/>
    <m/>
    <m/>
    <m/>
    <m/>
    <m/>
    <m/>
    <m/>
    <m/>
    <m/>
    <m/>
    <m/>
    <m/>
    <m/>
    <m/>
    <m/>
    <m/>
    <m/>
    <m/>
    <d v="2016-09-01T00:00:00"/>
    <d v="2019-08-31T00:00:00"/>
    <m/>
    <s v="Development Other"/>
    <n v="3890498.4183863802"/>
    <s v="Faton Krasniqi"/>
    <s v="Project Manager"/>
    <s v="Faton.Krasniqi@care.org"/>
    <s v="Vesna  Jovanovic"/>
    <s v="Regional Program Coordinator Social and Economic Inclusion"/>
    <s v="vjovanovic@care.rs"/>
    <s v="NO"/>
    <s v="YES"/>
    <s v="NO"/>
    <s v="To contribute to a sustainable and inclusive rural economic development, as well as income and employment generation in the target municipalities Prishtinë/Pritina, Novo Brdo/Novobrdë, Kamenicë/a and Ranil(l)ug."/>
    <s v="National"/>
    <s v="Kosovo, Municipalities of Prishtinë/Pritina, Novo Brdo/Novobrdë, Kamenicë/a and Ranil(l)ug."/>
    <s v="Staff members working at Directorates of Agriculture and Rural Development at target  Municipalities of  Prishtinë/Pritina, Novo Brdo/Novobrdë, Kamenicë/a and Ranil(l)ug, Young graduates in areas of economic development, agriculture and food processing farmers/producers from Municipalities of  Prishtinë/Pritina, Novo Brdo/Novobrdë, Kamenicë/a and Ranil(l)ug. Women and vulnerable communities from target Municipalities of  Prishtinë/Pritina, Novo Brdo/Novobrdë, Kamenicë/a and Ranil(l)ug."/>
    <n v="125"/>
    <n v="250"/>
    <n v="375"/>
    <n v="4500"/>
    <n v="5500"/>
    <n v="10000"/>
    <s v="20 staff members from Municipalities of  Prishtinë/Pritina, Novo Brdo/Novobrdë, Kamenicë/a and Ranil(l)ug, Kosovo.15 young professionals from Municipalities of  Prishtinë/Pritina, Novo Brdo/Novobrdë, Kamenicë/a and Ranil(l)ug, Kosovo.250 farmers directly involved in project trainings Municipalities of  Prishtinë/Pritina, Novo Brdo/Novobrdë, Kamenicë/a and Ranil(l)ug, Kosovo. At least 90 women and vulnerable community members: women (with priority given to female headed households), small holder farmers, unemployed youth, Roma and/or Ashkali and other excluded ethnic minorities receiving project trainings in business start-ups and 45 of them grants for their realization"/>
    <m/>
    <m/>
    <m/>
    <m/>
    <m/>
    <m/>
    <m/>
    <s v="NO"/>
    <m/>
    <m/>
    <m/>
    <s v="NO"/>
    <m/>
    <m/>
    <m/>
    <s v="NO"/>
    <m/>
    <m/>
    <m/>
    <s v="NO"/>
    <m/>
    <m/>
    <m/>
    <s v="NO"/>
    <m/>
    <m/>
    <m/>
    <s v="NO"/>
    <m/>
    <m/>
    <m/>
    <s v="NO"/>
    <m/>
    <m/>
    <m/>
    <s v="NO"/>
    <m/>
    <m/>
    <m/>
    <s v="NO"/>
    <m/>
    <m/>
    <m/>
    <s v="NO"/>
    <m/>
    <m/>
    <m/>
    <s v="NO"/>
    <m/>
    <m/>
    <m/>
    <s v="NO"/>
    <m/>
    <m/>
    <m/>
    <m/>
    <m/>
    <m/>
    <m/>
    <m/>
    <n v="125"/>
    <n v="250"/>
    <n v="375"/>
    <n v="4500"/>
    <n v="5500"/>
    <n v="10000"/>
    <s v="YES"/>
    <n v="115"/>
    <n v="0.37"/>
    <n v="472"/>
    <m/>
    <m/>
    <m/>
    <m/>
    <m/>
    <m/>
    <m/>
    <m/>
    <m/>
    <m/>
    <m/>
    <m/>
    <m/>
    <m/>
    <m/>
    <m/>
    <m/>
    <m/>
    <m/>
    <m/>
    <m/>
    <m/>
    <m/>
    <m/>
    <m/>
    <m/>
    <m/>
    <m/>
    <m/>
    <m/>
    <m/>
    <m/>
    <m/>
    <m/>
    <m/>
    <m/>
    <m/>
    <m/>
    <m/>
    <m/>
    <m/>
    <m/>
    <m/>
    <m/>
    <m/>
    <m/>
    <m/>
    <m/>
    <m/>
    <m/>
    <m/>
    <m/>
    <m/>
    <m/>
    <m/>
    <m/>
    <s v="YES"/>
    <n v="58"/>
    <n v="0.36"/>
    <n v="192"/>
    <m/>
    <m/>
    <m/>
    <m/>
    <m/>
    <s v="YES"/>
    <s v="April"/>
    <n v="2017"/>
    <s v="NO"/>
    <s v="NO"/>
    <m/>
    <m/>
    <m/>
    <x v="1"/>
    <s v="YES"/>
    <s v="YES"/>
    <s v="YES"/>
    <s v="YES"/>
    <m/>
    <m/>
    <m/>
    <s v="YES"/>
    <s v="The project strongly advocates for higher and more visible involvement of women in agricultural production in the target municipalities."/>
    <x v="0"/>
    <m/>
    <x v="3"/>
    <s v="The RESI project uses methods and practice of CARE Balkans in women's economic empowerment. The project scales the methodologies for selection of beneficiaries and entire support scheme from the CARE Balkans previous agricultural development project in Kosovo."/>
    <x v="0"/>
    <x v="0"/>
    <s v="YES"/>
    <x v="0"/>
    <x v="0"/>
    <x v="0"/>
    <x v="0"/>
    <n v="4"/>
    <x v="1"/>
    <x v="1"/>
    <x v="1"/>
    <x v="1"/>
    <x v="2"/>
    <x v="1"/>
    <n v="3"/>
    <x v="1"/>
    <x v="1"/>
    <x v="2"/>
    <x v="1"/>
    <x v="3"/>
    <n v="2"/>
    <x v="2"/>
    <x v="3"/>
    <n v="4"/>
    <s v="Grassroots organization(s)"/>
    <s v="Local government(s)"/>
    <s v="Local NGO(s)/CSO(s)"/>
    <x v="2"/>
    <s v="The project supported establishment of new farmers associations in the target Municipalities of Prishtinë/Pritina, Novo Brdo/Novobrdë, Kamenicë/a and Ranil(l)ug, Kosovo."/>
    <m/>
    <s v="The project has in place a system of impartial evaluation of applications for grants and decision making during the selection of beneficiaries for grants."/>
    <s v="Intense work and constant communication with various local stakeholders (families, local authorities) is needed to overcome barriers of traditional environments when it comes to increasing economic inclusion of women."/>
    <m/>
    <s v="To date there are few lessons learned which should be confirmed in the next period of the project implementation."/>
    <m/>
    <m/>
    <m/>
    <m/>
    <n v="375"/>
    <n v="10000"/>
    <n v="26.666666666666668"/>
    <n v="0.33333333333333331"/>
    <n v="0.45"/>
    <n v="125"/>
    <n v="4500"/>
    <s v=""/>
    <n v="0"/>
    <n v="0"/>
    <s v=""/>
    <n v="1"/>
    <n v="115"/>
    <n v="472"/>
    <n v="4.1043478260869568"/>
    <s v=""/>
    <n v="0"/>
    <n v="0"/>
    <s v=""/>
    <s v=""/>
    <n v="0"/>
    <n v="0"/>
    <s v=""/>
    <n v="1"/>
    <n v="58"/>
    <n v="192"/>
    <n v="3.3103448275862069"/>
    <s v="2. Sensitive"/>
    <s v="2. Accommodating"/>
    <s v="1. Neutral"/>
    <s v="It did not develop any specific innovation"/>
    <s v="Moderate advocacy"/>
    <s v="It took tested solutions to scale on its own"/>
  </r>
  <r>
    <x v="38"/>
    <x v="1"/>
    <n v="3086"/>
    <s v="Support to Agribusiness of the Gjilan/Gnjilane Region"/>
    <s v="Kosovo"/>
    <s v="2014/354-518"/>
    <s v="CARE Deutschland-Luxemburg"/>
    <s v="Multilateral agency"/>
    <s v="EU - European Union (other than ECHO)"/>
    <s v="EU"/>
    <m/>
    <m/>
    <m/>
    <m/>
    <m/>
    <m/>
    <m/>
    <m/>
    <m/>
    <m/>
    <m/>
    <m/>
    <m/>
    <m/>
    <m/>
    <m/>
    <m/>
    <m/>
    <m/>
    <m/>
    <m/>
    <m/>
    <m/>
    <m/>
    <m/>
    <m/>
    <m/>
    <m/>
    <m/>
    <m/>
    <m/>
    <m/>
    <m/>
    <m/>
    <m/>
    <m/>
    <m/>
    <m/>
    <m/>
    <m/>
    <m/>
    <m/>
    <m/>
    <m/>
    <m/>
    <d v="2014-12-16T00:00:00"/>
    <d v="2016-03-16T00:00:00"/>
    <d v="2016-07-31T00:00:00"/>
    <s v="Development Access to and Control over Economic Resources"/>
    <n v="624584.88"/>
    <s v="Luarza Muhadri"/>
    <s v="Project Manager"/>
    <s v="luarza.muhadri@care.org"/>
    <s v="Vesna  Jovanovic"/>
    <s v="Regional Program Coordinator Social and Economic Inclusion"/>
    <s v="vjovanovic@care.rs"/>
    <s v="NO"/>
    <s v="YES"/>
    <s v="NO"/>
    <s v="Contribution to the economic regeneration of the Gjilan/Gjilane Region, through: 1)Investing resources for creation of favourable conditions for the agricultural developments between producers and business integrators. 2) Enhancing business development through capacity building program for the Gjilan/Gnjilane Business Support Centre (BSC) and inclusion of 100 schools and university students in the working environment. 3) Increase in capacities of local businesses in advocacy and lobbying for favourable conditions for agribusinesses."/>
    <s v="National"/>
    <s v="Kosovo, Gjilan/Gnjilane Region (Gjilan/Gnjilane Municipality, Kamenice/Kamenica Municipality, Novoberde/Novo Brdo Municipality, Viti/Vitina Municipality)"/>
    <s v="Agricultural producers from Gjilan/Gnjilane region and their families.  Local authorities, particularly economic development professionals. Young students and local busineses included in the project internship program."/>
    <n v="150"/>
    <n v="200"/>
    <n v="350"/>
    <n v="1000"/>
    <n v="1500"/>
    <n v="2500"/>
    <s v="The direct participants includes producers of green salad, aromatic and medicinal  plants,dryers for medicinal plants,  beneficiaries of agriculture mechanism, greenhouses, interns,business support centre,  while as inderct participants are farmers relatives, trained farmers on agricultural products, co-operative businesses for young interns program, trainings for local businesses representatives on advocacy and lobbying , meetings  for cooperation and link creation opportunites  between producers and businesses. The calculation is made on the basis of direct beneficiaries and the creation of new jobs, the number of participants in various trainings, organized meetings, students engaged in the employment program."/>
    <m/>
    <m/>
    <m/>
    <m/>
    <m/>
    <m/>
    <m/>
    <m/>
    <m/>
    <m/>
    <m/>
    <m/>
    <m/>
    <m/>
    <m/>
    <m/>
    <m/>
    <m/>
    <m/>
    <m/>
    <m/>
    <m/>
    <m/>
    <m/>
    <m/>
    <m/>
    <m/>
    <m/>
    <m/>
    <m/>
    <m/>
    <m/>
    <m/>
    <m/>
    <m/>
    <m/>
    <m/>
    <m/>
    <m/>
    <m/>
    <m/>
    <m/>
    <m/>
    <m/>
    <m/>
    <m/>
    <m/>
    <m/>
    <m/>
    <m/>
    <m/>
    <m/>
    <m/>
    <m/>
    <m/>
    <m/>
    <m/>
    <m/>
    <m/>
    <m/>
    <m/>
    <m/>
    <m/>
    <m/>
    <m/>
    <m/>
    <s v="YES"/>
    <n v="50"/>
    <n v="0.2"/>
    <n v="600"/>
    <m/>
    <m/>
    <m/>
    <m/>
    <m/>
    <m/>
    <m/>
    <m/>
    <m/>
    <m/>
    <m/>
    <m/>
    <s v="YES"/>
    <n v="110"/>
    <n v="0.7"/>
    <n v="1500"/>
    <m/>
    <m/>
    <m/>
    <m/>
    <m/>
    <m/>
    <m/>
    <m/>
    <m/>
    <m/>
    <m/>
    <m/>
    <m/>
    <m/>
    <m/>
    <m/>
    <m/>
    <m/>
    <m/>
    <m/>
    <m/>
    <m/>
    <m/>
    <m/>
    <m/>
    <m/>
    <m/>
    <m/>
    <s v="YES"/>
    <n v="200"/>
    <n v="0.3"/>
    <n v="400"/>
    <m/>
    <m/>
    <m/>
    <m/>
    <m/>
    <m/>
    <m/>
    <m/>
    <m/>
    <m/>
    <m/>
    <m/>
    <m/>
    <m/>
    <m/>
    <m/>
    <m/>
    <s v="YES"/>
    <s v="September"/>
    <n v="2016"/>
    <s v="NO"/>
    <s v="NO"/>
    <m/>
    <m/>
    <s v="The project was finished on July 31, 2016. Thus, only the final project month is in FY 17, where the final monitoring and finishing activities, such as The final external evaluation were done."/>
    <x v="1"/>
    <m/>
    <s v="YES"/>
    <s v="YES"/>
    <m/>
    <s v="YES"/>
    <m/>
    <m/>
    <m/>
    <m/>
    <x v="1"/>
    <s v="The project tested the incubator model for more intense agricultural production, cooperation with two local companies that specialise in collecting and processing of agri products. Internship program - professional practice for 100 students was organised in cooperation with local business companies. more that 30% of them was permanently employed by companies until the end of the project."/>
    <x v="0"/>
    <s v="The project was too short for further testing of the implemented successful model."/>
    <x v="0"/>
    <x v="0"/>
    <s v="YES"/>
    <x v="1"/>
    <x v="0"/>
    <x v="1"/>
    <x v="1"/>
    <n v="2"/>
    <x v="1"/>
    <x v="1"/>
    <x v="1"/>
    <x v="1"/>
    <x v="1"/>
    <x v="1"/>
    <n v="4"/>
    <x v="1"/>
    <x v="1"/>
    <x v="0"/>
    <x v="0"/>
    <x v="3"/>
    <n v="1"/>
    <x v="0"/>
    <x v="2"/>
    <n v="2"/>
    <s v="Local government(s)"/>
    <s v="Local NGO(s)/CSO(s)"/>
    <s v="Private sector"/>
    <x v="2"/>
    <s v="Local citizens (farmers, local business representatives) awarenes raised on their ability to influence change through advocacy and lobbying activities. Improving the local information system for open application calls for business development activities. Increasing transparency through demonstrating 360° accountability for project activities and results. Creating sustainable alliencies between businesses and agricultural producers as basis for further economic strengthening. Introducing internships for young professionals - students in local businesses, thus raising awareness on the importance of engaging youth."/>
    <s v="The project undertook additional capacity building measures for professionals dealing with economic development (Municipality's Business Support Center) and  trainings-lectures on various agricultural topics of concern for wider audience - potential greenhouse producers. One advocacy strategy developed by business representatives."/>
    <s v="Job placement - internship organised within the project for young professionals - students in local companies. As result, more than 30% of interns got employment within businesses they had their internships in."/>
    <s v="Conducting assessment of current capacities in advocacy and lobbying among local companies in Gjilan/Gnjilane region, including potentials for advocacy for legislation support concerning Gjilan/Gnjilane region- This helped in collecting of information regarding structure of the business, its size, their cooperation with municipal bodies, their needs for capacity building, their interest in receiving interns in different professional fields etc."/>
    <s v="Value chain model has been established. The targeted  producers, dryer beneficiaries, and greenhouses beneficiaries have created favourable conditions for the agribusiness development by the end of the project."/>
    <s v="Pay attention to (and by all means limit) the level of the involvement of the local governments in future actions, especially in selection of potential grant beneficiaries, to avoid nepotism and directing the project activities towards the local political agendas."/>
    <s v="In future agricultural projects, include certification for Global GAP and BIO in agricultural projects, to enable  farmers to have access to national and  international markets."/>
    <s v="Within economic development projects, always have several alternatives for securing the market, in case the planned choice fails."/>
    <s v="The project created a successful and sustainable business model in remote rural areas, thus contributing to increase of employment, use of land and natural resources, and, at the same time, decrease of migration from rural to urban areas."/>
    <m/>
    <n v="0"/>
    <n v="0"/>
    <s v=""/>
    <s v=""/>
    <s v=""/>
    <n v="0"/>
    <n v="0"/>
    <s v=""/>
    <n v="0"/>
    <n v="0"/>
    <s v=""/>
    <n v="1"/>
    <n v="110"/>
    <n v="1500"/>
    <n v="13.636363636363637"/>
    <s v=""/>
    <n v="0"/>
    <n v="0"/>
    <s v=""/>
    <s v=""/>
    <n v="0"/>
    <n v="0"/>
    <s v=""/>
    <n v="1"/>
    <n v="77"/>
    <n v="1050"/>
    <n v="13.636363636363637"/>
    <s v="1. Neutral"/>
    <s v="2. Accommodating"/>
    <s v="1. Neutral"/>
    <s v="It tested new ways for fighting poverty, but did not measure results of innovation"/>
    <s v="Moderate advocacy"/>
    <s v="It did not take tested solutions to scale"/>
  </r>
  <r>
    <x v="38"/>
    <x v="1"/>
    <n v="2806"/>
    <s v="The Boys and Men as Allies in Violence Prevention and Gender Transformation in the Western Balkans"/>
    <s v="Kosovo"/>
    <s v="PN: BIH105 FC: BA305"/>
    <s v="CARE Österreich"/>
    <s v="Government"/>
    <s v="Government - Austria"/>
    <s v="Austrian Development Agency (ADA)"/>
    <s v="PN: BIH116 FC: BA316"/>
    <s v="No CARE member related to the project/initiative"/>
    <s v="Foundation"/>
    <s v="Other"/>
    <s v="OAK Foundation"/>
    <m/>
    <m/>
    <s v="Foundation"/>
    <s v="Other"/>
    <m/>
    <m/>
    <m/>
    <m/>
    <m/>
    <m/>
    <m/>
    <m/>
    <m/>
    <m/>
    <m/>
    <m/>
    <m/>
    <m/>
    <m/>
    <m/>
    <m/>
    <m/>
    <m/>
    <m/>
    <m/>
    <m/>
    <m/>
    <m/>
    <m/>
    <m/>
    <m/>
    <m/>
    <m/>
    <m/>
    <m/>
    <m/>
    <m/>
    <m/>
    <m/>
    <m/>
    <d v="2013-12-01T00:00:00"/>
    <d v="2016-11-30T00:00:00"/>
    <m/>
    <s v="Development A Life Free From Violence (GBV)"/>
    <n v="1471221"/>
    <s v="Sumka Bucan"/>
    <s v="Regional Director"/>
    <s v="sbucan@carenwb.org"/>
    <s v="Saa Petkovic"/>
    <s v="Project Manager"/>
    <s v="spetkovic@carenwb.org"/>
    <s v="NO"/>
    <s v="YES"/>
    <s v="NO"/>
    <s v="The project purpose is to increase the uptake of healthy, non-violent and gender equitable lifestyles amongst boys and men (and girls and women) participating in the program. This will be achieved through 3 inter-related results: ER1: Gender Transformative Life Skills program (Program M) adopted, accredited and teachers trained by Ministry of Education for use in secondary schools; ER 2: Lifestyle and social norms campaigns to engage boys and men on issues of violence prevention, gender equality and fatherhood are developed and reach the targeted audience; ER3: Local NGO partners act as national resource centres and promote practice, policy and research work engaging boys and men. The project purpose is to increase the uptake of healthy, non-violent and gender equitable lifestyles amongst boys and men (and girls and women) participating in the program. This will be achieved through 3 inter-related results: ER1: Gender Transformative Life Skills program (Program M) adopted, accredited and teachers trained by Ministry of Education for use in secondary schools; ER 2: Lifestyle and social norms campaigns to engage boys and men on issues of violence prevention, gender equality and fatherhood are developed and reach the targeted audience; ER3: Local NGO partners act as national resource centres and promote practice, policy and research work engaging boys and men."/>
    <s v="Multiple countries"/>
    <s v="Serbia, Croatia, Kosovo, Bosnia &amp; Herzegovina and Albania"/>
    <s v="The major target groups of the project are the five local partner organisations, 25,000 secondary school age youth, especially those from lower socio-economic background who face higher levels of social exclusion in Serbia, Croatia, Kosovo, Bosnia and Herzegovina and Albania, with an emphasis on young men; in addition 2000 fathers and other male care givers. Secondary target groups include 500 educators that will be trained in the Young Men Initiative methodology, based on the Program M Manual. Additionally 200 pedagogy students will be targeted, in order to provide them practical skills before entering the profession. Also the capacities of 20 educators will be strengthened to become trainers of trainers (ToT), thus to create a group of peer educators that would act as catalysts for disseminating the Gender Transformative Life Skills program (Program M) in schools. A key target group is staff from the Ministry for Education and Gender Agencies and ministries dealing with gender equality as well as decentralised governmental gender structures at entity/canton/municipality level. With the aim of mainstreaming gender equitable approaches in the educational system, educators and pedagogy students will be directly targeted with capacity building. The main beneficiaries are young men in the targeted 4 countries."/>
    <n v="31"/>
    <n v="123"/>
    <n v="154"/>
    <n v="1000"/>
    <n v="4400"/>
    <n v="5400"/>
    <s v="In this project, 5 local organisations are partners in the implementation of the planned results. In each country (Kosovo, Albania, Serbia and Bosnia and Herzegovina). They have a network of over 1000 peer educators around the country that supports its primary focus on youth health and violence prevention. These organisations are both, implementing partners of CARE but also a target group of the project, since CARE continues to focus on building their capacity to be the leading CSOs and partners of choice of different stakeholders in addressing violence and work with boys and men with a gender equality framework. Another target group are 500 secondary school educators and 200 students of pedagogical faculties in the countries. In addition 20 selected educators will be targeted and provided with capacity building as trainers of trainers (ToT). In addition 2000 fathers and male care givers will be targeted in educational and campaign related activities.  The project anticipates reaching over 25,000 youth over 3 years by educational workshops and campaigns. The final beneficiaries include the wider family environment of the participating 25,000 youth and the 2000 fathers.  It is around 5,400 direct and indirect beneficiaries per state including Croatia - OAK component opf the YMI regional project)."/>
    <m/>
    <m/>
    <m/>
    <m/>
    <m/>
    <m/>
    <m/>
    <m/>
    <m/>
    <m/>
    <m/>
    <m/>
    <m/>
    <m/>
    <m/>
    <m/>
    <m/>
    <m/>
    <m/>
    <m/>
    <m/>
    <m/>
    <m/>
    <m/>
    <m/>
    <m/>
    <m/>
    <m/>
    <m/>
    <m/>
    <m/>
    <m/>
    <m/>
    <m/>
    <m/>
    <m/>
    <m/>
    <m/>
    <m/>
    <m/>
    <m/>
    <m/>
    <m/>
    <m/>
    <m/>
    <m/>
    <m/>
    <m/>
    <m/>
    <m/>
    <m/>
    <m/>
    <m/>
    <m/>
    <m/>
    <m/>
    <m/>
    <m/>
    <m/>
    <m/>
    <n v="140"/>
    <n v="502"/>
    <n v="642"/>
    <n v="2119"/>
    <n v="3329"/>
    <n v="5448"/>
    <m/>
    <m/>
    <m/>
    <m/>
    <m/>
    <m/>
    <m/>
    <m/>
    <m/>
    <m/>
    <m/>
    <m/>
    <m/>
    <m/>
    <m/>
    <m/>
    <m/>
    <m/>
    <m/>
    <m/>
    <s v="YES"/>
    <n v="642"/>
    <n v="0.22"/>
    <m/>
    <m/>
    <m/>
    <m/>
    <m/>
    <s v="YES"/>
    <n v="5448"/>
    <n v="0.39"/>
    <m/>
    <s v="YES"/>
    <n v="5448"/>
    <n v="0.39"/>
    <m/>
    <m/>
    <m/>
    <m/>
    <m/>
    <m/>
    <m/>
    <m/>
    <m/>
    <m/>
    <m/>
    <m/>
    <m/>
    <m/>
    <m/>
    <m/>
    <m/>
    <s v="YES"/>
    <n v="642"/>
    <n v="0.3"/>
    <m/>
    <m/>
    <m/>
    <m/>
    <m/>
    <m/>
    <m/>
    <m/>
    <m/>
    <m/>
    <m/>
    <m/>
    <m/>
    <m/>
    <s v="NO"/>
    <m/>
    <m/>
    <s v="YES"/>
    <s v="NO"/>
    <s v="September"/>
    <m/>
    <s v="End line assessment and Final evaluation are done in October 2016."/>
    <x v="2"/>
    <m/>
    <m/>
    <m/>
    <m/>
    <m/>
    <m/>
    <m/>
    <m/>
    <m/>
    <x v="1"/>
    <s v="Kosovos Ministry of Education, Science &amp; Technology issued on December 13th 2016 a one-year accreditation for Program Y in the occasion of teachers application for the License. Program Y accreditation enabled the non-interrupted entrance to schools and"/>
    <x v="1"/>
    <m/>
    <x v="2"/>
    <x v="1"/>
    <s v="YES"/>
    <x v="0"/>
    <x v="0"/>
    <x v="0"/>
    <x v="2"/>
    <n v="4"/>
    <x v="2"/>
    <x v="1"/>
    <x v="1"/>
    <x v="1"/>
    <x v="1"/>
    <x v="2"/>
    <n v="4"/>
    <x v="3"/>
    <x v="1"/>
    <x v="1"/>
    <x v="1"/>
    <x v="4"/>
    <n v="3"/>
    <x v="2"/>
    <x v="3"/>
    <n v="2"/>
    <s v="Local NGO(s)/CSO(s)"/>
    <s v="National government"/>
    <s v="Grassroots organization(s)"/>
    <x v="0"/>
    <s v="During the course of 3 years of project implementation CARE was building the capacities of local partners to lead the debates and engage with policy makers and other important stakeholders on violence prevention and promotion of healthy lifestyles among youth. The capacity building was done through regular consultative meetings between CARE and partners, at the Partners meetings (twice per year), through online communication. Furthermore during the every visit of CARE staff to the project site, CARE and partners had attended the meetings with relevant stakeholders (Ministries of Education, Gender Centres etc.), where the discussion about action plans and sustainability and as well evaluation of the project implementation were discussed. The trainings were also done, two related to Most Significant Change Methodology, two related to Child Protection Policy Development, one related to Youth Extremism and 3 related to Youth Mental Health."/>
    <s v="The project has not experienced any important changes/adjustments in this FY"/>
    <s v="Kosovos Ministry of Education, Science &amp; Technology issued on December 13th 2016 a one-year accreditation for Program Y in the occasion of teachers application for the License. Program Y accreditation enabled the non-interrupted entrance to schools and possibility to initiate further reforms of school curriculums in the future"/>
    <s v="Most Significant Change Methodology this methodology was presented and introduced at the project start as part of the capacity building program of partner organizations and an innovative monitoring tool. Based on the discussion with partners, it was decided that only one segment of this method would be used and tested during the project. The methodology was piloted in a way to focus on gathering personal stories from beneficiaries, mainly young men, with help of a specific interviewing template. The benefit was twofold, first of all the team leaders and coordinators got trained on using the technique; they learned how to observe and practice interviewing beneficiaries in search of different type of changes. Secondly, the partner organizations embraced this monitoring tool as a great method of qualitative data gathering and recording, but also as a useful technique that can and should be built upon and expanded in the future to also include wider organizational monitoring and development aspects. During the project period, the partner organizations gathered more than 50 stories describing different types of changes that have happened to the beneficiaries as a direct result of participating in the project. The project team has selected four, one representing each country as a sample in Annex 7. We would also like to emphasize that this methodology enabled that Dragan Kisin, young men from Banja Luka tells his story which was used by Thomson Reuters Foundation for making a short documentary Story of &quot;Dragan&quot;: Balkan boys challenge post-war machismo that premiered in May of 2016. This short film tells Dragans story in his own words about how his involvement in the project has had a positive impact on his life. The film won the 1st prize Ron Kovic Peace Prize at 12th Annual My Hero International Film Festival in USA in 2016. https://www.consciousgood.com/post-war-machismo-be-a-man/"/>
    <s v="Youth from all cities pointed out that the project had a great impact. They mentioned different indicators of projects impact. The most concrete impact relates to change of attitudes and behaviours of youth who directly participated in the programme. Special credit for sucess goest to &quot;Be a man&quot; clubs."/>
    <s v="1. Clear and good structure of the program produces results in the long run, even when the envisaged goals are ambitious. YMI Project has been positively valued by its participants because of its &quot;firm structure and coordination&quot;. By also applying a flexible approach when it comes to implementation, based on specific needs and contexts, the YMI Project has ensured proper coordination and a more effective results. The project has a strong coordination function with the key activities implemented and standards ensured, but it also promoted tailored-made approach at the local level."/>
    <s v="2. What you measure is what you get. During the implementation of such complex project as YMI is, a regular and adequate monitoring is of greatest importance. YMI Project has succeeded to develop comprehensive but user friendly measuring instruments which enabled a regular and accurate monitoring and reporting. The YMI has even managed to reach the most socially excluded youth groups through different activities. The approaches on how to involve Roma, Ashkali and Egyptian community in the Project activities differ among the countries, since they were based on the local circumstances (presence of Roma children in selected schools) as well as the of the local stakeholders capacities."/>
    <s v="3. Piloting before rolling-out decreases the cost of implementation. Piloting can contribute to the cost decrease and avoidance of unnecessary transactional costs during the process of implementation. This can improve productivity and efficiency of some specific services and products before scaling-up at the wider territory. The cost of some YMI project activities were decreased through step by step approach and development of products and services on a smaller scale. Such models were then further implemented and scaled-up."/>
    <s v="Efforts should be invested in mainstreaming gender equality and GBV issues into existing curricula and programs of various organizations which implement activities in schools. This could significantly contribute to further sustainability of the project results. Every year different organizations and institutions develop number of programs and new curricula and schools have lot of issues with identifying the most suitable and relevant ones. Instead of producing new education programs and investing lot of efforts in its accreditation, mainstreaming serve as a more strategic and feasible option. As per the content of the educational programs, respondents recognized the need for including/emphasizing following topics: psychological violence, Internet safety, safety of youth in general. One could ensure even greater and more strategic involvement of media in the program. For the long term success of the program it is not enough only to have a number of media releases about the project activities, but also to have editors and journalists setting the societal values. Additional strategies for media sensitization and participation could be also added value for the next phases of the YMI initiative. Public advocacy space is still to be explored and comprehensive strategies as well as national advocacy action plans to be developed and coordinated, since this would be logical next step in the project concept further development. Attention should be specifically put on the involvement of the primer constituency group in the advocacy initiatives. Students should be supported to formulate their own initiatives and to advocate for sustainable systemic changes. Most significant change methodology could also be used in this process as a good communication tool for gaining wider public support. Continue the work in the area of community involvement. The idea of BMCs which function as local youth clubs and resource centers for youth in the domain of promotion of gender equality, healthy lifestyles and violence prevention, should be additionally supported. In addition, CARE could support additional capacity development of  BMCs to become key actors of local referral mechanisms for youth in need of additional support mediation, counseling, etc. Interest members capacities for the provision of this type of peer support could be also developed and the communities as a whole could benefit a lot from this approach. Partner organizations need continuous support in becoming learning organizations. Namely, their M&amp;E capacities and members capacities for continues learning and development need additional support from CARE. In addition, their knowledge on gender equality, relevant international standards in this area, as well as regional legislation and strategic framework, should also be further developed. Cooperation with womens organizations should be intensify in the future, since feminist expertise could provide the Project with additional impetus and quality Also, local partner organizations should be additionally supported to advance their position in the civil society and become sectorial leaders which promote participation, wide consultations and innovative approaches. In future, some efforts should be invested in creating relevant links with existing mechanisms for violence prevention. For example, General and Specific Protocols for Protection of Children against Abuse and Neglect in Serbia envisage specific mechanism for dealing with violence in school context. Apart from potential advancement of such norms, activities could be coordinated with similar mechanisms in the region in order to become integral part of future practices. Apart from high school students, younger youth could be involved more actively in the Project implementation in the next phase. Good examples from Banjaluka in this regard could be a roadmap for further program development. Namely, Perpetuum Mobile had implemented set of educational activities in the primary school in Banjaluka and had great success with this activity. One could argue that the social change starts with the formation of attitudes in early stages of childhood. CAREs capacities should be utilized for this purposes. Existing structure for education programs implementation needs continues support in development. It would be of great importance to further utilize established structure of educators, including peer educators and this would require: a. Development of clear criteria for the selection of future educators; b. Educators continues capacity development in training design, working methods and tools, reporting and evaluation; c. Educators continues development in wider understanding of the training topics, including policy framework and school mechanism for protection against discrimination and violence. Regional networking events should be organized in future, since this approach influence reconciliation and peace building in the whole region and motivate young men to adopt new values and to be more active and involved within their communities."/>
    <s v="http://www.youngmeninitiative.net/en/?page=36"/>
    <n v="642"/>
    <n v="5448"/>
    <n v="8.4859813084112155"/>
    <n v="0.21806853582554517"/>
    <n v="0.38895007342143906"/>
    <n v="140"/>
    <n v="2119"/>
    <s v=""/>
    <n v="0"/>
    <n v="0"/>
    <s v=""/>
    <s v=""/>
    <n v="0"/>
    <n v="0"/>
    <s v=""/>
    <n v="1"/>
    <n v="642"/>
    <n v="0"/>
    <n v="0"/>
    <n v="1"/>
    <n v="5448"/>
    <n v="0"/>
    <n v="0"/>
    <s v=""/>
    <n v="0"/>
    <n v="0"/>
    <s v=""/>
    <s v="4. Transformative"/>
    <s v="4. Transformational"/>
    <s v="4. Transformative"/>
    <s v="It tested new ways for fighting poverty, but did not measure results of innovation"/>
    <s v="Intensive advocacy"/>
    <s v="It linked and worked with strategic alliances and partners to take tested and effective solutions to scale"/>
  </r>
  <r>
    <x v="39"/>
    <x v="0"/>
    <m/>
    <s v="Enhancing adaptive capacity of women and ethnic minority smallholder farmers through improved agro-climate information in South-East Asia (ACIS)"/>
    <s v="Laos"/>
    <s v="LAO182"/>
    <s v="CARE Danmark"/>
    <s v="Other"/>
    <s v="Other"/>
    <s v="Danish Telethon/Danmarks Indsamlingen"/>
    <m/>
    <m/>
    <m/>
    <m/>
    <m/>
    <m/>
    <m/>
    <m/>
    <m/>
    <m/>
    <m/>
    <m/>
    <m/>
    <m/>
    <m/>
    <m/>
    <m/>
    <m/>
    <m/>
    <m/>
    <m/>
    <m/>
    <m/>
    <m/>
    <m/>
    <m/>
    <m/>
    <m/>
    <m/>
    <m/>
    <m/>
    <m/>
    <m/>
    <m/>
    <m/>
    <m/>
    <m/>
    <m/>
    <m/>
    <m/>
    <m/>
    <m/>
    <m/>
    <m/>
    <m/>
    <d v="2015-10-06T00:00:00"/>
    <d v="2018-12-31T00:00:00"/>
    <m/>
    <s v="Development Food &amp; Nutrition Security and Resilience to Climate Change"/>
    <n v="493184"/>
    <s v="Robin aus der Beek"/>
    <s v="Assistant Country Director - Program"/>
    <s v="Robin.ausderBeek@careint.org"/>
    <s v="Phonesavanh Latmany"/>
    <s v="Senior Climate Change/Disaster Risk Management Advisor"/>
    <s v="Phonesavanh.Latmany@careint.org"/>
    <s v="NO"/>
    <s v="YES"/>
    <s v="NO"/>
    <s v="Enhance the adaptive capacity of women and ethnic minority (W&amp;EM) farmers to better anticipate and respond to risks and opportunities from climatic variability"/>
    <s v="Sub-National"/>
    <s v="In Laos, the project is focused in Gnot-Ou, Mai, and Samphanh distircts of Phongsaly; In Vientiane Province, the project is being implemented in Ekxang village, which is a Climate Smart Village."/>
    <s v="Women and Ethnic minority smallholder farmers and Champion farmers as primary target group; seoncdary target group includes Agricultural and meteorological service providers and Public sector institutions."/>
    <n v="262"/>
    <n v="42"/>
    <n v="304"/>
    <n v="524"/>
    <n v="84"/>
    <n v="608"/>
    <s v="Direct beneficiaries are ethnic farmers who are part of the Farmer Learning Networks and Farmer Field School. They got involved in capacity building and planning workshop on agro-advisories incorporating climate information.  Secondly primary direct beneficiaries are also members of VSLA groups established by the project in 11 villages. In this case, indirect beneficiaries are two times number of direct beneficiaries. In Ekxang village of Vientiane Province, direct benficairies are members of Farmer Field School, 35 of them. The project will likely work with these champion farmers (or numbers might not change despite replacement) for the life of the project."/>
    <m/>
    <m/>
    <m/>
    <m/>
    <m/>
    <m/>
    <m/>
    <m/>
    <m/>
    <m/>
    <m/>
    <m/>
    <m/>
    <m/>
    <m/>
    <m/>
    <m/>
    <m/>
    <m/>
    <m/>
    <m/>
    <m/>
    <m/>
    <m/>
    <m/>
    <m/>
    <m/>
    <m/>
    <m/>
    <m/>
    <m/>
    <m/>
    <m/>
    <m/>
    <m/>
    <m/>
    <m/>
    <m/>
    <m/>
    <m/>
    <m/>
    <m/>
    <m/>
    <m/>
    <m/>
    <m/>
    <m/>
    <m/>
    <m/>
    <m/>
    <m/>
    <m/>
    <m/>
    <m/>
    <m/>
    <m/>
    <m/>
    <m/>
    <m/>
    <m/>
    <n v="262"/>
    <n v="42"/>
    <n v="304"/>
    <n v="524"/>
    <n v="84"/>
    <n v="608"/>
    <s v="YES"/>
    <n v="304"/>
    <n v="0.86"/>
    <n v="608"/>
    <s v="YES"/>
    <n v="304"/>
    <n v="0.86"/>
    <n v="608"/>
    <m/>
    <m/>
    <m/>
    <m/>
    <m/>
    <m/>
    <m/>
    <m/>
    <m/>
    <m/>
    <m/>
    <m/>
    <m/>
    <m/>
    <m/>
    <m/>
    <m/>
    <m/>
    <m/>
    <m/>
    <m/>
    <m/>
    <m/>
    <m/>
    <m/>
    <m/>
    <m/>
    <m/>
    <m/>
    <m/>
    <m/>
    <m/>
    <m/>
    <m/>
    <m/>
    <m/>
    <m/>
    <m/>
    <m/>
    <m/>
    <m/>
    <m/>
    <m/>
    <m/>
    <m/>
    <m/>
    <m/>
    <m/>
    <m/>
    <m/>
    <m/>
    <m/>
    <m/>
    <m/>
    <m/>
    <m/>
    <m/>
    <m/>
    <m/>
    <m/>
    <m/>
    <s v="NO"/>
    <m/>
    <m/>
    <s v="NO"/>
    <s v="NO"/>
    <m/>
    <m/>
    <m/>
    <x v="0"/>
    <s v="NO"/>
    <s v="NO"/>
    <s v="YES"/>
    <s v="NO"/>
    <s v="NO"/>
    <s v="NO"/>
    <s v="NO"/>
    <s v="NO"/>
    <m/>
    <x v="1"/>
    <s v="Participatory Scenaior Planning to help farmers predict and prepare in response to changing weather conditions and to take advantage of the condition where possible."/>
    <x v="0"/>
    <m/>
    <x v="0"/>
    <x v="0"/>
    <s v="YES"/>
    <x v="1"/>
    <x v="0"/>
    <x v="1"/>
    <x v="1"/>
    <n v="2"/>
    <x v="1"/>
    <x v="1"/>
    <x v="1"/>
    <x v="1"/>
    <x v="1"/>
    <x v="1"/>
    <n v="4"/>
    <x v="1"/>
    <x v="1"/>
    <x v="1"/>
    <x v="2"/>
    <x v="3"/>
    <n v="2"/>
    <x v="3"/>
    <x v="0"/>
    <n v="2"/>
    <s v="National government"/>
    <s v="Local government(s)"/>
    <m/>
    <x v="1"/>
    <m/>
    <s v="The project just started its activities this financial year, so no major changes have been observe yet. Nonetheless, we have seen an increased participation of local people in contributing their local knowledge and making plan, using climate information. Also, they have become more active in disseminating information to thier fellow villagers"/>
    <s v="VSLAs"/>
    <s v="Farmer Learning Networks consisting of 30 people (15 female and 14 male) to attend the Participartory Scenario Planning using weather foreacsts (both scientific and traditional) for seasonal planning"/>
    <s v="Farmer Field School in Ekxang village of Vientiane Province."/>
    <s v="District partners lack skills and compentencies to lead the PSP workshop with farmers, despite receiving training on PSP facilitation."/>
    <s v="Duirng the PSP workshop, the combination of indigenous and scientific forecast didn't happen. When asking about their own seasonl forecasts, farmers couldn't tell."/>
    <s v="Using weather information into agricultural planning is still a challenge. Farmers still stick to their usual practices as to when they should plant or harvest."/>
    <s v="We just started the activities this year. Many challenges emerge regarding capability of local partners, delay in procurement of automatic raingauges due to supplier not in the country, and lack of historical data."/>
    <m/>
    <n v="304"/>
    <n v="608"/>
    <n v="2"/>
    <n v="0.86184210526315785"/>
    <n v="0.86184210526315785"/>
    <n v="262"/>
    <n v="524"/>
    <s v=""/>
    <n v="0"/>
    <n v="0"/>
    <s v=""/>
    <n v="1"/>
    <n v="304"/>
    <n v="608"/>
    <n v="2"/>
    <s v=""/>
    <n v="0"/>
    <n v="0"/>
    <s v=""/>
    <s v=""/>
    <n v="0"/>
    <n v="0"/>
    <s v=""/>
    <s v=""/>
    <n v="0"/>
    <n v="0"/>
    <s v=""/>
    <s v="1. Neutral"/>
    <s v="2. Accommodating"/>
    <s v="1. Neutral"/>
    <s v="It tested new ways for fighting poverty, but did not measure results of innovation"/>
    <s v="Little or no advocacy"/>
    <s v="It did not take tested solutions to scale"/>
  </r>
  <r>
    <x v="39"/>
    <x v="0"/>
    <m/>
    <s v="GSK (GlaxoSmithKline) 20% Reinvestment"/>
    <s v="Laos"/>
    <s v="LAO165, LA165"/>
    <s v="CARE UK"/>
    <s v="Other"/>
    <s v="Other"/>
    <s v="GlaxoSmithKline (GSK)"/>
    <m/>
    <m/>
    <m/>
    <m/>
    <m/>
    <m/>
    <m/>
    <m/>
    <m/>
    <m/>
    <m/>
    <m/>
    <m/>
    <m/>
    <m/>
    <m/>
    <m/>
    <m/>
    <m/>
    <m/>
    <m/>
    <m/>
    <m/>
    <m/>
    <m/>
    <m/>
    <m/>
    <m/>
    <m/>
    <m/>
    <m/>
    <m/>
    <m/>
    <m/>
    <m/>
    <m/>
    <m/>
    <m/>
    <m/>
    <m/>
    <m/>
    <m/>
    <m/>
    <m/>
    <m/>
    <d v="2016-04-01T00:00:00"/>
    <d v="2019-03-31T00:00:00"/>
    <m/>
    <s v="Development Sexual, Reproductive and Maternal Health (SRMH)"/>
    <n v="286000"/>
    <s v="Viengprasith Thiphasouda"/>
    <s v="Marginalize Urban Women Program Coordinator"/>
    <s v="viengprasith.thiphasouda@careint.org"/>
    <s v="Robin aus der Beek"/>
    <s v="Assistant Country Director - Program"/>
    <s v="Robin.ausderBeek@careint.org"/>
    <s v="NO"/>
    <s v="YES"/>
    <s v="NO"/>
    <s v="To improve access of the garment factory workers to quality Sexual and Reproductive Health (SRH) services and increase control over their health in three districts in Vientiane"/>
    <s v="Sub-National"/>
    <s v="Laos, Vientiane Capital (Sisattanak, Sikhottabong and Chanthabouly district)"/>
    <s v="Female garment factory workers"/>
    <n v="5320"/>
    <n v="1320"/>
    <n v="6640"/>
    <n v="10640"/>
    <n v="2640"/>
    <n v="13280"/>
    <s v="Direct participants are health education facilitators who are trained to conduct health services to factory workers.  Female garment factory workers trained and mobilized as peer volunteers. Women and men receive health education and awareness training. Women, girls and men receive counselling and health screening through mobile clinics. And female and male reached through social media outreach activities.. Indirect participants are the people who are friends, family member, cousins of direct particiapant - indirect participant calculate by direct participants times two."/>
    <m/>
    <m/>
    <m/>
    <m/>
    <m/>
    <m/>
    <m/>
    <m/>
    <m/>
    <m/>
    <m/>
    <m/>
    <m/>
    <m/>
    <m/>
    <m/>
    <m/>
    <m/>
    <m/>
    <m/>
    <m/>
    <m/>
    <m/>
    <m/>
    <m/>
    <m/>
    <m/>
    <m/>
    <m/>
    <m/>
    <m/>
    <m/>
    <m/>
    <m/>
    <m/>
    <m/>
    <m/>
    <m/>
    <m/>
    <m/>
    <m/>
    <m/>
    <m/>
    <m/>
    <m/>
    <m/>
    <m/>
    <m/>
    <m/>
    <m/>
    <m/>
    <m/>
    <m/>
    <m/>
    <m/>
    <m/>
    <m/>
    <m/>
    <m/>
    <m/>
    <n v="2378"/>
    <n v="169"/>
    <n v="2547"/>
    <n v="4756"/>
    <n v="338"/>
    <n v="5094"/>
    <s v="NO"/>
    <m/>
    <m/>
    <m/>
    <s v="NO"/>
    <m/>
    <m/>
    <m/>
    <s v="NO"/>
    <m/>
    <m/>
    <m/>
    <s v="NO"/>
    <m/>
    <m/>
    <m/>
    <s v="NO"/>
    <m/>
    <m/>
    <m/>
    <s v="NO"/>
    <m/>
    <m/>
    <m/>
    <s v="NO"/>
    <m/>
    <m/>
    <m/>
    <s v="NO"/>
    <m/>
    <m/>
    <m/>
    <s v="NO"/>
    <m/>
    <m/>
    <m/>
    <s v="NO"/>
    <m/>
    <m/>
    <m/>
    <s v="NO"/>
    <m/>
    <m/>
    <m/>
    <s v="NO"/>
    <m/>
    <m/>
    <m/>
    <s v="NO"/>
    <m/>
    <m/>
    <m/>
    <s v="YES"/>
    <n v="2547"/>
    <n v="0.94"/>
    <n v="5094"/>
    <s v="NO"/>
    <m/>
    <m/>
    <m/>
    <s v="NO"/>
    <m/>
    <m/>
    <m/>
    <m/>
    <m/>
    <m/>
    <m/>
    <m/>
    <s v="NO"/>
    <m/>
    <m/>
    <s v="NO"/>
    <s v="NO"/>
    <m/>
    <m/>
    <m/>
    <x v="0"/>
    <s v="NO"/>
    <s v="NO"/>
    <s v="NO"/>
    <s v="YES"/>
    <s v="NO"/>
    <s v="NO"/>
    <s v="NO"/>
    <s v="NO"/>
    <m/>
    <x v="0"/>
    <m/>
    <x v="0"/>
    <m/>
    <x v="0"/>
    <x v="0"/>
    <s v="YES"/>
    <x v="0"/>
    <x v="0"/>
    <x v="0"/>
    <x v="0"/>
    <n v="4"/>
    <x v="1"/>
    <x v="1"/>
    <x v="1"/>
    <x v="1"/>
    <x v="1"/>
    <x v="1"/>
    <n v="4"/>
    <x v="2"/>
    <x v="2"/>
    <x v="2"/>
    <x v="2"/>
    <x v="2"/>
    <n v="0"/>
    <x v="2"/>
    <x v="3"/>
    <n v="2"/>
    <s v="Local government(s)"/>
    <s v="Local NGO(s)/CSO(s)"/>
    <m/>
    <x v="0"/>
    <s v="This project support LaoPHA (Lao Positive Health Association) for conducting health education awareness."/>
    <m/>
    <s v="Health Education Awareness"/>
    <s v="Mobile Clinic in the factory"/>
    <s v="Doctor services weekend to provide coulselling to young people on SHR."/>
    <s v="Limit open 1 hour for mobile clinic services could not cover all factory workers - Extend mobile clinic service more than 1 hour by negotiating with factory employers would help!"/>
    <m/>
    <m/>
    <m/>
    <s v="1. Gender Marker. 2. Resilience Marker"/>
    <n v="2547"/>
    <n v="5094"/>
    <n v="2"/>
    <n v="0.93364742834707504"/>
    <n v="0.93364742834707504"/>
    <n v="2378"/>
    <n v="4756"/>
    <s v=""/>
    <n v="0"/>
    <n v="0"/>
    <s v=""/>
    <s v=""/>
    <n v="0"/>
    <n v="0"/>
    <s v=""/>
    <n v="1"/>
    <n v="2547"/>
    <n v="5094"/>
    <n v="2"/>
    <s v=""/>
    <n v="0"/>
    <n v="0"/>
    <s v=""/>
    <s v=""/>
    <n v="0"/>
    <n v="0"/>
    <s v=""/>
    <s v="2. Sensitive"/>
    <s v="2. Accommodating"/>
    <s v="0. Harmful"/>
    <s v="It did not develop any specific innovation"/>
    <s v="Little or no advocacy"/>
    <s v="It did not take tested solutions to scale"/>
  </r>
  <r>
    <x v="39"/>
    <x v="0"/>
    <n v="3095"/>
    <s v="Northern Uplands - Promoting Climate Resilience (NU-PCR)"/>
    <s v="Laos"/>
    <s v="LAO172 LA150"/>
    <s v="CARE Danmark"/>
    <s v="Government"/>
    <s v="EU - European Union (other than ECHO)"/>
    <s v="EC-European Commission"/>
    <s v="LAO172 LA150"/>
    <s v="CARE Danmark"/>
    <s v="Other"/>
    <s v="Other"/>
    <s v="CARE Denmark"/>
    <m/>
    <m/>
    <m/>
    <m/>
    <m/>
    <m/>
    <m/>
    <m/>
    <m/>
    <m/>
    <m/>
    <m/>
    <m/>
    <m/>
    <m/>
    <m/>
    <m/>
    <m/>
    <m/>
    <m/>
    <m/>
    <m/>
    <m/>
    <m/>
    <m/>
    <m/>
    <m/>
    <m/>
    <m/>
    <m/>
    <m/>
    <m/>
    <m/>
    <m/>
    <m/>
    <m/>
    <m/>
    <m/>
    <m/>
    <m/>
    <d v="2014-03-12T00:00:00"/>
    <d v="2018-03-11T00:00:00"/>
    <m/>
    <s v="Development Food &amp; Nutrition Security and Resilience to Climate Change"/>
    <n v="2720551"/>
    <s v="Kemnakhone Sayabouapha"/>
    <s v="Project Manager"/>
    <s v="khaemnakhone.sayabouapha@careint.org"/>
    <s v="Thipphavanh Malaithong"/>
    <s v="Provincail Program Manager"/>
    <s v="thipphavanh.malaithong@careint.org"/>
    <s v="NO"/>
    <s v="YES"/>
    <s v="NO"/>
    <s v="Remote ethnic women, their families and communities have increased adaptive capacity with the support of capable local authorities and the application of sustainable adaption models"/>
    <s v="Sub-National"/>
    <s v="Phongsaly province (Mai, Ngot Ou and Samphan districts)"/>
    <s v="Remote ethnic women: People who are living in remote areas and affected by the impacts of climate change, main focus on women and poor people."/>
    <n v="1205"/>
    <n v="1255"/>
    <n v="2460"/>
    <n v="8438"/>
    <n v="8782"/>
    <n v="17220"/>
    <s v="Direct partcipants are the people who directly paricipate or involve in project activites implementation and Indirect participants are their family member, their community and nearby communities member. The participants number will be recorded through activitiy tracking system and fied activities reports."/>
    <m/>
    <m/>
    <m/>
    <m/>
    <m/>
    <m/>
    <m/>
    <m/>
    <m/>
    <m/>
    <m/>
    <m/>
    <m/>
    <m/>
    <m/>
    <m/>
    <m/>
    <m/>
    <m/>
    <m/>
    <m/>
    <m/>
    <m/>
    <m/>
    <m/>
    <m/>
    <m/>
    <m/>
    <m/>
    <m/>
    <m/>
    <m/>
    <m/>
    <m/>
    <m/>
    <m/>
    <m/>
    <m/>
    <m/>
    <m/>
    <m/>
    <m/>
    <m/>
    <m/>
    <m/>
    <m/>
    <m/>
    <m/>
    <m/>
    <m/>
    <m/>
    <m/>
    <m/>
    <m/>
    <m/>
    <m/>
    <m/>
    <m/>
    <m/>
    <m/>
    <n v="5243"/>
    <n v="1553"/>
    <n v="6796"/>
    <n v="2700"/>
    <n v="2160"/>
    <n v="4860"/>
    <s v="YES"/>
    <n v="1254"/>
    <n v="0.71"/>
    <n v="1160"/>
    <s v="YES"/>
    <n v="6700"/>
    <n v="0.47"/>
    <n v="5025"/>
    <s v="NO"/>
    <m/>
    <m/>
    <m/>
    <s v="NO"/>
    <m/>
    <m/>
    <m/>
    <s v="YES"/>
    <n v="1185"/>
    <n v="0.5"/>
    <n v="7110"/>
    <s v="NO"/>
    <m/>
    <m/>
    <m/>
    <s v="NO"/>
    <m/>
    <m/>
    <m/>
    <s v="NO"/>
    <m/>
    <m/>
    <m/>
    <s v="NO"/>
    <m/>
    <m/>
    <m/>
    <s v="NO"/>
    <m/>
    <m/>
    <m/>
    <s v="NO"/>
    <m/>
    <m/>
    <m/>
    <s v="YES"/>
    <n v="3476"/>
    <n v="0.49"/>
    <m/>
    <s v="NO"/>
    <m/>
    <m/>
    <m/>
    <s v="NO"/>
    <m/>
    <m/>
    <m/>
    <s v="NO"/>
    <m/>
    <m/>
    <m/>
    <s v="YES"/>
    <n v="238"/>
    <n v="1"/>
    <n v="1428"/>
    <m/>
    <m/>
    <m/>
    <m/>
    <m/>
    <s v="NO"/>
    <m/>
    <m/>
    <s v="NO"/>
    <s v="YES"/>
    <s v="January"/>
    <n v="2018"/>
    <s v="Project Final Evaluation"/>
    <x v="0"/>
    <s v="NO"/>
    <s v="NO"/>
    <s v="NO"/>
    <s v="YES"/>
    <s v="YES"/>
    <s v="NO"/>
    <s v="NO"/>
    <m/>
    <m/>
    <x v="0"/>
    <m/>
    <x v="0"/>
    <m/>
    <x v="0"/>
    <x v="0"/>
    <s v="YES"/>
    <x v="0"/>
    <x v="0"/>
    <x v="0"/>
    <x v="0"/>
    <n v="4"/>
    <x v="1"/>
    <x v="1"/>
    <x v="1"/>
    <x v="1"/>
    <x v="1"/>
    <x v="1"/>
    <n v="4"/>
    <x v="3"/>
    <x v="1"/>
    <x v="1"/>
    <x v="1"/>
    <x v="4"/>
    <n v="3"/>
    <x v="3"/>
    <x v="3"/>
    <n v="5"/>
    <s v="Local government(s)"/>
    <s v="Local NGO(s)/CSO(s)"/>
    <s v="Grassroots organization(s)"/>
    <x v="0"/>
    <s v="This project provided training for farmer groups and also organized crosss visit f or the groups and NPA (Non Profit Association) partners"/>
    <m/>
    <s v="VSLAs (Village Savings and Loan Associations"/>
    <s v="Farmer groups"/>
    <s v="Cardamom plantation and marketing"/>
    <s v="Forming weather information communicatoin groups was very successful and relevant partner show high interest."/>
    <s v="Expanding paddy field activites could effective reduce slash and burn."/>
    <s v="VSLAs (Village Savings and Loan Associations) help women has stronger voices and access to financial services."/>
    <s v="To prevent double counting the Diaster risk reduction participants are reported in PIIRS LAO182. and for Food and Nutrition Security  and Gender Equality participants are reported under PIIRS of LAO177."/>
    <s v="1. Baseline. 2. Annual Report. 3. Gendr Marker. 4. Governance Marker. 5. Resilience Marker"/>
    <n v="6796"/>
    <n v="4860"/>
    <n v="0.7151265450264862"/>
    <n v="0.77148322542672165"/>
    <n v="0.55555555555555558"/>
    <n v="5243"/>
    <n v="2700"/>
    <s v=""/>
    <n v="0"/>
    <n v="0"/>
    <s v=""/>
    <n v="1"/>
    <n v="6700"/>
    <n v="7110"/>
    <n v="1.0611940298507463"/>
    <s v=""/>
    <n v="0"/>
    <n v="0"/>
    <s v=""/>
    <s v=""/>
    <n v="0"/>
    <n v="0"/>
    <s v=""/>
    <n v="1"/>
    <n v="592.5"/>
    <n v="3555"/>
    <n v="6"/>
    <s v="2. Sensitive"/>
    <s v="2. Accommodating"/>
    <s v="4. Transformative"/>
    <s v="It did not develop any specific innovation"/>
    <s v="Little or no advocacy"/>
    <s v="It did not take tested solutions to scale"/>
  </r>
  <r>
    <x v="39"/>
    <x v="0"/>
    <n v="3094"/>
    <s v="Participation of remote ethnic groups for good forest governance (Go-Fo-Go)"/>
    <s v="Laos"/>
    <s v="LAO171, LA149"/>
    <s v="CARE Danmark"/>
    <s v="Government"/>
    <s v="ECHO - European Commission for Humanitarian Aid and Civil Protection"/>
    <s v="EC-European Commission"/>
    <m/>
    <m/>
    <m/>
    <m/>
    <m/>
    <m/>
    <m/>
    <m/>
    <m/>
    <m/>
    <m/>
    <m/>
    <m/>
    <m/>
    <m/>
    <m/>
    <m/>
    <m/>
    <m/>
    <m/>
    <m/>
    <m/>
    <m/>
    <m/>
    <m/>
    <m/>
    <m/>
    <m/>
    <m/>
    <m/>
    <m/>
    <m/>
    <m/>
    <m/>
    <m/>
    <m/>
    <m/>
    <m/>
    <m/>
    <m/>
    <m/>
    <m/>
    <m/>
    <m/>
    <m/>
    <d v="2014-04-01T00:00:00"/>
    <d v="2016-09-30T00:00:00"/>
    <d v="2016-12-31T00:00:00"/>
    <s v="Development Other"/>
    <n v="460474"/>
    <s v="Robin aus der Beek"/>
    <s v="Assistant Country Director - Program"/>
    <s v="Robin.ausderBeek@careint.org"/>
    <m/>
    <m/>
    <m/>
    <s v="NO"/>
    <s v="YES"/>
    <s v="NO"/>
    <s v="To contribute to good forest governance in Lao PDR that respects the rights of ethnic groups and ensures the participation of relevant stakeholders."/>
    <s v="National"/>
    <s v="National Level"/>
    <s v="Remote Ethnic Communities, Civil Society Organizations"/>
    <n v="1925"/>
    <n v="1575"/>
    <n v="3500"/>
    <n v="24913"/>
    <n v="20383"/>
    <n v="45296"/>
    <s v="Direct Participants are: Target groups 1 (CSO): NPAs and INGOs are critically observed and sometimes not yet known in Lao society, due to slow development of supportive mechanisms, lack of dissemination of information, and lack of skills to engage in policy debates. 150 staff of NPAs and INGOs working in food security and natural resources will be targeted by capacity building measures and by improved coordination to reach a joint citizens voice for remote ethnic groups rights (focus on food, land, and gender). Princi-ples of forest governance will be disseminated. Herewith, SODA and GCA will play multiplier roles. GCA as a brand-new NPA on forest governance has strong linkages to ethnic communities, and needs special support in management to succeed in its mission for remote ethnic groups rights.  Target groups 2 (CBO grass-root): Up to 65 communities through existing womens groups and vil-lage mediation units from poor villages in 8 Districts and satellite NPAs  (womens group associa-tion), representing 21,420 people. Ethnic groups from the Sino-Tibetan and Mon-Khmer ethno-linguistic groups inhabit the communities. Village Mediation Units are justice organizations at the grass-root level, and lack capacity in their role to resolve disputes under the laws and customary laws of the people of various ethnic groups. Target Groups 3 (Government and NA): Government staff of DLPD in their role chairing the SSWG Land lack evidence and capacity of developing good forest governance, so existing consultation mechanisms will be improved through this Action. 70 members of the SSWG Land, 100 members of the National Assembly, particularly of the Economic, Planning, and Finance Committee and constitu-encies of the selected districts, and 80 district staff (10 per district) will be directly targeted. Indirect Participants are: Population of 8 Districts: 193,000 people through campaigns and impact of legal awareness and forest governance research in villages."/>
    <m/>
    <m/>
    <m/>
    <m/>
    <m/>
    <m/>
    <m/>
    <m/>
    <m/>
    <m/>
    <m/>
    <m/>
    <m/>
    <m/>
    <m/>
    <m/>
    <m/>
    <m/>
    <m/>
    <m/>
    <m/>
    <m/>
    <m/>
    <m/>
    <m/>
    <m/>
    <m/>
    <m/>
    <m/>
    <m/>
    <m/>
    <m/>
    <m/>
    <m/>
    <m/>
    <m/>
    <m/>
    <m/>
    <m/>
    <m/>
    <m/>
    <m/>
    <m/>
    <m/>
    <m/>
    <m/>
    <m/>
    <m/>
    <m/>
    <m/>
    <m/>
    <m/>
    <m/>
    <m/>
    <m/>
    <m/>
    <m/>
    <m/>
    <m/>
    <m/>
    <n v="354"/>
    <n v="236"/>
    <n v="590"/>
    <n v="46020"/>
    <n v="30680"/>
    <n v="76700"/>
    <s v="NO"/>
    <m/>
    <m/>
    <m/>
    <s v="NO"/>
    <m/>
    <m/>
    <m/>
    <s v="NO"/>
    <m/>
    <m/>
    <m/>
    <s v="NO"/>
    <m/>
    <m/>
    <m/>
    <s v="NO"/>
    <m/>
    <m/>
    <m/>
    <s v="NO"/>
    <m/>
    <m/>
    <m/>
    <s v="NO"/>
    <m/>
    <m/>
    <m/>
    <s v="NO"/>
    <m/>
    <m/>
    <m/>
    <s v="NO"/>
    <m/>
    <m/>
    <m/>
    <s v="NO"/>
    <m/>
    <m/>
    <m/>
    <s v="NO"/>
    <m/>
    <m/>
    <m/>
    <s v="YES"/>
    <n v="590"/>
    <n v="0.6"/>
    <n v="76700"/>
    <s v="YES"/>
    <n v="590"/>
    <n v="0.6"/>
    <n v="76700"/>
    <s v="NO"/>
    <m/>
    <m/>
    <m/>
    <s v="NO"/>
    <m/>
    <m/>
    <m/>
    <s v="NO"/>
    <m/>
    <m/>
    <m/>
    <m/>
    <s v="NO"/>
    <m/>
    <m/>
    <m/>
    <s v="YES"/>
    <s v="January"/>
    <n v="2017"/>
    <s v="NO"/>
    <s v="NO"/>
    <m/>
    <m/>
    <m/>
    <x v="1"/>
    <s v="NO"/>
    <s v="NO"/>
    <s v="NO"/>
    <s v="YES"/>
    <s v="NO"/>
    <s v="NO"/>
    <s v="YES"/>
    <s v="NO"/>
    <m/>
    <x v="0"/>
    <m/>
    <x v="0"/>
    <m/>
    <x v="0"/>
    <x v="0"/>
    <s v="YES"/>
    <x v="0"/>
    <x v="0"/>
    <x v="0"/>
    <x v="0"/>
    <n v="4"/>
    <x v="1"/>
    <x v="1"/>
    <x v="1"/>
    <x v="1"/>
    <x v="1"/>
    <x v="1"/>
    <n v="4"/>
    <x v="1"/>
    <x v="1"/>
    <x v="1"/>
    <x v="2"/>
    <x v="3"/>
    <n v="2"/>
    <x v="2"/>
    <x v="3"/>
    <n v="5"/>
    <s v="Grassroots organization(s)"/>
    <s v="Local government(s)"/>
    <s v="National government"/>
    <x v="0"/>
    <s v="Leadership and management training."/>
    <s v="There were no changes or adjustments during this FY"/>
    <s v="UPR  :  Universal Periodic Review"/>
    <s v="Manual for legal human right"/>
    <s v="Training on Forest Governance"/>
    <s v="LIWG (Land Issues Working Group) in collaborate with University and CSOs would help reduce the sensitive environment"/>
    <s v="Regulations of sustainable Use of NTFPs are issued but It is required to write a simple case study or reproduce the results in term easy communication for local communities"/>
    <s v="It is hard to smallholder farmers to direct reflect in policy. The sound of farmers need to get through the research and field visit and discussion"/>
    <m/>
    <s v="1. Gender Marker. 2. Resilience Marker. 3. Governance Marker 4. End Of Project Evaluation"/>
    <n v="590"/>
    <n v="76700"/>
    <n v="130"/>
    <n v="0.6"/>
    <n v="0.6"/>
    <n v="354"/>
    <n v="46020"/>
    <s v=""/>
    <n v="0"/>
    <n v="0"/>
    <s v=""/>
    <n v="1"/>
    <n v="590"/>
    <n v="76700"/>
    <n v="130"/>
    <s v=""/>
    <n v="0"/>
    <n v="0"/>
    <s v=""/>
    <s v=""/>
    <n v="0"/>
    <n v="0"/>
    <s v=""/>
    <s v=""/>
    <n v="0"/>
    <n v="0"/>
    <s v=""/>
    <s v="2. Sensitive"/>
    <s v="2. Accommodating"/>
    <s v="1. Neutral"/>
    <s v="It did not develop any specific innovation"/>
    <s v="Moderate advocacy"/>
    <s v="It did not take tested solutions to scale"/>
  </r>
  <r>
    <x v="39"/>
    <x v="0"/>
    <n v="3093"/>
    <s v="Partnerships for poverty reduction and womens empowerment in Dakcheung (PWED) Project"/>
    <s v="Laos"/>
    <s v="LAO167"/>
    <s v="CARE Deutschland-Luxemburg"/>
    <s v="Government"/>
    <s v="ECHO - European Commission for Humanitarian Aid and Civil Protection"/>
    <s v="EC-European Commission"/>
    <s v="LAO186"/>
    <s v="CARE Deutschland-Luxemburg"/>
    <s v="Other"/>
    <s v="Other"/>
    <s v="CARE Deutschland - Luxemburg"/>
    <m/>
    <m/>
    <m/>
    <m/>
    <m/>
    <m/>
    <m/>
    <m/>
    <m/>
    <m/>
    <m/>
    <m/>
    <m/>
    <m/>
    <m/>
    <m/>
    <m/>
    <m/>
    <m/>
    <m/>
    <m/>
    <m/>
    <m/>
    <m/>
    <m/>
    <m/>
    <m/>
    <m/>
    <m/>
    <m/>
    <m/>
    <m/>
    <m/>
    <m/>
    <m/>
    <m/>
    <m/>
    <m/>
    <m/>
    <m/>
    <d v="2013-04-01T00:00:00"/>
    <d v="2017-06-30T00:00:00"/>
    <m/>
    <s v="Development Other"/>
    <n v="1865841"/>
    <s v="Phounsy Phasavaeng"/>
    <s v="Provincial Program Manager"/>
    <s v="phounsy.phasaveng@careint.org"/>
    <s v="Robin aus der Beek"/>
    <s v="Assistant Country Director"/>
    <s v="Robin.ausderBeek@careint.org"/>
    <s v="NO"/>
    <s v="YES"/>
    <s v="NO"/>
    <s v="To enable the Sekong Provincial Agriculture and Forestry Office (PAFO) and Dakcheung District Agriculture and Forestry Office (DAFO) to provide  services that engage with local communities and community groups to foster market-based, value-added, micro-business opportunities, that contribute to meeting the nutrition and basic economic needs of households in 35 remote communities"/>
    <s v="Sub-National"/>
    <s v="Dak Cheung District in Sekong Province"/>
    <s v="Remote Ethnic Women and community"/>
    <n v="4000"/>
    <n v="3800"/>
    <n v="7800"/>
    <n v="4200"/>
    <n v="5100"/>
    <n v="9300"/>
    <s v="Direct Participants are the target communities members who receive project activities asset transfer and participanting the training.. Indirect Participants are the nearby target communities members."/>
    <m/>
    <m/>
    <m/>
    <m/>
    <m/>
    <m/>
    <m/>
    <m/>
    <m/>
    <m/>
    <m/>
    <m/>
    <m/>
    <m/>
    <m/>
    <m/>
    <m/>
    <m/>
    <m/>
    <m/>
    <m/>
    <m/>
    <m/>
    <m/>
    <m/>
    <m/>
    <m/>
    <m/>
    <m/>
    <m/>
    <m/>
    <m/>
    <m/>
    <m/>
    <m/>
    <m/>
    <m/>
    <m/>
    <m/>
    <m/>
    <m/>
    <m/>
    <m/>
    <m/>
    <m/>
    <m/>
    <m/>
    <m/>
    <m/>
    <m/>
    <m/>
    <m/>
    <m/>
    <m/>
    <m/>
    <m/>
    <m/>
    <m/>
    <m/>
    <m/>
    <n v="1976"/>
    <n v="1411"/>
    <n v="3387"/>
    <n v="3441"/>
    <n v="2295"/>
    <n v="5736"/>
    <s v="YES"/>
    <n v="2286"/>
    <n v="0.6"/>
    <n v="1828"/>
    <s v="NO"/>
    <m/>
    <m/>
    <m/>
    <s v="NO"/>
    <m/>
    <m/>
    <m/>
    <s v="NO"/>
    <m/>
    <m/>
    <m/>
    <s v="YES"/>
    <n v="3387"/>
    <n v="0.6"/>
    <n v="2710"/>
    <s v="NO"/>
    <m/>
    <m/>
    <m/>
    <s v="YES"/>
    <n v="3387"/>
    <n v="0.6"/>
    <n v="2710"/>
    <s v="NO"/>
    <m/>
    <m/>
    <m/>
    <s v="YES"/>
    <n v="200"/>
    <n v="0.5"/>
    <n v="2710"/>
    <s v="NO"/>
    <m/>
    <m/>
    <m/>
    <s v="YES"/>
    <n v="358"/>
    <n v="0.55000000000000004"/>
    <n v="0"/>
    <s v="NO"/>
    <m/>
    <m/>
    <m/>
    <s v="NO"/>
    <m/>
    <m/>
    <m/>
    <s v="NO"/>
    <m/>
    <m/>
    <m/>
    <s v="NO"/>
    <m/>
    <m/>
    <m/>
    <s v="YES"/>
    <n v="956"/>
    <n v="1"/>
    <n v="5736"/>
    <m/>
    <s v="NO"/>
    <m/>
    <m/>
    <m/>
    <s v="YES"/>
    <s v="June"/>
    <n v="2017"/>
    <s v="NO"/>
    <s v="NO"/>
    <m/>
    <m/>
    <m/>
    <x v="0"/>
    <s v="NO"/>
    <s v="NO"/>
    <s v="NO"/>
    <s v="NO"/>
    <s v="NO"/>
    <s v="NO"/>
    <s v="NO"/>
    <s v="NO"/>
    <m/>
    <x v="0"/>
    <m/>
    <x v="0"/>
    <m/>
    <x v="0"/>
    <x v="0"/>
    <s v="YES"/>
    <x v="0"/>
    <x v="0"/>
    <x v="0"/>
    <x v="0"/>
    <n v="4"/>
    <x v="1"/>
    <x v="1"/>
    <x v="1"/>
    <x v="1"/>
    <x v="1"/>
    <x v="1"/>
    <n v="4"/>
    <x v="2"/>
    <x v="2"/>
    <x v="2"/>
    <x v="0"/>
    <x v="2"/>
    <n v="0"/>
    <x v="0"/>
    <x v="3"/>
    <n v="8"/>
    <s v="Local government(s)"/>
    <s v="Grassroots organization(s)"/>
    <s v="Other"/>
    <x v="1"/>
    <m/>
    <s v="No changes or adustment for project plan and design during this FY"/>
    <s v="WINGs"/>
    <s v="Paddy field irrigation for rice planting."/>
    <s v="Communities Radio System"/>
    <s v="Coffee marketing for ethnic women through product valua added instead of selling coffee seed were able to help them linked more to wider market."/>
    <s v="Conduct gender training through building capacity for villager trainer volunteer to do the training for their communities show good result and project staff directly train communities."/>
    <s v="Providing rice mill to WINGs has intensively reduce women burden for hasking rice."/>
    <s v="1. Gender Marker. 2. Governance Marker. 3. Resilience Marker. 4. Baseline. 5. Project Final Evaluation"/>
    <m/>
    <n v="3387"/>
    <n v="5736"/>
    <n v="1.6935341009743134"/>
    <n v="0.58340714496604662"/>
    <n v="0.59989539748953979"/>
    <n v="1976"/>
    <n v="3441"/>
    <s v=""/>
    <n v="0"/>
    <n v="0"/>
    <s v=""/>
    <n v="1"/>
    <n v="3387"/>
    <n v="2710"/>
    <n v="0.80011809861234129"/>
    <s v=""/>
    <n v="0"/>
    <n v="0"/>
    <s v=""/>
    <s v=""/>
    <n v="0"/>
    <n v="0"/>
    <s v=""/>
    <n v="1"/>
    <n v="2032.1999999999998"/>
    <n v="5736"/>
    <n v="2.8225568349571897"/>
    <s v="2. Sensitive"/>
    <s v="2. Accommodating"/>
    <s v="0. Harmful"/>
    <s v="It did not develop any specific innovation"/>
    <s v="Little or no advocacy"/>
    <s v="It did not take tested solutions to scale"/>
  </r>
  <r>
    <x v="39"/>
    <x v="0"/>
    <n v="3088"/>
    <s v="Protections and Choice for Marginalised Urban Women (PACMUW)"/>
    <s v="Laos"/>
    <s v="LAO123, LA145"/>
    <s v="CARE Australia"/>
    <s v="Government"/>
    <s v="Government - Australia"/>
    <s v="DFAT-Australia"/>
    <m/>
    <m/>
    <m/>
    <m/>
    <m/>
    <m/>
    <m/>
    <m/>
    <m/>
    <m/>
    <m/>
    <m/>
    <m/>
    <m/>
    <m/>
    <m/>
    <m/>
    <m/>
    <m/>
    <m/>
    <m/>
    <m/>
    <m/>
    <m/>
    <m/>
    <m/>
    <m/>
    <m/>
    <m/>
    <m/>
    <m/>
    <m/>
    <m/>
    <m/>
    <m/>
    <m/>
    <m/>
    <m/>
    <m/>
    <m/>
    <m/>
    <m/>
    <m/>
    <m/>
    <m/>
    <d v="2013-07-01T00:00:00"/>
    <d v="2017-06-30T00:00:00"/>
    <m/>
    <s v="Development A Life Free From Violence (GBV)"/>
    <n v="902765"/>
    <s v="Saad Karim"/>
    <s v="Country Director"/>
    <s v="saad.karim@careint.org"/>
    <s v="Viengprasith Thiphasouda"/>
    <s v="Marginalized Urban Wormen Program Coordinator"/>
    <s v="Viengprasith.Thiphasouda@careint.org"/>
    <s v="YES"/>
    <s v="YES"/>
    <s v="YES"/>
    <s v="To promote the social and legal empowerment of vulnerable working women, through reducing their vulnerability to rights abuses, with a focus on exploitation and violence."/>
    <s v="National"/>
    <s v="This project is implemented in Chanthabouly, Sikhottabong and Sisattanak district in Vientiane capital"/>
    <s v="Marginalised women in urgan setting engaged in entertainment venue (specific to sex worker), garment fatory workers and domestic workers."/>
    <n v="9000"/>
    <n v="450"/>
    <n v="9450"/>
    <n v="18000"/>
    <n v="450"/>
    <n v="18450"/>
    <s v="Direct participants are the people who directly get information from project activities (Out reach team: the team who provide information directly to factory workers and sex workers and domestic workers on GBV/VAW and SRH). Indirect participants are the people who get the information form the direct participants, especially their friends, family members and etc. This calculating by direct participants times two."/>
    <m/>
    <n v="7270"/>
    <n v="430"/>
    <n v="7700"/>
    <n v="14540"/>
    <n v="860"/>
    <n v="15400"/>
    <s v="NO"/>
    <m/>
    <m/>
    <m/>
    <m/>
    <m/>
    <m/>
    <m/>
    <m/>
    <m/>
    <m/>
    <m/>
    <m/>
    <m/>
    <m/>
    <m/>
    <m/>
    <m/>
    <m/>
    <m/>
    <m/>
    <m/>
    <m/>
    <m/>
    <m/>
    <m/>
    <m/>
    <m/>
    <m/>
    <m/>
    <m/>
    <m/>
    <m/>
    <m/>
    <m/>
    <m/>
    <m/>
    <m/>
    <m/>
    <m/>
    <m/>
    <m/>
    <m/>
    <m/>
    <m/>
    <m/>
    <m/>
    <m/>
    <m/>
    <m/>
    <m/>
    <m/>
    <m/>
    <n v="7270"/>
    <n v="430"/>
    <n v="7700"/>
    <n v="14540"/>
    <n v="860"/>
    <n v="15400"/>
    <s v="NO"/>
    <m/>
    <m/>
    <m/>
    <s v="NO"/>
    <m/>
    <m/>
    <m/>
    <s v="NO"/>
    <m/>
    <m/>
    <m/>
    <s v="NO"/>
    <m/>
    <m/>
    <m/>
    <s v="NO"/>
    <m/>
    <m/>
    <m/>
    <s v="NO"/>
    <m/>
    <m/>
    <m/>
    <s v="NO"/>
    <m/>
    <m/>
    <m/>
    <s v="YES"/>
    <n v="7700"/>
    <n v="0.94"/>
    <n v="15400"/>
    <s v="YES"/>
    <n v="7700"/>
    <n v="0.94"/>
    <n v="15400"/>
    <s v="NO"/>
    <m/>
    <m/>
    <m/>
    <s v="NO"/>
    <m/>
    <m/>
    <m/>
    <s v="NO"/>
    <m/>
    <m/>
    <m/>
    <s v="NO"/>
    <m/>
    <m/>
    <m/>
    <s v="YES"/>
    <n v="7270"/>
    <n v="1"/>
    <n v="14540"/>
    <s v="NO"/>
    <m/>
    <m/>
    <m/>
    <s v="NO"/>
    <m/>
    <m/>
    <m/>
    <m/>
    <s v="NO"/>
    <m/>
    <m/>
    <m/>
    <s v="YES"/>
    <s v="May"/>
    <n v="2017"/>
    <s v="NO"/>
    <s v="NO"/>
    <m/>
    <m/>
    <s v="This project has ended in June 2017"/>
    <x v="1"/>
    <s v="NO"/>
    <s v="NO"/>
    <s v="NO"/>
    <s v="YES"/>
    <s v="YES"/>
    <s v="NO"/>
    <s v="NO"/>
    <s v="NO"/>
    <m/>
    <x v="1"/>
    <s v="This project test the way of using social media (facebook, Whatsapp, LINE) for advocacy and provide appropriate information to the target impact group"/>
    <x v="0"/>
    <m/>
    <x v="1"/>
    <x v="1"/>
    <s v="YES"/>
    <x v="0"/>
    <x v="0"/>
    <x v="0"/>
    <x v="2"/>
    <n v="4"/>
    <x v="3"/>
    <x v="2"/>
    <x v="2"/>
    <x v="2"/>
    <x v="2"/>
    <x v="3"/>
    <n v="0"/>
    <x v="2"/>
    <x v="1"/>
    <x v="1"/>
    <x v="2"/>
    <x v="2"/>
    <n v="2"/>
    <x v="2"/>
    <x v="3"/>
    <n v="5"/>
    <s v="Labor union(s)"/>
    <s v="Local government(s)"/>
    <s v="Local NGO(s)/CSO(s)"/>
    <x v="0"/>
    <s v="1. Technical and financial support for CSOs. 2. Project management support"/>
    <s v="In the financial year there was no any change, still follow its annual plan."/>
    <s v="Legal aid accessibility"/>
    <s v="Sexual, reproductive health awareness"/>
    <s v="Labor protection activity"/>
    <s v="Building leadership for women in target group are still very challenge because of level of education and culture norm."/>
    <s v="Creating space for social dialogue for women is useful."/>
    <s v="Access to legal aid for women is not satisfy"/>
    <s v="Considering factors to ensure the successful of this project implementation are: all duty bearers should atively  / clear on each other roles and responsibilties among each other, key messages from impact groups that duty beariers collected has power to enfluencing policy maker but still challenge to transfer the messages."/>
    <s v="1. End of project evaluation. 2. Gender Marker. 3. Governance Marker"/>
    <n v="7700"/>
    <n v="15400"/>
    <n v="2"/>
    <n v="0.94415584415584419"/>
    <n v="0.94415584415584419"/>
    <n v="7270"/>
    <n v="14540"/>
    <n v="1"/>
    <n v="7700"/>
    <n v="15400"/>
    <n v="2"/>
    <s v=""/>
    <n v="0"/>
    <n v="0"/>
    <s v=""/>
    <n v="1"/>
    <n v="7270"/>
    <n v="14540"/>
    <n v="2"/>
    <n v="1"/>
    <n v="7700"/>
    <n v="15400"/>
    <n v="2"/>
    <s v=""/>
    <n v="0"/>
    <n v="0"/>
    <s v=""/>
    <s v="4. Transformative"/>
    <s v="0. Unaware"/>
    <s v="0. Harmful"/>
    <s v="It tested new ways for fighting poverty, but did not measure results of innovation"/>
    <s v="Moderate advocacy"/>
    <s v="It did not take tested solutions to scale"/>
  </r>
  <r>
    <x v="39"/>
    <x v="0"/>
    <m/>
    <s v="Scailing-up CBDRR  and School Safety in Lao PDR"/>
    <s v="Laos"/>
    <s v="LAO175, LA"/>
    <s v="No CARE member related to the project/initiative"/>
    <m/>
    <m/>
    <s v="ECHO"/>
    <m/>
    <m/>
    <m/>
    <m/>
    <m/>
    <m/>
    <m/>
    <m/>
    <m/>
    <m/>
    <m/>
    <m/>
    <m/>
    <m/>
    <m/>
    <m/>
    <m/>
    <m/>
    <m/>
    <m/>
    <m/>
    <m/>
    <m/>
    <m/>
    <m/>
    <m/>
    <m/>
    <m/>
    <m/>
    <m/>
    <m/>
    <m/>
    <m/>
    <m/>
    <m/>
    <m/>
    <m/>
    <m/>
    <m/>
    <m/>
    <m/>
    <m/>
    <m/>
    <m/>
    <m/>
    <d v="2014-06-01T00:00:00"/>
    <d v="2015-11-30T00:00:00"/>
    <d v="2017-10-31T00:00:00"/>
    <s v="Development Other"/>
    <n v="670197"/>
    <s v="Phounsy Phasavaeng"/>
    <s v="Provincial Program Manager"/>
    <s v="phounsy.phasaveng@careint.org"/>
    <s v="Robin aus der Beek"/>
    <s v="Assistant Counry Director - Program"/>
    <s v="Robin.ausderBeek@careint.org"/>
    <s v="NO"/>
    <s v="YES"/>
    <s v="NO"/>
    <s v="To strengthen coordination mechanisms and disaster risk reduction capacities at national and local level to increase the resilience of vulnerable communities."/>
    <s v="National"/>
    <s v="Dak Cheung District, Lamam District, Kaleum District in Sekong Province and National Level."/>
    <s v="Remote Ethnic Women and Disaster Affected Communities"/>
    <n v="2500"/>
    <n v="3500"/>
    <n v="6000"/>
    <n v="5000"/>
    <n v="7000"/>
    <n v="12000"/>
    <s v="Direct Particiapants are: community members in target communities, district and provincial authorities staff who directly involve in project activities. Indirect Participants are: Community members nearby target communites. Friends, relative of direct participants. calculate by direct participants multiply by 2."/>
    <m/>
    <m/>
    <m/>
    <m/>
    <m/>
    <m/>
    <m/>
    <m/>
    <m/>
    <m/>
    <m/>
    <m/>
    <m/>
    <m/>
    <m/>
    <m/>
    <m/>
    <m/>
    <m/>
    <m/>
    <m/>
    <m/>
    <m/>
    <m/>
    <m/>
    <m/>
    <m/>
    <m/>
    <m/>
    <m/>
    <m/>
    <m/>
    <m/>
    <m/>
    <m/>
    <m/>
    <m/>
    <m/>
    <m/>
    <m/>
    <m/>
    <m/>
    <m/>
    <m/>
    <m/>
    <m/>
    <m/>
    <m/>
    <m/>
    <m/>
    <m/>
    <m/>
    <m/>
    <m/>
    <m/>
    <m/>
    <m/>
    <m/>
    <m/>
    <m/>
    <n v="1073"/>
    <n v="838"/>
    <n v="1911"/>
    <n v="2146"/>
    <n v="1676"/>
    <n v="3822"/>
    <s v="NO"/>
    <m/>
    <m/>
    <m/>
    <s v="YES"/>
    <n v="124"/>
    <n v="0.45"/>
    <n v="248"/>
    <s v="NO"/>
    <m/>
    <m/>
    <m/>
    <s v="YES"/>
    <n v="1911"/>
    <n v="0.56148613291470395"/>
    <n v="3822"/>
    <s v="NO"/>
    <m/>
    <m/>
    <m/>
    <s v="NO"/>
    <m/>
    <m/>
    <m/>
    <s v="NO"/>
    <m/>
    <m/>
    <m/>
    <s v="NO"/>
    <m/>
    <m/>
    <m/>
    <s v="NO"/>
    <m/>
    <m/>
    <m/>
    <s v="NO"/>
    <m/>
    <m/>
    <m/>
    <s v="NO"/>
    <m/>
    <m/>
    <m/>
    <s v="YES"/>
    <n v="1560"/>
    <n v="0.6"/>
    <n v="3120"/>
    <s v="YES"/>
    <n v="227"/>
    <n v="0.5"/>
    <n v="454"/>
    <s v="NO"/>
    <m/>
    <m/>
    <m/>
    <s v="NO"/>
    <m/>
    <m/>
    <m/>
    <s v="NO"/>
    <m/>
    <m/>
    <m/>
    <m/>
    <s v="NO"/>
    <m/>
    <m/>
    <m/>
    <s v="NO"/>
    <m/>
    <m/>
    <s v="NO"/>
    <s v="NO"/>
    <m/>
    <m/>
    <m/>
    <x v="1"/>
    <s v="YES"/>
    <s v="NO"/>
    <s v="YES"/>
    <s v="YES"/>
    <s v="YES"/>
    <s v="NO"/>
    <s v="YES"/>
    <s v="NO"/>
    <m/>
    <x v="0"/>
    <m/>
    <x v="0"/>
    <m/>
    <x v="0"/>
    <x v="0"/>
    <s v="YES"/>
    <x v="0"/>
    <x v="0"/>
    <x v="0"/>
    <x v="0"/>
    <n v="4"/>
    <x v="2"/>
    <x v="1"/>
    <x v="1"/>
    <x v="1"/>
    <x v="1"/>
    <x v="2"/>
    <n v="4"/>
    <x v="3"/>
    <x v="1"/>
    <x v="1"/>
    <x v="1"/>
    <x v="4"/>
    <n v="3"/>
    <x v="0"/>
    <x v="2"/>
    <n v="15"/>
    <s v="Local government(s)"/>
    <s v="National government"/>
    <s v="Grassroots organization(s)"/>
    <x v="1"/>
    <m/>
    <s v="No changes or adjustment during this FY"/>
    <s v="Disaster Warning System"/>
    <s v="Disaster Reduction Management Planning"/>
    <s v="Lightning Condector"/>
    <s v="Working as the consortium benefiting for information, knowledge and ideas sharing. However it takes longer time if working as the consortium."/>
    <s v="Developing Disaster Management and Planning Minimum Standard should start from the beginning of the project."/>
    <m/>
    <m/>
    <s v="1. Gender Marker. 2. Governace Marker. 3. Resilience Marker"/>
    <n v="1911"/>
    <n v="3822"/>
    <n v="2"/>
    <n v="0.56148613291470439"/>
    <n v="0.56148613291470439"/>
    <n v="1073"/>
    <n v="2146"/>
    <s v=""/>
    <n v="0"/>
    <n v="0"/>
    <s v=""/>
    <n v="1"/>
    <n v="1911"/>
    <n v="3822"/>
    <n v="2"/>
    <s v=""/>
    <n v="0"/>
    <n v="0"/>
    <s v=""/>
    <s v=""/>
    <n v="0"/>
    <n v="0"/>
    <s v=""/>
    <s v=""/>
    <n v="0"/>
    <n v="0"/>
    <s v=""/>
    <s v="2. Sensitive"/>
    <s v="4. Transformational"/>
    <s v="4. Transformative"/>
    <s v="It did not develop any specific innovation"/>
    <s v="Moderate advocacy"/>
    <s v="It did not take tested solutions to scale"/>
  </r>
  <r>
    <x v="39"/>
    <x v="0"/>
    <n v="3102"/>
    <s v="Scaling Up Convergent Programme Approaches to improve food and nutrition seecurity in the northern uplands (SUPA)"/>
    <s v="Laos"/>
    <s v="LAO183 LA164"/>
    <s v="CARE Danmark"/>
    <s v="Government"/>
    <s v="EU - European Union (other than ECHO)"/>
    <s v="EU"/>
    <s v="LAO183 LA164"/>
    <s v="CARE Danmark"/>
    <s v="Other"/>
    <s v="Other"/>
    <s v="CARE Denmark"/>
    <m/>
    <m/>
    <m/>
    <m/>
    <m/>
    <m/>
    <m/>
    <m/>
    <m/>
    <m/>
    <m/>
    <m/>
    <m/>
    <m/>
    <m/>
    <m/>
    <m/>
    <m/>
    <m/>
    <m/>
    <m/>
    <m/>
    <m/>
    <m/>
    <m/>
    <m/>
    <m/>
    <m/>
    <m/>
    <m/>
    <m/>
    <m/>
    <m/>
    <m/>
    <m/>
    <m/>
    <m/>
    <m/>
    <m/>
    <m/>
    <d v="2016-02-01T00:00:00"/>
    <d v="2020-01-31T00:00:00"/>
    <m/>
    <s v="Development Food &amp; Nutrition Security and Resilience to Climate Change"/>
    <n v="3237500"/>
    <s v="Thipphavanh Malaithong"/>
    <s v="Provincail Program Manager"/>
    <s v="thipphavanh.malaithong@careint.org"/>
    <s v="Robin aus der Beek"/>
    <s v="Remote Ethnic Women Program Coordinator"/>
    <s v="robin.ausderbeek@careint.org"/>
    <s v="NO"/>
    <s v="YES"/>
    <s v="NO"/>
    <s v="To improve food and nutrition security of ethnic women living in remote upland areas, their familites and communities"/>
    <s v="Sub-National"/>
    <s v="Laos, Phongsaly province (Mai, Samphan Gnot Ou district), Luang Namtha (Sing and Long district)"/>
    <s v="Remote Ethnic Women"/>
    <n v="2500"/>
    <n v="2500"/>
    <n v="5000"/>
    <n v="7500"/>
    <n v="7500"/>
    <n v="15000"/>
    <s v="Direct participants are the remote ethnic women who has the children under five, indirect participants are the families member and their communities"/>
    <m/>
    <m/>
    <m/>
    <m/>
    <m/>
    <m/>
    <m/>
    <m/>
    <m/>
    <m/>
    <m/>
    <m/>
    <m/>
    <m/>
    <m/>
    <m/>
    <m/>
    <m/>
    <m/>
    <m/>
    <m/>
    <m/>
    <m/>
    <m/>
    <m/>
    <m/>
    <m/>
    <m/>
    <m/>
    <m/>
    <m/>
    <m/>
    <m/>
    <m/>
    <m/>
    <m/>
    <m/>
    <m/>
    <m/>
    <m/>
    <m/>
    <m/>
    <m/>
    <m/>
    <m/>
    <m/>
    <m/>
    <m/>
    <m/>
    <m/>
    <m/>
    <m/>
    <m/>
    <m/>
    <m/>
    <m/>
    <m/>
    <m/>
    <m/>
    <m/>
    <n v="1629"/>
    <n v="1359"/>
    <n v="2988"/>
    <n v="7214"/>
    <n v="7386"/>
    <n v="14600"/>
    <s v="YES"/>
    <n v="1152"/>
    <n v="0.5"/>
    <n v="3456"/>
    <s v="NO"/>
    <m/>
    <m/>
    <m/>
    <s v="NO"/>
    <m/>
    <m/>
    <m/>
    <s v="NO"/>
    <m/>
    <m/>
    <m/>
    <s v="NO"/>
    <m/>
    <m/>
    <m/>
    <s v="NO"/>
    <m/>
    <m/>
    <m/>
    <s v="YES"/>
    <n v="2987"/>
    <n v="0.54"/>
    <n v="14600"/>
    <s v="NO"/>
    <m/>
    <m/>
    <m/>
    <s v="NO"/>
    <m/>
    <m/>
    <m/>
    <s v="NO"/>
    <m/>
    <m/>
    <m/>
    <s v="NO"/>
    <m/>
    <m/>
    <m/>
    <s v="NO"/>
    <m/>
    <m/>
    <m/>
    <s v="NO"/>
    <m/>
    <m/>
    <m/>
    <s v="NO"/>
    <m/>
    <m/>
    <m/>
    <s v="NO"/>
    <m/>
    <m/>
    <m/>
    <s v="NO"/>
    <m/>
    <m/>
    <m/>
    <m/>
    <m/>
    <m/>
    <m/>
    <m/>
    <s v="YES"/>
    <s v="February"/>
    <n v="2017"/>
    <s v="NO"/>
    <s v="YES"/>
    <s v="December"/>
    <n v="2017"/>
    <s v="Projedt Midterm Review to collecting the data for mearsuring change against baseline."/>
    <x v="0"/>
    <s v="NO"/>
    <s v="NO"/>
    <s v="YES"/>
    <s v="YES"/>
    <s v="YES"/>
    <s v="NO"/>
    <s v="YES"/>
    <s v="NO"/>
    <m/>
    <x v="0"/>
    <m/>
    <x v="0"/>
    <m/>
    <x v="0"/>
    <x v="0"/>
    <s v="YES"/>
    <x v="0"/>
    <x v="0"/>
    <x v="0"/>
    <x v="0"/>
    <n v="4"/>
    <x v="1"/>
    <x v="1"/>
    <x v="1"/>
    <x v="1"/>
    <x v="1"/>
    <x v="1"/>
    <n v="4"/>
    <x v="2"/>
    <x v="1"/>
    <x v="1"/>
    <x v="2"/>
    <x v="2"/>
    <n v="2"/>
    <x v="0"/>
    <x v="3"/>
    <n v="4"/>
    <s v="Local NGO(s)/CSO(s)"/>
    <s v="Local government(s)"/>
    <s v="Grassroots organization(s)"/>
    <x v="0"/>
    <s v="This project has provided trainings on technical and management to key CSOs (CCL: Comite de Cooperation avec le Laos, RDA: Rural Development Association, LOPA:Lao Organic Promotion in Agriculture, etc.)"/>
    <s v="This project has just started implementing its' activities, there was not any changes or adjusment during this FY. And did not yet do reflecting of this project yet"/>
    <m/>
    <m/>
    <m/>
    <s v="Behavior changes through LANN process in ethnic communities (Akha ethnic language) was chanllenging with language barrier."/>
    <s v="Working with many partners with no explicit ToR was very difficults"/>
    <s v="Capacity strengthening should be prioritized when working with many partners"/>
    <m/>
    <s v="1. Baseline study. 2. Gender Marker. 3. Governance Marker. 4. Resiliense Marker"/>
    <n v="2988"/>
    <n v="14600"/>
    <n v="4.8862115127175372"/>
    <n v="0.54518072289156627"/>
    <n v="0.49410958904109586"/>
    <n v="1629"/>
    <n v="7214"/>
    <s v=""/>
    <n v="0"/>
    <n v="0"/>
    <s v=""/>
    <n v="1"/>
    <n v="2987"/>
    <n v="14600"/>
    <n v="4.8878473384666892"/>
    <s v=""/>
    <n v="0"/>
    <n v="0"/>
    <s v=""/>
    <s v=""/>
    <n v="0"/>
    <n v="0"/>
    <s v=""/>
    <s v=""/>
    <n v="0"/>
    <n v="0"/>
    <s v=""/>
    <s v="2. Sensitive"/>
    <s v="2. Accommodating"/>
    <s v="0. Harmful"/>
    <s v="It did not develop any specific innovation"/>
    <s v="Little or no advocacy"/>
    <s v="It did not take tested solutions to scale"/>
  </r>
  <r>
    <x v="39"/>
    <x v="0"/>
    <n v="3092"/>
    <s v="Sekong Food Security Project - Phase II (SFSP II)"/>
    <s v="Laos"/>
    <s v="LAO161, LA134"/>
    <s v="CARE Deutschland-Luxemburg"/>
    <s v="Government"/>
    <s v="Government - Luxemburg"/>
    <s v="Ministry of Foreign Affairs of Luxemburg"/>
    <s v="LAO161, LA134"/>
    <s v="CARE Deutschland-Luxemburg"/>
    <s v="Other"/>
    <s v="Other"/>
    <s v="CARE Deutschland - Luxemburg"/>
    <m/>
    <m/>
    <m/>
    <m/>
    <m/>
    <m/>
    <m/>
    <m/>
    <m/>
    <m/>
    <m/>
    <m/>
    <m/>
    <m/>
    <m/>
    <m/>
    <m/>
    <m/>
    <m/>
    <m/>
    <m/>
    <m/>
    <m/>
    <m/>
    <m/>
    <m/>
    <m/>
    <m/>
    <m/>
    <m/>
    <m/>
    <m/>
    <m/>
    <m/>
    <m/>
    <m/>
    <m/>
    <m/>
    <m/>
    <m/>
    <d v="2015-12-01T00:00:00"/>
    <d v="2018-11-30T00:00:00"/>
    <m/>
    <s v="Development Food &amp; Nutrition Security and Resilience to Climate Change"/>
    <n v="778134.58"/>
    <s v="Phounsy Phasavaeng"/>
    <s v="Provincial Program Manager"/>
    <s v="phounsy.phasaveng@careint.org"/>
    <s v="Souliya Khambountha"/>
    <s v="Project Manager"/>
    <s v="souliya.khambountha@careint.org"/>
    <s v="NO"/>
    <s v="YES"/>
    <s v="NO"/>
    <s v="To  support food security in all its dimensions preventing crises and contributing to achieving MDG1 in Lao PDR."/>
    <s v="Sub-National"/>
    <s v="Dak Chueng District and Kaluem District in Sekong Province"/>
    <s v="Remote Ethnic women and Communities"/>
    <n v="4554"/>
    <n v="3036"/>
    <n v="7590"/>
    <n v="1821"/>
    <n v="1214"/>
    <n v="3035"/>
    <s v="Direct Participants are all communities member in 30 target villages who receive project asset transfer, partcipating the project trainining activities (30 villages X265 people). Indirect participants are the direct participants' friend, relative in nearby communities, calculate by 40% of direct participants."/>
    <m/>
    <m/>
    <m/>
    <m/>
    <m/>
    <m/>
    <m/>
    <m/>
    <m/>
    <m/>
    <m/>
    <m/>
    <m/>
    <m/>
    <m/>
    <m/>
    <m/>
    <m/>
    <m/>
    <m/>
    <m/>
    <m/>
    <m/>
    <m/>
    <m/>
    <m/>
    <m/>
    <m/>
    <m/>
    <m/>
    <m/>
    <m/>
    <m/>
    <m/>
    <m/>
    <m/>
    <m/>
    <m/>
    <m/>
    <m/>
    <m/>
    <m/>
    <m/>
    <m/>
    <m/>
    <m/>
    <m/>
    <m/>
    <m/>
    <m/>
    <m/>
    <m/>
    <m/>
    <m/>
    <m/>
    <m/>
    <m/>
    <m/>
    <m/>
    <m/>
    <n v="3975"/>
    <n v="2650"/>
    <n v="6625"/>
    <n v="1590"/>
    <n v="1060"/>
    <n v="2650"/>
    <s v="YES"/>
    <n v="6625"/>
    <n v="0.6"/>
    <n v="2650"/>
    <s v="NO"/>
    <m/>
    <m/>
    <m/>
    <s v="NO"/>
    <m/>
    <m/>
    <m/>
    <s v="NO"/>
    <m/>
    <m/>
    <m/>
    <s v="NO"/>
    <m/>
    <m/>
    <m/>
    <s v="NO"/>
    <m/>
    <m/>
    <m/>
    <s v="YES"/>
    <n v="6625"/>
    <n v="0.6"/>
    <n v="2650"/>
    <s v="NO"/>
    <m/>
    <m/>
    <m/>
    <s v="YES"/>
    <n v="500"/>
    <n v="0.5"/>
    <n v="6625"/>
    <s v="NO"/>
    <m/>
    <m/>
    <m/>
    <s v="NO"/>
    <m/>
    <m/>
    <m/>
    <s v="NO"/>
    <m/>
    <m/>
    <m/>
    <s v="YES"/>
    <n v="1060"/>
    <n v="0.6"/>
    <n v="0"/>
    <s v="NO"/>
    <m/>
    <m/>
    <m/>
    <s v="NO"/>
    <m/>
    <m/>
    <m/>
    <s v="YES"/>
    <n v="239"/>
    <n v="1"/>
    <n v="1434"/>
    <m/>
    <s v="NO"/>
    <m/>
    <m/>
    <m/>
    <s v="YES"/>
    <s v="April"/>
    <n v="2016"/>
    <s v="NO"/>
    <s v="NO"/>
    <m/>
    <m/>
    <m/>
    <x v="0"/>
    <s v="NO"/>
    <s v="NO"/>
    <s v="NO"/>
    <s v="NO"/>
    <s v="NO"/>
    <s v="NO"/>
    <s v="NO"/>
    <s v="NO"/>
    <m/>
    <x v="0"/>
    <m/>
    <x v="0"/>
    <m/>
    <x v="1"/>
    <x v="0"/>
    <s v="YES"/>
    <x v="0"/>
    <x v="0"/>
    <x v="0"/>
    <x v="0"/>
    <n v="4"/>
    <x v="1"/>
    <x v="1"/>
    <x v="1"/>
    <x v="1"/>
    <x v="1"/>
    <x v="1"/>
    <n v="4"/>
    <x v="2"/>
    <x v="2"/>
    <x v="2"/>
    <x v="2"/>
    <x v="2"/>
    <n v="0"/>
    <x v="0"/>
    <x v="2"/>
    <n v="8"/>
    <s v="Local government(s)"/>
    <s v="Grassroots organization(s)"/>
    <s v="Other"/>
    <x v="1"/>
    <m/>
    <m/>
    <s v="WINGS (Women Income and Nutrition Groups)"/>
    <s v="Vaccine Subsidize system"/>
    <s v="Cofffee plantation."/>
    <s v="Intergation gender with WINGS activities could multiply impact change relate to gender roles (reduce women workload)"/>
    <s v="Coffee plantation planation are very appropriate for income generation in target communities."/>
    <s v="Finding communities products market are very challenging."/>
    <s v="This project has alread integrated as the sub-project in MoFA Lux framework, so this project will not be longer report as individual project (including PIIRS for next FY)"/>
    <s v="1. Gender Marker. 2. Governance Marker. 3. Baseline surver report"/>
    <n v="6625"/>
    <n v="2650"/>
    <n v="0.4"/>
    <n v="0.6"/>
    <n v="0.6"/>
    <n v="3975"/>
    <n v="1590"/>
    <s v=""/>
    <n v="0"/>
    <n v="0"/>
    <s v=""/>
    <n v="1"/>
    <n v="6625"/>
    <n v="2650"/>
    <n v="0.4"/>
    <s v=""/>
    <n v="0"/>
    <n v="0"/>
    <s v=""/>
    <s v=""/>
    <n v="0"/>
    <n v="0"/>
    <s v=""/>
    <n v="1"/>
    <n v="239"/>
    <n v="1434"/>
    <n v="6"/>
    <s v="2. Sensitive"/>
    <s v="2. Accommodating"/>
    <s v="0. Harmful"/>
    <s v="It did not develop any specific innovation"/>
    <s v="Little or no advocacy"/>
    <s v="It did not take tested solutions to scale"/>
  </r>
  <r>
    <x v="39"/>
    <x v="0"/>
    <n v="3096"/>
    <s v="Social Protection Activity -Resilient Livelihoods for the Poor (SPA-RLP)"/>
    <s v="Laos"/>
    <s v="LAO173 LA151"/>
    <s v="CARE Australia"/>
    <s v="Government"/>
    <s v="Government - Australia"/>
    <s v="DFAT-Australia"/>
    <m/>
    <m/>
    <m/>
    <m/>
    <m/>
    <m/>
    <m/>
    <m/>
    <m/>
    <m/>
    <m/>
    <m/>
    <m/>
    <m/>
    <m/>
    <m/>
    <m/>
    <m/>
    <m/>
    <m/>
    <m/>
    <m/>
    <m/>
    <m/>
    <m/>
    <m/>
    <m/>
    <m/>
    <m/>
    <m/>
    <m/>
    <m/>
    <m/>
    <m/>
    <m/>
    <m/>
    <m/>
    <m/>
    <m/>
    <m/>
    <m/>
    <m/>
    <m/>
    <m/>
    <m/>
    <d v="2014-06-01T00:00:00"/>
    <d v="2017-07-31T00:00:00"/>
    <m/>
    <s v="Development Other"/>
    <m/>
    <s v="Sopha Soulineyadeth"/>
    <s v="Provincial Program Manager"/>
    <s v="sopha.soulineyadeth.careint.org"/>
    <s v="Robin aus des Beek"/>
    <s v="Assistant Country Director"/>
    <s v="Robin.ausderBeek@careint.org"/>
    <s v="NO"/>
    <s v="YES"/>
    <s v="NO"/>
    <s v="Government of Laos to begin implementation of a progressive social security policy that includes support to the elderly and other vulnerable families."/>
    <s v="Sub-National"/>
    <s v="Soukhouma, Mounlapamok Districts, Champasak province"/>
    <s v="Impact group is poor rural families ( based on desinged project's criiteria for poor families) , in particular women, with greater and inclusive access to social protection, financial services, productive assets and opportunities to generate income. The assisstance is in form of increased access to enhanced livelihood opportunities, through access to productive assets, access to markets, financial literacy training  in or der to reach the goals."/>
    <n v="1308"/>
    <n v="1530"/>
    <n v="2838"/>
    <n v="1431"/>
    <n v="1768"/>
    <n v="3199"/>
    <s v="Type of beneficiaries and calculation methods described as below:                                                                                                                                                                                                                                                         Beneficiaries who received productive assets such as livestock and non-livestock ( For direct beneficiaries, counting from all family members, there is no indirect beneficiaries for this type of beneficiaries). Workshop/training for government staff (For direct beneficiaries, counting all participants, for indirect beneficiaries, multiplied by 2) Study tour/cross visit to other province for government (For direct beneficiaries, counting all participants; for indirect beneficiaries, multiplied by 3) Village vet workers training (For direct beneficiaries, counting all participants; for indirect beneficiaries, multiplied by 3) Gender negotiation training (For direct beneficiaries, counting all participants; for indirect beneficiaries, multiplied by 3) Raising awareness campaign on nutrition and hygiene in 12 villages (For direct beneficiaries, counting all participants; for indirect beneficiaries, multiplied by 3) Raising awareness on livestock vaccination, nutrition and hygiene (For direct beneficiaries, counting all participants; for indirect beneficiaries, multiplied by 3) Assistive device provided to disabled people (For direct beneficiaries, multiplied by 6, there is no indirect beneficiaries for this type of beneficiaries). Asset handed to Provincial Labour and Social Welfare (Car, Motorbikes and Computers) (For direct beneficiaries, counting from number of items distributed; for indirect beneficiaries, counting all staff at the office) Asset handed to District Labour and Social Welfare (One Computer) (For direct beneficiaries, counting from number of items distributed; for indirect beneficiaries, counting all staff at the office) Asset handed to District government partners (DLSW, DAFO, LWU) (For direct beneficiaries, counting from number of items distributed; for indirect beneficiaries, counting all staff at the office)"/>
    <m/>
    <m/>
    <m/>
    <m/>
    <m/>
    <m/>
    <m/>
    <m/>
    <m/>
    <m/>
    <m/>
    <m/>
    <m/>
    <m/>
    <m/>
    <m/>
    <m/>
    <m/>
    <m/>
    <m/>
    <m/>
    <m/>
    <m/>
    <m/>
    <m/>
    <m/>
    <m/>
    <m/>
    <m/>
    <m/>
    <m/>
    <m/>
    <m/>
    <m/>
    <m/>
    <m/>
    <m/>
    <m/>
    <m/>
    <m/>
    <m/>
    <m/>
    <m/>
    <m/>
    <m/>
    <m/>
    <m/>
    <m/>
    <m/>
    <m/>
    <m/>
    <m/>
    <m/>
    <m/>
    <m/>
    <m/>
    <m/>
    <m/>
    <m/>
    <m/>
    <n v="436"/>
    <n v="441"/>
    <n v="877"/>
    <n v="1854"/>
    <n v="2281"/>
    <n v="4135"/>
    <s v="YES"/>
    <n v="1560"/>
    <n v="0.49"/>
    <n v="0"/>
    <s v="NO"/>
    <m/>
    <m/>
    <m/>
    <s v="NO"/>
    <m/>
    <m/>
    <m/>
    <s v="NO"/>
    <m/>
    <m/>
    <m/>
    <s v="YES"/>
    <n v="1560"/>
    <n v="0.49"/>
    <n v="0"/>
    <s v="NO"/>
    <m/>
    <m/>
    <m/>
    <s v="YES"/>
    <n v="570"/>
    <n v="0.46"/>
    <n v="1710"/>
    <s v="NO"/>
    <m/>
    <m/>
    <m/>
    <s v="YES"/>
    <n v="120"/>
    <n v="0.5"/>
    <n v="180"/>
    <s v="NO"/>
    <m/>
    <m/>
    <m/>
    <s v="NO"/>
    <m/>
    <m/>
    <m/>
    <s v="NO"/>
    <m/>
    <m/>
    <m/>
    <s v="NO"/>
    <m/>
    <m/>
    <m/>
    <s v="NO"/>
    <m/>
    <m/>
    <m/>
    <s v="YES"/>
    <n v="570"/>
    <n v="0.46"/>
    <n v="1710"/>
    <s v="YES"/>
    <n v="759"/>
    <n v="1"/>
    <m/>
    <m/>
    <s v="NO"/>
    <m/>
    <m/>
    <m/>
    <s v="YES"/>
    <s v="September"/>
    <n v="2016"/>
    <s v="NO"/>
    <s v="YES"/>
    <s v="August"/>
    <n v="2017"/>
    <s v="The final evaluation for SPA-RLP was conducted by Lao Australia Development Learning Facility and was conducted in June 2017 for field work, the report is being finalise. It is expected to finalise by the end of August 2017.  "/>
    <x v="0"/>
    <s v="NO"/>
    <s v="NO"/>
    <s v="NO"/>
    <s v="NO"/>
    <s v="NO"/>
    <s v="NO"/>
    <s v="NO"/>
    <s v="NO"/>
    <m/>
    <x v="0"/>
    <m/>
    <x v="1"/>
    <s v="This project is the pilot project if it work with Lao context if successfully it will be consider by the donors and other partners to expand implementation nationwide."/>
    <x v="0"/>
    <x v="0"/>
    <s v="YES"/>
    <x v="0"/>
    <x v="0"/>
    <x v="0"/>
    <x v="0"/>
    <n v="4"/>
    <x v="1"/>
    <x v="1"/>
    <x v="2"/>
    <x v="1"/>
    <x v="1"/>
    <x v="1"/>
    <n v="3"/>
    <x v="2"/>
    <x v="2"/>
    <x v="2"/>
    <x v="2"/>
    <x v="2"/>
    <n v="0"/>
    <x v="2"/>
    <x v="3"/>
    <n v="4"/>
    <s v="Local government(s)"/>
    <s v="International NGO(s)"/>
    <s v="Local NGO(s)/CSO(s)"/>
    <x v="1"/>
    <m/>
    <m/>
    <s v="Provide the small grant (productive asset) to the beneficiaries, with this grant beneficiaries could form the basis of a small business"/>
    <s v="Provide Monthly cash stipend (100.000 x month) until the end of the project to cover needs while the participant is learning how to earn an income from the transferred asset. A Key benefit of the stipend is introducing households to the financial system. Up to now most beneficiaries explained that the stipend has enabled households to cope with health care needs, childrens education, food shortages and materials for their assets and they are learning about savings and planning with access to the formal financial sector."/>
    <s v="Provide intensive program of individual training, coaching and mentoring, including financial literacy education through fortnight household visit from facilitators"/>
    <s v="Diversification of assets is very important for beneficiaries to carry on the activity with the project, particularly due to mortality of poultry (compelling households to conduct other assets in parallel as enterprise such as pig, piglet or goat depending on their budget and capacity)."/>
    <s v="Non livestock assets such as fish sour making, clothe selling, and small shop can quickly generate the profit comparing to livestock asset. However, this covers only small percentage of total beneficiaries. This needs to have skills and good connection to the market as well.  "/>
    <s v="The rainy season hindered difficult for field team to access to beneficiaries due to road condition combined with the cultivation season in which some beneficiaries work in the rented paddy field far from the village. Some of them have stayed in the field until completion of harvesting season. The situation of accessibility changed month by month."/>
    <s v="1. Final report. 2. Mid Term Review report. 3. Gender Marker. 4. Governance Marker"/>
    <m/>
    <n v="877"/>
    <n v="4135"/>
    <n v="4.7149372862029644"/>
    <n v="0.49714937286202965"/>
    <n v="0.4483675937122128"/>
    <n v="436"/>
    <n v="1854"/>
    <s v=""/>
    <n v="0"/>
    <n v="0"/>
    <s v=""/>
    <n v="1"/>
    <n v="1560"/>
    <n v="1710"/>
    <n v="1.0961538461538463"/>
    <s v=""/>
    <n v="0"/>
    <n v="0"/>
    <s v=""/>
    <s v=""/>
    <n v="0"/>
    <n v="0"/>
    <s v=""/>
    <n v="1"/>
    <n v="764.4"/>
    <n v="0"/>
    <n v="0"/>
    <s v="2. Sensitive"/>
    <s v="2. Accommodating"/>
    <s v="0. Harmful"/>
    <s v="It did not develop any specific innovation"/>
    <s v="Little or no advocacy"/>
    <s v="It linked and worked with strategic alliances and partners to take tested and effective solutions to scale"/>
  </r>
  <r>
    <x v="39"/>
    <x v="0"/>
    <m/>
    <s v="Strengthening Civil Society Engagement Against Gender Based Violence"/>
    <s v="Laos"/>
    <s v="LAO184, LA167"/>
    <s v="CARE Danmark"/>
    <s v="Government"/>
    <s v="EU - European Union (other than ECHO)"/>
    <s v="EU"/>
    <m/>
    <m/>
    <m/>
    <m/>
    <m/>
    <m/>
    <m/>
    <m/>
    <m/>
    <m/>
    <m/>
    <m/>
    <m/>
    <m/>
    <m/>
    <m/>
    <m/>
    <m/>
    <m/>
    <m/>
    <m/>
    <m/>
    <m/>
    <m/>
    <m/>
    <m/>
    <m/>
    <m/>
    <m/>
    <m/>
    <m/>
    <m/>
    <m/>
    <m/>
    <m/>
    <m/>
    <m/>
    <m/>
    <m/>
    <m/>
    <m/>
    <m/>
    <m/>
    <m/>
    <m/>
    <d v="2016-09-01T00:00:00"/>
    <d v="2020-02-29T00:00:00"/>
    <m/>
    <s v="Development A Life Free From Violence (GBV)"/>
    <n v="591035.86"/>
    <s v="Viengprasith Thiphasouda"/>
    <s v="Marginalised Urban Women Program Coordinator"/>
    <s v="viengprasith.thiphasouda@careint.org"/>
    <s v="Robin aus der Beek"/>
    <s v="Assistant Country Director - Program"/>
    <s v="Robin.ausderBeek@careint.org"/>
    <s v="NO"/>
    <s v="YES"/>
    <s v="NO"/>
    <s v="To contribute to the creation of an enabling environment for civil society organisations (CSOs) in Laos to participate effectively in the formulation and implementation of policies and strategies to end gender based violence"/>
    <s v="Sub-National"/>
    <s v="Vientiane Capital - Sisattanak, Sikhottabong, Chanthabouly, Xaysetha Distric. Phongsaly - Mai, Samphan District. Sekong - Dak Cheung District"/>
    <s v="Marginalised women in urban settings engaged in entertainment venue (specific to sex workers),garment factory workers and remote ethnic women."/>
    <n v="5003"/>
    <n v="3550"/>
    <n v="8553"/>
    <n v="13659"/>
    <n v="10400"/>
    <n v="24059"/>
    <s v="Direct participants are: - Beneficiaries from community level (Target villages are 40 ) based on the number of population in villages, about 20,859. However, the number of female is slightly higher, is based on the national statistic that female is about 51% from the total number of population in LAO PDR. and about 3,476 households and average of one house can be direct involve this project 2 persons (wife and husband or grand father or mother). - Beneficiaries from government agencies is estimation of the agencies who will get benefit from this project from central, provincial and district level such as from LWU, CAW, Justice department and other around who working on GBV/VAW. - Beneficiaries from 4 garment factories, average each factory has workers 400.. - Beneficiaries from entertainment industries (4 zone). Indirect participants are: - Beneficiaries from community level, just calculate one person can dilivery a message that they learn from project to 3 persons and to their counsins or relative. Average one house about 6 members. - Beneficiaries from government agencies, factories and entertainment , the direct beneficiaries can talk to one person at least."/>
    <m/>
    <m/>
    <m/>
    <m/>
    <m/>
    <m/>
    <m/>
    <m/>
    <m/>
    <m/>
    <m/>
    <m/>
    <m/>
    <m/>
    <m/>
    <m/>
    <m/>
    <m/>
    <m/>
    <m/>
    <m/>
    <m/>
    <m/>
    <m/>
    <m/>
    <m/>
    <m/>
    <m/>
    <m/>
    <m/>
    <m/>
    <m/>
    <m/>
    <m/>
    <m/>
    <m/>
    <m/>
    <m/>
    <m/>
    <m/>
    <m/>
    <m/>
    <m/>
    <m/>
    <m/>
    <m/>
    <m/>
    <m/>
    <m/>
    <m/>
    <m/>
    <m/>
    <m/>
    <m/>
    <m/>
    <m/>
    <m/>
    <m/>
    <m/>
    <m/>
    <n v="14"/>
    <n v="6"/>
    <n v="20"/>
    <n v="28"/>
    <n v="12"/>
    <n v="40"/>
    <s v="NO"/>
    <m/>
    <m/>
    <m/>
    <s v="NO"/>
    <m/>
    <m/>
    <m/>
    <s v="NO"/>
    <m/>
    <m/>
    <m/>
    <s v="NO"/>
    <m/>
    <m/>
    <m/>
    <s v="NO"/>
    <m/>
    <m/>
    <m/>
    <s v="NO"/>
    <m/>
    <m/>
    <m/>
    <s v="NO"/>
    <m/>
    <m/>
    <m/>
    <s v="YES"/>
    <n v="20"/>
    <n v="0.7"/>
    <n v="40"/>
    <s v="YES"/>
    <n v="20"/>
    <n v="0.7"/>
    <n v="40"/>
    <s v="NO"/>
    <m/>
    <m/>
    <m/>
    <s v="NO"/>
    <m/>
    <m/>
    <m/>
    <s v="NO"/>
    <m/>
    <m/>
    <m/>
    <s v="NO"/>
    <m/>
    <m/>
    <m/>
    <s v="NO"/>
    <m/>
    <m/>
    <m/>
    <s v="NO"/>
    <m/>
    <m/>
    <m/>
    <s v="NO"/>
    <m/>
    <m/>
    <m/>
    <m/>
    <s v="NO"/>
    <m/>
    <m/>
    <m/>
    <s v="NO"/>
    <m/>
    <m/>
    <s v="NO"/>
    <s v="YES"/>
    <s v="October"/>
    <n v="2017"/>
    <s v="This project will conduct power analysis on GBV and social norm in community level (individual interview and focus group discusion)"/>
    <x v="0"/>
    <s v="NO"/>
    <s v="NO"/>
    <s v="NO"/>
    <s v="NO"/>
    <s v="NO"/>
    <s v="NO"/>
    <s v="NO"/>
    <m/>
    <m/>
    <x v="1"/>
    <s v="Community Dialogue Tools"/>
    <x v="0"/>
    <m/>
    <x v="2"/>
    <x v="0"/>
    <s v="YES"/>
    <x v="0"/>
    <x v="0"/>
    <x v="0"/>
    <x v="0"/>
    <n v="4"/>
    <x v="1"/>
    <x v="1"/>
    <x v="1"/>
    <x v="1"/>
    <x v="1"/>
    <x v="1"/>
    <n v="4"/>
    <x v="2"/>
    <x v="2"/>
    <x v="2"/>
    <x v="2"/>
    <x v="2"/>
    <n v="0"/>
    <x v="2"/>
    <x v="3"/>
    <n v="2"/>
    <s v="Local NGO(s)/CSO(s)"/>
    <s v="Local government(s)"/>
    <m/>
    <x v="0"/>
    <s v="This project proveded training on GBV to its key partern (Lao Positive Health Association)"/>
    <m/>
    <s v="Community Dialogue Tool"/>
    <m/>
    <m/>
    <m/>
    <m/>
    <m/>
    <s v="This project has just started implement few months ago so, it is not yet able to collect lessons learned and reach many impact group yet"/>
    <s v="1. Gender Marker. 2. Governance Marker"/>
    <n v="20"/>
    <n v="40"/>
    <n v="2"/>
    <n v="0.7"/>
    <n v="0.7"/>
    <n v="14"/>
    <n v="28"/>
    <s v=""/>
    <n v="0"/>
    <n v="0"/>
    <s v=""/>
    <s v=""/>
    <n v="0"/>
    <n v="0"/>
    <s v=""/>
    <s v=""/>
    <n v="0"/>
    <n v="0"/>
    <s v=""/>
    <n v="1"/>
    <n v="20"/>
    <n v="40"/>
    <n v="2"/>
    <s v=""/>
    <n v="0"/>
    <n v="0"/>
    <s v=""/>
    <s v="2. Sensitive"/>
    <s v="2. Accommodating"/>
    <s v="0. Harmful"/>
    <s v="It tested new ways for fighting poverty, but did not measure results of innovation"/>
    <s v="Little or no advocacy"/>
    <s v="It did not take tested solutions to scale"/>
  </r>
  <r>
    <x v="39"/>
    <x v="0"/>
    <n v="3097"/>
    <s v="Strengthening Local Capacity for Community Based DRR"/>
    <s v="Laos"/>
    <s v="LAO174, LA152"/>
    <s v="CARE Deutschland-Luxemburg"/>
    <s v="Government"/>
    <s v="Government - Luxemburg"/>
    <s v="Ministry of Foreign Affairs of Luxemburg"/>
    <m/>
    <m/>
    <m/>
    <m/>
    <m/>
    <m/>
    <m/>
    <m/>
    <m/>
    <m/>
    <m/>
    <m/>
    <m/>
    <m/>
    <m/>
    <m/>
    <m/>
    <m/>
    <m/>
    <m/>
    <m/>
    <m/>
    <m/>
    <m/>
    <m/>
    <m/>
    <m/>
    <m/>
    <m/>
    <m/>
    <m/>
    <m/>
    <m/>
    <m/>
    <m/>
    <m/>
    <m/>
    <m/>
    <m/>
    <m/>
    <m/>
    <m/>
    <m/>
    <m/>
    <m/>
    <d v="2014-08-01T00:00:00"/>
    <d v="2017-07-31T00:00:00"/>
    <m/>
    <s v="Development Other"/>
    <n v="195051"/>
    <s v="Phounsy Phasavaeng"/>
    <s v="Provincial Program Manager"/>
    <s v="phounsy.phasaveng@careint.org"/>
    <s v="Robin aus der Beek"/>
    <s v="Assistant Country Director - Program"/>
    <s v="Robin.ausderBeek@careint.org"/>
    <s v="NO"/>
    <s v="YES"/>
    <s v="NO"/>
    <s v="Strengthening Local Capacity for Community Based DRR"/>
    <s v="Sub-National"/>
    <s v="Dak Cheung, Sekong"/>
    <s v="Remote Ethnic Women and Disaster Affected Communities"/>
    <n v="2000"/>
    <n v="1646"/>
    <n v="3646"/>
    <n v="7290"/>
    <n v="6900"/>
    <n v="14190"/>
    <s v="Beneficiaries will be from Dak Cheung District. Villages are farming communities of Mon-Khmer ethnicity, many being from Talieng Yae, Katu and Triew ethnicities. Where possible VDPUs will have an equal representation of women and men. On average the village population in Dak Cheung is 260 people. In year 1, for example, it is expected that the project will work with 5 new villages which would be approximately 1300 people. In years 2 and 3 there will be a further 4 new villages supported bringing the total to approximately 2,340 people. (Other villages receiving follow-up support may be new to the project (from the current DRR-DC activities) or may be villages from year 1 and 2). Up to 6 DDMC members will be involved in the VCA process. For 10 hectares of UXO clearance (annually) it is expected that upwards of 40 households would benefit each year"/>
    <m/>
    <m/>
    <m/>
    <m/>
    <m/>
    <m/>
    <m/>
    <m/>
    <m/>
    <m/>
    <m/>
    <m/>
    <m/>
    <m/>
    <m/>
    <m/>
    <m/>
    <m/>
    <m/>
    <m/>
    <m/>
    <m/>
    <m/>
    <m/>
    <m/>
    <m/>
    <m/>
    <m/>
    <m/>
    <m/>
    <m/>
    <m/>
    <m/>
    <m/>
    <m/>
    <m/>
    <m/>
    <m/>
    <m/>
    <m/>
    <m/>
    <m/>
    <m/>
    <m/>
    <m/>
    <m/>
    <m/>
    <m/>
    <m/>
    <m/>
    <m/>
    <m/>
    <m/>
    <m/>
    <m/>
    <m/>
    <m/>
    <m/>
    <m/>
    <m/>
    <n v="2272"/>
    <n v="2249"/>
    <n v="4521"/>
    <n v="4544"/>
    <n v="4498"/>
    <n v="9042"/>
    <s v="NO"/>
    <m/>
    <m/>
    <m/>
    <s v="YES"/>
    <n v="1330"/>
    <n v="0.54"/>
    <n v="2660"/>
    <s v="NO"/>
    <m/>
    <m/>
    <m/>
    <s v="YES"/>
    <n v="4521"/>
    <n v="0.5"/>
    <n v="9024"/>
    <s v="NO"/>
    <m/>
    <m/>
    <m/>
    <s v="NO"/>
    <m/>
    <m/>
    <m/>
    <s v="NO"/>
    <m/>
    <m/>
    <m/>
    <s v="NO"/>
    <m/>
    <m/>
    <m/>
    <s v="NO"/>
    <m/>
    <m/>
    <m/>
    <s v="NO"/>
    <m/>
    <m/>
    <m/>
    <s v="NO"/>
    <m/>
    <m/>
    <m/>
    <s v="YES"/>
    <n v="4521"/>
    <n v="0.5"/>
    <n v="9024"/>
    <s v="YES"/>
    <n v="94"/>
    <n v="0.4"/>
    <n v="188"/>
    <s v="NO"/>
    <m/>
    <m/>
    <m/>
    <s v="NO"/>
    <m/>
    <m/>
    <m/>
    <s v="NO"/>
    <m/>
    <m/>
    <m/>
    <m/>
    <s v="NO"/>
    <m/>
    <m/>
    <m/>
    <s v="NO"/>
    <m/>
    <m/>
    <s v="NO"/>
    <s v="NO"/>
    <m/>
    <m/>
    <m/>
    <x v="0"/>
    <s v="NO"/>
    <s v="NO"/>
    <s v="NO"/>
    <s v="NO"/>
    <s v="NO"/>
    <s v="NO"/>
    <s v="NO"/>
    <s v="NO"/>
    <m/>
    <x v="0"/>
    <m/>
    <x v="0"/>
    <m/>
    <x v="0"/>
    <x v="0"/>
    <s v="YES"/>
    <x v="0"/>
    <x v="0"/>
    <x v="0"/>
    <x v="0"/>
    <n v="4"/>
    <x v="1"/>
    <x v="1"/>
    <x v="1"/>
    <x v="1"/>
    <x v="1"/>
    <x v="1"/>
    <n v="4"/>
    <x v="1"/>
    <x v="1"/>
    <x v="1"/>
    <x v="1"/>
    <x v="1"/>
    <n v="3"/>
    <x v="0"/>
    <x v="3"/>
    <n v="15"/>
    <s v="Local government(s)"/>
    <s v="Grassroots organization(s)"/>
    <s v="National government"/>
    <x v="1"/>
    <m/>
    <s v="There are no changes or adjustments during this FY"/>
    <s v="Vulnerability and Capacity Assessment"/>
    <s v="Cummunity Disaster Warning System."/>
    <s v="Lightning Conductor System"/>
    <s v="Gender Inclusion in every process in DRR Project made the women voice heard and taken to consideration and action."/>
    <s v="Some result of VCA related to mitigation activities suggestion from communities are much higher than what project has budgeting for."/>
    <m/>
    <m/>
    <s v="1. Gender Marker. 2. Governance Marker. 3. Resilience Marker"/>
    <n v="4521"/>
    <n v="9042"/>
    <n v="2"/>
    <n v="0.50254368502543689"/>
    <n v="0.50254368502543689"/>
    <n v="2272"/>
    <n v="4544"/>
    <s v=""/>
    <n v="0"/>
    <n v="0"/>
    <s v=""/>
    <n v="1"/>
    <n v="4521"/>
    <n v="9024"/>
    <n v="1.9960185799601857"/>
    <s v=""/>
    <n v="0"/>
    <n v="0"/>
    <s v=""/>
    <s v=""/>
    <n v="0"/>
    <n v="0"/>
    <s v=""/>
    <s v=""/>
    <n v="0"/>
    <n v="0"/>
    <s v=""/>
    <s v="2. Sensitive"/>
    <s v="2. Accommodating"/>
    <s v="2. Sensitive"/>
    <s v="It did not develop any specific innovation"/>
    <s v="Little or no advocacy"/>
    <s v="It did not take tested solutions to scale"/>
  </r>
  <r>
    <x v="39"/>
    <x v="0"/>
    <n v="3099"/>
    <s v="To strengthen the Quality of Maternal, Newborn and Child Health Services in Phongsaly Province (MNCH)"/>
    <s v="Laos"/>
    <s v="LAO177 LA155"/>
    <s v="CARE Deutschland-Luxemburg"/>
    <s v="Government"/>
    <s v="Government - Luxemburg"/>
    <s v="Ministry of Foreign Affairs of Luxemburg"/>
    <s v="LAO177 LA155"/>
    <s v="CARE Deutschland-Luxemburg"/>
    <s v="Other"/>
    <s v="Other"/>
    <s v="CARE Deutschland - Luxemburg"/>
    <m/>
    <m/>
    <m/>
    <m/>
    <m/>
    <m/>
    <m/>
    <m/>
    <m/>
    <m/>
    <m/>
    <m/>
    <m/>
    <m/>
    <m/>
    <m/>
    <m/>
    <m/>
    <m/>
    <m/>
    <m/>
    <m/>
    <m/>
    <m/>
    <m/>
    <m/>
    <m/>
    <m/>
    <m/>
    <m/>
    <m/>
    <m/>
    <m/>
    <m/>
    <m/>
    <m/>
    <m/>
    <m/>
    <m/>
    <m/>
    <d v="2014-09-01T00:00:00"/>
    <d v="2017-08-31T00:00:00"/>
    <m/>
    <s v="Development Sexual, Reproductive and Maternal Health (SRMH)"/>
    <n v="689076"/>
    <s v="Sothsavanh Sithammavong"/>
    <s v="Project Manager"/>
    <s v="sothsavanh.sithammavong@careint.org"/>
    <s v="Thipphavanh Malaithong"/>
    <s v="Provincial Program Manager"/>
    <s v="thipphavanh.malaithong@careint.org"/>
    <s v="NO"/>
    <s v="YES"/>
    <s v="NO"/>
    <s v="To reduce under-five and maternal mortality, through active community participation and improved access to and use of maternal and child health services in hard-to-reach or unreached areas"/>
    <s v="Sub-National"/>
    <s v="Phongsaly province (Khua, Mai and Samphan districts)"/>
    <s v="Remote ethnic women"/>
    <n v="18788"/>
    <n v="8053"/>
    <n v="26841"/>
    <n v="31500"/>
    <n v="13500"/>
    <n v="45000"/>
    <s v="The Direct Participants are : There are two main beneficiary groups: women and children under five of all ethnicities in the target villages, and district and provincial health personnel.. The Indirect Participants are: the other target communities member"/>
    <m/>
    <m/>
    <m/>
    <m/>
    <m/>
    <m/>
    <m/>
    <m/>
    <m/>
    <m/>
    <m/>
    <m/>
    <m/>
    <m/>
    <m/>
    <m/>
    <m/>
    <m/>
    <m/>
    <m/>
    <m/>
    <m/>
    <m/>
    <m/>
    <m/>
    <m/>
    <m/>
    <m/>
    <m/>
    <m/>
    <m/>
    <m/>
    <m/>
    <m/>
    <m/>
    <m/>
    <m/>
    <m/>
    <m/>
    <m/>
    <m/>
    <m/>
    <m/>
    <m/>
    <m/>
    <m/>
    <m/>
    <m/>
    <m/>
    <m/>
    <m/>
    <m/>
    <m/>
    <m/>
    <m/>
    <m/>
    <m/>
    <m/>
    <m/>
    <m/>
    <n v="857"/>
    <n v="412"/>
    <n v="1269"/>
    <n v="1705"/>
    <n v="826"/>
    <n v="2531"/>
    <s v="NO"/>
    <m/>
    <m/>
    <m/>
    <s v="NO"/>
    <m/>
    <m/>
    <m/>
    <s v="NO"/>
    <m/>
    <m/>
    <m/>
    <s v="NO"/>
    <m/>
    <m/>
    <m/>
    <s v="NO"/>
    <m/>
    <m/>
    <m/>
    <s v="NO"/>
    <m/>
    <m/>
    <m/>
    <s v="NO"/>
    <m/>
    <m/>
    <m/>
    <s v="YES"/>
    <n v="99"/>
    <n v="0.99"/>
    <n v="297"/>
    <s v="NO"/>
    <m/>
    <m/>
    <m/>
    <s v="NO"/>
    <m/>
    <m/>
    <m/>
    <s v="NO"/>
    <m/>
    <m/>
    <m/>
    <s v="NO"/>
    <m/>
    <m/>
    <m/>
    <s v="NO"/>
    <m/>
    <m/>
    <m/>
    <s v="YES"/>
    <n v="1269"/>
    <n v="0.68"/>
    <n v="2531"/>
    <s v="NO"/>
    <m/>
    <m/>
    <m/>
    <s v="NO"/>
    <m/>
    <m/>
    <m/>
    <m/>
    <m/>
    <m/>
    <m/>
    <m/>
    <s v="YES"/>
    <s v="April"/>
    <n v="2017"/>
    <s v="NO"/>
    <s v="NO"/>
    <m/>
    <m/>
    <m/>
    <x v="0"/>
    <s v="NO"/>
    <s v="NO"/>
    <s v="NO"/>
    <s v="YES"/>
    <s v="YES"/>
    <s v="NO"/>
    <s v="YES"/>
    <m/>
    <m/>
    <x v="2"/>
    <s v="This project create manual for Village Health Committees implementation process."/>
    <x v="3"/>
    <s v="The Village Health Committee Manual has been share and expecting to be use nationwide."/>
    <x v="1"/>
    <x v="0"/>
    <s v="YES"/>
    <x v="0"/>
    <x v="0"/>
    <x v="0"/>
    <x v="0"/>
    <n v="4"/>
    <x v="1"/>
    <x v="1"/>
    <x v="1"/>
    <x v="1"/>
    <x v="1"/>
    <x v="1"/>
    <n v="4"/>
    <x v="2"/>
    <x v="1"/>
    <x v="1"/>
    <x v="1"/>
    <x v="2"/>
    <n v="3"/>
    <x v="2"/>
    <x v="2"/>
    <n v="2"/>
    <s v="Local government(s)"/>
    <s v="National government"/>
    <m/>
    <x v="2"/>
    <m/>
    <m/>
    <s v="Village Health Committee"/>
    <s v="Scholaship for local ethnic women to be midwife"/>
    <s v="Women group"/>
    <s v="Support local ethnic women to be the midwives was very success for encouraging women to access health services"/>
    <s v="MNCH (Mother New Born Child Health) process well encourage women to access to Ante Natal Care and delivery."/>
    <s v="Capacity strenthening for local authorities help the heath services more better."/>
    <s v="Lessons learned from this project will be uses in next phase projects"/>
    <s v="1. Lao Social Indicator Survey (LSIS). 2. DHIS 2 - https://hmis.gov.la/dhis-web-commons/security/login.action. 3. Final Evaluation. 4. Gender Marker. 5. Governance Marker"/>
    <n v="1269"/>
    <n v="2531"/>
    <n v="1.9944838455476754"/>
    <n v="0.67533490937746254"/>
    <n v="0.67364677992888189"/>
    <n v="857"/>
    <n v="1705"/>
    <s v=""/>
    <n v="0"/>
    <n v="0"/>
    <s v=""/>
    <s v=""/>
    <n v="0"/>
    <n v="0"/>
    <s v=""/>
    <n v="1"/>
    <n v="1269"/>
    <n v="2531"/>
    <n v="1.9944838455476754"/>
    <n v="1"/>
    <n v="99"/>
    <n v="297"/>
    <n v="3"/>
    <s v=""/>
    <n v="0"/>
    <n v="0"/>
    <s v=""/>
    <s v="2. Sensitive"/>
    <s v="2. Accommodating"/>
    <s v="0. Harmful"/>
    <s v="It tested new ways for fighting poverty and measured results of innovation"/>
    <s v="Little or no advocacy"/>
    <s v="It took tested solutions to scale on its own"/>
  </r>
  <r>
    <x v="39"/>
    <x v="0"/>
    <n v="3089"/>
    <s v="Women Organization Rural Development Project (WORD)"/>
    <s v="Laos"/>
    <s v="LAO153 LA144"/>
    <s v="CARE Australia"/>
    <s v="Government"/>
    <s v="Government - Australia"/>
    <s v="DFAT-Australia"/>
    <s v="LAO153 LA144"/>
    <s v="CARE Australia"/>
    <s v="Other"/>
    <s v="Other"/>
    <s v="CARE Australia"/>
    <m/>
    <m/>
    <m/>
    <m/>
    <m/>
    <m/>
    <m/>
    <m/>
    <m/>
    <m/>
    <m/>
    <m/>
    <m/>
    <m/>
    <m/>
    <m/>
    <m/>
    <m/>
    <m/>
    <m/>
    <m/>
    <m/>
    <m/>
    <m/>
    <m/>
    <m/>
    <m/>
    <m/>
    <m/>
    <m/>
    <m/>
    <m/>
    <m/>
    <m/>
    <m/>
    <m/>
    <m/>
    <m/>
    <m/>
    <m/>
    <d v="2013-07-01T00:00:00"/>
    <d v="2017-06-30T00:00:00"/>
    <m/>
    <s v="Development Other"/>
    <n v="1273644"/>
    <s v="Robin aus der Beek"/>
    <s v="Remote Ethnic Women Program  Coordinator"/>
    <s v="Robin.ausderBeek@careint.org"/>
    <m/>
    <m/>
    <m/>
    <s v="NO"/>
    <s v="YES"/>
    <s v="NO"/>
    <s v="Women's livelihoods are improved and their interests voiced through strengthened community-based civil society organizations"/>
    <s v="Sub-National"/>
    <s v="Phongsaly province (Khua, Mai and Samphan districts); Sekong province (Dak Cheung district)"/>
    <s v="Remote ethnic women and their communities"/>
    <n v="322"/>
    <n v="228"/>
    <n v="550"/>
    <n v="7567"/>
    <n v="7818"/>
    <n v="15385"/>
    <s v="Direct participants are the people who directly involved in project's activities implementation and indirect participants are the cumunities members who are not directly involved in project activities, these participants are calculated base on record of particpation of the activities and population in target villages."/>
    <m/>
    <m/>
    <m/>
    <m/>
    <m/>
    <m/>
    <m/>
    <m/>
    <m/>
    <m/>
    <m/>
    <m/>
    <m/>
    <m/>
    <m/>
    <m/>
    <m/>
    <m/>
    <m/>
    <m/>
    <m/>
    <m/>
    <m/>
    <m/>
    <m/>
    <m/>
    <m/>
    <m/>
    <m/>
    <m/>
    <m/>
    <m/>
    <m/>
    <m/>
    <m/>
    <m/>
    <m/>
    <m/>
    <m/>
    <m/>
    <m/>
    <m/>
    <m/>
    <m/>
    <m/>
    <m/>
    <m/>
    <m/>
    <m/>
    <m/>
    <m/>
    <m/>
    <m/>
    <m/>
    <m/>
    <m/>
    <m/>
    <m/>
    <m/>
    <m/>
    <n v="1267"/>
    <n v="984"/>
    <n v="2251"/>
    <n v="1755"/>
    <n v="1632"/>
    <n v="3387"/>
    <s v="NO"/>
    <m/>
    <m/>
    <m/>
    <s v="NO"/>
    <m/>
    <m/>
    <m/>
    <s v="NO"/>
    <m/>
    <m/>
    <m/>
    <s v="NO"/>
    <m/>
    <m/>
    <m/>
    <s v="NO"/>
    <m/>
    <m/>
    <m/>
    <s v="NO"/>
    <m/>
    <m/>
    <m/>
    <s v="NO"/>
    <m/>
    <m/>
    <m/>
    <s v="NO"/>
    <m/>
    <m/>
    <m/>
    <s v="YES"/>
    <n v="300"/>
    <n v="0.5"/>
    <n v="900"/>
    <s v="NO"/>
    <m/>
    <m/>
    <m/>
    <s v="YES"/>
    <n v="1274"/>
    <n v="0.53"/>
    <m/>
    <s v="YES"/>
    <n v="525"/>
    <n v="0.54"/>
    <n v="1575"/>
    <s v="NO"/>
    <m/>
    <m/>
    <m/>
    <s v="NO"/>
    <m/>
    <m/>
    <m/>
    <s v="YES"/>
    <n v="154"/>
    <n v="0.45"/>
    <m/>
    <s v="YES"/>
    <n v="153"/>
    <n v="1"/>
    <n v="912"/>
    <m/>
    <m/>
    <m/>
    <m/>
    <m/>
    <s v="YES"/>
    <s v="June"/>
    <n v="2017"/>
    <s v="NO"/>
    <s v="NO"/>
    <m/>
    <m/>
    <m/>
    <x v="0"/>
    <s v="NO"/>
    <s v="NO"/>
    <s v="NO"/>
    <s v="YES"/>
    <s v="NO"/>
    <s v="NO"/>
    <s v="YES"/>
    <m/>
    <m/>
    <x v="0"/>
    <m/>
    <x v="0"/>
    <m/>
    <x v="0"/>
    <x v="0"/>
    <s v="YES"/>
    <x v="0"/>
    <x v="0"/>
    <x v="0"/>
    <x v="0"/>
    <n v="4"/>
    <x v="1"/>
    <x v="1"/>
    <x v="1"/>
    <x v="1"/>
    <x v="1"/>
    <x v="1"/>
    <n v="4"/>
    <x v="2"/>
    <x v="1"/>
    <x v="1"/>
    <x v="1"/>
    <x v="2"/>
    <n v="3"/>
    <x v="0"/>
    <x v="3"/>
    <n v="4"/>
    <s v="Local government(s)"/>
    <s v="Grassroots organization(s)"/>
    <s v="National government"/>
    <x v="0"/>
    <m/>
    <s v="There were no important changes or adjustments in this FY"/>
    <s v="Working with local government, involve government partner in planning and implementing process"/>
    <s v="Village Saving and Loan Association (VSLA) working well with women groups"/>
    <s v="Farmer groups"/>
    <s v="Well planning and morniting with gorvernment involvement"/>
    <s v="Poultry raising still very challenge"/>
    <s v="Working with ethnic wormen still challenge aspecially language barier (Akha village)"/>
    <m/>
    <s v="1. Final Evaluation  - WORD 2017. 2. Gender Marker. 3. Governance Marker. 4. Resilience Marker"/>
    <n v="2251"/>
    <n v="3387"/>
    <n v="1.5046645935139937"/>
    <n v="0.56286095068858288"/>
    <n v="0.51815766164747568"/>
    <n v="1267"/>
    <n v="1755"/>
    <s v=""/>
    <n v="0"/>
    <n v="0"/>
    <s v=""/>
    <n v="1"/>
    <n v="525"/>
    <n v="1575"/>
    <n v="3"/>
    <s v=""/>
    <n v="0"/>
    <n v="0"/>
    <s v=""/>
    <s v=""/>
    <n v="0"/>
    <n v="0"/>
    <s v=""/>
    <n v="1"/>
    <n v="153"/>
    <n v="912"/>
    <n v="5.9607843137254903"/>
    <s v="2. Sensitive"/>
    <s v="2. Accommodating"/>
    <s v="0. Harmful"/>
    <s v="It did not develop any specific innovation"/>
    <s v="Little or no advocacy"/>
    <s v="It did not take tested solutions to scale"/>
  </r>
  <r>
    <x v="40"/>
    <x v="1"/>
    <m/>
    <s v="Beirut Urban /Habitat for Humanity Partnership"/>
    <s v="Lebanon"/>
    <s v="HFIHILB0002"/>
    <s v="CARE France"/>
    <s v="Foundation"/>
    <s v="Other"/>
    <s v="Habitat for Humanity"/>
    <m/>
    <m/>
    <m/>
    <m/>
    <m/>
    <m/>
    <m/>
    <m/>
    <m/>
    <m/>
    <m/>
    <m/>
    <m/>
    <m/>
    <m/>
    <m/>
    <m/>
    <m/>
    <m/>
    <m/>
    <m/>
    <m/>
    <m/>
    <m/>
    <m/>
    <m/>
    <m/>
    <m/>
    <m/>
    <m/>
    <m/>
    <m/>
    <m/>
    <m/>
    <m/>
    <m/>
    <m/>
    <m/>
    <m/>
    <m/>
    <m/>
    <m/>
    <m/>
    <m/>
    <m/>
    <m/>
    <m/>
    <m/>
    <s v="Humanitarian Food &amp; Nutrition Security and Resilience to Climate Change"/>
    <n v="491000"/>
    <s v="Daniel Delati"/>
    <s v="DCD - P"/>
    <s v="daniel@delati.org"/>
    <m/>
    <m/>
    <m/>
    <s v="YES"/>
    <s v="NO"/>
    <s v="NO"/>
    <s v="Rehabilitation of Housing Units: Repairs to the dwelling envelope (windows, doors, partitions, and structural enhancements to walls and roofs to reduce heat loss and prevent rain from entering) as well as plumbing, electrical systems, and masonry to address safety, heat, humidity, and sanitation concerns. Upgrades to lighting and security: Installation of secure entries and lighting to the interior and exterior of dwellings and buildings. Upgrades to communal spaces: Upgrades to interior and exterior common areas of buildings (i.e., entrances, stairways, gates) and spaces between buildings (i.e., alleyways, sidewalks, and public gathering spaces)."/>
    <s v="Sub-National"/>
    <s v="Mount Lebanon: Bourj Hammoud"/>
    <s v="The most vulnerable Lebanese and Refugees in need of basic shelter rehabilitation assistance"/>
    <m/>
    <m/>
    <n v="201"/>
    <n v="890"/>
    <n v="894"/>
    <n v="1784"/>
    <s v="The indirect beneficiaries are beneficiaries of the communal projects (inluding those who received protection sessions and rehabilitated Housing Units."/>
    <m/>
    <m/>
    <m/>
    <n v="201"/>
    <m/>
    <m/>
    <n v="1784"/>
    <s v="NO"/>
    <m/>
    <m/>
    <m/>
    <s v="NO"/>
    <m/>
    <m/>
    <m/>
    <s v="NO"/>
    <m/>
    <m/>
    <m/>
    <s v="NO"/>
    <m/>
    <m/>
    <m/>
    <s v="NO"/>
    <m/>
    <m/>
    <m/>
    <s v="NO"/>
    <m/>
    <m/>
    <m/>
    <s v="NO"/>
    <m/>
    <m/>
    <m/>
    <s v="NO"/>
    <m/>
    <m/>
    <m/>
    <s v="YES"/>
    <m/>
    <m/>
    <m/>
    <s v="NO"/>
    <m/>
    <m/>
    <m/>
    <s v="YES"/>
    <n v="201"/>
    <m/>
    <n v="1784"/>
    <s v="YES"/>
    <m/>
    <m/>
    <m/>
    <m/>
    <s v="NO"/>
    <m/>
    <m/>
    <m/>
    <m/>
    <m/>
    <m/>
    <m/>
    <m/>
    <m/>
    <m/>
    <m/>
    <m/>
    <m/>
    <m/>
    <m/>
    <m/>
    <m/>
    <m/>
    <m/>
    <m/>
    <m/>
    <m/>
    <m/>
    <m/>
    <m/>
    <m/>
    <m/>
    <m/>
    <m/>
    <m/>
    <m/>
    <m/>
    <m/>
    <m/>
    <m/>
    <m/>
    <m/>
    <m/>
    <m/>
    <m/>
    <m/>
    <m/>
    <m/>
    <m/>
    <m/>
    <m/>
    <m/>
    <m/>
    <m/>
    <m/>
    <m/>
    <m/>
    <m/>
    <m/>
    <m/>
    <m/>
    <m/>
    <m/>
    <m/>
    <m/>
    <m/>
    <m/>
    <m/>
    <m/>
    <m/>
    <m/>
    <m/>
    <m/>
    <m/>
    <m/>
    <m/>
    <m/>
    <m/>
    <m/>
    <m/>
    <m/>
    <m/>
    <m/>
    <s v="YES"/>
    <s v="May"/>
    <n v="2016"/>
    <s v="YES"/>
    <s v="NO"/>
    <m/>
    <m/>
    <m/>
    <x v="0"/>
    <s v="NO"/>
    <s v="NO"/>
    <s v="NO"/>
    <s v="NO"/>
    <s v="NO"/>
    <s v="NO"/>
    <s v="NO"/>
    <s v="NO"/>
    <m/>
    <x v="0"/>
    <m/>
    <x v="1"/>
    <s v="Integrated neighborhood approach"/>
    <x v="0"/>
    <x v="3"/>
    <s v="YES"/>
    <x v="1"/>
    <x v="1"/>
    <x v="1"/>
    <x v="5"/>
    <n v="1"/>
    <x v="1"/>
    <x v="1"/>
    <x v="1"/>
    <x v="2"/>
    <x v="1"/>
    <x v="1"/>
    <n v="3"/>
    <x v="1"/>
    <x v="1"/>
    <x v="1"/>
    <x v="2"/>
    <x v="3"/>
    <n v="2"/>
    <x v="2"/>
    <x v="0"/>
    <n v="0"/>
    <s v="International NGO(s)"/>
    <m/>
    <m/>
    <x v="1"/>
    <m/>
    <m/>
    <m/>
    <m/>
    <m/>
    <m/>
    <m/>
    <m/>
    <s v="WaSH beneficiaries are the same as shelter beneficiaries since household rehab included the installment of WaSH facilities. NRC delivered the tenancy rights protection sessions as it was operating in the same area at the time. No formal agreement was signed with NRC."/>
    <s v="Documents and data available in CiL's database."/>
    <n v="201"/>
    <n v="1784"/>
    <n v="8.8756218905472632"/>
    <n v="0"/>
    <n v="0"/>
    <n v="0"/>
    <n v="0"/>
    <n v="1"/>
    <n v="201"/>
    <n v="1784"/>
    <n v="8.8756218905472632"/>
    <s v=""/>
    <n v="0"/>
    <n v="0"/>
    <s v=""/>
    <s v=""/>
    <n v="0"/>
    <n v="0"/>
    <s v=""/>
    <s v=""/>
    <n v="0"/>
    <n v="0"/>
    <s v=""/>
    <s v=""/>
    <n v="0"/>
    <n v="0"/>
    <s v=""/>
    <s v="0. Harmful"/>
    <s v="2. Accommodating"/>
    <s v="1. Neutral"/>
    <s v="It did not develop any specific innovation"/>
    <s v="Little or no advocacy"/>
    <s v="It linked and worked with strategic alliances and partners to take tested and effective solutions to scale"/>
  </r>
  <r>
    <x v="40"/>
    <x v="1"/>
    <m/>
    <s v="Enhancing safe water supply and waste management for the vulnerable population affected by the Syria crisis in South Lebanon"/>
    <s v="Lebanon"/>
    <s v="EUPDLB0001"/>
    <s v="CARE France"/>
    <s v="Multilateral agency"/>
    <s v="EU - European Union (other than ECHO)"/>
    <s v="EuropeAid"/>
    <s v="BNPPLB0004"/>
    <s v="CARE France"/>
    <s v="Foundation"/>
    <s v="Other"/>
    <s v="BNP Paribas Foundation"/>
    <s v="AXAXLB0001"/>
    <s v="CARE France"/>
    <s v="Other"/>
    <s v="Other"/>
    <s v="AXA"/>
    <m/>
    <m/>
    <m/>
    <m/>
    <m/>
    <m/>
    <m/>
    <m/>
    <m/>
    <m/>
    <m/>
    <m/>
    <m/>
    <m/>
    <m/>
    <m/>
    <m/>
    <m/>
    <m/>
    <m/>
    <m/>
    <m/>
    <m/>
    <m/>
    <m/>
    <m/>
    <m/>
    <m/>
    <m/>
    <m/>
    <m/>
    <m/>
    <m/>
    <m/>
    <m/>
    <d v="2015-09-17T00:00:00"/>
    <d v="2017-09-16T00:00:00"/>
    <m/>
    <s v="Humanitarian Other"/>
    <n v="2629932.9700000002"/>
    <s v="Daniel Delati"/>
    <s v="DCD - P"/>
    <s v="daniel@careliban.org"/>
    <s v="Gulnard Ters"/>
    <s v="WaSH Coordinator - Project Manager"/>
    <s v="gulnard@careliban.org"/>
    <s v="YES"/>
    <s v="YES"/>
    <s v="YES"/>
    <s v="Overall objectives: 1. Provide sustainable water supply  in adequate quantities to the most vulnerable populations in Lebanon. 2. Contribute to improve solid waste collection service for vulnerable population in critical areas of Lebanon. Specific objective: Improve reliable access to safe water and sanitation (solid waste) for highly vulnerable host and refugee communities in in areas of Southern Lebanon most affected by the influx of Syrian refugees in a sustainable way"/>
    <s v="Sub-National"/>
    <s v="Lebanon - South Lebanon Governorate - Saida District and Zahrani District"/>
    <s v="Inhabitants of Saida, Ghazyieh, Lubieh, Bissaryieh, Bqosta, Darb es-Sim, and Aabra: Lebanese host communities and Syrian refugees; Sahel Zahrani Union of Municipalities"/>
    <m/>
    <m/>
    <n v="194364"/>
    <m/>
    <m/>
    <n v="7133"/>
    <s v="The direct beneficiaries of this project the entire residents of the targeted areas since the rehabilitated water infrastructure and systems benefit all residents (194,242). The numbers were calculated through the averaging of UNHR and municipality data. Other direct beneficiaries are the SLWE staff who received capacity building trainings (20) and the ToT participants (102) who were trained on the solid waste campaign key messages. Participants of other project activities are from the population of the project areas, and therefore will not e counted (since they will be considered as duplicates). Indirect beneficiaries are the residents of a non-project area since the improved water supply in one of the targeted areas (Lubiyeh) was in excess that they transferred the excess water to a nearby municipality (Saksakiyeh) which has a total residents of 7,133."/>
    <m/>
    <m/>
    <m/>
    <n v="194262"/>
    <m/>
    <m/>
    <n v="7133"/>
    <s v="NO"/>
    <m/>
    <m/>
    <m/>
    <s v="NO"/>
    <m/>
    <m/>
    <m/>
    <s v="NO"/>
    <m/>
    <m/>
    <m/>
    <s v="NO"/>
    <m/>
    <m/>
    <m/>
    <s v="NO"/>
    <m/>
    <m/>
    <m/>
    <s v="NO"/>
    <m/>
    <m/>
    <m/>
    <s v="NO"/>
    <m/>
    <m/>
    <m/>
    <s v="NO"/>
    <m/>
    <m/>
    <m/>
    <s v="NO"/>
    <m/>
    <m/>
    <m/>
    <s v="NO"/>
    <m/>
    <m/>
    <m/>
    <s v="NO"/>
    <m/>
    <m/>
    <m/>
    <s v="YES"/>
    <n v="194212"/>
    <m/>
    <n v="7113"/>
    <s v="Solid waste management"/>
    <s v="YES"/>
    <n v="13596"/>
    <m/>
    <m/>
    <m/>
    <m/>
    <n v="194110"/>
    <m/>
    <m/>
    <n v="7133"/>
    <m/>
    <m/>
    <m/>
    <m/>
    <m/>
    <m/>
    <m/>
    <m/>
    <m/>
    <m/>
    <m/>
    <m/>
    <m/>
    <m/>
    <m/>
    <m/>
    <m/>
    <m/>
    <m/>
    <m/>
    <m/>
    <m/>
    <m/>
    <m/>
    <s v="YES"/>
    <n v="194212"/>
    <m/>
    <n v="7113"/>
    <m/>
    <m/>
    <m/>
    <m/>
    <m/>
    <m/>
    <m/>
    <m/>
    <m/>
    <m/>
    <m/>
    <m/>
    <m/>
    <m/>
    <m/>
    <m/>
    <m/>
    <m/>
    <m/>
    <m/>
    <m/>
    <m/>
    <m/>
    <m/>
    <m/>
    <m/>
    <m/>
    <m/>
    <m/>
    <m/>
    <m/>
    <m/>
    <m/>
    <m/>
    <m/>
    <m/>
    <m/>
    <m/>
    <m/>
    <m/>
    <m/>
    <s v="NO"/>
    <m/>
    <m/>
    <s v="NO"/>
    <s v="YES"/>
    <s v="October"/>
    <m/>
    <s v="The endline outcome monitoring data collection took place in August 2017 and the endline report is due by October 2017."/>
    <x v="0"/>
    <s v="NO"/>
    <s v="NO"/>
    <s v="NO"/>
    <s v="NO"/>
    <s v="NO"/>
    <s v="NO"/>
    <s v="NO"/>
    <s v="NO"/>
    <m/>
    <x v="0"/>
    <m/>
    <x v="0"/>
    <m/>
    <x v="0"/>
    <x v="3"/>
    <s v="YES"/>
    <x v="1"/>
    <x v="1"/>
    <x v="0"/>
    <x v="5"/>
    <n v="2"/>
    <x v="1"/>
    <x v="1"/>
    <x v="2"/>
    <x v="1"/>
    <x v="1"/>
    <x v="1"/>
    <n v="3"/>
    <x v="1"/>
    <x v="1"/>
    <x v="1"/>
    <x v="2"/>
    <x v="3"/>
    <n v="2"/>
    <x v="2"/>
    <x v="0"/>
    <n v="2"/>
    <s v="Local NGO(s)/CSO(s)"/>
    <s v="Grassroots organization(s)"/>
    <m/>
    <x v="1"/>
    <m/>
    <m/>
    <s v="Participatory approach with the local communities contributed to the roll-out of the solid waste awareness campaign and paper sorting."/>
    <s v="Community engagement with the local communities in the rehabilitation of the water infrastructure,aiming at building trust with the local government and water establishment."/>
    <m/>
    <s v="Municipalities are interested in sorting at the source for all types of solid waste and not only paper. This should allow CIL to scale up its solid waste management interventions."/>
    <s v="Needs assessment of the water establishment (a major stakeholder in the intervention) showed that staff lack many of the required capacities. Despite the rovision of water modeling and design software, the water establishment is still in need of other software, equipment, and trainings."/>
    <s v="Partnerning up with the Lebanese Echo Movement allowed a legitimate umbrella for the solid waste management campaign especially as the movement is an environmental reference on the national level."/>
    <s v="All beneficiaries of this project are indirect. It was impossible to disaggregate the populations by gender and age, especially as no updated figures are available. Solid waste management beneficiaries are from the total WaSH beneficiaries - not to be double counted."/>
    <s v="CIL Database has all project documents, reports, and data."/>
    <n v="194262"/>
    <n v="7133"/>
    <n v="3.6718452399336979E-2"/>
    <n v="0"/>
    <n v="0"/>
    <n v="0"/>
    <n v="0"/>
    <n v="1"/>
    <n v="194262"/>
    <n v="7133"/>
    <n v="3.6718452399336979E-2"/>
    <n v="1"/>
    <n v="194212"/>
    <n v="7113"/>
    <n v="3.6624925339319915E-2"/>
    <s v=""/>
    <n v="0"/>
    <n v="0"/>
    <s v=""/>
    <s v=""/>
    <n v="0"/>
    <n v="0"/>
    <s v=""/>
    <s v=""/>
    <n v="0"/>
    <n v="0"/>
    <s v=""/>
    <s v="0. Harmful"/>
    <s v="2. Accommodating"/>
    <s v="1. Neutral"/>
    <s v="It did not develop any specific innovation"/>
    <s v="Little or no advocacy"/>
    <s v="It did not take tested solutions to scale"/>
  </r>
  <r>
    <x v="40"/>
    <x v="1"/>
    <m/>
    <s v="Integrated Shelter Improvements for Syrian Refugees and Host Communities in Tripoli, Lebanon: Phase II"/>
    <s v="Lebanon"/>
    <s v="BPRMLB0001"/>
    <s v="CARE USA"/>
    <s v="Government"/>
    <s v="Government - US"/>
    <s v="PRM-Bureau of Populations, Refugees and Migrations"/>
    <m/>
    <m/>
    <m/>
    <m/>
    <m/>
    <m/>
    <m/>
    <m/>
    <m/>
    <m/>
    <m/>
    <m/>
    <m/>
    <m/>
    <m/>
    <m/>
    <m/>
    <m/>
    <m/>
    <m/>
    <m/>
    <m/>
    <m/>
    <m/>
    <m/>
    <m/>
    <m/>
    <m/>
    <m/>
    <m/>
    <m/>
    <m/>
    <m/>
    <m/>
    <m/>
    <m/>
    <m/>
    <m/>
    <m/>
    <m/>
    <m/>
    <m/>
    <m/>
    <m/>
    <m/>
    <d v="2016-09-01T00:00:00"/>
    <d v="2017-08-31T00:00:00"/>
    <m/>
    <s v="Humanitarian Access to and Control over Economic Resources"/>
    <n v="2399116"/>
    <s v="Daniel Delati"/>
    <s v="DCD - P"/>
    <s v="daniel@careliban.org"/>
    <s v="Toka Khodr"/>
    <s v="Project Manager"/>
    <s v="toka@careliban.org"/>
    <s v="YES"/>
    <s v="NO"/>
    <s v="NO"/>
    <s v="Objective 1: Syrian refugees and Lebanese host community individuals have improved shelter and WASH conditions in urban Tripoli.. Objective 2: Syrian refugees and Lebanese host community individuals have enhanced knowledge of and access to protection services."/>
    <s v="Sub-National"/>
    <s v="North Lebanon, Tripoli city: Quobbe, Mina, Mankoubin, Abou Samra, Wadi Nahle and  Ghurabah."/>
    <s v="CARE targets low-income dwellings, both slum-like apartments as well as makeshift housing whose conditions pose threats to their residents. In buildings, upgrades to individual units are based on vulnerability criteria for Syria  refugees and upgrades to the common areas which benefit all residents. Among vulnerable households, CARE prioritizes female-headed households and families with older persons, chronically ill, disabled, and with many children. Target groups are Lebanese host communities and Syrian refugees."/>
    <m/>
    <m/>
    <n v="7707"/>
    <m/>
    <m/>
    <n v="53415"/>
    <s v="The indirect beneficiaries are the people benefiting from communal projects and the total of which amoounts to the number of total residents. A profiling ecercise was conducted for all the targeted neighborhoods and they provide the number of all residents. Direct number of beneficiaries are distributed as follows (a total of 7.707): 2374 In safe space beneficiaries (2231 females; 143 males) 178 community based protection committes (CBPC) members benefiting from different sessions (134 females, 144 males) 3025 Individuals benefiting from HU rehabilitation (1583 women and girls; 1463 emn and boys) 1200 individuals benefiting from introductory events 930 individuals benefiting from interactive theater Not all project components ere disaggregated by gender."/>
    <m/>
    <m/>
    <m/>
    <n v="4140"/>
    <m/>
    <m/>
    <n v="53415"/>
    <s v="NO"/>
    <m/>
    <m/>
    <m/>
    <s v="NO"/>
    <m/>
    <m/>
    <m/>
    <s v="NO"/>
    <m/>
    <m/>
    <m/>
    <s v="NO"/>
    <m/>
    <m/>
    <m/>
    <s v="NO"/>
    <m/>
    <m/>
    <m/>
    <s v="NO"/>
    <m/>
    <m/>
    <m/>
    <s v="NO"/>
    <m/>
    <m/>
    <m/>
    <s v="NO"/>
    <m/>
    <m/>
    <m/>
    <s v="YES"/>
    <n v="2567"/>
    <n v="0.67469999999999997"/>
    <m/>
    <s v="NO"/>
    <m/>
    <m/>
    <m/>
    <s v="YES"/>
    <n v="388"/>
    <m/>
    <n v="1940"/>
    <s v="YES"/>
    <m/>
    <m/>
    <m/>
    <m/>
    <s v="NO"/>
    <m/>
    <m/>
    <m/>
    <m/>
    <m/>
    <m/>
    <m/>
    <m/>
    <m/>
    <m/>
    <m/>
    <m/>
    <m/>
    <m/>
    <m/>
    <m/>
    <m/>
    <m/>
    <m/>
    <m/>
    <m/>
    <m/>
    <m/>
    <m/>
    <m/>
    <m/>
    <m/>
    <m/>
    <m/>
    <m/>
    <m/>
    <m/>
    <m/>
    <m/>
    <m/>
    <m/>
    <m/>
    <m/>
    <m/>
    <m/>
    <m/>
    <m/>
    <m/>
    <m/>
    <m/>
    <m/>
    <m/>
    <m/>
    <m/>
    <m/>
    <m/>
    <m/>
    <m/>
    <m/>
    <m/>
    <m/>
    <m/>
    <m/>
    <m/>
    <m/>
    <m/>
    <m/>
    <m/>
    <m/>
    <m/>
    <m/>
    <m/>
    <m/>
    <m/>
    <m/>
    <m/>
    <m/>
    <m/>
    <m/>
    <m/>
    <m/>
    <m/>
    <m/>
    <s v="YES"/>
    <s v="December"/>
    <n v="2016"/>
    <s v="YES"/>
    <s v="YES"/>
    <s v="October"/>
    <n v="2017"/>
    <s v="Endline outcome monitoring will be taking place"/>
    <x v="0"/>
    <s v="NO"/>
    <s v="NO"/>
    <s v="YES"/>
    <s v="NO"/>
    <s v="NO"/>
    <s v="NO"/>
    <s v="NO"/>
    <s v="NO"/>
    <m/>
    <x v="1"/>
    <s v="Research on eviction and causes. Research on socio-economic vulnerability criteria (with project participants and organization staff)."/>
    <x v="1"/>
    <s v="Using the neighborhood approach, CARE sclaed it up in the same beighborhoods as those in BPRM1 and entered new neighborhoods using the same approach."/>
    <x v="1"/>
    <x v="0"/>
    <s v="YES"/>
    <x v="0"/>
    <x v="0"/>
    <x v="0"/>
    <x v="0"/>
    <n v="4"/>
    <x v="1"/>
    <x v="1"/>
    <x v="1"/>
    <x v="2"/>
    <x v="1"/>
    <x v="1"/>
    <n v="3"/>
    <x v="3"/>
    <x v="1"/>
    <x v="1"/>
    <x v="1"/>
    <x v="4"/>
    <n v="3"/>
    <x v="2"/>
    <x v="2"/>
    <n v="1"/>
    <s v="Local NGO(s)/CSO(s)"/>
    <s v="Grassroots organization(s)"/>
    <m/>
    <x v="1"/>
    <m/>
    <m/>
    <s v="The Neighborhood Approach including communal projects"/>
    <s v="Community-based protection committees"/>
    <s v="Safe spaces"/>
    <s v="Remind beneficiaries about the selection and work procedures, in addition to the scope of CiL and partners work"/>
    <s v="Review the roles of the committees and set the mechanisms to achieve these roles"/>
    <s v="Awareness on the existence of the committees should be raised on the neighborhood and household levels (events, committee card, committees profiling, etc.)"/>
    <s v="Indirect beneficiaries for WaSH during FY are the same as those for Shelter."/>
    <s v="All data, project and learning documents are available in CIL's database"/>
    <n v="4140"/>
    <n v="53415"/>
    <n v="12.902173913043478"/>
    <n v="0"/>
    <n v="0"/>
    <n v="0"/>
    <n v="0"/>
    <n v="1"/>
    <n v="4140"/>
    <n v="53415"/>
    <n v="12.902173913043478"/>
    <s v=""/>
    <n v="0"/>
    <n v="0"/>
    <s v=""/>
    <s v=""/>
    <n v="0"/>
    <n v="0"/>
    <s v=""/>
    <s v=""/>
    <n v="0"/>
    <n v="0"/>
    <s v=""/>
    <s v=""/>
    <n v="0"/>
    <n v="0"/>
    <s v=""/>
    <s v="2. Sensitive"/>
    <s v="2. Accommodating"/>
    <s v="4. Transformative"/>
    <s v="It tested new ways for fighting poverty, but did not measure results of innovation"/>
    <s v="Little or no advocacy"/>
    <s v="It linked and worked with strategic alliances and partners to take tested and effective solutions to scale"/>
  </r>
  <r>
    <x v="40"/>
    <x v="1"/>
    <m/>
    <s v="LEADERS Consortium Promoting Inclusive Local Economic Empowerment and Development to Enhance Resilience and Social Stability"/>
    <s v="Lebanon"/>
    <s v="DRCXLB0001"/>
    <s v="CARE France"/>
    <s v="Multilateral agency"/>
    <s v="EU - European Union (other than ECHO)"/>
    <s v="EU"/>
    <m/>
    <m/>
    <m/>
    <m/>
    <m/>
    <m/>
    <m/>
    <m/>
    <m/>
    <m/>
    <m/>
    <m/>
    <m/>
    <m/>
    <m/>
    <m/>
    <m/>
    <m/>
    <m/>
    <m/>
    <m/>
    <m/>
    <m/>
    <m/>
    <m/>
    <m/>
    <m/>
    <m/>
    <m/>
    <m/>
    <m/>
    <m/>
    <m/>
    <m/>
    <m/>
    <m/>
    <m/>
    <m/>
    <m/>
    <m/>
    <m/>
    <m/>
    <m/>
    <m/>
    <m/>
    <d v="2016-04-01T00:00:00"/>
    <d v="2017-10-31T00:00:00"/>
    <m/>
    <s v="Humanitarian Access to and Control over Economic Resources"/>
    <n v="906358.75"/>
    <s v="Michel Samaha"/>
    <s v="LED Coordinator"/>
    <s v="samaha@careliban.org"/>
    <s v="Hamza Obeid"/>
    <s v="Project Manager"/>
    <s v="hamza@careliban.org"/>
    <s v="YES"/>
    <s v="NO"/>
    <s v="NO"/>
    <s v="&lt;Overall objective&gt; To contribute to the economic self-reliance, resilience and social stability of displacement-affected populations in Jordan and Lebanon in preparation for durable solutions. &lt;Specific objective 1&gt; Improved access to sustainable livelihoods opportunities benefitting vulnerable households and individuals, particularly youth and women. &lt;Specific objective 2&gt; Improved economic enabling environment and service delivery in communities hosting refugees"/>
    <s v="Sub-National"/>
    <s v="North Lebanon: Tripoli city. Mount Lebanon: Bourj Hammoud, Dekwaneh/Bouchriyeh, Jdaideh"/>
    <s v="1. Economically vulnerable individuals and households (particular focus on women and youth); 2. Marginalised Syrian refugee individuals and households through development of transferrable skills, promotion of host-refugee joint ventures and cooperatives as national policy frameworks allow; 3. Existing and scalable private sector enterprises (MSMEs), private sector associations; 4. Municipalities/cadastres in the most displacement-affected areas hosting refugees and who have demonstrated a clear willingness to work toward more inclusive local economic development, in particular with regard to refugee populations."/>
    <m/>
    <m/>
    <n v="447"/>
    <m/>
    <m/>
    <m/>
    <m/>
    <m/>
    <m/>
    <m/>
    <n v="447"/>
    <m/>
    <m/>
    <m/>
    <s v="NO"/>
    <m/>
    <m/>
    <m/>
    <s v="NO"/>
    <m/>
    <m/>
    <m/>
    <s v="NO"/>
    <m/>
    <m/>
    <m/>
    <s v="NO"/>
    <m/>
    <m/>
    <m/>
    <s v="NO"/>
    <m/>
    <m/>
    <m/>
    <s v="NO"/>
    <m/>
    <m/>
    <m/>
    <s v="NO"/>
    <m/>
    <m/>
    <m/>
    <s v="Yes"/>
    <m/>
    <m/>
    <m/>
    <s v="NO"/>
    <m/>
    <m/>
    <m/>
    <s v="NO"/>
    <m/>
    <m/>
    <m/>
    <s v="NO"/>
    <m/>
    <m/>
    <m/>
    <s v="NO"/>
    <m/>
    <m/>
    <m/>
    <m/>
    <s v="NO"/>
    <m/>
    <m/>
    <m/>
    <m/>
    <m/>
    <m/>
    <m/>
    <m/>
    <m/>
    <m/>
    <m/>
    <m/>
    <m/>
    <m/>
    <m/>
    <m/>
    <m/>
    <m/>
    <m/>
    <m/>
    <m/>
    <m/>
    <m/>
    <m/>
    <m/>
    <m/>
    <m/>
    <m/>
    <m/>
    <m/>
    <m/>
    <m/>
    <m/>
    <m/>
    <m/>
    <m/>
    <m/>
    <m/>
    <m/>
    <m/>
    <m/>
    <m/>
    <m/>
    <m/>
    <m/>
    <m/>
    <m/>
    <m/>
    <m/>
    <m/>
    <m/>
    <m/>
    <m/>
    <m/>
    <m/>
    <m/>
    <m/>
    <m/>
    <m/>
    <m/>
    <m/>
    <m/>
    <m/>
    <m/>
    <m/>
    <m/>
    <m/>
    <m/>
    <m/>
    <m/>
    <m/>
    <m/>
    <m/>
    <m/>
    <m/>
    <m/>
    <m/>
    <m/>
    <s v="YES"/>
    <s v="February"/>
    <n v="2017"/>
    <s v="NO"/>
    <s v="YES"/>
    <s v="November"/>
    <n v="2017"/>
    <s v="An internal evaluation is currently taking place internally by CIL. An external evaluation for the entire project is planned next November which will also measure the outcomes."/>
    <x v="1"/>
    <s v="NO"/>
    <s v="NO"/>
    <s v="NO"/>
    <s v="NO"/>
    <s v="YES"/>
    <s v="YES"/>
    <s v="NO"/>
    <s v="NO"/>
    <m/>
    <x v="0"/>
    <m/>
    <x v="1"/>
    <m/>
    <x v="0"/>
    <x v="3"/>
    <s v="YES"/>
    <x v="0"/>
    <x v="0"/>
    <x v="0"/>
    <x v="5"/>
    <n v="4"/>
    <x v="1"/>
    <x v="1"/>
    <x v="2"/>
    <x v="1"/>
    <x v="1"/>
    <x v="1"/>
    <n v="3"/>
    <x v="3"/>
    <x v="2"/>
    <x v="1"/>
    <x v="1"/>
    <x v="5"/>
    <n v="2"/>
    <x v="2"/>
    <x v="0"/>
    <n v="5"/>
    <s v="International NGO(s)"/>
    <s v="Local NGO(s)/CSO(s)"/>
    <m/>
    <x v="1"/>
    <m/>
    <m/>
    <s v="Business support (mentorships and trainings)"/>
    <s v="CSP - Community Support Projects"/>
    <s v="Startup support for ideation"/>
    <m/>
    <m/>
    <m/>
    <s v="The advocacy component is being carried out by a consortium partner and is not a CIL activity. The project is implemented through a consortium of 4 INGOs and 1 local NGO. CIL directly implemented its activities."/>
    <s v="All project documents and data are available in CIL database"/>
    <n v="447"/>
    <n v="0"/>
    <n v="0"/>
    <n v="0"/>
    <s v=""/>
    <n v="0"/>
    <n v="0"/>
    <n v="1"/>
    <n v="447"/>
    <n v="0"/>
    <n v="0"/>
    <n v="1"/>
    <n v="0"/>
    <n v="0"/>
    <s v=""/>
    <s v=""/>
    <n v="0"/>
    <n v="0"/>
    <s v=""/>
    <s v=""/>
    <n v="0"/>
    <n v="0"/>
    <s v=""/>
    <s v=""/>
    <n v="0"/>
    <n v="0"/>
    <s v=""/>
    <s v="0. Harmful"/>
    <s v="2. Accommodating"/>
    <s v="3. Responsive"/>
    <s v="It did not develop any specific innovation"/>
    <s v="Moderate advocacy"/>
    <s v="It linked and worked with strategic alliances and partners to take tested and effective solutions to scale"/>
  </r>
  <r>
    <x v="40"/>
    <x v="1"/>
    <m/>
    <s v="Multi-purpose cash assistance to meet the needs of vulnerable Syrian refugees in Lebanon"/>
    <s v="Lebanon"/>
    <s v="ECHOLB0003"/>
    <s v="CARE France"/>
    <s v="Multilateral agency"/>
    <s v="ECHO - European Commission for Humanitarian Aid and Civil Protection"/>
    <s v="ECHO"/>
    <m/>
    <m/>
    <m/>
    <m/>
    <m/>
    <m/>
    <m/>
    <m/>
    <m/>
    <m/>
    <m/>
    <m/>
    <m/>
    <m/>
    <m/>
    <m/>
    <m/>
    <m/>
    <m/>
    <m/>
    <m/>
    <m/>
    <m/>
    <m/>
    <m/>
    <m/>
    <m/>
    <m/>
    <m/>
    <m/>
    <m/>
    <m/>
    <m/>
    <m/>
    <m/>
    <m/>
    <m/>
    <m/>
    <m/>
    <m/>
    <m/>
    <m/>
    <m/>
    <m/>
    <m/>
    <d v="2015-12-01T00:00:00"/>
    <d v="2017-03-31T00:00:00"/>
    <m/>
    <s v="Humanitarian Access to and Control over Economic Resources"/>
    <n v="3349456.0419999999"/>
    <s v="Daniel Delati"/>
    <s v="DCD-P"/>
    <s v="daniel@careliban.org"/>
    <m/>
    <m/>
    <m/>
    <s v="YES"/>
    <s v="NO"/>
    <s v="NO"/>
    <s v="The LCC intends to reduce suffering by improving the access of the most vulnerable households to essential goods and services of their choice in a safe, dignified and empowered manner via different causal pathways: Provision of multi-purpose cash and Referrals to non-cash based services. LCC aims to improve the most vulnerable populations access to essential goods and services of their choice in a safe, dignified and empowered manner by improving purchasing power and facilitating referrals to appropriate services. The goal of the LCC is to contribute to DFIDs identified impact of lives saved, civilians protected, suffering reduced and resilience built. LCC contributes specifically to the reduction of suffering within the refugee population in Lebanon. Achieving this by providing multi-purpose cash assistance to the most vulnerable Syrian refugee households, thereby mitigating financial barriers and reducing a reliance on negative coping strategies, mainstreaming protection (including establishing referral mechanisms), and contributing to effective coordination, harmonisation and learning in the cash sector."/>
    <s v="National"/>
    <s v="The LCC's composition enables country wide coverage with an inter-agency geographical split that runs in parallel with the agencies multi-sector programming. For CARE, the area of intervention was in Mount Lebanon (Aley and Chouf districts) and Saida."/>
    <s v="The target population is food insecure and socio economic vulnerable displaced Syrian households in addition to Palestinian refugees from Syria."/>
    <n v="6406"/>
    <n v="5914"/>
    <n v="12320"/>
    <m/>
    <m/>
    <n v="61600"/>
    <s v="Direct beneficiaries are heads of households with vulnerability criteria as set in the targeting system. The indirect beneficiaries are their household members calculated by multiplying the number of heads of households receiving assistance by the average number of all household sizes."/>
    <m/>
    <n v="245"/>
    <n v="726"/>
    <n v="971"/>
    <m/>
    <m/>
    <n v="4114"/>
    <s v="NO"/>
    <m/>
    <m/>
    <m/>
    <s v="YES"/>
    <n v="971"/>
    <n v="0.33700000000000002"/>
    <n v="4114"/>
    <s v="NO"/>
    <m/>
    <m/>
    <m/>
    <s v="NO"/>
    <m/>
    <m/>
    <m/>
    <s v="NO"/>
    <m/>
    <m/>
    <m/>
    <s v="NO"/>
    <m/>
    <m/>
    <m/>
    <s v="NO"/>
    <m/>
    <m/>
    <m/>
    <s v="NO"/>
    <m/>
    <m/>
    <m/>
    <s v="NO"/>
    <m/>
    <m/>
    <m/>
    <s v="NO"/>
    <m/>
    <m/>
    <m/>
    <s v="NO"/>
    <m/>
    <m/>
    <m/>
    <m/>
    <m/>
    <m/>
    <m/>
    <m/>
    <m/>
    <m/>
    <m/>
    <m/>
    <m/>
    <m/>
    <m/>
    <m/>
    <m/>
    <m/>
    <m/>
    <m/>
    <m/>
    <m/>
    <m/>
    <m/>
    <m/>
    <m/>
    <m/>
    <m/>
    <m/>
    <m/>
    <m/>
    <m/>
    <m/>
    <m/>
    <m/>
    <m/>
    <m/>
    <m/>
    <m/>
    <m/>
    <m/>
    <m/>
    <m/>
    <m/>
    <m/>
    <m/>
    <m/>
    <m/>
    <m/>
    <m/>
    <m/>
    <m/>
    <m/>
    <m/>
    <m/>
    <m/>
    <m/>
    <m/>
    <m/>
    <m/>
    <m/>
    <m/>
    <m/>
    <m/>
    <m/>
    <m/>
    <m/>
    <m/>
    <m/>
    <m/>
    <m/>
    <m/>
    <m/>
    <m/>
    <m/>
    <m/>
    <m/>
    <m/>
    <m/>
    <m/>
    <m/>
    <m/>
    <m/>
    <m/>
    <m/>
    <m/>
    <m/>
    <s v="NO"/>
    <m/>
    <m/>
    <m/>
    <s v="NO"/>
    <m/>
    <m/>
    <s v="No baseline was made in current FY - the consortium used the desk formula which targets participants based on UNHCR registration information. Household baseline assessments used to be conducted prior to this FY using the old targeting system."/>
    <x v="0"/>
    <s v="NO"/>
    <s v="NO"/>
    <s v="NO"/>
    <s v="NO"/>
    <s v="NO"/>
    <s v="NO"/>
    <s v="NO"/>
    <s v="NO"/>
    <m/>
    <x v="1"/>
    <s v="New desk formula used for targeting using UNHCR registration information"/>
    <x v="1"/>
    <s v="Desk formula which relies on original location in Syria, displacement location in Lebanon, and household size."/>
    <x v="1"/>
    <x v="0"/>
    <s v="YES"/>
    <x v="0"/>
    <x v="0"/>
    <x v="0"/>
    <x v="0"/>
    <n v="4"/>
    <x v="1"/>
    <x v="1"/>
    <x v="2"/>
    <x v="1"/>
    <x v="1"/>
    <x v="1"/>
    <n v="3"/>
    <x v="3"/>
    <x v="1"/>
    <x v="1"/>
    <x v="2"/>
    <x v="5"/>
    <n v="2"/>
    <x v="2"/>
    <x v="1"/>
    <n v="6"/>
    <s v="International NGO(s)"/>
    <s v="Local alliance(s)/Platform(s)/Network(s) of  NGOs/CSOs"/>
    <s v="Local government(s)"/>
    <x v="1"/>
    <m/>
    <s v="Following a gender assessment of the project, recommendations were made to make the project gender sensitive. The project also witnessed the exit of partners gradually following a governance evaluation by the donor."/>
    <m/>
    <m/>
    <m/>
    <s v="Lack of communication inside agencies, e.g. sometimes the TMG did not push enough internally to ensure that the field teams had all the info available at TMG level. Partly to do with the fact that the context was changing quickly/quick scale up etc. Also applies to communication between SC/management and TMG members."/>
    <s v="Good relationship with UNHCR on a field level that has facilitated coordination and implementation, including building trust."/>
    <s v="Lack of clarity from the start on whether the LCC was aiming to implement the same programme (as a unified entity, in the same way), or was just a coordination platform for agencies implementing a similar intervention."/>
    <s v="Data was sex and age disaggregated in MEAL tools and activities but not on programme level. Profiled and selected households did not have gender info."/>
    <s v="All documents are available at CIL database: project masterlist, project programme and MEAL reports, learning findings are available."/>
    <n v="971"/>
    <n v="4114"/>
    <n v="4.2368692070030898"/>
    <n v="0.25231719876416064"/>
    <n v="0"/>
    <n v="245"/>
    <n v="0"/>
    <n v="1"/>
    <n v="971"/>
    <n v="4114"/>
    <n v="4.2368692070030898"/>
    <s v=""/>
    <n v="0"/>
    <n v="0"/>
    <s v=""/>
    <s v=""/>
    <n v="0"/>
    <n v="0"/>
    <s v=""/>
    <s v=""/>
    <n v="0"/>
    <n v="0"/>
    <s v=""/>
    <s v=""/>
    <n v="0"/>
    <n v="0"/>
    <s v=""/>
    <s v="2. Sensitive"/>
    <s v="2. Accommodating"/>
    <s v="3. Responsive"/>
    <s v="It tested new ways for fighting poverty, but did not measure results of innovation"/>
    <s v="Little or no advocacy"/>
    <s v="It linked and worked with strategic alliances and partners to take tested and effective solutions to scale"/>
  </r>
  <r>
    <x v="40"/>
    <x v="1"/>
    <m/>
    <s v="Winterization Assistance for the Most Vulnerable Lebanese and Syrian Refugees"/>
    <s v="Lebanon"/>
    <s v="LDSCLLB0001"/>
    <s v="CARE USA"/>
    <s v="Other"/>
    <s v="Other"/>
    <s v="CARE USA"/>
    <m/>
    <m/>
    <m/>
    <m/>
    <m/>
    <m/>
    <m/>
    <m/>
    <m/>
    <m/>
    <m/>
    <m/>
    <m/>
    <m/>
    <m/>
    <m/>
    <m/>
    <m/>
    <m/>
    <m/>
    <m/>
    <m/>
    <m/>
    <m/>
    <m/>
    <m/>
    <m/>
    <m/>
    <m/>
    <m/>
    <m/>
    <m/>
    <m/>
    <m/>
    <m/>
    <m/>
    <m/>
    <m/>
    <m/>
    <m/>
    <m/>
    <m/>
    <m/>
    <m/>
    <m/>
    <m/>
    <m/>
    <m/>
    <s v="Humanitarian Food &amp; Nutrition Security and Resilience to Climate Change"/>
    <n v="299958"/>
    <s v="Daniel Delati"/>
    <s v="DCD - P"/>
    <s v="daniel@careliban.org"/>
    <s v="Toka Khodr"/>
    <s v="Project Manager"/>
    <s v="toka@careliban.org"/>
    <s v="YES"/>
    <s v="NO"/>
    <s v="NO"/>
    <s v="Distribution of winterization kits to the most vulnerable host communities and Syrian refugees."/>
    <s v="Sub-National"/>
    <s v="North Lebanon: Tripoli. Mount Lebanon: Bourj Hammoud"/>
    <s v="The most vulnerable Lebanse and Syrian refugees who lack heating for wintertime."/>
    <n v="192"/>
    <n v="1041"/>
    <n v="1233"/>
    <m/>
    <m/>
    <n v="5976"/>
    <s v="The indirect beneficiaries are the total number of HH members receving the gas heaters and gas bottles. The average household size is 4.84 and therefore it is multiplied by the total nb. of households receiving the kits"/>
    <m/>
    <m/>
    <m/>
    <n v="1233"/>
    <m/>
    <m/>
    <n v="5976"/>
    <s v="NO"/>
    <m/>
    <m/>
    <m/>
    <s v="NO"/>
    <m/>
    <m/>
    <m/>
    <s v="NO"/>
    <m/>
    <m/>
    <m/>
    <s v="NO"/>
    <m/>
    <m/>
    <m/>
    <s v="NO"/>
    <m/>
    <m/>
    <m/>
    <s v="NO"/>
    <m/>
    <m/>
    <m/>
    <s v="NO"/>
    <m/>
    <m/>
    <m/>
    <s v="NO"/>
    <m/>
    <m/>
    <m/>
    <s v="YES"/>
    <n v="1233"/>
    <n v="0.15571776155717701"/>
    <n v="5976"/>
    <s v="NO"/>
    <m/>
    <m/>
    <m/>
    <s v="YES"/>
    <m/>
    <m/>
    <m/>
    <s v="NO"/>
    <m/>
    <m/>
    <m/>
    <m/>
    <s v="NO"/>
    <m/>
    <m/>
    <m/>
    <m/>
    <m/>
    <m/>
    <m/>
    <m/>
    <m/>
    <m/>
    <m/>
    <m/>
    <m/>
    <m/>
    <m/>
    <m/>
    <m/>
    <m/>
    <m/>
    <m/>
    <m/>
    <m/>
    <m/>
    <m/>
    <m/>
    <m/>
    <m/>
    <m/>
    <m/>
    <m/>
    <m/>
    <m/>
    <m/>
    <m/>
    <m/>
    <m/>
    <m/>
    <m/>
    <m/>
    <m/>
    <m/>
    <m/>
    <m/>
    <m/>
    <m/>
    <m/>
    <m/>
    <m/>
    <m/>
    <m/>
    <m/>
    <m/>
    <m/>
    <m/>
    <m/>
    <m/>
    <m/>
    <m/>
    <m/>
    <m/>
    <m/>
    <m/>
    <m/>
    <m/>
    <m/>
    <m/>
    <m/>
    <m/>
    <m/>
    <m/>
    <m/>
    <m/>
    <m/>
    <m/>
    <m/>
    <m/>
    <m/>
    <m/>
    <s v="YES"/>
    <s v="December"/>
    <n v="2016"/>
    <s v="YES"/>
    <s v="NO"/>
    <m/>
    <m/>
    <m/>
    <x v="0"/>
    <s v="NO"/>
    <s v="NO"/>
    <s v="NO"/>
    <s v="NO"/>
    <s v="NO"/>
    <s v="NO"/>
    <s v="NO"/>
    <s v="NO"/>
    <m/>
    <x v="0"/>
    <m/>
    <x v="0"/>
    <m/>
    <x v="0"/>
    <x v="3"/>
    <s v="NO"/>
    <x v="1"/>
    <x v="1"/>
    <x v="1"/>
    <x v="5"/>
    <n v="0"/>
    <x v="1"/>
    <x v="1"/>
    <x v="1"/>
    <x v="2"/>
    <x v="1"/>
    <x v="1"/>
    <n v="3"/>
    <x v="1"/>
    <x v="1"/>
    <x v="1"/>
    <x v="2"/>
    <x v="3"/>
    <n v="2"/>
    <x v="2"/>
    <x v="1"/>
    <m/>
    <m/>
    <m/>
    <m/>
    <x v="1"/>
    <m/>
    <m/>
    <s v="Engaging community committes in one of the project areas."/>
    <m/>
    <m/>
    <m/>
    <m/>
    <m/>
    <s v="No learning document was produced for this project. Note that the beneficiaires of this project are part of BPRM2 and Habitat for Humanity (HFH) beneficiaries and are not to be double-counted."/>
    <s v="Data, tools and scores are available at CARE database."/>
    <n v="1233"/>
    <n v="5976"/>
    <n v="4.8467153284671536"/>
    <n v="0"/>
    <n v="0"/>
    <n v="0"/>
    <n v="0"/>
    <n v="1"/>
    <n v="1233"/>
    <n v="5976"/>
    <n v="4.8467153284671536"/>
    <s v=""/>
    <n v="0"/>
    <n v="0"/>
    <s v=""/>
    <s v=""/>
    <n v="0"/>
    <n v="0"/>
    <s v=""/>
    <s v=""/>
    <n v="0"/>
    <n v="0"/>
    <s v=""/>
    <s v=""/>
    <n v="0"/>
    <n v="0"/>
    <s v=""/>
    <s v="0. Harmful"/>
    <s v="2. Accommodating"/>
    <s v="1. Neutral"/>
    <s v="It did not develop any specific innovation"/>
    <s v="Little or no advocacy"/>
    <s v="It did not take tested solutions to scale"/>
  </r>
  <r>
    <x v="41"/>
    <x v="2"/>
    <m/>
    <s v="Refugess Assistance Initiative in Liberia (RAIL)"/>
    <s v="Liberia"/>
    <m/>
    <s v="CARE USA"/>
    <s v="Foundation"/>
    <s v="Other"/>
    <s v="Latter-Day Saint Charities"/>
    <m/>
    <m/>
    <m/>
    <m/>
    <m/>
    <m/>
    <m/>
    <m/>
    <m/>
    <m/>
    <m/>
    <m/>
    <m/>
    <m/>
    <m/>
    <m/>
    <m/>
    <m/>
    <m/>
    <m/>
    <m/>
    <m/>
    <m/>
    <m/>
    <m/>
    <m/>
    <m/>
    <m/>
    <m/>
    <m/>
    <m/>
    <m/>
    <m/>
    <m/>
    <m/>
    <m/>
    <m/>
    <m/>
    <m/>
    <m/>
    <m/>
    <m/>
    <m/>
    <m/>
    <m/>
    <d v="2017-01-01T00:00:00"/>
    <d v="2017-11-15T00:00:00"/>
    <m/>
    <s v="Humanitarian Other"/>
    <n v="300000"/>
    <s v="Emmanuel Massaquoi"/>
    <s v="Project Manager"/>
    <s v="sylvester.epiagolo@care.org"/>
    <m/>
    <m/>
    <m/>
    <s v="YES"/>
    <s v="NO"/>
    <s v="NO"/>
    <s v="The primiary goal is to provide multi-sector solutions to supporting protracted refugees to be integrited into the local communities to be self reliant."/>
    <s v="Sub-National"/>
    <s v="Nimba County"/>
    <s v="Local integration of refugees"/>
    <n v="958"/>
    <n v="672"/>
    <n v="1630"/>
    <n v="2700"/>
    <n v="1800"/>
    <n v="4500"/>
    <s v="The direct and indirect participants benefit from the WASH sector of the project while the VSLA is for adults (women and men) and the Early Childhood Education for children between ages 1-8"/>
    <m/>
    <n v="958"/>
    <n v="672"/>
    <n v="1630"/>
    <n v="2700"/>
    <n v="1800"/>
    <n v="4500"/>
    <s v="NO"/>
    <m/>
    <m/>
    <m/>
    <s v="NO"/>
    <m/>
    <m/>
    <m/>
    <s v="YES"/>
    <m/>
    <m/>
    <m/>
    <s v="NO"/>
    <m/>
    <m/>
    <m/>
    <s v="NO"/>
    <m/>
    <m/>
    <m/>
    <s v="NO"/>
    <m/>
    <m/>
    <m/>
    <s v="NO"/>
    <m/>
    <m/>
    <m/>
    <s v="NO"/>
    <m/>
    <m/>
    <m/>
    <s v="NO"/>
    <m/>
    <m/>
    <m/>
    <s v="NO"/>
    <m/>
    <m/>
    <m/>
    <s v="NO"/>
    <m/>
    <m/>
    <m/>
    <s v="YES"/>
    <m/>
    <m/>
    <m/>
    <m/>
    <m/>
    <m/>
    <m/>
    <m/>
    <m/>
    <m/>
    <m/>
    <m/>
    <m/>
    <m/>
    <s v="NO"/>
    <m/>
    <m/>
    <m/>
    <s v="NO"/>
    <m/>
    <m/>
    <m/>
    <s v="NO"/>
    <m/>
    <m/>
    <m/>
    <s v="NO"/>
    <m/>
    <m/>
    <m/>
    <s v="NO"/>
    <m/>
    <m/>
    <m/>
    <s v="NO"/>
    <m/>
    <m/>
    <m/>
    <s v="NO"/>
    <m/>
    <m/>
    <m/>
    <s v="NO"/>
    <m/>
    <m/>
    <m/>
    <s v="NO"/>
    <m/>
    <m/>
    <m/>
    <s v="NO"/>
    <m/>
    <m/>
    <m/>
    <s v="NO"/>
    <m/>
    <m/>
    <m/>
    <s v="NO"/>
    <m/>
    <m/>
    <m/>
    <s v="NO"/>
    <m/>
    <m/>
    <m/>
    <s v="NO"/>
    <m/>
    <m/>
    <m/>
    <s v="NO"/>
    <m/>
    <m/>
    <m/>
    <s v="NO"/>
    <m/>
    <m/>
    <m/>
    <m/>
    <m/>
    <m/>
    <m/>
    <m/>
    <s v="YES"/>
    <s v="April"/>
    <n v="2017"/>
    <s v="YES"/>
    <s v="YES"/>
    <s v="February"/>
    <n v="2018"/>
    <s v="N/A"/>
    <x v="0"/>
    <s v="NO"/>
    <s v="NO"/>
    <s v="NO"/>
    <s v="NO"/>
    <s v="NO"/>
    <s v="NO"/>
    <s v="NO"/>
    <s v="NO"/>
    <m/>
    <x v="2"/>
    <s v="Setting up of VSLA networks and groups in the new county of Nimba"/>
    <x v="1"/>
    <s v="The partners established networks, skill management training and book keeping amongst beneficialries to manage their financial resources."/>
    <x v="0"/>
    <x v="0"/>
    <s v="YES"/>
    <x v="0"/>
    <x v="1"/>
    <x v="0"/>
    <x v="1"/>
    <n v="3"/>
    <x v="3"/>
    <x v="2"/>
    <x v="2"/>
    <x v="2"/>
    <x v="2"/>
    <x v="3"/>
    <n v="0"/>
    <x v="1"/>
    <x v="1"/>
    <x v="1"/>
    <x v="2"/>
    <x v="3"/>
    <n v="2"/>
    <x v="2"/>
    <x v="2"/>
    <n v="1"/>
    <s v="Local NGO(s)/CSO(s)"/>
    <m/>
    <m/>
    <x v="1"/>
    <m/>
    <m/>
    <s v="Livelihood"/>
    <s v="Early Childhood Education"/>
    <s v="WASH"/>
    <s v="Community entry process"/>
    <s v="Engaging government agencies/stakeholders"/>
    <m/>
    <m/>
    <m/>
    <n v="1630"/>
    <n v="4500"/>
    <n v="2.7607361963190185"/>
    <n v="0.5877300613496933"/>
    <n v="0.6"/>
    <n v="958"/>
    <n v="2700"/>
    <n v="1"/>
    <n v="1630"/>
    <n v="4500"/>
    <n v="2.7607361963190185"/>
    <s v=""/>
    <n v="0"/>
    <n v="0"/>
    <s v=""/>
    <s v=""/>
    <n v="0"/>
    <n v="0"/>
    <s v=""/>
    <s v=""/>
    <n v="0"/>
    <n v="0"/>
    <s v=""/>
    <s v=""/>
    <n v="0"/>
    <n v="0"/>
    <s v=""/>
    <s v="1. Neutral"/>
    <s v="0. Unaware"/>
    <s v="1. Neutral"/>
    <s v="It tested new ways for fighting poverty and measured results of innovation"/>
    <s v="Little or no advocacy"/>
    <s v="It linked and worked with strategic alliances and partners to take tested and effective solutions to scale"/>
  </r>
  <r>
    <x v="42"/>
    <x v="1"/>
    <n v="3103"/>
    <s v="Inclusion fo Ethnic Minority Women in Labour Market"/>
    <s v="Macedonia"/>
    <s v="ECDVKS0001, DE701"/>
    <s v="CARE Deutschland-Luxemburg"/>
    <s v="Multilateral agency"/>
    <s v="EU - European Union (other than ECHO)"/>
    <s v="EU"/>
    <m/>
    <m/>
    <m/>
    <m/>
    <m/>
    <m/>
    <m/>
    <m/>
    <m/>
    <m/>
    <m/>
    <m/>
    <m/>
    <m/>
    <m/>
    <m/>
    <m/>
    <m/>
    <m/>
    <m/>
    <m/>
    <m/>
    <m/>
    <m/>
    <m/>
    <m/>
    <m/>
    <m/>
    <m/>
    <m/>
    <m/>
    <m/>
    <m/>
    <m/>
    <m/>
    <m/>
    <m/>
    <m/>
    <m/>
    <m/>
    <m/>
    <m/>
    <m/>
    <m/>
    <m/>
    <d v="2016-01-20T00:00:00"/>
    <d v="2017-07-20T00:00:00"/>
    <m/>
    <s v="Development Access to and Control over Economic Resources"/>
    <n v="240470.46"/>
    <s v="Dragan Peric"/>
    <s v="Project Manager"/>
    <s v="dperic@care.org"/>
    <s v="Vesna Jovanovic"/>
    <s v="Regional Program Coordinator Social and Economic Inclusion"/>
    <s v="vjovanovic@care.rs"/>
    <s v="NO"/>
    <s v="YES"/>
    <s v="NO"/>
    <s v="Realizing an inclusive labour market in Macedonia, where all citizens, including those from vulnerable categories, will have equal access opportunities."/>
    <s v="National"/>
    <s v="Regions of Skopje, Bitola, Stip, Kumanovo and Tetovo in the Former Yugoslav Republic of Macedonia"/>
    <s v="Approximately 150 ethnic minority families from the target regions included in outreach project activities 'door to door' work with families on introducing the importance of women's economic empowerment and employment; 5 widerl communities (municipalities) included in the project community activities; 250 women participating at the project trainings; 30 women included in the professional practice component; 50 professionals from the Employment Service Agencies (central and regional) included in gender equality trainings, project promotional activities, project gatherings and trainings for women."/>
    <n v="716"/>
    <n v="360"/>
    <n v="1076"/>
    <n v="2500"/>
    <n v="700"/>
    <n v="3200"/>
    <s v="Direct project participants: a) women who participated in the project trainings around job search, communication skills and career guidance (326), vocational trainings (167), professional practice in local companies (30) i.e. knowledge and skills for their pursue for employment; b) around 600 familiy members included in 'door to door' visits; around 150 (60% women) Agency for Employment officials included in the project trainings, meetings, social dialogue sessions, presentations for beneficiaries. Indirect participants are members of wide families  (men and women) who benefited from the employment of women from local communities, larger number of officials from the Ministry of Social Welfare and Agency for Employment benefiting from the greater response of women from the target regions to the labour market, local officials, communities of the 5 target regions at large."/>
    <m/>
    <m/>
    <m/>
    <m/>
    <m/>
    <m/>
    <m/>
    <m/>
    <m/>
    <m/>
    <m/>
    <m/>
    <m/>
    <m/>
    <m/>
    <m/>
    <m/>
    <m/>
    <m/>
    <m/>
    <m/>
    <m/>
    <m/>
    <m/>
    <m/>
    <m/>
    <m/>
    <m/>
    <m/>
    <m/>
    <m/>
    <m/>
    <m/>
    <m/>
    <m/>
    <m/>
    <m/>
    <m/>
    <m/>
    <m/>
    <m/>
    <m/>
    <m/>
    <m/>
    <m/>
    <m/>
    <m/>
    <m/>
    <m/>
    <m/>
    <m/>
    <m/>
    <m/>
    <m/>
    <m/>
    <m/>
    <m/>
    <m/>
    <m/>
    <m/>
    <n v="620"/>
    <n v="100"/>
    <n v="720"/>
    <n v="2200"/>
    <n v="600"/>
    <n v="2800"/>
    <m/>
    <m/>
    <m/>
    <m/>
    <m/>
    <m/>
    <m/>
    <m/>
    <m/>
    <m/>
    <m/>
    <m/>
    <m/>
    <m/>
    <m/>
    <m/>
    <m/>
    <m/>
    <m/>
    <m/>
    <s v="YES"/>
    <n v="326"/>
    <n v="1"/>
    <n v="1200"/>
    <m/>
    <m/>
    <m/>
    <m/>
    <m/>
    <m/>
    <m/>
    <m/>
    <s v="YES"/>
    <n v="366"/>
    <n v="0.95"/>
    <n v="1200"/>
    <m/>
    <m/>
    <m/>
    <m/>
    <m/>
    <m/>
    <m/>
    <m/>
    <m/>
    <m/>
    <m/>
    <m/>
    <m/>
    <m/>
    <m/>
    <m/>
    <m/>
    <m/>
    <m/>
    <m/>
    <m/>
    <m/>
    <m/>
    <m/>
    <s v="YES"/>
    <n v="326"/>
    <n v="1"/>
    <n v="1200"/>
    <m/>
    <m/>
    <m/>
    <m/>
    <m/>
    <s v="YES"/>
    <s v="August"/>
    <n v="2016"/>
    <m/>
    <s v="NO"/>
    <m/>
    <m/>
    <s v="The project could only organise the baseline research, a rather relevant overview of the situration with women's inclusion in the labour market in Macedonia UBACITI OVDE LINK ZA ISTRAZIVANJEEEEEEEEE  The Donor (EC and Ministry of Finance of Macedonija) did not allow final evaluation to take place, otherwise the project would clearly have 326 women who initiated active job search and 30% of them finding employment (indicator 16)."/>
    <x v="1"/>
    <m/>
    <m/>
    <s v="YES"/>
    <s v="YES"/>
    <s v="YES"/>
    <s v="NO"/>
    <m/>
    <s v="YES"/>
    <s v="Through project social dialogue between women and their representative NGOs and local/national institutions, the project advocated for change of attitude amongst officials and more favourable conditions for women in the process of employment."/>
    <x v="1"/>
    <s v="The testing is lacking only because the project was not allowed a final evaluation. Otherwise, the project support package for women's employment: work with their families on improving attitudes towards women's employment, training in communication, soft skills and job search, career guidance mentoring, linkage with the employment bureau, vocational trainings and professional practice, led to new employments (30%) and active job search (up to 90% of still unemployed women)."/>
    <x v="0"/>
    <s v="The project model is presented to other NGOs and interested institutions. However, because of a very short implementation period (18 months) it could not be taken to scale."/>
    <x v="1"/>
    <x v="1"/>
    <s v="YES"/>
    <x v="0"/>
    <x v="0"/>
    <x v="0"/>
    <x v="2"/>
    <n v="4"/>
    <x v="2"/>
    <x v="1"/>
    <x v="0"/>
    <x v="1"/>
    <x v="1"/>
    <x v="5"/>
    <n v="3"/>
    <x v="1"/>
    <x v="1"/>
    <x v="2"/>
    <x v="1"/>
    <x v="3"/>
    <n v="2"/>
    <x v="2"/>
    <x v="2"/>
    <n v="1"/>
    <s v="Local alliance(s)/Platform(s)/Network(s) of  NGOs/CSOs"/>
    <s v="Grassroots organization(s)"/>
    <s v="Local government(s)"/>
    <x v="2"/>
    <s v="The partner organisation (and its network of local grass root associate organisations) was mentored within the process of initiation and facilitation of the project social dialogue. They were linked (by CARE and the project) with local and national intitutions dealing with employment and became very visible in this area. They received support in managing donor rules and regulations."/>
    <m/>
    <s v="Expanding support training program for job search from traditional soft trainings to vocational courses and professional practice."/>
    <s v="Social dialogue initiated by the project between unemployed marginalised woment from different ethnic communities (and their representing organisations) and government instititions (national and local) on improving conditions for employment of women, was one of the crucial activities for a successful project implementation and sustainability of its effects in the target local communities."/>
    <s v="Psychosocial support to tradiotional families for changing gender norms and prejudices was critical for the greater response of women to project trainings."/>
    <s v="Maintaning high interest of government structures in supporting various project activities"/>
    <s v="Constant communication and information sharing with government structures was very much appreciated from their side which inevitably strengthened relations with project staff."/>
    <s v="Grass-root level approach in identification of women needs (constant presence in the field) and developing intervention accordingly is one of the good practice that project used"/>
    <s v="The impact analysis for this project is crippled because of the misfortunate decision of the donors (Ministry of Finance on behalf of the EC) not to allow any final project evaluation."/>
    <s v="Project Brochure with detailed information about the results: http://care-balkan.org/dok/1505813715.pdf. _x000a_Research on employability of women in Macedonia - baseline (the Former Yugoslav Republic of): http://care-balkan.org/dok/1505727786.pdf"/>
    <n v="720"/>
    <n v="2800"/>
    <n v="3.8888888888888888"/>
    <n v="0.86111111111111116"/>
    <n v="0.7857142857142857"/>
    <n v="620"/>
    <n v="2200"/>
    <s v=""/>
    <n v="0"/>
    <n v="0"/>
    <s v=""/>
    <s v=""/>
    <n v="0"/>
    <n v="0"/>
    <s v=""/>
    <s v=""/>
    <n v="0"/>
    <n v="0"/>
    <s v=""/>
    <s v=""/>
    <n v="0"/>
    <n v="0"/>
    <s v=""/>
    <n v="1"/>
    <n v="326"/>
    <n v="1200"/>
    <n v="3.6809815950920246"/>
    <s v="4. Transformative"/>
    <s v="3. Responsive"/>
    <s v="1. Neutral"/>
    <s v="It tested new ways for fighting poverty, but did not measure results of innovation"/>
    <s v="Moderate advocacy"/>
    <s v="It did not take tested solutions to scale"/>
  </r>
  <r>
    <x v="43"/>
    <x v="5"/>
    <n v="3104"/>
    <s v="Action Intégrée en Nutrition et Alimentation (AINA)"/>
    <s v="Madagascar"/>
    <s v="CNLDMG0008"/>
    <s v="CARE Nederland"/>
    <s v="Government"/>
    <s v="EU - European Union (other than ECHO)"/>
    <s v="EU"/>
    <m/>
    <m/>
    <m/>
    <m/>
    <m/>
    <m/>
    <m/>
    <m/>
    <m/>
    <m/>
    <m/>
    <m/>
    <m/>
    <m/>
    <m/>
    <m/>
    <m/>
    <m/>
    <m/>
    <m/>
    <m/>
    <m/>
    <m/>
    <m/>
    <m/>
    <m/>
    <m/>
    <m/>
    <m/>
    <m/>
    <m/>
    <m/>
    <m/>
    <m/>
    <m/>
    <m/>
    <m/>
    <m/>
    <m/>
    <m/>
    <m/>
    <m/>
    <m/>
    <m/>
    <m/>
    <d v="2013-05-01T00:00:00"/>
    <d v="2016-05-31T00:00:00"/>
    <d v="2016-12-31T00:00:00"/>
    <s v="Development Food &amp; Nutrition Security and Resilience to Climate Change"/>
    <n v="2013454"/>
    <s v="Haingo RAJAOBELISON"/>
    <s v="Spécialiste en Sécurité Alimentaire"/>
    <s v="haingo.rajaobelison@care.org"/>
    <s v="Serge ROBSON"/>
    <s v="Chef de projet"/>
    <s v="serge.robson@care.org"/>
    <s v="NO"/>
    <s v="YES"/>
    <s v="NO"/>
    <s v="Améliorer la sécurité alimentaire et nutritionnelle des familles"/>
    <s v="Sub-National"/>
    <s v="Région Anosy. District Amboasary sud. 06 communes et 88 fokontany"/>
    <s v="10280 ménages vulnérables dont 1850 femmes chefs de ménage. 17000 enfants moins de 5 ans"/>
    <n v="32400"/>
    <n v="21600"/>
    <n v="54000"/>
    <n v="53000"/>
    <n v="47000"/>
    <n v="100000"/>
    <s v="Participants directs: Nombre de personnes touchées directement par les actions du projet. Participants indirects: Nombre de population dans les villages d'intervention du projet"/>
    <m/>
    <m/>
    <m/>
    <m/>
    <m/>
    <m/>
    <m/>
    <m/>
    <m/>
    <m/>
    <m/>
    <m/>
    <m/>
    <m/>
    <m/>
    <m/>
    <m/>
    <m/>
    <m/>
    <m/>
    <m/>
    <m/>
    <m/>
    <m/>
    <m/>
    <m/>
    <m/>
    <m/>
    <m/>
    <m/>
    <m/>
    <m/>
    <m/>
    <m/>
    <m/>
    <m/>
    <m/>
    <m/>
    <m/>
    <m/>
    <m/>
    <m/>
    <m/>
    <m/>
    <m/>
    <m/>
    <m/>
    <m/>
    <m/>
    <m/>
    <m/>
    <m/>
    <m/>
    <m/>
    <m/>
    <m/>
    <m/>
    <m/>
    <m/>
    <m/>
    <n v="38130"/>
    <n v="23270"/>
    <n v="61400"/>
    <n v="53000"/>
    <n v="47000"/>
    <n v="100000"/>
    <s v="YES"/>
    <n v="49400"/>
    <n v="0.58199999999999996"/>
    <n v="100000"/>
    <m/>
    <m/>
    <m/>
    <m/>
    <m/>
    <m/>
    <m/>
    <m/>
    <m/>
    <m/>
    <m/>
    <m/>
    <m/>
    <m/>
    <m/>
    <m/>
    <m/>
    <m/>
    <m/>
    <m/>
    <s v="YES"/>
    <n v="55342"/>
    <n v="0.80500000000000005"/>
    <n v="85000"/>
    <m/>
    <m/>
    <m/>
    <m/>
    <m/>
    <m/>
    <m/>
    <m/>
    <m/>
    <m/>
    <m/>
    <m/>
    <s v="YES"/>
    <n v="30175"/>
    <n v="0.6"/>
    <m/>
    <m/>
    <m/>
    <m/>
    <m/>
    <m/>
    <m/>
    <m/>
    <m/>
    <m/>
    <m/>
    <m/>
    <m/>
    <s v="YES"/>
    <n v="18800"/>
    <n v="0.73"/>
    <m/>
    <s v="YES"/>
    <m/>
    <m/>
    <m/>
    <m/>
    <m/>
    <m/>
    <m/>
    <m/>
    <s v="YES"/>
    <s v="March"/>
    <n v="2017"/>
    <s v="YES"/>
    <s v="NO"/>
    <m/>
    <m/>
    <s v="Evaluation finale du programme AINA constitué par trois agences des Nations Unies (FAO, FIDA et PAM) et cinq ONG actives dans le pays (AIM, CARE, GRET, ICCO, WHH)"/>
    <x v="1"/>
    <s v="NO"/>
    <s v="NO"/>
    <s v="YES"/>
    <s v="YES"/>
    <s v="YES"/>
    <s v="YES"/>
    <s v="NO"/>
    <m/>
    <m/>
    <x v="1"/>
    <s v="Autonomisation des femmes dans un contexte de société très patriarchale"/>
    <x v="1"/>
    <s v="demultiplication des meilleures pratiques de chaque organisme de mise en uvre par les membres du consortium à travers les partages de connaissances et des expériences"/>
    <x v="0"/>
    <x v="1"/>
    <s v="YES"/>
    <x v="0"/>
    <x v="0"/>
    <x v="0"/>
    <x v="2"/>
    <n v="4"/>
    <x v="1"/>
    <x v="1"/>
    <x v="1"/>
    <x v="1"/>
    <x v="1"/>
    <x v="1"/>
    <n v="4"/>
    <x v="1"/>
    <x v="1"/>
    <x v="1"/>
    <x v="1"/>
    <x v="1"/>
    <n v="3"/>
    <x v="0"/>
    <x v="0"/>
    <n v="4"/>
    <s v="Grassroots organization(s)"/>
    <s v="Local government(s)"/>
    <s v="Local alliance(s)/Platform(s)/Network(s) of  NGOs/CSOs"/>
    <x v="2"/>
    <s v="Mise en place du système de suivi evaluation au niveau de l'Office Régional de la nutrition"/>
    <m/>
    <s v="Existance des Paysans Leaders qui forment les paysans producteurs sur les techniques culturales adaptées au contexte de changement climatique"/>
    <s v="Agent communautaire en Nutrition (ACN) qui font des séances de renforcement de capacité et de sensibilisation en nutrition au niveau de la communauté"/>
    <s v="Champs de démonstration pour la formation sur les techniques culturales et de vitrine pour les réalisations"/>
    <s v="La divergence des approches appliquées par les différents intervenants a constitué une des contraintes principales rencontrées par le projet. C111"/>
    <s v="La contribution des bénéficiaires aux matériels de stockage et aux infrastructures communautaires était difficile au début du projet. Pour faire face à ce problème, le projet a fait connaître le coût total détaillé des travaux aux bénéficiaires, et après ils ont choisi en quoi ils vont apporter leur 10% de contribution"/>
    <s v="Les activités de promotion des bonnes pratiques nutritionnelles ont eu une contrainte relative à lhabitude des gens à attendre des contreparties par rapport aux activités de sensibilisation. AINA a sensibilisé dabord les AC sur lapproche de CARE de ne pas conditionner les activités de sensibilisation avec ces contreparties. Les AC convaincus ont par la suite pris la responsabilité de transmettre ce message aux ménages et ces derniers ont trouvé leurs avantages en participant aux activités de sensibilisation et pesée et en adoptant les bonnes pratiques."/>
    <m/>
    <s v="Rapport final du projet AINA mise en uvre par CARE. Rapport d'évaluation finale du programme AINA"/>
    <n v="61400"/>
    <n v="100000"/>
    <n v="1.6286644951140066"/>
    <n v="0.62100977198697072"/>
    <n v="0.53"/>
    <n v="38130"/>
    <n v="53000"/>
    <s v=""/>
    <n v="0"/>
    <n v="0"/>
    <s v=""/>
    <n v="1"/>
    <n v="55342"/>
    <n v="100000"/>
    <n v="1.8069459000397528"/>
    <s v=""/>
    <n v="0"/>
    <n v="0"/>
    <s v=""/>
    <s v=""/>
    <n v="0"/>
    <n v="0"/>
    <s v=""/>
    <n v="1"/>
    <n v="0"/>
    <n v="0"/>
    <s v=""/>
    <s v="4. Transformative"/>
    <s v="2. Accommodating"/>
    <s v="2. Sensitive"/>
    <s v="It tested new ways for fighting poverty, but did not measure results of innovation"/>
    <s v="Moderate advocacy"/>
    <s v="It linked and worked with strategic alliances and partners to take tested and effective solutions to scale"/>
  </r>
  <r>
    <x v="43"/>
    <x v="5"/>
    <n v="3106"/>
    <s v="ASARA - FRDA Anosy (Amélioration de la Sécurité Alimentaire et Augmentation des Revenus Agricoles/Fonds Régional de Développement Agricole dans la Région Anosy)"/>
    <s v="Madagascar"/>
    <s v="CNLDMG0007"/>
    <s v="CARE Nederland"/>
    <s v="Government"/>
    <s v="EU - European Union (other than ECHO)"/>
    <s v="EU"/>
    <m/>
    <m/>
    <m/>
    <m/>
    <m/>
    <m/>
    <m/>
    <m/>
    <m/>
    <m/>
    <m/>
    <m/>
    <m/>
    <m/>
    <m/>
    <m/>
    <m/>
    <m/>
    <m/>
    <m/>
    <m/>
    <m/>
    <m/>
    <m/>
    <m/>
    <m/>
    <m/>
    <m/>
    <m/>
    <m/>
    <m/>
    <m/>
    <m/>
    <m/>
    <m/>
    <m/>
    <m/>
    <m/>
    <m/>
    <m/>
    <m/>
    <m/>
    <m/>
    <m/>
    <m/>
    <d v="2014-01-06T00:00:00"/>
    <d v="2017-07-05T00:00:00"/>
    <d v="2018-01-05T00:00:00"/>
    <s v="Development Other"/>
    <n v="3216710.25"/>
    <s v="RAZAFIMANDIMBY Malala Tiana"/>
    <s v="Spécialiste autonomisation des femmes"/>
    <s v="Tiana.Razafimandimby@care.org"/>
    <s v="ANDRIANIRINA Fanomezantsoa Eddy"/>
    <s v="Chef de Projet"/>
    <s v="Eddy.Andrianirina@care.org"/>
    <s v="NO"/>
    <s v="YES"/>
    <s v="NO"/>
    <s v="OG. 1 : Contribuer à soutenir le développement dexploitations agricoles, incluant celles dirigées par les femmes pour améliorer leur productivité et rentabiliser leurs investissements. OG. 2 : Contribuer à assurer la sécurité alimentaire en favorisant un accès équitable des producteurs aux services, incluant les femmes vulnérables."/>
    <s v="Sub-National"/>
    <s v="Région Anosy. District Tolagnaro, Amboasary et Betroka. 68 Communes"/>
    <s v="30 000 Exploitants Agricoles Familiaux (ou Ménages Exploitants Agricoles), dont au moins 30% sont gérés par des femmes."/>
    <n v="45000"/>
    <n v="105000"/>
    <n v="150000"/>
    <n v="157500"/>
    <n v="472500"/>
    <n v="630000"/>
    <s v="Bénéficiiares directs: ménages, Exploitants agricoles dont 30% sont des femmes chefs de ménages. Bénéficiaires indirectes: la population concernée dont  30% sont des femmes chefs d ménages."/>
    <m/>
    <m/>
    <m/>
    <m/>
    <m/>
    <m/>
    <m/>
    <m/>
    <m/>
    <m/>
    <m/>
    <m/>
    <m/>
    <m/>
    <m/>
    <m/>
    <m/>
    <m/>
    <m/>
    <m/>
    <m/>
    <m/>
    <m/>
    <m/>
    <m/>
    <m/>
    <m/>
    <m/>
    <m/>
    <m/>
    <m/>
    <m/>
    <m/>
    <m/>
    <m/>
    <m/>
    <m/>
    <m/>
    <m/>
    <m/>
    <m/>
    <m/>
    <m/>
    <m/>
    <m/>
    <m/>
    <m/>
    <m/>
    <m/>
    <m/>
    <m/>
    <m/>
    <m/>
    <m/>
    <m/>
    <m/>
    <m/>
    <m/>
    <m/>
    <m/>
    <n v="6212"/>
    <n v="4551"/>
    <n v="10763"/>
    <n v="24848"/>
    <n v="18204"/>
    <n v="43052"/>
    <s v="YES"/>
    <n v="7449"/>
    <n v="0.4"/>
    <n v="29796"/>
    <m/>
    <m/>
    <m/>
    <m/>
    <m/>
    <m/>
    <m/>
    <m/>
    <m/>
    <m/>
    <m/>
    <m/>
    <m/>
    <m/>
    <m/>
    <m/>
    <m/>
    <m/>
    <m/>
    <m/>
    <m/>
    <m/>
    <m/>
    <m/>
    <m/>
    <m/>
    <m/>
    <m/>
    <m/>
    <m/>
    <m/>
    <m/>
    <m/>
    <m/>
    <m/>
    <m/>
    <s v="YES"/>
    <n v="3927"/>
    <n v="0.25"/>
    <n v="15700"/>
    <m/>
    <m/>
    <m/>
    <m/>
    <m/>
    <m/>
    <m/>
    <m/>
    <m/>
    <m/>
    <m/>
    <m/>
    <m/>
    <m/>
    <m/>
    <m/>
    <s v="YES"/>
    <n v="810"/>
    <n v="0.4"/>
    <n v="3240"/>
    <m/>
    <m/>
    <m/>
    <m/>
    <m/>
    <s v="NO"/>
    <m/>
    <m/>
    <m/>
    <s v="YES"/>
    <s v="November"/>
    <n v="2017"/>
    <s v="L'évaluation finale du projet sera confié à un évaluateur externe par voie d'appel d'offre ouvert. L'évaluation sera axées sur la collecte des differents informations sur les indicateurs des effets et impacts du projets."/>
    <x v="1"/>
    <s v="YES"/>
    <s v="NO"/>
    <s v="YES"/>
    <s v="YES"/>
    <s v="YES"/>
    <s v="YES"/>
    <s v="YES"/>
    <m/>
    <m/>
    <x v="2"/>
    <s v="Financement des demandes des producteurs &quot;multi-services&quot; dont lesprit même de ces types de demandes qui se veut être un coup de pouce pour les demandeurs afin descompter un maximum dadoption/impact au niveau des bénéficiaires. Les demandes sont souvent constituées de demandes de services SOFT, accompagnées par des acquisitions des matériels, équipements agricoles et des cheptels pour les filières élevages ;  assez suffisant pour une meilleure adoption/ d'impact au niveau des bénéficiaires."/>
    <x v="1"/>
    <s v="Abondement de fonds par les autres acteurs dans la région pour réalisées et financées les demandes des bénéficiaires (Infrastructures, matériels...)"/>
    <x v="0"/>
    <x v="0"/>
    <s v="YES"/>
    <x v="0"/>
    <x v="0"/>
    <x v="0"/>
    <x v="0"/>
    <n v="4"/>
    <x v="1"/>
    <x v="1"/>
    <x v="1"/>
    <x v="1"/>
    <x v="1"/>
    <x v="1"/>
    <n v="4"/>
    <x v="1"/>
    <x v="2"/>
    <x v="1"/>
    <x v="1"/>
    <x v="3"/>
    <n v="2"/>
    <x v="0"/>
    <x v="2"/>
    <n v="12"/>
    <s v="Grassroots organization(s)"/>
    <s v="Local NGO(s)/CSO(s)"/>
    <s v="Local government(s)"/>
    <x v="2"/>
    <s v="STD"/>
    <m/>
    <s v="Communiquer pour faire favoriser une meilleure équité daccès des EAF aux service."/>
    <s v="Renforcer lorganisation, le fonctionnement, la gestion, la gouvernance du FRDA, dans loptique daméliorer la qualité des services offerts"/>
    <s v="Travailler en étroite coordination avec les différents partenaires régionaux."/>
    <s v="Effets tâche dhuile des acquis de formation  : itinéraire de formation efficace au coût maîtrisé (formation théorique, formation pratique, accompagnement des personnes formées)"/>
    <s v="Collaboration avec d'autres projets en cohérence avec les activités du projet"/>
    <s v="Réunions périodiques de coordination et partage  dexpériences entre le projet et ou  différents acteurs de dévéloppement dans la région pour améliorer les interventions futures."/>
    <s v="Le FRDA Anosy a clos sa troisième année dexécution dans le cadre du projet ASARA financé par lUNION EUROPEENNE. Le constat est que les producteurs sapproprient progressivement de cet outil de financement qui est très important dans la résolution leurs besoins par le financement des services demandés. Cette appropriation se manifeste par laccroissement des demandes reçues au niveau des cinq guichets. Le niveau de capacité des membres du CROA par rapport aux différentes exigences et orientations pour une bonne utilisation des fonds de services auprès des bénéficiaires sest amélioré également, des impacts positifs sont constatés de ce faite au niveau de beaucoup de bénéficiaires de la subvention du FRDA. Ainsi, ce mécanisme tient actuellement une place vraiment importante aux yeux des producteurs dans la Région Anosy."/>
    <m/>
    <n v="10763"/>
    <n v="43052"/>
    <n v="4"/>
    <n v="0.57716250116138623"/>
    <n v="0.57716250116138623"/>
    <n v="6212"/>
    <n v="24848"/>
    <s v=""/>
    <n v="0"/>
    <n v="0"/>
    <s v=""/>
    <n v="1"/>
    <n v="7449"/>
    <n v="29796"/>
    <n v="4"/>
    <s v=""/>
    <n v="0"/>
    <n v="0"/>
    <s v=""/>
    <s v=""/>
    <n v="0"/>
    <n v="0"/>
    <s v=""/>
    <n v="1"/>
    <n v="810"/>
    <n v="3240"/>
    <n v="4"/>
    <s v="2. Sensitive"/>
    <s v="2. Accommodating"/>
    <s v="1. Neutral"/>
    <s v="It tested new ways for fighting poverty and measured results of innovation"/>
    <s v="Moderate advocacy"/>
    <s v="It linked and worked with strategic alliances and partners to take tested and effective solutions to scale"/>
  </r>
  <r>
    <x v="43"/>
    <x v="5"/>
    <n v="3113"/>
    <s v="MAHAFATOKY - Protection and adaptation against the implication of climate change on the east coast of Madagascar."/>
    <s v="Madagascar"/>
    <s v="DE632"/>
    <s v="CARE Deutschland-Luxemburg"/>
    <s v="Government"/>
    <s v="Government - Germany"/>
    <s v="BMZ"/>
    <s v="US1WE"/>
    <s v="CARE France"/>
    <s v="Government"/>
    <s v="Government - US"/>
    <s v="OFDA"/>
    <s v="CA498_IPIA_MG"/>
    <s v="CARE Canada"/>
    <s v="Multilateral agency"/>
    <s v="Other"/>
    <s v="Humanitarian Coalition"/>
    <s v="FR836"/>
    <s v="CARE France"/>
    <s v="Government"/>
    <s v="Other"/>
    <s v="Centre de Crise et de Soutien"/>
    <s v="FR837"/>
    <s v="CARE France"/>
    <s v="Government"/>
    <s v="EU - European Union (other than ECHO)"/>
    <s v="EU"/>
    <m/>
    <m/>
    <m/>
    <m/>
    <m/>
    <m/>
    <m/>
    <m/>
    <m/>
    <m/>
    <m/>
    <m/>
    <m/>
    <m/>
    <m/>
    <m/>
    <m/>
    <m/>
    <m/>
    <m/>
    <m/>
    <m/>
    <m/>
    <m/>
    <m/>
    <d v="2015-01-01T00:00:00"/>
    <m/>
    <m/>
    <s v="Humanitarian Food &amp; Nutrition Security and Resilience to Climate Change"/>
    <n v="1924204.23"/>
    <s v="Aingo RAJAOBELISON"/>
    <s v="Specialiste securité alimentaire et changement climatique"/>
    <s v="Haingo.Rajaobelison@care.org"/>
    <s v="Ibrahim DASY"/>
    <s v="Chef de projet"/>
    <s v="Ibrahim.Dasy@care.orh"/>
    <s v="YES"/>
    <s v="YES"/>
    <s v="YES"/>
    <s v="Dici la fin du projet, 50 000 ménages dans les deux districts côtiers de la région SAVA à Madagascar auront renforcé leur résilience par une plus grande capacité à sadapter aux effets du changement sur leur sécurité alimentaire et à réduire ces effets."/>
    <s v="Sub-National"/>
    <s v="PAYS: MADAGASCAR. Région: SAVA. District: Antalaha/Sambava Communes: 16"/>
    <s v="250 000 personnes (50 000 menage) dont 10 000 femmes chef de ménage"/>
    <n v="14625"/>
    <n v="7875"/>
    <n v="22500"/>
    <n v="162500"/>
    <n v="87500"/>
    <n v="250000"/>
    <m/>
    <m/>
    <m/>
    <m/>
    <m/>
    <m/>
    <m/>
    <m/>
    <m/>
    <m/>
    <m/>
    <m/>
    <s v="YES"/>
    <n v="3630"/>
    <n v="0.63700000000000001"/>
    <n v="18150"/>
    <m/>
    <m/>
    <m/>
    <m/>
    <s v="YES"/>
    <n v="17214"/>
    <n v="0.64329999999999998"/>
    <n v="86070"/>
    <m/>
    <m/>
    <m/>
    <m/>
    <m/>
    <m/>
    <m/>
    <m/>
    <m/>
    <m/>
    <m/>
    <m/>
    <m/>
    <m/>
    <m/>
    <m/>
    <m/>
    <m/>
    <m/>
    <m/>
    <m/>
    <m/>
    <m/>
    <m/>
    <s v="YES"/>
    <n v="4058"/>
    <n v="0.55469999999999997"/>
    <n v="16530"/>
    <m/>
    <m/>
    <m/>
    <m/>
    <s v="Reconstruction des cases d'habitation"/>
    <s v="YES"/>
    <n v="2020"/>
    <n v="0.54300000000000004"/>
    <n v="10100"/>
    <n v="5015"/>
    <n v="4507"/>
    <n v="9522"/>
    <n v="162500"/>
    <n v="87500"/>
    <n v="250000"/>
    <s v="YES"/>
    <n v="9522"/>
    <n v="0.55659999999999998"/>
    <n v="47610"/>
    <s v="YES"/>
    <n v="9522"/>
    <n v="0.55659999999999998"/>
    <n v="47610"/>
    <s v="NO"/>
    <m/>
    <m/>
    <m/>
    <s v="YES"/>
    <n v="2155"/>
    <n v="0.32379999999999998"/>
    <n v="250000"/>
    <s v="YES"/>
    <n v="5080"/>
    <n v="0.81699999999999995"/>
    <n v="25400"/>
    <s v="NO"/>
    <m/>
    <m/>
    <m/>
    <s v="YES"/>
    <n v="9522"/>
    <n v="0.55659999999999998"/>
    <n v="47610"/>
    <s v="NO"/>
    <m/>
    <m/>
    <m/>
    <s v="NO"/>
    <m/>
    <m/>
    <m/>
    <s v="NO"/>
    <m/>
    <m/>
    <m/>
    <s v="YES"/>
    <n v="9522"/>
    <n v="0.55659999999999998"/>
    <n v="47610"/>
    <s v="YES"/>
    <n v="48059"/>
    <n v="0.79"/>
    <n v="250000"/>
    <s v="YES"/>
    <n v="2155"/>
    <n v="0.32379999999999998"/>
    <n v="250000"/>
    <s v="NO"/>
    <m/>
    <m/>
    <m/>
    <s v="NO"/>
    <m/>
    <m/>
    <m/>
    <s v="YES"/>
    <n v="5080"/>
    <n v="0.81699999999999995"/>
    <n v="25400"/>
    <m/>
    <m/>
    <m/>
    <m/>
    <m/>
    <s v="YES"/>
    <s v="January"/>
    <n v="2017"/>
    <s v="YES"/>
    <s v="YES"/>
    <s v="September"/>
    <n v="2017"/>
    <s v="Evaluation de l'atteinte finale des indicateurs du projet et la pérénité des actions"/>
    <x v="1"/>
    <s v="NO"/>
    <s v="NO"/>
    <s v="YES"/>
    <s v="YES"/>
    <s v="NO"/>
    <s v="YES"/>
    <s v="YES"/>
    <s v="NO"/>
    <m/>
    <x v="1"/>
    <s v="Station météorologique"/>
    <x v="3"/>
    <m/>
    <x v="0"/>
    <x v="0"/>
    <s v="YES"/>
    <x v="0"/>
    <x v="0"/>
    <x v="0"/>
    <x v="0"/>
    <n v="4"/>
    <x v="1"/>
    <x v="2"/>
    <x v="1"/>
    <x v="1"/>
    <x v="1"/>
    <x v="1"/>
    <n v="3"/>
    <x v="3"/>
    <x v="1"/>
    <x v="1"/>
    <x v="1"/>
    <x v="4"/>
    <n v="3"/>
    <x v="3"/>
    <x v="0"/>
    <n v="1"/>
    <s v="National government"/>
    <s v="Grassroots organization(s)"/>
    <s v="Local government(s)"/>
    <x v="0"/>
    <s v="COGES et GROUPEMENT"/>
    <m/>
    <s v="VSLA"/>
    <s v="Champs écoles"/>
    <s v="CGRC"/>
    <s v="Utilisation des informations météoroliques par les paysans via les micro station météo pour les décisions agricoles."/>
    <s v="Les réboisements communautaires et familiaux pour augmenter les couvertures végétales"/>
    <s v="VSLA: porte d'entrée dans la durabilité et pérénité des activitées au niveau communautaire"/>
    <m/>
    <s v="Tableau de Bord mensuel,Base line,Evaluation à mi-parcours,Rapport Annuel année 2."/>
    <n v="9522"/>
    <n v="250000"/>
    <n v="26.254988447805083"/>
    <n v="0.52667506826296995"/>
    <n v="0.65"/>
    <n v="5015"/>
    <n v="162500"/>
    <n v="1"/>
    <n v="0"/>
    <n v="0"/>
    <s v=""/>
    <n v="1"/>
    <n v="48059"/>
    <n v="250000"/>
    <n v="5.2019392829646893"/>
    <s v=""/>
    <n v="0"/>
    <n v="0"/>
    <s v=""/>
    <s v=""/>
    <n v="0"/>
    <n v="0"/>
    <s v=""/>
    <n v="1"/>
    <n v="5080"/>
    <n v="25400"/>
    <n v="5"/>
    <s v="2. Sensitive"/>
    <s v="2. Accommodating"/>
    <s v="4. Transformative"/>
    <s v="It tested new ways for fighting poverty, but did not measure results of innovation"/>
    <s v="Moderate advocacy"/>
    <s v="It took tested solutions to scale on its own"/>
  </r>
  <r>
    <x v="43"/>
    <x v="5"/>
    <n v="3109"/>
    <s v="PATHWAYS TO QUALITY EDUCATION MADAGASCAR (FANAMBY)"/>
    <s v="Madagascar"/>
    <s v="LYRECO"/>
    <s v="CARE France"/>
    <s v="Corporation"/>
    <s v="Other"/>
    <s v="Lyreco For Education"/>
    <m/>
    <m/>
    <m/>
    <m/>
    <m/>
    <m/>
    <m/>
    <m/>
    <m/>
    <m/>
    <m/>
    <m/>
    <m/>
    <m/>
    <m/>
    <m/>
    <m/>
    <m/>
    <m/>
    <m/>
    <m/>
    <m/>
    <m/>
    <m/>
    <m/>
    <m/>
    <m/>
    <m/>
    <m/>
    <m/>
    <m/>
    <m/>
    <m/>
    <m/>
    <m/>
    <m/>
    <m/>
    <m/>
    <m/>
    <m/>
    <m/>
    <m/>
    <m/>
    <m/>
    <m/>
    <d v="2014-07-01T00:00:00"/>
    <d v="2018-06-30T00:00:00"/>
    <m/>
    <s v="Development Other"/>
    <n v="1170000"/>
    <s v="MALALATIANA RAZAFIMANDIMBY"/>
    <s v="Spécialiste en autonomisation des femmes"/>
    <s v="Tiana.Razafimandimby@care.org"/>
    <s v="ANDRIANARIVONY SAMUEL JUSTE"/>
    <s v="Coordinateur Technique"/>
    <s v="Samy.Andrianarivony@care.org"/>
    <s v="NO"/>
    <s v="YES"/>
    <s v="NO"/>
    <s v="Améliorer l'accès à l'éducation primaire de qualité pour au moins 17 000 enfants âgés de 5 et de 15 ans dans le district de Vatomandry, dans la région Atsinanana de Madagascar (côte Est), avec une attention particulière à l'éducation des filles."/>
    <s v="Sub-National"/>
    <s v="PAYS MADAGASCAR. REGION ATSINANANA. COMMUNES AMBODIVOANANTO; AMBODITAVOLO; MAINTINANDRY; ILAKA EST; NIAROVANA CAROLINE; TSIVANGIANA; ANTANAMBAO MAHATSARA; SAHAMATEVINA"/>
    <s v="Elèves; Parents d'élèves et Enseignants"/>
    <n v="25450"/>
    <n v="25550"/>
    <n v="51000"/>
    <n v="63221"/>
    <n v="61140"/>
    <n v="124361"/>
    <s v="Direct: Elèves 17000; Parents d'élèves (y compris membres des AVECs et membres des FRAM, FEFFI, Comités de gestion des infrastructures) 34 000 et Enseignants 250. Indirects: Population dans les huits communes d'intervention du projet"/>
    <m/>
    <m/>
    <m/>
    <m/>
    <m/>
    <m/>
    <m/>
    <s v="NO"/>
    <m/>
    <m/>
    <m/>
    <s v="NO"/>
    <m/>
    <m/>
    <m/>
    <s v="NO"/>
    <m/>
    <m/>
    <m/>
    <s v="NO"/>
    <m/>
    <m/>
    <m/>
    <s v="NO"/>
    <m/>
    <m/>
    <m/>
    <s v="NO"/>
    <m/>
    <m/>
    <m/>
    <s v="NO"/>
    <m/>
    <m/>
    <m/>
    <s v="NO"/>
    <m/>
    <m/>
    <m/>
    <s v="NO"/>
    <m/>
    <m/>
    <m/>
    <s v="NO"/>
    <m/>
    <m/>
    <m/>
    <s v="NO"/>
    <m/>
    <m/>
    <m/>
    <s v="NO"/>
    <m/>
    <m/>
    <m/>
    <m/>
    <s v="NO"/>
    <m/>
    <m/>
    <m/>
    <n v="28785"/>
    <n v="20964"/>
    <n v="49749"/>
    <n v="63221"/>
    <n v="61140"/>
    <n v="124361"/>
    <m/>
    <m/>
    <m/>
    <m/>
    <s v="YES"/>
    <n v="180"/>
    <n v="0.56000000000000005"/>
    <n v="117679"/>
    <m/>
    <m/>
    <m/>
    <m/>
    <m/>
    <m/>
    <m/>
    <m/>
    <m/>
    <m/>
    <m/>
    <m/>
    <s v="YES"/>
    <n v="49749"/>
    <n v="0.57799999999999996"/>
    <m/>
    <m/>
    <m/>
    <m/>
    <m/>
    <m/>
    <m/>
    <m/>
    <m/>
    <m/>
    <m/>
    <m/>
    <m/>
    <m/>
    <m/>
    <m/>
    <m/>
    <s v="YES"/>
    <n v="10837"/>
    <n v="0.49"/>
    <n v="117679"/>
    <m/>
    <m/>
    <m/>
    <m/>
    <m/>
    <m/>
    <m/>
    <m/>
    <m/>
    <m/>
    <m/>
    <m/>
    <m/>
    <m/>
    <m/>
    <m/>
    <m/>
    <m/>
    <m/>
    <m/>
    <m/>
    <m/>
    <m/>
    <m/>
    <m/>
    <s v="NO"/>
    <m/>
    <m/>
    <s v="YES"/>
    <s v="YES"/>
    <s v="May"/>
    <n v="2018"/>
    <s v="Evaluation finale du projet  pour colllecter toutes informations liées aux indicateurs d'impact/ effet du projet par rapport à la situation initiale"/>
    <x v="1"/>
    <s v="NO"/>
    <s v="NO"/>
    <s v="YES"/>
    <s v="YES"/>
    <s v="NO"/>
    <s v="YES"/>
    <s v="YES"/>
    <m/>
    <m/>
    <x v="1"/>
    <s v="Suivi-Evaluation participatif"/>
    <x v="1"/>
    <m/>
    <x v="1"/>
    <x v="0"/>
    <s v="YES"/>
    <x v="0"/>
    <x v="0"/>
    <x v="0"/>
    <x v="0"/>
    <n v="4"/>
    <x v="0"/>
    <x v="0"/>
    <x v="0"/>
    <x v="0"/>
    <x v="0"/>
    <x v="0"/>
    <n v="0"/>
    <x v="0"/>
    <x v="0"/>
    <x v="0"/>
    <x v="0"/>
    <x v="0"/>
    <n v="0"/>
    <x v="0"/>
    <x v="3"/>
    <n v="1"/>
    <s v="Local government(s)"/>
    <m/>
    <m/>
    <x v="0"/>
    <s v="FEFFI; FRAM"/>
    <s v="Atelier de transfert"/>
    <s v="VSLA"/>
    <s v="Planification communautaire"/>
    <s v="Suivi evaluation participatif"/>
    <s v="la prise en compte de la dimension genre dans la mise en uvre du projet a promu lémergence de femmes entrepreneurs au niveau des AVEC"/>
    <s v="Les élèves, autant filles que garçons commencent à jouir et à vivre progressivement leurs droits en tant quenfants"/>
    <s v="Hommes et femmes commencent à se concerter sur les décisions à prendre  au niveau de leur ménage"/>
    <m/>
    <s v="Rapport annuel des activités année 3 et Tableau de bord"/>
    <n v="49749"/>
    <n v="124361"/>
    <n v="2.4997688395746649"/>
    <n v="0.57860459506723749"/>
    <n v="0.50836677093300953"/>
    <n v="28785"/>
    <n v="63221"/>
    <s v=""/>
    <n v="0"/>
    <n v="0"/>
    <s v=""/>
    <n v="1"/>
    <n v="180"/>
    <n v="117679"/>
    <n v="653.77222222222224"/>
    <s v=""/>
    <n v="0"/>
    <n v="0"/>
    <s v=""/>
    <s v=""/>
    <n v="0"/>
    <n v="0"/>
    <s v=""/>
    <s v=""/>
    <n v="0"/>
    <n v="0"/>
    <s v=""/>
    <s v="2. Sensitive"/>
    <s v="No marker score"/>
    <s v="No marker score"/>
    <s v="It tested new ways for fighting poverty, but did not measure results of innovation"/>
    <s v="Moderate advocacy"/>
    <s v="It linked and worked with strategic alliances and partners to take tested and effective solutions to scale"/>
  </r>
  <r>
    <x v="43"/>
    <x v="5"/>
    <n v="3108"/>
    <s v="Project to strengthen the most flood-vulnerable communities of the Urban Commune of Antananarivo (CUA)"/>
    <s v="Madagascar"/>
    <s v="AID-OFDA-G-15-00296"/>
    <s v="CARE USA"/>
    <s v="Government"/>
    <s v="Government - US"/>
    <s v="OFDA"/>
    <m/>
    <m/>
    <m/>
    <m/>
    <m/>
    <m/>
    <m/>
    <m/>
    <m/>
    <m/>
    <m/>
    <m/>
    <m/>
    <m/>
    <m/>
    <m/>
    <m/>
    <m/>
    <m/>
    <m/>
    <m/>
    <m/>
    <m/>
    <m/>
    <m/>
    <m/>
    <m/>
    <m/>
    <m/>
    <m/>
    <m/>
    <m/>
    <m/>
    <m/>
    <m/>
    <m/>
    <m/>
    <m/>
    <m/>
    <m/>
    <m/>
    <m/>
    <m/>
    <m/>
    <m/>
    <d v="2015-07-23T00:00:00"/>
    <d v="2016-07-22T00:00:00"/>
    <d v="2016-10-23T00:00:00"/>
    <s v="Development Other"/>
    <n v="835475"/>
    <s v="ANDRIAMIARINARIVO RAJAONARISON"/>
    <s v="COUNTRY DIRECTOR"/>
    <s v="rivo.rajaonarison@care.org"/>
    <s v="HARITIANA RANDRIANARISOA"/>
    <s v="HUMANITARIAN AND RESILIENCE SPECIALIST"/>
    <s v="haritiana.randrianarisoa@care.org"/>
    <s v="NO"/>
    <s v="YES"/>
    <s v="NO"/>
    <s v="Renforcer la résilience aux catastrophes des communautés exposées aux inondations dans la Commune urbaine d'Antananarivo (CUA) en réduisant la vulnérabilité et en renforçant les capacités et la collaboration entre les parties prenantes"/>
    <s v="Sub-National"/>
    <s v="Madagascar. Région Analamanga. Commune Urbaine d'Antananarivo - 75 fokontany"/>
    <s v="Communauté des 75 fokotany avec les membres de l'admnisatration dans la municipalité d'Antannarivo et  Entreprise membres de la plateforme du Secteur privé"/>
    <n v="602"/>
    <n v="493"/>
    <n v="1095"/>
    <n v="50050"/>
    <n v="40950"/>
    <n v="91000"/>
    <s v="Participants directs: Nombre des membres des comités de GRC au niveau des fokontany. Participants indirects: Nombre de population vulnérables des 75 fokontany bénéficiaire du projet"/>
    <m/>
    <m/>
    <m/>
    <m/>
    <m/>
    <m/>
    <m/>
    <m/>
    <m/>
    <m/>
    <m/>
    <m/>
    <m/>
    <m/>
    <m/>
    <m/>
    <m/>
    <m/>
    <m/>
    <m/>
    <m/>
    <m/>
    <m/>
    <m/>
    <m/>
    <m/>
    <m/>
    <m/>
    <m/>
    <m/>
    <m/>
    <m/>
    <m/>
    <m/>
    <m/>
    <m/>
    <m/>
    <m/>
    <m/>
    <m/>
    <m/>
    <m/>
    <m/>
    <m/>
    <m/>
    <m/>
    <m/>
    <m/>
    <m/>
    <m/>
    <m/>
    <m/>
    <m/>
    <m/>
    <m/>
    <m/>
    <m/>
    <m/>
    <m/>
    <m/>
    <n v="6131"/>
    <n v="5437"/>
    <n v="11568"/>
    <n v="69945"/>
    <n v="54956"/>
    <n v="124901"/>
    <s v="NO"/>
    <m/>
    <m/>
    <m/>
    <s v="YES"/>
    <n v="1101"/>
    <n v="0.60029999999999994"/>
    <n v="124901"/>
    <s v="NO"/>
    <m/>
    <m/>
    <m/>
    <s v="YES"/>
    <n v="11568"/>
    <n v="0.53"/>
    <n v="124901"/>
    <s v="NO"/>
    <m/>
    <m/>
    <m/>
    <s v="NO"/>
    <m/>
    <m/>
    <m/>
    <s v="NO"/>
    <m/>
    <m/>
    <m/>
    <s v="NO"/>
    <m/>
    <m/>
    <m/>
    <s v="NO"/>
    <m/>
    <m/>
    <m/>
    <s v="NO"/>
    <m/>
    <m/>
    <m/>
    <s v="YES"/>
    <n v="113333"/>
    <m/>
    <m/>
    <s v="NO"/>
    <m/>
    <m/>
    <m/>
    <s v="YES"/>
    <m/>
    <m/>
    <m/>
    <s v="NO"/>
    <m/>
    <m/>
    <m/>
    <s v="NO"/>
    <m/>
    <m/>
    <m/>
    <s v="NO"/>
    <m/>
    <m/>
    <m/>
    <m/>
    <m/>
    <m/>
    <m/>
    <m/>
    <s v="YES"/>
    <s v="October"/>
    <n v="2016"/>
    <s v="YES"/>
    <s v="NO"/>
    <m/>
    <m/>
    <s v="Evaluation finale du projet pour analyser les impacts du projet au niveau des cibles"/>
    <x v="1"/>
    <s v="NO"/>
    <s v="NO"/>
    <s v="YES"/>
    <s v="YES"/>
    <s v="YES"/>
    <s v="YES"/>
    <s v="NO"/>
    <s v="NO"/>
    <m/>
    <x v="1"/>
    <m/>
    <x v="1"/>
    <s v="Système d'alerte précoce à base communautaire"/>
    <x v="0"/>
    <x v="0"/>
    <s v="YES"/>
    <x v="0"/>
    <x v="0"/>
    <x v="0"/>
    <x v="0"/>
    <n v="4"/>
    <x v="1"/>
    <x v="1"/>
    <x v="1"/>
    <x v="1"/>
    <x v="1"/>
    <x v="1"/>
    <n v="4"/>
    <x v="3"/>
    <x v="1"/>
    <x v="1"/>
    <x v="1"/>
    <x v="4"/>
    <n v="3"/>
    <x v="3"/>
    <x v="0"/>
    <n v="3"/>
    <s v="Local government(s)"/>
    <s v="University/research institution(s)"/>
    <s v="Private sector"/>
    <x v="0"/>
    <s v="Renfrocement de capacité des membres du plateforme humanitaire du secteur privé sur les normes et standars éssentiels d'intervention d'urgence et l'intégration de la RRC et urgences dans les responsabilités sociétales des entreprises (RSE)"/>
    <m/>
    <s v="La planification communautaire"/>
    <s v="Engagement des autorités gouvernementales et communales dans les actions de réduction des risques"/>
    <s v="Système d'alerte précoce à base communautaire"/>
    <s v="Défis pour CARE d'intervenir dans une zone très politisée comme la Capitale où  les autorités élues et leurs décisions sont dépendantes de la tendance"/>
    <s v="Les rigeurs scientifiques des chercheurs de l'université a causé un certain retard dans le planning. Selon eux, le temps imparti ne leur permettaient pas de produire des résultats d'analyse scientifiquement approfondie.  Pourtant, l'implication de l'Université dans la mise en uvre des recherches leur a permi de mettre en pratique tout ce qui est théorie acquise durant leur cursus universitaire et sortir des résulats de recherches préliminaires.   "/>
    <s v="Durée du projet trop courte pour assurer la perennisation complete des structures et système mise en place par le projet. Au moins un deuxième cycle du rpojet aurait dû avoir lieu pour assurer cette opérationnalisation effective et durabilité des actions auprès des cibles."/>
    <m/>
    <m/>
    <n v="11568"/>
    <n v="124901"/>
    <n v="10.797112724757953"/>
    <n v="0.52999654218533887"/>
    <n v="0.56000352279004972"/>
    <n v="6131"/>
    <n v="69945"/>
    <s v=""/>
    <n v="0"/>
    <n v="0"/>
    <s v=""/>
    <n v="1"/>
    <n v="11568"/>
    <n v="124901"/>
    <n v="10.797112724757953"/>
    <s v=""/>
    <n v="0"/>
    <n v="0"/>
    <s v=""/>
    <s v=""/>
    <n v="0"/>
    <n v="0"/>
    <s v=""/>
    <s v=""/>
    <n v="0"/>
    <n v="0"/>
    <s v=""/>
    <s v="2. Sensitive"/>
    <s v="2. Accommodating"/>
    <s v="4. Transformative"/>
    <s v="It tested new ways for fighting poverty, but did not measure results of innovation"/>
    <s v="Moderate advocacy"/>
    <s v="It linked and worked with strategic alliances and partners to take tested and effective solutions to scale"/>
  </r>
  <r>
    <x v="43"/>
    <x v="5"/>
    <n v="3107"/>
    <s v="Projet Assainissement Innovant en milieu Urbain PAIU/Projet  Fanatsaràna ny Faripiainanny Mponina Andrenivohitra aminny Fandrindràna ny Fidiovana sy ny Fahadiovana (FAMAFA)"/>
    <s v="Madagascar"/>
    <s v="CFRAMG0045"/>
    <s v="CARE France"/>
    <s v="Government"/>
    <s v="Other"/>
    <s v="French Development Agency"/>
    <m/>
    <m/>
    <m/>
    <m/>
    <m/>
    <m/>
    <m/>
    <m/>
    <m/>
    <m/>
    <m/>
    <m/>
    <m/>
    <m/>
    <m/>
    <m/>
    <m/>
    <m/>
    <m/>
    <m/>
    <m/>
    <m/>
    <m/>
    <m/>
    <m/>
    <m/>
    <m/>
    <m/>
    <m/>
    <m/>
    <m/>
    <m/>
    <m/>
    <m/>
    <m/>
    <m/>
    <m/>
    <m/>
    <m/>
    <m/>
    <m/>
    <m/>
    <m/>
    <m/>
    <m/>
    <d v="2013-04-01T00:00:00"/>
    <d v="2016-04-01T00:00:00"/>
    <d v="2016-10-31T00:00:00"/>
    <s v="Development Access to and Control over Economic Resources"/>
    <n v="656358.29999999993"/>
    <s v="Avo RATOARIJAONA"/>
    <s v="Spécialiste Renforcement institutionnel et gouvernance"/>
    <s v="Avo.Ratoarijaona@care.org"/>
    <s v="SOLO RAZAFINJATO"/>
    <s v="Chef de projet"/>
    <s v="Solo.Razafinajato@care.org"/>
    <s v="NO"/>
    <s v="YES"/>
    <s v="NO"/>
    <s v="Améliorer les conditions de vie et sanitaire des populations vulnérables vivant dans la commune urbaine d'Antananarivo pour un meilleur accès à des facilités sanitaires des gestions de déchets associé à un comportement collectif et individuel adéqaut contribuant à la réduction de maladies d'origine hydrique, notamment chez les enfants à bas âge."/>
    <s v="Sub-National"/>
    <s v="Pays: Madagascar. Région: Analamanga. Commune: Commune Urbaine d'Antananarivo/ Capital de Madagascar"/>
    <s v="11 053 ménages les plus vulnérables dont 28 186 femmes  vivant dans 12 fokontany de la Commune Urbaine d'Antananarivo, en particulier les femmes et les filles"/>
    <n v="196"/>
    <n v="53"/>
    <n v="249"/>
    <n v="28186"/>
    <n v="27080"/>
    <n v="55266"/>
    <s v="Les participants directs sont : - L'Association partenaire de mise en uvre. - Les 12 Associations RF2 institutionnalisés. - Les 04 Associations des maçons et des vidangeurs institutionnalisés. - Agent de collecte récruté par les RF2 (50% homme, 50% femme). - Les 03 groupements de femmes créées. (Le calcule de nombre des bénéficiaires directes du projet s'est fait à partir du nombre total des membres désagrégés par sexe dans le statut du groupe). Les participants indirects sont : - C'est le nombre de ménages sensibilisés via les porte à porte et la distribution de la carte d'adhésion des ménages qui adoptent le système de collectes des ordures ménagères effectué par les associations RF2"/>
    <m/>
    <m/>
    <m/>
    <m/>
    <m/>
    <m/>
    <m/>
    <m/>
    <m/>
    <m/>
    <m/>
    <m/>
    <m/>
    <m/>
    <m/>
    <m/>
    <m/>
    <m/>
    <m/>
    <m/>
    <m/>
    <m/>
    <m/>
    <m/>
    <m/>
    <m/>
    <m/>
    <m/>
    <m/>
    <m/>
    <m/>
    <m/>
    <m/>
    <m/>
    <m/>
    <m/>
    <m/>
    <m/>
    <m/>
    <m/>
    <m/>
    <m/>
    <m/>
    <m/>
    <m/>
    <m/>
    <m/>
    <m/>
    <m/>
    <m/>
    <m/>
    <m/>
    <m/>
    <m/>
    <m/>
    <m/>
    <m/>
    <m/>
    <m/>
    <m/>
    <n v="162"/>
    <n v="118"/>
    <n v="280"/>
    <n v="61200"/>
    <n v="58800"/>
    <n v="120000"/>
    <m/>
    <m/>
    <m/>
    <m/>
    <m/>
    <m/>
    <m/>
    <m/>
    <m/>
    <m/>
    <m/>
    <m/>
    <m/>
    <m/>
    <m/>
    <m/>
    <m/>
    <m/>
    <m/>
    <m/>
    <m/>
    <m/>
    <m/>
    <m/>
    <m/>
    <m/>
    <m/>
    <m/>
    <m/>
    <m/>
    <m/>
    <m/>
    <m/>
    <m/>
    <m/>
    <m/>
    <m/>
    <m/>
    <m/>
    <m/>
    <m/>
    <m/>
    <m/>
    <m/>
    <m/>
    <m/>
    <m/>
    <m/>
    <m/>
    <m/>
    <m/>
    <m/>
    <m/>
    <m/>
    <m/>
    <m/>
    <s v="YES"/>
    <n v="280"/>
    <n v="0.82653061224489799"/>
    <n v="120000"/>
    <m/>
    <m/>
    <m/>
    <m/>
    <m/>
    <m/>
    <m/>
    <m/>
    <m/>
    <s v="YES"/>
    <s v="November"/>
    <n v="2016"/>
    <s v="YES"/>
    <s v="NO"/>
    <m/>
    <m/>
    <m/>
    <x v="1"/>
    <s v="YES"/>
    <s v="YES"/>
    <s v="YES"/>
    <s v="YES"/>
    <s v="YES"/>
    <s v="YES"/>
    <s v="NO"/>
    <m/>
    <m/>
    <x v="2"/>
    <s v="Autofinancement de la Gestion du cycle complet de l'assainissement au niveau local"/>
    <x v="1"/>
    <s v="Parténariat avec WSUP sur marketing social de l'assainissement et mise en place d'un système de traitement de boue de vidange"/>
    <x v="1"/>
    <x v="0"/>
    <s v="YES"/>
    <x v="0"/>
    <x v="0"/>
    <x v="0"/>
    <x v="0"/>
    <n v="4"/>
    <x v="1"/>
    <x v="1"/>
    <x v="1"/>
    <x v="1"/>
    <x v="1"/>
    <x v="1"/>
    <n v="4"/>
    <x v="1"/>
    <x v="1"/>
    <x v="1"/>
    <x v="1"/>
    <x v="1"/>
    <n v="3"/>
    <x v="0"/>
    <x v="2"/>
    <n v="18"/>
    <s v="Grassroots organization(s)"/>
    <s v="Local NGO(s)/CSO(s)"/>
    <s v="International NGO(s)"/>
    <x v="0"/>
    <s v="Appui à la formalisation des structures locales, Renforcement de capacité, échanges d'expériances et équipements"/>
    <s v="Approche adoptée pour toucher les couches les plus vulnérables dans la promotion des latrines familiales. Mobilisation de partenariat pour le rapprochement des structures locales et d'autres acteurs de développement. Changement de technologie DEWATS =&gt; Biobolsa. Implication des nouveaux dirigeants de la CUA dans la continuité des acquis. Considération des recommandations ressorties de l'évaluation à mi-parcours du projet dans les activités de suivi, accompagnement et contrôle."/>
    <s v="Implication des autorités locales, services techniques, ministères"/>
    <s v="Développement et maintien de partenariat à différents niveaux"/>
    <s v="Renforcement de capacité suivant les besoins et les situations existantes"/>
    <s v="L'incapacité à payer des ménages limite et retarde le travail des RF2 dans l'opérationnalisation du système de gestion des déchets solides et liquides, et affecte la pérennisation des services au terme du projet. Le renforcement de partenariat à tous les niveaux, autorités locales et établissements publics et privés notamment, est alors le garant du mécanisme d'autofinancement local"/>
    <s v="La promotion de l'hygiène et l'assainissement comme priorité politique et budgétaire est indispensable pour favoriser les changements de comportement, garantir un minimum de cotisation et améliorer les conditions de santé de la population."/>
    <s v="La modification du système de traitement des boues de vidange en cours du projet témoigne de la difficulté à porter des innovations techniques dans un délai si contraint et les enjeux des problèmes fonciers dans le milieu urbain."/>
    <s v="Amélioration de stratégie pour l'atteinte des groupes les plus vulnérables. Intensification de partenariat avec les autorités locales pour la régularisation foncière (Biobolsa). Compte rendu systématique auprès des nouveaux dirigeants de la CUA pour les impliquer dans le processus de mise en oeuvre"/>
    <s v="Document de projet. Cadre logique. Rapports trimestriels sur les avancements des activités, rapports semestriels, rapport annuel, rapport final. Rapports d'activités des RF2 et de l'association FIOMBONANA, WSUP. Rapport d'évaluation à mi-parcours, rapport d'évaluation final. Rapports des formations dispensées. Document de capitalisation"/>
    <n v="280"/>
    <n v="120000"/>
    <n v="428.57142857142856"/>
    <n v="0.57857142857142863"/>
    <n v="0.51"/>
    <n v="162"/>
    <n v="61200"/>
    <s v=""/>
    <n v="0"/>
    <n v="0"/>
    <s v=""/>
    <n v="1"/>
    <n v="280"/>
    <n v="120000"/>
    <n v="428.57142857142856"/>
    <s v=""/>
    <n v="0"/>
    <n v="0"/>
    <s v=""/>
    <s v=""/>
    <n v="0"/>
    <n v="0"/>
    <s v=""/>
    <s v=""/>
    <n v="0"/>
    <n v="0"/>
    <s v=""/>
    <s v="2. Sensitive"/>
    <s v="2. Accommodating"/>
    <s v="2. Sensitive"/>
    <s v="It tested new ways for fighting poverty and measured results of innovation"/>
    <s v="Moderate advocacy"/>
    <s v="It linked and worked with strategic alliances and partners to take tested and effective solutions to scale"/>
  </r>
  <r>
    <x v="43"/>
    <x v="5"/>
    <n v="3105"/>
    <s v="Renforcement des Actions de Nutrition AINA (RAN-AINA)"/>
    <s v="Madagascar"/>
    <s v="NL161"/>
    <s v="CARE Nederland"/>
    <s v="Government"/>
    <s v="EU - European Union (other than ECHO)"/>
    <s v="EU"/>
    <m/>
    <m/>
    <m/>
    <m/>
    <m/>
    <m/>
    <m/>
    <m/>
    <m/>
    <m/>
    <m/>
    <m/>
    <m/>
    <m/>
    <m/>
    <m/>
    <m/>
    <m/>
    <m/>
    <m/>
    <m/>
    <m/>
    <m/>
    <m/>
    <m/>
    <m/>
    <m/>
    <m/>
    <m/>
    <m/>
    <m/>
    <m/>
    <m/>
    <m/>
    <m/>
    <m/>
    <m/>
    <m/>
    <m/>
    <m/>
    <m/>
    <m/>
    <m/>
    <m/>
    <m/>
    <d v="2014-12-15T00:00:00"/>
    <d v="2017-12-14T00:00:00"/>
    <m/>
    <s v="Development Food &amp; Nutrition Security and Resilience to Climate Change"/>
    <n v="1229797.53"/>
    <s v="Avo RATOARIJAONA"/>
    <s v="Spécialiste de renforcement institutionnel"/>
    <s v="Avo.Ratoarijaona@care.org"/>
    <s v="Serge ROBSON ANDRIAMANANIRINA"/>
    <s v="Coordinateur Technique du projet"/>
    <s v="Serge.Robson@care.org"/>
    <s v="YES"/>
    <s v="YES"/>
    <s v="YES"/>
    <s v="Contribuer à l'amélioration de l'état nutritionnel d'au moins 17000 enfants âgés de moins de cinq ans (dont 51% filles) et de 7000 femmes allaitantes et enceintes dans 88 Fokontany du District d'Amboasary sud"/>
    <s v="Sub-National"/>
    <s v="Pays : Madagascar. Région : Anosy. District : Amboasary sud. Communes : Amboasary sud, Tanandava sud, Sampona, Ifotaka, Ebelo, Behara"/>
    <s v="18 000 ménages vulnérables et 17 000 enfants moins de 5 ans"/>
    <n v="6864"/>
    <n v="11136"/>
    <n v="18000"/>
    <n v="43270"/>
    <n v="38798"/>
    <n v="82068"/>
    <s v="participants directs : Ménages vulnérables ciblés par le projet. participants indirects :  population de la zone d'intervnetion du projet"/>
    <m/>
    <n v="22494"/>
    <n v="7496"/>
    <n v="29990"/>
    <m/>
    <m/>
    <m/>
    <m/>
    <m/>
    <m/>
    <m/>
    <m/>
    <m/>
    <m/>
    <m/>
    <m/>
    <m/>
    <m/>
    <m/>
    <s v="YES"/>
    <n v="29990"/>
    <n v="0.89"/>
    <m/>
    <m/>
    <m/>
    <m/>
    <m/>
    <m/>
    <m/>
    <m/>
    <m/>
    <s v="YES"/>
    <n v="13334"/>
    <n v="1"/>
    <m/>
    <m/>
    <m/>
    <m/>
    <m/>
    <m/>
    <m/>
    <m/>
    <m/>
    <m/>
    <m/>
    <m/>
    <m/>
    <m/>
    <m/>
    <m/>
    <m/>
    <m/>
    <m/>
    <m/>
    <m/>
    <m/>
    <m/>
    <m/>
    <m/>
    <m/>
    <n v="21806"/>
    <n v="19001"/>
    <n v="40807"/>
    <n v="25705"/>
    <n v="22431"/>
    <n v="48136"/>
    <m/>
    <m/>
    <m/>
    <m/>
    <m/>
    <m/>
    <m/>
    <m/>
    <m/>
    <m/>
    <m/>
    <m/>
    <m/>
    <m/>
    <m/>
    <m/>
    <m/>
    <m/>
    <m/>
    <m/>
    <m/>
    <m/>
    <m/>
    <m/>
    <s v="YES"/>
    <n v="33914"/>
    <n v="0.64290000000000003"/>
    <m/>
    <m/>
    <m/>
    <m/>
    <m/>
    <m/>
    <m/>
    <m/>
    <m/>
    <s v="YES"/>
    <n v="39336"/>
    <n v="0.64300000000000002"/>
    <m/>
    <m/>
    <m/>
    <m/>
    <m/>
    <m/>
    <m/>
    <m/>
    <m/>
    <m/>
    <m/>
    <m/>
    <m/>
    <m/>
    <m/>
    <m/>
    <m/>
    <s v="YES"/>
    <n v="40807"/>
    <n v="0.5343"/>
    <m/>
    <m/>
    <m/>
    <m/>
    <m/>
    <m/>
    <m/>
    <m/>
    <m/>
    <m/>
    <s v="YES"/>
    <s v="January"/>
    <n v="2017"/>
    <m/>
    <s v="YES"/>
    <s v="November"/>
    <n v="2017"/>
    <s v="Etude CAP final. Evaluation finale du projet"/>
    <x v="1"/>
    <m/>
    <m/>
    <s v="YES"/>
    <s v="YES"/>
    <m/>
    <m/>
    <s v="YES"/>
    <m/>
    <m/>
    <x v="2"/>
    <s v="approche CSC, approche masculinité positif, CCN, CAEM ."/>
    <x v="1"/>
    <s v="TCU : Transformation, Conservation et Utilisation"/>
    <x v="3"/>
    <x v="1"/>
    <s v="YES"/>
    <x v="0"/>
    <x v="0"/>
    <x v="0"/>
    <x v="2"/>
    <n v="4"/>
    <x v="1"/>
    <x v="1"/>
    <x v="1"/>
    <x v="1"/>
    <x v="1"/>
    <x v="1"/>
    <n v="4"/>
    <x v="1"/>
    <x v="1"/>
    <x v="1"/>
    <x v="2"/>
    <x v="3"/>
    <n v="2"/>
    <x v="0"/>
    <x v="0"/>
    <n v="2"/>
    <s v="Local government(s)"/>
    <s v="Grassroots organization(s)"/>
    <m/>
    <x v="0"/>
    <s v="sensibilisation, formation, éducation"/>
    <s v="aucun ajustement est apporté par le projet sur ses buts et activités"/>
    <s v="engagement des hommes ou Mascunilité Positif (MP)"/>
    <s v="planification communautaire ou Plan d'Action Communal en Nutrition (PACN)"/>
    <s v="carte de score de la communauté ou Community Score Cards (CSC)"/>
    <s v="pratiques prometteuses : alimentation des enfants (Allaitement Maternel Exclusif (AME), Allaitement Maternel Immédiat (AMI), Diversification Alimentaire (DA), Transformation Conservation et Utilisation (TCU)), fréquentation des centres de santé (Centre de Santé de Base (CSB), Centre d'Accueil Enfants Mères (CAEM)), collaboration entre groupe VSLA (Village Soaving Load Association) et Agents Communautaire (AC) au niveau CAEM sur la gestion des matériels TCU, actualisation et mis en uvre des PACN"/>
    <s v="défis : pérennisation des approches adoptées (CSC, masculinité positive), financement des projets dans les PACN, les plans d'action issus des CSC alimentent les PACN ou annexés aux PACN"/>
    <s v="apprentissage : renforcement des capacités des AC en matière de MP, renforcement des capacités des Comité Communal de Nutrition (CCN) en matière de plaidoyer et de négociation des financements"/>
    <s v="les AC ont joué un grand rôle dans l'atteinte des objectifs du projet en assurant les activités de sensibilisation, suivi, accompagnement, orientation, référencement, plaidoyer - le projet est devenu point d'appui des partenaires sur la réalisation des communications de masse en matière de santé nutrition - malgré le respect des us et coutumes qui prédominent dans la zone d'action du projet, l'engagement des hommes dans les activités de nutrition a apporté des changements significatifs (ex : allègement des tâches ménagères,....)"/>
    <s v="rapport sur l'étude de référence, rapport sur les études CAP, rapport d'évaluation à mi-parcours, tableau de bord situation au fin juin 2017, rapport d'activités annuels (2015, 2016) et semestriels (2017)"/>
    <n v="40807"/>
    <n v="48136"/>
    <n v="1.1796015389516505"/>
    <n v="0.55122895581640408"/>
    <n v="0.53400781120159546"/>
    <n v="22494"/>
    <n v="25705"/>
    <n v="1"/>
    <n v="29990"/>
    <n v="0"/>
    <n v="0"/>
    <n v="1"/>
    <n v="40807"/>
    <n v="0"/>
    <n v="0"/>
    <s v=""/>
    <n v="0"/>
    <n v="0"/>
    <s v=""/>
    <s v=""/>
    <n v="0"/>
    <n v="0"/>
    <s v=""/>
    <s v=""/>
    <n v="0"/>
    <n v="0"/>
    <s v=""/>
    <s v="4. Transformative"/>
    <s v="2. Accommodating"/>
    <s v="1. Neutral"/>
    <s v="It tested new ways for fighting poverty and measured results of innovation"/>
    <s v="Moderate advocacy"/>
    <s v="It linked and worked with strategic alliances and partners to take tested and effective solutions to scale"/>
  </r>
  <r>
    <x v="43"/>
    <x v="5"/>
    <m/>
    <s v="Réponse durgence pour soutenir les personnes vulnérables victimes dEl Niño dans le Grand Sud de Madagascar"/>
    <s v="Madagascar"/>
    <s v="ECHO-SUD"/>
    <s v="CARE France"/>
    <s v="Government"/>
    <s v="ECHO - European Commission for Humanitarian Aid and Civil Protection"/>
    <s v="ECHO"/>
    <m/>
    <m/>
    <m/>
    <m/>
    <m/>
    <m/>
    <m/>
    <m/>
    <m/>
    <m/>
    <m/>
    <m/>
    <m/>
    <m/>
    <m/>
    <m/>
    <m/>
    <m/>
    <m/>
    <m/>
    <m/>
    <m/>
    <m/>
    <m/>
    <m/>
    <m/>
    <m/>
    <m/>
    <m/>
    <m/>
    <m/>
    <m/>
    <m/>
    <m/>
    <m/>
    <m/>
    <m/>
    <m/>
    <m/>
    <m/>
    <m/>
    <m/>
    <m/>
    <m/>
    <m/>
    <d v="2016-09-01T00:00:00"/>
    <d v="2017-11-30T00:00:00"/>
    <m/>
    <s v="Humanitarian Food &amp; Nutrition Security and Resilience to Climate Change"/>
    <n v="1404000"/>
    <s v="HARITIANA Randrianarisoa"/>
    <s v="Specialiste en Resilience Humanitaire"/>
    <s v="Haritiana.Randrianarisoa@care.org"/>
    <s v="RAZAFINDRIAKA Mamy Hary Tiana"/>
    <s v="Coordinateur Technique"/>
    <s v="Mamy.Razafindriaka@care.org"/>
    <s v="YES"/>
    <s v="NO"/>
    <s v="NO"/>
    <s v="Accélérer le rétablissement et renforcer les capacités de résilience des communautés les plus vulnérables affectées par les chocs climatiques"/>
    <s v="Sub-National"/>
    <s v="Pays Madagascar. Region Androy. District Ambovombe. Commune Analamary, Ambazoa, Erada, Ambonaivo, Ambondro, Ambanisarika, Tsimananada"/>
    <s v="Ménages dirigés par des femmes, - Ménages avec le plus grand nombre de personnes à charge, avec une préférence pour les enfants de moins de cinq ans et plus âgés et les personnes en situation de handicap, - Femmes enceintes ou allaitantes, et femmes sans accès à la terre."/>
    <n v="2220"/>
    <n v="1480"/>
    <n v="3700"/>
    <n v="11100"/>
    <n v="7400"/>
    <n v="18500"/>
    <s v="Participant Direct: Menages vulnerables touchés par la crise dont 60% de Femmes et 40% Hommes,. Participant Indirect : Les Membres des menages beneficiaires vulnerables dont 60% Femmes et 40% Hommes"/>
    <m/>
    <n v="2052"/>
    <n v="1697"/>
    <n v="3749"/>
    <n v="12390"/>
    <n v="12460"/>
    <n v="24850"/>
    <s v="NO"/>
    <m/>
    <m/>
    <m/>
    <s v="YES"/>
    <n v="3700"/>
    <n v="0.55000000000000004"/>
    <n v="24649"/>
    <s v="NO"/>
    <m/>
    <m/>
    <m/>
    <s v="YES"/>
    <n v="1000"/>
    <n v="0.6"/>
    <n v="7003"/>
    <s v="NO"/>
    <m/>
    <m/>
    <m/>
    <s v="NO"/>
    <m/>
    <m/>
    <m/>
    <s v="NO"/>
    <m/>
    <m/>
    <m/>
    <s v="NO"/>
    <m/>
    <m/>
    <m/>
    <s v="NO"/>
    <m/>
    <m/>
    <m/>
    <s v="NO"/>
    <m/>
    <m/>
    <m/>
    <s v="NO"/>
    <m/>
    <m/>
    <m/>
    <s v="YES"/>
    <n v="211"/>
    <n v="0.45"/>
    <n v="1695"/>
    <m/>
    <m/>
    <m/>
    <m/>
    <m/>
    <m/>
    <m/>
    <m/>
    <m/>
    <m/>
    <m/>
    <m/>
    <m/>
    <m/>
    <m/>
    <m/>
    <m/>
    <m/>
    <m/>
    <m/>
    <m/>
    <m/>
    <m/>
    <m/>
    <m/>
    <m/>
    <m/>
    <m/>
    <m/>
    <m/>
    <m/>
    <m/>
    <m/>
    <m/>
    <m/>
    <m/>
    <m/>
    <m/>
    <m/>
    <m/>
    <m/>
    <m/>
    <m/>
    <m/>
    <m/>
    <m/>
    <m/>
    <m/>
    <m/>
    <m/>
    <m/>
    <m/>
    <m/>
    <m/>
    <m/>
    <m/>
    <m/>
    <m/>
    <m/>
    <m/>
    <m/>
    <m/>
    <m/>
    <m/>
    <m/>
    <m/>
    <m/>
    <m/>
    <m/>
    <m/>
    <m/>
    <m/>
    <m/>
    <m/>
    <m/>
    <m/>
    <m/>
    <m/>
    <m/>
    <m/>
    <s v="YES"/>
    <s v="September"/>
    <n v="2016"/>
    <s v="YES"/>
    <s v="YES"/>
    <s v="November"/>
    <n v="2017"/>
    <s v="Collecter toutes des informations des indicateurs d'effet et impacts du projet"/>
    <x v="1"/>
    <s v="NO"/>
    <s v="NO"/>
    <s v="YES"/>
    <s v="NO"/>
    <s v="YES"/>
    <s v="YES"/>
    <s v="NO"/>
    <s v="NO"/>
    <m/>
    <x v="1"/>
    <s v="Partenariat avec les secteurs privées(Bush proof) pour amelioré la qualité de travaux"/>
    <x v="1"/>
    <m/>
    <x v="0"/>
    <x v="0"/>
    <s v="YES"/>
    <x v="0"/>
    <x v="0"/>
    <x v="0"/>
    <x v="0"/>
    <n v="4"/>
    <x v="1"/>
    <x v="1"/>
    <x v="1"/>
    <x v="2"/>
    <x v="1"/>
    <x v="1"/>
    <n v="3"/>
    <x v="1"/>
    <x v="1"/>
    <x v="1"/>
    <x v="2"/>
    <x v="3"/>
    <n v="2"/>
    <x v="3"/>
    <x v="0"/>
    <n v="1"/>
    <s v="Private sector"/>
    <s v="Local government(s)"/>
    <s v="Grassroots organization(s)"/>
    <x v="0"/>
    <s v="COGES et Groupement"/>
    <m/>
    <s v="Comités de Gestions des infrastructures"/>
    <s v="Champs Ecoles des Groupements"/>
    <s v="Comités de Gestions des l'eau ( CGE)"/>
    <s v="Réalisation de paiement porte à porte pour le cash inconditionnel et valorisation et insertion des femmes aux comités et groupement de lagriculture"/>
    <s v="La pratique de la technique améliorée comme les brises vent et Semi Direct pour les couvertures Vegetales(SDCV) et surtout les techniques favorables aux changements climatiques"/>
    <s v="Distribution du charrette pneumatiques et Futs pour transport de l'eau aux beneficiaires se traouvant loin des sources d'eau"/>
    <s v="Cash Transfert: Retard du demarrage du projet dès les debut, donc les deadline sur la periode de soudure ont été en retard. les processus des payements au mobile Money sont très long et lents; agricultures: l'appuies technique du groupement et la distribution des kits agricole et Semences ameliorée sont des activités liée aux changement climatiques dans la Regions Androy; Approvisionnement en Eau: La realisations des forages dans la region Androy n'ont pas de donnéés des resultats escomptée vu les caractéres geologiques du sol."/>
    <s v="Rapport Evaluation initiale du projet; Rapport intermediaire interne fin Aout 2017; Tableau de bord fin Aout 2017;"/>
    <n v="3749"/>
    <n v="24850"/>
    <n v="6.6284342491331021"/>
    <n v="0.54734595892237925"/>
    <n v="0.49859154929577465"/>
    <n v="2052"/>
    <n v="12390"/>
    <n v="1"/>
    <n v="3749"/>
    <n v="24850"/>
    <n v="6.6284342491331021"/>
    <n v="1"/>
    <n v="1000"/>
    <n v="7003"/>
    <n v="7.0030000000000001"/>
    <s v=""/>
    <n v="0"/>
    <n v="0"/>
    <s v=""/>
    <s v=""/>
    <n v="0"/>
    <n v="0"/>
    <s v=""/>
    <s v=""/>
    <n v="0"/>
    <n v="0"/>
    <s v=""/>
    <s v="2. Sensitive"/>
    <s v="2. Accommodating"/>
    <s v="1. Neutral"/>
    <s v="It tested new ways for fighting poverty, but did not measure results of innovation"/>
    <s v="Moderate advocacy"/>
    <s v="It linked and worked with strategic alliances and partners to take tested and effective solutions to scale"/>
  </r>
  <r>
    <x v="43"/>
    <x v="5"/>
    <m/>
    <s v="Southern Madagascar Drought Relief and Risk Reduction Program"/>
    <s v="Madagascar"/>
    <s v="AID-OFDA-G-16-00124"/>
    <s v="CARE France"/>
    <s v="Government"/>
    <s v="Government - US"/>
    <s v="OFDA"/>
    <m/>
    <m/>
    <m/>
    <m/>
    <m/>
    <m/>
    <m/>
    <m/>
    <m/>
    <m/>
    <m/>
    <m/>
    <m/>
    <m/>
    <m/>
    <m/>
    <m/>
    <m/>
    <m/>
    <m/>
    <m/>
    <m/>
    <m/>
    <m/>
    <m/>
    <m/>
    <m/>
    <m/>
    <m/>
    <m/>
    <m/>
    <m/>
    <m/>
    <m/>
    <m/>
    <m/>
    <m/>
    <m/>
    <m/>
    <m/>
    <m/>
    <m/>
    <m/>
    <m/>
    <m/>
    <d v="2016-07-15T00:00:00"/>
    <d v="2018-01-14T00:00:00"/>
    <m/>
    <s v="Humanitarian Food &amp; Nutrition Security and Resilience to Climate Change"/>
    <n v="1290122"/>
    <s v="HARITIANA Andrianarisoa"/>
    <s v="Specialiste en Résilience et Humanitaire"/>
    <s v="Haritiana.Randrianarisoa@care.org"/>
    <s v="ANDRY Nasolonanahary"/>
    <s v="Chef de Projet"/>
    <s v="Andry.Nasolonanahary@care.org"/>
    <s v="YES"/>
    <s v="NO"/>
    <s v="NO"/>
    <s v="Accélérer le redressement et renforcer la résilience des communautés dont les moyens de subsistance, la sécurité alimentaire et de la santé ont été affectés par la sécheresse"/>
    <s v="Sub-National"/>
    <s v="Pays Madagascar. Région Anosy et Androy. District Amboasary Sud et Ambovombe. Commune Amboasary Sud,Tanandava Sud, Sampona, Maroalomainty, Maroalopoty,Anjeky et Ambovombe"/>
    <s v="Ménage vulnérable touchés par la secheresse dans le district d'Amboasary et d'Ambovombe"/>
    <n v="25200"/>
    <n v="16800"/>
    <n v="42000"/>
    <n v="203989"/>
    <n v="135993"/>
    <n v="339982"/>
    <s v="Participants directs: Personnes vulnérables dont 60% des femmes. Participants indirects: Personnes affectées dans la zone cible"/>
    <m/>
    <n v="14117"/>
    <n v="13184"/>
    <n v="27301"/>
    <n v="128513"/>
    <n v="85676"/>
    <n v="214189"/>
    <s v="NO"/>
    <m/>
    <m/>
    <m/>
    <s v="YES"/>
    <n v="16330"/>
    <n v="0.54620000000000002"/>
    <n v="214189"/>
    <s v="NO"/>
    <m/>
    <m/>
    <m/>
    <s v="YES"/>
    <n v="11086"/>
    <n v="0.51659999999999995"/>
    <n v="214189"/>
    <s v="NO"/>
    <m/>
    <m/>
    <m/>
    <s v="NO"/>
    <m/>
    <m/>
    <m/>
    <s v="NO"/>
    <m/>
    <m/>
    <m/>
    <s v="Yes"/>
    <n v="13046"/>
    <n v="0.45"/>
    <n v="214189"/>
    <s v="NO"/>
    <m/>
    <m/>
    <m/>
    <s v="NO"/>
    <m/>
    <m/>
    <m/>
    <s v="NO"/>
    <m/>
    <m/>
    <m/>
    <s v="YES"/>
    <n v="13046"/>
    <n v="0.55969999999999998"/>
    <n v="78136"/>
    <m/>
    <m/>
    <m/>
    <m/>
    <m/>
    <m/>
    <m/>
    <m/>
    <m/>
    <m/>
    <m/>
    <m/>
    <m/>
    <m/>
    <m/>
    <m/>
    <m/>
    <m/>
    <m/>
    <m/>
    <m/>
    <m/>
    <m/>
    <m/>
    <m/>
    <m/>
    <m/>
    <m/>
    <m/>
    <m/>
    <m/>
    <m/>
    <m/>
    <m/>
    <m/>
    <m/>
    <m/>
    <m/>
    <m/>
    <m/>
    <m/>
    <m/>
    <m/>
    <m/>
    <m/>
    <m/>
    <m/>
    <m/>
    <m/>
    <m/>
    <m/>
    <m/>
    <m/>
    <m/>
    <m/>
    <m/>
    <m/>
    <m/>
    <m/>
    <m/>
    <m/>
    <m/>
    <m/>
    <m/>
    <m/>
    <m/>
    <m/>
    <m/>
    <m/>
    <m/>
    <m/>
    <m/>
    <m/>
    <m/>
    <m/>
    <m/>
    <m/>
    <m/>
    <m/>
    <m/>
    <s v="NO"/>
    <m/>
    <m/>
    <m/>
    <s v="YES"/>
    <s v="December"/>
    <m/>
    <s v="Collecter toutes les informations des indicateurs d'impact et effet"/>
    <x v="1"/>
    <s v="NO"/>
    <s v="NO"/>
    <s v="YES"/>
    <s v="YES"/>
    <s v="YES"/>
    <s v="YES"/>
    <s v="NO"/>
    <s v="NO"/>
    <m/>
    <x v="1"/>
    <s v="Partenariat avec secteur (BUSH PROOF) privé pour ameliorer la qualité de l'eau"/>
    <x v="3"/>
    <m/>
    <x v="0"/>
    <x v="0"/>
    <s v="YES"/>
    <x v="0"/>
    <x v="0"/>
    <x v="0"/>
    <x v="0"/>
    <n v="4"/>
    <x v="1"/>
    <x v="1"/>
    <x v="1"/>
    <x v="1"/>
    <x v="1"/>
    <x v="1"/>
    <n v="4"/>
    <x v="1"/>
    <x v="1"/>
    <x v="1"/>
    <x v="1"/>
    <x v="1"/>
    <n v="3"/>
    <x v="3"/>
    <x v="0"/>
    <n v="2"/>
    <s v="Private sector"/>
    <s v="Local government(s)"/>
    <s v="Grassroots organization(s)"/>
    <x v="0"/>
    <s v="Le projet travail etroitement avec les comités ou groupements qu'il a constitué et formé dans toutes les zones d'intervention afin de peréniser l'action du projet"/>
    <s v="L'objectif du projet n'a jamais changé"/>
    <s v="Implication des femmes dans tous les secteurs du projet surtout dans le secteur de microfinance"/>
    <s v="Duffision des techniques agricoles ameliorées à travers des champs écoles par les MAFA (Groupe des paysans agricoles)"/>
    <s v="Implication des acteurs locaux (AC, ACN, comités, etc) sur la sensibilisation des messages clés sur WASH"/>
    <s v="Mettre des points d'eau potable fonctionnels dans les districts d'Ambovombe et Amboasary Sud demande un grand défi, pourtant ce sont les zones d'ntevention de CARE."/>
    <s v="L'implication des communautés dans la prise de décision à travers la validation par assemblé générale est l'une des grandes leçons de cet exercice fiscal"/>
    <s v="L'utilisation de l'approche Do No Harm a permi le projet à detecter les points de connection et de division des communautés afin de mieu préparer aux interventions"/>
    <s v="Le projet travail avec les structures locales afin de mieu cerner les activités"/>
    <s v="Document de projet, cadre logique, rapport intermédiaire"/>
    <n v="27301"/>
    <n v="214189"/>
    <n v="7.8454635361342078"/>
    <n v="0.51708728617999344"/>
    <n v="0.59999813249046408"/>
    <n v="14117"/>
    <n v="128513"/>
    <n v="1"/>
    <n v="27301"/>
    <n v="214189"/>
    <n v="7.8454635361342078"/>
    <n v="1"/>
    <n v="13046"/>
    <n v="214189"/>
    <n v="16.417982523378814"/>
    <s v=""/>
    <n v="0"/>
    <n v="0"/>
    <s v=""/>
    <s v=""/>
    <n v="0"/>
    <n v="0"/>
    <s v=""/>
    <s v=""/>
    <n v="0"/>
    <n v="0"/>
    <s v=""/>
    <s v="2. Sensitive"/>
    <s v="2. Accommodating"/>
    <s v="2. Sensitive"/>
    <s v="It tested new ways for fighting poverty, but did not measure results of innovation"/>
    <s v="Moderate advocacy"/>
    <s v="It took tested solutions to scale on its own"/>
  </r>
  <r>
    <x v="43"/>
    <x v="5"/>
    <m/>
    <s v="Southern Madagascar Drought Relief and Risk Reduction Program"/>
    <s v="Madagascar"/>
    <s v="US1TR"/>
    <s v="CARE France"/>
    <s v="Government"/>
    <s v="Government - US"/>
    <s v="OFDA"/>
    <m/>
    <m/>
    <m/>
    <m/>
    <m/>
    <m/>
    <m/>
    <m/>
    <m/>
    <m/>
    <m/>
    <m/>
    <m/>
    <m/>
    <m/>
    <m/>
    <m/>
    <m/>
    <m/>
    <m/>
    <m/>
    <m/>
    <m/>
    <m/>
    <m/>
    <m/>
    <m/>
    <m/>
    <m/>
    <m/>
    <m/>
    <m/>
    <m/>
    <m/>
    <m/>
    <m/>
    <m/>
    <m/>
    <m/>
    <m/>
    <m/>
    <m/>
    <m/>
    <m/>
    <m/>
    <d v="2016-08-01T00:00:00"/>
    <d v="2017-07-31T00:00:00"/>
    <d v="2017-09-30T00:00:00"/>
    <s v="Humanitarian Food &amp; Nutrition Security and Resilience to Climate Change"/>
    <m/>
    <s v="HARITIANA Andrianarisoa"/>
    <s v="Specialiste en Résilience et Humanitaire"/>
    <s v="Haritiana.Randrianarisoa@care.org"/>
    <s v="ANDRY Nasolonanahary"/>
    <s v="Chef de Projet"/>
    <s v="Andry.Nasolonanahary@care.org"/>
    <s v="YES"/>
    <s v="NO"/>
    <s v="NO"/>
    <s v="Contribuer à l'amélioration de la sécurité alimentaire y compris la réhabilitation nutritionnelle"/>
    <s v="Sub-National"/>
    <s v="Pays Madagascar. Région Anosy. District Amboasary. Commune Behara, Ifotaka, Tranomaro et Ebelo"/>
    <s v="Ménage vulnérable"/>
    <n v="1464"/>
    <n v="976"/>
    <n v="2440"/>
    <n v="7320"/>
    <n v="4880"/>
    <n v="12200"/>
    <s v="bénéficiaires directs: Ménages vulnérables bénéficiaires des activités de VCT (440 ménages) et nombre de ménages ayant des enfants MAM et MAS (2000 mnéages). bénéficiaires indirects: les Membres des ménages bénéficiaires directs"/>
    <m/>
    <n v="1174"/>
    <n v="737"/>
    <n v="1911"/>
    <n v="5870"/>
    <n v="3685"/>
    <n v="9555"/>
    <s v="NO"/>
    <m/>
    <m/>
    <m/>
    <s v="NO"/>
    <m/>
    <m/>
    <m/>
    <s v="NO"/>
    <m/>
    <m/>
    <m/>
    <s v="YES"/>
    <n v="1911"/>
    <n v="0.55479999999999996"/>
    <m/>
    <s v="NO"/>
    <m/>
    <m/>
    <m/>
    <s v="NO"/>
    <m/>
    <m/>
    <m/>
    <s v="NO"/>
    <m/>
    <m/>
    <m/>
    <s v="NO"/>
    <m/>
    <m/>
    <m/>
    <s v="NO"/>
    <m/>
    <m/>
    <m/>
    <s v="NO"/>
    <m/>
    <m/>
    <m/>
    <s v="NO"/>
    <m/>
    <m/>
    <m/>
    <s v="NO"/>
    <m/>
    <m/>
    <m/>
    <m/>
    <m/>
    <m/>
    <m/>
    <m/>
    <m/>
    <m/>
    <m/>
    <m/>
    <m/>
    <m/>
    <m/>
    <m/>
    <m/>
    <m/>
    <m/>
    <m/>
    <m/>
    <m/>
    <m/>
    <m/>
    <m/>
    <m/>
    <m/>
    <m/>
    <m/>
    <m/>
    <m/>
    <m/>
    <m/>
    <m/>
    <m/>
    <m/>
    <m/>
    <m/>
    <m/>
    <m/>
    <m/>
    <m/>
    <m/>
    <m/>
    <m/>
    <m/>
    <m/>
    <m/>
    <m/>
    <m/>
    <m/>
    <m/>
    <m/>
    <m/>
    <m/>
    <m/>
    <m/>
    <m/>
    <m/>
    <m/>
    <m/>
    <m/>
    <m/>
    <m/>
    <m/>
    <m/>
    <m/>
    <m/>
    <m/>
    <m/>
    <m/>
    <m/>
    <m/>
    <m/>
    <m/>
    <m/>
    <m/>
    <m/>
    <m/>
    <m/>
    <m/>
    <m/>
    <m/>
    <s v="YES"/>
    <s v="October"/>
    <n v="2016"/>
    <s v="YES"/>
    <s v="YES"/>
    <s v="September"/>
    <n v="2017"/>
    <s v="Collecter toutes les informations des indicateurs d'impact et effet"/>
    <x v="1"/>
    <s v="NO"/>
    <s v="NO"/>
    <s v="YES"/>
    <s v="YES"/>
    <s v="YES"/>
    <m/>
    <s v="NO"/>
    <s v="NO"/>
    <m/>
    <x v="1"/>
    <m/>
    <x v="3"/>
    <m/>
    <x v="0"/>
    <x v="0"/>
    <s v="YES"/>
    <x v="0"/>
    <x v="0"/>
    <x v="0"/>
    <x v="0"/>
    <n v="4"/>
    <x v="1"/>
    <x v="1"/>
    <x v="1"/>
    <x v="1"/>
    <x v="1"/>
    <x v="1"/>
    <n v="4"/>
    <x v="1"/>
    <x v="1"/>
    <x v="1"/>
    <x v="1"/>
    <x v="1"/>
    <n v="3"/>
    <x v="3"/>
    <x v="1"/>
    <m/>
    <m/>
    <m/>
    <m/>
    <x v="0"/>
    <s v="COGES, groupement"/>
    <s v="Une prolongation pour deux (02) mois (Août et septembre)"/>
    <s v="Mise place des boîtes à doléance"/>
    <s v="Carte de score communautaire"/>
    <s v="Planification communautaire (entretien des ifrastructures mis en place)"/>
    <s v="Implication des femmes dans tous les domaines d'intervetion du projet"/>
    <s v="Renforcement de capacité des structures locale (Comité de plainte, comité de gestion des infrastructures, AC, etc.) en matière de gestion de conflit, leadership, entretien et gestion des infrastructures"/>
    <s v="La bonne coordination avec les autres intervenants est parmis notre défi à l'avenir"/>
    <s v="La réalisation des activités du projet est toujours en collaboration avec les structures locales pour avoir plus d'impact au niveau de la communauté"/>
    <s v="Tableau de bord fin mois d'août 2017, rapport trimestriel,"/>
    <n v="1911"/>
    <n v="9555"/>
    <n v="5"/>
    <n v="0.61433804290947147"/>
    <n v="0.61433804290947147"/>
    <n v="1174"/>
    <n v="5870"/>
    <n v="1"/>
    <n v="1911"/>
    <n v="9555"/>
    <n v="5"/>
    <n v="1"/>
    <n v="1911"/>
    <n v="0"/>
    <n v="0"/>
    <s v=""/>
    <n v="0"/>
    <n v="0"/>
    <s v=""/>
    <s v=""/>
    <n v="0"/>
    <n v="0"/>
    <s v=""/>
    <s v=""/>
    <n v="0"/>
    <n v="0"/>
    <s v=""/>
    <s v="2. Sensitive"/>
    <s v="2. Accommodating"/>
    <s v="2. Sensitive"/>
    <s v="It tested new ways for fighting poverty, but did not measure results of innovation"/>
    <s v="Moderate advocacy"/>
    <s v="It took tested solutions to scale on its own"/>
  </r>
  <r>
    <x v="43"/>
    <x v="5"/>
    <n v="3110"/>
    <s v="VELONTEGNA"/>
    <s v="Madagascar"/>
    <s v="DE649"/>
    <s v="CARE Deutschland-Luxemburg"/>
    <s v="Government"/>
    <s v="Government - Germany"/>
    <s v="BMZ"/>
    <m/>
    <m/>
    <m/>
    <m/>
    <m/>
    <m/>
    <m/>
    <m/>
    <m/>
    <m/>
    <m/>
    <m/>
    <m/>
    <m/>
    <m/>
    <m/>
    <m/>
    <m/>
    <m/>
    <m/>
    <m/>
    <m/>
    <m/>
    <m/>
    <m/>
    <m/>
    <m/>
    <m/>
    <m/>
    <m/>
    <m/>
    <m/>
    <m/>
    <m/>
    <m/>
    <m/>
    <m/>
    <m/>
    <m/>
    <m/>
    <m/>
    <m/>
    <m/>
    <m/>
    <m/>
    <d v="2015-06-01T00:00:00"/>
    <d v="2018-05-31T00:00:00"/>
    <m/>
    <s v="Development Food &amp; Nutrition Security and Resilience to Climate Change"/>
    <n v="2917980"/>
    <s v="Haingo RAJAOBELISON"/>
    <s v="SPECIALISTE SECURITE ALIMENTAIRE ET CHANGEMENT CLIMATIQUE"/>
    <s v="Haingo.Rajaobelison@care.org"/>
    <s v="TOVONTSOA ANDRIAMAROJAONA"/>
    <s v="CHEF DE PROJET"/>
    <s v="Tovo.Andriamarojaona@care.org"/>
    <s v="NO"/>
    <s v="YES"/>
    <s v="NO"/>
    <s v="A la fin du projet (fin mai 2018), 85 000 personnes (17 000 ménages) de 6 communes les plus vulnérables face aux changements climatiques des deux districts : Toamasina II et Brickaville de la Région d'Antsinanana, Madagascar auront amélioré de façon durable leur sécurité alimentaire. Ce chiffre comprend environ 21 970 femmes et filles âgées de 15 à 49 ans et au moins  4 000 femmes chefs de ménage."/>
    <s v="Sub-National"/>
    <s v="PAYS: MADAGASCAR. REGION: ATSINANANA. DISTRICTS: BRICLAVILLE ET TAMATAVE II. COMMUNES: AMBINANINONY, AMBODITANDROROHO, AMPASIMADINIKA, FANANDRANA, SUBURBAINE, ANTETEZAMBARO"/>
    <s v="85 000 personnes vulnérables face aux changements climatiques, souffrant d'insécurité alimentaire (environ 17 000 ménages) vivant dans les communautés rurales, et pratiquant l'agriculture de subsistance. 21 970 femmes et filles âgées entre 15 et 49 ans  et au moins 4 000 femmes chefs de ménage"/>
    <n v="21970"/>
    <n v="63030"/>
    <n v="85000"/>
    <n v="47740"/>
    <n v="48618"/>
    <n v="96358"/>
    <s v="Les participants directs: le nombre de personnes ciblées par le projet pendant les 3 années de msie en oeuvre au niveau des Districts et communes d'intervention. Participants Indirects: la population totale de la zone d'intervention du projet"/>
    <m/>
    <m/>
    <m/>
    <m/>
    <m/>
    <m/>
    <m/>
    <m/>
    <m/>
    <m/>
    <m/>
    <m/>
    <m/>
    <m/>
    <m/>
    <m/>
    <m/>
    <m/>
    <m/>
    <m/>
    <m/>
    <m/>
    <m/>
    <m/>
    <m/>
    <m/>
    <m/>
    <m/>
    <m/>
    <m/>
    <m/>
    <m/>
    <m/>
    <m/>
    <m/>
    <m/>
    <m/>
    <m/>
    <m/>
    <m/>
    <m/>
    <m/>
    <m/>
    <m/>
    <m/>
    <m/>
    <m/>
    <m/>
    <m/>
    <m/>
    <m/>
    <m/>
    <m/>
    <m/>
    <m/>
    <m/>
    <m/>
    <m/>
    <m/>
    <m/>
    <n v="9040"/>
    <n v="55965"/>
    <n v="65005"/>
    <n v="36283"/>
    <n v="36949"/>
    <n v="73232"/>
    <s v="YES"/>
    <n v="65005"/>
    <n v="0.13900000000000001"/>
    <n v="68000"/>
    <s v="YES"/>
    <n v="65005"/>
    <n v="0.13900000000000001"/>
    <n v="68000"/>
    <s v="NO"/>
    <m/>
    <m/>
    <m/>
    <s v="YES"/>
    <n v="242"/>
    <n v="0.18179999999999999"/>
    <n v="68000"/>
    <s v="NO"/>
    <m/>
    <m/>
    <m/>
    <s v="NO"/>
    <m/>
    <m/>
    <m/>
    <s v="YES"/>
    <n v="34340"/>
    <n v="0.248"/>
    <n v="68000"/>
    <s v="NO"/>
    <m/>
    <m/>
    <m/>
    <s v="YES"/>
    <n v="4234"/>
    <n v="0.62339999999999995"/>
    <n v="96358"/>
    <s v="NO"/>
    <m/>
    <m/>
    <m/>
    <s v="YES"/>
    <n v="125"/>
    <n v="0.224"/>
    <m/>
    <s v="YES"/>
    <n v="7388"/>
    <n v="0.39950000000000002"/>
    <n v="68000"/>
    <s v="YES"/>
    <n v="4234"/>
    <n v="0.62339999999999995"/>
    <n v="96358"/>
    <s v="NO"/>
    <m/>
    <m/>
    <m/>
    <s v="NO"/>
    <m/>
    <m/>
    <m/>
    <s v="YES"/>
    <n v="3502"/>
    <n v="0.6804"/>
    <n v="34000"/>
    <m/>
    <s v="NO"/>
    <m/>
    <m/>
    <m/>
    <s v="YES"/>
    <s v="July"/>
    <n v="2017"/>
    <s v="YES"/>
    <s v="YES"/>
    <s v="May"/>
    <n v="2018"/>
    <s v="Evaluation finale: collecte de toutes les informations relatives aux indicateurs d'effet et d'impacten comparaison avec la situation initiale"/>
    <x v="1"/>
    <m/>
    <m/>
    <s v="YES"/>
    <s v="YES"/>
    <m/>
    <s v="YES"/>
    <s v="YES"/>
    <m/>
    <m/>
    <x v="1"/>
    <s v="CSC, MASCULINITE POSITIVE"/>
    <x v="3"/>
    <m/>
    <x v="0"/>
    <x v="0"/>
    <s v="YES"/>
    <x v="0"/>
    <x v="0"/>
    <x v="0"/>
    <x v="0"/>
    <n v="4"/>
    <x v="1"/>
    <x v="1"/>
    <x v="1"/>
    <x v="1"/>
    <x v="1"/>
    <x v="1"/>
    <n v="4"/>
    <x v="1"/>
    <x v="1"/>
    <x v="1"/>
    <x v="1"/>
    <x v="1"/>
    <n v="3"/>
    <x v="3"/>
    <x v="3"/>
    <n v="3"/>
    <s v="Local NGO(s)/CSO(s)"/>
    <s v="Local government(s)"/>
    <s v="University/research institution(s)"/>
    <x v="2"/>
    <s v="Participations de toutes les entités existantes (Opérateurs, leader des associations locales, leader confesionnels, les autorité traditionnelles) lors des prises de décisions au niveau communautaire"/>
    <s v="Amélioration du système de suivi évaluation suivant les normes et exigences des Projets de CARE en matière d'impact"/>
    <s v="CEP (Champ Ecole Paysan)"/>
    <s v="VSLA"/>
    <s v="CSC (Community Score Card)"/>
    <s v="Intensification des appuis au développement des filières"/>
    <s v="Linkage VSLA and mùobile money"/>
    <s v="Renforcement des collaborations avec les autorités locales et les services déconcentrés en lien avec la sécurité alimentaire"/>
    <m/>
    <s v="Evaluation à mi parcours. Rapport intermédiaire N°1. Tableau de bord mois de juin"/>
    <n v="65005"/>
    <n v="73232"/>
    <n v="1.126559495423429"/>
    <n v="0.13906622567494809"/>
    <n v="0.49545280751584009"/>
    <n v="9040"/>
    <n v="36283"/>
    <s v=""/>
    <n v="0"/>
    <n v="0"/>
    <s v=""/>
    <n v="1"/>
    <n v="65005"/>
    <n v="68000"/>
    <n v="1.0460733789708483"/>
    <s v=""/>
    <n v="0"/>
    <n v="0"/>
    <s v=""/>
    <s v=""/>
    <n v="0"/>
    <n v="0"/>
    <s v=""/>
    <n v="1"/>
    <n v="3502"/>
    <n v="34000"/>
    <n v="9.7087378640776691"/>
    <s v="2. Sensitive"/>
    <s v="2. Accommodating"/>
    <s v="2. Sensitive"/>
    <s v="It tested new ways for fighting poverty, but did not measure results of innovation"/>
    <s v="Moderate advocacy"/>
    <s v="It took tested solutions to scale on its own"/>
  </r>
  <r>
    <x v="44"/>
    <x v="5"/>
    <m/>
    <s v="2017 Malawi Floods Response"/>
    <s v="Malawi"/>
    <s v="PID: CCHEMW0002; FC: CH0001"/>
    <s v="CI Secretariat"/>
    <s v="Other"/>
    <s v="Other"/>
    <s v="CARE Inernational"/>
    <m/>
    <m/>
    <m/>
    <m/>
    <m/>
    <m/>
    <m/>
    <m/>
    <m/>
    <m/>
    <m/>
    <m/>
    <m/>
    <m/>
    <m/>
    <m/>
    <m/>
    <m/>
    <m/>
    <m/>
    <m/>
    <m/>
    <m/>
    <m/>
    <m/>
    <m/>
    <m/>
    <m/>
    <m/>
    <m/>
    <m/>
    <m/>
    <m/>
    <m/>
    <m/>
    <m/>
    <m/>
    <m/>
    <m/>
    <m/>
    <m/>
    <m/>
    <m/>
    <m/>
    <m/>
    <d v="2017-03-16T00:00:00"/>
    <d v="2017-06-15T00:00:00"/>
    <m/>
    <s v="Humanitarian Other"/>
    <n v="40000"/>
    <s v="Jessica Swart"/>
    <s v="Emergency Team Leader"/>
    <s v="jessica.swart@care.org"/>
    <s v="Andrew Khumalo"/>
    <s v="Project Manager"/>
    <s v="andrew.khumalo@care.org"/>
    <s v="YES"/>
    <s v="NO"/>
    <s v="NO"/>
    <s v="Enable the most vulnerable flood-affected households to meet their basic needs and recover from the disaster"/>
    <s v="Sub-National"/>
    <s v="The project was located in Traditional Authorities Pemba and Ndindi in Salima District in the Central Region of Malawi"/>
    <s v="Vulnerable households affected by floods"/>
    <n v="1032"/>
    <n v="1010"/>
    <n v="2042"/>
    <m/>
    <m/>
    <m/>
    <s v="The direct recipients include all members of the households that received shelter support. Although only one member per household was directly targeted to collect the shelter materials, all household members directly benefited from the shelters."/>
    <m/>
    <n v="1032"/>
    <n v="1010"/>
    <n v="2042"/>
    <n v="879"/>
    <n v="811"/>
    <n v="1690"/>
    <s v="NO"/>
    <m/>
    <m/>
    <m/>
    <s v="NO"/>
    <m/>
    <m/>
    <m/>
    <s v="NO"/>
    <m/>
    <m/>
    <m/>
    <s v="NO"/>
    <m/>
    <m/>
    <m/>
    <s v="YES"/>
    <n v="2042"/>
    <n v="0.52"/>
    <n v="1690"/>
    <s v="NO"/>
    <m/>
    <m/>
    <m/>
    <s v="NO"/>
    <m/>
    <m/>
    <m/>
    <s v="NO"/>
    <m/>
    <m/>
    <m/>
    <s v="YES"/>
    <n v="350"/>
    <n v="0.71"/>
    <n v="1690"/>
    <s v="NO"/>
    <m/>
    <m/>
    <m/>
    <s v="YES"/>
    <n v="2042"/>
    <n v="0.51600000000000001"/>
    <m/>
    <s v="NO"/>
    <m/>
    <m/>
    <m/>
    <m/>
    <s v="NO"/>
    <m/>
    <m/>
    <m/>
    <m/>
    <m/>
    <m/>
    <m/>
    <m/>
    <m/>
    <m/>
    <m/>
    <m/>
    <m/>
    <m/>
    <m/>
    <m/>
    <m/>
    <m/>
    <m/>
    <m/>
    <m/>
    <m/>
    <m/>
    <m/>
    <m/>
    <m/>
    <m/>
    <m/>
    <m/>
    <m/>
    <m/>
    <m/>
    <m/>
    <m/>
    <m/>
    <m/>
    <m/>
    <m/>
    <m/>
    <m/>
    <m/>
    <m/>
    <m/>
    <m/>
    <m/>
    <m/>
    <m/>
    <m/>
    <m/>
    <m/>
    <m/>
    <m/>
    <m/>
    <m/>
    <m/>
    <m/>
    <m/>
    <m/>
    <m/>
    <m/>
    <m/>
    <m/>
    <m/>
    <m/>
    <m/>
    <m/>
    <m/>
    <m/>
    <m/>
    <m/>
    <m/>
    <m/>
    <m/>
    <m/>
    <m/>
    <m/>
    <m/>
    <m/>
    <s v="NO"/>
    <m/>
    <m/>
    <s v="NO"/>
    <s v="NO"/>
    <m/>
    <m/>
    <s v="Since this was a short-term project where most of them were output indicators were easy to measure without a baseline (e.g. # of households receiving shelter support) CARE relied on its post-disaster assessment to understand the baseline situation, and monitoring data to measure progress against indicators. The project also conducted a rapid mainly qualitative exercise at the end of the project to contextualize some of the monitoring findings, but it was not formal in nature."/>
    <x v="0"/>
    <s v="NO"/>
    <s v="NO"/>
    <s v="NO"/>
    <s v="NO"/>
    <s v="NO"/>
    <s v="NO"/>
    <s v="NO"/>
    <s v="NO"/>
    <m/>
    <x v="0"/>
    <m/>
    <x v="0"/>
    <m/>
    <x v="1"/>
    <x v="0"/>
    <s v="YES"/>
    <x v="0"/>
    <x v="0"/>
    <x v="0"/>
    <x v="0"/>
    <n v="4"/>
    <x v="1"/>
    <x v="1"/>
    <x v="2"/>
    <x v="1"/>
    <x v="1"/>
    <x v="1"/>
    <n v="3"/>
    <x v="1"/>
    <x v="1"/>
    <x v="1"/>
    <x v="2"/>
    <x v="3"/>
    <n v="2"/>
    <x v="2"/>
    <x v="1"/>
    <m/>
    <m/>
    <m/>
    <m/>
    <x v="1"/>
    <m/>
    <s v="No adjustments were made as a result of reflections processes undertaken by the project"/>
    <s v="Consulting the community on the proposed design of the shelter (men and women separately) was useful in ensuring that it was responsive to everyone's needs"/>
    <s v="Training the Village Civil Protection Committees in shelter construction, including Building Back Better techniques, was a good strategy to ensure sustainability"/>
    <m/>
    <s v="CARE Malawi needs to have multiple suppliers for key relief items as prequalified vendors in the system. It was a challenge when one supplier was awarded the contract for blue gum poles, but then couldn't deliver. It took a long time to find additional suppliers and award new contracts."/>
    <s v="The project should have engaged more closely with the district government on the issue of relocation to upland (safer) areas. Staff relied on local leaders to negotiate this move, but then it did not go through and valuable time was lost, and communities were not able to relocate to safer areas."/>
    <m/>
    <m/>
    <m/>
    <n v="2042"/>
    <n v="1690"/>
    <n v="0.82761998041136142"/>
    <n v="0.5053868756121449"/>
    <n v="0.52011834319526629"/>
    <n v="1032"/>
    <n v="879"/>
    <n v="1"/>
    <n v="2042"/>
    <n v="1690"/>
    <n v="0.82761998041136142"/>
    <s v=""/>
    <n v="0"/>
    <n v="0"/>
    <s v=""/>
    <s v=""/>
    <n v="0"/>
    <n v="0"/>
    <s v=""/>
    <n v="1"/>
    <n v="2042"/>
    <n v="1690"/>
    <n v="0.82761998041136142"/>
    <s v=""/>
    <n v="0"/>
    <n v="0"/>
    <s v=""/>
    <s v="2. Sensitive"/>
    <s v="2. Accommodating"/>
    <s v="1. Neutral"/>
    <s v="It did not develop any specific innovation"/>
    <s v="Little or no advocacy"/>
    <s v="It did not take tested solutions to scale"/>
  </r>
  <r>
    <x v="44"/>
    <x v="5"/>
    <n v="3128"/>
    <s v="Community Engagement- PMTCT Model"/>
    <s v="Malawi"/>
    <s v="PID: EGPAMW 0003, FC: US1YJ"/>
    <s v="CARE USA"/>
    <s v="Government"/>
    <s v="Government - US"/>
    <s v="CDC"/>
    <m/>
    <m/>
    <m/>
    <m/>
    <m/>
    <m/>
    <m/>
    <m/>
    <m/>
    <m/>
    <m/>
    <m/>
    <m/>
    <m/>
    <m/>
    <m/>
    <m/>
    <m/>
    <m/>
    <m/>
    <m/>
    <m/>
    <m/>
    <m/>
    <m/>
    <m/>
    <m/>
    <m/>
    <m/>
    <m/>
    <m/>
    <m/>
    <m/>
    <m/>
    <m/>
    <m/>
    <m/>
    <m/>
    <m/>
    <m/>
    <m/>
    <m/>
    <m/>
    <m/>
    <m/>
    <d v="2017-04-01T00:00:00"/>
    <d v="2018-03-31T00:00:00"/>
    <d v="2019-03-31T00:00:00"/>
    <s v="Development Sexual, Reproductive and Maternal Health (SRMH)"/>
    <n v="80000"/>
    <s v="Joviter Mwaulemu"/>
    <s v="Project Manager"/>
    <s v="joviter.mwaulemu@care.org"/>
    <s v="Thumbiko Msiska"/>
    <s v="CSC Technical Director"/>
    <s v="thumbiko.msiska@care.org"/>
    <s v="NO"/>
    <s v="YES"/>
    <s v="NO"/>
    <s v="The aim is to adapt the Community Scorecard(CSC) to Prevention of Mother to Child Transmission of HIV(PMTCT) settings across 11 sites in two priority PEPFAR scale up districts in Malawi and evaluate this adaptation of the CSC to measure change in PMTCT services and to estimate the cost and cost-effectiveness of implementation of CSC. The hypothesis is that the adaption and implementation of the CSC within PMTCT settings will result in improved clinical outcomes for HIV-infected pregnant/breastfeeding women and their families by strengthening community engagement in HIV service delivery thereby improving ART retention among HIV positive women and increased early infant diagnosis of HIV."/>
    <s v="Sub-National"/>
    <s v="The project will be implemented in two districts of Ntcheu and Dedza. In Ntcheu it will be implemented in 7 Health Facilities (Kasinje, Bwanje, Nsiyaludzu, Bilira, Senzani, Nsipe and Ntcheu District Hospital while in Dedza it will be implemented in 4 Health Facilities (Golomoti, Kasina, Mayani and Dedza District Hospital)"/>
    <s v="The main impact group of the project are pregrant and breastfeeding HIV positive women and the exposed infants born to HIV positive women."/>
    <n v="2535"/>
    <n v="900"/>
    <n v="3435"/>
    <n v="5105"/>
    <n v="1800"/>
    <n v="6905"/>
    <s v="The target population (HIV-positive women) and recruitment approach (CBOs and facility-based) differs from the traditional CSC approach, there is uncertainty around the numbers of women who will wish to participate in the CSC process due to potential concerns around discussing their HIV-related issues. However, based on CARE’s previous experience with the CSC in Malawi and the estimates of newly initiatied HIV-positive women at each health facility, we estimate that there will be between 20-50 women per CSC score card meeting with the community.If the number of participants in the community-based meetings becomes very large, to the point where discussion and scoring becomes difficult, sub-groups can be created for ease of facilitation. For the CSC score card meetings with the HCWs, the size of the meetings will depend on the total number of staff at the facility whose scope of work supports services for HIV-infected pregnant and breastfeeding women."/>
    <m/>
    <m/>
    <m/>
    <m/>
    <m/>
    <m/>
    <m/>
    <m/>
    <m/>
    <m/>
    <m/>
    <m/>
    <m/>
    <m/>
    <m/>
    <m/>
    <m/>
    <m/>
    <m/>
    <m/>
    <m/>
    <m/>
    <m/>
    <m/>
    <m/>
    <m/>
    <m/>
    <m/>
    <m/>
    <m/>
    <m/>
    <m/>
    <m/>
    <m/>
    <m/>
    <m/>
    <m/>
    <m/>
    <m/>
    <m/>
    <m/>
    <m/>
    <m/>
    <m/>
    <m/>
    <m/>
    <m/>
    <m/>
    <m/>
    <m/>
    <m/>
    <m/>
    <m/>
    <m/>
    <m/>
    <m/>
    <m/>
    <m/>
    <m/>
    <m/>
    <m/>
    <m/>
    <m/>
    <m/>
    <m/>
    <m/>
    <s v="NO"/>
    <m/>
    <m/>
    <m/>
    <s v="NO"/>
    <m/>
    <m/>
    <m/>
    <s v="NO"/>
    <m/>
    <m/>
    <m/>
    <s v="NO"/>
    <m/>
    <m/>
    <m/>
    <s v="NO"/>
    <m/>
    <m/>
    <m/>
    <s v="NO"/>
    <m/>
    <m/>
    <m/>
    <s v="NO"/>
    <m/>
    <m/>
    <m/>
    <s v="NO"/>
    <m/>
    <m/>
    <m/>
    <s v="NO"/>
    <m/>
    <m/>
    <m/>
    <s v="NO"/>
    <m/>
    <m/>
    <m/>
    <s v="NO"/>
    <m/>
    <m/>
    <m/>
    <s v="NO"/>
    <m/>
    <m/>
    <m/>
    <s v="NO"/>
    <m/>
    <m/>
    <m/>
    <s v="NO"/>
    <m/>
    <m/>
    <m/>
    <s v="NO"/>
    <m/>
    <m/>
    <m/>
    <s v="NO"/>
    <m/>
    <m/>
    <m/>
    <m/>
    <s v="NO"/>
    <m/>
    <m/>
    <m/>
    <s v="NO"/>
    <m/>
    <m/>
    <s v="YES"/>
    <s v="YES"/>
    <s v="March"/>
    <n v="2018"/>
    <s v="The evaluation of the adapted CSC intervention will include six components, each of which is described in detail below: (1.) Pre/post evaluation of routine program data on EID service uptake, early PMTCT retention, and early ART retention (2). Costing analysis and cost effectiveness evaluation, (3). Pre/post brief key informant facility survey with newly-diagnosed HIV-infected pregnant and breastfeeding women (4.) Pre/post key informant community survey and focus group discussion with all HIV-infected pregnant and breastfeeding women (newly-diagnosed and known HIV-infected (5).  Pre/post key informant collective action survey and FGDs with HCWs at the beginning and again at the end of the implementation of the CSC, (6) . Review of the CSC for PMTCT intervention score card data."/>
    <x v="0"/>
    <s v="NO"/>
    <s v="NO"/>
    <s v="YES"/>
    <s v="YES"/>
    <s v="NO"/>
    <s v="NO"/>
    <s v="NO"/>
    <s v="NO"/>
    <m/>
    <x v="0"/>
    <m/>
    <x v="0"/>
    <m/>
    <x v="2"/>
    <x v="0"/>
    <s v="YES"/>
    <x v="0"/>
    <x v="1"/>
    <x v="0"/>
    <x v="1"/>
    <n v="3"/>
    <x v="1"/>
    <x v="1"/>
    <x v="1"/>
    <x v="1"/>
    <x v="2"/>
    <x v="1"/>
    <n v="3"/>
    <x v="2"/>
    <x v="2"/>
    <x v="2"/>
    <x v="2"/>
    <x v="2"/>
    <n v="0"/>
    <x v="2"/>
    <x v="1"/>
    <m/>
    <m/>
    <m/>
    <m/>
    <x v="1"/>
    <m/>
    <m/>
    <m/>
    <m/>
    <m/>
    <m/>
    <m/>
    <m/>
    <m/>
    <s v="The project has not yet started implementation. In FY 17 the project developed it's protocol and had been processing ethical approval both in Malawi and USA"/>
    <n v="0"/>
    <n v="0"/>
    <s v=""/>
    <s v=""/>
    <s v=""/>
    <n v="0"/>
    <n v="0"/>
    <s v=""/>
    <n v="0"/>
    <n v="0"/>
    <s v=""/>
    <s v=""/>
    <n v="0"/>
    <n v="0"/>
    <s v=""/>
    <s v=""/>
    <n v="0"/>
    <n v="0"/>
    <s v=""/>
    <s v=""/>
    <n v="0"/>
    <n v="0"/>
    <s v=""/>
    <s v=""/>
    <n v="0"/>
    <n v="0"/>
    <s v=""/>
    <s v="1. Neutral"/>
    <s v="2. Accommodating"/>
    <s v="0. Harmful"/>
    <s v="It did not develop any specific innovation"/>
    <s v="Little or no advocacy"/>
    <s v="It did not take tested solutions to scale"/>
  </r>
  <r>
    <x v="44"/>
    <x v="5"/>
    <n v="3135"/>
    <s v="CSC CONSULTING GROUP - SCALING COMMUNITY SCORE CARD"/>
    <s v="Malawi"/>
    <s v="PID: SALLMW0005, FC: US1LZ"/>
    <s v="CARE USA"/>
    <s v="Foundation"/>
    <s v="Other"/>
    <s v="Sall Family Foundation"/>
    <m/>
    <m/>
    <s v="Other"/>
    <s v="Other"/>
    <s v="Earned income. Ultimately from range of donors but paid for services provided not as grant (DFID, ECHO, USAID, GIZ, PCTFI)"/>
    <m/>
    <m/>
    <m/>
    <m/>
    <m/>
    <m/>
    <m/>
    <m/>
    <m/>
    <m/>
    <m/>
    <m/>
    <m/>
    <m/>
    <m/>
    <m/>
    <m/>
    <m/>
    <m/>
    <m/>
    <m/>
    <m/>
    <m/>
    <m/>
    <m/>
    <m/>
    <m/>
    <m/>
    <m/>
    <m/>
    <m/>
    <m/>
    <m/>
    <m/>
    <m/>
    <m/>
    <m/>
    <m/>
    <m/>
    <m/>
    <d v="2016-01-01T00:00:00"/>
    <d v="2018-12-30T00:00:00"/>
    <m/>
    <s v="Development Other"/>
    <n v="300000"/>
    <s v="David Waller"/>
    <s v="Senior Business Manager"/>
    <s v="david.waller@care.org"/>
    <s v="Thumbiko Msiska"/>
    <s v="Technical Director"/>
    <s v="thumbiko.msiska@care.org"/>
    <s v="YES"/>
    <s v="YES"/>
    <s v="YES"/>
    <s v="Catalysing Community Score Card impact at scale by developing a sustainable social enterprise that works with any organisation and in all sectors world-wide to provide a structured interface between marginalised community members and duty bearers and service providers. Its goals were not defined in terms of reach or sector but rather in terms of contracts won and income generated"/>
    <s v="Global"/>
    <s v="Based in Malawi but operating globally"/>
    <s v="Marginalised community members especially women and young people"/>
    <m/>
    <m/>
    <m/>
    <m/>
    <m/>
    <m/>
    <s v="Direct beneficiaries:  Trained Facilitators, rights holders (community members) and duty bearers (service providers, Government officials, traditional leaders) who participate in the CSC process. These numbers are recorded as part of the reporting process of our trainings_x000a_Indirect beneficiaries - People who then then participate in the CSC process as it is rolled out to other communities by the trained facilitators. This is done either by the client  who commissioned our training and who is responsible for the roll out and data collection and / or by community activists who use the process without any external support and for whom data collection is even more difficult to manage"/>
    <m/>
    <m/>
    <m/>
    <m/>
    <m/>
    <m/>
    <m/>
    <m/>
    <m/>
    <m/>
    <m/>
    <m/>
    <m/>
    <m/>
    <m/>
    <m/>
    <m/>
    <m/>
    <m/>
    <m/>
    <m/>
    <m/>
    <m/>
    <m/>
    <m/>
    <m/>
    <m/>
    <m/>
    <m/>
    <m/>
    <m/>
    <m/>
    <m/>
    <m/>
    <m/>
    <m/>
    <m/>
    <m/>
    <m/>
    <m/>
    <m/>
    <m/>
    <m/>
    <m/>
    <m/>
    <m/>
    <m/>
    <m/>
    <m/>
    <m/>
    <m/>
    <m/>
    <m/>
    <m/>
    <m/>
    <m/>
    <m/>
    <m/>
    <m/>
    <m/>
    <n v="76"/>
    <n v="92"/>
    <n v="168"/>
    <m/>
    <m/>
    <m/>
    <s v="NO"/>
    <m/>
    <m/>
    <m/>
    <s v="NO"/>
    <m/>
    <m/>
    <m/>
    <s v="NO"/>
    <m/>
    <m/>
    <m/>
    <s v="NO"/>
    <m/>
    <m/>
    <m/>
    <s v="NO"/>
    <m/>
    <m/>
    <m/>
    <s v="NO"/>
    <m/>
    <m/>
    <m/>
    <s v="NO"/>
    <m/>
    <m/>
    <m/>
    <s v="NO"/>
    <m/>
    <m/>
    <m/>
    <s v="NO"/>
    <m/>
    <m/>
    <m/>
    <s v="NO"/>
    <m/>
    <m/>
    <m/>
    <s v="NO"/>
    <m/>
    <m/>
    <m/>
    <s v="YES"/>
    <n v="168"/>
    <n v="0.45"/>
    <n v="2000"/>
    <s v="YES"/>
    <n v="168"/>
    <n v="0.45"/>
    <m/>
    <s v="NO"/>
    <m/>
    <m/>
    <m/>
    <s v="NO"/>
    <m/>
    <m/>
    <m/>
    <m/>
    <m/>
    <m/>
    <m/>
    <m/>
    <s v="NO"/>
    <m/>
    <m/>
    <m/>
    <s v="NO"/>
    <m/>
    <m/>
    <s v="NO"/>
    <s v="NO"/>
    <m/>
    <m/>
    <s v="The Research &amp; Development project that works alongside the CSC Consulting Group is researching ways to scale up use of the Community Score Card approach through government and through community volunteers. The CSC Consulting Group itself monitors its progress as an enterprise and its performance will be judged primarily by its financial results"/>
    <x v="0"/>
    <s v="NO"/>
    <s v="NO"/>
    <s v="YES"/>
    <s v="NO"/>
    <s v="YES"/>
    <s v="NO"/>
    <s v="NO"/>
    <s v="NO"/>
    <m/>
    <x v="1"/>
    <s v="Codifyng the first &quot;buy-in&quot; phase of the Community Score Card process more rigerously than it has been in the past_x000a_Describing the CSC process in new and fresh ways to overcome scepticism about the approach_x000a_Developing news tools and approaches to working as a social enterprise within CARE"/>
    <x v="1"/>
    <s v="Drove collaboration with Malawi's Social Accountability Forum_x000a_Undertook marketing to CARE and non-CARe organisations promoting the form of Community Score Card that CARE has copyrighted"/>
    <x v="0"/>
    <x v="0"/>
    <s v="YES"/>
    <x v="0"/>
    <x v="0"/>
    <x v="1"/>
    <x v="1"/>
    <n v="3"/>
    <x v="2"/>
    <x v="1"/>
    <x v="1"/>
    <x v="1"/>
    <x v="2"/>
    <x v="5"/>
    <n v="3"/>
    <x v="2"/>
    <x v="1"/>
    <x v="2"/>
    <x v="1"/>
    <x v="2"/>
    <n v="2"/>
    <x v="0"/>
    <x v="2"/>
    <n v="4"/>
    <s v="Local NGO(s)/CSO(s)"/>
    <s v="International NGO(s)"/>
    <s v="National government"/>
    <x v="0"/>
    <s v="All except one of our contracts was to train community Score Card facilitators who then go on to use the approach with communities. The process that we share puts a lot of emphasis on creating the space and the skills that enable marginalised community members to develop agency over the issues and rights that affect them. We also work to increase the responsiveness of duty bearers to the issues raised by the community."/>
    <s v="Increased intentionality in the area of building duty bearer buy into to the process so that there is commitment to implement the actions that come out of the CSC process_x000a_Increased emphasis on advocacy and influencing towards higher level decision makers - vertical integration - that is informed by and builds on the local level the process starts with"/>
    <s v="Building buy in from hostile duty bearers"/>
    <s v="Building use of the CSC approach from the very start of the project to build commitment and engagement to a programme that is aligned to the needs of the community rather than just using the approach after the event as a post facto accountablity tool"/>
    <m/>
    <s v="That social enterprise has yet to find its place amongst more tradional forms of CARE programming"/>
    <s v="That many of the administrative systems for a social enterprise can be shared rather than re-invented each time. It would speed things up"/>
    <m/>
    <s v="The CSC Consulting Group provides services to 'clients' (rather than 'partners'). Its major client has been CARE project but it also works with non-CARE programmes - some times through CARE and sometimes directly. In the last FY all assignment were done with different CARE COs and CARE Malawi Projects and  only one none CARE client as indicated the attachment. Mor reach data both direct and indirect is reported by the trained projects or COs."/>
    <s v="Details of our assignments - clients, sectors, people trained as facilitators and community members and duty bearers involved in them - are provided in the attached spreadsheet. It reveals that we need better gender and age disaggregation and better follow up of the roll out of CSC"/>
    <n v="168"/>
    <n v="0"/>
    <n v="0"/>
    <n v="0.45238095238095238"/>
    <s v=""/>
    <n v="76"/>
    <n v="0"/>
    <n v="1"/>
    <n v="0"/>
    <n v="0"/>
    <s v=""/>
    <n v="1"/>
    <n v="168"/>
    <n v="2000"/>
    <n v="11.904761904761905"/>
    <s v=""/>
    <n v="0"/>
    <n v="0"/>
    <s v=""/>
    <s v=""/>
    <n v="0"/>
    <n v="0"/>
    <s v=""/>
    <s v=""/>
    <n v="0"/>
    <n v="0"/>
    <s v=""/>
    <s v="1. Neutral"/>
    <s v="3. Responsive"/>
    <s v="0. Harmful"/>
    <s v="It tested new ways for fighting poverty, but did not measure results of innovation"/>
    <s v="Little or no advocacy"/>
    <s v="It linked and worked with strategic alliances and partners to take tested and effective solutions to scale"/>
  </r>
  <r>
    <x v="44"/>
    <x v="5"/>
    <m/>
    <s v="Developing Local Extension Capacity (DLEC)"/>
    <s v="Malawi"/>
    <s v="PID: DELCMW0001, FC: US1RX"/>
    <s v="CARE USA"/>
    <s v="Other"/>
    <s v="Other"/>
    <s v="DIGITAL GREEN"/>
    <m/>
    <m/>
    <m/>
    <m/>
    <m/>
    <m/>
    <m/>
    <m/>
    <m/>
    <m/>
    <m/>
    <m/>
    <m/>
    <m/>
    <m/>
    <m/>
    <m/>
    <m/>
    <m/>
    <m/>
    <m/>
    <m/>
    <m/>
    <m/>
    <m/>
    <m/>
    <m/>
    <m/>
    <m/>
    <m/>
    <m/>
    <m/>
    <m/>
    <m/>
    <m/>
    <m/>
    <m/>
    <m/>
    <m/>
    <m/>
    <m/>
    <m/>
    <m/>
    <m/>
    <m/>
    <d v="2017-01-01T00:00:00"/>
    <d v="2019-02-01T00:00:00"/>
    <m/>
    <s v="Development Food &amp; Nutrition Security and Resilience to Climate Change"/>
    <n v="40000"/>
    <s v="Salome Mhango"/>
    <s v="Project Manager"/>
    <s v="salome.mhango @care.org"/>
    <s v="Lemekeza Mokiwa"/>
    <s v="Project Director"/>
    <s v="lemekeza.mokiwa@care.org"/>
    <s v="NO"/>
    <s v="YES"/>
    <s v="NO"/>
    <s v="Sustainable improvements in well-being of individuasl,households and communities"/>
    <s v="Multiple countries"/>
    <s v="Malawi-Central Region-Dowa &amp; Kasungu"/>
    <s v="Chronically rural food insecure poor women with land and labour and  living below one dollar"/>
    <n v="3600"/>
    <n v="900"/>
    <n v="4500"/>
    <n v="18000"/>
    <n v="4500"/>
    <n v="22500"/>
    <s v="Direct perticipants are the ones whose capacity will be buillt by either digitized video content or through conventional Field Officers in Dowa and Kasungu. Indirect participants have been calculated by multiplying direct impact by average household size"/>
    <m/>
    <m/>
    <m/>
    <m/>
    <m/>
    <m/>
    <m/>
    <m/>
    <m/>
    <m/>
    <m/>
    <m/>
    <m/>
    <m/>
    <m/>
    <m/>
    <m/>
    <m/>
    <m/>
    <m/>
    <m/>
    <m/>
    <m/>
    <m/>
    <m/>
    <m/>
    <m/>
    <m/>
    <m/>
    <m/>
    <m/>
    <m/>
    <m/>
    <m/>
    <m/>
    <m/>
    <m/>
    <m/>
    <m/>
    <m/>
    <m/>
    <m/>
    <m/>
    <m/>
    <m/>
    <m/>
    <m/>
    <m/>
    <m/>
    <m/>
    <m/>
    <m/>
    <m/>
    <m/>
    <m/>
    <m/>
    <m/>
    <m/>
    <m/>
    <m/>
    <n v="3600"/>
    <n v="900"/>
    <n v="4500"/>
    <n v="18000"/>
    <n v="4500"/>
    <n v="22500"/>
    <s v="YES"/>
    <n v="2600"/>
    <n v="0.8"/>
    <n v="1300"/>
    <s v="YES"/>
    <n v="2600"/>
    <n v="0.8"/>
    <n v="1300"/>
    <s v="NO"/>
    <m/>
    <m/>
    <m/>
    <s v="NO"/>
    <m/>
    <m/>
    <m/>
    <s v="YES"/>
    <n v="3600"/>
    <n v="0.8"/>
    <n v="1800"/>
    <s v="NO"/>
    <m/>
    <m/>
    <m/>
    <s v="YES"/>
    <n v="3600"/>
    <n v="0.8"/>
    <n v="1800"/>
    <s v="YES"/>
    <n v="3600"/>
    <n v="0.8"/>
    <n v="1800"/>
    <s v="YES"/>
    <n v="3600"/>
    <n v="0.8"/>
    <n v="1800"/>
    <s v="NO"/>
    <m/>
    <m/>
    <m/>
    <s v="NO"/>
    <m/>
    <m/>
    <m/>
    <s v="YES"/>
    <n v="2600"/>
    <n v="0.8"/>
    <n v="1300"/>
    <s v="YES"/>
    <n v="2600"/>
    <n v="0.8"/>
    <n v="1300"/>
    <s v="NO"/>
    <m/>
    <m/>
    <m/>
    <s v="NO"/>
    <m/>
    <m/>
    <m/>
    <s v="YES"/>
    <n v="3600"/>
    <n v="0.8"/>
    <n v="1800"/>
    <m/>
    <s v="NO"/>
    <m/>
    <m/>
    <m/>
    <s v="NO"/>
    <m/>
    <m/>
    <s v="NO"/>
    <s v="NO"/>
    <m/>
    <m/>
    <m/>
    <x v="0"/>
    <s v="NO"/>
    <s v="NO"/>
    <s v="NO"/>
    <s v="NO"/>
    <s v="NO"/>
    <s v="NO"/>
    <s v="NO"/>
    <s v="NO"/>
    <m/>
    <x v="1"/>
    <s v="Digitized FFBS module"/>
    <x v="1"/>
    <s v="So far the project has been working with like-minded  organisations like SANE and also participated in forums e.g. MAFAAS"/>
    <x v="1"/>
    <x v="1"/>
    <s v="YES"/>
    <x v="0"/>
    <x v="0"/>
    <x v="0"/>
    <x v="2"/>
    <n v="4"/>
    <x v="1"/>
    <x v="2"/>
    <x v="1"/>
    <x v="1"/>
    <x v="2"/>
    <x v="4"/>
    <n v="2"/>
    <x v="1"/>
    <x v="1"/>
    <x v="1"/>
    <x v="1"/>
    <x v="1"/>
    <n v="3"/>
    <x v="0"/>
    <x v="1"/>
    <m/>
    <m/>
    <m/>
    <m/>
    <x v="1"/>
    <m/>
    <m/>
    <s v="Farmer Field Business School"/>
    <m/>
    <m/>
    <m/>
    <m/>
    <m/>
    <s v="DLEC aims at delivering the FFBS sessions through digital and compare outreach and adoption with the conventional  exension method"/>
    <s v="The project is not fully fledged to start tracking outcomes."/>
    <n v="4500"/>
    <n v="22500"/>
    <n v="5"/>
    <n v="0.8"/>
    <n v="0.8"/>
    <n v="3600"/>
    <n v="18000"/>
    <s v=""/>
    <n v="0"/>
    <n v="0"/>
    <s v=""/>
    <n v="1"/>
    <n v="3600"/>
    <n v="1800"/>
    <n v="0.5"/>
    <s v=""/>
    <n v="0"/>
    <n v="0"/>
    <s v=""/>
    <n v="1"/>
    <n v="3600"/>
    <n v="1800"/>
    <n v="0.5"/>
    <n v="1"/>
    <n v="3600"/>
    <n v="1800"/>
    <n v="0.5"/>
    <s v="4. Transformative"/>
    <s v="1. Tokenistic"/>
    <s v="2. Sensitive"/>
    <s v="It tested new ways for fighting poverty, but did not measure results of innovation"/>
    <s v="Little or no advocacy"/>
    <s v="It linked and worked with strategic alliances and partners to take tested and effective solutions to scale"/>
  </r>
  <r>
    <x v="44"/>
    <x v="5"/>
    <m/>
    <s v="Emergency cash transfers, nutrition and livelihood assistance for chronically food insecure households in Malawi"/>
    <s v="Malawi"/>
    <s v="PID: CCANMW0015; CA367"/>
    <s v="CARE Canada"/>
    <s v="Government"/>
    <s v="Government - Canada"/>
    <s v="Global Affairs Canada (GAC) "/>
    <m/>
    <m/>
    <m/>
    <m/>
    <m/>
    <m/>
    <m/>
    <m/>
    <m/>
    <m/>
    <m/>
    <m/>
    <m/>
    <m/>
    <m/>
    <m/>
    <m/>
    <m/>
    <m/>
    <m/>
    <m/>
    <m/>
    <m/>
    <m/>
    <m/>
    <m/>
    <m/>
    <m/>
    <m/>
    <m/>
    <m/>
    <m/>
    <m/>
    <m/>
    <m/>
    <m/>
    <m/>
    <m/>
    <m/>
    <m/>
    <m/>
    <m/>
    <m/>
    <m/>
    <m/>
    <d v="2016-12-01T00:00:00"/>
    <d v="2017-11-30T00:00:00"/>
    <m/>
    <s v="Humanitarian Food &amp; Nutrition Security and Resilience to Climate Change"/>
    <n v="527786"/>
    <s v="Jessica Swart"/>
    <s v="Emergency Team Leader"/>
    <s v="jessica.swart@care.org"/>
    <s v="Clement Bisai"/>
    <s v="MEL Advisor"/>
    <s v="clement.bisai@care.org"/>
    <s v="YES"/>
    <s v="NO"/>
    <s v="NO"/>
    <s v="Reduced vulnerability of crisis-affected people, especially women and children"/>
    <s v="Sub-National"/>
    <s v="TAs Ndindi &amp; Kambalame"/>
    <s v="Households affected by the El Nino drought who have poor food or nutrition security, and have weak access to agricultural inputs to recover from the drought."/>
    <n v="10900"/>
    <n v="10900"/>
    <n v="21800"/>
    <n v="4400"/>
    <n v="4400"/>
    <n v="8800"/>
    <s v="The direct participants are the cash transfer participants and their families, the livelihood (maize seed) and nutrition participants. The indirect participants are the families of the livelihood and nutrition participants."/>
    <m/>
    <n v="10900"/>
    <n v="10900"/>
    <n v="21800"/>
    <n v="4400"/>
    <n v="4400"/>
    <n v="8800"/>
    <s v="NO"/>
    <m/>
    <m/>
    <m/>
    <s v="YES"/>
    <n v="19800"/>
    <n v="0.84699999999999998"/>
    <m/>
    <s v="NO"/>
    <m/>
    <m/>
    <m/>
    <s v="YES"/>
    <n v="2000"/>
    <n v="0.52"/>
    <n v="8800"/>
    <s v="YES"/>
    <n v="4500"/>
    <n v="0.85"/>
    <n v="19800"/>
    <s v="YES"/>
    <n v="4500"/>
    <n v="0.85"/>
    <n v="19800"/>
    <s v="NO"/>
    <m/>
    <m/>
    <m/>
    <s v="Yes"/>
    <n v="2000"/>
    <n v="0.52"/>
    <n v="8800"/>
    <s v="NO"/>
    <m/>
    <m/>
    <m/>
    <s v="NO"/>
    <m/>
    <m/>
    <m/>
    <s v="NO"/>
    <m/>
    <m/>
    <m/>
    <s v="NO"/>
    <m/>
    <m/>
    <m/>
    <m/>
    <m/>
    <m/>
    <m/>
    <m/>
    <m/>
    <m/>
    <m/>
    <m/>
    <m/>
    <m/>
    <m/>
    <m/>
    <m/>
    <m/>
    <m/>
    <m/>
    <m/>
    <m/>
    <m/>
    <m/>
    <m/>
    <m/>
    <m/>
    <m/>
    <m/>
    <m/>
    <m/>
    <m/>
    <m/>
    <m/>
    <m/>
    <m/>
    <m/>
    <m/>
    <m/>
    <m/>
    <m/>
    <m/>
    <m/>
    <m/>
    <m/>
    <m/>
    <m/>
    <m/>
    <m/>
    <m/>
    <m/>
    <m/>
    <m/>
    <m/>
    <m/>
    <m/>
    <m/>
    <m/>
    <m/>
    <m/>
    <m/>
    <m/>
    <m/>
    <m/>
    <m/>
    <m/>
    <m/>
    <m/>
    <m/>
    <m/>
    <m/>
    <m/>
    <m/>
    <m/>
    <m/>
    <m/>
    <m/>
    <m/>
    <m/>
    <m/>
    <m/>
    <m/>
    <m/>
    <s v="YES"/>
    <s v="February"/>
    <n v="2017"/>
    <s v="YES"/>
    <s v="YES"/>
    <s v="November"/>
    <n v="2017"/>
    <s v="The endline survey to be carried in November for the project will be ascertain any changes that have been observed between baseline findings and those of the endline survey as a result of the project interventions implemented in the project lifetime"/>
    <x v="0"/>
    <s v="NO"/>
    <s v="NO"/>
    <s v="NO"/>
    <s v="NO"/>
    <s v="NO"/>
    <s v="NO"/>
    <s v="NO"/>
    <s v="NO"/>
    <m/>
    <x v="0"/>
    <m/>
    <x v="0"/>
    <m/>
    <x v="1"/>
    <x v="0"/>
    <s v="YES"/>
    <x v="0"/>
    <x v="0"/>
    <x v="0"/>
    <x v="0"/>
    <n v="4"/>
    <x v="1"/>
    <x v="1"/>
    <x v="1"/>
    <x v="1"/>
    <x v="1"/>
    <x v="1"/>
    <n v="4"/>
    <x v="1"/>
    <x v="1"/>
    <x v="1"/>
    <x v="1"/>
    <x v="1"/>
    <n v="3"/>
    <x v="0"/>
    <x v="1"/>
    <m/>
    <m/>
    <m/>
    <m/>
    <x v="1"/>
    <m/>
    <s v="After reflecting on CARE's approach to gender transformative programming, the project carried out additional staff training on gender, and conducted a Rapid Gender Analysis in the project areas."/>
    <s v="Mainstreaming gender and protection"/>
    <s v="Integrating nutrition into emergency and agriculture interventions"/>
    <m/>
    <s v="The project should have done a more thorough assessment looking at appropriate livelihoods interventions for displaced flood victims, as there were certain possibilities that were not fully explored"/>
    <s v="The targeting process, in which the local leaders were segregated from the general population, was effective in minimizing their influence"/>
    <s v="The project's interventions are spread too thinly; it would have been better to have more comprehensive (multi-sectoral) support to fewer households"/>
    <m/>
    <s v="No any review exercise had been carried out at that material time as the project was just starting its activity implementation process"/>
    <n v="21800"/>
    <n v="8800"/>
    <n v="0.40366972477064222"/>
    <n v="0.5"/>
    <n v="0.5"/>
    <n v="10900"/>
    <n v="4400"/>
    <n v="1"/>
    <n v="21800"/>
    <n v="8800"/>
    <n v="0.40366972477064222"/>
    <n v="1"/>
    <n v="2000"/>
    <n v="8800"/>
    <n v="4.4000000000000004"/>
    <s v=""/>
    <n v="0"/>
    <n v="0"/>
    <s v=""/>
    <n v="1"/>
    <n v="4500"/>
    <n v="19800"/>
    <n v="4.4000000000000004"/>
    <s v=""/>
    <n v="0"/>
    <n v="0"/>
    <s v=""/>
    <s v="2. Sensitive"/>
    <s v="2. Accommodating"/>
    <s v="2. Sensitive"/>
    <s v="It did not develop any specific innovation"/>
    <s v="Little or no advocacy"/>
    <s v="It did not take tested solutions to scale"/>
  </r>
  <r>
    <x v="44"/>
    <x v="5"/>
    <n v="3116"/>
    <s v="Enhance Community Resilience Program (ECRP)"/>
    <s v="Malawi"/>
    <s v="PID: CGBRMW0002; FC GB525"/>
    <s v="CARE UK"/>
    <s v="Government"/>
    <s v="Government - UK"/>
    <s v="DFID"/>
    <s v="PID: CGBRMW0002; FC GB525"/>
    <s v="CARE UK"/>
    <s v="Government"/>
    <s v="Government - Norway"/>
    <s v="Norwegian  Embassy"/>
    <s v="PID: CGBRMW0002; FC GB525"/>
    <s v="CARE UK"/>
    <s v="Government"/>
    <s v="Government - Ireland"/>
    <s v="Irish Aid"/>
    <m/>
    <m/>
    <m/>
    <m/>
    <m/>
    <m/>
    <m/>
    <m/>
    <m/>
    <m/>
    <m/>
    <m/>
    <m/>
    <m/>
    <m/>
    <m/>
    <m/>
    <m/>
    <m/>
    <m/>
    <m/>
    <m/>
    <m/>
    <m/>
    <m/>
    <m/>
    <m/>
    <m/>
    <m/>
    <m/>
    <m/>
    <m/>
    <m/>
    <m/>
    <m/>
    <d v="2011-09-01T00:00:00"/>
    <d v="2016-09-30T00:00:00"/>
    <d v="2017-09-30T00:00:00"/>
    <s v="Development Food &amp; Nutrition Security and Resilience to Climate Change"/>
    <n v="5678950"/>
    <s v="Dr. Aldwin Mtembezeka"/>
    <s v="Project Manager and  Technical lead"/>
    <s v="aldwin.mtembezeka@care.org"/>
    <s v="Gerald Kosamu"/>
    <s v="Assistant Project manager"/>
    <s v="gerald.kosamu@care.org"/>
    <s v="NO"/>
    <s v="YES"/>
    <s v="NO"/>
    <s v="The projects aim is to contribute to the attainment of the Sendai Framework for Action by halving disaster losses and increasing communities resilience to climate change by 2017 in Malawi. This will enable households to build resilient livelihoods that are sustainable and profitable, incorporating natural resource management and risk reduction, increasing adaptive capacity and enabling vulnerable households to have a voice in decisions affecting them."/>
    <s v="Sub-National"/>
    <s v="The initiative is implemented in central and southern regions of Malawi ( Districts are :Kasungu, Mwanza, Machinga, Chikwawa. Nsanje, Thyolo and Mulanje). CARE implements in Kasungu, Mwanza and Machinga through Partners, Christian implements in Chikwawa, Mulanje &amp; Thyolo through partners and Action Aid implements in Nsanje through partners too."/>
    <s v="Most Vulnerable households/ communities to the effects of climate variability and change in disaster prone areas of Malawi."/>
    <n v="22400"/>
    <n v="9800"/>
    <n v="31800"/>
    <n v="98000"/>
    <n v="42000"/>
    <n v="140000"/>
    <s v="The direct beneficiaries are those that are directly targeted with the resources in the initiative ( Lead farmers , village agents, animal health workers , first reponders , VSL members, civil protection committeeslocal artisians). Those that we directly work with. While the indirect participants are the ones that benefit through the multiplier effects. ( school children, underfive children, lactating mothers, Pregnant women, local chiefs)"/>
    <m/>
    <m/>
    <m/>
    <m/>
    <m/>
    <m/>
    <m/>
    <m/>
    <m/>
    <m/>
    <m/>
    <m/>
    <m/>
    <m/>
    <m/>
    <m/>
    <m/>
    <m/>
    <m/>
    <m/>
    <m/>
    <m/>
    <m/>
    <m/>
    <m/>
    <m/>
    <m/>
    <m/>
    <m/>
    <m/>
    <m/>
    <m/>
    <m/>
    <m/>
    <m/>
    <m/>
    <m/>
    <m/>
    <m/>
    <m/>
    <m/>
    <m/>
    <m/>
    <m/>
    <m/>
    <m/>
    <m/>
    <m/>
    <m/>
    <m/>
    <m/>
    <m/>
    <m/>
    <m/>
    <m/>
    <m/>
    <m/>
    <m/>
    <m/>
    <m/>
    <n v="1802"/>
    <n v="772"/>
    <n v="2574"/>
    <n v="9010"/>
    <n v="3860"/>
    <n v="12870"/>
    <s v="YES"/>
    <n v="2574"/>
    <n v="0.72"/>
    <n v="12870"/>
    <s v="YES"/>
    <n v="2574"/>
    <n v="0.72"/>
    <n v="12870"/>
    <s v="YES"/>
    <m/>
    <m/>
    <n v="12870"/>
    <s v="YES"/>
    <n v="2574"/>
    <n v="0.72"/>
    <n v="12870"/>
    <s v="YES"/>
    <n v="2574"/>
    <n v="0.81"/>
    <n v="12870"/>
    <s v="NO"/>
    <m/>
    <m/>
    <m/>
    <s v="YES"/>
    <n v="2110"/>
    <n v="0.67"/>
    <n v="10550"/>
    <s v="NO"/>
    <m/>
    <m/>
    <m/>
    <s v="YES"/>
    <n v="876"/>
    <n v="0.78"/>
    <n v="4380"/>
    <s v="NO"/>
    <m/>
    <m/>
    <m/>
    <s v="NO"/>
    <m/>
    <m/>
    <m/>
    <s v="YES"/>
    <n v="712"/>
    <n v="0.59"/>
    <n v="3560"/>
    <s v="YES"/>
    <n v="300"/>
    <n v="0.57999999999999996"/>
    <n v="1500"/>
    <s v="NO"/>
    <m/>
    <m/>
    <m/>
    <s v="NO"/>
    <m/>
    <m/>
    <m/>
    <s v="YES"/>
    <n v="1595"/>
    <n v="0.81"/>
    <n v="7975"/>
    <m/>
    <s v="NO"/>
    <m/>
    <m/>
    <m/>
    <s v="YES"/>
    <s v="May"/>
    <n v="2017"/>
    <s v="YES"/>
    <s v="NO"/>
    <m/>
    <m/>
    <s v="The project is closing out  in September, 2017 and the draft evaluation report is yet to be validated."/>
    <x v="1"/>
    <s v="YES"/>
    <s v="YES"/>
    <s v="YES"/>
    <s v="YES"/>
    <s v="YES"/>
    <s v="NO"/>
    <s v="NO"/>
    <s v="NO"/>
    <m/>
    <x v="2"/>
    <s v="Setting up of an investment fund  within the VSL groups which enables members to save beyond the limited shares. Groups accumulate relatively large pool of funds unlike in the conventional VSL groups."/>
    <x v="0"/>
    <m/>
    <x v="1"/>
    <x v="0"/>
    <s v="YES"/>
    <x v="0"/>
    <x v="0"/>
    <x v="0"/>
    <x v="0"/>
    <n v="4"/>
    <x v="1"/>
    <x v="1"/>
    <x v="1"/>
    <x v="1"/>
    <x v="1"/>
    <x v="1"/>
    <n v="4"/>
    <x v="3"/>
    <x v="1"/>
    <x v="1"/>
    <x v="1"/>
    <x v="4"/>
    <n v="3"/>
    <x v="3"/>
    <x v="2"/>
    <n v="11"/>
    <s v="International NGO(s)"/>
    <s v="Local NGO(s)/CSO(s)"/>
    <s v="Local government(s)"/>
    <x v="0"/>
    <s v="CARE supported the civil society through building the capacity on Participatory scenerio Planning (PSP) in order for them to better interpret seasonal forecasts for effective farming decision making."/>
    <s v="The project has introduced and enhances post harvest management innovationd through incorparating the nutrition ( food preparation, presavertion and budgeting) aspects and the air tight bags for crop storage with the overall purpose of food/ yield loss reduction."/>
    <s v="Engaging women and men in VSLs"/>
    <s v="Gender dialogue sessions"/>
    <s v="working through groups proved tobe more effective than individually."/>
    <s v="Nutrition should be part and parcel of resilient programs"/>
    <s v="resilient programs require adequate time to measure / realise impact."/>
    <m/>
    <m/>
    <m/>
    <n v="2574"/>
    <n v="12870"/>
    <n v="5"/>
    <n v="0.70007770007770009"/>
    <n v="0.70007770007770009"/>
    <n v="1802"/>
    <n v="9010"/>
    <s v=""/>
    <n v="0"/>
    <n v="0"/>
    <s v=""/>
    <n v="1"/>
    <n v="2574"/>
    <n v="12870"/>
    <n v="5"/>
    <s v=""/>
    <n v="0"/>
    <n v="0"/>
    <s v=""/>
    <s v=""/>
    <n v="0"/>
    <n v="0"/>
    <s v=""/>
    <n v="1"/>
    <n v="2084.94"/>
    <n v="10424.700000000001"/>
    <n v="5"/>
    <s v="2. Sensitive"/>
    <s v="2. Accommodating"/>
    <s v="4. Transformative"/>
    <s v="It tested new ways for fighting poverty and measured results of innovation"/>
    <s v="Moderate advocacy"/>
    <s v="It did not take tested solutions to scale"/>
  </r>
  <r>
    <x v="44"/>
    <x v="5"/>
    <n v="3137"/>
    <s v="Food Security for El Nino Affected Communities in Malawi"/>
    <s v="Malawi"/>
    <s v="CDEUMW0011"/>
    <s v="CARE Deutschland-Luxemburg"/>
    <s v="Multilateral agency"/>
    <s v="ECHO - European Commission for Humanitarian Aid and Civil Protection"/>
    <s v="ECHO"/>
    <m/>
    <m/>
    <m/>
    <m/>
    <m/>
    <m/>
    <m/>
    <m/>
    <m/>
    <m/>
    <m/>
    <m/>
    <m/>
    <m/>
    <m/>
    <m/>
    <m/>
    <m/>
    <m/>
    <m/>
    <m/>
    <m/>
    <m/>
    <m/>
    <m/>
    <m/>
    <m/>
    <m/>
    <m/>
    <m/>
    <m/>
    <m/>
    <m/>
    <m/>
    <m/>
    <m/>
    <m/>
    <m/>
    <m/>
    <m/>
    <m/>
    <m/>
    <m/>
    <m/>
    <m/>
    <d v="2016-03-01T00:00:00"/>
    <d v="2017-02-28T00:00:00"/>
    <d v="2017-05-31T00:00:00"/>
    <s v="Humanitarian Food &amp; Nutrition Security and Resilience to Climate Change"/>
    <m/>
    <s v="Andrew Khumalo"/>
    <s v="Project Manager"/>
    <s v="andrew.khumalo@care.org"/>
    <s v="Jessica Swart"/>
    <s v="Emergency Team Leader"/>
    <s v="jessica.swart@care.org"/>
    <s v="YES"/>
    <s v="YES"/>
    <s v="YES"/>
    <s v="The primary objective was to respond to the food insecurity crisis and improve the adaptive capacity of populations vulnerable to El Niño impacts in Malawi"/>
    <s v="Sub-National"/>
    <s v="Ntcheu, Mulanje, and Nsanje Districts."/>
    <s v="These were households that were affected by the El Nino drought in the 2015/16 growing season, who were highly food insecure and had lost significant assets."/>
    <n v="34386"/>
    <n v="29395"/>
    <n v="63781"/>
    <n v="65436"/>
    <n v="43345"/>
    <n v="108781"/>
    <s v="The direct participants are individulas who the project intended to reach with food security support and resilience building interventions while the indirect participants are household members of the direct participants calculated using the average family size of 5.5"/>
    <m/>
    <n v="34386"/>
    <n v="29395"/>
    <n v="63781"/>
    <n v="65436"/>
    <n v="43345"/>
    <n v="108781"/>
    <s v="NO"/>
    <m/>
    <m/>
    <m/>
    <s v="YES"/>
    <n v="54781"/>
    <n v="0.51400000000000001"/>
    <m/>
    <s v="NO"/>
    <m/>
    <m/>
    <m/>
    <s v="YES"/>
    <n v="54781"/>
    <n v="0.51"/>
    <m/>
    <s v="NO"/>
    <m/>
    <m/>
    <m/>
    <s v="YES"/>
    <n v="10592"/>
    <n v="0.54"/>
    <n v="45546"/>
    <s v="NO"/>
    <m/>
    <m/>
    <m/>
    <s v="Yes"/>
    <n v="9000"/>
    <n v="0.69"/>
    <n v="38700"/>
    <s v="NO"/>
    <m/>
    <m/>
    <m/>
    <s v="NO"/>
    <m/>
    <m/>
    <m/>
    <s v="YES"/>
    <n v="5352"/>
    <n v="0.64"/>
    <m/>
    <s v="NO"/>
    <m/>
    <m/>
    <m/>
    <m/>
    <s v="NO"/>
    <m/>
    <m/>
    <m/>
    <m/>
    <m/>
    <m/>
    <m/>
    <m/>
    <m/>
    <s v="YES"/>
    <m/>
    <m/>
    <m/>
    <s v="YES"/>
    <m/>
    <m/>
    <m/>
    <s v="NO"/>
    <m/>
    <m/>
    <m/>
    <s v="YES"/>
    <m/>
    <m/>
    <m/>
    <s v="YES"/>
    <m/>
    <m/>
    <m/>
    <s v="NO"/>
    <m/>
    <m/>
    <m/>
    <s v="YES"/>
    <m/>
    <m/>
    <m/>
    <s v="YES"/>
    <m/>
    <m/>
    <m/>
    <s v="YES"/>
    <m/>
    <m/>
    <m/>
    <s v="YES"/>
    <m/>
    <m/>
    <m/>
    <s v="YES"/>
    <m/>
    <m/>
    <m/>
    <s v="YES"/>
    <m/>
    <m/>
    <m/>
    <s v="YES"/>
    <m/>
    <m/>
    <m/>
    <s v="YES"/>
    <m/>
    <m/>
    <m/>
    <s v="YES"/>
    <m/>
    <m/>
    <m/>
    <s v="YES"/>
    <m/>
    <m/>
    <m/>
    <m/>
    <s v="NO"/>
    <m/>
    <m/>
    <m/>
    <s v="YES"/>
    <s v="May"/>
    <n v="2017"/>
    <s v="YES"/>
    <s v="NO"/>
    <m/>
    <m/>
    <s v="The project phased out in May 2017, and already held a final evaluation."/>
    <x v="0"/>
    <s v="NO"/>
    <s v="NO"/>
    <s v="NO"/>
    <s v="NO"/>
    <s v="NO"/>
    <s v="NO"/>
    <s v="NO"/>
    <s v="NO"/>
    <m/>
    <x v="1"/>
    <s v="The Community Based Adaptation to climate change (CBA) approach which is about  about empowering communities and their local governments to analyze and understand how climate is, and will continue affecting their lives; make informed and anticipatory decisions on priority adaptation actions; and continuously adjust their livelihood and risk management strategies in response to new and uncertain circumstances."/>
    <x v="0"/>
    <m/>
    <x v="1"/>
    <x v="0"/>
    <s v="YES"/>
    <x v="0"/>
    <x v="0"/>
    <x v="0"/>
    <x v="0"/>
    <n v="4"/>
    <x v="1"/>
    <x v="1"/>
    <x v="1"/>
    <x v="1"/>
    <x v="1"/>
    <x v="1"/>
    <n v="4"/>
    <x v="1"/>
    <x v="1"/>
    <x v="1"/>
    <x v="1"/>
    <x v="1"/>
    <n v="3"/>
    <x v="0"/>
    <x v="0"/>
    <n v="1"/>
    <s v="Local NGO(s)/CSO(s)"/>
    <m/>
    <m/>
    <x v="1"/>
    <m/>
    <m/>
    <s v="Linkages to VSLAs for financial sustainability"/>
    <s v="Complaints response mechanisms, particularly an independent complaints hotline"/>
    <s v="Stakeholder reflective and planning session"/>
    <s v="Reflective meetings and Dialogue with communities helped the communities/ parteners and other stakeholders to identify gaps together with project staff and resolve them together"/>
    <s v="Involvement of Government extension staff and staff from other CARE projects made the transision of project participants to other long-term programmes smooth"/>
    <s v="Triggering of community discussions among target communities as a result of the CBA process raised expectations that identified underlying risk factors would be addressed, this brought some level of frustration among local structures and target communities"/>
    <m/>
    <m/>
    <n v="63781"/>
    <n v="108781"/>
    <n v="1.7055392671798812"/>
    <n v="0.53912607202771989"/>
    <n v="0.6015388716779585"/>
    <n v="34386"/>
    <n v="65436"/>
    <n v="1"/>
    <n v="63781"/>
    <n v="108781"/>
    <n v="1.7055392671798812"/>
    <n v="1"/>
    <n v="54781"/>
    <n v="38700"/>
    <n v="0.70644931636881403"/>
    <n v="1"/>
    <n v="0"/>
    <n v="0"/>
    <s v=""/>
    <n v="1"/>
    <n v="0"/>
    <n v="0"/>
    <s v=""/>
    <n v="1"/>
    <n v="0"/>
    <n v="0"/>
    <s v=""/>
    <s v="2. Sensitive"/>
    <s v="2. Accommodating"/>
    <s v="2. Sensitive"/>
    <s v="It tested new ways for fighting poverty, but did not measure results of innovation"/>
    <s v="Little or no advocacy"/>
    <s v="It did not take tested solutions to scale"/>
  </r>
  <r>
    <x v="44"/>
    <x v="5"/>
    <n v="3132"/>
    <s v="GATE GRAND CHALLENGES"/>
    <s v="Malawi"/>
    <s v="PID: GATEMW0019; FC: US1ku"/>
    <s v="CARE USA"/>
    <s v="Foundation"/>
    <s v="Bill &amp; Melinda Gates Foundation"/>
    <s v="Bill &amp; Melinda Gates Foundation"/>
    <m/>
    <m/>
    <m/>
    <m/>
    <m/>
    <m/>
    <m/>
    <m/>
    <m/>
    <m/>
    <m/>
    <m/>
    <m/>
    <m/>
    <m/>
    <m/>
    <m/>
    <m/>
    <m/>
    <m/>
    <m/>
    <m/>
    <m/>
    <m/>
    <m/>
    <m/>
    <m/>
    <m/>
    <m/>
    <m/>
    <m/>
    <m/>
    <m/>
    <m/>
    <m/>
    <m/>
    <m/>
    <m/>
    <m/>
    <m/>
    <m/>
    <m/>
    <m/>
    <m/>
    <m/>
    <d v="2016-01-01T00:00:00"/>
    <d v="2017-12-31T00:00:00"/>
    <d v="2018-04-30T00:00:00"/>
    <s v="Development Other"/>
    <n v="563710"/>
    <s v="Thokozani Mwenyekonde"/>
    <s v="Principle Investigator"/>
    <s v="thokozani.mwenyekonde@care.org"/>
    <s v="Anderson Kumpolota"/>
    <s v="Assistant Program Director, AGE Program"/>
    <s v="anderson.kumpolota@care.org"/>
    <s v="NO"/>
    <s v="YES"/>
    <s v="NO"/>
    <s v="To test efffectiveness and scalability of a gender synchronized, transformational approach that is integrated into existing school-based adolescent life skills and sexuality education program for standards  through 8."/>
    <s v="Sub-National"/>
    <s v="Suza Education Zone (Treatment) and Linyangwa Education Zone (Control) both in Kasungu district, Central Malawi"/>
    <s v="Young adolescents in the age group 10-18"/>
    <n v="1497"/>
    <n v="1153"/>
    <n v="2650"/>
    <n v="9522"/>
    <n v="7278"/>
    <n v="16800"/>
    <s v="Direct participants are the young adolescent boys and girls aged between 10 and 18 who are attending school-based teen club activities. They are calculated based on attendance sheets which are collected monthly. Indirect participants are the parents, male champions, mother group members, siblings of those attending teen sessions, boys and girls not participating in teen club activities but are in contact with those that are participating. On average, we estimated that one adolescent participating in teen club activities interacts with at least 6 of these groups."/>
    <m/>
    <m/>
    <m/>
    <m/>
    <m/>
    <m/>
    <m/>
    <m/>
    <m/>
    <m/>
    <m/>
    <m/>
    <m/>
    <m/>
    <m/>
    <m/>
    <m/>
    <m/>
    <m/>
    <m/>
    <m/>
    <m/>
    <m/>
    <m/>
    <m/>
    <m/>
    <m/>
    <m/>
    <m/>
    <m/>
    <m/>
    <m/>
    <m/>
    <m/>
    <m/>
    <m/>
    <m/>
    <m/>
    <m/>
    <m/>
    <m/>
    <m/>
    <m/>
    <m/>
    <m/>
    <m/>
    <m/>
    <m/>
    <m/>
    <m/>
    <m/>
    <m/>
    <m/>
    <m/>
    <m/>
    <m/>
    <m/>
    <m/>
    <m/>
    <m/>
    <n v="1497"/>
    <n v="1153"/>
    <n v="2650"/>
    <n v="9522"/>
    <n v="7278"/>
    <n v="16800"/>
    <s v="NO"/>
    <m/>
    <m/>
    <m/>
    <s v="NO"/>
    <m/>
    <m/>
    <m/>
    <s v="NO"/>
    <m/>
    <m/>
    <m/>
    <s v="NO"/>
    <m/>
    <m/>
    <m/>
    <s v="NO"/>
    <m/>
    <m/>
    <m/>
    <s v="YES"/>
    <n v="2650"/>
    <n v="0.56499999999999995"/>
    <n v="16800"/>
    <s v="NO"/>
    <m/>
    <m/>
    <m/>
    <s v="YES"/>
    <n v="2650"/>
    <n v="0.56499999999999995"/>
    <n v="16800"/>
    <s v="YES"/>
    <n v="2650"/>
    <n v="0.56499999999999995"/>
    <n v="16800"/>
    <s v="NO"/>
    <m/>
    <m/>
    <m/>
    <s v="NO"/>
    <m/>
    <m/>
    <m/>
    <s v="NO"/>
    <m/>
    <m/>
    <m/>
    <s v="YES"/>
    <n v="2650"/>
    <n v="0.56499999999999995"/>
    <n v="16800"/>
    <s v="YES"/>
    <n v="2650"/>
    <n v="0.56499999999999995"/>
    <n v="16800"/>
    <s v="NO"/>
    <m/>
    <m/>
    <m/>
    <s v="NO"/>
    <m/>
    <m/>
    <m/>
    <m/>
    <m/>
    <m/>
    <m/>
    <m/>
    <s v="YES"/>
    <s v="October"/>
    <n v="2016"/>
    <s v="YES"/>
    <s v="YES"/>
    <s v="February"/>
    <n v="2018"/>
    <s v="The endline survey willl be conducted by a research partner, Centre for Development Management (CDM). It will target the same respondents interviewed at baseline."/>
    <x v="1"/>
    <s v="NO"/>
    <s v="NO"/>
    <m/>
    <s v="YES"/>
    <s v="NO"/>
    <m/>
    <s v="NO"/>
    <s v="YES"/>
    <s v="Advocacy, with community leaders and community members, on equal workload sharing between boys and girls, and improved intergenerational dialogue on SRH"/>
    <x v="2"/>
    <s v="Integrated Gender Conscious Practice (GCP) and Working with Men and Boys to Advance Gender Equality and SRH into existing school-based teen clubs. The two manuals were introduced to promote equal workload sharing between boys and girls, and to encourage interganerational dialogue on gender equality and SRH. All these are done to remove barriers to girls' education as well as economic empowerment"/>
    <x v="0"/>
    <m/>
    <x v="1"/>
    <x v="1"/>
    <s v="YES"/>
    <x v="0"/>
    <x v="0"/>
    <x v="0"/>
    <x v="2"/>
    <n v="4"/>
    <x v="1"/>
    <x v="1"/>
    <x v="1"/>
    <x v="2"/>
    <x v="1"/>
    <x v="1"/>
    <n v="3"/>
    <x v="2"/>
    <x v="1"/>
    <x v="1"/>
    <x v="1"/>
    <x v="2"/>
    <n v="3"/>
    <x v="2"/>
    <x v="0"/>
    <n v="2"/>
    <s v="Local NGO(s)/CSO(s)"/>
    <s v="Local government(s)"/>
    <m/>
    <x v="3"/>
    <m/>
    <m/>
    <s v="Working with adult male change agents (Male Champions) to faciliatate intergenerational dialogues on gender and SRH"/>
    <s v="Having Mother Groups, an existing structure at the school, to support Male Champions during the intergenerational dialogues"/>
    <s v="Use of Real Time Learning (RTL) sessions as a tool for both project review and monitoring"/>
    <m/>
    <m/>
    <m/>
    <m/>
    <s v="Markers Vetting forms,  Baseline Report and Mid term Evaluation reports. Final feedback from CARE USA yet to be received on Mid term report"/>
    <n v="2650"/>
    <n v="16800"/>
    <n v="6.3396226415094343"/>
    <n v="0.56490566037735845"/>
    <n v="0.56678571428571434"/>
    <n v="1497"/>
    <n v="9522"/>
    <s v=""/>
    <n v="0"/>
    <n v="0"/>
    <s v=""/>
    <s v=""/>
    <n v="0"/>
    <n v="0"/>
    <s v=""/>
    <n v="1"/>
    <n v="2650"/>
    <n v="16800"/>
    <n v="6.3396226415094343"/>
    <n v="1"/>
    <n v="2650"/>
    <n v="16800"/>
    <n v="6.3396226415094343"/>
    <s v=""/>
    <n v="0"/>
    <n v="0"/>
    <s v=""/>
    <s v="4. Transformative"/>
    <s v="2. Accommodating"/>
    <s v="0. Harmful"/>
    <s v="It tested new ways for fighting poverty and measured results of innovation"/>
    <s v="Moderate advocacy"/>
    <s v="It did not take tested solutions to scale"/>
  </r>
  <r>
    <x v="44"/>
    <x v="5"/>
    <n v="3127"/>
    <s v="GPSA- SSAES (Strengthening Social Accountability in Education Sector"/>
    <s v="Malawi"/>
    <s v="PID: WOBKMW0001, FC: US11J"/>
    <s v="CARE USA"/>
    <s v="Multilateral agency"/>
    <s v="The World Bank"/>
    <s v="The World Bank"/>
    <m/>
    <m/>
    <m/>
    <m/>
    <m/>
    <m/>
    <m/>
    <m/>
    <m/>
    <m/>
    <m/>
    <m/>
    <m/>
    <m/>
    <m/>
    <m/>
    <m/>
    <m/>
    <m/>
    <m/>
    <m/>
    <m/>
    <m/>
    <m/>
    <m/>
    <m/>
    <m/>
    <m/>
    <m/>
    <m/>
    <m/>
    <m/>
    <m/>
    <m/>
    <m/>
    <m/>
    <m/>
    <m/>
    <m/>
    <m/>
    <m/>
    <m/>
    <m/>
    <m/>
    <m/>
    <d v="2014-01-01T00:00:00"/>
    <d v="2017-01-31T00:00:00"/>
    <d v="2017-09-30T00:00:00"/>
    <s v="Development Other"/>
    <n v="950000"/>
    <s v="Anderson Kumpolota"/>
    <s v="Assistant Programme Director"/>
    <s v="eliza.mhango@care.org"/>
    <s v="Eliza Mhango"/>
    <s v="Project Manager"/>
    <s v="eliza.mhango@care.org"/>
    <s v="NO"/>
    <s v="YES"/>
    <s v="NO"/>
    <s v="Ensure that girls and boys living in malawi have access to high quality, accountable and transparent education services"/>
    <s v="Sub-National"/>
    <s v="The project is covering all the three regions  ( Southern Central and Northern ) of Malawi. In the North the project is being implemented in Mzuzu city, in Central the project is in Kasungu, Dedza and in South the project is implemented in Balaka, Mwanza, Mulanje and Phalombe."/>
    <s v="Girls and boys  who are learners in the 90 targeted primary schools  will benefit from the improved education services"/>
    <n v="24000"/>
    <n v="23000"/>
    <n v="47000"/>
    <n v="84240"/>
    <n v="77760"/>
    <n v="162000"/>
    <s v="Direct participants are learners, teachers, parents, school management committees and stakeholders that attended projects trainings, meetings and received some project materials. Indirect participant are learners, teachers, parents, school management committees and stakeholders that got messages and support from the direct participants."/>
    <m/>
    <m/>
    <m/>
    <m/>
    <m/>
    <m/>
    <m/>
    <m/>
    <m/>
    <m/>
    <m/>
    <m/>
    <m/>
    <m/>
    <m/>
    <s v="NO"/>
    <m/>
    <m/>
    <m/>
    <m/>
    <m/>
    <m/>
    <m/>
    <m/>
    <m/>
    <m/>
    <m/>
    <m/>
    <m/>
    <m/>
    <m/>
    <m/>
    <m/>
    <m/>
    <m/>
    <m/>
    <m/>
    <m/>
    <m/>
    <m/>
    <m/>
    <m/>
    <m/>
    <m/>
    <m/>
    <m/>
    <m/>
    <m/>
    <m/>
    <m/>
    <m/>
    <m/>
    <m/>
    <m/>
    <m/>
    <m/>
    <m/>
    <m/>
    <m/>
    <m/>
    <n v="12420"/>
    <n v="6940"/>
    <n v="19360"/>
    <n v="37260"/>
    <n v="20820"/>
    <n v="58080"/>
    <s v="NO"/>
    <m/>
    <m/>
    <m/>
    <s v="NO"/>
    <m/>
    <m/>
    <m/>
    <s v="NO"/>
    <m/>
    <m/>
    <m/>
    <s v="NO"/>
    <m/>
    <m/>
    <m/>
    <s v="NO"/>
    <m/>
    <m/>
    <m/>
    <s v="YES"/>
    <n v="19360"/>
    <n v="0.64129999999999998"/>
    <n v="58080"/>
    <s v="NO"/>
    <m/>
    <m/>
    <m/>
    <s v="NO"/>
    <m/>
    <m/>
    <m/>
    <s v="NO"/>
    <m/>
    <m/>
    <m/>
    <s v="NO"/>
    <m/>
    <m/>
    <m/>
    <s v="NO"/>
    <m/>
    <m/>
    <m/>
    <s v="NO"/>
    <m/>
    <m/>
    <m/>
    <s v="YES"/>
    <n v="19360"/>
    <n v="0.64"/>
    <n v="58080"/>
    <s v="NO"/>
    <m/>
    <m/>
    <m/>
    <s v="NO"/>
    <m/>
    <m/>
    <m/>
    <s v="NO"/>
    <m/>
    <m/>
    <m/>
    <m/>
    <s v="NO"/>
    <m/>
    <m/>
    <m/>
    <s v="NO"/>
    <m/>
    <m/>
    <m/>
    <s v="YES"/>
    <s v="September"/>
    <n v="2017"/>
    <s v="The Evaluation will depend on the approval by the World Bank which has been too slow to respond to such communications."/>
    <x v="1"/>
    <s v="NO"/>
    <s v="NO"/>
    <s v="YES"/>
    <s v="YES"/>
    <s v="NO"/>
    <s v="NO"/>
    <s v="YES"/>
    <s v="NO"/>
    <m/>
    <x v="0"/>
    <m/>
    <x v="1"/>
    <s v="Community Score Card and Use of Real Time Data Collection"/>
    <x v="1"/>
    <x v="0"/>
    <s v="NO"/>
    <x v="1"/>
    <x v="0"/>
    <x v="0"/>
    <x v="1"/>
    <n v="2"/>
    <x v="1"/>
    <x v="2"/>
    <x v="1"/>
    <x v="1"/>
    <x v="1"/>
    <x v="1"/>
    <n v="3"/>
    <x v="2"/>
    <x v="2"/>
    <x v="2"/>
    <x v="2"/>
    <x v="2"/>
    <n v="0"/>
    <x v="2"/>
    <x v="0"/>
    <n v="1"/>
    <s v="Local NGO(s)/CSO(s)"/>
    <m/>
    <m/>
    <x v="0"/>
    <s v="CARE built capacity of the civil society groups and provided technical support whenever necessary"/>
    <m/>
    <s v="Community scorecard has proved to be the most effective model in bringing impact to the project as it has made the community realise their role to play in improving education services as well as enabling teachers to be  accountable as they interact and  provide services to learners, thereby increasing transparency and accountability in eduaction sector."/>
    <m/>
    <m/>
    <s v="Lack of involving government in the initial planning stage has affected project results as its input came when funding has already been exocited hence it was difficuilt to make adjustments since modifications needed additional funds"/>
    <m/>
    <m/>
    <m/>
    <m/>
    <n v="19360"/>
    <n v="58080"/>
    <n v="3"/>
    <n v="0.64152892561983466"/>
    <n v="0.64152892561983466"/>
    <n v="12420"/>
    <n v="37260"/>
    <s v=""/>
    <n v="0"/>
    <n v="0"/>
    <s v=""/>
    <s v=""/>
    <n v="0"/>
    <n v="0"/>
    <s v=""/>
    <s v=""/>
    <n v="0"/>
    <n v="0"/>
    <s v=""/>
    <s v=""/>
    <n v="0"/>
    <n v="0"/>
    <s v=""/>
    <s v=""/>
    <n v="0"/>
    <n v="0"/>
    <s v=""/>
    <s v="1. Neutral"/>
    <s v="2. Accommodating"/>
    <s v="0. Harmful"/>
    <s v="It did not develop any specific innovation"/>
    <s v="Moderate advocacy"/>
    <s v="It linked and worked with strategic alliances and partners to take tested and effective solutions to scale"/>
  </r>
  <r>
    <x v="44"/>
    <x v="5"/>
    <n v="3124"/>
    <s v="Improving Food Security and Building Resilience ( GIZ Nutrition)"/>
    <s v="Malawi"/>
    <s v="PID: CDEUMW0009; FC: DE684"/>
    <s v="CARE Deutschland-Luxemburg"/>
    <s v="Government"/>
    <s v="Government - Germany"/>
    <s v="GIZ"/>
    <m/>
    <m/>
    <m/>
    <m/>
    <m/>
    <m/>
    <m/>
    <m/>
    <m/>
    <m/>
    <m/>
    <m/>
    <m/>
    <m/>
    <m/>
    <m/>
    <m/>
    <m/>
    <m/>
    <m/>
    <m/>
    <m/>
    <m/>
    <m/>
    <m/>
    <m/>
    <m/>
    <m/>
    <m/>
    <m/>
    <m/>
    <m/>
    <m/>
    <m/>
    <m/>
    <m/>
    <m/>
    <m/>
    <m/>
    <m/>
    <m/>
    <m/>
    <m/>
    <m/>
    <m/>
    <d v="2015-10-01T00:00:00"/>
    <d v="2017-12-31T00:00:00"/>
    <m/>
    <s v="Development Food &amp; Nutrition Security and Resilience to Climate Change"/>
    <n v="542881"/>
    <s v="Clement Bisai"/>
    <s v="Country Office Monitoring and Evaluation Advisor"/>
    <s v="clement.bisai@care.org"/>
    <s v="Rose F Tchwenko"/>
    <s v="Assitant Country Director - Program"/>
    <s v="Rose.Tchwenko@care.org"/>
    <s v="NO"/>
    <s v="YES"/>
    <s v="NO"/>
    <s v="To improve nutrition status of pregnant,lactating women and children of underfive years of age in TA Maganga, Ndindi and Pemba in Salima District."/>
    <s v="Sub-National"/>
    <s v="Malawi - Salima district"/>
    <s v="Pregnant, lactating women and underfive children"/>
    <n v="10491"/>
    <n v="4956"/>
    <n v="15447"/>
    <n v="52954"/>
    <n v="56021"/>
    <n v="108975"/>
    <s v="Direct Participants are individuals who are registered in cluster of households while indirect partcipants  are the individuals who are not registered in cluster of the households but living within the same impact area."/>
    <m/>
    <m/>
    <m/>
    <m/>
    <m/>
    <m/>
    <m/>
    <m/>
    <m/>
    <m/>
    <m/>
    <m/>
    <m/>
    <m/>
    <m/>
    <m/>
    <m/>
    <m/>
    <m/>
    <m/>
    <m/>
    <m/>
    <m/>
    <m/>
    <m/>
    <m/>
    <m/>
    <m/>
    <m/>
    <m/>
    <m/>
    <m/>
    <m/>
    <m/>
    <m/>
    <m/>
    <m/>
    <m/>
    <m/>
    <m/>
    <m/>
    <m/>
    <m/>
    <m/>
    <m/>
    <m/>
    <m/>
    <m/>
    <m/>
    <m/>
    <m/>
    <m/>
    <m/>
    <m/>
    <m/>
    <m/>
    <m/>
    <m/>
    <m/>
    <m/>
    <n v="10491"/>
    <n v="4956"/>
    <n v="15447"/>
    <n v="52954"/>
    <n v="56021"/>
    <n v="108975"/>
    <s v="YES"/>
    <n v="3676"/>
    <n v="0.7"/>
    <n v="183"/>
    <s v="NO"/>
    <m/>
    <m/>
    <m/>
    <s v="NO"/>
    <m/>
    <m/>
    <m/>
    <s v="NO"/>
    <m/>
    <m/>
    <m/>
    <s v="NO"/>
    <m/>
    <m/>
    <m/>
    <s v="NO"/>
    <m/>
    <m/>
    <m/>
    <s v="YES"/>
    <n v="14295"/>
    <n v="0.7"/>
    <n v="94680"/>
    <s v="NO"/>
    <m/>
    <m/>
    <m/>
    <s v="NO"/>
    <m/>
    <m/>
    <m/>
    <s v="NO"/>
    <m/>
    <m/>
    <m/>
    <s v="NO"/>
    <m/>
    <m/>
    <m/>
    <s v="NO"/>
    <m/>
    <m/>
    <m/>
    <s v="NO"/>
    <m/>
    <m/>
    <m/>
    <s v="NO"/>
    <m/>
    <m/>
    <m/>
    <s v="YES"/>
    <n v="14295"/>
    <n v="0.7"/>
    <n v="94680"/>
    <s v="YES"/>
    <n v="2053"/>
    <n v="0.88"/>
    <n v="821"/>
    <m/>
    <m/>
    <m/>
    <m/>
    <m/>
    <s v="YES"/>
    <s v="August"/>
    <n v="2016"/>
    <s v="YES"/>
    <s v="YES"/>
    <s v="August"/>
    <n v="2017"/>
    <s v="All project evaluation was done in form of annual survey and was conducted by the donor GIZ."/>
    <x v="0"/>
    <s v="NO"/>
    <s v="NO"/>
    <s v="YES"/>
    <s v="YES"/>
    <s v="NO"/>
    <s v="NO"/>
    <s v="NO"/>
    <s v="NO"/>
    <m/>
    <x v="0"/>
    <m/>
    <x v="1"/>
    <s v="use of care group to implement scaling up nutrition interventions"/>
    <x v="0"/>
    <x v="0"/>
    <s v="YES"/>
    <x v="0"/>
    <x v="0"/>
    <x v="0"/>
    <x v="0"/>
    <n v="4"/>
    <x v="1"/>
    <x v="1"/>
    <x v="1"/>
    <x v="1"/>
    <x v="1"/>
    <x v="1"/>
    <n v="4"/>
    <x v="1"/>
    <x v="1"/>
    <x v="1"/>
    <x v="1"/>
    <x v="1"/>
    <n v="3"/>
    <x v="0"/>
    <x v="1"/>
    <m/>
    <m/>
    <s v="International NGO(s)"/>
    <s v="Local alliance(s)/Platform(s)/Network(s) of  NGOs/CSOs"/>
    <x v="1"/>
    <m/>
    <m/>
    <s v="use of caregroups to reach project target group ie preganant,lactating and underfive children"/>
    <s v="Intergrating community score cards in scaling nutrition interventions"/>
    <s v="Use of VSLAs as tool of economic empowerent to also support nutrition outcomes"/>
    <s v="Use of local leaders to support in scaling up nutrition intervention"/>
    <s v="The intergration of community score card in nutrition activities"/>
    <s v="The functionality of government structures at  grassroot level depend of the perfomance of the district level structures"/>
    <m/>
    <m/>
    <n v="15447"/>
    <n v="108975"/>
    <n v="7.0547679161002135"/>
    <n v="0.67916100213633712"/>
    <n v="0.48592796512961689"/>
    <n v="10491"/>
    <n v="52954"/>
    <s v=""/>
    <n v="0"/>
    <n v="0"/>
    <s v=""/>
    <n v="1"/>
    <n v="14295"/>
    <n v="94680"/>
    <n v="6.6232948583420779"/>
    <s v=""/>
    <n v="0"/>
    <n v="0"/>
    <s v=""/>
    <s v=""/>
    <n v="0"/>
    <n v="0"/>
    <s v=""/>
    <n v="1"/>
    <n v="2053"/>
    <n v="821"/>
    <n v="0.39990258158792014"/>
    <s v="2. Sensitive"/>
    <s v="2. Accommodating"/>
    <s v="2. Sensitive"/>
    <s v="It did not develop any specific innovation"/>
    <s v="Little or no advocacy"/>
    <s v="It linked and worked with strategic alliances and partners to take tested and effective solutions to scale"/>
  </r>
  <r>
    <x v="44"/>
    <x v="5"/>
    <m/>
    <s v="Increasing Mitigation Productivity and Adaptation through Climate-Smart techniques (IMPACT)"/>
    <s v="Malawi"/>
    <s v="PID: OFDAMW0005; FC: US1QF"/>
    <s v="CARE USA"/>
    <s v="Government"/>
    <s v="Government - US"/>
    <s v="OFDA/USAID"/>
    <m/>
    <m/>
    <m/>
    <m/>
    <m/>
    <m/>
    <m/>
    <m/>
    <m/>
    <m/>
    <m/>
    <m/>
    <m/>
    <m/>
    <m/>
    <m/>
    <m/>
    <m/>
    <m/>
    <m/>
    <m/>
    <m/>
    <m/>
    <m/>
    <m/>
    <m/>
    <m/>
    <m/>
    <m/>
    <m/>
    <m/>
    <m/>
    <m/>
    <m/>
    <m/>
    <m/>
    <m/>
    <m/>
    <m/>
    <m/>
    <m/>
    <m/>
    <m/>
    <m/>
    <m/>
    <d v="2016-08-01T00:00:00"/>
    <d v="2017-07-31T00:00:00"/>
    <m/>
    <s v="Humanitarian Food &amp; Nutrition Security and Resilience to Climate Change"/>
    <n v="1428516"/>
    <s v="Joseph Zimba"/>
    <s v="Project Manager"/>
    <s v="joseph.zimba@care.org"/>
    <s v="Rabecca Makhuwira"/>
    <s v="M&amp;E Coordinator"/>
    <s v="rabecca.makhuwira@care.org"/>
    <s v="YES"/>
    <s v="NO"/>
    <s v="NO"/>
    <s v="To mitigate the impact of the El Niño drought on household food security through early agricultural recovery programming.  "/>
    <s v="Sub-National"/>
    <s v="TAs Tengani, Mbenje and Mlolo in Nsanje district; TAs Juma, Nkanda and Mthiramanja in Mulanje district and TAs Jenala, Chiwalo and Mkhumba in Phalombe districts in Malawi"/>
    <s v="Households affected by the El Nino drought in Nsanje, Mulanje and Phalombe"/>
    <n v="10800"/>
    <n v="7200"/>
    <n v="18000"/>
    <n v="45360"/>
    <n v="30240"/>
    <n v="75600"/>
    <s v="The direct participants are farmers received seed for winter and rainfed agriculture, participated in seed fairs as well as farmers that participated in trainings. The indirect participants are those members of the families targeted to recieve see and trainings."/>
    <m/>
    <n v="10988"/>
    <n v="8465"/>
    <n v="19453"/>
    <n v="46446"/>
    <n v="35553"/>
    <n v="81999"/>
    <s v="NO"/>
    <m/>
    <m/>
    <m/>
    <s v="NO"/>
    <m/>
    <m/>
    <m/>
    <s v="NO"/>
    <m/>
    <m/>
    <m/>
    <s v="YES"/>
    <n v="19453"/>
    <n v="0.56000000000000005"/>
    <n v="81999"/>
    <s v="NO"/>
    <m/>
    <m/>
    <m/>
    <s v="NO"/>
    <m/>
    <m/>
    <m/>
    <s v="NO"/>
    <m/>
    <m/>
    <m/>
    <s v="Yes"/>
    <n v="19453"/>
    <n v="0.56000000000000005"/>
    <n v="81999"/>
    <s v="NO"/>
    <m/>
    <m/>
    <m/>
    <s v="NO"/>
    <m/>
    <m/>
    <m/>
    <s v="NO"/>
    <m/>
    <m/>
    <m/>
    <s v="NO"/>
    <m/>
    <m/>
    <m/>
    <m/>
    <s v="NO"/>
    <m/>
    <m/>
    <m/>
    <m/>
    <m/>
    <m/>
    <m/>
    <m/>
    <m/>
    <m/>
    <m/>
    <m/>
    <m/>
    <m/>
    <m/>
    <m/>
    <m/>
    <m/>
    <m/>
    <m/>
    <m/>
    <m/>
    <m/>
    <m/>
    <m/>
    <m/>
    <m/>
    <m/>
    <m/>
    <m/>
    <m/>
    <m/>
    <m/>
    <m/>
    <m/>
    <m/>
    <m/>
    <m/>
    <m/>
    <m/>
    <m/>
    <m/>
    <m/>
    <m/>
    <m/>
    <m/>
    <m/>
    <m/>
    <m/>
    <m/>
    <m/>
    <m/>
    <m/>
    <m/>
    <m/>
    <m/>
    <m/>
    <m/>
    <m/>
    <m/>
    <m/>
    <m/>
    <m/>
    <m/>
    <m/>
    <m/>
    <m/>
    <m/>
    <m/>
    <m/>
    <m/>
    <m/>
    <m/>
    <m/>
    <m/>
    <m/>
    <m/>
    <m/>
    <s v="YES"/>
    <s v="December"/>
    <n v="2016"/>
    <s v="YES"/>
    <s v="YES"/>
    <s v="July"/>
    <n v="2017"/>
    <s v="An endline survey was done in July 2017 and report not yet finalized or approved (still being reviewed)."/>
    <x v="1"/>
    <s v="NO"/>
    <s v="NO"/>
    <s v="YES"/>
    <s v="NO"/>
    <s v="NO"/>
    <s v="NO"/>
    <s v="NO"/>
    <s v="NO"/>
    <m/>
    <x v="0"/>
    <m/>
    <x v="1"/>
    <s v="The CBA Approach; the working through Lead farmers"/>
    <x v="1"/>
    <x v="0"/>
    <s v="YES"/>
    <x v="0"/>
    <x v="0"/>
    <x v="0"/>
    <x v="0"/>
    <n v="4"/>
    <x v="1"/>
    <x v="1"/>
    <x v="1"/>
    <x v="1"/>
    <x v="1"/>
    <x v="1"/>
    <n v="4"/>
    <x v="1"/>
    <x v="1"/>
    <x v="1"/>
    <x v="1"/>
    <x v="1"/>
    <n v="3"/>
    <x v="0"/>
    <x v="3"/>
    <n v="1"/>
    <s v="Local NGO(s)/CSO(s)"/>
    <m/>
    <m/>
    <x v="1"/>
    <m/>
    <s v="During reflections/review meetings, it was acknowledged that the project can be doing more on gender. As a result, a Rapid Gender Analysis in the project areas was undertaken, and the results were used to plan more gender-transformative programming (although the real impact was not seen until the next fiscal year, when Phase II started)."/>
    <s v="working through lead farmers"/>
    <s v="working with farmers in organized groups like irrigation schemes or clubs"/>
    <s v="the CBA approach"/>
    <s v="working with farmers in organized groups like irrigation schemes or clubs improved the level of technical support and monitoring provided to farmers"/>
    <s v="Working with committed, hard working and well trained lead farmers helps in the technologies being scaled out to more farmers  "/>
    <s v="It was a bit difficult to promote construction of mud smeared granaries due to farmers' negativity to the technology for fear of theft of their little harvest if left outside. In addition due to poor harvests farmers were not willing to invest their energies in something they would not use."/>
    <s v="This year's implementation was overshadowed by the outbreak of the Fall armyworm that affected farmers crops especially maize further threatening household food insecurity for the majority of the farmers that were not able to effectively control the pests. In addition the effect of the dry spellls experiences in the three target districts also contributed to low yields hence making the project not fully its objective."/>
    <m/>
    <n v="19453"/>
    <n v="81999"/>
    <n v="4.2152367244126872"/>
    <n v="0.56484860946897653"/>
    <n v="0.56642154172611858"/>
    <n v="10988"/>
    <n v="46446"/>
    <n v="1"/>
    <n v="19453"/>
    <n v="81999"/>
    <n v="4.2152367244126872"/>
    <n v="1"/>
    <n v="19453"/>
    <n v="81999"/>
    <n v="4.2152367244126872"/>
    <s v=""/>
    <n v="0"/>
    <n v="0"/>
    <s v=""/>
    <s v=""/>
    <n v="0"/>
    <n v="0"/>
    <s v=""/>
    <s v=""/>
    <n v="0"/>
    <n v="0"/>
    <s v=""/>
    <s v="2. Sensitive"/>
    <s v="2. Accommodating"/>
    <s v="2. Sensitive"/>
    <s v="It did not develop any specific innovation"/>
    <s v="Moderate advocacy"/>
    <s v="It linked and worked with strategic alliances and partners to take tested and effective solutions to scale"/>
  </r>
  <r>
    <x v="44"/>
    <x v="5"/>
    <n v="3120"/>
    <s v="Join My Village"/>
    <s v="Malawi"/>
    <s v="PID:, MERCMW0009, FC: USM16"/>
    <s v="CARE USA"/>
    <s v="Corporation"/>
    <s v="Other"/>
    <s v="General Mills Foundation"/>
    <m/>
    <m/>
    <m/>
    <m/>
    <m/>
    <m/>
    <m/>
    <m/>
    <m/>
    <m/>
    <m/>
    <m/>
    <m/>
    <m/>
    <m/>
    <m/>
    <m/>
    <m/>
    <m/>
    <m/>
    <m/>
    <m/>
    <m/>
    <m/>
    <m/>
    <m/>
    <m/>
    <m/>
    <m/>
    <m/>
    <m/>
    <m/>
    <m/>
    <m/>
    <m/>
    <m/>
    <m/>
    <m/>
    <m/>
    <m/>
    <m/>
    <m/>
    <m/>
    <m/>
    <m/>
    <d v="2016-07-01T00:00:00"/>
    <d v="2017-09-30T00:00:00"/>
    <d v="2017-09-30T00:00:00"/>
    <s v="Development Other"/>
    <n v="350000"/>
    <s v="Anderson Kumpolota"/>
    <s v="Pogram Director"/>
    <s v="anderson.kumpolota@care.org"/>
    <s v="Brian Majamanda"/>
    <s v="Monitoring and Evaluation Coordinator"/>
    <s v="brian.majamanda@care.org"/>
    <s v="NO"/>
    <s v="YES"/>
    <s v="NO"/>
    <s v="To enhance attainment of quality and equitable education"/>
    <s v="Sub-National"/>
    <s v="Kasungu District in Malawi"/>
    <s v="Adolescent girls and young women"/>
    <n v="15690"/>
    <n v="12295"/>
    <n v="27985"/>
    <n v="9400"/>
    <n v="5600"/>
    <n v="15000"/>
    <s v="Direct participants are those that are benefiting directly from the project initiative  while indirect beneciaries are the ones that are benefiting from the direct participants and/or those that have adopted some practices from the project initiatives (The average household size is 5)"/>
    <m/>
    <m/>
    <m/>
    <m/>
    <m/>
    <m/>
    <m/>
    <m/>
    <m/>
    <m/>
    <m/>
    <m/>
    <m/>
    <m/>
    <m/>
    <m/>
    <m/>
    <m/>
    <m/>
    <m/>
    <m/>
    <m/>
    <m/>
    <m/>
    <m/>
    <m/>
    <m/>
    <m/>
    <m/>
    <m/>
    <m/>
    <m/>
    <m/>
    <m/>
    <m/>
    <m/>
    <m/>
    <m/>
    <m/>
    <m/>
    <m/>
    <m/>
    <m/>
    <m/>
    <m/>
    <m/>
    <m/>
    <m/>
    <m/>
    <m/>
    <m/>
    <m/>
    <m/>
    <m/>
    <m/>
    <m/>
    <m/>
    <m/>
    <m/>
    <m/>
    <n v="16901"/>
    <n v="13133"/>
    <n v="30034"/>
    <n v="18778"/>
    <n v="17337"/>
    <n v="36115"/>
    <s v="YES"/>
    <n v="2654"/>
    <n v="0.73"/>
    <n v="10815"/>
    <s v="NO"/>
    <m/>
    <m/>
    <m/>
    <s v="NO"/>
    <m/>
    <m/>
    <m/>
    <s v="NO"/>
    <m/>
    <m/>
    <m/>
    <s v="YES"/>
    <n v="1570"/>
    <n v="0.56000000000000005"/>
    <n v="7065"/>
    <s v="YES"/>
    <n v="17680"/>
    <n v="0.59"/>
    <n v="21300"/>
    <s v="YES"/>
    <n v="2163"/>
    <n v="0.73"/>
    <n v="10815"/>
    <s v="NO"/>
    <m/>
    <m/>
    <m/>
    <s v="NO"/>
    <m/>
    <m/>
    <m/>
    <s v="NO"/>
    <m/>
    <m/>
    <m/>
    <s v="YES"/>
    <n v="112"/>
    <n v="1"/>
    <n v="0"/>
    <s v="NO"/>
    <m/>
    <m/>
    <m/>
    <s v="YES"/>
    <n v="4500"/>
    <n v="0.61"/>
    <n v="4800"/>
    <s v="NO"/>
    <m/>
    <m/>
    <m/>
    <s v="YES"/>
    <n v="9700"/>
    <n v="0.81"/>
    <n v="11000"/>
    <s v="YES"/>
    <n v="6500"/>
    <n v="0.82"/>
    <n v="10180"/>
    <m/>
    <m/>
    <m/>
    <m/>
    <m/>
    <s v="NO"/>
    <m/>
    <m/>
    <s v="NO"/>
    <s v="NO"/>
    <m/>
    <m/>
    <m/>
    <x v="1"/>
    <s v="NO"/>
    <s v="NO"/>
    <s v="YES"/>
    <s v="YES"/>
    <s v="NO"/>
    <s v="NO"/>
    <s v="NO"/>
    <s v="YES"/>
    <s v="We do advocacy for arleady existing policies like readmision policy, decentralization, good governance and quality education for all."/>
    <x v="0"/>
    <m/>
    <x v="1"/>
    <s v="The agriculture initiative in which the project worked with Ministry of Agriculture throgh Kasungu DADO and extension workers in Sustainable agriculture"/>
    <x v="1"/>
    <x v="0"/>
    <s v="YES"/>
    <x v="0"/>
    <x v="0"/>
    <x v="0"/>
    <x v="0"/>
    <n v="4"/>
    <x v="1"/>
    <x v="1"/>
    <x v="1"/>
    <x v="1"/>
    <x v="1"/>
    <x v="1"/>
    <n v="4"/>
    <x v="3"/>
    <x v="1"/>
    <x v="1"/>
    <x v="1"/>
    <x v="4"/>
    <n v="3"/>
    <x v="2"/>
    <x v="0"/>
    <n v="1"/>
    <m/>
    <m/>
    <m/>
    <x v="1"/>
    <m/>
    <s v="The project did not change anything."/>
    <s v="VSLA"/>
    <s v="Community Score Card"/>
    <s v="Farmer Schools"/>
    <s v="Community scholarship fund has proved to be a sustainable ways of supporting needy boys and girls with education basic needs"/>
    <s v="Community score Card has proved to help people to speak out about issues affecting them and demand for quality services"/>
    <s v="Reusable sanitory pads has reduced school absenteesm and improved menstrual hygiene amongst women and girls"/>
    <m/>
    <m/>
    <n v="30034"/>
    <n v="36115"/>
    <n v="1.202470533395485"/>
    <n v="0.56272890723846303"/>
    <n v="0.5199501592136232"/>
    <n v="16901"/>
    <n v="18778"/>
    <s v=""/>
    <n v="0"/>
    <n v="0"/>
    <s v=""/>
    <n v="1"/>
    <n v="9700"/>
    <n v="11000"/>
    <n v="1.134020618556701"/>
    <s v=""/>
    <n v="0"/>
    <n v="0"/>
    <s v=""/>
    <s v=""/>
    <n v="0"/>
    <n v="0"/>
    <s v=""/>
    <n v="1"/>
    <n v="6500"/>
    <n v="10180"/>
    <n v="1.5661538461538462"/>
    <s v="2. Sensitive"/>
    <s v="2. Accommodating"/>
    <s v="4. Transformative"/>
    <s v="It did not develop any specific innovation"/>
    <s v="Moderate advocacy"/>
    <s v="It linked and worked with strategic alliances and partners to take tested and effective solutions to scale"/>
  </r>
  <r>
    <x v="44"/>
    <x v="5"/>
    <m/>
    <s v="Lendwithcare"/>
    <s v="Malawi"/>
    <s v="UNRTGB0076"/>
    <s v="CARE UK"/>
    <s v="Individual supporter"/>
    <s v="Other"/>
    <m/>
    <s v="UNRTGB0076"/>
    <s v="CARE UK"/>
    <s v="Foundation"/>
    <s v="Other"/>
    <s v="The Jimmy Choo Foundation"/>
    <m/>
    <m/>
    <m/>
    <m/>
    <m/>
    <m/>
    <m/>
    <m/>
    <m/>
    <m/>
    <m/>
    <m/>
    <m/>
    <m/>
    <m/>
    <m/>
    <m/>
    <m/>
    <m/>
    <m/>
    <m/>
    <m/>
    <m/>
    <m/>
    <m/>
    <m/>
    <m/>
    <m/>
    <m/>
    <m/>
    <m/>
    <m/>
    <m/>
    <m/>
    <m/>
    <m/>
    <m/>
    <m/>
    <m/>
    <m/>
    <d v="2016-07-01T00:00:00"/>
    <d v="2017-06-30T00:00:00"/>
    <m/>
    <s v="Development Access to and Control over Economic Resources"/>
    <n v="692463"/>
    <s v="Tracey Horner"/>
    <s v="Head of Lendwithcare"/>
    <s v="horner@careinternational.org"/>
    <m/>
    <m/>
    <m/>
    <s v="NO"/>
    <s v="YES"/>
    <s v="NO"/>
    <s v="Provide loan capital to poor and low-income individuals, exclusively groups of rural women, who want to start or expand a small business."/>
    <s v="Sub-National"/>
    <s v="Central and Southern Malawi"/>
    <s v="Women with existing income-generating activities who are excluded from the formal financial sector. The main impact groups are individuals engaged in small-scale farming, animal husbandry and petty trading."/>
    <n v="8632"/>
    <n v="0"/>
    <n v="8632"/>
    <n v="18548"/>
    <n v="15127"/>
    <n v="33675"/>
    <s v="Direct participants are those who received a loan to invest in their business from Lendwithcare lenders in FY17. Indirect participants have been calculated by adding up all of the dependents of the entrepreneurs who received a loan in FY17 and the people who have been employed in their businesses. We are not able to disaggregate the data for indirect participants by female and male, so I have used the ratio of 51:49 that is in the CIA World Factbook for Malawi https://www.cia.gov/library/publications/resources/the-world-factbook/geos/mi.html. This is an on-going project so I have given the numbers of participants just in this FY as there is no end date to the project."/>
    <m/>
    <m/>
    <m/>
    <m/>
    <m/>
    <m/>
    <m/>
    <m/>
    <m/>
    <m/>
    <m/>
    <m/>
    <m/>
    <m/>
    <m/>
    <m/>
    <m/>
    <m/>
    <m/>
    <m/>
    <m/>
    <m/>
    <m/>
    <m/>
    <m/>
    <m/>
    <m/>
    <m/>
    <m/>
    <m/>
    <m/>
    <m/>
    <m/>
    <m/>
    <m/>
    <m/>
    <m/>
    <m/>
    <m/>
    <m/>
    <m/>
    <m/>
    <m/>
    <m/>
    <m/>
    <m/>
    <m/>
    <m/>
    <m/>
    <m/>
    <m/>
    <m/>
    <m/>
    <m/>
    <m/>
    <m/>
    <m/>
    <m/>
    <m/>
    <m/>
    <n v="8632"/>
    <n v="0"/>
    <n v="8632"/>
    <n v="18548"/>
    <n v="15127"/>
    <n v="33675"/>
    <m/>
    <m/>
    <m/>
    <m/>
    <m/>
    <m/>
    <m/>
    <m/>
    <m/>
    <m/>
    <m/>
    <m/>
    <m/>
    <m/>
    <m/>
    <m/>
    <m/>
    <m/>
    <m/>
    <m/>
    <m/>
    <m/>
    <m/>
    <m/>
    <m/>
    <m/>
    <m/>
    <m/>
    <m/>
    <m/>
    <m/>
    <m/>
    <m/>
    <m/>
    <m/>
    <m/>
    <m/>
    <m/>
    <m/>
    <m/>
    <m/>
    <m/>
    <m/>
    <m/>
    <m/>
    <m/>
    <m/>
    <m/>
    <m/>
    <m/>
    <m/>
    <m/>
    <m/>
    <m/>
    <m/>
    <m/>
    <m/>
    <m/>
    <m/>
    <m/>
    <s v="YES"/>
    <n v="8632"/>
    <n v="1"/>
    <n v="33675"/>
    <m/>
    <m/>
    <m/>
    <m/>
    <m/>
    <s v="NO"/>
    <m/>
    <m/>
    <m/>
    <s v="NO"/>
    <m/>
    <m/>
    <m/>
    <x v="0"/>
    <m/>
    <m/>
    <m/>
    <m/>
    <m/>
    <m/>
    <m/>
    <m/>
    <m/>
    <x v="0"/>
    <m/>
    <x v="0"/>
    <m/>
    <x v="0"/>
    <x v="3"/>
    <m/>
    <x v="2"/>
    <x v="2"/>
    <x v="2"/>
    <x v="5"/>
    <n v="0"/>
    <x v="3"/>
    <x v="0"/>
    <x v="0"/>
    <x v="0"/>
    <x v="0"/>
    <x v="3"/>
    <n v="0"/>
    <x v="2"/>
    <x v="0"/>
    <x v="0"/>
    <x v="0"/>
    <x v="2"/>
    <n v="0"/>
    <x v="2"/>
    <x v="2"/>
    <n v="1"/>
    <s v="Private sector"/>
    <m/>
    <m/>
    <x v="1"/>
    <m/>
    <s v="There were no important changes or adjustments made."/>
    <s v="Microfinance was used as the strategy to meet our Financial Inclusion and WEE objectives."/>
    <s v="Peer-to-peer lending was used as the strategy to raise loan capital for the project's participants."/>
    <m/>
    <s v="Since Lendwithcare sends loan capital to our microfinance partners in USD this has exposed some of our partners, including our partner in Malawi, to a certain degree of exchange rate risk. To mitigate this risk we began transferring loan capital in GBP to their Head Office in the UK who would then transfer the money in GBP or local currency."/>
    <s v="Drought and flooding continue to a be a challenge for micro-entrepreneurs in Malawi. Our partner has worked closely with its clients to develop a suitable agricultural product that include grace periods and longer repayment periods."/>
    <m/>
    <s v="This is an on-going initiative so we do not have a budget for the lifetime of the initiatve. The budget we have reported is how much loan capital we actually raised for our partner in Malawi in FY17. Lendwithcare does not use gender, resilience or governance scorecards as part of its programming so we have had to answer no to all the questions related to these. However, an outcome of 'harmful' (particularly with regards to women's empowerment and gender equality) seems in accurate since this initiatve focuses heavily on Women's Economic Empowerment and in Malawi the beneficiaries are 100% female."/>
    <m/>
    <n v="8632"/>
    <n v="33675"/>
    <n v="3.9011816496756255"/>
    <n v="1"/>
    <n v="0.55079435783221975"/>
    <n v="8632"/>
    <n v="18548"/>
    <s v=""/>
    <n v="0"/>
    <n v="0"/>
    <s v=""/>
    <s v=""/>
    <n v="0"/>
    <n v="0"/>
    <s v=""/>
    <s v=""/>
    <n v="0"/>
    <n v="0"/>
    <s v=""/>
    <s v=""/>
    <n v="0"/>
    <n v="0"/>
    <s v=""/>
    <n v="1"/>
    <n v="8632"/>
    <n v="33675"/>
    <n v="3.9011816496756255"/>
    <s v="0. Harmful"/>
    <s v="0. Unaware"/>
    <s v="0. Harmful"/>
    <s v="It did not develop any specific innovation"/>
    <s v="Little or no advocacy"/>
    <s v="It did not take tested solutions to scale"/>
  </r>
  <r>
    <x v="44"/>
    <x v="5"/>
    <n v="3129"/>
    <s v="Pathways to Secure and Resilient Livelihoods"/>
    <s v="Malawi"/>
    <s v="PID: MCARMW001, US1EC"/>
    <s v="CARE USA"/>
    <s v="Foundation"/>
    <s v="Other"/>
    <s v="Margaret A. Cargill Foundation"/>
    <m/>
    <m/>
    <m/>
    <m/>
    <m/>
    <m/>
    <m/>
    <m/>
    <m/>
    <m/>
    <m/>
    <m/>
    <m/>
    <m/>
    <m/>
    <m/>
    <m/>
    <m/>
    <m/>
    <m/>
    <m/>
    <m/>
    <m/>
    <m/>
    <m/>
    <m/>
    <m/>
    <m/>
    <m/>
    <m/>
    <m/>
    <m/>
    <m/>
    <m/>
    <m/>
    <m/>
    <m/>
    <m/>
    <m/>
    <m/>
    <m/>
    <m/>
    <m/>
    <m/>
    <m/>
    <m/>
    <m/>
    <m/>
    <s v="Development Food &amp; Nutrition Security and Resilience to Climate Change"/>
    <n v="652199"/>
    <s v="Lemekeza mokiwa"/>
    <s v="Programme Director"/>
    <s v="lemekeza.mokiwa@care.org"/>
    <s v="Salome Mhango"/>
    <s v="Project Manager"/>
    <s v="salome.mhango@care.usa"/>
    <s v="NO"/>
    <s v="YES"/>
    <s v="NO"/>
    <s v="More resilient small holder households with empowered women belonging to well managed and governed collectives"/>
    <s v="Multiple countries"/>
    <s v="Malawi- Central Region-Dowa and Kasungu"/>
    <s v="Chronically rural food insecure poor women with land and labour and living below 1$ per day"/>
    <n v="3080"/>
    <n v="420"/>
    <n v="3500"/>
    <n v="17248"/>
    <n v="2352"/>
    <n v="19600"/>
    <s v="Direct participants are the direct beneficiaries of the project who the project directly trains. Indirects participants have been calculted by multiplying the number of beneficiaries by the average household size which is 5. Farmers who are non beneficiaries but attend project activities such as field days have also been considered indirect participants"/>
    <m/>
    <m/>
    <m/>
    <m/>
    <m/>
    <m/>
    <m/>
    <m/>
    <m/>
    <m/>
    <m/>
    <m/>
    <m/>
    <m/>
    <m/>
    <m/>
    <m/>
    <m/>
    <m/>
    <m/>
    <m/>
    <m/>
    <m/>
    <m/>
    <m/>
    <m/>
    <m/>
    <m/>
    <m/>
    <m/>
    <m/>
    <m/>
    <m/>
    <m/>
    <m/>
    <m/>
    <m/>
    <m/>
    <m/>
    <m/>
    <m/>
    <m/>
    <m/>
    <m/>
    <m/>
    <m/>
    <m/>
    <m/>
    <m/>
    <m/>
    <m/>
    <m/>
    <m/>
    <m/>
    <m/>
    <m/>
    <m/>
    <m/>
    <m/>
    <m/>
    <n v="3080"/>
    <n v="420"/>
    <n v="3500"/>
    <n v="17248"/>
    <n v="2352"/>
    <n v="19600"/>
    <s v="YES"/>
    <n v="3500"/>
    <n v="0.8"/>
    <n v="19600"/>
    <s v="YES"/>
    <n v="3500"/>
    <n v="0.8"/>
    <n v="19600"/>
    <s v="NO"/>
    <m/>
    <m/>
    <m/>
    <s v="NO"/>
    <m/>
    <m/>
    <m/>
    <s v="YES"/>
    <n v="3500"/>
    <n v="0.8"/>
    <n v="19600"/>
    <s v="NO"/>
    <m/>
    <m/>
    <m/>
    <s v="YES"/>
    <n v="3500"/>
    <n v="0.8"/>
    <n v="19600"/>
    <s v="YES"/>
    <n v="3500"/>
    <n v="0.8"/>
    <n v="19600"/>
    <s v="YES"/>
    <n v="3500"/>
    <n v="0.8"/>
    <n v="19600"/>
    <s v="NO"/>
    <m/>
    <m/>
    <m/>
    <s v="NO"/>
    <m/>
    <m/>
    <m/>
    <s v="NO"/>
    <m/>
    <m/>
    <m/>
    <s v="YES"/>
    <n v="3500"/>
    <n v="0.8"/>
    <n v="19600"/>
    <s v="NO"/>
    <m/>
    <m/>
    <m/>
    <s v="NO"/>
    <m/>
    <m/>
    <m/>
    <s v="YES"/>
    <n v="3500"/>
    <n v="0.8"/>
    <n v="19600"/>
    <m/>
    <s v="NO"/>
    <m/>
    <m/>
    <m/>
    <s v="YES"/>
    <s v="May"/>
    <n v="2017"/>
    <s v="YES"/>
    <s v="NO"/>
    <m/>
    <m/>
    <m/>
    <x v="0"/>
    <s v="NO"/>
    <s v="NO"/>
    <s v="NO"/>
    <s v="NO"/>
    <s v="NO"/>
    <s v="NO"/>
    <s v="NO"/>
    <s v="NO"/>
    <m/>
    <x v="2"/>
    <s v="The programme  promoted use of improved post harvest techniques in particular &quot;Mandera cork&quot; for groundnuts.  This helped farmers to reduce post harvest loss and sell more at the markets"/>
    <x v="0"/>
    <m/>
    <x v="1"/>
    <x v="1"/>
    <s v="YES"/>
    <x v="0"/>
    <x v="0"/>
    <x v="0"/>
    <x v="2"/>
    <n v="4"/>
    <x v="1"/>
    <x v="2"/>
    <x v="1"/>
    <x v="1"/>
    <x v="2"/>
    <x v="4"/>
    <n v="2"/>
    <x v="3"/>
    <x v="1"/>
    <x v="1"/>
    <x v="1"/>
    <x v="4"/>
    <n v="3"/>
    <x v="3"/>
    <x v="0"/>
    <n v="1"/>
    <s v="University/research institution(s)"/>
    <m/>
    <m/>
    <x v="1"/>
    <m/>
    <m/>
    <s v="Engaging Men in gender dialogues facilitated change in gender behaviours"/>
    <s v="&quot;FFBS financing&quot; helped farmers to meet market costs"/>
    <m/>
    <s v="Innovations such as FFBS financing for markets have enabled collectives reach markets beyond the farmgate providing farmers with better prices for their commodities and dealing with vendors / middlemen who are most of the time exploitative by buying at cheaper prices and using fake weighing scales."/>
    <s v="Practices that offer immediate benefits such as double row planting, planting drough resistant varieties etc are adopted faster by farmers than those that have mideum to longterm benefits such as mulching and use of agroforestry trees. More efforts in sensitization of communities in such technologies is requires to register impact."/>
    <s v="Large crowds of men are engaged in dialogues when platforms such as football and traditional dances are used to challenge negative attitudes and behaviours towards women"/>
    <m/>
    <m/>
    <n v="3500"/>
    <n v="19600"/>
    <n v="5.6"/>
    <n v="0.88"/>
    <n v="0.88"/>
    <n v="3080"/>
    <n v="17248"/>
    <s v=""/>
    <n v="0"/>
    <n v="0"/>
    <s v=""/>
    <n v="1"/>
    <n v="3500"/>
    <n v="19600"/>
    <n v="5.6"/>
    <s v=""/>
    <n v="0"/>
    <n v="0"/>
    <s v=""/>
    <n v="1"/>
    <n v="3500"/>
    <n v="19600"/>
    <n v="5.6"/>
    <n v="1"/>
    <n v="3500"/>
    <n v="19600"/>
    <n v="5.6"/>
    <s v="4. Transformative"/>
    <s v="1. Tokenistic"/>
    <s v="4. Transformative"/>
    <s v="It tested new ways for fighting poverty and measured results of innovation"/>
    <s v="Little or no advocacy"/>
    <s v="It did not take tested solutions to scale"/>
  </r>
  <r>
    <x v="44"/>
    <x v="5"/>
    <n v="3118"/>
    <s v="Pathways to Secure livelihoods"/>
    <s v="Malawi"/>
    <s v="PID: GATEMW0009, FC: USN33"/>
    <s v="CARE USA"/>
    <s v="Foundation"/>
    <s v="Bill &amp; Melinda Gates Foundation"/>
    <s v="Bill &amp; Melinda Gates Foundation"/>
    <m/>
    <m/>
    <m/>
    <m/>
    <m/>
    <m/>
    <m/>
    <m/>
    <m/>
    <m/>
    <m/>
    <m/>
    <m/>
    <m/>
    <m/>
    <m/>
    <m/>
    <m/>
    <m/>
    <m/>
    <m/>
    <m/>
    <m/>
    <m/>
    <m/>
    <m/>
    <m/>
    <m/>
    <m/>
    <m/>
    <m/>
    <m/>
    <m/>
    <m/>
    <m/>
    <m/>
    <m/>
    <m/>
    <m/>
    <m/>
    <m/>
    <m/>
    <m/>
    <m/>
    <m/>
    <d v="2011-11-01T00:00:00"/>
    <d v="2015-11-30T00:00:00"/>
    <d v="2018-03-31T00:00:00"/>
    <s v="Development Food &amp; Nutrition Security and Resilience to Climate Change"/>
    <n v="2808069"/>
    <s v="Salome Mhango"/>
    <s v="Project Manager"/>
    <s v="salome.mhango@care.org"/>
    <s v="Lemekeza Mokiwa"/>
    <s v="Programme Director"/>
    <s v="lemekeza.mokiwa@care.org"/>
    <s v="NO"/>
    <s v="YES"/>
    <s v="NO"/>
    <s v="To empower women small holder farmer through more productive and equitable engagement in sustainable agriculture"/>
    <s v="Multiple countries"/>
    <s v="Malawi, Central region, Kasungu &amp; Dowa districts"/>
    <s v="Chronically rural food insecure poor women with land and labour and living below 1$ per day"/>
    <n v="10184"/>
    <n v="3468"/>
    <n v="14282"/>
    <n v="54070"/>
    <n v="17340"/>
    <n v="71410"/>
    <s v="Direct participant are those that consistently participate in the program level activities and are registered in the project database.  Indirect participant are members of households from from which direct participants come from and the community at large. Five is the average household size in the area."/>
    <m/>
    <m/>
    <m/>
    <m/>
    <m/>
    <m/>
    <m/>
    <m/>
    <m/>
    <m/>
    <m/>
    <m/>
    <m/>
    <m/>
    <m/>
    <m/>
    <m/>
    <m/>
    <m/>
    <m/>
    <m/>
    <m/>
    <m/>
    <m/>
    <m/>
    <m/>
    <m/>
    <m/>
    <m/>
    <m/>
    <m/>
    <m/>
    <m/>
    <m/>
    <m/>
    <m/>
    <m/>
    <m/>
    <m/>
    <m/>
    <m/>
    <m/>
    <m/>
    <m/>
    <m/>
    <m/>
    <m/>
    <m/>
    <m/>
    <m/>
    <m/>
    <m/>
    <m/>
    <m/>
    <m/>
    <m/>
    <m/>
    <m/>
    <m/>
    <m/>
    <n v="10184"/>
    <n v="3468"/>
    <n v="13652"/>
    <n v="54070"/>
    <n v="17340"/>
    <n v="71410"/>
    <s v="YES"/>
    <n v="14282"/>
    <n v="0.8"/>
    <n v="7140"/>
    <s v="YES"/>
    <n v="8000"/>
    <n v="0.8"/>
    <n v="3955"/>
    <s v="NO"/>
    <m/>
    <m/>
    <m/>
    <s v="NO"/>
    <m/>
    <m/>
    <m/>
    <s v="YES"/>
    <n v="14282"/>
    <n v="0.8"/>
    <n v="7140"/>
    <s v="NO"/>
    <m/>
    <m/>
    <m/>
    <s v="YES"/>
    <n v="14282"/>
    <n v="0.8"/>
    <n v="7140"/>
    <s v="YES"/>
    <n v="14282"/>
    <n v="0.8"/>
    <n v="7140"/>
    <s v="YES"/>
    <n v="14282"/>
    <n v="0.8"/>
    <n v="7140"/>
    <s v="NO"/>
    <m/>
    <m/>
    <m/>
    <s v="NO"/>
    <m/>
    <m/>
    <m/>
    <s v="NO"/>
    <m/>
    <m/>
    <m/>
    <s v="YES"/>
    <n v="14282"/>
    <n v="0.8"/>
    <n v="7140"/>
    <s v="NO"/>
    <m/>
    <m/>
    <m/>
    <s v="NO"/>
    <m/>
    <m/>
    <m/>
    <s v="YES"/>
    <n v="14282"/>
    <n v="0.8"/>
    <n v="7140"/>
    <m/>
    <m/>
    <m/>
    <m/>
    <m/>
    <s v="NO"/>
    <m/>
    <m/>
    <s v="NO"/>
    <s v="NO"/>
    <m/>
    <m/>
    <m/>
    <x v="0"/>
    <s v="NO"/>
    <s v="NO"/>
    <s v="YES"/>
    <s v="NO"/>
    <s v="NO"/>
    <s v="NO"/>
    <s v="NO"/>
    <m/>
    <m/>
    <x v="1"/>
    <s v="The programme has introduced drugderly reducing small equipment for women farmers in Kasungu and Dowa. This is in pilot stage. Inovation results will be measured and utilized for scaling up upon assessment"/>
    <x v="1"/>
    <s v="The new innovation is in pilot stage and if proven successful will be scaled up"/>
    <x v="1"/>
    <x v="1"/>
    <s v="YES"/>
    <x v="0"/>
    <x v="0"/>
    <x v="0"/>
    <x v="2"/>
    <n v="4"/>
    <x v="1"/>
    <x v="2"/>
    <x v="1"/>
    <x v="1"/>
    <x v="2"/>
    <x v="4"/>
    <n v="2"/>
    <x v="2"/>
    <x v="1"/>
    <x v="2"/>
    <x v="1"/>
    <x v="2"/>
    <n v="2"/>
    <x v="2"/>
    <x v="0"/>
    <n v="1"/>
    <s v="University/research institution(s)"/>
    <m/>
    <m/>
    <x v="1"/>
    <m/>
    <s v="Pathways to Secure livelihoods is in transition state and therefore is at the stage where it is consoilidating learning and gathering more evidence around some of its approaches such as the FFBS. One major focus has been to understand how Government can institutionalize the approach within the DAESS system and as a result it has held a number of workshops with Govt staff from different sections such as Agriculture, gender inorder to figure out how this can be done.  Some of the proposed outcomes of such meetings are to ensure that as the project is winding up, there should be a learning visit with high level Officials from Government and district level offices to understand  and appreciate the approach.  This will be coupled with a fully flegded training especially for the gender Ministry on gender dialogues and outcome mapping methodology and the FFBS approach with Agriculture filed level staff."/>
    <s v="Use of FFBS curricular to deliver trainings in Agriculture, Markets and Gender"/>
    <s v="Backyard gardening"/>
    <s v="FFBS financing for market engagement and for higher level income generating activities"/>
    <s v="Botton up approach to extension services employed on demonstration plot protocols served as an eye opener to the project staff. The approach revealed that communities are capable of designing their own learning agenda"/>
    <s v="FFBS financing was introducing to cover the costs of marketing of Soya and Groundnuts (i.e. Communication) however, the farmers groups are using the funds in different ways to promote investiment in productive activities such as ground nut shellers"/>
    <s v="Intergration has increased investiment in VSLA shares. With increased productivity, the share out value continues to increase every year. This also attributed proper planning and budgeting following members attendance in gender dialogue sessions"/>
    <m/>
    <s v="Vetting forms"/>
    <n v="13652"/>
    <n v="71410"/>
    <n v="5.2307354233811898"/>
    <n v="0.74597128625842368"/>
    <n v="0.7571768659851561"/>
    <n v="10184"/>
    <n v="54070"/>
    <s v=""/>
    <n v="0"/>
    <n v="0"/>
    <s v=""/>
    <n v="1"/>
    <n v="14282"/>
    <n v="7140"/>
    <n v="0.49992998179526676"/>
    <s v=""/>
    <n v="0"/>
    <n v="0"/>
    <s v=""/>
    <n v="1"/>
    <n v="14282"/>
    <n v="7140"/>
    <n v="0.49992998179526676"/>
    <n v="1"/>
    <n v="14282"/>
    <n v="7140"/>
    <n v="0.49992998179526676"/>
    <s v="4. Transformative"/>
    <s v="1. Tokenistic"/>
    <s v="0. Harmful"/>
    <s v="It tested new ways for fighting poverty, but did not measure results of innovation"/>
    <s v="Little or no advocacy"/>
    <s v="It linked and worked with strategic alliances and partners to take tested and effective solutions to scale"/>
  </r>
  <r>
    <x v="44"/>
    <x v="5"/>
    <n v="3119"/>
    <s v="Patsy Collins Trust Fund Initiative"/>
    <s v="Malawi"/>
    <s v="PCTFMW0002-US102"/>
    <s v="CARE USA"/>
    <s v="Foundation"/>
    <m/>
    <s v="Patsy Collins Trust Fund Initiative (PCTFI)"/>
    <m/>
    <m/>
    <m/>
    <m/>
    <m/>
    <m/>
    <m/>
    <m/>
    <m/>
    <m/>
    <m/>
    <m/>
    <m/>
    <m/>
    <m/>
    <m/>
    <m/>
    <m/>
    <m/>
    <m/>
    <m/>
    <m/>
    <m/>
    <m/>
    <m/>
    <m/>
    <m/>
    <m/>
    <m/>
    <m/>
    <m/>
    <m/>
    <m/>
    <m/>
    <m/>
    <m/>
    <m/>
    <m/>
    <m/>
    <m/>
    <m/>
    <m/>
    <m/>
    <m/>
    <m/>
    <d v="2014-07-01T00:00:00"/>
    <d v="2017-11-30T00:00:00"/>
    <m/>
    <s v="Development Other"/>
    <n v="302972"/>
    <s v="Mwawi Mkandawire"/>
    <s v="Project Manager"/>
    <s v="mwawi.mkandawire@care.org"/>
    <s v="Brian Majamanda"/>
    <s v="Monitoring and Evaluation Coordinator"/>
    <s v="brian.majamanda@care.org"/>
    <s v="NO"/>
    <s v="YES"/>
    <s v="NO"/>
    <s v="To improve the the quality of, and access to equitable basic education for all by adressing gender based violence"/>
    <s v="Sub-National"/>
    <s v="Kasungu District in Malawi"/>
    <s v="Adolescent rural girls aged between 10-18"/>
    <n v="8000"/>
    <n v="4000"/>
    <n v="12000"/>
    <n v="20000"/>
    <n v="15000"/>
    <n v="35000"/>
    <s v="Direct participants are those that are benefiting directly from the project initiative and is the sum of all participants involved in all our project interventions  while indirect beneciaries are the ones that are benefiting from the direct participants and/or those that have adopted some practices from the project initiatives"/>
    <m/>
    <m/>
    <m/>
    <m/>
    <m/>
    <m/>
    <m/>
    <m/>
    <m/>
    <m/>
    <m/>
    <m/>
    <m/>
    <m/>
    <m/>
    <m/>
    <m/>
    <m/>
    <m/>
    <m/>
    <m/>
    <m/>
    <m/>
    <m/>
    <m/>
    <m/>
    <m/>
    <m/>
    <m/>
    <m/>
    <m/>
    <m/>
    <m/>
    <m/>
    <m/>
    <m/>
    <m/>
    <m/>
    <m/>
    <m/>
    <m/>
    <m/>
    <m/>
    <m/>
    <m/>
    <m/>
    <m/>
    <m/>
    <m/>
    <m/>
    <m/>
    <m/>
    <m/>
    <m/>
    <m/>
    <m/>
    <m/>
    <m/>
    <m/>
    <m/>
    <n v="9283"/>
    <n v="5510"/>
    <n v="14793"/>
    <n v="19600"/>
    <n v="12500"/>
    <n v="32100"/>
    <s v="NO"/>
    <m/>
    <m/>
    <m/>
    <s v="NO"/>
    <m/>
    <m/>
    <m/>
    <s v="NO"/>
    <m/>
    <m/>
    <m/>
    <s v="NO"/>
    <m/>
    <m/>
    <m/>
    <s v="NO"/>
    <m/>
    <m/>
    <m/>
    <s v="YES"/>
    <n v="16700"/>
    <n v="0.56000000000000005"/>
    <m/>
    <s v="NO"/>
    <m/>
    <m/>
    <m/>
    <s v="YES"/>
    <n v="2300"/>
    <n v="0.7"/>
    <m/>
    <s v="YES"/>
    <n v="8700"/>
    <n v="0.57999999999999996"/>
    <m/>
    <s v="NO"/>
    <m/>
    <m/>
    <m/>
    <s v="NO"/>
    <m/>
    <m/>
    <m/>
    <s v="NO"/>
    <m/>
    <m/>
    <m/>
    <s v="NO"/>
    <m/>
    <m/>
    <m/>
    <s v="NO"/>
    <m/>
    <m/>
    <m/>
    <s v="NO"/>
    <m/>
    <m/>
    <m/>
    <s v="NO"/>
    <m/>
    <m/>
    <m/>
    <m/>
    <m/>
    <m/>
    <m/>
    <m/>
    <s v="NO"/>
    <m/>
    <m/>
    <m/>
    <s v="NO"/>
    <m/>
    <m/>
    <s v="N/A"/>
    <x v="1"/>
    <s v="YES"/>
    <s v="NO"/>
    <s v="NO"/>
    <s v="YES"/>
    <s v="NO"/>
    <s v="NO"/>
    <s v="NO"/>
    <m/>
    <m/>
    <x v="0"/>
    <m/>
    <x v="0"/>
    <m/>
    <x v="1"/>
    <x v="0"/>
    <s v="YES"/>
    <x v="0"/>
    <x v="0"/>
    <x v="0"/>
    <x v="0"/>
    <n v="4"/>
    <x v="1"/>
    <x v="1"/>
    <x v="2"/>
    <x v="1"/>
    <x v="1"/>
    <x v="1"/>
    <n v="3"/>
    <x v="2"/>
    <x v="0"/>
    <x v="0"/>
    <x v="0"/>
    <x v="2"/>
    <n v="0"/>
    <x v="2"/>
    <x v="0"/>
    <n v="1"/>
    <s v="Local government(s)"/>
    <m/>
    <m/>
    <x v="1"/>
    <m/>
    <m/>
    <s v="Working with community structures at different levels including school structures"/>
    <s v="Engaging partners in most of our project interventions"/>
    <s v="Enganging men in our project emplementation"/>
    <s v="There are no major lessons that have been learnt during this period"/>
    <m/>
    <m/>
    <m/>
    <s v="The project was cut short and conducted close out activities in the FY"/>
    <n v="14793"/>
    <n v="32100"/>
    <n v="2.1699452443723382"/>
    <n v="0.62752653281957682"/>
    <n v="0.61059190031152644"/>
    <n v="9283"/>
    <n v="19600"/>
    <s v=""/>
    <n v="0"/>
    <n v="0"/>
    <s v=""/>
    <s v=""/>
    <n v="0"/>
    <n v="0"/>
    <s v=""/>
    <s v=""/>
    <n v="0"/>
    <n v="0"/>
    <s v=""/>
    <n v="1"/>
    <n v="2300"/>
    <n v="0"/>
    <n v="0"/>
    <s v=""/>
    <n v="0"/>
    <n v="0"/>
    <s v=""/>
    <s v="2. Sensitive"/>
    <s v="2. Accommodating"/>
    <s v="0. Harmful"/>
    <s v="It did not develop any specific innovation"/>
    <s v="Moderate advocacy"/>
    <s v="It did not take tested solutions to scale"/>
  </r>
  <r>
    <x v="44"/>
    <x v="5"/>
    <n v="3139"/>
    <s v="Protracted Relief and Recovery Operation 200692"/>
    <s v="Malawi"/>
    <s v="PID: WFPXMW0017; FC: US1QG"/>
    <s v="No CARE member related to the project/initiative"/>
    <s v="Multilateral agency"/>
    <s v="UN - United Nations agencies/offices"/>
    <s v="World Food Programme (WFP)"/>
    <m/>
    <m/>
    <m/>
    <m/>
    <m/>
    <m/>
    <m/>
    <m/>
    <m/>
    <m/>
    <m/>
    <m/>
    <m/>
    <m/>
    <m/>
    <m/>
    <m/>
    <m/>
    <m/>
    <m/>
    <m/>
    <m/>
    <m/>
    <m/>
    <m/>
    <m/>
    <m/>
    <m/>
    <m/>
    <m/>
    <m/>
    <m/>
    <m/>
    <m/>
    <m/>
    <m/>
    <m/>
    <m/>
    <m/>
    <m/>
    <m/>
    <m/>
    <m/>
    <m/>
    <m/>
    <d v="2016-07-01T00:00:00"/>
    <d v="2017-03-30T00:00:00"/>
    <d v="2017-04-15T00:00:00"/>
    <s v="Humanitarian Food &amp; Nutrition Security and Resilience to Climate Change"/>
    <n v="1063833"/>
    <s v="Jessica Swart"/>
    <s v="Emergency Team leader"/>
    <s v="jessica.swart@care.org"/>
    <s v="Gracious Chabvi"/>
    <s v="Project  Manager"/>
    <s v="gracious.chabvi@care.org"/>
    <s v="YES"/>
    <s v="NO"/>
    <s v="NO"/>
    <s v="To meet urgent food and nutrition needs of vulnerable people and communities and reduce under nutrition to below emergency levels."/>
    <s v="Sub-National"/>
    <s v="Nsanje District, in Southern Malawi"/>
    <s v="The project targets the most vulnerable, food insecure households including pregnant and lactating women and children under two."/>
    <n v="88475"/>
    <n v="82928"/>
    <n v="171403"/>
    <m/>
    <m/>
    <m/>
    <s v="The direct participants are those who were targeted for food assistance.The number indicated represents all the members of the targeted households.The data was collected from beneficiaries themselves during registration."/>
    <m/>
    <n v="88475"/>
    <n v="82928"/>
    <n v="171403"/>
    <n v="30966.249999999902"/>
    <n v="29024.799999999999"/>
    <n v="59991"/>
    <s v="NO"/>
    <m/>
    <m/>
    <m/>
    <s v="NO"/>
    <m/>
    <m/>
    <m/>
    <s v="NO"/>
    <m/>
    <m/>
    <m/>
    <s v="YES"/>
    <n v="171403"/>
    <n v="0.51600000000000001"/>
    <n v="59991"/>
    <s v="YES"/>
    <n v="171043"/>
    <n v="0.52"/>
    <n v="59991"/>
    <s v="YES"/>
    <n v="171403"/>
    <n v="0.52"/>
    <n v="59991"/>
    <s v="YES"/>
    <m/>
    <m/>
    <n v="59991"/>
    <s v="Yes"/>
    <n v="6926"/>
    <n v="4.0399999999999998E-2"/>
    <n v="2424"/>
    <s v="YES"/>
    <n v="171403"/>
    <n v="0.52"/>
    <n v="59991"/>
    <s v="NO"/>
    <m/>
    <m/>
    <m/>
    <s v="NO"/>
    <m/>
    <m/>
    <m/>
    <s v="NO"/>
    <m/>
    <m/>
    <m/>
    <m/>
    <s v="NO"/>
    <m/>
    <m/>
    <m/>
    <m/>
    <m/>
    <m/>
    <m/>
    <m/>
    <m/>
    <m/>
    <m/>
    <m/>
    <m/>
    <m/>
    <m/>
    <m/>
    <m/>
    <m/>
    <m/>
    <m/>
    <m/>
    <m/>
    <m/>
    <m/>
    <m/>
    <m/>
    <m/>
    <m/>
    <m/>
    <m/>
    <m/>
    <m/>
    <m/>
    <m/>
    <m/>
    <m/>
    <m/>
    <m/>
    <m/>
    <m/>
    <m/>
    <m/>
    <m/>
    <m/>
    <m/>
    <m/>
    <m/>
    <m/>
    <m/>
    <m/>
    <m/>
    <m/>
    <m/>
    <m/>
    <m/>
    <m/>
    <m/>
    <m/>
    <m/>
    <m/>
    <m/>
    <m/>
    <m/>
    <m/>
    <m/>
    <m/>
    <m/>
    <m/>
    <m/>
    <m/>
    <m/>
    <m/>
    <m/>
    <m/>
    <m/>
    <m/>
    <m/>
    <m/>
    <s v="NO"/>
    <m/>
    <m/>
    <s v="NO"/>
    <s v="NO"/>
    <m/>
    <m/>
    <s v="The baseline survey and final evaluations are conducted by WFP."/>
    <x v="2"/>
    <s v="NO"/>
    <s v="NO"/>
    <s v="NO"/>
    <s v="NO"/>
    <s v="NO"/>
    <s v="NO"/>
    <s v="NO"/>
    <s v="NO"/>
    <m/>
    <x v="0"/>
    <m/>
    <x v="0"/>
    <m/>
    <x v="1"/>
    <x v="1"/>
    <s v="NO"/>
    <x v="0"/>
    <x v="0"/>
    <x v="0"/>
    <x v="4"/>
    <n v="3"/>
    <x v="1"/>
    <x v="1"/>
    <x v="2"/>
    <x v="1"/>
    <x v="1"/>
    <x v="1"/>
    <n v="3"/>
    <x v="1"/>
    <x v="1"/>
    <x v="1"/>
    <x v="1"/>
    <x v="1"/>
    <n v="3"/>
    <x v="0"/>
    <x v="1"/>
    <n v="1"/>
    <s v="Multilateral organization(s)"/>
    <m/>
    <m/>
    <x v="2"/>
    <m/>
    <s v="There have not been any changes/adjustments this FY."/>
    <s v="Use of variety of complaints response mechanism has helped to provide beneficiries with all options of lodging their complaints.The toll free among others proved to be the most effective to community members in case of confidentiality.Also recruitment of gender and protection officer to support the project enhenced  transparency, and accountability of staff."/>
    <s v="Effective  engangement of district and community structures at all levels has helped to resolve some of the challenges encountered which were beyong CARE'S control i.e interferance  of the local chiefs on project activities."/>
    <s v="Women's participation, especially in decision making positions in food distribution committees has helped women to equally benefit from the project. Registering of more women as ration cards holders enaled women to have control of the food items distributed."/>
    <s v="It's important to use different types of SBCC messaging to really connect with beneficiaries, for example Theater for Development, flyers, informational talks, etc. because people learn in different ways."/>
    <s v="District level and community structures engangement helps in resolving critical challenges which can not be resolved by the implementing organisation."/>
    <s v="Rolling out of Complaints response mechanisms at the inception stage helps to resolve many of the targeting errors before that actual diustribution starts. At least time should be given the community to express their views regarding  the targeting process  before proceeding to the next stage."/>
    <m/>
    <m/>
    <n v="171403"/>
    <n v="59991"/>
    <n v="0.34999970828981991"/>
    <n v="0.51618116369025047"/>
    <n v="0.51618159390575091"/>
    <n v="88475"/>
    <n v="30966.249999999902"/>
    <n v="1"/>
    <n v="171403"/>
    <n v="59991"/>
    <n v="0.34999970828981991"/>
    <n v="1"/>
    <n v="171403"/>
    <n v="59991"/>
    <n v="0.34999970828981991"/>
    <s v=""/>
    <n v="0"/>
    <n v="0"/>
    <s v=""/>
    <n v="1"/>
    <n v="171043"/>
    <n v="59991"/>
    <n v="0.35073636453991103"/>
    <s v=""/>
    <n v="0"/>
    <n v="0"/>
    <s v=""/>
    <s v="3. Responsive"/>
    <s v="2. Accommodating"/>
    <s v="2. Sensitive"/>
    <s v="It did not develop any specific innovation"/>
    <s v="Intensive advocacy"/>
    <s v="It did not take tested solutions to scale"/>
  </r>
  <r>
    <x v="44"/>
    <x v="5"/>
    <n v="3126"/>
    <s v="Provision of Dignified Shelter"/>
    <s v="Malawi"/>
    <s v="PID: UNHCMW002; FC:US1VT"/>
    <s v="No CARE member related to the project/initiative"/>
    <s v="Multilateral agency"/>
    <s v="UN - United Nations agencies/offices"/>
    <s v="UNHCR"/>
    <m/>
    <m/>
    <m/>
    <m/>
    <m/>
    <m/>
    <m/>
    <m/>
    <m/>
    <m/>
    <m/>
    <m/>
    <m/>
    <m/>
    <m/>
    <m/>
    <m/>
    <m/>
    <m/>
    <m/>
    <m/>
    <m/>
    <m/>
    <m/>
    <m/>
    <m/>
    <m/>
    <m/>
    <m/>
    <m/>
    <m/>
    <m/>
    <m/>
    <m/>
    <m/>
    <m/>
    <m/>
    <m/>
    <m/>
    <m/>
    <m/>
    <m/>
    <m/>
    <m/>
    <m/>
    <d v="2016-05-22T00:00:00"/>
    <d v="2017-08-15T00:00:00"/>
    <d v="2017-10-30T00:00:00"/>
    <s v="Humanitarian Other"/>
    <n v="845208"/>
    <s v="Jessica Swart"/>
    <s v="Emergency Team leader"/>
    <s v="jessica.swart@care.org"/>
    <s v="Gracious Chabvi"/>
    <s v="Project  Manager"/>
    <s v="gracious.chabvi@care.org"/>
    <s v="YES"/>
    <s v="NO"/>
    <s v="NO"/>
    <s v="For Mozambican asylum seekers to have access to safe, dignified, and durable shelter."/>
    <s v="Sub-National"/>
    <s v="Luwani, T/A Symon, Neno District, Southern Malawi"/>
    <s v="Mozambican refugees and asylum seekers at Luwani refugee camp."/>
    <n v="997"/>
    <n v="920"/>
    <n v="1917"/>
    <m/>
    <m/>
    <m/>
    <s v="The direct beneficiaries are those targeted to be provided with diginified shelters at Luwani camp.These are the asylum seskers and refugees from Mozambique."/>
    <m/>
    <n v="997"/>
    <n v="920"/>
    <n v="1917"/>
    <m/>
    <m/>
    <m/>
    <s v="NO"/>
    <m/>
    <m/>
    <m/>
    <s v="NO"/>
    <m/>
    <m/>
    <m/>
    <s v="NO"/>
    <m/>
    <m/>
    <m/>
    <s v="NO"/>
    <m/>
    <m/>
    <m/>
    <s v="YES"/>
    <n v="1917"/>
    <n v="0.52"/>
    <m/>
    <s v="YES"/>
    <n v="1917"/>
    <n v="0.52"/>
    <m/>
    <s v="NO"/>
    <m/>
    <m/>
    <m/>
    <s v="Yes"/>
    <n v="700"/>
    <n v="0.52"/>
    <m/>
    <s v="YES"/>
    <n v="1917"/>
    <n v="0.52"/>
    <m/>
    <s v="NO"/>
    <m/>
    <m/>
    <m/>
    <s v="YES"/>
    <n v="1917"/>
    <n v="0.52"/>
    <m/>
    <s v="NO"/>
    <m/>
    <m/>
    <m/>
    <m/>
    <m/>
    <m/>
    <m/>
    <m/>
    <m/>
    <m/>
    <m/>
    <m/>
    <m/>
    <m/>
    <m/>
    <m/>
    <m/>
    <m/>
    <m/>
    <m/>
    <m/>
    <m/>
    <m/>
    <m/>
    <m/>
    <m/>
    <m/>
    <m/>
    <m/>
    <m/>
    <m/>
    <m/>
    <m/>
    <m/>
    <m/>
    <m/>
    <m/>
    <m/>
    <m/>
    <m/>
    <m/>
    <m/>
    <m/>
    <m/>
    <m/>
    <m/>
    <m/>
    <m/>
    <m/>
    <m/>
    <m/>
    <m/>
    <m/>
    <m/>
    <m/>
    <m/>
    <m/>
    <m/>
    <m/>
    <m/>
    <m/>
    <m/>
    <m/>
    <m/>
    <m/>
    <m/>
    <m/>
    <m/>
    <m/>
    <m/>
    <m/>
    <m/>
    <m/>
    <m/>
    <m/>
    <m/>
    <m/>
    <m/>
    <m/>
    <m/>
    <m/>
    <m/>
    <m/>
    <s v="NO"/>
    <m/>
    <m/>
    <s v="NO"/>
    <s v="NO"/>
    <m/>
    <m/>
    <s v="No baseline was conducted for this project."/>
    <x v="0"/>
    <s v="NO"/>
    <s v="NO"/>
    <s v="NO"/>
    <s v="NO"/>
    <s v="NO"/>
    <s v="NO"/>
    <s v="NO"/>
    <s v="NO"/>
    <m/>
    <x v="0"/>
    <m/>
    <x v="0"/>
    <m/>
    <x v="1"/>
    <x v="0"/>
    <s v="YES"/>
    <x v="0"/>
    <x v="0"/>
    <x v="0"/>
    <x v="0"/>
    <n v="4"/>
    <x v="1"/>
    <x v="1"/>
    <x v="2"/>
    <x v="1"/>
    <x v="1"/>
    <x v="1"/>
    <n v="3"/>
    <x v="1"/>
    <x v="1"/>
    <x v="1"/>
    <x v="1"/>
    <x v="1"/>
    <n v="3"/>
    <x v="2"/>
    <x v="1"/>
    <m/>
    <m/>
    <m/>
    <m/>
    <x v="1"/>
    <m/>
    <s v="After realizing that the project was not going to meet its targets for women's participation in construction activities, it undertook a rapid gender analysis and conducted additional sensitizations and specialized training for women on construction."/>
    <s v="Providing a variety of complaints and feedback options for project participants"/>
    <s v="Good coordination with the donor and government to resolve issues"/>
    <s v="Empowering women to participate in construction activities"/>
    <s v="CARE observed  that it is difficult to construct the semi-permanent shelters during the rainy season since unburnt bricks easily get damaged by the rain water."/>
    <s v="Given that some women are less eager/willing to take part in construction work as it has been an industry traditionally dominated by males, CARE learned that the special measures employed to encourage women's participation were effective and should be scaled up."/>
    <s v="In case of kitchen gardens,starting an internvation when the demand for vegetables is high increased the number of participating families. However in adequate availability of water affected progress."/>
    <m/>
    <m/>
    <n v="1917"/>
    <n v="0"/>
    <n v="0"/>
    <n v="0.52008346374543557"/>
    <s v=""/>
    <n v="997"/>
    <n v="0"/>
    <n v="1"/>
    <n v="1917"/>
    <n v="0"/>
    <n v="0"/>
    <n v="1"/>
    <n v="700"/>
    <n v="0"/>
    <n v="0"/>
    <s v=""/>
    <n v="0"/>
    <n v="0"/>
    <s v=""/>
    <n v="1"/>
    <n v="1917"/>
    <n v="0"/>
    <n v="0"/>
    <s v=""/>
    <n v="0"/>
    <n v="0"/>
    <s v=""/>
    <s v="2. Sensitive"/>
    <s v="2. Accommodating"/>
    <s v="2. Sensitive"/>
    <s v="It did not develop any specific innovation"/>
    <s v="Little or no advocacy"/>
    <s v="It did not take tested solutions to scale"/>
  </r>
  <r>
    <x v="44"/>
    <x v="5"/>
    <n v="3133"/>
    <s v="Research and Development Lab"/>
    <s v="Malawi"/>
    <s v="SALLMW006"/>
    <s v="CARE USA"/>
    <s v="Foundation"/>
    <s v="Other"/>
    <s v="Sall Family Foundation"/>
    <m/>
    <m/>
    <m/>
    <m/>
    <m/>
    <m/>
    <m/>
    <m/>
    <m/>
    <m/>
    <m/>
    <m/>
    <m/>
    <m/>
    <m/>
    <m/>
    <m/>
    <m/>
    <m/>
    <m/>
    <m/>
    <m/>
    <m/>
    <m/>
    <m/>
    <m/>
    <m/>
    <m/>
    <m/>
    <m/>
    <m/>
    <m/>
    <m/>
    <m/>
    <m/>
    <m/>
    <m/>
    <m/>
    <m/>
    <m/>
    <m/>
    <m/>
    <m/>
    <m/>
    <m/>
    <d v="2016-01-01T00:00:00"/>
    <d v="2019-12-01T00:00:00"/>
    <m/>
    <s v="Development Sexual, Reproductive and Maternal Health (SRMH)"/>
    <n v="350000"/>
    <s v="Rose Tchwenkwo"/>
    <s v="Assistant Country Director, Programs"/>
    <s v="rose.tchwenko@care.org"/>
    <s v="Patience Mgoli Mwale"/>
    <s v="Research and Develoment Manager"/>
    <s v="patience.mgoli@care.org"/>
    <s v="NO"/>
    <s v="YES"/>
    <s v="NO"/>
    <s v="To improve the quality, coverage, access, utilization and equity of selected health and education services"/>
    <s v="Sub-National"/>
    <s v="Ntcheu District"/>
    <s v="Women and Adolescent Girls"/>
    <n v="29126"/>
    <n v="16707"/>
    <n v="45833"/>
    <n v="122650"/>
    <n v="89894"/>
    <n v="212544"/>
    <s v="Research and Development is a technical assistance project providing CSC work. The work involves supporting Government and local community facilitiators to reach people.  Therefore the estimation is based on a systematic estimation of people based on local health centre service population. Ten facilities are targeted. Each centre covers a radius of .. kms and within that it on average serves a ... individuals. population census 2008"/>
    <m/>
    <m/>
    <m/>
    <m/>
    <m/>
    <m/>
    <m/>
    <m/>
    <m/>
    <m/>
    <m/>
    <m/>
    <m/>
    <m/>
    <m/>
    <m/>
    <m/>
    <m/>
    <m/>
    <m/>
    <m/>
    <m/>
    <m/>
    <m/>
    <m/>
    <m/>
    <m/>
    <m/>
    <m/>
    <m/>
    <m/>
    <m/>
    <m/>
    <m/>
    <m/>
    <m/>
    <m/>
    <m/>
    <m/>
    <m/>
    <m/>
    <m/>
    <m/>
    <m/>
    <m/>
    <m/>
    <m/>
    <m/>
    <m/>
    <m/>
    <m/>
    <m/>
    <m/>
    <m/>
    <m/>
    <m/>
    <m/>
    <m/>
    <m/>
    <m/>
    <n v="14563"/>
    <n v="8353.5"/>
    <n v="22916.5"/>
    <n v="122650"/>
    <n v="89894"/>
    <n v="212544"/>
    <s v="NO"/>
    <m/>
    <m/>
    <m/>
    <s v="NO"/>
    <m/>
    <m/>
    <m/>
    <s v="NO"/>
    <m/>
    <m/>
    <m/>
    <s v="NO"/>
    <m/>
    <m/>
    <m/>
    <s v="NO"/>
    <m/>
    <m/>
    <m/>
    <s v="YES"/>
    <n v="1123"/>
    <n v="0.5"/>
    <n v="4002"/>
    <s v="NO"/>
    <m/>
    <m/>
    <m/>
    <s v="YES"/>
    <n v="1123"/>
    <n v="0.5"/>
    <n v="4002"/>
    <s v="NO"/>
    <m/>
    <m/>
    <m/>
    <s v="YES"/>
    <n v="22917"/>
    <n v="0.63546712047824705"/>
    <n v="212544"/>
    <s v="YES"/>
    <n v="22917"/>
    <n v="0.63546712047824705"/>
    <n v="212544"/>
    <s v="YES"/>
    <n v="1123"/>
    <n v="0.5"/>
    <n v="4002"/>
    <s v="YES"/>
    <n v="22917"/>
    <n v="0.63546712047824705"/>
    <n v="212544"/>
    <s v="YES"/>
    <n v="22917"/>
    <n v="0.63546712047824705"/>
    <n v="212544"/>
    <s v="YES"/>
    <n v="22917"/>
    <n v="0.63546712047824705"/>
    <n v="212544"/>
    <s v="NO"/>
    <m/>
    <m/>
    <m/>
    <m/>
    <s v="NO"/>
    <m/>
    <m/>
    <m/>
    <s v="NO"/>
    <m/>
    <m/>
    <s v="NO"/>
    <s v="YES"/>
    <s v="March"/>
    <n v="2018"/>
    <s v="The evaluation will focus on modes of delivering CSC services, a comparative study to look at efficiency and sustainability. As much as Ntcheu is a primary target district for R&amp;D, it will be assessed it will act as one data source. Other project doing CSC in other projects will be sampled for comparability"/>
    <x v="2"/>
    <s v="NO"/>
    <s v="NO"/>
    <s v="YES"/>
    <s v="NO"/>
    <s v="YES"/>
    <s v="YES"/>
    <s v="NO"/>
    <s v="NO"/>
    <m/>
    <x v="1"/>
    <m/>
    <x v="1"/>
    <m/>
    <x v="1"/>
    <x v="0"/>
    <s v="YES"/>
    <x v="0"/>
    <x v="0"/>
    <x v="0"/>
    <x v="0"/>
    <n v="4"/>
    <x v="2"/>
    <x v="2"/>
    <x v="1"/>
    <x v="1"/>
    <x v="1"/>
    <x v="5"/>
    <n v="3"/>
    <x v="1"/>
    <x v="2"/>
    <x v="1"/>
    <x v="2"/>
    <x v="3"/>
    <n v="1"/>
    <x v="2"/>
    <x v="3"/>
    <n v="1"/>
    <s v="Local government(s)"/>
    <s v="National government"/>
    <s v="Local alliance(s)/Platform(s)/Network(s) of  NGOs/CSOs"/>
    <x v="0"/>
    <s v="CARE has mobilised CSO in the district in two separate stakeholders meetings to map activities each CSO is doing and a deliberation process to align CSO plans with the District plans and also to make commitments on Action Plans developed by the district in the health sector. This has led to each player have a well spelt role and has improved resource allocation in the district."/>
    <s v="The project uses the community scorecard tool to address challenges the communites face. As much as it has defined direct beenficiaries on who to see the change, it is working with the whole population (inclusive) to address issues affecting women and adolescent girls. As such there is need to adjust on how to measure the change in women and girls despite directly working with power holders, men and boys"/>
    <s v="Community Score Cards"/>
    <s v="Engaging men in dialogue sessions"/>
    <s v="Stakeholder Mapping and Engagement"/>
    <s v="The team was able to achieve many activities with minimal resources both financial and human. The teams success lies in CAREs strategy to work with partners and the good working relationship at district level and the ability to chair the CSO Network."/>
    <s v="Working through partners has its own setback. CARE has to differentiate the types of parnerships and level of involvement. The teams experience is that Technical Assistance to government partners is more involving and needs more effort in producing evidence-data management). Any engagements with such partners needs deliberate offort to provide for data personnel and coach the government personnel on the management and importnance."/>
    <s v="The team learnt that CARE needs to explore models that promise holistic change, such as the Community score Card. In whatever thematic area, it brings all players to reflect on how to tackle a problem or issue, in the process minimising resource waste by efficient allocation after interface meetings and complimenting effort of various players."/>
    <m/>
    <s v="SALL Proposal, SALL Annual Progress Report, PIIRS Midterm Report and Activity Reports"/>
    <n v="22916.5"/>
    <n v="212544"/>
    <n v="9.2747147251980007"/>
    <n v="0.63548098531625685"/>
    <n v="0.57705698584763621"/>
    <n v="14563"/>
    <n v="122650"/>
    <s v=""/>
    <n v="0"/>
    <n v="0"/>
    <s v=""/>
    <n v="1"/>
    <n v="22917"/>
    <n v="212544"/>
    <n v="9.2745123707291537"/>
    <n v="1"/>
    <n v="22917"/>
    <n v="212544"/>
    <n v="9.2745123707291537"/>
    <n v="1"/>
    <n v="1123"/>
    <n v="4002"/>
    <n v="3.5636687444345503"/>
    <s v=""/>
    <n v="0"/>
    <n v="0"/>
    <s v=""/>
    <s v="2. Sensitive"/>
    <s v="3. Responsive"/>
    <s v="1. Neutral"/>
    <s v="It tested new ways for fighting poverty, but did not measure results of innovation"/>
    <s v="Intensive advocacy"/>
    <s v="It linked and worked with strategic alliances and partners to take tested and effective solutions to scale"/>
  </r>
  <r>
    <x v="44"/>
    <x v="5"/>
    <m/>
    <s v="SOAR (Kukwera)"/>
    <s v="Malawi"/>
    <s v="CUPFMW0002"/>
    <s v="CARE USA"/>
    <m/>
    <m/>
    <m/>
    <m/>
    <m/>
    <m/>
    <m/>
    <m/>
    <m/>
    <m/>
    <m/>
    <m/>
    <m/>
    <m/>
    <m/>
    <m/>
    <m/>
    <m/>
    <m/>
    <m/>
    <m/>
    <m/>
    <m/>
    <m/>
    <m/>
    <m/>
    <m/>
    <m/>
    <m/>
    <m/>
    <m/>
    <m/>
    <m/>
    <m/>
    <m/>
    <m/>
    <m/>
    <m/>
    <m/>
    <m/>
    <m/>
    <m/>
    <m/>
    <m/>
    <m/>
    <m/>
    <m/>
    <m/>
    <d v="2016-12-01T00:00:00"/>
    <d v="2018-11-30T00:00:00"/>
    <m/>
    <m/>
    <m/>
    <s v="Mwawi Mkandawire"/>
    <s v="Project Manager"/>
    <s v="mwawi.mkandawire@care.org"/>
    <s v="Brian Majamanda"/>
    <s v="Monitoring and Evaluation Coordinator"/>
    <s v="brian.majamanda@care.org"/>
    <s v="NO"/>
    <s v="YES"/>
    <s v="NO"/>
    <s v="To give margenilized out of school adolescent girls in rural communities and chance to soar and achieve better life outcomes"/>
    <s v="Sub-National"/>
    <s v="Kasungu District in Malawi"/>
    <s v="Girls aged between 10-18"/>
    <n v="524"/>
    <n v="342"/>
    <n v="866"/>
    <n v="2620"/>
    <n v="1710"/>
    <n v="4330"/>
    <s v="Direct paricpants are those that are benefiting directly from the project e.g by attending trainings while indirect participants are the ones that are benefiting from their affiliation to the direct partcipants"/>
    <m/>
    <m/>
    <m/>
    <m/>
    <m/>
    <m/>
    <m/>
    <m/>
    <m/>
    <m/>
    <m/>
    <m/>
    <m/>
    <m/>
    <m/>
    <m/>
    <m/>
    <m/>
    <m/>
    <m/>
    <m/>
    <m/>
    <m/>
    <m/>
    <m/>
    <m/>
    <m/>
    <m/>
    <m/>
    <m/>
    <m/>
    <m/>
    <m/>
    <m/>
    <m/>
    <m/>
    <m/>
    <m/>
    <m/>
    <m/>
    <m/>
    <m/>
    <m/>
    <m/>
    <m/>
    <m/>
    <m/>
    <m/>
    <m/>
    <m/>
    <m/>
    <m/>
    <m/>
    <m/>
    <m/>
    <m/>
    <m/>
    <m/>
    <m/>
    <m/>
    <n v="146"/>
    <n v="88"/>
    <n v="234"/>
    <n v="1530"/>
    <n v="1032"/>
    <n v="2562"/>
    <s v="NO"/>
    <m/>
    <m/>
    <m/>
    <s v="NO"/>
    <m/>
    <m/>
    <m/>
    <s v="NO"/>
    <m/>
    <m/>
    <m/>
    <s v="NO"/>
    <m/>
    <m/>
    <m/>
    <s v="NO"/>
    <m/>
    <m/>
    <m/>
    <s v="YES"/>
    <n v="234"/>
    <n v="0.623"/>
    <m/>
    <s v="NO"/>
    <m/>
    <m/>
    <m/>
    <s v="NO"/>
    <m/>
    <m/>
    <m/>
    <s v="YES"/>
    <n v="224"/>
    <n v="0.62"/>
    <m/>
    <s v="NO"/>
    <m/>
    <m/>
    <m/>
    <s v="NO"/>
    <m/>
    <m/>
    <m/>
    <s v="NO"/>
    <m/>
    <m/>
    <m/>
    <s v="YES"/>
    <n v="234"/>
    <n v="0.62"/>
    <m/>
    <s v="YES"/>
    <n v="224"/>
    <n v="0.62"/>
    <m/>
    <s v="NO"/>
    <m/>
    <m/>
    <m/>
    <s v="YES"/>
    <m/>
    <m/>
    <m/>
    <m/>
    <m/>
    <m/>
    <m/>
    <m/>
    <s v="NO"/>
    <m/>
    <m/>
    <m/>
    <s v="NO"/>
    <m/>
    <m/>
    <m/>
    <x v="1"/>
    <s v="YES"/>
    <s v="NO"/>
    <s v="NO"/>
    <s v="YES"/>
    <s v="NO"/>
    <s v="NO"/>
    <s v="NO"/>
    <m/>
    <m/>
    <x v="0"/>
    <m/>
    <x v="0"/>
    <m/>
    <x v="1"/>
    <x v="0"/>
    <s v="YES"/>
    <x v="0"/>
    <x v="0"/>
    <x v="0"/>
    <x v="0"/>
    <n v="4"/>
    <x v="1"/>
    <x v="1"/>
    <x v="2"/>
    <x v="1"/>
    <x v="1"/>
    <x v="1"/>
    <n v="3"/>
    <x v="1"/>
    <x v="1"/>
    <x v="1"/>
    <x v="1"/>
    <x v="1"/>
    <n v="3"/>
    <x v="2"/>
    <x v="0"/>
    <n v="1"/>
    <m/>
    <m/>
    <m/>
    <x v="1"/>
    <m/>
    <s v="No any adjustiments made"/>
    <s v="Engaging community structures in project implementation"/>
    <m/>
    <m/>
    <s v="Since the project has just started, no major lessons are learnt yet."/>
    <m/>
    <m/>
    <m/>
    <s v="Gender, Resilience and Governance vetting forms"/>
    <n v="234"/>
    <n v="2562"/>
    <n v="10.948717948717949"/>
    <n v="0.62393162393162394"/>
    <n v="0.59718969555035128"/>
    <n v="146"/>
    <n v="1530"/>
    <s v=""/>
    <n v="0"/>
    <n v="0"/>
    <s v=""/>
    <s v=""/>
    <n v="0"/>
    <n v="0"/>
    <s v=""/>
    <n v="1"/>
    <n v="224"/>
    <n v="0"/>
    <n v="0"/>
    <s v=""/>
    <n v="0"/>
    <n v="0"/>
    <s v=""/>
    <n v="1"/>
    <n v="0"/>
    <n v="0"/>
    <s v=""/>
    <s v="2. Sensitive"/>
    <s v="2. Accommodating"/>
    <s v="2. Sensitive"/>
    <s v="It did not develop any specific innovation"/>
    <s v="Moderate advocacy"/>
    <s v="It did not take tested solutions to scale"/>
  </r>
  <r>
    <x v="44"/>
    <x v="5"/>
    <n v="3131"/>
    <s v="Southern Africa Nutrition Initiative (SANI)"/>
    <s v="Malawi"/>
    <s v="PID: CCANMW0014; CA358"/>
    <s v="CARE Canada"/>
    <s v="Government"/>
    <s v="Government - Canada"/>
    <s v="DFATD-Canada"/>
    <m/>
    <m/>
    <m/>
    <m/>
    <m/>
    <m/>
    <m/>
    <m/>
    <m/>
    <m/>
    <m/>
    <m/>
    <m/>
    <m/>
    <m/>
    <m/>
    <m/>
    <m/>
    <m/>
    <m/>
    <m/>
    <m/>
    <m/>
    <m/>
    <m/>
    <m/>
    <m/>
    <m/>
    <m/>
    <m/>
    <m/>
    <m/>
    <m/>
    <m/>
    <m/>
    <m/>
    <m/>
    <m/>
    <m/>
    <m/>
    <m/>
    <m/>
    <m/>
    <m/>
    <m/>
    <d v="2016-03-01T00:00:00"/>
    <d v="2020-09-30T00:00:00"/>
    <m/>
    <s v="Development Food &amp; Nutrition Security and Resilience to Climate Change"/>
    <n v="4324749"/>
    <s v="Clement Ndiwo Banda"/>
    <s v="Programs Manager"/>
    <m/>
    <s v="Mark Kumbukani Black"/>
    <s v="M&amp;E Advisor"/>
    <m/>
    <s v="NO"/>
    <s v="YES"/>
    <s v="NO"/>
    <s v="Contribute to the reduction of maternal and child mortality in targeted areas"/>
    <s v="Sub-National"/>
    <s v="Traditional Authority Dzoole and Kayembe in Dowa District and TA Kalumo and Kasakula in Ntchisi District"/>
    <s v="Women of reproductive age and boys and girls under 5 in  Malawi"/>
    <n v="78109"/>
    <n v="51940"/>
    <n v="130049"/>
    <n v="110899"/>
    <n v="135210"/>
    <n v="246109"/>
    <s v="Direct participants are the women of reproductive age, boys and girls of under five while indirect participants are other members of the household (boys and girls above 5 years), men and women who are attached to the direct participants."/>
    <m/>
    <m/>
    <m/>
    <m/>
    <m/>
    <m/>
    <m/>
    <m/>
    <m/>
    <m/>
    <m/>
    <m/>
    <m/>
    <m/>
    <m/>
    <m/>
    <m/>
    <m/>
    <m/>
    <m/>
    <m/>
    <m/>
    <m/>
    <m/>
    <m/>
    <m/>
    <m/>
    <m/>
    <m/>
    <m/>
    <m/>
    <m/>
    <m/>
    <m/>
    <m/>
    <m/>
    <m/>
    <m/>
    <m/>
    <m/>
    <m/>
    <m/>
    <m/>
    <m/>
    <m/>
    <m/>
    <m/>
    <m/>
    <m/>
    <m/>
    <m/>
    <m/>
    <m/>
    <m/>
    <m/>
    <m/>
    <m/>
    <m/>
    <m/>
    <m/>
    <n v="78109"/>
    <n v="51940"/>
    <n v="130049"/>
    <n v="110899"/>
    <n v="135210"/>
    <n v="246109"/>
    <s v="NO"/>
    <m/>
    <m/>
    <m/>
    <s v="NO"/>
    <m/>
    <m/>
    <m/>
    <s v="NO"/>
    <m/>
    <m/>
    <m/>
    <s v="NO"/>
    <m/>
    <m/>
    <m/>
    <s v="NO"/>
    <m/>
    <m/>
    <m/>
    <s v="NO"/>
    <m/>
    <m/>
    <m/>
    <s v="YES"/>
    <n v="130049"/>
    <n v="0.6"/>
    <n v="246109"/>
    <s v="NO"/>
    <m/>
    <m/>
    <m/>
    <s v="YES"/>
    <m/>
    <m/>
    <m/>
    <s v="YES"/>
    <m/>
    <m/>
    <m/>
    <s v="NO"/>
    <m/>
    <m/>
    <m/>
    <s v="NO"/>
    <m/>
    <m/>
    <m/>
    <s v="YES"/>
    <m/>
    <m/>
    <m/>
    <s v="NO"/>
    <m/>
    <m/>
    <m/>
    <s v="YES"/>
    <m/>
    <m/>
    <m/>
    <s v="NO"/>
    <m/>
    <m/>
    <m/>
    <m/>
    <m/>
    <m/>
    <m/>
    <m/>
    <s v="YES"/>
    <s v="January"/>
    <n v="2017"/>
    <s v="YES"/>
    <s v="NO"/>
    <m/>
    <m/>
    <m/>
    <x v="1"/>
    <s v="NO"/>
    <s v="NO"/>
    <s v="YES"/>
    <s v="NO"/>
    <s v="YES"/>
    <s v="NO"/>
    <s v="NO"/>
    <m/>
    <m/>
    <x v="0"/>
    <m/>
    <x v="0"/>
    <m/>
    <x v="0"/>
    <x v="0"/>
    <s v="YES"/>
    <x v="0"/>
    <x v="0"/>
    <x v="0"/>
    <x v="0"/>
    <n v="4"/>
    <x v="1"/>
    <x v="1"/>
    <x v="1"/>
    <x v="1"/>
    <x v="1"/>
    <x v="1"/>
    <n v="4"/>
    <x v="1"/>
    <x v="1"/>
    <x v="1"/>
    <x v="1"/>
    <x v="1"/>
    <n v="3"/>
    <x v="2"/>
    <x v="3"/>
    <n v="2"/>
    <s v="Local government(s)"/>
    <s v="Local NGO(s)/CSO(s)"/>
    <s v="Grassroots organization(s)"/>
    <x v="0"/>
    <s v="Worked with government and civil society structures through District nutrition coordinating committees."/>
    <s v="Initially the project was required to implement in 6 Traditional Authorities but this was changed to 4 TA s after consultations with the Districts where it was discovered that other NGOs were also implementing similar interventions. The project did not change the activities but the approaches"/>
    <s v="The baseline revealed that the majority of the households are still food insecure and gender inequality at household level seems to contribute much."/>
    <m/>
    <m/>
    <s v="Implementation of nutrition program require working with different stakeholders for smooth implementation and standardization"/>
    <s v="There are a number of actors working on similar initiative hence require concerted efforts to coordinate and avoid duplication of efforts"/>
    <m/>
    <s v="The project was in it's start up phase. The only major activities done in the year was a baseline study and attending coordination meetings at both national and district level. Implementation of activities will commence in FY18, hence no reach data has been provided above."/>
    <s v="Markers vetting forms"/>
    <n v="130049"/>
    <n v="246109"/>
    <n v="1.8924328522326199"/>
    <n v="0.60061207698636665"/>
    <n v="0.45060928287872448"/>
    <n v="78109"/>
    <n v="110899"/>
    <s v=""/>
    <n v="0"/>
    <n v="0"/>
    <s v=""/>
    <n v="1"/>
    <n v="130049"/>
    <n v="246109"/>
    <n v="1.8924328522326199"/>
    <s v=""/>
    <n v="0"/>
    <n v="0"/>
    <s v=""/>
    <s v=""/>
    <n v="0"/>
    <n v="0"/>
    <s v=""/>
    <s v=""/>
    <n v="0"/>
    <n v="0"/>
    <s v=""/>
    <s v="2. Sensitive"/>
    <s v="2. Accommodating"/>
    <s v="2. Sensitive"/>
    <s v="It did not develop any specific innovation"/>
    <s v="Moderate advocacy"/>
    <s v="It did not take tested solutions to scale"/>
  </r>
  <r>
    <x v="44"/>
    <x v="5"/>
    <n v="3123"/>
    <s v="Support for Service Delivery Integration (SSDI) Services"/>
    <s v="Malawi"/>
    <s v="PID: JHPCMW0001, FC: USP38"/>
    <s v="CARE USA"/>
    <s v="Government"/>
    <s v="Government - US"/>
    <s v="USAID"/>
    <m/>
    <m/>
    <m/>
    <m/>
    <m/>
    <m/>
    <m/>
    <m/>
    <m/>
    <m/>
    <m/>
    <m/>
    <m/>
    <m/>
    <m/>
    <m/>
    <m/>
    <m/>
    <m/>
    <m/>
    <m/>
    <m/>
    <m/>
    <m/>
    <m/>
    <m/>
    <m/>
    <m/>
    <m/>
    <m/>
    <m/>
    <m/>
    <m/>
    <m/>
    <m/>
    <m/>
    <m/>
    <m/>
    <m/>
    <m/>
    <m/>
    <m/>
    <m/>
    <m/>
    <m/>
    <d v="2011-11-08T00:00:00"/>
    <d v="2016-11-07T00:00:00"/>
    <d v="2017-01-31T00:00:00"/>
    <s v="Development Sexual, Reproductive and Maternal Health (SRMH)"/>
    <n v="11415229"/>
    <s v="Rose Tchwenko"/>
    <s v="Assistant Country Director - Programs"/>
    <s v="rose.tchwenko@care.org"/>
    <s v="Clement Bisai"/>
    <s v="Monitoring, Evaluation and Learning Advisor"/>
    <s v="clement.bisai@care.org"/>
    <s v="NO"/>
    <s v="YES"/>
    <s v="NO"/>
    <s v="Healthier Malawian families. The project aims to reduce fertility and population growth, lower risk of HIV, and lower risk of maternal, newborn, infant and under-five mortality and morbidity rates."/>
    <s v="Sub-National"/>
    <s v="CARE Malawi is implementing the project in the four of the five districts of the Ministry of Health (MoH) Central East Zone. The districts are: Dowa, Salima, Kasungu and Nkhotakota."/>
    <s v="The main impact group of the project are women and children through increasing access, utilisation and quality of the six Essential Health Package (EHP) areas of Family Planning, Child Health, Maternal and Newborn Health, Malaria, Nutrition and TB &amp; HIV/AIDS while engaging men in care"/>
    <n v="1224760"/>
    <n v="103824"/>
    <n v="1228584"/>
    <n v="1415"/>
    <n v="1307"/>
    <n v="2722"/>
    <s v="The direct beneficiaries are those that are directly targeted with the resources in the initiative ( Health Committees, underfive children, lactating mothers, Pregnant women,. Those that we directly work with. While the indirect participants are the ones that benefit through the multiplier effects. ( school children,  local chiefs, community members)"/>
    <m/>
    <m/>
    <m/>
    <m/>
    <m/>
    <m/>
    <m/>
    <m/>
    <m/>
    <m/>
    <m/>
    <m/>
    <m/>
    <m/>
    <m/>
    <m/>
    <m/>
    <m/>
    <m/>
    <m/>
    <m/>
    <m/>
    <m/>
    <m/>
    <m/>
    <m/>
    <m/>
    <m/>
    <m/>
    <m/>
    <m/>
    <m/>
    <m/>
    <m/>
    <m/>
    <m/>
    <m/>
    <m/>
    <m/>
    <m/>
    <m/>
    <m/>
    <m/>
    <m/>
    <m/>
    <m/>
    <m/>
    <m/>
    <m/>
    <m/>
    <m/>
    <m/>
    <m/>
    <m/>
    <m/>
    <m/>
    <m/>
    <m/>
    <m/>
    <m/>
    <n v="447330"/>
    <n v="412923"/>
    <n v="860253"/>
    <n v="298222"/>
    <n v="275282"/>
    <n v="573504"/>
    <s v="NO"/>
    <m/>
    <m/>
    <m/>
    <s v="NO"/>
    <m/>
    <m/>
    <m/>
    <s v="NO"/>
    <m/>
    <m/>
    <m/>
    <s v="NO"/>
    <m/>
    <m/>
    <m/>
    <s v="NO"/>
    <m/>
    <m/>
    <m/>
    <s v="NO"/>
    <m/>
    <m/>
    <m/>
    <s v="NO"/>
    <m/>
    <m/>
    <m/>
    <s v="NO"/>
    <m/>
    <m/>
    <m/>
    <s v="NO"/>
    <m/>
    <m/>
    <m/>
    <s v="YES"/>
    <n v="860253"/>
    <n v="0.86"/>
    <n v="573504"/>
    <s v="NO"/>
    <m/>
    <m/>
    <m/>
    <s v="NO"/>
    <m/>
    <m/>
    <m/>
    <s v="NO"/>
    <m/>
    <m/>
    <m/>
    <s v="YES"/>
    <n v="860253"/>
    <n v="0.86"/>
    <n v="573504"/>
    <s v="YES"/>
    <n v="860253"/>
    <n v="0.86"/>
    <n v="573503"/>
    <s v="NO"/>
    <m/>
    <m/>
    <m/>
    <m/>
    <s v="NO"/>
    <m/>
    <m/>
    <m/>
    <s v="NO"/>
    <m/>
    <n v="2017"/>
    <s v="NO"/>
    <s v="NO"/>
    <m/>
    <m/>
    <s v="The project phased out  in January, 2017. Evaluation was done in 2014 by USAID by final report shared in FY16"/>
    <x v="0"/>
    <s v="NO"/>
    <s v="NO"/>
    <s v="NO"/>
    <s v="NO"/>
    <s v="NO"/>
    <s v="NO"/>
    <s v="NO"/>
    <s v="NO"/>
    <m/>
    <x v="0"/>
    <m/>
    <x v="0"/>
    <m/>
    <x v="0"/>
    <x v="0"/>
    <s v="YES"/>
    <x v="0"/>
    <x v="0"/>
    <x v="0"/>
    <x v="0"/>
    <n v="4"/>
    <x v="1"/>
    <x v="1"/>
    <x v="1"/>
    <x v="1"/>
    <x v="1"/>
    <x v="1"/>
    <n v="4"/>
    <x v="2"/>
    <x v="1"/>
    <x v="1"/>
    <x v="1"/>
    <x v="2"/>
    <n v="3"/>
    <x v="2"/>
    <x v="0"/>
    <n v="4"/>
    <s v="International NGO(s)"/>
    <s v="Local NGO(s)/CSO(s)"/>
    <s v="Local government(s)"/>
    <x v="2"/>
    <s v="CARE supported the civil society through building the capacity on Participatory scenerio Planning (PSP) in order for them to better interpret seasonal forecasts for effective farming decision making."/>
    <s v="No changes/adjustments done during the fiscal year"/>
    <s v="Performance based incentives (PBI) - it empowers providers to respond to health centre specific needs through the incentives they receive for their good performance in the PBI indicators. It motivates health workers to work hard because the resources are available"/>
    <s v="scorecard - it holds service providers accountable in the provision of quality health services; and it empowers the service users to take responsibility in the use of services provided"/>
    <s v="coaching and mentorship - it builds providers' capacity through hands-on transfer of skills from an experienced provider (mentor)"/>
    <s v="Uncertainities/changes in end of project dates contributed to staff turnover. In SSDI services from the third year of the project up to this year, end of project dates were changed several times which caused a lot of staff attrition due to perception of uncertainities and this had a bearing on activity implementation and project performance"/>
    <s v="Investing in building capacity of district-level leaders like District Health Officers (DHOs), District Nursing Officers (DNOs), District Environmental Health Officers (DEHOs), and Ministry of Health Program Coordinators facilitates smooth implementation of activities facility level"/>
    <s v="Empowering communities with skill and knowledge increases their ability to identify health issues within their communities and resolve them on their own. Empowered communities are also more confidence to demand better services at their catchment facilities and hold service providers accountable for optimal care. This was exemplified through community action groups (CAGs) and community scorecard process under the project."/>
    <s v="The project was implemented only for seven months in FY 17 and downsized the participants as it was conducting close out activities"/>
    <m/>
    <n v="860253"/>
    <n v="573504"/>
    <n v="0.66666899156410964"/>
    <n v="0.51999818657999453"/>
    <n v="0.51999986050663993"/>
    <n v="447330"/>
    <n v="298222"/>
    <s v=""/>
    <n v="0"/>
    <n v="0"/>
    <s v=""/>
    <n v="1"/>
    <n v="860253"/>
    <n v="573503"/>
    <n v="0.66666782911538813"/>
    <n v="1"/>
    <n v="860253"/>
    <n v="573504"/>
    <n v="0.66666899156410964"/>
    <s v=""/>
    <n v="0"/>
    <n v="0"/>
    <s v=""/>
    <s v=""/>
    <n v="0"/>
    <n v="0"/>
    <s v=""/>
    <s v="2. Sensitive"/>
    <s v="2. Accommodating"/>
    <s v="0. Harmful"/>
    <s v="It did not develop any specific innovation"/>
    <s v="Little or no advocacy"/>
    <s v="It did not take tested solutions to scale"/>
  </r>
  <r>
    <x v="44"/>
    <x v="5"/>
    <n v="3125"/>
    <s v="UNITED IN BUILDING AND ADVANCING LIFE EXPECTATIONS (UBALE)"/>
    <s v="Malawi"/>
    <s v="PID: CRSXMW0005, FC: US1E1"/>
    <s v="CARE USA"/>
    <s v="Government"/>
    <s v="Government - US"/>
    <s v="USAID"/>
    <m/>
    <m/>
    <m/>
    <m/>
    <m/>
    <m/>
    <m/>
    <m/>
    <m/>
    <m/>
    <m/>
    <m/>
    <m/>
    <m/>
    <m/>
    <m/>
    <m/>
    <m/>
    <m/>
    <m/>
    <m/>
    <m/>
    <m/>
    <m/>
    <m/>
    <m/>
    <m/>
    <m/>
    <m/>
    <m/>
    <m/>
    <m/>
    <m/>
    <m/>
    <m/>
    <m/>
    <m/>
    <m/>
    <m/>
    <m/>
    <m/>
    <m/>
    <m/>
    <m/>
    <m/>
    <d v="2014-11-01T00:00:00"/>
    <d v="2019-10-31T00:00:00"/>
    <m/>
    <s v="Development Food &amp; Nutrition Security and Resilience to Climate Change"/>
    <n v="11064992.019960999"/>
    <s v="Rose"/>
    <s v="Assistant Country Director"/>
    <s v="rose.tchwenko@care.org"/>
    <s v="Clement Bisai"/>
    <s v="Country Office Monitoring, Evaluation and Learning Advisor"/>
    <s v="clement.bisai@care.org"/>
    <s v="NO"/>
    <s v="YES"/>
    <s v="NO"/>
    <s v="To reduce chronic malnutrition and food insecurity and build resilience among vulnerable populations in Rural districts of Blantyre, Chikwawa and Nsanje. (CARE MW is implementing in Nsanje only)"/>
    <s v="Sub-National"/>
    <s v="The project is being implemented in the Southern Region of  Malawi in all the TA (Traditional Authorities) in Nsanje district. In Chikwawa, CADECOM is implementing as sub grantee of CRS and in rural Blantyre Save the Children is the Implementing partner."/>
    <s v="Pregnat and Lactating women, Under 5 Children and vulnerable food insecure households"/>
    <n v="135240"/>
    <n v="140760"/>
    <n v="276000"/>
    <m/>
    <m/>
    <m/>
    <m/>
    <m/>
    <m/>
    <m/>
    <m/>
    <m/>
    <m/>
    <m/>
    <m/>
    <m/>
    <m/>
    <m/>
    <m/>
    <m/>
    <m/>
    <m/>
    <m/>
    <m/>
    <m/>
    <m/>
    <m/>
    <m/>
    <m/>
    <m/>
    <m/>
    <m/>
    <m/>
    <m/>
    <m/>
    <m/>
    <m/>
    <m/>
    <m/>
    <m/>
    <m/>
    <m/>
    <m/>
    <m/>
    <m/>
    <m/>
    <m/>
    <m/>
    <m/>
    <m/>
    <m/>
    <m/>
    <m/>
    <m/>
    <m/>
    <m/>
    <m/>
    <m/>
    <m/>
    <m/>
    <m/>
    <m/>
    <m/>
    <m/>
    <m/>
    <m/>
    <m/>
    <n v="21784"/>
    <n v="14523"/>
    <n v="36307"/>
    <n v="50103"/>
    <n v="33402"/>
    <n v="83505"/>
    <s v="YES"/>
    <n v="3984"/>
    <n v="0.61"/>
    <n v="11952"/>
    <s v="YES"/>
    <n v="5662"/>
    <n v="0.6"/>
    <n v="16986"/>
    <s v="NO"/>
    <m/>
    <m/>
    <m/>
    <s v="YES"/>
    <n v="1655"/>
    <n v="0.43"/>
    <n v="3310"/>
    <s v="YES"/>
    <n v="28229"/>
    <n v="0.73"/>
    <n v="84687"/>
    <s v="NO"/>
    <m/>
    <m/>
    <m/>
    <s v="YES"/>
    <n v="33374"/>
    <n v="0.6"/>
    <n v="66748"/>
    <s v="NO"/>
    <m/>
    <m/>
    <m/>
    <s v="YES"/>
    <n v="3318"/>
    <n v="0.45"/>
    <n v="9954"/>
    <s v="NO"/>
    <m/>
    <m/>
    <m/>
    <s v="YES"/>
    <n v="668"/>
    <n v="0.61"/>
    <n v="2004"/>
    <s v="NO"/>
    <m/>
    <m/>
    <m/>
    <s v="YES"/>
    <n v="3053"/>
    <n v="0.45"/>
    <n v="18318"/>
    <s v="YES"/>
    <n v="24220"/>
    <n v="1"/>
    <m/>
    <s v="YES"/>
    <n v="232"/>
    <n v="0.46"/>
    <n v="696"/>
    <s v="YES"/>
    <n v="28299"/>
    <n v="0.73"/>
    <n v="56600"/>
    <m/>
    <s v="NO"/>
    <m/>
    <m/>
    <m/>
    <s v="NO"/>
    <m/>
    <m/>
    <s v="NO"/>
    <s v="NO"/>
    <m/>
    <m/>
    <m/>
    <x v="0"/>
    <s v="NO"/>
    <s v="NO"/>
    <s v="NO"/>
    <s v="NO"/>
    <s v="NO"/>
    <s v="NO"/>
    <s v="NO"/>
    <s v="NO"/>
    <m/>
    <x v="0"/>
    <m/>
    <x v="0"/>
    <m/>
    <x v="1"/>
    <x v="0"/>
    <s v="YES"/>
    <x v="0"/>
    <x v="0"/>
    <x v="0"/>
    <x v="0"/>
    <n v="4"/>
    <x v="1"/>
    <x v="1"/>
    <x v="1"/>
    <x v="1"/>
    <x v="1"/>
    <x v="1"/>
    <n v="4"/>
    <x v="3"/>
    <x v="1"/>
    <x v="1"/>
    <x v="1"/>
    <x v="4"/>
    <n v="3"/>
    <x v="3"/>
    <x v="1"/>
    <m/>
    <m/>
    <m/>
    <m/>
    <x v="1"/>
    <m/>
    <m/>
    <s v="Increased accountability  through community engagements. The project holds quarterly meetings with all the local government structures to share updates on progress and plans for the coming quarter. The approach enhances accountability and buy in by the community leaders. These structures have been empowered to the extent that they are able to demand for an explanation from CARE when things are not going as discussed"/>
    <m/>
    <m/>
    <s v="Community Entry Approach need to be more consultative. In a situation where the project is implementing an activity through VDCs/VCPCs, it has been a tradition that these village committees will escalate the information to the area committees but despite that, there have been complaints coming from the area structures where they expect to be consulted first before going on implementing the activity"/>
    <s v="The coming in of care group promoters has simplified the implementation of care group activities which would be very difficult with the  current mentality of government frontline workers."/>
    <s v="The first round of functionality assessments proved to be time consuming and labor intensive hence a need to have specific personnel to conduct them annually.  Care group are government structures but not frontline workers- they are all over and know the communities better. They are less demanding compared to the health workers like the HSAs who do not normally work without allowances."/>
    <s v="The project has some level of overlap with the IMPACT Project and MVAC (PIIRS Code 3139)"/>
    <s v="Reference documents attached are Markers vetting forms and PVCA Checklist"/>
    <n v="36307"/>
    <n v="83505"/>
    <n v="2.2999697028121298"/>
    <n v="0.5999944914203873"/>
    <n v="0.6"/>
    <n v="21784"/>
    <n v="50103"/>
    <s v=""/>
    <n v="0"/>
    <n v="0"/>
    <s v=""/>
    <n v="1"/>
    <n v="33374"/>
    <n v="84687"/>
    <n v="2.5375142326361839"/>
    <n v="1"/>
    <n v="24220"/>
    <n v="0"/>
    <n v="0"/>
    <s v=""/>
    <n v="0"/>
    <n v="0"/>
    <s v=""/>
    <n v="1"/>
    <n v="28299"/>
    <n v="61821.51"/>
    <n v="2.1845828474504398"/>
    <s v="2. Sensitive"/>
    <s v="2. Accommodating"/>
    <s v="4. Transformative"/>
    <s v="It did not develop any specific innovation"/>
    <s v="Little or no advocacy"/>
    <s v="It did not take tested solutions to scale"/>
  </r>
  <r>
    <x v="44"/>
    <x v="5"/>
    <m/>
    <s v="Water Smart Agriculture Initiative (WaSA)"/>
    <s v="Malawi"/>
    <s v="PID: GETFMW0001, FC: US1RN"/>
    <s v="CARE USA"/>
    <s v="Foundation"/>
    <s v="Other"/>
    <s v="Sall Family Foundation, Coca-Cola Africa foundation,GTEF, LDS"/>
    <m/>
    <m/>
    <m/>
    <m/>
    <m/>
    <m/>
    <m/>
    <m/>
    <m/>
    <m/>
    <m/>
    <m/>
    <m/>
    <m/>
    <m/>
    <m/>
    <m/>
    <m/>
    <m/>
    <m/>
    <m/>
    <m/>
    <m/>
    <m/>
    <m/>
    <m/>
    <m/>
    <m/>
    <m/>
    <m/>
    <m/>
    <m/>
    <m/>
    <m/>
    <m/>
    <m/>
    <m/>
    <m/>
    <m/>
    <m/>
    <m/>
    <m/>
    <m/>
    <m/>
    <m/>
    <d v="2016-03-01T00:00:00"/>
    <d v="2019-03-01T00:00:00"/>
    <m/>
    <s v="Development Food &amp; Nutrition Security and Resilience to Climate Change"/>
    <n v="225086"/>
    <s v="Lemekeza Mokiwa"/>
    <s v="Programm Director"/>
    <s v="lemekeza.mokiwa@care.org"/>
    <s v="Salome Mhango"/>
    <s v="Project Manager"/>
    <s v="salome.mhango@care.org"/>
    <s v="NO"/>
    <s v="YES"/>
    <s v="NO"/>
    <s v="Improved productivity and livelihoods of smallholder women farmers"/>
    <s v="Sub-National"/>
    <s v="Malawi-Central Region-Kasungu &amp; Dowa"/>
    <s v="Chronically rural food insecure poor women with land and labour and living below 1$ per day"/>
    <n v="4147"/>
    <n v="353"/>
    <n v="4500"/>
    <n v="20735"/>
    <n v="1765"/>
    <n v="22500"/>
    <s v="Direct participants are the direct beneficiaries of the project who the project directly trains. Indirects participants have been calculted by multiplying the number of beneficiaries by the average household size which is 5."/>
    <m/>
    <m/>
    <m/>
    <m/>
    <m/>
    <m/>
    <m/>
    <m/>
    <m/>
    <m/>
    <m/>
    <m/>
    <m/>
    <m/>
    <m/>
    <m/>
    <m/>
    <m/>
    <m/>
    <m/>
    <m/>
    <m/>
    <m/>
    <m/>
    <m/>
    <m/>
    <m/>
    <m/>
    <m/>
    <m/>
    <m/>
    <m/>
    <m/>
    <m/>
    <m/>
    <m/>
    <m/>
    <m/>
    <m/>
    <m/>
    <m/>
    <m/>
    <m/>
    <m/>
    <m/>
    <m/>
    <m/>
    <m/>
    <m/>
    <m/>
    <m/>
    <m/>
    <m/>
    <m/>
    <m/>
    <m/>
    <m/>
    <m/>
    <m/>
    <m/>
    <n v="4147"/>
    <n v="353"/>
    <n v="4500"/>
    <n v="20735"/>
    <n v="1765"/>
    <n v="22500"/>
    <s v="YES"/>
    <n v="4500"/>
    <n v="0.92"/>
    <n v="22500"/>
    <s v="YES"/>
    <n v="4500"/>
    <n v="0.92"/>
    <n v="22500"/>
    <s v="NO"/>
    <m/>
    <m/>
    <m/>
    <s v="YES"/>
    <m/>
    <m/>
    <m/>
    <s v="YES"/>
    <n v="4500"/>
    <n v="0.92"/>
    <n v="22500"/>
    <s v="NO"/>
    <m/>
    <m/>
    <m/>
    <s v="YES"/>
    <n v="4500"/>
    <n v="0.92"/>
    <n v="22500"/>
    <s v="YES"/>
    <n v="4500"/>
    <n v="0.92"/>
    <n v="22500"/>
    <s v="YES"/>
    <n v="4500"/>
    <n v="0.92"/>
    <n v="22500"/>
    <s v="NO"/>
    <m/>
    <m/>
    <m/>
    <s v="NO"/>
    <m/>
    <m/>
    <m/>
    <s v="YES"/>
    <n v="4500"/>
    <n v="0.92"/>
    <n v="22500"/>
    <s v="YES"/>
    <n v="4500"/>
    <n v="0.92"/>
    <n v="22500"/>
    <m/>
    <m/>
    <m/>
    <m/>
    <m/>
    <m/>
    <m/>
    <m/>
    <s v="YES"/>
    <n v="4500"/>
    <n v="0.92"/>
    <n v="22500"/>
    <m/>
    <m/>
    <m/>
    <m/>
    <m/>
    <s v="YES"/>
    <s v="June"/>
    <n v="2016"/>
    <s v="YES"/>
    <s v="NO"/>
    <m/>
    <m/>
    <s v="The baseline was only focused on soil analysis. The other Final evaluation will be done after 3 years of implementation to compare baseline and endline however periodic progress monitoring is done semiannually"/>
    <x v="0"/>
    <s v="NO"/>
    <s v="NO"/>
    <s v="NO"/>
    <s v="NO"/>
    <s v="NO"/>
    <s v="NO"/>
    <s v="NO"/>
    <s v="NO"/>
    <m/>
    <x v="1"/>
    <s v="Use of Zai pits to retain more moisture, manure and conservation agriculture."/>
    <x v="1"/>
    <s v="The programme is currently working with Luanar to generate scientific evidence for scaling up"/>
    <x v="1"/>
    <x v="1"/>
    <s v="YES"/>
    <x v="0"/>
    <x v="0"/>
    <x v="0"/>
    <x v="2"/>
    <n v="4"/>
    <x v="1"/>
    <x v="2"/>
    <x v="1"/>
    <x v="1"/>
    <x v="2"/>
    <x v="4"/>
    <n v="2"/>
    <x v="3"/>
    <x v="1"/>
    <x v="1"/>
    <x v="1"/>
    <x v="4"/>
    <n v="3"/>
    <x v="0"/>
    <x v="0"/>
    <n v="2"/>
    <s v="University/research institution(s)"/>
    <s v="National government"/>
    <m/>
    <x v="1"/>
    <m/>
    <m/>
    <s v="Use of FFBS and Producer groups to build capacity of farmers"/>
    <m/>
    <m/>
    <s v="When rainfall pattern is above normal like this season, conventional plots yield more than mulched plots in legumes. During this season, it was observed that mulched plots experienced water logging which affected plant growth.  For instance groundnut (CA/Mulched 60cm x 15cm) showed faster growth at germination, however, from 2nd to 5th week growth reduced and leaves discolored. This was not observed in conventional practices without mulch which had optimal condition for plant growth."/>
    <s v="Despite the season experiencing above normal rainfall, Zai pits yieded more than the least of the agronomical practices showcased at the demostration plots. Water productivity (crop per drop) was high in Zai pits than the least of agronomical practices."/>
    <m/>
    <s v="Farmers, have already prefered the innovation brought by this project (zai pits) to the rest of the practices that were previously promoted even though this is just year one of implementation."/>
    <m/>
    <n v="4500"/>
    <n v="22500"/>
    <n v="5"/>
    <n v="0.92155555555555557"/>
    <n v="0.92155555555555557"/>
    <n v="4147"/>
    <n v="20735"/>
    <s v=""/>
    <n v="0"/>
    <n v="0"/>
    <s v=""/>
    <n v="1"/>
    <n v="4500"/>
    <n v="22500"/>
    <n v="5"/>
    <s v=""/>
    <n v="0"/>
    <n v="0"/>
    <s v=""/>
    <n v="1"/>
    <n v="4500"/>
    <n v="22500"/>
    <n v="5"/>
    <n v="1"/>
    <n v="4500"/>
    <n v="22500"/>
    <n v="5"/>
    <s v="4. Transformative"/>
    <s v="1. Tokenistic"/>
    <s v="4. Transformative"/>
    <s v="It tested new ways for fighting poverty, but did not measure results of innovation"/>
    <s v="Little or no advocacy"/>
    <s v="It linked and worked with strategic alliances and partners to take tested and effective solutions to scale"/>
  </r>
  <r>
    <x v="45"/>
    <x v="2"/>
    <m/>
    <s v="Assistance Alimentaire aux Ménages Vulnérables du Projet d’Intervention Prolongée de Secours et de Redressement dans les cercles de Niafunké et de Goundam"/>
    <s v="Mali"/>
    <s v="US1F5"/>
    <s v="No CARE member related to the project/initiative"/>
    <s v="Other"/>
    <s v="UN - United Nations agencies/offices"/>
    <s v="World Food Programme (WFP)"/>
    <m/>
    <m/>
    <m/>
    <m/>
    <m/>
    <m/>
    <m/>
    <m/>
    <m/>
    <m/>
    <m/>
    <m/>
    <m/>
    <m/>
    <m/>
    <m/>
    <m/>
    <m/>
    <m/>
    <m/>
    <m/>
    <m/>
    <m/>
    <m/>
    <m/>
    <m/>
    <m/>
    <m/>
    <m/>
    <m/>
    <m/>
    <m/>
    <m/>
    <m/>
    <m/>
    <m/>
    <m/>
    <m/>
    <m/>
    <m/>
    <m/>
    <m/>
    <m/>
    <m/>
    <m/>
    <d v="2016-03-01T00:00:00"/>
    <d v="2016-12-31T00:00:00"/>
    <m/>
    <s v="Humanitarian Food &amp; Nutrition Security and Resilience to Climate Change"/>
    <n v="685470"/>
    <s v="Joyce SEPENOO"/>
    <s v="ACD - Program Quality"/>
    <s v="joyce.sepenoo@care.org "/>
    <s v="Mahamoudou GUIMBAYARA"/>
    <s v="Deputy Emergency Coordinator"/>
    <s v="mguimbayara@care.org"/>
    <s v="YES"/>
    <s v="NO"/>
    <s v="NO"/>
    <s v="L’intervention vise à assurer la survie de 52.013 personnes vulnérables dans les cercles de Niafunké et Goundam (Tombouctou) sur la période Mars à décembre 2016 à travers une distribution des vivres essentiels à la couverture des besoins alimentaires basiques des populations à risque de la faim"/>
    <s v="Sub-National"/>
    <s v="Mali, Tombouctou region, Districts of Goundam and Niafunke"/>
    <s v="Femmes enceintes, femmes allaitantes, les enfants de moins de 5 ans, les ménages sans revenu, les ménages affectés par les aléas climatiques, les personnes handicapées et malades chroniques, les personnes agées, les personnes déplacées internes et retournées etc."/>
    <n v="2600"/>
    <n v="6069"/>
    <n v="8669"/>
    <n v="26265"/>
    <n v="25748"/>
    <n v="52013"/>
    <s v="Les participants directs sont les chefs de menages (Hommes et Femmes) qui recoivent directement de l'assistance au nom du menage._x000a_Les participants indirects sont les membres des menages beneficiaires de l'assistance: Il s'agit des enfants de 0 a 5 ans, des filles et garcons de 5 a 18 ans et des femmes et hommes ages de plus de 18 ans, des femmes emcientes et allaitantes."/>
    <m/>
    <n v="2600"/>
    <n v="6069"/>
    <n v="8669"/>
    <n v="26265"/>
    <n v="25748"/>
    <n v="52013"/>
    <s v="NO"/>
    <m/>
    <m/>
    <m/>
    <s v="YES"/>
    <n v="8669"/>
    <n v="0.3"/>
    <n v="52013"/>
    <s v="NO"/>
    <m/>
    <m/>
    <m/>
    <s v="YES"/>
    <n v="8669"/>
    <n v="0.3"/>
    <n v="52013"/>
    <s v="NO"/>
    <m/>
    <m/>
    <m/>
    <s v="NO"/>
    <m/>
    <m/>
    <m/>
    <s v="NO"/>
    <m/>
    <m/>
    <m/>
    <s v="NO"/>
    <m/>
    <m/>
    <m/>
    <s v="NO"/>
    <m/>
    <m/>
    <m/>
    <s v="NO"/>
    <m/>
    <m/>
    <m/>
    <s v="NO"/>
    <m/>
    <m/>
    <m/>
    <s v="NO"/>
    <m/>
    <m/>
    <m/>
    <m/>
    <m/>
    <m/>
    <m/>
    <m/>
    <m/>
    <m/>
    <m/>
    <m/>
    <m/>
    <m/>
    <m/>
    <m/>
    <m/>
    <m/>
    <m/>
    <m/>
    <m/>
    <m/>
    <m/>
    <m/>
    <m/>
    <m/>
    <m/>
    <m/>
    <m/>
    <m/>
    <m/>
    <m/>
    <m/>
    <m/>
    <m/>
    <m/>
    <m/>
    <m/>
    <m/>
    <m/>
    <m/>
    <m/>
    <m/>
    <m/>
    <m/>
    <m/>
    <m/>
    <m/>
    <m/>
    <m/>
    <m/>
    <m/>
    <m/>
    <m/>
    <m/>
    <m/>
    <m/>
    <m/>
    <m/>
    <m/>
    <m/>
    <m/>
    <m/>
    <m/>
    <m/>
    <m/>
    <m/>
    <m/>
    <m/>
    <m/>
    <m/>
    <m/>
    <m/>
    <m/>
    <m/>
    <m/>
    <m/>
    <m/>
    <m/>
    <m/>
    <m/>
    <m/>
    <m/>
    <s v="YES"/>
    <s v="December"/>
    <n v="2016"/>
    <s v="YES"/>
    <s v="NO"/>
    <m/>
    <m/>
    <s v="Pas d'evaluation future puisque une evaluation finale a ete realisee dans le cadre de ce projet"/>
    <x v="0"/>
    <s v="NO"/>
    <s v="NO"/>
    <s v="NO"/>
    <s v="NO"/>
    <s v="NO"/>
    <s v="NO"/>
    <s v="NO"/>
    <s v="YES"/>
    <s v="Contribution au remplissement des Outils de plaidoyer de OCHA (HNO, HRP), et de Cluster de Securite alimentaire (Matrices 3W, 4W, 5W, etc)"/>
    <x v="0"/>
    <m/>
    <x v="0"/>
    <s v="L'approche du projet LLA (Listen learn and Act) sur la redevabilite pilote par Ground Truth solutions, Save the children danemark et Danisch Churchil Aid a permis d'evaluer le projet suivant les neuf engagements de la norme CHS."/>
    <x v="0"/>
    <x v="1"/>
    <s v="YES"/>
    <x v="1"/>
    <x v="0"/>
    <x v="0"/>
    <x v="4"/>
    <n v="3"/>
    <x v="1"/>
    <x v="2"/>
    <x v="1"/>
    <x v="1"/>
    <x v="1"/>
    <x v="1"/>
    <n v="3"/>
    <x v="1"/>
    <x v="1"/>
    <x v="2"/>
    <x v="2"/>
    <x v="3"/>
    <n v="1"/>
    <x v="0"/>
    <x v="2"/>
    <n v="2"/>
    <s v="Local NGO(s)/CSO(s)"/>
    <m/>
    <m/>
    <x v="2"/>
    <s v="Mise en place des comites de distribution et de plaintes_x000a_Organisation des dialogues externes avec les communautes sur les resulats du projet, le diagnostic des plaintes_x000a_les sensibilisations pour renforcer la participation de la femmes dans les instances de decision"/>
    <s v="Pas de changement."/>
    <s v="L’implication des services techniques dans le choix des villages bénéficiaires limitent les erreurs d’exclusion en matière de ciblage géographique"/>
    <s v="La distribution des vivres a renforcé la dignité des chefs de ménages, leur prestige social la solidarité interne au sein des villages et fractions bénéficiaires par le sens de partage des ménages bénéficiaires avec les ménages non bénéficiaires. Cela veut dire qu’à chaque distribution, les bénéficiaires partagent une partie de leurs vivres aux familles voisines non bénéficiaires"/>
    <s v="La consommation des vivres distribués et la pratique du lavage des mains ont amélioré l’état de santé des enfants et des personnes âgées"/>
    <s v="La distribution alimentaire est un facteur d’implication des femmes dans la prise de décision sur « comment gérer les vivres »"/>
    <s v="La disponibilité alimentaire pendant La période de soudure réduit La tension au sein des ménages surtout les violences faites sur les femmes"/>
    <s v="La disponibilité d’une source stable de soutien alimentaire contribue à réduire l’exode massif des populations  rurales"/>
    <s v="La mission d’évaluation a estimé que le projet a été performant au regard du bilan globalement positif. En effet, sur une prévision de 52 013 bénéficiaires, le projet IPRS-PAM a atteint 100% de ses bénéficiaires. La quantité de vivres prévue a été livrée à hauteur de 97%. Mieux les variétés fournies répondent aux habitudes alimentaires des bénéficiaires selon les focus groupes. L’assistance à travers les vouchers a été réalisée à 100.03% selon les données disponibles._x000a__x000a_L’analyse du score de consommation (SCA) indique que sur une prévision de 85% de ménages ciblés par les distributions alimentaires, 93% ont atteint un niveau de consommation acceptable. Un total de 89% des ménages bénéficiaires des vivres, sur une prévision initiale de 80% ciblé par le projet, ont renoncé aux mauvaises pratiques de vente de biens et actifs productifs. _x000a__x000a_En définitive, la mission d’évaluation affirme que le projet a été performant dans l’atteinte des résultats programmatiques. Les activités planifiées ont permis de réaliser les objectifs. Ces objectifs initialement prévus ont été largement atteints en termes de nombre de bénéficiaires, de sécurité alimentaire, et de participation des femmes dans les prises de décision au sein des ménages. De même les pratiques d’hygiène et d’assainissement sont appliquées dans tous les villages où la mission d’évaluation s’est rendue._x000a__x000a_Source : Rapport évaluation finale du projet."/>
    <s v="1. Proposition technique_x000a_2. Rapport de Ciblage_x000a_3. Rapports PDM_x000a_4. Rapport Evaluation Finale_x000a_5. Rapport Executif Final"/>
    <n v="8669"/>
    <n v="52013"/>
    <n v="5.9998846464413429"/>
    <n v="0.29991925250893992"/>
    <n v="0.50496991136831182"/>
    <n v="2600"/>
    <n v="26265"/>
    <n v="1"/>
    <n v="8669"/>
    <n v="52013"/>
    <n v="5.9998846464413429"/>
    <n v="1"/>
    <n v="8669"/>
    <n v="52013"/>
    <n v="5.9998846464413429"/>
    <s v=""/>
    <n v="0"/>
    <n v="0"/>
    <s v=""/>
    <s v=""/>
    <n v="0"/>
    <n v="0"/>
    <s v=""/>
    <s v=""/>
    <n v="0"/>
    <n v="0"/>
    <s v=""/>
    <s v="3. Responsive"/>
    <s v="2. Accommodating"/>
    <s v="1. Neutral"/>
    <s v="It did not develop any specific innovation"/>
    <s v="Little or no advocacy"/>
    <s v="It did not take tested solutions to scale"/>
  </r>
  <r>
    <x v="45"/>
    <x v="2"/>
    <m/>
    <s v="Assistance Alimentaire aux Ménages Vulnérables du Projet d’Intervention Prolongée de Secours et de Redressement dans les cercles de Niafunké et de Goundam"/>
    <s v="Mali"/>
    <s v="US1VX"/>
    <s v="No CARE member related to the project/initiative"/>
    <s v="Other"/>
    <s v="UN - United Nations agencies/offices"/>
    <s v="World Food Programme (WFP)"/>
    <m/>
    <m/>
    <m/>
    <m/>
    <m/>
    <m/>
    <m/>
    <m/>
    <m/>
    <m/>
    <m/>
    <m/>
    <m/>
    <m/>
    <m/>
    <m/>
    <m/>
    <m/>
    <m/>
    <m/>
    <m/>
    <m/>
    <m/>
    <m/>
    <m/>
    <m/>
    <m/>
    <m/>
    <m/>
    <m/>
    <m/>
    <m/>
    <m/>
    <m/>
    <m/>
    <m/>
    <m/>
    <m/>
    <m/>
    <m/>
    <m/>
    <m/>
    <m/>
    <m/>
    <m/>
    <d v="2017-02-01T00:00:00"/>
    <d v="2017-05-31T00:00:00"/>
    <d v="2017-09-30T00:00:00"/>
    <s v="Humanitarian Food &amp; Nutrition Security and Resilience to Climate Change"/>
    <n v="337886"/>
    <s v="Joyce SEPENOO"/>
    <s v="ACD - Program Quality"/>
    <s v="joyce.sepenoo@care.org "/>
    <s v="Mahamoudou GUIMBAYARA"/>
    <s v="Deputy Emergency Coordinator"/>
    <s v="mguimbayara@care.org"/>
    <s v="YES"/>
    <s v="NO"/>
    <s v="NO"/>
    <s v="L’intervention vise à assurer la survie de 37 620 personnes vulnérables dans les cercles de Niafunké et Goundam (Tombouctou) sur la période Fevrier à Septembre 2017 à travers une distribution des vivres essentiels à la couverture des besoins alimentaires basiques des populations à risque de la faim"/>
    <s v="Sub-National"/>
    <s v="Mali, Tombouctou region, Districts of Goundam and Niafunke"/>
    <s v="Femmes enceintes, femmes allaitantes, les enfants de moins de 5 ans, les ménages sans revenu, les ménages affectés par les aléas climatiques, les personnes handicapées et malades chroniques, les personnes agées, les personnes déplacées internes et retournées etc."/>
    <n v="2285"/>
    <n v="3985"/>
    <n v="6270"/>
    <n v="18998"/>
    <n v="18622"/>
    <n v="37620"/>
    <s v="Les participants directs sont les chefs de menages (Hommes et Femmes) qui recoivent directement de l'assistance au nom du menage._x000a_Les participants indirects sont les membres des menages beneficiaires de l'assistance: Il s'agit des enfants de 0 a 5 ans, des filles et garcons de 5 a 18 ans et des femmes et hommes ages de plus de 18 ans, des femmes emcientes et allaitantes."/>
    <m/>
    <n v="2285"/>
    <n v="3985"/>
    <n v="6270"/>
    <n v="18998"/>
    <n v="18622"/>
    <n v="37620"/>
    <s v="NO"/>
    <m/>
    <m/>
    <m/>
    <s v="YES"/>
    <n v="6270"/>
    <n v="0.36399999999999999"/>
    <n v="37620"/>
    <s v="NO"/>
    <m/>
    <m/>
    <m/>
    <s v="YES"/>
    <n v="6270"/>
    <n v="0.36399999999999999"/>
    <n v="37620"/>
    <s v="NO"/>
    <m/>
    <m/>
    <m/>
    <s v="NO"/>
    <m/>
    <m/>
    <m/>
    <s v="NO"/>
    <m/>
    <m/>
    <m/>
    <s v="NO"/>
    <m/>
    <m/>
    <m/>
    <s v="NO"/>
    <m/>
    <m/>
    <m/>
    <s v="NO"/>
    <m/>
    <m/>
    <m/>
    <s v="NO"/>
    <m/>
    <m/>
    <m/>
    <s v="NO"/>
    <m/>
    <m/>
    <m/>
    <m/>
    <m/>
    <m/>
    <m/>
    <m/>
    <m/>
    <m/>
    <m/>
    <m/>
    <m/>
    <m/>
    <m/>
    <m/>
    <m/>
    <m/>
    <m/>
    <m/>
    <m/>
    <m/>
    <m/>
    <m/>
    <m/>
    <m/>
    <m/>
    <m/>
    <m/>
    <m/>
    <m/>
    <m/>
    <m/>
    <m/>
    <m/>
    <m/>
    <m/>
    <m/>
    <m/>
    <m/>
    <m/>
    <m/>
    <m/>
    <m/>
    <m/>
    <m/>
    <m/>
    <m/>
    <m/>
    <m/>
    <m/>
    <m/>
    <m/>
    <m/>
    <m/>
    <m/>
    <m/>
    <m/>
    <m/>
    <m/>
    <m/>
    <m/>
    <m/>
    <m/>
    <m/>
    <m/>
    <m/>
    <m/>
    <m/>
    <m/>
    <m/>
    <m/>
    <m/>
    <m/>
    <m/>
    <m/>
    <m/>
    <m/>
    <m/>
    <m/>
    <m/>
    <m/>
    <m/>
    <s v="NO"/>
    <m/>
    <m/>
    <s v="NO"/>
    <s v="YES"/>
    <s v="September"/>
    <n v="2017"/>
    <s v="Une évaluation finale conduite par une Personnes ressources externe sera conduite au dernier mois l‘intervention projet dont le but sera essentiellement orienté sur la mesures des indicateurs de résultats et l’examen des changements enregistrés attribuables aux investissements du projet."/>
    <x v="0"/>
    <s v="NO"/>
    <s v="NO"/>
    <s v="NO"/>
    <s v="NO"/>
    <s v="NO"/>
    <s v="NO"/>
    <s v="NO"/>
    <s v="YES"/>
    <s v="Contribution au remplissement des Outils de plaidoyer de OCHA (HNO, HRP), et de Cluster de Securite alimentaire (Matrices 3W, 4W, 5W, etc)"/>
    <x v="0"/>
    <m/>
    <x v="0"/>
    <m/>
    <x v="0"/>
    <x v="1"/>
    <s v="YES"/>
    <x v="1"/>
    <x v="0"/>
    <x v="0"/>
    <x v="4"/>
    <n v="3"/>
    <x v="1"/>
    <x v="2"/>
    <x v="1"/>
    <x v="1"/>
    <x v="1"/>
    <x v="1"/>
    <n v="3"/>
    <x v="1"/>
    <x v="1"/>
    <x v="2"/>
    <x v="2"/>
    <x v="3"/>
    <n v="1"/>
    <x v="0"/>
    <x v="2"/>
    <n v="2"/>
    <s v="Local NGO(s)/CSO(s)"/>
    <m/>
    <m/>
    <x v="2"/>
    <s v="Mise en place des comites de distribution et de plaintes_x000a_Organisation des dialogues externes avec les communautes"/>
    <m/>
    <s v="L’implication des services techniques dans le choix des villages bénéficiaires limitent les erreurs d’exclusion en matière de ciblage géographique"/>
    <s v="La distribution des vivres a renforcé la dignité des chefs de ménages, leur prestige social la solidarité interne au sein des villages et fractions bénéficiaires par le sens de partage des ménages bénéficiaires avec les ménages non bénéficiaires. Cela veut dire qu’à chaque distribution, les bénéficiaires partagent une partie de leurs vivres aux familles voisines non bénéficiaires"/>
    <s v="La consommation des vivres distribués et la pratique du lavage des mains ont amélioré l’état de santé des enfants et des personnes âgées"/>
    <s v="La distribution alimentaire est un facteur d’implication des femmes dans la prise de décision sur « comment gérer les vivres »"/>
    <s v="La disponibilité alimentaire pendant La période de soudure réduit La tension au sein des ménages surtout les violences faites sur les femmes"/>
    <s v="La disponibilité d’une source stable de soutien alimentaire contribue à réduire l’exode massif des populations  rurales"/>
    <m/>
    <m/>
    <n v="6270"/>
    <n v="37620"/>
    <n v="6"/>
    <n v="0.36443381180223283"/>
    <n v="0.50499734183944711"/>
    <n v="2285"/>
    <n v="18998"/>
    <n v="1"/>
    <n v="6270"/>
    <n v="37620"/>
    <n v="6"/>
    <n v="1"/>
    <n v="6270"/>
    <n v="37620"/>
    <n v="6"/>
    <s v=""/>
    <n v="0"/>
    <n v="0"/>
    <s v=""/>
    <s v=""/>
    <n v="0"/>
    <n v="0"/>
    <s v=""/>
    <s v=""/>
    <n v="0"/>
    <n v="0"/>
    <s v=""/>
    <s v="3. Responsive"/>
    <s v="2. Accommodating"/>
    <s v="1. Neutral"/>
    <s v="It did not develop any specific innovation"/>
    <s v="Little or no advocacy"/>
    <s v="It did not take tested solutions to scale"/>
  </r>
  <r>
    <x v="45"/>
    <x v="2"/>
    <m/>
    <s v="Cash assistance for vulnerable household affected by insecurity and food deficit (Timbuktu Region)"/>
    <s v="Mali"/>
    <s v="NO162"/>
    <s v="CARE Norge"/>
    <s v="Government"/>
    <s v="Government - Norway"/>
    <s v="Ministry of Foreign Affairs of Norway"/>
    <m/>
    <m/>
    <m/>
    <m/>
    <m/>
    <m/>
    <m/>
    <m/>
    <m/>
    <m/>
    <m/>
    <m/>
    <m/>
    <m/>
    <m/>
    <m/>
    <m/>
    <m/>
    <m/>
    <m/>
    <m/>
    <m/>
    <m/>
    <m/>
    <m/>
    <m/>
    <m/>
    <m/>
    <m/>
    <m/>
    <m/>
    <m/>
    <m/>
    <m/>
    <m/>
    <m/>
    <m/>
    <m/>
    <m/>
    <m/>
    <m/>
    <m/>
    <m/>
    <m/>
    <m/>
    <d v="2016-07-15T00:00:00"/>
    <d v="2017-07-15T00:00:00"/>
    <m/>
    <s v="Humanitarian Food &amp; Nutrition Security and Resilience to Climate Change"/>
    <n v="813456"/>
    <s v="Joyce SEPENOO"/>
    <s v="ACD - Program Quality"/>
    <s v="joyce.sepenoo@care.org "/>
    <s v="Mahamoudou GUIMBAYARA"/>
    <s v="Deputy Emergency Coordinator"/>
    <s v="mguimbayara@care.org"/>
    <s v="YES"/>
    <s v="NO"/>
    <s v="NO"/>
    <s v="Contribute to improving conditions for vulnerable household’s affected by the conflict and food and nutrition insecurity in the Timbuktu region"/>
    <s v="Sub-National"/>
    <s v="Mali, Tombouctou region, Districts of Goundam and Niafunke"/>
    <s v="Households headed by women; households with disability, children under 5 years, pregnant and lactating women, without revenue"/>
    <n v="1943"/>
    <n v="1322"/>
    <n v="3265"/>
    <n v="12250"/>
    <n v="12250"/>
    <n v="24500"/>
    <s v="Les participants directs sont les chefs de menages (Hommes et Femmes) qui recoivent directement de l'assistance au nom du menage._x000a_Les participants indirects sont les membres des menages beneficiaires de l'assistance: Il s'agit des enfants de 0 a 5 ans, des filles et garcons de 5 a 18 ans et des femmes et hommes ages de plus de 18 ans, des femmes emcientes et allaitantes."/>
    <m/>
    <n v="1943"/>
    <n v="1322"/>
    <n v="3265"/>
    <n v="13623"/>
    <n v="14535"/>
    <n v="28158"/>
    <s v="NO"/>
    <m/>
    <m/>
    <m/>
    <s v="YES"/>
    <n v="3265"/>
    <n v="0.59499999999999997"/>
    <n v="28158"/>
    <s v="NO"/>
    <m/>
    <m/>
    <m/>
    <s v="YES"/>
    <n v="3265"/>
    <n v="0.59499999999999997"/>
    <n v="28158"/>
    <s v="NO"/>
    <m/>
    <m/>
    <m/>
    <s v="YES"/>
    <n v="4839"/>
    <n v="0.56599999999999995"/>
    <n v="14517"/>
    <s v="NO"/>
    <m/>
    <m/>
    <m/>
    <s v="NO"/>
    <m/>
    <m/>
    <m/>
    <s v="NO"/>
    <m/>
    <m/>
    <m/>
    <s v="NO"/>
    <m/>
    <m/>
    <m/>
    <s v="NO"/>
    <m/>
    <m/>
    <m/>
    <s v="YES"/>
    <n v="4839"/>
    <n v="0.56599999999999995"/>
    <n v="14517"/>
    <m/>
    <m/>
    <m/>
    <m/>
    <m/>
    <m/>
    <m/>
    <m/>
    <m/>
    <m/>
    <m/>
    <m/>
    <m/>
    <m/>
    <m/>
    <m/>
    <m/>
    <m/>
    <m/>
    <m/>
    <m/>
    <m/>
    <m/>
    <m/>
    <m/>
    <m/>
    <m/>
    <m/>
    <m/>
    <m/>
    <m/>
    <m/>
    <m/>
    <m/>
    <m/>
    <m/>
    <m/>
    <m/>
    <m/>
    <m/>
    <m/>
    <m/>
    <m/>
    <m/>
    <m/>
    <m/>
    <m/>
    <m/>
    <m/>
    <m/>
    <m/>
    <m/>
    <m/>
    <m/>
    <m/>
    <m/>
    <m/>
    <m/>
    <m/>
    <m/>
    <m/>
    <m/>
    <m/>
    <m/>
    <m/>
    <m/>
    <m/>
    <m/>
    <m/>
    <m/>
    <m/>
    <m/>
    <m/>
    <m/>
    <m/>
    <m/>
    <m/>
    <m/>
    <m/>
    <m/>
    <s v="YES"/>
    <s v="June"/>
    <n v="2017"/>
    <s v="YES"/>
    <s v="NO"/>
    <m/>
    <m/>
    <s v="Pas d'evaluation future puisque une evaluation finale a ete realisee dans le cadre de ce projet"/>
    <x v="0"/>
    <s v="NO"/>
    <s v="NO"/>
    <s v="NO"/>
    <s v="NO"/>
    <s v="NO"/>
    <s v="NO"/>
    <s v="NO"/>
    <s v="YES"/>
    <s v="Contribution au remplissement des Outils de plaidoyer de OCHA (HNO, HRP), et de Cluster de Securite alimentaire (Matrices 3W, 4W, 5W, etc)"/>
    <x v="3"/>
    <s v="Transfert electronique de cash en zones d'acces difficile a permis de toucher les populations dans les zones reculees"/>
    <x v="3"/>
    <s v="Recours aux commercants locaux pour acceder aux populations dans les zones difficiles _x000a_L'approche du projet LLA (Listen learn and Act) sur la redevabilite pilote par Ground Truth solutions, Save the children danemark et Danisch Churchil Aid a permis d'evaluer le projet suivant les neuf engagements de la norme CHS."/>
    <x v="1"/>
    <x v="1"/>
    <s v="NO"/>
    <x v="0"/>
    <x v="0"/>
    <x v="0"/>
    <x v="4"/>
    <n v="3"/>
    <x v="1"/>
    <x v="2"/>
    <x v="1"/>
    <x v="1"/>
    <x v="1"/>
    <x v="1"/>
    <n v="3"/>
    <x v="1"/>
    <x v="1"/>
    <x v="1"/>
    <x v="1"/>
    <x v="1"/>
    <n v="3"/>
    <x v="2"/>
    <x v="2"/>
    <n v="2"/>
    <s v="Local NGO(s)/CSO(s)"/>
    <m/>
    <m/>
    <x v="2"/>
    <s v="Mise en place des comites de distribution et de plaintes_x000a_Organisation des dialogues externes avec les communautes sur les resulats du projet, le diagnostic des plaintes_x000a_les sensibilisations pour renforcer la participation de la femmes dans les instances de decision"/>
    <s v="Le projet a mene une revision budgetaire a mis parcours qui a permis d'allouer plus de ressources aux beneficiaires en augmentant de 25% le montant de la derniere tranche de cash (25 000 FCFA et non 20 000FCFA)"/>
    <s v="Une étroite collaboration avec les autorités administratives, et les leaders communautaires contribue au transfert de cash à temps;"/>
    <s v="La participation des acteurs privés locaux (Fournisseurs de cash, Prestataires de location de vehicules) rend le transfert d'argent un succès malgré l'insécurité critique dans ces zones. Cette stratégie contribue a réduire ou éviter les risques d’enlèvements et de vols pendant la période"/>
    <s v="La rapidité et la discrétion liées aux opérations de distribution de cash ont réduit le risque d'attaques par des bandits armés"/>
    <s v="L'utilisation ou le recours au Systeme de transfert electronique de Cash contribue a une meilleure répartition des rôles et un renforcement du contrôle interne dans le processus de transfert de cash"/>
    <s v="La modalité &quot;Transfert en Especes&quot; a favorisé la disponibilité et la diversification des produits alimentaires sur les marchés"/>
    <s v="L'intégration de la sécurité alimentaire et le WASH ont contribué à améliorer l'état nutritionnel des ménages ciblés"/>
    <s v="Les résultats de la mise en œuvre du projet ont été globalement satisfaisants. La quasi globalité des indicateurs du cadre logique ont été atteint voire dépasser le niveau cible : 98,52 % des ménages ont un score de consommation acceptable contre 69,52 % au démarrage du projet ; La situation alimentaire s’est améliorée plus rapidement au sein des ménages dirigés par une femme. La proportion de ceux avec un score de consommation alimentaire est passée de 68,0 % à 99,2 % (soit une hausse de 31 points de pourcentage) pendant qu’elle a augmenté de 26 points de pourcentage pour les ménages dont le chef est un homme._x000a_La notion de genre qui était bien maîtrisée par les ménages, s’est renforcée davantage. Les sensibilisations ont permis d’accroître de façon substantielle le niveau de connaissance et les pratiques en matière d’hygiène alimentaire et de nutrition._x000a_Source : Rapport évaluation finale du projet."/>
    <s v="1. Technical Narrative_x000a_2. Baseline report_x000a_3. PDM Reports_x000a_4. Endline report"/>
    <n v="3265"/>
    <n v="28158"/>
    <n v="8.6241960183767237"/>
    <n v="0.5950995405819296"/>
    <n v="0.48380566801619435"/>
    <n v="1943"/>
    <n v="13623"/>
    <n v="1"/>
    <n v="3265"/>
    <n v="28158"/>
    <n v="8.6241960183767237"/>
    <n v="1"/>
    <n v="3265"/>
    <n v="28158"/>
    <n v="8.6241960183767237"/>
    <s v=""/>
    <n v="0"/>
    <n v="0"/>
    <s v=""/>
    <s v=""/>
    <n v="0"/>
    <n v="0"/>
    <s v=""/>
    <s v=""/>
    <n v="0"/>
    <n v="0"/>
    <s v=""/>
    <s v="3. Responsive"/>
    <s v="2. Accommodating"/>
    <s v="2. Sensitive"/>
    <n v="0"/>
    <s v="Little or no advocacy"/>
    <s v="It took tested solutions to scale on its own"/>
  </r>
  <r>
    <x v="45"/>
    <x v="2"/>
    <m/>
    <s v="Cash Assistance to Households Affected by Food Insecurity in Goundam and Niafunke Districts"/>
    <s v="Mali"/>
    <s v="US1QX"/>
    <s v="CARE USA"/>
    <s v="Government"/>
    <s v="Government - US"/>
    <s v="USAID"/>
    <m/>
    <m/>
    <m/>
    <m/>
    <m/>
    <m/>
    <m/>
    <m/>
    <m/>
    <m/>
    <m/>
    <m/>
    <m/>
    <m/>
    <m/>
    <m/>
    <m/>
    <m/>
    <m/>
    <m/>
    <m/>
    <m/>
    <m/>
    <m/>
    <m/>
    <m/>
    <m/>
    <m/>
    <m/>
    <m/>
    <m/>
    <m/>
    <m/>
    <m/>
    <m/>
    <m/>
    <m/>
    <m/>
    <m/>
    <m/>
    <m/>
    <m/>
    <m/>
    <m/>
    <m/>
    <d v="2016-08-05T00:00:00"/>
    <d v="2017-06-30T00:00:00"/>
    <m/>
    <s v="Humanitarian Food &amp; Nutrition Security and Resilience to Climate Change"/>
    <n v="1950000"/>
    <s v="Joyce SEPENOO"/>
    <s v="ACD - Program Quality"/>
    <s v="joyce.sepenoo@care.org "/>
    <s v="Mahamoudou GUIMBAYARA"/>
    <s v="Deputy Emergency Coordinator"/>
    <s v="mguimbayara@care.org"/>
    <s v="YES"/>
    <s v="NO"/>
    <s v="NO"/>
    <s v="The project’s main objective is to provide food assistance in the form of unconditional cash transfers to maintain vulnerable beneficiaries’ livelihoods as well as to ensure that they do not have to resort to negative coping mechanisms"/>
    <s v="Sub-National"/>
    <s v="Mali, Tombouctou region, Districts of Goundam and Niafunke"/>
    <s v="Les ménages affectés par les aléas climatiques (inondations) et conflits (Personnes déplacées internes, Retournées, Rapatriees) vulnerables (menages avec personnes handicapées, malades chroniques, personnes agées, Femmes enceintes, femmes allaitantes, enfants de moins de 5 ans, les ménages sans revenu)"/>
    <n v="1601"/>
    <n v="2599"/>
    <n v="4200"/>
    <n v="12600"/>
    <n v="12600"/>
    <n v="25200"/>
    <s v="Les participants directs sont les chefs de menages (Hommes et Femmes) qui recoivent directement de l'assistance au nom du menage._x000a_Les participants indirects sont les membres des menages beneficiaires de l'assistance: Il s'agit des enfants de 0 a 5 ans, des filles et garcons de 5 a 18 ans et des femmes et hommes ages de plus de 18 ans, des femmes emcientes et allaitantes."/>
    <m/>
    <n v="2022"/>
    <n v="3213"/>
    <n v="5235"/>
    <n v="20192"/>
    <n v="19310"/>
    <n v="39502"/>
    <s v="NO"/>
    <m/>
    <m/>
    <m/>
    <s v="YES"/>
    <n v="5235"/>
    <n v="0.38600000000000001"/>
    <n v="39502"/>
    <s v="NO"/>
    <m/>
    <m/>
    <m/>
    <s v="YES"/>
    <n v="5235"/>
    <n v="0.38600000000000001"/>
    <n v="39502"/>
    <s v="NO"/>
    <m/>
    <m/>
    <m/>
    <s v="NO"/>
    <m/>
    <m/>
    <m/>
    <s v="NO"/>
    <m/>
    <m/>
    <m/>
    <s v="NO"/>
    <m/>
    <m/>
    <m/>
    <s v="NO"/>
    <m/>
    <m/>
    <m/>
    <s v="NO"/>
    <m/>
    <m/>
    <m/>
    <s v="NO"/>
    <m/>
    <m/>
    <m/>
    <s v="NO"/>
    <m/>
    <m/>
    <m/>
    <m/>
    <m/>
    <m/>
    <m/>
    <m/>
    <m/>
    <m/>
    <m/>
    <m/>
    <m/>
    <m/>
    <m/>
    <m/>
    <m/>
    <m/>
    <m/>
    <m/>
    <m/>
    <m/>
    <m/>
    <m/>
    <m/>
    <m/>
    <m/>
    <m/>
    <m/>
    <m/>
    <m/>
    <m/>
    <m/>
    <m/>
    <m/>
    <m/>
    <m/>
    <m/>
    <m/>
    <m/>
    <m/>
    <m/>
    <m/>
    <m/>
    <m/>
    <m/>
    <m/>
    <m/>
    <m/>
    <m/>
    <m/>
    <m/>
    <m/>
    <m/>
    <m/>
    <m/>
    <m/>
    <m/>
    <m/>
    <m/>
    <m/>
    <m/>
    <m/>
    <m/>
    <m/>
    <m/>
    <m/>
    <m/>
    <m/>
    <m/>
    <m/>
    <m/>
    <m/>
    <m/>
    <m/>
    <m/>
    <m/>
    <m/>
    <m/>
    <m/>
    <m/>
    <m/>
    <m/>
    <s v="YES"/>
    <s v="June"/>
    <n v="2017"/>
    <s v="YES"/>
    <s v="NO"/>
    <m/>
    <m/>
    <s v="Pas d'evaluation future puisque une evaluation finale a ete realisee dans le cadre de ce projet"/>
    <x v="0"/>
    <s v="NO"/>
    <s v="NO"/>
    <s v="YES"/>
    <s v="NO"/>
    <s v="YES"/>
    <s v="NO"/>
    <s v="NO"/>
    <s v="YES"/>
    <s v="Contribution au remplissement des Outils de plaidoyer de OCHA (HNO, HRP), et de Cluster de Securite alimentaire (Matrices 3W, 4W, 5W, etc)"/>
    <x v="2"/>
    <s v="Transfert electronique de cash en zones d'acces difficile a permis de toucher les populations dans les zones reculees"/>
    <x v="1"/>
    <s v="Recours aux commercants locaux pour acceder aux populations dans les zones difficiles _x000a_L'approche du projet LLA (Listen learn and Act) sur la redevabilite pilote par Ground Truth solutions, Save the children danemark et Danisch Churchil Aid a permis d'evaluer le projet suivant les neuf engagements de la norme CHS."/>
    <x v="0"/>
    <x v="1"/>
    <s v="YES"/>
    <x v="1"/>
    <x v="0"/>
    <x v="0"/>
    <x v="4"/>
    <n v="3"/>
    <x v="1"/>
    <x v="2"/>
    <x v="1"/>
    <x v="1"/>
    <x v="1"/>
    <x v="1"/>
    <n v="3"/>
    <x v="1"/>
    <x v="1"/>
    <x v="1"/>
    <x v="1"/>
    <x v="1"/>
    <n v="3"/>
    <x v="0"/>
    <x v="2"/>
    <n v="2"/>
    <s v="Local NGO(s)/CSO(s)"/>
    <m/>
    <m/>
    <x v="2"/>
    <s v="Mise en place des comites de distribution et de plaintes_x000a_Organisation des dialogues externes avec les communautes sur les resulats du projet, le diagnostic des plaintes_x000a_les sensibilisations pour renforcer la participation de la femmes dans les instances de decision"/>
    <s v="Le projet a mene une revision budgetaire a mis parcours qui a permis d'allouer plus de ressources aux beneficiaires en assistant 1035 nouveaux beneficiaires."/>
    <s v="Une étroite collaboration avec les autorités administratives, et les leaders communautaires contribue au transfert de cash à temps;"/>
    <s v="La participation des acteurs privés locaux (Fournisseurs de cash, Prestataires de location de vehicules) rend le transfert d'argent un succès malgré l'insécurité critique dans ces zones. Cette stratégie contribue a réduire ou éviter les risques d’enlèvements et de vols pendant la période"/>
    <s v="La rapidité et la discrétion liées aux opérations de distribution de cash ont réduit le risque d'attaques par des bandits armés"/>
    <s v="L'utilisation ou le recours au Systeme de transfert electronique de Cash contribue a une meilleure répartition des rôles et un renforcement du contrôle interne dans le processus de transfert de cash"/>
    <s v="La modalité &quot;Transfert en Especes&quot; a favorisé la disponibilité et la diversification des produits alimentaires sur les marchés"/>
    <s v="L'intégration de la sécurité alimentaire et le WASH ont contribué à améliorer l'état nutritionnel des ménages ciblés"/>
    <s v="1. Profil de consommation alimentaire : La moyenne de score alimentaire est acceptable dans la l’ensemble de la zone d’intervention avec une valeur de 89,52. En comparant la moyenne entre les sexes dans la zone d’intervention, nous voyons que la moyenne du score alimentaire est meilleure chez les ménages tenus par les femmes avec 92,75 contre 87,65 chez les ménages tenus par les hommes. _x000a__x000a_2. Indice domestique de la faim : Dans la zone du projet, 24% des ménages ont faim dont 1% de cas de faim sévère contre 76% des ménages qui n’ont pas faim. En considérant les particularités entre les sexes, les résultats de l’évaluation nous révèle que 21,1% des ménages dont la femme est le chef de famille ont faim mais uniquement de cas modéré et 25.7% des ménages dont l’homme est le chef de ménage ont faim avec 1,6% de cas sévère. _x000a__x000a_3. Score des stratégies d’adaptation : L’évaluation finale a révélé que dans l’ensemble de la zone d’intervention du projet que 30,8% des chefs de ménages ont affirmé avoir adoptés des stratégies d’adaptation alimentaire pour faire face à la pénurie alimentaire et parmi ces personnes 42% des ménages dont les femmes sont les chefs de ménage et 33,2% des ménages dont les hommes sont les chefs de ménages ont fait recours aux aliments moins bien aimés (moins préférés) comme principale stratégie adoptée._x000a__x000a_Source : Rapport évaluation finale du projet."/>
    <s v="1. Technical Narrative_x000a_2. Targetting report_x000a_3. Baseline report_x000a_4. PDM Reports_x000a_5. Endline report_x000a_6. Evaluation GENRE_x000a_7. Rapport trimestriel"/>
    <n v="5235"/>
    <n v="39502"/>
    <n v="7.5457497612225408"/>
    <n v="0.38624641833810891"/>
    <n v="0.51116399169662297"/>
    <n v="2022"/>
    <n v="20192"/>
    <n v="1"/>
    <n v="5235"/>
    <n v="39502"/>
    <n v="7.5457497612225408"/>
    <n v="1"/>
    <n v="5235"/>
    <n v="39502"/>
    <n v="7.5457497612225408"/>
    <s v=""/>
    <n v="0"/>
    <n v="0"/>
    <s v=""/>
    <s v=""/>
    <n v="0"/>
    <n v="0"/>
    <s v=""/>
    <s v=""/>
    <n v="0"/>
    <n v="0"/>
    <s v=""/>
    <s v="3. Responsive"/>
    <s v="2. Accommodating"/>
    <s v="2. Sensitive"/>
    <s v="It tested new ways for fighting poverty and measured results of innovation"/>
    <s v="Little or no advocacy"/>
    <s v="It linked and worked with strategic alliances and partners to take tested and effective solutions to scale"/>
  </r>
  <r>
    <x v="45"/>
    <x v="2"/>
    <s v="Projet PCTFML0014"/>
    <s v="Education For Change Jannde Yirriwere  "/>
    <s v="Mali"/>
    <s v="PCTFML0014"/>
    <s v="CARE USA"/>
    <s v="Foundation"/>
    <s v="Other"/>
    <s v="Patsy Collins Trust Fund Initiative (PCTFI)"/>
    <m/>
    <m/>
    <m/>
    <m/>
    <m/>
    <m/>
    <m/>
    <m/>
    <m/>
    <m/>
    <m/>
    <m/>
    <m/>
    <m/>
    <m/>
    <m/>
    <m/>
    <m/>
    <m/>
    <m/>
    <m/>
    <m/>
    <m/>
    <m/>
    <m/>
    <m/>
    <m/>
    <m/>
    <m/>
    <m/>
    <m/>
    <m/>
    <m/>
    <m/>
    <m/>
    <m/>
    <m/>
    <m/>
    <m/>
    <m/>
    <m/>
    <m/>
    <m/>
    <m/>
    <m/>
    <d v="2015-07-01T00:00:00"/>
    <d v="2020-06-30T00:00:00"/>
    <m/>
    <s v="Development Sexual, Reproductive and Maternal Health (SRMH)"/>
    <n v="1683752"/>
    <s v="Sidibé Kadidia  Cissé"/>
    <s v="Team Leader Gender"/>
    <s v="SidibeKadidia.Cisse@care.org"/>
    <s v="Dagaba DIAKITE"/>
    <s v="Chef de Projet"/>
    <s v="Dagaba.Diakite@care.org"/>
    <s v="YES"/>
    <s v="YES"/>
    <s v="YES"/>
    <s v="En 2020, l'environnement socioculturel et politique des zones cibles de  la Région de Mopti sera amélioré au regard du respect des droits des jeunes, particulièrement ceux des filles, afin qu'elles  accèdent  à des activités éducatives et socioéconomiques appropriées susceptibles de durablement améliorer leur vie."/>
    <s v="Sub-National"/>
    <s v="Le projet est mis en uvre dans six (6) communes dans la Région de Mopti; dont deux (2) urbaines ( Bandiagara et Mopti) et quatre (4) communes rurales Kendié, Doucombo, Sio et Socoura."/>
    <s v="Le projet vise à donner une opportunité daccès, de maintien dans le système éducatif et d'apprentissage innovant sur des sujets concernant les adolescents scoalaires et non scolaires vulnérables et marginalisés de la tranche d'âges 10-18 ans."/>
    <n v="47250"/>
    <n v="15750"/>
    <n v="63000"/>
    <n v="138932"/>
    <n v="46311"/>
    <n v="185243"/>
    <s v="Les bénéficiaires directs du projet sont les Adolescentes/ Adolescents  Scolaires et non Scolaires et dans la tranche d'âge de 10-18 ans.. et le corps enseignant qui reçoivent des renforcements de la part du Projet. Les Adolescentes/ Adolescents sont dans les amicales et dans les Brigades scolaires et communautaires et dont le nombre est connu dans les stratégies de mise en euvre du Projet même. Par le partage des informations à travers une PlateForme, l'intégration de la SSR et de la Résilience dans le Curriculum, et les conférences débats entre eux permet d'atteindre le maximum des adolescents. Les données academiques des autorités scolaires (Directions et CAP et ACADEMIE) sont exploitées pour le calcul des effectifs.. Quant aux bénéficiaires indirects, la base de calcul est le RGPH 2009, soustraits des Bénéficiaires Directs.. Ils sont capitalisés, les Bénéficiaires Indirects, à travers les émissions radiophoniques et sur les thèmes du Projet, les animations de masse comme les Sketchs animés par les adolescents eux mêmes dans tous les villages, et par les ADC de l'ONG partenaire, la participation du Projet à toutes les comémorations des différentes journées Internationnales et Nationales ( 16 Décembre journée de la Résilience , 16 juin: journée de l'enfant ..) les journées éducatives il s'agit de l'exploitation des données administratives et les Rapports/ Comptes Rendus de formation.. sans parler de l'effet multiplicateur du Projet vu l'engouement des communautés, et aussi à travers les hommes engagés et les leaders communautaires..."/>
    <m/>
    <m/>
    <m/>
    <m/>
    <m/>
    <m/>
    <m/>
    <s v="NO"/>
    <m/>
    <m/>
    <m/>
    <s v="NO"/>
    <m/>
    <m/>
    <m/>
    <s v="YES"/>
    <n v="29757"/>
    <n v="0.47233333333333299"/>
    <n v="185243"/>
    <s v="NO"/>
    <m/>
    <m/>
    <m/>
    <s v="YES"/>
    <n v="29757"/>
    <n v="0.47233333333333299"/>
    <n v="185243"/>
    <s v="YES"/>
    <n v="29757"/>
    <n v="0.47233333333333299"/>
    <n v="185243"/>
    <s v="NO"/>
    <m/>
    <m/>
    <m/>
    <s v="NO"/>
    <m/>
    <m/>
    <m/>
    <s v="NO"/>
    <m/>
    <m/>
    <m/>
    <s v="YES"/>
    <n v="29757"/>
    <n v="0.47233333333333299"/>
    <n v="185243"/>
    <s v="NO"/>
    <m/>
    <m/>
    <m/>
    <s v="NO"/>
    <m/>
    <m/>
    <m/>
    <s v="La Résilience axée sur le Changement Climatique en milieu scolaire et communautaire"/>
    <s v="YES"/>
    <n v="29757"/>
    <n v="0.47233333333333299"/>
    <n v="185243"/>
    <n v="14166"/>
    <n v="15591"/>
    <n v="29757"/>
    <n v="138932"/>
    <n v="46311"/>
    <n v="185243"/>
    <s v="NO"/>
    <m/>
    <m/>
    <m/>
    <s v="YES"/>
    <n v="29757"/>
    <n v="0.47233333333333299"/>
    <n v="185243"/>
    <s v="NO"/>
    <m/>
    <m/>
    <m/>
    <s v="YES"/>
    <n v="29757"/>
    <n v="0.47233333333333299"/>
    <n v="185243"/>
    <s v="NO"/>
    <m/>
    <m/>
    <m/>
    <s v="YES"/>
    <n v="29757"/>
    <n v="0.47233333333333299"/>
    <n v="185243"/>
    <s v="NO"/>
    <m/>
    <m/>
    <m/>
    <s v="YES"/>
    <n v="29757"/>
    <n v="0.47233333333333299"/>
    <n v="185243"/>
    <s v="YES"/>
    <n v="29757"/>
    <n v="0.47233333333333299"/>
    <n v="185243"/>
    <s v="NO"/>
    <m/>
    <m/>
    <m/>
    <s v="NO"/>
    <m/>
    <m/>
    <m/>
    <s v="NO"/>
    <m/>
    <m/>
    <m/>
    <s v="NO"/>
    <m/>
    <m/>
    <m/>
    <s v="YES"/>
    <n v="5089"/>
    <n v="0.32832258064516101"/>
    <n v="185243"/>
    <s v="YES"/>
    <n v="29757"/>
    <n v="0.47233333333333299"/>
    <n v="185243"/>
    <s v="YES"/>
    <n v="1039"/>
    <n v="2.9689999999999999"/>
    <n v="185243"/>
    <m/>
    <m/>
    <m/>
    <m/>
    <m/>
    <s v="YES"/>
    <s v="December"/>
    <n v="2016"/>
    <s v="YES"/>
    <s v="NO"/>
    <m/>
    <m/>
    <s v="Le projet travaillera avec le PTF pour une meilleure planification et la méthodologie à adopter pour les évaluations futures et le soutien nécessaire à apporter exactement comme à l'évaluation de référence .. Etude de base..)"/>
    <x v="2"/>
    <s v="YES"/>
    <s v="YES"/>
    <s v="YES"/>
    <s v="YES"/>
    <s v="YES"/>
    <s v="NO"/>
    <s v="NO"/>
    <s v="YES"/>
    <s v="Préparation des communautés à la conduite du plaidoyer pour influencer les normes sociales au niveau local au moins (Exemple à travers les Hommes engagés, Groupements/ Réseaux MGJT, Leaders Traditionnels et Réligieux"/>
    <x v="1"/>
    <s v="1. L'utilisation de la téléphonie mobile en milieu scolaire comme moyen pédagogique et travers une PlateForme d'échange et de partage d'information sur les Thématiques du Projet. 2. La mise en oeuvre des amicales de filles et des Brigades de résilience avec l'interaction entre Adolescentes/ Adolescents Scolaires et Non Scolaires dans les mêmes groupes. 3. La mise en place et focntionnement des VSLA en milieu scolaire. 4. L'élaboration et la validation d'un Guide de Réslience testé dans les écoles du Projet."/>
    <x v="1"/>
    <s v="Les cadres de rédévabilité où on on a impliqué les acteurs régionaux, locaux, communaux et communautaires. Le projet travaille également avec les acteurs au niveau national, pour améliorer la qualité du Curriculum national. En matière de Synergie, le Projet EFC travaille en étroite collaboration avec d'autres Projets de CARE comme SAF PAC, et le Projet TEMPS en matière de Santé Sexuelle Reproductive Conception des messages, participation aux Comités de Pilotage, Organisation commune des journées internationales et nationales..etc)"/>
    <x v="1"/>
    <x v="0"/>
    <s v="YES"/>
    <x v="0"/>
    <x v="0"/>
    <x v="0"/>
    <x v="0"/>
    <n v="4"/>
    <x v="2"/>
    <x v="1"/>
    <x v="1"/>
    <x v="1"/>
    <x v="1"/>
    <x v="2"/>
    <n v="4"/>
    <x v="1"/>
    <x v="1"/>
    <x v="1"/>
    <x v="1"/>
    <x v="1"/>
    <n v="3"/>
    <x v="0"/>
    <x v="3"/>
    <n v="4"/>
    <s v="National government"/>
    <s v="Local government(s)"/>
    <s v="Local alliance(s)/Platform(s)/Network(s) of  NGOs/CSOs"/>
    <x v="2"/>
    <s v="Les activités  de formation, d'information et de sensibilisation sur les droits des jeunes et les normes et pratiques sociales et la proctection de l'environnement."/>
    <s v="Pas de changement ou d'ajustement significatif au cours de l'année fiscale"/>
    <s v="1. L'appui à la mise en place et au fonctionnement d'une PlateForme mobile pour une meilleure communication des adolescentes et des adolescents sur les questions liées à la santé sexuelle et Réporoductive (SSR) et sur les activités de résilience et  la réduction des Risques de catastrophes (DRR)"/>
    <s v="2. Les émissions radiophoniques qui ont eu un grand effet sur l'appropriation du Projet par les acteurs et leur engagement à accompagner le Projet."/>
    <s v="3. La mise en place des amicales et des brigades au niveau des écoles avec les non scolaires"/>
    <s v="L'adhésion totale de tous les acteurs suite aux différents cadres d'échanges mises en place, la prise en compte des récommandations de l'Etude de Base dans le Plan d'Action et dans les stratégies de mise en oeuvre, la stratégie de communication développée par le Projet, les cadres d'échange et rédevabilité sont oppérationnels"/>
    <s v="L'implication et la participation des  bénéficiaires directs dans la mise en uvre des activités et qui se sont déjà appopriés le projet  "/>
    <s v="Le risque lié à l'instabilité socio poilitique et la crise sécuritaire dans les zones du Projet."/>
    <s v="EFC se veut un Projet de lien entre l'école et la communauté en faisant de l'adolescent un agent de changement au sein de sa communauté."/>
    <s v="Rapport de l'Etude de Base, .. Les Données des Services déconcentrés de l'Etat, Les Rapports de l'ONG , Le Rapports des Cadres de rédévabilité et de suivi conjoint ,etc"/>
    <n v="29757"/>
    <n v="185243"/>
    <n v="6.225190711429244"/>
    <n v="0.4760560540377054"/>
    <n v="0.74999865042133851"/>
    <n v="14166"/>
    <n v="138932"/>
    <n v="1"/>
    <n v="0"/>
    <n v="0"/>
    <s v=""/>
    <n v="1"/>
    <n v="29757"/>
    <n v="185243"/>
    <n v="6.225190711429244"/>
    <n v="1"/>
    <n v="29757"/>
    <n v="185243"/>
    <n v="6.225190711429244"/>
    <n v="1"/>
    <n v="29757"/>
    <n v="185243"/>
    <n v="6.225190711429244"/>
    <n v="1"/>
    <n v="1039"/>
    <n v="185243"/>
    <n v="178.28970163618865"/>
    <s v="2. Sensitive"/>
    <s v="4. Transformational"/>
    <s v="2. Sensitive"/>
    <s v="It tested new ways for fighting poverty, but did not measure results of innovation"/>
    <s v="Intensive advocacy"/>
    <s v="It linked and worked with strategic alliances and partners to take tested and effective solutions to scale"/>
  </r>
  <r>
    <x v="45"/>
    <x v="2"/>
    <m/>
    <s v="Human Capital, Accountability and Resilience Advancing Nutrition Security, Diversified Livelihoods and Empowerment (HARANDE)"/>
    <s v="Mali"/>
    <s v="UFFPML0001"/>
    <s v="CARE USA"/>
    <s v="Government"/>
    <s v="Government - US"/>
    <s v="USAID"/>
    <m/>
    <m/>
    <m/>
    <m/>
    <m/>
    <m/>
    <m/>
    <m/>
    <m/>
    <m/>
    <m/>
    <m/>
    <m/>
    <m/>
    <m/>
    <m/>
    <m/>
    <m/>
    <m/>
    <m/>
    <m/>
    <m/>
    <m/>
    <m/>
    <m/>
    <m/>
    <m/>
    <m/>
    <m/>
    <m/>
    <m/>
    <m/>
    <m/>
    <m/>
    <m/>
    <m/>
    <m/>
    <m/>
    <m/>
    <m/>
    <m/>
    <m/>
    <m/>
    <m/>
    <m/>
    <d v="2015-09-30T00:00:00"/>
    <d v="2020-09-30T00:00:00"/>
    <m/>
    <s v="Humanitarian Food &amp; Nutrition Security and Resilience to Climate Change"/>
    <n v="44999998"/>
    <s v="MOUSTAPHA GAYE"/>
    <s v="CHIEF OF PARTY"/>
    <s v="mgaye@care.org"/>
    <s v="YAWO DOUVON"/>
    <s v="COUNTRY DIRECTOR"/>
    <s v="yawo,douvon@care.org"/>
    <s v="NO"/>
    <s v="YES"/>
    <s v="NO"/>
    <s v="Améliorer lalimentation durable, la nutrition et la sécurité des revenus pour 270 000 membres des ménages vulnérables dans les cercles de Youwarou, Tenenkou, Bandiagara et Douentza à lhorizon 2020"/>
    <s v="Sub-National"/>
    <s v="Harande intervient dans 290 villages dans les 4 cercles : Cerce de Bandiagara : 82 villages (Dandoli : 14, Dourou : 29, Lowol Gueou : 20, Pignari :19), Cercle de Douentza  : 49 vilages (Douentza : 5, Dangol-Bore : 30, Koubewel Koundia :14), Cercele de Tenenkou : 77 Villages (Tenenkou : 1, Diafarabé : 10, Diondori : 36, Sougoulbe : 17 , Togoro Kotia : 13), Cercle de Youwarou : 82 Villages (Youwarou : 21, Deboye : 24, Dirma : 24, Dongo : 13)"/>
    <s v="Les personnes vivant dans les ménages vulnérables  dans les 4 cercles de Youwarou, Tenenkou, Bandiagara et Douentza"/>
    <n v="69310"/>
    <n v="33223"/>
    <n v="102533"/>
    <n v="69200"/>
    <n v="98267"/>
    <n v="167467"/>
    <s v="Les participants directs sont les personnes qui participent directement ou bénéficient directement des différents appuis,renforcement des capacités fournies par le programme dans ces 5 domaines d'intervention : nutrition, livelihoods, Changement climatique, conflits, Gouvernance/redevabilité, ce sont 12801 enfants de 0-23 mois; 13424 enfants de 24-59 mois; 1983 adolescents &amp; jeunes agés de 5 à moins18 ans; 62609 femmes enceintes-allaitantes-jeuns de 18-30ans-producteurs agés de 18 à moins 50 ans; 11716 producteurs agés de +50ans/// les participants indirects sont les personnes qui ne recoivent les bénéficices des activités, services fournis par le programme à travers les les participants directs. il sont estimés en multipliant le nombre de participant par 5 (taille moyenne des ménages=5, avec l'hypothèse qu'un participant direct représente un ménage)"/>
    <m/>
    <m/>
    <m/>
    <m/>
    <m/>
    <m/>
    <m/>
    <m/>
    <m/>
    <m/>
    <m/>
    <m/>
    <m/>
    <m/>
    <m/>
    <m/>
    <m/>
    <m/>
    <m/>
    <m/>
    <m/>
    <m/>
    <m/>
    <m/>
    <m/>
    <m/>
    <m/>
    <m/>
    <m/>
    <m/>
    <m/>
    <m/>
    <m/>
    <m/>
    <m/>
    <m/>
    <m/>
    <m/>
    <m/>
    <m/>
    <m/>
    <m/>
    <m/>
    <m/>
    <m/>
    <m/>
    <m/>
    <m/>
    <m/>
    <m/>
    <m/>
    <m/>
    <m/>
    <m/>
    <m/>
    <m/>
    <m/>
    <m/>
    <m/>
    <m/>
    <n v="69310"/>
    <n v="33223"/>
    <n v="102533"/>
    <n v="69200"/>
    <n v="98267"/>
    <n v="167467"/>
    <s v="YES"/>
    <n v="7826"/>
    <n v="0.625"/>
    <n v="39130"/>
    <s v="YES"/>
    <n v="3050"/>
    <n v="0.29099999999999998"/>
    <n v="15250"/>
    <s v="YES"/>
    <n v="927"/>
    <n v="0.29199999999999998"/>
    <n v="4635"/>
    <s v="YES"/>
    <n v="3050"/>
    <n v="0.29099999999999998"/>
    <n v="15250"/>
    <s v="YES"/>
    <n v="1142"/>
    <n v="0.99399999999999999"/>
    <n v="5710"/>
    <s v="YES"/>
    <m/>
    <m/>
    <m/>
    <s v="YES"/>
    <n v="15254"/>
    <n v="0.747"/>
    <n v="76270"/>
    <s v="YES"/>
    <m/>
    <m/>
    <m/>
    <s v="YES"/>
    <m/>
    <m/>
    <m/>
    <s v="NO"/>
    <m/>
    <m/>
    <m/>
    <s v="YES"/>
    <m/>
    <m/>
    <m/>
    <s v="YES"/>
    <n v="927"/>
    <n v="0.29199999999999998"/>
    <n v="4635"/>
    <s v="YES"/>
    <n v="927"/>
    <n v="0.29199999999999998"/>
    <n v="4635"/>
    <s v="YES"/>
    <n v="7428"/>
    <n v="0.875"/>
    <n v="37140"/>
    <s v="YES"/>
    <m/>
    <m/>
    <m/>
    <s v="NO"/>
    <m/>
    <m/>
    <m/>
    <m/>
    <m/>
    <m/>
    <m/>
    <m/>
    <s v="NO"/>
    <m/>
    <m/>
    <s v="YES"/>
    <s v="YES"/>
    <s v="March"/>
    <n v="2018"/>
    <s v="La période de l'évaluation doit être confirmée par USAID/FFP, elle est succeptible de changement,"/>
    <x v="0"/>
    <s v="NO"/>
    <s v="NO"/>
    <s v="NO"/>
    <s v="NO"/>
    <s v="NO"/>
    <s v="NO"/>
    <s v="NO"/>
    <m/>
    <m/>
    <x v="1"/>
    <s v="L'implémentation des activités vient effectivement de démarrer cette année, le programme a même identifié des innovations paysannes à promouvoir dans le domaine de l'amélioration de la production Agricole et de l'exploitation des produits forestiers non ligneux. Ces innovations paysannes une fois promues pourraient ameliorer les conditions de production pour beaucoup de producteurs ciblés"/>
    <x v="1"/>
    <s v="Harande travaille déjà en consortium de six ONG : CARE, HKI, SCI, YAGTU, SAHEL ECO et GRAT. Chacune des ONG travaille sur un domaine d'expertise soutenu par ses expériences antérieures. Harande developpe également des collaborations avec des institutions de recherche ILRI, ICRAF, ...pour tester des approhes développées par ces partanaires stratégiques. l'impact n'a pas encore été mesuré,"/>
    <x v="1"/>
    <x v="0"/>
    <s v="YES"/>
    <x v="0"/>
    <x v="0"/>
    <x v="0"/>
    <x v="0"/>
    <n v="4"/>
    <x v="1"/>
    <x v="1"/>
    <x v="1"/>
    <x v="2"/>
    <x v="1"/>
    <x v="1"/>
    <n v="3"/>
    <x v="1"/>
    <x v="1"/>
    <x v="1"/>
    <x v="1"/>
    <x v="1"/>
    <n v="3"/>
    <x v="0"/>
    <x v="2"/>
    <n v="6"/>
    <s v="Local alliance(s)/Platform(s)/Network(s) of  NGOs/CSOs"/>
    <s v="National government"/>
    <s v="Multilateral organization(s)"/>
    <x v="0"/>
    <s v="CARE implemente intégralement le programme sur le terrain à travers 3 ONG nationales. Ceci participeau développement organisationnel, institutionnel et financier de ces 3 ONG nationales"/>
    <s v="Le projet a connu une révision de la Theorie de changement durant l'atelier &quot;M&amp;E workshop&quot; qui a eu lieu après l'étude de base. Cette revue a permis de prendre encompte les résultats de 8 études thématiques conduites, du census des ménages réalisé dans la zone,  et de l'étude de base dans le refinement de la TOC et du cadre logique du programme; sur la base de ces résultats la cible globale du programme a été revue de 310,000 à 270,000 qui réflète mieux la réalité de la zone en ce moment. les cibles des diférents objectifs stratégiques ont également ete ajustés en conséquence sur la base des statistiques du census."/>
    <s v="Les care groups"/>
    <s v="Les VSLA"/>
    <s v="les FFBS"/>
    <m/>
    <m/>
    <m/>
    <m/>
    <s v="TOC Harande, Cadre logique Harande, Rapport EDB"/>
    <n v="102533"/>
    <n v="167467"/>
    <n v="1.6332985477846156"/>
    <n v="0.67597749017389519"/>
    <n v="0.41321573802599915"/>
    <n v="69310"/>
    <n v="69200"/>
    <s v=""/>
    <n v="0"/>
    <n v="0"/>
    <s v=""/>
    <n v="1"/>
    <n v="15254"/>
    <n v="76270"/>
    <n v="5"/>
    <n v="1"/>
    <n v="7428"/>
    <n v="37140"/>
    <n v="5"/>
    <n v="1"/>
    <n v="0"/>
    <n v="0"/>
    <s v=""/>
    <n v="1"/>
    <n v="1135.1479999999999"/>
    <n v="5675.74"/>
    <n v="5"/>
    <s v="2. Sensitive"/>
    <s v="2. Accommodating"/>
    <s v="2. Sensitive"/>
    <s v="It tested new ways for fighting poverty, but did not measure results of innovation"/>
    <s v="Little or no advocacy"/>
    <s v="It linked and worked with strategic alliances and partners to take tested and effective solutions to scale"/>
  </r>
  <r>
    <x v="45"/>
    <x v="2"/>
    <n v="3625"/>
    <s v="Initiative TEMPS &quot;Travaillons Ensemble Contre les Mariages Précoces&quot;"/>
    <s v="Mali"/>
    <s v="CA341,  CCANML0015"/>
    <s v="CARE Canada"/>
    <s v="Government"/>
    <s v="Government - Canada"/>
    <s v="Global Affairs Canada (GAC) "/>
    <m/>
    <m/>
    <m/>
    <m/>
    <m/>
    <m/>
    <m/>
    <m/>
    <m/>
    <m/>
    <m/>
    <m/>
    <m/>
    <m/>
    <m/>
    <m/>
    <m/>
    <m/>
    <m/>
    <m/>
    <m/>
    <m/>
    <m/>
    <m/>
    <m/>
    <m/>
    <m/>
    <m/>
    <m/>
    <m/>
    <m/>
    <m/>
    <m/>
    <m/>
    <m/>
    <m/>
    <m/>
    <m/>
    <m/>
    <m/>
    <m/>
    <m/>
    <m/>
    <m/>
    <m/>
    <d v="2015-03-27T00:00:00"/>
    <d v="2017-03-30T00:00:00"/>
    <d v="2017-09-30T00:00:00"/>
    <s v="Development A Life Free From Violence (GBV)"/>
    <n v="982635"/>
    <s v="Aly OUOLOGUEM"/>
    <s v="Project Manager"/>
    <s v="Aly.ouologuem@care.org"/>
    <s v="Kadidia CISSE"/>
    <s v="Gender Team Leader"/>
    <s v="sidibekadidia.cisse@care.org"/>
    <s v="NO"/>
    <s v="YES"/>
    <s v="NO"/>
    <s v="contribuer au renforcement de la prévention et de l'attenuation des effets du mariage précoce/forcé des jeunes filles dans les zones à forte prévalence au Mali et au Bénin"/>
    <s v="Sub-National"/>
    <s v="L'initiative est mise en uvre dans les région de Mopti et Tombouctou, spécifiquement dans les communes de Diallassagou, Doucombo, Lowol Guéou, Diamnati et Kendié( région de Mopti), Fittouga, Bourem Sidi Amar et Douekiré ( région de Tombouctou)"/>
    <s v="Les femmes, filles, garçons et hommes touchés par le mariage précoce, forcé, y compris les survivantes (au moins 600), des gardiens de la tradition, les mobilisateurs communautaires, les hommes modèles et champions"/>
    <n v="5941"/>
    <n v="5224"/>
    <n v="11165"/>
    <n v="379651"/>
    <n v="271871"/>
    <n v="651522"/>
    <s v="Les femmes, filles, garçons et hommes touchés par le mariage précoce, forcé, y compris les survivantes (au moins 600), des gardiens de la tradition, les mobilisateurs communautaires, les hommes modèles et champions"/>
    <m/>
    <m/>
    <m/>
    <m/>
    <m/>
    <m/>
    <m/>
    <m/>
    <m/>
    <m/>
    <m/>
    <m/>
    <m/>
    <m/>
    <m/>
    <m/>
    <m/>
    <m/>
    <m/>
    <m/>
    <m/>
    <m/>
    <m/>
    <m/>
    <m/>
    <m/>
    <m/>
    <m/>
    <m/>
    <m/>
    <m/>
    <m/>
    <m/>
    <m/>
    <m/>
    <m/>
    <m/>
    <m/>
    <m/>
    <m/>
    <m/>
    <m/>
    <m/>
    <m/>
    <m/>
    <m/>
    <m/>
    <m/>
    <m/>
    <m/>
    <m/>
    <m/>
    <m/>
    <m/>
    <m/>
    <m/>
    <m/>
    <m/>
    <m/>
    <m/>
    <n v="3565"/>
    <n v="3135"/>
    <n v="6700"/>
    <n v="227790"/>
    <n v="163122"/>
    <n v="390912"/>
    <s v="NO"/>
    <m/>
    <m/>
    <m/>
    <s v="NO"/>
    <m/>
    <m/>
    <m/>
    <s v="NO"/>
    <m/>
    <m/>
    <m/>
    <s v="NO"/>
    <m/>
    <m/>
    <m/>
    <s v="YES"/>
    <n v="3560"/>
    <n v="1"/>
    <n v="227790"/>
    <s v="YES"/>
    <n v="1206"/>
    <m/>
    <m/>
    <s v="NO"/>
    <m/>
    <m/>
    <m/>
    <s v="YES"/>
    <n v="3565"/>
    <n v="1"/>
    <n v="390912"/>
    <s v="YES"/>
    <n v="1157"/>
    <n v="1"/>
    <n v="132127"/>
    <s v="YES"/>
    <m/>
    <m/>
    <m/>
    <s v="NO"/>
    <m/>
    <m/>
    <m/>
    <s v="NO"/>
    <m/>
    <m/>
    <m/>
    <s v="NO"/>
    <m/>
    <m/>
    <m/>
    <s v="YES"/>
    <n v="1157"/>
    <n v="1"/>
    <n v="132127"/>
    <s v="NO"/>
    <m/>
    <m/>
    <m/>
    <s v="YES"/>
    <n v="3560"/>
    <n v="1"/>
    <n v="227790"/>
    <m/>
    <m/>
    <m/>
    <m/>
    <m/>
    <s v="YES"/>
    <s v="May"/>
    <n v="2017"/>
    <s v="YES"/>
    <s v="NO"/>
    <m/>
    <m/>
    <m/>
    <x v="2"/>
    <s v="YES"/>
    <s v="YES"/>
    <m/>
    <s v="YES"/>
    <m/>
    <s v="YES"/>
    <s v="YES"/>
    <m/>
    <m/>
    <x v="2"/>
    <s v="L'initiative a expérimenté les approches Photovoice (photo qui parle), le théâtre communautaire et les dessins liés à la prévention et à la lutte contre le mariage précoce dans les établissements scolaires à travers la mise en place des clubs scolaires. Cela a permis aux élèves de s'exprimer sur les méfaits de mariage précoce et dénoncer cette pratique comme étant une violation majeure des droits des enfants."/>
    <x v="1"/>
    <s v="L'initiative a travaillé avec plusieurs acteurs commes les leaders communautaires, les élus locaux, les agents des services techniques (police, gendarmerie, santé, éducation, les femmes des AVECs, les ONG nationales et internationales comme l'UNICEF, les médias  pour multiplier l'impact."/>
    <x v="2"/>
    <x v="1"/>
    <s v="YES"/>
    <x v="0"/>
    <x v="0"/>
    <x v="0"/>
    <x v="2"/>
    <n v="4"/>
    <x v="2"/>
    <x v="1"/>
    <x v="1"/>
    <x v="1"/>
    <x v="1"/>
    <x v="2"/>
    <n v="4"/>
    <x v="0"/>
    <x v="0"/>
    <x v="0"/>
    <x v="0"/>
    <x v="0"/>
    <n v="0"/>
    <x v="1"/>
    <x v="4"/>
    <n v="6"/>
    <s v="Local NGO(s)/CSO(s)"/>
    <s v="International NGO(s)"/>
    <s v="Media or journalist network(s)"/>
    <x v="0"/>
    <s v="L'initiative a renforcé les capacités des société civiles en formant les OSC pour les textes et lois de la protection des femmes et filles. Elle a aussi contribué financièrement pour la tenue des cadres de concertations aux niveaux des régions de Mopti pour la protection des enfants."/>
    <s v="Le projet a adopté l'approche SAA( Analyse et Action) pour défier les normes sociales à l'aide des outils comme l'homme idéal, la femme idéale, la cartographie du corps, la clarification des valurs."/>
    <s v="Les trois stratégies se sont revelées efficaces pour contribuer à l'atteinte des objectifs de l'initiative sont: les associations villagesoises (AVEC), l'approche SAA et l'approche photovoice, théâtre communautaire et dessins"/>
    <s v="Le renforcement des capacités des femmes AVEC sur le genre, VBG, droits sexuels et éducatifs, le plaidoyer et négociation sociale, les textes et lois de protection des femmes et filles  ont permis aux femmes d'améliorer considérablement leur connaissance. Cela a permis aux femmes de d'engager dans le plaidoyer et s'impliquer dans les actions de prévention et de lutte contre le mariage précoce. L'approche SAA utilisée pour défier les normes et pratiques sociales défavorables à la promotion de l'équite genre a permis aux leaders communaitaires notamment les imams, les pasteurs de comprendre les méfaits de mariage précoce. Ils ont fait des prêches dans les mosquées et églises afin de faire comprendre aux fidèles les méfaits du mariage précoce."/>
    <s v="L'approche photovoice, théâtre communautaire, dessins a permis aux élèves des clubs scolaires de dénoncer les pratiques du mariage précoce et interpéler  les parents afin qu'ils abandonnent la pratiques. En plus de cela, l'initiative a fait un clip portant sur le mariage précoce. Cela s'est revelé efficace dans la prévention et la lutte contre le mariage précoce."/>
    <s v="Le renforcement des capacités des acteurs clés comme les enseignants, les services techniques de l'Etat (justice, police, gendarmérie, développement social, santé), les acteurs locaux (élus communaux, chefs de villages, imams) est nécessaire pour la prévention et la lutte contre le mariage précoce."/>
    <s v="L'implication des élèves dans les acitvités comme photovoice, théâtre communautaire et dessins a permis de découvrir le talent caché de ces élèves qui ne manquent pas d'initiatives innovantes en matière de prévention et de lutte contre le mariage précoce."/>
    <m/>
    <m/>
    <s v="Etude de Base, rapports techniques, les enquêtes d'opinion , les témoignages des partcipants, l'évaluation finale"/>
    <n v="6700"/>
    <n v="390912"/>
    <n v="58.345074626865674"/>
    <n v="0.53208955223880594"/>
    <n v="0.58271426817288796"/>
    <n v="3565"/>
    <n v="227790"/>
    <s v=""/>
    <n v="0"/>
    <n v="0"/>
    <s v=""/>
    <n v="1"/>
    <n v="3560"/>
    <n v="227790"/>
    <n v="63.985955056179776"/>
    <n v="1"/>
    <n v="1157"/>
    <n v="132127"/>
    <n v="114.19792566983578"/>
    <n v="1"/>
    <n v="3565"/>
    <n v="390912"/>
    <n v="109.65273492286116"/>
    <n v="1"/>
    <n v="3560"/>
    <n v="227790"/>
    <n v="63.985955056179776"/>
    <s v="4. Transformative"/>
    <s v="4. Transformational"/>
    <s v="No marker score"/>
    <s v="It tested new ways for fighting poverty and measured results of innovation"/>
    <s v="Intensive advocacy"/>
    <s v="It linked and worked with strategic alliances and partners to take tested and effective solutions to scale"/>
  </r>
  <r>
    <x v="45"/>
    <x v="2"/>
    <n v="3631"/>
    <s v="Partners for Resilience: Dialogue Gestion Intégrée des Risques"/>
    <s v="Mali"/>
    <s v="CNLDML0032"/>
    <s v="CARE Nederland"/>
    <s v="Government"/>
    <s v="Government - Netherlands"/>
    <s v="Ministry of Foreign Affairs of the Netherlands"/>
    <m/>
    <m/>
    <m/>
    <m/>
    <m/>
    <m/>
    <m/>
    <m/>
    <m/>
    <m/>
    <m/>
    <m/>
    <m/>
    <m/>
    <m/>
    <m/>
    <m/>
    <m/>
    <m/>
    <m/>
    <m/>
    <m/>
    <m/>
    <m/>
    <m/>
    <m/>
    <m/>
    <m/>
    <m/>
    <m/>
    <m/>
    <m/>
    <m/>
    <m/>
    <m/>
    <m/>
    <m/>
    <m/>
    <m/>
    <m/>
    <m/>
    <m/>
    <m/>
    <m/>
    <m/>
    <d v="2016-01-01T00:00:00"/>
    <d v="2020-12-31T00:00:00"/>
    <m/>
    <s v="Development Food &amp; Nutrition Security and Resilience to Climate Change"/>
    <n v="1088691.5379999999"/>
    <s v="Joyce Sepenoo"/>
    <s v="Assistant Country Director - Program"/>
    <s v="Joyce.Sepenoo@care.org"/>
    <s v="Oumar Diarra"/>
    <s v="Coordinateur Plaidoyer &amp; Communication/PFR Project Manager"/>
    <s v="Oumar.Diarra@care.org"/>
    <s v="NO"/>
    <s v="YES"/>
    <s v="NO"/>
    <s v="Les ménages vulnérables des pêcheurs, éleveurs et agriculteurs vivant dans les bassins des fleuves du Niger, du Sourou et du Sénégal sont plus résilientes aux crises dans le contexte du changement climatique et de la dégradation de lenvironnement, permettant une croissance économique inclusive et durable et une préservation des écosystèmes"/>
    <s v="Multiple countries"/>
    <s v="Au Mali dans la région de Mopti, dans le delta intérieur du Niger pour les cercles de Djenné et Mopti , dans le Sourou pour le Cercle de Bankass et dans le Bassin du fleuve Sénégal dans la réion de Kayes. Le projet est exécuté en consortium avec Wetlands Internatinale, le Centre du climat et la Croix rouge Malienne et la zone d'intervention reservée à CARE comprend les communes de Baye, de Ouonkoro et de Sokoura du Cercle Bankass dans la région de Mopti."/>
    <s v="Les femmes et les jeunes des ménages vulnérables des pêcheurs, éleveurs et agriculteurs vivant dans le Sourou"/>
    <n v="5030"/>
    <n v="5030"/>
    <n v="10060"/>
    <n v="10088"/>
    <n v="10034"/>
    <n v="20122"/>
    <s v="Les participants directs sont d'abord calculés sur la base du nombre de ménages évalués. Ensuite, dans chaque ménage il y a une femme un jeune. Quant au participants indirects, le calcul porte sur l'ensemble des membres du ménage en raison de 6 personnes par ménage deduit du nombre des participants directs (2 personnes par ménage)."/>
    <m/>
    <m/>
    <m/>
    <m/>
    <m/>
    <m/>
    <m/>
    <s v="NO"/>
    <m/>
    <m/>
    <m/>
    <s v="NO"/>
    <m/>
    <m/>
    <m/>
    <s v="NO"/>
    <m/>
    <m/>
    <m/>
    <s v="NO"/>
    <m/>
    <m/>
    <m/>
    <s v="NO"/>
    <m/>
    <m/>
    <m/>
    <s v="NO"/>
    <m/>
    <m/>
    <m/>
    <s v="NO"/>
    <m/>
    <m/>
    <m/>
    <s v="NO"/>
    <m/>
    <m/>
    <m/>
    <s v="NO"/>
    <m/>
    <m/>
    <m/>
    <s v="NO"/>
    <m/>
    <m/>
    <m/>
    <s v="NO"/>
    <m/>
    <m/>
    <m/>
    <s v="NO"/>
    <m/>
    <m/>
    <m/>
    <m/>
    <s v="NO"/>
    <m/>
    <m/>
    <m/>
    <n v="2015"/>
    <n v="3042"/>
    <n v="5057"/>
    <n v="6611"/>
    <n v="6584"/>
    <n v="13195"/>
    <s v="YES"/>
    <n v="5057"/>
    <n v="0.4"/>
    <n v="13195"/>
    <s v="YES"/>
    <n v="5057"/>
    <n v="0.4"/>
    <n v="13195"/>
    <s v="YES"/>
    <n v="5057"/>
    <n v="0.4"/>
    <n v="13195"/>
    <s v="YES"/>
    <n v="5057"/>
    <n v="0.4"/>
    <n v="13195"/>
    <s v="YES"/>
    <n v="5057"/>
    <n v="0.4"/>
    <n v="13195"/>
    <s v="NO"/>
    <m/>
    <m/>
    <m/>
    <s v="YES"/>
    <n v="5057"/>
    <n v="0.4"/>
    <n v="13195"/>
    <s v="NO"/>
    <m/>
    <m/>
    <m/>
    <s v="YES"/>
    <n v="5057"/>
    <n v="0.4"/>
    <n v="13195"/>
    <s v="NO"/>
    <m/>
    <m/>
    <m/>
    <s v="NO"/>
    <m/>
    <m/>
    <m/>
    <s v="YES"/>
    <m/>
    <m/>
    <m/>
    <s v="YES"/>
    <n v="5057"/>
    <n v="0.4"/>
    <n v="13195"/>
    <s v="NO"/>
    <m/>
    <m/>
    <m/>
    <s v="NO"/>
    <m/>
    <m/>
    <m/>
    <s v="YES"/>
    <n v="5057"/>
    <n v="0.4"/>
    <n v="13195"/>
    <m/>
    <s v="NO"/>
    <m/>
    <m/>
    <m/>
    <s v="NO"/>
    <m/>
    <m/>
    <s v="NO"/>
    <s v="YES"/>
    <m/>
    <m/>
    <s v="L'étude de base de ce projet est planifiée pour le mois de juillet à août 2017. Elle sera faite par un consultant externe. Le projet étant sous le couvert du consortium dont le lead est assuré par Wetlands, la complexité a été la prise en compte des indicateurs globaux de CARE. Le consultant souhaite que cela soit traité par le système de suivi évaluation interne de CARE. Cela nécessite probablement un autre budget."/>
    <x v="2"/>
    <s v="YES"/>
    <s v="YES"/>
    <s v="YES"/>
    <s v="YES"/>
    <s v="YES"/>
    <s v="YES"/>
    <s v="YES"/>
    <s v="NO"/>
    <m/>
    <x v="1"/>
    <m/>
    <x v="1"/>
    <m/>
    <x v="0"/>
    <x v="1"/>
    <s v="YES"/>
    <x v="0"/>
    <x v="0"/>
    <x v="1"/>
    <x v="4"/>
    <n v="3"/>
    <x v="2"/>
    <x v="2"/>
    <x v="2"/>
    <x v="1"/>
    <x v="2"/>
    <x v="0"/>
    <n v="1"/>
    <x v="1"/>
    <x v="1"/>
    <x v="1"/>
    <x v="1"/>
    <x v="1"/>
    <n v="3"/>
    <x v="3"/>
    <x v="1"/>
    <m/>
    <s v="International NGO(s)"/>
    <s v="Grassroots organization(s)"/>
    <s v="Local government(s)"/>
    <x v="0"/>
    <m/>
    <s v="Aucour de l'année, le projet a eu travaillé sur la finalisation de sa théorie de changement et la définition des indicateurs du projet sur le renforcement de capacité des organisation de la société civile ainsi que l'engagement des parties prenantes."/>
    <s v="Les foras villageaois"/>
    <s v="L'engagement des hommes surtout elus et propriétaire terriens"/>
    <s v="La prise en compte du GIR dans le plan de développemnt de la communauté"/>
    <s v="la planification et la réalisation des activités  ayant traits à la gestion intégrée des risques"/>
    <s v="l'octroi de 6 ha de terre aux associations féminines. Engaements des propriétaires terriens à donner des lettres d'attribution pour la sécurisation"/>
    <s v="pas de lien les différentes COFOs (commssion foncière ,COFO locale et les COFOS communales) et absence de stratégie pour l'accès sécurisé des femmes, les jeunes et les vulnérables à la terre."/>
    <s v="Les communautés bénéficiaires ont apprécié la démrche adoptée par le projet"/>
    <s v="le rapport annuel, les modules de formation, les rapports trimestriels, les compte rendu d'atelier, les compte rendu de foras villageois, le cahier de bord."/>
    <n v="5057"/>
    <n v="13195"/>
    <n v="2.6092544987146531"/>
    <n v="0.39845758354755784"/>
    <n v="0.50102311481621831"/>
    <n v="2015"/>
    <n v="6611"/>
    <s v=""/>
    <n v="0"/>
    <n v="0"/>
    <s v=""/>
    <n v="1"/>
    <n v="5057"/>
    <n v="13195"/>
    <n v="2.6092544987146531"/>
    <s v=""/>
    <n v="0"/>
    <n v="0"/>
    <s v=""/>
    <s v=""/>
    <n v="0"/>
    <n v="0"/>
    <s v=""/>
    <n v="1"/>
    <n v="5057"/>
    <n v="13195"/>
    <n v="2.6092544987146531"/>
    <s v="3. Responsive"/>
    <s v="No marker score"/>
    <s v="2. Sensitive"/>
    <s v="It tested new ways for fighting poverty, but did not measure results of innovation"/>
    <s v="Intensive advocacy"/>
    <s v="It linked and worked with strategic alliances and partners to take tested and effective solutions to scale"/>
  </r>
  <r>
    <x v="45"/>
    <x v="2"/>
    <n v="3630"/>
    <s v="Pathways Mali"/>
    <s v="Mali"/>
    <s v="USN33"/>
    <s v="CARE USA"/>
    <s v="Foundation"/>
    <s v="Bill &amp; Melinda Gates Foundation"/>
    <s v="Bill &amp; Melinda Gates Foundation"/>
    <m/>
    <m/>
    <m/>
    <m/>
    <m/>
    <m/>
    <m/>
    <m/>
    <m/>
    <m/>
    <m/>
    <m/>
    <m/>
    <m/>
    <m/>
    <m/>
    <m/>
    <m/>
    <m/>
    <m/>
    <m/>
    <m/>
    <m/>
    <m/>
    <m/>
    <m/>
    <m/>
    <m/>
    <m/>
    <m/>
    <m/>
    <m/>
    <m/>
    <m/>
    <m/>
    <m/>
    <m/>
    <m/>
    <m/>
    <m/>
    <m/>
    <m/>
    <m/>
    <m/>
    <m/>
    <d v="2011-11-01T00:00:00"/>
    <d v="2016-03-31T00:00:00"/>
    <d v="2018-03-31T00:00:00"/>
    <s v="Development Food &amp; Nutrition Security and Resilience to Climate Change"/>
    <n v="3490750"/>
    <s v="Dramane SIDIBE"/>
    <s v="Team Leaders Sécurité Alimentaire, nutritionnelle et Adaptation aux Changements Climatiques  "/>
    <s v="Dramane.Sidibe@care.org"/>
    <s v="Mamadou Fotigui COULIBALY"/>
    <s v="Chef de Projet"/>
    <s v="Mamadou.Coulibaly@care.org"/>
    <s v="NO"/>
    <s v="YES"/>
    <s v="NO"/>
    <s v="A la fin des cinq années de lInitiative, CARE envisage que le Gl aura laccès équitable à, et le contrôle des moyens de production et de services essentiels pour améliorer leur statut social et économique, et la sécurité nutritionnelle et alimentaire de leurs ménages"/>
    <s v="Multiple countries"/>
    <s v="Le projet intervient dans deux (02) Régions: Ségou  et Mopti, 06 cercles dont 03 dans la région de Segou (Ségou, Niono  et Macina ) et 03 dans la région de Mopti  (cercles de Djenné, Mopti , et Bandiagara) : Les communes concernées sont : Cinzana, Fatiné, Folomana, Diédougou, Kamiandougou, Tongué ;Toridagako, Diabaly, Dogofri, Sokolo ; Derary, Dandougou Fakala, Fakala, Djenné, Diafarabé ; de Ouro Modi ; Bandiagara, Dandoli, Dourou, Diamanati, Kendié, Barassara, Timiniri."/>
    <s v="15 000 femmes âgées de 15 à 49 ans ayant des revenus de moins de $1,25/j/personne ; Des enfants âgés de 0 à 59 mois de ces femmes."/>
    <n v="15000"/>
    <n v="2363"/>
    <n v="17363"/>
    <n v="36000"/>
    <n v="34590"/>
    <n v="70590"/>
    <s v="Les participants directs du projet sont ceux (femmes ou hommes) qui travaillent directement avec le projet. Le nombre de bénéficiaires directs est repertoriés dans la base de données du projet à partir de leurs listes nominatives. Les bénéficiaires indirects representent les autres membres de leurs ménages pour éviter le double comptage. Mais, il y a aussi selon le cas, des habitants d'autres villages qui sont influencés par les actions du projet ou d'autres femmes qui ne sont pas de CARE. Désormais, le projet prendra des mesures pour évaluer le nombre de personnes touchées à travers les médias en application le taux d'écoute."/>
    <m/>
    <m/>
    <m/>
    <m/>
    <m/>
    <m/>
    <m/>
    <m/>
    <m/>
    <m/>
    <m/>
    <m/>
    <m/>
    <m/>
    <m/>
    <m/>
    <m/>
    <m/>
    <m/>
    <m/>
    <m/>
    <m/>
    <m/>
    <m/>
    <m/>
    <m/>
    <m/>
    <m/>
    <m/>
    <m/>
    <m/>
    <m/>
    <m/>
    <m/>
    <m/>
    <m/>
    <m/>
    <m/>
    <m/>
    <m/>
    <m/>
    <m/>
    <m/>
    <m/>
    <m/>
    <m/>
    <m/>
    <m/>
    <m/>
    <m/>
    <m/>
    <m/>
    <m/>
    <m/>
    <m/>
    <m/>
    <m/>
    <m/>
    <m/>
    <m/>
    <n v="14441"/>
    <n v="2363"/>
    <n v="16804"/>
    <n v="36000"/>
    <n v="34590"/>
    <n v="70590"/>
    <s v="YES"/>
    <n v="21966"/>
    <n v="0.92"/>
    <n v="78811"/>
    <s v="YES"/>
    <n v="21966"/>
    <n v="0.92"/>
    <n v="78811"/>
    <s v="NO"/>
    <m/>
    <m/>
    <m/>
    <s v="NO"/>
    <m/>
    <m/>
    <m/>
    <s v="YES"/>
    <n v="0"/>
    <n v="0"/>
    <n v="0"/>
    <s v="NO"/>
    <m/>
    <m/>
    <m/>
    <s v="YES"/>
    <n v="23098"/>
    <m/>
    <n v="80238"/>
    <s v="YES"/>
    <n v="4423"/>
    <n v="0.44"/>
    <n v="18073"/>
    <s v="YES"/>
    <n v="4056"/>
    <n v="0.72"/>
    <n v="17706"/>
    <s v="NO"/>
    <m/>
    <m/>
    <m/>
    <s v="NO"/>
    <m/>
    <m/>
    <m/>
    <s v="NO"/>
    <m/>
    <m/>
    <m/>
    <s v="YES"/>
    <n v="4056"/>
    <n v="0.72"/>
    <n v="17706"/>
    <s v="NO"/>
    <m/>
    <m/>
    <m/>
    <s v="NO"/>
    <m/>
    <m/>
    <m/>
    <s v="YES"/>
    <n v="2779"/>
    <n v="0.99"/>
    <n v="9808"/>
    <s v="RAS"/>
    <s v="NO"/>
    <m/>
    <m/>
    <m/>
    <s v="NO"/>
    <m/>
    <m/>
    <s v="NO"/>
    <m/>
    <m/>
    <m/>
    <s v="Le projet, va bientôt sétendre à lAlimentation du Nourrisson et du Jeune Enfant (ANJE) avec le but daider les mères et familles à donner la meilleure opportunité aux enfants afin de commencer leur vie avec une bonne alimentation.  Dans lobjectif danalyser les problèmes auxquels les mères, les familles et communautés font face en termes de nutrition de lenfant et de mieux comprendre comment PATHWAYS « NYELENI » a réalisé une recherche formative sur la nutrition dans les deux régions Ségou et Mopti. Les résultats de cette recherche serviront les données de références pour la nutrition."/>
    <x v="1"/>
    <s v="NO"/>
    <m/>
    <s v="YES"/>
    <m/>
    <m/>
    <s v="YES"/>
    <m/>
    <m/>
    <m/>
    <x v="2"/>
    <s v="Mise en oevres des approches telles que le progress Marqueur, le PPT etc"/>
    <x v="1"/>
    <s v="Existance de 03 ONGs partenaires de mise en uvre sur le terrain et l'implication des services techniques de l'Etat, des elus communaux, les Leaders communautaires etc;"/>
    <x v="1"/>
    <x v="0"/>
    <s v="YES"/>
    <x v="0"/>
    <x v="0"/>
    <x v="0"/>
    <x v="0"/>
    <n v="4"/>
    <x v="1"/>
    <x v="1"/>
    <x v="1"/>
    <x v="1"/>
    <x v="1"/>
    <x v="1"/>
    <n v="4"/>
    <x v="1"/>
    <x v="1"/>
    <x v="1"/>
    <x v="1"/>
    <x v="1"/>
    <n v="3"/>
    <x v="3"/>
    <x v="3"/>
    <n v="7"/>
    <s v="Local government(s)"/>
    <s v="Local NGO(s)/CSO(s)"/>
    <s v="Media or journalist network(s)"/>
    <x v="0"/>
    <s v="Afin d'améliorer les connaissances, les compétences et les relations entre les sexes, des ateliers de renforcement des capacités ont été organisés sur les VBG et ses conséquences"/>
    <m/>
    <s v="La tenue dun forum au niveau régional à Ségou. Ce forum a été organisé en collaboration avec la Direction Régionale de la Promotion de la Femme de lEnfant et de la Famille de Ségou. Les participants au nombre de 87 (60 hommes et 27 femmes) regroupaient non seulement les maires ou les représentants des communes bénéficiaires du projet mais aussi les autorités régionales, les représentants de la société civile et dautres organisations professionnelles féminines."/>
    <s v="Dans le cadre du Leadership féminin, le renforcement de capacité des femmes dans le leadership et dans la prise de décision a permis à plusieurs femmes doccuper des postes de prise de décision au niveau communautaire. Au total nous avons 89 femmes élues au niveau communal reparties entre les différents postes : 1 femme maire dans la zone de Djénné, 8 adjointes aux maires, 80 conseillères communales"/>
    <s v="FFS (champs écoles paysans) pour l'adoption des techniques d'agriculture durables par les bénéficiaires."/>
    <s v="Pratiques prometteuses : (i) organisation du forum régionale sur la VBG, (ii) mise à échelle des techniques apprises par un plus grand nombre de bénéficiaires, (iii) médiatisation des cas de succès en transformation sociale,"/>
    <s v="Défis : (i) sécurisation des parcelles, (ii) stratégie de motivation des rélais pour une durabilité des acquis du projet, (iii) l'accès des femmes au Laccès au crédit bancaire, à cause du taux dintérêt trot élevé"/>
    <s v="La formation des hommes engagés sur les notions de VBG et leurs conséquences dans la société est très efficace pour réduire les effets néfastes de cette pratique au sein de la communauté (i) ; Les femmes sont capables de développer leurs compétences de leadership grâce au renforcement des capacités (ii) ; Une fois qu'elles sont économiquement autonomes, les femmes se perçoivent au-delà d'être juste des ménagères, mais elles se considèrent comme des actrices pour leur propre développement (iii) ;"/>
    <s v="L'organisation des fora sur les VBG qui est un cadre d'échanges plus large, régroupant plusieurs sensibilités communautaires (autorités administratives et politiques, leaders communautaires, communicateurs traditionnels, service local de développement, confreries, femmes, hommes du groupe impact) contribue largement à l'atteinte des objectifs du projet."/>
    <s v="Rapport Semi-Annuel du projet, compte rendu d'activités et PPT."/>
    <n v="16804"/>
    <n v="70590"/>
    <n v="4.2007855272554151"/>
    <n v="0.85937871935253507"/>
    <n v="0.50998725031874204"/>
    <n v="14441"/>
    <n v="36000"/>
    <s v=""/>
    <n v="0"/>
    <n v="0"/>
    <s v=""/>
    <n v="1"/>
    <n v="23098"/>
    <n v="80238"/>
    <n v="3.4738072560394841"/>
    <s v=""/>
    <n v="0"/>
    <n v="0"/>
    <s v=""/>
    <n v="1"/>
    <n v="4423"/>
    <n v="18073"/>
    <n v="4.0861406285326698"/>
    <n v="1"/>
    <n v="2779"/>
    <n v="9808"/>
    <n v="3.5293270960777257"/>
    <s v="2. Sensitive"/>
    <s v="2. Accommodating"/>
    <s v="2. Sensitive"/>
    <s v="It tested new ways for fighting poverty and measured results of innovation"/>
    <s v="Moderate advocacy"/>
    <s v="It linked and worked with strategic alliances and partners to take tested and effective solutions to scale"/>
  </r>
  <r>
    <x v="45"/>
    <x v="2"/>
    <n v="3626"/>
    <s v="PROGRAMME D'AMENAGEMENT DU DELTA INTERIEUR DU NIGER Phase II"/>
    <s v="Mali"/>
    <s v="MFANML0002"/>
    <s v="CARE USA"/>
    <s v="Government"/>
    <s v="Government - Netherlands"/>
    <s v="Ministry of Foreign Affairs of the Netherlands"/>
    <m/>
    <m/>
    <m/>
    <m/>
    <m/>
    <m/>
    <m/>
    <m/>
    <m/>
    <m/>
    <m/>
    <m/>
    <m/>
    <m/>
    <m/>
    <m/>
    <m/>
    <m/>
    <m/>
    <m/>
    <m/>
    <m/>
    <m/>
    <m/>
    <m/>
    <m/>
    <m/>
    <m/>
    <m/>
    <m/>
    <m/>
    <m/>
    <m/>
    <m/>
    <m/>
    <m/>
    <m/>
    <m/>
    <m/>
    <m/>
    <m/>
    <m/>
    <m/>
    <m/>
    <m/>
    <d v="2013-09-13T00:00:00"/>
    <d v="2018-12-31T00:00:00"/>
    <m/>
    <s v="Development Food &amp; Nutrition Security and Resilience to Climate Change"/>
    <n v="13571524.140000001"/>
    <s v="Dramane Sidibé"/>
    <s v="Team Leader"/>
    <s v="Dramane.Sidibe@care.org"/>
    <s v="Abdourhamane Maïga"/>
    <s v="Chef de Projet"/>
    <s v="Abdourhamane.Maiga@care.org"/>
    <s v="NO"/>
    <s v="YES"/>
    <s v="NO"/>
    <s v="En décembre 2018, 20 000 ménages (120 000 personnes) d'agro pasteurs et de pêcheurs nomades et sédentaires du DIN et du Sourou auront amélioré leurs conditions de vie à travers l'augmentation de leur production agricole et le développement d'activités économiques durables afin de renforcer leur résilience"/>
    <s v="Sub-National"/>
    <s v="La zone dintervention couvre 24 communes de 4 cercles de la région de Mopti. Ce ciblage tien compte de lélargissement de la zone de PADIN dans les cercles de Mopti, Djenné et Ténenkou, et la réplication dans le Sourou dans le cercle de Bankass. Ces communes sont sélectionnées parmi celles les plus vulnérables à linsécurité alimentaire révélée dans les différents rapports du SAP de 2010 à 2013. Ce choix programmatique à été profondément analysé et validé en concertation avec les membres du comité de pilotage de PADIN. Le choix des sites a été fait sur la base des PDSEC envoyés par les Collectivités Territoriales, en priorisant les nouveaux villages et en tenant compte de la synergie avec dautres programmes dans la même zone."/>
    <s v="Les principaux groupes d'impact du programme sont les femmes à l'âge de procréer, leurs enfants de 0 à 59 mois. Les membres de leurs méanges font partis des groupes cibles."/>
    <n v="20000"/>
    <n v="20000"/>
    <n v="40000"/>
    <n v="40120"/>
    <n v="39880"/>
    <n v="80000"/>
    <s v="Les participants directs du projet constituent pour chaque ménage une femme/fille et un homme/garçon. Soit 2 personnes par ménage pour un total de 40 000 personnes. Les participants indirects sont les autres membres du ménage en déhors des 2 bénéficiaires directs (pour éviter le double comptage). Pour un ménage de 6 pesonnes, cela fait 4 personnes par méange donc pour 20 000 ménages, il y aura 80 000 personnes."/>
    <m/>
    <m/>
    <m/>
    <m/>
    <m/>
    <m/>
    <m/>
    <m/>
    <m/>
    <m/>
    <m/>
    <m/>
    <m/>
    <m/>
    <m/>
    <m/>
    <m/>
    <m/>
    <m/>
    <m/>
    <m/>
    <m/>
    <m/>
    <m/>
    <m/>
    <m/>
    <m/>
    <m/>
    <m/>
    <m/>
    <m/>
    <m/>
    <m/>
    <m/>
    <m/>
    <m/>
    <m/>
    <m/>
    <m/>
    <m/>
    <m/>
    <m/>
    <m/>
    <m/>
    <m/>
    <m/>
    <m/>
    <m/>
    <m/>
    <m/>
    <m/>
    <m/>
    <m/>
    <m/>
    <m/>
    <m/>
    <m/>
    <m/>
    <m/>
    <m/>
    <n v="15210"/>
    <n v="15210"/>
    <n v="30420"/>
    <n v="30511"/>
    <n v="30329"/>
    <n v="60840"/>
    <s v="YES"/>
    <n v="30420"/>
    <n v="0.5"/>
    <n v="60840"/>
    <s v="YES"/>
    <n v="30420"/>
    <n v="0.5"/>
    <n v="60840"/>
    <s v="NO"/>
    <m/>
    <m/>
    <m/>
    <s v="YES"/>
    <n v="30420"/>
    <n v="0.5"/>
    <n v="60840"/>
    <s v="YES"/>
    <n v="30420"/>
    <n v="0.5"/>
    <n v="60840"/>
    <s v="NO"/>
    <m/>
    <m/>
    <m/>
    <s v="YES"/>
    <n v="30420"/>
    <n v="0.5"/>
    <n v="60840"/>
    <s v="NO"/>
    <m/>
    <m/>
    <m/>
    <s v="NO"/>
    <m/>
    <m/>
    <m/>
    <s v="NO"/>
    <m/>
    <m/>
    <m/>
    <s v="YES"/>
    <n v="30420"/>
    <n v="0.5"/>
    <n v="60840"/>
    <s v="YES"/>
    <n v="15600"/>
    <n v="0.2"/>
    <n v="31200"/>
    <s v="YES"/>
    <n v="30420"/>
    <n v="0.5"/>
    <n v="60840"/>
    <s v="NO"/>
    <m/>
    <m/>
    <m/>
    <s v="NO"/>
    <m/>
    <m/>
    <m/>
    <s v="YES"/>
    <n v="30420"/>
    <n v="0.5"/>
    <n v="60840"/>
    <m/>
    <s v="NO"/>
    <m/>
    <m/>
    <m/>
    <s v="YES"/>
    <s v="December"/>
    <n v="2016"/>
    <s v="YES"/>
    <s v="YES"/>
    <s v="March"/>
    <n v="2018"/>
    <s v="Tandis que l'étude de base a utilisé une méthodologique quantitative prenant en compte les indicateurs globaux de CARE, l'évaluation à mi parcours a été réalisée avec une approche qualitative par un consultant externe qui rend la comparabilité difficile."/>
    <x v="0"/>
    <s v="NO"/>
    <s v="NO"/>
    <s v="YES"/>
    <s v="YES"/>
    <s v="NO"/>
    <s v="NO"/>
    <s v="NO"/>
    <s v="NO"/>
    <m/>
    <x v="1"/>
    <m/>
    <x v="1"/>
    <m/>
    <x v="0"/>
    <x v="0"/>
    <s v="YES"/>
    <x v="0"/>
    <x v="0"/>
    <x v="0"/>
    <x v="0"/>
    <n v="4"/>
    <x v="1"/>
    <x v="1"/>
    <x v="1"/>
    <x v="1"/>
    <x v="1"/>
    <x v="1"/>
    <n v="4"/>
    <x v="1"/>
    <x v="1"/>
    <x v="1"/>
    <x v="1"/>
    <x v="1"/>
    <n v="3"/>
    <x v="0"/>
    <x v="2"/>
    <n v="12"/>
    <s v="National government"/>
    <s v="Local NGO(s)/CSO(s)"/>
    <s v="Grassroots organization(s)"/>
    <x v="0"/>
    <s v="La formation des ONGs partenaires"/>
    <s v="A la suite de l'évaluation à mi parcours, le projet compte développer le volet apprentissage en plus du système de suivi evaluation classique. Il a été recommandé aussi l'audit genre pour le projet."/>
    <s v="L'approche participaptive  dans le processus de mise en  uvre du programme, a permis l'engagement de l'ensemble des acteurs pour l'atteinte des objectifs de l'année fiscale."/>
    <s v="Les comités technique et de pilotage ont consittué des cadres d'auto évaluation, de prise de décisions et de fixer des nouvelles orientations du programme."/>
    <s v="La mise en uvre d'un suivi participatif avec les collectivités territoriales, les service techniques de l'état , a permis d'apporter des améliorations significatives dans les interventions du programme."/>
    <s v="Les périmètres irrigués ou périmètres maraichers réalisés par le projet au bénéfice des femmes ont amélioré l'accès à la terre des femmes dans la zone d'intervention du projet."/>
    <s v="Le projet a permi de créer des emploi pour les femmes et les jeunes tout en dimiunant l'exode rural."/>
    <s v="La taille de parcelle par femme dans les périmètres maraichers est très petite pour l'amélioration du revenu de la femme."/>
    <s v="La constructtion des infrastructures commes les PPIV et les PM sont achevées."/>
    <s v="Le rapport de l'étude à mi parcours et le rapport annuel du projet sont produits."/>
    <n v="30420"/>
    <n v="60840"/>
    <n v="2"/>
    <n v="0.5"/>
    <n v="0.50149572649572649"/>
    <n v="15210"/>
    <n v="30511"/>
    <s v=""/>
    <n v="0"/>
    <n v="0"/>
    <s v=""/>
    <n v="1"/>
    <n v="30420"/>
    <n v="60840"/>
    <n v="2"/>
    <s v=""/>
    <n v="0"/>
    <n v="0"/>
    <s v=""/>
    <s v=""/>
    <n v="0"/>
    <n v="0"/>
    <s v=""/>
    <n v="1"/>
    <n v="30420"/>
    <n v="60840"/>
    <n v="2"/>
    <s v="2. Sensitive"/>
    <s v="2. Accommodating"/>
    <s v="2. Sensitive"/>
    <s v="It tested new ways for fighting poverty, but did not measure results of innovation"/>
    <s v="Little or no advocacy"/>
    <s v="It linked and worked with strategic alliances and partners to take tested and effective solutions to scale"/>
  </r>
  <r>
    <x v="45"/>
    <x v="2"/>
    <n v="3629"/>
    <s v="Projet de Reconstruction et Relance Economique (PRRE)"/>
    <s v="Mali"/>
    <s v="MEFXML001/US1G6"/>
    <s v="CARE USA"/>
    <s v="Government"/>
    <s v="The World Bank"/>
    <s v="International Development Association (IDA)"/>
    <m/>
    <m/>
    <m/>
    <m/>
    <m/>
    <m/>
    <m/>
    <m/>
    <m/>
    <m/>
    <m/>
    <m/>
    <m/>
    <m/>
    <m/>
    <m/>
    <m/>
    <m/>
    <m/>
    <m/>
    <m/>
    <m/>
    <m/>
    <m/>
    <m/>
    <m/>
    <m/>
    <m/>
    <m/>
    <m/>
    <m/>
    <m/>
    <m/>
    <m/>
    <m/>
    <m/>
    <m/>
    <m/>
    <m/>
    <m/>
    <m/>
    <m/>
    <m/>
    <m/>
    <m/>
    <d v="2015-04-02T00:00:00"/>
    <d v="2018-12-31T00:00:00"/>
    <m/>
    <s v="Humanitarian Access to and Control over Economic Resources"/>
    <n v="20066618"/>
    <s v="Joyce Sepenoo"/>
    <s v="ACD"/>
    <s v="Joyce.Sepenoo@care.org"/>
    <s v="Dramane Sidibé"/>
    <s v="COP"/>
    <s v="Dramane.Sidibe@care.org"/>
    <s v="YES"/>
    <s v="NO"/>
    <s v="NO"/>
    <s v="LObjectif de Développement du Projet (ODP) est de réhabiliter les infrastructures de base et de rétablir les activités productives des communautés touchées par la crise au Mali.  "/>
    <s v="Sub-National"/>
    <s v="La zone dintervention de CARE Mali couvre 71 communes dans quatre régions du Nord (Gao, Tombouctou, Mopti et Ségou)"/>
    <s v="La population touchée par la crise socio-politique de la République du Mali en 2012 à travers les organisation communautaires et socio-profesionnelle et les élus communautaires des 79 communes d'intervention"/>
    <n v="15062"/>
    <n v="10203"/>
    <n v="25265"/>
    <n v="1529833"/>
    <n v="1469839"/>
    <n v="2999672"/>
    <s v="Le nombre de participants directs est le nombre total de personnes bénéficiant des microprojets productifs et les formations du Centre de Formation des Collectivités Territoriales. Le nombre particpants indirects est le nombre total de la population des 79 communes dans lesqueles  le PRRE a élaboré les Plans de Développements Economiques Socio-Culturels (PDESC) moins les participants directs ( qui sont les bénéficiares des 485 microprojets productifs)"/>
    <m/>
    <n v="9431"/>
    <n v="5793"/>
    <n v="15224"/>
    <n v="424409"/>
    <n v="407765"/>
    <n v="832174"/>
    <s v="NO"/>
    <m/>
    <m/>
    <m/>
    <s v="NO"/>
    <m/>
    <m/>
    <m/>
    <s v="NO"/>
    <m/>
    <m/>
    <m/>
    <s v="YES"/>
    <n v="15224"/>
    <n v="0.61899999999999999"/>
    <n v="832174"/>
    <s v="NO"/>
    <m/>
    <m/>
    <m/>
    <s v="YES"/>
    <n v="15224"/>
    <n v="0.61899999999999999"/>
    <n v="832174"/>
    <s v="NO"/>
    <m/>
    <m/>
    <m/>
    <s v="Yes"/>
    <n v="15224"/>
    <n v="0.61899999999999999"/>
    <n v="832174"/>
    <s v="NO"/>
    <m/>
    <m/>
    <m/>
    <s v="NO"/>
    <m/>
    <m/>
    <m/>
    <s v="NO"/>
    <m/>
    <m/>
    <m/>
    <s v="NO"/>
    <m/>
    <m/>
    <m/>
    <m/>
    <m/>
    <m/>
    <m/>
    <m/>
    <m/>
    <m/>
    <m/>
    <m/>
    <m/>
    <m/>
    <m/>
    <m/>
    <m/>
    <m/>
    <m/>
    <m/>
    <m/>
    <m/>
    <m/>
    <m/>
    <m/>
    <m/>
    <m/>
    <m/>
    <m/>
    <m/>
    <m/>
    <m/>
    <m/>
    <m/>
    <m/>
    <m/>
    <m/>
    <m/>
    <m/>
    <m/>
    <m/>
    <m/>
    <m/>
    <m/>
    <m/>
    <m/>
    <m/>
    <m/>
    <m/>
    <m/>
    <m/>
    <m/>
    <m/>
    <m/>
    <m/>
    <m/>
    <m/>
    <m/>
    <m/>
    <m/>
    <m/>
    <m/>
    <m/>
    <m/>
    <m/>
    <m/>
    <m/>
    <m/>
    <m/>
    <m/>
    <m/>
    <m/>
    <m/>
    <m/>
    <m/>
    <m/>
    <m/>
    <m/>
    <m/>
    <m/>
    <m/>
    <m/>
    <m/>
    <s v="NO"/>
    <m/>
    <m/>
    <s v="NO"/>
    <s v="NO"/>
    <m/>
    <m/>
    <m/>
    <x v="1"/>
    <s v="NO"/>
    <s v="NO"/>
    <s v="NO"/>
    <s v="NO"/>
    <s v="NO"/>
    <s v="NO"/>
    <s v="NO"/>
    <s v="NO"/>
    <m/>
    <x v="1"/>
    <s v="Le projet a utulisé un processus de ciblage participatif à travers des séances de sensibilisation et d'information, les ateliers et réunion avant de cibler les bénéficiares. Aussi, certains critères d'élligibilités ont été appliquées"/>
    <x v="1"/>
    <m/>
    <x v="0"/>
    <x v="0"/>
    <s v="YES"/>
    <x v="0"/>
    <x v="0"/>
    <x v="0"/>
    <x v="0"/>
    <n v="4"/>
    <x v="1"/>
    <x v="1"/>
    <x v="1"/>
    <x v="1"/>
    <x v="1"/>
    <x v="1"/>
    <n v="4"/>
    <x v="1"/>
    <x v="1"/>
    <x v="1"/>
    <x v="1"/>
    <x v="1"/>
    <n v="3"/>
    <x v="3"/>
    <x v="2"/>
    <n v="30"/>
    <s v="National government"/>
    <s v="Local NGO(s)/CSO(s)"/>
    <s v="Grassroots organization(s)"/>
    <x v="0"/>
    <m/>
    <m/>
    <s v="La stratégie de mobilisation communautaire"/>
    <s v="La stratégie et démarche de sélection des OCB/OSP et leurs microprojets"/>
    <s v="La stratégie d'intervention en zone d'insécurité"/>
    <s v="Implication des bénéficiaires dans le processus de sélection des microprojets"/>
    <s v="Transparence dans le recrutement des entreprises et fournisseurs pour l'exécution des microprojets productifs"/>
    <s v="Lancement de tous les marchés de fournitures et travaux et se focaliser sur le suivi des réalisations"/>
    <s v="La modalité de mise en uvre des microprojets productifs sont entre autres : (i) l'identification des OCB/OSP ; (ii) la préparation des microprojets, (iii) l'étude et requête de financement ; (iv) l'approbation des microprojets par les commités communales de sélections ; (v) signature des conventions de financement ; (vi) l'exécution du microprojet"/>
    <s v="Manuel d'Exécution du Projet"/>
    <n v="15224"/>
    <n v="832174"/>
    <n v="54.661981082501313"/>
    <n v="0.61948239621650025"/>
    <n v="0.51000031243465915"/>
    <n v="9431"/>
    <n v="424409"/>
    <n v="1"/>
    <n v="15224"/>
    <n v="832174"/>
    <n v="54.661981082501313"/>
    <n v="1"/>
    <n v="15224"/>
    <n v="832174"/>
    <n v="54.661981082501313"/>
    <s v=""/>
    <n v="0"/>
    <n v="0"/>
    <s v=""/>
    <s v=""/>
    <n v="0"/>
    <n v="0"/>
    <s v=""/>
    <s v=""/>
    <n v="0"/>
    <n v="0"/>
    <s v=""/>
    <s v="2. Sensitive"/>
    <s v="2. Accommodating"/>
    <s v="2. Sensitive"/>
    <s v="It tested new ways for fighting poverty, but did not measure results of innovation"/>
    <s v="Moderate advocacy"/>
    <s v="It linked and worked with strategic alliances and partners to take tested and effective solutions to scale"/>
  </r>
  <r>
    <x v="45"/>
    <x v="2"/>
    <n v="93"/>
    <s v="Projet Empowerment des Femmes et Filles et Gouvernance de la Société Civile"/>
    <s v="Mali"/>
    <s v="NO161, CNORML0093"/>
    <s v="CARE Norge"/>
    <s v="Government"/>
    <s v="Government - Norway"/>
    <s v="NORAD"/>
    <m/>
    <m/>
    <m/>
    <m/>
    <m/>
    <m/>
    <m/>
    <m/>
    <m/>
    <m/>
    <m/>
    <m/>
    <m/>
    <m/>
    <m/>
    <m/>
    <m/>
    <m/>
    <m/>
    <m/>
    <m/>
    <m/>
    <m/>
    <m/>
    <m/>
    <m/>
    <m/>
    <m/>
    <m/>
    <m/>
    <m/>
    <m/>
    <m/>
    <m/>
    <m/>
    <m/>
    <m/>
    <m/>
    <m/>
    <m/>
    <m/>
    <m/>
    <m/>
    <m/>
    <m/>
    <d v="2016-03-01T00:00:00"/>
    <d v="2020-02-29T00:00:00"/>
    <m/>
    <s v="Development Other"/>
    <n v="6303304"/>
    <s v="Abdoulaye Moussa Touré"/>
    <s v="Project Manager"/>
    <s v="AbdoulayeMoussa.Toure@care.org"/>
    <s v="Kadidia Cissé"/>
    <s v="Gender Team leader"/>
    <s v="SidibeKadidia.Cisse@care.org"/>
    <s v="NO"/>
    <s v="YES"/>
    <s v="NO"/>
    <s v="D'ici Décembre 2019, 700 000 femmes et filles de 15 à 49 ans vulnérables et leur ménages des régions de Ségou, Mopti et Tombouctou améliorent leurs conditions socio-économique et politique et augmente leur influence dans la prise de décision à différent niveaux"/>
    <s v="Sub-National"/>
    <s v="Le projet est mis en uvre dans les régions de Ségou, Mopti et Tombouctou, spécifiquement dans 105 communes"/>
    <s v="Femmes 15-49 ans membres des groupements VSLA et les filles de 15-19 ans"/>
    <n v="150000"/>
    <n v="25000"/>
    <n v="175000"/>
    <n v="550000"/>
    <n v="313885"/>
    <n v="863885"/>
    <s v="Les participants directs sont des femmes/filles (150 000) et hommes/Garçons (25 000) qui sont définis dans le cadre des résultats du projet. Les participants indirects sont calculés en fonction du nombre de population hommes et femmes des communes couvertes par le projet moins les participants directs"/>
    <m/>
    <m/>
    <m/>
    <m/>
    <m/>
    <m/>
    <m/>
    <m/>
    <m/>
    <m/>
    <m/>
    <m/>
    <m/>
    <m/>
    <m/>
    <m/>
    <m/>
    <m/>
    <m/>
    <m/>
    <m/>
    <m/>
    <m/>
    <m/>
    <m/>
    <m/>
    <m/>
    <m/>
    <m/>
    <m/>
    <m/>
    <m/>
    <m/>
    <m/>
    <m/>
    <m/>
    <m/>
    <m/>
    <m/>
    <m/>
    <m/>
    <m/>
    <m/>
    <m/>
    <m/>
    <m/>
    <m/>
    <m/>
    <m/>
    <m/>
    <m/>
    <m/>
    <m/>
    <m/>
    <m/>
    <m/>
    <m/>
    <m/>
    <m/>
    <m/>
    <n v="34207"/>
    <n v="5240"/>
    <n v="39447"/>
    <n v="312499"/>
    <n v="333645"/>
    <n v="646144"/>
    <s v="YES"/>
    <n v="5670"/>
    <n v="1"/>
    <n v="34020"/>
    <s v="YES"/>
    <m/>
    <m/>
    <m/>
    <s v="YES"/>
    <m/>
    <m/>
    <m/>
    <s v="YES"/>
    <n v="66"/>
    <n v="0.378"/>
    <n v="5385"/>
    <s v="YES"/>
    <n v="34207"/>
    <n v="1"/>
    <n v="646144"/>
    <s v="YES"/>
    <n v="4819"/>
    <n v="0.93600000000000005"/>
    <m/>
    <s v="YES"/>
    <n v="31107"/>
    <n v="0.95699999999999996"/>
    <n v="186642"/>
    <s v="YES"/>
    <n v="18383"/>
    <n v="0.36599999999999999"/>
    <m/>
    <s v="YES"/>
    <n v="12432"/>
    <n v="0.86"/>
    <m/>
    <s v="NO"/>
    <m/>
    <m/>
    <m/>
    <s v="NO"/>
    <m/>
    <m/>
    <m/>
    <s v="NO"/>
    <m/>
    <m/>
    <m/>
    <s v="YES"/>
    <n v="4070"/>
    <n v="1"/>
    <m/>
    <s v="NO"/>
    <m/>
    <m/>
    <m/>
    <s v="NO"/>
    <m/>
    <m/>
    <m/>
    <s v="YES"/>
    <n v="9653"/>
    <n v="1"/>
    <m/>
    <m/>
    <m/>
    <m/>
    <m/>
    <m/>
    <s v="NO"/>
    <m/>
    <m/>
    <s v="NO"/>
    <s v="YES"/>
    <s v="November"/>
    <n v="2017"/>
    <s v="Cette enquête dénommée SAFI est prévue pour évaluer la fonctionnalité, la mesure du niveau des révunus des groupements et réseaux  MJT"/>
    <x v="2"/>
    <s v="NO"/>
    <s v="YES"/>
    <s v="YES"/>
    <s v="YES"/>
    <s v="YES"/>
    <s v="NO"/>
    <s v="YES"/>
    <s v="YES"/>
    <s v="Participation et Contribution du projet dans l'élabration du projet de lois contre des VBG qui a été soumis au Ministère de la Promotion de la Femme, de l'Enfant et de la Famille. Plaidoyer auprès du gouvernement à travers le MPFEF pour la mise à echelle de l'approche MJT. Plaidoyer auprès des collectivités pour la prise en compte des besoins spécifiques des femme les Plans de Développement Economique et Socio-Cuturel (PDESC)"/>
    <x v="1"/>
    <s v="* Utilisation des semences améliorées de fonio et accès aux équipements innovents (cribleur et décortiqueuse de fonio) par les femmes positionnées sur la filière fonio. * Test et validation des approches couple modèle et grand mère modèle pour la bonne nutrition des enfants et des femmes. * Constitution de stock et construction de magasin de banques de céréales sur fonds propres pour Le développement des capacités de résilience des femmes MJT"/>
    <x v="1"/>
    <s v="* Le projet a mis en place des coalitions des hommes engagés au niveau local pour renforcer l'engagement des hommes, membres des groupes de soutien, à l'autonomisation socio-économique et politiques des femmes et filles. * L'organisation des conférences régionales des réseaux de groupement MJT a permis d'améliorer la visibilité, la rédevabilité de leurs actions"/>
    <x v="1"/>
    <x v="1"/>
    <s v="YES"/>
    <x v="0"/>
    <x v="0"/>
    <x v="0"/>
    <x v="2"/>
    <n v="4"/>
    <x v="2"/>
    <x v="1"/>
    <x v="1"/>
    <x v="1"/>
    <x v="1"/>
    <x v="2"/>
    <n v="4"/>
    <x v="3"/>
    <x v="1"/>
    <x v="1"/>
    <x v="1"/>
    <x v="4"/>
    <n v="3"/>
    <x v="0"/>
    <x v="3"/>
    <n v="5"/>
    <s v="National government"/>
    <s v="Local NGO(s)/CSO(s)"/>
    <s v="Grassroots organization(s)"/>
    <x v="0"/>
    <s v="Appui à l'organisation des conférences régionales des réseaux MJT. Renforcement des capacités des femmes des réseaux et autres membres de la societé civile sur les thématiques du projet"/>
    <m/>
    <s v="La stratégie MJT/ réseau a permis de multiplier les impacts"/>
    <s v="Le développement des mecanismes communautaires a renforcé les capacités de résilience alimentaire et nutrionnelle"/>
    <s v="Lapproche engagement des hommes avec l'implication des leaders religieux , des jeunes, des communicateurs trationnels, des autorités  administratives et politiques en faveur de la defense des droits des femmes et des filles"/>
    <s v="L'approche réseautage des groupements MJT facilite la mise à échelle des actions tout en constituant des forces pressions (Négociation sociale, plaidoyer, entreprenariat, partenariat, alliance, etc.) et un facteur favorisant de leadership politique des membres des réseaus. Le défit aujourd'hui est l'inclusion financières des femmes/filles en terme de leur accès aux financement externe"/>
    <s v="La structuration des coalitions d'hommes engagés au niveau national est une pratique promotteuses et un défit en même temps"/>
    <s v="L'approche banques de céréales des femmes MJT constitue une stratégie durable et efficace en terme de renforcement de réliences des couches vulnérables"/>
    <s v="Le projet est structuré autour de 04 axes clés à savoir: (i) Pouvoir économique des femmes et filles; (ii) Sécurité alimentaire et nutritionnelle; (iii) Education et (iv) Engagement et redevabilité de la Societé Civile"/>
    <s v="GEWEP II Results framework Mali, Rapport annuel 2016 et le Rapport semestriel 2017"/>
    <n v="39447"/>
    <n v="646144"/>
    <n v="16.380054250006339"/>
    <n v="0.86716353588359063"/>
    <n v="0.4836367744651347"/>
    <n v="34207"/>
    <n v="312499"/>
    <s v=""/>
    <n v="0"/>
    <n v="0"/>
    <s v=""/>
    <n v="1"/>
    <n v="34207"/>
    <n v="646144"/>
    <n v="18.889233197883474"/>
    <s v=""/>
    <n v="0"/>
    <n v="0"/>
    <s v=""/>
    <n v="1"/>
    <n v="18383"/>
    <n v="0"/>
    <n v="0"/>
    <n v="1"/>
    <n v="34207"/>
    <n v="646144"/>
    <n v="18.889233197883474"/>
    <s v="4. Transformative"/>
    <s v="4. Transformational"/>
    <s v="4. Transformative"/>
    <s v="It tested new ways for fighting poverty, but did not measure results of innovation"/>
    <s v="Intensive advocacy"/>
    <s v="It linked and worked with strategic alliances and partners to take tested and effective solutions to scale"/>
  </r>
  <r>
    <x v="45"/>
    <x v="2"/>
    <n v="3632"/>
    <s v="Projet USAID/Nutrition and Hygiene au Mali  "/>
    <s v="Mali"/>
    <s v="USLMML0031"/>
    <s v="CARE USA"/>
    <s v="Other"/>
    <s v="Government - US"/>
    <s v="USAID"/>
    <m/>
    <m/>
    <m/>
    <m/>
    <m/>
    <m/>
    <m/>
    <m/>
    <m/>
    <m/>
    <m/>
    <m/>
    <m/>
    <m/>
    <m/>
    <m/>
    <m/>
    <m/>
    <m/>
    <m/>
    <m/>
    <m/>
    <m/>
    <m/>
    <m/>
    <m/>
    <m/>
    <m/>
    <m/>
    <m/>
    <m/>
    <m/>
    <m/>
    <m/>
    <m/>
    <m/>
    <m/>
    <m/>
    <m/>
    <m/>
    <m/>
    <m/>
    <m/>
    <m/>
    <m/>
    <d v="2013-10-01T00:00:00"/>
    <d v="2018-09-30T00:00:00"/>
    <m/>
    <s v="Development Other"/>
    <n v="14797313"/>
    <s v="Sahada TRAORE"/>
    <s v="Deputy Chief Of Party"/>
    <s v="Sahada.Traore@care.org"/>
    <s v="Alhassane SOW"/>
    <s v="Conseiller en  Suivi-évaluation"/>
    <s v="Alhassane.Sow@co.care.org"/>
    <s v="NO"/>
    <s v="YES"/>
    <s v="NO"/>
    <s v="Lobjectif général du projet est de contribuer à lamélioration du statut nutritionnel des femmes en âge de procréer et les enfants de moins de cinq ans  avec un accent particulier sur les mécanismes de résilience à travers la prévention et la prise en charge de la malnutrition à travers la promotion de l'agriculture nutritionnelle et l'hygiène"/>
    <s v="Sub-National"/>
    <s v="Neuf (9) districts dintervention dans trois (3) régions: Nara ( à Koulikoro ) , Niono ( à Ségou ) , Mopti, Bandiagara , Bankass ,Tenenkou , Youwarou, Djenné et Koro ( à Mopti )"/>
    <s v="Les femmes en âge de procréer, les enfants de moins de cinq ans, les petits exploitants agricoles et agents de santé"/>
    <n v="408180"/>
    <n v="469948"/>
    <n v="878128"/>
    <n v="1203194"/>
    <n v="1078234"/>
    <n v="2281428"/>
    <s v="Les participants directes sont les femmes en âge de procréer, les enfants de moins de cinq (5) ans, les petits exploitants agricoles et agents de santé dans les 710 villages couverts par le Projet qui bénéficient des activités directement des activités du Projet telles que les activités de promotions des pratiques en Agriculture, Nutrition et Hygiène."/>
    <m/>
    <m/>
    <m/>
    <m/>
    <m/>
    <m/>
    <m/>
    <m/>
    <m/>
    <m/>
    <m/>
    <m/>
    <m/>
    <m/>
    <m/>
    <m/>
    <m/>
    <m/>
    <m/>
    <m/>
    <m/>
    <m/>
    <m/>
    <m/>
    <m/>
    <m/>
    <m/>
    <m/>
    <m/>
    <m/>
    <m/>
    <m/>
    <m/>
    <m/>
    <m/>
    <m/>
    <m/>
    <m/>
    <m/>
    <m/>
    <m/>
    <m/>
    <m/>
    <m/>
    <m/>
    <m/>
    <m/>
    <m/>
    <m/>
    <m/>
    <m/>
    <m/>
    <m/>
    <m/>
    <m/>
    <m/>
    <m/>
    <m/>
    <m/>
    <m/>
    <n v="407262"/>
    <n v="322830"/>
    <n v="730092"/>
    <n v="537228"/>
    <n v="584622"/>
    <n v="1121850"/>
    <s v="YES"/>
    <n v="6084"/>
    <n v="9.7863852785999197E-2"/>
    <n v="60688"/>
    <s v="YES"/>
    <n v="6084"/>
    <n v="9.7863852785999197E-2"/>
    <n v="60688"/>
    <s v="NO"/>
    <m/>
    <m/>
    <m/>
    <s v="NO"/>
    <m/>
    <m/>
    <m/>
    <s v="NO"/>
    <m/>
    <m/>
    <m/>
    <s v="YES"/>
    <n v="500"/>
    <n v="1.7778648670972501E-2"/>
    <n v="27624"/>
    <s v="YES"/>
    <n v="101606"/>
    <n v="0.16935208319096401"/>
    <n v="599969"/>
    <s v="NO"/>
    <m/>
    <m/>
    <m/>
    <s v="NO"/>
    <m/>
    <m/>
    <m/>
    <s v="YES"/>
    <n v="308"/>
    <n v="3.8197422481751901E-3"/>
    <n v="80326"/>
    <s v="YES"/>
    <n v="74664"/>
    <n v="7.7464788732394305E-2"/>
    <n v="144089"/>
    <s v="NO"/>
    <m/>
    <m/>
    <m/>
    <s v="NO"/>
    <m/>
    <m/>
    <m/>
    <s v="NO"/>
    <m/>
    <m/>
    <m/>
    <s v="YES"/>
    <n v="651022"/>
    <n v="0.7"/>
    <n v="930031"/>
    <s v="YES"/>
    <n v="47502"/>
    <n v="0.22600000000000001"/>
    <n v="210187"/>
    <m/>
    <s v="NO"/>
    <m/>
    <m/>
    <m/>
    <s v="YES"/>
    <s v="October"/>
    <n v="2016"/>
    <s v="YES"/>
    <s v="YES"/>
    <s v="October"/>
    <n v="2018"/>
    <s v="Une évaluation finale du Projet sera faite à la fin du Projet en 2018. Ces résultats seront comparées à celles des évaluations initiales et de la mi-parcours du Projet. La même approche quantitative a été faite pour les deux évaluations (initiales et mi-parcours). deux études qualitatives (2017 et 2018) seront conduites pour appréhender les changements de comportements et les appréciations des bénéficiares directs du Projet. L'étude finale du Projet va également comprendre des questions qualitatives plus approfondies"/>
    <x v="1"/>
    <s v="NO"/>
    <s v="NO"/>
    <m/>
    <s v="YES"/>
    <s v="YES"/>
    <s v="YES"/>
    <s v="NO"/>
    <s v="NO"/>
    <m/>
    <x v="1"/>
    <m/>
    <x v="1"/>
    <s v="Le Projet travaille en consortium avec IRC, FHI360, une ONG locale et services techniques de l'Etat malien  intervenant en Agriculture, Nutrition, Eau, Hygiène et Assainissement. Il accompagne ainsi l'Etat dans la mise de ses politiques de développement et travers l'appui à l'expérimentation des nouvelles approches telles que le dépistage de masse, les sensibilisations lors des célébrations des journées mondiales (Allaiment maternel, lavage des mains, Toilettes, etc...), Fonctonnement de la BDA/DNACPN"/>
    <x v="0"/>
    <x v="0"/>
    <s v="YES"/>
    <x v="0"/>
    <x v="1"/>
    <x v="0"/>
    <x v="1"/>
    <n v="3"/>
    <x v="1"/>
    <x v="1"/>
    <x v="1"/>
    <x v="2"/>
    <x v="2"/>
    <x v="4"/>
    <n v="2"/>
    <x v="1"/>
    <x v="2"/>
    <x v="2"/>
    <x v="1"/>
    <x v="3"/>
    <n v="1"/>
    <x v="0"/>
    <x v="2"/>
    <n v="7"/>
    <s v="Grassroots organization(s)"/>
    <s v="International NGO(s)"/>
    <s v="Local government(s)"/>
    <x v="0"/>
    <s v="Les organisations communautaires telles  que les groupements de femmes en épargne ont été aidées pour leur création et leur fonctionnelement. Les groupements maraichers de femmes ont été renforcés en Alphabétisation et technique agricoles. Les Associations de Santé communautaire ont bénéficiés du soutien du Projet à travers le renforcement des capacités des personnels des Centres de Santé Communautaires, etc..."/>
    <s v="Au cours de sa mise en oeuvre, le Projet a bénéficié d'un financement addditionnelle de l'USAID (FtF en particulier) qui a permis de renforcer le volet Agriculture nutritionnelle et le volet WASH pour le renforcement de la capacité instutionnelle de la Direction Nationale l'Asssainissement, du Contrôle des Pollution et des Nuisances (DNACPN) du Mali. Etant donné que l'une des principales cibles du Pojet est constitué des Femmes en Ages de Procréer, un nombre important des activités du Projet sont orientées vers les femmes. Il s'agit des soutien au Femmes à travers les démonstations nutritionnelles ciblant les groupement de Femmes en vue de l'amélioration de l'alimentation d'elles mêmes et de leurs enfants, le renforcement des groupement de femmes ou MJT en vue de leur accès à l'épargne et leur appui en petits moyens (octroi de sémence améliorées et équipements agricoles), le renforcement en Alphabétisation des groupements de femmes maraichers en vue de leur ccès à une meilleure alimentation et technologies agricoles. L'éducation et la promotion de l'allaitement maternel exclusif, etc."/>
    <s v="En nutrition : l'invitation et la présence des Hommes aux activités de Démonstrations Nutritionnelles (DN) a permis au sein des communautés une prise de conscience et une forte implication des Hommes dans l'alimentation de leurs enfants. En plus la stratégie des campagnes de dépistage, mis en oeuvre avec les relais communautaires, les Agents de Santé Communautaires appuyés par les animateurs, les Directeurs Techniques de Centre (DTC) sous la supervision directe de léquipe cadre du Projet, des superviseurs de zone et les coordinateurs de zone ont permis de toucher un plus grand nombre d'enfant"/>
    <s v="En WASH : La stratégie de la relance ATPC a permis la certification FDAL d'un plus grand nombre de villages dans la zone du Projet dont les  déclenchements entamés par des tiers n'étaient pas achevés. Cela notamment permis un gain de temps réel dans le Processus de mise en oeuvre de l'ATPC"/>
    <s v="En Agriculture : la promotion des jardins familiaux en dotant les femmes au sein des ménages a permis d'avoir des résultats encourageants et concrets"/>
    <s v="En nutrition : Les DN associée au dépistage des enfants ont permis une prise de conscience des femmes sur la place des produits locaux (mil, sorgho, arachide, niébé) dans lamélioration de lalimentation des enfants de moins de 5 ans et la prévention de la malnutrition des enfant par les techniques de préparation des menus pour les enfants (bouillie enrichie, « laro » à base darachide et de céréales : mil, sorgho, mai)"/>
    <s v="Les échanges dexpériences entre les agents de différentes zones d'intervention (IRC et YA-G-TU) du Projet a été un moyen efficace dappropriation des meilleures pratiques et connaissances de part de d'autres  : Par exemple, lexistence de groupe de soutien aux femmes composé exclusivement dhommes facilite la sensibilisation des hommes sur des questions de genre"/>
    <s v="En WASH et Agriculture : la valorisation des ordures issues des journées de salubrité a permis de les transformer en fumure organique qui ont été vendues aux agriculteurs. De même la mise en uvre des techniques de micro dose et de conservation du sol ont permis d'amélioré les résultats agricoles du Projet"/>
    <m/>
    <s v="Les rapports d'activités de l'année fiscale 2016-2017 du Projet ainsi que des partenaires d'exécution, les rapports d'évaluation de base (FtF) et le rapport d'évaluation à mi-parcours du Projet"/>
    <n v="730092"/>
    <n v="1121850"/>
    <n v="1.5365871698361302"/>
    <n v="0.55782284972304863"/>
    <n v="0.4788768551945447"/>
    <n v="407262"/>
    <n v="537228"/>
    <s v=""/>
    <n v="0"/>
    <n v="0"/>
    <s v=""/>
    <n v="1"/>
    <n v="651022"/>
    <n v="930031"/>
    <n v="1.4285707702658281"/>
    <s v=""/>
    <n v="0"/>
    <n v="0"/>
    <s v=""/>
    <s v=""/>
    <n v="0"/>
    <n v="0"/>
    <s v=""/>
    <n v="1"/>
    <n v="47502"/>
    <n v="210187"/>
    <n v="4.4248031661824765"/>
    <s v="1. Neutral"/>
    <s v="1. Tokenistic"/>
    <s v="1. Neutral"/>
    <s v="It tested new ways for fighting poverty, but did not measure results of innovation"/>
    <s v="Moderate advocacy"/>
    <s v="It linked and worked with strategic alliances and partners to take tested and effective solutions to scale"/>
  </r>
  <r>
    <x v="45"/>
    <x v="2"/>
    <n v="3633"/>
    <s v="SAF PAC"/>
    <s v="Mali"/>
    <s v="US1LB/AN01ML0002"/>
    <s v="CARE USA"/>
    <s v="Foundation"/>
    <s v="Other"/>
    <s v="Susan Thomson Bufett Foundation"/>
    <m/>
    <m/>
    <m/>
    <m/>
    <m/>
    <m/>
    <m/>
    <m/>
    <m/>
    <m/>
    <m/>
    <m/>
    <m/>
    <m/>
    <m/>
    <m/>
    <m/>
    <m/>
    <m/>
    <m/>
    <m/>
    <m/>
    <m/>
    <m/>
    <m/>
    <m/>
    <m/>
    <m/>
    <m/>
    <m/>
    <m/>
    <m/>
    <m/>
    <m/>
    <m/>
    <m/>
    <m/>
    <m/>
    <m/>
    <m/>
    <m/>
    <m/>
    <m/>
    <m/>
    <m/>
    <d v="2016-01-01T00:00:00"/>
    <d v="2018-12-31T00:00:00"/>
    <d v="2018-12-31T00:00:00"/>
    <s v="Humanitarian Sexual, Reproductive and Maternal Health (SRMH)"/>
    <n v="2040070"/>
    <s v="Joyce SEPENOO"/>
    <s v="ACD Programme"/>
    <s v="joyce.sepenoo@care.org"/>
    <s v="Issa Raoul DABO"/>
    <s v="Chef de projet"/>
    <s v="issa.dabo@care.org"/>
    <s v="YES"/>
    <s v="YES"/>
    <s v="YES"/>
    <s v="Contribuer à lamélioration de la santé de 74 162 femmes en âge de procréer de la Région de Mopti/Ségou à travers les activités daccès à la panification familiale, de Soins après Avortement et de transformation sociale dici Décembre 2018"/>
    <s v="Sub-National"/>
    <s v="Region de Mopti (district sanitaire de Bandiagara, Djenné et Mopti); Region de Ségou (District de Segou)"/>
    <s v="Initiative SAF PAC  a comme groupe d'impact les femmes en âge de procreer"/>
    <n v="74307"/>
    <n v="322"/>
    <n v="74629"/>
    <n v="44735"/>
    <n v="74162"/>
    <n v="118897"/>
    <s v="Les particiapnts directs sont les cibles de l'initiative SAF PAC : les femmes et les filles en ages de procréer (15 à 49 ans), les 90 prestataires cliniques formés, les 240 facilitateurs communautaires, les 129 personnes influentes renforcés pour la transformation sociale. Les participants indirects regroupent les maris des femmes age de procreer qui constituent la cible, le reste de la populations des femmes en age de procréer qui sont exposées aux séances de dialogue communautaire et les emissions radiophoniques."/>
    <m/>
    <m/>
    <m/>
    <m/>
    <m/>
    <m/>
    <m/>
    <s v="NO"/>
    <m/>
    <m/>
    <m/>
    <s v="NO"/>
    <m/>
    <m/>
    <m/>
    <s v="YES"/>
    <m/>
    <m/>
    <m/>
    <s v="NO"/>
    <m/>
    <m/>
    <m/>
    <s v="YES"/>
    <m/>
    <m/>
    <m/>
    <s v="NO"/>
    <m/>
    <m/>
    <m/>
    <s v="YES"/>
    <m/>
    <m/>
    <m/>
    <s v="NO"/>
    <m/>
    <m/>
    <m/>
    <s v="YES"/>
    <m/>
    <m/>
    <m/>
    <s v="YES"/>
    <n v="11594"/>
    <n v="0.156"/>
    <n v="45522"/>
    <s v="NO"/>
    <m/>
    <m/>
    <m/>
    <s v="NO"/>
    <m/>
    <m/>
    <m/>
    <m/>
    <s v="NO"/>
    <m/>
    <m/>
    <m/>
    <n v="43265"/>
    <n v="18560"/>
    <n v="61825"/>
    <n v="31929"/>
    <n v="30677"/>
    <n v="62606"/>
    <s v="NO"/>
    <m/>
    <m/>
    <m/>
    <s v="NO"/>
    <m/>
    <m/>
    <m/>
    <s v="NO"/>
    <m/>
    <m/>
    <m/>
    <s v="NO"/>
    <m/>
    <m/>
    <m/>
    <s v="NO"/>
    <m/>
    <m/>
    <m/>
    <s v="YES"/>
    <m/>
    <m/>
    <m/>
    <s v="NO"/>
    <m/>
    <m/>
    <m/>
    <s v="YES"/>
    <m/>
    <m/>
    <m/>
    <s v="NO"/>
    <m/>
    <m/>
    <m/>
    <s v="YES"/>
    <m/>
    <m/>
    <m/>
    <s v="NO"/>
    <m/>
    <m/>
    <m/>
    <s v="NO"/>
    <m/>
    <m/>
    <m/>
    <s v="YES"/>
    <n v="585"/>
    <n v="0.8"/>
    <n v="0"/>
    <s v="YES"/>
    <n v="11594"/>
    <n v="0.156"/>
    <n v="45522"/>
    <s v="YES"/>
    <m/>
    <m/>
    <m/>
    <s v="NO"/>
    <m/>
    <m/>
    <m/>
    <m/>
    <s v="NO"/>
    <m/>
    <m/>
    <m/>
    <s v="YES"/>
    <s v="March"/>
    <n v="2016"/>
    <s v="YES"/>
    <s v="NO"/>
    <m/>
    <m/>
    <s v="Une enquete type LQAS a été réalisée de Mars à Mai 2017. C'est dans le but d'evaluer la connaissance des communautés sur les méthodes planification familialie et les soins après avortement. C'est aussi pour identifier les zones de faible performance et combler les deficits, La planification de la 2ème étape de l'enquete est en cour de programmation."/>
    <x v="1"/>
    <s v="NO"/>
    <s v="NO"/>
    <s v="YES"/>
    <s v="YES"/>
    <s v="NO"/>
    <s v="NO"/>
    <s v="YES"/>
    <s v="NO"/>
    <m/>
    <x v="0"/>
    <m/>
    <x v="1"/>
    <s v="L'Initiative SAF PAC a développé des synergie d'action avec d'autres d'Initaitive"/>
    <x v="1"/>
    <x v="0"/>
    <s v="YES"/>
    <x v="0"/>
    <x v="0"/>
    <x v="0"/>
    <x v="0"/>
    <n v="4"/>
    <x v="1"/>
    <x v="2"/>
    <x v="1"/>
    <x v="1"/>
    <x v="1"/>
    <x v="1"/>
    <n v="3"/>
    <x v="2"/>
    <x v="2"/>
    <x v="2"/>
    <x v="2"/>
    <x v="2"/>
    <n v="0"/>
    <x v="2"/>
    <x v="2"/>
    <n v="43"/>
    <s v="Local government(s)"/>
    <s v="Grassroots organization(s)"/>
    <s v="Media or journalist network(s)"/>
    <x v="0"/>
    <s v="Renforcement des capacités de 242 facilitateurs communautaires sur le dialogue social"/>
    <s v="L'intégration du DIHS2 (DISC) pour la gestion des données de SAF PAC 3/ la formation sur ODK pour son intégration dans la réalisation de l'enquete LQAS/ Evaluation Initiale Rapide pour la mise en uvre du MISP dans les zones d'intervention du programme d'urgence de CARE Mali"/>
    <s v="Le renforcement de capacité des prestataires cliniques sur le DIU du post partum,"/>
    <s v="La mise en uvre de l'Analyse Sociale et Action à travers des sessions de dialogue communautaire. Les sessions de dialogue commuanutaire sont mise en uvre par 242 facilitateurs communautaires dont les capacités ont été renforcées,"/>
    <s v="Les exercices de clarifications des valeurs et l'évaluation des attitudes prestataires/facilitateurs communautaires"/>
    <s v="le renforcement des capacités en DIU du post partum pour l'augmentation des indicateurs du DIU"/>
    <s v="L'engagement des leaders commnautaires pour l'accès des femmes en age procréer aux services de santé sexuelle et réproductive"/>
    <s v="Certains prestataires cliniques qui constituent des barrières d'accès à l'accès des services de SSR"/>
    <s v="L'année fiscale a connu l'intensification des activités de l'offre de service dans les formations sanitaires. Il est à noter le renforcement de capacités de 90 prestataires cliniques pour l'offre de service et 240 facilitateurs commumautaires pour l'animations des sessions de dialogue communautaire. L'offre de service a enregistré 10945 Nouvelles clientes pour l'offre de service planification familiale, 649 bénéficiares de soins après avortement et 50231 participants aux sessions de dialogue communautaire (31671 femmes et 18560 Hommes),"/>
    <s v="La base de données Cliniques pour l'offre de service SSR. La base de données engagement communautaire. Le DISC (DIHS2). Les rapports de supervision et d'évaluation des compétences. Les rapports du workplan"/>
    <n v="61825"/>
    <n v="62606"/>
    <n v="1.0126324302466641"/>
    <n v="0.69979781641730687"/>
    <n v="0.50999904162540333"/>
    <n v="43265"/>
    <n v="31929"/>
    <n v="1"/>
    <n v="0"/>
    <n v="0"/>
    <s v=""/>
    <n v="1"/>
    <n v="0"/>
    <n v="0"/>
    <s v=""/>
    <n v="1"/>
    <n v="11594"/>
    <n v="45522"/>
    <n v="3.9263412109711919"/>
    <n v="1"/>
    <n v="0"/>
    <n v="0"/>
    <s v=""/>
    <s v=""/>
    <n v="0"/>
    <n v="0"/>
    <s v=""/>
    <s v="2. Sensitive"/>
    <s v="2. Accommodating"/>
    <s v="0. Harmful"/>
    <s v="It did not develop any specific innovation"/>
    <s v="Moderate advocacy"/>
    <s v="It linked and worked with strategic alliances and partners to take tested and effective solutions to scale"/>
  </r>
  <r>
    <x v="45"/>
    <x v="2"/>
    <m/>
    <s v="UNCFML0007  Wash in school et ATPC+E"/>
    <s v="Mali"/>
    <s v="UNCFML0007"/>
    <s v="No CARE member related to the project/initiative"/>
    <s v="Other"/>
    <m/>
    <s v="UNICEF"/>
    <m/>
    <m/>
    <m/>
    <m/>
    <m/>
    <m/>
    <m/>
    <m/>
    <m/>
    <m/>
    <m/>
    <m/>
    <m/>
    <m/>
    <m/>
    <m/>
    <m/>
    <m/>
    <m/>
    <m/>
    <m/>
    <m/>
    <m/>
    <m/>
    <m/>
    <m/>
    <m/>
    <m/>
    <m/>
    <m/>
    <m/>
    <m/>
    <m/>
    <m/>
    <m/>
    <m/>
    <m/>
    <m/>
    <m/>
    <m/>
    <m/>
    <m/>
    <m/>
    <m/>
    <m/>
    <d v="2015-10-01T00:00:00"/>
    <d v="2017-01-31T00:00:00"/>
    <m/>
    <s v="Development Other"/>
    <n v="542797.4"/>
    <s v="Sidibé Kadidia  Cissé"/>
    <s v="Chef de Programme"/>
    <s v="SidibeKadidia.Cisse@care.org"/>
    <s v="Joyce Sepenoo"/>
    <s v="ACD, Program"/>
    <s v="Joyce.Sepenoo@care.org"/>
    <s v="NO"/>
    <s v="YES"/>
    <s v="NO"/>
    <s v="Les communautés et leurs écoles vivant dans des zones rurales, urbaines défavorisées, atteintes par des crises ou de vulnerabilité nutritionnelle ont un accès à l'eau potable, l'assainissement de base et l'éducation à l'hygiène de manière perenne et que les filles et les garçons des localités d'intervention ont accès à un environnement d'étude favorable à l'amélioration des résultats en matière d'éducation et de santé,"/>
    <s v="Sub-National"/>
    <s v="Le projet couvre la region de Mopti, le cercle de Bandiagara et les communes de Bandiagara, Doucombo, Wadouba et Metoumo,"/>
    <s v="Le projet vise à donner une opportunité d’accès aux élèves, aux enseignants, et aux communautés de meilleures conditions d'Hygiène et d'Assainissement pour un changement de comportement  et contribuer à l'amélioration de la santé et la protection des élèves dans un environnement sain pour leur apprentissage. "/>
    <n v="21809"/>
    <n v="20453"/>
    <n v="42262"/>
    <n v="18714"/>
    <n v="17650"/>
    <n v="36364"/>
    <s v="Les participants directs du projet sont les élèves des Ecoles Fondamentales 1er et 2ème Cycle, qui ont été renforcés par le Projet en terme d'Eau et Hygiène et d'assainissement, mais aussi les communautés en matière d'ATPC et ayant fait directement des réalisations en matière d'ATPC.. Les Bénéficiaires indirects sont considérés comme le reste de la communauté , par effet de sensibilisation, d'information et d'observation, apprécient l'initiative et peuvent avec le temps changer de comportement au sein de la commuanuté en matière d'Hygiène et Assainissement."/>
    <m/>
    <m/>
    <m/>
    <m/>
    <m/>
    <m/>
    <m/>
    <m/>
    <m/>
    <m/>
    <m/>
    <m/>
    <m/>
    <m/>
    <m/>
    <m/>
    <m/>
    <m/>
    <m/>
    <m/>
    <m/>
    <m/>
    <m/>
    <m/>
    <m/>
    <m/>
    <m/>
    <m/>
    <m/>
    <m/>
    <m/>
    <m/>
    <m/>
    <m/>
    <m/>
    <m/>
    <m/>
    <m/>
    <m/>
    <m/>
    <m/>
    <m/>
    <m/>
    <m/>
    <m/>
    <m/>
    <m/>
    <m/>
    <m/>
    <m/>
    <m/>
    <m/>
    <m/>
    <m/>
    <m/>
    <m/>
    <m/>
    <m/>
    <m/>
    <m/>
    <n v="20167"/>
    <n v="18137"/>
    <n v="38304"/>
    <n v="20356"/>
    <n v="19966"/>
    <n v="40322"/>
    <s v="NO"/>
    <m/>
    <m/>
    <m/>
    <s v="NO"/>
    <m/>
    <m/>
    <m/>
    <s v="NO"/>
    <m/>
    <m/>
    <m/>
    <s v="NO"/>
    <m/>
    <m/>
    <m/>
    <s v="NO"/>
    <m/>
    <m/>
    <m/>
    <s v="YES"/>
    <n v="38304"/>
    <n v="0.52600000000000002"/>
    <n v="40322"/>
    <s v="NO"/>
    <m/>
    <m/>
    <m/>
    <s v="YES"/>
    <n v="38304"/>
    <n v="0.52600000000000002"/>
    <n v="40323"/>
    <s v="YES"/>
    <n v="38304"/>
    <n v="0.52600000000000002"/>
    <n v="40323"/>
    <s v="YES"/>
    <n v="38304"/>
    <n v="0.52600000000000002"/>
    <n v="40323"/>
    <s v="YES"/>
    <n v="38304"/>
    <n v="0.52600000000000002"/>
    <n v="40323"/>
    <s v="NO"/>
    <m/>
    <m/>
    <m/>
    <s v="YES"/>
    <n v="840"/>
    <n v="0.248"/>
    <n v="77786"/>
    <s v="NO"/>
    <m/>
    <m/>
    <m/>
    <s v="YES"/>
    <n v="38304"/>
    <n v="0.52600000000000002"/>
    <n v="40323"/>
    <s v="YES"/>
    <n v="665"/>
    <n v="1.7000000000000001E-2"/>
    <n v="40523"/>
    <m/>
    <m/>
    <m/>
    <m/>
    <m/>
    <s v="NO"/>
    <m/>
    <m/>
    <s v="NO"/>
    <s v="NO"/>
    <m/>
    <m/>
    <s v="Les seules évaluations restent dans le cadre de l'ATPC avec la DRACPN et pour la post certification.. Ce Projet WASH ATPC+E est une continuations anciens Projets WASH"/>
    <x v="1"/>
    <s v="NO"/>
    <s v="YES"/>
    <s v="YES"/>
    <s v="YES"/>
    <s v="YES"/>
    <s v="YES"/>
    <s v="NO"/>
    <m/>
    <m/>
    <x v="1"/>
    <s v="Les Latrines Géographiquement séparées filles et garçons en milieu scolaire, les techniques de construction des latrines sur différents terrains (argileux, sabloneux, et rocheux) sont des innovations pour le projet."/>
    <x v="1"/>
    <s v="Le Projet s'intègre dans la Stratégie Nationnale de l'Eau  Hygiène et d'Assainissement "/>
    <x v="1"/>
    <x v="0"/>
    <s v="YES"/>
    <x v="0"/>
    <x v="0"/>
    <x v="0"/>
    <x v="0"/>
    <n v="4"/>
    <x v="1"/>
    <x v="1"/>
    <x v="1"/>
    <x v="1"/>
    <x v="1"/>
    <x v="1"/>
    <n v="4"/>
    <x v="1"/>
    <x v="1"/>
    <x v="1"/>
    <x v="1"/>
    <x v="1"/>
    <n v="3"/>
    <x v="2"/>
    <x v="2"/>
    <n v="7"/>
    <s v="National government"/>
    <s v="Local alliance(s)/Platform(s)/Network(s) of  NGOs/CSOs"/>
    <s v="Private sector"/>
    <x v="2"/>
    <s v="L'implication de toutes les couches sociales dans le processus (orientation, Formation, dotation en Kits d'Hygiène..) de WASH et ATPC jusqu'à la certification des villages. La médiatisation de ces activités contribuait à sensibiser la société civile dans sa complexité et dans sa diversité."/>
    <s v="Le projet n'a pas connu de changement durant l'année fiscale."/>
    <s v="1. L'utilisation de l'approche ATPC (Assainissement Total Piloté par la Communauté) aux niveaux de la communauté et de l'école reste une bonne stratégie de changement de comportement et de promotion de l'hygiène et de l'assainissement (à travers la contruction et la fréquentation des latrines, l'achat des kits d'hygiène et le renouvellement des consommables)."/>
    <s v="2. La bonne gouvernance dans la gestion et la maintenance des équipements WASH pour une durabilité des actinons WASH  et la mise en place des Comité d'Eau, Hygiène et Assainissement dans les Communautés"/>
    <s v="3.  Le Suivi post-certification des communautés qui consiste à effectuer au moins une visite hebdomadaire dans chaque localité certifiée pendant toute la durée de la phase post-FDAL "/>
    <s v="L’appropriation du lavage des mains par la quasi-totalité des élèves dans les écoles et le changement de comportement visible dans les communautés encadrées par le Projet. "/>
    <s v="L'implication et la participation de tous les acteurs et des bénéficiaires directs dépuis la conception du projet,  y compris les adolescentes/adolescents qui se sont déjà appopriés le projet  "/>
    <s v="Le grand défi reste la consolidation des acquis et le suivi par la DRACPN et les Services déconcentrés du Ministère de l'éducation après la clôture du Projet.   "/>
    <s v="WASH est un Projet de santé publique et necessite une couverture totale de la région de Mopti. L'ATPC reste confronté à certaines réalités pédologiques et soit par le manque d'eau dans certaines zones (Bandiagara ) et le caractère inondé de certaines d'autres zones (zones inondées). Le suivi de la post FDaL reste également un défi  à surmonter.. La pérénisation des acquis en matière d'ATPC"/>
    <s v="Rapport de Clôture du Projet "/>
    <n v="38304"/>
    <n v="40322"/>
    <n v="1.0526837928153718"/>
    <n v="0.52649853801169588"/>
    <n v="0.50483606963940286"/>
    <n v="20167"/>
    <n v="20356"/>
    <s v=""/>
    <n v="0"/>
    <n v="0"/>
    <s v=""/>
    <n v="1"/>
    <n v="38304"/>
    <n v="40323"/>
    <n v="1.0527098997493733"/>
    <s v=""/>
    <n v="0"/>
    <n v="0"/>
    <s v=""/>
    <n v="1"/>
    <n v="38304"/>
    <n v="40323"/>
    <n v="1.0527098997493733"/>
    <n v="1"/>
    <n v="665"/>
    <n v="40523"/>
    <n v="60.93684210526316"/>
    <s v="2. Sensitive"/>
    <s v="2. Accommodating"/>
    <s v="2. Sensitive"/>
    <s v="It tested new ways for fighting poverty, but did not measure results of innovation"/>
    <s v="Moderate advocacy"/>
    <s v="It linked and worked with strategic alliances and partners to take tested and effective solutions to scale"/>
  </r>
  <r>
    <x v="45"/>
    <x v="2"/>
    <m/>
    <s v="WaSA au Mali (Warer Smart in Agricuture)"/>
    <s v="Mali"/>
    <s v="US1NR"/>
    <s v="CARE USA"/>
    <s v="Foundation"/>
    <s v="Other"/>
    <s v="Coca-Cola Foundation"/>
    <s v="US1N5"/>
    <s v="CARE USA"/>
    <s v="Foundation"/>
    <s v="Other"/>
    <s v="Sall Family Foundation"/>
    <m/>
    <m/>
    <m/>
    <m/>
    <m/>
    <m/>
    <m/>
    <m/>
    <m/>
    <m/>
    <m/>
    <m/>
    <m/>
    <m/>
    <m/>
    <m/>
    <m/>
    <m/>
    <m/>
    <m/>
    <m/>
    <m/>
    <m/>
    <m/>
    <m/>
    <m/>
    <m/>
    <m/>
    <m/>
    <m/>
    <m/>
    <m/>
    <m/>
    <m/>
    <m/>
    <m/>
    <m/>
    <m/>
    <m/>
    <m/>
    <d v="2016-05-01T00:00:00"/>
    <d v="2019-05-31T00:00:00"/>
    <m/>
    <s v="Development Food &amp; Nutrition Security and Resilience to Climate Change"/>
    <n v="344266.32"/>
    <s v="Dramane SIDIBE"/>
    <s v="Team Leaders Sécurité Alimentaire, nutritionnelle et Adaptation aux Changements Climatiques  "/>
    <s v="Dramane.Sidibe@care.org"/>
    <s v="Mamadou Fotigui COULIBALY"/>
    <s v="Chef de Projet"/>
    <s v="Mamadou.Coulibaly@care.org"/>
    <s v="NO"/>
    <s v="YES"/>
    <s v="NO"/>
    <s v="Améliorer la capacité des petits producteurs à intégrer la gestion de la fertilité des sols et de leau pour accroître la productivité agricole et amélioré la conservation des ressources naturelles"/>
    <s v="Multiple countries"/>
    <s v="Le projet intervient dans deux (02) Régions: Ségou  et Mopti, 03 cercles dont 03 dans la région de Segou (Ségou, et Macina ) et 01 dans la région de Mopti  ( Bandiagara) : Les communes concernées sont : Folomana, Diédougou, Tongué ;Fatiné, kaminadou, Cinzana, Dandoli, Dourou, Diamanati, Kendié."/>
    <s v="Les femmes âgées de 15 à 49 ans ayant des revenus de moins de $1,25/j/personne ; Des enfants âgés de 0 à 59 mois de ces femmes."/>
    <n v="1040"/>
    <n v="1530"/>
    <n v="2570"/>
    <n v="18120"/>
    <n v="19590"/>
    <n v="37710"/>
    <s v="Au départ 3 sites de démonstration ont été installés pour être répliqué Sur 16 sites (villages). Pour la réplication 80 relais seront formés en raison de 5 par village. Dans  chaque village les relais formerés encadrent 90 participants. Pour la campagne hivernale, on n'aura 90 multiplier par 16 plus les 80 relais formés soit 1530 bénéficiaires. Pour la canpagne maraichère au lieu de 90 participants par village, il y a 60 participants par village. Ceux ci donne au total pour la campagne maraichère 60 x 16 + 80=   1040 bénéficiaires directs. Pour les deux campagnes de production. les participants indirects sont ceux qui sont formés par les producteurs. Chaque participants direct (WaSA) forme  à son tour 3 autres producteurs, ensuite d'autres participants indirects concernes les femmes et les hommes adoptzants les pratiques WaSA à partir des émissions radiophonques. le nombre de participantes indirectes est égal 1040 x 3 + 15000 = 18120 et le nombre de participants ndirects est égal 1530 x3 + 15000= 19590. Un homme et une femme de 15000 ménages sont touchés par les émission radios."/>
    <m/>
    <m/>
    <m/>
    <m/>
    <m/>
    <m/>
    <m/>
    <m/>
    <m/>
    <m/>
    <m/>
    <m/>
    <m/>
    <m/>
    <m/>
    <m/>
    <m/>
    <m/>
    <m/>
    <m/>
    <m/>
    <m/>
    <m/>
    <m/>
    <m/>
    <m/>
    <m/>
    <m/>
    <m/>
    <m/>
    <m/>
    <m/>
    <m/>
    <m/>
    <m/>
    <m/>
    <m/>
    <m/>
    <m/>
    <m/>
    <m/>
    <m/>
    <m/>
    <m/>
    <m/>
    <m/>
    <m/>
    <m/>
    <m/>
    <m/>
    <m/>
    <m/>
    <m/>
    <m/>
    <m/>
    <m/>
    <m/>
    <m/>
    <m/>
    <m/>
    <n v="672"/>
    <n v="108"/>
    <n v="780"/>
    <n v="7016"/>
    <n v="5324"/>
    <n v="12340"/>
    <s v="YES"/>
    <n v="1008"/>
    <n v="0.92"/>
    <n v="2880"/>
    <s v="YES"/>
    <n v="1008"/>
    <n v="0.92"/>
    <n v="2880"/>
    <s v="NO"/>
    <m/>
    <m/>
    <m/>
    <s v="NO"/>
    <m/>
    <m/>
    <m/>
    <s v="YES"/>
    <n v="0"/>
    <n v="0"/>
    <n v="0"/>
    <s v="NO"/>
    <m/>
    <m/>
    <m/>
    <s v="YES"/>
    <n v="2140"/>
    <m/>
    <n v="80238"/>
    <s v="YES"/>
    <n v="4423"/>
    <n v="0.44"/>
    <n v="18073"/>
    <s v="YES"/>
    <n v="4056"/>
    <n v="0.72"/>
    <n v="17706"/>
    <s v="NO"/>
    <m/>
    <m/>
    <m/>
    <s v="YES"/>
    <m/>
    <m/>
    <m/>
    <s v="YES"/>
    <m/>
    <m/>
    <m/>
    <s v="YES"/>
    <n v="4056"/>
    <n v="0.72"/>
    <n v="17706"/>
    <s v="NO"/>
    <m/>
    <m/>
    <m/>
    <s v="NO"/>
    <m/>
    <m/>
    <m/>
    <s v="YES"/>
    <n v="2779"/>
    <n v="0.99"/>
    <n v="9808"/>
    <s v="RAS"/>
    <s v="NO"/>
    <m/>
    <m/>
    <m/>
    <s v="NO"/>
    <m/>
    <m/>
    <s v="NO"/>
    <m/>
    <m/>
    <m/>
    <s v="Le projet WaSa utlise les données de l'évaluation finale initiale de Nyeleni comme données de base. Par ailleurs, pour établir la situation de référence sur la capacité de retention de l'eau et la fertilté du sol, le proprojet a conctrualsisé avec la recherche pour faire des analyses pédologques. Ce travail est en cours."/>
    <x v="1"/>
    <s v="NO"/>
    <s v="NO"/>
    <s v="YES"/>
    <s v="NO"/>
    <s v="NO"/>
    <s v="YES"/>
    <s v="NO"/>
    <s v="NO"/>
    <m/>
    <x v="2"/>
    <s v="Mise en oevres des approches telles que le progress Marqueur, le PPT etc"/>
    <x v="1"/>
    <s v="Existance de 03 ONGs partenaires de mise en uvre sur le terrain et l'implication des services techniques de l'Etat, des elus communaux, les Leaders communautaires etc;"/>
    <x v="1"/>
    <x v="0"/>
    <s v="YES"/>
    <x v="0"/>
    <x v="0"/>
    <x v="0"/>
    <x v="0"/>
    <n v="4"/>
    <x v="1"/>
    <x v="1"/>
    <x v="1"/>
    <x v="1"/>
    <x v="1"/>
    <x v="1"/>
    <n v="4"/>
    <x v="1"/>
    <x v="1"/>
    <x v="1"/>
    <x v="1"/>
    <x v="1"/>
    <n v="3"/>
    <x v="3"/>
    <x v="3"/>
    <n v="7"/>
    <s v="Local government(s)"/>
    <s v="Local NGO(s)/CSO(s)"/>
    <s v="Media or journalist network(s)"/>
    <x v="0"/>
    <s v="Afin d'améliorer les connaissances, les compétences et les relations entre les sexes, des ateliers de renforcement des capacités ont été organisés sur les VBG et ses conséquences"/>
    <m/>
    <s v="L'approche champ école paysan pour la mise à échelle à travers la formation en cascade et les émissions radiophoniques"/>
    <s v="La collaboration avec l'IER pour apporter les preuves de l'impact des pratiques sur l'amélioration de la fertlté du sol et sa capacité de retention en eau."/>
    <s v="la collaboration avec les services techniques de l'agriculture et des euax et forêt pour l'adoption et la durabilité des bonnes pratiques vulgarisées."/>
    <s v="La restauration du sol à travers les pratiques de cordons pierreux, zâi  a permis l'extension de terres cultivables des femmes"/>
    <s v="Retard dans le démarrage des activités  du projet pour les campagnes de production   Insuffisance de fonds pour la réalisation des points deau  dans certains villages pour les activités maraichères Insuffisance de matière première dans certains villages pour la préparation du compost"/>
    <s v="Plusieurs producteurs sont déjà familiarisés à certaines  pratiques WaSA. Ce groupe de producteurs constitue un bon créneau pour accélérer la mise à échelle des  activités du projet"/>
    <s v="Le projet WaSa a commencé en mai 2016 pour une année. L'exetension de la durée à 3 ans est intervenue au cours de l'exécuton de la prmière année du projet. Il est fnancé par 2 bailleurs de fonds dont le cycle de financement n'est pas le même. C'est un projet à chéval sur le dévellopement et la recherche acton."/>
    <s v="Rapport annuel"/>
    <n v="780"/>
    <n v="12340"/>
    <n v="15.820512820512821"/>
    <n v="0.86153846153846159"/>
    <n v="0.56855753646677476"/>
    <n v="672"/>
    <n v="7016"/>
    <s v=""/>
    <n v="0"/>
    <n v="0"/>
    <s v=""/>
    <n v="1"/>
    <n v="2140"/>
    <n v="80238"/>
    <n v="37.494392523364489"/>
    <s v=""/>
    <n v="0"/>
    <n v="0"/>
    <s v=""/>
    <n v="1"/>
    <n v="4423"/>
    <n v="18073"/>
    <n v="4.0861406285326698"/>
    <n v="1"/>
    <n v="2779"/>
    <n v="9808"/>
    <n v="3.5293270960777257"/>
    <s v="2. Sensitive"/>
    <s v="2. Accommodating"/>
    <s v="2. Sensitive"/>
    <s v="It tested new ways for fighting poverty and measured results of innovation"/>
    <s v="Moderate advocacy"/>
    <s v="It linked and worked with strategic alliances and partners to take tested and effective solutions to scale"/>
  </r>
  <r>
    <x v="46"/>
    <x v="4"/>
    <m/>
    <s v="INICIATIVA IGS LAC - Programa regional de Trabajo Digno"/>
    <s v="Mexico"/>
    <m/>
    <s v="CARE USA"/>
    <s v="Other"/>
    <s v="Other"/>
    <m/>
    <m/>
    <m/>
    <m/>
    <m/>
    <m/>
    <m/>
    <m/>
    <m/>
    <m/>
    <m/>
    <m/>
    <m/>
    <m/>
    <m/>
    <m/>
    <m/>
    <m/>
    <m/>
    <m/>
    <m/>
    <m/>
    <m/>
    <m/>
    <m/>
    <m/>
    <m/>
    <m/>
    <m/>
    <m/>
    <m/>
    <m/>
    <m/>
    <m/>
    <m/>
    <m/>
    <m/>
    <m/>
    <m/>
    <m/>
    <m/>
    <m/>
    <m/>
    <m/>
    <m/>
    <m/>
    <d v="2016-07-01T00:00:00"/>
    <d v="2030-12-01T00:00:00"/>
    <m/>
    <s v="Development Other"/>
    <m/>
    <s v="Claudia Sanchez"/>
    <s v="Regional Coordinator Program Quality &amp; Impact"/>
    <s v="Claudia.Sanchez@care.org"/>
    <s v="Viviana Osorio"/>
    <s v="Regional Advocacy Advisor LAC"/>
    <s v="Viviana.Osorio@care.org"/>
    <s v="NO"/>
    <s v="YES"/>
    <s v="NO"/>
    <s v="Al 2030, mujeres trabajadoras del hogar de 6 paises en LAC  (Colombia, Mexico, Ecuador, Guatemala, Honduras y Brasil),  conocen, ejercen y demandan sus derechos humanos y laborales, impulsando un sistema de protección social que garantiza una vida digna y libre de violencia. La iniciativa gestiona un conjunto de estrategias enfocados en la creacion de alianzas y asocios nacionales y regionales para la incidencia politica para la ratificacion del convenio 189 y su implementacion en politica publica en cada pais, la comunicacion para el cambio de comportamiento de las y los empleadores, el aprendizaje y la gestion de conocimiento entre paises, el fortaleciento de las organizaciones de trabajadoras del hogar, que permitan lograr que 10 millones de trabajadoras del hogar al 2030 logren acceso a salario justo, acceso a seguridad social y acceso a un contrato digno de trabajo. Las condiciones en cada pais son distintas para alcanzar estas metas, por los cual los avances y estrategia por pais difieren segun los contextos y realidades especificos."/>
    <s v="Regional"/>
    <s v="Ecuador, Colombia, Guatemala, Honduras, Mexico y Brasil"/>
    <s v="Trabajadoras del Hogar remuneradas"/>
    <m/>
    <m/>
    <m/>
    <m/>
    <m/>
    <m/>
    <s v="Participantes directos&gt; Numero de Trabajadoras del hogar afiliadas a las organizaciones, Numero de tomadores de decision de Gobiernos en 6 paises (Congresistas, Ministros, otros politicos), numero de representantes de organizaciones socias afines a la problematica de los derechos de las trabajadoras del hogar, Numero de influenciadores / lideres de opinion sensibilizados, numero de personas que participan en actividades desarrolladas por con socios y aliados en favor de los derechos de las trabajadoras. Participantes indirectos&gt; Numero de personas (empleadores) sensibilizadas por campañas comunicacionales en favor de los derechos de las trabajadoras, Numero de trabajadoras del hogar sensibilizadas en sus derechos por alcance indirecto de otras trabajadoras del hogar, numero de trabajadoras del hogar que logran tener al menos 1 de 3 indicadores considerados: acceso a contrato de trabajo, acceso a seguridad social, acceso a un salario justo en los 6 paises en los que se desarrolla la iniciativa._x000a_NOTA: Todos los participantes totales de la IGS han sido reportados desde Ecuador. Para evitar doble conteo, este formulario no incluye cifras especificas para Mexico."/>
    <m/>
    <m/>
    <m/>
    <m/>
    <m/>
    <m/>
    <m/>
    <m/>
    <m/>
    <m/>
    <m/>
    <m/>
    <m/>
    <m/>
    <m/>
    <m/>
    <m/>
    <m/>
    <m/>
    <m/>
    <m/>
    <m/>
    <m/>
    <m/>
    <m/>
    <m/>
    <m/>
    <m/>
    <m/>
    <m/>
    <m/>
    <m/>
    <m/>
    <m/>
    <m/>
    <m/>
    <m/>
    <m/>
    <m/>
    <m/>
    <m/>
    <m/>
    <m/>
    <m/>
    <m/>
    <m/>
    <m/>
    <m/>
    <m/>
    <m/>
    <m/>
    <m/>
    <m/>
    <m/>
    <m/>
    <m/>
    <m/>
    <m/>
    <m/>
    <m/>
    <m/>
    <m/>
    <m/>
    <m/>
    <m/>
    <m/>
    <m/>
    <m/>
    <m/>
    <m/>
    <m/>
    <m/>
    <m/>
    <m/>
    <m/>
    <m/>
    <m/>
    <m/>
    <m/>
    <m/>
    <m/>
    <m/>
    <m/>
    <m/>
    <m/>
    <m/>
    <m/>
    <m/>
    <m/>
    <m/>
    <m/>
    <m/>
    <m/>
    <m/>
    <s v="YES"/>
    <m/>
    <m/>
    <m/>
    <s v="YES"/>
    <m/>
    <m/>
    <m/>
    <m/>
    <m/>
    <m/>
    <m/>
    <m/>
    <m/>
    <m/>
    <m/>
    <m/>
    <m/>
    <m/>
    <m/>
    <s v="YES"/>
    <m/>
    <m/>
    <m/>
    <m/>
    <m/>
    <m/>
    <m/>
    <m/>
    <m/>
    <m/>
    <m/>
    <s v="YES"/>
    <m/>
    <m/>
    <m/>
    <m/>
    <m/>
    <m/>
    <m/>
    <m/>
    <s v="NO"/>
    <m/>
    <m/>
    <m/>
    <s v="YES"/>
    <s v="June"/>
    <n v="2018"/>
    <s v="1) Desarrollar la linea de base por pais. 2) Desarrollar Encuestas de percepcion y cambio de actitudes y practicas (CAP) en diferentes actores involucrados en la inicitiva, para evaluar nivel de sensibilizacion e involucramiento respecto a la problematica de las trabajadoras del hogar"/>
    <x v="1"/>
    <s v="NO"/>
    <s v="NO"/>
    <s v="YES"/>
    <s v="YES"/>
    <s v="YES"/>
    <s v="YES"/>
    <s v="NO"/>
    <s v="YES"/>
    <s v="agenda politica comun entre org regionales de trabajadoras del hogar asi como entre las org en Colombia. Acompañamiento al fortalecimiento de las organizaciones de trabajadoras del hogar para el desarrollo de agendas de incidencia."/>
    <x v="1"/>
    <s v="El apoyo a las organizaciones de trabajadoras domésticas de México y Colombia para la expansión de sus afiliadas y la formación de los liderazgos femeninos en las organizaciones, así como la impementación de acciones de comunicación pública para sensibilizar a la sociedad civil sobre la problemetica y la falta de derechos de las trabajadoras del hogar. Se espera realizar una evaluacion en af18 para medir el cambio de actitudes y practicas sobre eun conjunto de actores involucrados en la iniciativa."/>
    <x v="1"/>
    <s v="En el primer año se han conformado las alianzas estratégicas bajo prioridades y enfoques comunes de actuación, vinculando a las organizaciones nacionales de trabajadoras del hogar con las organizaciones regionales en la propuesta de agendas y planes de accion comunes. Recordar que esta iniciativa se contruye sobre una primera fase que abarco acciones entre el 2010 al 2015 en 3 paises: Bolivia, Peru y Ecuador. Las lecciones aprendidas de esta experiencia, son las bases del diseño de la estrategia 2017 - 2030 en los 6 paises previstos para esta fase: Ecuador, Honduras, Guatemala, Colombia, Mexico y Brasil. Se ha trabajado en el acercamiento de las dos redes latinoamericanas de trabajo domestico *FITH y CONLACTRAO, asi como con la OIT. El acercamiento con Brasil se ha dado en los ultimos meses, se esta buscando movilizar nuevos recursos para poder afianzar un proyecto mayor con las organizaciones en Brasil (con apoyo de CARE Francia)"/>
    <x v="1"/>
    <x v="1"/>
    <s v="YES"/>
    <x v="0"/>
    <x v="0"/>
    <x v="1"/>
    <x v="4"/>
    <n v="3"/>
    <x v="2"/>
    <x v="1"/>
    <x v="1"/>
    <x v="1"/>
    <x v="1"/>
    <x v="2"/>
    <n v="4"/>
    <x v="1"/>
    <x v="2"/>
    <x v="1"/>
    <x v="2"/>
    <x v="3"/>
    <n v="1"/>
    <x v="2"/>
    <x v="2"/>
    <m/>
    <s v="Labor union(s)"/>
    <s v="Local NGO(s)/CSO(s)"/>
    <s v="Multilateral organization(s)"/>
    <x v="0"/>
    <s v="El apoyo a las organizaciones de trabajadoras domésticas de Honduras, Guatemala, Ecuador, México y Colombia para la expansión de sus afiliadas y la formación de los liderazgos femeninos en las organizaciones, así como la impementación de acciones de comunicación pública para sensibilizar a la sociedad a cerca del valor del trabajo doméstico"/>
    <s v="La inicitiva tuvo mucho interes en consolidar las acciones de fortalecimiento del nivel regional de las organizaciones de trabajadoras del hogar, lo mismo establacer las alianzas con paises de no presencia de CARE como los son Mexico y Colombia, donde se han desarrollado los asocios con las organizaciones y sindicatos de trabajadoras en cada pais, asi como con organizaciones afines de fortalecimiento organizacional, ademas de continuar con los asocios con las organizaciones en Guatemala, Ecuador y Honduras. Un primer a;o de sentar las bases del asocio en 6 paises, lo mismo consolidar los asocios con OIT en el nivel regional fueron las prioridades del equipo en este primer año. Otro tema fue el apoyo a las campañas de sensibilizacion y eventos publicos (foros abiertos) dirigidas a la sociedad civil sobre la situacion de las trabajadoras del hogar, en especial en Mexico, Guatemala, Colombia y Honduras. Un tema importante ha sido diseñar un conjunto de indicadores de resultado que permitan consolidar los avances de la incidencia politica en cada pais. Si bien en el año 1 estos indicadores estuvieron mas concentrados en la generacion de redes y asocios, en el año 2 se proponen nuevas metas como son definir cambios en las politicas publicas existentes, formar plataformas de incidencia por pais, incrementar el numero de afiliadas a las organizaciones, desarrollar mayores investigaciones sobre la situacion de las trabajadoras en cada pais que sirvan como evidencia para la incidencia politica, involucrar a mayor numero de congresistas y actores de gobierno al movimiento por los derechos de las trabajadoras, entre otros.....ello con el fin de trabajar los 2 proximos años en los cambios necesarios en las leyes y la normativa existente que puedan generar las condiciones para el cumplimiento de los 3 indicadores propuestos: incremento de salario basico, incremento de acceso a seguridad social, incremento en numerode contratos. se esera que al 2020 al menos 5 millones de trabajadoras sean alcanzadas por estos beneficios en los 6 paises en los que trabaja la iniciativa."/>
    <s v="El poder catalizador de las alianzas es un modelo de actuación vital para el logro de los objetivos del programa, en especial considerando la estrategia multidimensional expresada en nuestra teoría de cambio para transformar las condiciones laborales y la vida de las trabajadoras del hogar. Además de hace posible la mayor movilización de recursos, la experiencia y el conocimiento de los diversos actores es el activo mas valioso que las alianzas estratégicas permiten capitalizar para el desarrollo de la IGS.                                                                                                                                                                                                                                             Adicionalmente, la unidad y la articulación de las organizaciones de las trabajadoras domésticas es el enfoque más exitoso para la representación política, ya que incrementa la visibilidad política, el poder de negociación de las mismas y propicia agendas políticas menos diversas. La apuesta del Programa es que las organizaciones existentes amplíen sus bases, desarrollen sus liderazgos, sean sostenibles y avancen en redes y alianzas para su mayor capacidad de incidencia."/>
    <s v="El desarrollo de un nuevo modelo de presencia de CARE para expandir la acción a países en los cuales no se cuenta con oficina, ha sido exitoso en el primer año del proyecto. De esta manera, en México y Colombia, con la actuación con socios estratégicos y los sindicatos más fuertes de trabajadoras domésticas, los objetivos del programa avanzan de manera exitosa e incluso generando experiencias exitosas para replicar en otros países de la región."/>
    <s v="El social business aplicado a las organizaciones de trabajadoras domésticas  hace possible la formalización laboral, la profesionalización y cualificación de las trabajadoras. Asimismo, tiene importantes efectos en la organización sindical, como su sostenibilidad financiera, la ampliación de sus bases, el ejercicio de la negociación colectiva, entre otros. Tras su sistematización, será un modelo susceptible de ser replicado"/>
    <s v="Es fundamental que los procesos de diseño y la implementación de las estrategias de incidencia y de comunicación pública se articulen a los procesos de este tipo que ya adelantan las organizaciones en sus respetivos países, reconociendo su conocimiento, experiencia y comprensión del contexto. Desde este reconocimiento, nuestras estrategias deben recoger las prioridades comunes, potenciar las capacidades de los actores y proporcionar una visión del panorama político regional y global para una articulación colectiva en propósitos comunes.  De otro lado, el proceso de conformación de alianzas y asocios hace posible ver con mayor claridad las necesidades de la región a partir del conocimiento de lo que los múltiples actores han adelantado para promover los derechos d elas trabjaadoras domésticas."/>
    <s v="La conformación de plataformas a nivel nacional y regional determinarán formas de actuación y roles distintos para CARE, dependiendo del modelo de presencia y la relación con los socios y aliados en cada país. En el caso de los países donde tenemos oficina, es el equipo nacional quien tiene la iniciativa y el equipo regional apoya sus decisiones; en el caso de los países donde tenemos asocios fuertes, apoyaremos la constitución de las plataformas brindando soporte técnico, político y financiero. En el nivel regional se privilegiará nuestro rol articulador y dinamizador de procesos, pues esta es una gestión que no está siendo realizada por otros actores y es el valor agregado del trabajo que CARE puede realizar y posicionarse desde este espacio en la temática y en el contexto latinoamericano."/>
    <s v="Se requiere generar espacios de diálogo, intercambio y trabajo conjunto entre FITH y CONLACTRAHO, tomando en cuenta los ritmos y situación organizativa de cada una y aportando técnica y políticamente para su consolidación como expresión regional de las trabajadoras del hogar. Esto considerando además la improtancia de traducir en estrategias y actividades conjuntas el acuerdo de articulación para la acción en América Latina."/>
    <s v="EL FORMULARIO NO INCLUYE DATA DE PRESUPUESTO NI PARTICIPANTES PORQUE TODOS ESTAN REPORTADOS BAJO EL CONSOLIDADO REPORTADO POR ECUADOR_x000a_La gestión del conocimiento y la experiencia adquirida (ver sistematización de la experiencia del Programa Regional de Trabajo Digno 2009-2017), ha permitido avanzar más rápido en la relación con las organizaciones y consolidación de acuerdos de confianza y trabajo conjunto._x000a_Los procesos de formación que impulsamos al considerar a los seres humanos como un todo integral, potencia las capacidades individuales y colectivas y aporta a la conformación de liderazgos de nuevo tipo, que enfrentan desde una práctica distinta, a las prácticas de los sindicatos tradicionales jerárquicos, patriarcales y que invisibilizan el trabajo doméstico._x000a_La necesidad de contar con indicadores de resultado anual para dar cuenta de los logros y resultados de incidencia de manera cuantitativa y cualitativa. Se ha trabajado una matriz de indicadores en este sentido que han sido completados al final del primer año por los 5 paises en los que se ha implementado la iniciative este año. Se han propuesto un conjunto nuevo de indicadores de resultado de incidencia para el año 2 como parte del sistema de MyE escalonado (o en fases) diseñado para la iniciativa. Se propone monitorear estos avances de manera trimestral en el AF18."/>
    <s v="i) Marco lógico; ii) Informe anual regional y por país. iii) sistematización de la experiencia del Programa Regional de Trabajo Digno 2009-2017) iv) Video Trabajadoras del Hogar:  https://www.dropbox.com/s/b9loiehxnohuknc/CARE_WORKSHOP_1080P_h264_FINAL_Spanish.mov?dl=0"/>
    <n v="0"/>
    <n v="0"/>
    <s v=""/>
    <s v=""/>
    <s v=""/>
    <n v="0"/>
    <n v="0"/>
    <s v=""/>
    <n v="0"/>
    <n v="0"/>
    <s v=""/>
    <s v=""/>
    <n v="0"/>
    <n v="0"/>
    <s v=""/>
    <s v=""/>
    <n v="0"/>
    <n v="0"/>
    <s v=""/>
    <n v="1"/>
    <n v="0"/>
    <n v="0"/>
    <s v=""/>
    <n v="1"/>
    <n v="0"/>
    <n v="0"/>
    <s v=""/>
    <s v="3. Responsive"/>
    <s v="4. Transformational"/>
    <s v="1. Neutral"/>
    <s v="It tested new ways for fighting poverty, but did not measure results of innovation"/>
    <s v="Moderate advocacy"/>
    <s v="It linked and worked with strategic alliances and partners to take tested and effective solutions to scale"/>
  </r>
  <r>
    <x v="47"/>
    <x v="1"/>
    <n v="3140"/>
    <s v="For Active Inclusion and Rights of Roma Women in the Western Balkans II (FAIR II)"/>
    <s v="Montenegro"/>
    <s v="BIH131, BA331"/>
    <s v="CARE Österreich"/>
    <s v="Government"/>
    <s v="Government - Austria"/>
    <s v="Austrian Development Cooperation"/>
    <m/>
    <m/>
    <m/>
    <m/>
    <m/>
    <m/>
    <m/>
    <m/>
    <m/>
    <m/>
    <m/>
    <m/>
    <m/>
    <m/>
    <m/>
    <m/>
    <m/>
    <m/>
    <m/>
    <m/>
    <m/>
    <m/>
    <m/>
    <m/>
    <m/>
    <m/>
    <m/>
    <m/>
    <m/>
    <m/>
    <m/>
    <m/>
    <m/>
    <m/>
    <m/>
    <m/>
    <m/>
    <m/>
    <m/>
    <m/>
    <m/>
    <m/>
    <m/>
    <m/>
    <m/>
    <d v="2015-11-01T00:00:00"/>
    <d v="2018-10-31T00:00:00"/>
    <m/>
    <s v="Humanitarian A Life Free From Violence (GBV)"/>
    <n v="1256496.6599999999"/>
    <s v="Jadranka Milicevic"/>
    <s v="Project Manager"/>
    <s v="jmilicevic@carenwb.org"/>
    <s v="Maja Petek"/>
    <s v="Project Officer"/>
    <s v="mpetek@carenwb.org"/>
    <s v="NO"/>
    <s v="YES"/>
    <s v="NO"/>
    <s v="To strenghten Roma women NGO's capacities to address the national and European level strategies and interventions related to Roma women rights and social inclusion of Roma communities"/>
    <s v="Regional"/>
    <s v="Balkan Region; Countries: Bosnia and Herzegovina, Republic of Serbia and Montenegro; throughout three countries"/>
    <s v="Local partners -Roma women lead non-governmental organizations, Roma women, girls, boys and men"/>
    <n v="4620"/>
    <n v="2380"/>
    <n v="7000"/>
    <n v="14000"/>
    <n v="6000"/>
    <n v="20000"/>
    <s v="Direct participants: Roma women and girls, men and boys in targeted localities, women Roma organizations, representatives of non Roma organizations and institutions addressing Roma issues, national governmental representatives. Indirect participants: family members of Roma individuals, colleagues of representatives of NGOs and institutional representatives, general public in Roma and majority population. The project team developed tailor maide monitoring tables for all implemented project activities with special tables for multiple and individual count of persons who directly participated at some project activities."/>
    <m/>
    <m/>
    <m/>
    <m/>
    <m/>
    <m/>
    <m/>
    <m/>
    <m/>
    <m/>
    <m/>
    <m/>
    <m/>
    <m/>
    <m/>
    <m/>
    <m/>
    <m/>
    <m/>
    <m/>
    <m/>
    <m/>
    <m/>
    <m/>
    <m/>
    <m/>
    <m/>
    <m/>
    <m/>
    <m/>
    <m/>
    <m/>
    <m/>
    <m/>
    <m/>
    <m/>
    <m/>
    <m/>
    <m/>
    <m/>
    <m/>
    <m/>
    <m/>
    <m/>
    <m/>
    <m/>
    <m/>
    <m/>
    <m/>
    <m/>
    <m/>
    <m/>
    <m/>
    <m/>
    <m/>
    <m/>
    <m/>
    <m/>
    <m/>
    <m/>
    <n v="1094"/>
    <n v="838"/>
    <n v="1932"/>
    <n v="3200"/>
    <n v="2490"/>
    <n v="5690"/>
    <s v="NO"/>
    <m/>
    <m/>
    <m/>
    <s v="NO"/>
    <m/>
    <m/>
    <m/>
    <s v="NO"/>
    <m/>
    <m/>
    <m/>
    <s v="NO"/>
    <m/>
    <m/>
    <m/>
    <s v="NO"/>
    <m/>
    <m/>
    <m/>
    <s v="YES"/>
    <n v="466"/>
    <n v="0.51070000000000004"/>
    <n v="1300"/>
    <s v="NO"/>
    <m/>
    <m/>
    <m/>
    <s v="YES"/>
    <n v="475"/>
    <n v="0.82950000000000002"/>
    <n v="1400"/>
    <s v="YES"/>
    <n v="220"/>
    <n v="0.38179999999999997"/>
    <n v="650"/>
    <s v="YES"/>
    <n v="170"/>
    <n v="0.84119999999999995"/>
    <n v="540"/>
    <s v="NO"/>
    <m/>
    <m/>
    <m/>
    <s v="NO"/>
    <m/>
    <m/>
    <m/>
    <s v="YES"/>
    <n v="317"/>
    <n v="0.30599999999999999"/>
    <n v="950"/>
    <s v="NO"/>
    <m/>
    <m/>
    <m/>
    <s v="NO"/>
    <m/>
    <m/>
    <m/>
    <s v="NO"/>
    <m/>
    <m/>
    <m/>
    <s v="Assistance in Ensuring Access to Social Rights"/>
    <s v="YES"/>
    <n v="284"/>
    <n v="0.45590000000000003"/>
    <n v="850"/>
    <s v="YES"/>
    <s v="December"/>
    <n v="2016"/>
    <s v="NO"/>
    <s v="YES"/>
    <s v="October"/>
    <n v="2017"/>
    <s v="Midterm evaluation is ongoing and conducted by the Regional Gender Program Coordinator and the project team"/>
    <x v="1"/>
    <s v="YES"/>
    <s v="YES"/>
    <s v="YES"/>
    <s v="YES"/>
    <s v="YES"/>
    <m/>
    <s v="YES"/>
    <m/>
    <m/>
    <x v="1"/>
    <s v="We are testing working with men and fighting inequality ???"/>
    <x v="3"/>
    <m/>
    <x v="1"/>
    <x v="1"/>
    <s v="YES"/>
    <x v="0"/>
    <x v="0"/>
    <x v="0"/>
    <x v="2"/>
    <n v="4"/>
    <x v="1"/>
    <x v="1"/>
    <x v="1"/>
    <x v="1"/>
    <x v="1"/>
    <x v="1"/>
    <n v="4"/>
    <x v="1"/>
    <x v="2"/>
    <x v="1"/>
    <x v="2"/>
    <x v="3"/>
    <n v="1"/>
    <x v="2"/>
    <x v="3"/>
    <n v="7"/>
    <s v="Local NGO(s)/CSO(s)"/>
    <m/>
    <m/>
    <x v="0"/>
    <s v="FAIR II project is strenghtening local CSO through a range of  tailor made capacity building actions directed at improving their organizational management and advocacy skills, reporting, monitoring and evaluation procedures, providing support in networking of organizations and institutions working on similar issues, nationally and regionally."/>
    <m/>
    <s v="Men engagement; to bring the change into the community and to support women empowerment and contribute to decrease GBV it is necessary to include men into workshops and work on changing their attitudes. This goes not only for adult men but also for young men."/>
    <s v="Inter-Sectoral Commissions; This is a local coordination mechanism, a body, consisted of representatives of local partner organization and institions which address certain related issues but have different roles. The representatives of this body jointly addrees individual issue and solve cases and/or start theirown initiatives"/>
    <s v="Peer to peer education is conducted in high schools attended by Roma students as well and in Roma communities targeting youth that do not attend schools. Information on sensitive issues are best transfered from peers to peers, open discussion is more frequent during peer to peer educations."/>
    <s v="Men engagement targets men in Roma community working on sensitive issues such as GBV and gender roles. One of the lessons learned is taking light approach in establishment of trust; meaning men were not interested to participate in GBV workshops thus partner organization now approached men through organization of workshops for men on different topics (mental health and support), after building trust targeted topics will be introduced."/>
    <s v="Roma Community Mediators are proven to be one of the assessts of this project to Roma community directly. Roma Mediators work in Roma communities and assist Roma population in different areas: education, gender based violence, gender equality, access to social rights and sometimes even provision of support. Roma Mediators act as the link between institutions and Roma individuals and are supported by main project partner in regards to transfer of knowledge and information. Unfortunatelly, this model, even proven to be supportive and very helpful to Roma community it is highely unlikely to be taken over by instutions due to lack of funds."/>
    <s v="Resistence of our longterm partners to test new tools, for example: Community Score Card i Most Significant Change has been noticed."/>
    <s v="Women Roma organizations that are main parnters in this project have been our partners for years during which CARE has been supporting these organizations and built their capacities. This capacity building has enabled these organizations now to be leaders in implemetation of succesfull projects of economic empowerment of women in their communities."/>
    <m/>
    <n v="1932"/>
    <n v="5690"/>
    <n v="2.9451345755693583"/>
    <n v="0.5662525879917184"/>
    <n v="0.56239015817223204"/>
    <n v="1094"/>
    <n v="3200"/>
    <s v=""/>
    <n v="0"/>
    <n v="0"/>
    <s v=""/>
    <s v=""/>
    <n v="0"/>
    <n v="0"/>
    <s v=""/>
    <s v=""/>
    <n v="0"/>
    <n v="0"/>
    <s v=""/>
    <n v="1"/>
    <n v="475"/>
    <n v="1400"/>
    <n v="2.9473684210526314"/>
    <s v=""/>
    <n v="0"/>
    <n v="0"/>
    <s v=""/>
    <s v="4. Transformative"/>
    <s v="2. Accommodating"/>
    <s v="1. Neutral"/>
    <s v="It tested new ways for fighting poverty, but did not measure results of innovation"/>
    <s v="Moderate advocacy"/>
    <s v="It took tested solutions to scale on its own"/>
  </r>
  <r>
    <x v="47"/>
    <x v="1"/>
    <n v="3141"/>
    <s v="SOCIAL ENTREPRENEURSHIP: A step toward independence"/>
    <s v="Montenegro"/>
    <s v="IPA/2015/371/015"/>
    <s v="CARE Deutschland-Luxemburg"/>
    <s v="Other"/>
    <s v="EU - European Union (other than ECHO)"/>
    <s v="EU"/>
    <s v="IPA/2015/371/015"/>
    <s v="No CARE member related to the project/initiative"/>
    <s v="Other"/>
    <s v="Other"/>
    <s v="Austrian Development Agency (ADA)"/>
    <s v="IPA/2015/371/015"/>
    <s v="No CARE member related to the project/initiative"/>
    <s v="Foundation"/>
    <s v="Other"/>
    <s v="OAF Foundation"/>
    <m/>
    <m/>
    <m/>
    <m/>
    <m/>
    <m/>
    <m/>
    <m/>
    <m/>
    <m/>
    <m/>
    <m/>
    <m/>
    <m/>
    <m/>
    <m/>
    <m/>
    <m/>
    <m/>
    <m/>
    <m/>
    <m/>
    <m/>
    <m/>
    <m/>
    <m/>
    <m/>
    <m/>
    <m/>
    <m/>
    <m/>
    <m/>
    <m/>
    <m/>
    <m/>
    <d v="2016-03-01T00:00:00"/>
    <d v="2018-02-28T00:00:00"/>
    <m/>
    <s v="Development Access to and Control over Economic Resources"/>
    <n v="199897.19"/>
    <s v="Branislav Tanasijevic"/>
    <s v="Project Manager"/>
    <s v="btanasijevic@carenwb.org"/>
    <s v="Corina Dominko"/>
    <s v="Regional Program Coordinator Social and Economic Inclusion"/>
    <s v="vjovanovic@care.rs"/>
    <s v="NO"/>
    <s v="YES"/>
    <s v="NO"/>
    <s v="To strengthen independence of women’s CSOs in Montenegro in order to act as strong representatives of vulnerable women and to foster CSOs’ intense involvement in socio-economic inclusion of vulnerable women in less developed areas of Montenegro, through exercising and promoting social entrepreneurship and provision of business advisory."/>
    <s v="National"/>
    <s v="Montenegro is a country progressing to membership in the European Union. In spite of progress, it is faced with delays in implementation of reforms, politicised civil services, ineffective legislature in many fields, sizeable administration, polarised political climate which somewhere hinders efficiency in local governance; great differences in the economic status of the underdeveloped north of the country (the project target area) and the developed Podgorica and Adriatic south areas. CSO sector suffers from lack of financing, the current system of public funding has so far proved to be inefficient. Women remain underrepresented in the labour market and progress regarding women’s rights and gender equality remains limited. _x000a_Two project target areas are selected and two project partner organisations from these areas: Centre for Roma initiative (CRI) is located in northern part of Montenegro, municipality Niksic. Open centre Bona Fide (BF) is located in the farest north municipality Pljevlja. The local communities of Niksic and Pljevlja belong to the less developed and more traditional north of the country (Northern Montenegro)."/>
    <s v="Roma minority represents the most vulnerable social group in Montenegro, with immense discrepancy with the socio-economic status of the majority populations. In general Roma community face discrimination, low level of economic activity and high unemployment rate. Oonly 10,8% Roma, mainly men, have permanent employment, while the percentage of Roma women is only 5% of that number (0.5% of the total number of adult Roma!) Roma women, women from rural areas and those vulnerable to violence are some of the most disadvantaged groups in Montenegro. Mostly without property, education or connections to obtain employment, they are dependent upon their family members, and excluded from the social life. Without support from the third parties, these women cannot improve their position and get included in the society. State institutions and local authorities, required to work on the inclusion of marginalised citizens, in most cases fail to fulfil their tasks due to lack of information and supervision of their work, their inner inefficiency etc. Thus the legislature and local plans for providing equal opportunities to citizens are mostly not followed or realised"/>
    <n v="350"/>
    <n v="100"/>
    <n v="450"/>
    <n v="5000"/>
    <n v="1000"/>
    <n v="6000"/>
    <s v="Direct participants are calculated on basis of estimated number of beneficiaries of project activities. Indirect participants are calculated on basic calculating family members, observers of activities adding plus 10% of number of citizens in 2 target municipalities."/>
    <m/>
    <m/>
    <m/>
    <m/>
    <m/>
    <m/>
    <m/>
    <m/>
    <m/>
    <m/>
    <m/>
    <m/>
    <m/>
    <m/>
    <m/>
    <m/>
    <m/>
    <m/>
    <m/>
    <m/>
    <m/>
    <m/>
    <m/>
    <m/>
    <m/>
    <m/>
    <m/>
    <m/>
    <m/>
    <m/>
    <m/>
    <m/>
    <m/>
    <m/>
    <m/>
    <m/>
    <m/>
    <m/>
    <m/>
    <m/>
    <m/>
    <m/>
    <m/>
    <m/>
    <m/>
    <m/>
    <m/>
    <m/>
    <m/>
    <m/>
    <m/>
    <m/>
    <m/>
    <m/>
    <m/>
    <m/>
    <m/>
    <m/>
    <m/>
    <m/>
    <m/>
    <m/>
    <m/>
    <m/>
    <m/>
    <m/>
    <s v="YES"/>
    <n v="30"/>
    <n v="0.7"/>
    <n v="100"/>
    <s v="NO"/>
    <m/>
    <m/>
    <m/>
    <s v="NO"/>
    <m/>
    <m/>
    <m/>
    <s v="NO"/>
    <m/>
    <m/>
    <m/>
    <s v="YES"/>
    <n v="70"/>
    <n v="0.73"/>
    <n v="2000"/>
    <s v="NO"/>
    <m/>
    <m/>
    <m/>
    <s v="NO"/>
    <m/>
    <m/>
    <m/>
    <s v="NO"/>
    <m/>
    <m/>
    <m/>
    <s v="NO"/>
    <m/>
    <m/>
    <m/>
    <s v="NO"/>
    <m/>
    <m/>
    <m/>
    <s v="NO"/>
    <m/>
    <m/>
    <m/>
    <s v="NO"/>
    <m/>
    <m/>
    <m/>
    <s v="YES"/>
    <n v="50"/>
    <n v="0.7"/>
    <n v="850"/>
    <s v="NO"/>
    <m/>
    <m/>
    <m/>
    <s v="NO"/>
    <m/>
    <m/>
    <m/>
    <s v="YES"/>
    <n v="80"/>
    <n v="1"/>
    <n v="300"/>
    <m/>
    <m/>
    <m/>
    <m/>
    <m/>
    <s v="NO"/>
    <m/>
    <m/>
    <m/>
    <s v="YES"/>
    <s v="February"/>
    <n v="2018"/>
    <s v="Baseline evaluation was produced in June 2016 and final evaluation will measure action results. We are in process of requesting project extension for 3 more months so it may lead to performing final evaluation three months later than it was planned."/>
    <x v="2"/>
    <s v="YES"/>
    <m/>
    <s v="YES"/>
    <m/>
    <s v="YES"/>
    <m/>
    <s v="YES"/>
    <s v="YES"/>
    <s v="The project continued a regional advocacy initiative for recognition of social entrepreneurship (and NGO entrepreneurship) in local legislatures, here in Montegerin legislature."/>
    <x v="1"/>
    <s v="CARE selected two partner NGOs, supported them with grants and mentoring to register their agro cooperatives, in order to secure additional income to finance sustainable functioning of the NGOs."/>
    <x v="3"/>
    <s v="The project represents continuation of CARE's work in Bosnia and Herzegovina, where women's NGOs were supported to register (social) businesses to finance their core operations. The models were took to scale in Montenegro._x000a_Exchange forum meetings, for facilitating social dialogue between women/ their NGOs and local authorities, institutions, financial stakeholders etc. were implemented, taken from the BIH program best practice examples."/>
    <x v="1"/>
    <x v="0"/>
    <s v="YES"/>
    <x v="0"/>
    <x v="0"/>
    <x v="1"/>
    <x v="1"/>
    <n v="3"/>
    <x v="1"/>
    <x v="1"/>
    <x v="1"/>
    <x v="1"/>
    <x v="1"/>
    <x v="1"/>
    <n v="4"/>
    <x v="1"/>
    <x v="1"/>
    <x v="2"/>
    <x v="1"/>
    <x v="3"/>
    <n v="2"/>
    <x v="0"/>
    <x v="2"/>
    <n v="2"/>
    <s v="Local NGO(s)/CSO(s)"/>
    <s v="Local government(s)"/>
    <s v="Media or journalist network(s)"/>
    <x v="0"/>
    <s v="One of the main project objectives was the development of the capacity of the two project partner organisations to establish and manage their own social enterprices (cooperatives) which adds to their organisational sustainability and independence.  Both NGOs received support in design of their web sites and in market linking"/>
    <m/>
    <s v="Forum for exchange- a type of meeting where successful women who were supported are invited to speak about their challenges, obstacles and plans for the future in front of local authority representatives, other NGOs, other women and present media who will spread positive impact to wider audience.  Often meetings are very emotional due to the fact that not often poor women are given chance to speak about their success."/>
    <m/>
    <s v="Engaging men through inviting them for workshops that promote women's economic inclusion is an activity that just started and its impact are visible, but it needs to be practiced more and shaped in a way to attract more male family members in order for them to better understand what would be the supporting role of a whole family to the economic engagement of their female members."/>
    <s v="It is all about the partner NGOs you choose, the more they are focused and interested, the better results will be achieved."/>
    <s v="Constant presence at local media and with decisions makers is important"/>
    <s v="Training, advocacy campaign, awareness raising actions are necessary, or else direct support is not 100% productive."/>
    <s v="This reporting form could be “richer“from my side if I had better understood all questions asked. Perhaps on-line support would generate more info from us."/>
    <m/>
    <n v="0"/>
    <n v="0"/>
    <s v=""/>
    <s v=""/>
    <s v=""/>
    <n v="0"/>
    <n v="0"/>
    <s v=""/>
    <n v="0"/>
    <n v="0"/>
    <s v=""/>
    <n v="1"/>
    <n v="70"/>
    <n v="2000"/>
    <n v="28.571428571428573"/>
    <s v=""/>
    <n v="0"/>
    <n v="0"/>
    <s v=""/>
    <s v=""/>
    <n v="0"/>
    <n v="0"/>
    <s v=""/>
    <n v="1"/>
    <n v="80"/>
    <n v="1460"/>
    <n v="18.25"/>
    <s v="1. Neutral"/>
    <s v="2. Accommodating"/>
    <s v="1. Neutral"/>
    <s v="It tested new ways for fighting poverty, but did not measure results of innovation"/>
    <s v="Intensive advocacy"/>
    <s v="It took tested solutions to scale on its own"/>
  </r>
  <r>
    <x v="47"/>
    <x v="1"/>
    <n v="3142"/>
    <s v="Social inclusion through woman economic empowerment in Montenegro (JAKA)"/>
    <s v="Montenegro"/>
    <s v="FC: BA 334; PN: BiH 134"/>
    <s v="CARE Österreich"/>
    <s v="Government"/>
    <s v="Government - Austria"/>
    <s v="Austrian Development Cooperation"/>
    <s v="FC: BA 339; PN:139"/>
    <s v="CARE Österreich"/>
    <s v="Foundation"/>
    <s v="Other"/>
    <s v="OAK Foundation"/>
    <m/>
    <s v="CARE Österreich"/>
    <s v="Other"/>
    <s v="Other"/>
    <s v="CARE Austria"/>
    <m/>
    <m/>
    <m/>
    <m/>
    <m/>
    <m/>
    <m/>
    <m/>
    <m/>
    <m/>
    <m/>
    <m/>
    <m/>
    <m/>
    <m/>
    <m/>
    <m/>
    <m/>
    <m/>
    <m/>
    <m/>
    <m/>
    <m/>
    <m/>
    <m/>
    <m/>
    <m/>
    <m/>
    <m/>
    <m/>
    <m/>
    <m/>
    <m/>
    <m/>
    <m/>
    <d v="2015-09-01T00:00:00"/>
    <d v="2017-08-31T00:00:00"/>
    <d v="2017-12-31T00:00:00"/>
    <s v="Development Access to and Control over Economic Resources"/>
    <n v="319835.51"/>
    <s v="Naida Katica"/>
    <s v="Project Manager"/>
    <s v="nkatica@carenwb.org"/>
    <s v="Vesna Jovanovic"/>
    <s v="Regional Program Coordinator Social and Economic Inclusion"/>
    <s v="vjovanovic@care.rs"/>
    <s v="NO"/>
    <s v="YES"/>
    <s v="NO"/>
    <s v="Promote economic empowerment among socially deprived and marginalised women in the target communities, as means for improvement of their socio-economic position and full access to rights."/>
    <s v="National"/>
    <s v="Montenegro, regions of Niksic and Pljevlja (northern Montenegro)"/>
    <s v="Project partners Centre for Roma Initiatives from Niksic and Bona Fide from Pljevlja.   At least 80 marginalised and vulnerable women and members of their families from the project target areas, who will receive trainings in business planning, out of which 40 will receive direct project grants for business start-ups.   20 women who will be strengthened for involvement with the newly founded partner organisations' social enterprises/cooperatives.  Approximately 100 men belonging to the families of the targeted women (husbands, fathers, brothers) will participate workshops for promotion of womens employment, economic empowerment and benefits to livelihood security.   Representatives of local authorities and institutions - municipal economic departments, employment bureaus, centres for social work, business advisory services etc.   Family members of the granted beneficiaries (40*4). Communities of Niksic and Pljevlja at large and approximately 40 more families will benefit from receiving repayment of social grants by the final beneficiaries."/>
    <n v="200"/>
    <n v="150"/>
    <n v="350"/>
    <n v="500"/>
    <n v="300"/>
    <n v="800"/>
    <s v="Direct participants are: all those woman/girls and man/boys who participated in the project activities. For example during projects busines plan development tranings a total of 100 woman participated and gained knowledge about how to develop and write a proper business plan, while in total 40 of them recieved business start up grants. Particular workshops were organised for 300 men from the local communities, to introduce the concept of economic inclusion of women and thus create a fiendly athmosphere for women's participation in the project in othewise hostile, traditional environments.  In other project activities like the registration and establishment of social cooperatives another group of woman improved their knowledge about business administration, etc.  Indirect participantts are: household memebers of those woman who directly recieved a grant, got informed about the project activites. Institutional representatives participated in the project organised events, such as promotion of the project and its goals, round tables around promoting women's economic inclusion and social entrepreneurship in Montenegro, etc)."/>
    <m/>
    <m/>
    <m/>
    <m/>
    <m/>
    <m/>
    <m/>
    <m/>
    <m/>
    <m/>
    <m/>
    <m/>
    <m/>
    <m/>
    <m/>
    <m/>
    <m/>
    <m/>
    <m/>
    <m/>
    <m/>
    <m/>
    <m/>
    <m/>
    <m/>
    <m/>
    <m/>
    <m/>
    <m/>
    <m/>
    <m/>
    <m/>
    <m/>
    <m/>
    <m/>
    <m/>
    <m/>
    <m/>
    <m/>
    <m/>
    <m/>
    <m/>
    <m/>
    <m/>
    <m/>
    <m/>
    <m/>
    <m/>
    <m/>
    <m/>
    <m/>
    <m/>
    <m/>
    <m/>
    <m/>
    <m/>
    <m/>
    <m/>
    <m/>
    <m/>
    <n v="120"/>
    <n v="80"/>
    <n v="200"/>
    <n v="250"/>
    <n v="150"/>
    <n v="400"/>
    <s v="YES"/>
    <n v="30"/>
    <m/>
    <n v="120"/>
    <s v="NO"/>
    <m/>
    <m/>
    <m/>
    <s v="NO"/>
    <m/>
    <m/>
    <m/>
    <s v="NO"/>
    <m/>
    <m/>
    <m/>
    <s v="YES"/>
    <n v="2"/>
    <m/>
    <n v="200"/>
    <s v="YES"/>
    <n v="100"/>
    <m/>
    <n v="200"/>
    <s v="NO"/>
    <m/>
    <m/>
    <m/>
    <s v="NO"/>
    <m/>
    <m/>
    <m/>
    <s v="NO"/>
    <m/>
    <m/>
    <m/>
    <s v="NO"/>
    <m/>
    <m/>
    <m/>
    <s v="NO"/>
    <m/>
    <m/>
    <m/>
    <s v="NO"/>
    <m/>
    <m/>
    <m/>
    <s v="NO"/>
    <m/>
    <m/>
    <m/>
    <s v="NO"/>
    <m/>
    <m/>
    <m/>
    <s v="NO"/>
    <m/>
    <m/>
    <m/>
    <s v="YES"/>
    <n v="80"/>
    <m/>
    <n v="320"/>
    <m/>
    <s v="NO"/>
    <m/>
    <m/>
    <m/>
    <s v="NO"/>
    <m/>
    <m/>
    <s v="NO"/>
    <s v="YES"/>
    <s v="November"/>
    <n v="2017"/>
    <m/>
    <x v="1"/>
    <s v="YES"/>
    <s v="NO"/>
    <s v="YES"/>
    <s v="NO"/>
    <s v="NO"/>
    <s v="NO"/>
    <s v="NO"/>
    <s v="YES"/>
    <s v="Advocacy for recognition of social entrepreneurship as a particular business model in Montenegro."/>
    <x v="1"/>
    <m/>
    <x v="0"/>
    <m/>
    <x v="1"/>
    <x v="0"/>
    <s v="YES"/>
    <x v="0"/>
    <x v="0"/>
    <x v="1"/>
    <x v="1"/>
    <n v="3"/>
    <x v="1"/>
    <x v="1"/>
    <x v="2"/>
    <x v="1"/>
    <x v="2"/>
    <x v="4"/>
    <n v="2"/>
    <x v="1"/>
    <x v="1"/>
    <x v="2"/>
    <x v="1"/>
    <x v="3"/>
    <n v="2"/>
    <x v="2"/>
    <x v="2"/>
    <n v="2"/>
    <s v="Grassroots organization(s)"/>
    <s v="Local government(s)"/>
    <m/>
    <x v="2"/>
    <s v="One of the main project objectives was the development of the capacity of the two project partner organisations to act as local resource centres for women's economic inclusion.  In addition, the project worked on increasing the capacity of partner NGOs to establish and manage their own social enterprices (cooperatives) which adds to their organisational sustainability and independence."/>
    <s v="After the inception period, CARE decided that a more direct suppport  to the partner organizations is needed - mentoring and coaching of partners from the side of the CARE staff. The partner organizations recieved a intensive capacity buildnig program from administrative and financial capacity building to strategic planing and advocacy trainings."/>
    <s v="Mentoring of partner orgnaizations to enable them to take a reponsposibilty for implementation of the project"/>
    <s v="Constant presence in and work with the community is of utmost importance for establishment of relationships necessary for project implementation"/>
    <s v="Involving men (increasing their knowledge around WEE)  in economic empowerment of 'their' women is obligatory in highly traditional communities, to create athmosphere favourable for women's economic inclusion."/>
    <s v="Clear admin/finance porcedures are important in any WEE project activities done with partner organisations."/>
    <s v="Sensitive aproach is needed since most women the project is working with are marginalized, they expirience violence and they are socialy excluded."/>
    <m/>
    <m/>
    <s v="http://care-balkan.org/dok/zene_poduzetnistvo.pdf"/>
    <n v="200"/>
    <n v="400"/>
    <n v="2"/>
    <n v="0.6"/>
    <n v="0.625"/>
    <n v="120"/>
    <n v="250"/>
    <s v=""/>
    <n v="0"/>
    <n v="0"/>
    <s v=""/>
    <n v="1"/>
    <n v="30"/>
    <n v="200"/>
    <n v="6.666666666666667"/>
    <s v=""/>
    <n v="0"/>
    <n v="0"/>
    <s v=""/>
    <s v=""/>
    <n v="0"/>
    <n v="0"/>
    <s v=""/>
    <n v="1"/>
    <n v="80"/>
    <n v="320"/>
    <n v="4"/>
    <s v="1. Neutral"/>
    <s v="1. Tokenistic"/>
    <s v="1. Neutral"/>
    <s v="It tested new ways for fighting poverty, but did not measure results of innovation"/>
    <s v="Moderate advocacy"/>
    <s v="It did not take tested solutions to scale"/>
  </r>
  <r>
    <x v="48"/>
    <x v="1"/>
    <m/>
    <s v="AVEC II"/>
    <s v="Morocco"/>
    <m/>
    <s v="CARE France"/>
    <s v="Foundation"/>
    <s v="Other"/>
    <s v="Societe Generale Foundation"/>
    <m/>
    <m/>
    <m/>
    <m/>
    <m/>
    <m/>
    <m/>
    <m/>
    <m/>
    <m/>
    <m/>
    <m/>
    <m/>
    <m/>
    <m/>
    <m/>
    <m/>
    <m/>
    <m/>
    <m/>
    <m/>
    <m/>
    <m/>
    <m/>
    <m/>
    <m/>
    <m/>
    <m/>
    <m/>
    <m/>
    <m/>
    <m/>
    <m/>
    <m/>
    <m/>
    <m/>
    <m/>
    <m/>
    <m/>
    <m/>
    <m/>
    <m/>
    <m/>
    <m/>
    <m/>
    <d v="2017-01-01T00:00:00"/>
    <d v="2019-12-31T00:00:00"/>
    <m/>
    <s v="Development Access to and Control over Economic Resources"/>
    <n v="534473.54"/>
    <s v="Youssef Bouallala"/>
    <s v="Coordinateur projets"/>
    <s v="bouallala.caremaroc@gmail.com"/>
    <s v="Ait Sri Brahim"/>
    <s v="Chef de projet"/>
    <s v="aitsri@caremaroc.org"/>
    <s v="NO"/>
    <s v="YES"/>
    <s v="NO"/>
    <s v="Favoriser lautonomisation et l'insertion économique et sociale de femmes particulièrement vulnérables dans trois  régions du Maroc  "/>
    <s v="Sub-National"/>
    <s v="3 régions du Maroc (Oriental, Fès-Méknes et Khénifra Béni Mellal)"/>
    <s v="Les femmes et filles vulnérables localisées dans les régions de lOriental, de Fès-Meknès, et de Béni Mellal-Khénifra.                                            Les hommes et les garçons vulnérables localisés dans les régions de lOriental, de Fès-Meknès, et de Béni Mellal-Khénifra."/>
    <n v="1288"/>
    <n v="676"/>
    <n v="1964"/>
    <n v="2640"/>
    <n v="2640"/>
    <n v="5280"/>
    <s v="*1288 femmes vulnérables localisées dans les régions de lOriental, de Fès-Meknès, et de Béni Mellal-Khénifra:                                          - Membres de 6 nouvelles AVEC (avec une moyenne de 20 membres) des femmes: 120 femmes                                                                                                                                                                                                                          -Membres de 56 anciennes AVEC (avec une moyenne de 20 membres): 1120 femmes - Membres de 2 nouvelles AVEC mixtes ou d'hommes (avec une moyenne de 20 membres et une estimation de 70% de femmes): 28 femmes - Membres de 2 nouvelles AVEC de jeunes (avec une moyenne de 20 membres et une estimation de 50% des jeunes femmes entre 15 et 35 ans): 20 jeunes femmes                                                                                                                                                               *676 hommes: - Membres de 2 nouvelles AVEC de jeunes (avec une moyenne de 20 membres et une estimation de 50% des jeunes hommes entre 15 et 35 ans): 20 jeunes hommes - Membres de 2 nouvelles AVEC mixtes ou d'hommes (avec une moyenne de 20 membres et une estimation de 30% d'hommes):  12 hommes - 644 bénéficiaires (pères, frères ou maris des femmes participantes dans les AVEC) du programme de masculinité positive  Environ 5280 personnes (1320 ménages avec en moyenne 4 membres), dans les villages ciblés des régions de lOriental, de Fès-Meknès, et de Béni Mellal-Khénifra         "/>
    <m/>
    <m/>
    <m/>
    <m/>
    <m/>
    <m/>
    <m/>
    <m/>
    <m/>
    <m/>
    <m/>
    <m/>
    <m/>
    <m/>
    <m/>
    <m/>
    <m/>
    <m/>
    <m/>
    <m/>
    <m/>
    <m/>
    <m/>
    <m/>
    <m/>
    <m/>
    <m/>
    <m/>
    <m/>
    <m/>
    <m/>
    <m/>
    <m/>
    <m/>
    <m/>
    <m/>
    <m/>
    <m/>
    <m/>
    <m/>
    <m/>
    <m/>
    <m/>
    <m/>
    <m/>
    <m/>
    <m/>
    <m/>
    <m/>
    <m/>
    <m/>
    <m/>
    <m/>
    <m/>
    <m/>
    <m/>
    <m/>
    <m/>
    <m/>
    <m/>
    <n v="1256"/>
    <n v="418"/>
    <n v="1674"/>
    <n v="2512"/>
    <n v="2009"/>
    <n v="4521"/>
    <s v="YES"/>
    <n v="350"/>
    <n v="1"/>
    <n v="1340"/>
    <s v="NO"/>
    <m/>
    <m/>
    <m/>
    <s v="NO"/>
    <m/>
    <m/>
    <m/>
    <s v="NO"/>
    <m/>
    <m/>
    <m/>
    <s v="YES"/>
    <n v="1268"/>
    <n v="0.99"/>
    <n v="4967"/>
    <s v="NO"/>
    <m/>
    <m/>
    <m/>
    <s v="NO"/>
    <m/>
    <m/>
    <m/>
    <s v="YES"/>
    <m/>
    <m/>
    <m/>
    <s v="YES"/>
    <m/>
    <m/>
    <m/>
    <s v="NO"/>
    <n v="0"/>
    <m/>
    <m/>
    <s v="NO"/>
    <m/>
    <m/>
    <m/>
    <s v="NO"/>
    <m/>
    <m/>
    <m/>
    <s v="YES"/>
    <m/>
    <m/>
    <m/>
    <s v="YES"/>
    <m/>
    <m/>
    <m/>
    <s v="NO"/>
    <m/>
    <m/>
    <m/>
    <s v="YES"/>
    <n v="1256"/>
    <n v="1"/>
    <n v="2392"/>
    <m/>
    <m/>
    <m/>
    <m/>
    <m/>
    <s v="NO"/>
    <m/>
    <m/>
    <s v="NO"/>
    <s v="NO"/>
    <m/>
    <m/>
    <m/>
    <x v="1"/>
    <s v="YES"/>
    <s v="NO"/>
    <s v="YES"/>
    <s v="NO"/>
    <s v="YES"/>
    <s v="NO"/>
    <s v="NO"/>
    <m/>
    <m/>
    <x v="2"/>
    <s v="La mise en place des AVEC (Femmes, jeunnes et mixte)"/>
    <x v="1"/>
    <s v="Monter des partenariat au niveau local, régional et national                                              Renforcement de capacités des partenaires à travers des formations.                                                           implication de tous les partenaires dans la mise en oeuvre du projet à travers des comités du pilotage."/>
    <x v="1"/>
    <x v="0"/>
    <s v="NO"/>
    <x v="0"/>
    <x v="0"/>
    <x v="0"/>
    <x v="1"/>
    <n v="3"/>
    <x v="1"/>
    <x v="1"/>
    <x v="1"/>
    <x v="1"/>
    <x v="1"/>
    <x v="1"/>
    <n v="4"/>
    <x v="1"/>
    <x v="1"/>
    <x v="1"/>
    <x v="1"/>
    <x v="1"/>
    <n v="3"/>
    <x v="2"/>
    <x v="3"/>
    <n v="8"/>
    <s v="Local government(s)"/>
    <s v="Local NGO(s)/CSO(s)"/>
    <s v="National government"/>
    <x v="0"/>
    <s v="Formation sur la méthodologie AVEC.                                                                     Formation sur la masculinité positive                                                                    Formation sur la gestion des projets                                                                     Implication dans les comités de pilotage.                                                                                                                                                                                                                                                                                                                 Création des comités de gestion, d'entreprenariat et du genre"/>
    <s v="pas de données solides (évaluation )"/>
    <s v="Limplication des acteurs (autorités, leaders dopinion, les associations, et les bénéficiaires) facilite la gestion et le suivi du projet."/>
    <s v="La prise en compte des questions relatives au genre dans la mise en uvre du projet."/>
    <s v="Création des comités au niveau local, provincial (comités de gestion, d'entreprenariat et de genre)"/>
    <s v="Les AVEC constituent un moyen dépanouissement et de valorisation du statut de la femme, et de cohésion entre communautés"/>
    <s v="Limplication des acteurs (autorité, leaders dopinion, les associations, et les bénéficiaires) facilite la gestion et le suivi du projet. Cela est un acquis pour le processus de pérennisation des actions du projet."/>
    <s v="Les AVEC constituent une base solide pour les associations réunies en coopérative ou en micro-entreprises"/>
    <m/>
    <s v="1)Le diagnostique du bas réalisé dans le cadre du projet AVEC maroc phase 1  en Janvier 2014. 2) le cadre logique du projet. 3) l'évaluation finale du projet AVEC phase I en Décembre 2016. 4) diagnostique du base en février 2017"/>
    <n v="1674"/>
    <n v="4521"/>
    <n v="2.7007168458781363"/>
    <n v="0.75029868578255676"/>
    <n v="0.55562928555629287"/>
    <n v="1256"/>
    <n v="2512"/>
    <s v=""/>
    <n v="0"/>
    <n v="0"/>
    <s v=""/>
    <n v="1"/>
    <n v="1268"/>
    <n v="4967"/>
    <n v="3.9171924290220819"/>
    <n v="1"/>
    <n v="0"/>
    <n v="0"/>
    <s v=""/>
    <n v="1"/>
    <n v="0"/>
    <n v="0"/>
    <s v=""/>
    <n v="1"/>
    <n v="1256"/>
    <n v="4917.33"/>
    <n v="3.9150716560509555"/>
    <s v="1. Neutral"/>
    <s v="2. Accommodating"/>
    <s v="2. Sensitive"/>
    <s v="It tested new ways for fighting poverty and measured results of innovation"/>
    <s v="Moderate advocacy"/>
    <s v="It linked and worked with strategic alliances and partners to take tested and effective solutions to scale"/>
  </r>
  <r>
    <x v="48"/>
    <x v="1"/>
    <n v="3642"/>
    <s v="AVEC Maroc"/>
    <s v="Morocco"/>
    <m/>
    <s v="CARE France"/>
    <s v="Foundation"/>
    <s v="Other"/>
    <s v="Societe Generale Foundation"/>
    <m/>
    <m/>
    <m/>
    <m/>
    <m/>
    <m/>
    <m/>
    <m/>
    <m/>
    <m/>
    <m/>
    <m/>
    <m/>
    <m/>
    <m/>
    <m/>
    <m/>
    <m/>
    <m/>
    <m/>
    <m/>
    <m/>
    <m/>
    <m/>
    <m/>
    <m/>
    <m/>
    <m/>
    <m/>
    <m/>
    <m/>
    <m/>
    <m/>
    <m/>
    <m/>
    <m/>
    <m/>
    <m/>
    <m/>
    <m/>
    <m/>
    <m/>
    <m/>
    <m/>
    <m/>
    <d v="2014-01-01T00:00:00"/>
    <d v="2016-12-31T00:00:00"/>
    <m/>
    <s v="Development Access to and Control over Economic Resources"/>
    <n v="611072"/>
    <s v="Hlima Razkaoui"/>
    <s v="Directrice pays"/>
    <s v="razkaoui@caremaroc.org"/>
    <s v="Ait Sri Brahim"/>
    <s v="Chef de projet"/>
    <s v="aitsri@caremaroc.org"/>
    <s v="NO"/>
    <s v="YES"/>
    <s v="NO"/>
    <s v="Favoriser lautonomisation et l'insertion économique et sociale de femmes particulièrement vulnérables dans trois  régions du Maroc  "/>
    <s v="Sub-National"/>
    <s v="3 régiouns du Maroc (Oriental, Fès-Méknes et Khénifra Béni Mellal)"/>
    <s v="Les Associations féminines (localisées dans les 3 régions, prioritairement composées de femmes se trouvant en situation de grande précarité.                                                                                                                                                                           Les femmes vulnérables ,  localisées dans les trois régions. Les bénéficiaires feront partie d' associations féminines existantes et déjà opérationnelles et seront auto-sélectionnées entre les membres.                                                                                                                                                                                                                                                                                                                                                                                             Les hommes (pères, frères ou maris des femmes participantes dans les AVEC),  localisés dans les 3 régions.                                                                                                                            "/>
    <n v="1000"/>
    <n v="1000"/>
    <n v="2000"/>
    <n v="2500"/>
    <n v="2500"/>
    <n v="5000"/>
    <s v="1000  femmes vulnérables ,  localisées dans les trois régions.(sur une base de 20 membres par AVEC, 50 AVEC au total)                                                  1000 hommes (un pères, frères ou mari par femmes participantes dans les AVEC). Les bénificiaires indirects: une moyenne de 5 membres/foyer 50% femmes et 50% hommes.         "/>
    <m/>
    <m/>
    <m/>
    <m/>
    <m/>
    <m/>
    <m/>
    <m/>
    <m/>
    <m/>
    <m/>
    <m/>
    <m/>
    <m/>
    <m/>
    <m/>
    <m/>
    <m/>
    <m/>
    <m/>
    <m/>
    <m/>
    <m/>
    <m/>
    <m/>
    <m/>
    <m/>
    <m/>
    <m/>
    <m/>
    <m/>
    <m/>
    <m/>
    <m/>
    <m/>
    <m/>
    <m/>
    <m/>
    <m/>
    <m/>
    <m/>
    <m/>
    <m/>
    <m/>
    <m/>
    <m/>
    <m/>
    <m/>
    <m/>
    <m/>
    <m/>
    <m/>
    <m/>
    <m/>
    <m/>
    <m/>
    <m/>
    <m/>
    <m/>
    <m/>
    <n v="1600"/>
    <n v="840"/>
    <n v="2440"/>
    <n v="3000"/>
    <n v="1600"/>
    <n v="4600"/>
    <s v="YES"/>
    <n v="350"/>
    <n v="1"/>
    <n v="0"/>
    <s v="NO"/>
    <m/>
    <m/>
    <m/>
    <s v="NO"/>
    <m/>
    <m/>
    <m/>
    <s v="NO"/>
    <m/>
    <m/>
    <m/>
    <s v="YES"/>
    <n v="1600"/>
    <n v="1"/>
    <n v="3000"/>
    <s v="YES"/>
    <n v="640"/>
    <n v="1"/>
    <m/>
    <s v="NO"/>
    <m/>
    <m/>
    <m/>
    <s v="YES"/>
    <n v="420"/>
    <n v="1"/>
    <n v="1150"/>
    <s v="YES"/>
    <n v="1244"/>
    <n v="0.33"/>
    <n v="2345"/>
    <s v="NO"/>
    <m/>
    <m/>
    <m/>
    <s v="NO"/>
    <m/>
    <m/>
    <m/>
    <s v="NO"/>
    <m/>
    <m/>
    <m/>
    <s v="YES"/>
    <n v="1055"/>
    <n v="1"/>
    <n v="1990"/>
    <s v="YES"/>
    <n v="420"/>
    <n v="1"/>
    <n v="790"/>
    <s v="NO"/>
    <m/>
    <m/>
    <m/>
    <s v="YES"/>
    <n v="2440"/>
    <n v="0.65"/>
    <n v="3000"/>
    <m/>
    <m/>
    <m/>
    <m/>
    <m/>
    <s v="YES"/>
    <s v="December"/>
    <n v="2016"/>
    <s v="YES"/>
    <s v="NO"/>
    <m/>
    <m/>
    <m/>
    <x v="1"/>
    <s v="YES"/>
    <s v="NO"/>
    <s v="YES"/>
    <s v="NO"/>
    <s v="YES"/>
    <s v="NO"/>
    <s v="NO"/>
    <m/>
    <m/>
    <x v="2"/>
    <s v="Le pilotage et adaptation de la méthodologie AVEC au contexte marocain"/>
    <x v="1"/>
    <s v="Monter des partenariat au niveau local, régional et national , la mise en uvre du projet en partenariat avec un Réseau National (REMESS), renforcement de capacités des partenaires à travers des formations,  implication de tous les partenaires dans la mise en oeuvre du projet à travers des comités du pilotage."/>
    <x v="1"/>
    <x v="0"/>
    <s v="NO"/>
    <x v="0"/>
    <x v="0"/>
    <x v="0"/>
    <x v="1"/>
    <n v="3"/>
    <x v="1"/>
    <x v="2"/>
    <x v="1"/>
    <x v="1"/>
    <x v="1"/>
    <x v="1"/>
    <n v="3"/>
    <x v="1"/>
    <x v="1"/>
    <x v="1"/>
    <x v="1"/>
    <x v="1"/>
    <n v="3"/>
    <x v="2"/>
    <x v="2"/>
    <n v="8"/>
    <s v="Local government(s)"/>
    <s v="Local NGO(s)/CSO(s)"/>
    <s v="National government"/>
    <x v="0"/>
    <s v="Formation sur la méthodologie AVEC.                                                                     Formation sur la masculinité positive                                                                    Formation sur la gestion des projets                                                                     Implication dans les comités de pilotage"/>
    <s v="Evolution des normes liées au genre à travers une participation accrue  des femmes bénéficiaires  aux prises de décisions au niveau de leurs foyers et du contrôle des ressources   . Elles sont capables de de discuter de la gestion du ménage avec leurs maris, de participer aux prises de décisions dans le foyer et de sexprimer en public.                                                                                                                                                                                                                                                                           Evolution des normes liées au genre à travers  un changement  positif de comportement des hommes ciblés face aux croyances/perceptions pour une  plus grande égalité entre les  hommes et les femmes"/>
    <s v="Limplication des acteurs (autorités, leaders dopinion, les associations, et les bénéficiaires) facilite la gestion et le suivi du projet."/>
    <s v="La prise en compte des questions relatives au genre dans la mise en uvre du projet."/>
    <s v="La prise en compte des actions favorisant la lutte contre la pauvreté à travers linstallation des groupements dépargne et de crédits en faveur des femmes"/>
    <s v="Les AVEC constituent un moyen dépanouissement et de valorisation du statut de la femme, et de cohésion entre communautés"/>
    <s v="Limplication des acteurs (autorité, leaders dopinion, les associations, et les bénéficiaires) facilite la gestion et le suivi du projet. Cela est un acquis pour le processus de pérennisation des actions du projet."/>
    <s v="Les AVEC constituent une base solide pour les associations réunies en coopérative ou en micro-entreprises"/>
    <m/>
    <s v="1)Le diagnostique du bas réalisé avant le démarrage des activités du projet en Janvier 2014. 2) le cadre logique du projet. 3) l'évaluation finale du projet en Décembre 2016"/>
    <n v="2440"/>
    <n v="4600"/>
    <n v="1.8852459016393444"/>
    <n v="0.65573770491803274"/>
    <n v="0.65217391304347827"/>
    <n v="1600"/>
    <n v="3000"/>
    <s v=""/>
    <n v="0"/>
    <n v="0"/>
    <s v=""/>
    <n v="1"/>
    <n v="1600"/>
    <n v="3000"/>
    <n v="1.875"/>
    <n v="1"/>
    <n v="420"/>
    <n v="790"/>
    <n v="1.8809523809523809"/>
    <n v="1"/>
    <n v="420"/>
    <n v="1150"/>
    <n v="2.7380952380952381"/>
    <n v="1"/>
    <n v="2440"/>
    <n v="3000"/>
    <n v="1.2295081967213115"/>
    <s v="1. Neutral"/>
    <s v="2. Accommodating"/>
    <s v="2. Sensitive"/>
    <s v="It tested new ways for fighting poverty and measured results of innovation"/>
    <s v="Moderate advocacy"/>
    <s v="It linked and worked with strategic alliances and partners to take tested and effective solutions to scale"/>
  </r>
  <r>
    <x v="48"/>
    <x v="1"/>
    <n v="3643"/>
    <s v="Gouvernance Locale et Droits des Femmes (GLDF)"/>
    <s v="Morocco"/>
    <m/>
    <s v="CARE Morocco"/>
    <s v="Multilateral agency"/>
    <s v="EU - European Union (other than ECHO)"/>
    <s v="EU"/>
    <m/>
    <m/>
    <m/>
    <m/>
    <m/>
    <m/>
    <m/>
    <m/>
    <m/>
    <m/>
    <m/>
    <m/>
    <m/>
    <m/>
    <m/>
    <m/>
    <m/>
    <m/>
    <m/>
    <m/>
    <m/>
    <m/>
    <m/>
    <m/>
    <m/>
    <m/>
    <m/>
    <m/>
    <m/>
    <m/>
    <m/>
    <m/>
    <m/>
    <m/>
    <m/>
    <m/>
    <m/>
    <m/>
    <m/>
    <m/>
    <m/>
    <m/>
    <m/>
    <m/>
    <m/>
    <d v="2014-03-01T00:00:00"/>
    <d v="2016-07-31T00:00:00"/>
    <d v="2016-12-31T00:00:00"/>
    <s v="Development Other"/>
    <n v="131975.16"/>
    <s v="Hlima RAZKAOUI"/>
    <s v="Directrice Pays"/>
    <s v="razkaoui@caremaroc.org"/>
    <s v="Aziz ERRADI"/>
    <s v="Animateur terrain -point focal du projet pour CARE"/>
    <s v="erradi@caremaroc.org"/>
    <s v="NO"/>
    <s v="YES"/>
    <s v="NO"/>
    <s v="Contribuer à la consolidation de la démocratie et de la gouvernance locale, fondées sur la participation et la redevabilité sociale"/>
    <s v="Sub-National"/>
    <s v="Région de Tadla-Azilal (Province de Beni Mellal) et Région de l'Oriental (province de Oujda Angad)"/>
    <s v="50 OSCs dans les communes ciblées( deux communes  dans chaque région), 15 OSC au niveau national, 50 femmes et jeunes leaders locaux, 15 élus(es) locaux, 30 hommes leaders (locaux, religieux)"/>
    <n v="775"/>
    <n v="820"/>
    <n v="1595"/>
    <n v="3875"/>
    <n v="4100"/>
    <n v="7975"/>
    <s v="L'action intéressera, de manière directe, les groupes cible suivants: ? 50 OSC (25 par Province), pour un total de 150 personnes, membres avec différentes fonctions des OSC, qui auront profité du renforcement de capacités. De ces bénéficiaires, au moins le 50% sera composé par des femmes et des jeunes, dont 50 jouiront d'une formation ultérieure. ? 16 élu(e)s locaux/locales (4 par commune) impliqués dans toute activité de formation et de dialogue ? 15 OSC actives au niveau national. ? Au moins 30 familles de femmes politiquement engagées, spécifiquement les hommes.                                                                                                                Un total de 1595 personnes sont considérés bénéficiaires directs. Il est estimé que chaque bénéficiaire direct aura un impact indirect sur 5 personnes"/>
    <m/>
    <m/>
    <m/>
    <m/>
    <m/>
    <m/>
    <m/>
    <m/>
    <m/>
    <m/>
    <m/>
    <m/>
    <m/>
    <m/>
    <m/>
    <m/>
    <m/>
    <m/>
    <m/>
    <m/>
    <m/>
    <m/>
    <m/>
    <m/>
    <m/>
    <m/>
    <m/>
    <m/>
    <m/>
    <m/>
    <m/>
    <m/>
    <m/>
    <m/>
    <m/>
    <m/>
    <m/>
    <m/>
    <m/>
    <m/>
    <m/>
    <m/>
    <m/>
    <m/>
    <m/>
    <m/>
    <m/>
    <m/>
    <m/>
    <m/>
    <m/>
    <m/>
    <m/>
    <m/>
    <m/>
    <m/>
    <m/>
    <m/>
    <m/>
    <m/>
    <n v="1480"/>
    <n v="2220"/>
    <n v="3700"/>
    <n v="296"/>
    <n v="444"/>
    <n v="740"/>
    <m/>
    <m/>
    <m/>
    <m/>
    <m/>
    <m/>
    <m/>
    <m/>
    <m/>
    <m/>
    <m/>
    <m/>
    <m/>
    <m/>
    <m/>
    <m/>
    <m/>
    <m/>
    <m/>
    <m/>
    <s v="YES"/>
    <n v="740"/>
    <n v="0.5"/>
    <n v="2960"/>
    <m/>
    <m/>
    <m/>
    <m/>
    <m/>
    <m/>
    <m/>
    <m/>
    <s v="YES"/>
    <n v="740"/>
    <n v="0.5"/>
    <n v="2960"/>
    <m/>
    <m/>
    <m/>
    <m/>
    <m/>
    <m/>
    <m/>
    <m/>
    <m/>
    <m/>
    <m/>
    <m/>
    <s v="YES"/>
    <n v="740"/>
    <n v="0.5"/>
    <n v="2960"/>
    <m/>
    <m/>
    <m/>
    <m/>
    <m/>
    <m/>
    <m/>
    <m/>
    <m/>
    <m/>
    <m/>
    <m/>
    <m/>
    <m/>
    <m/>
    <m/>
    <m/>
    <s v="YES"/>
    <s v="December"/>
    <n v="2016"/>
    <s v="NO"/>
    <s v="NO"/>
    <m/>
    <m/>
    <s v="Le projet a pris fin en décembre 2016. Les évaluations sont organisés par le porteur du projet, l'Espace Associatif en collaboration avec CARE Maroc"/>
    <x v="1"/>
    <s v="NO"/>
    <s v="NO"/>
    <s v="NO"/>
    <s v="NO"/>
    <s v="YES"/>
    <s v="NO"/>
    <s v="NO"/>
    <m/>
    <m/>
    <x v="1"/>
    <s v="Renforcement de la capacité des associations de la société civile pour proposer des solutions concrètes à les défis et problèmes de développement trouvés localement. Ces associations deviennent une force de proposition durable pour le développement et évolution des politiques publiques et programmes de développement"/>
    <x v="1"/>
    <s v="Accompagner les la société civile pour l'élaboration de leur plan d'acion pour l'améliorer leur participation au polotoque publique.  Appuyer les associations pour la mise en uvre de leur plan d'action de plaidoyer.    "/>
    <x v="0"/>
    <x v="0"/>
    <s v="NO"/>
    <x v="0"/>
    <x v="0"/>
    <x v="0"/>
    <x v="1"/>
    <n v="3"/>
    <x v="1"/>
    <x v="2"/>
    <x v="1"/>
    <x v="1"/>
    <x v="1"/>
    <x v="1"/>
    <n v="3"/>
    <x v="2"/>
    <x v="2"/>
    <x v="2"/>
    <x v="1"/>
    <x v="2"/>
    <n v="1"/>
    <x v="2"/>
    <x v="3"/>
    <n v="50"/>
    <s v="Local NGO(s)/CSO(s)"/>
    <s v="Grassroots organization(s)"/>
    <s v="Local government(s)"/>
    <x v="0"/>
    <s v="Accompagner les la société civile pour l'élaboration de leur plan d'acion pour l'améliorer leur participation au polotoque publique.  Appuyer les associations pour la mise en uvre de leur plan d'action de plaidoyer.    Organiser des débats citoyens pour faciliter le dialogue entre les associations et les élus."/>
    <s v="les indicteurs du cadre logique sont revues et adaptés aux objectifs et resultats du projet dans la mesure qu'ils soient sensible au genre,"/>
    <s v="Identifier d'un noyau de 15 associations parmi les 25 associations partenaires par province, pour assurer la consolidations des acquis dans le cadre du projet  et constitue un relais pour toucher les autres associations ainsi que dautres  nouvelles à léchelle locale et régionale.  Et cela afin de remedier aux changements des représentants des associations participants aux activités du projet."/>
    <s v="Impliquer aussi linstance administrative permanante des communes cibles  (SG et responsable des commissions affaire sociales, ) dés le début du projet afin de garantir la continuité de coopération avec les communes cibles suite au changement de linstance élue après les élections de septembre 2015,"/>
    <s v="Doter l'équipe du projet d'un appui et d'un coaching  continu dans leur accompagnement des asssociations en approche genre et réseautage"/>
    <s v="Pratiques promotteuses: une charte d'éthique est élaborée et signéee par les associations dans les deux provinces comme une base de coordination pour agir ensemble et concrétiser le réseautage."/>
    <s v="Défis: lélaboration dun plan  daction de plaidoyer pour la promotion de la redevabilité sociale et sa mise en oeuvre, se sont annoncés difficile et ont pris plus de temps que prévu. Cela est dû à la faiblesse du travail en coordination des associations locales,  et de la faiblesse de leurs  ressources et leur appropriation limitée des outils présentés dans les ateliers de formation"/>
    <s v="Défis: Les associations partenaires doivent encore acquérir les capacités d'appliquer concrétement l'approche Genre"/>
    <s v="Implication dacteurs locaux dans chaque province dans les activités du projet:  des représentant-e-s des coordinations régionales de lAgence de développement sociale (ADS) , la commission régionale des Droits de lhomme (CRDH) et de lEntraide Nationale (EN), et de la division de laction sociale (DAS),  ont participé à la majorité des activités organisées et appuient le projet. A noter que CARE Maroc est le partenaire du porteur du projet, le Espace Associatif. CARE travaille seulement dans une des deux régions ciblées par le projet   "/>
    <s v="Evaluation finale du projet"/>
    <n v="3700"/>
    <n v="740"/>
    <n v="0.2"/>
    <n v="0.4"/>
    <n v="0.4"/>
    <n v="1480"/>
    <n v="296"/>
    <s v=""/>
    <n v="0"/>
    <n v="0"/>
    <s v=""/>
    <s v=""/>
    <n v="0"/>
    <n v="0"/>
    <s v=""/>
    <s v=""/>
    <n v="0"/>
    <n v="0"/>
    <s v=""/>
    <s v=""/>
    <n v="0"/>
    <n v="0"/>
    <s v=""/>
    <s v=""/>
    <n v="0"/>
    <n v="0"/>
    <s v=""/>
    <s v="1. Neutral"/>
    <s v="2. Accommodating"/>
    <s v="0. Harmful"/>
    <s v="It tested new ways for fighting poverty, but did not measure results of innovation"/>
    <s v="Moderate advocacy"/>
    <s v="It linked and worked with strategic alliances and partners to take tested and effective solutions to scale"/>
  </r>
  <r>
    <x v="48"/>
    <x v="1"/>
    <m/>
    <s v="REUSSIR : Renforcement de la qualité de l'éducation primaire et préscolaire au Maroc"/>
    <s v="Morocco"/>
    <m/>
    <s v="CARE France"/>
    <s v="Government"/>
    <s v="Government - France"/>
    <s v="French Development Agency"/>
    <m/>
    <s v="CARE Morocco"/>
    <s v="Multilateral agency"/>
    <s v="The World Bank"/>
    <s v="Global Parternship for Social Accountability"/>
    <m/>
    <s v="CARE France"/>
    <s v="Corporation"/>
    <s v="Other"/>
    <s v="Lancome"/>
    <m/>
    <s v="CARE Morocco"/>
    <s v="Corporation"/>
    <s v="Other"/>
    <s v="AXA"/>
    <m/>
    <s v="CARE France"/>
    <s v="Foundation"/>
    <s v="Other"/>
    <s v="Fondation Obélisque"/>
    <m/>
    <m/>
    <m/>
    <m/>
    <m/>
    <m/>
    <m/>
    <m/>
    <m/>
    <m/>
    <m/>
    <m/>
    <m/>
    <m/>
    <m/>
    <m/>
    <m/>
    <m/>
    <m/>
    <m/>
    <m/>
    <m/>
    <m/>
    <m/>
    <m/>
    <d v="2015-10-27T00:00:00"/>
    <d v="2018-10-26T00:00:00"/>
    <m/>
    <s v="Development Other"/>
    <n v="1134836"/>
    <s v="Youssef Bouallala"/>
    <s v="Coordinateur des projets"/>
    <s v="bouallala@caremaroc.org"/>
    <s v="Adnane Laakel"/>
    <s v="Chef de projet"/>
    <s v="laakel@caremaroc.org"/>
    <s v="NO"/>
    <s v="YES"/>
    <s v="NO"/>
    <s v="Contribuer à la généralisation et lamélioration de la qualité de léducation préscolaire et primaire parmi les enfants les plus défavorisés afin de contribuer à diminuer les abandons scolaires et daugmenter leur chance de réussite scolaire."/>
    <s v="Sub-National"/>
    <s v="Le projet est exécuté dans deux régions du Maroc: - Région Casablanca-Settat, province de Sidi Bernoussi et province Ain Sbaa-Hay Mohammadi (zone périurbain); - Région Marrakech- Safi, province Al Haouz (zone rurale)"/>
    <s v="Le projet impactera les enfants en age de préscolarisation (3 à 5 ans) vivant dans les zones défavorisées du Maroc. Le projet impactera également l'attitude et le compostement des parents ayant des enfants en age de préscolarisation."/>
    <n v="2297"/>
    <n v="2270"/>
    <n v="4567"/>
    <n v="9188"/>
    <n v="9080"/>
    <n v="18268"/>
    <s v="Les participants directs du projet sont les éducateurs/trices d'établissement préscolaires, les gestionnaires d'établissements préscolaires, les enfants, leurs parents et/ou tuteurs, les directions provinciales de l'éducation nationale."/>
    <m/>
    <m/>
    <m/>
    <m/>
    <m/>
    <m/>
    <m/>
    <m/>
    <m/>
    <m/>
    <m/>
    <m/>
    <m/>
    <m/>
    <m/>
    <m/>
    <m/>
    <m/>
    <m/>
    <m/>
    <m/>
    <m/>
    <m/>
    <m/>
    <m/>
    <m/>
    <m/>
    <m/>
    <m/>
    <m/>
    <m/>
    <m/>
    <m/>
    <m/>
    <m/>
    <m/>
    <m/>
    <m/>
    <m/>
    <m/>
    <m/>
    <m/>
    <m/>
    <m/>
    <m/>
    <m/>
    <m/>
    <m/>
    <m/>
    <m/>
    <m/>
    <m/>
    <m/>
    <m/>
    <m/>
    <m/>
    <m/>
    <m/>
    <m/>
    <m/>
    <n v="1417"/>
    <n v="819"/>
    <n v="2236"/>
    <n v="5668"/>
    <n v="3276"/>
    <n v="8944"/>
    <s v="NO"/>
    <m/>
    <m/>
    <m/>
    <s v="NO"/>
    <m/>
    <m/>
    <m/>
    <s v="NO"/>
    <m/>
    <m/>
    <m/>
    <s v="NO"/>
    <m/>
    <m/>
    <m/>
    <s v="NO"/>
    <m/>
    <m/>
    <m/>
    <s v="YES"/>
    <n v="2236"/>
    <n v="0.63"/>
    <n v="8944"/>
    <s v="NO"/>
    <m/>
    <m/>
    <m/>
    <s v="NO"/>
    <m/>
    <m/>
    <m/>
    <s v="YES"/>
    <m/>
    <m/>
    <m/>
    <s v="NO"/>
    <m/>
    <m/>
    <m/>
    <s v="NO"/>
    <m/>
    <m/>
    <m/>
    <s v="NO"/>
    <m/>
    <m/>
    <m/>
    <s v="YES"/>
    <n v="110"/>
    <n v="0.69"/>
    <n v="440"/>
    <s v="NO"/>
    <m/>
    <m/>
    <m/>
    <s v="YES"/>
    <n v="1520"/>
    <n v="0.51"/>
    <n v="6080"/>
    <s v="NO"/>
    <m/>
    <m/>
    <m/>
    <m/>
    <s v="NO"/>
    <m/>
    <m/>
    <m/>
    <s v="NO"/>
    <m/>
    <m/>
    <s v="NO"/>
    <s v="NO"/>
    <m/>
    <m/>
    <s v="Une évaluation finale sera menée à la fin du projet"/>
    <x v="1"/>
    <s v="NO"/>
    <s v="NO"/>
    <s v="YES"/>
    <s v="YES"/>
    <s v="YES"/>
    <s v="NO"/>
    <s v="NO"/>
    <s v="NO"/>
    <m/>
    <x v="1"/>
    <s v="- Le projet teste le modèle préscolaire de CARE Maroc afin d'assurer une meilleure éducation des enfants dans les zones plus vulnérables. Ce modèle met l'enfant au centre, tout en améliorant la qualité des unités d'appui (Equipements, infrastructures) et renforçant la capacité des éducatrices, gestionnaires des unités préscolaires, les parents et les communautés autour de cet enfant."/>
    <x v="1"/>
    <s v="- Le projet a touché plus de bénéficiaires que prévu dans le cadre logique et ce pour mutiplier l'impact de l'intervention"/>
    <x v="0"/>
    <x v="1"/>
    <s v="NO"/>
    <x v="0"/>
    <x v="0"/>
    <x v="0"/>
    <x v="4"/>
    <n v="3"/>
    <x v="1"/>
    <x v="1"/>
    <x v="1"/>
    <x v="1"/>
    <x v="1"/>
    <x v="1"/>
    <n v="4"/>
    <x v="2"/>
    <x v="1"/>
    <x v="1"/>
    <x v="1"/>
    <x v="2"/>
    <n v="3"/>
    <x v="2"/>
    <x v="3"/>
    <n v="44"/>
    <s v="Local NGO(s)/CSO(s)"/>
    <s v="National government"/>
    <s v="Local government(s)"/>
    <x v="0"/>
    <s v="- Formation des associations villageoises / quartier / de développement dans la gestion des unités préscolaires"/>
    <s v="- Le projet ciblaient essentiellement les unités préscolaires informelles privées. Au démarrage, le gouvernement a lancé une stratégie de développement dui secteur de l'éducation préscolaire. Pour soutenir cette démarche, nous avons inclus dans le diagnostic/selection et puis renforcement des unités préscolaires dites intégrées aux écoles primaires."/>
    <s v="- Modèle préscolaire CARE Maroc"/>
    <s v="- Parentalité positive"/>
    <s v="Masculinité positive"/>
    <s v="- La prise en considération des attentes des bénéficiares et la transparence sur les résultats et les ressources du projet garantissent un meilleur engagement des bénéficiaires."/>
    <s v="- Pour les interventions de grande envergure, les procédures peuvent plus de temps que prévu (au vu des liens avec les partenaire externes : bénéficiaires, partenaires institutionnels, bailleurs de fonds)"/>
    <s v="- Le rôle d'intermédiation que jouent CARE entre les différentes parties prenantes d'un secteur améliorent les relations et par conséquent les performances de ce dernier. e.g. lien entre les associations qui gérent les unités préscolaires sises au sein des écoles primaires avec les administrations locales/provinciales de l'éducation."/>
    <s v="Le projet comporte un volet préscolaire et un volet primaire, ce dernier fait partie du rapport PIIRS du projet LEAD (budget et bénéficiaires). Cette fiche (Réussir préscolaire) comporte seulement le volet préscolaire.Le budget total du projet (volet préscolaire et volet primaire) est de 1 475 819 euros."/>
    <m/>
    <n v="2236"/>
    <n v="8944"/>
    <n v="4"/>
    <n v="0.63372093023255816"/>
    <n v="0.63372093023255816"/>
    <n v="1417"/>
    <n v="5668"/>
    <s v=""/>
    <n v="0"/>
    <n v="0"/>
    <s v=""/>
    <n v="1"/>
    <n v="1520"/>
    <n v="6080"/>
    <n v="4"/>
    <s v=""/>
    <n v="0"/>
    <n v="0"/>
    <s v=""/>
    <s v=""/>
    <n v="0"/>
    <n v="0"/>
    <s v=""/>
    <s v=""/>
    <n v="0"/>
    <n v="0"/>
    <s v=""/>
    <s v="3. Responsive"/>
    <s v="2. Accommodating"/>
    <s v="0. Harmful"/>
    <s v="It tested new ways for fighting poverty, but did not measure results of innovation"/>
    <s v="Moderate advocacy"/>
    <s v="It linked and worked with strategic alliances and partners to take tested and effective solutions to scale"/>
  </r>
  <r>
    <x v="48"/>
    <x v="1"/>
    <n v="3641"/>
    <s v="REUSSIR : Renforcement de la qualité de l'éducation primaire et préscolaire au Maroc"/>
    <s v="Morocco"/>
    <m/>
    <s v="CARE Morocco"/>
    <s v="Multilateral agency"/>
    <s v="The World Bank"/>
    <s v="Global Partnership for Social Acountability"/>
    <m/>
    <m/>
    <m/>
    <m/>
    <m/>
    <m/>
    <m/>
    <m/>
    <m/>
    <m/>
    <m/>
    <m/>
    <m/>
    <m/>
    <m/>
    <m/>
    <m/>
    <m/>
    <m/>
    <m/>
    <m/>
    <m/>
    <m/>
    <m/>
    <m/>
    <m/>
    <m/>
    <m/>
    <m/>
    <m/>
    <m/>
    <m/>
    <m/>
    <m/>
    <m/>
    <m/>
    <m/>
    <m/>
    <m/>
    <m/>
    <m/>
    <m/>
    <m/>
    <m/>
    <m/>
    <d v="2015-10-27T00:00:00"/>
    <d v="2018-10-26T00:00:00"/>
    <m/>
    <s v="Development Other"/>
    <m/>
    <s v="Youssef Bouallala"/>
    <s v="Coordinateur des projets"/>
    <s v="bouallala@caremaroc.org"/>
    <s v="Adnane Laakel"/>
    <s v="Chef de projet"/>
    <s v="laakel@caremaroc.org"/>
    <s v="NO"/>
    <s v="YES"/>
    <s v="NO"/>
    <s v="Contribuer à la généralisation et lamélioration de la qualité de léducation préscolaire et primaire parmi les enfants les plus défavorisés afin de contribuer à diminuer les abandons scolaires et daugmenter leur chance de réussite scolaire."/>
    <s v="Sub-National"/>
    <s v="Le projet est exécuté dans deux régions du Maroc: - Région Casablanca-Settat, province de Sidi Bernoussi et province Ain Sbaa-Hay Mohammadi (zone périurbain); - Région Marrakech- Safi, province Al Haouz (zone rurale)"/>
    <s v="Le projet impactera les enfants en age de préscolarisation (3 à 5 ans) vivant dans les zones défavorisées du Maroc. Le projet impactera également l'attitude et le compostement des parents ayant des enfants en age de préscolarisation."/>
    <n v="2297"/>
    <n v="2270"/>
    <n v="4567"/>
    <n v="9188"/>
    <n v="9080"/>
    <n v="18268"/>
    <s v="Les participants directs du projet sont les éducateurs/trices d'établissement préscolaires, les gestionnaires d'établissements préscolaires, les enfants, leurs parents et/ou tuteurs, les directions provinciales de l'éducation nationale."/>
    <m/>
    <m/>
    <m/>
    <m/>
    <m/>
    <m/>
    <m/>
    <m/>
    <m/>
    <m/>
    <m/>
    <m/>
    <m/>
    <m/>
    <m/>
    <m/>
    <m/>
    <m/>
    <m/>
    <m/>
    <m/>
    <m/>
    <m/>
    <m/>
    <m/>
    <m/>
    <m/>
    <m/>
    <m/>
    <m/>
    <m/>
    <m/>
    <m/>
    <m/>
    <m/>
    <m/>
    <m/>
    <m/>
    <m/>
    <m/>
    <m/>
    <m/>
    <m/>
    <m/>
    <m/>
    <m/>
    <m/>
    <m/>
    <m/>
    <m/>
    <m/>
    <m/>
    <m/>
    <m/>
    <m/>
    <m/>
    <m/>
    <m/>
    <m/>
    <m/>
    <n v="1417"/>
    <n v="819"/>
    <n v="2236"/>
    <n v="5668"/>
    <n v="3276"/>
    <n v="8944"/>
    <s v="NO"/>
    <m/>
    <m/>
    <m/>
    <s v="NO"/>
    <m/>
    <m/>
    <m/>
    <s v="NO"/>
    <m/>
    <m/>
    <m/>
    <s v="NO"/>
    <m/>
    <m/>
    <m/>
    <s v="NO"/>
    <m/>
    <m/>
    <m/>
    <s v="YES"/>
    <n v="2236"/>
    <n v="0.63"/>
    <n v="8944"/>
    <s v="NO"/>
    <m/>
    <m/>
    <m/>
    <s v="NO"/>
    <m/>
    <m/>
    <m/>
    <s v="YES"/>
    <m/>
    <m/>
    <m/>
    <s v="NO"/>
    <m/>
    <m/>
    <m/>
    <s v="NO"/>
    <m/>
    <m/>
    <m/>
    <s v="NO"/>
    <m/>
    <m/>
    <m/>
    <s v="YES"/>
    <n v="110"/>
    <n v="0.69"/>
    <n v="440"/>
    <s v="NO"/>
    <m/>
    <m/>
    <m/>
    <s v="YES"/>
    <n v="1520"/>
    <n v="0.51"/>
    <n v="6080"/>
    <s v="NO"/>
    <m/>
    <m/>
    <m/>
    <m/>
    <s v="NO"/>
    <m/>
    <m/>
    <m/>
    <s v="NO"/>
    <m/>
    <m/>
    <s v="NO"/>
    <s v="NO"/>
    <m/>
    <m/>
    <s v="Une évaluation finale sera menée à la fin du projet"/>
    <x v="1"/>
    <s v="NO"/>
    <s v="NO"/>
    <s v="YES"/>
    <s v="YES"/>
    <s v="YES"/>
    <s v="NO"/>
    <s v="NO"/>
    <s v="NO"/>
    <m/>
    <x v="1"/>
    <s v="- Le projet teste le modèle préscolaire de CARE Maroc afin d'assurer une meilleure éducation des enfants dans les zones plus vulnérables. Ce modèle met l'enfant au centre, tout en améliorant la qualité des unités d'appui (Equipements, infrastructures) et renforçant la capacité des éducatrices, gestionnaires des unités préscolaires, les parents et les communautés autour de cet enfant."/>
    <x v="1"/>
    <s v="- Le projet a touché plus de bénéficiaires que prévu dans le cadre logique et ce pour mutiplier l'impact de l'intervention"/>
    <x v="0"/>
    <x v="1"/>
    <s v="NO"/>
    <x v="0"/>
    <x v="0"/>
    <x v="0"/>
    <x v="4"/>
    <n v="3"/>
    <x v="1"/>
    <x v="1"/>
    <x v="1"/>
    <x v="1"/>
    <x v="1"/>
    <x v="1"/>
    <n v="4"/>
    <x v="2"/>
    <x v="1"/>
    <x v="1"/>
    <x v="1"/>
    <x v="2"/>
    <n v="3"/>
    <x v="2"/>
    <x v="3"/>
    <n v="44"/>
    <s v="Local NGO(s)/CSO(s)"/>
    <s v="National government"/>
    <s v="Local government(s)"/>
    <x v="0"/>
    <s v="- Formation des associations villageoises / quartier / de développement dans la gestion des unités préscolaires"/>
    <s v="- Le projet ciblaient essentiellement les unités préscolaires informelles privées. Au démarrage, le gouvernement a lancé une stratégie de développement dui secteur de l'éducation préscolaire. Pour soutenir cette démarche, nous avons inclus dans le diagnostic/selection et puis renforcement des unités préscolaires dites intégrées aux écoles primaires."/>
    <s v="- Modèle préscolaire CARE Maroc"/>
    <s v="- Parentalité positive"/>
    <s v="Masculinité positive"/>
    <s v="- La prise en considération des attentes des bénéficiares et la transparence sur les résultats et les ressources du projet garantissent un meilleur engagement des bénéficiaires."/>
    <s v="- Pour les interventions de grande envergure, les procédures peuvent plus de temps que prévu (au vu des liens avec les partenaire externes : bénéficiaires, partenaires institutionnels, bailleurs de fonds)"/>
    <s v="- Le rôle d'intermédiation que jouent CARE entre les différentes parties prenantes d'un secteur améliorent les relations et par conséquent les performances de ce dernier. e.g. lien entre les associations qui gérent les unités préscolaires sises au sein des écoles primaires avec les administrations locales/provinciales de l'éducation."/>
    <s v="Ce projet fait partie du projet Réussir (volet primaire). Dans cette fiche le budget du bailleur principal (la Banque mondiale) est indiqué ainsi que les bénéficiaires du volet primaire du projet Réussir. Dans la fiche du projet Réussir, seulement le volet préscolaire est inclut pour éviter le double comptage"/>
    <m/>
    <n v="2236"/>
    <n v="8944"/>
    <n v="4"/>
    <n v="0.63372093023255816"/>
    <n v="0.63372093023255816"/>
    <n v="1417"/>
    <n v="5668"/>
    <s v=""/>
    <n v="0"/>
    <n v="0"/>
    <s v=""/>
    <n v="1"/>
    <n v="1520"/>
    <n v="6080"/>
    <n v="4"/>
    <s v=""/>
    <n v="0"/>
    <n v="0"/>
    <s v=""/>
    <s v=""/>
    <n v="0"/>
    <n v="0"/>
    <s v=""/>
    <s v=""/>
    <n v="0"/>
    <n v="0"/>
    <s v=""/>
    <s v="3. Responsive"/>
    <s v="2. Accommodating"/>
    <s v="0. Harmful"/>
    <s v="It tested new ways for fighting poverty, but did not measure results of innovation"/>
    <s v="Moderate advocacy"/>
    <s v="It linked and worked with strategic alliances and partners to take tested and effective solutions to scale"/>
  </r>
  <r>
    <x v="49"/>
    <x v="5"/>
    <n v="3152"/>
    <s v="ECD INITIATIVE"/>
    <s v="Mozambique"/>
    <s v="FC: US1PM; PID: HILTMZ0007"/>
    <s v="CARE USA"/>
    <s v="Foundation"/>
    <s v="Other"/>
    <s v="Hilton Foundation"/>
    <s v="FC: US1IE; PID: FLATMZ0010"/>
    <s v="CARE USA"/>
    <s v="Foundation"/>
    <s v="Other"/>
    <s v="Flatley Foundation"/>
    <m/>
    <m/>
    <m/>
    <m/>
    <m/>
    <m/>
    <m/>
    <m/>
    <m/>
    <m/>
    <m/>
    <m/>
    <m/>
    <m/>
    <m/>
    <m/>
    <m/>
    <m/>
    <m/>
    <m/>
    <m/>
    <m/>
    <m/>
    <m/>
    <m/>
    <m/>
    <m/>
    <m/>
    <m/>
    <m/>
    <m/>
    <m/>
    <m/>
    <m/>
    <m/>
    <m/>
    <m/>
    <m/>
    <m/>
    <m/>
    <d v="2012-10-01T00:00:00"/>
    <d v="2018-06-30T00:00:00"/>
    <m/>
    <s v="Development Other"/>
    <n v="2365786"/>
    <s v="Ernestina Ricardo Huó"/>
    <s v="PM"/>
    <s v="Ernestina.Huo@care.org"/>
    <s v="José Manuel da Graça"/>
    <s v="Regional Coordinator"/>
    <s v="Jose.Dagraca@care.org"/>
    <s v="NO"/>
    <s v="YES"/>
    <s v="NO"/>
    <s v="The goal of this program is to use implementation science methods to evaluate strategies that increase the effectiveness of Early Childhood Development (ECD) programming and improve developmental outcomes for infants and young children affected by or at high risk of being affected by HIV/AIDS. In achieving this goal, we will identify what factors contribute to increased impact in this population. We will closely collaborate with academic organizations and local partners using implementation science methods to test the role of participatory social accountability and other factors in increasing the effectiveness and sustainability of evidence-based family oriented and community based ECD strategies."/>
    <s v="Sub-National"/>
    <s v="Homoine and Funhalouro District; Inhambane Province in Mozambique"/>
    <s v="Children under 5 years and their respective Caregivers;"/>
    <n v="5925"/>
    <n v="4845"/>
    <n v="10770"/>
    <n v="29425"/>
    <n v="24075"/>
    <n v="53500"/>
    <s v="Direct participants are children under 5 years and their respective caregivers. indirect participants, are the remaining members of the household"/>
    <m/>
    <m/>
    <m/>
    <m/>
    <m/>
    <m/>
    <m/>
    <m/>
    <m/>
    <m/>
    <m/>
    <m/>
    <m/>
    <m/>
    <m/>
    <m/>
    <m/>
    <m/>
    <m/>
    <m/>
    <m/>
    <m/>
    <m/>
    <m/>
    <m/>
    <m/>
    <m/>
    <m/>
    <m/>
    <m/>
    <m/>
    <m/>
    <m/>
    <m/>
    <m/>
    <m/>
    <m/>
    <m/>
    <m/>
    <m/>
    <m/>
    <m/>
    <m/>
    <m/>
    <m/>
    <m/>
    <m/>
    <m/>
    <m/>
    <m/>
    <m/>
    <m/>
    <m/>
    <m/>
    <m/>
    <m/>
    <m/>
    <m/>
    <m/>
    <m/>
    <n v="5683"/>
    <n v="4650"/>
    <n v="10333"/>
    <n v="28415"/>
    <n v="23250"/>
    <n v="51665"/>
    <s v="NO"/>
    <m/>
    <m/>
    <m/>
    <s v="NO"/>
    <m/>
    <m/>
    <m/>
    <s v="NO"/>
    <m/>
    <m/>
    <m/>
    <s v="NO"/>
    <m/>
    <m/>
    <m/>
    <s v="NO"/>
    <m/>
    <m/>
    <m/>
    <s v="NO"/>
    <m/>
    <m/>
    <m/>
    <s v="NO"/>
    <m/>
    <m/>
    <m/>
    <s v="NO"/>
    <m/>
    <m/>
    <m/>
    <s v="NO"/>
    <m/>
    <m/>
    <m/>
    <s v="NO"/>
    <m/>
    <m/>
    <m/>
    <s v="NO"/>
    <m/>
    <m/>
    <m/>
    <s v="NO"/>
    <m/>
    <m/>
    <m/>
    <s v="NO"/>
    <m/>
    <m/>
    <m/>
    <s v="NO"/>
    <m/>
    <m/>
    <m/>
    <s v="NO"/>
    <m/>
    <m/>
    <m/>
    <s v="NO"/>
    <m/>
    <m/>
    <m/>
    <s v="Early Childhood Development (ECD)"/>
    <s v="YES"/>
    <n v="10333"/>
    <n v="0.54990000000000006"/>
    <n v="51665"/>
    <s v="YES"/>
    <s v="August"/>
    <n v="2016"/>
    <s v="YES"/>
    <s v="YES"/>
    <s v="February"/>
    <n v="2018"/>
    <s v="The final evaluation of the project will be based on the household survey and FGDs with key informants and direct participants"/>
    <x v="1"/>
    <s v="NO"/>
    <s v="NO"/>
    <s v="NO"/>
    <s v="YES"/>
    <s v="YES"/>
    <s v="YES"/>
    <s v="NO"/>
    <s v="NO"/>
    <m/>
    <x v="0"/>
    <m/>
    <x v="0"/>
    <m/>
    <x v="0"/>
    <x v="0"/>
    <s v="YES"/>
    <x v="0"/>
    <x v="0"/>
    <x v="0"/>
    <x v="0"/>
    <n v="4"/>
    <x v="1"/>
    <x v="1"/>
    <x v="1"/>
    <x v="1"/>
    <x v="1"/>
    <x v="1"/>
    <n v="4"/>
    <x v="2"/>
    <x v="2"/>
    <x v="2"/>
    <x v="2"/>
    <x v="2"/>
    <n v="0"/>
    <x v="2"/>
    <x v="2"/>
    <n v="3"/>
    <s v="Local NGO(s)/CSO(s)"/>
    <s v="Local government(s)"/>
    <s v="Local alliance(s)/Platform(s)/Network(s) of  NGOs/CSOs"/>
    <x v="0"/>
    <s v="Working on capacity building with implementing partners"/>
    <s v="No changes were made to this FY."/>
    <s v="Selection of community volunteers locally"/>
    <s v="Inclusion of men in all activities"/>
    <m/>
    <s v="Community volunteers are effective in tracking cases of malnutrition"/>
    <s v="Hiring community facilitators living in the same community has improved service delivery. There was improvement in reaching the goals; The effectiveness of the follow-up of the cases was ensured."/>
    <m/>
    <s v="The Project was implemented on the basis of a new methodology (Early Childhood Development Based on Domicile); Evaluate the results and impacts recorded by the Project; Advocacy done at various levels (National, Provincial and District)._x000a_Its main objective is to adopt a new model of IPD, once approved by the evaluation of the Project as a model that generates positive changes in the level of provision of care and stimulation of children under 5 years, with a view to their integral and harmonious development ."/>
    <m/>
    <n v="10333"/>
    <n v="51665"/>
    <n v="5"/>
    <n v="0.54998548340269038"/>
    <n v="0.54998548340269038"/>
    <n v="5683"/>
    <n v="28415"/>
    <s v=""/>
    <n v="0"/>
    <n v="0"/>
    <s v=""/>
    <s v=""/>
    <n v="0"/>
    <n v="0"/>
    <s v=""/>
    <s v=""/>
    <n v="0"/>
    <n v="0"/>
    <s v=""/>
    <s v=""/>
    <n v="0"/>
    <n v="0"/>
    <s v=""/>
    <s v=""/>
    <n v="0"/>
    <n v="0"/>
    <s v=""/>
    <s v="2. Sensitive"/>
    <s v="2. Accommodating"/>
    <s v="0. Harmful"/>
    <s v="It did not develop any specific innovation"/>
    <s v="Moderate advocacy"/>
    <s v="It did not take tested solutions to scale"/>
  </r>
  <r>
    <x v="49"/>
    <x v="5"/>
    <m/>
    <s v="Emergency Response: Drought and Cyclone"/>
    <s v="Mozambique"/>
    <s v="US1R8"/>
    <s v="No CARE member related to the project/initiative"/>
    <m/>
    <m/>
    <s v="OXFAM Netherlands"/>
    <s v="US1XS"/>
    <m/>
    <m/>
    <m/>
    <s v="OFDA"/>
    <s v="US1XK"/>
    <m/>
    <m/>
    <m/>
    <s v="OFDA"/>
    <s v="CH001"/>
    <m/>
    <m/>
    <m/>
    <s v="CI-Emergency"/>
    <s v="US1YB"/>
    <m/>
    <m/>
    <m/>
    <s v="UNICEF"/>
    <m/>
    <m/>
    <m/>
    <m/>
    <m/>
    <m/>
    <m/>
    <m/>
    <m/>
    <m/>
    <m/>
    <m/>
    <m/>
    <m/>
    <m/>
    <m/>
    <m/>
    <m/>
    <m/>
    <m/>
    <m/>
    <m/>
    <m/>
    <m/>
    <m/>
    <d v="2016-06-01T00:00:00"/>
    <d v="2018-05-31T00:00:00"/>
    <m/>
    <s v="Humanitarian Food &amp; Nutrition Security and Resilience to Climate Change"/>
    <n v="9841707.966"/>
    <s v="Ivete Moutinho"/>
    <s v="Emergency Project Manager"/>
    <s v="Ivete.Moutinho@care.org"/>
    <s v="Saul Butters"/>
    <s v="ACD"/>
    <s v="Saul.Butters@care.org"/>
    <s v="YES"/>
    <s v="NO"/>
    <s v="NO"/>
    <s v="Reduce the impact of drought and cyclone for the most vulnerable families, as well as create resilience and reduce vulnerability."/>
    <s v="Sub-National"/>
    <s v="Inhambane Province"/>
    <s v="All vulnerable households affected by drought and cyclone, with a focus on women, children and people with special needs (including chronically ill; disability)."/>
    <m/>
    <m/>
    <m/>
    <m/>
    <m/>
    <m/>
    <s v="Most of the interventions have, as direct beneficiaries, all members of the household. The distribution of food is for the benefit of the entire household. Access to water is for all members of the household. The difference is in the repair of the infrastructure. A rehabilitated school directly benefits students and teachers."/>
    <m/>
    <n v="119923"/>
    <n v="96936"/>
    <n v="216859"/>
    <m/>
    <m/>
    <m/>
    <s v="NO"/>
    <m/>
    <m/>
    <m/>
    <s v="NO"/>
    <m/>
    <m/>
    <m/>
    <s v="YES"/>
    <n v="10000"/>
    <n v="0.55000000000000004"/>
    <m/>
    <s v="YES"/>
    <n v="171230"/>
    <n v="0.55000000000000004"/>
    <m/>
    <s v="NO"/>
    <m/>
    <m/>
    <m/>
    <s v="NO"/>
    <m/>
    <m/>
    <m/>
    <s v="YES"/>
    <n v="10000"/>
    <n v="0.55000000000000004"/>
    <m/>
    <s v="Yes"/>
    <n v="205265"/>
    <n v="0.55000000000000004"/>
    <m/>
    <s v="NO"/>
    <m/>
    <m/>
    <m/>
    <s v="YES"/>
    <n v="25629"/>
    <n v="0.55000000000000004"/>
    <m/>
    <s v="YES"/>
    <n v="25629"/>
    <m/>
    <m/>
    <s v="YES"/>
    <n v="45421"/>
    <n v="0.56999999999999995"/>
    <m/>
    <m/>
    <m/>
    <m/>
    <m/>
    <m/>
    <m/>
    <m/>
    <m/>
    <m/>
    <m/>
    <m/>
    <m/>
    <m/>
    <m/>
    <m/>
    <m/>
    <m/>
    <m/>
    <m/>
    <m/>
    <m/>
    <m/>
    <m/>
    <m/>
    <m/>
    <m/>
    <m/>
    <m/>
    <m/>
    <m/>
    <m/>
    <m/>
    <m/>
    <m/>
    <m/>
    <m/>
    <m/>
    <m/>
    <m/>
    <m/>
    <m/>
    <m/>
    <m/>
    <m/>
    <m/>
    <m/>
    <m/>
    <m/>
    <m/>
    <m/>
    <m/>
    <m/>
    <m/>
    <m/>
    <m/>
    <m/>
    <m/>
    <m/>
    <m/>
    <m/>
    <m/>
    <m/>
    <m/>
    <m/>
    <m/>
    <m/>
    <m/>
    <m/>
    <m/>
    <m/>
    <m/>
    <m/>
    <m/>
    <m/>
    <m/>
    <m/>
    <m/>
    <m/>
    <m/>
    <m/>
    <s v="YES"/>
    <m/>
    <m/>
    <s v="NO"/>
    <s v="YES"/>
    <s v="November"/>
    <n v="2017"/>
    <m/>
    <x v="0"/>
    <s v="NO"/>
    <s v="NO"/>
    <s v="NO"/>
    <s v="YES"/>
    <s v="NO"/>
    <s v="NO"/>
    <s v="NO"/>
    <m/>
    <m/>
    <x v="2"/>
    <s v="Use of ICTs for food distribution (improvement of the control and management of the process);                                                                          Introduction of the e-voucher, for the distribution of food. This innovation has made the distribution process more efficient as well as easily produced evidence that those who received the food are in fact the beneficiaries."/>
    <x v="1"/>
    <m/>
    <x v="1"/>
    <x v="1"/>
    <s v="YES"/>
    <x v="0"/>
    <x v="0"/>
    <x v="0"/>
    <x v="2"/>
    <n v="4"/>
    <x v="1"/>
    <x v="1"/>
    <x v="2"/>
    <x v="1"/>
    <x v="1"/>
    <x v="1"/>
    <n v="3"/>
    <x v="3"/>
    <x v="1"/>
    <x v="1"/>
    <x v="1"/>
    <x v="4"/>
    <n v="3"/>
    <x v="3"/>
    <x v="2"/>
    <n v="2"/>
    <s v="Local government(s)"/>
    <s v="Local NGO(s)/CSO(s)"/>
    <m/>
    <x v="2"/>
    <m/>
    <m/>
    <s v="Government and partners involvement in all phases of emergency response"/>
    <m/>
    <m/>
    <m/>
    <m/>
    <s v="During the process of identification of the beneficiaries, it is necessary to seek evidence of the vulnerability of each one, even though it is a process involving the government and local leaders."/>
    <m/>
    <s v="https://www.dropbox.com/s/md3pjpuo4nwqvdl/2017.08%2313_V2_Final.docx?dl=0  "/>
    <n v="216859"/>
    <n v="0"/>
    <n v="0"/>
    <n v="0.55299987549513741"/>
    <s v=""/>
    <n v="119923"/>
    <n v="0"/>
    <n v="1"/>
    <n v="216859"/>
    <n v="0"/>
    <n v="0"/>
    <n v="1"/>
    <n v="205265"/>
    <n v="0"/>
    <n v="0"/>
    <n v="1"/>
    <n v="25629"/>
    <n v="0"/>
    <n v="0"/>
    <s v=""/>
    <n v="0"/>
    <n v="0"/>
    <s v=""/>
    <s v=""/>
    <n v="0"/>
    <n v="0"/>
    <s v=""/>
    <s v="4. Transformative"/>
    <s v="2. Accommodating"/>
    <s v="4. Transformative"/>
    <s v="It tested new ways for fighting poverty and measured results of innovation"/>
    <s v="Little or no advocacy"/>
    <s v="It linked and worked with strategic alliances and partners to take tested and effective solutions to scale"/>
  </r>
  <r>
    <x v="49"/>
    <x v="5"/>
    <n v="3147"/>
    <s v="Nampula Adaptation to Climate Change (NACC)"/>
    <s v="Mozambique"/>
    <s v="CDEUMZ0004"/>
    <s v="CARE Deutschland-Luxemburg"/>
    <s v="Government"/>
    <s v="Government - Germany"/>
    <s v="BMZ"/>
    <m/>
    <m/>
    <m/>
    <m/>
    <m/>
    <m/>
    <m/>
    <m/>
    <m/>
    <m/>
    <m/>
    <m/>
    <m/>
    <m/>
    <m/>
    <m/>
    <m/>
    <m/>
    <m/>
    <m/>
    <m/>
    <m/>
    <m/>
    <m/>
    <m/>
    <m/>
    <m/>
    <m/>
    <m/>
    <m/>
    <m/>
    <m/>
    <m/>
    <m/>
    <m/>
    <m/>
    <m/>
    <m/>
    <m/>
    <m/>
    <m/>
    <m/>
    <m/>
    <m/>
    <m/>
    <d v="2015-01-31T00:00:00"/>
    <d v="2017-12-31T00:00:00"/>
    <d v="2018-04-30T00:00:00"/>
    <s v="Development Food &amp; Nutrition Security and Resilience to Climate Change"/>
    <n v="3763499.9805000001"/>
    <s v="Domingos Meque"/>
    <s v="Project Manager"/>
    <s v="domingos.meque@care.org"/>
    <s v="Maria Cadahia"/>
    <s v="Program Manager"/>
    <s v="maria.cadahia@care.org"/>
    <s v="NO"/>
    <s v="YES"/>
    <s v="NO"/>
    <s v="Small holder farmers in Nampula Province, especially women, have enhanced capacities and resilience to adapt to the impacts of climate change, leading to increased food"/>
    <s v="Sub-National"/>
    <s v="Moma, Larde and Angoche districts in Nampula Province"/>
    <s v="Socially, economically and/or politically excluded women, especially small-holder farmers, who depend on Natural Resources"/>
    <n v="19152"/>
    <n v="13568"/>
    <n v="32720"/>
    <n v="95760"/>
    <n v="67840"/>
    <n v="163600"/>
    <s v="Direct participants: #s obtained from project database. Indirect participants: #s for indirect participants were estimated using population statistics for average household size (5-total #of direct participants). There was no reliable means to disaggregate #s for indirect participants."/>
    <m/>
    <m/>
    <m/>
    <m/>
    <m/>
    <m/>
    <m/>
    <m/>
    <m/>
    <m/>
    <m/>
    <m/>
    <m/>
    <m/>
    <m/>
    <m/>
    <m/>
    <m/>
    <m/>
    <m/>
    <m/>
    <m/>
    <m/>
    <m/>
    <m/>
    <m/>
    <m/>
    <m/>
    <m/>
    <m/>
    <m/>
    <m/>
    <m/>
    <m/>
    <m/>
    <m/>
    <m/>
    <m/>
    <m/>
    <m/>
    <m/>
    <m/>
    <m/>
    <m/>
    <m/>
    <m/>
    <m/>
    <m/>
    <m/>
    <m/>
    <m/>
    <m/>
    <m/>
    <m/>
    <m/>
    <m/>
    <m/>
    <m/>
    <m/>
    <m/>
    <n v="19152"/>
    <n v="13568"/>
    <n v="32720"/>
    <n v="95760"/>
    <n v="67840"/>
    <n v="163600"/>
    <s v="YES"/>
    <n v="7305"/>
    <n v="0.47399999999999998"/>
    <n v="36525"/>
    <s v="YES"/>
    <n v="12111"/>
    <n v="0.34300000000000003"/>
    <n v="60555"/>
    <s v="NO"/>
    <m/>
    <m/>
    <m/>
    <s v="NO"/>
    <m/>
    <m/>
    <m/>
    <s v="NO"/>
    <m/>
    <m/>
    <m/>
    <s v="NO"/>
    <m/>
    <m/>
    <m/>
    <s v="YES"/>
    <n v="2788"/>
    <n v="0.628"/>
    <n v="13940"/>
    <s v="YES"/>
    <n v="550"/>
    <n v="0.60699999999999998"/>
    <n v="2750"/>
    <s v="NO"/>
    <m/>
    <m/>
    <m/>
    <s v="NO"/>
    <m/>
    <m/>
    <m/>
    <s v="NO"/>
    <m/>
    <m/>
    <m/>
    <s v="NO"/>
    <m/>
    <m/>
    <m/>
    <s v="YES"/>
    <n v="425"/>
    <n v="9.6000000000000002E-2"/>
    <n v="2125"/>
    <s v="NO"/>
    <m/>
    <m/>
    <m/>
    <s v="NO"/>
    <m/>
    <m/>
    <m/>
    <s v="YES"/>
    <n v="3535"/>
    <n v="0.61299999999999999"/>
    <n v="17675"/>
    <m/>
    <m/>
    <m/>
    <m/>
    <m/>
    <s v="YES"/>
    <s v="October"/>
    <n v="2016"/>
    <s v="YES"/>
    <s v="YES"/>
    <s v="October"/>
    <n v="2017"/>
    <s v="the final project evaluation &quot;endline&quot; will take place in October and it will be conducted by an independent consultant."/>
    <x v="0"/>
    <m/>
    <m/>
    <m/>
    <m/>
    <m/>
    <m/>
    <m/>
    <s v="YES"/>
    <s v="Influencing governments to develop policies regarding smart and intellegent conservation agriculture tecnhiques."/>
    <x v="2"/>
    <s v="Conservation agriculture´s techniques"/>
    <x v="1"/>
    <s v="the project worked with local partners as implementers, therefore testing effectively the climate smart intellegent conservatio agriculture techniques and village saving and loan techniques to improve small householdres income.  "/>
    <x v="2"/>
    <x v="1"/>
    <s v="YES"/>
    <x v="1"/>
    <x v="0"/>
    <x v="0"/>
    <x v="4"/>
    <n v="3"/>
    <x v="1"/>
    <x v="1"/>
    <x v="2"/>
    <x v="1"/>
    <x v="2"/>
    <x v="4"/>
    <n v="2"/>
    <x v="1"/>
    <x v="1"/>
    <x v="1"/>
    <x v="2"/>
    <x v="3"/>
    <n v="2"/>
    <x v="3"/>
    <x v="2"/>
    <n v="2"/>
    <s v="Local NGO(s)/CSO(s)"/>
    <m/>
    <m/>
    <x v="0"/>
    <m/>
    <s v="NACC changed its FFS approach. Instead of forming every year new FFS, we remaining in the same FFS and invited new elements into FFS. Doing that it allowed NACC to reach more people in the communities."/>
    <s v="NACC empowered communtities to discuss about the conservation agriculture throught out the Farmer Field Schools practive"/>
    <s v="NACC worked with community leaders during the process of wealthy ranking to select beneficiaries for FFS and saving groups"/>
    <s v="During the nutrition, government capacity building workshop and gender activities NACC worked hand to hand with local government and village communities leaders. This strategy increased a lot the number of particiipants."/>
    <m/>
    <m/>
    <m/>
    <m/>
    <m/>
    <n v="32720"/>
    <n v="163600"/>
    <n v="5"/>
    <n v="0.58533007334963327"/>
    <n v="0.58533007334963327"/>
    <n v="19152"/>
    <n v="95760"/>
    <s v=""/>
    <n v="0"/>
    <n v="0"/>
    <s v=""/>
    <n v="1"/>
    <n v="12111"/>
    <n v="60555"/>
    <n v="5"/>
    <s v=""/>
    <n v="0"/>
    <n v="0"/>
    <s v=""/>
    <n v="1"/>
    <n v="550"/>
    <n v="2750"/>
    <n v="5"/>
    <n v="1"/>
    <n v="3535"/>
    <n v="17675"/>
    <n v="5"/>
    <s v="3. Responsive"/>
    <s v="1. Tokenistic"/>
    <s v="1. Neutral"/>
    <s v="It tested new ways for fighting poverty and measured results of innovation"/>
    <s v="Little or no advocacy"/>
    <s v="It linked and worked with strategic alliances and partners to take tested and effective solutions to scale"/>
  </r>
  <r>
    <x v="49"/>
    <x v="5"/>
    <m/>
    <s v="ORERIHA"/>
    <s v="Mozambique"/>
    <s v="DAIEMZ0001"/>
    <s v="CARE UK"/>
    <s v="Government"/>
    <s v="Government - UK"/>
    <s v="DFID"/>
    <m/>
    <m/>
    <m/>
    <m/>
    <m/>
    <m/>
    <m/>
    <m/>
    <m/>
    <m/>
    <m/>
    <m/>
    <m/>
    <m/>
    <m/>
    <m/>
    <m/>
    <m/>
    <m/>
    <m/>
    <m/>
    <m/>
    <m/>
    <m/>
    <m/>
    <m/>
    <m/>
    <m/>
    <m/>
    <m/>
    <m/>
    <m/>
    <m/>
    <m/>
    <m/>
    <m/>
    <m/>
    <m/>
    <m/>
    <m/>
    <m/>
    <m/>
    <m/>
    <m/>
    <m/>
    <d v="2016-02-01T00:00:00"/>
    <d v="2018-01-31T00:00:00"/>
    <d v="2018-04-30T00:00:00"/>
    <s v="Development Access to and Control over Economic Resources"/>
    <n v="154507"/>
    <s v="Maria Cadahia"/>
    <s v="Project Manager (Mar 2017- present)"/>
    <s v="maria.cadahia@care.org"/>
    <s v="Cathy Riley"/>
    <s v="ACD - P"/>
    <s v="Cathy.Riley@care.org"/>
    <s v="NO"/>
    <s v="YES"/>
    <s v="NO"/>
    <s v="Pilot and replicate innovation in e-recording of savings group transactions"/>
    <s v="Sub-National"/>
    <s v="Angoche districts in Nampula Province"/>
    <s v="Rural women who depend on Natural Resources"/>
    <n v="5934"/>
    <n v="3956"/>
    <n v="9890"/>
    <n v="1380"/>
    <n v="920"/>
    <n v="2300"/>
    <s v="Direct participants: #s obtained from project database. Indirect participants: #s for indirect participants were estimated using population statistics for average household size (5-total #of direct participants). There was no reliable means to disaggregate #s for indirect participants."/>
    <m/>
    <m/>
    <m/>
    <m/>
    <m/>
    <m/>
    <m/>
    <m/>
    <m/>
    <m/>
    <m/>
    <m/>
    <m/>
    <m/>
    <m/>
    <m/>
    <m/>
    <m/>
    <m/>
    <m/>
    <m/>
    <m/>
    <m/>
    <m/>
    <m/>
    <m/>
    <m/>
    <m/>
    <m/>
    <m/>
    <m/>
    <m/>
    <m/>
    <m/>
    <m/>
    <m/>
    <m/>
    <m/>
    <m/>
    <m/>
    <m/>
    <m/>
    <m/>
    <m/>
    <m/>
    <m/>
    <m/>
    <m/>
    <m/>
    <m/>
    <m/>
    <m/>
    <m/>
    <m/>
    <m/>
    <m/>
    <m/>
    <m/>
    <m/>
    <m/>
    <n v="5934"/>
    <n v="3956"/>
    <n v="9890"/>
    <n v="1380"/>
    <n v="920"/>
    <n v="2300"/>
    <m/>
    <m/>
    <m/>
    <m/>
    <m/>
    <m/>
    <m/>
    <m/>
    <m/>
    <m/>
    <m/>
    <m/>
    <m/>
    <m/>
    <m/>
    <m/>
    <m/>
    <m/>
    <m/>
    <m/>
    <m/>
    <m/>
    <m/>
    <m/>
    <m/>
    <m/>
    <m/>
    <m/>
    <m/>
    <m/>
    <m/>
    <m/>
    <m/>
    <m/>
    <m/>
    <m/>
    <m/>
    <m/>
    <m/>
    <m/>
    <m/>
    <m/>
    <m/>
    <m/>
    <m/>
    <m/>
    <m/>
    <m/>
    <m/>
    <m/>
    <m/>
    <m/>
    <m/>
    <m/>
    <m/>
    <m/>
    <m/>
    <m/>
    <m/>
    <m/>
    <s v="YES"/>
    <n v="9890"/>
    <n v="0.6"/>
    <n v="2300"/>
    <m/>
    <m/>
    <m/>
    <m/>
    <m/>
    <s v="YES"/>
    <s v="March"/>
    <n v="2017"/>
    <m/>
    <s v="YES"/>
    <s v="March"/>
    <n v="2018"/>
    <s v="Final Evaluation"/>
    <x v="0"/>
    <m/>
    <m/>
    <m/>
    <m/>
    <m/>
    <m/>
    <m/>
    <m/>
    <m/>
    <x v="1"/>
    <s v="It is testing a mobile application to faciliatte community savings and loans"/>
    <x v="1"/>
    <s v="It is testing and working with other partners to look at application and innovation suatainability to scale up and replicate if feasible"/>
    <x v="0"/>
    <x v="0"/>
    <s v="YES"/>
    <x v="0"/>
    <x v="0"/>
    <x v="0"/>
    <x v="0"/>
    <n v="4"/>
    <x v="1"/>
    <x v="1"/>
    <x v="1"/>
    <x v="1"/>
    <x v="1"/>
    <x v="1"/>
    <n v="4"/>
    <x v="1"/>
    <x v="1"/>
    <x v="1"/>
    <x v="1"/>
    <x v="1"/>
    <n v="3"/>
    <x v="2"/>
    <x v="3"/>
    <n v="1"/>
    <s v="Local NGO(s)/CSO(s)"/>
    <s v="Private sector"/>
    <m/>
    <x v="1"/>
    <m/>
    <s v="The project is supporting VSLA with inovation technology"/>
    <m/>
    <m/>
    <m/>
    <s v="The application is not very susteiable due to lack of interest of the private developer, new solutions needs to be identified"/>
    <s v="Communities like the tecnology becasue is more transaparent , flexible with savings &amp; withdraws and facilitate their calculations"/>
    <m/>
    <s v="It faced many challenges also due to unreliability of national consultants deliverables of video production materials, problems with application development and huge delays with funds disbursments and payments which impact implementation of activities."/>
    <m/>
    <n v="9890"/>
    <n v="2300"/>
    <n v="0.23255813953488372"/>
    <n v="0.6"/>
    <n v="0.6"/>
    <n v="5934"/>
    <n v="1380"/>
    <s v=""/>
    <n v="0"/>
    <n v="0"/>
    <s v=""/>
    <s v=""/>
    <n v="0"/>
    <n v="0"/>
    <s v=""/>
    <s v=""/>
    <n v="0"/>
    <n v="0"/>
    <s v=""/>
    <s v=""/>
    <n v="0"/>
    <n v="0"/>
    <s v=""/>
    <n v="1"/>
    <n v="9890"/>
    <n v="2300"/>
    <n v="0.23255813953488372"/>
    <s v="2. Sensitive"/>
    <s v="2. Accommodating"/>
    <s v="2. Sensitive"/>
    <s v="It tested new ways for fighting poverty, but did not measure results of innovation"/>
    <s v="Little or no advocacy"/>
    <s v="It linked and worked with strategic alliances and partners to take tested and effective solutions to scale"/>
  </r>
  <r>
    <x v="49"/>
    <x v="5"/>
    <m/>
    <s v="Partnerships and Alliances of Civil Society for Rights to Land and Natural Resources - PACT"/>
    <s v="Mozambique"/>
    <s v="FC: DK116 &amp; PID: CDNKMOZ0024"/>
    <s v="CARE Danmark"/>
    <s v="Multilateral agency"/>
    <s v="Government - Denmark"/>
    <s v="DANIDA"/>
    <m/>
    <m/>
    <m/>
    <m/>
    <m/>
    <m/>
    <m/>
    <m/>
    <m/>
    <m/>
    <m/>
    <m/>
    <m/>
    <m/>
    <m/>
    <m/>
    <m/>
    <m/>
    <m/>
    <m/>
    <m/>
    <m/>
    <m/>
    <m/>
    <m/>
    <m/>
    <m/>
    <m/>
    <m/>
    <m/>
    <m/>
    <m/>
    <m/>
    <m/>
    <m/>
    <m/>
    <m/>
    <m/>
    <m/>
    <m/>
    <m/>
    <m/>
    <m/>
    <m/>
    <m/>
    <d v="2013-01-01T00:00:00"/>
    <d v="2017-12-31T00:00:00"/>
    <m/>
    <s v="Development Access to and Control over Economic Resources"/>
    <n v="2858000"/>
    <s v="Vivaldino Obadias Banze"/>
    <s v="Program Manager"/>
    <s v="vivaldino.banze@care.org"/>
    <s v="Cathy Riley"/>
    <s v="ACD-P"/>
    <s v="Cathy.Riley@care.org"/>
    <s v="NO"/>
    <s v="YES"/>
    <s v="NO"/>
    <s v="Legitimate Mozambican civil society organizations and coalitions/platforms are increasingly able to effectively engage with and influence development partners (government, donors, private sector, etc) strategies, policies legislation development and implementation at national, provincial and district levels related to land, natural resources and rural livelihood issues."/>
    <s v="Sub-National"/>
    <s v="Maputo, Capital of Mozambique - Allience Against Land Grabbing (ASCUT), National Platform of Natural Resources and Extractive Industry (NPNREI) Civil Society National Platform of Climate Change (CSNPCC), Association for Youth Development (KUWUKA-JDA); Nampula Province - ORAM 10 district of Nampula - (Malema, Ribaué, Mecuburi, Rapale, Murrupula, Moma, Angoche, Larde, Mogincual e Liupo); AKILIZETHO - Liupo District (17 communities of Administrative Post of Liupo (Maquela, Manhunho, Meloge, Metuma, Morola, Namuhocola, Nathú, Nanahene, Namuali, Metapa, Cuvire, Nakuca, Nacuacue, Namezene, Caira, Mecupela and Muhoco); 03 communities of Administrative Post of Namige (Mucuheia, Naminane sede, Majole and Metapata); Nampula Provincial Union of Farmers (UPC-N)  - 11 Districts - (Ribaue, Muecate, Murrupula, Nacaroa; Monapo, Meconta, Erati, Malema, Angoche, Moma, Mugovolas); Networks of Agricultural and Natural Resources (NANR) from Nampula provincial platform of civil society organization. Cabo Delgado Province, Pemba city - Thematic Group of Natural Resources and Environment (TGNRE)."/>
    <s v="Four (4) individual organizations, (KUWUKA-JDA) based in Maputo and (ORAM, AKILIZETHO and UPC-N) from Nampula province. Three (3) national platforms of civil society (ASCUT, NPNREI, CSNPCC) and two (2) provincial civil society networks (TGNRE-PEMBA &amp; NWANR-NAMPULA). AKILIZETHO - Local Development Comitee (LDC) and Women members of LDC; UPC-N - Districtal Advocacy Agents and Women of the movement; ORAM - Natural Resources Management Comite and Staff of the district government.      "/>
    <n v="664"/>
    <n v="868"/>
    <n v="1532"/>
    <n v="14042"/>
    <n v="18176"/>
    <n v="32218"/>
    <s v="Four (4) individual organizations, (KUWUKA-JDA) based in Maputo and (ORAM, AKILIZETHO and UPC-N) from Nampula province. Three (3) national platforms of civil society (ASCUT, NPNREI, CSNPCC) and two (2) provincial civil society networks (TGNRE-PEMBA &amp; NWANR-NAMPULA). AKILIZETHO - Local Development Comitee (LDC) and Women members of LDC; UPC-N - Districtal Advocacy Agents and Women of the movement; ORAM - Natural Resources Management Comite and Staff of the district government.      "/>
    <m/>
    <m/>
    <m/>
    <m/>
    <m/>
    <m/>
    <m/>
    <m/>
    <m/>
    <m/>
    <m/>
    <m/>
    <m/>
    <m/>
    <m/>
    <m/>
    <m/>
    <m/>
    <m/>
    <m/>
    <m/>
    <m/>
    <m/>
    <m/>
    <m/>
    <m/>
    <m/>
    <m/>
    <m/>
    <m/>
    <m/>
    <m/>
    <m/>
    <m/>
    <m/>
    <m/>
    <m/>
    <m/>
    <m/>
    <m/>
    <m/>
    <m/>
    <m/>
    <m/>
    <m/>
    <m/>
    <m/>
    <m/>
    <m/>
    <m/>
    <m/>
    <m/>
    <m/>
    <m/>
    <m/>
    <m/>
    <m/>
    <m/>
    <m/>
    <m/>
    <n v="939"/>
    <n v="1268"/>
    <n v="2207"/>
    <n v="14042"/>
    <n v="18176"/>
    <n v="32218"/>
    <s v="YES"/>
    <n v="333"/>
    <m/>
    <n v="9491"/>
    <s v="YES"/>
    <n v="12"/>
    <m/>
    <n v="440"/>
    <m/>
    <m/>
    <m/>
    <m/>
    <m/>
    <m/>
    <m/>
    <m/>
    <m/>
    <m/>
    <m/>
    <m/>
    <m/>
    <m/>
    <m/>
    <m/>
    <m/>
    <m/>
    <m/>
    <m/>
    <m/>
    <m/>
    <m/>
    <m/>
    <s v="YES"/>
    <n v="830"/>
    <m/>
    <n v="14042"/>
    <m/>
    <m/>
    <m/>
    <m/>
    <m/>
    <m/>
    <m/>
    <m/>
    <s v="YES"/>
    <n v="698"/>
    <m/>
    <n v="1320"/>
    <s v="YES"/>
    <n v="237"/>
    <m/>
    <n v="7367"/>
    <m/>
    <m/>
    <m/>
    <m/>
    <m/>
    <m/>
    <m/>
    <m/>
    <m/>
    <m/>
    <m/>
    <m/>
    <m/>
    <m/>
    <m/>
    <m/>
    <m/>
    <s v="NO"/>
    <m/>
    <m/>
    <m/>
    <s v="YES"/>
    <s v="December"/>
    <n v="2017"/>
    <s v="In 2017 the program will conduct the final evaluation, the evaluation will be conduct by an external consultant with suppor from CAre Denmark and collaboration of CARE Mozambique staff. The overall purpose of the evaluation is to provide programme stakeholders with an external analysis of programme Outcomes which will inform planning and decision-making for the next phase of the programme."/>
    <x v="2"/>
    <s v="NO"/>
    <s v="NO"/>
    <m/>
    <s v="YES"/>
    <s v="YES"/>
    <m/>
    <s v="YES"/>
    <s v="YES"/>
    <s v="Revisão do quadro legal da terra"/>
    <x v="2"/>
    <s v="1) In building partner´s capacities promoting close collaboration between Care Mozambique and others donors that support same national organization allows them to be more transparent and accountable;   2) In the Mozambican context where public institutions are controlled by the government, governance is weak and political actors have economic interests, using the global mechanisms for promoting human rights as the International Center for Business and Human Rights is a good strategy for lobbying and influence of companies that have investments at national level to respect the human right"/>
    <x v="1"/>
    <s v="All advocacy innitiaves of the program are promoted by the individual organizations through networks and platforms and this methodology seems to be more effective in advocacy. As example, Nampula civil society platform through their network of agriculture and natural resources that integrate 3 program partners in coordination with two national level platforms, ASCUT and Extractive Industry platform were able to influence the Government of Mozambique, Brazilian and Japan to promote more comprehensive and transparent discussion on the ProSavana Master Plan and ensure that communities and other stakeholders could participate in the preparation of the Master Plan document"/>
    <x v="1"/>
    <x v="0"/>
    <s v="YES"/>
    <x v="0"/>
    <x v="0"/>
    <x v="0"/>
    <x v="0"/>
    <n v="4"/>
    <x v="2"/>
    <x v="1"/>
    <x v="1"/>
    <x v="1"/>
    <x v="1"/>
    <x v="2"/>
    <n v="4"/>
    <x v="0"/>
    <x v="0"/>
    <x v="0"/>
    <x v="0"/>
    <x v="0"/>
    <n v="0"/>
    <x v="1"/>
    <x v="2"/>
    <n v="7"/>
    <s v="Grassroots organization(s)"/>
    <s v="Local alliance(s)/Platform(s)/Network(s) of  NGOs/CSOs"/>
    <s v="Local NGO(s)/CSO(s)"/>
    <x v="0"/>
    <m/>
    <m/>
    <s v="Promotion of the coordination between donors that support the same national organizations and harmonization of similar pillars of the two programs: PACT / CARE and TEGAC / OXFAM;"/>
    <s v="Joint monitoring activities between CARE / OXFAM in coordination with the National Union of Farmers (UNAC) as a strategy to rationalize and minimize resources (time, money) and enhance the team work approach"/>
    <s v="Program team combining two different roles. CARE acts as a funder of civil society initiatives through small-grants mechanisms. Because of CAREs expertise as a grant manager with sound financial and administrative systems and because of its connectedness to civil society and understanding of capacity, CARE take up this role on behalf of institutional donors.  CARE act also as a coach and trainer and directly support partners with inputs, new ideas and tools, and trainings in line with partner capacity building plans."/>
    <s v="The self-reflection process through the capacity assessment tools review and updated by the program team and partners with the support of CARE Denmark have contributed significantly to broaden our understanding about the other dimensions of the term legitimacy, such as the ultimate beneficiary (communities and groups) that partner claim to represent their interests and talk on their behalf, donors who support in finance, government entities and the private sector that are direct targets of advocacy actions and finally their peers."/>
    <s v="The annual reflection process has also helped to understand that more than performing external audits, transparency implies involve members and beneficiaries in the planning process, culture of sharing information, plans, reports, joint decision making processes and institutionalization feedback mechanisms and accountability to their constituency."/>
    <s v="We also learned that the results / finds of capacity assessment are more likely to be undertaken by the partners when they personally lead the process and that practice contributed to cover the existed gap of spaces for reflection and learning together in the program. And the merge of the two previous tools into a single one, became very heavy and takes long time to complete the reflection process, in the future this may require the prioritization of key capabilities that partners and CARE intend to embrace and reduction the less relevant."/>
    <s v="Partnerships and Alliances of Civil Society for Rights to Land and Natural Resources (PACT) program document; Program monitoring and avaluation framework; Programme Annual Report 2015. Shadow Report of mozambican Civil Society submited to High Commission of Human Right in relation to Universal Periodical Review (UPR);  CARE Mozambique and Actionaid Agriculture Policy Analysis Research Report 2015; CARE Mozambique and IIED - Tracing sustainable agriculture in Mozambique from policy to practice 2015; Reviewing Climate Change Adaption policies and institutions - A case study research assessing Southern Voices Joint Principles for Adaptation A and C in Mozambique, September 2016."/>
    <m/>
    <n v="2207"/>
    <n v="32218"/>
    <n v="14.598096964204803"/>
    <n v="0.42546443135478024"/>
    <n v="0.43584331740021104"/>
    <n v="939"/>
    <n v="14042"/>
    <s v=""/>
    <n v="0"/>
    <n v="0"/>
    <s v=""/>
    <n v="1"/>
    <n v="698"/>
    <n v="9491"/>
    <n v="13.597421203438396"/>
    <s v=""/>
    <n v="0"/>
    <n v="0"/>
    <s v=""/>
    <s v=""/>
    <n v="0"/>
    <n v="0"/>
    <s v=""/>
    <s v=""/>
    <n v="0"/>
    <n v="0"/>
    <s v=""/>
    <s v="2. Sensitive"/>
    <s v="4. Transformational"/>
    <s v="No marker score"/>
    <s v="It tested new ways for fighting poverty and measured results of innovation"/>
    <s v="Intensive advocacy"/>
    <s v="It linked and worked with strategic alliances and partners to take tested and effective solutions to scale"/>
  </r>
  <r>
    <x v="49"/>
    <x v="5"/>
    <m/>
    <s v="Primeiras e Segundas"/>
    <s v="Mozambique"/>
    <s v="SALLMZ0008 / US24D"/>
    <s v="CARE USA"/>
    <s v="Foundation"/>
    <s v="Other"/>
    <s v="Sall Family Foundation"/>
    <m/>
    <m/>
    <m/>
    <m/>
    <m/>
    <m/>
    <m/>
    <m/>
    <m/>
    <m/>
    <m/>
    <m/>
    <m/>
    <m/>
    <m/>
    <m/>
    <m/>
    <m/>
    <m/>
    <m/>
    <m/>
    <m/>
    <m/>
    <m/>
    <m/>
    <m/>
    <m/>
    <m/>
    <m/>
    <m/>
    <m/>
    <m/>
    <m/>
    <m/>
    <m/>
    <m/>
    <m/>
    <m/>
    <m/>
    <m/>
    <m/>
    <m/>
    <m/>
    <m/>
    <m/>
    <d v="2015-12-26T00:00:00"/>
    <d v="2016-12-31T00:00:00"/>
    <d v="2018-09-30T00:00:00"/>
    <s v="Development Food &amp; Nutrition Security and Resilience to Climate Change"/>
    <n v="4640000"/>
    <s v="Maria Cadahia-Perez"/>
    <s v="Project/Program Manager"/>
    <s v="maria.cadahia@care.org"/>
    <s v="Cathy Riley"/>
    <s v="ACD-P"/>
    <s v="Cathy.Riley@care.org"/>
    <s v="NO"/>
    <s v="YES"/>
    <s v="NO"/>
    <s v="Sustainable use of terrestrial and marine resources in P&amp;S environmental protected area"/>
    <s v="Sub-National"/>
    <s v="Moma, Larde and Angoche districts (in Nampula Province), Pebane district (In Zambezia Province)"/>
    <s v="Rural women who depend on Natural Resources"/>
    <n v="3300"/>
    <n v="6700"/>
    <n v="10000"/>
    <n v="16500"/>
    <n v="33500"/>
    <n v="50000"/>
    <m/>
    <m/>
    <m/>
    <m/>
    <m/>
    <m/>
    <m/>
    <m/>
    <m/>
    <m/>
    <m/>
    <m/>
    <m/>
    <m/>
    <m/>
    <m/>
    <m/>
    <m/>
    <m/>
    <m/>
    <m/>
    <m/>
    <m/>
    <m/>
    <m/>
    <m/>
    <m/>
    <m/>
    <m/>
    <m/>
    <m/>
    <m/>
    <m/>
    <m/>
    <m/>
    <m/>
    <m/>
    <m/>
    <m/>
    <m/>
    <m/>
    <m/>
    <m/>
    <m/>
    <m/>
    <m/>
    <m/>
    <m/>
    <m/>
    <m/>
    <m/>
    <m/>
    <m/>
    <m/>
    <m/>
    <m/>
    <m/>
    <m/>
    <m/>
    <m/>
    <m/>
    <n v="1191"/>
    <n v="1242"/>
    <n v="2433"/>
    <n v="5955"/>
    <n v="6210"/>
    <n v="12165"/>
    <s v="YES"/>
    <m/>
    <m/>
    <m/>
    <s v="YES"/>
    <n v="2433"/>
    <n v="0.48"/>
    <n v="12165"/>
    <m/>
    <m/>
    <m/>
    <m/>
    <m/>
    <m/>
    <m/>
    <m/>
    <m/>
    <m/>
    <m/>
    <m/>
    <m/>
    <m/>
    <m/>
    <m/>
    <m/>
    <m/>
    <m/>
    <m/>
    <m/>
    <m/>
    <m/>
    <m/>
    <m/>
    <m/>
    <m/>
    <m/>
    <m/>
    <m/>
    <m/>
    <m/>
    <m/>
    <m/>
    <m/>
    <m/>
    <s v="YES"/>
    <m/>
    <m/>
    <m/>
    <s v="YES"/>
    <m/>
    <m/>
    <m/>
    <m/>
    <m/>
    <m/>
    <m/>
    <m/>
    <m/>
    <m/>
    <m/>
    <m/>
    <m/>
    <m/>
    <m/>
    <m/>
    <m/>
    <m/>
    <m/>
    <m/>
    <s v="YES"/>
    <s v="October"/>
    <n v="2016"/>
    <m/>
    <s v="NO"/>
    <m/>
    <m/>
    <s v="It was don a project impact assessment of the project implemented by the CARE-WWF alliance, reporting on alliance strategic framework not on CARE strategy. Not more evaluations are foreseen"/>
    <x v="0"/>
    <s v="YES"/>
    <m/>
    <s v="NO"/>
    <s v="YES"/>
    <m/>
    <s v="NO"/>
    <s v="NO"/>
    <s v="YES"/>
    <s v="Advocate for the aproval and implementation of the PSEPA management Plan."/>
    <x v="0"/>
    <m/>
    <x v="0"/>
    <m/>
    <x v="1"/>
    <x v="0"/>
    <s v="NO"/>
    <x v="0"/>
    <x v="0"/>
    <x v="1"/>
    <x v="1"/>
    <n v="2"/>
    <x v="1"/>
    <x v="1"/>
    <x v="1"/>
    <x v="1"/>
    <x v="1"/>
    <x v="1"/>
    <n v="4"/>
    <x v="1"/>
    <x v="1"/>
    <x v="1"/>
    <x v="1"/>
    <x v="1"/>
    <n v="3"/>
    <x v="0"/>
    <x v="2"/>
    <n v="2"/>
    <s v="Regional alliance(s)/Platform(s)/Network(s) of  NGOs/CSOs"/>
    <s v="Local NGO(s)/CSO(s)"/>
    <s v="Local government(s)"/>
    <x v="0"/>
    <s v="The project has engaged with National Government on the implementation of the newly approved Master Plan for the P&amp;S protected area"/>
    <s v="After the project impact assessment in october, the project is going through a restructuration to be more aligned to CARE, WWF and CARE-WWF alliance goals and strategy, as well as to be better equip to enhance documentation and reporting"/>
    <s v="Formation and strengthening of Community Natural Resource Management Committees and MOMS agents to monitor resource exploitation"/>
    <s v="Establishment of no take fishing zones, managed by communities"/>
    <s v="Leveraging funds from other donors to work together in the P&amp;S programme"/>
    <s v="The project is focused on development, however the target area lies within na area subject to flooding, so there is a need to develop more capacity and flexibility with regard to Emergency Response"/>
    <s v="Need more project integration and better documentation and M&amp;E"/>
    <s v="Given the size of Mozambique and the distances between HQ and SO, along with isolation of project area and joint partnership with WWF - there is a need to improve communication and on the ground staff to enhance project delivery and achive impacts"/>
    <s v="The project suffered a reductio of funds and a non-cost extension that was used to get reorganized. Some staff wass missing and this impacted the delivery of some activities. It focus a lot on resource mobilization and on designing a new integrated program strategy to host all the projects ejecuted by the alliance CARE-WWF in mozambqiue"/>
    <m/>
    <n v="2433"/>
    <n v="12165"/>
    <n v="5"/>
    <n v="0.48951911220715166"/>
    <n v="0.48951911220715166"/>
    <n v="1191"/>
    <n v="5955"/>
    <s v=""/>
    <n v="0"/>
    <n v="0"/>
    <s v=""/>
    <n v="1"/>
    <n v="2433"/>
    <n v="12165"/>
    <n v="5"/>
    <s v=""/>
    <n v="0"/>
    <n v="0"/>
    <s v=""/>
    <s v=""/>
    <n v="0"/>
    <n v="0"/>
    <s v=""/>
    <s v=""/>
    <n v="0"/>
    <n v="0"/>
    <s v=""/>
    <s v="1. Neutral"/>
    <s v="2. Accommodating"/>
    <s v="2. Sensitive"/>
    <s v="It did not develop any specific innovation"/>
    <s v="Little or no advocacy"/>
    <s v="It did not take tested solutions to scale"/>
  </r>
  <r>
    <x v="49"/>
    <x v="5"/>
    <m/>
    <s v="Programme for Preparedness and Response to Emergencies in Mozambique (PROPREM)"/>
    <s v="Mozambique"/>
    <s v="AT575"/>
    <s v="No CARE member related to the project/initiative"/>
    <s v="Foundation"/>
    <s v="ECHO - European Commission for Humanitarian Aid and Civil Protection"/>
    <s v="ECHO"/>
    <m/>
    <m/>
    <m/>
    <m/>
    <m/>
    <m/>
    <m/>
    <m/>
    <m/>
    <m/>
    <m/>
    <m/>
    <m/>
    <m/>
    <m/>
    <m/>
    <m/>
    <m/>
    <m/>
    <m/>
    <m/>
    <m/>
    <m/>
    <m/>
    <m/>
    <m/>
    <m/>
    <m/>
    <m/>
    <m/>
    <m/>
    <m/>
    <m/>
    <m/>
    <m/>
    <m/>
    <m/>
    <m/>
    <m/>
    <m/>
    <m/>
    <m/>
    <m/>
    <m/>
    <m/>
    <d v="2016-05-01T00:00:00"/>
    <d v="2017-10-31T00:00:00"/>
    <m/>
    <s v="Humanitarian Other"/>
    <n v="1831010"/>
    <s v="Luisa Chadreque"/>
    <s v="Project Manager"/>
    <s v="Luisa.Chadreque.@care.org"/>
    <s v="Jose Daniel Abacar"/>
    <s v="Capacity Building Officer"/>
    <s v="Jose.Abacar@care.org"/>
    <s v="YES"/>
    <s v="YES"/>
    <s v="YES"/>
    <s v="Increasing resilience of communities, especially among groups vulnerable to shock and risk, suchas droughts, floods, cyclones and epidemics thougth improved early warning systemes, strenghtned preparedness capacity and effective rapid response mechanisms."/>
    <s v="Sub-National"/>
    <s v="Mossuril, Memba and Nacala-á-Velha districts."/>
    <s v="The main impact group of project are Local Disaster Risk Management Commitees (CLGRC)."/>
    <n v="19636"/>
    <n v="18869"/>
    <n v="58505"/>
    <m/>
    <m/>
    <m/>
    <s v="For this project the calculation of the direct beneficiaries is made as follows: Number of HHs covered by the vaccination of chickens plus the number of people who saw simulations on previous warning of cyclone, floods and strong winds and use of the small irrigation system where it is predicted the presence of about 100 individuals for each simulation that must be done 3 times by each community in one of 35 communities"/>
    <m/>
    <n v="11781"/>
    <n v="11321"/>
    <n v="23102"/>
    <m/>
    <m/>
    <m/>
    <m/>
    <m/>
    <m/>
    <m/>
    <m/>
    <m/>
    <m/>
    <m/>
    <m/>
    <m/>
    <m/>
    <m/>
    <m/>
    <m/>
    <m/>
    <m/>
    <s v="YES"/>
    <n v="1149"/>
    <n v="0.11"/>
    <n v="945"/>
    <m/>
    <m/>
    <m/>
    <m/>
    <m/>
    <m/>
    <m/>
    <m/>
    <m/>
    <m/>
    <m/>
    <m/>
    <m/>
    <m/>
    <m/>
    <m/>
    <m/>
    <m/>
    <m/>
    <m/>
    <m/>
    <m/>
    <m/>
    <m/>
    <m/>
    <m/>
    <m/>
    <m/>
    <s v="Chiken vacination; seed distribution and cassava stake"/>
    <s v="YES"/>
    <n v="31850"/>
    <n v="0.12"/>
    <n v="19240"/>
    <m/>
    <m/>
    <m/>
    <m/>
    <m/>
    <m/>
    <m/>
    <m/>
    <m/>
    <m/>
    <s v="YES"/>
    <n v="31850"/>
    <n v="0.12"/>
    <n v="19240"/>
    <m/>
    <m/>
    <m/>
    <m/>
    <m/>
    <m/>
    <m/>
    <m/>
    <m/>
    <m/>
    <m/>
    <m/>
    <m/>
    <m/>
    <m/>
    <m/>
    <m/>
    <m/>
    <m/>
    <m/>
    <m/>
    <m/>
    <m/>
    <m/>
    <m/>
    <m/>
    <m/>
    <m/>
    <m/>
    <m/>
    <m/>
    <m/>
    <m/>
    <m/>
    <m/>
    <m/>
    <m/>
    <m/>
    <m/>
    <m/>
    <m/>
    <m/>
    <m/>
    <m/>
    <m/>
    <m/>
    <m/>
    <m/>
    <m/>
    <m/>
    <m/>
    <m/>
    <m/>
    <m/>
    <m/>
    <m/>
    <m/>
    <m/>
    <m/>
    <m/>
    <m/>
    <s v="YES"/>
    <s v="May"/>
    <n v="2017"/>
    <s v="YES"/>
    <s v="YES"/>
    <s v="September"/>
    <n v="2017"/>
    <m/>
    <x v="0"/>
    <m/>
    <m/>
    <m/>
    <m/>
    <m/>
    <m/>
    <m/>
    <m/>
    <m/>
    <x v="0"/>
    <m/>
    <x v="0"/>
    <m/>
    <x v="0"/>
    <x v="0"/>
    <s v="NO"/>
    <x v="1"/>
    <x v="0"/>
    <x v="0"/>
    <x v="1"/>
    <n v="2"/>
    <x v="1"/>
    <x v="1"/>
    <x v="1"/>
    <x v="1"/>
    <x v="1"/>
    <x v="1"/>
    <n v="4"/>
    <x v="1"/>
    <x v="1"/>
    <x v="1"/>
    <x v="2"/>
    <x v="3"/>
    <n v="2"/>
    <x v="0"/>
    <x v="3"/>
    <n v="2"/>
    <s v="International NGO(s)"/>
    <s v="Local government(s)"/>
    <m/>
    <x v="1"/>
    <m/>
    <m/>
    <s v="The communities have elaborated contigency plans and risk mapping"/>
    <s v="Early warning system using SMS was installed at provincial, district and community levels."/>
    <m/>
    <m/>
    <m/>
    <m/>
    <m/>
    <m/>
    <n v="23102"/>
    <n v="0"/>
    <n v="0"/>
    <n v="0.50995584797853"/>
    <s v=""/>
    <n v="11781"/>
    <n v="0"/>
    <n v="1"/>
    <n v="23102"/>
    <n v="0"/>
    <n v="0"/>
    <n v="1"/>
    <n v="31850"/>
    <n v="19240"/>
    <n v="0.60408163265306125"/>
    <s v=""/>
    <n v="0"/>
    <n v="0"/>
    <s v=""/>
    <n v="1"/>
    <n v="1149"/>
    <n v="945"/>
    <n v="0.82245430809399478"/>
    <s v=""/>
    <n v="0"/>
    <n v="0"/>
    <s v=""/>
    <s v="1. Neutral"/>
    <s v="2. Accommodating"/>
    <s v="1. Neutral"/>
    <s v="It did not develop any specific innovation"/>
    <s v="Little or no advocacy"/>
    <s v="It did not take tested solutions to scale"/>
  </r>
  <r>
    <x v="49"/>
    <x v="5"/>
    <n v="3146"/>
    <s v="PROSAN - Programa de Segurança Alimentar e Nutricional (Food and Nutrition Security Program)/PROCAJU - Projecto de Fortalecimento da Cadeia de Valor do Cajú"/>
    <s v="Mozambique"/>
    <s v="IRIAMZ0002"/>
    <s v="CARE USA"/>
    <s v="Government"/>
    <s v="Government - Ireland"/>
    <s v="Irish Aid"/>
    <s v="CDNKMZ0054"/>
    <s v="CARE USA"/>
    <s v="Multilateral agency"/>
    <s v="EU - European Union (other than ECHO)"/>
    <s v="EU"/>
    <m/>
    <m/>
    <m/>
    <m/>
    <m/>
    <m/>
    <m/>
    <m/>
    <m/>
    <m/>
    <m/>
    <m/>
    <m/>
    <m/>
    <m/>
    <m/>
    <m/>
    <m/>
    <m/>
    <m/>
    <m/>
    <m/>
    <m/>
    <m/>
    <m/>
    <m/>
    <m/>
    <m/>
    <m/>
    <m/>
    <m/>
    <m/>
    <m/>
    <m/>
    <m/>
    <m/>
    <m/>
    <m/>
    <m/>
    <m/>
    <d v="2012-12-01T00:00:00"/>
    <d v="2018-09-30T00:00:00"/>
    <m/>
    <s v="Development Food &amp; Nutrition Security and Resilience to Climate Change"/>
    <n v="6195668"/>
    <s v="Cathy Riley"/>
    <s v="Assistant Country Director - Programme"/>
    <s v="Cathy.Riley@care.org"/>
    <s v="José Manuel  António da Graça"/>
    <s v="Program Manager"/>
    <s v="jose.dagraca@care.org"/>
    <s v="NO"/>
    <s v="YES"/>
    <s v="NO"/>
    <s v="PROSANs five-year objectives include:_x000a_- To strengthen community based climate change adaptation capacity and resilience to natural disasters of targeted poor communities;_x000a_- To strengthen poor household food and nutrition security throughout the year;_x000a_- To strengthen womens and marginalized households capacities to exercise control over productive assets and the incomes they generate;_x000a_- To facilitate access to social protection and relevant programs and services designed for the impact group;_x000a_- To strengthen capacity of government and civil society partners in relevant technical areas (conservation agriculture and extension models, climate change adaptation, disaster risk reduction, participatory community facilitation and empowerment techniques, gender and womens rights)."/>
    <s v="Sub-National"/>
    <s v="Funhalouro and Homoine Districts of Inhambane Province"/>
    <s v="Socially, economically and politically excluded women experiencing food and nutritional insecurity, who are highly dependent on natural resources"/>
    <n v="4200"/>
    <n v="1050"/>
    <n v="5250"/>
    <n v="18900"/>
    <n v="4725"/>
    <n v="23625"/>
    <s v="Direct participants: all 5250 members representing households directly envolved on PROSAN activities. Indirect participants are the other member of the households. 80% of the participants should be women"/>
    <m/>
    <m/>
    <m/>
    <m/>
    <m/>
    <m/>
    <m/>
    <m/>
    <m/>
    <m/>
    <m/>
    <m/>
    <m/>
    <m/>
    <m/>
    <m/>
    <m/>
    <m/>
    <m/>
    <m/>
    <m/>
    <m/>
    <m/>
    <m/>
    <m/>
    <m/>
    <m/>
    <m/>
    <m/>
    <m/>
    <m/>
    <m/>
    <m/>
    <m/>
    <m/>
    <m/>
    <m/>
    <m/>
    <m/>
    <m/>
    <m/>
    <m/>
    <m/>
    <m/>
    <m/>
    <m/>
    <m/>
    <m/>
    <m/>
    <m/>
    <m/>
    <m/>
    <m/>
    <m/>
    <m/>
    <m/>
    <m/>
    <m/>
    <m/>
    <m/>
    <n v="3744"/>
    <n v="1746"/>
    <n v="5490"/>
    <n v="18720"/>
    <n v="8730"/>
    <n v="27450"/>
    <s v="YES"/>
    <n v="3177"/>
    <n v="0.68"/>
    <n v="12708"/>
    <s v="YES"/>
    <n v="5490"/>
    <n v="0.69"/>
    <n v="21960"/>
    <s v="NO"/>
    <m/>
    <m/>
    <m/>
    <s v="YES"/>
    <n v="5490"/>
    <n v="0.69"/>
    <n v="21960"/>
    <s v="YES"/>
    <n v="4139"/>
    <n v="0.82"/>
    <n v="16556"/>
    <s v="NO"/>
    <m/>
    <m/>
    <m/>
    <s v="YES"/>
    <n v="3177"/>
    <n v="0.68"/>
    <n v="12708"/>
    <s v="NO"/>
    <m/>
    <m/>
    <m/>
    <s v="YES"/>
    <n v="5490"/>
    <n v="0.69"/>
    <n v="21960"/>
    <s v="NO"/>
    <m/>
    <m/>
    <m/>
    <s v="NO"/>
    <m/>
    <m/>
    <m/>
    <s v="NO"/>
    <m/>
    <m/>
    <m/>
    <s v="YES"/>
    <n v="5490"/>
    <n v="0.69"/>
    <n v="21960"/>
    <s v="NO"/>
    <m/>
    <m/>
    <m/>
    <s v="NO"/>
    <m/>
    <m/>
    <m/>
    <s v="NO"/>
    <m/>
    <m/>
    <m/>
    <m/>
    <s v="NO"/>
    <m/>
    <m/>
    <m/>
    <s v="NO"/>
    <m/>
    <m/>
    <s v="NO"/>
    <s v="YES"/>
    <s v="September"/>
    <n v="2017"/>
    <s v="The purpose of the FE of the PROSAN project is to assess the achievement of impact results - specifically measuring the impact indicators, their cost-effectiveness, and their potential for sustainability; to document operational and development lessons learned; and to contribute with knowledge on food and nutrition security initiatives in Mozambique._x000a_The FE shall give special attention to measuring impact results. The impact level results include:_x000a_Improve food and nutrition security of poor and vulnerable families;_x000a_Strengthen resilience to natural disasters of the poor and vulnerable households;_x000a_Beneficiaries (households, government officials, private sector and civil society stakeholders) of target communities have greater ability to adapt to climate change;_x000a_Increased capacity of staff from relevant government institutions and civil society organizations at district and provincial level to promote and implement community based disaster risk reduction strategies and adaptation to climate change.                                                                                                                                                                                                                                                                                                                                                                                                                                                     Documentation review and analysis shall be made (Programme document, annual progress reports, human interest stories and MTR report)._x000a_Discussions with stakeholders (programme staff, local CSO partners, beneficiaries, district and provincial government institutions involved in the project) are fundamental._x000a_Analysis of quantitative endline survey of beneficiaries (Outcome and Impact) in IPTT (Indicators Program Tracking Table)."/>
    <x v="1"/>
    <s v="YES"/>
    <s v="NO"/>
    <s v="YES"/>
    <s v="YES"/>
    <s v="YES"/>
    <s v="YES"/>
    <s v="NO"/>
    <s v="NO"/>
    <m/>
    <x v="2"/>
    <s v="Introduction of Farmers Field School and Orchards School as extension approaches to facilitate the learning process"/>
    <x v="0"/>
    <m/>
    <x v="1"/>
    <x v="1"/>
    <s v="YES"/>
    <x v="1"/>
    <x v="0"/>
    <x v="1"/>
    <x v="4"/>
    <n v="2"/>
    <x v="2"/>
    <x v="1"/>
    <x v="1"/>
    <x v="1"/>
    <x v="2"/>
    <x v="5"/>
    <n v="3"/>
    <x v="3"/>
    <x v="2"/>
    <x v="2"/>
    <x v="1"/>
    <x v="5"/>
    <n v="1"/>
    <x v="3"/>
    <x v="2"/>
    <n v="4"/>
    <s v="Local government(s)"/>
    <s v="Local NGO(s)/CSO(s)"/>
    <s v="International NGO(s)"/>
    <x v="0"/>
    <s v="The organization is part of the Provincial Forum of the Partners from the Provincial Directorate of Gender, Child and Social Action, aiming to coordinate and improve the response of the sector interventions. It is also integrated in the activities of SETSAN (Technical Secretariat for Food and Nutrition Security)"/>
    <m/>
    <s v="VSLA groups"/>
    <s v="Farmer Field Schools"/>
    <s v="Orchard Schools"/>
    <s v="There is some progress in increasing knowledge of CA, through the use of an FFS model that allows increased adaptability and sustainable agricultural extension. Creation of FFSs associated with the use of a participatory approach has been a great success. There is dialogue between the participants and extension workers, and participants are free to select the crops and techniques appropriate to their natural conditions after proving their effectiveness and adaptability in the FFS."/>
    <s v="FFS groups can be a good vehicle for linking their members to the Village Consultative Councils and for their involvement in decision-making processes and taking advantage of financing projects and other local social services."/>
    <s v="Co-facilitation sessions on legislation, gender and nutrition with members of the Government at the level of the districts of Homoine and Funhalouro showed an effective strategy to reinforce the commitment of the local leaderships and the interest in the topics discussed."/>
    <m/>
    <s v="1. PROSAN 2016 - Annual Report                                                                                                                                                                                                                                                                                                                                                                                                  2. PROSAN 2017 - Semi-Annual Report                                                                                                                                                                                                                                                                                 3. PROCAJU Intercalar Report"/>
    <n v="5490"/>
    <n v="27450"/>
    <n v="5"/>
    <n v="0.68196721311475406"/>
    <n v="0.68196721311475406"/>
    <n v="3744"/>
    <n v="18720"/>
    <s v=""/>
    <n v="0"/>
    <n v="0"/>
    <s v=""/>
    <n v="1"/>
    <n v="5490"/>
    <n v="21960"/>
    <n v="4"/>
    <s v=""/>
    <n v="0"/>
    <n v="0"/>
    <s v=""/>
    <s v=""/>
    <n v="0"/>
    <n v="0"/>
    <s v=""/>
    <n v="1"/>
    <n v="3393.98"/>
    <n v="13575.92"/>
    <n v="4"/>
    <s v="3. Responsive"/>
    <s v="3. Responsive"/>
    <s v="3. Responsive"/>
    <s v="It tested new ways for fighting poverty and measured results of innovation"/>
    <s v="Moderate advocacy"/>
    <s v="It did not take tested solutions to scale"/>
  </r>
  <r>
    <x v="49"/>
    <x v="5"/>
    <m/>
    <s v="SANI- Southern Africa Nutrition Initiative"/>
    <s v="Mozambique"/>
    <s v="CCANMZ0002"/>
    <s v="CARE Canada"/>
    <s v="Government"/>
    <s v="Government - Canada"/>
    <s v="Global Affairs Canada (GAC) "/>
    <m/>
    <m/>
    <m/>
    <m/>
    <m/>
    <m/>
    <m/>
    <m/>
    <m/>
    <m/>
    <m/>
    <m/>
    <m/>
    <m/>
    <m/>
    <m/>
    <m/>
    <m/>
    <m/>
    <m/>
    <m/>
    <m/>
    <m/>
    <m/>
    <m/>
    <m/>
    <m/>
    <m/>
    <m/>
    <m/>
    <m/>
    <m/>
    <m/>
    <m/>
    <m/>
    <m/>
    <m/>
    <m/>
    <m/>
    <m/>
    <m/>
    <m/>
    <m/>
    <m/>
    <m/>
    <d v="2016-03-01T00:00:00"/>
    <d v="2020-09-01T00:00:00"/>
    <m/>
    <s v="Development Other"/>
    <n v="3649365"/>
    <s v="Cathy Riley"/>
    <s v="ADC - P"/>
    <s v="Cathy.Riley@care.org"/>
    <s v="Julinho Alexandre"/>
    <s v="Project Manager"/>
    <s v="julinho.alexandre@care.org"/>
    <s v="NO"/>
    <s v="YES"/>
    <s v="NO"/>
    <s v="Contribute to the reduction of maternal and child mortality in targeted regions"/>
    <s v="Sub-National"/>
    <s v="Inhambane Province; Homoine and Funhalouro  districts"/>
    <s v="women in reproductive age and children under 5 years"/>
    <n v="20496"/>
    <n v="16603"/>
    <n v="37099"/>
    <n v="22204"/>
    <n v="17988"/>
    <n v="40192"/>
    <s v="Indirect participants will be all other residents on the implementation sites and not directly involved in the project"/>
    <m/>
    <m/>
    <m/>
    <m/>
    <m/>
    <m/>
    <m/>
    <m/>
    <m/>
    <m/>
    <m/>
    <m/>
    <m/>
    <m/>
    <m/>
    <m/>
    <m/>
    <m/>
    <m/>
    <m/>
    <m/>
    <m/>
    <m/>
    <m/>
    <m/>
    <m/>
    <m/>
    <m/>
    <m/>
    <m/>
    <m/>
    <m/>
    <m/>
    <m/>
    <m/>
    <m/>
    <m/>
    <m/>
    <m/>
    <m/>
    <m/>
    <m/>
    <m/>
    <m/>
    <m/>
    <m/>
    <m/>
    <m/>
    <m/>
    <m/>
    <m/>
    <m/>
    <m/>
    <m/>
    <m/>
    <m/>
    <m/>
    <m/>
    <m/>
    <m/>
    <n v="0"/>
    <n v="0"/>
    <n v="0"/>
    <n v="0"/>
    <n v="0"/>
    <n v="0"/>
    <s v="NO"/>
    <m/>
    <m/>
    <m/>
    <s v="NO"/>
    <m/>
    <m/>
    <m/>
    <s v="NO"/>
    <m/>
    <m/>
    <m/>
    <s v="NO"/>
    <m/>
    <m/>
    <m/>
    <s v="NO"/>
    <m/>
    <m/>
    <m/>
    <s v="NO"/>
    <m/>
    <m/>
    <m/>
    <s v="NO"/>
    <m/>
    <m/>
    <m/>
    <s v="NO"/>
    <m/>
    <m/>
    <m/>
    <s v="NO"/>
    <m/>
    <m/>
    <m/>
    <s v="NO"/>
    <m/>
    <m/>
    <m/>
    <s v="NO"/>
    <m/>
    <m/>
    <m/>
    <s v="NO"/>
    <m/>
    <m/>
    <m/>
    <s v="NO"/>
    <m/>
    <m/>
    <m/>
    <s v="NO"/>
    <m/>
    <m/>
    <m/>
    <s v="NO"/>
    <m/>
    <m/>
    <m/>
    <s v="NO"/>
    <m/>
    <m/>
    <m/>
    <m/>
    <s v="NO"/>
    <m/>
    <m/>
    <m/>
    <s v="YES"/>
    <s v="May"/>
    <n v="2017"/>
    <s v="YES"/>
    <s v="NO"/>
    <m/>
    <m/>
    <s v="NA"/>
    <x v="1"/>
    <s v="NO"/>
    <s v="NO"/>
    <s v="NO"/>
    <s v="YES"/>
    <s v="YES"/>
    <s v="NO"/>
    <s v="NO"/>
    <m/>
    <m/>
    <x v="0"/>
    <m/>
    <x v="0"/>
    <m/>
    <x v="0"/>
    <x v="1"/>
    <s v="YES"/>
    <x v="0"/>
    <x v="0"/>
    <x v="0"/>
    <x v="2"/>
    <n v="4"/>
    <x v="1"/>
    <x v="1"/>
    <x v="1"/>
    <x v="1"/>
    <x v="1"/>
    <x v="1"/>
    <n v="4"/>
    <x v="3"/>
    <x v="1"/>
    <x v="1"/>
    <x v="1"/>
    <x v="4"/>
    <n v="3"/>
    <x v="1"/>
    <x v="4"/>
    <n v="0"/>
    <s v="Local NGO(s)/CSO(s)"/>
    <s v="Local government(s)"/>
    <m/>
    <x v="1"/>
    <m/>
    <m/>
    <m/>
    <m/>
    <m/>
    <m/>
    <m/>
    <m/>
    <s v="This is a new project that has not yet reached beneficiaries."/>
    <m/>
    <n v="0"/>
    <n v="0"/>
    <s v=""/>
    <s v=""/>
    <s v=""/>
    <n v="0"/>
    <n v="0"/>
    <s v=""/>
    <n v="0"/>
    <n v="0"/>
    <s v=""/>
    <s v=""/>
    <n v="0"/>
    <n v="0"/>
    <s v=""/>
    <s v=""/>
    <n v="0"/>
    <n v="0"/>
    <s v=""/>
    <s v=""/>
    <n v="0"/>
    <n v="0"/>
    <s v=""/>
    <s v=""/>
    <n v="0"/>
    <n v="0"/>
    <s v=""/>
    <s v="4. Transformative"/>
    <s v="2. Accommodating"/>
    <s v="4. Transformative"/>
    <s v="It did not develop any specific innovation"/>
    <s v="Moderate advocacy"/>
    <s v="It did not take tested solutions to scale"/>
  </r>
  <r>
    <x v="49"/>
    <x v="5"/>
    <m/>
    <s v="Service Delivery Support for Orphan and Vulnerable Children (SDS - OVC) - COVida"/>
    <s v="Mozambique"/>
    <s v="FHIXMZ0001"/>
    <s v="CARE USA"/>
    <s v="Government"/>
    <s v="Government - US"/>
    <s v="U.S. President's Emergency Plan for AIDS Relief (PEPFAR)"/>
    <m/>
    <m/>
    <m/>
    <m/>
    <m/>
    <m/>
    <m/>
    <m/>
    <m/>
    <m/>
    <m/>
    <m/>
    <m/>
    <m/>
    <m/>
    <m/>
    <m/>
    <m/>
    <m/>
    <m/>
    <m/>
    <m/>
    <m/>
    <m/>
    <m/>
    <m/>
    <m/>
    <m/>
    <m/>
    <m/>
    <m/>
    <m/>
    <m/>
    <m/>
    <m/>
    <m/>
    <m/>
    <m/>
    <m/>
    <m/>
    <m/>
    <m/>
    <m/>
    <m/>
    <m/>
    <d v="2016-07-01T00:00:00"/>
    <d v="2021-03-31T00:00:00"/>
    <m/>
    <s v="Development Other"/>
    <n v="4822746"/>
    <s v="Cathy Riley"/>
    <s v="Assistant Country Director - Program"/>
    <s v="Cathy.Riley@care.org"/>
    <s v="Sergio Hugo Adriano Chiale"/>
    <s v="Provincial Project Manager"/>
    <s v="Sergio.Chiale@care.org"/>
    <s v="NO"/>
    <s v="YES"/>
    <s v="NO"/>
    <s v="The overall objective of the COVida program is to improve the health, nutritional status and well-being of orphaned and vulnerable children (OVCs) living in the priority districts defined by PEPFAR to control the epidemic of HIV/AIDS"/>
    <s v="Sub-National"/>
    <s v="Inhambane Province and operate in 5 districts (Zavala, Inharrime, Maxixe, Massinga and Vilankulo)"/>
    <s v="The main impact group of the project are orphan children affected or infected by HIV/AIDS and their caregiveres"/>
    <m/>
    <m/>
    <n v="21856"/>
    <m/>
    <m/>
    <m/>
    <s v="For the first year our goals had no breakdown by sex or age group. Only a total of 21,856 beneficiaries to be reached (during the first year). The number of expected direct participants, in the life of the project are still to be defined. 21.856 was ONLY for first year."/>
    <m/>
    <m/>
    <m/>
    <m/>
    <m/>
    <m/>
    <m/>
    <m/>
    <m/>
    <m/>
    <m/>
    <m/>
    <m/>
    <m/>
    <m/>
    <m/>
    <m/>
    <m/>
    <m/>
    <m/>
    <m/>
    <m/>
    <m/>
    <m/>
    <m/>
    <m/>
    <m/>
    <m/>
    <m/>
    <m/>
    <m/>
    <m/>
    <m/>
    <m/>
    <m/>
    <m/>
    <m/>
    <m/>
    <m/>
    <m/>
    <m/>
    <m/>
    <m/>
    <m/>
    <m/>
    <m/>
    <m/>
    <m/>
    <m/>
    <m/>
    <m/>
    <m/>
    <m/>
    <m/>
    <m/>
    <m/>
    <m/>
    <m/>
    <m/>
    <m/>
    <n v="13790"/>
    <n v="10500"/>
    <n v="24290"/>
    <m/>
    <m/>
    <m/>
    <m/>
    <m/>
    <m/>
    <m/>
    <m/>
    <m/>
    <m/>
    <m/>
    <m/>
    <m/>
    <m/>
    <m/>
    <m/>
    <m/>
    <m/>
    <m/>
    <s v="YES"/>
    <n v="771"/>
    <n v="0.83"/>
    <n v="3855"/>
    <m/>
    <m/>
    <m/>
    <m/>
    <m/>
    <m/>
    <m/>
    <m/>
    <m/>
    <m/>
    <m/>
    <m/>
    <m/>
    <m/>
    <m/>
    <m/>
    <s v="YES"/>
    <n v="24290"/>
    <n v="0.56999999999999995"/>
    <m/>
    <m/>
    <m/>
    <m/>
    <m/>
    <m/>
    <m/>
    <m/>
    <m/>
    <m/>
    <m/>
    <m/>
    <m/>
    <m/>
    <m/>
    <m/>
    <m/>
    <m/>
    <m/>
    <m/>
    <m/>
    <m/>
    <m/>
    <m/>
    <m/>
    <m/>
    <m/>
    <m/>
    <m/>
    <m/>
    <s v="NO"/>
    <m/>
    <m/>
    <s v="NO"/>
    <s v="YES"/>
    <s v="September"/>
    <n v="2017"/>
    <s v="The purpose of this study is to assess the wellbeing of children supported by COVida, over time.     What is the methodology?_x000a_This is a household survey in all provinces, and focus group discussions with youth aged 12-17 years._x000a_This study is being conducted in part to fulfill PEPFAR global reporting requirements that aim to measure and track progress of PEPFAR-supported OVC programs."/>
    <x v="0"/>
    <s v="NO"/>
    <s v="NO"/>
    <s v="YES"/>
    <s v="YES"/>
    <s v="NO"/>
    <s v="YES"/>
    <s v="NO"/>
    <s v="NO"/>
    <m/>
    <x v="1"/>
    <s v="Is home based approach, called case management that links the families with several basic services to improve their health and social and economic well bein"/>
    <x v="0"/>
    <m/>
    <x v="1"/>
    <x v="0"/>
    <s v="NO"/>
    <x v="0"/>
    <x v="0"/>
    <x v="0"/>
    <x v="1"/>
    <n v="3"/>
    <x v="2"/>
    <x v="2"/>
    <x v="1"/>
    <x v="1"/>
    <x v="1"/>
    <x v="5"/>
    <n v="3"/>
    <x v="1"/>
    <x v="2"/>
    <x v="1"/>
    <x v="1"/>
    <x v="3"/>
    <n v="2"/>
    <x v="2"/>
    <x v="3"/>
    <n v="6"/>
    <s v="Local NGO(s)/CSO(s)"/>
    <s v="Local government(s)"/>
    <s v="Local alliance(s)/Platform(s)/Network(s) of  NGOs/CSOs"/>
    <x v="0"/>
    <s v="Trainings for CBO´s and workers of Governament (Districtal Social Welfare Department)"/>
    <s v="The project updated the responsibilities of the Economic Strengthening Officer to be the gender focal point, so as to make our intervention more transformative"/>
    <s v="Selection of community grassroots organizations that have been developing similar actions in the same communities"/>
    <s v="Linking the project with clinical partners and social partners was crucial to achieving the target beneficiaries"/>
    <s v="The creation of mixed groups of VSLA helped the most vulnerable families to improve their support network"/>
    <s v="Case management is a new and sustainable approach, as it creates capacity over a period of time and opens space for the integration of new families._x000a_in relation to other approaches, beneficiaries are assisted throughout the life of the project"/>
    <s v="In the project proposal was not expected the position of VSLA supervisor in CBO´s, as CARE we decided to include this position to support the facilitators in the creation of new groups with quality creation of new groups with quality"/>
    <s v="During the implementation of the project we identified unqualified staff in the OCBs for certain key positions, we support the recruitment of new staff. As a lesson in the future, we will evaluate staff skills during the OCB selection process."/>
    <s v="we are implementing a new and complex approach (case management) and CBOs were not familiar with this type of intervention, so there is a lot of work to be done in year 2 to engage CBOs"/>
    <s v="Techinical Narrative Document (see in attachment)"/>
    <n v="24290"/>
    <n v="0"/>
    <n v="0"/>
    <n v="0.56772334293948123"/>
    <s v=""/>
    <n v="13790"/>
    <n v="0"/>
    <s v=""/>
    <n v="0"/>
    <n v="0"/>
    <s v=""/>
    <n v="1"/>
    <n v="771"/>
    <n v="3855"/>
    <n v="5"/>
    <s v=""/>
    <n v="0"/>
    <n v="0"/>
    <s v=""/>
    <s v=""/>
    <n v="0"/>
    <n v="0"/>
    <s v=""/>
    <n v="1"/>
    <n v="639.92999999999995"/>
    <n v="3199.6499999999996"/>
    <n v="5"/>
    <s v="1. Neutral"/>
    <s v="3. Responsive"/>
    <s v="1. Neutral"/>
    <s v="It tested new ways for fighting poverty, but did not measure results of innovation"/>
    <s v="Little or no advocacy"/>
    <s v="It did not take tested solutions to scale"/>
  </r>
  <r>
    <x v="50"/>
    <x v="0"/>
    <m/>
    <s v="Ah Har Yar (Nourish) Poject"/>
    <s v="Myanmar"/>
    <s v="MMR129"/>
    <s v="CARE USA"/>
    <s v="Foundation"/>
    <s v="Other"/>
    <s v="Latter-Day Saint Charities"/>
    <m/>
    <m/>
    <m/>
    <m/>
    <m/>
    <m/>
    <m/>
    <m/>
    <m/>
    <m/>
    <m/>
    <m/>
    <m/>
    <m/>
    <m/>
    <m/>
    <m/>
    <m/>
    <m/>
    <m/>
    <m/>
    <m/>
    <m/>
    <m/>
    <m/>
    <m/>
    <m/>
    <m/>
    <m/>
    <m/>
    <m/>
    <m/>
    <m/>
    <m/>
    <m/>
    <m/>
    <m/>
    <m/>
    <m/>
    <m/>
    <m/>
    <m/>
    <m/>
    <m/>
    <m/>
    <d v="2017-04-01T00:00:00"/>
    <d v="2018-04-30T00:00:00"/>
    <m/>
    <s v="Development Food &amp; Nutrition Security and Resilience to Climate Change"/>
    <n v="275000"/>
    <s v="Ni Lar Shwe"/>
    <s v="Program Director"/>
    <s v="Nilar.shwe@careint.org"/>
    <s v="Kyi Zaw Win"/>
    <s v="Program Manager"/>
    <s v="Kyizaw.win@careint.org"/>
    <s v="NO"/>
    <s v="YES"/>
    <s v="NO"/>
    <s v="To improve food and nutrition security of underserved communities in Lashio Township, Northern Shan State"/>
    <s v="Sub-National"/>
    <s v="Lashio Township, Northern Shan State"/>
    <s v="Small holder farmers, poor/food insecure households and households with children under five and pregnant and lactating women from 10 villages"/>
    <n v="913"/>
    <n v="809"/>
    <n v="1722"/>
    <n v="1908"/>
    <n v="1692"/>
    <n v="3600"/>
    <s v="Smallholder farmers, poor/food insecure households, and households with children under 5 and pregnant/lactating women from 10 villages of Lashio Township."/>
    <m/>
    <m/>
    <m/>
    <m/>
    <m/>
    <m/>
    <m/>
    <m/>
    <m/>
    <m/>
    <m/>
    <m/>
    <m/>
    <m/>
    <m/>
    <m/>
    <m/>
    <m/>
    <m/>
    <m/>
    <m/>
    <m/>
    <m/>
    <m/>
    <m/>
    <m/>
    <m/>
    <m/>
    <m/>
    <m/>
    <m/>
    <m/>
    <m/>
    <m/>
    <m/>
    <m/>
    <m/>
    <m/>
    <m/>
    <m/>
    <m/>
    <m/>
    <m/>
    <m/>
    <m/>
    <m/>
    <m/>
    <m/>
    <m/>
    <m/>
    <m/>
    <m/>
    <m/>
    <m/>
    <m/>
    <m/>
    <m/>
    <m/>
    <m/>
    <m/>
    <n v="792"/>
    <n v="930"/>
    <n v="1722"/>
    <n v="2376"/>
    <n v="2976"/>
    <n v="5352"/>
    <s v="YES"/>
    <n v="1722"/>
    <n v="0.53"/>
    <n v="5352"/>
    <m/>
    <m/>
    <m/>
    <m/>
    <m/>
    <m/>
    <m/>
    <m/>
    <m/>
    <m/>
    <m/>
    <m/>
    <m/>
    <m/>
    <m/>
    <m/>
    <m/>
    <m/>
    <m/>
    <m/>
    <m/>
    <m/>
    <m/>
    <m/>
    <m/>
    <m/>
    <m/>
    <m/>
    <m/>
    <m/>
    <m/>
    <m/>
    <m/>
    <m/>
    <m/>
    <m/>
    <m/>
    <m/>
    <m/>
    <m/>
    <m/>
    <m/>
    <m/>
    <m/>
    <m/>
    <m/>
    <m/>
    <m/>
    <m/>
    <m/>
    <m/>
    <m/>
    <m/>
    <m/>
    <m/>
    <m/>
    <m/>
    <m/>
    <m/>
    <m/>
    <m/>
    <m/>
    <m/>
    <m/>
    <m/>
    <s v="NO"/>
    <m/>
    <m/>
    <s v="NO"/>
    <s v="NO"/>
    <m/>
    <m/>
    <s v="N/A"/>
    <x v="1"/>
    <m/>
    <m/>
    <s v="YES"/>
    <m/>
    <m/>
    <m/>
    <m/>
    <m/>
    <m/>
    <x v="2"/>
    <s v="Build water system, and adopt new technological agricultural innovations and products"/>
    <x v="3"/>
    <s v="Piloting a nutrition sensitive agriculture"/>
    <x v="1"/>
    <x v="0"/>
    <s v="YES"/>
    <x v="0"/>
    <x v="0"/>
    <x v="0"/>
    <x v="0"/>
    <n v="4"/>
    <x v="1"/>
    <x v="1"/>
    <x v="1"/>
    <x v="1"/>
    <x v="1"/>
    <x v="1"/>
    <n v="4"/>
    <x v="1"/>
    <x v="1"/>
    <x v="1"/>
    <x v="1"/>
    <x v="1"/>
    <n v="3"/>
    <x v="0"/>
    <x v="1"/>
    <m/>
    <s v="Grassroots organization(s)"/>
    <s v="Local government(s)"/>
    <m/>
    <x v="1"/>
    <m/>
    <m/>
    <s v="VSLA"/>
    <s v="Engaging Men"/>
    <s v="Community Planning"/>
    <s v="Holding Project Kick off meeting is great support for effective implementation of the project as all staff understood how to implement the activities  efficiently at their respective village."/>
    <m/>
    <m/>
    <m/>
    <m/>
    <n v="1722"/>
    <n v="5352"/>
    <n v="3.1080139372822297"/>
    <n v="0.45993031358885017"/>
    <n v="0.44394618834080718"/>
    <n v="792"/>
    <n v="2376"/>
    <s v=""/>
    <n v="0"/>
    <n v="0"/>
    <s v=""/>
    <n v="1"/>
    <n v="1722"/>
    <n v="5352"/>
    <n v="3.1080139372822297"/>
    <s v=""/>
    <n v="0"/>
    <n v="0"/>
    <s v=""/>
    <s v=""/>
    <n v="0"/>
    <n v="0"/>
    <s v=""/>
    <s v=""/>
    <n v="0"/>
    <n v="0"/>
    <s v=""/>
    <s v="2. Sensitive"/>
    <s v="2. Accommodating"/>
    <s v="2. Sensitive"/>
    <s v="It tested new ways for fighting poverty and measured results of innovation"/>
    <s v="Moderate advocacy"/>
    <s v="It took tested solutions to scale on its own"/>
  </r>
  <r>
    <x v="50"/>
    <x v="0"/>
    <m/>
    <s v="Aung Myin Hmu (Industry Solutions for Safy Employment)"/>
    <s v="Myanmar"/>
    <s v="MMR 128"/>
    <s v="No CARE member related to the project/initiative"/>
    <s v="Other"/>
    <s v="Other"/>
    <s v="Livelihood Food Security Trust Fund"/>
    <m/>
    <m/>
    <m/>
    <m/>
    <m/>
    <m/>
    <m/>
    <m/>
    <m/>
    <m/>
    <m/>
    <m/>
    <m/>
    <m/>
    <m/>
    <m/>
    <m/>
    <m/>
    <m/>
    <m/>
    <m/>
    <m/>
    <m/>
    <m/>
    <m/>
    <m/>
    <m/>
    <m/>
    <m/>
    <m/>
    <m/>
    <m/>
    <m/>
    <m/>
    <m/>
    <m/>
    <m/>
    <m/>
    <m/>
    <m/>
    <m/>
    <m/>
    <m/>
    <m/>
    <m/>
    <d v="2017-03-01T00:00:00"/>
    <d v="2019-06-30T00:00:00"/>
    <m/>
    <s v="Development Access to and Control over Economic Resources"/>
    <n v="3000000"/>
    <s v="Ei Shwe Yi Win"/>
    <s v="Program Director"/>
    <s v="eishweyi.win@careint.org"/>
    <s v="Khin Swe Swe"/>
    <s v="Consortium Coordinator"/>
    <s v="Khinswe.swe@careint.org"/>
    <s v="NO"/>
    <s v="YES"/>
    <s v="NO"/>
    <s v="Increased and safe-employment in non-farm activties for migramt women"/>
    <s v="National"/>
    <s v="Hlaing Thayar and Shwe Pyi Thar Township, Myanamar"/>
    <s v="Migrant women"/>
    <n v="54000"/>
    <m/>
    <n v="54000"/>
    <n v="383750"/>
    <m/>
    <n v="383750"/>
    <s v="The migrant women who work/stay in the project geographical area are the direct beneficaries and those who are the immediate family members are assumed as indirect beneficaries."/>
    <m/>
    <m/>
    <m/>
    <m/>
    <m/>
    <m/>
    <m/>
    <m/>
    <m/>
    <m/>
    <m/>
    <m/>
    <m/>
    <m/>
    <m/>
    <m/>
    <m/>
    <m/>
    <m/>
    <m/>
    <m/>
    <m/>
    <m/>
    <m/>
    <m/>
    <m/>
    <m/>
    <m/>
    <m/>
    <m/>
    <m/>
    <m/>
    <m/>
    <m/>
    <m/>
    <m/>
    <m/>
    <m/>
    <m/>
    <m/>
    <m/>
    <m/>
    <m/>
    <m/>
    <m/>
    <m/>
    <m/>
    <m/>
    <m/>
    <m/>
    <m/>
    <m/>
    <m/>
    <m/>
    <m/>
    <m/>
    <m/>
    <m/>
    <m/>
    <m/>
    <n v="5"/>
    <n v="2"/>
    <n v="7"/>
    <n v="35"/>
    <n v="14"/>
    <n v="49"/>
    <m/>
    <m/>
    <m/>
    <m/>
    <m/>
    <m/>
    <m/>
    <m/>
    <m/>
    <m/>
    <m/>
    <m/>
    <m/>
    <m/>
    <m/>
    <m/>
    <m/>
    <m/>
    <m/>
    <m/>
    <m/>
    <m/>
    <m/>
    <m/>
    <m/>
    <m/>
    <m/>
    <m/>
    <m/>
    <m/>
    <m/>
    <m/>
    <m/>
    <m/>
    <m/>
    <m/>
    <m/>
    <m/>
    <m/>
    <m/>
    <m/>
    <m/>
    <m/>
    <m/>
    <m/>
    <m/>
    <m/>
    <m/>
    <m/>
    <m/>
    <m/>
    <m/>
    <m/>
    <m/>
    <m/>
    <m/>
    <m/>
    <m/>
    <m/>
    <m/>
    <s v="YES"/>
    <n v="45"/>
    <n v="1"/>
    <n v="315"/>
    <s v="Leapfrog micrsoft word and excel training  "/>
    <s v="YES"/>
    <n v="7"/>
    <n v="0.71"/>
    <n v="49"/>
    <s v="NO"/>
    <m/>
    <m/>
    <m/>
    <s v="NO"/>
    <m/>
    <m/>
    <s v="N/A"/>
    <x v="1"/>
    <s v="YES"/>
    <m/>
    <s v="YES"/>
    <s v="YES"/>
    <m/>
    <m/>
    <s v="YES"/>
    <m/>
    <m/>
    <x v="2"/>
    <s v="Care developed safe migration messanges and distributed them to potential migrant women though good.com  to receive safe migration.In additon, Job information was posted on good.com and JD will share to suitable migrants."/>
    <x v="0"/>
    <m/>
    <x v="2"/>
    <x v="1"/>
    <s v="YES"/>
    <x v="0"/>
    <x v="0"/>
    <x v="0"/>
    <x v="2"/>
    <n v="4"/>
    <x v="2"/>
    <x v="1"/>
    <x v="1"/>
    <x v="1"/>
    <x v="1"/>
    <x v="2"/>
    <n v="4"/>
    <x v="2"/>
    <x v="1"/>
    <x v="1"/>
    <x v="1"/>
    <x v="2"/>
    <n v="3"/>
    <x v="1"/>
    <x v="3"/>
    <n v="2"/>
    <s v="International NGO(s)"/>
    <s v="Local NGO(s)/CSO(s)"/>
    <m/>
    <x v="0"/>
    <s v="Busineesskind Myanmar proivdes soft skill training in Sunday café and develop messages related to garment migrant workers and ditributed among them through SMS and Facebook."/>
    <m/>
    <s v="Engaging men"/>
    <s v="Community Score"/>
    <s v="Community planning"/>
    <m/>
    <m/>
    <m/>
    <s v="Only Business Kind Myanmar implememnts the activities in this FY. Pyoe Pin and CARE will start the activities after September 2017."/>
    <m/>
    <n v="7"/>
    <n v="49"/>
    <n v="7"/>
    <n v="0.7142857142857143"/>
    <n v="0.7142857142857143"/>
    <n v="5"/>
    <n v="35"/>
    <s v=""/>
    <n v="0"/>
    <n v="0"/>
    <s v=""/>
    <s v=""/>
    <n v="0"/>
    <n v="0"/>
    <s v=""/>
    <s v=""/>
    <n v="0"/>
    <n v="0"/>
    <s v=""/>
    <s v=""/>
    <n v="0"/>
    <n v="0"/>
    <s v=""/>
    <n v="1"/>
    <n v="45"/>
    <n v="315"/>
    <n v="7"/>
    <s v="4. Transformative"/>
    <s v="4. Transformational"/>
    <s v="0. Harmful"/>
    <s v="It tested new ways for fighting poverty and measured results of innovation"/>
    <s v="Moderate advocacy"/>
    <s v="It did not take tested solutions to scale"/>
  </r>
  <r>
    <x v="50"/>
    <x v="0"/>
    <n v="3161"/>
    <s v="Community Peacebuilding in Rakhine State, Myanmar"/>
    <s v="Myanmar"/>
    <s v="MMR115"/>
    <s v="CARE USA"/>
    <s v="Government"/>
    <s v="Government - US"/>
    <s v="USAID"/>
    <m/>
    <m/>
    <m/>
    <m/>
    <m/>
    <m/>
    <m/>
    <m/>
    <m/>
    <m/>
    <m/>
    <m/>
    <m/>
    <m/>
    <m/>
    <m/>
    <m/>
    <m/>
    <m/>
    <m/>
    <m/>
    <m/>
    <m/>
    <m/>
    <m/>
    <m/>
    <m/>
    <m/>
    <m/>
    <m/>
    <m/>
    <m/>
    <m/>
    <m/>
    <m/>
    <m/>
    <m/>
    <m/>
    <m/>
    <m/>
    <m/>
    <m/>
    <m/>
    <m/>
    <m/>
    <d v="2013-10-01T00:00:00"/>
    <d v="2018-03-31T00:00:00"/>
    <d v="2020-06-30T00:00:00"/>
    <s v="Development Access to and Control over Economic Resources"/>
    <n v="2000000"/>
    <s v="Pam Flowers"/>
    <s v="ACD Programs"/>
    <s v="pam.flowers@careint.org"/>
    <s v="Joanne Povey"/>
    <s v="Rakhine Area Coordinator"/>
    <s v="Joanne.Povey@careint.org"/>
    <s v="NO"/>
    <s v="YES"/>
    <s v="NO"/>
    <s v="To strengthen communities and leaders to prevent violence in Northern Rakhine State"/>
    <s v="Sub-National"/>
    <s v="Maungdaw District (Buthidaung and Maungdaw Townships) in northern Rakhine"/>
    <s v="The Rakhine and Rohingya communities. The former are Buddhist and the latter Muslim."/>
    <n v="2553"/>
    <n v="3864"/>
    <n v="6417"/>
    <n v="10020"/>
    <n v="9732"/>
    <n v="19752"/>
    <s v="Community leaders, youth, community groups, women. Direct participants are head count of populaion who directly involved in activities implemented and who directly received the training, workshops and services from the project. Indirect participants are  family and community members."/>
    <m/>
    <n v="0"/>
    <n v="0"/>
    <n v="0"/>
    <n v="0"/>
    <n v="0"/>
    <n v="0"/>
    <s v="NO"/>
    <m/>
    <m/>
    <m/>
    <s v="NO"/>
    <m/>
    <m/>
    <m/>
    <s v="NO"/>
    <m/>
    <m/>
    <m/>
    <s v="NO"/>
    <m/>
    <m/>
    <m/>
    <s v="NO"/>
    <m/>
    <m/>
    <m/>
    <s v="NO"/>
    <m/>
    <m/>
    <m/>
    <s v="NO"/>
    <m/>
    <m/>
    <m/>
    <s v="NO"/>
    <m/>
    <m/>
    <m/>
    <s v="NO"/>
    <m/>
    <m/>
    <m/>
    <s v="NO"/>
    <m/>
    <m/>
    <m/>
    <s v="NO"/>
    <m/>
    <m/>
    <m/>
    <s v="NO"/>
    <m/>
    <m/>
    <m/>
    <m/>
    <s v="NO"/>
    <m/>
    <m/>
    <m/>
    <n v="187"/>
    <n v="179"/>
    <n v="366"/>
    <n v="1788"/>
    <n v="1192"/>
    <n v="2980"/>
    <s v="NO"/>
    <m/>
    <m/>
    <m/>
    <s v="NO"/>
    <m/>
    <m/>
    <m/>
    <s v="YES"/>
    <n v="240"/>
    <n v="0.36"/>
    <n v="2400"/>
    <s v="NO"/>
    <m/>
    <m/>
    <m/>
    <s v="YES"/>
    <n v="126"/>
    <n v="0.65"/>
    <n v="580"/>
    <s v="NO"/>
    <m/>
    <m/>
    <m/>
    <s v="NO"/>
    <m/>
    <m/>
    <m/>
    <s v="NO"/>
    <n v="0"/>
    <n v="0"/>
    <n v="0"/>
    <s v="NO"/>
    <m/>
    <m/>
    <m/>
    <s v="NO"/>
    <m/>
    <m/>
    <m/>
    <s v="NO"/>
    <m/>
    <m/>
    <m/>
    <s v="NO"/>
    <m/>
    <m/>
    <m/>
    <s v="NO"/>
    <m/>
    <m/>
    <m/>
    <s v="NO"/>
    <m/>
    <m/>
    <m/>
    <s v="NO"/>
    <m/>
    <m/>
    <m/>
    <s v="NO"/>
    <m/>
    <m/>
    <m/>
    <m/>
    <s v="NO"/>
    <m/>
    <m/>
    <m/>
    <s v="YES"/>
    <s v="September"/>
    <n v="2016"/>
    <s v="NO"/>
    <s v="YES"/>
    <s v="March"/>
    <n v="2018"/>
    <s v="Endline evaluation,  but everything on on hold due to the current insecurities in Rakhine"/>
    <x v="0"/>
    <s v="NO"/>
    <s v="NO"/>
    <s v="YES"/>
    <s v="NO"/>
    <s v="NO"/>
    <s v="NO"/>
    <s v="NO"/>
    <s v="NO"/>
    <m/>
    <x v="0"/>
    <m/>
    <x v="0"/>
    <m/>
    <x v="0"/>
    <x v="1"/>
    <s v="YES"/>
    <x v="0"/>
    <x v="0"/>
    <x v="0"/>
    <x v="2"/>
    <n v="4"/>
    <x v="2"/>
    <x v="1"/>
    <x v="1"/>
    <x v="1"/>
    <x v="1"/>
    <x v="2"/>
    <n v="4"/>
    <x v="1"/>
    <x v="1"/>
    <x v="1"/>
    <x v="1"/>
    <x v="1"/>
    <n v="3"/>
    <x v="2"/>
    <x v="1"/>
    <m/>
    <m/>
    <m/>
    <m/>
    <x v="0"/>
    <s v="CARE was building the capacities of the civil society/communities to identify and peacefully address conflict drivers"/>
    <m/>
    <s v="EEE trainings"/>
    <s v="Media and rumor management training"/>
    <s v="CM involvment"/>
    <m/>
    <m/>
    <m/>
    <m/>
    <s v="Beneficiary numbers are extracted from ATS."/>
    <n v="366"/>
    <n v="2980"/>
    <n v="8.142076502732241"/>
    <n v="0.51092896174863389"/>
    <n v="0.6"/>
    <n v="187"/>
    <n v="1788"/>
    <s v=""/>
    <n v="0"/>
    <n v="0"/>
    <s v=""/>
    <n v="1"/>
    <n v="126"/>
    <n v="580"/>
    <n v="4.6031746031746028"/>
    <s v=""/>
    <n v="0"/>
    <n v="0"/>
    <s v=""/>
    <s v=""/>
    <n v="0"/>
    <n v="0"/>
    <s v=""/>
    <n v="1"/>
    <n v="81.900000000000006"/>
    <n v="377"/>
    <n v="4.6031746031746028"/>
    <s v="4. Transformative"/>
    <s v="4. Transformational"/>
    <s v="2. Sensitive"/>
    <s v="It did not develop any specific innovation"/>
    <s v="Little or no advocacy"/>
    <s v="It did not take tested solutions to scale"/>
  </r>
  <r>
    <x v="50"/>
    <x v="0"/>
    <m/>
    <s v="Developing Action for Women Now (Dawn)"/>
    <s v="Myanmar"/>
    <s v="MMR126"/>
    <s v="CARE Australia"/>
    <s v="Multilateral agency"/>
    <s v="UN - United Nations agencies/offices"/>
    <s v="UNFPA"/>
    <m/>
    <m/>
    <m/>
    <m/>
    <m/>
    <m/>
    <m/>
    <m/>
    <m/>
    <m/>
    <m/>
    <m/>
    <m/>
    <m/>
    <m/>
    <m/>
    <m/>
    <m/>
    <m/>
    <m/>
    <m/>
    <m/>
    <m/>
    <m/>
    <m/>
    <m/>
    <m/>
    <m/>
    <m/>
    <m/>
    <m/>
    <m/>
    <m/>
    <m/>
    <m/>
    <m/>
    <m/>
    <m/>
    <m/>
    <m/>
    <m/>
    <m/>
    <m/>
    <m/>
    <m/>
    <d v="2017-01-01T00:00:00"/>
    <d v="2017-12-31T00:00:00"/>
    <m/>
    <s v="Development A Life Free From Violence (GBV)"/>
    <n v="200000"/>
    <s v="Ni Lar Shwe"/>
    <s v="Program Director"/>
    <s v="Nilar.shwe@careint.org"/>
    <s v="Kyi Zaw Win"/>
    <s v="Program Manager"/>
    <s v="Kyizaw.win@careint.org"/>
    <s v="NO"/>
    <s v="YES"/>
    <s v="NO"/>
    <s v="Individual and institutional capacities to address GBV are strengthened through a mulit-sectoral approach"/>
    <s v="Sub-National"/>
    <s v="Lashio Township, Northern Shan State"/>
    <s v="Vulnerable rural women, front line responders, community health workers, CSO/ local NGOs, volunteers , community leaders and members"/>
    <n v="3838"/>
    <n v="1567"/>
    <n v="5405"/>
    <n v="7810"/>
    <n v="3190"/>
    <n v="11000"/>
    <s v="Frontline responders such as government health and legal service providers, community health workers, CSO/local NGO staff and volunteers, community leaders , VSLA  members and community members.  Knowldege, information and technical assistance received through direct benieficiaries are counted as indirect beneficiaries."/>
    <m/>
    <m/>
    <m/>
    <m/>
    <m/>
    <m/>
    <m/>
    <m/>
    <m/>
    <m/>
    <m/>
    <m/>
    <m/>
    <m/>
    <m/>
    <m/>
    <m/>
    <m/>
    <m/>
    <m/>
    <m/>
    <m/>
    <m/>
    <m/>
    <m/>
    <m/>
    <m/>
    <m/>
    <m/>
    <m/>
    <m/>
    <m/>
    <m/>
    <m/>
    <m/>
    <m/>
    <m/>
    <m/>
    <m/>
    <m/>
    <m/>
    <m/>
    <m/>
    <m/>
    <m/>
    <m/>
    <m/>
    <m/>
    <m/>
    <m/>
    <m/>
    <m/>
    <m/>
    <m/>
    <m/>
    <m/>
    <m/>
    <m/>
    <m/>
    <m/>
    <n v="1792"/>
    <n v="602"/>
    <n v="2394"/>
    <n v="3584"/>
    <n v="1204"/>
    <n v="4788"/>
    <m/>
    <m/>
    <m/>
    <m/>
    <m/>
    <m/>
    <m/>
    <m/>
    <m/>
    <m/>
    <m/>
    <m/>
    <m/>
    <m/>
    <m/>
    <m/>
    <m/>
    <m/>
    <m/>
    <m/>
    <m/>
    <m/>
    <m/>
    <m/>
    <m/>
    <m/>
    <m/>
    <m/>
    <s v="YES"/>
    <n v="2394"/>
    <n v="0.71"/>
    <n v="4788"/>
    <m/>
    <m/>
    <m/>
    <m/>
    <m/>
    <m/>
    <m/>
    <m/>
    <m/>
    <m/>
    <m/>
    <m/>
    <m/>
    <m/>
    <m/>
    <m/>
    <m/>
    <m/>
    <m/>
    <m/>
    <m/>
    <m/>
    <m/>
    <m/>
    <m/>
    <m/>
    <m/>
    <m/>
    <m/>
    <m/>
    <m/>
    <m/>
    <m/>
    <m/>
    <m/>
    <m/>
    <m/>
    <s v="YES"/>
    <s v="May"/>
    <n v="2017"/>
    <s v="YES"/>
    <s v="YES"/>
    <s v="November"/>
    <n v="2017"/>
    <s v="N/A"/>
    <x v="1"/>
    <m/>
    <m/>
    <s v="YES"/>
    <s v="YES"/>
    <m/>
    <s v="YES"/>
    <m/>
    <m/>
    <m/>
    <x v="1"/>
    <s v="Multi sectoral GBV prevention and response model: this approach involves woking at multi level of society and with multiple key stakeholders to comprehensively prevent and respond to violence against women."/>
    <x v="3"/>
    <s v="Multi sectoral GBV prevention and response model: this approach involves woking at multi level of society and with multiple key stakeholders to comprehensively prevent and respond to violence against women."/>
    <x v="2"/>
    <x v="1"/>
    <s v="NO"/>
    <x v="0"/>
    <x v="1"/>
    <x v="1"/>
    <x v="3"/>
    <n v="1"/>
    <x v="1"/>
    <x v="2"/>
    <x v="1"/>
    <x v="1"/>
    <x v="2"/>
    <x v="4"/>
    <n v="2"/>
    <x v="2"/>
    <x v="1"/>
    <x v="1"/>
    <x v="1"/>
    <x v="2"/>
    <n v="3"/>
    <x v="2"/>
    <x v="3"/>
    <m/>
    <s v="Regional alliance(s)/Platform(s)/Network(s) of  NGOs/CSOs"/>
    <s v="Local government(s)"/>
    <s v="Grassroots organization(s)"/>
    <x v="0"/>
    <s v="Provided finaciial management training and estabilished multi stakeholders/GBV coordination mechanism. Provided TOT on GBV awareness training."/>
    <m/>
    <s v="Strengthen the roles of GBV service providers and community level GBV awarness raising training"/>
    <s v="Estabilished multi stakeholders/GBV coordination mechanism"/>
    <m/>
    <s v="Both implementing partners (IRC and Care) of UNFPA are working with same women network and providing training and holding meeting with this network. When there is a gap of communication and coordination, some trainings and meetings were overlapped both implementing partners and network. Therefore, GBV working group meeting is crucial to avoid overlapping issue and it required more communication and coordination each other. In this GBV working group meeting, the women's network and implementing partners were able to explore and discuss their monthly work plans."/>
    <m/>
    <m/>
    <m/>
    <m/>
    <n v="2394"/>
    <n v="4788"/>
    <n v="2"/>
    <n v="0.74853801169590639"/>
    <n v="0.74853801169590639"/>
    <n v="1792"/>
    <n v="3584"/>
    <s v=""/>
    <n v="0"/>
    <n v="0"/>
    <s v=""/>
    <s v=""/>
    <n v="0"/>
    <n v="0"/>
    <s v=""/>
    <s v=""/>
    <n v="0"/>
    <n v="0"/>
    <s v=""/>
    <n v="1"/>
    <n v="2394"/>
    <n v="4788"/>
    <n v="2"/>
    <s v=""/>
    <n v="0"/>
    <n v="0"/>
    <s v=""/>
    <s v="No marker score"/>
    <s v="1. Tokenistic"/>
    <s v="0. Harmful"/>
    <s v="It tested new ways for fighting poverty, but did not measure results of innovation"/>
    <s v="Moderate advocacy"/>
    <s v="It took tested solutions to scale on its own"/>
  </r>
  <r>
    <x v="50"/>
    <x v="0"/>
    <n v="3158"/>
    <s v="Expanding Maternal, Child and Reproductive Health Care in Myanmar;"/>
    <s v="Myanmar"/>
    <s v="MMR102"/>
    <s v="CARE UK"/>
    <s v="Individual supporter"/>
    <s v="Other"/>
    <s v="GlaxoSmithKline (GSK)"/>
    <m/>
    <m/>
    <m/>
    <m/>
    <m/>
    <m/>
    <m/>
    <m/>
    <m/>
    <m/>
    <m/>
    <m/>
    <m/>
    <m/>
    <m/>
    <m/>
    <m/>
    <m/>
    <m/>
    <m/>
    <m/>
    <m/>
    <m/>
    <m/>
    <m/>
    <m/>
    <m/>
    <m/>
    <m/>
    <m/>
    <m/>
    <m/>
    <m/>
    <m/>
    <m/>
    <m/>
    <m/>
    <m/>
    <m/>
    <m/>
    <m/>
    <m/>
    <m/>
    <m/>
    <m/>
    <d v="2015-10-01T00:00:00"/>
    <d v="2018-09-30T00:00:00"/>
    <m/>
    <s v="Development Sexual, Reproductive and Maternal Health (SRMH)"/>
    <n v="992000"/>
    <s v="Ni Lar Shwe"/>
    <s v="Program Director"/>
    <s v="Nilar.shwe@careint.org"/>
    <s v="Kyi Zaw Win"/>
    <s v="Program Manager"/>
    <s v="Kyizaw.win@careint.org"/>
    <s v="NO"/>
    <s v="YES"/>
    <s v="NO"/>
    <s v="To contribute to the reduction of maternal and neonatal mortality through increased access to, and quality of, sexual and reproductive health, and maternal and child health services."/>
    <s v="Sub-National"/>
    <s v="Lashio Township, Northern Shan State"/>
    <s v="Vulnerable Rural Women who lack and less access to health services, and also ethnicity is a stigma and a barrier . Specifically pregnant women, mother groups members, children under 5, VSLAls members, members of village health committee, Auxiliary Midwives"/>
    <n v="7067"/>
    <n v="2887"/>
    <n v="9954"/>
    <n v="17868"/>
    <n v="7132"/>
    <n v="25000"/>
    <s v="Direct benificiaries are auxiliary midwives, basic health staff, voluntters , mothers, children and community members who directly benifitted by the project. Knowledge, information and teachnical transfer through direct participants."/>
    <m/>
    <m/>
    <m/>
    <m/>
    <m/>
    <m/>
    <m/>
    <m/>
    <m/>
    <m/>
    <m/>
    <m/>
    <m/>
    <m/>
    <m/>
    <m/>
    <m/>
    <m/>
    <m/>
    <m/>
    <m/>
    <m/>
    <m/>
    <m/>
    <m/>
    <m/>
    <m/>
    <m/>
    <m/>
    <m/>
    <m/>
    <m/>
    <m/>
    <m/>
    <m/>
    <m/>
    <m/>
    <m/>
    <m/>
    <m/>
    <m/>
    <m/>
    <m/>
    <m/>
    <m/>
    <m/>
    <m/>
    <m/>
    <m/>
    <m/>
    <m/>
    <m/>
    <m/>
    <m/>
    <m/>
    <m/>
    <m/>
    <m/>
    <m/>
    <m/>
    <n v="3375"/>
    <n v="1347"/>
    <n v="4722"/>
    <n v="5297"/>
    <n v="5169"/>
    <n v="10466"/>
    <m/>
    <m/>
    <m/>
    <m/>
    <m/>
    <m/>
    <m/>
    <m/>
    <m/>
    <m/>
    <m/>
    <m/>
    <m/>
    <m/>
    <m/>
    <m/>
    <s v="YES"/>
    <n v="709"/>
    <n v="0.8"/>
    <n v="2836"/>
    <m/>
    <m/>
    <m/>
    <m/>
    <m/>
    <m/>
    <m/>
    <m/>
    <m/>
    <m/>
    <m/>
    <m/>
    <m/>
    <m/>
    <m/>
    <m/>
    <m/>
    <m/>
    <m/>
    <m/>
    <s v="YES"/>
    <n v="1462"/>
    <n v="0.51"/>
    <n v="1462"/>
    <m/>
    <m/>
    <m/>
    <m/>
    <m/>
    <m/>
    <m/>
    <m/>
    <s v="YES"/>
    <n v="4722"/>
    <n v="0.71"/>
    <n v="10466"/>
    <m/>
    <m/>
    <m/>
    <m/>
    <m/>
    <m/>
    <m/>
    <m/>
    <m/>
    <m/>
    <m/>
    <m/>
    <m/>
    <s v="NO"/>
    <m/>
    <m/>
    <s v="NO"/>
    <s v="NO"/>
    <m/>
    <m/>
    <s v="N/A"/>
    <x v="0"/>
    <m/>
    <m/>
    <s v="YES"/>
    <m/>
    <m/>
    <m/>
    <m/>
    <m/>
    <m/>
    <x v="1"/>
    <s v="Select and train Auxilary Midwives, Village Health Volunteers to give basic health services and Village Emergency Referral System is set up each project village to help reduce materanl and neonatal mortality which in turns contribute to reducing poverty."/>
    <x v="3"/>
    <s v="Piloting a community score card"/>
    <x v="1"/>
    <x v="0"/>
    <s v="YES"/>
    <x v="0"/>
    <x v="0"/>
    <x v="1"/>
    <x v="1"/>
    <n v="3"/>
    <x v="1"/>
    <x v="2"/>
    <x v="2"/>
    <x v="1"/>
    <x v="1"/>
    <x v="4"/>
    <n v="2"/>
    <x v="1"/>
    <x v="2"/>
    <x v="2"/>
    <x v="1"/>
    <x v="3"/>
    <n v="1"/>
    <x v="2"/>
    <x v="1"/>
    <m/>
    <s v="Grassroots organization(s)"/>
    <s v="Local government(s)"/>
    <m/>
    <x v="1"/>
    <m/>
    <m/>
    <s v="VSLA"/>
    <s v="Engagin Men"/>
    <s v="Community Planning"/>
    <s v="Provision of first aid kit to VHV are really supportvied  for community health  but need to provide some more health knoweldes to VHV that to be more effective. Medical equipment support  to rural helath center have  imporved   health care facilites  for targeted community, but knowledge to use the euipment are challenges for health care staff who assgined on the rural helath center,  Provide way of using medical equipipment before  (or) soon after provision period will be more effecitvie for community healht care  servcies."/>
    <s v="efore the project began, women and men were unaware of gender and the value and roles of women in the family and community. Poor women are often excluded from decisions making and management level, even though they bear the burden of family health. Moreover, men did not accept and did not give a space for women in decisions making. Therefore the project has created the space for women and girl to serve as a health care service providers and committee members. The project staff encouraged women to participate in committee, resulting 70% female members have now engaged in the committees and have opportunity to learn and share new skills, knowledge, which makes them to improve confidence and aspirations."/>
    <s v="Low level of education in the community have adversely effected on behavior changes and knowledge improvement. When education levels are low, the communities are often limited to attain what the topic means and are not well understood, resulting the communities are reluctant to change their behaviours on sexual reproductive and maternal health. Therefore it is required to conduct repeatedly health education sessions on the same topic.  "/>
    <m/>
    <m/>
    <n v="4722"/>
    <n v="10466"/>
    <n v="2.2164337145277426"/>
    <n v="0.71473951715374839"/>
    <n v="0.50611503917446976"/>
    <n v="3375"/>
    <n v="5297"/>
    <s v=""/>
    <n v="0"/>
    <n v="0"/>
    <s v=""/>
    <n v="1"/>
    <n v="709"/>
    <n v="2836"/>
    <n v="4"/>
    <n v="1"/>
    <n v="4722"/>
    <n v="10466"/>
    <n v="2.2164337145277426"/>
    <s v=""/>
    <n v="0"/>
    <n v="0"/>
    <s v=""/>
    <n v="1"/>
    <n v="567.20000000000005"/>
    <n v="2268.8000000000002"/>
    <n v="4"/>
    <s v="1. Neutral"/>
    <s v="1. Tokenistic"/>
    <s v="1. Neutral"/>
    <s v="It tested new ways for fighting poverty, but did not measure results of innovation"/>
    <s v="Little or no advocacy"/>
    <s v="It took tested solutions to scale on its own"/>
  </r>
  <r>
    <x v="50"/>
    <x v="0"/>
    <m/>
    <s v="Generating Rubber Opportunities in Myanmar"/>
    <s v="Myanmar"/>
    <s v="MMR 117"/>
    <s v="No CARE member related to the project/initiative"/>
    <s v="Government"/>
    <s v="Government - Switzerland"/>
    <s v="Swiss Agency for Development and Cooperation (SDC)"/>
    <m/>
    <m/>
    <m/>
    <m/>
    <m/>
    <m/>
    <m/>
    <m/>
    <m/>
    <m/>
    <m/>
    <m/>
    <m/>
    <m/>
    <m/>
    <m/>
    <m/>
    <m/>
    <m/>
    <m/>
    <m/>
    <m/>
    <m/>
    <m/>
    <m/>
    <m/>
    <m/>
    <m/>
    <m/>
    <m/>
    <m/>
    <m/>
    <m/>
    <m/>
    <m/>
    <m/>
    <m/>
    <m/>
    <m/>
    <m/>
    <m/>
    <m/>
    <m/>
    <m/>
    <m/>
    <d v="2015-07-01T00:00:00"/>
    <d v="2017-12-31T00:00:00"/>
    <m/>
    <s v="Development Access to and Control over Economic Resources"/>
    <n v="4285000"/>
    <s v="Mohamed Fahad Ifaz"/>
    <s v="Project Director"/>
    <s v="mohd.ifaz@careint.org"/>
    <s v="Pam Flower"/>
    <s v="ACD-Programs"/>
    <s v="pam.flower@careint.org"/>
    <s v="NO"/>
    <s v="YES"/>
    <s v="NO"/>
    <s v="Improved livelihoods and improved social capital of poor women and men in the rubber market sector"/>
    <s v="Sub-National"/>
    <s v="Mon State, Myanmar"/>
    <s v="Smallholder farmers and farm labourers ( Rubber)"/>
    <n v="2486"/>
    <n v="5495"/>
    <n v="7981"/>
    <n v="7000"/>
    <n v="13000"/>
    <n v="20000"/>
    <s v="Direct participants (under 20 acres of WMSHFs-Women and Men Smallholder Farmers) through the partners' performance according to M4P apporach (Making Markets Work for Poor). Indirect Participants ; Knowledge and information, technical transfering to the WMSHFs through the direct participants."/>
    <m/>
    <m/>
    <m/>
    <m/>
    <m/>
    <m/>
    <m/>
    <m/>
    <m/>
    <m/>
    <m/>
    <m/>
    <m/>
    <m/>
    <m/>
    <m/>
    <m/>
    <m/>
    <m/>
    <m/>
    <m/>
    <m/>
    <m/>
    <m/>
    <m/>
    <m/>
    <m/>
    <m/>
    <m/>
    <m/>
    <m/>
    <m/>
    <m/>
    <m/>
    <m/>
    <m/>
    <m/>
    <m/>
    <m/>
    <m/>
    <m/>
    <m/>
    <m/>
    <m/>
    <m/>
    <m/>
    <m/>
    <m/>
    <m/>
    <m/>
    <m/>
    <m/>
    <m/>
    <m/>
    <m/>
    <m/>
    <m/>
    <m/>
    <m/>
    <m/>
    <n v="2486"/>
    <n v="5495"/>
    <n v="7981"/>
    <n v="7000"/>
    <n v="13000"/>
    <n v="20000"/>
    <s v="YES"/>
    <n v="7981"/>
    <n v="0.35"/>
    <n v="20000"/>
    <m/>
    <m/>
    <m/>
    <m/>
    <m/>
    <m/>
    <m/>
    <m/>
    <m/>
    <m/>
    <m/>
    <m/>
    <m/>
    <m/>
    <m/>
    <m/>
    <m/>
    <m/>
    <m/>
    <m/>
    <m/>
    <m/>
    <m/>
    <m/>
    <m/>
    <m/>
    <m/>
    <m/>
    <s v="YES"/>
    <n v="278"/>
    <n v="0.95"/>
    <n v="1390"/>
    <m/>
    <m/>
    <m/>
    <m/>
    <m/>
    <m/>
    <m/>
    <m/>
    <m/>
    <m/>
    <m/>
    <m/>
    <m/>
    <m/>
    <m/>
    <m/>
    <m/>
    <m/>
    <m/>
    <m/>
    <m/>
    <m/>
    <m/>
    <m/>
    <m/>
    <m/>
    <m/>
    <m/>
    <m/>
    <m/>
    <m/>
    <m/>
    <m/>
    <m/>
    <m/>
    <m/>
    <m/>
    <m/>
    <m/>
    <m/>
    <m/>
    <x v="2"/>
    <m/>
    <m/>
    <m/>
    <s v="YES"/>
    <s v="YES"/>
    <s v="YES"/>
    <s v="YES"/>
    <s v="YES"/>
    <s v="Upgrading Rubber Law by supporting to State and National level DOA"/>
    <x v="0"/>
    <s v="As the GRO project is the market development project, it is intended to the profit incentive of the rubber stakeholders by strengtheing the rubber maket."/>
    <x v="1"/>
    <s v="GROs approach is based on the premise that enhanced private and public sector business services and an improved enabling environment, leads to more competitive enterprises, sustainable economic growth and poverty reduction. Thus it needs to engage with private and public sector partners."/>
    <x v="1"/>
    <x v="0"/>
    <s v="YES"/>
    <x v="0"/>
    <x v="0"/>
    <x v="0"/>
    <x v="0"/>
    <n v="4"/>
    <x v="1"/>
    <x v="1"/>
    <x v="1"/>
    <x v="1"/>
    <x v="1"/>
    <x v="1"/>
    <n v="4"/>
    <x v="3"/>
    <x v="1"/>
    <x v="1"/>
    <x v="1"/>
    <x v="4"/>
    <n v="3"/>
    <x v="2"/>
    <x v="3"/>
    <n v="9"/>
    <s v="Private sector"/>
    <s v="Local government(s)"/>
    <s v="University/research institution(s)"/>
    <x v="0"/>
    <s v="Staff Capacity Building to partners (DOA &amp; PCRDC-public sector). Satff Capacity Building to CSOs (MonRPPA)"/>
    <s v="GRO's Partners, Govertment staff have imporved their technical skill and imporved ownership scense on the rubber sector development. The communication of CSOs and Government body, improved better relationship between Myanmar RPPA and MonRPPA. Better linkage rubber traders and farmers."/>
    <s v="Capacity-building of staff to work effectively with partners so that CARE takes a faciliation role"/>
    <s v="Being aware of the complex market systems, adopting a iterative and adaptive implementation strategy"/>
    <s v="Create awareness amongst the partner organizations on Making Markets Work for the Poor ( M4P) approach"/>
    <s v="If it is a relatively new implementaion model such as M4P, its is necessary to invest in creating awareness for the stakeholders on the approach"/>
    <s v="Absolutely important to invest in staff capacity building to be able to manage the project and steer it towards the intended outcomes"/>
    <s v="GRO practices a agile program management system, where it observes and learns, creates safe to fail activities, iterates its design of activites according to insights from the target group and wider market systems, has short feedback loop to support the agility"/>
    <s v="GRO is working on the M4P approach, which is a relatively new approach to deliver sustainable development outcomes. Thus, this year the project invested considerable resources in building the capacity of project staff, as well as creating awareness to the stakeholders and partners."/>
    <s v="Please see attached of Anuual report (2017), Land Study Report, Logframe, Outcome Monitoring Report (will be submitted on October)."/>
    <n v="7981"/>
    <n v="20000"/>
    <n v="2.5059516351334419"/>
    <n v="0.31148978824708684"/>
    <n v="0.35"/>
    <n v="2486"/>
    <n v="7000"/>
    <s v=""/>
    <n v="0"/>
    <n v="0"/>
    <s v=""/>
    <n v="1"/>
    <n v="7981"/>
    <n v="20000"/>
    <n v="2.5059516351334419"/>
    <s v=""/>
    <n v="0"/>
    <n v="0"/>
    <s v=""/>
    <s v=""/>
    <n v="0"/>
    <n v="0"/>
    <s v=""/>
    <s v=""/>
    <n v="0"/>
    <n v="0"/>
    <s v=""/>
    <s v="2. Sensitive"/>
    <s v="2. Accommodating"/>
    <s v="4. Transformative"/>
    <s v="It did not develop any specific innovation"/>
    <s v="Intensive advocacy"/>
    <s v="It linked and worked with strategic alliances and partners to take tested and effective solutions to scale"/>
  </r>
  <r>
    <x v="50"/>
    <x v="0"/>
    <n v="3159"/>
    <s v="Improve access to safe employment for Migrant Women in Urban Myanmar"/>
    <s v="Myanmar"/>
    <s v="MMR108"/>
    <s v="CARE Australia"/>
    <s v="Government"/>
    <s v="Government - Australia"/>
    <s v="DFAT-Australia"/>
    <m/>
    <m/>
    <m/>
    <m/>
    <m/>
    <m/>
    <m/>
    <m/>
    <m/>
    <m/>
    <m/>
    <m/>
    <m/>
    <m/>
    <m/>
    <m/>
    <m/>
    <m/>
    <m/>
    <m/>
    <m/>
    <m/>
    <m/>
    <m/>
    <m/>
    <m/>
    <m/>
    <m/>
    <m/>
    <m/>
    <m/>
    <m/>
    <m/>
    <m/>
    <m/>
    <m/>
    <m/>
    <m/>
    <m/>
    <m/>
    <m/>
    <m/>
    <m/>
    <m/>
    <m/>
    <d v="2013-07-01T00:00:00"/>
    <d v="2017-06-30T00:00:00"/>
    <m/>
    <s v="Development Access to and Control over Economic Resources"/>
    <n v="2563417"/>
    <s v="Ei Shwe Yi Win"/>
    <s v="Program Director"/>
    <s v="eishweyi.win@careint.org"/>
    <s v="Ko Ko Zaw"/>
    <s v="Program Manager"/>
    <s v="KoKo.Zaw@careint.org"/>
    <s v="NO"/>
    <s v="YES"/>
    <s v="NO"/>
    <s v="Improve access to safe employment for Migrant Women in Urban Myanmar"/>
    <s v="Sub-National"/>
    <s v="Hlaingtharyar Township, Yangon Region and Aungmyaytharzan and Patheingyi Townships, Mandalay Region"/>
    <s v="Urban Migrant Women"/>
    <n v="6576"/>
    <n v="1964"/>
    <n v="8540"/>
    <n v="35280"/>
    <n v="8820"/>
    <n v="44100"/>
    <s v="Direct participants are Urban Migrant Women and Men those who received direct support from project; primary count from participants who received gender based violence and legal traiining, GBV survivor who received litigation support, participants who recevied vocational training and income generation support, participants receving cost related to SRH services. Indirect participants are family members/neighbours/friends of Urban Migrant Women and Men who received direct support from project. Estimated indirect participants are calculated based on assumption that direct participants will at least shared the project information or benefit from support with thier family members/friends/neighbour and based on the average household size of 5 person/HH as per 2014 Myanmar Census."/>
    <m/>
    <m/>
    <m/>
    <m/>
    <m/>
    <m/>
    <m/>
    <m/>
    <m/>
    <m/>
    <m/>
    <m/>
    <m/>
    <m/>
    <m/>
    <m/>
    <m/>
    <m/>
    <m/>
    <m/>
    <m/>
    <m/>
    <m/>
    <m/>
    <m/>
    <m/>
    <m/>
    <m/>
    <m/>
    <m/>
    <m/>
    <m/>
    <m/>
    <m/>
    <m/>
    <m/>
    <m/>
    <m/>
    <m/>
    <m/>
    <m/>
    <m/>
    <m/>
    <m/>
    <m/>
    <m/>
    <m/>
    <m/>
    <m/>
    <m/>
    <m/>
    <m/>
    <m/>
    <m/>
    <m/>
    <m/>
    <m/>
    <m/>
    <m/>
    <m/>
    <n v="2720"/>
    <n v="1280"/>
    <n v="4000"/>
    <n v="11680"/>
    <n v="4320"/>
    <n v="16000"/>
    <m/>
    <m/>
    <m/>
    <m/>
    <m/>
    <m/>
    <m/>
    <m/>
    <m/>
    <m/>
    <m/>
    <m/>
    <m/>
    <m/>
    <m/>
    <m/>
    <m/>
    <m/>
    <m/>
    <m/>
    <m/>
    <m/>
    <m/>
    <m/>
    <m/>
    <m/>
    <m/>
    <m/>
    <s v="YES"/>
    <n v="3993"/>
    <n v="0.91"/>
    <n v="17209"/>
    <m/>
    <m/>
    <m/>
    <m/>
    <m/>
    <m/>
    <m/>
    <m/>
    <m/>
    <m/>
    <m/>
    <m/>
    <m/>
    <m/>
    <m/>
    <m/>
    <s v="YES"/>
    <n v="59"/>
    <n v="0.95"/>
    <m/>
    <s v="YES"/>
    <n v="2937"/>
    <n v="1"/>
    <m/>
    <m/>
    <m/>
    <m/>
    <m/>
    <s v="YES"/>
    <n v="521"/>
    <n v="1"/>
    <m/>
    <m/>
    <m/>
    <m/>
    <m/>
    <m/>
    <s v="YES"/>
    <s v="March"/>
    <n v="2017"/>
    <s v="YES"/>
    <s v="NO"/>
    <m/>
    <m/>
    <s v="This project has several challenges and limitation in conducting end of project evaluation since impact group are highly mobile in nature and there's been significant social, economic and political upheavals within Myanmar throughout the implementation period. Balanced against its limited reach, results for individual beneficiaries are good but information are not sufficient to make conclusion the project has achieved its intended objectives. Therefore, for similar project implementation, evaluation strategy should be developed to capture the outcome level changes throughout the project period.  "/>
    <x v="1"/>
    <m/>
    <m/>
    <s v="YES"/>
    <m/>
    <m/>
    <m/>
    <m/>
    <m/>
    <m/>
    <x v="1"/>
    <s v="CARE Myanmar's new initiative in multi-stakeholders GBV prevention and response model using participatory approach to get insight and effective participation from different stakeholders including Government counter parts, CSOs and community. The model used holistic and new approaches by strenghtening social service provision from Government sectors and on the other side, vulnerable community were strengthened on legal literacy and GBV in order to prevent and response cases on the ground. CARE facilitated both sides to create multi-stakeholders coordination in prevention and response to GBV effectivelly."/>
    <x v="1"/>
    <s v="As mentioned in innovative section, CARE has been testing multi-stakeholder GBV prevention and response model with some community at ward/village level and brought its success to Township level to get buy-in from Government counterparts. It's been ongoing, however, there's increased participation and leading role from concerned Government Department to scale up in other community."/>
    <x v="2"/>
    <x v="0"/>
    <s v="YES"/>
    <x v="0"/>
    <x v="0"/>
    <x v="1"/>
    <x v="1"/>
    <n v="3"/>
    <x v="1"/>
    <x v="1"/>
    <x v="2"/>
    <x v="1"/>
    <x v="1"/>
    <x v="1"/>
    <n v="3"/>
    <x v="2"/>
    <x v="1"/>
    <x v="1"/>
    <x v="1"/>
    <x v="2"/>
    <n v="3"/>
    <x v="2"/>
    <x v="0"/>
    <n v="3"/>
    <s v="Private sector"/>
    <s v="Local NGO(s)/CSO(s)"/>
    <s v="International NGO(s)"/>
    <x v="0"/>
    <s v="CARE identified the CSOs who have mutual interest to work on GBV issues while CARE delivered the GBV and legal awareness in initial stages of project. These CSOs were strengthened capacity based on their distinct needs, role in the community, experience and their organizational vision. They received different capacity building support on technical skill and their organizational development areas such as Governance, leadership, team building, networking."/>
    <s v="During this FY, CARE started new approach to work with Private Sector to narrow its focus on strengthening job-seeking services in the low skilled labour markets. This approach has reached lager numbers of low skilled migrant workers and supported them with online job matching service."/>
    <s v="CARE developed multi-stakeholders GBV prevention and response strategy and it's model using participatory approach to get insight from different stakeholders. Since CARE started project in Mandalay and Yangon, its been observed that GBV related services are constrained in terms of scope, coverage and quality. GBV services regarded as low priority and insufficient investments made in addressing the problem by Government. Most CSOs have informal and unsystematic ways of referring GBV survivors to other NGO service providers. Formal, coordinated mechanisms for collaboration, referrals, information sharing, and data collection are lacking. To address these gaps, CARE developed this GBV strategy ensuring inputs and consistent participation from local community, CSOs and responsible Government Departments. Launching of GBV strategy with key stakeholders has done and  implementation of key activities in line with strategy has been underway as multi-sectoral approach leading by DSW which is highly likely to be sustainable."/>
    <s v="The Projects ground up approach to community mobilization is a key strength of the project, engaging, reorienting and strengthening existing local community members, community groups and facilitated to get linkage with local government  means the investments in awareness raising, knowledge and responses to gender based violence are to be sustained."/>
    <m/>
    <s v="The project had narrowed the scope of intervention and tested in selected locations with specific stakeholders (for example: GBV model). It contributed to effective programming and strengthened more collaboration with government department to achieve visible and concrete result and wider impact for urban migrant women and vulnerable women in the urban community.  "/>
    <s v="Parallel engagement with Government counterpart and existing community groups  resulted in effective delivery of GBV response to violence against women"/>
    <m/>
    <m/>
    <m/>
    <n v="4000"/>
    <n v="16000"/>
    <n v="4"/>
    <n v="0.68"/>
    <n v="0.73"/>
    <n v="2720"/>
    <n v="11680"/>
    <s v=""/>
    <n v="0"/>
    <n v="0"/>
    <s v=""/>
    <s v=""/>
    <n v="0"/>
    <n v="0"/>
    <s v=""/>
    <n v="1"/>
    <n v="2937"/>
    <n v="0"/>
    <n v="0"/>
    <n v="1"/>
    <n v="3993"/>
    <n v="17209"/>
    <n v="4.3097921362384168"/>
    <n v="1"/>
    <n v="521"/>
    <n v="0"/>
    <n v="0"/>
    <s v="1. Neutral"/>
    <s v="2. Accommodating"/>
    <s v="0. Harmful"/>
    <s v="It tested new ways for fighting poverty, but did not measure results of innovation"/>
    <s v="Moderate advocacy"/>
    <s v="It linked and worked with strategic alliances and partners to take tested and effective solutions to scale"/>
  </r>
  <r>
    <x v="50"/>
    <x v="0"/>
    <n v="3156"/>
    <s v="INGOs Consortium on HIV Prevention, Care and Support Project"/>
    <s v="Myanmar"/>
    <s v="MMR 092"/>
    <s v="No CARE member related to the project/initiative"/>
    <s v="Other"/>
    <s v="The Global Fund to Fight AIDS, Tuberculosis and Malaria"/>
    <s v="Global Fund to Fight AIDS, Tuberculosis and Malaria"/>
    <m/>
    <m/>
    <m/>
    <m/>
    <m/>
    <m/>
    <m/>
    <m/>
    <m/>
    <m/>
    <m/>
    <m/>
    <m/>
    <m/>
    <m/>
    <m/>
    <m/>
    <m/>
    <m/>
    <m/>
    <m/>
    <m/>
    <m/>
    <m/>
    <m/>
    <m/>
    <m/>
    <m/>
    <m/>
    <m/>
    <m/>
    <m/>
    <m/>
    <m/>
    <m/>
    <m/>
    <m/>
    <m/>
    <m/>
    <m/>
    <m/>
    <m/>
    <m/>
    <m/>
    <m/>
    <d v="2013-01-01T00:00:00"/>
    <d v="2017-12-31T00:00:00"/>
    <m/>
    <s v="Development Sexual, Reproductive and Maternal Health (SRMH)"/>
    <m/>
    <s v="Ei Shwe Yi Win"/>
    <s v="Program Director"/>
    <s v="eishweyi.win@careint.org"/>
    <s v="Pyae Soe Thiha"/>
    <s v="Consortium Coordinator"/>
    <s v="pyaesoe.thiha@careint.org"/>
    <s v="NO"/>
    <s v="YES"/>
    <s v="NO"/>
    <s v="To help improve the continuum of prevention, treatment and care available to key populations (female sex workers, their clients, and men who have sex with men) and people living with HIV (PLHIV)."/>
    <s v="Sub-National"/>
    <s v="Monywa Township, Kalay Township, Tamu Townships in Saging Region. ChanMyaThaZi Tsp, ChanAyeTharZan Tsp, AungMyayTharZan Tsp, MaHaAungMyay Tsp and PyiGyiTaGon Tsp in Mandalay Region. Magway Tsp and Pakokku Tsp in Magway Region. Bago Tsp and Pyay Tsp in Bago Region. Pathein Tsp in Ayawady Region. Tharketa Tsp in Yangon Region. Mawlamyine Tsp, Thaton Tsp, Mudon Tsp and Ye Tsp in Mon State."/>
    <s v="Key Population ( MSM, FSW, TG), PLHIV (People Living with HIV/AIDS) and Other Vulnerable Population"/>
    <n v="18338"/>
    <n v="16927"/>
    <n v="35265"/>
    <n v="6113"/>
    <n v="5642"/>
    <n v="11755"/>
    <s v="Most at risk population ( FSW and MSM), People affected with HIV"/>
    <m/>
    <m/>
    <m/>
    <m/>
    <m/>
    <m/>
    <m/>
    <m/>
    <m/>
    <m/>
    <m/>
    <m/>
    <m/>
    <m/>
    <m/>
    <m/>
    <m/>
    <m/>
    <m/>
    <m/>
    <m/>
    <m/>
    <m/>
    <m/>
    <m/>
    <m/>
    <m/>
    <m/>
    <m/>
    <m/>
    <m/>
    <m/>
    <m/>
    <m/>
    <m/>
    <m/>
    <m/>
    <m/>
    <m/>
    <m/>
    <m/>
    <m/>
    <m/>
    <m/>
    <m/>
    <m/>
    <m/>
    <m/>
    <m/>
    <m/>
    <m/>
    <m/>
    <m/>
    <m/>
    <m/>
    <m/>
    <m/>
    <m/>
    <m/>
    <m/>
    <n v="18338"/>
    <n v="16927"/>
    <n v="35265"/>
    <n v="6113"/>
    <n v="5642"/>
    <n v="11755"/>
    <m/>
    <m/>
    <m/>
    <m/>
    <m/>
    <m/>
    <m/>
    <m/>
    <m/>
    <m/>
    <m/>
    <m/>
    <m/>
    <m/>
    <m/>
    <m/>
    <s v="YES"/>
    <n v="8"/>
    <n v="1"/>
    <m/>
    <m/>
    <m/>
    <m/>
    <m/>
    <m/>
    <m/>
    <m/>
    <m/>
    <s v="YES"/>
    <m/>
    <m/>
    <n v="19940"/>
    <m/>
    <m/>
    <m/>
    <m/>
    <s v="YES"/>
    <m/>
    <m/>
    <n v="35265"/>
    <m/>
    <m/>
    <m/>
    <m/>
    <m/>
    <m/>
    <m/>
    <m/>
    <s v="YES"/>
    <n v="946"/>
    <m/>
    <m/>
    <s v="YES"/>
    <n v="12153"/>
    <n v="0.53"/>
    <m/>
    <m/>
    <m/>
    <m/>
    <m/>
    <s v="YES"/>
    <n v="436"/>
    <m/>
    <m/>
    <m/>
    <m/>
    <m/>
    <m/>
    <m/>
    <s v="NO"/>
    <m/>
    <m/>
    <m/>
    <s v="YES"/>
    <m/>
    <n v="2017"/>
    <m/>
    <x v="1"/>
    <s v="NO"/>
    <s v="NO"/>
    <s v="YES"/>
    <s v="NO"/>
    <s v="NO"/>
    <s v="YES"/>
    <s v="NO"/>
    <s v="NO"/>
    <m/>
    <x v="0"/>
    <m/>
    <x v="0"/>
    <m/>
    <x v="0"/>
    <x v="0"/>
    <s v="YES"/>
    <x v="0"/>
    <x v="0"/>
    <x v="0"/>
    <x v="0"/>
    <n v="4"/>
    <x v="1"/>
    <x v="1"/>
    <x v="2"/>
    <x v="1"/>
    <x v="1"/>
    <x v="1"/>
    <n v="3"/>
    <x v="1"/>
    <x v="2"/>
    <x v="1"/>
    <x v="1"/>
    <x v="3"/>
    <n v="2"/>
    <x v="2"/>
    <x v="2"/>
    <n v="1"/>
    <s v="International NGO(s)"/>
    <m/>
    <m/>
    <x v="1"/>
    <m/>
    <m/>
    <m/>
    <m/>
    <m/>
    <m/>
    <m/>
    <m/>
    <m/>
    <m/>
    <n v="35265"/>
    <n v="11755"/>
    <n v="0.33333333333333331"/>
    <n v="0.52000567134552678"/>
    <n v="0.52003402807316035"/>
    <n v="18338"/>
    <n v="6113"/>
    <s v=""/>
    <n v="0"/>
    <n v="0"/>
    <s v=""/>
    <n v="1"/>
    <n v="8"/>
    <n v="0"/>
    <n v="0"/>
    <n v="1"/>
    <n v="12153"/>
    <n v="0"/>
    <n v="0"/>
    <n v="1"/>
    <n v="0"/>
    <n v="19940"/>
    <s v=""/>
    <n v="1"/>
    <n v="436"/>
    <n v="0"/>
    <n v="0"/>
    <s v="2. Sensitive"/>
    <s v="2. Accommodating"/>
    <s v="1. Neutral"/>
    <s v="It did not develop any specific innovation"/>
    <s v="Moderate advocacy"/>
    <s v="It did not take tested solutions to scale"/>
  </r>
  <r>
    <x v="50"/>
    <x v="0"/>
    <n v="3166"/>
    <s v="Multistake holders model for ending Gender Based Violence"/>
    <s v="Myanmar"/>
    <s v="MMr123"/>
    <s v="CARE Norge"/>
    <s v="Corporation"/>
    <s v="Government - Norway"/>
    <s v="NORAD"/>
    <m/>
    <m/>
    <m/>
    <m/>
    <m/>
    <m/>
    <m/>
    <m/>
    <m/>
    <m/>
    <m/>
    <m/>
    <m/>
    <m/>
    <m/>
    <m/>
    <m/>
    <m/>
    <m/>
    <m/>
    <m/>
    <m/>
    <m/>
    <m/>
    <m/>
    <m/>
    <m/>
    <m/>
    <m/>
    <m/>
    <m/>
    <m/>
    <m/>
    <m/>
    <m/>
    <m/>
    <m/>
    <m/>
    <m/>
    <m/>
    <m/>
    <m/>
    <m/>
    <m/>
    <m/>
    <d v="2015-12-01T00:00:00"/>
    <d v="2017-12-31T00:00:00"/>
    <m/>
    <s v="Development A Life Free From Violence (GBV)"/>
    <n v="687554"/>
    <s v="Ni Lar Shwe"/>
    <s v="Program Director"/>
    <s v="Nilar.shwe@careint.org"/>
    <s v="Kyi Zaw Win"/>
    <s v="Program Manager"/>
    <s v="Kyizaw.win@careint.org"/>
    <s v="NO"/>
    <s v="YES"/>
    <s v="NO"/>
    <s v="To strengthen institution and individual capacities to address GBV through a multi stakeholder approach"/>
    <s v="Sub-National"/>
    <s v="Kayah State"/>
    <s v="Karenni State Women Network and its member organizations"/>
    <n v="1406"/>
    <n v="432"/>
    <n v="1838"/>
    <n v="8405"/>
    <n v="2583"/>
    <n v="10988"/>
    <s v="Direct beneficiariues are Karenni State Women Network, its member organization, key stakeholders such as police, judiciary, the Department of Social Welfare, and Ministry of Health and Sports , community and religious leaders. Knowldege, information and technical assistance received through direct benieficiaries are counted as indirect beneficiaries."/>
    <m/>
    <m/>
    <m/>
    <n v="0"/>
    <m/>
    <m/>
    <n v="0"/>
    <m/>
    <m/>
    <m/>
    <m/>
    <m/>
    <m/>
    <m/>
    <m/>
    <m/>
    <m/>
    <m/>
    <m/>
    <m/>
    <m/>
    <m/>
    <m/>
    <m/>
    <m/>
    <m/>
    <m/>
    <m/>
    <m/>
    <m/>
    <m/>
    <m/>
    <m/>
    <m/>
    <m/>
    <m/>
    <m/>
    <m/>
    <m/>
    <m/>
    <m/>
    <m/>
    <m/>
    <m/>
    <m/>
    <m/>
    <m/>
    <m/>
    <m/>
    <m/>
    <m/>
    <m/>
    <m/>
    <m/>
    <m/>
    <m/>
    <m/>
    <m/>
    <m/>
    <m/>
    <n v="1406"/>
    <n v="432"/>
    <n v="1838"/>
    <n v="8405"/>
    <n v="2583"/>
    <n v="10988"/>
    <m/>
    <m/>
    <m/>
    <m/>
    <m/>
    <m/>
    <m/>
    <m/>
    <m/>
    <m/>
    <m/>
    <m/>
    <m/>
    <m/>
    <m/>
    <m/>
    <m/>
    <m/>
    <m/>
    <m/>
    <m/>
    <m/>
    <m/>
    <m/>
    <m/>
    <m/>
    <m/>
    <m/>
    <s v="YES"/>
    <n v="1838"/>
    <n v="0.76"/>
    <n v="10988"/>
    <m/>
    <m/>
    <m/>
    <m/>
    <m/>
    <m/>
    <m/>
    <m/>
    <m/>
    <m/>
    <m/>
    <m/>
    <m/>
    <m/>
    <m/>
    <m/>
    <m/>
    <m/>
    <m/>
    <m/>
    <m/>
    <m/>
    <m/>
    <m/>
    <m/>
    <m/>
    <m/>
    <m/>
    <m/>
    <m/>
    <m/>
    <m/>
    <m/>
    <m/>
    <m/>
    <m/>
    <m/>
    <s v="NO"/>
    <m/>
    <m/>
    <m/>
    <s v="YES"/>
    <s v="November"/>
    <n v="2017"/>
    <s v="N/A"/>
    <x v="1"/>
    <m/>
    <m/>
    <s v="YES"/>
    <m/>
    <m/>
    <m/>
    <m/>
    <m/>
    <m/>
    <x v="1"/>
    <s v="Muliti stakeholder model for ending GBV"/>
    <x v="1"/>
    <s v="Muliti stakeholder model for ending GBV"/>
    <x v="2"/>
    <x v="1"/>
    <s v="YES"/>
    <x v="0"/>
    <x v="1"/>
    <x v="1"/>
    <x v="4"/>
    <n v="2"/>
    <x v="1"/>
    <x v="1"/>
    <x v="1"/>
    <x v="1"/>
    <x v="2"/>
    <x v="1"/>
    <n v="3"/>
    <x v="2"/>
    <x v="2"/>
    <x v="2"/>
    <x v="2"/>
    <x v="2"/>
    <n v="0"/>
    <x v="2"/>
    <x v="2"/>
    <n v="9"/>
    <s v="Regional alliance(s)/Platform(s)/Network(s) of  NGOs/CSOs"/>
    <s v="Local government(s)"/>
    <s v="Grassroots organization(s)"/>
    <x v="0"/>
    <s v="Supported Karenni State Women Network to produce organizational management (SOP), technical support for GBV referral pathway development, case management manual, safe house management SOP, traning manual for GBV, VSLA estabilishment, TOT on engaging men, counselling trainiing, legal awareness, small grant provision for GBV prevention and response"/>
    <m/>
    <s v="Muliti stakeholder model for ending GBV"/>
    <s v="Engaging Men"/>
    <m/>
    <s v="By condcuting legal awarness training for village administrators gave a great support to estabillish the relationship with General Administration Department (GAD) which is crucial in legislative  enviornment."/>
    <s v="Exposture visti to well experienced women network at the national level is the most effective approach."/>
    <m/>
    <m/>
    <m/>
    <n v="1838"/>
    <n v="10988"/>
    <n v="5.9782372143634381"/>
    <n v="0.764961915125136"/>
    <n v="0.7649253731343284"/>
    <n v="1406"/>
    <n v="8405"/>
    <s v=""/>
    <n v="0"/>
    <n v="0"/>
    <s v=""/>
    <s v=""/>
    <n v="0"/>
    <n v="0"/>
    <s v=""/>
    <s v=""/>
    <n v="0"/>
    <n v="0"/>
    <s v=""/>
    <n v="1"/>
    <n v="1838"/>
    <n v="10988"/>
    <n v="5.9782372143634381"/>
    <s v=""/>
    <n v="0"/>
    <n v="0"/>
    <s v=""/>
    <s v="3. Responsive"/>
    <s v="2. Accommodating"/>
    <s v="0. Harmful"/>
    <s v="It tested new ways for fighting poverty, but did not measure results of innovation"/>
    <s v="Moderate advocacy"/>
    <s v="It linked and worked with strategic alliances and partners to take tested and effective solutions to scale"/>
  </r>
  <r>
    <x v="50"/>
    <x v="0"/>
    <m/>
    <s v="Northern Shan Food Security Project"/>
    <s v="Myanmar"/>
    <s v="MMR127"/>
    <s v="CARE Deutschland-Luxemburg"/>
    <s v="Government"/>
    <s v="Government - Luxemburg"/>
    <s v="Ministry of Foreign Affairs of Luxemburg"/>
    <m/>
    <m/>
    <m/>
    <m/>
    <m/>
    <m/>
    <m/>
    <m/>
    <m/>
    <m/>
    <m/>
    <m/>
    <m/>
    <m/>
    <m/>
    <m/>
    <m/>
    <m/>
    <m/>
    <m/>
    <m/>
    <m/>
    <m/>
    <m/>
    <m/>
    <m/>
    <m/>
    <m/>
    <m/>
    <m/>
    <m/>
    <m/>
    <m/>
    <m/>
    <m/>
    <m/>
    <m/>
    <m/>
    <m/>
    <m/>
    <m/>
    <m/>
    <m/>
    <m/>
    <m/>
    <d v="2017-01-01T00:00:00"/>
    <d v="2019-12-30T00:00:00"/>
    <m/>
    <s v="Development Food &amp; Nutrition Security and Resilience to Climate Change"/>
    <n v="393750"/>
    <s v="Ni Lar Shwe"/>
    <s v="Program Director"/>
    <s v="Nilar.shwe@careint.org"/>
    <s v="Kyi Zaw Win"/>
    <s v="Program Manager"/>
    <s v="Kyizaw.win@careint.org"/>
    <s v="NO"/>
    <s v="YES"/>
    <s v="NO"/>
    <s v="To contribute to the realization of the sustainable development goals 1 (end poverty),2 (end hunger,achieve food security and improve nutrition) poor and vulnerable communities in remote areas in Myanmar"/>
    <s v="Sub-National"/>
    <s v="Lashio Township, Northern Shan State"/>
    <s v="Small holder farmers, poor/food insecure households and households with children under five and pregnant and lactating women from 8 villages"/>
    <n v="1164"/>
    <n v="1032"/>
    <n v="2196"/>
    <n v="4028"/>
    <n v="3572"/>
    <n v="7600"/>
    <s v="Smallholder farmers, poor/food insecure households, and households with children under 5 and pregnant/lactating women from 10 villages of Lashio Township. Knowledge, information, technical assistance and other inputs received through direct participants are counted as indirected participants."/>
    <m/>
    <m/>
    <m/>
    <m/>
    <m/>
    <m/>
    <m/>
    <m/>
    <m/>
    <m/>
    <m/>
    <m/>
    <m/>
    <m/>
    <m/>
    <m/>
    <m/>
    <m/>
    <m/>
    <m/>
    <m/>
    <m/>
    <m/>
    <m/>
    <m/>
    <m/>
    <m/>
    <m/>
    <m/>
    <m/>
    <m/>
    <m/>
    <m/>
    <m/>
    <m/>
    <m/>
    <m/>
    <m/>
    <m/>
    <m/>
    <m/>
    <m/>
    <m/>
    <m/>
    <m/>
    <m/>
    <m/>
    <m/>
    <m/>
    <m/>
    <m/>
    <m/>
    <m/>
    <m/>
    <m/>
    <m/>
    <m/>
    <m/>
    <m/>
    <m/>
    <n v="688"/>
    <n v="610"/>
    <n v="1298"/>
    <n v="2546"/>
    <n v="2257"/>
    <n v="4803"/>
    <m/>
    <m/>
    <m/>
    <m/>
    <m/>
    <m/>
    <m/>
    <m/>
    <m/>
    <m/>
    <m/>
    <m/>
    <m/>
    <m/>
    <m/>
    <m/>
    <m/>
    <m/>
    <m/>
    <m/>
    <m/>
    <m/>
    <m/>
    <m/>
    <s v="YES"/>
    <n v="1298"/>
    <n v="0.53"/>
    <n v="4803"/>
    <m/>
    <m/>
    <m/>
    <m/>
    <m/>
    <m/>
    <m/>
    <m/>
    <m/>
    <m/>
    <m/>
    <m/>
    <m/>
    <m/>
    <m/>
    <m/>
    <m/>
    <m/>
    <m/>
    <m/>
    <m/>
    <m/>
    <m/>
    <m/>
    <m/>
    <m/>
    <m/>
    <m/>
    <m/>
    <m/>
    <m/>
    <m/>
    <m/>
    <m/>
    <m/>
    <m/>
    <m/>
    <m/>
    <m/>
    <m/>
    <m/>
    <s v="NO"/>
    <m/>
    <m/>
    <s v="NO"/>
    <s v="NO"/>
    <m/>
    <m/>
    <s v="N/A"/>
    <x v="1"/>
    <m/>
    <m/>
    <s v="YES"/>
    <m/>
    <m/>
    <m/>
    <m/>
    <m/>
    <m/>
    <x v="2"/>
    <s v="Build water system, and adopt new technological agricultural innovations and products"/>
    <x v="3"/>
    <s v="Piloting a nutrition sensitive agriculture"/>
    <x v="1"/>
    <x v="0"/>
    <s v="YES"/>
    <x v="0"/>
    <x v="0"/>
    <x v="0"/>
    <x v="0"/>
    <n v="4"/>
    <x v="1"/>
    <x v="1"/>
    <x v="1"/>
    <x v="1"/>
    <x v="1"/>
    <x v="1"/>
    <n v="4"/>
    <x v="1"/>
    <x v="1"/>
    <x v="1"/>
    <x v="1"/>
    <x v="1"/>
    <n v="3"/>
    <x v="0"/>
    <x v="1"/>
    <m/>
    <s v="Grassroots organization(s)"/>
    <s v="Local government(s)"/>
    <m/>
    <x v="1"/>
    <m/>
    <m/>
    <s v="VSLA"/>
    <s v="Engaging Men"/>
    <s v="Community Planning"/>
    <s v="Holding Project Kick off meeting is great support for effective implementation of the project as all staff understood how to implement the activities  efficiently at their respective village."/>
    <m/>
    <m/>
    <m/>
    <m/>
    <n v="1298"/>
    <n v="4803"/>
    <n v="3.7003081664098612"/>
    <n v="0.53004622496147924"/>
    <n v="0.53008536331459499"/>
    <n v="688"/>
    <n v="2546"/>
    <s v=""/>
    <n v="0"/>
    <n v="0"/>
    <s v=""/>
    <n v="1"/>
    <n v="1298"/>
    <n v="4803"/>
    <n v="3.7003081664098612"/>
    <s v=""/>
    <n v="0"/>
    <n v="0"/>
    <s v=""/>
    <s v=""/>
    <n v="0"/>
    <n v="0"/>
    <s v=""/>
    <s v=""/>
    <n v="0"/>
    <n v="0"/>
    <s v=""/>
    <s v="2. Sensitive"/>
    <s v="2. Accommodating"/>
    <s v="2. Sensitive"/>
    <s v="It tested new ways for fighting poverty and measured results of innovation"/>
    <s v="Moderate advocacy"/>
    <s v="It took tested solutions to scale on its own"/>
  </r>
  <r>
    <x v="50"/>
    <x v="0"/>
    <n v="3164"/>
    <s v="Personal Advancement and Career Enhancement project"/>
    <s v="Myanmar"/>
    <s v="MMR 119"/>
    <s v="CARE USA"/>
    <s v="Foundation"/>
    <s v="Other"/>
    <s v="GAP Foundation"/>
    <m/>
    <m/>
    <m/>
    <m/>
    <m/>
    <m/>
    <m/>
    <m/>
    <m/>
    <m/>
    <m/>
    <m/>
    <m/>
    <m/>
    <m/>
    <m/>
    <m/>
    <m/>
    <m/>
    <m/>
    <m/>
    <m/>
    <m/>
    <m/>
    <m/>
    <m/>
    <m/>
    <m/>
    <m/>
    <m/>
    <m/>
    <m/>
    <m/>
    <m/>
    <m/>
    <m/>
    <m/>
    <m/>
    <m/>
    <m/>
    <m/>
    <m/>
    <m/>
    <m/>
    <m/>
    <d v="2014-07-01T00:00:00"/>
    <d v="2018-03-31T00:00:00"/>
    <m/>
    <s v="Development Other"/>
    <n v="315876"/>
    <s v="Ei Shwe Yi Win"/>
    <s v="Program Director"/>
    <s v="eishweyi.win@careint.org"/>
    <s v="Ko Ko Zaw"/>
    <s v="Program Manager"/>
    <s v="koko.zaw@careint.org"/>
    <s v="NO"/>
    <s v="YES"/>
    <s v="NO"/>
    <s v="To create a positive change for Female Garment Workers (FGWs), their families and their communities through the development and implementation of a successful, sustainable, and replicable personal development and career growth program. P.A.C.E."/>
    <s v="Sub-National"/>
    <s v="Dagon Seikkan and Thingangyun Townships, Yangon Region"/>
    <s v="Female Garment Workers"/>
    <n v="1170"/>
    <m/>
    <n v="1170"/>
    <n v="4680"/>
    <m/>
    <n v="4680"/>
    <s v="Female Garment Workers who received training on Personal Advancement and Career Enhancement program."/>
    <m/>
    <m/>
    <m/>
    <m/>
    <m/>
    <m/>
    <m/>
    <m/>
    <m/>
    <m/>
    <m/>
    <m/>
    <m/>
    <m/>
    <m/>
    <m/>
    <m/>
    <m/>
    <m/>
    <m/>
    <m/>
    <m/>
    <m/>
    <m/>
    <m/>
    <m/>
    <m/>
    <m/>
    <m/>
    <m/>
    <m/>
    <m/>
    <m/>
    <m/>
    <m/>
    <m/>
    <m/>
    <m/>
    <m/>
    <m/>
    <m/>
    <m/>
    <m/>
    <m/>
    <m/>
    <m/>
    <m/>
    <m/>
    <m/>
    <m/>
    <m/>
    <m/>
    <m/>
    <m/>
    <m/>
    <m/>
    <m/>
    <m/>
    <m/>
    <m/>
    <n v="390"/>
    <m/>
    <n v="390"/>
    <m/>
    <m/>
    <m/>
    <m/>
    <m/>
    <m/>
    <m/>
    <m/>
    <m/>
    <m/>
    <m/>
    <m/>
    <m/>
    <m/>
    <m/>
    <m/>
    <m/>
    <m/>
    <m/>
    <m/>
    <m/>
    <m/>
    <m/>
    <m/>
    <m/>
    <m/>
    <m/>
    <m/>
    <m/>
    <m/>
    <m/>
    <m/>
    <m/>
    <m/>
    <m/>
    <m/>
    <m/>
    <m/>
    <m/>
    <m/>
    <m/>
    <m/>
    <m/>
    <m/>
    <m/>
    <m/>
    <m/>
    <m/>
    <m/>
    <m/>
    <m/>
    <m/>
    <m/>
    <m/>
    <m/>
    <m/>
    <m/>
    <m/>
    <m/>
    <m/>
    <m/>
    <m/>
    <m/>
    <m/>
    <m/>
    <m/>
    <m/>
    <s v="Soft skills development"/>
    <s v="YES"/>
    <n v="390"/>
    <n v="1"/>
    <m/>
    <s v="NO"/>
    <m/>
    <m/>
    <s v="NO"/>
    <s v="NO"/>
    <m/>
    <m/>
    <s v="N/A"/>
    <x v="0"/>
    <m/>
    <m/>
    <m/>
    <m/>
    <m/>
    <m/>
    <m/>
    <m/>
    <m/>
    <x v="0"/>
    <m/>
    <x v="3"/>
    <s v="CARE has been providing training of trainer for staff from project factories in order to have their own training within the factory to implement PACE program without external support."/>
    <x v="1"/>
    <x v="0"/>
    <s v="YES"/>
    <x v="0"/>
    <x v="0"/>
    <x v="1"/>
    <x v="1"/>
    <n v="3"/>
    <x v="1"/>
    <x v="2"/>
    <x v="2"/>
    <x v="1"/>
    <x v="1"/>
    <x v="4"/>
    <n v="2"/>
    <x v="2"/>
    <x v="1"/>
    <x v="1"/>
    <x v="1"/>
    <x v="2"/>
    <n v="3"/>
    <x v="2"/>
    <x v="1"/>
    <m/>
    <m/>
    <m/>
    <m/>
    <x v="1"/>
    <m/>
    <s v="Nothing particular"/>
    <s v="A series of long term training with same group of female garment workers resulted in better outcomes in terms of improving FGWs' soft skills and chaning their behavior that has positive effect not only in their personal life but also in working environment."/>
    <m/>
    <m/>
    <m/>
    <m/>
    <m/>
    <m/>
    <m/>
    <n v="390"/>
    <n v="0"/>
    <n v="0"/>
    <n v="1"/>
    <s v=""/>
    <n v="390"/>
    <n v="0"/>
    <s v=""/>
    <n v="0"/>
    <n v="0"/>
    <s v=""/>
    <s v=""/>
    <n v="0"/>
    <n v="0"/>
    <s v=""/>
    <s v=""/>
    <n v="0"/>
    <n v="0"/>
    <s v=""/>
    <s v=""/>
    <n v="0"/>
    <n v="0"/>
    <s v=""/>
    <s v=""/>
    <n v="0"/>
    <n v="0"/>
    <s v=""/>
    <s v="1. Neutral"/>
    <s v="1. Tokenistic"/>
    <s v="0. Harmful"/>
    <s v="It did not develop any specific innovation"/>
    <s v="Little or no advocacy"/>
    <s v="It took tested solutions to scale on its own"/>
  </r>
  <r>
    <x v="50"/>
    <x v="0"/>
    <n v="3160"/>
    <s v="Poverty and Hunger Alleviation through Support, Empowerment and Increased Networking (Phase In)"/>
    <s v="Myanmar"/>
    <s v="MMR113"/>
    <s v="CARE Deutschland-Luxemburg"/>
    <s v="Multilateral agency"/>
    <s v="EU - European Union (other than ECHO)"/>
    <s v="EC-European Commission"/>
    <m/>
    <m/>
    <m/>
    <m/>
    <m/>
    <m/>
    <m/>
    <m/>
    <m/>
    <m/>
    <m/>
    <m/>
    <m/>
    <m/>
    <m/>
    <m/>
    <m/>
    <m/>
    <m/>
    <m/>
    <m/>
    <m/>
    <m/>
    <m/>
    <m/>
    <m/>
    <m/>
    <m/>
    <m/>
    <m/>
    <m/>
    <m/>
    <m/>
    <m/>
    <m/>
    <m/>
    <m/>
    <m/>
    <m/>
    <m/>
    <m/>
    <m/>
    <m/>
    <m/>
    <m/>
    <d v="2012-07-01T00:00:00"/>
    <d v="2016-02-28T00:00:00"/>
    <d v="2020-06-30T00:00:00"/>
    <s v="Development Food &amp; Nutrition Security and Resilience to Climate Change"/>
    <n v="6810337"/>
    <s v="Pam Flowers"/>
    <s v="ACD Programs"/>
    <s v="pam.flowers@careint.org"/>
    <s v="Tania Czerwinski"/>
    <s v="Program Officer Southeast Asia Program Department"/>
    <s v="czerwinski@care.de"/>
    <s v="NO"/>
    <s v="YES"/>
    <s v="NO"/>
    <s v="The overall objective of the project is to contribute to the reduction of poverty and hunger (Millennium Development Goal (MDG) 1) in Northern Rakhine State, Myanmar, with the specific objective to enhance livelihoods, food and nutrition security for targeted communities in NRS."/>
    <s v="Sub-National"/>
    <s v="Maungdaw District (Buthidaung and Maungdaw Townships) in northern Rakhine"/>
    <s v="Poor, vulnerable households in rural areas. Criteria for selection, at both community and HH levels, include consideration of access and ownership of productive assets (e.g. lands, water, forest), level of food produced and food needs (food gap), income generation capacities, coverage of drinking water needs and occurrence of water related diseases. When possible, women and landless households are prioritised."/>
    <n v="34089.599999999999"/>
    <n v="22726.400000000001"/>
    <n v="56816"/>
    <n v="238627.20000000001"/>
    <n v="159084.79999999999"/>
    <n v="397712"/>
    <s v="Small holder farmers, poor/food insecure landless households, women, children under 5. Direct participants are head count of populaion who directly involved in activities implemented and who directly received the training, workshops and services from the project. Indirect participants are  family and community members."/>
    <m/>
    <n v="0"/>
    <n v="0"/>
    <n v="0"/>
    <n v="0"/>
    <n v="0"/>
    <n v="0"/>
    <s v="NO"/>
    <m/>
    <m/>
    <m/>
    <s v="NO"/>
    <m/>
    <m/>
    <m/>
    <s v="NO"/>
    <m/>
    <m/>
    <m/>
    <s v="NO"/>
    <m/>
    <m/>
    <m/>
    <s v="NO"/>
    <m/>
    <m/>
    <m/>
    <s v="NO"/>
    <m/>
    <m/>
    <m/>
    <s v="NO"/>
    <m/>
    <m/>
    <m/>
    <s v="NO"/>
    <m/>
    <m/>
    <m/>
    <s v="NO"/>
    <m/>
    <m/>
    <m/>
    <s v="NO"/>
    <m/>
    <m/>
    <m/>
    <s v="NO"/>
    <m/>
    <m/>
    <m/>
    <s v="NO"/>
    <m/>
    <m/>
    <m/>
    <m/>
    <s v="NO"/>
    <m/>
    <m/>
    <m/>
    <n v="4082"/>
    <n v="4794"/>
    <n v="8876"/>
    <n v="10446"/>
    <n v="12268"/>
    <n v="22714"/>
    <s v="YES"/>
    <n v="271"/>
    <n v="0.04"/>
    <n v="945"/>
    <s v="NO"/>
    <m/>
    <m/>
    <m/>
    <s v="NO"/>
    <m/>
    <m/>
    <m/>
    <s v="NO"/>
    <m/>
    <m/>
    <m/>
    <s v="YES"/>
    <n v="155"/>
    <n v="0.63"/>
    <n v="542"/>
    <s v="NO"/>
    <m/>
    <m/>
    <m/>
    <s v="YES"/>
    <n v="1572"/>
    <n v="0.36666666666666597"/>
    <n v="5502"/>
    <s v="NO"/>
    <n v="0"/>
    <n v="0"/>
    <n v="0"/>
    <s v="NO"/>
    <m/>
    <m/>
    <m/>
    <s v="YES"/>
    <n v="0"/>
    <n v="0"/>
    <n v="0"/>
    <s v="YES"/>
    <n v="4744"/>
    <n v="0.49"/>
    <n v="8256"/>
    <s v="NO"/>
    <m/>
    <m/>
    <m/>
    <s v="NO"/>
    <m/>
    <m/>
    <m/>
    <s v="NO"/>
    <m/>
    <m/>
    <m/>
    <s v="YES"/>
    <n v="1146"/>
    <n v="0.43"/>
    <n v="4011"/>
    <s v="YES"/>
    <n v="988"/>
    <n v="0.8"/>
    <n v="3458"/>
    <m/>
    <s v="NO"/>
    <m/>
    <m/>
    <m/>
    <s v="NO"/>
    <m/>
    <m/>
    <s v="NO"/>
    <s v="YES"/>
    <s v="December"/>
    <n v="2017"/>
    <s v="Endline evaluation of the first phase and baseline assessment for the second phase, the ToR drafted and advertised, but everything on on hold due to the current insecurities in Rakhine"/>
    <x v="0"/>
    <s v="NO"/>
    <s v="NO"/>
    <s v="YES"/>
    <s v="NO"/>
    <s v="NO"/>
    <s v="NO"/>
    <s v="NO"/>
    <s v="NO"/>
    <m/>
    <x v="0"/>
    <m/>
    <x v="0"/>
    <m/>
    <x v="0"/>
    <x v="0"/>
    <s v="YES"/>
    <x v="0"/>
    <x v="0"/>
    <x v="1"/>
    <x v="1"/>
    <n v="3"/>
    <x v="1"/>
    <x v="1"/>
    <x v="1"/>
    <x v="1"/>
    <x v="2"/>
    <x v="1"/>
    <n v="3"/>
    <x v="3"/>
    <x v="2"/>
    <x v="1"/>
    <x v="1"/>
    <x v="5"/>
    <n v="2"/>
    <x v="0"/>
    <x v="0"/>
    <n v="2"/>
    <s v="International NGO(s)"/>
    <s v="International NGO(s)"/>
    <m/>
    <x v="0"/>
    <s v="Late 2016 and in 2017 CARE has but higher emphasis on working with Village Development Committees (VDC). More specifically, CARE adopted a toolkit to measure organisational capacity of the committees which enables CARE to identify, monitor and address the strenght and weaknesses of each VDC in the process of building their capacities to participate in and lead village based development."/>
    <s v="The new extended project will address the changing needs in livelihood sector by adding a component of vocational training to the project."/>
    <s v="The design of complementary Agricultural activities, namely a)summer paddy and winter crops input provision, b) technical training and c)improved access to water for irrigation has been a successful combination to increase HDDS and improved year-round food security for our beneficiaries."/>
    <s v="VSLAs entering their second cycle have  the skills and knowledge to manage their household finances, have more voice in decision making at the household level, and any individuals have been able to initiate IGA activities with their savings and generate an additional income. This has been a great success within a majority Muslim context."/>
    <s v="Significant steps have been taken with the capacity building and implementation of community development projects through VDCs and VDGs- with all VDG now completed. Key capacity building  initiatives have been carefully designed and implemented to meet the needs of northern Rakhine State- (developed after VDCs requested more support during the initial VDG participatory process carried out in 2016.  Two, two  day trainings  on  VDG  implementation  and financial  management  focusing  on  the management  of  the  grant, contracting and quality monitoring)"/>
    <s v="Using VSLA as entry point for women centered activities has proved successful. In early 2017 PHASE IN piloted the home garden activity with the VSLA groups. This initiative was twofold:  first to serve a request from VSLA for more support with  IGA; secondly to  streamline PHASE IN approaches at the village level and reduce multiple interlinking committees."/>
    <s v="The VDC/VDG approach in nRS needs to be further documented and refined."/>
    <m/>
    <m/>
    <s v="Beneficiary numbers are extracted from ATS. For each category the potential dublication of direct beneficiaries has been reduced, but the total number of direct and indirect beneficiaries reported in this report is a sum of all the participants in each sector, meaning that those numbers are doublecounted."/>
    <n v="8876"/>
    <n v="22714"/>
    <n v="2.5590356016223526"/>
    <n v="0.45989184317260029"/>
    <n v="0.45989257726512284"/>
    <n v="4082"/>
    <n v="10446"/>
    <s v=""/>
    <n v="0"/>
    <n v="0"/>
    <s v=""/>
    <n v="1"/>
    <n v="1572"/>
    <n v="5502"/>
    <n v="3.5"/>
    <s v=""/>
    <n v="0"/>
    <n v="0"/>
    <s v=""/>
    <s v=""/>
    <n v="0"/>
    <n v="0"/>
    <s v=""/>
    <n v="1"/>
    <n v="988"/>
    <n v="3458"/>
    <n v="3.5"/>
    <s v="1. Neutral"/>
    <s v="2. Accommodating"/>
    <s v="3. Responsive"/>
    <s v="It did not develop any specific innovation"/>
    <s v="Little or no advocacy"/>
    <s v="It did not take tested solutions to scale"/>
  </r>
  <r>
    <x v="50"/>
    <x v="0"/>
    <n v="3162"/>
    <s v="Royal Flower"/>
    <s v="Myanmar"/>
    <s v="MMR 116"/>
    <s v="CARE Norge"/>
    <s v="Government"/>
    <s v="Government - Norway"/>
    <s v="NORAD"/>
    <m/>
    <m/>
    <m/>
    <m/>
    <m/>
    <m/>
    <m/>
    <m/>
    <m/>
    <m/>
    <m/>
    <m/>
    <m/>
    <m/>
    <m/>
    <m/>
    <m/>
    <m/>
    <m/>
    <m/>
    <m/>
    <m/>
    <m/>
    <m/>
    <m/>
    <m/>
    <m/>
    <m/>
    <m/>
    <m/>
    <m/>
    <m/>
    <m/>
    <m/>
    <m/>
    <m/>
    <m/>
    <m/>
    <m/>
    <m/>
    <m/>
    <m/>
    <m/>
    <m/>
    <m/>
    <d v="2016-03-01T00:00:00"/>
    <d v="2020-02-29T00:00:00"/>
    <m/>
    <s v="Development A Life Free From Violence (GBV)"/>
    <n v="2365000"/>
    <s v="Ei Shwe Yi Win"/>
    <s v="Program Director"/>
    <s v="eishweyi.win@careint.org"/>
    <s v="Ko Ko Zaw"/>
    <s v="Program Manager"/>
    <s v="KoKo.Zaw@careint.org"/>
    <s v="NO"/>
    <s v="YES"/>
    <s v="NO"/>
    <s v="Sex workers living in Mandaly, Yangon and Mon State regions (4200 women of which all will be direct participants) live and work in safety and improve their well-being."/>
    <s v="National"/>
    <s v="Hlaingtharyar and Tharketa Townships, Yangon Region and Aungmyaytharzan, Chanayetharzan, Mahaaungmyay, Chanmyatharzi, Pyigyitagon Townships, Mandalay Region"/>
    <s v="Female Sex Workers"/>
    <n v="4240"/>
    <n v="240"/>
    <n v="4480"/>
    <n v="14416"/>
    <m/>
    <n v="14416"/>
    <s v="Direct participants are female sex worker and their clients those who received direct support from project; primary count from FSW who received gender based violence and legal traiining, GBV survivor who received litigation support, participants who recevied vocational training and income generation support, participants receving cost related to SRH services. Indirect participants are family members/neighbours/friends of FSW who received direct support from project. Estimated indirect participants are calculated based on assumption that direct participants will at least shared the project information or benefit from support with thier family members/friends/neighbour and based on the average household size of 5 person/HH as per 2014 Myanmar Census."/>
    <m/>
    <m/>
    <m/>
    <m/>
    <m/>
    <m/>
    <m/>
    <m/>
    <m/>
    <m/>
    <m/>
    <m/>
    <m/>
    <m/>
    <m/>
    <m/>
    <m/>
    <m/>
    <m/>
    <m/>
    <m/>
    <m/>
    <m/>
    <m/>
    <m/>
    <m/>
    <m/>
    <m/>
    <m/>
    <m/>
    <m/>
    <m/>
    <m/>
    <m/>
    <m/>
    <m/>
    <m/>
    <m/>
    <m/>
    <m/>
    <m/>
    <m/>
    <m/>
    <m/>
    <m/>
    <m/>
    <m/>
    <m/>
    <m/>
    <m/>
    <m/>
    <m/>
    <m/>
    <m/>
    <m/>
    <m/>
    <m/>
    <m/>
    <m/>
    <m/>
    <n v="3120"/>
    <m/>
    <n v="3120"/>
    <n v="10608"/>
    <m/>
    <n v="10608"/>
    <m/>
    <m/>
    <m/>
    <m/>
    <m/>
    <m/>
    <m/>
    <m/>
    <m/>
    <m/>
    <m/>
    <m/>
    <m/>
    <m/>
    <m/>
    <m/>
    <m/>
    <m/>
    <m/>
    <m/>
    <m/>
    <m/>
    <m/>
    <m/>
    <m/>
    <m/>
    <m/>
    <m/>
    <s v="YES"/>
    <n v="5084"/>
    <n v="1"/>
    <n v="20336"/>
    <m/>
    <m/>
    <m/>
    <m/>
    <m/>
    <m/>
    <m/>
    <m/>
    <m/>
    <m/>
    <m/>
    <m/>
    <m/>
    <m/>
    <m/>
    <m/>
    <m/>
    <m/>
    <m/>
    <m/>
    <s v="YES"/>
    <n v="654"/>
    <n v="1"/>
    <m/>
    <m/>
    <m/>
    <m/>
    <m/>
    <s v="YES"/>
    <n v="38"/>
    <n v="1"/>
    <m/>
    <m/>
    <m/>
    <m/>
    <m/>
    <m/>
    <s v="NO"/>
    <m/>
    <m/>
    <m/>
    <s v="YES"/>
    <s v="January"/>
    <n v="2018"/>
    <s v="N/A"/>
    <x v="2"/>
    <m/>
    <s v="YES"/>
    <m/>
    <m/>
    <m/>
    <m/>
    <m/>
    <m/>
    <m/>
    <x v="0"/>
    <m/>
    <x v="1"/>
    <s v="Advocacy capacity building of implementing partner is also important activity under this project and the partner (Sex Worker in Myanmar Network) is now taking the lead in Prostitution Act reform process with continuous engagement with other important stakeholders both supporters and spoilers. This initiative is progressing and once the reform can be made as per interest of impact group, it will benefit for all FSW in the country."/>
    <x v="1"/>
    <x v="1"/>
    <s v="YES"/>
    <x v="0"/>
    <x v="1"/>
    <x v="1"/>
    <x v="4"/>
    <n v="2"/>
    <x v="1"/>
    <x v="2"/>
    <x v="1"/>
    <x v="1"/>
    <x v="2"/>
    <x v="4"/>
    <n v="2"/>
    <x v="2"/>
    <x v="1"/>
    <x v="1"/>
    <x v="1"/>
    <x v="2"/>
    <n v="3"/>
    <x v="2"/>
    <x v="3"/>
    <n v="2"/>
    <s v="Local alliance(s)/Platform(s)/Network(s) of  NGOs/CSOs"/>
    <m/>
    <m/>
    <x v="0"/>
    <s v="Review and revision of advocacy strategy and planning for SWIM's key members at different levels. Technical training on how to deliver the training (facilitation skill, trainer skill), topic such as gender and GBV, using life skill in GBV, legal literacy. Organizational development training such as leadership skill, financial management skill were provided for implementing partner."/>
    <m/>
    <s v="Strengthening local partner capacity to exercise their management and leadership skill for effective implementation of their own advocacy priority."/>
    <m/>
    <m/>
    <s v="Project is very embitious in scope of work for local implementing partner and it created persistent challenges for CARE and partner in order to achieve project target, delivering quality program implementation and output/outcome. Project's component on advocacy has showed the progress as it is based on their existing capacity and experience."/>
    <m/>
    <m/>
    <m/>
    <m/>
    <n v="3120"/>
    <n v="10608"/>
    <n v="3.4"/>
    <n v="1"/>
    <n v="1"/>
    <n v="3120"/>
    <n v="10608"/>
    <s v=""/>
    <n v="0"/>
    <n v="0"/>
    <s v=""/>
    <s v=""/>
    <n v="0"/>
    <n v="0"/>
    <s v=""/>
    <n v="1"/>
    <n v="654"/>
    <n v="0"/>
    <n v="0"/>
    <n v="1"/>
    <n v="5084"/>
    <n v="20336"/>
    <n v="4"/>
    <n v="1"/>
    <n v="38"/>
    <n v="0"/>
    <n v="0"/>
    <s v="3. Responsive"/>
    <s v="1. Tokenistic"/>
    <s v="0. Harmful"/>
    <s v="It did not develop any specific innovation"/>
    <s v="Intensive advocacy"/>
    <s v="It linked and worked with strategic alliances and partners to take tested and effective solutions to scale"/>
  </r>
  <r>
    <x v="50"/>
    <x v="0"/>
    <n v="3166"/>
    <s v="Strengthening non state actors for Peace in Kayah"/>
    <s v="Myanmar"/>
    <s v="MMr123"/>
    <s v="CARE Norge"/>
    <s v="Corporation"/>
    <s v="Government - Norway"/>
    <s v="NORAD"/>
    <m/>
    <m/>
    <m/>
    <m/>
    <m/>
    <m/>
    <m/>
    <m/>
    <m/>
    <m/>
    <m/>
    <m/>
    <m/>
    <m/>
    <m/>
    <m/>
    <m/>
    <m/>
    <m/>
    <m/>
    <m/>
    <m/>
    <m/>
    <m/>
    <m/>
    <m/>
    <m/>
    <m/>
    <m/>
    <m/>
    <m/>
    <m/>
    <m/>
    <m/>
    <m/>
    <m/>
    <m/>
    <m/>
    <m/>
    <m/>
    <m/>
    <m/>
    <m/>
    <m/>
    <m/>
    <d v="2015-11-01T00:00:00"/>
    <d v="2018-12-31T00:00:00"/>
    <m/>
    <s v="Development A Life Free From Violence (GBV)"/>
    <n v="630000"/>
    <s v="Ni Lar Shwe"/>
    <s v="Program Director"/>
    <s v="Nilar.shwe@careint.org"/>
    <s v="Kyi Zaw Win"/>
    <s v="Program Manager"/>
    <s v="Kyizaw.win@careint.org"/>
    <s v="NO"/>
    <s v="YES"/>
    <s v="NO"/>
    <s v="Karenni State Women Network is able to advocate for the needs of their constituents with decision makers and provide community education and services through their members."/>
    <s v="Sub-National"/>
    <s v="Kayah State"/>
    <s v="Karenni State Women Network and its member organizations"/>
    <n v="944"/>
    <n v="314"/>
    <n v="1258"/>
    <n v="2416"/>
    <n v="806"/>
    <n v="3222"/>
    <s v="Direct beneficiariues are Karenni State Women Network, its member organization, key stakeholders such as police, judiciary, the Department of Social Welfare, and Ministry of Health and Sports , community and religious leaders and 5000 individuals from community. Knowldege, information and technical assistance received through direct benieficiaries are counted as indirect beneficiaries."/>
    <m/>
    <m/>
    <m/>
    <n v="0"/>
    <m/>
    <m/>
    <n v="0"/>
    <m/>
    <m/>
    <m/>
    <m/>
    <m/>
    <m/>
    <m/>
    <m/>
    <m/>
    <m/>
    <m/>
    <m/>
    <m/>
    <m/>
    <m/>
    <m/>
    <m/>
    <m/>
    <m/>
    <m/>
    <m/>
    <m/>
    <m/>
    <m/>
    <m/>
    <m/>
    <m/>
    <m/>
    <m/>
    <m/>
    <m/>
    <m/>
    <m/>
    <m/>
    <m/>
    <m/>
    <m/>
    <m/>
    <m/>
    <m/>
    <m/>
    <m/>
    <m/>
    <m/>
    <m/>
    <m/>
    <m/>
    <m/>
    <m/>
    <m/>
    <m/>
    <m/>
    <m/>
    <n v="944"/>
    <n v="314"/>
    <n v="1258"/>
    <n v="2416"/>
    <n v="806"/>
    <n v="3222"/>
    <m/>
    <m/>
    <m/>
    <m/>
    <m/>
    <m/>
    <m/>
    <m/>
    <m/>
    <m/>
    <m/>
    <m/>
    <m/>
    <m/>
    <m/>
    <m/>
    <s v="YES"/>
    <n v="755"/>
    <n v="0.94"/>
    <n v="1934"/>
    <m/>
    <m/>
    <m/>
    <m/>
    <m/>
    <m/>
    <m/>
    <m/>
    <s v="YES"/>
    <n v="1258"/>
    <n v="0.75"/>
    <n v="3222"/>
    <m/>
    <m/>
    <m/>
    <m/>
    <m/>
    <m/>
    <m/>
    <m/>
    <m/>
    <m/>
    <m/>
    <m/>
    <m/>
    <m/>
    <m/>
    <m/>
    <m/>
    <m/>
    <m/>
    <m/>
    <m/>
    <m/>
    <m/>
    <m/>
    <m/>
    <m/>
    <m/>
    <m/>
    <m/>
    <m/>
    <m/>
    <m/>
    <m/>
    <m/>
    <m/>
    <m/>
    <m/>
    <s v="NO"/>
    <m/>
    <m/>
    <m/>
    <s v="NO"/>
    <m/>
    <m/>
    <s v="N/A"/>
    <x v="1"/>
    <m/>
    <m/>
    <s v="YES"/>
    <m/>
    <m/>
    <m/>
    <m/>
    <m/>
    <m/>
    <x v="1"/>
    <s v="Muliti stakeholder model for ending GBV"/>
    <x v="1"/>
    <s v="Muliti stakeholder model for ending GBV"/>
    <x v="2"/>
    <x v="1"/>
    <s v="YES"/>
    <x v="0"/>
    <x v="1"/>
    <x v="1"/>
    <x v="4"/>
    <n v="2"/>
    <x v="1"/>
    <x v="1"/>
    <x v="1"/>
    <x v="1"/>
    <x v="2"/>
    <x v="1"/>
    <n v="3"/>
    <x v="2"/>
    <x v="2"/>
    <x v="2"/>
    <x v="2"/>
    <x v="2"/>
    <n v="0"/>
    <x v="2"/>
    <x v="2"/>
    <n v="9"/>
    <s v="Regional alliance(s)/Platform(s)/Network(s) of  NGOs/CSOs"/>
    <s v="Local government(s)"/>
    <s v="Grassroots organization(s)"/>
    <x v="0"/>
    <s v="Supported Karenni State Women Network to produce organizational management (SOP), technical support for GBV referral pathway development, case management manual, safe house management SOP, traning manual for GBV, VSLA estabilishment, TOT on engaging men, counselling trainiing, legal awareness, small grant provision for GBV prevention and response"/>
    <m/>
    <s v="Muliti stakeholder model for ending GBV"/>
    <s v="Engaging Men"/>
    <s v="VSLA"/>
    <s v="By condcuting legal awarness training for village administrators gave a great support to estabillish the relationship with General Administration Department (GAD) which is crucial in legislative  enviornment."/>
    <s v="Exposture visti to well experienced women network at the national level is the most effective approach."/>
    <m/>
    <m/>
    <m/>
    <n v="1258"/>
    <n v="3222"/>
    <n v="2.56120826709062"/>
    <n v="0.75039745627980925"/>
    <n v="0.74984481688392302"/>
    <n v="944"/>
    <n v="2416"/>
    <s v=""/>
    <n v="0"/>
    <n v="0"/>
    <s v=""/>
    <n v="1"/>
    <n v="755"/>
    <n v="1934"/>
    <n v="2.5615894039735099"/>
    <s v=""/>
    <n v="0"/>
    <n v="0"/>
    <s v=""/>
    <n v="1"/>
    <n v="1258"/>
    <n v="3222"/>
    <n v="2.56120826709062"/>
    <n v="1"/>
    <n v="709.69999999999993"/>
    <n v="1817.9599999999998"/>
    <n v="2.5615894039735099"/>
    <s v="3. Responsive"/>
    <s v="2. Accommodating"/>
    <s v="0. Harmful"/>
    <s v="It tested new ways for fighting poverty, but did not measure results of innovation"/>
    <s v="Moderate advocacy"/>
    <s v="It linked and worked with strategic alliances and partners to take tested and effective solutions to scale"/>
  </r>
  <r>
    <x v="50"/>
    <x v="0"/>
    <n v="3157"/>
    <s v="Strengthening Partnerships and Resilience of Communities (SPARC) in Northern Rakhine State"/>
    <s v="Myanmar"/>
    <s v="MMR096"/>
    <s v="CARE Australia"/>
    <s v="Government"/>
    <s v="Government - Australia"/>
    <s v="DFAT-Australia"/>
    <m/>
    <m/>
    <m/>
    <m/>
    <m/>
    <m/>
    <m/>
    <m/>
    <m/>
    <m/>
    <m/>
    <m/>
    <m/>
    <m/>
    <m/>
    <m/>
    <m/>
    <m/>
    <m/>
    <m/>
    <m/>
    <m/>
    <m/>
    <m/>
    <m/>
    <m/>
    <m/>
    <m/>
    <m/>
    <m/>
    <m/>
    <m/>
    <m/>
    <m/>
    <m/>
    <m/>
    <m/>
    <m/>
    <m/>
    <m/>
    <m/>
    <m/>
    <m/>
    <m/>
    <m/>
    <d v="2011-12-01T00:00:00"/>
    <d v="2016-11-30T00:00:00"/>
    <d v="2017-11-30T00:00:00"/>
    <s v="Development Food &amp; Nutrition Security and Resilience to Climate Change"/>
    <n v="9307519"/>
    <s v="Pam Flowers"/>
    <s v="ACD Programs"/>
    <s v="pam.flowers@careint.org"/>
    <s v="Takara Morgan"/>
    <s v="Coordinator (Asia)"/>
    <s v="takara.morgan@care.org.au"/>
    <s v="YES"/>
    <s v="YES"/>
    <s v="YES"/>
    <s v="The goal of this project is to contribute to the sustainable reduction of poverty in poor, vulnerable communities. It's purpose is to improve the social and economic position of poor, vulnerable households in Northern  Rakhine  State,  and  strengthen  household  and  community  capacity  to independently sustain such improvements."/>
    <s v="Sub-National"/>
    <s v="Maungdaw District (Buthidaung and Maungdaw Townships) in northern Rakhine"/>
    <s v="Poor, vulnerable households in rural areas."/>
    <n v="5700"/>
    <n v="3800"/>
    <n v="9500"/>
    <n v="39900"/>
    <n v="26600"/>
    <n v="66500"/>
    <s v="The main direct participants are small holder farmers, poor/food insecure landless households, vulnerable households with children in school-going age. The direct beneficiaries for humanitarian response were household in CARE's atrget areas who were most affected by cyclone Mora. Direct participants are head count of populaion who directly involved in activities implemented by CARE and who directly received the training, workshops and services from the project. Indirect participants are  family and community members."/>
    <m/>
    <n v="1076"/>
    <n v="994"/>
    <n v="2070"/>
    <n v="7652"/>
    <n v="7063"/>
    <n v="14715"/>
    <s v="NO"/>
    <m/>
    <m/>
    <m/>
    <s v="NO"/>
    <m/>
    <m/>
    <m/>
    <s v="NO"/>
    <m/>
    <m/>
    <m/>
    <s v="NO"/>
    <m/>
    <m/>
    <m/>
    <s v="NO"/>
    <m/>
    <m/>
    <m/>
    <s v="NO"/>
    <m/>
    <m/>
    <m/>
    <s v="NO"/>
    <m/>
    <m/>
    <m/>
    <s v="NO"/>
    <m/>
    <m/>
    <m/>
    <s v="NO"/>
    <m/>
    <m/>
    <m/>
    <s v="NO"/>
    <m/>
    <m/>
    <m/>
    <s v="YES"/>
    <n v="690"/>
    <n v="0.52"/>
    <n v="4905"/>
    <s v="YES"/>
    <n v="690"/>
    <n v="0.52"/>
    <n v="4905"/>
    <s v="NFI kits"/>
    <s v="YES"/>
    <n v="690"/>
    <n v="0.52"/>
    <n v="4905"/>
    <n v="11354"/>
    <n v="16339"/>
    <n v="27693"/>
    <n v="22708"/>
    <n v="34117.5"/>
    <n v="56825.5"/>
    <s v="YES"/>
    <n v="150"/>
    <n v="0.2"/>
    <n v="525"/>
    <s v="NO"/>
    <m/>
    <m/>
    <m/>
    <s v="NO"/>
    <m/>
    <m/>
    <m/>
    <s v="NO"/>
    <m/>
    <m/>
    <m/>
    <s v="YES"/>
    <n v="521"/>
    <n v="0.8"/>
    <n v="1823.5"/>
    <s v="YES"/>
    <n v="316"/>
    <n v="0.57999999999999996"/>
    <n v="1106"/>
    <s v="YES"/>
    <n v="703"/>
    <n v="0.33333333333333298"/>
    <n v="2460.5"/>
    <s v="YES"/>
    <n v="23"/>
    <n v="0.01"/>
    <n v="80.5"/>
    <s v="NO"/>
    <m/>
    <m/>
    <m/>
    <s v="NO"/>
    <m/>
    <m/>
    <m/>
    <s v="YES"/>
    <n v="23980"/>
    <n v="0.55000000000000004"/>
    <n v="43830"/>
    <s v="NO"/>
    <m/>
    <m/>
    <m/>
    <s v="NO"/>
    <m/>
    <m/>
    <m/>
    <s v="NO"/>
    <m/>
    <m/>
    <m/>
    <s v="YES"/>
    <n v="32"/>
    <n v="0"/>
    <n v="112"/>
    <s v="YES"/>
    <n v="1968"/>
    <n v="0.8"/>
    <n v="6888"/>
    <m/>
    <s v="NO"/>
    <m/>
    <m/>
    <m/>
    <s v="NO"/>
    <m/>
    <m/>
    <s v="NO"/>
    <s v="YES"/>
    <s v="March"/>
    <n v="2018"/>
    <s v="Timeframe and methodology for the evaluation is not agreed yet, all planning for the project is on hold due to the oncoing insecurities in Rakhine State."/>
    <x v="0"/>
    <s v="NO"/>
    <s v="NO"/>
    <s v="YES"/>
    <s v="NO"/>
    <s v="NO"/>
    <s v="NO"/>
    <s v="NO"/>
    <s v="NO"/>
    <m/>
    <x v="0"/>
    <m/>
    <x v="0"/>
    <m/>
    <x v="1"/>
    <x v="0"/>
    <s v="YES"/>
    <x v="0"/>
    <x v="0"/>
    <x v="1"/>
    <x v="1"/>
    <n v="3"/>
    <x v="1"/>
    <x v="1"/>
    <x v="1"/>
    <x v="1"/>
    <x v="2"/>
    <x v="1"/>
    <n v="3"/>
    <x v="1"/>
    <x v="2"/>
    <x v="1"/>
    <x v="1"/>
    <x v="3"/>
    <n v="2"/>
    <x v="0"/>
    <x v="1"/>
    <m/>
    <m/>
    <m/>
    <m/>
    <x v="0"/>
    <s v="Late 2016 and in 2017 CARE has but higher emphasis on working with Village Development Committees (VDC). More specifically, CARE adopted a toolkit to measure organisational capacity of the committees which enables CARE to identify, monitor and address the strenght and weaknesses of each VDC in the process of building their capacities to participate in and lead village based development."/>
    <m/>
    <s v="The design of complementary Agricultural activities, namely a)summer paddy and winter crops input provision, b) technical training and c)improved access to water for irrigation has been a successful combination to increase HDDS and improved year-round food security for our beneficiaries."/>
    <s v="VSLAs entering their second cycle have  the skills and knowledge to manage their household finances, have more voice in decision making at the household level, and any individuals have been able to initiate IGA activities with their savings and generate an additional income. This has been a great success within a majority Muslim context."/>
    <s v="Significant steps have been taken with the capacity building and implementation of community development projects through VDCs and VDGs- with 80% now completed. Key capacity building  initiatives have been carefully designed and implemented to meet the needs of northern Rakhine State- (developed after VDCs requested more support during the initial VDG participatory process carried out in 2016.  Two, two  day trainings  on  VDG  implementation  and financial  management  focusing  on  the management  of  the  grant, contracting and quality monitoring)"/>
    <s v="Using VSLA as entry point for women centered activities has proved successful. In early 2017 SPARC piloted the home garden activity with the VSLA groups. This initiative was twofold:  first to serve a request from VSLA for more support with  IGA; secondly to  streamline SPARC approaches at the village level and reduce multiple interlinking committees."/>
    <s v="The VDC/VDG approach in nRS needs to be further documented and refined."/>
    <m/>
    <m/>
    <s v="Beneficiary numbers are extracted from ATS. For each category the potential dublication of direct beneficiaries has been reduced, but the total number of direct and indirect beneficiaries reported in this report is a sum of all the participants in each sector, meaning that those numbers are doublecounted."/>
    <n v="27693"/>
    <n v="56825.5"/>
    <n v="2.0519806449283213"/>
    <n v="0.40999530567291376"/>
    <n v="0.39960933031825502"/>
    <n v="11354"/>
    <n v="22708"/>
    <n v="1"/>
    <n v="2070"/>
    <n v="14715"/>
    <n v="7.1086956521739131"/>
    <n v="1"/>
    <n v="703"/>
    <n v="2460.5"/>
    <n v="3.5"/>
    <s v=""/>
    <n v="0"/>
    <n v="0"/>
    <s v=""/>
    <n v="1"/>
    <n v="23"/>
    <n v="80.5"/>
    <n v="3.5"/>
    <n v="1"/>
    <n v="1968"/>
    <n v="6888"/>
    <n v="3.5"/>
    <s v="1. Neutral"/>
    <s v="2. Accommodating"/>
    <s v="1. Neutral"/>
    <s v="It did not develop any specific innovation"/>
    <s v="Little or no advocacy"/>
    <s v="It did not take tested solutions to scale"/>
  </r>
  <r>
    <x v="50"/>
    <x v="0"/>
    <n v="3165"/>
    <s v="Supporting food security, resilience and social cohesion of households and communities in Rathedaung Township, Rakhine State"/>
    <s v="Myanmar"/>
    <s v="MMR122"/>
    <s v="No CARE member related to the project/initiative"/>
    <s v="Multilateral agency"/>
    <s v="UN - United Nations agencies/offices"/>
    <s v="UNOPS/LIFT"/>
    <m/>
    <m/>
    <m/>
    <m/>
    <m/>
    <m/>
    <m/>
    <m/>
    <m/>
    <m/>
    <m/>
    <m/>
    <m/>
    <m/>
    <m/>
    <m/>
    <m/>
    <m/>
    <m/>
    <m/>
    <m/>
    <m/>
    <m/>
    <m/>
    <m/>
    <m/>
    <m/>
    <m/>
    <m/>
    <m/>
    <m/>
    <m/>
    <m/>
    <m/>
    <m/>
    <m/>
    <m/>
    <m/>
    <m/>
    <m/>
    <m/>
    <m/>
    <m/>
    <m/>
    <m/>
    <d v="2016-01-01T00:00:00"/>
    <d v="2018-12-31T00:00:00"/>
    <m/>
    <s v="Development Food &amp; Nutrition Security and Resilience to Climate Change"/>
    <n v="3519147"/>
    <s v="Joanne Povey"/>
    <s v="Rakhine Area Coordinator"/>
    <s v="Joanne.Povey@careint.org"/>
    <s v="Pam Flowers"/>
    <s v="ACD Programs"/>
    <s v="pam.flowers@careint.org"/>
    <s v="NO"/>
    <s v="YES"/>
    <s v="NO"/>
    <s v="Increased sources and level of income of target households, Increased capacity of target communities to manage forest, water resources and preparation for/response to disasters."/>
    <s v="Sub-National"/>
    <s v="Rathedaung Townships, Rakhine State"/>
    <s v="Rural poor"/>
    <n v="2500"/>
    <n v="2500"/>
    <n v="5000"/>
    <n v="10934"/>
    <n v="10934"/>
    <n v="21868"/>
    <s v="Small holder farmers, poor/food insecure landless households, women, Direct participants are head count of populaion who directly involved in activities implemented and who directly received the training, workshops and services from the project. Indirect participants are  family and community members."/>
    <m/>
    <m/>
    <m/>
    <m/>
    <m/>
    <m/>
    <m/>
    <s v="NO"/>
    <m/>
    <m/>
    <m/>
    <s v="NO"/>
    <m/>
    <m/>
    <m/>
    <s v="NO"/>
    <m/>
    <m/>
    <m/>
    <s v="NO"/>
    <m/>
    <m/>
    <m/>
    <s v="NO"/>
    <m/>
    <m/>
    <m/>
    <s v="NO"/>
    <m/>
    <m/>
    <m/>
    <s v="NO"/>
    <m/>
    <m/>
    <m/>
    <s v="NO"/>
    <m/>
    <m/>
    <m/>
    <s v="NO"/>
    <m/>
    <m/>
    <m/>
    <s v="NO"/>
    <m/>
    <m/>
    <m/>
    <s v="NO"/>
    <m/>
    <m/>
    <m/>
    <s v="NO"/>
    <m/>
    <m/>
    <m/>
    <m/>
    <s v="NO"/>
    <m/>
    <m/>
    <m/>
    <n v="3967"/>
    <n v="4656"/>
    <n v="8623"/>
    <n v="14590"/>
    <n v="16452.400000000001"/>
    <n v="31042.400000000001"/>
    <s v="YES"/>
    <n v="1074"/>
    <n v="0.23"/>
    <n v="3866"/>
    <s v="NO"/>
    <m/>
    <m/>
    <m/>
    <s v="NO"/>
    <m/>
    <m/>
    <m/>
    <s v="YES"/>
    <n v="1705"/>
    <n v="0.51"/>
    <n v="6138"/>
    <s v="YES"/>
    <n v="171"/>
    <n v="0.28000000000000003"/>
    <n v="615.6"/>
    <s v="NO"/>
    <m/>
    <m/>
    <m/>
    <s v="YES"/>
    <n v="1601"/>
    <n v="0.45"/>
    <n v="5763.6"/>
    <s v="NO"/>
    <n v="0"/>
    <n v="0"/>
    <n v="0"/>
    <s v="NO"/>
    <m/>
    <m/>
    <m/>
    <s v="NO"/>
    <m/>
    <m/>
    <m/>
    <s v="YES"/>
    <n v="2000"/>
    <n v="0.49"/>
    <n v="7200"/>
    <s v="NO"/>
    <m/>
    <m/>
    <m/>
    <s v="NO"/>
    <m/>
    <m/>
    <m/>
    <s v="NO"/>
    <m/>
    <m/>
    <m/>
    <s v="YES"/>
    <n v="273"/>
    <n v="0.51"/>
    <n v="982.80000000000007"/>
    <s v="YES"/>
    <n v="1799"/>
    <n v="0.78"/>
    <n v="6476.4000000000005"/>
    <m/>
    <s v="NO"/>
    <m/>
    <m/>
    <m/>
    <s v="YES"/>
    <s v="August"/>
    <n v="2016"/>
    <s v="NO"/>
    <s v="YES"/>
    <s v="December"/>
    <n v="2017"/>
    <s v="An external mid-term reviw commissionned by UNOPS/LIFT (donor)"/>
    <x v="0"/>
    <s v="NO"/>
    <s v="NO"/>
    <s v="YES"/>
    <s v="NO"/>
    <s v="NO"/>
    <s v="NO"/>
    <s v="NO"/>
    <s v="NO"/>
    <m/>
    <x v="0"/>
    <m/>
    <x v="0"/>
    <m/>
    <x v="0"/>
    <x v="0"/>
    <s v="YES"/>
    <x v="1"/>
    <x v="0"/>
    <x v="1"/>
    <x v="1"/>
    <n v="2"/>
    <x v="1"/>
    <x v="1"/>
    <x v="1"/>
    <x v="2"/>
    <x v="1"/>
    <x v="1"/>
    <n v="3"/>
    <x v="3"/>
    <x v="1"/>
    <x v="1"/>
    <x v="1"/>
    <x v="4"/>
    <n v="3"/>
    <x v="0"/>
    <x v="1"/>
    <m/>
    <m/>
    <m/>
    <m/>
    <x v="0"/>
    <s v="Late 2016 and in 2017 CARE has but higher emphasis on working with Village Development Committees (VDC). More specifically, CARE adopted a toolkit to measure organisational capacity of the committees which enables CARE to identify, monitor and address the strenght and weaknesses of each VDC in the process of building their capacities to participate in and lead village based development."/>
    <m/>
    <s v="VSLA"/>
    <s v="Cash for work"/>
    <s v="Farmer field schools"/>
    <s v="Need to strenghten engagement with government administration to enhanced understanding of CARE's work and approaches so that in situations of hostalities towards INGOs CARE can better advogate for itself and its beneficiaries"/>
    <s v="Need community development expertize to enhance relations and sustainability of the project effects"/>
    <s v="Challenges in conflict-driven environments to ensure synergies between sectors in such a compex program as it is Kang Lat"/>
    <m/>
    <s v="Beneficiary numbers are extracted from ATS. For each category the potential dublication of direct beneficiaries has been reduced, but the total number of direct and indirect beneficiaries reported in this report is a sum of all the participants in each sector, meaning that those numbers are double counted."/>
    <n v="8623"/>
    <n v="31042.400000000001"/>
    <n v="3.5999536124318685"/>
    <n v="0.46004870694653832"/>
    <n v="0.47000231940829318"/>
    <n v="3967"/>
    <n v="14590"/>
    <s v=""/>
    <n v="0"/>
    <n v="0"/>
    <s v=""/>
    <n v="1"/>
    <n v="1705"/>
    <n v="6138"/>
    <n v="3.6"/>
    <s v=""/>
    <n v="0"/>
    <n v="0"/>
    <s v=""/>
    <s v=""/>
    <n v="0"/>
    <n v="0"/>
    <s v=""/>
    <n v="1"/>
    <n v="1799"/>
    <n v="6476.4000000000005"/>
    <n v="3.6"/>
    <s v="1. Neutral"/>
    <s v="2. Accommodating"/>
    <s v="4. Transformative"/>
    <s v="It did not develop any specific innovation"/>
    <s v="Little or no advocacy"/>
    <s v="It did not take tested solutions to scale"/>
  </r>
  <r>
    <x v="51"/>
    <x v="0"/>
    <n v="3184"/>
    <s v="Aba Mero Palo (Tipping Point)"/>
    <s v="Nepal"/>
    <s v="KENDNP0001"/>
    <s v="CARE USA"/>
    <s v="Foundation"/>
    <s v="Other"/>
    <s v="Kendeda Foundation"/>
    <m/>
    <m/>
    <m/>
    <m/>
    <m/>
    <m/>
    <m/>
    <m/>
    <m/>
    <m/>
    <m/>
    <m/>
    <m/>
    <m/>
    <m/>
    <m/>
    <m/>
    <m/>
    <m/>
    <m/>
    <m/>
    <m/>
    <m/>
    <m/>
    <m/>
    <m/>
    <m/>
    <m/>
    <m/>
    <m/>
    <m/>
    <m/>
    <m/>
    <m/>
    <m/>
    <m/>
    <m/>
    <m/>
    <m/>
    <m/>
    <m/>
    <m/>
    <m/>
    <m/>
    <m/>
    <d v="2014-05-01T00:00:00"/>
    <d v="2017-04-30T00:00:00"/>
    <d v="2017-06-30T00:00:00"/>
    <s v="Development Other"/>
    <n v="1460645"/>
    <s v="Urmila Simkhada"/>
    <s v="Thematic Coordinator (LEAD)"/>
    <s v="urmila.simkhada@care.org"/>
    <m/>
    <m/>
    <m/>
    <s v="NO"/>
    <s v="YES"/>
    <s v="NO"/>
    <s v="The overall goal of the project was to strenghthen communities and government bodies to effectively formulate, implement and monitor laws and poicies related to child marriages from local to national level."/>
    <s v="National"/>
    <s v="Rupandehi and Kapilvastu districts"/>
    <s v="Adolescent girls"/>
    <n v="1625"/>
    <m/>
    <n v="1625"/>
    <n v="36579"/>
    <m/>
    <n v="36579"/>
    <s v="Married (pre-gauna i.e. has not moved into the husbands home) and unmarried out-of-school adolescent girls, ages 14 to 19"/>
    <m/>
    <m/>
    <m/>
    <m/>
    <m/>
    <m/>
    <m/>
    <m/>
    <m/>
    <m/>
    <m/>
    <m/>
    <m/>
    <m/>
    <m/>
    <m/>
    <m/>
    <m/>
    <m/>
    <m/>
    <m/>
    <m/>
    <m/>
    <m/>
    <m/>
    <m/>
    <m/>
    <m/>
    <m/>
    <m/>
    <m/>
    <m/>
    <m/>
    <m/>
    <m/>
    <m/>
    <m/>
    <m/>
    <m/>
    <m/>
    <m/>
    <m/>
    <m/>
    <m/>
    <m/>
    <m/>
    <m/>
    <m/>
    <m/>
    <m/>
    <m/>
    <m/>
    <m/>
    <m/>
    <m/>
    <m/>
    <m/>
    <m/>
    <m/>
    <m/>
    <n v="2056"/>
    <m/>
    <n v="2056"/>
    <n v="36579"/>
    <m/>
    <n v="36579"/>
    <m/>
    <m/>
    <m/>
    <m/>
    <m/>
    <m/>
    <m/>
    <m/>
    <m/>
    <m/>
    <m/>
    <m/>
    <m/>
    <m/>
    <m/>
    <m/>
    <m/>
    <m/>
    <m/>
    <m/>
    <m/>
    <m/>
    <m/>
    <m/>
    <m/>
    <m/>
    <m/>
    <m/>
    <s v="YES"/>
    <n v="2056"/>
    <n v="1"/>
    <m/>
    <m/>
    <m/>
    <m/>
    <m/>
    <m/>
    <m/>
    <m/>
    <m/>
    <m/>
    <m/>
    <m/>
    <m/>
    <m/>
    <m/>
    <m/>
    <m/>
    <m/>
    <m/>
    <m/>
    <m/>
    <m/>
    <m/>
    <m/>
    <m/>
    <m/>
    <m/>
    <m/>
    <m/>
    <m/>
    <m/>
    <m/>
    <m/>
    <m/>
    <m/>
    <m/>
    <m/>
    <m/>
    <s v="NO"/>
    <m/>
    <m/>
    <m/>
    <m/>
    <m/>
    <m/>
    <m/>
    <x v="1"/>
    <m/>
    <m/>
    <m/>
    <s v="YES"/>
    <s v="YES"/>
    <m/>
    <m/>
    <m/>
    <m/>
    <x v="1"/>
    <s v="Involving boys in household chores such as cooking, sewing. Girl's sports competition"/>
    <x v="3"/>
    <m/>
    <x v="2"/>
    <x v="1"/>
    <s v="YES"/>
    <x v="0"/>
    <x v="0"/>
    <x v="0"/>
    <x v="2"/>
    <n v="4"/>
    <x v="1"/>
    <x v="1"/>
    <x v="1"/>
    <x v="1"/>
    <x v="1"/>
    <x v="1"/>
    <n v="4"/>
    <x v="1"/>
    <x v="1"/>
    <x v="1"/>
    <x v="1"/>
    <x v="1"/>
    <n v="3"/>
    <x v="2"/>
    <x v="2"/>
    <n v="2"/>
    <s v="Local NGO(s)/CSO(s)"/>
    <m/>
    <m/>
    <x v="3"/>
    <m/>
    <m/>
    <m/>
    <m/>
    <m/>
    <s v="School support program was found very useful for girl's education for low financial conditional of parents. The parents who get bound to get their daughter married as they could not afford their education has now able to continue with the education."/>
    <s v="Now girls had got the feeling that they can persue their dreams and aspirations by means of educational opportunities"/>
    <s v="Participation in different districts and national events provided exposure for the adolescent girls and developed their agency with various networks and structures from local to national level"/>
    <m/>
    <m/>
    <n v="2056"/>
    <n v="36579"/>
    <n v="17.79134241245136"/>
    <n v="1"/>
    <n v="1"/>
    <n v="2056"/>
    <n v="36579"/>
    <s v=""/>
    <n v="0"/>
    <n v="0"/>
    <s v=""/>
    <s v=""/>
    <n v="0"/>
    <n v="0"/>
    <s v=""/>
    <s v=""/>
    <n v="0"/>
    <n v="0"/>
    <s v=""/>
    <n v="1"/>
    <n v="2056"/>
    <n v="0"/>
    <n v="0"/>
    <s v=""/>
    <n v="0"/>
    <n v="0"/>
    <s v=""/>
    <s v="4. Transformative"/>
    <s v="2. Accommodating"/>
    <s v="2. Sensitive"/>
    <s v="It tested new ways for fighting poverty, but did not measure results of innovation"/>
    <s v="Moderate advocacy"/>
    <s v="It took tested solutions to scale on its own"/>
  </r>
  <r>
    <x v="51"/>
    <x v="0"/>
    <n v="3174"/>
    <s v="AWASAR Project (De glemte born i Himalaya-U-landskalenderprojekt 2015)"/>
    <s v="Nepal"/>
    <s v="DK253"/>
    <s v="CARE Danmark"/>
    <s v="Government"/>
    <s v="Government - Denmark"/>
    <s v="DANIDA"/>
    <m/>
    <m/>
    <m/>
    <m/>
    <m/>
    <m/>
    <m/>
    <m/>
    <m/>
    <m/>
    <m/>
    <m/>
    <m/>
    <m/>
    <m/>
    <m/>
    <m/>
    <m/>
    <m/>
    <m/>
    <m/>
    <m/>
    <m/>
    <m/>
    <m/>
    <m/>
    <m/>
    <m/>
    <m/>
    <m/>
    <m/>
    <m/>
    <m/>
    <m/>
    <m/>
    <m/>
    <m/>
    <m/>
    <m/>
    <m/>
    <m/>
    <m/>
    <m/>
    <m/>
    <m/>
    <d v="2015-07-01T00:00:00"/>
    <d v="2018-12-31T00:00:00"/>
    <m/>
    <s v="Development Other"/>
    <n v="1802545"/>
    <s v="Mr Chiranjibi Nepal"/>
    <s v="Programme Coordinator"/>
    <s v="Chiranjibi.Nepal@care.org"/>
    <s v="Mr Ram Singh Thagunna"/>
    <s v="Project Manager"/>
    <s v="Ram.Thagunna@care.org"/>
    <s v="NO"/>
    <s v="YES"/>
    <s v="NO"/>
    <s v="Improve thenutritional and educational status of hard to reach children in Bajura and Mugu districs of the Far and Mid-Western High Hills of Nepal."/>
    <s v="Sub-National"/>
    <s v="Nepal, Far-Mid Western district Bajura ( Bichhiya, Rugin, Jukot,Sappata, Dahakot, Manakot, Pandusen, Kolti, Gotri and Bangdhu VDCs) and Mugu ( Pulu, Mugu, Kimri, Dolphu,Jima,Natharpu, Viee, Hyanlu, Sukadik, Seri )"/>
    <s v="women, adolescent girls and Marginalized poor men from ( Dalit, Janjati and others)"/>
    <n v="9341"/>
    <n v="8059"/>
    <n v="17400"/>
    <n v="43411"/>
    <n v="30841"/>
    <n v="74252"/>
    <s v="Direct Beneficaries :women, adolescent girls and Marginalized poor men from ( Dalit, Janjati and others), teachers, farmers, FCHVs, Peer educators, SMCs/PTAs, Child clubs, Traditional Healers, Religeous leaders, local level representatives, district level stakeholders etc are the participants of the project.  It has been calculated by the persons who have directly involved in Awasar Project activities and benefited by getting capacity building trainings, orientations, meetings, group discussions, home visit counsel, infrastructures support like toilet, drinking water, floor setting, solar lamps installation.                                                 Indirect Beneficaries: Those who are getting positive impact in their day to day life in working environment, behaviour change communication, perception of particular ideas by getting indirect information instruction, encouragement and awareness from the project intervention areas which are playing a crucial role to change, transform, shape and size the progressive ideas in their personal and professional life.    "/>
    <m/>
    <m/>
    <m/>
    <m/>
    <m/>
    <m/>
    <m/>
    <m/>
    <m/>
    <m/>
    <m/>
    <m/>
    <m/>
    <m/>
    <m/>
    <m/>
    <m/>
    <m/>
    <m/>
    <m/>
    <m/>
    <m/>
    <m/>
    <m/>
    <m/>
    <m/>
    <m/>
    <m/>
    <m/>
    <m/>
    <m/>
    <m/>
    <m/>
    <m/>
    <m/>
    <m/>
    <m/>
    <m/>
    <m/>
    <m/>
    <m/>
    <m/>
    <m/>
    <m/>
    <m/>
    <m/>
    <m/>
    <m/>
    <m/>
    <m/>
    <m/>
    <m/>
    <m/>
    <m/>
    <m/>
    <m/>
    <m/>
    <m/>
    <m/>
    <m/>
    <n v="9341"/>
    <n v="8059"/>
    <n v="17400"/>
    <n v="30841"/>
    <n v="43411"/>
    <n v="74252"/>
    <s v="YES"/>
    <n v="3764"/>
    <n v="0.467853347502656"/>
    <n v="38304"/>
    <m/>
    <m/>
    <m/>
    <m/>
    <m/>
    <m/>
    <m/>
    <m/>
    <m/>
    <m/>
    <m/>
    <m/>
    <m/>
    <m/>
    <m/>
    <m/>
    <s v="YES"/>
    <n v="4521"/>
    <n v="0.47091351470913501"/>
    <n v="31390"/>
    <m/>
    <m/>
    <m/>
    <m/>
    <m/>
    <m/>
    <m/>
    <m/>
    <m/>
    <m/>
    <m/>
    <m/>
    <m/>
    <m/>
    <m/>
    <m/>
    <m/>
    <m/>
    <m/>
    <m/>
    <m/>
    <m/>
    <m/>
    <m/>
    <m/>
    <m/>
    <m/>
    <m/>
    <s v="YES"/>
    <n v="9115"/>
    <n v="0.59802523313219902"/>
    <n v="4558"/>
    <m/>
    <m/>
    <m/>
    <m/>
    <m/>
    <m/>
    <m/>
    <m/>
    <m/>
    <m/>
    <m/>
    <m/>
    <m/>
    <m/>
    <m/>
    <m/>
    <m/>
    <s v="NO"/>
    <m/>
    <m/>
    <s v="Due to diverse topo-graphy and difficult geographical range it had become hard to collect the required data from some parts of districts. Miid-term  and end -term evaluation  should be carried out  in the month of  September and October. It is because there is an  extreme cold weather and seasonal migration occurs in such circumstances."/>
    <x v="1"/>
    <m/>
    <s v="YES"/>
    <s v="YES"/>
    <s v="YES"/>
    <s v="YES"/>
    <s v="YES"/>
    <m/>
    <s v="YES"/>
    <s v="Acclerated condenced curriculum policy has been prepared from the side of CARE but it had not been accepted by department of education (DOE) government of Nepal. By showing less essential to minimise the existing curriculum."/>
    <x v="1"/>
    <s v="1. Address the educational need of migrant children of Dalit, Janjati in high altitude mountain through composite package of education,health,food security. 2. improve the food habit of Himalayan people (SATHA+CSB+BCC and PD Hearth approach), 3. To assist less landholder farmers to get more and more nutricious food from Kitchn gardne. 4. Climate friendly vegetable and crop seed demonstrated by planting in the demonstration plot."/>
    <x v="1"/>
    <s v="The project had done coordination and collboration with district, resional and national level government and likeminded organization to implement its stretegy and innovation in the community level, for it CSB and SATH PD hearth, child centric teaching method had been implemented to bring sustainable and suitable impact in the rural community by leveraging knowledge in the project site."/>
    <x v="1"/>
    <x v="0"/>
    <s v="YES"/>
    <x v="0"/>
    <x v="0"/>
    <x v="0"/>
    <x v="0"/>
    <n v="4"/>
    <x v="1"/>
    <x v="1"/>
    <x v="1"/>
    <x v="1"/>
    <x v="1"/>
    <x v="1"/>
    <n v="4"/>
    <x v="3"/>
    <x v="1"/>
    <x v="1"/>
    <x v="1"/>
    <x v="4"/>
    <n v="3"/>
    <x v="0"/>
    <x v="2"/>
    <n v="2"/>
    <s v="Local NGO(s)/CSO(s)"/>
    <s v="Local government(s)"/>
    <s v="Grassroots organization(s)"/>
    <x v="0"/>
    <s v="In project initiative; we had carryied out a training and orientation to the traditional healers, religious leaders, and local level political party memebrs."/>
    <s v="The major project activity i.e. the formulation of accelerated learning curriculum has been removed from the project. In stead of this project purposes formal nad non formal education initiatives."/>
    <s v="Community Score Board (CSB)Implementation in project themes like education, health and agriculture."/>
    <s v="Self Applied Technique for Quality Health (SATH) implemenation in health theme (Mother Groups, FCHVs were benefited)."/>
    <s v="Behaviour Change communication and PD hearth menthod implementation for nutrition improvement."/>
    <s v="After project supporting new technique and materials to lead farmers they became capable to produce vegetable in their own farm to supplement nutritious food and sell it for earnings."/>
    <s v="Community members have to take the responsibility of supported materials in their schools to take care."/>
    <s v="Community Score Board (CSB) and Self Applied Techniques for Quality Health (SATH) tools have made realized and accountable both the service giver and receiver in regards to eudcation, agriculture and health &amp; nutriction."/>
    <s v="Local election has delayed our project activities in the filed about two month delay which had nod conducted over the period of 20 years in Nepal. Similarly, working unit (VDC, DDC structure changed into RM, DCC) has been changed so it has created some problems to start coordination and collaboration among the stakeholders."/>
    <s v="PIIRIS (upto now) 2017 Final-sanjh.xlsx"/>
    <n v="17400"/>
    <n v="74252"/>
    <n v="4.2673563218390802"/>
    <n v="0.53683908045977013"/>
    <n v="0.41535581533157356"/>
    <n v="9341"/>
    <n v="30841"/>
    <s v=""/>
    <n v="0"/>
    <n v="0"/>
    <s v=""/>
    <n v="1"/>
    <n v="3764"/>
    <n v="38304"/>
    <n v="10.176408076514347"/>
    <n v="1"/>
    <n v="9115"/>
    <n v="4558"/>
    <n v="0.50005485463521671"/>
    <s v=""/>
    <n v="0"/>
    <n v="0"/>
    <s v=""/>
    <s v=""/>
    <n v="0"/>
    <n v="0"/>
    <s v=""/>
    <s v="2. Sensitive"/>
    <s v="2. Accommodating"/>
    <s v="4. Transformative"/>
    <s v="It tested new ways for fighting poverty, but did not measure results of innovation"/>
    <s v="Moderate advocacy"/>
    <s v="It linked and worked with strategic alliances and partners to take tested and effective solutions to scale"/>
  </r>
  <r>
    <x v="51"/>
    <x v="0"/>
    <m/>
    <s v="Building Initiative for safer health and WASH"/>
    <s v="Nepal"/>
    <s v="CDEUNP0022"/>
    <s v="CARE Deutschland-Luxemburg"/>
    <s v="Corporation"/>
    <s v="Government - Germany"/>
    <s v="HARTMANN Group"/>
    <m/>
    <m/>
    <m/>
    <m/>
    <m/>
    <m/>
    <m/>
    <m/>
    <m/>
    <m/>
    <m/>
    <m/>
    <m/>
    <m/>
    <m/>
    <m/>
    <m/>
    <m/>
    <m/>
    <m/>
    <m/>
    <m/>
    <m/>
    <m/>
    <m/>
    <m/>
    <m/>
    <m/>
    <m/>
    <m/>
    <m/>
    <m/>
    <m/>
    <m/>
    <m/>
    <m/>
    <m/>
    <m/>
    <m/>
    <m/>
    <m/>
    <m/>
    <m/>
    <m/>
    <m/>
    <d v="2016-01-08T00:00:00"/>
    <d v="2018-07-31T00:00:00"/>
    <m/>
    <s v="Humanitarian Sexual, Reproductive and Maternal Health (SRMH)"/>
    <n v="243852.82500000001"/>
    <s v="Nilkantha Pandey"/>
    <s v="WASH Team Leader"/>
    <s v="nilkantha.pandey@care.org"/>
    <m/>
    <m/>
    <m/>
    <s v="YES"/>
    <s v="NO"/>
    <s v="NO"/>
    <s v="Improved health and hygiene status of earthquake affected population through increased access to improved SRMH and WASH services."/>
    <s v="Sub-National"/>
    <s v="Gorkha"/>
    <s v="People(especially women and girls) of reproductive age with focus on lactating and preganant women"/>
    <n v="1437"/>
    <n v="49"/>
    <n v="1486"/>
    <m/>
    <m/>
    <m/>
    <m/>
    <m/>
    <n v="1437"/>
    <n v="49"/>
    <n v="1486"/>
    <m/>
    <m/>
    <m/>
    <m/>
    <m/>
    <m/>
    <m/>
    <m/>
    <m/>
    <m/>
    <m/>
    <m/>
    <m/>
    <m/>
    <m/>
    <s v="YES"/>
    <n v="108"/>
    <n v="1"/>
    <m/>
    <m/>
    <m/>
    <m/>
    <m/>
    <m/>
    <m/>
    <m/>
    <m/>
    <m/>
    <m/>
    <m/>
    <m/>
    <m/>
    <m/>
    <m/>
    <m/>
    <m/>
    <m/>
    <m/>
    <m/>
    <s v="YES"/>
    <n v="1420"/>
    <n v="0.96"/>
    <m/>
    <m/>
    <m/>
    <m/>
    <m/>
    <s v="YES"/>
    <n v="108"/>
    <n v="1"/>
    <m/>
    <m/>
    <m/>
    <m/>
    <m/>
    <m/>
    <m/>
    <m/>
    <m/>
    <m/>
    <m/>
    <m/>
    <m/>
    <m/>
    <m/>
    <m/>
    <m/>
    <m/>
    <m/>
    <m/>
    <m/>
    <m/>
    <m/>
    <m/>
    <m/>
    <m/>
    <m/>
    <m/>
    <m/>
    <m/>
    <m/>
    <m/>
    <m/>
    <m/>
    <m/>
    <m/>
    <m/>
    <m/>
    <m/>
    <m/>
    <m/>
    <m/>
    <m/>
    <m/>
    <m/>
    <m/>
    <m/>
    <m/>
    <m/>
    <m/>
    <m/>
    <m/>
    <m/>
    <m/>
    <m/>
    <m/>
    <m/>
    <m/>
    <m/>
    <m/>
    <m/>
    <m/>
    <m/>
    <m/>
    <m/>
    <m/>
    <m/>
    <m/>
    <m/>
    <m/>
    <m/>
    <m/>
    <m/>
    <m/>
    <m/>
    <m/>
    <m/>
    <m/>
    <m/>
    <m/>
    <m/>
    <s v="NO"/>
    <m/>
    <m/>
    <m/>
    <s v="YES"/>
    <s v="June"/>
    <n v="2018"/>
    <m/>
    <x v="1"/>
    <s v="NO"/>
    <s v="NO"/>
    <s v="YES"/>
    <s v="YES"/>
    <s v="YES"/>
    <s v="NO"/>
    <s v="NO"/>
    <m/>
    <m/>
    <x v="0"/>
    <m/>
    <x v="2"/>
    <m/>
    <x v="0"/>
    <x v="2"/>
    <m/>
    <x v="2"/>
    <x v="2"/>
    <x v="2"/>
    <x v="3"/>
    <n v="0"/>
    <x v="1"/>
    <x v="1"/>
    <x v="1"/>
    <x v="1"/>
    <x v="1"/>
    <x v="1"/>
    <n v="4"/>
    <x v="1"/>
    <x v="2"/>
    <x v="1"/>
    <x v="1"/>
    <x v="3"/>
    <n v="2"/>
    <x v="1"/>
    <x v="3"/>
    <m/>
    <s v="Local NGO(s)/CSO(s)"/>
    <m/>
    <m/>
    <x v="0"/>
    <s v="Public infrastructure development, capacity building of local stakeholders, health staffs, FCHV and women groups, community engagement in health and WASH activities."/>
    <m/>
    <s v="Partnership with government for the construction of large scale water schemes"/>
    <s v="Construction of model primary health care outreach clinic (PHC-ORC) under the leadership of local user's group"/>
    <s v="Innovative approaches for improving health service utilization and community participation including health governance through Community Health Score Board (CHSB) and SATH techniques."/>
    <s v="under the leadership of local user's committee, the construction of health infrastructures went in fast pace owning their sense of  ownership"/>
    <s v="difficulty in coordinating with the government bodies and involving them due to the multiple agencies working in the district"/>
    <m/>
    <m/>
    <s v="IPIA, Logframe, progress report"/>
    <n v="1486"/>
    <n v="0"/>
    <n v="0"/>
    <n v="0.96702557200538353"/>
    <s v=""/>
    <n v="1437"/>
    <n v="0"/>
    <n v="1"/>
    <n v="1486"/>
    <n v="0"/>
    <n v="0"/>
    <n v="1"/>
    <n v="108"/>
    <n v="0"/>
    <n v="0"/>
    <n v="1"/>
    <n v="1420"/>
    <n v="0"/>
    <n v="0"/>
    <s v=""/>
    <n v="0"/>
    <n v="0"/>
    <s v=""/>
    <s v=""/>
    <n v="0"/>
    <n v="0"/>
    <s v=""/>
    <s v="No marker score"/>
    <s v="2. Accommodating"/>
    <s v="1. Neutral"/>
    <s v="It did not develop any specific innovation"/>
    <s v="Moderate advocacy"/>
    <n v="0"/>
  </r>
  <r>
    <x v="51"/>
    <x v="0"/>
    <n v="3177"/>
    <s v="Civil Society Support Project on Right to Food"/>
    <s v="Nepal"/>
    <s v="USZ20"/>
    <s v="CARE Danmark"/>
    <s v="Government"/>
    <s v="Government - Denmark"/>
    <s v="CARE Denmark"/>
    <m/>
    <m/>
    <m/>
    <m/>
    <m/>
    <m/>
    <m/>
    <m/>
    <m/>
    <m/>
    <m/>
    <m/>
    <m/>
    <m/>
    <m/>
    <m/>
    <m/>
    <m/>
    <m/>
    <m/>
    <m/>
    <m/>
    <m/>
    <m/>
    <m/>
    <m/>
    <m/>
    <m/>
    <m/>
    <m/>
    <m/>
    <m/>
    <m/>
    <m/>
    <m/>
    <m/>
    <m/>
    <m/>
    <m/>
    <m/>
    <m/>
    <m/>
    <m/>
    <m/>
    <m/>
    <d v="2013-06-01T00:00:00"/>
    <d v="2017-12-31T00:00:00"/>
    <d v="2017-12-31T00:00:00"/>
    <s v="Humanitarian Food &amp; Nutrition Security and Resilience to Climate Change"/>
    <n v="2565127.6512788399"/>
    <s v="Thakur Prasad Chauhan"/>
    <s v="Food Security, Livelihood and Climate Change Coordinator"/>
    <s v="thakur,chauhan@care.org"/>
    <s v="Jyoti Baidya"/>
    <s v="Change Analyst and Knowledge Management Specialist"/>
    <s v="jyoti.baidya@care.org"/>
    <s v="YES"/>
    <s v="YES"/>
    <s v="YES"/>
    <s v="Project aims to support Civil Society Organizations (CSOs) to become more representative, inclusive, legitimate, accountable and effective in order to demonstrate new ways of addressing food insecurity and required policy responses through engagement with the government, which will contribute to the realization of the right to food."/>
    <s v="National"/>
    <s v="State, District, Rural Municipality, Province and Ward"/>
    <s v="The impact population are poor, vulnerable and socially excluded women. This includes smallholder farmers and landless people. Among them the ethnic groups of Dalits (Dalits used to be considered untouchable by the four fold Hindu caste system), Janajati (Indigenous Caste group) and women headed households are prioritized with it."/>
    <n v="11399"/>
    <n v="11987"/>
    <n v="23386"/>
    <n v="12768"/>
    <n v="10619"/>
    <n v="23387"/>
    <s v="Direct reach is calculated on the basis of direct activities implemented by the project in the community group and those who are receiving support, services, goods, resources or other, directly from CARE or through a partner.  Indirect Reach is calculated on the basis of those individuals who are NOT directly involved in project activities. But are still impacted in some way by the project. Such as recipients or active participants in trainings,workshop,camp meeting etc"/>
    <m/>
    <m/>
    <m/>
    <m/>
    <m/>
    <m/>
    <m/>
    <m/>
    <m/>
    <m/>
    <m/>
    <m/>
    <m/>
    <m/>
    <m/>
    <m/>
    <m/>
    <m/>
    <m/>
    <s v="YES"/>
    <n v="23386"/>
    <n v="0.48"/>
    <n v="23387"/>
    <m/>
    <m/>
    <m/>
    <m/>
    <m/>
    <m/>
    <m/>
    <m/>
    <m/>
    <m/>
    <m/>
    <m/>
    <m/>
    <m/>
    <m/>
    <m/>
    <m/>
    <m/>
    <m/>
    <m/>
    <m/>
    <m/>
    <m/>
    <m/>
    <m/>
    <m/>
    <m/>
    <m/>
    <m/>
    <m/>
    <m/>
    <m/>
    <m/>
    <m/>
    <m/>
    <m/>
    <m/>
    <n v="11399"/>
    <n v="11987"/>
    <n v="23386"/>
    <n v="12768"/>
    <n v="10619"/>
    <n v="23387"/>
    <m/>
    <m/>
    <m/>
    <m/>
    <m/>
    <m/>
    <m/>
    <m/>
    <m/>
    <m/>
    <m/>
    <m/>
    <m/>
    <m/>
    <m/>
    <m/>
    <m/>
    <m/>
    <m/>
    <m/>
    <m/>
    <m/>
    <m/>
    <m/>
    <s v="YES"/>
    <n v="23386"/>
    <n v="0.48"/>
    <n v="23387"/>
    <m/>
    <m/>
    <m/>
    <m/>
    <m/>
    <m/>
    <m/>
    <m/>
    <m/>
    <m/>
    <m/>
    <m/>
    <m/>
    <m/>
    <m/>
    <m/>
    <m/>
    <m/>
    <m/>
    <m/>
    <m/>
    <m/>
    <m/>
    <m/>
    <m/>
    <m/>
    <m/>
    <m/>
    <m/>
    <m/>
    <m/>
    <m/>
    <m/>
    <m/>
    <m/>
    <m/>
    <m/>
    <m/>
    <m/>
    <m/>
    <m/>
    <s v="YES"/>
    <s v="February"/>
    <n v="2017"/>
    <s v="YES"/>
    <s v="NO"/>
    <m/>
    <m/>
    <m/>
    <x v="2"/>
    <s v="YES"/>
    <s v="YES"/>
    <s v="YES"/>
    <s v="YES"/>
    <s v="YES"/>
    <s v="NO"/>
    <m/>
    <m/>
    <m/>
    <x v="2"/>
    <s v="i) Visual presentation of behaviour change of impact group and boundary partners  ii) Implementation of UCPVA tool for reaching among poorest of poor and marginalized group."/>
    <x v="1"/>
    <s v="i) Implementation of Outcome Mapping and upscaling it among partners and stakeholders in different levels."/>
    <x v="1"/>
    <x v="0"/>
    <s v="YES"/>
    <x v="0"/>
    <x v="0"/>
    <x v="0"/>
    <x v="0"/>
    <n v="4"/>
    <x v="2"/>
    <x v="1"/>
    <x v="1"/>
    <x v="1"/>
    <x v="1"/>
    <x v="2"/>
    <n v="4"/>
    <x v="0"/>
    <x v="0"/>
    <x v="0"/>
    <x v="0"/>
    <x v="0"/>
    <n v="0"/>
    <x v="0"/>
    <x v="2"/>
    <n v="3"/>
    <s v="Local NGO(s)/CSO(s)"/>
    <s v="Regional alliance(s)/Platform(s)/Network(s) of  NGOs/CSOs"/>
    <m/>
    <x v="0"/>
    <m/>
    <s v="In the initial phase of project, the impact group was identified as landless and small holder farmers only. But later in second phase of project PVSE group was  intoduced in project document 2017"/>
    <s v="Outcome Journal under Outcome Mapping Practice"/>
    <s v="RILTAS Tool (Dialogue Tool)"/>
    <s v="Community level learning Camp (Shikai Shibir) - Bhumi Sikai Shibir, Kisan Shibir"/>
    <s v="Regular involvement of political leaders in the identification of local issues makes it a subject of common interest. This provides strength to the campaign and the leaders actively facilitate the campaign."/>
    <s v="The communitys role in challenging and protesting against the events of Land Rights eviction was seen as most important. Continuous policy dialogs at the national level helped in punishing the guilty and provide justice to the victim in the cases of eviction.   "/>
    <m/>
    <m/>
    <m/>
    <n v="23386"/>
    <n v="23387"/>
    <n v="1.0000427606260156"/>
    <n v="0.48742837595142391"/>
    <n v="0.54594432804549531"/>
    <n v="11399"/>
    <n v="12768"/>
    <n v="1"/>
    <n v="0"/>
    <n v="0"/>
    <s v=""/>
    <n v="1"/>
    <n v="23386"/>
    <n v="23387"/>
    <n v="1.0000427606260156"/>
    <s v=""/>
    <n v="0"/>
    <n v="0"/>
    <s v=""/>
    <s v=""/>
    <n v="0"/>
    <n v="0"/>
    <s v=""/>
    <s v=""/>
    <n v="0"/>
    <n v="0"/>
    <s v=""/>
    <s v="2. Sensitive"/>
    <s v="4. Transformational"/>
    <s v="No marker score"/>
    <s v="It tested new ways for fighting poverty and measured results of innovation"/>
    <s v="Intensive advocacy"/>
    <s v="It linked and worked with strategic alliances and partners to take tested and effective solutions to scale"/>
  </r>
  <r>
    <x v="51"/>
    <x v="0"/>
    <n v="3172"/>
    <s v="DRR and Build Back Safer Schools in Nepal (Munich-SBDRR)"/>
    <s v="Nepal"/>
    <s v="CDEUNP0011"/>
    <s v="CARE Deutschland-Luxemburg"/>
    <s v="Corporation"/>
    <s v="Other"/>
    <s v="ECHO"/>
    <m/>
    <m/>
    <s v="Government"/>
    <s v="Government - Austria"/>
    <s v="Austrian Development Cooperation"/>
    <m/>
    <m/>
    <m/>
    <m/>
    <m/>
    <m/>
    <m/>
    <m/>
    <m/>
    <m/>
    <m/>
    <m/>
    <m/>
    <m/>
    <m/>
    <m/>
    <m/>
    <m/>
    <m/>
    <m/>
    <m/>
    <m/>
    <m/>
    <m/>
    <m/>
    <m/>
    <m/>
    <m/>
    <m/>
    <m/>
    <m/>
    <m/>
    <m/>
    <m/>
    <m/>
    <m/>
    <m/>
    <m/>
    <m/>
    <m/>
    <d v="2016-01-01T00:00:00"/>
    <d v="2017-12-31T00:00:00"/>
    <m/>
    <s v="Development Other"/>
    <n v="334225.14"/>
    <s v="kiriti ray"/>
    <s v="consortium program manager"/>
    <s v="Kiriti.ray@care.org"/>
    <s v="Rupendra Basnet"/>
    <s v="Project  Manager"/>
    <s v="rupendra.basnet@care.org"/>
    <s v="NO"/>
    <s v="YES"/>
    <s v="NO"/>
    <s v="To strengthen the institutionalisation of school based DRR, safe, inclusive and resilience schools post-earthquake at local and district levels."/>
    <s v="Sub-National"/>
    <s v="Makawanpur"/>
    <s v="Girls, boys, women, men,Teacher, SMC members, PTA members , Parents  and  earthquake affect 8 schools."/>
    <n v="6704"/>
    <n v="6442"/>
    <n v="13146"/>
    <n v="10114"/>
    <n v="9717"/>
    <n v="19831"/>
    <s v="Direct beneficiaries are calculate as those who are covered through project activities mainly schools and Door to Door visit of 8 schools and surrounding communities. Indirect beneficiaries- population of VDC where project is intervening and those are benfited by disaster risk managent plan formulation. It is calculated by  deducting the direct benficiaries from VDC total population."/>
    <m/>
    <m/>
    <m/>
    <m/>
    <m/>
    <m/>
    <m/>
    <m/>
    <m/>
    <m/>
    <m/>
    <m/>
    <m/>
    <m/>
    <m/>
    <m/>
    <m/>
    <m/>
    <m/>
    <m/>
    <m/>
    <m/>
    <m/>
    <m/>
    <m/>
    <m/>
    <m/>
    <m/>
    <m/>
    <m/>
    <m/>
    <m/>
    <m/>
    <m/>
    <m/>
    <m/>
    <m/>
    <m/>
    <m/>
    <m/>
    <m/>
    <m/>
    <m/>
    <m/>
    <m/>
    <m/>
    <m/>
    <m/>
    <m/>
    <m/>
    <m/>
    <m/>
    <m/>
    <m/>
    <m/>
    <m/>
    <m/>
    <m/>
    <m/>
    <m/>
    <n v="6704"/>
    <n v="6442"/>
    <n v="13146"/>
    <n v="10114"/>
    <n v="9717"/>
    <n v="19831"/>
    <m/>
    <m/>
    <m/>
    <m/>
    <m/>
    <m/>
    <m/>
    <m/>
    <m/>
    <m/>
    <m/>
    <m/>
    <s v="YES"/>
    <n v="13146"/>
    <n v="0.51"/>
    <n v="19831"/>
    <m/>
    <m/>
    <m/>
    <m/>
    <m/>
    <m/>
    <m/>
    <m/>
    <m/>
    <m/>
    <m/>
    <m/>
    <m/>
    <m/>
    <m/>
    <m/>
    <m/>
    <m/>
    <m/>
    <m/>
    <m/>
    <m/>
    <m/>
    <m/>
    <m/>
    <m/>
    <m/>
    <m/>
    <m/>
    <m/>
    <m/>
    <m/>
    <m/>
    <m/>
    <m/>
    <m/>
    <m/>
    <m/>
    <m/>
    <m/>
    <m/>
    <m/>
    <m/>
    <m/>
    <m/>
    <m/>
    <m/>
    <m/>
    <m/>
    <m/>
    <m/>
    <m/>
    <m/>
    <s v="YES"/>
    <s v="December"/>
    <n v="2016"/>
    <s v="YES"/>
    <s v="NO"/>
    <m/>
    <n v="2017"/>
    <s v="KAP survey is planned as final evaluation"/>
    <x v="1"/>
    <s v="YES"/>
    <s v="NO"/>
    <s v="YES"/>
    <s v="YES"/>
    <s v="NO"/>
    <s v="NO"/>
    <s v="YES"/>
    <m/>
    <m/>
    <x v="1"/>
    <s v="Project identified the most vulnerable groups of the community through detail vulnerability capacity assessment and set up linkages with service providers for livelihood support"/>
    <x v="0"/>
    <m/>
    <x v="0"/>
    <x v="0"/>
    <s v="YES"/>
    <x v="1"/>
    <x v="0"/>
    <x v="0"/>
    <x v="1"/>
    <n v="3"/>
    <x v="1"/>
    <x v="1"/>
    <x v="1"/>
    <x v="1"/>
    <x v="1"/>
    <x v="1"/>
    <n v="4"/>
    <x v="3"/>
    <x v="1"/>
    <x v="1"/>
    <x v="1"/>
    <x v="4"/>
    <n v="3"/>
    <x v="0"/>
    <x v="3"/>
    <n v="1"/>
    <s v="Local NGO(s)/CSO(s)"/>
    <m/>
    <m/>
    <x v="0"/>
    <s v="Capacity building of schools, SMC, PTA, Parents , surrounding community, partner staffs, local stakeholder and project staffs."/>
    <m/>
    <s v="Capacity building of schools"/>
    <s v="Establishment of skilled manpower i.e. disaster management committee, SMC, PTA , Parents"/>
    <s v="DRR and Build Back Safer Schools in Nepals"/>
    <s v="Learning: Current project focuses on reconstruction of school infrastructures. This  requires extended period of time for achieving final outcomes of the project as it requires involvement of community level multi stakeholders. Considering this the time period of the reconstruction type project should be more than 2-Years time period."/>
    <s v="Promising Practices: Construction of schools building in partnership with School Management Committee (SMC) with the involvement of community, District Education Office (DEO) and private organization has become promising practices to build ownership and utilize local resources. During the course of project implementation, in kind support from private company (BERGER GROUP) was obtain for painting a newly constructed building. This initiative shows that partnership with local business houses can leverage resource allocation and utilization."/>
    <s v="Learning: A joint effort on national level advocacy can replicate good practices into national level. Joint advocacy to develop DRR friendly School Improvement Plan (SIP), National Contingency Plan in education sector found very relevant to replicate the learnings at a very large scale (in about 35,000 schools) throughout the nation."/>
    <m/>
    <m/>
    <n v="13146"/>
    <n v="19831"/>
    <n v="1.5085197018104366"/>
    <n v="0.50996500836756431"/>
    <n v="0.51000958095910442"/>
    <n v="6704"/>
    <n v="10114"/>
    <s v=""/>
    <n v="0"/>
    <n v="0"/>
    <s v=""/>
    <n v="1"/>
    <n v="13146"/>
    <n v="19831"/>
    <n v="1.5085197018104366"/>
    <s v=""/>
    <n v="0"/>
    <n v="0"/>
    <s v=""/>
    <s v=""/>
    <n v="0"/>
    <n v="0"/>
    <s v=""/>
    <s v=""/>
    <n v="0"/>
    <n v="0"/>
    <s v=""/>
    <s v="1. Neutral"/>
    <s v="2. Accommodating"/>
    <s v="4. Transformative"/>
    <s v="It tested new ways for fighting poverty, but did not measure results of innovation"/>
    <s v="Moderate advocacy"/>
    <s v="It did not take tested solutions to scale"/>
  </r>
  <r>
    <x v="51"/>
    <x v="0"/>
    <n v="3171"/>
    <s v="Gender Based Violence and Protection"/>
    <s v="Nepal"/>
    <s v="CCANNP0007"/>
    <s v="CARE Canada"/>
    <s v="Other"/>
    <s v="Government - Canada"/>
    <s v="CARE Canada"/>
    <m/>
    <m/>
    <m/>
    <m/>
    <m/>
    <m/>
    <m/>
    <m/>
    <m/>
    <m/>
    <m/>
    <m/>
    <m/>
    <m/>
    <m/>
    <m/>
    <m/>
    <m/>
    <m/>
    <m/>
    <m/>
    <m/>
    <m/>
    <m/>
    <m/>
    <m/>
    <m/>
    <m/>
    <m/>
    <m/>
    <m/>
    <m/>
    <m/>
    <m/>
    <m/>
    <m/>
    <m/>
    <m/>
    <m/>
    <m/>
    <m/>
    <m/>
    <m/>
    <m/>
    <m/>
    <d v="2015-01-12T00:00:00"/>
    <d v="2017-11-30T00:00:00"/>
    <m/>
    <s v="Humanitarian A Life Free From Violence (GBV)"/>
    <n v="487918"/>
    <s v="Santosh Sharma"/>
    <s v="Team Leader"/>
    <s v="santosh.sharma@care.org"/>
    <s v="Rekha Shrestha"/>
    <s v="GBV and GESI Specialist"/>
    <s v="rekha.shrestha@care.org"/>
    <s v="YES"/>
    <s v="NO"/>
    <s v="NO"/>
    <s v="To support Gender Integration in WATER, Sanitation and Hygiene (WASH), Shelter, Food Security and Livelihoods (FSL) and build the techical capacity of the GBV prevention and response team"/>
    <s v="Sub-National"/>
    <s v="Sindhupalchowk, Nepal"/>
    <s v="For the gender integration work-all beneficaries of the sectors, survivors of GBV, community based redressal groups, members of women's group, adolecent girls and boys"/>
    <n v="12113"/>
    <n v="9068"/>
    <n v="21181"/>
    <m/>
    <m/>
    <m/>
    <m/>
    <m/>
    <n v="12113"/>
    <n v="9068"/>
    <n v="21181"/>
    <m/>
    <m/>
    <m/>
    <m/>
    <m/>
    <m/>
    <m/>
    <m/>
    <m/>
    <m/>
    <m/>
    <m/>
    <m/>
    <m/>
    <m/>
    <m/>
    <m/>
    <m/>
    <m/>
    <s v="YES"/>
    <n v="21161"/>
    <n v="0.57350000000000001"/>
    <m/>
    <s v="YES"/>
    <n v="70"/>
    <n v="0.51859999999999995"/>
    <m/>
    <m/>
    <m/>
    <m/>
    <m/>
    <m/>
    <m/>
    <m/>
    <m/>
    <m/>
    <m/>
    <m/>
    <m/>
    <m/>
    <m/>
    <m/>
    <m/>
    <m/>
    <m/>
    <m/>
    <m/>
    <m/>
    <m/>
    <m/>
    <m/>
    <m/>
    <m/>
    <m/>
    <m/>
    <m/>
    <m/>
    <m/>
    <m/>
    <m/>
    <m/>
    <m/>
    <m/>
    <m/>
    <m/>
    <m/>
    <m/>
    <m/>
    <m/>
    <m/>
    <m/>
    <m/>
    <m/>
    <m/>
    <m/>
    <m/>
    <m/>
    <m/>
    <m/>
    <m/>
    <m/>
    <m/>
    <m/>
    <m/>
    <m/>
    <m/>
    <m/>
    <m/>
    <m/>
    <m/>
    <m/>
    <m/>
    <m/>
    <m/>
    <m/>
    <m/>
    <m/>
    <m/>
    <m/>
    <m/>
    <m/>
    <m/>
    <m/>
    <m/>
    <m/>
    <m/>
    <m/>
    <m/>
    <m/>
    <m/>
    <m/>
    <m/>
    <m/>
    <m/>
    <m/>
    <m/>
    <m/>
    <m/>
    <m/>
    <m/>
    <m/>
    <m/>
    <m/>
    <m/>
    <m/>
    <m/>
    <m/>
    <m/>
    <m/>
    <m/>
    <m/>
    <s v="YES"/>
    <s v="August"/>
    <n v="2016"/>
    <s v="YES"/>
    <s v="YES"/>
    <s v="January"/>
    <n v="2018"/>
    <m/>
    <x v="2"/>
    <s v="NO"/>
    <m/>
    <s v="YES"/>
    <s v="YES"/>
    <s v="YES"/>
    <m/>
    <m/>
    <m/>
    <m/>
    <x v="0"/>
    <m/>
    <x v="1"/>
    <s v="This project coordinated with government stakeholders at district and VDC level, mobilized related government staff and linked them with community level stakeholder and alliances"/>
    <x v="1"/>
    <x v="0"/>
    <s v="YES"/>
    <x v="0"/>
    <x v="0"/>
    <x v="0"/>
    <x v="0"/>
    <n v="4"/>
    <x v="1"/>
    <x v="1"/>
    <x v="1"/>
    <x v="1"/>
    <x v="1"/>
    <x v="1"/>
    <n v="4"/>
    <x v="1"/>
    <x v="1"/>
    <x v="1"/>
    <x v="1"/>
    <x v="1"/>
    <n v="3"/>
    <x v="2"/>
    <x v="3"/>
    <n v="1"/>
    <s v="Local NGO(s)/CSO(s)"/>
    <m/>
    <m/>
    <x v="0"/>
    <s v="Conducted orientation and capacity building training to staff and board members of CSOs, local existing networks, user committees, women's network etc"/>
    <m/>
    <s v="Engaging men"/>
    <s v="Working closely with grassroot level existing groups to desinimant GBV message and referral cases"/>
    <s v="Gender indegration in all sectors"/>
    <s v="link GBV survivor with livelihood option"/>
    <s v="Cooridnaiton with government line agencies"/>
    <s v="Ensure gender integration"/>
    <m/>
    <s v="Project Report"/>
    <n v="21181"/>
    <n v="0"/>
    <n v="0"/>
    <n v="0.57188045890184602"/>
    <s v=""/>
    <n v="12113"/>
    <n v="0"/>
    <n v="1"/>
    <n v="21181"/>
    <n v="0"/>
    <n v="0"/>
    <s v=""/>
    <n v="0"/>
    <n v="0"/>
    <s v=""/>
    <s v=""/>
    <n v="0"/>
    <n v="0"/>
    <s v=""/>
    <n v="1"/>
    <n v="21161"/>
    <n v="0"/>
    <n v="0"/>
    <s v=""/>
    <n v="0"/>
    <n v="0"/>
    <s v=""/>
    <s v="2. Sensitive"/>
    <s v="2. Accommodating"/>
    <s v="2. Sensitive"/>
    <s v="It did not develop any specific innovation"/>
    <s v="Intensive advocacy"/>
    <s v="It linked and worked with strategic alliances and partners to take tested and effective solutions to scale"/>
  </r>
  <r>
    <x v="51"/>
    <x v="0"/>
    <n v="3178"/>
    <s v="Hariyo Ban Program"/>
    <s v="Nepal"/>
    <s v="CDNKNP0046"/>
    <s v="CARE USA"/>
    <s v="Multilateral agency"/>
    <s v="Government - US"/>
    <s v="USAID"/>
    <m/>
    <m/>
    <m/>
    <m/>
    <m/>
    <m/>
    <m/>
    <m/>
    <m/>
    <m/>
    <m/>
    <m/>
    <m/>
    <m/>
    <m/>
    <m/>
    <m/>
    <m/>
    <m/>
    <m/>
    <m/>
    <m/>
    <m/>
    <m/>
    <m/>
    <m/>
    <m/>
    <m/>
    <m/>
    <m/>
    <m/>
    <m/>
    <m/>
    <m/>
    <m/>
    <m/>
    <m/>
    <m/>
    <m/>
    <m/>
    <m/>
    <m/>
    <m/>
    <m/>
    <m/>
    <d v="2016-07-15T00:00:00"/>
    <d v="2021-07-14T00:00:00"/>
    <m/>
    <s v="Development Other"/>
    <n v="4118084.8"/>
    <s v="Dev Raj Gautam"/>
    <s v="Team Leader"/>
    <s v="dev.gautam@care.org"/>
    <m/>
    <m/>
    <m/>
    <s v="NO"/>
    <s v="YES"/>
    <s v="NO"/>
    <s v="To increase ecological and community resilience in Chitwan Annapurna Landscape and Terai Arc Landscape"/>
    <s v="Sub-National"/>
    <s v="Chitwan Annapurna Landscape andTerai Arc Landscape of Nepal"/>
    <s v="Poor, vulnerable, and socially excluded"/>
    <m/>
    <m/>
    <n v="317065"/>
    <m/>
    <m/>
    <m/>
    <s v="Direct participants of the Hariyo Ban Program refer to the people who are directly benefited from the programs by participating in different capacity building sessions, conservation, formulating and implmenting of adaptation plans. The number is calculated by adding anticipated number of beneficiaries from training of Sustainable NRM, benefited from conservation, peole trained and involved in Climate change adaptation, people using climate information and expected number of people having capacity to recover from the disasters as stated in project agreement document."/>
    <m/>
    <m/>
    <m/>
    <m/>
    <m/>
    <m/>
    <m/>
    <m/>
    <m/>
    <m/>
    <m/>
    <m/>
    <m/>
    <m/>
    <m/>
    <m/>
    <m/>
    <m/>
    <m/>
    <m/>
    <m/>
    <m/>
    <m/>
    <m/>
    <m/>
    <m/>
    <m/>
    <m/>
    <m/>
    <m/>
    <m/>
    <m/>
    <m/>
    <m/>
    <m/>
    <m/>
    <m/>
    <m/>
    <m/>
    <m/>
    <m/>
    <m/>
    <m/>
    <m/>
    <m/>
    <m/>
    <m/>
    <m/>
    <m/>
    <m/>
    <m/>
    <m/>
    <m/>
    <m/>
    <m/>
    <m/>
    <m/>
    <m/>
    <m/>
    <m/>
    <n v="2168"/>
    <n v="2136"/>
    <n v="4304"/>
    <m/>
    <m/>
    <m/>
    <s v="YES"/>
    <n v="15"/>
    <n v="0.66659999999999997"/>
    <m/>
    <s v="YES"/>
    <n v="3744"/>
    <n v="0.54549999999999998"/>
    <m/>
    <s v="NO"/>
    <m/>
    <m/>
    <m/>
    <s v="YES"/>
    <n v="664"/>
    <n v="0.61739999999999995"/>
    <m/>
    <s v="NO"/>
    <m/>
    <m/>
    <m/>
    <s v="NO"/>
    <m/>
    <m/>
    <m/>
    <s v="NO"/>
    <m/>
    <m/>
    <m/>
    <s v="NO"/>
    <m/>
    <m/>
    <m/>
    <s v="YES"/>
    <n v="58"/>
    <n v="0.41370000000000001"/>
    <m/>
    <s v="NO"/>
    <m/>
    <m/>
    <m/>
    <s v="NO"/>
    <m/>
    <m/>
    <m/>
    <s v="YES"/>
    <n v="1034"/>
    <n v="0.5"/>
    <m/>
    <s v="YES"/>
    <n v="20"/>
    <m/>
    <m/>
    <s v="NO"/>
    <m/>
    <m/>
    <m/>
    <s v="NO"/>
    <m/>
    <m/>
    <m/>
    <s v="NO"/>
    <m/>
    <m/>
    <m/>
    <s v="Social Analysis"/>
    <s v="YES"/>
    <n v="39"/>
    <m/>
    <m/>
    <s v="NO"/>
    <m/>
    <m/>
    <m/>
    <s v="NO"/>
    <m/>
    <m/>
    <m/>
    <x v="0"/>
    <m/>
    <m/>
    <m/>
    <m/>
    <m/>
    <m/>
    <m/>
    <m/>
    <m/>
    <x v="0"/>
    <m/>
    <x v="2"/>
    <m/>
    <x v="1"/>
    <x v="1"/>
    <s v="YES"/>
    <x v="0"/>
    <x v="0"/>
    <x v="1"/>
    <x v="4"/>
    <n v="3"/>
    <x v="2"/>
    <x v="1"/>
    <x v="2"/>
    <x v="1"/>
    <x v="1"/>
    <x v="5"/>
    <n v="3"/>
    <x v="3"/>
    <x v="1"/>
    <x v="1"/>
    <x v="1"/>
    <x v="4"/>
    <n v="3"/>
    <x v="3"/>
    <x v="3"/>
    <n v="3"/>
    <s v="Local NGO(s)/CSO(s)"/>
    <s v="International NGO(s)"/>
    <m/>
    <x v="1"/>
    <m/>
    <m/>
    <m/>
    <m/>
    <m/>
    <s v="Partner selection process was lengthier than anticipated which disturbed timely implementation of activities"/>
    <m/>
    <m/>
    <m/>
    <m/>
    <n v="4304"/>
    <n v="0"/>
    <n v="0"/>
    <n v="0.50371747211895912"/>
    <s v=""/>
    <n v="2168"/>
    <n v="0"/>
    <s v=""/>
    <n v="0"/>
    <n v="0"/>
    <s v=""/>
    <n v="1"/>
    <n v="3744"/>
    <n v="0"/>
    <n v="0"/>
    <s v=""/>
    <n v="0"/>
    <n v="0"/>
    <s v=""/>
    <s v=""/>
    <n v="0"/>
    <n v="0"/>
    <s v=""/>
    <s v=""/>
    <n v="0"/>
    <n v="0"/>
    <s v=""/>
    <s v="3. Responsive"/>
    <s v="3. Responsive"/>
    <s v="4. Transformative"/>
    <s v="It did not develop any specific innovation"/>
    <s v="Little or no advocacy"/>
    <n v="0"/>
  </r>
  <r>
    <x v="51"/>
    <x v="0"/>
    <n v="3194"/>
    <s v="Hausala PCTFI-Cohort 3"/>
    <s v="nepal"/>
    <s v="PCTFI-Cohort 3"/>
    <s v="CARE USA"/>
    <s v="Individual supporter"/>
    <s v="Other"/>
    <s v="Patsy Collins Trust Fund Initiative (PCTFI)"/>
    <m/>
    <m/>
    <m/>
    <m/>
    <m/>
    <m/>
    <m/>
    <m/>
    <m/>
    <m/>
    <m/>
    <m/>
    <m/>
    <m/>
    <m/>
    <m/>
    <m/>
    <m/>
    <m/>
    <m/>
    <m/>
    <m/>
    <m/>
    <m/>
    <m/>
    <m/>
    <m/>
    <m/>
    <m/>
    <m/>
    <m/>
    <m/>
    <m/>
    <m/>
    <m/>
    <m/>
    <m/>
    <m/>
    <m/>
    <m/>
    <m/>
    <m/>
    <m/>
    <m/>
    <m/>
    <d v="2015-07-01T00:00:00"/>
    <d v="2020-06-30T00:00:00"/>
    <m/>
    <s v="Development Other"/>
    <n v="1497415.69"/>
    <s v="Urmila Simkhada"/>
    <s v="Program Coordinator"/>
    <s v="urmila.simkhada@care.org"/>
    <m/>
    <m/>
    <m/>
    <s v="NO"/>
    <s v="YES"/>
    <s v="NO"/>
    <s v="Adolescent girls have better life opportunities"/>
    <s v="Sub-National"/>
    <s v="Rupandehi and Kapilvastu (Nepal)"/>
    <s v="Adolescent girls and marginalised women"/>
    <n v="15000"/>
    <n v="2500"/>
    <n v="17500"/>
    <n v="30000"/>
    <n v="5000"/>
    <n v="35000"/>
    <s v="Direct participants are out of school adolescent girls who are provided educational opportunities by the Project. Also another direct participants are adolescent girls who are into the girl collectives formed by Proejct for intevention acitvties on life skills, adolescent sexual reproductive health and economic empowerment. Also another group of direct participants are Parents groups of those adolescent girls who are provided economic empowerment opportunities and SRMH orientation, and also the direct participants are people who have participated in trianings and orientations supported by the Project. Indirect participants are spouses of parents groups who are not in the collectives, siblings of the adolescent gilrs who are not in the collectives,"/>
    <m/>
    <m/>
    <m/>
    <m/>
    <m/>
    <m/>
    <m/>
    <m/>
    <m/>
    <m/>
    <m/>
    <m/>
    <m/>
    <m/>
    <m/>
    <m/>
    <m/>
    <m/>
    <m/>
    <m/>
    <m/>
    <m/>
    <m/>
    <m/>
    <m/>
    <m/>
    <m/>
    <m/>
    <m/>
    <m/>
    <m/>
    <m/>
    <m/>
    <m/>
    <m/>
    <m/>
    <m/>
    <m/>
    <m/>
    <m/>
    <m/>
    <m/>
    <m/>
    <m/>
    <m/>
    <m/>
    <m/>
    <m/>
    <m/>
    <m/>
    <m/>
    <m/>
    <m/>
    <m/>
    <m/>
    <m/>
    <m/>
    <m/>
    <m/>
    <m/>
    <n v="2837"/>
    <m/>
    <n v="2837"/>
    <n v="1750"/>
    <n v="1750"/>
    <n v="3500"/>
    <m/>
    <m/>
    <m/>
    <m/>
    <m/>
    <m/>
    <m/>
    <m/>
    <m/>
    <m/>
    <m/>
    <m/>
    <m/>
    <m/>
    <m/>
    <m/>
    <m/>
    <m/>
    <m/>
    <m/>
    <s v="YES"/>
    <n v="456"/>
    <n v="1"/>
    <n v="900"/>
    <m/>
    <m/>
    <m/>
    <m/>
    <m/>
    <m/>
    <m/>
    <m/>
    <m/>
    <m/>
    <m/>
    <m/>
    <m/>
    <m/>
    <m/>
    <m/>
    <m/>
    <m/>
    <m/>
    <m/>
    <m/>
    <m/>
    <m/>
    <m/>
    <m/>
    <m/>
    <m/>
    <m/>
    <s v="YES"/>
    <n v="1109"/>
    <n v="1"/>
    <n v="1100"/>
    <m/>
    <m/>
    <m/>
    <m/>
    <m/>
    <m/>
    <m/>
    <m/>
    <m/>
    <s v="YES"/>
    <n v="1272"/>
    <m/>
    <n v="1500"/>
    <s v="YES"/>
    <s v="December"/>
    <n v="2016"/>
    <s v="YES"/>
    <s v="NO"/>
    <m/>
    <m/>
    <m/>
    <x v="0"/>
    <s v="NO"/>
    <s v="NO"/>
    <s v="YES"/>
    <s v="YES"/>
    <s v="YES"/>
    <s v="NO"/>
    <s v="NO"/>
    <s v="NO"/>
    <m/>
    <x v="0"/>
    <m/>
    <x v="0"/>
    <m/>
    <x v="1"/>
    <x v="1"/>
    <s v="YES"/>
    <x v="0"/>
    <x v="0"/>
    <x v="0"/>
    <x v="2"/>
    <n v="4"/>
    <x v="2"/>
    <x v="1"/>
    <x v="1"/>
    <x v="1"/>
    <x v="1"/>
    <x v="2"/>
    <n v="4"/>
    <x v="3"/>
    <x v="1"/>
    <x v="1"/>
    <x v="1"/>
    <x v="4"/>
    <n v="3"/>
    <x v="2"/>
    <x v="2"/>
    <n v="2"/>
    <s v="Local NGO(s)/CSO(s)"/>
    <m/>
    <m/>
    <x v="1"/>
    <m/>
    <m/>
    <m/>
    <m/>
    <m/>
    <s v="While establishing Alternative learning centers in Schools Vs rented houses, Schools seemed to have better learning environment as well as infrasttructure. Whereas rented houses lacked infrastrcutre like toilets, spacious and ventilated classrooms, playgound and disturbance from local kids"/>
    <s v="Budget for establishing learning centers in school vs rented houses will not work because in Schools infrastructure is already good and minimum maintainence is required whereas in rented houses, renovations as per our requirement has to be done which includes WASH facilities for meeting the needs of adolescet girls (menstrual higine management)."/>
    <s v="Agriculural seasonal calender will have massive impact on the attendance of students. At peak agricultural time like paddy planting, massive absenteeism should be expected for few weeks. Project is exploring possibilities of different options to address the absenteeism in consultation with parents, girls and teachers."/>
    <m/>
    <s v="Baseline survey report, log frame and project proposal"/>
    <n v="2837"/>
    <n v="3500"/>
    <n v="1.2336975678533662"/>
    <n v="1"/>
    <n v="0.5"/>
    <n v="2837"/>
    <n v="1750"/>
    <s v=""/>
    <n v="0"/>
    <n v="0"/>
    <s v=""/>
    <s v=""/>
    <n v="0"/>
    <n v="0"/>
    <s v=""/>
    <n v="1"/>
    <n v="1109"/>
    <n v="1100"/>
    <n v="0.99188458070333629"/>
    <s v=""/>
    <n v="0"/>
    <n v="0"/>
    <s v=""/>
    <s v=""/>
    <n v="0"/>
    <n v="0"/>
    <s v=""/>
    <s v="4. Transformative"/>
    <s v="4. Transformational"/>
    <s v="4. Transformative"/>
    <s v="It did not develop any specific innovation"/>
    <s v="Little or no advocacy"/>
    <s v="It did not take tested solutions to scale"/>
  </r>
  <r>
    <x v="51"/>
    <x v="0"/>
    <n v="3202"/>
    <s v="ICDF"/>
    <s v="Nepal"/>
    <s v="ICDFNP003"/>
    <s v="No CARE member related to the project/initiative"/>
    <s v="Government"/>
    <s v="Other"/>
    <s v="Taiwan International cooperation and development fund"/>
    <m/>
    <m/>
    <m/>
    <m/>
    <m/>
    <m/>
    <m/>
    <m/>
    <m/>
    <m/>
    <m/>
    <m/>
    <m/>
    <m/>
    <m/>
    <m/>
    <m/>
    <m/>
    <m/>
    <m/>
    <m/>
    <m/>
    <m/>
    <m/>
    <m/>
    <m/>
    <m/>
    <m/>
    <m/>
    <m/>
    <m/>
    <m/>
    <m/>
    <m/>
    <m/>
    <m/>
    <m/>
    <m/>
    <m/>
    <m/>
    <m/>
    <m/>
    <m/>
    <m/>
    <m/>
    <d v="2016-12-01T00:00:00"/>
    <d v="2017-11-30T00:00:00"/>
    <m/>
    <s v="Humanitarian Food &amp; Nutrition Security and Resilience to Climate Change"/>
    <n v="500000"/>
    <s v="Santosh Sharma"/>
    <s v="Earthquake Response and Recovery Team leader"/>
    <s v="santosh.sharma@care.org"/>
    <s v="Jib Nath Sharma"/>
    <s v="Food Security and Livelihood Manager"/>
    <s v="jib.sharma@care.org"/>
    <s v="YES"/>
    <s v="NO"/>
    <s v="NO"/>
    <s v="To Enhance Food security and Livelihoods of the earthquake affected people particularly women, poor, marginalized and socially excluded."/>
    <s v="Sub-National"/>
    <s v="6 VDCs of Gorkha district"/>
    <s v="Earthquake affected landless and  small holder farmers  ( women in particular)"/>
    <n v="5148"/>
    <n v="4212"/>
    <n v="9360"/>
    <m/>
    <m/>
    <m/>
    <m/>
    <m/>
    <n v="3742"/>
    <n v="3989"/>
    <n v="7731"/>
    <m/>
    <m/>
    <m/>
    <m/>
    <m/>
    <m/>
    <m/>
    <m/>
    <m/>
    <m/>
    <m/>
    <m/>
    <m/>
    <m/>
    <m/>
    <s v="NO"/>
    <m/>
    <m/>
    <m/>
    <m/>
    <m/>
    <m/>
    <m/>
    <m/>
    <m/>
    <m/>
    <m/>
    <m/>
    <m/>
    <m/>
    <m/>
    <s v="Yes"/>
    <n v="7731"/>
    <n v="0.48402535247703998"/>
    <m/>
    <m/>
    <m/>
    <m/>
    <m/>
    <m/>
    <m/>
    <m/>
    <m/>
    <m/>
    <m/>
    <m/>
    <m/>
    <m/>
    <m/>
    <m/>
    <m/>
    <m/>
    <m/>
    <m/>
    <m/>
    <m/>
    <m/>
    <m/>
    <m/>
    <m/>
    <m/>
    <m/>
    <s v="NO"/>
    <m/>
    <m/>
    <m/>
    <m/>
    <m/>
    <m/>
    <m/>
    <m/>
    <m/>
    <m/>
    <m/>
    <m/>
    <m/>
    <m/>
    <m/>
    <m/>
    <m/>
    <m/>
    <m/>
    <m/>
    <m/>
    <m/>
    <m/>
    <s v="NO"/>
    <m/>
    <m/>
    <m/>
    <m/>
    <m/>
    <m/>
    <m/>
    <m/>
    <m/>
    <m/>
    <m/>
    <m/>
    <m/>
    <m/>
    <m/>
    <m/>
    <m/>
    <m/>
    <m/>
    <m/>
    <m/>
    <m/>
    <m/>
    <m/>
    <m/>
    <m/>
    <m/>
    <m/>
    <m/>
    <m/>
    <m/>
    <m/>
    <m/>
    <m/>
    <m/>
    <m/>
    <m/>
    <m/>
    <m/>
    <m/>
    <m/>
    <m/>
    <m/>
    <m/>
    <m/>
    <m/>
    <m/>
    <m/>
    <s v="YES"/>
    <s v="December"/>
    <n v="2017"/>
    <m/>
    <x v="0"/>
    <m/>
    <m/>
    <m/>
    <m/>
    <m/>
    <m/>
    <m/>
    <m/>
    <m/>
    <x v="1"/>
    <s v="Collection center constructed and use for agricultural marketing, cooperative initiation  for input supply and output marketing"/>
    <x v="1"/>
    <s v="Partner scale out good practices in their other project, Cooperative and group become able to seek solution wihtin systm,  Cooperative provides service even outside the targeted household"/>
    <x v="1"/>
    <x v="0"/>
    <s v="YES"/>
    <x v="0"/>
    <x v="0"/>
    <x v="0"/>
    <x v="0"/>
    <n v="4"/>
    <x v="1"/>
    <x v="1"/>
    <x v="1"/>
    <x v="1"/>
    <x v="1"/>
    <x v="1"/>
    <n v="4"/>
    <x v="1"/>
    <x v="1"/>
    <x v="1"/>
    <x v="1"/>
    <x v="1"/>
    <n v="3"/>
    <x v="3"/>
    <x v="2"/>
    <n v="1"/>
    <s v="Local NGO(s)/CSO(s)"/>
    <m/>
    <m/>
    <x v="2"/>
    <s v="Capacity enhancement of cooperatives in planning and implementation for the favor of peasant"/>
    <m/>
    <s v="Business plan preparation for off farm enterprise and Livelihood improvement plan preparation for on farm base livelihood development  proved effective tool for identifying context base substantive livelihood option"/>
    <s v="Cooperative mobilization in market linkage and other input supply related service delivery proved effective in rural area"/>
    <m/>
    <m/>
    <m/>
    <m/>
    <m/>
    <s v="Logframe, quaterly report, M&amp;E system"/>
    <n v="7731"/>
    <n v="0"/>
    <n v="0"/>
    <n v="0.48402535247704048"/>
    <s v=""/>
    <n v="3742"/>
    <n v="0"/>
    <n v="1"/>
    <n v="7731"/>
    <n v="0"/>
    <n v="0"/>
    <n v="1"/>
    <n v="7731"/>
    <n v="0"/>
    <n v="0"/>
    <s v=""/>
    <n v="0"/>
    <n v="0"/>
    <s v=""/>
    <s v=""/>
    <n v="0"/>
    <n v="0"/>
    <s v=""/>
    <s v=""/>
    <n v="0"/>
    <n v="0"/>
    <s v=""/>
    <s v="2. Sensitive"/>
    <s v="2. Accommodating"/>
    <s v="2. Sensitive"/>
    <s v="It tested new ways for fighting poverty, but did not measure results of innovation"/>
    <s v="Little or no advocacy"/>
    <s v="It linked and worked with strategic alliances and partners to take tested and effective solutions to scale"/>
  </r>
  <r>
    <x v="51"/>
    <x v="0"/>
    <m/>
    <s v="Integrated Gender GBV and Shelter Response"/>
    <s v="Nepal"/>
    <s v="CDEUNP0018"/>
    <s v="CARE Deutschland-Luxemburg"/>
    <s v="Other"/>
    <s v="Other"/>
    <s v="Aktion Deutschland Hilft (ADH)"/>
    <m/>
    <m/>
    <m/>
    <m/>
    <m/>
    <m/>
    <m/>
    <m/>
    <m/>
    <m/>
    <m/>
    <m/>
    <m/>
    <m/>
    <m/>
    <m/>
    <m/>
    <m/>
    <m/>
    <m/>
    <m/>
    <m/>
    <m/>
    <m/>
    <m/>
    <m/>
    <m/>
    <m/>
    <m/>
    <m/>
    <m/>
    <m/>
    <m/>
    <m/>
    <m/>
    <m/>
    <m/>
    <m/>
    <m/>
    <m/>
    <m/>
    <m/>
    <m/>
    <m/>
    <m/>
    <d v="2016-05-01T00:00:00"/>
    <d v="2017-12-31T00:00:00"/>
    <m/>
    <s v="Humanitarian Other"/>
    <n v="628775"/>
    <s v="Santosh Sharma"/>
    <s v="Team Leader- ERP"/>
    <s v="santosh.sharma@care.org"/>
    <m/>
    <m/>
    <m/>
    <s v="YES"/>
    <s v="NO"/>
    <s v="NO"/>
    <s v="To reduce GBV in targeted area and enable women/ girls to live a dignified life by establishing/strengthening immediate and long term mechanisms against GBV; and To increase the number of newly built or rebuilt houses that incorporate Building Back Safer (BBS) methods in (re)construction as well as to support in broader community DRR processes"/>
    <s v="Sub-National"/>
    <s v="6 VDc s of Dhanding (Salyantar, Mulpani, Budhathum, Phulkharka, Aginchowk and Baseri)"/>
    <s v="Earthquake effected poulation of program VDCs"/>
    <n v="1755"/>
    <n v="1025"/>
    <n v="2780"/>
    <m/>
    <m/>
    <m/>
    <m/>
    <m/>
    <n v="7956"/>
    <n v="7708"/>
    <n v="15664"/>
    <m/>
    <m/>
    <m/>
    <m/>
    <m/>
    <m/>
    <m/>
    <m/>
    <m/>
    <m/>
    <m/>
    <m/>
    <m/>
    <m/>
    <m/>
    <m/>
    <m/>
    <m/>
    <m/>
    <s v="YES"/>
    <n v="1342"/>
    <n v="0.84"/>
    <m/>
    <m/>
    <m/>
    <m/>
    <m/>
    <m/>
    <m/>
    <m/>
    <m/>
    <m/>
    <m/>
    <m/>
    <m/>
    <m/>
    <m/>
    <m/>
    <m/>
    <m/>
    <m/>
    <m/>
    <m/>
    <s v="YES"/>
    <n v="15140"/>
    <n v="0.49"/>
    <m/>
    <m/>
    <m/>
    <m/>
    <m/>
    <m/>
    <m/>
    <m/>
    <m/>
    <m/>
    <m/>
    <m/>
    <m/>
    <m/>
    <m/>
    <m/>
    <m/>
    <m/>
    <m/>
    <m/>
    <m/>
    <m/>
    <m/>
    <m/>
    <m/>
    <m/>
    <m/>
    <m/>
    <m/>
    <m/>
    <m/>
    <m/>
    <m/>
    <m/>
    <m/>
    <m/>
    <m/>
    <m/>
    <m/>
    <m/>
    <m/>
    <m/>
    <m/>
    <m/>
    <m/>
    <m/>
    <m/>
    <m/>
    <m/>
    <m/>
    <m/>
    <m/>
    <m/>
    <m/>
    <m/>
    <m/>
    <m/>
    <m/>
    <m/>
    <m/>
    <m/>
    <m/>
    <m/>
    <m/>
    <m/>
    <m/>
    <m/>
    <m/>
    <m/>
    <m/>
    <m/>
    <m/>
    <m/>
    <m/>
    <m/>
    <m/>
    <m/>
    <m/>
    <m/>
    <m/>
    <m/>
    <m/>
    <m/>
    <m/>
    <m/>
    <s v="YES"/>
    <s v="September"/>
    <n v="2016"/>
    <m/>
    <s v="YES"/>
    <s v="December"/>
    <n v="2017"/>
    <m/>
    <x v="1"/>
    <s v="NO"/>
    <s v="YES"/>
    <s v="YES"/>
    <s v="YES"/>
    <s v="YES"/>
    <s v="NO"/>
    <s v="NO"/>
    <m/>
    <m/>
    <x v="1"/>
    <s v="Involevemt  of women in Masons training and provided grant for interprenureship for GBV survivor"/>
    <x v="0"/>
    <m/>
    <x v="2"/>
    <x v="0"/>
    <s v="YES"/>
    <x v="0"/>
    <x v="0"/>
    <x v="0"/>
    <x v="0"/>
    <n v="4"/>
    <x v="1"/>
    <x v="2"/>
    <x v="1"/>
    <x v="1"/>
    <x v="1"/>
    <x v="1"/>
    <n v="3"/>
    <x v="1"/>
    <x v="1"/>
    <x v="1"/>
    <x v="1"/>
    <x v="1"/>
    <n v="3"/>
    <x v="0"/>
    <x v="2"/>
    <n v="2"/>
    <s v="Local NGO(s)/CSO(s)"/>
    <s v="Local government(s)"/>
    <s v="Media or journalist network(s)"/>
    <x v="2"/>
    <s v="CSOs are involved in SOP dissimination and implementation and LDRMP preparation process."/>
    <s v="Originally, shelter component of the project, result 4 and 5, were planned from May 2016 through November 2016. However, due to challenges posed by monsoon and difficult geographical terrain, project activities were delayed. Therefore, CARE Nepal asked for approval from the CMP to extend the shelter component until December 2016 and obtained approval for CMP. In order to utilize some foreseeable savings, CARE Nepal proposed to construct model houses in Baseri and Aginchowk VDC as CARE Nepal were unable to construct model houses in these VDCs. As per the approval from the CMP, the shelter component got extended in May 2017."/>
    <s v="UCPVA"/>
    <s v="Engaging Men"/>
    <s v="Public Audit"/>
    <s v="Despite CARE Nepals continuous attempts to involve more women in construction process, womens participation in mason training is significantly low. Experience prior construction is a prerequisite to participate in the training. Thus, there were few women participants than expected. This fact reassured that construction is traditionally a male dominated area where CARE Nepal should work to develop more women human resource in construction  field."/>
    <s v="It is not easy to mitigate gender based violence, in a society where legal and cultural systems are less conducive towards their protection. Gender Based Violence is not an issue that is easy to tackle. Along with Government of Nepal, CARE Nepal and other humanitarian aid organizations are working to raise awareness on gender based violence, its prevalence, and how to mitigate them in disaster stricken areas."/>
    <s v="Sensitizing men on the rights of women and legal implications of perpetrating gender based violence will gradually lead to changes in household level.Further, such changes will contribute in mitigating gender based violence in the long run."/>
    <m/>
    <m/>
    <n v="15664"/>
    <n v="0"/>
    <n v="0"/>
    <n v="0.50791624106230848"/>
    <s v=""/>
    <n v="7956"/>
    <n v="0"/>
    <n v="1"/>
    <n v="15664"/>
    <n v="0"/>
    <n v="0"/>
    <s v=""/>
    <n v="0"/>
    <n v="0"/>
    <s v=""/>
    <s v=""/>
    <n v="0"/>
    <n v="0"/>
    <s v=""/>
    <n v="1"/>
    <n v="1342"/>
    <n v="0"/>
    <n v="0"/>
    <s v=""/>
    <n v="0"/>
    <n v="0"/>
    <s v=""/>
    <s v="2. Sensitive"/>
    <s v="2. Accommodating"/>
    <s v="2. Sensitive"/>
    <s v="It tested new ways for fighting poverty, but did not measure results of innovation"/>
    <s v="Moderate advocacy"/>
    <s v="It did not take tested solutions to scale"/>
  </r>
  <r>
    <x v="51"/>
    <x v="0"/>
    <m/>
    <s v="Integrated Platform for Gender Based Violence Prevention and Response"/>
    <s v="Nepal"/>
    <s v="US1P6"/>
    <s v="CARE USA"/>
    <s v="Multilateral agency"/>
    <s v="The World Bank"/>
    <s v="The World Bank"/>
    <m/>
    <m/>
    <m/>
    <m/>
    <m/>
    <m/>
    <m/>
    <m/>
    <m/>
    <m/>
    <m/>
    <m/>
    <m/>
    <m/>
    <m/>
    <m/>
    <m/>
    <m/>
    <m/>
    <m/>
    <m/>
    <m/>
    <m/>
    <m/>
    <m/>
    <m/>
    <m/>
    <m/>
    <m/>
    <m/>
    <m/>
    <m/>
    <m/>
    <m/>
    <m/>
    <m/>
    <m/>
    <m/>
    <m/>
    <m/>
    <m/>
    <m/>
    <m/>
    <m/>
    <m/>
    <d v="2016-04-01T00:00:00"/>
    <d v="2018-12-30T00:00:00"/>
    <m/>
    <s v="Development A Life Free From Violence (GBV)"/>
    <n v="500000"/>
    <s v="Bisika Thapa"/>
    <s v="Program Coordinator- PREVENT"/>
    <s v="bisika.thapa@care.org"/>
    <s v="Pushpa Mukhiya Sunuwar"/>
    <s v="MEL Specialist- PREVENT"/>
    <s v="pushpa.sunuwar@care.org"/>
    <s v="NO"/>
    <s v="YES"/>
    <s v="NO"/>
    <s v="Improved response to Gender Based Violence in Nepal by improving the quality and reach of services for GBV survivors through a helpline,  promoting greater awareness among key stakeholders and  strengthening  the capacity of National Women Commission."/>
    <s v="National"/>
    <s v="State-3, Kathmandu, Bhaktapur, Lallitpur, Nuwakot."/>
    <s v="People from poor, vulnerable and socially excluded communities, particularly women and girls"/>
    <m/>
    <m/>
    <m/>
    <m/>
    <m/>
    <m/>
    <s v="As project is in initial phase, direct and indirect participants are not projected yet. It will be done following the baseline which is due in September"/>
    <m/>
    <m/>
    <m/>
    <m/>
    <m/>
    <m/>
    <m/>
    <m/>
    <m/>
    <m/>
    <m/>
    <m/>
    <m/>
    <m/>
    <m/>
    <m/>
    <m/>
    <m/>
    <m/>
    <m/>
    <m/>
    <m/>
    <m/>
    <m/>
    <m/>
    <m/>
    <m/>
    <m/>
    <m/>
    <m/>
    <m/>
    <m/>
    <m/>
    <m/>
    <m/>
    <m/>
    <m/>
    <m/>
    <m/>
    <m/>
    <m/>
    <m/>
    <m/>
    <m/>
    <m/>
    <m/>
    <m/>
    <m/>
    <m/>
    <m/>
    <m/>
    <m/>
    <m/>
    <m/>
    <m/>
    <m/>
    <m/>
    <m/>
    <m/>
    <m/>
    <m/>
    <m/>
    <m/>
    <m/>
    <m/>
    <m/>
    <m/>
    <m/>
    <m/>
    <m/>
    <m/>
    <m/>
    <m/>
    <m/>
    <m/>
    <m/>
    <m/>
    <m/>
    <m/>
    <m/>
    <m/>
    <m/>
    <m/>
    <m/>
    <m/>
    <m/>
    <m/>
    <m/>
    <m/>
    <m/>
    <m/>
    <m/>
    <m/>
    <m/>
    <m/>
    <m/>
    <m/>
    <m/>
    <m/>
    <m/>
    <m/>
    <m/>
    <m/>
    <m/>
    <m/>
    <m/>
    <m/>
    <m/>
    <m/>
    <m/>
    <m/>
    <m/>
    <m/>
    <m/>
    <m/>
    <m/>
    <m/>
    <m/>
    <m/>
    <m/>
    <m/>
    <m/>
    <m/>
    <m/>
    <m/>
    <m/>
    <m/>
    <m/>
    <m/>
    <m/>
    <m/>
    <m/>
    <m/>
    <m/>
    <m/>
    <s v="NO"/>
    <m/>
    <m/>
    <m/>
    <s v="YES"/>
    <s v="September"/>
    <n v="2017"/>
    <s v="Technical support on identifying appropriate methodologies to conduct Social Norms Diagnostics in the project sites."/>
    <x v="0"/>
    <s v="NO"/>
    <s v="NO"/>
    <s v="NO"/>
    <s v="NO"/>
    <s v="NO"/>
    <s v="NO"/>
    <s v="NO"/>
    <m/>
    <m/>
    <x v="0"/>
    <m/>
    <x v="0"/>
    <m/>
    <x v="2"/>
    <x v="1"/>
    <s v="YES"/>
    <x v="1"/>
    <x v="0"/>
    <x v="0"/>
    <x v="4"/>
    <n v="3"/>
    <x v="1"/>
    <x v="1"/>
    <x v="2"/>
    <x v="1"/>
    <x v="1"/>
    <x v="1"/>
    <n v="3"/>
    <x v="2"/>
    <x v="2"/>
    <x v="2"/>
    <x v="2"/>
    <x v="2"/>
    <n v="0"/>
    <x v="2"/>
    <x v="0"/>
    <n v="1"/>
    <s v="National government"/>
    <m/>
    <m/>
    <x v="1"/>
    <m/>
    <m/>
    <m/>
    <m/>
    <m/>
    <s v="Being a technical partner, CARE's vital role in the project is providing tenchincal support in the areas of M&amp;E and communication/outreach in order to enhance the capacity of National Women Commission. Due to the government's prolonged administrative process and high turn over in lead role, project activities were remarkably delayed."/>
    <s v="Consistent persuasion on the need to target areas finally got the process moving which will now allow CARE to roll out its prevention activities - a component that CARE is responsible to deliver."/>
    <m/>
    <s v="Project is in its initial phase so there were no activities conducted in this FY. Activities will be geared up following the baseline and social norms diagnostics."/>
    <m/>
    <n v="0"/>
    <n v="0"/>
    <s v=""/>
    <s v=""/>
    <s v=""/>
    <n v="0"/>
    <n v="0"/>
    <s v=""/>
    <n v="0"/>
    <n v="0"/>
    <s v=""/>
    <s v=""/>
    <n v="0"/>
    <n v="0"/>
    <s v=""/>
    <s v=""/>
    <n v="0"/>
    <n v="0"/>
    <s v=""/>
    <s v=""/>
    <n v="0"/>
    <n v="0"/>
    <s v=""/>
    <s v=""/>
    <n v="0"/>
    <n v="0"/>
    <s v=""/>
    <s v="3. Responsive"/>
    <s v="2. Accommodating"/>
    <s v="0. Harmful"/>
    <s v="It did not develop any specific innovation"/>
    <s v="Little or no advocacy"/>
    <s v="It did not take tested solutions to scale"/>
  </r>
  <r>
    <x v="51"/>
    <x v="0"/>
    <m/>
    <s v="Maitri PCTFI-Cohort 3"/>
    <s v="Nepal"/>
    <s v="PCTFI-Cohort 3"/>
    <s v="CARE USA"/>
    <s v="Individual supporter"/>
    <s v="Other"/>
    <s v="Patsy Collins Trust Fund Initiative (PCTFI)"/>
    <m/>
    <m/>
    <m/>
    <m/>
    <m/>
    <m/>
    <m/>
    <m/>
    <m/>
    <m/>
    <m/>
    <m/>
    <m/>
    <m/>
    <m/>
    <m/>
    <m/>
    <m/>
    <m/>
    <m/>
    <m/>
    <m/>
    <m/>
    <m/>
    <m/>
    <m/>
    <m/>
    <m/>
    <m/>
    <m/>
    <m/>
    <m/>
    <m/>
    <m/>
    <m/>
    <m/>
    <m/>
    <m/>
    <m/>
    <m/>
    <m/>
    <m/>
    <m/>
    <m/>
    <m/>
    <d v="2016-08-01T00:00:00"/>
    <d v="2018-06-30T00:00:00"/>
    <m/>
    <s v="Development Other"/>
    <n v="300000"/>
    <s v="Urmila Simkhada"/>
    <s v="Program Coordinator"/>
    <s v="urmila.simkhada@care.org"/>
    <m/>
    <m/>
    <m/>
    <s v="NO"/>
    <s v="YES"/>
    <s v="NO"/>
    <s v="Dalit girls in selected regions of India and Nepal have access to safe and secure education that enables them to develop necessary skills for improved life opportunities"/>
    <s v="Regional"/>
    <s v="Rupandehi and Kapilvastu (Nepal)"/>
    <s v="Adolescent dalit and marginalised girls"/>
    <n v="9100"/>
    <m/>
    <n v="9100"/>
    <n v="30000"/>
    <n v="5000"/>
    <n v="35000"/>
    <s v="Direct participants  who are into the girl collectives formed by Proejct for intevention acitvties on safety &amp; security, life skills and adolescent sexual reproductive health Also another group of direct participants are Parents groups of those adolescent girls and also people who are oriented and consulted on safety and security. Indirect participants are spouses of parents groups who are not in the collectives, siblings of the adolescent gilrs who are not in the collectives"/>
    <m/>
    <m/>
    <m/>
    <m/>
    <m/>
    <m/>
    <m/>
    <m/>
    <m/>
    <m/>
    <m/>
    <m/>
    <m/>
    <m/>
    <m/>
    <m/>
    <m/>
    <m/>
    <m/>
    <m/>
    <m/>
    <m/>
    <m/>
    <m/>
    <m/>
    <m/>
    <m/>
    <m/>
    <m/>
    <m/>
    <m/>
    <m/>
    <m/>
    <m/>
    <m/>
    <m/>
    <m/>
    <m/>
    <m/>
    <m/>
    <m/>
    <m/>
    <m/>
    <m/>
    <m/>
    <m/>
    <m/>
    <m/>
    <m/>
    <m/>
    <m/>
    <m/>
    <m/>
    <m/>
    <m/>
    <m/>
    <m/>
    <m/>
    <m/>
    <m/>
    <n v="700"/>
    <m/>
    <n v="700"/>
    <n v="1000"/>
    <n v="500"/>
    <n v="1500"/>
    <m/>
    <m/>
    <m/>
    <m/>
    <m/>
    <m/>
    <m/>
    <m/>
    <m/>
    <m/>
    <m/>
    <m/>
    <m/>
    <m/>
    <m/>
    <m/>
    <m/>
    <m/>
    <m/>
    <m/>
    <m/>
    <m/>
    <m/>
    <m/>
    <m/>
    <m/>
    <m/>
    <m/>
    <m/>
    <m/>
    <m/>
    <m/>
    <s v="YES"/>
    <n v="600"/>
    <m/>
    <m/>
    <m/>
    <m/>
    <m/>
    <m/>
    <m/>
    <m/>
    <m/>
    <m/>
    <m/>
    <m/>
    <m/>
    <m/>
    <m/>
    <m/>
    <m/>
    <m/>
    <m/>
    <m/>
    <m/>
    <m/>
    <m/>
    <m/>
    <m/>
    <m/>
    <m/>
    <m/>
    <m/>
    <m/>
    <s v="Safety and security"/>
    <s v="YES"/>
    <n v="700"/>
    <m/>
    <m/>
    <s v="NO"/>
    <m/>
    <n v="2016"/>
    <s v="NO"/>
    <s v="NO"/>
    <m/>
    <m/>
    <m/>
    <x v="2"/>
    <s v="NO"/>
    <s v="NO"/>
    <s v="YES"/>
    <s v="YES"/>
    <s v="YES"/>
    <s v="YES"/>
    <s v="NO"/>
    <s v="NO"/>
    <m/>
    <x v="0"/>
    <m/>
    <x v="2"/>
    <m/>
    <x v="0"/>
    <x v="1"/>
    <s v="YES"/>
    <x v="0"/>
    <x v="0"/>
    <x v="0"/>
    <x v="2"/>
    <n v="4"/>
    <x v="2"/>
    <x v="1"/>
    <x v="1"/>
    <x v="1"/>
    <x v="1"/>
    <x v="2"/>
    <n v="4"/>
    <x v="1"/>
    <x v="1"/>
    <x v="1"/>
    <x v="1"/>
    <x v="1"/>
    <n v="3"/>
    <x v="2"/>
    <x v="2"/>
    <n v="2"/>
    <s v="Local NGO(s)/CSO(s)"/>
    <m/>
    <m/>
    <x v="0"/>
    <s v="Municipal platform meeting on Safety on security with the newly elected local government bodies"/>
    <m/>
    <m/>
    <m/>
    <m/>
    <s v="There is national policy regarding safety and security of girls, but it has not implemented in the local scenario"/>
    <s v="Issue of safety and security is very deep rooted and it is difficult to penetrate"/>
    <m/>
    <m/>
    <m/>
    <n v="700"/>
    <n v="1500"/>
    <n v="2.1428571428571428"/>
    <n v="1"/>
    <n v="0.66666666666666663"/>
    <n v="700"/>
    <n v="1000"/>
    <s v=""/>
    <n v="0"/>
    <n v="0"/>
    <s v=""/>
    <s v=""/>
    <n v="0"/>
    <n v="0"/>
    <s v=""/>
    <s v=""/>
    <n v="0"/>
    <n v="0"/>
    <s v=""/>
    <s v=""/>
    <n v="0"/>
    <n v="0"/>
    <s v=""/>
    <s v=""/>
    <n v="0"/>
    <n v="0"/>
    <s v=""/>
    <s v="4. Transformative"/>
    <s v="4. Transformational"/>
    <s v="2. Sensitive"/>
    <s v="It did not develop any specific innovation"/>
    <s v="Intensive advocacy"/>
    <n v="0"/>
  </r>
  <r>
    <x v="51"/>
    <x v="0"/>
    <n v="3179"/>
    <s v="Nepal Earthquake Recovery Programs-restoration of health facilities with improved access to SRMH and WASH services"/>
    <s v="Nepal"/>
    <s v="CDEUNP0010"/>
    <s v="CARE USA"/>
    <s v="Government"/>
    <s v="Government - Luxemburg"/>
    <s v="Ministry of Foreign Affairs of Luxemburg"/>
    <m/>
    <m/>
    <m/>
    <m/>
    <m/>
    <m/>
    <m/>
    <m/>
    <m/>
    <m/>
    <m/>
    <m/>
    <m/>
    <m/>
    <m/>
    <m/>
    <m/>
    <m/>
    <m/>
    <m/>
    <m/>
    <m/>
    <m/>
    <m/>
    <m/>
    <m/>
    <m/>
    <m/>
    <m/>
    <m/>
    <m/>
    <m/>
    <m/>
    <m/>
    <m/>
    <m/>
    <m/>
    <m/>
    <m/>
    <m/>
    <m/>
    <m/>
    <m/>
    <m/>
    <m/>
    <d v="2015-12-01T00:00:00"/>
    <d v="2017-08-31T00:00:00"/>
    <m/>
    <s v="Humanitarian Sexual, Reproductive and Maternal Health (SRMH)"/>
    <m/>
    <s v="Nilkantha Pandey"/>
    <s v="WASH Team Leader"/>
    <s v="Nilkantha.pandey@care.org"/>
    <m/>
    <m/>
    <m/>
    <s v="YES"/>
    <s v="NO"/>
    <s v="NO"/>
    <s v="Restore health facilities and improve access to SRMH services"/>
    <s v="Sub-National"/>
    <s v="Uhiya, Laprak, Barpak, Simjung, Gankhu, Harmi VDCs of Gorkha"/>
    <s v="people (especially women and girls) of reproductive age"/>
    <n v="13700"/>
    <n v="3024"/>
    <n v="16724"/>
    <m/>
    <m/>
    <m/>
    <m/>
    <m/>
    <n v="13700"/>
    <n v="3024"/>
    <n v="16724"/>
    <m/>
    <m/>
    <m/>
    <m/>
    <m/>
    <m/>
    <m/>
    <m/>
    <m/>
    <m/>
    <m/>
    <m/>
    <m/>
    <m/>
    <m/>
    <m/>
    <m/>
    <m/>
    <m/>
    <s v="YES"/>
    <n v="4978"/>
    <n v="0.75"/>
    <m/>
    <m/>
    <m/>
    <m/>
    <m/>
    <m/>
    <m/>
    <m/>
    <m/>
    <m/>
    <m/>
    <m/>
    <m/>
    <m/>
    <m/>
    <m/>
    <m/>
    <s v="YES"/>
    <n v="8687"/>
    <n v="0.9"/>
    <m/>
    <m/>
    <m/>
    <m/>
    <m/>
    <s v="YES"/>
    <n v="4512"/>
    <n v="0.76"/>
    <m/>
    <m/>
    <m/>
    <m/>
    <m/>
    <m/>
    <m/>
    <m/>
    <m/>
    <m/>
    <m/>
    <m/>
    <m/>
    <m/>
    <m/>
    <m/>
    <m/>
    <m/>
    <m/>
    <m/>
    <m/>
    <m/>
    <m/>
    <m/>
    <m/>
    <m/>
    <m/>
    <m/>
    <m/>
    <m/>
    <m/>
    <m/>
    <m/>
    <m/>
    <m/>
    <m/>
    <m/>
    <m/>
    <m/>
    <m/>
    <m/>
    <m/>
    <m/>
    <m/>
    <m/>
    <m/>
    <m/>
    <m/>
    <m/>
    <m/>
    <m/>
    <m/>
    <m/>
    <m/>
    <m/>
    <m/>
    <m/>
    <m/>
    <m/>
    <m/>
    <m/>
    <m/>
    <m/>
    <m/>
    <m/>
    <m/>
    <m/>
    <m/>
    <m/>
    <m/>
    <m/>
    <m/>
    <m/>
    <m/>
    <m/>
    <m/>
    <m/>
    <m/>
    <m/>
    <m/>
    <m/>
    <s v="NO"/>
    <m/>
    <m/>
    <m/>
    <m/>
    <m/>
    <m/>
    <m/>
    <x v="1"/>
    <s v="NO"/>
    <s v="NO"/>
    <s v="NO"/>
    <s v="YES"/>
    <s v="NO"/>
    <s v="NO"/>
    <s v="NO"/>
    <m/>
    <m/>
    <x v="0"/>
    <m/>
    <x v="0"/>
    <m/>
    <x v="1"/>
    <x v="0"/>
    <s v="YES"/>
    <x v="0"/>
    <x v="0"/>
    <x v="0"/>
    <x v="0"/>
    <n v="4"/>
    <x v="1"/>
    <x v="1"/>
    <x v="1"/>
    <x v="1"/>
    <x v="1"/>
    <x v="1"/>
    <n v="4"/>
    <x v="3"/>
    <x v="1"/>
    <x v="2"/>
    <x v="1"/>
    <x v="5"/>
    <n v="2"/>
    <x v="1"/>
    <x v="3"/>
    <n v="2"/>
    <s v="Local NGO(s)/CSO(s)"/>
    <s v="Private sector"/>
    <s v="Local government(s)"/>
    <x v="0"/>
    <m/>
    <m/>
    <m/>
    <m/>
    <m/>
    <m/>
    <m/>
    <m/>
    <m/>
    <m/>
    <n v="16724"/>
    <n v="0"/>
    <n v="0"/>
    <n v="0.8191820138722794"/>
    <s v=""/>
    <n v="13700"/>
    <n v="0"/>
    <n v="1"/>
    <n v="16724"/>
    <n v="0"/>
    <n v="0"/>
    <s v=""/>
    <n v="0"/>
    <n v="0"/>
    <s v=""/>
    <n v="1"/>
    <n v="8687"/>
    <n v="0"/>
    <n v="0"/>
    <n v="1"/>
    <n v="4978"/>
    <n v="0"/>
    <n v="0"/>
    <s v=""/>
    <n v="0"/>
    <n v="0"/>
    <s v=""/>
    <s v="2. Sensitive"/>
    <s v="2. Accommodating"/>
    <s v="3. Responsive"/>
    <s v="It did not develop any specific innovation"/>
    <s v="Moderate advocacy"/>
    <s v="It did not take tested solutions to scale"/>
  </r>
  <r>
    <x v="51"/>
    <x v="0"/>
    <m/>
    <s v="PRAYAAS-Strengthening resilience of local communities and institutions from the impact of natural disaster along the earthquake affected regions of Nepal"/>
    <s v="Nepal"/>
    <s v="CAUTNP0086"/>
    <s v="CARE Österreich"/>
    <s v="Government"/>
    <s v="ECHO - European Commission for Humanitarian Aid and Civil Protection"/>
    <s v="ECHO"/>
    <m/>
    <s v="CARE Österreich"/>
    <s v="Other"/>
    <s v="Other"/>
    <s v="Austrian Development Cooperation"/>
    <m/>
    <m/>
    <m/>
    <m/>
    <m/>
    <m/>
    <m/>
    <m/>
    <m/>
    <m/>
    <m/>
    <m/>
    <m/>
    <m/>
    <m/>
    <m/>
    <m/>
    <m/>
    <m/>
    <m/>
    <m/>
    <m/>
    <m/>
    <m/>
    <m/>
    <m/>
    <m/>
    <m/>
    <m/>
    <m/>
    <m/>
    <m/>
    <m/>
    <m/>
    <m/>
    <m/>
    <m/>
    <m/>
    <m/>
    <m/>
    <d v="2016-05-01T00:00:00"/>
    <d v="2017-10-31T00:00:00"/>
    <m/>
    <s v="Development Other"/>
    <n v="1253888.24"/>
    <s v="Kiriti Ray"/>
    <s v="consortium program manager"/>
    <s v="Kiriti.Ray@care.org"/>
    <s v="Surendra Bam"/>
    <s v="Project Technical Manager"/>
    <s v="Surendra.Bam@care.org"/>
    <s v="NO"/>
    <s v="YES"/>
    <s v="NO"/>
    <s v="To strengthen resilience of the most at risk communities including persons with disabilities to natural disaster through risk informed programming along the four earthquake affected districts (Gorkha, Dhading, Sindhupalchowk and Dolakha) of Nepal"/>
    <s v="Sub-National"/>
    <s v="Gorkha, Dhading, Sindhupalchowk and Dolakha"/>
    <s v="women, girls, boys, men and older people of 45 most vulnerable communities affect by natural disasters"/>
    <n v="10860"/>
    <n v="11614"/>
    <n v="22474"/>
    <n v="20549"/>
    <n v="14391"/>
    <n v="34940"/>
    <s v="Direct beneficiaries are calculated as those who are covered through project activities mainly Door to Door visit. (i.e. population of 45 communities). Indirect beneficiaries- population of VDC where project is intervening and those are benfited by disaster risk managent plan formulation. It is calculated by deducting the direct benficiaries from VDC total population."/>
    <m/>
    <m/>
    <m/>
    <n v="0"/>
    <m/>
    <m/>
    <n v="0"/>
    <m/>
    <m/>
    <m/>
    <m/>
    <m/>
    <m/>
    <m/>
    <m/>
    <m/>
    <m/>
    <m/>
    <m/>
    <m/>
    <m/>
    <m/>
    <m/>
    <m/>
    <m/>
    <m/>
    <m/>
    <m/>
    <m/>
    <m/>
    <m/>
    <m/>
    <m/>
    <m/>
    <m/>
    <m/>
    <m/>
    <m/>
    <m/>
    <m/>
    <m/>
    <m/>
    <m/>
    <m/>
    <m/>
    <m/>
    <m/>
    <m/>
    <m/>
    <m/>
    <m/>
    <m/>
    <m/>
    <m/>
    <m/>
    <m/>
    <m/>
    <m/>
    <m/>
    <m/>
    <n v="14247"/>
    <n v="17130"/>
    <n v="31377"/>
    <n v="20549"/>
    <n v="14391"/>
    <n v="34940"/>
    <m/>
    <m/>
    <m/>
    <m/>
    <m/>
    <m/>
    <m/>
    <m/>
    <m/>
    <m/>
    <m/>
    <m/>
    <s v="YES"/>
    <n v="31377"/>
    <n v="0.45"/>
    <n v="34940"/>
    <m/>
    <m/>
    <m/>
    <m/>
    <m/>
    <m/>
    <m/>
    <m/>
    <m/>
    <m/>
    <m/>
    <m/>
    <m/>
    <m/>
    <m/>
    <m/>
    <m/>
    <m/>
    <m/>
    <m/>
    <m/>
    <m/>
    <m/>
    <m/>
    <m/>
    <m/>
    <m/>
    <m/>
    <m/>
    <m/>
    <m/>
    <m/>
    <m/>
    <m/>
    <m/>
    <m/>
    <m/>
    <m/>
    <m/>
    <m/>
    <m/>
    <m/>
    <m/>
    <m/>
    <m/>
    <m/>
    <m/>
    <m/>
    <m/>
    <m/>
    <m/>
    <m/>
    <m/>
    <s v="YES"/>
    <s v="August"/>
    <n v="2016"/>
    <s v="YES"/>
    <s v="YES"/>
    <s v="October"/>
    <n v="2017"/>
    <s v="KAP survey is planned as final evaluation"/>
    <x v="1"/>
    <s v="YES"/>
    <s v="NO"/>
    <s v="YES"/>
    <s v="YES"/>
    <s v="NO"/>
    <s v="NO"/>
    <s v="YES"/>
    <m/>
    <m/>
    <x v="1"/>
    <s v="Project identified the most vulnerable groups of the community through detail vulnerability capacity assessment and set up linkages with service providers for livelihood support"/>
    <x v="0"/>
    <m/>
    <x v="0"/>
    <x v="0"/>
    <s v="YES"/>
    <x v="1"/>
    <x v="0"/>
    <x v="0"/>
    <x v="1"/>
    <n v="3"/>
    <x v="1"/>
    <x v="1"/>
    <x v="1"/>
    <x v="1"/>
    <x v="1"/>
    <x v="1"/>
    <n v="4"/>
    <x v="3"/>
    <x v="1"/>
    <x v="1"/>
    <x v="1"/>
    <x v="4"/>
    <n v="3"/>
    <x v="0"/>
    <x v="3"/>
    <n v="4"/>
    <s v="International NGO(s)"/>
    <s v="Local NGO(s)/CSO(s)"/>
    <m/>
    <x v="0"/>
    <s v="Capacity building of CSO in DRR plan development and different types of life saving skills."/>
    <m/>
    <s v="Capacity building of different committees formed at ward and VDC on disaster risk sensitive planning"/>
    <s v="Establishment of skilled manpower i.e. taskforces at community, VDC and district level and establishing their linkage with government structure for effective response"/>
    <s v="Mainstreaming of diasater risk reduction activities in annual development plan of government and its implementation"/>
    <s v="Promising practices:"/>
    <s v="Challange:"/>
    <s v="Learnings:"/>
    <m/>
    <m/>
    <n v="31377"/>
    <n v="34940"/>
    <n v="1.1135545144532619"/>
    <n v="0.45405870542116838"/>
    <n v="0.58812249570692621"/>
    <n v="14247"/>
    <n v="20549"/>
    <s v=""/>
    <n v="0"/>
    <n v="0"/>
    <s v=""/>
    <n v="1"/>
    <n v="31377"/>
    <n v="34940"/>
    <n v="1.1135545144532619"/>
    <s v=""/>
    <n v="0"/>
    <n v="0"/>
    <s v=""/>
    <s v=""/>
    <n v="0"/>
    <n v="0"/>
    <s v=""/>
    <s v=""/>
    <n v="0"/>
    <n v="0"/>
    <s v=""/>
    <s v="1. Neutral"/>
    <s v="2. Accommodating"/>
    <s v="4. Transformative"/>
    <s v="It tested new ways for fighting poverty, but did not measure results of innovation"/>
    <s v="Moderate advocacy"/>
    <s v="It did not take tested solutions to scale"/>
  </r>
  <r>
    <x v="51"/>
    <x v="0"/>
    <m/>
    <s v="Rapid Community WASH Recovery Programme"/>
    <s v="Nepal"/>
    <s v="CGBRNP0080"/>
    <s v="CARE UK"/>
    <s v="Multilateral agency"/>
    <s v="Government - UK"/>
    <s v="DFID"/>
    <m/>
    <m/>
    <m/>
    <m/>
    <m/>
    <m/>
    <m/>
    <m/>
    <m/>
    <m/>
    <m/>
    <m/>
    <m/>
    <m/>
    <m/>
    <m/>
    <m/>
    <m/>
    <m/>
    <m/>
    <m/>
    <m/>
    <m/>
    <m/>
    <m/>
    <m/>
    <m/>
    <m/>
    <m/>
    <m/>
    <m/>
    <m/>
    <m/>
    <m/>
    <m/>
    <m/>
    <m/>
    <m/>
    <m/>
    <m/>
    <m/>
    <m/>
    <m/>
    <m/>
    <m/>
    <d v="2016-09-01T00:00:00"/>
    <d v="2017-06-30T00:00:00"/>
    <d v="2017-11-30T00:00:00"/>
    <s v="Humanitarian Other"/>
    <n v="1605138"/>
    <s v="Gunaraj Shrestha"/>
    <s v="Consortium Manager"/>
    <s v="Gunaraj.shrestha@care.org"/>
    <m/>
    <m/>
    <m/>
    <s v="YES"/>
    <s v="NO"/>
    <s v="NO"/>
    <s v="Vulnerable disaster affected community have improved WASH conditions"/>
    <s v="Sub-National"/>
    <s v="Gorkha and Dhading"/>
    <s v="women and adolscent girls"/>
    <n v="55790"/>
    <m/>
    <n v="55790"/>
    <m/>
    <m/>
    <m/>
    <m/>
    <m/>
    <n v="55790"/>
    <n v="56540"/>
    <n v="112330"/>
    <m/>
    <m/>
    <m/>
    <m/>
    <m/>
    <m/>
    <m/>
    <m/>
    <m/>
    <m/>
    <m/>
    <m/>
    <m/>
    <m/>
    <m/>
    <s v="YES"/>
    <n v="112330"/>
    <n v="0.5"/>
    <m/>
    <m/>
    <m/>
    <m/>
    <m/>
    <m/>
    <m/>
    <m/>
    <m/>
    <m/>
    <m/>
    <m/>
    <m/>
    <m/>
    <m/>
    <m/>
    <m/>
    <m/>
    <m/>
    <m/>
    <m/>
    <m/>
    <m/>
    <m/>
    <m/>
    <m/>
    <m/>
    <m/>
    <m/>
    <s v="YES"/>
    <n v="112330"/>
    <n v="0.5"/>
    <m/>
    <m/>
    <m/>
    <m/>
    <m/>
    <m/>
    <m/>
    <m/>
    <m/>
    <m/>
    <m/>
    <m/>
    <m/>
    <m/>
    <m/>
    <m/>
    <m/>
    <m/>
    <m/>
    <m/>
    <m/>
    <m/>
    <m/>
    <m/>
    <m/>
    <m/>
    <m/>
    <m/>
    <m/>
    <m/>
    <m/>
    <m/>
    <m/>
    <m/>
    <m/>
    <m/>
    <m/>
    <m/>
    <m/>
    <m/>
    <m/>
    <m/>
    <m/>
    <m/>
    <m/>
    <m/>
    <m/>
    <m/>
    <m/>
    <m/>
    <m/>
    <m/>
    <m/>
    <m/>
    <m/>
    <m/>
    <m/>
    <m/>
    <m/>
    <m/>
    <m/>
    <m/>
    <m/>
    <m/>
    <m/>
    <m/>
    <m/>
    <m/>
    <m/>
    <m/>
    <m/>
    <m/>
    <m/>
    <m/>
    <m/>
    <m/>
    <m/>
    <m/>
    <m/>
    <m/>
    <m/>
    <s v="YES"/>
    <s v="February"/>
    <m/>
    <m/>
    <s v="YES"/>
    <s v="November"/>
    <m/>
    <m/>
    <x v="0"/>
    <m/>
    <m/>
    <s v="YES"/>
    <s v="YES"/>
    <s v="YES"/>
    <s v="YES"/>
    <m/>
    <m/>
    <m/>
    <x v="3"/>
    <m/>
    <x v="2"/>
    <m/>
    <x v="3"/>
    <x v="0"/>
    <s v="YES"/>
    <x v="0"/>
    <x v="0"/>
    <x v="0"/>
    <x v="0"/>
    <n v="4"/>
    <x v="1"/>
    <x v="1"/>
    <x v="1"/>
    <x v="1"/>
    <x v="1"/>
    <x v="1"/>
    <n v="4"/>
    <x v="1"/>
    <x v="1"/>
    <x v="2"/>
    <x v="1"/>
    <x v="3"/>
    <n v="2"/>
    <x v="1"/>
    <x v="3"/>
    <n v="2"/>
    <s v="Local NGO(s)/CSO(s)"/>
    <m/>
    <m/>
    <x v="3"/>
    <m/>
    <s v="women leadership  improved ensuring atleast 33% women and 50% GESI in water user and sanitation committtee and one leadership and signatory position assigned to women."/>
    <s v="Engagemnet of women in other productive activities as improved access and adequate supplies of water have helped reduce water fetching time."/>
    <s v="change  in menstrual hygiene practices among women and adolscent girls"/>
    <s v="Gender and child friendly structures"/>
    <s v="were able to address the need of people from hard to reach and ethnic minorities"/>
    <s v="The initial project  was rapid and  focused on the repair and rehabilitaion of drinking water which less prioritize on improving capacity of user's committee on sustainability of the schemes"/>
    <m/>
    <s v="The project  was able to provide adequate and safe drinking water to 57 water user's committee"/>
    <s v="progress report and M &amp; E database"/>
    <n v="112330"/>
    <n v="0"/>
    <n v="0"/>
    <n v="0.49666162200658776"/>
    <s v=""/>
    <n v="55790"/>
    <n v="0"/>
    <n v="1"/>
    <n v="112330"/>
    <n v="0"/>
    <n v="0"/>
    <n v="1"/>
    <n v="112330"/>
    <n v="0"/>
    <n v="0"/>
    <s v=""/>
    <n v="0"/>
    <n v="0"/>
    <s v=""/>
    <s v=""/>
    <n v="0"/>
    <n v="0"/>
    <s v=""/>
    <s v=""/>
    <n v="0"/>
    <n v="0"/>
    <s v=""/>
    <s v="2. Sensitive"/>
    <s v="2. Accommodating"/>
    <s v="1. Neutral"/>
    <n v="0"/>
    <s v="Little or no advocacy"/>
    <n v="0"/>
  </r>
  <r>
    <x v="51"/>
    <x v="0"/>
    <n v="3173"/>
    <s v="Sabal:Sustainable Action for Resilience and Food Security"/>
    <s v="Nepal"/>
    <s v="SAVE0001"/>
    <s v="CARE USA"/>
    <s v="Multilateral agency"/>
    <s v="Government - US"/>
    <s v="USAID"/>
    <m/>
    <m/>
    <m/>
    <m/>
    <m/>
    <m/>
    <m/>
    <m/>
    <m/>
    <m/>
    <m/>
    <m/>
    <m/>
    <m/>
    <m/>
    <m/>
    <m/>
    <m/>
    <m/>
    <m/>
    <m/>
    <m/>
    <m/>
    <m/>
    <m/>
    <m/>
    <m/>
    <m/>
    <m/>
    <m/>
    <m/>
    <m/>
    <m/>
    <m/>
    <m/>
    <m/>
    <m/>
    <m/>
    <m/>
    <m/>
    <m/>
    <m/>
    <m/>
    <m/>
    <m/>
    <d v="2015-12-15T00:00:00"/>
    <d v="2019-10-16T00:00:00"/>
    <m/>
    <s v="Development Food &amp; Nutrition Security and Resilience to Climate Change"/>
    <n v="5104074"/>
    <s v="Man Bahadur  BK"/>
    <s v="Sr. Technical Manager"/>
    <s v="Man.BK@care.org"/>
    <m/>
    <m/>
    <m/>
    <s v="NO"/>
    <s v="YES"/>
    <s v="NO"/>
    <s v="Targeted population in the eleven districts of central and eastern mid-hills of Nepal are more resilient and food secure"/>
    <s v="National"/>
    <s v="Khotang, Okhaldhunga, Udayapur, Makwanpur, Ramechhap, Sindhuli, Dolakha, Kavre, Sindhupalchowk, Nuwakot and Rasuwa"/>
    <s v="vulnerable communities HHs identified by vulnerability risk assessment"/>
    <n v="69230"/>
    <n v="103845"/>
    <n v="173075"/>
    <m/>
    <m/>
    <m/>
    <s v="A household is benefiting directly if it contains at least one individual who is a direct project participant. An individual is a direct project participant if s/he comes into direct contact with the Livelihoods, Health &amp;Nutrition, and Disaster Risk Reduction/ Climate Change Adaptation (DRR/CCA)set of interventions (goods or services) provided by the project. Individuals who receive training or benefits from Sabal project-supported technical assistance or service provision are considered direct project participants, as are those who receive a ration or another type of good. The intervention in which the individual participates needs to be significant. If the individual is only contacted or touched by a project through brief attendance at a meeting or gathering, in which the intervention is not significant then s/he will not be counted as a direct project participant. For DRR/CCA, direct beneficiaries will be counted from the vulnerable communities HHs identified by vulnerability risk assessment. An indirect participant who does not have direct contact with the project and does not directly receive goods or services from the project will not be counted even if s/he still benefits. This includes a neighbor who sees the results of an improved technology applied by a direct participant and decides to apply it himself/herself or an individual who hears a radio message but does not receive any other training or counseling from the activity."/>
    <m/>
    <m/>
    <m/>
    <m/>
    <m/>
    <m/>
    <m/>
    <m/>
    <m/>
    <m/>
    <m/>
    <m/>
    <m/>
    <m/>
    <m/>
    <m/>
    <m/>
    <m/>
    <m/>
    <m/>
    <m/>
    <m/>
    <m/>
    <m/>
    <m/>
    <m/>
    <m/>
    <m/>
    <m/>
    <m/>
    <m/>
    <m/>
    <m/>
    <m/>
    <m/>
    <m/>
    <m/>
    <m/>
    <m/>
    <m/>
    <m/>
    <m/>
    <m/>
    <m/>
    <m/>
    <m/>
    <m/>
    <m/>
    <m/>
    <m/>
    <m/>
    <m/>
    <m/>
    <m/>
    <m/>
    <m/>
    <m/>
    <m/>
    <m/>
    <m/>
    <n v="15350"/>
    <n v="18789"/>
    <n v="34139"/>
    <m/>
    <m/>
    <m/>
    <m/>
    <m/>
    <m/>
    <m/>
    <s v="YES"/>
    <n v="34139"/>
    <n v="0.44963238524854199"/>
    <m/>
    <m/>
    <m/>
    <m/>
    <m/>
    <s v="NO"/>
    <m/>
    <m/>
    <m/>
    <m/>
    <m/>
    <m/>
    <m/>
    <m/>
    <m/>
    <m/>
    <m/>
    <m/>
    <m/>
    <m/>
    <m/>
    <m/>
    <m/>
    <m/>
    <m/>
    <m/>
    <m/>
    <m/>
    <m/>
    <m/>
    <m/>
    <m/>
    <m/>
    <m/>
    <m/>
    <m/>
    <m/>
    <m/>
    <m/>
    <m/>
    <m/>
    <m/>
    <m/>
    <m/>
    <m/>
    <m/>
    <m/>
    <m/>
    <m/>
    <m/>
    <m/>
    <m/>
    <m/>
    <m/>
    <m/>
    <m/>
    <m/>
    <m/>
    <m/>
    <m/>
    <m/>
    <m/>
    <s v="YES"/>
    <s v="January"/>
    <n v="2016"/>
    <s v="YES"/>
    <s v="YES"/>
    <s v="August"/>
    <n v="2018"/>
    <s v="The Annual Monitoring Survey (AMS) is a beneficiary based sample survey, which captures data on nine outcome indicators in addition to data on beneficiary demographics, socio-economic status, and annual agricultural expenditure.  The Annual Monitoring Survey is implemented once a year by third party enumerators with technical and logistical assistance from program staff and M&amp;E technical partners.  Monitoring data from both Routine Monitoring and AMS generates data for USAID/FFPs annual reporting requirements (via the IPTT, SAPQ and FFP-MIS) and also provides timely information to the sector managers. This protocol focuses on the AMS for 9 key annual monitoring indicators."/>
    <x v="3"/>
    <m/>
    <m/>
    <m/>
    <m/>
    <m/>
    <m/>
    <m/>
    <m/>
    <m/>
    <x v="3"/>
    <m/>
    <x v="2"/>
    <m/>
    <x v="3"/>
    <x v="2"/>
    <m/>
    <x v="2"/>
    <x v="2"/>
    <x v="2"/>
    <x v="3"/>
    <n v="0"/>
    <x v="0"/>
    <x v="0"/>
    <x v="0"/>
    <x v="0"/>
    <x v="0"/>
    <x v="0"/>
    <n v="0"/>
    <x v="0"/>
    <x v="0"/>
    <x v="0"/>
    <x v="0"/>
    <x v="0"/>
    <n v="0"/>
    <x v="1"/>
    <x v="4"/>
    <m/>
    <s v="Grassroots organization(s)"/>
    <s v="Local government(s)"/>
    <s v="National government"/>
    <x v="1"/>
    <m/>
    <m/>
    <m/>
    <m/>
    <m/>
    <m/>
    <m/>
    <m/>
    <m/>
    <m/>
    <n v="34139"/>
    <n v="0"/>
    <n v="0"/>
    <n v="0.44963238524854271"/>
    <s v=""/>
    <n v="15350"/>
    <n v="0"/>
    <s v=""/>
    <n v="0"/>
    <n v="0"/>
    <s v=""/>
    <n v="1"/>
    <n v="34139"/>
    <n v="0"/>
    <n v="0"/>
    <s v=""/>
    <n v="0"/>
    <n v="0"/>
    <s v=""/>
    <s v=""/>
    <n v="0"/>
    <n v="0"/>
    <s v=""/>
    <s v=""/>
    <n v="0"/>
    <n v="0"/>
    <s v=""/>
    <s v="No marker score"/>
    <s v="No marker score"/>
    <s v="No marker score"/>
    <n v="0"/>
    <n v="0"/>
    <n v="0"/>
  </r>
  <r>
    <x v="51"/>
    <x v="0"/>
    <n v="3181"/>
    <s v="SAMMAN III"/>
    <s v="Nepal"/>
    <s v="GB313"/>
    <s v="CARE UK"/>
    <s v="Corporation"/>
    <s v="Other"/>
    <s v="GlaxoSmithKline (GSK)"/>
    <m/>
    <m/>
    <m/>
    <m/>
    <m/>
    <m/>
    <m/>
    <m/>
    <m/>
    <m/>
    <m/>
    <m/>
    <m/>
    <m/>
    <m/>
    <m/>
    <m/>
    <m/>
    <m/>
    <m/>
    <m/>
    <m/>
    <m/>
    <m/>
    <m/>
    <m/>
    <m/>
    <m/>
    <m/>
    <m/>
    <m/>
    <m/>
    <m/>
    <m/>
    <m/>
    <m/>
    <m/>
    <m/>
    <m/>
    <m/>
    <m/>
    <m/>
    <m/>
    <m/>
    <m/>
    <d v="2015-10-01T00:00:00"/>
    <d v="2018-09-30T00:00:00"/>
    <m/>
    <s v="Development Sexual, Reproductive and Maternal Health (SRMH)"/>
    <n v="2100000"/>
    <s v="Chirinjibi Nepal"/>
    <s v="Program Coordinator - SRMH and GBV"/>
    <s v="chirinjibi.nepal@care.org"/>
    <s v="Shanta Kumar dangol"/>
    <s v="Project Manager"/>
    <s v="shanta.dangol@care.org"/>
    <s v="NO"/>
    <s v="YES"/>
    <s v="NO"/>
    <s v="To improve maternal and neonatal health outcomes by strengthening community health system and increasing access to and utilization of the MNCH services in project districts."/>
    <s v="Sub-National"/>
    <s v="Provience 7 ( 11 Municipality and 18 Rural  Municipal ) , Provience 3 ( 8 Municipality and 13 Rural Muncipal )."/>
    <s v="The impact group of the project are pregnant women, newborns and women of reproductive age and under 5 years children."/>
    <n v="628684"/>
    <n v="97559"/>
    <n v="726243"/>
    <n v="374370"/>
    <n v="847064"/>
    <n v="1221434"/>
    <s v="The direct participants are the pregnant mothers, postpartum mothers, women and men of reproductive age, adloscent boys and girls reached by the project. Similarly, the indirect participants are all the other participants than the direct participants reached by the project and who are benifited indirectly by the project. (FCHVs, mother-in-laws, father-in-laws)"/>
    <m/>
    <m/>
    <m/>
    <m/>
    <m/>
    <m/>
    <m/>
    <m/>
    <m/>
    <m/>
    <m/>
    <m/>
    <m/>
    <m/>
    <m/>
    <m/>
    <m/>
    <m/>
    <m/>
    <m/>
    <m/>
    <m/>
    <m/>
    <m/>
    <m/>
    <m/>
    <m/>
    <m/>
    <m/>
    <m/>
    <m/>
    <m/>
    <m/>
    <m/>
    <m/>
    <m/>
    <m/>
    <m/>
    <m/>
    <m/>
    <m/>
    <m/>
    <m/>
    <m/>
    <m/>
    <m/>
    <m/>
    <m/>
    <m/>
    <m/>
    <m/>
    <m/>
    <m/>
    <m/>
    <m/>
    <m/>
    <m/>
    <m/>
    <m/>
    <m/>
    <n v="124905"/>
    <n v="96774"/>
    <n v="221679"/>
    <n v="313584"/>
    <n v="6504"/>
    <n v="320088"/>
    <s v="NO"/>
    <m/>
    <m/>
    <m/>
    <s v="NO"/>
    <m/>
    <m/>
    <m/>
    <s v="NO"/>
    <m/>
    <m/>
    <m/>
    <s v="NO"/>
    <m/>
    <m/>
    <m/>
    <s v="NO"/>
    <m/>
    <m/>
    <m/>
    <s v="NO"/>
    <m/>
    <m/>
    <m/>
    <s v="NO"/>
    <m/>
    <m/>
    <m/>
    <s v="NO"/>
    <m/>
    <m/>
    <m/>
    <s v="NO"/>
    <m/>
    <m/>
    <m/>
    <s v="NO"/>
    <m/>
    <m/>
    <m/>
    <s v="NO"/>
    <m/>
    <m/>
    <m/>
    <s v="NO"/>
    <m/>
    <m/>
    <m/>
    <s v="NO"/>
    <m/>
    <m/>
    <m/>
    <s v="YES"/>
    <n v="221679"/>
    <n v="0.563449853166064"/>
    <n v="320088"/>
    <s v="NO"/>
    <m/>
    <m/>
    <m/>
    <s v="NO"/>
    <m/>
    <m/>
    <m/>
    <m/>
    <m/>
    <m/>
    <m/>
    <m/>
    <s v="YES"/>
    <s v="February"/>
    <n v="2017"/>
    <s v="YES"/>
    <s v="YES"/>
    <m/>
    <m/>
    <m/>
    <x v="1"/>
    <s v="NO"/>
    <s v="NO"/>
    <s v="YES"/>
    <s v="YES"/>
    <s v="NO"/>
    <s v="NO"/>
    <s v="YES"/>
    <m/>
    <m/>
    <x v="0"/>
    <m/>
    <x v="1"/>
    <s v="The tried and tested package of Community Based Integrated mananegemnt of newborn and childhood ilness in partnership of government of Nepal was scaled up in Dadeldhura nd Kavre districts. Similarly, CARE Nepal's innovative tools of Community Health Score board (CHSB) and Self Applied techinique for quality health (SATH) were scaled up with the help of partners and District health offices in the 5 districts."/>
    <x v="1"/>
    <x v="0"/>
    <s v="YES"/>
    <x v="0"/>
    <x v="0"/>
    <x v="0"/>
    <x v="0"/>
    <n v="4"/>
    <x v="1"/>
    <x v="1"/>
    <x v="1"/>
    <x v="1"/>
    <x v="1"/>
    <x v="1"/>
    <n v="4"/>
    <x v="1"/>
    <x v="1"/>
    <x v="1"/>
    <x v="1"/>
    <x v="1"/>
    <n v="3"/>
    <x v="2"/>
    <x v="2"/>
    <m/>
    <s v="Local NGO(s)/CSO(s)"/>
    <m/>
    <m/>
    <x v="2"/>
    <s v="The capacity of the partners staff were improved on household monitroing through LQAS. Similarly, their capacities were also strengthened in CB-IMNCI package and in the issue of gender based voilence and its mitigation."/>
    <m/>
    <s v="Working in partnership with Local NGO"/>
    <s v="Close coordination and communication with government counterparts"/>
    <s v="Support in the scaling up of government innitiatives"/>
    <s v="Engagement of the political and social leaders in the program activities including the community health score board is helpful to garner support from community and for accountablity from the health providers. For more effective envolvement a regular follow up and dialogue is necessary."/>
    <s v="Regular and consistent consultations with government team at center and district levels as well as with relevant stakeholders helps to create environment for smooth implementation of the initiatives."/>
    <s v="Involvement of district governing bodies in program planning promote the good governance and also make them realize their responsibilities and accountabilities in promotion of maternal and neonatal health"/>
    <m/>
    <m/>
    <n v="221679"/>
    <n v="320088"/>
    <n v="1.443925676315754"/>
    <n v="0.56344985316606444"/>
    <n v="0.97968058783834444"/>
    <n v="124905"/>
    <n v="313584"/>
    <s v=""/>
    <n v="0"/>
    <n v="0"/>
    <s v=""/>
    <s v=""/>
    <n v="0"/>
    <n v="0"/>
    <s v=""/>
    <n v="1"/>
    <n v="221679"/>
    <n v="320088"/>
    <n v="1.443925676315754"/>
    <s v=""/>
    <n v="0"/>
    <n v="0"/>
    <s v=""/>
    <s v=""/>
    <n v="0"/>
    <n v="0"/>
    <s v=""/>
    <s v="2. Sensitive"/>
    <s v="2. Accommodating"/>
    <s v="2. Sensitive"/>
    <s v="It did not develop any specific innovation"/>
    <s v="Moderate advocacy"/>
    <s v="It linked and worked with strategic alliances and partners to take tested and effective solutions to scale"/>
  </r>
  <r>
    <x v="51"/>
    <x v="0"/>
    <n v="3204"/>
    <s v="Sankalpa- Collaborative Committement for Participatory and Gender-tranformative budget"/>
    <s v="Nepal"/>
    <s v="AT475"/>
    <s v="CARE Österreich"/>
    <s v="Multilateral agency"/>
    <s v="EU - European Union (other than ECHO)"/>
    <s v="EU"/>
    <m/>
    <m/>
    <m/>
    <m/>
    <m/>
    <m/>
    <m/>
    <m/>
    <m/>
    <m/>
    <m/>
    <m/>
    <m/>
    <m/>
    <m/>
    <m/>
    <m/>
    <m/>
    <m/>
    <m/>
    <m/>
    <m/>
    <m/>
    <m/>
    <m/>
    <m/>
    <m/>
    <m/>
    <m/>
    <m/>
    <m/>
    <m/>
    <m/>
    <m/>
    <m/>
    <m/>
    <m/>
    <m/>
    <m/>
    <m/>
    <m/>
    <m/>
    <m/>
    <m/>
    <m/>
    <d v="2014-02-01T00:00:00"/>
    <d v="2017-01-31T00:00:00"/>
    <m/>
    <s v="Development Other"/>
    <n v="790688"/>
    <s v="Urmila Simkhada"/>
    <s v="Thematic Coordinator (LEAD)"/>
    <s v="urmila.simkhada@care.org"/>
    <m/>
    <m/>
    <m/>
    <s v="NO"/>
    <s v="YES"/>
    <s v="NO"/>
    <s v="To contribute to a transparent and participatory budget allocation and expenditure in Nepal that equally benefits marginalized groups"/>
    <s v="National"/>
    <s v="Surkhet and Pyuthan districts"/>
    <s v="Women from marginalized communities"/>
    <n v="10000"/>
    <n v="10000"/>
    <n v="20000"/>
    <n v="62220"/>
    <n v="59780"/>
    <n v="122000"/>
    <s v="Wome member of ward citizen forums, integrated planning committee members (women), village supervision and monitoring committee members, members of women networks, representatives of village development committees and district development committees."/>
    <m/>
    <m/>
    <m/>
    <m/>
    <m/>
    <m/>
    <m/>
    <m/>
    <m/>
    <m/>
    <m/>
    <m/>
    <m/>
    <m/>
    <m/>
    <m/>
    <m/>
    <m/>
    <m/>
    <m/>
    <m/>
    <m/>
    <m/>
    <m/>
    <m/>
    <m/>
    <m/>
    <m/>
    <m/>
    <m/>
    <m/>
    <m/>
    <m/>
    <m/>
    <m/>
    <m/>
    <m/>
    <m/>
    <m/>
    <m/>
    <m/>
    <m/>
    <m/>
    <m/>
    <m/>
    <m/>
    <m/>
    <m/>
    <m/>
    <m/>
    <m/>
    <m/>
    <m/>
    <m/>
    <m/>
    <m/>
    <m/>
    <m/>
    <m/>
    <m/>
    <n v="4946"/>
    <n v="2361"/>
    <n v="7307"/>
    <n v="25405"/>
    <n v="8826"/>
    <n v="34231"/>
    <m/>
    <m/>
    <m/>
    <m/>
    <m/>
    <m/>
    <m/>
    <m/>
    <m/>
    <m/>
    <m/>
    <m/>
    <m/>
    <m/>
    <m/>
    <m/>
    <m/>
    <m/>
    <m/>
    <m/>
    <m/>
    <m/>
    <m/>
    <m/>
    <m/>
    <m/>
    <m/>
    <m/>
    <s v="YES"/>
    <n v="1347"/>
    <n v="0.43"/>
    <n v="6362"/>
    <s v="YES"/>
    <n v="1801"/>
    <n v="0.56999999999999995"/>
    <n v="7599"/>
    <m/>
    <m/>
    <m/>
    <m/>
    <m/>
    <m/>
    <m/>
    <m/>
    <m/>
    <m/>
    <m/>
    <m/>
    <s v="YES"/>
    <n v="4159"/>
    <n v="0.38"/>
    <n v="20370"/>
    <m/>
    <m/>
    <m/>
    <m/>
    <m/>
    <m/>
    <m/>
    <m/>
    <m/>
    <m/>
    <m/>
    <m/>
    <m/>
    <m/>
    <m/>
    <m/>
    <m/>
    <s v="YES"/>
    <s v="April"/>
    <n v="2017"/>
    <m/>
    <m/>
    <m/>
    <m/>
    <m/>
    <x v="2"/>
    <s v="NO"/>
    <s v="NO"/>
    <s v="NO"/>
    <s v="YES"/>
    <s v="NO"/>
    <s v="NO"/>
    <s v="NO"/>
    <s v="NO"/>
    <m/>
    <x v="0"/>
    <m/>
    <x v="0"/>
    <m/>
    <x v="1"/>
    <x v="0"/>
    <s v="YES"/>
    <x v="0"/>
    <x v="0"/>
    <x v="0"/>
    <x v="0"/>
    <n v="4"/>
    <x v="2"/>
    <x v="1"/>
    <x v="1"/>
    <x v="1"/>
    <x v="1"/>
    <x v="2"/>
    <n v="4"/>
    <x v="2"/>
    <x v="1"/>
    <x v="1"/>
    <x v="1"/>
    <x v="2"/>
    <n v="3"/>
    <x v="2"/>
    <x v="2"/>
    <n v="2"/>
    <s v="Local NGO(s)/CSO(s)"/>
    <m/>
    <m/>
    <x v="2"/>
    <m/>
    <m/>
    <s v="Mock budget"/>
    <s v="Women's meaningful participation in local planning process"/>
    <s v="Community score board used as tool for improving government's budget for benefit for woment"/>
    <s v="Arranging local level platforms to ensure communication between the newly elected officials and community people especially women and DAG"/>
    <s v="Local authorities (Citizen Awareness Centers) require more support to be able to participate meaningfully in local level participation in the planning process. CAC will require further support"/>
    <s v="In the newly restructured federal state, building technical capacity of the local governance units to perform the roles they are assigned for various sectors, and to ensure that the local level decisions are GESI sensitive is very essential. This requires supporting local government in following initiatives: o Planning and budgeting (ensuring the allocation of gender responsive budgeting) o Setting up and continuing participatory exercises (community score card etc.) at a different level to enable people to communicate with local government o Continue Citizen Awareness Centers and social mobilization in targeting women and DAGs through local resources"/>
    <m/>
    <m/>
    <n v="7307"/>
    <n v="34231"/>
    <n v="4.6846859176132476"/>
    <n v="0.67688517859586694"/>
    <n v="0.74216353597616191"/>
    <n v="4946"/>
    <n v="25405"/>
    <s v=""/>
    <n v="0"/>
    <n v="0"/>
    <s v=""/>
    <s v=""/>
    <n v="0"/>
    <n v="0"/>
    <s v=""/>
    <s v=""/>
    <n v="0"/>
    <n v="0"/>
    <s v=""/>
    <n v="1"/>
    <n v="1347"/>
    <n v="6362"/>
    <n v="4.7230883444691907"/>
    <s v=""/>
    <n v="0"/>
    <n v="0"/>
    <s v=""/>
    <s v="2. Sensitive"/>
    <s v="4. Transformational"/>
    <s v="0. Harmful"/>
    <s v="It did not develop any specific innovation"/>
    <s v="Intensive advocacy"/>
    <s v="It did not take tested solutions to scale"/>
  </r>
  <r>
    <x v="51"/>
    <x v="0"/>
    <n v="3193"/>
    <s v="SHO Livelihood"/>
    <s v="Nepal"/>
    <s v="CNLDPNP0005"/>
    <s v="CARE Nederland"/>
    <s v="Individual supporter"/>
    <s v="Other"/>
    <s v=" Giro 555"/>
    <m/>
    <m/>
    <m/>
    <m/>
    <m/>
    <m/>
    <m/>
    <m/>
    <m/>
    <m/>
    <m/>
    <m/>
    <m/>
    <m/>
    <m/>
    <m/>
    <m/>
    <m/>
    <m/>
    <m/>
    <m/>
    <m/>
    <m/>
    <m/>
    <m/>
    <m/>
    <m/>
    <m/>
    <m/>
    <m/>
    <m/>
    <m/>
    <m/>
    <m/>
    <m/>
    <m/>
    <m/>
    <m/>
    <m/>
    <m/>
    <m/>
    <m/>
    <m/>
    <m/>
    <m/>
    <d v="2015-05-25T00:00:00"/>
    <d v="2017-04-30T00:00:00"/>
    <m/>
    <s v="Humanitarian Food &amp; Nutrition Security and Resilience to Climate Change"/>
    <n v="1600331"/>
    <s v="Santosh Sharma"/>
    <s v="Earthquake Response and Recovery Team leader"/>
    <s v="santosh.sharma@care.org"/>
    <s v="Jib Nath Sharma"/>
    <s v="Food Security and Livelihood Manager"/>
    <s v="jib.sharma@care.org"/>
    <s v="YES"/>
    <s v="NO"/>
    <s v="NO"/>
    <s v="i. To meet the immediate, medium and long term livelihood and food needs of earthquake-affected populations in the worst-affected districts and  to prevent the livelihood options of the most vulnerable populations from deteriorating, ensuring market supply and access. ii. Promote safety and effectiveness in citizen  initiated demolition of damaged houses and other structure"/>
    <s v="Sub-National"/>
    <s v="19 VDCs of Gorkha, Dhading and Sindhupalchock districts"/>
    <s v="Vulnerable households severly affected by earthquake"/>
    <n v="26723"/>
    <n v="25610"/>
    <n v="52333"/>
    <n v="0"/>
    <n v="0"/>
    <n v="0"/>
    <m/>
    <m/>
    <n v="4176"/>
    <n v="4188"/>
    <n v="8364"/>
    <m/>
    <m/>
    <m/>
    <m/>
    <m/>
    <m/>
    <m/>
    <m/>
    <m/>
    <m/>
    <m/>
    <m/>
    <m/>
    <m/>
    <m/>
    <s v="NO"/>
    <m/>
    <m/>
    <m/>
    <m/>
    <m/>
    <m/>
    <m/>
    <m/>
    <m/>
    <m/>
    <m/>
    <m/>
    <m/>
    <m/>
    <m/>
    <s v="Yes"/>
    <n v="8364"/>
    <n v="0.49928263988522198"/>
    <m/>
    <m/>
    <m/>
    <m/>
    <m/>
    <m/>
    <m/>
    <m/>
    <m/>
    <m/>
    <m/>
    <m/>
    <m/>
    <m/>
    <m/>
    <m/>
    <m/>
    <m/>
    <m/>
    <m/>
    <m/>
    <m/>
    <m/>
    <m/>
    <m/>
    <m/>
    <m/>
    <m/>
    <s v="NO"/>
    <m/>
    <m/>
    <m/>
    <m/>
    <m/>
    <m/>
    <m/>
    <m/>
    <m/>
    <m/>
    <m/>
    <m/>
    <m/>
    <m/>
    <m/>
    <m/>
    <m/>
    <m/>
    <m/>
    <m/>
    <m/>
    <m/>
    <m/>
    <s v="NO"/>
    <m/>
    <m/>
    <m/>
    <m/>
    <m/>
    <m/>
    <m/>
    <m/>
    <m/>
    <m/>
    <m/>
    <m/>
    <m/>
    <m/>
    <m/>
    <m/>
    <m/>
    <m/>
    <m/>
    <m/>
    <m/>
    <m/>
    <m/>
    <m/>
    <m/>
    <m/>
    <m/>
    <m/>
    <m/>
    <m/>
    <m/>
    <m/>
    <m/>
    <m/>
    <m/>
    <m/>
    <m/>
    <m/>
    <m/>
    <m/>
    <m/>
    <m/>
    <m/>
    <m/>
    <s v="NO"/>
    <m/>
    <m/>
    <m/>
    <s v="YES"/>
    <s v="October"/>
    <n v="2017"/>
    <m/>
    <x v="0"/>
    <m/>
    <m/>
    <m/>
    <m/>
    <m/>
    <m/>
    <m/>
    <m/>
    <m/>
    <x v="1"/>
    <s v="1. Supported labour saving agri machinary targeting to reduce samll holder women farmer's workload. 2. Response directed to support extreme poor household"/>
    <x v="1"/>
    <s v="Different labour saving agri machinary use and using UCPVA tool to reach out extreme poor household"/>
    <x v="2"/>
    <x v="0"/>
    <s v="YES"/>
    <x v="0"/>
    <x v="0"/>
    <x v="0"/>
    <x v="0"/>
    <n v="4"/>
    <x v="1"/>
    <x v="1"/>
    <x v="1"/>
    <x v="1"/>
    <x v="1"/>
    <x v="1"/>
    <n v="4"/>
    <x v="1"/>
    <x v="1"/>
    <x v="1"/>
    <x v="1"/>
    <x v="1"/>
    <n v="3"/>
    <x v="3"/>
    <x v="3"/>
    <n v="3"/>
    <s v="Local NGO(s)/CSO(s)"/>
    <m/>
    <m/>
    <x v="0"/>
    <s v="Capacity enhancement of cooperatives in planning and implementation for the favor of peasant"/>
    <m/>
    <s v="Engaging cooperative in production and supply base business plan preparation"/>
    <s v="Hat bazaar manage by local community in rural area"/>
    <s v="Linkage between producer and mareketer for ease marketing of product"/>
    <s v="Initially, all the recovery activities were on farm related which could not respond the landless agricultural labor and peasant. Letter on, project team realized that off farm recovery activities also to be designed. Eventually, those activities proved effective to recover livelihood of landless."/>
    <s v="Business development service proved effective for transitioning community and household from relief to recovery and finally towards sustainable development mode"/>
    <s v="Silpauline plastic tunnel with dirp set supplement proved as an appropriate solution of semi-commercial vegetable production for smallholder farmer in areas where there is water scarcity. Drip has been proved as an effective water efficient irrigation technology for small scale farmers."/>
    <m/>
    <s v="Final progress report, review and learning event report  and Data from M&amp;E systm"/>
    <n v="8364"/>
    <n v="0"/>
    <n v="0"/>
    <n v="0.49928263988522237"/>
    <s v=""/>
    <n v="4176"/>
    <n v="0"/>
    <n v="1"/>
    <n v="8364"/>
    <n v="0"/>
    <n v="0"/>
    <n v="1"/>
    <n v="8364"/>
    <n v="0"/>
    <n v="0"/>
    <s v=""/>
    <n v="0"/>
    <n v="0"/>
    <s v=""/>
    <s v=""/>
    <n v="0"/>
    <n v="0"/>
    <s v=""/>
    <s v=""/>
    <n v="0"/>
    <n v="0"/>
    <s v=""/>
    <s v="2. Sensitive"/>
    <s v="2. Accommodating"/>
    <s v="2. Sensitive"/>
    <s v="It tested new ways for fighting poverty, but did not measure results of innovation"/>
    <s v="Little or no advocacy"/>
    <s v="It linked and worked with strategic alliances and partners to take tested and effective solutions to scale"/>
  </r>
  <r>
    <x v="51"/>
    <x v="0"/>
    <m/>
    <s v="Strengthening Access to Fair and Equitable Justice (SAFE Justice) Project"/>
    <s v="Nepal"/>
    <s v="PID: CGBRNP0084 &amp; FC GB635"/>
    <s v="CARE UK"/>
    <s v="Government"/>
    <s v="Government - UK"/>
    <s v="DFID"/>
    <m/>
    <m/>
    <m/>
    <m/>
    <m/>
    <m/>
    <m/>
    <m/>
    <m/>
    <m/>
    <m/>
    <m/>
    <m/>
    <m/>
    <m/>
    <m/>
    <m/>
    <m/>
    <m/>
    <m/>
    <m/>
    <m/>
    <m/>
    <m/>
    <m/>
    <m/>
    <m/>
    <m/>
    <m/>
    <m/>
    <m/>
    <m/>
    <m/>
    <m/>
    <m/>
    <m/>
    <m/>
    <m/>
    <m/>
    <m/>
    <m/>
    <m/>
    <m/>
    <m/>
    <m/>
    <d v="2016-10-04T00:00:00"/>
    <d v="2019-10-03T00:00:00"/>
    <m/>
    <s v="Development A Life Free From Violence (GBV)"/>
    <n v="2376000"/>
    <s v="Santosh Sigdel"/>
    <s v="Team Leader"/>
    <s v="santosh.sigdel@care.org"/>
    <s v="Bishnu Nepali"/>
    <s v="Monitoring and Evaluation Officer"/>
    <s v="bishnu.nepali@care.org"/>
    <s v="NO"/>
    <s v="YES"/>
    <s v="NO"/>
    <s v="To build trust between poor and marginalised communities, in particular vulnerable groups within those communities, and formal and informal justice providers, in order to enable marginalised populations to access fair and equitable justice"/>
    <s v="Sub-National"/>
    <s v="Nepal, Province-3: Panchpokhari Thangpal, Gajuri and Benighat Rorang rural municipality province-4: Palungtar Municipality, Sulikot, Siranchok and Bhimsenrural municipality,  Province-7: Chaurpati &amp; Bannigadhi rural municipality, Budhiganga &amp; Budhinand municipality"/>
    <s v="People from poor, vulnerable and socially excluded communities, particularly women and girls"/>
    <n v="13630"/>
    <n v="11693"/>
    <n v="25323"/>
    <n v="36942"/>
    <n v="27500"/>
    <n v="64442"/>
    <s v="The direct participants will be the people who participate in project initiatives directly and the indirect participants will be count from total family members of direct participants, other people of respective settlement where REFLECT class conducted and sorrounding community people"/>
    <m/>
    <m/>
    <m/>
    <m/>
    <m/>
    <m/>
    <m/>
    <m/>
    <m/>
    <m/>
    <m/>
    <m/>
    <m/>
    <m/>
    <m/>
    <m/>
    <m/>
    <m/>
    <m/>
    <m/>
    <m/>
    <m/>
    <m/>
    <m/>
    <m/>
    <m/>
    <m/>
    <m/>
    <m/>
    <m/>
    <m/>
    <m/>
    <m/>
    <m/>
    <m/>
    <m/>
    <m/>
    <m/>
    <m/>
    <m/>
    <m/>
    <m/>
    <m/>
    <m/>
    <m/>
    <m/>
    <m/>
    <m/>
    <m/>
    <m/>
    <m/>
    <m/>
    <m/>
    <m/>
    <m/>
    <m/>
    <m/>
    <m/>
    <m/>
    <m/>
    <m/>
    <m/>
    <m/>
    <m/>
    <m/>
    <m/>
    <s v="NO"/>
    <m/>
    <m/>
    <m/>
    <s v="NO"/>
    <m/>
    <m/>
    <m/>
    <s v="NO"/>
    <m/>
    <m/>
    <m/>
    <s v="NO"/>
    <m/>
    <m/>
    <m/>
    <s v="NO"/>
    <m/>
    <m/>
    <m/>
    <s v="NO"/>
    <m/>
    <m/>
    <m/>
    <s v="NO"/>
    <m/>
    <m/>
    <m/>
    <s v="YES"/>
    <n v="6167"/>
    <n v="0.52667423382519796"/>
    <n v="18480"/>
    <s v="NO"/>
    <m/>
    <m/>
    <m/>
    <s v="NO"/>
    <m/>
    <m/>
    <m/>
    <s v="NO"/>
    <m/>
    <m/>
    <m/>
    <s v="NO"/>
    <m/>
    <m/>
    <m/>
    <s v="NO"/>
    <m/>
    <m/>
    <m/>
    <s v="NO"/>
    <m/>
    <m/>
    <m/>
    <s v="NO"/>
    <m/>
    <m/>
    <m/>
    <s v="NO"/>
    <m/>
    <m/>
    <m/>
    <m/>
    <s v="NO"/>
    <m/>
    <m/>
    <m/>
    <s v="NO"/>
    <m/>
    <m/>
    <s v="NO"/>
    <s v="YES"/>
    <s v="April"/>
    <n v="2018"/>
    <s v="SAFE Justice project is going to conduct Justice context and social norms mapping in Sept 2017 along with mid term evaluation will be conduct in April 2017"/>
    <x v="1"/>
    <s v="NO"/>
    <s v="YES"/>
    <s v="YES"/>
    <s v="YES"/>
    <s v="NO"/>
    <s v="NO"/>
    <s v="NO"/>
    <s v="NO"/>
    <m/>
    <x v="1"/>
    <s v="Empower to community people through REFLECT facilitation and make accountable to service providers through community score card"/>
    <x v="1"/>
    <s v="We will closely work with FWLD for legal services and will work with local level partner organizations"/>
    <x v="2"/>
    <x v="1"/>
    <s v="YES"/>
    <x v="0"/>
    <x v="0"/>
    <x v="0"/>
    <x v="2"/>
    <n v="4"/>
    <x v="1"/>
    <x v="1"/>
    <x v="1"/>
    <x v="1"/>
    <x v="1"/>
    <x v="1"/>
    <n v="4"/>
    <x v="2"/>
    <x v="2"/>
    <x v="2"/>
    <x v="2"/>
    <x v="2"/>
    <n v="0"/>
    <x v="0"/>
    <x v="3"/>
    <n v="5"/>
    <s v="Local alliance(s)/Platform(s)/Network(s) of  NGOs/CSOs"/>
    <m/>
    <m/>
    <x v="1"/>
    <m/>
    <m/>
    <s v="Participatory tools such as access mapping, resource mapping and wellbeing ranking became more effective tools for Selection of poverty pocket and REFLECT participants"/>
    <s v="REFLECT methodology is more effective strategy to empower the voiceless people"/>
    <s v="Local level stakeholders' involvement from the beginning of the program is more effective to build ownership towards the program as well as inter sectoral integration plan makes easy to build synergy in program"/>
    <s v="Due to current local restructuring, power dynamics have transferred from central/district level to local level in Nepal. Therefore, local bodies have more authorities and responsibilities to mobilize civil society organization at local level. So, it is crucial to conduct inception meeting and DPAC meeting/ visit in rural/municipality level."/>
    <s v="Joint planning and budgeting in consultations with local stakeholders and community is essential to address community needs and budget allocation on actual basis for the activities. This process will help increase community ownership towards project."/>
    <s v="It is essential to seek to find ways to build greater synergy between IP-SSJ local implementers, district government agencies program and other similar implementing partners in the same districts and between complementary programmes for joint effort to eliminate all forms of GBV in the district and avoid duplication of activities"/>
    <m/>
    <m/>
    <n v="0"/>
    <n v="0"/>
    <s v=""/>
    <s v=""/>
    <s v=""/>
    <n v="0"/>
    <n v="0"/>
    <s v=""/>
    <n v="0"/>
    <n v="0"/>
    <s v=""/>
    <s v=""/>
    <n v="0"/>
    <n v="0"/>
    <s v=""/>
    <s v=""/>
    <n v="0"/>
    <n v="0"/>
    <s v=""/>
    <n v="1"/>
    <n v="6167"/>
    <n v="18480"/>
    <n v="2.9965947786606129"/>
    <s v=""/>
    <n v="0"/>
    <n v="0"/>
    <s v=""/>
    <s v="4. Transformative"/>
    <s v="2. Accommodating"/>
    <s v="0. Harmful"/>
    <s v="It tested new ways for fighting poverty, but did not measure results of innovation"/>
    <s v="Moderate advocacy"/>
    <s v="It linked and worked with strategic alliances and partners to take tested and effective solutions to scale"/>
  </r>
  <r>
    <x v="51"/>
    <x v="0"/>
    <n v="3169"/>
    <s v="Stronger communities and safer habitat: Promoting self-recovery Project"/>
    <s v="Nepal"/>
    <s v="CDEUNP0012"/>
    <s v="CARE Deutschland-Luxemburg"/>
    <s v="Other"/>
    <s v="Other"/>
    <s v="Aktion Deutschland Hilft (ADH)"/>
    <m/>
    <m/>
    <m/>
    <m/>
    <m/>
    <m/>
    <m/>
    <m/>
    <m/>
    <m/>
    <m/>
    <m/>
    <m/>
    <m/>
    <m/>
    <m/>
    <m/>
    <m/>
    <m/>
    <m/>
    <m/>
    <m/>
    <m/>
    <m/>
    <m/>
    <m/>
    <m/>
    <m/>
    <m/>
    <m/>
    <m/>
    <m/>
    <m/>
    <m/>
    <m/>
    <m/>
    <m/>
    <m/>
    <m/>
    <m/>
    <m/>
    <m/>
    <m/>
    <m/>
    <m/>
    <d v="2016-01-01T00:00:00"/>
    <d v="2017-12-31T00:00:00"/>
    <m/>
    <s v="Humanitarian Other"/>
    <n v="2244000"/>
    <s v="Umesh Shrestha"/>
    <s v="Team Leader - Shelter"/>
    <s v="umesh.shrestha@care.org"/>
    <s v="Santosh Sharma"/>
    <s v="Team Leader - Emergency Recovery and Response Program"/>
    <s v="santosh.sharma@care.org"/>
    <s v="YES"/>
    <s v="NO"/>
    <s v="NO"/>
    <s v="To increase the number of newly built or rebuilt houses that incorporate Building Back Safer (BBS) methods in (re)construction as well as to support in broader community DRR processes"/>
    <s v="Sub-National"/>
    <s v="3 ward of Melamchi Municipality and 4 ward of Panchpokhari Thangpal Rural Municipality (Gaupalika) of Sindhupalchowk Districts and 2 Ward of Palungtar Municipality and 13 Ward of 4 Gaupalika (Sulikot 1&amp;2, Dharche 1-6, Siranchowk 3-6, Ajirkot-5 and Palungtar 1-2) of Gorkha i.e 11 VDC of Gorkha and 6 VDC of Sidnhupalchowk districts based on earlier structure.   "/>
    <s v="15,709 households (comprising of 62,836 individualson average there are 4 individuals per household) from 17 VDCs have increased awareness of safer home construction on earthquake resistant techniques, government policy, hygiene, energy saving, accessibility for disable people, gender issues, and housing land &amp; property rights"/>
    <n v="5681"/>
    <n v="7352"/>
    <n v="13033"/>
    <m/>
    <m/>
    <m/>
    <s v="Almost all of the houses in the target 16 VDCs were significantly damaged by the earthquake. This project has been target all the families in these poor, remote hilly regions. CARE Nepal targeting 15709 households  from 17 VDCs have increased awareness of safer home construction on earthquake resistant techniques, government policy, hygiene, energy saving, accessibility for disable people, gender issues, and housing land &amp; property rights as a direct benificiaries."/>
    <m/>
    <n v="27483"/>
    <n v="28082"/>
    <n v="55565"/>
    <m/>
    <m/>
    <m/>
    <s v="NO"/>
    <m/>
    <m/>
    <m/>
    <s v="NO"/>
    <m/>
    <m/>
    <m/>
    <s v="NO"/>
    <m/>
    <m/>
    <m/>
    <s v="NO"/>
    <m/>
    <m/>
    <m/>
    <s v="NO"/>
    <m/>
    <m/>
    <m/>
    <s v="NO"/>
    <m/>
    <m/>
    <m/>
    <s v="NO"/>
    <m/>
    <m/>
    <m/>
    <s v="NO"/>
    <m/>
    <m/>
    <m/>
    <s v="NO"/>
    <m/>
    <m/>
    <m/>
    <s v="NO"/>
    <m/>
    <m/>
    <m/>
    <s v="YES"/>
    <n v="55565"/>
    <n v="0.49"/>
    <m/>
    <s v="NO"/>
    <m/>
    <m/>
    <m/>
    <m/>
    <s v="NO"/>
    <m/>
    <m/>
    <m/>
    <m/>
    <m/>
    <m/>
    <m/>
    <m/>
    <m/>
    <s v="NO"/>
    <m/>
    <m/>
    <m/>
    <s v="NO"/>
    <m/>
    <m/>
    <m/>
    <s v="NO"/>
    <m/>
    <m/>
    <m/>
    <s v="NO"/>
    <m/>
    <m/>
    <m/>
    <s v="NO"/>
    <m/>
    <m/>
    <m/>
    <s v="NO"/>
    <m/>
    <m/>
    <m/>
    <s v="NO"/>
    <m/>
    <m/>
    <m/>
    <s v="NO"/>
    <m/>
    <m/>
    <m/>
    <s v="NO"/>
    <m/>
    <m/>
    <m/>
    <s v="NO"/>
    <m/>
    <m/>
    <m/>
    <s v="NO"/>
    <m/>
    <m/>
    <m/>
    <s v="NO"/>
    <m/>
    <m/>
    <m/>
    <s v="NO"/>
    <m/>
    <m/>
    <m/>
    <s v="NO"/>
    <m/>
    <m/>
    <m/>
    <s v="NO"/>
    <m/>
    <m/>
    <m/>
    <s v="NO"/>
    <m/>
    <m/>
    <m/>
    <m/>
    <s v="NO"/>
    <m/>
    <m/>
    <m/>
    <s v="YES"/>
    <s v="June"/>
    <n v="2016"/>
    <s v="NO"/>
    <s v="YES"/>
    <s v="December"/>
    <n v="2017"/>
    <m/>
    <x v="1"/>
    <s v="NO"/>
    <s v="YES"/>
    <s v="NO"/>
    <s v="YES"/>
    <s v="NO"/>
    <s v="NO"/>
    <s v="YES"/>
    <s v="NO"/>
    <m/>
    <x v="1"/>
    <s v="Women's enguagment in reconstruction and recovery program through provided Masons training."/>
    <x v="0"/>
    <m/>
    <x v="2"/>
    <x v="1"/>
    <s v="YES"/>
    <x v="1"/>
    <x v="0"/>
    <x v="0"/>
    <x v="4"/>
    <n v="3"/>
    <x v="1"/>
    <x v="1"/>
    <x v="1"/>
    <x v="2"/>
    <x v="1"/>
    <x v="1"/>
    <n v="3"/>
    <x v="1"/>
    <x v="1"/>
    <x v="1"/>
    <x v="1"/>
    <x v="1"/>
    <n v="3"/>
    <x v="2"/>
    <x v="2"/>
    <n v="2"/>
    <s v="Local NGO(s)/CSO(s)"/>
    <s v="Media or journalist network(s)"/>
    <s v="International NGO(s)"/>
    <x v="2"/>
    <s v="Care nepal have provided the training to the Local disaster management committee and ward level disaster management committee to strengthen their capacity for preperedness for disaster. These committee includes member from political parties,teacher, governmental official, ward citizen membe, citizen awareness committe member, members from womens group. In adidtion, local NGO network, CBOs were partcipated in Public audit initiatives."/>
    <m/>
    <s v="Enguaging Men"/>
    <s v="UCPVA"/>
    <s v="Local Desaster Mitigation Planning through vulanerabilty and capacity analysis."/>
    <s v="Collaborating with the Local authority and GON agencies of the project area on model house and resource center construction as well as LDRMP preparation and roll out increases downward accountability."/>
    <s v="Sensitizing local builders and community members is fruitful in getting their participation and better understanding of the issue on safe and accessible habitat."/>
    <s v="Trained masons can be mobilized to support ongoing model houses and resource centers as well as personal shelters under construction in the communities. They will be useful for any future construction, WASH or DRR projects by CARE in the districts."/>
    <s v="CARE Nepals earthquake response strategic plan integrates emergency, (early) recovery and rehabilitation across four sectors (Shelter, WASH, Food Security and Livelihoods and Sexual, Reproductive and Maternal health) with gender, GBV, social inclusion, protection and housing and land rights as cross-cutting themes. The strategy covers 100,000 individuals (20,000 HHs), in a span of four year period with a corresponding budget of 40 million budget. The ADH project constitutes of an integral part of CARE Nepals broad earthquake strategic response, recovery, and reconstruction plan. The ADH project constitutes 5% of the total secured grants and contracts for the Nepal earthquake response."/>
    <m/>
    <n v="55565"/>
    <n v="0"/>
    <n v="0"/>
    <n v="0.49460991631422657"/>
    <s v=""/>
    <n v="27483"/>
    <n v="0"/>
    <n v="1"/>
    <n v="55565"/>
    <n v="0"/>
    <n v="0"/>
    <s v=""/>
    <n v="0"/>
    <n v="0"/>
    <s v=""/>
    <s v=""/>
    <n v="0"/>
    <n v="0"/>
    <s v=""/>
    <s v=""/>
    <n v="0"/>
    <n v="0"/>
    <s v=""/>
    <s v=""/>
    <n v="0"/>
    <n v="0"/>
    <s v=""/>
    <s v="3. Responsive"/>
    <s v="2. Accommodating"/>
    <s v="2. Sensitive"/>
    <s v="It tested new ways for fighting poverty, but did not measure results of innovation"/>
    <s v="Moderate advocacy"/>
    <s v="It did not take tested solutions to scale"/>
  </r>
  <r>
    <x v="51"/>
    <x v="0"/>
    <m/>
    <s v="Suaaahara II"/>
    <s v="Nepal"/>
    <s v="HEKINP0001"/>
    <s v="CARE USA"/>
    <s v="Government"/>
    <s v="Government - US"/>
    <s v="USAID"/>
    <m/>
    <m/>
    <m/>
    <m/>
    <m/>
    <m/>
    <m/>
    <m/>
    <m/>
    <m/>
    <m/>
    <m/>
    <m/>
    <m/>
    <m/>
    <m/>
    <m/>
    <m/>
    <m/>
    <m/>
    <m/>
    <m/>
    <m/>
    <m/>
    <m/>
    <m/>
    <m/>
    <m/>
    <m/>
    <m/>
    <m/>
    <m/>
    <m/>
    <m/>
    <m/>
    <m/>
    <m/>
    <m/>
    <m/>
    <m/>
    <m/>
    <m/>
    <m/>
    <m/>
    <m/>
    <d v="2016-04-01T00:00:00"/>
    <d v="2021-03-31T00:00:00"/>
    <m/>
    <s v="Development Sexual, Reproductive and Maternal Health (SRMH)"/>
    <n v="12791459"/>
    <s v="Chirinjibi Nepal"/>
    <s v="SRMH and GBV Coordinator"/>
    <s v="chirinjibi.nepal@care.org"/>
    <s v="Min Raj Gyawali"/>
    <s v="Sr. Manager-Health Services"/>
    <s v="min.gyawali@care.org"/>
    <s v="NO"/>
    <s v="YES"/>
    <s v="NO"/>
    <s v="To improve the nutritional status of the women and children in 40 districts of Nepal"/>
    <s v="Sub-National"/>
    <s v="40 districts of Nepal (covering 389 Rural and Urban Municipalities as per new structure)"/>
    <s v="The impact group of the project are pregnant women, newborns and women of reproductive age and under 5 years children"/>
    <n v="1500000"/>
    <n v="1266125"/>
    <n v="2766125"/>
    <n v="9963782"/>
    <n v="804320"/>
    <n v="10768102"/>
    <s v="The direct participants are the pregnant and lactating women and adolescent girls. And the indirect participants are mother-in-laws and male members of the families."/>
    <m/>
    <m/>
    <m/>
    <m/>
    <m/>
    <m/>
    <m/>
    <m/>
    <m/>
    <m/>
    <m/>
    <m/>
    <m/>
    <m/>
    <m/>
    <m/>
    <m/>
    <m/>
    <m/>
    <m/>
    <m/>
    <m/>
    <m/>
    <m/>
    <m/>
    <m/>
    <m/>
    <m/>
    <m/>
    <m/>
    <m/>
    <m/>
    <m/>
    <m/>
    <m/>
    <m/>
    <m/>
    <m/>
    <m/>
    <m/>
    <m/>
    <m/>
    <m/>
    <m/>
    <m/>
    <m/>
    <m/>
    <m/>
    <m/>
    <m/>
    <m/>
    <m/>
    <m/>
    <m/>
    <m/>
    <m/>
    <m/>
    <m/>
    <m/>
    <m/>
    <n v="770562"/>
    <m/>
    <n v="770562"/>
    <m/>
    <n v="2427316"/>
    <n v="2427316"/>
    <s v="NO"/>
    <m/>
    <m/>
    <m/>
    <s v="NO"/>
    <m/>
    <m/>
    <m/>
    <s v="NO"/>
    <m/>
    <m/>
    <m/>
    <s v="NO"/>
    <m/>
    <m/>
    <m/>
    <s v="NO"/>
    <m/>
    <m/>
    <m/>
    <s v="NO"/>
    <m/>
    <m/>
    <m/>
    <s v="NO"/>
    <m/>
    <m/>
    <m/>
    <s v="NO"/>
    <m/>
    <m/>
    <m/>
    <s v="NO"/>
    <m/>
    <m/>
    <m/>
    <s v="NO"/>
    <m/>
    <m/>
    <m/>
    <s v="NO"/>
    <m/>
    <m/>
    <m/>
    <s v="NO"/>
    <m/>
    <m/>
    <m/>
    <s v="NO"/>
    <m/>
    <m/>
    <m/>
    <s v="YES"/>
    <n v="770562"/>
    <n v="0.56000000000000005"/>
    <n v="2427316"/>
    <s v="NO"/>
    <m/>
    <m/>
    <m/>
    <s v="NO"/>
    <m/>
    <m/>
    <m/>
    <m/>
    <m/>
    <m/>
    <m/>
    <m/>
    <s v="YES"/>
    <s v="May"/>
    <n v="2017"/>
    <s v="NO"/>
    <s v="YES"/>
    <s v="May"/>
    <n v="2018"/>
    <m/>
    <x v="1"/>
    <s v="NO"/>
    <s v="NO"/>
    <s v="YES"/>
    <s v="YES"/>
    <s v="YES"/>
    <s v="NO"/>
    <s v="NO"/>
    <m/>
    <m/>
    <x v="1"/>
    <s v="Tested time diary tools with an aim to visualize and value unpaid works of women in communities"/>
    <x v="1"/>
    <s v="The tried and tested package of Community Based Integrated mananegemnt of newborn and childhood ilness in partnership of government of Nepal was scaled up in Dadeldhura nd Kavre districts. Similarly, CARE Nepal's innovative tools of Community Health Score board (CHSB) and Self Applied techinique for quality health (SATH) were scaled up with the help of partners and District health offices in the 5 districts."/>
    <x v="1"/>
    <x v="1"/>
    <s v="YES"/>
    <x v="0"/>
    <x v="0"/>
    <x v="0"/>
    <x v="2"/>
    <n v="4"/>
    <x v="1"/>
    <x v="1"/>
    <x v="1"/>
    <x v="1"/>
    <x v="1"/>
    <x v="1"/>
    <n v="4"/>
    <x v="3"/>
    <x v="1"/>
    <x v="1"/>
    <x v="1"/>
    <x v="4"/>
    <n v="3"/>
    <x v="0"/>
    <x v="2"/>
    <n v="39"/>
    <s v="Local NGO(s)/CSO(s)"/>
    <m/>
    <m/>
    <x v="0"/>
    <s v="The capacity of the partners staff were improved on household monitroing through LQAS. Similarly, their capacities were also strengthened in CB-IMNCI package and in the issue of gender based voilence and its mitigation."/>
    <m/>
    <s v="Self-applied techinque for health, adopted by local governing bodies on their on fund in Suaahara II district"/>
    <s v="Resource pooling within different CARE run project such as SAMMAN, Hariyoban whereby mobilization as resource persons as well as mentor in various community based activities and national level trainings."/>
    <s v="Support in the scaling up of government innitiatives; basically CB-IMNCI"/>
    <s v="Enhancing capacity of the healthcare providers and FCHVs by post-training follow-up, coaching, and mentoring is the key for delivering quality services."/>
    <s v="Regular and consistent consultations with government team at center and district levels as well as with relevant stakeholders helps to create environment for smooth implementation of the initiatives."/>
    <s v="Involvement of district governing bodies in program planning promote the good governance and also make them realize their responsibilities and accountabilities in promotion of maternal and neonatal health"/>
    <m/>
    <m/>
    <n v="770562"/>
    <n v="2427316"/>
    <n v="3.1500593073626781"/>
    <n v="1"/>
    <n v="0"/>
    <n v="770562"/>
    <n v="0"/>
    <s v=""/>
    <n v="0"/>
    <n v="0"/>
    <s v=""/>
    <s v=""/>
    <n v="0"/>
    <n v="0"/>
    <s v=""/>
    <n v="1"/>
    <n v="770562"/>
    <n v="2427316"/>
    <n v="3.1500593073626781"/>
    <s v=""/>
    <n v="0"/>
    <n v="0"/>
    <s v=""/>
    <s v=""/>
    <n v="0"/>
    <n v="0"/>
    <s v=""/>
    <s v="4. Transformative"/>
    <s v="2. Accommodating"/>
    <s v="4. Transformative"/>
    <s v="It tested new ways for fighting poverty, but did not measure results of innovation"/>
    <s v="Moderate advocacy"/>
    <s v="It linked and worked with strategic alliances and partners to take tested and effective solutions to scale"/>
  </r>
  <r>
    <x v="51"/>
    <x v="0"/>
    <n v="3205"/>
    <s v="Udaan - Catching the Missed Opportunity"/>
    <s v="Nepal"/>
    <s v="CAUTNP0058"/>
    <s v="CARE Österreich"/>
    <s v="Individual supporter"/>
    <s v="Other"/>
    <s v="OFID"/>
    <m/>
    <m/>
    <m/>
    <m/>
    <m/>
    <m/>
    <m/>
    <m/>
    <m/>
    <m/>
    <m/>
    <m/>
    <m/>
    <m/>
    <m/>
    <m/>
    <m/>
    <m/>
    <m/>
    <m/>
    <m/>
    <m/>
    <m/>
    <m/>
    <m/>
    <m/>
    <m/>
    <m/>
    <m/>
    <m/>
    <m/>
    <m/>
    <m/>
    <m/>
    <m/>
    <m/>
    <m/>
    <m/>
    <m/>
    <m/>
    <m/>
    <m/>
    <m/>
    <m/>
    <m/>
    <d v="2013-11-01T00:00:00"/>
    <d v="2016-10-01T00:00:00"/>
    <d v="2017-04-01T00:00:00"/>
    <s v="Development Other"/>
    <n v="650000"/>
    <s v="Urmila Simkhada"/>
    <s v="Program Coordinator"/>
    <s v="urmila.simkhada@care.org"/>
    <m/>
    <m/>
    <m/>
    <s v="NO"/>
    <s v="YES"/>
    <s v="NO"/>
    <s v="More girls of the poorest, most vulnerable and socially excluded families in Nepal have completed grade 5, 6 &amp; 7 education, contributing to MDG 2."/>
    <s v="National"/>
    <s v="Kapilvastu (Nepal)"/>
    <s v="Adolescent girls and marginalised women"/>
    <n v="550"/>
    <n v="140"/>
    <n v="690"/>
    <n v="467"/>
    <n v="467"/>
    <n v="934"/>
    <s v="Direct participants are out of school adolescent girls who are provided educational opportunities by the Proejct.  Also another direct participants are School studentst. Indirect participants are  parents out of school girls Udaan students,"/>
    <m/>
    <m/>
    <m/>
    <m/>
    <m/>
    <m/>
    <m/>
    <m/>
    <m/>
    <m/>
    <m/>
    <m/>
    <m/>
    <m/>
    <m/>
    <m/>
    <m/>
    <m/>
    <m/>
    <m/>
    <m/>
    <m/>
    <m/>
    <m/>
    <m/>
    <m/>
    <m/>
    <m/>
    <m/>
    <m/>
    <m/>
    <m/>
    <m/>
    <m/>
    <m/>
    <m/>
    <m/>
    <m/>
    <m/>
    <m/>
    <m/>
    <m/>
    <m/>
    <m/>
    <m/>
    <m/>
    <m/>
    <m/>
    <m/>
    <m/>
    <m/>
    <m/>
    <m/>
    <m/>
    <m/>
    <m/>
    <m/>
    <m/>
    <m/>
    <m/>
    <n v="550"/>
    <n v="140"/>
    <n v="690"/>
    <n v="467"/>
    <n v="467"/>
    <n v="934"/>
    <m/>
    <m/>
    <m/>
    <m/>
    <m/>
    <m/>
    <m/>
    <m/>
    <m/>
    <m/>
    <m/>
    <m/>
    <m/>
    <m/>
    <m/>
    <m/>
    <m/>
    <m/>
    <m/>
    <m/>
    <s v="YES"/>
    <n v="690"/>
    <n v="1"/>
    <m/>
    <m/>
    <m/>
    <m/>
    <m/>
    <m/>
    <m/>
    <m/>
    <m/>
    <m/>
    <m/>
    <m/>
    <m/>
    <m/>
    <m/>
    <m/>
    <m/>
    <m/>
    <m/>
    <m/>
    <m/>
    <m/>
    <m/>
    <m/>
    <m/>
    <m/>
    <m/>
    <m/>
    <m/>
    <m/>
    <m/>
    <m/>
    <m/>
    <m/>
    <m/>
    <m/>
    <m/>
    <m/>
    <m/>
    <m/>
    <m/>
    <m/>
    <m/>
    <m/>
    <m/>
    <m/>
    <s v="NO"/>
    <m/>
    <m/>
    <s v="YES"/>
    <s v="NO"/>
    <m/>
    <m/>
    <m/>
    <x v="0"/>
    <s v="NO"/>
    <s v="NO"/>
    <s v="YES"/>
    <s v="YES"/>
    <s v="YES"/>
    <s v="NO"/>
    <s v="NO"/>
    <s v="NO"/>
    <m/>
    <x v="1"/>
    <s v="Three year's course condensed for completing within one year UALC with approval of department of education. Developed innovative learning materials for imprving quality education of UDAN girls"/>
    <x v="3"/>
    <s v="Scaled up to Hausala Initiative"/>
    <x v="3"/>
    <x v="0"/>
    <s v="YES"/>
    <x v="0"/>
    <x v="0"/>
    <x v="0"/>
    <x v="0"/>
    <n v="4"/>
    <x v="2"/>
    <x v="1"/>
    <x v="1"/>
    <x v="1"/>
    <x v="2"/>
    <x v="5"/>
    <n v="3"/>
    <x v="3"/>
    <x v="1"/>
    <x v="1"/>
    <x v="1"/>
    <x v="4"/>
    <n v="3"/>
    <x v="2"/>
    <x v="2"/>
    <n v="1"/>
    <s v="Local NGO(s)/CSO(s)"/>
    <m/>
    <m/>
    <x v="1"/>
    <m/>
    <m/>
    <s v="Regular close programatice coordiantion with key Government line agencies"/>
    <s v="Regular review /reflection - community level, district level, and national level"/>
    <s v="Engaging cooperative to develop policy to support PVSE girls students for Education"/>
    <s v="Continue follow up and support for UDAN graduate students"/>
    <s v="Program approcah is the best approch for sustainbility acheivement"/>
    <m/>
    <s v="1st phase to 2nd phase project period gap is lost acheivements"/>
    <s v="End line survey and Final evaluation report of Udaan project."/>
    <n v="690"/>
    <n v="934"/>
    <n v="1.3536231884057972"/>
    <n v="0.79710144927536231"/>
    <n v="0.5"/>
    <n v="550"/>
    <n v="467"/>
    <s v=""/>
    <n v="0"/>
    <n v="0"/>
    <s v=""/>
    <s v=""/>
    <n v="0"/>
    <n v="0"/>
    <s v=""/>
    <s v=""/>
    <n v="0"/>
    <n v="0"/>
    <s v=""/>
    <s v=""/>
    <n v="0"/>
    <n v="0"/>
    <s v=""/>
    <s v=""/>
    <n v="0"/>
    <n v="0"/>
    <s v=""/>
    <s v="2. Sensitive"/>
    <s v="3. Responsive"/>
    <s v="4. Transformative"/>
    <s v="It tested new ways for fighting poverty, but did not measure results of innovation"/>
    <s v="Little or no advocacy"/>
    <s v="It took tested solutions to scale on its own"/>
  </r>
  <r>
    <x v="51"/>
    <x v="0"/>
    <n v="3182"/>
    <s v="VISTAR-II: Strengthening resilience of communities and institutions from the impacts of natural disaster in far and mid western regions og Nepal"/>
    <s v="Nepal"/>
    <s v="CAUTNP0076"/>
    <s v="CARE Österreich"/>
    <s v="Other"/>
    <s v="ECHO - European Commission for Humanitarian Aid and Civil Protection"/>
    <s v="Austrian Development Cooperation"/>
    <m/>
    <m/>
    <m/>
    <m/>
    <m/>
    <m/>
    <m/>
    <m/>
    <m/>
    <m/>
    <m/>
    <m/>
    <m/>
    <m/>
    <m/>
    <m/>
    <m/>
    <m/>
    <m/>
    <m/>
    <m/>
    <m/>
    <m/>
    <m/>
    <m/>
    <m/>
    <m/>
    <m/>
    <m/>
    <m/>
    <m/>
    <m/>
    <m/>
    <m/>
    <m/>
    <m/>
    <m/>
    <m/>
    <m/>
    <m/>
    <m/>
    <m/>
    <m/>
    <m/>
    <m/>
    <d v="2015-03-01T00:00:00"/>
    <d v="2016-12-31T00:00:00"/>
    <m/>
    <s v="Development Other"/>
    <n v="941176.47"/>
    <s v="Kiriti Ray"/>
    <s v="Concortium Coordinator"/>
    <s v="Kiriti.Ray@care.org"/>
    <s v="Surendra Bam"/>
    <s v="Project Manager"/>
    <s v="SurendraB@care.org"/>
    <s v="NO"/>
    <s v="YES"/>
    <s v="NO"/>
    <s v="To build resilience and establish a culture of disaster risk reduction among vulnerable communities and institutions to natural hazard in far and mid western region of Nepal"/>
    <s v="Sub-National"/>
    <s v="Dang, Kailali, Kanchanpur and Dadeldhura"/>
    <s v="women, girls, boys, men and older people from 32 most vulnerable communities affect by natural disasters"/>
    <n v="7237"/>
    <n v="7625"/>
    <n v="14862"/>
    <n v="115870"/>
    <n v="53933"/>
    <n v="169803"/>
    <s v="Direct participants are the people who are involved in different project activities like training, meeting, workshops, Vulnerability and capacity assessment participants, members of different committees, school management committees and focal person, district level DRR focal persons, Female community health volunteers and village disability coordiantion committee members, 32  community population and school students. Indirect beneficiaries are the population of VDC who will be nemefited through disaster risk managment plan preparation and implementation."/>
    <m/>
    <m/>
    <m/>
    <m/>
    <m/>
    <m/>
    <m/>
    <m/>
    <m/>
    <m/>
    <m/>
    <m/>
    <m/>
    <m/>
    <m/>
    <m/>
    <m/>
    <m/>
    <m/>
    <m/>
    <m/>
    <m/>
    <m/>
    <m/>
    <m/>
    <m/>
    <m/>
    <m/>
    <m/>
    <m/>
    <m/>
    <m/>
    <m/>
    <m/>
    <m/>
    <m/>
    <m/>
    <m/>
    <m/>
    <m/>
    <m/>
    <m/>
    <m/>
    <m/>
    <m/>
    <m/>
    <m/>
    <m/>
    <m/>
    <m/>
    <m/>
    <m/>
    <m/>
    <m/>
    <m/>
    <m/>
    <m/>
    <m/>
    <m/>
    <m/>
    <n v="13647"/>
    <n v="13528"/>
    <n v="27175"/>
    <n v="115870"/>
    <n v="53933"/>
    <n v="169803"/>
    <m/>
    <m/>
    <m/>
    <m/>
    <m/>
    <m/>
    <m/>
    <m/>
    <m/>
    <m/>
    <m/>
    <m/>
    <s v="YES"/>
    <n v="27175"/>
    <n v="0.50218951241950305"/>
    <n v="169803"/>
    <m/>
    <m/>
    <m/>
    <m/>
    <m/>
    <m/>
    <m/>
    <m/>
    <m/>
    <m/>
    <m/>
    <m/>
    <m/>
    <m/>
    <m/>
    <m/>
    <m/>
    <m/>
    <m/>
    <m/>
    <m/>
    <m/>
    <m/>
    <m/>
    <m/>
    <m/>
    <m/>
    <m/>
    <m/>
    <m/>
    <m/>
    <m/>
    <m/>
    <m/>
    <m/>
    <m/>
    <m/>
    <m/>
    <m/>
    <m/>
    <m/>
    <m/>
    <m/>
    <m/>
    <m/>
    <m/>
    <m/>
    <m/>
    <m/>
    <m/>
    <m/>
    <m/>
    <m/>
    <s v="YES"/>
    <s v="December"/>
    <n v="2016"/>
    <s v="YES"/>
    <s v="NO"/>
    <m/>
    <m/>
    <m/>
    <x v="1"/>
    <s v="YES"/>
    <s v="YES"/>
    <s v="YES"/>
    <s v="YES"/>
    <s v="YES"/>
    <s v="NO"/>
    <s v="YES"/>
    <m/>
    <m/>
    <x v="1"/>
    <s v="Thematic linkage to support poor and marginalized people with livelihood opportunities."/>
    <x v="1"/>
    <s v="Involvement of private sector in DRM and integration of DRR fund withinthe system of cooperatives and chamber of commerce"/>
    <x v="3"/>
    <x v="0"/>
    <s v="YES"/>
    <x v="1"/>
    <x v="0"/>
    <x v="0"/>
    <x v="1"/>
    <n v="3"/>
    <x v="1"/>
    <x v="1"/>
    <x v="1"/>
    <x v="1"/>
    <x v="1"/>
    <x v="1"/>
    <n v="4"/>
    <x v="3"/>
    <x v="1"/>
    <x v="1"/>
    <x v="1"/>
    <x v="4"/>
    <n v="3"/>
    <x v="0"/>
    <x v="3"/>
    <n v="3"/>
    <s v="International NGO(s)"/>
    <s v="Local NGO(s)/CSO(s)"/>
    <s v="Local NGO(s)/CSO(s)"/>
    <x v="0"/>
    <s v="Capacity building of different CSOs on DRR, interlinking the disaster management committees at local and district level, Contribution for DRR by differnet CSOs, CFUGs, Mothers group, womens groups etc.."/>
    <m/>
    <s v="80% of women, girls, boys, men and older people from the targeted communities are risk informed and practice DRR activities to reduce their vulnerability as measured against the baseline"/>
    <s v="100% of the targeted District institutionalize CBDP framework and mainstreaming LDRMP/DDMP/LAPA incorporating the specific issues of women, PWD and socially excluded groups into their annual development plans"/>
    <s v="42 targated VDCs across 11 district of Hariyo Ban and 6 districts of Sabal programmes of CARE Nepal internalize, replicate and implement best practices of CBDP framework by end of project"/>
    <s v="Disaster risk reduction is not a standalone effort so the coordination with different district stakeholders is essential. Project tried to bring different actors under one umbrella for DRM but still there are invisible actors like private organizations and individual actors who come to play during disaster and are not included in any of the disaster risk reduction plan. Hence such groups are still to be identified / mapped"/>
    <s v="With the changing situation of country, most of the VDCs are merging as municipalities which have different systems and controlling mechanisms than that of VDC. Hence in order to fit in changing context strategy and designing of the project should be appropriate for both."/>
    <s v="Community Based Disaster Preparedness model fits to all three phases' of disaster risk management with focus on Preparedness for Response and recovery. A well established mechanism for mechanism for coordinated response, government planning process integration with DRR governance owing long term impact and engagement with private sector can contribute to the resources for reconstruction.  Other than this VDC , DDC other sectoral agencies are also allocating budget to regularize preparedness, response and reconstruction"/>
    <m/>
    <s v="Project developed some video documentary to show the impact at community."/>
    <n v="27175"/>
    <n v="169803"/>
    <n v="6.2485004599816003"/>
    <n v="0.50218951241950327"/>
    <n v="0.6823789921261697"/>
    <n v="13647"/>
    <n v="115870"/>
    <s v=""/>
    <n v="0"/>
    <n v="0"/>
    <s v=""/>
    <n v="1"/>
    <n v="27175"/>
    <n v="169803"/>
    <n v="6.2485004599816003"/>
    <s v=""/>
    <n v="0"/>
    <n v="0"/>
    <s v=""/>
    <s v=""/>
    <n v="0"/>
    <n v="0"/>
    <s v=""/>
    <s v=""/>
    <n v="0"/>
    <n v="0"/>
    <s v=""/>
    <s v="1. Neutral"/>
    <s v="2. Accommodating"/>
    <s v="4. Transformative"/>
    <s v="It tested new ways for fighting poverty, but did not measure results of innovation"/>
    <s v="Moderate advocacy"/>
    <s v="It linked and worked with strategic alliances and partners to take tested and effective solutions to scale"/>
  </r>
  <r>
    <x v="51"/>
    <x v="0"/>
    <m/>
    <s v="WASH Recovery Assistance to Earthquake Affected Communities of Dhading and Sindhupalchowk"/>
    <s v="Nepal"/>
    <s v="CCANNP0009"/>
    <s v="CARE Canada"/>
    <s v="Government"/>
    <s v="Government - Canada"/>
    <s v="Global Affairs Canada (GAC) "/>
    <m/>
    <m/>
    <m/>
    <m/>
    <m/>
    <m/>
    <m/>
    <m/>
    <m/>
    <m/>
    <m/>
    <m/>
    <m/>
    <m/>
    <m/>
    <m/>
    <m/>
    <m/>
    <m/>
    <m/>
    <m/>
    <m/>
    <m/>
    <m/>
    <m/>
    <m/>
    <m/>
    <m/>
    <m/>
    <m/>
    <m/>
    <m/>
    <m/>
    <m/>
    <m/>
    <m/>
    <m/>
    <m/>
    <m/>
    <m/>
    <m/>
    <m/>
    <m/>
    <m/>
    <m/>
    <d v="2017-02-17T00:00:00"/>
    <d v="2019-01-31T00:00:00"/>
    <m/>
    <s v="Humanitarian Other"/>
    <n v="1271920"/>
    <s v="Nilkantha Pandey"/>
    <s v="WASH Team Leader"/>
    <s v="nilkantha.pandey@care.org"/>
    <m/>
    <m/>
    <m/>
    <s v="YES"/>
    <s v="NO"/>
    <s v="NO"/>
    <s v="Enhanced qulaity of life of earthquake affected women, men, girls, elderly persons and those living with disabilities and members of the Dalit Caste through Improved WASH services in Dhading and Sindhupalchowk"/>
    <s v="Sub-National"/>
    <s v="Dhading and Sindhupalchowk"/>
    <s v="women,  men, girls, boys, elderly persons and those living with disabilities and members of the Dalit caste."/>
    <m/>
    <m/>
    <m/>
    <m/>
    <m/>
    <m/>
    <m/>
    <m/>
    <m/>
    <m/>
    <m/>
    <m/>
    <m/>
    <m/>
    <m/>
    <m/>
    <m/>
    <m/>
    <m/>
    <m/>
    <m/>
    <m/>
    <m/>
    <m/>
    <m/>
    <m/>
    <m/>
    <m/>
    <m/>
    <m/>
    <m/>
    <m/>
    <m/>
    <m/>
    <m/>
    <m/>
    <m/>
    <m/>
    <m/>
    <m/>
    <m/>
    <m/>
    <m/>
    <m/>
    <m/>
    <m/>
    <m/>
    <m/>
    <m/>
    <m/>
    <s v="YES"/>
    <m/>
    <m/>
    <m/>
    <m/>
    <m/>
    <m/>
    <m/>
    <s v="YES"/>
    <m/>
    <m/>
    <m/>
    <m/>
    <m/>
    <m/>
    <m/>
    <m/>
    <m/>
    <m/>
    <m/>
    <m/>
    <m/>
    <m/>
    <m/>
    <m/>
    <m/>
    <m/>
    <m/>
    <m/>
    <m/>
    <m/>
    <m/>
    <m/>
    <m/>
    <m/>
    <m/>
    <m/>
    <m/>
    <m/>
    <m/>
    <m/>
    <m/>
    <m/>
    <m/>
    <m/>
    <m/>
    <m/>
    <m/>
    <m/>
    <m/>
    <m/>
    <m/>
    <m/>
    <m/>
    <m/>
    <m/>
    <m/>
    <m/>
    <m/>
    <m/>
    <m/>
    <m/>
    <m/>
    <m/>
    <m/>
    <m/>
    <m/>
    <m/>
    <m/>
    <m/>
    <m/>
    <m/>
    <m/>
    <m/>
    <m/>
    <m/>
    <m/>
    <m/>
    <m/>
    <m/>
    <m/>
    <m/>
    <m/>
    <m/>
    <m/>
    <m/>
    <m/>
    <m/>
    <m/>
    <m/>
    <m/>
    <m/>
    <s v="NO"/>
    <m/>
    <m/>
    <m/>
    <s v="NO"/>
    <m/>
    <n v="2018"/>
    <m/>
    <x v="3"/>
    <s v="NO"/>
    <s v="NO"/>
    <s v="YES"/>
    <s v="YES"/>
    <s v="YES"/>
    <s v="NO"/>
    <s v="NO"/>
    <m/>
    <m/>
    <x v="3"/>
    <m/>
    <x v="2"/>
    <m/>
    <x v="3"/>
    <x v="0"/>
    <s v="YES"/>
    <x v="0"/>
    <x v="0"/>
    <x v="2"/>
    <x v="1"/>
    <n v="3"/>
    <x v="1"/>
    <x v="1"/>
    <x v="1"/>
    <x v="1"/>
    <x v="1"/>
    <x v="1"/>
    <n v="4"/>
    <x v="1"/>
    <x v="1"/>
    <x v="1"/>
    <x v="1"/>
    <x v="1"/>
    <n v="3"/>
    <x v="1"/>
    <x v="3"/>
    <m/>
    <s v="Local NGO(s)/CSO(s)"/>
    <m/>
    <m/>
    <x v="3"/>
    <s v="Public infrastructure development, capacity building of local stakeholders, health staffs, FCHV and women groups, community engagement in health and WASH activities."/>
    <m/>
    <m/>
    <m/>
    <m/>
    <m/>
    <m/>
    <m/>
    <m/>
    <m/>
    <n v="0"/>
    <n v="0"/>
    <s v=""/>
    <s v=""/>
    <s v=""/>
    <n v="0"/>
    <n v="0"/>
    <n v="1"/>
    <n v="0"/>
    <n v="0"/>
    <s v=""/>
    <s v=""/>
    <n v="0"/>
    <n v="0"/>
    <s v=""/>
    <n v="1"/>
    <n v="0"/>
    <n v="0"/>
    <s v=""/>
    <s v=""/>
    <n v="0"/>
    <n v="0"/>
    <s v=""/>
    <s v=""/>
    <n v="0"/>
    <n v="0"/>
    <s v=""/>
    <s v="1. Neutral"/>
    <s v="2. Accommodating"/>
    <s v="2. Sensitive"/>
    <n v="0"/>
    <n v="0"/>
    <n v="0"/>
  </r>
  <r>
    <x v="52"/>
    <x v="1"/>
    <m/>
    <s v="Humanitarian Advocacy FY17"/>
    <s v="Netherlands"/>
    <m/>
    <s v="No CARE member related to the project/initiative"/>
    <m/>
    <m/>
    <m/>
    <m/>
    <m/>
    <m/>
    <m/>
    <m/>
    <m/>
    <m/>
    <m/>
    <m/>
    <m/>
    <m/>
    <m/>
    <m/>
    <m/>
    <m/>
    <m/>
    <m/>
    <m/>
    <m/>
    <m/>
    <m/>
    <m/>
    <m/>
    <m/>
    <m/>
    <m/>
    <m/>
    <m/>
    <m/>
    <m/>
    <m/>
    <m/>
    <m/>
    <m/>
    <m/>
    <m/>
    <m/>
    <m/>
    <m/>
    <m/>
    <m/>
    <m/>
    <m/>
    <m/>
    <m/>
    <d v="2016-07-01T00:00:00"/>
    <d v="2017-06-30T00:00:00"/>
    <m/>
    <s v="Humanitarian Other"/>
    <m/>
    <s v="Okke Bouwman"/>
    <s v="Advocacy Officer"/>
    <s v="bouwman@carenederland.org"/>
    <m/>
    <m/>
    <m/>
    <s v="YES"/>
    <s v="NO"/>
    <s v="NO"/>
    <m/>
    <s v="National"/>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2"/>
    <m/>
    <m/>
    <m/>
    <m/>
    <s v="YES"/>
    <m/>
    <s v="YES"/>
    <m/>
    <s v="During FY17, an intensive joint lobby trajectory of the partners of the Dutch Relief Alliance, in which CARE NL has played a leading role, has led to an increase of 60 million of the budget available for humanitarian aid by the Dutch Ministry of Foreign Affairs to be channelled through this humanitarian funding mechanism for NGOs. [Budget allocation: YES] Various lobby and advocacy activities and actions have led to increased political attention for the humanitarian crisis in Yemen, at both the Netherlands and European levels (including a visit of European donor country representatives to Yemen, and a public awareness raising event in The Hague), which has contributed to a decision by the European Union to maintain current levels of development funding for Yemen) [Influencing national or international programs: YES]"/>
    <x v="3"/>
    <m/>
    <x v="2"/>
    <m/>
    <x v="3"/>
    <x v="2"/>
    <m/>
    <x v="2"/>
    <x v="2"/>
    <x v="2"/>
    <x v="3"/>
    <n v="0"/>
    <x v="0"/>
    <x v="0"/>
    <x v="0"/>
    <x v="0"/>
    <x v="0"/>
    <x v="0"/>
    <n v="0"/>
    <x v="0"/>
    <x v="0"/>
    <x v="0"/>
    <x v="0"/>
    <x v="0"/>
    <n v="0"/>
    <x v="1"/>
    <x v="4"/>
    <m/>
    <m/>
    <m/>
    <m/>
    <x v="3"/>
    <m/>
    <m/>
    <m/>
    <m/>
    <m/>
    <m/>
    <m/>
    <m/>
    <m/>
    <m/>
    <n v="0"/>
    <n v="0"/>
    <s v=""/>
    <s v=""/>
    <s v=""/>
    <n v="0"/>
    <n v="0"/>
    <n v="1"/>
    <n v="0"/>
    <n v="0"/>
    <s v=""/>
    <s v=""/>
    <n v="0"/>
    <n v="0"/>
    <s v=""/>
    <s v=""/>
    <n v="0"/>
    <n v="0"/>
    <s v=""/>
    <s v=""/>
    <n v="0"/>
    <n v="0"/>
    <s v=""/>
    <s v=""/>
    <n v="0"/>
    <n v="0"/>
    <s v=""/>
    <s v="No marker score"/>
    <s v="No marker score"/>
    <s v="No marker score"/>
    <n v="0"/>
    <s v="Intensive advocacy"/>
    <n v="0"/>
  </r>
  <r>
    <x v="52"/>
    <x v="1"/>
    <m/>
    <s v="Strategic Partnership: Partners for Resilience II (PfR II)"/>
    <s v="Netherlands"/>
    <s v="MUL033N"/>
    <s v="CARE Nederland"/>
    <s v="Government"/>
    <s v="Government - Netherlands"/>
    <s v="Ministry of Foreign Affairs of the Netherlands"/>
    <m/>
    <m/>
    <m/>
    <m/>
    <m/>
    <m/>
    <m/>
    <m/>
    <m/>
    <m/>
    <m/>
    <m/>
    <m/>
    <m/>
    <m/>
    <m/>
    <m/>
    <m/>
    <m/>
    <m/>
    <m/>
    <m/>
    <m/>
    <m/>
    <m/>
    <m/>
    <m/>
    <m/>
    <m/>
    <m/>
    <m/>
    <m/>
    <m/>
    <m/>
    <m/>
    <m/>
    <m/>
    <m/>
    <m/>
    <m/>
    <m/>
    <m/>
    <m/>
    <m/>
    <m/>
    <d v="2016-01-01T00:00:00"/>
    <d v="2020-12-31T00:00:00"/>
    <m/>
    <s v="Development Food &amp; Nutrition Security and Resilience to Climate Change"/>
    <n v="10483799.560000001"/>
    <s v="Bart Weijs"/>
    <s v="Programme Coordinator Partners for Resilience"/>
    <s v="weijs@carenederland.org"/>
    <m/>
    <m/>
    <m/>
    <s v="NO"/>
    <s v="YES"/>
    <s v="NO"/>
    <s v="PfR II strengthens community resilience by reducing risks and strengthening livelihoods of vulnerable communities, with specific attention for marginalized groups and women, by involving the wider civil society in addressing risks faced by all groups in society, in particular women, and by working on a conducive legal and financial environment."/>
    <s v="Global"/>
    <s v="PfR II advocacy focus on various levels: Global, regional (4 trajectories: The Coastal Zones and river basins in Asia; Central America region; The Upper Niger River Basin and The Semi-Arid Zone in the Horn of Africa."/>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s v="NO"/>
    <m/>
    <m/>
    <s v="NO"/>
    <s v="NO"/>
    <m/>
    <m/>
    <m/>
    <x v="2"/>
    <s v="NO"/>
    <s v="NO"/>
    <s v="NO"/>
    <s v="NO"/>
    <s v="NO"/>
    <s v="NO"/>
    <s v="NO"/>
    <s v="YES"/>
    <s v="Global level The PfR alliance participated in the Global Platform for Disaster Risk Reduction. The Side Event organized by the alliance was a success: The event was well-received as well as visited (including a vast amount donors). Next to that, the alliance was able to contribute and influence the Platform's outcome document. Regional level - Actions to influence outcome documents of two regional conferences - Invitating to provide input/contribute to drafting the Asia Regional Plan for the Implementation of the Sendai Framework Only late 2016 (and early 2017) these regional plans have been developed, being able also to build on country-level experiences. During the The Asian Ministerial Conference for DRR, at the end of the Multi-hazard early warning systems Thematic Session, the chairman asked the team engaged in this pilot on Early Warning, to contribute to the drafting of the Asia Regional Plan for Implementation of the Sendai Framework for Disaster Risk Reduction 2015-2030 with a paragraph on the last mile. * During the Africa Union EU Ministerial Conference, PfR provided input to the Ministerial outcome document on investing in a more food secure Africa. As a follow up of this meeting, PfR was invited by the Africa Union to participate in the Drought Conference in Namibia. * During the Drought conference Namibia, PfR organised a side event titled: Partnering to end drought emergencies, which zoomed in on Integrated Risk Management. PfR could substantially contribute to the final outcome document of this Ministerial Conference."/>
    <x v="0"/>
    <m/>
    <x v="1"/>
    <s v="The consortium, consisting of 5 members (The Netherlands Red Cross, Cordaid, Wetlands International and the Red Cross Red Crescent Climate Centre) promotes the application of Integrated Risk Management (IRM) to strengthen and protectlivelihoods of vulnerable communities. This approach has been used during the implementation of PfR I, providing evidence to promote the approach and scale up the use of the approach in different countries and regions."/>
    <x v="0"/>
    <x v="2"/>
    <m/>
    <x v="2"/>
    <x v="2"/>
    <x v="2"/>
    <x v="3"/>
    <n v="0"/>
    <x v="0"/>
    <x v="0"/>
    <x v="0"/>
    <x v="0"/>
    <x v="0"/>
    <x v="0"/>
    <n v="0"/>
    <x v="0"/>
    <x v="0"/>
    <x v="0"/>
    <x v="0"/>
    <x v="0"/>
    <n v="0"/>
    <x v="1"/>
    <x v="4"/>
    <m/>
    <m/>
    <m/>
    <m/>
    <x v="3"/>
    <m/>
    <m/>
    <m/>
    <m/>
    <m/>
    <m/>
    <m/>
    <m/>
    <m/>
    <m/>
    <n v="0"/>
    <n v="0"/>
    <s v=""/>
    <s v=""/>
    <s v=""/>
    <n v="0"/>
    <n v="0"/>
    <s v=""/>
    <n v="0"/>
    <n v="0"/>
    <s v=""/>
    <s v=""/>
    <n v="0"/>
    <n v="0"/>
    <s v=""/>
    <s v=""/>
    <n v="0"/>
    <n v="0"/>
    <s v=""/>
    <s v=""/>
    <n v="0"/>
    <n v="0"/>
    <s v=""/>
    <s v=""/>
    <n v="0"/>
    <n v="0"/>
    <s v=""/>
    <s v="No marker score"/>
    <s v="No marker score"/>
    <s v="No marker score"/>
    <s v="It did not develop any specific innovation"/>
    <s v="Intensive advocacy"/>
    <s v="It linked and worked with strategic alliances and partners to take tested and effective solutions to scale"/>
  </r>
  <r>
    <x v="52"/>
    <x v="1"/>
    <m/>
    <s v="Strenghtening Women: A Catalyst for Positive Change"/>
    <s v="Netherlands"/>
    <s v="MUL029N"/>
    <s v="CARE Nederland"/>
    <s v="Foundation"/>
    <s v="Other"/>
    <s v="H&amp;M Conscious Foundation"/>
    <m/>
    <m/>
    <m/>
    <m/>
    <m/>
    <m/>
    <m/>
    <m/>
    <m/>
    <m/>
    <m/>
    <m/>
    <m/>
    <m/>
    <m/>
    <m/>
    <m/>
    <m/>
    <m/>
    <m/>
    <m/>
    <m/>
    <m/>
    <m/>
    <m/>
    <m/>
    <m/>
    <m/>
    <m/>
    <m/>
    <m/>
    <m/>
    <m/>
    <m/>
    <m/>
    <m/>
    <m/>
    <m/>
    <m/>
    <m/>
    <m/>
    <m/>
    <m/>
    <m/>
    <m/>
    <d v="2014-02-01T00:00:00"/>
    <d v="2017-01-31T00:00:00"/>
    <d v="2020-03-31T00:00:00"/>
    <s v="Development Access to and Control over Economic Resources"/>
    <n v="7400000"/>
    <s v="Reintje van Haeringen"/>
    <s v="Programme Manager"/>
    <s v="vanhaeringen@carebederland.org"/>
    <s v="Reintje van Haeringen"/>
    <s v="Programme Manager"/>
    <s v="vanhaeringen@carenederland.org"/>
    <s v="NO"/>
    <s v="YES"/>
    <s v="NO"/>
    <s v="The project aims to strengthen and empower women entrepreneurs from low-income communities through the following: - 100,000 women in developing countries get access to tools, knowledge, skills and/or seed capital to start up or to expand their business in order to empower them economically. - 5 regional campaigns with powerful and positive rolemodels will raise awareness regarding the barriers for women to fully participate in society and showcase positive stories of how to overcome them. - 1 global report will be developed advocating for policy changes needed to allow more women to reach their full potential and exercise their rights"/>
    <s v="Global"/>
    <m/>
    <s v="women from low-income communities"/>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1"/>
    <s v="NO"/>
    <s v="NO"/>
    <s v="NO"/>
    <s v="NO"/>
    <s v="YES"/>
    <s v="YES"/>
    <s v="NO"/>
    <s v="YES"/>
    <s v="Emphasizing the importance of stakeholder engagement in enabling the conditions for women entrepreneurs in the global south. Activities that took place: Presentation of the Global Report on the Commission on the Status of Women, Presentation on the European Development days. Another important activity is the social media campaigning on Skillpower facebook page with a reach of 2mln facebook users, which was based on storytelling."/>
    <x v="3"/>
    <m/>
    <x v="2"/>
    <m/>
    <x v="3"/>
    <x v="2"/>
    <m/>
    <x v="2"/>
    <x v="2"/>
    <x v="2"/>
    <x v="3"/>
    <n v="0"/>
    <x v="0"/>
    <x v="0"/>
    <x v="0"/>
    <x v="0"/>
    <x v="0"/>
    <x v="0"/>
    <n v="0"/>
    <x v="0"/>
    <x v="0"/>
    <x v="0"/>
    <x v="0"/>
    <x v="0"/>
    <n v="0"/>
    <x v="1"/>
    <x v="4"/>
    <m/>
    <m/>
    <m/>
    <m/>
    <x v="3"/>
    <m/>
    <m/>
    <m/>
    <m/>
    <m/>
    <m/>
    <m/>
    <m/>
    <m/>
    <m/>
    <n v="0"/>
    <n v="0"/>
    <s v=""/>
    <s v=""/>
    <s v=""/>
    <n v="0"/>
    <n v="0"/>
    <s v=""/>
    <n v="0"/>
    <n v="0"/>
    <s v=""/>
    <s v=""/>
    <n v="0"/>
    <n v="0"/>
    <s v=""/>
    <s v=""/>
    <n v="0"/>
    <n v="0"/>
    <s v=""/>
    <s v=""/>
    <n v="0"/>
    <n v="0"/>
    <s v=""/>
    <s v=""/>
    <n v="0"/>
    <n v="0"/>
    <s v=""/>
    <s v="No marker score"/>
    <s v="No marker score"/>
    <s v="No marker score"/>
    <n v="0"/>
    <s v="Moderate advocacy"/>
    <n v="0"/>
  </r>
  <r>
    <x v="53"/>
    <x v="4"/>
    <n v="2323"/>
    <s v="Proyecto Nutriendo El Futuro"/>
    <s v="Nicaragua"/>
    <m/>
    <s v="CARE USA"/>
    <s v="Other"/>
    <s v="Other"/>
    <s v="CARGILL"/>
    <m/>
    <m/>
    <m/>
    <m/>
    <m/>
    <m/>
    <m/>
    <m/>
    <m/>
    <m/>
    <m/>
    <m/>
    <m/>
    <m/>
    <m/>
    <m/>
    <m/>
    <m/>
    <m/>
    <m/>
    <m/>
    <m/>
    <m/>
    <m/>
    <m/>
    <m/>
    <m/>
    <m/>
    <m/>
    <m/>
    <m/>
    <m/>
    <m/>
    <m/>
    <m/>
    <m/>
    <m/>
    <m/>
    <m/>
    <m/>
    <m/>
    <m/>
    <m/>
    <m/>
    <m/>
    <d v="2016-09-01T00:00:00"/>
    <d v="2019-08-31T00:00:00"/>
    <m/>
    <s v="Development Food &amp; Nutrition Security and Resilience to Climate Change"/>
    <m/>
    <s v="Manuel Enamorado"/>
    <s v="Oficial Monitoreo"/>
    <s v="Manuel.Enamorado@care.org"/>
    <s v="Jose Antonio Sauceda"/>
    <s v="Gerente"/>
    <s v="jose.sauceda@care.org"/>
    <s v="NO"/>
    <s v="YES"/>
    <s v="NO"/>
    <s v="Los productores y productoras rurales empoderadas, micro-empresarios y comunidades locales garantizan la seguridad alimentaria de sus familias, con igualdad de acceso a los mercados, el control de sus recursos y el aumento de la resiliencia al cambio climático."/>
    <s v="Regional"/>
    <s v="3 países: Honduras, Nicaragua y Costa Rica: Honduras: Villanueva, Siguatepeque, Santa Cruz de Yojoa, Quimistan y San Marcos; Nicaragua: Tipitapa, Masaya, Nindiri,  Ticuatepe, Chinandega, El Viejo y  Chichigalpa;  Costa Rica: 2 Provincias: Alajuela y Heredia."/>
    <s v="Hombres y Mujeres Productores agricolas, mujeres emprendedoras y niños y niñas en edad escolar  de hogares de escuelas atendidas por el proyecto."/>
    <n v="15365"/>
    <n v="14512"/>
    <n v="29877"/>
    <n v="83988"/>
    <n v="77995"/>
    <n v="161983"/>
    <s v="Participantes directos son los grupos poblacionales de impacto, que participan directamente de las actividades del proyecto, están integrados por 3 grupos: a) niños y niñas de las escuelas; b) Hombres y Mujeres productoras agrícolas y c) Mujeres microempresarias, que son madres de niños y niñas de las escuelas.                                                                                                                                                                                                                                                                     Los participantes indirectos; son los otros miembros de los hogares de los grupos de impacto y familias de comunidades donde interviene el proyecto, que aunque no participan en las actividades del proyecto, si se benefician de las actividades y resultados del mismo."/>
    <m/>
    <m/>
    <m/>
    <m/>
    <m/>
    <m/>
    <m/>
    <m/>
    <m/>
    <m/>
    <m/>
    <m/>
    <m/>
    <m/>
    <m/>
    <m/>
    <m/>
    <m/>
    <m/>
    <m/>
    <m/>
    <m/>
    <m/>
    <m/>
    <m/>
    <m/>
    <m/>
    <m/>
    <m/>
    <m/>
    <m/>
    <m/>
    <m/>
    <m/>
    <m/>
    <m/>
    <m/>
    <m/>
    <m/>
    <m/>
    <m/>
    <m/>
    <m/>
    <m/>
    <m/>
    <m/>
    <m/>
    <m/>
    <m/>
    <m/>
    <m/>
    <m/>
    <m/>
    <m/>
    <m/>
    <m/>
    <m/>
    <m/>
    <m/>
    <m/>
    <m/>
    <m/>
    <m/>
    <m/>
    <m/>
    <m/>
    <s v="YES"/>
    <m/>
    <m/>
    <m/>
    <s v="YES"/>
    <m/>
    <m/>
    <m/>
    <m/>
    <m/>
    <m/>
    <m/>
    <m/>
    <m/>
    <m/>
    <m/>
    <s v="YES"/>
    <m/>
    <m/>
    <m/>
    <m/>
    <m/>
    <m/>
    <m/>
    <s v="YES"/>
    <m/>
    <m/>
    <m/>
    <m/>
    <m/>
    <m/>
    <m/>
    <m/>
    <m/>
    <m/>
    <m/>
    <m/>
    <m/>
    <m/>
    <m/>
    <s v="YES"/>
    <m/>
    <m/>
    <m/>
    <s v="YES"/>
    <m/>
    <m/>
    <m/>
    <m/>
    <m/>
    <m/>
    <m/>
    <m/>
    <m/>
    <m/>
    <m/>
    <s v="YES"/>
    <m/>
    <m/>
    <m/>
    <s v="YES"/>
    <m/>
    <m/>
    <m/>
    <s v="Gobernanza gremial y comunitaria"/>
    <s v="YES"/>
    <m/>
    <m/>
    <m/>
    <s v="YES"/>
    <s v="April"/>
    <n v="2017"/>
    <s v="YES"/>
    <s v="YES"/>
    <s v="June"/>
    <n v="2018"/>
    <s v="Para el periodo Junio-Julio/18 esta programado realizar evaluación de medio termino."/>
    <x v="1"/>
    <s v="YES"/>
    <m/>
    <s v="YES"/>
    <m/>
    <m/>
    <m/>
    <m/>
    <m/>
    <m/>
    <x v="2"/>
    <s v="Modelo de  educación inclusiva, promoviendo buenas prácticas alimentarias y nutricionales en manuales institucionales con los Ministerios de Educación.  Igual el modelo de negocios inclusivos llevado a plataformas con el sector empresarial y de responsbailidad social empresarial."/>
    <x v="1"/>
    <s v="Educación en SAN y Promoción de habitos y buenas prácticas alimentarias; se integro a manuales institucionales de los Minsitrios de Educación."/>
    <x v="1"/>
    <x v="1"/>
    <s v="YES"/>
    <x v="0"/>
    <x v="0"/>
    <x v="0"/>
    <x v="2"/>
    <n v="4"/>
    <x v="1"/>
    <x v="1"/>
    <x v="1"/>
    <x v="1"/>
    <x v="1"/>
    <x v="1"/>
    <n v="4"/>
    <x v="3"/>
    <x v="2"/>
    <x v="1"/>
    <x v="1"/>
    <x v="5"/>
    <n v="2"/>
    <x v="3"/>
    <x v="2"/>
    <n v="2"/>
    <s v="Local NGO(s)/CSO(s)"/>
    <s v="Local government(s)"/>
    <s v="Grassroots organization(s)"/>
    <x v="2"/>
    <s v="Realizo acciones de fortalecimiento a organizaciones de base gremial y redes de ellas, enfocado a la gestión empresarial y gremial de pequeños productores agrícolas."/>
    <s v="A nivel de Nicaragua y Costa Rica, los ajustes son en cuanto al modelo de implementación, pasando a  un modelo de implementación con socios locales del PNF. No hay cambios de objetivos y resultados. Solo de actividades, incorporando el tema de violencia infantil en las escuelas."/>
    <s v="Modelo de negocios inclusivos, de cadenas de valor:  Teniendo como eje la asociatividad empresarial de los pequeños productores hobres y mujeres agricolas; con un enfoque de Win to Win, con CARGILL."/>
    <s v="La metodologia de extensión, de &quot;Escuelas de Campo&quot;, es un éxito entre los pequeños agrícultores, en la transferencia de tecnologias agricolas, producción de calidad y adpatación al cambio climatico."/>
    <s v="En el trabajo en las escuelas, las metodologias ludicas utilizando juegos infantiles han tenido aceptación en la comunidad educativa de los 3 países."/>
    <s v="El Modelo de trabajo con socios locales implementando las acciones del proyecto, requiere asesoria y transferencia de capacidades programaticas y adminsitrativas de CARE; para mantener los estandares de gestión requridos por CARE USA."/>
    <s v="Los pequeños productores (hombres y mujeres) tienen la capacidad de cumplir los  contratos comerciales y  estandares de calidad, requeridos por CARGILL; previa transferencia de capacidades técnicas."/>
    <m/>
    <s v="No se reporta data de presupuesto o participantes porque esa data esta ya reportada por el mismo proyecto en Honduras, desde donde se gestionan las acciones"/>
    <m/>
    <n v="0"/>
    <n v="0"/>
    <s v=""/>
    <s v=""/>
    <s v=""/>
    <n v="0"/>
    <n v="0"/>
    <s v=""/>
    <n v="0"/>
    <n v="0"/>
    <s v=""/>
    <n v="1"/>
    <n v="0"/>
    <n v="0"/>
    <s v=""/>
    <s v=""/>
    <n v="0"/>
    <n v="0"/>
    <s v=""/>
    <s v=""/>
    <n v="0"/>
    <n v="0"/>
    <s v=""/>
    <n v="1"/>
    <n v="0"/>
    <n v="0"/>
    <s v=""/>
    <s v="4. Transformative"/>
    <s v="2. Accommodating"/>
    <s v="3. Responsive"/>
    <s v="It tested new ways for fighting poverty and measured results of innovation"/>
    <s v="Moderate advocacy"/>
    <s v="It linked and worked with strategic alliances and partners to take tested and effective solutions to scale"/>
  </r>
  <r>
    <x v="54"/>
    <x v="2"/>
    <n v="3213"/>
    <s v="BRACED-PRESENCES"/>
    <s v="Niger"/>
    <s v="CGBRNE0021"/>
    <s v="CARE UK"/>
    <s v="Government"/>
    <s v="Government - UK"/>
    <s v="DFID"/>
    <m/>
    <m/>
    <m/>
    <m/>
    <m/>
    <m/>
    <m/>
    <m/>
    <m/>
    <m/>
    <m/>
    <m/>
    <m/>
    <m/>
    <m/>
    <m/>
    <m/>
    <m/>
    <m/>
    <m/>
    <m/>
    <m/>
    <m/>
    <m/>
    <m/>
    <m/>
    <m/>
    <m/>
    <m/>
    <m/>
    <m/>
    <m/>
    <m/>
    <m/>
    <m/>
    <m/>
    <m/>
    <m/>
    <m/>
    <m/>
    <m/>
    <m/>
    <m/>
    <m/>
    <m/>
    <d v="2015-01-01T00:00:00"/>
    <d v="2017-12-31T00:00:00"/>
    <d v="2018-03-31T00:00:00"/>
    <s v="Humanitarian Food &amp; Nutrition Security and Resilience to Climate Change"/>
    <n v="5805266"/>
    <s v="ABOUBACAR DJIMRAOU"/>
    <s v="ACD"/>
    <s v="Djimraou,Aboubacar@care,org"/>
    <s v="BOUBE CHAYAYA ABDOULKADRI"/>
    <s v="PROJECT MANAGER"/>
    <s v="BoubeChayaya.Abdoulkadri@care.org"/>
    <s v="YES"/>
    <s v="YES"/>
    <s v="YES"/>
    <s v="Les hommes et les femmes pauvres et vulnérables  des  communes cibles  sont capables de sadapter, anticiper, et absorber  les conséquences des extrêmes et désastres liés au climat"/>
    <s v="Sub-National"/>
    <s v="le projet intervient dans la région de Tillabery, au sein de 7 departement, dans 12 communes et dans 103 communautés."/>
    <s v="le projet compte améliorer la résilience aux changement climatique de 447 873 personnes issues des ménages vulnérables et extrêment vulnérables au changement climatiques à traverts trois axes d'intervention que sont: 1. Amélioration  de la pertinence, de laccès et de lutilisation des services dinformation climatique, de la planification et de la gestion des risques pour l'adaptation au changement climatique et la réduction des risques de catastrophe, 2. Les femmes et les hommes pauvres et vulnérables bénéficient de moyens de subsistance durables et résilientes au climat, 3. . Les systèmes et structures de gouvernance aux niveaux local, national et régional soutiennent une gestion des ressources naturelles équitable, durable et résiliente au climat"/>
    <n v="51295"/>
    <n v="51295"/>
    <n v="102590"/>
    <n v="60673"/>
    <n v="60673"/>
    <n v="121346"/>
    <s v="Les participants directes aux activités du projet sont les ménages et personnes vulnérables au changement climatiques des communautés ciblées dans les 12 communes d'intervention, Ce sont les groupes des moyens d'existence vulnérables aux risques majeurs de sécheresse, d'inondation et aux faibles accès aux opportunités économiques en raison de leur situation, Il se répartissent en catégorie de Personnes Ciblées directement en &quot;haute intensité&quot; qui participent directement aux activités du projet notemment les analyses de vulnérabilité et la conception des stratégies d'adaptation à travers les Plans d'Actions Communautaires fd'Adaptation au changement Climatique et dont ils participent à la mise en oeuvre. Dans cette catégorie figurent également les personnes qui bénéficient directement des ressoiurces de projet et des renforcements de capacités pour l'adaptation. La seconde catégorie comporte les personnes qui bénéficient indirectement des actions du projet à travers les premiers bénéficiaires &quot;Intensité moyenne ciblée&quot;; et le troisième niveau de bénéficiaire qui comporte les personnes qui bénéficient indirectement des actions du projet à travers des canaux lents &quot;Intensité moyenne non ciblée&quot;;"/>
    <m/>
    <n v="8172"/>
    <n v="8643"/>
    <n v="16815"/>
    <n v="49032"/>
    <n v="51858"/>
    <n v="100890"/>
    <s v="NO"/>
    <m/>
    <m/>
    <m/>
    <s v="NO"/>
    <m/>
    <m/>
    <m/>
    <s v="NO"/>
    <m/>
    <m/>
    <m/>
    <s v="YES"/>
    <n v="12638"/>
    <n v="0.49"/>
    <n v="75828"/>
    <s v="NO"/>
    <m/>
    <m/>
    <m/>
    <s v="NO"/>
    <m/>
    <m/>
    <m/>
    <s v="NO"/>
    <m/>
    <m/>
    <m/>
    <s v="Yes"/>
    <n v="4177"/>
    <n v="0.57999999999999996"/>
    <n v="25062"/>
    <s v="NO"/>
    <m/>
    <m/>
    <m/>
    <s v="NO"/>
    <m/>
    <m/>
    <m/>
    <s v="NO"/>
    <m/>
    <m/>
    <m/>
    <s v="NO"/>
    <m/>
    <m/>
    <m/>
    <m/>
    <m/>
    <m/>
    <m/>
    <m/>
    <n v="11340"/>
    <n v="11318"/>
    <n v="22658"/>
    <n v="68040"/>
    <n v="67908"/>
    <n v="135948"/>
    <s v="YES"/>
    <n v="4161"/>
    <n v="0.50209999999999999"/>
    <n v="24966"/>
    <s v="YES"/>
    <n v="11432"/>
    <n v="0.50209999999999999"/>
    <n v="68592"/>
    <s v="YES"/>
    <n v="379"/>
    <m/>
    <n v="2274"/>
    <s v="YES"/>
    <n v="121"/>
    <m/>
    <n v="726"/>
    <s v="YES"/>
    <n v="2435"/>
    <n v="0.9"/>
    <n v="14610"/>
    <m/>
    <m/>
    <m/>
    <n v="0"/>
    <s v="YES"/>
    <n v="1138"/>
    <n v="0.50249999999999995"/>
    <n v="6828"/>
    <m/>
    <m/>
    <m/>
    <n v="0"/>
    <m/>
    <m/>
    <m/>
    <n v="0"/>
    <m/>
    <m/>
    <m/>
    <n v="0"/>
    <m/>
    <m/>
    <m/>
    <n v="0"/>
    <s v="YES"/>
    <n v="650"/>
    <n v="0.5"/>
    <n v="3900"/>
    <s v="YES"/>
    <m/>
    <m/>
    <m/>
    <m/>
    <m/>
    <m/>
    <m/>
    <m/>
    <m/>
    <m/>
    <n v="0"/>
    <s v="YES"/>
    <n v="2342"/>
    <n v="1"/>
    <n v="14052"/>
    <m/>
    <m/>
    <m/>
    <m/>
    <m/>
    <s v="YES"/>
    <s v="October"/>
    <m/>
    <s v="YES"/>
    <s v="YES"/>
    <s v="November"/>
    <n v="2017"/>
    <s v="Une evaluation finale du projet sera conduite en Novembre et decembre 2017 afin de determiner les changements obtenus suite à la mise en oeuvr du projet. Une etude de reference a ete faite en octobre 2015 et une etude comparative sera faite afin de degager les ecarts entre le niveau des indicateurs au départ du projet et à la fin du projet. Il faut noter que pendant la mise en oeuvre du projet, nous procedons de manière regulière à la collecte de données à l'aide d'outils comme le KPI, les individuels, les communautaires et les institutions et sur les AVEC. Les resultats de ces enquêtes (Trimestrielle et mensuelle) seront utilisées pour appuyer les données qui seront recueillies de l'evaluation finale du projet. Les données trimestrielles et mensuelles sont analysées et interprétées par le bureau de UK et par un consultant. Mais au niveau du projet, le staff procedera à la conduite d'une étude sur les indicateurs de strategie d'adaptation aux fins de renseigner ladite évaluation."/>
    <x v="1"/>
    <m/>
    <m/>
    <m/>
    <m/>
    <m/>
    <m/>
    <m/>
    <m/>
    <m/>
    <x v="3"/>
    <m/>
    <x v="1"/>
    <m/>
    <x v="3"/>
    <x v="2"/>
    <m/>
    <x v="2"/>
    <x v="2"/>
    <x v="2"/>
    <x v="3"/>
    <n v="0"/>
    <x v="1"/>
    <x v="1"/>
    <x v="1"/>
    <x v="1"/>
    <x v="1"/>
    <x v="1"/>
    <n v="4"/>
    <x v="3"/>
    <x v="1"/>
    <x v="1"/>
    <x v="1"/>
    <x v="4"/>
    <n v="3"/>
    <x v="0"/>
    <x v="3"/>
    <n v="4"/>
    <s v="International NGO(s)"/>
    <s v="Local NGO(s)/CSO(s)"/>
    <m/>
    <x v="0"/>
    <s v="Renforcement de capacités, appui financier et materiel, plaidoyer"/>
    <s v="le projet n'a pas connu de changements dans ses strategies ou dans ces documents; mais suite à des cas de fraudes constatés, le projet a mis fin à la collaboration avec le partenaire impliqué et a dû remboursé ou reallouer des fonds pour la mise en oeuvre des activités qui ont souffert de ce cas de fraude, notamment la reconstitution du cheptel dans certaines de nos communautés d'intervention."/>
    <s v="les enquêtes VSLA ont demontré un changement important dans les conditions de vie des beneficiaires. En effet, comme le disent certaines, grace aux activités des groupements VSLA elles arrivent à faire face aux besoins immediats de leurs ménages, à  avoir du crédit auprès des institutions et ont desomais une assise communautaire leur permettant de participer aux developpement de leurs communautés."/>
    <s v="Les Plan d'Action Communautaire et d'Adaptation ont aussi demontré leur efficacité. En effet, les communautés ont identifié d'elles-mêmes leurs besoins et en ont fait une priorité strategique à travers laquelle tout soutien doit passer, si tant est que c'est pour leur developpement. Les PACA sont l'exemple tangibles de l'appropriation du projet BRACED-PRESENCES par les communautés."/>
    <m/>
    <s v="Pour la reussite de tout projet, le suivi revet une importance capitale. En effet, il nous a permis, non seulement, de deceler des defaillances dans la mise en oeuvre de certaines activités; mais aussi d'elaborer des propositions de reponses afin que les resultats attendus puissent etre atteints. C'est l'exemple du petit elevage, dans des communautés comme Kollo Loga, Kollo Bosse...."/>
    <m/>
    <m/>
    <m/>
    <m/>
    <n v="22658"/>
    <n v="135948"/>
    <n v="6"/>
    <n v="0.50048547974225444"/>
    <n v="0.50048547974225444"/>
    <n v="11340"/>
    <n v="68040"/>
    <n v="1"/>
    <n v="16815"/>
    <n v="100890"/>
    <n v="6"/>
    <n v="1"/>
    <n v="12638"/>
    <n v="75828"/>
    <n v="6"/>
    <s v=""/>
    <n v="0"/>
    <n v="0"/>
    <s v=""/>
    <s v=""/>
    <n v="0"/>
    <n v="0"/>
    <s v=""/>
    <n v="1"/>
    <n v="2342"/>
    <n v="14052"/>
    <n v="6"/>
    <s v="No marker score"/>
    <s v="2. Accommodating"/>
    <s v="4. Transformative"/>
    <n v="0"/>
    <s v="Moderate advocacy"/>
    <s v="It linked and worked with strategic alliances and partners to take tested and effective solutions to scale"/>
  </r>
  <r>
    <x v="54"/>
    <x v="2"/>
    <m/>
    <s v="Child and SVBG Survival Protection Initiative (KARIYA YARA DA MATA)"/>
    <s v="Niger"/>
    <s v="UNCFNE0005"/>
    <s v="No CARE member related to the project/initiative"/>
    <s v="Multilateral agency"/>
    <s v="UN - United Nations agencies/offices"/>
    <s v="UNICEF"/>
    <m/>
    <m/>
    <m/>
    <m/>
    <m/>
    <m/>
    <m/>
    <m/>
    <m/>
    <m/>
    <m/>
    <m/>
    <m/>
    <m/>
    <m/>
    <m/>
    <m/>
    <m/>
    <m/>
    <m/>
    <m/>
    <m/>
    <m/>
    <m/>
    <m/>
    <m/>
    <m/>
    <m/>
    <m/>
    <m/>
    <m/>
    <m/>
    <m/>
    <m/>
    <m/>
    <m/>
    <m/>
    <m/>
    <m/>
    <m/>
    <m/>
    <m/>
    <m/>
    <m/>
    <m/>
    <d v="2016-12-09T00:00:00"/>
    <d v="2017-05-09T00:00:00"/>
    <d v="2017-07-15T00:00:00"/>
    <s v="Humanitarian Other"/>
    <n v="170001"/>
    <s v="Oumane Lalo Mahaman Hamissou"/>
    <s v="Chef de Projet"/>
    <s v="Ousmane.LaloHamissou@care.org"/>
    <s v="Sani Mamane Laminou"/>
    <s v="Coordonnateur Humanitaire"/>
    <s v="mamanelaminou.sani@care.org"/>
    <s v="YES"/>
    <s v="NO"/>
    <s v="NO"/>
    <s v="Renforcer la protection et le bien être des enfants touchés par la crise et les survivantes de VBG parmi les populations hôtes et les IDPs de la région de Diffa"/>
    <s v="Sub-National"/>
    <s v="Région de Diffa; Départements de Mainé Soroa, Diffa et N'guigmi; Communes de Mainé Soroa, Chétimari, Diffa, Gueskerou et N'guigmi."/>
    <s v="Les enfants et  les femmes , filles des ménages déplacées et communautés hôtes dans la région de Diffa"/>
    <n v="1012"/>
    <n v="988"/>
    <n v="2000"/>
    <n v="2024"/>
    <n v="1976"/>
    <n v="4000"/>
    <s v="Les participants directs sont les membres (hommes, femmes et enfants) des ménages pauvres et vulnérables parmi les populations hôtes, les déplacés internes, les rétournés et les réfugiés dans les 5 communes cibles de la région de Diffa. Et les participants indirects sont les conseillers municipaux, les leaders coutumiers et réligieux, les membres des mécanismes communautaires de protection (volontaires communautaires, comités de gestion, groupes de soutien aux survivants de VBG).  Les participants directs sont prévus dans le PCA  partant du HRP 2017. Quant aux participants indirects, ils sont calculés par site en raison d'une moyenne de 18 par site."/>
    <m/>
    <n v="2495"/>
    <n v="1579"/>
    <n v="4074"/>
    <n v="4990"/>
    <n v="3158"/>
    <n v="8148"/>
    <m/>
    <m/>
    <m/>
    <m/>
    <m/>
    <m/>
    <m/>
    <m/>
    <m/>
    <m/>
    <m/>
    <m/>
    <m/>
    <m/>
    <m/>
    <m/>
    <s v="YES"/>
    <n v="210"/>
    <n v="1"/>
    <n v="1680"/>
    <m/>
    <m/>
    <m/>
    <m/>
    <m/>
    <m/>
    <m/>
    <m/>
    <m/>
    <m/>
    <m/>
    <m/>
    <s v="YES"/>
    <n v="4074"/>
    <n v="0.51"/>
    <n v="8148"/>
    <m/>
    <m/>
    <m/>
    <m/>
    <m/>
    <m/>
    <m/>
    <m/>
    <m/>
    <m/>
    <m/>
    <m/>
    <m/>
    <m/>
    <m/>
    <m/>
    <m/>
    <m/>
    <m/>
    <m/>
    <m/>
    <m/>
    <m/>
    <m/>
    <m/>
    <m/>
    <m/>
    <m/>
    <m/>
    <m/>
    <m/>
    <m/>
    <m/>
    <m/>
    <m/>
    <m/>
    <m/>
    <m/>
    <m/>
    <m/>
    <m/>
    <m/>
    <m/>
    <m/>
    <m/>
    <m/>
    <m/>
    <m/>
    <m/>
    <m/>
    <m/>
    <m/>
    <m/>
    <m/>
    <m/>
    <m/>
    <m/>
    <m/>
    <m/>
    <m/>
    <m/>
    <m/>
    <m/>
    <m/>
    <m/>
    <m/>
    <m/>
    <m/>
    <m/>
    <m/>
    <m/>
    <m/>
    <m/>
    <m/>
    <m/>
    <m/>
    <m/>
    <m/>
    <m/>
    <m/>
    <m/>
    <m/>
    <m/>
    <m/>
    <m/>
    <m/>
    <m/>
    <m/>
    <m/>
    <m/>
    <m/>
    <m/>
    <s v="NO"/>
    <m/>
    <m/>
    <m/>
    <s v="NO"/>
    <m/>
    <m/>
    <m/>
    <x v="0"/>
    <s v="NO"/>
    <s v="NO"/>
    <s v="NO"/>
    <s v="YES"/>
    <s v="NO"/>
    <m/>
    <s v="NO"/>
    <m/>
    <m/>
    <x v="0"/>
    <m/>
    <x v="0"/>
    <m/>
    <x v="1"/>
    <x v="0"/>
    <s v="YES"/>
    <x v="0"/>
    <x v="0"/>
    <x v="0"/>
    <x v="0"/>
    <n v="4"/>
    <x v="3"/>
    <x v="0"/>
    <x v="0"/>
    <x v="0"/>
    <x v="0"/>
    <x v="3"/>
    <n v="0"/>
    <x v="1"/>
    <x v="1"/>
    <x v="2"/>
    <x v="2"/>
    <x v="3"/>
    <n v="1"/>
    <x v="2"/>
    <x v="1"/>
    <m/>
    <m/>
    <m/>
    <m/>
    <x v="1"/>
    <m/>
    <m/>
    <s v="La planification/l'organisation communautaire"/>
    <s v="L'engagement des leaders communautaires"/>
    <s v="La disponibilité et la motivation des femmes et des jeunes"/>
    <s v="La prévention des cas de protection de l'enfant et des violences basées sur le genre est bien possible au niveau communautaire par la mise en place, le renforcement de capacité, le suivi et l'encadrement des mécanismes communautaires de protection."/>
    <s v="Le paquet complet de prise en charge des cas de protection de l'enfant et de VBG est nécéssaire dans la réponse de la proetction en urgence: la gestion de cas/CPIMS"/>
    <s v="La coordination des activités à travers les groupes thématiques permet l'adptation et la complémentarité dans la réponse."/>
    <s v="La mise en uvre du projet a été facilitée par l'appui constant de la coordination humanitaire nationale de CARE, la coordination à travers les groupes thématiques/clusters comme le Groupe de Travail Protection, le Sous Groupe de Travail Protection de l'Enfant, le Sous Groupe de Travail Violence Basée sur le Genre. Les données sont collectés par les Supervisieurs Terrains et les Assistants Techniques, validées par l'équipe projet puis partagées avec la coordination humanitaire nationale de CARE et au besoin avec les groupes thématiques."/>
    <m/>
    <n v="4074"/>
    <n v="8148"/>
    <n v="2"/>
    <n v="0.61242022582228772"/>
    <n v="0.61242022582228772"/>
    <n v="2495"/>
    <n v="4990"/>
    <n v="1"/>
    <n v="4074"/>
    <n v="8148"/>
    <n v="2"/>
    <s v=""/>
    <n v="0"/>
    <n v="0"/>
    <s v=""/>
    <s v=""/>
    <n v="0"/>
    <n v="0"/>
    <s v=""/>
    <n v="1"/>
    <n v="210"/>
    <n v="1680"/>
    <n v="8"/>
    <s v=""/>
    <n v="0"/>
    <n v="0"/>
    <s v=""/>
    <s v="2. Sensitive"/>
    <s v="0. Unaware"/>
    <s v="1. Neutral"/>
    <s v="It did not develop any specific innovation"/>
    <s v="Little or no advocacy"/>
    <s v="It did not take tested solutions to scale"/>
  </r>
  <r>
    <x v="54"/>
    <x v="2"/>
    <n v="3209"/>
    <s v="Distribution gratuite ciblée; cash transfer; cash et food for asset et blanket feeding aux enfants de 6 à 23 mois"/>
    <s v="Niger"/>
    <s v="WFPXNE0044"/>
    <s v="No CARE member related to the project/initiative"/>
    <s v="Multilateral agency"/>
    <s v="UN - United Nations agencies/offices"/>
    <s v="World Food Programme (WFP)"/>
    <m/>
    <m/>
    <m/>
    <m/>
    <m/>
    <m/>
    <m/>
    <m/>
    <m/>
    <m/>
    <m/>
    <m/>
    <m/>
    <m/>
    <m/>
    <m/>
    <m/>
    <m/>
    <m/>
    <m/>
    <m/>
    <m/>
    <m/>
    <m/>
    <m/>
    <m/>
    <m/>
    <m/>
    <m/>
    <m/>
    <m/>
    <m/>
    <m/>
    <m/>
    <m/>
    <m/>
    <m/>
    <m/>
    <m/>
    <m/>
    <m/>
    <m/>
    <m/>
    <m/>
    <m/>
    <d v="2016-06-01T00:00:00"/>
    <d v="2016-12-31T00:00:00"/>
    <m/>
    <s v="Humanitarian Other"/>
    <n v="425847.05"/>
    <s v="SANI MAMANE LAMINOU"/>
    <s v="COORDONNATEUR HUMANITAIRE"/>
    <s v="mamanelaminou.sani@care.org"/>
    <s v="BOUKAR LAWAN MAROUMA"/>
    <s v="CHEF DE PROJET"/>
    <s v="Lawan.MaroumaBoukar@care.org"/>
    <s v="YES"/>
    <s v="NO"/>
    <s v="NO"/>
    <s v="Répondre aux besoins alimentaires et nutritionnels urgents des populations et communautés vulnérables affectées de la région de  Diffa (Niger) par la crise du bassin du Lac Tchad"/>
    <s v="Sub-National"/>
    <s v="Le projet intervient au niveau de neuf sites de la commune de Maine Soroa, département de Maîné Soroa situé dans la région de Diffa"/>
    <s v="Le projet appui 2857 ménages très pauvres parmi les déplacés et populations hôtes repartis dans 13 villages et quartiers de la commune de Maîné Soroca"/>
    <n v="2305"/>
    <n v="3665"/>
    <n v="5970"/>
    <n v="5579"/>
    <n v="14420"/>
    <n v="19999"/>
    <s v="Les participants directs sont les chefs de ménages très pauvres qui reçoivent chaque mois la ration du cash et du super céréal simple  et les 1074 enfants de 6 à 23 mois. Les bénéficiaires indirects sont constitués par l'ensemble des autres membres du ménage"/>
    <m/>
    <n v="1682"/>
    <n v="2956"/>
    <n v="4638"/>
    <n v="8198"/>
    <n v="7164"/>
    <n v="15362"/>
    <m/>
    <m/>
    <m/>
    <m/>
    <m/>
    <m/>
    <m/>
    <m/>
    <m/>
    <m/>
    <m/>
    <m/>
    <s v="YES"/>
    <n v="4638"/>
    <n v="0.36259999999999998"/>
    <n v="15362"/>
    <m/>
    <m/>
    <m/>
    <m/>
    <m/>
    <m/>
    <m/>
    <m/>
    <m/>
    <m/>
    <m/>
    <m/>
    <m/>
    <m/>
    <m/>
    <m/>
    <m/>
    <m/>
    <m/>
    <m/>
    <m/>
    <m/>
    <m/>
    <m/>
    <m/>
    <m/>
    <m/>
    <m/>
    <m/>
    <m/>
    <m/>
    <m/>
    <m/>
    <m/>
    <m/>
    <m/>
    <m/>
    <m/>
    <m/>
    <n v="0"/>
    <n v="0"/>
    <n v="0"/>
    <n v="0"/>
    <m/>
    <m/>
    <m/>
    <m/>
    <m/>
    <m/>
    <m/>
    <m/>
    <m/>
    <m/>
    <m/>
    <m/>
    <m/>
    <m/>
    <m/>
    <m/>
    <m/>
    <m/>
    <m/>
    <m/>
    <m/>
    <m/>
    <m/>
    <m/>
    <m/>
    <m/>
    <m/>
    <m/>
    <m/>
    <m/>
    <m/>
    <m/>
    <m/>
    <m/>
    <m/>
    <m/>
    <m/>
    <m/>
    <m/>
    <m/>
    <m/>
    <m/>
    <m/>
    <m/>
    <m/>
    <m/>
    <m/>
    <m/>
    <m/>
    <m/>
    <m/>
    <m/>
    <m/>
    <m/>
    <m/>
    <m/>
    <m/>
    <m/>
    <m/>
    <m/>
    <m/>
    <m/>
    <m/>
    <m/>
    <m/>
    <m/>
    <m/>
    <m/>
    <m/>
    <s v="NO"/>
    <m/>
    <m/>
    <s v="NO"/>
    <s v="NO"/>
    <m/>
    <m/>
    <m/>
    <x v="0"/>
    <s v="NO"/>
    <s v="NO"/>
    <s v="NO"/>
    <s v="NO"/>
    <s v="NO"/>
    <s v="NO"/>
    <s v="NO"/>
    <s v="NO"/>
    <m/>
    <x v="0"/>
    <m/>
    <x v="0"/>
    <m/>
    <x v="0"/>
    <x v="0"/>
    <s v="YES"/>
    <x v="0"/>
    <x v="0"/>
    <x v="0"/>
    <x v="0"/>
    <n v="4"/>
    <x v="1"/>
    <x v="2"/>
    <x v="2"/>
    <x v="2"/>
    <x v="2"/>
    <x v="3"/>
    <n v="0"/>
    <x v="1"/>
    <x v="1"/>
    <x v="1"/>
    <x v="1"/>
    <x v="1"/>
    <n v="3"/>
    <x v="0"/>
    <x v="1"/>
    <m/>
    <m/>
    <m/>
    <m/>
    <x v="2"/>
    <s v="Communication sur les procédures d'achats et passation de marchés; Information sur le recrutement professionnel des jeunes"/>
    <m/>
    <s v="Conditionner l'appui par la création d'actifs productifs"/>
    <m/>
    <m/>
    <m/>
    <m/>
    <m/>
    <m/>
    <m/>
    <n v="4638"/>
    <n v="15362"/>
    <n v="3.3122035360068995"/>
    <n v="0.36265631737818027"/>
    <n v="0.53365447207394867"/>
    <n v="1682"/>
    <n v="8198"/>
    <n v="1"/>
    <n v="4638"/>
    <n v="15362"/>
    <n v="3.3122035360068995"/>
    <n v="1"/>
    <n v="4638"/>
    <n v="15362"/>
    <n v="3.3122035360068995"/>
    <s v=""/>
    <n v="0"/>
    <n v="0"/>
    <s v=""/>
    <s v=""/>
    <n v="0"/>
    <n v="0"/>
    <s v=""/>
    <s v=""/>
    <n v="0"/>
    <n v="0"/>
    <s v=""/>
    <s v="2. Sensitive"/>
    <s v="0. Unaware"/>
    <s v="2. Sensitive"/>
    <s v="It did not develop any specific innovation"/>
    <s v="Little or no advocacy"/>
    <s v="It did not take tested solutions to scale"/>
  </r>
  <r>
    <x v="54"/>
    <x v="2"/>
    <m/>
    <s v="Distribution gratuite ciblée; cash transfer; cash et food for asset et blanket feeding aux enfants de 6 à 23 mois"/>
    <s v="Niger"/>
    <s v="WFPXNE0046"/>
    <s v="No CARE member related to the project/initiative"/>
    <s v="Multilateral agency"/>
    <s v="UN - United Nations agencies/offices"/>
    <s v="World Food Programme (WFP)"/>
    <m/>
    <m/>
    <m/>
    <m/>
    <m/>
    <m/>
    <m/>
    <m/>
    <m/>
    <m/>
    <m/>
    <m/>
    <m/>
    <m/>
    <m/>
    <m/>
    <m/>
    <m/>
    <m/>
    <m/>
    <m/>
    <m/>
    <m/>
    <m/>
    <m/>
    <m/>
    <m/>
    <m/>
    <m/>
    <m/>
    <m/>
    <m/>
    <m/>
    <m/>
    <m/>
    <m/>
    <m/>
    <m/>
    <m/>
    <m/>
    <m/>
    <m/>
    <m/>
    <m/>
    <m/>
    <d v="2017-01-01T00:00:00"/>
    <d v="2017-12-31T00:00:00"/>
    <m/>
    <s v="Humanitarian Other"/>
    <n v="464881.10800000001"/>
    <s v="SANI MAMANE LAMINOU"/>
    <s v="COORDONNATEUR HUMANITAIRE"/>
    <s v="mamanelaminou.sani@care.org"/>
    <s v="BOUKAR LAWAN MAROUMA"/>
    <s v="CHEF DE PROJET"/>
    <s v="Lawan.MaroumaBoukar@care.org"/>
    <s v="YES"/>
    <s v="NO"/>
    <s v="NO"/>
    <s v="Répondre aux besoins alimentaires et nutritionnels urgents des populations et communautés vulnérables affectées de la région de  Diffa (Niger) par la crise du bassin du Lac Tchad"/>
    <s v="Sub-National"/>
    <s v="Le projet intervient au niveau de neuf sites de la commune de Maine Soroa, département de Maîné Soroa situé dans la région de Diffa"/>
    <s v="Projet appui 1562 ménages très pauvres des déplacés, réfugiés, retournés, autochtones et 1074 enfants de 6 à 23 mois issus de ces ménages"/>
    <n v="1013"/>
    <n v="1623"/>
    <n v="2636"/>
    <n v="4824"/>
    <n v="3474"/>
    <n v="8298"/>
    <s v="Les participants directs sont les 1562 chefs de ménages très pauvres qui reçoivent chaque mois la ration du cash et du super céréal simple  et les 1074 enfants de 6 à 23 mois. Les bénéficiaires indirects sont constitués par l'ensemble des autres membres du ménage"/>
    <m/>
    <n v="1013"/>
    <n v="1623"/>
    <n v="2636"/>
    <n v="4824"/>
    <n v="3474"/>
    <n v="8298"/>
    <m/>
    <m/>
    <m/>
    <m/>
    <m/>
    <m/>
    <m/>
    <m/>
    <m/>
    <m/>
    <m/>
    <m/>
    <s v="YES"/>
    <n v="2636"/>
    <n v="0.38419999999999999"/>
    <n v="10934"/>
    <m/>
    <m/>
    <m/>
    <m/>
    <m/>
    <m/>
    <m/>
    <m/>
    <m/>
    <m/>
    <m/>
    <m/>
    <m/>
    <m/>
    <m/>
    <m/>
    <m/>
    <m/>
    <m/>
    <m/>
    <m/>
    <m/>
    <m/>
    <m/>
    <m/>
    <m/>
    <m/>
    <m/>
    <m/>
    <m/>
    <m/>
    <m/>
    <m/>
    <m/>
    <m/>
    <m/>
    <m/>
    <m/>
    <m/>
    <n v="0"/>
    <m/>
    <m/>
    <n v="0"/>
    <m/>
    <m/>
    <m/>
    <m/>
    <m/>
    <m/>
    <m/>
    <m/>
    <m/>
    <m/>
    <m/>
    <m/>
    <m/>
    <m/>
    <m/>
    <m/>
    <m/>
    <m/>
    <m/>
    <m/>
    <m/>
    <m/>
    <m/>
    <m/>
    <m/>
    <m/>
    <m/>
    <m/>
    <m/>
    <m/>
    <m/>
    <m/>
    <m/>
    <m/>
    <m/>
    <m/>
    <m/>
    <m/>
    <m/>
    <m/>
    <m/>
    <m/>
    <m/>
    <m/>
    <m/>
    <m/>
    <m/>
    <m/>
    <m/>
    <m/>
    <m/>
    <m/>
    <m/>
    <m/>
    <m/>
    <m/>
    <m/>
    <m/>
    <m/>
    <m/>
    <m/>
    <m/>
    <m/>
    <m/>
    <m/>
    <m/>
    <m/>
    <m/>
    <m/>
    <s v="NO"/>
    <m/>
    <m/>
    <s v="NO"/>
    <s v="NO"/>
    <m/>
    <m/>
    <m/>
    <x v="0"/>
    <s v="NO"/>
    <s v="NO"/>
    <s v="NO"/>
    <s v="YES"/>
    <s v="NO"/>
    <s v="NO"/>
    <s v="NO"/>
    <s v="NO"/>
    <m/>
    <x v="1"/>
    <m/>
    <x v="0"/>
    <m/>
    <x v="0"/>
    <x v="0"/>
    <s v="YES"/>
    <x v="0"/>
    <x v="0"/>
    <x v="1"/>
    <x v="1"/>
    <n v="3"/>
    <x v="3"/>
    <x v="2"/>
    <x v="2"/>
    <x v="2"/>
    <x v="2"/>
    <x v="3"/>
    <n v="0"/>
    <x v="1"/>
    <x v="1"/>
    <x v="1"/>
    <x v="1"/>
    <x v="1"/>
    <n v="3"/>
    <x v="0"/>
    <x v="2"/>
    <m/>
    <m/>
    <s v="Local government(s)"/>
    <m/>
    <x v="2"/>
    <s v="Communication sur les procédures d'achats et passation de marchés; Information sur le recrutement professionnel des jeunes"/>
    <m/>
    <s v="Conditionner l'appui par la création d'actifs productifs"/>
    <m/>
    <m/>
    <m/>
    <m/>
    <m/>
    <m/>
    <m/>
    <n v="2636"/>
    <n v="8298"/>
    <n v="3.1479514415781487"/>
    <n v="0.38429438543247346"/>
    <n v="0.58134490238611713"/>
    <n v="1013"/>
    <n v="4824"/>
    <n v="1"/>
    <n v="2636"/>
    <n v="8298"/>
    <n v="3.1479514415781487"/>
    <n v="1"/>
    <n v="2636"/>
    <n v="10934"/>
    <n v="4.1479514415781491"/>
    <s v=""/>
    <n v="0"/>
    <n v="0"/>
    <s v=""/>
    <s v=""/>
    <n v="0"/>
    <n v="0"/>
    <s v=""/>
    <s v=""/>
    <n v="0"/>
    <n v="0"/>
    <s v=""/>
    <s v="1. Neutral"/>
    <s v="0. Unaware"/>
    <s v="2. Sensitive"/>
    <s v="It tested new ways for fighting poverty, but did not measure results of innovation"/>
    <s v="Little or no advocacy"/>
    <s v="It did not take tested solutions to scale"/>
  </r>
  <r>
    <x v="54"/>
    <x v="2"/>
    <n v="3214"/>
    <s v="Drylands Development Programme (DRYDEV)"/>
    <s v="Niger"/>
    <s v="ICRANE0008"/>
    <s v="No CARE member related to the project/initiative"/>
    <s v="Other"/>
    <s v="Other"/>
    <s v="World Agroforestry Center ICRAF"/>
    <m/>
    <m/>
    <m/>
    <m/>
    <m/>
    <m/>
    <m/>
    <m/>
    <m/>
    <m/>
    <m/>
    <m/>
    <m/>
    <m/>
    <m/>
    <m/>
    <m/>
    <m/>
    <m/>
    <m/>
    <m/>
    <m/>
    <m/>
    <m/>
    <m/>
    <m/>
    <m/>
    <m/>
    <m/>
    <m/>
    <m/>
    <m/>
    <m/>
    <m/>
    <m/>
    <m/>
    <m/>
    <m/>
    <m/>
    <m/>
    <m/>
    <m/>
    <m/>
    <m/>
    <m/>
    <d v="2014-01-01T00:00:00"/>
    <d v="2019-07-19T00:00:00"/>
    <m/>
    <s v="Humanitarian Food &amp; Nutrition Security and Resilience to Climate Change"/>
    <n v="1861740"/>
    <s v="Salamatou BAGNOU"/>
    <s v="DryDev Niger Coordination"/>
    <s v="salamatou.bagnou@care.org"/>
    <s v="Ahmet DAWALAK"/>
    <s v="DryDev Niger Specialist SEMI"/>
    <s v="dawalak.ahmet@care.org"/>
    <s v="NO"/>
    <s v="YES"/>
    <s v="NO"/>
    <s v="Vision: les ménages résidant dans les zones du programme auront fait le passage de l'agriculture de subsistance et de l'aide d'urgence au développement rural durable.  Impact principal recherché: amélioration soutenue en securité alimentaire et hydrique, les moyens de subsistance et la resilience, et l'empowerment des femmes et d'autres groupes défavorisés."/>
    <s v="Multiple countries"/>
    <s v="DRYDEV Niger est localisé en 5 communes dans 5 régions du Niger: Torodi, Dogon Kiria, Malbaza, Aguié, Droum"/>
    <s v="Les producteurs et productrices ruraux en particulier les femmes et autres groupes défavorisés"/>
    <n v="25668"/>
    <n v="25668"/>
    <n v="51336"/>
    <n v="51336"/>
    <n v="51336"/>
    <n v="102672"/>
    <s v="Pour les duirects, il s'agit des personnes directement appuyées par le projet à travers les formations, les subventions et les mise en relation avec les ImFs. Les Indiects  sont des hommes et des  femmes qui profitent des réalisations de mobilisation des eaux et de restauurations des terres. Il a été considéré quatre personnes supplémentaires au sein de chaque ménage soit deux personnes par sexe"/>
    <m/>
    <m/>
    <m/>
    <m/>
    <m/>
    <m/>
    <m/>
    <m/>
    <m/>
    <m/>
    <m/>
    <m/>
    <m/>
    <m/>
    <m/>
    <m/>
    <m/>
    <m/>
    <m/>
    <m/>
    <m/>
    <m/>
    <m/>
    <m/>
    <m/>
    <m/>
    <m/>
    <m/>
    <m/>
    <m/>
    <m/>
    <m/>
    <m/>
    <m/>
    <m/>
    <m/>
    <m/>
    <m/>
    <m/>
    <m/>
    <m/>
    <m/>
    <m/>
    <m/>
    <m/>
    <m/>
    <m/>
    <m/>
    <m/>
    <m/>
    <m/>
    <m/>
    <m/>
    <m/>
    <m/>
    <m/>
    <m/>
    <m/>
    <m/>
    <m/>
    <n v="10431"/>
    <n v="15897"/>
    <n v="26328"/>
    <n v="20862"/>
    <n v="31794"/>
    <n v="52656"/>
    <s v="YES"/>
    <n v="26329"/>
    <n v="0.39"/>
    <n v="52658"/>
    <s v="YES"/>
    <n v="13780"/>
    <n v="0.44"/>
    <n v="27560"/>
    <s v="YES"/>
    <n v="1606"/>
    <n v="0.18"/>
    <n v="200000"/>
    <s v="YES"/>
    <m/>
    <m/>
    <n v="0"/>
    <s v="YES"/>
    <n v="7500"/>
    <n v="1"/>
    <n v="15000"/>
    <s v="NO"/>
    <m/>
    <m/>
    <m/>
    <s v="YES"/>
    <n v="26329"/>
    <n v="0.39"/>
    <n v="52658"/>
    <s v="NO"/>
    <m/>
    <m/>
    <n v="0"/>
    <s v="NO"/>
    <m/>
    <m/>
    <m/>
    <s v="NO"/>
    <m/>
    <m/>
    <m/>
    <s v="YES"/>
    <n v="1007"/>
    <n v="0.51"/>
    <n v="2014"/>
    <s v="YES"/>
    <n v="26329"/>
    <n v="0.39"/>
    <n v="52658"/>
    <s v="YES"/>
    <n v="1250"/>
    <n v="0.14000000000000001"/>
    <n v="2500"/>
    <s v="NO"/>
    <m/>
    <m/>
    <m/>
    <s v="NO"/>
    <m/>
    <m/>
    <m/>
    <s v="YES"/>
    <n v="7500"/>
    <n v="1"/>
    <n v="15000"/>
    <m/>
    <m/>
    <m/>
    <m/>
    <m/>
    <s v="YES"/>
    <s v="December"/>
    <n v="2016"/>
    <m/>
    <s v="YES"/>
    <s v="October"/>
    <n v="2017"/>
    <s v="Drydev a deux évaluations prévues au cours de l'année fiscale. L'évaluation à mi-parcours et une évaluation sur l'adoption des innovations vulgarisées. Partager avec le responsable M&amp;E tout document stratégique pour nous conformer à l'approche CARE (format TDR pour le MTE et Méthodologie d'échantillonnage quantitative) à defaut Drydev utilisera ses propores ressources. Partager la base de données des enquêteurs et surtout ceux qui sont habitués aux enquêtes qualitatives."/>
    <x v="1"/>
    <m/>
    <m/>
    <s v="YES"/>
    <m/>
    <s v="YES"/>
    <s v="YES"/>
    <m/>
    <m/>
    <m/>
    <x v="1"/>
    <m/>
    <x v="1"/>
    <m/>
    <x v="1"/>
    <x v="0"/>
    <s v="NO"/>
    <x v="0"/>
    <x v="0"/>
    <x v="0"/>
    <x v="1"/>
    <n v="3"/>
    <x v="3"/>
    <x v="1"/>
    <x v="1"/>
    <x v="1"/>
    <x v="1"/>
    <x v="3"/>
    <n v="4"/>
    <x v="0"/>
    <x v="0"/>
    <x v="0"/>
    <x v="0"/>
    <x v="0"/>
    <n v="0"/>
    <x v="3"/>
    <x v="2"/>
    <n v="5"/>
    <s v="Grassroots organization(s)"/>
    <s v="Local NGO(s)/CSO(s)"/>
    <s v="International NGO(s)"/>
    <x v="0"/>
    <m/>
    <m/>
    <s v="1) L'approche Plateforme d'innovation est en partie le succès du projet Drydev aussi bien en termes de mobilisation communautaire qu'en termes du modèle de pérenisation d'acquis."/>
    <s v="2)l'approche bassin verssant a été importante en termes en termes de prise en compte effective des aspects écologiques dans des contexte de fortes pression humaines. Les résultats des études faites sur Drydev confirment la pertinence des choix des zones d'intervention"/>
    <s v="3) Le système de suivi et d'évaluation participatif ou ascendant bien que en plein test commence a porté fruit. La collecte et la remontée de plus de 70% des indicateurs Outputs et suboutcome sont gérés par la communauté. Du niveau village au projet en passant par une synthèse faite par la grappe puis par la PI."/>
    <s v="Possibilité d'exécuter des projets suivant une approche systemique dans un contexte boulverssé par des approches directes envenimeux par l'assistanat"/>
    <s v="Les défits au niveau de Drydev sont multiples: 1)Incarnation de l'approche systemique ou Bottom up par les partenaires de Drydev et trouver des solutions idoines pour éviter des sous consommations. 2) Parvenir à transferer directement les fonds aux differentes PI pour la mise en oeuvre et le suivi des activités. Nous sommes au stade des planifications communautaires pour l'instant...  3) Tester, documenter, capitaliser et rendre publique sur l'approche suivi évaluation participative et ses avantages par rapport au système top down"/>
    <s v="Dans l'intetrêt de CARE, tous les projets et programmes doivent avoir un point focal au près des partenaires cela renforce les liens entre partenaire et Care et surtout permet une assistance technique à temps réel. Pour ce faire à defaut des salariés prévoir des stagiaires au nom de CARE et leur donner la casquette de M&amp;E."/>
    <s v="Le programme Drydev fait de l'aspect engagement son cheval de bataille et developpe des stratégies tous secteurs confondus sur comment aboutir à un processus basé sur les changements systemiques en mettant en première lignes les acteurs communautaires."/>
    <s v="Les liens étant en cours d'élaboration, Drydev s'engage à les partager dès que possible toutefois, les documents sont accessibles auprès de tous les collègues cités precedemment."/>
    <n v="26328"/>
    <n v="52656"/>
    <n v="2"/>
    <n v="0.39619416590701917"/>
    <n v="0.39619416590701917"/>
    <n v="10431"/>
    <n v="20862"/>
    <s v=""/>
    <n v="0"/>
    <n v="0"/>
    <s v=""/>
    <n v="1"/>
    <n v="26329"/>
    <n v="52658"/>
    <n v="2"/>
    <s v=""/>
    <n v="0"/>
    <n v="0"/>
    <s v=""/>
    <s v=""/>
    <n v="0"/>
    <n v="0"/>
    <s v=""/>
    <n v="1"/>
    <n v="7500"/>
    <n v="15000"/>
    <n v="2"/>
    <s v="1. Neutral"/>
    <s v="0. Unaware"/>
    <s v="No marker score"/>
    <s v="It tested new ways for fighting poverty, but did not measure results of innovation"/>
    <s v="Moderate advocacy"/>
    <s v="It linked and worked with strategic alliances and partners to take tested and effective solutions to scale"/>
  </r>
  <r>
    <x v="54"/>
    <x v="2"/>
    <n v="3234"/>
    <s v="Education Civique et appui aux initiative de Paix - Niger Espoir"/>
    <s v="Niger"/>
    <s v="DK257"/>
    <s v="CARE Danmark"/>
    <s v="Government"/>
    <s v="EU - European Union (other than ECHO)"/>
    <s v="EU"/>
    <m/>
    <m/>
    <m/>
    <m/>
    <m/>
    <m/>
    <m/>
    <m/>
    <m/>
    <m/>
    <m/>
    <m/>
    <m/>
    <m/>
    <m/>
    <m/>
    <m/>
    <m/>
    <m/>
    <m/>
    <m/>
    <m/>
    <m/>
    <m/>
    <m/>
    <m/>
    <m/>
    <m/>
    <m/>
    <m/>
    <m/>
    <m/>
    <m/>
    <m/>
    <m/>
    <m/>
    <m/>
    <m/>
    <m/>
    <m/>
    <m/>
    <m/>
    <m/>
    <m/>
    <m/>
    <d v="2015-11-17T00:00:00"/>
    <d v="2017-05-16T00:00:00"/>
    <d v="2017-10-16T00:00:00"/>
    <s v="Development Other"/>
    <n v="1753004"/>
    <s v="Ibrahim NIANDOU"/>
    <s v="Project Manager"/>
    <s v="Ibrahim.Niandou@care.org"/>
    <m/>
    <m/>
    <m/>
    <s v="NO"/>
    <s v="YES"/>
    <s v="NO"/>
    <s v="contribuer à la consolidation de la paix et à lamélioration de la stabilité sociale et politique au Niger."/>
    <s v="Sub-National"/>
    <s v="Niger, régions de Diffa, Zinder, Maradi et Niamey"/>
    <s v="Jeunes et religieux de 119 communes de 4 régions du Niger"/>
    <n v="40000"/>
    <n v="40000"/>
    <n v="80000"/>
    <n v="70000"/>
    <n v="70000"/>
    <n v="140000"/>
    <s v="les participants directs sont les membres des comités de dialogues religieux communuax (16 membres x 119 comités communaux)+ 4 comités régionaux x 16 membres +20 membres 9 plate formes + 20 membres x 6 associations de jeunes"/>
    <m/>
    <m/>
    <m/>
    <m/>
    <m/>
    <m/>
    <m/>
    <m/>
    <m/>
    <m/>
    <m/>
    <m/>
    <m/>
    <m/>
    <m/>
    <m/>
    <m/>
    <m/>
    <m/>
    <m/>
    <m/>
    <m/>
    <m/>
    <m/>
    <m/>
    <m/>
    <m/>
    <m/>
    <m/>
    <m/>
    <m/>
    <m/>
    <m/>
    <m/>
    <m/>
    <m/>
    <m/>
    <m/>
    <m/>
    <m/>
    <m/>
    <m/>
    <m/>
    <m/>
    <m/>
    <m/>
    <m/>
    <m/>
    <m/>
    <m/>
    <m/>
    <m/>
    <m/>
    <m/>
    <m/>
    <s v="Dialogue et éducation  pour la paix"/>
    <s v="YES"/>
    <m/>
    <m/>
    <m/>
    <n v="3007"/>
    <n v="8127"/>
    <n v="11134"/>
    <n v="6014"/>
    <n v="16254"/>
    <n v="22268"/>
    <m/>
    <m/>
    <m/>
    <m/>
    <m/>
    <m/>
    <m/>
    <m/>
    <s v="YES"/>
    <n v="11134"/>
    <n v="0.27"/>
    <n v="22268"/>
    <m/>
    <m/>
    <m/>
    <m/>
    <m/>
    <m/>
    <m/>
    <m/>
    <m/>
    <m/>
    <m/>
    <m/>
    <m/>
    <m/>
    <m/>
    <m/>
    <m/>
    <m/>
    <m/>
    <m/>
    <m/>
    <m/>
    <m/>
    <m/>
    <m/>
    <m/>
    <m/>
    <m/>
    <m/>
    <m/>
    <m/>
    <m/>
    <m/>
    <m/>
    <m/>
    <m/>
    <m/>
    <m/>
    <m/>
    <m/>
    <m/>
    <m/>
    <m/>
    <m/>
    <m/>
    <m/>
    <m/>
    <m/>
    <m/>
    <m/>
    <m/>
    <m/>
    <m/>
    <m/>
    <m/>
    <m/>
    <m/>
    <s v="NO"/>
    <m/>
    <m/>
    <m/>
    <s v="YES"/>
    <s v="September"/>
    <n v="2017"/>
    <s v="l'évaluation finale du projet Niger Espoir est attendu en septembre 2017. Elle necessite un budget de 20 000 000 cfa et la mobilisation de ressources humaines internes et externes (équipe pluridisciplinaires de consultants)."/>
    <x v="1"/>
    <m/>
    <m/>
    <m/>
    <m/>
    <m/>
    <m/>
    <m/>
    <s v="YES"/>
    <s v="La création d'une direction générale des affaires religieuses au Ministére de l'intérieur ainsi que la création du conseil national de dialogue religieux"/>
    <x v="2"/>
    <s v="La valorisation des plate forme genre dans la communication communautaire  pour la paix"/>
    <x v="1"/>
    <s v="Soutenir le Ministére de l'intérieur (chargé des affaires religieuses) à repliquer ailleurs ce qui réussi dans nos zones de travail"/>
    <x v="1"/>
    <x v="1"/>
    <s v="NO"/>
    <x v="0"/>
    <x v="0"/>
    <x v="0"/>
    <x v="4"/>
    <n v="3"/>
    <x v="1"/>
    <x v="1"/>
    <x v="1"/>
    <x v="1"/>
    <x v="1"/>
    <x v="1"/>
    <n v="4"/>
    <x v="3"/>
    <x v="1"/>
    <x v="1"/>
    <x v="1"/>
    <x v="4"/>
    <n v="3"/>
    <x v="2"/>
    <x v="2"/>
    <n v="30"/>
    <s v="Grassroots organization(s)"/>
    <s v="Local government(s)"/>
    <s v="Local alliance(s)/Platform(s)/Network(s) of  NGOs/CSOs"/>
    <x v="0"/>
    <s v="CARE a pemit contractuellement que 50% du budget du projet soit géré par une ONG nationale qui collabore avec d'autres structures"/>
    <s v="No cost extension demandé afin d'adapter la mise en uvre à la vitesse de l'ONG nationale partenaire (rythme de consomation/liquidation)"/>
    <s v="Financer les projets des associations de jeunes pour l'éducation à la paix des jeunes"/>
    <s v="S'appuyer sur les réseaux des plate forme Genre (lutte contre VBG existant) pour continuer la communication sur la paix dans les villages"/>
    <s v="Financer les plans d'action pour l'éducation à la paix des réseaux d'organisations inter religieux (chrétiens+musulmans) dans les régions"/>
    <s v="Les stratégie d'éducation entre paires (religieux pour religieux, jeunes pour jeunes, femmes pour femmes etc) facilite la mise en uvre et présente moins de stress"/>
    <m/>
    <m/>
    <m/>
    <s v="Etude sur les vecteurs de conflits à Diffa; capitalisation du travail des plate forme genre sur l'éducation à la paix avec Niger Espoir"/>
    <n v="11134"/>
    <n v="22268"/>
    <n v="2"/>
    <n v="0.27007364828453384"/>
    <n v="0.27007364828453384"/>
    <n v="3007"/>
    <n v="6014"/>
    <s v=""/>
    <n v="0"/>
    <n v="0"/>
    <s v=""/>
    <s v=""/>
    <n v="0"/>
    <n v="0"/>
    <s v=""/>
    <s v=""/>
    <n v="0"/>
    <n v="0"/>
    <s v=""/>
    <s v=""/>
    <n v="0"/>
    <n v="0"/>
    <s v=""/>
    <s v=""/>
    <n v="0"/>
    <n v="0"/>
    <s v=""/>
    <s v="3. Responsive"/>
    <s v="2. Accommodating"/>
    <s v="4. Transformative"/>
    <s v="It tested new ways for fighting poverty and measured results of innovation"/>
    <s v="Moderate advocacy"/>
    <s v="It linked and worked with strategic alliances and partners to take tested and effective solutions to scale"/>
  </r>
  <r>
    <x v="54"/>
    <x v="2"/>
    <n v="3216"/>
    <s v="GENRE,Agriculture et Gestion des RisquesClimatiques GARIC"/>
    <s v="Niger"/>
    <s v="CFRANE0009"/>
    <s v="CARE France"/>
    <s v="Government"/>
    <s v="Government - Germany"/>
    <s v="French Development Agency"/>
    <m/>
    <m/>
    <m/>
    <m/>
    <m/>
    <m/>
    <m/>
    <m/>
    <m/>
    <m/>
    <m/>
    <m/>
    <m/>
    <m/>
    <m/>
    <m/>
    <m/>
    <m/>
    <m/>
    <m/>
    <m/>
    <m/>
    <m/>
    <m/>
    <m/>
    <m/>
    <m/>
    <m/>
    <m/>
    <m/>
    <m/>
    <m/>
    <m/>
    <m/>
    <m/>
    <m/>
    <m/>
    <m/>
    <m/>
    <m/>
    <m/>
    <m/>
    <m/>
    <m/>
    <m/>
    <d v="2014-02-01T00:00:00"/>
    <d v="2017-01-31T00:00:00"/>
    <d v="2017-03-31T00:00:00"/>
    <s v="Development Food &amp; Nutrition Security and Resilience to Climate Change"/>
    <n v="819946"/>
    <s v="Abdallah Mabrouk"/>
    <s v="Coordonnateur SAN"/>
    <s v="Abdallah.Mobrouk@care.org"/>
    <s v="HAMDOU Mahamane lawali"/>
    <s v="Chef de Projet GARIC"/>
    <s v="Laouali.Hamidou@care.org"/>
    <s v="NO"/>
    <s v="YES"/>
    <s v="NO"/>
    <s v="Accroitre  la resilience des producteurs ruraux les plus vulnérables face aux risques climatiques dans laregion de Maradi"/>
    <s v="Sub-National"/>
    <s v="Région de Maradi, 3 departements ( Aguié,Guidan Roumdji, Madarounfa) , 8 communes ( Aguié, Tibiri, Tchadoua,Guidan Roumdji, Safo, Danja, Madarounfa, Sarkin Yama)"/>
    <s v="Réduire significativement et durablement la pauvreté de 2500 ménages ruraux extrêmement pauvres et vulnérables grâce au renforcement des connaissances et compétences des groupements de femmes (MMD) sur les systèmes et pratiques agro-sylvo-pastoraux et halieutiques adaptés aux effets du changement climatique et économiquement porteurs"/>
    <n v="8925"/>
    <n v="8575"/>
    <n v="17500"/>
    <n v="265200"/>
    <n v="254800"/>
    <n v="520000"/>
    <s v="Les bénéficiaires directs sont 17 500 personnes issues de 2500 ménages et de 60 structures MMD  regroupant 4 000 femmes. Les participants indirects sont sont  520 000 personnes réparties dans 70 000 ménages"/>
    <m/>
    <m/>
    <m/>
    <n v="0"/>
    <m/>
    <m/>
    <n v="0"/>
    <m/>
    <m/>
    <m/>
    <m/>
    <m/>
    <m/>
    <m/>
    <m/>
    <m/>
    <m/>
    <m/>
    <m/>
    <m/>
    <m/>
    <m/>
    <m/>
    <m/>
    <m/>
    <m/>
    <m/>
    <m/>
    <m/>
    <m/>
    <m/>
    <m/>
    <m/>
    <m/>
    <m/>
    <m/>
    <m/>
    <m/>
    <m/>
    <m/>
    <m/>
    <m/>
    <m/>
    <m/>
    <m/>
    <m/>
    <m/>
    <m/>
    <m/>
    <m/>
    <m/>
    <m/>
    <m/>
    <m/>
    <m/>
    <m/>
    <m/>
    <m/>
    <m/>
    <m/>
    <n v="8925"/>
    <n v="8575"/>
    <n v="17500"/>
    <n v="265200"/>
    <n v="254800"/>
    <n v="520000"/>
    <s v="YES"/>
    <n v="7019"/>
    <n v="0.71"/>
    <n v="49133"/>
    <s v="YES"/>
    <n v="2883"/>
    <n v="0.87370000000000003"/>
    <n v="20181"/>
    <s v="NO"/>
    <m/>
    <m/>
    <m/>
    <s v="YES"/>
    <n v="2254"/>
    <n v="0.86240000000000006"/>
    <n v="15778"/>
    <s v="YES"/>
    <n v="6206"/>
    <n v="0.65129999999999999"/>
    <n v="43442"/>
    <s v="NO"/>
    <m/>
    <m/>
    <m/>
    <s v="YES"/>
    <n v="5497"/>
    <n v="0.82040000000000002"/>
    <n v="38479"/>
    <s v="YES"/>
    <n v="278"/>
    <n v="0.79849999999999999"/>
    <n v="1946"/>
    <s v="YES"/>
    <n v="4000"/>
    <n v="0.51"/>
    <n v="28000"/>
    <s v="NO"/>
    <m/>
    <m/>
    <m/>
    <s v="YES"/>
    <n v="25"/>
    <n v="0.51"/>
    <n v="50"/>
    <s v="YES"/>
    <n v="435"/>
    <n v="0.49880000000000002"/>
    <n v="3045"/>
    <s v="YES"/>
    <n v="2200"/>
    <n v="0.51"/>
    <n v="15400"/>
    <s v="NO"/>
    <m/>
    <m/>
    <m/>
    <s v="NO"/>
    <m/>
    <m/>
    <m/>
    <s v="YES"/>
    <n v="575"/>
    <n v="0.51"/>
    <n v="4025"/>
    <m/>
    <m/>
    <m/>
    <m/>
    <m/>
    <s v="NO"/>
    <m/>
    <m/>
    <s v="YES"/>
    <s v="NO"/>
    <m/>
    <m/>
    <m/>
    <x v="1"/>
    <s v="NO"/>
    <s v="YES"/>
    <s v="YES"/>
    <s v="NO"/>
    <s v="NO"/>
    <s v="NO"/>
    <s v="NO"/>
    <s v="NO"/>
    <m/>
    <x v="2"/>
    <s v="adoption de la technique de repiquage du mil, developpement des prtatiques resileintes aux CC, Formation des communautés sur les Previsions saisonnieres de pluie afin d'en tenir compte daans laconduite des campagnes agricoles et pastorales"/>
    <x v="1"/>
    <s v="collaborations les institutions universitaires ( Universite de Maradi) et les institutiond de recherche ( INRAN, ICRISAT,etc); services deconcentrés de l'Etat, conseils communaux ( prise en compte des CC dans les documents de planifications et strategies d'actions)"/>
    <x v="1"/>
    <x v="0"/>
    <s v="YES"/>
    <x v="0"/>
    <x v="0"/>
    <x v="0"/>
    <x v="0"/>
    <n v="4"/>
    <x v="1"/>
    <x v="1"/>
    <x v="1"/>
    <x v="1"/>
    <x v="1"/>
    <x v="1"/>
    <n v="4"/>
    <x v="1"/>
    <x v="1"/>
    <x v="1"/>
    <x v="1"/>
    <x v="1"/>
    <n v="3"/>
    <x v="3"/>
    <x v="3"/>
    <n v="3"/>
    <s v="Grassroots organization(s)"/>
    <s v="Local government(s)"/>
    <s v="University/research institution(s)"/>
    <x v="2"/>
    <s v="Appuis aux OP ( groupements MMD, reseaux, COGES, conseils communaux)"/>
    <s v="objectifs et resualts atteints du projet, planification et mise en uvre des actions du projet, suivi evaluation"/>
    <s v="la planification communautaire à travers l'elaboration des PACA ( plans d'actiond communautaire d'adaptation)"/>
    <s v="l'engagementdes groupements feminins VSLA dans toutes les actions du projet ( developpement d'initiatives comme empoissonnement des étangs, aviculture, champs collectifs, comptoirs des produits forestiers non ligneux, etc)"/>
    <s v="l'effet tache d'huile de latechnique de repiquage de mil ( environ 120 personnes ont repique cette technique apres la phase des paysans pilotes de la 1ere année)"/>
    <s v="la prise en compte des prevsions saisonnières gau niveau communautaire dans la gestion des  campagnes hivernales"/>
    <s v="la planification communautaire sur la base de l'analyse des risues liées aux CC (PACA)"/>
    <s v="le developpement de la recherche actions participative en mileu paysan avec lesinstituions universitaires et de recherche ( UDDM,INRAN, ICRISAT)"/>
    <m/>
    <s v="Le document du projet GARIC, le rapport de l'étude de base referentielle, l'évaluation finale, les rapports interimaires semestriels, trimestriels,annuels et final, le rapport de capitalisation de l'initiative GARIC; laconduite des SSI,etc"/>
    <n v="17500"/>
    <n v="520000"/>
    <n v="29.714285714285715"/>
    <n v="0.51"/>
    <n v="0.51"/>
    <n v="8925"/>
    <n v="265200"/>
    <s v=""/>
    <n v="0"/>
    <n v="0"/>
    <s v=""/>
    <n v="1"/>
    <n v="7019"/>
    <n v="49133"/>
    <n v="7"/>
    <s v=""/>
    <n v="0"/>
    <n v="0"/>
    <s v=""/>
    <n v="1"/>
    <n v="278"/>
    <n v="1946"/>
    <n v="7"/>
    <n v="1"/>
    <n v="4041.9677999999999"/>
    <n v="28293.774600000001"/>
    <n v="7"/>
    <s v="2. Sensitive"/>
    <s v="2. Accommodating"/>
    <s v="2. Sensitive"/>
    <s v="It tested new ways for fighting poverty and measured results of innovation"/>
    <s v="Moderate advocacy"/>
    <s v="It linked and worked with strategic alliances and partners to take tested and effective solutions to scale"/>
  </r>
  <r>
    <x v="54"/>
    <x v="2"/>
    <m/>
    <s v="Humanitarian assistance to refugees, IDPs and host communities to improve access to WASH and Protection for children in Diffa, Niger                            "/>
    <s v="Niger"/>
    <s v="CDEUNE0010"/>
    <s v="CARE Deutschland-Luxemburg"/>
    <s v="Government"/>
    <s v="Government - Germany"/>
    <s v="Ministry of Foreign Affairs of Germany"/>
    <m/>
    <m/>
    <m/>
    <m/>
    <m/>
    <m/>
    <m/>
    <m/>
    <m/>
    <m/>
    <m/>
    <m/>
    <m/>
    <m/>
    <m/>
    <m/>
    <m/>
    <m/>
    <m/>
    <m/>
    <m/>
    <m/>
    <m/>
    <m/>
    <m/>
    <m/>
    <m/>
    <m/>
    <m/>
    <m/>
    <m/>
    <m/>
    <m/>
    <m/>
    <m/>
    <m/>
    <m/>
    <m/>
    <m/>
    <m/>
    <m/>
    <m/>
    <m/>
    <m/>
    <m/>
    <d v="2016-11-11T00:00:00"/>
    <d v="2017-02-10T00:00:00"/>
    <m/>
    <s v="Humanitarian Other"/>
    <n v="342238"/>
    <s v="Ely Keita"/>
    <s v="CD CARE"/>
    <s v="Ely.Keita@care.org"/>
    <s v="Djimraou Aboubacar"/>
    <s v="ACD CARE Niger"/>
    <s v="Aboubacar.Djimraou@co.care.org"/>
    <s v="YES"/>
    <s v="NO"/>
    <s v="NO"/>
    <s v="The project aims at improving the living conditions in the refugee sites through the provision of better access to safe drinking water, the distribution of hygiene kits, and the delivery of psychosocial services for children in CFS."/>
    <s v="Sub-National"/>
    <s v="Région de Diffa; Départements de Mainé Soroa, Diffa et N'guigmi; Communes de Mainé Soroa, Chétimari, Diffa, Gueskerou, Kablewa, Kablewa et N'guigmi."/>
    <s v="Les enfants, les femmes et les hommes parmi les personnes déplacées et les communautés hôtes affectées par la crise du Bassin du Lac Tchad dans la région de Diffa"/>
    <n v="9945"/>
    <n v="9555"/>
    <n v="19500"/>
    <n v="4590"/>
    <n v="4410"/>
    <n v="9000"/>
    <s v="Les bénéficiaires directs sont les participants aux activités de distribution des kits d'hyiène (pour les femmes en âge de procréer),  les enfants admis dans les espaces Amis des Enfants (EAE), les bénéficiaires des points d'eau. Les participants indirects sont les parents des enfants admis dans les Espaces Amis des Enfants"/>
    <m/>
    <n v="11208"/>
    <n v="5433"/>
    <n v="16641"/>
    <n v="7416"/>
    <n v="5866"/>
    <n v="13282"/>
    <m/>
    <m/>
    <m/>
    <m/>
    <m/>
    <m/>
    <m/>
    <m/>
    <m/>
    <m/>
    <m/>
    <m/>
    <m/>
    <m/>
    <m/>
    <m/>
    <s v="YES"/>
    <n v="5000"/>
    <n v="1"/>
    <n v="1250"/>
    <m/>
    <m/>
    <m/>
    <m/>
    <m/>
    <m/>
    <m/>
    <m/>
    <m/>
    <m/>
    <m/>
    <m/>
    <s v="YES"/>
    <n v="6641"/>
    <n v="0.51"/>
    <n v="13282"/>
    <m/>
    <m/>
    <m/>
    <m/>
    <m/>
    <m/>
    <m/>
    <m/>
    <s v="YES"/>
    <n v="5000"/>
    <n v="0.5"/>
    <m/>
    <m/>
    <m/>
    <m/>
    <m/>
    <m/>
    <m/>
    <m/>
    <m/>
    <m/>
    <m/>
    <m/>
    <m/>
    <m/>
    <m/>
    <m/>
    <m/>
    <m/>
    <m/>
    <m/>
    <m/>
    <m/>
    <m/>
    <m/>
    <m/>
    <m/>
    <m/>
    <m/>
    <m/>
    <m/>
    <m/>
    <m/>
    <m/>
    <m/>
    <m/>
    <m/>
    <m/>
    <m/>
    <m/>
    <m/>
    <m/>
    <m/>
    <m/>
    <m/>
    <m/>
    <m/>
    <m/>
    <m/>
    <m/>
    <m/>
    <m/>
    <m/>
    <m/>
    <m/>
    <m/>
    <m/>
    <m/>
    <m/>
    <m/>
    <m/>
    <m/>
    <m/>
    <m/>
    <m/>
    <m/>
    <m/>
    <m/>
    <m/>
    <m/>
    <m/>
    <m/>
    <m/>
    <m/>
    <m/>
    <m/>
    <m/>
    <m/>
    <m/>
    <m/>
    <m/>
    <m/>
    <s v="NO"/>
    <s v="May"/>
    <m/>
    <m/>
    <s v="NO"/>
    <m/>
    <m/>
    <m/>
    <x v="0"/>
    <s v="NO"/>
    <s v="NO"/>
    <s v="NO"/>
    <s v="YES"/>
    <s v="NO"/>
    <s v="NO"/>
    <s v="NO"/>
    <m/>
    <m/>
    <x v="0"/>
    <m/>
    <x v="0"/>
    <m/>
    <x v="1"/>
    <x v="0"/>
    <s v="YES"/>
    <x v="0"/>
    <x v="0"/>
    <x v="0"/>
    <x v="0"/>
    <n v="4"/>
    <x v="3"/>
    <x v="0"/>
    <x v="0"/>
    <x v="0"/>
    <x v="0"/>
    <x v="3"/>
    <n v="0"/>
    <x v="1"/>
    <x v="1"/>
    <x v="2"/>
    <x v="2"/>
    <x v="3"/>
    <n v="1"/>
    <x v="2"/>
    <x v="1"/>
    <m/>
    <m/>
    <m/>
    <m/>
    <x v="1"/>
    <m/>
    <m/>
    <m/>
    <m/>
    <m/>
    <s v="La prévention des cas de protection de l'enfant et des violences basées sur le genre est bien possible au niveau communautaire par la mise en place, le renforcement de capacité, le suivi et l'encadrement des mécanismes communautaires de protection."/>
    <s v="La pérénisation des infrastructures hydrauliques, sanitaires et de protection (EAE) passe nécéssairement par leur appropriation par la communauté et les autorités municipales. Cela aussi se passe par leur implication tout au long du processus (de l'implatation à la réception en passant par le suivi des travaux)."/>
    <s v="Les projets intégrateurs (touchant plus d'un secteur: Protection-WASH-Sécurité Alimentaire-Education) répondent mieux aux besoins spécifiques des couches les plus vulnérables (les enfants, les personnes handicapées, les PBS et les femmes)"/>
    <m/>
    <m/>
    <n v="16641"/>
    <n v="13282"/>
    <n v="0.79814914969052342"/>
    <n v="0.67351721651343066"/>
    <n v="0.55834964613762983"/>
    <n v="11208"/>
    <n v="7416"/>
    <n v="1"/>
    <n v="16641"/>
    <n v="13282"/>
    <n v="0.79814914969052342"/>
    <s v=""/>
    <n v="0"/>
    <n v="0"/>
    <s v=""/>
    <s v=""/>
    <n v="0"/>
    <n v="0"/>
    <s v=""/>
    <n v="1"/>
    <n v="5000"/>
    <n v="1250"/>
    <n v="0.25"/>
    <s v=""/>
    <n v="0"/>
    <n v="0"/>
    <s v=""/>
    <s v="2. Sensitive"/>
    <s v="0. Unaware"/>
    <s v="1. Neutral"/>
    <s v="It did not develop any specific innovation"/>
    <s v="Little or no advocacy"/>
    <s v="It did not take tested solutions to scale"/>
  </r>
  <r>
    <x v="54"/>
    <x v="2"/>
    <n v="3231"/>
    <s v="Initiative Paix et Diversité au Sahel (IPAD)"/>
    <s v="Niger"/>
    <s v="CAUTNE0007"/>
    <s v="CARE Australia"/>
    <s v="Government"/>
    <s v="EU - European Union (other than ECHO)"/>
    <s v="EU"/>
    <m/>
    <m/>
    <m/>
    <m/>
    <m/>
    <m/>
    <m/>
    <m/>
    <m/>
    <m/>
    <m/>
    <m/>
    <m/>
    <m/>
    <m/>
    <m/>
    <m/>
    <m/>
    <m/>
    <m/>
    <m/>
    <m/>
    <m/>
    <m/>
    <m/>
    <m/>
    <m/>
    <m/>
    <m/>
    <m/>
    <m/>
    <m/>
    <m/>
    <m/>
    <m/>
    <m/>
    <m/>
    <m/>
    <m/>
    <m/>
    <m/>
    <m/>
    <m/>
    <m/>
    <m/>
    <d v="2014-12-20T00:00:00"/>
    <d v="2017-12-19T00:00:00"/>
    <m/>
    <s v="Development Other"/>
    <n v="602593"/>
    <s v="Saratou Malam Goni"/>
    <s v="Chargée de programme LEFF"/>
    <s v="Saratou,MalamGoni@care,org"/>
    <s v="Zakari Insa"/>
    <s v="Chef de projet"/>
    <s v="Zakari.Insa@care.org    "/>
    <s v="NO"/>
    <s v="YES"/>
    <s v="NO"/>
    <s v="Renforcer les capacités d'au moins 200 femmes au Niger et au Burkina en vue de leur participation dans la consolidation de la paix  et de leur influence pour changer les comportements et changements des acteurs acteurs publics  "/>
    <s v="Multiple countries"/>
    <s v="Le projet intervient dans deux régions : pour le Niger: la région de Tillabéri avec 5 commununes (Namaro, Say, Hamdallaye, Liboré, Tamou); Pour le Burkina, la région de Dori dans deux provinces (Séno et Yagha) au sein de trois communes (Sampelga, Boundoré, Falangountou)."/>
    <s v="les groupes d'impact du projet se situent à deux niveaux : au niveau communautaire : les femmes au sein de 160 organisations et groupements communautaires. Au niveau National et Sous Régional : les femmes leaders issues de 40 réseaux et fédérations."/>
    <n v="3500"/>
    <n v="100"/>
    <n v="3600"/>
    <n v="8400"/>
    <n v="8100"/>
    <n v="16500"/>
    <m/>
    <m/>
    <m/>
    <m/>
    <m/>
    <m/>
    <m/>
    <m/>
    <m/>
    <m/>
    <m/>
    <m/>
    <m/>
    <m/>
    <m/>
    <m/>
    <m/>
    <m/>
    <m/>
    <m/>
    <m/>
    <m/>
    <m/>
    <m/>
    <m/>
    <m/>
    <m/>
    <m/>
    <m/>
    <m/>
    <m/>
    <m/>
    <m/>
    <m/>
    <m/>
    <m/>
    <m/>
    <m/>
    <m/>
    <m/>
    <m/>
    <m/>
    <m/>
    <m/>
    <m/>
    <m/>
    <m/>
    <m/>
    <m/>
    <m/>
    <m/>
    <m/>
    <m/>
    <m/>
    <m/>
    <m/>
    <m/>
    <m/>
    <m/>
    <m/>
    <m/>
    <n v="5397"/>
    <n v="1619.1"/>
    <n v="7016"/>
    <n v="6746.25"/>
    <n v="5211"/>
    <n v="11957"/>
    <m/>
    <m/>
    <m/>
    <m/>
    <m/>
    <m/>
    <m/>
    <m/>
    <s v="YES"/>
    <n v="7016"/>
    <n v="0.75"/>
    <n v="11957"/>
    <m/>
    <m/>
    <m/>
    <m/>
    <m/>
    <m/>
    <m/>
    <m/>
    <m/>
    <m/>
    <m/>
    <m/>
    <m/>
    <m/>
    <m/>
    <m/>
    <m/>
    <m/>
    <m/>
    <m/>
    <m/>
    <m/>
    <m/>
    <m/>
    <m/>
    <m/>
    <m/>
    <m/>
    <m/>
    <m/>
    <m/>
    <m/>
    <m/>
    <m/>
    <m/>
    <m/>
    <m/>
    <m/>
    <m/>
    <m/>
    <m/>
    <m/>
    <m/>
    <m/>
    <m/>
    <m/>
    <m/>
    <m/>
    <m/>
    <m/>
    <m/>
    <m/>
    <m/>
    <m/>
    <m/>
    <m/>
    <m/>
    <s v="YES"/>
    <m/>
    <m/>
    <s v="YES"/>
    <s v="YES"/>
    <s v="November"/>
    <n v="2017"/>
    <s v="Une etude des effets de l'intervention  du projet interviendra en fin septembre 2017 avec pour objectif de capitaliser leschangements perceptibles, les bonnes pratiques et les leçons apprises en matière de participation inclusive des femmes et des hommes dans la consolidation de la paix pendant la periode d'intervention du projet, ensuite suivra une evaluation finale du projet en fin octobre au Niger et au Burkina ,"/>
    <x v="1"/>
    <s v="NO"/>
    <s v="NO"/>
    <s v="NO"/>
    <s v="YES"/>
    <s v="YES"/>
    <s v="YES"/>
    <s v="NO"/>
    <m/>
    <m/>
    <x v="1"/>
    <s v="la mobilisation des beneficiares à travers une approche participative et la responsabilisation des learders communautaires,"/>
    <x v="1"/>
    <m/>
    <x v="1"/>
    <x v="0"/>
    <s v="YES"/>
    <x v="0"/>
    <x v="0"/>
    <x v="0"/>
    <x v="0"/>
    <n v="4"/>
    <x v="1"/>
    <x v="1"/>
    <x v="1"/>
    <x v="1"/>
    <x v="1"/>
    <x v="1"/>
    <n v="4"/>
    <x v="1"/>
    <x v="1"/>
    <x v="1"/>
    <x v="1"/>
    <x v="1"/>
    <n v="3"/>
    <x v="0"/>
    <x v="3"/>
    <n v="3"/>
    <s v="Local NGO(s)/CSO(s)"/>
    <s v="Local NGO(s)/CSO(s)"/>
    <s v="Local NGO(s)/CSO(s)"/>
    <x v="0"/>
    <s v="Evaluation du fonctionnement du contrôle interne du partenaire sur le plan financier et appui dans l'amélioration des insuffisances constatées et dans l'utilisation de checlist de liquidation des dépenses plus adapté."/>
    <s v="forte implication des femmes dans les instances de prise de decision et de gestion de conflits au niveau local, renforment des capacites sur les procedures de gestion rationnelle des fonds"/>
    <s v="Une intervention centrée sur les communautés pour influencer les niveaux national et sous régional : le projet travaillera avec les groupements féminins et les hommes champions et le Reseau des Femmes Elues du Niger pour démultiplier l'impact sur la participation des femmes dans la gestion de la paix et la vulgarisation des resolutions 1325 et annexes des UN."/>
    <s v="Travailler avec uns société civile dynamique : les groupements, les réseaux et fédérations MMD du Niger ainsi que leurs homologues du Burkina sont les partenaires clés du projet."/>
    <s v="Une mise à l'échelle de l'approche Engaging Men: un élément essentiel du projet réside dans le dialogue inclusif entre les femmes leaders et les hommes champions, prêts  à soutenir l'innovation et à s'engager dans des changements transformationnels."/>
    <s v="Adoption de nouveaux comportements par les populations (hommes et femmes) qui consistent à s'écouter, à dialoguer et à résoudre eux - mêmes les conflits. Ce qui a effet la dimunition des conflits dans les communautés.  "/>
    <s v="Les femmes  participent pleinement  au sein des instances de règlement des conflits en même temps que les hommes et elles expriment leurs points de vue."/>
    <s v="La leçon apprise : l'engagement et le soutien des autorités et des chefs de village qu ont un leadership au sein de leurs communautés constitue u gage d'implication effective des femmes dans les mécanismes de prévention et gestion des conflits."/>
    <s v="une forte implication des autorites communales et des services techniques dans l'accompagnement et l'encadrement des acteurs dans la gestions et la resoltuions des conflits dans la zone d'intervention,"/>
    <s v="l'evaluation à mi-parcour du projet, le rapport narratif et financier du avril juin du projet"/>
    <n v="7016"/>
    <n v="11957"/>
    <n v="1.7042474344355758"/>
    <n v="0.76924173318129985"/>
    <n v="0.56420924981182574"/>
    <n v="5397"/>
    <n v="6746.25"/>
    <s v=""/>
    <n v="0"/>
    <n v="0"/>
    <s v=""/>
    <s v=""/>
    <n v="0"/>
    <n v="0"/>
    <s v=""/>
    <s v=""/>
    <n v="0"/>
    <n v="0"/>
    <s v=""/>
    <s v=""/>
    <n v="0"/>
    <n v="0"/>
    <s v=""/>
    <s v=""/>
    <n v="0"/>
    <n v="0"/>
    <s v=""/>
    <s v="2. Sensitive"/>
    <s v="2. Accommodating"/>
    <s v="2. Sensitive"/>
    <s v="It tested new ways for fighting poverty, but did not measure results of innovation"/>
    <s v="Moderate advocacy"/>
    <s v="It linked and worked with strategic alliances and partners to take tested and effective solutions to scale"/>
  </r>
  <r>
    <x v="54"/>
    <x v="2"/>
    <m/>
    <s v="Intervention WASH d'urgence pour les déplacés dans la Région de Diffa"/>
    <s v="Niger"/>
    <m/>
    <s v="CARE France"/>
    <s v="Government"/>
    <s v="ECHO - European Commission for Humanitarian Aid and Civil Protection"/>
    <s v="ECHO"/>
    <m/>
    <m/>
    <m/>
    <m/>
    <m/>
    <m/>
    <m/>
    <m/>
    <m/>
    <m/>
    <m/>
    <m/>
    <m/>
    <m/>
    <m/>
    <m/>
    <m/>
    <m/>
    <m/>
    <m/>
    <m/>
    <m/>
    <m/>
    <m/>
    <m/>
    <m/>
    <m/>
    <m/>
    <m/>
    <m/>
    <m/>
    <m/>
    <m/>
    <m/>
    <m/>
    <m/>
    <m/>
    <m/>
    <m/>
    <m/>
    <m/>
    <m/>
    <m/>
    <m/>
    <m/>
    <d v="2016-08-14T00:00:00"/>
    <d v="2017-08-14T00:00:00"/>
    <d v="2017-11-14T00:00:00"/>
    <s v="Humanitarian Other"/>
    <n v="1093261.6666666667"/>
    <s v="Laminou Mamane Sani"/>
    <s v="Coordonateur Humanitaire CARE Niger"/>
    <s v="MamaneLaminou.Sani@care.org"/>
    <s v="Nouroudine PEREIRA"/>
    <s v="Chef de Projet"/>
    <s v="Pereira.Nouroudine@care.org"/>
    <s v="YES"/>
    <s v="NO"/>
    <s v="NO"/>
    <s v="Contribuer à l'amélioration des conditions de vie pour les populations déplacées dans la région de Diffa"/>
    <s v="Sub-National"/>
    <s v="L'initiative ECHO WASH intervient dans la Région de Diffa; 2 départements : N'Guigmi et Guesekerou ; 2 communes: N'Guigmi et Guesekerou. 10 sites dont 9 dans la commune de N'gugmi et Kindjandi dans la commune de de Gueskerou"/>
    <s v="Le groupe cible du projet est estimée à 13 000 personnes dont 12 000 pour l'amélioration en accès à l'eau potable (fourniture, transport, stockage) ; 2800 kits de dignités aux femmes en âge de procréer des 1857 ménages abritants les 13.000 personnes bénéficiares de l'intervention déplacés et les familles hôtes sur les sites ciblés"/>
    <n v="6630"/>
    <n v="6370"/>
    <n v="13000"/>
    <n v="7163"/>
    <n v="6882"/>
    <n v="14045"/>
    <s v="Les participants directs sont les bénéficiaires des activtés ( femmes, hommes, chef de ménages, les comités de gestions, les chefs de villages qui vivent aux niveaux des sites en particulier les déplacés internes); les participants indirects sont les bénéficiaires des infrastructures construites ( puits pastoral, forage profond, latrines communautaires)"/>
    <m/>
    <n v="5140"/>
    <n v="4938"/>
    <n v="10078"/>
    <n v="6986"/>
    <n v="6712"/>
    <n v="13698"/>
    <s v="NO"/>
    <m/>
    <m/>
    <m/>
    <s v="NO"/>
    <m/>
    <m/>
    <m/>
    <s v="NO"/>
    <m/>
    <m/>
    <m/>
    <s v="NO"/>
    <m/>
    <m/>
    <m/>
    <s v="NO"/>
    <m/>
    <m/>
    <m/>
    <s v="NO"/>
    <m/>
    <m/>
    <m/>
    <s v="NO"/>
    <m/>
    <m/>
    <m/>
    <s v="NO"/>
    <m/>
    <m/>
    <m/>
    <s v="NO"/>
    <n v="0"/>
    <m/>
    <n v="0"/>
    <s v="NO"/>
    <m/>
    <m/>
    <m/>
    <s v="NO"/>
    <m/>
    <m/>
    <m/>
    <s v="YES"/>
    <n v="10078"/>
    <n v="0.51002182972812005"/>
    <m/>
    <m/>
    <m/>
    <m/>
    <m/>
    <m/>
    <m/>
    <m/>
    <m/>
    <m/>
    <m/>
    <m/>
    <m/>
    <m/>
    <m/>
    <m/>
    <m/>
    <m/>
    <m/>
    <m/>
    <m/>
    <m/>
    <m/>
    <m/>
    <m/>
    <m/>
    <m/>
    <m/>
    <m/>
    <m/>
    <m/>
    <m/>
    <m/>
    <m/>
    <m/>
    <m/>
    <m/>
    <m/>
    <m/>
    <m/>
    <m/>
    <m/>
    <m/>
    <m/>
    <m/>
    <m/>
    <m/>
    <m/>
    <m/>
    <m/>
    <m/>
    <m/>
    <m/>
    <m/>
    <m/>
    <m/>
    <m/>
    <m/>
    <m/>
    <m/>
    <m/>
    <m/>
    <m/>
    <m/>
    <m/>
    <m/>
    <m/>
    <m/>
    <m/>
    <m/>
    <m/>
    <m/>
    <m/>
    <m/>
    <m/>
    <m/>
    <m/>
    <m/>
    <m/>
    <m/>
    <m/>
    <s v="YES"/>
    <s v="November"/>
    <n v="2016"/>
    <s v="YES"/>
    <s v="YES"/>
    <s v="October"/>
    <n v="2017"/>
    <s v="Une étude CAP finale / évaluation interne est prévue en octobre 2017 qui sera vu comme l'évaluation finale du projet et sera conduite par le staff du projet appuyé par le Coordonnateur SEAMi de la coordination Humanitaire et du Coordonnateur National de SEAMI de CARE Niger pour apprécier le niveau d'atteinte des indicateurs referés à l'étude CAP initiale"/>
    <x v="0"/>
    <s v="NO"/>
    <s v="NO"/>
    <m/>
    <s v="NO"/>
    <s v="NO"/>
    <m/>
    <s v="NO"/>
    <s v="YES"/>
    <s v="Actions pour rechercher des fonds complémentaires pour assurer la canalisation des conduites dans les 8 autres sites de la grappe de Rimi Grema"/>
    <x v="0"/>
    <m/>
    <x v="0"/>
    <m/>
    <x v="0"/>
    <x v="0"/>
    <s v="YES"/>
    <x v="0"/>
    <x v="0"/>
    <x v="0"/>
    <x v="0"/>
    <n v="4"/>
    <x v="3"/>
    <x v="2"/>
    <x v="2"/>
    <x v="2"/>
    <x v="2"/>
    <x v="3"/>
    <n v="0"/>
    <x v="3"/>
    <x v="1"/>
    <x v="2"/>
    <x v="1"/>
    <x v="5"/>
    <n v="2"/>
    <x v="2"/>
    <x v="1"/>
    <m/>
    <m/>
    <m/>
    <m/>
    <x v="1"/>
    <m/>
    <m/>
    <s v="La redevabilité communautaire par rapport aux infrastructures"/>
    <s v="La responsabilisation des femmes dans la gestion des biens communautaires et dans les instances de prises de décisions"/>
    <s v="La participation communautaire"/>
    <s v="La stratégie de prévoir un binôme constitué d'un homme et d'une femme  pour lencadrement  (contact direct et permanent avec les communautés) des sites a permis de mieux prendre en compte les besoins spécifiques des du Genre et facilité le dialogue communautaire"/>
    <s v="Les questions des risques de protection (par exemple la sécurité dans laccès et lutilisation des latrines) nont pas été pris en compte lors du post distribution monitoring -PDM"/>
    <s v="Le projet reste globalement sensible au genre- il est note &quot;2a&quot; par le marqueur Genre et Age de ECHO (section 5.1); Il adresse des besoins de plus vulnérables en général et cible particulière des femmes pour certaines activités comme la distribution des kits de dignités. Le regard genre est aussi décrit dans la constitution des hygiénistes membres de CGPE pour assurer une prise en compte équitable des besoins spécifiques pour les hommes, les femmes, les filles et les garçons. Cela ressort également dans la description du processus de choix de sites d'implantation des infrastructures sanitaires."/>
    <m/>
    <m/>
    <n v="10078"/>
    <n v="13698"/>
    <n v="1.3591982536217504"/>
    <n v="0.51002182972812071"/>
    <n v="0.51000146006716307"/>
    <n v="5140"/>
    <n v="6986"/>
    <n v="1"/>
    <n v="10078"/>
    <n v="13698"/>
    <n v="1.3591982536217504"/>
    <s v=""/>
    <n v="0"/>
    <n v="0"/>
    <s v=""/>
    <s v=""/>
    <n v="0"/>
    <n v="0"/>
    <s v=""/>
    <s v=""/>
    <n v="0"/>
    <n v="0"/>
    <s v=""/>
    <s v=""/>
    <n v="0"/>
    <n v="0"/>
    <s v=""/>
    <s v="2. Sensitive"/>
    <s v="0. Unaware"/>
    <s v="3. Responsive"/>
    <s v="It did not develop any specific innovation"/>
    <s v="Little or no advocacy"/>
    <s v="It did not take tested solutions to scale"/>
  </r>
  <r>
    <x v="54"/>
    <x v="2"/>
    <n v="3221"/>
    <s v="Les 1000 premiers jours donner à un enfant le meilleur départ dans la vie en améliorant la santé maternelle et infantile et la sécurité alimentaire des ménages vulnérables dans les régions éloignées au Niger."/>
    <s v="Niger"/>
    <s v="CDEUNE0011"/>
    <s v="CARE Deutschland-Luxemburg"/>
    <s v="Government"/>
    <s v="Government - Luxemburg"/>
    <s v="Ministry of Foreign Affairs of Luxemburg"/>
    <m/>
    <m/>
    <m/>
    <m/>
    <m/>
    <m/>
    <m/>
    <m/>
    <m/>
    <m/>
    <m/>
    <m/>
    <m/>
    <m/>
    <m/>
    <m/>
    <m/>
    <m/>
    <m/>
    <m/>
    <m/>
    <m/>
    <m/>
    <m/>
    <m/>
    <m/>
    <m/>
    <m/>
    <m/>
    <m/>
    <m/>
    <m/>
    <m/>
    <m/>
    <m/>
    <m/>
    <m/>
    <m/>
    <m/>
    <m/>
    <m/>
    <m/>
    <m/>
    <m/>
    <m/>
    <d v="2017-01-01T00:00:00"/>
    <d v="2019-12-31T00:00:00"/>
    <m/>
    <s v="Development Food &amp; Nutrition Security and Resilience to Climate Change"/>
    <n v="1696441"/>
    <s v="BEN MOBROUK Abdellah"/>
    <s v="Coordinateur Sécurité Alimentaire et Nutritionnelle"/>
    <s v="Abdellah.Mobrouk@care.org"/>
    <s v="DAN-KOURE Amadou"/>
    <s v="Chef d'initiative Maman Lumière II"/>
    <s v="Amadou.DanKoure@care.org"/>
    <s v="NO"/>
    <s v="YES"/>
    <s v="NO"/>
    <s v="Améliorer létat sanitaire et nutritionnel des enfants pendant leurs 1000 premiers jours , donc de leur conception jusquà lâge de 24 mois."/>
    <s v="Sub-National"/>
    <s v="79 communautés de 4 communes de Droum, Dogo, Gabi et Safo des départements de Mirriah et Madarounfa en régions de Zinder et Maradi"/>
    <s v="Les principaux bénéficiaires sont les enfants âgés de 0-5 ans, qui sont physiquement et psychologiquement le plus touchés par  la vulnérabilité en termes d'insécurité alimentaire ; et les femmes âgées de 15-35 dans les ménages qui vivent en dessous du seuil de pauvreté et sont particulièrement vulnérables aux crises socio-économiques, politiques et de changement climatique."/>
    <n v="15015"/>
    <n v="22208"/>
    <n v="37223"/>
    <n v="14580"/>
    <n v="13268"/>
    <n v="27848"/>
    <s v="Les participants directs et indirects du projet sont les franges de la population les plus fragiles, notamment les femmes en âge de procréer, les enfants âgés de 0 à 5 ans, les agents de santé, les élus, les élèves et enseignants, les leaders communautaires."/>
    <m/>
    <m/>
    <m/>
    <m/>
    <m/>
    <m/>
    <m/>
    <m/>
    <m/>
    <m/>
    <m/>
    <m/>
    <m/>
    <m/>
    <m/>
    <m/>
    <m/>
    <m/>
    <m/>
    <m/>
    <m/>
    <m/>
    <m/>
    <m/>
    <m/>
    <m/>
    <m/>
    <m/>
    <m/>
    <m/>
    <m/>
    <m/>
    <m/>
    <m/>
    <m/>
    <m/>
    <m/>
    <m/>
    <m/>
    <m/>
    <m/>
    <m/>
    <m/>
    <m/>
    <m/>
    <m/>
    <m/>
    <m/>
    <m/>
    <m/>
    <m/>
    <m/>
    <m/>
    <m/>
    <m/>
    <m/>
    <m/>
    <m/>
    <m/>
    <m/>
    <n v="5005"/>
    <n v="7403"/>
    <n v="12408"/>
    <n v="4860"/>
    <n v="4423"/>
    <n v="9283"/>
    <s v="YES"/>
    <n v="160"/>
    <n v="0.8"/>
    <n v="400"/>
    <s v="YES"/>
    <m/>
    <m/>
    <m/>
    <s v="YES"/>
    <n v="300"/>
    <n v="0.4"/>
    <n v="1000"/>
    <s v="YES"/>
    <n v="400"/>
    <n v="0.8"/>
    <n v="1200"/>
    <s v="YES"/>
    <n v="3950"/>
    <n v="1"/>
    <n v="5000"/>
    <s v="YES"/>
    <n v="440"/>
    <n v="0.6"/>
    <n v="600"/>
    <s v="YES"/>
    <n v="12403"/>
    <n v="0.9"/>
    <n v="13000"/>
    <m/>
    <m/>
    <m/>
    <m/>
    <m/>
    <m/>
    <m/>
    <m/>
    <m/>
    <m/>
    <m/>
    <m/>
    <s v="YES"/>
    <n v="4000"/>
    <n v="0.6"/>
    <n v="5000"/>
    <s v="YES"/>
    <n v="1790"/>
    <n v="0.6"/>
    <n v="3580"/>
    <s v="YES"/>
    <n v="1000"/>
    <n v="0.85"/>
    <n v="2000"/>
    <s v="YES"/>
    <n v="790"/>
    <n v="0.95"/>
    <n v="4000"/>
    <s v="YES"/>
    <n v="395"/>
    <n v="0.8"/>
    <n v="4000"/>
    <s v="YES"/>
    <n v="3950"/>
    <n v="1"/>
    <n v="7900"/>
    <m/>
    <m/>
    <m/>
    <m/>
    <m/>
    <s v="NO"/>
    <m/>
    <m/>
    <s v="YES"/>
    <s v="NO"/>
    <m/>
    <m/>
    <s v="Mesurer les progrès et les résultats du projet, apprécier la pertinence de lapproche utilisée qui se nomme « PANAS » : Planification des Actions pour la Nutrition par Aire de Santé. Cette approche dimplantation de la nutrition intégrée sera faite à travers la Gestion Axée sur les Résultats. identifier les principaux enseignements, les pratiques promoteuses et les défis majeurs"/>
    <x v="2"/>
    <s v="YES"/>
    <m/>
    <s v="YES"/>
    <s v="YES"/>
    <s v="YES"/>
    <s v="YES"/>
    <s v="NO"/>
    <m/>
    <m/>
    <x v="2"/>
    <s v="Responsabilisation communautaire dans la gestion et la prévention de la malnutrition à base des produits locaux."/>
    <x v="1"/>
    <s v="Foyer d'Apprentissage et de Réhabilitation Nutritionnel (FARN)"/>
    <x v="3"/>
    <x v="0"/>
    <s v="YES"/>
    <x v="0"/>
    <x v="0"/>
    <x v="0"/>
    <x v="0"/>
    <n v="4"/>
    <x v="1"/>
    <x v="1"/>
    <x v="1"/>
    <x v="1"/>
    <x v="1"/>
    <x v="1"/>
    <n v="4"/>
    <x v="1"/>
    <x v="1"/>
    <x v="1"/>
    <x v="1"/>
    <x v="1"/>
    <n v="3"/>
    <x v="3"/>
    <x v="2"/>
    <n v="4"/>
    <s v="Local NGO(s)/CSO(s)"/>
    <s v="Local government(s)"/>
    <s v="Grassroots organization(s)"/>
    <x v="0"/>
    <s v="Renforcer des capacités de gestion programmatique, financière et institutionnel"/>
    <s v="Le projet n'a pas apporté des ajustements à ses buts ou activités de façon à devenir plus transformateurs de genre, puisqu'il est déjà genre transformatif de part la thématique portée et la démarche adoptée."/>
    <s v="Foras en application de la planification des actions en faveur de la nutrition par Aire de santé &quot;PANAS&quot; stimule la performance des communautés"/>
    <s v="Les Comités de santé élargi aux structures communautaires permettent une complémentarité entre les membres en cas d'absence"/>
    <s v="Les Equipes DBC favorisent une prise de conscience collective sur l'impérieuse nécessité d'adopter la planification familiale"/>
    <s v="Principaux enseignements: Bonne collaboration, partage d'information et implication active des partenaires communautaires, les autorités administratives et coutumières, les districts sanitaires de Mirriah et Madarounfa"/>
    <s v="Pratiques prometteuses: Prévention et Gestion communautaire de la malnutrition modérée"/>
    <s v="Défis: maintenir et renforcer les équipes de distribution à base communautaire des contraceptifs pour la planification"/>
    <m/>
    <m/>
    <n v="12408"/>
    <n v="9283"/>
    <n v="0.74814635718891043"/>
    <n v="0.40336879432624112"/>
    <n v="0.52353764946676717"/>
    <n v="5005"/>
    <n v="4860"/>
    <s v=""/>
    <n v="0"/>
    <n v="0"/>
    <s v=""/>
    <n v="1"/>
    <n v="12403"/>
    <n v="13000"/>
    <n v="1.0481335160848182"/>
    <n v="1"/>
    <n v="790"/>
    <n v="4000"/>
    <n v="5.0632911392405067"/>
    <s v=""/>
    <n v="0"/>
    <n v="0"/>
    <s v=""/>
    <n v="1"/>
    <n v="3950"/>
    <n v="7900"/>
    <n v="2"/>
    <s v="2. Sensitive"/>
    <s v="2. Accommodating"/>
    <s v="2. Sensitive"/>
    <s v="It tested new ways for fighting poverty and measured results of innovation"/>
    <s v="Intensive advocacy"/>
    <s v="It linked and worked with strategic alliances and partners to take tested and effective solutions to scale"/>
  </r>
  <r>
    <x v="54"/>
    <x v="2"/>
    <n v="3218"/>
    <s v="L'insécurité foncière"/>
    <s v="Niger"/>
    <s v="CDNKNE0112"/>
    <s v="CARE Danmark"/>
    <s v="Government"/>
    <s v="Government - Denmark"/>
    <s v="DANIDA"/>
    <m/>
    <m/>
    <m/>
    <m/>
    <m/>
    <m/>
    <m/>
    <m/>
    <m/>
    <m/>
    <m/>
    <m/>
    <m/>
    <m/>
    <m/>
    <m/>
    <m/>
    <m/>
    <m/>
    <m/>
    <m/>
    <m/>
    <m/>
    <m/>
    <m/>
    <m/>
    <m/>
    <m/>
    <m/>
    <m/>
    <m/>
    <m/>
    <m/>
    <m/>
    <m/>
    <m/>
    <m/>
    <m/>
    <m/>
    <m/>
    <m/>
    <m/>
    <m/>
    <m/>
    <m/>
    <d v="2014-01-01T00:00:00"/>
    <d v="2017-06-30T00:00:00"/>
    <m/>
    <s v="Development Other"/>
    <m/>
    <s v="ABOUBACAR DJIMRAOU"/>
    <s v="ACD"/>
    <s v="Djimraou,Aboubacar@care,org"/>
    <s v="Souley GARBA"/>
    <s v="Chef de projet"/>
    <s v="Souley.Garba@care.org"/>
    <s v="YES"/>
    <s v="YES"/>
    <s v="YES"/>
    <s v="« Les terres pastorales sont protégées contre loccupation illégale et laccaparement des terres »."/>
    <s v="National"/>
    <s v="National"/>
    <s v="Les leaders informels des éleveurs, les représentants des éleveurs au sein du Code Rural, les membres des groupements de base déleveurs en particulier et tous les éleveurs du Niger en général."/>
    <n v="4000"/>
    <n v="4000"/>
    <n v="8000"/>
    <n v="2076251"/>
    <n v="1994830"/>
    <n v="4071081"/>
    <s v="Bénéficiaires directs: Ce sont les familles et ménages des pasteurs les plus pauvres et vulnérables composées de femmes et hommes adultes, de jeunes filles et garçons, de jeunes enfants des 2 sexes, dhommes et femmes âgés et de personnes victimes de handicaps physiques et /ou psychiques. Il sagit aussi de familles déleveurs qui se déplacent  vers le  Nigéria, le Tchad, le Cameroun,  le Burkina, le Benin et le Togo avec femmes et enfants, victimes dexactions et de tracasseries  de toutes sortes dans leur mobilité et  prises entre les tenailles dune double justice traditionnelle et moderne. Bénéficiaires indirects : Toutes les familles et ménages des pasteurs et agro-pasteurs au Niger et dans lespace CEDEAO qui peuvent jouir des avantages dun plaidoyer abouti.  "/>
    <m/>
    <m/>
    <m/>
    <m/>
    <m/>
    <m/>
    <m/>
    <m/>
    <m/>
    <m/>
    <m/>
    <m/>
    <m/>
    <m/>
    <m/>
    <m/>
    <m/>
    <m/>
    <m/>
    <m/>
    <m/>
    <m/>
    <m/>
    <m/>
    <m/>
    <m/>
    <m/>
    <m/>
    <m/>
    <m/>
    <m/>
    <m/>
    <m/>
    <m/>
    <m/>
    <s v="Yes"/>
    <m/>
    <m/>
    <m/>
    <m/>
    <m/>
    <m/>
    <m/>
    <m/>
    <m/>
    <m/>
    <m/>
    <m/>
    <m/>
    <m/>
    <m/>
    <m/>
    <m/>
    <m/>
    <m/>
    <m/>
    <m/>
    <m/>
    <m/>
    <m/>
    <n v="5293"/>
    <n v="5825"/>
    <n v="11118"/>
    <n v="2034330"/>
    <n v="1954552"/>
    <n v="3988882"/>
    <s v="YES"/>
    <n v="11118"/>
    <n v="0.51"/>
    <n v="3988882"/>
    <m/>
    <m/>
    <m/>
    <m/>
    <s v="YES"/>
    <n v="11118"/>
    <n v="0.51"/>
    <n v="3988882"/>
    <m/>
    <m/>
    <m/>
    <m/>
    <m/>
    <m/>
    <m/>
    <m/>
    <m/>
    <m/>
    <m/>
    <m/>
    <m/>
    <m/>
    <m/>
    <m/>
    <m/>
    <m/>
    <m/>
    <m/>
    <m/>
    <m/>
    <m/>
    <m/>
    <m/>
    <m/>
    <m/>
    <m/>
    <m/>
    <m/>
    <m/>
    <m/>
    <s v="YES"/>
    <n v="11118"/>
    <n v="0.51"/>
    <n v="3988882"/>
    <s v="YES"/>
    <n v="11118"/>
    <n v="0.51"/>
    <n v="3988882"/>
    <m/>
    <m/>
    <m/>
    <m/>
    <m/>
    <m/>
    <m/>
    <m/>
    <m/>
    <m/>
    <m/>
    <m/>
    <m/>
    <m/>
    <m/>
    <m/>
    <m/>
    <s v="YES"/>
    <s v="June"/>
    <n v="2017"/>
    <m/>
    <m/>
    <m/>
    <m/>
    <s v="Insecure lands est une initiative de plaidoyer,  sur le phenomène nouveau d'accaparement illégal des terres pastorales par les lotisseurs privés,spéculateurs, les industries extractives et agro-alimentaires. L'initiative qui a une durée de vie de trois ans a pris fin le 30 juin 2017."/>
    <x v="2"/>
    <s v="YES"/>
    <s v="YES"/>
    <s v="YES"/>
    <s v="YES"/>
    <s v="YES"/>
    <s v="YES"/>
    <s v="YES"/>
    <m/>
    <m/>
    <x v="1"/>
    <m/>
    <x v="1"/>
    <m/>
    <x v="0"/>
    <x v="0"/>
    <s v="YES"/>
    <x v="0"/>
    <x v="0"/>
    <x v="0"/>
    <x v="0"/>
    <n v="4"/>
    <x v="2"/>
    <x v="1"/>
    <x v="1"/>
    <x v="1"/>
    <x v="1"/>
    <x v="2"/>
    <n v="4"/>
    <x v="1"/>
    <x v="2"/>
    <x v="1"/>
    <x v="1"/>
    <x v="3"/>
    <n v="2"/>
    <x v="0"/>
    <x v="2"/>
    <n v="3"/>
    <s v="Local NGO(s)/CSO(s)"/>
    <s v="Local alliance(s)/Platform(s)/Network(s) of  NGOs/CSOs"/>
    <s v="Media or journalist network(s)"/>
    <x v="0"/>
    <m/>
    <s v="le programme n'a pas connu des changements/ajustement dans sa strategie de mise en oeuvre ou au niveau de son document."/>
    <s v="Utilisant de lExamen Périodique Universel (EPU) du Conseil des Droits de l'Homme des Nations Unies; Mise en relation par CARE des ONG partenaires avec les ambassades notamment celles de la France et Danemark pour appuyer le processus EPU. Partenariat stratégique basé sur la mise en uvre de plan stratégique des partenaires, sur la stratégie de CARE Niger, CARE Sahel et la vision 2020 de CARE plus globalement; les rôles joués par CARE;"/>
    <s v="Les alliances stratégiques pour la conduite des actions de plaidoyer: campagne &quot;Sauvons les terres pastorales&quot;; la collecte des évidences; Attaque par l'avocat d'AREN de mécanisme d'acquisition frauduleuse du titre foncier des terres accaparées plutôt que le titre foncier lui même (changement de stratégie)."/>
    <s v="L'élaboration d'un plan d'action du BOARD a permis d'amener à bout les actions du plaidoyer.                                                                                                                              L'engagement de CARE et ses partenaires dans le cadre de PROGRES;"/>
    <s v="Recommandations EPU: deux nouvelles recommandations sur le pastoralisme et le nomadisme ont été finalement adoptées en juin 2016 (en plus des deux sur les industries extractives adoptées dès janvier 2016). Il s'agit de la recommandation n° 121.2 relative à ladoption des décrets de mise en uvre de lordonnance sur le pastoralisme et celle n° 121.3 relative à la prise des mesures concrètes pour augmenter de manière effective la protection des droits des nomades du Danemark.                                                                  ."/>
    <s v="Decrets d'application:  lordonnance 2010-029 du 20 mai 2010 relative au pastoralisme a prévu ladoption de 14  décrets dapplications. Parmi les 14 décrets, 4 ont  été adoptés : Il sagit du décret sur (i) les commissions paritaires de réconciliation, sur (ii) linventaire national des espaces pastoraux et ressources pastorales, sur (iii) les normes applicables au couloir de passage et piste de transhumance et sur (iv) le ramassage, le stockage et la commercialisation de la paille."/>
    <s v="Audit des ranchs installés en zone pastorale a été demandé par la primature. Un financement des activités terrains a été trouvé"/>
    <m/>
    <m/>
    <n v="11118"/>
    <n v="3988882"/>
    <n v="358.77693829825506"/>
    <n v="0.47607483360316605"/>
    <n v="0.51000004512542607"/>
    <n v="5293"/>
    <n v="2034330"/>
    <n v="1"/>
    <n v="0"/>
    <n v="0"/>
    <s v=""/>
    <n v="1"/>
    <n v="11118"/>
    <n v="3988882"/>
    <n v="358.77693829825506"/>
    <s v=""/>
    <n v="0"/>
    <n v="0"/>
    <s v=""/>
    <s v=""/>
    <n v="0"/>
    <n v="0"/>
    <s v=""/>
    <s v=""/>
    <n v="0"/>
    <n v="0"/>
    <s v=""/>
    <s v="2. Sensitive"/>
    <s v="4. Transformational"/>
    <s v="1. Neutral"/>
    <s v="It tested new ways for fighting poverty, but did not measure results of innovation"/>
    <s v="Intensive advocacy"/>
    <s v="It linked and worked with strategic alliances and partners to take tested and effective solutions to scale"/>
  </r>
  <r>
    <x v="54"/>
    <x v="2"/>
    <n v="3211"/>
    <s v="MilkyWay"/>
    <s v="Niger"/>
    <s v="CNDKNE0105/106/109/110"/>
    <s v="CARE Danmark"/>
    <s v="Government"/>
    <s v="Government - Denmark"/>
    <s v="DANIDA"/>
    <m/>
    <m/>
    <m/>
    <m/>
    <m/>
    <m/>
    <m/>
    <m/>
    <m/>
    <m/>
    <m/>
    <m/>
    <m/>
    <m/>
    <m/>
    <m/>
    <m/>
    <m/>
    <m/>
    <m/>
    <m/>
    <m/>
    <m/>
    <m/>
    <m/>
    <m/>
    <m/>
    <m/>
    <m/>
    <m/>
    <m/>
    <m/>
    <m/>
    <m/>
    <m/>
    <m/>
    <m/>
    <m/>
    <m/>
    <m/>
    <m/>
    <m/>
    <m/>
    <m/>
    <m/>
    <d v="2014-01-01T00:00:00"/>
    <d v="2016-12-31T00:00:00"/>
    <m/>
    <s v="Development Other"/>
    <n v="829983.305263157"/>
    <s v="ABOUBACAR DJIMRAOU"/>
    <s v="ACD"/>
    <s v="Djimraou,Aboubacar@care,org"/>
    <s v="Souley GARBA"/>
    <s v="Project Manager"/>
    <s v="Souley.Garba@care.org"/>
    <s v="NO"/>
    <s v="YES"/>
    <s v="NO"/>
    <s v="Renforcer la position des producteurs de lait ouest africain face à l'évolution de la politique laitière européenne à travers la construction à l'horizon 2016 d'un plaidoyer crédible et informé en faveur de la collecte laitière locale en Afrique de l'Ouest dans la perspective de la levée des quotas laitiers européens et préparer les producteurs et les transformateurs à des modèles socialement responsables de collecte du lait local"/>
    <s v="Multiple countries"/>
    <s v="le projet concerne 3 pays de l'Afrique de l'ouest que sont le Niger, le Mali et le Sénégal."/>
    <s v="Ménages déleveurs commercialisant leur production laitière dans le circuit formel au Sénégal, au Mali et au Niger."/>
    <n v="4900"/>
    <n v="19600"/>
    <n v="24500"/>
    <n v="29400"/>
    <n v="117600"/>
    <n v="147000"/>
    <s v="3500 ménages déleveurs commercialisant leur production laitière dans le circuit formel au Sénégal, au Mali et au Niger. Ce groupe est composé pour 20% de femmes et pour une grande majorité de communautés déleveurs ayant adhéré à la convention des peuples autochtones des Nations Unies. Groupe cible indirect : les organisations de producteurs de lait et les interprofessions du Niger, du Mali et du Sénégal, les laiteries industrielles ouest africaines et européennes, et les instances politiques concernées en Europe et en Afrique de lOuest"/>
    <m/>
    <m/>
    <m/>
    <m/>
    <m/>
    <m/>
    <m/>
    <m/>
    <m/>
    <m/>
    <m/>
    <m/>
    <m/>
    <m/>
    <m/>
    <m/>
    <m/>
    <m/>
    <m/>
    <m/>
    <m/>
    <m/>
    <m/>
    <m/>
    <m/>
    <m/>
    <m/>
    <m/>
    <m/>
    <m/>
    <m/>
    <m/>
    <m/>
    <m/>
    <m/>
    <m/>
    <m/>
    <m/>
    <m/>
    <m/>
    <m/>
    <m/>
    <m/>
    <m/>
    <m/>
    <m/>
    <m/>
    <m/>
    <m/>
    <m/>
    <m/>
    <m/>
    <m/>
    <m/>
    <m/>
    <m/>
    <m/>
    <m/>
    <m/>
    <m/>
    <n v="5"/>
    <n v="78"/>
    <n v="83"/>
    <n v="1957"/>
    <n v="7829"/>
    <n v="9786"/>
    <s v="YES"/>
    <n v="1631"/>
    <n v="0.2"/>
    <n v="9786"/>
    <m/>
    <m/>
    <m/>
    <m/>
    <m/>
    <m/>
    <m/>
    <m/>
    <m/>
    <m/>
    <m/>
    <m/>
    <s v="YES"/>
    <n v="1631"/>
    <n v="0.2"/>
    <n v="9786"/>
    <m/>
    <m/>
    <m/>
    <m/>
    <s v="YES"/>
    <n v="1631"/>
    <n v="0.2"/>
    <n v="9786"/>
    <m/>
    <m/>
    <m/>
    <m/>
    <m/>
    <m/>
    <m/>
    <m/>
    <m/>
    <m/>
    <m/>
    <m/>
    <m/>
    <m/>
    <m/>
    <m/>
    <m/>
    <m/>
    <m/>
    <m/>
    <s v="YES"/>
    <n v="30"/>
    <n v="0.2"/>
    <n v="180"/>
    <m/>
    <m/>
    <m/>
    <m/>
    <m/>
    <m/>
    <m/>
    <m/>
    <m/>
    <m/>
    <m/>
    <m/>
    <m/>
    <m/>
    <m/>
    <m/>
    <m/>
    <s v="YES"/>
    <s v="January"/>
    <n v="2017"/>
    <m/>
    <m/>
    <m/>
    <m/>
    <m/>
    <x v="2"/>
    <s v="YES"/>
    <s v="YES"/>
    <s v="YES"/>
    <s v="YES"/>
    <s v="YES"/>
    <s v="YES"/>
    <s v="YES"/>
    <m/>
    <m/>
    <x v="2"/>
    <s v="La RSE (Responsabilité Sociétale d'Entreprise) est la contribution des entreprises aux principes du Développement Durable.                                                     "/>
    <x v="1"/>
    <s v="L'organisation de la table ronde a Abuja au Nigeria en Novembre 2016 a susciter les intérêts des industriels du Nord (Européens) et du Sud (Afrique de l'Ouest)"/>
    <x v="0"/>
    <x v="0"/>
    <s v="YES"/>
    <x v="0"/>
    <x v="0"/>
    <x v="0"/>
    <x v="0"/>
    <n v="4"/>
    <x v="1"/>
    <x v="1"/>
    <x v="1"/>
    <x v="1"/>
    <x v="1"/>
    <x v="1"/>
    <n v="4"/>
    <x v="1"/>
    <x v="1"/>
    <x v="1"/>
    <x v="1"/>
    <x v="1"/>
    <n v="3"/>
    <x v="0"/>
    <x v="2"/>
    <n v="1"/>
    <s v="Regional alliance(s)/Platform(s)/Network(s) of  NGOs/CSOs"/>
    <s v="Local alliance(s)/Platform(s)/Network(s) of  NGOs/CSOs"/>
    <m/>
    <x v="0"/>
    <s v="Appui technique (relation avec les industriels du Nord, organisation de la table ronde); Appui Financier (Subvention)                                                                             "/>
    <s v="Le projet n'a pa connu de changelents ou ajustement"/>
    <s v="La création dun espace régional de dialogue multi acteur pour lémergence dune filière lait locale compétitive et durable en Afrique de lOuest élargi à la Mauritanie qui a la particularité de regrouper les producteurs ; les  mini laiteries, les industriels du Nord et du Sud et la CEDEAO ; cet espace constitue aussi la  base du dispositif de construction et de pilotage dune task force pour la définition du contenu et des modalités de lélaboration de lOffensive lait,"/>
    <s v="La production et la diffusion de deux déclarations des acteurs sur les contraintes,  les opportunités et les perspectives de la filière lait au Mali et au Niger"/>
    <s v="La création voir consolidation de plateformes de dialogue entre acteurs de la filière lait au Sénégal, au Mali et au Niger ;"/>
    <s v="Sur les politiques : labsence de politiques favorables au développement de filières lait local fondées sur les systèmes pastoraux et agro pastoraux est notée dans presque tous les pays dans lespace CEDAO/UEMOA. Les Etats semblent plus orientés vers lamélioration génétique par linsémination artificielle et la promotion de grandes fermes laitières autour des capitales et grandes villes (ceintures laitières) au détriment des systèmes pastoraux et agro pastoraux qui , pourtant assure plus de 90% de la production laitière locale."/>
    <s v="Les entreprises européennes comme ARLA et Danone, cherchent en accord avec leur politique de responsabilité sociale, à développer des partenariat avec lEtat ou les industriels locaux en vue de contribuer au développement de lélevage local et de minimiser les impacts de leur stratégie sur lemploi, la nutrition et la sécurité alimentaire des populations rurales. Malgré ces opportunités en termes de marché , la pauvreté, la saisonnalité de la production, lenclavement des bassins de production freinent le développement dune filière lait local en Afrique de lOuest."/>
    <s v="Les centres de collecte multiservices constituent un modèle intéressant aussi bien pour les producteurs, les collecteurs et les industriels. Ils permettent aux producteurs daccéder à un marché qui leur offre un revenu régulier tout en leur permettant daccéder à laliment bétail, au conseil et la formation. Ces services permettent aux producteurs dentretenir un noyau productif qui peut être un  levier important pour la résilience de leurs exploitations."/>
    <m/>
    <m/>
    <n v="83"/>
    <n v="9786"/>
    <n v="117.90361445783132"/>
    <n v="6.0240963855421686E-2"/>
    <n v="0.19997956264050684"/>
    <n v="5"/>
    <n v="1957"/>
    <s v=""/>
    <n v="0"/>
    <n v="0"/>
    <s v=""/>
    <n v="1"/>
    <n v="1631"/>
    <n v="9786"/>
    <n v="6"/>
    <s v=""/>
    <n v="0"/>
    <n v="0"/>
    <s v=""/>
    <s v=""/>
    <n v="0"/>
    <n v="0"/>
    <s v=""/>
    <n v="1"/>
    <n v="326.20000000000005"/>
    <n v="1957.2"/>
    <n v="5.9999999999999991"/>
    <s v="2. Sensitive"/>
    <s v="2. Accommodating"/>
    <s v="2. Sensitive"/>
    <s v="It tested new ways for fighting poverty and measured results of innovation"/>
    <s v="Intensive advocacy"/>
    <s v="It linked and worked with strategic alliances and partners to take tested and effective solutions to scale"/>
  </r>
  <r>
    <x v="54"/>
    <x v="2"/>
    <n v="3222"/>
    <s v="MOSAR : Moyens de Subsistance pour l'Autonomisation  des Réfugiés  maliens"/>
    <s v="Niger"/>
    <s v="UNHCNE0006"/>
    <s v="No CARE member related to the project/initiative"/>
    <s v="Multilateral agency"/>
    <s v="UN - United Nations agencies/offices"/>
    <s v="UNHCR"/>
    <m/>
    <m/>
    <m/>
    <m/>
    <m/>
    <m/>
    <m/>
    <m/>
    <m/>
    <m/>
    <m/>
    <m/>
    <m/>
    <m/>
    <m/>
    <m/>
    <m/>
    <m/>
    <m/>
    <m/>
    <m/>
    <m/>
    <m/>
    <m/>
    <m/>
    <m/>
    <m/>
    <m/>
    <m/>
    <m/>
    <m/>
    <m/>
    <m/>
    <m/>
    <m/>
    <m/>
    <m/>
    <m/>
    <m/>
    <m/>
    <m/>
    <m/>
    <m/>
    <m/>
    <m/>
    <d v="2016-01-01T00:00:00"/>
    <d v="2016-12-31T00:00:00"/>
    <m/>
    <s v="Humanitarian Other"/>
    <n v="150888"/>
    <s v="ELHADJI DAN AOUDE Sani"/>
    <s v="Chef de Projet"/>
    <s v="Sani.DanAoude@care.org"/>
    <s v="SANI Mamane Laminou"/>
    <s v="Coordonnateur Humanitaire"/>
    <s v="mamanelaminou.sani@care.org"/>
    <s v="YES"/>
    <s v="NO"/>
    <s v="NO"/>
    <s v="Assurer l'accès à l'eau potable et Accompagner l'autonomisation des réfugiés maliens à travers le renforcement des capactés et l'appui aux moyens de subsistances"/>
    <s v="Sub-National"/>
    <s v="Régions (Tillabéri et Tahoua)"/>
    <s v="Le groupe d'impact principal sont les réfugiés maliens installés au Niger qui vivent dans les camps et Zone d'Acceuil des régions de Tahoua et Tillabéry."/>
    <n v="2273"/>
    <n v="1888"/>
    <n v="4161"/>
    <n v="10446"/>
    <n v="8678"/>
    <n v="19124"/>
    <s v="Les participanst directs sont tous les membres des ménages réfugiés du Camp de Tabareybarey qui bénéficient de l'accès l'eau potable et les autres individus vivants dans les autres camps qui ont bénéficié des formations, structurations en groupements et autres encadrements. Les participants indirects sont les autres membres de ménages des individus qui ont participé aux formations"/>
    <m/>
    <n v="6538"/>
    <n v="4749"/>
    <n v="11287"/>
    <n v="4476"/>
    <n v="897"/>
    <n v="5373"/>
    <m/>
    <m/>
    <m/>
    <m/>
    <m/>
    <m/>
    <m/>
    <m/>
    <m/>
    <m/>
    <m/>
    <m/>
    <m/>
    <m/>
    <m/>
    <m/>
    <m/>
    <m/>
    <m/>
    <m/>
    <m/>
    <m/>
    <m/>
    <m/>
    <m/>
    <m/>
    <m/>
    <m/>
    <s v="Yes"/>
    <n v="1168"/>
    <n v="0.78"/>
    <n v="5373"/>
    <m/>
    <m/>
    <m/>
    <m/>
    <m/>
    <m/>
    <m/>
    <m/>
    <m/>
    <m/>
    <m/>
    <m/>
    <s v="YES"/>
    <n v="10119"/>
    <n v="0.55600000000000005"/>
    <n v="0"/>
    <m/>
    <m/>
    <m/>
    <m/>
    <m/>
    <m/>
    <m/>
    <m/>
    <m/>
    <m/>
    <m/>
    <m/>
    <m/>
    <m/>
    <m/>
    <m/>
    <m/>
    <m/>
    <m/>
    <m/>
    <m/>
    <m/>
    <m/>
    <m/>
    <m/>
    <m/>
    <m/>
    <m/>
    <m/>
    <m/>
    <m/>
    <m/>
    <m/>
    <m/>
    <m/>
    <m/>
    <m/>
    <m/>
    <m/>
    <m/>
    <m/>
    <m/>
    <m/>
    <m/>
    <m/>
    <m/>
    <m/>
    <m/>
    <m/>
    <m/>
    <m/>
    <m/>
    <m/>
    <m/>
    <m/>
    <m/>
    <m/>
    <m/>
    <m/>
    <m/>
    <m/>
    <m/>
    <m/>
    <m/>
    <m/>
    <m/>
    <m/>
    <m/>
    <m/>
    <m/>
    <m/>
    <m/>
    <m/>
    <m/>
    <m/>
    <m/>
    <m/>
    <m/>
    <m/>
    <m/>
    <s v="NO"/>
    <m/>
    <m/>
    <m/>
    <s v="NO"/>
    <m/>
    <m/>
    <s v="Le projet a pris fin en decembre 2016"/>
    <x v="0"/>
    <m/>
    <s v="NO"/>
    <s v="NO"/>
    <s v="NO"/>
    <s v="NO"/>
    <s v="NO"/>
    <s v="NO"/>
    <s v="NO"/>
    <m/>
    <x v="1"/>
    <s v="Organisation des réfugiés en groupements; renforcement des capacités en techniques d'embouche; en fabrication de savon liquide et solide"/>
    <x v="0"/>
    <m/>
    <x v="1"/>
    <x v="0"/>
    <s v="YES"/>
    <x v="0"/>
    <x v="0"/>
    <x v="0"/>
    <x v="0"/>
    <n v="4"/>
    <x v="1"/>
    <x v="1"/>
    <x v="2"/>
    <x v="2"/>
    <x v="1"/>
    <x v="4"/>
    <n v="2"/>
    <x v="1"/>
    <x v="1"/>
    <x v="1"/>
    <x v="1"/>
    <x v="1"/>
    <n v="3"/>
    <x v="2"/>
    <x v="1"/>
    <m/>
    <m/>
    <m/>
    <m/>
    <x v="1"/>
    <m/>
    <s v="Un  réajustement a été observé pendant la mise en uvre du projet compte tenu du problème de fonds, les activités prévues n'ont pas pu être réalisées , un seul volet a été mis en uvre ( le renforcement des capacités des ménages bénéficiaies du cash AGR octroyé par l'UNHCR). Le principal reajustement à ce niveau est intégration de l'aspect approvisionnement en eau potable d'un des camps des réfugiés sur la base d'une discussion avec le bailleur (UNHCR) pour érpondre aux besoins immédiats."/>
    <s v="Organisation des réfugiés en des groupements/associations pour mutualiser leurs ressources"/>
    <s v="L'engagement des hommes/femmes"/>
    <m/>
    <s v="Pour mener une AGR, il est necessaire de discuter avec les bénéficiaires sur le fonds nécessaire pour mener l'ativité et les accompagner à travers de renforcement des capacités specifiques à l'AGR et un suivi rapproché,"/>
    <s v="les potentiels bénéficiaires d'un autre projet d'autonomisation peuvent être les groupements et individues engagés , ceux qui ont enregistrés des resultats positifs"/>
    <s v="Problème d'insécurité lié aux zones d'intervention a constitué un obstacle, 40% des mission ont du été suspendues ou reportées"/>
    <s v="Toutes les dispositions necessaire en ressources humanes et matérielles ont été prises par le projet pour mettre en uvre les activités prévues dans  le plan de travail, La non disponibilité de fonds au niveau du bailleur (HCR) a amené les deux partis à réorienter les activités du projet, à se focaliser juste sur le volet renforcement de capacité,"/>
    <m/>
    <n v="11287"/>
    <n v="5373"/>
    <n v="0.4760343758306016"/>
    <n v="0.57925046513688316"/>
    <n v="0.83305415968732555"/>
    <n v="6538"/>
    <n v="4476"/>
    <n v="1"/>
    <n v="11287"/>
    <n v="5373"/>
    <n v="0.4760343758306016"/>
    <n v="1"/>
    <n v="1168"/>
    <n v="5373"/>
    <n v="4.6001712328767121"/>
    <s v=""/>
    <n v="0"/>
    <n v="0"/>
    <s v=""/>
    <s v=""/>
    <n v="0"/>
    <n v="0"/>
    <s v=""/>
    <s v=""/>
    <n v="0"/>
    <n v="0"/>
    <s v=""/>
    <s v="2. Sensitive"/>
    <s v="1. Tokenistic"/>
    <s v="2. Sensitive"/>
    <s v="It tested new ways for fighting poverty, but did not measure results of innovation"/>
    <s v="Little or no advocacy"/>
    <s v="It did not take tested solutions to scale"/>
  </r>
  <r>
    <x v="54"/>
    <x v="2"/>
    <m/>
    <s v="Ne touchez pas à nos terres"/>
    <s v="Niger"/>
    <s v="CDNKNE0128"/>
    <s v="CARE Danmark"/>
    <s v="Government"/>
    <s v="Government - Denmark"/>
    <s v="CISU through National Environment and Climate Fund"/>
    <m/>
    <m/>
    <m/>
    <m/>
    <m/>
    <m/>
    <m/>
    <m/>
    <m/>
    <m/>
    <m/>
    <m/>
    <m/>
    <m/>
    <m/>
    <m/>
    <m/>
    <m/>
    <m/>
    <m/>
    <m/>
    <m/>
    <m/>
    <m/>
    <m/>
    <m/>
    <m/>
    <m/>
    <m/>
    <m/>
    <m/>
    <m/>
    <m/>
    <m/>
    <m/>
    <m/>
    <m/>
    <m/>
    <m/>
    <m/>
    <m/>
    <m/>
    <m/>
    <m/>
    <m/>
    <d v="2017-01-01T00:00:00"/>
    <d v="2018-06-30T00:00:00"/>
    <m/>
    <s v="Development Access to and Control over Economic Resources"/>
    <n v="376493"/>
    <s v="ABOUBACAR DJIMRAOU"/>
    <s v="ACD"/>
    <s v="Djimraou,Aboubacar@care,org"/>
    <s v="Souley GARBA"/>
    <s v="Project Manager"/>
    <s v="Souley.Garba@care.org"/>
    <s v="NO"/>
    <s v="YES"/>
    <s v="NO"/>
    <s v="lEtat et le secteur privé respectent davantage les droits des populations pastorales à la terre et aux ressources naturelles au Niger et dans toute la région."/>
    <s v="Regional"/>
    <s v="Le Niger et lespace CEDEAO. Au Niger, lintervention se concentrera principalement sur : - Les zones rurales qui sont susceptibles daccaparement par les promoteurs?; - Les pâturages visés par les investissements des industries extractives ou des producteurs deau minérale et la création de fermes délevage?;  - Les hauts-fonds pastoraux de la saison sèche?; - et les cures salées."/>
    <s v="les populations pastorales vulnérables aux changements climatiques"/>
    <n v="400"/>
    <n v="1600"/>
    <n v="2000"/>
    <n v="196000"/>
    <n v="204000"/>
    <n v="400000"/>
    <s v="Les participants directes aux activités du projet sont les ménages pastorauxs vulnérables au changement climatiques"/>
    <m/>
    <m/>
    <m/>
    <m/>
    <m/>
    <m/>
    <m/>
    <m/>
    <m/>
    <m/>
    <m/>
    <m/>
    <m/>
    <m/>
    <m/>
    <m/>
    <m/>
    <m/>
    <m/>
    <m/>
    <m/>
    <m/>
    <m/>
    <m/>
    <m/>
    <m/>
    <m/>
    <m/>
    <m/>
    <m/>
    <m/>
    <m/>
    <m/>
    <m/>
    <m/>
    <m/>
    <m/>
    <m/>
    <m/>
    <m/>
    <m/>
    <m/>
    <m/>
    <m/>
    <m/>
    <m/>
    <m/>
    <m/>
    <m/>
    <m/>
    <m/>
    <m/>
    <m/>
    <m/>
    <m/>
    <m/>
    <m/>
    <m/>
    <m/>
    <m/>
    <n v="1131"/>
    <n v="4361"/>
    <n v="5492"/>
    <n v="6590"/>
    <n v="26362"/>
    <n v="32952"/>
    <s v="NO"/>
    <m/>
    <m/>
    <m/>
    <s v="NO"/>
    <m/>
    <m/>
    <m/>
    <s v="YES"/>
    <n v="5492"/>
    <n v="0.51"/>
    <n v="32952"/>
    <s v="NO"/>
    <m/>
    <m/>
    <m/>
    <s v="NO"/>
    <m/>
    <m/>
    <m/>
    <s v="NO"/>
    <m/>
    <m/>
    <m/>
    <s v="NO"/>
    <m/>
    <m/>
    <m/>
    <s v="NO"/>
    <m/>
    <m/>
    <m/>
    <s v="NO"/>
    <m/>
    <m/>
    <m/>
    <s v="NO"/>
    <m/>
    <m/>
    <m/>
    <s v="NO"/>
    <m/>
    <m/>
    <m/>
    <s v="YES"/>
    <m/>
    <m/>
    <m/>
    <s v="YES"/>
    <n v="5492"/>
    <n v="0.51"/>
    <n v="32952"/>
    <s v="NO"/>
    <m/>
    <m/>
    <m/>
    <s v="NO"/>
    <m/>
    <m/>
    <m/>
    <s v="NO"/>
    <m/>
    <m/>
    <m/>
    <m/>
    <m/>
    <m/>
    <m/>
    <m/>
    <s v="NO"/>
    <m/>
    <m/>
    <s v="NO"/>
    <s v="YES"/>
    <s v="June"/>
    <n v="2018"/>
    <s v="L'évaluation future de hand off our Lands qui est l'évaluation finale intégrera les indicateurs de CARE 2020 notamment les N°2;  19 et 20 relatifs aux domaines d'impact, approche et rôle de CARE. Sa particularité se caractérise par la mesure des indicateurs clés de CARE DANMARK."/>
    <x v="2"/>
    <s v="NO"/>
    <s v="YES"/>
    <s v="YES"/>
    <s v="YES"/>
    <s v="YES"/>
    <s v="YES"/>
    <s v="NO"/>
    <m/>
    <m/>
    <x v="1"/>
    <s v="Etude de l'impact des industries extractives sur les puits pastoraux, Collaboration avec les députés nationaux pour conduire des activités de plaidoyer;"/>
    <x v="1"/>
    <m/>
    <x v="0"/>
    <x v="0"/>
    <s v="YES"/>
    <x v="0"/>
    <x v="0"/>
    <x v="0"/>
    <x v="0"/>
    <n v="4"/>
    <x v="1"/>
    <x v="1"/>
    <x v="1"/>
    <x v="1"/>
    <x v="1"/>
    <x v="1"/>
    <n v="4"/>
    <x v="3"/>
    <x v="1"/>
    <x v="1"/>
    <x v="1"/>
    <x v="4"/>
    <n v="3"/>
    <x v="0"/>
    <x v="2"/>
    <n v="3"/>
    <s v="Local NGO(s)/CSO(s)"/>
    <s v="Local alliance(s)/Platform(s)/Network(s) of  NGOs/CSOs"/>
    <s v="Media or journalist network(s)"/>
    <x v="0"/>
    <m/>
    <s v="le projet n'a pas connu des changements/ajustement dans sa strategie de mise en oeuvre ou au niveau de son document."/>
    <s v="Le projet est a son demarrage et entend crée une collaboration avec le groupe des députés qui dans le commission foncière pour des actions de paidoyer."/>
    <m/>
    <m/>
    <s v="La capacité du gouvernement à protéger les droits fondamentaux est limitée et est à la source de crises récurrentes. Le Niger est un état fragile avec un gouvernement et des institutions judiciaires faibles."/>
    <s v="Le projet a mis une nouvelle fois à lessai le mode de collaboration dirigé par les partenaires retenu par le projet Terres précaires, dans lequel les rôles sont redéfinis et pour lequel CARE Danemark séloigne de la prise de décision au niveau local pour favoriser le rôle des partenaires du Sud et la création de valeur."/>
    <s v="La détérioration de la sécurité dans la région pose un risque pour la mise en uvre du projet dans certaines zones du Niger, et est également une menace pour les populations pastorales."/>
    <m/>
    <m/>
    <n v="5492"/>
    <n v="32952"/>
    <n v="6"/>
    <n v="0.20593590677348872"/>
    <n v="0.19998786113134256"/>
    <n v="1131"/>
    <n v="6590"/>
    <s v=""/>
    <n v="0"/>
    <n v="0"/>
    <s v=""/>
    <n v="1"/>
    <n v="0"/>
    <n v="0"/>
    <s v=""/>
    <s v=""/>
    <n v="0"/>
    <n v="0"/>
    <s v=""/>
    <s v=""/>
    <n v="0"/>
    <n v="0"/>
    <s v=""/>
    <s v=""/>
    <n v="0"/>
    <n v="0"/>
    <s v=""/>
    <s v="2. Sensitive"/>
    <s v="2. Accommodating"/>
    <s v="4. Transformative"/>
    <s v="It tested new ways for fighting poverty, but did not measure results of innovation"/>
    <s v="Intensive advocacy"/>
    <s v="It linked and worked with strategic alliances and partners to take tested and effective solutions to scale"/>
  </r>
  <r>
    <x v="54"/>
    <x v="2"/>
    <n v="3212"/>
    <s v="Programme dApprentissage à lAdaptation (ALP)"/>
    <s v="Niger"/>
    <s v="CDNKNE0118"/>
    <s v="CARE UK"/>
    <s v="Government"/>
    <s v="Government - UK"/>
    <s v="DFID"/>
    <s v="CDNKNE0118"/>
    <s v="CARE Canada"/>
    <s v="Government"/>
    <s v="Government - Canada"/>
    <s v="DANIDA"/>
    <s v="CDNKNE0118"/>
    <s v="No CARE member related to the project/initiative"/>
    <s v="Multilateral agency"/>
    <s v="Other"/>
    <s v="CISU"/>
    <s v="CDNKNE0118"/>
    <s v="No CARE member related to the project/initiative"/>
    <s v="Other"/>
    <s v="Other"/>
    <s v="ADA"/>
    <m/>
    <m/>
    <m/>
    <m/>
    <m/>
    <m/>
    <m/>
    <m/>
    <m/>
    <m/>
    <m/>
    <m/>
    <m/>
    <m/>
    <m/>
    <m/>
    <m/>
    <m/>
    <m/>
    <m/>
    <m/>
    <m/>
    <m/>
    <m/>
    <m/>
    <m/>
    <m/>
    <m/>
    <m/>
    <m/>
    <d v="2015-01-01T00:00:00"/>
    <d v="2017-06-30T00:00:00"/>
    <m/>
    <s v="Development Food &amp; Nutrition Security and Resilience to Climate Change"/>
    <n v="949232"/>
    <s v="ABOUBACAR DJIMRAOU"/>
    <s v="ACD"/>
    <s v="Djimraou,Aboubacar@care,org"/>
    <s v="Sanoussi Ababale"/>
    <s v="PROJECT MANAGER"/>
    <s v="Ababale.MahamaneSanoussi@care.org"/>
    <s v="NO"/>
    <s v="YES"/>
    <s v="NO"/>
    <s v="« Renforcer la capacité des ménages vulnérables dAfrique subsaharienne à sadapter à la variabilité et au changements climatiques »"/>
    <s v="Sub-National"/>
    <s v="Le projet intervient dans la région de Maradi dans 4 commune du département de Dakoro"/>
    <s v="Le projet compte touché 4 720 personnes  vulnérables ciblées (hommes et femmes) pour améliorer leurs conditions de vie résilientes/stratégies dadaptation informées par lABC."/>
    <n v="2596"/>
    <n v="2124"/>
    <n v="4720"/>
    <n v="7530"/>
    <n v="6160"/>
    <n v="13690"/>
    <s v="Les participants directs sont les ménages vulnérables et les personnes hommes femmes qui subissent les effets néfaste du changements climatique;                                                                                                                                        Les particiapants indirects ménages qui d'une manière ou d'une autre sont informés du processus ABC."/>
    <m/>
    <m/>
    <m/>
    <m/>
    <m/>
    <m/>
    <m/>
    <m/>
    <m/>
    <m/>
    <m/>
    <m/>
    <m/>
    <m/>
    <m/>
    <m/>
    <m/>
    <m/>
    <m/>
    <m/>
    <m/>
    <m/>
    <m/>
    <m/>
    <m/>
    <m/>
    <m/>
    <m/>
    <m/>
    <m/>
    <m/>
    <m/>
    <m/>
    <m/>
    <m/>
    <m/>
    <m/>
    <m/>
    <m/>
    <m/>
    <m/>
    <m/>
    <m/>
    <m/>
    <m/>
    <m/>
    <m/>
    <m/>
    <m/>
    <m/>
    <m/>
    <m/>
    <m/>
    <m/>
    <m/>
    <m/>
    <m/>
    <m/>
    <m/>
    <m/>
    <n v="4243"/>
    <n v="3949"/>
    <n v="8192"/>
    <n v="15169"/>
    <n v="12393"/>
    <n v="27562"/>
    <s v="YES"/>
    <n v="2145"/>
    <n v="0.45"/>
    <n v="7621"/>
    <s v="YES"/>
    <n v="2066"/>
    <n v="0.55000000000000004"/>
    <n v="6268"/>
    <m/>
    <m/>
    <m/>
    <m/>
    <s v="YES"/>
    <n v="394"/>
    <n v="0.25"/>
    <n v="3756"/>
    <s v="YES"/>
    <n v="532"/>
    <n v="0.7"/>
    <n v="3403"/>
    <m/>
    <m/>
    <m/>
    <m/>
    <s v="YES"/>
    <n v="1088"/>
    <n v="0.62"/>
    <n v="2110"/>
    <m/>
    <m/>
    <m/>
    <m/>
    <m/>
    <m/>
    <m/>
    <m/>
    <m/>
    <m/>
    <m/>
    <m/>
    <m/>
    <m/>
    <m/>
    <m/>
    <s v="YES"/>
    <n v="956"/>
    <n v="0.25"/>
    <n v="2025"/>
    <s v="YES"/>
    <n v="256"/>
    <n v="0.52"/>
    <n v="834"/>
    <m/>
    <m/>
    <m/>
    <m/>
    <m/>
    <m/>
    <m/>
    <m/>
    <s v="YES"/>
    <n v="755"/>
    <n v="1"/>
    <n v="1545"/>
    <m/>
    <m/>
    <m/>
    <m/>
    <m/>
    <s v="YES"/>
    <s v="June"/>
    <n v="2017"/>
    <s v="YES"/>
    <s v="NO"/>
    <m/>
    <m/>
    <m/>
    <x v="2"/>
    <s v="YES"/>
    <s v="YES"/>
    <s v="YES"/>
    <s v="YES"/>
    <s v="YES"/>
    <s v="YES"/>
    <s v="YES"/>
    <m/>
    <m/>
    <x v="2"/>
    <m/>
    <x v="1"/>
    <m/>
    <x v="0"/>
    <x v="0"/>
    <s v="YES"/>
    <x v="0"/>
    <x v="0"/>
    <x v="0"/>
    <x v="0"/>
    <n v="4"/>
    <x v="1"/>
    <x v="1"/>
    <x v="1"/>
    <x v="1"/>
    <x v="1"/>
    <x v="1"/>
    <n v="4"/>
    <x v="3"/>
    <x v="1"/>
    <x v="1"/>
    <x v="1"/>
    <x v="4"/>
    <n v="3"/>
    <x v="3"/>
    <x v="2"/>
    <n v="4"/>
    <s v="Local NGO(s)/CSO(s)"/>
    <s v="Grassroots organization(s)"/>
    <s v="Media or journalist network(s)"/>
    <x v="2"/>
    <s v="Renforcement de capacité à travers les Sessions de formation, l'appui technique dans la gestion des fonds,les missions d'audites, la participation a tout le niveau dans le processus de mise en uvre des initiatives de la conception, a la mise en uvre et jusqu'à l'évaluation finale."/>
    <s v="le projet n'a pas connu de changements dans ses strategies de mise en uvre et même au niveau de cadre logique de son  document, seulement il a connu un diminution de son buget suite Brexit."/>
    <s v="Le processus délaboration du Plan d'Action Communautaire d'adaptation (PACA) à faciliter la prise de conscience des communautés, qui auparavant négligeaient les menaces des changements climatiques, mais aujourdhui ils se sont rendu compte il faut agir en identifiant des stratégies dadaptation idoines. Des stratégies dadaptation en fonction des différents risques et même voir au cours de la mise en uvre que les communautés demandent des ajustements au niveau de leur PACA, cette compréhension à faciliter la prise de décision sur lutilisation des informations climatiques où les communautés sengagent à ne pas semer si la pluie na pas atteint les 15-20 mm."/>
    <s v="Chez les femmes le VSLA et le Kit de recharge solaire ont  fortement contribuer au developpement des AGR des femmes comme lembouche des moutons, la vente des condiments et bien dautres produits à travers les crédits issus de leurs versements hebdommadaire, mais aussi  à lacquisition des biens productifs comme les champs à travers le système de la mise en gage.Le soutien dans la petite élevage a permis aux femmes bénéficiaires de détenir des actifs productifs et de générer des revenus grâce à leur vente. Au fur et à mesure que ces animaux se reproduisent dans les 6 à 8 mois, la rotation des animaux mères, la capacité à la bonne gestion des animaux et les ventes de jeunes répondent aux besoins primaires. L'approche collective de cette activité a permis aux femmes bénéficiaires de renforcer la solidarité et la cohésion existantes."/>
    <s v="La mise en place des comités SCAP/RU a permis au communauté d'avoir une bonne maitrise des indicateurs locaux,une mailleure utlisation des informations climatique, mais aussi a faciliter a  d'autres partenaires comme les Mairies et l'Etat de connaitre l'évolution des situations au niveau communautaire et de preparer la risposte à temps."/>
    <s v="Le processus d'analyse de la capacité et de la vulnérabilité climatique permet d'idetifier des stratégies avec les communautés et par les communautés; ces stratégies sont mises en uvre avec l'appui du projet et des autres acteurs. L'implémentation de ces stratégies facilite considérablement l'adaptation des populations vulnérables aux éffets néfastes des variabilités et des changements climatiques et améliore du coup leur résilience. Les secheresses repétitives et l'insuffisance de moyens peuvent nuire à cette adapative capacity des populations ."/>
    <s v="Les plans de développement communaux intègre de plus en plus l'ABC avec les analyses des risques qui y sont faites au cours de l'intégration de la dimension changement climatiques et des PACA."/>
    <s v="De plus en plus, les organisations prennent en compte l'Adaptation dans leurs programmes et par conséquent concoivent des programmes qui adressent les changements climatiques et les préoccupations des communautés en lien avec l'ABC,"/>
    <m/>
    <m/>
    <n v="8192"/>
    <n v="27562"/>
    <n v="3.364501953125"/>
    <n v="0.5179443359375"/>
    <n v="0.55035919018939117"/>
    <n v="4243"/>
    <n v="15169"/>
    <s v=""/>
    <n v="0"/>
    <n v="0"/>
    <s v=""/>
    <n v="1"/>
    <n v="2145"/>
    <n v="7621"/>
    <n v="3.5529137529137529"/>
    <s v=""/>
    <n v="0"/>
    <n v="0"/>
    <s v=""/>
    <s v=""/>
    <n v="0"/>
    <n v="0"/>
    <s v=""/>
    <n v="1"/>
    <n v="755"/>
    <n v="2382.1"/>
    <n v="3.1550993377483443"/>
    <s v="2. Sensitive"/>
    <s v="2. Accommodating"/>
    <s v="4. Transformative"/>
    <s v="It tested new ways for fighting poverty and measured results of innovation"/>
    <s v="Intensive advocacy"/>
    <s v="It linked and worked with strategic alliances and partners to take tested and effective solutions to scale"/>
  </r>
  <r>
    <x v="54"/>
    <x v="2"/>
    <n v="3226"/>
    <s v="Programme de Gestion Equitable des Ressources Naturelles et de Renforcement de la Société Civile PHASE 2"/>
    <s v="Niger"/>
    <s v="CDNKNE0092"/>
    <s v="CARE Danmark"/>
    <s v="Government"/>
    <s v="Government - Denmark"/>
    <s v="DANIDA"/>
    <m/>
    <m/>
    <m/>
    <m/>
    <m/>
    <m/>
    <m/>
    <m/>
    <m/>
    <m/>
    <m/>
    <m/>
    <m/>
    <m/>
    <m/>
    <m/>
    <m/>
    <m/>
    <m/>
    <m/>
    <m/>
    <m/>
    <m/>
    <m/>
    <m/>
    <m/>
    <m/>
    <m/>
    <m/>
    <m/>
    <m/>
    <m/>
    <m/>
    <m/>
    <m/>
    <m/>
    <m/>
    <m/>
    <m/>
    <m/>
    <m/>
    <m/>
    <m/>
    <m/>
    <m/>
    <d v="2013-01-01T00:00:00"/>
    <d v="2017-12-01T00:00:00"/>
    <m/>
    <s v="Development Other"/>
    <n v="3510944.3263157802"/>
    <s v="ABOUBACAR DJIMRAOU"/>
    <s v="ACD"/>
    <s v="Djimraou,Aboubacar@care,org"/>
    <s v="Souley GARBA"/>
    <s v="Chef de projet"/>
    <s v="Souley.Garba@care.org"/>
    <s v="NO"/>
    <s v="YES"/>
    <s v="NO"/>
    <s v="Contribuer à la promotion dune société civile forte, diversifiée, engagée qui représente et défend les droits et intérêts des pasteurs"/>
    <s v="Multiple countries"/>
    <s v="Le Programme intervient dans quatre régions sur les huit que compte le Niger, mais des actions transversales s'étendent sur 7 régions notemment dans le cadre du plaidoyer qui intègre également des zones transfrontalières au niveau de l'Afrique de l'Ouest principalement au Burkina Faso, Mali et Sénégal à travers le Réseau des organisations pastorales de ces pays."/>
    <s v="Familles et ménages des pasteurs les plus pauvres et vulnérables composées de femmes et hommes adultes, de jeunes filles et garçons, de jeunes enfants des 2 sexes, dhommes et femmes âgés et de personnes victimes de handicaps physiques et /ou psychiques"/>
    <n v="4077"/>
    <n v="4561"/>
    <n v="8638"/>
    <n v="2244000"/>
    <n v="2156000"/>
    <n v="4400000"/>
    <s v="Bénéficiaires directs: Ce sont les familles et ménages des pasteurs les plus pauvres et vulnérables composées de femmes et hommes adultes, de jeunes filles et garçons, de jeunes enfants des 2 sexes, dhommes et femmes âgés et de personnes victimes de handicaps physiques et /ou psychiques. Il sagit aussi de familles déleveurs qui se déplacent  vers le  Nigéria, le Tchad, le Cameroun,  le Burkina, le Benin et le Togo avec femmes et enfants, victimes dexactions et de tracasseries  de toutes sortes dans leur mobilité et  prises entre les tenailles dune double justice traditionnelle et moderne. Bénéficiaires indirects : Toutes les familles et ménages des pasteurs et agro-pasteurs au Niger et dans lespace CEDEAO qui peuvent jouir des avantages dun plaidoyer abouti.  "/>
    <m/>
    <m/>
    <m/>
    <m/>
    <m/>
    <m/>
    <n v="0"/>
    <m/>
    <m/>
    <m/>
    <m/>
    <m/>
    <m/>
    <m/>
    <m/>
    <m/>
    <m/>
    <m/>
    <m/>
    <m/>
    <m/>
    <m/>
    <m/>
    <m/>
    <m/>
    <m/>
    <m/>
    <m/>
    <m/>
    <m/>
    <m/>
    <m/>
    <m/>
    <m/>
    <m/>
    <m/>
    <m/>
    <m/>
    <m/>
    <m/>
    <m/>
    <m/>
    <m/>
    <m/>
    <m/>
    <m/>
    <m/>
    <m/>
    <m/>
    <m/>
    <m/>
    <m/>
    <m/>
    <m/>
    <m/>
    <m/>
    <m/>
    <m/>
    <m/>
    <m/>
    <n v="7412"/>
    <n v="7637"/>
    <n v="15049"/>
    <n v="443"/>
    <n v="2843"/>
    <n v="3286"/>
    <s v="YES"/>
    <n v="3286"/>
    <n v="0.5"/>
    <n v="14587"/>
    <s v="YES"/>
    <n v="53"/>
    <n v="0"/>
    <n v="159"/>
    <s v="YES"/>
    <n v="3286"/>
    <n v="0.5"/>
    <n v="14587"/>
    <m/>
    <m/>
    <m/>
    <m/>
    <m/>
    <m/>
    <m/>
    <m/>
    <m/>
    <m/>
    <m/>
    <m/>
    <m/>
    <m/>
    <m/>
    <m/>
    <m/>
    <m/>
    <m/>
    <m/>
    <m/>
    <m/>
    <m/>
    <m/>
    <m/>
    <m/>
    <m/>
    <m/>
    <m/>
    <m/>
    <m/>
    <m/>
    <s v="YES"/>
    <n v="3748"/>
    <n v="0.51"/>
    <n v="16897"/>
    <s v="YES"/>
    <n v="3748"/>
    <n v="0.51"/>
    <n v="16897"/>
    <m/>
    <m/>
    <m/>
    <m/>
    <m/>
    <m/>
    <m/>
    <m/>
    <m/>
    <m/>
    <m/>
    <m/>
    <m/>
    <m/>
    <m/>
    <m/>
    <m/>
    <s v="NO"/>
    <m/>
    <m/>
    <m/>
    <s v="YES"/>
    <s v="November"/>
    <n v="2017"/>
    <s v="L'évaluation future de PROGRESII qui est l'évaluation finale intégrera les indicateurs de CARE 2020 notamment les N°2;  19 et 20 relatifs aux domaines d'impact, approche et rôle de CARE. Sa particularité se caractérise par la mesure des indicateurs clés de CARE DANMARK et l'approche outcome mapping adoptée en cours d'exécution du programme sera au centre des mesures de changements induits."/>
    <x v="2"/>
    <s v="YES"/>
    <s v="YES"/>
    <s v="YES"/>
    <s v="YES"/>
    <s v="YES"/>
    <s v="YES"/>
    <s v="YES"/>
    <m/>
    <m/>
    <x v="1"/>
    <m/>
    <x v="1"/>
    <m/>
    <x v="0"/>
    <x v="0"/>
    <s v="YES"/>
    <x v="0"/>
    <x v="0"/>
    <x v="0"/>
    <x v="0"/>
    <n v="4"/>
    <x v="2"/>
    <x v="1"/>
    <x v="1"/>
    <x v="1"/>
    <x v="1"/>
    <x v="2"/>
    <n v="4"/>
    <x v="1"/>
    <x v="1"/>
    <x v="1"/>
    <x v="1"/>
    <x v="1"/>
    <n v="3"/>
    <x v="0"/>
    <x v="2"/>
    <n v="3"/>
    <s v="Local NGO(s)/CSO(s)"/>
    <s v="Local alliance(s)/Platform(s)/Network(s) of  NGOs/CSOs"/>
    <s v="Media or journalist network(s)"/>
    <x v="0"/>
    <m/>
    <s v="le programme n'a pas connu des changements/ajustement dans sa strategie de mise en oeuvre ou au niveau de son document."/>
    <s v="Partenariat stratégique basé sur la mis en uvre de plan stratégique des partenaires, sur la stratégie de CARE Niger, CARE Sahel et la vision 2020 de CARE plus globalement; les rôles joués par CARE"/>
    <s v="Les alliances stratégiques pour la conduite des actions de plaidoyer; la collecte des évidences;"/>
    <s v="L'engagement de CARE et ses partenaires dans le cadre de PROGRES; l'approche outcome mapping qui permet de suivre plus aisement les changements induit au niveau de chaque partenaire."/>
    <s v="Les actions de plaidoyer, si réussies, sont de véritables moyens de mobilisation des acteurs à tous les niveaux. Lexemple illustratif est la campagne Sauvons les terres qui a vu la mobilisation des communautés membres et non membres dAREN, des OSC pastorales en coalition, des médias,  des magistrats, des membres de COFO et même le Gouvernemnt dans une certaine mesure à travers les ministres du Domaine public et celui de lEnvironnement ;"/>
    <s v="Changements climatiques : La mobilisation des ministères et des délégués africains autour des initiatives africaines et de la solidarité Sud-Sud dans le cadre du plaidoyer sur les questions de CC est gage de succès surtout avec linfluence des élections americaines et larrivée de TRUMP au pouvoir."/>
    <s v="linstitutionnalisation de la rencontre de haut niveau sur la transhumance transfrontalière, ladoption du PRIDEC, lélaboration du PREDIP, la mise en place des cadres de concertation transfrontaliers, la participation à la formulation du PRIASAN et du PCD TASAN contribuent à la sécurisation de la mobilité pastorale même si le nombre de conflits liés à la transhumance dans les pays côtiers na pas encore nettement diminué."/>
    <m/>
    <m/>
    <n v="15049"/>
    <n v="3286"/>
    <n v="0.21835337896205728"/>
    <n v="0.49252442022725762"/>
    <n v="0.13481436396835059"/>
    <n v="7412"/>
    <n v="443"/>
    <s v=""/>
    <n v="0"/>
    <n v="0"/>
    <s v=""/>
    <n v="1"/>
    <n v="3748"/>
    <n v="16897"/>
    <n v="4.5082710779082174"/>
    <s v=""/>
    <n v="0"/>
    <n v="0"/>
    <s v=""/>
    <s v=""/>
    <n v="0"/>
    <n v="0"/>
    <s v=""/>
    <s v=""/>
    <n v="0"/>
    <n v="0"/>
    <s v=""/>
    <s v="2. Sensitive"/>
    <s v="4. Transformational"/>
    <s v="2. Sensitive"/>
    <s v="It tested new ways for fighting poverty, but did not measure results of innovation"/>
    <s v="Intensive advocacy"/>
    <s v="It linked and worked with strategic alliances and partners to take tested and effective solutions to scale"/>
  </r>
  <r>
    <x v="54"/>
    <x v="2"/>
    <n v="3223"/>
    <s v="Programme de Promotion de LEquite-Egalite Sociale et de la Societe Civile au Niger : PROMEESS II"/>
    <s v="Niger"/>
    <s v="FC=NO161 &amp; PID= CNORNE0041"/>
    <s v="CARE Norge"/>
    <s v="Government"/>
    <s v="Government - Norway"/>
    <s v="NORAD"/>
    <m/>
    <m/>
    <m/>
    <m/>
    <m/>
    <m/>
    <m/>
    <m/>
    <m/>
    <m/>
    <m/>
    <m/>
    <m/>
    <m/>
    <m/>
    <m/>
    <m/>
    <m/>
    <m/>
    <m/>
    <m/>
    <m/>
    <m/>
    <m/>
    <m/>
    <m/>
    <m/>
    <m/>
    <m/>
    <m/>
    <m/>
    <m/>
    <m/>
    <m/>
    <m/>
    <m/>
    <m/>
    <m/>
    <m/>
    <m/>
    <m/>
    <m/>
    <m/>
    <m/>
    <m/>
    <d v="2016-03-01T00:00:00"/>
    <d v="2020-02-29T00:00:00"/>
    <m/>
    <s v="Development Access to and Control over Economic Resources"/>
    <n v="6806550"/>
    <s v="Mme  TOUDJANI SARATOU MALLAM GONI"/>
    <s v="COORDINATRICE DE PROGRAMME"/>
    <s v="Saratou.MalamGoni@care.org"/>
    <s v="DJIMRAOU ABOUBACAR"/>
    <s v="DIRECTEUR DES PROGROMMES"/>
    <s v="Aboubacar.Djimraou@care.org"/>
    <s v="NO"/>
    <s v="YES"/>
    <s v="NO"/>
    <s v="Au Niger, les femmes en âge de procréer,  les filles  et les garçons en âge de scolarisation des 25 communes cibles  des régions de Maradi, Niamey, Tahoua, Tillabéri et Zinder  réalisent pleinement leurs droits socio-économiques et politiques"/>
    <s v="Sub-National"/>
    <s v="PROMEESS Couvre géographiquement 25  communes  réparties dans  régions du Niger :Maradi (Guidan.  Roumdji, Tibiri, Chadakori, Tchadaoua, Jirataw ), Tahoua (Tsernaoua, Bambèye, Tama, Tébaram,  Badaguichiri), Tillabéry (Namaro, Hamdallaye,Liboré,  Say, Tamou),  Zinder (Dogo, Oulléléwa, Yekoua, Gangara, Droum)et la communauté urbaine de Niamey (1er Arrondissement , 2e Arrondissement , 3e Arrondissement , 4e Arrondissement , 5e Arrondissement)"/>
    <s v=" Le groupe dimpact prioritaire  (GIP) de PROMESS II se constitue des Femmes de 15  à  49 ans dans les ménages pauvres chroniquement vulnérables et  les Filles de 6 à 16 ans issues de tous  les ménages de la zone dintervention."/>
    <n v="215900"/>
    <n v="195328"/>
    <n v="411228"/>
    <n v="1242396"/>
    <n v="1212932"/>
    <n v="2455328"/>
    <s v="Les participants directs sont les bnénficiaires et personnes uniques touchées  directement les intervnetion du programme notamment les membres des structures MMD, les formations, comités, etc. et qui peuvent être tracés (enregistrements) individuellement ou par ménage. Les personnes qui participent activement à plus d'une activité, ou reçoivent plus d'un type d'assistance, ne sont comptées qu'une seule fois afin d'éviter le double comptage.  Les personnes touchées indirectement sont des membres du ménage des bénéficiaires directs. Le nombre de personnes touchées directement est  multiplié par la taille moyenne du ménage (7 au Niger et dans la zone du programme) tout en soustrayant le nombre de personnes touchées directement"/>
    <m/>
    <m/>
    <m/>
    <m/>
    <m/>
    <m/>
    <m/>
    <m/>
    <m/>
    <m/>
    <m/>
    <m/>
    <m/>
    <m/>
    <m/>
    <m/>
    <m/>
    <m/>
    <m/>
    <m/>
    <m/>
    <m/>
    <m/>
    <m/>
    <m/>
    <m/>
    <m/>
    <m/>
    <m/>
    <m/>
    <m/>
    <m/>
    <m/>
    <m/>
    <m/>
    <m/>
    <m/>
    <m/>
    <m/>
    <m/>
    <m/>
    <m/>
    <m/>
    <m/>
    <m/>
    <m/>
    <m/>
    <m/>
    <m/>
    <m/>
    <m/>
    <m/>
    <m/>
    <m/>
    <m/>
    <m/>
    <m/>
    <m/>
    <m/>
    <m/>
    <n v="56582"/>
    <n v="9965"/>
    <n v="66547"/>
    <n v="235709"/>
    <n v="230120"/>
    <n v="465829"/>
    <s v="NO"/>
    <m/>
    <m/>
    <m/>
    <s v="YES"/>
    <n v="1275"/>
    <n v="0.97"/>
    <n v="8925"/>
    <s v="NO"/>
    <m/>
    <m/>
    <m/>
    <s v="NO"/>
    <m/>
    <m/>
    <m/>
    <s v="NO"/>
    <m/>
    <m/>
    <m/>
    <s v="YES"/>
    <n v="4488"/>
    <n v="0.73"/>
    <n v="31416"/>
    <s v="NO"/>
    <m/>
    <m/>
    <m/>
    <s v="YES"/>
    <n v="80"/>
    <n v="1"/>
    <n v="560"/>
    <s v="YES"/>
    <n v="1961"/>
    <n v="1"/>
    <n v="13727"/>
    <s v="NO"/>
    <m/>
    <m/>
    <m/>
    <s v="NO"/>
    <m/>
    <m/>
    <m/>
    <s v="NO"/>
    <m/>
    <m/>
    <m/>
    <s v="YES"/>
    <n v="2437"/>
    <n v="0.97"/>
    <n v="17059"/>
    <s v="NO"/>
    <m/>
    <m/>
    <m/>
    <s v="NO"/>
    <m/>
    <m/>
    <m/>
    <s v="YES"/>
    <n v="66547"/>
    <n v="0.97"/>
    <n v="465829"/>
    <m/>
    <s v="NO"/>
    <m/>
    <m/>
    <m/>
    <s v="NO"/>
    <m/>
    <m/>
    <s v="NO"/>
    <s v="YES"/>
    <s v="September"/>
    <n v="2018"/>
    <m/>
    <x v="1"/>
    <s v="YES"/>
    <s v="YES"/>
    <s v="YES"/>
    <s v="YES"/>
    <s v="YES"/>
    <s v="YES"/>
    <s v="YES"/>
    <s v="NO"/>
    <m/>
    <x v="0"/>
    <m/>
    <x v="1"/>
    <s v="travail avec les OSC partenaires, mise en plae d'une plateforme des acteurs ulisant l'approche MMD et assimilés, présence dans les consortium"/>
    <x v="1"/>
    <x v="0"/>
    <s v="YES"/>
    <x v="0"/>
    <x v="0"/>
    <x v="0"/>
    <x v="0"/>
    <n v="4"/>
    <x v="1"/>
    <x v="1"/>
    <x v="1"/>
    <x v="1"/>
    <x v="1"/>
    <x v="1"/>
    <n v="4"/>
    <x v="1"/>
    <x v="1"/>
    <x v="1"/>
    <x v="2"/>
    <x v="3"/>
    <n v="2"/>
    <x v="0"/>
    <x v="2"/>
    <n v="4"/>
    <s v="Grassroots organization(s)"/>
    <s v="Local NGO(s)/CSO(s)"/>
    <s v="Local government(s)"/>
    <x v="0"/>
    <s v="élaboration et mise en uvre des plans de de développement organisationnel, soutien aux OSC pour le respect de la loi sur les quotas"/>
    <m/>
    <s v="elaboration d'une stratégie de plaidoyer"/>
    <s v="élabotation d'une note stratégique sur les clubas d'écoute collectif et de changement social"/>
    <s v="l'apporche une village un AV( agent villageois)"/>
    <m/>
    <m/>
    <m/>
    <m/>
    <m/>
    <n v="66547"/>
    <n v="465829"/>
    <n v="7"/>
    <n v="0.85025620989676465"/>
    <n v="0.50599898245922859"/>
    <n v="56582"/>
    <n v="235709"/>
    <s v=""/>
    <n v="0"/>
    <n v="0"/>
    <s v=""/>
    <n v="1"/>
    <n v="1275"/>
    <n v="8925"/>
    <n v="7"/>
    <s v=""/>
    <n v="0"/>
    <n v="0"/>
    <s v=""/>
    <n v="1"/>
    <n v="80"/>
    <n v="560"/>
    <n v="7"/>
    <n v="1"/>
    <n v="66547"/>
    <n v="465829"/>
    <n v="7"/>
    <s v="2. Sensitive"/>
    <s v="2. Accommodating"/>
    <s v="1. Neutral"/>
    <s v="It did not develop any specific innovation"/>
    <s v="Moderate advocacy"/>
    <s v="It linked and worked with strategic alliances and partners to take tested and effective solutions to scale"/>
  </r>
  <r>
    <x v="54"/>
    <x v="2"/>
    <m/>
    <s v="Projet d'Atténuation Des Effets de la Crise du Nord Nigeria (PADEC-Rayuwa)"/>
    <s v="Niger"/>
    <s v="CCANNE0008"/>
    <s v="CARE Canada"/>
    <s v="Government"/>
    <s v="Government - Canada"/>
    <s v="Global Affairs Canada (GAC) "/>
    <m/>
    <m/>
    <m/>
    <m/>
    <m/>
    <m/>
    <m/>
    <m/>
    <m/>
    <m/>
    <m/>
    <m/>
    <m/>
    <m/>
    <m/>
    <m/>
    <m/>
    <m/>
    <m/>
    <m/>
    <m/>
    <m/>
    <m/>
    <m/>
    <m/>
    <m/>
    <m/>
    <m/>
    <m/>
    <m/>
    <m/>
    <m/>
    <m/>
    <m/>
    <m/>
    <m/>
    <m/>
    <m/>
    <m/>
    <m/>
    <m/>
    <m/>
    <m/>
    <m/>
    <m/>
    <d v="2016-04-01T00:00:00"/>
    <d v="2017-03-31T00:00:00"/>
    <m/>
    <s v="Humanitarian Other"/>
    <n v="857143"/>
    <s v="Laouali Yahaya"/>
    <s v="Chef de Projet"/>
    <s v="Yahaya.Laouli@care.org"/>
    <s v="Sani Mamane Laminou"/>
    <s v="Coordinateur Humanitaire"/>
    <s v="MamaneLaminou.Sani@care.org"/>
    <s v="YES"/>
    <s v="NO"/>
    <s v="NO"/>
    <s v="l'objectif principal du projet est de reduire la ulnérabilité des personnes touchées par la crise du Nord Nigéria, particulièrement les femmes et les enfants des ménages de réfugiés et retournés ainsi que des ménages hôtes dans la région de Diffa."/>
    <s v="Sub-National"/>
    <s v="Région de Diffa ( Communes de Mainé Soroa, Chétimari, Diffa, Gueskérou, Kabléwa et N'guigmi)"/>
    <s v="Les femmes, filles, garçons des ménages réfugiés, les déplacés internes, les retournés et les populations hôtes"/>
    <n v="1410"/>
    <n v="940"/>
    <n v="2350"/>
    <n v="9870"/>
    <n v="6580"/>
    <n v="16450"/>
    <s v="les participants directs sont les bénéficiaires directs (Chefs de ménages) des activités du projet et les participants indirects sont les personnes qui partagent les mêmes ménages avec ces bénéficiaires donc profitent des interventions du projet. Les participants indirects sont généralement calculés par la multiplication du nombre de participants directs par la taille du ménage. le standard retenu lors de l'élaboration de ce projet est de 7."/>
    <m/>
    <n v="14453"/>
    <n v="3331"/>
    <n v="17784"/>
    <n v="21941"/>
    <n v="21081"/>
    <n v="43022"/>
    <m/>
    <m/>
    <m/>
    <m/>
    <s v="YES"/>
    <n v="1000"/>
    <n v="1"/>
    <n v="7000"/>
    <m/>
    <m/>
    <m/>
    <m/>
    <s v="YES"/>
    <n v="11638"/>
    <n v="0.87729850489774797"/>
    <m/>
    <m/>
    <m/>
    <m/>
    <m/>
    <m/>
    <m/>
    <m/>
    <m/>
    <m/>
    <m/>
    <m/>
    <m/>
    <m/>
    <m/>
    <m/>
    <m/>
    <m/>
    <m/>
    <m/>
    <m/>
    <m/>
    <m/>
    <m/>
    <m/>
    <s v="YES"/>
    <n v="3584"/>
    <n v="0.51"/>
    <n v="21504"/>
    <s v="YES"/>
    <n v="6146"/>
    <n v="0.69099999999999995"/>
    <n v="43022"/>
    <m/>
    <m/>
    <m/>
    <m/>
    <m/>
    <m/>
    <m/>
    <m/>
    <m/>
    <m/>
    <m/>
    <m/>
    <m/>
    <m/>
    <m/>
    <m/>
    <m/>
    <m/>
    <m/>
    <m/>
    <m/>
    <m/>
    <m/>
    <m/>
    <m/>
    <m/>
    <m/>
    <m/>
    <m/>
    <m/>
    <m/>
    <m/>
    <m/>
    <m/>
    <m/>
    <m/>
    <m/>
    <m/>
    <m/>
    <m/>
    <m/>
    <m/>
    <m/>
    <m/>
    <m/>
    <m/>
    <m/>
    <m/>
    <m/>
    <m/>
    <m/>
    <m/>
    <m/>
    <m/>
    <m/>
    <m/>
    <m/>
    <m/>
    <m/>
    <m/>
    <m/>
    <m/>
    <m/>
    <m/>
    <m/>
    <m/>
    <m/>
    <m/>
    <m/>
    <m/>
    <m/>
    <m/>
    <m/>
    <m/>
    <m/>
    <m/>
    <m/>
    <m/>
    <m/>
    <m/>
    <s v="YES"/>
    <s v="September"/>
    <n v="2016"/>
    <m/>
    <m/>
    <m/>
    <m/>
    <m/>
    <x v="3"/>
    <m/>
    <m/>
    <m/>
    <m/>
    <m/>
    <m/>
    <m/>
    <m/>
    <m/>
    <x v="3"/>
    <m/>
    <x v="2"/>
    <m/>
    <x v="3"/>
    <x v="0"/>
    <s v="YES"/>
    <x v="0"/>
    <x v="0"/>
    <x v="0"/>
    <x v="0"/>
    <n v="4"/>
    <x v="0"/>
    <x v="1"/>
    <x v="0"/>
    <x v="1"/>
    <x v="1"/>
    <x v="0"/>
    <n v="3"/>
    <x v="1"/>
    <x v="1"/>
    <x v="1"/>
    <x v="1"/>
    <x v="1"/>
    <n v="3"/>
    <x v="1"/>
    <x v="4"/>
    <m/>
    <m/>
    <m/>
    <m/>
    <x v="1"/>
    <m/>
    <m/>
    <m/>
    <m/>
    <m/>
    <s v="L'implication des communautaires a facilité la mise en uvre des activités du projet"/>
    <s v="l'opération voucher-eau de consommation a été une des pratiques les plus prometteuses du projet"/>
    <m/>
    <m/>
    <m/>
    <n v="17784"/>
    <n v="43022"/>
    <n v="2.4191408007197479"/>
    <n v="0.81269680611785877"/>
    <n v="0.50999488633722279"/>
    <n v="14453"/>
    <n v="21941"/>
    <n v="1"/>
    <n v="17784"/>
    <n v="43022"/>
    <n v="2.4191408007197479"/>
    <n v="1"/>
    <n v="11638"/>
    <n v="0"/>
    <n v="0"/>
    <s v=""/>
    <n v="0"/>
    <n v="0"/>
    <s v=""/>
    <s v=""/>
    <n v="0"/>
    <n v="0"/>
    <s v=""/>
    <s v=""/>
    <n v="0"/>
    <n v="0"/>
    <s v=""/>
    <s v="2. Sensitive"/>
    <s v="No marker score"/>
    <s v="2. Sensitive"/>
    <n v="0"/>
    <n v="0"/>
    <n v="0"/>
  </r>
  <r>
    <x v="54"/>
    <x v="2"/>
    <m/>
    <s v="Projet de recherche-développement pour la sécurité alimentaire et ladaptation au changement climatique des systèmes ruraux de production au Niger"/>
    <s v="Niger"/>
    <s v="CNORNE0045"/>
    <s v="CARE USA"/>
    <s v="Government"/>
    <s v="Government - Norway"/>
    <s v="Ministry of Foreign Affairs of Norway"/>
    <m/>
    <m/>
    <m/>
    <m/>
    <m/>
    <m/>
    <m/>
    <m/>
    <m/>
    <m/>
    <m/>
    <m/>
    <m/>
    <m/>
    <m/>
    <m/>
    <m/>
    <m/>
    <m/>
    <m/>
    <m/>
    <m/>
    <m/>
    <m/>
    <m/>
    <m/>
    <m/>
    <m/>
    <m/>
    <m/>
    <m/>
    <m/>
    <m/>
    <m/>
    <m/>
    <m/>
    <m/>
    <m/>
    <m/>
    <m/>
    <m/>
    <m/>
    <m/>
    <m/>
    <m/>
    <d v="2016-07-13T00:00:00"/>
    <d v="2019-07-12T00:00:00"/>
    <m/>
    <s v="Development Food &amp; Nutrition Security and Resilience to Climate Change"/>
    <n v="7800000"/>
    <s v="Mobrouck Abdellah"/>
    <s v="Chef de programme"/>
    <s v="Abdellah.Mobrouk@care.org"/>
    <s v="Adam Kiari Saidou"/>
    <s v="Coordinateur du Projet RED SAACC"/>
    <s v="Addam.KiariSaidou@care.org"/>
    <s v="NO"/>
    <s v="YES"/>
    <s v="NO"/>
    <s v="Accroitre de manière significative, en fin 2020, la sécurité alimentaire et nutritionnelle (ainsi que les revenus ) de 15.000 ménages fragiles à faible résilience dans 15 communes des régions de Maradi, Tahoua et Tillabéry"/>
    <s v="Sub-National"/>
    <s v="Régions  de Tillabéry (Commune de Tagazar, Hamdallaye, Torodi, Dantchiandou, Gothèye) ; de Tahoua (Commune de Galma, Malbaza, Allakaye, Madaoua, Sabon Guida) et de Maradi (Commune de Guidan Roumdji, Sabon Machi, Azagor, Aguié, Jiratawa)"/>
    <s v="Le groupe cible visé est constitué de ménages vulnérables (en particulier ceux dirigés par des femmes), les filles, les jeunes de 15 à 35 ans et les enfants de 0 à 5 ans vivant dans les exploitations agricoles familiales très vulnérables aux crises climatiques et socio-économiques. Au total, 15 000 exploitations agricoles familiales fragiles à faible résilience seront touchées."/>
    <n v="7500"/>
    <n v="15000"/>
    <n v="22500"/>
    <n v="11250"/>
    <n v="22500"/>
    <n v="33750"/>
    <s v="Le projet intervient dans 3 régions et 15 communes. Au niveau de chaque commune village sont choisis comme sites du projet. Un minimun de 4 groupements MMD de 25 membre par groupement seront mis en place dans chaque village soitun total de 100 femmes par village; pour 500 par commune et 7500 pour les 15 communes. le calcul des ménages agricoles de la zone d'intervention du projet dépasse les 45000. en fixant le tier (1/3) des 45000 comme cible directe, au moins 1000 petits producteurs par commune participeront au PCI. En raison 'un effet multiplicateur de 1.5, le projet toucherait en indirecte  11250 de femmes et 22500 d'hommes dans sa zone d'intervention."/>
    <m/>
    <m/>
    <m/>
    <m/>
    <m/>
    <m/>
    <m/>
    <m/>
    <m/>
    <m/>
    <m/>
    <m/>
    <m/>
    <m/>
    <m/>
    <m/>
    <m/>
    <m/>
    <m/>
    <m/>
    <m/>
    <m/>
    <m/>
    <m/>
    <m/>
    <m/>
    <m/>
    <m/>
    <m/>
    <m/>
    <m/>
    <m/>
    <m/>
    <m/>
    <m/>
    <m/>
    <m/>
    <m/>
    <m/>
    <m/>
    <m/>
    <m/>
    <m/>
    <m/>
    <m/>
    <m/>
    <m/>
    <m/>
    <m/>
    <m/>
    <m/>
    <m/>
    <m/>
    <m/>
    <m/>
    <m/>
    <m/>
    <m/>
    <m/>
    <m/>
    <n v="121"/>
    <n v="402"/>
    <n v="523"/>
    <m/>
    <m/>
    <m/>
    <s v="YES"/>
    <n v="350"/>
    <n v="0.23"/>
    <m/>
    <s v="YES"/>
    <n v="173"/>
    <n v="0.21"/>
    <m/>
    <m/>
    <m/>
    <m/>
    <m/>
    <m/>
    <m/>
    <m/>
    <m/>
    <m/>
    <m/>
    <m/>
    <m/>
    <m/>
    <m/>
    <m/>
    <m/>
    <m/>
    <m/>
    <m/>
    <m/>
    <m/>
    <m/>
    <m/>
    <m/>
    <m/>
    <m/>
    <m/>
    <m/>
    <m/>
    <m/>
    <m/>
    <m/>
    <m/>
    <m/>
    <m/>
    <m/>
    <m/>
    <m/>
    <m/>
    <m/>
    <m/>
    <m/>
    <m/>
    <m/>
    <m/>
    <m/>
    <m/>
    <m/>
    <m/>
    <m/>
    <m/>
    <m/>
    <m/>
    <m/>
    <m/>
    <m/>
    <m/>
    <m/>
    <m/>
    <m/>
    <m/>
    <s v="NO"/>
    <m/>
    <m/>
    <s v="NO"/>
    <s v="NO"/>
    <m/>
    <m/>
    <m/>
    <x v="0"/>
    <s v="NO"/>
    <s v="NO"/>
    <s v="NO"/>
    <s v="NO"/>
    <s v="NO"/>
    <s v="NO"/>
    <s v="NO"/>
    <s v="NO"/>
    <m/>
    <x v="1"/>
    <s v="Le projet est entrain de tester l'utilisation des semoirs motorisés et à l'attraction animale. Le test est pour le moment fait en station. L'année suivante, il y aura le passage en milieu paysan."/>
    <x v="1"/>
    <s v="Dans le cadre de la promotion du modèle d'exploitation agricole familiale intégrée(EAFI), des alliances stratégiques ont été conclues avec l'INRAN, qui est en charge du transfert des technologies innovantes, et avec 3 ONG locales, qui sont en charge de la mobilisation communautaire et de la vulgarisation du modèle EAFI à travers les plateformes d'innovations communales."/>
    <x v="0"/>
    <x v="0"/>
    <s v="YES"/>
    <x v="0"/>
    <x v="0"/>
    <x v="1"/>
    <x v="1"/>
    <n v="3"/>
    <x v="3"/>
    <x v="2"/>
    <x v="2"/>
    <x v="2"/>
    <x v="2"/>
    <x v="3"/>
    <n v="0"/>
    <x v="1"/>
    <x v="1"/>
    <x v="1"/>
    <x v="2"/>
    <x v="3"/>
    <n v="2"/>
    <x v="1"/>
    <x v="4"/>
    <n v="4"/>
    <s v="University/research institution(s)"/>
    <s v="Local NGO(s)/CSO(s)"/>
    <s v="Local government(s)"/>
    <x v="0"/>
    <s v="Formation du staff de INRAN sur les semoirs motorisés et à attraction animale; Formation des faciltateurs du projet sur le répérage des innovations; Conduite de l'enquete exploratoire."/>
    <s v="Sur la base du cadre de performance, le cadre logique du projet a été élaboré en un seul. Les échéances des DIP finalisé ont été revue au moins 2 fois. Les dates des activités reportées à des dates incertaines. La commune de Goroual a été changé par celle de Dantichiandou pour des considération de situations d'insécurité dans la zone La durée du projet prévue pour 5 ans est ramenée à trois ans"/>
    <s v="Etude de caractérisation socioéconomique des villages préselections pour servir de base d'analyse au choix des villages d'intervention."/>
    <s v="L'installation des champs écoles paysans pour les formations des membres de communautés sur les thèmes issues des contraintes que l'étude exploratoire a fait ressortir."/>
    <s v="Placement des facilitateurs au niveau de chaque commune des 15 du projet pour le suivi de proximité et les collectes de données"/>
    <s v="Le partenariat de mise en uvre de projet avec une strucutre étatique est moins efficace dans un pays où les agents de l'Etat ont plusieurs choix collaboration du fait de la multiplicité des ONG et organisme de developpement."/>
    <s v="Le retard de décaissement met facilement à risque un projet de résilience du simple fait de la saisonnalité des campagnes, qui n'attendent pas l'on soit prêt pour arriver."/>
    <s v="La mauvaise circulation des informations ne permet pas d'optimiser l'éfficacité d'un projet."/>
    <s v="Officiellement, le lancement du projet a eu lieu le 14 février 2017 sous le parrainage du ministre de l'agriculture et de l'élevage. Un arreté est pris par l'Etat au tritre de la création du projet RED SAACC au niveau du ministère de l'agriculture et de l'élevage."/>
    <m/>
    <n v="523"/>
    <n v="0"/>
    <n v="0"/>
    <n v="0.23135755258126195"/>
    <s v=""/>
    <n v="121"/>
    <n v="0"/>
    <s v=""/>
    <n v="0"/>
    <n v="0"/>
    <s v=""/>
    <n v="1"/>
    <n v="350"/>
    <n v="0"/>
    <n v="0"/>
    <s v=""/>
    <n v="0"/>
    <n v="0"/>
    <s v=""/>
    <s v=""/>
    <n v="0"/>
    <n v="0"/>
    <s v=""/>
    <s v=""/>
    <n v="0"/>
    <n v="0"/>
    <s v=""/>
    <s v="1. Neutral"/>
    <s v="0. Unaware"/>
    <s v="1. Neutral"/>
    <s v="It tested new ways for fighting poverty, but did not measure results of innovation"/>
    <s v="Little or no advocacy"/>
    <s v="It linked and worked with strategic alliances and partners to take tested and effective solutions to scale"/>
  </r>
  <r>
    <x v="54"/>
    <x v="2"/>
    <m/>
    <s v="Projet Integré de planification familiale et soins après avortement"/>
    <s v="Niger"/>
    <s v="ANO1NE0001"/>
    <s v="CARE USA"/>
    <s v="Foundation"/>
    <s v="Other"/>
    <s v="SAFPAC Catalytic Fund"/>
    <s v="PFIZNE0001"/>
    <s v="CARE USA"/>
    <s v="Corporation"/>
    <s v="Other"/>
    <s v="PFIZER"/>
    <m/>
    <m/>
    <m/>
    <m/>
    <m/>
    <m/>
    <m/>
    <m/>
    <m/>
    <m/>
    <m/>
    <m/>
    <m/>
    <m/>
    <m/>
    <m/>
    <m/>
    <m/>
    <m/>
    <m/>
    <m/>
    <m/>
    <m/>
    <m/>
    <m/>
    <m/>
    <m/>
    <m/>
    <m/>
    <m/>
    <m/>
    <m/>
    <m/>
    <m/>
    <m/>
    <m/>
    <m/>
    <m/>
    <m/>
    <m/>
    <d v="2016-07-01T00:00:00"/>
    <m/>
    <d v="2017-07-31T00:00:00"/>
    <s v="Development Sexual, Reproductive and Maternal Health (SRMH)"/>
    <m/>
    <s v="Saratou Malam Goni"/>
    <s v="Coordinatrice Programme leadership des Femmes et Jeunes (LEFJ)"/>
    <s v="Saratou.MalamGoni@care,org"/>
    <m/>
    <m/>
    <m/>
    <s v="NO"/>
    <s v="YES"/>
    <s v="NO"/>
    <s v="L'initiative SAFPAC apporte sa contribution pour réduire le taux de décès maternel du aux avortements et grosesses rapprochées en renforcant l'accès et la qualité des soins après avortement et prestations des services en planification familiale"/>
    <s v="Multiple countries"/>
    <s v="Au Niger, le Projet est situé dans les Districts Santaires de Gaya et Dioundou, Région de Dosso, Niger; il concerne 6 Communes Rurales qui sont Gaya, Tounouga, Tanda, Yelou, Zabori et Karakara."/>
    <s v="Ce sont les femmes en ages de procréer et les adolescentes  "/>
    <n v="4576"/>
    <n v="0"/>
    <n v="4576"/>
    <n v="95900"/>
    <n v="94794"/>
    <n v="190694"/>
    <s v="Ily a environ 190694 bénéficiaires indirects dans la zone d'intervention de l'initiative, confert données statistiques du District sanitaire. 3969 nouvelles femmes en age de procréere et adolescentes ont été notifiées dans les centres de santé de la zone d'intervention du Projet et collectées pendant le suivi à partir des registres des nouvelles clientes de PF. En outre, environ 16425 enfants de moins de 5 ans vaccinés en pentavalent et contre la rougeole.  "/>
    <m/>
    <m/>
    <m/>
    <m/>
    <m/>
    <m/>
    <m/>
    <m/>
    <m/>
    <m/>
    <m/>
    <m/>
    <m/>
    <m/>
    <m/>
    <m/>
    <m/>
    <m/>
    <m/>
    <m/>
    <m/>
    <m/>
    <m/>
    <m/>
    <m/>
    <m/>
    <m/>
    <m/>
    <m/>
    <m/>
    <m/>
    <m/>
    <m/>
    <m/>
    <n v="0"/>
    <m/>
    <m/>
    <m/>
    <m/>
    <m/>
    <m/>
    <m/>
    <m/>
    <m/>
    <m/>
    <m/>
    <m/>
    <m/>
    <m/>
    <m/>
    <m/>
    <m/>
    <m/>
    <m/>
    <m/>
    <m/>
    <m/>
    <m/>
    <m/>
    <m/>
    <n v="3969"/>
    <m/>
    <n v="3969"/>
    <n v="95900"/>
    <n v="94794"/>
    <n v="190694"/>
    <m/>
    <m/>
    <m/>
    <m/>
    <m/>
    <m/>
    <m/>
    <m/>
    <m/>
    <m/>
    <m/>
    <m/>
    <m/>
    <m/>
    <m/>
    <m/>
    <m/>
    <m/>
    <m/>
    <m/>
    <m/>
    <m/>
    <m/>
    <m/>
    <m/>
    <m/>
    <m/>
    <m/>
    <m/>
    <m/>
    <m/>
    <m/>
    <m/>
    <m/>
    <m/>
    <m/>
    <m/>
    <m/>
    <m/>
    <m/>
    <m/>
    <m/>
    <m/>
    <m/>
    <m/>
    <m/>
    <m/>
    <m/>
    <m/>
    <m/>
    <m/>
    <m/>
    <s v="YES"/>
    <n v="3969"/>
    <n v="1"/>
    <n v="3969"/>
    <m/>
    <m/>
    <m/>
    <m/>
    <m/>
    <m/>
    <m/>
    <m/>
    <m/>
    <m/>
    <m/>
    <m/>
    <m/>
    <s v="NO"/>
    <m/>
    <m/>
    <s v="NO"/>
    <s v="NO"/>
    <m/>
    <m/>
    <m/>
    <x v="0"/>
    <m/>
    <m/>
    <m/>
    <m/>
    <m/>
    <m/>
    <m/>
    <m/>
    <m/>
    <x v="3"/>
    <m/>
    <x v="2"/>
    <m/>
    <x v="3"/>
    <x v="2"/>
    <m/>
    <x v="2"/>
    <x v="2"/>
    <x v="2"/>
    <x v="3"/>
    <n v="0"/>
    <x v="1"/>
    <x v="0"/>
    <x v="0"/>
    <x v="0"/>
    <x v="0"/>
    <x v="3"/>
    <n v="0"/>
    <x v="0"/>
    <x v="0"/>
    <x v="0"/>
    <x v="0"/>
    <x v="0"/>
    <n v="0"/>
    <x v="1"/>
    <x v="4"/>
    <n v="2"/>
    <s v="National government"/>
    <s v="Grassroots organization(s)"/>
    <m/>
    <x v="3"/>
    <m/>
    <m/>
    <m/>
    <m/>
    <m/>
    <m/>
    <m/>
    <m/>
    <m/>
    <m/>
    <n v="3969"/>
    <n v="190694"/>
    <n v="48.045855379188716"/>
    <n v="1"/>
    <n v="0.5028999339255561"/>
    <n v="3969"/>
    <n v="95900"/>
    <s v=""/>
    <n v="0"/>
    <n v="0"/>
    <s v=""/>
    <s v=""/>
    <n v="0"/>
    <n v="0"/>
    <s v=""/>
    <n v="1"/>
    <n v="3969"/>
    <n v="3969"/>
    <n v="1"/>
    <s v=""/>
    <n v="0"/>
    <n v="0"/>
    <s v=""/>
    <s v=""/>
    <n v="0"/>
    <n v="0"/>
    <s v=""/>
    <s v="No marker score"/>
    <s v="0. Unaware"/>
    <s v="No marker score"/>
    <n v="0"/>
    <s v="Little or no advocacy"/>
    <n v="0"/>
  </r>
  <r>
    <x v="54"/>
    <x v="2"/>
    <m/>
    <s v="PROJET LOGISTIQUE D'INTERVENTION BASSEE SUR LE TRANSFERT MONETAIRE ET CRI AUX REFUGIES A DIFFA (LOGISTIQUE ET DISTRIBUTION)"/>
    <s v="Niger"/>
    <s v="UNHCNE0010/US1W6"/>
    <s v="No CARE member related to the project/initiative"/>
    <s v="Multilateral agency"/>
    <s v="UN - United Nations agencies/offices"/>
    <s v="UNHCR"/>
    <m/>
    <m/>
    <m/>
    <m/>
    <m/>
    <m/>
    <m/>
    <m/>
    <m/>
    <m/>
    <m/>
    <m/>
    <m/>
    <m/>
    <m/>
    <m/>
    <m/>
    <m/>
    <m/>
    <m/>
    <m/>
    <m/>
    <m/>
    <m/>
    <m/>
    <m/>
    <m/>
    <m/>
    <m/>
    <m/>
    <m/>
    <m/>
    <m/>
    <m/>
    <m/>
    <m/>
    <m/>
    <m/>
    <m/>
    <m/>
    <m/>
    <m/>
    <m/>
    <m/>
    <m/>
    <d v="2017-01-01T00:00:00"/>
    <d v="2017-12-31T00:00:00"/>
    <m/>
    <s v="Humanitarian Other"/>
    <n v="209529.89"/>
    <s v="SANI MAMANE LAMINOU"/>
    <s v="COORDONNATEUR HUMANITAIRE"/>
    <s v="mamanelaminou.sani@care.org"/>
    <s v="SALIFOU BILAN ABDOURAZACK"/>
    <s v="CHEF DE PROJET"/>
    <s v="SalifouBilan.Abdourazack@care.org"/>
    <s v="YES"/>
    <s v="NO"/>
    <s v="NO"/>
    <s v="Assurer la gestion logistique et lassistance humanitaire aux personnes affectées par la crise du Nord Nigéria"/>
    <s v="Sub-National"/>
    <s v="Le projet intervient au niveau de toute la region de Diffa"/>
    <s v="le projet appui 9000 ménages des refugies dans la region de Diffa"/>
    <n v="4590"/>
    <n v="4410"/>
    <n v="9000"/>
    <n v="27540"/>
    <n v="26460"/>
    <n v="54000"/>
    <s v="Les participants directs sont les 9000 menages des refugies et les participants indirects sont les 54000 membres des menages"/>
    <m/>
    <n v="14127"/>
    <n v="13573"/>
    <n v="27700"/>
    <n v="61260"/>
    <n v="58860"/>
    <n v="120120"/>
    <m/>
    <m/>
    <m/>
    <m/>
    <s v="YES"/>
    <n v="7080"/>
    <n v="1"/>
    <n v="0"/>
    <m/>
    <m/>
    <m/>
    <m/>
    <s v="YES"/>
    <n v="16556"/>
    <n v="0.51002657646774496"/>
    <n v="8444"/>
    <m/>
    <m/>
    <m/>
    <m/>
    <m/>
    <m/>
    <m/>
    <m/>
    <m/>
    <m/>
    <m/>
    <m/>
    <m/>
    <m/>
    <m/>
    <m/>
    <m/>
    <m/>
    <m/>
    <m/>
    <m/>
    <m/>
    <m/>
    <m/>
    <s v="YES"/>
    <n v="11532"/>
    <n v="0.51"/>
    <n v="5881.32"/>
    <s v="YES"/>
    <n v="16556"/>
    <n v="0.51002657646774496"/>
    <n v="8444"/>
    <s v="NFI, Energie"/>
    <s v="YES"/>
    <m/>
    <m/>
    <m/>
    <m/>
    <m/>
    <n v="0"/>
    <m/>
    <m/>
    <n v="0"/>
    <m/>
    <m/>
    <m/>
    <m/>
    <m/>
    <m/>
    <m/>
    <m/>
    <m/>
    <m/>
    <m/>
    <m/>
    <m/>
    <m/>
    <m/>
    <m/>
    <m/>
    <m/>
    <m/>
    <m/>
    <m/>
    <m/>
    <m/>
    <m/>
    <m/>
    <m/>
    <m/>
    <m/>
    <m/>
    <m/>
    <m/>
    <m/>
    <m/>
    <m/>
    <m/>
    <m/>
    <m/>
    <m/>
    <m/>
    <m/>
    <m/>
    <m/>
    <m/>
    <m/>
    <m/>
    <m/>
    <m/>
    <m/>
    <m/>
    <m/>
    <m/>
    <m/>
    <m/>
    <m/>
    <m/>
    <m/>
    <m/>
    <m/>
    <m/>
    <m/>
    <m/>
    <m/>
    <m/>
    <m/>
    <m/>
    <m/>
    <m/>
    <m/>
    <m/>
    <s v="NO"/>
    <m/>
    <m/>
    <s v="NO"/>
    <m/>
    <m/>
    <m/>
    <m/>
    <x v="0"/>
    <m/>
    <m/>
    <m/>
    <m/>
    <s v="YES"/>
    <m/>
    <m/>
    <m/>
    <m/>
    <x v="0"/>
    <m/>
    <x v="0"/>
    <m/>
    <x v="0"/>
    <x v="0"/>
    <s v="YES"/>
    <x v="0"/>
    <x v="0"/>
    <x v="0"/>
    <x v="0"/>
    <n v="4"/>
    <x v="3"/>
    <x v="1"/>
    <x v="1"/>
    <x v="1"/>
    <x v="1"/>
    <x v="3"/>
    <n v="4"/>
    <x v="1"/>
    <x v="2"/>
    <x v="2"/>
    <x v="1"/>
    <x v="3"/>
    <n v="1"/>
    <x v="0"/>
    <x v="1"/>
    <m/>
    <m/>
    <m/>
    <m/>
    <x v="1"/>
    <m/>
    <m/>
    <m/>
    <m/>
    <m/>
    <s v="Maitriser au préalable la zonne d'intervention"/>
    <s v="Maitriser la cible"/>
    <s v="Connaitre au préalable les grandes lignes des activités à programmer"/>
    <m/>
    <m/>
    <n v="27700"/>
    <n v="120120"/>
    <n v="4.3364620938628162"/>
    <n v="0.51"/>
    <n v="0.50999000999000998"/>
    <n v="14127"/>
    <n v="61260"/>
    <n v="1"/>
    <n v="27700"/>
    <n v="120120"/>
    <n v="4.3364620938628162"/>
    <n v="1"/>
    <n v="16556"/>
    <n v="8444"/>
    <n v="0.51002657646774585"/>
    <s v=""/>
    <n v="0"/>
    <n v="0"/>
    <s v=""/>
    <s v=""/>
    <n v="0"/>
    <n v="0"/>
    <s v=""/>
    <s v=""/>
    <n v="0"/>
    <n v="0"/>
    <s v=""/>
    <s v="2. Sensitive"/>
    <s v="0. Unaware"/>
    <s v="1. Neutral"/>
    <s v="It did not develop any specific innovation"/>
    <s v="Little or no advocacy"/>
    <s v="It did not take tested solutions to scale"/>
  </r>
  <r>
    <x v="54"/>
    <x v="2"/>
    <m/>
    <s v="PROJET LOGISTIQUE D'INTERVENTION BASSEE SUR LE TRANSFERT MONETAIRE ET CRI AUX REFUGIES A DIFFA (LOGISTIQUE ET DISTRIBUTION)"/>
    <s v="Niger"/>
    <s v="UNHCNE0009/US1W4"/>
    <s v="No CARE member related to the project/initiative"/>
    <s v="Multilateral agency"/>
    <s v="UN - United Nations agencies/offices"/>
    <s v="UNHCR"/>
    <m/>
    <m/>
    <m/>
    <m/>
    <m/>
    <m/>
    <m/>
    <m/>
    <m/>
    <m/>
    <m/>
    <m/>
    <m/>
    <m/>
    <m/>
    <m/>
    <m/>
    <m/>
    <m/>
    <m/>
    <m/>
    <m/>
    <m/>
    <m/>
    <m/>
    <m/>
    <m/>
    <m/>
    <m/>
    <m/>
    <m/>
    <m/>
    <m/>
    <m/>
    <m/>
    <m/>
    <m/>
    <m/>
    <m/>
    <m/>
    <m/>
    <m/>
    <m/>
    <m/>
    <m/>
    <d v="2017-01-01T00:00:00"/>
    <d v="2017-12-31T00:00:00"/>
    <m/>
    <s v="Humanitarian Other"/>
    <n v="1031057.443"/>
    <s v="SANI MAMANE LAMINOU"/>
    <s v="COORDONNATEURHUMANITAIRE"/>
    <s v="mamanelaminou.sani@care.org"/>
    <s v="SALIFOU BILAN ABDOURAZACK"/>
    <s v="CHEF DE PROJET"/>
    <s v="SalifouBilan.Abdourazack@care.org"/>
    <s v="YES"/>
    <s v="NO"/>
    <s v="NO"/>
    <s v="Assurer la gestion logistique et lassistance humanitaire aux personnes affectées par la crise du Nord Nigéria"/>
    <s v="Sub-National"/>
    <s v="Le projet intervient au niveau de toute la region de Diffa"/>
    <s v="le projet appui 4000 ménages des IDPs dans la region de Diffa"/>
    <n v="2040"/>
    <n v="1960"/>
    <n v="4000"/>
    <n v="12240"/>
    <n v="11760"/>
    <n v="24000"/>
    <s v="Les participants directs sont les 4000 menages des refugies et les participants indirects sont les 24000 membres des menages"/>
    <m/>
    <n v="11774"/>
    <n v="11284"/>
    <n v="23058"/>
    <n v="23384"/>
    <n v="22467"/>
    <n v="45851"/>
    <m/>
    <m/>
    <m/>
    <m/>
    <s v="YES"/>
    <n v="7080"/>
    <n v="1"/>
    <n v="0"/>
    <m/>
    <m/>
    <m/>
    <m/>
    <m/>
    <m/>
    <m/>
    <m/>
    <m/>
    <m/>
    <m/>
    <m/>
    <m/>
    <m/>
    <m/>
    <m/>
    <m/>
    <m/>
    <m/>
    <m/>
    <m/>
    <m/>
    <m/>
    <m/>
    <m/>
    <m/>
    <m/>
    <m/>
    <m/>
    <m/>
    <m/>
    <m/>
    <m/>
    <m/>
    <m/>
    <m/>
    <s v="YES"/>
    <n v="15136"/>
    <n v="0.51002657646774496"/>
    <n v="7719"/>
    <s v="NFI, Energie"/>
    <s v="YES"/>
    <n v="7892"/>
    <n v="0.50997225112729705"/>
    <n v="47352"/>
    <m/>
    <m/>
    <n v="0"/>
    <m/>
    <m/>
    <n v="0"/>
    <m/>
    <m/>
    <m/>
    <m/>
    <m/>
    <m/>
    <m/>
    <m/>
    <m/>
    <m/>
    <m/>
    <m/>
    <m/>
    <m/>
    <m/>
    <m/>
    <m/>
    <m/>
    <m/>
    <m/>
    <m/>
    <m/>
    <m/>
    <m/>
    <m/>
    <m/>
    <m/>
    <m/>
    <m/>
    <m/>
    <m/>
    <m/>
    <m/>
    <m/>
    <m/>
    <m/>
    <m/>
    <m/>
    <m/>
    <m/>
    <m/>
    <m/>
    <m/>
    <m/>
    <m/>
    <m/>
    <m/>
    <m/>
    <m/>
    <m/>
    <m/>
    <m/>
    <m/>
    <m/>
    <m/>
    <m/>
    <m/>
    <m/>
    <m/>
    <m/>
    <m/>
    <m/>
    <m/>
    <m/>
    <m/>
    <m/>
    <m/>
    <m/>
    <m/>
    <s v="NO"/>
    <m/>
    <m/>
    <s v="NO"/>
    <s v="NO"/>
    <m/>
    <m/>
    <m/>
    <x v="0"/>
    <s v="NO"/>
    <s v="NO"/>
    <s v="NO"/>
    <s v="NO"/>
    <s v="YES"/>
    <s v="NO"/>
    <s v="NO"/>
    <s v="NO"/>
    <m/>
    <x v="0"/>
    <m/>
    <x v="0"/>
    <m/>
    <x v="0"/>
    <x v="0"/>
    <s v="YES"/>
    <x v="0"/>
    <x v="0"/>
    <x v="0"/>
    <x v="0"/>
    <n v="4"/>
    <x v="3"/>
    <x v="2"/>
    <x v="1"/>
    <x v="2"/>
    <x v="2"/>
    <x v="3"/>
    <n v="1"/>
    <x v="1"/>
    <x v="2"/>
    <x v="2"/>
    <x v="1"/>
    <x v="3"/>
    <n v="1"/>
    <x v="0"/>
    <x v="1"/>
    <m/>
    <s v="Local government(s)"/>
    <m/>
    <m/>
    <x v="1"/>
    <m/>
    <m/>
    <m/>
    <m/>
    <m/>
    <s v="Maitriser au préalable la zonne d'intervention"/>
    <s v="Maitriser la cible"/>
    <m/>
    <m/>
    <m/>
    <n v="23058"/>
    <n v="45851"/>
    <n v="1.9885072426056032"/>
    <n v="0.51062537947783848"/>
    <n v="0.50999978190224859"/>
    <n v="11774"/>
    <n v="23384"/>
    <n v="1"/>
    <n v="23058"/>
    <n v="45851"/>
    <n v="1.9885072426056032"/>
    <s v=""/>
    <n v="0"/>
    <n v="0"/>
    <s v=""/>
    <s v=""/>
    <n v="0"/>
    <n v="0"/>
    <s v=""/>
    <s v=""/>
    <n v="0"/>
    <n v="0"/>
    <s v=""/>
    <s v=""/>
    <n v="0"/>
    <n v="0"/>
    <s v=""/>
    <s v="2. Sensitive"/>
    <s v="0. Unaware"/>
    <s v="1. Neutral"/>
    <s v="It did not develop any specific innovation"/>
    <s v="Little or no advocacy"/>
    <s v="It did not take tested solutions to scale"/>
  </r>
  <r>
    <x v="54"/>
    <x v="2"/>
    <n v="3227"/>
    <s v="Protection &amp; Assistance aux réfugiés Nigérians, populations hôtes/Logistique&amp;Distribution NFI- DIFFA"/>
    <s v="Niger"/>
    <s v="UNHCNE0007/US1PT"/>
    <s v="CARE USA"/>
    <s v="Multilateral agency"/>
    <s v="UN - United Nations agencies/offices"/>
    <s v="UNHCR"/>
    <m/>
    <m/>
    <m/>
    <m/>
    <m/>
    <m/>
    <m/>
    <m/>
    <m/>
    <m/>
    <m/>
    <m/>
    <m/>
    <m/>
    <m/>
    <m/>
    <m/>
    <m/>
    <m/>
    <m/>
    <m/>
    <m/>
    <m/>
    <m/>
    <m/>
    <m/>
    <m/>
    <m/>
    <m/>
    <m/>
    <m/>
    <m/>
    <m/>
    <m/>
    <m/>
    <m/>
    <m/>
    <m/>
    <m/>
    <m/>
    <m/>
    <m/>
    <m/>
    <m/>
    <m/>
    <d v="2016-01-01T00:00:00"/>
    <d v="2016-12-31T00:00:00"/>
    <m/>
    <s v="Humanitarian Other"/>
    <n v="909899"/>
    <s v="SANI MAMANE LAMINOU"/>
    <s v="COORDONNATEUR HUMANITAIRE"/>
    <s v="mamanelaminou.sani@care.org"/>
    <s v="SALIFOU BILAN ABDOURAZACK"/>
    <s v="CHEF DE PROJET"/>
    <s v="SalifouBilan.Abdourazack@care.org"/>
    <s v="YES"/>
    <s v="NO"/>
    <s v="NO"/>
    <s v="L'objectif principale du projet est d'assister les réfugiés, retournés, déplacés et famille d'accueils et aussi le volet logistique"/>
    <s v="Sub-National"/>
    <s v="Le projet intervient au niveau de toute la region de Diffa"/>
    <s v="Le groupe principal d'impact de ce projet sont les membres des ménages des refugies, déplacés internes et populations hôtes dans la region de Diffa"/>
    <n v="2585"/>
    <n v="2115"/>
    <n v="4700"/>
    <n v="5121"/>
    <n v="4190"/>
    <n v="9311"/>
    <s v="Les participants directs sont les 22500 menages des refugies, retournés, déplacés et familles d'accueils et les participants indirects sont les 137610 membres des menages"/>
    <m/>
    <n v="22961"/>
    <n v="22060"/>
    <n v="45021"/>
    <n v="76075"/>
    <n v="73091"/>
    <n v="149166"/>
    <m/>
    <m/>
    <m/>
    <m/>
    <m/>
    <m/>
    <m/>
    <m/>
    <m/>
    <m/>
    <m/>
    <m/>
    <s v="YES"/>
    <n v="22477"/>
    <n v="0.51002657646774496"/>
    <m/>
    <m/>
    <m/>
    <m/>
    <m/>
    <m/>
    <m/>
    <m/>
    <m/>
    <m/>
    <m/>
    <m/>
    <m/>
    <m/>
    <m/>
    <m/>
    <m/>
    <m/>
    <m/>
    <m/>
    <m/>
    <m/>
    <m/>
    <m/>
    <m/>
    <s v="YES"/>
    <n v="28301"/>
    <n v="0.51"/>
    <n v="169806"/>
    <s v="YES"/>
    <n v="22477"/>
    <n v="0.51002657646774496"/>
    <n v="0"/>
    <m/>
    <m/>
    <m/>
    <m/>
    <m/>
    <m/>
    <m/>
    <n v="0"/>
    <m/>
    <m/>
    <n v="0"/>
    <m/>
    <m/>
    <m/>
    <m/>
    <m/>
    <m/>
    <m/>
    <m/>
    <m/>
    <m/>
    <m/>
    <m/>
    <m/>
    <m/>
    <m/>
    <m/>
    <m/>
    <m/>
    <m/>
    <m/>
    <m/>
    <m/>
    <m/>
    <m/>
    <m/>
    <m/>
    <m/>
    <m/>
    <m/>
    <m/>
    <m/>
    <m/>
    <m/>
    <m/>
    <m/>
    <m/>
    <m/>
    <m/>
    <m/>
    <m/>
    <m/>
    <m/>
    <m/>
    <m/>
    <m/>
    <m/>
    <m/>
    <m/>
    <m/>
    <m/>
    <m/>
    <m/>
    <m/>
    <m/>
    <m/>
    <m/>
    <m/>
    <m/>
    <m/>
    <m/>
    <m/>
    <m/>
    <m/>
    <m/>
    <m/>
    <m/>
    <m/>
    <m/>
    <m/>
    <s v="NO"/>
    <m/>
    <m/>
    <s v="NO"/>
    <s v="NO"/>
    <m/>
    <m/>
    <m/>
    <x v="3"/>
    <s v="NO"/>
    <s v="NO"/>
    <s v="NO"/>
    <s v="NO"/>
    <s v="NO"/>
    <s v="NO"/>
    <s v="NO"/>
    <s v="NO"/>
    <m/>
    <x v="0"/>
    <m/>
    <x v="0"/>
    <m/>
    <x v="0"/>
    <x v="0"/>
    <s v="YES"/>
    <x v="0"/>
    <x v="0"/>
    <x v="0"/>
    <x v="0"/>
    <n v="4"/>
    <x v="3"/>
    <x v="1"/>
    <x v="1"/>
    <x v="1"/>
    <x v="1"/>
    <x v="3"/>
    <n v="4"/>
    <x v="1"/>
    <x v="2"/>
    <x v="2"/>
    <x v="1"/>
    <x v="3"/>
    <n v="1"/>
    <x v="0"/>
    <x v="1"/>
    <m/>
    <m/>
    <m/>
    <m/>
    <x v="1"/>
    <m/>
    <m/>
    <m/>
    <m/>
    <m/>
    <s v="Maitriser au préalable la zonne d'intervention"/>
    <s v="Maitriser la cible"/>
    <s v="Connaitre au préalable les grandes lignes des activités à programmer"/>
    <m/>
    <m/>
    <n v="45021"/>
    <n v="149166"/>
    <n v="3.3132538148863864"/>
    <n v="0.51000644143843987"/>
    <n v="0.51000227933979592"/>
    <n v="22961"/>
    <n v="76075"/>
    <n v="1"/>
    <n v="45021"/>
    <n v="149166"/>
    <n v="3.3132538148863864"/>
    <n v="1"/>
    <n v="22477"/>
    <n v="0"/>
    <n v="0"/>
    <s v=""/>
    <n v="0"/>
    <n v="0"/>
    <s v=""/>
    <s v=""/>
    <n v="0"/>
    <n v="0"/>
    <s v=""/>
    <s v=""/>
    <n v="0"/>
    <n v="0"/>
    <s v=""/>
    <s v="2. Sensitive"/>
    <s v="0. Unaware"/>
    <s v="1. Neutral"/>
    <s v="It did not develop any specific innovation"/>
    <n v="0"/>
    <s v="It did not take tested solutions to scale"/>
  </r>
  <r>
    <x v="54"/>
    <x v="2"/>
    <m/>
    <s v="REDUCTION DE LA VULNERABILITE DES REFUGIES ET DE LA POPULATION HÔTE DE LA REGION DE DIFFA, NIGER"/>
    <s v="Niger"/>
    <s v="CDEUNE0009"/>
    <s v="CARE Deutschland-Luxemburg"/>
    <s v="Government"/>
    <s v="Government - Luxemburg"/>
    <s v="Ministry of Foreign Affairs of Luxemburg"/>
    <m/>
    <m/>
    <m/>
    <m/>
    <m/>
    <m/>
    <m/>
    <m/>
    <m/>
    <m/>
    <m/>
    <m/>
    <m/>
    <m/>
    <m/>
    <m/>
    <m/>
    <m/>
    <m/>
    <m/>
    <m/>
    <m/>
    <m/>
    <m/>
    <m/>
    <m/>
    <m/>
    <m/>
    <m/>
    <m/>
    <m/>
    <m/>
    <m/>
    <m/>
    <m/>
    <m/>
    <m/>
    <m/>
    <m/>
    <m/>
    <m/>
    <m/>
    <m/>
    <m/>
    <m/>
    <d v="2016-08-15T00:00:00"/>
    <d v="2017-04-14T00:00:00"/>
    <d v="2017-07-14T00:00:00"/>
    <s v="Humanitarian Other"/>
    <n v="171119.213913043"/>
    <s v="Ely Keita"/>
    <s v="CD CARE"/>
    <s v="Ely.Keita@care.org"/>
    <s v="Djimraou Aboubacar"/>
    <s v="ACD CARE Niger"/>
    <s v="Aboubacar.Djimraou@co.care.org"/>
    <s v="YES"/>
    <s v="NO"/>
    <s v="NO"/>
    <s v="Améliorer l'accès à l'eau de consommation et à des installations sanitaires conformes aux normes SPHERES, Renforcer la protection et le bien être des enfants victimes de stress psychologique et des femmes survivantes de VBG parmi les populations hôtes et les IDPs de la région de Diffa"/>
    <s v="Sub-National"/>
    <s v="Région de Diffa; Départements de Mainé Soroa, Diffa et N'guigmi; Communes de Mainé Soroa, Chétimari, Diffa, Gueskerou, Kablewa et N'guigmi."/>
    <s v="Les enfants, les femmes et les hommes parmi les populations hôtes et mles déplacés internes dans la région de Diffa"/>
    <n v="6222"/>
    <n v="5978"/>
    <n v="12200"/>
    <n v="360"/>
    <n v="180"/>
    <n v="540"/>
    <s v="Les participants directs sont les membres (hommes, femmes et enfants) des ménages pauvres et vulnérables parmi les populations hôtes, les déplacés internes, les rétournés et les réfugiés dans les 6 communes cibles de la région de Diffa. Et les participants indirects sont les conseillers municipaux, les leaders coutumiers et réligieux, les membres des mécanismes communautaires de protection (volontaires communautaires, comités de gestion, groupes de soutien aux survivants de VBG).  Les participants directs sont prévus dans l'IPIA partant du HRP 2016 et d'autres études/analyses faites et partagées par les humanitaires intervenant à Diffa au Niger. Quant aux participants indirects, ils sont calculés par site en raison d'une moyenne de 18 par site."/>
    <m/>
    <n v="3952"/>
    <n v="3648"/>
    <n v="7600"/>
    <n v="2355"/>
    <n v="2105"/>
    <n v="4460"/>
    <m/>
    <m/>
    <m/>
    <m/>
    <m/>
    <m/>
    <m/>
    <m/>
    <m/>
    <m/>
    <m/>
    <m/>
    <m/>
    <m/>
    <m/>
    <m/>
    <s v="YES"/>
    <n v="500"/>
    <n v="1"/>
    <n v="250"/>
    <m/>
    <m/>
    <m/>
    <m/>
    <m/>
    <m/>
    <m/>
    <m/>
    <m/>
    <m/>
    <m/>
    <m/>
    <s v="YES"/>
    <n v="6600"/>
    <n v="0.51"/>
    <n v="943"/>
    <m/>
    <m/>
    <m/>
    <m/>
    <m/>
    <m/>
    <m/>
    <m/>
    <s v="YES"/>
    <n v="500"/>
    <n v="0.17"/>
    <n v="3500"/>
    <m/>
    <m/>
    <m/>
    <m/>
    <m/>
    <m/>
    <m/>
    <m/>
    <m/>
    <m/>
    <m/>
    <m/>
    <m/>
    <m/>
    <m/>
    <m/>
    <m/>
    <m/>
    <m/>
    <m/>
    <m/>
    <m/>
    <m/>
    <m/>
    <m/>
    <m/>
    <m/>
    <m/>
    <m/>
    <m/>
    <m/>
    <m/>
    <m/>
    <m/>
    <m/>
    <m/>
    <m/>
    <m/>
    <m/>
    <m/>
    <m/>
    <m/>
    <m/>
    <m/>
    <m/>
    <m/>
    <m/>
    <m/>
    <m/>
    <m/>
    <m/>
    <m/>
    <m/>
    <m/>
    <m/>
    <m/>
    <m/>
    <m/>
    <m/>
    <m/>
    <m/>
    <m/>
    <m/>
    <m/>
    <m/>
    <m/>
    <m/>
    <m/>
    <m/>
    <m/>
    <m/>
    <m/>
    <m/>
    <m/>
    <m/>
    <m/>
    <m/>
    <m/>
    <m/>
    <m/>
    <s v="YES"/>
    <s v="May"/>
    <n v="2017"/>
    <m/>
    <s v="NO"/>
    <m/>
    <m/>
    <m/>
    <x v="0"/>
    <m/>
    <s v="YES"/>
    <m/>
    <s v="YES"/>
    <s v="YES"/>
    <m/>
    <m/>
    <m/>
    <m/>
    <x v="0"/>
    <m/>
    <x v="0"/>
    <m/>
    <x v="1"/>
    <x v="0"/>
    <s v="YES"/>
    <x v="0"/>
    <x v="0"/>
    <x v="0"/>
    <x v="0"/>
    <n v="4"/>
    <x v="3"/>
    <x v="0"/>
    <x v="0"/>
    <x v="0"/>
    <x v="0"/>
    <x v="3"/>
    <n v="0"/>
    <x v="1"/>
    <x v="1"/>
    <x v="2"/>
    <x v="2"/>
    <x v="3"/>
    <n v="1"/>
    <x v="2"/>
    <x v="1"/>
    <m/>
    <m/>
    <m/>
    <m/>
    <x v="1"/>
    <m/>
    <m/>
    <s v="La planification/l'organisation communautaire"/>
    <s v="L'engagement des leaders communautaires"/>
    <s v="La disponibilité et la motivation des femmes et des jeunes"/>
    <s v="La prévention des cas de protection de l'enfant et des violences basées sur le genre est bien possible au niveau communautaire par la mise en place, le renforcement de capacité, le suivi et l'encadrement des mécanismes communautaires de protection."/>
    <s v="La pérénisation des infrastructures hydrauliques, sanitaires et de protection (EAE) passe nécéssairement par leur appropriation par la communauté et les autorités municipales. Cela aussi se passe par leur implication tout au long du processus (de l'implatation à la réception en passant par le suivi des travaux)."/>
    <s v="Les projets intégrateurs (touchant plus d'un secteur: Protection-WASH-Sécurité Alimentaire-Education) répondent mieux aux besoins spécifiques des couches les plus vulnérables (les enfants, les personnes handicapées, les PBS et les femmes)"/>
    <s v="La mise en uvre du projet a été facilitée par l'appui constant de la coordination humanitaire nationale de CARE, la coordination à travers les groupes thématiques/clusters comme le Groupe de Travail Protection, le Sous Groupe de Travail Protection de l'Enfant, le Sous Groupe de Travail Violence Basée sur le Genre, le Groupe de Travail WASH...Les données sont collectés par les Supervisieurs Terrains et les Assistants Techniques, validées par l'équipe projet puis partagées avec la coordination humanitaire nationale de CARE et au besoin avec les groupes thématiques."/>
    <m/>
    <n v="7600"/>
    <n v="4460"/>
    <n v="0.58684210526315794"/>
    <n v="0.52"/>
    <n v="0.52802690582959644"/>
    <n v="3952"/>
    <n v="2355"/>
    <n v="1"/>
    <n v="7600"/>
    <n v="4460"/>
    <n v="0.58684210526315794"/>
    <s v=""/>
    <n v="0"/>
    <n v="0"/>
    <s v=""/>
    <s v=""/>
    <n v="0"/>
    <n v="0"/>
    <s v=""/>
    <n v="1"/>
    <n v="500"/>
    <n v="250"/>
    <n v="0.5"/>
    <s v=""/>
    <n v="0"/>
    <n v="0"/>
    <s v=""/>
    <s v="2. Sensitive"/>
    <s v="0. Unaware"/>
    <s v="1. Neutral"/>
    <s v="It did not develop any specific innovation"/>
    <s v="Little or no advocacy"/>
    <s v="It did not take tested solutions to scale"/>
  </r>
  <r>
    <x v="54"/>
    <x v="2"/>
    <m/>
    <s v="Renforcement de laccès aux services de base et aux moyens dexistence pour les personnes affectées par la crise à Diffa, 2017-2019"/>
    <s v="Niger"/>
    <s v="CCANNE0009"/>
    <s v="CARE Canada"/>
    <s v="Government"/>
    <s v="Government - Canada"/>
    <s v="Global Affairs Canada (GAC) "/>
    <m/>
    <m/>
    <m/>
    <m/>
    <m/>
    <m/>
    <m/>
    <m/>
    <m/>
    <m/>
    <m/>
    <m/>
    <m/>
    <m/>
    <m/>
    <m/>
    <m/>
    <m/>
    <m/>
    <m/>
    <m/>
    <m/>
    <m/>
    <m/>
    <m/>
    <m/>
    <m/>
    <m/>
    <m/>
    <m/>
    <m/>
    <m/>
    <m/>
    <m/>
    <m/>
    <m/>
    <m/>
    <m/>
    <m/>
    <m/>
    <m/>
    <m/>
    <m/>
    <m/>
    <m/>
    <d v="2017-04-04T00:00:00"/>
    <d v="2019-03-31T00:00:00"/>
    <m/>
    <s v="Humanitarian Other"/>
    <n v="2037037"/>
    <s v="Laouali Yahaya"/>
    <s v="Chef de Projet"/>
    <s v="Yahaya.Laouli@care.org"/>
    <s v="Sani Mamane Laminou"/>
    <s v="Coordinateur Humanitaire"/>
    <s v="MamaneLaminou.Sani@care.org"/>
    <s v="YES"/>
    <s v="NO"/>
    <s v="NO"/>
    <s v="l'objectif principal du projet est de reduire la vulnérabilité des personnes touchées par la crise du Nord Nigéria, particulièrement les femmes et les enfants des ménages de réfugiés et retournés ainsi que des ménages hôtes dans la région de Diffa."/>
    <s v="Sub-National"/>
    <s v="Région de Diffa ( Communes de Mainé Soroa, Chétimari, Diffa, Gueskérou et Toumour)"/>
    <s v="Les femmes, filles, garçons des ménages réfugiés, les déplacés internes, les retournés et les populations hôtes"/>
    <n v="15000"/>
    <n v="10000"/>
    <n v="25000"/>
    <m/>
    <m/>
    <m/>
    <s v="les participants directs sont les bénéficiaires directs (Chefs de ménages) des activités du projet et les participants indirects sont les personnes qui partagent les mêmes ménages avec ces bénéficiaires donc profitent des interventions du projet. Les participants indirects sont généralement calculés par la multiplication du nombre de participants directs par la taille du ménage. le standard retenu lors de l'élaboration de ce projet est de 7."/>
    <m/>
    <m/>
    <m/>
    <m/>
    <m/>
    <m/>
    <m/>
    <m/>
    <m/>
    <m/>
    <m/>
    <m/>
    <m/>
    <m/>
    <m/>
    <m/>
    <m/>
    <m/>
    <m/>
    <m/>
    <m/>
    <m/>
    <m/>
    <m/>
    <m/>
    <m/>
    <m/>
    <m/>
    <m/>
    <m/>
    <m/>
    <m/>
    <m/>
    <m/>
    <m/>
    <m/>
    <m/>
    <m/>
    <m/>
    <m/>
    <m/>
    <m/>
    <m/>
    <m/>
    <m/>
    <m/>
    <m/>
    <m/>
    <m/>
    <m/>
    <m/>
    <m/>
    <m/>
    <m/>
    <m/>
    <m/>
    <m/>
    <m/>
    <m/>
    <m/>
    <m/>
    <m/>
    <m/>
    <m/>
    <m/>
    <m/>
    <m/>
    <m/>
    <m/>
    <m/>
    <m/>
    <m/>
    <m/>
    <m/>
    <m/>
    <m/>
    <m/>
    <m/>
    <m/>
    <m/>
    <m/>
    <m/>
    <m/>
    <m/>
    <m/>
    <m/>
    <m/>
    <m/>
    <m/>
    <m/>
    <m/>
    <m/>
    <m/>
    <m/>
    <m/>
    <m/>
    <m/>
    <m/>
    <m/>
    <m/>
    <m/>
    <m/>
    <m/>
    <m/>
    <m/>
    <m/>
    <m/>
    <m/>
    <m/>
    <m/>
    <m/>
    <m/>
    <m/>
    <m/>
    <m/>
    <m/>
    <m/>
    <m/>
    <m/>
    <m/>
    <m/>
    <m/>
    <m/>
    <m/>
    <m/>
    <m/>
    <m/>
    <m/>
    <m/>
    <m/>
    <m/>
    <m/>
    <m/>
    <m/>
    <m/>
    <s v="NO"/>
    <m/>
    <m/>
    <s v="NO"/>
    <s v="YES"/>
    <s v="September"/>
    <n v="2017"/>
    <s v="Etude de base pour établir le niveu de référence pour les indicateurs du projet"/>
    <x v="0"/>
    <s v="NO"/>
    <s v="NO"/>
    <s v="NO"/>
    <s v="NO"/>
    <s v="NO"/>
    <s v="NO"/>
    <s v="NO"/>
    <s v="NO"/>
    <m/>
    <x v="0"/>
    <m/>
    <x v="0"/>
    <m/>
    <x v="1"/>
    <x v="0"/>
    <s v="YES"/>
    <x v="0"/>
    <x v="0"/>
    <x v="0"/>
    <x v="0"/>
    <n v="4"/>
    <x v="3"/>
    <x v="0"/>
    <x v="0"/>
    <x v="0"/>
    <x v="0"/>
    <x v="3"/>
    <n v="0"/>
    <x v="1"/>
    <x v="1"/>
    <x v="1"/>
    <x v="1"/>
    <x v="1"/>
    <n v="3"/>
    <x v="2"/>
    <x v="3"/>
    <n v="2"/>
    <s v="Local NGO(s)/CSO(s)"/>
    <m/>
    <m/>
    <x v="1"/>
    <m/>
    <m/>
    <m/>
    <m/>
    <m/>
    <m/>
    <m/>
    <m/>
    <m/>
    <m/>
    <n v="0"/>
    <n v="0"/>
    <s v=""/>
    <s v=""/>
    <s v=""/>
    <n v="0"/>
    <n v="0"/>
    <n v="1"/>
    <n v="0"/>
    <n v="0"/>
    <s v=""/>
    <s v=""/>
    <n v="0"/>
    <n v="0"/>
    <s v=""/>
    <s v=""/>
    <n v="0"/>
    <n v="0"/>
    <s v=""/>
    <s v=""/>
    <n v="0"/>
    <n v="0"/>
    <s v=""/>
    <s v=""/>
    <n v="0"/>
    <n v="0"/>
    <s v=""/>
    <s v="2. Sensitive"/>
    <s v="0. Unaware"/>
    <s v="2. Sensitive"/>
    <s v="It did not develop any specific innovation"/>
    <s v="Little or no advocacy"/>
    <s v="It did not take tested solutions to scale"/>
  </r>
  <r>
    <x v="54"/>
    <x v="2"/>
    <n v="3224"/>
    <s v="Solidarité avec les déplacés et les familles d`accueil vulnérable-Zoumounta"/>
    <s v="Niger"/>
    <s v="OFDANE0001/US1IT     "/>
    <s v="CARE USA"/>
    <s v="Government"/>
    <s v="Government - US"/>
    <s v="OFDA"/>
    <m/>
    <m/>
    <m/>
    <m/>
    <m/>
    <m/>
    <m/>
    <m/>
    <m/>
    <m/>
    <m/>
    <m/>
    <m/>
    <m/>
    <m/>
    <m/>
    <m/>
    <m/>
    <m/>
    <m/>
    <m/>
    <m/>
    <m/>
    <m/>
    <m/>
    <m/>
    <m/>
    <m/>
    <m/>
    <m/>
    <m/>
    <m/>
    <m/>
    <m/>
    <m/>
    <m/>
    <m/>
    <m/>
    <m/>
    <m/>
    <m/>
    <m/>
    <m/>
    <m/>
    <m/>
    <d v="2016-07-26T00:00:00"/>
    <d v="2017-07-25T00:00:00"/>
    <m/>
    <s v="Humanitarian Other"/>
    <n v="2800000"/>
    <s v="YACOUBA MAGORI"/>
    <s v="CHEF DE PROJET"/>
    <s v="Yacouba.Magori@care .org"/>
    <s v="SANI MAMANE LAMINOU"/>
    <s v="COORDONNATEUR HUMANITAIRE"/>
    <s v="mamanelaminou.sani@care.org"/>
    <s v="YES"/>
    <s v="NO"/>
    <s v="NO"/>
    <s v="Mitigate the impact of the poor 2014 agro-pastoral season and of the Nigerian security crisis on Niger, and increase the resilience of agro-pastoral and pastoral displaced populations and host communities in Diffa region of Niger"/>
    <s v="Sub-National"/>
    <s v="Le projet a intervenu dans cinq Communes de la Région de Diffa:  Nord Chétimari (Département de Diffa), Goudoumaria (Département de Goudoumaria), N'guel Belly (Département de Mainé Soroa), Foulatari (Département de Mainé Soroa) et Kablewa (Département de N'guigmi)"/>
    <s v="Le groupe d'impact du projet est composé des déplacés internes et les familles d'accueil les plus vulnérables des 5 communes de la région de Diffa"/>
    <n v="13322"/>
    <n v="2500"/>
    <n v="15822"/>
    <n v="16645"/>
    <n v="8198"/>
    <n v="24843"/>
    <s v="Les participants  directs sont les individus touchés directement par  les activités du projet/Initiative.Tandis que les participants indirects sont les membres des familles des individus bénéficaires.Ainsi sur la base de la taille moyenne national d'un ménage qui est de 7 personnes . Si 7000 personnes sont prévues d'être touchées les personnes indirectement bénéficiaires seront de 7000*6=42000"/>
    <m/>
    <n v="8895"/>
    <n v="2537"/>
    <n v="11432"/>
    <n v="53370"/>
    <n v="15222"/>
    <n v="68592"/>
    <s v="NO"/>
    <m/>
    <m/>
    <m/>
    <s v="YES"/>
    <n v="2000"/>
    <n v="0.25900000000000001"/>
    <n v="12000"/>
    <s v="NO"/>
    <m/>
    <m/>
    <m/>
    <s v="YES"/>
    <n v="6322"/>
    <n v="0.83312242961088301"/>
    <n v="37932"/>
    <m/>
    <m/>
    <m/>
    <m/>
    <s v="NO"/>
    <m/>
    <m/>
    <m/>
    <s v="NO"/>
    <m/>
    <m/>
    <m/>
    <s v="Yes"/>
    <n v="8895"/>
    <n v="0.71478358628442895"/>
    <n v="53370"/>
    <s v="NO"/>
    <m/>
    <m/>
    <m/>
    <s v="NO"/>
    <m/>
    <m/>
    <m/>
    <s v="NO"/>
    <m/>
    <m/>
    <m/>
    <s v="NO"/>
    <m/>
    <m/>
    <m/>
    <m/>
    <m/>
    <m/>
    <m/>
    <n v="0"/>
    <m/>
    <m/>
    <m/>
    <m/>
    <m/>
    <m/>
    <m/>
    <m/>
    <m/>
    <m/>
    <m/>
    <m/>
    <m/>
    <m/>
    <m/>
    <m/>
    <m/>
    <m/>
    <m/>
    <m/>
    <m/>
    <m/>
    <m/>
    <m/>
    <m/>
    <m/>
    <m/>
    <m/>
    <m/>
    <m/>
    <m/>
    <m/>
    <m/>
    <m/>
    <m/>
    <m/>
    <m/>
    <m/>
    <m/>
    <m/>
    <m/>
    <m/>
    <m/>
    <m/>
    <m/>
    <m/>
    <m/>
    <m/>
    <m/>
    <m/>
    <m/>
    <m/>
    <m/>
    <m/>
    <m/>
    <m/>
    <m/>
    <m/>
    <m/>
    <m/>
    <m/>
    <m/>
    <m/>
    <m/>
    <m/>
    <m/>
    <m/>
    <m/>
    <m/>
    <m/>
    <m/>
    <m/>
    <m/>
    <m/>
    <m/>
    <s v="NO"/>
    <m/>
    <m/>
    <s v="NO"/>
    <s v="NO"/>
    <m/>
    <m/>
    <m/>
    <x v="0"/>
    <s v="YES"/>
    <s v="YES"/>
    <s v="YES"/>
    <m/>
    <s v="YES"/>
    <m/>
    <m/>
    <m/>
    <m/>
    <x v="1"/>
    <s v="Expérimentation des  VLSA en situation d'urgence pour permettre l'autonomisation des femmes à travers un partenaire.Renforcement de capacités des  agropasteurs et pasteurs sur les thèmes innovants comme Stockage,Restockage, Gestion du paturage et  Santé animale , les dernières techniques agroferestières  en lien avec les changements climatiques."/>
    <x v="1"/>
    <s v="L'adoption par les femmes des VLSA en situation d'urgence pour permettre l'autonomisation ds femmes àtravers l'ONG-AFV (Action en Faveurs des Vulnérables ).Les formations des agropasteurs sur les thèmes Stockage,Restockage, Gestion du paturage et  Santé animale à travers un partenariat stratégique avec l'ONG-AREN ( Association pour la Redynamisation de l'Elevage au Niger)."/>
    <x v="1"/>
    <x v="0"/>
    <s v="YES"/>
    <x v="0"/>
    <x v="0"/>
    <x v="0"/>
    <x v="0"/>
    <n v="4"/>
    <x v="1"/>
    <x v="2"/>
    <x v="1"/>
    <x v="1"/>
    <x v="1"/>
    <x v="1"/>
    <n v="3"/>
    <x v="1"/>
    <x v="1"/>
    <x v="1"/>
    <x v="1"/>
    <x v="1"/>
    <n v="3"/>
    <x v="0"/>
    <x v="0"/>
    <n v="1"/>
    <s v="Local NGO(s)/CSO(s)"/>
    <s v="National government"/>
    <m/>
    <x v="0"/>
    <s v="La création des groupements/VSLA féminins ainsi que les renforcements des capacitéssur les thém"/>
    <s v="Avec le retrait des déplacés dans la bande Nord ( communes de Foulatari et Nguelbeyli ) des ajustements ont eu lieu pour respecter les proportions des 70%  des déplacés de le choix d'aller vers les hameaux rattachés à Kabléwa Village dans la commune de Kabléwa."/>
    <s v="L'engagement des communautés pour la réalisation des travaux cash for work ."/>
    <s v=" L'engouement des femmes pour les associations villageoises/VSLA"/>
    <s v="L'adhésion massive des femmes poour l'exploitation collective des sites maraichers."/>
    <s v="Les femmes peuvent pratiquer les cultures maraichères collectivement si elles sont appuyées"/>
    <s v="La restriction de la vente du carburant pour des raisons sécuritaires ont eu un impact négatif sur la réussite de la production des sites  maraichers"/>
    <s v="Le mouvement intermittent des déplacés retarde la mise en uvre des activités"/>
    <m/>
    <m/>
    <n v="11432"/>
    <n v="68592"/>
    <n v="6"/>
    <n v="0.77807907627711681"/>
    <n v="0.77807907627711681"/>
    <n v="8895"/>
    <n v="53370"/>
    <n v="1"/>
    <n v="11432"/>
    <n v="68592"/>
    <n v="6"/>
    <n v="1"/>
    <n v="8895"/>
    <n v="53370"/>
    <n v="6"/>
    <s v=""/>
    <n v="0"/>
    <n v="0"/>
    <s v=""/>
    <s v=""/>
    <n v="0"/>
    <n v="0"/>
    <s v=""/>
    <s v=""/>
    <n v="0"/>
    <n v="0"/>
    <s v=""/>
    <s v="2. Sensitive"/>
    <s v="2. Accommodating"/>
    <s v="2. Sensitive"/>
    <s v="It tested new ways for fighting poverty, but did not measure results of innovation"/>
    <s v="Little or no advocacy"/>
    <s v="It linked and worked with strategic alliances and partners to take tested and effective solutions to scale"/>
  </r>
  <r>
    <x v="54"/>
    <x v="2"/>
    <m/>
    <s v="Supporting Married iparous Adolescents"/>
    <s v="Niger"/>
    <s v="GATENE0025"/>
    <s v="CARE USA"/>
    <s v="Foundation"/>
    <s v="Bill &amp; Melinda Gates Foundation"/>
    <s v="Bill &amp; Melinda Gates Foundation"/>
    <m/>
    <m/>
    <m/>
    <m/>
    <m/>
    <m/>
    <m/>
    <m/>
    <m/>
    <m/>
    <m/>
    <m/>
    <m/>
    <m/>
    <m/>
    <m/>
    <m/>
    <m/>
    <m/>
    <m/>
    <m/>
    <m/>
    <m/>
    <m/>
    <m/>
    <m/>
    <m/>
    <m/>
    <m/>
    <m/>
    <m/>
    <m/>
    <m/>
    <m/>
    <m/>
    <m/>
    <m/>
    <m/>
    <m/>
    <m/>
    <m/>
    <m/>
    <m/>
    <m/>
    <m/>
    <d v="2016-11-01T00:00:00"/>
    <d v="2020-10-31T00:00:00"/>
    <m/>
    <s v="Development Sexual, Reproductive and Maternal Health (SRMH)"/>
    <n v="434688.1"/>
    <s v="Saratou Malam Goni"/>
    <s v="Coordonnatrice programme LEFJ"/>
    <s v="Saratou.MalamGoni@care.org"/>
    <s v="Fouréra Inoussa"/>
    <s v="Chef de projet"/>
    <s v="afourera@CareInternational.onmicrosoft.com"/>
    <s v="NO"/>
    <s v="YES"/>
    <s v="NO"/>
    <s v="Contribuer à retarder de deux ans (24 mois) la première naissance chez les adolescentes mariées agées de moins de 18 ans grâce à l'utilisation des méthodes modernes de contraception"/>
    <s v="Sub-National"/>
    <s v="Le projet intervient dans le département de Mirriah (région de Zinder) dans trois communes (Dogo, Droum et Koleram)"/>
    <s v="Les adolescentes nouvellement mariées"/>
    <m/>
    <m/>
    <m/>
    <m/>
    <m/>
    <m/>
    <s v="Pendant l'année fiscale, le projet a conduits des études formatives en vue de mieux comprendre la problématique qui permettra de concevoir le projet"/>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3"/>
    <m/>
    <m/>
    <m/>
    <m/>
    <m/>
    <m/>
    <m/>
    <m/>
    <m/>
    <x v="3"/>
    <m/>
    <x v="2"/>
    <m/>
    <x v="3"/>
    <x v="2"/>
    <m/>
    <x v="2"/>
    <x v="2"/>
    <x v="2"/>
    <x v="3"/>
    <n v="0"/>
    <x v="0"/>
    <x v="0"/>
    <x v="0"/>
    <x v="0"/>
    <x v="0"/>
    <x v="0"/>
    <n v="0"/>
    <x v="0"/>
    <x v="0"/>
    <x v="0"/>
    <x v="0"/>
    <x v="0"/>
    <n v="0"/>
    <x v="1"/>
    <x v="4"/>
    <m/>
    <m/>
    <m/>
    <m/>
    <x v="3"/>
    <m/>
    <m/>
    <m/>
    <m/>
    <m/>
    <m/>
    <m/>
    <m/>
    <m/>
    <m/>
    <n v="0"/>
    <n v="0"/>
    <s v=""/>
    <s v=""/>
    <s v=""/>
    <n v="0"/>
    <n v="0"/>
    <s v=""/>
    <n v="0"/>
    <n v="0"/>
    <s v=""/>
    <s v=""/>
    <n v="0"/>
    <n v="0"/>
    <s v=""/>
    <s v=""/>
    <n v="0"/>
    <n v="0"/>
    <s v=""/>
    <s v=""/>
    <n v="0"/>
    <n v="0"/>
    <s v=""/>
    <s v=""/>
    <n v="0"/>
    <n v="0"/>
    <s v=""/>
    <s v="No marker score"/>
    <s v="No marker score"/>
    <s v="No marker score"/>
    <n v="0"/>
    <n v="0"/>
    <n v="0"/>
  </r>
  <r>
    <x v="55"/>
    <x v="1"/>
    <m/>
    <s v="New Connections"/>
    <s v="Norway"/>
    <s v="QZA 0675 QZA 16/0026"/>
    <s v="CARE Norge"/>
    <s v="Government"/>
    <s v="Government - Norway"/>
    <s v="NORAD"/>
    <m/>
    <m/>
    <m/>
    <m/>
    <m/>
    <m/>
    <m/>
    <m/>
    <m/>
    <m/>
    <m/>
    <m/>
    <m/>
    <m/>
    <m/>
    <m/>
    <m/>
    <m/>
    <m/>
    <m/>
    <m/>
    <m/>
    <m/>
    <m/>
    <m/>
    <m/>
    <m/>
    <m/>
    <m/>
    <m/>
    <m/>
    <m/>
    <m/>
    <m/>
    <m/>
    <m/>
    <m/>
    <m/>
    <m/>
    <m/>
    <m/>
    <m/>
    <m/>
    <m/>
    <m/>
    <d v="2016-01-01T00:00:00"/>
    <d v="2016-12-31T00:00:00"/>
    <m/>
    <s v="Development Access to and Control over Economic Resources"/>
    <n v="71439.627561408299"/>
    <s v="Anders Nordstoga"/>
    <s v="Communications Advisor"/>
    <s v="anders.nordstoga@care.no"/>
    <m/>
    <m/>
    <m/>
    <s v="NO"/>
    <s v="YES"/>
    <s v="NO"/>
    <s v="Advocacy work: Short film &quot;The Real ROI&quot; to inform and engage the broader public about WEE; Conference &quot;New Connections&quot; to inform and engage the public sector in Norway about WEE; Dialogue with politicians and others on WEE."/>
    <s v="National"/>
    <s v="Short film"/>
    <s v="The project aims to inform and engage participants in Norway, to contribute to the work for WEE in the global south. As such, the end impact group are poor and marginalised women in the global south. The participants in the project are the target groups in Norway, however."/>
    <m/>
    <m/>
    <n v="180"/>
    <m/>
    <m/>
    <n v="50000"/>
    <s v="The direct participants are participants at the conference and at one key dialogue meeting. For the conference, we do not have exact breakdown by gender, and so we cannot report the figure by gender. The indirect participants are people who have viewed the short film online, unique viewers. Again, we do not know the breakdown by gender."/>
    <m/>
    <m/>
    <m/>
    <m/>
    <m/>
    <m/>
    <m/>
    <m/>
    <m/>
    <m/>
    <m/>
    <m/>
    <m/>
    <m/>
    <m/>
    <m/>
    <m/>
    <m/>
    <m/>
    <m/>
    <m/>
    <m/>
    <m/>
    <m/>
    <m/>
    <m/>
    <m/>
    <m/>
    <m/>
    <m/>
    <m/>
    <m/>
    <m/>
    <m/>
    <m/>
    <m/>
    <m/>
    <m/>
    <m/>
    <m/>
    <m/>
    <m/>
    <m/>
    <m/>
    <m/>
    <m/>
    <m/>
    <m/>
    <m/>
    <m/>
    <m/>
    <m/>
    <m/>
    <m/>
    <m/>
    <m/>
    <m/>
    <m/>
    <m/>
    <m/>
    <m/>
    <m/>
    <n v="180"/>
    <m/>
    <m/>
    <n v="50000"/>
    <s v="NO"/>
    <m/>
    <m/>
    <m/>
    <s v="NO"/>
    <m/>
    <m/>
    <m/>
    <s v="NO"/>
    <m/>
    <m/>
    <m/>
    <s v="NO"/>
    <m/>
    <m/>
    <m/>
    <s v="NO"/>
    <m/>
    <m/>
    <m/>
    <s v="NO"/>
    <m/>
    <m/>
    <m/>
    <s v="NO"/>
    <m/>
    <m/>
    <m/>
    <s v="NO"/>
    <m/>
    <m/>
    <m/>
    <s v="YES"/>
    <n v="180"/>
    <m/>
    <n v="50000"/>
    <s v="NO"/>
    <m/>
    <m/>
    <m/>
    <s v="NO"/>
    <m/>
    <m/>
    <m/>
    <s v="NO"/>
    <m/>
    <m/>
    <m/>
    <s v="NO"/>
    <m/>
    <m/>
    <m/>
    <s v="NO"/>
    <m/>
    <m/>
    <m/>
    <s v="NO"/>
    <m/>
    <m/>
    <m/>
    <s v="YES"/>
    <n v="180"/>
    <m/>
    <n v="50000"/>
    <m/>
    <m/>
    <m/>
    <m/>
    <m/>
    <s v="NO"/>
    <m/>
    <m/>
    <m/>
    <s v="NO"/>
    <m/>
    <m/>
    <m/>
    <x v="2"/>
    <s v="YES"/>
    <s v="NO"/>
    <s v="YES"/>
    <s v="YES"/>
    <s v="YES"/>
    <s v="YES"/>
    <s v="YES"/>
    <m/>
    <m/>
    <x v="1"/>
    <s v="The innovation is testing how to engage the private sector to include WEE in their approach."/>
    <x v="0"/>
    <m/>
    <x v="0"/>
    <x v="1"/>
    <s v="YES"/>
    <x v="1"/>
    <x v="0"/>
    <x v="1"/>
    <x v="4"/>
    <n v="2"/>
    <x v="2"/>
    <x v="1"/>
    <x v="2"/>
    <x v="1"/>
    <x v="2"/>
    <x v="5"/>
    <n v="2"/>
    <x v="1"/>
    <x v="2"/>
    <x v="1"/>
    <x v="1"/>
    <x v="3"/>
    <n v="2"/>
    <x v="2"/>
    <x v="3"/>
    <n v="4"/>
    <s v="Private sector"/>
    <s v="National government"/>
    <m/>
    <x v="1"/>
    <m/>
    <s v="Stronger focus on WEE."/>
    <s v="Establish key contact persons in key companies"/>
    <s v="Engaging private sector through key contact persons in key companies"/>
    <s v="Engaging the broader public through personal and optimistic stories"/>
    <s v="Establishibing key contact persons in key companies takes a lot of time, and we see the best results in the engagements with our longterm contacts"/>
    <s v="To engage the private sector and to engage politicians, it is useful to provide short and concise messages with concrete examples of best practices"/>
    <s v="The short film was made with the private sector in mind, and not the broader public, so although it was shared with the broader public it did not get as many views as previous short flims CARE Norway has made"/>
    <m/>
    <m/>
    <n v="180"/>
    <n v="50000"/>
    <n v="277.77777777777777"/>
    <n v="0"/>
    <n v="0"/>
    <n v="0"/>
    <n v="0"/>
    <s v=""/>
    <n v="0"/>
    <n v="0"/>
    <s v=""/>
    <s v=""/>
    <n v="0"/>
    <n v="0"/>
    <s v=""/>
    <s v=""/>
    <n v="0"/>
    <n v="0"/>
    <s v=""/>
    <s v=""/>
    <n v="0"/>
    <n v="0"/>
    <s v=""/>
    <n v="1"/>
    <n v="180"/>
    <n v="50000"/>
    <n v="277.77777777777777"/>
    <s v="3. Responsive"/>
    <s v="3. Responsive"/>
    <s v="1. Neutral"/>
    <s v="It tested new ways for fighting poverty, but did not measure results of innovation"/>
    <s v="Intensive advocacy"/>
    <s v="It did not take tested solutions to scale"/>
  </r>
  <r>
    <x v="56"/>
    <x v="0"/>
    <n v="3245"/>
    <s v="Enhancing resilience by strengthening government institutions to roll-out inclusive Community-based DRM in KPK Province, Pakistan"/>
    <s v="Pakistan"/>
    <m/>
    <s v="CARE Nederland"/>
    <s v="Government"/>
    <s v="ECHO - European Commission for Humanitarian Aid and Civil Protection"/>
    <s v="ECHO"/>
    <m/>
    <m/>
    <m/>
    <m/>
    <m/>
    <m/>
    <m/>
    <m/>
    <m/>
    <m/>
    <m/>
    <m/>
    <m/>
    <m/>
    <m/>
    <m/>
    <m/>
    <m/>
    <m/>
    <m/>
    <m/>
    <m/>
    <m/>
    <m/>
    <m/>
    <m/>
    <m/>
    <m/>
    <m/>
    <m/>
    <m/>
    <m/>
    <m/>
    <m/>
    <m/>
    <m/>
    <m/>
    <m/>
    <m/>
    <m/>
    <m/>
    <m/>
    <m/>
    <m/>
    <m/>
    <d v="2015-05-01T00:00:00"/>
    <m/>
    <m/>
    <s v="Humanitarian Other"/>
    <n v="529412.03501818096"/>
    <s v="Mr. Aziz-ur Rehaman"/>
    <s v="Senior Advisor DRR and Climate Change"/>
    <s v="Aziz.rahman.@care.org"/>
    <m/>
    <m/>
    <m/>
    <s v="YES"/>
    <s v="NO"/>
    <s v="NO"/>
    <s v="To strengthen the capacity of government institutions, vulnerable communities and schools for addressing disaster risk in a sustainable manner through inclusive CBDRM and SBDRM"/>
    <s v="Sub-National"/>
    <s v="District Nowshera and Peshawar city (Khyber Pakhtunkhwa), Pakistan"/>
    <s v="Government Institution like PDMA, DDMUs, government line departments at provincial, District, City and Tehsil/town level, Academia, private sector , civil Society and Communities"/>
    <n v="44493"/>
    <n v="44225"/>
    <n v="88718"/>
    <n v="95632"/>
    <n v="91883"/>
    <n v="187515"/>
    <s v="Direct beneficiaries are government official from PDMA ,education department and other government department/institutions and community members. These individuals are supposed to engage and participate in the project activities directly. Indirect Beneficiaries  include district government of Peshawer, Nawshehara and the communities of both district. these beneficiaries are calculated as &quot; the population of both district who will befit form rolling out DRM plans."/>
    <m/>
    <n v="44113"/>
    <n v="43827"/>
    <n v="87940"/>
    <n v="52522"/>
    <n v="50496"/>
    <n v="103018"/>
    <m/>
    <m/>
    <m/>
    <m/>
    <m/>
    <m/>
    <m/>
    <m/>
    <m/>
    <m/>
    <m/>
    <m/>
    <m/>
    <m/>
    <m/>
    <m/>
    <m/>
    <m/>
    <m/>
    <m/>
    <m/>
    <m/>
    <m/>
    <m/>
    <m/>
    <m/>
    <m/>
    <m/>
    <m/>
    <m/>
    <m/>
    <m/>
    <m/>
    <m/>
    <m/>
    <m/>
    <m/>
    <m/>
    <m/>
    <m/>
    <m/>
    <m/>
    <m/>
    <m/>
    <m/>
    <m/>
    <m/>
    <m/>
    <s v="Disaster Risk Management (DRM)"/>
    <s v="YES"/>
    <n v="87940"/>
    <n v="0.5"/>
    <n v="103018"/>
    <m/>
    <m/>
    <m/>
    <m/>
    <m/>
    <m/>
    <m/>
    <m/>
    <m/>
    <m/>
    <m/>
    <m/>
    <m/>
    <m/>
    <m/>
    <m/>
    <m/>
    <m/>
    <m/>
    <m/>
    <m/>
    <m/>
    <m/>
    <m/>
    <m/>
    <m/>
    <m/>
    <m/>
    <m/>
    <m/>
    <m/>
    <m/>
    <m/>
    <m/>
    <m/>
    <m/>
    <m/>
    <m/>
    <m/>
    <m/>
    <m/>
    <m/>
    <m/>
    <m/>
    <m/>
    <m/>
    <m/>
    <m/>
    <m/>
    <m/>
    <m/>
    <m/>
    <m/>
    <m/>
    <m/>
    <m/>
    <m/>
    <m/>
    <m/>
    <m/>
    <m/>
    <m/>
    <m/>
    <m/>
    <m/>
    <m/>
    <m/>
    <m/>
    <m/>
    <m/>
    <m/>
    <m/>
    <m/>
    <m/>
    <m/>
    <s v="YES"/>
    <s v="October"/>
    <n v="2017"/>
    <s v="YES"/>
    <s v="NO"/>
    <m/>
    <m/>
    <m/>
    <x v="2"/>
    <s v="YES"/>
    <s v="NO"/>
    <s v="YES"/>
    <s v="YES"/>
    <s v="NO"/>
    <s v="YES"/>
    <s v="YES"/>
    <s v="NO"/>
    <m/>
    <x v="2"/>
    <s v="Development of Inclusive DRM Planes for District Peshawer( Minorities, Students, Youth, PWD, Elders, Gender)"/>
    <x v="1"/>
    <s v="Government Leaded the Initiative, and endorsed to Scale the model, institutionalization of DRR by Government, Evidence based advocacy."/>
    <x v="0"/>
    <x v="0"/>
    <s v="YES"/>
    <x v="0"/>
    <x v="0"/>
    <x v="0"/>
    <x v="0"/>
    <n v="4"/>
    <x v="1"/>
    <x v="1"/>
    <x v="1"/>
    <x v="1"/>
    <x v="1"/>
    <x v="1"/>
    <n v="4"/>
    <x v="1"/>
    <x v="1"/>
    <x v="1"/>
    <x v="1"/>
    <x v="1"/>
    <n v="3"/>
    <x v="3"/>
    <x v="3"/>
    <n v="2"/>
    <s v="Local NGO(s)/CSO(s)"/>
    <s v="Local government(s)"/>
    <m/>
    <x v="0"/>
    <s v="Establishment of DRR forum at provincial and District level(KP), and in lead role at national level."/>
    <m/>
    <s v="Establishment of project staring committee at provincial Disaster Management Authority with 11 line departments and academia was one of the successful model for the implementation of project."/>
    <s v="With Support of ECO CBDRM model was pioneered in Pakistan connecting top to bottom and bottom up approaches for DRR intervention at community and institution level"/>
    <s v="Evidence based advocacy that is research studies conducted before advocacy"/>
    <s v="Collaborative approaches with government and Civil society proved useful during design and implementation"/>
    <s v="Proper sensitization and mobilization at community and institutional level proved helpful in meeting project objective"/>
    <m/>
    <s v="we may need to devise tools to document the impact and beneficiaries for the policy level work at provincial and district level we have  been delivering such interventions in past but were unable to document its beneficiaries"/>
    <s v="1. Basline. 2.Midterm review. 3.Project End Evaluation. 4.DRR budget analysis document. 5.urban Reselience Study for Peshawer city. 6. CBDRM model for Urban and rural context. 7. District Disaster Plan for District Peshawer"/>
    <n v="87940"/>
    <n v="103018"/>
    <n v="1.1714578121446442"/>
    <n v="0.50162610871048441"/>
    <n v="0.50983323302723793"/>
    <n v="44113"/>
    <n v="52522"/>
    <n v="1"/>
    <n v="87940"/>
    <n v="103018"/>
    <n v="1.1714578121446442"/>
    <s v=""/>
    <n v="0"/>
    <n v="0"/>
    <s v=""/>
    <s v=""/>
    <n v="0"/>
    <n v="0"/>
    <s v=""/>
    <s v=""/>
    <n v="0"/>
    <n v="0"/>
    <s v=""/>
    <s v=""/>
    <n v="0"/>
    <n v="0"/>
    <s v=""/>
    <s v="2. Sensitive"/>
    <s v="2. Accommodating"/>
    <s v="2. Sensitive"/>
    <s v="It tested new ways for fighting poverty and measured results of innovation"/>
    <s v="Intensive advocacy"/>
    <s v="It linked and worked with strategic alliances and partners to take tested and effective solutions to scale"/>
  </r>
  <r>
    <x v="56"/>
    <x v="0"/>
    <n v="3238"/>
    <s v="Every Voice counts(EVC)"/>
    <s v="Pakistan"/>
    <s v="NL173"/>
    <s v="CARE Nederland"/>
    <s v="Government"/>
    <s v="Government - Netherlands"/>
    <s v="Ministry of Foreign Affairs of the Netherlands"/>
    <m/>
    <m/>
    <m/>
    <m/>
    <m/>
    <m/>
    <m/>
    <m/>
    <m/>
    <m/>
    <m/>
    <m/>
    <m/>
    <m/>
    <m/>
    <m/>
    <m/>
    <m/>
    <m/>
    <m/>
    <m/>
    <m/>
    <m/>
    <m/>
    <m/>
    <m/>
    <m/>
    <m/>
    <m/>
    <m/>
    <m/>
    <m/>
    <m/>
    <m/>
    <m/>
    <m/>
    <m/>
    <m/>
    <m/>
    <m/>
    <m/>
    <m/>
    <m/>
    <m/>
    <m/>
    <d v="2016-01-01T00:00:00"/>
    <d v="2020-12-31T00:00:00"/>
    <m/>
    <s v="Development Other"/>
    <n v="2199930"/>
    <s v="Miss. Misbah Iftikhar"/>
    <s v="Technical Advisor-Gender  "/>
    <s v="misbah.iftikhar@care.org"/>
    <m/>
    <m/>
    <m/>
    <s v="YES"/>
    <s v="YES"/>
    <s v="YES"/>
    <s v="To Enhance womens voice in local government and enhancing accountability for the implementation of policies."/>
    <s v="Sub-National"/>
    <s v="District, Umerkot and Mirpur Khas ( Sindh)"/>
    <s v="Women and minorities"/>
    <n v="10000"/>
    <m/>
    <n v="10000"/>
    <n v="60000"/>
    <m/>
    <n v="60000"/>
    <s v="Since The project has yet not been started due to unavailibility of NOC, This why direct and indirect Benficairies ar yet not been confirmed once the project starts , CARE with its partner will workout the direct and indirect beneficiaries. Since The project has yet not been started due to unavailability of NOC, This why direct and indirect Beneficiaries have yet not been confirmed once the project starts , CARE with its partner will work out the direct and indirect beneficiaries."/>
    <m/>
    <n v="93371"/>
    <n v="93707"/>
    <n v="187078"/>
    <n v="7530"/>
    <n v="7446"/>
    <n v="14976"/>
    <m/>
    <m/>
    <m/>
    <m/>
    <m/>
    <m/>
    <m/>
    <m/>
    <m/>
    <m/>
    <m/>
    <m/>
    <s v="YES"/>
    <n v="2496"/>
    <n v="0.5"/>
    <n v="14976"/>
    <m/>
    <m/>
    <m/>
    <m/>
    <m/>
    <m/>
    <m/>
    <m/>
    <m/>
    <m/>
    <m/>
    <m/>
    <m/>
    <m/>
    <m/>
    <m/>
    <m/>
    <m/>
    <m/>
    <m/>
    <m/>
    <m/>
    <m/>
    <m/>
    <m/>
    <m/>
    <m/>
    <m/>
    <s v="YES"/>
    <n v="184582"/>
    <n v="0.5"/>
    <m/>
    <s v="Disaster Risk Management (DRM)"/>
    <s v="YES"/>
    <m/>
    <m/>
    <m/>
    <m/>
    <m/>
    <n v="0"/>
    <m/>
    <m/>
    <n v="0"/>
    <m/>
    <m/>
    <m/>
    <m/>
    <m/>
    <m/>
    <m/>
    <m/>
    <m/>
    <m/>
    <m/>
    <m/>
    <m/>
    <m/>
    <m/>
    <m/>
    <m/>
    <m/>
    <m/>
    <m/>
    <m/>
    <m/>
    <m/>
    <m/>
    <m/>
    <m/>
    <m/>
    <m/>
    <m/>
    <m/>
    <m/>
    <m/>
    <m/>
    <m/>
    <m/>
    <m/>
    <m/>
    <m/>
    <m/>
    <m/>
    <m/>
    <m/>
    <m/>
    <m/>
    <m/>
    <m/>
    <m/>
    <m/>
    <m/>
    <m/>
    <m/>
    <m/>
    <m/>
    <m/>
    <m/>
    <m/>
    <m/>
    <m/>
    <m/>
    <m/>
    <m/>
    <m/>
    <m/>
    <m/>
    <m/>
    <m/>
    <m/>
    <m/>
    <m/>
    <s v="NO"/>
    <m/>
    <m/>
    <s v="NO"/>
    <s v="YES"/>
    <s v="October"/>
    <n v="2017"/>
    <m/>
    <x v="3"/>
    <s v="NO"/>
    <s v="NO"/>
    <s v="NO"/>
    <s v="NO"/>
    <s v="NO"/>
    <s v="NO"/>
    <s v="NO"/>
    <s v="NO"/>
    <m/>
    <x v="3"/>
    <s v="Focused on quality of Sexual and reproductive helath services provided by govenerment."/>
    <x v="1"/>
    <s v="Communities, Health deparmnet at district level and provincial level, civil socieity organization"/>
    <x v="0"/>
    <x v="2"/>
    <s v="NO"/>
    <x v="0"/>
    <x v="1"/>
    <x v="0"/>
    <x v="3"/>
    <n v="2"/>
    <x v="0"/>
    <x v="2"/>
    <x v="1"/>
    <x v="2"/>
    <x v="1"/>
    <x v="0"/>
    <n v="2"/>
    <x v="0"/>
    <x v="0"/>
    <x v="0"/>
    <x v="0"/>
    <x v="0"/>
    <n v="0"/>
    <x v="1"/>
    <x v="4"/>
    <m/>
    <m/>
    <m/>
    <m/>
    <x v="3"/>
    <m/>
    <s v="These are the comments rather, the project has not started yet because of non-availibility of the NOC,"/>
    <m/>
    <m/>
    <m/>
    <m/>
    <m/>
    <m/>
    <s v="The Project was supposed to start in 2016 but due to non availibility of no objection certificate and changing context the project has not been started yet."/>
    <m/>
    <n v="187078"/>
    <n v="14976"/>
    <n v="8.0052170752306528E-2"/>
    <n v="0.49910197885374014"/>
    <n v="0.50280448717948723"/>
    <n v="93371"/>
    <n v="7530"/>
    <n v="1"/>
    <n v="187078"/>
    <n v="14976"/>
    <n v="8.0052170752306528E-2"/>
    <n v="1"/>
    <n v="2496"/>
    <n v="14976"/>
    <n v="6"/>
    <s v=""/>
    <n v="0"/>
    <n v="0"/>
    <s v=""/>
    <s v=""/>
    <n v="0"/>
    <n v="0"/>
    <s v=""/>
    <s v=""/>
    <n v="0"/>
    <n v="0"/>
    <s v=""/>
    <s v="No marker score"/>
    <s v="No marker score"/>
    <s v="No marker score"/>
    <n v="0"/>
    <n v="0"/>
    <s v="It linked and worked with strategic alliances and partners to take tested and effective solutions to scale"/>
  </r>
  <r>
    <x v="56"/>
    <x v="0"/>
    <m/>
    <s v="Humanitarian Assistance to Internally Displaced Persons in Pakistan"/>
    <s v="Pakistan"/>
    <m/>
    <s v="CARE UK"/>
    <s v="Government"/>
    <s v="ECHO - European Commission for Humanitarian Aid and Civil Protection"/>
    <s v="ECHO"/>
    <m/>
    <m/>
    <m/>
    <m/>
    <m/>
    <m/>
    <m/>
    <m/>
    <m/>
    <m/>
    <m/>
    <m/>
    <m/>
    <m/>
    <m/>
    <m/>
    <m/>
    <m/>
    <m/>
    <m/>
    <m/>
    <m/>
    <m/>
    <m/>
    <m/>
    <m/>
    <m/>
    <m/>
    <m/>
    <m/>
    <m/>
    <m/>
    <m/>
    <m/>
    <m/>
    <m/>
    <m/>
    <m/>
    <m/>
    <m/>
    <m/>
    <m/>
    <m/>
    <m/>
    <m/>
    <d v="2016-07-11T00:00:00"/>
    <d v="2017-06-10T00:00:00"/>
    <d v="2017-11-10T00:00:00"/>
    <s v="Humanitarian Other"/>
    <n v="1389750"/>
    <s v="Mr.Hamid Nawaz Khan"/>
    <s v="Senior Advisor WASH and Shelter"/>
    <s v="Hamid.Nawaz@care.org"/>
    <m/>
    <m/>
    <m/>
    <s v="YES"/>
    <s v="NO"/>
    <s v="NO"/>
    <s v="Increasing food security and livelihood through conditional cash transfers and improving provision and management of WASH services targeting most vulnerable displaced people in the districts of Bannu and Dera Ismail Khan, thus supporting protection while ensuring they have access to basic services."/>
    <s v="Sub-National"/>
    <s v="District Bannu and DIK"/>
    <s v="Most Vulnerable Temprory displaced population of North and South Waziristan living in Bannu and DIK."/>
    <n v="61200"/>
    <n v="58800"/>
    <n v="120000"/>
    <n v="5100"/>
    <n v="4900"/>
    <n v="10000"/>
    <s v="Direct beneficiaries are the Vulnerable TDPs recevided CASH and CFW grants, Clean drinking water,  TDPs communities received HH sessions and PATS participants. Indirect benificairies are the House memebers of these beneficiaries are the HH members of the beneficairies received Cash and CFW grants."/>
    <m/>
    <n v="81714"/>
    <n v="78509"/>
    <n v="160223"/>
    <n v="8995"/>
    <n v="8643"/>
    <n v="17638"/>
    <m/>
    <m/>
    <m/>
    <m/>
    <m/>
    <m/>
    <m/>
    <m/>
    <m/>
    <m/>
    <m/>
    <m/>
    <s v="YES"/>
    <n v="1273"/>
    <n v="0.51"/>
    <n v="7638"/>
    <m/>
    <m/>
    <m/>
    <m/>
    <m/>
    <m/>
    <m/>
    <m/>
    <m/>
    <m/>
    <m/>
    <m/>
    <m/>
    <m/>
    <m/>
    <m/>
    <m/>
    <m/>
    <m/>
    <m/>
    <m/>
    <m/>
    <m/>
    <m/>
    <m/>
    <m/>
    <m/>
    <m/>
    <s v="YES"/>
    <n v="157727"/>
    <n v="0.51"/>
    <n v="10000"/>
    <s v="Disaster Risk Management (DRM)"/>
    <s v="YES"/>
    <m/>
    <m/>
    <m/>
    <m/>
    <m/>
    <m/>
    <m/>
    <m/>
    <m/>
    <m/>
    <m/>
    <m/>
    <m/>
    <m/>
    <m/>
    <m/>
    <m/>
    <m/>
    <m/>
    <m/>
    <m/>
    <m/>
    <m/>
    <m/>
    <m/>
    <m/>
    <m/>
    <m/>
    <m/>
    <m/>
    <m/>
    <m/>
    <m/>
    <m/>
    <m/>
    <m/>
    <m/>
    <m/>
    <m/>
    <m/>
    <m/>
    <m/>
    <m/>
    <m/>
    <m/>
    <m/>
    <m/>
    <m/>
    <m/>
    <m/>
    <m/>
    <m/>
    <m/>
    <m/>
    <m/>
    <m/>
    <m/>
    <m/>
    <m/>
    <m/>
    <m/>
    <m/>
    <m/>
    <m/>
    <m/>
    <m/>
    <m/>
    <m/>
    <m/>
    <m/>
    <m/>
    <m/>
    <m/>
    <m/>
    <m/>
    <m/>
    <m/>
    <m/>
    <s v="YES"/>
    <s v="March"/>
    <n v="2017"/>
    <s v="YES"/>
    <s v="YES"/>
    <s v="December"/>
    <n v="2017"/>
    <s v="Endline for cash based interventions and post KAP for WASH to document of evidenace of impact will be compiled in the month of February"/>
    <x v="0"/>
    <s v="NO"/>
    <s v="NO"/>
    <s v="NO"/>
    <s v="NO"/>
    <s v="NO"/>
    <s v="NO"/>
    <s v="NO"/>
    <s v="NO"/>
    <m/>
    <x v="2"/>
    <m/>
    <x v="1"/>
    <m/>
    <x v="0"/>
    <x v="0"/>
    <s v="YES"/>
    <x v="0"/>
    <x v="0"/>
    <x v="0"/>
    <x v="0"/>
    <n v="4"/>
    <x v="1"/>
    <x v="1"/>
    <x v="1"/>
    <x v="1"/>
    <x v="1"/>
    <x v="1"/>
    <n v="4"/>
    <x v="3"/>
    <x v="1"/>
    <x v="1"/>
    <x v="1"/>
    <x v="4"/>
    <n v="3"/>
    <x v="2"/>
    <x v="3"/>
    <n v="2"/>
    <s v="Local NGO(s)/CSO(s)"/>
    <s v="Local government(s)"/>
    <s v="Local alliance(s)/Platform(s)/Network(s) of  NGOs/CSOs"/>
    <x v="2"/>
    <m/>
    <m/>
    <s v="Collabration with Loacall Ngos and Government"/>
    <s v="Communication and coordination with clusters and other direct stakholders"/>
    <s v="Community engagement to reachout the most vulnerable indivisuals and communites"/>
    <s v="Assessments and analysis to dtermine the cahnging context with displaced pouplation frequent movement from place top another"/>
    <s v="uncertainity in return situation, the target beneficiaries returning to their area of origion without completion of cash programing modalities.  "/>
    <s v="Reachging out the target beneficairies in the area of return"/>
    <s v="It was actually an integarted program of FSL and WASH but in the template there was no option given for FSL and WASH intigrated project."/>
    <s v="1. Baseline FSL. 2. Pre-KAP. 3.PDMs. 4.contingency plan"/>
    <n v="160223"/>
    <n v="17638"/>
    <n v="0.11008407032698177"/>
    <n v="0.51000168515132038"/>
    <n v="0.50997845560721167"/>
    <n v="81714"/>
    <n v="8995"/>
    <n v="1"/>
    <n v="160223"/>
    <n v="17638"/>
    <n v="0.11008407032698177"/>
    <n v="1"/>
    <n v="1273"/>
    <n v="7638"/>
    <n v="6"/>
    <s v=""/>
    <n v="0"/>
    <n v="0"/>
    <s v=""/>
    <s v=""/>
    <n v="0"/>
    <n v="0"/>
    <s v=""/>
    <s v=""/>
    <n v="0"/>
    <n v="0"/>
    <s v=""/>
    <s v="2. Sensitive"/>
    <s v="2. Accommodating"/>
    <s v="4. Transformative"/>
    <s v="It tested new ways for fighting poverty and measured results of innovation"/>
    <s v="Little or no advocacy"/>
    <s v="It linked and worked with strategic alliances and partners to take tested and effective solutions to scale"/>
  </r>
  <r>
    <x v="56"/>
    <x v="0"/>
    <n v="3239"/>
    <s v="INSPIREII- Institutional Support for Participatory, Inclusive and Responsive Education"/>
    <s v="Pakistan"/>
    <m/>
    <s v="CARE USA"/>
    <s v="Foundation"/>
    <s v="Other"/>
    <s v="Reach out to Asia"/>
    <m/>
    <m/>
    <m/>
    <m/>
    <m/>
    <m/>
    <m/>
    <m/>
    <m/>
    <m/>
    <m/>
    <m/>
    <m/>
    <m/>
    <m/>
    <m/>
    <m/>
    <m/>
    <m/>
    <m/>
    <m/>
    <m/>
    <m/>
    <m/>
    <m/>
    <m/>
    <m/>
    <m/>
    <m/>
    <m/>
    <m/>
    <m/>
    <m/>
    <m/>
    <m/>
    <m/>
    <m/>
    <m/>
    <m/>
    <m/>
    <m/>
    <m/>
    <m/>
    <m/>
    <m/>
    <d v="2015-01-01T00:00:00"/>
    <d v="2017-12-01T00:00:00"/>
    <m/>
    <s v="Development Other"/>
    <n v="2800000"/>
    <s v="Sehar Taimoor"/>
    <s v="Education Team  Lead"/>
    <s v="Sehar.Taimoor@care.org"/>
    <m/>
    <m/>
    <m/>
    <s v="YES"/>
    <s v="YES"/>
    <s v="YES"/>
    <s v="Improved access of girls to quality education and enhanced employability of young men and women"/>
    <s v="Sub-National"/>
    <s v="District Swat,KP"/>
    <s v="ALP  students (1000 girls), teachers (100 female teachers), members of Parent Teacher Committees(of 35 schools) and youth forums(15 youth forums), government officials, Hme Based Workers(100) Youth Gilrs and Boys (300), TVET Institutes Instrctors"/>
    <n v="18824"/>
    <n v="18491"/>
    <n v="37315"/>
    <n v="21902"/>
    <n v="23142"/>
    <n v="45044"/>
    <s v="Indirect Beneficairies are ALP Student's families, Families of HBW, TVET Students, ALP Tecahers and Government officails, youth Groups, PTC memebers, Famillies of community memebers who particpated in education campaigns, BCC events and other other project activities, news paper readers, FM radio listnsers, Average HH size in Swat.  "/>
    <m/>
    <n v="93371"/>
    <n v="93707"/>
    <n v="187078"/>
    <n v="7530"/>
    <n v="7446"/>
    <n v="14976"/>
    <m/>
    <m/>
    <m/>
    <m/>
    <m/>
    <m/>
    <m/>
    <m/>
    <m/>
    <m/>
    <m/>
    <m/>
    <s v="YES"/>
    <n v="2496"/>
    <n v="0.5"/>
    <n v="14976"/>
    <m/>
    <m/>
    <m/>
    <m/>
    <m/>
    <m/>
    <m/>
    <m/>
    <m/>
    <m/>
    <m/>
    <m/>
    <m/>
    <m/>
    <m/>
    <m/>
    <m/>
    <m/>
    <m/>
    <m/>
    <m/>
    <m/>
    <m/>
    <m/>
    <m/>
    <m/>
    <m/>
    <m/>
    <s v="YES"/>
    <n v="184582"/>
    <n v="0.5"/>
    <m/>
    <s v="Disaster Risk Management (DRM)"/>
    <s v="YES"/>
    <m/>
    <m/>
    <m/>
    <n v="14835"/>
    <n v="16782"/>
    <n v="31617"/>
    <n v="18684"/>
    <n v="18930"/>
    <n v="37614"/>
    <m/>
    <m/>
    <m/>
    <m/>
    <m/>
    <m/>
    <m/>
    <m/>
    <m/>
    <m/>
    <m/>
    <m/>
    <m/>
    <m/>
    <m/>
    <m/>
    <s v="NO"/>
    <m/>
    <m/>
    <m/>
    <s v="YES"/>
    <n v="16442"/>
    <n v="0.51"/>
    <n v="36375"/>
    <m/>
    <m/>
    <m/>
    <m/>
    <m/>
    <m/>
    <m/>
    <m/>
    <m/>
    <m/>
    <m/>
    <m/>
    <m/>
    <m/>
    <m/>
    <m/>
    <m/>
    <m/>
    <m/>
    <m/>
    <m/>
    <m/>
    <m/>
    <m/>
    <m/>
    <m/>
    <m/>
    <m/>
    <m/>
    <m/>
    <m/>
    <m/>
    <m/>
    <m/>
    <m/>
    <m/>
    <s v="YES"/>
    <n v="340"/>
    <n v="0.66"/>
    <n v="1238"/>
    <m/>
    <m/>
    <m/>
    <m/>
    <m/>
    <s v="NO"/>
    <m/>
    <n v="2017"/>
    <s v="NO"/>
    <s v="YES"/>
    <s v="December"/>
    <n v="2017"/>
    <m/>
    <x v="1"/>
    <s v="NO"/>
    <s v="NO"/>
    <s v="YES"/>
    <s v="NO"/>
    <s v="NO"/>
    <s v="NO"/>
    <s v="YES"/>
    <s v="NO"/>
    <m/>
    <x v="2"/>
    <s v="Introduced accelrated learning model for those Gilrs who left schools due to non-Availability of middle schools in their localities, the model would enable the girls to completed their middle school education in 16 months and these students would be further encouraged to enroll for higher education."/>
    <x v="1"/>
    <s v="The communites, PTCs and other startegic allainces are encouraged to advocate for ALP model"/>
    <x v="0"/>
    <x v="0"/>
    <s v="YES"/>
    <x v="0"/>
    <x v="0"/>
    <x v="0"/>
    <x v="0"/>
    <n v="4"/>
    <x v="1"/>
    <x v="1"/>
    <x v="1"/>
    <x v="1"/>
    <x v="1"/>
    <x v="1"/>
    <n v="4"/>
    <x v="1"/>
    <x v="1"/>
    <x v="1"/>
    <x v="1"/>
    <x v="1"/>
    <n v="3"/>
    <x v="0"/>
    <x v="2"/>
    <n v="2"/>
    <s v="Local NGO(s)/CSO(s)"/>
    <s v="Local government(s)"/>
    <m/>
    <x v="1"/>
    <m/>
    <s v="The Life Skills Trainings were delayed as children were adjusting to their courses, however now the sessions are ongoing"/>
    <s v="Shifting most of evening school to morning helped in increase in enrolment"/>
    <s v="Government engagement throughout the process especially in taking exams of students and monitoring"/>
    <s v="Engaging youth from communities for effective school management and monitoring as well as education campaigns"/>
    <s v="Maintaining enrolment of schools during the extreme weather especially summer and winter when government schools are off"/>
    <s v="Regularization of project feeder teachers in government system as the government take exam through National Testing Service from last year"/>
    <s v="Children graduating from Technical and Vocational Education centers are having difficulty in finding regular jobs but are mostly getting internships and work on piece meal"/>
    <s v="The project is a huge success with more than 90% students coming to school and passing exams regularly"/>
    <s v="1.Project Proposla. 2. LFA, 3.Base line. 4. Market assessment"/>
    <n v="187078"/>
    <n v="37614"/>
    <n v="0.20106052021082116"/>
    <n v="0.49910197885374014"/>
    <n v="0.49672994097942258"/>
    <n v="93371"/>
    <n v="18684"/>
    <n v="1"/>
    <n v="187078"/>
    <n v="14976"/>
    <n v="8.0052170752306528E-2"/>
    <n v="1"/>
    <n v="2496"/>
    <n v="14976"/>
    <n v="6"/>
    <s v=""/>
    <n v="0"/>
    <n v="0"/>
    <s v=""/>
    <s v=""/>
    <n v="0"/>
    <n v="0"/>
    <s v=""/>
    <n v="1"/>
    <n v="340"/>
    <n v="1238"/>
    <n v="3.6411764705882352"/>
    <s v="2. Sensitive"/>
    <s v="2. Accommodating"/>
    <s v="2. Sensitive"/>
    <s v="It tested new ways for fighting poverty and measured results of innovation"/>
    <s v="Moderate advocacy"/>
    <s v="It linked and worked with strategic alliances and partners to take tested and effective solutions to scale"/>
  </r>
  <r>
    <x v="56"/>
    <x v="0"/>
    <m/>
    <s v="Lendwithcare"/>
    <s v="Pakistan"/>
    <s v="UNRTGB0076"/>
    <s v="CARE UK"/>
    <s v="Individual supporter"/>
    <s v="Other"/>
    <m/>
    <s v="UNRTGB0076"/>
    <s v="CARE UK"/>
    <s v="Foundation"/>
    <s v="Other"/>
    <s v="The Jimmy Choo Foundation"/>
    <m/>
    <m/>
    <m/>
    <m/>
    <m/>
    <m/>
    <m/>
    <m/>
    <m/>
    <m/>
    <m/>
    <m/>
    <m/>
    <m/>
    <m/>
    <m/>
    <m/>
    <m/>
    <m/>
    <m/>
    <m/>
    <m/>
    <m/>
    <m/>
    <m/>
    <m/>
    <m/>
    <m/>
    <m/>
    <m/>
    <m/>
    <m/>
    <m/>
    <m/>
    <m/>
    <m/>
    <m/>
    <m/>
    <m/>
    <m/>
    <d v="2016-07-01T00:00:00"/>
    <d v="2017-06-30T00:00:00"/>
    <m/>
    <s v="Development Access to and Control over Economic Resources"/>
    <n v="762461"/>
    <s v="Tracey Horner"/>
    <s v="Head of Lendwithcare"/>
    <s v="horner@careinternational.org"/>
    <m/>
    <m/>
    <m/>
    <s v="NO"/>
    <s v="YES"/>
    <s v="NO"/>
    <s v="Provide loan capital to poor and low-income individuals who want to start or expand a small business."/>
    <s v="Sub-National"/>
    <s v="Lahore"/>
    <s v="Women and men with existing income-generating activities who are excluded from the formal financial sector. The main impact groups are individuals engaged in activities such as sewing and tailoring services, petty trade, construction and production."/>
    <n v="973"/>
    <n v="1399"/>
    <n v="2372"/>
    <n v="4378"/>
    <n v="4557"/>
    <n v="8935"/>
    <s v="Direct participants are those who received a loan to invest in their business from Lendwithcare lenders in FY17. Indirect participants have been calculated by adding up all of the dependents of the entrepreneurs who received a loan in FY17 and the people who have been employed in their businesses. We are not able to disaggregate the data for indirect participants by female and male, so I have used the ratio of 49:51 that is in the CIA World Factbook for Pakistan https://www.cia.gov/library/publications/the-world-factbook/geos/pk.html This is an on-going project so I have given the numbers of participants just in this FY as there is no end date to the project."/>
    <m/>
    <m/>
    <m/>
    <m/>
    <m/>
    <m/>
    <m/>
    <m/>
    <m/>
    <m/>
    <m/>
    <m/>
    <m/>
    <m/>
    <m/>
    <m/>
    <m/>
    <m/>
    <m/>
    <m/>
    <m/>
    <m/>
    <m/>
    <m/>
    <m/>
    <m/>
    <m/>
    <m/>
    <m/>
    <m/>
    <m/>
    <m/>
    <m/>
    <m/>
    <m/>
    <m/>
    <m/>
    <m/>
    <m/>
    <m/>
    <m/>
    <m/>
    <m/>
    <m/>
    <m/>
    <m/>
    <m/>
    <m/>
    <m/>
    <m/>
    <m/>
    <m/>
    <m/>
    <m/>
    <m/>
    <m/>
    <m/>
    <m/>
    <m/>
    <m/>
    <n v="973"/>
    <n v="1399"/>
    <n v="2372"/>
    <n v="4378"/>
    <n v="4557"/>
    <n v="8935"/>
    <m/>
    <m/>
    <m/>
    <m/>
    <m/>
    <m/>
    <m/>
    <m/>
    <m/>
    <m/>
    <m/>
    <m/>
    <m/>
    <m/>
    <m/>
    <m/>
    <m/>
    <m/>
    <m/>
    <m/>
    <m/>
    <m/>
    <m/>
    <m/>
    <m/>
    <m/>
    <m/>
    <m/>
    <m/>
    <m/>
    <m/>
    <m/>
    <m/>
    <m/>
    <m/>
    <m/>
    <m/>
    <m/>
    <m/>
    <m/>
    <m/>
    <m/>
    <m/>
    <m/>
    <m/>
    <m/>
    <m/>
    <m/>
    <m/>
    <m/>
    <m/>
    <m/>
    <m/>
    <m/>
    <m/>
    <m/>
    <m/>
    <m/>
    <m/>
    <m/>
    <s v="YES"/>
    <n v="2372"/>
    <n v="0.41"/>
    <n v="8935"/>
    <m/>
    <m/>
    <m/>
    <m/>
    <m/>
    <s v="YES"/>
    <s v="February"/>
    <n v="2017"/>
    <s v="YES"/>
    <s v="NO"/>
    <m/>
    <m/>
    <m/>
    <x v="0"/>
    <m/>
    <m/>
    <m/>
    <m/>
    <m/>
    <m/>
    <m/>
    <m/>
    <m/>
    <x v="0"/>
    <m/>
    <x v="0"/>
    <m/>
    <x v="0"/>
    <x v="3"/>
    <m/>
    <x v="2"/>
    <x v="2"/>
    <x v="2"/>
    <x v="5"/>
    <n v="0"/>
    <x v="3"/>
    <x v="0"/>
    <x v="0"/>
    <x v="0"/>
    <x v="0"/>
    <x v="3"/>
    <n v="0"/>
    <x v="2"/>
    <x v="0"/>
    <x v="0"/>
    <x v="0"/>
    <x v="2"/>
    <n v="0"/>
    <x v="2"/>
    <x v="2"/>
    <n v="1"/>
    <s v="Private sector"/>
    <m/>
    <m/>
    <x v="1"/>
    <m/>
    <s v="There were no important changes or adjustments made."/>
    <s v="Microfinance was used as the strategy to meet our Financial Inclusion and WEE objectives."/>
    <s v="Peer-to-peer lending was used as the strategy to raise loan capital for the project's participants."/>
    <s v="Progress out of Poverty Index (PPI) and a supplementary questionnaire developed in collaboration with the University of Portsmouth were used to determine any changes in the poverty levels of beneficiaries' households and the development of their businesses."/>
    <s v="We had issues in the second phase of the impact assessment trying to find the control group from the baseline study"/>
    <s v="The amount of capital we generate for our partner in Pakistan is around 1.5 to 2% of their outstanding loans portfolio. Arguably, they no longer require our support."/>
    <m/>
    <s v="This is an on-going project so we do not have a budget for the lifetime of the project. The number we have reported is how much loan capital was raised through the Lendwithcare platform for Pakistan in FY17. Lendwithcare does not use gender, resilience or governance scorecards as part of its programming so we have had to answer no to all the questions related to these. However, an outcome of 'harmful' (particularly with regards to women's empowerment and gender equality) seems in accurate since this initiatve focuses heavily on Women's Economic Empowerment."/>
    <m/>
    <n v="2372"/>
    <n v="8935"/>
    <n v="3.7668634064080946"/>
    <n v="0.41020236087689715"/>
    <n v="0.48998321208729717"/>
    <n v="973"/>
    <n v="4378"/>
    <s v=""/>
    <n v="0"/>
    <n v="0"/>
    <s v=""/>
    <s v=""/>
    <n v="0"/>
    <n v="0"/>
    <s v=""/>
    <s v=""/>
    <n v="0"/>
    <n v="0"/>
    <s v=""/>
    <s v=""/>
    <n v="0"/>
    <n v="0"/>
    <s v=""/>
    <n v="1"/>
    <n v="2372"/>
    <n v="8935"/>
    <n v="3.7668634064080946"/>
    <s v="0. Harmful"/>
    <s v="0. Unaware"/>
    <s v="0. Harmful"/>
    <s v="It did not develop any specific innovation"/>
    <s v="Little or no advocacy"/>
    <s v="It did not take tested solutions to scale"/>
  </r>
  <r>
    <x v="56"/>
    <x v="0"/>
    <n v="3248"/>
    <s v="SAF-PAC III Supporting Access to Family planning and Post Abortion Care (SAF-PAC)"/>
    <s v="Pakistan"/>
    <s v="AN01PK0008"/>
    <s v="CARE USA"/>
    <s v="Foundation"/>
    <s v="Other"/>
    <s v="Susan Thomson Bufett Foundation"/>
    <m/>
    <m/>
    <m/>
    <m/>
    <m/>
    <m/>
    <m/>
    <m/>
    <m/>
    <m/>
    <m/>
    <m/>
    <m/>
    <m/>
    <m/>
    <m/>
    <m/>
    <m/>
    <m/>
    <m/>
    <m/>
    <m/>
    <m/>
    <m/>
    <m/>
    <m/>
    <m/>
    <m/>
    <m/>
    <m/>
    <m/>
    <m/>
    <m/>
    <m/>
    <m/>
    <m/>
    <m/>
    <m/>
    <m/>
    <m/>
    <m/>
    <m/>
    <m/>
    <m/>
    <m/>
    <d v="2016-01-01T00:00:00"/>
    <d v="2018-12-31T00:00:00"/>
    <m/>
    <s v="Development Sexual, Reproductive and Maternal Health (SRMH)"/>
    <n v="3543660"/>
    <s v="Dr. Sayed Ali Athar Shaukat"/>
    <s v="Project Manager"/>
    <s v="Ali.Athar@care.org"/>
    <m/>
    <m/>
    <m/>
    <s v="YES"/>
    <s v="YES"/>
    <s v="YES"/>
    <s v="Improve the capacity of Health Care Providers of the Area in the Provision of FP and PAC services"/>
    <s v="Sub-National"/>
    <s v="Multan and Muzaffargarh Districts of  Punjab Province"/>
    <s v="Women of Reproductive Age"/>
    <n v="58000"/>
    <n v="38880"/>
    <n v="96880"/>
    <n v="406000"/>
    <n v="272160"/>
    <n v="678160"/>
    <s v="Direct beneficiaries are the women who received Family planning and post abortion services from the public health facilities in these two district. Indirect beneficairies are calculated by multiplying the direct beneficiaires by average HH size of the two district that is (7.9)"/>
    <m/>
    <n v="93371"/>
    <n v="93707"/>
    <n v="187078"/>
    <n v="7530"/>
    <n v="7446"/>
    <n v="14976"/>
    <m/>
    <m/>
    <m/>
    <m/>
    <m/>
    <m/>
    <m/>
    <m/>
    <m/>
    <m/>
    <m/>
    <m/>
    <s v="YES"/>
    <n v="2496"/>
    <n v="0.5"/>
    <n v="14976"/>
    <m/>
    <m/>
    <m/>
    <m/>
    <m/>
    <m/>
    <m/>
    <m/>
    <m/>
    <m/>
    <m/>
    <m/>
    <m/>
    <m/>
    <m/>
    <m/>
    <m/>
    <m/>
    <m/>
    <m/>
    <m/>
    <m/>
    <m/>
    <m/>
    <m/>
    <m/>
    <m/>
    <m/>
    <s v="YES"/>
    <n v="184582"/>
    <n v="0.5"/>
    <m/>
    <s v="Disaster Risk Management (DRM)"/>
    <s v="YES"/>
    <m/>
    <m/>
    <m/>
    <m/>
    <m/>
    <n v="0"/>
    <m/>
    <m/>
    <n v="0"/>
    <m/>
    <m/>
    <m/>
    <m/>
    <m/>
    <m/>
    <m/>
    <m/>
    <m/>
    <m/>
    <m/>
    <m/>
    <m/>
    <m/>
    <m/>
    <m/>
    <m/>
    <m/>
    <m/>
    <m/>
    <m/>
    <m/>
    <m/>
    <m/>
    <m/>
    <m/>
    <m/>
    <m/>
    <m/>
    <m/>
    <m/>
    <m/>
    <m/>
    <m/>
    <m/>
    <m/>
    <m/>
    <m/>
    <m/>
    <m/>
    <m/>
    <m/>
    <m/>
    <m/>
    <m/>
    <m/>
    <m/>
    <m/>
    <m/>
    <m/>
    <m/>
    <m/>
    <m/>
    <m/>
    <m/>
    <m/>
    <m/>
    <m/>
    <m/>
    <m/>
    <m/>
    <m/>
    <m/>
    <m/>
    <m/>
    <m/>
    <m/>
    <m/>
    <m/>
    <s v="NO"/>
    <m/>
    <m/>
    <s v="NO"/>
    <s v="NO"/>
    <m/>
    <m/>
    <m/>
    <x v="3"/>
    <s v="NO"/>
    <s v="NO"/>
    <s v="NO"/>
    <s v="NO"/>
    <s v="NO"/>
    <s v="NO"/>
    <s v="NO"/>
    <s v="NO"/>
    <m/>
    <x v="3"/>
    <s v="Focused on quality of Sexual and reproductive helath services provided by govenerment."/>
    <x v="2"/>
    <s v="Communities, Health deparmnet at district level and provincial level, civil socieity organization"/>
    <x v="3"/>
    <x v="2"/>
    <s v="NO"/>
    <x v="1"/>
    <x v="1"/>
    <x v="1"/>
    <x v="3"/>
    <n v="0"/>
    <x v="0"/>
    <x v="2"/>
    <x v="2"/>
    <x v="2"/>
    <x v="2"/>
    <x v="0"/>
    <n v="0"/>
    <x v="0"/>
    <x v="2"/>
    <x v="2"/>
    <x v="2"/>
    <x v="0"/>
    <n v="0"/>
    <x v="1"/>
    <x v="4"/>
    <m/>
    <m/>
    <m/>
    <m/>
    <x v="3"/>
    <m/>
    <s v="The project was palnned to implement with partner but due top NOC issues of Parner,CARE decided to go for self implemention, NOC for the implemention is not received till this end  "/>
    <m/>
    <m/>
    <m/>
    <m/>
    <m/>
    <m/>
    <s v="The project funding secured in 206 but due to Non-Avialability of NOC the project implemention has yet not been started"/>
    <m/>
    <n v="187078"/>
    <n v="14976"/>
    <n v="8.0052170752306528E-2"/>
    <n v="0.49910197885374014"/>
    <n v="0.50280448717948723"/>
    <n v="93371"/>
    <n v="7530"/>
    <n v="1"/>
    <n v="187078"/>
    <n v="14976"/>
    <n v="8.0052170752306528E-2"/>
    <n v="1"/>
    <n v="2496"/>
    <n v="14976"/>
    <n v="6"/>
    <s v=""/>
    <n v="0"/>
    <n v="0"/>
    <s v=""/>
    <s v=""/>
    <n v="0"/>
    <n v="0"/>
    <s v=""/>
    <s v=""/>
    <n v="0"/>
    <n v="0"/>
    <s v=""/>
    <s v="No marker score"/>
    <s v="No marker score"/>
    <s v="No marker score"/>
    <n v="0"/>
    <n v="0"/>
    <n v="0"/>
  </r>
  <r>
    <x v="57"/>
    <x v="4"/>
    <m/>
    <s v="Amway Nutrilite Little Bits"/>
    <s v="Panama"/>
    <m/>
    <s v="CARE USA"/>
    <s v="Corporation"/>
    <s v="Other"/>
    <s v="Alticor, Inc."/>
    <m/>
    <m/>
    <m/>
    <m/>
    <m/>
    <m/>
    <m/>
    <m/>
    <m/>
    <m/>
    <m/>
    <m/>
    <m/>
    <m/>
    <m/>
    <m/>
    <m/>
    <m/>
    <m/>
    <m/>
    <m/>
    <m/>
    <m/>
    <m/>
    <m/>
    <m/>
    <m/>
    <m/>
    <m/>
    <m/>
    <m/>
    <m/>
    <m/>
    <m/>
    <m/>
    <m/>
    <m/>
    <m/>
    <m/>
    <m/>
    <m/>
    <m/>
    <m/>
    <m/>
    <m/>
    <d v="2014-08-08T00:00:00"/>
    <d v="2016-12-31T00:00:00"/>
    <d v="2017-12-31T00:00:00"/>
    <s v="Development Food &amp; Nutrition Security and Resilience to Climate Change"/>
    <n v="1127356"/>
    <s v="Rebecca Feinberg"/>
    <s v="Director of Development"/>
    <s v="rebecca.feinberg@care.org"/>
    <s v="Aliya Firozvi"/>
    <s v="Project Manager, Nutrilite Little Bits"/>
    <s v="afirozvi@care.org"/>
    <s v="NO"/>
    <s v="YES"/>
    <s v="NO"/>
    <s v="CARE and Amway have embarked on a strategic partnership based on the shared goals of helping people live better lives and finding sustainable solutions to hunger and malnutrition. The partnership strives to expand the use of Amways Nutrilite Little Bits (NLB) micronutrient product in robust infant and young child feeding (IYCF) programs."/>
    <s v="Multiple countries"/>
    <s v="Regions within several countries."/>
    <s v="The main impact group is children 0-5 years old, and young school-aged children above 5 years old."/>
    <m/>
    <m/>
    <n v="195"/>
    <m/>
    <m/>
    <m/>
    <m/>
    <m/>
    <m/>
    <m/>
    <m/>
    <m/>
    <m/>
    <m/>
    <m/>
    <m/>
    <m/>
    <m/>
    <m/>
    <m/>
    <m/>
    <m/>
    <m/>
    <m/>
    <m/>
    <m/>
    <m/>
    <m/>
    <m/>
    <m/>
    <m/>
    <m/>
    <m/>
    <m/>
    <m/>
    <m/>
    <m/>
    <m/>
    <m/>
    <m/>
    <m/>
    <m/>
    <m/>
    <m/>
    <m/>
    <m/>
    <m/>
    <m/>
    <m/>
    <m/>
    <m/>
    <m/>
    <m/>
    <m/>
    <m/>
    <m/>
    <m/>
    <m/>
    <m/>
    <m/>
    <m/>
    <m/>
    <m/>
    <m/>
    <m/>
    <m/>
    <m/>
    <m/>
    <m/>
    <m/>
    <m/>
    <m/>
    <m/>
    <s v="NO"/>
    <m/>
    <m/>
    <m/>
    <s v="NO"/>
    <m/>
    <m/>
    <m/>
    <s v="NO"/>
    <m/>
    <m/>
    <m/>
    <s v="NO"/>
    <m/>
    <m/>
    <m/>
    <s v="NO"/>
    <m/>
    <m/>
    <m/>
    <s v="NO"/>
    <m/>
    <m/>
    <m/>
    <s v="YES"/>
    <n v="195"/>
    <m/>
    <m/>
    <s v="NO"/>
    <m/>
    <m/>
    <m/>
    <s v="NO"/>
    <m/>
    <m/>
    <m/>
    <s v="NO"/>
    <m/>
    <m/>
    <m/>
    <s v="NO"/>
    <m/>
    <m/>
    <m/>
    <s v="NO"/>
    <m/>
    <m/>
    <m/>
    <s v="NO"/>
    <m/>
    <m/>
    <m/>
    <s v="NO"/>
    <m/>
    <m/>
    <m/>
    <s v="NO"/>
    <m/>
    <m/>
    <m/>
    <s v="NO"/>
    <m/>
    <m/>
    <m/>
    <m/>
    <s v="NO"/>
    <m/>
    <m/>
    <m/>
    <m/>
    <m/>
    <m/>
    <m/>
    <m/>
    <m/>
    <m/>
    <m/>
    <x v="3"/>
    <m/>
    <m/>
    <m/>
    <m/>
    <m/>
    <m/>
    <m/>
    <m/>
    <m/>
    <x v="3"/>
    <m/>
    <x v="2"/>
    <m/>
    <x v="3"/>
    <x v="2"/>
    <m/>
    <x v="2"/>
    <x v="2"/>
    <x v="2"/>
    <x v="3"/>
    <n v="0"/>
    <x v="0"/>
    <x v="0"/>
    <x v="0"/>
    <x v="0"/>
    <x v="0"/>
    <x v="0"/>
    <n v="0"/>
    <x v="0"/>
    <x v="0"/>
    <x v="0"/>
    <x v="0"/>
    <x v="0"/>
    <n v="0"/>
    <x v="1"/>
    <x v="4"/>
    <m/>
    <m/>
    <m/>
    <m/>
    <x v="3"/>
    <m/>
    <m/>
    <m/>
    <m/>
    <m/>
    <m/>
    <m/>
    <m/>
    <m/>
    <m/>
    <n v="0"/>
    <n v="0"/>
    <s v=""/>
    <s v=""/>
    <s v=""/>
    <n v="0"/>
    <n v="0"/>
    <s v=""/>
    <n v="0"/>
    <n v="0"/>
    <s v=""/>
    <n v="1"/>
    <n v="195"/>
    <n v="0"/>
    <n v="0"/>
    <s v=""/>
    <n v="0"/>
    <n v="0"/>
    <s v=""/>
    <s v=""/>
    <n v="0"/>
    <n v="0"/>
    <s v=""/>
    <s v=""/>
    <n v="0"/>
    <n v="0"/>
    <s v=""/>
    <s v="No marker score"/>
    <s v="No marker score"/>
    <s v="No marker score"/>
    <n v="0"/>
    <n v="0"/>
    <n v="0"/>
  </r>
  <r>
    <x v="58"/>
    <x v="0"/>
    <m/>
    <s v="Better Governance for Education Project"/>
    <s v="Papua New Guinea"/>
    <m/>
    <s v="CARE Australia"/>
    <s v="Government"/>
    <s v="Government - Australia"/>
    <s v="DFAT-Australia"/>
    <m/>
    <s v="CARE Australia"/>
    <s v="Individual supporter"/>
    <s v="Other"/>
    <s v="John and Valerie Braithwaite"/>
    <m/>
    <m/>
    <m/>
    <m/>
    <m/>
    <m/>
    <m/>
    <m/>
    <m/>
    <m/>
    <m/>
    <m/>
    <m/>
    <m/>
    <m/>
    <m/>
    <m/>
    <m/>
    <m/>
    <m/>
    <m/>
    <m/>
    <m/>
    <m/>
    <m/>
    <m/>
    <m/>
    <m/>
    <m/>
    <m/>
    <m/>
    <m/>
    <m/>
    <m/>
    <m/>
    <m/>
    <m/>
    <m/>
    <m/>
    <m/>
    <d v="2016-07-01T00:00:00"/>
    <d v="2019-06-30T00:00:00"/>
    <d v="2020-07-30T00:00:00"/>
    <s v="Development Other"/>
    <n v="1074490"/>
    <s v="Justine McMahon"/>
    <s v="Country Director, CARE in Papua New Guinea"/>
    <s v="justine.mcmahon@careint.org"/>
    <s v="Anna Bryan"/>
    <s v="PNG Mainalnd Program Director"/>
    <s v="anna.bryan@careint.org"/>
    <s v="NO"/>
    <s v="YES"/>
    <s v="NO"/>
    <s v="The Better Governance for Education project aims to improve education outcomes by supporting good governance at sub-national government offices and agencies, schools, and local communities. This is a pilot project that aims to develop a model that demonstrates that better governance (and therefore better decision-making, resource allocation, project implementation oversight, monitoring and evaluation) results in improved service delivery.   "/>
    <s v="Sub-National"/>
    <s v="The project aims to impact the Obura Wonenara District in the Eastern Highlands province, Papua New Guinea.  "/>
    <s v="The main impact group of the project are elementary and primary school-aged girls."/>
    <n v="8460"/>
    <n v="9140"/>
    <n v="17600"/>
    <n v="37798"/>
    <n v="40306"/>
    <n v="78104"/>
    <s v="Direct project beneficiaries are formally trained teachers, volunteer teachers/teacher aides, community members, distrct government staff, and students in elementary and primary schools whose teachers the project trains and provides teaching and learning aids to. Direct beneficiaries are calculated from actual persons attending training delivered by or supported by CARE as well as class and school enrollment data for the schools directly assisted by CARE through the provision of learning materials or support to open learning forums. Community members participating in open-learning events are are counted as direct beneficiaries to awareness messaging delivered through these events.........................Indirect beneficaries on the other hand are calculated as populations of entire villages, communties, wards, local level government areas and even the district for good governance interventions. Statistics for indirect beneficiary calculations largely come from census figures provided by the National Statistics Office, last updated in 2011.  "/>
    <m/>
    <m/>
    <m/>
    <m/>
    <m/>
    <m/>
    <m/>
    <m/>
    <m/>
    <m/>
    <m/>
    <m/>
    <m/>
    <m/>
    <m/>
    <m/>
    <m/>
    <m/>
    <m/>
    <m/>
    <m/>
    <m/>
    <m/>
    <m/>
    <m/>
    <m/>
    <m/>
    <m/>
    <m/>
    <m/>
    <m/>
    <m/>
    <m/>
    <m/>
    <m/>
    <m/>
    <m/>
    <m/>
    <m/>
    <m/>
    <m/>
    <m/>
    <m/>
    <m/>
    <m/>
    <m/>
    <m/>
    <m/>
    <m/>
    <m/>
    <m/>
    <m/>
    <m/>
    <m/>
    <m/>
    <m/>
    <m/>
    <m/>
    <m/>
    <m/>
    <n v="2038"/>
    <n v="2398"/>
    <n v="4436"/>
    <n v="74477"/>
    <n v="80214"/>
    <n v="154691"/>
    <m/>
    <m/>
    <m/>
    <m/>
    <m/>
    <m/>
    <m/>
    <m/>
    <m/>
    <m/>
    <m/>
    <m/>
    <m/>
    <m/>
    <m/>
    <m/>
    <m/>
    <m/>
    <m/>
    <m/>
    <s v="YES"/>
    <n v="4436"/>
    <n v="0.46"/>
    <n v="154691"/>
    <m/>
    <m/>
    <m/>
    <m/>
    <m/>
    <m/>
    <m/>
    <m/>
    <m/>
    <m/>
    <m/>
    <m/>
    <m/>
    <m/>
    <m/>
    <m/>
    <m/>
    <m/>
    <m/>
    <m/>
    <m/>
    <m/>
    <m/>
    <m/>
    <m/>
    <m/>
    <m/>
    <m/>
    <m/>
    <m/>
    <m/>
    <m/>
    <m/>
    <m/>
    <m/>
    <m/>
    <m/>
    <m/>
    <m/>
    <m/>
    <m/>
    <m/>
    <m/>
    <m/>
    <m/>
    <s v="NO"/>
    <m/>
    <m/>
    <m/>
    <s v="NO"/>
    <m/>
    <m/>
    <s v="The project will conduct some baseline surveys in this FY and do a repeat of this survey in FY 2019 to look at improvements to elemetary students' performance in the benchmarking process used with the standards based curriculum."/>
    <x v="1"/>
    <m/>
    <m/>
    <m/>
    <s v="YES"/>
    <s v="YES"/>
    <m/>
    <s v="YES"/>
    <m/>
    <m/>
    <x v="1"/>
    <s v="Bringing national government department representatives to the district; making training environments friendlier to nursing women."/>
    <x v="0"/>
    <m/>
    <x v="1"/>
    <x v="1"/>
    <s v="YES"/>
    <x v="0"/>
    <x v="1"/>
    <x v="0"/>
    <x v="4"/>
    <n v="3"/>
    <x v="1"/>
    <x v="1"/>
    <x v="1"/>
    <x v="2"/>
    <x v="1"/>
    <x v="1"/>
    <n v="3"/>
    <x v="1"/>
    <x v="1"/>
    <x v="2"/>
    <x v="1"/>
    <x v="3"/>
    <n v="2"/>
    <x v="2"/>
    <x v="3"/>
    <n v="3"/>
    <s v="Local government(s)"/>
    <m/>
    <m/>
    <x v="1"/>
    <m/>
    <s v="This year was the first year of implementation for the project. Many changes were done to the project from implementation experiences and reflections. What was in the concept note changed a lot in the design document."/>
    <s v="Working within established government systems and processes."/>
    <s v="Involving government in the delivery and monitoring of project activities."/>
    <s v="Being more accomodating of directions pursued by the government and politicians."/>
    <s v="A project inception workshop was important for the project team but unfortunately not convened due to incmomplete work on the full design.  "/>
    <s v="Government counterparts appreciate more financial transparency from development partners, especially with regards to sharing of activity budgets."/>
    <s v="Important to align data collection areas with sector indicators of the government and where not in alignment, provide necessary guidance/tools to government officers to complete and furnish to CARE."/>
    <s v="This is a three year governance for education service delivery project. The first year of implementation was was focussed on finishing off incomplete education work from a former CARE PNG project (Integrated Community Development Project) which abruptly ended on 30th June, 2016. The first year was also spent on working on the full project design. A little bit of work was done on directions the full design would but Years 2 and three will see the new design implemented.   "/>
    <m/>
    <n v="4436"/>
    <n v="154691"/>
    <n v="34.871731289449954"/>
    <n v="0.45942290351668169"/>
    <n v="0.48145658118442575"/>
    <n v="2038"/>
    <n v="74477"/>
    <s v=""/>
    <n v="0"/>
    <n v="0"/>
    <s v=""/>
    <s v=""/>
    <n v="0"/>
    <n v="0"/>
    <s v=""/>
    <s v=""/>
    <n v="0"/>
    <n v="0"/>
    <s v=""/>
    <s v=""/>
    <n v="0"/>
    <n v="0"/>
    <s v=""/>
    <s v=""/>
    <n v="0"/>
    <n v="0"/>
    <s v=""/>
    <s v="3. Responsive"/>
    <s v="2. Accommodating"/>
    <s v="1. Neutral"/>
    <s v="It tested new ways for fighting poverty, but did not measure results of innovation"/>
    <s v="Moderate advocacy"/>
    <s v="It did not take tested solutions to scale"/>
  </r>
  <r>
    <x v="58"/>
    <x v="0"/>
    <n v="3291"/>
    <s v="Bougainville Cocoa Farming Families Support (BECOMES) Project"/>
    <s v="Papua New Guinea"/>
    <m/>
    <s v="CARE Australia"/>
    <s v="Government"/>
    <m/>
    <s v="Government of Australia and Government of New Zealand"/>
    <m/>
    <m/>
    <m/>
    <m/>
    <m/>
    <m/>
    <m/>
    <m/>
    <m/>
    <m/>
    <m/>
    <m/>
    <m/>
    <m/>
    <m/>
    <m/>
    <m/>
    <m/>
    <m/>
    <m/>
    <m/>
    <m/>
    <m/>
    <m/>
    <m/>
    <m/>
    <m/>
    <m/>
    <m/>
    <m/>
    <m/>
    <m/>
    <m/>
    <m/>
    <m/>
    <m/>
    <m/>
    <m/>
    <m/>
    <m/>
    <m/>
    <m/>
    <m/>
    <m/>
    <m/>
    <d v="2016-03-20T00:00:00"/>
    <d v="2020-01-31T00:00:00"/>
    <m/>
    <s v="Development Access to and Control over Economic Resources"/>
    <n v="1138280"/>
    <s v="REKHA SHENOY"/>
    <s v="PROJECT MANAGER"/>
    <s v="Rekha. Shenoy@careint.org"/>
    <m/>
    <m/>
    <m/>
    <s v="NO"/>
    <s v="YES"/>
    <s v="NO"/>
    <s v="To improve the economic and social well being of younger and older women in cocoa farming families in the Autonomus Region of Bougainville"/>
    <s v="Sub-National"/>
    <s v="Autonomous Region of Bougainville, Papua New Guinea"/>
    <s v="Cocoa farming families with specail focus on women and youth"/>
    <n v="6000"/>
    <n v="6000"/>
    <n v="12000"/>
    <n v="6000"/>
    <n v="6000"/>
    <n v="12000"/>
    <s v="Direct participants are our project beneficaries such as cocoa farming families and the members of the co-operatives and community groups.Indirect participants are non project beneficaries are district level government"/>
    <m/>
    <m/>
    <m/>
    <m/>
    <m/>
    <m/>
    <m/>
    <m/>
    <m/>
    <m/>
    <m/>
    <m/>
    <m/>
    <m/>
    <m/>
    <m/>
    <m/>
    <m/>
    <m/>
    <m/>
    <m/>
    <m/>
    <m/>
    <m/>
    <m/>
    <m/>
    <m/>
    <m/>
    <m/>
    <m/>
    <m/>
    <m/>
    <m/>
    <m/>
    <m/>
    <m/>
    <m/>
    <m/>
    <m/>
    <m/>
    <m/>
    <m/>
    <m/>
    <m/>
    <m/>
    <m/>
    <m/>
    <m/>
    <m/>
    <m/>
    <m/>
    <m/>
    <m/>
    <m/>
    <m/>
    <m/>
    <m/>
    <m/>
    <m/>
    <m/>
    <n v="1387"/>
    <n v="1471"/>
    <n v="2858"/>
    <n v="2000"/>
    <n v="2000"/>
    <n v="4000"/>
    <s v="YES"/>
    <n v="2858"/>
    <n v="0.94279999999999997"/>
    <n v="2000"/>
    <m/>
    <m/>
    <m/>
    <m/>
    <s v="NO"/>
    <m/>
    <m/>
    <m/>
    <m/>
    <m/>
    <m/>
    <m/>
    <s v="YES"/>
    <m/>
    <m/>
    <m/>
    <m/>
    <m/>
    <m/>
    <m/>
    <m/>
    <m/>
    <m/>
    <m/>
    <m/>
    <m/>
    <m/>
    <m/>
    <s v="YES"/>
    <m/>
    <m/>
    <m/>
    <m/>
    <m/>
    <m/>
    <m/>
    <m/>
    <m/>
    <m/>
    <m/>
    <m/>
    <m/>
    <m/>
    <m/>
    <m/>
    <m/>
    <m/>
    <m/>
    <m/>
    <m/>
    <m/>
    <m/>
    <m/>
    <m/>
    <m/>
    <m/>
    <s v="YES"/>
    <n v="2858"/>
    <n v="0.94"/>
    <n v="2000"/>
    <m/>
    <m/>
    <m/>
    <m/>
    <m/>
    <s v="YES"/>
    <s v="June"/>
    <n v="2017"/>
    <s v="YES"/>
    <s v="YES"/>
    <s v="June"/>
    <n v="2018"/>
    <s v="The project will conduct mid term review to monitor progress and carry out endline survey to measure the  change. The end line survey will . Support is required from Programme Quality Unit and Gender Unit in CARE Australia"/>
    <x v="2"/>
    <m/>
    <m/>
    <s v="YES"/>
    <m/>
    <m/>
    <m/>
    <m/>
    <m/>
    <m/>
    <x v="2"/>
    <m/>
    <x v="2"/>
    <m/>
    <x v="3"/>
    <x v="2"/>
    <m/>
    <x v="2"/>
    <x v="2"/>
    <x v="2"/>
    <x v="3"/>
    <n v="0"/>
    <x v="0"/>
    <x v="0"/>
    <x v="0"/>
    <x v="0"/>
    <x v="0"/>
    <x v="0"/>
    <n v="0"/>
    <x v="0"/>
    <x v="0"/>
    <x v="0"/>
    <x v="0"/>
    <x v="0"/>
    <n v="0"/>
    <x v="1"/>
    <x v="1"/>
    <m/>
    <m/>
    <m/>
    <m/>
    <x v="1"/>
    <m/>
    <m/>
    <s v="Engaging men has enhanced women's participation in the project activities such as trainings, events and co-operatives"/>
    <s v="Farmers Schools \Demonstration plots helped the smallholder cocoa families to adopt the practices in the respective blocks"/>
    <s v="Support for women's employment as extension officer enables them to become co-actors in the cocoa value chain"/>
    <s v="Womens access to Extension and Family Business Management Training, including women-only trainings, has contributed to the ability and confidence of women farmers."/>
    <s v="Family Business Management Training has encouraged younger and older women and men to communicate effectively and work together in decision-making for their farms and lives. This cooperation will directly strengthen supportive relations within households and engage men and boys in supporting women and girls."/>
    <s v="Encouraging womens membership and leadership of cocoa cooperative societies and business groups has flow-on effects to influence decision-making at household level"/>
    <m/>
    <s v="Baseline Report and Six Monthly Progress Report"/>
    <n v="2858"/>
    <n v="4000"/>
    <n v="1.3995801259622114"/>
    <n v="0.48530440867739677"/>
    <n v="0.5"/>
    <n v="1387"/>
    <n v="2000"/>
    <s v=""/>
    <n v="0"/>
    <n v="0"/>
    <s v=""/>
    <n v="1"/>
    <n v="2858"/>
    <n v="2000"/>
    <n v="0.69979006298110569"/>
    <s v=""/>
    <n v="0"/>
    <n v="0"/>
    <s v=""/>
    <s v=""/>
    <n v="0"/>
    <n v="0"/>
    <s v=""/>
    <n v="1"/>
    <n v="2858"/>
    <n v="2000"/>
    <n v="0.69979006298110569"/>
    <s v="No marker score"/>
    <s v="No marker score"/>
    <s v="No marker score"/>
    <s v="It tested new ways for fighting poverty and measured results of innovation"/>
    <s v="Intensive advocacy"/>
    <n v="0"/>
  </r>
  <r>
    <x v="58"/>
    <x v="0"/>
    <n v="3289"/>
    <s v="Bougainville Community Governance Project"/>
    <s v="Papua New Guinea"/>
    <s v="PNG049"/>
    <s v="CARE Australia"/>
    <s v="Government"/>
    <s v="Government - Australia"/>
    <s v="DFAT-Australia"/>
    <m/>
    <m/>
    <m/>
    <m/>
    <m/>
    <m/>
    <m/>
    <m/>
    <m/>
    <m/>
    <m/>
    <m/>
    <m/>
    <m/>
    <m/>
    <m/>
    <m/>
    <m/>
    <m/>
    <m/>
    <m/>
    <m/>
    <m/>
    <m/>
    <m/>
    <m/>
    <m/>
    <m/>
    <m/>
    <m/>
    <m/>
    <m/>
    <m/>
    <m/>
    <m/>
    <m/>
    <m/>
    <m/>
    <m/>
    <m/>
    <m/>
    <m/>
    <m/>
    <m/>
    <m/>
    <d v="2015-07-01T00:00:00"/>
    <d v="2019-06-30T00:00:00"/>
    <d v="2017-06-30T00:00:00"/>
    <s v="Development Other"/>
    <n v="1330610"/>
    <s v="Christopher Hershey"/>
    <s v="Program Director, Bougainville"/>
    <s v="christopher.hershey@careint.org"/>
    <s v="Justine McMahon"/>
    <s v="Country Director, Papua New Guinea"/>
    <s v="justine.mcmahon@careint.org"/>
    <s v="NO"/>
    <s v="YES"/>
    <s v="NO"/>
    <s v="For the Community Government (the new term for local level government) to practise governance that contributes to the peace, security and prosperity of Bougainville."/>
    <s v="Sub-National"/>
    <s v="Tinputz, Wakunai, Buin and Torokina Districts within the Autonomous Region of Bougainville (4 of the region's 13 districts)"/>
    <s v="Women and men of rural communities"/>
    <n v="360"/>
    <n v="600"/>
    <n v="960"/>
    <n v="27500"/>
    <n v="27500"/>
    <n v="55000"/>
    <s v="Direct participants:  in particular, local leaders, both women and men.  Indirect participants:  all community: women and men, girls and boys.  Calculations are taken from design documents."/>
    <m/>
    <m/>
    <m/>
    <m/>
    <m/>
    <m/>
    <m/>
    <m/>
    <m/>
    <m/>
    <m/>
    <m/>
    <m/>
    <m/>
    <m/>
    <m/>
    <m/>
    <m/>
    <m/>
    <m/>
    <m/>
    <m/>
    <m/>
    <m/>
    <m/>
    <m/>
    <m/>
    <m/>
    <m/>
    <m/>
    <m/>
    <m/>
    <m/>
    <m/>
    <m/>
    <m/>
    <m/>
    <m/>
    <m/>
    <m/>
    <m/>
    <m/>
    <m/>
    <m/>
    <m/>
    <m/>
    <m/>
    <m/>
    <m/>
    <m/>
    <m/>
    <m/>
    <m/>
    <m/>
    <m/>
    <m/>
    <m/>
    <m/>
    <m/>
    <m/>
    <n v="692"/>
    <n v="1322"/>
    <n v="2014"/>
    <n v="2000"/>
    <n v="4000"/>
    <n v="6000"/>
    <m/>
    <m/>
    <m/>
    <m/>
    <m/>
    <m/>
    <m/>
    <m/>
    <s v="YES"/>
    <m/>
    <m/>
    <m/>
    <m/>
    <m/>
    <m/>
    <m/>
    <m/>
    <m/>
    <m/>
    <m/>
    <m/>
    <m/>
    <m/>
    <m/>
    <m/>
    <m/>
    <m/>
    <m/>
    <m/>
    <m/>
    <m/>
    <m/>
    <s v="YES"/>
    <m/>
    <m/>
    <m/>
    <m/>
    <m/>
    <m/>
    <m/>
    <m/>
    <m/>
    <m/>
    <m/>
    <m/>
    <m/>
    <m/>
    <m/>
    <s v="YES"/>
    <m/>
    <m/>
    <m/>
    <m/>
    <m/>
    <m/>
    <m/>
    <m/>
    <m/>
    <m/>
    <m/>
    <m/>
    <m/>
    <m/>
    <m/>
    <m/>
    <m/>
    <m/>
    <m/>
    <m/>
    <s v="NO"/>
    <m/>
    <m/>
    <m/>
    <s v="NO"/>
    <m/>
    <m/>
    <m/>
    <x v="1"/>
    <s v="YES"/>
    <m/>
    <s v="YES"/>
    <s v="YES"/>
    <m/>
    <m/>
    <m/>
    <m/>
    <m/>
    <x v="0"/>
    <m/>
    <x v="0"/>
    <m/>
    <x v="0"/>
    <x v="1"/>
    <s v="NO"/>
    <x v="0"/>
    <x v="0"/>
    <x v="1"/>
    <x v="4"/>
    <n v="2"/>
    <x v="2"/>
    <x v="2"/>
    <x v="1"/>
    <x v="2"/>
    <x v="1"/>
    <x v="5"/>
    <n v="2"/>
    <x v="2"/>
    <x v="1"/>
    <x v="1"/>
    <x v="1"/>
    <x v="2"/>
    <n v="3"/>
    <x v="2"/>
    <x v="0"/>
    <n v="6"/>
    <s v="Local government(s)"/>
    <s v="National government"/>
    <s v="Other"/>
    <x v="1"/>
    <m/>
    <s v="Project was redesigned to include more processes and activities that were gender sensitive or gender responsive"/>
    <s v="Community planning through introducing ways for communities to determine their own priorities, followed up with monitoring visits that included mentoring"/>
    <s v="Developing village profiles"/>
    <s v="Developing meaningful relations with the Dept of Community Government in regards to project activities: working at their pace is essentual to gaining government acceptance of the partnership"/>
    <s v="Stay flexible to be able to respond to donor's changing priorities"/>
    <s v="Maintain open dialogue with communities with whom CARE works.  This includes regular monitoring visits as well as exiting."/>
    <s v="Avoid over-dependence upon one donor"/>
    <s v="Although based on the PIIRS process this project appears to not contribute to impact, in fact I believe it does.  The village women and men trained by the project are now much better equipped to fulfill their roles in the new Community Government structure.   The new structure mandates 50% women representation, which is a formal challenge to all previous male-dominated government structures.  In this context, CARE's influence will have a long-lasting impact through upskilling both women and men, and by modeling gender equity in the manner in which we work and deliver trainings."/>
    <s v="Final Report:  CARE-Bougainville Community Governance Report Final_08_2017.pdf"/>
    <n v="2014"/>
    <n v="6000"/>
    <n v="2.9791459781529297"/>
    <n v="0.34359483614697123"/>
    <n v="0.33333333333333331"/>
    <n v="692"/>
    <n v="2000"/>
    <s v=""/>
    <n v="0"/>
    <n v="0"/>
    <s v=""/>
    <s v=""/>
    <n v="0"/>
    <n v="0"/>
    <s v=""/>
    <s v=""/>
    <n v="0"/>
    <n v="0"/>
    <s v=""/>
    <s v=""/>
    <n v="0"/>
    <n v="0"/>
    <s v=""/>
    <s v=""/>
    <n v="0"/>
    <n v="0"/>
    <s v=""/>
    <s v="3. Responsive"/>
    <s v="3. Responsive"/>
    <s v="0. Harmful"/>
    <s v="It did not develop any specific innovation"/>
    <s v="Moderate advocacy"/>
    <s v="It did not take tested solutions to scale"/>
  </r>
  <r>
    <x v="58"/>
    <x v="0"/>
    <n v="3290"/>
    <s v="Bougainville Sexual, Reproductive and Maternal Health Project"/>
    <s v="Papua New Guinea"/>
    <s v="PNG059"/>
    <s v="CARE Australia"/>
    <s v="Government"/>
    <s v="Government - Australia"/>
    <s v="DFAT-Australia"/>
    <m/>
    <m/>
    <m/>
    <m/>
    <m/>
    <m/>
    <m/>
    <m/>
    <m/>
    <m/>
    <m/>
    <m/>
    <m/>
    <m/>
    <m/>
    <m/>
    <m/>
    <m/>
    <m/>
    <m/>
    <m/>
    <m/>
    <m/>
    <m/>
    <m/>
    <m/>
    <m/>
    <m/>
    <m/>
    <m/>
    <m/>
    <m/>
    <m/>
    <m/>
    <m/>
    <m/>
    <m/>
    <m/>
    <m/>
    <m/>
    <m/>
    <m/>
    <m/>
    <m/>
    <m/>
    <d v="2016-01-01T00:00:00"/>
    <d v="2017-06-30T00:00:00"/>
    <d v="2016-12-05T00:00:00"/>
    <s v="Development Sexual, Reproductive and Maternal Health (SRMH)"/>
    <n v="1651920"/>
    <s v="Christopher Hershey"/>
    <s v="Program Director, Bougainville"/>
    <s v="christopher.hershey@careint.org"/>
    <s v="Justine McMahon"/>
    <s v="Country Director, Papua New Guinea"/>
    <s v="justine.mcmahon@careint.org"/>
    <s v="NO"/>
    <s v="YES"/>
    <s v="NO"/>
    <s v="To meaningfully and sustainably improve the health and wellbeing of women, their families and communities in rural, disadvantaged areas of Papua New Guinea."/>
    <s v="Sub-National"/>
    <s v="South Nasioi and Kokoka Councils of Elders in Kieta District, and Baubake Council of Elders in Buin District, Autonomous Region of Bougainville.  [Councils of Elders was formerly the local term equivalent to wards, now replaced by Community Governments.]"/>
    <s v="Young women 15-29 years of age.  To achieve this, the project also engaged with young men 15-29 years of age."/>
    <n v="1125"/>
    <n v="1185"/>
    <n v="2310"/>
    <n v="6011"/>
    <n v="6332"/>
    <n v="12343"/>
    <s v="Direct beneficiaries are young women and men.  Indirect beneficiaries are young and older women and men.  Calculations are taken from PIIRS 2015-2016."/>
    <m/>
    <m/>
    <m/>
    <m/>
    <m/>
    <m/>
    <m/>
    <m/>
    <m/>
    <m/>
    <m/>
    <m/>
    <m/>
    <m/>
    <m/>
    <m/>
    <m/>
    <m/>
    <m/>
    <m/>
    <m/>
    <m/>
    <m/>
    <m/>
    <m/>
    <m/>
    <m/>
    <m/>
    <m/>
    <m/>
    <m/>
    <m/>
    <m/>
    <m/>
    <m/>
    <m/>
    <m/>
    <m/>
    <m/>
    <m/>
    <m/>
    <m/>
    <m/>
    <m/>
    <m/>
    <m/>
    <m/>
    <m/>
    <m/>
    <m/>
    <m/>
    <m/>
    <m/>
    <m/>
    <m/>
    <m/>
    <m/>
    <m/>
    <m/>
    <m/>
    <n v="151"/>
    <n v="157"/>
    <n v="308"/>
    <n v="300"/>
    <n v="300"/>
    <n v="600"/>
    <m/>
    <m/>
    <m/>
    <m/>
    <m/>
    <m/>
    <m/>
    <m/>
    <m/>
    <m/>
    <m/>
    <m/>
    <m/>
    <m/>
    <m/>
    <m/>
    <m/>
    <m/>
    <m/>
    <m/>
    <m/>
    <m/>
    <m/>
    <m/>
    <m/>
    <m/>
    <m/>
    <m/>
    <s v="YES"/>
    <n v="308"/>
    <n v="0.51"/>
    <n v="600"/>
    <s v="YES"/>
    <n v="308"/>
    <n v="0.51"/>
    <n v="600"/>
    <m/>
    <m/>
    <m/>
    <m/>
    <m/>
    <m/>
    <m/>
    <m/>
    <m/>
    <m/>
    <m/>
    <m/>
    <m/>
    <m/>
    <m/>
    <m/>
    <s v="YES"/>
    <n v="308"/>
    <n v="0.51"/>
    <n v="600"/>
    <m/>
    <m/>
    <m/>
    <m/>
    <m/>
    <m/>
    <m/>
    <m/>
    <m/>
    <m/>
    <m/>
    <m/>
    <m/>
    <s v="NO"/>
    <m/>
    <m/>
    <m/>
    <s v="NO"/>
    <m/>
    <m/>
    <s v="No future evaluations due to loss of funding."/>
    <x v="0"/>
    <m/>
    <m/>
    <s v="YES"/>
    <m/>
    <m/>
    <m/>
    <m/>
    <m/>
    <m/>
    <x v="0"/>
    <m/>
    <x v="0"/>
    <m/>
    <x v="1"/>
    <x v="1"/>
    <s v="NO"/>
    <x v="0"/>
    <x v="0"/>
    <x v="0"/>
    <x v="4"/>
    <n v="3"/>
    <x v="3"/>
    <x v="2"/>
    <x v="1"/>
    <x v="2"/>
    <x v="1"/>
    <x v="3"/>
    <n v="2"/>
    <x v="2"/>
    <x v="1"/>
    <x v="1"/>
    <x v="1"/>
    <x v="2"/>
    <n v="3"/>
    <x v="2"/>
    <x v="0"/>
    <n v="3"/>
    <s v="Local NGO(s)/CSO(s)"/>
    <s v="Other"/>
    <s v="Local government(s)"/>
    <x v="1"/>
    <m/>
    <s v="Training was developed for Healthy Relationships that specifically addressed GBV by youth."/>
    <s v="Peer education"/>
    <s v="Ensure a gender analysis is central to the project design"/>
    <s v="Work with male prison population to challenge masculinity norms (work with men and boys)"/>
    <s v="Remain flexible to adjust to donor's changing priorities"/>
    <s v="Ensure transparent communication with project staff when there are changes in funding"/>
    <s v="Make obtaining government buy-in a priority and keep promoting it over time"/>
    <s v="This project was designed to be transformative, addressing all three domains.  It's particular emphasis on youth and GBV would have been a unique contribution to the Bougainville health landscape.  However, the loss of funding prevented most of the work moving forward."/>
    <m/>
    <n v="308"/>
    <n v="600"/>
    <n v="1.948051948051948"/>
    <n v="0.49025974025974028"/>
    <n v="0.5"/>
    <n v="151"/>
    <n v="300"/>
    <s v=""/>
    <n v="0"/>
    <n v="0"/>
    <s v=""/>
    <s v=""/>
    <n v="0"/>
    <n v="0"/>
    <s v=""/>
    <n v="1"/>
    <n v="308"/>
    <n v="600"/>
    <n v="1.948051948051948"/>
    <n v="1"/>
    <n v="308"/>
    <n v="600"/>
    <n v="1.948051948051948"/>
    <s v=""/>
    <n v="0"/>
    <n v="0"/>
    <s v=""/>
    <s v="3. Responsive"/>
    <s v="0. Unaware"/>
    <s v="0. Harmful"/>
    <s v="It did not develop any specific innovation"/>
    <s v="Little or no advocacy"/>
    <s v="It did not take tested solutions to scale"/>
  </r>
  <r>
    <x v="58"/>
    <x v="0"/>
    <n v="3293"/>
    <s v="CARE Tinputz Cocoa &amp; Rice Joint Venture Project"/>
    <s v="Papua New Guinea"/>
    <s v="PNG058"/>
    <s v="CARE Australia"/>
    <s v="Multilateral agency"/>
    <s v="The World Bank"/>
    <s v="Pacific Partnerships for Agriculture Project"/>
    <m/>
    <m/>
    <m/>
    <m/>
    <m/>
    <m/>
    <m/>
    <m/>
    <m/>
    <m/>
    <m/>
    <m/>
    <m/>
    <m/>
    <m/>
    <m/>
    <m/>
    <m/>
    <m/>
    <m/>
    <m/>
    <m/>
    <m/>
    <m/>
    <m/>
    <m/>
    <m/>
    <m/>
    <m/>
    <m/>
    <m/>
    <m/>
    <m/>
    <m/>
    <m/>
    <m/>
    <m/>
    <m/>
    <m/>
    <m/>
    <m/>
    <m/>
    <m/>
    <m/>
    <m/>
    <d v="2015-09-01T00:00:00"/>
    <d v="2017-08-31T00:00:00"/>
    <d v="2016-08-31T00:00:00"/>
    <s v="Development Access to and Control over Economic Resources"/>
    <n v="689682"/>
    <s v="Christopher Hershey"/>
    <s v="Program Director, Bougainville"/>
    <s v="christopher.hershey@careint.org"/>
    <s v="Justine McMahon"/>
    <s v="Country Director, Papua New Guinea"/>
    <s v="justine.mcmahon@careint.org"/>
    <s v="NO"/>
    <s v="YES"/>
    <s v="NO"/>
    <s v="Increase cocoa yields; support training and set-up of budwood gardens, nurseries and fermentaries; local cooperative members receive Rainforest Alliance certification; satisfactory project management, monitoring &amp; evaluation"/>
    <s v="Sub-National"/>
    <s v="Tinputz Taonita &amp; Taonita Teop constituencies, Tinputz District, Autonomous Region of Bougainville"/>
    <s v="Women and men cocoa farmers"/>
    <n v="200"/>
    <n v="499"/>
    <n v="699"/>
    <n v="600"/>
    <n v="1000"/>
    <n v="1600"/>
    <s v="Direct &amp; indirect:   women and men cocoa farmers (and their families).  Calculation based on project documents, with indirect participants estimated as three times direct participants."/>
    <m/>
    <m/>
    <m/>
    <m/>
    <m/>
    <m/>
    <m/>
    <m/>
    <m/>
    <m/>
    <m/>
    <m/>
    <m/>
    <m/>
    <m/>
    <m/>
    <m/>
    <m/>
    <m/>
    <m/>
    <m/>
    <m/>
    <m/>
    <m/>
    <m/>
    <m/>
    <m/>
    <m/>
    <m/>
    <m/>
    <m/>
    <m/>
    <m/>
    <m/>
    <m/>
    <m/>
    <m/>
    <m/>
    <m/>
    <m/>
    <m/>
    <m/>
    <m/>
    <m/>
    <m/>
    <m/>
    <m/>
    <m/>
    <m/>
    <m/>
    <m/>
    <m/>
    <m/>
    <m/>
    <m/>
    <m/>
    <m/>
    <m/>
    <m/>
    <m/>
    <n v="41"/>
    <n v="200"/>
    <n v="241"/>
    <n v="150"/>
    <n v="600"/>
    <n v="750"/>
    <s v="YES"/>
    <m/>
    <m/>
    <m/>
    <m/>
    <m/>
    <m/>
    <m/>
    <m/>
    <m/>
    <m/>
    <m/>
    <m/>
    <m/>
    <m/>
    <m/>
    <m/>
    <m/>
    <m/>
    <m/>
    <m/>
    <m/>
    <m/>
    <m/>
    <s v="YES"/>
    <n v="241"/>
    <n v="0.17"/>
    <n v="750"/>
    <m/>
    <m/>
    <m/>
    <m/>
    <s v="YES"/>
    <m/>
    <m/>
    <m/>
    <m/>
    <m/>
    <m/>
    <m/>
    <m/>
    <m/>
    <m/>
    <m/>
    <m/>
    <m/>
    <m/>
    <m/>
    <m/>
    <m/>
    <m/>
    <m/>
    <m/>
    <m/>
    <m/>
    <m/>
    <m/>
    <m/>
    <m/>
    <m/>
    <s v="YES"/>
    <m/>
    <m/>
    <m/>
    <m/>
    <m/>
    <m/>
    <m/>
    <m/>
    <s v="NO"/>
    <m/>
    <m/>
    <m/>
    <s v="NO"/>
    <m/>
    <m/>
    <m/>
    <x v="0"/>
    <m/>
    <m/>
    <m/>
    <m/>
    <m/>
    <m/>
    <m/>
    <m/>
    <m/>
    <x v="0"/>
    <m/>
    <x v="0"/>
    <m/>
    <x v="0"/>
    <x v="1"/>
    <s v="NO"/>
    <x v="1"/>
    <x v="1"/>
    <x v="1"/>
    <x v="3"/>
    <n v="0"/>
    <x v="3"/>
    <x v="1"/>
    <x v="1"/>
    <x v="2"/>
    <x v="1"/>
    <x v="3"/>
    <n v="3"/>
    <x v="2"/>
    <x v="1"/>
    <x v="1"/>
    <x v="1"/>
    <x v="2"/>
    <n v="3"/>
    <x v="2"/>
    <x v="0"/>
    <n v="3"/>
    <s v="Local NGO(s)/CSO(s)"/>
    <s v="Private sector"/>
    <s v="International NGO(s)"/>
    <x v="0"/>
    <m/>
    <s v="GED training adapted to be relevant to women and men cocoa farmers; training sucessfully delivered"/>
    <s v="Engaging families (women, men and youth together)"/>
    <s v="GED training adapted to be relevant to women/men cocoa farmers"/>
    <s v="Farmer schools"/>
    <s v="Do not underestimate the impact of violence on a project being able to function"/>
    <s v="GED training provides a valuable platform for discussing power relations between women and men"/>
    <s v="Once exposed to new ideas (e.g., gender equity) cocoa farmers, like any group, can be moved to make changes in their behaviour and beliefs"/>
    <s v="This was inherited as a technical project with no emphasis whatsoever on gender equity.  Only because gender is central to CARE's analysis was this introduced."/>
    <s v="Final report: 17.02.23 TC&amp;RJV PPAP Project July-Aug 2016 Qrtly Report FINAL.pdf"/>
    <n v="241"/>
    <n v="750"/>
    <n v="3.1120331950207469"/>
    <n v="0.17012448132780084"/>
    <n v="0.2"/>
    <n v="41"/>
    <n v="150"/>
    <s v=""/>
    <n v="0"/>
    <n v="0"/>
    <s v=""/>
    <n v="1"/>
    <n v="241"/>
    <n v="750"/>
    <n v="3.1120331950207469"/>
    <s v=""/>
    <n v="0"/>
    <n v="0"/>
    <s v=""/>
    <s v=""/>
    <n v="0"/>
    <n v="0"/>
    <s v=""/>
    <n v="1"/>
    <n v="0"/>
    <n v="0"/>
    <s v=""/>
    <s v="No marker score"/>
    <s v="0. Unaware"/>
    <s v="0. Harmful"/>
    <s v="It did not develop any specific innovation"/>
    <s v="Little or no advocacy"/>
    <s v="It did not take tested solutions to scale"/>
  </r>
  <r>
    <x v="58"/>
    <x v="0"/>
    <n v="3288"/>
    <s v="Coffee Industry Support Project"/>
    <s v="Papua New Guinea"/>
    <s v="PNG053"/>
    <s v="CARE Australia"/>
    <s v="Government"/>
    <s v="Government - Australia"/>
    <s v="DFAT-Australia"/>
    <m/>
    <m/>
    <m/>
    <m/>
    <m/>
    <m/>
    <m/>
    <m/>
    <m/>
    <m/>
    <m/>
    <m/>
    <m/>
    <m/>
    <m/>
    <m/>
    <m/>
    <m/>
    <m/>
    <m/>
    <m/>
    <m/>
    <m/>
    <m/>
    <m/>
    <m/>
    <m/>
    <m/>
    <m/>
    <m/>
    <m/>
    <m/>
    <m/>
    <m/>
    <m/>
    <m/>
    <m/>
    <m/>
    <m/>
    <m/>
    <m/>
    <m/>
    <m/>
    <m/>
    <m/>
    <d v="2013-07-01T00:00:00"/>
    <d v="2017-12-31T00:00:00"/>
    <d v="2019-06-30T00:00:00"/>
    <s v="Development Access to and Control over Economic Resources"/>
    <n v="2441470"/>
    <s v="Charles Iha"/>
    <s v="Project Manager"/>
    <s v="Charles.Iha@careint.org"/>
    <s v="Karen Abenisa"/>
    <s v="Monitoring Evaluation and Learning Officer"/>
    <s v="Karen.Abenisa@careint.org"/>
    <s v="NO"/>
    <s v="YES"/>
    <s v="NO"/>
    <s v="To improve the social and economic wellbeing of women coffee farmers in the Highlands of Papua New Guinea"/>
    <s v="Sub-National"/>
    <s v="CISP works with partners in coffee growing provinces of the Highlands in PNG. Currently, through our partners, we are reaching 5 provinces including Eastern Highlands Province, Morobe, Simbu, Jiwaka and Western Highlands Province. Coffee is primarily grown by smallholders,many of whom reside in remote, disadvantaged areas of the PNG Highlands."/>
    <s v="Women coffee farmers in the Highlands of PNG"/>
    <n v="4000"/>
    <n v="6000"/>
    <n v="10000"/>
    <n v="30000"/>
    <n v="30000"/>
    <n v="60000"/>
    <s v="CISP Direct participants are our partners from the private sector, local community groups and government and Indirect participants are farmers, households, community members. To calculate direct and indirect participants: Total population- direct/indirect participants."/>
    <m/>
    <m/>
    <m/>
    <m/>
    <m/>
    <m/>
    <m/>
    <m/>
    <m/>
    <m/>
    <m/>
    <m/>
    <m/>
    <m/>
    <m/>
    <m/>
    <m/>
    <m/>
    <m/>
    <m/>
    <m/>
    <m/>
    <m/>
    <m/>
    <m/>
    <m/>
    <m/>
    <m/>
    <m/>
    <m/>
    <m/>
    <m/>
    <m/>
    <m/>
    <m/>
    <m/>
    <m/>
    <m/>
    <m/>
    <m/>
    <m/>
    <m/>
    <m/>
    <m/>
    <m/>
    <m/>
    <m/>
    <m/>
    <m/>
    <m/>
    <m/>
    <m/>
    <m/>
    <m/>
    <m/>
    <m/>
    <m/>
    <m/>
    <m/>
    <m/>
    <n v="2547"/>
    <n v="4956"/>
    <n v="7503"/>
    <n v="20000"/>
    <n v="20000"/>
    <n v="40000"/>
    <s v="YES"/>
    <n v="7503"/>
    <n v="0.33946421431427398"/>
    <n v="40000"/>
    <m/>
    <m/>
    <m/>
    <m/>
    <m/>
    <m/>
    <m/>
    <m/>
    <m/>
    <m/>
    <m/>
    <m/>
    <m/>
    <m/>
    <m/>
    <m/>
    <m/>
    <m/>
    <m/>
    <m/>
    <m/>
    <m/>
    <m/>
    <m/>
    <m/>
    <m/>
    <m/>
    <m/>
    <s v="YES"/>
    <n v="7503"/>
    <n v="0.33946421431427398"/>
    <n v="40000"/>
    <m/>
    <m/>
    <m/>
    <m/>
    <m/>
    <m/>
    <m/>
    <m/>
    <m/>
    <m/>
    <m/>
    <m/>
    <m/>
    <m/>
    <m/>
    <m/>
    <m/>
    <m/>
    <m/>
    <m/>
    <m/>
    <m/>
    <m/>
    <m/>
    <s v="YES"/>
    <n v="7503"/>
    <n v="0.33946421431427398"/>
    <n v="40000"/>
    <m/>
    <m/>
    <m/>
    <m/>
    <m/>
    <s v="YES"/>
    <s v="March"/>
    <n v="2017"/>
    <s v="YES"/>
    <s v="NO"/>
    <m/>
    <m/>
    <s v="External review conducted by the donor-it will not be overly complex but will consider value for money"/>
    <x v="0"/>
    <s v="NO"/>
    <s v="NO"/>
    <s v="YES"/>
    <s v="NO"/>
    <s v="NO"/>
    <m/>
    <s v="NO"/>
    <s v="NO"/>
    <m/>
    <x v="1"/>
    <s v="The ModeL Farming Families Approach (MFFA) is a replica of the current activity undertaken with the private  sector coffee companies in building the skills of their extension officers and trainers so they can provide gender apppropriate and inclusive services and training to their network of farmers. The main objective of the MFF is to build their capacity to transfer skills and knowledge to their group members."/>
    <x v="1"/>
    <s v="The Family Business Management Training (FBMT) designed for couples.It teaches them about communication, decision making,trust and budgeting to name a few and how families can work together is the most talked about training  that farmers talk about. One of our private sector partner used to topics in the FBMT to come up with two training modules in the trainings they facilitate for their farmer networks."/>
    <x v="1"/>
    <x v="1"/>
    <s v="YES"/>
    <x v="0"/>
    <x v="0"/>
    <x v="0"/>
    <x v="2"/>
    <n v="4"/>
    <x v="2"/>
    <x v="2"/>
    <x v="1"/>
    <x v="1"/>
    <x v="2"/>
    <x v="5"/>
    <n v="2"/>
    <x v="1"/>
    <x v="2"/>
    <x v="2"/>
    <x v="1"/>
    <x v="3"/>
    <n v="1"/>
    <x v="0"/>
    <x v="3"/>
    <n v="7"/>
    <s v="Private sector"/>
    <s v="Local NGO(s)/CSO(s)"/>
    <s v="National government"/>
    <x v="0"/>
    <s v="We have provided organisational development and governance training for civil society organisations and community-based organisations; and facilitation skills training for community develoment workers and extension officers."/>
    <s v="Second year the project has been implementing activites as per the project redesign. A new activity yet to commence and staffing structure has changed and adapted."/>
    <s v="Utilising the CARE Women's Empowerment Framework as a guideline for designing and implementing all activities."/>
    <s v="Working with partners at an organisational level to influence programs and practices to reach greater scale."/>
    <s v="Focusing on the family unit, and strengthening families business management, as a means to empowering women, especially at the household level."/>
    <s v="When discussing women's economic empowerment, it is essential that we consider decision-making, communication, workloads etc. at the household level - WEE should not just focus on income and jobs.  A holistic approach, aligned with the WEF, but specifically focusing on the relations domain, is necessary to achieve WEE."/>
    <s v="There is no 'one size fits all' business case for private sector's engagement in CSR or sustainability, and understanding specific motivations of private sector for engaging with CARE is important to enable greater buy-in from private sector partners and traction with our work."/>
    <s v="Challenging gender relations within households is difficult and only possible through targeted and long term support - while influencing the program and practices of stakeholders is an effective approach in order to achieve scale, additional targeted support is required to also ensure there is depth of change."/>
    <m/>
    <m/>
    <n v="7503"/>
    <n v="40000"/>
    <n v="5.3312008529921364"/>
    <n v="0.33946421431427432"/>
    <n v="0.5"/>
    <n v="2547"/>
    <n v="20000"/>
    <s v=""/>
    <n v="0"/>
    <n v="0"/>
    <s v=""/>
    <n v="1"/>
    <n v="7503"/>
    <n v="40000"/>
    <n v="5.3312008529921364"/>
    <s v=""/>
    <n v="0"/>
    <n v="0"/>
    <s v=""/>
    <s v=""/>
    <n v="0"/>
    <n v="0"/>
    <s v=""/>
    <n v="1"/>
    <n v="7503"/>
    <n v="40000"/>
    <n v="5.3312008529921364"/>
    <s v="4. Transformative"/>
    <s v="3. Responsive"/>
    <s v="1. Neutral"/>
    <s v="It tested new ways for fighting poverty, but did not measure results of innovation"/>
    <s v="Little or no advocacy"/>
    <s v="It linked and worked with strategic alliances and partners to take tested and effective solutions to scale"/>
  </r>
  <r>
    <x v="58"/>
    <x v="0"/>
    <m/>
    <s v="El Niño Response"/>
    <s v="Papua New Guinea"/>
    <m/>
    <s v="CARE Australia"/>
    <s v="Government"/>
    <s v="Government - Australia"/>
    <s v="Australian High Commission"/>
    <m/>
    <m/>
    <m/>
    <m/>
    <m/>
    <m/>
    <m/>
    <m/>
    <m/>
    <m/>
    <m/>
    <m/>
    <m/>
    <m/>
    <m/>
    <m/>
    <m/>
    <m/>
    <m/>
    <m/>
    <m/>
    <m/>
    <m/>
    <m/>
    <m/>
    <m/>
    <m/>
    <m/>
    <m/>
    <m/>
    <m/>
    <m/>
    <m/>
    <m/>
    <m/>
    <m/>
    <m/>
    <m/>
    <m/>
    <m/>
    <m/>
    <m/>
    <m/>
    <m/>
    <m/>
    <d v="2016-01-13T00:00:00"/>
    <d v="2017-02-28T00:00:00"/>
    <d v="2017-06-30T00:00:00"/>
    <s v="Humanitarian Other"/>
    <n v="850000"/>
    <s v="Justine McMahon"/>
    <s v="Country Director"/>
    <s v="Justine.McMahon@careint.org"/>
    <m/>
    <m/>
    <m/>
    <s v="YES"/>
    <s v="NO"/>
    <s v="NO"/>
    <s v="Target communities in Chimbu, Morobe, Eastern Highlands, Enga and Hela are better prepared to cope with and recover from water and agricultural impacts related to El Niño"/>
    <s v="Sub-National"/>
    <s v="5 provinces ( Morobe, Eastern Highlands, Chimbu, Enga and Hela)"/>
    <s v="El Niño affected communities"/>
    <n v="22500"/>
    <n v="22500"/>
    <n v="45000"/>
    <n v="86000"/>
    <n v="86000"/>
    <n v="172000"/>
    <s v="The direct participants were the participants that directly participated and benefited from the agriculture trainings, non-food items and communit disaster disaster management training.The indirect participants are those living in the same local level government and did not participate in any of the CARE interventions at all. Direct Participants * 5 (per hh) = Total Indirect Participants"/>
    <m/>
    <n v="86000"/>
    <n v="86000"/>
    <n v="172000"/>
    <n v="22500"/>
    <n v="22500"/>
    <n v="45000"/>
    <m/>
    <m/>
    <m/>
    <m/>
    <m/>
    <m/>
    <m/>
    <m/>
    <m/>
    <m/>
    <m/>
    <m/>
    <s v="YES"/>
    <n v="172000"/>
    <n v="0.5"/>
    <n v="45000"/>
    <m/>
    <m/>
    <m/>
    <m/>
    <s v="YES"/>
    <m/>
    <m/>
    <m/>
    <s v="YES"/>
    <m/>
    <m/>
    <m/>
    <s v="Yes"/>
    <m/>
    <m/>
    <m/>
    <s v="YES"/>
    <m/>
    <m/>
    <m/>
    <s v="YES"/>
    <m/>
    <m/>
    <m/>
    <m/>
    <m/>
    <m/>
    <m/>
    <s v="YES"/>
    <m/>
    <m/>
    <m/>
    <m/>
    <m/>
    <m/>
    <m/>
    <m/>
    <m/>
    <m/>
    <m/>
    <m/>
    <m/>
    <m/>
    <m/>
    <m/>
    <m/>
    <m/>
    <m/>
    <m/>
    <m/>
    <m/>
    <m/>
    <m/>
    <m/>
    <m/>
    <m/>
    <m/>
    <m/>
    <m/>
    <m/>
    <m/>
    <m/>
    <m/>
    <m/>
    <m/>
    <m/>
    <m/>
    <m/>
    <m/>
    <m/>
    <m/>
    <m/>
    <m/>
    <m/>
    <m/>
    <m/>
    <m/>
    <m/>
    <m/>
    <m/>
    <m/>
    <m/>
    <m/>
    <m/>
    <m/>
    <m/>
    <m/>
    <m/>
    <m/>
    <m/>
    <m/>
    <m/>
    <m/>
    <m/>
    <m/>
    <m/>
    <m/>
    <m/>
    <m/>
    <m/>
    <m/>
    <m/>
    <m/>
    <m/>
    <m/>
    <m/>
    <m/>
    <m/>
    <m/>
    <m/>
    <m/>
    <m/>
    <s v="NO"/>
    <m/>
    <m/>
    <s v="NO"/>
    <s v="NO"/>
    <m/>
    <m/>
    <m/>
    <x v="2"/>
    <s v="YES"/>
    <s v="YES"/>
    <s v="YES"/>
    <s v="YES"/>
    <s v="YES"/>
    <s v="YES"/>
    <s v="NO"/>
    <s v="NO"/>
    <m/>
    <x v="1"/>
    <m/>
    <x v="0"/>
    <m/>
    <x v="1"/>
    <x v="0"/>
    <s v="YES"/>
    <x v="0"/>
    <x v="0"/>
    <x v="0"/>
    <x v="0"/>
    <n v="4"/>
    <x v="1"/>
    <x v="1"/>
    <x v="1"/>
    <x v="1"/>
    <x v="1"/>
    <x v="1"/>
    <n v="4"/>
    <x v="1"/>
    <x v="1"/>
    <x v="1"/>
    <x v="1"/>
    <x v="1"/>
    <n v="3"/>
    <x v="0"/>
    <x v="2"/>
    <n v="2"/>
    <s v="International NGO(s)"/>
    <s v="University/research institution(s)"/>
    <s v="Local alliance(s)/Platform(s)/Network(s) of  NGOs/CSOs"/>
    <x v="0"/>
    <m/>
    <s v="Though the project has closed, one of the successful activities of this project; the community disaster management training received funding and is about to undergo project design."/>
    <s v="A mandatory training approach was taken where men could only represent 50 % of the training ceiling requirments and the other 50% were allocated to women participants."/>
    <s v="Engaging development project staff on the emergency response meant high community engagement"/>
    <m/>
    <s v="Ensure assessments specifically ask questions about gender"/>
    <s v="Ensure confidential feedback mechanisms are accessible to women"/>
    <s v="Promote gender-inclusive measures within humanitarian coodination activities forums"/>
    <s v="The women were able to talk openly about their feelings that were usually undervalued. Males became more supportive of their wives after the agriculture trainings."/>
    <m/>
    <n v="172000"/>
    <n v="45000"/>
    <n v="0.26162790697674421"/>
    <n v="0.5"/>
    <n v="0.5"/>
    <n v="86000"/>
    <n v="22500"/>
    <n v="1"/>
    <n v="172000"/>
    <n v="45000"/>
    <n v="0.26162790697674421"/>
    <n v="1"/>
    <n v="172000"/>
    <n v="45000"/>
    <n v="0.26162790697674421"/>
    <n v="1"/>
    <n v="0"/>
    <n v="0"/>
    <s v=""/>
    <s v=""/>
    <n v="0"/>
    <n v="0"/>
    <s v=""/>
    <s v=""/>
    <n v="0"/>
    <n v="0"/>
    <s v=""/>
    <s v="2. Sensitive"/>
    <s v="2. Accommodating"/>
    <s v="2. Sensitive"/>
    <s v="It tested new ways for fighting poverty, but did not measure results of innovation"/>
    <s v="Intensive advocacy"/>
    <s v="It did not take tested solutions to scale"/>
  </r>
  <r>
    <x v="58"/>
    <x v="0"/>
    <m/>
    <s v="El Niño WASH Preparedness"/>
    <s v="Papua New Guinea"/>
    <m/>
    <s v="CARE Australia"/>
    <s v="Government"/>
    <s v="Government - Australia"/>
    <s v="Australian High Commission"/>
    <m/>
    <m/>
    <m/>
    <m/>
    <m/>
    <m/>
    <m/>
    <m/>
    <m/>
    <m/>
    <m/>
    <m/>
    <m/>
    <m/>
    <m/>
    <m/>
    <m/>
    <m/>
    <m/>
    <m/>
    <m/>
    <m/>
    <m/>
    <m/>
    <m/>
    <m/>
    <m/>
    <m/>
    <m/>
    <m/>
    <m/>
    <m/>
    <m/>
    <m/>
    <m/>
    <m/>
    <m/>
    <m/>
    <m/>
    <m/>
    <m/>
    <m/>
    <m/>
    <m/>
    <m/>
    <d v="2015-12-14T00:00:00"/>
    <d v="2016-12-31T00:00:00"/>
    <m/>
    <s v="Humanitarian Food &amp; Nutrition Security and Resilience to Climate Change"/>
    <n v="1220165"/>
    <s v="Justine McMahon"/>
    <s v="Country Director"/>
    <s v="Justine.McMahon@careint.org"/>
    <m/>
    <m/>
    <m/>
    <s v="YES"/>
    <s v="NO"/>
    <s v="NO"/>
    <s v="Target communities in Chimbu, Morobe, Eastern Highlands, Enga and Hela are better prepared to cope with and recover from water and agricultural impacts related to El Niño"/>
    <s v="Sub-National"/>
    <s v="5 provinces ( Morobe, Eastern Highlands, Chimbu, Enga and Hela)"/>
    <s v="El Niño affected communities"/>
    <n v="5006"/>
    <n v="5006"/>
    <n v="10012"/>
    <n v="25000"/>
    <n v="25000"/>
    <n v="50000"/>
    <s v="The direct participants were the participants that directly participated and benefited from the agriculture trainings and non-food item distributions by CARE. The indirect participants are those living in the same local level government and did not participate in any of the CARE interventions at all. Direct Participants * 5 (per hh) = Total Indirect Participants"/>
    <m/>
    <n v="5006"/>
    <n v="5006"/>
    <n v="10012"/>
    <n v="25000"/>
    <n v="25000"/>
    <n v="50000"/>
    <m/>
    <m/>
    <m/>
    <m/>
    <m/>
    <m/>
    <m/>
    <m/>
    <m/>
    <m/>
    <m/>
    <m/>
    <s v="YES"/>
    <n v="10012"/>
    <n v="0.5"/>
    <n v="52548"/>
    <m/>
    <m/>
    <m/>
    <m/>
    <m/>
    <m/>
    <m/>
    <m/>
    <m/>
    <m/>
    <m/>
    <m/>
    <m/>
    <m/>
    <m/>
    <m/>
    <m/>
    <m/>
    <m/>
    <m/>
    <m/>
    <m/>
    <m/>
    <m/>
    <m/>
    <m/>
    <m/>
    <m/>
    <m/>
    <m/>
    <m/>
    <m/>
    <m/>
    <m/>
    <m/>
    <m/>
    <m/>
    <m/>
    <m/>
    <m/>
    <m/>
    <m/>
    <m/>
    <m/>
    <m/>
    <m/>
    <m/>
    <m/>
    <m/>
    <m/>
    <m/>
    <m/>
    <m/>
    <m/>
    <m/>
    <m/>
    <m/>
    <m/>
    <m/>
    <m/>
    <m/>
    <m/>
    <m/>
    <m/>
    <m/>
    <m/>
    <m/>
    <m/>
    <m/>
    <m/>
    <m/>
    <m/>
    <m/>
    <m/>
    <m/>
    <m/>
    <m/>
    <m/>
    <m/>
    <m/>
    <m/>
    <m/>
    <m/>
    <m/>
    <m/>
    <m/>
    <m/>
    <m/>
    <m/>
    <m/>
    <m/>
    <m/>
    <m/>
    <m/>
    <m/>
    <m/>
    <m/>
    <m/>
    <m/>
    <m/>
    <m/>
    <m/>
    <m/>
    <m/>
    <m/>
    <m/>
    <m/>
    <m/>
    <m/>
    <m/>
    <m/>
    <m/>
    <s v="NO"/>
    <m/>
    <m/>
    <s v="NO"/>
    <s v="NO"/>
    <m/>
    <m/>
    <m/>
    <x v="1"/>
    <s v="YES"/>
    <s v="YES"/>
    <s v="YES"/>
    <s v="YES"/>
    <s v="YES"/>
    <s v="YES"/>
    <s v="NO"/>
    <s v="NO"/>
    <m/>
    <x v="1"/>
    <m/>
    <x v="0"/>
    <m/>
    <x v="1"/>
    <x v="0"/>
    <s v="YES"/>
    <x v="0"/>
    <x v="0"/>
    <x v="0"/>
    <x v="0"/>
    <n v="4"/>
    <x v="1"/>
    <x v="1"/>
    <x v="1"/>
    <x v="1"/>
    <x v="1"/>
    <x v="1"/>
    <n v="4"/>
    <x v="1"/>
    <x v="1"/>
    <x v="1"/>
    <x v="1"/>
    <x v="1"/>
    <n v="3"/>
    <x v="0"/>
    <x v="2"/>
    <n v="2"/>
    <s v="International NGO(s)"/>
    <s v="University/research institution(s)"/>
    <s v="Local alliance(s)/Platform(s)/Network(s) of  NGOs/CSOs"/>
    <x v="1"/>
    <m/>
    <s v="No adjustments because it was a response project."/>
    <s v="A mandatory approach taken where men could only make up the 50 % of the training ceiling requirments and the other 50% were allocated to women participants."/>
    <m/>
    <m/>
    <s v="Increase days of the training and more emphasis on women's empowerment at the relations level. E.g. men"/>
    <m/>
    <m/>
    <s v="The women were able to talk openly about their feelings that were usually undervalued. Males became more supportive of their wives after the agriculture trainings."/>
    <m/>
    <n v="10012"/>
    <n v="50000"/>
    <n v="4.9940071913703559"/>
    <n v="0.5"/>
    <n v="0.5"/>
    <n v="5006"/>
    <n v="25000"/>
    <n v="1"/>
    <n v="10012"/>
    <n v="50000"/>
    <n v="4.9940071913703559"/>
    <n v="1"/>
    <n v="10012"/>
    <n v="52548"/>
    <n v="5.2485017978425885"/>
    <s v=""/>
    <n v="0"/>
    <n v="0"/>
    <s v=""/>
    <s v=""/>
    <n v="0"/>
    <n v="0"/>
    <s v=""/>
    <s v=""/>
    <n v="0"/>
    <n v="0"/>
    <s v=""/>
    <s v="2. Sensitive"/>
    <s v="2. Accommodating"/>
    <s v="2. Sensitive"/>
    <s v="It tested new ways for fighting poverty, but did not measure results of innovation"/>
    <s v="Moderate advocacy"/>
    <s v="It did not take tested solutions to scale"/>
  </r>
  <r>
    <x v="58"/>
    <x v="0"/>
    <n v="3287"/>
    <s v="Highlands Sexual reproductive and maternal health project"/>
    <s v="Papua New Guinea"/>
    <s v="PNG 046 / ANC10 / PG151"/>
    <s v="CARE Australia"/>
    <s v="Government"/>
    <s v="Government - Australia"/>
    <s v="Australian NGO Cooperation Program (ANCP)"/>
    <s v="PNG 046 / CEM 20 / PG162"/>
    <s v="CARE Australia"/>
    <s v="Government"/>
    <s v="Government - Australia"/>
    <s v="Pacific Women shaping pacific development (PWSPD)"/>
    <s v="PNG 046 / PNG50 / PG170"/>
    <m/>
    <s v="Government"/>
    <s v="Other"/>
    <s v="OWAN HEALTH SERVICES - MP"/>
    <s v="PNG 046 / PNG50 / PG179"/>
    <m/>
    <s v="Government"/>
    <s v="Other"/>
    <s v="Maternal Health Start up"/>
    <m/>
    <m/>
    <m/>
    <m/>
    <m/>
    <m/>
    <m/>
    <m/>
    <m/>
    <m/>
    <m/>
    <m/>
    <m/>
    <m/>
    <m/>
    <m/>
    <m/>
    <m/>
    <m/>
    <m/>
    <m/>
    <m/>
    <m/>
    <m/>
    <m/>
    <m/>
    <m/>
    <m/>
    <m/>
    <m/>
    <d v="2015-07-01T00:00:00"/>
    <d v="2017-06-30T00:00:00"/>
    <d v="2017-12-30T00:00:00"/>
    <s v="Development Sexual, Reproductive and Maternal Health (SRMH)"/>
    <n v="1199020"/>
    <s v="Justine McMahon"/>
    <s v="CI PNG Country Director"/>
    <s v="Justin.McMahon@careint.org"/>
    <m/>
    <m/>
    <m/>
    <s v="NO"/>
    <s v="YES"/>
    <s v="NO"/>
    <s v="To meaningfully and sustainably improve the health and wellbeing of women, their families and communities in targeted rural disadvantaged areas of Papua New Guinea (PNG)."/>
    <s v="Sub-National"/>
    <s v="Siaka, Onga waffa LLG in Markham district. Umba and Hengiapa in Kome LLG  and Yamaya in Kapao LLG both in Menyamya Distric. All sites are in Morobe Province of PNG"/>
    <s v="Women and their families"/>
    <n v="3327"/>
    <n v="2895"/>
    <n v="6222"/>
    <m/>
    <m/>
    <m/>
    <s v="Direct particiaptns are community members who take part directly in project activities such as trainings, awarenesss activites etc. In direct participat data is not clleted for this project."/>
    <m/>
    <m/>
    <m/>
    <m/>
    <m/>
    <m/>
    <m/>
    <m/>
    <m/>
    <m/>
    <m/>
    <m/>
    <m/>
    <m/>
    <m/>
    <m/>
    <m/>
    <m/>
    <m/>
    <m/>
    <m/>
    <m/>
    <m/>
    <m/>
    <m/>
    <m/>
    <m/>
    <m/>
    <m/>
    <m/>
    <m/>
    <m/>
    <m/>
    <m/>
    <m/>
    <m/>
    <m/>
    <m/>
    <m/>
    <m/>
    <m/>
    <m/>
    <m/>
    <m/>
    <m/>
    <m/>
    <m/>
    <m/>
    <m/>
    <m/>
    <m/>
    <m/>
    <m/>
    <m/>
    <m/>
    <m/>
    <m/>
    <m/>
    <m/>
    <m/>
    <n v="3327"/>
    <n v="2895"/>
    <n v="6222"/>
    <m/>
    <m/>
    <m/>
    <s v="NO"/>
    <m/>
    <m/>
    <m/>
    <s v="YES"/>
    <n v="761"/>
    <n v="0.56999999999999995"/>
    <n v="1700"/>
    <s v="NO"/>
    <m/>
    <m/>
    <m/>
    <s v="NO"/>
    <m/>
    <m/>
    <m/>
    <s v="NO"/>
    <m/>
    <m/>
    <m/>
    <s v="NO"/>
    <m/>
    <m/>
    <m/>
    <s v="YES"/>
    <n v="761"/>
    <n v="0.56999999999999995"/>
    <n v="1700"/>
    <s v="NO"/>
    <m/>
    <m/>
    <m/>
    <s v="NO"/>
    <m/>
    <m/>
    <m/>
    <s v="YES"/>
    <n v="3274"/>
    <n v="0.56999999999999995"/>
    <m/>
    <s v="NO"/>
    <m/>
    <m/>
    <m/>
    <s v="NO"/>
    <m/>
    <m/>
    <m/>
    <s v="NO"/>
    <m/>
    <m/>
    <m/>
    <s v="YES"/>
    <n v="2948"/>
    <n v="0.56000000000000005"/>
    <m/>
    <s v="YES"/>
    <n v="2034"/>
    <n v="0.51"/>
    <m/>
    <s v="NO"/>
    <m/>
    <m/>
    <m/>
    <m/>
    <m/>
    <m/>
    <m/>
    <m/>
    <s v="YES"/>
    <s v="June"/>
    <n v="2017"/>
    <s v="YES"/>
    <s v="NO"/>
    <m/>
    <m/>
    <m/>
    <x v="1"/>
    <m/>
    <m/>
    <m/>
    <s v="YES"/>
    <m/>
    <m/>
    <m/>
    <m/>
    <m/>
    <x v="0"/>
    <m/>
    <x v="0"/>
    <m/>
    <x v="1"/>
    <x v="1"/>
    <s v="YES"/>
    <x v="0"/>
    <x v="0"/>
    <x v="0"/>
    <x v="2"/>
    <n v="4"/>
    <x v="1"/>
    <x v="1"/>
    <x v="1"/>
    <x v="1"/>
    <x v="1"/>
    <x v="1"/>
    <n v="4"/>
    <x v="3"/>
    <x v="2"/>
    <x v="2"/>
    <x v="1"/>
    <x v="5"/>
    <n v="1"/>
    <x v="2"/>
    <x v="3"/>
    <n v="2"/>
    <s v="Local government(s)"/>
    <s v="Local NGO(s)/CSO(s)"/>
    <s v="National government"/>
    <x v="1"/>
    <m/>
    <m/>
    <s v="Engageing men as leaders to become role models and drivers of change"/>
    <s v="Community action planning"/>
    <s v="Government partner for cost sharing for project activites"/>
    <s v="Selection of health facilites catchments should be more strategic to enable us to promote services that are actually provided in these facilites"/>
    <s v="Involvement of health staff in the VHV training should commence in the beginning of the project inorder to get support."/>
    <m/>
    <m/>
    <m/>
    <n v="6222"/>
    <n v="0"/>
    <n v="0"/>
    <n v="0.53471552555448409"/>
    <s v=""/>
    <n v="3327"/>
    <n v="0"/>
    <s v=""/>
    <n v="0"/>
    <n v="0"/>
    <s v=""/>
    <n v="1"/>
    <n v="2034"/>
    <n v="1700"/>
    <n v="0.83579154375614551"/>
    <n v="1"/>
    <n v="2948"/>
    <n v="0"/>
    <n v="0"/>
    <s v=""/>
    <n v="0"/>
    <n v="0"/>
    <s v=""/>
    <s v=""/>
    <n v="0"/>
    <n v="0"/>
    <s v=""/>
    <s v="4. Transformative"/>
    <s v="2. Accommodating"/>
    <s v="3. Responsive"/>
    <s v="It did not develop any specific innovation"/>
    <s v="Moderate advocacy"/>
    <s v="It did not take tested solutions to scale"/>
  </r>
  <r>
    <x v="58"/>
    <x v="0"/>
    <n v="3294"/>
    <s v="Improving Community Climate Resilience in Nissan"/>
    <s v="Papua New Guinea"/>
    <s v="PNG056"/>
    <s v="CARE Australia"/>
    <s v="Government"/>
    <s v="Government - US"/>
    <s v="Pacific American Climate Fund, USAID"/>
    <m/>
    <m/>
    <m/>
    <m/>
    <m/>
    <m/>
    <m/>
    <m/>
    <m/>
    <m/>
    <m/>
    <m/>
    <m/>
    <m/>
    <m/>
    <m/>
    <m/>
    <m/>
    <m/>
    <m/>
    <m/>
    <m/>
    <m/>
    <m/>
    <m/>
    <m/>
    <m/>
    <m/>
    <m/>
    <m/>
    <m/>
    <m/>
    <m/>
    <m/>
    <m/>
    <m/>
    <m/>
    <m/>
    <m/>
    <m/>
    <m/>
    <m/>
    <m/>
    <m/>
    <m/>
    <d v="2015-03-10T00:00:00"/>
    <d v="2016-08-31T00:00:00"/>
    <d v="2017-03-31T00:00:00"/>
    <s v="Development Food &amp; Nutrition Security and Resilience to Climate Change"/>
    <n v="855404"/>
    <s v="Christopher Hershey"/>
    <s v="Program Director, Bougainville"/>
    <s v="christopher.hershey@careint.org"/>
    <s v="Justine McMahon"/>
    <s v="Country Director, Papua New Guinea"/>
    <s v="justine.mcmahon@careint.org"/>
    <s v="NO"/>
    <s v="YES"/>
    <s v="NO"/>
    <s v="To increase sustainable management of marine resources through development of community-based coastal and marine resource management plans in Nissan District of Papua New Guinea (PNG). This will involve expanding the role of existing community-based adaptation (CBA) groups, facilitating the development of marine resource inventory tools for communities, and providing training in basic marine ecology to women and men in CBA groups."/>
    <s v="Sub-National"/>
    <s v="21 Villages on Pinepel and Nissan islands (clustered into 6 groups), Nissan District, Autonomous Region of Bougainville"/>
    <s v="Village women and men, and girls and boys"/>
    <n v="600"/>
    <n v="600"/>
    <n v="1200"/>
    <n v="1200"/>
    <n v="1200"/>
    <n v="2400"/>
    <s v="Village women and men"/>
    <m/>
    <m/>
    <m/>
    <m/>
    <m/>
    <m/>
    <m/>
    <m/>
    <m/>
    <m/>
    <m/>
    <m/>
    <m/>
    <m/>
    <m/>
    <m/>
    <m/>
    <m/>
    <m/>
    <m/>
    <m/>
    <m/>
    <m/>
    <m/>
    <m/>
    <m/>
    <m/>
    <m/>
    <m/>
    <m/>
    <m/>
    <m/>
    <m/>
    <m/>
    <m/>
    <m/>
    <m/>
    <m/>
    <m/>
    <m/>
    <m/>
    <m/>
    <m/>
    <m/>
    <m/>
    <m/>
    <m/>
    <m/>
    <m/>
    <m/>
    <m/>
    <m/>
    <m/>
    <m/>
    <m/>
    <m/>
    <m/>
    <m/>
    <m/>
    <m/>
    <n v="434"/>
    <n v="327"/>
    <n v="761"/>
    <n v="1000"/>
    <n v="700"/>
    <n v="1700"/>
    <s v="YES"/>
    <m/>
    <m/>
    <m/>
    <s v="YES"/>
    <m/>
    <m/>
    <m/>
    <m/>
    <m/>
    <m/>
    <m/>
    <m/>
    <m/>
    <m/>
    <m/>
    <m/>
    <m/>
    <m/>
    <m/>
    <m/>
    <m/>
    <m/>
    <m/>
    <s v="YES"/>
    <m/>
    <m/>
    <m/>
    <m/>
    <m/>
    <m/>
    <m/>
    <s v="YES"/>
    <m/>
    <m/>
    <m/>
    <m/>
    <m/>
    <m/>
    <m/>
    <m/>
    <m/>
    <m/>
    <m/>
    <s v="YES"/>
    <m/>
    <m/>
    <m/>
    <m/>
    <m/>
    <m/>
    <m/>
    <m/>
    <m/>
    <m/>
    <m/>
    <m/>
    <m/>
    <m/>
    <m/>
    <m/>
    <m/>
    <m/>
    <m/>
    <m/>
    <m/>
    <m/>
    <m/>
    <m/>
    <s v="YES"/>
    <s v="February"/>
    <n v="2017"/>
    <s v="YES"/>
    <s v="NO"/>
    <m/>
    <m/>
    <s v="No further evaluation, project has ended."/>
    <x v="0"/>
    <s v="YES"/>
    <m/>
    <s v="YES"/>
    <m/>
    <m/>
    <m/>
    <m/>
    <m/>
    <m/>
    <x v="0"/>
    <m/>
    <x v="2"/>
    <m/>
    <x v="0"/>
    <x v="1"/>
    <s v="YES"/>
    <x v="1"/>
    <x v="0"/>
    <x v="1"/>
    <x v="4"/>
    <n v="2"/>
    <x v="3"/>
    <x v="1"/>
    <x v="2"/>
    <x v="2"/>
    <x v="2"/>
    <x v="3"/>
    <n v="1"/>
    <x v="3"/>
    <x v="2"/>
    <x v="2"/>
    <x v="1"/>
    <x v="5"/>
    <n v="1"/>
    <x v="3"/>
    <x v="0"/>
    <n v="4"/>
    <s v="Grassroots organization(s)"/>
    <s v="International NGO(s)"/>
    <s v="Local government(s)"/>
    <x v="2"/>
    <s v="The Project provided direct support to a local community-based environment group, Kirapim Laip, which included assisting it to develop key policies and procedures and to become registered wiith the national Investment Promotion Authority (which legitimises receipt of grants).  The group now has an established profile and base capacity based on Project activities it implemented.  "/>
    <s v="The project became more gender sensitive, adjusting activities to make it more possible for village women to participate."/>
    <s v="Community planning, reflected in local marine resource management plans"/>
    <s v="Marine resource survey, done by the villagers themselves with technical support from CARE"/>
    <s v="Explicitly identifying local environmental groups and supporting their development"/>
    <s v="Promote women's participation and leadership, even while working in (apparently) patriarchal communities"/>
    <s v="When possible, work with communities over years to build trust and to allow for different initiatives to reinforce each other"/>
    <s v="Have staff live with the community, in this case, on  (remote) islands so they are available for informal consultation, monitoring and support"/>
    <s v="The Project was severely hampered by repeated changes in management and supervision which made maintaining an overview of tasks and priorities difficult."/>
    <s v="Evaluation:  NissanResilience_FEReport_20170626_Comp.docx   Final report:  &quot;Final Report 31.03.17.docx"/>
    <n v="761"/>
    <n v="1700"/>
    <n v="2.2339027595269383"/>
    <n v="0.57030223390275958"/>
    <n v="0.58823529411764708"/>
    <n v="434"/>
    <n v="1000"/>
    <s v=""/>
    <n v="0"/>
    <n v="0"/>
    <s v=""/>
    <n v="1"/>
    <n v="0"/>
    <n v="0"/>
    <s v=""/>
    <s v=""/>
    <n v="0"/>
    <n v="0"/>
    <s v=""/>
    <s v=""/>
    <n v="0"/>
    <n v="0"/>
    <s v=""/>
    <s v=""/>
    <n v="0"/>
    <n v="0"/>
    <s v=""/>
    <s v="3. Responsive"/>
    <s v="0. Unaware"/>
    <s v="3. Responsive"/>
    <s v="It did not develop any specific innovation"/>
    <s v="Little or no advocacy"/>
    <n v="0"/>
  </r>
  <r>
    <x v="58"/>
    <x v="0"/>
    <n v="3284"/>
    <s v="PNG Highlands Drought Resilience Project"/>
    <s v="Papua New Guinea"/>
    <m/>
    <s v="CARE Australia"/>
    <s v="Government"/>
    <s v="Government - Austria"/>
    <s v="Australian NGO Cooperation Program (ANCP)"/>
    <m/>
    <s v="No CARE member related to the project/initiative"/>
    <s v="Multilateral agency"/>
    <s v="ECHO - European Commission for Humanitarian Aid and Civil Protection"/>
    <s v="ECHO"/>
    <m/>
    <s v="CARE Australia"/>
    <s v="Other"/>
    <s v="Other"/>
    <s v="HPA-Humanitarian  Partnership Agreement"/>
    <m/>
    <s v="No CARE member related to the project/initiative"/>
    <s v="Multilateral agency"/>
    <s v="Other"/>
    <s v="World Food Programme (WFP)"/>
    <m/>
    <s v="No CARE member related to the project/initiative"/>
    <s v="Government"/>
    <s v="Other"/>
    <s v="Ministry of Foreign Affairs and Trade - New Zealand "/>
    <m/>
    <m/>
    <m/>
    <m/>
    <m/>
    <m/>
    <m/>
    <m/>
    <m/>
    <m/>
    <m/>
    <m/>
    <m/>
    <m/>
    <m/>
    <m/>
    <m/>
    <m/>
    <m/>
    <m/>
    <m/>
    <m/>
    <m/>
    <m/>
    <m/>
    <d v="2016-01-13T00:00:00"/>
    <m/>
    <m/>
    <s v="Humanitarian Food &amp; Nutrition Security and Resilience to Climate Change"/>
    <n v="1650000"/>
    <s v="Anna Bryan"/>
    <s v="Program Director-CARE International in PNG"/>
    <s v="anna.bryan@careint.org"/>
    <s v="Stefan Knollmayer"/>
    <s v="Humanitarian &amp; Emergency Response Unit- CARE Australia"/>
    <s v="stefan.knollmayer@care.org.au"/>
    <s v="YES"/>
    <s v="YES"/>
    <s v="YES"/>
    <s v="Severly affected families, communities, and authorities across Chimbu, Morobe and Eastern Highlands Province are better prepared to mitigate, cope and recover from the effects of the El Nino related drought without facing extreme deprivation or resorting to harmful coping strategies..."/>
    <s v="Sub-National"/>
    <s v="14 Disrtricts across 6 Provinces- 1. Simbu Province ( Districts-Chuave, Sinesine Yongomul, Kundiawa Gembogl, Gumine) 2. Eastern Highands Province ( Districts-Henganofi, Lufa, Obura Wonenara) 3. Morobe Province ( Districts- Menyamya, Markham, Bulolo) 4. Western Highalnds (-District- Tambul)  5. Enga (Districts- Kandep, Lagaip Porgera) and 6. Hela Province (District- Komo Magarima)"/>
    <s v="The drought response activity was to support affected communities recover from the effects of the prolonged drought in most severely affected communities and districts categorized under category 4 5 in the initial drought assessment conducted by  PNG National Disaster Committee (NDC) in 2015.The project targeted the most vulnerable people in targeted communitites who were affected by the El Nino droughts. Particular attention was given to ensuring that women and children benefited from and were engaged in response activities."/>
    <n v="157548"/>
    <n v="170676"/>
    <n v="328224"/>
    <n v="787740"/>
    <n v="853380"/>
    <n v="1641120"/>
    <s v="The direct beneficiares are people who have directly benefited from the project. These are people who have received Food Items and NFI as well as those who have participated in the differnet trainings that were conducted during the El Nino response period. The total number of people reached was 328, 224 x 5 = 1,641120  (direct beneficiaries x 5 size of houshold average= indirect beneficiaries). The  list of indicators  below shows the results of activities also conducted during the respond period. Number of people who have attended Wash awareness-76, 045 ( acording to our Post Distribution Monitoring, only 56.4% of houshold beneficiaries were present at the sessions WASH Hardware- 4 projects (x2 large, x2 small) Number of health facilities provided disease outbreak preparedness training and WHO manuals-20 health facilites .Number of HeRams Health Facility Assessments Conducted-20. Health Facilities Supported with Equipment- 3 health facilities. Number of people who attended CAREs Community Disaster Management Training-335 Number of Interagency Coordination Meetings conducted-32. Collaboration with/Support to local partners, Church and CBO organisations -5                                                                                                                                                                                                                                                                                                                                                                        Total number of people reached by CAREs response will be significantly higher than 328, 224 (WASH and Food alone). Data for CDM training, Agricultural drought resilience training, equipment support to health facilities, and WASH hardware hasnt been properly collated to reflect the actual number of direct beneficiaries to CAREs response projects.  "/>
    <m/>
    <n v="157548"/>
    <n v="170676"/>
    <n v="328224"/>
    <n v="787740"/>
    <n v="853380"/>
    <n v="1641120"/>
    <s v="NO"/>
    <m/>
    <m/>
    <m/>
    <s v="NO"/>
    <m/>
    <m/>
    <m/>
    <s v="NO"/>
    <m/>
    <m/>
    <m/>
    <s v="YES"/>
    <n v="328224"/>
    <n v="0.52"/>
    <n v="1641120"/>
    <s v="NO"/>
    <m/>
    <m/>
    <m/>
    <s v="NO"/>
    <m/>
    <m/>
    <m/>
    <s v="YES"/>
    <n v="6933"/>
    <n v="0.24"/>
    <n v="34665"/>
    <s v="Yes"/>
    <n v="1351"/>
    <n v="0.46"/>
    <n v="6755"/>
    <s v="NO"/>
    <m/>
    <m/>
    <m/>
    <s v="NO"/>
    <n v="0"/>
    <m/>
    <m/>
    <s v="NO"/>
    <m/>
    <m/>
    <m/>
    <s v="YES"/>
    <n v="76045"/>
    <m/>
    <m/>
    <s v="Health facility support:                                    Number of health staff who received nutrition training-63. Number of health facilities provided disease outbreak preparedness training and WHO manuals-20 Number of HeRams Health Facility Assessments Conducted-20. Health Facilities Supported with Equipment-3"/>
    <s v="YES"/>
    <m/>
    <m/>
    <m/>
    <n v="157548"/>
    <n v="170676"/>
    <n v="328224"/>
    <n v="787740"/>
    <n v="853380"/>
    <n v="1641120"/>
    <s v="YES"/>
    <n v="1351"/>
    <n v="0.46"/>
    <n v="6755"/>
    <s v="YES"/>
    <n v="335"/>
    <n v="0.34"/>
    <n v="1675"/>
    <s v="NO"/>
    <m/>
    <m/>
    <m/>
    <s v="YES"/>
    <n v="335"/>
    <n v="0.34"/>
    <n v="1675"/>
    <s v="NO"/>
    <m/>
    <m/>
    <m/>
    <s v="NO"/>
    <m/>
    <m/>
    <m/>
    <s v="YES"/>
    <n v="328224"/>
    <n v="0.52"/>
    <n v="1641120"/>
    <s v="NO"/>
    <m/>
    <m/>
    <m/>
    <s v="NO"/>
    <m/>
    <m/>
    <m/>
    <s v="YES"/>
    <n v="1101"/>
    <n v="0.42"/>
    <n v="5505"/>
    <s v="YES"/>
    <m/>
    <m/>
    <m/>
    <s v="NO"/>
    <m/>
    <m/>
    <m/>
    <s v="NO"/>
    <m/>
    <m/>
    <m/>
    <s v="YES"/>
    <n v="6933"/>
    <n v="0.24"/>
    <n v="34665"/>
    <s v="YES"/>
    <n v="76045"/>
    <m/>
    <n v="6755"/>
    <s v="NO"/>
    <m/>
    <m/>
    <m/>
    <s v="Information provided here would be the same as above"/>
    <s v="YES"/>
    <m/>
    <m/>
    <m/>
    <s v="YES"/>
    <s v="September"/>
    <n v="2016"/>
    <s v="YES"/>
    <s v="NO"/>
    <m/>
    <m/>
    <m/>
    <x v="0"/>
    <s v="NO"/>
    <s v="NO"/>
    <s v="YES"/>
    <s v="NO"/>
    <s v="YES"/>
    <s v="YES"/>
    <s v="NO"/>
    <s v="YES"/>
    <s v="Working closely with National Disaster Committee and other stakeholders at sub national and national government  through information sharing. Also involved in co-chairing cluster meeting (Food cluster) with other partners."/>
    <x v="1"/>
    <s v="CARE had developed a Community Disaster Management Training Manual based on CARE's response during El Nino and this manual was approved by the National Disaster Committe and will be used as a Training Tool across Papua New Guinea"/>
    <x v="1"/>
    <s v="Working closely with National Disaster Committee and other stakeholders at sub national and national government  through information sharing. Also involved in co-chairing UN cluster meeting (Food cluster) with other partners. Taking the lead in facilitating the quarterly meeting with Eastern Highlands sub national government and its stakholders to strenthen their work around disaster through information sharing"/>
    <x v="1"/>
    <x v="0"/>
    <s v="YES"/>
    <x v="0"/>
    <x v="0"/>
    <x v="0"/>
    <x v="0"/>
    <n v="4"/>
    <x v="1"/>
    <x v="1"/>
    <x v="1"/>
    <x v="1"/>
    <x v="1"/>
    <x v="1"/>
    <n v="4"/>
    <x v="3"/>
    <x v="1"/>
    <x v="1"/>
    <x v="1"/>
    <x v="4"/>
    <n v="3"/>
    <x v="3"/>
    <x v="0"/>
    <n v="5"/>
    <s v="International NGO(s)"/>
    <s v="National government"/>
    <s v="Local NGO(s)/CSO(s)"/>
    <x v="0"/>
    <s v="The Community Disaster Management Training was one area that involved civil society. Participants represented their commmunitires, districts and sib national levels and othe CARE partners on the ground. The idea behind the training was for these different people to be prepared for a disaster. By implementing this training module, CARE is hoping that the sub national govenrment and its partners will be able to take this on to train others in this space."/>
    <m/>
    <s v="CARE had used the Humanitarian Principles and the Minimum Sphere standards to guide its work during the response period"/>
    <s v="CARE has a good working relationship with its partners and had worked in collaboration with the different partners to implement some of the project activities"/>
    <s v="During the El Nino drought, CARE was the only organisation in PNG that did the Gender Rapid Assessment"/>
    <m/>
    <m/>
    <m/>
    <s v="The project was implemented through three phases based on sequencing of activities.   Phase 1 included health and nutrition screening, immunisations and referrals; community awareness on hygiene, health promotion and agricultural drought mitigation; and household registrations for NFI WASH distributions.   Phase 2 included community WASH infrastructure and hardware; and distribution of WASH NFIs and food assistance. Phase 3 included agricultural recovery training; distribution of agricultural tools and planting materials; capacity building training for government staff on emergency preparedness and response; continued health and nutrition promotion; and post-distribution monitoring. Coordination activities ran across all three phases"/>
    <m/>
    <n v="328224"/>
    <n v="1641120"/>
    <n v="5"/>
    <n v="0.48000146241591107"/>
    <n v="0.48000146241591107"/>
    <n v="157548"/>
    <n v="787740"/>
    <n v="1"/>
    <n v="328224"/>
    <n v="1641120"/>
    <n v="5"/>
    <n v="1"/>
    <n v="328224"/>
    <n v="1641120"/>
    <n v="5"/>
    <n v="1"/>
    <n v="6933"/>
    <n v="34665"/>
    <n v="5"/>
    <s v=""/>
    <n v="0"/>
    <n v="0"/>
    <s v=""/>
    <s v=""/>
    <n v="0"/>
    <n v="0"/>
    <s v=""/>
    <s v="2. Sensitive"/>
    <s v="2. Accommodating"/>
    <s v="4. Transformative"/>
    <s v="It tested new ways for fighting poverty, but did not measure results of innovation"/>
    <s v="Little or no advocacy"/>
    <s v="It linked and worked with strategic alliances and partners to take tested and effective solutions to scale"/>
  </r>
  <r>
    <x v="58"/>
    <x v="0"/>
    <m/>
    <s v="World Food Program Food Distribution"/>
    <s v="Papua New Guinea"/>
    <m/>
    <s v="No CARE member related to the project/initiative"/>
    <s v="Multilateral agency"/>
    <s v="UN - United Nations agencies/offices"/>
    <s v="World Food Programme (WFP)"/>
    <m/>
    <m/>
    <m/>
    <m/>
    <m/>
    <m/>
    <m/>
    <m/>
    <m/>
    <m/>
    <m/>
    <m/>
    <m/>
    <m/>
    <m/>
    <m/>
    <m/>
    <m/>
    <m/>
    <m/>
    <m/>
    <m/>
    <m/>
    <m/>
    <m/>
    <m/>
    <m/>
    <m/>
    <m/>
    <m/>
    <m/>
    <m/>
    <m/>
    <m/>
    <m/>
    <m/>
    <m/>
    <m/>
    <m/>
    <m/>
    <m/>
    <m/>
    <m/>
    <m/>
    <m/>
    <d v="2016-05-09T00:00:00"/>
    <d v="2016-08-31T00:00:00"/>
    <m/>
    <s v="Humanitarian Food &amp; Nutrition Security and Resilience to Climate Change"/>
    <n v="1220165"/>
    <s v="Justine McMahon"/>
    <s v="Country Director"/>
    <s v="Justine.McMahon@careint.org"/>
    <m/>
    <m/>
    <m/>
    <s v="YES"/>
    <s v="NO"/>
    <s v="NO"/>
    <s v="To distribute emergency food rations for three months to frost and drought affected populations in four LLGs of Hela and Enga Provinces."/>
    <s v="Sub-National"/>
    <s v="Enga and Hela Provinces in Papua New Guinea"/>
    <s v="Frost affected rural villages in Kandep and Margarima Districts"/>
    <n v="26250"/>
    <n v="26250"/>
    <n v="52500"/>
    <n v="132700"/>
    <n v="132700"/>
    <n v="265400"/>
    <m/>
    <m/>
    <n v="26274"/>
    <n v="26274"/>
    <n v="52548"/>
    <n v="132700"/>
    <n v="132700"/>
    <n v="265400"/>
    <m/>
    <m/>
    <m/>
    <m/>
    <m/>
    <m/>
    <m/>
    <m/>
    <m/>
    <m/>
    <m/>
    <m/>
    <s v="YES"/>
    <n v="52548"/>
    <n v="0.5"/>
    <m/>
    <m/>
    <m/>
    <m/>
    <m/>
    <m/>
    <m/>
    <m/>
    <m/>
    <m/>
    <m/>
    <m/>
    <m/>
    <m/>
    <m/>
    <m/>
    <m/>
    <m/>
    <m/>
    <m/>
    <m/>
    <m/>
    <m/>
    <m/>
    <m/>
    <m/>
    <m/>
    <m/>
    <m/>
    <m/>
    <m/>
    <m/>
    <m/>
    <m/>
    <m/>
    <m/>
    <m/>
    <m/>
    <m/>
    <m/>
    <m/>
    <m/>
    <m/>
    <m/>
    <m/>
    <m/>
    <m/>
    <m/>
    <m/>
    <m/>
    <m/>
    <m/>
    <m/>
    <m/>
    <m/>
    <m/>
    <m/>
    <m/>
    <m/>
    <m/>
    <m/>
    <m/>
    <m/>
    <m/>
    <m/>
    <m/>
    <m/>
    <m/>
    <m/>
    <m/>
    <m/>
    <m/>
    <m/>
    <m/>
    <m/>
    <m/>
    <m/>
    <m/>
    <m/>
    <m/>
    <m/>
    <m/>
    <m/>
    <m/>
    <m/>
    <m/>
    <m/>
    <m/>
    <m/>
    <m/>
    <m/>
    <m/>
    <m/>
    <m/>
    <m/>
    <m/>
    <m/>
    <m/>
    <m/>
    <m/>
    <m/>
    <m/>
    <m/>
    <m/>
    <m/>
    <m/>
    <m/>
    <m/>
    <m/>
    <m/>
    <m/>
    <m/>
    <m/>
    <s v="NO"/>
    <m/>
    <m/>
    <s v="NO"/>
    <s v="NO"/>
    <m/>
    <m/>
    <m/>
    <x v="1"/>
    <s v="NO"/>
    <s v="YES"/>
    <s v="YES"/>
    <s v="YES"/>
    <s v="YES"/>
    <s v="NO"/>
    <s v="NO"/>
    <s v="NO"/>
    <m/>
    <x v="0"/>
    <m/>
    <x v="0"/>
    <m/>
    <x v="1"/>
    <x v="0"/>
    <s v="YES"/>
    <x v="0"/>
    <x v="0"/>
    <x v="0"/>
    <x v="0"/>
    <n v="4"/>
    <x v="1"/>
    <x v="1"/>
    <x v="1"/>
    <x v="1"/>
    <x v="1"/>
    <x v="1"/>
    <n v="4"/>
    <x v="1"/>
    <x v="1"/>
    <x v="1"/>
    <x v="1"/>
    <x v="1"/>
    <n v="3"/>
    <x v="2"/>
    <x v="2"/>
    <n v="1"/>
    <s v="Multilateral organization(s)"/>
    <m/>
    <m/>
    <x v="1"/>
    <m/>
    <s v="No transformative reflections"/>
    <m/>
    <m/>
    <m/>
    <s v="Better assessment of the actual number of people affected including the number that frequently migrate these communities."/>
    <m/>
    <m/>
    <s v="This activity made CARE's presence known in these two upper highlands provinces."/>
    <m/>
    <n v="52548"/>
    <n v="265400"/>
    <n v="5.0506203851716522"/>
    <n v="0.5"/>
    <n v="0.5"/>
    <n v="26274"/>
    <n v="132700"/>
    <n v="1"/>
    <n v="52548"/>
    <n v="265400"/>
    <n v="5.0506203851716522"/>
    <n v="1"/>
    <n v="52548"/>
    <n v="0"/>
    <n v="0"/>
    <s v=""/>
    <n v="0"/>
    <n v="0"/>
    <s v=""/>
    <s v=""/>
    <n v="0"/>
    <n v="0"/>
    <s v=""/>
    <s v=""/>
    <n v="0"/>
    <n v="0"/>
    <s v=""/>
    <s v="2. Sensitive"/>
    <s v="2. Accommodating"/>
    <s v="2. Sensitive"/>
    <s v="It did not develop any specific innovation"/>
    <s v="Moderate advocacy"/>
    <s v="It did not take tested solutions to scale"/>
  </r>
  <r>
    <x v="59"/>
    <x v="4"/>
    <m/>
    <s v="Apoyo al mejoramiento de la cobertura y la calidad educativa en diez centros educativos en el distrito de Hualgayoc"/>
    <s v="Peru"/>
    <s v="GOLDPE0001"/>
    <s v="No CARE member related to the project/initiative"/>
    <s v="Corporation"/>
    <s v="Other"/>
    <s v="Gold Fields La Cima S.A."/>
    <m/>
    <m/>
    <m/>
    <m/>
    <m/>
    <m/>
    <m/>
    <m/>
    <m/>
    <m/>
    <m/>
    <m/>
    <m/>
    <m/>
    <m/>
    <m/>
    <m/>
    <m/>
    <m/>
    <m/>
    <m/>
    <m/>
    <m/>
    <m/>
    <m/>
    <m/>
    <m/>
    <m/>
    <m/>
    <m/>
    <m/>
    <m/>
    <m/>
    <m/>
    <m/>
    <m/>
    <m/>
    <m/>
    <m/>
    <m/>
    <m/>
    <m/>
    <m/>
    <m/>
    <m/>
    <d v="2017-05-17T00:00:00"/>
    <d v="2018-02-28T00:00:00"/>
    <m/>
    <s v="Development Other"/>
    <n v="153335"/>
    <s v="Segundo Dávila"/>
    <s v="Gerente de Programas"/>
    <s v="sdavila@care.org.pe"/>
    <s v="Maclovio Olivares"/>
    <s v="Jefe de Proyecto de Educación"/>
    <s v="molivares@care.org.pe"/>
    <s v="NO"/>
    <s v="YES"/>
    <s v="NO"/>
    <s v="Apoyar al mejoramiento a la cobertura y la calidad educativa a través de la contratación de personal docente y auxiliar para instituciones educativas multigrado del área de influencia de Gold Fields La Cima S.A."/>
    <s v="Sub-National"/>
    <s v="Distrito de Hualgayoc- Cajamarca"/>
    <s v="Estudiantes / Docentes"/>
    <n v="15"/>
    <n v="6"/>
    <n v="21"/>
    <n v="279"/>
    <n v="268"/>
    <n v="547"/>
    <s v="Los participantes directos son los docentes contratados para atender a los y las estudiandes quienes son los y las participantes indirectos."/>
    <m/>
    <m/>
    <m/>
    <m/>
    <m/>
    <m/>
    <m/>
    <m/>
    <m/>
    <m/>
    <m/>
    <m/>
    <m/>
    <m/>
    <m/>
    <m/>
    <m/>
    <m/>
    <m/>
    <m/>
    <m/>
    <m/>
    <m/>
    <m/>
    <m/>
    <m/>
    <m/>
    <m/>
    <m/>
    <m/>
    <m/>
    <m/>
    <m/>
    <m/>
    <m/>
    <m/>
    <m/>
    <m/>
    <m/>
    <m/>
    <m/>
    <m/>
    <m/>
    <m/>
    <m/>
    <m/>
    <m/>
    <m/>
    <m/>
    <m/>
    <m/>
    <m/>
    <m/>
    <m/>
    <m/>
    <m/>
    <m/>
    <m/>
    <m/>
    <m/>
    <n v="15"/>
    <n v="6"/>
    <n v="21"/>
    <n v="279"/>
    <n v="268"/>
    <n v="547"/>
    <m/>
    <m/>
    <m/>
    <m/>
    <m/>
    <m/>
    <m/>
    <m/>
    <m/>
    <m/>
    <m/>
    <m/>
    <m/>
    <m/>
    <m/>
    <m/>
    <m/>
    <m/>
    <m/>
    <m/>
    <s v="YES"/>
    <n v="21"/>
    <n v="0.71"/>
    <n v="547"/>
    <m/>
    <m/>
    <m/>
    <m/>
    <m/>
    <m/>
    <m/>
    <m/>
    <m/>
    <m/>
    <m/>
    <m/>
    <m/>
    <m/>
    <m/>
    <m/>
    <m/>
    <m/>
    <m/>
    <m/>
    <m/>
    <m/>
    <m/>
    <m/>
    <m/>
    <m/>
    <m/>
    <m/>
    <m/>
    <m/>
    <m/>
    <m/>
    <m/>
    <m/>
    <m/>
    <m/>
    <m/>
    <m/>
    <m/>
    <m/>
    <m/>
    <m/>
    <m/>
    <m/>
    <m/>
    <s v="NO"/>
    <m/>
    <m/>
    <s v="NO"/>
    <s v="NO"/>
    <m/>
    <m/>
    <m/>
    <x v="1"/>
    <s v="NO"/>
    <s v="NO"/>
    <s v="NO"/>
    <s v="YES"/>
    <s v="NO"/>
    <s v="NO"/>
    <s v="NO"/>
    <s v="NO"/>
    <m/>
    <x v="0"/>
    <m/>
    <x v="0"/>
    <m/>
    <x v="0"/>
    <x v="0"/>
    <s v="NO"/>
    <x v="0"/>
    <x v="0"/>
    <x v="0"/>
    <x v="1"/>
    <n v="3"/>
    <x v="1"/>
    <x v="2"/>
    <x v="1"/>
    <x v="1"/>
    <x v="1"/>
    <x v="1"/>
    <n v="3"/>
    <x v="1"/>
    <x v="2"/>
    <x v="1"/>
    <x v="2"/>
    <x v="3"/>
    <n v="1"/>
    <x v="2"/>
    <x v="2"/>
    <n v="3"/>
    <s v="Local government(s)"/>
    <s v="Local alliance(s)/Platform(s)/Network(s) of  NGOs/CSOs"/>
    <s v="Grassroots organization(s)"/>
    <x v="2"/>
    <s v="Asistencia Técnica al Gobierno Local para la implementación de las políticas educativas locales."/>
    <s v="Abordar el tema de la equidad e igualdad de género desde las aulas , así mismo, trabajar el tema de la participación y rendición de cuentas como mecanismo para asegurar la correcta implementación del proyecto. Además se viene trabajando el tema de sostenibilidad a través de proyectos innovadores de emprendimiento."/>
    <s v="Incorporar el tema de equidad e igualdad de género en las aulas."/>
    <s v="Asegurar la participación de las niñas como líderes de los grupos de emprendimientos escolares."/>
    <s v="Fomentar la cultura del ahorro y emprendimiento escolar como mecanismos de reducción de la pobreza."/>
    <s v="Transitar de un modelo  pedagógico estático y desfasado a un modelo innovador y práctico con enfoque de género."/>
    <s v="Sensibilizar a los y las docentes de las escuelas rurales ."/>
    <s v="Romper estereotipos de género en las escuelas rurales."/>
    <m/>
    <m/>
    <n v="21"/>
    <n v="547"/>
    <n v="26.047619047619047"/>
    <n v="0.7142857142857143"/>
    <n v="0.51005484460694694"/>
    <n v="15"/>
    <n v="279"/>
    <s v=""/>
    <n v="0"/>
    <n v="0"/>
    <s v=""/>
    <s v=""/>
    <n v="0"/>
    <n v="0"/>
    <s v=""/>
    <s v=""/>
    <n v="0"/>
    <n v="0"/>
    <s v=""/>
    <s v=""/>
    <n v="0"/>
    <n v="0"/>
    <s v=""/>
    <s v=""/>
    <n v="0"/>
    <n v="0"/>
    <s v=""/>
    <s v="1. Neutral"/>
    <s v="2. Accommodating"/>
    <s v="1. Neutral"/>
    <s v="It did not develop any specific innovation"/>
    <s v="Moderate advocacy"/>
    <s v="It did not take tested solutions to scale"/>
  </r>
  <r>
    <x v="59"/>
    <x v="4"/>
    <m/>
    <s v="Ayuda Humanitaria de emergencia para poblaciones vulnerables  afectadas por las grandes inundaciones de Perú (Start Fund - Acción contra el Hambre)  (Piura 600 kits + 1 sistema)"/>
    <s v="Peru"/>
    <s v="ACHXPE0001"/>
    <s v="CARE Peru"/>
    <s v="Foundation"/>
    <s v="Other"/>
    <s v="Start Fund"/>
    <m/>
    <m/>
    <m/>
    <m/>
    <m/>
    <m/>
    <m/>
    <m/>
    <m/>
    <m/>
    <m/>
    <m/>
    <m/>
    <m/>
    <m/>
    <m/>
    <m/>
    <m/>
    <m/>
    <m/>
    <m/>
    <m/>
    <m/>
    <m/>
    <m/>
    <m/>
    <m/>
    <m/>
    <m/>
    <m/>
    <m/>
    <m/>
    <m/>
    <m/>
    <m/>
    <m/>
    <m/>
    <m/>
    <m/>
    <m/>
    <m/>
    <m/>
    <m/>
    <m/>
    <m/>
    <d v="2017-03-24T00:00:00"/>
    <d v="2017-05-08T00:00:00"/>
    <m/>
    <s v="Humanitarian Other"/>
    <n v="91973"/>
    <s v="Walter Vilchez Dávila"/>
    <s v="Gerente del Programa de Nutrición y Seguridad Alimentaria"/>
    <s v="wvilchez@care.org.pe"/>
    <m/>
    <m/>
    <m/>
    <s v="YES"/>
    <s v="NO"/>
    <s v="NO"/>
    <s v="Brindar asistencia humanitaria a las familias damnificadas debido a la emergencia producida por el Fenomeno El Niño Costero"/>
    <s v="Sub-National"/>
    <s v="El Proyecto se desarrollo en el departamento de Piura en las provincias de Piura (distritos de Catacaos, Cura Mori y Tambogrande) y Morropón (Buenos Aires)."/>
    <s v="El grupo de impacto fueron las familias damnificadas, las mismas que incluyen niñas, niños, adolescentes, jóvenes, adultos y adultos mayores."/>
    <n v="1527"/>
    <n v="1533"/>
    <n v="3060"/>
    <m/>
    <m/>
    <n v="0"/>
    <s v="Los beneficiarios directos se obtuvieron del total de kits distribuidos a las familias damnificadas, se calculo el total de personas considerando 5 personas por familia. La distribución por sexo fue de acuerdo al censo del INEI. Por la naturaleza del proyecto, no se consideran participantes indirectos."/>
    <m/>
    <n v="1527"/>
    <n v="1533"/>
    <n v="3060"/>
    <m/>
    <m/>
    <n v="0"/>
    <m/>
    <m/>
    <m/>
    <m/>
    <m/>
    <m/>
    <m/>
    <m/>
    <m/>
    <m/>
    <m/>
    <m/>
    <m/>
    <m/>
    <m/>
    <m/>
    <m/>
    <m/>
    <m/>
    <m/>
    <m/>
    <m/>
    <m/>
    <m/>
    <s v="YES"/>
    <n v="3060"/>
    <n v="0.49399999999999999"/>
    <m/>
    <m/>
    <m/>
    <m/>
    <m/>
    <s v="YES"/>
    <n v="3060"/>
    <n v="0.49399999999999999"/>
    <m/>
    <s v="YES"/>
    <n v="3060"/>
    <n v="0.49399999999999999"/>
    <m/>
    <s v="NO"/>
    <m/>
    <m/>
    <m/>
    <s v="YES"/>
    <n v="3060"/>
    <n v="0.49399999999999999"/>
    <m/>
    <m/>
    <m/>
    <m/>
    <m/>
    <m/>
    <m/>
    <m/>
    <m/>
    <m/>
    <m/>
    <m/>
    <m/>
    <m/>
    <m/>
    <m/>
    <m/>
    <m/>
    <m/>
    <m/>
    <m/>
    <m/>
    <m/>
    <m/>
    <m/>
    <m/>
    <m/>
    <m/>
    <m/>
    <m/>
    <m/>
    <m/>
    <m/>
    <m/>
    <m/>
    <m/>
    <m/>
    <m/>
    <m/>
    <m/>
    <m/>
    <m/>
    <m/>
    <m/>
    <m/>
    <m/>
    <m/>
    <m/>
    <m/>
    <m/>
    <m/>
    <m/>
    <m/>
    <m/>
    <m/>
    <m/>
    <m/>
    <m/>
    <m/>
    <m/>
    <m/>
    <m/>
    <m/>
    <m/>
    <m/>
    <m/>
    <m/>
    <m/>
    <m/>
    <m/>
    <m/>
    <m/>
    <m/>
    <m/>
    <m/>
    <m/>
    <m/>
    <m/>
    <m/>
    <m/>
    <m/>
    <s v="NO"/>
    <m/>
    <m/>
    <s v="NO"/>
    <s v="NO"/>
    <m/>
    <m/>
    <m/>
    <x v="2"/>
    <s v="NO"/>
    <s v="NO"/>
    <m/>
    <s v="YES"/>
    <s v="NO"/>
    <m/>
    <s v="YES"/>
    <m/>
    <m/>
    <x v="1"/>
    <m/>
    <x v="0"/>
    <m/>
    <x v="0"/>
    <x v="0"/>
    <s v="NO"/>
    <x v="0"/>
    <x v="0"/>
    <x v="0"/>
    <x v="1"/>
    <n v="3"/>
    <x v="1"/>
    <x v="1"/>
    <x v="1"/>
    <x v="1"/>
    <x v="1"/>
    <x v="1"/>
    <n v="4"/>
    <x v="1"/>
    <x v="1"/>
    <x v="2"/>
    <x v="1"/>
    <x v="3"/>
    <n v="2"/>
    <x v="0"/>
    <x v="3"/>
    <n v="1"/>
    <s v="Local government(s)"/>
    <s v="Grassroots organization(s)"/>
    <s v="Local alliance(s)/Platform(s)/Network(s) of  NGOs/CSOs"/>
    <x v="2"/>
    <s v="Los líderes de la comunidad se involucraron apoyando al equipo de emergencias en la identificación adecuada de las familias damnificadas. Asimismo, colaboraron con el orden y seguridad durante la entrega de los kits."/>
    <m/>
    <s v="Trabajo articulado y coordinado con el gobierno local."/>
    <s v="Involucramiento de los lideres comunitarios y autoridades locales."/>
    <s v="Conformación de un comité interinstitucional ayuda a evitar la duplicidad y optimizar los recursos disponibles."/>
    <s v="La adquisición local de insumos y materiales debe ser en lo posible descentralizada a fin de reducir los tiempos de entrega de bienes y servicios."/>
    <s v="El trabajo con gobiernos locales ayuda a reducir los costos logísticos para la atención de las familias damnificadas."/>
    <s v="La presencia previa de CARE en la región ha facilitado el despliegue organizativo logístico para el rápido desarrollo de las intervenciones de emergencia, así como el trabajo de incidencia, relacionamiento público y comunicación social."/>
    <m/>
    <m/>
    <n v="3060"/>
    <n v="0"/>
    <n v="0"/>
    <n v="0.49901960784313726"/>
    <s v=""/>
    <n v="1527"/>
    <n v="0"/>
    <n v="1"/>
    <n v="3060"/>
    <n v="0"/>
    <n v="0"/>
    <s v=""/>
    <n v="0"/>
    <n v="0"/>
    <s v=""/>
    <n v="1"/>
    <n v="3060"/>
    <n v="0"/>
    <n v="0"/>
    <s v=""/>
    <n v="0"/>
    <n v="0"/>
    <s v=""/>
    <s v=""/>
    <n v="0"/>
    <n v="0"/>
    <s v=""/>
    <s v="1. Neutral"/>
    <s v="2. Accommodating"/>
    <s v="1. Neutral"/>
    <s v="It tested new ways for fighting poverty, but did not measure results of innovation"/>
    <s v="Intensive advocacy"/>
    <s v="It did not take tested solutions to scale"/>
  </r>
  <r>
    <x v="59"/>
    <x v="4"/>
    <n v="3268"/>
    <s v="Calidad y Equidad en la Educación Básica Alternativa  EBA"/>
    <s v="Peru"/>
    <s v="DVVIPE002"/>
    <s v="No CARE member related to the project/initiative"/>
    <s v="Foundation"/>
    <s v="Other"/>
    <s v="DVV Internacional  "/>
    <m/>
    <m/>
    <m/>
    <m/>
    <m/>
    <m/>
    <m/>
    <m/>
    <m/>
    <m/>
    <m/>
    <m/>
    <m/>
    <m/>
    <m/>
    <m/>
    <m/>
    <m/>
    <m/>
    <m/>
    <m/>
    <m/>
    <m/>
    <m/>
    <m/>
    <m/>
    <m/>
    <m/>
    <m/>
    <m/>
    <m/>
    <m/>
    <m/>
    <m/>
    <m/>
    <m/>
    <m/>
    <m/>
    <m/>
    <m/>
    <m/>
    <m/>
    <m/>
    <m/>
    <m/>
    <d v="2017-04-01T00:00:00"/>
    <d v="2017-11-30T00:00:00"/>
    <m/>
    <s v="Development Other"/>
    <m/>
    <s v="Marina Figueroa Diaz"/>
    <s v="Responsable de proyecto en Puno"/>
    <s v="mfigueroa@care.org.pe"/>
    <s v="Segundo Davila Muñoz"/>
    <s v="Gerente de programas"/>
    <s v="sdavila@care.org.pe"/>
    <s v="YES"/>
    <s v="YES"/>
    <s v="YES"/>
    <s v="Adolescentes, jóvenes y adultos de la región tienen mejores oportunidades para desarrollar sus aprendizajes, mediante la implementación de  un currículo de Educación Básica Alternativa innovada y diversificada a sus demandas educativas y al  contexto social y cultural de la región alineada al Marco Curricular Nacional."/>
    <s v="Sub-National"/>
    <s v="Peru, departamento de Puno, ciudades de San Román y Puno."/>
    <s v="Jovenes y adultos que no han concluido su educacion primaria y secundaria y que estan matriculados en Centros de Educacion Basica Alternativa - EBA."/>
    <n v="525"/>
    <n v="825"/>
    <n v="1350"/>
    <n v="78"/>
    <n v="182"/>
    <n v="260"/>
    <s v="Los participantes directos son jovenes, adultos que asisten a los Centros de Educación Básica Alternativa CEBA de San Roman en numero de 16 y 10 CEBA de la ciudad de Puno, incluyendo a docentes y directores mujeres y varones que estan a cargo de los mencionados centros. Los participantes directos han sido calculados en base a los registros de asistencia de los jovenes y adultos a las sesiones de aprendizaje en los ciclos inicial, intermedio y avanzado de la EBA, en las formas de atencion: presencial (noches) semipresencial, perifericos (sabados y domingos) y a distancia (virtual) de los 26 CEBAS tomando en cuenta que la participacion de esta poblacion esta condicionada al tiempo que disponen, la mayoria de ellos trabajan formal e informalmente. Los participantes indirectos por la acción de incidencia de los docentes de San Roman y Puno en CEBA del Penal de Yanamayo, Islas de Amantani y los Uros(Puno) y los CEBA de los distritos de Cabana, Cabanillas, Santa Lucía (San Román) que estan a cargo de los docentes y no constituyen el ambito del Proyecto. Siendo la Fuente de informacion los registros de asistencia de los CEBA."/>
    <m/>
    <m/>
    <m/>
    <m/>
    <m/>
    <m/>
    <m/>
    <m/>
    <m/>
    <m/>
    <m/>
    <m/>
    <m/>
    <m/>
    <m/>
    <m/>
    <m/>
    <m/>
    <m/>
    <m/>
    <m/>
    <m/>
    <m/>
    <m/>
    <m/>
    <m/>
    <m/>
    <m/>
    <m/>
    <m/>
    <m/>
    <m/>
    <m/>
    <m/>
    <m/>
    <m/>
    <m/>
    <m/>
    <m/>
    <m/>
    <m/>
    <m/>
    <m/>
    <m/>
    <m/>
    <m/>
    <m/>
    <s v="YES"/>
    <m/>
    <m/>
    <m/>
    <s v="YES"/>
    <m/>
    <m/>
    <m/>
    <m/>
    <m/>
    <m/>
    <m/>
    <m/>
    <n v="525"/>
    <n v="825"/>
    <n v="1350"/>
    <n v="78"/>
    <n v="182"/>
    <n v="260"/>
    <m/>
    <m/>
    <m/>
    <m/>
    <m/>
    <m/>
    <m/>
    <m/>
    <m/>
    <m/>
    <m/>
    <m/>
    <m/>
    <m/>
    <m/>
    <m/>
    <m/>
    <m/>
    <m/>
    <m/>
    <s v="YES"/>
    <n v="1350"/>
    <n v="0.39"/>
    <n v="260"/>
    <m/>
    <m/>
    <m/>
    <m/>
    <m/>
    <m/>
    <m/>
    <m/>
    <m/>
    <m/>
    <m/>
    <m/>
    <m/>
    <m/>
    <m/>
    <m/>
    <m/>
    <m/>
    <m/>
    <m/>
    <m/>
    <m/>
    <m/>
    <m/>
    <m/>
    <m/>
    <m/>
    <m/>
    <m/>
    <m/>
    <m/>
    <m/>
    <m/>
    <m/>
    <m/>
    <m/>
    <m/>
    <m/>
    <m/>
    <m/>
    <m/>
    <m/>
    <m/>
    <m/>
    <m/>
    <s v="YES"/>
    <s v="March"/>
    <n v="2016"/>
    <s v="YES"/>
    <s v="NO"/>
    <m/>
    <m/>
    <s v="Se ha realizado una linea de base de referencia levantando las demandas y necesidades de aprendizaje de  los estudiantes jovenes y adultos  así como de los docentes con la finalidad de diversificar y contextualizar un curriculo para esta modalidad de educacion en la perpespectiva de que concluyan con sus estudios, como producto de los resultados de estas demandas se ha elaborado en forma participativa el curriculo para la Educacion Basica Alternativa, actualmente  este currículo se encuentra en evaluacion para su adecuacion al marco curricular nacional."/>
    <x v="1"/>
    <s v="YES"/>
    <s v="NO"/>
    <s v="YES"/>
    <s v="YES"/>
    <s v="YES"/>
    <s v="NO"/>
    <s v="NO"/>
    <s v="YES"/>
    <s v="Influencia en autoridades educativas, para colocar en su agenda la EBA mediante el curriculo diversificado como estrategia de desarrollo educativo de la Región Puno."/>
    <x v="1"/>
    <s v="Las jovenes mujeres y varones que no concluyeron su educacion primaria y secundaria tienen la oportunidad de concluir sus estudios, incrementar sus ingresos mejorando sus pequeños negocios, mediante su educacion para el trabajo con una fuerte incidencia en el emprendimiento y procurandoles, algunos insumos que los ayude a mejorar, en este caso tenemos dos CEOS con esas caracteristicas, Santa Adriana y Bolivar, las mujeres han pasado a producir a mayor escala uniformes para los colegios. La innovacion concreta es haber incorporado el emprendimiento como practica en la EBA."/>
    <x v="1"/>
    <s v="La alianza estrategica de principio fue  establecida con la Unidad de Gestión Educativa Local de San Roman y las autoridades de los CEBAs, mediante un  convenio marco existente con la Direccion Regional de Educación de Puno. La estrategia esta siendo incorporada en el Proyecto Educativo Regional que se encuentra en pleno proceso de revision porel Consejo Participativo de Educacion Regional de Puno COPARE. En este Consejo CARE en Puno esta a cargo de la secrertaria técnica."/>
    <x v="1"/>
    <x v="0"/>
    <s v="YES"/>
    <x v="0"/>
    <x v="0"/>
    <x v="0"/>
    <x v="0"/>
    <n v="4"/>
    <x v="3"/>
    <x v="1"/>
    <x v="2"/>
    <x v="2"/>
    <x v="1"/>
    <x v="3"/>
    <n v="2"/>
    <x v="3"/>
    <x v="1"/>
    <x v="1"/>
    <x v="1"/>
    <x v="4"/>
    <n v="3"/>
    <x v="2"/>
    <x v="3"/>
    <n v="1"/>
    <s v="Other"/>
    <m/>
    <m/>
    <x v="2"/>
    <s v="La educación es una alternativa para jovenes y adultos, que forman parte de la sociedad civil y que estan asistiendo a los CEBAS para mejorar su negocio o concluir su educación primaria o secundaria. Ejemplo de algunas actividades: Apoyo al desarrollo de talleres productivos. Formación de capacidades en planes de negocio. Incorporación del uso de los TIC en sus negocios."/>
    <s v="La Iniciativa fue para la construccion participativa de una propuesta curricular contextualizada para la EBA, considerando que el ambito es intercultural y bilingüe y una gran poblacion que no ha concluido su educacion primaria y secundaria, y luego su implementacion. El reajuste consistio en adecuar, contextualizar el curriculo a los lineamientos de politica dados por el reciente Marco Curricular Nacional, encontrándose actualmente en este proceso."/>
    <s v="Inclusion de una gran poblacion joven y adulta  que no concluyo sus estudios primarios y secundarios a una educacion básica alternativa."/>
    <s v="La educacion para el trabajo, el eje para mejorar aprendizajes, ingresos. Generando emprendimientos de pequeños negocios por la situacion de ser de las personas."/>
    <s v="La incorporacion de mujeres y varones que no iniciaron estudios primarios en una educacion inicial entrando en un proceso de alfabetizacion."/>
    <s v="Es  posible la inclusion de poblaciones de jovenes y adultos marginados de la educacion, haciendo visible las ventajas de una educacion básica alternativa como resultado positivo de sus pares."/>
    <s v="No es posible desarrollar una educacion basica alternativa para jovenes y adultos con un curriculo  de educación  basica regular, necesariamente el currículo tiene que ser adecuada a las demandas y necesidades de esta poblacion que en encuentra en condición especial, ello tiene que ver con horarios, priorizacion de conocimientos y fortalecimiento de competencias."/>
    <s v="La implementacion de talleres productivos a través de la incorporacion del area de educacion para el trabajo, enfatizando en el mejoramiento de sus pequeños negocios, es la forma que mayor atracción tiene la EBA especialmente para las mujeres jovenes."/>
    <s v="Esta iniciativa es de inclusion de una poblacion marginada de la educacion regular por diversos motivos, convirtiendose en una alternativa para la poblacion joven y adulta, existen perspectivas de desarrollo a mediano y largo plazo, enfoques como el de genero, resiliencia, económico por la condición de ser de los participantes. Es necesario darle mayor impulso, quedando el reto de buscar mayor financiamiento para esta poblacion."/>
    <s v="Demandas Educativas y Necesidades de aprendizaje de jovenes y adultos de la provincia de San Román, Curriculo Diversificado para la Educacion Basica Alternativa, Existe en archivos internos de la Oficina."/>
    <n v="1350"/>
    <n v="260"/>
    <n v="0.19259259259259259"/>
    <n v="0.3888888888888889"/>
    <n v="0.3"/>
    <n v="525"/>
    <n v="78"/>
    <n v="1"/>
    <n v="0"/>
    <n v="0"/>
    <s v=""/>
    <s v=""/>
    <n v="0"/>
    <n v="0"/>
    <s v=""/>
    <s v=""/>
    <n v="0"/>
    <n v="0"/>
    <s v=""/>
    <s v=""/>
    <n v="0"/>
    <n v="0"/>
    <s v=""/>
    <s v=""/>
    <n v="0"/>
    <n v="0"/>
    <s v=""/>
    <s v="2. Sensitive"/>
    <s v="0. Unaware"/>
    <s v="4. Transformative"/>
    <s v="It tested new ways for fighting poverty, but did not measure results of innovation"/>
    <s v="Moderate advocacy"/>
    <s v="It linked and worked with strategic alliances and partners to take tested and effective solutions to scale"/>
  </r>
  <r>
    <x v="59"/>
    <x v="4"/>
    <n v="3264"/>
    <s v="Calidad y equidad en la educación intercultural en Puno Kawsay II     "/>
    <s v="Peru"/>
    <s v="CUSAPE0007"/>
    <s v="CARE USA"/>
    <s v="Foundation"/>
    <s v="Other"/>
    <s v="Douglas B. Marshall Jr. Family Foundation"/>
    <m/>
    <m/>
    <m/>
    <m/>
    <m/>
    <m/>
    <m/>
    <m/>
    <m/>
    <m/>
    <m/>
    <m/>
    <m/>
    <m/>
    <m/>
    <m/>
    <m/>
    <m/>
    <m/>
    <m/>
    <m/>
    <m/>
    <m/>
    <m/>
    <m/>
    <m/>
    <m/>
    <m/>
    <m/>
    <m/>
    <m/>
    <m/>
    <m/>
    <m/>
    <m/>
    <m/>
    <m/>
    <m/>
    <m/>
    <m/>
    <m/>
    <m/>
    <m/>
    <m/>
    <m/>
    <d v="2014-09-15T00:00:00"/>
    <d v="2017-03-14T00:00:00"/>
    <d v="2017-05-31T00:00:00"/>
    <s v="Development Other"/>
    <n v="350000"/>
    <s v="Marina Figueroa Diaz"/>
    <s v="Responsable de proyecto en Puno"/>
    <s v="mfigueroa@care.org.pe"/>
    <s v="Segundo Davila Muñoz"/>
    <s v="Gerente de programas"/>
    <s v="sdavila@care.org.pe"/>
    <s v="YES"/>
    <s v="YES"/>
    <s v="YES"/>
    <s v="Contribuir a la generación de políticas públicas para el mejoramiento de la calidad educativa en los niveles de educación preescolar y primaria en el marco de la implementación del Proyecto Curricular Regional."/>
    <s v="Sub-National"/>
    <s v="Pais: Perú,  Departamento: Puno,  Provincia de Puno, distritos de Paucarcolla, Capachica, Coata, Tiquillaca, Mañazo, Vique, Atuncolla, Acora y Plateria UGEL Puno; Provincia de San Roman: distrito Juliaca, UGEL San Roman; Provincia de Azangaro: distritos de Arapa, Chupa, Azangaro, Muñani y San Anton UGEL Azangaro."/>
    <s v="Niñas y niños menores de 5 años. Mujeres y Hombres (madres y padres de familia) . Niñas y niños de 6 a 12 años."/>
    <n v="2361"/>
    <n v="1622"/>
    <n v="3983"/>
    <n v="5390"/>
    <n v="1735"/>
    <n v="7125"/>
    <s v="Los participantes Directos del proyecto son: (i) Niñas y niños de 0 a 3 años, niños y niñas de 3 a 5 años,  promotores educativos, coordinadoras docentes y madres de familia de 117 Programas de Aprendizaje Oportuno PAOs, y Programas No Escolarizados de Educacion Inicial PRONOEI, (ii) niños y niñas de 6 a 12 años, docentes y directores de 40 escuelas  educación primaria. El calculo de la  poblacion directa se ha efectuado en base a las fichas de inscripcion de los PAOS, nominas de matricula de PRONOEIs  e Instituciones educativas de primaria. Los participantes indirectos del proyecto son  niños y niña de 0 a 3 años (3,200),  Madres de Familia (3,137),  Docentes Coordinadores (72), Promotores Educativos (702) y Especialistas de Educacion Inicial (14) de 702 Programas de Aprendizaje Oportuno (PAO) implementados a nivel regional por la accion de actores educativos  de13 UGEL: Azángaro  con 180 PAO, Carabaya con 15 PAO, Chucuito Juli con 3 PAO, Crucero con 45 PAO, Collao con 13 PAs, Huancané con 166 PAO, Lampa con 20 PAO, Melgar con 105 PAO, Yunguyo con 4 PAO, Moho con 62 PAO, Putina con 10 PAO, San Roman con 48 PAO, Sandia con 31 PAO. Como consecuencia de  la aplicacion de  un programa de incidencia politica llevado a cabo por el Proyecto, orientado a autoridades educativas y haber logrado la dación de la directiva N° 008-2015 GR- Puno/GRDS-DREP-DGP-EEI, constituyendo una politica regional, el mismo que tiene por objetivo cubrir la brecha de atencion de niños y niñas menores de 3 años existente en el medio rural. La mayor cantidad de poblacion se explica por la participacion de madres de familia en la aplicacion de la estimulacion temprana a sus hijos e hijas, considerando que el programa esta basado en la participación de la familia. La fuente de información es la estadistica existente en cada UGEL, consolidada por la Especialista de Educación Inicial de la Dirección Regional de Educación de Puno."/>
    <m/>
    <m/>
    <m/>
    <m/>
    <m/>
    <m/>
    <m/>
    <m/>
    <m/>
    <m/>
    <m/>
    <m/>
    <m/>
    <m/>
    <m/>
    <m/>
    <m/>
    <m/>
    <m/>
    <m/>
    <m/>
    <m/>
    <m/>
    <m/>
    <m/>
    <m/>
    <m/>
    <m/>
    <m/>
    <m/>
    <m/>
    <m/>
    <m/>
    <m/>
    <m/>
    <m/>
    <m/>
    <m/>
    <m/>
    <m/>
    <m/>
    <m/>
    <m/>
    <m/>
    <m/>
    <m/>
    <m/>
    <s v="YES"/>
    <m/>
    <m/>
    <m/>
    <s v="YES"/>
    <m/>
    <m/>
    <m/>
    <m/>
    <m/>
    <m/>
    <m/>
    <m/>
    <n v="2963"/>
    <n v="2175"/>
    <n v="5138"/>
    <n v="5390"/>
    <n v="1735"/>
    <n v="7125"/>
    <m/>
    <m/>
    <m/>
    <m/>
    <m/>
    <m/>
    <m/>
    <m/>
    <m/>
    <m/>
    <m/>
    <m/>
    <m/>
    <m/>
    <m/>
    <m/>
    <m/>
    <m/>
    <m/>
    <m/>
    <s v="YES"/>
    <n v="5138"/>
    <n v="0.57599999999999996"/>
    <n v="7125"/>
    <m/>
    <m/>
    <m/>
    <m/>
    <m/>
    <m/>
    <m/>
    <m/>
    <m/>
    <m/>
    <m/>
    <m/>
    <m/>
    <m/>
    <m/>
    <m/>
    <m/>
    <m/>
    <m/>
    <m/>
    <m/>
    <m/>
    <m/>
    <m/>
    <m/>
    <m/>
    <m/>
    <m/>
    <m/>
    <m/>
    <m/>
    <m/>
    <m/>
    <m/>
    <m/>
    <m/>
    <m/>
    <m/>
    <m/>
    <m/>
    <m/>
    <m/>
    <m/>
    <m/>
    <m/>
    <s v="YES"/>
    <s v="May"/>
    <n v="2017"/>
    <s v="NO"/>
    <s v="NO"/>
    <m/>
    <m/>
    <s v="El proyecto ha culminado el 31 de mayo del 2017."/>
    <x v="1"/>
    <s v="YES"/>
    <s v="NO"/>
    <s v="NO"/>
    <s v="NO"/>
    <s v="NO"/>
    <s v="NO"/>
    <s v="NO"/>
    <s v="YES"/>
    <s v="Como parte de las actividades del proyecto, se ha realizado incidencia politica en dos actores, a directivos de la Direccion Regional de Educación para la emision de la Norma de implementación y funcionamiento de los Programas de Aprendizaje Oportuno (PAO), donde se atiende a niños y niñas menores de 3 años. Incidencia politica en Gobiernos Locales para la implementacion con material educativo a los PAO."/>
    <x v="1"/>
    <s v="Incorporacion de una estrategia de atención al primer ciclo de la educación inicial (rural)"/>
    <x v="1"/>
    <s v="Atencion a 3200 de niñas y niños menores de 3 años, con la implementacion de los Programas de Atencion Oportuna (PAO) incorporados en los PRONOEI  en zonas rurales de la region Puno    "/>
    <x v="1"/>
    <x v="0"/>
    <s v="YES"/>
    <x v="0"/>
    <x v="0"/>
    <x v="0"/>
    <x v="0"/>
    <n v="4"/>
    <x v="1"/>
    <x v="1"/>
    <x v="2"/>
    <x v="1"/>
    <x v="1"/>
    <x v="1"/>
    <n v="3"/>
    <x v="1"/>
    <x v="1"/>
    <x v="1"/>
    <x v="1"/>
    <x v="1"/>
    <n v="3"/>
    <x v="2"/>
    <x v="2"/>
    <n v="7"/>
    <s v="Other"/>
    <s v="Local government(s)"/>
    <m/>
    <x v="1"/>
    <m/>
    <m/>
    <s v="Incorporando a municipios locales, colocando en la agenda Municipal el tema educativo y logrando la asignación de presupuesto, para adquisición de material educativo."/>
    <s v="Participación de las madres de familia en la educación de su hijos e hijas, mediante la implementación desarrollo temprano."/>
    <s v="Estrategias de selección de lecturas contextualizadas al medio y graduadas de acuerdo a la complejidad del grado, para mejorar la lectura comprensiva de niños y niñas de educación primaria."/>
    <s v="La participación de actores educativos claves es vital en procesos de emprendimiento e innovación, generalmente desencadenan procesos de legitimación social, lo cual es base para escalar programas, afianzar su sostenibilidad, y alcanzar procesos de reconocimiento como política educativa como en el caso de los Programa de Aprendizaje Oportuno PAOs."/>
    <s v="La persistencia de los Proyectos Kawsay I, Kawsay II y Kawsay II Segunda Fase financiados por la Fundación Douglas B. Marshall, en el enfoque de trabajo para insistir en la propuesta de atención de la población infantil menor de 03 años desatendida por el Estado y vulnerable, facilitó su legitimación social y legal en el nivel de las unidades intermedias como las Unidades de Gestión Educativa Local y Dirección Regional de Educación y ser apreciada por las madres de la familia de las comunidades rurales."/>
    <s v="Tomar en cuenta los procesos de socialización que desarrollan las familias con sus hijos e hijas durante su primeros años de vida, sus formas de aprender, respetando sus patrones de crianza e incorporando algunas modernas que no afecten sosteniblemente sus procesos, generan cambios importantes en la visión de los padres y madres de familia en la educación de sus hijos que repercuten no solamente en la educación de sus primeros años, sino también en la primeria y más tarde cuando cursaran sus estudios secundarios."/>
    <s v="El proyecto tiene enfoque intercultural y bilingüe por las caracteristicas que tiene la poblacion donde se desarrolló el proyecto, siendo perteneciente a las culturas Quechua y Aimara; obligando a toda propuesta educativa a desarrollar la educación en la modalidad de intercultural y bilingue."/>
    <s v="Informe final del proyecto (Archivo físico interno, Oficina CARE Puno) Informe de evaluación del proyecto (mayo 2017) (Archivo físico interno, Oficina CARE Puno)"/>
    <n v="5138"/>
    <n v="7125"/>
    <n v="1.3867263526664071"/>
    <n v="0.57668353444920206"/>
    <n v="0.75649122807017544"/>
    <n v="2963"/>
    <n v="5390"/>
    <n v="1"/>
    <n v="0"/>
    <n v="0"/>
    <s v=""/>
    <s v=""/>
    <n v="0"/>
    <n v="0"/>
    <s v=""/>
    <s v=""/>
    <n v="0"/>
    <n v="0"/>
    <s v=""/>
    <s v=""/>
    <n v="0"/>
    <n v="0"/>
    <s v=""/>
    <s v=""/>
    <n v="0"/>
    <n v="0"/>
    <s v=""/>
    <s v="2. Sensitive"/>
    <s v="2. Accommodating"/>
    <s v="2. Sensitive"/>
    <s v="It tested new ways for fighting poverty, but did not measure results of innovation"/>
    <s v="Moderate advocacy"/>
    <s v="It linked and worked with strategic alliances and partners to take tested and effective solutions to scale"/>
  </r>
  <r>
    <x v="59"/>
    <x v="4"/>
    <n v="3275"/>
    <s v="Desarrollando Capacidades para la Atención por Abuso de Sustancias Sensible al Género. Proyecto GROW - Fase II"/>
    <s v="Peru"/>
    <s v="USDSPE0002"/>
    <s v="No CARE member related to the project/initiative"/>
    <s v="Other"/>
    <s v="Government - US"/>
    <s v="Embassy of USA"/>
    <m/>
    <m/>
    <m/>
    <m/>
    <m/>
    <m/>
    <m/>
    <m/>
    <m/>
    <m/>
    <m/>
    <m/>
    <m/>
    <m/>
    <m/>
    <m/>
    <m/>
    <m/>
    <m/>
    <m/>
    <m/>
    <m/>
    <m/>
    <m/>
    <m/>
    <m/>
    <m/>
    <m/>
    <m/>
    <m/>
    <m/>
    <m/>
    <m/>
    <m/>
    <m/>
    <m/>
    <m/>
    <m/>
    <m/>
    <m/>
    <m/>
    <m/>
    <m/>
    <m/>
    <m/>
    <d v="2014-09-01T00:00:00"/>
    <d v="2018-04-30T00:00:00"/>
    <m/>
    <s v="Development Other"/>
    <n v="450000"/>
    <s v="Elena Esquiche"/>
    <s v="Coordinadora de Proyecto"/>
    <s v="eesquiche@care.org.pe"/>
    <s v="Segundo Dávila"/>
    <s v="Gerente de Programas"/>
    <s v="sdavila@care.org.pe"/>
    <s v="YES"/>
    <s v="YES"/>
    <s v="YES"/>
    <s v="Proveer asistencia técnica usando la Guía para la Recuperación de las Mujeres (GROW, por sus siglas en inglés) y el Currículo Universal de Tratamiento (UTC, por sus siglas en inglés) para desarrollar y expandir la capacidad de Perú para fortalecer los tratamientos ambulatorio y residencial para mujeres y adolescentes que sufren desórdenes de abuso de sustancias."/>
    <s v="Sub-National"/>
    <s v="Lima, Callao, La Libertad, Lambayeque, Arequipa, Ayacucho, Moquegua y Huánuco."/>
    <s v="Mujeres y adolescentes que abusan de sustancias que acceden a los servicios de salud mental y reciben atención integral."/>
    <m/>
    <m/>
    <n v="3169"/>
    <m/>
    <m/>
    <m/>
    <s v="Participantes directos: a) Facilitadores Nacionales entrenados por Master Trainer en Lima y Callao: su programación fue establecida en la propuesta inicial por la entidad financiera y no señaló diferencias por sexo en las metas. b) Personal de salud que participa en réplicas realizadas por Facilitadores Nacionales: su programación fue establecida en la propuesta inicial por la entidad financiera y no señaló diferencias por sexo en las metas. c) Facilitadores Regionales entrenados por Facilitadores Nacionales: en la ampliación de la Fase II del Proyecto se priorizaron 6 regiones, estableciendo 320 participantes en total, sin diferencias de sexo en las metas. d) Personas atendidas por trastornos por consumo de alcohol y otras drogas, con énfasis en mujeres y adolescentes: se estimó en base a datos estadísticos oficiales proporcionados por la Oficina de Gestión de la Información - Oficina General de Tecnologías de la Información del MINSA, los mismos que son alcanzados al Proyecto GROW por la Dirección de Salud Mental del MINSA. Participantes indirectos: a) Familiares de personas atendidas por trastornos por consumo de alcohol y otras drogas. Se considera que  un  porcentaje de personas atendidas por trastornos por consumo de alcohol y otras drogas, al recibir tratamiento y tener mejoras en su salud, se va a generar mejoras potenciales en su entorno familiar. No obstante, en la propuesta del proyecto no estuvo previsto ni estimado este impacto."/>
    <m/>
    <m/>
    <m/>
    <m/>
    <m/>
    <m/>
    <m/>
    <m/>
    <m/>
    <m/>
    <m/>
    <m/>
    <m/>
    <m/>
    <m/>
    <m/>
    <m/>
    <m/>
    <m/>
    <m/>
    <m/>
    <m/>
    <m/>
    <m/>
    <m/>
    <m/>
    <m/>
    <m/>
    <m/>
    <m/>
    <m/>
    <m/>
    <m/>
    <m/>
    <m/>
    <m/>
    <m/>
    <m/>
    <m/>
    <m/>
    <m/>
    <m/>
    <m/>
    <m/>
    <m/>
    <m/>
    <m/>
    <s v="YES"/>
    <m/>
    <m/>
    <m/>
    <s v="YES"/>
    <m/>
    <m/>
    <m/>
    <m/>
    <m/>
    <m/>
    <m/>
    <m/>
    <n v="3394"/>
    <n v="10396"/>
    <n v="13790"/>
    <m/>
    <m/>
    <n v="838"/>
    <m/>
    <m/>
    <m/>
    <m/>
    <m/>
    <m/>
    <m/>
    <m/>
    <m/>
    <m/>
    <m/>
    <m/>
    <m/>
    <m/>
    <m/>
    <m/>
    <m/>
    <m/>
    <m/>
    <m/>
    <m/>
    <m/>
    <m/>
    <m/>
    <m/>
    <m/>
    <m/>
    <m/>
    <m/>
    <m/>
    <m/>
    <m/>
    <m/>
    <m/>
    <m/>
    <m/>
    <s v="YES"/>
    <n v="13790"/>
    <n v="0.24612037708484399"/>
    <n v="838"/>
    <m/>
    <m/>
    <m/>
    <m/>
    <m/>
    <m/>
    <m/>
    <m/>
    <m/>
    <m/>
    <m/>
    <m/>
    <m/>
    <m/>
    <m/>
    <m/>
    <m/>
    <m/>
    <m/>
    <m/>
    <m/>
    <m/>
    <m/>
    <m/>
    <m/>
    <m/>
    <m/>
    <m/>
    <m/>
    <s v="YES"/>
    <s v="June"/>
    <n v="2017"/>
    <s v="NO"/>
    <s v="NO"/>
    <m/>
    <m/>
    <s v="La Embajada Americana ha proporcionado una Matriz de mapeo de capacidades para la atención en drogas (Map of drug treatment capacit), instrumento de recojo de información semestral a través del cual se reporta las características de los servicios que brindan tratamiento a personas con adicciones así como el número de personas atendidas por trastornos por consumo de alcohol y otras drogas en los establecimientos priorizados por el Proyecto GROW. (Ver Matriz de Mapeo adjunta)."/>
    <x v="1"/>
    <s v="NO"/>
    <s v="NO"/>
    <s v="NO"/>
    <s v="YES"/>
    <s v="YES"/>
    <s v="NO"/>
    <s v="NO"/>
    <s v="YES"/>
    <s v="Se realizó incidencia política en dos niveles: (i) A nivel de gobiernos locales y regionales para lograr su involucramiento y contribución en la implemementación del Proyecto GROW, es decir, en el fortalecimiento de capacidades de equipos multidisciplinarios de profesionales de salud de sus localidades, y consecuentemente, lograr mejoras en la atención de mujeres afectadas por adicciones. (ii) A nivel de las autoridades universitarias de la Universidad Peruana Cayetano Heredia (UPCH), con el propósito de crear la Segunda Especialidad Profesional en Adicciones con Enfoque de Género, lo cual significió además incidir en el MINSA y DEVIDA para gestional el apoyo político para respaldar dicha iniciativa."/>
    <x v="1"/>
    <s v="Con las capacitaciones se generó el cambio en el paradigma de la atención a casos de consumo de sustancias, de un abordaje tradicional hacia un tratamiento holístico con enfoque de género, lo cual se tradujo en cambios de actitud y el fortalecimiento del trabajo en equipos multidisciplinarios, pero sobre todo tomando como punto de partida las necesidades específicas de las mujeres. Ello se concretó en la apertura de consultorios para la atención en otros horarios más acordes a las necesidades de ellas, así como en la creación del primer servicio de hospitalización para mujeres que sufren adicciones en el Hospital Hermilio Valdizan."/>
    <x v="1"/>
    <s v="El Proyecto GROW se basa en experiencias exitosas probadas y documentadas a nivel internacional respecto a brindar atención a mujeres con adicciones transversalizando el enfoque de género y desarrollando habilidades para implementar las intervenciones teniendo como base las mejores prácticas y el reconocimiento de las barreras que las mujeres enfrentan."/>
    <x v="1"/>
    <x v="0"/>
    <s v="YES"/>
    <x v="0"/>
    <x v="0"/>
    <x v="0"/>
    <x v="0"/>
    <n v="4"/>
    <x v="1"/>
    <x v="1"/>
    <x v="2"/>
    <x v="1"/>
    <x v="2"/>
    <x v="4"/>
    <n v="2"/>
    <x v="1"/>
    <x v="1"/>
    <x v="1"/>
    <x v="1"/>
    <x v="1"/>
    <n v="3"/>
    <x v="2"/>
    <x v="2"/>
    <n v="11"/>
    <s v="National government"/>
    <s v="University/research institution(s)"/>
    <s v="Local government(s)"/>
    <x v="2"/>
    <s v="En la Región Huánuco se incluyó en los talleres de formación de Facilitadores Regionales a 2 profesionales de la Casa del Buen Trato Hovde - Tomayquichua, ONG que alberga a mujeres víctimas de violencia intrafamiliar y adolescentes víctimas de violencia sexual, dado que existe una asociación significativa entre adicciones y violencia basada en género, y ésta será una institución tanto de detección como de referencia cuando los casos así lo ameriten. En otras regiones se implementarán talleres de sensibilización con la comunidad, organizaciones de mujeres, instituciones educativas, las DEMUNA, entre otros."/>
    <s v="No hubo cambio significativo, solo reprogramación presupuestal."/>
    <s v="Involucramiento de hombres en los diferentes grupos de Facilitadores Nacionales, Facilitadores Regionales y participantes de los talleres de réplicas del Programa de Entrenamiento GROW en las 8 regiones de intervención, para que sean fortalecidos en sus capacidades de brindar tratamiento género sensible a mujeres con problemas de adicciones."/>
    <s v="Promover la detección activa de casos de mujeres con problemas de adicciones y fortalecer el sistema de información de salud mental, con énfasis en adicciones."/>
    <s v="Conformación de Redes de Salud Mental en los diferentes niveles de atención para fortalecer el sistema de referencia y contrarreferencia."/>
    <s v="Cambio en el paradigma de la atención a casos de consumo de sustancias, de un abordaje tradicional hacia un tratamiento holístico con enfoque de género, lo cual se tradujo en cambios de actitud y el fortalecimiento del trabajo en equipos multidisciplinarios."/>
    <s v="Sensibilización de autoridades institucionales de salud así como a nivel de los servicios y otros grupos de profesionales respecto al tratamiento de adicciones con enfoque de género, lo cual facilitó cambios en la actitud del personal de hospitales entre sí y respecto a los equipos de los centros de salud."/>
    <s v="Apertura y respuesta frente a la violencia doméstica, plasmándose en la implementación de mejoras, aplicación de fichas de tamizaje, elaboración de periódicos murales con mensajes de prevención y atención respecto a la violencia doméstica, elaboración de trípticos con información sobre violencia doméstica y donde acudir, referir a las víctimas a los Centros Emergencia Mujer del Ministerio de la Mujer y Poblaciones Vulnerables, entre otros."/>
    <s v="No se tiene registros por desagregados de las personas que se benefician indirectamente através de su parricipación en charlas informativas, talleres, ferias, campañas, pasacalles de sensibilización y difusión sobre adicciones realizadas por participantes de réplicas en Lima y Callao"/>
    <s v="Propuestas Fase I y Fase II -Informes de avance trimestrales -Proyecto GROW en facebook: https://www.facebook.com/search/top/?q=proyecto%20grow"/>
    <n v="13790"/>
    <n v="838"/>
    <n v="6.0768672951414068E-2"/>
    <n v="0.24612037708484408"/>
    <n v="0"/>
    <n v="3394"/>
    <n v="0"/>
    <n v="1"/>
    <n v="0"/>
    <n v="0"/>
    <s v=""/>
    <s v=""/>
    <n v="0"/>
    <n v="0"/>
    <s v=""/>
    <s v=""/>
    <n v="0"/>
    <n v="0"/>
    <s v=""/>
    <s v=""/>
    <n v="0"/>
    <n v="0"/>
    <s v=""/>
    <s v=""/>
    <n v="0"/>
    <n v="0"/>
    <s v=""/>
    <s v="2. Sensitive"/>
    <s v="1. Tokenistic"/>
    <s v="2. Sensitive"/>
    <s v="It tested new ways for fighting poverty, but did not measure results of innovation"/>
    <s v="Moderate advocacy"/>
    <s v="It linked and worked with strategic alliances and partners to take tested and effective solutions to scale"/>
  </r>
  <r>
    <x v="59"/>
    <x v="4"/>
    <n v="3272"/>
    <s v="Desarrollo de Innovaciones para la Seguridad Alimentaria y Nutricional en las zonas de integración fronteriza Perú-Bolivia"/>
    <s v="Peru"/>
    <s v="IPCXPE0004"/>
    <s v="CARE Peru"/>
    <s v="Multilateral agency"/>
    <s v="EU - European Union (other than ECHO)"/>
    <s v="EU"/>
    <m/>
    <m/>
    <m/>
    <m/>
    <m/>
    <m/>
    <m/>
    <m/>
    <m/>
    <m/>
    <m/>
    <m/>
    <m/>
    <m/>
    <m/>
    <m/>
    <m/>
    <m/>
    <m/>
    <m/>
    <m/>
    <m/>
    <m/>
    <m/>
    <m/>
    <m/>
    <m/>
    <m/>
    <m/>
    <m/>
    <m/>
    <m/>
    <m/>
    <m/>
    <m/>
    <m/>
    <m/>
    <m/>
    <m/>
    <m/>
    <m/>
    <m/>
    <m/>
    <m/>
    <m/>
    <d v="2016-01-01T00:00:00"/>
    <d v="2017-12-15T00:00:00"/>
    <m/>
    <s v="Development Food &amp; Nutrition Security and Resilience to Climate Change"/>
    <n v="129348"/>
    <s v="Walter Vilchez Dávila"/>
    <s v="Gerente del Programa de Nutrición y Seguridad Alimentaria"/>
    <s v="wvilchez@care.org.pe"/>
    <s v="Segundo Dávila Muñoz"/>
    <s v="Gerente de Programas"/>
    <s v="sdavila@care.org.pe"/>
    <s v="NO"/>
    <s v="YES"/>
    <s v="NO"/>
    <s v="Contribuir a la integración fronteriza, con participación organizada de la sociedad civil en Bolivia y Perú, enfocada a mejorar la seguridad alimentaria y nutricional, y a promover el desarrollo socio-económico."/>
    <s v="Sub-National"/>
    <s v="Perú / Departamento de Puno / Provincia de El Collao /Distritos: Ilave, Conduri, Santa Rosa y Capazo"/>
    <s v="1000 familias pertenecientes a comunidades campesinas de cuatro distritos de la provincia de El Collao"/>
    <n v="1976"/>
    <n v="2047"/>
    <n v="4023"/>
    <n v="703117"/>
    <n v="722981"/>
    <n v="1426098"/>
    <s v="Participantes directos: son 1,000 familias de las comunidades campesinas y se estimo en 4 miembros por familia. También se consideraron como beneficiarios directos los 23 integrantes del Consejo Regional de Seguridad Alimentaria y Nutricional. La proporción de hombres y mujeres tuvo como referencia el Censo de la Población 2007 de la provincia de El Collao. Participantes indirectos: se considera que son todas los habitantes del departamento de Puno se benefician con la implementación de la Política Regional de Seguridad Alimentaria y Nutricional (SAyN) que el proyecto apoya mediante acciones de asistencia técnica a los miembros del Consejo Regional de SAyN y la incidencia política (Proyección INEI 2017) La Estrategia Regional de Seguridad Alimentaria y Nutricional 2016 - 2021 se encuentra enmarcada en los principios del Pacto Internacional de Derechos Económicos, Sociales y Culturales. Esta política pública, junto con el Pacto Internacional de los Derechos Civiles y Políticos, constituye un instrumento jurídico fundamental para la materialización de la Declaración Universal de los Derechos Humanos. La Estrategia Regional de Seguridad Alimentaria y Nutricional 2016 - 2021, aprobada mediante Ordenanza Regional N° 081-2006-PR-GR PUNO el 31 de marzo de 2016, tiene por objetivo garantizar que la población de la Región Puno, logre satisfacer, en todo momento, sus requerimientos nutricionales con productos andinos para mejorar su calidad de vida, con un trabajo concertado y articulado."/>
    <m/>
    <m/>
    <m/>
    <m/>
    <m/>
    <m/>
    <m/>
    <m/>
    <m/>
    <m/>
    <m/>
    <m/>
    <m/>
    <m/>
    <m/>
    <m/>
    <m/>
    <m/>
    <m/>
    <m/>
    <m/>
    <m/>
    <m/>
    <m/>
    <m/>
    <m/>
    <m/>
    <m/>
    <m/>
    <m/>
    <m/>
    <m/>
    <m/>
    <m/>
    <m/>
    <m/>
    <m/>
    <m/>
    <m/>
    <m/>
    <m/>
    <m/>
    <m/>
    <m/>
    <m/>
    <m/>
    <m/>
    <m/>
    <m/>
    <m/>
    <m/>
    <m/>
    <m/>
    <m/>
    <m/>
    <m/>
    <m/>
    <m/>
    <m/>
    <m/>
    <n v="1976"/>
    <n v="2047"/>
    <n v="4023"/>
    <n v="703117"/>
    <n v="722981"/>
    <n v="1426098"/>
    <m/>
    <m/>
    <m/>
    <m/>
    <m/>
    <m/>
    <m/>
    <m/>
    <m/>
    <m/>
    <m/>
    <m/>
    <m/>
    <m/>
    <m/>
    <m/>
    <m/>
    <m/>
    <m/>
    <m/>
    <m/>
    <m/>
    <m/>
    <m/>
    <s v="YES"/>
    <n v="4023"/>
    <n v="0.49"/>
    <n v="1426098"/>
    <m/>
    <m/>
    <m/>
    <m/>
    <m/>
    <m/>
    <m/>
    <m/>
    <m/>
    <m/>
    <m/>
    <m/>
    <m/>
    <m/>
    <m/>
    <m/>
    <m/>
    <m/>
    <m/>
    <m/>
    <m/>
    <m/>
    <m/>
    <m/>
    <m/>
    <m/>
    <m/>
    <m/>
    <m/>
    <m/>
    <m/>
    <m/>
    <m/>
    <m/>
    <m/>
    <m/>
    <m/>
    <m/>
    <m/>
    <m/>
    <m/>
    <s v="NO"/>
    <m/>
    <m/>
    <s v="NO"/>
    <s v="NO"/>
    <m/>
    <m/>
    <m/>
    <x v="2"/>
    <s v="NO"/>
    <s v="NO"/>
    <s v="NO"/>
    <s v="YES"/>
    <s v="NO"/>
    <s v="NO"/>
    <s v="YES"/>
    <s v="NO"/>
    <m/>
    <x v="2"/>
    <s v="Se trabaja con un grupo de agricultores (hombres y mujeres) que tienen interés en participar en la evaluación y selección de clones avanzados de papa proporcionados por el Centro Internacional de la Papa (CIP). Los agricultores participaron como colaboradores de la investigación, al contribuir con su tiempo y con la cesión de una pequeña superficie de su terreno para las parcelas demostrativas. El propósito es obtener una variedad de papa con mejores características agronómicas, nutricionales y comerciales."/>
    <x v="1"/>
    <s v="Se trabaja con el sector salud para el fortalecimiento de capacidades del personal de salud y agentes comunitarios para el desarrollo de intervenciones efectivas de consejería nutricional y sesiones demostrativas con alimentos nutritivos disponibles localmente para la adopción de buenas prácticas de alimentación infantil."/>
    <x v="0"/>
    <x v="0"/>
    <s v="YES"/>
    <x v="0"/>
    <x v="0"/>
    <x v="1"/>
    <x v="1"/>
    <n v="3"/>
    <x v="1"/>
    <x v="1"/>
    <x v="1"/>
    <x v="1"/>
    <x v="1"/>
    <x v="1"/>
    <n v="4"/>
    <x v="3"/>
    <x v="1"/>
    <x v="1"/>
    <x v="1"/>
    <x v="4"/>
    <n v="3"/>
    <x v="0"/>
    <x v="3"/>
    <n v="6"/>
    <s v="Local government(s)"/>
    <s v="Grassroots organization(s)"/>
    <s v="Local alliance(s)/Platform(s)/Network(s) of  NGOs/CSOs"/>
    <x v="0"/>
    <s v="Se han desarrollado reuniones de socialización, planeamiento y capacitación del Consejo Regional para la implementación del plan de seguridad alimentaria y nutricional en Puno."/>
    <s v="En coordinación con el Centro Internacional de la Papa y las autoridades de las 10 comunidades priorizadas se realiza el estudio sobre Análisis y construcción de índices de vulnerabilidad a la inseguridad alimentaria y nutricional de las familias rurales de Puno, el estudio permitirá analizar las variables e índices sociales, económicos, productivos, salud y nutrición que influyen y determinan la vulnerabilidad en las familias rurales."/>
    <s v="La incidencia al Gobierno Local de El Collao para la conformación del consejo local de seguridad alimentaria y nutricionales esencial para influir en los decisores."/>
    <s v="La selección positiva de semilla de papa con participación activa de las mujeres es clave porque ellas están a cargo de esta actividad agrícola."/>
    <s v="La adecuación cultural de material educativo orientado a mejorar la nutrición infantil y contribuir con la reducción de la anemia es importante para un mejor entendimiento del público objetivo."/>
    <s v="El Consejo Regional y Local de Seguridad Alimentaria y Nutricional es un espacio para la gestión articulada de las intervenciones que favorecen la seguridad alimentaria y nutricional de la población."/>
    <s v="La existencia de variedades de papa resistentes a las heladas y a los efectos del cambio climático contribuyen con la seguridad alimentaria de las familias."/>
    <s v="La alianza estratégica con el Centro Internacional de la Papa garantizan la asistencia técnica especializada en el fortalecimiento de capacidades de las y los productores de papa."/>
    <m/>
    <s v="Informes de proyecto."/>
    <n v="4023"/>
    <n v="1426098"/>
    <n v="354.48620432513047"/>
    <n v="0.49117573949788718"/>
    <n v="0.4930355417369634"/>
    <n v="1976"/>
    <n v="703117"/>
    <s v=""/>
    <n v="0"/>
    <n v="0"/>
    <s v=""/>
    <n v="1"/>
    <n v="4023"/>
    <n v="1426098"/>
    <n v="354.48620432513047"/>
    <s v=""/>
    <n v="0"/>
    <n v="0"/>
    <s v=""/>
    <s v=""/>
    <n v="0"/>
    <n v="0"/>
    <s v=""/>
    <s v=""/>
    <n v="0"/>
    <n v="0"/>
    <s v=""/>
    <s v="1. Neutral"/>
    <s v="2. Accommodating"/>
    <s v="4. Transformative"/>
    <s v="It tested new ways for fighting poverty and measured results of innovation"/>
    <s v="Intensive advocacy"/>
    <s v="It linked and worked with strategic alliances and partners to take tested and effective solutions to scale"/>
  </r>
  <r>
    <x v="59"/>
    <x v="4"/>
    <m/>
    <s v="Educación para el desarrollo y la inclusión financiera."/>
    <s v="Peru"/>
    <s v="SCOTPE0007"/>
    <s v="CARE Peru"/>
    <s v="Corporation"/>
    <s v="Other"/>
    <s v="Scotiabank Peru"/>
    <m/>
    <m/>
    <m/>
    <m/>
    <m/>
    <m/>
    <m/>
    <m/>
    <m/>
    <m/>
    <m/>
    <m/>
    <m/>
    <m/>
    <m/>
    <m/>
    <m/>
    <m/>
    <m/>
    <m/>
    <m/>
    <m/>
    <m/>
    <m/>
    <m/>
    <m/>
    <m/>
    <m/>
    <m/>
    <m/>
    <m/>
    <m/>
    <m/>
    <m/>
    <m/>
    <m/>
    <m/>
    <m/>
    <m/>
    <m/>
    <m/>
    <m/>
    <m/>
    <m/>
    <m/>
    <d v="2016-09-17T00:00:00"/>
    <d v="2020-03-31T00:00:00"/>
    <m/>
    <s v="Development Access to and Control over Economic Resources"/>
    <n v="2112000"/>
    <s v="Segundo Davila Muñoz"/>
    <s v="Gerente de Programas"/>
    <s v="sdavila@care.org.pe"/>
    <s v="Bibiano Huamancayo Quiquín"/>
    <s v="Jefe de proyectos Desarrollo Económico"/>
    <s v="bhuamancayo@care.org.pe"/>
    <s v="NO"/>
    <s v="YES"/>
    <s v="NO"/>
    <s v="Contribuir al desarrollo sostenible a través de la inclusión social, económica y financiera de   familias en situación de pobreza en cuatro regiones del Perú."/>
    <s v="Sub-National"/>
    <s v="Departamento de Arequipa Provincia de Arequipa; Departamento La Libertad Provincia Trujillo; departamento Lambayeque Provincia Lambayeque; y Departamento de Junín, Provincia de Huancayo y Concepción."/>
    <s v="Son jefas y jefes de familias con emprendimientos económicos que se busca incluir en dinámicas económicas de mercado, haciendo que transiten emprendedores del nivel inicial, sin desarrollo, hacia un nivel intermedio y avanzado, con la producción, valor agregado y su articulación al mercado, y en donde las actividades económicas se desarrollen con una mirada empresarial en un contexto local favorable, generando finalmente ingresos sostenibles para las familias involucradas en los negocios. Los estudiantes de instituciones educativas de nivel secundario ; el proyecto promoverá la mejora de los aprendizajes en los y las estudiantes en educación emprendedora, financiera y previsional de acuerdo al currículo nacional"/>
    <n v="4816"/>
    <n v="3927"/>
    <n v="8743"/>
    <n v="19264"/>
    <n v="15708"/>
    <n v="34972"/>
    <s v="Participantes directos: (i) 3,543  jefas y jefes de familias con emprendimientos económicos (producción/servicios) quienes reciben apoyo en capacitación, asistencia técnica con enfoque de cadena de valo en cuatro regiones. (ii) 5,000 estudiantes de nivel secundario y 200 docentes de 10 instituciones educativas de cuatro regiones que reciben capacitación y asistencia técnica en educación emprendedora, financiera y previsional. De acuerdo a la base de datos del total 3,543 jefes y jefas 36%  son hombres y 64%  son mujeres. Mientras que en los estudiantes del total 5,000  y 200 docnetes el 49% corresponde mujeres y 51% a  hombres. Participantes indirectos: se obtienen es multiplicado el numero de beneficiarios directos por 4 (integrantes promedio de una familia)"/>
    <m/>
    <m/>
    <m/>
    <m/>
    <m/>
    <m/>
    <m/>
    <m/>
    <m/>
    <m/>
    <m/>
    <m/>
    <m/>
    <m/>
    <m/>
    <m/>
    <m/>
    <m/>
    <m/>
    <m/>
    <m/>
    <m/>
    <m/>
    <m/>
    <m/>
    <m/>
    <m/>
    <m/>
    <m/>
    <m/>
    <m/>
    <m/>
    <m/>
    <m/>
    <m/>
    <m/>
    <m/>
    <m/>
    <m/>
    <m/>
    <m/>
    <m/>
    <m/>
    <m/>
    <m/>
    <m/>
    <m/>
    <m/>
    <m/>
    <m/>
    <m/>
    <m/>
    <m/>
    <m/>
    <m/>
    <m/>
    <m/>
    <m/>
    <m/>
    <m/>
    <n v="4816"/>
    <n v="3927"/>
    <n v="8743"/>
    <n v="19264"/>
    <n v="15708"/>
    <n v="34972"/>
    <m/>
    <m/>
    <m/>
    <m/>
    <m/>
    <m/>
    <m/>
    <m/>
    <m/>
    <m/>
    <m/>
    <m/>
    <m/>
    <m/>
    <m/>
    <m/>
    <s v="YES"/>
    <n v="3543"/>
    <n v="0.64"/>
    <n v="14172"/>
    <s v="YES"/>
    <n v="5700"/>
    <n v="0.49"/>
    <n v="22800"/>
    <m/>
    <m/>
    <m/>
    <m/>
    <m/>
    <m/>
    <m/>
    <m/>
    <s v="YES"/>
    <n v="2268"/>
    <n v="1"/>
    <n v="9072"/>
    <m/>
    <m/>
    <m/>
    <m/>
    <m/>
    <m/>
    <m/>
    <m/>
    <m/>
    <m/>
    <m/>
    <m/>
    <m/>
    <m/>
    <m/>
    <m/>
    <m/>
    <m/>
    <m/>
    <m/>
    <m/>
    <m/>
    <m/>
    <m/>
    <s v="YES"/>
    <n v="2268"/>
    <n v="1"/>
    <n v="9072"/>
    <m/>
    <m/>
    <m/>
    <m/>
    <m/>
    <s v="YES"/>
    <s v="December"/>
    <n v="2016"/>
    <s v="YES"/>
    <s v="NO"/>
    <m/>
    <m/>
    <s v="Se elaboró la Linea de Base del proyecto"/>
    <x v="1"/>
    <s v="NO"/>
    <s v="NO"/>
    <s v="YES"/>
    <s v="YES"/>
    <s v="YES"/>
    <s v="YES"/>
    <s v="YES"/>
    <m/>
    <m/>
    <x v="1"/>
    <s v="Inclusión financiera y económicos de familias vulnerables y aprendizaje de estudiantes a partir de la metodologia investigación acción reflexiva."/>
    <x v="1"/>
    <s v="Modelo de inclusión financiera y económico a través de la educación emprendedora, financiera y previsional."/>
    <x v="1"/>
    <x v="0"/>
    <s v="YES"/>
    <x v="0"/>
    <x v="0"/>
    <x v="0"/>
    <x v="0"/>
    <n v="4"/>
    <x v="1"/>
    <x v="1"/>
    <x v="1"/>
    <x v="1"/>
    <x v="1"/>
    <x v="1"/>
    <n v="4"/>
    <x v="1"/>
    <x v="1"/>
    <x v="1"/>
    <x v="1"/>
    <x v="1"/>
    <n v="3"/>
    <x v="0"/>
    <x v="0"/>
    <n v="16"/>
    <s v="Local government(s)"/>
    <s v="Regional alliance(s)/Platform(s)/Network(s) of  NGOs/CSOs"/>
    <s v="Local NGO(s)/CSO(s)"/>
    <x v="0"/>
    <s v="Formación de redes empresaial y organizaciones de 2 do nivel  "/>
    <m/>
    <s v="Formación y fortalecimiento de las organizaciones en asociaciones, microempresas, redes, otros"/>
    <s v="Fortalecimiento de las competencias tecnicas, productivas con innovación, gestión empresarial, mercadeo y educación financiera."/>
    <s v="Acceso de inversión pública y privada no retornable de las organizaciones para el crecimiento de sus negocios y/o servicios."/>
    <m/>
    <m/>
    <m/>
    <m/>
    <s v="Informe semestral"/>
    <n v="8743"/>
    <n v="34972"/>
    <n v="4"/>
    <n v="0.55084067253803037"/>
    <n v="0.55084067253803037"/>
    <n v="4816"/>
    <n v="19264"/>
    <s v=""/>
    <n v="0"/>
    <n v="0"/>
    <s v=""/>
    <n v="1"/>
    <n v="3543"/>
    <n v="14172"/>
    <n v="4"/>
    <s v=""/>
    <n v="0"/>
    <n v="0"/>
    <s v=""/>
    <s v=""/>
    <n v="0"/>
    <n v="0"/>
    <s v=""/>
    <n v="1"/>
    <n v="2268"/>
    <n v="9072"/>
    <n v="4"/>
    <s v="2. Sensitive"/>
    <s v="2. Accommodating"/>
    <s v="2. Sensitive"/>
    <s v="It tested new ways for fighting poverty, but did not measure results of innovation"/>
    <s v="Moderate advocacy"/>
    <s v="It linked and worked with strategic alliances and partners to take tested and effective solutions to scale"/>
  </r>
  <r>
    <x v="59"/>
    <x v="4"/>
    <m/>
    <s v="Emergency Response to the Flooding in the North of Peru"/>
    <s v="Peru"/>
    <s v="COCAPE0001"/>
    <s v="CARE Peru"/>
    <s v="Foundation"/>
    <s v="Other"/>
    <s v="Coca-Cola Foundation"/>
    <m/>
    <m/>
    <m/>
    <m/>
    <m/>
    <m/>
    <m/>
    <m/>
    <m/>
    <m/>
    <m/>
    <m/>
    <m/>
    <m/>
    <m/>
    <m/>
    <m/>
    <m/>
    <m/>
    <m/>
    <m/>
    <m/>
    <m/>
    <m/>
    <m/>
    <m/>
    <m/>
    <m/>
    <m/>
    <m/>
    <m/>
    <m/>
    <m/>
    <m/>
    <m/>
    <m/>
    <m/>
    <m/>
    <m/>
    <m/>
    <m/>
    <m/>
    <m/>
    <m/>
    <m/>
    <d v="2017-03-20T00:00:00"/>
    <d v="2017-10-31T00:00:00"/>
    <m/>
    <s v="Humanitarian Other"/>
    <n v="500000"/>
    <s v="Walter Vilchez Dávila"/>
    <s v="Gerente del Programa de Nutrición y Seguridad Alimentaria"/>
    <s v="wvilchez@care.org.pe"/>
    <m/>
    <m/>
    <m/>
    <s v="YES"/>
    <s v="NO"/>
    <s v="NO"/>
    <m/>
    <s v="Sub-National"/>
    <s v="El Proyecto se desarrollo en el departamento de La Libertad en las provincias de Virú (Virú) y Trujillo (Florencia de Mora y Laredo)."/>
    <s v="El grupo de impacto fueron las familias damnificadas, las mismas que incluyen niñas, niños, adolescentes, jóvenes, adultos y adultos mayores."/>
    <n v="2710"/>
    <n v="2571"/>
    <n v="5281"/>
    <m/>
    <m/>
    <n v="0"/>
    <s v="Los participantes directos se obtuvieron del empadronamiento de las familias damnificadas que recibiran una vivienda temporal. Por la naturaleza del proyecto, no se consideran participantes indirectos."/>
    <m/>
    <n v="2710"/>
    <n v="2571"/>
    <n v="5281"/>
    <m/>
    <m/>
    <n v="0"/>
    <m/>
    <m/>
    <m/>
    <m/>
    <m/>
    <m/>
    <m/>
    <m/>
    <m/>
    <m/>
    <m/>
    <m/>
    <m/>
    <m/>
    <m/>
    <m/>
    <m/>
    <m/>
    <m/>
    <m/>
    <m/>
    <m/>
    <m/>
    <m/>
    <s v="YES"/>
    <n v="5281"/>
    <n v="0.49"/>
    <m/>
    <m/>
    <m/>
    <m/>
    <m/>
    <s v="YES"/>
    <n v="5281"/>
    <n v="0.49"/>
    <m/>
    <s v="YES"/>
    <n v="5281"/>
    <n v="0.49"/>
    <m/>
    <s v="YES"/>
    <n v="5281"/>
    <n v="0.49"/>
    <m/>
    <s v="YES"/>
    <n v="5281"/>
    <n v="0.49"/>
    <m/>
    <m/>
    <m/>
    <m/>
    <m/>
    <m/>
    <m/>
    <m/>
    <m/>
    <m/>
    <m/>
    <m/>
    <m/>
    <m/>
    <m/>
    <m/>
    <m/>
    <m/>
    <m/>
    <m/>
    <m/>
    <m/>
    <m/>
    <m/>
    <m/>
    <m/>
    <m/>
    <m/>
    <m/>
    <m/>
    <m/>
    <m/>
    <m/>
    <m/>
    <m/>
    <m/>
    <m/>
    <m/>
    <m/>
    <m/>
    <m/>
    <m/>
    <m/>
    <m/>
    <m/>
    <m/>
    <m/>
    <m/>
    <m/>
    <m/>
    <m/>
    <m/>
    <m/>
    <m/>
    <m/>
    <m/>
    <m/>
    <m/>
    <m/>
    <m/>
    <m/>
    <m/>
    <m/>
    <m/>
    <m/>
    <m/>
    <m/>
    <m/>
    <m/>
    <m/>
    <m/>
    <m/>
    <m/>
    <m/>
    <m/>
    <m/>
    <m/>
    <m/>
    <m/>
    <m/>
    <m/>
    <s v="NO"/>
    <m/>
    <m/>
    <s v="NO"/>
    <s v="NO"/>
    <m/>
    <m/>
    <s v="NO APLICA"/>
    <x v="2"/>
    <s v="NO"/>
    <s v="NO"/>
    <s v="YES"/>
    <s v="YES"/>
    <s v="NO"/>
    <s v="NO"/>
    <s v="NO"/>
    <m/>
    <m/>
    <x v="1"/>
    <s v="Los kits de ayuda huamanitaria tuvieron algunas adaptaciones según composición familiar."/>
    <x v="1"/>
    <s v="Los módulos de viviendas temporales de emergencia fueron tomadas de experiencia previa y validada en campo."/>
    <x v="0"/>
    <x v="0"/>
    <s v="YES"/>
    <x v="0"/>
    <x v="0"/>
    <x v="0"/>
    <x v="0"/>
    <n v="4"/>
    <x v="1"/>
    <x v="1"/>
    <x v="1"/>
    <x v="0"/>
    <x v="1"/>
    <x v="1"/>
    <n v="3"/>
    <x v="1"/>
    <x v="1"/>
    <x v="2"/>
    <x v="1"/>
    <x v="3"/>
    <n v="2"/>
    <x v="0"/>
    <x v="2"/>
    <n v="3"/>
    <s v="Grassroots organization(s)"/>
    <s v="Local government(s)"/>
    <s v="Local alliance(s)/Platform(s)/Network(s) of  NGOs/CSOs"/>
    <x v="2"/>
    <s v="La participación comunitaria organizada en la vigilancia y proceso constructivo de las VTDE."/>
    <m/>
    <s v="Trabajo articulado y coordinado con el gobierno local."/>
    <s v="Involucramiento de los lideres comunitarios y autoridades locales."/>
    <s v="Participación comunitaria en la vigilancia de los materiales y apoyo en el proceso constructivo de las viviendas temporales de emergencia."/>
    <s v="La adquisición local de insumos y materiales debe ser en lo posible descentralizada a fin de reducir los tiempos de entrega de bienes y servicios."/>
    <s v="El trabajo con gobiernos locales ayuda a reducir los costos logísticos para la atención de las familias damnificadas."/>
    <s v="El conocimiento de las percepciones de las familias damnificadas sobre la ayuda humanitaria es importante para la toma de decisiones adecuadas al contexto."/>
    <m/>
    <m/>
    <n v="5281"/>
    <n v="0"/>
    <n v="0"/>
    <n v="0.51316038629047533"/>
    <s v=""/>
    <n v="2710"/>
    <n v="0"/>
    <n v="1"/>
    <n v="5281"/>
    <n v="0"/>
    <n v="0"/>
    <s v=""/>
    <n v="0"/>
    <n v="0"/>
    <s v=""/>
    <n v="1"/>
    <n v="5281"/>
    <n v="0"/>
    <n v="0"/>
    <s v=""/>
    <n v="0"/>
    <n v="0"/>
    <s v=""/>
    <s v=""/>
    <n v="0"/>
    <n v="0"/>
    <s v=""/>
    <s v="2. Sensitive"/>
    <s v="2. Accommodating"/>
    <s v="1. Neutral"/>
    <s v="It tested new ways for fighting poverty, but did not measure results of innovation"/>
    <s v="Intensive advocacy"/>
    <s v="It linked and worked with strategic alliances and partners to take tested and effective solutions to scale"/>
  </r>
  <r>
    <x v="59"/>
    <x v="4"/>
    <m/>
    <s v="Emergency Response to the Flooding in the North of Peru (Start Fund) (La Libertad 1000 kits)"/>
    <s v="Peru"/>
    <s v="CGBRPE0070"/>
    <s v="CARE Peru"/>
    <s v="Foundation"/>
    <s v="Other"/>
    <s v="Start Fund"/>
    <m/>
    <m/>
    <m/>
    <m/>
    <m/>
    <m/>
    <m/>
    <m/>
    <m/>
    <m/>
    <m/>
    <m/>
    <m/>
    <m/>
    <m/>
    <m/>
    <m/>
    <m/>
    <m/>
    <m/>
    <m/>
    <m/>
    <m/>
    <m/>
    <m/>
    <m/>
    <m/>
    <m/>
    <m/>
    <m/>
    <m/>
    <m/>
    <m/>
    <m/>
    <m/>
    <m/>
    <m/>
    <m/>
    <m/>
    <m/>
    <m/>
    <m/>
    <m/>
    <m/>
    <m/>
    <d v="2017-03-24T00:00:00"/>
    <d v="2017-05-08T00:00:00"/>
    <m/>
    <s v="Humanitarian Other"/>
    <n v="110776"/>
    <s v="Walter Vilchez Dávila"/>
    <s v="Gerente del Programa de Nutrición y Seguridad Alimentaria"/>
    <s v="wvilchez@care.org.pe"/>
    <m/>
    <m/>
    <m/>
    <s v="YES"/>
    <s v="NO"/>
    <s v="NO"/>
    <s v="Brindar asistencia humanitaria a las familias damnificadas debido a la emergencia producida por el Fenomeno El Niño Costero"/>
    <s v="Sub-National"/>
    <s v="El Proyecto se desarrollo en el departamento de La Libertad en las provincias de Ascope (distritos de Chicama, Chocope, Razuri y Paijan), Trujillo (Víctor Larco), Virú (Chao)."/>
    <s v="El grupo de impacto fueron las familias damnificadas, las mismas que incluyen niñas, niños, adolescentes, jóvenes, adultos y adultos mayores."/>
    <n v="1953"/>
    <n v="2196"/>
    <n v="4149"/>
    <m/>
    <m/>
    <n v="0"/>
    <s v="Los participantes directos se obtuvieron del empadronamiento de las familias damnificadas por el fenómeo denominado Niño Costero. Por la naturaleza del proyecto, no se consideran participantes indirectos."/>
    <m/>
    <n v="1953"/>
    <n v="2196"/>
    <n v="4149"/>
    <m/>
    <m/>
    <n v="0"/>
    <m/>
    <m/>
    <m/>
    <m/>
    <m/>
    <m/>
    <m/>
    <m/>
    <m/>
    <m/>
    <m/>
    <m/>
    <m/>
    <m/>
    <m/>
    <m/>
    <m/>
    <m/>
    <m/>
    <m/>
    <m/>
    <m/>
    <m/>
    <m/>
    <s v="YES"/>
    <n v="4149"/>
    <n v="0.47"/>
    <m/>
    <m/>
    <m/>
    <m/>
    <m/>
    <s v="YES"/>
    <n v="4149"/>
    <n v="0.47"/>
    <m/>
    <s v="YES"/>
    <n v="4149"/>
    <n v="0.47"/>
    <m/>
    <s v="NO"/>
    <m/>
    <m/>
    <m/>
    <s v="YES"/>
    <n v="4149"/>
    <n v="0.47"/>
    <m/>
    <m/>
    <m/>
    <m/>
    <m/>
    <m/>
    <m/>
    <m/>
    <m/>
    <m/>
    <m/>
    <m/>
    <m/>
    <m/>
    <m/>
    <m/>
    <m/>
    <m/>
    <m/>
    <m/>
    <m/>
    <m/>
    <m/>
    <m/>
    <m/>
    <m/>
    <m/>
    <m/>
    <m/>
    <m/>
    <m/>
    <m/>
    <m/>
    <m/>
    <m/>
    <m/>
    <m/>
    <m/>
    <m/>
    <m/>
    <m/>
    <m/>
    <m/>
    <m/>
    <m/>
    <m/>
    <m/>
    <m/>
    <m/>
    <m/>
    <m/>
    <m/>
    <m/>
    <m/>
    <m/>
    <m/>
    <m/>
    <m/>
    <m/>
    <m/>
    <m/>
    <m/>
    <m/>
    <m/>
    <m/>
    <m/>
    <m/>
    <m/>
    <m/>
    <m/>
    <m/>
    <m/>
    <m/>
    <m/>
    <m/>
    <m/>
    <m/>
    <m/>
    <m/>
    <m/>
    <m/>
    <s v="NO"/>
    <m/>
    <m/>
    <s v="NO"/>
    <s v="NO"/>
    <m/>
    <m/>
    <m/>
    <x v="2"/>
    <s v="NO"/>
    <s v="NO"/>
    <m/>
    <s v="YES"/>
    <s v="NO"/>
    <m/>
    <s v="YES"/>
    <m/>
    <m/>
    <x v="0"/>
    <m/>
    <x v="0"/>
    <m/>
    <x v="0"/>
    <x v="0"/>
    <s v="NO"/>
    <x v="0"/>
    <x v="0"/>
    <x v="0"/>
    <x v="1"/>
    <n v="3"/>
    <x v="1"/>
    <x v="1"/>
    <x v="1"/>
    <x v="1"/>
    <x v="1"/>
    <x v="1"/>
    <n v="4"/>
    <x v="1"/>
    <x v="1"/>
    <x v="2"/>
    <x v="1"/>
    <x v="3"/>
    <n v="2"/>
    <x v="0"/>
    <x v="3"/>
    <n v="1"/>
    <s v="Local government(s)"/>
    <m/>
    <m/>
    <x v="2"/>
    <m/>
    <m/>
    <s v="Trabajo articulado y coordinado con el gobierno local."/>
    <s v="Involucramiento de los lideres comunitarios y autoridades locales."/>
    <m/>
    <s v="La adquisición local de insumos y materiales debe ser en lo posible descentralizada a fin de reducir los tiempos de entrega de bienes y servicios."/>
    <s v="El trabajo con gobiernos locales ayuda a reducir los costos logísticos para la atención de las familias damnificadas."/>
    <s v="El conocimiento de las percepciones de las familias damnificadas sobre la ayuda humanitaria es importante para la toma de decisiones adecuadas al contexto."/>
    <m/>
    <m/>
    <n v="4149"/>
    <n v="0"/>
    <n v="0"/>
    <n v="0.47071583514099785"/>
    <s v=""/>
    <n v="1953"/>
    <n v="0"/>
    <n v="1"/>
    <n v="4149"/>
    <n v="0"/>
    <n v="0"/>
    <s v=""/>
    <n v="0"/>
    <n v="0"/>
    <s v=""/>
    <n v="1"/>
    <n v="4149"/>
    <n v="0"/>
    <n v="0"/>
    <s v=""/>
    <n v="0"/>
    <n v="0"/>
    <s v=""/>
    <s v=""/>
    <n v="0"/>
    <n v="0"/>
    <s v=""/>
    <s v="1. Neutral"/>
    <s v="2. Accommodating"/>
    <s v="1. Neutral"/>
    <s v="It did not develop any specific innovation"/>
    <s v="Intensive advocacy"/>
    <s v="It did not take tested solutions to scale"/>
  </r>
  <r>
    <x v="59"/>
    <x v="4"/>
    <n v="3261"/>
    <s v="Emprendimiento y empoderamiento económico de mujeres en comunidades rurales de la Costa y Región Andina del Perú"/>
    <s v="Peru"/>
    <s v="CNLDPE1006"/>
    <s v="CARE Nederland"/>
    <s v="Foundation"/>
    <s v="Other"/>
    <s v="H&amp;M Conscious Foundation"/>
    <m/>
    <m/>
    <m/>
    <m/>
    <m/>
    <m/>
    <m/>
    <m/>
    <m/>
    <m/>
    <m/>
    <m/>
    <m/>
    <m/>
    <m/>
    <m/>
    <m/>
    <m/>
    <m/>
    <m/>
    <m/>
    <m/>
    <m/>
    <m/>
    <m/>
    <m/>
    <m/>
    <m/>
    <m/>
    <m/>
    <m/>
    <m/>
    <m/>
    <m/>
    <m/>
    <m/>
    <m/>
    <m/>
    <m/>
    <m/>
    <m/>
    <m/>
    <m/>
    <m/>
    <m/>
    <d v="2014-12-01T00:00:00"/>
    <d v="2016-11-30T00:00:00"/>
    <m/>
    <s v="Development Access to and Control over Economic Resources"/>
    <n v="246300"/>
    <s v="Segundo Dávila Muñoz"/>
    <s v="Gerente de Programas"/>
    <s v="sdavila@care.org.pe"/>
    <s v="Marcia Barbis Quiñones"/>
    <s v="Jefa de Proyecto Emprendimiento y empoderamiento economico de mujeres"/>
    <s v="mbarbis@care.org.pe"/>
    <s v="NO"/>
    <s v="YES"/>
    <s v="NO"/>
    <s v="Contribuir a desarrollar y fortalecer las capacidades y herramientas para que 3,000 mujeres de comunidades rurales y periurbanas de Piura, Junín, Huancavelica y Cusco, accedan a oportunidades económicas, ganando en dicho proceso autonomía en la generación y uso de sus ingresos económicos a través de sus proyectos de emprendimiento y empresas locales viables en el sector de agronegocios inclusivos."/>
    <s v="Sub-National"/>
    <s v="País Perú: Región Piura (provincia de Morropón y Sullana; distrito de Chulucanas, Salitral, San Juan de Bigote y La Matanza), Región Junín (provincia de Tarma, Huancayo y Churcampa; distrito de Acobamba, el Tambo, Huancayo y San Miguel de Mayocc), Región Cusco (Provincia de la Convención; distrito de Santa Teresa)."/>
    <s v="Mujeres en edades entre 18 y 50 años"/>
    <n v="3000"/>
    <n v="0"/>
    <n v="3000"/>
    <n v="6000"/>
    <n v="6000"/>
    <n v="12000"/>
    <s v="Las participantes directas son aquellas mujeres a las que el proyecto pretende alcanzar con una estrategia de asociatividad, en las cuales se forman asociaciones de mujeres (aproximadamente 20 mujeres por asociación) con emprendimientos identificados, teniendo como meta final a 3,000 mujeres.   Con relación a los participantes indirectos, se consideró un promedio de 4 personas por familia, promedio calculado en base a los registros del proyecto e información brindada por los equipos de las regiones de intervención del proyecto."/>
    <m/>
    <m/>
    <m/>
    <m/>
    <m/>
    <m/>
    <m/>
    <m/>
    <m/>
    <m/>
    <m/>
    <m/>
    <m/>
    <m/>
    <m/>
    <m/>
    <m/>
    <m/>
    <m/>
    <m/>
    <m/>
    <m/>
    <m/>
    <m/>
    <m/>
    <m/>
    <m/>
    <m/>
    <m/>
    <m/>
    <m/>
    <m/>
    <m/>
    <m/>
    <m/>
    <m/>
    <m/>
    <m/>
    <m/>
    <m/>
    <m/>
    <m/>
    <m/>
    <m/>
    <m/>
    <m/>
    <m/>
    <m/>
    <m/>
    <m/>
    <m/>
    <m/>
    <m/>
    <m/>
    <m/>
    <m/>
    <m/>
    <m/>
    <m/>
    <m/>
    <n v="3616"/>
    <n v="0"/>
    <n v="3616"/>
    <n v="7232"/>
    <n v="7232"/>
    <n v="14464"/>
    <s v="NO"/>
    <m/>
    <m/>
    <m/>
    <s v="NO"/>
    <m/>
    <m/>
    <m/>
    <s v="NO"/>
    <m/>
    <m/>
    <m/>
    <s v="NO"/>
    <m/>
    <m/>
    <m/>
    <s v="NO"/>
    <m/>
    <m/>
    <m/>
    <s v="NO"/>
    <m/>
    <m/>
    <m/>
    <s v="NO"/>
    <m/>
    <m/>
    <m/>
    <s v="NO"/>
    <m/>
    <m/>
    <m/>
    <s v="NO"/>
    <m/>
    <m/>
    <m/>
    <s v="NO"/>
    <m/>
    <m/>
    <m/>
    <s v="NO"/>
    <m/>
    <m/>
    <m/>
    <s v="NO"/>
    <m/>
    <m/>
    <m/>
    <s v="NO"/>
    <m/>
    <m/>
    <m/>
    <s v="NO"/>
    <m/>
    <m/>
    <m/>
    <s v="NO"/>
    <m/>
    <m/>
    <m/>
    <s v="YES"/>
    <n v="3630"/>
    <n v="1"/>
    <n v="14520"/>
    <m/>
    <m/>
    <m/>
    <m/>
    <m/>
    <s v="YES"/>
    <s v="January"/>
    <n v="2017"/>
    <s v="YES"/>
    <s v="NO"/>
    <m/>
    <m/>
    <m/>
    <x v="1"/>
    <s v="NO"/>
    <s v="NO"/>
    <s v="YES"/>
    <s v="YES"/>
    <s v="NO"/>
    <s v="NO"/>
    <s v="NO"/>
    <s v="NO"/>
    <m/>
    <x v="0"/>
    <m/>
    <x v="0"/>
    <m/>
    <x v="1"/>
    <x v="0"/>
    <s v="YES"/>
    <x v="0"/>
    <x v="0"/>
    <x v="0"/>
    <x v="0"/>
    <n v="4"/>
    <x v="1"/>
    <x v="1"/>
    <x v="1"/>
    <x v="1"/>
    <x v="1"/>
    <x v="1"/>
    <n v="4"/>
    <x v="1"/>
    <x v="1"/>
    <x v="1"/>
    <x v="1"/>
    <x v="1"/>
    <n v="3"/>
    <x v="0"/>
    <x v="1"/>
    <m/>
    <m/>
    <m/>
    <m/>
    <x v="1"/>
    <m/>
    <s v="generar confianza en las mujeres para que logren mayor autonomía en la gestión de sus recursos, un ejemplo claro fue el capital semilla. Por otro lado, considerar y lograr aumentar la autoestima y empoderamiento de las mujeres a traves de las redes de mujeres facilitadoras."/>
    <s v="La estrategia de Asociatividad, para llegar a más mujeres y lograr que los emprendimientos sean más competitivos"/>
    <s v="Trabajar con los bancos comunales, de manera que las emprendedoras que estaban iniciándose estén más familiarizadas con los sistemas de ahorro y se logren organizar mejor asumiendo responsabilidades."/>
    <s v="Generación de desarrollo de producto (valor agregado, transformación del producto, marcas colectivas)"/>
    <s v="Lograr que las mujeres sean las protagonistas de impulsar los procesos de cambio de sus localidades; el modelo de réplica a travez de las redes de facililtadoras."/>
    <s v="Facilitar la participación de las mujeres particpantes del proyecto en los procesos para acceder a inversión pública."/>
    <s v="Las historias de cambio, que expresan las evidencias que les ha permitido a las mujeres mejorar sus ingresos y cierta autonomía económica."/>
    <s v="Este semestre corresponde al semestre de cierre del proyecto."/>
    <s v="La información brindada se basa en la propuesta del documento inicial y el informe final entregado al donante."/>
    <n v="3616"/>
    <n v="14464"/>
    <n v="4"/>
    <n v="1"/>
    <n v="0.5"/>
    <n v="3616"/>
    <n v="7232"/>
    <s v=""/>
    <n v="0"/>
    <n v="0"/>
    <s v=""/>
    <s v=""/>
    <n v="0"/>
    <n v="0"/>
    <s v=""/>
    <s v=""/>
    <n v="0"/>
    <n v="0"/>
    <s v=""/>
    <s v=""/>
    <n v="0"/>
    <n v="0"/>
    <s v=""/>
    <n v="1"/>
    <n v="3630"/>
    <n v="14520"/>
    <n v="4"/>
    <s v="2. Sensitive"/>
    <s v="2. Accommodating"/>
    <s v="2. Sensitive"/>
    <s v="It did not develop any specific innovation"/>
    <s v="Moderate advocacy"/>
    <s v="It did not take tested solutions to scale"/>
  </r>
  <r>
    <x v="59"/>
    <x v="4"/>
    <m/>
    <s v="Escalando el desarrollo empresarial para el empoderamiento de mujeres"/>
    <s v="Peru"/>
    <s v="CNLDPE1012"/>
    <s v="CARE Nederland"/>
    <s v="Foundation"/>
    <s v="Other"/>
    <s v="H&amp;M Conscious Foundation"/>
    <m/>
    <m/>
    <m/>
    <m/>
    <m/>
    <m/>
    <m/>
    <m/>
    <m/>
    <m/>
    <m/>
    <m/>
    <m/>
    <m/>
    <m/>
    <m/>
    <m/>
    <m/>
    <m/>
    <m/>
    <m/>
    <m/>
    <m/>
    <m/>
    <m/>
    <m/>
    <m/>
    <m/>
    <m/>
    <m/>
    <m/>
    <m/>
    <m/>
    <m/>
    <m/>
    <m/>
    <m/>
    <m/>
    <m/>
    <m/>
    <m/>
    <m/>
    <m/>
    <m/>
    <m/>
    <d v="2017-05-01T00:00:00"/>
    <d v="2020-04-30T00:00:00"/>
    <m/>
    <s v="Development Access to and Control over Economic Resources"/>
    <n v="476000"/>
    <s v="Segundo Dávila Muñoz"/>
    <s v="Gerente de Programas"/>
    <s v="sdavila@care.org.pe"/>
    <s v="Marcia Barbis Quiñones"/>
    <s v="Jefa de proyecto"/>
    <s v="mbarbis@care.org.pe"/>
    <s v="NO"/>
    <s v="YES"/>
    <s v="NO"/>
    <s v="15,000 mujeres empoderadas de las comunidades de Piura, Junín y Huancavelica, desarrollan negocios competitivos y viables."/>
    <s v="Sub-National"/>
    <s v="País Perú: Región Piura (provincia de Morropón y Sullana; distrito de Chulucanas, Salitral, San Juan de Bigote y La Matanza), Región Junín (provincia de Tarma, Huancayo y Churcampa; distrito de Acobamba, el Tambo, Huancayo y San Miguel de Mayocc)"/>
    <s v="Mujeres de edad de trabajar que tengan un emprendimiento en marcha, así como mujeres que tengan una idea de negocio y estén organizadas y listas para emprender."/>
    <n v="15000"/>
    <n v="0"/>
    <n v="15000"/>
    <n v="30000"/>
    <n v="30000"/>
    <n v="60000"/>
    <s v="1800 mujeres empresarias correspondientes a la fase I de la intervención, de los grupos de emprendimiento con mayor nivel de desarrollo realtivo, 4,500 mujeres como resultante del efecto multiplicador de las mujeres empresarias, 8,700 mujeres emprendedoras y empresarias comom resultado de la incidencia y la momvilización de recursos a favor de la empresarialidad de las mujeres, en localidades nuevas de las regiones priorizadas. De manera indirecta, se considera un promedio de 4 personas por familia, según los registros que se tienen en el trabajo realizado con nuestros proyectos."/>
    <m/>
    <m/>
    <m/>
    <m/>
    <m/>
    <m/>
    <m/>
    <m/>
    <m/>
    <m/>
    <m/>
    <m/>
    <m/>
    <m/>
    <m/>
    <m/>
    <m/>
    <m/>
    <m/>
    <m/>
    <m/>
    <m/>
    <m/>
    <m/>
    <m/>
    <m/>
    <m/>
    <m/>
    <m/>
    <m/>
    <m/>
    <m/>
    <m/>
    <m/>
    <m/>
    <m/>
    <m/>
    <m/>
    <m/>
    <m/>
    <m/>
    <m/>
    <m/>
    <m/>
    <m/>
    <m/>
    <m/>
    <m/>
    <m/>
    <m/>
    <m/>
    <m/>
    <m/>
    <m/>
    <m/>
    <m/>
    <m/>
    <m/>
    <m/>
    <m/>
    <n v="15000"/>
    <n v="0"/>
    <n v="15000"/>
    <n v="30000"/>
    <n v="30000"/>
    <n v="60000"/>
    <s v="NO"/>
    <m/>
    <m/>
    <m/>
    <s v="NO"/>
    <m/>
    <m/>
    <m/>
    <s v="NO"/>
    <m/>
    <m/>
    <m/>
    <s v="NO"/>
    <m/>
    <m/>
    <m/>
    <s v="NO"/>
    <m/>
    <m/>
    <m/>
    <s v="NO"/>
    <m/>
    <m/>
    <m/>
    <s v="NO"/>
    <m/>
    <m/>
    <m/>
    <s v="NO"/>
    <m/>
    <m/>
    <m/>
    <s v="NO"/>
    <m/>
    <m/>
    <m/>
    <s v="NO"/>
    <m/>
    <m/>
    <m/>
    <s v="NO"/>
    <m/>
    <m/>
    <m/>
    <s v="NO"/>
    <m/>
    <m/>
    <m/>
    <s v="NO"/>
    <m/>
    <m/>
    <m/>
    <s v="NO"/>
    <m/>
    <m/>
    <m/>
    <s v="NO"/>
    <m/>
    <m/>
    <m/>
    <s v="YES"/>
    <m/>
    <m/>
    <m/>
    <m/>
    <m/>
    <m/>
    <m/>
    <m/>
    <m/>
    <m/>
    <m/>
    <m/>
    <m/>
    <m/>
    <m/>
    <s v="Estamos en la etapa de implementación del proyecto en camino a realizar la línea de base respectiva."/>
    <x v="3"/>
    <m/>
    <m/>
    <m/>
    <m/>
    <m/>
    <m/>
    <m/>
    <m/>
    <m/>
    <x v="3"/>
    <m/>
    <x v="2"/>
    <m/>
    <x v="3"/>
    <x v="2"/>
    <m/>
    <x v="2"/>
    <x v="2"/>
    <x v="2"/>
    <x v="3"/>
    <n v="0"/>
    <x v="0"/>
    <x v="0"/>
    <x v="0"/>
    <x v="0"/>
    <x v="0"/>
    <x v="0"/>
    <n v="0"/>
    <x v="0"/>
    <x v="0"/>
    <x v="0"/>
    <x v="0"/>
    <x v="0"/>
    <n v="0"/>
    <x v="1"/>
    <x v="4"/>
    <m/>
    <m/>
    <m/>
    <m/>
    <x v="3"/>
    <m/>
    <m/>
    <m/>
    <m/>
    <m/>
    <m/>
    <m/>
    <m/>
    <m/>
    <s v="El proyecto se encuentra en su etapa inicial de implementación.  La información brindada responde a la propuesta aprobada y al IPIA firmado con Care Holanda."/>
    <n v="15000"/>
    <n v="60000"/>
    <n v="4"/>
    <n v="1"/>
    <n v="0.5"/>
    <n v="15000"/>
    <n v="30000"/>
    <s v=""/>
    <n v="0"/>
    <n v="0"/>
    <s v=""/>
    <s v=""/>
    <n v="0"/>
    <n v="0"/>
    <s v=""/>
    <s v=""/>
    <n v="0"/>
    <n v="0"/>
    <s v=""/>
    <s v=""/>
    <n v="0"/>
    <n v="0"/>
    <s v=""/>
    <n v="1"/>
    <n v="0"/>
    <n v="0"/>
    <s v=""/>
    <s v="No marker score"/>
    <s v="No marker score"/>
    <s v="No marker score"/>
    <n v="0"/>
    <n v="0"/>
    <n v="0"/>
  </r>
  <r>
    <x v="59"/>
    <x v="4"/>
    <n v="3259"/>
    <s v="Fondo de Inversión Inclusiva Solidaria-FIIS"/>
    <s v="Peru"/>
    <s v="CREDPE0001"/>
    <s v="CARE Peru"/>
    <s v="Corporation"/>
    <s v="Other"/>
    <s v="Nueva Scotia Bank-BNS"/>
    <m/>
    <m/>
    <m/>
    <m/>
    <m/>
    <m/>
    <m/>
    <m/>
    <m/>
    <m/>
    <m/>
    <m/>
    <m/>
    <m/>
    <m/>
    <m/>
    <m/>
    <m/>
    <m/>
    <m/>
    <m/>
    <m/>
    <m/>
    <m/>
    <m/>
    <m/>
    <m/>
    <m/>
    <m/>
    <m/>
    <m/>
    <m/>
    <m/>
    <m/>
    <m/>
    <m/>
    <m/>
    <m/>
    <m/>
    <m/>
    <m/>
    <m/>
    <m/>
    <m/>
    <m/>
    <d v="2015-02-25T00:00:00"/>
    <d v="2017-02-25T00:00:00"/>
    <m/>
    <s v="Development Access to and Control over Economic Resources"/>
    <n v="250000"/>
    <s v="Segundo Dávila Muñoz"/>
    <s v="Gerente de Programas"/>
    <s v="sdavila@care.org.pe"/>
    <s v="Bibiano Huamancayo Quiquín"/>
    <s v="Jefe de proyectos Desarrollo Económico"/>
    <s v="bhuamancayo@care.org.pe"/>
    <s v="YES"/>
    <s v="YES"/>
    <s v="YES"/>
    <s v="Jefes de familia, hombres y mujeres, de manera individual o asociada acceden a una fuente promocional de financiamiento para desarrollar emprendimientos que permiten incrementar sus ingresos."/>
    <s v="Sub-National"/>
    <s v="Departamento de Piura Provincia de Morropón distritos y  sus Municipalidades: Chullucanas, El Salitral, La Matanza y San Juan de Bigote   Departamento de Huancavelica Provincia de Huaytará y  Distritos y sus Municipalidades : Huaytará y Quito Arma. Departamento de Ica, Provincia de Chincha y Distritos y sus Municipales: Chincha Baja y El Carmen; Provincia de Pisco y Distritos  y sus Municipalidades: Independencia y Humay."/>
    <s v="Jefes y jefas de familias que se encuentran en situación pobreza"/>
    <n v="920"/>
    <n v="1443"/>
    <n v="2363"/>
    <n v="4600"/>
    <n v="7215"/>
    <n v="11815"/>
    <s v="Todos los participantes directos son jefas y jefes de familia (2363) quienes  son representantes de sus emprendimientos.   Los participantes indirectos incluye a los miembros de la famila que se multiplica por 5 (miembros de la familia)"/>
    <m/>
    <m/>
    <m/>
    <n v="0"/>
    <m/>
    <m/>
    <n v="0"/>
    <s v="YES"/>
    <m/>
    <m/>
    <n v="120"/>
    <s v="NO"/>
    <m/>
    <m/>
    <m/>
    <s v="NO"/>
    <m/>
    <m/>
    <m/>
    <s v="NO"/>
    <m/>
    <m/>
    <m/>
    <s v="NO"/>
    <m/>
    <m/>
    <m/>
    <s v="NO"/>
    <m/>
    <m/>
    <m/>
    <s v="NO"/>
    <m/>
    <m/>
    <m/>
    <s v="NO"/>
    <m/>
    <m/>
    <m/>
    <s v="NO"/>
    <m/>
    <m/>
    <m/>
    <s v="NO"/>
    <m/>
    <m/>
    <m/>
    <s v="NO"/>
    <m/>
    <m/>
    <m/>
    <s v="NO"/>
    <m/>
    <m/>
    <m/>
    <m/>
    <m/>
    <m/>
    <m/>
    <m/>
    <n v="920"/>
    <n v="1443"/>
    <n v="2363"/>
    <n v="4600"/>
    <n v="7215"/>
    <n v="11815"/>
    <s v="NO"/>
    <m/>
    <m/>
    <m/>
    <m/>
    <m/>
    <m/>
    <m/>
    <m/>
    <m/>
    <m/>
    <m/>
    <m/>
    <m/>
    <m/>
    <m/>
    <s v="YES"/>
    <n v="1860"/>
    <n v="0.39"/>
    <n v="7440"/>
    <m/>
    <m/>
    <m/>
    <m/>
    <m/>
    <m/>
    <m/>
    <m/>
    <m/>
    <m/>
    <m/>
    <m/>
    <s v="YES"/>
    <n v="1860"/>
    <n v="0.39"/>
    <n v="7440"/>
    <m/>
    <m/>
    <m/>
    <m/>
    <s v="YES"/>
    <n v="40"/>
    <n v="0.53"/>
    <n v="200"/>
    <m/>
    <m/>
    <m/>
    <m/>
    <m/>
    <m/>
    <m/>
    <m/>
    <m/>
    <m/>
    <m/>
    <m/>
    <m/>
    <m/>
    <m/>
    <m/>
    <s v="YES"/>
    <n v="920"/>
    <n v="1"/>
    <n v="3680"/>
    <m/>
    <m/>
    <m/>
    <m/>
    <m/>
    <s v="NO"/>
    <m/>
    <m/>
    <s v="NO"/>
    <s v="NO"/>
    <m/>
    <m/>
    <m/>
    <x v="1"/>
    <m/>
    <m/>
    <s v="YES"/>
    <s v="YES"/>
    <s v="YES"/>
    <s v="NO"/>
    <m/>
    <m/>
    <m/>
    <x v="2"/>
    <s v="Empoderamiento de las Jefas y jefes de familias para la inclusión financiera a emprendimiento económicos, sin garantías reales"/>
    <x v="3"/>
    <s v="Emprendimientos en marcha, garantizando la rentabilidad del negocio la inclusión financiera incrementa la rentabilidad económica del negocio por ende los ingresos económicos."/>
    <x v="1"/>
    <x v="0"/>
    <s v="NO"/>
    <x v="0"/>
    <x v="0"/>
    <x v="0"/>
    <x v="1"/>
    <n v="3"/>
    <x v="1"/>
    <x v="2"/>
    <x v="1"/>
    <x v="1"/>
    <x v="1"/>
    <x v="1"/>
    <n v="3"/>
    <x v="1"/>
    <x v="1"/>
    <x v="1"/>
    <x v="1"/>
    <x v="1"/>
    <n v="3"/>
    <x v="3"/>
    <x v="0"/>
    <n v="10"/>
    <s v="Local government(s)"/>
    <s v="Local NGO(s)/CSO(s)"/>
    <m/>
    <x v="2"/>
    <s v="Organizaciones de productores en diferentes niveles, según su participación (niveles de gobierno)"/>
    <m/>
    <s v="Fortalecimiento de las competencias de las Jefes y jefas de Familia, en educación financiera, aspectos tecnicos productivos, gestión empresarial y mercadeo"/>
    <s v="Desarrollo de los emprendimientos con enfoque de cadena de valor y de género"/>
    <s v="Desarrollo del producto (microfranquicia, comercio eléctronico, otros) y agregación de la oferta productiva."/>
    <s v="El desarrollo de la cultura financiera es un aspecto clave en la promoción del crecimiento económico en los productores y grupos objetivo, enfatizando el reconocimiento de la inversión como un recurso que participa en el proceso productivo y como otros recursos tiene un valor de uso y que no todas las inversiones pueden ser subvencionadas"/>
    <s v="Los Bancos Comunales, de manera general, constituyen una estrategia adecuada no solo para promoción de la cultura de ahorro, crédito y financiamiento, teniendo mayor impacto en los grupos de emprendimiento, constituyéndose además con una fuente accesible para microcréditos"/>
    <s v="La educación financiera facilita la articulación de los negocios al sistema financiero formal para acceder crédito."/>
    <m/>
    <m/>
    <n v="2363"/>
    <n v="11815"/>
    <n v="5"/>
    <n v="0.38933559035124843"/>
    <n v="0.38933559035124843"/>
    <n v="920"/>
    <n v="4600"/>
    <n v="1"/>
    <n v="0"/>
    <n v="0"/>
    <s v=""/>
    <n v="1"/>
    <n v="1860"/>
    <n v="7440"/>
    <n v="4"/>
    <s v=""/>
    <n v="0"/>
    <n v="0"/>
    <s v=""/>
    <s v=""/>
    <n v="0"/>
    <n v="0"/>
    <s v=""/>
    <n v="1"/>
    <n v="920"/>
    <n v="3680"/>
    <n v="4"/>
    <s v="1. Neutral"/>
    <s v="2. Accommodating"/>
    <s v="2. Sensitive"/>
    <s v="It tested new ways for fighting poverty and measured results of innovation"/>
    <s v="Moderate advocacy"/>
    <s v="It took tested solutions to scale on its own"/>
  </r>
  <r>
    <x v="59"/>
    <x v="4"/>
    <m/>
    <s v="Fortaleciendo la preparación ante el fenomeno del Niño"/>
    <s v="Peru"/>
    <s v="AID-OFDA-G-16-00006"/>
    <s v="CARE Peru"/>
    <s v="Government"/>
    <s v="Government - US"/>
    <s v="OFDA"/>
    <m/>
    <m/>
    <m/>
    <m/>
    <m/>
    <m/>
    <m/>
    <m/>
    <m/>
    <m/>
    <m/>
    <m/>
    <m/>
    <m/>
    <m/>
    <m/>
    <m/>
    <m/>
    <m/>
    <m/>
    <m/>
    <m/>
    <m/>
    <m/>
    <m/>
    <m/>
    <m/>
    <m/>
    <m/>
    <m/>
    <m/>
    <m/>
    <m/>
    <m/>
    <m/>
    <m/>
    <m/>
    <m/>
    <m/>
    <m/>
    <m/>
    <m/>
    <m/>
    <m/>
    <m/>
    <d v="2016-12-01T00:00:00"/>
    <d v="2016-07-01T00:00:00"/>
    <d v="2016-10-01T00:00:00"/>
    <s v="Humanitarian Other"/>
    <n v="1357000"/>
    <s v="Lucy Harman"/>
    <s v="Gerente de gestión de riesgos"/>
    <s v="lharman@care.org.pe"/>
    <s v="Maria Espinoza"/>
    <s v="Jefe de proyecto"/>
    <s v="mespinoza@care.org,pe"/>
    <s v="YES"/>
    <s v="NO"/>
    <s v="NO"/>
    <s v="Mejorar la coordinación, la sensibilización y la preparación para responder ante el fenomeno del EL niño, particularmente en asuntos relativos al techo y ASH"/>
    <s v="Sub-National"/>
    <s v="Ciudades del Norte del pais ,vulnerables al Fenomeno El Niuño,priorizando 04 Regiones, 11 Provincias,25 distritos y 84 localidades  : La Libertad (Prov: Trujillo), Piura(Provincias :Piura, Sechura, Sullana,Morropon, Buenos Aires,Salitral , )Tumbes (Prov: Tumbes y Contrarlmirante Villar), Lambayeque(Prov:Chiclayo, Ferreñafe)."/>
    <s v="Población urbana y rural vulnerable ante el  Fenomeno El niño."/>
    <n v="37500"/>
    <n v="37500"/>
    <n v="75000"/>
    <n v="250000"/>
    <n v="250000"/>
    <n v="500000"/>
    <s v="Los participantes directos :son los miembros de familias del area de intervencion(Zona geografica vulnerable al FEN, cuyas caracteristicas  son poblacion en pobreza, poblacion vulnerable:Adulto mayor,niños, niñas y adolescentes, poblacion con discapacidad, madres gestantes  todo ello bajo el enfoque de protección) ademas que  participaron directamente de por lo menos 2 actividades programadas en el proyecto(Sensibilizacion y capacitación) ,un ejemplo las ferias de sensibilizacion y capacitacion en Agua ,saneamiento e higiene, o  capacitacion en brigadas, capacitacion en construir un albergue o viviendas temporales._x000a_Desde miembros de familias hasta funcionarios y autoridades locales participantes en los diferentes eventos programados ._x000a_Los indirectos se calcularon por un promedio de 5 personas por familia que recibieron capacitacion de los brigadistas en sus propias viviendas. Sin embargo, los censos poblacionales del proyecto revelaron que el número promedio de miesmbros por familia en als zonas de intervención es 3.5. Este dato se usa para estimar los beneficiarios indirectos del AF2017 (Sección 2)"/>
    <m/>
    <n v="31386"/>
    <n v="30155"/>
    <n v="61541"/>
    <n v="109850.5"/>
    <n v="105543"/>
    <n v="215393.5"/>
    <m/>
    <m/>
    <m/>
    <m/>
    <m/>
    <m/>
    <m/>
    <m/>
    <m/>
    <m/>
    <m/>
    <m/>
    <s v="YES"/>
    <n v="61541"/>
    <n v="0.51"/>
    <n v="215394"/>
    <m/>
    <m/>
    <m/>
    <m/>
    <m/>
    <m/>
    <m/>
    <m/>
    <s v="YES"/>
    <n v="61541"/>
    <n v="0.51"/>
    <n v="215394"/>
    <m/>
    <m/>
    <m/>
    <m/>
    <s v="YES"/>
    <n v="61541"/>
    <n v="0.51"/>
    <n v="215394"/>
    <m/>
    <m/>
    <m/>
    <m/>
    <s v="YES"/>
    <n v="61541"/>
    <n v="0.51"/>
    <n v="215394"/>
    <s v="YES"/>
    <n v="61541"/>
    <n v="0.51"/>
    <n v="215394"/>
    <s v="Censo de poblacion vulnerable"/>
    <s v="YES"/>
    <n v="61541"/>
    <n v="0.51"/>
    <n v="215394"/>
    <m/>
    <m/>
    <m/>
    <m/>
    <m/>
    <m/>
    <m/>
    <m/>
    <m/>
    <m/>
    <m/>
    <m/>
    <m/>
    <m/>
    <m/>
    <m/>
    <m/>
    <m/>
    <m/>
    <m/>
    <m/>
    <m/>
    <m/>
    <m/>
    <m/>
    <m/>
    <m/>
    <m/>
    <m/>
    <m/>
    <m/>
    <m/>
    <m/>
    <m/>
    <m/>
    <m/>
    <m/>
    <m/>
    <m/>
    <m/>
    <m/>
    <m/>
    <m/>
    <m/>
    <m/>
    <m/>
    <m/>
    <m/>
    <m/>
    <m/>
    <m/>
    <m/>
    <m/>
    <m/>
    <m/>
    <m/>
    <m/>
    <m/>
    <m/>
    <m/>
    <m/>
    <m/>
    <m/>
    <m/>
    <m/>
    <m/>
    <m/>
    <m/>
    <m/>
    <m/>
    <m/>
    <m/>
    <m/>
    <m/>
    <m/>
    <s v="NO"/>
    <m/>
    <m/>
    <s v="NO"/>
    <s v="NO"/>
    <m/>
    <m/>
    <m/>
    <x v="2"/>
    <m/>
    <m/>
    <m/>
    <s v="YES"/>
    <m/>
    <m/>
    <m/>
    <m/>
    <m/>
    <x v="0"/>
    <m/>
    <x v="1"/>
    <m/>
    <x v="0"/>
    <x v="0"/>
    <s v="YES"/>
    <x v="0"/>
    <x v="0"/>
    <x v="0"/>
    <x v="0"/>
    <n v="4"/>
    <x v="1"/>
    <x v="1"/>
    <x v="1"/>
    <x v="1"/>
    <x v="1"/>
    <x v="1"/>
    <n v="4"/>
    <x v="3"/>
    <x v="1"/>
    <x v="2"/>
    <x v="2"/>
    <x v="5"/>
    <n v="1"/>
    <x v="0"/>
    <x v="2"/>
    <n v="8"/>
    <s v="Local government(s)"/>
    <s v="Local alliance(s)/Platform(s)/Network(s) of  NGOs/CSOs"/>
    <s v="International NGO(s)"/>
    <x v="0"/>
    <s v="fortaleciendo capacidades en GRD (reactiva) para preparase frente a una emergencia, con planes y acciones de mitigación."/>
    <m/>
    <m/>
    <m/>
    <m/>
    <s v="El modelo de gestión consorciada de 8 ong junto con Indeci posibilitó el desarrollo de capacidades conjuntas de sus miembros y ha demostrado ser eficaz para establecer sinergias y articulaciones multinivel y de complementación de esfuerzos de la sociedad civil y el estado"/>
    <s v="El modelo de capacitación llegando a cada familia o grupos de familia, implementado por brigadistas locales del entorno de los beneficiarios ha permitido llegar a la mayoria de familias de las zonas priorizadas  y alcanzar las metas en cantidad y calidad."/>
    <s v="Metodologia  lúdica usada en la sensibilización en RRD (El tren de GRD , juegos,etc)  ,logro llegar a los participantes y cubrir la meta programada del proyecto.Se cuenta con una base de datos de las familias que cuentan con miembros priorizados en lo que respecta a proteccion (Gestantes, niños, niñas, adulto mayor,discapacidad) para tomar acciones en lo que respecta a apoyo especial."/>
    <s v="Un proyecto de corto duracion en el tiempo, que  permitio a los 08 miembros de la alianza a trabajar en conjunto, generar propuestas de accion y ejecutarlas con la poblacion generando Sinergia con las autoridades nacionales, regionales y locales."/>
    <m/>
    <n v="61541"/>
    <n v="215393.5"/>
    <n v="3.5"/>
    <n v="0.51000146243967437"/>
    <n v="0.50999914110685796"/>
    <n v="31386"/>
    <n v="109850.5"/>
    <n v="1"/>
    <n v="61541"/>
    <n v="215393.5"/>
    <n v="3.5"/>
    <n v="1"/>
    <n v="61541"/>
    <n v="215394"/>
    <n v="3.5000081246648578"/>
    <s v=""/>
    <n v="0"/>
    <n v="0"/>
    <s v=""/>
    <s v=""/>
    <n v="0"/>
    <n v="0"/>
    <s v=""/>
    <s v=""/>
    <n v="0"/>
    <n v="0"/>
    <s v=""/>
    <s v="2. Sensitive"/>
    <s v="2. Accommodating"/>
    <s v="3. Responsive"/>
    <s v="It did not develop any specific innovation"/>
    <s v="Intensive advocacy"/>
    <s v="It linked and worked with strategic alliances and partners to take tested and effective solutions to scale"/>
  </r>
  <r>
    <x v="59"/>
    <x v="4"/>
    <n v="3259"/>
    <s v="Fortalecimiento de las capacidades y de los medios de vida para los productores de alcachofa de concepción"/>
    <s v="Peru"/>
    <s v="GMFOPE0001"/>
    <s v="CARE USA"/>
    <s v="Foundation"/>
    <s v="Other"/>
    <s v="General Mills Foundation"/>
    <m/>
    <m/>
    <m/>
    <m/>
    <m/>
    <m/>
    <m/>
    <m/>
    <m/>
    <m/>
    <m/>
    <m/>
    <m/>
    <m/>
    <m/>
    <m/>
    <m/>
    <m/>
    <m/>
    <m/>
    <m/>
    <m/>
    <m/>
    <m/>
    <m/>
    <m/>
    <m/>
    <m/>
    <m/>
    <m/>
    <m/>
    <m/>
    <m/>
    <m/>
    <m/>
    <m/>
    <m/>
    <m/>
    <m/>
    <m/>
    <m/>
    <m/>
    <m/>
    <m/>
    <m/>
    <d v="2013-11-01T00:00:00"/>
    <d v="2016-10-30T00:00:00"/>
    <m/>
    <s v="Development Access to and Control over Economic Resources"/>
    <n v="300000"/>
    <s v="Segundo Dávila Muñoz"/>
    <s v="Gerente de programas"/>
    <s v="sdavila@care.org.pe"/>
    <s v="Bibiano Huamancayo Quiquín"/>
    <s v="Jefe de proyecto Desarrollo Económico"/>
    <s v="bhuamancayo@care.org.pe"/>
    <s v="NO"/>
    <s v="YES"/>
    <s v="NO"/>
    <s v="Fortalecer las capacidades técnico-productivas de esta cadena (abastecimiento contínuo, productividad de la producción, calidad del producto según estándares, eficiencia de costos de producción) y, las capacidades técnico-sociales (productivas, financieras y de gestión) de los pequeños agricultores organizados del Valle del Mantaro articulados a la cadena. Aumentar los ingresos económicos de las mujeres rurales en el departamento de Junín, a través del desarrollo de habilidades técnicas, productivas, financieras y empresariales"/>
    <s v="Sub-National"/>
    <s v="Departamento de Junín, Provincias:Concepción y Huancayo"/>
    <s v="Son mujeres jefas de familias en situación de pobreza que desarrollan emprendimientos económicos."/>
    <n v="152"/>
    <n v="0"/>
    <n v="152"/>
    <n v="372"/>
    <n v="388"/>
    <n v="760"/>
    <s v="Los participantes directos, son aquellos que recibieron beneficio directo del proyecto como: capacitaciones y asistencia técnica especializada y equipamiento de sus negocios principalmente. Los participantes indirectos: son miembros de su familia que se multiplicó por 5 porque son familias rurales."/>
    <m/>
    <m/>
    <m/>
    <m/>
    <m/>
    <m/>
    <m/>
    <m/>
    <m/>
    <m/>
    <m/>
    <m/>
    <m/>
    <m/>
    <m/>
    <m/>
    <m/>
    <m/>
    <m/>
    <m/>
    <m/>
    <m/>
    <m/>
    <m/>
    <m/>
    <m/>
    <m/>
    <m/>
    <m/>
    <m/>
    <m/>
    <m/>
    <m/>
    <m/>
    <m/>
    <m/>
    <m/>
    <m/>
    <m/>
    <m/>
    <m/>
    <m/>
    <m/>
    <m/>
    <m/>
    <m/>
    <m/>
    <m/>
    <m/>
    <m/>
    <m/>
    <m/>
    <m/>
    <m/>
    <m/>
    <m/>
    <m/>
    <m/>
    <m/>
    <m/>
    <n v="152"/>
    <n v="0"/>
    <n v="152"/>
    <n v="372"/>
    <n v="388"/>
    <n v="760"/>
    <s v="YES"/>
    <n v="20"/>
    <n v="1"/>
    <n v="100"/>
    <s v="YES"/>
    <n v="152"/>
    <n v="1"/>
    <n v="760"/>
    <s v="NO"/>
    <m/>
    <m/>
    <m/>
    <s v="NO"/>
    <m/>
    <m/>
    <m/>
    <s v="YES"/>
    <n v="152"/>
    <n v="1"/>
    <n v="760"/>
    <s v="NO"/>
    <m/>
    <m/>
    <m/>
    <s v="NO"/>
    <m/>
    <m/>
    <m/>
    <s v="NO"/>
    <m/>
    <m/>
    <m/>
    <s v="YES"/>
    <n v="152"/>
    <n v="1"/>
    <n v="760"/>
    <s v="NO"/>
    <m/>
    <m/>
    <m/>
    <s v="YES"/>
    <n v="152"/>
    <n v="1"/>
    <n v="760"/>
    <s v="NO"/>
    <m/>
    <m/>
    <m/>
    <s v="YES"/>
    <n v="12"/>
    <n v="1"/>
    <n v="48"/>
    <s v="NO"/>
    <m/>
    <m/>
    <m/>
    <s v="NO"/>
    <m/>
    <m/>
    <m/>
    <s v="YES"/>
    <n v="152"/>
    <n v="1"/>
    <n v="760"/>
    <m/>
    <m/>
    <m/>
    <m/>
    <m/>
    <s v="YES"/>
    <s v="July"/>
    <n v="2016"/>
    <s v="YES"/>
    <s v="NO"/>
    <m/>
    <m/>
    <s v="Ninguno"/>
    <x v="1"/>
    <s v="NO"/>
    <s v="NO"/>
    <s v="YES"/>
    <s v="YES"/>
    <s v="YES"/>
    <s v="NO"/>
    <s v="YES"/>
    <m/>
    <m/>
    <x v="2"/>
    <s v="Desarrollo del producto (microfranquisia), con la agregación de oferta y el rol de articulación comercial del proyecto les ha permitido acceder a mercados con mayor capacidad adquisitiva en cuanto a precio y volumen."/>
    <x v="1"/>
    <s v="Empoderamiento económico de la mujer con evidencias, réplica a través de los planes de negocio."/>
    <x v="1"/>
    <x v="0"/>
    <s v="YES"/>
    <x v="0"/>
    <x v="0"/>
    <x v="0"/>
    <x v="0"/>
    <n v="4"/>
    <x v="2"/>
    <x v="1"/>
    <x v="1"/>
    <x v="1"/>
    <x v="1"/>
    <x v="2"/>
    <n v="4"/>
    <x v="1"/>
    <x v="1"/>
    <x v="1"/>
    <x v="1"/>
    <x v="1"/>
    <n v="3"/>
    <x v="3"/>
    <x v="0"/>
    <n v="3"/>
    <s v="Local government(s)"/>
    <s v="University/research institution(s)"/>
    <m/>
    <x v="0"/>
    <s v="La formación de asociaciones de productoras en el proyecto en diferentes lineas de producción y/o servicio garantizan la presencia de la sociedad civil en los espacios de toma de decisiones."/>
    <s v="Incremento de los ingresos económico de las mujeres participantes en un 15%, implica mejorar la calidad de vida y reducir brechas de pobreza."/>
    <s v="Fortalecimiento y formalización de las organizaciones"/>
    <s v="Desarrollo de las competencias de las jefas de familias en calidad de producto con innovación, gestión empresarial, educación financiera y mercadeo con enfoque de cadena de valor"/>
    <s v="Empoderamiento económico de la Mujer (WEE)"/>
    <s v="El acompañamiento y abordaje de temas en las capacitaciones permiten que las mujeres asuman mayor control y decisión sobre los asuntos económicos, particularmente el destino de los ingresos que ellas generan o ayudan a generar. Ello implica trabajar no solamente con ellas, sino también con otros miembros de sus familias."/>
    <s v="La mejora de los estándares de producción dinamiza los productos y sus ventas, por lo que estos deberán ser más permanentes con la labor de articulación comercial"/>
    <s v="El empoderamiento de la mujer resulta importante observar y atender, de ser necesario, las implicancias que el nuevo dinamismo de las actividades económicas promovidas puedan incrementar  las jornadas laborales de las mujeres para atender las demandas de sus roles reproductivos y productivos, y de esta manera evitar la brecha en las relaciones de género entre los miembros de ambos sexos de las familias."/>
    <m/>
    <s v="Referencia informe y evaluación final."/>
    <n v="152"/>
    <n v="760"/>
    <n v="5"/>
    <n v="1"/>
    <n v="0.48947368421052634"/>
    <n v="152"/>
    <n v="372"/>
    <s v=""/>
    <n v="0"/>
    <n v="0"/>
    <s v=""/>
    <n v="1"/>
    <n v="152"/>
    <n v="760"/>
    <n v="5"/>
    <s v=""/>
    <n v="0"/>
    <n v="0"/>
    <s v=""/>
    <s v=""/>
    <n v="0"/>
    <n v="0"/>
    <s v=""/>
    <n v="1"/>
    <n v="152"/>
    <n v="760"/>
    <n v="5"/>
    <s v="2. Sensitive"/>
    <s v="4. Transformational"/>
    <s v="2. Sensitive"/>
    <s v="It tested new ways for fighting poverty and measured results of innovation"/>
    <s v="Moderate advocacy"/>
    <s v="It linked and worked with strategic alliances and partners to take tested and effective solutions to scale"/>
  </r>
  <r>
    <x v="59"/>
    <x v="4"/>
    <n v="3255"/>
    <s v="GESTION DEL RIESGO Y USO PRODUCTIVO DEL AGUA PROCEDENTE DE GLACIARES: GLACIARES+"/>
    <s v="Peru"/>
    <n v="3255"/>
    <s v="No CARE member related to the project/initiative"/>
    <s v="Government"/>
    <s v="Government - Switzerland"/>
    <s v="COSUDE"/>
    <m/>
    <m/>
    <m/>
    <m/>
    <m/>
    <m/>
    <m/>
    <m/>
    <m/>
    <m/>
    <m/>
    <m/>
    <m/>
    <m/>
    <m/>
    <m/>
    <m/>
    <m/>
    <m/>
    <m/>
    <m/>
    <m/>
    <m/>
    <m/>
    <m/>
    <m/>
    <m/>
    <m/>
    <m/>
    <m/>
    <m/>
    <m/>
    <m/>
    <m/>
    <m/>
    <m/>
    <m/>
    <m/>
    <m/>
    <m/>
    <m/>
    <m/>
    <m/>
    <m/>
    <m/>
    <d v="2015-09-01T00:00:00"/>
    <d v="2018-08-31T00:00:00"/>
    <d v="2018-12-31T00:00:00"/>
    <s v="Development Food &amp; Nutrition Security and Resilience to Climate Change"/>
    <n v="2759000"/>
    <s v="KAREN PRICE RIOS"/>
    <s v="COORDINADORA NACIONAL PROYECTO GLACIARES+"/>
    <s v="kprice@care.org.pe"/>
    <s v="FIORELLA MIÑAN BARTRA"/>
    <s v="ESPECIALISTA DEL PROYECTO GLACIARES+"/>
    <s v="fminan@care.org.pe"/>
    <s v="NO"/>
    <s v="YES"/>
    <s v="NO"/>
    <s v="construir y fortalecer las capacidades para la adaptación al cambio climático y reducir los riesgos asociados a los glaciares, garantizar la sostenibilidad y aprovechar las oportunidades que ofrece el fenómeno de retroceso de glaciares."/>
    <s v="Sub-National"/>
    <s v="Región Cusco, provincia de Urubamba, distrito Urubamba, comunidad San Isidro de Chicón (subcuenca Vilcanota-Urubamba). Región Ancash, Provincia de Huaraz, distrito de Huaraz e Independencia (Subuenca Quilcay). Región Lima, provincia Yauyos, Cuenca Cañete, (Reserva Paisajística Nor Yauyos Cocha - RPNYC)"/>
    <s v="Pobladores del ámbito rural y urbano; autoridades y funcionarios de instituciones públicas; universidades (UNSAAC, UNASAM Y PUCP); Instituciones científicas."/>
    <n v="200"/>
    <n v="300"/>
    <n v="500"/>
    <n v="71400"/>
    <n v="107100"/>
    <n v="178500"/>
    <s v="Las cifras fueron calculadas a partir de documentos oficiales de las municipalidades y gobiernos regionales de los ámbitos de intervención y de la lista de registro de las actividades realizadas por el proyecto. 1. Para el cálculo la población beneficiaria indirecta se ha considerado a la población total del ámbito de intervención por cada región (Cusco: Distrito de Urubamba y distrito de Pitumarca; Huaraz: Distrito de Huaraz e Independencia y Cañete (provinvia de Yauyos):10 distritos de la reserva Paisajística Nor-Yauyos Cocha), ya que los proyectos multipropósitos y los Sistemas de alerta temprana impactaría sobre la población total. En el primer caso, por los distintos usos que se le daría al recurso hídrico (potable, agricultura, energía), y en el segundo caso, porque se alertaría a toda la población en caso de un desastre natural para su evacuación a las zonas seguras. 2. Los documentos oficiales son los censos 2007 INEI, Planes de desarrollo concertado y Planes de desarrollo comunal. 3. La RPNYC comprende 10 distritos que son con los que trabajamos y han sido censado por el INEI en el año 2007, además el SERNAMP cuenta con el PLAN Maestro de la RPNYC. 4. Para el cálculo de los beneficiarios directos, se tienen como referencia los registros de asistencia y las fichas de seguimiento de actividades. 5. Un dato adicional, es que durante el último trimestre del año se realizará un estudio para identificar el # de población exacta de nuestros ámbitos de intervención que se encuentra en peligro frente a un desastre de origen glaciar y para ello utilizaremos los mapas de peligro que han sido trabajados en el marco del proyecto Glaciares+. Además, se recogerá información socio-económica y de género."/>
    <m/>
    <m/>
    <m/>
    <m/>
    <m/>
    <m/>
    <m/>
    <m/>
    <m/>
    <m/>
    <m/>
    <m/>
    <m/>
    <m/>
    <m/>
    <m/>
    <m/>
    <m/>
    <m/>
    <m/>
    <m/>
    <m/>
    <m/>
    <m/>
    <m/>
    <m/>
    <m/>
    <m/>
    <m/>
    <m/>
    <m/>
    <m/>
    <m/>
    <m/>
    <m/>
    <m/>
    <m/>
    <m/>
    <m/>
    <m/>
    <m/>
    <m/>
    <m/>
    <m/>
    <m/>
    <m/>
    <m/>
    <m/>
    <m/>
    <m/>
    <m/>
    <m/>
    <m/>
    <m/>
    <m/>
    <m/>
    <m/>
    <m/>
    <m/>
    <m/>
    <n v="148"/>
    <n v="222"/>
    <n v="370"/>
    <n v="71400"/>
    <n v="107100"/>
    <n v="178500"/>
    <m/>
    <m/>
    <m/>
    <m/>
    <s v="YES"/>
    <n v="370"/>
    <n v="0.4"/>
    <m/>
    <m/>
    <m/>
    <m/>
    <m/>
    <s v="YES"/>
    <n v="370"/>
    <n v="0.4"/>
    <n v="178500"/>
    <m/>
    <m/>
    <m/>
    <m/>
    <m/>
    <m/>
    <m/>
    <m/>
    <m/>
    <m/>
    <m/>
    <m/>
    <m/>
    <m/>
    <m/>
    <m/>
    <m/>
    <m/>
    <m/>
    <m/>
    <m/>
    <m/>
    <m/>
    <m/>
    <m/>
    <m/>
    <m/>
    <m/>
    <m/>
    <m/>
    <m/>
    <m/>
    <m/>
    <m/>
    <m/>
    <m/>
    <m/>
    <m/>
    <m/>
    <m/>
    <m/>
    <m/>
    <m/>
    <m/>
    <m/>
    <m/>
    <m/>
    <m/>
    <m/>
    <m/>
    <m/>
    <m/>
    <m/>
    <s v="YES"/>
    <s v="May"/>
    <n v="2016"/>
    <s v="NO"/>
    <s v="YES"/>
    <s v="September"/>
    <m/>
    <s v="SE TIENE PREVISTO REALIZAR LA EVALUACION EN JUNIO 2018"/>
    <x v="1"/>
    <s v="YES"/>
    <s v="NO"/>
    <s v="YES"/>
    <s v="YES"/>
    <s v="YES"/>
    <s v="YES"/>
    <s v="YES"/>
    <s v="NO"/>
    <m/>
    <x v="1"/>
    <s v="Generación de ingresos económicos a través de medidas de adaptación relacionados al manejo de plagas en Santa Teresa-Cusco. Generación de Qochas periglaciares para conservar agua para uso ganadero y bofedales. Programa de líderes comunales y promoción de proyectos de inversión pública"/>
    <x v="1"/>
    <s v="Se trabajó en alianza con Gobiernos regionales, Locales e instituciones públicas para la réplica del Sistema de Alerta Temprana (SAT) en la Laguna de Palcacocha - Huaraz y Chicón - Cusco. Se trabajó en alianza con gobiernos locales y pobladores comunales de Pitumarca -Cusco para la réplica de las Juntas administrativas de agua y saneamiento. Se realizó la réplica de las escuelas de campo en Santa Teresa-Cusco para el manejo de plagas y la generación de ingresos económicos. Réplica de reforestación asociada en Chicon - Cusco. Réplica de programa de Líderes en los ámbitos de intervención de Cusco y Cañete"/>
    <x v="0"/>
    <x v="0"/>
    <s v="YES"/>
    <x v="0"/>
    <x v="0"/>
    <x v="0"/>
    <x v="0"/>
    <n v="4"/>
    <x v="1"/>
    <x v="1"/>
    <x v="1"/>
    <x v="1"/>
    <x v="1"/>
    <x v="1"/>
    <n v="4"/>
    <x v="1"/>
    <x v="1"/>
    <x v="1"/>
    <x v="1"/>
    <x v="1"/>
    <n v="3"/>
    <x v="0"/>
    <x v="0"/>
    <n v="15"/>
    <s v="National government"/>
    <s v="Local government(s)"/>
    <s v="University/research institution(s)"/>
    <x v="2"/>
    <s v="INFORMACION SOBRE INVESTIGACIONES REALIZADAS ACERCA DE LOS GLACIARES, EVENTOS DE RIESGO E INSTRUMENTOS DE GESTION COMO MAPAS DE PELIGRO Y MANUALES DE GRD"/>
    <s v="TRABAJAR PLANES DE CONTINGENCIA Y DESARROLLAR HERRAMIENTAS DE IDENTIFICACION DE RIESGO Y CONFLICTOS . DESARROLLAR OTROS TIPO DE ESTUDIOS SOCIALES, A MAYOR PROFUNDIDAD, EN TEMAS RELACIONADOS A PROYECTOS MUTIPROPOSITOS EN ZONAS DE CONFLICTO SOCIAL."/>
    <s v="FORMACION DE LIDERES COMUNITARIOS"/>
    <s v="GENERAR ESPACIONES DE COORDINACION INTERINSTITUCIONAL PUBLICO-PRIVADA PARA LA PROMOCION DE PROYECTOS DE INVERSION PUBLICA DE INTERES REGIONAL"/>
    <s v="GENERACION DE CAPITAL HUMANO A NIVEL ACADEMICO Y TECNICO EN UNIVERSIDADES E INSTITUCIONES TECNICAS PERUANAS QUE LIDEREN Y PROMUEVAN TEMAS RELACIONADOS A RIESGOS DE ORIGEN GLACIAR, ACC Y GIRH"/>
    <s v="El trabajo con los líderes comunitarios se hace indispensable para salvar la condición de representatividad y legitimidad de las autoridades locales y regionales, apostar por este trabajo no puede dar una mayor certeza de conseguir la sostenibilidad de las acciones, su réplica y escalamiento. Así mismo, la toma de decisiones con la población en diferentes procesos y el estudio social son clave para conseguir metas comunes."/>
    <s v="Las medidas de ACC y GRH tendrán una alta probabilidad de sostenibilidad siempre y cuando se considere su articulación a acciones que generen ingresos económicos. Es decir, la sostenibilidad de las MACC y otras acciones relacionadas a la GRD y GIRH podría garantizarse si esta es relacionada a procesos productivos, generación de ingresos económicos, junto con el empoderamiento y liderazgo de las mujeres."/>
    <s v="El posicionamiento del tema ambiental y de riesgos en las regiones es un tema constante, es decir no consolidado aún a comparación de otros temas como educación o salud. Este punto nos lleva a replantear cómo aportar a la gestión y fortalecimiento de las autoridades locales y regionales."/>
    <s v="En el mes de setiembre el proyecto Glaciares+ va a inciar con la sistematización de la fase I y II del proyecto"/>
    <m/>
    <n v="370"/>
    <n v="178500"/>
    <n v="482.43243243243245"/>
    <n v="0.4"/>
    <n v="0.4"/>
    <n v="148"/>
    <n v="71400"/>
    <s v=""/>
    <n v="0"/>
    <n v="0"/>
    <s v=""/>
    <n v="1"/>
    <n v="370"/>
    <n v="178500"/>
    <n v="482.43243243243245"/>
    <s v=""/>
    <n v="0"/>
    <n v="0"/>
    <s v=""/>
    <s v=""/>
    <n v="0"/>
    <n v="0"/>
    <s v=""/>
    <s v=""/>
    <n v="0"/>
    <n v="0"/>
    <s v=""/>
    <s v="2. Sensitive"/>
    <s v="2. Accommodating"/>
    <s v="2. Sensitive"/>
    <s v="It tested new ways for fighting poverty, but did not measure results of innovation"/>
    <s v="Moderate advocacy"/>
    <s v="It linked and worked with strategic alliances and partners to take tested and effective solutions to scale"/>
  </r>
  <r>
    <x v="59"/>
    <x v="4"/>
    <m/>
    <s v="Incidencia en Nutrición 2016 en Perú"/>
    <s v="Peru"/>
    <s v="NVFNPE0001"/>
    <s v="CARE Peru"/>
    <s v="Other"/>
    <s v="Other"/>
    <s v="New Venture Fund (NVF)"/>
    <m/>
    <m/>
    <m/>
    <m/>
    <m/>
    <m/>
    <m/>
    <m/>
    <m/>
    <m/>
    <m/>
    <m/>
    <m/>
    <m/>
    <m/>
    <m/>
    <m/>
    <m/>
    <m/>
    <m/>
    <m/>
    <m/>
    <m/>
    <m/>
    <m/>
    <m/>
    <m/>
    <m/>
    <m/>
    <m/>
    <m/>
    <m/>
    <m/>
    <m/>
    <m/>
    <m/>
    <m/>
    <m/>
    <m/>
    <m/>
    <m/>
    <m/>
    <m/>
    <m/>
    <m/>
    <d v="2016-02-01T00:00:00"/>
    <d v="2016-12-31T00:00:00"/>
    <m/>
    <s v="Development Food &amp; Nutrition Security and Resilience to Climate Change"/>
    <n v="132000"/>
    <s v="Walter Vilchez Dávila"/>
    <s v="Gerente del Programa de Nutrición y Seguridad Alimentaria"/>
    <s v="wvilchez@care.org.pe"/>
    <s v="Segundo Dávila Muñoz"/>
    <s v="Gerente de Programas"/>
    <s v="sdavila@care.org.pe"/>
    <s v="NO"/>
    <s v="YES"/>
    <s v="NO"/>
    <s v="Asegurar que el gobierno peruano se comprometa a metas específicas de reducción de la desnutrición crónica infantil y la anemia; y sobre el incremento del gasto público en intervenciones para lograr esas metas."/>
    <s v="National"/>
    <s v="Perú"/>
    <s v="78 personas: Consejo Directivo de la Iniciativa contra la Desnutrición Infantil (19), Comité Técnico (19), Comité de Comunicaciones (19), Representantes de los sectores de salud, inclusión social, agricultura y vivienda (8), Representantes de la Mancomunidad Regional de Los Andes (10), Gerencia de la MRDLA (3)."/>
    <n v="35"/>
    <n v="43"/>
    <n v="78"/>
    <n v="371858"/>
    <n v="367423"/>
    <n v="739281"/>
    <s v="Participantes directos: Se determina los participantes directos a partir de la membresía de la Iniciativa Contra la Desnutrición Infantil (IDI) Participantes indirectos: Se toma el número y porcentaje  la población menor de tres años afectada por la anemia infantil según la ENDES 2016. Con información del censo nacional se determina la proporción de niñas y niños en esta población . Es la población beneficiaria del trabajo de incidencia política que realiza la IDI para posicionar y mantener en la agenda pública los temas de nutrición infantil promoviendo la asignación presupuestal y la implementación de políticas  sobre la base de intervenciones de eficacia comprobada.. Fuentes:(i)  Indicadores de Resultados de los Programas Presupuestales (!er Semestre 2017) Vers. Preliminar. (ii) Población Proyectada por edades (INEI 2016)"/>
    <m/>
    <m/>
    <m/>
    <m/>
    <m/>
    <m/>
    <m/>
    <m/>
    <m/>
    <m/>
    <m/>
    <m/>
    <m/>
    <m/>
    <m/>
    <m/>
    <m/>
    <m/>
    <m/>
    <m/>
    <m/>
    <m/>
    <m/>
    <m/>
    <m/>
    <m/>
    <m/>
    <m/>
    <m/>
    <m/>
    <m/>
    <m/>
    <m/>
    <m/>
    <m/>
    <m/>
    <m/>
    <m/>
    <m/>
    <m/>
    <m/>
    <m/>
    <m/>
    <m/>
    <m/>
    <m/>
    <m/>
    <m/>
    <m/>
    <m/>
    <m/>
    <m/>
    <m/>
    <m/>
    <m/>
    <m/>
    <m/>
    <m/>
    <m/>
    <m/>
    <n v="35"/>
    <n v="43"/>
    <n v="78"/>
    <n v="371858"/>
    <n v="367423"/>
    <n v="739281"/>
    <m/>
    <m/>
    <m/>
    <m/>
    <m/>
    <m/>
    <m/>
    <m/>
    <m/>
    <m/>
    <m/>
    <m/>
    <m/>
    <m/>
    <m/>
    <m/>
    <m/>
    <m/>
    <m/>
    <m/>
    <m/>
    <m/>
    <m/>
    <m/>
    <s v="YES"/>
    <n v="78"/>
    <n v="0.44900000000000001"/>
    <n v="739281"/>
    <m/>
    <m/>
    <m/>
    <m/>
    <m/>
    <m/>
    <m/>
    <m/>
    <m/>
    <m/>
    <m/>
    <m/>
    <m/>
    <m/>
    <m/>
    <m/>
    <m/>
    <m/>
    <m/>
    <m/>
    <m/>
    <m/>
    <m/>
    <m/>
    <m/>
    <m/>
    <m/>
    <m/>
    <m/>
    <m/>
    <m/>
    <m/>
    <m/>
    <m/>
    <m/>
    <m/>
    <m/>
    <m/>
    <m/>
    <m/>
    <m/>
    <s v="NO"/>
    <m/>
    <m/>
    <s v="NO"/>
    <s v="NO"/>
    <m/>
    <m/>
    <m/>
    <x v="2"/>
    <s v="NO"/>
    <s v="YES"/>
    <s v="YES"/>
    <s v="YES"/>
    <s v="YES"/>
    <s v="YES"/>
    <s v="YES"/>
    <s v="NO"/>
    <m/>
    <x v="1"/>
    <s v="El reconocimiento de la diversidad y las diferencias culturales que existe en el país, proponiendo la adecuación de las intervenciones prioritarias estratégicas para la reducción de la desnutrición crónica infantil y la anemia, adecuando los mensajes y contenidos educativos que se brinda a la población de acuerdo a sus necesidades e idioma."/>
    <x v="1"/>
    <s v="Se unen esfuerzos para establecer como prioridad en la agenda política del Gobierno Nacional y  la Mancomunidad Regional De Los Andes la lucha contra la anemia y desnutrición crónica infantil mediante el fortalecimiento de la articulación intergubernamental e intersectorial que garantice el alineamiento de políticas y recursos, programas y proyectos que promuevan y procuren el cierre de brechas en el acceso a bienes y servicios públicos que protegen la nutrición infantil."/>
    <x v="0"/>
    <x v="0"/>
    <s v="YES"/>
    <x v="0"/>
    <x v="0"/>
    <x v="1"/>
    <x v="1"/>
    <n v="3"/>
    <x v="2"/>
    <x v="1"/>
    <x v="1"/>
    <x v="1"/>
    <x v="1"/>
    <x v="2"/>
    <n v="4"/>
    <x v="1"/>
    <x v="1"/>
    <x v="1"/>
    <x v="1"/>
    <x v="1"/>
    <n v="3"/>
    <x v="0"/>
    <x v="2"/>
    <n v="23"/>
    <s v="Local alliance(s)/Platform(s)/Network(s) of  NGOs/CSOs"/>
    <s v="Local NGO(s)/CSO(s)"/>
    <s v="International NGO(s)"/>
    <x v="0"/>
    <s v="Se apoya la constitución del Comité Interinstitucional e Interagencial para la lucha contra la desnutrición crónica y anemia infantil en las regiones que conforman la Mancomunidad Regional de Los Andes, grupo de trabajo que brindará asesoramiento para la planificación y monitoreo de la implementación de las políticas públicas."/>
    <s v="Se analizaron los avances de los sectores de agricultura, desarrollo e inclusión social, agua y saneamiento, y salud para la presentación de recomendaciones de continuidad y adecuación de las políticas y programas con mejor desempeño al gobierno nacional del período 2016-2021."/>
    <s v="El fortalecimiento del liderazgo de los gobiernos subnacionales para la articulación y gestión territorial de los programas y proyectos desarrollados a nivel local que están vinculados con la nutrición infantil, mediante el desarrollo de capacidades gerenciales y técnicas en el marco de la descentralización y los Acuerdos de Gobernabilidad."/>
    <s v="La definición de estrategias específicas basada en evidencias y con pertinencia cultural para mejorar la cobertura y calidad de la atención a poblaciones excluidas y dispersas, poblaciones indígenas y de difícil acceso; agricultores con producción de subsistencia y menos de 1 ha de terreno."/>
    <s v="La generación de espacios de participación ciudadana en la formulación de políticas públicas porque contribuyen en la adecuada priorización de las inversiones, gestión de los servicios, vigilancia social y rendición de cuentas."/>
    <s v="La participación de CARE a través de la Iniciativa contra la Desnutrición Infantil (IDI) en la elaboración de los planes de transferencia del gobierno saliente para la consideración de los servicios que han sido más eficientes en la reducción de la desnutrición infantil contribuye con la continuidad de las políticas por el gobierno entrante."/>
    <s v="El rol de la IDI ha sido clave para incidir en los tomadores de decisiones del gobierno nacional porque el colectivo tiene mayor capacidad de llegada e influencia sobre las autoridades."/>
    <s v="La IDI como colectivo de instituciones, trabajan con intervenciones efectivas, muchas veces en zonas con contextos muy complejos, por lo que, no solo es reconocido por su trabajo de incidencia sino también como referente técnico para el desarrollo de intervenciones que tienen resultados en la reducción de la desnutrición crónica infantil y la anemia."/>
    <m/>
    <s v="Informes de proyecto."/>
    <n v="78"/>
    <n v="739281"/>
    <n v="9477.961538461539"/>
    <n v="0.44871794871794873"/>
    <n v="0.5029995360356887"/>
    <n v="35"/>
    <n v="371858"/>
    <s v=""/>
    <n v="0"/>
    <n v="0"/>
    <s v=""/>
    <n v="1"/>
    <n v="78"/>
    <n v="739281"/>
    <n v="9477.961538461539"/>
    <s v=""/>
    <n v="0"/>
    <n v="0"/>
    <s v=""/>
    <s v=""/>
    <n v="0"/>
    <n v="0"/>
    <s v=""/>
    <s v=""/>
    <n v="0"/>
    <n v="0"/>
    <s v=""/>
    <s v="1. Neutral"/>
    <s v="4. Transformational"/>
    <s v="2. Sensitive"/>
    <s v="It tested new ways for fighting poverty, but did not measure results of innovation"/>
    <s v="Intensive advocacy"/>
    <s v="It linked and worked with strategic alliances and partners to take tested and effective solutions to scale"/>
  </r>
  <r>
    <x v="59"/>
    <x v="4"/>
    <m/>
    <s v="INTERSEGURO"/>
    <s v="Peru"/>
    <s v="INTRPE0001"/>
    <s v="CARE Peru"/>
    <s v="Other"/>
    <s v="Other"/>
    <s v="Interseguro"/>
    <m/>
    <m/>
    <m/>
    <m/>
    <m/>
    <m/>
    <m/>
    <m/>
    <m/>
    <m/>
    <m/>
    <m/>
    <m/>
    <m/>
    <m/>
    <m/>
    <m/>
    <m/>
    <m/>
    <m/>
    <m/>
    <m/>
    <m/>
    <m/>
    <m/>
    <m/>
    <m/>
    <m/>
    <m/>
    <m/>
    <m/>
    <m/>
    <m/>
    <m/>
    <m/>
    <m/>
    <m/>
    <m/>
    <m/>
    <m/>
    <m/>
    <m/>
    <m/>
    <m/>
    <m/>
    <d v="2017-06-01T00:00:00"/>
    <d v="2017-10-31T00:00:00"/>
    <m/>
    <s v="Humanitarian Other"/>
    <n v="96875"/>
    <s v="Walter Vilchez Dávila"/>
    <s v="Gerente del Programa de Nutrición y Seguridad Alimentaria"/>
    <s v="wvilchez@care.org.pe"/>
    <m/>
    <m/>
    <m/>
    <s v="YES"/>
    <s v="NO"/>
    <s v="NO"/>
    <s v="Satisfacer las necesidades inmediatas de recuperación de mujeres, hombres, niños y niñas afectadas por el evento &quot;El Niño Costero&quot; en la región de Lambayeque."/>
    <s v="Sub-National"/>
    <s v="El Proyecto se desarrollo en el departamento de Lambayeque en los distritos de Morrope, Pacora y Tucume."/>
    <s v="El grupo de impacto fueron las familias damnificadas, las mismas que incluyen niñas, niños, adolescentes, jóvenes, adultos y adultos mayores."/>
    <n v="168"/>
    <n v="167"/>
    <n v="335"/>
    <m/>
    <m/>
    <n v="0"/>
    <s v="Los beneficiarios directos se obtuvieron del total de familias de las viviviendas temporales de emergencia (67). Se calculo el total de personas considerando 5 personas por familia. La distribución por sexo fue de acuerdo al censo del INEI. Por la naturaleza del proyecto, no se consideran participantes indirectos."/>
    <m/>
    <n v="168"/>
    <n v="167"/>
    <n v="335"/>
    <m/>
    <m/>
    <n v="0"/>
    <m/>
    <m/>
    <m/>
    <m/>
    <m/>
    <m/>
    <m/>
    <m/>
    <m/>
    <m/>
    <m/>
    <m/>
    <m/>
    <m/>
    <m/>
    <m/>
    <m/>
    <m/>
    <m/>
    <m/>
    <m/>
    <m/>
    <m/>
    <m/>
    <m/>
    <m/>
    <m/>
    <m/>
    <m/>
    <m/>
    <m/>
    <m/>
    <s v="YES"/>
    <n v="335"/>
    <n v="0.5"/>
    <m/>
    <m/>
    <m/>
    <m/>
    <m/>
    <s v="YES"/>
    <n v="335"/>
    <n v="0.5"/>
    <m/>
    <m/>
    <m/>
    <m/>
    <m/>
    <m/>
    <m/>
    <m/>
    <m/>
    <m/>
    <m/>
    <m/>
    <m/>
    <m/>
    <m/>
    <m/>
    <m/>
    <m/>
    <m/>
    <m/>
    <m/>
    <m/>
    <m/>
    <m/>
    <m/>
    <m/>
    <m/>
    <m/>
    <m/>
    <m/>
    <m/>
    <m/>
    <m/>
    <m/>
    <m/>
    <m/>
    <m/>
    <m/>
    <m/>
    <m/>
    <m/>
    <m/>
    <m/>
    <m/>
    <m/>
    <m/>
    <m/>
    <m/>
    <m/>
    <m/>
    <m/>
    <m/>
    <m/>
    <m/>
    <m/>
    <m/>
    <m/>
    <m/>
    <m/>
    <m/>
    <m/>
    <m/>
    <m/>
    <m/>
    <m/>
    <m/>
    <m/>
    <m/>
    <m/>
    <m/>
    <m/>
    <m/>
    <m/>
    <m/>
    <m/>
    <m/>
    <m/>
    <m/>
    <m/>
    <m/>
    <m/>
    <m/>
    <m/>
    <m/>
    <m/>
    <s v="NO"/>
    <m/>
    <m/>
    <s v="NO"/>
    <s v="NO"/>
    <m/>
    <m/>
    <s v="NO APLICA"/>
    <x v="2"/>
    <s v="NO"/>
    <s v="NO"/>
    <s v="YES"/>
    <s v="YES"/>
    <s v="NO"/>
    <s v="NO"/>
    <s v="NO"/>
    <m/>
    <m/>
    <x v="1"/>
    <s v="Utilizar material para las viviendas temporales de emergencia con insumos disponibles y utilizados localmente."/>
    <x v="0"/>
    <m/>
    <x v="0"/>
    <x v="0"/>
    <s v="NO"/>
    <x v="0"/>
    <x v="0"/>
    <x v="1"/>
    <x v="1"/>
    <n v="2"/>
    <x v="1"/>
    <x v="1"/>
    <x v="1"/>
    <x v="1"/>
    <x v="1"/>
    <x v="1"/>
    <n v="4"/>
    <x v="1"/>
    <x v="1"/>
    <x v="0"/>
    <x v="2"/>
    <x v="3"/>
    <n v="1"/>
    <x v="0"/>
    <x v="3"/>
    <n v="2"/>
    <s v="Local government(s)"/>
    <s v="Grassroots organization(s)"/>
    <m/>
    <x v="2"/>
    <s v="Se fortaleció el comité de vigilancia y rendición de cuentas de la comunidad para el cuidado de los materiales y monitoreo de los avances del proceso de construcción."/>
    <m/>
    <s v="Trabajo articulado y coordinado con el gobierno local."/>
    <s v="Involucramiento de los lideres comunitarios y autoridades locales."/>
    <s v="Participación comunitaria en la vigilancia de los materiales y apoyo en el proceso constructivo de las viviendas temporales de emergencia."/>
    <s v="La adquisición local de insumos y materiales debe ser en lo posible descentralizada a fin de reducir los tiempos de entrega de bienes y servicios."/>
    <s v="El trabajo con gobiernos locales ayuda a reducir los costos logísticos para la atención de las familias damnificadas."/>
    <s v="El conocimiento de las percepciones de las familias damnificadas sobre la ayuda humanitaria es importante para la toma de decisiones adecuadas al contexto."/>
    <m/>
    <m/>
    <n v="335"/>
    <n v="0"/>
    <n v="0"/>
    <n v="0.5014925373134328"/>
    <s v=""/>
    <n v="168"/>
    <n v="0"/>
    <n v="1"/>
    <n v="335"/>
    <n v="0"/>
    <n v="0"/>
    <s v=""/>
    <n v="0"/>
    <n v="0"/>
    <s v=""/>
    <s v=""/>
    <n v="0"/>
    <n v="0"/>
    <s v=""/>
    <s v=""/>
    <n v="0"/>
    <n v="0"/>
    <s v=""/>
    <s v=""/>
    <n v="0"/>
    <n v="0"/>
    <s v=""/>
    <s v="1. Neutral"/>
    <s v="2. Accommodating"/>
    <s v="1. Neutral"/>
    <s v="It tested new ways for fighting poverty, but did not measure results of innovation"/>
    <s v="Intensive advocacy"/>
    <s v="It did not take tested solutions to scale"/>
  </r>
  <r>
    <x v="59"/>
    <x v="4"/>
    <n v="3279"/>
    <s v="KAMARIKUY CH´AKIMANTA"/>
    <s v="Peru"/>
    <s v="CNLDPE1010"/>
    <s v="CARE Nederland"/>
    <s v="Other"/>
    <s v="ECHO - European Commission for Humanitarian Aid and Civil Protection"/>
    <s v="ECHO"/>
    <m/>
    <m/>
    <m/>
    <m/>
    <m/>
    <m/>
    <m/>
    <m/>
    <m/>
    <m/>
    <m/>
    <m/>
    <m/>
    <m/>
    <m/>
    <m/>
    <m/>
    <m/>
    <m/>
    <m/>
    <m/>
    <m/>
    <m/>
    <m/>
    <m/>
    <m/>
    <m/>
    <m/>
    <m/>
    <m/>
    <m/>
    <m/>
    <m/>
    <m/>
    <m/>
    <m/>
    <m/>
    <m/>
    <m/>
    <m/>
    <m/>
    <m/>
    <m/>
    <m/>
    <m/>
    <d v="2016-04-01T00:00:00"/>
    <m/>
    <m/>
    <s v="Development Food &amp; Nutrition Security and Resilience to Climate Change"/>
    <n v="532165"/>
    <s v="Lucy Harman"/>
    <s v="Gerente de Gestión de Riesgos"/>
    <s v="lharman@care.org.pe"/>
    <s v="Segundo Davila Muñoz"/>
    <s v="Gerente de programas"/>
    <s v="sdavila@care.org.pe"/>
    <s v="NO"/>
    <s v="YES"/>
    <s v="NO"/>
    <s v="Salvar vidas y proteger medios de vida vulnerables de los efectos adversos de eventos hydrometeorologicos  mediante una contribución a la mejora de la de la coordinación, calidad y efectividad del  SINAGRED  en Peru."/>
    <s v="Sub-National"/>
    <s v="País Perú; Departamento Puno; Provincias Huancane, Azangaro y Carabaya; Distros Huancané, Taraco, huatasani, Samán, Ajoyani."/>
    <s v="Familias indígenas Quechuas y aymaras"/>
    <n v="1855"/>
    <n v="1855"/>
    <n v="3710"/>
    <n v="1526"/>
    <n v="2024"/>
    <n v="3550"/>
    <s v="* Los participantes directos son las personas que se involucran en las actividades y beneficios del proyecto, cuyos medios de verificación son planillas de capacitación, asistencia técnica, actas de entrega de medidas prácticas, etc. * Los participantes indirectos son las personas que adicionalmente también se benefician por efecto multiplicador de protección con 4 pararrayos dentro de las cuatro comunidades (226 mujeres y niñas,  224 hombres y niños); y otra por estrategia de comunicación de los pronósticos climático de SENAMHI PUNO que emite a traves de medios de comunicación local (1300 mujeres y niñas, 1800 hombres y niños). Para esto se ha trabajado mejoramiento de equipamiento de estación meteorológica y 3er concurso regional de Periodismo y medios de comunicación radial y televisivo."/>
    <m/>
    <m/>
    <m/>
    <m/>
    <m/>
    <m/>
    <m/>
    <m/>
    <m/>
    <m/>
    <m/>
    <m/>
    <m/>
    <m/>
    <m/>
    <m/>
    <m/>
    <m/>
    <m/>
    <m/>
    <m/>
    <m/>
    <m/>
    <m/>
    <m/>
    <m/>
    <m/>
    <m/>
    <m/>
    <m/>
    <m/>
    <m/>
    <m/>
    <m/>
    <m/>
    <m/>
    <m/>
    <m/>
    <m/>
    <m/>
    <m/>
    <m/>
    <m/>
    <m/>
    <m/>
    <m/>
    <m/>
    <m/>
    <m/>
    <m/>
    <m/>
    <m/>
    <m/>
    <m/>
    <m/>
    <m/>
    <m/>
    <m/>
    <m/>
    <m/>
    <n v="1855"/>
    <n v="1855"/>
    <n v="3710"/>
    <n v="1526"/>
    <n v="2024"/>
    <n v="3550"/>
    <s v="YES"/>
    <n v="2204"/>
    <n v="0.53"/>
    <n v="3550"/>
    <s v="YES"/>
    <n v="3710"/>
    <n v="0.56000000000000005"/>
    <n v="450"/>
    <m/>
    <m/>
    <m/>
    <m/>
    <s v="YES"/>
    <n v="3710"/>
    <n v="0.53"/>
    <n v="450"/>
    <m/>
    <m/>
    <m/>
    <m/>
    <m/>
    <m/>
    <m/>
    <m/>
    <s v="YES"/>
    <n v="3710"/>
    <n v="0.55000000000000004"/>
    <n v="3550"/>
    <m/>
    <m/>
    <m/>
    <m/>
    <m/>
    <m/>
    <m/>
    <m/>
    <m/>
    <m/>
    <m/>
    <m/>
    <s v="YES"/>
    <n v="850"/>
    <n v="0.5"/>
    <n v="26"/>
    <m/>
    <m/>
    <m/>
    <m/>
    <m/>
    <m/>
    <m/>
    <m/>
    <m/>
    <m/>
    <m/>
    <m/>
    <m/>
    <m/>
    <m/>
    <m/>
    <m/>
    <m/>
    <m/>
    <m/>
    <m/>
    <m/>
    <m/>
    <m/>
    <m/>
    <s v="YES"/>
    <s v="October"/>
    <n v="2016"/>
    <s v="NO"/>
    <s v="YES"/>
    <s v="August"/>
    <n v="2017"/>
    <s v="En agosto 2017 se realizará la evaluación final CAP del proyecto a través de una empresa consultora, esto para contrastar los resultados e impactos con el estudio CAP de la Linea de Base del Proyecto que se hizo en 2016."/>
    <x v="1"/>
    <s v="YES"/>
    <s v="NO"/>
    <s v="NO"/>
    <s v="NO"/>
    <s v="YES"/>
    <s v="NO"/>
    <s v="NO"/>
    <m/>
    <m/>
    <x v="1"/>
    <s v="Puno es un departamento que su población rural vive de agricultura y ganadería, sin embargo se desarrolla en exclusiva dependencia de la lluvia o precipitación pluvial, en ese sentido se han hecho innovaciones como: 1.- Aprovechamiento de agua de sub suelo con pozos tubulares y bomba sumergible, para sus ganados y regar sus cultivos y temporada de sequía 2.- Produccion de biogás (energía limpia) a partir del estiercol de ganado, para la calefaccion de los ganados dentro del mini establo, para el uso en la cocina familiar, y Biol para fertilizar el suelo y abono foliar de sus cultivos y pastos cultivados (alfalfa) en fortalecimiento ante los daños de eventos adversos hidrometeorológicos."/>
    <x v="3"/>
    <s v="El proyecto trabajó en alianza con Gobierno Regional Puno - COER, SENAMHI, INDECI y la Universidad. 1.- La universidad nacional del Altiplano de Puno, incorporó por primera vez en suprograma de estudios los Diplomados: Gestión del Riesgo de desastres, Evaluación del riesgo de Desastres. Ahora lo programan y desarrollan de manera independiente en servicio de los funcionarios públicos y profesionales de la Región y País."/>
    <x v="0"/>
    <x v="0"/>
    <s v="YES"/>
    <x v="0"/>
    <x v="0"/>
    <x v="0"/>
    <x v="0"/>
    <n v="4"/>
    <x v="3"/>
    <x v="1"/>
    <x v="1"/>
    <x v="1"/>
    <x v="1"/>
    <x v="3"/>
    <n v="4"/>
    <x v="1"/>
    <x v="1"/>
    <x v="1"/>
    <x v="1"/>
    <x v="1"/>
    <n v="3"/>
    <x v="3"/>
    <x v="0"/>
    <n v="6"/>
    <s v="International NGO(s)"/>
    <s v="University/research institution(s)"/>
    <s v="National government"/>
    <x v="1"/>
    <m/>
    <m/>
    <s v="Fortalecimiento organizacional de familias rurales vulnerables al entorno de los peligros"/>
    <s v="Desarrollo de capacidades comunitarios en GRD y adaptación a los efectos del cambio climatico"/>
    <s v="Desarrollar alternativas funcionales para proteger sus medios de vida de los peligros hidro meteorologicos"/>
    <s v="Incidencia por resultados es una estrategía funcional para que los socios se apropien y repliquen a futuro"/>
    <s v="Innovar estrategias para fortalecer sus medios de vida con enfoque de gestión del riesgo de desastres, empodera al compromiso, entrega y desafío de los beneficiarios"/>
    <s v="El fortalecimiento de la organización comunitaria en Gestión del Riesgo de Desastres, permite contribuir a la efectiva reducción del riesgo y adaptación al cambio climático  "/>
    <s v="Los efectos del cambio climático generan mayor impacto negativo a familias más vulnerables"/>
    <s v="Evaluación CAP final del Proyecto Video que sistematiza el accionar y resultados del Proyecto"/>
    <n v="3710"/>
    <n v="3550"/>
    <n v="0.95687331536388143"/>
    <n v="0.5"/>
    <n v="0.42985915492957749"/>
    <n v="1855"/>
    <n v="1526"/>
    <s v=""/>
    <n v="0"/>
    <n v="0"/>
    <s v=""/>
    <n v="1"/>
    <n v="3710"/>
    <n v="3550"/>
    <n v="0.95687331536388143"/>
    <s v=""/>
    <n v="0"/>
    <n v="0"/>
    <s v=""/>
    <s v=""/>
    <n v="0"/>
    <n v="0"/>
    <s v=""/>
    <s v=""/>
    <n v="0"/>
    <n v="0"/>
    <s v=""/>
    <s v="2. Sensitive"/>
    <s v="0. Unaware"/>
    <s v="2. Sensitive"/>
    <s v="It tested new ways for fighting poverty, but did not measure results of innovation"/>
    <s v="Moderate advocacy"/>
    <s v="It took tested solutions to scale on its own"/>
  </r>
  <r>
    <x v="59"/>
    <x v="4"/>
    <m/>
    <s v="Massive floods in Piura"/>
    <s v="Peru"/>
    <s v="CIERPE0001"/>
    <s v="CI Secretariat"/>
    <s v="Other"/>
    <s v="Other"/>
    <s v="CARE Inernational"/>
    <m/>
    <m/>
    <m/>
    <m/>
    <m/>
    <m/>
    <m/>
    <m/>
    <m/>
    <m/>
    <m/>
    <m/>
    <m/>
    <m/>
    <m/>
    <m/>
    <m/>
    <m/>
    <m/>
    <m/>
    <m/>
    <m/>
    <m/>
    <m/>
    <m/>
    <m/>
    <m/>
    <m/>
    <m/>
    <m/>
    <m/>
    <m/>
    <m/>
    <m/>
    <m/>
    <m/>
    <m/>
    <m/>
    <m/>
    <m/>
    <m/>
    <m/>
    <m/>
    <m/>
    <m/>
    <d v="2017-03-15T00:00:00"/>
    <d v="2017-06-14T00:00:00"/>
    <m/>
    <s v="Humanitarian Other"/>
    <n v="35000"/>
    <s v="Lucy Harman"/>
    <s v="Gerente de GRD y Emergencias"/>
    <s v="lharman@care.org.pe"/>
    <s v="Segundo Dávila"/>
    <s v="Gerente de Programas"/>
    <s v="sdavila@care.org.pe"/>
    <s v="YES"/>
    <s v="NO"/>
    <s v="NO"/>
    <s v="Proporcionar kits de agua segura y artículos básicos de higiene y de protección de enfermedas transmitidas por vectores a familias damniificadas por el fenómeno Niño Costero en las zonas más afectadas del departamento de Piura._x000a_Cubrir costos operativos para la distribución de 2513  kits financiados con recursos de otros donantes."/>
    <s v="Sub-National"/>
    <s v="Departamento de Piura. Provincia de Piura"/>
    <s v="Familias damnificadas por las lluvias e inundaciones ocasionadas por el fenómeno climatológico denominado Niño Costero que afectó el norte del Perú en marzo y abril del 2017."/>
    <n v="29"/>
    <n v="27"/>
    <n v="56"/>
    <m/>
    <m/>
    <m/>
    <s v="Participantes directos: 13 familias damnificadas por las lluvias e inundaciones ocasionadas por el fenómeno climatológico denominado Niño Costero que afectó el norte del Perú en marzo y abril del 2017. Para la propuesta se estimo que el promedio de miembros por familia era de cinco  (5) personas, sin embargo durante el desarrollo del proyecto se obtuvo un promedio de 4.3 personas por familia. Asimismo, según estadísticas oficiales el índice masculinidad total en Perú en 2017 es de 98.2_x000a_Participantes indirectos: No se considera participantes indirectos en este proyecto."/>
    <m/>
    <n v="29"/>
    <n v="27"/>
    <n v="56"/>
    <m/>
    <m/>
    <m/>
    <m/>
    <m/>
    <m/>
    <m/>
    <m/>
    <m/>
    <m/>
    <m/>
    <m/>
    <m/>
    <m/>
    <m/>
    <m/>
    <m/>
    <m/>
    <m/>
    <m/>
    <m/>
    <m/>
    <m/>
    <m/>
    <m/>
    <m/>
    <m/>
    <m/>
    <m/>
    <m/>
    <m/>
    <m/>
    <m/>
    <m/>
    <m/>
    <m/>
    <m/>
    <m/>
    <m/>
    <m/>
    <m/>
    <m/>
    <m/>
    <m/>
    <m/>
    <m/>
    <m/>
    <s v="YES"/>
    <n v="56"/>
    <n v="0.51"/>
    <m/>
    <m/>
    <m/>
    <m/>
    <m/>
    <m/>
    <m/>
    <m/>
    <m/>
    <m/>
    <m/>
    <m/>
    <m/>
    <m/>
    <m/>
    <m/>
    <m/>
    <m/>
    <m/>
    <m/>
    <m/>
    <m/>
    <m/>
    <m/>
    <m/>
    <m/>
    <m/>
    <m/>
    <m/>
    <m/>
    <m/>
    <m/>
    <m/>
    <m/>
    <m/>
    <m/>
    <m/>
    <m/>
    <m/>
    <m/>
    <m/>
    <m/>
    <m/>
    <m/>
    <m/>
    <m/>
    <m/>
    <m/>
    <m/>
    <m/>
    <m/>
    <m/>
    <m/>
    <m/>
    <m/>
    <m/>
    <m/>
    <m/>
    <m/>
    <m/>
    <m/>
    <m/>
    <m/>
    <m/>
    <m/>
    <m/>
    <m/>
    <m/>
    <m/>
    <m/>
    <m/>
    <m/>
    <m/>
    <m/>
    <m/>
    <m/>
    <m/>
    <m/>
    <m/>
    <m/>
    <m/>
    <s v="NO"/>
    <m/>
    <m/>
    <s v="NO"/>
    <s v="NO"/>
    <m/>
    <m/>
    <m/>
    <x v="0"/>
    <m/>
    <m/>
    <m/>
    <m/>
    <m/>
    <m/>
    <m/>
    <m/>
    <m/>
    <x v="0"/>
    <m/>
    <x v="0"/>
    <m/>
    <x v="0"/>
    <x v="0"/>
    <s v="YES"/>
    <x v="0"/>
    <x v="1"/>
    <x v="0"/>
    <x v="1"/>
    <n v="3"/>
    <x v="1"/>
    <x v="1"/>
    <x v="2"/>
    <x v="1"/>
    <x v="1"/>
    <x v="1"/>
    <n v="3"/>
    <x v="1"/>
    <x v="1"/>
    <x v="2"/>
    <x v="2"/>
    <x v="3"/>
    <n v="1"/>
    <x v="2"/>
    <x v="1"/>
    <m/>
    <m/>
    <m/>
    <m/>
    <x v="1"/>
    <m/>
    <m/>
    <m/>
    <m/>
    <m/>
    <m/>
    <m/>
    <m/>
    <m/>
    <m/>
    <n v="56"/>
    <n v="0"/>
    <n v="0"/>
    <n v="0.5178571428571429"/>
    <s v=""/>
    <n v="29"/>
    <n v="0"/>
    <n v="1"/>
    <n v="56"/>
    <n v="0"/>
    <n v="0"/>
    <s v=""/>
    <n v="0"/>
    <n v="0"/>
    <s v=""/>
    <s v=""/>
    <n v="0"/>
    <n v="0"/>
    <s v=""/>
    <s v=""/>
    <n v="0"/>
    <n v="0"/>
    <s v=""/>
    <s v=""/>
    <n v="0"/>
    <n v="0"/>
    <s v=""/>
    <s v="1. Neutral"/>
    <s v="2. Accommodating"/>
    <s v="1. Neutral"/>
    <s v="It did not develop any specific innovation"/>
    <s v="Little or no advocacy"/>
    <s v="It did not take tested solutions to scale"/>
  </r>
  <r>
    <x v="59"/>
    <x v="4"/>
    <m/>
    <s v="Mejoramiento de las condiciones de personas desplazadas internas por medio del establecimiento y fortalecimiento de albergues en la región de Piura"/>
    <s v="Peru"/>
    <s v="OIMXPE0001"/>
    <s v="CARE Peru"/>
    <s v="Other"/>
    <s v="UN - United Nations agencies/offices"/>
    <s v="IOM-International Organisation for Migration"/>
    <m/>
    <m/>
    <m/>
    <m/>
    <m/>
    <m/>
    <m/>
    <m/>
    <m/>
    <m/>
    <m/>
    <m/>
    <m/>
    <m/>
    <m/>
    <m/>
    <m/>
    <m/>
    <m/>
    <m/>
    <m/>
    <m/>
    <m/>
    <m/>
    <m/>
    <m/>
    <m/>
    <m/>
    <m/>
    <m/>
    <m/>
    <m/>
    <m/>
    <m/>
    <m/>
    <m/>
    <m/>
    <m/>
    <m/>
    <m/>
    <m/>
    <m/>
    <m/>
    <m/>
    <m/>
    <d v="2017-05-22T00:00:00"/>
    <d v="2017-08-25T00:00:00"/>
    <m/>
    <s v="Humanitarian Other"/>
    <n v="120000"/>
    <s v="Lucy Harman"/>
    <s v="Gerente de Emergencias y Gestión del Riesgo"/>
    <s v="lharman@care.org.pe"/>
    <s v="Segundo Dávila"/>
    <s v="Gerente de Programas"/>
    <s v="sdavila@care.org.pe"/>
    <s v="YES"/>
    <s v="NO"/>
    <s v="NO"/>
    <s v="Compra y distribución de Emergency Shelter Kits (herramientas y materiales para la reparación de viviendas - techos) para 560 familias damnificadas por el Fenómeno Niño Costero."/>
    <s v="Sub-National"/>
    <s v="Distrito de Catacaos y  distrito de Cura Mori,  Provincia de Piura, Departamento de Piura"/>
    <s v="560 familias damnificadas por el fenómeno Niño Costero de los distritos de Catacaos y Cura Mori, en la Provincia de Piura, quienes contarán con kits de herramientas y materiales básicos para la reparación de los techos de sus viviendas."/>
    <n v="1428"/>
    <n v="1372"/>
    <n v="2800"/>
    <m/>
    <m/>
    <m/>
    <s v="Participantes directos: son 2800 personas, pertenecientes a 560 familias damnificadas con viviendas inhabilitadas o colapsadas, que se beneficiarán con los Emergency Shelter Kits (herramientas y materiales para reparación de viviendas. El cálculo se ha realizado asumiendo que cada familia cuenta con un aproximado de 5 personas y la división por sexo es un estimado a partir del indice de masculinidad del Perú._x000a_]Participantes indirectos: Por la naturaleza de la intervención, no se consideraron participantes indirectos."/>
    <m/>
    <m/>
    <m/>
    <n v="0"/>
    <m/>
    <m/>
    <m/>
    <m/>
    <m/>
    <m/>
    <m/>
    <m/>
    <m/>
    <m/>
    <m/>
    <m/>
    <m/>
    <m/>
    <m/>
    <m/>
    <m/>
    <m/>
    <m/>
    <m/>
    <m/>
    <m/>
    <m/>
    <m/>
    <m/>
    <m/>
    <m/>
    <m/>
    <m/>
    <m/>
    <m/>
    <m/>
    <m/>
    <m/>
    <m/>
    <m/>
    <m/>
    <m/>
    <m/>
    <m/>
    <m/>
    <m/>
    <m/>
    <m/>
    <m/>
    <m/>
    <m/>
    <m/>
    <m/>
    <m/>
    <m/>
    <m/>
    <m/>
    <n v="0"/>
    <m/>
    <n v="0"/>
    <m/>
    <m/>
    <m/>
    <m/>
    <m/>
    <m/>
    <m/>
    <m/>
    <m/>
    <m/>
    <m/>
    <m/>
    <m/>
    <m/>
    <m/>
    <m/>
    <m/>
    <m/>
    <m/>
    <m/>
    <m/>
    <m/>
    <m/>
    <m/>
    <m/>
    <m/>
    <m/>
    <m/>
    <m/>
    <m/>
    <m/>
    <m/>
    <m/>
    <m/>
    <m/>
    <m/>
    <m/>
    <m/>
    <m/>
    <m/>
    <m/>
    <m/>
    <m/>
    <m/>
    <m/>
    <m/>
    <m/>
    <m/>
    <m/>
    <m/>
    <m/>
    <m/>
    <m/>
    <m/>
    <m/>
    <m/>
    <m/>
    <m/>
    <m/>
    <m/>
    <m/>
    <m/>
    <m/>
    <m/>
    <m/>
    <m/>
    <m/>
    <m/>
    <m/>
    <m/>
    <m/>
    <m/>
    <m/>
    <m/>
    <m/>
    <s v="YES"/>
    <s v="June"/>
    <n v="2017"/>
    <s v="NO"/>
    <s v="NO"/>
    <m/>
    <m/>
    <s v="La linea de base se refiere  a que antes de iniciar la implementación se recogió información demográfica y sobre la afectación de las viviendas a través de la Aplicación KOBO Collect con el fin de calificar a las familias de las zonas más afectadas de Catacaos y Cura Mori y seleccionar a las más vulerables como beneficiarias del proyecto.     "/>
    <x v="0"/>
    <s v="NO"/>
    <s v="NO"/>
    <s v="YES"/>
    <s v="YES"/>
    <s v="NO"/>
    <s v="NO"/>
    <s v="NO"/>
    <m/>
    <m/>
    <x v="1"/>
    <m/>
    <x v="0"/>
    <m/>
    <x v="0"/>
    <x v="0"/>
    <s v="NO"/>
    <x v="1"/>
    <x v="0"/>
    <x v="0"/>
    <x v="1"/>
    <n v="2"/>
    <x v="1"/>
    <x v="1"/>
    <x v="2"/>
    <x v="1"/>
    <x v="1"/>
    <x v="1"/>
    <n v="3"/>
    <x v="1"/>
    <x v="1"/>
    <x v="1"/>
    <x v="1"/>
    <x v="1"/>
    <n v="3"/>
    <x v="2"/>
    <x v="1"/>
    <n v="4"/>
    <s v="Other"/>
    <s v="International NGO(s)"/>
    <m/>
    <x v="1"/>
    <m/>
    <m/>
    <m/>
    <m/>
    <m/>
    <m/>
    <m/>
    <m/>
    <s v="Durante el mes de junio la actividad básica ha sido el recojo de datos de las familias damnificadas para establecer criterios de selección, en base al nivel de afectación de las viviendas._x000a_Por lotanto, los participantes directos de este proyecto se reportaran en la campaña PIIRS 2018"/>
    <m/>
    <n v="0"/>
    <n v="0"/>
    <s v=""/>
    <s v=""/>
    <s v=""/>
    <n v="0"/>
    <n v="0"/>
    <n v="1"/>
    <n v="0"/>
    <n v="0"/>
    <s v=""/>
    <s v=""/>
    <n v="0"/>
    <n v="0"/>
    <s v=""/>
    <s v=""/>
    <n v="0"/>
    <n v="0"/>
    <s v=""/>
    <s v=""/>
    <n v="0"/>
    <n v="0"/>
    <s v=""/>
    <s v=""/>
    <n v="0"/>
    <n v="0"/>
    <s v=""/>
    <s v="1. Neutral"/>
    <s v="2. Accommodating"/>
    <s v="2. Sensitive"/>
    <s v="It tested new ways for fighting poverty, but did not measure results of innovation"/>
    <s v="Little or no advocacy"/>
    <s v="It did not take tested solutions to scale"/>
  </r>
  <r>
    <x v="59"/>
    <x v="4"/>
    <m/>
    <s v="Mi Agua Solar"/>
    <s v="Peru"/>
    <s v="USLMPE0010"/>
    <s v="CARE USA"/>
    <s v="Multilateral agency"/>
    <s v="Other"/>
    <s v="USAID"/>
    <m/>
    <m/>
    <m/>
    <m/>
    <m/>
    <m/>
    <m/>
    <m/>
    <m/>
    <m/>
    <m/>
    <m/>
    <m/>
    <m/>
    <m/>
    <m/>
    <m/>
    <m/>
    <m/>
    <m/>
    <m/>
    <m/>
    <m/>
    <m/>
    <m/>
    <m/>
    <m/>
    <m/>
    <m/>
    <m/>
    <m/>
    <m/>
    <m/>
    <m/>
    <m/>
    <m/>
    <m/>
    <m/>
    <m/>
    <m/>
    <m/>
    <m/>
    <m/>
    <m/>
    <m/>
    <d v="2016-07-01T00:00:00"/>
    <d v="2019-06-24T00:00:00"/>
    <m/>
    <s v="Development Other"/>
    <n v="150000"/>
    <s v="Lourdes Mindreau"/>
    <s v="Gerente de Agua y Saneamiento"/>
    <s v="lmindreau@care.org.pe"/>
    <s v="Segundo Davila Muñoz"/>
    <s v="Gerente de programas"/>
    <s v="sdavila@care.org.pe"/>
    <s v="YES"/>
    <s v="YES"/>
    <s v="YES"/>
    <s v="El foco principal de la investigación e innovación es mejorar la calidad del agua de consumo en las poblaciones rurales dispersas de la Amazonía que son potencialmente afectadas por inundaciones recurrentes, donde es muy difícil implementar un sistema de abastecimiento de agua convencional debido a su alto costo, la vulnerabilidad de la zona y la ausencia de la inversión del Estado a mediano plazo."/>
    <s v="Sub-National"/>
    <s v="Comunidad Nativa de Bellavista, distrito de Iparía, provincia Coronel Portillo, Región Ucayali, PERU"/>
    <s v="Familias asháninkas amazónicas asentadas en zonas de reserva comunal"/>
    <n v="17"/>
    <n v="18"/>
    <n v="35"/>
    <n v="0"/>
    <n v="0"/>
    <n v="0"/>
    <s v="Los participantes directos son los individuos de familias nativas. No se considera participantes indirectos por ser un proyecto piloto desarrollado en areas de gran dispersion geográfica y zonas poco accesibles."/>
    <m/>
    <m/>
    <m/>
    <m/>
    <m/>
    <m/>
    <m/>
    <s v="NO"/>
    <m/>
    <m/>
    <m/>
    <s v="NO"/>
    <m/>
    <m/>
    <m/>
    <s v="NO"/>
    <m/>
    <m/>
    <m/>
    <s v="NO"/>
    <m/>
    <m/>
    <m/>
    <s v="NO"/>
    <m/>
    <m/>
    <m/>
    <s v="NO"/>
    <m/>
    <m/>
    <m/>
    <s v="NO"/>
    <m/>
    <m/>
    <m/>
    <s v="NO"/>
    <m/>
    <m/>
    <m/>
    <s v="NO"/>
    <m/>
    <m/>
    <m/>
    <s v="NO"/>
    <m/>
    <m/>
    <m/>
    <s v="NO"/>
    <m/>
    <m/>
    <m/>
    <s v="YES"/>
    <n v="35"/>
    <n v="0.5"/>
    <m/>
    <m/>
    <s v="NO"/>
    <m/>
    <m/>
    <m/>
    <n v="17"/>
    <n v="18"/>
    <n v="35"/>
    <n v="0"/>
    <n v="0"/>
    <n v="0"/>
    <s v="NO"/>
    <m/>
    <m/>
    <m/>
    <s v="NO"/>
    <m/>
    <m/>
    <m/>
    <s v="NO"/>
    <m/>
    <m/>
    <m/>
    <s v="NO"/>
    <m/>
    <m/>
    <m/>
    <s v="NO"/>
    <m/>
    <m/>
    <m/>
    <s v="NO"/>
    <m/>
    <m/>
    <m/>
    <s v="NO"/>
    <m/>
    <m/>
    <m/>
    <s v="NO"/>
    <m/>
    <m/>
    <m/>
    <s v="NO"/>
    <m/>
    <m/>
    <m/>
    <s v="NO"/>
    <m/>
    <m/>
    <m/>
    <s v="NO"/>
    <m/>
    <m/>
    <m/>
    <s v="NO"/>
    <m/>
    <m/>
    <m/>
    <s v="NO"/>
    <m/>
    <m/>
    <m/>
    <s v="NO"/>
    <m/>
    <m/>
    <m/>
    <s v="YES"/>
    <n v="35"/>
    <n v="0.49"/>
    <m/>
    <s v="NO"/>
    <m/>
    <m/>
    <m/>
    <m/>
    <s v="NO"/>
    <m/>
    <m/>
    <m/>
    <s v="YES"/>
    <s v="March"/>
    <n v="2017"/>
    <s v="NO"/>
    <s v="YES"/>
    <s v="March"/>
    <n v="2018"/>
    <s v="Se realiza monitoreo de indicadores clave (KPI)."/>
    <x v="0"/>
    <s v="NO"/>
    <s v="NO"/>
    <s v="YES"/>
    <s v="NO"/>
    <s v="NO"/>
    <s v="NO"/>
    <s v="NO"/>
    <s v="NO"/>
    <m/>
    <x v="2"/>
    <s v="Puesta a prueba de innovación tecnológica para desinfección del agua"/>
    <x v="0"/>
    <m/>
    <x v="0"/>
    <x v="0"/>
    <s v="YES"/>
    <x v="0"/>
    <x v="0"/>
    <x v="0"/>
    <x v="0"/>
    <n v="4"/>
    <x v="1"/>
    <x v="1"/>
    <x v="1"/>
    <x v="1"/>
    <x v="1"/>
    <x v="1"/>
    <n v="4"/>
    <x v="2"/>
    <x v="1"/>
    <x v="2"/>
    <x v="2"/>
    <x v="2"/>
    <n v="1"/>
    <x v="0"/>
    <x v="1"/>
    <m/>
    <s v="Grassroots organization(s)"/>
    <m/>
    <m/>
    <x v="1"/>
    <m/>
    <s v="La innovación específica es probar el desempeño de la bolsa solar y la respuesta de las familias usuarias. En base a los aprendizajes se podrá recomendar su uso como innovación válida en contextos amazónicos para purificar el agua de consumo humano. Aun estamos en fase de implementación."/>
    <s v="Diálogo intercultural"/>
    <s v="Monitoreo comunitario"/>
    <s v="Replanteamiento de los sistemas de soporte"/>
    <s v="Mayor identificación de riesgos, dinámicas locales y dificultad en disponer de recursos humanos, técnicos y logísticos calificados para la intervención en zonas remotas, lo que exige mayor detalle en la planificación operativa."/>
    <s v="En proyectos que operan en base a consultores, CARE debe generar una cartera de proveedores de servicios mejor informados, perfiles profesionales mejor identificados y presupuestos adecuados a la intensidad y riesgos de la operación. En otros casos se deben formar pormotores comunales debido al poco interés de trabajar en contextos alejados."/>
    <s v="La investigación participativa en calidad del agua exige  rigurosidad y esfuerzos de largo aliento, con los riesgos de la exigencia normativa y alto presupuesto para la implementación.    "/>
    <m/>
    <s v="Reportes de Monitoreo. Censos locales. Informes de Consultoría."/>
    <n v="35"/>
    <n v="0"/>
    <n v="0"/>
    <n v="0.48571428571428571"/>
    <s v=""/>
    <n v="17"/>
    <n v="0"/>
    <n v="1"/>
    <n v="0"/>
    <n v="0"/>
    <s v=""/>
    <n v="1"/>
    <n v="35"/>
    <n v="0"/>
    <n v="0"/>
    <s v=""/>
    <n v="0"/>
    <n v="0"/>
    <s v=""/>
    <s v=""/>
    <n v="0"/>
    <n v="0"/>
    <s v=""/>
    <s v=""/>
    <n v="0"/>
    <n v="0"/>
    <s v=""/>
    <s v="2. Sensitive"/>
    <s v="2. Accommodating"/>
    <s v="0. Harmful"/>
    <s v="It tested new ways for fighting poverty and measured results of innovation"/>
    <s v="Little or no advocacy"/>
    <s v="It did not take tested solutions to scale"/>
  </r>
  <r>
    <x v="59"/>
    <x v="4"/>
    <m/>
    <s v="NIÑAS CON OPORTUNIDADES"/>
    <s v="Peru"/>
    <s v="PE141 CPERPE0001"/>
    <s v="CARE Peru"/>
    <s v="Other"/>
    <s v="Other"/>
    <s v="CARE Peru"/>
    <m/>
    <m/>
    <m/>
    <m/>
    <m/>
    <m/>
    <m/>
    <m/>
    <m/>
    <m/>
    <m/>
    <m/>
    <m/>
    <m/>
    <m/>
    <m/>
    <m/>
    <m/>
    <m/>
    <m/>
    <m/>
    <m/>
    <m/>
    <m/>
    <m/>
    <m/>
    <m/>
    <m/>
    <m/>
    <m/>
    <m/>
    <m/>
    <m/>
    <m/>
    <m/>
    <m/>
    <m/>
    <m/>
    <m/>
    <m/>
    <m/>
    <m/>
    <m/>
    <m/>
    <m/>
    <d v="2016-04-01T00:00:00"/>
    <d v="2018-12-31T00:00:00"/>
    <m/>
    <s v="Development Other"/>
    <n v="271085"/>
    <s v="Silvia Nole"/>
    <s v="Gerente de Programa de Educación"/>
    <s v="snole@care.org.pe"/>
    <m/>
    <m/>
    <m/>
    <s v="NO"/>
    <s v="YES"/>
    <s v="NO"/>
    <s v="Niñas y adolescentes mujeres empoderadas (11-19 años) de zona rural y urbana marginal del Perú en situación de pobreza y pobreza extrema concluyen la secundaria en edad oportuna, con mayor igualdad de género y calidad educativa"/>
    <s v="Sub-National"/>
    <s v="1. Región Ica, Provincia de Chincha, 7 distritos municipales: Chincha Alta, Chincha Baja, Sunampe, Grocio Prado, El Carmen, Pueblo Nuevo, Alto Larán_x000a_2. Región Huancavelica, Provincia de Huaytará, 4 distritos municipales: Quito Arma, San Antonio  de Cusicancha, Huayacundo Arma y Huaytará."/>
    <s v="1. Niñas, niños, adolescentes mujeres y hombres._x000a_2. Docentes, directores y funcionarios mujeres y hombres_x000a_3. Madres y padres de familia"/>
    <n v="5500"/>
    <n v="3993"/>
    <n v="9493"/>
    <n v="16917"/>
    <n v="17258"/>
    <n v="34175"/>
    <s v="Participantes Directos: se calcula en base a la matrícula escolar 2016 de cada Institución Educativa (8543), las y los docentes (360) y los  padres y madres asistentes a las sesiones de capacitación (590). Sumandos: 8543+360+590=9493_x000a__x000a_Participantes Indirectos: Se asume que del total de participantes directos, al existir padres e hijos/as y hermanos, se calcula que el número de hogares es el 80% del total de beneficiarios directos. Es decir, los hogares directos beneficiados se estiman en 7,595 hogares, cifra que se multiplica por el número promedio de personas por hogar, que según el INEI es de 4.5, lo que hace un total de 34175 participantes indirectos, que de acuerdo al índice de masculinidad de 102, se estima que el 49.5% de 34175 sean mujeres."/>
    <m/>
    <m/>
    <m/>
    <m/>
    <m/>
    <m/>
    <m/>
    <m/>
    <m/>
    <m/>
    <m/>
    <m/>
    <m/>
    <m/>
    <m/>
    <m/>
    <m/>
    <m/>
    <m/>
    <m/>
    <m/>
    <m/>
    <m/>
    <m/>
    <m/>
    <m/>
    <m/>
    <m/>
    <m/>
    <m/>
    <m/>
    <m/>
    <m/>
    <m/>
    <m/>
    <m/>
    <m/>
    <m/>
    <m/>
    <m/>
    <m/>
    <m/>
    <m/>
    <m/>
    <m/>
    <m/>
    <m/>
    <m/>
    <m/>
    <m/>
    <m/>
    <m/>
    <m/>
    <m/>
    <m/>
    <m/>
    <m/>
    <m/>
    <m/>
    <m/>
    <n v="5500"/>
    <n v="3993"/>
    <n v="9493"/>
    <n v="16917"/>
    <n v="17258"/>
    <n v="34175"/>
    <m/>
    <m/>
    <m/>
    <m/>
    <m/>
    <m/>
    <m/>
    <m/>
    <m/>
    <m/>
    <m/>
    <m/>
    <m/>
    <m/>
    <m/>
    <m/>
    <m/>
    <m/>
    <m/>
    <m/>
    <s v="YES"/>
    <n v="9493"/>
    <n v="0.57999999999999996"/>
    <n v="34175"/>
    <m/>
    <m/>
    <m/>
    <m/>
    <s v="YES"/>
    <n v="9493"/>
    <n v="0.57999999999999996"/>
    <n v="34175"/>
    <s v="YES"/>
    <n v="9493"/>
    <n v="0.57999999999999996"/>
    <n v="34175"/>
    <m/>
    <m/>
    <m/>
    <m/>
    <m/>
    <m/>
    <m/>
    <m/>
    <m/>
    <m/>
    <m/>
    <m/>
    <s v="YES"/>
    <n v="120"/>
    <n v="0.5"/>
    <n v="10543"/>
    <s v="YES"/>
    <n v="9493"/>
    <n v="0.57999999999999996"/>
    <n v="34175"/>
    <m/>
    <m/>
    <m/>
    <m/>
    <s v="YES"/>
    <n v="4640"/>
    <n v="0.57999999999999996"/>
    <n v="20880"/>
    <m/>
    <m/>
    <m/>
    <m/>
    <m/>
    <s v="NO"/>
    <m/>
    <m/>
    <s v="NO"/>
    <s v="YES"/>
    <s v="September"/>
    <n v="2017"/>
    <s v="La evaluación depende de una alianza con una institución académica reconocida."/>
    <x v="1"/>
    <m/>
    <m/>
    <m/>
    <s v="YES"/>
    <m/>
    <m/>
    <m/>
    <m/>
    <m/>
    <x v="1"/>
    <s v="Desarrollar capacidades al interior de los colegios para la implementación de mecanismos de gestión y convivencia para la prevención a la violencia, la deserción escolar, el embarazo adolescente y promover la igualdad de género."/>
    <x v="0"/>
    <m/>
    <x v="1"/>
    <x v="1"/>
    <s v="YES"/>
    <x v="0"/>
    <x v="0"/>
    <x v="0"/>
    <x v="2"/>
    <n v="4"/>
    <x v="2"/>
    <x v="1"/>
    <x v="1"/>
    <x v="1"/>
    <x v="1"/>
    <x v="2"/>
    <n v="4"/>
    <x v="1"/>
    <x v="1"/>
    <x v="2"/>
    <x v="2"/>
    <x v="3"/>
    <n v="1"/>
    <x v="2"/>
    <x v="1"/>
    <n v="2"/>
    <s v="Local government(s)"/>
    <s v="Private sector"/>
    <m/>
    <x v="0"/>
    <s v="Se fortalecen a las y los estudiantes miembros de los Municipios Escolares como líderes estudiantiles con capacidades y actoría para ser portavoces con sus pares en asuntos relacionados a la prevención de la deserción, al embarazo adolescente y a la importancia de la igualdad de género."/>
    <m/>
    <s v="Fortalecimiento de las capacidades y roles de los Municipios Escolares y de las Asociaciones de Padres y Madres de familia"/>
    <s v="Involucrar de manera conjunta a hombres y mujeres"/>
    <s v="Integración en aula del fortalecimiento de habilidades sociales, emprendedoras y el desarrollo de emprendimientos a partir de la incorporación en la currícula escolar"/>
    <s v="Priorización y/o reajuste de objetivos,  componentes del proyecto y estructura del equipo de trabajo de acuerdo a disponibilidad presupuestaria"/>
    <s v="Revisar la pertinencia de evaluaciones anuales cuando se trata de una experiencia piloto, que implica una primera fase de elaboración y validación de contenidos, insumos, así como prácticas y estrategias operativas  que involucra el proyecto. "/>
    <s v="Integrar las prácticas del proyecto en la planificación y gestión institucional desde el inicio, favorece la implementación y sostenibilidad."/>
    <m/>
    <s v="Propuesta marco._x000a_- Marco lógico_x000a_- Informe de línea de base_x000a_- Informe de avance a diciembre 2016"/>
    <n v="9493"/>
    <n v="34175"/>
    <n v="3.600021068155483"/>
    <n v="0.57937427578215528"/>
    <n v="0.49501097293343088"/>
    <n v="5500"/>
    <n v="16917"/>
    <s v=""/>
    <n v="0"/>
    <n v="0"/>
    <s v=""/>
    <s v=""/>
    <n v="0"/>
    <n v="0"/>
    <s v=""/>
    <n v="1"/>
    <n v="9493"/>
    <n v="34175"/>
    <n v="3.600021068155483"/>
    <n v="1"/>
    <n v="9493"/>
    <n v="34175"/>
    <n v="3.600021068155483"/>
    <n v="1"/>
    <n v="4640"/>
    <n v="20880"/>
    <n v="4.5"/>
    <s v="4. Transformative"/>
    <s v="4. Transformational"/>
    <s v="1. Neutral"/>
    <s v="It tested new ways for fighting poverty, but did not measure results of innovation"/>
    <s v="Moderate advocacy"/>
    <s v="It did not take tested solutions to scale"/>
  </r>
  <r>
    <x v="59"/>
    <x v="4"/>
    <m/>
    <s v="Peru Floods - Emergency Relief"/>
    <s v="Peru"/>
    <s v="CUSAPE0012"/>
    <s v="CARE Peru"/>
    <s v="Other"/>
    <s v="Other"/>
    <s v="WalMart"/>
    <m/>
    <m/>
    <m/>
    <m/>
    <m/>
    <m/>
    <m/>
    <m/>
    <m/>
    <m/>
    <m/>
    <m/>
    <m/>
    <m/>
    <m/>
    <m/>
    <m/>
    <m/>
    <m/>
    <m/>
    <m/>
    <m/>
    <m/>
    <m/>
    <m/>
    <m/>
    <m/>
    <m/>
    <m/>
    <m/>
    <m/>
    <m/>
    <m/>
    <m/>
    <m/>
    <m/>
    <m/>
    <m/>
    <m/>
    <m/>
    <m/>
    <m/>
    <m/>
    <m/>
    <m/>
    <d v="2017-04-21T00:00:00"/>
    <d v="2017-09-30T00:00:00"/>
    <m/>
    <s v="Humanitarian Other"/>
    <n v="92250"/>
    <s v="Walter Vilchez Dávila"/>
    <s v="Gerente del Programa de Nutrición y Seguridad Alimentaria"/>
    <s v="wvilchez@care.org.pe"/>
    <m/>
    <m/>
    <m/>
    <s v="YES"/>
    <s v="NO"/>
    <s v="NO"/>
    <s v="Satisfacer las necesidades inmediatas de recuperación de mujeres, hombres, niños y niñas afectadas por el evento &quot;El Niño Costero&quot; en la región de La Libertad."/>
    <s v="Sub-National"/>
    <s v="El Proyecto se desarrollo en el departamento de La Libertad en las provincias de Virú (Virú,Chao y Guadalupito), Trujillo (Laredo y Huanchaco), Otuzco (Sinsicap) y Gran Chimú (Cascas)."/>
    <s v="El grupo de impacto fueron las familias damnificadas, las mismas que incluyen niñas, niños, adolescentes, jóvenes, adultos y adultos mayores."/>
    <n v="5061"/>
    <n v="4949"/>
    <n v="10010"/>
    <m/>
    <m/>
    <n v="0"/>
    <s v="Los beneficiarios directos se obtuvieron de la información proporcionada por la junta de usuarios de agua de los agricultores. Por la naturaleza del proyecto, no se consideran participantes indirectos."/>
    <m/>
    <n v="5061"/>
    <n v="4949"/>
    <n v="10010"/>
    <m/>
    <m/>
    <n v="0"/>
    <m/>
    <m/>
    <m/>
    <m/>
    <m/>
    <m/>
    <m/>
    <m/>
    <m/>
    <m/>
    <m/>
    <m/>
    <m/>
    <m/>
    <m/>
    <m/>
    <m/>
    <m/>
    <m/>
    <m/>
    <m/>
    <m/>
    <m/>
    <m/>
    <s v="YES"/>
    <n v="10010"/>
    <n v="0.51"/>
    <m/>
    <s v="Yes"/>
    <n v="10010"/>
    <n v="0.51"/>
    <m/>
    <m/>
    <m/>
    <m/>
    <m/>
    <m/>
    <m/>
    <m/>
    <m/>
    <m/>
    <m/>
    <m/>
    <m/>
    <s v="YES"/>
    <n v="726"/>
    <n v="0.51"/>
    <m/>
    <m/>
    <m/>
    <m/>
    <m/>
    <m/>
    <m/>
    <m/>
    <m/>
    <m/>
    <m/>
    <m/>
    <m/>
    <m/>
    <m/>
    <m/>
    <m/>
    <m/>
    <m/>
    <m/>
    <m/>
    <m/>
    <m/>
    <m/>
    <m/>
    <m/>
    <m/>
    <m/>
    <m/>
    <m/>
    <m/>
    <m/>
    <m/>
    <m/>
    <m/>
    <m/>
    <m/>
    <m/>
    <m/>
    <m/>
    <m/>
    <m/>
    <m/>
    <m/>
    <m/>
    <m/>
    <m/>
    <m/>
    <m/>
    <m/>
    <m/>
    <m/>
    <m/>
    <m/>
    <m/>
    <m/>
    <m/>
    <m/>
    <m/>
    <m/>
    <m/>
    <m/>
    <m/>
    <m/>
    <m/>
    <m/>
    <m/>
    <m/>
    <m/>
    <m/>
    <m/>
    <m/>
    <m/>
    <m/>
    <m/>
    <m/>
    <m/>
    <m/>
    <m/>
    <m/>
    <m/>
    <s v="NO"/>
    <m/>
    <m/>
    <m/>
    <m/>
    <m/>
    <m/>
    <m/>
    <x v="1"/>
    <s v="NO"/>
    <s v="NO"/>
    <s v="YES"/>
    <s v="YES"/>
    <s v="NO"/>
    <s v="NO"/>
    <s v="NO"/>
    <m/>
    <m/>
    <x v="1"/>
    <m/>
    <x v="0"/>
    <m/>
    <x v="0"/>
    <x v="0"/>
    <s v="NO"/>
    <x v="0"/>
    <x v="0"/>
    <x v="0"/>
    <x v="1"/>
    <n v="3"/>
    <x v="1"/>
    <x v="1"/>
    <x v="1"/>
    <x v="1"/>
    <x v="1"/>
    <x v="1"/>
    <n v="4"/>
    <x v="1"/>
    <x v="1"/>
    <x v="2"/>
    <x v="1"/>
    <x v="3"/>
    <n v="2"/>
    <x v="0"/>
    <x v="3"/>
    <n v="2"/>
    <s v="Local government(s)"/>
    <s v="Grassroots organization(s)"/>
    <m/>
    <x v="2"/>
    <m/>
    <m/>
    <s v="Trabajo articulado y coordinado con el gobierno local."/>
    <s v="Involucramiento de los lideres comunitarios y autoridades locales."/>
    <m/>
    <s v="La adquisición local de insumos y materiales debe ser en lo posible descentralizada a fin de reducir los tiempos de entrega de bienes y servicios."/>
    <s v="El trabajo con gobiernos locales ayuda a reducir los costos logísticos para la atención de las familias damnificadas."/>
    <s v="El conocimiento de las percepciones de las familias damnificadas sobre la ayuda humanitaria es importante para la toma de decisiones adecuadas al contexto."/>
    <m/>
    <m/>
    <n v="10010"/>
    <n v="0"/>
    <n v="0"/>
    <n v="0.5055944055944056"/>
    <s v=""/>
    <n v="5061"/>
    <n v="0"/>
    <n v="1"/>
    <n v="10010"/>
    <n v="0"/>
    <n v="0"/>
    <n v="1"/>
    <n v="10010"/>
    <n v="0"/>
    <n v="0"/>
    <s v=""/>
    <n v="0"/>
    <n v="0"/>
    <s v=""/>
    <s v=""/>
    <n v="0"/>
    <n v="0"/>
    <s v=""/>
    <s v=""/>
    <n v="0"/>
    <n v="0"/>
    <s v=""/>
    <s v="1. Neutral"/>
    <s v="2. Accommodating"/>
    <s v="1. Neutral"/>
    <s v="It tested new ways for fighting poverty, but did not measure results of innovation"/>
    <s v="Moderate advocacy"/>
    <s v="It did not take tested solutions to scale"/>
  </r>
  <r>
    <x v="59"/>
    <x v="4"/>
    <n v="3249"/>
    <s v="Proyecto Piloto: Acceso a Agua y Saneamiento en Comunidades Rurales Dispersas"/>
    <s v="Peru"/>
    <s v="BIDXPE0001"/>
    <s v="No CARE member related to the project/initiative"/>
    <s v="Multilateral agency"/>
    <s v="Other"/>
    <s v="Inter-American Development Bank (IDB)"/>
    <m/>
    <m/>
    <m/>
    <m/>
    <m/>
    <m/>
    <m/>
    <m/>
    <m/>
    <m/>
    <m/>
    <m/>
    <m/>
    <m/>
    <m/>
    <m/>
    <m/>
    <m/>
    <m/>
    <m/>
    <m/>
    <m/>
    <m/>
    <m/>
    <m/>
    <m/>
    <m/>
    <m/>
    <m/>
    <m/>
    <m/>
    <m/>
    <m/>
    <m/>
    <m/>
    <m/>
    <m/>
    <m/>
    <m/>
    <m/>
    <m/>
    <m/>
    <m/>
    <m/>
    <m/>
    <d v="2015-04-29T00:00:00"/>
    <d v="2017-10-31T00:00:00"/>
    <m/>
    <s v="Development Other"/>
    <n v="1000000"/>
    <s v="Lourdes Mindreau"/>
    <s v="Gerente de Agua y Saneamiento"/>
    <s v="lmindreau@care.org.pe"/>
    <s v="Segundo Davila Muñoz"/>
    <s v="Gerente de programas"/>
    <s v="sdavila@care.org.pe"/>
    <s v="YES"/>
    <s v="YES"/>
    <s v="YES"/>
    <s v="El objetivo general del Proyecto es el diseño e implementación de modelos para la provisión de soluciones individuales para el abastecimiento de agua y saneamiento en zonas rurales dispersas o rurales nucleadas de menor tamaño (menos de 200 habitantes) en el Perú, las cuales incluirán la utilización de diferentes alternativas tecnológicas. Tiene tres componentes: Análisis de experiencias para provisión de servicios; Propuesta de modelos de gestión aplicables a entornos rurales dispersos e Implementación de Pilotos"/>
    <s v="Sub-National"/>
    <s v="Comunidad Nueva Cucungará, distrito, provincia y Región Piura. Comunidad Romatambo, distrito de Cátac, Provincia de Recuay, Región Ancash. Comunidad Atahualpa de Tabacoa, distrito de Iparía, provincia de Coronel Portillo, Región Ucayali"/>
    <s v="Familias asentadas en comunidades rurales dispersas de costa, sierra y selva del Perú"/>
    <n v="79"/>
    <n v="79"/>
    <n v="158"/>
    <n v="0"/>
    <n v="0"/>
    <n v="0"/>
    <s v="Los participantes directos son los individuos de familias campesinas y de comunidades nativas andinas y amazónicas. No se considera participantes indirectos por ser un proyecto piloto desarrollado en areas de gran dispersion geográfica y zonas poco accesibles."/>
    <m/>
    <n v="79"/>
    <n v="79"/>
    <n v="158"/>
    <m/>
    <m/>
    <m/>
    <s v="NO"/>
    <m/>
    <m/>
    <m/>
    <s v="NO"/>
    <m/>
    <m/>
    <m/>
    <s v="NO"/>
    <m/>
    <m/>
    <m/>
    <s v="NO"/>
    <m/>
    <m/>
    <m/>
    <s v="NO"/>
    <m/>
    <m/>
    <m/>
    <s v="NO"/>
    <m/>
    <m/>
    <m/>
    <s v="NO"/>
    <m/>
    <m/>
    <m/>
    <s v="NO"/>
    <m/>
    <m/>
    <m/>
    <s v="NO"/>
    <m/>
    <m/>
    <m/>
    <s v="NO"/>
    <m/>
    <m/>
    <m/>
    <s v="NO"/>
    <m/>
    <m/>
    <m/>
    <s v="YES"/>
    <n v="158"/>
    <n v="0.5"/>
    <m/>
    <m/>
    <s v="NO"/>
    <m/>
    <m/>
    <m/>
    <n v="79"/>
    <n v="79"/>
    <n v="158"/>
    <n v="0"/>
    <n v="0"/>
    <n v="0"/>
    <s v="NO"/>
    <m/>
    <m/>
    <m/>
    <s v="NO"/>
    <m/>
    <m/>
    <m/>
    <s v="NO"/>
    <m/>
    <m/>
    <m/>
    <s v="NO"/>
    <m/>
    <m/>
    <m/>
    <s v="NO"/>
    <m/>
    <m/>
    <m/>
    <s v="NO"/>
    <m/>
    <m/>
    <m/>
    <s v="NO"/>
    <m/>
    <m/>
    <m/>
    <s v="NO"/>
    <m/>
    <m/>
    <m/>
    <s v="NO"/>
    <m/>
    <m/>
    <m/>
    <s v="NO"/>
    <m/>
    <m/>
    <m/>
    <s v="YES"/>
    <n v="158"/>
    <n v="0.5"/>
    <m/>
    <s v="NO"/>
    <m/>
    <m/>
    <m/>
    <s v="NO"/>
    <m/>
    <m/>
    <m/>
    <s v="NO"/>
    <m/>
    <m/>
    <m/>
    <s v="YES"/>
    <n v="158"/>
    <n v="0.5"/>
    <m/>
    <s v="NO"/>
    <m/>
    <m/>
    <m/>
    <m/>
    <s v="NO"/>
    <m/>
    <m/>
    <m/>
    <s v="YES"/>
    <s v="March"/>
    <n v="2016"/>
    <s v="NO"/>
    <s v="YES"/>
    <s v="December"/>
    <n v="2017"/>
    <s v="Se realiza la sistematización de las experiencias piloto y evaluacion económica de los costos de la intervencion."/>
    <x v="0"/>
    <s v="NO"/>
    <s v="NO"/>
    <s v="YES"/>
    <s v="NO"/>
    <s v="NO"/>
    <s v="NO"/>
    <s v="NO"/>
    <s v="NO"/>
    <m/>
    <x v="2"/>
    <s v="Alternativas tecnologicas individuales en la provision de servicios de agua y saneamiento"/>
    <x v="0"/>
    <m/>
    <x v="0"/>
    <x v="0"/>
    <s v="YES"/>
    <x v="0"/>
    <x v="0"/>
    <x v="0"/>
    <x v="0"/>
    <n v="4"/>
    <x v="1"/>
    <x v="1"/>
    <x v="1"/>
    <x v="1"/>
    <x v="1"/>
    <x v="1"/>
    <n v="4"/>
    <x v="2"/>
    <x v="1"/>
    <x v="2"/>
    <x v="2"/>
    <x v="2"/>
    <n v="1"/>
    <x v="0"/>
    <x v="0"/>
    <n v="3"/>
    <s v="Grassroots organization(s)"/>
    <s v="National government"/>
    <s v="Local government(s)"/>
    <x v="1"/>
    <m/>
    <s v="El proyecto está orientado al cierre de brechas en la atención de los servicios de agua y saneamiento y su operación en zonas remotas Cnstituye en un desafío institucional en los aspectos logísticos, técnicos y administrativos."/>
    <s v="Diálogo intercultural"/>
    <s v="Monitoreo comunitario"/>
    <s v="Replanteamiento de los sistemas de soporte"/>
    <s v="Mayor identificación de riesgos, dinámicas locales y dificultad en disponer de recursos humanos, técnicos y logísticos calificados para la intervención en zonas remotas, lo que exige mayor detalle en la planificación operativa."/>
    <s v="En proyectos que operan en base a consultores, CARE debe generar una cartera de proveedores de servicios mejor informados, perfiles profesionales mejor identificados y presupuestos adecuados a la intensidad y riesgos de la operación."/>
    <s v="Los aspectos de infraestructura (perfil, expediente y ejecución de obra) y procesos sociales (capacitación, educación sanitaria y gestión) deben tener la mayor sincronización en el tiempo para asegurar mayor apropiación local del servicio.    "/>
    <m/>
    <s v="Reportes de Monitoreo. Censos locales. Informes de Consultoría."/>
    <n v="158"/>
    <n v="0"/>
    <n v="0"/>
    <n v="0.5"/>
    <s v=""/>
    <n v="79"/>
    <n v="0"/>
    <n v="1"/>
    <n v="158"/>
    <n v="0"/>
    <n v="0"/>
    <n v="1"/>
    <n v="158"/>
    <n v="0"/>
    <n v="0"/>
    <s v=""/>
    <n v="0"/>
    <n v="0"/>
    <s v=""/>
    <s v=""/>
    <n v="0"/>
    <n v="0"/>
    <s v=""/>
    <s v=""/>
    <n v="0"/>
    <n v="0"/>
    <s v=""/>
    <s v="2. Sensitive"/>
    <s v="2. Accommodating"/>
    <s v="0. Harmful"/>
    <s v="It tested new ways for fighting poverty and measured results of innovation"/>
    <s v="Little or no advocacy"/>
    <s v="It did not take tested solutions to scale"/>
  </r>
  <r>
    <x v="59"/>
    <x v="4"/>
    <m/>
    <s v="Remoción de lodos contaminados en apoyo a la respuesta humanitaria para el Gobierno del Perú, Agencia de Naciones Unidas y ONG incluyendo el retorno espontáneo de familias"/>
    <s v="Peru"/>
    <s v="PNUDPE0001"/>
    <s v="No CARE member related to the project/initiative"/>
    <s v="Multilateral agency"/>
    <s v="UN - United Nations agencies/offices"/>
    <s v="UNDP"/>
    <m/>
    <m/>
    <m/>
    <m/>
    <m/>
    <m/>
    <m/>
    <m/>
    <m/>
    <m/>
    <m/>
    <m/>
    <m/>
    <m/>
    <m/>
    <m/>
    <m/>
    <m/>
    <m/>
    <m/>
    <m/>
    <m/>
    <m/>
    <m/>
    <m/>
    <m/>
    <m/>
    <m/>
    <m/>
    <m/>
    <m/>
    <m/>
    <m/>
    <m/>
    <m/>
    <m/>
    <m/>
    <m/>
    <m/>
    <m/>
    <m/>
    <m/>
    <m/>
    <m/>
    <m/>
    <d v="2017-05-30T00:00:00"/>
    <m/>
    <d v="2017-10-30T00:00:00"/>
    <s v="Humanitarian Other"/>
    <n v="90000"/>
    <s v="Lucy Harman Guerra"/>
    <s v="Gerente del Programa de Emergencias y Gestión del Riesgo"/>
    <s v="lharman@care.org.pe"/>
    <s v="Segundo Dávila"/>
    <s v="Gerente de Programas"/>
    <s v="sdavila@care.org.pe"/>
    <s v="YES"/>
    <s v="YES"/>
    <s v="YES"/>
    <s v="Facilitar el retorno seguro y rápido de las familias afectadas por el Niño Costero a sus zonas (barrios, comunidades) de origen mediante intervenciones de remoción y limpieza de lodos contaminados incluyendo el empleo de emergencia; con el propósito de reducir el riesgo de afectaciones a la salud y brindar seguridad a las poblaciones damnificadas de las zonas periurbanas y rurales de Piura, de los distritos de Catacaos y Cura Mori"/>
    <s v="Sub-National"/>
    <s v="Catacaos y Cura Mori en el departamento de Piura"/>
    <s v="1000 familias con viviendas damnificadas o inahabilitadas por el impacto del Fenómeno Niño Costero ocurrido a principios del año 2017 en el departamento de Piura que retornan a sus actividades cotidianas mediante el mecanismo de &quot;cash for work&quot;. Se estima que el número de familias es equivalente a 5000 personas."/>
    <n v="2550"/>
    <n v="2450"/>
    <n v="5000"/>
    <m/>
    <m/>
    <m/>
    <s v="Participantes directos:  1000 personas que acceden a puestos de trabajo temporales bajo el mecanismo de &quot;cash for work&quot;  (organizados en 125 brigadas de trabajo) y sus familiares directos, es decir 5,000 personas de acuerdo al multiplicar estimado (5  personas por familia) y de acuerdo al indice de mesculinidad del Perú. El número de participantes consigando en este formato corresponde a la ampliacióin del proyecto a través de una adenda, no a lo previsro en el  proyecto original._x000a_Participantes indirectos: Por la naturaleza del proyecto, en la propuesta no se consideron participantes indirectos. No obstante, los participantes indirectos son  personas de la población general que se benefician de los trabajo de limpieza y remoción de lodos que realizan las brigadas en viviendas, centros educativos, centros de salud y calles. Estos participantes indirectos no fueron previstos en la propuesta del proyecto. Se les identificó durante la implementación pero no se ha estimado su número."/>
    <m/>
    <m/>
    <m/>
    <n v="27"/>
    <m/>
    <m/>
    <m/>
    <m/>
    <m/>
    <m/>
    <m/>
    <m/>
    <m/>
    <m/>
    <m/>
    <m/>
    <m/>
    <m/>
    <m/>
    <m/>
    <m/>
    <m/>
    <m/>
    <m/>
    <m/>
    <m/>
    <m/>
    <m/>
    <m/>
    <m/>
    <m/>
    <m/>
    <m/>
    <m/>
    <m/>
    <s v="Yes"/>
    <n v="27"/>
    <m/>
    <m/>
    <m/>
    <m/>
    <m/>
    <m/>
    <m/>
    <m/>
    <m/>
    <m/>
    <m/>
    <m/>
    <m/>
    <m/>
    <m/>
    <m/>
    <m/>
    <m/>
    <m/>
    <m/>
    <m/>
    <m/>
    <m/>
    <m/>
    <m/>
    <m/>
    <m/>
    <m/>
    <m/>
    <m/>
    <m/>
    <m/>
    <m/>
    <m/>
    <m/>
    <m/>
    <m/>
    <m/>
    <m/>
    <m/>
    <m/>
    <m/>
    <m/>
    <m/>
    <m/>
    <m/>
    <m/>
    <m/>
    <m/>
    <s v="YES"/>
    <m/>
    <m/>
    <m/>
    <m/>
    <m/>
    <m/>
    <m/>
    <m/>
    <m/>
    <m/>
    <m/>
    <m/>
    <m/>
    <m/>
    <m/>
    <m/>
    <m/>
    <m/>
    <m/>
    <m/>
    <m/>
    <m/>
    <m/>
    <m/>
    <m/>
    <m/>
    <m/>
    <m/>
    <m/>
    <m/>
    <m/>
    <m/>
    <m/>
    <m/>
    <m/>
    <m/>
    <m/>
    <m/>
    <m/>
    <s v="YES"/>
    <m/>
    <m/>
    <m/>
    <m/>
    <m/>
    <m/>
    <m/>
    <m/>
    <s v="YES"/>
    <s v="June"/>
    <n v="2017"/>
    <s v="NO"/>
    <s v="NO"/>
    <m/>
    <m/>
    <s v="La linea de base se refiere  a que antes de iniciar la implementación se recogió información demográfica a través de la aplicación KOBO collect con el fin de calificar a las familias de las zonas más afectadas de Catacaos y Cura Mori y seleccionarlas como beneficiarias del proyecto."/>
    <x v="0"/>
    <m/>
    <m/>
    <m/>
    <s v="YES"/>
    <m/>
    <m/>
    <s v="YES"/>
    <m/>
    <m/>
    <x v="1"/>
    <m/>
    <x v="0"/>
    <m/>
    <x v="0"/>
    <x v="0"/>
    <s v="YES"/>
    <x v="2"/>
    <x v="0"/>
    <x v="2"/>
    <x v="1"/>
    <n v="2"/>
    <x v="1"/>
    <x v="1"/>
    <x v="2"/>
    <x v="1"/>
    <x v="1"/>
    <x v="1"/>
    <n v="3"/>
    <x v="3"/>
    <x v="1"/>
    <x v="2"/>
    <x v="1"/>
    <x v="5"/>
    <n v="2"/>
    <x v="2"/>
    <x v="1"/>
    <m/>
    <m/>
    <m/>
    <m/>
    <x v="2"/>
    <s v="Para la realización de actividades de limpieza y remoción de escombros se han formado brigadas de trabajo, donde participaron hombres y mujeres de las comunidades afectadas, configurando un espacio de articulación y coordinación de acciones para la mejora de su localidad afectada."/>
    <m/>
    <s v="Mecanismo de dinero por trabajo &quot;cash for work&quot;, que consistió en ofrecer puestos de trabajo a una persona de cada familia con mayor afectación de su vivienda debido al impacto del fenómeno Niño Costero 2017."/>
    <s v="Calificación y selección de personas y familias beneficiarias mediante una evaluación multicriterio para el que se recogió datos directamente de las familias afectadas por la emergencia."/>
    <m/>
    <s v="Es importante mencionar que las brigadas formadas a la fecha están compuestas mayoritariamente por mujeres principalmente debido a que los varones han retornado a sus actividades habituales. Sin embargo, cabe destacar que las brigadas compuestas por mujeres se desenvuelven sin ningún inconveniente ni limitación. Un tema por desarrollar será empoderarlas en la decisión del uso del dinero que ellas han ganado."/>
    <s v="Es importante mencionar que las brigadas formadas a la fecha están compuestas mayoritariamente por mujeres principalmente debido a que los varones han retornado a sus actividades habituales, sin embargo, cabe destacar que las brigadas compuestas por mujeres se desenvuelven sin ningún inconveniente ni limitación. Un tema por desarrollar será empoderarlas en la decisión del uso del dinero que ellas han ganado."/>
    <s v="Con la finalidad de mejorar las condiciones de habitabilidad de las familias damnificadas, CARE ha desarrollado intervenciones de forma conjunta y concertada con el Ministerio de Vivienda, en este sentido, hemos asumido el compromiso de generar las condiciones mínimas en la vivienda de origen (remoción de lodos y escombros) para que el Ministerio de Vivienda instale los módulos temporales de vivienda (MTV) en parte de los terrenos de los beneficiarios (los MTV son bastante más pequeños que los lotes de los beneficiarios, pero presentan una base de techo digno y seguro que la familia puede ampliar)."/>
    <s v="El proyecto se implementó durante el último mes del AF17, de allpi el bajo numero de participantes directos. En el formato PIIRS del AF2018 se completrpa la información referente a los participantes directos alcanzados."/>
    <m/>
    <n v="27"/>
    <n v="0"/>
    <n v="0"/>
    <n v="0"/>
    <s v=""/>
    <n v="0"/>
    <n v="0"/>
    <n v="1"/>
    <n v="27"/>
    <n v="0"/>
    <n v="0"/>
    <n v="1"/>
    <n v="27"/>
    <n v="0"/>
    <n v="0"/>
    <s v=""/>
    <n v="0"/>
    <n v="0"/>
    <s v=""/>
    <s v=""/>
    <n v="0"/>
    <n v="0"/>
    <s v=""/>
    <n v="1"/>
    <n v="0"/>
    <n v="0"/>
    <s v=""/>
    <s v="1. Neutral"/>
    <s v="2. Accommodating"/>
    <s v="3. Responsive"/>
    <s v="It tested new ways for fighting poverty, but did not measure results of innovation"/>
    <s v="Little or no advocacy"/>
    <s v="It did not take tested solutions to scale"/>
  </r>
  <r>
    <x v="59"/>
    <x v="4"/>
    <n v="3277"/>
    <s v="RIMAC DRR Reinforcing Innovative Mechanisms for Arising Capacities in Disaster Risk Reduction in Rímac, Perú"/>
    <s v="Peru"/>
    <s v="COOPPE0001"/>
    <s v="No CARE member related to the project/initiative"/>
    <s v="Government"/>
    <s v="Government - US"/>
    <s v="OFDA/USAID"/>
    <m/>
    <m/>
    <m/>
    <m/>
    <m/>
    <m/>
    <m/>
    <m/>
    <m/>
    <m/>
    <m/>
    <m/>
    <m/>
    <m/>
    <m/>
    <m/>
    <m/>
    <m/>
    <m/>
    <m/>
    <m/>
    <m/>
    <m/>
    <m/>
    <m/>
    <m/>
    <m/>
    <m/>
    <m/>
    <m/>
    <m/>
    <m/>
    <m/>
    <m/>
    <m/>
    <m/>
    <m/>
    <m/>
    <m/>
    <m/>
    <m/>
    <m/>
    <m/>
    <m/>
    <m/>
    <d v="2014-09-15T00:00:00"/>
    <m/>
    <d v="2017-12-14T00:00:00"/>
    <s v="Development Other"/>
    <n v="1152262"/>
    <s v="Lucy Harman Guerra"/>
    <s v="Gerente del Programa de Emergencias y Gestión del Riesgo"/>
    <s v="lharman@care.org.pe"/>
    <s v="Hilda Mar Calderon Neyra"/>
    <s v="Capacitadora en GRD"/>
    <s v="hcalderon@care.org.pe"/>
    <s v="YES"/>
    <s v="YES"/>
    <s v="YES"/>
    <s v="Contribuir a reducir los riesgod en barrios vulnerables del distrito del Rímac expuestos a diversos peligros."/>
    <s v="Sub-National"/>
    <s v="Distrito del Rímac - Lima"/>
    <s v="1) Oganizaciones sociales y población del Rímac, incluyendo a grupos usualmente excluidos del proceso de toma de decisiones para la gestión del territorio y la gestión del riesgo."/>
    <n v="11000"/>
    <n v="9000"/>
    <n v="20000"/>
    <n v="86505"/>
    <n v="83112"/>
    <n v="169617"/>
    <s v="Los participantes directos (20 000) son la población en general y los dirigentes de organizaciones sociales y vecinales del Rímac. La cantidad representa aproximadamente al 10% de la población total proyectada del Rímac para el año 2014 (200 000). urbano de primer plano. En el mismo proceso, aspira fortalecer las capacidades institucionales del distrito al fomentar una gobernanza innovadora de los riesgos, basada en el reconocimiento mutuo de las autoridades y de las organizaciones sociales, en sus tareas y responsabilidades para el bien colectivo. Por ello, las actividades del proyecto se enlazan estrechamente a las acciones y herramientas del gobierno local para la gestión del territorio, que impacta en el total de la población del distrito. Los participantes indirectos (169 617) corresponden a la totalidad de habitantes del distrito del Rímac. Se asume de este modo debido a que el proyecto busca fortalecer a la población de los barrios más vulnerables del distrito del Rímac para reducir al máximo las pérdidas de vidas humanas, medios de vida, servicios e infraestructuras, aumentando su resiliencia frente a desastres de gran magnitud. Se trata de movilizar los conocimientos y las capacidades de las organizaciones sociales para reafirmarlas como un actor"/>
    <m/>
    <m/>
    <m/>
    <m/>
    <m/>
    <m/>
    <m/>
    <m/>
    <m/>
    <m/>
    <m/>
    <m/>
    <m/>
    <m/>
    <m/>
    <m/>
    <m/>
    <m/>
    <m/>
    <m/>
    <m/>
    <m/>
    <m/>
    <m/>
    <m/>
    <m/>
    <m/>
    <m/>
    <m/>
    <m/>
    <m/>
    <m/>
    <m/>
    <m/>
    <m/>
    <m/>
    <m/>
    <m/>
    <m/>
    <m/>
    <m/>
    <m/>
    <m/>
    <m/>
    <m/>
    <m/>
    <m/>
    <m/>
    <m/>
    <m/>
    <m/>
    <m/>
    <m/>
    <m/>
    <m/>
    <m/>
    <m/>
    <m/>
    <m/>
    <m/>
    <n v="11000"/>
    <n v="9000"/>
    <n v="20000"/>
    <n v="86505"/>
    <n v="83112"/>
    <n v="169617"/>
    <m/>
    <m/>
    <m/>
    <m/>
    <m/>
    <m/>
    <m/>
    <m/>
    <m/>
    <m/>
    <m/>
    <m/>
    <s v="YES"/>
    <n v="9078"/>
    <n v="0.52"/>
    <n v="169617"/>
    <m/>
    <m/>
    <m/>
    <m/>
    <m/>
    <m/>
    <m/>
    <m/>
    <m/>
    <m/>
    <m/>
    <m/>
    <m/>
    <m/>
    <m/>
    <m/>
    <m/>
    <m/>
    <m/>
    <m/>
    <m/>
    <m/>
    <m/>
    <m/>
    <m/>
    <m/>
    <m/>
    <m/>
    <m/>
    <m/>
    <m/>
    <m/>
    <m/>
    <m/>
    <m/>
    <m/>
    <m/>
    <m/>
    <m/>
    <m/>
    <s v="YES"/>
    <n v="4583"/>
    <n v="0.55000000000000004"/>
    <n v="35000"/>
    <m/>
    <m/>
    <m/>
    <m/>
    <m/>
    <m/>
    <m/>
    <m/>
    <m/>
    <s v="NO"/>
    <m/>
    <m/>
    <s v="NO"/>
    <s v="YES"/>
    <s v="October"/>
    <n v="2017"/>
    <s v="Al mes de setiembre del 2017, nos encontramos en proceso de elaboración de un documento de Conocimientos, Actitudes y Prácticas - CAP Final, que servirá para medir algunos indicadores y para contrastar la información del CAP Inicial. El estudiose realizará hasta octubre del 2017."/>
    <x v="1"/>
    <s v="NO"/>
    <s v="NO"/>
    <s v="NO"/>
    <s v="YES"/>
    <s v="NO"/>
    <s v="NO"/>
    <s v="YES"/>
    <s v="NO"/>
    <m/>
    <x v="1"/>
    <s v="Visor Cartográfico para la gestión urbana y de riesgos"/>
    <x v="0"/>
    <m/>
    <x v="0"/>
    <x v="1"/>
    <s v="YES"/>
    <x v="1"/>
    <x v="0"/>
    <x v="1"/>
    <x v="4"/>
    <n v="2"/>
    <x v="2"/>
    <x v="1"/>
    <x v="1"/>
    <x v="1"/>
    <x v="2"/>
    <x v="5"/>
    <n v="3"/>
    <x v="3"/>
    <x v="1"/>
    <x v="1"/>
    <x v="1"/>
    <x v="4"/>
    <n v="3"/>
    <x v="2"/>
    <x v="2"/>
    <n v="2"/>
    <s v="International NGO(s)"/>
    <s v="University/research institution(s)"/>
    <m/>
    <x v="0"/>
    <s v="Se ha generado alianzas con instituciones académicas, con la finalidad de fomentar su participación en el fortalecimiento de capacidades de los y las dirigentes sociales y población en general. Por ejemplo, se han realizado diferentes cursos dirigidos a pobladores y dirigentes como el de Sistemas de Información Geográfica - SIG, de Gestión Pública y de Liderazgo y Resolución de Conflictos."/>
    <m/>
    <s v="Alianzas con instituciones académicas para el fortalecimiento de capacidades. Por ejemplo bomberos, universidades, etc."/>
    <s v="Generación de espacios de articulación interbarrial, a través de talleres o ferias, que facilita el intercambio y disminuyen la fragmentación del tejido social urbano."/>
    <s v="Valorización y participación de  actores locales &quot;no tradicionales&quot; enel proyecto. Por ejemplo, colectivos artísticos, iglesias o asociaciones de ambientalista."/>
    <s v="Reflexionar sobre los elementos &quot;no visibles&quot; que facilitan o dificultan los proyectos ha contribuido a un relacionamiento más sincero con los &quot;beneficiarios&quot;."/>
    <s v="La reducción de la vulnerabilidad urbana  involucra a un conjunto de actores nacionales y subnacionales, y requiere el abordaje de condiciones estructurales de la población y el territorio, las cuales están fuera del alcance de un proyecto."/>
    <s v="La alta fragmentación social y el liderazgo limitado en las ciudades dificultan la vigilancia ciudadana para la gestión urbana."/>
    <s v="La Reducción de la Vulnerabilidad Urbana es un tema/sector  abordado por el proyecto y constituye una experiencia innovadora para CARE Perú."/>
    <s v="Los datos han sido obtenidos a partir del III quarterly Report of the 3rd year - Proyecto RIMAC DRR"/>
    <n v="20000"/>
    <n v="169617"/>
    <n v="8.4808500000000002"/>
    <n v="0.55000000000000004"/>
    <n v="0.51000194555970213"/>
    <n v="11000"/>
    <n v="86505"/>
    <n v="1"/>
    <n v="0"/>
    <n v="0"/>
    <s v=""/>
    <n v="1"/>
    <n v="9078"/>
    <n v="169617"/>
    <n v="18.684401850627893"/>
    <s v=""/>
    <n v="0"/>
    <n v="0"/>
    <s v=""/>
    <s v=""/>
    <n v="0"/>
    <n v="0"/>
    <s v=""/>
    <s v=""/>
    <n v="0"/>
    <n v="0"/>
    <s v=""/>
    <s v="3. Responsive"/>
    <s v="3. Responsive"/>
    <s v="4. Transformative"/>
    <s v="It tested new ways for fighting poverty, but did not measure results of innovation"/>
    <s v="Moderate advocacy"/>
    <s v="It did not take tested solutions to scale"/>
  </r>
  <r>
    <x v="59"/>
    <x v="4"/>
    <n v="2323"/>
    <s v="SABA Plus: Boosting Impact al Global Scale, Component Perú - Fase II"/>
    <s v="Peru"/>
    <s v="COSUPE0009"/>
    <s v="CARE Peru"/>
    <s v="Government"/>
    <s v="Government - Switzerland"/>
    <s v="COSUDE"/>
    <m/>
    <m/>
    <m/>
    <m/>
    <m/>
    <m/>
    <m/>
    <m/>
    <m/>
    <m/>
    <m/>
    <m/>
    <m/>
    <m/>
    <m/>
    <m/>
    <m/>
    <m/>
    <m/>
    <m/>
    <m/>
    <m/>
    <m/>
    <m/>
    <m/>
    <m/>
    <m/>
    <m/>
    <m/>
    <m/>
    <m/>
    <m/>
    <m/>
    <m/>
    <m/>
    <m/>
    <m/>
    <m/>
    <m/>
    <m/>
    <m/>
    <m/>
    <m/>
    <m/>
    <m/>
    <d v="2015-03-01T00:00:00"/>
    <d v="2017-12-31T00:00:00"/>
    <m/>
    <s v="Development Other"/>
    <n v="4902271.8181818184"/>
    <s v="Herbert Pacheco"/>
    <s v="Jefe de proyecto"/>
    <s v="hpacheco@care.org.pe"/>
    <s v="Cesarina Quintana"/>
    <s v="Oficial de programa senior"/>
    <s v="cesarina.quintana@sdc.net"/>
    <s v="NO"/>
    <s v="YES"/>
    <s v="NO"/>
    <s v="Incrementae la cobertura y mejora la calidad de los servicios de agua y saneamiento de la población rural del ámbito de acción"/>
    <s v="National"/>
    <s v="El proyecto trabaja en las 25 regiones del país. En 14 de manera directa (Tumbes, Piura, Lambayeque, La Libertad, Amazonas, San Martín, Cajamarca, Huánuco, Ayacucho, Huancavelica, Apurímac, Cusco, Puno y Madre de Dios) En las 10 regiones restantes se interviene de manera indirecta exclusivamente a través de  instituciones del Estado Peruano."/>
    <s v=" - Funcionarios públicos del Ministerio de Vivienda Construcción (PNSR del MVCS) y de los Gobiernos Regionales y Locales; - Organizaciones comunales del ámbito de acción; y - Población beneficiaria del ámbito de acción."/>
    <n v="5250"/>
    <n v="9750"/>
    <n v="15000"/>
    <n v="675000"/>
    <n v="825000"/>
    <n v="1500000"/>
    <s v="Perfil de los participantes directos: Funcionarios del Programa Nacional de Saneamiento Rural (PNSR) y de los Centros de Atención al Ciudadano del mismo programa del Ministerio de Vivienda Construcción y Saneamiento,  Funcionarios de los Gobiernos Regionales (DRVCS, DIRESA, DRE), Ministerio de Desarrollo en Inclusión Social Perfil de los participantes indirectos: Autoridades y funcionarios de los gobiernos locales, organizaciones comunales y beneficiarios de los sistemas de agua y saneamiento implementados en la comunidad, público objetivo de los procesos de capacitación. Los datos referentes a los participantes indirectos son una aproximación a partir de datos oficiales (Encuesta Nacional de Programs Estratégicos - ENAPRES 2016) realizada en base a los participantes de los procesos de capacitación, monitoreo y acompañamiento; en el marco de la transferencia del know how desarrollado por el Proyecto. La población rural del país está estimada en 7.1 millones de la cual 2.5 millones aproximadamente no tiene servicios de agua potable y saneamiento. Considerando que el proyecto tiene presencia directa en 14 de 25 regiones (56%) el equipo del proyecto ha estimado que la población beneficiaria indirecta ascendería a 1.5 millones (60% de 2.5 millones)"/>
    <m/>
    <m/>
    <m/>
    <n v="0"/>
    <m/>
    <m/>
    <n v="0"/>
    <m/>
    <m/>
    <m/>
    <m/>
    <m/>
    <m/>
    <m/>
    <m/>
    <m/>
    <m/>
    <m/>
    <m/>
    <m/>
    <m/>
    <m/>
    <m/>
    <m/>
    <m/>
    <m/>
    <m/>
    <m/>
    <m/>
    <m/>
    <m/>
    <m/>
    <m/>
    <m/>
    <m/>
    <m/>
    <m/>
    <m/>
    <m/>
    <m/>
    <m/>
    <m/>
    <m/>
    <m/>
    <m/>
    <m/>
    <m/>
    <m/>
    <m/>
    <m/>
    <m/>
    <m/>
    <m/>
    <m/>
    <m/>
    <m/>
    <m/>
    <m/>
    <m/>
    <m/>
    <n v="1365"/>
    <n v="2534"/>
    <n v="3899"/>
    <n v="273610"/>
    <n v="334414"/>
    <n v="608024"/>
    <m/>
    <m/>
    <m/>
    <m/>
    <m/>
    <m/>
    <m/>
    <m/>
    <m/>
    <m/>
    <m/>
    <m/>
    <m/>
    <m/>
    <m/>
    <m/>
    <m/>
    <m/>
    <m/>
    <m/>
    <m/>
    <m/>
    <m/>
    <m/>
    <m/>
    <m/>
    <m/>
    <m/>
    <m/>
    <m/>
    <m/>
    <m/>
    <m/>
    <m/>
    <m/>
    <m/>
    <m/>
    <m/>
    <m/>
    <m/>
    <m/>
    <m/>
    <m/>
    <m/>
    <m/>
    <m/>
    <m/>
    <m/>
    <m/>
    <m/>
    <m/>
    <m/>
    <m/>
    <m/>
    <m/>
    <m/>
    <s v="YES"/>
    <n v="3899"/>
    <n v="0.35"/>
    <n v="608024"/>
    <m/>
    <m/>
    <m/>
    <m/>
    <m/>
    <m/>
    <m/>
    <m/>
    <m/>
    <s v="NO"/>
    <m/>
    <m/>
    <s v="NO"/>
    <s v="YES"/>
    <s v="December"/>
    <n v="2017"/>
    <s v="El monitoreo y evaluación del Proyecto  se hace en forma trimestral, además de una en forma anual, a cargo de un tercero: el Instituto de Estudios Peruanos (IEP):"/>
    <x v="2"/>
    <s v="YES"/>
    <m/>
    <m/>
    <s v="YES"/>
    <s v="YES"/>
    <s v="NO"/>
    <m/>
    <m/>
    <m/>
    <x v="2"/>
    <s v="Estrategias de intervención en agua y saneamiento que involucran la participación de la población organizada dedidamente capacitada y asistida desde su gobiernos local y a su vez, la asistencia de la instancia local desde los gobiernos regionales, con un cofinanciamiento participarivo del costo del proyecto; con el fin de generar empoderamiento y sostenibilidad. Además de innovaciones tecnológicas apropiadas para poblaciones rurales. Estrategias que en parte están siendo replicadas desde el Estado Nacional a través del MVCS - PNSR."/>
    <x v="1"/>
    <m/>
    <x v="0"/>
    <x v="0"/>
    <s v="NO"/>
    <x v="0"/>
    <x v="0"/>
    <x v="1"/>
    <x v="1"/>
    <n v="2"/>
    <x v="2"/>
    <x v="1"/>
    <x v="1"/>
    <x v="1"/>
    <x v="1"/>
    <x v="2"/>
    <n v="4"/>
    <x v="1"/>
    <x v="1"/>
    <x v="1"/>
    <x v="1"/>
    <x v="1"/>
    <n v="3"/>
    <x v="0"/>
    <x v="0"/>
    <n v="16"/>
    <s v="National government"/>
    <s v="Local government(s)"/>
    <s v="Local alliance(s)/Platform(s)/Network(s) of  NGOs/CSOs"/>
    <x v="2"/>
    <s v="A través de las Juntas Administradoras de Servicios de Saneamiento, con mayor liderazgo e iniciativa en el tema sectorial, y a través de plataformas regionales que congrega la participación de instituciones públicas, privadas y sociedad civil, para hacer incidencia en la instituciaonalización de una gestión sostenible del agua y saneamiento especialmente rural."/>
    <m/>
    <s v="Empoderamiento de los servicios de agua y saneamiento por las familias usuarias"/>
    <s v="Cumplimiento de los roles y funciones que competen a los gobiernos regionales y locales en materia de agua y saneamiento rural"/>
    <s v="Incidencia del modelo SABA en las políticas nacionales del sector"/>
    <s v="La articulación intergubernamental nacional, regional y local, en el marco del proceso de descentralización es aún un desafio para lograr eficiencia en la atención de los servicios de agua y saneamiento; sin embargo se han dado algunos pasos importantes con la desconcentración del MVCS a través de los CAC."/>
    <s v="La incidencia política hacia el nivel nacional, a partir de evidencias como la eficiencia en la gestión demostrada por los niveles subnacionales, como ha sido el caso de los gobiernos locales y regionales, quienes han demostrado niveles importantes de avance en el cumplimiento de sus roles y funciones asignados por ley, en materia de agua y saneamiento; son más efectivas para ser acogidas por el gobieno nacional."/>
    <s v="Las nuevas políticas gubernamentales de intervención descentralizada basadas en incentivos económicos son exitosas, tanto para el desempeño y cumplimiento de metas como el Fondo de Estímulo del Desempeño - FED y el Plan de Incentivos, así como la política de creación de Núcleos Ejecutores Departamentales del MIDIS."/>
    <s v="En esta última fase del Proyecto, se potenció acciones de incidencia a las estrategias validadas,  hacia el gobierno nacional a través del PNSR del MVCS y sus instancias desconcentradas a través de los Centros de Atención al Ciudadano CAC, a nivel de las 14 regiones de intervención del proyecto de manera directa y de las demás regiones restante de manera indirecta."/>
    <s v="Informe anual 2016 del Proyecto"/>
    <n v="3899"/>
    <n v="608024"/>
    <n v="155.94357527571171"/>
    <n v="0.35008976660682228"/>
    <n v="0.44999868426246331"/>
    <n v="1365"/>
    <n v="273610"/>
    <s v=""/>
    <n v="0"/>
    <n v="0"/>
    <s v=""/>
    <n v="1"/>
    <n v="3899"/>
    <n v="608024"/>
    <n v="155.94357527571171"/>
    <s v=""/>
    <n v="0"/>
    <n v="0"/>
    <s v=""/>
    <s v=""/>
    <n v="0"/>
    <n v="0"/>
    <s v=""/>
    <s v=""/>
    <n v="0"/>
    <n v="0"/>
    <s v=""/>
    <s v="1. Neutral"/>
    <s v="4. Transformational"/>
    <s v="2. Sensitive"/>
    <s v="It tested new ways for fighting poverty and measured results of innovation"/>
    <s v="Intensive advocacy"/>
    <s v="It linked and worked with strategic alliances and partners to take tested and effective solutions to scale"/>
  </r>
  <r>
    <x v="59"/>
    <x v="4"/>
    <n v="3258"/>
    <s v="Sistema Intergubernamental de Evaluación de Riesgos y Gestión Institucional Aplicada para la Gestión del Riesgo de Desastres (SINERGIA GRD)"/>
    <s v="Peru"/>
    <s v="CNLDPE1007"/>
    <s v="CARE Nederland"/>
    <s v="Government"/>
    <s v="ECHO - European Commission for Humanitarian Aid and Civil Protection"/>
    <s v="ECHO"/>
    <m/>
    <m/>
    <m/>
    <m/>
    <m/>
    <m/>
    <m/>
    <m/>
    <m/>
    <m/>
    <m/>
    <m/>
    <m/>
    <m/>
    <m/>
    <m/>
    <m/>
    <m/>
    <m/>
    <m/>
    <m/>
    <m/>
    <m/>
    <m/>
    <m/>
    <m/>
    <m/>
    <m/>
    <m/>
    <m/>
    <m/>
    <m/>
    <m/>
    <m/>
    <m/>
    <m/>
    <m/>
    <m/>
    <m/>
    <m/>
    <m/>
    <m/>
    <m/>
    <m/>
    <m/>
    <d v="2015-05-01T00:00:00"/>
    <d v="2016-10-30T00:00:00"/>
    <m/>
    <s v="Development Other"/>
    <n v="618166"/>
    <s v="Lucy Harman"/>
    <s v="Gerente RRD"/>
    <s v="lharman@care.org.pe"/>
    <s v="Segundo Dávila"/>
    <s v="Gerente de Programas"/>
    <s v="sdavila@care.org.pe"/>
    <s v="NO"/>
    <s v="YES"/>
    <s v="NO"/>
    <s v="Establecer la formación permanente y la investigación aplicada en GRD para la nueva generación de tomadores de decisión y actuales gestores públicos, transversalizando / incorporando el enfoque de la GRD en los diferentes planes de estudio de cinco universidades en las regiones de Apurímac, Ayacucho, Huancavelica, Ica y Junín;  y al mismo tiempo, ampliando la difusión del conocimiento general sobre la GRD mediante la creación de una plataforma piloto en-línea en el CENEPRED."/>
    <s v="National"/>
    <s v="Lima Metropolitana y Mancomunidad Regional de los Andes (Apurimac, Ayacucho, Huancavelica, Ica y Junin)"/>
    <s v="39 académicos y 210 gestores públicos de  las cinco regiones de la Mancomunidad de los Andes culminaron satisfactoriamente el  Primer Programa Avanzado de Alta Especialización en Gestión del Riesgo de Desastres de la Universidad ESAN._x000a_Participaron académicos de la Universidad Nacional de San Cristóbal de Huamanga (Ayacucho), la Universidad Nacional Micaela Bastidas (Apurímac), la Universidad Nacional de Huancavelica, la Universidad Nacional José María Arguedas (Apurímac), la Universidad Nacional del Centro del Perú (Junín) y la Universidad Nacional San Luis Gonzaga de Ica."/>
    <n v="78"/>
    <n v="182"/>
    <n v="260"/>
    <m/>
    <m/>
    <m/>
    <s v="Participantes directos: (i) 40 académicos de universidades locales entrenados como capacitadores en GRD; (ii) Cinco (5) funcionarios del CENEPRED entrenados como capacitadores en GRD, (iii) 150 participantes en un curso descentralizado de GRD en universidades locales (una por cada región de la Mancomunidad Regional Los Andes- MRLA), (iv) 60 personas capacitadas a través de la plataforma online del Centro Nacional de Estimación, Prevención y Reducción de Desastres (CENEPRED), cinco (5) beneficiarios  de becas para desarrollar tesis en GRD. El desagregado por género es un estimado basado en la propuesta._x000a_En la propuesta original al donante no se consideró la desgregación por género de los participantes._x000a_Se consideraron los siguientes participantes institucionales: MRLA y los cinco gobiernos regionales que la integran, cinco universidades públicas de la MRLA, tres distritos de Lima Metropolitana (a través de asocios con otros proyectos de DIPECHO) y CENEPRED.   _x000a_La propuesta del proyecto (página 7 del Single Form de ECHO) consideró el concepto de &quot;catchment population&quot; pero no proporciona una definición. Establece que esta población asciende a 3.8 millones de personas (el total de la población de las cinco regiones de la MRLA)según proyecciones del INEI). Dado que no s cuenta con una definición del concetp de &quot;catchment population&quot; no se la puede considerar como población participante indirecta."/>
    <m/>
    <m/>
    <m/>
    <m/>
    <m/>
    <m/>
    <m/>
    <m/>
    <m/>
    <m/>
    <m/>
    <m/>
    <m/>
    <m/>
    <m/>
    <m/>
    <m/>
    <m/>
    <m/>
    <m/>
    <m/>
    <m/>
    <m/>
    <m/>
    <m/>
    <m/>
    <m/>
    <m/>
    <m/>
    <m/>
    <m/>
    <m/>
    <m/>
    <m/>
    <m/>
    <m/>
    <m/>
    <m/>
    <m/>
    <m/>
    <m/>
    <m/>
    <m/>
    <m/>
    <m/>
    <m/>
    <m/>
    <m/>
    <m/>
    <m/>
    <m/>
    <m/>
    <m/>
    <m/>
    <m/>
    <m/>
    <m/>
    <m/>
    <m/>
    <m/>
    <m/>
    <m/>
    <n v="810"/>
    <m/>
    <m/>
    <m/>
    <m/>
    <m/>
    <m/>
    <m/>
    <m/>
    <m/>
    <m/>
    <m/>
    <m/>
    <m/>
    <m/>
    <m/>
    <s v="YES"/>
    <n v="810"/>
    <n v="0.3"/>
    <m/>
    <m/>
    <m/>
    <m/>
    <m/>
    <m/>
    <m/>
    <m/>
    <m/>
    <m/>
    <m/>
    <m/>
    <m/>
    <m/>
    <m/>
    <m/>
    <m/>
    <m/>
    <m/>
    <m/>
    <m/>
    <m/>
    <m/>
    <m/>
    <m/>
    <m/>
    <m/>
    <m/>
    <m/>
    <m/>
    <m/>
    <m/>
    <m/>
    <s v="YES"/>
    <n v="810"/>
    <n v="0.3"/>
    <m/>
    <m/>
    <m/>
    <m/>
    <m/>
    <m/>
    <m/>
    <m/>
    <m/>
    <s v="YES"/>
    <m/>
    <m/>
    <m/>
    <m/>
    <m/>
    <m/>
    <m/>
    <m/>
    <s v="NO"/>
    <m/>
    <m/>
    <s v="NO"/>
    <s v="NO"/>
    <m/>
    <m/>
    <m/>
    <x v="1"/>
    <m/>
    <m/>
    <m/>
    <s v="YES"/>
    <m/>
    <m/>
    <s v="YES"/>
    <m/>
    <m/>
    <x v="1"/>
    <m/>
    <x v="1"/>
    <m/>
    <x v="0"/>
    <x v="3"/>
    <m/>
    <x v="2"/>
    <x v="2"/>
    <x v="2"/>
    <x v="5"/>
    <n v="0"/>
    <x v="1"/>
    <x v="1"/>
    <x v="1"/>
    <x v="1"/>
    <x v="1"/>
    <x v="1"/>
    <n v="4"/>
    <x v="3"/>
    <x v="1"/>
    <x v="1"/>
    <x v="1"/>
    <x v="4"/>
    <n v="3"/>
    <x v="3"/>
    <x v="3"/>
    <n v="10"/>
    <s v="National government"/>
    <s v="Local government(s)"/>
    <s v="University/research institution(s)"/>
    <x v="0"/>
    <s v="Dotación de nuevos conocimientos en GRD y gestión publica para la plana docente de universidades públicas y privadas. Para el diseño de políticas, el desarrollo de planes la obtención de recursos ppublicos mediante mecanismos existentes"/>
    <s v="El fortalecimiento de la sociedad civil fue uno de los objetivos explícitos dentro del proyecto/iniciativa, y llevó a cabo acciones de este tipo"/>
    <m/>
    <m/>
    <m/>
    <s v="El modelo de trabajo desarrollado, constituye un referente nacional para el proceso de desarrollo de capacidades en GRD ya que la preocupación no solo ha sido capacitar sino  formar, asesorar y acompañar  equipos de trabajo a los que se les ha s denominado núcleos de aprendizajeaprendizaje  y quienes han contado con un programa tutorial que ha involucrado a docentes  formadores de las universidades públicas y el seguimiento diferenciado que han desarrollado los docentes de la Universidad ESAN asignados  en cada región"/>
    <m/>
    <m/>
    <s v="Con relación al presupuesto, son  USD 486,607 provenientes de ECHO y USD 131,559 como contrapartida de CARE  Perú. Tipo de cambio  USD 1.1 = EUR 1_x000a_Los participantes directos del AF17 están compuestos por:_x000a_(i)  260 académicos (de cinco universidades públicas de la MRLA) , autoridades y  funcionarios (de gobiernos regionales y locales de MRLA) beneficiados a través de la formación brindada por el Diplomado en GRD de la Universidad ESAN._x000a_(ii) 550 participantes que aprobaron al menos uno de los cuatro cursos virtuales en GRD diseñados y ofrecidos por el CENEPRED en el marco del proyecto.  "/>
    <m/>
    <n v="810"/>
    <n v="0"/>
    <n v="0"/>
    <n v="0"/>
    <s v=""/>
    <n v="0"/>
    <n v="0"/>
    <s v=""/>
    <n v="0"/>
    <n v="0"/>
    <s v=""/>
    <n v="1"/>
    <n v="810"/>
    <n v="0"/>
    <n v="0"/>
    <s v=""/>
    <n v="0"/>
    <n v="0"/>
    <s v=""/>
    <s v=""/>
    <n v="0"/>
    <n v="0"/>
    <s v=""/>
    <n v="1"/>
    <n v="0"/>
    <n v="0"/>
    <s v=""/>
    <s v="0. Harmful"/>
    <s v="2. Accommodating"/>
    <s v="4. Transformative"/>
    <s v="It tested new ways for fighting poverty, but did not measure results of innovation"/>
    <s v="Moderate advocacy"/>
    <s v="It linked and worked with strategic alliances and partners to take tested and effective solutions to scale"/>
  </r>
  <r>
    <x v="59"/>
    <x v="4"/>
    <m/>
    <s v="Socialización de la experiencia desarrollada por las mujeres, a mujeres de comunidades aledañas."/>
    <s v="Peru"/>
    <s v="CNLDPE1006"/>
    <s v="CARE Nederland"/>
    <s v="Foundation"/>
    <s v="Other"/>
    <s v="H&amp;M Conscious Foundation"/>
    <m/>
    <m/>
    <m/>
    <m/>
    <m/>
    <m/>
    <m/>
    <m/>
    <m/>
    <m/>
    <m/>
    <m/>
    <m/>
    <m/>
    <m/>
    <m/>
    <m/>
    <m/>
    <m/>
    <m/>
    <m/>
    <m/>
    <m/>
    <m/>
    <m/>
    <m/>
    <m/>
    <m/>
    <m/>
    <m/>
    <m/>
    <m/>
    <m/>
    <m/>
    <m/>
    <m/>
    <m/>
    <m/>
    <m/>
    <m/>
    <m/>
    <m/>
    <m/>
    <m/>
    <m/>
    <d v="2016-12-31T00:00:00"/>
    <d v="2017-01-31T00:00:00"/>
    <m/>
    <s v="Development Access to and Control over Economic Resources"/>
    <n v="40900"/>
    <s v="Segundo Dávila Muñoz"/>
    <s v="Gerente de Programas"/>
    <s v="sdavila@care.org.pe"/>
    <s v="Marcia Barbis Quiñones"/>
    <s v="Jefa de proyecto"/>
    <s v="mbarbis@care.org.pe"/>
    <s v="NO"/>
    <s v="YES"/>
    <s v="NO"/>
    <s v="3,000 mujeres de las localidades de los departamentos de Piura, Junín, Huancavelica y Cusco sensibilizadas para iniciar emprendimientos económicos. 60 mujeres emprendedoras con capacidades para facilitar emprendimientos."/>
    <s v="Sub-National"/>
    <s v="País Perú: Región Piura (provincia de Morropón y Sullana; distrito de Chulucanas, Salitral, San Juan de Bigote y La Matanza), Región Junín (provincia de Tarma, Huancayo y Churcampa; distrito de Acobamba, el Tambo, Huancayo y San Miguel de Mayocc), Región Cusco (Provincia de la Convención; distrito de Santa Teresa)."/>
    <s v="Mujeres en edades entre 18 y 50 años"/>
    <n v="3000"/>
    <n v="0"/>
    <n v="3000"/>
    <n v="6000"/>
    <n v="6000"/>
    <n v="12000"/>
    <s v="Las participantes directas son aquellas mujeres a las que el proyecto pretende alcanzar con una estrategia de asociatividad, en las cuales se forman asociaciones de mujeres (aproximadamente 20 mujeres por asociación) con emprendimientos identificados, teniendo como meta final a 3,000 mujeres, de las cuales 60 son identificadas para capacitarlas como facilitadoras.  Con relación a los participantes indirectos, se consideró un promedio de 4 personas por familia."/>
    <m/>
    <m/>
    <m/>
    <m/>
    <m/>
    <m/>
    <m/>
    <m/>
    <m/>
    <m/>
    <m/>
    <m/>
    <m/>
    <m/>
    <m/>
    <m/>
    <m/>
    <m/>
    <m/>
    <m/>
    <m/>
    <m/>
    <m/>
    <m/>
    <m/>
    <m/>
    <m/>
    <m/>
    <m/>
    <m/>
    <m/>
    <m/>
    <m/>
    <m/>
    <m/>
    <m/>
    <m/>
    <m/>
    <m/>
    <m/>
    <m/>
    <m/>
    <m/>
    <m/>
    <m/>
    <m/>
    <m/>
    <m/>
    <m/>
    <m/>
    <m/>
    <m/>
    <m/>
    <m/>
    <m/>
    <m/>
    <m/>
    <m/>
    <m/>
    <m/>
    <n v="3071"/>
    <n v="0"/>
    <n v="3071"/>
    <n v="6142"/>
    <n v="6142"/>
    <n v="12284"/>
    <s v="NO"/>
    <m/>
    <m/>
    <m/>
    <s v="NO"/>
    <m/>
    <m/>
    <m/>
    <s v="NO"/>
    <m/>
    <m/>
    <m/>
    <s v="NO"/>
    <m/>
    <m/>
    <m/>
    <s v="NO"/>
    <m/>
    <m/>
    <m/>
    <s v="NO"/>
    <m/>
    <m/>
    <m/>
    <s v="NO"/>
    <m/>
    <m/>
    <m/>
    <s v="NO"/>
    <m/>
    <m/>
    <m/>
    <s v="NO"/>
    <m/>
    <m/>
    <m/>
    <s v="NO"/>
    <m/>
    <m/>
    <m/>
    <s v="NO"/>
    <m/>
    <m/>
    <m/>
    <s v="NO"/>
    <m/>
    <m/>
    <m/>
    <s v="NO"/>
    <m/>
    <m/>
    <m/>
    <s v="NO"/>
    <m/>
    <m/>
    <m/>
    <s v="NO"/>
    <m/>
    <m/>
    <m/>
    <s v="YES"/>
    <n v="3630"/>
    <n v="1"/>
    <n v="14520"/>
    <m/>
    <m/>
    <m/>
    <m/>
    <m/>
    <s v="NO"/>
    <m/>
    <m/>
    <s v="NO"/>
    <s v="NO"/>
    <m/>
    <m/>
    <s v="Se espera trabajar esta metodología de la réplica de la experiencia &quot;entre pares&quot; en una segunda fase del proyecto."/>
    <x v="0"/>
    <s v="NO"/>
    <s v="NO"/>
    <s v="YES"/>
    <s v="NO"/>
    <s v="NO"/>
    <s v="NO"/>
    <s v="NO"/>
    <s v="NO"/>
    <m/>
    <x v="1"/>
    <s v="Básicamente esta réplica recoje la estrategia innovadora de retransmitir la experiencia emprendedora entre pares, logrando en dos meses llegar a más de 3,000 mujeres nuevas motivadas para emprender, con sus líneas de negocio priorizadas y en su mayoría ya conformadas."/>
    <x v="0"/>
    <m/>
    <x v="1"/>
    <x v="0"/>
    <s v="YES"/>
    <x v="1"/>
    <x v="0"/>
    <x v="1"/>
    <x v="1"/>
    <n v="2"/>
    <x v="1"/>
    <x v="2"/>
    <x v="2"/>
    <x v="2"/>
    <x v="1"/>
    <x v="4"/>
    <n v="1"/>
    <x v="1"/>
    <x v="2"/>
    <x v="1"/>
    <x v="2"/>
    <x v="3"/>
    <n v="1"/>
    <x v="2"/>
    <x v="1"/>
    <m/>
    <m/>
    <m/>
    <m/>
    <x v="1"/>
    <m/>
    <m/>
    <s v="La estrategia de réplica de la experiencia entre pares (de mujer a mujer)"/>
    <s v="Fortalecer la autoconfianza de las mujeres emprendedoras líderes como facilitadoras"/>
    <m/>
    <s v="La principal lección y aprendizaje fue lograr fortalecer las habilidades de liderazgo de las mujeres participantes del proyecto convirtiéndose en facilitadoras capacitadas para motivar a más mujeres para que realicen nuevos emprendimientos."/>
    <s v="la estrategia de socialización de la experiencia entre pares fue muy posititva y tuvo excelentes resultados."/>
    <m/>
    <s v="Esta socialización de la experiencia es una iniciativa puntual que se desarrolló durante los tres primeros meses del año 2017."/>
    <s v="La información brindada se basa en la propuesta del documento de ampliación enviado al donante, así como el informe final."/>
    <n v="3071"/>
    <n v="12284"/>
    <n v="4"/>
    <n v="1"/>
    <n v="0.5"/>
    <n v="3071"/>
    <n v="6142"/>
    <s v=""/>
    <n v="0"/>
    <n v="0"/>
    <s v=""/>
    <s v=""/>
    <n v="0"/>
    <n v="0"/>
    <s v=""/>
    <s v=""/>
    <n v="0"/>
    <n v="0"/>
    <s v=""/>
    <s v=""/>
    <n v="0"/>
    <n v="0"/>
    <s v=""/>
    <n v="1"/>
    <n v="3630"/>
    <n v="14520"/>
    <n v="4"/>
    <s v="1. Neutral"/>
    <s v="1. Tokenistic"/>
    <s v="1. Neutral"/>
    <s v="It tested new ways for fighting poverty, but did not measure results of innovation"/>
    <s v="Little or no advocacy"/>
    <s v="It did not take tested solutions to scale"/>
  </r>
  <r>
    <x v="59"/>
    <x v="4"/>
    <m/>
    <s v="SOS Niño Costero"/>
    <s v="Peru"/>
    <s v="CNLDPE1011"/>
    <s v="CARE Nederland"/>
    <s v="Government"/>
    <s v="ECHO - European Commission for Humanitarian Aid and Civil Protection"/>
    <s v="ECHO"/>
    <m/>
    <m/>
    <m/>
    <m/>
    <m/>
    <m/>
    <m/>
    <m/>
    <m/>
    <m/>
    <m/>
    <m/>
    <m/>
    <m/>
    <m/>
    <m/>
    <m/>
    <m/>
    <m/>
    <m/>
    <m/>
    <m/>
    <m/>
    <m/>
    <m/>
    <m/>
    <m/>
    <m/>
    <m/>
    <m/>
    <m/>
    <m/>
    <m/>
    <m/>
    <m/>
    <m/>
    <m/>
    <m/>
    <m/>
    <m/>
    <m/>
    <m/>
    <m/>
    <m/>
    <m/>
    <d v="2017-03-20T00:00:00"/>
    <d v="2017-06-19T00:00:00"/>
    <m/>
    <s v="Humanitarian Other"/>
    <n v="295000"/>
    <s v="Lucy Harman"/>
    <s v="Gerente de GRD y Emergencias"/>
    <s v="lharman@care.org.pe"/>
    <s v="Segundo Dávila"/>
    <s v="Gerente de Programas"/>
    <s v="sdavila@care.org.pe"/>
    <s v="YES"/>
    <s v="NO"/>
    <s v="NO"/>
    <s v="Proporcionar kits de agua segura y artículos básicos de higiene y de protección de enfermedas transmitidas por vectores a familias damniificadas por el fenómeno Niño Costero en las zonas más afectadas de los departamentos de Tumbes y Piura."/>
    <s v="Sub-National"/>
    <s v="Departamento de Tumbes: Provincia de Zarumilla (Distritos de Aguas Verdes, Matapalo y Papaya), Provincia de Tumbes (Distritos de Tumbes, San Juan La Virgen, San Jacinto, Pampas de Hospital)_x000a__x000a_Departamento de Piura: Provincia de Pïura (Distritos: Piura, Catacaos, Cura Mori) Provincia de Morropón (Distritos de Morropón, Chulucanas)"/>
    <s v="1500 familias damnificadas por las lluvias e inundaciones ocasionadas por el fenómeno climatológico denominado Niño Costero que afectó el norte del Perú en marzo y abril del 2017."/>
    <n v="3825"/>
    <n v="3675"/>
    <n v="7500"/>
    <m/>
    <m/>
    <m/>
    <s v="Participantes directos: 1500 familias damnificadas por las lluvias e inundaciones ocasionadas por el fenómeno climatológico denominado Niño Costero que afectó el norte del Perú en marzo y abril del 2017. _x000a_Para la propuesta se estimo que el promedio de miembros por familia era de cinco (5) personas. Asimismo, según estadísticas oficiales el índice masculinidad total en Perú en 2017 es de 98.2 _x000a_ _x000a_Participantes indirectos: No se considera participantes indirectos en este proyecto."/>
    <m/>
    <n v="3290"/>
    <n v="3160"/>
    <n v="6450"/>
    <m/>
    <m/>
    <m/>
    <m/>
    <m/>
    <m/>
    <m/>
    <m/>
    <m/>
    <m/>
    <m/>
    <m/>
    <m/>
    <m/>
    <m/>
    <m/>
    <m/>
    <m/>
    <m/>
    <m/>
    <m/>
    <m/>
    <m/>
    <m/>
    <m/>
    <m/>
    <m/>
    <m/>
    <m/>
    <m/>
    <m/>
    <m/>
    <m/>
    <m/>
    <m/>
    <m/>
    <m/>
    <m/>
    <m/>
    <m/>
    <m/>
    <m/>
    <m/>
    <m/>
    <m/>
    <m/>
    <m/>
    <s v="YES"/>
    <n v="6450"/>
    <n v="0.51"/>
    <m/>
    <m/>
    <m/>
    <m/>
    <m/>
    <m/>
    <m/>
    <m/>
    <m/>
    <m/>
    <m/>
    <m/>
    <m/>
    <m/>
    <m/>
    <m/>
    <m/>
    <m/>
    <m/>
    <m/>
    <m/>
    <m/>
    <m/>
    <m/>
    <m/>
    <m/>
    <m/>
    <m/>
    <m/>
    <m/>
    <m/>
    <m/>
    <m/>
    <m/>
    <m/>
    <m/>
    <m/>
    <m/>
    <m/>
    <m/>
    <m/>
    <m/>
    <m/>
    <m/>
    <m/>
    <m/>
    <m/>
    <m/>
    <m/>
    <m/>
    <m/>
    <m/>
    <m/>
    <m/>
    <m/>
    <m/>
    <m/>
    <m/>
    <m/>
    <m/>
    <m/>
    <m/>
    <m/>
    <m/>
    <m/>
    <m/>
    <m/>
    <m/>
    <m/>
    <m/>
    <m/>
    <m/>
    <m/>
    <m/>
    <m/>
    <m/>
    <m/>
    <m/>
    <m/>
    <m/>
    <m/>
    <s v="NO"/>
    <m/>
    <m/>
    <s v="NO"/>
    <s v="NO"/>
    <m/>
    <m/>
    <m/>
    <x v="0"/>
    <m/>
    <m/>
    <m/>
    <m/>
    <m/>
    <m/>
    <m/>
    <m/>
    <m/>
    <x v="0"/>
    <m/>
    <x v="0"/>
    <m/>
    <x v="0"/>
    <x v="0"/>
    <s v="YES"/>
    <x v="0"/>
    <x v="1"/>
    <x v="0"/>
    <x v="1"/>
    <n v="3"/>
    <x v="1"/>
    <x v="1"/>
    <x v="2"/>
    <x v="1"/>
    <x v="1"/>
    <x v="1"/>
    <n v="3"/>
    <x v="1"/>
    <x v="1"/>
    <x v="2"/>
    <x v="2"/>
    <x v="3"/>
    <n v="1"/>
    <x v="2"/>
    <x v="1"/>
    <m/>
    <m/>
    <m/>
    <m/>
    <x v="1"/>
    <m/>
    <m/>
    <m/>
    <m/>
    <m/>
    <m/>
    <m/>
    <m/>
    <s v="El numero de participantes directos del año fiscal 2017 (sección #2) es un estimado sobre la base de una constatación que se realizó durante el proceso de distribución de kits: el numero promedio de miembros de familia en la zona afectada por el Niño Costero es de 4.3 personas y no de 5 como se habpia considerado en la propuesta.  en consecuancia, se realizó la entrega de los 1500 kits porgramaados pero se alcanzó una cobertura menor en términos poblacionales."/>
    <m/>
    <n v="6450"/>
    <n v="0"/>
    <n v="0"/>
    <n v="0.51007751937984491"/>
    <s v=""/>
    <n v="3290"/>
    <n v="0"/>
    <n v="1"/>
    <n v="6450"/>
    <n v="0"/>
    <n v="0"/>
    <s v=""/>
    <n v="0"/>
    <n v="0"/>
    <s v=""/>
    <s v=""/>
    <n v="0"/>
    <n v="0"/>
    <s v=""/>
    <s v=""/>
    <n v="0"/>
    <n v="0"/>
    <s v=""/>
    <s v=""/>
    <n v="0"/>
    <n v="0"/>
    <s v=""/>
    <s v="1. Neutral"/>
    <s v="2. Accommodating"/>
    <s v="1. Neutral"/>
    <s v="It did not develop any specific innovation"/>
    <s v="Little or no advocacy"/>
    <s v="It did not take tested solutions to scale"/>
  </r>
  <r>
    <x v="59"/>
    <x v="4"/>
    <n v="3251"/>
    <s v="Strengthening Indigenous Capacity in Conflict Resolution and Sustainable Resource Management in the Lot 76 Hydrocarbon Concession and Amarakaeri Communal Reserve in Madre de Dios Department, Peru"/>
    <s v="Peru"/>
    <s v="ACCAPE0001"/>
    <s v="CARE Peru"/>
    <s v="Government"/>
    <s v="Government - US"/>
    <s v="USAID"/>
    <m/>
    <m/>
    <m/>
    <m/>
    <m/>
    <m/>
    <m/>
    <m/>
    <m/>
    <m/>
    <m/>
    <m/>
    <m/>
    <m/>
    <m/>
    <m/>
    <m/>
    <m/>
    <m/>
    <m/>
    <m/>
    <m/>
    <m/>
    <m/>
    <m/>
    <m/>
    <m/>
    <m/>
    <m/>
    <m/>
    <m/>
    <m/>
    <m/>
    <m/>
    <m/>
    <m/>
    <m/>
    <m/>
    <m/>
    <m/>
    <m/>
    <m/>
    <m/>
    <m/>
    <m/>
    <d v="2014-09-08T00:00:00"/>
    <d v="2017-09-07T00:00:00"/>
    <m/>
    <s v="Development Food &amp; Nutrition Security and Resilience to Climate Change"/>
    <n v="1331190"/>
    <s v="Segundo Dávila Muñoz"/>
    <s v="Gerente de Programas"/>
    <s v="sdavila@care.org.pe"/>
    <s v="Elizabeth Chulla Villa"/>
    <s v="Especialista de Proyecto"/>
    <s v="echulla@care.org.pe"/>
    <s v="NO"/>
    <s v="YES"/>
    <s v="NO"/>
    <s v="Contribuir al manejo de los conflictos sociales en la Reserva Comunal Amarakaeri (Madre de Dios, Perú)"/>
    <s v="Sub-National"/>
    <s v="Diez comunidades nativas (Queros, San Miguel de Shintuya, Shipetiari, Diamante, Puerto Azul, Boca Isiriwe, Masenawa, San José del Karene, Puerto Luz y Barranco Chico) de la Reserva Comunal ECA-Amarakaeri,  distritos de Manu, Fitzcarrald, Madre de Dios y Huepetue en el Departamento de Madre de Dios."/>
    <s v="El proyecto está dirigido principalmente a trabajar con poblaciones indígenas de las etnias Harakbut, Yine y Machiguenga, así como funcionarios públicos de nivel nacional, regional y local. Los pueblos indígenas de la región mantienen una particular forma de manejar los conflictos, abordandolos de manera confrontativa, de igual manera los funcionarios públicos y representantes de industrias extractivas tienen una postura que trata de minimizar o invisibilizar los conflictos que persisten entre ellos y los pueblos indígenas de la región."/>
    <n v="332"/>
    <n v="575"/>
    <n v="907"/>
    <n v="501"/>
    <n v="548"/>
    <n v="1049"/>
    <s v="Los particpantes directos corresponden a: los representantes de las comunidades nativas involucardas directamente en la implementación del proyecto, funcionarios publicos capacitados de las municipalidades que se encuentran en el ámbito de influencia del proyecto (distritos de Manu, Fitzcarrald, Madre de Dios y Huepetue), representantes capacitados o participantes de espacios de dialogo de organizaciones indígenas (ECA Amarakaeri, FENAMAD, COHARYIMA) y representantes capacitados o particpantes de espacios de dialogo de la Jefatura de la Reserva Comunal Amarakaeri. Los participantes indirectos corresponden a: integrantes de las diez comunidades que participaron en reuniones informativas del proyecto (espacios de dialogo y réplicas del programa de capacitación de líderes), demas funcionarios de las municipalidades distritales involucradas en el ambito de influencia del proyecto y funcionarios publicos y privados que se han involucrado en los espacios de dialogo que el proyecto ha promovido."/>
    <m/>
    <m/>
    <m/>
    <m/>
    <m/>
    <m/>
    <m/>
    <m/>
    <m/>
    <m/>
    <m/>
    <m/>
    <m/>
    <m/>
    <m/>
    <m/>
    <m/>
    <m/>
    <m/>
    <m/>
    <m/>
    <m/>
    <m/>
    <m/>
    <m/>
    <m/>
    <m/>
    <m/>
    <m/>
    <m/>
    <m/>
    <m/>
    <m/>
    <m/>
    <m/>
    <m/>
    <m/>
    <m/>
    <m/>
    <m/>
    <m/>
    <m/>
    <m/>
    <m/>
    <m/>
    <m/>
    <m/>
    <m/>
    <m/>
    <m/>
    <m/>
    <m/>
    <m/>
    <m/>
    <m/>
    <m/>
    <m/>
    <m/>
    <m/>
    <m/>
    <n v="234"/>
    <n v="404"/>
    <n v="638"/>
    <n v="501"/>
    <n v="548"/>
    <n v="1049"/>
    <m/>
    <m/>
    <m/>
    <m/>
    <m/>
    <m/>
    <m/>
    <m/>
    <s v="YES"/>
    <n v="638"/>
    <n v="0.37"/>
    <n v="1049"/>
    <m/>
    <m/>
    <m/>
    <m/>
    <m/>
    <m/>
    <m/>
    <m/>
    <m/>
    <m/>
    <m/>
    <m/>
    <m/>
    <m/>
    <m/>
    <m/>
    <m/>
    <m/>
    <m/>
    <m/>
    <m/>
    <m/>
    <m/>
    <m/>
    <m/>
    <m/>
    <m/>
    <m/>
    <m/>
    <m/>
    <m/>
    <m/>
    <m/>
    <m/>
    <m/>
    <m/>
    <m/>
    <m/>
    <m/>
    <m/>
    <m/>
    <m/>
    <m/>
    <m/>
    <m/>
    <m/>
    <m/>
    <m/>
    <m/>
    <m/>
    <m/>
    <m/>
    <m/>
    <m/>
    <m/>
    <m/>
    <m/>
    <s v="NO"/>
    <m/>
    <m/>
    <s v="NO"/>
    <s v="NO"/>
    <m/>
    <m/>
    <s v="Nuestro socio en la implementación del proyecto, ACCA, esta realizando la evaluación final de los impactos del proyecto. El mismo que debe estar culminado en el mes de noviembre del presente año."/>
    <x v="1"/>
    <s v="NO"/>
    <s v="NO"/>
    <s v="YES"/>
    <s v="YES"/>
    <s v="NO"/>
    <s v="NO"/>
    <s v="NO"/>
    <m/>
    <m/>
    <x v="0"/>
    <m/>
    <x v="1"/>
    <s v="El proyecto ha implementado la estrategia P2P en dos espacios de dialogo (apertura de la carretera Nuevo Eden a Diamante y minería en el distrito de Camanti) consiguiendo hasta la fecha el dialogo directo entre comunidades y diferentes niveles de gobierno existentes (local, regional y nacional).  "/>
    <x v="0"/>
    <x v="0"/>
    <s v="NO"/>
    <x v="0"/>
    <x v="1"/>
    <x v="0"/>
    <x v="1"/>
    <n v="2"/>
    <x v="1"/>
    <x v="1"/>
    <x v="1"/>
    <x v="1"/>
    <x v="2"/>
    <x v="1"/>
    <n v="3"/>
    <x v="1"/>
    <x v="2"/>
    <x v="1"/>
    <x v="1"/>
    <x v="3"/>
    <n v="2"/>
    <x v="2"/>
    <x v="2"/>
    <n v="2"/>
    <s v="International NGO(s)"/>
    <s v="Grassroots organization(s)"/>
    <s v="Grassroots organization(s)"/>
    <x v="0"/>
    <s v="Desarrollo de capacidades en líderes indígenas de las comunidades del ámbito de influencia del proyecto."/>
    <s v="No se hicieron cambios ni ajustes al proyecto durante el presente año fiscal."/>
    <s v="Elaboración participativa del programa de capacitación de líderes indígenas con las comunidades que conforman el ECA Amarakaeri."/>
    <s v="Para la implementación de la metodología P2P se crearon los espacios de dialogo carretera y mineria, facilitando el flujo de información entre los diferentes actores, usuarios de los recursos naturales y entidades competentes."/>
    <m/>
    <s v="Las actividades que involucran capacitar a diferentes actores deben ser construídos de manera conjunta con los beneficiarios, lo cual asegura el interes y participación de los mismos."/>
    <s v="Entender los procedimientos de toma de decisión al interior de las organizaciones indígenas, es vital para el desarrollo de las actividades del proyecto."/>
    <m/>
    <s v="Este año habrá cambio de junta directiva del ECA Amarakaeri, lo cual genera cierta incertidumbre en la continuidad de los procesos ya iniciados con los proyectos.  "/>
    <s v="Informe de intervención de CARE Perú en el proyecto, versión final que estará disponible a finales de setiembre del 2017."/>
    <n v="638"/>
    <n v="1049"/>
    <n v="1.6442006269592477"/>
    <n v="0.36677115987460818"/>
    <n v="0.47759771210676832"/>
    <n v="234"/>
    <n v="501"/>
    <s v=""/>
    <n v="0"/>
    <n v="0"/>
    <s v=""/>
    <s v=""/>
    <n v="0"/>
    <n v="0"/>
    <s v=""/>
    <s v=""/>
    <n v="0"/>
    <n v="0"/>
    <s v=""/>
    <s v=""/>
    <n v="0"/>
    <n v="0"/>
    <s v=""/>
    <s v=""/>
    <n v="0"/>
    <n v="0"/>
    <s v=""/>
    <s v="1. Neutral"/>
    <s v="2. Accommodating"/>
    <s v="1. Neutral"/>
    <s v="It did not develop any specific innovation"/>
    <s v="Moderate advocacy"/>
    <s v="It linked and worked with strategic alliances and partners to take tested and effective solutions to scale"/>
  </r>
  <r>
    <x v="59"/>
    <x v="4"/>
    <n v="3256"/>
    <s v="Sustainable Management of Water Resources and Adaptation of Climate Change in the Sub-River Basins of Shullcas Peru - II"/>
    <s v="Peru"/>
    <s v="CDEUPE004"/>
    <s v="CARE Deutschland-Luxemburg"/>
    <s v="Corporation"/>
    <s v="Other"/>
    <s v="Knorr- Bremese Global"/>
    <m/>
    <m/>
    <m/>
    <m/>
    <m/>
    <m/>
    <m/>
    <m/>
    <m/>
    <m/>
    <m/>
    <m/>
    <m/>
    <m/>
    <m/>
    <m/>
    <m/>
    <m/>
    <m/>
    <m/>
    <m/>
    <m/>
    <m/>
    <m/>
    <m/>
    <m/>
    <m/>
    <m/>
    <m/>
    <m/>
    <m/>
    <m/>
    <m/>
    <m/>
    <m/>
    <m/>
    <m/>
    <m/>
    <m/>
    <m/>
    <m/>
    <m/>
    <m/>
    <m/>
    <m/>
    <d v="2015-12-01T00:00:00"/>
    <d v="2017-05-01T00:00:00"/>
    <m/>
    <s v="Development Food &amp; Nutrition Security and Resilience to Climate Change"/>
    <n v="157500.00200000001"/>
    <s v="Odon Zelarayan Muñoz"/>
    <s v="Responsable del proyecto"/>
    <s v="ozelarayan@care.org.pe"/>
    <s v="Segundo Davila Muñoz"/>
    <s v="Gerente de programas"/>
    <s v="sdavila@care.org.pe"/>
    <s v="YES"/>
    <s v="YES"/>
    <s v="YES"/>
    <s v="Gestion eficiente del agua para uso agricoola y poblacional en un contexto de cambio climatico para la reduccion de la pobreza vulnerabilidad y seguridad alimentaria"/>
    <s v="Sub-National"/>
    <s v="Region Junin, provincias de concepcion y huancayo"/>
    <s v="Población agricola y ganadera en situación de pobreza en ámbito rural, La introducción de cultivos nativos en las comunidades del proyecto de menor requerimiento hídrico, más resistentes a las nuevas condiciones climáticas y de valor nutricional.  "/>
    <n v="2744"/>
    <n v="2547"/>
    <n v="5291"/>
    <n v="8232"/>
    <n v="7641"/>
    <n v="15873"/>
    <s v="Los  participantes  del proyecto: Directos:  Productores que han recibido capacitaciones y asitencia tecnica en el manejo de cultivos de papa, quinua, mashua y tarwi, ademas son las familias que han implementado los sistemas de riego. Indirectos: Productores miembros de las 05 comunidades que pertencean a la ACR- Huayatapalla y la poblacion urbana de Huancayo que se beneficia de los recursos hidricos generados en laz zonas altas."/>
    <m/>
    <m/>
    <m/>
    <m/>
    <m/>
    <m/>
    <m/>
    <m/>
    <m/>
    <m/>
    <m/>
    <m/>
    <m/>
    <m/>
    <m/>
    <m/>
    <m/>
    <m/>
    <m/>
    <m/>
    <m/>
    <m/>
    <m/>
    <m/>
    <m/>
    <m/>
    <m/>
    <m/>
    <m/>
    <m/>
    <m/>
    <m/>
    <m/>
    <m/>
    <m/>
    <m/>
    <m/>
    <m/>
    <m/>
    <m/>
    <m/>
    <m/>
    <m/>
    <m/>
    <m/>
    <m/>
    <m/>
    <s v="YES"/>
    <m/>
    <m/>
    <m/>
    <s v="YES"/>
    <m/>
    <m/>
    <m/>
    <m/>
    <m/>
    <m/>
    <m/>
    <m/>
    <n v="2744"/>
    <n v="2547"/>
    <n v="5291"/>
    <n v="8232"/>
    <n v="7641"/>
    <n v="15873"/>
    <s v="YES"/>
    <n v="427"/>
    <n v="0.52"/>
    <n v="427"/>
    <s v="YES"/>
    <n v="427"/>
    <n v="0.52"/>
    <n v="427"/>
    <m/>
    <m/>
    <m/>
    <n v="0"/>
    <s v="YES"/>
    <n v="427"/>
    <n v="0.52"/>
    <n v="427"/>
    <s v="YES"/>
    <n v="427"/>
    <n v="0.52"/>
    <n v="427"/>
    <m/>
    <m/>
    <m/>
    <n v="0"/>
    <m/>
    <m/>
    <m/>
    <n v="0"/>
    <m/>
    <m/>
    <m/>
    <n v="0"/>
    <m/>
    <m/>
    <m/>
    <n v="0"/>
    <m/>
    <m/>
    <m/>
    <n v="0"/>
    <s v="YES"/>
    <n v="60"/>
    <n v="0.52"/>
    <n v="60"/>
    <s v="YES"/>
    <n v="427"/>
    <n v="0.52"/>
    <n v="427"/>
    <m/>
    <m/>
    <m/>
    <n v="0"/>
    <m/>
    <m/>
    <m/>
    <n v="0"/>
    <m/>
    <m/>
    <m/>
    <n v="0"/>
    <m/>
    <m/>
    <m/>
    <n v="0"/>
    <s v="Mecanismo de retribucion por servicios ecosistemicos MERSE"/>
    <s v="YES"/>
    <n v="4864"/>
    <n v="0.52"/>
    <n v="4864"/>
    <s v="NO"/>
    <m/>
    <m/>
    <s v="NO"/>
    <s v="NO"/>
    <m/>
    <m/>
    <m/>
    <x v="1"/>
    <s v="YES"/>
    <m/>
    <s v="YES"/>
    <s v="YES"/>
    <s v="YES"/>
    <m/>
    <s v="YES"/>
    <m/>
    <m/>
    <x v="1"/>
    <s v="La asociatividad de productores de cultivos andinos con la finalidad de agregar la oferta y obtenr la capacidad de negociacion con volumenes del producto considerable."/>
    <x v="1"/>
    <s v="La articulacion con el gobierno y la empresa operadora  de los servicios de agua potable de Huancayo a permitido la aprobacion de los fondos para la implementacion de los Mecanismos de Retribucion por Sercicios Ecosistemico MRSE."/>
    <x v="1"/>
    <x v="0"/>
    <s v="YES"/>
    <x v="0"/>
    <x v="0"/>
    <x v="0"/>
    <x v="0"/>
    <n v="4"/>
    <x v="1"/>
    <x v="1"/>
    <x v="1"/>
    <x v="1"/>
    <x v="1"/>
    <x v="1"/>
    <n v="4"/>
    <x v="1"/>
    <x v="1"/>
    <x v="1"/>
    <x v="1"/>
    <x v="1"/>
    <n v="3"/>
    <x v="3"/>
    <x v="1"/>
    <m/>
    <m/>
    <m/>
    <m/>
    <x v="0"/>
    <s v="Se han desarrollado eventos de capacitacion en organizacon y gestion adminstrativo de los comites de regantes  de la margen derecha de la Sub cuenca de rio shullcas."/>
    <s v="con el proyecto se ha buscado, ampliar las metas como en el caso de las Ha de terrenos  con riengo, donde se han incorporado en un 32.50% mas de lo planificado, esto se ha ogrado con la participacion y cofinanciamiento con los beneficiarios de la comunidad y del sistema de riego."/>
    <s v="Las familias locales requieren ser capacitados en lo que significa vivir en una zona protegida, se requiere generar conciencia de protección al ambiente, más específicamente en la gestión del agua en un contexto de clima cambiante, para mejorar su estado nutricional y sus fuentes de ingreso se han elaborado un plan de gestion integrada en la comunidad orientado a un manejo de pastos naturales y produccion de cultivos andinos."/>
    <s v="El establecimiento de alianzas entre comunidades y autoridades pertinentes para promover el desarrollo de estudios científicos que validen las medidas de adaptación para mayor captación de agua implementadas en el Shullcas. Estos resultados son la mejor herramienta para el escalamiento y réplica en otras regiones, otras comunidades y con autoridades para multiplicar los logros del proyecto."/>
    <m/>
    <s v="El modelo aplicado, ha constituido una evidencia replicable, el MRSE constituye un modelo que permite que se pueda implementar en otras cuencas a nivel nacional. Para ello Care posee además metodologías que permite a la población, por un lado, identificar los grados de vulnerabilidad, y por otro, implementar acciones de adaptación. Esta evidencia se respalda a través de las investigaciones científicas que buscan validar las contribuciones de las prácticas y medidas de adaptación que se han desarrollado en relación a la conservación del ecosistema"/>
    <s v="La experiencia de Huancayo ha enseñado la importancia de insertar en los proyectos de MRSE un componente de monitoreo que permita determinar cuánto es la ganancia hídrica que se va a tener y también de alguna manera monitorear cómo el proyecto va ir construyendo en su implementación año tras año. La responsabilidad de este monitoreo recae en buena medida de la la Plataforma de Buena Gobernanza y del sistema de monitoreo que será instalado en el proyecto. Otra lección ha sido el uso de la normativa nacional en relación a los MRSE, pues a partir de éstas se pudo viabilizar los insumos necesarios como el DHR que identifica el servicio ecosistémico prioritario, el perfil de proyecto (bajo las consideraciones SNIP), así como tener definido quién sería el Retribuyente dentro del MRSE."/>
    <s v="La experiencia de las organizaciones de sociedad civil como Care en la zona ayudó a que se establezcan un tipo de relación positiva, y se aprovechen como puentes de diálogo y de interacción. Care facilitó a SUNASS su participación en la comunidad de Acopalca para la presentación del proyecto y resolución de dudas, con la finalidad que ésta no sienta el proyecto como imposición en la comunidad"/>
    <s v="Ha resultado de esta experiencia la implementación de un modelo basado en la asociación entre lo rural y lo urbano, a través de un Acuerdo entre la comunidad de Acopalca y el Estado, representado por la Empresa de Servicios e Agua y Alcantarillado Municipal SEDAM Huancayo. Esta asociación conecta lo rural con lo urbano, permitiendo que la ciudad conozca y reconozca el servicio hídrico que se obtiene y se asegura de la parte alta, y que la gente de la parte alta conozca la retribución que se obtiene de la parte baja o, en este caso, la ciudad"/>
    <m/>
    <n v="5291"/>
    <n v="15873"/>
    <n v="3"/>
    <n v="0.51861651861651858"/>
    <n v="0.51861651861651858"/>
    <n v="2744"/>
    <n v="8232"/>
    <n v="1"/>
    <n v="0"/>
    <n v="0"/>
    <s v=""/>
    <n v="1"/>
    <n v="427"/>
    <n v="427"/>
    <n v="1"/>
    <s v=""/>
    <n v="0"/>
    <n v="0"/>
    <s v=""/>
    <s v=""/>
    <n v="0"/>
    <n v="0"/>
    <s v=""/>
    <n v="1"/>
    <n v="222.04000000000002"/>
    <n v="222.04000000000002"/>
    <n v="1"/>
    <s v="2. Sensitive"/>
    <s v="2. Accommodating"/>
    <s v="2. Sensitive"/>
    <s v="It tested new ways for fighting poverty, but did not measure results of innovation"/>
    <s v="Moderate advocacy"/>
    <s v="It linked and worked with strategic alliances and partners to take tested and effective solutions to scale"/>
  </r>
  <r>
    <x v="59"/>
    <x v="4"/>
    <m/>
    <s v="The Role of Andean Indigenous Crops in Climate Adaptation and Food Security in the Mantaro Valley of Central Perú"/>
    <s v="Peru"/>
    <s v="CUSAPE0009"/>
    <s v="CARE Peru"/>
    <s v="Other"/>
    <s v="Other"/>
    <s v="Impact through Innovations Fund (IIF)"/>
    <m/>
    <s v="CARE USA"/>
    <m/>
    <m/>
    <m/>
    <m/>
    <m/>
    <m/>
    <m/>
    <m/>
    <m/>
    <m/>
    <m/>
    <m/>
    <m/>
    <m/>
    <m/>
    <m/>
    <m/>
    <m/>
    <m/>
    <m/>
    <m/>
    <m/>
    <m/>
    <m/>
    <m/>
    <m/>
    <m/>
    <m/>
    <m/>
    <m/>
    <m/>
    <m/>
    <m/>
    <m/>
    <m/>
    <m/>
    <m/>
    <m/>
    <m/>
    <m/>
    <m/>
    <m/>
    <m/>
    <d v="2015-06-01T00:00:00"/>
    <d v="2017-03-31T00:00:00"/>
    <m/>
    <s v="Development Food &amp; Nutrition Security and Resilience to Climate Change"/>
    <n v="50400"/>
    <s v="Walter Vilchez Dávila"/>
    <s v="Gerente del Programa de Nutrición y Seguridad Alimentaria"/>
    <s v="wvilchez@care.org.pe"/>
    <s v="Segundo Dávila Muñoz"/>
    <s v="Gerente de Programas"/>
    <s v="sdavila@care.org.pe"/>
    <s v="NO"/>
    <s v="YES"/>
    <s v="NO"/>
    <s v="Determinar el rol que cumple los cultivos andinos en la mejora de la seguridad alimentaria y las respuestas de adaptación al cambio climático en el valle del río Mantaro, en el departamento de Junín."/>
    <s v="Sub-National"/>
    <s v="Perú / Junín / Huancayo"/>
    <s v="1,322 personas pertenecientes a las comunidades de Acopalca, Chamiseria, Vilcacoto, Cochas Grande, Cochas Chico y Cullpa Alta."/>
    <n v="695"/>
    <n v="627"/>
    <n v="1322"/>
    <m/>
    <m/>
    <m/>
    <s v="Participantes directos: Se realizó el censo local para determinar la población total de las comunidades del estudio._x000a_Participantes indirectos:No se considera al tratarse de un estudio"/>
    <m/>
    <m/>
    <m/>
    <m/>
    <m/>
    <m/>
    <m/>
    <m/>
    <m/>
    <m/>
    <m/>
    <m/>
    <m/>
    <m/>
    <m/>
    <m/>
    <m/>
    <m/>
    <m/>
    <m/>
    <m/>
    <m/>
    <m/>
    <m/>
    <m/>
    <m/>
    <m/>
    <m/>
    <m/>
    <m/>
    <m/>
    <m/>
    <m/>
    <m/>
    <m/>
    <m/>
    <m/>
    <m/>
    <m/>
    <m/>
    <m/>
    <m/>
    <m/>
    <m/>
    <m/>
    <m/>
    <m/>
    <m/>
    <m/>
    <m/>
    <m/>
    <m/>
    <m/>
    <m/>
    <m/>
    <m/>
    <m/>
    <m/>
    <m/>
    <m/>
    <n v="695"/>
    <n v="627"/>
    <n v="1322"/>
    <m/>
    <m/>
    <m/>
    <m/>
    <m/>
    <m/>
    <m/>
    <m/>
    <m/>
    <m/>
    <m/>
    <m/>
    <m/>
    <m/>
    <m/>
    <m/>
    <m/>
    <m/>
    <m/>
    <m/>
    <m/>
    <m/>
    <m/>
    <m/>
    <m/>
    <m/>
    <m/>
    <s v="YES"/>
    <n v="1322"/>
    <n v="0.52600000000000002"/>
    <m/>
    <m/>
    <m/>
    <m/>
    <m/>
    <m/>
    <m/>
    <m/>
    <m/>
    <m/>
    <m/>
    <m/>
    <m/>
    <m/>
    <m/>
    <m/>
    <m/>
    <m/>
    <m/>
    <m/>
    <m/>
    <m/>
    <m/>
    <m/>
    <m/>
    <m/>
    <m/>
    <m/>
    <m/>
    <m/>
    <m/>
    <m/>
    <m/>
    <m/>
    <m/>
    <m/>
    <m/>
    <m/>
    <m/>
    <m/>
    <m/>
    <m/>
    <s v="NO"/>
    <m/>
    <m/>
    <s v="NO"/>
    <s v="NO"/>
    <m/>
    <m/>
    <m/>
    <x v="0"/>
    <s v="NO"/>
    <s v="NO"/>
    <s v="NO"/>
    <s v="NO"/>
    <s v="NO"/>
    <s v="NO"/>
    <s v="NO"/>
    <s v="NO"/>
    <m/>
    <x v="1"/>
    <s v="Se desarrolla instrumentos para identificar las relaciones y evaluar las vías que unen la agricultura con la nutrición. Asimismo, evaluar los factores que influyen en la percepción de los agricultores sobre el cambio climático y su adopción de las respuestas adaptativas."/>
    <x v="0"/>
    <s v="Se destaca la importancia de la gestión articulada intersectorial de salud, agricultura y empleo porque tienen mayor potencial para mejorar los ingresos de las familias."/>
    <x v="0"/>
    <x v="0"/>
    <s v="YES"/>
    <x v="0"/>
    <x v="0"/>
    <x v="1"/>
    <x v="1"/>
    <n v="3"/>
    <x v="1"/>
    <x v="1"/>
    <x v="1"/>
    <x v="1"/>
    <x v="1"/>
    <x v="1"/>
    <n v="4"/>
    <x v="3"/>
    <x v="1"/>
    <x v="1"/>
    <x v="1"/>
    <x v="4"/>
    <n v="3"/>
    <x v="3"/>
    <x v="3"/>
    <n v="5"/>
    <s v="Local government(s)"/>
    <s v="Grassroots organization(s)"/>
    <s v="University/research institution(s)"/>
    <x v="2"/>
    <s v="Se presento el plan de trabajo, los instrumentos y resultados del estudio a los actores de las organizaciones sociales, universidad, salud, agricultura y autoridades locales para el análisis y reflexión de las conclusiones y recomendaciones."/>
    <s v="Se incorpora las observaciones de los vínculos directos entre la producción de alimentos y la calidad de la dieta en el diseño e implementación de intervenciones agrícolas sensibles a la nutrición, así como se reconoce las limitaciones que enfrentan para la producción agrícola rentable y la adaptación al cambio climático en los procesos de incidencia política realizada por el programa de nutrición y seguridad alimentaria."/>
    <s v="El trabajo conjunto con la Universidad Peruana Los Andes, entidad académica local, facilita el proceso de validación de instrumentos y recolección de información porque conocen el contexto local."/>
    <s v="El planteamiento del objetivo del estudio por CARE es importante para la utilidad de los resultados porque responde a las necesidades de la población y del programa."/>
    <s v="La promoción de la diversificación de la producción agrícola puede reducir la vulnerabilidad climática del hogar al diluir el riesgo entre un mayor numero de productos."/>
    <s v="La diversidad alimentaria aumenta con la diversidad de la producción de los hogares con y sin ventas de cultivos, lo que pone de relieve la importancia general de la vía directa de producción-consumo."/>
    <s v="La asociación entre la diversidad productiva y alimentaria es especialmente fuerte para los hogares más pobres, que tienen menos capacidad de comprar alimentos en el mercado."/>
    <s v="Las intervenciones no agrícolas también serán importantes para asegurar la seguridad alimentaria y las mejoras nutricionales para los hogares con una superficie cultivable limitada."/>
    <s v="El cambio climáticoi representa una amenza a la agricultura, medios de vida y seguridad alimetaria a la población del valle del Río Mantaro y la sub cuenca del río Shullcas en la sierra central del Perú, donde los hogares dependen de la lluvia y el deshielo de los glaciares para la irrigación de sus capos de cultivo y para el agua potable. Esta investgación examinó el rol de cultivos andinos en la mejrolora de la seguridad alimetaria y adaptación al cambio climático entre los hogares rurales pobres. Mediante una encuesta integrada de producción, consumo y nutrición, esta investigación vinculo indicadores y resultados de vulnerabilidad al clima, consumo de alimentos, diversidad de la dieta, seguridad alimentaria, estado nutricional y roles de genero. Se espera que los hallazgos de la investigación mejoren la comprensión del multidimensional de una agrodiversidad local única sean aplicados en la programación para la adaptación al cmabio climático y el alivio a la pobreza.      "/>
    <s v="Informes de proyecto."/>
    <n v="1322"/>
    <n v="0"/>
    <n v="0"/>
    <n v="0.52571860816944027"/>
    <s v=""/>
    <n v="695"/>
    <n v="0"/>
    <s v=""/>
    <n v="0"/>
    <n v="0"/>
    <s v=""/>
    <n v="1"/>
    <n v="1322"/>
    <n v="0"/>
    <n v="0"/>
    <s v=""/>
    <n v="0"/>
    <n v="0"/>
    <s v=""/>
    <s v=""/>
    <n v="0"/>
    <n v="0"/>
    <s v=""/>
    <s v=""/>
    <n v="0"/>
    <n v="0"/>
    <s v=""/>
    <s v="1. Neutral"/>
    <s v="2. Accommodating"/>
    <s v="4. Transformative"/>
    <s v="It tested new ways for fighting poverty, but did not measure results of innovation"/>
    <s v="Little or no advocacy"/>
    <s v="It did not take tested solutions to scale"/>
  </r>
  <r>
    <x v="59"/>
    <x v="4"/>
    <m/>
    <s v="WASH &amp; NFIs INTERVENTIONS IN RESPONSE TO THE FLOODING IN PIURA"/>
    <s v="Peru"/>
    <s v="OFDAPE0006"/>
    <s v="No CARE member related to the project/initiative"/>
    <s v="Government"/>
    <s v="Government - US"/>
    <s v="OFDA"/>
    <s v="OFDAPE0007"/>
    <s v="No CARE member related to the project/initiative"/>
    <s v="Government"/>
    <s v="Government - US"/>
    <s v="OFDA"/>
    <m/>
    <m/>
    <m/>
    <m/>
    <m/>
    <m/>
    <m/>
    <m/>
    <m/>
    <m/>
    <m/>
    <m/>
    <m/>
    <m/>
    <m/>
    <m/>
    <m/>
    <m/>
    <m/>
    <m/>
    <m/>
    <m/>
    <m/>
    <m/>
    <m/>
    <m/>
    <m/>
    <m/>
    <m/>
    <m/>
    <m/>
    <m/>
    <m/>
    <m/>
    <m/>
    <m/>
    <m/>
    <m/>
    <m/>
    <m/>
    <d v="2017-03-24T00:00:00"/>
    <d v="2017-06-24T00:00:00"/>
    <m/>
    <s v="Humanitarian Other"/>
    <n v="150000"/>
    <s v="Lucy Harman"/>
    <s v="Gerente de GRD y Emergencias"/>
    <s v="lharman@care.org.pe"/>
    <s v="Segundo Dávila"/>
    <s v="Gerente de Programas"/>
    <s v="sdavila@care.org.pe"/>
    <s v="YES"/>
    <s v="YES"/>
    <s v="YES"/>
    <s v="Proporcionar kits de agua segura, artículos básicos de higiene e insumos no alimentarios (mosquiteros) a familias damniificadas por el fenómeno Niño Costero en las zonas más afectadas del departamento de Piura._x000a_Además, proveer de equipamiento esencial al Instituto Nacional de Defensa Civil - INDECI para la atención de la población impactada por la emergencia."/>
    <s v="Sub-National"/>
    <s v="Departamento de Piura. Provincia de Piura (distritos: Piura, Castilla, 26 de octubre). Provincia de Morropón (distritos: Chulucanas, Morropón)"/>
    <s v="2500 familias damnificadas por las lluvias e inundaciones ocasionadas por el fenómeno climatológico denominado Niño Costero que afectó el norte del Perú en marzo y abril del 2017."/>
    <n v="6375"/>
    <n v="6125"/>
    <n v="12500"/>
    <m/>
    <m/>
    <m/>
    <s v="Participantes directos: 2500 familias damnificadas por las lluvias e inundaciones ocasionadas por el fenómeno climatológico denominado Niño Costero que afectó el norte del Perú en marzo y abril del 2017._x000a_Para la propuesta se estimo que el promedio de miembros por familia era de cinco (5) personas, sin embargo durante la ejecución del proyecto se ha determinado un promedio de 4.3 personas por familia. Asimismo, según estadísticas oficiales el índice masculinidad total en Perú en 2017 es de 98.2_x000a_Participantes indirectos: No se considera participantes indirectos en este proyecto."/>
    <m/>
    <n v="1097"/>
    <n v="1053"/>
    <n v="2150"/>
    <m/>
    <m/>
    <m/>
    <m/>
    <m/>
    <m/>
    <m/>
    <m/>
    <m/>
    <m/>
    <m/>
    <m/>
    <m/>
    <m/>
    <m/>
    <m/>
    <m/>
    <m/>
    <m/>
    <m/>
    <m/>
    <m/>
    <m/>
    <m/>
    <m/>
    <m/>
    <m/>
    <m/>
    <m/>
    <m/>
    <m/>
    <m/>
    <m/>
    <m/>
    <m/>
    <m/>
    <m/>
    <m/>
    <m/>
    <m/>
    <m/>
    <m/>
    <m/>
    <m/>
    <m/>
    <m/>
    <m/>
    <s v="YES"/>
    <n v="2150"/>
    <n v="0.51"/>
    <m/>
    <m/>
    <m/>
    <m/>
    <m/>
    <m/>
    <m/>
    <m/>
    <m/>
    <m/>
    <m/>
    <m/>
    <m/>
    <m/>
    <m/>
    <m/>
    <m/>
    <m/>
    <m/>
    <m/>
    <m/>
    <m/>
    <m/>
    <m/>
    <m/>
    <m/>
    <m/>
    <m/>
    <m/>
    <m/>
    <m/>
    <m/>
    <s v="YES"/>
    <m/>
    <m/>
    <m/>
    <m/>
    <m/>
    <m/>
    <m/>
    <m/>
    <m/>
    <m/>
    <m/>
    <m/>
    <m/>
    <m/>
    <m/>
    <m/>
    <m/>
    <m/>
    <m/>
    <m/>
    <m/>
    <m/>
    <m/>
    <m/>
    <m/>
    <m/>
    <m/>
    <m/>
    <m/>
    <m/>
    <m/>
    <m/>
    <m/>
    <m/>
    <m/>
    <m/>
    <m/>
    <m/>
    <m/>
    <s v="YES"/>
    <m/>
    <m/>
    <m/>
    <m/>
    <m/>
    <m/>
    <m/>
    <m/>
    <s v="NO"/>
    <m/>
    <m/>
    <s v="NO"/>
    <s v="NO"/>
    <m/>
    <m/>
    <m/>
    <x v="0"/>
    <m/>
    <m/>
    <m/>
    <m/>
    <m/>
    <m/>
    <m/>
    <m/>
    <m/>
    <x v="0"/>
    <m/>
    <x v="0"/>
    <m/>
    <x v="0"/>
    <x v="0"/>
    <s v="YES"/>
    <x v="0"/>
    <x v="1"/>
    <x v="0"/>
    <x v="1"/>
    <n v="3"/>
    <x v="1"/>
    <x v="1"/>
    <x v="2"/>
    <x v="1"/>
    <x v="1"/>
    <x v="1"/>
    <n v="3"/>
    <x v="1"/>
    <x v="1"/>
    <x v="2"/>
    <x v="2"/>
    <x v="3"/>
    <n v="1"/>
    <x v="2"/>
    <x v="1"/>
    <m/>
    <m/>
    <m/>
    <m/>
    <x v="1"/>
    <m/>
    <m/>
    <m/>
    <m/>
    <m/>
    <m/>
    <m/>
    <m/>
    <m/>
    <m/>
    <n v="2150"/>
    <n v="0"/>
    <n v="0"/>
    <n v="0.51023255813953483"/>
    <s v=""/>
    <n v="1097"/>
    <n v="0"/>
    <n v="1"/>
    <n v="2150"/>
    <n v="0"/>
    <n v="0"/>
    <s v=""/>
    <n v="0"/>
    <n v="0"/>
    <s v=""/>
    <s v=""/>
    <n v="0"/>
    <n v="0"/>
    <s v=""/>
    <s v=""/>
    <n v="0"/>
    <n v="0"/>
    <s v=""/>
    <n v="1"/>
    <n v="0"/>
    <n v="0"/>
    <s v=""/>
    <s v="1. Neutral"/>
    <s v="2. Accommodating"/>
    <s v="1. Neutral"/>
    <s v="It did not develop any specific innovation"/>
    <s v="Little or no advocacy"/>
    <s v="It did not take tested solutions to scale"/>
  </r>
  <r>
    <x v="59"/>
    <x v="4"/>
    <n v="3267"/>
    <s v="YACHAY WASI MUNASQANCHIK LA ESCUELA QUE QUEREMOS"/>
    <s v="Peru"/>
    <s v="CUSAPE0013"/>
    <s v="CARE USA"/>
    <s v="Foundation"/>
    <s v="Other"/>
    <s v="Tides Foundation"/>
    <m/>
    <m/>
    <m/>
    <m/>
    <m/>
    <m/>
    <m/>
    <m/>
    <m/>
    <m/>
    <m/>
    <m/>
    <m/>
    <m/>
    <m/>
    <m/>
    <m/>
    <m/>
    <m/>
    <m/>
    <m/>
    <m/>
    <m/>
    <m/>
    <m/>
    <m/>
    <m/>
    <m/>
    <m/>
    <m/>
    <m/>
    <m/>
    <m/>
    <m/>
    <m/>
    <m/>
    <m/>
    <m/>
    <m/>
    <m/>
    <m/>
    <m/>
    <m/>
    <m/>
    <m/>
    <d v="2017-04-01T00:00:00"/>
    <d v="2017-08-31T00:00:00"/>
    <m/>
    <s v="Development Other"/>
    <n v="27131"/>
    <s v="Marina Figueroa Diaz"/>
    <s v="Responsable de proyecto en Puno"/>
    <s v="mfigueroa@care.org.pe"/>
    <s v="Segundo Davila Muñoz"/>
    <s v="Gerente de programas"/>
    <s v="sdavila@care.org.pe"/>
    <s v="YES"/>
    <s v="YES"/>
    <s v="YES"/>
    <s v="Contribuir al desarrollo de la educación secundaria en colegios de variante técnica del medio rural en la región."/>
    <s v="Sub-National"/>
    <s v="Pais: Perú, Departamento Puno, Provincias de Azángaro y San Román"/>
    <s v="Adolescentes y jovenes de colegios de educacion secundaria técnica."/>
    <n v="238"/>
    <n v="263"/>
    <n v="501"/>
    <n v="160"/>
    <n v="175"/>
    <n v="335"/>
    <s v="Los participantes son estudiantes adolescentes jovenes mujeres y hombres de 3 colegios de educación secundaria rural y un colegio urbano, incluyendo docentes mujeres y varones de los centros educativos mencionados, fueron calculados según la nomina de matriculas existentes en los colegios. La población indirecta es el numero de estudiantes tanto mujeres como varones de 2 colegios de secundaria aledaños (Inca Garcilazo de la Vega Simón Bolivar) y que no son motivo de intervención del proyecto. El efecto multiplicador consiste en la accion de intervencion de docentes capacitados por el Proyecto y estos a su vez capacitan a  docentes de otros colegios, en este caso en este caso en aspectos de liderazgo en la linea de accion de tutoría)."/>
    <m/>
    <m/>
    <m/>
    <m/>
    <m/>
    <m/>
    <m/>
    <m/>
    <m/>
    <m/>
    <m/>
    <m/>
    <m/>
    <m/>
    <m/>
    <m/>
    <m/>
    <m/>
    <m/>
    <m/>
    <m/>
    <m/>
    <m/>
    <m/>
    <m/>
    <m/>
    <m/>
    <m/>
    <m/>
    <m/>
    <m/>
    <m/>
    <m/>
    <m/>
    <m/>
    <m/>
    <m/>
    <m/>
    <m/>
    <m/>
    <m/>
    <m/>
    <m/>
    <m/>
    <m/>
    <m/>
    <m/>
    <s v="YES"/>
    <m/>
    <m/>
    <m/>
    <s v="YES"/>
    <m/>
    <m/>
    <m/>
    <m/>
    <m/>
    <m/>
    <m/>
    <m/>
    <n v="238"/>
    <n v="262"/>
    <n v="500"/>
    <n v="160"/>
    <n v="175"/>
    <n v="335"/>
    <m/>
    <m/>
    <m/>
    <m/>
    <m/>
    <m/>
    <m/>
    <m/>
    <m/>
    <m/>
    <m/>
    <m/>
    <m/>
    <m/>
    <m/>
    <m/>
    <m/>
    <m/>
    <m/>
    <m/>
    <s v="YES"/>
    <n v="500"/>
    <n v="0.48"/>
    <n v="335"/>
    <m/>
    <m/>
    <m/>
    <m/>
    <m/>
    <m/>
    <m/>
    <m/>
    <m/>
    <m/>
    <m/>
    <m/>
    <m/>
    <m/>
    <m/>
    <m/>
    <m/>
    <m/>
    <m/>
    <m/>
    <m/>
    <m/>
    <m/>
    <m/>
    <m/>
    <m/>
    <m/>
    <m/>
    <m/>
    <m/>
    <m/>
    <m/>
    <m/>
    <m/>
    <m/>
    <m/>
    <m/>
    <m/>
    <m/>
    <m/>
    <m/>
    <m/>
    <m/>
    <m/>
    <m/>
    <s v="NO"/>
    <m/>
    <m/>
    <s v="NO"/>
    <s v="NO"/>
    <m/>
    <m/>
    <s v="Es un Proyecto de ampliacion de 04 meses. La referencia de base corresponde a antecedentes de un programa anterior, que concluyo el año 2015, actualizando datos estadisticos en el Plan Operativo del año 2017."/>
    <x v="0"/>
    <s v="NO"/>
    <s v="NO"/>
    <s v="YES"/>
    <s v="NO"/>
    <s v="NO"/>
    <s v="NO"/>
    <s v="NO"/>
    <s v="NO"/>
    <s v="El proyecto tuvo una duracion de 04 meses, no fue posible hacer incidencia politica."/>
    <x v="1"/>
    <s v="Se incorporo en el curriculo, el tema de liderazgo para empoderar a las niñas, y la promoción del emprendimiento, mediante el aprendizaje en talleres productivos agropecuarios."/>
    <x v="0"/>
    <m/>
    <x v="1"/>
    <x v="0"/>
    <s v="YES"/>
    <x v="0"/>
    <x v="0"/>
    <x v="0"/>
    <x v="0"/>
    <n v="4"/>
    <x v="3"/>
    <x v="1"/>
    <x v="1"/>
    <x v="2"/>
    <x v="1"/>
    <x v="3"/>
    <n v="3"/>
    <x v="2"/>
    <x v="1"/>
    <x v="1"/>
    <x v="1"/>
    <x v="2"/>
    <n v="3"/>
    <x v="2"/>
    <x v="3"/>
    <n v="1"/>
    <s v="Other"/>
    <m/>
    <m/>
    <x v="2"/>
    <s v="Fortalecimiento del Concejo Participativo de Educacion Regional de Puno COPARE, constituida por representantes de organizaciones e instituciones de la sociedad civil, a través de la Secretaria Tecnica que tiene a cargo CARE en Puno."/>
    <m/>
    <s v="Participación de docentes varones, en el desarrollo de actividades educativas como tutoria y emprendimiento."/>
    <s v="Difusión de material educativo sobre liderazgo, emprendimiento y tuttoria."/>
    <s v="Talleres sobre salud reproductiva, como parte de la tutoria."/>
    <s v="El aprendizaje de las estudiantes mujeres es mas efectivo a traves de la practica en talleres productivos."/>
    <s v="El empoderamiento de niñas es posible a través de las lecturas amigables como medio de aprendizaje, para lograr el proyecto de vida, liderazgo  autoestima y toma de decisiones."/>
    <s v="Es posible que las adolescentes mujeres pierdan el miedo de expresarse en público mediante el desarrollo de espacios de dialogo creados en el aula, posibilitando una mejor participación en las diferentes actividades de su aula colegio y comunidad."/>
    <s v="El proyecto es corto, porque tiene carácter de ampliación con una duración de 4 meses, pero ha sido posible consolidar algunos logros, debido a que se implementó sobre resultados de un proyecto anterior que se desarrollo entre los años 2014-2015, lo que facilito el desarrollo de actividades, retomando los lineamientos trabajados, sobretodo la referencia de base."/>
    <s v="Plan Operativo e informe evaluativo 2017 (Existente en Archivo fisico interno, a cargo de la responsable del Proyecto)"/>
    <n v="500"/>
    <n v="335"/>
    <n v="0.67"/>
    <n v="0.47599999999999998"/>
    <n v="0.47761194029850745"/>
    <n v="238"/>
    <n v="160"/>
    <n v="1"/>
    <n v="0"/>
    <n v="0"/>
    <s v=""/>
    <s v=""/>
    <n v="0"/>
    <n v="0"/>
    <s v=""/>
    <s v=""/>
    <n v="0"/>
    <n v="0"/>
    <s v=""/>
    <s v=""/>
    <n v="0"/>
    <n v="0"/>
    <s v=""/>
    <s v=""/>
    <n v="0"/>
    <n v="0"/>
    <s v=""/>
    <s v="2. Sensitive"/>
    <s v="0. Unaware"/>
    <s v="0. Harmful"/>
    <s v="It tested new ways for fighting poverty, but did not measure results of innovation"/>
    <s v="Little or no advocacy"/>
    <s v="It did not take tested solutions to scale"/>
  </r>
  <r>
    <x v="59"/>
    <x v="4"/>
    <m/>
    <s v="Zika Response in Ecuador and Peru"/>
    <s v="Peru"/>
    <s v="USAIPE0001"/>
    <s v="CARE USA"/>
    <s v="Multilateral agency"/>
    <s v="Government - US"/>
    <s v="USAID"/>
    <m/>
    <m/>
    <m/>
    <m/>
    <m/>
    <m/>
    <m/>
    <m/>
    <m/>
    <m/>
    <m/>
    <m/>
    <m/>
    <m/>
    <m/>
    <m/>
    <m/>
    <m/>
    <m/>
    <m/>
    <m/>
    <m/>
    <m/>
    <m/>
    <m/>
    <m/>
    <m/>
    <m/>
    <m/>
    <m/>
    <m/>
    <m/>
    <m/>
    <m/>
    <m/>
    <m/>
    <m/>
    <m/>
    <m/>
    <m/>
    <m/>
    <m/>
    <m/>
    <m/>
    <m/>
    <d v="2016-09-30T00:00:00"/>
    <d v="2019-08-31T00:00:00"/>
    <m/>
    <s v="Development Other"/>
    <n v="3095940.0681720902"/>
    <s v="Lucy Harman"/>
    <s v="Gerente Emergencias y Gestión del Riesgo"/>
    <s v="lharman@care.org.e"/>
    <s v="Segundo Dávila"/>
    <s v="Gerente de Programas"/>
    <s v="sdavila@care.org.pe"/>
    <s v="YES"/>
    <s v="YES"/>
    <s v="YES"/>
    <s v="1.  Mejorar las capacidades a nivel comunitario, local y nacional para llevar a cabo una respuesta oportuna y eficiente a brotes del virus del Zika y otras enfermedades transmitidas por vectores mediate enfoques de reducción de riesgo y derechos humanos sobre la base de la experiencia de CARE en salud sexual reproductiva y materna, sistemas de comunitarios de salud sostenibles y el empoderamiento necesario para fortalecer el involucvramiento directo de agentes comunitarios de salud en áreas geográficas prioritarias (control de vectores y prevención).   2. Fortalecer los esfuerzos regionales y nacionales por reducir la prevalencia del zika mediante la difusión de hallazgos, reportes de impacto y mediante la influencia en políticas binacionales mediante un enfoque riguroso basado en evidencia de mejores práctias y lecciones aprendidas en mobilización y participación comunitarias. Ello permitira avanzar en la implementación de estrategias sensibles al género en espacios sociales y curlurales diversos."/>
    <s v="Regional"/>
    <s v="Departamentos Perú: Cajamarca, Lambayeque, Piura y Tumbes. Provincias:Distritos Cajamarca: Jaén: Jaén y Bellavista. Lambayeque: Chiclayo: Chiclayo, José Leonardo Ortiz y La Victoria. Piura: Piura, Morropon, Sullana, Talara y Sechura. Piura:Castilla, Catacaos, Cucungara, Veintiseis de octubre. Morropon: Chulucanas. Sullana: Sullana y Bellavista. Talara: Los órganos y Mancora. Sechura: Sechura. Tumbes: Tumbes, Contralmirante Villar y Zarumilla. Tumbes: Tumbes. Contralmirante Villar: Zorritos. Zarumilla: Zarumilla y Aguas Verdes"/>
    <s v="Mujeres y hombres en edad reproductiva, embarazadas, adolescentes hombres y mujeres."/>
    <n v="131242"/>
    <n v="131768"/>
    <n v="263010"/>
    <n v="262485"/>
    <n v="263535"/>
    <n v="526020"/>
    <s v="Participantes Directos: Mujeres y hombres en edad Fértil, Gestantes, Adolescentes, Autoridades regionales y locales, Personal de salud y Educación de los ámbitos de intervención. Corresponde al 50% de la población considerada en riesgo de contraer la enfermedad. Propuesta técnica aprobada.. Participantes Indirectos:  Población en riesgo de contraer la enfermedad en los ámbitos de intervención del proyecto. Es población peri-urbana que vivene zonas proclives a las enfermedades transmitidas por vectores. Fuente: (i) Censo de Población y Vivienda 2010. Supuestos utilizados para el cálculo: en las tres provinciases seleccionados con altos números de casos de Zika, se ha considerado un 30% de la población en riesgo y un 50% de éstos como población objetivo. (ii) Propuesta técnica aprobada"/>
    <m/>
    <n v="700"/>
    <n v="600"/>
    <n v="1300"/>
    <n v="1800"/>
    <n v="1800"/>
    <n v="3600"/>
    <s v="NO"/>
    <m/>
    <m/>
    <m/>
    <s v="NO"/>
    <m/>
    <m/>
    <m/>
    <s v="NO"/>
    <m/>
    <m/>
    <m/>
    <s v="NO"/>
    <m/>
    <m/>
    <m/>
    <s v="NO"/>
    <m/>
    <m/>
    <m/>
    <s v="NO"/>
    <m/>
    <m/>
    <m/>
    <s v="YES"/>
    <n v="1300"/>
    <n v="0.53"/>
    <n v="3600"/>
    <s v="NO"/>
    <m/>
    <m/>
    <m/>
    <s v="NO"/>
    <m/>
    <m/>
    <m/>
    <s v="NO"/>
    <m/>
    <m/>
    <m/>
    <s v="NO"/>
    <m/>
    <m/>
    <m/>
    <s v="NO"/>
    <m/>
    <m/>
    <m/>
    <m/>
    <m/>
    <m/>
    <m/>
    <m/>
    <n v="700"/>
    <n v="600"/>
    <n v="1300"/>
    <n v="1800"/>
    <n v="1800"/>
    <n v="3600"/>
    <s v="NO"/>
    <m/>
    <m/>
    <m/>
    <s v="NO"/>
    <m/>
    <m/>
    <m/>
    <s v="NO"/>
    <m/>
    <m/>
    <m/>
    <s v="NO"/>
    <m/>
    <m/>
    <m/>
    <s v="NO"/>
    <m/>
    <m/>
    <m/>
    <s v="NO"/>
    <m/>
    <m/>
    <m/>
    <s v="NO"/>
    <m/>
    <m/>
    <m/>
    <s v="NO"/>
    <m/>
    <m/>
    <m/>
    <s v="NO"/>
    <m/>
    <m/>
    <m/>
    <s v="YES"/>
    <n v="1300"/>
    <n v="0.53"/>
    <n v="3600"/>
    <s v="NO"/>
    <m/>
    <m/>
    <m/>
    <s v="NO"/>
    <m/>
    <m/>
    <m/>
    <s v="NO"/>
    <m/>
    <m/>
    <m/>
    <s v="NO"/>
    <m/>
    <m/>
    <m/>
    <s v="NO"/>
    <m/>
    <m/>
    <m/>
    <s v="NO"/>
    <m/>
    <m/>
    <m/>
    <m/>
    <m/>
    <m/>
    <m/>
    <m/>
    <s v="NO"/>
    <m/>
    <m/>
    <s v="NO"/>
    <s v="NO"/>
    <m/>
    <m/>
    <m/>
    <x v="1"/>
    <s v="NO"/>
    <s v="NO"/>
    <s v="NO"/>
    <s v="YES"/>
    <s v="NO"/>
    <s v="NO"/>
    <s v="NO"/>
    <s v="NO"/>
    <m/>
    <x v="0"/>
    <m/>
    <x v="1"/>
    <s v="Asignación presupuestal PPR para implementar acciones contra el Zika"/>
    <x v="0"/>
    <x v="0"/>
    <s v="YES"/>
    <x v="0"/>
    <x v="0"/>
    <x v="0"/>
    <x v="0"/>
    <n v="4"/>
    <x v="1"/>
    <x v="1"/>
    <x v="1"/>
    <x v="1"/>
    <x v="1"/>
    <x v="1"/>
    <n v="4"/>
    <x v="1"/>
    <x v="1"/>
    <x v="1"/>
    <x v="1"/>
    <x v="1"/>
    <n v="3"/>
    <x v="0"/>
    <x v="3"/>
    <n v="5"/>
    <s v="Local government(s)"/>
    <s v="National government"/>
    <s v="Multilateral organization(s)"/>
    <x v="2"/>
    <m/>
    <s v="Desde los 5 componentes del proyecto que se articulan entre si,  la base importante ha sido trabajar el KAP,EBA y otros estudios que han permitido iniciar  la  implementación con aspectos innovadores de recuperar las buenas prácticas a través de un Concurso Nacional, para ello luego de los tres años de intervención sistematizar las mejores prácticas de control y prevención del Zika."/>
    <s v="Sistema de vigilancia comunitario"/>
    <s v="Fortalecimiento de capacidades a personal de salud,educacion y educadores de pares(adolescentes)en base a las brechas encontradas en KAP y Estudios etnológicos."/>
    <s v="Comunicación para el desarrollo"/>
    <s v="Frente a la falta de evidencias y experiencias de trabajo preventivo de zika, con enfoque de género en adolescentes, desarrollar trabajo con mujeres y adolescentes para generar evidencias."/>
    <s v="Se identificó la necesidad de trabajar con enfoque de género no solo desde el diseño del proyecto sino el resto de procesos (incluye ejecución) para lo cual se requiere vincular con presupuesto."/>
    <s v="Se debe Fortalecer el proceso de rendición de cuentas para lo cual se debe realizar ajustes en la planificación para incorporar dichos procesos, así como definir metodología y herramientas adecuadas."/>
    <s v="Desde los 5 componentes del proyecto que se articulan entre si,  la base importante ha sido trabajar el KAP,EBA y otros estudios que han permitido iniciar la implementación con aspectos innovadores de recuperar las buenas prácticas a través de un Concurso Nacional, para ello luego de los tres años de intervención sistematizar las mejores prácticas de control y prevención del Zika."/>
    <s v="POA año 1; IPIA Proyecto; Acuerdo firmado con el donante; Diseño EBA y KAP; Workplan"/>
    <n v="1300"/>
    <n v="3600"/>
    <n v="2.7692307692307692"/>
    <n v="0.53846153846153844"/>
    <n v="0.5"/>
    <n v="700"/>
    <n v="1800"/>
    <n v="1"/>
    <n v="1300"/>
    <n v="3600"/>
    <n v="2.7692307692307692"/>
    <s v=""/>
    <n v="0"/>
    <n v="0"/>
    <s v=""/>
    <s v=""/>
    <n v="0"/>
    <n v="0"/>
    <s v=""/>
    <s v=""/>
    <n v="0"/>
    <n v="0"/>
    <s v=""/>
    <s v=""/>
    <n v="0"/>
    <n v="0"/>
    <s v=""/>
    <s v="2. Sensitive"/>
    <s v="2. Accommodating"/>
    <s v="2. Sensitive"/>
    <s v="It did not develop any specific innovation"/>
    <s v="Moderate advocacy"/>
    <s v="It linked and worked with strategic alliances and partners to take tested and effective solutions to scale"/>
  </r>
  <r>
    <x v="60"/>
    <x v="0"/>
    <m/>
    <s v="Lendwithcare"/>
    <s v="Philippines"/>
    <s v="UNRTGB0076"/>
    <s v="CARE UK"/>
    <s v="Individual supporter"/>
    <s v="Other"/>
    <m/>
    <s v="UNRTGB0076"/>
    <s v="CARE UK"/>
    <s v="Foundation"/>
    <s v="Other"/>
    <s v="The Jimmy Choo Foundation"/>
    <m/>
    <m/>
    <m/>
    <m/>
    <m/>
    <m/>
    <m/>
    <m/>
    <m/>
    <m/>
    <m/>
    <m/>
    <m/>
    <m/>
    <m/>
    <m/>
    <m/>
    <m/>
    <m/>
    <m/>
    <m/>
    <m/>
    <m/>
    <m/>
    <m/>
    <m/>
    <m/>
    <m/>
    <m/>
    <m/>
    <m/>
    <m/>
    <m/>
    <m/>
    <m/>
    <m/>
    <m/>
    <m/>
    <m/>
    <m/>
    <d v="2016-07-01T00:00:00"/>
    <d v="2017-06-30T00:00:00"/>
    <m/>
    <s v="Development Access to and Control over Economic Resources"/>
    <n v="329960"/>
    <s v="Tracey Horner"/>
    <s v="Head of Lendwithcare"/>
    <s v="horner@careinternational.org"/>
    <m/>
    <m/>
    <m/>
    <s v="NO"/>
    <s v="YES"/>
    <s v="NO"/>
    <s v="Provide loan capital to poor and low-income individuals, mainly women, who want to start or expand a small business."/>
    <s v="Sub-National"/>
    <s v="Luzon, Cebu, Leyte, Bohol and San Carlos"/>
    <s v="Women and men with existing income-generating activities who are excluded from the formal financial sector. The main impact groups are individuals engaged in small-scale farming, animal husbandry and petty trading."/>
    <n v="256"/>
    <n v="83"/>
    <n v="339"/>
    <n v="397"/>
    <n v="414"/>
    <n v="811"/>
    <s v="Direct participants are those who received a loan to invest in their business from Lendwithcare lenders in FY17. Indirect participants have been calculated by adding up all of the dependents of the entrepreneurs who received a loan in FY17 and the people who have been employed in their businesses. We are not able to disaggregate the data for indirect participants by female and male, so I have used the ratio of 49:51 that is in the CIA World Factbook for the Philippines https://www.cia.gov/library/publications/the-world-factbook/geos/ph.html This is an on-going project so I have given the numbers of participants just in this FY as there is no end date to the project."/>
    <m/>
    <m/>
    <m/>
    <m/>
    <m/>
    <m/>
    <m/>
    <m/>
    <m/>
    <m/>
    <m/>
    <m/>
    <m/>
    <m/>
    <m/>
    <m/>
    <m/>
    <m/>
    <m/>
    <m/>
    <m/>
    <m/>
    <m/>
    <m/>
    <m/>
    <m/>
    <m/>
    <m/>
    <m/>
    <m/>
    <m/>
    <m/>
    <m/>
    <m/>
    <m/>
    <m/>
    <m/>
    <m/>
    <m/>
    <m/>
    <m/>
    <m/>
    <m/>
    <m/>
    <m/>
    <m/>
    <m/>
    <m/>
    <m/>
    <m/>
    <m/>
    <m/>
    <m/>
    <m/>
    <m/>
    <m/>
    <m/>
    <m/>
    <m/>
    <m/>
    <n v="256"/>
    <n v="83"/>
    <n v="339"/>
    <n v="397"/>
    <n v="414"/>
    <n v="811"/>
    <m/>
    <m/>
    <m/>
    <m/>
    <m/>
    <m/>
    <m/>
    <m/>
    <m/>
    <m/>
    <m/>
    <m/>
    <m/>
    <m/>
    <m/>
    <m/>
    <m/>
    <m/>
    <m/>
    <m/>
    <m/>
    <m/>
    <m/>
    <m/>
    <m/>
    <m/>
    <m/>
    <m/>
    <m/>
    <m/>
    <m/>
    <m/>
    <m/>
    <m/>
    <m/>
    <m/>
    <m/>
    <m/>
    <m/>
    <m/>
    <m/>
    <m/>
    <m/>
    <m/>
    <m/>
    <m/>
    <m/>
    <m/>
    <m/>
    <m/>
    <m/>
    <m/>
    <m/>
    <m/>
    <m/>
    <m/>
    <m/>
    <m/>
    <m/>
    <m/>
    <s v="YES"/>
    <n v="339"/>
    <n v="0.76"/>
    <n v="811"/>
    <m/>
    <m/>
    <m/>
    <m/>
    <m/>
    <s v="NO"/>
    <m/>
    <m/>
    <m/>
    <s v="NO"/>
    <m/>
    <m/>
    <m/>
    <x v="0"/>
    <m/>
    <m/>
    <m/>
    <m/>
    <m/>
    <m/>
    <m/>
    <m/>
    <m/>
    <x v="0"/>
    <m/>
    <x v="0"/>
    <m/>
    <x v="0"/>
    <x v="3"/>
    <m/>
    <x v="2"/>
    <x v="2"/>
    <x v="2"/>
    <x v="5"/>
    <n v="0"/>
    <x v="3"/>
    <x v="0"/>
    <x v="0"/>
    <x v="0"/>
    <x v="0"/>
    <x v="3"/>
    <n v="0"/>
    <x v="2"/>
    <x v="0"/>
    <x v="0"/>
    <x v="0"/>
    <x v="2"/>
    <n v="0"/>
    <x v="2"/>
    <x v="2"/>
    <n v="2"/>
    <s v="Private sector"/>
    <m/>
    <m/>
    <x v="1"/>
    <m/>
    <s v="There were no important changes or adjustments made."/>
    <s v="Microfinance was used as the strategy to meet our Financial Inclusion and WEE objectives."/>
    <s v="Peer-to-peer lending was used as the strategy to raise loan capital for the project's participants."/>
    <m/>
    <s v="With Lendwithcare support, our partner in the Philippines has been able to expand its programme for WASH loans as well as decrease the interest rate on loans received by Lendwithcare-funded entrepreneurs."/>
    <s v="Adverse weather conditions continue to have an impact on beneficiaries, particularly small-scale farmers. We have learnt this year that developing an affordable and relevant insurance policy is key."/>
    <m/>
    <s v="This is an on-going project so we do not have a budget for the lifetime of the project. The number we have reported is how much loan capital was raised through the Lendwithcare platform for the Philippines in FY17.. Lendwithcare does not use gender, resilience or governance scorecards as part of its programming so we have had to answer no to all the questions related to these. However, an outcome of 'harmful' (particularly with regards to women's empowerment and gender equality) seems in accurate since this initiatve focuses heavily on Women's Economic Empowerment and in the Philippines, 76% of beneficiaries are female."/>
    <m/>
    <n v="339"/>
    <n v="811"/>
    <n v="2.3923303834808261"/>
    <n v="0.75516224188790559"/>
    <n v="0.48951911220715166"/>
    <n v="256"/>
    <n v="397"/>
    <s v=""/>
    <n v="0"/>
    <n v="0"/>
    <s v=""/>
    <s v=""/>
    <n v="0"/>
    <n v="0"/>
    <s v=""/>
    <s v=""/>
    <n v="0"/>
    <n v="0"/>
    <s v=""/>
    <s v=""/>
    <n v="0"/>
    <n v="0"/>
    <s v=""/>
    <n v="1"/>
    <n v="339"/>
    <n v="811"/>
    <n v="2.3923303834808261"/>
    <s v="0. Harmful"/>
    <s v="0. Unaware"/>
    <s v="0. Harmful"/>
    <s v="It did not develop any specific innovation"/>
    <s v="Little or no advocacy"/>
    <s v="It did not take tested solutions to scale"/>
  </r>
  <r>
    <x v="60"/>
    <x v="0"/>
    <m/>
    <s v="Partners for Resilience: Strategic Partnership (PFR SP)"/>
    <s v="Philippines"/>
    <m/>
    <s v="CARE Nederland"/>
    <s v="Government"/>
    <s v="Government - Netherlands"/>
    <s v="Ministry of Foreign Affairs of the Netherlands "/>
    <m/>
    <m/>
    <m/>
    <m/>
    <m/>
    <m/>
    <m/>
    <m/>
    <m/>
    <m/>
    <m/>
    <m/>
    <m/>
    <m/>
    <m/>
    <m/>
    <m/>
    <m/>
    <m/>
    <m/>
    <m/>
    <m/>
    <m/>
    <m/>
    <m/>
    <m/>
    <m/>
    <m/>
    <m/>
    <m/>
    <m/>
    <m/>
    <m/>
    <m/>
    <m/>
    <m/>
    <m/>
    <m/>
    <m/>
    <m/>
    <m/>
    <m/>
    <m/>
    <m/>
    <m/>
    <d v="2016-01-01T00:00:00"/>
    <d v="2020-12-01T00:00:00"/>
    <m/>
    <s v="Development Other"/>
    <n v="1197015.1299999999"/>
    <s v="Celso Dulce"/>
    <s v="Integrated Risk Management Director"/>
    <s v="celso.dulce@care.org"/>
    <s v="Rocely de Vera"/>
    <s v="Program Manager"/>
    <s v="rocelyn.devera@care.org"/>
    <s v="NO"/>
    <s v="YES"/>
    <s v="NO"/>
    <s v="The PFR SP Programme is a strategic partnership which recognizes that peoples livelihoods are increasingly affected by natural disasters arising from a variety of factors including climate change and environmental degradation and will therefore work towards strong, resilient communities that are able to address disaster risks.  It aims to mainstream integrated risk management (IRM) in policies, investments and practices at the local, national, regional and global levels. By building the capacities of civil society partners, and relying on the extensive field experience on IRM in the course of implementing the first PFR Programme from 2011-2016, the strategic partnership will inform policy, investment and practice decision-making at all levels. Ultimately, this will result in increased resilience of peoples and communities."/>
    <s v="National"/>
    <s v="PFR SP is working at various levels: national to community level. At the national level, the aim is to create a National Technical Working Group (TWG) (DILG, CCC, NDRMC, PFR, DRRNet, etc) for mainstreaming IRM in local development planning guidelines. At the landscape and city level, CARE is focused on working with the MANATUTI River Basin Alliance and its stakeholders, specifically Caloocan, Malabon and Navotas. At the community level, two communities are selected per city."/>
    <s v="PFR SP is working with various groups: government sector, civil society organizations and communities. With the aim to mainstream IRM in inclusive planning guidelines, local development plans and landscape-wide, multi-stakeholder alliance plans, the projects main impact group is comprised of the national Technical Working Group on Mainstreaming IRM, MANATUTI River Basin Alliance and the cities of MAlabon, Caloocan and Navotas and two barangays per city."/>
    <n v="196"/>
    <n v="222"/>
    <n v="418"/>
    <n v="532531"/>
    <n v="600514"/>
    <n v="1133045"/>
    <s v="The direct participants are representatives of targeted government agencies, local government units (LGUs), and civil society organizations (CSOs). Meanwhile the indirect participants are percentage of the total population of partner LGUs (CAMANA)."/>
    <m/>
    <m/>
    <m/>
    <m/>
    <m/>
    <m/>
    <m/>
    <m/>
    <m/>
    <m/>
    <m/>
    <m/>
    <m/>
    <m/>
    <m/>
    <m/>
    <m/>
    <m/>
    <m/>
    <m/>
    <m/>
    <m/>
    <m/>
    <m/>
    <m/>
    <m/>
    <m/>
    <m/>
    <m/>
    <m/>
    <m/>
    <m/>
    <m/>
    <m/>
    <m/>
    <m/>
    <m/>
    <m/>
    <m/>
    <m/>
    <m/>
    <m/>
    <m/>
    <m/>
    <m/>
    <m/>
    <m/>
    <m/>
    <m/>
    <m/>
    <m/>
    <m/>
    <m/>
    <m/>
    <m/>
    <m/>
    <m/>
    <m/>
    <m/>
    <m/>
    <m/>
    <m/>
    <n v="52"/>
    <m/>
    <m/>
    <n v="32900"/>
    <m/>
    <m/>
    <m/>
    <m/>
    <s v="YES"/>
    <n v="52"/>
    <n v="0.49"/>
    <n v="32900"/>
    <m/>
    <m/>
    <m/>
    <m/>
    <s v="YES"/>
    <n v="52"/>
    <n v="0.49"/>
    <n v="32900"/>
    <m/>
    <m/>
    <m/>
    <m/>
    <m/>
    <m/>
    <m/>
    <m/>
    <m/>
    <m/>
    <m/>
    <m/>
    <m/>
    <m/>
    <m/>
    <m/>
    <m/>
    <m/>
    <m/>
    <m/>
    <m/>
    <m/>
    <m/>
    <m/>
    <m/>
    <m/>
    <m/>
    <m/>
    <s v="YES"/>
    <n v="52"/>
    <n v="0.49"/>
    <n v="32900"/>
    <m/>
    <m/>
    <m/>
    <m/>
    <m/>
    <m/>
    <m/>
    <m/>
    <m/>
    <m/>
    <m/>
    <m/>
    <m/>
    <m/>
    <m/>
    <m/>
    <m/>
    <m/>
    <m/>
    <m/>
    <m/>
    <s v="NO"/>
    <m/>
    <m/>
    <s v="NO"/>
    <s v="NO"/>
    <m/>
    <m/>
    <m/>
    <x v="1"/>
    <s v="NO"/>
    <s v="NO"/>
    <s v="YES"/>
    <s v="YES"/>
    <s v="NO"/>
    <s v="NO"/>
    <s v="YES"/>
    <s v="NO"/>
    <m/>
    <x v="0"/>
    <m/>
    <x v="0"/>
    <m/>
    <x v="0"/>
    <x v="0"/>
    <s v="NO"/>
    <x v="0"/>
    <x v="0"/>
    <x v="1"/>
    <x v="1"/>
    <n v="2"/>
    <x v="2"/>
    <x v="1"/>
    <x v="1"/>
    <x v="1"/>
    <x v="2"/>
    <x v="5"/>
    <n v="3"/>
    <x v="3"/>
    <x v="1"/>
    <x v="1"/>
    <x v="1"/>
    <x v="4"/>
    <n v="3"/>
    <x v="3"/>
    <x v="2"/>
    <n v="25"/>
    <s v="International NGO(s)"/>
    <s v="National government"/>
    <s v="Local NGO(s)/CSO(s)"/>
    <x v="0"/>
    <s v="CARE has included CSOs in various capacity building trainings and discussions on integrated risk management."/>
    <s v="There have been leadership changes in key national government agencies targeted for trajectory 2 (as well as trajectory 1). These have caused delays arising from internal instability in the agencies, in particular in the departments of energy and natural resources, interior and local government, and defence. The declaration of martial law in Mindanao and the threat to declare it nationwide caused further unease in dealing with national government. CARE and ACCORD changed tack, shifting priority to working local (MANATUTI River Basin) while observing the unfolding situation at the national level.   "/>
    <s v="Various bilateral meetings with relevant national agencies were held to determine their interest and to assess their commitment to support the project."/>
    <s v="Partnership strategy: Close coordination with partner LGUs help ensure their participation in the activities of the project"/>
    <s v="Capacity building as an advocacy strategy"/>
    <s v="Due to the changing political environment, there was a need to adjust or re-think strategies."/>
    <s v="The complementation of projects (such as MOVE UP and PFR SP) lead to wider reach and bigger influence."/>
    <s v="Relationship building with partner LGUs is important."/>
    <m/>
    <m/>
    <n v="52"/>
    <n v="32900"/>
    <n v="632.69230769230774"/>
    <n v="0"/>
    <n v="0"/>
    <n v="0"/>
    <n v="0"/>
    <s v=""/>
    <n v="0"/>
    <n v="0"/>
    <s v=""/>
    <n v="1"/>
    <n v="52"/>
    <n v="32900"/>
    <n v="632.69230769230774"/>
    <s v=""/>
    <n v="0"/>
    <n v="0"/>
    <s v=""/>
    <s v=""/>
    <n v="0"/>
    <n v="0"/>
    <s v=""/>
    <s v=""/>
    <n v="0"/>
    <n v="0"/>
    <s v=""/>
    <s v="1. Neutral"/>
    <s v="3. Responsive"/>
    <s v="4. Transformative"/>
    <s v="It did not develop any specific innovation"/>
    <s v="Moderate advocacy"/>
    <s v="It did not take tested solutions to scale"/>
  </r>
  <r>
    <x v="60"/>
    <x v="0"/>
    <m/>
    <s v="Typhoon Haima Response"/>
    <s v="Philippines"/>
    <m/>
    <s v="CARE Canada"/>
    <s v="Government"/>
    <s v="Government - Canada"/>
    <s v="Canadian Humanitarian Assistance Fund"/>
    <m/>
    <s v="CARE USA"/>
    <s v="Foundation"/>
    <s v="Other"/>
    <s v="Margaret A. Cargill Foundation"/>
    <m/>
    <m/>
    <m/>
    <m/>
    <m/>
    <m/>
    <m/>
    <m/>
    <m/>
    <m/>
    <m/>
    <m/>
    <m/>
    <m/>
    <m/>
    <m/>
    <m/>
    <m/>
    <m/>
    <m/>
    <m/>
    <m/>
    <m/>
    <m/>
    <m/>
    <m/>
    <m/>
    <m/>
    <m/>
    <m/>
    <m/>
    <m/>
    <m/>
    <m/>
    <m/>
    <m/>
    <m/>
    <m/>
    <m/>
    <m/>
    <d v="2016-11-01T00:00:00"/>
    <d v="2017-05-01T00:00:00"/>
    <m/>
    <s v="Humanitarian Other"/>
    <m/>
    <s v="Jerome Lanit"/>
    <s v="Emergency Coordinator"/>
    <s v="jerome.lanit@care.org"/>
    <m/>
    <m/>
    <m/>
    <s v="YES"/>
    <s v="YES"/>
    <s v="YES"/>
    <s v="Provide shelter repair materials and livelihood assistance to people affected by typhoon Haima in the Philippines."/>
    <s v="Sub-National"/>
    <s v="The areas covered by the project are provinces in Northern Philippines severely affected by typhoon Haima on October 19, 2016. These included the provinces of Kalinga, Cagayan Valley and Ilocos Norte and supported communities are remote, upland and near the Cagayan River."/>
    <s v="People supported by the project were affected by typhoon Haima living in remote communities. They are mostly farmers, fisherfolks and labourers."/>
    <n v="1536"/>
    <n v="1664"/>
    <n v="3200"/>
    <m/>
    <m/>
    <m/>
    <s v="Direct participants are those who received the shelter repair assistance (not just the household lead but also the household members)."/>
    <m/>
    <n v="7465"/>
    <n v="8087"/>
    <n v="15552"/>
    <m/>
    <m/>
    <m/>
    <s v="NO"/>
    <m/>
    <m/>
    <m/>
    <s v="NO"/>
    <m/>
    <m/>
    <m/>
    <s v="NO"/>
    <m/>
    <m/>
    <m/>
    <s v="NO"/>
    <m/>
    <m/>
    <m/>
    <s v="NO"/>
    <m/>
    <m/>
    <m/>
    <s v="NO"/>
    <m/>
    <m/>
    <m/>
    <s v="NO"/>
    <m/>
    <m/>
    <m/>
    <s v="Yes"/>
    <n v="6060"/>
    <n v="0.48"/>
    <m/>
    <s v="NO"/>
    <m/>
    <m/>
    <m/>
    <s v="NO"/>
    <m/>
    <m/>
    <m/>
    <s v="YES"/>
    <n v="9492"/>
    <n v="0.48"/>
    <m/>
    <s v="NO"/>
    <m/>
    <m/>
    <m/>
    <m/>
    <m/>
    <m/>
    <m/>
    <m/>
    <m/>
    <m/>
    <m/>
    <m/>
    <m/>
    <m/>
    <m/>
    <m/>
    <m/>
    <m/>
    <m/>
    <m/>
    <m/>
    <m/>
    <m/>
    <m/>
    <m/>
    <m/>
    <m/>
    <m/>
    <m/>
    <m/>
    <m/>
    <m/>
    <m/>
    <m/>
    <m/>
    <m/>
    <m/>
    <m/>
    <m/>
    <m/>
    <m/>
    <m/>
    <m/>
    <m/>
    <m/>
    <m/>
    <m/>
    <m/>
    <m/>
    <m/>
    <m/>
    <m/>
    <m/>
    <m/>
    <m/>
    <m/>
    <m/>
    <m/>
    <m/>
    <m/>
    <m/>
    <m/>
    <m/>
    <m/>
    <m/>
    <m/>
    <m/>
    <m/>
    <m/>
    <m/>
    <m/>
    <m/>
    <m/>
    <m/>
    <m/>
    <m/>
    <m/>
    <m/>
    <m/>
    <m/>
    <m/>
    <m/>
    <m/>
    <s v="NO"/>
    <m/>
    <m/>
    <s v="NO"/>
    <s v="NO"/>
    <m/>
    <m/>
    <s v="No planned evaluations."/>
    <x v="1"/>
    <s v="NO"/>
    <s v="NO"/>
    <s v="YES"/>
    <s v="NO"/>
    <s v="NO"/>
    <s v="NO"/>
    <s v="NO"/>
    <s v="YES"/>
    <s v="The project actively promoted the &quot;Build Back Safer&quot; techniques in communities and also coordinated with the local government to also recognize the techniques so affected beneficiaries could also easily source out raw materials needed."/>
    <x v="1"/>
    <s v="Through the shelter repair assistance, mainstreaming and application of Build Back Safer (BBS) principles were inititated. BBS sessions were conducted for community carpenters. CARE also organized shelter roving teams to monitor the progress of shelter repair, and also formed clusters in communities. Each cluster is composed of 10-15 project participants. They prepare their materials needs and procure as a group and get discounts from the suppliers such as free delivery of shelter materials procured."/>
    <x v="1"/>
    <m/>
    <x v="1"/>
    <x v="0"/>
    <s v="YES"/>
    <x v="0"/>
    <x v="0"/>
    <x v="0"/>
    <x v="0"/>
    <n v="4"/>
    <x v="1"/>
    <x v="1"/>
    <x v="1"/>
    <x v="1"/>
    <x v="1"/>
    <x v="1"/>
    <n v="4"/>
    <x v="3"/>
    <x v="1"/>
    <x v="1"/>
    <x v="1"/>
    <x v="4"/>
    <n v="3"/>
    <x v="0"/>
    <x v="2"/>
    <n v="3"/>
    <s v="Local NGO(s)/CSO(s)"/>
    <m/>
    <m/>
    <x v="0"/>
    <s v="CARE provided BBS training to local partners for them to be conduct their own BBS sessions in supported communities. CARE even invited a trainer from Red Cross to help facilitate the training for partners."/>
    <s v="There project adjusted the timeline of shelter repair in 2 communities in Cagayan valley province due to military operations. The military prohibited the community people to go to the mountains to gather some woods they can use for the repair and to tend to their crops planted in the upland area because of the presence of rebel groups."/>
    <s v="Formation of clusters or groups in every community composed of 10-15 people. The cluster has a leader who supervises the progress of the members in terms of shelter repair or livelihoods recovery."/>
    <s v="Delegation of roving team member role to women so they can actively participate in the monitoring of shelter repair in every community."/>
    <s v="Conduct of Build Back Safer sessions and Livelihood Planning and Protection sessions for sustainability."/>
    <s v="Established partnerships with local people's organizations were maximized during the project implementation, these partnerships facilitated fast and timely data gathering and delivery of assistance."/>
    <s v="The response was implemented in a timely manner. One factor that positively affected the speed of the response was the pre-disaster preparedness activities undertaken by CARE and partners, particularly in the projected typhoon path. Emergency preparedness plan helped define the response strategy immediately."/>
    <s v="Partners were able to ensure male/female representation in beneficiary selection committees, roving teams, assessment teams, distribution teams and collection of SADD during the response. The partners were trained by CARE to ensure gender quality even before the disaster."/>
    <m/>
    <m/>
    <n v="15552"/>
    <n v="0"/>
    <n v="0"/>
    <n v="0.4800025720164609"/>
    <s v=""/>
    <n v="7465"/>
    <n v="0"/>
    <n v="1"/>
    <n v="15552"/>
    <n v="0"/>
    <n v="0"/>
    <n v="1"/>
    <n v="6060"/>
    <n v="0"/>
    <n v="0"/>
    <s v=""/>
    <n v="0"/>
    <n v="0"/>
    <s v=""/>
    <s v=""/>
    <n v="0"/>
    <n v="0"/>
    <s v=""/>
    <s v=""/>
    <n v="0"/>
    <n v="0"/>
    <s v=""/>
    <s v="2. Sensitive"/>
    <s v="2. Accommodating"/>
    <s v="4. Transformative"/>
    <s v="It tested new ways for fighting poverty, but did not measure results of innovation"/>
    <s v="Moderate advocacy"/>
    <s v="It linked and worked with strategic alliances and partners to take tested and effective solutions to scale"/>
  </r>
  <r>
    <x v="60"/>
    <x v="0"/>
    <m/>
    <s v="Typhoon Haiyan Livelihoods Recovery"/>
    <s v="Philippines"/>
    <m/>
    <s v="CARE Deutschland-Luxemburg"/>
    <s v="Multilateral agency"/>
    <s v="Other"/>
    <s v="Aktion Deutschland Hilft (ADH)"/>
    <m/>
    <s v="CARE Nederland"/>
    <s v="Foundation"/>
    <s v="Other"/>
    <s v="H&amp;M Conscious Foundation"/>
    <m/>
    <m/>
    <m/>
    <m/>
    <m/>
    <m/>
    <m/>
    <m/>
    <m/>
    <m/>
    <m/>
    <m/>
    <m/>
    <m/>
    <m/>
    <m/>
    <m/>
    <m/>
    <m/>
    <m/>
    <m/>
    <m/>
    <m/>
    <m/>
    <m/>
    <m/>
    <m/>
    <m/>
    <m/>
    <m/>
    <m/>
    <m/>
    <m/>
    <m/>
    <m/>
    <m/>
    <m/>
    <m/>
    <m/>
    <m/>
    <d v="2015-02-01T00:00:00"/>
    <d v="2016-12-30T00:00:00"/>
    <m/>
    <s v="Development Access to and Control over Economic Resources"/>
    <n v="5178571.43"/>
    <s v="Maria Teresa Bayombong"/>
    <s v="Team Leader"/>
    <s v="maria.bayombong@care.org"/>
    <s v="Antonietta Igot"/>
    <s v="Finance Director"/>
    <s v="Antonietta.igot@care.org"/>
    <s v="NO"/>
    <s v="YES"/>
    <s v="NO"/>
    <s v="The goal is for the most vulnerable affected household's (men, women, boys and girls) and communities to have diversified, productive and sustainable livelihoods  "/>
    <s v="Sub-National"/>
    <s v="The livelihood programs are being implemented in the same municipalities in Leyte, Western Samar, Aklan, Iloilo, Capiz and Antique where CARE conducted its food and shelter repair kit distributions. Also for the Community Enterprise Facility and Women Enterprise Fund programs, areas are expanded to other Haiyan affected communities.     "/>
    <s v="The main recipients of the project are the typhoon Haiyan victims with special focus on women in the devastated areas, specifically those who lost their livelihoods and income-generating activities."/>
    <m/>
    <m/>
    <m/>
    <m/>
    <m/>
    <m/>
    <s v="Actual direct beneficiaries are 19,005 multiplied to 4.7 average household size= 89,324 - 212,500 total population of the covered barangays and municipalities across the three areas = 123,176 total indirect beneficiaries                                                                                                                                                                                                                                                                                                                                                                                                              *Direct beneficiaries - 19,005 x .70 total average of women= 13,304; 19,005 x .30 total average of men= 5,701                                                                                                                                                                                                              *Indirect beneficiaries - 123,176 x .70 total average of women= 86,223; 123,176 x .30 total average of men= 36,953"/>
    <m/>
    <m/>
    <m/>
    <m/>
    <m/>
    <m/>
    <m/>
    <m/>
    <m/>
    <m/>
    <m/>
    <m/>
    <m/>
    <m/>
    <m/>
    <m/>
    <m/>
    <m/>
    <m/>
    <m/>
    <m/>
    <m/>
    <m/>
    <m/>
    <m/>
    <m/>
    <m/>
    <m/>
    <m/>
    <m/>
    <m/>
    <m/>
    <m/>
    <m/>
    <m/>
    <m/>
    <m/>
    <m/>
    <m/>
    <m/>
    <m/>
    <m/>
    <m/>
    <m/>
    <m/>
    <m/>
    <m/>
    <m/>
    <m/>
    <m/>
    <m/>
    <m/>
    <m/>
    <m/>
    <m/>
    <m/>
    <m/>
    <m/>
    <m/>
    <m/>
    <n v="17408"/>
    <n v="18424"/>
    <n v="35832"/>
    <n v="100978"/>
    <n v="105099"/>
    <n v="206077"/>
    <m/>
    <m/>
    <m/>
    <m/>
    <m/>
    <m/>
    <m/>
    <m/>
    <m/>
    <m/>
    <m/>
    <m/>
    <m/>
    <m/>
    <m/>
    <m/>
    <s v="YES"/>
    <n v="35832"/>
    <n v="0.49"/>
    <n v="206077"/>
    <m/>
    <m/>
    <m/>
    <m/>
    <m/>
    <m/>
    <m/>
    <m/>
    <m/>
    <m/>
    <m/>
    <m/>
    <m/>
    <m/>
    <m/>
    <m/>
    <m/>
    <m/>
    <m/>
    <m/>
    <m/>
    <m/>
    <m/>
    <m/>
    <m/>
    <m/>
    <m/>
    <m/>
    <m/>
    <m/>
    <m/>
    <m/>
    <m/>
    <m/>
    <m/>
    <m/>
    <m/>
    <m/>
    <m/>
    <m/>
    <s v="YES"/>
    <m/>
    <m/>
    <m/>
    <m/>
    <m/>
    <m/>
    <m/>
    <m/>
    <s v="YES"/>
    <s v="October"/>
    <n v="2016"/>
    <s v="YES"/>
    <s v="NO"/>
    <m/>
    <n v="2018"/>
    <m/>
    <x v="2"/>
    <m/>
    <s v="YES"/>
    <s v="YES"/>
    <s v="YES"/>
    <s v="NO"/>
    <m/>
    <s v="YES"/>
    <m/>
    <m/>
    <x v="2"/>
    <s v="The value chain approach proved to be appropriate to the prevailing context. It was introduced after the early recovery phase. The choice of commodities was informed by existing market potential, opportunities for vulnerable and Haiyan-affected household participates as an alternative livelihood, or to diversify their income sources.The choice of the selected commodities with high potential provides focus to the Project and motivation for affected communities to participate. In addition, the conduct of engendered value chain studies with stakeholders identified key issues to address allowing purposeful targeting of actors in the enabling environment, and providers of market services.                                                                                              "/>
    <x v="1"/>
    <s v="The Project works mainly with local government units (LGUs) to increase and sustained support to the value chain development, mobilizing LGUs in providing gender responsive and risk-informed support services to beneficiaries and other enterprise within the value chain.This includes resource support from different municipal departments . Also, the Project advocates policy support to building and maintaining resilient livelihoods that will be sustained beyond project duration and government administrations. Thus, working with the government agencies provides mutual benefits, skills and income opportunities for beneficiaries, and facilitates access of agencies to communities. Sustaining  and enhancing this engagement should be prioritized in the remaining project timetable.                                                                                                                                     "/>
    <x v="1"/>
    <x v="1"/>
    <s v="YES"/>
    <x v="0"/>
    <x v="0"/>
    <x v="0"/>
    <x v="2"/>
    <n v="4"/>
    <x v="2"/>
    <x v="1"/>
    <x v="1"/>
    <x v="2"/>
    <x v="1"/>
    <x v="5"/>
    <n v="3"/>
    <x v="3"/>
    <x v="1"/>
    <x v="1"/>
    <x v="1"/>
    <x v="4"/>
    <n v="3"/>
    <x v="0"/>
    <x v="2"/>
    <n v="7"/>
    <s v="Local NGO(s)/CSO(s)"/>
    <s v="Local government(s)"/>
    <s v="Grassroots organization(s)"/>
    <x v="0"/>
    <s v="The project works with both formal and informal groups to build their capacities in strenthening inter-firm relationships along the value chain and influence government programs and policies. These are formal groups such as LGU committees/councils, Rural Improvement Club (RIC), and community-based organizations; and informal groups such as municipal and provincial technical quality working groups created for the project, value chain clusters based on functions and inter-linkages, and Gender and Development (GAD) network."/>
    <s v="The formation of the Women Enterprise Fund (WEF) project was not initially included in the program design of Haiyan recovery. After doing an evaluation of CARE's conditional cash transfer program, it was found out that women are more engaged in the project implementation/managing the enterprises. This led to CARE creating another project that would specifically cater to the needs of enterprising women."/>
    <s v="Partnership approach (partnering with local organizations in program management, lead enterprises, business organizations and community-based organizations in enterprise development, business development and financial service providers and government agencies on value chain development)"/>
    <s v="Value chain development approach in implementation of enterprise development program (mapping the constraints being faced by small farmers and providing assistance in linking them with other value chain players and enablers)"/>
    <s v="The Project benefits from the local knowledge and strong links of local implementing partners with provincial or municipal governments or having as their core activity the provision of micro-finance or other support services to members."/>
    <s v="Promoting local capacities in enteprise and value chain development"/>
    <s v="Organizing collectives/organizations and forming clusters and linking them to the market"/>
    <s v="Training community-based organizations and individuals in management and organizational leadership skills are also means of promoting more inclusive governance of formal and informal community organizations, and developing community abilities to engage official government structures."/>
    <m/>
    <s v="Mid-term evaluation http://www.careevaluations.org/Evaluations/Typhoon%20Haiyan%20Reconstruction%20Assistance%20Project%20Midterm.pdf"/>
    <n v="35832"/>
    <n v="206077"/>
    <n v="5.7512000446528244"/>
    <n v="0.48582272828756418"/>
    <n v="0.49000131018988047"/>
    <n v="17408"/>
    <n v="100978"/>
    <s v=""/>
    <n v="0"/>
    <n v="0"/>
    <s v=""/>
    <n v="1"/>
    <n v="35832"/>
    <n v="206077"/>
    <n v="5.7512000446528244"/>
    <s v=""/>
    <n v="0"/>
    <n v="0"/>
    <s v=""/>
    <s v=""/>
    <n v="0"/>
    <n v="0"/>
    <s v=""/>
    <n v="1"/>
    <n v="17557.68"/>
    <n v="100977.73"/>
    <n v="5.7512000446528235"/>
    <s v="4. Transformative"/>
    <s v="3. Responsive"/>
    <s v="4. Transformative"/>
    <s v="It tested new ways for fighting poverty and measured results of innovation"/>
    <s v="Intensive advocacy"/>
    <s v="It linked and worked with strategic alliances and partners to take tested and effective solutions to scale"/>
  </r>
  <r>
    <x v="60"/>
    <x v="0"/>
    <m/>
    <s v="Typhoon Haiyan Reconstruction Assistance"/>
    <s v="Philippines"/>
    <m/>
    <s v="CARE Canada"/>
    <s v="Government"/>
    <s v="Government - Canada"/>
    <s v="Global Affairs Canada (GAC) "/>
    <m/>
    <m/>
    <m/>
    <m/>
    <m/>
    <m/>
    <m/>
    <m/>
    <m/>
    <m/>
    <m/>
    <m/>
    <m/>
    <m/>
    <m/>
    <m/>
    <m/>
    <m/>
    <m/>
    <m/>
    <m/>
    <m/>
    <m/>
    <m/>
    <m/>
    <m/>
    <m/>
    <m/>
    <m/>
    <m/>
    <m/>
    <m/>
    <m/>
    <m/>
    <m/>
    <m/>
    <m/>
    <m/>
    <m/>
    <m/>
    <m/>
    <m/>
    <m/>
    <m/>
    <m/>
    <d v="2015-08-21T00:00:00"/>
    <d v="2019-03-30T00:00:00"/>
    <m/>
    <s v="Development Access to and Control over Economic Resources"/>
    <n v="5178571.43"/>
    <s v="Maria Teresa Bayombong"/>
    <s v="Team Leader"/>
    <s v="maria.bayombong@care.org"/>
    <s v="Antonietta Igot"/>
    <s v="Finance Director"/>
    <s v="Antonietta.igot@care.org"/>
    <s v="NO"/>
    <s v="YES"/>
    <s v="NO"/>
    <s v="The project supports the economic reconstruction of people affected by Typhoon Haiyan in three provinces: Antique and Iloilo in Region 6 and Leyte in Region 8, by addressing the root causes preventing access to knowledge, skills, products, and services. CARE's intervention will contribute to the economic well-being of women and men living in remote rural areas affected by Haiyan."/>
    <s v="National"/>
    <s v="496 barangays/villages in 10 focus municipalities and 32 non-focus municipalities in the provinces of Antique and Iloilo in Region 6 and Leyte in Region 8, applying a value chain development approach on the following commodities: abaca, cassava and other rootcrops, herbs, seaweed and vegetables."/>
    <s v="The main impact group is the farmer-producers and entrepreneurs. Intermediaries are local government unit staff, business development and financial service provider staff, community-based development facilitators, and university graduate trainees."/>
    <n v="13304"/>
    <n v="5701"/>
    <n v="19005"/>
    <n v="86223"/>
    <n v="36953"/>
    <n v="123176"/>
    <s v="Actual direct beneficiaries are 19,005 multiplied to 4.7 average household size= 89,324 - 212,500 total population of the covered barangays and municipalities across the three areas = 123,176 total indirect beneficiaries                                                                                                                                                                                                                                                                                                                                                                                                              *Direct beneficiaries - 19,005 x .70 total average of women= 13,304; 19,005 x .30 total average of men= 5,701                                                                                                                                                                                                              *Indirect beneficiaries - 123,176 x .70 total average of women= 86,223; 123,176 x .30 total average of men= 36,953"/>
    <m/>
    <m/>
    <m/>
    <m/>
    <m/>
    <m/>
    <m/>
    <m/>
    <m/>
    <m/>
    <m/>
    <m/>
    <m/>
    <m/>
    <m/>
    <m/>
    <m/>
    <m/>
    <m/>
    <m/>
    <m/>
    <m/>
    <m/>
    <m/>
    <m/>
    <m/>
    <m/>
    <m/>
    <m/>
    <m/>
    <m/>
    <m/>
    <m/>
    <m/>
    <m/>
    <m/>
    <m/>
    <m/>
    <m/>
    <m/>
    <m/>
    <m/>
    <m/>
    <m/>
    <m/>
    <m/>
    <m/>
    <m/>
    <m/>
    <m/>
    <m/>
    <m/>
    <m/>
    <m/>
    <m/>
    <m/>
    <m/>
    <m/>
    <m/>
    <m/>
    <n v="13304"/>
    <n v="5701"/>
    <n v="19005"/>
    <n v="86223"/>
    <n v="36953"/>
    <n v="123176"/>
    <m/>
    <m/>
    <m/>
    <m/>
    <m/>
    <m/>
    <m/>
    <m/>
    <m/>
    <m/>
    <m/>
    <m/>
    <m/>
    <m/>
    <m/>
    <m/>
    <s v="YES"/>
    <n v="19005"/>
    <n v="0.7"/>
    <n v="123176"/>
    <m/>
    <m/>
    <m/>
    <m/>
    <m/>
    <m/>
    <m/>
    <m/>
    <m/>
    <m/>
    <m/>
    <m/>
    <m/>
    <m/>
    <m/>
    <m/>
    <m/>
    <m/>
    <m/>
    <m/>
    <m/>
    <m/>
    <m/>
    <m/>
    <m/>
    <m/>
    <m/>
    <m/>
    <m/>
    <m/>
    <m/>
    <m/>
    <m/>
    <m/>
    <m/>
    <m/>
    <m/>
    <m/>
    <m/>
    <m/>
    <s v="YES"/>
    <m/>
    <m/>
    <m/>
    <m/>
    <m/>
    <m/>
    <m/>
    <m/>
    <s v="YES"/>
    <s v="March"/>
    <n v="2017"/>
    <s v="YES"/>
    <s v="YES"/>
    <s v="September"/>
    <n v="2018"/>
    <s v="Areas for improvement for future evaluation are the following:                                                                                          * The evaluation has identified a number of statements in the survey form that are very long, sometimes have different questions incorporated, no qualifiers to help enumerators explain the question to respondents. *Questions in regards to income sources and statements on gender equality need to be revised to improve data that would be collected in the Endline survey. *Consider proper timing of the collection of income data. This is in the case of the attribution of changes in income derived from activities within the target value chains. A set of tools need to be developed that will capture the income from the value chains throughout the participation of the beneficiaries. *Contract an external agency to conduct the complete evaluation of quantitative and qualitative data-gathering to establish one continuous process. *Pre- and post-training evaluations have to be of good quality in terms of collection and processing in order to support knowledge utilization."/>
    <x v="2"/>
    <s v="YES"/>
    <s v="YES"/>
    <s v="YES"/>
    <s v="YES"/>
    <s v="NO"/>
    <m/>
    <s v="YES"/>
    <m/>
    <m/>
    <x v="2"/>
    <s v="The value chain approach proved to be appropriate to the prevailing context. It was introduced after the early recovery phase. The choice of commodities was informed by existing market potential, opportunities for vulnerable and Haiyan-affected household participates as an alternative livelihood, or to diversify their income sources.The choice of the selected commodities with high potential provides focus to the Project and motivation for affected communities to participate. In addition, the conduct of engendered value chain studies with stakeholders identified key issues to address allowing purposeful targeting of actors in the enabling environment, and providers of market services.                                                                                              "/>
    <x v="1"/>
    <s v="The Project works mainly with local government units (LGUs) to increase and sustained support to the value chain development, mobilizing LGUs in providing gender responsive and risk-informed support services to beneficiaries and other enterprise within the value chain.This includes resource support from different municipal departments . Also, the Project advocates policy support to building and maintaining resilient livelihoods that will be sustained beyond project duration and government administrations. Thus, working with the government agencies provides mutual benefits, skills and income opportunities for beneficiaries, and facilitates access of agencies to communities. Sustaining  and enhancing this engagement should be prioritized in the remaining project timetable.                                                                                                                                     "/>
    <x v="1"/>
    <x v="1"/>
    <s v="YES"/>
    <x v="0"/>
    <x v="0"/>
    <x v="0"/>
    <x v="2"/>
    <n v="4"/>
    <x v="2"/>
    <x v="1"/>
    <x v="1"/>
    <x v="2"/>
    <x v="1"/>
    <x v="5"/>
    <n v="3"/>
    <x v="3"/>
    <x v="1"/>
    <x v="1"/>
    <x v="1"/>
    <x v="4"/>
    <n v="3"/>
    <x v="0"/>
    <x v="2"/>
    <n v="7"/>
    <s v="Local NGO(s)/CSO(s)"/>
    <s v="Local government(s)"/>
    <s v="Private sector"/>
    <x v="0"/>
    <s v="The project works with both formal and informal groups to build their capacities in strenthening inter-firm relationships along the value chain and influence government programs and policies. These are formal groups such as LGU committees/councils, Rural Improvement Club (RIC), and community-based organizations; and informal groups such as municipal and provincial technical quality working groups created for the project, value chain clusters based on functions and inter-linkages, and Gender and Development (GAD) network."/>
    <s v="The mainstreaming of gender, resilience and governance in all capacity building and related activities was intensified. The approach allowed women and men participants to better appreciate how the themes relate to building their entrepreneurial competencies and how this understanding will impact on decision making and consequent participation in the social and value chain processes and governance."/>
    <s v="The value chain approach remains relevant to the appropriate context. Focus for remaining period of project implementation is productivity improvement and market access."/>
    <s v="The work with the government agencies provides mutual benefits, skills and income opportunities for association members, and facilitating access of agencies to communities, a link they do not necessarily have. Sustaining and enhancing this engagement should be a priority in the remaining project timetable."/>
    <s v="The Project benefits from the local knowledge and strong links of local implementing partners with provincial or municipal governments or having as their core activity the provision of micro-finance or other support services to members."/>
    <s v="The use of existing modules and community facilitators for the training have resulted in immediate gains to the Project. The capacity building activities contributed to improved beneficiaries individual business skills."/>
    <s v="Incorporating gender equality and risk reduction in trainings is an effective approach in mainstreaming."/>
    <s v="Training community-based organizations and individuals in management and organizational leadership skills are also means of promoting more inclusive governance of formal and informal community organizations, and developing community abilities to engage official government structures."/>
    <m/>
    <s v="Mid-term evaluation http://www.careevaluations.org/Evaluations/Typhoon%20Haiyan%20Reconstruction%20Assistance%20Project%20Midterm.pdf"/>
    <n v="19005"/>
    <n v="123176"/>
    <n v="6.4812417784793475"/>
    <n v="0.70002630886608785"/>
    <n v="0.69999837630707284"/>
    <n v="13304"/>
    <n v="86223"/>
    <s v=""/>
    <n v="0"/>
    <n v="0"/>
    <s v=""/>
    <n v="1"/>
    <n v="19005"/>
    <n v="123176"/>
    <n v="6.4812417784793475"/>
    <s v=""/>
    <n v="0"/>
    <n v="0"/>
    <s v=""/>
    <s v=""/>
    <n v="0"/>
    <n v="0"/>
    <s v=""/>
    <n v="1"/>
    <n v="13303.5"/>
    <n v="86223.2"/>
    <n v="6.4812417784793475"/>
    <s v="4. Transformative"/>
    <s v="3. Responsive"/>
    <s v="4. Transformative"/>
    <s v="It tested new ways for fighting poverty and measured results of innovation"/>
    <s v="Intensive advocacy"/>
    <s v="It linked and worked with strategic alliances and partners to take tested and effective solutions to scale"/>
  </r>
  <r>
    <x v="60"/>
    <x v="0"/>
    <m/>
    <s v="Typhoon Nock-ten Response"/>
    <s v="Philippines"/>
    <m/>
    <s v="CARE USA"/>
    <s v="Other"/>
    <m/>
    <s v="Emergency Response Fund"/>
    <m/>
    <m/>
    <m/>
    <m/>
    <m/>
    <m/>
    <m/>
    <m/>
    <m/>
    <m/>
    <m/>
    <m/>
    <m/>
    <m/>
    <m/>
    <m/>
    <m/>
    <m/>
    <m/>
    <m/>
    <m/>
    <m/>
    <m/>
    <m/>
    <m/>
    <m/>
    <m/>
    <m/>
    <m/>
    <m/>
    <m/>
    <m/>
    <m/>
    <m/>
    <m/>
    <m/>
    <m/>
    <m/>
    <m/>
    <m/>
    <m/>
    <m/>
    <m/>
    <m/>
    <m/>
    <d v="2016-12-01T00:00:00"/>
    <d v="2017-04-01T00:00:00"/>
    <m/>
    <s v="Humanitarian Other"/>
    <m/>
    <s v="Jerome Lanit"/>
    <s v="Emergency Coordinator"/>
    <s v="jerome.lanit@care.org"/>
    <m/>
    <m/>
    <m/>
    <s v="YES"/>
    <s v="NO"/>
    <s v="NO"/>
    <s v="Support the affected families of Typhoon Nock-ten in Bicol Region repair damaged shelters."/>
    <s v="Sub-National"/>
    <s v="The locations are remote barangays (local term for villages) in Camarines Sur province in the Bicol Region. These are a combination of upland and coastal villages."/>
    <s v="The target affected families are those who had completely and partially damaged shelters in remote areas in Camarines Sur province in Bicol Region"/>
    <m/>
    <m/>
    <m/>
    <m/>
    <m/>
    <m/>
    <m/>
    <m/>
    <n v="544"/>
    <n v="566"/>
    <n v="1110"/>
    <m/>
    <m/>
    <m/>
    <m/>
    <m/>
    <m/>
    <m/>
    <m/>
    <m/>
    <m/>
    <m/>
    <m/>
    <m/>
    <m/>
    <m/>
    <m/>
    <m/>
    <m/>
    <m/>
    <m/>
    <m/>
    <m/>
    <m/>
    <m/>
    <m/>
    <m/>
    <m/>
    <m/>
    <m/>
    <m/>
    <m/>
    <m/>
    <m/>
    <m/>
    <m/>
    <m/>
    <m/>
    <m/>
    <m/>
    <m/>
    <m/>
    <m/>
    <m/>
    <s v="YES"/>
    <n v="1110"/>
    <n v="0.49"/>
    <m/>
    <m/>
    <m/>
    <m/>
    <m/>
    <m/>
    <m/>
    <m/>
    <m/>
    <m/>
    <m/>
    <m/>
    <m/>
    <m/>
    <m/>
    <m/>
    <m/>
    <m/>
    <m/>
    <m/>
    <m/>
    <m/>
    <m/>
    <m/>
    <m/>
    <m/>
    <m/>
    <m/>
    <m/>
    <m/>
    <m/>
    <m/>
    <m/>
    <m/>
    <m/>
    <m/>
    <m/>
    <m/>
    <m/>
    <m/>
    <m/>
    <m/>
    <m/>
    <m/>
    <m/>
    <m/>
    <m/>
    <m/>
    <m/>
    <m/>
    <m/>
    <m/>
    <m/>
    <m/>
    <m/>
    <m/>
    <m/>
    <m/>
    <m/>
    <m/>
    <m/>
    <m/>
    <m/>
    <m/>
    <m/>
    <m/>
    <m/>
    <m/>
    <m/>
    <m/>
    <m/>
    <m/>
    <m/>
    <m/>
    <m/>
    <m/>
    <m/>
    <m/>
    <m/>
    <m/>
    <m/>
    <m/>
    <m/>
    <m/>
    <m/>
    <s v="NO"/>
    <m/>
    <m/>
    <s v="NO"/>
    <s v="NO"/>
    <m/>
    <m/>
    <m/>
    <x v="0"/>
    <s v="NO"/>
    <s v="NO"/>
    <s v="NO"/>
    <s v="NO"/>
    <s v="NO"/>
    <s v="NO"/>
    <s v="NO"/>
    <s v="NO"/>
    <m/>
    <x v="0"/>
    <m/>
    <x v="1"/>
    <m/>
    <x v="1"/>
    <x v="0"/>
    <s v="YES"/>
    <x v="0"/>
    <x v="0"/>
    <x v="0"/>
    <x v="0"/>
    <n v="4"/>
    <x v="1"/>
    <x v="1"/>
    <x v="2"/>
    <x v="2"/>
    <x v="1"/>
    <x v="4"/>
    <n v="2"/>
    <x v="1"/>
    <x v="1"/>
    <x v="2"/>
    <x v="1"/>
    <x v="3"/>
    <n v="2"/>
    <x v="0"/>
    <x v="2"/>
    <n v="1"/>
    <s v="Local NGO(s)/CSO(s)"/>
    <m/>
    <m/>
    <x v="0"/>
    <m/>
    <m/>
    <s v="Importance of forging partnerships with local CSOs and NGOs. CARE didn't have presence in Bicol prior to Typhoon Nock-ten's devastation. And it helped that CARE has a partnership with Citizens Disaster Response Center with a member NGO in Bicol."/>
    <s v="Setting up of community-based feedback mechanism like suggestion boxes and community dialogues to avoid or address conflict in benefeciary selection process."/>
    <s v="Setting up of gender-balanced local roving teams to monitor the progress of shelter repair"/>
    <s v="CARE's Humanitarian Partnership Platform is CARE's one key advantages in responding to emergencies. It's much faster to respond working with local partners."/>
    <s v="Some partners still don't have sufficient experience and capacity to implement a shelter repair project so it is important to further capacitate them."/>
    <m/>
    <m/>
    <m/>
    <n v="1110"/>
    <n v="0"/>
    <n v="0"/>
    <n v="0.49009009009009008"/>
    <s v=""/>
    <n v="544"/>
    <n v="0"/>
    <n v="1"/>
    <n v="1110"/>
    <n v="0"/>
    <n v="0"/>
    <s v=""/>
    <n v="0"/>
    <n v="0"/>
    <s v=""/>
    <s v=""/>
    <n v="0"/>
    <n v="0"/>
    <s v=""/>
    <s v=""/>
    <n v="0"/>
    <n v="0"/>
    <s v=""/>
    <s v=""/>
    <n v="0"/>
    <n v="0"/>
    <s v=""/>
    <s v="2. Sensitive"/>
    <s v="1. Tokenistic"/>
    <s v="1. Neutral"/>
    <s v="It did not develop any specific innovation"/>
    <s v="Little or no advocacy"/>
    <s v="It linked and worked with strategic alliances and partners to take tested and effective solutions to scale"/>
  </r>
  <r>
    <x v="61"/>
    <x v="1"/>
    <m/>
    <s v="Soutien aux programmes de SERA Romania, programmes de réforme du système de protection roumain"/>
    <s v="Romania"/>
    <s v="FRUNRUNRPRG0160"/>
    <s v="No CARE member related to the project/initiative"/>
    <s v="Government"/>
    <m/>
    <m/>
    <m/>
    <m/>
    <m/>
    <m/>
    <m/>
    <m/>
    <m/>
    <m/>
    <m/>
    <m/>
    <m/>
    <m/>
    <m/>
    <m/>
    <m/>
    <m/>
    <m/>
    <m/>
    <m/>
    <m/>
    <m/>
    <m/>
    <m/>
    <m/>
    <m/>
    <m/>
    <m/>
    <m/>
    <m/>
    <m/>
    <m/>
    <m/>
    <m/>
    <m/>
    <m/>
    <m/>
    <m/>
    <m/>
    <m/>
    <m/>
    <m/>
    <m/>
    <m/>
    <m/>
    <m/>
    <d v="2003-01-01T00:00:00"/>
    <m/>
    <m/>
    <s v="Development Other"/>
    <n v="2400000"/>
    <s v="Bogdan Simion"/>
    <s v="Directeur Executif"/>
    <s v="bogdan.simion@sera.ro"/>
    <s v="Dana Antos"/>
    <s v="Directrice Financière"/>
    <s v="dana.antos@sera.ro"/>
    <s v="NO"/>
    <s v="YES"/>
    <s v="NO"/>
    <s v="Aide à la réforme du système de protection de l'enfance roumain. Faire respecter le droit de chaque enfant de grandir dans une famille. Développement d'alternatives à l'institutionnalisation, développement de programmes de prévention de la grossesse non désirée et de l'abandon des enfants."/>
    <s v="National"/>
    <s v="en FY 17 les projets ont touché 19 départements sur 41 au total."/>
    <s v="les bénéficiaires principaux sont les enfants sous la protection de l'état roumain, notamment celles et ceux qui sont en institution. Egalement les enfatns qui grandissent dans des familles vulnérables et sont à risque d'être placés pour des raisons de pauvreté des familles. les bénéficiaires adultes sont les familles vulnérables à risque d'abandonner leur enfant pour des raisons de pauvreté, et les familles à risque d'abandonner des enfants."/>
    <n v="4234"/>
    <n v="1423"/>
    <n v="5657"/>
    <n v="17000"/>
    <n v="3050"/>
    <n v="20050"/>
    <s v="cela dépend des programmes. Dans le cadre d'un projet de planning familial itinérant, les participant.e.s indirect..e.s sont les enfants, les conjoints éventuels des femmes participantes. Dans le cadre d'un projet de construction de centre thérapeutique pour enfant en situation de handicap ou une maison de type familial, les participant.e.s direct.e.s sont les enfants, les participant.e.s indirect.e.s sont le personnel des directions de protection de l'enfance, les familles des enfants ou personnel encadrant."/>
    <m/>
    <m/>
    <m/>
    <m/>
    <m/>
    <m/>
    <m/>
    <m/>
    <m/>
    <m/>
    <m/>
    <m/>
    <m/>
    <m/>
    <m/>
    <m/>
    <m/>
    <m/>
    <m/>
    <m/>
    <m/>
    <m/>
    <m/>
    <m/>
    <m/>
    <m/>
    <m/>
    <m/>
    <m/>
    <m/>
    <m/>
    <m/>
    <m/>
    <m/>
    <m/>
    <m/>
    <m/>
    <m/>
    <m/>
    <m/>
    <m/>
    <m/>
    <m/>
    <m/>
    <m/>
    <m/>
    <m/>
    <m/>
    <m/>
    <m/>
    <m/>
    <m/>
    <m/>
    <m/>
    <m/>
    <m/>
    <m/>
    <m/>
    <m/>
    <m/>
    <n v="4234"/>
    <n v="1423"/>
    <n v="5657"/>
    <n v="14809"/>
    <n v="15149"/>
    <n v="29958"/>
    <s v="NO"/>
    <m/>
    <m/>
    <m/>
    <s v="NO"/>
    <m/>
    <m/>
    <m/>
    <s v="NO"/>
    <m/>
    <m/>
    <m/>
    <s v="NO"/>
    <m/>
    <m/>
    <m/>
    <s v="NO"/>
    <m/>
    <m/>
    <m/>
    <s v="NO"/>
    <m/>
    <m/>
    <m/>
    <s v="NO"/>
    <m/>
    <m/>
    <m/>
    <s v="NO"/>
    <m/>
    <m/>
    <m/>
    <s v="NO"/>
    <m/>
    <m/>
    <m/>
    <s v="YES"/>
    <n v="960"/>
    <n v="0.4"/>
    <n v="2004"/>
    <s v="NO"/>
    <m/>
    <m/>
    <m/>
    <s v="NO"/>
    <m/>
    <m/>
    <m/>
    <s v="NO"/>
    <m/>
    <m/>
    <m/>
    <s v="YES"/>
    <n v="3055"/>
    <n v="1"/>
    <n v="21385"/>
    <s v="NO"/>
    <m/>
    <m/>
    <m/>
    <s v="NO"/>
    <m/>
    <m/>
    <m/>
    <s v="protection de l'enfance/ désinstitutionnalisation, prévention"/>
    <s v="YES"/>
    <n v="1642"/>
    <n v="0.48"/>
    <n v="6568"/>
    <s v="NO"/>
    <m/>
    <m/>
    <s v="NO"/>
    <s v="YES"/>
    <s v="March"/>
    <n v="2018"/>
    <s v="une évaluation par un.e expert.e genre est prévue pour le programme &quot;planning familial itinérant&quot; (objectif: prévention des grossesses non désirées qui entrainent avortements et abandons d'enfants), dont l'objectif est de rendre le programme plus transformatif d'un point de vue du genre. ce programme est développé depuis 15 ans dans le pays pas la fondation partenaire de CARE France en Roumanie, SERA ROMANIA et touche 75% des départements."/>
    <x v="0"/>
    <s v="NO"/>
    <s v="NO"/>
    <s v="NO"/>
    <s v="NO"/>
    <s v="NO"/>
    <s v="NO"/>
    <s v="NO"/>
    <s v="NO"/>
    <m/>
    <x v="1"/>
    <s v="développement de modèles réplicables au niveau départemental pour l'amélioration des pratiques liées à la protection de l'enfant (développement de services alternatifs, prévention et désinstitutionnalisation, prévention des grossesses non désirées)"/>
    <x v="1"/>
    <s v="modèles de programmes de prévention, désinstitutionnalisation, développement de services (maisons de type familial, centres thérapeutiques pour enfants en situation de handicap), à l'échelle du département et réplicables dans d'autres départements"/>
    <x v="0"/>
    <x v="0"/>
    <s v="NO"/>
    <x v="0"/>
    <x v="0"/>
    <x v="1"/>
    <x v="1"/>
    <n v="2"/>
    <x v="3"/>
    <x v="0"/>
    <x v="0"/>
    <x v="0"/>
    <x v="0"/>
    <x v="3"/>
    <n v="0"/>
    <x v="2"/>
    <x v="0"/>
    <x v="0"/>
    <x v="0"/>
    <x v="2"/>
    <n v="0"/>
    <x v="2"/>
    <x v="2"/>
    <n v="1"/>
    <s v="Local NGO(s)/CSO(s)"/>
    <m/>
    <m/>
    <x v="1"/>
    <m/>
    <m/>
    <s v="CARE France travaille avec l'ONG spécialiste du secteur de la protection de l'enfance."/>
    <s v="Les actions se font en synergie avec d'autres acteurs pertinents du secteur."/>
    <s v="Le partenaire de CARE France pour ce programme est un des représentants de la société civile dans son domaine (association fondatrice de la Fédération Nationale de Protection de l'Enfance, FONPC)"/>
    <s v="SERA ROMANIA, qui a développé des modèles économiques visant à limiter le nombre d'abandons d'enfants et d'enfants placés sous la protection de l'état, propose ces modèles réplicables à un nombre grandissant de départements, qui sont également proactifs pour les mettre en place. une vraie dynamique s'installe dans le secteur, appuyée par l'autorité centrale et l'UE qui soutient également la réforme de l'ancien système de placement d'enfants dans des grands centres résidentiels."/>
    <s v="Nous avons commencé à sensibiliser/ former l'équipe du partenaire à la question du genre, et à leur demander d'intégrer des données sexo spécifiques. Le partenaire est de plus en plus réceptif, et un membre de son équipe a participé à la formation TOT Engaging Men donnée à CARE France en février 2017."/>
    <s v="Accompagnement du partenaire dans le renforcement de sa communication et dans le lancement de ses activités propres de collecte de fonds."/>
    <s v="les tableaux ne sont malheureusement pas vraiment adaptés aux programmes liés à la protection de l'enfance, donc j'ai adapté aussi bien que possible."/>
    <m/>
    <n v="5657"/>
    <n v="29958"/>
    <n v="5.2957397914088737"/>
    <n v="0.74845324376878208"/>
    <n v="0.49432538887776217"/>
    <n v="4234"/>
    <n v="14809"/>
    <s v=""/>
    <n v="0"/>
    <n v="0"/>
    <s v=""/>
    <s v=""/>
    <n v="0"/>
    <n v="0"/>
    <s v=""/>
    <n v="1"/>
    <n v="3055"/>
    <n v="21385"/>
    <n v="7"/>
    <s v=""/>
    <n v="0"/>
    <n v="0"/>
    <s v=""/>
    <s v=""/>
    <n v="0"/>
    <n v="0"/>
    <s v=""/>
    <s v="1. Neutral"/>
    <s v="0. Unaware"/>
    <s v="0. Harmful"/>
    <s v="It tested new ways for fighting poverty, but did not measure results of innovation"/>
    <s v="Little or no advocacy"/>
    <s v="It linked and worked with strategic alliances and partners to take tested and effective solutions to scale"/>
  </r>
  <r>
    <x v="62"/>
    <x v="3"/>
    <n v="3297"/>
    <s v="Better Environment for Education (BEE)"/>
    <s v="Rwanda"/>
    <s v="SUNBRW0001"/>
    <s v="CARE USA"/>
    <s v="Foundation"/>
    <s v="Other"/>
    <s v="SunBridge Foundation"/>
    <m/>
    <m/>
    <m/>
    <m/>
    <m/>
    <m/>
    <m/>
    <m/>
    <m/>
    <m/>
    <m/>
    <m/>
    <m/>
    <m/>
    <m/>
    <m/>
    <m/>
    <m/>
    <m/>
    <m/>
    <m/>
    <m/>
    <m/>
    <m/>
    <m/>
    <m/>
    <m/>
    <m/>
    <m/>
    <m/>
    <m/>
    <m/>
    <m/>
    <m/>
    <m/>
    <m/>
    <m/>
    <m/>
    <m/>
    <m/>
    <m/>
    <m/>
    <m/>
    <m/>
    <m/>
    <d v="2016-01-01T00:00:00"/>
    <d v="2018-12-01T00:00:00"/>
    <m/>
    <s v="Development Other"/>
    <n v="870013"/>
    <s v="Sam KALINDA"/>
    <s v="Project Manager"/>
    <s v="samk.rw@care.org"/>
    <s v="Eugene RUSANGANWA"/>
    <s v="Program Coordinator"/>
    <s v="eugener.rw@care.org"/>
    <s v="NO"/>
    <s v="YES"/>
    <s v="NO"/>
    <s v="The overall goal if the project is for adolescents, especially marginalize girls in the Western Province, to build capabilities and pursue opportunities to ralize their aspirations."/>
    <s v="Sub-National"/>
    <s v="The project is being implemented in 4 districts of the Western Province of Rwanda: Karongi, Rutsiro, Nyabihu and Ngororero"/>
    <s v="Adolscent girls and boys between 12-18 years in lower secondary schools"/>
    <n v="28569"/>
    <n v="20143"/>
    <n v="48712"/>
    <n v="83144"/>
    <n v="65328"/>
    <n v="148472"/>
    <s v="Direct participants are adolescent girls and boys in lower secondary schools that are enrolled in the project located in the Western Province, along with the teacher mentors. Indirect participants include household members of the direct participants and teachers that are not mentors. For direct participants, we use a headcount of students and mentors (321 female mentors, 143 male mentors) in the targeted lower secondary schools to calculate the total number.  For indirect participants, use a conservative estimate of the average household size (4.0) to account for potential overlap in households by siblings enrolled in the project and other teacher at the schools that were not selected to be mentors but participant in the weekly meeting conducted at the schools where mentors share out on the projects activities and progress with students. For example, the project assumes that each student and mentor is a member of a household with 4 people, which equals 146,136 indirect participants. There are 146 schools in the BEE project and each has around 16 teachers that are not mentors (4 mentors were selected from each school) which equals 2,288 (1287 female teachers, 1007 male teachers) indirect teacher beneficiaries. Once you subtract each direct participant from the household calculation and add in the indirect teachers, the national stastistic of 56% of Rwanda's population as females, and 44 percent of the population as males is used to calculate women/girls and men/boys breakdowns for indirect participants."/>
    <m/>
    <m/>
    <m/>
    <m/>
    <m/>
    <m/>
    <m/>
    <m/>
    <m/>
    <m/>
    <m/>
    <m/>
    <m/>
    <m/>
    <m/>
    <m/>
    <m/>
    <m/>
    <m/>
    <m/>
    <m/>
    <m/>
    <m/>
    <m/>
    <m/>
    <m/>
    <m/>
    <m/>
    <m/>
    <m/>
    <m/>
    <m/>
    <m/>
    <m/>
    <m/>
    <m/>
    <m/>
    <m/>
    <m/>
    <m/>
    <m/>
    <m/>
    <m/>
    <m/>
    <m/>
    <m/>
    <m/>
    <m/>
    <m/>
    <m/>
    <m/>
    <m/>
    <m/>
    <m/>
    <m/>
    <m/>
    <m/>
    <m/>
    <m/>
    <m/>
    <n v="24856"/>
    <n v="19966"/>
    <n v="44822"/>
    <n v="76609"/>
    <n v="60193"/>
    <n v="136802"/>
    <s v="NO"/>
    <m/>
    <m/>
    <m/>
    <s v="NO"/>
    <m/>
    <m/>
    <m/>
    <s v="NO"/>
    <m/>
    <m/>
    <m/>
    <s v="NO"/>
    <m/>
    <m/>
    <m/>
    <s v="NO"/>
    <m/>
    <m/>
    <m/>
    <s v="YES"/>
    <n v="44822"/>
    <n v="0.55454910999999996"/>
    <n v="136802"/>
    <s v="YES"/>
    <n v="200"/>
    <n v="0.92"/>
    <n v="0"/>
    <s v="YES"/>
    <n v="44822"/>
    <n v="0.55454910999999996"/>
    <n v="136802"/>
    <s v="NO"/>
    <m/>
    <m/>
    <m/>
    <s v="NO"/>
    <m/>
    <m/>
    <m/>
    <s v="NO"/>
    <m/>
    <m/>
    <m/>
    <s v="NO"/>
    <m/>
    <m/>
    <m/>
    <s v="YES"/>
    <m/>
    <m/>
    <m/>
    <s v="YES"/>
    <n v="44822"/>
    <n v="0.55454910999999996"/>
    <n v="136802"/>
    <s v="NO"/>
    <m/>
    <m/>
    <m/>
    <s v="YES"/>
    <n v="44822"/>
    <n v="0.55454910999999996"/>
    <n v="136802"/>
    <m/>
    <m/>
    <m/>
    <m/>
    <m/>
    <s v="YES"/>
    <s v="June"/>
    <n v="2017"/>
    <s v="YES"/>
    <s v="NO"/>
    <m/>
    <m/>
    <s v="The final evaluation for BEE is planned for the beginning for FY19."/>
    <x v="0"/>
    <s v="NO"/>
    <s v="NO"/>
    <s v="NO"/>
    <s v="NO"/>
    <s v="NO"/>
    <s v="NO"/>
    <s v="NO"/>
    <m/>
    <m/>
    <x v="0"/>
    <m/>
    <x v="1"/>
    <s v="BEE works with African Evangelistic Enterprises (AEE) to educate girls and boys on financial literacy. AEE itself partners with financial institutions (e.g. Equity Bank, UNGUKA) to link BEE beneficiaries to financial linkages after they have undergone financial literacy courses."/>
    <x v="1"/>
    <x v="1"/>
    <s v="YES"/>
    <x v="0"/>
    <x v="0"/>
    <x v="0"/>
    <x v="2"/>
    <n v="4"/>
    <x v="1"/>
    <x v="2"/>
    <x v="1"/>
    <x v="1"/>
    <x v="1"/>
    <x v="1"/>
    <n v="3"/>
    <x v="3"/>
    <x v="2"/>
    <x v="1"/>
    <x v="1"/>
    <x v="5"/>
    <n v="2"/>
    <x v="2"/>
    <x v="2"/>
    <n v="2"/>
    <s v="Local NGO(s)/CSO(s)"/>
    <m/>
    <m/>
    <x v="1"/>
    <m/>
    <s v="BEE did not undergo any important changes or adjustments to the project in FY 17."/>
    <s v="The Savings and Loan methodology has been quickly applied within the schools and clubs. There are many other VSL projects that CARE is immplementing with adults and the lessons learned from those projects have been very benficial to the implementation of the VSL component in our project."/>
    <s v="The student clubs are used as a social network for the girls and boys to interact with each other and support and reinforce the education they are receiving by the project."/>
    <s v="The use of community score cards has also been a useful strategy to gain feedback from the beneficiaries in encouraging the students to use their voice and to gain information that can be shared with servic eproviders."/>
    <m/>
    <s v="The integration of the 3 major objectives of the projects has created a time constraint (1 hr) for mentors to work with students in the clubs. This has been and will be challenging to make sure that the 3 key lessons are being fully integrated in such a short amount of time."/>
    <s v="When we started the project, saying that we are forming clubs, some education officers at district level and sector level did not understand how girls and boys at the lower secondary level could have money to save. The officers were unaware that we were engaging parents and guardians to help the students save. However, now that we have had success, the officials are supportive and support the clubs as a feasible activity."/>
    <s v="The Ministry of Education is very interested to see how the project is impacting the performance of the schools that we are working with (retention, dropout, success of students and teachers, etc.) Also of note is that BEE and SS4G are sister projects operating in different projects. Project implementation is consistent between the two, but BEE has an additional component of food &amp; nutrition security. It targeted 200 girls and boys that were at high risk of food insecurity and worked with their parents to provide financial support for the boys and girls to purchase food during the day."/>
    <m/>
    <n v="44822"/>
    <n v="136802"/>
    <n v="3.0521172638436482"/>
    <n v="0.55454910535005131"/>
    <n v="0.55999912281984177"/>
    <n v="24856"/>
    <n v="76609"/>
    <s v=""/>
    <n v="0"/>
    <n v="0"/>
    <s v=""/>
    <n v="1"/>
    <n v="200"/>
    <n v="0"/>
    <n v="0"/>
    <n v="1"/>
    <n v="44822"/>
    <n v="136802"/>
    <n v="3.0521172638436482"/>
    <n v="1"/>
    <n v="44822"/>
    <n v="136802"/>
    <n v="3.0521172638436482"/>
    <n v="1"/>
    <n v="44822"/>
    <n v="136802"/>
    <n v="3.0521172638436482"/>
    <s v="4. Transformative"/>
    <s v="2. Accommodating"/>
    <s v="3. Responsive"/>
    <s v="It did not develop any specific innovation"/>
    <s v="Little or no advocacy"/>
    <s v="It linked and worked with strategic alliances and partners to take tested and effective solutions to scale"/>
  </r>
  <r>
    <x v="62"/>
    <x v="3"/>
    <n v="3298"/>
    <s v="Child Sensitive Social Protection &amp; Nutrition Specific Intervention Project (CSSP)"/>
    <s v="Rwanda"/>
    <s v="UNCFRW0014"/>
    <s v="No CARE member related to the project/initiative"/>
    <s v="Multilateral agency"/>
    <s v="UN - United Nations agencies/offices"/>
    <s v="UNICEF"/>
    <m/>
    <m/>
    <m/>
    <m/>
    <m/>
    <m/>
    <m/>
    <m/>
    <m/>
    <m/>
    <m/>
    <m/>
    <m/>
    <m/>
    <m/>
    <m/>
    <m/>
    <m/>
    <m/>
    <m/>
    <m/>
    <m/>
    <m/>
    <m/>
    <m/>
    <m/>
    <m/>
    <m/>
    <m/>
    <m/>
    <m/>
    <m/>
    <m/>
    <m/>
    <m/>
    <m/>
    <m/>
    <m/>
    <m/>
    <m/>
    <m/>
    <m/>
    <m/>
    <m/>
    <m/>
    <d v="2015-08-05T00:00:00"/>
    <d v="2016-12-31T00:00:00"/>
    <d v="2017-03-31T00:00:00"/>
    <s v="Development Food &amp; Nutrition Security and Resilience to Climate Change"/>
    <n v="424019"/>
    <s v="Geoffrey M. Kayijuka"/>
    <s v="Project Manager"/>
    <s v="geoffreyk.rw@care.org"/>
    <s v="Eugene Rusanganwa"/>
    <s v="Orphan and Vulnerable Children (OVC) Program Coordinator"/>
    <s v="eugener.rw@care.org"/>
    <s v="NO"/>
    <s v="YES"/>
    <s v="NO"/>
    <s v="The project aims to increase the capacity of national and decentralized institutions to target and deliver equitable and holistic child-sensitive social protection services through establishing child care support at public works sites and developing new types of public works for caregivers."/>
    <s v="Sub-National"/>
    <s v="The project worked in the Western, Northern, &amp; Kigali City Provinces. Districts: Nyabihu, Gakenke, Gicumbi, Nyamasheke and Gasabo"/>
    <s v="15,000 Poor and vulnerable children under 2 years of age and 240 poor and vulnerable adult caregivers"/>
    <n v="7925"/>
    <n v="7315"/>
    <n v="15240"/>
    <n v="19812"/>
    <n v="18288"/>
    <n v="38100"/>
    <s v="Direct participans include 15,000 poor and vulnerable children enrolled in the CSSP project and 240 adults selected for the public works component of the project. Although information on the participants were collected at health centers, the project team did not use this for the gender breakdown. The proportion of women/girls to men/boys used the national statistic of 52% women/girls, 48% men/boys in Rwanda.  Indirect participants are considered the parents of each child receiving services, and family members of the 240 adults that are being targeted. Due to this designation, a multiplier of 2.5 is used."/>
    <m/>
    <m/>
    <m/>
    <m/>
    <m/>
    <m/>
    <m/>
    <m/>
    <m/>
    <m/>
    <m/>
    <m/>
    <m/>
    <m/>
    <m/>
    <m/>
    <m/>
    <m/>
    <m/>
    <m/>
    <m/>
    <m/>
    <m/>
    <m/>
    <m/>
    <m/>
    <m/>
    <m/>
    <m/>
    <m/>
    <m/>
    <m/>
    <m/>
    <m/>
    <m/>
    <m/>
    <m/>
    <m/>
    <m/>
    <m/>
    <m/>
    <m/>
    <m/>
    <m/>
    <m/>
    <m/>
    <m/>
    <m/>
    <m/>
    <m/>
    <m/>
    <m/>
    <m/>
    <m/>
    <m/>
    <m/>
    <m/>
    <m/>
    <m/>
    <m/>
    <n v="7726"/>
    <n v="7131"/>
    <n v="14857"/>
    <n v="19314"/>
    <n v="17829"/>
    <n v="37143"/>
    <s v="NO"/>
    <m/>
    <m/>
    <m/>
    <s v="NO"/>
    <m/>
    <m/>
    <m/>
    <s v="NO"/>
    <m/>
    <m/>
    <m/>
    <s v="NO"/>
    <m/>
    <m/>
    <m/>
    <s v="NO"/>
    <m/>
    <m/>
    <m/>
    <s v="NO"/>
    <m/>
    <m/>
    <m/>
    <s v="YES"/>
    <n v="14617"/>
    <n v="0.52"/>
    <n v="28678"/>
    <s v="NO"/>
    <m/>
    <m/>
    <m/>
    <s v="NO"/>
    <m/>
    <m/>
    <m/>
    <s v="NO"/>
    <m/>
    <m/>
    <m/>
    <s v="NO"/>
    <m/>
    <m/>
    <m/>
    <s v="NO"/>
    <m/>
    <m/>
    <m/>
    <s v="NO"/>
    <m/>
    <m/>
    <m/>
    <s v="NO"/>
    <m/>
    <m/>
    <m/>
    <s v="NO"/>
    <m/>
    <m/>
    <m/>
    <s v="YES"/>
    <n v="240"/>
    <n v="0.52"/>
    <n v="600"/>
    <m/>
    <m/>
    <m/>
    <m/>
    <m/>
    <s v="YES"/>
    <s v="November"/>
    <n v="2016"/>
    <s v="YES"/>
    <s v="YES"/>
    <m/>
    <m/>
    <s v="The project has been completed in FY17."/>
    <x v="1"/>
    <s v="NO"/>
    <s v="NO"/>
    <s v="YES"/>
    <s v="YES"/>
    <s v="YES"/>
    <s v="NO"/>
    <s v="NO"/>
    <m/>
    <m/>
    <x v="2"/>
    <s v="CSSP implemented mobile crèche programme services which was a new method which aimed to improve the productivity of poor working familites, especially mothers. Children were being cared for by mobile crèche while the guardian worked. Based on the final evaluation, productivity was increased as well as improved nutrition and health outcomes of the children being cared for by the services which improved economic resources generated by the parent."/>
    <x v="1"/>
    <s v="CSSP worked with the Ministry of Local Government on the flexible public works component of the project. From the models tested under CSSP, the flexible public works will be scaled up in 30 additional districts."/>
    <x v="0"/>
    <x v="2"/>
    <m/>
    <x v="2"/>
    <x v="2"/>
    <x v="2"/>
    <x v="3"/>
    <n v="0"/>
    <x v="0"/>
    <x v="0"/>
    <x v="0"/>
    <x v="0"/>
    <x v="0"/>
    <x v="0"/>
    <n v="0"/>
    <x v="0"/>
    <x v="0"/>
    <x v="0"/>
    <x v="0"/>
    <x v="0"/>
    <n v="0"/>
    <x v="0"/>
    <x v="1"/>
    <m/>
    <m/>
    <m/>
    <m/>
    <x v="1"/>
    <m/>
    <s v="CSSP ended during this fiscal year and there were no important programmatic changes or adjustments made."/>
    <s v="VSL groups were initiated for adults to sustain the interventions and was proven to be successful"/>
    <s v="The mobile creche activities (early childhood care intervention)"/>
    <s v="Work with existing government structures and communities to identify and select that most at risk beneficiaries for this project"/>
    <s v="Operational VSL can help manage the gap caused by delays in payment from the Flexible Public Works"/>
    <s v="Community trust was an assest to ensure effective and operational home based creches, run by the parents."/>
    <s v="It was important for the project to cover the total cost of porridge at the creche because the pilot parents were unable to fully or partially cover the cost."/>
    <s v="The project's success had led to a scale up in 30 additional district being led by the government. Even though the project has ended, the created VSLA are still operational and benefiting the beneficiaries."/>
    <s v="The endline evaluation has yet to be shared by UNICEF."/>
    <n v="14857"/>
    <n v="37143"/>
    <n v="2.5000336541697514"/>
    <n v="0.52002423100222117"/>
    <n v="0.51999030772958565"/>
    <n v="7726"/>
    <n v="19314"/>
    <s v=""/>
    <n v="0"/>
    <n v="0"/>
    <s v=""/>
    <n v="1"/>
    <n v="14617"/>
    <n v="28678"/>
    <n v="1.9619620989259081"/>
    <s v=""/>
    <n v="0"/>
    <n v="0"/>
    <s v=""/>
    <s v=""/>
    <n v="0"/>
    <n v="0"/>
    <s v=""/>
    <n v="1"/>
    <n v="240"/>
    <n v="600"/>
    <n v="2.5"/>
    <s v="No marker score"/>
    <s v="No marker score"/>
    <s v="No marker score"/>
    <s v="It tested new ways for fighting poverty and measured results of innovation"/>
    <s v="Moderate advocacy"/>
    <s v="It linked and worked with strategic alliances and partners to take tested and effective solutions to scale"/>
  </r>
  <r>
    <x v="62"/>
    <x v="3"/>
    <m/>
    <s v="Enterprise Development for Out of School Adolescent Girls (EDOAG) and Economic Empowerment for Out of School Girls (EE4G)"/>
    <s v="Rwanda"/>
    <s v="NIKERW0001"/>
    <s v="CARE USA"/>
    <s v="Foundation"/>
    <s v="Other"/>
    <s v="NIKE Foundation"/>
    <s v="PERLRW0001"/>
    <s v="CARE UK"/>
    <s v="Foundation"/>
    <s v="Other"/>
    <s v="PEIERLS Foundation"/>
    <m/>
    <m/>
    <m/>
    <m/>
    <m/>
    <m/>
    <m/>
    <m/>
    <m/>
    <m/>
    <m/>
    <m/>
    <m/>
    <m/>
    <m/>
    <m/>
    <m/>
    <m/>
    <m/>
    <m/>
    <m/>
    <m/>
    <m/>
    <m/>
    <m/>
    <m/>
    <m/>
    <m/>
    <m/>
    <m/>
    <m/>
    <m/>
    <m/>
    <m/>
    <m/>
    <m/>
    <m/>
    <m/>
    <m/>
    <m/>
    <d v="2015-05-15T00:00:00"/>
    <d v="2018-05-14T00:00:00"/>
    <d v="2018-09-30T00:00:00"/>
    <s v="Development Access to and Control over Economic Resources"/>
    <n v="724085"/>
    <s v="Geoffrey M. Kayijuka"/>
    <s v="Project Manager"/>
    <s v="geoffreyk.rw@care.org"/>
    <s v="Eugene Rusanganwa"/>
    <s v="Orphan and Vulnerable Children (OVC) Program Coordinator"/>
    <s v="eugener.rw@care.org"/>
    <s v="NO"/>
    <s v="YES"/>
    <s v="NO"/>
    <s v="The main goal is for out of school girls aged 14-19 to claim and enjoy their rights to full economic participation. The project aims to enable out of school adolescent girls invest in their personal development through their saving groups, access to finance and access to a combination of financial and enterprise management trainings etc. It has four outcomes: a) 25% of the 10,000 girls are expected to get a loan from formal financial institutions in order to sustain or increase their business revenue; 2) 5% of the 10,000 girl entrepreneurs are expected to create jobs for themselves and for other through the growth of their businesses; 3) 80% of the 10,000 girls manage their enterprises better thanks to increased skills; 4) 100 of the 10,000 girls receive additional vocational training."/>
    <s v="Sub-National"/>
    <s v="One urban area: Huye town (12 sectors); One rural area: Nyamagabe District as a rural area (Six sectors:Buruhukiro, Gasaka, Gatare, Musebeya, Mushubi, and Nkomane)"/>
    <s v="Out of school girls aged 14-19 in the Southern Province"/>
    <n v="10000"/>
    <n v="0"/>
    <n v="10000"/>
    <n v="27040"/>
    <n v="24960"/>
    <n v="52000"/>
    <s v="Direct participants are the 10,000 girls targeted for enrollment in the EDOAG project. EE4G selected 100 girls from the EDOAG project for additional training. Indirect beneficiaries are household members of the 10,000 direct beneficiaries that may benefit from the enterprise development. The direcct calculation is done using a headcount and the Indirect Calculation: Based on the assumption, the family size was 6.2 in 2014.Although newer statistics have shown that the average household size is 4.3 for the country, statistics also show that the Southern and Northern Provinces have larger family sizes."/>
    <m/>
    <m/>
    <m/>
    <m/>
    <m/>
    <m/>
    <m/>
    <m/>
    <m/>
    <m/>
    <m/>
    <m/>
    <m/>
    <m/>
    <m/>
    <m/>
    <m/>
    <m/>
    <m/>
    <m/>
    <m/>
    <m/>
    <m/>
    <m/>
    <m/>
    <m/>
    <m/>
    <m/>
    <m/>
    <m/>
    <m/>
    <m/>
    <m/>
    <m/>
    <m/>
    <m/>
    <m/>
    <m/>
    <m/>
    <m/>
    <m/>
    <m/>
    <m/>
    <m/>
    <m/>
    <m/>
    <m/>
    <m/>
    <m/>
    <m/>
    <m/>
    <m/>
    <m/>
    <m/>
    <m/>
    <m/>
    <m/>
    <m/>
    <m/>
    <m/>
    <n v="8959"/>
    <n v="0"/>
    <n v="8959"/>
    <n v="24225"/>
    <n v="22362"/>
    <n v="46587"/>
    <s v="NO"/>
    <m/>
    <m/>
    <m/>
    <s v="NO"/>
    <m/>
    <m/>
    <m/>
    <s v="NO"/>
    <m/>
    <m/>
    <m/>
    <s v="NO"/>
    <m/>
    <m/>
    <m/>
    <s v="NO"/>
    <m/>
    <m/>
    <m/>
    <s v="YES"/>
    <n v="100"/>
    <n v="1"/>
    <n v="520"/>
    <s v="NO"/>
    <m/>
    <m/>
    <m/>
    <s v="NO"/>
    <m/>
    <m/>
    <m/>
    <s v="NO"/>
    <m/>
    <m/>
    <m/>
    <s v="NO"/>
    <m/>
    <m/>
    <m/>
    <s v="NO"/>
    <m/>
    <m/>
    <m/>
    <s v="NO"/>
    <m/>
    <m/>
    <m/>
    <s v="NO"/>
    <m/>
    <m/>
    <m/>
    <s v="NO"/>
    <m/>
    <m/>
    <m/>
    <s v="NO"/>
    <m/>
    <m/>
    <m/>
    <s v="YES"/>
    <n v="8959"/>
    <n v="1"/>
    <n v="46587"/>
    <m/>
    <m/>
    <m/>
    <m/>
    <m/>
    <s v="YES"/>
    <s v="September"/>
    <n v="2016"/>
    <s v="YES"/>
    <s v="YES"/>
    <s v="May"/>
    <n v="2018"/>
    <s v="The endline evaluation for EDOAG is scheduled to occur in the last quarter of FY18. There are no evaluations (baseline nor endline) for the EE4G project."/>
    <x v="0"/>
    <s v="NO"/>
    <s v="NO"/>
    <s v="NO"/>
    <s v="NO"/>
    <s v="NO"/>
    <s v="NO"/>
    <s v="NO"/>
    <m/>
    <m/>
    <x v="2"/>
    <s v="Enterprise development for out of school girls is quite new in Rwanda and has been shown through our monitoring and research that it is effectively fighting poverty not only for the girls but for their families."/>
    <x v="1"/>
    <s v="The Ministry of Youth has already discussed scaling up EDOAG project activities to scale up and we currently work with (Young Womens Christian Association) YWCA for the direct implementation activities for enterprise development."/>
    <x v="0"/>
    <x v="1"/>
    <s v="NO"/>
    <x v="0"/>
    <x v="0"/>
    <x v="0"/>
    <x v="4"/>
    <n v="3"/>
    <x v="1"/>
    <x v="2"/>
    <x v="1"/>
    <x v="1"/>
    <x v="1"/>
    <x v="1"/>
    <n v="3"/>
    <x v="1"/>
    <x v="2"/>
    <x v="1"/>
    <x v="2"/>
    <x v="3"/>
    <n v="1"/>
    <x v="2"/>
    <x v="2"/>
    <n v="1"/>
    <s v="Local NGO(s)/CSO(s)"/>
    <m/>
    <m/>
    <x v="2"/>
    <s v="The project works with YWCA to build their capacity around project management skills, budget tracking, and M&amp;E."/>
    <s v="EDOAG nor EE4G underwent any important changes or adjusts to the project in FY17."/>
    <s v="The addition of EE4G for vocational training for selected girls was impactful. The girls were trained for 6 months and given short internships. These girls are now working in these fields and formed cooperatives."/>
    <s v="The linkage of girls to VSLAs has worked well and has linked the girls to financial institutions to support their businesses"/>
    <m/>
    <s v="The project team learned that there are very few accredited vocational training center ans profesional trainers in the country, especially in the rural areas. Therefore, we engaged the Workforce Development Agency to identify Technically Vocational Educational Trainer to train youth in order to get the certificates."/>
    <s v="The project has not only contributed in fighting poverty and empowering out of school girls economically and socially, but it has also contributed to resolving conflcits and misunderstandings and uniting parents and children as well. Parents have embraced the project and some even accompany their daughters in the VSLA share-out events."/>
    <s v="Girls who were supported for vocational training have demonstrated interest in going back to school as they have attended regularly and successfully completed their trainings with great scores--the majority finished in the first 10 positions."/>
    <m/>
    <m/>
    <n v="8959"/>
    <n v="46587"/>
    <n v="5.2000223239200807"/>
    <n v="1"/>
    <n v="0.5199948483482516"/>
    <n v="8959"/>
    <n v="24225"/>
    <s v=""/>
    <n v="0"/>
    <n v="0"/>
    <s v=""/>
    <s v=""/>
    <n v="0"/>
    <n v="0"/>
    <s v=""/>
    <s v=""/>
    <n v="0"/>
    <n v="0"/>
    <s v=""/>
    <s v=""/>
    <n v="0"/>
    <n v="0"/>
    <s v=""/>
    <n v="1"/>
    <n v="8959"/>
    <n v="46587"/>
    <n v="5.2000223239200807"/>
    <s v="3. Responsive"/>
    <s v="2. Accommodating"/>
    <s v="1. Neutral"/>
    <s v="It tested new ways for fighting poverty and measured results of innovation"/>
    <s v="Little or no advocacy"/>
    <s v="It linked and worked with strategic alliances and partners to take tested and effective solutions to scale"/>
  </r>
  <r>
    <x v="62"/>
    <x v="3"/>
    <n v="3303"/>
    <s v="EVERY VOICE COUNTS &quot; EVC&quot;"/>
    <s v="Rwanda"/>
    <s v="NL 173, CNLDRW0004"/>
    <s v="CARE Nederland"/>
    <s v="Government"/>
    <s v="Government - Netherlands"/>
    <s v="Ministry of Foreign Affairs of the Netherlands "/>
    <m/>
    <m/>
    <m/>
    <m/>
    <m/>
    <m/>
    <m/>
    <m/>
    <m/>
    <m/>
    <m/>
    <m/>
    <m/>
    <m/>
    <m/>
    <m/>
    <m/>
    <m/>
    <m/>
    <m/>
    <m/>
    <m/>
    <m/>
    <m/>
    <m/>
    <m/>
    <m/>
    <m/>
    <m/>
    <m/>
    <m/>
    <m/>
    <m/>
    <m/>
    <m/>
    <m/>
    <m/>
    <m/>
    <m/>
    <m/>
    <m/>
    <m/>
    <m/>
    <m/>
    <m/>
    <d v="2016-01-01T00:00:00"/>
    <d v="2020-12-31T00:00:00"/>
    <m/>
    <s v="Development A Life Free From Violence (GBV)"/>
    <n v="2354786"/>
    <s v="Jean claude"/>
    <s v="Governance and GBV Manager"/>
    <s v="jeanclaude.kayigamba@care.org"/>
    <s v="Sidonie UWIMPUHWE"/>
    <s v="Coordinator of Vulnerable Women Empowerment"/>
    <s v="sidonie.uwimpuhwe@care.org"/>
    <s v="NO"/>
    <s v="YES"/>
    <s v="NO"/>
    <s v="By the end of the project, local and national government authorities promote a citizen engagement and social accountability model for enhancing women participation and influence in governance processes to address gender based violence. Four outcomes guide the interventions and will be achieved: Outcome1: Grassroots women in eight districts of Rwanda are empowered to actively influence decisions that affect their lives; Outcome 2: CARE Rwanda, in collaboration with national civil society organizations, effectively uses existing CSO platforms, including Pro-Femmes Twese Hamwe, to influence decision making on GBV policy implementation gaps on behalf of grassroots women; and effectively supports CSO initiatives for holding local and national authorities accountable on GBV related commitments; Outcome 3: Local leaders and duty bearers in eight Districts of Rwanda and national decision makers are responsive to and act upon the needs of grassroots women on GBV related issues; Outcome 4: Community members, national civil society organizations, local public authorities and the national Gender Monitoring Office (GMO) authorities effectively interact through formal and informal spaces for dialogue and negotiation leading to more inclusive decision-making."/>
    <s v="Multiple countries"/>
    <s v="Country: Rwanda  Expected districts at the end of project (kamonyi district, Ruhango distict, Nyanza district, Muhanga district, Nyamagabe district, Nyanza District, Nyaruguru district and Huye district)"/>
    <s v="Grassroots women members of Voluntary Savings and Loans Groups (VSLGs) and other community members"/>
    <n v="14051"/>
    <n v="4413"/>
    <n v="18464"/>
    <n v="30441"/>
    <n v="9560"/>
    <n v="40001"/>
    <s v="Direct participants: the project mainly uses community scorecard tool as an accountability tool. The process involves all the community members (present during the process) in a village.During the process, EVC works closely with CSS facilitators, Local authorities at different levels/service providers as well as grasrootswomen. Consequently our direct participants will be the individuals to whom we train and we track changes over time. thus in our cotext, they will be : the overal number of the core team at district level, CSC facilitators, Local authoritties that we will work with,selected NWC as well as grassroots women.                                                                                                                                                                                                                            Indirect Participants: Since the process involves all the community members,These are all the community members in 64 villages where we work but our direct participants. However EVC projects overlaps with other projects from the CO. Approximately 1139 direct participants participants representing 17% of EVC direct participants reached in the FY 2016/17."/>
    <m/>
    <m/>
    <m/>
    <m/>
    <m/>
    <m/>
    <m/>
    <m/>
    <m/>
    <m/>
    <m/>
    <m/>
    <m/>
    <m/>
    <m/>
    <m/>
    <m/>
    <m/>
    <m/>
    <m/>
    <m/>
    <m/>
    <m/>
    <m/>
    <m/>
    <m/>
    <m/>
    <m/>
    <m/>
    <m/>
    <m/>
    <m/>
    <m/>
    <m/>
    <m/>
    <m/>
    <m/>
    <m/>
    <m/>
    <m/>
    <m/>
    <m/>
    <m/>
    <m/>
    <m/>
    <m/>
    <m/>
    <m/>
    <m/>
    <m/>
    <m/>
    <m/>
    <m/>
    <m/>
    <m/>
    <m/>
    <m/>
    <m/>
    <m/>
    <m/>
    <n v="5225"/>
    <n v="1641"/>
    <n v="6866"/>
    <n v="2261"/>
    <n v="7160"/>
    <n v="9421"/>
    <s v="NO"/>
    <m/>
    <m/>
    <m/>
    <s v="NO"/>
    <m/>
    <m/>
    <m/>
    <s v="NO"/>
    <m/>
    <m/>
    <m/>
    <s v="NO"/>
    <m/>
    <m/>
    <m/>
    <s v="NO"/>
    <m/>
    <m/>
    <m/>
    <s v="NO"/>
    <m/>
    <m/>
    <m/>
    <s v="NO"/>
    <m/>
    <m/>
    <m/>
    <s v="YES"/>
    <n v="3457"/>
    <n v="0.76"/>
    <n v="2556"/>
    <s v="NO"/>
    <m/>
    <m/>
    <m/>
    <s v="NO"/>
    <m/>
    <m/>
    <m/>
    <s v="NO"/>
    <m/>
    <m/>
    <m/>
    <s v="NO"/>
    <m/>
    <m/>
    <m/>
    <s v="YES"/>
    <n v="3600"/>
    <n v="0.78"/>
    <n v="2556"/>
    <s v="NO"/>
    <m/>
    <m/>
    <m/>
    <s v="NO"/>
    <m/>
    <m/>
    <m/>
    <s v="NO"/>
    <m/>
    <m/>
    <m/>
    <m/>
    <m/>
    <m/>
    <m/>
    <m/>
    <s v="YES"/>
    <s v="August"/>
    <n v="2016"/>
    <s v="YES"/>
    <s v="NO"/>
    <m/>
    <m/>
    <s v="This project is implemented in many CO. CARE Nederland hires an international consultant who works with consultants hired at the the CO level. Sometimes the evaluation would be slow because of the coordination issues."/>
    <x v="0"/>
    <s v="NO"/>
    <s v="NO"/>
    <s v="YES"/>
    <s v="YES"/>
    <s v="YES"/>
    <s v="YES"/>
    <s v="NO"/>
    <s v="NO"/>
    <m/>
    <x v="1"/>
    <s v="This FY we tasted the minimum standards on inclusive approaches, whereby we sought to include marginerized &amp; Excluded groups in holding local authorities accountable. This also included programs for fighting poverty as well"/>
    <x v="3"/>
    <s v="The project worked wth CSOs network to fight GBV. The parntnership involved equipping the CSOs with capacities in Imihigo planning and budgeting to enable them analyze and influence Districts and National decision makers to include GBV prevention and response interventions in planning and budgeting Processes."/>
    <x v="1"/>
    <x v="0"/>
    <s v="YES"/>
    <x v="0"/>
    <x v="0"/>
    <x v="0"/>
    <x v="0"/>
    <n v="4"/>
    <x v="2"/>
    <x v="1"/>
    <x v="1"/>
    <x v="1"/>
    <x v="2"/>
    <x v="5"/>
    <n v="3"/>
    <x v="3"/>
    <x v="1"/>
    <x v="1"/>
    <x v="1"/>
    <x v="4"/>
    <n v="3"/>
    <x v="2"/>
    <x v="2"/>
    <n v="1"/>
    <s v="Local NGO(s)/CSO(s)"/>
    <m/>
    <m/>
    <x v="0"/>
    <s v="(1)Organized a national sharing meeting for the outcomes of CSW61 among the government, CSOs and private sector. The meeting discussed the status of implementation of CSW61 outcomes and developed actions for the implementation of the outcomes. (2)Organized the CSOs Network to develop the internal rules, regulations, and code of conduct.  (3)Trainined CSOs on Imihigo planning and budgeting process to enhance their capacities to influence the government/local authorities to consider GBV prevention and response mechanisms in planning and budgeting processes."/>
    <s v="The Project did not not have any major change/adjustment during this FY"/>
    <s v="Community scorecard: The CSC throughout its phases prooved to be a tool that brings together community members, service providers, and local government to identify service utilization and provision challenges, to mutually generate solutions, and to work in partnership to implement and track the effectiveness of possible solutions in an ongoing process of improvement ."/>
    <m/>
    <m/>
    <s v="Project inclusiveness: in this FY, we leaned new approach to actively engage excluded groups to ensure meaningful paarticiapation of our project participants. The minimum standard approach&quot; as refered to, consists of selecting represenatives of marginalized and excluded group to be involved throughout the CSC process and hold Local authorities, services providers and other powerholders accountable."/>
    <s v="One of the challenges encountered during this FY was the delay or even cancellation of prototype activities/policies at national level that could have served as a benchmark to some of our intervention. (Eg: The finalisation of National Action plan (NAP1325) has been delayed."/>
    <s v="this Fiscal year, we also learned and tested new tools to review the objectives and impact of any carried out important milestone. Eg: After Action Review tool"/>
    <s v="This FY, EVC rwanda held an exchange visit with different countries where EVC is implemented along with CARE Netherland and the following recommendations were suggested among others:                                        Citizen should also seek to contribute to the government strategies (eg: if the local community has something that can contribute to the national strategies (existing) it can also be discussed during the interface. (Is there anything they need from the government to contribute to the national programmes? CSC facilitators and NWC suggested to put in place income generating activities for GBV victims.. The process of action plan development has insufficient amount of time allocated since there are important issues of concern to handle on both services. Hold a separate session (before the actual CSC process starts) to brief the community members present what is going to take place"/>
    <s v="https://careinternational-my.sharepoint.com/personal/emmanuelt_rw_care_org/_layouts/15/guestaccess.aspx?folderid=11b4545e6ab454d16805fa78eb9cd9f68&amp;authkey=AeR2v4VMx6HN_x-_cnODQs4"/>
    <n v="6866"/>
    <n v="9421"/>
    <n v="1.3721235071366151"/>
    <n v="0.76099621322458488"/>
    <n v="0.2399957541662244"/>
    <n v="5225"/>
    <n v="2261"/>
    <s v=""/>
    <n v="0"/>
    <n v="0"/>
    <s v=""/>
    <s v=""/>
    <n v="0"/>
    <n v="0"/>
    <s v=""/>
    <s v=""/>
    <n v="0"/>
    <n v="0"/>
    <s v=""/>
    <n v="1"/>
    <n v="3457"/>
    <n v="2556"/>
    <n v="0.73936939542956326"/>
    <s v=""/>
    <n v="0"/>
    <n v="0"/>
    <s v=""/>
    <s v="2. Sensitive"/>
    <s v="3. Responsive"/>
    <s v="4. Transformative"/>
    <s v="It tested new ways for fighting poverty, but did not measure results of innovation"/>
    <s v="Little or no advocacy"/>
    <s v="It took tested solutions to scale on its own"/>
  </r>
  <r>
    <x v="62"/>
    <x v="3"/>
    <m/>
    <s v="Gender Equality &amp; Women's Empowerment Project &amp; Literacy for Empowerment"/>
    <s v="Rwanda"/>
    <s v="PID-CNORRW0034; FC-NO231"/>
    <s v="CARE Norge"/>
    <s v="Foundation"/>
    <s v="Other"/>
    <s v="GRIEG Foundation"/>
    <s v="PID: CNORRW0040; Fund Code: NO161"/>
    <s v="CARE Norge"/>
    <s v="Government"/>
    <s v="Government - Norway"/>
    <s v="NORAD"/>
    <m/>
    <m/>
    <m/>
    <m/>
    <m/>
    <m/>
    <m/>
    <m/>
    <m/>
    <m/>
    <m/>
    <m/>
    <m/>
    <m/>
    <m/>
    <m/>
    <m/>
    <m/>
    <m/>
    <m/>
    <m/>
    <m/>
    <m/>
    <m/>
    <m/>
    <m/>
    <m/>
    <m/>
    <m/>
    <m/>
    <m/>
    <m/>
    <m/>
    <m/>
    <m/>
    <m/>
    <m/>
    <m/>
    <m/>
    <m/>
    <d v="2015-03-01T00:00:00"/>
    <d v="2020-02-29T00:00:00"/>
    <m/>
    <s v="Development Access to and Control over Economic Resources"/>
    <n v="4023856"/>
    <s v="Janvier Kubwimana"/>
    <s v="Project Manager"/>
    <s v="janvier.kubwimana@care.org"/>
    <s v="Augustin Niyonsaba"/>
    <s v="Monitoring &amp; Evaluation Professional"/>
    <s v="Augustin.Niyonsaba@care.org"/>
    <s v="NO"/>
    <s v="YES"/>
    <s v="NO"/>
    <s v="This PIIRS form is combining the GEWEP II project and the Literacy for Empowerment project because of direct overlap. The main goal of GEWEP II is to economically and socially empower 100,000 women aged 18 and above that are VSL members to exercise their rights. The goal of L4E is to increase functional literacy and numeracy among 22,000 VSL members that are also members of GEWEP II."/>
    <s v="Sub-National"/>
    <s v="Both projects operate in the 8 districts of the Southern Province of Rwanda"/>
    <s v="Women VSL members aged 18 and above living in Southern Province"/>
    <n v="153678"/>
    <n v="73394"/>
    <n v="227072"/>
    <n v="507139"/>
    <n v="242199"/>
    <n v="749338"/>
    <s v="Direct participants: VSL members (men and women) that received at least one service from GEWEP II (financial literacy training, enterprise development training, adult literacy and numeracy training, and GBV). On these we add the total number of people reached by Community Activists in their activities related to GBV prevention. Indirect participants are the household members of each direct participant. The project does not consider any overestimation that occurs from married couples that are both in the GEWEP II project. The indirect calculations are made by multiplying the direct participant number by the average household size in Rwana (4.3), then the direct participant number is subtracted. The Literacy for Empowermentparticipants are all in the GEWEP II project, so to avoid double counting, the maxium indirect and direct beneficiaries are listed below"/>
    <m/>
    <m/>
    <m/>
    <m/>
    <m/>
    <m/>
    <m/>
    <m/>
    <m/>
    <m/>
    <m/>
    <m/>
    <m/>
    <m/>
    <m/>
    <m/>
    <m/>
    <m/>
    <m/>
    <m/>
    <m/>
    <m/>
    <m/>
    <m/>
    <m/>
    <m/>
    <m/>
    <m/>
    <m/>
    <m/>
    <m/>
    <m/>
    <m/>
    <m/>
    <m/>
    <m/>
    <m/>
    <m/>
    <m/>
    <m/>
    <m/>
    <m/>
    <m/>
    <m/>
    <m/>
    <m/>
    <m/>
    <m/>
    <m/>
    <m/>
    <m/>
    <m/>
    <m/>
    <m/>
    <m/>
    <m/>
    <m/>
    <m/>
    <m/>
    <m/>
    <n v="68683"/>
    <n v="18257"/>
    <n v="86940"/>
    <n v="226654"/>
    <n v="60248"/>
    <n v="286902"/>
    <s v="NO"/>
    <m/>
    <m/>
    <m/>
    <s v="NO"/>
    <m/>
    <m/>
    <m/>
    <s v="NO"/>
    <m/>
    <m/>
    <m/>
    <s v="NO"/>
    <m/>
    <m/>
    <m/>
    <s v="YES"/>
    <n v="95901"/>
    <n v="0.75"/>
    <n v="316473"/>
    <s v="YES"/>
    <n v="6330"/>
    <n v="0.73"/>
    <n v="0"/>
    <s v="NO"/>
    <m/>
    <m/>
    <m/>
    <s v="YES"/>
    <m/>
    <m/>
    <m/>
    <s v="YES"/>
    <n v="86940"/>
    <n v="0.79"/>
    <n v="286902"/>
    <s v="NO"/>
    <m/>
    <m/>
    <m/>
    <s v="NO"/>
    <m/>
    <m/>
    <m/>
    <s v="NO"/>
    <m/>
    <m/>
    <m/>
    <m/>
    <m/>
    <m/>
    <m/>
    <s v="NO"/>
    <m/>
    <m/>
    <m/>
    <s v="NO"/>
    <m/>
    <m/>
    <m/>
    <s v="YES"/>
    <n v="78189"/>
    <n v="1"/>
    <n v="258024"/>
    <m/>
    <m/>
    <m/>
    <m/>
    <m/>
    <s v="NO"/>
    <m/>
    <m/>
    <m/>
    <s v="YES"/>
    <s v="September"/>
    <n v="2018"/>
    <s v="The endline evaluation will be conducted in FY19 sometime around August or September of 2018. The evaluation will be led by CARE Norway."/>
    <x v="1"/>
    <s v="NO"/>
    <s v="NO"/>
    <s v="NO"/>
    <s v="YES"/>
    <s v="YES"/>
    <s v="NO"/>
    <s v="NO"/>
    <m/>
    <m/>
    <x v="1"/>
    <s v="In FY17, GEWEP II started activities implementing value chain and market system innovations. This type of innovation will allow agricultural and agribusinesses to be sustained, which are the main types of businesses entered into by the direct benefiaries of GEWEP II. Example activities include organizing VSLG members into value chain clusters or producer groups based on business profile results (linkage), providing mentorship on multiplication, production, commercialization and linkage to Farmer Field Schools, and mapping seed multiplication businesses."/>
    <x v="1"/>
    <s v="The work that GEWEP II does is through partners in financial linkage to formal service providers, financial literacy, and entrepreneurship development among VSLA members. These solutions have been tested through other previous economic empowerment projects and are being taken to scale in this second phase of GEWEP and through work with our partners and financial institutions."/>
    <x v="1"/>
    <x v="1"/>
    <s v="YES"/>
    <x v="0"/>
    <x v="0"/>
    <x v="0"/>
    <x v="2"/>
    <n v="4"/>
    <x v="2"/>
    <x v="0"/>
    <x v="1"/>
    <x v="1"/>
    <x v="1"/>
    <x v="5"/>
    <n v="3"/>
    <x v="3"/>
    <x v="0"/>
    <x v="1"/>
    <x v="1"/>
    <x v="5"/>
    <n v="2"/>
    <x v="2"/>
    <x v="2"/>
    <n v="3"/>
    <s v="Local alliance(s)/Platform(s)/Network(s) of  NGOs/CSOs"/>
    <s v="Local NGO(s)/CSO(s)"/>
    <m/>
    <x v="0"/>
    <s v="In accordance with Norads Principles for Strengthening Civil Society,  GEWEP II focuses on working through partners to improve womens economic empowerment and fight against gender-based violence and discrimination, as key components of fighting poverty and oppression. Further, strengthening the capacity of Pro-Femme (PFTH) to effectively coordinate member organisations and advocate on womens rights will enable improved engagement of CSOs in the development process, including the advancement of gender equality. Supporting local partner organisations such as RWAMREC and ARTCF to engage community activists, local authorities and VSL members, , will contribute to a stronger ability to demonstrate the results of the project, as the capacity of partner organisations for collecting evidence and documenting change will also be a key project activity. Finally, GEWEP II connects evidence gathered from grassroots experiences with targeted advocacy channelled through PFTH and member organisations. The information gathered from CAs and other local structures and shared with Field Officers and at dialogue sessions with local leaders will feed into evidence used for development of advocacy messages at national level, as well as contribute to international processes through linkages to other CARE Rwanda projects and the overall CARE network."/>
    <s v="There were no important changes or adjustments to the project in this FY. However, as a result of reflection there are changes that the project would like to make with respect to inclusive governance in FY18."/>
    <s v="Implementing delivery models through Village Agent Networks (VAN) has been a wonderful approach that is helping GEWEP II to reach more people for Women's Economic Empowerment. The staff are in limited number and the VAN has been indispensible in delivering trainings and supporting implementation."/>
    <s v="Community activism against GBV, primarily through the engagement of men, has facilitated rapid behavior changes at individual, family, and community levels. This is clearly seen in project evaluations and community stories."/>
    <s v="Business mentorship is working very well. Experienced female entrepreneurs are paired with inexperienced female entrepreneurs for enterprise mentorship for an intensive 6 month period. This has been a great continuation from GEWEP I. Additionally, Literacy has had a beneficial effect on not only economic empowerment, but also in women's leadership and decision-making."/>
    <s v="Working with PFTH to challenge government policies has shown to be promising. In 2016, the work done through PFTH led to amendments to policy and we hope to continue to strengthen the capacity of PFTH as project implementation continues."/>
    <s v="It has been a beneficial tool to also focus on reflecting on organization analyses based on gender integration. CARE conducted these diagnoses of partnering organizations and allow up to continue to stregthen CSO."/>
    <s v="Some activities were discontinued in the transition from GEWEP I to GEWEP II. Some beneficiaries at the local government level were not happy with the changes and certain leadership think that these activities were too useful to have discontinued and should be continued once again. Budgeting constraints may prevent this from occuring in the remaining implementation of GEWEP II."/>
    <m/>
    <m/>
    <n v="86940"/>
    <n v="286902"/>
    <n v="3.3"/>
    <n v="0.79000460087416613"/>
    <n v="0.79000494942523924"/>
    <n v="68683"/>
    <n v="226654"/>
    <s v=""/>
    <n v="0"/>
    <n v="0"/>
    <s v=""/>
    <n v="1"/>
    <n v="95901"/>
    <n v="316473"/>
    <n v="3.2999968717740171"/>
    <s v=""/>
    <n v="0"/>
    <n v="0"/>
    <s v=""/>
    <n v="1"/>
    <n v="0"/>
    <n v="0"/>
    <s v=""/>
    <n v="1"/>
    <n v="78189"/>
    <n v="258024"/>
    <n v="3.3000038368568467"/>
    <s v="4. Transformative"/>
    <s v="3. Responsive"/>
    <s v="3. Responsive"/>
    <s v="It tested new ways for fighting poverty, but did not measure results of innovation"/>
    <s v="Moderate advocacy"/>
    <s v="It linked and worked with strategic alliances and partners to take tested and effective solutions to scale"/>
  </r>
  <r>
    <x v="62"/>
    <x v="3"/>
    <n v="3296"/>
    <s v="Indashyikirwa &quot;Agent For Change&quot; Project"/>
    <s v="Rwanda"/>
    <s v="CGBRRW0019"/>
    <s v="CARE UK"/>
    <s v="Government"/>
    <s v="Government - UK"/>
    <s v="DFID"/>
    <m/>
    <m/>
    <m/>
    <m/>
    <m/>
    <m/>
    <m/>
    <m/>
    <m/>
    <m/>
    <m/>
    <m/>
    <m/>
    <m/>
    <m/>
    <m/>
    <m/>
    <m/>
    <m/>
    <m/>
    <m/>
    <m/>
    <m/>
    <m/>
    <m/>
    <m/>
    <m/>
    <m/>
    <m/>
    <m/>
    <m/>
    <m/>
    <m/>
    <m/>
    <m/>
    <m/>
    <m/>
    <m/>
    <m/>
    <m/>
    <m/>
    <m/>
    <m/>
    <m/>
    <m/>
    <d v="2014-09-01T00:00:00"/>
    <d v="2018-08-31T00:00:00"/>
    <m/>
    <s v="Development A Life Free From Violence (GBV)"/>
    <n v="4821973"/>
    <s v="Lea Liliane Niyibizi"/>
    <s v="Indashyikirwa- Project Coordinator"/>
    <s v="lealiliane.niyibizi@care.org"/>
    <s v="Sidonie Uwimpuhwe"/>
    <s v="Vulnerable Women Program Coordinator"/>
    <s v="sidonie.uwimpuhwe@care.org"/>
    <s v="NO"/>
    <s v="YES"/>
    <s v="NO"/>
    <s v="Indashyikirwa project"/>
    <s v="Sub-National"/>
    <m/>
    <m/>
    <n v="39854"/>
    <n v="38722"/>
    <n v="78576"/>
    <n v="590162"/>
    <n v="543864"/>
    <n v="1134026"/>
    <s v="Direct beneficiaries include: couples trained GBV prevention, community members reached by community activists, community Opinion leaders and local authorities at the sector level, womens space facilitators at sector level, and community women attending womens spaces. Indrect beneficiaries include community members that may be reached by community activists that live beyond the boundaries of their assigned clusters, as well as 50% of 99 sectors in 7 districts that were targeted for the 16 Days of Activism Campaign for International Women's Day. Participant overlap was considered and removed from both direct and indirect calculations. For example, all couples trained are included in the number for community members reached. To calculate the indirect reach, we took 50% of the population size of the 99 sectors (2,425,204) as that was the estimated reach of the campaign and subtracted the number of direct participants from the total. Direct beneficiaries are calculated by taking the total number of reach of our beneficiaries and subtracting overlap. We subtract the number of couples reach as they are also counted in the community members reached estimation. We then remove 25% of the community members reached  as they are in other projects being implemented by CARE Rwanda. We then add in opinion leaders reached, active womens space facilitators, and finally add in the number of community members attending womens spaces."/>
    <m/>
    <m/>
    <m/>
    <m/>
    <m/>
    <m/>
    <m/>
    <m/>
    <m/>
    <m/>
    <m/>
    <m/>
    <m/>
    <m/>
    <m/>
    <m/>
    <m/>
    <m/>
    <m/>
    <m/>
    <m/>
    <m/>
    <m/>
    <m/>
    <m/>
    <m/>
    <m/>
    <m/>
    <m/>
    <m/>
    <m/>
    <m/>
    <m/>
    <m/>
    <m/>
    <m/>
    <m/>
    <m/>
    <m/>
    <m/>
    <m/>
    <m/>
    <m/>
    <m/>
    <m/>
    <m/>
    <m/>
    <m/>
    <m/>
    <m/>
    <m/>
    <m/>
    <m/>
    <m/>
    <m/>
    <m/>
    <m/>
    <m/>
    <m/>
    <m/>
    <n v="1828"/>
    <n v="2129"/>
    <n v="3957"/>
    <n v="176472"/>
    <n v="98734"/>
    <n v="275206"/>
    <s v="NO"/>
    <m/>
    <m/>
    <m/>
    <s v="NO"/>
    <m/>
    <m/>
    <m/>
    <s v="NO"/>
    <m/>
    <m/>
    <m/>
    <s v="NO"/>
    <m/>
    <m/>
    <m/>
    <s v="NO"/>
    <m/>
    <m/>
    <m/>
    <s v="NO"/>
    <m/>
    <m/>
    <m/>
    <s v="NO"/>
    <m/>
    <m/>
    <m/>
    <s v="YES"/>
    <m/>
    <m/>
    <m/>
    <s v="YES"/>
    <m/>
    <m/>
    <m/>
    <s v="NO"/>
    <m/>
    <m/>
    <m/>
    <s v="NO"/>
    <m/>
    <m/>
    <m/>
    <s v="NO"/>
    <m/>
    <m/>
    <m/>
    <s v="YES"/>
    <n v="1320"/>
    <m/>
    <m/>
    <s v="NO"/>
    <m/>
    <m/>
    <m/>
    <s v="NO"/>
    <m/>
    <m/>
    <m/>
    <s v="NO"/>
    <m/>
    <m/>
    <m/>
    <m/>
    <m/>
    <m/>
    <m/>
    <m/>
    <s v="YES"/>
    <m/>
    <n v="2017"/>
    <s v="YES"/>
    <s v="YES"/>
    <s v="January"/>
    <n v="2018"/>
    <s v="Midline evaluation was conducted in FY17 and the endline evaluation is scheduled for January 2018. The baseline and midline evaluation for this project have yet to be approved by the Government of Rwanda. We have been allowed to share the qualitative data, but not the quanititative data."/>
    <x v="1"/>
    <s v="NO"/>
    <s v="NO"/>
    <s v="YES"/>
    <s v="YES"/>
    <s v="YES"/>
    <s v="NO"/>
    <s v="NO"/>
    <m/>
    <m/>
    <x v="2"/>
    <s v="The implementation of community activism through training community activists from the couples cohort is a new method of fighting inequality regarding gender and GBV. The qualitative data from the midline evaluation shows success in combatting inequality with this method of using community members that are known to convey these messages and initiate change."/>
    <x v="1"/>
    <s v="The aspect of engaging men, not just women, had been tested before but we worked with RWAMREC and RWN (Rwanda Women Network) to scale up activities to work with couples in combatting GBV. This is one component of the project that has been working very well."/>
    <x v="2"/>
    <x v="1"/>
    <m/>
    <x v="2"/>
    <x v="2"/>
    <x v="2"/>
    <x v="3"/>
    <n v="0"/>
    <x v="0"/>
    <x v="0"/>
    <x v="0"/>
    <x v="0"/>
    <x v="0"/>
    <x v="0"/>
    <n v="0"/>
    <x v="3"/>
    <x v="0"/>
    <x v="0"/>
    <x v="1"/>
    <x v="5"/>
    <n v="1"/>
    <x v="2"/>
    <x v="2"/>
    <n v="2"/>
    <s v="Local NGO(s)/CSO(s)"/>
    <m/>
    <m/>
    <x v="0"/>
    <s v="Civil society strengthening is one of the explicit objectives of the Agent for Change project, however implementing this activity has been challenging in the fiscal year. Much work was done to develop a Joint Action Plan between PRO-FEMME and CARE to scale up activities in this area."/>
    <s v="There were no important changes that occurred during fiscal year 2017."/>
    <s v="The community activism model has been exceeding. In the project design, we were unsure if the community activists would be taken seriously by the community members or if the anti-GBV would be received well. However, the success of the model and the responses fromt the community has exceeded expectations."/>
    <s v="Working with the local authorities has created an enabling environment for the community activists to do their jobs. They assist in creating spaces during local authority meetings for activists to attend and the authorities have even gone further to involve the activists in mediation and conflict resolution activities."/>
    <s v="The womens spaces were intented for women only, but surprisingly men have expressed interest in wanting to attend the womens spaces and use the GBV-referral services for people they know are victims. Also, the womens space facilitators have been reaching out to their communities to reach people that may not live close to the spaces and this has been very beneficial in our reach outside of what was expected."/>
    <m/>
    <m/>
    <m/>
    <m/>
    <m/>
    <n v="3957"/>
    <n v="275206"/>
    <n v="69.549153399039682"/>
    <n v="0.46196613596158709"/>
    <n v="0.64123601956352694"/>
    <n v="1828"/>
    <n v="176472"/>
    <s v=""/>
    <n v="0"/>
    <n v="0"/>
    <s v=""/>
    <s v=""/>
    <n v="0"/>
    <n v="0"/>
    <s v=""/>
    <s v=""/>
    <n v="0"/>
    <n v="0"/>
    <s v=""/>
    <n v="1"/>
    <n v="0"/>
    <n v="0"/>
    <s v=""/>
    <s v=""/>
    <n v="0"/>
    <n v="0"/>
    <s v=""/>
    <s v="No marker score"/>
    <s v="No marker score"/>
    <s v="3. Responsive"/>
    <s v="It tested new ways for fighting poverty and measured results of innovation"/>
    <s v="Moderate advocacy"/>
    <s v="It linked and worked with strategic alliances and partners to take tested and effective solutions to scale"/>
  </r>
  <r>
    <x v="62"/>
    <x v="3"/>
    <n v="3309"/>
    <s v="Learning for change (L4C): Strengthening Women's Voices in East Africa-ADA Framework Programme"/>
    <s v="Rwanda"/>
    <s v="CAUTRW0024-AT571"/>
    <s v="CARE Österreich"/>
    <s v="Government"/>
    <s v="Government - Austria"/>
    <s v="Austrian Development Agency (ADA)"/>
    <m/>
    <m/>
    <m/>
    <m/>
    <m/>
    <m/>
    <m/>
    <m/>
    <m/>
    <m/>
    <m/>
    <m/>
    <m/>
    <m/>
    <m/>
    <m/>
    <m/>
    <m/>
    <m/>
    <m/>
    <m/>
    <m/>
    <m/>
    <m/>
    <m/>
    <m/>
    <m/>
    <m/>
    <m/>
    <m/>
    <m/>
    <m/>
    <m/>
    <m/>
    <m/>
    <m/>
    <m/>
    <m/>
    <m/>
    <m/>
    <m/>
    <m/>
    <m/>
    <m/>
    <m/>
    <d v="2016-04-01T00:00:00"/>
    <d v="2019-03-31T00:00:00"/>
    <m/>
    <s v="Development Other"/>
    <n v="533415"/>
    <s v="Theogene Niyirora"/>
    <s v="Capacity Building Coordinator/Project Manager"/>
    <s v="theogene.niyirora@care.org"/>
    <s v="Sidonie Uwimpuhwe"/>
    <s v="Vulnerable Women Program Coordinator"/>
    <s v="sidonie.uwimpuhwe@care.org"/>
    <s v="NO"/>
    <s v="YES"/>
    <s v="NO"/>
    <s v="The main goal of L4C in Rwanda is to enable CARE and partner organizations to successfully promote and enhance gender equality in their own programmes. This will indirectly impact the lives of vulnerable women and girls that partners and CARE work with.  L4C in Rwanda's goal is to directly reach 110 staff and 395 community volunteers, and indirectly reach 59,540 impact group members."/>
    <s v="Sub-National"/>
    <s v="Southern, Western, and Eastern province (2 districts in Southern: Huye and Muhanga, 1 district in Western: Karongi, and 1 in Eastern: Rwagamagana)"/>
    <s v="In the context of this Phase of the Framework Programme, the impact groups are marginalised women and girls in Ethiopia, Rwanda and Uganda. The Framework Programme is expected to ultimately have an impact on about 644,000 people, by directly developing the capacity of around 500 individuals in at least 40 institutions."/>
    <m/>
    <m/>
    <n v="505"/>
    <m/>
    <m/>
    <n v="59540"/>
    <s v="The direct participants are 110 CARE and partner staff and 395 community volunteers that the L4C project is directly training. The indirect participants include the impact group of 59,540 men, women, boys and girls that will the community volunteers will reach. At this point in the project, there are no targets for sex disaggregated reach. The project will target beneficiaries of GEWEP II, SS4G, EDOAG, BEE, and Agent for Change projects. 27 of 36 trained staff were CARE Employes; Other staff were from the following organizations: ARCT-Ruhuka, Pro-femme, AEE, OAJPRODHO, RWAMREC, YWCA, ARTCF. Within each partner organization there are 1 or 2 people that were selected to then train other staff within their own organizations."/>
    <m/>
    <m/>
    <m/>
    <m/>
    <m/>
    <m/>
    <m/>
    <m/>
    <m/>
    <m/>
    <m/>
    <m/>
    <m/>
    <m/>
    <m/>
    <m/>
    <m/>
    <m/>
    <m/>
    <m/>
    <m/>
    <m/>
    <m/>
    <m/>
    <m/>
    <m/>
    <m/>
    <m/>
    <m/>
    <m/>
    <m/>
    <m/>
    <m/>
    <m/>
    <m/>
    <m/>
    <m/>
    <m/>
    <m/>
    <m/>
    <m/>
    <m/>
    <m/>
    <m/>
    <m/>
    <m/>
    <m/>
    <m/>
    <m/>
    <m/>
    <m/>
    <m/>
    <m/>
    <m/>
    <m/>
    <m/>
    <m/>
    <m/>
    <m/>
    <m/>
    <n v="19"/>
    <n v="17"/>
    <n v="36"/>
    <n v="0"/>
    <n v="0"/>
    <n v="0"/>
    <s v="NO"/>
    <m/>
    <m/>
    <m/>
    <s v="NO"/>
    <m/>
    <m/>
    <m/>
    <s v="NO"/>
    <m/>
    <m/>
    <m/>
    <s v="NO"/>
    <m/>
    <m/>
    <m/>
    <s v="NO"/>
    <m/>
    <m/>
    <m/>
    <s v="NO"/>
    <m/>
    <m/>
    <m/>
    <s v="NO"/>
    <m/>
    <m/>
    <m/>
    <s v="YES"/>
    <m/>
    <m/>
    <m/>
    <s v="YES"/>
    <n v="36"/>
    <n v="0.53"/>
    <n v="0"/>
    <s v="NO"/>
    <m/>
    <m/>
    <m/>
    <s v="NO"/>
    <m/>
    <m/>
    <m/>
    <s v="NO"/>
    <m/>
    <m/>
    <m/>
    <s v="NO"/>
    <m/>
    <m/>
    <m/>
    <s v="NO"/>
    <m/>
    <m/>
    <m/>
    <s v="NO"/>
    <m/>
    <m/>
    <m/>
    <s v="NO"/>
    <m/>
    <m/>
    <m/>
    <m/>
    <m/>
    <m/>
    <m/>
    <m/>
    <s v="YES"/>
    <s v="January"/>
    <n v="2017"/>
    <s v="YES"/>
    <s v="NO"/>
    <m/>
    <m/>
    <s v="The endline evaluation is scheduled for March 2019. There are no plans for a mid-term evaluation."/>
    <x v="0"/>
    <m/>
    <m/>
    <m/>
    <m/>
    <m/>
    <m/>
    <m/>
    <m/>
    <m/>
    <x v="1"/>
    <s v="The GED training was provided to 25 individuals and is being used as an innovation to fight gender inequality in programming"/>
    <x v="0"/>
    <s v="The rollout of project activities only began in July of 2017."/>
    <x v="0"/>
    <x v="0"/>
    <s v="YES"/>
    <x v="0"/>
    <x v="0"/>
    <x v="1"/>
    <x v="1"/>
    <n v="3"/>
    <x v="1"/>
    <x v="1"/>
    <x v="1"/>
    <x v="1"/>
    <x v="1"/>
    <x v="1"/>
    <n v="4"/>
    <x v="1"/>
    <x v="1"/>
    <x v="1"/>
    <x v="1"/>
    <x v="1"/>
    <n v="3"/>
    <x v="2"/>
    <x v="2"/>
    <n v="6"/>
    <s v="Local alliance(s)/Platform(s)/Network(s) of  NGOs/CSOs"/>
    <s v="Local NGO(s)/CSO(s)"/>
    <m/>
    <x v="0"/>
    <m/>
    <s v="L4C changed its implementation strategy at the request of the donor to show how the project activities will reach the impact group members because of a disconnect between how the work will impact the targeted group beyond the organization staff. The trainings planned to be implemented were overhauled in an effort to better impact the target group."/>
    <s v="The baseline assessment was well received due to the gaps it identified in capacity building"/>
    <s v="The staff that have received the GED training have provided positive feedback on its implemtation"/>
    <m/>
    <s v="This type of capacity building project is a new way of implementation which is not well known by partners but it is needed because even during the presentation of findings, the partners appreciated the new information on weaknesses that had not been discovered before that will allow them to improve at organizational levels and improve gender sensitive programming."/>
    <s v="Partners need capacity building but we've learned that there can be conflicting priorities between projects that need a coordination leader to avoid complications."/>
    <s v="The change in implentation strategy required a lot of work, but in reflections it was a needed change. The project team now has a better understanding of exactly what L4C seeks to impact and how it will be done."/>
    <s v="Due to budget constraints, L4C had to drastically decrease its targets. This is why the numbers will be different from FY16 PIIRS reporting."/>
    <s v="https://careinternational-my.sharepoint.com/personal/emmanuelt_rw_care_org/_layouts/15/guestaccess.aspx?folderid=19fbfaa882f604d30bc34ee2e27ee7de3&amp;authkey=Ac5SJcje3XLbVS--mdU2dxc"/>
    <n v="36"/>
    <n v="0"/>
    <n v="0"/>
    <n v="0.52777777777777779"/>
    <s v=""/>
    <n v="19"/>
    <n v="0"/>
    <s v=""/>
    <n v="0"/>
    <n v="0"/>
    <s v=""/>
    <s v=""/>
    <n v="0"/>
    <n v="0"/>
    <s v=""/>
    <s v=""/>
    <n v="0"/>
    <n v="0"/>
    <s v=""/>
    <n v="1"/>
    <n v="0"/>
    <n v="0"/>
    <s v=""/>
    <s v=""/>
    <n v="0"/>
    <n v="0"/>
    <s v=""/>
    <s v="1. Neutral"/>
    <s v="2. Accommodating"/>
    <s v="2. Sensitive"/>
    <s v="It tested new ways for fighting poverty, but did not measure results of innovation"/>
    <s v="Little or no advocacy"/>
    <s v="It did not take tested solutions to scale"/>
  </r>
  <r>
    <x v="62"/>
    <x v="3"/>
    <m/>
    <s v="Lendwithcare"/>
    <s v="Rwanda"/>
    <s v="UNRTGB0076"/>
    <s v="CARE UK"/>
    <s v="Individual supporter"/>
    <s v="Other"/>
    <s v="DFID"/>
    <s v="UNRTGB0076"/>
    <s v="CARE UK"/>
    <s v="Foundation"/>
    <s v="Other"/>
    <s v="The Jimmy Choo Foundation"/>
    <m/>
    <m/>
    <m/>
    <m/>
    <m/>
    <m/>
    <m/>
    <m/>
    <m/>
    <m/>
    <m/>
    <m/>
    <m/>
    <m/>
    <m/>
    <m/>
    <m/>
    <m/>
    <m/>
    <m/>
    <m/>
    <m/>
    <m/>
    <m/>
    <m/>
    <m/>
    <m/>
    <m/>
    <m/>
    <m/>
    <m/>
    <m/>
    <m/>
    <m/>
    <m/>
    <m/>
    <m/>
    <m/>
    <m/>
    <m/>
    <d v="2016-07-01T00:00:00"/>
    <d v="2017-06-30T00:00:00"/>
    <m/>
    <s v="Development Access to and Control over Economic Resources"/>
    <n v="375579"/>
    <s v="Tracey Horner"/>
    <s v="Head of Lendwithcare"/>
    <s v="horner@careinternational.org"/>
    <m/>
    <m/>
    <m/>
    <s v="NO"/>
    <s v="YES"/>
    <s v="NO"/>
    <s v="Provide loan capital to poor and low-income individuals, mainly women, who want to start or expand a small business."/>
    <s v="Sub-National"/>
    <s v="Kigali, Western Province, Southern Province and Northern Province."/>
    <s v="Women and men with existing income-generating activities who are excluded from the formal financial sector. The main impact groups are VSLA members and individuals engaged in small-scale farming, animal husbandry and petty trading."/>
    <n v="1174"/>
    <n v="518"/>
    <n v="1692"/>
    <n v="3482"/>
    <n v="3212"/>
    <n v="6694"/>
    <s v="Direct participants are those who received a loan to invest in their business from Lendwithcare lenders in FY17. Indirect participants have been calculated by adding up all of the dependents of the entrepreneurs who received a loan in FY17 and the people who have been employed in their businesses. We are not able to disaggregate the data for indirect participants by female and male, so I have used the ratio of 52:48 that is in the CIA World Factbook for Rwanda https://www.cia.gov/library/publications/the-world-factbook/geos/rw.html"/>
    <m/>
    <m/>
    <m/>
    <m/>
    <m/>
    <m/>
    <m/>
    <m/>
    <m/>
    <m/>
    <m/>
    <m/>
    <m/>
    <m/>
    <m/>
    <m/>
    <m/>
    <m/>
    <m/>
    <m/>
    <m/>
    <m/>
    <m/>
    <m/>
    <m/>
    <m/>
    <m/>
    <m/>
    <m/>
    <m/>
    <m/>
    <m/>
    <m/>
    <m/>
    <m/>
    <m/>
    <m/>
    <m/>
    <m/>
    <m/>
    <m/>
    <m/>
    <m/>
    <m/>
    <m/>
    <m/>
    <m/>
    <m/>
    <m/>
    <m/>
    <m/>
    <m/>
    <m/>
    <m/>
    <m/>
    <m/>
    <m/>
    <m/>
    <m/>
    <m/>
    <n v="1174"/>
    <n v="518"/>
    <n v="1692"/>
    <n v="3482"/>
    <n v="3212"/>
    <n v="6694"/>
    <m/>
    <m/>
    <m/>
    <m/>
    <m/>
    <m/>
    <m/>
    <m/>
    <m/>
    <m/>
    <m/>
    <m/>
    <m/>
    <m/>
    <m/>
    <m/>
    <m/>
    <m/>
    <m/>
    <m/>
    <m/>
    <m/>
    <m/>
    <m/>
    <m/>
    <m/>
    <m/>
    <m/>
    <m/>
    <m/>
    <m/>
    <m/>
    <m/>
    <m/>
    <m/>
    <m/>
    <m/>
    <m/>
    <m/>
    <m/>
    <m/>
    <m/>
    <m/>
    <m/>
    <m/>
    <m/>
    <m/>
    <m/>
    <m/>
    <m/>
    <m/>
    <m/>
    <m/>
    <m/>
    <m/>
    <m/>
    <m/>
    <m/>
    <m/>
    <m/>
    <s v="YES"/>
    <n v="1692"/>
    <n v="0.69"/>
    <n v="6694"/>
    <m/>
    <m/>
    <m/>
    <m/>
    <m/>
    <s v="NO"/>
    <m/>
    <m/>
    <m/>
    <s v="NO"/>
    <m/>
    <m/>
    <m/>
    <x v="0"/>
    <m/>
    <m/>
    <m/>
    <m/>
    <m/>
    <m/>
    <m/>
    <m/>
    <m/>
    <x v="0"/>
    <m/>
    <x v="0"/>
    <m/>
    <x v="0"/>
    <x v="3"/>
    <m/>
    <x v="2"/>
    <x v="2"/>
    <x v="2"/>
    <x v="5"/>
    <n v="0"/>
    <x v="3"/>
    <x v="0"/>
    <x v="0"/>
    <x v="0"/>
    <x v="0"/>
    <x v="3"/>
    <n v="0"/>
    <x v="2"/>
    <x v="0"/>
    <x v="0"/>
    <x v="0"/>
    <x v="2"/>
    <n v="0"/>
    <x v="2"/>
    <x v="2"/>
    <n v="1"/>
    <s v="Private sector"/>
    <m/>
    <m/>
    <x v="1"/>
    <m/>
    <s v="There were no important changes or adjustments made."/>
    <s v="Microfinance was used as the strategy to meet our Financial Inclusion and WEE objectives."/>
    <s v="Peer-to-peer lending was used as the strategy to raise loan capital for the project's participants."/>
    <s v="We have managed to successfully link CARE formed VSLAs with our microfinance partner in Rwanda and in FY17, provided loan capital for 1,511 VSLA members."/>
    <s v="Since Lendwithcare sends loan capital to our microfinance partners in USD this has exposed some of our partners, including our partner in Rwanda, to a certain degree of exchange rate risk. To mitigate this risk we plan to change our backend system in FY18 to allow our partners to send and receive money in their local currency."/>
    <s v="We had an issue with our partner collecting proper consent from beneficiaries to share their information on the Lendwithcare website. This error has been addressed and will be checked again during the FY18 evaluation."/>
    <m/>
    <s v="This is an on-going project so we do not have a budget for the lifetime of the project. The number we have reported is how much loan capital was raised through the Lendwithcare platform for Rwanda in FY17. Lendwithcare does not use gender, resilience or governance scorecards as part of its programming so we have had to answer no to all the questions related to these. However, an outcome of 'harmful' (particularly with regards to women's empowerment and gender equality) seems in accurate since this initiatve focuses heavily on Women's Economic Empowerment and in Rwanda, 69% of the beneficiaries are female."/>
    <m/>
    <n v="1692"/>
    <n v="6694"/>
    <n v="3.9562647754137115"/>
    <n v="0.69385342789598103"/>
    <n v="0.52016731401254857"/>
    <n v="1174"/>
    <n v="3482"/>
    <s v=""/>
    <n v="0"/>
    <n v="0"/>
    <s v=""/>
    <s v=""/>
    <n v="0"/>
    <n v="0"/>
    <s v=""/>
    <s v=""/>
    <n v="0"/>
    <n v="0"/>
    <s v=""/>
    <s v=""/>
    <n v="0"/>
    <n v="0"/>
    <s v=""/>
    <n v="1"/>
    <n v="1692"/>
    <n v="6694"/>
    <n v="3.9562647754137115"/>
    <s v="0. Harmful"/>
    <s v="0. Unaware"/>
    <s v="0. Harmful"/>
    <s v="It did not develop any specific innovation"/>
    <s v="Little or no advocacy"/>
    <s v="It did not take tested solutions to scale"/>
  </r>
  <r>
    <x v="62"/>
    <x v="3"/>
    <n v="3310"/>
    <s v="PROFIR: Promoting Opportunities for Financial Inclusion in Rwanda"/>
    <s v="Rwanda"/>
    <s v="CCANRW0011"/>
    <s v="CARE Canada"/>
    <s v="Foundation"/>
    <s v="Other"/>
    <s v="MasterCard Foundation"/>
    <m/>
    <m/>
    <m/>
    <m/>
    <m/>
    <m/>
    <m/>
    <m/>
    <m/>
    <m/>
    <m/>
    <m/>
    <m/>
    <m/>
    <m/>
    <m/>
    <m/>
    <m/>
    <m/>
    <m/>
    <m/>
    <m/>
    <m/>
    <m/>
    <m/>
    <m/>
    <m/>
    <m/>
    <m/>
    <m/>
    <m/>
    <m/>
    <m/>
    <m/>
    <m/>
    <m/>
    <m/>
    <m/>
    <m/>
    <m/>
    <m/>
    <m/>
    <m/>
    <m/>
    <m/>
    <d v="2013-11-01T00:00:00"/>
    <d v="2017-12-31T00:00:00"/>
    <d v="2018-03-30T00:00:00"/>
    <s v="Development Access to and Control over Economic Resources"/>
    <n v="1251607"/>
    <s v="Pascal Niyitegeka"/>
    <s v="Project Manager"/>
    <s v="Pascaln.rw@care.org"/>
    <s v="Jean Francois Regis Mutsinzi"/>
    <s v="Monitoring and Evaluation Professional"/>
    <s v="Jeanfrancoism.rw@care.org"/>
    <s v="NO"/>
    <s v="YES"/>
    <s v="NO"/>
    <s v="The projects ultimate goal is to increase financial inclusion for 300,000 individuals and their families. This will be achieved by building the capacity of 300,000 people from existing VSL clients on financial literacy and financial linkage and providing opportunities for 180,000 people to access formal financial services through linkages to various service providers through the introduction and expansion of technology-enabled financial services."/>
    <s v="Sub-National"/>
    <s v="The project covers 16 districts out of 30 districts in Rwanda in Eastern, Northern and Western Provinces. The 3 districts of Kigali City and 3 districts (Rusizi, Nyamasheke, Rutsiro) of the Western province are not covered."/>
    <s v="Poor and vulnerable women members in existing VSLG (18 years old and above)"/>
    <n v="210000"/>
    <n v="90000"/>
    <n v="300000"/>
    <n v="630000"/>
    <n v="270000"/>
    <n v="900000"/>
    <s v="Direct beneficiaries: 300,000 women and men that are members of mature VSL groups. 70% are women and 30% are men. Indirect beneficiaries: Individuals living in the same households as the direct beneficiaries. Indirect beneficiaries are calculated by multiplying the total direct beneficiary by 4, then subtracting the number of direct beneficiaires. For example, 300000*4 = 1200000 - 300000 = 900000. The average household size in Rwanda according to the 2012 Rwanda Population &amp; Housing Census is 4.3 people. PROFIR has chosen to have a conservative calculation by using 4 as the multiplier as it was noted in the Census that the average household size is 4.0 in urban areas. It's worth noting that the PROFIR project has beneficiary overlap with the active project Indashikirwa 'Agent for Change' (A4C) and the overlap will be subtracted in the A4C PIIRS form."/>
    <m/>
    <m/>
    <m/>
    <m/>
    <m/>
    <m/>
    <m/>
    <m/>
    <m/>
    <m/>
    <m/>
    <m/>
    <m/>
    <m/>
    <m/>
    <m/>
    <m/>
    <m/>
    <m/>
    <m/>
    <m/>
    <m/>
    <m/>
    <m/>
    <m/>
    <m/>
    <m/>
    <m/>
    <m/>
    <m/>
    <m/>
    <m/>
    <m/>
    <m/>
    <m/>
    <m/>
    <m/>
    <m/>
    <m/>
    <m/>
    <m/>
    <m/>
    <m/>
    <m/>
    <m/>
    <m/>
    <m/>
    <m/>
    <m/>
    <m/>
    <m/>
    <m/>
    <m/>
    <m/>
    <m/>
    <m/>
    <m/>
    <m/>
    <m/>
    <m/>
    <n v="231590"/>
    <n v="99253"/>
    <n v="330843"/>
    <n v="694770"/>
    <n v="297759"/>
    <n v="992529"/>
    <s v="NO"/>
    <m/>
    <m/>
    <m/>
    <s v="NO"/>
    <m/>
    <m/>
    <m/>
    <s v="NO"/>
    <m/>
    <m/>
    <m/>
    <s v="NO"/>
    <m/>
    <m/>
    <m/>
    <s v="NO"/>
    <m/>
    <m/>
    <m/>
    <s v="NO"/>
    <m/>
    <m/>
    <m/>
    <s v="NO"/>
    <m/>
    <m/>
    <m/>
    <s v="NO"/>
    <m/>
    <m/>
    <m/>
    <s v="NO"/>
    <m/>
    <m/>
    <m/>
    <s v="NO"/>
    <m/>
    <m/>
    <m/>
    <s v="NO"/>
    <m/>
    <m/>
    <m/>
    <s v="NO"/>
    <m/>
    <m/>
    <m/>
    <s v="NO"/>
    <m/>
    <m/>
    <m/>
    <s v="NO"/>
    <m/>
    <m/>
    <m/>
    <s v="NO"/>
    <m/>
    <m/>
    <m/>
    <s v="YES"/>
    <n v="330843"/>
    <n v="0.7"/>
    <n v="992529"/>
    <m/>
    <s v="NO"/>
    <m/>
    <m/>
    <m/>
    <s v="NO"/>
    <m/>
    <m/>
    <m/>
    <s v="YES"/>
    <s v="September"/>
    <n v="2017"/>
    <s v="Final impact evaluation. The third evaluation identified three potential methods for this impact evaluation: Regression discontinuity design (RDD) would compare the outcomes experienced by VSL members that only just made it past the linkage eligibility threshold with the outcomes experienced by those in VSLAs that were just not eligible. This approach presents the risk of not being able to identify a large enough sample of members who are part of a VSLA that has not formed a linkage. Difference-in-difference (DiD) estimation exploits a pre-intervention baseline and post intervention follow-up. The principal idea is to survey the treatment group as well as a control group both before and after the intervention. The developments in both groups will then be compared afterwards. The difference in the trends is the effect of the intervention. Case study approach (group discussion and one to one interviews). This relies on qualitative data and have 2 primary objectives: Unpack and understand the process through which changes at the HH level are realised as a result of the financial literacy training and linkages with formal FSPs; and, obtain a deeper understanding of the experiences and needs of a smaller number of clients in all provinces of the country and establish whether there are significant differences between provinces in terms of anticipated impact to test the generalisability of the quantitative study"/>
    <x v="1"/>
    <s v="NO"/>
    <s v="NO"/>
    <s v="NO"/>
    <s v="YES"/>
    <s v="YES"/>
    <s v="NO"/>
    <s v="NO"/>
    <s v="NO"/>
    <m/>
    <x v="2"/>
    <s v="The innovation was the introduuction of digital-driven financial inclusion that integrate the Mobile Network Operators in the CARE's linkage ecosystem and allow Financial service providers to use mobile banking channels to address the challenge of access to formal financial services by the rural population in Rwanda. The pilot phase was successfully completed, the project is planning the scale up."/>
    <x v="1"/>
    <s v="During the impplementation of the project, CARE Rwanda and partners learned that financial literacy trainings make a strong foundation for the success of financial inclusion. It helps clients making informed decisions on the right institution and product to go for and financial service providers appreciate that the project is preparing individual clients who graduate from the group linkages. The business case of working with saving groups is becoming clear and more partners are joining to scale the linkages by including more groups. The government also made a good step to include VSLAs program in the national financial linkages programs as a stron platforrm for ssusttainable financial inclusion."/>
    <x v="0"/>
    <x v="1"/>
    <s v="NO"/>
    <x v="1"/>
    <x v="0"/>
    <x v="0"/>
    <x v="4"/>
    <n v="2"/>
    <x v="1"/>
    <x v="1"/>
    <x v="1"/>
    <x v="1"/>
    <x v="1"/>
    <x v="1"/>
    <n v="4"/>
    <x v="3"/>
    <x v="2"/>
    <x v="2"/>
    <x v="1"/>
    <x v="5"/>
    <n v="1"/>
    <x v="2"/>
    <x v="0"/>
    <n v="7"/>
    <s v="National government"/>
    <s v="Private sector"/>
    <m/>
    <x v="1"/>
    <m/>
    <s v="Responding to MTE recommandantions and donor's suggestions, the project changed its focus to invest more in ensuring quality, sustainability, learning, documentation and dissemination. This also informed some strategies during the implementation. For example, all quarterly review meetings with partners are also engaging beneficiaries/clients and local leaders as a platform to come up with joint understanding and actions to address quality issues and maximize ownership of the project interventions by the community and local government."/>
    <s v="The Village Agent Network (VAN) worke very well during this fiscal year. It's a structure within the community that has helped in implementing, monitoring, supporting and sustaining community development inititiatives. This network was created by PROFIR and will be a sustainable structure that remains after the program's end."/>
    <s v="Establishing partnerships with financial service providers has been effective in developing and delivering appropriate financial products and services to rural communities."/>
    <s v="Engaging different stakeholders increased ownership and sustainability of the project. For example, working with the local government assocication of Rwandan Microfinance Institutions resulted in increased commitment and accountability to the PROFIR project as they saw that the project was also linked to government priorities."/>
    <s v="Financial literacy training has been proven as a very strong foundation for successful financial inclusion. When you ask partners to distinguish CARE's VSLA groups from others, they will tell you that the increased financial literacy skills of CARE's beneficiaries have made them better clients than others. This also pushed the financial institutions to develop new services and to increase engagement with beneficiaries. There are partners that came to PROFIR, not the other way around, indicating the success of our project structure."/>
    <s v="Where we have underperforming loans, it's mainly due to the lack of strategies to deal with climate change and resilience to climate change. Such as including insurance products. This is an area that we did not focus on in the term of this project. If the project were to be continued, or scaled up, we would recommend strategies for climate change."/>
    <s v="Access to finance in this project has created incredible gains for women by increasing their overall household income, access to and control over resources, and boosting their confidence and dignity."/>
    <s v="Based on the success of the VAN, there is a need to ensure that it continues after the life of the project. Next steps are to strengthen VAN governance to work as an effective structure for support and sustainability of the project's interventions."/>
    <s v="Baseline: http://minerva.care.ca/livelink1/livelink.exe?func=ll&amp;objaction=overview&amp;objid=6940652&amp;viewType=1; Midterm Evaluation: http://www.careevaluations.org/Evaluations/PROMOTING%20OPPORTUNITIES%20FOR%20WOMEN%E2%80%99S%20ECONOMIC%20EMPOWERMENT%20IN%20RURAL%20AFRICA.pdf"/>
    <n v="330843"/>
    <n v="992529"/>
    <n v="3"/>
    <n v="0.69999969774182924"/>
    <n v="0.69999969774182924"/>
    <n v="231590"/>
    <n v="694770"/>
    <s v=""/>
    <n v="0"/>
    <n v="0"/>
    <s v=""/>
    <s v=""/>
    <n v="0"/>
    <n v="0"/>
    <s v=""/>
    <s v=""/>
    <n v="0"/>
    <n v="0"/>
    <s v=""/>
    <s v=""/>
    <n v="0"/>
    <n v="0"/>
    <s v=""/>
    <n v="1"/>
    <n v="330843"/>
    <n v="992529"/>
    <n v="3"/>
    <s v="3. Responsive"/>
    <s v="2. Accommodating"/>
    <s v="3. Responsive"/>
    <s v="It tested new ways for fighting poverty and measured results of innovation"/>
    <s v="Moderate advocacy"/>
    <s v="It linked and worked with strategic alliances and partners to take tested and effective solutions to scale"/>
  </r>
  <r>
    <x v="62"/>
    <x v="3"/>
    <n v="3312"/>
    <s v="Safe Schools for Girls (SS4G)"/>
    <s v="Rwanda"/>
    <s v="RWA01/US102/PCTFRW0001"/>
    <s v="CARE USA"/>
    <s v="Other"/>
    <s v="Other"/>
    <s v="Patsy Collins Trust Fund Initiative (PCTFI)"/>
    <m/>
    <m/>
    <m/>
    <m/>
    <m/>
    <m/>
    <m/>
    <m/>
    <m/>
    <m/>
    <m/>
    <m/>
    <m/>
    <m/>
    <m/>
    <m/>
    <m/>
    <m/>
    <m/>
    <m/>
    <m/>
    <m/>
    <m/>
    <m/>
    <m/>
    <m/>
    <m/>
    <m/>
    <m/>
    <m/>
    <m/>
    <m/>
    <m/>
    <m/>
    <m/>
    <m/>
    <m/>
    <m/>
    <m/>
    <m/>
    <m/>
    <m/>
    <m/>
    <m/>
    <m/>
    <d v="2015-07-01T00:00:00"/>
    <d v="2020-06-30T00:00:00"/>
    <m/>
    <s v="Development Other"/>
    <n v="1437650"/>
    <s v="Sam KALINDA"/>
    <s v="Project Manager"/>
    <s v="samk.rw@care.org"/>
    <s v="Eugene RUSANGANWA"/>
    <s v="Program Coordinator"/>
    <s v="eugener.rw@care.org"/>
    <s v="NO"/>
    <s v="YES"/>
    <s v="NO"/>
    <s v="The overall goal if the project is for adolescents, especially marginalize girls in the Southern province, to build capabilities and pursue opportunities to ralize their aspirations."/>
    <s v="Sub-National"/>
    <s v="Huye, Nyanza, Ruhango, Muhanga and Kamony districts in the Southern Province of Rwanda"/>
    <s v="Adolscent girls and boys between 12-18 years in lower secondary schools"/>
    <n v="25014"/>
    <n v="19873"/>
    <n v="44887"/>
    <n v="76969"/>
    <n v="60476"/>
    <n v="137445"/>
    <s v="Direct participants are adolescent girls and boys in lower secondary schools that are enrolled in the project located in the Southern Province, along with the teacher mentors. Indirect participants include household members of the direct participants and teachers that are not mentors. For direct participants, we use a headcount of students (53,639) and mentors (414 female mentors, 273 male mentors) in the targeted lower secondary schools to calculate the total number.  For indirect participants, use a conservative estimate of the average household size (4.0) to account for potential overlap in households by siblings enrolled in the project and other teacher at the schools that were not selected to be mentors but participant in the weekly meeting conducted at the schools. For example, the project assumes that each student and mentor is a member of a household with 4 people, which equals 134, 661 indirect participants. There are 174 schools in the SS4G project and each has around 16 teachers that are not mentors (4 mentors were selected from each school) which equals 2,784 indirect teacher beneficiaries. Once you subtract each direct participant from the household calculation and add in the indirect teachers, the national stastistic of 56% of Rwanda's population as females, and 44 percent of the population as males is used to calculate women/girls and men/boys breakdowns for indirect participants."/>
    <m/>
    <m/>
    <m/>
    <m/>
    <m/>
    <m/>
    <m/>
    <m/>
    <m/>
    <m/>
    <m/>
    <m/>
    <m/>
    <m/>
    <m/>
    <m/>
    <m/>
    <m/>
    <m/>
    <m/>
    <m/>
    <m/>
    <m/>
    <m/>
    <m/>
    <m/>
    <m/>
    <m/>
    <m/>
    <m/>
    <m/>
    <m/>
    <m/>
    <m/>
    <m/>
    <m/>
    <m/>
    <m/>
    <m/>
    <m/>
    <m/>
    <m/>
    <m/>
    <m/>
    <m/>
    <m/>
    <m/>
    <m/>
    <m/>
    <m/>
    <m/>
    <m/>
    <m/>
    <m/>
    <m/>
    <m/>
    <m/>
    <m/>
    <m/>
    <m/>
    <n v="30847"/>
    <n v="23479"/>
    <n v="54326"/>
    <n v="92827"/>
    <n v="72935"/>
    <n v="165762"/>
    <s v="NO"/>
    <m/>
    <m/>
    <m/>
    <s v="NO"/>
    <m/>
    <m/>
    <m/>
    <s v="NO"/>
    <m/>
    <m/>
    <m/>
    <s v="NO"/>
    <m/>
    <m/>
    <m/>
    <s v="NO"/>
    <m/>
    <m/>
    <m/>
    <s v="YES"/>
    <n v="54326"/>
    <n v="0.56699999999999995"/>
    <n v="165762"/>
    <s v="NO"/>
    <m/>
    <m/>
    <m/>
    <s v="YES"/>
    <n v="54326"/>
    <n v="0.56699999999999995"/>
    <n v="165762"/>
    <s v="NO"/>
    <m/>
    <m/>
    <m/>
    <s v="NO"/>
    <m/>
    <m/>
    <m/>
    <s v="NO"/>
    <m/>
    <m/>
    <m/>
    <s v="NO"/>
    <m/>
    <m/>
    <m/>
    <s v="NO"/>
    <m/>
    <m/>
    <m/>
    <s v="YES"/>
    <n v="54326"/>
    <n v="0.56699999999999995"/>
    <n v="165762"/>
    <s v="NO"/>
    <m/>
    <m/>
    <m/>
    <s v="YES"/>
    <n v="54326"/>
    <n v="0.56699999999999995"/>
    <n v="165762"/>
    <m/>
    <m/>
    <m/>
    <m/>
    <m/>
    <s v="YES"/>
    <s v="June"/>
    <n v="2017"/>
    <s v="YES"/>
    <s v="NO"/>
    <m/>
    <m/>
    <s v="The miterm evaluation for SS4G (which is the final evaluation for BEE) is planned for the beginning for FY19."/>
    <x v="0"/>
    <s v="NO"/>
    <s v="NO"/>
    <s v="NO"/>
    <s v="NO"/>
    <s v="NO"/>
    <s v="NO"/>
    <s v="NO"/>
    <m/>
    <m/>
    <x v="0"/>
    <m/>
    <x v="1"/>
    <s v="SS4G works with YWCA (Young Women's Association) to educate girls and boys on financial literacy. YWCA itself partners with financial institutions (e.g. Equity Bank, Umutanguha) to link SS4G beneficiaries to financial linkages after they have undergone financial literacy courses."/>
    <x v="1"/>
    <x v="1"/>
    <s v="YES"/>
    <x v="0"/>
    <x v="0"/>
    <x v="0"/>
    <x v="2"/>
    <n v="4"/>
    <x v="1"/>
    <x v="2"/>
    <x v="1"/>
    <x v="1"/>
    <x v="1"/>
    <x v="1"/>
    <n v="3"/>
    <x v="3"/>
    <x v="2"/>
    <x v="1"/>
    <x v="1"/>
    <x v="5"/>
    <n v="2"/>
    <x v="2"/>
    <x v="2"/>
    <n v="2"/>
    <s v="Local NGO(s)/CSO(s)"/>
    <m/>
    <m/>
    <x v="1"/>
    <m/>
    <s v="SS4G did not undergo any important changes or adjustments to the project in FY 17."/>
    <s v="The Savings and Loan methodology has been quickly applied within the schools and clubs. There are many other VSL projects that CARE is immplementing with adults and the lessons learned from those projects have been very benficial to the implementation of the VSL component in our project."/>
    <s v="The student clubs are used as a social network for the girls and boys to interact with each other and support and reinforce the education they are receiving by the project."/>
    <s v="The head teachers at our schools are very committed to the project and their support and has made working with mentors and responding to their needs and feedback."/>
    <s v="Mentors and other teachers together have formed their own VSL groups as adults which wasn't an intended consequence of the project. This is promising practice of the project and is evidence of the benefits that extended beyond the direct beneficiaries."/>
    <s v="The integration of the 3 major objectives of the projects has created a time constraint (1 hr) for mentors to work with students in the clubs. This has been and will be challenging to make sure that the 3 key lessons are being fully integrated in such a short amount of time."/>
    <s v="When we started the project, saying that we are forming clubs, some education officers at district level and sector level did not understand how girls and boys at the lower secondary level could have money to save. The officers were unaware that we were engaging parents and guardians to help the students save. However, now that we have had success, the officials are supportive and support the clubs as a feasible activity."/>
    <s v="The Ministry of Education is very interested to see how the project is impacting the performance of the schools that we are working with (retention, dropout, success of students and teachers, etc.). The project is committed to work with EVERY student involved in S1, S2, and S3 grades and as such our direct beneficiaries are higher than our initial target. Due to this committment, we are aligning our budget with the higher number of students with approval from the donor.  "/>
    <m/>
    <n v="54326"/>
    <n v="165762"/>
    <n v="3.0512461804660753"/>
    <n v="0.56781283363398738"/>
    <n v="0.56000168916880833"/>
    <n v="30847"/>
    <n v="92827"/>
    <s v=""/>
    <n v="0"/>
    <n v="0"/>
    <s v=""/>
    <s v=""/>
    <n v="0"/>
    <n v="0"/>
    <s v=""/>
    <n v="1"/>
    <n v="54326"/>
    <n v="165762"/>
    <n v="3.0512461804660753"/>
    <n v="1"/>
    <n v="54326"/>
    <n v="165762"/>
    <n v="3.0512461804660753"/>
    <n v="1"/>
    <n v="54326"/>
    <n v="165762"/>
    <n v="3.0512461804660753"/>
    <s v="4. Transformative"/>
    <s v="2. Accommodating"/>
    <s v="3. Responsive"/>
    <s v="It did not develop any specific innovation"/>
    <s v="Little or no advocacy"/>
    <s v="It linked and worked with strategic alliances and partners to take tested and effective solutions to scale"/>
  </r>
  <r>
    <x v="63"/>
    <x v="1"/>
    <m/>
    <s v="CARE Refugee Response in the Balkans"/>
    <s v="Serbia"/>
    <s v="US1NM"/>
    <s v="CARE USA"/>
    <s v="Other"/>
    <s v="Other"/>
    <s v="Latter-Day Saint Charities"/>
    <m/>
    <m/>
    <m/>
    <m/>
    <m/>
    <m/>
    <m/>
    <m/>
    <m/>
    <m/>
    <m/>
    <m/>
    <m/>
    <m/>
    <m/>
    <m/>
    <m/>
    <m/>
    <m/>
    <m/>
    <m/>
    <m/>
    <m/>
    <m/>
    <m/>
    <m/>
    <m/>
    <m/>
    <m/>
    <m/>
    <m/>
    <m/>
    <m/>
    <m/>
    <m/>
    <m/>
    <m/>
    <m/>
    <m/>
    <m/>
    <m/>
    <m/>
    <m/>
    <m/>
    <m/>
    <d v="2016-02-01T00:00:00"/>
    <d v="2017-02-01T00:00:00"/>
    <d v="2017-03-01T00:00:00"/>
    <s v="Humanitarian Food &amp; Nutrition Security and Resilience to Climate Change"/>
    <n v="400000"/>
    <s v="Sibina Golubovic"/>
    <s v="Emergency Response Team Leader"/>
    <s v="sgolubovic@care.rs"/>
    <s v="Dusan Stamenkovic"/>
    <s v="Project Coordinator/WASH Specialist"/>
    <s v="dstamenkovic@care.rs"/>
    <s v="YES"/>
    <s v="YES"/>
    <s v="YES"/>
    <s v="To provide emergency relief for the refugees in the Balkan in sectors of food, WASH, shelter and NFIs."/>
    <s v="Multiple countries"/>
    <s v="Adasevci, Principovac, Sid (north-west), Miksaliste/Belgrade downtown, Sjenica, Tutin (south-west), Presevo (south), Kutina and Osijek (Croatia)."/>
    <s v="The beneficiaries of the support are inhabitants of the said reception centers: women, men and children., and people who were outside of the centers."/>
    <n v="2500"/>
    <n v="2500"/>
    <n v="5000"/>
    <m/>
    <m/>
    <m/>
    <s v="Direct participants are beneficiaries/recepients of the project."/>
    <m/>
    <n v="2500"/>
    <n v="2500"/>
    <n v="5000"/>
    <m/>
    <m/>
    <m/>
    <m/>
    <m/>
    <m/>
    <m/>
    <m/>
    <m/>
    <m/>
    <m/>
    <m/>
    <m/>
    <m/>
    <m/>
    <s v="YES"/>
    <n v="5000"/>
    <n v="0.5"/>
    <m/>
    <m/>
    <m/>
    <m/>
    <m/>
    <m/>
    <m/>
    <m/>
    <m/>
    <m/>
    <m/>
    <m/>
    <m/>
    <m/>
    <m/>
    <m/>
    <m/>
    <s v="YES"/>
    <n v="5000"/>
    <n v="0.5"/>
    <m/>
    <m/>
    <m/>
    <m/>
    <m/>
    <s v="YES"/>
    <m/>
    <m/>
    <m/>
    <s v="YES"/>
    <n v="5000"/>
    <n v="0.5"/>
    <m/>
    <m/>
    <m/>
    <m/>
    <m/>
    <m/>
    <m/>
    <m/>
    <m/>
    <m/>
    <m/>
    <m/>
    <m/>
    <m/>
    <m/>
    <m/>
    <m/>
    <m/>
    <m/>
    <m/>
    <m/>
    <m/>
    <m/>
    <m/>
    <m/>
    <m/>
    <m/>
    <m/>
    <m/>
    <m/>
    <m/>
    <m/>
    <m/>
    <m/>
    <m/>
    <m/>
    <s v="YES"/>
    <n v="2100"/>
    <n v="0.5"/>
    <n v="0"/>
    <m/>
    <m/>
    <m/>
    <m/>
    <m/>
    <m/>
    <m/>
    <m/>
    <m/>
    <m/>
    <m/>
    <m/>
    <m/>
    <m/>
    <m/>
    <m/>
    <m/>
    <m/>
    <m/>
    <m/>
    <m/>
    <m/>
    <m/>
    <m/>
    <m/>
    <m/>
    <m/>
    <m/>
    <m/>
    <m/>
    <m/>
    <m/>
    <m/>
    <m/>
    <m/>
    <m/>
    <m/>
    <m/>
    <m/>
    <m/>
    <m/>
    <s v="NO"/>
    <m/>
    <m/>
    <m/>
    <s v="NO"/>
    <m/>
    <m/>
    <m/>
    <x v="1"/>
    <m/>
    <m/>
    <m/>
    <m/>
    <m/>
    <m/>
    <m/>
    <m/>
    <m/>
    <x v="0"/>
    <m/>
    <x v="1"/>
    <m/>
    <x v="1"/>
    <x v="0"/>
    <s v="YES"/>
    <x v="0"/>
    <x v="0"/>
    <x v="0"/>
    <x v="0"/>
    <n v="4"/>
    <x v="1"/>
    <x v="1"/>
    <x v="1"/>
    <x v="1"/>
    <x v="1"/>
    <x v="1"/>
    <n v="4"/>
    <x v="1"/>
    <x v="1"/>
    <x v="2"/>
    <x v="1"/>
    <x v="3"/>
    <n v="2"/>
    <x v="2"/>
    <x v="2"/>
    <n v="4"/>
    <s v="Grassroots organization(s)"/>
    <s v="National government"/>
    <m/>
    <x v="2"/>
    <m/>
    <m/>
    <m/>
    <m/>
    <m/>
    <m/>
    <m/>
    <m/>
    <m/>
    <m/>
    <n v="5000"/>
    <n v="0"/>
    <n v="0"/>
    <n v="0.5"/>
    <s v=""/>
    <n v="2500"/>
    <n v="0"/>
    <n v="1"/>
    <n v="5000"/>
    <n v="0"/>
    <n v="0"/>
    <n v="1"/>
    <n v="5000"/>
    <n v="0"/>
    <n v="0"/>
    <s v=""/>
    <n v="0"/>
    <n v="0"/>
    <s v=""/>
    <s v=""/>
    <n v="0"/>
    <n v="0"/>
    <s v=""/>
    <s v=""/>
    <n v="0"/>
    <n v="0"/>
    <s v=""/>
    <s v="2. Sensitive"/>
    <s v="2. Accommodating"/>
    <s v="1. Neutral"/>
    <s v="It did not develop any specific innovation"/>
    <s v="Moderate advocacy"/>
    <s v="It linked and worked with strategic alliances and partners to take tested and effective solutions to scale"/>
  </r>
  <r>
    <x v="63"/>
    <x v="1"/>
    <m/>
    <s v="Food Assistance for Refugees in Serbia"/>
    <s v="Serbia"/>
    <s v="SRB7071/DE779"/>
    <s v="CARE Deutschland-Luxemburg"/>
    <s v="Government"/>
    <s v="ECHO - European Commission for Humanitarian Aid and Civil Protection"/>
    <s v="ECHO"/>
    <m/>
    <m/>
    <m/>
    <m/>
    <m/>
    <m/>
    <m/>
    <m/>
    <m/>
    <m/>
    <m/>
    <m/>
    <m/>
    <m/>
    <m/>
    <m/>
    <m/>
    <m/>
    <m/>
    <m/>
    <m/>
    <m/>
    <m/>
    <m/>
    <m/>
    <m/>
    <m/>
    <m/>
    <m/>
    <m/>
    <m/>
    <m/>
    <m/>
    <m/>
    <m/>
    <m/>
    <m/>
    <m/>
    <m/>
    <m/>
    <m/>
    <m/>
    <m/>
    <m/>
    <m/>
    <d v="2017-01-01T00:00:00"/>
    <d v="2017-10-31T00:00:00"/>
    <d v="2017-12-04T00:00:00"/>
    <s v="Humanitarian Food &amp; Nutrition Security and Resilience to Climate Change"/>
    <n v="2762718.51"/>
    <s v="Sibina Golubovic"/>
    <s v="Emergency Response Team Leader"/>
    <s v="sgolubovic@care.rs"/>
    <s v="Dusan Stamenkovic"/>
    <s v="Project Coordinator/WASH Specialist"/>
    <s v="dstamenkovic@care.rs"/>
    <s v="YES"/>
    <s v="YES"/>
    <s v="YES"/>
    <s v="To provide three meals per day for migrants and refugees accommodated in Adasevci and Principovac reception centers, and satisfy nutritional needs of the population by well-balanced nutrition."/>
    <s v="National"/>
    <s v="North-west of Serbia, Sid municipality area: Adasevci and Principovac receptin centers. The project included Sid reception center as well, until its closure in May 2017."/>
    <s v="The beneficiaries of the support are inhabitants of the said reception centers: women, men and children."/>
    <n v="1050"/>
    <n v="1050"/>
    <n v="2100"/>
    <m/>
    <m/>
    <m/>
    <s v="Direct participants are beneficiaries/recepients of the project, residents of Adasevci and Principovac reception centers."/>
    <m/>
    <m/>
    <m/>
    <n v="2100"/>
    <m/>
    <m/>
    <m/>
    <m/>
    <m/>
    <m/>
    <m/>
    <m/>
    <m/>
    <m/>
    <m/>
    <m/>
    <m/>
    <m/>
    <m/>
    <s v="YES"/>
    <n v="2100"/>
    <n v="0.5"/>
    <n v="0"/>
    <m/>
    <m/>
    <m/>
    <m/>
    <m/>
    <m/>
    <m/>
    <m/>
    <m/>
    <m/>
    <m/>
    <m/>
    <m/>
    <m/>
    <m/>
    <m/>
    <m/>
    <m/>
    <m/>
    <m/>
    <m/>
    <m/>
    <m/>
    <m/>
    <m/>
    <m/>
    <m/>
    <m/>
    <m/>
    <m/>
    <m/>
    <m/>
    <m/>
    <m/>
    <m/>
    <m/>
    <m/>
    <m/>
    <m/>
    <m/>
    <m/>
    <m/>
    <m/>
    <m/>
    <m/>
    <m/>
    <m/>
    <m/>
    <m/>
    <m/>
    <m/>
    <m/>
    <m/>
    <m/>
    <m/>
    <m/>
    <m/>
    <m/>
    <m/>
    <m/>
    <m/>
    <m/>
    <m/>
    <m/>
    <m/>
    <m/>
    <m/>
    <s v="YES"/>
    <n v="2100"/>
    <n v="0.5"/>
    <n v="0"/>
    <m/>
    <m/>
    <m/>
    <m/>
    <m/>
    <m/>
    <m/>
    <m/>
    <m/>
    <m/>
    <m/>
    <m/>
    <m/>
    <m/>
    <m/>
    <m/>
    <m/>
    <m/>
    <m/>
    <m/>
    <m/>
    <m/>
    <m/>
    <m/>
    <m/>
    <m/>
    <m/>
    <m/>
    <m/>
    <m/>
    <m/>
    <m/>
    <m/>
    <m/>
    <m/>
    <m/>
    <m/>
    <m/>
    <m/>
    <m/>
    <m/>
    <s v="YES"/>
    <s v="February"/>
    <n v="2017"/>
    <s v="NO"/>
    <s v="NO"/>
    <m/>
    <m/>
    <m/>
    <x v="1"/>
    <m/>
    <m/>
    <m/>
    <m/>
    <m/>
    <m/>
    <m/>
    <m/>
    <m/>
    <x v="0"/>
    <m/>
    <x v="1"/>
    <m/>
    <x v="1"/>
    <x v="0"/>
    <s v="YES"/>
    <x v="0"/>
    <x v="0"/>
    <x v="0"/>
    <x v="0"/>
    <n v="4"/>
    <x v="1"/>
    <x v="1"/>
    <x v="1"/>
    <x v="1"/>
    <x v="1"/>
    <x v="1"/>
    <n v="4"/>
    <x v="1"/>
    <x v="1"/>
    <x v="2"/>
    <x v="1"/>
    <x v="3"/>
    <n v="2"/>
    <x v="2"/>
    <x v="2"/>
    <n v="1"/>
    <s v="Grassroots organization(s)"/>
    <s v="National government"/>
    <m/>
    <x v="2"/>
    <m/>
    <m/>
    <m/>
    <m/>
    <m/>
    <m/>
    <m/>
    <m/>
    <m/>
    <m/>
    <n v="2100"/>
    <n v="0"/>
    <n v="0"/>
    <n v="0"/>
    <s v=""/>
    <n v="0"/>
    <n v="0"/>
    <n v="1"/>
    <n v="2100"/>
    <n v="0"/>
    <n v="0"/>
    <n v="1"/>
    <n v="2100"/>
    <n v="0"/>
    <n v="0"/>
    <s v=""/>
    <n v="0"/>
    <n v="0"/>
    <s v=""/>
    <s v=""/>
    <n v="0"/>
    <n v="0"/>
    <s v=""/>
    <s v=""/>
    <n v="0"/>
    <n v="0"/>
    <s v=""/>
    <s v="2. Sensitive"/>
    <s v="2. Accommodating"/>
    <s v="1. Neutral"/>
    <s v="It did not develop any specific innovation"/>
    <s v="Moderate advocacy"/>
    <s v="It linked and worked with strategic alliances and partners to take tested and effective solutions to scale"/>
  </r>
  <r>
    <x v="63"/>
    <x v="1"/>
    <m/>
    <s v="Food, Winterization and Shelter for Refugees in Serbia"/>
    <s v="Serbia"/>
    <s v="SRB1262/DE760"/>
    <s v="CARE Deutschland-Luxemburg"/>
    <s v="Government"/>
    <s v="Government - Germany"/>
    <m/>
    <m/>
    <m/>
    <m/>
    <m/>
    <m/>
    <m/>
    <m/>
    <m/>
    <m/>
    <m/>
    <m/>
    <m/>
    <m/>
    <m/>
    <m/>
    <m/>
    <m/>
    <m/>
    <m/>
    <m/>
    <m/>
    <m/>
    <m/>
    <m/>
    <m/>
    <m/>
    <m/>
    <m/>
    <m/>
    <m/>
    <m/>
    <m/>
    <m/>
    <m/>
    <m/>
    <m/>
    <m/>
    <m/>
    <m/>
    <m/>
    <m/>
    <m/>
    <m/>
    <m/>
    <m/>
    <d v="2016-11-01T00:00:00"/>
    <d v="2016-12-31T00:00:00"/>
    <m/>
    <s v="Humanitarian Other"/>
    <n v="251988"/>
    <s v="Sibina Golubovic"/>
    <s v="Emergency Response Team Leader"/>
    <s v="sgolubovic@care.rs"/>
    <s v="Dusan Stamenkovic"/>
    <s v="Project Coordinator/WASH Specialist"/>
    <s v="dstamenkovic@care.rs"/>
    <s v="YES"/>
    <s v="YES"/>
    <s v="YES"/>
    <s v="CAREs goal in this project was to provide winter assistance through improved shelter, NFI, WASH and Food assistance in Serbia and support refugee population in three sectors: winterization, shelter/WASH and food and respond to the needs of the men, women and children in several locations throughout Serbia. Project had three goals: Providing support in protective clothes and NFIs, Providing support in adequate nutrition and Providing access to quality WASH and shelter services."/>
    <s v="National"/>
    <s v="The project was implemented in Belgrade, Adasevci, Principovac, Subotica, Presevo, Tutin, Sjenica and hot spots along the border with Hungary (Horgos, Kelebija, Sombor, etc)."/>
    <s v="The beneficiaries of the support are inhabitants of the said reception centers and people sleeping in the rough/hot spots/outside locations: women, men and children."/>
    <n v="1445"/>
    <n v="2750"/>
    <n v="4195"/>
    <m/>
    <m/>
    <m/>
    <s v="Direct participants are beneficiaries/recepients of the project. The estimated number of unique beneficiaries of cooked meal distribution in Adasevci was around 1,500 refugees/migrants and of NFI around 2,000 beneficiaries (Adasevci TC, Bogovadja AC and identified PoC in Subotica/Belgrade). Also it is necessary to have in mind that most of beneficiaries which received cooked meals in Adasevci, also received NFIs. Most of the beneficiaries received more than one NFI (for example socks, underwear, sweat suit, shoes etc) and hygiene items. NSHC provided protection and organized recreational activities for around 750 unique beneficiaries (approximately 50% of total beneficiaries). Some of those beneficiaries from Belgrade appeared in Adasevci. Because of all those reasons, it was impossible to determine exact and precise number of unique beneficiaries, only estimate. Our estimate is that during the project in total assistance was provided to around 2,500 unique beneficiaries (around 1,500 beneficiaries in Adasevci TC, 250 beneficiaries in Bogovadja AC and 750 beneficiaries in the Belgrade and Subotica). Pillow cases, bed sheets and bath towels were handed over to managers of transit centers. In the South, in Presevo, the number of unique beneficiaries was around 1000, while in Sjenica and Tutin in the south west, the number of unique beneficiaries from November 2106 to through January 2017 was continuously changing. The exact number of unique beneficiaries was hard to demine, Impuls estimation is that the total number of unique users is 10-20% times higher than the current number of users, what makes around 650 unique beneficiaries in both camps during project lifetime. Most beneficiaries who received hygiene received and/or NFI. In addition, CARE built outside pathways in Adasevci camp."/>
    <m/>
    <n v="1445"/>
    <n v="2750"/>
    <n v="4195"/>
    <m/>
    <m/>
    <m/>
    <m/>
    <m/>
    <m/>
    <m/>
    <m/>
    <m/>
    <m/>
    <m/>
    <m/>
    <m/>
    <m/>
    <m/>
    <s v="YES"/>
    <n v="1500"/>
    <n v="0.5"/>
    <n v="0"/>
    <m/>
    <m/>
    <m/>
    <m/>
    <m/>
    <m/>
    <m/>
    <m/>
    <m/>
    <m/>
    <m/>
    <m/>
    <m/>
    <m/>
    <m/>
    <m/>
    <s v="YES"/>
    <n v="2445"/>
    <n v="0.35"/>
    <m/>
    <m/>
    <m/>
    <m/>
    <m/>
    <s v="YES"/>
    <n v="1000"/>
    <n v="0.5"/>
    <m/>
    <s v="YES"/>
    <n v="4195"/>
    <n v="0.35"/>
    <m/>
    <m/>
    <m/>
    <m/>
    <m/>
    <m/>
    <m/>
    <m/>
    <m/>
    <m/>
    <m/>
    <m/>
    <m/>
    <m/>
    <m/>
    <m/>
    <m/>
    <m/>
    <m/>
    <m/>
    <m/>
    <m/>
    <m/>
    <m/>
    <m/>
    <m/>
    <m/>
    <m/>
    <m/>
    <m/>
    <m/>
    <m/>
    <m/>
    <m/>
    <m/>
    <m/>
    <s v="YES"/>
    <n v="2100"/>
    <n v="0.5"/>
    <n v="0"/>
    <m/>
    <m/>
    <m/>
    <m/>
    <m/>
    <m/>
    <m/>
    <m/>
    <m/>
    <m/>
    <m/>
    <m/>
    <m/>
    <m/>
    <m/>
    <m/>
    <m/>
    <m/>
    <m/>
    <m/>
    <m/>
    <m/>
    <m/>
    <m/>
    <m/>
    <m/>
    <m/>
    <m/>
    <m/>
    <m/>
    <m/>
    <m/>
    <m/>
    <m/>
    <m/>
    <m/>
    <m/>
    <m/>
    <m/>
    <m/>
    <m/>
    <s v="NO"/>
    <m/>
    <m/>
    <m/>
    <s v="NO"/>
    <m/>
    <m/>
    <m/>
    <x v="1"/>
    <m/>
    <m/>
    <m/>
    <m/>
    <m/>
    <m/>
    <m/>
    <m/>
    <m/>
    <x v="0"/>
    <m/>
    <x v="1"/>
    <m/>
    <x v="1"/>
    <x v="0"/>
    <s v="YES"/>
    <x v="0"/>
    <x v="0"/>
    <x v="0"/>
    <x v="0"/>
    <n v="4"/>
    <x v="1"/>
    <x v="1"/>
    <x v="1"/>
    <x v="1"/>
    <x v="1"/>
    <x v="1"/>
    <n v="4"/>
    <x v="1"/>
    <x v="1"/>
    <x v="2"/>
    <x v="1"/>
    <x v="3"/>
    <n v="2"/>
    <x v="2"/>
    <x v="2"/>
    <n v="3"/>
    <s v="Grassroots organization(s)"/>
    <s v="National government"/>
    <m/>
    <x v="2"/>
    <m/>
    <m/>
    <m/>
    <m/>
    <m/>
    <m/>
    <m/>
    <m/>
    <m/>
    <m/>
    <n v="4195"/>
    <n v="0"/>
    <n v="0"/>
    <n v="0.34445768772348034"/>
    <s v=""/>
    <n v="1445"/>
    <n v="0"/>
    <n v="1"/>
    <n v="4195"/>
    <n v="0"/>
    <n v="0"/>
    <n v="1"/>
    <n v="2100"/>
    <n v="0"/>
    <n v="0"/>
    <s v=""/>
    <n v="0"/>
    <n v="0"/>
    <s v=""/>
    <s v=""/>
    <n v="0"/>
    <n v="0"/>
    <s v=""/>
    <s v=""/>
    <n v="0"/>
    <n v="0"/>
    <s v=""/>
    <s v="2. Sensitive"/>
    <s v="2. Accommodating"/>
    <s v="1. Neutral"/>
    <s v="It did not develop any specific innovation"/>
    <s v="Moderate advocacy"/>
    <s v="It linked and worked with strategic alliances and partners to take tested and effective solutions to scale"/>
  </r>
  <r>
    <x v="63"/>
    <x v="1"/>
    <n v="3323"/>
    <s v="For Active Inclusion and Rights of Roma Women in the Western Balkans II (FAIR II)"/>
    <s v="Serbia"/>
    <s v="BIH131, BA331"/>
    <s v="CARE Österreich"/>
    <s v="Government"/>
    <s v="Government - Austria"/>
    <s v="Austrian Development Agency (ADA)"/>
    <m/>
    <m/>
    <m/>
    <m/>
    <m/>
    <m/>
    <m/>
    <m/>
    <m/>
    <m/>
    <m/>
    <m/>
    <m/>
    <m/>
    <m/>
    <m/>
    <m/>
    <m/>
    <m/>
    <m/>
    <m/>
    <m/>
    <m/>
    <m/>
    <m/>
    <m/>
    <m/>
    <m/>
    <m/>
    <m/>
    <m/>
    <m/>
    <m/>
    <m/>
    <m/>
    <m/>
    <m/>
    <m/>
    <m/>
    <m/>
    <m/>
    <m/>
    <m/>
    <m/>
    <m/>
    <d v="2015-11-01T00:00:00"/>
    <d v="2018-10-31T00:00:00"/>
    <m/>
    <s v="Humanitarian A Life Free From Violence (GBV)"/>
    <n v="1256496.6599999999"/>
    <s v="Jadranka Milicevic"/>
    <s v="Project Manager"/>
    <s v="jmilicevic@carenwb.org"/>
    <s v="Maja Petek"/>
    <s v="Project Officer"/>
    <s v="mpetek@carenwb.org"/>
    <s v="NO"/>
    <s v="YES"/>
    <s v="NO"/>
    <s v="To strenghten Roma women NGO's capacities to address the national and European level strategies and interventions related to Roma women rights and social inclusion of Roma communities"/>
    <s v="Regional"/>
    <s v="Balkan Region; Countries: Bosnia and Herzegovina, Republic of Serbia and Montenegro; throughout three countries"/>
    <s v="Local partners -Roma women lead non-governmental organizations, Roma women, girls, boys and men"/>
    <n v="4620"/>
    <n v="2380"/>
    <n v="7000"/>
    <n v="14000"/>
    <n v="6000"/>
    <n v="20000"/>
    <s v="Direct participants: Roma women and girls, men and boys in targeted localities, women Roma organizations, representatives of non Roma organizations and institutions addressing Roma issues, national governmental representatives. Indirect participants: family members of Roma individuals, colleagues of representatives of NGOs and institutional representatives, general public in Roma and majority population. The project team developed tailor maide monitoring tables for all implemented project activities with special tables for multiple and individual count of persons who directly participated at some project activities."/>
    <m/>
    <m/>
    <m/>
    <m/>
    <m/>
    <m/>
    <m/>
    <m/>
    <m/>
    <m/>
    <m/>
    <m/>
    <m/>
    <m/>
    <m/>
    <m/>
    <m/>
    <m/>
    <m/>
    <m/>
    <m/>
    <m/>
    <m/>
    <m/>
    <m/>
    <m/>
    <m/>
    <m/>
    <m/>
    <m/>
    <m/>
    <m/>
    <m/>
    <m/>
    <m/>
    <m/>
    <m/>
    <m/>
    <m/>
    <m/>
    <m/>
    <m/>
    <m/>
    <m/>
    <m/>
    <m/>
    <m/>
    <m/>
    <m/>
    <m/>
    <m/>
    <m/>
    <m/>
    <m/>
    <m/>
    <m/>
    <m/>
    <m/>
    <m/>
    <m/>
    <n v="3900"/>
    <n v="1179"/>
    <n v="5079"/>
    <n v="11560"/>
    <n v="3000"/>
    <n v="14560"/>
    <s v="NO"/>
    <m/>
    <m/>
    <m/>
    <s v="NO"/>
    <m/>
    <m/>
    <m/>
    <s v="NO"/>
    <m/>
    <m/>
    <m/>
    <s v="NO"/>
    <m/>
    <m/>
    <m/>
    <s v="NO"/>
    <m/>
    <m/>
    <m/>
    <s v="YES"/>
    <n v="1434"/>
    <n v="0.71619999999999995"/>
    <n v="4200"/>
    <s v="NO"/>
    <m/>
    <m/>
    <m/>
    <s v="YES"/>
    <n v="1495"/>
    <n v="0.84619999999999995"/>
    <n v="4200"/>
    <s v="YES"/>
    <n v="187"/>
    <n v="0.63100000000000001"/>
    <n v="500"/>
    <s v="YES"/>
    <n v="790"/>
    <n v="0.73419999999999996"/>
    <n v="2200"/>
    <s v="NO"/>
    <m/>
    <m/>
    <m/>
    <s v="NO"/>
    <m/>
    <m/>
    <m/>
    <s v="YES"/>
    <n v="88"/>
    <n v="0.79549999999999998"/>
    <n v="260"/>
    <s v="NO"/>
    <m/>
    <m/>
    <m/>
    <s v="NO"/>
    <m/>
    <m/>
    <m/>
    <s v="NO"/>
    <m/>
    <m/>
    <m/>
    <s v="Assistance in Ensuring Access to Social Rights"/>
    <s v="YES"/>
    <n v="1085"/>
    <n v="0.7742"/>
    <n v="3200"/>
    <s v="YES"/>
    <s v="December"/>
    <n v="2016"/>
    <s v="NO"/>
    <s v="YES"/>
    <s v="October"/>
    <n v="2017"/>
    <s v="Midterm evaluation is ongoing and conducted by the Regional Gender Program Coordinator and the project team"/>
    <x v="1"/>
    <s v="YES"/>
    <s v="YES"/>
    <s v="YES"/>
    <s v="YES"/>
    <s v="YES"/>
    <m/>
    <s v="YES"/>
    <m/>
    <m/>
    <x v="1"/>
    <s v="We are testing working with men and fighting inequality ???"/>
    <x v="3"/>
    <m/>
    <x v="1"/>
    <x v="1"/>
    <s v="YES"/>
    <x v="0"/>
    <x v="0"/>
    <x v="0"/>
    <x v="2"/>
    <n v="4"/>
    <x v="1"/>
    <x v="1"/>
    <x v="1"/>
    <x v="1"/>
    <x v="1"/>
    <x v="1"/>
    <n v="4"/>
    <x v="1"/>
    <x v="2"/>
    <x v="1"/>
    <x v="2"/>
    <x v="3"/>
    <n v="1"/>
    <x v="2"/>
    <x v="3"/>
    <n v="7"/>
    <s v="Local NGO(s)/CSO(s)"/>
    <m/>
    <m/>
    <x v="0"/>
    <s v="FAIR II project is strenghtening local CSO through a range of  tailor made capacity building actions directed at improving their organizational management and advocacy skills, reporting, monitoring and evaluation procedures, providing support in networking of organizations and institutions working on similar issues, nationally and regionally."/>
    <m/>
    <s v="Men engagement; to bring the change into the community and to support women empowerment and contribute to decrease GBV it is necessary to include men into workshops and work on changing their attitudes. This goes not only for adult men but also for young men."/>
    <s v="Inter-Sectoral Commissions; This is a local coordination mechanism, a body, consisted of representatives of local partner organization and institions which address certain related issues but have different roles. The representatives of this body jointly addrees individual issue and solve cases and/or start theirown initiatives"/>
    <s v="Peer to peer education is conducted in high schools attended by Roma students as well and in Roma communities targeting youth that do not attend schools. Information on sensitive issues are best transfered from peers to peers, open discussion is more frequent during peer to peer educations."/>
    <s v="Men engagement targets men in Roma community working on sensitive issues such as GBV and gender roles. One of the lessons learned is taking light approach in establishment of trust; meaning men were not interested to participate in GBV workshops thus partner organization now approached men through organization of workshops for men on different topics (mental health and support), after building trust targeted topics will be introduced."/>
    <s v="Roma Community Mediators are proven to be one of the assessts of this project to Roma community directly. Roma Mediators work in Roma communities and assist Roma population in different areas: education, gender based violence, gender equality, access to social rights and sometimes even provision of support. Roma Mediators act as the link between institutions and Roma individuals and are supported by main project partner in regards to transfer of knowledge and information. Unfortunatelly, this model, even proven to be supportive and very helpful to Roma community it is highely unlikely to be taken over by instutions due to lack of funds."/>
    <s v="Resistence of our longterm partners to test new tools, for example: Community Score Card i Most Significant Change has been noticed."/>
    <s v="Women Roma organizations that are main parnters in this project have been our partners for years during which CARE has been supporting these organizations and built their capacities. This capacity building has enabled these organizations now to be leaders in implemetation of succesfull projects of economic empowerment of women in their communities."/>
    <m/>
    <n v="5079"/>
    <n v="14560"/>
    <n v="2.8667060444969481"/>
    <n v="0.76786769049025394"/>
    <n v="0.79395604395604391"/>
    <n v="3900"/>
    <n v="11560"/>
    <s v=""/>
    <n v="0"/>
    <n v="0"/>
    <s v=""/>
    <s v=""/>
    <n v="0"/>
    <n v="0"/>
    <s v=""/>
    <s v=""/>
    <n v="0"/>
    <n v="0"/>
    <s v=""/>
    <n v="1"/>
    <n v="1495"/>
    <n v="4200"/>
    <n v="2.8093645484949832"/>
    <s v=""/>
    <n v="0"/>
    <n v="0"/>
    <s v=""/>
    <s v="4. Transformative"/>
    <s v="2. Accommodating"/>
    <s v="1. Neutral"/>
    <s v="It tested new ways for fighting poverty, but did not measure results of innovation"/>
    <s v="Moderate advocacy"/>
    <s v="It took tested solutions to scale on its own"/>
  </r>
  <r>
    <x v="63"/>
    <x v="1"/>
    <n v="2806"/>
    <s v="The Boys and Men as Allies in Violence Prevention and Gender Transformation in the Western Balkans"/>
    <s v="Serbia"/>
    <s v="PN: BIH105 FC: BA305"/>
    <s v="CARE Österreich"/>
    <s v="Government"/>
    <s v="Government - Austria"/>
    <s v="Austrian Development Agency (ADA)"/>
    <s v="PN: BIH116 FC: BA316"/>
    <s v="No CARE member related to the project/initiative"/>
    <s v="Foundation"/>
    <s v="Other"/>
    <s v="OAK Foundation"/>
    <m/>
    <m/>
    <s v="Foundation"/>
    <s v="Other"/>
    <m/>
    <m/>
    <m/>
    <m/>
    <m/>
    <m/>
    <m/>
    <m/>
    <m/>
    <m/>
    <m/>
    <m/>
    <m/>
    <m/>
    <m/>
    <m/>
    <m/>
    <m/>
    <m/>
    <m/>
    <m/>
    <m/>
    <m/>
    <m/>
    <m/>
    <m/>
    <m/>
    <m/>
    <m/>
    <m/>
    <m/>
    <m/>
    <m/>
    <m/>
    <m/>
    <m/>
    <d v="2013-12-01T00:00:00"/>
    <d v="2016-11-30T00:00:00"/>
    <m/>
    <s v="Development A Life Free From Violence (GBV)"/>
    <n v="1471221"/>
    <s v="Sumka Bucan"/>
    <s v="Regional Director"/>
    <s v="sbucan@carenwb.org"/>
    <s v="Saa Petkovic"/>
    <s v="Project Manager"/>
    <s v="spetkovic@carenwb.org"/>
    <s v="NO"/>
    <s v="YES"/>
    <s v="NO"/>
    <s v="The project purpose is to increase the uptake of healthy, non-violent and gender equitable lifestyles amongst boys and men (and girls and women) participating in the program. This will be achieved through 3 inter-related results: ER1: Gender Transformative Life Skills program (Program M) adopted, accredited and teachers trained by Ministry of Education for use in secondary schools; ER 2: Lifestyle and social norms campaigns to engage boys and men on issues of violence prevention, gender equality and fatherhood are developed and reach the targeted audience; ER3: Local NGO partners act as national resource centres and promote practice, policy and research work engaging boys and men.. The project purpose is to increase the uptake of healthy, non-violent and gender equitable lifestyles amongst boys and men (and girls and women) participating in the program. This will be achieved through 3 inter-related results:. ER1: Gender Transformative Life Skills program (Program M) adopted, accredited and teachers trained by Ministry of Education for use in secondary schools; ER 2: Lifestyle and social norms campaigns to engage boys and men on issues of violence prevention, gender equality and fatherhood are developed and reach the targeted audience; ER3: Local NGO partners act as national resource centres and promote practice, policy and research work engaging boys and men."/>
    <s v="Multiple countries"/>
    <s v="Serbia, Croatia, Kosovo, Bosnia &amp; Herzegovina and Albania"/>
    <s v="The major target groups of the project are the five local partner organisations, 25,000 secondary school age youth, especially those from lower socio-economic background who face higher levels of social exclusion in Serbia, Croatia, Kosovo, Bosnia and Herzegovina and Albania, with an emphasis on young men; in addition 2000 fathers and other male care givers. Secondary target groups include 500 educators that will be trained in the Young Men Initiative methodology, based on the Program M Manual. Additionally 200 pedagogy students will be targeted, in order to provide them practical skills before entering the profession. Also the capacities of 20 educators will be strengthened to become trainers of trainers (ToT), thus to create a group of peer educators that would act as catalysts for disseminating the Gender Transformative Life Skills program (Program M) in schools. A key target group is staff from the Ministry for Education and Gender Agencies and ministries dealing with gender equality as well as decentralised governmental gender structures at entity/canton/municipality level. With the aim of mainstreaming gender equitable approaches in the educational system, educators and pedagogy students will be directly targeted with capacity building. The main beneficiaries are young men in the targeted 4 countries."/>
    <n v="31"/>
    <n v="123"/>
    <n v="154"/>
    <n v="1000"/>
    <n v="4400"/>
    <n v="5400"/>
    <s v="In this project, 5 local organisations are partners in the implementation of the planned results. In each country (Kosovo, Albania, Serbia and Bosnia and Herzegovina). They have a network of over 1000 peer educators around the country that supports its primary focus on youth health and violence prevention. These organisations are both, implementing partners of CARE but also a target group of the project, since CARE continues to focus on building their capacity to be the leading CSOs and partners of choice of different stakeholders in addressing violence and work with boys and men with a gender equality framework. Another target group are 500 secondary school educators and 200 students of pedagogical faculties in the countries. In addition 20 selected educators will be targeted and provided with capacity building as trainers of trainers (ToT). In addition 2000 fathers and male care givers will be targeted in educational and campaign related activities.  The project anticipates reaching over 25,000 youth over 3 years by educational workshops and campaigns. The final beneficiaries include the wider family environment of the participating 25,000 youth and the 2000 fathers.  It is around 5,400 direct and indirect beneficiaries per state including Croatia - OAK component opf the YMI regional project)."/>
    <m/>
    <m/>
    <m/>
    <m/>
    <m/>
    <m/>
    <m/>
    <m/>
    <m/>
    <m/>
    <m/>
    <m/>
    <m/>
    <m/>
    <m/>
    <m/>
    <m/>
    <m/>
    <m/>
    <m/>
    <m/>
    <m/>
    <m/>
    <m/>
    <m/>
    <m/>
    <m/>
    <m/>
    <m/>
    <m/>
    <m/>
    <m/>
    <m/>
    <m/>
    <m/>
    <m/>
    <m/>
    <m/>
    <m/>
    <m/>
    <m/>
    <m/>
    <m/>
    <m/>
    <m/>
    <m/>
    <m/>
    <m/>
    <m/>
    <m/>
    <m/>
    <m/>
    <m/>
    <m/>
    <m/>
    <m/>
    <m/>
    <m/>
    <m/>
    <m/>
    <n v="502"/>
    <n v="1652"/>
    <n v="2154"/>
    <n v="9844"/>
    <n v="15028"/>
    <n v="24872"/>
    <m/>
    <m/>
    <m/>
    <m/>
    <m/>
    <m/>
    <m/>
    <m/>
    <m/>
    <m/>
    <m/>
    <m/>
    <m/>
    <m/>
    <m/>
    <m/>
    <m/>
    <m/>
    <m/>
    <m/>
    <s v="YES"/>
    <n v="1303"/>
    <n v="0.08"/>
    <m/>
    <m/>
    <m/>
    <m/>
    <m/>
    <s v="YES"/>
    <n v="2154"/>
    <n v="0.23"/>
    <m/>
    <s v="YES"/>
    <n v="2154"/>
    <n v="0.23"/>
    <m/>
    <m/>
    <m/>
    <m/>
    <m/>
    <m/>
    <m/>
    <m/>
    <m/>
    <m/>
    <m/>
    <m/>
    <m/>
    <m/>
    <m/>
    <m/>
    <m/>
    <s v="YES"/>
    <n v="2154"/>
    <n v="0.3"/>
    <m/>
    <m/>
    <m/>
    <m/>
    <m/>
    <m/>
    <m/>
    <m/>
    <m/>
    <m/>
    <m/>
    <m/>
    <m/>
    <m/>
    <s v="NO"/>
    <m/>
    <m/>
    <s v="YES"/>
    <s v="NO"/>
    <s v="September"/>
    <m/>
    <s v="End line assessment and Final evaluation are done in October 2016."/>
    <x v="2"/>
    <m/>
    <m/>
    <m/>
    <m/>
    <m/>
    <m/>
    <m/>
    <m/>
    <m/>
    <x v="1"/>
    <s v="Ministry of Education, Science and Technological Development in Serbia on October 14th 2016 adopted a decision that Program Y, program of experts training for employees in educational system gets the status of program of public interest. Education for teachers lasts three days and after it is successfully finished, teachers will get 24 necessary points to record personal specialization in professional development."/>
    <x v="1"/>
    <m/>
    <x v="2"/>
    <x v="1"/>
    <s v="YES"/>
    <x v="0"/>
    <x v="0"/>
    <x v="0"/>
    <x v="2"/>
    <n v="4"/>
    <x v="2"/>
    <x v="1"/>
    <x v="1"/>
    <x v="1"/>
    <x v="1"/>
    <x v="2"/>
    <n v="4"/>
    <x v="3"/>
    <x v="1"/>
    <x v="1"/>
    <x v="1"/>
    <x v="4"/>
    <n v="3"/>
    <x v="2"/>
    <x v="3"/>
    <n v="2"/>
    <s v="Local NGO(s)/CSO(s)"/>
    <s v="National government"/>
    <s v="Grassroots organization(s)"/>
    <x v="0"/>
    <s v="During the course of 3 years of project implementation CARE was building the capacities of local partners to lead the debates and engage with policy makers and other important stakeholders on violence prevention and promotion of healthy lifestyles among youth. The capacity building was done through regular consultative meetings between CARE and partners, at the Partners meetings (twice per year), through online communication. Furthermore during the every visit of CARE staff to the project site, CARE and partners had attended the meetings with relevant stakeholders (Ministries of Education, Gender Centres etc.), where the discussion about action plans and sustainability and as well evaluation of the project implementation were discussed. The trainings were also done, two related to Most Significant Change Methodology, two related to Child Protection Policy Development, one related to Youth Extremism and 3 related to Youth Mental Health."/>
    <s v="The project has not experienced any important changes/adjustments in this FY"/>
    <s v="Ministry of Education, Science and Technological Development in Serbia on October 14th 2016 adopted a decision that Program Y, program of experts training for employees in educational system gets the status of program of public interest. Education for teachers lasts three days and after it is successfully finished, teachers will get 24 necessary points to record personal specialization in professional development."/>
    <s v="Most Significant Change Methodology this methodology was presented and introduced at the project start as part of the capacity building program of partner organizations and an innovative monitoring tool. Based on the discussion with partners, it was decided that only one segment of this method would be used and tested during the project. The methodology was piloted in a way to focus on gathering personal stories from beneficiaries, mainly young men, with help of a specific interviewing template. The benefit was twofold, first of all the team leaders and coordinators got trained on using the technique; they learned how to observe and practice interviewing beneficiaries in search of different type of changes. Secondly, the partner organizations embraced this monitoring tool as a great method of qualitative data gathering and recording, but also as a useful technique that can and should be built upon and expanded in the future to also include wider organizational monitoring and development aspects. During the project period, the partner organizations gathered more than 50 stories describing different types of changes that have happened to the beneficiaries as a direct result of participating in the project. The project team has selected four, one representing each country as a sample in Annex 7. We would also like to emphasize that this methodology enabled that Dragan Kisin, young men from Banja Luka tells his story which was used by Thomson Reuters Foundation for making a short documentary Story of &quot;Dragan&quot;: Balkan boys challenge post-war machismo that premiered in May of 2016. This short film tells Dragans story in his own words about how his involvement in the project has had a positive impact on his life. The film won the 1st prize Ron Kovic Peace Prize at 12th Annual My Hero International Film Festival in USA in 2016. https://www.consciousgood.com/post-war-machismo-be-a-man/"/>
    <s v="Youth from all cities pointed out that the project had a great impact. They mentioned different indicators of projects impact. The most concrete impact relates to change of attitudes and behaviours of youth who directly participated in the programme. Special credit for sucess goest to &quot;Be a man&quot; clubs."/>
    <s v="1. Clear and good structure of the program produces results in the long run, even when the envisaged goals are ambitious. YMI Project has been positively valued by its participants because of its &quot;firm structure and coordination&quot;. By also applying a flexible approach when it comes to implementation, based on specific needs and contexts, the YMI Project has ensured proper coordination and a more effective results. The project has a strong coordination function with the key activities implemented and standards ensured, but it also promoted tailored-made approach at the local level."/>
    <s v="2. What you measure is what you get. During the implementation of such complex project as YMI is, a regular and adequate monitoring is of greatest importance. YMI Project has succeeded to develop comprehensive but user friendly measuring instruments which enabled a regular and accurate monitoring and reporting. The YMI has even managed to reach the most socially excluded youth groups through different activities. The approaches on how to involve Roma, Ashkali and Egyptian community in the Project activities differ among the countries, since they were based on the local circumstances (presence of Roma children in selected schools) as well as the of the local stakeholders capacities."/>
    <s v="3. Piloting before rolling-out decreases the cost of implementation. Piloting can contribute to the cost decrease and avoidance of unnecessary transactional costs during the process of implementation. This can improve productivity and efficiency of some specific services and products before scaling-up at the wider territory. The cost of some YMI project activities were decreased through step by step approach and development of products and services on a smaller scale. Such models were then further implemented and scaled-up."/>
    <s v="Efforts should be invested in mainstreaming gender equality and GBV issues into existing curricula and programs of various organizations which implement activities in schools. This could significantly contribute to further sustainability of the project results. Every year different organizations and institutions develop number of programs and new curricula and schools have lot of issues with identifying the most suitable and relevant ones. Instead of producing new education programs and investing lot of efforts in its accreditation, mainstreaming serve as a more strategic and feasible option. As per the content of the educational programs, respondents recognized the need for including/emphasizing following topics: psychological violence, Internet safety, safety of youth in general. One could ensure even greater and more strategic involvement of media in the program. For the long term success of the program it is not enough only to have a number of media releases about the project activities, but also to have editors and journalists setting the societal values. Additional strategies for media sensitization and participation could be also added value for the next phases of the YMI initiative. Public advocacy space is still to be explored and comprehensive strategies as well as national advocacy action plans to be developed and coordinated, since this would be logical next step in the project concept further development. Attention should be specifically put on the involvement of the primer constituency group in the advocacy initiatives. Students should be supported to formulate their own initiatives and to advocate for sustainable systemic changes. Most significant change methodology could also be used in this process as a good communication tool for gaining wider public support. Continue the work in the area of community involvement. The idea of BMCs which function as local youth clubs and resource centers for youth in the domain of promotion of gender equality, healthy lifestyles and violence prevention, should be additionally supported. In addition, CARE could support additional capacity development of  BMCs to become key actors of local referral mechanisms for youth in need of additional support mediation, counseling, etc. Interest members capacities for the provision of this type of peer support could be also developed and the communities as a whole could benefit a lot from this approach.. Partner organizations need continuous support in becoming learning organizations. Namely, their M&amp;E capacities and members capacities for continues learning and development need additional support from CARE. In addition, their knowledge on gender equality, relevant international standards in this area, as well as regional legislation and strategic framework, should also be further developed. Cooperation with womens organizations should be intensify in the future, since feminist expertise could provide the Project with additional impetus and quality  Also, local partner organizations should be additionally supported to advance their position in the civil society and become sectorial leaders which promote participation, wide consultations and innovative approaches. In future, some efforts should be invested in creating relevant links with existing mechanisms for violence prevention. For example, General and Specific Protocols for Protection of Children against Abuse and Neglect in Serbia envisage specific mechanism for dealing with violence in school context. Apart from potential advancement of such norms, activities could be coordinated with similar mechanisms in the region in order to become integral part of future practices. Apart from high school students, younger youth could be involved more actively in the Project implementation in the next phase. Good examples from Banjaluka in this regard could be a roadmap for further program development. Namely, Perpetuum Mobile had implemented set of educational activities in the primary school in Banjaluka and had great success with this activity. One could argue that the social change starts with the formation of attitudes in early stages of childhood. CAREs capacities should be utilized for this purposes. Regional networking events should be organized in future, since this approach influence reconciliation and peace building in the whole region and motivate young men to adopt new values and to be more active and involved within their communities."/>
    <s v="http://www.youngmeninitiative.net/en/?page=36"/>
    <n v="2154"/>
    <n v="24872"/>
    <n v="11.546889507892294"/>
    <n v="0.2330547818012999"/>
    <n v="0.39578642650369894"/>
    <n v="502"/>
    <n v="9844"/>
    <s v=""/>
    <n v="0"/>
    <n v="0"/>
    <s v=""/>
    <s v=""/>
    <n v="0"/>
    <n v="0"/>
    <s v=""/>
    <n v="1"/>
    <n v="2154"/>
    <n v="0"/>
    <n v="0"/>
    <n v="1"/>
    <n v="2154"/>
    <n v="0"/>
    <n v="0"/>
    <s v=""/>
    <n v="0"/>
    <n v="0"/>
    <s v=""/>
    <s v="4. Transformative"/>
    <s v="4. Transformational"/>
    <s v="4. Transformative"/>
    <s v="It tested new ways for fighting poverty, but did not measure results of innovation"/>
    <s v="Intensive advocacy"/>
    <s v="It linked and worked with strategic alliances and partners to take tested and effective solutions to scale"/>
  </r>
  <r>
    <x v="63"/>
    <x v="1"/>
    <m/>
    <s v="Urgent Nutritional Needs of Vulnerable Migrant Groups in Serbia"/>
    <s v="Serbia"/>
    <s v="GB649"/>
    <s v="CARE UK"/>
    <s v="Government"/>
    <s v="Government - UK"/>
    <s v="DFID"/>
    <m/>
    <m/>
    <m/>
    <m/>
    <m/>
    <m/>
    <m/>
    <m/>
    <m/>
    <m/>
    <m/>
    <m/>
    <m/>
    <m/>
    <m/>
    <m/>
    <m/>
    <m/>
    <m/>
    <m/>
    <m/>
    <m/>
    <m/>
    <m/>
    <m/>
    <m/>
    <m/>
    <m/>
    <m/>
    <m/>
    <m/>
    <m/>
    <m/>
    <m/>
    <m/>
    <m/>
    <m/>
    <m/>
    <m/>
    <m/>
    <m/>
    <m/>
    <m/>
    <m/>
    <m/>
    <d v="2017-03-03T00:00:00"/>
    <d v="2017-05-01T00:00:00"/>
    <m/>
    <s v="Humanitarian Food &amp; Nutrition Security and Resilience to Climate Change"/>
    <n v="150000"/>
    <s v="Sibina Golubovic"/>
    <s v="Emergency Response Team Leader"/>
    <s v="sgolubovic@care.rs"/>
    <s v="Dusan Stamenkovic"/>
    <s v="Project Coordinator/WASH Specialist"/>
    <s v="dstamenkovic@care.rs"/>
    <s v="YES"/>
    <s v="YES"/>
    <s v="YES"/>
    <s v="To supply additional food with added nutritional value for children and pregnant/lactating women, as those vulnerable groups are not covered by regular menus in most of the centers in Serbia."/>
    <s v="National"/>
    <s v="Adasevci, Principovac (north-west), Krnjaca (Belgrade), Sjenica, Tutin (south-west), Bosilegrad, Pirot, Divljana (south-east)."/>
    <s v="The beneficiaries of the support are inhabitants of the said reception centers: women, men and children."/>
    <n v="772"/>
    <n v="738"/>
    <n v="1510"/>
    <m/>
    <m/>
    <m/>
    <s v="Direct participants are beneficiaries/recepients of the project in the listed camps who received additional food in regular intervals, several times per week."/>
    <m/>
    <n v="772"/>
    <n v="738"/>
    <n v="1510"/>
    <m/>
    <m/>
    <m/>
    <m/>
    <m/>
    <m/>
    <m/>
    <m/>
    <m/>
    <m/>
    <m/>
    <m/>
    <m/>
    <m/>
    <m/>
    <s v="YES"/>
    <n v="1400"/>
    <n v="0.5"/>
    <n v="0"/>
    <m/>
    <m/>
    <m/>
    <m/>
    <m/>
    <m/>
    <m/>
    <m/>
    <m/>
    <m/>
    <m/>
    <m/>
    <m/>
    <m/>
    <m/>
    <m/>
    <s v="NO"/>
    <m/>
    <m/>
    <m/>
    <m/>
    <m/>
    <m/>
    <m/>
    <m/>
    <m/>
    <m/>
    <m/>
    <m/>
    <m/>
    <m/>
    <m/>
    <m/>
    <m/>
    <m/>
    <m/>
    <m/>
    <m/>
    <m/>
    <m/>
    <m/>
    <m/>
    <m/>
    <m/>
    <m/>
    <m/>
    <m/>
    <m/>
    <m/>
    <m/>
    <m/>
    <m/>
    <m/>
    <m/>
    <m/>
    <m/>
    <m/>
    <m/>
    <m/>
    <m/>
    <m/>
    <m/>
    <m/>
    <m/>
    <m/>
    <m/>
    <m/>
    <s v="YES"/>
    <n v="2100"/>
    <n v="0.5"/>
    <n v="0"/>
    <m/>
    <m/>
    <m/>
    <m/>
    <m/>
    <m/>
    <m/>
    <m/>
    <m/>
    <m/>
    <m/>
    <m/>
    <m/>
    <m/>
    <m/>
    <m/>
    <m/>
    <m/>
    <m/>
    <m/>
    <m/>
    <m/>
    <m/>
    <m/>
    <m/>
    <m/>
    <m/>
    <m/>
    <m/>
    <m/>
    <m/>
    <m/>
    <m/>
    <m/>
    <m/>
    <m/>
    <m/>
    <m/>
    <m/>
    <m/>
    <m/>
    <s v="YES"/>
    <s v="February"/>
    <n v="2017"/>
    <s v="YES"/>
    <s v="YES"/>
    <m/>
    <m/>
    <m/>
    <x v="1"/>
    <m/>
    <m/>
    <m/>
    <m/>
    <m/>
    <m/>
    <m/>
    <m/>
    <m/>
    <x v="0"/>
    <m/>
    <x v="1"/>
    <m/>
    <x v="1"/>
    <x v="0"/>
    <s v="YES"/>
    <x v="0"/>
    <x v="0"/>
    <x v="0"/>
    <x v="0"/>
    <n v="4"/>
    <x v="1"/>
    <x v="1"/>
    <x v="1"/>
    <x v="1"/>
    <x v="1"/>
    <x v="1"/>
    <n v="4"/>
    <x v="1"/>
    <x v="1"/>
    <x v="2"/>
    <x v="1"/>
    <x v="3"/>
    <n v="2"/>
    <x v="2"/>
    <x v="2"/>
    <n v="3"/>
    <s v="Grassroots organization(s)"/>
    <s v="National government"/>
    <m/>
    <x v="2"/>
    <m/>
    <m/>
    <m/>
    <m/>
    <m/>
    <m/>
    <m/>
    <m/>
    <m/>
    <m/>
    <n v="1510"/>
    <n v="0"/>
    <n v="0"/>
    <n v="0.51125827814569536"/>
    <s v=""/>
    <n v="772"/>
    <n v="0"/>
    <n v="1"/>
    <n v="1510"/>
    <n v="0"/>
    <n v="0"/>
    <n v="1"/>
    <n v="2100"/>
    <n v="0"/>
    <n v="0"/>
    <s v=""/>
    <n v="0"/>
    <n v="0"/>
    <s v=""/>
    <s v=""/>
    <n v="0"/>
    <n v="0"/>
    <s v=""/>
    <s v=""/>
    <n v="0"/>
    <n v="0"/>
    <s v=""/>
    <s v="2. Sensitive"/>
    <s v="2. Accommodating"/>
    <s v="1. Neutral"/>
    <s v="It did not develop any specific innovation"/>
    <s v="Moderate advocacy"/>
    <s v="It linked and worked with strategic alliances and partners to take tested and effective solutions to scale"/>
  </r>
  <r>
    <x v="63"/>
    <x v="1"/>
    <m/>
    <s v="Winterization Assistance for Refugees and Migrants in the Balkans"/>
    <s v="Serbia"/>
    <s v="US1SQ"/>
    <s v="CARE USA"/>
    <s v="Other"/>
    <s v="Other"/>
    <s v="Latter-Day Saint Charities"/>
    <m/>
    <m/>
    <m/>
    <m/>
    <m/>
    <m/>
    <m/>
    <m/>
    <m/>
    <m/>
    <m/>
    <m/>
    <m/>
    <m/>
    <m/>
    <m/>
    <m/>
    <m/>
    <m/>
    <m/>
    <m/>
    <m/>
    <m/>
    <m/>
    <m/>
    <m/>
    <m/>
    <m/>
    <m/>
    <m/>
    <m/>
    <m/>
    <m/>
    <m/>
    <m/>
    <m/>
    <m/>
    <m/>
    <m/>
    <m/>
    <m/>
    <m/>
    <m/>
    <m/>
    <m/>
    <d v="2017-05-01T00:00:00"/>
    <d v="2017-10-30T00:00:00"/>
    <m/>
    <s v="Humanitarian Food &amp; Nutrition Security and Resilience to Climate Change"/>
    <n v="300000"/>
    <s v="Sibina Golubovic"/>
    <s v="Emergency Response Team Leader"/>
    <s v="sgolubovic@care.rs"/>
    <s v="Dusan Stamenkovic"/>
    <s v="Project Coordinator/WASH Specialist"/>
    <s v="dstamenkovic@care.rs"/>
    <s v="YES"/>
    <s v="YES"/>
    <s v="YES"/>
    <s v="To supply additional food with added nutritional value for children and pregnant/lactating women, as those vulnerable groups are not covered by regular menus in most of the centers in Serbia."/>
    <s v="Multiple countries"/>
    <s v="Adasevci, Principovac (north-west), Krnjaca (Belgrade), Sjenica, Tutin (south-west), Bosilegrad, Pirot, Divljana (south-east), Kutina and Osijek (Croatia)."/>
    <s v="The beneficiaries of the support are inhabitants of the said reception centers: women, men and children."/>
    <n v="1224"/>
    <n v="3147"/>
    <n v="4764"/>
    <m/>
    <m/>
    <m/>
    <s v="Direct participants are beneficiaries/recepients of the project."/>
    <m/>
    <n v="1445"/>
    <n v="2750"/>
    <n v="4195"/>
    <m/>
    <m/>
    <m/>
    <m/>
    <m/>
    <m/>
    <m/>
    <m/>
    <m/>
    <m/>
    <m/>
    <m/>
    <m/>
    <m/>
    <m/>
    <s v="NO"/>
    <m/>
    <m/>
    <m/>
    <m/>
    <m/>
    <m/>
    <m/>
    <m/>
    <m/>
    <m/>
    <m/>
    <m/>
    <m/>
    <m/>
    <m/>
    <m/>
    <m/>
    <m/>
    <m/>
    <s v="YES"/>
    <n v="2773"/>
    <n v="0.4"/>
    <m/>
    <m/>
    <m/>
    <m/>
    <m/>
    <m/>
    <m/>
    <m/>
    <m/>
    <s v="YES"/>
    <n v="4195"/>
    <n v="0.2"/>
    <m/>
    <m/>
    <m/>
    <m/>
    <m/>
    <m/>
    <m/>
    <m/>
    <m/>
    <m/>
    <m/>
    <m/>
    <m/>
    <m/>
    <m/>
    <m/>
    <m/>
    <m/>
    <m/>
    <m/>
    <m/>
    <m/>
    <m/>
    <m/>
    <m/>
    <m/>
    <m/>
    <m/>
    <m/>
    <m/>
    <m/>
    <m/>
    <m/>
    <m/>
    <m/>
    <m/>
    <s v="YES"/>
    <n v="2100"/>
    <n v="0.5"/>
    <n v="0"/>
    <m/>
    <m/>
    <m/>
    <m/>
    <m/>
    <m/>
    <m/>
    <m/>
    <m/>
    <m/>
    <m/>
    <m/>
    <m/>
    <m/>
    <m/>
    <m/>
    <m/>
    <m/>
    <m/>
    <m/>
    <m/>
    <m/>
    <m/>
    <m/>
    <m/>
    <m/>
    <m/>
    <m/>
    <m/>
    <m/>
    <m/>
    <m/>
    <m/>
    <m/>
    <m/>
    <m/>
    <m/>
    <m/>
    <m/>
    <m/>
    <m/>
    <s v="NO"/>
    <m/>
    <m/>
    <m/>
    <s v="NO"/>
    <m/>
    <m/>
    <m/>
    <x v="1"/>
    <m/>
    <m/>
    <m/>
    <m/>
    <m/>
    <m/>
    <m/>
    <m/>
    <m/>
    <x v="0"/>
    <m/>
    <x v="1"/>
    <m/>
    <x v="1"/>
    <x v="0"/>
    <s v="YES"/>
    <x v="0"/>
    <x v="0"/>
    <x v="0"/>
    <x v="0"/>
    <n v="4"/>
    <x v="1"/>
    <x v="1"/>
    <x v="1"/>
    <x v="1"/>
    <x v="1"/>
    <x v="1"/>
    <n v="4"/>
    <x v="1"/>
    <x v="1"/>
    <x v="2"/>
    <x v="1"/>
    <x v="3"/>
    <n v="2"/>
    <x v="2"/>
    <x v="2"/>
    <n v="4"/>
    <s v="Grassroots organization(s)"/>
    <s v="National government"/>
    <m/>
    <x v="2"/>
    <m/>
    <m/>
    <m/>
    <m/>
    <m/>
    <m/>
    <m/>
    <m/>
    <m/>
    <m/>
    <n v="4195"/>
    <n v="0"/>
    <n v="0"/>
    <n v="0.34445768772348034"/>
    <s v=""/>
    <n v="1445"/>
    <n v="0"/>
    <n v="1"/>
    <n v="4195"/>
    <n v="0"/>
    <n v="0"/>
    <n v="1"/>
    <n v="2100"/>
    <n v="0"/>
    <n v="0"/>
    <s v=""/>
    <n v="0"/>
    <n v="0"/>
    <s v=""/>
    <s v=""/>
    <n v="0"/>
    <n v="0"/>
    <s v=""/>
    <s v=""/>
    <n v="0"/>
    <n v="0"/>
    <s v=""/>
    <s v="2. Sensitive"/>
    <s v="2. Accommodating"/>
    <s v="1. Neutral"/>
    <s v="It did not develop any specific innovation"/>
    <s v="Moderate advocacy"/>
    <s v="It linked and worked with strategic alliances and partners to take tested and effective solutions to scale"/>
  </r>
  <r>
    <x v="64"/>
    <x v="2"/>
    <n v="3696"/>
    <s v="Epidemic Control and Reinforcement of Health Services (ECRHS) Phase I"/>
    <s v="Sierra Leone"/>
    <n v="3696"/>
    <s v="CARE USA"/>
    <s v="Government"/>
    <s v="Government - Germany"/>
    <s v="Germany Government, through Kreditanstalt für Wiederaufbau ( KfW)"/>
    <m/>
    <m/>
    <m/>
    <m/>
    <m/>
    <m/>
    <m/>
    <m/>
    <m/>
    <m/>
    <m/>
    <m/>
    <m/>
    <m/>
    <m/>
    <m/>
    <m/>
    <m/>
    <m/>
    <m/>
    <m/>
    <m/>
    <m/>
    <m/>
    <m/>
    <m/>
    <m/>
    <m/>
    <m/>
    <m/>
    <m/>
    <m/>
    <m/>
    <m/>
    <m/>
    <m/>
    <m/>
    <m/>
    <m/>
    <m/>
    <m/>
    <m/>
    <m/>
    <m/>
    <m/>
    <d v="2015-11-01T00:00:00"/>
    <d v="2017-05-31T00:00:00"/>
    <d v="2017-07-31T00:00:00"/>
    <s v="Humanitarian Other"/>
    <n v="6097561"/>
    <s v="Evariste Sindayigaya"/>
    <s v="Country Director"/>
    <s v="esindayigaya@care.org"/>
    <s v="Evelyn Mafeni"/>
    <s v="Senior Program Officer"/>
    <s v="emafeni@care.org"/>
    <s v="YES"/>
    <s v="NO"/>
    <s v="NO"/>
    <s v="The over project goal is to improve the health status of Sierra Leoneans in four district of the Bombali, Tonkolili, Kambia and Koiunadugu.                                                                                                                                             Module objective 1: Containment (and Stopping) of Ebola outbreak. Module Objective 2:  Stabilization of the Health System. Module Objective 3: Increase Resilience of affected population  within the intervention area"/>
    <s v="Sub-National"/>
    <s v="Bombalili district  Tonkolili district, Koinadugu district, and Kambia district."/>
    <s v="Survivors and communities affected by the Ebola epidemic in Sierra Leone."/>
    <n v="45760"/>
    <n v="42240"/>
    <n v="88000"/>
    <n v="82955"/>
    <n v="67565"/>
    <n v="150520"/>
    <s v="Direct participants  of the project are varied groups in target communities. these include frontstaff of target facilities, community helath workers, Community WASH committees members, District Health Medical team (DHMT) members, and community farmers. Representatives of these groups who directly participated in project supported trainings and events, and surveillance activities comprised the direct beneficiaries. the other cluster of direct beneficiaires are farmers who benefited seed vouchers.  The indirect particicpants are the community members living in the catchment of directly support services facilities, especially women and girls of reproductive age. Calculation basic: total population of the catchment are/2.493."/>
    <m/>
    <n v="276835"/>
    <n v="256876"/>
    <n v="533711"/>
    <n v="82955"/>
    <n v="67565"/>
    <n v="150520"/>
    <s v="NO"/>
    <m/>
    <m/>
    <m/>
    <s v="NO"/>
    <m/>
    <m/>
    <m/>
    <s v="NO"/>
    <m/>
    <m/>
    <m/>
    <s v="NO"/>
    <m/>
    <m/>
    <m/>
    <s v="NO"/>
    <m/>
    <m/>
    <m/>
    <s v="NO"/>
    <m/>
    <m/>
    <m/>
    <s v="YES"/>
    <n v="493215"/>
    <n v="0.50877609156250303"/>
    <m/>
    <s v="Yes"/>
    <n v="4039"/>
    <n v="0.55954444169348805"/>
    <n v="24234"/>
    <s v="NO"/>
    <m/>
    <m/>
    <m/>
    <s v="NO"/>
    <m/>
    <m/>
    <m/>
    <s v="NO"/>
    <m/>
    <m/>
    <m/>
    <s v="YES"/>
    <n v="36457"/>
    <n v="0.64840771319636803"/>
    <n v="73580"/>
    <m/>
    <m/>
    <m/>
    <m/>
    <m/>
    <m/>
    <m/>
    <n v="0"/>
    <m/>
    <m/>
    <n v="0"/>
    <s v="NO"/>
    <m/>
    <m/>
    <m/>
    <s v="NO"/>
    <m/>
    <m/>
    <m/>
    <s v="NO"/>
    <m/>
    <m/>
    <m/>
    <s v="NO"/>
    <m/>
    <m/>
    <m/>
    <s v="NO"/>
    <m/>
    <m/>
    <m/>
    <s v="NO"/>
    <m/>
    <m/>
    <m/>
    <s v="NO"/>
    <m/>
    <m/>
    <m/>
    <s v="NO"/>
    <m/>
    <m/>
    <m/>
    <s v="NO"/>
    <m/>
    <m/>
    <m/>
    <s v="NO"/>
    <m/>
    <m/>
    <m/>
    <s v="NO"/>
    <m/>
    <m/>
    <m/>
    <s v="NO"/>
    <m/>
    <m/>
    <m/>
    <s v="NO"/>
    <m/>
    <m/>
    <m/>
    <s v="NO"/>
    <m/>
    <m/>
    <m/>
    <s v="NO"/>
    <m/>
    <m/>
    <m/>
    <s v="NO"/>
    <m/>
    <m/>
    <m/>
    <m/>
    <m/>
    <m/>
    <m/>
    <m/>
    <s v="YES"/>
    <s v="June"/>
    <n v="2017"/>
    <s v="YES"/>
    <s v="NO"/>
    <m/>
    <m/>
    <m/>
    <x v="0"/>
    <s v="NO"/>
    <s v="NO"/>
    <s v="YES"/>
    <s v="NO"/>
    <s v="YES"/>
    <s v="YES"/>
    <s v="NO"/>
    <s v="YES"/>
    <s v="The project directly influenced and contributed to the drafting of the GoSL FP2020 commitments ahead of the 2017 Global FP summit in London. Furthermore, CARE Sierra Leone through the project lobbied for an enhanced representation of the GoSL at the Global FP summit held in London, and a direct engagement between the representative of the GoSL with FP champions to explore avenues for supporting commitment made."/>
    <x v="0"/>
    <m/>
    <x v="1"/>
    <m/>
    <x v="0"/>
    <x v="0"/>
    <s v="NO"/>
    <x v="0"/>
    <x v="0"/>
    <x v="0"/>
    <x v="1"/>
    <n v="3"/>
    <x v="3"/>
    <x v="1"/>
    <x v="2"/>
    <x v="2"/>
    <x v="2"/>
    <x v="3"/>
    <n v="1"/>
    <x v="1"/>
    <x v="1"/>
    <x v="1"/>
    <x v="1"/>
    <x v="1"/>
    <n v="3"/>
    <x v="2"/>
    <x v="2"/>
    <n v="8"/>
    <s v="National government"/>
    <s v="Local NGO(s)/CSO(s)"/>
    <s v="Local government(s)"/>
    <x v="0"/>
    <s v="Training and capacity building on project development, management and financial mangement skills, amongts others."/>
    <s v="No changes"/>
    <s v="Creation of a steering committee  for the proejct."/>
    <s v="Supportive supervision /Joint Coordination"/>
    <s v="Introducing the concept of seed vouchers to access improve seeds."/>
    <s v="Using government curriculum and personnel as facilitators."/>
    <s v="Importance of working across many  levels; national, district and community levels involvements in this project has created ownership at all three levels."/>
    <s v="Accountability to the communities , by involving key community elders and leaders in review meetings."/>
    <s v="The project worked out on all harzard preparedness plan in all four districts of implementation."/>
    <s v="Project proposal, results framework, progress reports, financial reports, review meeting reports and training modules."/>
    <n v="533711"/>
    <n v="150520"/>
    <n v="0.28202529084092326"/>
    <n v="0.51869832175091013"/>
    <n v="0.55112277438214186"/>
    <n v="276835"/>
    <n v="82955"/>
    <n v="1"/>
    <n v="533711"/>
    <n v="150520"/>
    <n v="0.28202529084092326"/>
    <n v="1"/>
    <n v="4039"/>
    <n v="24234"/>
    <n v="6"/>
    <s v=""/>
    <n v="0"/>
    <n v="0"/>
    <s v=""/>
    <s v=""/>
    <n v="0"/>
    <n v="0"/>
    <s v=""/>
    <s v=""/>
    <n v="0"/>
    <n v="0"/>
    <s v=""/>
    <s v="1. Neutral"/>
    <s v="0. Unaware"/>
    <s v="2. Sensitive"/>
    <s v="It did not develop any specific innovation"/>
    <s v="Little or no advocacy"/>
    <s v="It linked and worked with strategic alliances and partners to take tested and effective solutions to scale"/>
  </r>
  <r>
    <x v="64"/>
    <x v="2"/>
    <n v="3700"/>
    <s v="HIV and AIDS Prevention Program(HAPP III)"/>
    <s v="Sierra Leone"/>
    <n v="3700"/>
    <s v="No CARE member related to the project/initiative"/>
    <s v="Government"/>
    <s v="Government - Germany"/>
    <s v="GIZ"/>
    <m/>
    <m/>
    <m/>
    <m/>
    <m/>
    <m/>
    <m/>
    <m/>
    <m/>
    <m/>
    <m/>
    <m/>
    <m/>
    <m/>
    <m/>
    <m/>
    <m/>
    <m/>
    <m/>
    <m/>
    <m/>
    <m/>
    <m/>
    <m/>
    <m/>
    <m/>
    <m/>
    <m/>
    <m/>
    <m/>
    <m/>
    <m/>
    <m/>
    <m/>
    <m/>
    <m/>
    <m/>
    <m/>
    <m/>
    <m/>
    <m/>
    <m/>
    <m/>
    <m/>
    <m/>
    <d v="2013-06-01T00:00:00"/>
    <d v="2017-06-30T00:00:00"/>
    <d v="2017-12-31T00:00:00"/>
    <s v="Development Other"/>
    <n v="651873"/>
    <s v="Christiana Momoh"/>
    <s v="Team Leader"/>
    <s v="Christiana.Momoh@care.org"/>
    <s v="Evelyn Mafeni"/>
    <s v="Senior Program Officer"/>
    <s v="emafeni@care.org"/>
    <s v="NO"/>
    <s v="YES"/>
    <s v="NO"/>
    <s v="To Improve  Sexual Reproductive Health and Rights of the Population."/>
    <s v="National"/>
    <s v="Western Area,Northern Region,Southern Region,Eastern Region including all districts"/>
    <s v=" Vulnerable women and girls 15-49 years who live in urban, peri-urban and rural areas of Sierra Leone"/>
    <n v="6000"/>
    <m/>
    <n v="6000"/>
    <n v="61320"/>
    <n v="64680"/>
    <n v="126000"/>
    <s v="Direct participants are community members that received supports from the project such as  economics support.  Indirect beneficiaries  are household members, and communities members from project  operating communities, was calculated by ( total male population in project implementing communities multiply by 0.49 of the country male population and total female population in implementing communities  multiply by 0.51 of the country female population minus 6000 of direct beneficiares. It is a nationwide project that involve a lot of SRHR and HIV/AIDS sensitizations, some through community radio staions, mass rally, focus group discussions, one-on-one engagement.   "/>
    <m/>
    <m/>
    <m/>
    <m/>
    <m/>
    <m/>
    <m/>
    <m/>
    <m/>
    <m/>
    <m/>
    <m/>
    <m/>
    <m/>
    <m/>
    <m/>
    <m/>
    <m/>
    <m/>
    <m/>
    <m/>
    <m/>
    <m/>
    <m/>
    <m/>
    <m/>
    <m/>
    <m/>
    <m/>
    <m/>
    <m/>
    <m/>
    <m/>
    <m/>
    <m/>
    <m/>
    <m/>
    <m/>
    <m/>
    <m/>
    <m/>
    <m/>
    <m/>
    <m/>
    <m/>
    <m/>
    <m/>
    <m/>
    <m/>
    <m/>
    <m/>
    <m/>
    <m/>
    <m/>
    <m/>
    <m/>
    <m/>
    <m/>
    <m/>
    <m/>
    <n v="5886"/>
    <n v="3207"/>
    <n v="9093"/>
    <n v="159148"/>
    <n v="111347"/>
    <n v="270495"/>
    <s v="YES"/>
    <n v="545"/>
    <n v="0.76513761467889896"/>
    <n v="32700"/>
    <m/>
    <m/>
    <m/>
    <m/>
    <m/>
    <m/>
    <m/>
    <m/>
    <m/>
    <m/>
    <m/>
    <m/>
    <s v="YES"/>
    <n v="1655"/>
    <n v="0.69184290030211404"/>
    <n v="99300"/>
    <m/>
    <m/>
    <m/>
    <m/>
    <m/>
    <m/>
    <m/>
    <m/>
    <m/>
    <m/>
    <m/>
    <m/>
    <m/>
    <m/>
    <m/>
    <m/>
    <m/>
    <m/>
    <m/>
    <m/>
    <m/>
    <m/>
    <m/>
    <m/>
    <m/>
    <m/>
    <m/>
    <m/>
    <m/>
    <m/>
    <m/>
    <m/>
    <s v="YES"/>
    <n v="4973"/>
    <n v="0.59099135330786201"/>
    <n v="23295"/>
    <m/>
    <m/>
    <m/>
    <m/>
    <s v="YES"/>
    <n v="1920"/>
    <n v="0.64583333333333304"/>
    <n v="115200"/>
    <m/>
    <m/>
    <m/>
    <m/>
    <m/>
    <s v="NO"/>
    <m/>
    <m/>
    <s v="NO"/>
    <s v="YES"/>
    <s v="December"/>
    <n v="2017"/>
    <s v="The final evaluation of the project will commence in sepember 2017. The evaluation will measure improvement in SRH outcomes( specifically decrease the risk of contact HIV, increased use of condoms by youths, reduce stigmatization against people living with HIV and ratio of mothers who do not intend their daughters subject to FGM). The evaluation shall also provide information on the socio-economics impact of vulnerable women who received IMf supports and strategies of the condom social maketing component."/>
    <x v="1"/>
    <s v="NO"/>
    <s v="YES"/>
    <s v="YES"/>
    <s v="NO"/>
    <s v="YES"/>
    <s v="NO"/>
    <s v="NO"/>
    <s v="NO"/>
    <m/>
    <x v="1"/>
    <s v="Introducing VSLA in to the program which is sexual reproductive health for women and girls"/>
    <x v="1"/>
    <s v="Module on intergenerational dialogue session  tested in the program were scale up.    "/>
    <x v="1"/>
    <x v="1"/>
    <s v="NO"/>
    <x v="0"/>
    <x v="0"/>
    <x v="0"/>
    <x v="4"/>
    <n v="3"/>
    <x v="1"/>
    <x v="2"/>
    <x v="1"/>
    <x v="1"/>
    <x v="1"/>
    <x v="1"/>
    <n v="3"/>
    <x v="3"/>
    <x v="1"/>
    <x v="2"/>
    <x v="1"/>
    <x v="5"/>
    <n v="2"/>
    <x v="2"/>
    <x v="2"/>
    <n v="22"/>
    <s v="Local NGO(s)/CSO(s)"/>
    <s v="National government"/>
    <s v="Private sector"/>
    <x v="0"/>
    <s v="Capacity building and trainings on mobile data collection, reporting and monitoring."/>
    <m/>
    <s v="Village Savings and Loan (VSLA) groups intiative in the program."/>
    <s v="Engaging men expecialy traditional leaders."/>
    <s v="Community engagement through intergenerational dialogue."/>
    <s v="Use of mobile data collection tool at all level of implementation of the project."/>
    <s v="After action review learning."/>
    <s v="Cross learning activities among partners as a promising pratice."/>
    <m/>
    <s v="Donor semester reports, log frame, proposals, monitoring reports, After review report."/>
    <n v="9093"/>
    <n v="270495"/>
    <n v="29.747608050148465"/>
    <n v="0.64731111844275813"/>
    <n v="0.58835838000702412"/>
    <n v="5886"/>
    <n v="159148"/>
    <s v=""/>
    <n v="0"/>
    <n v="0"/>
    <s v=""/>
    <n v="1"/>
    <n v="1655"/>
    <n v="99300"/>
    <n v="60"/>
    <n v="1"/>
    <n v="4973"/>
    <n v="23295"/>
    <n v="4.6842951940478583"/>
    <s v=""/>
    <n v="0"/>
    <n v="0"/>
    <s v=""/>
    <n v="1"/>
    <n v="1920"/>
    <n v="115200"/>
    <n v="60"/>
    <s v="3. Responsive"/>
    <s v="2. Accommodating"/>
    <s v="3. Responsive"/>
    <s v="It tested new ways for fighting poverty, but did not measure results of innovation"/>
    <s v="Moderate advocacy"/>
    <s v="It linked and worked with strategic alliances and partners to take tested and effective solutions to scale"/>
  </r>
  <r>
    <x v="64"/>
    <x v="2"/>
    <n v="3697"/>
    <s v="Rapid Ebola Social Safety Network and Economic Recovery (RESSNER)"/>
    <s v="Sierra Leone"/>
    <n v="3697"/>
    <s v="CARE USA"/>
    <s v="Government"/>
    <s v="Government - US"/>
    <s v="USAID"/>
    <m/>
    <m/>
    <m/>
    <m/>
    <m/>
    <m/>
    <m/>
    <m/>
    <m/>
    <m/>
    <m/>
    <m/>
    <m/>
    <m/>
    <m/>
    <m/>
    <m/>
    <m/>
    <m/>
    <m/>
    <m/>
    <m/>
    <m/>
    <m/>
    <m/>
    <m/>
    <m/>
    <m/>
    <m/>
    <m/>
    <m/>
    <m/>
    <m/>
    <m/>
    <m/>
    <m/>
    <m/>
    <m/>
    <m/>
    <m/>
    <m/>
    <m/>
    <m/>
    <m/>
    <m/>
    <d v="2015-08-14T00:00:00"/>
    <d v="2016-10-15T00:00:00"/>
    <d v="2017-12-31T00:00:00"/>
    <s v="Humanitarian Food &amp; Nutrition Security and Resilience to Climate Change"/>
    <n v="4550110"/>
    <s v="Morie Amadu"/>
    <s v="Project Manager"/>
    <s v="Amadu.Morie@care.org"/>
    <s v="Veronica Avila"/>
    <s v="Livelihood Advisor"/>
    <s v="vavila@care.org"/>
    <s v="YES"/>
    <s v="NO"/>
    <s v="NO"/>
    <s v="Reducing negative coping mechanism and supporting local economic recovery in selected EVD impacted chiefdoms in Bombali and Tonkolili districts. The purpose is to reduce the coping strategies of extremely poor households."/>
    <s v="Sub-National"/>
    <s v="Seven chiefdoms in Bombali and Tonkolili districts of Northern region of Sierra Leone"/>
    <s v="Poorest of the poor community members affected by the Ebola Virus Disease"/>
    <n v="9000"/>
    <n v="2540"/>
    <n v="11540"/>
    <n v="45000"/>
    <n v="12700"/>
    <n v="57700"/>
    <s v="The Direct Beneficiairies are the Household Heads who directly received and beneficitted from the cash payment and the seed vouchers. The Indirect Beneficiaries are the Household members who indirectly benefited from the cash payment and the seed vouchers. The average household size is 6. Calculation basis: 6-1 (direct beneficiary) * 11,540 = 57,700"/>
    <m/>
    <n v="5919"/>
    <n v="2537"/>
    <n v="8456"/>
    <n v="29595"/>
    <n v="12685"/>
    <n v="42280"/>
    <m/>
    <m/>
    <m/>
    <m/>
    <s v="YES"/>
    <n v="8466"/>
    <n v="0.7"/>
    <n v="42280"/>
    <m/>
    <m/>
    <m/>
    <m/>
    <m/>
    <m/>
    <m/>
    <m/>
    <m/>
    <m/>
    <m/>
    <m/>
    <m/>
    <m/>
    <m/>
    <m/>
    <m/>
    <m/>
    <m/>
    <m/>
    <m/>
    <m/>
    <m/>
    <m/>
    <m/>
    <m/>
    <m/>
    <m/>
    <m/>
    <m/>
    <m/>
    <m/>
    <m/>
    <m/>
    <m/>
    <m/>
    <m/>
    <m/>
    <m/>
    <m/>
    <m/>
    <m/>
    <m/>
    <m/>
    <m/>
    <m/>
    <m/>
    <m/>
    <m/>
    <m/>
    <m/>
    <m/>
    <m/>
    <m/>
    <m/>
    <m/>
    <m/>
    <m/>
    <m/>
    <m/>
    <m/>
    <m/>
    <m/>
    <m/>
    <m/>
    <m/>
    <m/>
    <m/>
    <m/>
    <m/>
    <m/>
    <m/>
    <m/>
    <m/>
    <m/>
    <m/>
    <m/>
    <m/>
    <m/>
    <m/>
    <m/>
    <m/>
    <m/>
    <m/>
    <m/>
    <m/>
    <m/>
    <m/>
    <m/>
    <m/>
    <m/>
    <m/>
    <m/>
    <m/>
    <m/>
    <m/>
    <m/>
    <m/>
    <m/>
    <m/>
    <m/>
    <m/>
    <m/>
    <m/>
    <m/>
    <m/>
    <m/>
    <m/>
    <m/>
    <m/>
    <m/>
    <m/>
    <m/>
    <m/>
    <m/>
    <m/>
    <m/>
    <m/>
    <m/>
    <m/>
    <s v="YES"/>
    <s v="May"/>
    <n v="2017"/>
    <m/>
    <s v="YES"/>
    <s v="December"/>
    <n v="2017"/>
    <m/>
    <x v="3"/>
    <s v="NO"/>
    <s v="NO"/>
    <s v="NO"/>
    <s v="NO"/>
    <s v="NO"/>
    <s v="NO"/>
    <s v="NO"/>
    <s v="NO"/>
    <m/>
    <x v="0"/>
    <m/>
    <x v="0"/>
    <m/>
    <x v="0"/>
    <x v="0"/>
    <s v="NO"/>
    <x v="0"/>
    <x v="0"/>
    <x v="0"/>
    <x v="1"/>
    <n v="3"/>
    <x v="1"/>
    <x v="1"/>
    <x v="1"/>
    <x v="1"/>
    <x v="1"/>
    <x v="1"/>
    <n v="4"/>
    <x v="1"/>
    <x v="1"/>
    <x v="1"/>
    <x v="1"/>
    <x v="1"/>
    <n v="3"/>
    <x v="2"/>
    <x v="3"/>
    <n v="5"/>
    <s v="Local NGO(s)/CSO(s)"/>
    <s v="Grassroots organization(s)"/>
    <s v="Private sector"/>
    <x v="0"/>
    <s v="Trainings and capacity building"/>
    <s v="The number of pament to beneficiaries was increased by an aditional one month. This was as a result of the exchange rate gaines. This was a a demosntration of transparency and accounability which the beneficiaries appreciated very much."/>
    <s v="Selection of Community Identification Commities  within the targetted communitied was a an initiatied that facilitated community engagement, participation and acxcountability. The CIC's played a very significant role in the identification and registrarion of the right beneficiaries for Cash Transfer"/>
    <s v="Complemnting the the Cash transfer with the Seed Voucher disbursement provided and opportunity for the sustainability of the project. Some of the beneficiaries are mostly farmers whosw farming work were significantly disrupted as a result of the Ebola Outbreak."/>
    <s v="Working with Governent officiales and ministries including the ministry of Social Welfare, th National Commision for Social Actions and the Anti Corruption was a high level of demonstrating accountability and transparency in whole processes. It alsofaciliated collaboration and sharing of knowledge and expriences"/>
    <s v="Working with Local community-based organisations ensured the smooth implementation of the project and also helped in faciliatating effective and participatory engaging with communities"/>
    <s v="The use of direct payment to beneficairies other than mobile payment proved to be more effective and more reliable."/>
    <s v="Most of the men targetted were willing to allow their wives to be registed as the househeads. This can be crucial and sensitive in  especially a male dominated society where the project was implemented."/>
    <m/>
    <s v="proposal, progress reports, evaluations, donor reports, after review reports."/>
    <n v="8456"/>
    <n v="42280"/>
    <n v="5"/>
    <n v="0.69997634815515608"/>
    <n v="0.69997634815515608"/>
    <n v="5919"/>
    <n v="29595"/>
    <n v="1"/>
    <n v="8456"/>
    <n v="42280"/>
    <n v="5"/>
    <s v=""/>
    <n v="0"/>
    <n v="0"/>
    <s v=""/>
    <s v=""/>
    <n v="0"/>
    <n v="0"/>
    <s v=""/>
    <s v=""/>
    <n v="0"/>
    <n v="0"/>
    <s v=""/>
    <s v=""/>
    <n v="0"/>
    <n v="0"/>
    <s v=""/>
    <s v="1. Neutral"/>
    <s v="2. Accommodating"/>
    <s v="2. Sensitive"/>
    <s v="It did not develop any specific innovation"/>
    <n v="0"/>
    <s v="It did not take tested solutions to scale"/>
  </r>
  <r>
    <x v="64"/>
    <x v="2"/>
    <n v="3698"/>
    <s v="Resilient Zero: A Strengthened Public Health System in Sierra Leone"/>
    <s v="Sierra Leone"/>
    <n v="3698"/>
    <s v="No CARE member related to the project/initiative"/>
    <s v="Government"/>
    <s v="Government - UK"/>
    <s v="DFID"/>
    <m/>
    <m/>
    <m/>
    <m/>
    <m/>
    <m/>
    <m/>
    <m/>
    <m/>
    <m/>
    <m/>
    <m/>
    <m/>
    <m/>
    <m/>
    <m/>
    <m/>
    <m/>
    <m/>
    <m/>
    <m/>
    <m/>
    <m/>
    <m/>
    <m/>
    <m/>
    <m/>
    <m/>
    <m/>
    <m/>
    <m/>
    <m/>
    <m/>
    <m/>
    <m/>
    <m/>
    <m/>
    <m/>
    <m/>
    <m/>
    <m/>
    <m/>
    <m/>
    <m/>
    <m/>
    <d v="2016-04-01T00:00:00"/>
    <d v="2017-12-31T00:00:00"/>
    <d v="2017-09-30T00:00:00"/>
    <s v="Humanitarian Other"/>
    <n v="448208.43"/>
    <s v="Sylvester Epiagolo"/>
    <s v="Health Program Coordinator"/>
    <s v="sepiagolo@care.org"/>
    <s v="Evelyn Mafeni"/>
    <s v="Senior Program Officer"/>
    <s v="emafeni@care.org"/>
    <s v="YES"/>
    <s v="NO"/>
    <s v="NO"/>
    <s v="The project will improve Sierra Leones capability for the early detection and response to Ebola virus disease (EVD) and other public health emergencies."/>
    <s v="Sub-National"/>
    <s v="The project is implemented in Bombali and Koinadugu districts in Sierra Leone"/>
    <s v="Districts Health Management Teams (DHMTs) and general district populations"/>
    <n v="5"/>
    <n v="22"/>
    <n v="27"/>
    <n v="517283"/>
    <n v="496997"/>
    <n v="1014280"/>
    <s v="The direct participants of the project are members of the DHMTs in both districts that were strengthened through provision of trainings and supported to deliver services at the district. The indirect participants included the catchment populations of all health facilities in the supported districts. Bombali supported the entire 110 health facilities while Koinadugu supported 74 health facilities to ensure surveillance are maintained. The DHMTs through supportive supervision and mentorship of health facility staffs ensured services are delivered at the health facilities and also ensured that communities participate in health promotion through  community engagement meetings to prevent and control disease spread in both districts. These community structures report to the health facilities within its catchment areas that constitute the entire population in the two districts.  "/>
    <m/>
    <n v="4"/>
    <n v="23"/>
    <n v="27"/>
    <n v="517283"/>
    <n v="496997"/>
    <n v="1014280"/>
    <m/>
    <m/>
    <m/>
    <m/>
    <m/>
    <m/>
    <m/>
    <m/>
    <m/>
    <m/>
    <m/>
    <m/>
    <m/>
    <m/>
    <m/>
    <m/>
    <m/>
    <m/>
    <m/>
    <m/>
    <m/>
    <m/>
    <m/>
    <m/>
    <s v="YES"/>
    <n v="27"/>
    <n v="0.15"/>
    <n v="1014280"/>
    <m/>
    <m/>
    <m/>
    <m/>
    <m/>
    <m/>
    <m/>
    <m/>
    <m/>
    <m/>
    <m/>
    <m/>
    <m/>
    <m/>
    <m/>
    <m/>
    <m/>
    <m/>
    <m/>
    <m/>
    <m/>
    <m/>
    <m/>
    <m/>
    <m/>
    <m/>
    <m/>
    <m/>
    <m/>
    <m/>
    <m/>
    <m/>
    <m/>
    <m/>
    <m/>
    <m/>
    <m/>
    <m/>
    <m/>
    <m/>
    <m/>
    <m/>
    <m/>
    <m/>
    <m/>
    <m/>
    <m/>
    <m/>
    <m/>
    <m/>
    <m/>
    <m/>
    <m/>
    <m/>
    <m/>
    <m/>
    <m/>
    <m/>
    <m/>
    <m/>
    <m/>
    <m/>
    <m/>
    <m/>
    <m/>
    <m/>
    <m/>
    <m/>
    <m/>
    <m/>
    <m/>
    <m/>
    <m/>
    <m/>
    <m/>
    <m/>
    <m/>
    <m/>
    <m/>
    <m/>
    <m/>
    <m/>
    <m/>
    <m/>
    <m/>
    <m/>
    <m/>
    <m/>
    <m/>
    <m/>
    <m/>
    <m/>
    <m/>
    <m/>
    <m/>
    <m/>
    <m/>
    <m/>
    <m/>
    <m/>
    <s v="NO"/>
    <m/>
    <m/>
    <m/>
    <s v="NO"/>
    <m/>
    <m/>
    <m/>
    <x v="0"/>
    <s v="NO"/>
    <s v="NO"/>
    <s v="YES"/>
    <s v="YES"/>
    <s v="NO"/>
    <s v="NO"/>
    <s v="NO"/>
    <s v="NO"/>
    <m/>
    <x v="0"/>
    <m/>
    <x v="1"/>
    <s v="The project supported the harmonization of INGO response through the Emergency Response Consortium now referred to as Health Consortium (HealthCo) which comprise of six INGOs including IRC, CARE, ACF, GOAL, SavetheChildren, and Concern Worldwide. The consoritum supported the DHMT's capacity for emergency preparedness and response to detect and respond to communicable disease outbreak including EVD"/>
    <x v="0"/>
    <x v="0"/>
    <s v="YES"/>
    <x v="1"/>
    <x v="0"/>
    <x v="0"/>
    <x v="1"/>
    <n v="3"/>
    <x v="1"/>
    <x v="1"/>
    <x v="1"/>
    <x v="1"/>
    <x v="1"/>
    <x v="1"/>
    <n v="4"/>
    <x v="1"/>
    <x v="1"/>
    <x v="2"/>
    <x v="1"/>
    <x v="3"/>
    <n v="2"/>
    <x v="2"/>
    <x v="3"/>
    <n v="2"/>
    <s v="International NGO(s)"/>
    <s v="Local government(s)"/>
    <m/>
    <x v="1"/>
    <m/>
    <m/>
    <s v="Community engagement strategies in diseeminating key messages on prevailing public health issues in the affected communities"/>
    <s v="Sustained monthly PHU incharges meeting as well as public health emergency quarterly meetings to address public health issues of concern"/>
    <m/>
    <s v="Working through established systems and structures like the DHMT contributed towards sustainability"/>
    <s v="The project worked at all levels from community to district and national"/>
    <m/>
    <s v="The project end date was brought forward based on donor request."/>
    <s v="Project proposal and budget"/>
    <n v="27"/>
    <n v="1014280"/>
    <n v="37565.925925925927"/>
    <n v="0.14814814814814814"/>
    <n v="0.51000019718420952"/>
    <n v="4"/>
    <n v="517283"/>
    <n v="1"/>
    <n v="27"/>
    <n v="1014280"/>
    <n v="37565.925925925927"/>
    <s v=""/>
    <n v="0"/>
    <n v="0"/>
    <s v=""/>
    <s v=""/>
    <n v="0"/>
    <n v="0"/>
    <s v=""/>
    <s v=""/>
    <n v="0"/>
    <n v="0"/>
    <s v=""/>
    <s v=""/>
    <n v="0"/>
    <n v="0"/>
    <s v=""/>
    <s v="1. Neutral"/>
    <s v="2. Accommodating"/>
    <s v="1. Neutral"/>
    <s v="It did not develop any specific innovation"/>
    <s v="Little or no advocacy"/>
    <s v="It linked and worked with strategic alliances and partners to take tested and effective solutions to scale"/>
  </r>
  <r>
    <x v="64"/>
    <x v="2"/>
    <n v="3701"/>
    <s v="Women Empowerment &amp; Business Development Project"/>
    <s v="Sierra Leone"/>
    <n v="3701"/>
    <s v="CARE Nederland"/>
    <s v="Foundation"/>
    <s v="Other"/>
    <s v="H&amp;M Conscious Foundation"/>
    <m/>
    <m/>
    <m/>
    <m/>
    <m/>
    <m/>
    <m/>
    <m/>
    <m/>
    <m/>
    <m/>
    <m/>
    <m/>
    <m/>
    <m/>
    <m/>
    <m/>
    <m/>
    <m/>
    <m/>
    <m/>
    <m/>
    <m/>
    <m/>
    <m/>
    <m/>
    <m/>
    <m/>
    <m/>
    <m/>
    <m/>
    <m/>
    <m/>
    <m/>
    <m/>
    <m/>
    <m/>
    <m/>
    <m/>
    <m/>
    <m/>
    <m/>
    <m/>
    <m/>
    <m/>
    <d v="2015-06-01T00:00:00"/>
    <d v="2017-01-31T00:00:00"/>
    <m/>
    <s v="Development Access to and Control over Economic Resources"/>
    <n v="181611.70212765958"/>
    <s v="Jacob Niamen"/>
    <s v="Project Coordinator"/>
    <s v="Jacob.naimen@care.org"/>
    <s v="Evelyn Mafeni"/>
    <s v="Senior Program Officer"/>
    <s v="emafeni@care.org"/>
    <s v="NO"/>
    <s v="YES"/>
    <s v="NO"/>
    <s v="Enhance Economic Empowerment of 10,000 Women in Sierra Leone. They involve women entrepreneurs (as individuals and/or in any form of enterprise) They aim for womens empowerment through skills development They make explicit in what way womens reality is transformed and empowerment takes place The project is either a pilot with a potential for scale or builds on existing experiences and takes them to scale"/>
    <s v="Sub-National"/>
    <s v="Northern Sierra Leone, Bombali and Tonkolili Districts (4 Chiefdoms in Bombali district (Biriwa, Safroko, Libisgahun, Makarie Gbantie) and 3 Chiefdoms in Tonkoli district (Kunike Sanda, Gbonkolenken, Tane) in Sierra Leone."/>
    <s v="The main impact group of the project are women engaged in Income Generating Activities  mostly from village savings and loan  associations and are non bankers.                                                                                                                                                                              This group live in the rural and semi urban areas of Sierra Leone 10,000 rural and semi-urban women in Sierra Leone . These are about 70% of 900 Village Saving and Loan Associations (VSLAs) members established by an existing and recently closed projects)"/>
    <n v="10000"/>
    <n v="2190"/>
    <n v="12190"/>
    <n v="50000"/>
    <n v="10950"/>
    <n v="60950"/>
    <s v="The direct participants are women who attended the entrepreneurship skills development trainings and workshops provided by the project. The indirect participants are families members of the direct participants. Average size of a household is 6. Calculation basis: [6-1(direct participant)]*12,190=60,950"/>
    <m/>
    <m/>
    <m/>
    <m/>
    <m/>
    <m/>
    <m/>
    <m/>
    <m/>
    <m/>
    <m/>
    <m/>
    <m/>
    <m/>
    <m/>
    <m/>
    <m/>
    <m/>
    <m/>
    <m/>
    <m/>
    <m/>
    <m/>
    <m/>
    <m/>
    <m/>
    <m/>
    <m/>
    <m/>
    <m/>
    <m/>
    <m/>
    <m/>
    <m/>
    <m/>
    <m/>
    <m/>
    <m/>
    <m/>
    <m/>
    <m/>
    <m/>
    <m/>
    <m/>
    <m/>
    <m/>
    <m/>
    <m/>
    <m/>
    <m/>
    <m/>
    <m/>
    <m/>
    <m/>
    <m/>
    <m/>
    <m/>
    <m/>
    <m/>
    <m/>
    <n v="2800"/>
    <n v="1167"/>
    <n v="3967"/>
    <n v="14000"/>
    <n v="5835"/>
    <n v="19835"/>
    <m/>
    <m/>
    <m/>
    <m/>
    <m/>
    <m/>
    <m/>
    <m/>
    <m/>
    <m/>
    <m/>
    <m/>
    <m/>
    <m/>
    <m/>
    <m/>
    <m/>
    <m/>
    <m/>
    <m/>
    <m/>
    <m/>
    <m/>
    <m/>
    <m/>
    <m/>
    <m/>
    <m/>
    <m/>
    <m/>
    <m/>
    <m/>
    <m/>
    <m/>
    <m/>
    <m/>
    <m/>
    <m/>
    <m/>
    <m/>
    <m/>
    <m/>
    <m/>
    <m/>
    <m/>
    <m/>
    <m/>
    <m/>
    <m/>
    <m/>
    <m/>
    <m/>
    <m/>
    <m/>
    <m/>
    <m/>
    <m/>
    <m/>
    <m/>
    <m/>
    <s v="YES"/>
    <n v="2800"/>
    <n v="1"/>
    <n v="16800"/>
    <m/>
    <m/>
    <m/>
    <m/>
    <m/>
    <s v="YES"/>
    <s v="June"/>
    <n v="2017"/>
    <s v="YES"/>
    <s v="YES"/>
    <s v="June"/>
    <n v="2017"/>
    <s v="The project is implemented in two countries; Sierra Leone and Cote D' Ivoire and it has only one goal but baseline and end line evaluations were carried out separately"/>
    <x v="0"/>
    <s v="NO"/>
    <s v="NO"/>
    <s v="YES"/>
    <s v="NO"/>
    <s v="NO"/>
    <s v="NO"/>
    <s v="NO"/>
    <s v="NO"/>
    <m/>
    <x v="1"/>
    <s v="The project facilitated access to relevant market information for small scale business women"/>
    <x v="1"/>
    <s v="All project activities were implemented with and/or through partners."/>
    <x v="1"/>
    <x v="0"/>
    <s v="YES"/>
    <x v="0"/>
    <x v="0"/>
    <x v="0"/>
    <x v="0"/>
    <n v="4"/>
    <x v="2"/>
    <x v="2"/>
    <x v="1"/>
    <x v="1"/>
    <x v="1"/>
    <x v="5"/>
    <n v="3"/>
    <x v="1"/>
    <x v="1"/>
    <x v="1"/>
    <x v="1"/>
    <x v="1"/>
    <n v="3"/>
    <x v="2"/>
    <x v="2"/>
    <n v="3"/>
    <s v="Local NGO(s)/CSO(s)"/>
    <s v="Private sector"/>
    <s v="Labor union(s)"/>
    <x v="0"/>
    <s v="CARE provided capacity buliding and techincal support in the implementation of project activities"/>
    <m/>
    <s v="The use of women entrepreneurs role models in an awareness campaign on women's entrepreneurship has led to the desire to develop economic activities among the beneficiaries"/>
    <s v="Supporting members of VSLA groups in entrepreneurship is easier and makes to increase quickly their economic power."/>
    <s v="The use of community radio networks as a partner makes it possible to provide women with faster and more information about the market"/>
    <s v="There is no policy that protect small scale  product as against those of the importers, thus, it has always been challenging for women and girls to develop and expand their enterprises  "/>
    <s v="There is still a gap between Financial Service Providers and women enterpreneurs in rural areas in accessing financial products  "/>
    <s v="Rural women and girls are mostlly engage in Income Generating Activities (IGA) and only need capacity building and linkages to scale"/>
    <m/>
    <m/>
    <n v="3967"/>
    <n v="19835"/>
    <n v="5"/>
    <n v="0.70582304008066554"/>
    <n v="0.70582304008066554"/>
    <n v="2800"/>
    <n v="14000"/>
    <s v=""/>
    <n v="0"/>
    <n v="0"/>
    <s v=""/>
    <s v=""/>
    <n v="0"/>
    <n v="0"/>
    <s v=""/>
    <s v=""/>
    <n v="0"/>
    <n v="0"/>
    <s v=""/>
    <s v=""/>
    <n v="0"/>
    <n v="0"/>
    <s v=""/>
    <n v="1"/>
    <n v="2800"/>
    <n v="16800"/>
    <n v="6"/>
    <s v="2. Sensitive"/>
    <s v="3. Responsive"/>
    <s v="2. Sensitive"/>
    <s v="It tested new ways for fighting poverty, but did not measure results of innovation"/>
    <s v="Little or no advocacy"/>
    <s v="It linked and worked with strategic alliances and partners to take tested and effective solutions to scale"/>
  </r>
  <r>
    <x v="65"/>
    <x v="3"/>
    <m/>
    <s v="Challenging Harmful  Attitudes and Norms for Gender Equality and Empowerment in Somalia/Somaliland (CHANGES)"/>
    <s v="Somalia"/>
    <s v="CGBRSO0081/ Fund: GB636"/>
    <s v="CARE UK"/>
    <s v="Government"/>
    <s v="Government - UK"/>
    <s v="DFID"/>
    <m/>
    <m/>
    <m/>
    <m/>
    <m/>
    <m/>
    <m/>
    <m/>
    <m/>
    <m/>
    <m/>
    <m/>
    <m/>
    <m/>
    <m/>
    <m/>
    <m/>
    <m/>
    <m/>
    <m/>
    <m/>
    <m/>
    <m/>
    <m/>
    <m/>
    <m/>
    <m/>
    <m/>
    <m/>
    <m/>
    <m/>
    <m/>
    <m/>
    <m/>
    <m/>
    <m/>
    <m/>
    <m/>
    <m/>
    <m/>
    <m/>
    <m/>
    <m/>
    <m/>
    <m/>
    <d v="2016-10-01T00:00:00"/>
    <d v="2020-10-31T00:00:00"/>
    <m/>
    <s v="Development A Life Free From Violence (GBV)"/>
    <n v="2540999"/>
    <s v="Ibrahim Hussien Mohamed"/>
    <s v="Program Coordinator"/>
    <s v="Ibrahim.Hussein@care.org"/>
    <s v="Mukhtar Omar Mumin"/>
    <s v="Program Manager"/>
    <s v="mumin.mukhtar@care.org"/>
    <s v="NO"/>
    <s v="YES"/>
    <s v="NO"/>
    <s v="Challenging harmful social norms including FGM and CEFM and to increase womens social and economic empowerment"/>
    <s v="National"/>
    <s v="Somalia- Sanaag Region and Lower Juba Region ( Erigavo, Badhan and Kismayo Districts"/>
    <s v="Somali women and girls"/>
    <n v="4554"/>
    <n v="1952"/>
    <n v="6506"/>
    <n v="27327"/>
    <n v="11711"/>
    <n v="39038"/>
    <s v="Women,  Girls, boys Men are direct participants divided between three consoritum members based on target locations for each partner"/>
    <m/>
    <m/>
    <m/>
    <m/>
    <m/>
    <m/>
    <m/>
    <m/>
    <m/>
    <m/>
    <m/>
    <m/>
    <m/>
    <m/>
    <n v="0"/>
    <m/>
    <m/>
    <m/>
    <m/>
    <m/>
    <m/>
    <m/>
    <m/>
    <m/>
    <m/>
    <m/>
    <m/>
    <m/>
    <m/>
    <m/>
    <m/>
    <m/>
    <m/>
    <m/>
    <m/>
    <m/>
    <m/>
    <m/>
    <m/>
    <m/>
    <m/>
    <m/>
    <m/>
    <m/>
    <m/>
    <m/>
    <m/>
    <m/>
    <m/>
    <m/>
    <m/>
    <m/>
    <m/>
    <m/>
    <m/>
    <m/>
    <m/>
    <m/>
    <m/>
    <m/>
    <n v="550"/>
    <n v="296"/>
    <n v="846"/>
    <n v="3299"/>
    <n v="1777"/>
    <n v="5076"/>
    <s v="NO"/>
    <m/>
    <m/>
    <m/>
    <s v="NO"/>
    <m/>
    <m/>
    <m/>
    <s v="NO"/>
    <m/>
    <m/>
    <m/>
    <s v="YES"/>
    <m/>
    <m/>
    <m/>
    <s v="YES"/>
    <m/>
    <m/>
    <m/>
    <s v="NO"/>
    <m/>
    <m/>
    <m/>
    <s v="NO"/>
    <m/>
    <m/>
    <m/>
    <s v="YES"/>
    <n v="846"/>
    <n v="0.65"/>
    <n v="5076"/>
    <s v="YES"/>
    <m/>
    <m/>
    <m/>
    <s v="NO"/>
    <m/>
    <m/>
    <m/>
    <s v="NO"/>
    <m/>
    <m/>
    <m/>
    <s v="NO"/>
    <m/>
    <m/>
    <m/>
    <s v="YES"/>
    <m/>
    <m/>
    <m/>
    <s v="NO"/>
    <m/>
    <m/>
    <m/>
    <s v="NO"/>
    <m/>
    <m/>
    <m/>
    <s v="YES"/>
    <m/>
    <m/>
    <m/>
    <m/>
    <m/>
    <m/>
    <m/>
    <m/>
    <s v="YES"/>
    <s v="February"/>
    <n v="2017"/>
    <s v="YES"/>
    <s v="NO"/>
    <m/>
    <m/>
    <m/>
    <x v="1"/>
    <s v="NO"/>
    <s v="YES"/>
    <s v="NO"/>
    <s v="YES"/>
    <s v="NO"/>
    <s v="NO"/>
    <s v="NO"/>
    <s v="NO"/>
    <m/>
    <x v="0"/>
    <m/>
    <x v="3"/>
    <s v="VSLA"/>
    <x v="1"/>
    <x v="0"/>
    <s v="YES"/>
    <x v="0"/>
    <x v="0"/>
    <x v="0"/>
    <x v="0"/>
    <n v="4"/>
    <x v="1"/>
    <x v="1"/>
    <x v="1"/>
    <x v="1"/>
    <x v="1"/>
    <x v="1"/>
    <n v="4"/>
    <x v="1"/>
    <x v="2"/>
    <x v="1"/>
    <x v="1"/>
    <x v="3"/>
    <n v="2"/>
    <x v="0"/>
    <x v="0"/>
    <n v="3"/>
    <s v="Local NGO(s)/CSO(s)"/>
    <m/>
    <m/>
    <x v="2"/>
    <m/>
    <m/>
    <s v="Creation of VSLA groups and use of Economc and Social Empowernment - EASE Model - Economic and Social empowernment model"/>
    <s v="Working with Gender based violence working groups (GBVWGs) and FGM and CEFM task forces for effective coordination around GBV, FGM"/>
    <s v="Engaging religious and community leaders through community sessions on CFEM, FGM, GBV"/>
    <s v="The effect of drought in target regions is still continuing. Some parts of the regions did not receive good rains. People need drought recovery plan for sustainability"/>
    <s v="Inadequate project government support due to high expectations from officials (like incentive, equipment) Regional, District and line ministries)."/>
    <s v="challenge of willingness, buyin and support of some community members, elders due to sensitivity of project action"/>
    <m/>
    <m/>
    <n v="846"/>
    <n v="5076"/>
    <n v="6"/>
    <n v="0.65011820330969272"/>
    <n v="0.64992119779353819"/>
    <n v="550"/>
    <n v="3299"/>
    <s v=""/>
    <n v="0"/>
    <n v="0"/>
    <s v=""/>
    <n v="1"/>
    <n v="0"/>
    <n v="0"/>
    <s v=""/>
    <s v=""/>
    <n v="0"/>
    <n v="0"/>
    <s v=""/>
    <n v="1"/>
    <n v="846"/>
    <n v="5076"/>
    <n v="6"/>
    <n v="1"/>
    <n v="0"/>
    <n v="0"/>
    <s v=""/>
    <s v="2. Sensitive"/>
    <s v="2. Accommodating"/>
    <s v="1. Neutral"/>
    <s v="It did not develop any specific innovation"/>
    <s v="Moderate advocacy"/>
    <s v="It took tested solutions to scale on its own"/>
  </r>
  <r>
    <x v="65"/>
    <x v="3"/>
    <n v="3338"/>
    <s v="Deegankaagu waa Noloshaada"/>
    <s v="Somalia"/>
    <s v="CNLDSO0043"/>
    <s v="CARE Nederland"/>
    <s v="Multilateral agency"/>
    <s v="EU - European Union (other than ECHO)"/>
    <s v="EU"/>
    <m/>
    <m/>
    <m/>
    <m/>
    <m/>
    <m/>
    <m/>
    <m/>
    <m/>
    <m/>
    <m/>
    <m/>
    <m/>
    <m/>
    <m/>
    <m/>
    <m/>
    <m/>
    <m/>
    <m/>
    <m/>
    <m/>
    <m/>
    <m/>
    <m/>
    <m/>
    <m/>
    <m/>
    <m/>
    <m/>
    <m/>
    <m/>
    <m/>
    <m/>
    <m/>
    <m/>
    <m/>
    <m/>
    <m/>
    <m/>
    <m/>
    <m/>
    <m/>
    <m/>
    <m/>
    <d v="2013-02-13T00:00:00"/>
    <d v="2016-12-12T00:00:00"/>
    <d v="2017-08-12T00:00:00"/>
    <s v="Development Food &amp; Nutrition Security and Resilience to Climate Change"/>
    <n v="10400000"/>
    <s v="Ibrahim Hussein"/>
    <s v="Programme Coordinator"/>
    <s v="Ibrahim.Hussein@care.org"/>
    <s v="Abdikadir Abdulsalam"/>
    <s v="Project Manager"/>
    <s v="Abdikadir.Abdulsalam@care.org"/>
    <s v="YES"/>
    <s v="YES"/>
    <s v="YES"/>
    <s v="Reduced hunger and food insecurity in Puntland (MDG1)"/>
    <s v="Sub-National"/>
    <s v="Puntland State of Somalia - Nugaal, Karkar, Bari, Mudug, Sool and Sanaag regions"/>
    <s v="Nomadic pastoralists, agro-pastoralists communities and associations, Village Committees, local women organizations and the Ministy of Environment, Wildlife and Tourism"/>
    <n v="14400"/>
    <n v="21600"/>
    <n v="36000"/>
    <n v="86400"/>
    <n v="129600"/>
    <n v="216000"/>
    <s v="Direct and Indirect benefacires as stated in project proposal based on all project activties reach and target intervention reach. Indirect is direct multipled by 6 for overall HH members reach of direct project activties beneficaries"/>
    <m/>
    <n v="2226"/>
    <n v="3338"/>
    <n v="5564"/>
    <n v="13356"/>
    <n v="20028"/>
    <n v="33384"/>
    <m/>
    <m/>
    <m/>
    <m/>
    <s v="YES"/>
    <n v="1782"/>
    <n v="0.4"/>
    <n v="16692"/>
    <m/>
    <m/>
    <m/>
    <m/>
    <s v="YES"/>
    <m/>
    <m/>
    <m/>
    <m/>
    <m/>
    <m/>
    <m/>
    <m/>
    <m/>
    <m/>
    <m/>
    <m/>
    <m/>
    <m/>
    <m/>
    <s v="Yes"/>
    <n v="1782"/>
    <n v="0.4"/>
    <n v="16692"/>
    <m/>
    <m/>
    <m/>
    <m/>
    <m/>
    <m/>
    <m/>
    <m/>
    <m/>
    <m/>
    <m/>
    <m/>
    <m/>
    <m/>
    <m/>
    <m/>
    <m/>
    <m/>
    <m/>
    <m/>
    <m/>
    <n v="2299"/>
    <n v="3448"/>
    <n v="5747"/>
    <n v="13794"/>
    <n v="20688"/>
    <n v="34482"/>
    <s v="NO"/>
    <m/>
    <m/>
    <m/>
    <s v="NO"/>
    <m/>
    <m/>
    <m/>
    <s v="YES"/>
    <n v="400"/>
    <n v="0.4"/>
    <n v="2400"/>
    <s v="NO"/>
    <m/>
    <m/>
    <m/>
    <s v="NO"/>
    <m/>
    <m/>
    <m/>
    <s v="NO"/>
    <m/>
    <m/>
    <m/>
    <s v="YES"/>
    <n v="1782"/>
    <n v="0.4"/>
    <n v="10692"/>
    <s v="NO"/>
    <m/>
    <m/>
    <m/>
    <s v="NO"/>
    <m/>
    <m/>
    <m/>
    <s v="NO"/>
    <m/>
    <m/>
    <m/>
    <s v="YES"/>
    <n v="1782"/>
    <n v="0.4"/>
    <n v="10692"/>
    <s v="YES"/>
    <n v="1782"/>
    <n v="0.4"/>
    <n v="10692"/>
    <s v="NO"/>
    <m/>
    <m/>
    <m/>
    <s v="NO"/>
    <m/>
    <m/>
    <m/>
    <s v="NO"/>
    <m/>
    <m/>
    <m/>
    <s v="NO"/>
    <m/>
    <m/>
    <m/>
    <m/>
    <m/>
    <m/>
    <m/>
    <m/>
    <s v="NO"/>
    <m/>
    <m/>
    <s v="NO"/>
    <s v="YES"/>
    <s v="October"/>
    <n v="2017"/>
    <s v="TOR done and a final evaluation of all project intreventions is planned to take place"/>
    <x v="1"/>
    <s v="YES"/>
    <s v="YES"/>
    <s v="YES"/>
    <s v="YES"/>
    <s v="YES"/>
    <s v="YES"/>
    <s v="YES"/>
    <m/>
    <m/>
    <x v="1"/>
    <s v="Cash distribution for gulley rehabilitation in affected villages. It assisted the boosting of the local economy and buying capacity"/>
    <x v="3"/>
    <s v="Developed environmental law and policies to tackle environmental degradation.  "/>
    <x v="0"/>
    <x v="0"/>
    <s v="YES"/>
    <x v="0"/>
    <x v="0"/>
    <x v="0"/>
    <x v="0"/>
    <n v="4"/>
    <x v="1"/>
    <x v="1"/>
    <x v="1"/>
    <x v="1"/>
    <x v="1"/>
    <x v="1"/>
    <n v="4"/>
    <x v="3"/>
    <x v="1"/>
    <x v="1"/>
    <x v="1"/>
    <x v="4"/>
    <n v="3"/>
    <x v="3"/>
    <x v="0"/>
    <n v="3"/>
    <s v="National government"/>
    <s v="Local alliance(s)/Platform(s)/Network(s) of  NGOs/CSOs"/>
    <s v="University/research institution(s)"/>
    <x v="2"/>
    <m/>
    <s v="During the long and severe drought in Somalia. The project was directed at addressing and contributed in the drought recovery.  CFW activities aimed at rehabilitated eroded land and as well as creating income opportunities for vulnerable was incoorporated in the project."/>
    <s v="Community engagement in decisions has ensuring ownership and buyin from the target communities we work with"/>
    <s v="Public education and awareness raising campaigns has proven to have impact on communities on raising awarness of harmful practices and perserving the environment"/>
    <s v="Coordination among the partners implementing the project has proven vitial for information sharing and effective coordination of efforts"/>
    <s v="The government and leadership of the ministry greatly impacts project implementation, momentum and achievement of results"/>
    <s v="Community involvement in assessment of degraded land, identification of sites to be rehabilitated  and beneficiary selection is the foundation for successful rehabilitation interventions. It has led to ownership of the work and communities are eager to see the end result which they have contributed to and to protect the structures that will be erected."/>
    <s v="When training staff, thinking of succession planning is critical so that there is always a fall back position when staff leave the ministry for whatever reason. Mechanism for knowledge management and safeguarding institutional memory should also be a priority in view of the mobility of human resources."/>
    <s v="This FY the project could not get the approval of the new environmental law from the parliament due to conflicting mandates from two key government agencies"/>
    <s v="All project documents avaliable"/>
    <n v="5747"/>
    <n v="34482"/>
    <n v="6"/>
    <n v="0.40003480076561682"/>
    <n v="0.40003480076561682"/>
    <n v="2299"/>
    <n v="13794"/>
    <n v="1"/>
    <n v="5564"/>
    <n v="33384"/>
    <n v="6"/>
    <n v="1"/>
    <n v="1782"/>
    <n v="16692"/>
    <n v="9.3670033670033668"/>
    <s v=""/>
    <n v="0"/>
    <n v="0"/>
    <s v=""/>
    <s v=""/>
    <n v="0"/>
    <n v="0"/>
    <s v=""/>
    <s v=""/>
    <n v="0"/>
    <n v="0"/>
    <s v=""/>
    <s v="2. Sensitive"/>
    <s v="2. Accommodating"/>
    <s v="4. Transformative"/>
    <s v="It tested new ways for fighting poverty, but did not measure results of innovation"/>
    <s v="Moderate advocacy"/>
    <s v="It took tested solutions to scale on its own"/>
  </r>
  <r>
    <x v="65"/>
    <x v="3"/>
    <m/>
    <s v="Durable Solution for Internally Displaced persons and Returnees in Somalia (DSIRS)"/>
    <s v="Somalia"/>
    <s v="NL232"/>
    <s v="CARE Nederland"/>
    <s v="Multilateral agency"/>
    <s v="EU - European Union (other than ECHO)"/>
    <m/>
    <m/>
    <m/>
    <m/>
    <m/>
    <m/>
    <m/>
    <m/>
    <m/>
    <m/>
    <m/>
    <m/>
    <m/>
    <m/>
    <m/>
    <m/>
    <m/>
    <m/>
    <m/>
    <m/>
    <m/>
    <m/>
    <m/>
    <m/>
    <m/>
    <m/>
    <m/>
    <m/>
    <m/>
    <m/>
    <m/>
    <m/>
    <m/>
    <m/>
    <m/>
    <m/>
    <m/>
    <m/>
    <m/>
    <m/>
    <m/>
    <m/>
    <m/>
    <m/>
    <m/>
    <m/>
    <d v="2017-01-01T00:00:00"/>
    <d v="2020-01-09T00:00:00"/>
    <m/>
    <s v="Development Access to and Control over Economic Resources"/>
    <n v="4524363"/>
    <s v="Ibrahim Nur"/>
    <s v="Program Coordinator - Urban Youth program"/>
    <s v="Nur.Ibrahim@care.org"/>
    <s v="Nimo Hassan"/>
    <s v="Consortium Coordinator"/>
    <s v="Nimo.Hassan@care.org"/>
    <s v="YES"/>
    <s v="YES"/>
    <s v="YES"/>
    <s v="Contribute to sustainable integration of IDPs, returnees and refugees in Somalia"/>
    <s v="National"/>
    <s v="Galmudug and Puntland, Somalia"/>
    <s v="Internally displace persons, returnees and refugees"/>
    <n v="54000"/>
    <n v="36000"/>
    <n v="90000"/>
    <n v="110000"/>
    <n v="70000"/>
    <n v="180000"/>
    <m/>
    <m/>
    <n v="5616"/>
    <n v="1094"/>
    <n v="6710"/>
    <n v="4052"/>
    <n v="1736"/>
    <n v="5788"/>
    <m/>
    <m/>
    <m/>
    <m/>
    <m/>
    <m/>
    <m/>
    <m/>
    <s v="YES"/>
    <n v="18"/>
    <n v="0.6"/>
    <n v="200"/>
    <m/>
    <m/>
    <m/>
    <m/>
    <s v="YES"/>
    <n v="173"/>
    <n v="0.56999999999999995"/>
    <n v="180"/>
    <m/>
    <m/>
    <m/>
    <m/>
    <s v="YES"/>
    <n v="3317"/>
    <n v="0.99199999999999999"/>
    <n v="3000"/>
    <s v="Yes"/>
    <n v="0"/>
    <n v="0"/>
    <n v="0"/>
    <s v="YES"/>
    <n v="202"/>
    <n v="0.61299999999999999"/>
    <n v="308"/>
    <m/>
    <m/>
    <m/>
    <m/>
    <m/>
    <m/>
    <m/>
    <m/>
    <s v="YES"/>
    <n v="3000"/>
    <n v="0.7"/>
    <n v="2100"/>
    <m/>
    <m/>
    <m/>
    <m/>
    <m/>
    <n v="5616"/>
    <n v="1094"/>
    <n v="6710"/>
    <n v="4052"/>
    <n v="1736"/>
    <n v="5788"/>
    <m/>
    <m/>
    <m/>
    <m/>
    <m/>
    <m/>
    <m/>
    <m/>
    <m/>
    <m/>
    <m/>
    <m/>
    <m/>
    <m/>
    <m/>
    <m/>
    <m/>
    <m/>
    <m/>
    <m/>
    <s v="YES"/>
    <n v="18"/>
    <m/>
    <m/>
    <m/>
    <m/>
    <m/>
    <m/>
    <s v="YES"/>
    <n v="173"/>
    <m/>
    <m/>
    <m/>
    <m/>
    <m/>
    <m/>
    <s v="YES"/>
    <n v="3317"/>
    <m/>
    <m/>
    <m/>
    <m/>
    <m/>
    <m/>
    <m/>
    <m/>
    <m/>
    <m/>
    <s v="YES"/>
    <n v="202"/>
    <m/>
    <m/>
    <m/>
    <m/>
    <m/>
    <m/>
    <s v="YES"/>
    <n v="3000"/>
    <m/>
    <m/>
    <m/>
    <m/>
    <m/>
    <m/>
    <m/>
    <m/>
    <m/>
    <m/>
    <m/>
    <m/>
    <m/>
    <m/>
    <m/>
    <s v="NO"/>
    <m/>
    <m/>
    <s v="End-line evaluation will conduct around March 2020"/>
    <x v="1"/>
    <s v="YES"/>
    <s v="YES"/>
    <m/>
    <s v="YES"/>
    <s v="YES"/>
    <s v="YES"/>
    <s v="YES"/>
    <m/>
    <m/>
    <x v="0"/>
    <s v="Vocational education for youth and village saving and loan association"/>
    <x v="2"/>
    <m/>
    <x v="1"/>
    <x v="0"/>
    <s v="YES"/>
    <x v="0"/>
    <x v="0"/>
    <x v="0"/>
    <x v="0"/>
    <n v="4"/>
    <x v="0"/>
    <x v="0"/>
    <x v="0"/>
    <x v="0"/>
    <x v="0"/>
    <x v="0"/>
    <n v="0"/>
    <x v="0"/>
    <x v="0"/>
    <x v="0"/>
    <x v="0"/>
    <x v="0"/>
    <n v="0"/>
    <x v="1"/>
    <x v="4"/>
    <m/>
    <m/>
    <m/>
    <m/>
    <x v="1"/>
    <m/>
    <m/>
    <m/>
    <m/>
    <m/>
    <m/>
    <m/>
    <m/>
    <m/>
    <m/>
    <n v="6710"/>
    <n v="5788"/>
    <n v="0.86259314456035763"/>
    <n v="0.83695976154992546"/>
    <n v="0.70006910850034554"/>
    <n v="5616"/>
    <n v="4052"/>
    <n v="1"/>
    <n v="6710"/>
    <n v="5788"/>
    <n v="0.86259314456035763"/>
    <n v="1"/>
    <n v="3000"/>
    <n v="0"/>
    <n v="0"/>
    <s v=""/>
    <n v="0"/>
    <n v="0"/>
    <s v=""/>
    <n v="1"/>
    <n v="173"/>
    <n v="180"/>
    <n v="1.0404624277456647"/>
    <s v=""/>
    <n v="0"/>
    <n v="0"/>
    <s v=""/>
    <s v="2. Sensitive"/>
    <s v="No marker score"/>
    <s v="No marker score"/>
    <s v="It did not develop any specific innovation"/>
    <s v="Moderate advocacy"/>
    <n v="0"/>
  </r>
  <r>
    <x v="65"/>
    <x v="3"/>
    <m/>
    <s v="East Africa Crisis Appeal Somalia Project"/>
    <s v="Somalia"/>
    <s v="CGBRSO0083"/>
    <s v="CARE UK"/>
    <s v="Other"/>
    <s v="Other"/>
    <s v="Disaster Emergency Committee (DEC)"/>
    <m/>
    <m/>
    <m/>
    <m/>
    <m/>
    <m/>
    <m/>
    <m/>
    <m/>
    <m/>
    <m/>
    <m/>
    <m/>
    <m/>
    <m/>
    <m/>
    <m/>
    <m/>
    <m/>
    <m/>
    <m/>
    <m/>
    <m/>
    <m/>
    <m/>
    <m/>
    <m/>
    <m/>
    <m/>
    <m/>
    <m/>
    <m/>
    <m/>
    <m/>
    <m/>
    <m/>
    <m/>
    <m/>
    <m/>
    <m/>
    <m/>
    <m/>
    <m/>
    <m/>
    <m/>
    <d v="2017-03-15T00:00:00"/>
    <d v="2017-09-30T00:00:00"/>
    <m/>
    <s v="Humanitarian Other"/>
    <n v="190704"/>
    <s v="Ibrahim Hassan"/>
    <s v="Emergency director"/>
    <s v="ibrahim.hassan@care.org"/>
    <s v="Elmi Abdinur"/>
    <s v="Humanitarian coordinator"/>
    <s v="elmi.nur@care.org"/>
    <s v="YES"/>
    <s v="NO"/>
    <s v="NO"/>
    <s v="To alleviate suffering and reduce vulnerability among disaster-affected and vulnerable host communities in Bari region in Somalia by increasing access to basic services"/>
    <s v="Sub-National"/>
    <s v="Bari region in Somalia"/>
    <s v="Disaster-affected and vulnerable host communities who include women, men, youth, boys and girls"/>
    <n v="13506"/>
    <n v="14055"/>
    <n v="27561"/>
    <m/>
    <m/>
    <m/>
    <s v="The direct beneficiaries are those individuals in each household that received cash transfers, food vouchers and hygiene promotion campaigns"/>
    <m/>
    <n v="13506"/>
    <n v="14055"/>
    <n v="27561"/>
    <m/>
    <m/>
    <m/>
    <s v="NO"/>
    <m/>
    <m/>
    <m/>
    <s v="YES"/>
    <n v="3724"/>
    <n v="0.51"/>
    <m/>
    <s v="NO"/>
    <m/>
    <m/>
    <m/>
    <s v="YES"/>
    <n v="2878"/>
    <n v="0.49"/>
    <m/>
    <s v="NO"/>
    <m/>
    <m/>
    <m/>
    <s v="NO"/>
    <m/>
    <m/>
    <m/>
    <s v="NO"/>
    <m/>
    <m/>
    <m/>
    <s v="NO"/>
    <m/>
    <m/>
    <m/>
    <s v="NO"/>
    <m/>
    <m/>
    <m/>
    <s v="NO"/>
    <m/>
    <m/>
    <m/>
    <s v="NO"/>
    <m/>
    <m/>
    <m/>
    <s v="YES"/>
    <n v="20959"/>
    <n v="0.49"/>
    <m/>
    <m/>
    <m/>
    <m/>
    <m/>
    <m/>
    <m/>
    <m/>
    <m/>
    <m/>
    <m/>
    <m/>
    <m/>
    <m/>
    <m/>
    <m/>
    <m/>
    <m/>
    <m/>
    <m/>
    <m/>
    <m/>
    <m/>
    <m/>
    <m/>
    <m/>
    <m/>
    <m/>
    <m/>
    <m/>
    <m/>
    <m/>
    <m/>
    <m/>
    <m/>
    <m/>
    <m/>
    <m/>
    <m/>
    <m/>
    <m/>
    <m/>
    <m/>
    <m/>
    <m/>
    <m/>
    <m/>
    <m/>
    <m/>
    <m/>
    <m/>
    <m/>
    <m/>
    <m/>
    <m/>
    <m/>
    <m/>
    <m/>
    <m/>
    <m/>
    <m/>
    <m/>
    <m/>
    <m/>
    <m/>
    <m/>
    <m/>
    <m/>
    <m/>
    <m/>
    <m/>
    <m/>
    <m/>
    <m/>
    <m/>
    <m/>
    <m/>
    <m/>
    <m/>
    <m/>
    <m/>
    <s v="NO"/>
    <m/>
    <m/>
    <s v="NO"/>
    <s v="NO"/>
    <m/>
    <n v="2017"/>
    <m/>
    <x v="1"/>
    <s v="NO"/>
    <s v="YES"/>
    <s v="YES"/>
    <s v="YES"/>
    <s v="NO"/>
    <s v="NO"/>
    <s v="YES"/>
    <s v="NO"/>
    <m/>
    <x v="0"/>
    <m/>
    <x v="3"/>
    <m/>
    <x v="1"/>
    <x v="0"/>
    <s v="YES"/>
    <x v="0"/>
    <x v="0"/>
    <x v="0"/>
    <x v="0"/>
    <n v="4"/>
    <x v="1"/>
    <x v="1"/>
    <x v="1"/>
    <x v="1"/>
    <x v="1"/>
    <x v="1"/>
    <n v="4"/>
    <x v="1"/>
    <x v="1"/>
    <x v="0"/>
    <x v="0"/>
    <x v="3"/>
    <n v="1"/>
    <x v="0"/>
    <x v="1"/>
    <m/>
    <m/>
    <m/>
    <m/>
    <x v="1"/>
    <m/>
    <m/>
    <s v="The project ensured that female headed households were given priority"/>
    <s v="The feedback response mechanism collected feedback that the team incorporated into the project"/>
    <s v="The incluson of village elders ensured that there was no clan conflict"/>
    <s v="The need to use the selection criteria in targeting most vulnerable beneficiaries"/>
    <m/>
    <m/>
    <m/>
    <s v="Quarter 1 project report"/>
    <n v="27561"/>
    <n v="0"/>
    <n v="0"/>
    <n v="0.49004027430064223"/>
    <s v=""/>
    <n v="13506"/>
    <n v="0"/>
    <n v="1"/>
    <n v="27561"/>
    <n v="0"/>
    <n v="0"/>
    <n v="1"/>
    <n v="2878"/>
    <n v="0"/>
    <n v="0"/>
    <s v=""/>
    <n v="0"/>
    <n v="0"/>
    <s v=""/>
    <s v=""/>
    <n v="0"/>
    <n v="0"/>
    <s v=""/>
    <s v=""/>
    <n v="0"/>
    <n v="0"/>
    <s v=""/>
    <s v="2. Sensitive"/>
    <s v="2. Accommodating"/>
    <s v="1. Neutral"/>
    <s v="It did not develop any specific innovation"/>
    <s v="Moderate advocacy"/>
    <s v="It took tested solutions to scale on its own"/>
  </r>
  <r>
    <x v="65"/>
    <x v="3"/>
    <m/>
    <s v="EMERGENCY ASSISTANCE FOR DISASTER AFFECTED SOMALIS"/>
    <s v="Somalia"/>
    <s v="US1S4"/>
    <s v="CARE USA"/>
    <s v="Government"/>
    <s v="Government - US"/>
    <s v="USAID"/>
    <m/>
    <m/>
    <m/>
    <m/>
    <m/>
    <m/>
    <m/>
    <m/>
    <m/>
    <m/>
    <m/>
    <m/>
    <m/>
    <m/>
    <m/>
    <m/>
    <m/>
    <m/>
    <m/>
    <m/>
    <m/>
    <m/>
    <m/>
    <m/>
    <m/>
    <m/>
    <m/>
    <m/>
    <m/>
    <m/>
    <m/>
    <m/>
    <m/>
    <m/>
    <m/>
    <m/>
    <m/>
    <m/>
    <m/>
    <m/>
    <m/>
    <m/>
    <m/>
    <m/>
    <m/>
    <d v="2016-10-01T00:00:00"/>
    <d v="2017-09-30T00:00:00"/>
    <m/>
    <s v="Humanitarian Other"/>
    <n v="1700000"/>
    <s v="Ibrahim Hassan"/>
    <s v="Emergency director"/>
    <s v="ibrahim.hassan@care.org"/>
    <s v="Elmi Abdinur"/>
    <s v="Humanitarian coordinator"/>
    <s v="elmi.nur@care.org"/>
    <s v="YES"/>
    <s v="NO"/>
    <s v="NO"/>
    <s v="To alleviate suffering and reduce vulnerability among disaster-affected and vulnerable host communities in Sanaag, Bari, Nugaal, Banadir and Lower Juba regions in Somalia by increasing access to basic services"/>
    <s v="National"/>
    <s v="Sanaag, Bari, Awdal and Lower Juba regions in Somalia"/>
    <s v="Disaster-affected and vulnerable host communities who include women, men, youth, boys and girls"/>
    <n v="11976"/>
    <n v="12466"/>
    <n v="22442"/>
    <m/>
    <m/>
    <m/>
    <s v="The direct beneficiaries have been calculated by adding up the family size of individuals benefitting from the project sectors"/>
    <m/>
    <n v="11976"/>
    <n v="12466"/>
    <n v="24442"/>
    <m/>
    <m/>
    <m/>
    <s v="NO"/>
    <m/>
    <m/>
    <m/>
    <s v="NO"/>
    <m/>
    <m/>
    <m/>
    <s v="NO"/>
    <m/>
    <m/>
    <m/>
    <s v="YES"/>
    <n v="4405"/>
    <n v="0.8"/>
    <m/>
    <s v="NO"/>
    <m/>
    <m/>
    <m/>
    <s v="NO"/>
    <m/>
    <m/>
    <m/>
    <s v="NO"/>
    <m/>
    <m/>
    <m/>
    <s v="Yes"/>
    <n v="2278"/>
    <n v="0.49"/>
    <m/>
    <s v="NO"/>
    <m/>
    <m/>
    <m/>
    <s v="NO"/>
    <m/>
    <m/>
    <m/>
    <s v="NO"/>
    <m/>
    <m/>
    <m/>
    <s v="YES"/>
    <n v="15759"/>
    <n v="0.49"/>
    <m/>
    <m/>
    <m/>
    <m/>
    <m/>
    <m/>
    <m/>
    <m/>
    <m/>
    <m/>
    <m/>
    <m/>
    <m/>
    <m/>
    <m/>
    <m/>
    <m/>
    <m/>
    <m/>
    <m/>
    <m/>
    <m/>
    <m/>
    <m/>
    <m/>
    <m/>
    <m/>
    <m/>
    <m/>
    <m/>
    <m/>
    <m/>
    <m/>
    <m/>
    <m/>
    <m/>
    <m/>
    <m/>
    <m/>
    <m/>
    <m/>
    <m/>
    <m/>
    <m/>
    <m/>
    <m/>
    <m/>
    <m/>
    <m/>
    <m/>
    <m/>
    <m/>
    <m/>
    <m/>
    <m/>
    <m/>
    <m/>
    <m/>
    <m/>
    <m/>
    <m/>
    <m/>
    <m/>
    <m/>
    <m/>
    <m/>
    <m/>
    <m/>
    <m/>
    <m/>
    <m/>
    <m/>
    <m/>
    <m/>
    <m/>
    <m/>
    <m/>
    <m/>
    <m/>
    <m/>
    <m/>
    <s v="YES"/>
    <s v="December"/>
    <n v="2016"/>
    <s v="YES"/>
    <s v="YES"/>
    <s v="September"/>
    <m/>
    <s v="No further comment"/>
    <x v="1"/>
    <s v="NO"/>
    <m/>
    <m/>
    <s v="YES"/>
    <m/>
    <m/>
    <s v="NO"/>
    <m/>
    <m/>
    <x v="0"/>
    <m/>
    <x v="3"/>
    <m/>
    <x v="1"/>
    <x v="0"/>
    <s v="YES"/>
    <x v="0"/>
    <x v="0"/>
    <x v="0"/>
    <x v="0"/>
    <n v="4"/>
    <x v="1"/>
    <x v="1"/>
    <x v="1"/>
    <x v="1"/>
    <x v="1"/>
    <x v="1"/>
    <n v="4"/>
    <x v="1"/>
    <x v="1"/>
    <x v="0"/>
    <x v="0"/>
    <x v="3"/>
    <n v="1"/>
    <x v="3"/>
    <x v="1"/>
    <m/>
    <m/>
    <m/>
    <m/>
    <x v="1"/>
    <m/>
    <m/>
    <s v="The need to include the local authorites in beneficiary selection"/>
    <s v="The project ensured that female headed households were given priority"/>
    <s v="The feedback response mechanism collected feedback that the team incorporated into the project"/>
    <s v="The incluson of village elders ensured that there was no clan conflict"/>
    <s v="Importance of usining livestock vouchers in re-stocking"/>
    <m/>
    <m/>
    <s v="Quarter 3 project report"/>
    <n v="24442"/>
    <n v="0"/>
    <n v="0"/>
    <n v="0.48997627035430819"/>
    <s v=""/>
    <n v="11976"/>
    <n v="0"/>
    <n v="1"/>
    <n v="24442"/>
    <n v="0"/>
    <n v="0"/>
    <n v="1"/>
    <n v="4405"/>
    <n v="0"/>
    <n v="0"/>
    <s v=""/>
    <n v="0"/>
    <n v="0"/>
    <s v=""/>
    <s v=""/>
    <n v="0"/>
    <n v="0"/>
    <s v=""/>
    <s v=""/>
    <n v="0"/>
    <n v="0"/>
    <s v=""/>
    <s v="2. Sensitive"/>
    <s v="2. Accommodating"/>
    <s v="1. Neutral"/>
    <s v="It did not develop any specific innovation"/>
    <s v="Moderate advocacy"/>
    <s v="It took tested solutions to scale on its own"/>
  </r>
  <r>
    <x v="65"/>
    <x v="3"/>
    <m/>
    <s v="Emergency food security response project"/>
    <s v="Somalia"/>
    <s v="OCHAS00011"/>
    <s v="No CARE member related to the project/initiative"/>
    <s v="Multilateral agency"/>
    <s v="UN - United Nations agencies/offices"/>
    <s v="UN OCHA"/>
    <m/>
    <m/>
    <m/>
    <m/>
    <m/>
    <m/>
    <m/>
    <m/>
    <m/>
    <m/>
    <m/>
    <m/>
    <m/>
    <m/>
    <m/>
    <m/>
    <m/>
    <m/>
    <m/>
    <m/>
    <m/>
    <m/>
    <m/>
    <m/>
    <m/>
    <m/>
    <m/>
    <m/>
    <m/>
    <m/>
    <m/>
    <m/>
    <m/>
    <m/>
    <m/>
    <m/>
    <m/>
    <m/>
    <m/>
    <m/>
    <m/>
    <m/>
    <m/>
    <m/>
    <m/>
    <d v="2017-02-01T00:00:00"/>
    <d v="2017-05-31T00:00:00"/>
    <m/>
    <s v="Humanitarian Other"/>
    <n v="900000"/>
    <s v="Ibrahim Hassan"/>
    <s v="Emergency director"/>
    <s v="ibrahim.hassan@care.org"/>
    <s v="Elmi Abdinur"/>
    <s v="Humanitarian coordinator"/>
    <s v="elmi.nur@care.org"/>
    <s v="YES"/>
    <s v="NO"/>
    <s v="NO"/>
    <s v="To meet immediate food and non food items among disaster-affected and vulnerable host communities in Sanaag &amp; Sool regions in Somalia by increasing access to basic services"/>
    <s v="National"/>
    <s v="Sanaag &amp; Sool regions in Somalia"/>
    <s v="Disaster-affected and vulnerable host communities who include women, men, youth, boys and girls"/>
    <n v="13891"/>
    <n v="13196"/>
    <n v="27087"/>
    <m/>
    <m/>
    <m/>
    <s v="These are the family size individuals counted as direct beneficiaries who received cash transfers and food vouchers"/>
    <m/>
    <n v="13891"/>
    <n v="13196"/>
    <n v="27087"/>
    <m/>
    <m/>
    <m/>
    <s v="NO"/>
    <m/>
    <m/>
    <m/>
    <s v="YES"/>
    <n v="27087"/>
    <n v="0.51"/>
    <m/>
    <s v="NO"/>
    <m/>
    <m/>
    <m/>
    <s v="YES"/>
    <n v="27087"/>
    <n v="0.51"/>
    <m/>
    <s v="NO"/>
    <m/>
    <m/>
    <m/>
    <s v="NO"/>
    <m/>
    <m/>
    <m/>
    <s v="NO"/>
    <m/>
    <m/>
    <m/>
    <s v="NO"/>
    <m/>
    <m/>
    <m/>
    <s v="NO"/>
    <m/>
    <m/>
    <m/>
    <s v="NO"/>
    <m/>
    <m/>
    <m/>
    <s v="NO"/>
    <m/>
    <m/>
    <m/>
    <s v="NO"/>
    <m/>
    <m/>
    <m/>
    <m/>
    <m/>
    <m/>
    <m/>
    <m/>
    <m/>
    <m/>
    <m/>
    <m/>
    <m/>
    <m/>
    <m/>
    <m/>
    <m/>
    <m/>
    <m/>
    <m/>
    <m/>
    <m/>
    <m/>
    <m/>
    <m/>
    <m/>
    <m/>
    <m/>
    <m/>
    <m/>
    <m/>
    <m/>
    <m/>
    <m/>
    <m/>
    <m/>
    <m/>
    <m/>
    <m/>
    <m/>
    <m/>
    <m/>
    <m/>
    <m/>
    <m/>
    <m/>
    <m/>
    <m/>
    <m/>
    <m/>
    <m/>
    <m/>
    <m/>
    <m/>
    <m/>
    <m/>
    <m/>
    <m/>
    <m/>
    <m/>
    <m/>
    <m/>
    <m/>
    <m/>
    <m/>
    <m/>
    <m/>
    <m/>
    <m/>
    <m/>
    <m/>
    <m/>
    <m/>
    <m/>
    <m/>
    <m/>
    <m/>
    <m/>
    <m/>
    <m/>
    <m/>
    <m/>
    <m/>
    <s v="NO"/>
    <m/>
    <m/>
    <s v="NO"/>
    <s v="NO"/>
    <m/>
    <m/>
    <m/>
    <x v="1"/>
    <s v="NO"/>
    <s v="YES"/>
    <s v="YES"/>
    <s v="YES"/>
    <s v="NO"/>
    <s v="NO"/>
    <s v="NO"/>
    <s v="NO"/>
    <m/>
    <x v="0"/>
    <m/>
    <x v="3"/>
    <m/>
    <x v="1"/>
    <x v="0"/>
    <s v="YES"/>
    <x v="0"/>
    <x v="0"/>
    <x v="0"/>
    <x v="0"/>
    <n v="4"/>
    <x v="1"/>
    <x v="1"/>
    <x v="1"/>
    <x v="1"/>
    <x v="1"/>
    <x v="1"/>
    <n v="4"/>
    <x v="1"/>
    <x v="1"/>
    <x v="0"/>
    <x v="1"/>
    <x v="3"/>
    <n v="2"/>
    <x v="0"/>
    <x v="0"/>
    <m/>
    <m/>
    <m/>
    <m/>
    <x v="1"/>
    <m/>
    <s v="No changes occurred"/>
    <s v="The need to include the local authorites in beneficiary selection"/>
    <s v="The projectensured that female headed households were given prioroty"/>
    <s v="The feedback response mechanism collected feedback that the team incorporated into the project"/>
    <s v="The incluson of village elders ensured that there was no clan conflict"/>
    <m/>
    <m/>
    <m/>
    <s v="End of project report"/>
    <n v="27087"/>
    <n v="0"/>
    <n v="0"/>
    <n v="0.51282903237715505"/>
    <s v=""/>
    <n v="13891"/>
    <n v="0"/>
    <n v="1"/>
    <n v="27087"/>
    <n v="0"/>
    <n v="0"/>
    <n v="1"/>
    <n v="27087"/>
    <n v="0"/>
    <n v="0"/>
    <s v=""/>
    <n v="0"/>
    <n v="0"/>
    <s v=""/>
    <s v=""/>
    <n v="0"/>
    <n v="0"/>
    <s v=""/>
    <s v=""/>
    <n v="0"/>
    <n v="0"/>
    <s v=""/>
    <s v="2. Sensitive"/>
    <s v="2. Accommodating"/>
    <s v="1. Neutral"/>
    <s v="It did not develop any specific innovation"/>
    <s v="Moderate advocacy"/>
    <s v="It took tested solutions to scale on its own"/>
  </r>
  <r>
    <x v="65"/>
    <x v="3"/>
    <n v="3333"/>
    <s v="Emergency Livelihoods and WASH Project for drought and conflict affected populations in Lower Juba region, Somalia - 2016"/>
    <s v="Somalia"/>
    <s v="CCANSO0005"/>
    <s v="CARE Canada"/>
    <s v="Government"/>
    <s v="Government - Canada"/>
    <s v="DFATD-Canada"/>
    <m/>
    <m/>
    <m/>
    <m/>
    <m/>
    <m/>
    <m/>
    <m/>
    <m/>
    <m/>
    <m/>
    <m/>
    <m/>
    <m/>
    <m/>
    <m/>
    <m/>
    <m/>
    <m/>
    <m/>
    <m/>
    <m/>
    <m/>
    <m/>
    <m/>
    <m/>
    <m/>
    <m/>
    <m/>
    <m/>
    <m/>
    <m/>
    <m/>
    <m/>
    <m/>
    <m/>
    <m/>
    <m/>
    <m/>
    <m/>
    <m/>
    <m/>
    <m/>
    <m/>
    <m/>
    <d v="2016-03-15T00:00:00"/>
    <d v="2017-06-30T00:00:00"/>
    <m/>
    <s v="Humanitarian Other"/>
    <n v="1652333.6633663401"/>
    <s v="Ibrahim Hassan"/>
    <s v="Emergency director"/>
    <s v="ibrahim.hassan@care.org"/>
    <s v="Elmi Abdinur"/>
    <s v="Humanitarian coordinator"/>
    <s v="elmi.nur@care.org"/>
    <s v="YES"/>
    <s v="NO"/>
    <s v="NO"/>
    <s v="To alleviate suffering and reduce vulnerability among disaster-affected and vulnerable host communities in Lower Juba regions in Somalia by increasing access to basic services"/>
    <s v="Sub-National"/>
    <s v="Lower Juba regions in Somalia"/>
    <s v="Disaster-affected and vulnerable host communities who include women, men, youth, boys and girls"/>
    <n v="8976"/>
    <n v="8624"/>
    <n v="17600"/>
    <m/>
    <m/>
    <m/>
    <s v="The direct beneficiaries have been calculated by adding up the family size of individuals benefitting from the project sectors"/>
    <m/>
    <n v="8976"/>
    <n v="8624"/>
    <n v="17600"/>
    <m/>
    <m/>
    <m/>
    <s v="NO"/>
    <m/>
    <m/>
    <m/>
    <s v="YES"/>
    <n v="5500"/>
    <m/>
    <m/>
    <s v="NO"/>
    <m/>
    <m/>
    <m/>
    <s v="YES"/>
    <n v="12100"/>
    <m/>
    <m/>
    <s v="NO"/>
    <m/>
    <m/>
    <m/>
    <s v="NO"/>
    <m/>
    <m/>
    <m/>
    <s v="NO"/>
    <m/>
    <m/>
    <m/>
    <s v="NO"/>
    <m/>
    <m/>
    <m/>
    <s v="NO"/>
    <m/>
    <m/>
    <m/>
    <s v="NO"/>
    <m/>
    <m/>
    <m/>
    <s v="NO"/>
    <m/>
    <m/>
    <m/>
    <s v="YES"/>
    <n v="12100"/>
    <m/>
    <m/>
    <m/>
    <m/>
    <m/>
    <m/>
    <m/>
    <m/>
    <m/>
    <m/>
    <m/>
    <m/>
    <m/>
    <m/>
    <m/>
    <m/>
    <m/>
    <m/>
    <m/>
    <m/>
    <m/>
    <m/>
    <m/>
    <m/>
    <m/>
    <m/>
    <m/>
    <m/>
    <m/>
    <m/>
    <m/>
    <m/>
    <m/>
    <m/>
    <m/>
    <m/>
    <m/>
    <m/>
    <m/>
    <m/>
    <m/>
    <m/>
    <m/>
    <m/>
    <m/>
    <m/>
    <m/>
    <m/>
    <m/>
    <m/>
    <m/>
    <m/>
    <m/>
    <m/>
    <m/>
    <m/>
    <m/>
    <m/>
    <m/>
    <m/>
    <m/>
    <m/>
    <m/>
    <m/>
    <m/>
    <m/>
    <m/>
    <m/>
    <m/>
    <m/>
    <m/>
    <m/>
    <m/>
    <m/>
    <m/>
    <m/>
    <m/>
    <m/>
    <m/>
    <m/>
    <m/>
    <m/>
    <s v="YES"/>
    <s v="August"/>
    <n v="2017"/>
    <s v="NO"/>
    <s v="NO"/>
    <m/>
    <m/>
    <m/>
    <x v="1"/>
    <s v="NO"/>
    <s v="YES"/>
    <s v="YES"/>
    <s v="YES"/>
    <s v="NO"/>
    <s v="NO"/>
    <s v="NO"/>
    <s v="NO"/>
    <m/>
    <x v="1"/>
    <m/>
    <x v="3"/>
    <m/>
    <x v="1"/>
    <x v="0"/>
    <s v="YES"/>
    <x v="0"/>
    <x v="0"/>
    <x v="0"/>
    <x v="0"/>
    <n v="4"/>
    <x v="1"/>
    <x v="1"/>
    <x v="1"/>
    <x v="1"/>
    <x v="1"/>
    <x v="1"/>
    <n v="4"/>
    <x v="1"/>
    <x v="1"/>
    <x v="0"/>
    <x v="0"/>
    <x v="3"/>
    <n v="1"/>
    <x v="0"/>
    <x v="0"/>
    <m/>
    <s v="Local NGO(s)/CSO(s)"/>
    <m/>
    <m/>
    <x v="1"/>
    <m/>
    <s v="No changes"/>
    <s v="The project ensured that female headed households were given priority"/>
    <s v="The feedback response mechanism collected feedback that the team incorporated into the project"/>
    <s v="The incluson of village elders ensured that there was no clan conflict"/>
    <s v="The cash for work tools being handed overo the community to ensure they use them whenever they needed to carry out an activity"/>
    <s v="The need to have separate cash for work activities for men and women"/>
    <m/>
    <m/>
    <s v="End of project project"/>
    <n v="17600"/>
    <n v="0"/>
    <n v="0"/>
    <n v="0.51"/>
    <s v=""/>
    <n v="8976"/>
    <n v="0"/>
    <n v="1"/>
    <n v="17600"/>
    <n v="0"/>
    <n v="0"/>
    <n v="1"/>
    <n v="12100"/>
    <n v="0"/>
    <n v="0"/>
    <s v=""/>
    <n v="0"/>
    <n v="0"/>
    <s v=""/>
    <s v=""/>
    <n v="0"/>
    <n v="0"/>
    <s v=""/>
    <s v=""/>
    <n v="0"/>
    <n v="0"/>
    <s v=""/>
    <s v="2. Sensitive"/>
    <s v="2. Accommodating"/>
    <s v="1. Neutral"/>
    <s v="It tested new ways for fighting poverty, but did not measure results of innovation"/>
    <s v="Moderate advocacy"/>
    <s v="It took tested solutions to scale on its own"/>
  </r>
  <r>
    <x v="65"/>
    <x v="3"/>
    <n v="3326"/>
    <s v="Emergency Nutrition support for acute malnourished drought affected population"/>
    <s v="Somalia"/>
    <s v="OCHASO0009"/>
    <s v="No CARE member related to the project/initiative"/>
    <s v="Multilateral agency"/>
    <s v="UN - United Nations agencies/offices"/>
    <s v="UN OCHA"/>
    <m/>
    <m/>
    <m/>
    <m/>
    <m/>
    <m/>
    <m/>
    <m/>
    <m/>
    <m/>
    <m/>
    <m/>
    <m/>
    <m/>
    <m/>
    <m/>
    <m/>
    <m/>
    <m/>
    <m/>
    <m/>
    <m/>
    <m/>
    <m/>
    <m/>
    <m/>
    <m/>
    <m/>
    <m/>
    <m/>
    <m/>
    <m/>
    <m/>
    <m/>
    <m/>
    <m/>
    <m/>
    <m/>
    <m/>
    <m/>
    <m/>
    <m/>
    <m/>
    <m/>
    <m/>
    <d v="2016-03-01T00:00:00"/>
    <d v="2016-12-31T00:00:00"/>
    <m/>
    <s v="Humanitarian Other"/>
    <n v="215895"/>
    <s v="Ibrahim Hassan"/>
    <s v="Emergency director"/>
    <s v="ibrahim.hassan@care.org"/>
    <s v="Elmi Abdinur"/>
    <s v="Humanitarian coordinator"/>
    <s v="elmi.nur@care.org"/>
    <s v="YES"/>
    <s v="NO"/>
    <s v="NO"/>
    <s v="To provide emergency nutrition assistance that matches immediate needs of drought affected women and children (boys and girls) &lt; the age of 5 years in Bari region (Qardho and Bosaso) that are currently experiencing severe drought conditions"/>
    <s v="Sub-National"/>
    <s v="Qardho, Bossaso districts"/>
    <s v="Pregnant &amp; lactating mothers/women and children under 5 years"/>
    <n v="1750"/>
    <n v="1250"/>
    <n v="3000"/>
    <m/>
    <m/>
    <m/>
    <s v="These are the family size beneficiaries for individuals (children under 5 and pregnant &amp; lactating mothers)  who benefitted from IYCF, MAM &amp; SAM nutrition programs"/>
    <m/>
    <n v="1750"/>
    <n v="1250"/>
    <n v="3000"/>
    <m/>
    <m/>
    <m/>
    <s v="NO"/>
    <m/>
    <m/>
    <m/>
    <s v="NO"/>
    <m/>
    <m/>
    <m/>
    <s v="NO"/>
    <m/>
    <m/>
    <m/>
    <s v="YES"/>
    <n v="3000"/>
    <n v="0.49"/>
    <m/>
    <s v="NO"/>
    <m/>
    <m/>
    <m/>
    <s v="NO"/>
    <m/>
    <m/>
    <m/>
    <s v="NO"/>
    <m/>
    <m/>
    <m/>
    <s v="NO"/>
    <m/>
    <m/>
    <m/>
    <s v="NO"/>
    <m/>
    <m/>
    <m/>
    <s v="NO"/>
    <m/>
    <m/>
    <m/>
    <s v="NO"/>
    <m/>
    <m/>
    <m/>
    <s v="NO"/>
    <m/>
    <m/>
    <m/>
    <s v="IDP integration"/>
    <s v="YES"/>
    <n v="10805"/>
    <n v="0.7"/>
    <m/>
    <m/>
    <m/>
    <m/>
    <m/>
    <m/>
    <m/>
    <m/>
    <m/>
    <m/>
    <m/>
    <m/>
    <m/>
    <m/>
    <m/>
    <m/>
    <m/>
    <m/>
    <m/>
    <m/>
    <m/>
    <m/>
    <m/>
    <m/>
    <m/>
    <m/>
    <m/>
    <m/>
    <m/>
    <m/>
    <m/>
    <m/>
    <m/>
    <m/>
    <m/>
    <m/>
    <m/>
    <m/>
    <m/>
    <m/>
    <m/>
    <m/>
    <m/>
    <m/>
    <m/>
    <m/>
    <m/>
    <m/>
    <m/>
    <m/>
    <m/>
    <m/>
    <m/>
    <m/>
    <m/>
    <m/>
    <m/>
    <m/>
    <m/>
    <m/>
    <m/>
    <m/>
    <m/>
    <m/>
    <m/>
    <m/>
    <m/>
    <m/>
    <m/>
    <m/>
    <m/>
    <m/>
    <m/>
    <m/>
    <m/>
    <m/>
    <s v="NO"/>
    <m/>
    <m/>
    <s v="NO"/>
    <s v="NO"/>
    <m/>
    <m/>
    <m/>
    <x v="1"/>
    <s v="NO"/>
    <s v="YES"/>
    <s v="YES"/>
    <s v="YES"/>
    <s v="NO"/>
    <s v="NO"/>
    <s v="NO"/>
    <s v="NO"/>
    <m/>
    <x v="0"/>
    <m/>
    <x v="3"/>
    <m/>
    <x v="1"/>
    <x v="0"/>
    <s v="YES"/>
    <x v="0"/>
    <x v="0"/>
    <x v="0"/>
    <x v="0"/>
    <n v="4"/>
    <x v="1"/>
    <x v="1"/>
    <x v="1"/>
    <x v="1"/>
    <x v="1"/>
    <x v="1"/>
    <n v="4"/>
    <x v="1"/>
    <x v="1"/>
    <x v="0"/>
    <x v="1"/>
    <x v="3"/>
    <n v="2"/>
    <x v="0"/>
    <x v="0"/>
    <m/>
    <m/>
    <m/>
    <m/>
    <x v="1"/>
    <m/>
    <s v="No changes occurred"/>
    <s v="The community volunteers have a sustaining effect in the project areas as they are based in the community"/>
    <s v="The constant monitoring helped to ensure the nutritional supplementary food was put in proper use"/>
    <s v="More coordination with unicef in to obtain the RUSF and RUTF was a major milestone"/>
    <s v="Conducting more IYCF messaging campaigns help reduce the number of malnutrrition"/>
    <s v="The involvement with the ministry of health ensures that the community members embrace more the interventions"/>
    <s v="Constant verification of the nutrition records ensures proper records are maintained"/>
    <m/>
    <s v="End of project report"/>
    <n v="3000"/>
    <n v="0"/>
    <n v="0"/>
    <n v="0.58333333333333337"/>
    <s v=""/>
    <n v="1750"/>
    <n v="0"/>
    <n v="1"/>
    <n v="3000"/>
    <n v="0"/>
    <n v="0"/>
    <n v="1"/>
    <n v="3000"/>
    <n v="0"/>
    <n v="0"/>
    <s v=""/>
    <n v="0"/>
    <n v="0"/>
    <s v=""/>
    <s v=""/>
    <n v="0"/>
    <n v="0"/>
    <s v=""/>
    <s v=""/>
    <n v="0"/>
    <n v="0"/>
    <s v=""/>
    <s v="2. Sensitive"/>
    <s v="2. Accommodating"/>
    <s v="1. Neutral"/>
    <s v="It did not develop any specific innovation"/>
    <s v="Moderate advocacy"/>
    <s v="It took tested solutions to scale on its own"/>
  </r>
  <r>
    <x v="65"/>
    <x v="3"/>
    <m/>
    <s v="EMERGENCY RESPONSE FOR DISASTER AFFECTED COMMUNITIES"/>
    <s v="Somalia"/>
    <s v="CNLDSO0071"/>
    <s v="CARE Nederland"/>
    <s v="Multilateral agency"/>
    <s v="ECHO - European Commission for Humanitarian Aid and Civil Protection"/>
    <s v="ECHO"/>
    <m/>
    <m/>
    <m/>
    <m/>
    <m/>
    <m/>
    <m/>
    <m/>
    <m/>
    <m/>
    <m/>
    <m/>
    <m/>
    <m/>
    <m/>
    <m/>
    <m/>
    <m/>
    <m/>
    <m/>
    <m/>
    <m/>
    <m/>
    <m/>
    <m/>
    <m/>
    <m/>
    <m/>
    <m/>
    <m/>
    <m/>
    <m/>
    <m/>
    <m/>
    <m/>
    <m/>
    <m/>
    <m/>
    <m/>
    <m/>
    <m/>
    <m/>
    <m/>
    <m/>
    <m/>
    <d v="2017-05-01T00:00:00"/>
    <d v="2017-12-30T00:00:00"/>
    <m/>
    <s v="Humanitarian Other"/>
    <n v="915200"/>
    <s v="Ibrahim Hassan"/>
    <s v="Emergency director"/>
    <s v="ibrahim.hassan@care.org"/>
    <s v="Elmi Abdinur"/>
    <s v="Humanitarian coordinator"/>
    <s v="elmi.nur@care.org"/>
    <s v="YES"/>
    <s v="NO"/>
    <s v="NO"/>
    <s v="To alleviate suffering and reduce vulnerability among disaster-affected and vulnerable host communities in Sanaag, Bari, Banadir regions in Somalia by increasing access to basic services"/>
    <s v="National"/>
    <s v="Sanaag, Bari, Banadir regions in Somalia"/>
    <s v="Disaster-affected and vulnerable host communities who include women, men, youth, boys and girls"/>
    <n v="38211"/>
    <n v="36765"/>
    <m/>
    <m/>
    <m/>
    <m/>
    <s v="This comprised of food security, WASH and Nutrition beneficiaries who were directly benefitting from the project sectors"/>
    <m/>
    <n v="36765"/>
    <n v="38211"/>
    <n v="74976"/>
    <m/>
    <m/>
    <m/>
    <s v="NO"/>
    <m/>
    <m/>
    <m/>
    <s v="YES"/>
    <n v="1696"/>
    <n v="0.49"/>
    <m/>
    <s v="NO"/>
    <m/>
    <m/>
    <m/>
    <s v="YES"/>
    <n v="1074"/>
    <n v="0.7"/>
    <m/>
    <s v="NO"/>
    <m/>
    <m/>
    <m/>
    <s v="NO"/>
    <m/>
    <m/>
    <m/>
    <s v="NO"/>
    <m/>
    <m/>
    <m/>
    <s v="NO"/>
    <m/>
    <m/>
    <m/>
    <s v="NO"/>
    <m/>
    <m/>
    <m/>
    <s v="NO"/>
    <m/>
    <m/>
    <m/>
    <s v="NO"/>
    <m/>
    <m/>
    <m/>
    <s v="YES"/>
    <n v="72206"/>
    <n v="0.49"/>
    <m/>
    <m/>
    <m/>
    <m/>
    <m/>
    <m/>
    <m/>
    <m/>
    <m/>
    <m/>
    <m/>
    <m/>
    <m/>
    <m/>
    <m/>
    <m/>
    <m/>
    <m/>
    <m/>
    <m/>
    <m/>
    <m/>
    <m/>
    <m/>
    <m/>
    <m/>
    <m/>
    <m/>
    <m/>
    <m/>
    <m/>
    <m/>
    <m/>
    <m/>
    <m/>
    <m/>
    <m/>
    <m/>
    <m/>
    <m/>
    <m/>
    <m/>
    <m/>
    <m/>
    <m/>
    <m/>
    <m/>
    <m/>
    <m/>
    <m/>
    <m/>
    <m/>
    <m/>
    <m/>
    <m/>
    <m/>
    <m/>
    <m/>
    <m/>
    <m/>
    <m/>
    <m/>
    <m/>
    <m/>
    <m/>
    <m/>
    <m/>
    <m/>
    <m/>
    <m/>
    <m/>
    <m/>
    <m/>
    <m/>
    <m/>
    <m/>
    <m/>
    <m/>
    <m/>
    <m/>
    <m/>
    <s v="NO"/>
    <m/>
    <m/>
    <s v="NO"/>
    <s v="YES"/>
    <s v="December"/>
    <n v="2017"/>
    <m/>
    <x v="1"/>
    <s v="NO"/>
    <s v="YES"/>
    <s v="YES"/>
    <s v="YES"/>
    <s v="NO"/>
    <s v="NO"/>
    <s v="YES"/>
    <s v="NO"/>
    <m/>
    <x v="0"/>
    <m/>
    <x v="3"/>
    <m/>
    <x v="1"/>
    <x v="0"/>
    <s v="YES"/>
    <x v="0"/>
    <x v="0"/>
    <x v="0"/>
    <x v="0"/>
    <n v="4"/>
    <x v="1"/>
    <x v="1"/>
    <x v="1"/>
    <x v="1"/>
    <x v="1"/>
    <x v="1"/>
    <n v="4"/>
    <x v="0"/>
    <x v="1"/>
    <x v="0"/>
    <x v="0"/>
    <x v="0"/>
    <n v="1"/>
    <x v="0"/>
    <x v="0"/>
    <m/>
    <s v="Local NGO(s)/CSO(s)"/>
    <m/>
    <m/>
    <x v="1"/>
    <m/>
    <s v="No changes"/>
    <s v="The project ensured that female headed households were given priority"/>
    <s v="The feedback response mechanism collected feedback that the team incorporated into the project"/>
    <s v="The incluson of village elders ensured that there was no clan conflict"/>
    <s v="Importance of selection criteria for targeting beneficiaries"/>
    <s v="The need to include the local authorites in beneficiary selection"/>
    <m/>
    <m/>
    <s v="Interim project report"/>
    <n v="74976"/>
    <n v="0"/>
    <n v="0"/>
    <n v="0.49035691421254801"/>
    <s v=""/>
    <n v="36765"/>
    <n v="0"/>
    <n v="1"/>
    <n v="74976"/>
    <n v="0"/>
    <n v="0"/>
    <n v="1"/>
    <n v="1074"/>
    <n v="0"/>
    <n v="0"/>
    <s v=""/>
    <n v="0"/>
    <n v="0"/>
    <s v=""/>
    <s v=""/>
    <n v="0"/>
    <n v="0"/>
    <s v=""/>
    <s v=""/>
    <n v="0"/>
    <n v="0"/>
    <s v=""/>
    <s v="2. Sensitive"/>
    <s v="2. Accommodating"/>
    <s v="No marker score"/>
    <s v="It did not develop any specific innovation"/>
    <s v="Moderate advocacy"/>
    <s v="It took tested solutions to scale on its own"/>
  </r>
  <r>
    <x v="65"/>
    <x v="3"/>
    <n v="3350"/>
    <s v="Every Voices Count Project"/>
    <s v="Somalia"/>
    <s v="NL173"/>
    <s v="CARE Nederland"/>
    <s v="Government"/>
    <s v="Government - Netherlands"/>
    <s v="Ministry of Foreign Affairs of the Netherlands"/>
    <m/>
    <m/>
    <m/>
    <m/>
    <m/>
    <m/>
    <m/>
    <m/>
    <m/>
    <m/>
    <m/>
    <m/>
    <m/>
    <m/>
    <m/>
    <m/>
    <m/>
    <m/>
    <m/>
    <m/>
    <m/>
    <m/>
    <m/>
    <m/>
    <m/>
    <m/>
    <m/>
    <m/>
    <m/>
    <m/>
    <m/>
    <m/>
    <m/>
    <m/>
    <m/>
    <m/>
    <m/>
    <m/>
    <m/>
    <m/>
    <m/>
    <m/>
    <m/>
    <m/>
    <m/>
    <d v="2016-01-01T00:00:00"/>
    <d v="2020-12-31T00:00:00"/>
    <m/>
    <s v="Development Other"/>
    <n v="2180357"/>
    <s v="Ibrahim Nur"/>
    <s v="Program Coordinator - Urban Youth programme, CARE Somalia"/>
    <s v="Nur.Ibrahim@care.org"/>
    <s v="Khadra Yusuf Jama"/>
    <s v="Youth Empowerment Manager"/>
    <s v="Khadra@care.org"/>
    <s v="YES"/>
    <s v="YES"/>
    <s v="YES"/>
    <s v="Young women and men in Puntland and South Central Somalia are represented, are able to have their voices heard, and influence decision making that affects their lives through participation in informal and formal governance mechanisms and decision-making processes, including the federal election and the finalization of the federal constitution"/>
    <s v="National"/>
    <s v="Puntland and South Central Somalia"/>
    <s v="Young women and men in Puntland and South Central Somalia"/>
    <n v="535"/>
    <n v="1145"/>
    <n v="1680"/>
    <n v="19707"/>
    <n v="27253"/>
    <n v="46960"/>
    <s v="Civil society representatives, Young women and men in Puntland and South Central Somalia, Local authorities in Garowe, Bosaaso, Galkayo, Mogadishu and Lower Shebelle, and state and federal authorities"/>
    <m/>
    <n v="268"/>
    <n v="328"/>
    <n v="596"/>
    <n v="1017"/>
    <n v="1658"/>
    <n v="2675"/>
    <m/>
    <m/>
    <m/>
    <m/>
    <m/>
    <m/>
    <m/>
    <m/>
    <m/>
    <m/>
    <m/>
    <m/>
    <m/>
    <m/>
    <m/>
    <m/>
    <m/>
    <m/>
    <m/>
    <m/>
    <s v="YES"/>
    <n v="596"/>
    <n v="0.45"/>
    <n v="2675"/>
    <m/>
    <m/>
    <m/>
    <m/>
    <m/>
    <m/>
    <m/>
    <m/>
    <m/>
    <m/>
    <m/>
    <m/>
    <m/>
    <m/>
    <m/>
    <m/>
    <m/>
    <m/>
    <m/>
    <m/>
    <m/>
    <m/>
    <m/>
    <m/>
    <m/>
    <m/>
    <m/>
    <m/>
    <m/>
    <n v="268"/>
    <n v="328"/>
    <n v="596"/>
    <n v="1017"/>
    <n v="1658"/>
    <n v="2675"/>
    <m/>
    <m/>
    <m/>
    <m/>
    <m/>
    <m/>
    <m/>
    <m/>
    <m/>
    <m/>
    <m/>
    <m/>
    <m/>
    <m/>
    <m/>
    <m/>
    <m/>
    <m/>
    <m/>
    <m/>
    <m/>
    <m/>
    <m/>
    <m/>
    <m/>
    <m/>
    <m/>
    <m/>
    <m/>
    <m/>
    <m/>
    <m/>
    <m/>
    <m/>
    <m/>
    <m/>
    <m/>
    <m/>
    <m/>
    <m/>
    <m/>
    <m/>
    <m/>
    <m/>
    <m/>
    <m/>
    <m/>
    <m/>
    <s v="YES"/>
    <n v="596"/>
    <m/>
    <m/>
    <m/>
    <m/>
    <m/>
    <m/>
    <m/>
    <m/>
    <m/>
    <m/>
    <m/>
    <m/>
    <m/>
    <m/>
    <m/>
    <m/>
    <m/>
    <m/>
    <m/>
    <m/>
    <m/>
    <m/>
    <m/>
    <s v="NO"/>
    <m/>
    <m/>
    <m/>
    <x v="2"/>
    <s v="YES"/>
    <s v="YES"/>
    <s v="YES"/>
    <s v="YES"/>
    <s v="YES"/>
    <s v="YES"/>
    <s v="YES"/>
    <m/>
    <m/>
    <x v="0"/>
    <s v="advocay and leadership capacity building for youth"/>
    <x v="1"/>
    <s v="Girl challenge education"/>
    <x v="1"/>
    <x v="0"/>
    <s v="NO"/>
    <x v="0"/>
    <x v="0"/>
    <x v="0"/>
    <x v="1"/>
    <n v="3"/>
    <x v="1"/>
    <x v="1"/>
    <x v="0"/>
    <x v="1"/>
    <x v="0"/>
    <x v="4"/>
    <n v="2"/>
    <x v="0"/>
    <x v="2"/>
    <x v="0"/>
    <x v="1"/>
    <x v="0"/>
    <n v="1"/>
    <x v="2"/>
    <x v="2"/>
    <m/>
    <s v="Local NGO(s)/CSO(s)"/>
    <s v="Local alliance(s)/Platform(s)/Network(s) of  NGOs/CSOs"/>
    <s v="Local government(s)"/>
    <x v="0"/>
    <m/>
    <s v="in FY3  of EVC project there is some changes in  the project pathways  and domains of changes,  in FY2 in  order to improve the  quality of the report the project adopted AAR Tool (after Action Review) to assess if the interventions will help us achieve the intended objective."/>
    <s v="Engaging informal powerholder during the ellection"/>
    <s v="social hall meeting between Youth and powerholders"/>
    <s v="enagaging youth role model to inspire the fellow Youth"/>
    <m/>
    <m/>
    <m/>
    <m/>
    <m/>
    <n v="596"/>
    <n v="2675"/>
    <n v="4.4882550335570466"/>
    <n v="0.44966442953020136"/>
    <n v="0.38018691588785047"/>
    <n v="268"/>
    <n v="1017"/>
    <n v="1"/>
    <n v="596"/>
    <n v="2675"/>
    <n v="4.4882550335570466"/>
    <s v=""/>
    <n v="0"/>
    <n v="0"/>
    <s v=""/>
    <s v=""/>
    <n v="0"/>
    <n v="0"/>
    <s v=""/>
    <s v=""/>
    <n v="0"/>
    <n v="0"/>
    <s v=""/>
    <s v=""/>
    <n v="0"/>
    <n v="0"/>
    <s v=""/>
    <s v="1. Neutral"/>
    <s v="1. Tokenistic"/>
    <s v="No marker score"/>
    <s v="It did not develop any specific innovation"/>
    <s v="Intensive advocacy"/>
    <s v="It linked and worked with strategic alliances and partners to take tested and effective solutions to scale"/>
  </r>
  <r>
    <x v="65"/>
    <x v="3"/>
    <m/>
    <s v="GBV Prevention and Response in IDP Communities Project"/>
    <s v="Somalia"/>
    <s v="UNHCSO0001"/>
    <s v="No CARE member related to the project/initiative"/>
    <s v="Multilateral agency"/>
    <s v="UN - United Nations agencies/offices"/>
    <s v="UNHCR"/>
    <m/>
    <m/>
    <m/>
    <m/>
    <m/>
    <m/>
    <m/>
    <m/>
    <m/>
    <m/>
    <m/>
    <m/>
    <m/>
    <m/>
    <m/>
    <m/>
    <m/>
    <m/>
    <m/>
    <m/>
    <m/>
    <m/>
    <m/>
    <m/>
    <m/>
    <m/>
    <m/>
    <m/>
    <m/>
    <m/>
    <m/>
    <m/>
    <m/>
    <m/>
    <m/>
    <m/>
    <m/>
    <m/>
    <m/>
    <m/>
    <m/>
    <m/>
    <m/>
    <m/>
    <m/>
    <d v="2017-02-01T00:00:00"/>
    <d v="2017-12-31T00:00:00"/>
    <m/>
    <s v="Humanitarian Other"/>
    <n v="263987"/>
    <s v="Ibrahim Hassan"/>
    <s v="Emergency director"/>
    <s v="ibrahim.hassan@care.org"/>
    <s v="Elmi Abdinur"/>
    <s v="Humanitarian coordinator"/>
    <s v="elmi.nur@care.org"/>
    <s v="YES"/>
    <s v="NO"/>
    <s v="NO"/>
    <s v="GBV Prevention and Response in IDP Communities Project"/>
    <s v="Sub-National"/>
    <s v="Sanaag, Bari &amp; Nugaal regions in Somalia"/>
    <s v="Vulnerable IDPs and host communities who include women, men, youth, boys and girls"/>
    <n v="7000"/>
    <n v="2800"/>
    <n v="9800"/>
    <n v="20000"/>
    <n v="6000"/>
    <n v="26000"/>
    <s v="They are vulnerable GBV survivors and those reached through GBV community awareness which reached approximately 26000 indirect beneficiaries"/>
    <m/>
    <n v="7000"/>
    <n v="2800"/>
    <n v="9800"/>
    <n v="20000"/>
    <n v="6000"/>
    <n v="26000"/>
    <s v="NO"/>
    <m/>
    <m/>
    <m/>
    <s v="NO"/>
    <m/>
    <m/>
    <m/>
    <s v="NO"/>
    <m/>
    <m/>
    <m/>
    <s v="NO"/>
    <m/>
    <m/>
    <m/>
    <s v="NO"/>
    <m/>
    <m/>
    <m/>
    <s v="NO"/>
    <m/>
    <m/>
    <m/>
    <s v="NO"/>
    <m/>
    <m/>
    <m/>
    <s v="NO"/>
    <m/>
    <m/>
    <m/>
    <s v="YES"/>
    <n v="9800"/>
    <m/>
    <m/>
    <s v="NO"/>
    <m/>
    <m/>
    <m/>
    <s v="NO"/>
    <m/>
    <m/>
    <m/>
    <s v="NO"/>
    <m/>
    <m/>
    <m/>
    <m/>
    <m/>
    <m/>
    <m/>
    <m/>
    <m/>
    <m/>
    <m/>
    <m/>
    <m/>
    <m/>
    <m/>
    <m/>
    <m/>
    <m/>
    <m/>
    <m/>
    <m/>
    <m/>
    <m/>
    <m/>
    <m/>
    <m/>
    <m/>
    <m/>
    <m/>
    <m/>
    <m/>
    <m/>
    <m/>
    <m/>
    <m/>
    <m/>
    <m/>
    <m/>
    <m/>
    <m/>
    <m/>
    <m/>
    <m/>
    <m/>
    <m/>
    <m/>
    <m/>
    <m/>
    <m/>
    <m/>
    <m/>
    <m/>
    <m/>
    <m/>
    <m/>
    <m/>
    <m/>
    <m/>
    <m/>
    <m/>
    <m/>
    <m/>
    <m/>
    <m/>
    <m/>
    <m/>
    <m/>
    <m/>
    <m/>
    <m/>
    <m/>
    <m/>
    <m/>
    <m/>
    <m/>
    <m/>
    <m/>
    <m/>
    <m/>
    <m/>
    <m/>
    <m/>
    <m/>
    <s v="NO"/>
    <m/>
    <m/>
    <s v="NO"/>
    <s v="NO"/>
    <m/>
    <m/>
    <m/>
    <x v="2"/>
    <s v="NO"/>
    <s v="YES"/>
    <s v="YES"/>
    <s v="YES"/>
    <s v="YES"/>
    <s v="NO"/>
    <s v="NO"/>
    <s v="NO"/>
    <m/>
    <x v="0"/>
    <m/>
    <x v="3"/>
    <m/>
    <x v="1"/>
    <x v="0"/>
    <s v="YES"/>
    <x v="0"/>
    <x v="0"/>
    <x v="0"/>
    <x v="0"/>
    <n v="4"/>
    <x v="1"/>
    <x v="1"/>
    <x v="1"/>
    <x v="1"/>
    <x v="1"/>
    <x v="1"/>
    <n v="4"/>
    <x v="1"/>
    <x v="1"/>
    <x v="0"/>
    <x v="1"/>
    <x v="3"/>
    <n v="2"/>
    <x v="0"/>
    <x v="1"/>
    <m/>
    <m/>
    <m/>
    <m/>
    <x v="1"/>
    <m/>
    <m/>
    <m/>
    <s v="The use of community gender focal points  has the sustainability effect"/>
    <s v="The criteria that was developed to target the most vulnerable IDP camps"/>
    <m/>
    <s v="To ensure that the local leaders are involved in sensitization campaigns"/>
    <m/>
    <m/>
    <s v="Quarter 2 project report"/>
    <n v="9800"/>
    <n v="26000"/>
    <n v="2.6530612244897958"/>
    <n v="0.7142857142857143"/>
    <n v="0.76923076923076927"/>
    <n v="7000"/>
    <n v="20000"/>
    <n v="1"/>
    <n v="9800"/>
    <n v="26000"/>
    <n v="2.6530612244897958"/>
    <s v=""/>
    <n v="0"/>
    <n v="0"/>
    <s v=""/>
    <s v=""/>
    <n v="0"/>
    <n v="0"/>
    <s v=""/>
    <s v=""/>
    <n v="0"/>
    <n v="0"/>
    <s v=""/>
    <s v=""/>
    <n v="0"/>
    <n v="0"/>
    <s v=""/>
    <s v="2. Sensitive"/>
    <s v="2. Accommodating"/>
    <s v="1. Neutral"/>
    <s v="It did not develop any specific innovation"/>
    <s v="Intensive advocacy"/>
    <s v="It took tested solutions to scale on its own"/>
  </r>
  <r>
    <x v="65"/>
    <x v="3"/>
    <m/>
    <s v="Help slachtoffers hongernood (SHO) Somalia"/>
    <s v="Somalia"/>
    <s v="CNLDSO0072"/>
    <s v="CARE Nederland"/>
    <s v="Other"/>
    <s v="Other"/>
    <s v="Help slachtoffers hongernood"/>
    <m/>
    <m/>
    <m/>
    <m/>
    <m/>
    <m/>
    <m/>
    <m/>
    <m/>
    <m/>
    <m/>
    <m/>
    <m/>
    <m/>
    <m/>
    <m/>
    <m/>
    <m/>
    <m/>
    <m/>
    <m/>
    <m/>
    <m/>
    <m/>
    <m/>
    <m/>
    <m/>
    <m/>
    <m/>
    <m/>
    <m/>
    <m/>
    <m/>
    <m/>
    <m/>
    <m/>
    <m/>
    <m/>
    <m/>
    <m/>
    <m/>
    <m/>
    <m/>
    <m/>
    <m/>
    <d v="2017-03-06T00:00:00"/>
    <d v="2018-02-28T00:00:00"/>
    <m/>
    <s v="Humanitarian Other"/>
    <n v="445078"/>
    <s v="Ibrahim Hassan"/>
    <s v="Emergency director"/>
    <s v="ibrahim.hassan@care.org"/>
    <s v="Elmi Abdinur"/>
    <s v="Humanitarian coordinator"/>
    <s v="elmi.nur@care.org"/>
    <s v="YES"/>
    <s v="NO"/>
    <s v="NO"/>
    <s v="To meet immediate food and non food items among disaster-affected and vulnerable host communities in  Baidoa in Somalia by increasing access to basic services"/>
    <s v="Sub-National"/>
    <s v="Baidoa region in Somalia"/>
    <s v="Disaster-affected and vulnerable host communities who include women, men, youth, boys and girls"/>
    <n v="2480"/>
    <n v="2357"/>
    <n v="4837"/>
    <m/>
    <m/>
    <m/>
    <s v="These are the family size individuals counted as direct beneficiaries who received food vouchers"/>
    <m/>
    <n v="2480"/>
    <n v="2357"/>
    <n v="4837"/>
    <m/>
    <m/>
    <m/>
    <s v="NO"/>
    <m/>
    <m/>
    <m/>
    <s v="YES"/>
    <n v="4837"/>
    <n v="0.51"/>
    <m/>
    <s v="NO"/>
    <m/>
    <m/>
    <m/>
    <s v="NO"/>
    <m/>
    <m/>
    <m/>
    <s v="NO"/>
    <m/>
    <m/>
    <m/>
    <s v="NO"/>
    <m/>
    <m/>
    <m/>
    <s v="NO"/>
    <m/>
    <m/>
    <m/>
    <s v="NO"/>
    <m/>
    <m/>
    <m/>
    <s v="NO"/>
    <m/>
    <m/>
    <m/>
    <s v="NO"/>
    <m/>
    <m/>
    <m/>
    <s v="NO"/>
    <m/>
    <m/>
    <m/>
    <s v="NO"/>
    <m/>
    <m/>
    <m/>
    <m/>
    <m/>
    <m/>
    <m/>
    <m/>
    <m/>
    <m/>
    <m/>
    <m/>
    <m/>
    <m/>
    <m/>
    <m/>
    <m/>
    <m/>
    <m/>
    <m/>
    <m/>
    <m/>
    <m/>
    <m/>
    <m/>
    <m/>
    <m/>
    <m/>
    <m/>
    <m/>
    <m/>
    <m/>
    <m/>
    <m/>
    <m/>
    <m/>
    <m/>
    <m/>
    <m/>
    <m/>
    <m/>
    <m/>
    <m/>
    <m/>
    <m/>
    <m/>
    <m/>
    <m/>
    <m/>
    <m/>
    <m/>
    <m/>
    <m/>
    <m/>
    <m/>
    <m/>
    <m/>
    <m/>
    <m/>
    <m/>
    <m/>
    <m/>
    <m/>
    <m/>
    <m/>
    <m/>
    <m/>
    <m/>
    <m/>
    <m/>
    <m/>
    <m/>
    <m/>
    <m/>
    <m/>
    <m/>
    <m/>
    <m/>
    <m/>
    <m/>
    <m/>
    <m/>
    <m/>
    <s v="NO"/>
    <m/>
    <m/>
    <s v="NO"/>
    <s v="NO"/>
    <m/>
    <m/>
    <m/>
    <x v="1"/>
    <s v="NO"/>
    <s v="YES"/>
    <s v="YES"/>
    <s v="YES"/>
    <s v="NO"/>
    <s v="NO"/>
    <s v="YES"/>
    <s v="NO"/>
    <m/>
    <x v="0"/>
    <m/>
    <x v="3"/>
    <m/>
    <x v="1"/>
    <x v="0"/>
    <s v="YES"/>
    <x v="0"/>
    <x v="0"/>
    <x v="0"/>
    <x v="0"/>
    <n v="4"/>
    <x v="1"/>
    <x v="1"/>
    <x v="1"/>
    <x v="1"/>
    <x v="1"/>
    <x v="1"/>
    <n v="4"/>
    <x v="1"/>
    <x v="1"/>
    <x v="1"/>
    <x v="2"/>
    <x v="3"/>
    <n v="2"/>
    <x v="0"/>
    <x v="2"/>
    <n v="1"/>
    <s v="Local NGO(s)/CSO(s)"/>
    <m/>
    <m/>
    <x v="1"/>
    <m/>
    <s v="No changes occurred"/>
    <s v="The need to include the local authorites in beneficiary selection"/>
    <s v="The project ensured that female headed households were given priority"/>
    <s v="The feedback response mechanism collected feedback that the team incorporated into the project"/>
    <s v="The incluson of village elders ensured that there was no clan conflict"/>
    <m/>
    <m/>
    <m/>
    <s v="End of month report"/>
    <n v="4837"/>
    <n v="0"/>
    <n v="0"/>
    <n v="0.51271449245400036"/>
    <s v=""/>
    <n v="2480"/>
    <n v="0"/>
    <n v="1"/>
    <n v="4837"/>
    <n v="0"/>
    <n v="0"/>
    <s v=""/>
    <n v="0"/>
    <n v="0"/>
    <s v=""/>
    <s v=""/>
    <n v="0"/>
    <n v="0"/>
    <s v=""/>
    <s v=""/>
    <n v="0"/>
    <n v="0"/>
    <s v=""/>
    <s v=""/>
    <n v="0"/>
    <n v="0"/>
    <s v=""/>
    <s v="2. Sensitive"/>
    <s v="2. Accommodating"/>
    <s v="1. Neutral"/>
    <s v="It did not develop any specific innovation"/>
    <s v="Moderate advocacy"/>
    <s v="It took tested solutions to scale on its own"/>
  </r>
  <r>
    <x v="65"/>
    <x v="3"/>
    <n v="3342"/>
    <s v="HORSEED BULSHO - CDD"/>
    <s v="Somalia"/>
    <s v="AS1XSO0001"/>
    <s v="CARE USA"/>
    <s v="Multilateral agency"/>
    <s v="Other"/>
    <s v="Somalia Stability Fund (SSF)"/>
    <m/>
    <m/>
    <m/>
    <m/>
    <m/>
    <m/>
    <m/>
    <m/>
    <m/>
    <m/>
    <m/>
    <m/>
    <m/>
    <m/>
    <m/>
    <m/>
    <m/>
    <m/>
    <m/>
    <m/>
    <m/>
    <m/>
    <m/>
    <m/>
    <m/>
    <m/>
    <m/>
    <m/>
    <m/>
    <m/>
    <m/>
    <m/>
    <m/>
    <m/>
    <m/>
    <m/>
    <m/>
    <m/>
    <m/>
    <m/>
    <m/>
    <m/>
    <m/>
    <m/>
    <m/>
    <d v="2015-02-12T00:00:00"/>
    <d v="2016-12-31T00:00:00"/>
    <d v="2017-02-28T00:00:00"/>
    <s v="Development Other"/>
    <n v="800000"/>
    <s v="Ahmed Hussein Osman"/>
    <s v="Team Leader"/>
    <s v="Ahmed.Hussein@care.org"/>
    <s v="Zahra Dahir"/>
    <s v="Monitoring &amp; Learning Coordinator"/>
    <s v="Zahra.Dahir@care.org"/>
    <s v="NO"/>
    <s v="YES"/>
    <s v="NO"/>
    <s v="Provide sustained support over the longer term to local processes to build stability and to help areas become stable over the medium-term whilst building their linkages to a national framework. To contribute to building responsive and accountable community governance structures that will promote stability in Sanaag Region"/>
    <s v="Sub-National"/>
    <s v="Sanaag Region Badhan and Dhahar districts of Somalia"/>
    <s v="Rural Communities in the two districts of Badhan and Dhahar districts"/>
    <n v="56442"/>
    <n v="38166"/>
    <n v="94608"/>
    <n v="112884"/>
    <n v="76332"/>
    <n v="189216"/>
    <s v="Community members in 6 villiages under 2 districts in Sanaag region. Household size multipled by average HH number of 6 as all community members directly benefit from water, health etc infrastructure constructed and an estimated double the amount of people benefitting indirectly from services from neighbouring villiages  "/>
    <m/>
    <m/>
    <m/>
    <m/>
    <m/>
    <m/>
    <m/>
    <m/>
    <m/>
    <m/>
    <m/>
    <m/>
    <m/>
    <m/>
    <m/>
    <m/>
    <m/>
    <m/>
    <m/>
    <m/>
    <m/>
    <m/>
    <m/>
    <m/>
    <m/>
    <m/>
    <m/>
    <m/>
    <m/>
    <m/>
    <m/>
    <m/>
    <m/>
    <m/>
    <m/>
    <m/>
    <m/>
    <m/>
    <m/>
    <m/>
    <m/>
    <m/>
    <m/>
    <m/>
    <m/>
    <m/>
    <m/>
    <m/>
    <m/>
    <m/>
    <m/>
    <m/>
    <m/>
    <m/>
    <m/>
    <m/>
    <m/>
    <m/>
    <m/>
    <m/>
    <n v="56442"/>
    <n v="38166"/>
    <n v="94608"/>
    <n v="112884"/>
    <n v="76332"/>
    <n v="189216"/>
    <m/>
    <m/>
    <m/>
    <m/>
    <m/>
    <m/>
    <m/>
    <m/>
    <m/>
    <m/>
    <m/>
    <m/>
    <m/>
    <m/>
    <m/>
    <m/>
    <m/>
    <m/>
    <m/>
    <m/>
    <m/>
    <m/>
    <m/>
    <m/>
    <m/>
    <m/>
    <m/>
    <m/>
    <m/>
    <m/>
    <m/>
    <m/>
    <m/>
    <m/>
    <m/>
    <m/>
    <m/>
    <m/>
    <m/>
    <m/>
    <m/>
    <m/>
    <m/>
    <m/>
    <m/>
    <m/>
    <m/>
    <m/>
    <s v="YES"/>
    <n v="94608"/>
    <n v="0.6"/>
    <n v="189216"/>
    <m/>
    <m/>
    <m/>
    <m/>
    <m/>
    <m/>
    <m/>
    <m/>
    <m/>
    <m/>
    <m/>
    <m/>
    <m/>
    <m/>
    <m/>
    <m/>
    <m/>
    <s v="YES"/>
    <s v="May"/>
    <n v="2017"/>
    <s v="YES"/>
    <s v="NO"/>
    <m/>
    <m/>
    <m/>
    <x v="1"/>
    <s v="NO"/>
    <s v="YES"/>
    <s v="YES"/>
    <s v="YES"/>
    <s v="YES"/>
    <s v="NO"/>
    <s v="YES"/>
    <m/>
    <m/>
    <x v="1"/>
    <s v="CDD approach"/>
    <x v="3"/>
    <s v="CDD approach"/>
    <x v="0"/>
    <x v="0"/>
    <s v="YES"/>
    <x v="0"/>
    <x v="0"/>
    <x v="0"/>
    <x v="0"/>
    <n v="4"/>
    <x v="2"/>
    <x v="1"/>
    <x v="2"/>
    <x v="1"/>
    <x v="1"/>
    <x v="5"/>
    <n v="3"/>
    <x v="1"/>
    <x v="1"/>
    <x v="2"/>
    <x v="1"/>
    <x v="3"/>
    <n v="2"/>
    <x v="2"/>
    <x v="1"/>
    <m/>
    <m/>
    <m/>
    <m/>
    <x v="1"/>
    <m/>
    <m/>
    <s v="Community Driven Development approach (CDD) as top strategy contributing to project activity of building responsive and accountable community governance structures"/>
    <s v="Community Action Plans (CAPs) developed by target communities as a effective means of priortising their community needs"/>
    <s v="Community contribution by communities for construction of infrastructure to increase ownership amougst the community"/>
    <s v="Security challenges and tense enviornment due to implemention in contested areas by different government authorities"/>
    <s v="Streamline the relationship between the villiage council (VCs) and the local authority in Badhan"/>
    <s v="Challenges of droughts to collect community contributions for development projects"/>
    <m/>
    <s v="All documents avalibale"/>
    <n v="94608"/>
    <n v="189216"/>
    <n v="2"/>
    <n v="0.59658802638254693"/>
    <n v="0.59658802638254693"/>
    <n v="56442"/>
    <n v="112884"/>
    <s v=""/>
    <n v="0"/>
    <n v="0"/>
    <s v=""/>
    <s v=""/>
    <n v="0"/>
    <n v="0"/>
    <s v=""/>
    <s v=""/>
    <n v="0"/>
    <n v="0"/>
    <s v=""/>
    <s v=""/>
    <n v="0"/>
    <n v="0"/>
    <s v=""/>
    <s v=""/>
    <n v="0"/>
    <n v="0"/>
    <s v=""/>
    <s v="2. Sensitive"/>
    <s v="3. Responsive"/>
    <s v="1. Neutral"/>
    <s v="It tested new ways for fighting poverty, but did not measure results of innovation"/>
    <s v="Moderate advocacy"/>
    <s v="It took tested solutions to scale on its own"/>
  </r>
  <r>
    <x v="65"/>
    <x v="3"/>
    <n v="3337"/>
    <s v="HORUMARINT ELMIGA II  (Education for Empowerment through Cohesive and Harmonised System)"/>
    <s v="Somalia"/>
    <s v="CNLDSO0056"/>
    <s v="CARE Nederland"/>
    <s v="Multilateral agency"/>
    <s v="EU - European Union (other than ECHO)"/>
    <s v="EU"/>
    <s v="CNLDSO0064"/>
    <s v="CARE Nederland"/>
    <s v="Foundation"/>
    <s v="Government - Netherlands"/>
    <s v="Nefkens fund for Somalia Horumarinta Elmiga II Match"/>
    <m/>
    <m/>
    <m/>
    <m/>
    <m/>
    <m/>
    <m/>
    <m/>
    <m/>
    <m/>
    <m/>
    <m/>
    <m/>
    <m/>
    <m/>
    <m/>
    <m/>
    <m/>
    <m/>
    <m/>
    <m/>
    <m/>
    <m/>
    <m/>
    <m/>
    <m/>
    <m/>
    <m/>
    <m/>
    <m/>
    <m/>
    <m/>
    <m/>
    <m/>
    <m/>
    <m/>
    <m/>
    <m/>
    <m/>
    <m/>
    <d v="2015-01-09T00:00:00"/>
    <m/>
    <m/>
    <s v="Development Other"/>
    <n v="3393931"/>
    <s v="Fadumo Dahir Duale"/>
    <s v="Education Manager"/>
    <s v="Duale.FadumoDahir@care.org"/>
    <s v="Zahra Dahir"/>
    <s v="Monitoring and Learning  Coordinator"/>
    <s v="Zahra.Dahir@care.org"/>
    <s v="NO"/>
    <s v="YES"/>
    <s v="NO"/>
    <s v="Education and training efficiently and effectively contributing to poverty alleviation within a peaceful, secure and democratic Somaliland"/>
    <s v="Sub-National"/>
    <s v="Sool, Sanaag and Togdheer Region of Somaliland"/>
    <s v="Impact groups include primary and secondary school students, Non formal Education-NFE students, flexi timing students, IBTVET, EBTVET students, Teachers"/>
    <n v="13045"/>
    <n v="14824"/>
    <n v="27869"/>
    <n v="18905"/>
    <n v="18905"/>
    <n v="37810"/>
    <s v="Primary school students   19,426 Secondary School Students  4923 Flexi timing students 1378 Non Formal Education (NFE) Students  1530 EBTVET 200 IBTVET 180 Teacher training  110 Scholarship university  29 Female teachers 24 Basic Education Pastoralist teachers  37 Basic Education Pastoralist facilitators   8 Total  27,869(direct) For indirect benificiares, this is esitmated that project activites along with activities of 2 other education projects will  in-directly impact 113,432. This is estimated that HE project will have an estimated 37810 indirect benificiares."/>
    <m/>
    <m/>
    <m/>
    <m/>
    <m/>
    <m/>
    <m/>
    <m/>
    <m/>
    <m/>
    <m/>
    <m/>
    <m/>
    <m/>
    <m/>
    <m/>
    <m/>
    <m/>
    <m/>
    <m/>
    <m/>
    <m/>
    <m/>
    <m/>
    <m/>
    <m/>
    <m/>
    <m/>
    <m/>
    <m/>
    <m/>
    <m/>
    <m/>
    <m/>
    <m/>
    <m/>
    <m/>
    <m/>
    <m/>
    <m/>
    <m/>
    <m/>
    <m/>
    <m/>
    <m/>
    <m/>
    <m/>
    <m/>
    <m/>
    <m/>
    <m/>
    <m/>
    <m/>
    <m/>
    <m/>
    <m/>
    <m/>
    <m/>
    <m/>
    <m/>
    <n v="13045"/>
    <n v="14824"/>
    <n v="27869"/>
    <n v="18905"/>
    <n v="18905"/>
    <n v="37810"/>
    <m/>
    <m/>
    <m/>
    <m/>
    <m/>
    <m/>
    <m/>
    <m/>
    <m/>
    <m/>
    <m/>
    <m/>
    <m/>
    <m/>
    <m/>
    <m/>
    <m/>
    <m/>
    <m/>
    <m/>
    <s v="YES"/>
    <n v="27869"/>
    <n v="0.47"/>
    <m/>
    <m/>
    <m/>
    <m/>
    <m/>
    <m/>
    <m/>
    <m/>
    <m/>
    <m/>
    <m/>
    <m/>
    <m/>
    <m/>
    <m/>
    <m/>
    <m/>
    <m/>
    <m/>
    <m/>
    <m/>
    <m/>
    <m/>
    <m/>
    <m/>
    <m/>
    <m/>
    <m/>
    <m/>
    <m/>
    <m/>
    <m/>
    <m/>
    <m/>
    <m/>
    <m/>
    <m/>
    <m/>
    <m/>
    <m/>
    <m/>
    <m/>
    <m/>
    <m/>
    <m/>
    <m/>
    <s v="NO"/>
    <m/>
    <m/>
    <s v="NO"/>
    <s v="NO"/>
    <m/>
    <n v="2017"/>
    <m/>
    <x v="1"/>
    <s v="NO"/>
    <s v="NO"/>
    <s v="YES"/>
    <s v="YES"/>
    <s v="YES"/>
    <s v="YES"/>
    <s v="YES"/>
    <m/>
    <m/>
    <x v="0"/>
    <m/>
    <x v="3"/>
    <m/>
    <x v="1"/>
    <x v="0"/>
    <s v="YES"/>
    <x v="0"/>
    <x v="0"/>
    <x v="0"/>
    <x v="0"/>
    <n v="4"/>
    <x v="1"/>
    <x v="1"/>
    <x v="1"/>
    <x v="1"/>
    <x v="1"/>
    <x v="1"/>
    <n v="4"/>
    <x v="1"/>
    <x v="2"/>
    <x v="1"/>
    <x v="2"/>
    <x v="3"/>
    <n v="1"/>
    <x v="2"/>
    <x v="1"/>
    <m/>
    <s v="International NGO(s)"/>
    <s v="Local government(s)"/>
    <s v="Private sector"/>
    <x v="1"/>
    <m/>
    <s v="CARE program approach supported to the some of  project beneficiaries, different projects ongoing in same area so families benefit from those projects that was resulted also to education activities"/>
    <s v="To ensure youth undertaking TVET are linked to job markets and employment opportunties, Employment Promotion Service (EPS) units were established in the target IBTVET centres to support the graduates transition to the workplace. Their main function is to link the graduates with the public and private sectors and ensure that apprentices/interns get attachment places and employment opportunities where possible.  Income genernation unit was also establsihed in Burco Technical Insitiution  (BTI) and provided with cost recovary strengthening and career Guidance and Counseling to Students and Trainees was also provided to students to ensure job market readness"/>
    <s v="School Improvement Plan (SIP) - School infra-structure improvement programme involved the development of School improvement plans and based on plans small grants are provided financed through innovative approaches such as co-financing mechanism with private sector and other keystakeholders to address key challenges in the schools such as supply of power, water, ICT and maintenance as per the prioritization of the CECs.). Teachers resource centres have also been establsihed.  "/>
    <s v="Child Friendly School (CFS) approach for quality learning outcomes, focusing on not just access but also rights based, gender sensitive, inclusive, promoting health, academically effective learning such as ensuring selected schools are disability accessible and accommodate learners with special and diverse needs, and disability mainstreaming training for teachers as well as special needs equipment and material distributed to school with children with disabilities. In addition establish Girl Friendly spaces (GFS) and Childrens clubs, consist ing of 50% girls and children with special needs. The clubs are supported with training in life skills and involved in sports competition, drama, personal hygiene promotion, environmental protection, reading competition among schools/grades"/>
    <s v="Community ownership for the schools were improved through communtiy mobilisations, and meeting, also community participation for the implementation of the project increased."/>
    <s v="community contribution to the school activities established through school improvement plan which reflects ownership of the project activities by the local communities."/>
    <s v="The linkages of some of the activities to the other CARE development projects being implemtned within the same targeted villages  helped the families to support children  to go to schools."/>
    <s v="Prolonged drought affected  target schools, some shcooles were closed whereas the some others faced low enrolment because student migrated with their families."/>
    <s v="Data used above is from project reports and available through monitoring system."/>
    <n v="27869"/>
    <n v="37810"/>
    <n v="1.3567045821522121"/>
    <n v="0.46808281603215041"/>
    <n v="0.5"/>
    <n v="13045"/>
    <n v="18905"/>
    <s v=""/>
    <n v="0"/>
    <n v="0"/>
    <s v=""/>
    <s v=""/>
    <n v="0"/>
    <n v="0"/>
    <s v=""/>
    <s v=""/>
    <n v="0"/>
    <n v="0"/>
    <s v=""/>
    <s v=""/>
    <n v="0"/>
    <n v="0"/>
    <s v=""/>
    <s v=""/>
    <n v="0"/>
    <n v="0"/>
    <s v=""/>
    <s v="2. Sensitive"/>
    <s v="2. Accommodating"/>
    <s v="1. Neutral"/>
    <s v="It did not develop any specific innovation"/>
    <s v="Moderate advocacy"/>
    <s v="It took tested solutions to scale on its own"/>
  </r>
  <r>
    <x v="65"/>
    <x v="3"/>
    <m/>
    <s v="Immediate response to drought-related malnutrition and acute watery diarrhoea outbreak in North east Somalia"/>
    <s v="Somalia"/>
    <s v="CDEUSO0026"/>
    <s v="CARE Deutschland-Luxemburg"/>
    <s v="Other"/>
    <s v="Other"/>
    <s v="CARE Deutchland-Luxemburg"/>
    <m/>
    <m/>
    <m/>
    <m/>
    <m/>
    <m/>
    <m/>
    <m/>
    <m/>
    <m/>
    <m/>
    <m/>
    <m/>
    <m/>
    <m/>
    <m/>
    <m/>
    <m/>
    <m/>
    <m/>
    <m/>
    <m/>
    <m/>
    <m/>
    <m/>
    <m/>
    <m/>
    <m/>
    <m/>
    <m/>
    <m/>
    <m/>
    <m/>
    <m/>
    <m/>
    <m/>
    <m/>
    <m/>
    <m/>
    <m/>
    <m/>
    <m/>
    <m/>
    <m/>
    <m/>
    <d v="2017-04-21T00:00:00"/>
    <d v="2017-07-20T00:00:00"/>
    <m/>
    <s v="Humanitarian Other"/>
    <n v="109000"/>
    <s v="Ibrahim Hassan"/>
    <s v="Emergency director"/>
    <s v="ibrahim.hassan@care.org"/>
    <s v="Elmi Abdinur"/>
    <s v="Humanitarian coordinator"/>
    <s v="elmi.nur@care.org"/>
    <s v="YES"/>
    <s v="NO"/>
    <s v="NO"/>
    <s v="To meet immediate food and non food items among disaster-affected and vulnerable host communities in  Togdheer in Somalia by increasing access to basic services"/>
    <s v="Sub-National"/>
    <s v="Togdheer region in Somalia"/>
    <s v="Disaster-affected and vulnerable host communities who include women, men, youth, boys and girls"/>
    <n v="1560"/>
    <n v="1500"/>
    <n v="3060"/>
    <m/>
    <m/>
    <m/>
    <s v="These are the family size individuals counted as direct beneficiaries who received food vouchers"/>
    <m/>
    <n v="1560"/>
    <n v="1500"/>
    <n v="3060"/>
    <m/>
    <m/>
    <m/>
    <s v="NO"/>
    <m/>
    <m/>
    <m/>
    <s v="YES"/>
    <n v="3060"/>
    <n v="0.51"/>
    <m/>
    <s v="NO"/>
    <m/>
    <m/>
    <m/>
    <s v="NO"/>
    <m/>
    <m/>
    <m/>
    <s v="NO"/>
    <m/>
    <m/>
    <m/>
    <s v="NO"/>
    <m/>
    <m/>
    <m/>
    <s v="NO"/>
    <m/>
    <m/>
    <m/>
    <s v="NO"/>
    <m/>
    <m/>
    <m/>
    <s v="NO"/>
    <m/>
    <m/>
    <m/>
    <s v="NO"/>
    <m/>
    <m/>
    <m/>
    <s v="NO"/>
    <m/>
    <m/>
    <m/>
    <s v="NO"/>
    <m/>
    <m/>
    <m/>
    <m/>
    <m/>
    <m/>
    <m/>
    <m/>
    <m/>
    <m/>
    <m/>
    <m/>
    <m/>
    <m/>
    <m/>
    <m/>
    <m/>
    <m/>
    <m/>
    <m/>
    <m/>
    <m/>
    <m/>
    <m/>
    <m/>
    <m/>
    <m/>
    <m/>
    <m/>
    <m/>
    <m/>
    <m/>
    <m/>
    <m/>
    <m/>
    <m/>
    <m/>
    <m/>
    <m/>
    <m/>
    <m/>
    <m/>
    <m/>
    <m/>
    <m/>
    <m/>
    <m/>
    <m/>
    <m/>
    <m/>
    <m/>
    <m/>
    <m/>
    <m/>
    <m/>
    <m/>
    <m/>
    <m/>
    <m/>
    <m/>
    <m/>
    <m/>
    <m/>
    <m/>
    <m/>
    <m/>
    <m/>
    <m/>
    <m/>
    <m/>
    <m/>
    <m/>
    <m/>
    <m/>
    <m/>
    <m/>
    <m/>
    <m/>
    <m/>
    <m/>
    <m/>
    <m/>
    <m/>
    <s v="NO"/>
    <m/>
    <m/>
    <s v="NO"/>
    <s v="NO"/>
    <m/>
    <m/>
    <m/>
    <x v="1"/>
    <s v="NO"/>
    <s v="YES"/>
    <s v="YES"/>
    <s v="YES"/>
    <s v="NO"/>
    <s v="NO"/>
    <s v="NO"/>
    <s v="NO"/>
    <m/>
    <x v="0"/>
    <m/>
    <x v="3"/>
    <m/>
    <x v="1"/>
    <x v="0"/>
    <s v="YES"/>
    <x v="0"/>
    <x v="0"/>
    <x v="0"/>
    <x v="0"/>
    <n v="4"/>
    <x v="1"/>
    <x v="1"/>
    <x v="1"/>
    <x v="1"/>
    <x v="1"/>
    <x v="1"/>
    <n v="4"/>
    <x v="1"/>
    <x v="1"/>
    <x v="0"/>
    <x v="1"/>
    <x v="3"/>
    <n v="2"/>
    <x v="0"/>
    <x v="1"/>
    <m/>
    <s v="Local NGO(s)/CSO(s)"/>
    <m/>
    <m/>
    <x v="1"/>
    <m/>
    <s v="No changes occurred"/>
    <s v="The need to include the local authorites in beneficiary selection"/>
    <s v="The project ensured that female headed households were given priority"/>
    <s v="The feedback response mechanism collected feedback that the team incorporated into the project"/>
    <s v="The incluson of village elders ensured that there was no clan conflict"/>
    <m/>
    <m/>
    <m/>
    <s v="End of month report"/>
    <n v="3060"/>
    <n v="0"/>
    <n v="0"/>
    <n v="0.50980392156862742"/>
    <s v=""/>
    <n v="1560"/>
    <n v="0"/>
    <n v="1"/>
    <n v="3060"/>
    <n v="0"/>
    <n v="0"/>
    <s v=""/>
    <n v="0"/>
    <n v="0"/>
    <s v=""/>
    <s v=""/>
    <n v="0"/>
    <n v="0"/>
    <s v=""/>
    <s v=""/>
    <n v="0"/>
    <n v="0"/>
    <s v=""/>
    <s v=""/>
    <n v="0"/>
    <n v="0"/>
    <s v=""/>
    <s v="2. Sensitive"/>
    <s v="2. Accommodating"/>
    <s v="1. Neutral"/>
    <s v="It did not develop any specific innovation"/>
    <s v="Moderate advocacy"/>
    <s v="It took tested solutions to scale on its own"/>
  </r>
  <r>
    <x v="65"/>
    <x v="3"/>
    <m/>
    <s v="Multisectoral Assiatnce Response for Somalis"/>
    <s v="Somalia"/>
    <s v="US1S6"/>
    <s v="CARE USA"/>
    <s v="Government"/>
    <s v="Government - US"/>
    <s v="USAID"/>
    <m/>
    <m/>
    <m/>
    <m/>
    <m/>
    <m/>
    <m/>
    <m/>
    <m/>
    <m/>
    <m/>
    <m/>
    <m/>
    <m/>
    <m/>
    <m/>
    <m/>
    <m/>
    <m/>
    <m/>
    <m/>
    <m/>
    <m/>
    <m/>
    <m/>
    <m/>
    <m/>
    <m/>
    <m/>
    <m/>
    <m/>
    <m/>
    <m/>
    <m/>
    <m/>
    <m/>
    <m/>
    <m/>
    <m/>
    <m/>
    <m/>
    <m/>
    <m/>
    <m/>
    <m/>
    <d v="2016-10-01T00:00:00"/>
    <d v="2017-12-30T00:00:00"/>
    <m/>
    <s v="Humanitarian Other"/>
    <n v="7605427"/>
    <s v="Ibrahim Hassan"/>
    <s v="Emergency director"/>
    <s v="ibrahim.hassan@care.org"/>
    <s v="Elmi Abdinur"/>
    <s v="Humanitarian coordinator"/>
    <s v="elmi.nur@care.org"/>
    <s v="YES"/>
    <s v="NO"/>
    <s v="NO"/>
    <s v="To alleviate suffering and reduce vulnerability among disaster-affected and vulnerable host communities in Sanaag, Bari, Nugaal, Banadir and Lower Juba regions in Somalia by increasing access to basic services"/>
    <s v="National"/>
    <s v="Sanaag, Bari, Banadir and Lower Juba regions in Somalia"/>
    <s v="Disaster-affected and vulnerable host communities who include women, men, youth, boys and girls"/>
    <n v="76367"/>
    <n v="79485"/>
    <n v="155852"/>
    <n v="40000"/>
    <n v="25000"/>
    <n v="65000"/>
    <s v="The direct beneficiaries have been calculated by adding up the family size of individuals benefitting from the project sectors. In protection sector, mass campaigns were conducted where there was an approximate of 65,000 indirect beneficiaries who received the GBV awareness messages"/>
    <m/>
    <n v="76367"/>
    <n v="79485"/>
    <n v="155852"/>
    <m/>
    <m/>
    <m/>
    <s v="NO"/>
    <m/>
    <m/>
    <m/>
    <s v="YES"/>
    <n v="29790"/>
    <n v="0.6"/>
    <m/>
    <s v="NO"/>
    <m/>
    <m/>
    <m/>
    <s v="YES"/>
    <n v="17108"/>
    <n v="0.6"/>
    <m/>
    <s v="NO"/>
    <m/>
    <m/>
    <m/>
    <s v="NO"/>
    <m/>
    <m/>
    <m/>
    <s v="NO"/>
    <m/>
    <m/>
    <m/>
    <s v="NO"/>
    <m/>
    <m/>
    <m/>
    <s v="YES"/>
    <n v="9382"/>
    <n v="0.95"/>
    <m/>
    <s v="NO"/>
    <m/>
    <m/>
    <m/>
    <s v="NO"/>
    <m/>
    <m/>
    <m/>
    <s v="YES"/>
    <n v="99304"/>
    <n v="0.49"/>
    <m/>
    <s v="Non food items"/>
    <s v="YES"/>
    <n v="268"/>
    <n v="0.49"/>
    <m/>
    <m/>
    <m/>
    <m/>
    <m/>
    <m/>
    <m/>
    <m/>
    <m/>
    <m/>
    <m/>
    <m/>
    <m/>
    <m/>
    <m/>
    <m/>
    <m/>
    <m/>
    <m/>
    <m/>
    <m/>
    <m/>
    <m/>
    <m/>
    <m/>
    <m/>
    <m/>
    <m/>
    <m/>
    <m/>
    <m/>
    <m/>
    <m/>
    <m/>
    <m/>
    <m/>
    <m/>
    <m/>
    <m/>
    <m/>
    <m/>
    <m/>
    <m/>
    <m/>
    <m/>
    <m/>
    <m/>
    <m/>
    <m/>
    <m/>
    <m/>
    <m/>
    <m/>
    <m/>
    <m/>
    <m/>
    <m/>
    <m/>
    <m/>
    <m/>
    <m/>
    <m/>
    <m/>
    <m/>
    <m/>
    <m/>
    <m/>
    <m/>
    <m/>
    <m/>
    <m/>
    <m/>
    <m/>
    <m/>
    <m/>
    <m/>
    <s v="YES"/>
    <s v="December"/>
    <n v="2016"/>
    <s v="YES"/>
    <s v="YES"/>
    <s v="December"/>
    <n v="2017"/>
    <m/>
    <x v="1"/>
    <s v="NO"/>
    <s v="YES"/>
    <s v="YES"/>
    <s v="YES"/>
    <s v="NO"/>
    <s v="NO"/>
    <s v="YES"/>
    <s v="NO"/>
    <m/>
    <x v="0"/>
    <m/>
    <x v="3"/>
    <m/>
    <x v="1"/>
    <x v="0"/>
    <s v="YES"/>
    <x v="0"/>
    <x v="0"/>
    <x v="0"/>
    <x v="0"/>
    <n v="4"/>
    <x v="1"/>
    <x v="1"/>
    <x v="1"/>
    <x v="1"/>
    <x v="1"/>
    <x v="1"/>
    <n v="4"/>
    <x v="0"/>
    <x v="1"/>
    <x v="0"/>
    <x v="0"/>
    <x v="0"/>
    <n v="1"/>
    <x v="0"/>
    <x v="0"/>
    <n v="1"/>
    <s v="Local NGO(s)/CSO(s)"/>
    <m/>
    <m/>
    <x v="1"/>
    <m/>
    <s v="Cost modification was done due to a drought that occoured in the project locations"/>
    <s v="The project ensured that female headed households were given priority"/>
    <s v="The feedback response mechanism collected feedback that the team incorporated into the project"/>
    <s v="The incluson of village elders ensured that there was no clan conflict"/>
    <s v="The cash for work tools being handed overo the community to ensure they use them whenever they needed to carry out an activity"/>
    <s v="The need to have separate cash for work activities for men and women"/>
    <m/>
    <m/>
    <s v="Quarter 3 project report"/>
    <n v="155852"/>
    <n v="0"/>
    <n v="0"/>
    <n v="0.48999692015501889"/>
    <s v=""/>
    <n v="76367"/>
    <n v="0"/>
    <n v="1"/>
    <n v="155852"/>
    <n v="0"/>
    <n v="0"/>
    <n v="1"/>
    <n v="17108"/>
    <n v="0"/>
    <n v="0"/>
    <s v=""/>
    <n v="0"/>
    <n v="0"/>
    <s v=""/>
    <s v=""/>
    <n v="0"/>
    <n v="0"/>
    <s v=""/>
    <s v=""/>
    <n v="0"/>
    <n v="0"/>
    <s v=""/>
    <s v="2. Sensitive"/>
    <s v="2. Accommodating"/>
    <s v="No marker score"/>
    <s v="It did not develop any specific innovation"/>
    <s v="Moderate advocacy"/>
    <s v="It took tested solutions to scale on its own"/>
  </r>
  <r>
    <x v="65"/>
    <x v="3"/>
    <m/>
    <s v="Multisectoral Assiatnce Response for Somalis"/>
    <s v="Somalia"/>
    <s v="UFFPSO008"/>
    <s v="CARE USA"/>
    <s v="Government"/>
    <s v="Government - US"/>
    <s v="Food for Peace"/>
    <m/>
    <m/>
    <m/>
    <m/>
    <m/>
    <m/>
    <m/>
    <m/>
    <m/>
    <m/>
    <m/>
    <m/>
    <m/>
    <m/>
    <m/>
    <m/>
    <m/>
    <m/>
    <m/>
    <m/>
    <m/>
    <m/>
    <m/>
    <m/>
    <m/>
    <m/>
    <m/>
    <m/>
    <m/>
    <m/>
    <m/>
    <m/>
    <m/>
    <m/>
    <m/>
    <m/>
    <m/>
    <m/>
    <m/>
    <m/>
    <m/>
    <m/>
    <m/>
    <m/>
    <m/>
    <d v="2017-04-01T00:00:00"/>
    <d v="2017-09-30T00:00:00"/>
    <m/>
    <s v="Humanitarian Other"/>
    <n v="5500000"/>
    <s v="Ibrahim Hassan"/>
    <s v="Emergency director"/>
    <s v="ibrahim.hassan@care.org"/>
    <s v="Elmi Abdinur"/>
    <s v="Humanitarian coordinator"/>
    <s v="elmi.nur@care.org"/>
    <s v="YES"/>
    <s v="NO"/>
    <s v="NO"/>
    <s v="To improve nutrition, alleviate suffering and reduce vulnerability among disaster-affected and vulnerable host communities in  regions in Somalia by increasing access to basic services"/>
    <s v="Sub-National"/>
    <s v="Sanaag &amp; Sool regions in Somalia"/>
    <s v="Disaster-affected and vulnerable host communities who include women, men, youth, boys and girls"/>
    <n v="76367"/>
    <n v="79485"/>
    <m/>
    <m/>
    <m/>
    <m/>
    <s v="The direct beneficiaries are those that received the unconditional cash transfer which was transferred to 3410 households where a total of 23,803 individuals (12,197 males; 11,606 females) benefitted."/>
    <m/>
    <n v="11606"/>
    <n v="12197"/>
    <n v="23803"/>
    <m/>
    <m/>
    <m/>
    <s v="NO"/>
    <m/>
    <m/>
    <m/>
    <s v="YES"/>
    <n v="29790"/>
    <m/>
    <m/>
    <s v="NO"/>
    <m/>
    <m/>
    <m/>
    <s v="YES"/>
    <n v="29790"/>
    <m/>
    <m/>
    <s v="NO"/>
    <m/>
    <m/>
    <m/>
    <s v="NO"/>
    <m/>
    <m/>
    <m/>
    <s v="NO"/>
    <m/>
    <m/>
    <m/>
    <s v="NO"/>
    <m/>
    <m/>
    <m/>
    <s v="NO"/>
    <m/>
    <m/>
    <m/>
    <s v="NO"/>
    <m/>
    <m/>
    <m/>
    <s v="NO"/>
    <m/>
    <m/>
    <m/>
    <s v="NO"/>
    <m/>
    <m/>
    <m/>
    <m/>
    <m/>
    <m/>
    <m/>
    <m/>
    <m/>
    <m/>
    <m/>
    <m/>
    <m/>
    <m/>
    <m/>
    <m/>
    <m/>
    <m/>
    <m/>
    <m/>
    <m/>
    <m/>
    <m/>
    <m/>
    <m/>
    <m/>
    <m/>
    <m/>
    <m/>
    <m/>
    <m/>
    <m/>
    <m/>
    <m/>
    <m/>
    <m/>
    <m/>
    <m/>
    <m/>
    <m/>
    <m/>
    <m/>
    <m/>
    <m/>
    <m/>
    <m/>
    <m/>
    <m/>
    <m/>
    <m/>
    <m/>
    <m/>
    <m/>
    <m/>
    <m/>
    <m/>
    <m/>
    <m/>
    <m/>
    <m/>
    <m/>
    <m/>
    <m/>
    <m/>
    <m/>
    <m/>
    <m/>
    <m/>
    <m/>
    <m/>
    <m/>
    <m/>
    <m/>
    <m/>
    <m/>
    <m/>
    <m/>
    <m/>
    <m/>
    <m/>
    <m/>
    <m/>
    <m/>
    <s v="NO"/>
    <m/>
    <n v="2016"/>
    <s v="NO"/>
    <s v="NO"/>
    <m/>
    <n v="2017"/>
    <m/>
    <x v="1"/>
    <s v="NO"/>
    <s v="YES"/>
    <s v="YES"/>
    <s v="YES"/>
    <s v="NO"/>
    <s v="NO"/>
    <s v="NO"/>
    <s v="NO"/>
    <m/>
    <x v="0"/>
    <m/>
    <x v="3"/>
    <m/>
    <x v="1"/>
    <x v="0"/>
    <s v="YES"/>
    <x v="0"/>
    <x v="0"/>
    <x v="0"/>
    <x v="0"/>
    <n v="4"/>
    <x v="1"/>
    <x v="1"/>
    <x v="1"/>
    <x v="1"/>
    <x v="1"/>
    <x v="1"/>
    <n v="4"/>
    <x v="1"/>
    <x v="1"/>
    <x v="0"/>
    <x v="0"/>
    <x v="3"/>
    <n v="1"/>
    <x v="0"/>
    <x v="1"/>
    <m/>
    <m/>
    <m/>
    <m/>
    <x v="1"/>
    <m/>
    <m/>
    <s v="The project ensured that female headed households were given priority"/>
    <s v="The feedback response mechanism collected feedback that the team incorporated into the project"/>
    <s v="The incluson of village elders ensured that there was no clan conflict"/>
    <s v="The cash for work tools being handed overo the community to ensure they use them whenever they needed to carry out an activity"/>
    <s v="The need to have separate cash for work activities for men and women"/>
    <m/>
    <m/>
    <s v="Quarter 1 project report"/>
    <n v="23803"/>
    <n v="0"/>
    <n v="0"/>
    <n v="0.48758559845397637"/>
    <s v=""/>
    <n v="11606"/>
    <n v="0"/>
    <n v="1"/>
    <n v="23803"/>
    <n v="0"/>
    <n v="0"/>
    <n v="1"/>
    <n v="29790"/>
    <n v="0"/>
    <n v="0"/>
    <s v=""/>
    <n v="0"/>
    <n v="0"/>
    <s v=""/>
    <s v=""/>
    <n v="0"/>
    <n v="0"/>
    <s v=""/>
    <s v=""/>
    <n v="0"/>
    <n v="0"/>
    <s v=""/>
    <s v="2. Sensitive"/>
    <s v="2. Accommodating"/>
    <s v="1. Neutral"/>
    <s v="It did not develop any specific innovation"/>
    <s v="Moderate advocacy"/>
    <s v="It took tested solutions to scale on its own"/>
  </r>
  <r>
    <x v="65"/>
    <x v="3"/>
    <m/>
    <s v="Providing Emergency Health and Nutrition Services to drought affected Communities in Somalia project"/>
    <s v="Somalia"/>
    <s v="CGBRSO0082"/>
    <s v="CARE UK"/>
    <s v="Government"/>
    <s v="Government - UK"/>
    <s v="DFID"/>
    <m/>
    <m/>
    <m/>
    <m/>
    <m/>
    <m/>
    <m/>
    <m/>
    <m/>
    <m/>
    <m/>
    <m/>
    <m/>
    <m/>
    <m/>
    <m/>
    <m/>
    <m/>
    <m/>
    <m/>
    <m/>
    <m/>
    <m/>
    <m/>
    <m/>
    <m/>
    <m/>
    <m/>
    <m/>
    <m/>
    <m/>
    <m/>
    <m/>
    <m/>
    <m/>
    <m/>
    <m/>
    <m/>
    <m/>
    <m/>
    <m/>
    <m/>
    <m/>
    <m/>
    <m/>
    <d v="2017-02-14T00:00:00"/>
    <d v="2017-08-14T00:00:00"/>
    <m/>
    <s v="Humanitarian Other"/>
    <n v="586824"/>
    <s v="Ibrahim Hassan"/>
    <s v="Emergency director"/>
    <s v="ibrahim.hassan@care.org"/>
    <s v="Elmi Abdinur"/>
    <s v="Humanitarian coordinator"/>
    <s v="elmi.nur@care.org"/>
    <s v="YES"/>
    <s v="NO"/>
    <s v="NO"/>
    <s v="Providing Emergency Health and Nutrition Services to drought affected Communities in Somalia project"/>
    <s v="National"/>
    <s v="Sanaag, Bari and Lower Juba regions in Somalia"/>
    <s v="Lactating and pregnant mothers, children under 5 years"/>
    <n v="6388"/>
    <n v="1826"/>
    <n v="8214"/>
    <m/>
    <m/>
    <m/>
    <s v="These are the family size beneficiaries for individuals (children under 5 and pregnant &amp; lactating mothers)  who benefitted from IYCF, MAM &amp; SAM nutrition programs"/>
    <m/>
    <n v="6388"/>
    <n v="1826"/>
    <n v="8214"/>
    <m/>
    <m/>
    <m/>
    <s v="NO"/>
    <m/>
    <m/>
    <m/>
    <s v="NO"/>
    <m/>
    <m/>
    <m/>
    <s v="NO"/>
    <m/>
    <m/>
    <m/>
    <s v="YES"/>
    <n v="8214"/>
    <n v="0.71"/>
    <m/>
    <s v="NO"/>
    <m/>
    <m/>
    <m/>
    <s v="NO"/>
    <m/>
    <m/>
    <m/>
    <s v="NO"/>
    <m/>
    <m/>
    <m/>
    <s v="NO"/>
    <m/>
    <m/>
    <m/>
    <s v="NO"/>
    <m/>
    <m/>
    <m/>
    <s v="NO"/>
    <m/>
    <m/>
    <m/>
    <s v="NO"/>
    <m/>
    <m/>
    <m/>
    <s v="NO"/>
    <m/>
    <m/>
    <m/>
    <m/>
    <m/>
    <m/>
    <m/>
    <m/>
    <m/>
    <m/>
    <m/>
    <m/>
    <m/>
    <m/>
    <m/>
    <m/>
    <m/>
    <m/>
    <m/>
    <m/>
    <m/>
    <m/>
    <m/>
    <m/>
    <m/>
    <m/>
    <m/>
    <m/>
    <m/>
    <m/>
    <m/>
    <m/>
    <m/>
    <m/>
    <m/>
    <m/>
    <m/>
    <m/>
    <m/>
    <m/>
    <m/>
    <m/>
    <m/>
    <m/>
    <m/>
    <m/>
    <m/>
    <m/>
    <m/>
    <m/>
    <m/>
    <m/>
    <m/>
    <m/>
    <m/>
    <m/>
    <m/>
    <m/>
    <m/>
    <m/>
    <m/>
    <m/>
    <m/>
    <m/>
    <m/>
    <m/>
    <m/>
    <m/>
    <m/>
    <m/>
    <m/>
    <m/>
    <m/>
    <m/>
    <m/>
    <m/>
    <m/>
    <m/>
    <m/>
    <m/>
    <m/>
    <m/>
    <m/>
    <s v="NO"/>
    <m/>
    <m/>
    <s v="NO"/>
    <s v="NO"/>
    <m/>
    <n v="2017"/>
    <m/>
    <x v="1"/>
    <s v="NO"/>
    <s v="YES"/>
    <s v="YES"/>
    <s v="YES"/>
    <s v="NO"/>
    <s v="NO"/>
    <s v="YES"/>
    <s v="NO"/>
    <m/>
    <x v="0"/>
    <m/>
    <x v="3"/>
    <m/>
    <x v="1"/>
    <x v="0"/>
    <s v="YES"/>
    <x v="0"/>
    <x v="0"/>
    <x v="0"/>
    <x v="0"/>
    <n v="4"/>
    <x v="1"/>
    <x v="1"/>
    <x v="1"/>
    <x v="1"/>
    <x v="1"/>
    <x v="1"/>
    <n v="4"/>
    <x v="1"/>
    <x v="1"/>
    <x v="0"/>
    <x v="0"/>
    <x v="3"/>
    <n v="1"/>
    <x v="2"/>
    <x v="1"/>
    <m/>
    <m/>
    <m/>
    <m/>
    <x v="1"/>
    <m/>
    <m/>
    <s v="The project ensured that female headed households were given priority"/>
    <s v="The feedback response mechanism collected feedback that the team incorporated into the project"/>
    <m/>
    <s v="The need to include the local authorites in beneficiary selection"/>
    <m/>
    <m/>
    <m/>
    <s v="End of project report"/>
    <n v="8214"/>
    <n v="0"/>
    <n v="0"/>
    <n v="0.77769661553445335"/>
    <s v=""/>
    <n v="6388"/>
    <n v="0"/>
    <n v="1"/>
    <n v="8214"/>
    <n v="0"/>
    <n v="0"/>
    <n v="1"/>
    <n v="8214"/>
    <n v="0"/>
    <n v="0"/>
    <s v=""/>
    <n v="0"/>
    <n v="0"/>
    <s v=""/>
    <s v=""/>
    <n v="0"/>
    <n v="0"/>
    <s v=""/>
    <s v=""/>
    <n v="0"/>
    <n v="0"/>
    <s v=""/>
    <s v="2. Sensitive"/>
    <s v="2. Accommodating"/>
    <s v="1. Neutral"/>
    <s v="It did not develop any specific innovation"/>
    <s v="Moderate advocacy"/>
    <s v="It took tested solutions to scale on its own"/>
  </r>
  <r>
    <x v="65"/>
    <x v="3"/>
    <n v="3325"/>
    <s v="Puntland Drought Response project"/>
    <s v="Somalia"/>
    <s v="OCHAS0008"/>
    <s v="No CARE member related to the project/initiative"/>
    <s v="Multilateral agency"/>
    <s v="UN - United Nations agencies/offices"/>
    <s v="UN OCHA"/>
    <m/>
    <m/>
    <m/>
    <m/>
    <m/>
    <m/>
    <m/>
    <m/>
    <m/>
    <m/>
    <m/>
    <m/>
    <m/>
    <m/>
    <m/>
    <m/>
    <m/>
    <m/>
    <m/>
    <m/>
    <m/>
    <m/>
    <m/>
    <m/>
    <m/>
    <m/>
    <m/>
    <m/>
    <m/>
    <m/>
    <m/>
    <m/>
    <m/>
    <m/>
    <m/>
    <m/>
    <m/>
    <m/>
    <m/>
    <m/>
    <m/>
    <m/>
    <m/>
    <m/>
    <m/>
    <d v="2017-05-01T00:00:00"/>
    <d v="2017-07-31T00:00:00"/>
    <m/>
    <s v="Humanitarian Other"/>
    <n v="250000"/>
    <s v="Ibrahim Hassan"/>
    <s v="Emergency director"/>
    <s v="ibrahim.hassan@care.org"/>
    <s v="Elmi Abdinur"/>
    <s v="Humanitarian coordinator"/>
    <s v="elmi.nur@care.org"/>
    <s v="YES"/>
    <s v="NO"/>
    <s v="NO"/>
    <s v="To meet immediate food and non food items among disaster-affected and vulnerable host communities in Sanaag, Bari, Banadir regions in Somalia by increasing access to basic services"/>
    <s v="Sub-National"/>
    <s v="Sanaag, Bari, Banadir regions in Somalia"/>
    <s v="Disaster-affected and vulnerable host communities who include women, men, youth, boys and girls"/>
    <n v="2997"/>
    <n v="3189"/>
    <n v="6186"/>
    <m/>
    <m/>
    <m/>
    <s v="These are the family size individuals counted as direct beneficiaries who received cash transfers and food vouchers"/>
    <m/>
    <n v="3189"/>
    <n v="2997"/>
    <n v="6186"/>
    <m/>
    <m/>
    <m/>
    <s v="NO"/>
    <m/>
    <m/>
    <m/>
    <s v="YES"/>
    <n v="6186"/>
    <n v="0.52"/>
    <m/>
    <s v="NO"/>
    <m/>
    <m/>
    <m/>
    <s v="YES"/>
    <n v="6186"/>
    <n v="0.52"/>
    <m/>
    <s v="NO"/>
    <m/>
    <m/>
    <m/>
    <s v="NO"/>
    <m/>
    <m/>
    <m/>
    <s v="NO"/>
    <m/>
    <m/>
    <m/>
    <s v="NO"/>
    <m/>
    <m/>
    <m/>
    <s v="NO"/>
    <m/>
    <m/>
    <m/>
    <s v="NO"/>
    <m/>
    <m/>
    <m/>
    <s v="NO"/>
    <m/>
    <m/>
    <m/>
    <s v="NO"/>
    <m/>
    <m/>
    <m/>
    <m/>
    <m/>
    <m/>
    <m/>
    <m/>
    <m/>
    <m/>
    <m/>
    <m/>
    <m/>
    <m/>
    <m/>
    <m/>
    <m/>
    <m/>
    <m/>
    <m/>
    <m/>
    <m/>
    <m/>
    <m/>
    <m/>
    <m/>
    <m/>
    <m/>
    <m/>
    <m/>
    <m/>
    <m/>
    <m/>
    <m/>
    <m/>
    <m/>
    <m/>
    <m/>
    <m/>
    <m/>
    <m/>
    <m/>
    <m/>
    <m/>
    <m/>
    <m/>
    <m/>
    <m/>
    <m/>
    <m/>
    <m/>
    <m/>
    <m/>
    <m/>
    <m/>
    <m/>
    <m/>
    <m/>
    <m/>
    <m/>
    <m/>
    <m/>
    <m/>
    <m/>
    <m/>
    <m/>
    <m/>
    <m/>
    <m/>
    <m/>
    <m/>
    <m/>
    <m/>
    <m/>
    <m/>
    <m/>
    <m/>
    <m/>
    <m/>
    <m/>
    <m/>
    <m/>
    <m/>
    <s v="NO"/>
    <m/>
    <m/>
    <s v="NO"/>
    <s v="NO"/>
    <m/>
    <m/>
    <m/>
    <x v="1"/>
    <s v="NO"/>
    <s v="YES"/>
    <s v="YES"/>
    <s v="YES"/>
    <s v="NO"/>
    <s v="NO"/>
    <s v="NO"/>
    <s v="NO"/>
    <m/>
    <x v="1"/>
    <m/>
    <x v="3"/>
    <m/>
    <x v="1"/>
    <x v="0"/>
    <s v="YES"/>
    <x v="0"/>
    <x v="0"/>
    <x v="0"/>
    <x v="0"/>
    <n v="4"/>
    <x v="1"/>
    <x v="1"/>
    <x v="1"/>
    <x v="1"/>
    <x v="1"/>
    <x v="1"/>
    <n v="4"/>
    <x v="1"/>
    <x v="1"/>
    <x v="0"/>
    <x v="1"/>
    <x v="3"/>
    <n v="2"/>
    <x v="0"/>
    <x v="0"/>
    <m/>
    <m/>
    <m/>
    <m/>
    <x v="1"/>
    <m/>
    <s v="No changes occurred"/>
    <s v="The need to include the local authorites in beneficiary selection"/>
    <s v="The projectensured that female headed households were given prioroty"/>
    <s v="The feedback response mechanism collected feedback that the team incorporated into the project"/>
    <s v="The incluson of village elders ensured that there was no clan conflict"/>
    <s v="The cash for work tools being handed overo the community to ensure they use them whenever they needed to carry out an activity"/>
    <s v="The need to have separate cash for work activities for men and women"/>
    <m/>
    <s v="End of project report"/>
    <n v="6186"/>
    <n v="0"/>
    <n v="0"/>
    <n v="0.51551891367604263"/>
    <s v=""/>
    <n v="3189"/>
    <n v="0"/>
    <n v="1"/>
    <n v="6186"/>
    <n v="0"/>
    <n v="0"/>
    <n v="1"/>
    <n v="6186"/>
    <n v="0"/>
    <n v="0"/>
    <s v=""/>
    <n v="0"/>
    <n v="0"/>
    <s v=""/>
    <s v=""/>
    <n v="0"/>
    <n v="0"/>
    <s v=""/>
    <s v=""/>
    <n v="0"/>
    <n v="0"/>
    <s v=""/>
    <s v="2. Sensitive"/>
    <s v="2. Accommodating"/>
    <s v="1. Neutral"/>
    <s v="It tested new ways for fighting poverty, but did not measure results of innovation"/>
    <s v="Moderate advocacy"/>
    <s v="It took tested solutions to scale on its own"/>
  </r>
  <r>
    <x v="65"/>
    <x v="3"/>
    <m/>
    <s v="Resilience  Returnee Integraton (RRI)"/>
    <s v="Somalia"/>
    <s v="CDEUSO0024"/>
    <s v="CARE Deutschland-Luxemburg"/>
    <s v="Government"/>
    <s v="Government - Luxemburg"/>
    <s v="BMZ"/>
    <m/>
    <m/>
    <m/>
    <m/>
    <m/>
    <m/>
    <m/>
    <m/>
    <m/>
    <m/>
    <m/>
    <m/>
    <m/>
    <m/>
    <m/>
    <m/>
    <m/>
    <m/>
    <m/>
    <m/>
    <m/>
    <m/>
    <m/>
    <m/>
    <m/>
    <m/>
    <m/>
    <m/>
    <m/>
    <m/>
    <m/>
    <m/>
    <m/>
    <m/>
    <m/>
    <m/>
    <m/>
    <m/>
    <m/>
    <m/>
    <m/>
    <m/>
    <m/>
    <m/>
    <m/>
    <d v="2016-06-01T00:00:00"/>
    <d v="2019-05-31T00:00:00"/>
    <m/>
    <s v="Humanitarian Food &amp; Nutrition Security and Resilience to Climate Change"/>
    <m/>
    <s v="Iibrahim Hussein"/>
    <s v="Program Coordinator"/>
    <s v="Ibrahim.Hussein@care.org"/>
    <s v="Hassan Jama"/>
    <s v="Project Manager"/>
    <s v="Hassan.Jama@care.org"/>
    <s v="YES"/>
    <s v="YES"/>
    <s v="YES"/>
    <s v="Strengthen resilience for chronically food insecure pastoral populations and support sustainable and durable reintegration of refugee and IDP returnees in Somalia/Somaliland."/>
    <s v="Regional"/>
    <s v="The  specific  location of the  RRI Project are  Somaliland  specially  Sool , Kismayo and Togdheer Region( Burao, Ainaba and Lasanood district ( project works with the rural communities of   Sool, Togdheer and Kismayo IDPS, , Retruness  and Host Communities of Kismayo  of  Lower Jubasomalia are the project beneficiaries who directly  benefiting  from the Project ."/>
    <s v="Host Population , Returnee and IDPs  The main impact  groups of the project are (  rural women/ VSLA   IDPs, Retrunee and host communities in Kismayo   lower Juba("/>
    <n v="27536"/>
    <n v="6884"/>
    <n v="34420"/>
    <n v="8260"/>
    <n v="2065"/>
    <n v="10325"/>
    <s v="Communities who are directly  benifit from the project  are the direct  beneficiaries for instance  VSLA  groups or other  groups who are intended to be benefiting are the direct beneficiaries those are already on the project document( proposal) while indirect beneficiaries are those who are benefiting  project  in directly  ( eg   construction of shallow well in  the Village   rural communities near the village   come for fetching water and watering for thier livestock hence those are the indirectly benefiting from the  water point. An additional 30% of the direct benefiaries are likely to benefit from the activties in neighbouring and surronding areas."/>
    <m/>
    <m/>
    <m/>
    <m/>
    <m/>
    <m/>
    <m/>
    <s v="NO"/>
    <m/>
    <m/>
    <m/>
    <s v="YES"/>
    <n v="600"/>
    <n v="0.9"/>
    <m/>
    <s v="YES"/>
    <n v="1900"/>
    <n v="0.01"/>
    <m/>
    <s v="YES"/>
    <m/>
    <m/>
    <m/>
    <s v="NO"/>
    <m/>
    <m/>
    <m/>
    <s v="NO"/>
    <m/>
    <m/>
    <m/>
    <s v="NO"/>
    <m/>
    <m/>
    <m/>
    <s v="Yes"/>
    <m/>
    <m/>
    <m/>
    <s v="NO"/>
    <m/>
    <m/>
    <m/>
    <s v="NO"/>
    <m/>
    <m/>
    <m/>
    <s v="NO"/>
    <m/>
    <m/>
    <m/>
    <s v="YES"/>
    <m/>
    <m/>
    <m/>
    <s v="VSLA groups"/>
    <s v="YES"/>
    <m/>
    <m/>
    <m/>
    <n v="27536"/>
    <n v="6884"/>
    <n v="34420"/>
    <n v="8260"/>
    <n v="2065"/>
    <n v="10325"/>
    <s v="NO"/>
    <m/>
    <m/>
    <m/>
    <s v="YES"/>
    <n v="34420"/>
    <n v="0.8"/>
    <n v="10325"/>
    <s v="YES"/>
    <m/>
    <m/>
    <m/>
    <s v="YES"/>
    <m/>
    <m/>
    <m/>
    <s v="YES"/>
    <m/>
    <m/>
    <m/>
    <s v="NO"/>
    <m/>
    <m/>
    <m/>
    <s v="NO"/>
    <m/>
    <m/>
    <m/>
    <s v="NO"/>
    <m/>
    <m/>
    <m/>
    <s v="YES"/>
    <m/>
    <m/>
    <m/>
    <s v="NO"/>
    <m/>
    <m/>
    <m/>
    <s v="YES"/>
    <m/>
    <m/>
    <m/>
    <s v="YES"/>
    <m/>
    <m/>
    <m/>
    <s v="YES"/>
    <m/>
    <m/>
    <m/>
    <s v="NO"/>
    <m/>
    <m/>
    <m/>
    <s v="NO"/>
    <m/>
    <m/>
    <m/>
    <s v="NO"/>
    <m/>
    <m/>
    <m/>
    <m/>
    <m/>
    <m/>
    <m/>
    <m/>
    <s v="YES"/>
    <s v="February"/>
    <m/>
    <s v="NO"/>
    <s v="NO"/>
    <m/>
    <m/>
    <m/>
    <x v="1"/>
    <s v="NO"/>
    <s v="YES"/>
    <s v="YES"/>
    <s v="YES"/>
    <s v="YES"/>
    <s v="NO"/>
    <s v="NO"/>
    <m/>
    <m/>
    <x v="0"/>
    <m/>
    <x v="1"/>
    <m/>
    <x v="0"/>
    <x v="0"/>
    <s v="YES"/>
    <x v="0"/>
    <x v="0"/>
    <x v="0"/>
    <x v="0"/>
    <n v="4"/>
    <x v="1"/>
    <x v="1"/>
    <x v="1"/>
    <x v="1"/>
    <x v="1"/>
    <x v="1"/>
    <n v="4"/>
    <x v="1"/>
    <x v="1"/>
    <x v="1"/>
    <x v="1"/>
    <x v="1"/>
    <n v="3"/>
    <x v="0"/>
    <x v="1"/>
    <m/>
    <m/>
    <m/>
    <m/>
    <x v="0"/>
    <s v="Result 4 of the project focus on Improved coordination, collaboration, and information exchange among NGOs operational in Somalia, through support to the Somalia NGO Consortium"/>
    <s v="No changes"/>
    <s v="Facilitate access to financial services thought VSLA for vulnerable households to support HH income"/>
    <s v="Community asset rehabilitation through the Cash for Work as a strategy for supporting HH during doughts"/>
    <s v="Diversified employment opportunities for vulnerable households as part of income generation activties"/>
    <s v="Drought: Somalia is dealing with the failure of the short and long rains in 2015/2016 which have con-tinued into 2017 and left devastating consequences on the communities resilient capabilities. There is therefore more pressure on the project by community members as there are greater economic challenges to overcome"/>
    <s v="Returnees: There are currently over a million internally displaced returnees following the closure of Dadaab refugee camp. This puts a strain on project resources as RRI cash for work and VSLA ac-tivities are being implemented in 1 IDP camp and makes the situation uncertain as to whether re-turnees engaged in project activities will continue to reside in the camps."/>
    <s v="Conflict: In some areas of project interentions are they some slight tensions and conflicts which delay project action"/>
    <m/>
    <m/>
    <n v="34420"/>
    <n v="10325"/>
    <n v="0.29997094712376526"/>
    <n v="0.8"/>
    <n v="0.8"/>
    <n v="27536"/>
    <n v="8260"/>
    <n v="1"/>
    <n v="0"/>
    <n v="0"/>
    <s v=""/>
    <n v="1"/>
    <n v="34420"/>
    <n v="10325"/>
    <n v="0.29997094712376526"/>
    <s v=""/>
    <n v="0"/>
    <n v="0"/>
    <s v=""/>
    <s v=""/>
    <n v="0"/>
    <n v="0"/>
    <s v=""/>
    <n v="1"/>
    <n v="0"/>
    <n v="0"/>
    <s v=""/>
    <s v="2. Sensitive"/>
    <s v="2. Accommodating"/>
    <s v="2. Sensitive"/>
    <s v="It did not develop any specific innovation"/>
    <s v="Moderate advocacy"/>
    <s v="It linked and worked with strategic alliances and partners to take tested and effective solutions to scale"/>
  </r>
  <r>
    <x v="65"/>
    <x v="3"/>
    <n v="3330"/>
    <s v="Resilience in the Horn"/>
    <s v="Somalia"/>
    <s v="CNLDSO0052"/>
    <s v="CARE Nederland"/>
    <s v="Multilateral agency"/>
    <s v="Government - Netherlands"/>
    <s v="Ministry of Foreign Affairs of the Netherlands"/>
    <m/>
    <m/>
    <m/>
    <m/>
    <m/>
    <m/>
    <m/>
    <m/>
    <m/>
    <m/>
    <m/>
    <m/>
    <m/>
    <m/>
    <m/>
    <m/>
    <m/>
    <m/>
    <m/>
    <m/>
    <m/>
    <m/>
    <m/>
    <m/>
    <m/>
    <m/>
    <m/>
    <m/>
    <m/>
    <m/>
    <m/>
    <m/>
    <m/>
    <m/>
    <m/>
    <m/>
    <m/>
    <m/>
    <m/>
    <m/>
    <m/>
    <m/>
    <m/>
    <m/>
    <m/>
    <d v="2013-01-03T00:00:00"/>
    <d v="2016-12-31T00:00:00"/>
    <m/>
    <s v="Humanitarian Other"/>
    <n v="1649568"/>
    <s v="Ibrahim Hassan"/>
    <s v="Emergency director"/>
    <s v="ibrahim.hassan@care.org"/>
    <s v="Elmi Abdinur"/>
    <s v="Humanitarian coordinator"/>
    <s v="elmi.nur@care.org"/>
    <s v="YES"/>
    <s v="NO"/>
    <s v="NO"/>
    <s v="To build resilience among the disaster-affected and vulnerable host communities in Sanaag, Bari, Banadir and lower juba regions in Somalia by increasing access to basic services"/>
    <s v="National"/>
    <s v="Lower Juba, Nugaal, Bari, lower Juba and Banadir regions in Somalia"/>
    <s v="Returnees, IDPs and vulnerable host communities who include women, men, youth, boys and girls"/>
    <n v="17800"/>
    <n v="12765"/>
    <n v="30565"/>
    <m/>
    <m/>
    <m/>
    <s v="These are the family size beneficiaries for individuals who benefitted from cash transfers, VSLAs, water management committees, apprenticeship and integration."/>
    <m/>
    <n v="17800"/>
    <n v="12765"/>
    <n v="30565"/>
    <m/>
    <m/>
    <m/>
    <s v="NO"/>
    <m/>
    <m/>
    <m/>
    <s v="NO"/>
    <m/>
    <m/>
    <m/>
    <s v="NO"/>
    <m/>
    <m/>
    <m/>
    <s v="YES"/>
    <n v="9870"/>
    <n v="0.49"/>
    <m/>
    <s v="NO"/>
    <m/>
    <m/>
    <m/>
    <s v="NO"/>
    <m/>
    <m/>
    <m/>
    <s v="NO"/>
    <m/>
    <m/>
    <m/>
    <s v="Yes"/>
    <n v="4210"/>
    <n v="0.8"/>
    <m/>
    <s v="NO"/>
    <m/>
    <m/>
    <m/>
    <s v="NO"/>
    <m/>
    <m/>
    <m/>
    <s v="NO"/>
    <m/>
    <m/>
    <m/>
    <s v="YES"/>
    <n v="5680"/>
    <n v="0.49"/>
    <m/>
    <s v="IDP integration"/>
    <s v="YES"/>
    <n v="10805"/>
    <n v="0.7"/>
    <m/>
    <m/>
    <m/>
    <m/>
    <m/>
    <m/>
    <m/>
    <m/>
    <m/>
    <m/>
    <m/>
    <m/>
    <m/>
    <m/>
    <m/>
    <m/>
    <m/>
    <m/>
    <m/>
    <m/>
    <m/>
    <m/>
    <m/>
    <m/>
    <m/>
    <m/>
    <m/>
    <m/>
    <m/>
    <m/>
    <m/>
    <m/>
    <m/>
    <m/>
    <m/>
    <m/>
    <m/>
    <m/>
    <m/>
    <m/>
    <m/>
    <m/>
    <m/>
    <m/>
    <m/>
    <m/>
    <m/>
    <m/>
    <m/>
    <m/>
    <m/>
    <m/>
    <m/>
    <m/>
    <m/>
    <m/>
    <m/>
    <m/>
    <m/>
    <m/>
    <m/>
    <m/>
    <m/>
    <m/>
    <m/>
    <m/>
    <m/>
    <m/>
    <m/>
    <m/>
    <m/>
    <m/>
    <m/>
    <m/>
    <m/>
    <m/>
    <s v="YES"/>
    <m/>
    <m/>
    <s v="NO"/>
    <s v="NO"/>
    <m/>
    <m/>
    <m/>
    <x v="1"/>
    <s v="NO"/>
    <s v="YES"/>
    <s v="YES"/>
    <s v="YES"/>
    <s v="NO"/>
    <s v="NO"/>
    <s v="NO"/>
    <s v="NO"/>
    <m/>
    <x v="0"/>
    <m/>
    <x v="3"/>
    <m/>
    <x v="1"/>
    <x v="0"/>
    <s v="YES"/>
    <x v="0"/>
    <x v="0"/>
    <x v="0"/>
    <x v="0"/>
    <n v="4"/>
    <x v="1"/>
    <x v="1"/>
    <x v="1"/>
    <x v="1"/>
    <x v="1"/>
    <x v="1"/>
    <n v="4"/>
    <x v="1"/>
    <x v="1"/>
    <x v="0"/>
    <x v="1"/>
    <x v="3"/>
    <n v="2"/>
    <x v="0"/>
    <x v="0"/>
    <n v="1"/>
    <s v="Local NGO(s)/CSO(s)"/>
    <m/>
    <m/>
    <x v="1"/>
    <m/>
    <s v="No changes occurred"/>
    <s v="The follow up trainings for the VSLA groups were very helpful as they helped the group members to ensure smooth running of vsla"/>
    <s v="The NFI package to the returnees proved helpful as seen in the pdm survey"/>
    <m/>
    <s v="Registration of household with children under 6 months for the UCT"/>
    <s v="Distribution being at  a walking distance to the beneficiaries to avoid long distances"/>
    <m/>
    <m/>
    <s v="End of project report"/>
    <n v="30565"/>
    <n v="0"/>
    <n v="0"/>
    <n v="0.58236545067888112"/>
    <s v=""/>
    <n v="17800"/>
    <n v="0"/>
    <n v="1"/>
    <n v="30565"/>
    <n v="0"/>
    <n v="0"/>
    <n v="1"/>
    <n v="9870"/>
    <n v="0"/>
    <n v="0"/>
    <s v=""/>
    <n v="0"/>
    <n v="0"/>
    <s v=""/>
    <s v=""/>
    <n v="0"/>
    <n v="0"/>
    <s v=""/>
    <s v=""/>
    <n v="0"/>
    <n v="0"/>
    <s v=""/>
    <s v="2. Sensitive"/>
    <s v="2. Accommodating"/>
    <s v="1. Neutral"/>
    <s v="It did not develop any specific innovation"/>
    <s v="Moderate advocacy"/>
    <s v="It took tested solutions to scale on its own"/>
  </r>
  <r>
    <x v="65"/>
    <x v="3"/>
    <n v="3348"/>
    <s v="Somali Youth learners Initiative (SYLI) Previousl known as Somali Youth leaders Initiative"/>
    <s v="Somalia"/>
    <s v="USQ20"/>
    <s v="CARE USA"/>
    <s v="Government"/>
    <s v="Government - US"/>
    <s v="USAID"/>
    <m/>
    <m/>
    <m/>
    <m/>
    <m/>
    <m/>
    <m/>
    <m/>
    <m/>
    <m/>
    <m/>
    <m/>
    <m/>
    <m/>
    <m/>
    <m/>
    <m/>
    <m/>
    <m/>
    <m/>
    <m/>
    <m/>
    <m/>
    <m/>
    <m/>
    <m/>
    <m/>
    <m/>
    <m/>
    <m/>
    <m/>
    <m/>
    <m/>
    <m/>
    <m/>
    <m/>
    <m/>
    <m/>
    <m/>
    <m/>
    <m/>
    <m/>
    <m/>
    <m/>
    <m/>
    <d v="2011-09-30T00:00:00"/>
    <m/>
    <m/>
    <s v="Development Other"/>
    <n v="8341819"/>
    <s v="Ibrahim Nur"/>
    <s v="Program Cordinator(UY)"/>
    <s v="nur.ibrahim@care.org"/>
    <m/>
    <m/>
    <m/>
    <s v="NO"/>
    <s v="YES"/>
    <s v="NO"/>
    <s v="Increased education, economic and civic particiapation opportunities for Somali youth to reduce instability in target areas"/>
    <s v="National"/>
    <s v="Somaliland, Puntland and South Central Somalia"/>
    <s v="Urban young women and men who are either out of school with limited livelihood opportunities and/or are socially marginalized"/>
    <n v="3006"/>
    <n v="4025"/>
    <n v="7301"/>
    <m/>
    <m/>
    <m/>
    <m/>
    <m/>
    <m/>
    <m/>
    <m/>
    <m/>
    <m/>
    <m/>
    <m/>
    <m/>
    <m/>
    <m/>
    <m/>
    <m/>
    <m/>
    <m/>
    <m/>
    <m/>
    <m/>
    <m/>
    <m/>
    <m/>
    <m/>
    <m/>
    <m/>
    <m/>
    <m/>
    <m/>
    <m/>
    <m/>
    <m/>
    <m/>
    <m/>
    <m/>
    <m/>
    <m/>
    <m/>
    <m/>
    <m/>
    <m/>
    <m/>
    <m/>
    <m/>
    <m/>
    <m/>
    <m/>
    <m/>
    <m/>
    <m/>
    <m/>
    <m/>
    <m/>
    <m/>
    <m/>
    <m/>
    <m/>
    <m/>
    <m/>
    <m/>
    <m/>
    <m/>
    <n v="3006"/>
    <n v="4025"/>
    <n v="7031"/>
    <m/>
    <m/>
    <m/>
    <m/>
    <m/>
    <m/>
    <m/>
    <m/>
    <m/>
    <m/>
    <m/>
    <m/>
    <m/>
    <m/>
    <m/>
    <m/>
    <m/>
    <m/>
    <m/>
    <m/>
    <m/>
    <m/>
    <m/>
    <s v="YES"/>
    <n v="7301"/>
    <n v="0.41"/>
    <m/>
    <m/>
    <m/>
    <m/>
    <m/>
    <m/>
    <m/>
    <m/>
    <m/>
    <m/>
    <m/>
    <m/>
    <m/>
    <m/>
    <m/>
    <m/>
    <m/>
    <m/>
    <m/>
    <m/>
    <m/>
    <m/>
    <m/>
    <m/>
    <m/>
    <m/>
    <m/>
    <m/>
    <m/>
    <m/>
    <m/>
    <m/>
    <m/>
    <m/>
    <m/>
    <m/>
    <m/>
    <m/>
    <m/>
    <m/>
    <m/>
    <m/>
    <m/>
    <m/>
    <m/>
    <m/>
    <m/>
    <m/>
    <m/>
    <m/>
    <s v="NO"/>
    <m/>
    <m/>
    <s v="The project has been closed and no more evluations have been planned."/>
    <x v="3"/>
    <s v="YES"/>
    <m/>
    <m/>
    <m/>
    <m/>
    <m/>
    <m/>
    <m/>
    <m/>
    <x v="0"/>
    <m/>
    <x v="3"/>
    <m/>
    <x v="1"/>
    <x v="0"/>
    <s v="YES"/>
    <x v="0"/>
    <x v="0"/>
    <x v="0"/>
    <x v="0"/>
    <n v="4"/>
    <x v="1"/>
    <x v="1"/>
    <x v="0"/>
    <x v="1"/>
    <x v="0"/>
    <x v="4"/>
    <n v="2"/>
    <x v="0"/>
    <x v="0"/>
    <x v="0"/>
    <x v="0"/>
    <x v="0"/>
    <n v="0"/>
    <x v="0"/>
    <x v="0"/>
    <n v="8"/>
    <s v="Local NGO(s)/CSO(s)"/>
    <s v="Local government(s)"/>
    <s v="Grassroots organization(s)"/>
    <x v="1"/>
    <m/>
    <m/>
    <s v="Construction of secondary schools in rural areas, most students have to travel to other districts and live with relatives inorder to attend schhools. This locks out a lot of aager students out especially girls who have no means or relatives to live with."/>
    <s v="Provison of teaching and learning materials including lab equipments is effective in improving the quality of education"/>
    <m/>
    <m/>
    <m/>
    <m/>
    <m/>
    <m/>
    <n v="7031"/>
    <n v="0"/>
    <n v="0"/>
    <n v="0.42753520125160005"/>
    <s v=""/>
    <n v="3006"/>
    <n v="0"/>
    <s v=""/>
    <n v="0"/>
    <n v="0"/>
    <s v=""/>
    <s v=""/>
    <n v="0"/>
    <n v="0"/>
    <s v=""/>
    <s v=""/>
    <n v="0"/>
    <n v="0"/>
    <s v=""/>
    <s v=""/>
    <n v="0"/>
    <n v="0"/>
    <s v=""/>
    <s v=""/>
    <n v="0"/>
    <n v="0"/>
    <s v=""/>
    <s v="2. Sensitive"/>
    <s v="1. Tokenistic"/>
    <s v="No marker score"/>
    <s v="It did not develop any specific innovation"/>
    <n v="0"/>
    <s v="It took tested solutions to scale on its own"/>
  </r>
  <r>
    <x v="65"/>
    <x v="3"/>
    <n v="3329"/>
    <s v="SOMALIA EMERGENCY FOOD ASSISTANCE PROJECT, LOWER JUBA"/>
    <s v="Somalia"/>
    <s v="UFFPS0007"/>
    <s v="No CARE member related to the project/initiative"/>
    <s v="Government"/>
    <s v="Government - US"/>
    <s v="Food for Peace"/>
    <m/>
    <m/>
    <m/>
    <m/>
    <m/>
    <m/>
    <m/>
    <m/>
    <m/>
    <m/>
    <m/>
    <m/>
    <m/>
    <m/>
    <m/>
    <m/>
    <m/>
    <m/>
    <m/>
    <m/>
    <m/>
    <m/>
    <m/>
    <m/>
    <m/>
    <m/>
    <m/>
    <m/>
    <m/>
    <m/>
    <m/>
    <m/>
    <m/>
    <m/>
    <m/>
    <m/>
    <m/>
    <m/>
    <m/>
    <m/>
    <m/>
    <m/>
    <m/>
    <m/>
    <m/>
    <d v="2015-08-04T00:00:00"/>
    <d v="2016-08-31T00:00:00"/>
    <m/>
    <s v="Humanitarian Other"/>
    <n v="3345704"/>
    <s v="Ibrahim Hassan"/>
    <s v="Emergency director"/>
    <s v="ibrahim.hassan@care.org"/>
    <s v="Elmi Abdinur"/>
    <s v="Humanitarian coordinator"/>
    <s v="elmi.nur@care.org"/>
    <s v="YES"/>
    <s v="NO"/>
    <s v="NO"/>
    <s v="To meet immediate food and non food items among disaster-affected and vulnerable host communities in Sanaag, Bari, Banadir regions in Somalia by increasing access to basic services"/>
    <s v="Sub-National"/>
    <s v="Lower Juba and Banadir regions in Somalia"/>
    <s v="Disaster-affected and vulnerable host communities who include women, men, youth, boys and girls"/>
    <n v="14063"/>
    <n v="14712"/>
    <n v="28775"/>
    <m/>
    <m/>
    <m/>
    <s v="These are the family size individuals counted as direct beneficiaries who received cash transfers and food vouchers"/>
    <m/>
    <n v="14063"/>
    <n v="14712"/>
    <n v="28775"/>
    <m/>
    <m/>
    <m/>
    <s v="NO"/>
    <m/>
    <m/>
    <m/>
    <s v="YES"/>
    <n v="28775"/>
    <n v="0.49"/>
    <m/>
    <s v="NO"/>
    <m/>
    <m/>
    <m/>
    <s v="YES"/>
    <n v="28775"/>
    <n v="0.49"/>
    <m/>
    <s v="NO"/>
    <m/>
    <m/>
    <m/>
    <s v="NO"/>
    <m/>
    <m/>
    <m/>
    <s v="NO"/>
    <m/>
    <m/>
    <m/>
    <s v="NO"/>
    <m/>
    <m/>
    <m/>
    <s v="NO"/>
    <m/>
    <m/>
    <m/>
    <s v="NO"/>
    <m/>
    <m/>
    <m/>
    <s v="NO"/>
    <m/>
    <m/>
    <m/>
    <s v="NO"/>
    <m/>
    <m/>
    <m/>
    <m/>
    <m/>
    <m/>
    <m/>
    <m/>
    <m/>
    <m/>
    <m/>
    <m/>
    <m/>
    <m/>
    <m/>
    <m/>
    <m/>
    <m/>
    <m/>
    <m/>
    <m/>
    <m/>
    <m/>
    <m/>
    <m/>
    <m/>
    <m/>
    <m/>
    <m/>
    <m/>
    <m/>
    <m/>
    <m/>
    <m/>
    <m/>
    <m/>
    <m/>
    <m/>
    <m/>
    <m/>
    <m/>
    <m/>
    <m/>
    <m/>
    <m/>
    <m/>
    <m/>
    <m/>
    <m/>
    <m/>
    <m/>
    <m/>
    <m/>
    <m/>
    <m/>
    <m/>
    <m/>
    <m/>
    <m/>
    <m/>
    <m/>
    <m/>
    <m/>
    <m/>
    <m/>
    <m/>
    <m/>
    <m/>
    <m/>
    <m/>
    <m/>
    <m/>
    <m/>
    <m/>
    <m/>
    <m/>
    <m/>
    <m/>
    <m/>
    <m/>
    <m/>
    <m/>
    <m/>
    <s v="NO"/>
    <m/>
    <m/>
    <s v="NO"/>
    <s v="NO"/>
    <m/>
    <m/>
    <m/>
    <x v="1"/>
    <s v="NO"/>
    <s v="YES"/>
    <s v="YES"/>
    <s v="YES"/>
    <s v="NO"/>
    <s v="NO"/>
    <s v="YES"/>
    <s v="NO"/>
    <m/>
    <x v="0"/>
    <m/>
    <x v="3"/>
    <m/>
    <x v="1"/>
    <x v="0"/>
    <s v="YES"/>
    <x v="0"/>
    <x v="0"/>
    <x v="0"/>
    <x v="0"/>
    <n v="4"/>
    <x v="1"/>
    <x v="1"/>
    <x v="1"/>
    <x v="1"/>
    <x v="1"/>
    <x v="1"/>
    <n v="4"/>
    <x v="1"/>
    <x v="1"/>
    <x v="0"/>
    <x v="1"/>
    <x v="3"/>
    <n v="2"/>
    <x v="0"/>
    <x v="0"/>
    <n v="1"/>
    <s v="Local NGO(s)/CSO(s)"/>
    <m/>
    <m/>
    <x v="1"/>
    <m/>
    <s v="No changes occurred"/>
    <s v="The follow up trainings for the VSLA groups were very helpful as they helped the group members to ensure smooth running of vsla"/>
    <s v="The NFI package to the returnees proved helpful as seen in the pdm survey"/>
    <s v="There was need to ensure water points were handed back to a trained water management team"/>
    <s v="Not to provide food voucher to households with a child of six months or less since the food voucher has milk powder which is not recommended"/>
    <s v="Distribution being at  a walking distance to the beneficiaries to avoid long distances"/>
    <s v="Registration of household with children under 6 months for the UCT"/>
    <m/>
    <s v="End of project report"/>
    <n v="28775"/>
    <n v="0"/>
    <n v="0"/>
    <n v="0.48872284969591662"/>
    <s v=""/>
    <n v="14063"/>
    <n v="0"/>
    <n v="1"/>
    <n v="28775"/>
    <n v="0"/>
    <n v="0"/>
    <n v="1"/>
    <n v="28775"/>
    <n v="0"/>
    <n v="0"/>
    <s v=""/>
    <n v="0"/>
    <n v="0"/>
    <s v=""/>
    <s v=""/>
    <n v="0"/>
    <n v="0"/>
    <s v=""/>
    <s v=""/>
    <n v="0"/>
    <n v="0"/>
    <s v=""/>
    <s v="2. Sensitive"/>
    <s v="2. Accommodating"/>
    <s v="1. Neutral"/>
    <s v="It did not develop any specific innovation"/>
    <s v="Moderate advocacy"/>
    <s v="It took tested solutions to scale on its own"/>
  </r>
  <r>
    <x v="65"/>
    <x v="3"/>
    <n v="3328"/>
    <s v="Somalia Emergency Response Project"/>
    <s v="Somalia"/>
    <s v="US1JP"/>
    <s v="CARE USA"/>
    <s v="Government"/>
    <s v="Government - US"/>
    <s v="USAID"/>
    <m/>
    <m/>
    <m/>
    <m/>
    <m/>
    <m/>
    <m/>
    <m/>
    <m/>
    <m/>
    <m/>
    <m/>
    <m/>
    <m/>
    <m/>
    <m/>
    <m/>
    <m/>
    <m/>
    <m/>
    <m/>
    <m/>
    <m/>
    <m/>
    <m/>
    <m/>
    <m/>
    <m/>
    <m/>
    <m/>
    <m/>
    <m/>
    <m/>
    <m/>
    <m/>
    <m/>
    <m/>
    <m/>
    <m/>
    <m/>
    <m/>
    <m/>
    <m/>
    <m/>
    <m/>
    <d v="2015-10-01T00:00:00"/>
    <d v="2016-09-30T00:00:00"/>
    <d v="2016-11-30T00:00:00"/>
    <s v="Humanitarian Other"/>
    <n v="3485091"/>
    <s v="Ibrahim Hassan"/>
    <s v="Emergency director"/>
    <s v="ibrahim.hassan@care.org"/>
    <s v="Elmi Abdinur"/>
    <s v="Humanitarian coordinator"/>
    <s v="elmi.nur@care.org"/>
    <s v="YES"/>
    <s v="NO"/>
    <s v="NO"/>
    <s v="To alleviate suffering and reduce vulnerability among disaster-affected and vulnerable host communities in Sanaag, Bari, Nugaal, Banadir and Lower Juba regions in Somalia by increasing access to basic services"/>
    <s v="National"/>
    <s v="Sanaag, Bari, Nugaal, Banadir and Lower Juba regions in Somalia"/>
    <s v="Disaster-affected and vulnerable host communities who include women, men, youth, boys and girls"/>
    <n v="110606"/>
    <n v="115121"/>
    <n v="225727"/>
    <m/>
    <m/>
    <m/>
    <m/>
    <m/>
    <m/>
    <m/>
    <m/>
    <m/>
    <m/>
    <m/>
    <s v="NO"/>
    <m/>
    <m/>
    <m/>
    <s v="YES"/>
    <n v="12305"/>
    <m/>
    <m/>
    <s v="NO"/>
    <m/>
    <m/>
    <m/>
    <s v="YES"/>
    <n v="6492"/>
    <m/>
    <m/>
    <s v="NO"/>
    <m/>
    <m/>
    <m/>
    <s v="NO"/>
    <m/>
    <m/>
    <m/>
    <s v="NO"/>
    <m/>
    <m/>
    <m/>
    <s v="Yes"/>
    <n v="8225"/>
    <m/>
    <m/>
    <s v="YES"/>
    <n v="25000"/>
    <m/>
    <m/>
    <s v="NO"/>
    <m/>
    <m/>
    <m/>
    <s v="NO"/>
    <m/>
    <m/>
    <m/>
    <s v="YES"/>
    <n v="173705"/>
    <m/>
    <m/>
    <m/>
    <m/>
    <m/>
    <m/>
    <m/>
    <m/>
    <m/>
    <m/>
    <m/>
    <m/>
    <m/>
    <m/>
    <m/>
    <m/>
    <m/>
    <m/>
    <m/>
    <m/>
    <m/>
    <m/>
    <m/>
    <m/>
    <m/>
    <m/>
    <m/>
    <m/>
    <m/>
    <m/>
    <m/>
    <m/>
    <m/>
    <m/>
    <m/>
    <m/>
    <m/>
    <m/>
    <m/>
    <m/>
    <m/>
    <m/>
    <m/>
    <m/>
    <m/>
    <m/>
    <m/>
    <m/>
    <m/>
    <m/>
    <m/>
    <m/>
    <m/>
    <m/>
    <m/>
    <m/>
    <m/>
    <m/>
    <m/>
    <m/>
    <m/>
    <m/>
    <m/>
    <m/>
    <m/>
    <m/>
    <m/>
    <m/>
    <m/>
    <m/>
    <m/>
    <m/>
    <m/>
    <m/>
    <m/>
    <m/>
    <m/>
    <m/>
    <m/>
    <m/>
    <m/>
    <m/>
    <s v="YES"/>
    <s v="December"/>
    <n v="2016"/>
    <s v="YES"/>
    <s v="NO"/>
    <m/>
    <m/>
    <m/>
    <x v="1"/>
    <s v="NO"/>
    <m/>
    <m/>
    <s v="YES"/>
    <m/>
    <m/>
    <s v="YES"/>
    <m/>
    <m/>
    <x v="1"/>
    <m/>
    <x v="3"/>
    <m/>
    <x v="1"/>
    <x v="0"/>
    <s v="YES"/>
    <x v="0"/>
    <x v="0"/>
    <x v="0"/>
    <x v="0"/>
    <n v="4"/>
    <x v="1"/>
    <x v="1"/>
    <x v="1"/>
    <x v="1"/>
    <x v="1"/>
    <x v="1"/>
    <n v="4"/>
    <x v="0"/>
    <x v="1"/>
    <x v="0"/>
    <x v="0"/>
    <x v="0"/>
    <n v="1"/>
    <x v="3"/>
    <x v="1"/>
    <m/>
    <m/>
    <m/>
    <m/>
    <x v="3"/>
    <m/>
    <s v="Cost modification was done due to a drought that occoured in the project locations in the FY 16"/>
    <s v="Involvement of women in decision making as the task of fetching water is culturally for women"/>
    <s v="Beneficiary selection involvement with the local authorities in order to avoid community conflicts"/>
    <s v="Having a robust feedback and complaint mechanism"/>
    <s v="Ensuring that the community is involved in selecting the cash for work activities as they are for communal benefit"/>
    <s v="The PDM data should be properly analysed to help in according quality service to the beneficiaries"/>
    <m/>
    <m/>
    <s v="End of project report"/>
    <n v="0"/>
    <n v="0"/>
    <s v=""/>
    <s v=""/>
    <s v=""/>
    <n v="0"/>
    <n v="0"/>
    <n v="1"/>
    <n v="0"/>
    <n v="0"/>
    <s v=""/>
    <n v="1"/>
    <n v="8225"/>
    <n v="0"/>
    <n v="0"/>
    <s v=""/>
    <n v="0"/>
    <n v="0"/>
    <s v=""/>
    <s v=""/>
    <n v="0"/>
    <n v="0"/>
    <s v=""/>
    <s v=""/>
    <n v="0"/>
    <n v="0"/>
    <s v=""/>
    <s v="2. Sensitive"/>
    <s v="2. Accommodating"/>
    <s v="No marker score"/>
    <s v="It tested new ways for fighting poverty, but did not measure results of innovation"/>
    <s v="Moderate advocacy"/>
    <s v="It took tested solutions to scale on its own"/>
  </r>
  <r>
    <x v="65"/>
    <x v="3"/>
    <n v="3331"/>
    <s v="Somalia Humanitarian Emergency Response project"/>
    <s v="Somalia"/>
    <s v="NL193"/>
    <s v="CARE Nederland"/>
    <s v="Multilateral agency"/>
    <s v="ECHO - European Commission for Humanitarian Aid and Civil Protection"/>
    <s v="ECHO"/>
    <m/>
    <m/>
    <m/>
    <m/>
    <m/>
    <m/>
    <m/>
    <m/>
    <m/>
    <m/>
    <m/>
    <m/>
    <m/>
    <m/>
    <m/>
    <m/>
    <m/>
    <m/>
    <m/>
    <m/>
    <m/>
    <m/>
    <m/>
    <m/>
    <m/>
    <m/>
    <m/>
    <m/>
    <m/>
    <m/>
    <m/>
    <m/>
    <m/>
    <m/>
    <m/>
    <m/>
    <m/>
    <m/>
    <m/>
    <m/>
    <m/>
    <m/>
    <m/>
    <m/>
    <m/>
    <d v="2016-05-01T00:00:00"/>
    <d v="2017-02-28T00:00:00"/>
    <m/>
    <s v="Humanitarian Other"/>
    <n v="831171"/>
    <s v="Ibrahim Hassan"/>
    <s v="Emergency director"/>
    <s v="ibrahim.hassan@care.org"/>
    <s v="Elmi Abdinur"/>
    <s v="Humanitarian coordinator"/>
    <s v="elmi.nur@care.org"/>
    <s v="YES"/>
    <s v="NO"/>
    <s v="NO"/>
    <s v="To alleviate suffering and reduce vulnerability among disaster-affected and vulnerable host communities in Sanaag, Bari, Banadir regions in Somalia by increasing access to basic services"/>
    <s v="National"/>
    <s v="Sanaag, Bari, Banadir regions in Somalia"/>
    <s v="Disaster-affected and vulnerable host communities who include women, men, youth, boys and girls"/>
    <n v="35990"/>
    <n v="35840"/>
    <n v="71830"/>
    <m/>
    <m/>
    <m/>
    <s v="The direct beneficiaries have been calculated by adding up the family size of individuals benefitting from the project sectors"/>
    <m/>
    <n v="38732"/>
    <n v="43461"/>
    <n v="82193"/>
    <m/>
    <m/>
    <m/>
    <s v="NO"/>
    <m/>
    <m/>
    <m/>
    <s v="YES"/>
    <n v="15000"/>
    <m/>
    <m/>
    <s v="NO"/>
    <m/>
    <m/>
    <m/>
    <s v="NO"/>
    <m/>
    <m/>
    <m/>
    <s v="NO"/>
    <m/>
    <m/>
    <m/>
    <s v="NO"/>
    <m/>
    <m/>
    <m/>
    <s v="NO"/>
    <m/>
    <m/>
    <m/>
    <s v="Yes"/>
    <n v="10000"/>
    <m/>
    <m/>
    <s v="NO"/>
    <m/>
    <m/>
    <m/>
    <s v="NO"/>
    <m/>
    <m/>
    <m/>
    <s v="NO"/>
    <m/>
    <m/>
    <m/>
    <s v="YES"/>
    <n v="57193"/>
    <m/>
    <m/>
    <m/>
    <m/>
    <m/>
    <m/>
    <m/>
    <m/>
    <m/>
    <m/>
    <m/>
    <m/>
    <m/>
    <m/>
    <m/>
    <m/>
    <m/>
    <m/>
    <m/>
    <m/>
    <m/>
    <m/>
    <m/>
    <m/>
    <m/>
    <m/>
    <m/>
    <m/>
    <m/>
    <m/>
    <m/>
    <m/>
    <m/>
    <m/>
    <m/>
    <m/>
    <m/>
    <m/>
    <m/>
    <m/>
    <m/>
    <m/>
    <m/>
    <m/>
    <m/>
    <m/>
    <m/>
    <m/>
    <m/>
    <m/>
    <m/>
    <m/>
    <m/>
    <m/>
    <m/>
    <m/>
    <m/>
    <m/>
    <m/>
    <m/>
    <m/>
    <m/>
    <m/>
    <m/>
    <m/>
    <m/>
    <m/>
    <m/>
    <m/>
    <m/>
    <m/>
    <m/>
    <m/>
    <m/>
    <m/>
    <m/>
    <m/>
    <m/>
    <m/>
    <m/>
    <m/>
    <m/>
    <s v="YES"/>
    <s v="December"/>
    <n v="2016"/>
    <s v="NO"/>
    <s v="NO"/>
    <m/>
    <m/>
    <m/>
    <x v="1"/>
    <s v="NO"/>
    <s v="YES"/>
    <s v="YES"/>
    <s v="YES"/>
    <s v="NO"/>
    <s v="NO"/>
    <s v="NO"/>
    <s v="NO"/>
    <m/>
    <x v="0"/>
    <m/>
    <x v="3"/>
    <m/>
    <x v="1"/>
    <x v="0"/>
    <s v="YES"/>
    <x v="0"/>
    <x v="0"/>
    <x v="0"/>
    <x v="0"/>
    <n v="4"/>
    <x v="1"/>
    <x v="1"/>
    <x v="1"/>
    <x v="1"/>
    <x v="1"/>
    <x v="1"/>
    <n v="4"/>
    <x v="1"/>
    <x v="1"/>
    <x v="0"/>
    <x v="1"/>
    <x v="3"/>
    <n v="2"/>
    <x v="0"/>
    <x v="0"/>
    <n v="1"/>
    <s v="Local NGO(s)/CSO(s)"/>
    <m/>
    <m/>
    <x v="1"/>
    <m/>
    <m/>
    <s v="The use of kobocollect technology to collect data for th epost distribution survey"/>
    <s v="The use of community hygiene promoters who have the sustainability effect"/>
    <s v="The criteria that was developed to target the most vulnerable households"/>
    <s v="The need to have technical assessments for the water points in order to facilitate proper rehabilitation"/>
    <s v="To ensure that the local leaders are involved in proect sites especially the water points that will be rehabilitated"/>
    <s v="The monitoring teams ensured that there was multi sectoral assessment of all the sectors which are being implemented"/>
    <m/>
    <s v="Quarter 3 project report"/>
    <n v="82193"/>
    <n v="0"/>
    <n v="0"/>
    <n v="0.47123234338690645"/>
    <s v=""/>
    <n v="38732"/>
    <n v="0"/>
    <n v="1"/>
    <n v="82193"/>
    <n v="0"/>
    <n v="0"/>
    <n v="1"/>
    <n v="10000"/>
    <n v="0"/>
    <n v="0"/>
    <s v=""/>
    <n v="0"/>
    <n v="0"/>
    <s v=""/>
    <s v=""/>
    <n v="0"/>
    <n v="0"/>
    <s v=""/>
    <s v=""/>
    <n v="0"/>
    <n v="0"/>
    <s v=""/>
    <s v="2. Sensitive"/>
    <s v="2. Accommodating"/>
    <s v="1. Neutral"/>
    <s v="It did not develop any specific innovation"/>
    <s v="Moderate advocacy"/>
    <s v="It took tested solutions to scale on its own"/>
  </r>
  <r>
    <x v="65"/>
    <x v="3"/>
    <n v="3341"/>
    <s v="SOMALIA RESILIENCE PROGRAM (SOMREP) AFGOYE - South and Central Somalia Resilience &amp; Social Protection Programme"/>
    <s v="Somalia"/>
    <s v="CCANSO0006"/>
    <s v="CARE Nederland"/>
    <s v="Multilateral agency"/>
    <s v="EU - European Union (other than ECHO)"/>
    <s v="EU"/>
    <m/>
    <s v="CARE Nederland"/>
    <m/>
    <m/>
    <m/>
    <m/>
    <s v="CARE Nederland"/>
    <m/>
    <m/>
    <m/>
    <m/>
    <s v="CARE Nederland"/>
    <m/>
    <m/>
    <m/>
    <m/>
    <s v="CARE Nederland"/>
    <m/>
    <m/>
    <m/>
    <m/>
    <m/>
    <m/>
    <m/>
    <m/>
    <m/>
    <m/>
    <m/>
    <m/>
    <m/>
    <m/>
    <m/>
    <m/>
    <m/>
    <m/>
    <m/>
    <m/>
    <m/>
    <m/>
    <m/>
    <m/>
    <m/>
    <m/>
    <m/>
    <m/>
    <d v="2016-01-01T00:00:00"/>
    <d v="2019-01-01T00:00:00"/>
    <m/>
    <s v="Humanitarian Food &amp; Nutrition Security and Resilience to Climate Change"/>
    <n v="3161085"/>
    <s v="Abdikani Ali Ahmed"/>
    <s v="P.M"/>
    <s v="Abdikani.ali@care.org"/>
    <s v="Hamdun Mohamed Nur"/>
    <s v="S.P.O"/>
    <s v="Hamdun.mohamed@care.org"/>
    <s v="YES"/>
    <s v="YES"/>
    <s v="YES"/>
    <s v="Overall Objective: To contribute to improved resilience and increased adaptive capacities for communities and households in Somalia to protect their livelihoods over continuing shocks"/>
    <s v="Sub-National"/>
    <s v="Afgoye  District, Lower Shabelle Region, Somalia"/>
    <s v="Pastoral,  Agro-pastoral, IDP"/>
    <n v="21629"/>
    <n v="32443"/>
    <n v="54072"/>
    <m/>
    <m/>
    <m/>
    <s v="9012 Households targeted over four project result areas (livlihoods and food security, social safety nets, NRM and eco system health and learning)"/>
    <m/>
    <m/>
    <m/>
    <n v="2388"/>
    <m/>
    <m/>
    <m/>
    <m/>
    <m/>
    <m/>
    <m/>
    <s v="YES"/>
    <n v="1507"/>
    <m/>
    <m/>
    <s v="NO"/>
    <m/>
    <m/>
    <m/>
    <s v="YES"/>
    <n v="881"/>
    <m/>
    <m/>
    <m/>
    <m/>
    <m/>
    <m/>
    <m/>
    <m/>
    <m/>
    <m/>
    <m/>
    <m/>
    <m/>
    <m/>
    <m/>
    <m/>
    <m/>
    <m/>
    <m/>
    <m/>
    <m/>
    <m/>
    <m/>
    <m/>
    <m/>
    <m/>
    <m/>
    <m/>
    <m/>
    <m/>
    <m/>
    <m/>
    <m/>
    <m/>
    <m/>
    <m/>
    <m/>
    <m/>
    <m/>
    <n v="21629"/>
    <n v="32443"/>
    <n v="54072"/>
    <m/>
    <m/>
    <m/>
    <s v="YES"/>
    <m/>
    <m/>
    <m/>
    <s v="YES"/>
    <n v="54072"/>
    <n v="0.4"/>
    <m/>
    <s v="YES"/>
    <m/>
    <m/>
    <m/>
    <s v="YES"/>
    <m/>
    <m/>
    <m/>
    <s v="NO"/>
    <m/>
    <m/>
    <m/>
    <s v="NO"/>
    <m/>
    <m/>
    <m/>
    <s v="YES"/>
    <m/>
    <m/>
    <m/>
    <s v="NO"/>
    <m/>
    <m/>
    <m/>
    <s v="NO"/>
    <m/>
    <m/>
    <m/>
    <s v="NO"/>
    <m/>
    <m/>
    <m/>
    <s v="YES"/>
    <m/>
    <m/>
    <m/>
    <s v="YES"/>
    <m/>
    <m/>
    <m/>
    <s v="YES"/>
    <m/>
    <m/>
    <m/>
    <s v="NO"/>
    <m/>
    <m/>
    <m/>
    <s v="YES"/>
    <m/>
    <m/>
    <m/>
    <s v="NO"/>
    <m/>
    <m/>
    <m/>
    <m/>
    <m/>
    <m/>
    <m/>
    <m/>
    <s v="NO"/>
    <s v="April"/>
    <m/>
    <s v="NO"/>
    <s v="NO"/>
    <m/>
    <m/>
    <m/>
    <x v="0"/>
    <s v="NO"/>
    <s v="YES"/>
    <s v="YES"/>
    <s v="YES"/>
    <s v="YES"/>
    <s v="NO"/>
    <s v="YES"/>
    <m/>
    <m/>
    <x v="0"/>
    <m/>
    <x v="1"/>
    <s v="VSLA, CFW, NRM groups, CAHWs, PFS,"/>
    <x v="0"/>
    <x v="0"/>
    <s v="YES"/>
    <x v="0"/>
    <x v="0"/>
    <x v="0"/>
    <x v="0"/>
    <n v="4"/>
    <x v="1"/>
    <x v="1"/>
    <x v="2"/>
    <x v="1"/>
    <x v="1"/>
    <x v="1"/>
    <n v="3"/>
    <x v="3"/>
    <x v="1"/>
    <x v="1"/>
    <x v="1"/>
    <x v="4"/>
    <n v="3"/>
    <x v="0"/>
    <x v="2"/>
    <n v="2"/>
    <s v="Grassroots organization(s)"/>
    <m/>
    <m/>
    <x v="2"/>
    <m/>
    <m/>
    <s v="Facilitate access to financial services thought VSLA for vulnerable households to support HH income"/>
    <s v="Drought resource management aimed at enabling the community to understand the importance of managing their resources prior to droughts with early warning early action EWEA committee"/>
    <s v="Cash for Work (CFW) intreventions vitial to support communities during periods of pro longed droughts"/>
    <s v="Good governance plays a critical role in resilience building. It is vital to have buy in from local authorities and governments to support long term resilience building of communities."/>
    <s v="Pro longed drought situation is a challenge as communities migrate and their needs are humanitarian basic needs and not long term resilience building such as training at that time of drought"/>
    <s v="Resilience is a continuous process and requires constant community engagement, ownership and support and at times difficult due to community humunitrian mindset"/>
    <m/>
    <m/>
    <n v="54072"/>
    <n v="0"/>
    <n v="0"/>
    <n v="0.4000036987720077"/>
    <s v=""/>
    <n v="21629"/>
    <n v="0"/>
    <n v="1"/>
    <n v="2388"/>
    <n v="0"/>
    <n v="0"/>
    <n v="1"/>
    <n v="54072"/>
    <n v="0"/>
    <n v="0"/>
    <s v=""/>
    <n v="0"/>
    <n v="0"/>
    <s v=""/>
    <s v=""/>
    <n v="0"/>
    <n v="0"/>
    <s v=""/>
    <s v=""/>
    <n v="0"/>
    <n v="0"/>
    <s v=""/>
    <s v="2. Sensitive"/>
    <s v="2. Accommodating"/>
    <s v="4. Transformative"/>
    <s v="It did not develop any specific innovation"/>
    <s v="Little or no advocacy"/>
    <s v="It linked and worked with strategic alliances and partners to take tested and effective solutions to scale"/>
  </r>
  <r>
    <x v="65"/>
    <x v="3"/>
    <n v="3340"/>
    <s v="Somalia Resilience Program -SOMREP Resilience in Badhan"/>
    <s v="Somalia"/>
    <s v="US0YU"/>
    <s v="No CARE member related to the project/initiative"/>
    <s v="Multilateral agency"/>
    <s v="Other"/>
    <s v="SIDA"/>
    <m/>
    <m/>
    <m/>
    <m/>
    <m/>
    <m/>
    <m/>
    <m/>
    <m/>
    <m/>
    <m/>
    <m/>
    <m/>
    <m/>
    <m/>
    <m/>
    <m/>
    <m/>
    <m/>
    <m/>
    <m/>
    <m/>
    <m/>
    <m/>
    <m/>
    <m/>
    <m/>
    <m/>
    <m/>
    <m/>
    <m/>
    <m/>
    <m/>
    <m/>
    <m/>
    <m/>
    <m/>
    <m/>
    <m/>
    <m/>
    <m/>
    <m/>
    <m/>
    <m/>
    <m/>
    <d v="2013-10-15T00:00:00"/>
    <d v="2016-10-14T00:00:00"/>
    <m/>
    <s v="Development Food &amp; Nutrition Security and Resilience to Climate Change"/>
    <n v="1863400"/>
    <s v="Ahmed Hussein Osman"/>
    <s v="Team Leader"/>
    <s v="ahmed.hussein@care.org"/>
    <s v="Zahra Dahir"/>
    <s v="Monitoring &amp; Learning Coordinator"/>
    <s v="Zahra.Dahir@care.org"/>
    <s v="YES"/>
    <s v="YES"/>
    <s v="YES"/>
    <s v="Increase the resilience of chronically vulnerable people , HHs, communities and systems in target pastoral , agro-pastoral and peri-urban livelihood zones"/>
    <s v="Sub-National"/>
    <s v="Sanaag Region of Puntland state of Somalia"/>
    <s v="Patoralist, Agro-pastoralist and Peri Urban populations"/>
    <n v="7320"/>
    <n v="10980"/>
    <n v="18300"/>
    <n v="43920"/>
    <n v="65880"/>
    <n v="109800"/>
    <s v="3050 HH targeted multipled by 6 person (as average HH size members) = 18,300 Persons (40 female) multipled by 6 for indirect particpants as project benefits will reach all members of a household indirectly"/>
    <m/>
    <m/>
    <m/>
    <m/>
    <m/>
    <m/>
    <m/>
    <m/>
    <m/>
    <m/>
    <m/>
    <s v="YES"/>
    <m/>
    <m/>
    <m/>
    <m/>
    <m/>
    <m/>
    <m/>
    <m/>
    <m/>
    <m/>
    <m/>
    <m/>
    <m/>
    <m/>
    <m/>
    <m/>
    <m/>
    <m/>
    <m/>
    <m/>
    <m/>
    <m/>
    <m/>
    <m/>
    <m/>
    <m/>
    <m/>
    <m/>
    <m/>
    <m/>
    <m/>
    <m/>
    <m/>
    <m/>
    <m/>
    <m/>
    <m/>
    <m/>
    <m/>
    <m/>
    <m/>
    <m/>
    <m/>
    <m/>
    <m/>
    <m/>
    <m/>
    <m/>
    <n v="7320"/>
    <n v="10980"/>
    <n v="18300"/>
    <n v="43920"/>
    <n v="65880"/>
    <n v="109800"/>
    <s v="YES"/>
    <m/>
    <m/>
    <m/>
    <s v="YES"/>
    <n v="18300"/>
    <n v="0.4"/>
    <n v="109800"/>
    <s v="NO"/>
    <m/>
    <m/>
    <m/>
    <s v="YES"/>
    <m/>
    <m/>
    <m/>
    <s v="NO"/>
    <m/>
    <m/>
    <m/>
    <s v="NO"/>
    <m/>
    <m/>
    <m/>
    <s v="YES"/>
    <m/>
    <m/>
    <m/>
    <s v="NO"/>
    <m/>
    <m/>
    <m/>
    <s v="NO"/>
    <m/>
    <m/>
    <m/>
    <s v="NO"/>
    <m/>
    <m/>
    <m/>
    <s v="YES"/>
    <m/>
    <m/>
    <m/>
    <s v="YES"/>
    <m/>
    <m/>
    <m/>
    <s v="YES"/>
    <m/>
    <m/>
    <m/>
    <s v="NO"/>
    <m/>
    <m/>
    <m/>
    <s v="YES"/>
    <m/>
    <m/>
    <m/>
    <s v="NO"/>
    <m/>
    <m/>
    <m/>
    <m/>
    <m/>
    <m/>
    <m/>
    <m/>
    <s v="NO"/>
    <m/>
    <m/>
    <s v="NO"/>
    <s v="NO"/>
    <m/>
    <m/>
    <m/>
    <x v="1"/>
    <s v="NO"/>
    <s v="YES"/>
    <s v="YES"/>
    <s v="YES"/>
    <s v="NO"/>
    <s v="NO"/>
    <s v="NO"/>
    <m/>
    <m/>
    <x v="0"/>
    <m/>
    <x v="3"/>
    <m/>
    <x v="0"/>
    <x v="0"/>
    <s v="YES"/>
    <x v="0"/>
    <x v="0"/>
    <x v="0"/>
    <x v="0"/>
    <n v="4"/>
    <x v="1"/>
    <x v="1"/>
    <x v="1"/>
    <x v="1"/>
    <x v="1"/>
    <x v="1"/>
    <n v="4"/>
    <x v="3"/>
    <x v="1"/>
    <x v="1"/>
    <x v="1"/>
    <x v="4"/>
    <n v="3"/>
    <x v="0"/>
    <x v="1"/>
    <m/>
    <m/>
    <m/>
    <m/>
    <x v="1"/>
    <m/>
    <m/>
    <s v="Cash-for-Work (CFW) interventions were conducted during the hard times for the pastoralist who were on a constant move from one dry area to another.  The of CFW was partly to curb the worsening food and nutrition security of the targeted families to enable them have the flexibility to work, earn income and purchase food and other family needs for the betterment of children and women"/>
    <s v="Agro- pastoral field schools training was conducted to gain understanding on PFS and how it is managed to guide the community on pastoral field schools formation and"/>
    <s v="Drought resource management aimed at enabling the community to understand the importance of managing their resources prior to droughts with early warning early action EWEA committee"/>
    <s v="Drought is a major challenge: This had an impact on implementation because pastoralist migrated to far areas in search of pasture and water for their animals. Tracking them was somehow difficult with some community members leaving for others areas that are out of project sites. Getting community participation and contributions was a challenge from those who left behind mainly women and kids with no food and water available"/>
    <s v="Limited private sector services: In Sanaag, private sector is limited in the region with most coming from Garowe and Bossaso. This is a challenge because the community access to credits and also to other services."/>
    <s v="Purchasing power: the power chasing powers of the community has gone down due to the recurrent droughts in region and this was a big challenge when it comes to community contributions and also building resilience because education is a key to resilience building. Community members are finding to pay school fees and support their families too."/>
    <m/>
    <s v="All project documents avaliable"/>
    <n v="18300"/>
    <n v="109800"/>
    <n v="6"/>
    <n v="0.4"/>
    <n v="0.4"/>
    <n v="7320"/>
    <n v="43920"/>
    <n v="1"/>
    <n v="0"/>
    <n v="0"/>
    <s v=""/>
    <n v="1"/>
    <n v="18300"/>
    <n v="109800"/>
    <n v="6"/>
    <s v=""/>
    <n v="0"/>
    <n v="0"/>
    <s v=""/>
    <s v=""/>
    <n v="0"/>
    <n v="0"/>
    <s v=""/>
    <s v=""/>
    <n v="0"/>
    <n v="0"/>
    <s v=""/>
    <s v="2. Sensitive"/>
    <s v="2. Accommodating"/>
    <s v="4. Transformative"/>
    <s v="It did not develop any specific innovation"/>
    <s v="Moderate advocacy"/>
    <s v="It took tested solutions to scale on its own"/>
  </r>
  <r>
    <x v="65"/>
    <x v="3"/>
    <n v="3332"/>
    <s v="SOMALIA SOMALILAND PUNTLAND JOINT RESPONSE PROJECT 1"/>
    <s v="Somalia"/>
    <s v="CNLDSO0066"/>
    <s v="CARE Nederland"/>
    <s v="Other"/>
    <s v="Other"/>
    <s v="Dutch Relief Aid"/>
    <m/>
    <m/>
    <m/>
    <m/>
    <m/>
    <m/>
    <m/>
    <m/>
    <m/>
    <m/>
    <m/>
    <m/>
    <m/>
    <m/>
    <m/>
    <m/>
    <m/>
    <m/>
    <m/>
    <m/>
    <m/>
    <m/>
    <m/>
    <m/>
    <m/>
    <m/>
    <m/>
    <m/>
    <m/>
    <m/>
    <m/>
    <m/>
    <m/>
    <m/>
    <m/>
    <m/>
    <m/>
    <m/>
    <m/>
    <m/>
    <m/>
    <m/>
    <m/>
    <m/>
    <m/>
    <d v="2016-07-01T00:00:00"/>
    <d v="2016-09-30T00:00:00"/>
    <m/>
    <s v="Humanitarian Other"/>
    <n v="640199"/>
    <s v="Ibrahim Hassan"/>
    <s v="Emergency director"/>
    <s v="ibrahim.hassan@care.org"/>
    <s v="Elmi Abdinur"/>
    <s v="Humanitarian coordinator"/>
    <s v="elmi.nur@care.org"/>
    <s v="YES"/>
    <s v="NO"/>
    <s v="NO"/>
    <s v="To alleviate suffering and reduce vulnerability among disaster-affected and vulnerable host communities in Sanaag, Bari, Nugaal, Banadir and Lower Juba regions in Somalia by increasing access to basic services"/>
    <s v="Sub-National"/>
    <s v="Sanaag, Awdal  regions in Somalia"/>
    <s v="Disaster-affected and vulnerable host communities who include women, men, youth, boys and girls"/>
    <n v="10700"/>
    <n v="10000"/>
    <n v="20700"/>
    <m/>
    <m/>
    <m/>
    <s v="The direct beneficiaries are those individulas in the houesholds that received the sector services (wash and cash)"/>
    <m/>
    <n v="10700"/>
    <n v="10000"/>
    <n v="20700"/>
    <m/>
    <m/>
    <m/>
    <s v="NO"/>
    <m/>
    <m/>
    <m/>
    <s v="YES"/>
    <n v="4600"/>
    <n v="0.51"/>
    <m/>
    <s v="NO"/>
    <m/>
    <m/>
    <m/>
    <s v="NO"/>
    <m/>
    <m/>
    <m/>
    <s v="NO"/>
    <m/>
    <m/>
    <m/>
    <s v="NO"/>
    <m/>
    <m/>
    <m/>
    <s v="NO"/>
    <m/>
    <m/>
    <m/>
    <s v="NO"/>
    <m/>
    <m/>
    <m/>
    <s v="NO"/>
    <m/>
    <m/>
    <m/>
    <s v="NO"/>
    <m/>
    <m/>
    <m/>
    <s v="NO"/>
    <m/>
    <m/>
    <m/>
    <s v="YES"/>
    <n v="16100"/>
    <n v="0.49"/>
    <m/>
    <m/>
    <m/>
    <m/>
    <m/>
    <m/>
    <m/>
    <m/>
    <m/>
    <m/>
    <m/>
    <m/>
    <m/>
    <m/>
    <m/>
    <m/>
    <m/>
    <m/>
    <m/>
    <m/>
    <m/>
    <m/>
    <m/>
    <m/>
    <m/>
    <m/>
    <m/>
    <m/>
    <m/>
    <m/>
    <m/>
    <m/>
    <m/>
    <m/>
    <m/>
    <m/>
    <m/>
    <m/>
    <m/>
    <m/>
    <m/>
    <m/>
    <m/>
    <m/>
    <m/>
    <m/>
    <m/>
    <m/>
    <m/>
    <m/>
    <m/>
    <m/>
    <m/>
    <m/>
    <m/>
    <m/>
    <m/>
    <m/>
    <m/>
    <m/>
    <m/>
    <m/>
    <m/>
    <m/>
    <m/>
    <m/>
    <m/>
    <m/>
    <m/>
    <m/>
    <m/>
    <m/>
    <m/>
    <m/>
    <m/>
    <m/>
    <m/>
    <m/>
    <m/>
    <m/>
    <m/>
    <s v="NO"/>
    <s v="December"/>
    <n v="2016"/>
    <s v="NO"/>
    <s v="YES"/>
    <s v="December"/>
    <n v="2017"/>
    <m/>
    <x v="1"/>
    <s v="NO"/>
    <s v="YES"/>
    <s v="YES"/>
    <s v="YES"/>
    <s v="NO"/>
    <s v="NO"/>
    <s v="NO"/>
    <s v="NO"/>
    <m/>
    <x v="0"/>
    <m/>
    <x v="3"/>
    <m/>
    <x v="1"/>
    <x v="0"/>
    <s v="YES"/>
    <x v="0"/>
    <x v="0"/>
    <x v="0"/>
    <x v="0"/>
    <n v="4"/>
    <x v="1"/>
    <x v="1"/>
    <x v="1"/>
    <x v="1"/>
    <x v="1"/>
    <x v="1"/>
    <n v="4"/>
    <x v="1"/>
    <x v="1"/>
    <x v="1"/>
    <x v="1"/>
    <x v="1"/>
    <n v="3"/>
    <x v="0"/>
    <x v="1"/>
    <m/>
    <m/>
    <m/>
    <m/>
    <x v="1"/>
    <m/>
    <s v="No changes or adjustment have occurred"/>
    <s v="Need to be conducting rapid assessments  prior to project implementation"/>
    <s v="Efficiency while conducting the coordination meetings"/>
    <s v="Need to ensure that the community hygiene promoters are conducting the campaigns appropriately"/>
    <s v="Ensuring that  the community beneficiaries are well consulted on the water points that need to be rehabilitated"/>
    <s v="Emphasis to be put more on gender responsiveness when it comes to cash for work activities"/>
    <s v="Ensuring that the local authorities are aware of the implementations that are on-going"/>
    <m/>
    <s v="end of project report"/>
    <n v="20700"/>
    <n v="0"/>
    <n v="0"/>
    <n v="0.51690821256038644"/>
    <s v=""/>
    <n v="10700"/>
    <n v="0"/>
    <n v="1"/>
    <n v="20700"/>
    <n v="0"/>
    <n v="0"/>
    <s v=""/>
    <n v="0"/>
    <n v="0"/>
    <s v=""/>
    <s v=""/>
    <n v="0"/>
    <n v="0"/>
    <s v=""/>
    <s v=""/>
    <n v="0"/>
    <n v="0"/>
    <s v=""/>
    <s v=""/>
    <n v="0"/>
    <n v="0"/>
    <s v=""/>
    <s v="2. Sensitive"/>
    <s v="2. Accommodating"/>
    <s v="2. Sensitive"/>
    <s v="It did not develop any specific innovation"/>
    <s v="Moderate advocacy"/>
    <s v="It took tested solutions to scale on its own"/>
  </r>
  <r>
    <x v="65"/>
    <x v="3"/>
    <m/>
    <s v="SOMALIA SOMALILAND PUNTLAND JOINT RESPONSE PROJECT 2"/>
    <s v="Somalia"/>
    <s v="CNLDSO0070"/>
    <s v="CARE Nederland"/>
    <s v="Other"/>
    <s v="Other"/>
    <s v="Dutch Relief Aid"/>
    <m/>
    <m/>
    <m/>
    <m/>
    <m/>
    <m/>
    <m/>
    <m/>
    <m/>
    <m/>
    <m/>
    <m/>
    <m/>
    <m/>
    <m/>
    <m/>
    <m/>
    <m/>
    <m/>
    <m/>
    <m/>
    <m/>
    <m/>
    <m/>
    <m/>
    <m/>
    <m/>
    <m/>
    <m/>
    <m/>
    <m/>
    <m/>
    <m/>
    <m/>
    <m/>
    <m/>
    <m/>
    <m/>
    <m/>
    <m/>
    <m/>
    <m/>
    <m/>
    <m/>
    <m/>
    <d v="2017-02-16T00:00:00"/>
    <d v="2017-08-16T00:00:00"/>
    <m/>
    <s v="Humanitarian Other"/>
    <n v="433161"/>
    <s v="Ibrahim Hassan"/>
    <s v="Emergency director"/>
    <s v="ibrahim.hassan@care.org"/>
    <s v="Elmi Abdinur"/>
    <s v="Humanitarian coordinator"/>
    <s v="elmi.nur@care.org"/>
    <s v="YES"/>
    <s v="NO"/>
    <s v="NO"/>
    <s v="To alleviate suffering and reduce vulnerability among disaster-affected and vulnerable host communities in Sanaag, Bari, Nugaal, Banadir and Lower Juba regions in Somalia by increasing access to basic services"/>
    <s v="Sub-National"/>
    <s v="Sool  regions in Somalia"/>
    <s v="Disaster-affected and vulnerable host communities who include women, men, youth, boys and girls"/>
    <n v="24200"/>
    <n v="20000"/>
    <n v="44200"/>
    <m/>
    <m/>
    <m/>
    <s v="The direct beneficiaries are those individulas in the households that received the sector services (wash and cash)"/>
    <m/>
    <n v="24200"/>
    <n v="20000"/>
    <n v="44200"/>
    <m/>
    <m/>
    <m/>
    <s v="NO"/>
    <m/>
    <m/>
    <m/>
    <s v="YES"/>
    <n v="7200"/>
    <n v="0.51"/>
    <m/>
    <s v="NO"/>
    <m/>
    <m/>
    <m/>
    <s v="NO"/>
    <m/>
    <m/>
    <m/>
    <s v="NO"/>
    <m/>
    <m/>
    <m/>
    <s v="NO"/>
    <m/>
    <m/>
    <m/>
    <s v="NO"/>
    <m/>
    <m/>
    <m/>
    <s v="NO"/>
    <m/>
    <m/>
    <m/>
    <s v="NO"/>
    <m/>
    <m/>
    <m/>
    <s v="NO"/>
    <m/>
    <m/>
    <m/>
    <s v="NO"/>
    <m/>
    <m/>
    <m/>
    <s v="YES"/>
    <n v="37000"/>
    <n v="0.49"/>
    <m/>
    <m/>
    <m/>
    <m/>
    <m/>
    <m/>
    <m/>
    <m/>
    <m/>
    <m/>
    <m/>
    <m/>
    <m/>
    <m/>
    <m/>
    <m/>
    <m/>
    <m/>
    <m/>
    <m/>
    <m/>
    <m/>
    <m/>
    <m/>
    <m/>
    <m/>
    <m/>
    <m/>
    <m/>
    <m/>
    <m/>
    <m/>
    <m/>
    <m/>
    <m/>
    <m/>
    <m/>
    <m/>
    <m/>
    <m/>
    <m/>
    <m/>
    <m/>
    <m/>
    <m/>
    <m/>
    <m/>
    <m/>
    <m/>
    <m/>
    <m/>
    <m/>
    <m/>
    <m/>
    <m/>
    <m/>
    <m/>
    <m/>
    <m/>
    <m/>
    <m/>
    <m/>
    <m/>
    <m/>
    <m/>
    <m/>
    <m/>
    <m/>
    <m/>
    <m/>
    <m/>
    <m/>
    <m/>
    <m/>
    <m/>
    <m/>
    <m/>
    <m/>
    <m/>
    <m/>
    <m/>
    <s v="NO"/>
    <m/>
    <m/>
    <s v="NO"/>
    <s v="YES"/>
    <s v="September"/>
    <n v="2017"/>
    <m/>
    <x v="1"/>
    <s v="NO"/>
    <s v="YES"/>
    <s v="YES"/>
    <s v="YES"/>
    <s v="NO"/>
    <s v="NO"/>
    <s v="NO"/>
    <s v="NO"/>
    <m/>
    <x v="0"/>
    <m/>
    <x v="3"/>
    <m/>
    <x v="1"/>
    <x v="0"/>
    <s v="YES"/>
    <x v="0"/>
    <x v="0"/>
    <x v="0"/>
    <x v="0"/>
    <n v="4"/>
    <x v="1"/>
    <x v="1"/>
    <x v="1"/>
    <x v="1"/>
    <x v="1"/>
    <x v="1"/>
    <n v="4"/>
    <x v="1"/>
    <x v="1"/>
    <x v="0"/>
    <x v="0"/>
    <x v="3"/>
    <n v="1"/>
    <x v="0"/>
    <x v="1"/>
    <m/>
    <m/>
    <m/>
    <m/>
    <x v="1"/>
    <m/>
    <s v="Provision of 25,000 euros from contingency funds were availed, to reduse cases of water related diseases"/>
    <s v="Need to be conducting rapid assessments  prior to project implementation"/>
    <s v="Efficiency while conducting the coordination meetings"/>
    <s v="Need to ensure that the community hygiene promoters are conducting the campaigns appropriately"/>
    <s v="Ensuring that  the community beneficiaries are well consulted on the water points that need to be rehabilitated"/>
    <s v="Emphasis to be put more on gender responsiveness when it comes to cash for work activities"/>
    <s v="Ensuring that the local authorities are aware of the implementations that are on-going"/>
    <m/>
    <s v="End of project report"/>
    <n v="44200"/>
    <n v="0"/>
    <n v="0"/>
    <n v="0.54751131221719462"/>
    <s v=""/>
    <n v="24200"/>
    <n v="0"/>
    <n v="1"/>
    <n v="44200"/>
    <n v="0"/>
    <n v="0"/>
    <s v=""/>
    <n v="0"/>
    <n v="0"/>
    <s v=""/>
    <s v=""/>
    <n v="0"/>
    <n v="0"/>
    <s v=""/>
    <s v=""/>
    <n v="0"/>
    <n v="0"/>
    <s v=""/>
    <s v=""/>
    <n v="0"/>
    <n v="0"/>
    <s v=""/>
    <s v="2. Sensitive"/>
    <s v="2. Accommodating"/>
    <s v="1. Neutral"/>
    <s v="It did not develop any specific innovation"/>
    <s v="Moderate advocacy"/>
    <s v="It took tested solutions to scale on its own"/>
  </r>
  <r>
    <x v="65"/>
    <x v="3"/>
    <n v="3339"/>
    <s v="Somlia Towards Reaching Resilience (STORRE)"/>
    <s v="Somalia"/>
    <s v="OFDASO0026"/>
    <s v="CARE USA"/>
    <s v="Government"/>
    <s v="Government - US"/>
    <s v="USAID"/>
    <m/>
    <m/>
    <m/>
    <m/>
    <m/>
    <m/>
    <m/>
    <m/>
    <m/>
    <m/>
    <m/>
    <m/>
    <m/>
    <m/>
    <m/>
    <m/>
    <m/>
    <m/>
    <m/>
    <m/>
    <m/>
    <m/>
    <m/>
    <m/>
    <m/>
    <m/>
    <m/>
    <m/>
    <m/>
    <m/>
    <m/>
    <m/>
    <m/>
    <m/>
    <m/>
    <m/>
    <m/>
    <m/>
    <m/>
    <m/>
    <m/>
    <m/>
    <m/>
    <m/>
    <m/>
    <d v="2014-09-30T00:00:00"/>
    <d v="2014-09-30T00:00:00"/>
    <d v="2017-11-30T00:00:00"/>
    <s v="Development Food &amp; Nutrition Security and Resilience to Climate Change"/>
    <n v="3500000"/>
    <s v="Abdirahim Gure"/>
    <s v="Abdirahim.SalahGure@care.org"/>
    <n v="-634517725"/>
    <s v="Mohamed Tahir"/>
    <s v="Mohamed.Tahir@care.org"/>
    <n v="-633666352"/>
    <s v="YES"/>
    <s v="YES"/>
    <s v="YES"/>
    <s v="Equitably increase resilience of women and men in 4240 households in 20 villages, by increasing understanding of and capacity to manage household to landscape level risks and changes that undermine resilience, through livelihoods support, equitable and effective resource management, and strengthened local governance systems."/>
    <s v="Sub-National"/>
    <s v="Erigavo and Badhan District of Sanaag Region, Somalia"/>
    <s v="Communities  Badhan and Erigavo Districts mainly vulnerable rural women, youth, and other vulnerable groups, village councils, pastoralist groups, VSLA members"/>
    <n v="13229"/>
    <n v="12211"/>
    <n v="25440"/>
    <m/>
    <m/>
    <m/>
    <s v="The direct particpants are community members (mainly vulnerable rural women, pastoralist groups, VSLA members)   in 20 villiages in 2 districts of Sannag region , 15 villiages in Erigavo  a total of 19080 reached and 5 in Badhan a total of 6,360 reached  in total directly reaching 25,440 people"/>
    <m/>
    <m/>
    <m/>
    <m/>
    <m/>
    <m/>
    <m/>
    <s v="NO"/>
    <m/>
    <m/>
    <m/>
    <s v="YES"/>
    <n v="11220"/>
    <n v="0.55000000000000004"/>
    <m/>
    <s v="NO"/>
    <m/>
    <m/>
    <m/>
    <s v="YES"/>
    <m/>
    <m/>
    <m/>
    <s v="YES"/>
    <m/>
    <m/>
    <m/>
    <s v="YES"/>
    <m/>
    <m/>
    <m/>
    <s v="NO"/>
    <m/>
    <m/>
    <m/>
    <s v="Yes"/>
    <m/>
    <m/>
    <m/>
    <s v="NO"/>
    <m/>
    <m/>
    <m/>
    <s v="NO"/>
    <m/>
    <m/>
    <m/>
    <s v="NO"/>
    <m/>
    <m/>
    <m/>
    <s v="YES"/>
    <m/>
    <m/>
    <m/>
    <m/>
    <m/>
    <m/>
    <m/>
    <m/>
    <n v="10021"/>
    <n v="9250"/>
    <n v="19271"/>
    <m/>
    <m/>
    <m/>
    <s v="YES"/>
    <n v="3264"/>
    <n v="0.5"/>
    <m/>
    <s v="YES"/>
    <m/>
    <m/>
    <m/>
    <m/>
    <m/>
    <m/>
    <m/>
    <s v="YES"/>
    <n v="620"/>
    <n v="2.4371069182389939E-2"/>
    <m/>
    <s v="YES"/>
    <n v="4060"/>
    <n v="0.15959119496855345"/>
    <m/>
    <m/>
    <m/>
    <m/>
    <m/>
    <s v="YES"/>
    <n v="3978"/>
    <n v="0.15636792452830189"/>
    <m/>
    <m/>
    <m/>
    <n v="0"/>
    <m/>
    <s v="YES"/>
    <m/>
    <m/>
    <m/>
    <m/>
    <m/>
    <n v="0"/>
    <m/>
    <m/>
    <m/>
    <n v="0"/>
    <m/>
    <s v="YES"/>
    <m/>
    <m/>
    <m/>
    <s v="YES"/>
    <m/>
    <m/>
    <m/>
    <m/>
    <m/>
    <m/>
    <m/>
    <s v="YES"/>
    <n v="7350"/>
    <n v="0.28891509433962265"/>
    <m/>
    <s v="YES"/>
    <m/>
    <m/>
    <m/>
    <m/>
    <s v="NO"/>
    <m/>
    <m/>
    <m/>
    <s v="NO"/>
    <m/>
    <m/>
    <m/>
    <s v="YES"/>
    <s v="December"/>
    <n v="2017"/>
    <s v="USAID will carry out endline evaluation will by  the end of this year"/>
    <x v="1"/>
    <s v="NO"/>
    <s v="YES"/>
    <s v="YES"/>
    <s v="YES"/>
    <s v="YES"/>
    <s v="NO"/>
    <s v="NO"/>
    <m/>
    <m/>
    <x v="2"/>
    <s v="Innovative community-based approach to enhance resilience and promote womens empowerment- CVCA-Gendered Climate Vulnerability and Capacity Analysis (CVCA) Enable Participatory Monitoring, Evaluation, Reflection, and Learning (PMERL) for building resilience."/>
    <x v="1"/>
    <s v="VSLA groups, community CAPs, VC Villiage council strnegthning, Community-based Disaster Risk Management (CBDRM)"/>
    <x v="0"/>
    <x v="1"/>
    <s v="YES"/>
    <x v="0"/>
    <x v="0"/>
    <x v="0"/>
    <x v="2"/>
    <n v="4"/>
    <x v="2"/>
    <x v="1"/>
    <x v="2"/>
    <x v="1"/>
    <x v="1"/>
    <x v="5"/>
    <n v="3"/>
    <x v="3"/>
    <x v="1"/>
    <x v="1"/>
    <x v="1"/>
    <x v="4"/>
    <n v="3"/>
    <x v="0"/>
    <x v="1"/>
    <n v="1"/>
    <s v="University/research institution(s)"/>
    <m/>
    <m/>
    <x v="1"/>
    <m/>
    <s v="No changes or adjustments made"/>
    <s v="Village saving and loan asociation (VSLAs) enhancing women economic income and act as safety nets during times of need"/>
    <s v="Water infrastructure establishment through Public Private partnership (PPP) to ensure greater sustainability of efforts made during project period"/>
    <s v="Community-Based Natural Resource Management (CBNRM) approach adopted to ensure community ownership and buy in from project start up"/>
    <s v="Below average rainfalls of the last two rainy seasons casused drought which was the most serious challenge faced by the project"/>
    <s v="Insecurity and instability due to political situation and elections, voter registration  caused the suspension of activities as the political atmosphere was tense and in disputed areas by the two administrations and all sorts of political developments by any of the administrations create tension and sometimes lead to armed fighting"/>
    <s v="Migration of some beneficiaries due to drought so inability to conduct some resilience work due to conflicting community priorities and needs"/>
    <m/>
    <s v="Project Proposal, Logframe, reports and all M&amp;E documents avaliable."/>
    <n v="19271"/>
    <n v="0"/>
    <n v="0"/>
    <n v="0.52000415131544808"/>
    <s v=""/>
    <n v="10021"/>
    <n v="0"/>
    <n v="1"/>
    <n v="0"/>
    <n v="0"/>
    <s v=""/>
    <n v="1"/>
    <n v="7350"/>
    <n v="0"/>
    <n v="0"/>
    <s v=""/>
    <n v="0"/>
    <n v="0"/>
    <s v=""/>
    <n v="1"/>
    <n v="0"/>
    <n v="0"/>
    <s v=""/>
    <n v="1"/>
    <n v="647.94025157232704"/>
    <n v="0"/>
    <n v="0"/>
    <s v="4. Transformative"/>
    <s v="3. Responsive"/>
    <s v="4. Transformative"/>
    <s v="It tested new ways for fighting poverty and measured results of innovation"/>
    <s v="Moderate advocacy"/>
    <s v="It linked and worked with strategic alliances and partners to take tested and effective solutions to scale"/>
  </r>
  <r>
    <x v="65"/>
    <x v="3"/>
    <n v="3349"/>
    <s v="Strengthening Civil Society Organisations and Public Sector Engagements in Somalia (SCOPES) Project"/>
    <s v="Somalia"/>
    <s v="NL184"/>
    <s v="CARE Nederland"/>
    <s v="Government"/>
    <s v="Government - Netherlands"/>
    <m/>
    <m/>
    <m/>
    <m/>
    <m/>
    <m/>
    <m/>
    <m/>
    <m/>
    <m/>
    <m/>
    <m/>
    <m/>
    <m/>
    <m/>
    <m/>
    <m/>
    <m/>
    <m/>
    <m/>
    <m/>
    <m/>
    <m/>
    <m/>
    <m/>
    <m/>
    <m/>
    <m/>
    <m/>
    <m/>
    <m/>
    <m/>
    <m/>
    <m/>
    <m/>
    <m/>
    <m/>
    <m/>
    <m/>
    <m/>
    <m/>
    <m/>
    <m/>
    <m/>
    <m/>
    <m/>
    <d v="2013-11-18T00:00:00"/>
    <d v="2016-12-31T00:00:00"/>
    <m/>
    <s v="Development Access to and Control over Economic Resources"/>
    <n v="1066667"/>
    <s v="Ibrahim Nur"/>
    <s v="Program Coordinator - Urban Youth programme, CARE Somalia"/>
    <s v="Nur.ibrahim@care.org"/>
    <s v="Khadra Yusuf Jama"/>
    <s v="Youth Empowerment Manager"/>
    <s v="Khadra.yusuf@care.org"/>
    <s v="YES"/>
    <s v="YES"/>
    <s v="YES"/>
    <s v="Contribute to the development of an effective civil society engagement towards the achievement of the strategic objectives of Peacebuilding and State-building Goal (PSG) 1 of the Somali Compact, namely achieve a stable and peaceful federal Somalia through inclusive political processes"/>
    <s v="National"/>
    <s v="Puntland and South Central Somalia"/>
    <s v="Youth led CSO , women CSO , minority , IDP"/>
    <n v="923"/>
    <n v="1725"/>
    <n v="2648"/>
    <m/>
    <m/>
    <m/>
    <s v="Direct benefcaries are the out of school children who are enrolled for formal primary education, 40% are girls and 60% are boys out of 30,100 children. And the indirect are those who were not targeted by the project but they can benefit from the school constructed, teachers trained, community education committee, the estaimated number of out of schould children is 150,000 in Somalia and 45% are girls"/>
    <m/>
    <n v="517"/>
    <n v="693"/>
    <n v="1210"/>
    <n v="2358"/>
    <n v="2642"/>
    <n v="5000"/>
    <m/>
    <m/>
    <m/>
    <m/>
    <m/>
    <m/>
    <m/>
    <m/>
    <m/>
    <m/>
    <m/>
    <m/>
    <m/>
    <m/>
    <m/>
    <m/>
    <m/>
    <m/>
    <m/>
    <m/>
    <s v="YES"/>
    <n v="1210"/>
    <n v="0.42699999999999999"/>
    <n v="5000"/>
    <m/>
    <m/>
    <m/>
    <m/>
    <m/>
    <m/>
    <m/>
    <m/>
    <m/>
    <m/>
    <m/>
    <m/>
    <m/>
    <m/>
    <m/>
    <m/>
    <m/>
    <m/>
    <m/>
    <m/>
    <m/>
    <m/>
    <m/>
    <m/>
    <m/>
    <m/>
    <m/>
    <m/>
    <m/>
    <n v="517"/>
    <n v="693"/>
    <n v="1210"/>
    <n v="2358"/>
    <n v="2642"/>
    <n v="5000"/>
    <m/>
    <m/>
    <m/>
    <m/>
    <m/>
    <m/>
    <m/>
    <m/>
    <m/>
    <m/>
    <m/>
    <m/>
    <m/>
    <m/>
    <m/>
    <m/>
    <m/>
    <m/>
    <m/>
    <m/>
    <m/>
    <m/>
    <m/>
    <m/>
    <m/>
    <m/>
    <m/>
    <m/>
    <m/>
    <m/>
    <m/>
    <m/>
    <m/>
    <m/>
    <m/>
    <m/>
    <m/>
    <m/>
    <m/>
    <m/>
    <m/>
    <m/>
    <m/>
    <m/>
    <m/>
    <m/>
    <m/>
    <m/>
    <s v="YES"/>
    <m/>
    <m/>
    <n v="2648"/>
    <m/>
    <m/>
    <m/>
    <m/>
    <m/>
    <m/>
    <m/>
    <m/>
    <m/>
    <m/>
    <m/>
    <m/>
    <m/>
    <m/>
    <m/>
    <m/>
    <m/>
    <s v="NO"/>
    <m/>
    <m/>
    <m/>
    <s v="YES"/>
    <s v="January"/>
    <n v="2017"/>
    <m/>
    <x v="2"/>
    <s v="YES"/>
    <s v="YES"/>
    <s v="YES"/>
    <s v="YES"/>
    <s v="YES"/>
    <s v="YES"/>
    <s v="YES"/>
    <m/>
    <m/>
    <x v="0"/>
    <s v="Vocational education for youth and village saving and loan association"/>
    <x v="1"/>
    <s v="Girl challenge education"/>
    <x v="3"/>
    <x v="0"/>
    <s v="YES"/>
    <x v="0"/>
    <x v="0"/>
    <x v="0"/>
    <x v="0"/>
    <n v="4"/>
    <x v="0"/>
    <x v="0"/>
    <x v="0"/>
    <x v="0"/>
    <x v="0"/>
    <x v="0"/>
    <n v="0"/>
    <x v="0"/>
    <x v="0"/>
    <x v="0"/>
    <x v="0"/>
    <x v="0"/>
    <n v="0"/>
    <x v="2"/>
    <x v="2"/>
    <m/>
    <s v="Local NGO(s)/CSO(s)"/>
    <s v="Grassroots organization(s)"/>
    <s v="Local alliance(s)/Platform(s)/Network(s) of  NGOs/CSOs"/>
    <x v="0"/>
    <m/>
    <m/>
    <m/>
    <m/>
    <m/>
    <m/>
    <m/>
    <m/>
    <m/>
    <m/>
    <n v="1210"/>
    <n v="5000"/>
    <n v="4.1322314049586772"/>
    <n v="0.42727272727272725"/>
    <n v="0.47160000000000002"/>
    <n v="517"/>
    <n v="2358"/>
    <n v="1"/>
    <n v="1210"/>
    <n v="5000"/>
    <n v="4.1322314049586772"/>
    <s v=""/>
    <n v="0"/>
    <n v="0"/>
    <s v=""/>
    <s v=""/>
    <n v="0"/>
    <n v="0"/>
    <s v=""/>
    <s v=""/>
    <n v="0"/>
    <n v="0"/>
    <s v=""/>
    <s v=""/>
    <n v="0"/>
    <n v="0"/>
    <s v=""/>
    <s v="2. Sensitive"/>
    <s v="No marker score"/>
    <s v="No marker score"/>
    <s v="It did not develop any specific innovation"/>
    <s v="Intensive advocacy"/>
    <s v="It linked and worked with strategic alliances and partners to take tested and effective solutions to scale"/>
  </r>
  <r>
    <x v="65"/>
    <x v="3"/>
    <n v="3345"/>
    <s v="The Somali Girls Education Promotion Project (SOMGEP) - Kobcinta Waxbarashada Gabdhaha in Somali"/>
    <s v="Somalia"/>
    <s v="CGBRSO0077"/>
    <s v="CARE UK"/>
    <s v="Government"/>
    <s v="Government - UK"/>
    <s v="DFID"/>
    <m/>
    <m/>
    <m/>
    <m/>
    <m/>
    <m/>
    <m/>
    <m/>
    <m/>
    <m/>
    <m/>
    <m/>
    <m/>
    <m/>
    <m/>
    <m/>
    <m/>
    <m/>
    <m/>
    <m/>
    <m/>
    <m/>
    <m/>
    <m/>
    <m/>
    <m/>
    <m/>
    <m/>
    <m/>
    <m/>
    <m/>
    <m/>
    <m/>
    <m/>
    <m/>
    <m/>
    <m/>
    <m/>
    <m/>
    <m/>
    <m/>
    <m/>
    <m/>
    <m/>
    <m/>
    <d v="2013-03-01T00:00:00"/>
    <d v="2017-03-28T00:00:00"/>
    <m/>
    <s v="Development Other"/>
    <n v="19049129.359999999"/>
    <s v="Gure Abdifarhan Farah"/>
    <s v="SOMGEP Project Manager"/>
    <s v="gure.farah@care.org"/>
    <s v="Muhammad Hassan Qaiser"/>
    <s v="Head of MEAL"/>
    <s v="Muhammad.HassanQ@care.org"/>
    <s v="YES"/>
    <s v="YES"/>
    <s v="YES"/>
    <s v="The project aims to improve access to education, learning outcomes, quality of education and retention of  girls from some of the poorest, most vulnerable and marginalised households in remote and rural areas of  Somaliland, Puntland and Central Somalia."/>
    <s v="National"/>
    <s v="Somaliland, Puntland and Galmudug Zones of Somalia."/>
    <s v="Girls between 5-15 years of age (School age girls - Primary and Secondary school girls)"/>
    <n v="21377"/>
    <n v="16224"/>
    <n v="37601"/>
    <n v="18905"/>
    <n v="18905"/>
    <n v="37810"/>
    <s v="Calculation for wormen and girls(direct) = 15,255(enrlled girls in target schools)+67 pre-service trained teachers+45 in-service trained teachers +5334 mothers who benifited from literacy classes+ 521 females from CECs+ 144(estimated) female teachers who benifited from numeary classes = total 21,377 women and girls Direct Men and boys = 14,869 boys enrolled in targeted schools+ 73 pre-service + 86 in-service teachers + 690 CEC mebers +216 numeary trained teachers on numearcy + 290 religious leader = total 16,224 men and boys ,  For indirect benificiares, this is assumed that project activites along with activities of 2 other education projects will overal in-directly impact 113,432. This is estimated that SOMGEP project will have an estimated 37810 indirect benificiares."/>
    <m/>
    <n v="5394"/>
    <n v="6583"/>
    <n v="11977"/>
    <m/>
    <m/>
    <m/>
    <m/>
    <m/>
    <m/>
    <m/>
    <m/>
    <m/>
    <m/>
    <m/>
    <m/>
    <m/>
    <m/>
    <m/>
    <m/>
    <m/>
    <m/>
    <m/>
    <m/>
    <m/>
    <m/>
    <m/>
    <m/>
    <m/>
    <m/>
    <m/>
    <m/>
    <m/>
    <m/>
    <m/>
    <m/>
    <m/>
    <m/>
    <m/>
    <m/>
    <m/>
    <m/>
    <m/>
    <m/>
    <m/>
    <m/>
    <m/>
    <m/>
    <m/>
    <m/>
    <m/>
    <s v="YES"/>
    <n v="11987"/>
    <n v="0.56999999999999995"/>
    <m/>
    <m/>
    <m/>
    <m/>
    <m/>
    <m/>
    <n v="21377"/>
    <n v="16224"/>
    <n v="37601"/>
    <n v="18905"/>
    <n v="18905"/>
    <n v="37810"/>
    <m/>
    <m/>
    <m/>
    <m/>
    <m/>
    <m/>
    <m/>
    <m/>
    <m/>
    <m/>
    <m/>
    <m/>
    <m/>
    <m/>
    <m/>
    <m/>
    <m/>
    <m/>
    <m/>
    <m/>
    <s v="YES"/>
    <n v="37601"/>
    <n v="0.56999999999999995"/>
    <n v="37810"/>
    <m/>
    <m/>
    <m/>
    <m/>
    <m/>
    <m/>
    <m/>
    <m/>
    <m/>
    <m/>
    <m/>
    <m/>
    <m/>
    <m/>
    <m/>
    <m/>
    <m/>
    <m/>
    <m/>
    <m/>
    <m/>
    <m/>
    <m/>
    <m/>
    <m/>
    <m/>
    <m/>
    <m/>
    <m/>
    <m/>
    <m/>
    <m/>
    <m/>
    <m/>
    <m/>
    <m/>
    <m/>
    <m/>
    <m/>
    <m/>
    <m/>
    <m/>
    <m/>
    <m/>
    <m/>
    <s v="YES"/>
    <s v="November"/>
    <n v="2017"/>
    <s v="YES"/>
    <s v="NO"/>
    <m/>
    <m/>
    <s v="The proiect has ended. A an extention of this project has been signed with the donor with the name GEC-TI for FY18. Baseline will take place for this new project in Nov 2017. Since, the extention of this project will be considered as a new project, therefore the upcoming evluations will be considered in new project as the SOMGEP is closed."/>
    <x v="1"/>
    <m/>
    <m/>
    <m/>
    <s v="YES"/>
    <s v="YES"/>
    <m/>
    <m/>
    <m/>
    <m/>
    <x v="0"/>
    <m/>
    <x v="2"/>
    <m/>
    <x v="1"/>
    <x v="1"/>
    <s v="YES"/>
    <x v="0"/>
    <x v="0"/>
    <x v="0"/>
    <x v="2"/>
    <n v="4"/>
    <x v="2"/>
    <x v="1"/>
    <x v="1"/>
    <x v="1"/>
    <x v="1"/>
    <x v="2"/>
    <n v="4"/>
    <x v="0"/>
    <x v="0"/>
    <x v="0"/>
    <x v="0"/>
    <x v="0"/>
    <n v="0"/>
    <x v="2"/>
    <x v="0"/>
    <n v="8"/>
    <s v="Local NGO(s)/CSO(s)"/>
    <s v="Local government(s)"/>
    <s v="Local alliance(s)/Platform(s)/Network(s) of  NGOs/CSOs"/>
    <x v="2"/>
    <s v="Project provided support in number of initatives to support girls' education and to streghtne the civiliy socity. This inlcudes particiation and support in events/forum, workshopse organized by civily socitiey with different objectives such as women rights days, eduaction day etc."/>
    <m/>
    <s v="1) The project succeeded in shifting attitudes towards girls education. As per end line evaluation report, this is evident through the significant increases in older girls enrolment and attendance, as well as the girls own ideas about their futures. Socially, raising awareness about the importance of girls education has had a positive impact on beneficiary communities, as demonstrated in responses in qualitative data collection.  "/>
    <s v="2) working with religious leaders,parents, local partners and political partners has helped create a triangulated approach to bring awareness and importance of the benefits of the girls' education."/>
    <s v="3.Creating girl-friendly education environments within the project interventions also seeks to address the barriers keeping girls out of or from finishing school menstrual kits and proper facilities at school to keep girls in school during their menstrual cycle; lack of female teachers and low or lacking salaries overall; safety concerns for schools in rural areas wherein girls may travel significant distance to reach school; and the preference to send boys over girls when school fees constrain families, or mothers prefer to keep daughters at home to keep house when the mothers need to work. SOMGEP has not fully overcome these constraints, but it has worked to address them to create a more enabling environment for girls to enrol in and stay in school through secondary level education."/>
    <s v="1)As supported by research, changing teacher classroom behaviors is notoriously difficult without initial quality training underpinned by a strong base of application and continued classroom mentoring. Although teachers represent the final step in provision of education, they do not function in a vacuum and need a strong support system around them to offer quality instruction. These supports include adequate teaching and learning materials, yearly in-service training, sound instructional leadership and supervision, and a pathway of professional and incentivized career development. If they dont receive these, they slide back into their former routines."/>
    <s v="2_The work with the CECs may be the most sustainable activity of SOMGEP. Communities see the most immediate value to education for their children and have the most immediate opportunity to engage with schools to improve education provision. Research is showing that engaging and building strong communities is a best practice in education provision in conflict and fragile states where government provision is not always viable; additionally communities can more quickly activate local resources and have a profound influence on attitudes and actions that affect the future of the community."/>
    <s v="3)The work under SOMGEP with the MOEs will likely require ongoing support to ensure long-term viability. Inculcating gender throughout government regulatory documents is a necessary first step and will be sustained in the policies themselves.  The weakness of this component may be in the limited capacity to operationalize these policies leading to improvements for a more inclusive and equitable society.           "/>
    <s v="The information provided above has been taken from the project's monitoring and evaluation reports and data. Estimations and calcuations used above are explained in the comments."/>
    <s v="Project's final evaluation report and logframe will be annexed(if required)."/>
    <n v="37601"/>
    <n v="37810"/>
    <n v="1.0055583628094997"/>
    <n v="0.56852211377356987"/>
    <n v="0.5"/>
    <n v="21377"/>
    <n v="18905"/>
    <n v="1"/>
    <n v="11977"/>
    <n v="0"/>
    <n v="0"/>
    <s v=""/>
    <n v="0"/>
    <n v="0"/>
    <s v=""/>
    <s v=""/>
    <n v="0"/>
    <n v="0"/>
    <s v=""/>
    <s v=""/>
    <n v="0"/>
    <n v="0"/>
    <s v=""/>
    <s v=""/>
    <n v="0"/>
    <n v="0"/>
    <s v=""/>
    <s v="4. Transformative"/>
    <s v="4. Transformational"/>
    <s v="No marker score"/>
    <s v="It did not develop any specific innovation"/>
    <s v="Moderate advocacy"/>
    <n v="0"/>
  </r>
  <r>
    <x v="65"/>
    <x v="3"/>
    <n v="3336"/>
    <s v="Towards Self Reliance II"/>
    <s v="Somalia"/>
    <s v="CNLDSO0051"/>
    <s v="CARE Nederland"/>
    <s v="Multilateral agency"/>
    <s v="EU - European Union (other than ECHO)"/>
    <s v="EU"/>
    <m/>
    <m/>
    <m/>
    <m/>
    <m/>
    <m/>
    <m/>
    <m/>
    <m/>
    <m/>
    <m/>
    <m/>
    <m/>
    <m/>
    <m/>
    <m/>
    <m/>
    <m/>
    <m/>
    <m/>
    <m/>
    <m/>
    <m/>
    <m/>
    <m/>
    <m/>
    <m/>
    <m/>
    <m/>
    <m/>
    <m/>
    <m/>
    <m/>
    <m/>
    <m/>
    <m/>
    <m/>
    <m/>
    <m/>
    <m/>
    <m/>
    <m/>
    <m/>
    <m/>
    <m/>
    <d v="2013-11-28T00:00:00"/>
    <d v="2016-05-27T00:00:00"/>
    <d v="2017-01-27T00:00:00"/>
    <s v="Development Access to and Control over Economic Resources"/>
    <n v="2821000"/>
    <s v="Ibrahim Hussien Mohamed"/>
    <s v="Program Coordinator"/>
    <s v="Ibrahim.Hussein@care.org"/>
    <s v="Mukhtar Omar Mumin"/>
    <s v="Program Manager"/>
    <s v="mumin.mukhtar@care.org"/>
    <s v="NO"/>
    <s v="YES"/>
    <s v="NO"/>
    <s v="Reduced poverty and increased food security for chronically food insecure pastoral populations in Northern Somalia"/>
    <s v="Sub-National"/>
    <s v="Erigavo, El-afwayn, Bocame, &amp; Aynabo  Districts, Sanag and Sool Regions"/>
    <s v="Pastoralists"/>
    <n v="3309"/>
    <n v="1418"/>
    <n v="4727"/>
    <n v="19853"/>
    <n v="8509"/>
    <n v="28362"/>
    <s v="Women,  Girls, boys Men are direct participants"/>
    <m/>
    <m/>
    <m/>
    <m/>
    <m/>
    <m/>
    <m/>
    <m/>
    <m/>
    <m/>
    <m/>
    <m/>
    <m/>
    <m/>
    <n v="0"/>
    <m/>
    <m/>
    <m/>
    <m/>
    <m/>
    <m/>
    <m/>
    <m/>
    <m/>
    <m/>
    <m/>
    <m/>
    <m/>
    <m/>
    <m/>
    <m/>
    <m/>
    <m/>
    <m/>
    <m/>
    <m/>
    <m/>
    <m/>
    <m/>
    <m/>
    <m/>
    <m/>
    <m/>
    <m/>
    <m/>
    <m/>
    <m/>
    <m/>
    <m/>
    <m/>
    <m/>
    <m/>
    <m/>
    <m/>
    <m/>
    <m/>
    <m/>
    <m/>
    <m/>
    <m/>
    <n v="3309"/>
    <n v="1418"/>
    <n v="4727"/>
    <n v="19853"/>
    <n v="8509"/>
    <n v="28362"/>
    <m/>
    <m/>
    <m/>
    <m/>
    <m/>
    <m/>
    <m/>
    <m/>
    <m/>
    <m/>
    <m/>
    <m/>
    <s v="YES"/>
    <n v="931"/>
    <n v="0.5"/>
    <n v="5586"/>
    <s v="YES"/>
    <n v="3796"/>
    <n v="0.8"/>
    <n v="22776"/>
    <m/>
    <m/>
    <m/>
    <m/>
    <m/>
    <m/>
    <m/>
    <m/>
    <m/>
    <m/>
    <m/>
    <m/>
    <m/>
    <m/>
    <m/>
    <m/>
    <m/>
    <m/>
    <m/>
    <m/>
    <m/>
    <m/>
    <m/>
    <m/>
    <m/>
    <m/>
    <m/>
    <m/>
    <m/>
    <m/>
    <m/>
    <m/>
    <m/>
    <m/>
    <m/>
    <m/>
    <m/>
    <m/>
    <m/>
    <m/>
    <m/>
    <m/>
    <m/>
    <m/>
    <m/>
    <m/>
    <m/>
    <m/>
    <m/>
    <s v="YES"/>
    <s v="January"/>
    <n v="2017"/>
    <s v="NO"/>
    <s v="NO"/>
    <m/>
    <m/>
    <s v="the project ended January 2017 and final evaluation was done in January 2017"/>
    <x v="1"/>
    <s v="NO"/>
    <s v="YES"/>
    <s v="YES"/>
    <s v="YES"/>
    <s v="NO"/>
    <s v="NO"/>
    <s v="NO"/>
    <m/>
    <m/>
    <x v="1"/>
    <m/>
    <x v="0"/>
    <m/>
    <x v="0"/>
    <x v="0"/>
    <s v="YES"/>
    <x v="0"/>
    <x v="0"/>
    <x v="0"/>
    <x v="0"/>
    <n v="4"/>
    <x v="1"/>
    <x v="1"/>
    <x v="1"/>
    <x v="1"/>
    <x v="1"/>
    <x v="1"/>
    <n v="4"/>
    <x v="3"/>
    <x v="1"/>
    <x v="1"/>
    <x v="2"/>
    <x v="5"/>
    <n v="2"/>
    <x v="3"/>
    <x v="3"/>
    <m/>
    <s v="Local NGO(s)/CSO(s)"/>
    <s v="Local NGO(s)/CSO(s)"/>
    <s v="Local NGO(s)/CSO(s)"/>
    <x v="2"/>
    <m/>
    <s v="No changes"/>
    <s v="Formation of VSLA groups and entrepreneurship skills for mainly women has increased womens economic empowernemnt in target areas"/>
    <s v="Adult education and Income Generating Activities can be integrated in program management to enhance empowerment among women thus enhancing their capability in participation in economic development and promoting project sustainability."/>
    <s v="The engagement of Imams in advocating for VSLA programming concept to the community members helped in community buy in of the concept which has contributed to tremendous changes among the community members. Likewise, engaging Imams to talk about family issues"/>
    <s v="Integrating VSLA initiative with other programs such as literacy, IGA, infrastructural development and cash for work programming helps add value to the project and therefore makes the program more viable and sustainable."/>
    <s v="Challenge of lmited private sector services in n Sanaf because the community access to credits and also to other services is limited"/>
    <s v="Conflicts in some areas of project interentions are they some slight tensions and conflicts which delay project action"/>
    <m/>
    <m/>
    <n v="4727"/>
    <n v="28362"/>
    <n v="6"/>
    <n v="0.70002115506663842"/>
    <n v="0.69998589662224098"/>
    <n v="3309"/>
    <n v="19853"/>
    <s v=""/>
    <n v="0"/>
    <n v="0"/>
    <s v=""/>
    <n v="1"/>
    <n v="3796"/>
    <n v="22776"/>
    <n v="6"/>
    <s v=""/>
    <n v="0"/>
    <n v="0"/>
    <s v=""/>
    <s v=""/>
    <n v="0"/>
    <n v="0"/>
    <s v=""/>
    <n v="1"/>
    <n v="3036.8"/>
    <n v="18220.8"/>
    <n v="5.9999999999999991"/>
    <s v="2. Sensitive"/>
    <s v="2. Accommodating"/>
    <s v="3. Responsive"/>
    <s v="It tested new ways for fighting poverty, but did not measure results of innovation"/>
    <s v="Moderate advocacy"/>
    <s v="It did not take tested solutions to scale"/>
  </r>
  <r>
    <x v="65"/>
    <x v="3"/>
    <m/>
    <s v="Water for Infrastructure Development for Resilience Program in Somaliland (WIDRP)"/>
    <s v="Somalia"/>
    <s v="MOWRSO0001"/>
    <s v="No CARE member related to the project/initiative"/>
    <s v="Other"/>
    <s v="Other"/>
    <s v="African Development Bank  "/>
    <s v="MOWRSO0002"/>
    <s v="No CARE member related to the project/initiative"/>
    <s v="Other"/>
    <s v="Other"/>
    <s v="African Development Bank  "/>
    <m/>
    <m/>
    <m/>
    <m/>
    <m/>
    <m/>
    <m/>
    <m/>
    <m/>
    <m/>
    <m/>
    <m/>
    <m/>
    <m/>
    <m/>
    <m/>
    <m/>
    <m/>
    <m/>
    <m/>
    <m/>
    <m/>
    <m/>
    <m/>
    <m/>
    <m/>
    <m/>
    <m/>
    <m/>
    <m/>
    <m/>
    <m/>
    <m/>
    <m/>
    <m/>
    <m/>
    <m/>
    <m/>
    <m/>
    <m/>
    <d v="2015-06-16T00:00:00"/>
    <d v="2019-03-17T00:00:00"/>
    <m/>
    <s v="Development Other"/>
    <n v="7792800"/>
    <s v="Hassan Jama Yasin"/>
    <s v="Program Manager"/>
    <s v="hassan.jama@care.org"/>
    <s v="Zahra Dahir"/>
    <s v="Monitoring and Learning  Coordinator"/>
    <s v="Zahra.Dahir@care.org"/>
    <s v="YES"/>
    <s v="YES"/>
    <s v="YES"/>
    <s v="he overall goal  of the program is to build a resilient and sustainable water and sanitation sector that meets the needs of all users in Somaliland as well as to provide water supply and sanitation infrastructure in targeted areas with a view to improving livelihoods and building resilience against climate variability and change. While drought is a common phenomenon in Somaliland, climate change is causing longer and more frequent droughts negatively impacting Somalilands ability to achieve food and water security."/>
    <s v="National"/>
    <s v="National coverage given priority to the  drought prone regions of Somaliland-Togdheer, Sool and Sanaag regions"/>
    <s v="The proposed interventions will enhance public health, strengthen resilience and raise the quality of life of the rural Somaliland population in general, benefitting an estimated 0.25 million people."/>
    <n v="347805"/>
    <n v="319064"/>
    <n v="666869"/>
    <n v="635000"/>
    <n v="527210"/>
    <n v="1162210"/>
    <s v="Construction of 11 water dams each with expected beneficiaries of about 156,000 users. Augmenting Hargeisa water system to support IDPS which cover the water demand of 24,000 people. Establishment 4 strategic boreholes with expected 256,000 people. Construction of 20 solar powered mini water systems shallow wells 200,367. 26,481 will benefit the Market sanitation facilities. It has been calculated with water demand supply approach looking at the average daily water production from program water point and the average daily water demand of the program target populations"/>
    <m/>
    <n v="156512.25"/>
    <n v="191292.75"/>
    <n v="347805"/>
    <n v="522994"/>
    <n v="639216"/>
    <n v="1162210"/>
    <m/>
    <m/>
    <m/>
    <m/>
    <m/>
    <m/>
    <m/>
    <m/>
    <m/>
    <m/>
    <m/>
    <m/>
    <m/>
    <m/>
    <m/>
    <m/>
    <m/>
    <m/>
    <m/>
    <m/>
    <m/>
    <m/>
    <m/>
    <m/>
    <m/>
    <m/>
    <m/>
    <m/>
    <m/>
    <m/>
    <m/>
    <m/>
    <m/>
    <m/>
    <m/>
    <m/>
    <m/>
    <m/>
    <m/>
    <m/>
    <m/>
    <m/>
    <m/>
    <m/>
    <s v="YES"/>
    <n v="347805"/>
    <n v="0.45"/>
    <n v="1162210"/>
    <m/>
    <m/>
    <m/>
    <m/>
    <m/>
    <n v="347805"/>
    <n v="319064"/>
    <n v="666869"/>
    <n v="635000"/>
    <n v="527210"/>
    <n v="1162210"/>
    <s v="NO"/>
    <m/>
    <m/>
    <m/>
    <s v="NO"/>
    <m/>
    <m/>
    <m/>
    <s v="NO"/>
    <m/>
    <m/>
    <m/>
    <s v="NO"/>
    <m/>
    <m/>
    <m/>
    <s v="NO"/>
    <m/>
    <m/>
    <m/>
    <s v="NO"/>
    <m/>
    <m/>
    <m/>
    <s v="NO"/>
    <m/>
    <m/>
    <m/>
    <s v="NO"/>
    <m/>
    <m/>
    <m/>
    <s v="NO"/>
    <m/>
    <m/>
    <m/>
    <s v="NO"/>
    <m/>
    <m/>
    <m/>
    <s v="NO"/>
    <m/>
    <m/>
    <m/>
    <s v="NO"/>
    <m/>
    <m/>
    <m/>
    <s v="NO"/>
    <m/>
    <m/>
    <m/>
    <s v="NO"/>
    <m/>
    <m/>
    <m/>
    <s v="YES"/>
    <n v="666869"/>
    <n v="0.45"/>
    <n v="1162210"/>
    <s v="NO"/>
    <m/>
    <m/>
    <m/>
    <m/>
    <m/>
    <m/>
    <m/>
    <m/>
    <s v="YES"/>
    <s v="March"/>
    <n v="2017"/>
    <s v="NO"/>
    <s v="NO"/>
    <m/>
    <n v="2017"/>
    <m/>
    <x v="1"/>
    <s v="NO"/>
    <s v="NO"/>
    <s v="YES"/>
    <s v="YES"/>
    <s v="YES"/>
    <s v="YES"/>
    <s v="YES"/>
    <m/>
    <m/>
    <x v="0"/>
    <m/>
    <x v="3"/>
    <m/>
    <x v="1"/>
    <x v="0"/>
    <s v="YES"/>
    <x v="0"/>
    <x v="0"/>
    <x v="0"/>
    <x v="0"/>
    <n v="4"/>
    <x v="1"/>
    <x v="1"/>
    <x v="1"/>
    <x v="1"/>
    <x v="1"/>
    <x v="1"/>
    <n v="4"/>
    <x v="1"/>
    <x v="2"/>
    <x v="1"/>
    <x v="2"/>
    <x v="3"/>
    <n v="1"/>
    <x v="2"/>
    <x v="1"/>
    <m/>
    <s v="International NGO(s)"/>
    <s v="Local government(s)"/>
    <s v="Private sector"/>
    <x v="1"/>
    <m/>
    <s v="Contribute to strengthening community resilience by improving quality of life through availability and access to water and sanitation services in a sustainable way in Somaliland, by improving 68% of access to reliable, clean safe to drink water to all project target group."/>
    <s v="Enhancing access to water by improving water infrastructure sysyems for greater water harvesting during periods of droughts"/>
    <s v="Instiutional capacity building to all levels of the national, regional, district and village level of rural water supply management structures, this including Reviewing water regulatory framework and developing of the supporting policies"/>
    <s v="Technical advisors embeded into minsitry for on the job training of staff and insitutional capacity enhancement"/>
    <s v="Drought: Somalia is dealing with the failure of the short and long rains in 2015/2016 which have con-tinued into 2017 and left devastating consequences on the communities resilient capabilities. There is therefore more pressure on the project by community members as there are greater economic challenges to overcome"/>
    <s v="Capacity of line ministry in reporting project action and human resoruce capacity, willingness and dedication of staff"/>
    <s v="CARE program approach and linkage to the other CARE  project within the same villages,  contributed to greater impact"/>
    <s v="CARE International approach on the Towards Sustainable Operation and Maintenance of Rural Water Supply critically stated that there is a need for a paradigm shift from the traditional project-facility based approach to a program service-based approach for sustainable O&amp;M of rural water supplies with an effective management model consistently applied that government policies and strategies supports community involvement in rural water supply management. In rural areas of several regions region of Somaliland, Public Private Partnership for Rural Areas (PPP4RA) management model have been applied which perhaps hold the best potential under existing conditions for piloting a functional model and ensuring effective technical support to communities."/>
    <m/>
    <n v="666869"/>
    <n v="1162210"/>
    <n v="1.7427860644294457"/>
    <n v="0.52154920981482122"/>
    <n v="0.5463728586055876"/>
    <n v="347805"/>
    <n v="635000"/>
    <n v="1"/>
    <n v="347805"/>
    <n v="1162210"/>
    <n v="3.3415563318526185"/>
    <n v="1"/>
    <n v="666869"/>
    <n v="1162210"/>
    <n v="1.7427860644294457"/>
    <s v=""/>
    <n v="0"/>
    <n v="0"/>
    <s v=""/>
    <s v=""/>
    <n v="0"/>
    <n v="0"/>
    <s v=""/>
    <s v=""/>
    <n v="0"/>
    <n v="0"/>
    <s v=""/>
    <s v="2. Sensitive"/>
    <s v="2. Accommodating"/>
    <s v="1. Neutral"/>
    <s v="It did not develop any specific innovation"/>
    <s v="Moderate advocacy"/>
    <s v="It took tested solutions to scale on its own"/>
  </r>
  <r>
    <x v="65"/>
    <x v="3"/>
    <n v="3347"/>
    <s v="Waxbar Carurtaada (Educate your Children)"/>
    <s v="Somalia"/>
    <s v="US0Z1"/>
    <s v="CARE USA"/>
    <s v="Foundation"/>
    <s v="Other"/>
    <s v="Educate A Child Foundation"/>
    <m/>
    <m/>
    <m/>
    <m/>
    <m/>
    <m/>
    <m/>
    <m/>
    <m/>
    <m/>
    <m/>
    <m/>
    <m/>
    <m/>
    <m/>
    <m/>
    <m/>
    <m/>
    <m/>
    <m/>
    <m/>
    <m/>
    <m/>
    <m/>
    <m/>
    <m/>
    <m/>
    <m/>
    <m/>
    <m/>
    <m/>
    <m/>
    <m/>
    <m/>
    <m/>
    <m/>
    <m/>
    <m/>
    <m/>
    <m/>
    <m/>
    <m/>
    <m/>
    <m/>
    <m/>
    <d v="2013-11-18T00:00:00"/>
    <d v="2016-12-31T00:00:00"/>
    <m/>
    <s v="Development Other"/>
    <n v="8946181"/>
    <s v="Ibrahim Nur"/>
    <s v="Program Coordinator - Urban Youth programme, CARE Somalia"/>
    <s v="Nur.ibrahim@care.org"/>
    <m/>
    <m/>
    <m/>
    <s v="YES"/>
    <s v="YES"/>
    <s v="YES"/>
    <s v="Contribute to sustainable and relevant primary education for all in Somalia"/>
    <s v="National"/>
    <s v="Puntland, Somaliland and South Central Somalia"/>
    <s v="Internally displace persons, and returnees"/>
    <n v="12040"/>
    <n v="18060"/>
    <n v="30100"/>
    <m/>
    <m/>
    <m/>
    <s v="Direct  target benefcaries are the out of school children who are enrolled for formal primary education, 40% are girls and 60% are boys out of 30,100 children."/>
    <m/>
    <n v="17092"/>
    <n v="18293"/>
    <n v="35385"/>
    <n v="735"/>
    <n v="765"/>
    <n v="1500"/>
    <m/>
    <m/>
    <m/>
    <m/>
    <m/>
    <m/>
    <m/>
    <m/>
    <s v="YES"/>
    <n v="35385"/>
    <n v="0.48"/>
    <n v="1500"/>
    <m/>
    <m/>
    <m/>
    <m/>
    <m/>
    <m/>
    <m/>
    <m/>
    <m/>
    <m/>
    <m/>
    <m/>
    <m/>
    <m/>
    <m/>
    <m/>
    <m/>
    <m/>
    <m/>
    <m/>
    <m/>
    <m/>
    <m/>
    <m/>
    <m/>
    <m/>
    <m/>
    <m/>
    <m/>
    <m/>
    <m/>
    <m/>
    <m/>
    <m/>
    <m/>
    <m/>
    <m/>
    <m/>
    <m/>
    <m/>
    <m/>
    <n v="17092"/>
    <n v="18293"/>
    <n v="35385"/>
    <n v="1179963"/>
    <n v="1508462"/>
    <n v="2688425"/>
    <m/>
    <m/>
    <m/>
    <m/>
    <m/>
    <m/>
    <m/>
    <m/>
    <m/>
    <m/>
    <m/>
    <m/>
    <m/>
    <m/>
    <m/>
    <m/>
    <m/>
    <m/>
    <m/>
    <m/>
    <s v="YES"/>
    <n v="35385"/>
    <n v="0.48"/>
    <n v="3191247"/>
    <m/>
    <m/>
    <m/>
    <m/>
    <m/>
    <m/>
    <m/>
    <m/>
    <m/>
    <m/>
    <m/>
    <m/>
    <m/>
    <m/>
    <m/>
    <m/>
    <m/>
    <m/>
    <m/>
    <m/>
    <m/>
    <m/>
    <m/>
    <m/>
    <m/>
    <m/>
    <m/>
    <m/>
    <m/>
    <m/>
    <m/>
    <m/>
    <m/>
    <m/>
    <m/>
    <m/>
    <m/>
    <m/>
    <m/>
    <m/>
    <m/>
    <m/>
    <m/>
    <m/>
    <m/>
    <s v="YES"/>
    <s v="November"/>
    <n v="2016"/>
    <s v="YES"/>
    <s v="NO"/>
    <m/>
    <m/>
    <s v="The project has ended and final evluation was carried out in Nov-Dec 2016."/>
    <x v="1"/>
    <s v="YES"/>
    <m/>
    <m/>
    <s v="YES"/>
    <m/>
    <m/>
    <m/>
    <m/>
    <m/>
    <x v="0"/>
    <m/>
    <x v="3"/>
    <m/>
    <x v="0"/>
    <x v="1"/>
    <s v="YES"/>
    <x v="0"/>
    <x v="0"/>
    <x v="0"/>
    <x v="2"/>
    <n v="4"/>
    <x v="1"/>
    <x v="1"/>
    <x v="1"/>
    <x v="2"/>
    <x v="1"/>
    <x v="1"/>
    <n v="3"/>
    <x v="1"/>
    <x v="1"/>
    <x v="2"/>
    <x v="1"/>
    <x v="3"/>
    <n v="2"/>
    <x v="0"/>
    <x v="0"/>
    <n v="2"/>
    <s v="Local government(s)"/>
    <s v="Local government(s)"/>
    <s v="National government"/>
    <x v="1"/>
    <m/>
    <m/>
    <s v="Mobilizing rural and urban communities to support education to ensure out of school children (with focus to IDPs and girls) are enrolled to school"/>
    <s v="Recruiting and training eachers with focus to females to provide  relevant, quality learning experience"/>
    <s v="Improving learning environment through construction and rehabilitation of school facilities and provison of teaching and learning materials"/>
    <s v="Double shift system is highly favoured and the most effective in South Central Somalia to boost enrollment of children to schools"/>
    <m/>
    <m/>
    <s v="The project has come to an end in December 2016, all project activities completed."/>
    <s v="Project progress reports and evluations reports are available."/>
    <n v="35385"/>
    <n v="2688425"/>
    <n v="75.97640243040837"/>
    <n v="0.48302953228769252"/>
    <n v="0.43890493504561223"/>
    <n v="17092"/>
    <n v="1179963"/>
    <n v="1"/>
    <n v="35385"/>
    <n v="1500"/>
    <n v="4.2390843577787198E-2"/>
    <s v=""/>
    <n v="0"/>
    <n v="0"/>
    <s v=""/>
    <s v=""/>
    <n v="0"/>
    <n v="0"/>
    <s v=""/>
    <s v=""/>
    <n v="0"/>
    <n v="0"/>
    <s v=""/>
    <s v=""/>
    <n v="0"/>
    <n v="0"/>
    <s v=""/>
    <s v="4. Transformative"/>
    <s v="2. Accommodating"/>
    <s v="1. Neutral"/>
    <s v="It did not develop any specific innovation"/>
    <s v="Moderate advocacy"/>
    <s v="It took tested solutions to scale on its own"/>
  </r>
  <r>
    <x v="65"/>
    <x v="3"/>
    <n v="3346"/>
    <s v="Waxbarashada Waa Iftiin - Education is light Phase II"/>
    <s v="Somalia"/>
    <s v="NL175"/>
    <s v="CARE Nederland"/>
    <s v="Government"/>
    <s v="ECHO - European Commission for Humanitarian Aid and Civil Protection"/>
    <s v="EC-European Commission"/>
    <m/>
    <m/>
    <m/>
    <m/>
    <m/>
    <m/>
    <m/>
    <m/>
    <m/>
    <m/>
    <m/>
    <m/>
    <m/>
    <m/>
    <m/>
    <m/>
    <m/>
    <m/>
    <m/>
    <m/>
    <m/>
    <m/>
    <m/>
    <m/>
    <m/>
    <m/>
    <m/>
    <m/>
    <m/>
    <m/>
    <m/>
    <m/>
    <m/>
    <m/>
    <m/>
    <m/>
    <m/>
    <m/>
    <m/>
    <m/>
    <m/>
    <m/>
    <m/>
    <m/>
    <m/>
    <d v="2012-11-29T00:00:00"/>
    <d v="2018-03-10T00:00:00"/>
    <m/>
    <s v="Development Other"/>
    <m/>
    <s v="Ahmed Sheikh Abdullahi"/>
    <s v="Education Coordinator"/>
    <s v="ahmed.abdullahi@care.org"/>
    <s v="Ibrahim Nur Mohammed"/>
    <s v="Urban Youth Program Coordinator"/>
    <s v="nur.ibrahim@care.org"/>
    <s v="NO"/>
    <s v="YES"/>
    <s v="NO"/>
    <s v="Education and training efficiently and effectively delivered contributing to poverty alleviation within a peaceful, secure and democratic Somalia"/>
    <s v="National"/>
    <s v="Bari, Karkar, Nugal, Sool, Sanaag and Mudug regions of Puntland"/>
    <m/>
    <n v="4322"/>
    <n v="6483"/>
    <n v="10805"/>
    <n v="12966"/>
    <n v="19449"/>
    <n v="32415"/>
    <m/>
    <m/>
    <m/>
    <m/>
    <n v="0"/>
    <m/>
    <m/>
    <n v="0"/>
    <m/>
    <m/>
    <m/>
    <m/>
    <m/>
    <m/>
    <m/>
    <m/>
    <m/>
    <m/>
    <m/>
    <m/>
    <m/>
    <m/>
    <m/>
    <m/>
    <m/>
    <m/>
    <m/>
    <m/>
    <m/>
    <m/>
    <m/>
    <m/>
    <m/>
    <m/>
    <m/>
    <m/>
    <m/>
    <m/>
    <m/>
    <m/>
    <m/>
    <m/>
    <m/>
    <m/>
    <m/>
    <m/>
    <m/>
    <m/>
    <m/>
    <m/>
    <m/>
    <m/>
    <m/>
    <m/>
    <m/>
    <m/>
    <m/>
    <m/>
    <m/>
    <m/>
    <m/>
    <n v="4322"/>
    <n v="6483"/>
    <n v="10805"/>
    <n v="12966"/>
    <n v="19449"/>
    <n v="32415"/>
    <m/>
    <m/>
    <m/>
    <m/>
    <m/>
    <m/>
    <m/>
    <m/>
    <m/>
    <m/>
    <m/>
    <m/>
    <m/>
    <m/>
    <m/>
    <m/>
    <m/>
    <m/>
    <m/>
    <m/>
    <s v="YES"/>
    <n v="10805"/>
    <m/>
    <m/>
    <m/>
    <m/>
    <m/>
    <m/>
    <m/>
    <m/>
    <m/>
    <m/>
    <m/>
    <m/>
    <m/>
    <m/>
    <m/>
    <m/>
    <m/>
    <m/>
    <m/>
    <m/>
    <m/>
    <m/>
    <m/>
    <m/>
    <m/>
    <m/>
    <m/>
    <m/>
    <m/>
    <m/>
    <m/>
    <m/>
    <m/>
    <m/>
    <m/>
    <m/>
    <m/>
    <m/>
    <m/>
    <m/>
    <m/>
    <m/>
    <m/>
    <m/>
    <m/>
    <m/>
    <m/>
    <s v="YES"/>
    <s v="November"/>
    <n v="2016"/>
    <m/>
    <m/>
    <m/>
    <m/>
    <m/>
    <x v="1"/>
    <m/>
    <m/>
    <m/>
    <s v="YES"/>
    <m/>
    <m/>
    <m/>
    <m/>
    <m/>
    <x v="1"/>
    <m/>
    <x v="3"/>
    <m/>
    <x v="3"/>
    <x v="2"/>
    <m/>
    <x v="2"/>
    <x v="2"/>
    <x v="2"/>
    <x v="3"/>
    <n v="0"/>
    <x v="2"/>
    <x v="1"/>
    <x v="1"/>
    <x v="1"/>
    <x v="1"/>
    <x v="2"/>
    <n v="4"/>
    <x v="0"/>
    <x v="0"/>
    <x v="0"/>
    <x v="0"/>
    <x v="0"/>
    <n v="0"/>
    <x v="1"/>
    <x v="3"/>
    <n v="4"/>
    <s v="International NGO(s)"/>
    <s v="Local government(s)"/>
    <s v="Local NGO(s)/CSO(s)"/>
    <x v="1"/>
    <m/>
    <s v="Community participation and ownership"/>
    <s v="Capacity building of the  Ministry of Education on  5 domains: Human Resources, Finance and Administration, Policy and Planning, Gender,and Quality Assurance and Standards resulted in quality delivery of programs."/>
    <s v="Community mobilization and sensitization on the signifiance of accessing school age children in schools"/>
    <s v="The employment of a mix of approaches and strategies in addressing the educational needs of vulnerable &amp; marginalized children work well to achieve desired. For example: Provision &amp; expansion of learning spaces; child friendly learning environments including child-centred  pedagogies; Girlchild friendly spaces; provision of learning materials; improvement of supervision services etc"/>
    <s v="Both capacity strengthening and decentralisation of services take a long time to take shape. It takes time for  systems and procedures established to be fully operational from the central to decentralized  levels"/>
    <s v="For any project to be successful and to improve ownership; the beneficiaries must be involved in their initial needs identification, design process and in all monitoring, evaluation and  review processes."/>
    <m/>
    <m/>
    <s v="The project progress reports are available."/>
    <n v="10805"/>
    <n v="32415"/>
    <n v="3"/>
    <n v="0.4"/>
    <n v="0.4"/>
    <n v="4322"/>
    <n v="12966"/>
    <s v=""/>
    <n v="0"/>
    <n v="0"/>
    <s v=""/>
    <s v=""/>
    <n v="0"/>
    <n v="0"/>
    <s v=""/>
    <s v=""/>
    <n v="0"/>
    <n v="0"/>
    <s v=""/>
    <s v=""/>
    <n v="0"/>
    <n v="0"/>
    <s v=""/>
    <s v=""/>
    <n v="0"/>
    <n v="0"/>
    <s v=""/>
    <s v="No marker score"/>
    <s v="4. Transformational"/>
    <s v="No marker score"/>
    <s v="It tested new ways for fighting poverty, but did not measure results of innovation"/>
    <s v="Moderate advocacy"/>
    <s v="It took tested solutions to scale on its own"/>
  </r>
  <r>
    <x v="66"/>
    <x v="5"/>
    <m/>
    <s v="Nutrilite Little Bits"/>
    <s v="South Africa"/>
    <m/>
    <s v="CARE USA"/>
    <s v="Corporation"/>
    <s v="Other"/>
    <s v="Alticor, Inc."/>
    <m/>
    <m/>
    <m/>
    <m/>
    <m/>
    <m/>
    <m/>
    <m/>
    <m/>
    <m/>
    <m/>
    <m/>
    <m/>
    <m/>
    <m/>
    <m/>
    <m/>
    <m/>
    <m/>
    <m/>
    <m/>
    <m/>
    <m/>
    <m/>
    <m/>
    <m/>
    <m/>
    <m/>
    <m/>
    <m/>
    <m/>
    <m/>
    <m/>
    <m/>
    <m/>
    <m/>
    <m/>
    <m/>
    <m/>
    <m/>
    <m/>
    <m/>
    <m/>
    <m/>
    <m/>
    <d v="2014-08-08T00:00:00"/>
    <d v="2016-12-31T00:00:00"/>
    <d v="2017-12-31T00:00:00"/>
    <s v="Development Food &amp; Nutrition Security and Resilience to Climate Change"/>
    <n v="1127356"/>
    <s v="Rebecca Feinberg"/>
    <s v="Director of Development"/>
    <s v="rebecca.feinberg@care.org"/>
    <s v="Aliya Firozvi"/>
    <s v="Project Manager, Nutrilite Little Bits"/>
    <s v="afirozvi@care.org"/>
    <s v="NO"/>
    <s v="YES"/>
    <s v="NO"/>
    <s v="CARE and Amway have embarked on a strategic partnership based on the shared goals of helping people live better lives and finding sustainable solutions to hunger and malnutrition. The partnership strives to expand the use of Amways Nutrilite Little Bits (NLB) micronutrient product in robust infant and young child feeding (IYCF) programs."/>
    <s v="Multiple countries"/>
    <s v="Regions within several countries."/>
    <s v="The main impact group is children 0-5 years old, and young school-aged children above 5 years old."/>
    <m/>
    <m/>
    <n v="3700"/>
    <m/>
    <m/>
    <m/>
    <m/>
    <m/>
    <m/>
    <m/>
    <m/>
    <m/>
    <m/>
    <m/>
    <m/>
    <m/>
    <m/>
    <m/>
    <m/>
    <m/>
    <m/>
    <m/>
    <m/>
    <m/>
    <m/>
    <m/>
    <m/>
    <m/>
    <m/>
    <m/>
    <m/>
    <m/>
    <m/>
    <m/>
    <m/>
    <m/>
    <m/>
    <m/>
    <m/>
    <m/>
    <m/>
    <m/>
    <m/>
    <m/>
    <m/>
    <m/>
    <m/>
    <m/>
    <m/>
    <m/>
    <m/>
    <m/>
    <m/>
    <m/>
    <m/>
    <m/>
    <m/>
    <m/>
    <m/>
    <m/>
    <m/>
    <m/>
    <m/>
    <m/>
    <m/>
    <m/>
    <m/>
    <m/>
    <m/>
    <m/>
    <m/>
    <m/>
    <m/>
    <s v="NO"/>
    <m/>
    <m/>
    <m/>
    <s v="NO"/>
    <m/>
    <m/>
    <m/>
    <s v="NO"/>
    <m/>
    <m/>
    <m/>
    <s v="NO"/>
    <m/>
    <m/>
    <m/>
    <s v="NO"/>
    <m/>
    <m/>
    <m/>
    <s v="NO"/>
    <m/>
    <m/>
    <m/>
    <s v="YES"/>
    <n v="3700"/>
    <m/>
    <m/>
    <s v="NO"/>
    <m/>
    <m/>
    <m/>
    <s v="NO"/>
    <m/>
    <m/>
    <m/>
    <s v="NO"/>
    <m/>
    <m/>
    <m/>
    <s v="NO"/>
    <m/>
    <m/>
    <m/>
    <s v="NO"/>
    <m/>
    <m/>
    <m/>
    <s v="NO"/>
    <m/>
    <m/>
    <m/>
    <s v="NO"/>
    <m/>
    <m/>
    <m/>
    <s v="NO"/>
    <m/>
    <m/>
    <m/>
    <s v="NO"/>
    <m/>
    <m/>
    <m/>
    <m/>
    <s v="NO"/>
    <m/>
    <m/>
    <m/>
    <m/>
    <m/>
    <m/>
    <m/>
    <m/>
    <m/>
    <m/>
    <m/>
    <x v="3"/>
    <m/>
    <m/>
    <m/>
    <m/>
    <m/>
    <m/>
    <m/>
    <m/>
    <m/>
    <x v="3"/>
    <m/>
    <x v="2"/>
    <m/>
    <x v="3"/>
    <x v="2"/>
    <m/>
    <x v="2"/>
    <x v="2"/>
    <x v="2"/>
    <x v="3"/>
    <n v="0"/>
    <x v="0"/>
    <x v="0"/>
    <x v="0"/>
    <x v="0"/>
    <x v="0"/>
    <x v="0"/>
    <n v="0"/>
    <x v="0"/>
    <x v="0"/>
    <x v="0"/>
    <x v="0"/>
    <x v="0"/>
    <n v="0"/>
    <x v="1"/>
    <x v="4"/>
    <m/>
    <m/>
    <m/>
    <m/>
    <x v="3"/>
    <m/>
    <m/>
    <m/>
    <m/>
    <m/>
    <m/>
    <m/>
    <m/>
    <m/>
    <m/>
    <n v="0"/>
    <n v="0"/>
    <s v=""/>
    <s v=""/>
    <s v=""/>
    <n v="0"/>
    <n v="0"/>
    <s v=""/>
    <n v="0"/>
    <n v="0"/>
    <s v=""/>
    <n v="1"/>
    <n v="3700"/>
    <n v="0"/>
    <n v="0"/>
    <s v=""/>
    <n v="0"/>
    <n v="0"/>
    <s v=""/>
    <s v=""/>
    <n v="0"/>
    <n v="0"/>
    <s v=""/>
    <s v=""/>
    <n v="0"/>
    <n v="0"/>
    <s v=""/>
    <s v="No marker score"/>
    <s v="No marker score"/>
    <s v="No marker score"/>
    <n v="0"/>
    <n v="0"/>
    <n v="0"/>
  </r>
  <r>
    <x v="67"/>
    <x v="3"/>
    <m/>
    <s v="Addressing Root Causes of Violent Conflict in four Counties of Jonglei State, South Sudan (ARC)"/>
    <s v="South Sudan"/>
    <m/>
    <s v="CARE Nederland"/>
    <s v="Government"/>
    <s v="Government - Netherlands"/>
    <s v="Ministry  of Foreign Affairs of the Netherlands"/>
    <m/>
    <m/>
    <m/>
    <m/>
    <m/>
    <m/>
    <m/>
    <m/>
    <m/>
    <m/>
    <m/>
    <m/>
    <m/>
    <m/>
    <m/>
    <m/>
    <m/>
    <m/>
    <m/>
    <m/>
    <m/>
    <m/>
    <m/>
    <m/>
    <m/>
    <m/>
    <m/>
    <m/>
    <m/>
    <m/>
    <m/>
    <m/>
    <m/>
    <m/>
    <m/>
    <m/>
    <m/>
    <m/>
    <m/>
    <m/>
    <m/>
    <m/>
    <m/>
    <m/>
    <m/>
    <d v="2016-09-01T00:00:00"/>
    <d v="2021-08-31T00:00:00"/>
    <m/>
    <s v="Development Food &amp; Nutrition Security and Resilience to Climate Change"/>
    <n v="4657500"/>
    <s v="Killron Dembe"/>
    <s v="Senior Program Manager"/>
    <s v="Killron.Dembe@care.org"/>
    <m/>
    <m/>
    <m/>
    <s v="YES"/>
    <s v="YES"/>
    <s v="YES"/>
    <s v="The Addressing Root Causes (ARC) programme aims at tackling the root causes of armed conflict, instability and irregular migration and to increase the ability of communities to withstand economic or conflict- induced shocks."/>
    <s v="National"/>
    <s v="The ARC programme in South Sudan is being implemented by CARE and HDC in 19 Payams (Ajuong, Nyuak, Kongor, Lith, Pakeer, Padiet, Payuel, Panyang, Ageer, Pieri, Pathai, Patuet, Wickhol, Pulchuol, Boma, Lekuangole, Gumuruk, Pibor, Frated) in four counties (Twic East, Duk, Uror, Pibor) in Jonglei state."/>
    <s v="Most Vulnerable /at-risk women and youth"/>
    <n v="22825"/>
    <n v="18377"/>
    <n v="41202"/>
    <n v="43984"/>
    <n v="42272"/>
    <n v="86256"/>
    <s v="Direct participants are the mostly people affected by the war in the area."/>
    <m/>
    <m/>
    <m/>
    <n v="0"/>
    <m/>
    <m/>
    <n v="0"/>
    <s v="NO"/>
    <m/>
    <m/>
    <m/>
    <s v="NO"/>
    <m/>
    <m/>
    <m/>
    <s v="NO"/>
    <m/>
    <m/>
    <m/>
    <s v="YES"/>
    <m/>
    <m/>
    <m/>
    <s v="YES"/>
    <m/>
    <m/>
    <m/>
    <s v="NO"/>
    <m/>
    <m/>
    <m/>
    <s v="NO"/>
    <m/>
    <m/>
    <m/>
    <s v="Yes"/>
    <m/>
    <m/>
    <m/>
    <s v="NO"/>
    <m/>
    <m/>
    <m/>
    <s v="NO"/>
    <m/>
    <m/>
    <m/>
    <s v="NO"/>
    <m/>
    <m/>
    <m/>
    <s v="NO"/>
    <m/>
    <m/>
    <m/>
    <m/>
    <s v="NO"/>
    <m/>
    <m/>
    <m/>
    <m/>
    <m/>
    <n v="0"/>
    <m/>
    <m/>
    <m/>
    <m/>
    <m/>
    <m/>
    <m/>
    <s v="YES"/>
    <m/>
    <m/>
    <m/>
    <s v="YES"/>
    <m/>
    <m/>
    <m/>
    <m/>
    <m/>
    <m/>
    <m/>
    <s v="YES"/>
    <m/>
    <m/>
    <m/>
    <m/>
    <m/>
    <m/>
    <m/>
    <m/>
    <m/>
    <m/>
    <m/>
    <s v="YES"/>
    <m/>
    <m/>
    <m/>
    <m/>
    <m/>
    <m/>
    <m/>
    <m/>
    <m/>
    <m/>
    <m/>
    <m/>
    <m/>
    <m/>
    <m/>
    <m/>
    <m/>
    <m/>
    <m/>
    <s v="YES"/>
    <m/>
    <m/>
    <m/>
    <m/>
    <m/>
    <m/>
    <m/>
    <m/>
    <m/>
    <m/>
    <m/>
    <s v="YES"/>
    <m/>
    <m/>
    <m/>
    <m/>
    <m/>
    <m/>
    <m/>
    <m/>
    <s v="YES"/>
    <s v="April"/>
    <n v="2017"/>
    <s v="YES"/>
    <s v="NO"/>
    <m/>
    <m/>
    <m/>
    <x v="1"/>
    <s v="YES"/>
    <s v="YES"/>
    <s v="YES"/>
    <s v="YES"/>
    <s v="YES"/>
    <s v="YES"/>
    <s v="YES"/>
    <m/>
    <m/>
    <x v="0"/>
    <m/>
    <x v="3"/>
    <m/>
    <x v="2"/>
    <x v="0"/>
    <s v="YES"/>
    <x v="0"/>
    <x v="0"/>
    <x v="0"/>
    <x v="0"/>
    <n v="4"/>
    <x v="2"/>
    <x v="1"/>
    <x v="1"/>
    <x v="1"/>
    <x v="1"/>
    <x v="2"/>
    <n v="4"/>
    <x v="3"/>
    <x v="1"/>
    <x v="1"/>
    <x v="1"/>
    <x v="4"/>
    <n v="3"/>
    <x v="0"/>
    <x v="0"/>
    <n v="2"/>
    <s v="Local NGO(s)/CSO(s)"/>
    <s v="Other"/>
    <s v="Regional alliance(s)/Platform(s)/Network(s) of  NGOs/CSOs"/>
    <x v="1"/>
    <m/>
    <s v="The Project strategy was very effective, because the approached has identified the community needs from the initial stage of project assessment and the cross cutting issues have been integrated into the all components of project, such as Cash for work, seed distribution and Gender Based violence, including capacity buildings were also relevant to the targeted groups."/>
    <s v="VSLA"/>
    <s v="PEACE COMMITTEES"/>
    <s v="YOUTH&amp; SCHOOL  PEACE CLUBS"/>
    <s v="Engaging youth (girls and boys) in the VSLA groups is highly appreciated, as they are optimistic that the loans they will obtain from the savings will enable them start and capitalize their IGAs which overall improves their own and households quality of life."/>
    <s v="Furthermore, having mixed age groups of women, boys and girls serve as a good opportunity to promote awareness on widespread gender based violence and harmful traditional practices such as early marriages that are widely spread."/>
    <s v="Forward planning and joint ownership is key to success"/>
    <m/>
    <s v="CARE South Sudan FY17 Grants Tracker, Project proposal, Baseline Report"/>
    <n v="0"/>
    <n v="0"/>
    <s v=""/>
    <s v=""/>
    <s v=""/>
    <n v="0"/>
    <n v="0"/>
    <n v="1"/>
    <n v="0"/>
    <n v="0"/>
    <s v=""/>
    <n v="1"/>
    <n v="0"/>
    <n v="0"/>
    <s v=""/>
    <s v=""/>
    <n v="0"/>
    <n v="0"/>
    <s v=""/>
    <n v="1"/>
    <n v="0"/>
    <n v="0"/>
    <s v=""/>
    <n v="1"/>
    <n v="0"/>
    <n v="0"/>
    <s v=""/>
    <s v="2. Sensitive"/>
    <s v="4. Transformational"/>
    <s v="4. Transformative"/>
    <s v="It did not develop any specific innovation"/>
    <s v="Moderate advocacy"/>
    <s v="It took tested solutions to scale on its own"/>
  </r>
  <r>
    <x v="67"/>
    <x v="3"/>
    <n v="3361"/>
    <s v="Beyond the Harvest - SDC - BTH"/>
    <s v="South Sudan"/>
    <n v="3361"/>
    <s v="No CARE member related to the project/initiative"/>
    <s v="Government"/>
    <s v="Government - Switzerland"/>
    <s v="Swiss Agency for Development and Cooperation (SDC)"/>
    <m/>
    <m/>
    <m/>
    <m/>
    <m/>
    <m/>
    <m/>
    <m/>
    <m/>
    <m/>
    <m/>
    <m/>
    <m/>
    <m/>
    <m/>
    <m/>
    <m/>
    <m/>
    <m/>
    <m/>
    <m/>
    <m/>
    <m/>
    <m/>
    <m/>
    <m/>
    <m/>
    <m/>
    <m/>
    <m/>
    <m/>
    <m/>
    <m/>
    <m/>
    <m/>
    <m/>
    <m/>
    <m/>
    <m/>
    <m/>
    <m/>
    <m/>
    <m/>
    <m/>
    <m/>
    <d v="2016-04-01T00:00:00"/>
    <d v="2017-03-31T00:00:00"/>
    <d v="2017-05-31T00:00:00"/>
    <s v="Humanitarian Food &amp; Nutrition Security and Resilience to Climate Change"/>
    <n v="643963"/>
    <s v="Sylvia Kaawe"/>
    <s v="Senior Program Manager"/>
    <s v="sylvia.kaawe@care.org"/>
    <s v="Nqobile.ncube@care.org"/>
    <s v="Project Manager"/>
    <s v="Nqobile.ncube@care.org"/>
    <s v="YES"/>
    <s v="YES"/>
    <s v="YES"/>
    <s v="Improved food and livelihood security for vulnerable small holder farmer households in Eastern Equatoria through enhanced post-harvest handling, value addition and market opportunities."/>
    <s v="National"/>
    <s v="Eastern Equatoria State - Torit County (Nyong &amp; Imorok Payams); - Magwi County (Magwi, Pajok, Lobone Payams) - Pageri Administrative Area (Pageri &amp; Mugali Payams)."/>
    <s v="Most Vulnerable Women, Men, Boys &amp; Girls"/>
    <n v="11730"/>
    <n v="6240"/>
    <n v="17970"/>
    <m/>
    <m/>
    <n v="0"/>
    <s v="Direct participants are the mostly people affected by the war in the area."/>
    <m/>
    <n v="12785"/>
    <n v="5480"/>
    <n v="18265"/>
    <m/>
    <m/>
    <n v="0"/>
    <s v="NO"/>
    <m/>
    <m/>
    <m/>
    <s v="YES"/>
    <n v="14790"/>
    <n v="0.79"/>
    <m/>
    <s v="NO"/>
    <m/>
    <m/>
    <m/>
    <s v="YES"/>
    <n v="12390"/>
    <n v="0.81"/>
    <m/>
    <s v="YES"/>
    <n v="18265"/>
    <n v="0.7"/>
    <n v="0"/>
    <s v="NO"/>
    <m/>
    <m/>
    <m/>
    <s v="NO"/>
    <m/>
    <m/>
    <m/>
    <s v="Yes"/>
    <n v="12390"/>
    <n v="0.81"/>
    <m/>
    <s v="NO"/>
    <m/>
    <m/>
    <m/>
    <s v="NO"/>
    <m/>
    <m/>
    <m/>
    <s v="NO"/>
    <m/>
    <m/>
    <m/>
    <s v="NO"/>
    <m/>
    <m/>
    <m/>
    <m/>
    <s v="NO"/>
    <m/>
    <m/>
    <m/>
    <n v="5418"/>
    <n v="294"/>
    <n v="5712"/>
    <n v="27090"/>
    <n v="1470"/>
    <n v="28560"/>
    <m/>
    <m/>
    <m/>
    <m/>
    <m/>
    <m/>
    <m/>
    <m/>
    <m/>
    <m/>
    <m/>
    <m/>
    <m/>
    <m/>
    <m/>
    <m/>
    <m/>
    <m/>
    <m/>
    <m/>
    <m/>
    <m/>
    <m/>
    <m/>
    <s v="YES"/>
    <n v="5712"/>
    <n v="0.95"/>
    <n v="28560"/>
    <m/>
    <m/>
    <m/>
    <m/>
    <m/>
    <m/>
    <m/>
    <m/>
    <m/>
    <m/>
    <m/>
    <m/>
    <m/>
    <m/>
    <m/>
    <m/>
    <m/>
    <m/>
    <m/>
    <m/>
    <m/>
    <m/>
    <m/>
    <m/>
    <m/>
    <m/>
    <m/>
    <m/>
    <m/>
    <m/>
    <m/>
    <m/>
    <s v="YES"/>
    <n v="5418"/>
    <n v="1"/>
    <n v="27090"/>
    <m/>
    <m/>
    <m/>
    <m/>
    <m/>
    <s v="YES"/>
    <s v="June"/>
    <n v="2017"/>
    <s v="YES"/>
    <s v="NO"/>
    <m/>
    <m/>
    <m/>
    <x v="1"/>
    <s v="YES"/>
    <m/>
    <s v="YES"/>
    <s v="YES"/>
    <s v="YES"/>
    <s v="YES"/>
    <s v="YES"/>
    <m/>
    <m/>
    <x v="1"/>
    <s v="Cash for work"/>
    <x v="3"/>
    <s v="Ingrating other programmes  (GiK) with other programmes works"/>
    <x v="2"/>
    <x v="0"/>
    <s v="YES"/>
    <x v="0"/>
    <x v="0"/>
    <x v="0"/>
    <x v="0"/>
    <n v="4"/>
    <x v="1"/>
    <x v="1"/>
    <x v="1"/>
    <x v="1"/>
    <x v="1"/>
    <x v="1"/>
    <n v="4"/>
    <x v="3"/>
    <x v="1"/>
    <x v="1"/>
    <x v="1"/>
    <x v="4"/>
    <n v="3"/>
    <x v="0"/>
    <x v="0"/>
    <m/>
    <m/>
    <m/>
    <m/>
    <x v="1"/>
    <m/>
    <s v="The Project strategy was very effective, because the approached has identified the community needs from the initial stage of project assessment and the cross cutting issues have been integrated into the all components of project, such as Cash for work, seed distribution and Gender Based violence, including capacity buildings were also relevant to the targeted groups. The capacity building focus on awareness and trainings on gender based violence on GBV for particularly women and girls, including entire communities, for the VSLA the training focus on principles of VSLA and group leadership, skills in business and financial management, while for the farmer field schools agricultural skills training and best practice on how to improve agri-business in the community. The evaluation noted this into the literature point of view &amp; during interviews with stakeholders."/>
    <s v="VSLA"/>
    <s v="CASH FOR WORK"/>
    <s v="DIGNITY KITS DISTRIBUTION"/>
    <s v="Despite the escalated food insecurity and other associated challenges, CARE has been able to pilot and prove alternative livelihood  strategies like: cash for work, VSLA for income generation, distribution of fast maturing vegetables seeds hence improving  coping mechanisms and giving hope to the conflict affected communities"/>
    <s v="CAREs integrated program implementation i.e NFIs distributions, sexual reproductive health program) have added more impact and quality to our work under this project .  "/>
    <s v="Forward planning and joint ownership is key to success Security planning and consistent contingency planning contributes to staff safety and in turn supports program implementation amidst insecurity on the ground"/>
    <s v="The each of the three components of the project has been successfully, relevant and effective to the local context and beneficiary need. The GBV component has improved awareness education in the entire community, because police, social case workers, CARE staff, health facility staff and relevant stakeholders were all being trained on GBV principles and on how to handle GBV survivors. In addition CfW component of the project has been relevant and effective, because the project has improved the socio economic and nutritional status of the most vulnerable individual. Furthermore the seed and farm distribution component of the project has been successfully, relevant and effective, because there were partially increased in food production and targeted beneficiaries were able to formulate FFs school and embark on agricultural best practice. Although, timeliness and insecurity has somehow, affected the efficiency of project intervention"/>
    <s v="CARE South Sudan FY17 Grants Tracker, Project proposal, Project Endline Evaluation."/>
    <n v="18265"/>
    <n v="28560"/>
    <n v="1.5636463180947167"/>
    <n v="0.69997262523952919"/>
    <n v="0.94852941176470584"/>
    <n v="12785"/>
    <n v="27090"/>
    <n v="1"/>
    <n v="18265"/>
    <n v="0"/>
    <n v="0"/>
    <n v="1"/>
    <n v="12390"/>
    <n v="28560"/>
    <n v="2.3050847457627119"/>
    <s v=""/>
    <n v="0"/>
    <n v="0"/>
    <s v=""/>
    <n v="1"/>
    <n v="18265"/>
    <n v="0"/>
    <n v="0"/>
    <n v="1"/>
    <n v="5418"/>
    <n v="27090"/>
    <n v="5"/>
    <s v="2. Sensitive"/>
    <s v="2. Accommodating"/>
    <s v="4. Transformative"/>
    <s v="It tested new ways for fighting poverty, but did not measure results of innovation"/>
    <s v="Moderate advocacy"/>
    <s v="It took tested solutions to scale on its own"/>
  </r>
  <r>
    <x v="67"/>
    <x v="3"/>
    <m/>
    <s v="CARE South Sudan Integrated Safe Motherhood Project"/>
    <s v="South Sudan"/>
    <m/>
    <s v="CARE USA"/>
    <s v="Foundation"/>
    <s v="Other"/>
    <s v="SAFPAC Catalytic Fund"/>
    <m/>
    <m/>
    <m/>
    <m/>
    <m/>
    <m/>
    <m/>
    <m/>
    <m/>
    <m/>
    <m/>
    <m/>
    <m/>
    <m/>
    <m/>
    <m/>
    <m/>
    <m/>
    <m/>
    <m/>
    <m/>
    <m/>
    <m/>
    <m/>
    <m/>
    <m/>
    <m/>
    <m/>
    <m/>
    <m/>
    <m/>
    <m/>
    <m/>
    <m/>
    <m/>
    <m/>
    <m/>
    <m/>
    <m/>
    <m/>
    <m/>
    <m/>
    <m/>
    <m/>
    <m/>
    <d v="2017-03-01T00:00:00"/>
    <d v="2017-10-31T00:00:00"/>
    <m/>
    <s v="Humanitarian Other"/>
    <n v="150000"/>
    <s v="Patrick Vuonze"/>
    <s v="Project  Manager"/>
    <s v="Patrick.Vuonze@care.org"/>
    <s v="Mercy Laker"/>
    <s v="Health and Nutrition Coordinator"/>
    <s v="mercy.laker@care.org"/>
    <s v="YES"/>
    <s v="NO"/>
    <s v="NO"/>
    <s v="Increase access to family and post-abortion care (PAC),  opening the dialogue on safe abortion,family planning and clinical management of rape services. Integrate SRH programming throughout CAREs emergency response work and culture"/>
    <s v="National"/>
    <s v="Torit County"/>
    <s v="CARE South Sudan used SAFPAC funding to reach 24,735 women and girls from displaced and host populations with family planning, post-abortion care and clinical management of rape services. Key activities include clinical training of health providers on FP, PAC and GBV, provision of contraceptives, supplies, and equipment to health facilities, and community outreach to raise awareness of services."/>
    <n v="20735"/>
    <n v="4000"/>
    <n v="24735"/>
    <n v="4000"/>
    <n v="20735"/>
    <n v="24735"/>
    <s v="women and girls from displaced and host populations"/>
    <m/>
    <n v="1171"/>
    <n v="418"/>
    <n v="1589"/>
    <n v="418"/>
    <n v="1171"/>
    <n v="1589"/>
    <m/>
    <m/>
    <m/>
    <m/>
    <m/>
    <m/>
    <m/>
    <m/>
    <m/>
    <m/>
    <m/>
    <m/>
    <m/>
    <m/>
    <m/>
    <m/>
    <m/>
    <m/>
    <m/>
    <m/>
    <m/>
    <m/>
    <m/>
    <m/>
    <s v="YES"/>
    <m/>
    <m/>
    <m/>
    <m/>
    <m/>
    <m/>
    <m/>
    <m/>
    <m/>
    <m/>
    <m/>
    <s v="YES"/>
    <n v="1589"/>
    <n v="0.74"/>
    <n v="1589"/>
    <m/>
    <m/>
    <m/>
    <m/>
    <m/>
    <m/>
    <m/>
    <m/>
    <m/>
    <m/>
    <m/>
    <m/>
    <m/>
    <m/>
    <m/>
    <m/>
    <m/>
    <m/>
    <m/>
    <m/>
    <m/>
    <m/>
    <m/>
    <m/>
    <m/>
    <m/>
    <m/>
    <m/>
    <m/>
    <m/>
    <m/>
    <m/>
    <m/>
    <m/>
    <m/>
    <m/>
    <m/>
    <m/>
    <m/>
    <m/>
    <m/>
    <m/>
    <m/>
    <m/>
    <m/>
    <m/>
    <m/>
    <m/>
    <m/>
    <m/>
    <m/>
    <m/>
    <m/>
    <m/>
    <m/>
    <m/>
    <m/>
    <m/>
    <m/>
    <m/>
    <m/>
    <m/>
    <m/>
    <m/>
    <m/>
    <m/>
    <m/>
    <m/>
    <m/>
    <m/>
    <m/>
    <m/>
    <m/>
    <m/>
    <m/>
    <m/>
    <m/>
    <m/>
    <m/>
    <m/>
    <m/>
    <m/>
    <m/>
    <m/>
    <m/>
    <m/>
    <m/>
    <m/>
    <s v="NO"/>
    <m/>
    <m/>
    <s v="NO"/>
    <s v="NO"/>
    <m/>
    <m/>
    <m/>
    <x v="2"/>
    <s v="YES"/>
    <s v="YES"/>
    <s v="YES"/>
    <s v="YES"/>
    <s v="YES"/>
    <s v="YES"/>
    <s v="YES"/>
    <m/>
    <m/>
    <x v="1"/>
    <s v="distribution of Mama and Dignity kits as a incentive to draw PLWs to the programme"/>
    <x v="1"/>
    <m/>
    <x v="2"/>
    <x v="1"/>
    <s v="YES"/>
    <x v="0"/>
    <x v="0"/>
    <x v="0"/>
    <x v="2"/>
    <n v="4"/>
    <x v="1"/>
    <x v="1"/>
    <x v="1"/>
    <x v="1"/>
    <x v="1"/>
    <x v="1"/>
    <n v="4"/>
    <x v="3"/>
    <x v="1"/>
    <x v="1"/>
    <x v="1"/>
    <x v="4"/>
    <n v="3"/>
    <x v="2"/>
    <x v="0"/>
    <n v="1"/>
    <s v="Local government(s)"/>
    <s v="Local government(s)"/>
    <s v="Multilateral organization(s)"/>
    <x v="1"/>
    <m/>
    <m/>
    <s v="Dignity Kits Distribution"/>
    <s v="Mama Kits Distribution"/>
    <s v="Use of Home Health Promoters"/>
    <s v="Continuous Coordination and participation at State health cluster meetings  to promote ownership, sustainability and our visibility as Care"/>
    <s v="Planning for supportive supervision visits should be an integral part of the annual/quarterly work plan process."/>
    <s v="Obtained supplies from UNFPA for distribution should not only be RH kits but also other supplies which should be informed by facilities audits."/>
    <s v="The Health Pooled Fund 2 is a multi-level government-led program focusing on provision of essential maternal health and nutrition services, provision of access to services for the most vulnerable (particularly youth, women and girls), and building the institutional capacity of the MOH especially at county and state levels. CAREs current contract for Pariang County runs till February 2018, and the project is funded by the United Kingdom Government Department for International Development (DFID), the government of Canada, the United States Agency for International Development (USAID), the European Union (EU) and the Swedish International Development and Cooperation Agency (SIDA). In Pariang County (old county system) of Ruweng State, CARE is implementing HPF2 in 7 health facilities: Pariang PHCC+ (complementary to UNHCR support), JamJang PHCC, Biu PHCC, Panyang PHCC, Kong PHCU, Gumriak PHCU, and Bongki PHCU."/>
    <s v="CARE South Sudan FY17 Grants Tracker, Project proposal."/>
    <n v="1589"/>
    <n v="1589"/>
    <n v="1"/>
    <n v="0.73694147262429199"/>
    <n v="0.26305852737570801"/>
    <n v="1171"/>
    <n v="418"/>
    <n v="1"/>
    <n v="1589"/>
    <n v="1589"/>
    <n v="1"/>
    <s v=""/>
    <n v="0"/>
    <n v="0"/>
    <s v=""/>
    <n v="1"/>
    <n v="1589"/>
    <n v="1589"/>
    <n v="1"/>
    <s v=""/>
    <n v="0"/>
    <n v="0"/>
    <s v=""/>
    <s v=""/>
    <n v="0"/>
    <n v="0"/>
    <s v=""/>
    <s v="4. Transformative"/>
    <s v="2. Accommodating"/>
    <s v="4. Transformative"/>
    <s v="It tested new ways for fighting poverty, but did not measure results of innovation"/>
    <s v="Intensive advocacy"/>
    <s v="It linked and worked with strategic alliances and partners to take tested and effective solutions to scale"/>
  </r>
  <r>
    <x v="67"/>
    <x v="3"/>
    <m/>
    <s v="CHF Project - Health"/>
    <s v="South Sudan"/>
    <m/>
    <s v="No CARE member related to the project/initiative"/>
    <s v="Multilateral agency"/>
    <s v="UN - United Nations agencies/offices"/>
    <s v="UN OCHA"/>
    <m/>
    <m/>
    <m/>
    <m/>
    <m/>
    <m/>
    <m/>
    <m/>
    <m/>
    <m/>
    <m/>
    <m/>
    <m/>
    <m/>
    <m/>
    <m/>
    <m/>
    <m/>
    <m/>
    <m/>
    <m/>
    <m/>
    <m/>
    <m/>
    <m/>
    <m/>
    <m/>
    <m/>
    <m/>
    <m/>
    <m/>
    <m/>
    <m/>
    <m/>
    <m/>
    <m/>
    <m/>
    <m/>
    <m/>
    <m/>
    <m/>
    <m/>
    <m/>
    <m/>
    <m/>
    <d v="2017-04-01T00:00:00"/>
    <d v="2017-09-30T00:00:00"/>
    <m/>
    <s v="Humanitarian Other"/>
    <n v="100000"/>
    <s v="Nicholas Chege"/>
    <s v="Project Manager"/>
    <s v="Gitau.Chege@care.org"/>
    <m/>
    <m/>
    <m/>
    <s v="YES"/>
    <s v="NO"/>
    <s v="NO"/>
    <s v="To build healthcare workforce capacity in outbreak response and frontline health issues in South Sudan"/>
    <s v="Sub-National"/>
    <s v="Mayom, Abiemnom and Rubkona County (Bentiu PoC and Bentiu town)"/>
    <s v="Frontline healthcare workers"/>
    <n v="2143"/>
    <n v="1873"/>
    <n v="4016"/>
    <n v="0"/>
    <n v="0"/>
    <n v="0"/>
    <s v="Malnursihed children of under 5 and Pregnant and Lacttating Women (PLW)"/>
    <m/>
    <n v="0"/>
    <n v="0"/>
    <n v="0"/>
    <n v="0"/>
    <n v="0"/>
    <n v="0"/>
    <s v="NO"/>
    <m/>
    <m/>
    <m/>
    <s v="NO"/>
    <m/>
    <m/>
    <n v="0"/>
    <s v="NO"/>
    <m/>
    <m/>
    <n v="0"/>
    <s v="NO"/>
    <m/>
    <m/>
    <m/>
    <s v="NO"/>
    <m/>
    <m/>
    <n v="0"/>
    <s v="NO"/>
    <m/>
    <m/>
    <m/>
    <s v="YES"/>
    <n v="0"/>
    <n v="0"/>
    <n v="0"/>
    <s v="NO"/>
    <m/>
    <m/>
    <m/>
    <s v="NO"/>
    <m/>
    <m/>
    <m/>
    <s v="NO"/>
    <m/>
    <m/>
    <m/>
    <s v="NO"/>
    <m/>
    <m/>
    <m/>
    <s v="NO"/>
    <m/>
    <m/>
    <m/>
    <m/>
    <m/>
    <m/>
    <m/>
    <m/>
    <m/>
    <m/>
    <m/>
    <m/>
    <m/>
    <m/>
    <m/>
    <m/>
    <m/>
    <m/>
    <m/>
    <m/>
    <m/>
    <m/>
    <m/>
    <m/>
    <m/>
    <m/>
    <m/>
    <m/>
    <m/>
    <m/>
    <m/>
    <m/>
    <m/>
    <m/>
    <m/>
    <m/>
    <m/>
    <m/>
    <m/>
    <m/>
    <m/>
    <m/>
    <m/>
    <m/>
    <m/>
    <m/>
    <m/>
    <m/>
    <m/>
    <m/>
    <m/>
    <m/>
    <m/>
    <m/>
    <m/>
    <m/>
    <m/>
    <m/>
    <m/>
    <m/>
    <m/>
    <m/>
    <m/>
    <m/>
    <m/>
    <m/>
    <m/>
    <m/>
    <m/>
    <m/>
    <m/>
    <m/>
    <m/>
    <m/>
    <m/>
    <m/>
    <m/>
    <m/>
    <m/>
    <m/>
    <m/>
    <m/>
    <m/>
    <s v="NO"/>
    <m/>
    <m/>
    <s v="NO"/>
    <s v="NO"/>
    <m/>
    <m/>
    <m/>
    <x v="0"/>
    <s v="NO"/>
    <m/>
    <m/>
    <s v="NO"/>
    <m/>
    <m/>
    <s v="NO"/>
    <m/>
    <m/>
    <x v="0"/>
    <m/>
    <x v="0"/>
    <m/>
    <x v="0"/>
    <x v="0"/>
    <s v="YES"/>
    <x v="1"/>
    <x v="0"/>
    <x v="0"/>
    <x v="1"/>
    <n v="3"/>
    <x v="1"/>
    <x v="1"/>
    <x v="1"/>
    <x v="1"/>
    <x v="1"/>
    <x v="1"/>
    <n v="4"/>
    <x v="2"/>
    <x v="1"/>
    <x v="2"/>
    <x v="2"/>
    <x v="2"/>
    <n v="1"/>
    <x v="2"/>
    <x v="1"/>
    <m/>
    <m/>
    <m/>
    <m/>
    <x v="3"/>
    <m/>
    <m/>
    <m/>
    <m/>
    <m/>
    <m/>
    <m/>
    <m/>
    <m/>
    <m/>
    <n v="0"/>
    <n v="0"/>
    <s v=""/>
    <s v=""/>
    <s v=""/>
    <n v="0"/>
    <n v="0"/>
    <n v="1"/>
    <n v="0"/>
    <n v="0"/>
    <s v=""/>
    <s v=""/>
    <n v="0"/>
    <n v="0"/>
    <s v=""/>
    <s v=""/>
    <n v="0"/>
    <n v="0"/>
    <s v=""/>
    <s v=""/>
    <n v="0"/>
    <n v="0"/>
    <s v=""/>
    <s v=""/>
    <n v="0"/>
    <n v="0"/>
    <s v=""/>
    <s v="1. Neutral"/>
    <s v="2. Accommodating"/>
    <s v="0. Harmful"/>
    <s v="It did not develop any specific innovation"/>
    <s v="Little or no advocacy"/>
    <s v="It did not take tested solutions to scale"/>
  </r>
  <r>
    <x v="67"/>
    <x v="3"/>
    <m/>
    <s v="CHF Project - Nutrition"/>
    <s v="South Sudan"/>
    <m/>
    <s v="No CARE member related to the project/initiative"/>
    <s v="Multilateral agency"/>
    <s v="UN - United Nations agencies/offices"/>
    <s v="UN OCHA"/>
    <m/>
    <m/>
    <m/>
    <m/>
    <m/>
    <m/>
    <m/>
    <m/>
    <m/>
    <m/>
    <m/>
    <m/>
    <m/>
    <m/>
    <m/>
    <m/>
    <m/>
    <m/>
    <m/>
    <m/>
    <m/>
    <m/>
    <m/>
    <m/>
    <m/>
    <m/>
    <m/>
    <m/>
    <m/>
    <m/>
    <m/>
    <m/>
    <m/>
    <m/>
    <m/>
    <m/>
    <m/>
    <m/>
    <m/>
    <m/>
    <m/>
    <m/>
    <m/>
    <m/>
    <m/>
    <d v="2016-09-01T00:00:00"/>
    <d v="2017-01-31T00:00:00"/>
    <m/>
    <s v="Humanitarian Food &amp; Nutrition Security and Resilience to Climate Change"/>
    <n v="581996"/>
    <s v="Olive Muthamia"/>
    <s v="Project Manager"/>
    <s v="Omuthamia@care.org"/>
    <m/>
    <m/>
    <m/>
    <s v="YES"/>
    <s v="NO"/>
    <s v="NO"/>
    <s v="To reduce the prevalence and incidence of Global Acute Malnutrition (GAM) from 28.5% to 25% in Mayom and from 29.2% to 26% in Abiemnom and Rubkona through scaling up of the current Community Management of Acute Malnutrition (CMAM) program, and providing Infant and Young Child Feeding (IYCF) interventions targeting children under five and pregnant and lactating women (PLW)."/>
    <s v="Sub-National"/>
    <s v="Mayom, Abiemnom and Rubkona County (Bentiu PoC and Bentiu town)"/>
    <s v="Children under five and pregnant and lactating women."/>
    <n v="30035"/>
    <n v="14342"/>
    <n v="44377"/>
    <n v="10928"/>
    <n v="9781"/>
    <n v="20709"/>
    <s v="Children under five and pregnant and lactating women."/>
    <m/>
    <n v="55877"/>
    <n v="38795"/>
    <n v="94672"/>
    <n v="154719"/>
    <n v="75025"/>
    <n v="229744"/>
    <s v="NO"/>
    <m/>
    <m/>
    <m/>
    <s v="NO"/>
    <m/>
    <m/>
    <m/>
    <s v="NO"/>
    <m/>
    <m/>
    <n v="0"/>
    <s v="YES"/>
    <n v="94672"/>
    <n v="0.51"/>
    <n v="229744"/>
    <s v="NO"/>
    <m/>
    <m/>
    <n v="0"/>
    <s v="NO"/>
    <m/>
    <m/>
    <m/>
    <s v="NO"/>
    <m/>
    <m/>
    <m/>
    <s v="NO"/>
    <m/>
    <m/>
    <m/>
    <s v="NO"/>
    <m/>
    <m/>
    <m/>
    <s v="NO"/>
    <m/>
    <m/>
    <m/>
    <s v="NO"/>
    <m/>
    <m/>
    <m/>
    <s v="NO"/>
    <m/>
    <m/>
    <m/>
    <m/>
    <m/>
    <m/>
    <m/>
    <m/>
    <m/>
    <m/>
    <m/>
    <m/>
    <m/>
    <m/>
    <m/>
    <m/>
    <m/>
    <m/>
    <m/>
    <m/>
    <m/>
    <m/>
    <m/>
    <m/>
    <m/>
    <m/>
    <m/>
    <m/>
    <m/>
    <m/>
    <m/>
    <m/>
    <m/>
    <m/>
    <m/>
    <m/>
    <m/>
    <m/>
    <m/>
    <m/>
    <m/>
    <m/>
    <m/>
    <m/>
    <m/>
    <m/>
    <m/>
    <m/>
    <m/>
    <m/>
    <m/>
    <m/>
    <m/>
    <m/>
    <m/>
    <m/>
    <m/>
    <m/>
    <m/>
    <m/>
    <m/>
    <m/>
    <m/>
    <m/>
    <m/>
    <m/>
    <m/>
    <m/>
    <m/>
    <m/>
    <m/>
    <m/>
    <m/>
    <m/>
    <m/>
    <m/>
    <m/>
    <m/>
    <m/>
    <m/>
    <m/>
    <m/>
    <m/>
    <s v="YES"/>
    <s v="May"/>
    <n v="2017"/>
    <s v="YES"/>
    <s v="NO"/>
    <m/>
    <m/>
    <m/>
    <x v="3"/>
    <s v="NO"/>
    <s v="NO"/>
    <s v="NO"/>
    <s v="YES"/>
    <s v="NO"/>
    <s v="YES"/>
    <s v="NO"/>
    <m/>
    <m/>
    <x v="0"/>
    <m/>
    <x v="3"/>
    <m/>
    <x v="1"/>
    <x v="0"/>
    <s v="YES"/>
    <x v="0"/>
    <x v="0"/>
    <x v="0"/>
    <x v="0"/>
    <n v="4"/>
    <x v="1"/>
    <x v="1"/>
    <x v="2"/>
    <x v="1"/>
    <x v="1"/>
    <x v="1"/>
    <n v="3"/>
    <x v="2"/>
    <x v="2"/>
    <x v="2"/>
    <x v="2"/>
    <x v="2"/>
    <n v="0"/>
    <x v="2"/>
    <x v="1"/>
    <m/>
    <s v="Local government(s)"/>
    <m/>
    <m/>
    <x v="3"/>
    <m/>
    <s v="The GAM rate 20.1 % [17.2 - 23.4] found is almost double the WHO emergency level (15%). This has come too early in the year and is an indication that malnutrition rates will increase in the coming hunger gap period. Efforts should be put in place to respond to the raising rates of malnutrition in the area. One possible preparation is to pre-position nutrition items and essential durgs to the area when the road is still passable."/>
    <m/>
    <m/>
    <m/>
    <m/>
    <m/>
    <m/>
    <m/>
    <m/>
    <n v="94672"/>
    <n v="229744"/>
    <n v="2.4267365218860908"/>
    <n v="0.5902167483522055"/>
    <n v="0.67344087331986913"/>
    <n v="55877"/>
    <n v="154719"/>
    <n v="1"/>
    <n v="94672"/>
    <n v="229744"/>
    <n v="2.4267365218860908"/>
    <n v="1"/>
    <n v="94672"/>
    <n v="229744"/>
    <n v="2.4267365218860908"/>
    <s v=""/>
    <n v="0"/>
    <n v="0"/>
    <s v=""/>
    <s v=""/>
    <n v="0"/>
    <n v="0"/>
    <s v=""/>
    <s v=""/>
    <n v="0"/>
    <n v="0"/>
    <s v=""/>
    <s v="2. Sensitive"/>
    <s v="2. Accommodating"/>
    <s v="0. Harmful"/>
    <s v="It did not develop any specific innovation"/>
    <n v="0"/>
    <s v="It took tested solutions to scale on its own"/>
  </r>
  <r>
    <x v="67"/>
    <x v="3"/>
    <m/>
    <s v="Disasters Emergency Committee Response to the East Africa Crisis - CARE UK Humanitarian Appeal"/>
    <s v="South Sudan"/>
    <m/>
    <s v="CARE UK"/>
    <s v="Other"/>
    <s v="Other"/>
    <s v="Disaster Emergency Committee (DEC)"/>
    <m/>
    <m/>
    <m/>
    <m/>
    <m/>
    <m/>
    <m/>
    <m/>
    <m/>
    <m/>
    <m/>
    <m/>
    <m/>
    <m/>
    <m/>
    <m/>
    <m/>
    <m/>
    <m/>
    <m/>
    <m/>
    <m/>
    <m/>
    <m/>
    <m/>
    <m/>
    <m/>
    <m/>
    <m/>
    <m/>
    <m/>
    <m/>
    <m/>
    <m/>
    <m/>
    <m/>
    <m/>
    <m/>
    <m/>
    <m/>
    <m/>
    <m/>
    <m/>
    <m/>
    <m/>
    <d v="2017-06-01T00:00:00"/>
    <d v="2017-09-30T00:00:00"/>
    <m/>
    <s v="Humanitarian Food &amp; Nutrition Security and Resilience to Climate Change"/>
    <n v="296174"/>
    <s v="Mohammed Osman"/>
    <s v="Program Manager"/>
    <s v="mosman@care.org"/>
    <m/>
    <m/>
    <m/>
    <s v="YES"/>
    <s v="YES"/>
    <s v="YES"/>
    <s v="Respond to the humanitarian needs created or exacerbated by the July 2016 crisis, by providing essential household items to looted households in EE State, and life-saving nutrition support for children and PLW IDPs in Unity State."/>
    <s v="National"/>
    <s v="Koch &amp; Pakur in Gany County"/>
    <s v="Most vulnerable affedted by crises."/>
    <n v="11690"/>
    <n v="5010"/>
    <n v="16700"/>
    <n v="58450"/>
    <n v="25050"/>
    <n v="83500"/>
    <s v="Direct participants are the mostly people affected by the war in the area."/>
    <m/>
    <m/>
    <m/>
    <n v="0"/>
    <m/>
    <m/>
    <n v="0"/>
    <s v="NO"/>
    <m/>
    <m/>
    <m/>
    <s v="NO"/>
    <m/>
    <m/>
    <m/>
    <s v="NO"/>
    <m/>
    <m/>
    <m/>
    <s v="YES"/>
    <n v="0"/>
    <m/>
    <m/>
    <s v="YES"/>
    <m/>
    <m/>
    <m/>
    <s v="NO"/>
    <m/>
    <m/>
    <m/>
    <s v="NO"/>
    <m/>
    <m/>
    <m/>
    <s v="NO"/>
    <m/>
    <m/>
    <m/>
    <s v="NO"/>
    <m/>
    <m/>
    <m/>
    <s v="NO"/>
    <m/>
    <m/>
    <m/>
    <s v="NO"/>
    <m/>
    <m/>
    <m/>
    <s v="NO"/>
    <m/>
    <m/>
    <m/>
    <m/>
    <s v="NO"/>
    <m/>
    <m/>
    <m/>
    <m/>
    <m/>
    <n v="0"/>
    <m/>
    <m/>
    <m/>
    <m/>
    <m/>
    <m/>
    <m/>
    <m/>
    <m/>
    <m/>
    <m/>
    <m/>
    <m/>
    <m/>
    <m/>
    <m/>
    <m/>
    <m/>
    <m/>
    <m/>
    <m/>
    <m/>
    <m/>
    <m/>
    <m/>
    <m/>
    <m/>
    <m/>
    <m/>
    <m/>
    <m/>
    <m/>
    <m/>
    <m/>
    <m/>
    <m/>
    <m/>
    <m/>
    <m/>
    <m/>
    <m/>
    <m/>
    <m/>
    <m/>
    <m/>
    <m/>
    <m/>
    <m/>
    <m/>
    <m/>
    <m/>
    <m/>
    <m/>
    <m/>
    <m/>
    <m/>
    <m/>
    <m/>
    <m/>
    <m/>
    <m/>
    <m/>
    <m/>
    <s v="YES"/>
    <n v="0"/>
    <n v="1"/>
    <m/>
    <m/>
    <m/>
    <m/>
    <m/>
    <m/>
    <s v="NO"/>
    <m/>
    <m/>
    <s v="NO"/>
    <s v="NO"/>
    <m/>
    <m/>
    <m/>
    <x v="1"/>
    <s v="NO"/>
    <m/>
    <s v="YES"/>
    <s v="NO"/>
    <s v="NO"/>
    <s v="YES"/>
    <s v="NO"/>
    <m/>
    <m/>
    <x v="0"/>
    <m/>
    <x v="3"/>
    <m/>
    <x v="2"/>
    <x v="0"/>
    <s v="YES"/>
    <x v="0"/>
    <x v="0"/>
    <x v="0"/>
    <x v="0"/>
    <n v="4"/>
    <x v="1"/>
    <x v="1"/>
    <x v="1"/>
    <x v="1"/>
    <x v="1"/>
    <x v="1"/>
    <n v="4"/>
    <x v="3"/>
    <x v="1"/>
    <x v="1"/>
    <x v="1"/>
    <x v="4"/>
    <n v="3"/>
    <x v="2"/>
    <x v="1"/>
    <m/>
    <m/>
    <s v="Local government(s)"/>
    <s v="Other"/>
    <x v="1"/>
    <m/>
    <m/>
    <m/>
    <m/>
    <m/>
    <m/>
    <m/>
    <m/>
    <m/>
    <s v="CARE South Sudan FY17 Grants Tracker, Project proposal"/>
    <n v="0"/>
    <n v="0"/>
    <s v=""/>
    <s v=""/>
    <s v=""/>
    <n v="0"/>
    <n v="0"/>
    <n v="1"/>
    <n v="0"/>
    <n v="0"/>
    <s v=""/>
    <n v="1"/>
    <n v="0"/>
    <n v="0"/>
    <s v=""/>
    <s v=""/>
    <n v="0"/>
    <n v="0"/>
    <s v=""/>
    <n v="1"/>
    <n v="0"/>
    <n v="0"/>
    <s v=""/>
    <n v="1"/>
    <n v="0"/>
    <n v="0"/>
    <s v=""/>
    <s v="2. Sensitive"/>
    <s v="2. Accommodating"/>
    <s v="4. Transformative"/>
    <s v="It did not develop any specific innovation"/>
    <s v="Moderate advocacy"/>
    <s v="It took tested solutions to scale on its own"/>
  </r>
  <r>
    <x v="67"/>
    <x v="3"/>
    <m/>
    <s v="Dutch NGO South Sudan Joint Response 3 (SSJR3)"/>
    <s v="South Sudan"/>
    <m/>
    <s v="CARE Nederland"/>
    <s v="Government"/>
    <s v="Government - Netherlands"/>
    <s v="Ministry  of Foreign Affairs of the Netherlands"/>
    <m/>
    <m/>
    <m/>
    <m/>
    <m/>
    <m/>
    <m/>
    <m/>
    <m/>
    <m/>
    <m/>
    <m/>
    <m/>
    <m/>
    <m/>
    <m/>
    <m/>
    <m/>
    <m/>
    <m/>
    <m/>
    <m/>
    <m/>
    <m/>
    <m/>
    <m/>
    <m/>
    <m/>
    <m/>
    <m/>
    <m/>
    <m/>
    <m/>
    <m/>
    <m/>
    <m/>
    <m/>
    <m/>
    <m/>
    <m/>
    <m/>
    <m/>
    <m/>
    <m/>
    <m/>
    <d v="2017-03-01T00:00:00"/>
    <d v="2017-12-31T00:00:00"/>
    <m/>
    <s v="Humanitarian Food &amp; Nutrition Security and Resilience to Climate Change"/>
    <n v="1117000"/>
    <s v="Darias Sanyatwe Bayayi"/>
    <s v="Food Security and Livelihoods Coordinator"/>
    <s v="Bayayi.Darias@care.org"/>
    <m/>
    <m/>
    <m/>
    <s v="YES"/>
    <s v="NO"/>
    <s v="NO"/>
    <s v="Save lives and alleviate suffering of those most in need of assistance and protection AND protect the rights and uphold the dignity of the most vulnerable (Strategic Objective 1&amp;2 of the Humanitarian Response Plan (HRP) 2017)"/>
    <s v="Sub-National"/>
    <s v="Rubkona for FSL and GBv, and Koch for Nutrition"/>
    <s v="Poor and vulnerable conflict affected people in Rubkona for FSL and GBv, and Koch for Nutrition"/>
    <n v="1362"/>
    <n v="1257"/>
    <n v="2619"/>
    <n v="6810"/>
    <n v="6285"/>
    <n v="13095"/>
    <m/>
    <m/>
    <m/>
    <m/>
    <m/>
    <m/>
    <m/>
    <m/>
    <s v="NO"/>
    <m/>
    <m/>
    <m/>
    <s v="YES"/>
    <m/>
    <m/>
    <n v="0"/>
    <s v="NO"/>
    <m/>
    <m/>
    <n v="0"/>
    <s v="YES"/>
    <m/>
    <m/>
    <m/>
    <s v="YES"/>
    <m/>
    <m/>
    <m/>
    <s v="NO"/>
    <m/>
    <m/>
    <m/>
    <s v="NO"/>
    <m/>
    <m/>
    <m/>
    <m/>
    <m/>
    <m/>
    <m/>
    <s v="NO"/>
    <m/>
    <m/>
    <m/>
    <s v="NO"/>
    <m/>
    <m/>
    <m/>
    <s v="NO"/>
    <m/>
    <m/>
    <m/>
    <s v="NO"/>
    <m/>
    <m/>
    <m/>
    <m/>
    <m/>
    <m/>
    <m/>
    <m/>
    <m/>
    <m/>
    <m/>
    <m/>
    <m/>
    <m/>
    <m/>
    <m/>
    <m/>
    <m/>
    <m/>
    <m/>
    <m/>
    <m/>
    <m/>
    <m/>
    <m/>
    <m/>
    <m/>
    <m/>
    <m/>
    <m/>
    <m/>
    <m/>
    <m/>
    <m/>
    <m/>
    <m/>
    <m/>
    <m/>
    <m/>
    <m/>
    <m/>
    <m/>
    <m/>
    <m/>
    <m/>
    <m/>
    <m/>
    <m/>
    <m/>
    <m/>
    <m/>
    <m/>
    <m/>
    <m/>
    <m/>
    <m/>
    <m/>
    <m/>
    <m/>
    <m/>
    <m/>
    <m/>
    <m/>
    <m/>
    <m/>
    <m/>
    <m/>
    <m/>
    <m/>
    <m/>
    <m/>
    <m/>
    <m/>
    <m/>
    <m/>
    <m/>
    <m/>
    <m/>
    <m/>
    <m/>
    <m/>
    <m/>
    <m/>
    <s v="NO"/>
    <m/>
    <m/>
    <s v="NO"/>
    <s v="NO"/>
    <m/>
    <m/>
    <m/>
    <x v="1"/>
    <s v="YES"/>
    <s v="YES"/>
    <s v="YES"/>
    <s v="YES"/>
    <s v="YES"/>
    <s v="NO"/>
    <s v="NO"/>
    <m/>
    <m/>
    <x v="1"/>
    <s v="Cash for work (Conditional and Unconditional cash grants"/>
    <x v="3"/>
    <m/>
    <x v="2"/>
    <x v="1"/>
    <s v="YES"/>
    <x v="0"/>
    <x v="0"/>
    <x v="0"/>
    <x v="2"/>
    <n v="4"/>
    <x v="1"/>
    <x v="1"/>
    <x v="1"/>
    <x v="1"/>
    <x v="1"/>
    <x v="1"/>
    <n v="4"/>
    <x v="1"/>
    <x v="1"/>
    <x v="1"/>
    <x v="1"/>
    <x v="1"/>
    <n v="3"/>
    <x v="0"/>
    <x v="1"/>
    <m/>
    <s v="International NGO(s)"/>
    <s v="Local NGO(s)/CSO(s)"/>
    <m/>
    <x v="1"/>
    <m/>
    <m/>
    <m/>
    <m/>
    <m/>
    <s v="FSL: Procurement staff need improved knowledge on assessing the quality of agricultural seeds. With good awareness on what to look for in good quality seeds, procurement staff will be able to pick on poor quality seed at the early stages of procurement. CARE plans to take procurement staff to seed houses in Kenya and Uganda to increase their knowledge."/>
    <s v="Involvement of government and local authorities in gap identification is critical as they have a helicopter view of the geographical locations and are more concerned with filling actual gaps compared to other partners. Since nutrition services are provided from static sites, some locations that are far away are not reached and therefore children and PLWs in these locations are left out. It is important to consider future mobile nutrition clinics that will be able to reach out to difficult-to-reach locations."/>
    <s v="Protection:  Thirteen partners (10 International partners and 3 national implementing partners staff) participated in the learning event (Gender/GBV Mainstreaming &amp; PSEA training). The participants were drawn mainly from the field locations. Gender/GBV Mainstreaming &amp; PSEA training was designed to improve the knowledge and skill gaps within SSJR3 partners so as to address practical gender needs and issues throughout the implementation of SSJR3 since men, women, girls and boys have different priorities, constraints and preferences with respect to humanitarian aid and can contribute to and be affected differently by humanitarian/development projects."/>
    <s v=". CARE procured seeds and inputs from two vendors.   The seeds supplied by the vendors were poor in terms of germination, purity and some of it was commercial crop.  Vendors accepted that he had sold CARE poor quality seed. The second vendor said only all seeds except maize and sorghum were good seeds.  CARE cancelled the contracts of the maize and sorghum seeds. This activity has thus been delayed. It is no longer feasible to distribute main season seeds (maize and sorghum).  CARE will buy and distribute vegetable seeds to the farmers that were to benefit from main season seeds."/>
    <s v="Project Proposal, Mid-term Review Report, Grants Tracker"/>
    <n v="0"/>
    <n v="0"/>
    <s v=""/>
    <s v=""/>
    <s v=""/>
    <n v="0"/>
    <n v="0"/>
    <n v="1"/>
    <n v="0"/>
    <n v="0"/>
    <s v=""/>
    <n v="1"/>
    <n v="0"/>
    <n v="0"/>
    <s v=""/>
    <s v=""/>
    <n v="0"/>
    <n v="0"/>
    <s v=""/>
    <n v="1"/>
    <n v="0"/>
    <n v="0"/>
    <s v=""/>
    <s v=""/>
    <n v="0"/>
    <n v="0"/>
    <s v=""/>
    <s v="4. Transformative"/>
    <s v="2. Accommodating"/>
    <s v="2. Sensitive"/>
    <s v="It tested new ways for fighting poverty, but did not measure results of innovation"/>
    <s v="Moderate advocacy"/>
    <s v="It took tested solutions to scale on its own"/>
  </r>
  <r>
    <x v="67"/>
    <x v="3"/>
    <m/>
    <s v="Emergency Livelihoods Support to Most Vulnerable Households in Jonglei and Upper Nile"/>
    <s v="South Sudan"/>
    <m/>
    <s v="CARE USA"/>
    <s v="Multilateral agency"/>
    <s v="UN - United Nations agencies/offices"/>
    <s v="FAO"/>
    <m/>
    <m/>
    <m/>
    <m/>
    <m/>
    <m/>
    <m/>
    <m/>
    <m/>
    <m/>
    <m/>
    <m/>
    <m/>
    <m/>
    <m/>
    <m/>
    <m/>
    <m/>
    <m/>
    <m/>
    <m/>
    <m/>
    <m/>
    <m/>
    <m/>
    <m/>
    <m/>
    <m/>
    <m/>
    <m/>
    <m/>
    <m/>
    <m/>
    <m/>
    <m/>
    <m/>
    <m/>
    <m/>
    <m/>
    <m/>
    <m/>
    <m/>
    <m/>
    <m/>
    <m/>
    <d v="2017-04-15T00:00:00"/>
    <d v="2017-07-16T00:00:00"/>
    <d v="2017-09-15T00:00:00"/>
    <s v="Humanitarian Food &amp; Nutrition Security and Resilience to Climate Change"/>
    <n v="108158"/>
    <s v="Frediric Cyiza"/>
    <s v="Senior Programme Manager"/>
    <s v="FCyiza@care.org&quot;"/>
    <s v="Darias  Sanyatwe"/>
    <s v="Programme Coordinator"/>
    <s v="bayayi.darias@care.org"/>
    <s v="YES"/>
    <s v="YES"/>
    <s v="YES"/>
    <s v="Save lives and alleviate suffering through safe access to services and resources with dignity"/>
    <s v="National"/>
    <s v="Jonglei and Upper Nile"/>
    <s v="Most Vulnerable Women, Men, Boys &amp; Girls"/>
    <n v="3448"/>
    <n v="1478"/>
    <n v="4926"/>
    <n v="17240"/>
    <n v="7390"/>
    <n v="24630"/>
    <s v="Direct  participants are the household representatives who received agricultural inputs and fishing kits ( a household having on average 6 members). Indirect participants are all the household members who were not involved in receiving the kits"/>
    <m/>
    <n v="3448"/>
    <n v="1478"/>
    <n v="4926"/>
    <n v="17240"/>
    <n v="7390"/>
    <n v="24630"/>
    <s v="NO"/>
    <m/>
    <m/>
    <m/>
    <s v="NO"/>
    <m/>
    <m/>
    <m/>
    <s v="NO"/>
    <m/>
    <m/>
    <m/>
    <s v="YES"/>
    <n v="4926"/>
    <n v="0.7"/>
    <m/>
    <s v="YES"/>
    <m/>
    <m/>
    <m/>
    <s v="NO"/>
    <m/>
    <m/>
    <m/>
    <s v="NO"/>
    <m/>
    <m/>
    <m/>
    <s v="Yes"/>
    <n v="4926"/>
    <n v="0.7"/>
    <m/>
    <s v="NO"/>
    <m/>
    <m/>
    <m/>
    <s v="NO"/>
    <m/>
    <m/>
    <m/>
    <s v="NO"/>
    <m/>
    <m/>
    <m/>
    <s v="NO"/>
    <m/>
    <m/>
    <m/>
    <m/>
    <s v="NO"/>
    <m/>
    <m/>
    <m/>
    <n v="5418"/>
    <n v="294"/>
    <n v="5712"/>
    <m/>
    <m/>
    <m/>
    <m/>
    <m/>
    <m/>
    <m/>
    <m/>
    <m/>
    <m/>
    <m/>
    <m/>
    <m/>
    <m/>
    <m/>
    <m/>
    <m/>
    <m/>
    <m/>
    <m/>
    <m/>
    <m/>
    <m/>
    <m/>
    <m/>
    <m/>
    <m/>
    <m/>
    <m/>
    <m/>
    <m/>
    <m/>
    <m/>
    <m/>
    <m/>
    <m/>
    <m/>
    <m/>
    <m/>
    <m/>
    <m/>
    <m/>
    <m/>
    <m/>
    <m/>
    <m/>
    <m/>
    <m/>
    <m/>
    <m/>
    <m/>
    <m/>
    <m/>
    <m/>
    <m/>
    <m/>
    <m/>
    <m/>
    <m/>
    <m/>
    <m/>
    <m/>
    <m/>
    <s v="YES"/>
    <n v="5418"/>
    <n v="1"/>
    <m/>
    <m/>
    <m/>
    <m/>
    <m/>
    <m/>
    <s v="NO"/>
    <m/>
    <m/>
    <s v="NO"/>
    <s v="NO"/>
    <m/>
    <m/>
    <s v="This FAO project had post distribution monitoring actvities after the distribution. There was not evaluation."/>
    <x v="0"/>
    <s v="NO"/>
    <s v="NO"/>
    <s v="NO"/>
    <s v="NO"/>
    <s v="NO"/>
    <s v="NO"/>
    <s v="NO"/>
    <m/>
    <m/>
    <x v="0"/>
    <m/>
    <x v="0"/>
    <m/>
    <x v="0"/>
    <x v="0"/>
    <s v="YES"/>
    <x v="0"/>
    <x v="0"/>
    <x v="0"/>
    <x v="0"/>
    <n v="4"/>
    <x v="1"/>
    <x v="1"/>
    <x v="2"/>
    <x v="1"/>
    <x v="1"/>
    <x v="1"/>
    <n v="3"/>
    <x v="3"/>
    <x v="2"/>
    <x v="1"/>
    <x v="1"/>
    <x v="5"/>
    <n v="2"/>
    <x v="0"/>
    <x v="1"/>
    <m/>
    <s v="Other"/>
    <s v="Other"/>
    <s v="Other"/>
    <x v="1"/>
    <m/>
    <m/>
    <s v="Demonstration plots"/>
    <s v="Engaging more women in project activities (about 70%)"/>
    <m/>
    <s v="Timely distribution of inputs is key in an environment where weather patterns are changing. The rains at times tail off earlier than is expected by farmers."/>
    <s v="Always be flexible in project implementation is conflict zones. In one area (Pagak) the project actvities were forced to close because of insecurity."/>
    <m/>
    <s v="The number of women who directly participated in the project is given as 70%  and this was the target."/>
    <s v="CARE South Sudan FY17 Grants Tracker, Project proposal, PDM"/>
    <n v="5712"/>
    <n v="24630"/>
    <n v="4.3119747899159666"/>
    <n v="0.94852941176470584"/>
    <n v="0.6999593991067804"/>
    <n v="5418"/>
    <n v="17240"/>
    <n v="1"/>
    <n v="4926"/>
    <n v="24630"/>
    <n v="5"/>
    <n v="1"/>
    <n v="4926"/>
    <n v="0"/>
    <n v="0"/>
    <s v=""/>
    <n v="0"/>
    <n v="0"/>
    <s v=""/>
    <n v="1"/>
    <n v="0"/>
    <n v="0"/>
    <s v=""/>
    <n v="1"/>
    <n v="5418"/>
    <n v="0"/>
    <n v="0"/>
    <s v="2. Sensitive"/>
    <s v="2. Accommodating"/>
    <s v="3. Responsive"/>
    <s v="It did not develop any specific innovation"/>
    <s v="Little or no advocacy"/>
    <s v="It did not take tested solutions to scale"/>
  </r>
  <r>
    <x v="67"/>
    <x v="3"/>
    <m/>
    <s v="Emergency Livelihoods Support to Most Vulnerable Households in Parieng County of Unity State"/>
    <s v="South Sudan"/>
    <m/>
    <s v="CARE USA"/>
    <s v="Multilateral agency"/>
    <s v="UN - United Nations agencies/offices"/>
    <s v="FAO"/>
    <m/>
    <m/>
    <m/>
    <m/>
    <m/>
    <m/>
    <m/>
    <m/>
    <m/>
    <m/>
    <m/>
    <m/>
    <m/>
    <m/>
    <m/>
    <m/>
    <m/>
    <m/>
    <m/>
    <m/>
    <m/>
    <m/>
    <m/>
    <m/>
    <m/>
    <m/>
    <m/>
    <m/>
    <m/>
    <m/>
    <m/>
    <m/>
    <m/>
    <m/>
    <m/>
    <m/>
    <m/>
    <m/>
    <m/>
    <m/>
    <m/>
    <m/>
    <m/>
    <m/>
    <m/>
    <d v="2016-11-11T00:00:00"/>
    <d v="2017-04-30T00:00:00"/>
    <d v="2017-04-30T00:00:00"/>
    <s v="Humanitarian Food &amp; Nutrition Security and Resilience to Climate Change"/>
    <n v="149246"/>
    <s v="Frediric Cyiza"/>
    <s v="Senior Programme Manager"/>
    <s v="FCyiza@care.org&quot;"/>
    <s v="Darias  Sanyatwe"/>
    <s v="Programme Coordinator"/>
    <s v="bayayi.darias@care.org"/>
    <s v="YES"/>
    <s v="YES"/>
    <s v="YES"/>
    <s v="Save lives and alleviate suffering through safe access to services and resources with dignity"/>
    <s v="National"/>
    <s v="Unity State - Parieng"/>
    <s v="Most Vulnerable Women, Men, Boys &amp; Girls"/>
    <n v="6860"/>
    <n v="2940"/>
    <n v="9800"/>
    <n v="34300"/>
    <n v="14700"/>
    <n v="49000"/>
    <s v="Direct  participants are the household representatives who received agricultural inputs and fishing kits ( a household having on average 6 members). Indirect participants are all the household members who were not involved in receiving the kits"/>
    <m/>
    <n v="6860"/>
    <n v="2940"/>
    <n v="9800"/>
    <n v="34300"/>
    <n v="14700"/>
    <n v="49000"/>
    <s v="NO"/>
    <m/>
    <m/>
    <m/>
    <s v="NO"/>
    <m/>
    <m/>
    <m/>
    <s v="NO"/>
    <m/>
    <m/>
    <m/>
    <s v="YES"/>
    <n v="9800"/>
    <n v="0.7"/>
    <m/>
    <s v="YES"/>
    <m/>
    <m/>
    <m/>
    <s v="NO"/>
    <m/>
    <m/>
    <m/>
    <s v="NO"/>
    <m/>
    <m/>
    <m/>
    <s v="Yes"/>
    <n v="9800"/>
    <n v="0.7"/>
    <m/>
    <s v="NO"/>
    <m/>
    <m/>
    <m/>
    <s v="NO"/>
    <m/>
    <m/>
    <m/>
    <s v="NO"/>
    <m/>
    <m/>
    <m/>
    <s v="NO"/>
    <m/>
    <m/>
    <m/>
    <m/>
    <s v="NO"/>
    <m/>
    <m/>
    <m/>
    <n v="5418"/>
    <n v="294"/>
    <n v="5712"/>
    <m/>
    <m/>
    <m/>
    <m/>
    <m/>
    <m/>
    <m/>
    <m/>
    <m/>
    <m/>
    <m/>
    <m/>
    <m/>
    <m/>
    <m/>
    <m/>
    <m/>
    <m/>
    <m/>
    <m/>
    <m/>
    <m/>
    <m/>
    <m/>
    <m/>
    <m/>
    <m/>
    <m/>
    <m/>
    <m/>
    <m/>
    <m/>
    <m/>
    <m/>
    <m/>
    <m/>
    <m/>
    <m/>
    <m/>
    <m/>
    <m/>
    <m/>
    <m/>
    <m/>
    <m/>
    <m/>
    <m/>
    <m/>
    <m/>
    <m/>
    <m/>
    <m/>
    <m/>
    <m/>
    <m/>
    <m/>
    <m/>
    <m/>
    <m/>
    <m/>
    <m/>
    <m/>
    <m/>
    <s v="YES"/>
    <n v="5418"/>
    <n v="1"/>
    <m/>
    <m/>
    <m/>
    <m/>
    <m/>
    <m/>
    <s v="NO"/>
    <m/>
    <m/>
    <s v="NO"/>
    <s v="NO"/>
    <m/>
    <m/>
    <s v="This FAO project had post distribution monitoring actvities after the distribution. There was not evaluation."/>
    <x v="0"/>
    <s v="NO"/>
    <s v="NO"/>
    <s v="NO"/>
    <s v="NO"/>
    <s v="NO"/>
    <s v="NO"/>
    <s v="NO"/>
    <m/>
    <m/>
    <x v="0"/>
    <m/>
    <x v="0"/>
    <m/>
    <x v="0"/>
    <x v="0"/>
    <s v="YES"/>
    <x v="0"/>
    <x v="0"/>
    <x v="0"/>
    <x v="0"/>
    <n v="4"/>
    <x v="1"/>
    <x v="1"/>
    <x v="2"/>
    <x v="1"/>
    <x v="1"/>
    <x v="1"/>
    <n v="3"/>
    <x v="3"/>
    <x v="2"/>
    <x v="1"/>
    <x v="1"/>
    <x v="5"/>
    <n v="2"/>
    <x v="0"/>
    <x v="1"/>
    <m/>
    <s v="Other"/>
    <s v="Other"/>
    <s v="Other"/>
    <x v="1"/>
    <m/>
    <m/>
    <s v="Demonstration plots"/>
    <s v="Engaging more women in project activities (about 70%)"/>
    <m/>
    <s v="Timely distribution of inputs is key in an environment where weather patterns are changing. The rains at times tail off earlier than is expected by farmers."/>
    <m/>
    <m/>
    <s v="The number of women who directly participated in the project is given as 70%  and this was the target."/>
    <s v="CARE South Sudan FY17 Grants Tracker, Project propo"/>
    <n v="9800"/>
    <n v="49000"/>
    <n v="5"/>
    <n v="0.7"/>
    <n v="0.7"/>
    <n v="6860"/>
    <n v="34300"/>
    <n v="1"/>
    <n v="9800"/>
    <n v="49000"/>
    <n v="5"/>
    <n v="1"/>
    <n v="9800"/>
    <n v="0"/>
    <n v="0"/>
    <s v=""/>
    <n v="0"/>
    <n v="0"/>
    <s v=""/>
    <n v="1"/>
    <n v="0"/>
    <n v="0"/>
    <s v=""/>
    <n v="1"/>
    <n v="5418"/>
    <n v="0"/>
    <n v="0"/>
    <s v="2. Sensitive"/>
    <s v="2. Accommodating"/>
    <s v="3. Responsive"/>
    <s v="It did not develop any specific innovation"/>
    <s v="Little or no advocacy"/>
    <s v="It did not take tested solutions to scale"/>
  </r>
  <r>
    <x v="67"/>
    <x v="3"/>
    <m/>
    <s v="Emergency NFI and Nutrition Project in Eastern Equatoria and Unity States"/>
    <s v="South Sudan"/>
    <m/>
    <s v="CARE USA"/>
    <s v="Multilateral agency"/>
    <s v="UN - United Nations agencies/offices"/>
    <s v="IOM-International Organisation for Migration"/>
    <m/>
    <m/>
    <m/>
    <m/>
    <m/>
    <m/>
    <m/>
    <m/>
    <m/>
    <m/>
    <m/>
    <m/>
    <m/>
    <m/>
    <m/>
    <m/>
    <m/>
    <m/>
    <m/>
    <m/>
    <m/>
    <m/>
    <m/>
    <m/>
    <m/>
    <m/>
    <m/>
    <m/>
    <m/>
    <m/>
    <m/>
    <m/>
    <m/>
    <m/>
    <m/>
    <m/>
    <m/>
    <m/>
    <m/>
    <m/>
    <m/>
    <m/>
    <m/>
    <m/>
    <m/>
    <d v="2016-10-06T00:00:00"/>
    <d v="2017-01-05T00:00:00"/>
    <d v="2017-02-05T00:00:00"/>
    <s v="Humanitarian Food &amp; Nutrition Security and Resilience to Climate Change"/>
    <n v="276780"/>
    <s v="Sylvia Kaawe"/>
    <s v="Senior Program Manager"/>
    <s v="sylvia.kaawe@care.org"/>
    <s v="Demelash Habtie"/>
    <s v="Nutrition Manager"/>
    <s v="dhabtie@care.org"/>
    <s v="YES"/>
    <s v="YES"/>
    <s v="YES"/>
    <s v="Respond to the humanitarian needs created or exacerbated by the July 2016 crisis, by providing essential household items to looted households in EE State, and life-saving nutrition support for children and PLW IDPs in Unity State."/>
    <s v="National"/>
    <s v="NFI: Eastern Equatoria State, Torit and Ikotos Counties Nutrition: Unity State, Rubkona County"/>
    <s v="most vulnerable families affected by the lootings and displacements in June-July 2016 crisis"/>
    <n v="8197"/>
    <n v="6835"/>
    <n v="15032"/>
    <n v="46900"/>
    <n v="43292"/>
    <n v="90192"/>
    <s v="Direct participants are the mostly people affected by the war in the area."/>
    <m/>
    <n v="9101"/>
    <n v="8400"/>
    <n v="17501"/>
    <m/>
    <m/>
    <n v="0"/>
    <s v="NO"/>
    <m/>
    <m/>
    <m/>
    <s v="NO"/>
    <m/>
    <m/>
    <m/>
    <s v="NO"/>
    <m/>
    <m/>
    <m/>
    <s v="YES"/>
    <n v="17501"/>
    <n v="0.52"/>
    <m/>
    <s v="NO"/>
    <m/>
    <m/>
    <n v="0"/>
    <s v="NO"/>
    <m/>
    <m/>
    <m/>
    <s v="NO"/>
    <m/>
    <m/>
    <m/>
    <s v="NO"/>
    <m/>
    <m/>
    <m/>
    <s v="NO"/>
    <m/>
    <m/>
    <m/>
    <s v="NO"/>
    <m/>
    <m/>
    <m/>
    <s v="NO"/>
    <m/>
    <m/>
    <m/>
    <s v="NO"/>
    <m/>
    <m/>
    <m/>
    <m/>
    <s v="NO"/>
    <m/>
    <m/>
    <m/>
    <m/>
    <m/>
    <n v="0"/>
    <m/>
    <m/>
    <m/>
    <m/>
    <m/>
    <m/>
    <m/>
    <m/>
    <m/>
    <m/>
    <m/>
    <m/>
    <m/>
    <m/>
    <m/>
    <m/>
    <m/>
    <m/>
    <m/>
    <m/>
    <m/>
    <m/>
    <m/>
    <m/>
    <m/>
    <m/>
    <m/>
    <m/>
    <m/>
    <m/>
    <m/>
    <m/>
    <m/>
    <m/>
    <m/>
    <m/>
    <m/>
    <m/>
    <m/>
    <m/>
    <m/>
    <m/>
    <m/>
    <m/>
    <m/>
    <m/>
    <m/>
    <m/>
    <m/>
    <m/>
    <m/>
    <m/>
    <m/>
    <m/>
    <m/>
    <m/>
    <m/>
    <m/>
    <m/>
    <m/>
    <m/>
    <m/>
    <m/>
    <s v="YES"/>
    <n v="0"/>
    <n v="1"/>
    <m/>
    <m/>
    <m/>
    <m/>
    <m/>
    <m/>
    <s v="NO"/>
    <m/>
    <m/>
    <s v="NO"/>
    <s v="NO"/>
    <m/>
    <m/>
    <m/>
    <x v="1"/>
    <s v="NO"/>
    <m/>
    <s v="YES"/>
    <s v="NO"/>
    <s v="NO"/>
    <s v="YES"/>
    <s v="NO"/>
    <m/>
    <m/>
    <x v="0"/>
    <m/>
    <x v="3"/>
    <m/>
    <x v="0"/>
    <x v="0"/>
    <s v="YES"/>
    <x v="0"/>
    <x v="0"/>
    <x v="0"/>
    <x v="0"/>
    <n v="4"/>
    <x v="1"/>
    <x v="1"/>
    <x v="1"/>
    <x v="1"/>
    <x v="1"/>
    <x v="1"/>
    <n v="4"/>
    <x v="3"/>
    <x v="1"/>
    <x v="1"/>
    <x v="1"/>
    <x v="4"/>
    <n v="3"/>
    <x v="2"/>
    <x v="1"/>
    <m/>
    <m/>
    <s v="Local government(s)"/>
    <s v="Other"/>
    <x v="1"/>
    <m/>
    <m/>
    <m/>
    <m/>
    <m/>
    <m/>
    <m/>
    <m/>
    <m/>
    <s v="CARE South Sudan FY17 Grants Tracker, Project proposal, Project Endline Evaluation."/>
    <n v="17501"/>
    <n v="0"/>
    <n v="0"/>
    <n v="0.52002742700417115"/>
    <s v=""/>
    <n v="9101"/>
    <n v="0"/>
    <n v="1"/>
    <n v="17501"/>
    <n v="0"/>
    <n v="0"/>
    <n v="1"/>
    <n v="17501"/>
    <n v="0"/>
    <n v="0"/>
    <s v=""/>
    <n v="0"/>
    <n v="0"/>
    <s v=""/>
    <s v=""/>
    <n v="0"/>
    <n v="0"/>
    <s v=""/>
    <n v="1"/>
    <n v="0"/>
    <n v="0"/>
    <s v=""/>
    <s v="2. Sensitive"/>
    <s v="2. Accommodating"/>
    <s v="4. Transformative"/>
    <s v="It did not develop any specific innovation"/>
    <s v="Moderate advocacy"/>
    <s v="It took tested solutions to scale on its own"/>
  </r>
  <r>
    <x v="67"/>
    <x v="3"/>
    <n v="3353"/>
    <s v="Fortifying Equality For Economic Diversification (FEED)"/>
    <s v="South Sudan"/>
    <n v="3353"/>
    <s v="CARE Canada"/>
    <s v="Government"/>
    <s v="Government - Canada"/>
    <s v="DFATD-Canada"/>
    <m/>
    <m/>
    <m/>
    <m/>
    <m/>
    <m/>
    <m/>
    <m/>
    <m/>
    <m/>
    <m/>
    <m/>
    <m/>
    <m/>
    <m/>
    <m/>
    <m/>
    <m/>
    <m/>
    <m/>
    <m/>
    <m/>
    <m/>
    <m/>
    <m/>
    <m/>
    <m/>
    <m/>
    <m/>
    <m/>
    <m/>
    <m/>
    <m/>
    <m/>
    <m/>
    <m/>
    <m/>
    <m/>
    <m/>
    <m/>
    <m/>
    <m/>
    <m/>
    <m/>
    <m/>
    <d v="2015-04-01T00:00:00"/>
    <d v="2018-03-31T00:00:00"/>
    <m/>
    <s v="Humanitarian Food &amp; Nutrition Security and Resilience to Climate Change"/>
    <n v="2442791"/>
    <s v="Sylvia Kaawe"/>
    <s v="Senior Program Manager"/>
    <s v="sylvia.kaawe@care.org"/>
    <s v="Nqobile.ncube@care.org"/>
    <s v="Project Manager"/>
    <s v="Nqobile.ncube@care.org"/>
    <s v="YES"/>
    <s v="YES"/>
    <s v="YES"/>
    <s v="ENHANCED ADAPTIVE CAPACITY OF INDIVIDUALS, HOUSEHOLDS AND COMMUNITIES FOR SUSTAINED GAINS IN AGRICULTURAL PRODUCTION AND PRODUCTIVITY"/>
    <s v="National"/>
    <s v="Imatong State- Torit, Ikwotos, Magwi &amp; Pageri counties"/>
    <s v="Most Vulnerable Women, Men, Boys &amp; Girls"/>
    <n v="21958"/>
    <n v="8042"/>
    <n v="30000"/>
    <n v="131748"/>
    <n v="48252"/>
    <n v="180000"/>
    <s v="Direct participants are the mostly people affected by the war in the area."/>
    <m/>
    <n v="10428"/>
    <n v="8233"/>
    <n v="18661"/>
    <n v="54814"/>
    <n v="43183"/>
    <n v="97997"/>
    <m/>
    <m/>
    <m/>
    <m/>
    <m/>
    <m/>
    <m/>
    <m/>
    <m/>
    <m/>
    <m/>
    <m/>
    <s v="NO"/>
    <m/>
    <m/>
    <m/>
    <s v="YES"/>
    <n v="972"/>
    <n v="0.51"/>
    <n v="0"/>
    <m/>
    <m/>
    <m/>
    <m/>
    <m/>
    <m/>
    <m/>
    <m/>
    <s v="Yes"/>
    <n v="18661"/>
    <n v="0.59"/>
    <n v="97997"/>
    <s v="NO"/>
    <m/>
    <m/>
    <m/>
    <m/>
    <m/>
    <m/>
    <m/>
    <m/>
    <m/>
    <m/>
    <m/>
    <m/>
    <m/>
    <m/>
    <m/>
    <m/>
    <m/>
    <m/>
    <m/>
    <m/>
    <n v="10428"/>
    <n v="8233"/>
    <n v="18661"/>
    <n v="54814"/>
    <n v="43183"/>
    <n v="97997"/>
    <m/>
    <m/>
    <m/>
    <m/>
    <m/>
    <m/>
    <m/>
    <m/>
    <m/>
    <m/>
    <m/>
    <m/>
    <m/>
    <m/>
    <m/>
    <m/>
    <m/>
    <m/>
    <m/>
    <m/>
    <m/>
    <m/>
    <m/>
    <m/>
    <s v="YES"/>
    <n v="18661"/>
    <n v="0.56000000000000005"/>
    <n v="97997"/>
    <m/>
    <m/>
    <m/>
    <m/>
    <m/>
    <m/>
    <m/>
    <m/>
    <m/>
    <m/>
    <m/>
    <m/>
    <m/>
    <m/>
    <m/>
    <m/>
    <m/>
    <m/>
    <m/>
    <m/>
    <m/>
    <m/>
    <m/>
    <m/>
    <m/>
    <m/>
    <m/>
    <m/>
    <m/>
    <m/>
    <m/>
    <m/>
    <m/>
    <m/>
    <m/>
    <m/>
    <m/>
    <m/>
    <m/>
    <m/>
    <m/>
    <s v="YES"/>
    <m/>
    <n v="2016"/>
    <s v="YES"/>
    <s v="YES"/>
    <s v="February"/>
    <n v="2017"/>
    <m/>
    <x v="3"/>
    <s v="YES"/>
    <m/>
    <s v="YES"/>
    <s v="YES"/>
    <s v="YES"/>
    <s v="YES"/>
    <s v="YES"/>
    <m/>
    <m/>
    <x v="0"/>
    <m/>
    <x v="0"/>
    <m/>
    <x v="1"/>
    <x v="0"/>
    <s v="YES"/>
    <x v="0"/>
    <x v="0"/>
    <x v="0"/>
    <x v="0"/>
    <n v="4"/>
    <x v="1"/>
    <x v="1"/>
    <x v="1"/>
    <x v="1"/>
    <x v="1"/>
    <x v="1"/>
    <n v="4"/>
    <x v="3"/>
    <x v="1"/>
    <x v="1"/>
    <x v="1"/>
    <x v="4"/>
    <n v="3"/>
    <x v="0"/>
    <x v="0"/>
    <m/>
    <m/>
    <m/>
    <m/>
    <x v="1"/>
    <m/>
    <m/>
    <s v="Farmer Groups"/>
    <s v="Peace Committees"/>
    <m/>
    <s v="Partnership nurturing and maintenance is key for successful project implementation- FAO, Community Structures"/>
    <s v="Local Authority Good will and organizational staff reputation is key to continuity of program amidst external threats"/>
    <s v="Forward planning and joint ownership is key to success Security planning and consistent contingency planning contributes to staff safety and in turn supports program implementation amidst insecurity on the ground"/>
    <m/>
    <s v="CARE South Sudan FY17 Grants Tracker, Project proposal."/>
    <n v="18661"/>
    <n v="97997"/>
    <n v="5.2514334708750869"/>
    <n v="0.55881249665076893"/>
    <n v="0.5593436533771442"/>
    <n v="10428"/>
    <n v="54814"/>
    <n v="1"/>
    <n v="18661"/>
    <n v="97997"/>
    <n v="5.2514334708750869"/>
    <n v="1"/>
    <n v="18661"/>
    <n v="97997"/>
    <n v="5.2514334708750869"/>
    <s v=""/>
    <n v="0"/>
    <n v="0"/>
    <s v=""/>
    <n v="1"/>
    <n v="972"/>
    <n v="0"/>
    <n v="0"/>
    <s v=""/>
    <n v="0"/>
    <n v="0"/>
    <s v=""/>
    <s v="2. Sensitive"/>
    <s v="2. Accommodating"/>
    <s v="4. Transformative"/>
    <s v="It did not develop any specific innovation"/>
    <n v="0"/>
    <s v="It did not take tested solutions to scale"/>
  </r>
  <r>
    <x v="67"/>
    <x v="3"/>
    <n v="3353"/>
    <s v="Health and Nutrition Project for Refugees and Host Communities (UNHCR)"/>
    <s v="South Sudan"/>
    <n v="3352"/>
    <s v="CARE USA"/>
    <s v="Multilateral agency"/>
    <s v="UN - United Nations agencies/offices"/>
    <s v="UNHCR"/>
    <m/>
    <m/>
    <m/>
    <m/>
    <m/>
    <m/>
    <m/>
    <m/>
    <m/>
    <m/>
    <m/>
    <m/>
    <m/>
    <m/>
    <m/>
    <m/>
    <m/>
    <m/>
    <m/>
    <m/>
    <m/>
    <m/>
    <m/>
    <m/>
    <m/>
    <m/>
    <m/>
    <m/>
    <m/>
    <m/>
    <m/>
    <m/>
    <m/>
    <m/>
    <m/>
    <m/>
    <m/>
    <m/>
    <m/>
    <m/>
    <m/>
    <m/>
    <m/>
    <m/>
    <m/>
    <d v="2017-01-01T00:00:00"/>
    <d v="2017-12-31T00:00:00"/>
    <m/>
    <s v="Humanitarian Other"/>
    <n v="1775843"/>
    <s v="FRED CYIZA"/>
    <s v="Senior Program Manager"/>
    <s v="fcyiza@care.org"/>
    <m/>
    <m/>
    <m/>
    <s v="YES"/>
    <s v="NO"/>
    <s v="NO"/>
    <s v="Improved Access to Emergency Health and Nutrition Assistance for Refugees and Host community"/>
    <s v="National"/>
    <s v="Pariang Host communities, and refugees in Yida, Ajoung Thok and Pamir"/>
    <s v="Pariang Host communities, and refugees in Yida, Ajoung Thok and Pamir"/>
    <n v="44131"/>
    <n v="42828"/>
    <n v="86959"/>
    <n v="71260"/>
    <n v="65779"/>
    <n v="137039"/>
    <s v="Direct participants are the mostly people affected by the war in the area."/>
    <m/>
    <n v="56508"/>
    <n v="36594"/>
    <n v="93102"/>
    <n v="89051"/>
    <n v="57668"/>
    <n v="146719"/>
    <m/>
    <m/>
    <m/>
    <m/>
    <m/>
    <m/>
    <m/>
    <m/>
    <m/>
    <m/>
    <m/>
    <m/>
    <m/>
    <m/>
    <m/>
    <m/>
    <m/>
    <m/>
    <m/>
    <m/>
    <m/>
    <m/>
    <m/>
    <m/>
    <s v="YES"/>
    <n v="93102"/>
    <n v="0.61"/>
    <n v="146719"/>
    <m/>
    <m/>
    <m/>
    <m/>
    <m/>
    <m/>
    <m/>
    <m/>
    <s v="YES"/>
    <n v="6257"/>
    <n v="1"/>
    <n v="6257"/>
    <m/>
    <m/>
    <m/>
    <m/>
    <m/>
    <m/>
    <m/>
    <m/>
    <m/>
    <m/>
    <m/>
    <m/>
    <m/>
    <m/>
    <m/>
    <m/>
    <m/>
    <m/>
    <m/>
    <m/>
    <m/>
    <m/>
    <m/>
    <m/>
    <m/>
    <m/>
    <m/>
    <m/>
    <m/>
    <m/>
    <m/>
    <m/>
    <m/>
    <m/>
    <m/>
    <m/>
    <m/>
    <m/>
    <m/>
    <m/>
    <m/>
    <m/>
    <m/>
    <m/>
    <m/>
    <m/>
    <m/>
    <m/>
    <m/>
    <m/>
    <m/>
    <m/>
    <m/>
    <m/>
    <m/>
    <m/>
    <m/>
    <m/>
    <m/>
    <m/>
    <m/>
    <m/>
    <m/>
    <m/>
    <m/>
    <m/>
    <m/>
    <m/>
    <m/>
    <m/>
    <m/>
    <m/>
    <m/>
    <m/>
    <m/>
    <m/>
    <m/>
    <m/>
    <m/>
    <m/>
    <m/>
    <m/>
    <m/>
    <m/>
    <m/>
    <m/>
    <m/>
    <m/>
    <s v="NO"/>
    <m/>
    <m/>
    <s v="NO"/>
    <s v="YES"/>
    <m/>
    <m/>
    <m/>
    <x v="2"/>
    <s v="YES"/>
    <s v="YES"/>
    <s v="YES"/>
    <s v="YES"/>
    <s v="YES"/>
    <s v="YES"/>
    <s v="YES"/>
    <m/>
    <m/>
    <x v="0"/>
    <m/>
    <x v="0"/>
    <m/>
    <x v="1"/>
    <x v="0"/>
    <s v="YES"/>
    <x v="0"/>
    <x v="2"/>
    <x v="0"/>
    <x v="1"/>
    <n v="3"/>
    <x v="1"/>
    <x v="1"/>
    <x v="1"/>
    <x v="1"/>
    <x v="1"/>
    <x v="1"/>
    <n v="4"/>
    <x v="3"/>
    <x v="1"/>
    <x v="1"/>
    <x v="1"/>
    <x v="4"/>
    <n v="3"/>
    <x v="0"/>
    <x v="0"/>
    <n v="1"/>
    <s v="Local government(s)"/>
    <s v="Local government(s)"/>
    <m/>
    <x v="1"/>
    <m/>
    <m/>
    <m/>
    <m/>
    <m/>
    <s v="Partners CHD/SMOH  and CARE to join the state and work as local staff  will address the human medical resources gap in Pariang. Exemple, 2 medical doctors from Pariang have accepted to work as clinical officers and non relocatable."/>
    <s v="Mentorship program for to existing medical junior staff(Assistant nurses/nurses, lab assistant/ midwives will allow the Pariang to have sufficient staff qualified to be deployed in other facilities such as HPF supported health facilities and others."/>
    <m/>
    <m/>
    <s v="CARE South Sudan FY17 Grants Tracker, Project proposal."/>
    <n v="93102"/>
    <n v="146719"/>
    <n v="1.5758952546669245"/>
    <n v="0.60694721917896499"/>
    <n v="0.60694933853147859"/>
    <n v="56508"/>
    <n v="89051"/>
    <n v="1"/>
    <n v="93102"/>
    <n v="146719"/>
    <n v="1.5758952546669245"/>
    <s v=""/>
    <n v="0"/>
    <n v="0"/>
    <s v=""/>
    <n v="1"/>
    <n v="6257"/>
    <n v="6257"/>
    <n v="1"/>
    <s v=""/>
    <n v="0"/>
    <n v="0"/>
    <s v=""/>
    <s v=""/>
    <n v="0"/>
    <n v="0"/>
    <s v=""/>
    <s v="1. Neutral"/>
    <s v="2. Accommodating"/>
    <s v="4. Transformative"/>
    <s v="It did not develop any specific innovation"/>
    <s v="Intensive advocacy"/>
    <s v="It did not take tested solutions to scale"/>
  </r>
  <r>
    <x v="67"/>
    <x v="3"/>
    <n v="3360"/>
    <s v="HELSEL FOR FEED - VSLA in Eastern Equatoria"/>
    <s v="South Sudan"/>
    <n v="3360"/>
    <s v="CARE USA"/>
    <s v="Foundation"/>
    <s v="Other"/>
    <s v="Wayne and Camellia Helsel Foundation"/>
    <m/>
    <m/>
    <m/>
    <m/>
    <m/>
    <m/>
    <m/>
    <m/>
    <m/>
    <m/>
    <m/>
    <m/>
    <m/>
    <m/>
    <m/>
    <m/>
    <m/>
    <m/>
    <m/>
    <m/>
    <m/>
    <m/>
    <m/>
    <m/>
    <m/>
    <m/>
    <m/>
    <m/>
    <m/>
    <m/>
    <m/>
    <m/>
    <m/>
    <m/>
    <m/>
    <m/>
    <m/>
    <m/>
    <m/>
    <m/>
    <m/>
    <m/>
    <m/>
    <m/>
    <m/>
    <d v="2016-01-01T00:00:00"/>
    <d v="2016-12-31T00:00:00"/>
    <m/>
    <s v="Humanitarian Food &amp; Nutrition Security and Resilience to Climate Change"/>
    <n v="43500"/>
    <s v="Sylva Kaawe"/>
    <s v="Senior Project Manager"/>
    <s v="sylvia.kaawe@care.org"/>
    <m/>
    <m/>
    <m/>
    <s v="YES"/>
    <s v="YES"/>
    <s v="YES"/>
    <s v="Save lives and alleviate suffering through safe access to services and resources with dignity"/>
    <s v="Sub-National"/>
    <s v="East Equatoria (Torit)"/>
    <s v="Most Vulnerable Women, Men, Boys &amp; Girls"/>
    <n v="400"/>
    <n v="50"/>
    <n v="450"/>
    <n v="2000"/>
    <n v="250"/>
    <n v="2250"/>
    <s v="Direct beneficiaries include400 women and Girls and 50 Men  and boys who are FEED beneficiaries. Indirect beneficaries are their household members.  With an average of 6 memebrs per household according to South sudan population estimate."/>
    <m/>
    <n v="164"/>
    <n v="76"/>
    <n v="240"/>
    <n v="820"/>
    <n v="380"/>
    <n v="1200"/>
    <s v="NO"/>
    <m/>
    <m/>
    <m/>
    <s v="NO"/>
    <m/>
    <m/>
    <m/>
    <s v="NO"/>
    <m/>
    <m/>
    <m/>
    <s v="NO"/>
    <m/>
    <m/>
    <m/>
    <s v="NO"/>
    <m/>
    <m/>
    <n v="0"/>
    <s v="NO"/>
    <m/>
    <m/>
    <m/>
    <s v="NO"/>
    <m/>
    <m/>
    <m/>
    <s v="Yes"/>
    <n v="240"/>
    <n v="0.68"/>
    <n v="1200"/>
    <s v="NO"/>
    <m/>
    <m/>
    <m/>
    <s v="NO"/>
    <m/>
    <m/>
    <m/>
    <s v="NO"/>
    <m/>
    <m/>
    <m/>
    <s v="NO"/>
    <m/>
    <m/>
    <m/>
    <m/>
    <s v="NO"/>
    <m/>
    <m/>
    <m/>
    <m/>
    <n v="294"/>
    <n v="294"/>
    <m/>
    <m/>
    <m/>
    <m/>
    <m/>
    <m/>
    <m/>
    <m/>
    <m/>
    <m/>
    <m/>
    <m/>
    <m/>
    <m/>
    <m/>
    <m/>
    <m/>
    <m/>
    <m/>
    <s v="YES"/>
    <n v="240"/>
    <n v="0.68"/>
    <n v="1200"/>
    <m/>
    <m/>
    <m/>
    <m/>
    <m/>
    <m/>
    <m/>
    <m/>
    <m/>
    <m/>
    <m/>
    <m/>
    <m/>
    <m/>
    <m/>
    <m/>
    <m/>
    <m/>
    <m/>
    <m/>
    <m/>
    <m/>
    <m/>
    <m/>
    <m/>
    <m/>
    <m/>
    <m/>
    <m/>
    <m/>
    <m/>
    <m/>
    <m/>
    <m/>
    <m/>
    <m/>
    <m/>
    <m/>
    <m/>
    <m/>
    <s v="YES"/>
    <n v="0"/>
    <n v="1"/>
    <m/>
    <m/>
    <m/>
    <m/>
    <m/>
    <m/>
    <s v="NO"/>
    <m/>
    <m/>
    <s v="NO"/>
    <s v="NO"/>
    <m/>
    <m/>
    <m/>
    <x v="1"/>
    <s v="YES"/>
    <s v="YES"/>
    <s v="YES"/>
    <s v="NO"/>
    <s v="YES"/>
    <s v="YES"/>
    <s v="NO"/>
    <m/>
    <m/>
    <x v="2"/>
    <s v="VSLA"/>
    <x v="3"/>
    <s v="Worked closely with other projects"/>
    <x v="1"/>
    <x v="0"/>
    <s v="YES"/>
    <x v="0"/>
    <x v="0"/>
    <x v="0"/>
    <x v="0"/>
    <n v="4"/>
    <x v="1"/>
    <x v="1"/>
    <x v="1"/>
    <x v="1"/>
    <x v="1"/>
    <x v="1"/>
    <n v="4"/>
    <x v="1"/>
    <x v="2"/>
    <x v="1"/>
    <x v="1"/>
    <x v="3"/>
    <n v="2"/>
    <x v="0"/>
    <x v="1"/>
    <n v="2"/>
    <s v="Local government(s)"/>
    <s v="International NGO(s)"/>
    <s v="Other"/>
    <x v="1"/>
    <m/>
    <s v="This project was aimed at leveraging and strengthening key output areas of the existing Fortifying Equality and Economic Diversification (FEED Project Program) that is currently being implemented in Eastern Equatoria. Specific activities to be supported under this project include: Women economic empowerment by building capacity , income generation and economic strengthening under through Village Savings and Loan Associations, procurement and distribution of farm inputs and seeds to farmers as well as procurement and distribution of protective gear to Community Animal Health Workers."/>
    <s v="VSLA"/>
    <m/>
    <m/>
    <s v="Responding to community requests/needs brings a lot of respect and appreciation by communities and local authorities. When  one local authority approached CARE to consider the inclusion of an airstrip as a CFW site the organisation  agreed. This brought a lot of respect by all in the working area."/>
    <s v="Always good practice to be constantly communicating with local leaders, beneficiairies and non beneficiaries. The organisation will be able to respond to emerging needs timely"/>
    <m/>
    <m/>
    <s v="CARE South Sudan FY17 Grants Tracker, Project proposal"/>
    <n v="294"/>
    <n v="1200"/>
    <n v="4.0816326530612246"/>
    <n v="0.55782312925170063"/>
    <n v="0.68333333333333335"/>
    <n v="164"/>
    <n v="820"/>
    <n v="1"/>
    <n v="240"/>
    <n v="1200"/>
    <n v="5"/>
    <n v="1"/>
    <n v="240"/>
    <n v="1200"/>
    <n v="5"/>
    <s v=""/>
    <n v="0"/>
    <n v="0"/>
    <s v=""/>
    <s v=""/>
    <n v="0"/>
    <n v="0"/>
    <s v=""/>
    <n v="1"/>
    <n v="163.20000000000002"/>
    <n v="816.00000000000011"/>
    <n v="5"/>
    <s v="2. Sensitive"/>
    <s v="2. Accommodating"/>
    <s v="1. Neutral"/>
    <s v="It tested new ways for fighting poverty and measured results of innovation"/>
    <s v="Moderate advocacy"/>
    <s v="It took tested solutions to scale on its own"/>
  </r>
  <r>
    <x v="67"/>
    <x v="3"/>
    <m/>
    <s v="Integrated Emergency Nutrition Response to Malnourished Children Under Five Years of Age and Pregnant and Lactating Mothers in 4 Counties (Mayom, Rubkona, Abiemnon and Pariang) and Bentiu POC IDP Camp in Northern Unity State"/>
    <s v="South Sudan"/>
    <m/>
    <s v="CARE USA"/>
    <s v="Multilateral agency"/>
    <s v="UN - United Nations agencies/offices"/>
    <s v="UNICEF"/>
    <m/>
    <m/>
    <m/>
    <m/>
    <m/>
    <m/>
    <m/>
    <m/>
    <m/>
    <m/>
    <m/>
    <m/>
    <m/>
    <m/>
    <m/>
    <m/>
    <m/>
    <m/>
    <m/>
    <m/>
    <m/>
    <m/>
    <m/>
    <m/>
    <m/>
    <m/>
    <m/>
    <m/>
    <m/>
    <m/>
    <m/>
    <m/>
    <m/>
    <m/>
    <m/>
    <m/>
    <m/>
    <m/>
    <m/>
    <m/>
    <m/>
    <m/>
    <m/>
    <m/>
    <m/>
    <d v="2017-01-01T00:00:00"/>
    <d v="2017-12-31T00:00:00"/>
    <m/>
    <s v="Humanitarian Food &amp; Nutrition Security and Resilience to Climate Change"/>
    <n v="2442791"/>
    <s v="Demelash Habtie"/>
    <s v="Nutrition Program Manager"/>
    <s v="dhabtie@care.org"/>
    <s v="Nicholas Chege"/>
    <s v="Nutrition Program Manager"/>
    <s v="gchege@care.org"/>
    <s v="YES"/>
    <s v="NO"/>
    <s v="NO"/>
    <s v="Treatment and prevention of acute malnutrition among 6-59 months children, pregnant and lactating women."/>
    <s v="National"/>
    <s v="Pariang County, Rupkona county, Abiemnom County and Mayom county."/>
    <s v="6 to 59 months children, pregnant and lactating women"/>
    <n v="7719"/>
    <n v="7125"/>
    <n v="14844"/>
    <n v="210600"/>
    <n v="194400"/>
    <n v="405000"/>
    <s v="Direct Beneficiairies are all children 6 to 59 months, pregnant and lactating women treated on acute malnutrition                                                                                                                                                                                                   Indirect Beneficiaries are all children 6 to 59 months, pregnant and lactating women benefiting from MUAC screening for malnutrition"/>
    <m/>
    <n v="2744"/>
    <n v="2762"/>
    <n v="5506"/>
    <n v="136370"/>
    <n v="125370"/>
    <n v="261740"/>
    <s v="NO"/>
    <m/>
    <m/>
    <m/>
    <s v="NO"/>
    <m/>
    <m/>
    <m/>
    <s v="NO"/>
    <m/>
    <m/>
    <m/>
    <s v="YES"/>
    <n v="5606"/>
    <n v="0.51"/>
    <n v="261390"/>
    <m/>
    <m/>
    <m/>
    <m/>
    <m/>
    <m/>
    <m/>
    <m/>
    <m/>
    <m/>
    <m/>
    <m/>
    <m/>
    <m/>
    <m/>
    <m/>
    <m/>
    <m/>
    <m/>
    <m/>
    <m/>
    <m/>
    <m/>
    <m/>
    <m/>
    <m/>
    <m/>
    <m/>
    <m/>
    <m/>
    <m/>
    <m/>
    <m/>
    <m/>
    <m/>
    <m/>
    <m/>
    <m/>
    <m/>
    <m/>
    <m/>
    <m/>
    <m/>
    <m/>
    <m/>
    <m/>
    <m/>
    <m/>
    <m/>
    <m/>
    <m/>
    <m/>
    <m/>
    <m/>
    <m/>
    <m/>
    <m/>
    <m/>
    <m/>
    <m/>
    <m/>
    <m/>
    <m/>
    <m/>
    <m/>
    <m/>
    <m/>
    <m/>
    <m/>
    <m/>
    <m/>
    <m/>
    <m/>
    <m/>
    <m/>
    <m/>
    <m/>
    <m/>
    <m/>
    <m/>
    <m/>
    <m/>
    <m/>
    <m/>
    <m/>
    <m/>
    <m/>
    <m/>
    <m/>
    <m/>
    <m/>
    <m/>
    <m/>
    <m/>
    <m/>
    <m/>
    <m/>
    <m/>
    <m/>
    <m/>
    <m/>
    <m/>
    <m/>
    <m/>
    <m/>
    <m/>
    <m/>
    <m/>
    <m/>
    <m/>
    <m/>
    <m/>
    <s v="NO"/>
    <m/>
    <m/>
    <s v="NO"/>
    <s v="NO"/>
    <m/>
    <m/>
    <s v="There is plan to conduct SMART survey which will guide to know the impact of the project"/>
    <x v="2"/>
    <m/>
    <s v="YES"/>
    <s v="YES"/>
    <s v="YES"/>
    <s v="YES"/>
    <s v="YES"/>
    <s v="YES"/>
    <m/>
    <m/>
    <x v="1"/>
    <s v="Through training of mother to mother support on Infant and young child feeding and on income generating activities to be able to support their households. Mother support groups also educated on kitchen gardening"/>
    <x v="0"/>
    <m/>
    <x v="1"/>
    <x v="0"/>
    <s v="YES"/>
    <x v="0"/>
    <x v="0"/>
    <x v="0"/>
    <x v="0"/>
    <n v="4"/>
    <x v="1"/>
    <x v="1"/>
    <x v="1"/>
    <x v="1"/>
    <x v="1"/>
    <x v="1"/>
    <n v="4"/>
    <x v="3"/>
    <x v="1"/>
    <x v="1"/>
    <x v="1"/>
    <x v="4"/>
    <n v="3"/>
    <x v="1"/>
    <x v="4"/>
    <n v="4"/>
    <s v="International NGO(s)"/>
    <s v="Labor union(s)"/>
    <s v="Local government(s)"/>
    <x v="2"/>
    <m/>
    <m/>
    <s v="Involvement of community nutrition workers led to effectively reaching most of acute malnourished chiildren, preganant and lactating women"/>
    <s v="Through intensive coordination and collaboration there is ownership of the project and any community member contributes to referral of malnourished children"/>
    <s v="Mobile program has boosted the coverage of project and hence most acute malnourished chidlren and women are able to easly access nutrition services."/>
    <s v="Insecuirty in various areas has distrupted the implementation of the activities"/>
    <s v="poor road infrastructure caused by heavy down pour has affected negatively on supervision/monitoring of project activities."/>
    <s v="Mobile program has boosted the coverage of project and hence most acute malnourished chidlren and women are able to easly access nutrition services."/>
    <m/>
    <m/>
    <n v="5506"/>
    <n v="261740"/>
    <n v="47.537232110424988"/>
    <n v="0.49836541954231744"/>
    <n v="0.52101321922518529"/>
    <n v="2744"/>
    <n v="136370"/>
    <n v="1"/>
    <n v="5506"/>
    <n v="261740"/>
    <n v="47.537232110424988"/>
    <n v="1"/>
    <n v="5606"/>
    <n v="261390"/>
    <n v="46.626828398144845"/>
    <s v=""/>
    <n v="0"/>
    <n v="0"/>
    <s v=""/>
    <s v=""/>
    <n v="0"/>
    <n v="0"/>
    <s v=""/>
    <s v=""/>
    <n v="0"/>
    <n v="0"/>
    <s v=""/>
    <s v="2. Sensitive"/>
    <s v="2. Accommodating"/>
    <s v="4. Transformative"/>
    <s v="It tested new ways for fighting poverty, but did not measure results of innovation"/>
    <s v="Intensive advocacy"/>
    <s v="It did not take tested solutions to scale"/>
  </r>
  <r>
    <x v="67"/>
    <x v="3"/>
    <m/>
    <s v="Integrated Food Security and Nutrition project in Pariang county, Unity State."/>
    <s v="South Sudan"/>
    <m/>
    <s v="CARE USA"/>
    <s v="Foundation"/>
    <s v="Other"/>
    <s v="Latter-Day Saint Charities"/>
    <m/>
    <m/>
    <m/>
    <m/>
    <m/>
    <m/>
    <m/>
    <m/>
    <m/>
    <m/>
    <m/>
    <m/>
    <m/>
    <m/>
    <m/>
    <m/>
    <m/>
    <m/>
    <m/>
    <m/>
    <m/>
    <m/>
    <m/>
    <m/>
    <m/>
    <m/>
    <m/>
    <m/>
    <m/>
    <m/>
    <m/>
    <m/>
    <m/>
    <m/>
    <m/>
    <m/>
    <m/>
    <m/>
    <m/>
    <m/>
    <m/>
    <m/>
    <m/>
    <m/>
    <m/>
    <d v="2016-12-01T00:00:00"/>
    <d v="2017-08-31T00:00:00"/>
    <m/>
    <s v="Humanitarian Food &amp; Nutrition Security and Resilience to Climate Change"/>
    <n v="405372.72"/>
    <s v="Nicholas Chege"/>
    <s v="Project Manager"/>
    <s v="Gitau.Chege@care.org"/>
    <m/>
    <m/>
    <m/>
    <s v="YES"/>
    <s v="NO"/>
    <s v="NO"/>
    <s v="To contribute to global efforts to improve food security and nutrition outcomes for the most-atrisk populations, with a special focus on children under 5 years old and pregnant and lactating women; and to reduce morbidity and mortality associated with undernutrition and micronutrient deficiencies."/>
    <s v="Sub-National"/>
    <s v="Unity State (Pariang, Abiemnom, Mayom and Rupkona Counties"/>
    <s v="1000 Household (Ave 6/HH)  with Moderate acute malnourished children or pregnant/lactating women 370 School going children (secondary school level) 6,500 women (Mother to mother support group) with IEC materials"/>
    <n v="12500"/>
    <n v="370"/>
    <n v="12870"/>
    <n v="61110"/>
    <n v="1890"/>
    <n v="63000"/>
    <s v="1000 Household (Ave 6/HH)  with Moderate acute malnourished children or pregnant/lactating women 370 School going children (secondary school level) 6,500 women (Mother to mother support group) with IEC materials"/>
    <m/>
    <n v="11321"/>
    <n v="349"/>
    <n v="11670"/>
    <n v="50381"/>
    <n v="1559"/>
    <n v="51940"/>
    <s v="NO"/>
    <m/>
    <m/>
    <m/>
    <s v="NO"/>
    <m/>
    <m/>
    <m/>
    <s v="NO"/>
    <m/>
    <m/>
    <n v="0"/>
    <s v="YES"/>
    <n v="11670"/>
    <n v="0.97"/>
    <n v="51940"/>
    <s v="NO"/>
    <m/>
    <m/>
    <n v="0"/>
    <s v="NO"/>
    <m/>
    <m/>
    <m/>
    <s v="NO"/>
    <m/>
    <m/>
    <m/>
    <s v="NO"/>
    <m/>
    <m/>
    <m/>
    <s v="NO"/>
    <m/>
    <m/>
    <m/>
    <s v="NO"/>
    <m/>
    <m/>
    <m/>
    <s v="NO"/>
    <m/>
    <m/>
    <m/>
    <s v="NO"/>
    <m/>
    <m/>
    <m/>
    <m/>
    <m/>
    <m/>
    <m/>
    <m/>
    <m/>
    <m/>
    <m/>
    <m/>
    <m/>
    <m/>
    <m/>
    <m/>
    <m/>
    <m/>
    <m/>
    <m/>
    <m/>
    <m/>
    <m/>
    <m/>
    <m/>
    <m/>
    <m/>
    <m/>
    <m/>
    <m/>
    <m/>
    <m/>
    <m/>
    <m/>
    <m/>
    <m/>
    <m/>
    <m/>
    <m/>
    <m/>
    <m/>
    <m/>
    <m/>
    <m/>
    <m/>
    <m/>
    <m/>
    <m/>
    <m/>
    <m/>
    <m/>
    <m/>
    <m/>
    <m/>
    <m/>
    <m/>
    <m/>
    <m/>
    <m/>
    <m/>
    <m/>
    <m/>
    <m/>
    <m/>
    <m/>
    <m/>
    <m/>
    <m/>
    <m/>
    <m/>
    <m/>
    <m/>
    <m/>
    <m/>
    <m/>
    <m/>
    <m/>
    <m/>
    <m/>
    <m/>
    <m/>
    <m/>
    <m/>
    <s v="NO"/>
    <m/>
    <m/>
    <s v="NO"/>
    <s v="YES"/>
    <s v="August"/>
    <n v="2017"/>
    <m/>
    <x v="3"/>
    <s v="NO"/>
    <s v="NO"/>
    <s v="NO"/>
    <s v="YES"/>
    <s v="NO"/>
    <s v="YES"/>
    <s v="NO"/>
    <m/>
    <m/>
    <x v="0"/>
    <m/>
    <x v="3"/>
    <m/>
    <x v="1"/>
    <x v="0"/>
    <s v="YES"/>
    <x v="0"/>
    <x v="0"/>
    <x v="0"/>
    <x v="0"/>
    <n v="4"/>
    <x v="1"/>
    <x v="1"/>
    <x v="2"/>
    <x v="1"/>
    <x v="1"/>
    <x v="1"/>
    <n v="3"/>
    <x v="2"/>
    <x v="2"/>
    <x v="2"/>
    <x v="2"/>
    <x v="2"/>
    <n v="0"/>
    <x v="2"/>
    <x v="1"/>
    <m/>
    <s v="Local government(s)"/>
    <m/>
    <m/>
    <x v="3"/>
    <m/>
    <m/>
    <m/>
    <m/>
    <m/>
    <s v="Outreach services and community screening is important for early detection and treatment of Malnutrition"/>
    <s v="Food voucher program cannot work in Pariang county due to poor market"/>
    <s v="Designing food distribution project rather than food voucher"/>
    <m/>
    <s v="CARE South Sudan FY17 Grants Tracker, Project proposal,"/>
    <n v="11670"/>
    <n v="51940"/>
    <n v="4.4507283633247647"/>
    <n v="0.97009425878320477"/>
    <n v="0.96998459761263001"/>
    <n v="11321"/>
    <n v="50381"/>
    <n v="1"/>
    <n v="11670"/>
    <n v="51940"/>
    <n v="4.4507283633247647"/>
    <n v="1"/>
    <n v="11670"/>
    <n v="51940"/>
    <n v="4.4507283633247647"/>
    <s v=""/>
    <n v="0"/>
    <n v="0"/>
    <s v=""/>
    <s v=""/>
    <n v="0"/>
    <n v="0"/>
    <s v=""/>
    <s v=""/>
    <n v="0"/>
    <n v="0"/>
    <s v=""/>
    <s v="2. Sensitive"/>
    <s v="2. Accommodating"/>
    <s v="0. Harmful"/>
    <s v="It did not develop any specific innovation"/>
    <n v="0"/>
    <s v="It took tested solutions to scale on its own"/>
  </r>
  <r>
    <x v="67"/>
    <x v="3"/>
    <n v="3351"/>
    <s v="Integrated Health and Nutrition Response for the Conflict-affected Population in Unity State, South Sudan ( GE)"/>
    <s v="South Sudan"/>
    <n v="3351"/>
    <s v="CARE USA"/>
    <s v="Foundation"/>
    <s v="Other"/>
    <s v="General Electric Foundation"/>
    <m/>
    <m/>
    <m/>
    <m/>
    <m/>
    <m/>
    <m/>
    <m/>
    <m/>
    <m/>
    <m/>
    <m/>
    <m/>
    <m/>
    <m/>
    <m/>
    <m/>
    <m/>
    <m/>
    <m/>
    <m/>
    <m/>
    <m/>
    <m/>
    <m/>
    <m/>
    <m/>
    <m/>
    <m/>
    <m/>
    <m/>
    <m/>
    <m/>
    <m/>
    <m/>
    <m/>
    <m/>
    <m/>
    <m/>
    <m/>
    <m/>
    <m/>
    <m/>
    <m/>
    <m/>
    <d v="2016-01-01T00:00:00"/>
    <d v="2016-12-31T00:00:00"/>
    <m/>
    <s v="Humanitarian Other"/>
    <n v="1000000"/>
    <s v="LOICE AWINO MUKABANE"/>
    <s v="Project  Manager"/>
    <s v="lmukabane@care.org"/>
    <m/>
    <m/>
    <m/>
    <s v="YES"/>
    <s v="NO"/>
    <s v="NO"/>
    <s v="? Objective 1: Increased access to maternal, newborn and child health (MNCH) services, including emergency obstetric care. ? Objective 2: Increased access to medical services and psychosocial support for survivors of sexual and gender-based violence. ? Objective 3: : Increased access to interventions aimed at preventing, identifying and treating severe and moderate acute malnutrition among children, pregnant and lactating women and other vulnerable groups"/>
    <s v="Sub-National"/>
    <s v="Mayom and Abiemnom Counties, Unity State, South Sudan  "/>
    <s v="Delivering quality and equitable life-saving primary and secondary health care interventions health care to the conflict affected populations of Mayom and Abiemnom through PHCCs in Mankien and Wangkei in Mayom"/>
    <n v="43170"/>
    <n v="39849"/>
    <n v="83019"/>
    <m/>
    <m/>
    <n v="0"/>
    <s v="Direct participants are the mostly people affected by the war in the area."/>
    <m/>
    <n v="48570"/>
    <n v="44663"/>
    <n v="93233"/>
    <m/>
    <m/>
    <n v="0"/>
    <m/>
    <m/>
    <m/>
    <m/>
    <m/>
    <m/>
    <m/>
    <m/>
    <m/>
    <m/>
    <m/>
    <m/>
    <s v="YES"/>
    <n v="5820"/>
    <n v="0"/>
    <m/>
    <s v="YES"/>
    <n v="10"/>
    <n v="1"/>
    <m/>
    <m/>
    <m/>
    <m/>
    <m/>
    <s v="YES"/>
    <n v="93233"/>
    <n v="0.52"/>
    <n v="0"/>
    <m/>
    <m/>
    <m/>
    <m/>
    <m/>
    <m/>
    <m/>
    <m/>
    <s v="YES"/>
    <n v="5703"/>
    <n v="1"/>
    <m/>
    <m/>
    <m/>
    <m/>
    <m/>
    <m/>
    <m/>
    <m/>
    <m/>
    <m/>
    <m/>
    <m/>
    <m/>
    <m/>
    <m/>
    <m/>
    <m/>
    <m/>
    <m/>
    <m/>
    <m/>
    <m/>
    <m/>
    <m/>
    <m/>
    <m/>
    <m/>
    <m/>
    <m/>
    <m/>
    <m/>
    <m/>
    <m/>
    <m/>
    <m/>
    <m/>
    <m/>
    <m/>
    <m/>
    <m/>
    <m/>
    <m/>
    <m/>
    <m/>
    <m/>
    <m/>
    <m/>
    <m/>
    <m/>
    <m/>
    <m/>
    <m/>
    <m/>
    <m/>
    <m/>
    <m/>
    <m/>
    <m/>
    <m/>
    <m/>
    <m/>
    <m/>
    <m/>
    <m/>
    <m/>
    <m/>
    <m/>
    <m/>
    <m/>
    <m/>
    <m/>
    <m/>
    <m/>
    <m/>
    <m/>
    <m/>
    <m/>
    <m/>
    <m/>
    <m/>
    <m/>
    <m/>
    <m/>
    <m/>
    <m/>
    <m/>
    <m/>
    <m/>
    <m/>
    <s v="NO"/>
    <m/>
    <m/>
    <s v="NO"/>
    <s v="YES"/>
    <m/>
    <m/>
    <m/>
    <x v="2"/>
    <s v="YES"/>
    <s v="YES"/>
    <s v="YES"/>
    <s v="YES"/>
    <s v="YES"/>
    <s v="YES"/>
    <s v="YES"/>
    <m/>
    <m/>
    <x v="0"/>
    <m/>
    <x v="0"/>
    <m/>
    <x v="2"/>
    <x v="0"/>
    <s v="YES"/>
    <x v="0"/>
    <x v="0"/>
    <x v="0"/>
    <x v="0"/>
    <n v="4"/>
    <x v="1"/>
    <x v="1"/>
    <x v="1"/>
    <x v="1"/>
    <x v="1"/>
    <x v="1"/>
    <n v="4"/>
    <x v="3"/>
    <x v="1"/>
    <x v="1"/>
    <x v="1"/>
    <x v="4"/>
    <n v="3"/>
    <x v="0"/>
    <x v="0"/>
    <n v="1"/>
    <s v="Local government(s)"/>
    <s v="Local government(s)"/>
    <m/>
    <x v="1"/>
    <m/>
    <m/>
    <m/>
    <m/>
    <m/>
    <s v="? Working together with the county health department (CHD) and local authorities in project implementation creates ownership and accountability at all levels."/>
    <s v="The integrated approach in service delivery for health and nutrition in both the facilities and mobile clinics ensured that patients received a whole package of services, thus avoiding multiple return trips to the health facilities."/>
    <s v="? Mothers who received skilled delivery and professional services at the facilities shared their positive experiences with other mothers in the community hence an increase in uptake of services"/>
    <s v="Mobile clinics in hard-to-reach areas reach locations and temporarily set camp for a week conducting general consultations and referral of complicated cases for secondary care. This was a new innovation that ensured the most vulnerable members of the communities were reached given the long distances that the communities had to travel in order to reach a health facility; the chiefs and other local authorities were grateful to CARE for the delivery of health care in the remotest parts, CARE was able to set up four mobile health and nutrition sites in the remote villages. A total if 20 mobile outreaches were conducted over the project life. During an outreach, key essential staff would travel to hard to Improved service delivery worked round the clock to ensure quality services were offered to all. With the deterioration of security in South Sudan, basic services including primary health care was hard to come by in the vastly rural parts of the country as over 50% of health facilities were destroyed and never restored. Getting qualified personnel to offer services was a big challenge as the government was not able to sustain the key personnel in terms of salaries. With the GE fund, CARE was able to get qualified committed staff who"/>
    <s v="CARE South Sudan FY17 Grants Tracker, Project proposal."/>
    <n v="93233"/>
    <n v="0"/>
    <n v="0"/>
    <n v="0.52095288149045937"/>
    <s v=""/>
    <n v="48570"/>
    <n v="0"/>
    <n v="1"/>
    <n v="93233"/>
    <n v="0"/>
    <n v="0"/>
    <n v="1"/>
    <n v="5820"/>
    <n v="0"/>
    <n v="0"/>
    <n v="1"/>
    <n v="5703"/>
    <n v="0"/>
    <n v="0"/>
    <n v="1"/>
    <n v="10"/>
    <n v="0"/>
    <n v="0"/>
    <s v=""/>
    <n v="0"/>
    <n v="0"/>
    <s v=""/>
    <s v="2. Sensitive"/>
    <s v="2. Accommodating"/>
    <s v="4. Transformative"/>
    <s v="It did not develop any specific innovation"/>
    <s v="Intensive advocacy"/>
    <s v="It did not take tested solutions to scale"/>
  </r>
  <r>
    <x v="67"/>
    <x v="3"/>
    <m/>
    <s v="Pariang Integrated Primary Health Care Project (HPF)"/>
    <s v="South Sudan"/>
    <m/>
    <s v="CARE USA"/>
    <s v="Multilateral agency"/>
    <s v="Other"/>
    <s v="Health Pooled Fund (HPF)"/>
    <m/>
    <m/>
    <m/>
    <m/>
    <m/>
    <m/>
    <m/>
    <m/>
    <m/>
    <m/>
    <m/>
    <m/>
    <m/>
    <m/>
    <m/>
    <m/>
    <m/>
    <m/>
    <m/>
    <m/>
    <m/>
    <m/>
    <m/>
    <m/>
    <m/>
    <m/>
    <m/>
    <m/>
    <m/>
    <m/>
    <m/>
    <m/>
    <m/>
    <m/>
    <m/>
    <m/>
    <m/>
    <m/>
    <m/>
    <m/>
    <m/>
    <m/>
    <m/>
    <m/>
    <m/>
    <d v="2016-10-01T00:00:00"/>
    <d v="2018-02-28T00:00:00"/>
    <m/>
    <s v="Humanitarian Other"/>
    <n v="622000"/>
    <s v="LOICE AWINO MUKABANE"/>
    <s v="Project  Manager"/>
    <s v="lmukabane@care.org"/>
    <m/>
    <m/>
    <m/>
    <s v="YES"/>
    <s v="YES"/>
    <s v="YES"/>
    <s v="? Objective 1: To increase access, use and quality of health services across all levels in the county, particularly for women, children and vulnerable groups; ? Objective 2: To strengthen the health system under the stewardship of the County Health Departments (CHDs); ? Objective 3: To increase access to nutrition services, particularly for pregnant women and young children."/>
    <s v="National"/>
    <s v="Pariang Host communities"/>
    <s v="The intervention aims to reduce maternal and infant mortality, ensure universal coverage, and improve the overall health status as well as the quality of life of the South Sudanese population in Pariang County."/>
    <n v="49062"/>
    <n v="48461"/>
    <n v="97523"/>
    <n v="60415"/>
    <n v="62881"/>
    <n v="123296"/>
    <s v="Direct participants are the mostly people affected by the war in the area."/>
    <m/>
    <n v="26327"/>
    <n v="26310"/>
    <n v="52637"/>
    <n v="157962"/>
    <n v="157860"/>
    <n v="315822"/>
    <m/>
    <m/>
    <m/>
    <m/>
    <m/>
    <m/>
    <m/>
    <m/>
    <m/>
    <m/>
    <m/>
    <m/>
    <m/>
    <m/>
    <m/>
    <m/>
    <m/>
    <m/>
    <m/>
    <m/>
    <m/>
    <m/>
    <m/>
    <m/>
    <s v="YES"/>
    <n v="52637"/>
    <n v="0.5"/>
    <n v="315822"/>
    <m/>
    <m/>
    <m/>
    <m/>
    <m/>
    <m/>
    <m/>
    <m/>
    <s v="YES"/>
    <n v="5913"/>
    <n v="1"/>
    <n v="5913"/>
    <m/>
    <m/>
    <m/>
    <m/>
    <m/>
    <m/>
    <m/>
    <m/>
    <m/>
    <m/>
    <m/>
    <m/>
    <m/>
    <n v="26327"/>
    <n v="26310"/>
    <n v="52637"/>
    <n v="157962"/>
    <n v="157860"/>
    <n v="315822"/>
    <m/>
    <m/>
    <m/>
    <m/>
    <m/>
    <m/>
    <m/>
    <m/>
    <m/>
    <m/>
    <m/>
    <m/>
    <m/>
    <m/>
    <m/>
    <m/>
    <m/>
    <m/>
    <m/>
    <m/>
    <m/>
    <m/>
    <m/>
    <m/>
    <m/>
    <m/>
    <m/>
    <m/>
    <m/>
    <m/>
    <m/>
    <m/>
    <m/>
    <m/>
    <m/>
    <m/>
    <s v="YES"/>
    <n v="52637"/>
    <n v="0.52"/>
    <n v="315822"/>
    <m/>
    <m/>
    <m/>
    <m/>
    <m/>
    <m/>
    <m/>
    <m/>
    <m/>
    <m/>
    <m/>
    <m/>
    <s v="YES"/>
    <n v="5913"/>
    <n v="1"/>
    <n v="29565"/>
    <m/>
    <m/>
    <m/>
    <m/>
    <m/>
    <m/>
    <m/>
    <m/>
    <m/>
    <m/>
    <m/>
    <m/>
    <m/>
    <s v="NO"/>
    <m/>
    <m/>
    <s v="NO"/>
    <s v="YES"/>
    <m/>
    <m/>
    <m/>
    <x v="2"/>
    <s v="YES"/>
    <s v="YES"/>
    <s v="YES"/>
    <s v="YES"/>
    <s v="YES"/>
    <s v="YES"/>
    <s v="YES"/>
    <m/>
    <m/>
    <x v="0"/>
    <m/>
    <x v="0"/>
    <m/>
    <x v="1"/>
    <x v="0"/>
    <s v="YES"/>
    <x v="0"/>
    <x v="2"/>
    <x v="0"/>
    <x v="1"/>
    <n v="3"/>
    <x v="1"/>
    <x v="1"/>
    <x v="1"/>
    <x v="1"/>
    <x v="1"/>
    <x v="1"/>
    <n v="4"/>
    <x v="3"/>
    <x v="1"/>
    <x v="1"/>
    <x v="1"/>
    <x v="4"/>
    <n v="3"/>
    <x v="0"/>
    <x v="0"/>
    <n v="1"/>
    <s v="Local government(s)"/>
    <s v="Local government(s)"/>
    <m/>
    <x v="1"/>
    <m/>
    <m/>
    <m/>
    <m/>
    <m/>
    <s v="Expectations that HHPs and VHCs would function without an incentive were probably unrealistic. After taking great pains to recruit and train HHPs and to constitute and activate VHCs, there was little to no progress in terms of implementing their mandate. This was directly because of their request for incentives which could not be honoured by CARE because of budget constraints. Going forward, CARE would consider budgeting for incentives for community volunteers who are very essential to generating demand for health services and improving project performance."/>
    <s v="Mentorship program for to existing medical junior staff(Assistant nurses/nurses, lab assistant/ midwives will allow the Pariang to have sufficient staff qualified to be deployed in other facilities such as HPF supported health facilities and others."/>
    <s v="Mobilization of medical cadres native from Pariang by local CHD/SMOH  and CARE to join the state and work as local staff  will address the human medical resources gap in Pariang. Exemple, 2 medical doctors from Pariang have accepted to work as clinical officers and non relocatable."/>
    <s v="The Health Pooled Fund 2 is a multi-level government-led program focusing on provision of essential maternal health and nutrition services, provision of access to services for the most vulnerable (particularly youth, women and girls), and building the institutional capacity of the MOH especially at county and state levels. CAREs current contract for Pariang County runs till February 2018, and the project is funded by the United Kingdom Government Department for International Development (DFID), the government of Canada, the United States Agency for International Development (USAID), the European Union (EU) and the Swedish International Development and Cooperation Agency (SIDA). In Pariang County (old county system) of Ruweng State, CARE is implementing HPF2 in 7 health facilities: Pariang PHCC+ (complementary to UNHCR support), JamJang PHCC, Biu PHCC, Panyang PHCC, Kong PHCU, Gumriak PHCU, and Bongki PHCU."/>
    <s v="CARE South Sudan FY17 Grants Tracker, Project proposal."/>
    <n v="52637"/>
    <n v="315822"/>
    <n v="6"/>
    <n v="0.50016148336721322"/>
    <n v="0.50016148336721322"/>
    <n v="26327"/>
    <n v="157962"/>
    <n v="1"/>
    <n v="52637"/>
    <n v="315822"/>
    <n v="6"/>
    <s v=""/>
    <n v="0"/>
    <n v="0"/>
    <s v=""/>
    <n v="1"/>
    <n v="5913"/>
    <n v="29565"/>
    <n v="5"/>
    <s v=""/>
    <n v="0"/>
    <n v="0"/>
    <s v=""/>
    <s v=""/>
    <n v="0"/>
    <n v="0"/>
    <s v=""/>
    <s v="1. Neutral"/>
    <s v="2. Accommodating"/>
    <s v="4. Transformative"/>
    <s v="It did not develop any specific innovation"/>
    <s v="Intensive advocacy"/>
    <s v="It did not take tested solutions to scale"/>
  </r>
  <r>
    <x v="67"/>
    <x v="3"/>
    <n v="3358"/>
    <s v="South Sudan Joint Initiative 2"/>
    <s v="South Sudan"/>
    <n v="3358"/>
    <s v="CARE Nederland"/>
    <s v="Government"/>
    <s v="Government - Netherlands"/>
    <s v="Ministry of Foreign Affairs of the Netherlands"/>
    <m/>
    <m/>
    <m/>
    <m/>
    <m/>
    <m/>
    <m/>
    <m/>
    <m/>
    <m/>
    <m/>
    <m/>
    <m/>
    <m/>
    <m/>
    <m/>
    <m/>
    <m/>
    <m/>
    <m/>
    <m/>
    <m/>
    <m/>
    <m/>
    <m/>
    <m/>
    <m/>
    <m/>
    <m/>
    <m/>
    <m/>
    <m/>
    <m/>
    <m/>
    <m/>
    <m/>
    <m/>
    <m/>
    <m/>
    <m/>
    <m/>
    <m/>
    <m/>
    <m/>
    <m/>
    <d v="2016-01-01T00:00:00"/>
    <d v="2017-12-31T00:00:00"/>
    <d v="2017-02-28T00:00:00"/>
    <s v="Humanitarian Food &amp; Nutrition Security and Resilience to Climate Change"/>
    <n v="1112661"/>
    <s v="Darias Sanyatwe"/>
    <s v="Programme Coordinator"/>
    <s v="bayayi.darias@care.org"/>
    <s v="bayayi.darias@care.org"/>
    <s v="Project Manager"/>
    <s v="bayayi.darias@care.org"/>
    <s v="YES"/>
    <s v="YES"/>
    <s v="YES"/>
    <s v="Save lives and alleviate suffering through safe access to services and resources with dignity"/>
    <s v="National"/>
    <s v="East Equatoria (Torit), Jonglei (Uror and Twic East) and Upper Nile (Maiwut)"/>
    <s v="Most Vulnerable Women, Men, Boys &amp; Girls"/>
    <n v="2525"/>
    <n v="1753"/>
    <n v="4278"/>
    <n v="12625"/>
    <n v="8765"/>
    <n v="21390"/>
    <s v="Direct beneficiaries include all the household members of the people involved in Cash for Work activities, farming and fishing activities."/>
    <m/>
    <n v="2525"/>
    <n v="1753"/>
    <n v="4278"/>
    <n v="12625"/>
    <n v="8765"/>
    <n v="21390"/>
    <s v="NO"/>
    <m/>
    <m/>
    <m/>
    <s v="YES"/>
    <n v="1833"/>
    <n v="0.75"/>
    <m/>
    <s v="NO"/>
    <m/>
    <m/>
    <m/>
    <s v="YES"/>
    <n v="2345"/>
    <n v="0.7"/>
    <m/>
    <s v="YES"/>
    <m/>
    <m/>
    <m/>
    <s v="NO"/>
    <m/>
    <m/>
    <m/>
    <s v="NO"/>
    <m/>
    <m/>
    <m/>
    <s v="Yes"/>
    <n v="2345"/>
    <n v="0.7"/>
    <m/>
    <s v="YES"/>
    <n v="116"/>
    <n v="0.6"/>
    <m/>
    <s v="NO"/>
    <m/>
    <m/>
    <m/>
    <s v="NO"/>
    <m/>
    <m/>
    <m/>
    <s v="NO"/>
    <m/>
    <m/>
    <m/>
    <m/>
    <s v="NO"/>
    <m/>
    <m/>
    <m/>
    <n v="5418"/>
    <n v="294"/>
    <n v="5712"/>
    <m/>
    <m/>
    <m/>
    <m/>
    <m/>
    <m/>
    <m/>
    <m/>
    <m/>
    <m/>
    <m/>
    <m/>
    <m/>
    <m/>
    <m/>
    <m/>
    <m/>
    <m/>
    <m/>
    <m/>
    <m/>
    <m/>
    <m/>
    <m/>
    <m/>
    <m/>
    <m/>
    <m/>
    <m/>
    <m/>
    <m/>
    <m/>
    <m/>
    <m/>
    <m/>
    <m/>
    <m/>
    <m/>
    <m/>
    <m/>
    <m/>
    <m/>
    <m/>
    <m/>
    <m/>
    <m/>
    <m/>
    <m/>
    <m/>
    <m/>
    <m/>
    <m/>
    <m/>
    <m/>
    <m/>
    <m/>
    <m/>
    <m/>
    <m/>
    <m/>
    <m/>
    <m/>
    <m/>
    <s v="YES"/>
    <n v="5418"/>
    <n v="1"/>
    <m/>
    <m/>
    <m/>
    <m/>
    <m/>
    <m/>
    <s v="YES"/>
    <s v="June"/>
    <n v="2017"/>
    <s v="YES"/>
    <s v="NO"/>
    <m/>
    <m/>
    <m/>
    <x v="0"/>
    <s v="YES"/>
    <s v="YES"/>
    <s v="YES"/>
    <s v="NO"/>
    <s v="YES"/>
    <s v="YES"/>
    <s v="NO"/>
    <m/>
    <m/>
    <x v="2"/>
    <s v="Cash Based Programming"/>
    <x v="3"/>
    <s v="Worked closely with other projects (long term) and other consortium partners"/>
    <x v="0"/>
    <x v="0"/>
    <s v="YES"/>
    <x v="0"/>
    <x v="0"/>
    <x v="0"/>
    <x v="0"/>
    <n v="4"/>
    <x v="1"/>
    <x v="1"/>
    <x v="1"/>
    <x v="1"/>
    <x v="1"/>
    <x v="1"/>
    <n v="4"/>
    <x v="3"/>
    <x v="2"/>
    <x v="1"/>
    <x v="1"/>
    <x v="5"/>
    <n v="2"/>
    <x v="0"/>
    <x v="1"/>
    <n v="2"/>
    <s v="Other"/>
    <s v="Other"/>
    <s v="Other"/>
    <x v="1"/>
    <m/>
    <s v="South Sudan  experienced conflict in Jully 2016. There were massive displacement that resulted in CARE seeking approval to use some of the money for humanitarian purposes. This was done in order to respond to the humanitarian needs of the displaced. The money was moved from the initial project areas to a new area (East Equatoria)"/>
    <s v="CASH FOR WORK"/>
    <s v="Vegetable Production that improved Dietary Diversity for households with some selling surplus. The households were able to use the cash to buy other basic needs."/>
    <m/>
    <s v="Responding to community requests/needs brings a lot of respect and appreciation by communities and local authorities. When  one local authority approached CARE to consider the inclusion of an airstrip as a CFW site the organisation  agreed. This brought a lot of respect by all in the working area."/>
    <s v="Distribution of agricultural inputs before the start of the rain season is always the best. This helps farmers plan early on their farming activities. Secondly, transporting of inputs can be a challenge  after the rains because of flooding"/>
    <s v="Always good practice to be constantly communicating with local leaders, beneficiairies and non beneficiaries. The organisation will be able to respond to emerging needs timely"/>
    <s v="The holding of monthly Technical Working group meetings helped the project in the sense that consortium members were able to share information and challenges. This enables some organisations not to repeat the same challenges already experienced by one of the members (this should be contiuned) 2) The sharing of technical personnes amongst partners should be continued in any future projects. Only two partners had GBV/protection experts. These two trainied staff from the other organisations so that all mainstaremed GBV/protection in their programming."/>
    <s v="CARE South Sudan FY17 Grants Tracker, Project proposal, Project Endline Evaluation."/>
    <n v="5712"/>
    <n v="21390"/>
    <n v="3.7447478991596639"/>
    <n v="0.94852941176470584"/>
    <n v="0.59022907900888266"/>
    <n v="5418"/>
    <n v="12625"/>
    <n v="1"/>
    <n v="4278"/>
    <n v="21390"/>
    <n v="5"/>
    <n v="1"/>
    <n v="2345"/>
    <n v="0"/>
    <n v="0"/>
    <s v=""/>
    <n v="0"/>
    <n v="0"/>
    <s v=""/>
    <n v="1"/>
    <n v="0"/>
    <n v="0"/>
    <s v=""/>
    <n v="1"/>
    <n v="5418"/>
    <n v="0"/>
    <n v="0"/>
    <s v="2. Sensitive"/>
    <s v="2. Accommodating"/>
    <s v="3. Responsive"/>
    <s v="It tested new ways for fighting poverty and measured results of innovation"/>
    <s v="Little or no advocacy"/>
    <s v="It took tested solutions to scale on its own"/>
  </r>
  <r>
    <x v="67"/>
    <x v="3"/>
    <m/>
    <s v="Strengthening Community Engagement and Social Mobilization for Polio outbreak Response in Mayom, Pariang, Abiemnom counties."/>
    <s v="South Sudan"/>
    <m/>
    <s v="No CARE member related to the project/initiative"/>
    <s v="Multilateral agency"/>
    <s v="UN - United Nations agencies/offices"/>
    <s v="UNICEF"/>
    <m/>
    <m/>
    <m/>
    <m/>
    <m/>
    <m/>
    <m/>
    <m/>
    <m/>
    <m/>
    <m/>
    <m/>
    <m/>
    <m/>
    <m/>
    <m/>
    <m/>
    <m/>
    <m/>
    <m/>
    <m/>
    <m/>
    <m/>
    <m/>
    <m/>
    <m/>
    <m/>
    <m/>
    <m/>
    <m/>
    <m/>
    <m/>
    <m/>
    <m/>
    <m/>
    <m/>
    <m/>
    <m/>
    <m/>
    <m/>
    <m/>
    <m/>
    <m/>
    <m/>
    <m/>
    <d v="2016-07-01T00:00:00"/>
    <d v="2016-09-30T00:00:00"/>
    <d v="2017-03-31T00:00:00"/>
    <s v="Humanitarian Food &amp; Nutrition Security and Resilience to Climate Change"/>
    <n v="77133"/>
    <s v="Loice Mukabane"/>
    <s v="Project Manager"/>
    <s v="lmukabane@care.org"/>
    <s v="Mercy Laker"/>
    <s v="Health and Nutrition Coordinator"/>
    <s v="mlaker@care.org"/>
    <s v="YES"/>
    <s v="NO"/>
    <s v="NO"/>
    <s v="Strengthening Community Engagement and Social Mobilization for Polio outbreak Response in Mayom, Pariang, Abiemnom counties."/>
    <s v="National"/>
    <s v="Mayom, Pariang, Abiemnom counties."/>
    <s v="6 to 59 months children"/>
    <n v="61"/>
    <n v="60"/>
    <n v="121"/>
    <m/>
    <m/>
    <n v="0"/>
    <s v="Direct Beneficiairies are all children 6 to 59 months that are immunised"/>
    <m/>
    <n v="85"/>
    <n v="79"/>
    <n v="164"/>
    <m/>
    <m/>
    <m/>
    <s v="NO"/>
    <m/>
    <m/>
    <m/>
    <s v="NO"/>
    <m/>
    <m/>
    <m/>
    <s v="NO"/>
    <m/>
    <m/>
    <m/>
    <s v="NO"/>
    <m/>
    <m/>
    <m/>
    <s v="NO"/>
    <m/>
    <m/>
    <m/>
    <s v="NO"/>
    <m/>
    <m/>
    <m/>
    <s v="YES"/>
    <n v="164"/>
    <n v="0.52"/>
    <m/>
    <s v="NO"/>
    <m/>
    <m/>
    <m/>
    <s v="NO"/>
    <m/>
    <m/>
    <m/>
    <s v="NO"/>
    <m/>
    <m/>
    <m/>
    <s v="NO"/>
    <m/>
    <m/>
    <m/>
    <s v="NO"/>
    <m/>
    <m/>
    <m/>
    <m/>
    <m/>
    <m/>
    <m/>
    <m/>
    <m/>
    <m/>
    <m/>
    <m/>
    <m/>
    <m/>
    <m/>
    <m/>
    <m/>
    <m/>
    <m/>
    <m/>
    <m/>
    <m/>
    <m/>
    <m/>
    <m/>
    <m/>
    <m/>
    <m/>
    <m/>
    <m/>
    <m/>
    <m/>
    <m/>
    <m/>
    <m/>
    <m/>
    <m/>
    <m/>
    <m/>
    <m/>
    <m/>
    <m/>
    <m/>
    <m/>
    <m/>
    <m/>
    <m/>
    <m/>
    <m/>
    <m/>
    <m/>
    <m/>
    <m/>
    <m/>
    <m/>
    <m/>
    <m/>
    <m/>
    <m/>
    <m/>
    <m/>
    <m/>
    <m/>
    <m/>
    <m/>
    <m/>
    <m/>
    <m/>
    <m/>
    <m/>
    <m/>
    <m/>
    <m/>
    <m/>
    <m/>
    <m/>
    <m/>
    <m/>
    <m/>
    <m/>
    <m/>
    <m/>
    <m/>
    <s v="NO"/>
    <m/>
    <m/>
    <s v="NO"/>
    <s v="NO"/>
    <m/>
    <m/>
    <m/>
    <x v="2"/>
    <s v="YES"/>
    <s v="YES"/>
    <s v="YES"/>
    <s v="YES"/>
    <s v="YES"/>
    <s v="YES"/>
    <s v="YES"/>
    <m/>
    <m/>
    <x v="1"/>
    <s v="All three counties have an updated communication plan for NIDS.The plans were update togethr with partners  -CARE,CHD,WHO .WR,AHAA,IRC and MSF"/>
    <x v="0"/>
    <s v="All the 164 SM were trianed before the NIDs.This was done in their payams by CHD team,county EPI supervisor and CARE SM assisitants"/>
    <x v="1"/>
    <x v="0"/>
    <s v="YES"/>
    <x v="0"/>
    <x v="0"/>
    <x v="0"/>
    <x v="0"/>
    <n v="4"/>
    <x v="1"/>
    <x v="1"/>
    <x v="1"/>
    <x v="1"/>
    <x v="1"/>
    <x v="1"/>
    <n v="4"/>
    <x v="3"/>
    <x v="1"/>
    <x v="1"/>
    <x v="1"/>
    <x v="4"/>
    <n v="3"/>
    <x v="2"/>
    <x v="1"/>
    <n v="3"/>
    <s v="International NGO(s)"/>
    <s v="Multilateral organization(s)"/>
    <s v="Local government(s)"/>
    <x v="2"/>
    <m/>
    <s v="According to the leaders, this is the first  time since their existence to see people moving from door to door and village to village, Boma to Boma and in every community gathering you find this people (Social Mobilizers and vaccinators participating as well as preaching /talking about immunization/health issues and everyone is now aware  of the important of vaccination."/>
    <s v="Door to Door campaign and sensitsation"/>
    <m/>
    <m/>
    <s v="There was good collaboration between CARE, CHD, RRC direction, Payam chiefs, county commissioners and religious leaders."/>
    <s v="The introduction of social mobilization activities contributed to the success of the children and Women of reproductive age getting vaccination and knowledge about the importance of vaccination."/>
    <s v="Involvement of the RRC director during the meetings created confidence to the community on the importance of vaccination through the local leaders."/>
    <s v="Remarks  from leaders According to the leaders, this is the first  time since their existence to see people moving from door to door and village to village, Boma to Boma and in every community gathering you find this people (Social Mobilizers and vaccinators participating as well as preaching /talking about immunization/health issues and everyone is now aware  of the important of vaccination. It is a beginning we understand, but remember the Payam and Bomas cannot be covered by only four persons, said one of the elder in Biu. Increase the number of Social Mobilizers and vaccinators at least for every Boma to have two Social Mobilizers. We are happy that CARE has reached out deep inside our villages and we hope for more services to follow this social mobilization activities. Now NIDs, has been understood by everybody but before, people were hiding their kids because the Parent were not well informed about Polio and other preventable diseases."/>
    <m/>
    <n v="164"/>
    <n v="0"/>
    <n v="0"/>
    <n v="0.51829268292682928"/>
    <s v=""/>
    <n v="85"/>
    <n v="0"/>
    <n v="1"/>
    <n v="164"/>
    <n v="0"/>
    <n v="0"/>
    <s v=""/>
    <n v="0"/>
    <n v="0"/>
    <s v=""/>
    <s v=""/>
    <n v="0"/>
    <n v="0"/>
    <s v=""/>
    <s v=""/>
    <n v="0"/>
    <n v="0"/>
    <s v=""/>
    <s v=""/>
    <n v="0"/>
    <n v="0"/>
    <s v=""/>
    <s v="2. Sensitive"/>
    <s v="2. Accommodating"/>
    <s v="4. Transformative"/>
    <s v="It tested new ways for fighting poverty, but did not measure results of innovation"/>
    <s v="Intensive advocacy"/>
    <s v="It did not take tested solutions to scale"/>
  </r>
  <r>
    <x v="67"/>
    <x v="3"/>
    <m/>
    <s v="Torit-Agricultutral Inputs - FAO"/>
    <s v="South Sudan"/>
    <m/>
    <s v="CARE USA"/>
    <s v="Multilateral agency"/>
    <s v="UN - United Nations agencies/offices"/>
    <s v="FAO"/>
    <m/>
    <m/>
    <m/>
    <m/>
    <m/>
    <m/>
    <m/>
    <m/>
    <m/>
    <m/>
    <m/>
    <m/>
    <m/>
    <m/>
    <m/>
    <m/>
    <m/>
    <m/>
    <m/>
    <m/>
    <m/>
    <m/>
    <m/>
    <m/>
    <m/>
    <m/>
    <m/>
    <m/>
    <m/>
    <m/>
    <m/>
    <m/>
    <m/>
    <m/>
    <m/>
    <m/>
    <m/>
    <m/>
    <m/>
    <m/>
    <m/>
    <m/>
    <m/>
    <m/>
    <m/>
    <d v="2016-12-16T00:00:00"/>
    <d v="2017-03-31T00:00:00"/>
    <d v="2017-06-30T00:00:00"/>
    <s v="Humanitarian Food &amp; Nutrition Security and Resilience to Climate Change"/>
    <n v="129700"/>
    <s v="Sylvia Kaawe"/>
    <s v="Senior Programme Manager"/>
    <s v="sylvia.kaawe@care,org"/>
    <s v="Darias  Sanyatwe"/>
    <s v="Programme Coordinator"/>
    <s v="bayayi.darias@care.org"/>
    <s v="YES"/>
    <s v="YES"/>
    <s v="YES"/>
    <s v="Save lives and alleviate suffering through safe access to services and resources with dignity"/>
    <s v="National"/>
    <s v="East Equatoria"/>
    <s v="Most Vulnerable Women, Men, Boys &amp; Girls"/>
    <n v="5221"/>
    <n v="2237"/>
    <n v="7458"/>
    <n v="26105"/>
    <n v="11185"/>
    <n v="37290"/>
    <s v="Direct  participants are the household representatives who received agricultural inputs and fishing kits ( a household having on average 6 members). Indirect participants are all the household members who were not involved in receiving the kits"/>
    <m/>
    <n v="5221"/>
    <n v="2237"/>
    <n v="7458"/>
    <n v="26105"/>
    <n v="11185"/>
    <n v="37290"/>
    <s v="NO"/>
    <m/>
    <m/>
    <m/>
    <s v="NO"/>
    <m/>
    <m/>
    <m/>
    <s v="NO"/>
    <m/>
    <m/>
    <m/>
    <s v="YES"/>
    <n v="7458"/>
    <n v="0.7"/>
    <n v="37290"/>
    <s v="NO"/>
    <m/>
    <m/>
    <m/>
    <s v="NO"/>
    <m/>
    <m/>
    <m/>
    <s v="NO"/>
    <m/>
    <m/>
    <m/>
    <s v="Yes"/>
    <n v="7458"/>
    <n v="0.7"/>
    <m/>
    <s v="NO"/>
    <m/>
    <m/>
    <m/>
    <s v="NO"/>
    <m/>
    <m/>
    <m/>
    <s v="NO"/>
    <m/>
    <m/>
    <m/>
    <s v="NO"/>
    <m/>
    <m/>
    <m/>
    <m/>
    <s v="NO"/>
    <m/>
    <m/>
    <m/>
    <n v="5418"/>
    <n v="294"/>
    <n v="5712"/>
    <m/>
    <m/>
    <m/>
    <m/>
    <m/>
    <m/>
    <m/>
    <m/>
    <m/>
    <m/>
    <m/>
    <m/>
    <m/>
    <m/>
    <m/>
    <m/>
    <m/>
    <m/>
    <m/>
    <m/>
    <m/>
    <m/>
    <m/>
    <m/>
    <m/>
    <m/>
    <m/>
    <m/>
    <m/>
    <m/>
    <m/>
    <m/>
    <m/>
    <m/>
    <m/>
    <m/>
    <m/>
    <m/>
    <m/>
    <m/>
    <m/>
    <m/>
    <m/>
    <m/>
    <m/>
    <m/>
    <m/>
    <m/>
    <m/>
    <m/>
    <m/>
    <m/>
    <m/>
    <m/>
    <m/>
    <m/>
    <m/>
    <m/>
    <m/>
    <m/>
    <m/>
    <m/>
    <m/>
    <s v="YES"/>
    <n v="5418"/>
    <n v="1"/>
    <m/>
    <m/>
    <m/>
    <m/>
    <m/>
    <m/>
    <s v="NO"/>
    <m/>
    <m/>
    <s v="NO"/>
    <s v="NO"/>
    <m/>
    <m/>
    <s v="This FAO project had post distribution monitoring actvities after the distribution. There was not evaluation."/>
    <x v="0"/>
    <s v="NO"/>
    <s v="NO"/>
    <s v="NO"/>
    <s v="NO"/>
    <s v="NO"/>
    <s v="NO"/>
    <s v="NO"/>
    <m/>
    <m/>
    <x v="0"/>
    <m/>
    <x v="0"/>
    <m/>
    <x v="0"/>
    <x v="0"/>
    <s v="YES"/>
    <x v="0"/>
    <x v="0"/>
    <x v="0"/>
    <x v="0"/>
    <n v="4"/>
    <x v="1"/>
    <x v="1"/>
    <x v="2"/>
    <x v="1"/>
    <x v="1"/>
    <x v="1"/>
    <n v="3"/>
    <x v="3"/>
    <x v="2"/>
    <x v="1"/>
    <x v="1"/>
    <x v="5"/>
    <n v="2"/>
    <x v="0"/>
    <x v="1"/>
    <m/>
    <s v="Other"/>
    <s v="Other"/>
    <s v="Other"/>
    <x v="1"/>
    <m/>
    <m/>
    <s v="Demonstration plots"/>
    <s v="Engaging more women in project activities (about 70%)"/>
    <m/>
    <s v="Timely distribution of inputs is key in an environment where weather patterns are changing. The rains at times tail off earlier than is expected by farmers."/>
    <m/>
    <m/>
    <s v="The number of women who directly participated in the project is given as 70% and this was the target."/>
    <s v="CARE South Sudan FY17 Grants Tracker, Project proposal"/>
    <n v="7458"/>
    <n v="37290"/>
    <n v="5"/>
    <n v="0.7264682220434433"/>
    <n v="0.70005363368195228"/>
    <n v="5418"/>
    <n v="26105"/>
    <n v="1"/>
    <n v="7458"/>
    <n v="37290"/>
    <n v="5"/>
    <n v="1"/>
    <n v="7458"/>
    <n v="37290"/>
    <n v="5"/>
    <s v=""/>
    <n v="0"/>
    <n v="0"/>
    <s v=""/>
    <s v=""/>
    <n v="0"/>
    <n v="0"/>
    <s v=""/>
    <n v="1"/>
    <n v="5418"/>
    <n v="0"/>
    <n v="0"/>
    <s v="2. Sensitive"/>
    <s v="2. Accommodating"/>
    <s v="3. Responsive"/>
    <s v="It did not develop any specific innovation"/>
    <s v="Little or no advocacy"/>
    <s v="It did not take tested solutions to scale"/>
  </r>
  <r>
    <x v="67"/>
    <x v="3"/>
    <n v="3357"/>
    <s v="WFP Project - TSFP and Warehouse Management"/>
    <s v="South Sudan"/>
    <n v="3357"/>
    <s v="CARE USA"/>
    <s v="Multilateral agency"/>
    <s v="UN - United Nations agencies/offices"/>
    <s v="World Food Programme (WFP)"/>
    <m/>
    <m/>
    <m/>
    <m/>
    <m/>
    <m/>
    <m/>
    <m/>
    <m/>
    <m/>
    <m/>
    <m/>
    <m/>
    <m/>
    <m/>
    <m/>
    <m/>
    <m/>
    <m/>
    <m/>
    <m/>
    <m/>
    <m/>
    <m/>
    <m/>
    <m/>
    <m/>
    <m/>
    <m/>
    <m/>
    <m/>
    <m/>
    <m/>
    <m/>
    <m/>
    <m/>
    <m/>
    <m/>
    <m/>
    <m/>
    <m/>
    <m/>
    <m/>
    <m/>
    <m/>
    <d v="2016-10-01T00:00:00"/>
    <d v="2017-09-30T00:00:00"/>
    <d v="2017-12-31T00:00:00"/>
    <s v="Humanitarian Food &amp; Nutrition Security and Resilience to Climate Change"/>
    <n v="864108"/>
    <s v="Olive Muthamia"/>
    <s v="Project Manager"/>
    <s v="Omuthamia@care.org"/>
    <m/>
    <m/>
    <m/>
    <s v="YES"/>
    <s v="NO"/>
    <s v="NO"/>
    <s v="To reduce morbidity and mortality related to acute malnutrition through community-based integrated management of acute malnutrition (CMAM/IMAM) and Infant and Young Child Feeding (IYCF) interventions targeting children under five and Pregnant and lactating women."/>
    <s v="Sub-National"/>
    <s v="Unity State (Pariang, Abiemnom, Mayom and Rupkona Counties"/>
    <s v="(MAM) Children 6-59 months old and Pregnant/Lactating women"/>
    <n v="75747"/>
    <n v="60106"/>
    <n v="135853"/>
    <n v="378735"/>
    <n v="300530"/>
    <n v="679265"/>
    <s v="(MAM) Children 6-59 months old and Pregnant/Lactating women"/>
    <m/>
    <n v="33215"/>
    <n v="28277"/>
    <n v="61492"/>
    <n v="166075"/>
    <n v="141385"/>
    <n v="307460"/>
    <s v="NO"/>
    <m/>
    <m/>
    <m/>
    <s v="NO"/>
    <m/>
    <m/>
    <n v="0"/>
    <s v="NO"/>
    <m/>
    <m/>
    <n v="0"/>
    <s v="YES"/>
    <n v="61492"/>
    <n v="0.54"/>
    <m/>
    <s v="NO"/>
    <m/>
    <m/>
    <n v="0"/>
    <s v="NO"/>
    <m/>
    <m/>
    <m/>
    <s v="NO"/>
    <m/>
    <m/>
    <m/>
    <s v="NO"/>
    <m/>
    <m/>
    <m/>
    <s v="NO"/>
    <m/>
    <m/>
    <m/>
    <s v="NO"/>
    <m/>
    <m/>
    <m/>
    <s v="NO"/>
    <m/>
    <m/>
    <m/>
    <s v="NO"/>
    <m/>
    <m/>
    <m/>
    <m/>
    <m/>
    <m/>
    <m/>
    <m/>
    <m/>
    <m/>
    <m/>
    <m/>
    <m/>
    <m/>
    <m/>
    <m/>
    <m/>
    <m/>
    <m/>
    <m/>
    <m/>
    <m/>
    <m/>
    <m/>
    <m/>
    <m/>
    <m/>
    <m/>
    <m/>
    <m/>
    <m/>
    <m/>
    <m/>
    <m/>
    <m/>
    <m/>
    <m/>
    <m/>
    <m/>
    <m/>
    <m/>
    <m/>
    <m/>
    <m/>
    <m/>
    <m/>
    <m/>
    <m/>
    <m/>
    <m/>
    <m/>
    <m/>
    <m/>
    <m/>
    <m/>
    <m/>
    <m/>
    <m/>
    <m/>
    <m/>
    <m/>
    <m/>
    <m/>
    <m/>
    <m/>
    <m/>
    <m/>
    <m/>
    <m/>
    <m/>
    <m/>
    <m/>
    <m/>
    <m/>
    <m/>
    <m/>
    <m/>
    <m/>
    <m/>
    <m/>
    <m/>
    <m/>
    <m/>
    <s v="NO"/>
    <m/>
    <m/>
    <s v="NO"/>
    <s v="NO"/>
    <m/>
    <m/>
    <m/>
    <x v="3"/>
    <s v="NO"/>
    <s v="NO"/>
    <s v="NO"/>
    <s v="YES"/>
    <s v="NO"/>
    <s v="YES"/>
    <s v="NO"/>
    <m/>
    <m/>
    <x v="0"/>
    <m/>
    <x v="3"/>
    <m/>
    <x v="1"/>
    <x v="0"/>
    <s v="YES"/>
    <x v="0"/>
    <x v="0"/>
    <x v="0"/>
    <x v="0"/>
    <n v="4"/>
    <x v="1"/>
    <x v="1"/>
    <x v="2"/>
    <x v="1"/>
    <x v="1"/>
    <x v="1"/>
    <n v="3"/>
    <x v="2"/>
    <x v="2"/>
    <x v="2"/>
    <x v="2"/>
    <x v="2"/>
    <n v="0"/>
    <x v="2"/>
    <x v="1"/>
    <m/>
    <s v="Local government(s)"/>
    <m/>
    <m/>
    <x v="3"/>
    <m/>
    <m/>
    <m/>
    <m/>
    <m/>
    <s v="Outreach services and community screening is important for early detection and treatment of Malnutrition"/>
    <m/>
    <m/>
    <m/>
    <s v="CARE South Sudan FY17 Grants Tracker, Project proposal,"/>
    <n v="61492"/>
    <n v="307460"/>
    <n v="5"/>
    <n v="0.54015156443114554"/>
    <n v="0.54015156443114554"/>
    <n v="33215"/>
    <n v="166075"/>
    <n v="1"/>
    <n v="61492"/>
    <n v="307460"/>
    <n v="5"/>
    <n v="1"/>
    <n v="61492"/>
    <n v="0"/>
    <n v="0"/>
    <s v=""/>
    <n v="0"/>
    <n v="0"/>
    <s v=""/>
    <s v=""/>
    <n v="0"/>
    <n v="0"/>
    <s v=""/>
    <s v=""/>
    <n v="0"/>
    <n v="0"/>
    <s v=""/>
    <s v="2. Sensitive"/>
    <s v="2. Accommodating"/>
    <s v="0. Harmful"/>
    <s v="It did not develop any specific innovation"/>
    <n v="0"/>
    <s v="It took tested solutions to scale on its own"/>
  </r>
  <r>
    <x v="68"/>
    <x v="0"/>
    <m/>
    <s v="Community governance programe (Enhancing Community Participation in Local Governance in Sri Lanka- SPACE)"/>
    <s v="Sri Lanka"/>
    <s v="CARE Fund Code: OAKFLK0004_x000a_Chrysalis Cost Center: 350 PID:0001"/>
    <s v="CARE USA"/>
    <s v="Foundation"/>
    <s v="Other"/>
    <s v="OAK Foundation"/>
    <m/>
    <m/>
    <m/>
    <m/>
    <m/>
    <m/>
    <m/>
    <m/>
    <m/>
    <m/>
    <m/>
    <m/>
    <m/>
    <m/>
    <m/>
    <m/>
    <m/>
    <m/>
    <m/>
    <m/>
    <m/>
    <m/>
    <m/>
    <m/>
    <m/>
    <m/>
    <m/>
    <m/>
    <m/>
    <m/>
    <m/>
    <m/>
    <m/>
    <m/>
    <m/>
    <m/>
    <m/>
    <m/>
    <m/>
    <m/>
    <m/>
    <m/>
    <m/>
    <m/>
    <m/>
    <d v="2015-06-01T00:00:00"/>
    <d v="2017-11-30T00:00:00"/>
    <d v="2018-05-31T00:00:00"/>
    <s v="Development Other"/>
    <n v="1103314"/>
    <s v="Dayal Perera"/>
    <s v="Project Manager"/>
    <s v="dayal.perera@chrysaliscatalyz.com"/>
    <s v="Ahamed Rislan"/>
    <s v="Head of Department - Development Services"/>
    <s v="ahamed.rislan@chrysaliscatalyz.com"/>
    <s v="NO"/>
    <s v="YES"/>
    <s v="NO"/>
    <s v="Goal is to empower marginalized communities, especially the poorest women and youth in Sri Lanka, to actively engage in governance; to determine their development priorities; and define solutions, plan and execute such plans in order to address their needs and entitlements."/>
    <s v="National"/>
    <s v="Nuwara Eliya and Kandy Districts in Central Province, Badulla District in Uva Province, Mullaitivu District from Northern Province and Batticloa District from Eastern Province of Sri Lanka."/>
    <s v="Marginalized communities, especially the poorest women and youth in Sri Lanka."/>
    <n v="2550"/>
    <n v="2450"/>
    <n v="5000"/>
    <n v="160827"/>
    <n v="107253"/>
    <n v="268080"/>
    <s v="Direct participants: Who: Praja Mandala members. How calculated: Target Praja Mandalas to form were 200. Per Praja Mandals, 25 members on average is estimated. Women and youth precentages for overall Sri Lanka is 51% and 15% respectively. Same ratios were used to calculate above categories._x000a_Indirect participants: Who: Family members of the Praja Mandala members, Other villagers in a Grama Nilashari division where a Praja Mandala is formed. How calcualted: 200 Grama Niladhari divisions where 200 Praja Mandala will be formed. Entire village will benefit (it includes family members of Praja Mandala members). However, this project has an advocacy component, which will eventually benefit for all the Sri Lankans as well."/>
    <m/>
    <m/>
    <m/>
    <m/>
    <m/>
    <m/>
    <m/>
    <m/>
    <m/>
    <m/>
    <m/>
    <m/>
    <m/>
    <m/>
    <m/>
    <m/>
    <m/>
    <m/>
    <m/>
    <m/>
    <m/>
    <m/>
    <m/>
    <m/>
    <m/>
    <m/>
    <m/>
    <m/>
    <m/>
    <m/>
    <m/>
    <m/>
    <m/>
    <m/>
    <m/>
    <m/>
    <m/>
    <m/>
    <m/>
    <m/>
    <m/>
    <m/>
    <m/>
    <m/>
    <m/>
    <m/>
    <m/>
    <m/>
    <m/>
    <m/>
    <m/>
    <m/>
    <m/>
    <m/>
    <m/>
    <m/>
    <m/>
    <m/>
    <m/>
    <m/>
    <n v="5411"/>
    <n v="5654"/>
    <n v="11065"/>
    <n v="160827"/>
    <n v="107253"/>
    <n v="268080"/>
    <s v="NO"/>
    <m/>
    <m/>
    <m/>
    <s v="NO"/>
    <m/>
    <m/>
    <m/>
    <s v="NO"/>
    <m/>
    <m/>
    <m/>
    <s v="NO"/>
    <m/>
    <m/>
    <m/>
    <s v="NO"/>
    <m/>
    <m/>
    <m/>
    <s v="NO"/>
    <m/>
    <m/>
    <m/>
    <s v="NO"/>
    <m/>
    <m/>
    <m/>
    <s v="NO"/>
    <m/>
    <m/>
    <m/>
    <s v="NO"/>
    <m/>
    <m/>
    <m/>
    <s v="NO"/>
    <m/>
    <m/>
    <m/>
    <s v="NO"/>
    <m/>
    <m/>
    <m/>
    <s v="NO"/>
    <m/>
    <m/>
    <m/>
    <s v="YES"/>
    <n v="11065"/>
    <n v="0.48899999999999999"/>
    <m/>
    <s v="NO"/>
    <m/>
    <m/>
    <m/>
    <s v="NO"/>
    <m/>
    <m/>
    <m/>
    <s v="NO"/>
    <m/>
    <m/>
    <m/>
    <m/>
    <m/>
    <m/>
    <m/>
    <m/>
    <s v="NO"/>
    <m/>
    <m/>
    <m/>
    <s v="YES"/>
    <s v="March"/>
    <n v="2018"/>
    <s v="Baseline had been conducted in May 2016. The project ends in May 2018 therefore, the evaluation will take place in March 2018."/>
    <x v="1"/>
    <m/>
    <m/>
    <m/>
    <s v="YES"/>
    <s v="YES"/>
    <m/>
    <m/>
    <m/>
    <m/>
    <x v="2"/>
    <s v="By forming Praja Mandala, all the villagers and other informal organizations within a village can come together. Praja Mandala is the only recognized body under the local government set up in Sri Lanka._x000a_Capacity building trainings provided for the government officials enabled them to work jointly, to reduce conflicts, duplications."/>
    <x v="1"/>
    <s v="Working with the Ministry of Provincial Council and Local Government, working with Central, Uva, Northern and Eastern Provinces and 8 Pradeshiya Sabhas through Steering committees, Community Governance Platform. These alliances ensure project supports nationally led interventions, but makes it impactful and meaningful throguh continuous advocacy and facilitation."/>
    <x v="0"/>
    <x v="0"/>
    <s v="YES"/>
    <x v="0"/>
    <x v="0"/>
    <x v="0"/>
    <x v="0"/>
    <n v="4"/>
    <x v="1"/>
    <x v="1"/>
    <x v="1"/>
    <x v="1"/>
    <x v="1"/>
    <x v="1"/>
    <n v="4"/>
    <x v="1"/>
    <x v="1"/>
    <x v="1"/>
    <x v="0"/>
    <x v="3"/>
    <n v="2"/>
    <x v="2"/>
    <x v="0"/>
    <n v="1"/>
    <s v="Local government(s)"/>
    <s v="Local alliance(s)/Platform(s)/Network(s) of  NGOs/CSOs"/>
    <s v="Grassroots organization(s)"/>
    <x v="0"/>
    <s v="Establish 301 Community Governance Models (CGMs) in targeted locations._x000a_Institutionalize and strengthening CGMs by improving skills and capacities of selected community members._x000a_Advocate the government to pass Community Governance Policy Framework for Sri Lanka."/>
    <m/>
    <s v="Working with and through diverse partners; especially with the government sector institutions."/>
    <s v="Engaging communities to prioritize their development needs."/>
    <s v="Training local government and local administrative (both structures) enables the officials to work together for the common beneficiries."/>
    <s v="Working and coordinating with both local government authorities and the local administrative system is necessary for effective project implementation."/>
    <s v="It is important to consult with and ensure the participation of key stakeholders in planning sessions. This type of engagement gives them a sense of ownership and commitment."/>
    <s v="Maintaining uniform approach across the four provinces, yet also to recognize that each province has its own unique characteristics. Therefore, there must be room for flexibility to adapt to situational requirements while at the same time staying within the projects broad guidelines."/>
    <s v="The implementation of the SPACE project was transferred to Chrysalis at the time of CARE Sri Lanka's transition in 2016"/>
    <m/>
    <n v="11065"/>
    <n v="268080"/>
    <n v="24.227745142340712"/>
    <n v="0.48901943063714415"/>
    <n v="0.59992166517457479"/>
    <n v="5411"/>
    <n v="160827"/>
    <s v=""/>
    <n v="0"/>
    <n v="0"/>
    <s v=""/>
    <s v=""/>
    <n v="0"/>
    <n v="0"/>
    <s v=""/>
    <s v=""/>
    <n v="0"/>
    <n v="0"/>
    <s v=""/>
    <s v=""/>
    <n v="0"/>
    <n v="0"/>
    <s v=""/>
    <s v=""/>
    <n v="0"/>
    <n v="0"/>
    <s v=""/>
    <s v="2. Sensitive"/>
    <s v="2. Accommodating"/>
    <s v="1. Neutral"/>
    <s v="It tested new ways for fighting poverty and measured results of innovation"/>
    <s v="Moderate advocacy"/>
    <s v="It linked and worked with strategic alliances and partners to take tested and effective solutions to scale"/>
  </r>
  <r>
    <x v="68"/>
    <x v="0"/>
    <m/>
    <s v="Community governance programe (Redrawing the Margins- Rtm)"/>
    <s v="Sri Lanka"/>
    <s v="CARE Fund Code:LK4692/ DE672_x000a_Chrysalis Cost Center: 350 PID: 0002"/>
    <s v="CARE Deutschland-Luxemburg"/>
    <s v="Multilateral agency"/>
    <s v="EU - European Union (other than ECHO)"/>
    <s v="EU"/>
    <m/>
    <m/>
    <m/>
    <m/>
    <m/>
    <m/>
    <m/>
    <m/>
    <m/>
    <m/>
    <m/>
    <m/>
    <m/>
    <m/>
    <m/>
    <m/>
    <m/>
    <m/>
    <m/>
    <m/>
    <m/>
    <m/>
    <m/>
    <m/>
    <m/>
    <m/>
    <m/>
    <m/>
    <m/>
    <m/>
    <m/>
    <m/>
    <m/>
    <m/>
    <m/>
    <m/>
    <m/>
    <m/>
    <m/>
    <m/>
    <m/>
    <m/>
    <m/>
    <m/>
    <m/>
    <d v="2015-12-30T00:00:00"/>
    <d v="2018-12-31T00:00:00"/>
    <m/>
    <s v="Development Other"/>
    <n v="800000"/>
    <s v="Susima Nandasiri"/>
    <s v="Project Manager"/>
    <s v="susima.nandasiri@chrysaliscatalyz.com"/>
    <s v="Ahamed Rislan"/>
    <s v="Head of Department - Development Services"/>
    <s v="ahamed.rislan@chrysaliscatalyz.com"/>
    <s v="NO"/>
    <s v="YES"/>
    <s v="NO"/>
    <s v="To promote the rights and entitlements of citizens living and working in the tea plantations of the Central and Uva Provinces of Sri Lanka."/>
    <s v="National"/>
    <s v="Kandy, Matale, Nuwaraeliya Districts of Central province and Badulla and Monaragala districts of the Uva province in Sri Lanka."/>
    <s v="People living and working in tea plantations and people living in Sinhalese villages in the targeted areas in Sri Lanka."/>
    <n v="1275"/>
    <n v="1225"/>
    <n v="2500"/>
    <n v="1992109"/>
    <n v="1845911"/>
    <n v="3838020"/>
    <s v="Direct participants: Who: Praja Mandala members. How calculated: Target Praja Mandalas to form were 100. Per Praja Mandals, 25 members on average is estimated. Women and youth precentages for overall Sri Lanka is 51% and 15% respectively. Same ratios were used to calculate above categories._x000a_Indirect participants: Who: Population of Central and Uva provinces. (Women in Central and Uva Provinces). This project has an main activity as an advocacy component to bring forth a women' policy at provincial level. It will eventually benefit all the people in Central Province and Uva Province._x000a_Family members of the Praja Mandala members, Other villagers in a Grama Nilashari division where a Praja Mandala is formed. How calcualted: 200 Grama Niladhari divisions where 200 Praja Mandala will be formed. Entire village will benefit (it includes family members of Praja Manda) However when above intervention covers total population of the province, this is avoided to avoid double counting."/>
    <m/>
    <m/>
    <m/>
    <m/>
    <m/>
    <m/>
    <m/>
    <m/>
    <m/>
    <m/>
    <m/>
    <m/>
    <m/>
    <m/>
    <m/>
    <m/>
    <m/>
    <m/>
    <m/>
    <m/>
    <m/>
    <m/>
    <m/>
    <m/>
    <m/>
    <m/>
    <m/>
    <m/>
    <m/>
    <m/>
    <m/>
    <m/>
    <m/>
    <m/>
    <m/>
    <m/>
    <m/>
    <m/>
    <m/>
    <m/>
    <m/>
    <m/>
    <m/>
    <m/>
    <m/>
    <m/>
    <m/>
    <m/>
    <m/>
    <m/>
    <m/>
    <m/>
    <m/>
    <m/>
    <m/>
    <m/>
    <m/>
    <m/>
    <m/>
    <m/>
    <n v="2677"/>
    <n v="2376"/>
    <n v="5053"/>
    <n v="8031"/>
    <n v="7128"/>
    <n v="15159"/>
    <s v="NO"/>
    <m/>
    <m/>
    <m/>
    <s v="NO"/>
    <m/>
    <m/>
    <m/>
    <s v="NO"/>
    <m/>
    <m/>
    <m/>
    <s v="NO"/>
    <m/>
    <m/>
    <m/>
    <s v="NO"/>
    <m/>
    <m/>
    <m/>
    <s v="NO"/>
    <m/>
    <m/>
    <m/>
    <s v="NO"/>
    <m/>
    <m/>
    <m/>
    <s v="NO"/>
    <m/>
    <m/>
    <m/>
    <s v="NO"/>
    <m/>
    <m/>
    <m/>
    <s v="NO"/>
    <m/>
    <m/>
    <m/>
    <s v="NO"/>
    <m/>
    <m/>
    <m/>
    <s v="NO"/>
    <m/>
    <m/>
    <m/>
    <s v="YES"/>
    <n v="5053"/>
    <n v="0.52900000000000003"/>
    <m/>
    <s v="NO"/>
    <m/>
    <m/>
    <m/>
    <s v="NO"/>
    <m/>
    <m/>
    <m/>
    <s v="NO"/>
    <m/>
    <m/>
    <m/>
    <m/>
    <m/>
    <m/>
    <m/>
    <m/>
    <s v="NO"/>
    <m/>
    <m/>
    <m/>
    <s v="NO"/>
    <m/>
    <m/>
    <s v="Baseline had been conducted in May 2016. The project ends in December 2018 therefore, the evaluation will take place in December 2018."/>
    <x v="1"/>
    <s v="YES"/>
    <m/>
    <m/>
    <s v="YES"/>
    <s v="YES"/>
    <m/>
    <m/>
    <m/>
    <m/>
    <x v="2"/>
    <s v="Availability of a women's policy for a province will  give proper attention to women's issues in the province and the legal set up it enables will be supprtive for the people._x000a_By forming Praja Mandala, all the villagers and other informal organizations within a village can come together. Praja Mandala is the only recognized body under the local government set up in Sri Lanka._x000a_Capacity building trainings provided for the government officials enabled them to work jointly, to reduce conflicts, duplications."/>
    <x v="1"/>
    <s v="Working with the Ministry of Provincial Council and Local Government, working with Central, and Uva Provinces and 25 Pradeshiya Sabhas through Steering committees, Community Governance Platform. These alliances ensure project supports nationally led interventions, but makes it impactful and meaningful throguh continuous advocacy and facilitation."/>
    <x v="1"/>
    <x v="0"/>
    <s v="YES"/>
    <x v="0"/>
    <x v="0"/>
    <x v="0"/>
    <x v="0"/>
    <n v="4"/>
    <x v="1"/>
    <x v="1"/>
    <x v="1"/>
    <x v="1"/>
    <x v="1"/>
    <x v="1"/>
    <n v="4"/>
    <x v="1"/>
    <x v="1"/>
    <x v="1"/>
    <x v="0"/>
    <x v="3"/>
    <n v="2"/>
    <x v="2"/>
    <x v="3"/>
    <n v="2"/>
    <s v="Local government(s)"/>
    <s v="Local alliance(s)/Platform(s)/Network(s) of  NGOs/CSOs"/>
    <s v="Grassroots organization(s)"/>
    <x v="0"/>
    <s v="Advocate the government to bring forth Provincial women's policy (Central &amp; Uva provinces) in Sri Lanka._x000a_Establish 100 Community Governance Models (CGMs) in targeted locations._x000a_Facilitate to promote national language policy and thereby provide bi-lingual service provision."/>
    <m/>
    <s v="Working with and through diverse partners; especially with the government sector institutions."/>
    <s v="Continuous mobilization done through the government officers, not project staff serves for dual purpose; it makes mandated government officials to work in coordination, work effectively and efficiently."/>
    <s v="Project's objective to bring forth provincial women's policy will address provincial characteristics and requirments of Central and Uva provinces' women."/>
    <s v="Working and coordinating with both local government authorities and the local administrative system is necessary for effective project implementation."/>
    <s v="It is important to consult with and ensure the participation of key stakeholders in planning sessions. This type of engagement gives them a sense of ownership and commitment."/>
    <s v="Frequent discussions with the 2 implementation partners who are also government bodies is important to ensure smooth operation."/>
    <s v="The implementation of the RTM project was transferred to Chrysalis at the time of CARE Sri Lanka's transition in 2016"/>
    <m/>
    <n v="5053"/>
    <n v="15159"/>
    <n v="3"/>
    <n v="0.52978428656243814"/>
    <n v="0.52978428656243814"/>
    <n v="2677"/>
    <n v="8031"/>
    <s v=""/>
    <n v="0"/>
    <n v="0"/>
    <s v=""/>
    <s v=""/>
    <n v="0"/>
    <n v="0"/>
    <s v=""/>
    <s v=""/>
    <n v="0"/>
    <n v="0"/>
    <s v=""/>
    <s v=""/>
    <n v="0"/>
    <n v="0"/>
    <s v=""/>
    <s v=""/>
    <n v="0"/>
    <n v="0"/>
    <s v=""/>
    <s v="2. Sensitive"/>
    <s v="2. Accommodating"/>
    <s v="1. Neutral"/>
    <s v="It tested new ways for fighting poverty and measured results of innovation"/>
    <s v="Moderate advocacy"/>
    <s v="It linked and worked with strategic alliances and partners to take tested and effective solutions to scale"/>
  </r>
  <r>
    <x v="68"/>
    <x v="0"/>
    <m/>
    <s v="Lasting Change Fund - Investing in womens economic empowerment a catalyst for positive change!"/>
    <s v="Sri Lanka"/>
    <s v="CARE NL Fund Code: NL798_x000a_Chrysalis Cost Center: 250 PID:0001"/>
    <s v="CARE Nederland"/>
    <s v="Foundation"/>
    <s v="Other"/>
    <s v="H&amp;M Conscious Foundation"/>
    <m/>
    <m/>
    <m/>
    <m/>
    <m/>
    <m/>
    <m/>
    <m/>
    <m/>
    <m/>
    <m/>
    <m/>
    <m/>
    <m/>
    <m/>
    <m/>
    <m/>
    <m/>
    <m/>
    <m/>
    <m/>
    <m/>
    <m/>
    <m/>
    <m/>
    <m/>
    <m/>
    <m/>
    <m/>
    <m/>
    <m/>
    <m/>
    <m/>
    <m/>
    <m/>
    <m/>
    <m/>
    <m/>
    <m/>
    <m/>
    <m/>
    <m/>
    <m/>
    <m/>
    <m/>
    <d v="2016-11-01T00:00:00"/>
    <d v="2017-03-31T00:00:00"/>
    <d v="2017-04-30T00:00:00"/>
    <s v="Development Access to and Control over Economic Resources"/>
    <n v="177000"/>
    <s v="Lahari de Alwis - Head of Business Services"/>
    <m/>
    <m/>
    <m/>
    <m/>
    <m/>
    <s v="NO"/>
    <s v="YES"/>
    <s v="NO"/>
    <s v="To fund business initiatives of formal women groups, co-operatives, associations and individual female entrepreneurs from low-income communities to make their business start-up or business growth a reality."/>
    <s v="Regional"/>
    <s v="Country: Sri Lanka. Province: North. Districts: Mullaithivu, Killinochchi, Vavuniya, Jaffna."/>
    <s v="Formal women groups_x000a_- Co-operatives_x000a_- Associations_x000a_- Individual female entrepreneurs that want to scale up an existing small enterprise"/>
    <n v="13"/>
    <n v="0"/>
    <n v="13"/>
    <n v="200"/>
    <n v="0"/>
    <n v="200"/>
    <s v="Direct participants are who received the funding as entrepreneurs. Indirect participants are who received employment."/>
    <m/>
    <m/>
    <m/>
    <m/>
    <m/>
    <m/>
    <m/>
    <m/>
    <m/>
    <m/>
    <m/>
    <m/>
    <m/>
    <m/>
    <m/>
    <m/>
    <m/>
    <m/>
    <m/>
    <m/>
    <m/>
    <m/>
    <m/>
    <m/>
    <m/>
    <m/>
    <m/>
    <m/>
    <m/>
    <m/>
    <m/>
    <m/>
    <m/>
    <m/>
    <m/>
    <m/>
    <m/>
    <m/>
    <m/>
    <m/>
    <m/>
    <m/>
    <m/>
    <m/>
    <m/>
    <m/>
    <m/>
    <m/>
    <m/>
    <m/>
    <m/>
    <m/>
    <m/>
    <m/>
    <m/>
    <m/>
    <m/>
    <m/>
    <m/>
    <m/>
    <n v="13"/>
    <n v="0"/>
    <n v="13"/>
    <n v="200"/>
    <n v="0"/>
    <n v="200"/>
    <m/>
    <m/>
    <m/>
    <m/>
    <m/>
    <m/>
    <m/>
    <m/>
    <m/>
    <m/>
    <m/>
    <m/>
    <m/>
    <m/>
    <m/>
    <m/>
    <m/>
    <m/>
    <m/>
    <m/>
    <m/>
    <m/>
    <m/>
    <m/>
    <m/>
    <m/>
    <m/>
    <m/>
    <m/>
    <m/>
    <m/>
    <m/>
    <m/>
    <m/>
    <m/>
    <m/>
    <m/>
    <m/>
    <m/>
    <m/>
    <m/>
    <m/>
    <m/>
    <m/>
    <m/>
    <m/>
    <m/>
    <m/>
    <m/>
    <m/>
    <m/>
    <m/>
    <m/>
    <m/>
    <m/>
    <m/>
    <m/>
    <m/>
    <m/>
    <m/>
    <s v="YES"/>
    <n v="13"/>
    <n v="1"/>
    <n v="200"/>
    <m/>
    <m/>
    <m/>
    <m/>
    <m/>
    <s v="NO"/>
    <m/>
    <m/>
    <m/>
    <s v="YES"/>
    <s v="December"/>
    <n v="2017"/>
    <s v="Gap Analysis - Format Enclosed."/>
    <x v="0"/>
    <m/>
    <m/>
    <m/>
    <m/>
    <m/>
    <m/>
    <m/>
    <m/>
    <m/>
    <x v="0"/>
    <m/>
    <x v="0"/>
    <m/>
    <x v="0"/>
    <x v="0"/>
    <s v="YES"/>
    <x v="0"/>
    <x v="0"/>
    <x v="0"/>
    <x v="0"/>
    <n v="4"/>
    <x v="1"/>
    <x v="1"/>
    <x v="1"/>
    <x v="1"/>
    <x v="1"/>
    <x v="1"/>
    <n v="4"/>
    <x v="1"/>
    <x v="1"/>
    <x v="1"/>
    <x v="1"/>
    <x v="1"/>
    <n v="3"/>
    <x v="0"/>
    <x v="2"/>
    <n v="14"/>
    <s v="Grassroots organization(s)"/>
    <m/>
    <m/>
    <x v="2"/>
    <s v="Female entrepreneurs were able to show that the scale up of their enterprise leads to increased income and empowerment, and/or the creation of more jobs for women.  "/>
    <m/>
    <s v="Building Women Entrepreneurs' Capacity"/>
    <s v="Providing Market Links"/>
    <s v="Setting Standards and Introducing Systems"/>
    <s v="Empathy and understanding entrepreneurs' difficulties in learning to plan coaching strategies help to bring sustainability."/>
    <s v="Coaching should be continuous, preferably one 4 hour session per day/week, give them home work and schedule the next session once they have completed the assignment in order to be productive."/>
    <s v="Encouraging the beneficiaries to share their experiences and using their strengths to educate their colleagues by us guiding the process double the results."/>
    <s v="A foundation of life skills such as Communication and Interpersonal Skills, Decision-Making and Critical Thinking Skills and Coping and Self-Management Skills was laid to the beneficiaries."/>
    <s v="One proposal out of 13 submitted and progress report are enclosed."/>
    <n v="13"/>
    <n v="200"/>
    <n v="15.384615384615385"/>
    <n v="1"/>
    <n v="1"/>
    <n v="13"/>
    <n v="200"/>
    <s v=""/>
    <n v="0"/>
    <n v="0"/>
    <s v=""/>
    <s v=""/>
    <n v="0"/>
    <n v="0"/>
    <s v=""/>
    <s v=""/>
    <n v="0"/>
    <n v="0"/>
    <s v=""/>
    <s v=""/>
    <n v="0"/>
    <n v="0"/>
    <s v=""/>
    <n v="1"/>
    <n v="13"/>
    <n v="200"/>
    <n v="15.384615384615385"/>
    <s v="2. Sensitive"/>
    <s v="2. Accommodating"/>
    <s v="2. Sensitive"/>
    <s v="It did not develop any specific innovation"/>
    <s v="Little or no advocacy"/>
    <s v="It did not take tested solutions to scale"/>
  </r>
  <r>
    <x v="68"/>
    <x v="0"/>
    <m/>
    <s v="Network, Engage &amp; Transform (The NET Project)"/>
    <s v="Sri Lanka"/>
    <s v="EuropeAid/136-547/L/ACT/LK"/>
    <s v="Chrysalis (Sri Lanka)"/>
    <s v="Multilateral agency"/>
    <s v="EU - European Union (other than ECHO)"/>
    <s v="EU"/>
    <m/>
    <m/>
    <m/>
    <m/>
    <m/>
    <m/>
    <m/>
    <m/>
    <m/>
    <m/>
    <m/>
    <m/>
    <m/>
    <m/>
    <m/>
    <m/>
    <m/>
    <m/>
    <m/>
    <m/>
    <m/>
    <m/>
    <m/>
    <m/>
    <m/>
    <m/>
    <m/>
    <m/>
    <m/>
    <m/>
    <m/>
    <m/>
    <m/>
    <m/>
    <m/>
    <m/>
    <m/>
    <m/>
    <m/>
    <m/>
    <m/>
    <m/>
    <m/>
    <m/>
    <m/>
    <d v="2016-01-02T00:00:00"/>
    <d v="2018-01-31T00:00:00"/>
    <d v="2018-04-30T00:00:00"/>
    <s v="Development A Life Free From Violence (GBV)"/>
    <n v="523483.92"/>
    <s v="Ahamed Rislan"/>
    <s v="Head of Development Services"/>
    <s v="ahamed.rislan@chrysaliscatalyz.com"/>
    <s v="Nadarajah Thayaharan"/>
    <s v="Project Manager"/>
    <s v="nadarajah.thayaharan@chrysaliscatalyz.com"/>
    <s v="NO"/>
    <s v="YES"/>
    <s v="NO"/>
    <s v="To promote the voice and meaningful political representation of women in Northern Sri Lanka to prevent and address Sexual and Gender based Violence (SGBV)"/>
    <s v="Sub-National"/>
    <s v="Northern Province of Sri Lanka"/>
    <s v="Men and Women"/>
    <n v="420"/>
    <n v="210"/>
    <n v="630"/>
    <n v="78205"/>
    <m/>
    <n v="78205"/>
    <s v="Direct Beneficiaries: 420 women and 210 men_x000a_Indirect Beneficiaries: 78,205 women from the district of Mullaithivu and Kilinochchi"/>
    <m/>
    <m/>
    <m/>
    <m/>
    <m/>
    <m/>
    <m/>
    <m/>
    <m/>
    <m/>
    <m/>
    <m/>
    <m/>
    <m/>
    <m/>
    <m/>
    <m/>
    <m/>
    <m/>
    <m/>
    <m/>
    <m/>
    <m/>
    <m/>
    <m/>
    <m/>
    <m/>
    <m/>
    <m/>
    <m/>
    <m/>
    <m/>
    <m/>
    <m/>
    <m/>
    <m/>
    <m/>
    <m/>
    <m/>
    <m/>
    <m/>
    <m/>
    <m/>
    <m/>
    <m/>
    <m/>
    <m/>
    <m/>
    <m/>
    <m/>
    <m/>
    <m/>
    <m/>
    <m/>
    <m/>
    <m/>
    <m/>
    <m/>
    <m/>
    <m/>
    <n v="420"/>
    <n v="210"/>
    <n v="630"/>
    <n v="40000"/>
    <m/>
    <n v="40000"/>
    <m/>
    <m/>
    <m/>
    <m/>
    <m/>
    <m/>
    <m/>
    <m/>
    <m/>
    <m/>
    <m/>
    <m/>
    <m/>
    <m/>
    <m/>
    <m/>
    <m/>
    <m/>
    <m/>
    <m/>
    <m/>
    <m/>
    <m/>
    <m/>
    <m/>
    <m/>
    <m/>
    <m/>
    <s v="YES"/>
    <m/>
    <m/>
    <m/>
    <s v="YES"/>
    <m/>
    <m/>
    <m/>
    <m/>
    <m/>
    <m/>
    <m/>
    <m/>
    <m/>
    <m/>
    <m/>
    <m/>
    <m/>
    <m/>
    <m/>
    <s v="YES"/>
    <m/>
    <m/>
    <m/>
    <m/>
    <m/>
    <m/>
    <m/>
    <m/>
    <m/>
    <m/>
    <m/>
    <m/>
    <m/>
    <m/>
    <m/>
    <s v="Women Political Participation"/>
    <s v="YES"/>
    <m/>
    <m/>
    <m/>
    <s v="NO"/>
    <m/>
    <m/>
    <s v="NO"/>
    <s v="YES"/>
    <s v="September"/>
    <n v="2017"/>
    <s v="Since the baseline survey was not conducted at the beginning in September a basline survey will be conducted in a retrospective manner. Towards the end of the project there will be an endline survey to be done."/>
    <x v="1"/>
    <s v="NO"/>
    <s v="NO"/>
    <s v="YES"/>
    <s v="YES"/>
    <s v="NO"/>
    <s v="NO"/>
    <s v="YES"/>
    <m/>
    <m/>
    <x v="0"/>
    <m/>
    <x v="0"/>
    <m/>
    <x v="2"/>
    <x v="1"/>
    <s v="YES"/>
    <x v="0"/>
    <x v="0"/>
    <x v="1"/>
    <x v="4"/>
    <n v="3"/>
    <x v="2"/>
    <x v="1"/>
    <x v="2"/>
    <x v="1"/>
    <x v="1"/>
    <x v="5"/>
    <n v="3"/>
    <x v="0"/>
    <x v="0"/>
    <x v="0"/>
    <x v="0"/>
    <x v="0"/>
    <n v="0"/>
    <x v="2"/>
    <x v="3"/>
    <n v="2"/>
    <s v="Grassroots organization(s)"/>
    <s v="Local NGO(s)/CSO(s)"/>
    <s v="Local government(s)"/>
    <x v="2"/>
    <s v="~ Training and capacity building of civil society organizations at the grassroot level on GBV, Gender equality and election reforms_x000a_~ Support them implement grassroot level initiatives (campaign, advocacy and training) on GBV and Gender equality"/>
    <s v="~ 120 women have shown interest to lead initiatives on GBV, and Gender Equality_x000a_~ 15 women leaders have come forward to contest in the upcoming local government election_x000a_~ More than 20 opportunities created to increase relationship with civil society organizations and local level government structures"/>
    <s v="~ Engaging men to support the program on GBV and to promote women in politics"/>
    <s v="~ Formation of women support groups/core groups with the leadership of key women leaders"/>
    <s v="~ Familiarizing women with latest change in the elections system, national and international commitments on GBV and Right to information Act"/>
    <s v="~ Women have proven that their social/economic/educational background is not relevant to be a leader in the community"/>
    <s v="~ The action has found that there is a greater link between women political participation and ensuring gender equality"/>
    <s v="~ One of the key challenges is changing social norms on women political participation"/>
    <s v="The implementation of the NET project was transferred to Chrysalis at the time of CARE Sri Lanka's transition in 2016"/>
    <m/>
    <n v="630"/>
    <n v="40000"/>
    <n v="63.492063492063494"/>
    <n v="0.66666666666666663"/>
    <n v="1"/>
    <n v="420"/>
    <n v="40000"/>
    <s v=""/>
    <n v="0"/>
    <n v="0"/>
    <s v=""/>
    <s v=""/>
    <n v="0"/>
    <n v="0"/>
    <s v=""/>
    <s v=""/>
    <n v="0"/>
    <n v="0"/>
    <s v=""/>
    <n v="1"/>
    <n v="0"/>
    <n v="0"/>
    <s v=""/>
    <s v=""/>
    <n v="0"/>
    <n v="0"/>
    <s v=""/>
    <s v="3. Responsive"/>
    <s v="3. Responsive"/>
    <s v="No marker score"/>
    <s v="It did not develop any specific innovation"/>
    <s v="Moderate advocacy"/>
    <s v="It did not take tested solutions to scale"/>
  </r>
  <r>
    <x v="68"/>
    <x v="0"/>
    <m/>
    <s v="PACE in the Community Phase One"/>
    <s v="Sri Lanka"/>
    <s v="Chrysalis Cost Center: 250_x000a_Chrysalis Project ID: 0003"/>
    <s v="CARE USA"/>
    <s v="Other"/>
    <s v="Other"/>
    <s v="GAP Inc."/>
    <m/>
    <m/>
    <m/>
    <m/>
    <m/>
    <m/>
    <m/>
    <m/>
    <m/>
    <m/>
    <m/>
    <m/>
    <m/>
    <m/>
    <m/>
    <m/>
    <m/>
    <m/>
    <m/>
    <m/>
    <m/>
    <m/>
    <m/>
    <m/>
    <m/>
    <m/>
    <m/>
    <m/>
    <m/>
    <m/>
    <m/>
    <m/>
    <m/>
    <m/>
    <m/>
    <m/>
    <m/>
    <m/>
    <m/>
    <m/>
    <m/>
    <m/>
    <m/>
    <m/>
    <m/>
    <d v="2016-01-01T00:00:00"/>
    <d v="2016-12-31T00:00:00"/>
    <d v="2017-02-28T00:00:00"/>
    <s v="Development Other"/>
    <n v="58518"/>
    <s v="Lahari de Alwis"/>
    <s v="Head of Business Services"/>
    <s v="Lahari.dealwis@chrysaliscatalyz.com"/>
    <m/>
    <m/>
    <m/>
    <s v="NO"/>
    <s v="YES"/>
    <s v="NO"/>
    <s v="To build the capabilities of women in the plantation industry and Vocational Training Institute by enhancing their_x000a_skills around communication, problem-solving and decision-making, time and stress management, and_x000a_WASH"/>
    <s v="Sub-National"/>
    <s v="selected 5 tea estates in Central province of Sri Lanka &amp; Vocational Training center in the Eastern Province"/>
    <s v="Female plantation workers  and trainees at Vocational Training Center"/>
    <n v="231"/>
    <m/>
    <n v="231"/>
    <n v="669"/>
    <m/>
    <n v="669"/>
    <s v="Direct participants - Directly project  trained female plantation workers; Indirect Participants- their family members are co workers."/>
    <m/>
    <m/>
    <m/>
    <m/>
    <m/>
    <m/>
    <m/>
    <m/>
    <m/>
    <m/>
    <m/>
    <m/>
    <m/>
    <m/>
    <m/>
    <m/>
    <m/>
    <m/>
    <m/>
    <m/>
    <m/>
    <m/>
    <m/>
    <m/>
    <m/>
    <m/>
    <m/>
    <m/>
    <m/>
    <m/>
    <m/>
    <m/>
    <m/>
    <m/>
    <m/>
    <m/>
    <m/>
    <m/>
    <m/>
    <m/>
    <m/>
    <m/>
    <m/>
    <m/>
    <m/>
    <m/>
    <m/>
    <m/>
    <m/>
    <m/>
    <m/>
    <m/>
    <m/>
    <m/>
    <m/>
    <m/>
    <m/>
    <m/>
    <m/>
    <m/>
    <m/>
    <m/>
    <m/>
    <m/>
    <m/>
    <m/>
    <m/>
    <m/>
    <m/>
    <m/>
    <m/>
    <m/>
    <m/>
    <m/>
    <m/>
    <m/>
    <m/>
    <m/>
    <m/>
    <m/>
    <m/>
    <m/>
    <m/>
    <m/>
    <m/>
    <m/>
    <m/>
    <m/>
    <m/>
    <m/>
    <m/>
    <m/>
    <m/>
    <m/>
    <m/>
    <m/>
    <m/>
    <m/>
    <m/>
    <m/>
    <m/>
    <m/>
    <m/>
    <m/>
    <m/>
    <m/>
    <m/>
    <m/>
    <m/>
    <m/>
    <m/>
    <m/>
    <m/>
    <m/>
    <m/>
    <m/>
    <m/>
    <m/>
    <m/>
    <m/>
    <m/>
    <m/>
    <m/>
    <m/>
    <m/>
    <m/>
    <m/>
    <m/>
    <m/>
    <m/>
    <m/>
    <m/>
    <m/>
    <m/>
    <m/>
    <s v="NO"/>
    <m/>
    <m/>
    <s v="NO"/>
    <s v="NO"/>
    <m/>
    <m/>
    <m/>
    <x v="0"/>
    <m/>
    <m/>
    <m/>
    <m/>
    <m/>
    <m/>
    <m/>
    <m/>
    <m/>
    <x v="0"/>
    <m/>
    <x v="0"/>
    <m/>
    <x v="0"/>
    <x v="0"/>
    <s v="YES"/>
    <x v="0"/>
    <x v="1"/>
    <x v="0"/>
    <x v="1"/>
    <n v="3"/>
    <x v="1"/>
    <x v="1"/>
    <x v="1"/>
    <x v="2"/>
    <x v="1"/>
    <x v="1"/>
    <n v="3"/>
    <x v="2"/>
    <x v="1"/>
    <x v="1"/>
    <x v="1"/>
    <x v="2"/>
    <n v="3"/>
    <x v="2"/>
    <x v="0"/>
    <m/>
    <s v="Other"/>
    <m/>
    <m/>
    <x v="1"/>
    <m/>
    <m/>
    <s v="Contributing to Strengthening Community development forums"/>
    <m/>
    <m/>
    <s v="The Project managed to successfully adapt the PACE training module to suit the platations context."/>
    <s v="Results of the training, as viewed by participants and management, was improved relations within families, co-workers and management, increase in hygiene practices, productivity and profitability."/>
    <s v="The trainings which were intended only for females was viewed as Gender biased and both males and females felt that the effectiveness of the program could be increased with the involvement of both parties."/>
    <s v="The implementation of the PACE I project was transferred to Chrysalis at the time of CARE Sri Lanka's transition in 2016"/>
    <s v="Project Final Report"/>
    <n v="0"/>
    <n v="0"/>
    <s v=""/>
    <s v=""/>
    <s v=""/>
    <n v="0"/>
    <n v="0"/>
    <s v=""/>
    <n v="0"/>
    <n v="0"/>
    <s v=""/>
    <s v=""/>
    <n v="0"/>
    <n v="0"/>
    <s v=""/>
    <s v=""/>
    <n v="0"/>
    <n v="0"/>
    <s v=""/>
    <s v=""/>
    <n v="0"/>
    <n v="0"/>
    <s v=""/>
    <s v=""/>
    <n v="0"/>
    <n v="0"/>
    <s v=""/>
    <s v="1. Neutral"/>
    <s v="2. Accommodating"/>
    <s v="0. Harmful"/>
    <s v="It did not develop any specific innovation"/>
    <s v="Little or no advocacy"/>
    <s v="It did not take tested solutions to scale"/>
  </r>
  <r>
    <x v="68"/>
    <x v="0"/>
    <m/>
    <s v="Personal Advancement and Career Enhancement in plantation community"/>
    <s v="Sri Lanka"/>
    <s v="Chrysalis Cost Center: 250_x000a_Chrysalis Project ID: 0005"/>
    <s v="CARE USA"/>
    <s v="Other"/>
    <s v="Other"/>
    <s v="GAP Inc."/>
    <m/>
    <m/>
    <m/>
    <m/>
    <m/>
    <m/>
    <m/>
    <m/>
    <m/>
    <m/>
    <m/>
    <m/>
    <m/>
    <m/>
    <m/>
    <m/>
    <m/>
    <m/>
    <m/>
    <m/>
    <m/>
    <m/>
    <m/>
    <m/>
    <m/>
    <m/>
    <m/>
    <m/>
    <m/>
    <m/>
    <m/>
    <m/>
    <m/>
    <m/>
    <m/>
    <m/>
    <m/>
    <m/>
    <m/>
    <m/>
    <m/>
    <m/>
    <m/>
    <m/>
    <m/>
    <d v="2017-02-01T00:00:00"/>
    <d v="2018-01-31T00:00:00"/>
    <m/>
    <s v="Development Other"/>
    <n v="152513.59"/>
    <s v="Lahari de Alwis"/>
    <s v="Head of Business Services"/>
    <s v="Lahari.dealwis@chrysaliscatalyz.com"/>
    <m/>
    <m/>
    <m/>
    <s v="NO"/>
    <s v="YES"/>
    <s v="NO"/>
    <s v="To build the capabilities of women in the plantation industry by enhancing their skills  around communication, problem-solving and decision-making, time and stress management and WASH"/>
    <s v="Sub-National"/>
    <s v="selected 20 tea estates in Central and Uva provinces of Sri Lanka"/>
    <s v="Female plantation workers"/>
    <n v="250"/>
    <m/>
    <n v="456"/>
    <n v="1975"/>
    <n v="635"/>
    <n v="2610"/>
    <s v="Direct participants - Directly project  trained female plantation workers; Indirect Participants- their family members are co workers."/>
    <m/>
    <m/>
    <m/>
    <m/>
    <m/>
    <m/>
    <m/>
    <m/>
    <m/>
    <m/>
    <m/>
    <m/>
    <m/>
    <m/>
    <m/>
    <m/>
    <m/>
    <m/>
    <m/>
    <m/>
    <m/>
    <m/>
    <m/>
    <m/>
    <m/>
    <m/>
    <m/>
    <m/>
    <m/>
    <m/>
    <m/>
    <m/>
    <m/>
    <m/>
    <m/>
    <m/>
    <m/>
    <m/>
    <m/>
    <m/>
    <m/>
    <m/>
    <m/>
    <m/>
    <m/>
    <m/>
    <m/>
    <m/>
    <m/>
    <m/>
    <m/>
    <m/>
    <m/>
    <m/>
    <m/>
    <m/>
    <m/>
    <m/>
    <m/>
    <m/>
    <m/>
    <m/>
    <m/>
    <m/>
    <m/>
    <m/>
    <m/>
    <m/>
    <m/>
    <m/>
    <m/>
    <m/>
    <m/>
    <m/>
    <m/>
    <m/>
    <m/>
    <m/>
    <m/>
    <m/>
    <m/>
    <m/>
    <m/>
    <m/>
    <m/>
    <m/>
    <m/>
    <m/>
    <m/>
    <m/>
    <m/>
    <m/>
    <m/>
    <m/>
    <m/>
    <m/>
    <m/>
    <m/>
    <m/>
    <m/>
    <m/>
    <m/>
    <m/>
    <m/>
    <m/>
    <m/>
    <m/>
    <m/>
    <m/>
    <m/>
    <m/>
    <m/>
    <m/>
    <m/>
    <m/>
    <m/>
    <m/>
    <m/>
    <m/>
    <m/>
    <m/>
    <m/>
    <m/>
    <m/>
    <m/>
    <m/>
    <m/>
    <m/>
    <m/>
    <m/>
    <m/>
    <m/>
    <m/>
    <m/>
    <m/>
    <s v="NO"/>
    <m/>
    <m/>
    <m/>
    <s v="YES"/>
    <s v="February"/>
    <n v="2018"/>
    <m/>
    <x v="0"/>
    <m/>
    <m/>
    <m/>
    <m/>
    <m/>
    <m/>
    <m/>
    <m/>
    <m/>
    <x v="0"/>
    <m/>
    <x v="0"/>
    <m/>
    <x v="0"/>
    <x v="0"/>
    <s v="YES"/>
    <x v="0"/>
    <x v="0"/>
    <x v="0"/>
    <x v="0"/>
    <n v="4"/>
    <x v="1"/>
    <x v="1"/>
    <x v="1"/>
    <x v="2"/>
    <x v="1"/>
    <x v="1"/>
    <n v="3"/>
    <x v="1"/>
    <x v="1"/>
    <x v="1"/>
    <x v="1"/>
    <x v="1"/>
    <n v="3"/>
    <x v="2"/>
    <x v="0"/>
    <m/>
    <s v="Private sector"/>
    <m/>
    <m/>
    <x v="1"/>
    <m/>
    <m/>
    <s v="Engaging stakeholder from the beginning"/>
    <m/>
    <m/>
    <s v="Engaging stakeholder from the beginning and maintaining their relationship is really necessary for smooth functioning of the project"/>
    <m/>
    <m/>
    <m/>
    <m/>
    <n v="0"/>
    <n v="0"/>
    <s v=""/>
    <s v=""/>
    <s v=""/>
    <n v="0"/>
    <n v="0"/>
    <s v=""/>
    <n v="0"/>
    <n v="0"/>
    <s v=""/>
    <s v=""/>
    <n v="0"/>
    <n v="0"/>
    <s v=""/>
    <s v=""/>
    <n v="0"/>
    <n v="0"/>
    <s v=""/>
    <s v=""/>
    <n v="0"/>
    <n v="0"/>
    <s v=""/>
    <s v=""/>
    <n v="0"/>
    <n v="0"/>
    <s v=""/>
    <s v="2. Sensitive"/>
    <s v="2. Accommodating"/>
    <s v="2. Sensitive"/>
    <s v="It did not develop any specific innovation"/>
    <s v="Little or no advocacy"/>
    <s v="It did not take tested solutions to scale"/>
  </r>
  <r>
    <x v="68"/>
    <x v="0"/>
    <m/>
    <s v="WEAVE  (Women Empowerment: Action, Voice and Enterprise)"/>
    <s v="Sri Lanka"/>
    <s v="CARE NL Fund Code: NL798 PID: CNLDLK0004_x000a_Chrysalis Cost Center: 250 PID:0002"/>
    <s v="CARE Nederland"/>
    <s v="Foundation"/>
    <s v="Other"/>
    <s v="H&amp;M Conscious Foundation"/>
    <m/>
    <m/>
    <m/>
    <m/>
    <m/>
    <m/>
    <m/>
    <m/>
    <m/>
    <m/>
    <m/>
    <m/>
    <m/>
    <m/>
    <m/>
    <m/>
    <m/>
    <m/>
    <m/>
    <m/>
    <m/>
    <m/>
    <m/>
    <m/>
    <m/>
    <m/>
    <m/>
    <m/>
    <m/>
    <m/>
    <m/>
    <m/>
    <m/>
    <m/>
    <m/>
    <m/>
    <m/>
    <m/>
    <m/>
    <m/>
    <m/>
    <m/>
    <m/>
    <m/>
    <m/>
    <d v="2014-11-01T00:00:00"/>
    <d v="2016-12-31T00:00:00"/>
    <d v="2017-03-31T00:00:00"/>
    <s v="Development Access to and Control over Economic Resources"/>
    <n v="53844.6"/>
    <s v="Lahari de Alwis"/>
    <s v="Head of Business Services"/>
    <s v="lahari.dealwis@chrysaliscatalyz.com"/>
    <m/>
    <m/>
    <m/>
    <s v="NO"/>
    <s v="YES"/>
    <s v="NO"/>
    <s v="1. To strengthen entrepreneurial capacities of 250 women  and enable the establishement of viable businesses of 25 women and  2. To enhance the capabilities of women to have greater control over decision making in Killinochchi and Mullaitivu Districts  "/>
    <s v="Regional"/>
    <s v="Nothern province of SriLanka with the special focus on Jaffna, Kilinochchi, Mullaithivu and Vavuniya Districts"/>
    <s v="The women targetted by the project are primarily women headed households who are socially and economically vulnerable. There are approximately 3200 women headed households in the proposed project locations. They are directly impacted by the last phase of Sri Lankas conflict, experienced several displacements and are currently resettling in the targetted locations."/>
    <n v="250"/>
    <n v="50"/>
    <n v="250"/>
    <n v="500"/>
    <n v="500"/>
    <n v="1000"/>
    <s v="War affected vulnerable women and their immediate family members are direct participants. Other members of the community are indirect participants. Numbers are taken from the base line survey done."/>
    <m/>
    <m/>
    <m/>
    <m/>
    <m/>
    <m/>
    <m/>
    <m/>
    <m/>
    <m/>
    <m/>
    <m/>
    <m/>
    <m/>
    <m/>
    <m/>
    <m/>
    <m/>
    <m/>
    <m/>
    <m/>
    <m/>
    <m/>
    <m/>
    <m/>
    <m/>
    <m/>
    <m/>
    <m/>
    <m/>
    <m/>
    <m/>
    <m/>
    <m/>
    <m/>
    <m/>
    <m/>
    <m/>
    <m/>
    <m/>
    <m/>
    <m/>
    <m/>
    <m/>
    <m/>
    <m/>
    <m/>
    <m/>
    <m/>
    <m/>
    <m/>
    <m/>
    <m/>
    <m/>
    <m/>
    <m/>
    <m/>
    <m/>
    <m/>
    <m/>
    <n v="183"/>
    <n v="0"/>
    <n v="183"/>
    <m/>
    <m/>
    <n v="824"/>
    <m/>
    <m/>
    <m/>
    <m/>
    <m/>
    <m/>
    <m/>
    <m/>
    <m/>
    <m/>
    <m/>
    <m/>
    <m/>
    <m/>
    <m/>
    <m/>
    <m/>
    <m/>
    <m/>
    <m/>
    <m/>
    <m/>
    <m/>
    <m/>
    <m/>
    <m/>
    <m/>
    <m/>
    <m/>
    <m/>
    <m/>
    <m/>
    <m/>
    <m/>
    <m/>
    <m/>
    <m/>
    <m/>
    <m/>
    <m/>
    <m/>
    <m/>
    <m/>
    <m/>
    <m/>
    <m/>
    <m/>
    <m/>
    <m/>
    <m/>
    <m/>
    <m/>
    <m/>
    <m/>
    <m/>
    <m/>
    <m/>
    <m/>
    <m/>
    <m/>
    <s v="YES"/>
    <n v="183"/>
    <n v="1"/>
    <n v="824"/>
    <m/>
    <m/>
    <m/>
    <m/>
    <m/>
    <s v="YES"/>
    <s v="December"/>
    <n v="2016"/>
    <s v="NO"/>
    <s v="NO"/>
    <m/>
    <m/>
    <m/>
    <x v="0"/>
    <m/>
    <m/>
    <m/>
    <m/>
    <m/>
    <m/>
    <m/>
    <m/>
    <m/>
    <x v="0"/>
    <m/>
    <x v="0"/>
    <m/>
    <x v="1"/>
    <x v="0"/>
    <s v="YES"/>
    <x v="0"/>
    <x v="0"/>
    <x v="0"/>
    <x v="0"/>
    <n v="4"/>
    <x v="1"/>
    <x v="1"/>
    <x v="1"/>
    <x v="1"/>
    <x v="1"/>
    <x v="1"/>
    <n v="4"/>
    <x v="1"/>
    <x v="1"/>
    <x v="1"/>
    <x v="1"/>
    <x v="1"/>
    <n v="3"/>
    <x v="2"/>
    <x v="0"/>
    <n v="1"/>
    <s v="Local government(s)"/>
    <m/>
    <m/>
    <x v="2"/>
    <s v="1. Handloom tools and equipments were provided to set up handloom centers. 2. Weavers were linked with handloom market and exposed to wider market"/>
    <m/>
    <s v="Weavers linked with handloom market and exposed to wider market"/>
    <m/>
    <m/>
    <s v="The main challenge faced by these weavers once they had the necessary skills, was access to fair and profitable markets.  Mobility issues and lack of exposure resulted in a limitation to local markets.  An attempt to partner with established handloom retailers proved difficult due to the low prices offered."/>
    <s v="The Department of Industries effectively supported the supply of basic training, equipment and space, they fell short when it came to the finer points, such as upgrading the quality, reaching suitable markets and running an organized process of supply and payment.  Some government officers also had little understanding in how they should support these weavers."/>
    <s v="Access to finances is a serious issue for women who are unable to take loans to develop themselves.  "/>
    <s v="These traditional industries are all labour intensive and usually made of largely natural raw materials, providing final products which naturally fit in to a growing market for ethically-sourced, environmentally-friendly merchandise.  There is an opportunity here to market these products directly to conscientious shoppers, whereby all profits go back to the producers who, in this case, are vulnerable women from marginalized communities.  Additionally, with the growing tourism industry in Sri Lanka, the properly presented products will have a receptive market locally."/>
    <s v="Report attached."/>
    <n v="183"/>
    <n v="824"/>
    <n v="4.5027322404371581"/>
    <n v="1"/>
    <n v="0"/>
    <n v="183"/>
    <n v="0"/>
    <s v=""/>
    <n v="0"/>
    <n v="0"/>
    <s v=""/>
    <s v=""/>
    <n v="0"/>
    <n v="0"/>
    <s v=""/>
    <s v=""/>
    <n v="0"/>
    <n v="0"/>
    <s v=""/>
    <s v=""/>
    <n v="0"/>
    <n v="0"/>
    <s v=""/>
    <n v="1"/>
    <n v="183"/>
    <n v="824"/>
    <n v="4.5027322404371581"/>
    <s v="2. Sensitive"/>
    <s v="2. Accommodating"/>
    <s v="2. Sensitive"/>
    <s v="It did not develop any specific innovation"/>
    <s v="Little or no advocacy"/>
    <s v="It did not take tested solutions to scale"/>
  </r>
  <r>
    <x v="69"/>
    <x v="3"/>
    <n v="3389"/>
    <s v="Catapult to Impact Emergency Preparedness and DRR project."/>
    <s v="Sudan"/>
    <s v="US1DT"/>
    <s v="CARE USA"/>
    <s v="Foundation"/>
    <s v="Other"/>
    <s v="Cargill Foundation"/>
    <m/>
    <m/>
    <m/>
    <m/>
    <m/>
    <m/>
    <m/>
    <m/>
    <m/>
    <m/>
    <m/>
    <m/>
    <m/>
    <m/>
    <m/>
    <m/>
    <m/>
    <m/>
    <m/>
    <m/>
    <m/>
    <m/>
    <m/>
    <m/>
    <m/>
    <m/>
    <m/>
    <m/>
    <m/>
    <m/>
    <m/>
    <m/>
    <m/>
    <m/>
    <m/>
    <m/>
    <m/>
    <m/>
    <m/>
    <m/>
    <m/>
    <m/>
    <m/>
    <m/>
    <m/>
    <d v="2015-08-01T00:00:00"/>
    <d v="2017-07-31T00:00:00"/>
    <m/>
    <s v="Humanitarian Other"/>
    <n v="70000"/>
    <s v="Rishana Haniffa"/>
    <s v="ACD"/>
    <s v="Rishana.Haniffa@care.org"/>
    <s v="Hanan Elhaj"/>
    <s v="Response &amp; Capacity Building Coordinator"/>
    <s v="Hanan.Elhaj@care.org"/>
    <s v="YES"/>
    <s v="YES"/>
    <s v="YES"/>
    <s v="Strengthening CARE's preparedness, response and DRR capacity"/>
    <s v="National"/>
    <s v="All CARE operating areas including South Kordofan, South Darfur and East Darfour States"/>
    <s v="Hundred's of thousands people affected by emergencies in CARE operating areas including IDPs, refuges an host communities"/>
    <n v="7875"/>
    <n v="3375"/>
    <n v="11250"/>
    <n v="20799"/>
    <n v="8914"/>
    <n v="29713"/>
    <s v="Direct beneficiaries: those that received goods provided. Indirect: estimated at 2.6 more people within the houosehold who also received use of goods."/>
    <m/>
    <n v="7875"/>
    <n v="3375"/>
    <n v="11250"/>
    <n v="20799"/>
    <n v="8914"/>
    <n v="29713"/>
    <m/>
    <m/>
    <m/>
    <m/>
    <m/>
    <m/>
    <m/>
    <m/>
    <m/>
    <m/>
    <m/>
    <m/>
    <m/>
    <m/>
    <m/>
    <m/>
    <m/>
    <m/>
    <m/>
    <m/>
    <m/>
    <m/>
    <m/>
    <m/>
    <m/>
    <m/>
    <m/>
    <m/>
    <m/>
    <m/>
    <m/>
    <m/>
    <m/>
    <m/>
    <m/>
    <m/>
    <m/>
    <m/>
    <m/>
    <m/>
    <m/>
    <m/>
    <m/>
    <m/>
    <s v="YES"/>
    <n v="11250"/>
    <n v="0.7"/>
    <n v="29713"/>
    <s v="EPP and DRR"/>
    <s v="YES"/>
    <m/>
    <m/>
    <m/>
    <m/>
    <m/>
    <m/>
    <m/>
    <m/>
    <m/>
    <m/>
    <m/>
    <m/>
    <m/>
    <m/>
    <m/>
    <m/>
    <m/>
    <m/>
    <m/>
    <m/>
    <m/>
    <m/>
    <m/>
    <m/>
    <m/>
    <m/>
    <m/>
    <m/>
    <m/>
    <m/>
    <m/>
    <m/>
    <m/>
    <m/>
    <m/>
    <m/>
    <m/>
    <m/>
    <m/>
    <m/>
    <m/>
    <m/>
    <m/>
    <m/>
    <m/>
    <m/>
    <m/>
    <m/>
    <m/>
    <m/>
    <m/>
    <m/>
    <m/>
    <m/>
    <m/>
    <m/>
    <m/>
    <m/>
    <m/>
    <m/>
    <m/>
    <m/>
    <m/>
    <m/>
    <m/>
    <s v="YES"/>
    <n v="11250"/>
    <n v="0.7"/>
    <n v="29713"/>
    <m/>
    <m/>
    <m/>
    <m/>
    <m/>
    <m/>
    <m/>
    <m/>
    <m/>
    <s v="NO"/>
    <m/>
    <m/>
    <m/>
    <s v="NO"/>
    <m/>
    <m/>
    <m/>
    <x v="1"/>
    <s v="NO"/>
    <s v="NO"/>
    <s v="NO"/>
    <s v="NO"/>
    <s v="YES"/>
    <s v="NO"/>
    <s v="YES"/>
    <m/>
    <m/>
    <x v="0"/>
    <m/>
    <x v="0"/>
    <m/>
    <x v="0"/>
    <x v="0"/>
    <s v="YES"/>
    <x v="0"/>
    <x v="0"/>
    <x v="0"/>
    <x v="0"/>
    <n v="4"/>
    <x v="1"/>
    <x v="1"/>
    <x v="1"/>
    <x v="1"/>
    <x v="1"/>
    <x v="1"/>
    <n v="4"/>
    <x v="1"/>
    <x v="1"/>
    <x v="1"/>
    <x v="2"/>
    <x v="3"/>
    <n v="2"/>
    <x v="2"/>
    <x v="1"/>
    <m/>
    <m/>
    <m/>
    <m/>
    <x v="0"/>
    <s v="conduct meetings with partners and share information and ideas about improved response, humanitarian principles, standards, share of CARE experience in responses, etc."/>
    <s v="NO adjustment happened"/>
    <s v="Investment in preparedness is key for response in Sudan context where protracted and new emergencies are common."/>
    <s v="Recruitment of response and capacity building coordinator helped in rolling out the project and opened room to improve coordination, planning and responses;"/>
    <s v="Regular communication, information sharing and close coordination are key elements to meet humanitarian needs of those affected by emergency"/>
    <s v="Sharing of experiences, case studies, stories enhance learning"/>
    <s v="Preparedness activities are very important  for timely and effective response;"/>
    <s v="Capacity building of staff and partners is key to manage emergency preparedness and response;"/>
    <m/>
    <s v="Project proposal, progess report held at Country Office"/>
    <n v="11250"/>
    <n v="29713"/>
    <n v="2.6411555555555557"/>
    <n v="0.7"/>
    <n v="0.69999663446976068"/>
    <n v="7875"/>
    <n v="20799"/>
    <n v="1"/>
    <n v="11250"/>
    <n v="29713"/>
    <n v="2.6411555555555557"/>
    <n v="1"/>
    <n v="11250"/>
    <n v="29713"/>
    <n v="2.6411555555555557"/>
    <s v=""/>
    <n v="0"/>
    <n v="0"/>
    <s v=""/>
    <s v=""/>
    <n v="0"/>
    <n v="0"/>
    <s v=""/>
    <s v=""/>
    <n v="0"/>
    <n v="0"/>
    <s v=""/>
    <s v="2. Sensitive"/>
    <s v="2. Accommodating"/>
    <s v="1. Neutral"/>
    <s v="It did not develop any specific innovation"/>
    <s v="Moderate advocacy"/>
    <s v="It did not take tested solutions to scale"/>
  </r>
  <r>
    <x v="69"/>
    <x v="3"/>
    <m/>
    <s v="Contribute to the saving of lives while addressing underlying causes of undernutrition among vulnerable mothers and children in poor IDPs and affacted rural communities of Kass and AJsalam localities, SD."/>
    <s v="Sudan"/>
    <s v="US1OP"/>
    <s v="No CARE member related to the project/initiative"/>
    <s v="Multilateral agency"/>
    <s v="UN - United Nations agencies/offices"/>
    <s v="World Food Programme (WFP)"/>
    <m/>
    <m/>
    <m/>
    <m/>
    <m/>
    <m/>
    <m/>
    <m/>
    <m/>
    <m/>
    <m/>
    <m/>
    <m/>
    <m/>
    <m/>
    <m/>
    <m/>
    <m/>
    <m/>
    <m/>
    <m/>
    <m/>
    <m/>
    <m/>
    <m/>
    <m/>
    <m/>
    <m/>
    <m/>
    <m/>
    <m/>
    <m/>
    <m/>
    <m/>
    <m/>
    <m/>
    <m/>
    <m/>
    <m/>
    <m/>
    <m/>
    <m/>
    <m/>
    <m/>
    <m/>
    <d v="2016-01-01T00:00:00"/>
    <d v="2016-10-31T00:00:00"/>
    <m/>
    <s v="Humanitarian Other"/>
    <n v="54516.25"/>
    <s v="Amy Wing"/>
    <s v="Funding Coordinator"/>
    <s v="amy.wing@care.org"/>
    <s v="Mohamed Ali"/>
    <s v="Field Office Manager, South Darfur"/>
    <s v="mohamed.alhag@care.org"/>
    <s v="YES"/>
    <s v="NO"/>
    <s v="NO"/>
    <s v="Contribute to the saving of lives while addressing underlying causes of undernutrition among vulnerable mothers and children in poor IDPs and affacted rural communities of Kass and AJsalam localities, SD."/>
    <s v="Sub-National"/>
    <s v="Kass and AlSalam localities in South Darfur, Sudan."/>
    <s v="VulnerableIDP  mothers and children"/>
    <n v="7520"/>
    <n v="5446"/>
    <n v="12966"/>
    <n v="8450"/>
    <n v="6255"/>
    <n v="14705"/>
    <s v="Direct: vulnerable people receiving direct assistance in food and nutrition services. Indirect: Those that were checked for malnutrition, but did not require direct assistance."/>
    <m/>
    <n v="7520"/>
    <n v="5446"/>
    <n v="12966"/>
    <n v="8450"/>
    <n v="6255"/>
    <n v="14705"/>
    <m/>
    <m/>
    <m/>
    <m/>
    <m/>
    <m/>
    <m/>
    <m/>
    <m/>
    <m/>
    <m/>
    <m/>
    <s v="YES"/>
    <n v="12966"/>
    <n v="0.42"/>
    <n v="14706"/>
    <m/>
    <m/>
    <m/>
    <m/>
    <m/>
    <m/>
    <m/>
    <m/>
    <m/>
    <m/>
    <m/>
    <m/>
    <m/>
    <m/>
    <m/>
    <m/>
    <m/>
    <m/>
    <m/>
    <m/>
    <m/>
    <m/>
    <m/>
    <m/>
    <m/>
    <m/>
    <m/>
    <m/>
    <m/>
    <m/>
    <m/>
    <m/>
    <m/>
    <m/>
    <m/>
    <m/>
    <m/>
    <m/>
    <m/>
    <m/>
    <m/>
    <m/>
    <m/>
    <m/>
    <m/>
    <m/>
    <m/>
    <m/>
    <m/>
    <m/>
    <m/>
    <m/>
    <m/>
    <m/>
    <m/>
    <m/>
    <m/>
    <m/>
    <m/>
    <m/>
    <m/>
    <m/>
    <m/>
    <m/>
    <m/>
    <m/>
    <m/>
    <m/>
    <m/>
    <m/>
    <m/>
    <m/>
    <m/>
    <m/>
    <m/>
    <m/>
    <m/>
    <m/>
    <m/>
    <m/>
    <m/>
    <m/>
    <m/>
    <m/>
    <m/>
    <m/>
    <m/>
    <m/>
    <m/>
    <m/>
    <m/>
    <m/>
    <m/>
    <m/>
    <m/>
    <m/>
    <m/>
    <m/>
    <m/>
    <m/>
    <m/>
    <m/>
    <m/>
    <m/>
    <m/>
    <m/>
    <m/>
    <m/>
    <m/>
    <m/>
    <m/>
    <m/>
    <s v="NO"/>
    <m/>
    <m/>
    <m/>
    <s v="NO"/>
    <m/>
    <m/>
    <m/>
    <x v="0"/>
    <m/>
    <m/>
    <m/>
    <m/>
    <m/>
    <m/>
    <m/>
    <m/>
    <m/>
    <x v="0"/>
    <m/>
    <x v="0"/>
    <m/>
    <x v="0"/>
    <x v="1"/>
    <s v="YES"/>
    <x v="0"/>
    <x v="0"/>
    <x v="1"/>
    <x v="4"/>
    <n v="3"/>
    <x v="1"/>
    <x v="1"/>
    <x v="1"/>
    <x v="1"/>
    <x v="1"/>
    <x v="1"/>
    <n v="4"/>
    <x v="1"/>
    <x v="1"/>
    <x v="2"/>
    <x v="1"/>
    <x v="3"/>
    <n v="2"/>
    <x v="2"/>
    <x v="2"/>
    <n v="1"/>
    <s v="Local NGO(s)/CSO(s)"/>
    <s v="Local government(s)"/>
    <m/>
    <x v="2"/>
    <m/>
    <m/>
    <m/>
    <m/>
    <m/>
    <s v="Pipeline break of food commodities supplies for T-SFP/FBPMAM which started in the binning of the years and ended in May affected activities implementation."/>
    <s v="Micro nutrient food received  with very near expiry date which affect  the implementing activities efficiency .         "/>
    <s v="State Ministry of Health supposed to be involved in implementation of the micro nutrient powder distribution (Vitamino) from the beginning and take a lead of this activity witch will make it more sustainable."/>
    <s v="As the calculations and information were conducted cumulatively, the information of numbers reached in this FY are a ttal from start of project until end."/>
    <s v="Project proposal and final report held at Country Office"/>
    <n v="12966"/>
    <n v="14705"/>
    <n v="1.134120006169983"/>
    <n v="0.57997840505938614"/>
    <n v="0.57463447806868417"/>
    <n v="7520"/>
    <n v="8450"/>
    <n v="1"/>
    <n v="12966"/>
    <n v="14705"/>
    <n v="1.134120006169983"/>
    <n v="1"/>
    <n v="12966"/>
    <n v="14706"/>
    <n v="1.1341971309578898"/>
    <s v=""/>
    <n v="0"/>
    <n v="0"/>
    <s v=""/>
    <s v=""/>
    <n v="0"/>
    <n v="0"/>
    <s v=""/>
    <s v=""/>
    <n v="0"/>
    <n v="0"/>
    <s v=""/>
    <s v="3. Responsive"/>
    <s v="2. Accommodating"/>
    <s v="1. Neutral"/>
    <s v="It did not develop any specific innovation"/>
    <s v="Little or no advocacy"/>
    <s v="It did not take tested solutions to scale"/>
  </r>
  <r>
    <x v="69"/>
    <x v="3"/>
    <m/>
    <s v="Emergency Food Security and livelihood Support for IDPs &amp; Destitute Vulnerable Host Communties in North Darfur,Centeral Darfur, East Darfur &amp; South Kordfan States."/>
    <s v="Sudan"/>
    <s v="US1QD"/>
    <s v="No CARE member related to the project/initiative"/>
    <s v="Multilateral agency"/>
    <s v="UN - United Nations agencies/offices"/>
    <s v="UNDP"/>
    <m/>
    <m/>
    <m/>
    <m/>
    <m/>
    <m/>
    <m/>
    <m/>
    <m/>
    <m/>
    <m/>
    <m/>
    <m/>
    <m/>
    <m/>
    <m/>
    <m/>
    <m/>
    <m/>
    <m/>
    <m/>
    <m/>
    <m/>
    <m/>
    <m/>
    <m/>
    <m/>
    <m/>
    <m/>
    <m/>
    <m/>
    <m/>
    <m/>
    <m/>
    <m/>
    <m/>
    <m/>
    <m/>
    <m/>
    <m/>
    <m/>
    <m/>
    <m/>
    <m/>
    <m/>
    <d v="2016-07-01T00:00:00"/>
    <d v="2017-06-30T00:00:00"/>
    <m/>
    <s v="Humanitarian Food &amp; Nutrition Security and Resilience to Climate Change"/>
    <n v="47818"/>
    <s v="Issam Bahar"/>
    <s v="Field Office Manager, South Kordofan"/>
    <s v="issam.bahar@care.org"/>
    <s v="Amy Wing"/>
    <s v="Funding Coordinator"/>
    <s v="amy.wing@care.org"/>
    <s v="YES"/>
    <s v="NO"/>
    <s v="NO"/>
    <s v="This project aims to mitigate the imminent deterioration of food security and nutrition conditions among IDPs and destitute vulnerable returnees and host communities and to protect livelihood assets of at least 370,380 direct beneficiaries"/>
    <s v="Sub-National"/>
    <s v="Nertiti, Rokero, Yassein, Kalamendo, Dar Alsalam, Alkuma, Umbaru, Algoz, Rashad and Alabasyia localities, Central Darfur, East Darfur, North Darfur and South Kordofan States."/>
    <s v="IDPs and destitute vulnerable returnees and host communities"/>
    <n v="5686"/>
    <n v="5470"/>
    <n v="11156"/>
    <m/>
    <m/>
    <m/>
    <s v="Direct beneficiaries: households receiving services or goods directly. Indirect were not calculated, because assistance was already at household level."/>
    <m/>
    <n v="5686"/>
    <n v="5470"/>
    <n v="11156"/>
    <m/>
    <m/>
    <m/>
    <m/>
    <m/>
    <m/>
    <m/>
    <m/>
    <m/>
    <m/>
    <m/>
    <m/>
    <m/>
    <m/>
    <m/>
    <m/>
    <m/>
    <m/>
    <m/>
    <m/>
    <m/>
    <m/>
    <m/>
    <m/>
    <m/>
    <m/>
    <m/>
    <m/>
    <m/>
    <m/>
    <m/>
    <s v="Yes"/>
    <n v="11156"/>
    <n v="0.51"/>
    <n v="0"/>
    <m/>
    <m/>
    <m/>
    <m/>
    <m/>
    <m/>
    <m/>
    <m/>
    <m/>
    <m/>
    <m/>
    <m/>
    <m/>
    <m/>
    <m/>
    <m/>
    <m/>
    <m/>
    <m/>
    <m/>
    <m/>
    <m/>
    <m/>
    <m/>
    <m/>
    <m/>
    <m/>
    <m/>
    <m/>
    <m/>
    <m/>
    <m/>
    <m/>
    <m/>
    <m/>
    <m/>
    <m/>
    <m/>
    <m/>
    <m/>
    <m/>
    <m/>
    <m/>
    <m/>
    <m/>
    <m/>
    <m/>
    <m/>
    <m/>
    <m/>
    <m/>
    <m/>
    <m/>
    <m/>
    <m/>
    <m/>
    <m/>
    <m/>
    <m/>
    <m/>
    <m/>
    <m/>
    <m/>
    <m/>
    <m/>
    <m/>
    <m/>
    <m/>
    <m/>
    <m/>
    <m/>
    <m/>
    <m/>
    <m/>
    <m/>
    <m/>
    <m/>
    <m/>
    <m/>
    <m/>
    <m/>
    <m/>
    <m/>
    <m/>
    <m/>
    <m/>
    <m/>
    <m/>
    <m/>
    <m/>
    <m/>
    <m/>
    <m/>
    <m/>
    <m/>
    <m/>
    <s v="NO"/>
    <m/>
    <m/>
    <m/>
    <s v="NO"/>
    <m/>
    <m/>
    <s v="CARE was a sub-grant in this proposal, lead by VSF"/>
    <x v="1"/>
    <m/>
    <m/>
    <m/>
    <s v="YES"/>
    <s v="YES"/>
    <m/>
    <m/>
    <m/>
    <m/>
    <x v="0"/>
    <m/>
    <x v="0"/>
    <m/>
    <x v="0"/>
    <x v="0"/>
    <s v="YES"/>
    <x v="0"/>
    <x v="0"/>
    <x v="0"/>
    <x v="0"/>
    <n v="4"/>
    <x v="1"/>
    <x v="1"/>
    <x v="2"/>
    <x v="1"/>
    <x v="1"/>
    <x v="1"/>
    <n v="3"/>
    <x v="1"/>
    <x v="1"/>
    <x v="1"/>
    <x v="1"/>
    <x v="1"/>
    <n v="3"/>
    <x v="0"/>
    <x v="0"/>
    <n v="2"/>
    <s v="International NGO(s)"/>
    <s v="Local government(s)"/>
    <s v="Local NGO(s)/CSO(s)"/>
    <x v="2"/>
    <s v="Formation of agriculture committees to work with local government, with 40% women's participation"/>
    <m/>
    <m/>
    <m/>
    <m/>
    <m/>
    <m/>
    <m/>
    <m/>
    <s v="Project proposal and final report held at Country Office"/>
    <n v="11156"/>
    <n v="0"/>
    <n v="0"/>
    <n v="0.50968088920760124"/>
    <s v=""/>
    <n v="5686"/>
    <n v="0"/>
    <n v="1"/>
    <n v="11156"/>
    <n v="0"/>
    <n v="0"/>
    <n v="1"/>
    <n v="11156"/>
    <n v="0"/>
    <n v="0"/>
    <s v=""/>
    <n v="0"/>
    <n v="0"/>
    <s v=""/>
    <s v=""/>
    <n v="0"/>
    <n v="0"/>
    <s v=""/>
    <s v=""/>
    <n v="0"/>
    <n v="0"/>
    <s v=""/>
    <s v="2. Sensitive"/>
    <s v="2. Accommodating"/>
    <s v="2. Sensitive"/>
    <s v="It did not develop any specific innovation"/>
    <s v="Moderate advocacy"/>
    <s v="It did not take tested solutions to scale"/>
  </r>
  <r>
    <x v="69"/>
    <x v="3"/>
    <m/>
    <s v="Emergency WASH and Nutrition response to conflict affected people in Kalma camp and Kass, South Darfur: Building Communities Resilience, Facilitating Durable Solutions and Providing Comprehensive Nutrition Services"/>
    <s v="Sudan"/>
    <s v="US1PZ"/>
    <s v="No CARE member related to the project/initiative"/>
    <s v="Multilateral agency"/>
    <s v="UN - United Nations agencies/offices"/>
    <s v="UNDP"/>
    <m/>
    <m/>
    <m/>
    <m/>
    <m/>
    <m/>
    <m/>
    <m/>
    <m/>
    <m/>
    <m/>
    <m/>
    <m/>
    <m/>
    <m/>
    <m/>
    <m/>
    <m/>
    <m/>
    <m/>
    <m/>
    <m/>
    <m/>
    <m/>
    <m/>
    <m/>
    <m/>
    <m/>
    <m/>
    <m/>
    <m/>
    <m/>
    <m/>
    <m/>
    <m/>
    <m/>
    <m/>
    <m/>
    <m/>
    <m/>
    <m/>
    <m/>
    <m/>
    <m/>
    <m/>
    <d v="2016-05-12T00:00:00"/>
    <d v="2016-12-31T00:00:00"/>
    <d v="2017-05-11T00:00:00"/>
    <s v="Humanitarian Other"/>
    <n v="384420.69"/>
    <s v="Tesfaye Hussein"/>
    <s v="WASH and Public Health Advisor"/>
    <s v="tesfaye.hussein@careinternational.onmicrosoft.com"/>
    <s v="Amy Wing"/>
    <s v="Funding Coordinator"/>
    <s v="amy.wing@care.org"/>
    <s v="YES"/>
    <s v="NO"/>
    <s v="NO"/>
    <s v="To provide emergency WASH and Nutrition response to conflict affected people in Kalma camp and Kass, South Darfur: Building Communities Resilience, Facilitating Durable Solutions and Providing Comprehensive Nutrition Services"/>
    <s v="Sub-National"/>
    <s v="Kalma IDP camp, Kass IDP camp, South Darfur State, Sudan"/>
    <s v="Through this project, 60,040 vulnerable people will be assisted directly with critically needed WASH and Nutrition services in Kalma IDPs camp and Kass. 37,000 IDPs in Kalma and Kass IDPs camps are targeted under WASH (Kalma 17,291 &amp; Kass 19,709) while the rest 10,694 people (300 PLW and 10,394 children under the age of 5) are targeted under Nutrition in both Kass IDP camp and the surrounding rural areas. These beneficiaries were identified thorough an assessment conducted in March 2016 and the ongoing monitoring and follow up procedure CIS uses for its ongoing projects. The beneficiaries were targeted by their vulnerability, especially those who are targeted for latrine construction and nutrition services and the vulnerable groups include lactating mothers, female-headed households, large families with many small children, elderly and disabled individuals, and households with identified cases of malnutrition."/>
    <n v="36993"/>
    <n v="23047"/>
    <n v="60040"/>
    <n v="78700"/>
    <n v="45504"/>
    <n v="124204"/>
    <s v="Direct: receiving services. Indirect: wash is household + family members of those targeted for nutirion and households in Sudan are calculated at 6 person per houosehold"/>
    <m/>
    <n v="39112"/>
    <n v="28017"/>
    <n v="67129"/>
    <n v="78700"/>
    <n v="45504"/>
    <n v="124204"/>
    <m/>
    <m/>
    <m/>
    <m/>
    <m/>
    <m/>
    <m/>
    <m/>
    <m/>
    <m/>
    <m/>
    <m/>
    <s v="YES"/>
    <n v="10694"/>
    <n v="0.65"/>
    <n v="64164"/>
    <m/>
    <m/>
    <m/>
    <m/>
    <m/>
    <m/>
    <m/>
    <m/>
    <m/>
    <m/>
    <m/>
    <m/>
    <m/>
    <m/>
    <m/>
    <m/>
    <m/>
    <m/>
    <m/>
    <m/>
    <m/>
    <m/>
    <m/>
    <m/>
    <m/>
    <m/>
    <m/>
    <m/>
    <s v="YES"/>
    <n v="55460"/>
    <n v="0.56999999999999995"/>
    <m/>
    <m/>
    <m/>
    <m/>
    <m/>
    <m/>
    <m/>
    <m/>
    <m/>
    <m/>
    <m/>
    <m/>
    <m/>
    <m/>
    <m/>
    <m/>
    <m/>
    <m/>
    <m/>
    <m/>
    <m/>
    <m/>
    <m/>
    <m/>
    <m/>
    <m/>
    <m/>
    <m/>
    <m/>
    <m/>
    <m/>
    <m/>
    <m/>
    <m/>
    <m/>
    <m/>
    <m/>
    <m/>
    <m/>
    <m/>
    <m/>
    <m/>
    <m/>
    <m/>
    <m/>
    <m/>
    <m/>
    <m/>
    <m/>
    <m/>
    <m/>
    <m/>
    <m/>
    <m/>
    <m/>
    <m/>
    <m/>
    <m/>
    <m/>
    <m/>
    <m/>
    <m/>
    <m/>
    <m/>
    <m/>
    <m/>
    <m/>
    <m/>
    <m/>
    <m/>
    <m/>
    <m/>
    <m/>
    <m/>
    <m/>
    <m/>
    <m/>
    <m/>
    <m/>
    <m/>
    <m/>
    <s v="NO"/>
    <m/>
    <m/>
    <m/>
    <s v="NO"/>
    <m/>
    <m/>
    <m/>
    <x v="0"/>
    <m/>
    <m/>
    <m/>
    <m/>
    <m/>
    <m/>
    <m/>
    <m/>
    <m/>
    <x v="0"/>
    <m/>
    <x v="0"/>
    <m/>
    <x v="0"/>
    <x v="0"/>
    <s v="YES"/>
    <x v="0"/>
    <x v="0"/>
    <x v="0"/>
    <x v="0"/>
    <n v="4"/>
    <x v="1"/>
    <x v="1"/>
    <x v="1"/>
    <x v="1"/>
    <x v="1"/>
    <x v="1"/>
    <n v="4"/>
    <x v="1"/>
    <x v="1"/>
    <x v="1"/>
    <x v="1"/>
    <x v="1"/>
    <n v="3"/>
    <x v="2"/>
    <x v="3"/>
    <n v="1"/>
    <s v="Local NGO(s)/CSO(s)"/>
    <s v="Local government(s)"/>
    <m/>
    <x v="1"/>
    <m/>
    <m/>
    <m/>
    <m/>
    <m/>
    <s v="In spite of all the efforts that have been put in place by different actors since the peak of the Darfur Crisis, the situation remains fragile as IDPs in different camps across the State continue to depend on humanitarian assistance for their survival and wellbeing. In addition, most of communities residing in rural areas are underserved due to the focus on the IDPs and limited funding available. Therefore, there is a need to continue the humanitarian intervention and, at the same time, be innovative and provide alternative solutions to reduce IDP dependency on aid. There is also a need to improve the service provision outside of the camp settings to ensure the rural area residents who have been also affected by the conflict obtain basic services; it will also encourage the IDPs to return to their areas of origins, because one of the major reasons for the IDPs to remain in the camps, next to security concerns, is lack of services in their places of origins."/>
    <s v="There is also a need to invest in building local communities and local government institutions. The communities are the owners or primary beneficiaries of the intervention and they need to know how to properly use and sustain it. The institutions are, ideally, responsible to provide all the services humanitarian agencies are providing. However, the capacity building will take longer than a short term projects funding cycle. Therefore, there is a need to have multi-year planning.  "/>
    <m/>
    <s v="IDPs camps have not changed in beneficiary numbers and camp management keeps records of changes, so numbers planned and numbers reached did not change form start to end of project."/>
    <s v="Project proposal and report are held at Country Office."/>
    <n v="67129"/>
    <n v="124204"/>
    <n v="1.850228664213678"/>
    <n v="0.58263939579019497"/>
    <n v="0.63363498760104342"/>
    <n v="39112"/>
    <n v="78700"/>
    <n v="1"/>
    <n v="67129"/>
    <n v="124204"/>
    <n v="1.850228664213678"/>
    <n v="1"/>
    <n v="10694"/>
    <n v="64164"/>
    <n v="6"/>
    <s v=""/>
    <n v="0"/>
    <n v="0"/>
    <s v=""/>
    <s v=""/>
    <n v="0"/>
    <n v="0"/>
    <s v=""/>
    <s v=""/>
    <n v="0"/>
    <n v="0"/>
    <s v=""/>
    <s v="2. Sensitive"/>
    <s v="2. Accommodating"/>
    <s v="2. Sensitive"/>
    <s v="It did not develop any specific innovation"/>
    <s v="Little or no advocacy"/>
    <s v="It did not take tested solutions to scale"/>
  </r>
  <r>
    <x v="69"/>
    <x v="3"/>
    <m/>
    <s v="Enhancing the Social Wellbeing of IDPS, Refugees and Host Populations in South Kordofan through a comprehensive Multisector social Services package-Pilot Consortium"/>
    <s v="Sudan"/>
    <s v="US1RA"/>
    <s v="No CARE member related to the project/initiative"/>
    <s v="Multilateral agency"/>
    <s v="UN - United Nations agencies/offices"/>
    <s v="UNDP"/>
    <m/>
    <m/>
    <m/>
    <m/>
    <m/>
    <m/>
    <m/>
    <m/>
    <m/>
    <m/>
    <m/>
    <m/>
    <m/>
    <m/>
    <m/>
    <m/>
    <m/>
    <m/>
    <m/>
    <m/>
    <m/>
    <m/>
    <m/>
    <m/>
    <m/>
    <m/>
    <m/>
    <m/>
    <m/>
    <m/>
    <m/>
    <m/>
    <m/>
    <m/>
    <m/>
    <m/>
    <m/>
    <m/>
    <m/>
    <m/>
    <m/>
    <m/>
    <m/>
    <m/>
    <m/>
    <d v="2016-07-01T00:00:00"/>
    <d v="2017-06-30T00:00:00"/>
    <d v="2017-11-30T00:00:00"/>
    <s v="Humanitarian Other"/>
    <n v="500374.8"/>
    <s v="Amy Wing"/>
    <s v="Funding Coordinator"/>
    <s v="amy.wing@care.org"/>
    <s v="Issam Bahar"/>
    <s v="Field Office Manager, South Kordofan"/>
    <s v="issam.bahar@care.org"/>
    <s v="YES"/>
    <s v="NO"/>
    <s v="NO"/>
    <s v="To reduce the impact of conflict and displacement on the affected 70974 women, men, boys, girls of Abugibeha Rashad and Elabbassyia localities by providing timely protection and lifesaving services that includes provision access to safe water, hygiene and sanitation, health and nutrition, education and NFIs."/>
    <s v="Sub-National"/>
    <s v="Abugibeha Rashad and Elabbassyia localities in South Kordofan State, Sudan."/>
    <s v="IDPs, refugees anf host communities: men, women boys and girls"/>
    <n v="51495"/>
    <n v="32785"/>
    <m/>
    <m/>
    <m/>
    <m/>
    <s v="Direct: IDPs, refugees and host communities. WASH activities reached all households targeted, and to avoid double-counting, no other beneficiaries were calculated for indirect, as entire household benefitted from water sources."/>
    <m/>
    <n v="33958"/>
    <n v="28926"/>
    <n v="62884"/>
    <m/>
    <m/>
    <m/>
    <m/>
    <m/>
    <m/>
    <m/>
    <m/>
    <m/>
    <m/>
    <m/>
    <m/>
    <m/>
    <m/>
    <m/>
    <m/>
    <m/>
    <m/>
    <m/>
    <m/>
    <m/>
    <m/>
    <m/>
    <m/>
    <m/>
    <m/>
    <m/>
    <s v="YES"/>
    <n v="62884"/>
    <n v="0.54"/>
    <m/>
    <m/>
    <m/>
    <m/>
    <m/>
    <m/>
    <m/>
    <m/>
    <m/>
    <s v="YES"/>
    <n v="6425"/>
    <n v="1"/>
    <m/>
    <m/>
    <m/>
    <m/>
    <m/>
    <m/>
    <m/>
    <m/>
    <m/>
    <m/>
    <m/>
    <m/>
    <m/>
    <m/>
    <m/>
    <m/>
    <m/>
    <m/>
    <m/>
    <m/>
    <m/>
    <m/>
    <m/>
    <m/>
    <m/>
    <m/>
    <m/>
    <m/>
    <m/>
    <m/>
    <m/>
    <m/>
    <m/>
    <m/>
    <m/>
    <m/>
    <m/>
    <m/>
    <m/>
    <m/>
    <m/>
    <m/>
    <m/>
    <m/>
    <m/>
    <m/>
    <m/>
    <m/>
    <m/>
    <m/>
    <m/>
    <m/>
    <m/>
    <m/>
    <m/>
    <m/>
    <m/>
    <m/>
    <m/>
    <m/>
    <m/>
    <m/>
    <m/>
    <m/>
    <m/>
    <m/>
    <m/>
    <m/>
    <m/>
    <m/>
    <m/>
    <m/>
    <m/>
    <m/>
    <m/>
    <m/>
    <m/>
    <m/>
    <m/>
    <m/>
    <m/>
    <m/>
    <m/>
    <m/>
    <m/>
    <m/>
    <m/>
    <m/>
    <m/>
    <s v="NO"/>
    <m/>
    <m/>
    <m/>
    <s v="NO"/>
    <m/>
    <m/>
    <m/>
    <x v="0"/>
    <m/>
    <m/>
    <m/>
    <m/>
    <m/>
    <m/>
    <m/>
    <m/>
    <m/>
    <x v="0"/>
    <m/>
    <x v="0"/>
    <m/>
    <x v="1"/>
    <x v="0"/>
    <s v="YES"/>
    <x v="0"/>
    <x v="0"/>
    <x v="0"/>
    <x v="0"/>
    <n v="4"/>
    <x v="1"/>
    <x v="1"/>
    <x v="2"/>
    <x v="1"/>
    <x v="1"/>
    <x v="1"/>
    <n v="3"/>
    <x v="1"/>
    <x v="1"/>
    <x v="1"/>
    <x v="1"/>
    <x v="1"/>
    <n v="3"/>
    <x v="2"/>
    <x v="2"/>
    <n v="4"/>
    <s v="Local alliance(s)/Platform(s)/Network(s) of  NGOs/CSOs"/>
    <s v="Local government(s)"/>
    <s v="Local NGO(s)/CSO(s)"/>
    <x v="2"/>
    <s v="Community involvement in management and support for health facilities instigated"/>
    <s v="According to the sector needs, the project shifted from Rashad locality to Al Abassiya locality to implement in Um Alghra and Hay Almadares clinics, but unfortunately Hay Almadres clinic was not ready as it was run previously by Sudanese Red Crescent Society (SRCS) and was not yet handed over to CIS. While the State Ministry of Health (SMoH) ordered that hand over to occur, the process took a long time. In the meantime, CIS provided services from a rental house in the same location."/>
    <s v="45 medical cadres (22 females &amp; 23 males) were seconded from the State Ministry of Health (SMoH) to support implementation and delivery of health services"/>
    <s v="Completed the construction of the new Umalgora health facility through community participation, now functioning."/>
    <m/>
    <s v="Inflation fluctuations are expected to affect all project budget line items and may lead to budget modifications and amendments on some key budget line items e.g. medical, equipment, drugs, incentives for health cadres, etc."/>
    <s v="Suspension of project activities by the MOH in the month of February 2017, due to misunderstandings and lack of sharing of information among ministry departments occurred. It took ten days, but after a large meeting attended by the consortium lead, OCHA, WHO and ministry departments and the acting DG, another letter was issued for the resumption of project activities in all health facilities.  "/>
    <m/>
    <m/>
    <s v="Project proposal and report held at country office"/>
    <n v="62884"/>
    <n v="0"/>
    <n v="0"/>
    <n v="0.54001017746962665"/>
    <s v=""/>
    <n v="33958"/>
    <n v="0"/>
    <n v="1"/>
    <n v="62884"/>
    <n v="0"/>
    <n v="0"/>
    <s v=""/>
    <n v="0"/>
    <n v="0"/>
    <s v=""/>
    <n v="1"/>
    <n v="6425"/>
    <n v="0"/>
    <n v="0"/>
    <s v=""/>
    <n v="0"/>
    <n v="0"/>
    <s v=""/>
    <s v=""/>
    <n v="0"/>
    <n v="0"/>
    <s v=""/>
    <s v="2. Sensitive"/>
    <s v="2. Accommodating"/>
    <s v="2. Sensitive"/>
    <s v="It did not develop any specific innovation"/>
    <s v="Little or no advocacy"/>
    <s v="It did not take tested solutions to scale"/>
  </r>
  <r>
    <x v="69"/>
    <x v="3"/>
    <n v="3380"/>
    <s v="Every Voice Counts (EVC)"/>
    <s v="Sudan"/>
    <s v="NL173"/>
    <s v="CARE Nederland"/>
    <s v="Government"/>
    <s v="Government - Netherlands"/>
    <s v="Ministry of Foreign Affairs of the Netherlands"/>
    <m/>
    <m/>
    <m/>
    <m/>
    <m/>
    <m/>
    <m/>
    <m/>
    <m/>
    <m/>
    <m/>
    <m/>
    <m/>
    <m/>
    <m/>
    <m/>
    <m/>
    <m/>
    <m/>
    <m/>
    <m/>
    <m/>
    <m/>
    <m/>
    <m/>
    <m/>
    <m/>
    <m/>
    <m/>
    <m/>
    <m/>
    <m/>
    <m/>
    <m/>
    <m/>
    <m/>
    <m/>
    <m/>
    <m/>
    <m/>
    <m/>
    <m/>
    <m/>
    <m/>
    <m/>
    <d v="2016-01-01T00:00:00"/>
    <d v="2020-12-31T00:00:00"/>
    <m/>
    <s v="Development Other"/>
    <n v="2378770"/>
    <s v="Mohammed IREG"/>
    <s v="Program Coordinator"/>
    <s v="Mohammed.Ismail@care.org"/>
    <s v="Moges Tefera"/>
    <s v="Program Quality and Learning Country Coordinator"/>
    <s v="mtefera@care.org"/>
    <s v="NO"/>
    <s v="YES"/>
    <s v="NO"/>
    <s v="By 2020, excluded youth and women from pastoral and agricultural communities in two localities in South Darfur and three localities in East Darfur participate and influence public decisions-making process resulting in public policies and planning that better respond to their needs for recovery and development."/>
    <s v="Sub-National"/>
    <s v="Nyala, Kass, and Gerieda in Southt Darfur State &amp; Eddien, Abukarinka and Assalaia in East Darfur State"/>
    <s v="Excluded Women and Youth in rural setting of Darfur"/>
    <n v="6000"/>
    <n v="3000"/>
    <n v="9000"/>
    <n v="30000"/>
    <n v="18000"/>
    <n v="48000"/>
    <s v="Direct: Those directly invovled in committees established and activities. Indirect: People who have received a benefit from the committees, which is everyone within the community."/>
    <m/>
    <m/>
    <m/>
    <m/>
    <m/>
    <m/>
    <m/>
    <m/>
    <m/>
    <m/>
    <m/>
    <m/>
    <m/>
    <m/>
    <m/>
    <m/>
    <m/>
    <m/>
    <m/>
    <m/>
    <m/>
    <m/>
    <m/>
    <m/>
    <m/>
    <m/>
    <m/>
    <m/>
    <m/>
    <m/>
    <m/>
    <m/>
    <m/>
    <m/>
    <m/>
    <m/>
    <m/>
    <m/>
    <m/>
    <m/>
    <m/>
    <m/>
    <m/>
    <m/>
    <m/>
    <m/>
    <m/>
    <m/>
    <m/>
    <m/>
    <m/>
    <m/>
    <m/>
    <m/>
    <m/>
    <m/>
    <m/>
    <m/>
    <m/>
    <m/>
    <n v="492"/>
    <n v="923"/>
    <n v="1415"/>
    <n v="27911"/>
    <n v="29883"/>
    <n v="57794"/>
    <m/>
    <m/>
    <m/>
    <m/>
    <m/>
    <m/>
    <m/>
    <m/>
    <m/>
    <m/>
    <m/>
    <m/>
    <m/>
    <m/>
    <m/>
    <m/>
    <s v="YES"/>
    <m/>
    <m/>
    <m/>
    <m/>
    <m/>
    <m/>
    <m/>
    <s v="YES"/>
    <m/>
    <m/>
    <m/>
    <m/>
    <m/>
    <m/>
    <m/>
    <m/>
    <m/>
    <m/>
    <m/>
    <m/>
    <m/>
    <m/>
    <m/>
    <m/>
    <m/>
    <m/>
    <m/>
    <m/>
    <m/>
    <m/>
    <m/>
    <s v="YES"/>
    <n v="1415"/>
    <n v="0.36"/>
    <m/>
    <m/>
    <m/>
    <m/>
    <m/>
    <s v="YES"/>
    <m/>
    <m/>
    <m/>
    <s v="YES"/>
    <m/>
    <m/>
    <m/>
    <m/>
    <m/>
    <m/>
    <m/>
    <m/>
    <s v="NO"/>
    <m/>
    <m/>
    <m/>
    <s v="NO"/>
    <m/>
    <m/>
    <m/>
    <x v="1"/>
    <m/>
    <s v="YES"/>
    <s v="YES"/>
    <m/>
    <s v="YES"/>
    <m/>
    <m/>
    <m/>
    <m/>
    <x v="0"/>
    <m/>
    <x v="0"/>
    <m/>
    <x v="0"/>
    <x v="1"/>
    <s v="YES"/>
    <x v="0"/>
    <x v="0"/>
    <x v="1"/>
    <x v="4"/>
    <n v="3"/>
    <x v="2"/>
    <x v="1"/>
    <x v="1"/>
    <x v="1"/>
    <x v="2"/>
    <x v="5"/>
    <n v="3"/>
    <x v="1"/>
    <x v="1"/>
    <x v="2"/>
    <x v="1"/>
    <x v="3"/>
    <n v="2"/>
    <x v="2"/>
    <x v="3"/>
    <n v="3"/>
    <s v="Local NGO(s)/CSO(s)"/>
    <s v="Local government(s)"/>
    <m/>
    <x v="0"/>
    <s v="Formation and strengthening of Village development committees, women's groups and youth groups"/>
    <m/>
    <m/>
    <m/>
    <m/>
    <m/>
    <m/>
    <m/>
    <s v="Indirect beneficiaries have not been calculate yet, as project impact has not been proven yet."/>
    <s v="Project proposal and reports are held at Country Office"/>
    <n v="1415"/>
    <n v="57794"/>
    <n v="40.843816254416964"/>
    <n v="0.34770318021201413"/>
    <n v="0.48293940547461672"/>
    <n v="492"/>
    <n v="27911"/>
    <s v=""/>
    <n v="0"/>
    <n v="0"/>
    <s v=""/>
    <n v="1"/>
    <n v="0"/>
    <n v="0"/>
    <s v=""/>
    <s v=""/>
    <n v="0"/>
    <n v="0"/>
    <s v=""/>
    <s v=""/>
    <n v="0"/>
    <n v="0"/>
    <s v=""/>
    <n v="1"/>
    <n v="0"/>
    <n v="0"/>
    <s v=""/>
    <s v="3. Responsive"/>
    <s v="3. Responsive"/>
    <s v="1. Neutral"/>
    <s v="It did not develop any specific innovation"/>
    <s v="Moderate advocacy"/>
    <s v="It did not take tested solutions to scale"/>
  </r>
  <r>
    <x v="69"/>
    <x v="3"/>
    <m/>
    <s v="MAM Prevention, Therapeutic supplementary feeding and Home Fortification"/>
    <s v="Sudan"/>
    <s v="US1VW"/>
    <s v="No CARE member related to the project/initiative"/>
    <s v="Multilateral agency"/>
    <s v="UN - United Nations agencies/offices"/>
    <s v="World Food Programme (WFP)"/>
    <m/>
    <m/>
    <m/>
    <m/>
    <m/>
    <m/>
    <m/>
    <m/>
    <m/>
    <m/>
    <m/>
    <m/>
    <m/>
    <m/>
    <m/>
    <m/>
    <m/>
    <m/>
    <m/>
    <m/>
    <m/>
    <m/>
    <m/>
    <m/>
    <m/>
    <m/>
    <m/>
    <m/>
    <m/>
    <m/>
    <m/>
    <m/>
    <m/>
    <m/>
    <m/>
    <m/>
    <m/>
    <m/>
    <m/>
    <m/>
    <m/>
    <m/>
    <m/>
    <m/>
    <m/>
    <d v="2017-01-01T00:00:00"/>
    <d v="2017-12-31T00:00:00"/>
    <m/>
    <s v="Humanitarian Food &amp; Nutrition Security and Resilience to Climate Change"/>
    <n v="50048"/>
    <s v="Faroug Mohammed"/>
    <s v="Health Project Manager, South Darfur"/>
    <s v="faroug.mohammed@care.org"/>
    <s v="Moges Tefera"/>
    <s v="Program Quality and Learning Country Coordinator"/>
    <s v="mtefera@care.org"/>
    <s v="YES"/>
    <s v="NO"/>
    <s v="NO"/>
    <s v="To Improve the nutrition status of children under 5 and women of reproductive age in Kass IDP camp and host communities in South Darfur"/>
    <s v="Sub-National"/>
    <s v="Kass IDP camp, Singita, Lemo, Kherwa and Gemaiza villages, South Darfur"/>
    <s v="Children under 5 and women of reproductive age"/>
    <m/>
    <m/>
    <m/>
    <m/>
    <m/>
    <m/>
    <m/>
    <m/>
    <m/>
    <m/>
    <m/>
    <m/>
    <m/>
    <m/>
    <m/>
    <m/>
    <m/>
    <m/>
    <m/>
    <m/>
    <m/>
    <m/>
    <m/>
    <m/>
    <m/>
    <m/>
    <s v="YES"/>
    <m/>
    <m/>
    <m/>
    <m/>
    <m/>
    <m/>
    <m/>
    <m/>
    <m/>
    <m/>
    <m/>
    <m/>
    <m/>
    <m/>
    <m/>
    <m/>
    <m/>
    <m/>
    <m/>
    <m/>
    <m/>
    <m/>
    <m/>
    <m/>
    <m/>
    <m/>
    <m/>
    <m/>
    <m/>
    <m/>
    <m/>
    <m/>
    <m/>
    <m/>
    <m/>
    <m/>
    <m/>
    <m/>
    <m/>
    <m/>
    <m/>
    <m/>
    <m/>
    <m/>
    <m/>
    <m/>
    <m/>
    <m/>
    <m/>
    <m/>
    <m/>
    <m/>
    <m/>
    <m/>
    <m/>
    <m/>
    <m/>
    <m/>
    <m/>
    <m/>
    <m/>
    <m/>
    <m/>
    <m/>
    <m/>
    <m/>
    <m/>
    <m/>
    <m/>
    <m/>
    <m/>
    <m/>
    <m/>
    <m/>
    <m/>
    <m/>
    <m/>
    <m/>
    <m/>
    <m/>
    <m/>
    <m/>
    <m/>
    <m/>
    <m/>
    <m/>
    <m/>
    <m/>
    <m/>
    <m/>
    <m/>
    <m/>
    <m/>
    <m/>
    <m/>
    <m/>
    <m/>
    <m/>
    <m/>
    <m/>
    <m/>
    <m/>
    <m/>
    <m/>
    <m/>
    <m/>
    <m/>
    <m/>
    <m/>
    <m/>
    <m/>
    <m/>
    <m/>
    <m/>
    <m/>
    <m/>
    <m/>
    <m/>
    <m/>
    <m/>
    <m/>
    <m/>
    <m/>
    <x v="3"/>
    <m/>
    <m/>
    <m/>
    <m/>
    <m/>
    <m/>
    <m/>
    <m/>
    <m/>
    <x v="3"/>
    <m/>
    <x v="2"/>
    <m/>
    <x v="3"/>
    <x v="2"/>
    <m/>
    <x v="2"/>
    <x v="2"/>
    <x v="2"/>
    <x v="3"/>
    <n v="0"/>
    <x v="0"/>
    <x v="0"/>
    <x v="0"/>
    <x v="0"/>
    <x v="0"/>
    <x v="0"/>
    <n v="0"/>
    <x v="0"/>
    <x v="0"/>
    <x v="0"/>
    <x v="0"/>
    <x v="0"/>
    <n v="0"/>
    <x v="1"/>
    <x v="4"/>
    <m/>
    <m/>
    <m/>
    <m/>
    <x v="3"/>
    <m/>
    <m/>
    <m/>
    <m/>
    <m/>
    <m/>
    <m/>
    <m/>
    <s v="Rporting for this project is not yet provided. The infomration will be completed in FY 2018"/>
    <m/>
    <n v="0"/>
    <n v="0"/>
    <s v=""/>
    <s v=""/>
    <s v=""/>
    <n v="0"/>
    <n v="0"/>
    <n v="1"/>
    <n v="0"/>
    <n v="0"/>
    <s v=""/>
    <n v="1"/>
    <n v="0"/>
    <n v="0"/>
    <s v=""/>
    <s v=""/>
    <n v="0"/>
    <n v="0"/>
    <s v=""/>
    <s v=""/>
    <n v="0"/>
    <n v="0"/>
    <s v=""/>
    <s v=""/>
    <n v="0"/>
    <n v="0"/>
    <s v=""/>
    <s v="No marker score"/>
    <s v="No marker score"/>
    <s v="No marker score"/>
    <n v="0"/>
    <n v="0"/>
    <n v="0"/>
  </r>
  <r>
    <x v="69"/>
    <x v="3"/>
    <n v="3381"/>
    <s v="Promoting Peace in East Darfur"/>
    <s v="Sudan"/>
    <s v="US1O4"/>
    <s v="No CARE member related to the project/initiative"/>
    <s v="Multilateral agency"/>
    <s v="UN - United Nations agencies/offices"/>
    <s v="UNDP"/>
    <m/>
    <m/>
    <m/>
    <m/>
    <m/>
    <m/>
    <m/>
    <m/>
    <m/>
    <m/>
    <m/>
    <m/>
    <m/>
    <m/>
    <m/>
    <m/>
    <m/>
    <m/>
    <m/>
    <m/>
    <m/>
    <m/>
    <m/>
    <m/>
    <m/>
    <m/>
    <m/>
    <m/>
    <m/>
    <m/>
    <m/>
    <m/>
    <m/>
    <m/>
    <m/>
    <m/>
    <m/>
    <m/>
    <m/>
    <m/>
    <m/>
    <m/>
    <m/>
    <m/>
    <m/>
    <d v="2016-03-01T00:00:00"/>
    <d v="2018-02-28T00:00:00"/>
    <m/>
    <s v="Development Other"/>
    <n v="650000"/>
    <s v="Ibrahim Elfatih"/>
    <s v="Program Manager"/>
    <s v="elfatih.ibrahim@care.org"/>
    <s v="Moges Tefera"/>
    <s v="Program Quality and Learning Country Coordinator"/>
    <s v="moges.tefera@care.org"/>
    <s v="YES"/>
    <s v="YES"/>
    <s v="YES"/>
    <s v="Peace co-existence among communities in the three localities of Abu-Karinka, Assalaya and ED Deain of East DarfurState  for Early Recovery and Stability Through Trust and Confidence building"/>
    <s v="Sub-National"/>
    <s v="Three Localities Abu-Karinka, Assalaya and ED Deain of East Darfur State"/>
    <s v="Farmers and Pastoralists"/>
    <n v="194907"/>
    <n v="67258"/>
    <n v="121229"/>
    <m/>
    <m/>
    <m/>
    <s v="Direct: the members of the communities who receive the benefits from improved peace. Because all direct beneficiaries were calculated as entire communities, no indirect beneficiaries calculated."/>
    <m/>
    <n v="595"/>
    <n v="1161"/>
    <n v="1756"/>
    <m/>
    <m/>
    <m/>
    <m/>
    <m/>
    <m/>
    <m/>
    <m/>
    <m/>
    <m/>
    <m/>
    <m/>
    <m/>
    <m/>
    <m/>
    <m/>
    <m/>
    <m/>
    <m/>
    <m/>
    <m/>
    <m/>
    <m/>
    <m/>
    <m/>
    <m/>
    <m/>
    <m/>
    <m/>
    <m/>
    <m/>
    <m/>
    <m/>
    <m/>
    <m/>
    <m/>
    <m/>
    <m/>
    <m/>
    <m/>
    <m/>
    <m/>
    <m/>
    <m/>
    <m/>
    <m/>
    <m/>
    <m/>
    <m/>
    <m/>
    <m/>
    <s v="Peace building"/>
    <s v="YES"/>
    <n v="1756"/>
    <n v="0.33"/>
    <m/>
    <n v="595"/>
    <n v="1161"/>
    <n v="1756"/>
    <m/>
    <m/>
    <m/>
    <s v="YES"/>
    <n v="1720"/>
    <n v="0.33"/>
    <m/>
    <m/>
    <m/>
    <m/>
    <m/>
    <s v="YES"/>
    <n v="36"/>
    <n v="0.5"/>
    <m/>
    <m/>
    <m/>
    <m/>
    <m/>
    <m/>
    <m/>
    <m/>
    <m/>
    <m/>
    <m/>
    <m/>
    <m/>
    <m/>
    <m/>
    <m/>
    <m/>
    <m/>
    <m/>
    <m/>
    <m/>
    <m/>
    <m/>
    <m/>
    <m/>
    <m/>
    <m/>
    <m/>
    <m/>
    <m/>
    <m/>
    <m/>
    <m/>
    <m/>
    <m/>
    <m/>
    <m/>
    <m/>
    <m/>
    <m/>
    <m/>
    <m/>
    <m/>
    <m/>
    <m/>
    <m/>
    <m/>
    <m/>
    <m/>
    <m/>
    <m/>
    <m/>
    <m/>
    <m/>
    <m/>
    <m/>
    <m/>
    <m/>
    <s v="NO"/>
    <m/>
    <m/>
    <m/>
    <s v="YES"/>
    <s v="September"/>
    <n v="2017"/>
    <s v="Future Evaluation will be carried out through evaluation tools the methodology of the evaluation are direct interviews with the beneficiaries and / or FGD"/>
    <x v="1"/>
    <m/>
    <s v="YES"/>
    <m/>
    <m/>
    <s v="YES"/>
    <m/>
    <m/>
    <m/>
    <m/>
    <x v="1"/>
    <s v="Creation of Community Based Resolution Mechanisms in each of the 6 villages, to help deal with conflicts arising. Establishing Village Development committees, sectoral specific committees, womens and youth groups in each village. Resource management mechanisms work on how to improve use of resources in the village, such as veterinary posts for pastoraists, improved health services, improved education, improved agriculture through Ministry of Agriculture"/>
    <x v="0"/>
    <m/>
    <x v="0"/>
    <x v="1"/>
    <s v="YES"/>
    <x v="0"/>
    <x v="0"/>
    <x v="1"/>
    <x v="4"/>
    <n v="3"/>
    <x v="2"/>
    <x v="1"/>
    <x v="1"/>
    <x v="2"/>
    <x v="1"/>
    <x v="5"/>
    <n v="3"/>
    <x v="3"/>
    <x v="2"/>
    <x v="1"/>
    <x v="1"/>
    <x v="5"/>
    <n v="2"/>
    <x v="0"/>
    <x v="0"/>
    <n v="2"/>
    <s v="Local NGO(s)/CSO(s)"/>
    <s v="Local government(s)"/>
    <m/>
    <x v="0"/>
    <s v="Creation of Community Based Resolution Mechanisms in each of the 6 villages, to help deal with conflicts arising. Establishing Village Development committees, sectoral specific committees, womens and youth groups in each village"/>
    <m/>
    <s v="Enhancing the role of women in peace building by working with those women who traditionally sing songs of violence to start singing songs for peace"/>
    <m/>
    <m/>
    <s v="Delays and difficulties in the region of East Darfur have caused for delays in implementation, as there are many issues with this region"/>
    <m/>
    <m/>
    <m/>
    <s v="Propject proposal and interim reports are held at Country Office"/>
    <n v="1756"/>
    <n v="0"/>
    <n v="0"/>
    <n v="0.33883826879271073"/>
    <s v=""/>
    <n v="595"/>
    <n v="0"/>
    <n v="1"/>
    <n v="1756"/>
    <n v="0"/>
    <n v="0"/>
    <n v="1"/>
    <n v="1720"/>
    <n v="0"/>
    <n v="0"/>
    <s v=""/>
    <n v="0"/>
    <n v="0"/>
    <s v=""/>
    <s v=""/>
    <n v="0"/>
    <n v="0"/>
    <s v=""/>
    <s v=""/>
    <n v="0"/>
    <n v="0"/>
    <s v=""/>
    <s v="3. Responsive"/>
    <s v="3. Responsive"/>
    <s v="3. Responsive"/>
    <s v="It tested new ways for fighting poverty, but did not measure results of innovation"/>
    <s v="Moderate advocacy"/>
    <s v="It did not take tested solutions to scale"/>
  </r>
  <r>
    <x v="69"/>
    <x v="3"/>
    <n v="3390"/>
    <s v="Promoting Resilience to Increase Food Security in Vulnerable Communities of Gedaref State"/>
    <s v="Sudan"/>
    <s v="US1MT"/>
    <s v="No CARE member related to the project/initiative"/>
    <s v="Government"/>
    <s v="EU - European Union (other than ECHO)"/>
    <s v="EU"/>
    <m/>
    <m/>
    <m/>
    <m/>
    <m/>
    <m/>
    <m/>
    <m/>
    <m/>
    <m/>
    <m/>
    <m/>
    <m/>
    <m/>
    <m/>
    <m/>
    <m/>
    <m/>
    <m/>
    <m/>
    <m/>
    <m/>
    <m/>
    <m/>
    <m/>
    <m/>
    <m/>
    <m/>
    <m/>
    <m/>
    <m/>
    <m/>
    <m/>
    <m/>
    <m/>
    <m/>
    <m/>
    <m/>
    <m/>
    <m/>
    <m/>
    <m/>
    <m/>
    <m/>
    <m/>
    <d v="2015-03-01T00:00:00"/>
    <d v="2017-02-28T00:00:00"/>
    <d v="2018-02-28T00:00:00"/>
    <s v="Humanitarian Food &amp; Nutrition Security and Resilience to Climate Change"/>
    <n v="97000"/>
    <s v="Mohamed IREG"/>
    <s v="Program Focal person"/>
    <s v="Mohammed.Ismail@care.org"/>
    <s v="Amy Wing"/>
    <s v="Funding Coordinator"/>
    <s v="Amy.Wing@care.org"/>
    <s v="NO"/>
    <s v="YES"/>
    <s v="NO"/>
    <s v="Provide technical support to the local partner &quot;Child Development Foundation&quot; in implementing a project that aim to promote resilience of vulnerable communities, particularly women and youth, to increase food security in targeted locations in Gedaref State."/>
    <s v="Sub-National"/>
    <s v="Sudan, Gedaref State, Gedaref Municipally and Al Galabat west localities (communities in Gedaref locality El Wahda. El Tadamon. Deim Saad, El Sadaga, El Thoura) Communities in West Galabat (Kassab, Assar, Wad El Houri, Wad Deif, Sraaf)."/>
    <s v="6000 vulnerable households with focus on women and youth."/>
    <n v="3500"/>
    <n v="2500"/>
    <n v="6000"/>
    <n v="18000"/>
    <n v="18000"/>
    <n v="36000"/>
    <s v="Direct: direct beneficiaries receiving services and participating in activities. Indirect: their other family members and neighbours, calculated at 6 persons per household - averaged based on actual total numbers of members in a specific community. Specifically for agriculture, calculated at total commuity members in the village, because training participants share information with all farmers in village."/>
    <m/>
    <m/>
    <m/>
    <m/>
    <m/>
    <m/>
    <m/>
    <m/>
    <m/>
    <m/>
    <m/>
    <m/>
    <m/>
    <m/>
    <m/>
    <m/>
    <m/>
    <m/>
    <m/>
    <m/>
    <m/>
    <m/>
    <m/>
    <m/>
    <m/>
    <m/>
    <m/>
    <m/>
    <m/>
    <m/>
    <m/>
    <m/>
    <m/>
    <m/>
    <m/>
    <m/>
    <m/>
    <m/>
    <m/>
    <m/>
    <m/>
    <m/>
    <m/>
    <m/>
    <m/>
    <m/>
    <m/>
    <m/>
    <m/>
    <m/>
    <m/>
    <m/>
    <m/>
    <m/>
    <m/>
    <m/>
    <m/>
    <m/>
    <m/>
    <m/>
    <n v="4256"/>
    <n v="581"/>
    <n v="4837"/>
    <n v="26387"/>
    <n v="3602"/>
    <n v="29989"/>
    <s v="YES"/>
    <n v="225"/>
    <n v="0.52"/>
    <n v="22243"/>
    <m/>
    <m/>
    <m/>
    <m/>
    <m/>
    <m/>
    <m/>
    <m/>
    <m/>
    <m/>
    <m/>
    <m/>
    <m/>
    <m/>
    <m/>
    <m/>
    <m/>
    <m/>
    <m/>
    <m/>
    <s v="YES"/>
    <n v="150"/>
    <n v="1"/>
    <n v="900"/>
    <m/>
    <m/>
    <m/>
    <m/>
    <m/>
    <m/>
    <m/>
    <m/>
    <m/>
    <m/>
    <m/>
    <m/>
    <m/>
    <m/>
    <m/>
    <m/>
    <m/>
    <m/>
    <m/>
    <m/>
    <m/>
    <m/>
    <m/>
    <m/>
    <m/>
    <m/>
    <m/>
    <m/>
    <m/>
    <m/>
    <m/>
    <m/>
    <s v="YES"/>
    <n v="3672"/>
    <n v="1"/>
    <n v="2106"/>
    <s v="Vocational Training"/>
    <s v="YES"/>
    <n v="790"/>
    <n v="0.3"/>
    <n v="4740"/>
    <s v="NO"/>
    <m/>
    <m/>
    <m/>
    <s v="NO"/>
    <m/>
    <m/>
    <m/>
    <x v="0"/>
    <m/>
    <m/>
    <m/>
    <m/>
    <m/>
    <m/>
    <m/>
    <m/>
    <m/>
    <x v="0"/>
    <m/>
    <x v="1"/>
    <s v="Local partner worked with Ministries of education and agriculture to include in their planning for actvities in the state."/>
    <x v="0"/>
    <x v="1"/>
    <s v="YES"/>
    <x v="0"/>
    <x v="0"/>
    <x v="1"/>
    <x v="4"/>
    <n v="3"/>
    <x v="1"/>
    <x v="1"/>
    <x v="2"/>
    <x v="1"/>
    <x v="2"/>
    <x v="4"/>
    <n v="2"/>
    <x v="3"/>
    <x v="1"/>
    <x v="1"/>
    <x v="1"/>
    <x v="4"/>
    <n v="3"/>
    <x v="0"/>
    <x v="2"/>
    <n v="1"/>
    <s v="Local NGO(s)/CSO(s)"/>
    <m/>
    <m/>
    <x v="0"/>
    <s v="In this project CARE instead of receiving the fund directly from the donor (EU), it encouraged and supported the local NGO to directly apply as main applicant while CARE applied as C0-applicant, and convinced the EU on this model of funding as way to strengthening the capacities of local organizations. This strategy of letting the partner take a lead in the implementation while receiving continuous technical backstopping from CARE has clearly helped the partner to achieve better capacity and improvement."/>
    <m/>
    <s v="Organizing review workshops every quarter with the partner, was a successful strategy that utilized as a learning event where partner and CARE can analyze lessons and decide on new plans."/>
    <s v="The on-job training was good modality that helped the partner to build capacity on different organizational and technical aspects. For instances, they improved their finance, HR and admin system from the on-job trainings that provided through CARE, in addition to building technical capacity on VSLA methodology, REFLECT methodology, and Positive deviance Hearth approach."/>
    <m/>
    <s v="Managing the partner expectation was one of the main challenge of this year."/>
    <s v="Giving flexible room and opportunity for the local partner to lead the planing and the implementation is considered by the team as a promising practice that other local NGOs look at it as successful model."/>
    <m/>
    <m/>
    <s v="The project baseline report and the validation study of the cash grant methodology and the vocational training are kept with CARE Sudan filing system."/>
    <n v="4837"/>
    <n v="29989"/>
    <n v="6.1999173041141207"/>
    <n v="0.87988422575976843"/>
    <n v="0.87988929274067162"/>
    <n v="4256"/>
    <n v="26387"/>
    <s v=""/>
    <n v="0"/>
    <n v="0"/>
    <s v=""/>
    <n v="1"/>
    <n v="225"/>
    <n v="22243"/>
    <n v="98.857777777777784"/>
    <s v=""/>
    <n v="0"/>
    <n v="0"/>
    <s v=""/>
    <s v=""/>
    <n v="0"/>
    <n v="0"/>
    <s v=""/>
    <n v="1"/>
    <n v="3672"/>
    <n v="2106"/>
    <n v="0.57352941176470584"/>
    <s v="3. Responsive"/>
    <s v="1. Tokenistic"/>
    <s v="4. Transformative"/>
    <s v="It did not develop any specific innovation"/>
    <s v="Little or no advocacy"/>
    <s v="It linked and worked with strategic alliances and partners to take tested and effective solutions to scale"/>
  </r>
  <r>
    <x v="69"/>
    <x v="3"/>
    <n v="3385"/>
    <s v="Provision of WASH Services to South Sudanese Population in South Kordofan"/>
    <s v="Sudan"/>
    <s v="US1PC"/>
    <s v="No CARE member related to the project/initiative"/>
    <s v="Multilateral agency"/>
    <s v="UN - United Nations agencies/offices"/>
    <s v="UNHCR"/>
    <m/>
    <m/>
    <m/>
    <m/>
    <m/>
    <m/>
    <m/>
    <m/>
    <m/>
    <m/>
    <m/>
    <m/>
    <m/>
    <m/>
    <m/>
    <m/>
    <m/>
    <m/>
    <m/>
    <m/>
    <m/>
    <m/>
    <m/>
    <m/>
    <m/>
    <m/>
    <m/>
    <m/>
    <m/>
    <m/>
    <m/>
    <m/>
    <m/>
    <m/>
    <m/>
    <m/>
    <m/>
    <m/>
    <m/>
    <m/>
    <m/>
    <m/>
    <m/>
    <m/>
    <m/>
    <d v="2016-04-01T00:00:00"/>
    <d v="2016-12-31T00:00:00"/>
    <m/>
    <s v="Humanitarian Other"/>
    <n v="400000"/>
    <s v="Tesfaye Mohammed Hussien"/>
    <s v="WASH Advisor"/>
    <s v="tesfaye.hussein@careinternational.onmicrosoft.com"/>
    <s v="Amy Wing"/>
    <s v="Funding Coordinator"/>
    <s v="Amy.Wing@care.org"/>
    <s v="YES"/>
    <s v="NO"/>
    <s v="NO"/>
    <s v="Provision of sufficient safe and clean water, adequate sanitation facilities and appropriate Hygiene promotion activities for  the South Sudanese refugees and the most vulnerable host communities residing in Nine Sites in Abujbiah and Ellirir localities."/>
    <s v="Sub-National"/>
    <s v="Sudan, in South Kordofan State (Abujbiha and Ellrir localities)"/>
    <s v="The project will support the South Sudanese Refugees (Women, Men, Children)."/>
    <n v="15506"/>
    <n v="5941"/>
    <n v="21447"/>
    <n v="6630"/>
    <n v="6370"/>
    <n v="13000"/>
    <s v="South Sudanese refugees in South Kordofan are the projects population of concern and primary beneficiaries. Indirect beneficiaries are host community members of the areas where refugees are settled, also accessing WASH services."/>
    <m/>
    <n v="16594"/>
    <n v="6364"/>
    <n v="22958"/>
    <n v="6630"/>
    <n v="6370"/>
    <n v="13000"/>
    <s v="NO"/>
    <m/>
    <m/>
    <m/>
    <s v="NO"/>
    <m/>
    <m/>
    <m/>
    <s v="NO"/>
    <m/>
    <m/>
    <m/>
    <s v="NO"/>
    <m/>
    <m/>
    <m/>
    <s v="NO"/>
    <m/>
    <m/>
    <m/>
    <s v="NO"/>
    <m/>
    <m/>
    <m/>
    <s v="NO"/>
    <m/>
    <m/>
    <m/>
    <s v="NO"/>
    <m/>
    <m/>
    <m/>
    <s v="NO"/>
    <m/>
    <m/>
    <m/>
    <s v="NO"/>
    <m/>
    <m/>
    <m/>
    <s v="NO"/>
    <m/>
    <m/>
    <m/>
    <s v="YES"/>
    <n v="22598"/>
    <n v="0.73431277104168502"/>
    <n v="13000"/>
    <m/>
    <s v="NO"/>
    <m/>
    <m/>
    <m/>
    <m/>
    <m/>
    <m/>
    <m/>
    <m/>
    <m/>
    <m/>
    <m/>
    <m/>
    <m/>
    <m/>
    <m/>
    <m/>
    <m/>
    <m/>
    <m/>
    <m/>
    <m/>
    <m/>
    <m/>
    <m/>
    <m/>
    <m/>
    <m/>
    <m/>
    <m/>
    <m/>
    <m/>
    <m/>
    <m/>
    <m/>
    <m/>
    <m/>
    <m/>
    <m/>
    <m/>
    <m/>
    <m/>
    <m/>
    <m/>
    <m/>
    <m/>
    <m/>
    <m/>
    <m/>
    <m/>
    <m/>
    <m/>
    <m/>
    <m/>
    <m/>
    <m/>
    <m/>
    <m/>
    <m/>
    <m/>
    <m/>
    <m/>
    <m/>
    <m/>
    <m/>
    <m/>
    <m/>
    <m/>
    <m/>
    <m/>
    <m/>
    <m/>
    <m/>
    <m/>
    <m/>
    <m/>
    <m/>
    <m/>
    <m/>
    <s v="NO"/>
    <m/>
    <m/>
    <m/>
    <s v="YES"/>
    <s v="December"/>
    <n v="2017"/>
    <s v="Joint Evaluation including CARE, UNHCR, local Authorities."/>
    <x v="0"/>
    <s v="NO"/>
    <s v="NO"/>
    <s v="NO"/>
    <s v="NO"/>
    <s v="NO"/>
    <s v="NO"/>
    <s v="NO"/>
    <s v="NO"/>
    <m/>
    <x v="0"/>
    <m/>
    <x v="0"/>
    <m/>
    <x v="0"/>
    <x v="0"/>
    <s v="YES"/>
    <x v="0"/>
    <x v="0"/>
    <x v="0"/>
    <x v="0"/>
    <n v="4"/>
    <x v="1"/>
    <x v="1"/>
    <x v="1"/>
    <x v="1"/>
    <x v="1"/>
    <x v="1"/>
    <n v="4"/>
    <x v="1"/>
    <x v="1"/>
    <x v="2"/>
    <x v="1"/>
    <x v="3"/>
    <n v="2"/>
    <x v="0"/>
    <x v="0"/>
    <n v="3"/>
    <s v="Local government(s)"/>
    <s v="Local NGO(s)/CSO(s)"/>
    <s v="Grassroots organization(s)"/>
    <x v="1"/>
    <m/>
    <s v="No changes have been experienced."/>
    <m/>
    <m/>
    <m/>
    <s v="Targeting only the refugees while they are integrated with the host creates envy and further exacerbates the tension.  "/>
    <m/>
    <m/>
    <s v="As provision of safe water was conitnuous from construction until end of project, total numbers of beneficiaries in every month were the same."/>
    <s v="Final report held at Country Office"/>
    <n v="22958"/>
    <n v="13000"/>
    <n v="0.56625141562853909"/>
    <n v="0.72279815314922902"/>
    <n v="0.51"/>
    <n v="16594"/>
    <n v="6630"/>
    <n v="1"/>
    <n v="22958"/>
    <n v="13000"/>
    <n v="0.56625141562853909"/>
    <s v=""/>
    <n v="0"/>
    <n v="0"/>
    <s v=""/>
    <s v=""/>
    <n v="0"/>
    <n v="0"/>
    <s v=""/>
    <s v=""/>
    <n v="0"/>
    <n v="0"/>
    <s v=""/>
    <s v=""/>
    <n v="0"/>
    <n v="0"/>
    <s v=""/>
    <s v="2. Sensitive"/>
    <s v="2. Accommodating"/>
    <s v="1. Neutral"/>
    <s v="It did not develop any specific innovation"/>
    <s v="Little or no advocacy"/>
    <s v="It did not take tested solutions to scale"/>
  </r>
  <r>
    <x v="69"/>
    <x v="3"/>
    <m/>
    <s v="Provision of WASH services to South Sudanese refugees in South Kordofan and East Darfur States"/>
    <s v="Sudan"/>
    <s v="US1V4"/>
    <s v="No CARE member related to the project/initiative"/>
    <s v="Multilateral agency"/>
    <s v="UN - United Nations agencies/offices"/>
    <s v="UNICEF"/>
    <s v="US1V5"/>
    <s v="No CARE member related to the project/initiative"/>
    <s v="Multilateral agency"/>
    <s v="UN - United Nations agencies/offices"/>
    <s v="UNICEF"/>
    <m/>
    <m/>
    <m/>
    <m/>
    <m/>
    <m/>
    <m/>
    <m/>
    <m/>
    <m/>
    <m/>
    <m/>
    <m/>
    <m/>
    <m/>
    <m/>
    <m/>
    <m/>
    <m/>
    <m/>
    <m/>
    <m/>
    <m/>
    <m/>
    <m/>
    <m/>
    <m/>
    <m/>
    <m/>
    <m/>
    <m/>
    <m/>
    <m/>
    <m/>
    <m/>
    <m/>
    <m/>
    <m/>
    <m/>
    <m/>
    <d v="2017-01-01T00:00:00"/>
    <d v="2017-12-31T00:00:00"/>
    <m/>
    <s v="Humanitarian Other"/>
    <n v="737140.86"/>
    <s v="Tesfaye Hussein"/>
    <s v="WASH and Public Health Advisor"/>
    <s v="Tesfaye.hussein@careinternational.onmicrosoft.com"/>
    <s v="Rishana Haniffa"/>
    <s v="ACD"/>
    <s v="Rishana.Haniffa@care.org"/>
    <s v="YES"/>
    <s v="NO"/>
    <s v="NO"/>
    <s v="The overarching objective of this intervention is to reduce the mortality rate among 31,735 South Sudanese refugees residing in the targeted areas of Abu Jubeha and El Liri localities of South Kordofan State and Al Nimir camp of East Darfur State and ensure their protection though the provision of critically needed WASH services."/>
    <s v="Sub-National"/>
    <s v="Abu Jubeha and El Liri localities of South Kordofan State and Al Nimir camp of East Darfur State"/>
    <s v="Refugees"/>
    <n v="17626"/>
    <n v="14109"/>
    <n v="31735"/>
    <n v="7313"/>
    <n v="9307"/>
    <n v="16620"/>
    <s v="Direct: refugees. Indirect: host communities surrounding camps"/>
    <m/>
    <n v="23915"/>
    <n v="18791"/>
    <n v="42706"/>
    <n v="7313"/>
    <n v="9307"/>
    <n v="16620"/>
    <m/>
    <m/>
    <m/>
    <m/>
    <m/>
    <m/>
    <m/>
    <m/>
    <m/>
    <m/>
    <m/>
    <m/>
    <m/>
    <m/>
    <m/>
    <m/>
    <m/>
    <m/>
    <m/>
    <m/>
    <m/>
    <m/>
    <m/>
    <m/>
    <m/>
    <m/>
    <m/>
    <m/>
    <m/>
    <m/>
    <m/>
    <m/>
    <m/>
    <m/>
    <m/>
    <m/>
    <m/>
    <m/>
    <m/>
    <m/>
    <m/>
    <m/>
    <m/>
    <m/>
    <s v="YES"/>
    <n v="42706"/>
    <n v="0.56000000000000005"/>
    <n v="16620"/>
    <m/>
    <m/>
    <m/>
    <m/>
    <m/>
    <m/>
    <m/>
    <m/>
    <m/>
    <m/>
    <m/>
    <m/>
    <m/>
    <m/>
    <m/>
    <m/>
    <m/>
    <m/>
    <m/>
    <m/>
    <m/>
    <m/>
    <m/>
    <m/>
    <m/>
    <m/>
    <m/>
    <m/>
    <m/>
    <m/>
    <m/>
    <m/>
    <m/>
    <m/>
    <m/>
    <m/>
    <m/>
    <m/>
    <m/>
    <m/>
    <m/>
    <m/>
    <m/>
    <m/>
    <m/>
    <m/>
    <m/>
    <m/>
    <m/>
    <m/>
    <m/>
    <m/>
    <m/>
    <m/>
    <m/>
    <m/>
    <m/>
    <m/>
    <m/>
    <m/>
    <m/>
    <m/>
    <m/>
    <m/>
    <m/>
    <m/>
    <m/>
    <m/>
    <m/>
    <m/>
    <m/>
    <m/>
    <m/>
    <m/>
    <m/>
    <m/>
    <m/>
    <m/>
    <m/>
    <m/>
    <s v="NO"/>
    <m/>
    <m/>
    <m/>
    <s v="NO"/>
    <m/>
    <m/>
    <m/>
    <x v="0"/>
    <m/>
    <m/>
    <m/>
    <m/>
    <m/>
    <m/>
    <m/>
    <m/>
    <m/>
    <x v="0"/>
    <m/>
    <x v="0"/>
    <m/>
    <x v="0"/>
    <x v="0"/>
    <s v="YES"/>
    <x v="0"/>
    <x v="0"/>
    <x v="0"/>
    <x v="0"/>
    <n v="4"/>
    <x v="1"/>
    <x v="1"/>
    <x v="1"/>
    <x v="1"/>
    <x v="1"/>
    <x v="1"/>
    <n v="4"/>
    <x v="1"/>
    <x v="1"/>
    <x v="1"/>
    <x v="1"/>
    <x v="1"/>
    <n v="3"/>
    <x v="2"/>
    <x v="1"/>
    <m/>
    <s v="Local government(s)"/>
    <m/>
    <m/>
    <x v="2"/>
    <s v="Formation of WASH committees in camps"/>
    <s v="The additional 10,971 refugees were as a result of the new influxes to the project areas during the reporting period and the expansion to the additional site (El Ferdous)."/>
    <m/>
    <m/>
    <m/>
    <m/>
    <m/>
    <m/>
    <m/>
    <s v="Project proposal and reports are held at Country Office"/>
    <n v="42706"/>
    <n v="16620"/>
    <n v="0.38917248161850793"/>
    <n v="0.55999157027115631"/>
    <n v="0.44001203369434416"/>
    <n v="23915"/>
    <n v="7313"/>
    <n v="1"/>
    <n v="42706"/>
    <n v="16620"/>
    <n v="0.38917248161850793"/>
    <s v=""/>
    <n v="0"/>
    <n v="0"/>
    <s v=""/>
    <s v=""/>
    <n v="0"/>
    <n v="0"/>
    <s v=""/>
    <s v=""/>
    <n v="0"/>
    <n v="0"/>
    <s v=""/>
    <s v=""/>
    <n v="0"/>
    <n v="0"/>
    <s v=""/>
    <s v="2. Sensitive"/>
    <s v="2. Accommodating"/>
    <s v="2. Sensitive"/>
    <s v="It did not develop any specific innovation"/>
    <s v="Little or no advocacy"/>
    <s v="It did not take tested solutions to scale"/>
  </r>
  <r>
    <x v="69"/>
    <x v="3"/>
    <m/>
    <s v="Reducing morbidity and malnutrition rates and increasing self-sufficiency through integrated WASH responses in East Darfur and South Darfur, Sudan"/>
    <s v="Sudan"/>
    <s v="NL192"/>
    <s v="CARE Nederland"/>
    <s v="Multilateral agency"/>
    <s v="ECHO - European Commission for Humanitarian Aid and Civil Protection"/>
    <s v="ECHO"/>
    <m/>
    <m/>
    <m/>
    <m/>
    <m/>
    <m/>
    <m/>
    <m/>
    <m/>
    <m/>
    <m/>
    <m/>
    <m/>
    <m/>
    <m/>
    <m/>
    <m/>
    <m/>
    <m/>
    <m/>
    <m/>
    <m/>
    <m/>
    <m/>
    <m/>
    <m/>
    <m/>
    <m/>
    <m/>
    <m/>
    <m/>
    <m/>
    <m/>
    <m/>
    <m/>
    <m/>
    <m/>
    <m/>
    <m/>
    <m/>
    <m/>
    <m/>
    <m/>
    <m/>
    <m/>
    <d v="2016-06-01T00:00:00"/>
    <d v="2017-05-31T00:00:00"/>
    <m/>
    <s v="Humanitarian Other"/>
    <m/>
    <s v="Tesfaye Hussein"/>
    <s v="WASH and Public Health Advisor"/>
    <s v="tesfaye.hussein@careinternational.onmicrosoft.com"/>
    <s v="Amy Wing"/>
    <s v="Funding Coordinator"/>
    <s v="amy.wing@care.org"/>
    <s v="YES"/>
    <s v="NO"/>
    <s v="NO"/>
    <s v="Increasing and sustaining equitable access to safe watr, environmental sanitation and safe hygiene practices among IDPs and conflict affected vulnerable people in East and South Darfur. (2) Providing emergency WASH assistance to newly arrived South Sudanese refugees in Kario camp, East Darfur State."/>
    <s v="Sub-National"/>
    <s v="Alsalam IDP camp, Kalma IDO camp, Gereia IDP camp and Kubum Locality in South Darfur. Ed Daein Locality (Khor Omer refugee settlement), Yassin Locality and Alsalaya Locality in East Darfur."/>
    <s v="Chronically vulnerable people, including returnees, host communities IDPs and South Sudanese refugees"/>
    <n v="178944"/>
    <n v="174421"/>
    <n v="353355"/>
    <m/>
    <m/>
    <m/>
    <s v="Direct beneficiaires only calculated, as water sources rehabilitated and constructed, meaning entire household received benefit. All other activities for same people within these areas receiving water benefit,so to avoid double counting, not included on top."/>
    <m/>
    <n v="174128"/>
    <n v="169727"/>
    <n v="343855"/>
    <m/>
    <m/>
    <m/>
    <m/>
    <m/>
    <m/>
    <m/>
    <m/>
    <m/>
    <m/>
    <m/>
    <m/>
    <m/>
    <m/>
    <m/>
    <m/>
    <m/>
    <m/>
    <m/>
    <m/>
    <m/>
    <m/>
    <m/>
    <m/>
    <m/>
    <m/>
    <m/>
    <m/>
    <m/>
    <m/>
    <m/>
    <m/>
    <m/>
    <m/>
    <m/>
    <m/>
    <m/>
    <m/>
    <m/>
    <m/>
    <m/>
    <m/>
    <m/>
    <m/>
    <m/>
    <m/>
    <m/>
    <s v="YES"/>
    <n v="343855"/>
    <n v="0.5"/>
    <m/>
    <m/>
    <m/>
    <m/>
    <m/>
    <m/>
    <m/>
    <m/>
    <m/>
    <m/>
    <m/>
    <m/>
    <m/>
    <m/>
    <m/>
    <m/>
    <m/>
    <m/>
    <m/>
    <m/>
    <m/>
    <m/>
    <m/>
    <m/>
    <m/>
    <m/>
    <m/>
    <m/>
    <m/>
    <m/>
    <m/>
    <m/>
    <m/>
    <m/>
    <m/>
    <m/>
    <m/>
    <m/>
    <m/>
    <m/>
    <m/>
    <m/>
    <m/>
    <m/>
    <m/>
    <m/>
    <m/>
    <m/>
    <m/>
    <m/>
    <m/>
    <m/>
    <m/>
    <m/>
    <m/>
    <m/>
    <m/>
    <m/>
    <m/>
    <m/>
    <m/>
    <m/>
    <m/>
    <m/>
    <m/>
    <m/>
    <m/>
    <m/>
    <m/>
    <m/>
    <m/>
    <m/>
    <m/>
    <m/>
    <m/>
    <m/>
    <m/>
    <m/>
    <m/>
    <m/>
    <m/>
    <s v="NO"/>
    <m/>
    <m/>
    <s v="YES"/>
    <s v="NO"/>
    <m/>
    <m/>
    <s v="KAP Survey conducted January 2017"/>
    <x v="0"/>
    <m/>
    <m/>
    <m/>
    <m/>
    <m/>
    <m/>
    <m/>
    <m/>
    <m/>
    <x v="0"/>
    <m/>
    <x v="0"/>
    <m/>
    <x v="0"/>
    <x v="0"/>
    <s v="YES"/>
    <x v="0"/>
    <x v="0"/>
    <x v="0"/>
    <x v="0"/>
    <n v="4"/>
    <x v="1"/>
    <x v="1"/>
    <x v="1"/>
    <x v="1"/>
    <x v="1"/>
    <x v="1"/>
    <n v="4"/>
    <x v="1"/>
    <x v="1"/>
    <x v="1"/>
    <x v="1"/>
    <x v="1"/>
    <n v="3"/>
    <x v="2"/>
    <x v="3"/>
    <n v="3"/>
    <s v="Local NGO(s)/CSO(s)"/>
    <s v="Local government(s)"/>
    <m/>
    <x v="2"/>
    <s v="Establishment of WASH committees"/>
    <s v="Locality changed for refugees, as they were moved to Kario and Al Nimir refugee camps in East Darfur, from Khor Omer camp."/>
    <s v="After conducting a gender analysis in Kario refugee camp, the latrine design was changed based on women's request for more space and privacy."/>
    <s v="The establishment of a central WASH committee in IDP camps with all implementing partners (ARC, Oxfam, WES) to harmonise and standardise responses and implementation in all the sectors of the camp."/>
    <m/>
    <m/>
    <m/>
    <m/>
    <m/>
    <s v="Project proposal, interim report, final report and Assessments are held at Country Office."/>
    <n v="343855"/>
    <n v="0"/>
    <n v="0"/>
    <n v="0.50639949978915533"/>
    <s v=""/>
    <n v="174128"/>
    <n v="0"/>
    <n v="1"/>
    <n v="343855"/>
    <n v="0"/>
    <n v="0"/>
    <s v=""/>
    <n v="0"/>
    <n v="0"/>
    <s v=""/>
    <s v=""/>
    <n v="0"/>
    <n v="0"/>
    <s v=""/>
    <s v=""/>
    <n v="0"/>
    <n v="0"/>
    <s v=""/>
    <s v=""/>
    <n v="0"/>
    <n v="0"/>
    <s v=""/>
    <s v="2. Sensitive"/>
    <s v="2. Accommodating"/>
    <s v="2. Sensitive"/>
    <s v="It did not develop any specific innovation"/>
    <s v="Little or no advocacy"/>
    <s v="It did not take tested solutions to scale"/>
  </r>
  <r>
    <x v="69"/>
    <x v="3"/>
    <n v="3379"/>
    <s v="Secure Economies and Diversified Livelihoods for Peaceful Coexistence in South Darfur and South Kordofan (SEED)"/>
    <s v="Sudan"/>
    <s v="NL160"/>
    <s v="CARE Nederland"/>
    <s v="Multilateral agency"/>
    <s v="EU - European Union (other than ECHO)"/>
    <s v="EU"/>
    <m/>
    <m/>
    <m/>
    <m/>
    <m/>
    <m/>
    <m/>
    <m/>
    <m/>
    <m/>
    <m/>
    <m/>
    <m/>
    <m/>
    <m/>
    <m/>
    <m/>
    <m/>
    <m/>
    <m/>
    <m/>
    <m/>
    <m/>
    <m/>
    <m/>
    <m/>
    <m/>
    <m/>
    <m/>
    <m/>
    <m/>
    <m/>
    <m/>
    <m/>
    <m/>
    <m/>
    <m/>
    <m/>
    <m/>
    <m/>
    <m/>
    <m/>
    <m/>
    <m/>
    <m/>
    <d v="2014-11-27T00:00:00"/>
    <d v="2016-11-26T00:00:00"/>
    <m/>
    <s v="Development Food &amp; Nutrition Security and Resilience to Climate Change"/>
    <n v="1701728.78"/>
    <s v="Moges Tefera"/>
    <s v="Program Quality and Learning Country Coordinator"/>
    <s v="mtefera@care.org"/>
    <s v="Amy Wing"/>
    <s v="Funding Coordinator"/>
    <s v="amy.wing@care.org"/>
    <s v="NO"/>
    <s v="YES"/>
    <s v="NO"/>
    <s v="To increase utilization of basic services (WASH, health and nutrition services ) by 268,750 IDPs and 53,038 returnee and host community households in South Darfur, with the aim of improving resilience to emergencies/poverty and contribution to peace among conflict affected communities in South Darfur."/>
    <s v="Sub-National"/>
    <s v="Kass, Gereida and Nyala localities in South Darfur State"/>
    <s v="IDP, returnee and host community households"/>
    <n v="15621"/>
    <n v="12275"/>
    <n v="27896"/>
    <n v="19129"/>
    <n v="17699"/>
    <n v="36828"/>
    <s v="Direct: Those that received direct assistance or directly participated in activities. Indirect: those people that benefitted from in the community (entire communities, not counting pastoralists and 2 villages where insufficient data could be collected on numbers, so total indirect is understated)."/>
    <m/>
    <m/>
    <m/>
    <m/>
    <m/>
    <m/>
    <m/>
    <m/>
    <m/>
    <m/>
    <m/>
    <m/>
    <m/>
    <m/>
    <m/>
    <m/>
    <m/>
    <m/>
    <m/>
    <m/>
    <m/>
    <m/>
    <m/>
    <m/>
    <m/>
    <m/>
    <m/>
    <m/>
    <m/>
    <m/>
    <m/>
    <m/>
    <m/>
    <m/>
    <m/>
    <m/>
    <m/>
    <m/>
    <m/>
    <m/>
    <m/>
    <m/>
    <m/>
    <m/>
    <m/>
    <m/>
    <m/>
    <m/>
    <m/>
    <m/>
    <m/>
    <m/>
    <m/>
    <m/>
    <m/>
    <m/>
    <m/>
    <m/>
    <m/>
    <m/>
    <n v="15621"/>
    <n v="12275"/>
    <n v="27896"/>
    <n v="19129"/>
    <n v="17699"/>
    <n v="36828"/>
    <s v="YES"/>
    <n v="1157"/>
    <n v="0.49"/>
    <m/>
    <s v="YES"/>
    <m/>
    <m/>
    <m/>
    <s v="YES"/>
    <m/>
    <m/>
    <m/>
    <m/>
    <m/>
    <m/>
    <m/>
    <s v="YES"/>
    <n v="6185"/>
    <n v="0.52"/>
    <m/>
    <m/>
    <m/>
    <m/>
    <m/>
    <m/>
    <m/>
    <m/>
    <m/>
    <m/>
    <m/>
    <m/>
    <m/>
    <m/>
    <m/>
    <m/>
    <m/>
    <m/>
    <m/>
    <m/>
    <m/>
    <m/>
    <m/>
    <m/>
    <m/>
    <s v="YES"/>
    <n v="19697"/>
    <n v="0.6"/>
    <m/>
    <m/>
    <m/>
    <m/>
    <m/>
    <m/>
    <m/>
    <m/>
    <m/>
    <m/>
    <m/>
    <m/>
    <m/>
    <m/>
    <m/>
    <m/>
    <m/>
    <m/>
    <m/>
    <m/>
    <m/>
    <m/>
    <s v="YES"/>
    <s v="April"/>
    <n v="2017"/>
    <s v="YES"/>
    <s v="NO"/>
    <m/>
    <m/>
    <m/>
    <x v="2"/>
    <s v="YES"/>
    <s v="YES"/>
    <s v="YES"/>
    <m/>
    <s v="YES"/>
    <m/>
    <m/>
    <m/>
    <m/>
    <x v="0"/>
    <m/>
    <x v="0"/>
    <m/>
    <x v="0"/>
    <x v="1"/>
    <s v="YES"/>
    <x v="0"/>
    <x v="0"/>
    <x v="0"/>
    <x v="2"/>
    <n v="4"/>
    <x v="2"/>
    <x v="1"/>
    <x v="1"/>
    <x v="1"/>
    <x v="1"/>
    <x v="2"/>
    <n v="4"/>
    <x v="3"/>
    <x v="1"/>
    <x v="1"/>
    <x v="1"/>
    <x v="4"/>
    <n v="3"/>
    <x v="3"/>
    <x v="0"/>
    <n v="3"/>
    <s v="Local NGO(s)/CSO(s)"/>
    <s v="Local government(s)"/>
    <m/>
    <x v="0"/>
    <s v="Migratory committees, Natural resouce mechanisms, VSLA establishment and strengthening"/>
    <s v="1) shifting from drip irrigation to motorized irrigation following approval for this adjustment from the EUD. As a result of this, the number of beneficiaries increased (from 80 to 120) and the cultivated area increased from three hectares to 6.7 hectares; 2) Shifting from crescent construction to the construction of long terraces, as per the recommendations from the MoA.  This improved moisture retention in the soil and had no impact on the number of planned beneficiaries or the area of land to be protected from soil erosion."/>
    <s v="Establishing and engaging advisory committees through higher-level ministry officials and the technical steering committee, facilitates successful implementation of project plans and contributes to solving problems that can emanate from the communities and sector offices."/>
    <s v="Men do allow women participation in business once they see money is coming to the family. However, the challenge is that men and boys are not willing to shoulder more responsibilities both in and outside of the home, resulting in an additional burden to women.  To address this, CARE plans to step up positive engagement of men and boys in our programming."/>
    <s v="The action in general, and the value chain study in particular, have proven that there are a number of viable business opportunities when the opportunities are given to the poor. Market functionality has improved as an increasing number of people are engaged in production and services. This leads to the creation of other opportunities to engage youth and other members of the communities."/>
    <m/>
    <m/>
    <m/>
    <s v="Indirect participants reached per output was not inputted, as calculations would be double counting of beneficiaries. Resource management was aimed at the entire village, through committees established to manage and facilitated discussions betwene pastoralists and farmers to reduce tensions between the two groups. All others could be calculated on a household of 6, but would be double countign those reached by resource management."/>
    <s v="Project Proposal, reports, baseline and final evlauation are held at Country Office"/>
    <n v="27896"/>
    <n v="36828"/>
    <n v="1.3201892744479495"/>
    <n v="0.55997275595067397"/>
    <n v="0.51941457586618878"/>
    <n v="15621"/>
    <n v="19129"/>
    <s v=""/>
    <n v="0"/>
    <n v="0"/>
    <s v=""/>
    <n v="1"/>
    <n v="19697"/>
    <n v="0"/>
    <n v="0"/>
    <s v=""/>
    <n v="0"/>
    <n v="0"/>
    <s v=""/>
    <s v=""/>
    <n v="0"/>
    <n v="0"/>
    <s v=""/>
    <n v="1"/>
    <n v="3216.2000000000003"/>
    <n v="0"/>
    <n v="0"/>
    <s v="4. Transformative"/>
    <s v="4. Transformational"/>
    <s v="4. Transformative"/>
    <s v="It did not develop any specific innovation"/>
    <s v="Intensive advocacy"/>
    <s v="It did not take tested solutions to scale"/>
  </r>
  <r>
    <x v="69"/>
    <x v="3"/>
    <n v="3391"/>
    <s v="South Darfur Emergency Assistance Project"/>
    <s v="Sudan"/>
    <s v="US1JW"/>
    <s v="CARE USA"/>
    <s v="Government"/>
    <s v="Government - US"/>
    <s v="OFDA"/>
    <m/>
    <m/>
    <m/>
    <m/>
    <m/>
    <m/>
    <m/>
    <m/>
    <m/>
    <m/>
    <m/>
    <m/>
    <m/>
    <m/>
    <m/>
    <m/>
    <m/>
    <m/>
    <m/>
    <m/>
    <m/>
    <m/>
    <m/>
    <m/>
    <m/>
    <m/>
    <m/>
    <m/>
    <m/>
    <m/>
    <m/>
    <m/>
    <m/>
    <m/>
    <m/>
    <m/>
    <m/>
    <m/>
    <m/>
    <m/>
    <m/>
    <m/>
    <m/>
    <m/>
    <m/>
    <d v="2015-09-16T00:00:00"/>
    <d v="2016-07-15T00:00:00"/>
    <m/>
    <s v="Humanitarian Sexual, Reproductive and Maternal Health (SRMH)"/>
    <n v="1500000"/>
    <s v="Faroug Mohammed"/>
    <s v="Nutrition Area Manager"/>
    <s v="Faroug.Mohammed@care.org"/>
    <s v="Rishana Haniffa"/>
    <s v="ACD"/>
    <s v="Rishana.Haniffa@care.org"/>
    <s v="YES"/>
    <s v="NO"/>
    <s v="NO"/>
    <s v="To contribute to the reduction of mortality and morbidity among conflict-affected persons and host community members (including men, women, boys, and girls) in South Darfur; through increased access to life saving integrated primary and reproductive healthcare services, including emergency referral to secondary healthcare and community-based health promotion activities."/>
    <s v="Sub-National"/>
    <s v="Alsalam IDP Camp Kass IDP Camps (Kass Kaber, Dawagin/Hai Kifah, Baitara, Alrohal, Erly) Kass Rural Villages (Singita, Limo, Derso, Kherwa, Fatabarno)"/>
    <s v="men, women, boys, and girls"/>
    <n v="168098"/>
    <n v="151764"/>
    <n v="319862"/>
    <n v="39431"/>
    <n v="44581"/>
    <n v="84012"/>
    <m/>
    <m/>
    <m/>
    <m/>
    <m/>
    <m/>
    <m/>
    <m/>
    <m/>
    <m/>
    <m/>
    <m/>
    <m/>
    <m/>
    <m/>
    <m/>
    <m/>
    <m/>
    <m/>
    <m/>
    <s v="YES"/>
    <m/>
    <m/>
    <m/>
    <m/>
    <m/>
    <m/>
    <m/>
    <m/>
    <m/>
    <m/>
    <m/>
    <m/>
    <m/>
    <m/>
    <m/>
    <m/>
    <m/>
    <m/>
    <m/>
    <m/>
    <m/>
    <m/>
    <m/>
    <m/>
    <m/>
    <m/>
    <n v="209662"/>
    <m/>
    <m/>
    <m/>
    <m/>
    <m/>
    <m/>
    <m/>
    <n v="69804"/>
    <m/>
    <m/>
    <m/>
    <m/>
    <m/>
    <m/>
    <m/>
    <m/>
    <m/>
    <m/>
    <m/>
    <m/>
    <m/>
    <m/>
    <m/>
    <m/>
    <m/>
    <m/>
    <m/>
    <m/>
    <m/>
    <m/>
    <m/>
    <m/>
    <m/>
    <m/>
    <m/>
    <m/>
    <m/>
    <m/>
    <m/>
    <m/>
    <m/>
    <m/>
    <m/>
    <m/>
    <m/>
    <m/>
    <m/>
    <m/>
    <m/>
    <m/>
    <m/>
    <m/>
    <m/>
    <m/>
    <m/>
    <m/>
    <m/>
    <m/>
    <m/>
    <m/>
    <m/>
    <m/>
    <m/>
    <m/>
    <m/>
    <m/>
    <m/>
    <m/>
    <m/>
    <m/>
    <m/>
    <m/>
    <m/>
    <m/>
    <m/>
    <m/>
    <m/>
    <m/>
    <m/>
    <m/>
    <m/>
    <m/>
    <m/>
    <m/>
    <m/>
    <m/>
    <m/>
    <m/>
    <s v="NO"/>
    <m/>
    <m/>
    <s v="YES"/>
    <s v="NO"/>
    <m/>
    <m/>
    <s v="The final evaluation is in the form of KAP survey"/>
    <x v="2"/>
    <m/>
    <s v="YES"/>
    <m/>
    <m/>
    <s v="YES"/>
    <m/>
    <m/>
    <m/>
    <m/>
    <x v="0"/>
    <m/>
    <x v="1"/>
    <s v="Linked with State Ministry of Health tot ake improvemets in health services to other facilities, through subconding SMoH staff into project."/>
    <x v="1"/>
    <x v="0"/>
    <s v="YES"/>
    <x v="0"/>
    <x v="0"/>
    <x v="0"/>
    <x v="0"/>
    <n v="4"/>
    <x v="1"/>
    <x v="1"/>
    <x v="1"/>
    <x v="1"/>
    <x v="1"/>
    <x v="1"/>
    <n v="4"/>
    <x v="1"/>
    <x v="1"/>
    <x v="2"/>
    <x v="1"/>
    <x v="3"/>
    <n v="2"/>
    <x v="2"/>
    <x v="2"/>
    <n v="3"/>
    <s v="Local government(s)"/>
    <s v="Local NGO(s)/CSO(s)"/>
    <s v="Local alliance(s)/Platform(s)/Network(s) of  NGOs/CSOs"/>
    <x v="0"/>
    <s v="Household visits and case referral from IDP camps to Kass hospital.            Health education and community awareness through campaigns  and sessions"/>
    <m/>
    <s v="Capacity building of community to maintain strong community management approach, and linkages between the various community structures in order to maximize program outcome"/>
    <s v="Coordination with other humanitarian aid workers, and multi- sectorial intervention to prioritize the essential, urgent and unmet needs of IDPs, host communities and others affected by conflict within the project geographical area"/>
    <s v="Transition to partner led humanitarian work, based on building the long term capacity inside the country and also preparing for the reality that the number of INGOs able to work in Sudan is diminishing"/>
    <s v="Shortage of drugs and medical supplies which affected support of Public Health Clinics"/>
    <s v="Accessibility to the rural areas some time became difficult, when the security situation deteriorated"/>
    <s v="Community ownership and community participation"/>
    <s v="Project reports zero participants as it overlaps with similar project in the same area, same name, etc._x000a_Specific figures for this project alone in the FY, included:_x000a_Humanitarian total DIRECT women&amp;girls 168,098 men&amp;boys 151,764  Total  319,862 _x000a_Humanitarian total INDIRECT women&amp;girls  207,529  men&amp;boys 196,345 Total  403,874_x000a_Humanitarian FNS DIRECT 68,546_x000a_Humanitarian WASH DIRECT 221,735_x000a_Humanitarian SRMH 157,654_x000a__x000a_Shortage of drugs and medical supplies during the implementation period of health project affected clinics support in Alsalam , Kass and rural clinic , as there is no other fund to buy we only depend on OFDA Partners: The project working with SMoH  ,Mubadirron and community structures (3). Data provided in reports is not disaggregated and data is cumulative and unable to be broken up specific to the last 15 days of the project only, so data provided for fiscal year on numbers of beneficiaries is from start to end of project."/>
    <s v="Project proposal * Project donor reports"/>
    <n v="0"/>
    <n v="0"/>
    <s v=""/>
    <s v=""/>
    <s v=""/>
    <n v="0"/>
    <n v="0"/>
    <n v="1"/>
    <n v="0"/>
    <n v="0"/>
    <s v=""/>
    <n v="1"/>
    <n v="0"/>
    <n v="0"/>
    <s v=""/>
    <s v=""/>
    <n v="0"/>
    <n v="209662"/>
    <s v=""/>
    <s v=""/>
    <n v="0"/>
    <n v="0"/>
    <s v=""/>
    <s v=""/>
    <n v="0"/>
    <n v="0"/>
    <s v=""/>
    <s v="2. Sensitive"/>
    <s v="2. Accommodating"/>
    <s v="1. Neutral"/>
    <s v="It did not develop any specific innovation"/>
    <s v="Intensive advocacy"/>
    <s v="It linked and worked with strategic alliances and partners to take tested and effective solutions to scale"/>
  </r>
  <r>
    <x v="69"/>
    <x v="3"/>
    <m/>
    <s v="South Darfur Emergency Assistance Project"/>
    <s v="Sudan"/>
    <s v="US1JW"/>
    <s v="CARE USA"/>
    <s v="Government"/>
    <s v="Government - US"/>
    <s v="OFDA"/>
    <m/>
    <m/>
    <m/>
    <m/>
    <m/>
    <m/>
    <m/>
    <m/>
    <m/>
    <m/>
    <m/>
    <m/>
    <m/>
    <m/>
    <m/>
    <m/>
    <m/>
    <m/>
    <m/>
    <m/>
    <m/>
    <m/>
    <m/>
    <m/>
    <m/>
    <m/>
    <m/>
    <m/>
    <m/>
    <m/>
    <m/>
    <m/>
    <m/>
    <m/>
    <m/>
    <m/>
    <m/>
    <m/>
    <m/>
    <m/>
    <m/>
    <m/>
    <m/>
    <m/>
    <m/>
    <d v="2016-07-15T00:00:00"/>
    <d v="2017-05-14T00:00:00"/>
    <d v="2018-05-14T00:00:00"/>
    <s v="Humanitarian Sexual, Reproductive and Maternal Health (SRMH)"/>
    <n v="2700000"/>
    <s v="Faroug Mohammed"/>
    <s v="Nutrition Area Manager"/>
    <s v="Faroug.Mohammed@care.org"/>
    <s v="Rishana Haniffa"/>
    <s v="ACD"/>
    <s v="Rishana.Haniffa@care.org"/>
    <s v="YES"/>
    <s v="NO"/>
    <s v="NO"/>
    <s v="Contribute to the sustained saving of lives and reduction in morbidity and mortality among IDPs, returnees and affected host community members in East Darfur and South Darfur."/>
    <s v="Sub-National"/>
    <s v="Alsalam IDP Camp, Kass IDP Camps, Gereida IDP camps, Kalma IDP camps and Kubum locality Kass Rural Villages (Singita, Limo, Derso, Kherwa, Fatabarno) (all South Darfur) and Yassin Locality (East Darfur)"/>
    <s v="men, women, boys, and girls"/>
    <n v="145003"/>
    <n v="139317"/>
    <n v="284320"/>
    <m/>
    <m/>
    <m/>
    <s v="No indirect, activities at household level covering entire households within IDP camps and surrounding host villages, calculated at number of households times 6 as average number of people per household is 6."/>
    <m/>
    <n v="162000"/>
    <n v="108000"/>
    <n v="270000"/>
    <m/>
    <m/>
    <m/>
    <m/>
    <m/>
    <m/>
    <m/>
    <m/>
    <m/>
    <m/>
    <m/>
    <m/>
    <m/>
    <m/>
    <m/>
    <s v="YES"/>
    <n v="78173"/>
    <n v="0.88"/>
    <m/>
    <m/>
    <m/>
    <m/>
    <m/>
    <m/>
    <m/>
    <m/>
    <m/>
    <s v="YES"/>
    <n v="100078"/>
    <n v="0.49"/>
    <m/>
    <m/>
    <m/>
    <m/>
    <m/>
    <m/>
    <m/>
    <m/>
    <m/>
    <s v="YES"/>
    <n v="4483"/>
    <n v="1"/>
    <m/>
    <m/>
    <m/>
    <m/>
    <m/>
    <s v="YES"/>
    <n v="252126"/>
    <n v="0.55000000000000004"/>
    <m/>
    <m/>
    <m/>
    <m/>
    <m/>
    <m/>
    <m/>
    <m/>
    <m/>
    <m/>
    <m/>
    <m/>
    <m/>
    <m/>
    <m/>
    <m/>
    <m/>
    <m/>
    <m/>
    <m/>
    <m/>
    <m/>
    <m/>
    <m/>
    <m/>
    <m/>
    <m/>
    <m/>
    <m/>
    <m/>
    <m/>
    <m/>
    <m/>
    <m/>
    <m/>
    <m/>
    <m/>
    <m/>
    <m/>
    <m/>
    <m/>
    <m/>
    <m/>
    <m/>
    <m/>
    <m/>
    <m/>
    <m/>
    <m/>
    <m/>
    <m/>
    <m/>
    <m/>
    <m/>
    <m/>
    <m/>
    <m/>
    <m/>
    <m/>
    <m/>
    <m/>
    <m/>
    <m/>
    <m/>
    <m/>
    <m/>
    <m/>
    <m/>
    <m/>
    <m/>
    <m/>
    <m/>
    <m/>
    <m/>
    <m/>
    <m/>
    <m/>
    <m/>
    <m/>
    <m/>
    <m/>
    <s v="YES"/>
    <m/>
    <m/>
    <s v="YES"/>
    <s v="NO"/>
    <m/>
    <m/>
    <s v="The mid-term evaluation is in the form of KAP survey"/>
    <x v="2"/>
    <m/>
    <s v="YES"/>
    <m/>
    <m/>
    <s v="YES"/>
    <m/>
    <m/>
    <m/>
    <m/>
    <x v="1"/>
    <m/>
    <x v="1"/>
    <m/>
    <x v="1"/>
    <x v="1"/>
    <s v="YES"/>
    <x v="0"/>
    <x v="0"/>
    <x v="0"/>
    <x v="2"/>
    <n v="4"/>
    <x v="1"/>
    <x v="1"/>
    <x v="1"/>
    <x v="1"/>
    <x v="1"/>
    <x v="1"/>
    <n v="4"/>
    <x v="1"/>
    <x v="1"/>
    <x v="2"/>
    <x v="1"/>
    <x v="3"/>
    <n v="2"/>
    <x v="2"/>
    <x v="2"/>
    <n v="3"/>
    <s v="Local government(s)"/>
    <s v="Local NGO(s)/CSO(s)"/>
    <s v="Local alliance(s)/Platform(s)/Network(s) of  NGOs/CSOs"/>
    <x v="0"/>
    <s v="Household visits and case referral from IDP camps to Kass hospital.            Health education and community awareness through campaigns  and sessions"/>
    <m/>
    <s v="Capacity building of community to maintain strong community management approach, and linkages between the various community structures in order to maximize program outcome"/>
    <s v="Coordination with other humanitarian aid workers, and multi- sectorial intervention to prioritize the essential, urgent and unmet needs of IDPs, host communities and others affected by conflict within the project geographical area"/>
    <s v="Transition to partner led humanitarian work, based on building the long term capacity inside the country and also preparing for the reality that the number of INGOs able to work in Sudan is diminishing"/>
    <s v="Shortage of drugs and medical supplies which affected support of Public Health Clinics"/>
    <s v="Accessibility to the rural areas some time became difficult, when the security situation deteriorated"/>
    <s v="Community ownership and community participation"/>
    <m/>
    <s v="Project proposal * Project donor reports"/>
    <n v="270000"/>
    <n v="0"/>
    <n v="0"/>
    <n v="0.6"/>
    <s v=""/>
    <n v="162000"/>
    <n v="0"/>
    <n v="1"/>
    <n v="270000"/>
    <n v="0"/>
    <n v="0"/>
    <n v="1"/>
    <n v="78173"/>
    <n v="0"/>
    <n v="0"/>
    <n v="1"/>
    <n v="4483"/>
    <n v="0"/>
    <n v="0"/>
    <s v=""/>
    <n v="0"/>
    <n v="0"/>
    <s v=""/>
    <s v=""/>
    <n v="0"/>
    <n v="0"/>
    <s v=""/>
    <s v="4. Transformative"/>
    <s v="2. Accommodating"/>
    <s v="1. Neutral"/>
    <s v="It tested new ways for fighting poverty, but did not measure results of innovation"/>
    <s v="Intensive advocacy"/>
    <s v="It linked and worked with strategic alliances and partners to take tested and effective solutions to scale"/>
  </r>
  <r>
    <x v="69"/>
    <x v="3"/>
    <m/>
    <s v="Sudan Emergency Response and Early Livelihoods Recovery"/>
    <s v="Sudan"/>
    <s v="US1TJ"/>
    <s v="No CARE member related to the project/initiative"/>
    <s v="Multilateral agency"/>
    <s v="UN - United Nations agencies/offices"/>
    <s v="UNICEF"/>
    <m/>
    <m/>
    <m/>
    <m/>
    <m/>
    <m/>
    <m/>
    <m/>
    <m/>
    <m/>
    <m/>
    <m/>
    <m/>
    <m/>
    <m/>
    <m/>
    <m/>
    <m/>
    <m/>
    <m/>
    <m/>
    <m/>
    <m/>
    <m/>
    <m/>
    <m/>
    <m/>
    <m/>
    <m/>
    <m/>
    <m/>
    <m/>
    <m/>
    <m/>
    <m/>
    <m/>
    <m/>
    <m/>
    <m/>
    <m/>
    <m/>
    <m/>
    <m/>
    <m/>
    <m/>
    <d v="2016-11-01T00:00:00"/>
    <d v="2017-03-31T00:00:00"/>
    <m/>
    <s v="Humanitarian Other"/>
    <n v="140000"/>
    <s v="Tesfaye Hussein"/>
    <s v="WASH and Public Health Advisor"/>
    <s v="tesafye.hussein@careinternational.onmicrsoft.com"/>
    <s v="Amy Wing"/>
    <s v="Funding Coordinator"/>
    <s v="amy.wing@care.org"/>
    <s v="YES"/>
    <s v="NO"/>
    <s v="NO"/>
    <s v="This project will support sustainable water supply and sanitation and hygiene"/>
    <s v="Sub-National"/>
    <s v="Alabassiya and Abukarshola localities in South Kordofan state, Sudan"/>
    <s v="12,500 conflict affected and underserved community members and IDPs"/>
    <n v="6375"/>
    <n v="6125"/>
    <n v="12500"/>
    <m/>
    <m/>
    <m/>
    <s v="Direct beneficiaries only. Because a large part of the project was new and rehabilited water sources, direct beneficiaries were calculated as those receiving benefits from safe water and all other activities were for same households within this group, so to avoid double counting, were not included. Therefore, no indirect beneficiaries were calculated."/>
    <m/>
    <n v="6375"/>
    <n v="6125"/>
    <n v="12500"/>
    <m/>
    <m/>
    <m/>
    <m/>
    <m/>
    <m/>
    <m/>
    <m/>
    <m/>
    <m/>
    <m/>
    <m/>
    <m/>
    <m/>
    <m/>
    <s v="YES"/>
    <n v="12500"/>
    <n v="0.51"/>
    <m/>
    <m/>
    <m/>
    <m/>
    <m/>
    <m/>
    <m/>
    <m/>
    <m/>
    <m/>
    <m/>
    <m/>
    <m/>
    <m/>
    <m/>
    <m/>
    <m/>
    <m/>
    <m/>
    <m/>
    <m/>
    <m/>
    <m/>
    <m/>
    <m/>
    <m/>
    <m/>
    <m/>
    <m/>
    <s v="YES"/>
    <n v="12500"/>
    <n v="0.51"/>
    <n v="0"/>
    <m/>
    <m/>
    <m/>
    <m/>
    <m/>
    <m/>
    <m/>
    <m/>
    <m/>
    <m/>
    <m/>
    <m/>
    <m/>
    <m/>
    <m/>
    <m/>
    <m/>
    <m/>
    <m/>
    <m/>
    <m/>
    <m/>
    <m/>
    <m/>
    <m/>
    <m/>
    <m/>
    <m/>
    <m/>
    <m/>
    <m/>
    <m/>
    <m/>
    <m/>
    <m/>
    <m/>
    <m/>
    <m/>
    <m/>
    <m/>
    <m/>
    <m/>
    <m/>
    <m/>
    <m/>
    <m/>
    <m/>
    <m/>
    <m/>
    <m/>
    <m/>
    <m/>
    <m/>
    <m/>
    <m/>
    <m/>
    <m/>
    <m/>
    <m/>
    <m/>
    <m/>
    <m/>
    <m/>
    <m/>
    <m/>
    <m/>
    <m/>
    <m/>
    <m/>
    <m/>
    <m/>
    <m/>
    <m/>
    <m/>
    <m/>
    <m/>
    <m/>
    <m/>
    <m/>
    <m/>
    <s v="NO"/>
    <m/>
    <m/>
    <m/>
    <s v="NO"/>
    <m/>
    <m/>
    <m/>
    <x v="0"/>
    <m/>
    <m/>
    <m/>
    <m/>
    <m/>
    <m/>
    <m/>
    <m/>
    <m/>
    <x v="0"/>
    <m/>
    <x v="0"/>
    <m/>
    <x v="0"/>
    <x v="0"/>
    <s v="YES"/>
    <x v="1"/>
    <x v="0"/>
    <x v="0"/>
    <x v="1"/>
    <n v="3"/>
    <x v="1"/>
    <x v="1"/>
    <x v="2"/>
    <x v="1"/>
    <x v="1"/>
    <x v="1"/>
    <n v="3"/>
    <x v="1"/>
    <x v="1"/>
    <x v="2"/>
    <x v="1"/>
    <x v="3"/>
    <n v="2"/>
    <x v="2"/>
    <x v="1"/>
    <m/>
    <s v="Local government(s)"/>
    <m/>
    <m/>
    <x v="2"/>
    <s v="The project ensured 45% female participation in planned trainings. This allowed women to take leadership roles in their community and influence decisions that affect their wellbeing and that of their children."/>
    <m/>
    <m/>
    <m/>
    <m/>
    <s v="EVIs and disabled peoples concerns needs to be accounted for with regards to CLTS implementation"/>
    <m/>
    <m/>
    <m/>
    <s v="Project proposal and report are held at Country Office"/>
    <n v="12500"/>
    <n v="0"/>
    <n v="0"/>
    <n v="0.51"/>
    <s v=""/>
    <n v="6375"/>
    <n v="0"/>
    <n v="1"/>
    <n v="12500"/>
    <n v="0"/>
    <n v="0"/>
    <n v="1"/>
    <n v="12500"/>
    <n v="0"/>
    <n v="0"/>
    <s v=""/>
    <n v="0"/>
    <n v="0"/>
    <s v=""/>
    <s v=""/>
    <n v="0"/>
    <n v="0"/>
    <s v=""/>
    <s v=""/>
    <n v="0"/>
    <n v="0"/>
    <s v=""/>
    <s v="1. Neutral"/>
    <s v="2. Accommodating"/>
    <s v="1. Neutral"/>
    <s v="It did not develop any specific innovation"/>
    <s v="Little or no advocacy"/>
    <s v="It did not take tested solutions to scale"/>
  </r>
  <r>
    <x v="69"/>
    <x v="3"/>
    <n v="3392"/>
    <s v="Sudan Emergency Response and Early Livelihoods Recovery - RiH"/>
    <s v="Sudan"/>
    <s v="NL156"/>
    <s v="CARE Nederland"/>
    <s v="Government"/>
    <s v="Government - Netherlands"/>
    <s v="Ministry of Foreign Affairs of the Netherlands"/>
    <m/>
    <m/>
    <m/>
    <m/>
    <m/>
    <m/>
    <m/>
    <m/>
    <m/>
    <m/>
    <m/>
    <m/>
    <m/>
    <m/>
    <m/>
    <m/>
    <m/>
    <m/>
    <m/>
    <m/>
    <m/>
    <m/>
    <m/>
    <m/>
    <m/>
    <m/>
    <m/>
    <m/>
    <m/>
    <m/>
    <m/>
    <m/>
    <m/>
    <m/>
    <m/>
    <m/>
    <m/>
    <m/>
    <m/>
    <m/>
    <m/>
    <m/>
    <m/>
    <m/>
    <m/>
    <d v="2014-03-01T00:00:00"/>
    <d v="2016-12-31T00:00:00"/>
    <m/>
    <s v="Development Food &amp; Nutrition Security and Resilience to Climate Change"/>
    <n v="2037219.17"/>
    <s v="Moges Tefera"/>
    <s v="Program Quality and Learning Country Coordinator"/>
    <s v="mtefera@care.org"/>
    <s v="Amy Wing"/>
    <s v="Funding Coordinator"/>
    <s v="amy.wing@care.org"/>
    <s v="NO"/>
    <s v="YES"/>
    <s v="NO"/>
    <s v="Contribute to sustainable development in the Horn of Africa by addressing underlying causes of instability and strengthening the resilience of IDPs, returnees and host communities in the region, with special attention for women and youth"/>
    <s v="Multiple countries"/>
    <s v="East and South Darfur in Sudan"/>
    <s v="Vulnerable women and youth"/>
    <n v="27593"/>
    <n v="25471"/>
    <n v="53064"/>
    <m/>
    <m/>
    <m/>
    <s v="Indirect beneficiaires were not calculated as activities calculated households directly involved in activities and directly receiving services or benefits, which for some activities (such as improved markets, veterniary services, etc) were the entire community, so entire community numbers were calculated for direct beneficiaries."/>
    <m/>
    <m/>
    <m/>
    <m/>
    <m/>
    <m/>
    <m/>
    <m/>
    <m/>
    <m/>
    <m/>
    <m/>
    <m/>
    <m/>
    <m/>
    <m/>
    <m/>
    <m/>
    <m/>
    <m/>
    <m/>
    <m/>
    <m/>
    <m/>
    <m/>
    <m/>
    <m/>
    <m/>
    <m/>
    <m/>
    <m/>
    <m/>
    <m/>
    <m/>
    <m/>
    <m/>
    <m/>
    <m/>
    <m/>
    <m/>
    <m/>
    <m/>
    <m/>
    <m/>
    <m/>
    <m/>
    <m/>
    <m/>
    <m/>
    <m/>
    <m/>
    <m/>
    <m/>
    <m/>
    <m/>
    <m/>
    <m/>
    <m/>
    <m/>
    <m/>
    <n v="35770"/>
    <n v="15330"/>
    <n v="51100"/>
    <m/>
    <m/>
    <m/>
    <s v="YES"/>
    <n v="253"/>
    <n v="0.79"/>
    <m/>
    <m/>
    <m/>
    <m/>
    <m/>
    <m/>
    <m/>
    <m/>
    <m/>
    <m/>
    <m/>
    <m/>
    <m/>
    <s v="YES"/>
    <n v="39707"/>
    <n v="0.75"/>
    <m/>
    <m/>
    <m/>
    <m/>
    <m/>
    <m/>
    <m/>
    <m/>
    <m/>
    <m/>
    <m/>
    <m/>
    <m/>
    <m/>
    <m/>
    <m/>
    <m/>
    <m/>
    <m/>
    <m/>
    <m/>
    <m/>
    <m/>
    <m/>
    <m/>
    <s v="YES"/>
    <n v="11140"/>
    <n v="0.51"/>
    <m/>
    <m/>
    <m/>
    <m/>
    <m/>
    <m/>
    <m/>
    <m/>
    <m/>
    <m/>
    <m/>
    <m/>
    <m/>
    <m/>
    <m/>
    <m/>
    <m/>
    <m/>
    <m/>
    <m/>
    <m/>
    <m/>
    <s v="YES"/>
    <s v="May"/>
    <n v="2017"/>
    <s v="YES"/>
    <s v="NO"/>
    <m/>
    <m/>
    <s v="Baseline was conducted in 2015. Evaluation conducted in this FY."/>
    <x v="2"/>
    <s v="YES"/>
    <m/>
    <m/>
    <m/>
    <s v="YES"/>
    <m/>
    <m/>
    <m/>
    <m/>
    <x v="2"/>
    <s v="VSLAs as processes to improve women's leadership capacities"/>
    <x v="0"/>
    <m/>
    <x v="1"/>
    <x v="1"/>
    <s v="YES"/>
    <x v="0"/>
    <x v="0"/>
    <x v="0"/>
    <x v="2"/>
    <n v="4"/>
    <x v="2"/>
    <x v="1"/>
    <x v="1"/>
    <x v="1"/>
    <x v="1"/>
    <x v="2"/>
    <n v="4"/>
    <x v="3"/>
    <x v="1"/>
    <x v="1"/>
    <x v="1"/>
    <x v="4"/>
    <n v="3"/>
    <x v="0"/>
    <x v="3"/>
    <n v="2"/>
    <s v="Local NGO(s)/CSO(s)"/>
    <s v="Local government(s)"/>
    <m/>
    <x v="0"/>
    <s v="Migratory committee and Village development committee stregnthening"/>
    <m/>
    <s v="Womens engagement in VSLAs, their participation in discussions and dialogue sessions at VDC meetings and their involvement in different committees such as Natural Resource Management, WASH, environment, education and peace building, have enabled both sexes to have more frequent public interactions and shared decision-making, giving opportunities for women to interact and share their concerns and views. Many husbands were stimulated by the project to support their wives, both inside and outside the house. Women are becoming active in public speech and raising their concerns without any hesitation. CARE as a womens empowerment organization has influenced government sectors and NNGOs to target women as well as men. More than 60% of the project beneficiaries are women."/>
    <s v="The engagement of community members from different communities in joint management committees led to improved and increased interaction among formerly rival groups, reducing incidence of disputes and conflict. Also, major processes such as e.g. beneficiary selection were conducted transparently and with meaningful participation of communities, contributing to community ownership of the program. Village development committees also received training on conflict management and resolution. The program aimed to revive traditional local conflict resolution mechanisms fully embedded in society, as a result 86% of local conflicts referred to community structures were resolved. Unfortunately, baseline information on this was difficult to obtain, as these questions were not approved by the Government of Sudan (GoS) at the time of the baseline survey."/>
    <s v="e) CAREs approach to address the underlying causes of poverty is potentially more efficient and durable than providing basic services, which requires expensive logistical systems. Empowering people, and especially women, to change the circumstances that keep them poor is more efficient and sustainable than to substitute the states responsibility to provide these services. This was done through establishing VSLAs, IGAs and revolving funds to keep funding their own ideas and businesses, changing perceptions about lending to the poor and womens roles in business."/>
    <s v="The external final evaluation concluded that capacity building activities were particularly effective, leading to improved skills and increasing the technical sustainability of the local authorities and other stakeholders in the area of basic service delivery."/>
    <s v="Women, who are disadvantaged and discriminated against in many aspects in the local context, increased their competencies, individual agency and negotiating power through their interactions with peers in the VSLAs, VSLA group membership, receiving trainings and engaging in IGAs and evolving to leadership positions such as in VDCs. Women representation is becoming a regular occurrence and practice in committees such as health and water. Several female-headed HH got engaged in petty trading and food processing activities, providing them additional income sources."/>
    <m/>
    <m/>
    <s v="Project proposal, reports, baseline and final evaluations are held at Country Office."/>
    <n v="51100"/>
    <n v="0"/>
    <n v="0"/>
    <n v="0.7"/>
    <s v=""/>
    <n v="35770"/>
    <n v="0"/>
    <s v=""/>
    <n v="0"/>
    <n v="0"/>
    <s v=""/>
    <n v="1"/>
    <n v="39707"/>
    <n v="0"/>
    <n v="0"/>
    <s v=""/>
    <n v="0"/>
    <n v="0"/>
    <s v=""/>
    <s v=""/>
    <n v="0"/>
    <n v="0"/>
    <s v=""/>
    <n v="1"/>
    <n v="29780.25"/>
    <n v="0"/>
    <n v="0"/>
    <s v="4. Transformative"/>
    <s v="4. Transformational"/>
    <s v="4. Transformative"/>
    <s v="It tested new ways for fighting poverty and measured results of innovation"/>
    <s v="Intensive advocacy"/>
    <s v="It did not take tested solutions to scale"/>
  </r>
  <r>
    <x v="69"/>
    <x v="3"/>
    <m/>
    <s v="Sudan Emergency Water, Hygiene and Nutrition Services CARE Canada 2017-2019"/>
    <s v="Sudan"/>
    <s v="CA382"/>
    <s v="CARE Canada"/>
    <s v="Government"/>
    <s v="Government - Canada"/>
    <s v="Global Affairs Canada (GAC) "/>
    <m/>
    <m/>
    <m/>
    <m/>
    <m/>
    <m/>
    <m/>
    <m/>
    <m/>
    <m/>
    <m/>
    <m/>
    <m/>
    <m/>
    <m/>
    <m/>
    <m/>
    <m/>
    <m/>
    <m/>
    <m/>
    <m/>
    <m/>
    <m/>
    <m/>
    <m/>
    <m/>
    <m/>
    <m/>
    <m/>
    <m/>
    <m/>
    <m/>
    <m/>
    <m/>
    <m/>
    <m/>
    <m/>
    <m/>
    <m/>
    <m/>
    <m/>
    <m/>
    <m/>
    <m/>
    <d v="2017-04-04T00:00:00"/>
    <d v="2019-03-31T00:00:00"/>
    <m/>
    <s v="Humanitarian Other"/>
    <n v="2370370.3703703699"/>
    <s v="Tesfaye Hussein"/>
    <s v="WASH and Public Health Advisor"/>
    <s v="tesfaye.hussein@careinternational.onmicrosoft.com"/>
    <s v="Rishana Haniffa"/>
    <s v="ACD"/>
    <s v="rishana.haniffa@care.org"/>
    <s v="YES"/>
    <s v="NO"/>
    <s v="NO"/>
    <s v="This project seeks to provide critical, lifesaving support and build the resilience of IDPs, refugees and vulnerable host communities in East and South Darfur. CARE will meet the most urgent needs of those displaced by increasing access to a safe water and sanitation facilities, developing inclusive WASH management structures, and providing an emergency nutrition response through a CMAM intervention for malnourished children under five and pregnant and lactating women in East Darfur."/>
    <s v="Sub-National"/>
    <s v="Kario Refugee Camp and host community in Baher Alarab locality, Alnimir Refugee Camp in  Assalaya locality, Jadalseed and Al Fowalih villages in Abu Karinka locality in East Darfur state. Lemo, Kherwa and Jemaiza Lagaro villages in Kass locality and Singita village in Assalaya locality in South Darfur."/>
    <s v="IDPs, refugees and vulnerable host communities"/>
    <n v="64380"/>
    <n v="48620"/>
    <n v="113000"/>
    <n v="107016"/>
    <n v="78424"/>
    <n v="185440"/>
    <s v="Direct: Participants in activities and recipients of services. Indirect: family members and general population in villages"/>
    <m/>
    <n v="0"/>
    <n v="0"/>
    <n v="0"/>
    <n v="0"/>
    <n v="0"/>
    <n v="0"/>
    <m/>
    <m/>
    <m/>
    <m/>
    <m/>
    <m/>
    <m/>
    <m/>
    <m/>
    <m/>
    <m/>
    <m/>
    <s v="YES"/>
    <n v="0"/>
    <m/>
    <n v="0"/>
    <m/>
    <m/>
    <m/>
    <m/>
    <m/>
    <m/>
    <m/>
    <m/>
    <m/>
    <m/>
    <m/>
    <m/>
    <m/>
    <m/>
    <m/>
    <m/>
    <m/>
    <m/>
    <m/>
    <m/>
    <m/>
    <m/>
    <m/>
    <m/>
    <m/>
    <m/>
    <m/>
    <m/>
    <s v="YES"/>
    <n v="0"/>
    <m/>
    <n v="0"/>
    <m/>
    <m/>
    <m/>
    <m/>
    <m/>
    <m/>
    <m/>
    <m/>
    <m/>
    <m/>
    <m/>
    <m/>
    <m/>
    <m/>
    <m/>
    <m/>
    <m/>
    <m/>
    <m/>
    <m/>
    <m/>
    <m/>
    <m/>
    <m/>
    <m/>
    <m/>
    <m/>
    <m/>
    <m/>
    <m/>
    <m/>
    <m/>
    <m/>
    <m/>
    <m/>
    <m/>
    <m/>
    <m/>
    <m/>
    <m/>
    <m/>
    <m/>
    <m/>
    <m/>
    <m/>
    <m/>
    <m/>
    <m/>
    <m/>
    <m/>
    <m/>
    <m/>
    <m/>
    <m/>
    <m/>
    <m/>
    <m/>
    <m/>
    <m/>
    <m/>
    <m/>
    <m/>
    <m/>
    <m/>
    <m/>
    <m/>
    <m/>
    <m/>
    <m/>
    <m/>
    <m/>
    <m/>
    <m/>
    <m/>
    <m/>
    <m/>
    <m/>
    <m/>
    <m/>
    <m/>
    <s v="NO"/>
    <m/>
    <m/>
    <m/>
    <s v="YES"/>
    <s v="September"/>
    <n v="2017"/>
    <s v="The project just started in April 2017. Delays in implementation due to Technical Agreement signature delay with government."/>
    <x v="0"/>
    <m/>
    <m/>
    <m/>
    <m/>
    <m/>
    <m/>
    <m/>
    <m/>
    <m/>
    <x v="0"/>
    <m/>
    <x v="0"/>
    <m/>
    <x v="0"/>
    <x v="2"/>
    <m/>
    <x v="2"/>
    <x v="2"/>
    <x v="2"/>
    <x v="3"/>
    <n v="0"/>
    <x v="0"/>
    <x v="0"/>
    <x v="0"/>
    <x v="0"/>
    <x v="0"/>
    <x v="0"/>
    <n v="0"/>
    <x v="0"/>
    <x v="0"/>
    <x v="0"/>
    <x v="0"/>
    <x v="0"/>
    <n v="0"/>
    <x v="1"/>
    <x v="3"/>
    <n v="2"/>
    <s v="Local NGO(s)/CSO(s)"/>
    <s v="Local government(s)"/>
    <m/>
    <x v="1"/>
    <m/>
    <m/>
    <m/>
    <m/>
    <m/>
    <m/>
    <m/>
    <m/>
    <s v="This is a new project and delays in Technical Agreement signature delayed project, and so numbers of beneficiaries are still 0 if not negligible. Most fo the form is blank because information on implementation is still negligible, so do not wish to misrepresent  the project at this stage."/>
    <m/>
    <n v="0"/>
    <n v="0"/>
    <s v=""/>
    <s v=""/>
    <s v=""/>
    <n v="0"/>
    <n v="0"/>
    <n v="1"/>
    <n v="0"/>
    <n v="0"/>
    <s v=""/>
    <n v="1"/>
    <n v="0"/>
    <n v="0"/>
    <s v=""/>
    <s v=""/>
    <n v="0"/>
    <n v="0"/>
    <s v=""/>
    <s v=""/>
    <n v="0"/>
    <n v="0"/>
    <s v=""/>
    <s v=""/>
    <n v="0"/>
    <n v="0"/>
    <s v=""/>
    <s v="No marker score"/>
    <s v="No marker score"/>
    <s v="No marker score"/>
    <s v="It did not develop any specific innovation"/>
    <s v="Little or no advocacy"/>
    <s v="It did not take tested solutions to scale"/>
  </r>
  <r>
    <x v="69"/>
    <x v="3"/>
    <n v="3393"/>
    <s v="Sustaining equitable WASH services for conflict affected IDPs population in South Darfur and South Kordofan and underserved populationin South Kordofan."/>
    <s v="Sudan"/>
    <s v="US1KJ"/>
    <s v="No CARE member related to the project/initiative"/>
    <s v="Multilateral agency"/>
    <s v="UN - United Nations agencies/offices"/>
    <s v="UNICEF"/>
    <m/>
    <m/>
    <m/>
    <m/>
    <m/>
    <m/>
    <m/>
    <m/>
    <m/>
    <m/>
    <m/>
    <m/>
    <m/>
    <m/>
    <m/>
    <m/>
    <m/>
    <m/>
    <m/>
    <m/>
    <m/>
    <m/>
    <m/>
    <m/>
    <m/>
    <m/>
    <m/>
    <m/>
    <m/>
    <m/>
    <m/>
    <m/>
    <m/>
    <m/>
    <m/>
    <m/>
    <m/>
    <m/>
    <m/>
    <m/>
    <m/>
    <m/>
    <m/>
    <m/>
    <m/>
    <d v="2015-10-01T00:00:00"/>
    <d v="2016-07-31T00:00:00"/>
    <d v="2016-10-31T00:00:00"/>
    <s v="Humanitarian Other"/>
    <n v="489568"/>
    <s v="Tesafye Hussein"/>
    <s v="WASH and Public Health Advisor"/>
    <s v="tesfaye.hussein@careinternational.onmicrosoft.com"/>
    <s v="Rishana Haniffa"/>
    <s v="ACD"/>
    <s v="Rishana.Haniffa@care.org"/>
    <s v="YES"/>
    <s v="NO"/>
    <s v="NO"/>
    <s v="CARE will continue to provide life-saving services to the most needy men and women and children in health, WASH and nutrition"/>
    <s v="Sub-National"/>
    <m/>
    <m/>
    <n v="13232"/>
    <n v="12215"/>
    <n v="25446"/>
    <m/>
    <m/>
    <m/>
    <s v="Water sources were rahbilitated in the same area that other activities were conducted, so only households receiving water sevrices were calculated to avoid double counting. This is also the reason why no indirect beneficiaries were calculated."/>
    <m/>
    <n v="13232"/>
    <n v="12215"/>
    <n v="25447"/>
    <m/>
    <m/>
    <m/>
    <m/>
    <m/>
    <m/>
    <m/>
    <m/>
    <m/>
    <m/>
    <m/>
    <m/>
    <m/>
    <m/>
    <m/>
    <m/>
    <m/>
    <m/>
    <m/>
    <m/>
    <m/>
    <m/>
    <m/>
    <m/>
    <m/>
    <m/>
    <m/>
    <m/>
    <m/>
    <m/>
    <m/>
    <m/>
    <m/>
    <m/>
    <m/>
    <m/>
    <m/>
    <m/>
    <m/>
    <m/>
    <m/>
    <m/>
    <m/>
    <m/>
    <m/>
    <m/>
    <m/>
    <s v="YES"/>
    <n v="25446"/>
    <n v="0.52"/>
    <m/>
    <m/>
    <m/>
    <m/>
    <m/>
    <m/>
    <m/>
    <m/>
    <m/>
    <m/>
    <m/>
    <m/>
    <m/>
    <m/>
    <m/>
    <m/>
    <m/>
    <m/>
    <m/>
    <m/>
    <m/>
    <m/>
    <m/>
    <m/>
    <m/>
    <m/>
    <m/>
    <m/>
    <m/>
    <m/>
    <m/>
    <m/>
    <m/>
    <m/>
    <m/>
    <m/>
    <m/>
    <m/>
    <m/>
    <m/>
    <m/>
    <m/>
    <m/>
    <m/>
    <m/>
    <m/>
    <m/>
    <m/>
    <m/>
    <m/>
    <m/>
    <m/>
    <m/>
    <m/>
    <m/>
    <m/>
    <m/>
    <m/>
    <m/>
    <m/>
    <m/>
    <m/>
    <m/>
    <m/>
    <m/>
    <m/>
    <m/>
    <m/>
    <m/>
    <m/>
    <m/>
    <m/>
    <m/>
    <m/>
    <m/>
    <m/>
    <m/>
    <m/>
    <m/>
    <m/>
    <m/>
    <s v="NO"/>
    <m/>
    <m/>
    <m/>
    <s v="NO"/>
    <m/>
    <m/>
    <m/>
    <x v="0"/>
    <m/>
    <s v="NO"/>
    <s v="NO"/>
    <m/>
    <m/>
    <m/>
    <m/>
    <m/>
    <m/>
    <x v="0"/>
    <m/>
    <x v="0"/>
    <m/>
    <x v="0"/>
    <x v="0"/>
    <s v="YES"/>
    <x v="0"/>
    <x v="0"/>
    <x v="0"/>
    <x v="0"/>
    <n v="4"/>
    <x v="1"/>
    <x v="1"/>
    <x v="1"/>
    <x v="1"/>
    <x v="1"/>
    <x v="1"/>
    <n v="4"/>
    <x v="1"/>
    <x v="1"/>
    <x v="1"/>
    <x v="1"/>
    <x v="1"/>
    <n v="3"/>
    <x v="2"/>
    <x v="2"/>
    <n v="1"/>
    <s v="Local government(s)"/>
    <s v="Local NGO(s)/CSO(s)"/>
    <s v="Local alliance(s)/Platform(s)/Network(s) of  NGOs/CSOs"/>
    <x v="1"/>
    <m/>
    <m/>
    <m/>
    <m/>
    <m/>
    <m/>
    <m/>
    <m/>
    <m/>
    <s v="Project proposal and reports held at Country Office"/>
    <n v="25447"/>
    <n v="0"/>
    <n v="0"/>
    <n v="0.51998270916021538"/>
    <s v=""/>
    <n v="13232"/>
    <n v="0"/>
    <n v="1"/>
    <n v="25447"/>
    <n v="0"/>
    <n v="0"/>
    <s v=""/>
    <n v="0"/>
    <n v="0"/>
    <s v=""/>
    <s v=""/>
    <n v="0"/>
    <n v="0"/>
    <s v=""/>
    <s v=""/>
    <n v="0"/>
    <n v="0"/>
    <s v=""/>
    <s v=""/>
    <n v="0"/>
    <n v="0"/>
    <s v=""/>
    <s v="2. Sensitive"/>
    <s v="2. Accommodating"/>
    <s v="2. Sensitive"/>
    <s v="It did not develop any specific innovation"/>
    <s v="Little or no advocacy"/>
    <s v="It did not take tested solutions to scale"/>
  </r>
  <r>
    <x v="69"/>
    <x v="3"/>
    <m/>
    <s v="WASH Services for South Sudanese Refugees in Al Nimir, East Darfur."/>
    <s v="Sudan"/>
    <s v="US1SL"/>
    <s v="No CARE member related to the project/initiative"/>
    <s v="Multilateral agency"/>
    <s v="UN - United Nations agencies/offices"/>
    <s v="UNDP"/>
    <m/>
    <m/>
    <m/>
    <m/>
    <m/>
    <m/>
    <m/>
    <m/>
    <m/>
    <m/>
    <m/>
    <m/>
    <m/>
    <m/>
    <m/>
    <m/>
    <m/>
    <m/>
    <m/>
    <m/>
    <m/>
    <m/>
    <m/>
    <m/>
    <m/>
    <m/>
    <m/>
    <m/>
    <m/>
    <m/>
    <m/>
    <m/>
    <m/>
    <m/>
    <m/>
    <m/>
    <m/>
    <m/>
    <m/>
    <m/>
    <m/>
    <m/>
    <m/>
    <m/>
    <m/>
    <d v="2016-10-01T00:00:00"/>
    <d v="2017-07-31T00:00:00"/>
    <m/>
    <s v="Humanitarian Other"/>
    <n v="395000"/>
    <s v="Tesfaye Hussein"/>
    <s v="WASH and Public Health Advisor"/>
    <s v="tesfaye.hussein@careinternational.onmicrosoft.com"/>
    <s v="Amy Wing"/>
    <s v="Funding Coordinator"/>
    <s v="amy.wing@care.org"/>
    <s v="YES"/>
    <s v="NO"/>
    <s v="NO"/>
    <s v=". CIS will work as part of a consortium led by UNHCR to support initial site development and critical life-saving assistance for 10,000 refugees (6more than 8,000 currently verified existing caseload plus and 4,000 anticipated new arrivals) in Al Nimir ) to increase access to safe water supply; promote improved hygiene practices; and improve sanitation conditions by constructing latrines and managing cleaning campaigns."/>
    <s v="Sub-National"/>
    <s v="Al Nimir refugee camp, East Darfur, Sudan"/>
    <s v="Refugees."/>
    <n v="10800"/>
    <n v="4780"/>
    <n v="15500"/>
    <n v="4000"/>
    <n v="1500"/>
    <n v="5500"/>
    <s v="Direct: refugees in the camp. Indirect: host community members.  As refugees all within the refugee camp, and all households benefitted from water source, indirect beneficiaries were those within the host communities surrounding the camp who might receive water services, but would mostly benefit from not having refugees take from their ater source."/>
    <m/>
    <n v="6967"/>
    <n v="3031"/>
    <n v="9998"/>
    <n v="4000"/>
    <n v="1500"/>
    <n v="5500"/>
    <m/>
    <m/>
    <m/>
    <m/>
    <m/>
    <m/>
    <m/>
    <m/>
    <m/>
    <m/>
    <m/>
    <m/>
    <m/>
    <m/>
    <m/>
    <m/>
    <m/>
    <m/>
    <m/>
    <m/>
    <m/>
    <m/>
    <m/>
    <m/>
    <m/>
    <m/>
    <m/>
    <m/>
    <m/>
    <m/>
    <m/>
    <m/>
    <m/>
    <m/>
    <m/>
    <m/>
    <m/>
    <m/>
    <m/>
    <m/>
    <m/>
    <m/>
    <m/>
    <m/>
    <s v="YES"/>
    <n v="9998"/>
    <n v="0.7"/>
    <n v="5500"/>
    <m/>
    <m/>
    <m/>
    <m/>
    <m/>
    <m/>
    <m/>
    <m/>
    <m/>
    <m/>
    <m/>
    <m/>
    <m/>
    <m/>
    <m/>
    <m/>
    <m/>
    <m/>
    <m/>
    <m/>
    <m/>
    <m/>
    <m/>
    <m/>
    <m/>
    <m/>
    <m/>
    <m/>
    <m/>
    <m/>
    <m/>
    <m/>
    <m/>
    <m/>
    <m/>
    <m/>
    <m/>
    <m/>
    <m/>
    <m/>
    <m/>
    <m/>
    <m/>
    <m/>
    <m/>
    <m/>
    <m/>
    <m/>
    <m/>
    <m/>
    <m/>
    <m/>
    <m/>
    <m/>
    <m/>
    <m/>
    <m/>
    <m/>
    <m/>
    <m/>
    <m/>
    <m/>
    <m/>
    <m/>
    <m/>
    <m/>
    <m/>
    <m/>
    <m/>
    <m/>
    <m/>
    <m/>
    <m/>
    <m/>
    <m/>
    <m/>
    <m/>
    <m/>
    <m/>
    <m/>
    <s v="NO"/>
    <m/>
    <m/>
    <m/>
    <s v="NO"/>
    <m/>
    <m/>
    <m/>
    <x v="0"/>
    <m/>
    <m/>
    <m/>
    <m/>
    <m/>
    <m/>
    <m/>
    <m/>
    <m/>
    <x v="0"/>
    <m/>
    <x v="0"/>
    <m/>
    <x v="0"/>
    <x v="0"/>
    <s v="YES"/>
    <x v="0"/>
    <x v="0"/>
    <x v="0"/>
    <x v="0"/>
    <n v="4"/>
    <x v="1"/>
    <x v="1"/>
    <x v="1"/>
    <x v="1"/>
    <x v="1"/>
    <x v="1"/>
    <n v="4"/>
    <x v="1"/>
    <x v="1"/>
    <x v="2"/>
    <x v="2"/>
    <x v="3"/>
    <n v="1"/>
    <x v="2"/>
    <x v="3"/>
    <n v="1"/>
    <s v="Local NGO(s)/CSO(s)"/>
    <s v="Local government(s)"/>
    <m/>
    <x v="1"/>
    <m/>
    <m/>
    <m/>
    <m/>
    <m/>
    <m/>
    <m/>
    <m/>
    <m/>
    <s v="Project Proposal and final report are held at Country Office."/>
    <n v="9998"/>
    <n v="5500"/>
    <n v="0.55011002200440084"/>
    <n v="0.6968393678735747"/>
    <n v="0.72727272727272729"/>
    <n v="6967"/>
    <n v="4000"/>
    <n v="1"/>
    <n v="9998"/>
    <n v="5500"/>
    <n v="0.55011002200440084"/>
    <s v=""/>
    <n v="0"/>
    <n v="0"/>
    <s v=""/>
    <s v=""/>
    <n v="0"/>
    <n v="0"/>
    <s v=""/>
    <s v=""/>
    <n v="0"/>
    <n v="0"/>
    <s v=""/>
    <s v=""/>
    <n v="0"/>
    <n v="0"/>
    <s v=""/>
    <s v="2. Sensitive"/>
    <s v="2. Accommodating"/>
    <s v="1. Neutral"/>
    <s v="It did not develop any specific innovation"/>
    <s v="Little or no advocacy"/>
    <s v="It did not take tested solutions to scale"/>
  </r>
  <r>
    <x v="70"/>
    <x v="1"/>
    <m/>
    <s v="Humanitarian Advocacy (Grand Bargain Gender)"/>
    <s v="Switzerland"/>
    <m/>
    <s v="CI Secretariat"/>
    <m/>
    <m/>
    <m/>
    <m/>
    <m/>
    <m/>
    <m/>
    <m/>
    <m/>
    <m/>
    <m/>
    <m/>
    <m/>
    <m/>
    <m/>
    <m/>
    <m/>
    <m/>
    <m/>
    <m/>
    <m/>
    <m/>
    <m/>
    <m/>
    <m/>
    <m/>
    <m/>
    <m/>
    <m/>
    <m/>
    <m/>
    <m/>
    <m/>
    <m/>
    <m/>
    <m/>
    <m/>
    <m/>
    <m/>
    <m/>
    <m/>
    <m/>
    <m/>
    <m/>
    <m/>
    <m/>
    <m/>
    <m/>
    <d v="2016-07-01T00:00:00"/>
    <d v="2017-06-30T00:00:00"/>
    <m/>
    <m/>
    <m/>
    <s v="Gareth Price-Jones"/>
    <s v="Senior Humanitarian Policy and Advocacy Coordinator"/>
    <s v="price-jones@careinternational.org"/>
    <m/>
    <m/>
    <m/>
    <s v="YES"/>
    <s v="NO"/>
    <s v="NO"/>
    <s v="1) Strengthen participation by women from crisis-affected communities and local womens groups in decision-making, project implementation and accountability efforts across humanitarian assistance and protection, disaster risk reduction and peacebuilding"/>
    <s v="Global"/>
    <s v="Global Humanitarian hubs (Geneva, New York, Brussels, London)"/>
    <s v="All affected people who are reached by the humanitarian ecosystem (which includes the UN, Humanitarian Donors, INGOs and NNGOs, and to a lesser extent governments of affected countries)"/>
    <n v="550"/>
    <n v="900"/>
    <n v="1450"/>
    <n v="50600000"/>
    <n v="50600000"/>
    <n v="101200000"/>
    <s v="Direct participants are those who we have directly reached through our advocacy including those who attend CARE meetings and briefings, individual lobby targets, and those reached by published briefing notes etc. They include senior diplomats, UN and NGO leaders, local NGO leaders, peer colleagues, academics and others. This group remains gender-biased at about 2/3rd men, and is estimated based on attendance sheets, contacts etc. Because this work influences global policy applying to all members of the global Humanitarian ecosystem, indirect participants includes the entire beneficiaries of humanitarian action, currently estimated in the Global Humanitarian Overview 2017. As these numbers are not gender disaggregated we have used the UNwomen estimate that 50% of affected people are women."/>
    <m/>
    <n v="550"/>
    <n v="900"/>
    <n v="1450"/>
    <m/>
    <m/>
    <m/>
    <m/>
    <m/>
    <m/>
    <m/>
    <s v="YES"/>
    <m/>
    <m/>
    <m/>
    <m/>
    <m/>
    <m/>
    <m/>
    <s v="YES"/>
    <m/>
    <m/>
    <m/>
    <s v="YES"/>
    <m/>
    <m/>
    <m/>
    <s v="YES"/>
    <m/>
    <m/>
    <m/>
    <m/>
    <m/>
    <m/>
    <m/>
    <s v="Yes"/>
    <m/>
    <m/>
    <m/>
    <s v="YES"/>
    <m/>
    <m/>
    <m/>
    <s v="YES"/>
    <m/>
    <m/>
    <m/>
    <m/>
    <m/>
    <m/>
    <m/>
    <s v="YES"/>
    <m/>
    <m/>
    <m/>
    <m/>
    <m/>
    <m/>
    <m/>
    <m/>
    <m/>
    <m/>
    <m/>
    <m/>
    <m/>
    <m/>
    <m/>
    <m/>
    <m/>
    <m/>
    <m/>
    <m/>
    <m/>
    <m/>
    <m/>
    <m/>
    <m/>
    <m/>
    <m/>
    <m/>
    <m/>
    <m/>
    <m/>
    <m/>
    <m/>
    <m/>
    <m/>
    <m/>
    <m/>
    <m/>
    <m/>
    <m/>
    <m/>
    <m/>
    <m/>
    <m/>
    <m/>
    <m/>
    <m/>
    <m/>
    <m/>
    <m/>
    <m/>
    <m/>
    <m/>
    <m/>
    <m/>
    <m/>
    <m/>
    <m/>
    <m/>
    <m/>
    <m/>
    <m/>
    <m/>
    <m/>
    <m/>
    <m/>
    <m/>
    <m/>
    <m/>
    <m/>
    <m/>
    <m/>
    <m/>
    <m/>
    <m/>
    <m/>
    <m/>
    <m/>
    <m/>
    <m/>
    <m/>
    <m/>
    <m/>
    <s v="NO"/>
    <m/>
    <m/>
    <m/>
    <s v="NO"/>
    <m/>
    <m/>
    <m/>
    <x v="2"/>
    <s v="YES"/>
    <m/>
    <m/>
    <m/>
    <s v="YES"/>
    <s v="YES"/>
    <m/>
    <s v="YES"/>
    <s v="Improved gendering of existing policy conversations"/>
    <x v="1"/>
    <s v="New policy approaches"/>
    <x v="2"/>
    <m/>
    <x v="3"/>
    <x v="1"/>
    <s v="YES"/>
    <x v="0"/>
    <x v="2"/>
    <x v="2"/>
    <x v="4"/>
    <n v="2"/>
    <x v="0"/>
    <x v="0"/>
    <x v="0"/>
    <x v="0"/>
    <x v="0"/>
    <x v="0"/>
    <n v="0"/>
    <x v="0"/>
    <x v="0"/>
    <x v="0"/>
    <x v="0"/>
    <x v="0"/>
    <n v="0"/>
    <x v="1"/>
    <x v="4"/>
    <m/>
    <m/>
    <m/>
    <m/>
    <x v="3"/>
    <m/>
    <m/>
    <m/>
    <m/>
    <m/>
    <m/>
    <m/>
    <m/>
    <m/>
    <m/>
    <n v="1450"/>
    <n v="0"/>
    <n v="0"/>
    <n v="0.37931034482758619"/>
    <s v=""/>
    <n v="550"/>
    <n v="0"/>
    <n v="1"/>
    <n v="1450"/>
    <n v="0"/>
    <n v="0"/>
    <n v="1"/>
    <n v="0"/>
    <n v="0"/>
    <s v=""/>
    <n v="1"/>
    <n v="0"/>
    <n v="0"/>
    <s v=""/>
    <n v="1"/>
    <n v="0"/>
    <n v="0"/>
    <s v=""/>
    <s v=""/>
    <n v="0"/>
    <n v="0"/>
    <s v=""/>
    <s v="3. Responsive"/>
    <s v="No marker score"/>
    <s v="No marker score"/>
    <s v="It tested new ways for fighting poverty, but did not measure results of innovation"/>
    <s v="Intensive advocacy"/>
    <n v="0"/>
  </r>
  <r>
    <x v="70"/>
    <x v="1"/>
    <m/>
    <s v="Humanitarian Advocacy (Grand Bargain Localisation Workstream/ Charter4Change)"/>
    <s v="Switzerland"/>
    <m/>
    <s v="CI Secretariat"/>
    <m/>
    <m/>
    <m/>
    <m/>
    <m/>
    <m/>
    <m/>
    <m/>
    <m/>
    <m/>
    <m/>
    <m/>
    <m/>
    <m/>
    <m/>
    <m/>
    <m/>
    <m/>
    <m/>
    <m/>
    <m/>
    <m/>
    <m/>
    <m/>
    <m/>
    <m/>
    <m/>
    <m/>
    <m/>
    <m/>
    <m/>
    <m/>
    <m/>
    <m/>
    <m/>
    <m/>
    <m/>
    <m/>
    <m/>
    <m/>
    <m/>
    <m/>
    <m/>
    <m/>
    <m/>
    <m/>
    <m/>
    <m/>
    <d v="2016-07-01T00:00:00"/>
    <d v="2017-06-30T00:00:00"/>
    <m/>
    <m/>
    <m/>
    <s v="Gareth Price-Jones"/>
    <s v="Senior Humanitarian Policy and Advocacy Coordinator"/>
    <s v="price-jones@careinternational.org"/>
    <s v="Frederique Lehoux"/>
    <s v="Parnership Coordinator"/>
    <s v="lehoux@careinternational.org"/>
    <s v="YES"/>
    <s v="YES"/>
    <s v="YES"/>
    <s v="A shift from internationally-led humanitarian response to national/local response. More specifically, it is an effort to put the ownership of action closer to people delivering and receiving aid. This includes bringing decisions about disaster prevention and response closer to affected people and to local actors servicing them government, civil society, community groups."/>
    <s v="Global"/>
    <s v="Global Humanitarian hubs (Geneva, New York, Brussels, London)"/>
    <s v="All affected people who are reached by the humanitarian ecosystem (which includes the UN, Humanitarian Donors, INGOs and NNGOs, and to a lesser extent governments of affected countries)"/>
    <n v="50"/>
    <n v="80"/>
    <n v="130"/>
    <m/>
    <m/>
    <m/>
    <s v="Direct participants are those who we have directly reached through our advocacy including those who attend CARE meetings and briefings, individual lobby targets, and those reached by published briefing notes etc. They include senior diplomats, UN and NGO leaders, local NGO leaders, peer colleagues, academics and others. This group remains gender-biased at about 2/3rd men, and is estimated based on attendance sheets, contacts etc. Because this work influences global policy applying to all members of the global Humanitarian ecosystem, indirect participants includes the entire beneficiaries of humanitarian action, currently estimated in the Global Humanitarian Overview 2017. As these numbers are not gender disaggregated we have used the UNwomen estimate that 50% of affected people are women."/>
    <m/>
    <n v="50"/>
    <n v="80"/>
    <n v="130"/>
    <m/>
    <m/>
    <m/>
    <m/>
    <m/>
    <m/>
    <m/>
    <m/>
    <m/>
    <m/>
    <m/>
    <m/>
    <m/>
    <m/>
    <m/>
    <m/>
    <m/>
    <m/>
    <m/>
    <m/>
    <m/>
    <m/>
    <m/>
    <m/>
    <m/>
    <m/>
    <m/>
    <m/>
    <m/>
    <m/>
    <m/>
    <m/>
    <m/>
    <m/>
    <m/>
    <m/>
    <m/>
    <m/>
    <m/>
    <m/>
    <m/>
    <m/>
    <m/>
    <m/>
    <m/>
    <m/>
    <m/>
    <m/>
    <m/>
    <m/>
    <m/>
    <m/>
    <m/>
    <m/>
    <m/>
    <m/>
    <m/>
    <m/>
    <m/>
    <m/>
    <m/>
    <m/>
    <m/>
    <m/>
    <m/>
    <m/>
    <m/>
    <m/>
    <m/>
    <m/>
    <m/>
    <m/>
    <m/>
    <m/>
    <m/>
    <m/>
    <m/>
    <m/>
    <m/>
    <m/>
    <m/>
    <m/>
    <m/>
    <m/>
    <m/>
    <m/>
    <m/>
    <m/>
    <m/>
    <m/>
    <m/>
    <m/>
    <m/>
    <m/>
    <m/>
    <m/>
    <m/>
    <m/>
    <m/>
    <m/>
    <m/>
    <m/>
    <m/>
    <m/>
    <m/>
    <m/>
    <m/>
    <m/>
    <m/>
    <m/>
    <m/>
    <m/>
    <m/>
    <m/>
    <m/>
    <m/>
    <m/>
    <m/>
    <m/>
    <m/>
    <m/>
    <m/>
    <m/>
    <m/>
    <m/>
    <m/>
    <m/>
    <m/>
    <m/>
    <m/>
    <m/>
    <s v="NO"/>
    <m/>
    <m/>
    <m/>
    <s v="NO"/>
    <m/>
    <m/>
    <m/>
    <x v="2"/>
    <s v="YES"/>
    <s v="YES"/>
    <s v="YES"/>
    <s v="YES"/>
    <s v="YES"/>
    <s v="YES"/>
    <m/>
    <m/>
    <m/>
    <x v="1"/>
    <s v="New policy approaches"/>
    <x v="2"/>
    <m/>
    <x v="3"/>
    <x v="1"/>
    <s v="YES"/>
    <x v="0"/>
    <x v="2"/>
    <x v="2"/>
    <x v="4"/>
    <n v="2"/>
    <x v="0"/>
    <x v="0"/>
    <x v="0"/>
    <x v="0"/>
    <x v="0"/>
    <x v="0"/>
    <n v="0"/>
    <x v="0"/>
    <x v="0"/>
    <x v="0"/>
    <x v="0"/>
    <x v="0"/>
    <n v="0"/>
    <x v="1"/>
    <x v="4"/>
    <m/>
    <m/>
    <m/>
    <m/>
    <x v="3"/>
    <m/>
    <m/>
    <m/>
    <m/>
    <m/>
    <m/>
    <m/>
    <m/>
    <m/>
    <m/>
    <n v="130"/>
    <n v="0"/>
    <n v="0"/>
    <n v="0.38461538461538464"/>
    <s v=""/>
    <n v="50"/>
    <n v="0"/>
    <n v="1"/>
    <n v="130"/>
    <n v="0"/>
    <n v="0"/>
    <s v=""/>
    <n v="0"/>
    <n v="0"/>
    <s v=""/>
    <s v=""/>
    <n v="0"/>
    <n v="0"/>
    <s v=""/>
    <s v=""/>
    <n v="0"/>
    <n v="0"/>
    <s v=""/>
    <s v=""/>
    <n v="0"/>
    <n v="0"/>
    <s v=""/>
    <s v="3. Responsive"/>
    <s v="No marker score"/>
    <s v="No marker score"/>
    <s v="It tested new ways for fighting poverty, but did not measure results of innovation"/>
    <s v="Intensive advocacy"/>
    <n v="0"/>
  </r>
  <r>
    <x v="70"/>
    <x v="1"/>
    <m/>
    <s v="Humanitarian Advocacy (Grand Bargain Needs Assessment Workstream)"/>
    <s v="Switzerland"/>
    <m/>
    <s v="CI Secretariat"/>
    <m/>
    <m/>
    <m/>
    <m/>
    <m/>
    <m/>
    <m/>
    <m/>
    <m/>
    <m/>
    <m/>
    <m/>
    <m/>
    <m/>
    <m/>
    <m/>
    <m/>
    <m/>
    <m/>
    <m/>
    <m/>
    <m/>
    <m/>
    <m/>
    <m/>
    <m/>
    <m/>
    <m/>
    <m/>
    <m/>
    <m/>
    <m/>
    <m/>
    <m/>
    <m/>
    <m/>
    <m/>
    <m/>
    <m/>
    <m/>
    <m/>
    <m/>
    <m/>
    <m/>
    <m/>
    <m/>
    <m/>
    <m/>
    <d v="2016-07-01T00:00:00"/>
    <d v="2017-06-30T00:00:00"/>
    <m/>
    <m/>
    <m/>
    <s v="Gareth Price-Jones"/>
    <s v="Senior Humanitarian Policy and Advocacy Coordinator"/>
    <s v="price-jones@careinternational.org"/>
    <m/>
    <m/>
    <m/>
    <s v="YES"/>
    <s v="NO"/>
    <s v="NO"/>
    <s v="To ensure that donors continue to support and fund principled humanitarian needs assessments by aid providers (including CARE) maintaining their independence from donors and affected country governments."/>
    <s v="Global"/>
    <s v="Global Humanitarian hubs (Geneva, New York, Brussels, London)"/>
    <s v="All affected people who are reached by the humanitarian ecosystem (which includes the UN, Humanitarian Donors, INGOs and NNGOs, and to a lesser extent governments of affected countries)"/>
    <n v="20"/>
    <n v="20"/>
    <n v="40"/>
    <m/>
    <m/>
    <m/>
    <s v="Direct participants are those who we have directly reached through our advocacy including those who attend CARE meetings and briefings, individual lobby targets, and those reached by published briefing notes etc. They include senior diplomats, UN and NGO leaders, local NGO leaders, peer colleagues, academics and others. This group is less gender biased than other Geneva level advocacy groups, and is estimated based on attendance sheets, contacts etc. Because this work influences global policy applying to all members of the global Humanitarian ecosystem, indirect participants includes the entire beneficiaries of humanitarian action, currently estimated in the Global Humanitarian Overview 2017. As these numbers are not gender disaggregated we have used the UNwomen estimate that 50% of affected people are women."/>
    <m/>
    <n v="20"/>
    <n v="20"/>
    <n v="40"/>
    <m/>
    <m/>
    <m/>
    <s v="YES"/>
    <m/>
    <m/>
    <m/>
    <s v="YES"/>
    <m/>
    <m/>
    <m/>
    <s v="YES"/>
    <m/>
    <m/>
    <m/>
    <s v="YES"/>
    <m/>
    <m/>
    <m/>
    <s v="YES"/>
    <m/>
    <m/>
    <m/>
    <s v="YES"/>
    <m/>
    <m/>
    <m/>
    <s v="YES"/>
    <m/>
    <m/>
    <m/>
    <s v="Yes"/>
    <m/>
    <m/>
    <m/>
    <s v="YES"/>
    <m/>
    <m/>
    <m/>
    <s v="YES"/>
    <m/>
    <m/>
    <m/>
    <s v="YES"/>
    <m/>
    <m/>
    <m/>
    <s v="YES"/>
    <m/>
    <m/>
    <m/>
    <m/>
    <m/>
    <m/>
    <m/>
    <m/>
    <m/>
    <m/>
    <m/>
    <m/>
    <m/>
    <m/>
    <m/>
    <m/>
    <m/>
    <m/>
    <m/>
    <m/>
    <m/>
    <m/>
    <m/>
    <m/>
    <m/>
    <m/>
    <m/>
    <m/>
    <m/>
    <m/>
    <m/>
    <m/>
    <m/>
    <m/>
    <m/>
    <m/>
    <m/>
    <m/>
    <m/>
    <m/>
    <m/>
    <m/>
    <m/>
    <m/>
    <m/>
    <m/>
    <m/>
    <m/>
    <m/>
    <m/>
    <m/>
    <m/>
    <m/>
    <m/>
    <m/>
    <m/>
    <m/>
    <m/>
    <m/>
    <m/>
    <m/>
    <m/>
    <m/>
    <m/>
    <m/>
    <m/>
    <m/>
    <m/>
    <m/>
    <m/>
    <m/>
    <m/>
    <m/>
    <m/>
    <m/>
    <m/>
    <m/>
    <m/>
    <m/>
    <m/>
    <m/>
    <m/>
    <m/>
    <s v="NO"/>
    <m/>
    <m/>
    <m/>
    <s v="NO"/>
    <m/>
    <m/>
    <m/>
    <x v="2"/>
    <m/>
    <s v="YES"/>
    <m/>
    <m/>
    <s v="YES"/>
    <s v="YES"/>
    <m/>
    <m/>
    <m/>
    <x v="0"/>
    <m/>
    <x v="2"/>
    <m/>
    <x v="3"/>
    <x v="1"/>
    <s v="YES"/>
    <x v="0"/>
    <x v="2"/>
    <x v="0"/>
    <x v="4"/>
    <n v="3"/>
    <x v="0"/>
    <x v="0"/>
    <x v="0"/>
    <x v="0"/>
    <x v="0"/>
    <x v="0"/>
    <n v="0"/>
    <x v="0"/>
    <x v="0"/>
    <x v="0"/>
    <x v="0"/>
    <x v="0"/>
    <n v="0"/>
    <x v="1"/>
    <x v="4"/>
    <m/>
    <m/>
    <m/>
    <m/>
    <x v="0"/>
    <m/>
    <m/>
    <m/>
    <m/>
    <m/>
    <m/>
    <m/>
    <m/>
    <m/>
    <m/>
    <n v="40"/>
    <n v="0"/>
    <n v="0"/>
    <n v="0.5"/>
    <s v=""/>
    <n v="20"/>
    <n v="0"/>
    <n v="1"/>
    <n v="40"/>
    <n v="0"/>
    <n v="0"/>
    <n v="1"/>
    <n v="0"/>
    <n v="0"/>
    <s v=""/>
    <n v="1"/>
    <n v="0"/>
    <n v="0"/>
    <s v=""/>
    <n v="1"/>
    <n v="0"/>
    <n v="0"/>
    <s v=""/>
    <s v=""/>
    <n v="0"/>
    <n v="0"/>
    <s v=""/>
    <s v="3. Responsive"/>
    <s v="No marker score"/>
    <s v="No marker score"/>
    <s v="It did not develop any specific innovation"/>
    <s v="Intensive advocacy"/>
    <n v="0"/>
  </r>
  <r>
    <x v="70"/>
    <x v="1"/>
    <m/>
    <s v="Humanitarian Advocacy (Humanitarian Program Cycle)"/>
    <s v="Switzerland"/>
    <m/>
    <s v="CI Secretariat"/>
    <m/>
    <m/>
    <m/>
    <m/>
    <m/>
    <m/>
    <m/>
    <m/>
    <m/>
    <m/>
    <m/>
    <m/>
    <m/>
    <m/>
    <m/>
    <m/>
    <m/>
    <m/>
    <m/>
    <m/>
    <m/>
    <m/>
    <m/>
    <m/>
    <m/>
    <m/>
    <m/>
    <m/>
    <m/>
    <m/>
    <m/>
    <m/>
    <m/>
    <m/>
    <m/>
    <m/>
    <m/>
    <m/>
    <m/>
    <m/>
    <m/>
    <m/>
    <m/>
    <m/>
    <m/>
    <m/>
    <m/>
    <m/>
    <d v="2016-07-01T00:00:00"/>
    <d v="2017-06-30T00:00:00"/>
    <m/>
    <m/>
    <m/>
    <s v="Gareth Price-Jones"/>
    <s v="Senior Humanitarian Policy and Advocacy Coordinator"/>
    <s v="price-jones@careinternational.org"/>
    <m/>
    <m/>
    <m/>
    <s v="YES"/>
    <s v="NO"/>
    <s v="NO"/>
    <s v="To ensure that Humanitarian Strategic Planning processes and their associated UN appeals are accessible to and reference NGO humanitarian programming"/>
    <s v="Global"/>
    <s v="Global Humanitarian hubs (Geneva, New York, Brussels, London)"/>
    <s v="All affected people who are reached by the humanitarian ecosystem (which includes the UN, Humanitarian Donors, INGOs and NNGOs, and to a lesser extent governments of affected countries)"/>
    <n v="20"/>
    <n v="20"/>
    <n v="40"/>
    <m/>
    <m/>
    <m/>
    <s v="Direct participants are those who we have directly reached through our advocacy including those who attend CARE meetings and briefings, individual lobby targets, and those reached by published briefing notes etc. They include senior diplomats, UN and NGO leaders, local NGO leaders, peer colleagues, academics and others. This group is less gender biased than other Geneva level advocacy groups, and is estimated based on attendance sheets, contacts etc. Because this work influences global policy applying to all members of the global Humanitarian ecosystem, indirect participants includes the entire beneficiaries of humanitarian action, currently estimated in the Global Humanitarian Overview 2017. As these numbers are not gender disaggregated we have used the UNwomen estimate that 50% of affected people are women."/>
    <m/>
    <n v="20"/>
    <n v="20"/>
    <n v="40"/>
    <m/>
    <m/>
    <m/>
    <s v="YES"/>
    <m/>
    <m/>
    <m/>
    <s v="YES"/>
    <m/>
    <m/>
    <m/>
    <s v="YES"/>
    <m/>
    <m/>
    <m/>
    <s v="YES"/>
    <m/>
    <m/>
    <m/>
    <s v="YES"/>
    <m/>
    <m/>
    <m/>
    <s v="YES"/>
    <m/>
    <m/>
    <m/>
    <s v="YES"/>
    <m/>
    <m/>
    <m/>
    <s v="Yes"/>
    <m/>
    <m/>
    <m/>
    <s v="YES"/>
    <m/>
    <m/>
    <m/>
    <s v="YES"/>
    <m/>
    <m/>
    <m/>
    <s v="YES"/>
    <m/>
    <m/>
    <m/>
    <s v="YES"/>
    <m/>
    <m/>
    <m/>
    <m/>
    <m/>
    <m/>
    <m/>
    <m/>
    <m/>
    <m/>
    <m/>
    <m/>
    <m/>
    <m/>
    <m/>
    <m/>
    <m/>
    <m/>
    <m/>
    <m/>
    <m/>
    <m/>
    <m/>
    <m/>
    <m/>
    <m/>
    <m/>
    <m/>
    <m/>
    <m/>
    <m/>
    <m/>
    <m/>
    <m/>
    <m/>
    <m/>
    <m/>
    <m/>
    <m/>
    <m/>
    <m/>
    <m/>
    <m/>
    <m/>
    <m/>
    <m/>
    <m/>
    <m/>
    <m/>
    <m/>
    <m/>
    <m/>
    <m/>
    <m/>
    <m/>
    <m/>
    <m/>
    <m/>
    <m/>
    <m/>
    <m/>
    <m/>
    <m/>
    <m/>
    <m/>
    <m/>
    <m/>
    <m/>
    <m/>
    <m/>
    <m/>
    <m/>
    <m/>
    <m/>
    <m/>
    <m/>
    <m/>
    <m/>
    <m/>
    <m/>
    <m/>
    <m/>
    <m/>
    <s v="NO"/>
    <m/>
    <m/>
    <m/>
    <s v="NO"/>
    <m/>
    <m/>
    <m/>
    <x v="2"/>
    <m/>
    <s v="YES"/>
    <m/>
    <m/>
    <s v="YES"/>
    <s v="YES"/>
    <m/>
    <m/>
    <m/>
    <x v="0"/>
    <m/>
    <x v="2"/>
    <m/>
    <x v="3"/>
    <x v="1"/>
    <s v="YES"/>
    <x v="0"/>
    <x v="2"/>
    <x v="0"/>
    <x v="4"/>
    <n v="3"/>
    <x v="0"/>
    <x v="0"/>
    <x v="0"/>
    <x v="0"/>
    <x v="0"/>
    <x v="0"/>
    <n v="0"/>
    <x v="0"/>
    <x v="0"/>
    <x v="0"/>
    <x v="0"/>
    <x v="0"/>
    <n v="0"/>
    <x v="1"/>
    <x v="4"/>
    <m/>
    <m/>
    <m/>
    <m/>
    <x v="0"/>
    <m/>
    <m/>
    <m/>
    <m/>
    <m/>
    <m/>
    <m/>
    <m/>
    <s v="Strong ongoing impact on reality-checking how the HPC impacts on response decisions in NGOs. Strong influence on peer NGO thinking. Only major NGO voice in this discussion despite field impact."/>
    <m/>
    <n v="40"/>
    <n v="0"/>
    <n v="0"/>
    <n v="0.5"/>
    <s v=""/>
    <n v="20"/>
    <n v="0"/>
    <n v="1"/>
    <n v="40"/>
    <n v="0"/>
    <n v="0"/>
    <n v="1"/>
    <n v="0"/>
    <n v="0"/>
    <s v=""/>
    <n v="1"/>
    <n v="0"/>
    <n v="0"/>
    <s v=""/>
    <n v="1"/>
    <n v="0"/>
    <n v="0"/>
    <s v=""/>
    <s v=""/>
    <n v="0"/>
    <n v="0"/>
    <s v=""/>
    <s v="3. Responsive"/>
    <s v="No marker score"/>
    <s v="No marker score"/>
    <s v="It did not develop any specific innovation"/>
    <s v="Intensive advocacy"/>
    <n v="0"/>
  </r>
  <r>
    <x v="70"/>
    <x v="1"/>
    <m/>
    <s v="Humanitarian Advocacy (Protection of Humanitarians)"/>
    <s v="Switzerland"/>
    <m/>
    <s v="CI Secretariat"/>
    <m/>
    <m/>
    <m/>
    <m/>
    <m/>
    <m/>
    <m/>
    <m/>
    <m/>
    <m/>
    <m/>
    <m/>
    <m/>
    <m/>
    <m/>
    <m/>
    <m/>
    <m/>
    <m/>
    <m/>
    <m/>
    <m/>
    <m/>
    <m/>
    <m/>
    <m/>
    <m/>
    <m/>
    <m/>
    <m/>
    <m/>
    <m/>
    <m/>
    <m/>
    <m/>
    <m/>
    <m/>
    <m/>
    <m/>
    <m/>
    <m/>
    <m/>
    <m/>
    <m/>
    <m/>
    <m/>
    <m/>
    <m/>
    <d v="2016-07-01T00:00:00"/>
    <d v="2017-06-30T00:00:00"/>
    <m/>
    <m/>
    <m/>
    <s v="Gareth Price-Jones"/>
    <s v="Senior Humanitarian Policy and Advocacy Coordinator"/>
    <s v="price-jones@careinternational.org"/>
    <m/>
    <m/>
    <m/>
    <s v="YES"/>
    <s v="NO"/>
    <s v="NO"/>
    <s v="To increase the concrete political or diplomatic costs imposed on armed actors of attacking humanitarians"/>
    <s v="Global"/>
    <s v="Global Humanitarian hubs (Geneva, New York, Brussels, London)"/>
    <s v="All affected people who are reached by the humanitarian ecosystem (which includes the UN, Humanitarian Donors, INGOs and NNGOs, and to a lesser extent governments of affected countries)"/>
    <n v="100"/>
    <n v="100"/>
    <n v="200"/>
    <m/>
    <m/>
    <m/>
    <s v="Direct participants are those who we have directly reached through our advocacy including those who attend CARE meetings and briefings, an ATHA webinar which reached about 180 people, individual lobby targets, and those reached by published briefing notes etc. They include senior diplomats, UN and NGO leaders, local NGO leaders, peer colleagues, academics and others. This group is less gender biased than other Geneva level advocacy groups, and is estimated based on attendance sheets, contacts etc. Because this work influences global policy applying to all members of the global Humanitarian ecosystem, indirect participants includes the entire beneficiaries of humanitarian action, currently estimated in the Global Humanitarian Overview 2017. As these numbers are not gender disaggregated we have used the UNwomen estimate that 50% of affected people are women."/>
    <m/>
    <n v="20"/>
    <n v="20"/>
    <n v="40"/>
    <m/>
    <m/>
    <m/>
    <s v="NO"/>
    <m/>
    <m/>
    <m/>
    <s v="NO"/>
    <m/>
    <m/>
    <m/>
    <s v="NO"/>
    <m/>
    <m/>
    <m/>
    <s v="NO"/>
    <m/>
    <m/>
    <m/>
    <s v="NO"/>
    <m/>
    <m/>
    <m/>
    <s v="NO"/>
    <m/>
    <m/>
    <m/>
    <s v="NO"/>
    <m/>
    <m/>
    <m/>
    <s v="NO"/>
    <m/>
    <m/>
    <m/>
    <s v="NO"/>
    <m/>
    <m/>
    <m/>
    <s v="NO"/>
    <m/>
    <m/>
    <m/>
    <s v="NO"/>
    <m/>
    <m/>
    <m/>
    <s v="NO"/>
    <m/>
    <m/>
    <m/>
    <m/>
    <m/>
    <m/>
    <m/>
    <m/>
    <m/>
    <m/>
    <m/>
    <m/>
    <m/>
    <m/>
    <m/>
    <m/>
    <m/>
    <m/>
    <m/>
    <m/>
    <m/>
    <m/>
    <m/>
    <m/>
    <m/>
    <m/>
    <m/>
    <m/>
    <m/>
    <m/>
    <m/>
    <m/>
    <m/>
    <m/>
    <m/>
    <m/>
    <m/>
    <m/>
    <m/>
    <m/>
    <m/>
    <m/>
    <m/>
    <m/>
    <m/>
    <m/>
    <m/>
    <m/>
    <m/>
    <m/>
    <m/>
    <m/>
    <m/>
    <m/>
    <m/>
    <m/>
    <m/>
    <m/>
    <m/>
    <m/>
    <m/>
    <m/>
    <m/>
    <m/>
    <m/>
    <m/>
    <m/>
    <m/>
    <m/>
    <m/>
    <m/>
    <m/>
    <m/>
    <m/>
    <m/>
    <m/>
    <m/>
    <m/>
    <m/>
    <m/>
    <m/>
    <m/>
    <m/>
    <s v="NO"/>
    <m/>
    <m/>
    <m/>
    <s v="NO"/>
    <m/>
    <m/>
    <m/>
    <x v="2"/>
    <m/>
    <s v="YES"/>
    <m/>
    <m/>
    <s v="YES"/>
    <s v="YES"/>
    <m/>
    <m/>
    <m/>
    <x v="0"/>
    <m/>
    <x v="2"/>
    <m/>
    <x v="2"/>
    <x v="1"/>
    <s v="YES"/>
    <x v="0"/>
    <x v="2"/>
    <x v="0"/>
    <x v="4"/>
    <n v="3"/>
    <x v="0"/>
    <x v="0"/>
    <x v="0"/>
    <x v="0"/>
    <x v="0"/>
    <x v="0"/>
    <n v="0"/>
    <x v="0"/>
    <x v="0"/>
    <x v="0"/>
    <x v="0"/>
    <x v="0"/>
    <n v="0"/>
    <x v="1"/>
    <x v="4"/>
    <m/>
    <m/>
    <m/>
    <m/>
    <x v="0"/>
    <s v="In particular strong focus on protecting civil society space"/>
    <m/>
    <m/>
    <m/>
    <m/>
    <m/>
    <m/>
    <m/>
    <m/>
    <m/>
    <n v="40"/>
    <n v="0"/>
    <n v="0"/>
    <n v="0.5"/>
    <s v=""/>
    <n v="20"/>
    <n v="0"/>
    <n v="1"/>
    <n v="40"/>
    <n v="0"/>
    <n v="0"/>
    <s v=""/>
    <n v="0"/>
    <n v="0"/>
    <s v=""/>
    <s v=""/>
    <n v="0"/>
    <n v="0"/>
    <s v=""/>
    <s v=""/>
    <n v="0"/>
    <n v="0"/>
    <s v=""/>
    <s v=""/>
    <n v="0"/>
    <n v="0"/>
    <s v=""/>
    <s v="3. Responsive"/>
    <s v="No marker score"/>
    <s v="No marker score"/>
    <s v="It did not develop any specific innovation"/>
    <s v="Intensive advocacy"/>
    <n v="0"/>
  </r>
  <r>
    <x v="70"/>
    <x v="1"/>
    <m/>
    <s v="Humanitarian Advocacy (Yemen)"/>
    <s v="Switzerland"/>
    <m/>
    <s v="CI Secretariat"/>
    <m/>
    <m/>
    <m/>
    <m/>
    <m/>
    <m/>
    <m/>
    <m/>
    <m/>
    <m/>
    <m/>
    <m/>
    <m/>
    <m/>
    <m/>
    <m/>
    <m/>
    <m/>
    <m/>
    <m/>
    <m/>
    <m/>
    <m/>
    <m/>
    <m/>
    <m/>
    <m/>
    <m/>
    <m/>
    <m/>
    <m/>
    <m/>
    <m/>
    <m/>
    <m/>
    <m/>
    <m/>
    <m/>
    <m/>
    <m/>
    <m/>
    <m/>
    <m/>
    <m/>
    <m/>
    <m/>
    <m/>
    <m/>
    <d v="2016-07-01T00:00:00"/>
    <d v="2017-06-30T00:00:00"/>
    <m/>
    <m/>
    <m/>
    <s v="Gareth Price-Jones"/>
    <s v="Senior Humanitarian Policy and Advocacy Coordinator"/>
    <s v="price-jones@careinternational.org"/>
    <m/>
    <m/>
    <m/>
    <s v="YES"/>
    <s v="NO"/>
    <s v="NO"/>
    <s v="To increase the concrete political or diplomatic costs imposed on armed actors of attacking humanitarians"/>
    <s v="Global"/>
    <s v="Global Humanitarian hubs (Geneva, New York, Brussels, London)"/>
    <s v="Affected people in Yemen"/>
    <n v="50"/>
    <n v="50"/>
    <n v="100"/>
    <n v="9000000"/>
    <n v="9000000"/>
    <n v="18000000"/>
    <s v="Direct participants are those who we have directly reached through our advocacy including those who attend CARE meetings and briefings, individual lobby targets, and those reached by published briefing notes etc. They include senior diplomats, UN and NGO leaders, local NGO leaders, peer colleagues, academics and others. This group is less gender biased than other Geneva level advocacy groups, and is estimated based on attendance sheets, contacts etc. Because this work influences global policy applying to Yemen, it should ultimately impact on all 18m affected people, though this may take some years to translate from policy change at capitals to impact in Yemen."/>
    <m/>
    <n v="50"/>
    <n v="50"/>
    <n v="100"/>
    <m/>
    <m/>
    <m/>
    <s v="NO"/>
    <m/>
    <m/>
    <m/>
    <s v="NO"/>
    <m/>
    <m/>
    <m/>
    <s v="NO"/>
    <m/>
    <m/>
    <m/>
    <s v="NO"/>
    <m/>
    <m/>
    <m/>
    <s v="NO"/>
    <m/>
    <m/>
    <m/>
    <s v="NO"/>
    <m/>
    <m/>
    <m/>
    <s v="NO"/>
    <m/>
    <m/>
    <m/>
    <s v="NO"/>
    <m/>
    <m/>
    <m/>
    <s v="NO"/>
    <m/>
    <m/>
    <m/>
    <s v="NO"/>
    <m/>
    <m/>
    <m/>
    <s v="NO"/>
    <m/>
    <m/>
    <m/>
    <s v="NO"/>
    <m/>
    <m/>
    <m/>
    <m/>
    <m/>
    <m/>
    <m/>
    <m/>
    <m/>
    <m/>
    <m/>
    <m/>
    <m/>
    <m/>
    <m/>
    <m/>
    <m/>
    <m/>
    <m/>
    <m/>
    <m/>
    <m/>
    <m/>
    <m/>
    <m/>
    <m/>
    <m/>
    <m/>
    <m/>
    <m/>
    <m/>
    <m/>
    <m/>
    <m/>
    <m/>
    <m/>
    <m/>
    <m/>
    <m/>
    <m/>
    <m/>
    <m/>
    <m/>
    <m/>
    <m/>
    <m/>
    <m/>
    <m/>
    <m/>
    <m/>
    <m/>
    <m/>
    <m/>
    <m/>
    <m/>
    <m/>
    <m/>
    <m/>
    <m/>
    <m/>
    <m/>
    <m/>
    <m/>
    <m/>
    <m/>
    <m/>
    <m/>
    <m/>
    <m/>
    <m/>
    <m/>
    <m/>
    <m/>
    <m/>
    <m/>
    <m/>
    <m/>
    <m/>
    <m/>
    <m/>
    <m/>
    <m/>
    <m/>
    <s v="NO"/>
    <m/>
    <m/>
    <m/>
    <s v="NO"/>
    <m/>
    <m/>
    <m/>
    <x v="2"/>
    <m/>
    <s v="YES"/>
    <m/>
    <m/>
    <s v="NO"/>
    <s v="NO"/>
    <m/>
    <m/>
    <m/>
    <x v="0"/>
    <m/>
    <x v="2"/>
    <m/>
    <x v="1"/>
    <x v="1"/>
    <s v="YES"/>
    <x v="0"/>
    <x v="2"/>
    <x v="0"/>
    <x v="4"/>
    <n v="3"/>
    <x v="0"/>
    <x v="0"/>
    <x v="0"/>
    <x v="0"/>
    <x v="0"/>
    <x v="0"/>
    <n v="0"/>
    <x v="0"/>
    <x v="0"/>
    <x v="0"/>
    <x v="0"/>
    <x v="0"/>
    <n v="0"/>
    <x v="1"/>
    <x v="4"/>
    <m/>
    <m/>
    <m/>
    <m/>
    <x v="0"/>
    <s v="In particular strong focus on protecting civil society space"/>
    <m/>
    <m/>
    <m/>
    <m/>
    <m/>
    <m/>
    <m/>
    <m/>
    <m/>
    <n v="100"/>
    <n v="0"/>
    <n v="0"/>
    <n v="0.5"/>
    <s v=""/>
    <n v="50"/>
    <n v="0"/>
    <n v="1"/>
    <n v="100"/>
    <n v="0"/>
    <n v="0"/>
    <s v=""/>
    <n v="0"/>
    <n v="0"/>
    <s v=""/>
    <s v=""/>
    <n v="0"/>
    <n v="0"/>
    <s v=""/>
    <s v=""/>
    <n v="0"/>
    <n v="0"/>
    <s v=""/>
    <s v=""/>
    <n v="0"/>
    <n v="0"/>
    <s v=""/>
    <s v="3. Responsive"/>
    <s v="No marker score"/>
    <s v="No marker score"/>
    <s v="It did not develop any specific innovation"/>
    <s v="Intensive advocacy"/>
    <n v="0"/>
  </r>
  <r>
    <x v="71"/>
    <x v="1"/>
    <m/>
    <s v="Building resilience where it is most needed: Enhancing food security and livelihood opportunities for Deir-Ez-Zor's most affected populations"/>
    <s v="Syria"/>
    <s v="OCHATR0005"/>
    <s v="CARE USA"/>
    <s v="Multilateral agency"/>
    <s v="UN - United Nations agencies/offices"/>
    <s v="UN OCHA"/>
    <m/>
    <m/>
    <m/>
    <m/>
    <m/>
    <m/>
    <m/>
    <m/>
    <m/>
    <m/>
    <m/>
    <m/>
    <m/>
    <m/>
    <m/>
    <m/>
    <m/>
    <m/>
    <m/>
    <m/>
    <m/>
    <m/>
    <m/>
    <m/>
    <m/>
    <m/>
    <m/>
    <m/>
    <m/>
    <m/>
    <m/>
    <m/>
    <m/>
    <m/>
    <m/>
    <m/>
    <m/>
    <m/>
    <m/>
    <m/>
    <m/>
    <m/>
    <m/>
    <m/>
    <m/>
    <d v="2015-12-01T00:00:00"/>
    <d v="2016-08-31T00:00:00"/>
    <m/>
    <s v="Humanitarian Food &amp; Nutrition Security and Resilience to Climate Change"/>
    <n v="351087.17"/>
    <s v="Mazen Alhusseini"/>
    <s v="Project Manager (Former)"/>
    <s v="Mazen.Alhusseini@care.org"/>
    <m/>
    <m/>
    <m/>
    <s v="YES"/>
    <s v="NO"/>
    <s v="NO"/>
    <s v="Enhancing food security and livelihood opportunities for Deir-Ez-Zor's most affected populations"/>
    <s v="Sub-National"/>
    <s v="Syria: Deir-ez Zor governorate"/>
    <s v="IDPs in Deir-ez Zor"/>
    <n v="1106"/>
    <n v="1026"/>
    <n v="2132"/>
    <m/>
    <m/>
    <m/>
    <m/>
    <m/>
    <n v="1106"/>
    <n v="1026"/>
    <n v="2132"/>
    <m/>
    <m/>
    <m/>
    <m/>
    <m/>
    <m/>
    <m/>
    <m/>
    <m/>
    <m/>
    <m/>
    <m/>
    <m/>
    <m/>
    <m/>
    <m/>
    <m/>
    <m/>
    <m/>
    <m/>
    <m/>
    <m/>
    <m/>
    <m/>
    <m/>
    <m/>
    <m/>
    <m/>
    <m/>
    <m/>
    <m/>
    <s v="Yes"/>
    <n v="2132"/>
    <n v="0.5"/>
    <m/>
    <m/>
    <m/>
    <m/>
    <m/>
    <m/>
    <m/>
    <m/>
    <m/>
    <m/>
    <m/>
    <m/>
    <m/>
    <m/>
    <m/>
    <m/>
    <m/>
    <m/>
    <m/>
    <m/>
    <m/>
    <m/>
    <m/>
    <m/>
    <m/>
    <m/>
    <m/>
    <m/>
    <m/>
    <m/>
    <m/>
    <m/>
    <m/>
    <m/>
    <m/>
    <m/>
    <m/>
    <m/>
    <m/>
    <m/>
    <m/>
    <m/>
    <m/>
    <m/>
    <m/>
    <m/>
    <m/>
    <m/>
    <m/>
    <m/>
    <m/>
    <m/>
    <m/>
    <m/>
    <m/>
    <m/>
    <m/>
    <m/>
    <m/>
    <m/>
    <m/>
    <m/>
    <m/>
    <m/>
    <m/>
    <m/>
    <m/>
    <m/>
    <m/>
    <m/>
    <m/>
    <m/>
    <m/>
    <m/>
    <m/>
    <m/>
    <m/>
    <m/>
    <m/>
    <m/>
    <m/>
    <m/>
    <m/>
    <m/>
    <m/>
    <m/>
    <m/>
    <m/>
    <m/>
    <m/>
    <m/>
    <m/>
    <m/>
    <m/>
    <m/>
    <m/>
    <m/>
    <s v="NO"/>
    <m/>
    <m/>
    <s v="NO"/>
    <s v="NO"/>
    <m/>
    <m/>
    <s v="N/A"/>
    <x v="0"/>
    <s v="NO"/>
    <m/>
    <s v="YES"/>
    <s v="NO"/>
    <s v="NO"/>
    <s v="NO"/>
    <s v="NO"/>
    <s v="NO"/>
    <m/>
    <x v="0"/>
    <s v="Livelihood support to vulnerabel HH to help them recovery from poverty"/>
    <x v="3"/>
    <s v="Provision of livestock complemented with training to enhance productivity for enhanced livelihood support to the vulnenrabel beneficiaries.  Adopted pactrices developed by Food And Agriicutlrue Organization (FAO)"/>
    <x v="1"/>
    <x v="0"/>
    <s v="YES"/>
    <x v="0"/>
    <x v="0"/>
    <x v="0"/>
    <x v="0"/>
    <n v="4"/>
    <x v="0"/>
    <x v="0"/>
    <x v="0"/>
    <x v="0"/>
    <x v="0"/>
    <x v="0"/>
    <n v="0"/>
    <x v="0"/>
    <x v="0"/>
    <x v="0"/>
    <x v="0"/>
    <x v="0"/>
    <n v="0"/>
    <x v="2"/>
    <x v="2"/>
    <n v="1"/>
    <s v="Local NGO(s)/CSO(s)"/>
    <m/>
    <m/>
    <x v="2"/>
    <m/>
    <m/>
    <s v="Community planning"/>
    <s v="Engaging men"/>
    <s v="Stakeholder particiaption"/>
    <s v="Access, because of the change in political context"/>
    <s v="Geographich flexibility is important in a context that is politically uncertain"/>
    <s v="Initiating recover was a bit early in stage.  Focus should have continued to be on emergency"/>
    <m/>
    <m/>
    <n v="2132"/>
    <n v="0"/>
    <n v="0"/>
    <n v="0.51876172607879922"/>
    <s v=""/>
    <n v="1106"/>
    <n v="0"/>
    <n v="1"/>
    <n v="2132"/>
    <n v="0"/>
    <n v="0"/>
    <n v="1"/>
    <n v="2132"/>
    <n v="0"/>
    <n v="0"/>
    <s v=""/>
    <n v="0"/>
    <n v="0"/>
    <s v=""/>
    <s v=""/>
    <n v="0"/>
    <n v="0"/>
    <s v=""/>
    <s v=""/>
    <n v="0"/>
    <n v="0"/>
    <s v=""/>
    <s v="2. Sensitive"/>
    <s v="No marker score"/>
    <s v="No marker score"/>
    <s v="It did not develop any specific innovation"/>
    <s v="Little or no advocacy"/>
    <s v="It took tested solutions to scale on its own"/>
  </r>
  <r>
    <x v="71"/>
    <x v="1"/>
    <m/>
    <s v="CARE USA WASH Support to Southern Syria"/>
    <s v="Syria"/>
    <s v="CCANSY0007"/>
    <s v="CARE USA"/>
    <s v="Other"/>
    <s v="Government - Canada"/>
    <s v="DFATD-Canada"/>
    <m/>
    <m/>
    <m/>
    <m/>
    <m/>
    <m/>
    <m/>
    <m/>
    <m/>
    <m/>
    <m/>
    <m/>
    <m/>
    <m/>
    <m/>
    <m/>
    <m/>
    <m/>
    <m/>
    <m/>
    <m/>
    <m/>
    <m/>
    <m/>
    <m/>
    <m/>
    <m/>
    <m/>
    <m/>
    <m/>
    <m/>
    <m/>
    <m/>
    <m/>
    <m/>
    <m/>
    <m/>
    <m/>
    <m/>
    <m/>
    <m/>
    <m/>
    <m/>
    <m/>
    <m/>
    <d v="2017-01-01T00:00:00"/>
    <m/>
    <m/>
    <s v="Humanitarian Other"/>
    <n v="4010043.98"/>
    <s v="Evarest Ochola"/>
    <s v="WASH Advisor"/>
    <s v="Evarest.Ochola@care.ca"/>
    <s v="Alaa AlQaisi"/>
    <s v="Deputy WASH Manager"/>
    <s v="Alaa.Alqaisi@care.org"/>
    <s v="YES"/>
    <s v="NO"/>
    <s v="NO"/>
    <s v="To meet the basic WASH  needs of vulnerable households in Southern Syria"/>
    <s v="Sub-National"/>
    <s v="Dara, Quneitra, Homs, and Rural Damascus governorates"/>
    <s v="IDPs and host communities in Dara'a and Qunwitra governorates"/>
    <n v="23814"/>
    <n v="24786"/>
    <n v="48600"/>
    <m/>
    <m/>
    <m/>
    <m/>
    <m/>
    <m/>
    <m/>
    <m/>
    <m/>
    <m/>
    <m/>
    <m/>
    <m/>
    <m/>
    <m/>
    <m/>
    <m/>
    <m/>
    <m/>
    <m/>
    <m/>
    <m/>
    <m/>
    <m/>
    <m/>
    <m/>
    <m/>
    <m/>
    <m/>
    <m/>
    <m/>
    <m/>
    <m/>
    <m/>
    <m/>
    <m/>
    <m/>
    <m/>
    <m/>
    <m/>
    <m/>
    <m/>
    <m/>
    <m/>
    <m/>
    <m/>
    <m/>
    <m/>
    <m/>
    <m/>
    <m/>
    <m/>
    <m/>
    <m/>
    <m/>
    <s v="YES"/>
    <m/>
    <m/>
    <m/>
    <m/>
    <m/>
    <m/>
    <m/>
    <m/>
    <m/>
    <m/>
    <m/>
    <m/>
    <m/>
    <m/>
    <m/>
    <m/>
    <m/>
    <m/>
    <m/>
    <m/>
    <m/>
    <m/>
    <m/>
    <m/>
    <m/>
    <m/>
    <m/>
    <m/>
    <m/>
    <m/>
    <m/>
    <m/>
    <m/>
    <m/>
    <m/>
    <m/>
    <m/>
    <m/>
    <m/>
    <m/>
    <m/>
    <m/>
    <m/>
    <m/>
    <m/>
    <m/>
    <m/>
    <m/>
    <m/>
    <m/>
    <m/>
    <m/>
    <m/>
    <m/>
    <m/>
    <m/>
    <m/>
    <m/>
    <m/>
    <m/>
    <m/>
    <m/>
    <m/>
    <m/>
    <m/>
    <m/>
    <m/>
    <m/>
    <m/>
    <m/>
    <m/>
    <m/>
    <m/>
    <m/>
    <m/>
    <m/>
    <m/>
    <m/>
    <m/>
    <m/>
    <m/>
    <m/>
    <m/>
    <s v="NO"/>
    <m/>
    <m/>
    <m/>
    <m/>
    <m/>
    <m/>
    <m/>
    <x v="0"/>
    <m/>
    <m/>
    <m/>
    <m/>
    <m/>
    <m/>
    <m/>
    <m/>
    <m/>
    <x v="0"/>
    <m/>
    <x v="0"/>
    <m/>
    <x v="1"/>
    <x v="0"/>
    <s v="YES"/>
    <x v="0"/>
    <x v="0"/>
    <x v="0"/>
    <x v="0"/>
    <n v="4"/>
    <x v="0"/>
    <x v="2"/>
    <x v="2"/>
    <x v="2"/>
    <x v="2"/>
    <x v="0"/>
    <n v="0"/>
    <x v="0"/>
    <x v="0"/>
    <x v="0"/>
    <x v="0"/>
    <x v="0"/>
    <n v="0"/>
    <x v="0"/>
    <x v="2"/>
    <n v="2"/>
    <s v="Local NGO(s)/CSO(s)"/>
    <m/>
    <m/>
    <x v="2"/>
    <s v="CARE's Southern Syria programs work nearly completely through Syrian NGO partners.  CARE works closely to build capacity of Syrian civil society through ongoing communication and training. There is ongoing training with partners in management systems, program implementation, management, and monitoring, financial management, and humanitarian principles."/>
    <m/>
    <m/>
    <m/>
    <m/>
    <m/>
    <m/>
    <m/>
    <m/>
    <m/>
    <n v="0"/>
    <n v="0"/>
    <s v=""/>
    <s v=""/>
    <s v=""/>
    <n v="0"/>
    <n v="0"/>
    <n v="1"/>
    <n v="0"/>
    <n v="0"/>
    <s v=""/>
    <s v=""/>
    <n v="0"/>
    <n v="0"/>
    <s v=""/>
    <s v=""/>
    <n v="0"/>
    <n v="0"/>
    <s v=""/>
    <s v=""/>
    <n v="0"/>
    <n v="0"/>
    <s v=""/>
    <s v=""/>
    <n v="0"/>
    <n v="0"/>
    <s v=""/>
    <s v="2. Sensitive"/>
    <s v="No marker score"/>
    <s v="No marker score"/>
    <s v="It did not develop any specific innovation"/>
    <s v="Little or no advocacy"/>
    <s v="It did not take tested solutions to scale"/>
  </r>
  <r>
    <x v="71"/>
    <x v="1"/>
    <n v="3422"/>
    <s v="CAUTJO0025, CDEUJO0008, CDEUJO0009 Project co-financed by three donors Emergency Support and Preparednes in southern Syria"/>
    <s v="Syria"/>
    <s v="CAUTJO0025"/>
    <s v="CARE Österreich"/>
    <s v="Government"/>
    <s v="ECHO - European Commission for Humanitarian Aid and Civil Protection"/>
    <s v="ECHO"/>
    <s v="CDEUJO0008"/>
    <s v="CARE Österreich"/>
    <s v="Government"/>
    <s v="Government - Luxemburg"/>
    <s v="Ministry of Foreign Affairs of Luxemburg"/>
    <s v="CDEUJO0009"/>
    <s v="CARE Österreich"/>
    <s v="Other"/>
    <s v="Other"/>
    <s v="Aktion Deutschland Hilft (ADH)"/>
    <m/>
    <m/>
    <m/>
    <m/>
    <m/>
    <m/>
    <m/>
    <m/>
    <m/>
    <m/>
    <m/>
    <m/>
    <m/>
    <m/>
    <m/>
    <m/>
    <m/>
    <m/>
    <m/>
    <m/>
    <m/>
    <m/>
    <m/>
    <m/>
    <m/>
    <m/>
    <m/>
    <m/>
    <m/>
    <m/>
    <m/>
    <m/>
    <m/>
    <m/>
    <m/>
    <d v="2016-05-31T00:00:00"/>
    <d v="2016-09-01T00:00:00"/>
    <d v="2016-10-31T00:00:00"/>
    <s v="Humanitarian Other"/>
    <n v="2034000"/>
    <s v="Jennifer OLSON-SNELL"/>
    <s v="Deputy Director Programs"/>
    <m/>
    <s v="Duaa AL DARAWEESH"/>
    <s v="Deputy Rapid Response Manager"/>
    <m/>
    <s v="YES"/>
    <s v="NO"/>
    <s v="NO"/>
    <s v="To provide coordinated and timely life-saving and life-sustaining humanitarian assistance to people in need, prioritizing the most vulnerable"/>
    <s v="Sub-National"/>
    <s v="Dar'a and Quneitra governorates, southern Syria"/>
    <s v="IDPs and host families"/>
    <n v="25043"/>
    <n v="26066"/>
    <n v="51109"/>
    <m/>
    <m/>
    <m/>
    <m/>
    <m/>
    <n v="25043"/>
    <n v="26066"/>
    <n v="51109"/>
    <m/>
    <m/>
    <m/>
    <m/>
    <m/>
    <m/>
    <m/>
    <m/>
    <m/>
    <m/>
    <m/>
    <m/>
    <m/>
    <m/>
    <m/>
    <m/>
    <m/>
    <m/>
    <m/>
    <m/>
    <m/>
    <m/>
    <m/>
    <m/>
    <m/>
    <m/>
    <m/>
    <m/>
    <m/>
    <m/>
    <m/>
    <m/>
    <m/>
    <m/>
    <m/>
    <m/>
    <m/>
    <m/>
    <m/>
    <m/>
    <m/>
    <m/>
    <m/>
    <s v="YES"/>
    <n v="51109"/>
    <n v="0.49"/>
    <m/>
    <m/>
    <m/>
    <m/>
    <m/>
    <m/>
    <m/>
    <m/>
    <m/>
    <m/>
    <m/>
    <m/>
    <m/>
    <m/>
    <m/>
    <m/>
    <m/>
    <m/>
    <m/>
    <m/>
    <m/>
    <m/>
    <m/>
    <m/>
    <m/>
    <m/>
    <m/>
    <m/>
    <m/>
    <m/>
    <m/>
    <m/>
    <m/>
    <m/>
    <m/>
    <m/>
    <m/>
    <m/>
    <m/>
    <m/>
    <m/>
    <m/>
    <m/>
    <m/>
    <m/>
    <m/>
    <m/>
    <m/>
    <m/>
    <m/>
    <m/>
    <m/>
    <m/>
    <m/>
    <m/>
    <m/>
    <m/>
    <m/>
    <m/>
    <m/>
    <m/>
    <m/>
    <m/>
    <m/>
    <m/>
    <m/>
    <m/>
    <m/>
    <m/>
    <m/>
    <m/>
    <m/>
    <m/>
    <m/>
    <m/>
    <m/>
    <m/>
    <m/>
    <m/>
    <m/>
    <m/>
    <m/>
    <m/>
    <m/>
    <m/>
    <s v="NO"/>
    <m/>
    <m/>
    <m/>
    <s v="NO"/>
    <m/>
    <m/>
    <m/>
    <x v="0"/>
    <m/>
    <m/>
    <m/>
    <m/>
    <m/>
    <m/>
    <m/>
    <m/>
    <m/>
    <x v="0"/>
    <m/>
    <x v="3"/>
    <m/>
    <x v="0"/>
    <x v="0"/>
    <s v="YES"/>
    <x v="0"/>
    <x v="0"/>
    <x v="0"/>
    <x v="0"/>
    <n v="4"/>
    <x v="0"/>
    <x v="0"/>
    <x v="0"/>
    <x v="0"/>
    <x v="0"/>
    <x v="0"/>
    <n v="0"/>
    <x v="0"/>
    <x v="0"/>
    <x v="0"/>
    <x v="0"/>
    <x v="0"/>
    <n v="0"/>
    <x v="1"/>
    <x v="4"/>
    <n v="2"/>
    <s v="Local NGO(s)/CSO(s)"/>
    <m/>
    <m/>
    <x v="3"/>
    <m/>
    <m/>
    <m/>
    <m/>
    <m/>
    <m/>
    <m/>
    <m/>
    <m/>
    <m/>
    <n v="51109"/>
    <n v="0"/>
    <n v="0"/>
    <n v="0.4899919779295232"/>
    <s v=""/>
    <n v="25043"/>
    <n v="0"/>
    <n v="1"/>
    <n v="51109"/>
    <n v="0"/>
    <n v="0"/>
    <s v=""/>
    <n v="0"/>
    <n v="0"/>
    <s v=""/>
    <s v=""/>
    <n v="0"/>
    <n v="0"/>
    <s v=""/>
    <s v=""/>
    <n v="0"/>
    <n v="0"/>
    <s v=""/>
    <s v=""/>
    <n v="0"/>
    <n v="0"/>
    <s v=""/>
    <s v="2. Sensitive"/>
    <s v="No marker score"/>
    <s v="No marker score"/>
    <s v="It did not develop any specific innovation"/>
    <s v="Little or no advocacy"/>
    <s v="It took tested solutions to scale on its own"/>
  </r>
  <r>
    <x v="71"/>
    <x v="1"/>
    <m/>
    <s v="Cross-border emergency aid in southern Syria"/>
    <s v="Syria"/>
    <s v="CDEUSY0008"/>
    <s v="CARE Deutschland-Luxemburg"/>
    <s v="Government"/>
    <s v="Government - Germany"/>
    <s v="Ministry of Foreign Affairs of Germany"/>
    <m/>
    <m/>
    <m/>
    <m/>
    <m/>
    <m/>
    <m/>
    <m/>
    <m/>
    <m/>
    <m/>
    <m/>
    <m/>
    <m/>
    <m/>
    <m/>
    <m/>
    <m/>
    <m/>
    <m/>
    <m/>
    <m/>
    <m/>
    <m/>
    <m/>
    <m/>
    <m/>
    <m/>
    <m/>
    <m/>
    <m/>
    <m/>
    <m/>
    <m/>
    <m/>
    <m/>
    <m/>
    <m/>
    <m/>
    <m/>
    <m/>
    <m/>
    <m/>
    <m/>
    <m/>
    <d v="2016-07-01T00:00:00"/>
    <d v="2018-01-31T00:00:00"/>
    <m/>
    <s v="Humanitarian Other"/>
    <n v="1861380"/>
    <s v="Randa Snobar"/>
    <s v="Program Manager"/>
    <s v="randa.snobar@care.org"/>
    <s v="Zaid Abu Khadra"/>
    <s v="Senior Prgogram Officer"/>
    <s v="AbuKhadra.Zaid@care.org"/>
    <s v="YES"/>
    <s v="NO"/>
    <s v="NO"/>
    <s v="Provide humanitarian assistance inside southern Syria through small NGOs and CBOs, while building the capacity of these organizations."/>
    <s v="National"/>
    <s v="South of Syria - Dara'a and Qunietra"/>
    <s v="Vulnerable populations, such as IDPs and their host families, affected by an immediate emergency and in need of humanitarian assistance and Syrian Organization/CBOs with a strong presence Daraa and Qunietra, good acceptance with host communities and the ability to access the most vulnerable communities, and populations in geographically hard-to-reach areas."/>
    <n v="10000"/>
    <n v="10000"/>
    <n v="20000"/>
    <m/>
    <m/>
    <m/>
    <m/>
    <m/>
    <n v="0"/>
    <n v="0"/>
    <n v="0"/>
    <m/>
    <m/>
    <m/>
    <m/>
    <m/>
    <m/>
    <m/>
    <m/>
    <m/>
    <m/>
    <m/>
    <m/>
    <m/>
    <m/>
    <m/>
    <m/>
    <m/>
    <m/>
    <m/>
    <m/>
    <m/>
    <m/>
    <m/>
    <m/>
    <m/>
    <m/>
    <m/>
    <m/>
    <m/>
    <m/>
    <m/>
    <m/>
    <m/>
    <m/>
    <m/>
    <m/>
    <m/>
    <m/>
    <m/>
    <m/>
    <m/>
    <m/>
    <m/>
    <s v="YES"/>
    <m/>
    <m/>
    <m/>
    <s v="YES"/>
    <m/>
    <m/>
    <m/>
    <s v="Orgnizational Development"/>
    <s v="YES"/>
    <m/>
    <m/>
    <m/>
    <m/>
    <m/>
    <m/>
    <m/>
    <m/>
    <m/>
    <m/>
    <m/>
    <m/>
    <m/>
    <m/>
    <m/>
    <m/>
    <m/>
    <m/>
    <m/>
    <m/>
    <m/>
    <m/>
    <m/>
    <m/>
    <m/>
    <m/>
    <m/>
    <m/>
    <m/>
    <m/>
    <m/>
    <m/>
    <m/>
    <m/>
    <m/>
    <m/>
    <m/>
    <m/>
    <m/>
    <m/>
    <m/>
    <m/>
    <m/>
    <m/>
    <m/>
    <m/>
    <m/>
    <m/>
    <m/>
    <m/>
    <m/>
    <m/>
    <m/>
    <m/>
    <m/>
    <m/>
    <m/>
    <m/>
    <m/>
    <m/>
    <m/>
    <m/>
    <m/>
    <m/>
    <m/>
    <m/>
    <m/>
    <m/>
    <m/>
    <m/>
    <m/>
    <m/>
    <m/>
    <m/>
    <m/>
    <m/>
    <m/>
    <m/>
    <s v="NO"/>
    <m/>
    <m/>
    <m/>
    <s v="YES"/>
    <s v="January"/>
    <n v="2018"/>
    <s v="An after action review will be conducted at the end of the program"/>
    <x v="0"/>
    <m/>
    <m/>
    <m/>
    <m/>
    <m/>
    <m/>
    <m/>
    <m/>
    <m/>
    <x v="0"/>
    <m/>
    <x v="1"/>
    <s v="CARE identified a strategic partner for the implementation of this program and are discussign now ways forward for scale up"/>
    <x v="0"/>
    <x v="0"/>
    <s v="YES"/>
    <x v="1"/>
    <x v="0"/>
    <x v="0"/>
    <x v="1"/>
    <n v="3"/>
    <x v="0"/>
    <x v="0"/>
    <x v="0"/>
    <x v="0"/>
    <x v="0"/>
    <x v="0"/>
    <n v="0"/>
    <x v="0"/>
    <x v="0"/>
    <x v="0"/>
    <x v="0"/>
    <x v="0"/>
    <n v="0"/>
    <x v="2"/>
    <x v="2"/>
    <n v="1"/>
    <s v="Local NGO(s)/CSO(s)"/>
    <s v="Grassroots organization(s)"/>
    <m/>
    <x v="0"/>
    <s v="Conductign a comprehesive capacity buildign plan for local NGOs"/>
    <m/>
    <s v="A strategic partnership with an umberalla orgnization"/>
    <m/>
    <m/>
    <m/>
    <m/>
    <m/>
    <m/>
    <m/>
    <n v="0"/>
    <n v="0"/>
    <s v=""/>
    <s v=""/>
    <s v=""/>
    <n v="0"/>
    <n v="0"/>
    <n v="1"/>
    <n v="0"/>
    <n v="0"/>
    <s v=""/>
    <s v=""/>
    <n v="0"/>
    <n v="0"/>
    <s v=""/>
    <s v=""/>
    <n v="0"/>
    <n v="0"/>
    <s v=""/>
    <s v=""/>
    <n v="0"/>
    <n v="0"/>
    <s v=""/>
    <s v=""/>
    <n v="0"/>
    <n v="0"/>
    <s v=""/>
    <s v="1. Neutral"/>
    <s v="No marker score"/>
    <s v="No marker score"/>
    <s v="It did not develop any specific innovation"/>
    <s v="Little or no advocacy"/>
    <s v="It linked and worked with strategic alliances and partners to take tested and effective solutions to scale"/>
  </r>
  <r>
    <x v="71"/>
    <x v="1"/>
    <m/>
    <s v="Developing resilience of households and communities affected by Conflict in Northern, Central and Southern Syria"/>
    <s v="Syria"/>
    <s v="CGBRTR0009"/>
    <s v="CARE UK"/>
    <s v="Government"/>
    <s v="Government - UK"/>
    <s v="DFID"/>
    <m/>
    <m/>
    <m/>
    <m/>
    <m/>
    <m/>
    <m/>
    <m/>
    <m/>
    <m/>
    <m/>
    <m/>
    <m/>
    <m/>
    <m/>
    <m/>
    <m/>
    <m/>
    <m/>
    <m/>
    <m/>
    <m/>
    <m/>
    <m/>
    <m/>
    <m/>
    <m/>
    <m/>
    <m/>
    <m/>
    <m/>
    <m/>
    <m/>
    <m/>
    <m/>
    <m/>
    <m/>
    <m/>
    <m/>
    <m/>
    <m/>
    <m/>
    <m/>
    <m/>
    <m/>
    <d v="2017-01-01T00:00:00"/>
    <d v="2017-03-31T00:00:00"/>
    <m/>
    <s v="Humanitarian Access to and Control over Economic Resources"/>
    <n v="15859234.6"/>
    <s v="Arthur Molenaar"/>
    <s v="Chief of Party"/>
    <s v="arthur.molenaar@care.org"/>
    <s v="Yaman Salam"/>
    <s v="CARE Syria North Hub - DfID Program Manager"/>
    <s v="yaman.salam@care.org"/>
    <s v="YES"/>
    <s v="YES"/>
    <s v="YES"/>
    <s v="The impact statement of this project is: “Lives saved, civilians protected, suffering reduced and resilience built”. The outcome statement for this project that will contribute to the above impact is: “Families affected by conflict have achieved a greater level of resilience’, mitigate protection risks and negative coping mechanisms and participate in economic life.”_x000a_The outputs that are designed to reach this outcome are:_x000a_1. Vulnerable households within targeted communities are supported through temporary income opportunities (particularly during lean times)._x000a_2. Vulnerable households within targeted communities are provided with multipurpose cash/voucher grants enabling them to meet their essential needs_x000a_3. Vulnerable households within targeted communities are provided with non-food items_x000a_4. Vulnerable households within targeted communities are provided with regular food assistance_x000a_5. A value chain plan is developed and implemented in targeted Syrian sub-districts to restore and expand livelihoods at the community level in the long term_x000a_6. Vulnerable individuals within targeted communities are provided with protection related information and access to specialised protection services and the capacity building of key CBO and NGO partners in protection is supported_x000a_7. In targeted communities affected by immediate shocks of besiegement and displacement the most vulnerable individuals are identified and supported through rapid humanitarian response_x000a_8. Monitoring and evaluation activities conducted and functioning complaints mechanisms established and used"/>
    <s v="Sub-National"/>
    <s v="Syria:_x000a__x000a_Idleb governorate - Al Mara district's Ma’arrat An Nu’man, and Heish sub-districts and Idleb district's Saraquab and Taftnaz sub-districts)_x000a_Aleppo governorate - Jabel Saman district's Daret Aza and Atareb sub-districts)"/>
    <s v="Targeting: vulnerabilities and gender_x000a_ _x000a_Targeting will be adapted to suit the nature of activities, context, needs and the anticipated overall outcome. The consideration of different vulnerabilities is at the very heart of the targeting process for all activities under this project._x000a__x000a_Target group I: Temporary employment, basic needs and protection support (Outputs 1- 4 and 6) will be provided to households that are extremely vulnerable and require assistance to meet their urgent basic needs. The different needs of men, women, boys and girls will be factored in when designing assistance packages while the timing and location of temporary employment opportunities will be such that women are able to access and participate._x000a_ _x000a_Target group II: For livelihoods activities linked to specific value chains, households demonstrating an interest and ability to take-up these initiatives (availability of household labour, land availability for cultivation and grazing, for example) and those who have participated in the value chain before the crisis will be targeted for assistance (Output 5). There will be a definite overlap between beneficiaries falling into Target group I and II since it will be part of the project’s intention to support households to graduate from basic needs support to livelihoods and income generation. Female-headed households, vulnerable IDPs, elderly people, and people with disabilities will be targeted with specific livelihoods activities they can undertake supported by a wider cooperative or women’s group. To encourage women to join the labour market, they will be encouraged to consider participating at various levels of the value chain (producers, processor)._x000a_  _x000a_Target group III: Stakeholders engaged at different links on the selected value chains will be supported as appropriate. This will include private sector actors, suppliers and traders (Output 5). Target group II and III will be clearly differentiated and reported on during implementation._x000a_  _x000a_Target group IV: During periods of high insecurity and violence, rapid humanitarian response and protection support will be provided to communities displaced or affected by the violence in the selected geographic locations (Output 6 and 7). This target group may include people affected by displacement from Group I and II._x000a__x000a_Target group V: CARE will target a range of CBOs and NGOs working inside Syria with capacity building support so that they can continue to sustainably expand on the protection and livelihoods services they offer and engage more actively in decision making at different levels, through effective advocacy. CARE will particularly target established and nascent women’s groups. While not falling into the classic definition of ‘beneficiary’ as with Groups I-IV, the group of NGOs and CBOs will ultimately have an impact on the lives of beneficiaries due to their increased skills, knowledge and overall effectiveness."/>
    <n v="3324"/>
    <n v="3469"/>
    <n v="6793"/>
    <m/>
    <m/>
    <m/>
    <m/>
    <m/>
    <n v="3324"/>
    <n v="3469"/>
    <n v="6793"/>
    <m/>
    <m/>
    <m/>
    <m/>
    <m/>
    <m/>
    <m/>
    <m/>
    <m/>
    <m/>
    <m/>
    <m/>
    <m/>
    <m/>
    <m/>
    <s v="YES"/>
    <n v="5287"/>
    <n v="0.47"/>
    <m/>
    <m/>
    <m/>
    <m/>
    <m/>
    <m/>
    <m/>
    <m/>
    <m/>
    <m/>
    <m/>
    <m/>
    <m/>
    <s v="Yes"/>
    <n v="211"/>
    <n v="0.34"/>
    <m/>
    <s v="YES"/>
    <n v="1295"/>
    <n v="0.59"/>
    <m/>
    <m/>
    <m/>
    <m/>
    <m/>
    <m/>
    <m/>
    <m/>
    <m/>
    <m/>
    <m/>
    <m/>
    <m/>
    <m/>
    <m/>
    <m/>
    <m/>
    <m/>
    <m/>
    <m/>
    <m/>
    <m/>
    <m/>
    <m/>
    <m/>
    <m/>
    <m/>
    <m/>
    <m/>
    <m/>
    <m/>
    <m/>
    <m/>
    <m/>
    <m/>
    <m/>
    <m/>
    <m/>
    <m/>
    <m/>
    <m/>
    <m/>
    <m/>
    <m/>
    <m/>
    <m/>
    <m/>
    <m/>
    <m/>
    <m/>
    <m/>
    <m/>
    <m/>
    <m/>
    <m/>
    <m/>
    <m/>
    <m/>
    <m/>
    <m/>
    <m/>
    <m/>
    <m/>
    <m/>
    <m/>
    <m/>
    <m/>
    <m/>
    <m/>
    <m/>
    <m/>
    <m/>
    <m/>
    <m/>
    <m/>
    <m/>
    <m/>
    <m/>
    <m/>
    <m/>
    <m/>
    <m/>
    <m/>
    <m/>
    <m/>
    <m/>
    <m/>
    <m/>
    <m/>
    <m/>
    <m/>
    <m/>
    <m/>
    <s v="YES"/>
    <s v="January"/>
    <n v="2017"/>
    <s v="YES"/>
    <s v="NO"/>
    <m/>
    <m/>
    <s v="Evaluation planned at end of project 2020. We are unable to share the baseline report as we have strict information sharing protocols in place and there is not external version."/>
    <x v="1"/>
    <s v="NO"/>
    <s v="NO"/>
    <s v="YES"/>
    <s v="NO"/>
    <s v="YES"/>
    <s v="YES"/>
    <s v="YES"/>
    <s v="NO"/>
    <m/>
    <x v="1"/>
    <s v="Through Providing Temprary income resources throug cash for work and provide basic needs ( MPG and NFI) and plnning for supporting value chains activities"/>
    <x v="1"/>
    <m/>
    <x v="3"/>
    <x v="2"/>
    <m/>
    <x v="2"/>
    <x v="2"/>
    <x v="2"/>
    <x v="3"/>
    <n v="0"/>
    <x v="0"/>
    <x v="0"/>
    <x v="0"/>
    <x v="0"/>
    <x v="0"/>
    <x v="0"/>
    <n v="0"/>
    <x v="0"/>
    <x v="0"/>
    <x v="0"/>
    <x v="0"/>
    <x v="0"/>
    <n v="0"/>
    <x v="0"/>
    <x v="2"/>
    <n v="2"/>
    <s v="Local NGO(s)/CSO(s)"/>
    <m/>
    <m/>
    <x v="0"/>
    <s v="Providing temporary income resources (CfW) with providing the basic need linked with infrastructure rehabilitation and value chain support will lead to stregthening the civil society"/>
    <s v="the adjasments that have been made were aiming to ensure women participating in the activites and support disable people in addition to ammending the projects' plans to ensure the integration and complemetery of the Projects' components"/>
    <s v="Comminity Planning to enhance the participation of different stakeholers in the planning phase pf the project "/>
    <s v="Engaging women in nominating CfW projects that suits women and includw women in Market assessments as community representatives  "/>
    <m/>
    <s v="Promissing practices:  inferastructure Rehabilitation projects, Value chain support Projects"/>
    <s v="A review of CARE’s use of the hawala system has been undertaken and recommendations for strengthening CARE’s approach to the use of informal money transfer agents have been identified, including increasing CARE’s vetting and due diligence processes and using Official Hawala Transfer Agents"/>
    <s v="The use of hawala to transfer money by downstream partners inside Syria was a challange, Organisational assessments have been undertaken with all CARE downstream partners on which basis individual partner capacity building plans are being developed.  "/>
    <m/>
    <m/>
    <n v="6793"/>
    <n v="0"/>
    <n v="0"/>
    <n v="0.48932724863830412"/>
    <s v=""/>
    <n v="3324"/>
    <n v="0"/>
    <n v="1"/>
    <n v="6793"/>
    <n v="0"/>
    <n v="0"/>
    <n v="1"/>
    <n v="5287"/>
    <n v="0"/>
    <n v="0"/>
    <s v=""/>
    <n v="0"/>
    <n v="0"/>
    <s v=""/>
    <s v=""/>
    <n v="0"/>
    <n v="0"/>
    <s v=""/>
    <s v=""/>
    <n v="0"/>
    <n v="0"/>
    <s v=""/>
    <s v="No marker score"/>
    <s v="No marker score"/>
    <s v="No marker score"/>
    <s v="It tested new ways for fighting poverty, but did not measure results of innovation"/>
    <s v="Moderate advocacy"/>
    <s v="It linked and worked with strategic alliances and partners to take tested and effective solutions to scale"/>
  </r>
  <r>
    <x v="71"/>
    <x v="1"/>
    <m/>
    <s v="Developing resilience of households and communities affected by conflict in Syria"/>
    <s v="Syria"/>
    <s v="GB643"/>
    <s v="CARE UK"/>
    <s v="Government"/>
    <s v="Government - UK"/>
    <s v="DFID"/>
    <m/>
    <m/>
    <m/>
    <m/>
    <m/>
    <m/>
    <m/>
    <m/>
    <m/>
    <m/>
    <m/>
    <m/>
    <m/>
    <m/>
    <m/>
    <m/>
    <m/>
    <m/>
    <m/>
    <m/>
    <m/>
    <m/>
    <m/>
    <m/>
    <m/>
    <m/>
    <m/>
    <m/>
    <m/>
    <m/>
    <m/>
    <m/>
    <m/>
    <m/>
    <m/>
    <m/>
    <m/>
    <m/>
    <m/>
    <m/>
    <m/>
    <m/>
    <m/>
    <m/>
    <m/>
    <d v="2017-01-01T00:00:00"/>
    <d v="2020-03-31T00:00:00"/>
    <m/>
    <s v="Humanitarian Other"/>
    <n v="10949500"/>
    <m/>
    <m/>
    <m/>
    <m/>
    <m/>
    <m/>
    <s v="YES"/>
    <s v="YES"/>
    <s v="YES"/>
    <s v="Lives are saved, civilians are protected, suffering is reduced and resilience is built. Families affected by the conflict have achieved a greater level of resilience, mitigate protection risks and negative coping mechanisms and participate in economic life."/>
    <s v="Sub-National"/>
    <s v="Syria, Rural Damascus (Douma) and Homs (Houla &amp; Ar-Rastan)"/>
    <s v="Basic needs will be provided to households that are extremely vulnerable and require assistance to meet their urgent basic needs. During periods of high insecurity and violence, rapid humanitarian response and protection support will be provided to communities displaced or affected by the violence in the selected geographic locations ."/>
    <m/>
    <m/>
    <n v="78967"/>
    <m/>
    <m/>
    <m/>
    <s v="Direct participants are individual that directly benefit from the project's actions, such as recipients of food assistance, and winterization kits assistance. Indirect participants are the family members, community as they are impacted in some way by the project (e.g. adopting an innovation  as sustainable heating materials which they learned from a direct participant)"/>
    <m/>
    <m/>
    <m/>
    <m/>
    <m/>
    <m/>
    <m/>
    <m/>
    <m/>
    <m/>
    <m/>
    <m/>
    <m/>
    <m/>
    <m/>
    <m/>
    <m/>
    <m/>
    <m/>
    <s v="YES"/>
    <m/>
    <m/>
    <m/>
    <m/>
    <m/>
    <m/>
    <m/>
    <m/>
    <m/>
    <m/>
    <m/>
    <m/>
    <m/>
    <m/>
    <m/>
    <m/>
    <m/>
    <m/>
    <m/>
    <m/>
    <m/>
    <m/>
    <m/>
    <m/>
    <m/>
    <m/>
    <m/>
    <m/>
    <m/>
    <m/>
    <m/>
    <m/>
    <m/>
    <m/>
    <m/>
    <m/>
    <m/>
    <m/>
    <m/>
    <m/>
    <n v="6"/>
    <n v="4"/>
    <n v="10"/>
    <m/>
    <m/>
    <m/>
    <m/>
    <m/>
    <m/>
    <m/>
    <m/>
    <m/>
    <m/>
    <m/>
    <m/>
    <m/>
    <m/>
    <m/>
    <m/>
    <m/>
    <m/>
    <m/>
    <m/>
    <m/>
    <m/>
    <m/>
    <m/>
    <m/>
    <m/>
    <m/>
    <s v="YES"/>
    <m/>
    <m/>
    <m/>
    <m/>
    <m/>
    <m/>
    <m/>
    <m/>
    <m/>
    <m/>
    <m/>
    <m/>
    <m/>
    <m/>
    <m/>
    <m/>
    <m/>
    <m/>
    <m/>
    <m/>
    <m/>
    <m/>
    <m/>
    <m/>
    <m/>
    <m/>
    <m/>
    <m/>
    <m/>
    <m/>
    <m/>
    <m/>
    <m/>
    <m/>
    <m/>
    <m/>
    <m/>
    <m/>
    <m/>
    <m/>
    <m/>
    <m/>
    <m/>
    <m/>
    <s v="NO"/>
    <m/>
    <m/>
    <s v="NO"/>
    <s v="YES"/>
    <m/>
    <m/>
    <m/>
    <x v="3"/>
    <m/>
    <m/>
    <m/>
    <m/>
    <m/>
    <m/>
    <m/>
    <m/>
    <m/>
    <x v="1"/>
    <s v="Use of sustainable heating materials during the coming winter season; Rely on new combustible that are clean, economic and renewable; Reduce the quantity of fossile energy used and preserve the environment."/>
    <x v="1"/>
    <s v="We work through a partnership model (100% implementation by the partner)"/>
    <x v="3"/>
    <x v="2"/>
    <m/>
    <x v="2"/>
    <x v="2"/>
    <x v="2"/>
    <x v="3"/>
    <n v="0"/>
    <x v="0"/>
    <x v="0"/>
    <x v="0"/>
    <x v="0"/>
    <x v="0"/>
    <x v="0"/>
    <n v="0"/>
    <x v="0"/>
    <x v="0"/>
    <x v="0"/>
    <x v="0"/>
    <x v="0"/>
    <n v="0"/>
    <x v="0"/>
    <x v="2"/>
    <n v="1"/>
    <s v="Local NGO(s)/CSO(s)"/>
    <s v="Local government(s)"/>
    <m/>
    <x v="0"/>
    <m/>
    <m/>
    <m/>
    <m/>
    <m/>
    <m/>
    <m/>
    <m/>
    <m/>
    <m/>
    <n v="10"/>
    <n v="0"/>
    <n v="0"/>
    <n v="0.6"/>
    <s v=""/>
    <n v="6"/>
    <n v="0"/>
    <n v="1"/>
    <n v="0"/>
    <n v="0"/>
    <s v=""/>
    <n v="1"/>
    <n v="0"/>
    <n v="0"/>
    <s v=""/>
    <s v=""/>
    <n v="0"/>
    <n v="0"/>
    <s v=""/>
    <s v=""/>
    <n v="0"/>
    <n v="0"/>
    <s v=""/>
    <s v=""/>
    <n v="0"/>
    <n v="0"/>
    <s v=""/>
    <s v="No marker score"/>
    <s v="No marker score"/>
    <s v="No marker score"/>
    <s v="It tested new ways for fighting poverty, but did not measure results of innovation"/>
    <n v="0"/>
    <s v="It linked and worked with strategic alliances and partners to take tested and effective solutions to scale"/>
  </r>
  <r>
    <x v="71"/>
    <x v="1"/>
    <m/>
    <s v="Dutch Relief Alliance: Syria Joint Response II"/>
    <s v="Syria"/>
    <s v="CNLDTR0003"/>
    <s v="CARE Nederland"/>
    <s v="Government"/>
    <s v="Government - Netherlands"/>
    <s v="Ministry of Foreign Affairs of the Netherlands"/>
    <m/>
    <m/>
    <m/>
    <m/>
    <m/>
    <m/>
    <m/>
    <m/>
    <m/>
    <m/>
    <m/>
    <m/>
    <m/>
    <m/>
    <m/>
    <m/>
    <m/>
    <m/>
    <m/>
    <m/>
    <m/>
    <m/>
    <m/>
    <m/>
    <m/>
    <m/>
    <m/>
    <m/>
    <m/>
    <m/>
    <m/>
    <m/>
    <m/>
    <m/>
    <m/>
    <m/>
    <m/>
    <m/>
    <m/>
    <m/>
    <m/>
    <m/>
    <m/>
    <m/>
    <m/>
    <d v="2016-03-01T00:00:00"/>
    <d v="2017-02-28T00:00:00"/>
    <m/>
    <s v="Humanitarian Food &amp; Nutrition Security and Resilience to Climate Change"/>
    <n v="1015850"/>
    <s v="Chele DeGruccio"/>
    <s v="CARE Turkey Assistant Country Director - Programs (Former)"/>
    <s v="chele.degruccio@care.org"/>
    <m/>
    <m/>
    <m/>
    <s v="YES"/>
    <s v="NO"/>
    <s v="NO"/>
    <s v="Objective 1: Reduce vulnerability of targeted crisis affected Syrian households through the provision of life sustaining assistance to meet basic needs (in line with respective SO1 for both sectors in the 2016 Syria HRP)_x000a_Objective 2: To increase resilience of vulnerable Syrian households affected by the crisis through the provision of livelihoods support (in line with Objective 2 for FSA in the 2016 Syria HRP)"/>
    <s v="Sub-National"/>
    <s v="Syria: Idleb governorate, Idleb and Armanaz districts; Aleppo governorate, Jebel Saman district"/>
    <s v="CARE will target vulnerable IDP and host-community households for assistance. Specific additional selection criteria will be developed in coordination with the communities with priority given to (a) Female and child-headed households (b) Households with no income; and (c) Households headed by injured, disabled or elderly persons. With respect to livelihoods activities, targeting will include a consideration for previous experience, interest and motivation to undertake livelihoods and agriculture work, viable business ideas and the ability to work, in addition to vulnerability factors and gender/age-related concerns."/>
    <n v="15648"/>
    <n v="16026"/>
    <n v="31674"/>
    <m/>
    <m/>
    <m/>
    <m/>
    <m/>
    <n v="15648"/>
    <n v="16026"/>
    <n v="31674"/>
    <m/>
    <m/>
    <m/>
    <m/>
    <m/>
    <m/>
    <m/>
    <s v="YES"/>
    <n v="13493"/>
    <n v="0.5"/>
    <m/>
    <m/>
    <m/>
    <m/>
    <m/>
    <m/>
    <m/>
    <m/>
    <m/>
    <m/>
    <m/>
    <m/>
    <m/>
    <m/>
    <m/>
    <m/>
    <m/>
    <m/>
    <m/>
    <m/>
    <m/>
    <s v="Yes"/>
    <n v="18181"/>
    <n v="0.49"/>
    <m/>
    <m/>
    <m/>
    <m/>
    <m/>
    <m/>
    <m/>
    <m/>
    <m/>
    <m/>
    <m/>
    <m/>
    <m/>
    <m/>
    <m/>
    <m/>
    <m/>
    <m/>
    <m/>
    <m/>
    <m/>
    <m/>
    <m/>
    <m/>
    <m/>
    <m/>
    <m/>
    <m/>
    <m/>
    <m/>
    <m/>
    <m/>
    <m/>
    <m/>
    <m/>
    <m/>
    <m/>
    <m/>
    <m/>
    <m/>
    <m/>
    <m/>
    <m/>
    <m/>
    <m/>
    <m/>
    <m/>
    <m/>
    <m/>
    <m/>
    <m/>
    <m/>
    <m/>
    <m/>
    <m/>
    <m/>
    <m/>
    <m/>
    <m/>
    <m/>
    <m/>
    <m/>
    <m/>
    <m/>
    <m/>
    <m/>
    <m/>
    <m/>
    <m/>
    <m/>
    <m/>
    <m/>
    <m/>
    <m/>
    <m/>
    <m/>
    <m/>
    <m/>
    <m/>
    <m/>
    <m/>
    <m/>
    <m/>
    <m/>
    <m/>
    <m/>
    <m/>
    <m/>
    <m/>
    <m/>
    <m/>
    <m/>
    <m/>
    <m/>
    <m/>
    <m/>
    <m/>
    <s v="YES"/>
    <m/>
    <m/>
    <s v="NO"/>
    <s v="NO"/>
    <m/>
    <m/>
    <m/>
    <x v="0"/>
    <s v="NO"/>
    <s v="NO"/>
    <s v="YES"/>
    <s v="YES"/>
    <s v="NO"/>
    <s v="NO"/>
    <s v="NO"/>
    <m/>
    <m/>
    <x v="2"/>
    <s v="CARE has developed an e-voucher system to manage the distribution inside Syria instead of the normal distributions. CARE purchased the wheat seeds from farmers instead of purchasing it from vendors"/>
    <x v="1"/>
    <m/>
    <x v="1"/>
    <x v="0"/>
    <s v="YES"/>
    <x v="0"/>
    <x v="0"/>
    <x v="0"/>
    <x v="0"/>
    <n v="4"/>
    <x v="0"/>
    <x v="0"/>
    <x v="0"/>
    <x v="0"/>
    <x v="0"/>
    <x v="0"/>
    <n v="0"/>
    <x v="0"/>
    <x v="0"/>
    <x v="0"/>
    <x v="0"/>
    <x v="0"/>
    <n v="0"/>
    <x v="2"/>
    <x v="2"/>
    <n v="1"/>
    <s v="Local NGO(s)/CSO(s)"/>
    <m/>
    <m/>
    <x v="2"/>
    <m/>
    <m/>
    <s v="In addition to the monitoring activities, Shafak has in place an accountability system where information is shared effectively with beneficiaries regarding the different project activities. "/>
    <s v="Shafak has an effective system for sharing information and transparency. During the different project activities, information was shared timely with the targeted community. "/>
    <m/>
    <s v="Extending the period of cash vouchers distribution in order to decrease the over-crowding and pressure on the vendors, especially during the first few days of redemption."/>
    <s v="Testing the financial software at least for a period of two (2) weeks to identify whether it needs any improvement or fix any bugs in the program."/>
    <s v="Establishing a better working mechanism for redemption, which will work according to the redemption hours."/>
    <m/>
    <m/>
    <n v="31674"/>
    <n v="0"/>
    <n v="0"/>
    <n v="0.49403296078802805"/>
    <s v=""/>
    <n v="15648"/>
    <n v="0"/>
    <n v="1"/>
    <n v="31674"/>
    <n v="0"/>
    <n v="0"/>
    <n v="1"/>
    <n v="18181"/>
    <n v="0"/>
    <n v="0"/>
    <s v=""/>
    <n v="0"/>
    <n v="0"/>
    <s v=""/>
    <s v=""/>
    <n v="0"/>
    <n v="0"/>
    <s v=""/>
    <s v=""/>
    <n v="0"/>
    <n v="0"/>
    <s v=""/>
    <s v="2. Sensitive"/>
    <s v="No marker score"/>
    <s v="No marker score"/>
    <s v="It tested new ways for fighting poverty and measured results of innovation"/>
    <s v="Little or no advocacy"/>
    <s v="It linked and worked with strategic alliances and partners to take tested and effective solutions to scale"/>
  </r>
  <r>
    <x v="71"/>
    <x v="1"/>
    <m/>
    <s v="Emergency relief in response to sudden spikes in humanitarian needs"/>
    <s v="Syria"/>
    <s v="DE772"/>
    <s v="CARE Deutschland-Luxemburg"/>
    <s v="Government"/>
    <s v="Government - Luxemburg"/>
    <s v="Ministry of Foreign Affairs of Luxemburg"/>
    <m/>
    <m/>
    <m/>
    <m/>
    <m/>
    <m/>
    <m/>
    <m/>
    <m/>
    <m/>
    <m/>
    <m/>
    <m/>
    <m/>
    <m/>
    <m/>
    <m/>
    <m/>
    <m/>
    <m/>
    <m/>
    <m/>
    <m/>
    <m/>
    <m/>
    <m/>
    <m/>
    <m/>
    <m/>
    <m/>
    <m/>
    <m/>
    <m/>
    <m/>
    <m/>
    <m/>
    <m/>
    <m/>
    <m/>
    <m/>
    <m/>
    <m/>
    <m/>
    <m/>
    <m/>
    <d v="2016-12-01T00:00:00"/>
    <d v="2017-11-30T00:00:00"/>
    <m/>
    <s v="Humanitarian Other"/>
    <n v="117779"/>
    <s v="Malgorzata Markert"/>
    <s v="Area Manager"/>
    <s v="markert@care.de"/>
    <m/>
    <m/>
    <m/>
    <s v="YES"/>
    <s v="NO"/>
    <s v="NO"/>
    <s v="To provide emergency relief to recently displaced families in order to help them cope with the shock of displacement"/>
    <s v="Sub-National"/>
    <s v="Syria, Northern Homs Countryside, Talbiseh"/>
    <s v="The project will target families directly affected by a crisis, i.e. displacement, imminent siege or a natural disaster. Among this target group, the most vulnerable families are selected based on agreed vulnerability criteria reviewed by the partner, with priority given to IDPs and in particular recently displaced families, and among them female-and child-headed households and households with a large number of dependents and/or members with special needs (infants, pregnant and lactating women, disabled or injured people)."/>
    <n v="4163"/>
    <n v="5542"/>
    <n v="9705"/>
    <m/>
    <m/>
    <n v="48525"/>
    <s v="Direct participants are individual that directly benefit from the project's actions, such as recipients of food assistance, and winterization kits assistance. Indirect participants are the family members, community as they are impacted in some way by the project (e.g. adopting an innovation  as sustainable heating materials which they learned from a direct participant)"/>
    <m/>
    <m/>
    <m/>
    <m/>
    <m/>
    <m/>
    <m/>
    <s v="NO"/>
    <m/>
    <m/>
    <m/>
    <s v="NO"/>
    <m/>
    <m/>
    <m/>
    <s v="NO"/>
    <m/>
    <m/>
    <m/>
    <s v="YES"/>
    <m/>
    <m/>
    <m/>
    <s v="NO"/>
    <m/>
    <m/>
    <m/>
    <s v="NO"/>
    <m/>
    <m/>
    <m/>
    <s v="NO"/>
    <m/>
    <m/>
    <m/>
    <s v="NO"/>
    <m/>
    <m/>
    <m/>
    <s v="NO"/>
    <m/>
    <m/>
    <m/>
    <s v="NO"/>
    <m/>
    <m/>
    <m/>
    <s v="NO"/>
    <m/>
    <m/>
    <m/>
    <s v="NO"/>
    <m/>
    <m/>
    <m/>
    <m/>
    <m/>
    <m/>
    <m/>
    <m/>
    <m/>
    <m/>
    <m/>
    <m/>
    <m/>
    <m/>
    <m/>
    <m/>
    <m/>
    <m/>
    <m/>
    <m/>
    <m/>
    <m/>
    <m/>
    <m/>
    <m/>
    <m/>
    <m/>
    <m/>
    <m/>
    <m/>
    <m/>
    <m/>
    <m/>
    <m/>
    <m/>
    <m/>
    <m/>
    <m/>
    <m/>
    <m/>
    <m/>
    <m/>
    <m/>
    <m/>
    <m/>
    <m/>
    <m/>
    <m/>
    <m/>
    <m/>
    <m/>
    <m/>
    <m/>
    <m/>
    <m/>
    <m/>
    <m/>
    <m/>
    <m/>
    <m/>
    <m/>
    <m/>
    <m/>
    <m/>
    <m/>
    <m/>
    <m/>
    <m/>
    <m/>
    <m/>
    <m/>
    <m/>
    <m/>
    <m/>
    <m/>
    <m/>
    <m/>
    <m/>
    <m/>
    <m/>
    <m/>
    <m/>
    <m/>
    <s v="NO"/>
    <m/>
    <m/>
    <s v="NO"/>
    <s v="YES"/>
    <m/>
    <m/>
    <m/>
    <x v="3"/>
    <m/>
    <m/>
    <m/>
    <m/>
    <m/>
    <m/>
    <m/>
    <m/>
    <m/>
    <x v="3"/>
    <m/>
    <x v="2"/>
    <m/>
    <x v="3"/>
    <x v="2"/>
    <m/>
    <x v="2"/>
    <x v="2"/>
    <x v="2"/>
    <x v="3"/>
    <n v="0"/>
    <x v="1"/>
    <x v="1"/>
    <x v="1"/>
    <x v="1"/>
    <x v="1"/>
    <x v="1"/>
    <n v="4"/>
    <x v="0"/>
    <x v="0"/>
    <x v="0"/>
    <x v="0"/>
    <x v="0"/>
    <n v="0"/>
    <x v="1"/>
    <x v="4"/>
    <m/>
    <m/>
    <m/>
    <m/>
    <x v="3"/>
    <m/>
    <m/>
    <m/>
    <m/>
    <m/>
    <m/>
    <m/>
    <m/>
    <m/>
    <m/>
    <n v="0"/>
    <n v="0"/>
    <s v=""/>
    <s v=""/>
    <s v=""/>
    <n v="0"/>
    <n v="0"/>
    <n v="1"/>
    <n v="0"/>
    <n v="0"/>
    <s v=""/>
    <n v="1"/>
    <n v="0"/>
    <n v="0"/>
    <s v=""/>
    <s v=""/>
    <n v="0"/>
    <n v="0"/>
    <s v=""/>
    <s v=""/>
    <n v="0"/>
    <n v="0"/>
    <s v=""/>
    <s v=""/>
    <n v="0"/>
    <n v="0"/>
    <s v=""/>
    <s v="No marker score"/>
    <s v="2. Accommodating"/>
    <s v="No marker score"/>
    <n v="0"/>
    <n v="0"/>
    <n v="0"/>
  </r>
  <r>
    <x v="71"/>
    <x v="1"/>
    <m/>
    <s v="Emergency response for crisis affected communities in Aleppo"/>
    <s v="Syria"/>
    <s v="CAUTTR0009"/>
    <s v="CARE Österreich"/>
    <s v="Government"/>
    <s v="Government - Austria"/>
    <s v="Austrian Development Agency (ADA)"/>
    <m/>
    <m/>
    <m/>
    <m/>
    <m/>
    <m/>
    <m/>
    <m/>
    <m/>
    <m/>
    <m/>
    <m/>
    <m/>
    <m/>
    <m/>
    <m/>
    <m/>
    <m/>
    <m/>
    <m/>
    <m/>
    <m/>
    <m/>
    <m/>
    <m/>
    <m/>
    <m/>
    <m/>
    <m/>
    <m/>
    <m/>
    <m/>
    <m/>
    <m/>
    <m/>
    <m/>
    <m/>
    <m/>
    <m/>
    <m/>
    <m/>
    <m/>
    <m/>
    <m/>
    <m/>
    <d v="2016-09-30T00:00:00"/>
    <d v="2017-03-31T00:00:00"/>
    <m/>
    <s v="Humanitarian Food &amp; Nutrition Security and Resilience to Climate Change"/>
    <n v="466145"/>
    <s v="Chele DeGruccio"/>
    <s v="CARE Turkey Assistant Country Director - Programs (Former)"/>
    <s v="chele.degruccio@care.org"/>
    <m/>
    <m/>
    <m/>
    <s v="YES"/>
    <s v="NO"/>
    <s v="NO"/>
    <s v="Provision of urgent and basic humanitarian assistance to new IDPs and host communities affected by the recent escalation of violence in Aleppo."/>
    <s v="Sub-National"/>
    <s v="Syria: Idleb governorate, Jebel Saman district, Atareb and Daret Azza sub-districts"/>
    <s v="12,000 individuals (2000 HH) in IDP and host communities in in the sub-districts of Atareb and Daret Azza in Western Aleppo governorate and if accessible, neighbourhoods in Aleppo city"/>
    <n v="5480"/>
    <n v="4915"/>
    <n v="10395"/>
    <m/>
    <m/>
    <m/>
    <m/>
    <m/>
    <n v="5480"/>
    <n v="4915"/>
    <n v="10395"/>
    <m/>
    <m/>
    <m/>
    <m/>
    <m/>
    <m/>
    <m/>
    <m/>
    <m/>
    <m/>
    <m/>
    <m/>
    <m/>
    <m/>
    <m/>
    <m/>
    <m/>
    <m/>
    <m/>
    <m/>
    <m/>
    <m/>
    <m/>
    <m/>
    <m/>
    <m/>
    <m/>
    <m/>
    <m/>
    <m/>
    <m/>
    <m/>
    <m/>
    <m/>
    <m/>
    <s v="YES"/>
    <n v="42"/>
    <n v="0.55000000000000004"/>
    <m/>
    <m/>
    <m/>
    <m/>
    <m/>
    <m/>
    <m/>
    <m/>
    <m/>
    <s v="YES"/>
    <n v="10353"/>
    <n v="0.53"/>
    <m/>
    <m/>
    <m/>
    <m/>
    <m/>
    <m/>
    <m/>
    <m/>
    <m/>
    <m/>
    <m/>
    <m/>
    <m/>
    <m/>
    <m/>
    <m/>
    <m/>
    <m/>
    <m/>
    <m/>
    <m/>
    <m/>
    <m/>
    <m/>
    <m/>
    <m/>
    <m/>
    <m/>
    <m/>
    <m/>
    <m/>
    <m/>
    <m/>
    <m/>
    <m/>
    <m/>
    <m/>
    <m/>
    <m/>
    <m/>
    <m/>
    <m/>
    <m/>
    <m/>
    <m/>
    <m/>
    <m/>
    <m/>
    <m/>
    <m/>
    <m/>
    <m/>
    <m/>
    <m/>
    <m/>
    <m/>
    <m/>
    <m/>
    <m/>
    <m/>
    <m/>
    <m/>
    <m/>
    <m/>
    <m/>
    <m/>
    <m/>
    <m/>
    <m/>
    <m/>
    <m/>
    <m/>
    <m/>
    <m/>
    <m/>
    <m/>
    <m/>
    <m/>
    <m/>
    <m/>
    <m/>
    <s v="NO"/>
    <m/>
    <m/>
    <s v="NO"/>
    <s v="NO"/>
    <m/>
    <m/>
    <m/>
    <x v="0"/>
    <s v="NO"/>
    <s v="YES"/>
    <s v="YES"/>
    <s v="YES"/>
    <s v="NO"/>
    <s v="NO"/>
    <s v="NO"/>
    <m/>
    <m/>
    <x v="0"/>
    <m/>
    <x v="3"/>
    <m/>
    <x v="1"/>
    <x v="0"/>
    <s v="YES"/>
    <x v="1"/>
    <x v="1"/>
    <x v="0"/>
    <x v="1"/>
    <n v="2"/>
    <x v="0"/>
    <x v="0"/>
    <x v="0"/>
    <x v="0"/>
    <x v="0"/>
    <x v="0"/>
    <n v="0"/>
    <x v="0"/>
    <x v="0"/>
    <x v="0"/>
    <x v="0"/>
    <x v="0"/>
    <n v="0"/>
    <x v="2"/>
    <x v="2"/>
    <n v="2"/>
    <s v="Local NGO(s)/CSO(s)"/>
    <m/>
    <m/>
    <x v="1"/>
    <m/>
    <s v="The targeted population was the most vulnerable households in Aleppo countryside – IDPs and Host Community. However, this was subjected to a change as the focus had to be shifted to the New Arrival of Internally Displaced Persons (IDPs) who started to arrive at Rural Aleppo West with the commencement of the evacuation of the populations from the Eastern Neighbourhoods of Aleppo which was prioritized by UN agencies, International Non-Government Organizations and Local Non-Government Organizations. "/>
    <m/>
    <m/>
    <m/>
    <s v="It is recommended to do the procurement locally, as the beneficiaries are more likely to benefit more from the locally procured items than those procured from Turkey or elsewhere."/>
    <s v="Finishing the GAP at a very early stage of the project needs to be prioritized."/>
    <s v="Distribute hygiene items (children kits, lice shampoo, or tooth brush and toothpaste etc) to encourage people (especially children) to keep following hygiene messages."/>
    <m/>
    <m/>
    <n v="10395"/>
    <n v="0"/>
    <n v="0"/>
    <n v="0.52717652717652719"/>
    <s v=""/>
    <n v="5480"/>
    <n v="0"/>
    <n v="1"/>
    <n v="10395"/>
    <n v="0"/>
    <n v="0"/>
    <s v=""/>
    <n v="0"/>
    <n v="0"/>
    <s v=""/>
    <s v=""/>
    <n v="0"/>
    <n v="0"/>
    <s v=""/>
    <s v=""/>
    <n v="0"/>
    <n v="0"/>
    <s v=""/>
    <s v=""/>
    <n v="0"/>
    <n v="0"/>
    <s v=""/>
    <s v="1. Neutral"/>
    <s v="No marker score"/>
    <s v="No marker score"/>
    <s v="It did not develop any specific innovation"/>
    <s v="Little or no advocacy"/>
    <s v="It took tested solutions to scale on its own"/>
  </r>
  <r>
    <x v="71"/>
    <x v="1"/>
    <m/>
    <s v="Enhancing the resilience of the affected population in Syria (displaced populations and host communities"/>
    <s v="Syria"/>
    <s v="CNORSY0002"/>
    <s v="CARE Norge"/>
    <s v="Government"/>
    <s v="Government - Sweden"/>
    <s v="SIDA"/>
    <m/>
    <m/>
    <m/>
    <m/>
    <m/>
    <m/>
    <m/>
    <m/>
    <m/>
    <m/>
    <m/>
    <m/>
    <m/>
    <m/>
    <m/>
    <m/>
    <m/>
    <m/>
    <m/>
    <m/>
    <m/>
    <m/>
    <m/>
    <m/>
    <m/>
    <m/>
    <m/>
    <m/>
    <m/>
    <m/>
    <m/>
    <m/>
    <m/>
    <m/>
    <m/>
    <m/>
    <m/>
    <m/>
    <m/>
    <m/>
    <m/>
    <m/>
    <m/>
    <m/>
    <m/>
    <d v="2016-11-01T00:00:00"/>
    <d v="2019-12-31T00:00:00"/>
    <m/>
    <s v="Humanitarian Other"/>
    <n v="1197342"/>
    <m/>
    <m/>
    <m/>
    <m/>
    <m/>
    <m/>
    <s v="YES"/>
    <s v="NO"/>
    <s v="NO"/>
    <s v="Contribute to enhancing the resilience of the affected population in Syria (displaced populations2 and host communities)."/>
    <s v="Sub-National"/>
    <s v="Syria, Rural Damascus, Eastern Ghouta Syria, Homs, Northern Rural Homs Countryside"/>
    <s v="Households and communities across Syria have increased livelihood opportunities and are better able to adapt to and cope with shocks."/>
    <m/>
    <m/>
    <n v="300"/>
    <m/>
    <m/>
    <n v="1200"/>
    <s v="The direct participants are the famers and the indirect participants are the Household members. The average household size if 5 members/household."/>
    <m/>
    <n v="21"/>
    <n v="59"/>
    <n v="80"/>
    <n v="213"/>
    <n v="215"/>
    <n v="428"/>
    <s v="NO"/>
    <m/>
    <m/>
    <m/>
    <s v="NO"/>
    <m/>
    <m/>
    <m/>
    <s v="NO"/>
    <m/>
    <m/>
    <m/>
    <s v="NO"/>
    <m/>
    <m/>
    <m/>
    <s v="NO"/>
    <m/>
    <m/>
    <m/>
    <s v="NO"/>
    <m/>
    <m/>
    <m/>
    <s v="NO"/>
    <m/>
    <m/>
    <m/>
    <s v="Yes"/>
    <n v="80"/>
    <n v="0.26250000000000001"/>
    <n v="428"/>
    <s v="NO"/>
    <m/>
    <m/>
    <m/>
    <s v="NO"/>
    <m/>
    <m/>
    <m/>
    <s v="NO"/>
    <m/>
    <m/>
    <m/>
    <s v="NO"/>
    <m/>
    <m/>
    <m/>
    <m/>
    <m/>
    <m/>
    <m/>
    <m/>
    <m/>
    <m/>
    <m/>
    <m/>
    <m/>
    <m/>
    <m/>
    <m/>
    <m/>
    <m/>
    <m/>
    <m/>
    <m/>
    <m/>
    <m/>
    <m/>
    <m/>
    <m/>
    <m/>
    <m/>
    <m/>
    <m/>
    <m/>
    <m/>
    <m/>
    <m/>
    <m/>
    <m/>
    <m/>
    <m/>
    <m/>
    <m/>
    <m/>
    <m/>
    <m/>
    <m/>
    <m/>
    <m/>
    <m/>
    <m/>
    <m/>
    <m/>
    <m/>
    <m/>
    <m/>
    <m/>
    <m/>
    <m/>
    <m/>
    <m/>
    <m/>
    <m/>
    <m/>
    <m/>
    <m/>
    <m/>
    <m/>
    <m/>
    <m/>
    <m/>
    <m/>
    <m/>
    <m/>
    <m/>
    <m/>
    <m/>
    <m/>
    <m/>
    <m/>
    <m/>
    <m/>
    <m/>
    <m/>
    <m/>
    <m/>
    <s v="NO"/>
    <m/>
    <m/>
    <m/>
    <s v="YES"/>
    <s v="September"/>
    <n v="2017"/>
    <m/>
    <x v="0"/>
    <m/>
    <m/>
    <m/>
    <m/>
    <m/>
    <m/>
    <m/>
    <m/>
    <m/>
    <x v="0"/>
    <s v="The Porject aims to support the local farmers who lost their livelihood and provide them with agriculutral inputs in addition to the operational costs so they will be able again to farm their lands and recover their livelihoods."/>
    <x v="1"/>
    <s v="We work through a partnership model (100% implementation by the partner)"/>
    <x v="0"/>
    <x v="1"/>
    <s v="NO"/>
    <x v="0"/>
    <x v="0"/>
    <x v="1"/>
    <x v="4"/>
    <n v="2"/>
    <x v="3"/>
    <x v="0"/>
    <x v="0"/>
    <x v="0"/>
    <x v="0"/>
    <x v="3"/>
    <n v="0"/>
    <x v="0"/>
    <x v="0"/>
    <x v="0"/>
    <x v="0"/>
    <x v="0"/>
    <n v="0"/>
    <x v="2"/>
    <x v="2"/>
    <n v="2"/>
    <s v="Local NGO(s)/CSO(s)"/>
    <m/>
    <m/>
    <x v="1"/>
    <m/>
    <m/>
    <m/>
    <m/>
    <m/>
    <m/>
    <m/>
    <m/>
    <m/>
    <m/>
    <n v="80"/>
    <n v="428"/>
    <n v="5.35"/>
    <n v="0.26250000000000001"/>
    <n v="0.49766355140186919"/>
    <n v="21"/>
    <n v="213"/>
    <n v="1"/>
    <n v="80"/>
    <n v="428"/>
    <n v="5.35"/>
    <n v="1"/>
    <n v="80"/>
    <n v="428"/>
    <n v="5.35"/>
    <s v=""/>
    <n v="0"/>
    <n v="0"/>
    <s v=""/>
    <s v=""/>
    <n v="0"/>
    <n v="0"/>
    <s v=""/>
    <s v=""/>
    <n v="0"/>
    <n v="0"/>
    <s v=""/>
    <s v="3. Responsive"/>
    <s v="0. Unaware"/>
    <s v="No marker score"/>
    <s v="It did not develop any specific innovation"/>
    <s v="Little or no advocacy"/>
    <s v="It linked and worked with strategic alliances and partners to take tested and effective solutions to scale"/>
  </r>
  <r>
    <x v="71"/>
    <x v="1"/>
    <m/>
    <s v="Integrated, multi-sector response to acute and urgent needs of vulnerable populations across Syria"/>
    <s v="Syria"/>
    <s v="CAUTTR0010"/>
    <s v="CARE Österreich"/>
    <s v="Multilateral agency"/>
    <s v="ECHO - European Commission for Humanitarian Aid and Civil Protection"/>
    <s v="ECHO"/>
    <m/>
    <m/>
    <m/>
    <m/>
    <m/>
    <m/>
    <m/>
    <m/>
    <m/>
    <m/>
    <m/>
    <m/>
    <m/>
    <m/>
    <m/>
    <m/>
    <m/>
    <m/>
    <m/>
    <m/>
    <m/>
    <m/>
    <m/>
    <m/>
    <m/>
    <m/>
    <m/>
    <m/>
    <m/>
    <m/>
    <m/>
    <m/>
    <m/>
    <m/>
    <m/>
    <m/>
    <m/>
    <m/>
    <m/>
    <m/>
    <m/>
    <m/>
    <m/>
    <m/>
    <m/>
    <d v="2016-08-01T00:00:00"/>
    <d v="2017-07-31T00:00:00"/>
    <m/>
    <s v="Humanitarian Food &amp; Nutrition Security and Resilience to Climate Change"/>
    <n v="1474302.9"/>
    <s v="Chele DeGruccio"/>
    <s v="CARE Turkey Assistant Country Director - Programs (Former)"/>
    <s v="chele.degruccio@care.org"/>
    <s v="Mohamad Eid Hamsho"/>
    <s v="CARE Syria North Hub - ECHO &amp; Dutch MoFA Program Manager"/>
    <s v="MohamadEid.Hamsho@care.org"/>
    <s v="YES"/>
    <s v="NO"/>
    <s v="NO"/>
    <s v="To address acute and urgent needs of vulnerable populations in Syria, through coordinated, multi-sector rapid response and provision of essential WASH assistance."/>
    <s v="Sub-National"/>
    <s v="Syria: Aleppo and Hama governorates"/>
    <s v="Rapid response activities will target vulnerable populations, such as IDPs and their host families, affected by an immediate emergency and in need of humanitarian assistance ('unmet' needs). Among the vulnerable populations, CARE strives to identify the most vulnerable populations such as those living in hard-to-reach locations, newly displaced, female-headed households, child-headed households, households with a high dependency ratio (&gt; 5 dependents), persons with disabilities, older persons, as well as households without access to adequate shelter."/>
    <n v="32099"/>
    <n v="29735"/>
    <n v="61834"/>
    <m/>
    <m/>
    <m/>
    <m/>
    <m/>
    <n v="32099"/>
    <n v="29735"/>
    <n v="61834"/>
    <m/>
    <m/>
    <m/>
    <m/>
    <m/>
    <m/>
    <m/>
    <s v="YES"/>
    <n v="21764"/>
    <n v="0.52"/>
    <m/>
    <m/>
    <m/>
    <m/>
    <m/>
    <s v="YES"/>
    <n v="4669"/>
    <n v="0.5"/>
    <m/>
    <m/>
    <m/>
    <m/>
    <m/>
    <m/>
    <m/>
    <m/>
    <m/>
    <m/>
    <m/>
    <m/>
    <m/>
    <m/>
    <m/>
    <m/>
    <m/>
    <m/>
    <m/>
    <m/>
    <m/>
    <m/>
    <m/>
    <m/>
    <m/>
    <m/>
    <m/>
    <m/>
    <m/>
    <s v="YES"/>
    <n v="35401"/>
    <n v="0.5"/>
    <m/>
    <m/>
    <m/>
    <m/>
    <m/>
    <m/>
    <m/>
    <m/>
    <m/>
    <m/>
    <m/>
    <m/>
    <m/>
    <m/>
    <m/>
    <m/>
    <m/>
    <m/>
    <m/>
    <m/>
    <m/>
    <m/>
    <m/>
    <m/>
    <m/>
    <m/>
    <m/>
    <m/>
    <m/>
    <m/>
    <m/>
    <m/>
    <m/>
    <m/>
    <m/>
    <m/>
    <m/>
    <m/>
    <m/>
    <m/>
    <m/>
    <m/>
    <m/>
    <m/>
    <m/>
    <m/>
    <m/>
    <m/>
    <m/>
    <m/>
    <m/>
    <m/>
    <m/>
    <m/>
    <m/>
    <m/>
    <m/>
    <m/>
    <m/>
    <m/>
    <m/>
    <m/>
    <m/>
    <m/>
    <m/>
    <m/>
    <m/>
    <m/>
    <m/>
    <m/>
    <m/>
    <m/>
    <m/>
    <m/>
    <m/>
    <m/>
    <m/>
    <m/>
    <m/>
    <m/>
    <m/>
    <s v="YES"/>
    <s v="April"/>
    <n v="2017"/>
    <s v="YES"/>
    <s v="YES"/>
    <s v="August"/>
    <n v="2017"/>
    <m/>
    <x v="1"/>
    <s v="NO"/>
    <s v="YES"/>
    <s v="YES"/>
    <s v="YES"/>
    <s v="NO"/>
    <s v="NO"/>
    <s v="YES"/>
    <m/>
    <m/>
    <x v="0"/>
    <m/>
    <x v="3"/>
    <m/>
    <x v="2"/>
    <x v="0"/>
    <s v="YES"/>
    <x v="0"/>
    <x v="0"/>
    <x v="0"/>
    <x v="0"/>
    <n v="4"/>
    <x v="0"/>
    <x v="0"/>
    <x v="0"/>
    <x v="0"/>
    <x v="0"/>
    <x v="0"/>
    <n v="0"/>
    <x v="0"/>
    <x v="0"/>
    <x v="0"/>
    <x v="0"/>
    <x v="0"/>
    <n v="0"/>
    <x v="2"/>
    <x v="2"/>
    <n v="1"/>
    <s v="Local NGO(s)/CSO(s)"/>
    <m/>
    <m/>
    <x v="2"/>
    <m/>
    <s v="We changed the designed of the Hygiene Kit to more customized for women, and we designed another kit for men "/>
    <s v="MPV distribution for new arrivals (multi purpose vouchers)"/>
    <s v="Outreach messages with more focus in GBV and CP"/>
    <m/>
    <s v="The important benefits of coordination with partners who are implementing on the ground, gained through attending partners meetings."/>
    <s v="Recognizing the need of signing an MOU with the targeted communities’ local councils to avoid any possible tensions, either involving the beneficiaries selection or for any other issue."/>
    <m/>
    <m/>
    <m/>
    <n v="61834"/>
    <n v="0"/>
    <n v="0"/>
    <n v="0.51911569686580195"/>
    <s v=""/>
    <n v="32099"/>
    <n v="0"/>
    <n v="1"/>
    <n v="61834"/>
    <n v="0"/>
    <n v="0"/>
    <n v="1"/>
    <n v="4669"/>
    <n v="0"/>
    <n v="0"/>
    <s v=""/>
    <n v="0"/>
    <n v="0"/>
    <s v=""/>
    <s v=""/>
    <n v="0"/>
    <n v="0"/>
    <s v=""/>
    <s v=""/>
    <n v="0"/>
    <n v="0"/>
    <s v=""/>
    <s v="2. Sensitive"/>
    <s v="No marker score"/>
    <s v="No marker score"/>
    <s v="It did not develop any specific innovation"/>
    <s v="Moderate advocacy"/>
    <s v="It took tested solutions to scale on its own"/>
  </r>
  <r>
    <x v="71"/>
    <x v="1"/>
    <m/>
    <s v="Integrated, multi-sector response to acute and urgent needs of vulnerable populations across Syria"/>
    <s v="Syria"/>
    <s v="AT585"/>
    <s v="CARE Österreich"/>
    <s v="Government"/>
    <s v="ECHO - European Commission for Humanitarian Aid and Civil Protection"/>
    <s v="ECHO"/>
    <m/>
    <m/>
    <m/>
    <m/>
    <m/>
    <m/>
    <m/>
    <m/>
    <m/>
    <m/>
    <m/>
    <m/>
    <m/>
    <m/>
    <m/>
    <m/>
    <m/>
    <m/>
    <m/>
    <m/>
    <m/>
    <m/>
    <m/>
    <m/>
    <m/>
    <m/>
    <m/>
    <m/>
    <m/>
    <m/>
    <m/>
    <m/>
    <m/>
    <m/>
    <m/>
    <m/>
    <m/>
    <m/>
    <m/>
    <m/>
    <m/>
    <m/>
    <m/>
    <m/>
    <m/>
    <d v="2016-08-01T00:00:00"/>
    <d v="2017-07-31T00:00:00"/>
    <d v="2017-09-30T00:00:00"/>
    <s v="Humanitarian Other"/>
    <n v="1295430"/>
    <s v="Malgorzata Markert"/>
    <s v="Area Manager"/>
    <s v="markert@care.de"/>
    <m/>
    <m/>
    <m/>
    <s v="YES"/>
    <s v="NO"/>
    <s v="NO"/>
    <s v="To address emergency and urgent needs of vulnerable populations in Syria, through coordinated, multi-sector rapid response and WASH support."/>
    <s v="Sub-National"/>
    <s v="Syria, Rural Damascus, Eastern Ghouta (Douma) and Northern Homs Countryside (Talbiseh)"/>
    <s v="Rapid response activities targeted vulnerable populations, such as IDPs and their host families, affected by an immediate emergency and in need of humanitarian assistance. Vulnerability criteria: those living in hard-to-reach locations, newly displaced, female-headed households, child-headed households, households with a high dependency ratio (&gt; 5 dependents), persons with disabilities, older persons, as well as households without access to adequate shelter, elderly,Pregnant lactating women (PLW), and Disabled."/>
    <n v="17280"/>
    <n v="18720"/>
    <n v="36000"/>
    <m/>
    <m/>
    <m/>
    <s v="Direct participants are individual that directly benefit from the project's actions, such as recipients of food assistance and NFIs kits distribution."/>
    <m/>
    <n v="11460"/>
    <n v="12415"/>
    <n v="23875"/>
    <m/>
    <m/>
    <m/>
    <s v="NO"/>
    <m/>
    <m/>
    <m/>
    <s v="NO"/>
    <m/>
    <m/>
    <m/>
    <s v="NO"/>
    <m/>
    <m/>
    <m/>
    <s v="YES"/>
    <n v="23875"/>
    <n v="0.48"/>
    <m/>
    <s v="NO"/>
    <m/>
    <m/>
    <m/>
    <s v="NO"/>
    <m/>
    <m/>
    <m/>
    <s v="NO"/>
    <m/>
    <m/>
    <m/>
    <s v="NO"/>
    <m/>
    <m/>
    <m/>
    <s v="NO"/>
    <m/>
    <m/>
    <m/>
    <s v="NO"/>
    <m/>
    <m/>
    <m/>
    <s v="NO"/>
    <m/>
    <m/>
    <m/>
    <s v="NO"/>
    <m/>
    <m/>
    <m/>
    <m/>
    <m/>
    <m/>
    <m/>
    <m/>
    <m/>
    <m/>
    <m/>
    <m/>
    <m/>
    <m/>
    <m/>
    <m/>
    <m/>
    <m/>
    <m/>
    <m/>
    <m/>
    <m/>
    <m/>
    <m/>
    <m/>
    <m/>
    <m/>
    <m/>
    <m/>
    <m/>
    <m/>
    <m/>
    <m/>
    <m/>
    <m/>
    <m/>
    <m/>
    <m/>
    <m/>
    <m/>
    <m/>
    <m/>
    <m/>
    <m/>
    <m/>
    <m/>
    <m/>
    <m/>
    <m/>
    <m/>
    <m/>
    <m/>
    <m/>
    <m/>
    <m/>
    <m/>
    <m/>
    <m/>
    <m/>
    <m/>
    <m/>
    <m/>
    <m/>
    <m/>
    <m/>
    <m/>
    <m/>
    <m/>
    <m/>
    <m/>
    <m/>
    <m/>
    <m/>
    <m/>
    <m/>
    <m/>
    <m/>
    <m/>
    <m/>
    <m/>
    <m/>
    <m/>
    <m/>
    <s v="NO"/>
    <m/>
    <m/>
    <s v="NO"/>
    <s v="NO"/>
    <m/>
    <m/>
    <m/>
    <x v="3"/>
    <m/>
    <m/>
    <m/>
    <m/>
    <m/>
    <m/>
    <m/>
    <m/>
    <m/>
    <x v="0"/>
    <m/>
    <x v="3"/>
    <s v="We work through a partnership model (100% implementation by the partner)"/>
    <x v="0"/>
    <x v="0"/>
    <s v="YES"/>
    <x v="0"/>
    <x v="0"/>
    <x v="0"/>
    <x v="0"/>
    <n v="4"/>
    <x v="1"/>
    <x v="1"/>
    <x v="1"/>
    <x v="1"/>
    <x v="1"/>
    <x v="1"/>
    <n v="4"/>
    <x v="0"/>
    <x v="0"/>
    <x v="0"/>
    <x v="0"/>
    <x v="0"/>
    <n v="0"/>
    <x v="0"/>
    <x v="2"/>
    <n v="2"/>
    <s v="International NGO(s)"/>
    <m/>
    <m/>
    <x v="0"/>
    <m/>
    <m/>
    <m/>
    <m/>
    <m/>
    <m/>
    <m/>
    <m/>
    <m/>
    <m/>
    <n v="23875"/>
    <n v="0"/>
    <n v="0"/>
    <n v="0.48"/>
    <s v=""/>
    <n v="11460"/>
    <n v="0"/>
    <n v="1"/>
    <n v="23875"/>
    <n v="0"/>
    <n v="0"/>
    <n v="1"/>
    <n v="23875"/>
    <n v="0"/>
    <n v="0"/>
    <s v=""/>
    <n v="0"/>
    <n v="0"/>
    <s v=""/>
    <s v=""/>
    <n v="0"/>
    <n v="0"/>
    <s v=""/>
    <s v=""/>
    <n v="0"/>
    <n v="0"/>
    <s v=""/>
    <s v="2. Sensitive"/>
    <s v="2. Accommodating"/>
    <s v="No marker score"/>
    <s v="It did not develop any specific innovation"/>
    <n v="0"/>
    <s v="It took tested solutions to scale on its own"/>
  </r>
  <r>
    <x v="71"/>
    <x v="1"/>
    <m/>
    <s v="Livelihoods and resilience support to people affected by the Syrian Crisis"/>
    <s v="Syria"/>
    <s v="CAUTTR0004"/>
    <s v="CARE Österreich"/>
    <s v="Multilateral agency"/>
    <s v="EU - European Union (other than ECHO)"/>
    <s v="EuropeAid"/>
    <m/>
    <m/>
    <m/>
    <m/>
    <m/>
    <m/>
    <m/>
    <m/>
    <m/>
    <m/>
    <m/>
    <m/>
    <m/>
    <m/>
    <m/>
    <m/>
    <m/>
    <m/>
    <m/>
    <m/>
    <m/>
    <m/>
    <m/>
    <m/>
    <m/>
    <m/>
    <m/>
    <m/>
    <m/>
    <m/>
    <m/>
    <m/>
    <m/>
    <m/>
    <m/>
    <m/>
    <m/>
    <m/>
    <m/>
    <m/>
    <m/>
    <m/>
    <m/>
    <m/>
    <m/>
    <d v="2015-07-01T00:00:00"/>
    <d v="2017-02-28T00:00:00"/>
    <d v="2017-06-30T00:00:00"/>
    <s v="Humanitarian Food &amp; Nutrition Security and Resilience to Climate Change"/>
    <n v="1647660"/>
    <s v="John Uniack Davis"/>
    <s v="CARE Turkey Country Director (Former)"/>
    <s v="john.davis@care.org"/>
    <m/>
    <m/>
    <m/>
    <s v="YES"/>
    <s v="YES"/>
    <s v="YES"/>
    <s v="To respond to the needs of vulnerable, conflict-affected women, men, girls, and boys from IDP and host communities in northern Syria through gender-sensitive programming that aims at rebuilding livelihoods and increasing resilience."/>
    <s v="Sub-National"/>
    <s v="Syria: Idleb Governorate: Harim District, Dana sub-district; Hassakeh Governorate: Qamishli District, Amuda sub-district."/>
    <s v="The Project aimed benefit an estimated 12,000 individuals from 2,000 households in the selected locations in Hassakeh and Idleb Governorates.  These Project participants saw an increase in their household income levels and a corresponding reduction in negative coping strategies (such as child labour and early marriage). In addition, 3,000 individuals, including 1,500 children and youth, saw an improvement in their psychosocial wellbeing. There was some level of overlap between people benefiting from the livelihoods support and psychosocial well-being components of the Project. A further 5000 individuals indirectly benefited from improved community cohesion and social relations between IDPs and host communities, and improved livelihoods infrastructure facilities."/>
    <n v="5599"/>
    <n v="4135"/>
    <n v="9734"/>
    <m/>
    <m/>
    <m/>
    <m/>
    <m/>
    <n v="5599"/>
    <n v="4135"/>
    <n v="9734"/>
    <m/>
    <m/>
    <m/>
    <m/>
    <m/>
    <m/>
    <m/>
    <m/>
    <m/>
    <m/>
    <m/>
    <m/>
    <m/>
    <m/>
    <m/>
    <m/>
    <m/>
    <m/>
    <m/>
    <m/>
    <m/>
    <m/>
    <m/>
    <m/>
    <m/>
    <m/>
    <m/>
    <m/>
    <m/>
    <m/>
    <m/>
    <s v="Yes"/>
    <n v="2571"/>
    <n v="0.51"/>
    <m/>
    <s v="YES"/>
    <n v="7163"/>
    <n v="0.6"/>
    <m/>
    <m/>
    <m/>
    <m/>
    <m/>
    <m/>
    <m/>
    <m/>
    <m/>
    <m/>
    <m/>
    <m/>
    <m/>
    <m/>
    <m/>
    <m/>
    <m/>
    <m/>
    <m/>
    <m/>
    <m/>
    <m/>
    <m/>
    <m/>
    <m/>
    <m/>
    <m/>
    <m/>
    <m/>
    <m/>
    <m/>
    <m/>
    <m/>
    <m/>
    <m/>
    <m/>
    <m/>
    <m/>
    <m/>
    <m/>
    <m/>
    <m/>
    <m/>
    <m/>
    <m/>
    <m/>
    <m/>
    <m/>
    <m/>
    <m/>
    <m/>
    <m/>
    <m/>
    <m/>
    <m/>
    <m/>
    <m/>
    <m/>
    <m/>
    <m/>
    <m/>
    <m/>
    <m/>
    <m/>
    <m/>
    <m/>
    <m/>
    <m/>
    <m/>
    <m/>
    <m/>
    <m/>
    <m/>
    <m/>
    <m/>
    <m/>
    <m/>
    <m/>
    <m/>
    <m/>
    <m/>
    <m/>
    <m/>
    <m/>
    <m/>
    <m/>
    <m/>
    <m/>
    <m/>
    <m/>
    <m/>
    <m/>
    <m/>
    <s v="YES"/>
    <s v="July"/>
    <n v="2017"/>
    <s v="YES"/>
    <s v="YES"/>
    <s v="July"/>
    <n v="2017"/>
    <s v="Evaluation currently being finalized."/>
    <x v="1"/>
    <s v="NO"/>
    <s v="NO"/>
    <s v="YES"/>
    <s v="NO"/>
    <s v="YES"/>
    <s v="YES"/>
    <s v="NO"/>
    <s v="NO"/>
    <m/>
    <x v="2"/>
    <m/>
    <x v="1"/>
    <m/>
    <x v="2"/>
    <x v="0"/>
    <s v="YES"/>
    <x v="0"/>
    <x v="0"/>
    <x v="0"/>
    <x v="0"/>
    <n v="4"/>
    <x v="0"/>
    <x v="0"/>
    <x v="0"/>
    <x v="0"/>
    <x v="0"/>
    <x v="0"/>
    <n v="0"/>
    <x v="0"/>
    <x v="0"/>
    <x v="0"/>
    <x v="0"/>
    <x v="0"/>
    <n v="0"/>
    <x v="2"/>
    <x v="2"/>
    <n v="1"/>
    <m/>
    <m/>
    <m/>
    <x v="2"/>
    <s v="Supporting some public infrastructure for the society "/>
    <s v="Most of the activities was designed and implemented after getting the feedback from the local communities such as PSS activities "/>
    <s v="VSLAs is one of the relevant examples in this project "/>
    <s v="LS vaccination campaign as one of the activities under the extension services provision "/>
    <s v="Engaging women in the LH activities "/>
    <m/>
    <m/>
    <m/>
    <m/>
    <m/>
    <n v="9734"/>
    <n v="0"/>
    <n v="0"/>
    <n v="0.57520032874460658"/>
    <s v=""/>
    <n v="5599"/>
    <n v="0"/>
    <n v="1"/>
    <n v="9734"/>
    <n v="0"/>
    <n v="0"/>
    <n v="1"/>
    <n v="2571"/>
    <n v="0"/>
    <n v="0"/>
    <s v=""/>
    <n v="0"/>
    <n v="0"/>
    <s v=""/>
    <s v=""/>
    <n v="0"/>
    <n v="0"/>
    <s v=""/>
    <s v=""/>
    <n v="0"/>
    <n v="0"/>
    <s v=""/>
    <s v="2. Sensitive"/>
    <s v="No marker score"/>
    <s v="No marker score"/>
    <s v="It tested new ways for fighting poverty and measured results of innovation"/>
    <s v="Moderate advocacy"/>
    <s v="It linked and worked with strategic alliances and partners to take tested and effective solutions to scale"/>
  </r>
  <r>
    <x v="71"/>
    <x v="1"/>
    <m/>
    <s v="Promoting Access to Family Planning (FP) and Gender Based Violence (GBV) Services in conflict affected communities in Syria"/>
    <s v="Syria"/>
    <s v="UNFPTR0003"/>
    <s v="No CARE member related to the project/initiative"/>
    <s v="Multilateral agency"/>
    <s v="UN - United Nations agencies/offices"/>
    <s v="UNFPA"/>
    <m/>
    <m/>
    <m/>
    <m/>
    <m/>
    <m/>
    <m/>
    <m/>
    <m/>
    <m/>
    <m/>
    <m/>
    <m/>
    <m/>
    <m/>
    <m/>
    <m/>
    <m/>
    <m/>
    <m/>
    <m/>
    <m/>
    <m/>
    <m/>
    <m/>
    <m/>
    <m/>
    <m/>
    <m/>
    <m/>
    <m/>
    <m/>
    <m/>
    <m/>
    <m/>
    <m/>
    <m/>
    <m/>
    <m/>
    <m/>
    <m/>
    <m/>
    <m/>
    <m/>
    <m/>
    <d v="2017-06-01T00:00:00"/>
    <d v="2018-03-31T00:00:00"/>
    <m/>
    <s v="Development Sexual, Reproductive and Maternal Health (SRMH)"/>
    <n v="719749"/>
    <s v="Abdulmalik Swaleh"/>
    <s v="CARE Turkey - Assistant Country Director - Program Support"/>
    <s v="Abdulmalik.Swaleh@care.org"/>
    <m/>
    <m/>
    <m/>
    <s v="YES"/>
    <s v="NO"/>
    <s v="NO"/>
    <s v="To provide vulnerable Syrian households with access to SRH services, through critical information and services on FP methods and GBV in Idleb and Aleppo governorates"/>
    <s v="Sub-National"/>
    <s v="Syria: Idleb and Aleppo governorates"/>
    <s v="Women and girls"/>
    <n v="17250"/>
    <n v="2"/>
    <n v="17252"/>
    <m/>
    <m/>
    <m/>
    <m/>
    <m/>
    <n v="17250"/>
    <n v="2"/>
    <n v="17252"/>
    <m/>
    <m/>
    <m/>
    <m/>
    <m/>
    <m/>
    <m/>
    <m/>
    <m/>
    <m/>
    <m/>
    <m/>
    <m/>
    <m/>
    <m/>
    <m/>
    <m/>
    <m/>
    <m/>
    <m/>
    <m/>
    <m/>
    <m/>
    <m/>
    <m/>
    <m/>
    <m/>
    <m/>
    <m/>
    <m/>
    <m/>
    <m/>
    <m/>
    <m/>
    <m/>
    <m/>
    <m/>
    <m/>
    <m/>
    <s v="YES"/>
    <n v="17252"/>
    <n v="1"/>
    <m/>
    <m/>
    <m/>
    <m/>
    <m/>
    <m/>
    <m/>
    <m/>
    <m/>
    <m/>
    <m/>
    <m/>
    <m/>
    <m/>
    <m/>
    <m/>
    <m/>
    <m/>
    <m/>
    <m/>
    <m/>
    <m/>
    <m/>
    <m/>
    <m/>
    <m/>
    <m/>
    <m/>
    <m/>
    <m/>
    <m/>
    <m/>
    <m/>
    <m/>
    <m/>
    <m/>
    <m/>
    <m/>
    <m/>
    <m/>
    <m/>
    <m/>
    <m/>
    <m/>
    <m/>
    <m/>
    <m/>
    <m/>
    <m/>
    <m/>
    <m/>
    <m/>
    <m/>
    <m/>
    <m/>
    <m/>
    <m/>
    <m/>
    <m/>
    <m/>
    <m/>
    <m/>
    <m/>
    <m/>
    <m/>
    <m/>
    <m/>
    <m/>
    <m/>
    <m/>
    <m/>
    <m/>
    <m/>
    <m/>
    <m/>
    <m/>
    <m/>
    <m/>
    <m/>
    <m/>
    <m/>
    <m/>
    <m/>
    <m/>
    <m/>
    <m/>
    <m/>
    <m/>
    <m/>
    <s v="NO"/>
    <m/>
    <m/>
    <s v="NO"/>
    <s v="NO"/>
    <m/>
    <m/>
    <s v="N/A"/>
    <x v="0"/>
    <s v="YES"/>
    <s v="YES"/>
    <s v="YES"/>
    <s v="YES"/>
    <s v="YES"/>
    <s v="YES"/>
    <s v="NO"/>
    <s v="YES"/>
    <m/>
    <x v="1"/>
    <s v="Promotion of family planning indirectly has impact on fighting poverty"/>
    <x v="3"/>
    <s v="Use of mobile clinics to implement sexual reproductive health and gender based violence activities"/>
    <x v="2"/>
    <x v="0"/>
    <s v="YES"/>
    <x v="0"/>
    <x v="0"/>
    <x v="0"/>
    <x v="0"/>
    <n v="4"/>
    <x v="0"/>
    <x v="0"/>
    <x v="0"/>
    <x v="0"/>
    <x v="0"/>
    <x v="0"/>
    <n v="0"/>
    <x v="0"/>
    <x v="0"/>
    <x v="0"/>
    <x v="0"/>
    <x v="0"/>
    <n v="0"/>
    <x v="2"/>
    <x v="2"/>
    <m/>
    <s v="Local NGO(s)/CSO(s)"/>
    <m/>
    <m/>
    <x v="2"/>
    <s v="Formation of Young mother's club"/>
    <s v="The project made changes to its activities so as to provide more comprehensive SRH services in the static facilities and also in the mobile clinics_x000a__x000a_The project expanded the target PHCs form 7 to 10 and cover of communities by mobile clinics from 32 to 60_x000a__x000a_The project has added women and girls safe space component and young months club"/>
    <s v="Mobile clinics providing outreach services have increased geographic/population reached"/>
    <s v="The health facilities have continued to provide FAP, RH and GBV services amid the fragile context"/>
    <s v="Stakeholder involvement and participation has been key to success"/>
    <s v="Privacy in mobile clinics is a major challenge, as this is very important considering the services being provided SRH &amp; GBV"/>
    <s v="The right approach in community sanitization is important in fostering acceptance especially of sensitive topics like GBV and protection"/>
    <m/>
    <m/>
    <m/>
    <n v="17252"/>
    <n v="0"/>
    <n v="0"/>
    <n v="0.99988407141201019"/>
    <s v=""/>
    <n v="17250"/>
    <n v="0"/>
    <n v="1"/>
    <n v="17252"/>
    <n v="0"/>
    <n v="0"/>
    <s v=""/>
    <n v="0"/>
    <n v="0"/>
    <s v=""/>
    <n v="1"/>
    <n v="17252"/>
    <n v="0"/>
    <n v="0"/>
    <s v=""/>
    <n v="0"/>
    <n v="0"/>
    <s v=""/>
    <s v=""/>
    <n v="0"/>
    <n v="0"/>
    <s v=""/>
    <s v="2. Sensitive"/>
    <s v="No marker score"/>
    <s v="No marker score"/>
    <s v="It tested new ways for fighting poverty, but did not measure results of innovation"/>
    <s v="Little or no advocacy"/>
    <s v="It took tested solutions to scale on its own"/>
  </r>
  <r>
    <x v="71"/>
    <x v="1"/>
    <m/>
    <s v="Promoting Access to FP and GBV Services in conflict-affected communities in Syria"/>
    <s v="Syria"/>
    <s v="UNFPTR0001"/>
    <s v="No CARE member related to the project/initiative"/>
    <s v="Multilateral agency"/>
    <s v="UN - United Nations agencies/offices"/>
    <s v="UNFPA"/>
    <m/>
    <m/>
    <m/>
    <m/>
    <m/>
    <m/>
    <m/>
    <m/>
    <m/>
    <m/>
    <m/>
    <m/>
    <m/>
    <m/>
    <m/>
    <m/>
    <m/>
    <m/>
    <m/>
    <m/>
    <m/>
    <m/>
    <m/>
    <m/>
    <m/>
    <m/>
    <m/>
    <m/>
    <m/>
    <m/>
    <m/>
    <m/>
    <m/>
    <m/>
    <m/>
    <m/>
    <m/>
    <m/>
    <m/>
    <m/>
    <m/>
    <m/>
    <m/>
    <m/>
    <m/>
    <d v="2016-04-01T00:00:00"/>
    <d v="2017-04-30T00:00:00"/>
    <m/>
    <s v="Humanitarian Sexual, Reproductive and Maternal Health (SRMH)"/>
    <n v="44000"/>
    <s v="John Uniack Davis"/>
    <s v="CARE Turkey Country Director (Former)"/>
    <s v="john.davis@care.org"/>
    <s v="Chele DeGruccio"/>
    <s v="CARE Turkey Assistant Country Director - Programs (Former)"/>
    <s v="chele.degruccio@care.org"/>
    <s v="YES"/>
    <s v="NO"/>
    <s v="NO"/>
    <s v="To provide vulnerable Syrian households with access to SRH services, through critical information and services on family planning methods and GBV in Idleb and Aleppo Governorates"/>
    <s v="Sub-National"/>
    <s v="Syria: Idleb and Aleppo governorates"/>
    <s v="1) Increased access for 32,500 women and girls to family planning through facility-based services  • Provision of short-acting and long-acting FP methods in PHC_x000a_2) Increased access to psycho-social support and clinical management of rape for 200 survivors of GBV incidents through facility-based services_x000a_3) Increased access for 15,000 men, women, boys and girls to select SRH, GBV and FP information and services through mobile SRH clinics"/>
    <n v="55948"/>
    <n v="4971"/>
    <n v="60919"/>
    <m/>
    <m/>
    <m/>
    <m/>
    <m/>
    <n v="55948"/>
    <n v="4971"/>
    <n v="60919"/>
    <m/>
    <m/>
    <m/>
    <m/>
    <m/>
    <m/>
    <m/>
    <m/>
    <m/>
    <m/>
    <m/>
    <m/>
    <m/>
    <m/>
    <m/>
    <m/>
    <m/>
    <m/>
    <m/>
    <m/>
    <m/>
    <m/>
    <m/>
    <m/>
    <m/>
    <m/>
    <m/>
    <m/>
    <m/>
    <m/>
    <m/>
    <m/>
    <m/>
    <m/>
    <m/>
    <m/>
    <m/>
    <m/>
    <m/>
    <s v="YES"/>
    <n v="60919"/>
    <n v="0.92"/>
    <m/>
    <m/>
    <m/>
    <m/>
    <m/>
    <m/>
    <m/>
    <m/>
    <m/>
    <m/>
    <m/>
    <m/>
    <m/>
    <m/>
    <m/>
    <m/>
    <m/>
    <m/>
    <m/>
    <m/>
    <m/>
    <m/>
    <m/>
    <m/>
    <m/>
    <m/>
    <m/>
    <m/>
    <m/>
    <m/>
    <m/>
    <m/>
    <m/>
    <m/>
    <m/>
    <m/>
    <m/>
    <m/>
    <m/>
    <m/>
    <m/>
    <m/>
    <m/>
    <m/>
    <m/>
    <m/>
    <m/>
    <m/>
    <m/>
    <m/>
    <m/>
    <m/>
    <m/>
    <m/>
    <m/>
    <m/>
    <m/>
    <m/>
    <m/>
    <m/>
    <m/>
    <m/>
    <m/>
    <m/>
    <m/>
    <m/>
    <m/>
    <m/>
    <m/>
    <m/>
    <m/>
    <m/>
    <m/>
    <m/>
    <m/>
    <m/>
    <m/>
    <m/>
    <m/>
    <m/>
    <m/>
    <m/>
    <m/>
    <m/>
    <m/>
    <m/>
    <m/>
    <m/>
    <m/>
    <m/>
    <m/>
    <m/>
    <s v="NO"/>
    <s v="NO"/>
    <m/>
    <m/>
    <s v="N/A"/>
    <x v="2"/>
    <s v="YES"/>
    <s v="YES"/>
    <s v="YES"/>
    <s v="YES"/>
    <s v="YES"/>
    <s v="YES"/>
    <s v="NO"/>
    <m/>
    <m/>
    <x v="1"/>
    <s v="Promotion of family planning indirectly has impact on fighting poverty"/>
    <x v="3"/>
    <s v="Use of mobile clinics to implement sexual reproductive health and gender based violence activities"/>
    <x v="2"/>
    <x v="0"/>
    <s v="YES"/>
    <x v="0"/>
    <x v="0"/>
    <x v="0"/>
    <x v="0"/>
    <n v="4"/>
    <x v="0"/>
    <x v="0"/>
    <x v="0"/>
    <x v="0"/>
    <x v="0"/>
    <x v="0"/>
    <n v="0"/>
    <x v="0"/>
    <x v="0"/>
    <x v="0"/>
    <x v="0"/>
    <x v="0"/>
    <n v="0"/>
    <x v="2"/>
    <x v="2"/>
    <n v="1"/>
    <s v="Local NGO(s)/CSO(s)"/>
    <m/>
    <m/>
    <x v="2"/>
    <m/>
    <m/>
    <s v="Mobile clinics providing outreach services have increased geographic/population reached"/>
    <s v="The health facilities have continued to provide FAP, RH and GBV services amid the fragile context"/>
    <s v="Stakeholder involvement and participation has been key to success"/>
    <s v="Privacy in mobile clinics is a major challenge, as this is very important considering the services being provided SRH &amp; GBV"/>
    <s v="The right approach in community sensitization is important in fostering acceptance especially of sensitive topics like GBV and protection"/>
    <m/>
    <m/>
    <m/>
    <n v="60919"/>
    <n v="0"/>
    <n v="0"/>
    <n v="0.91839984241369688"/>
    <s v=""/>
    <n v="55948"/>
    <n v="0"/>
    <n v="1"/>
    <n v="60919"/>
    <n v="0"/>
    <n v="0"/>
    <s v=""/>
    <n v="0"/>
    <n v="0"/>
    <s v=""/>
    <n v="1"/>
    <n v="60919"/>
    <n v="0"/>
    <n v="0"/>
    <s v=""/>
    <n v="0"/>
    <n v="0"/>
    <s v=""/>
    <s v=""/>
    <n v="0"/>
    <n v="0"/>
    <s v=""/>
    <s v="2. Sensitive"/>
    <s v="No marker score"/>
    <s v="No marker score"/>
    <s v="It tested new ways for fighting poverty, but did not measure results of innovation"/>
    <s v="Intensive advocacy"/>
    <s v="It took tested solutions to scale on its own"/>
  </r>
  <r>
    <x v="71"/>
    <x v="1"/>
    <m/>
    <s v="Provision of essential emergency relief supplies to displaced populations fleeing Aleppo"/>
    <s v="Syria"/>
    <s v="CFRATR0002"/>
    <s v="CARE France"/>
    <s v="Foundation"/>
    <s v="Other"/>
    <s v="CARE France"/>
    <m/>
    <m/>
    <m/>
    <m/>
    <m/>
    <m/>
    <m/>
    <m/>
    <m/>
    <m/>
    <m/>
    <m/>
    <m/>
    <m/>
    <m/>
    <m/>
    <m/>
    <m/>
    <m/>
    <m/>
    <m/>
    <m/>
    <m/>
    <m/>
    <m/>
    <m/>
    <m/>
    <m/>
    <m/>
    <m/>
    <m/>
    <m/>
    <m/>
    <m/>
    <m/>
    <m/>
    <m/>
    <m/>
    <m/>
    <m/>
    <m/>
    <m/>
    <m/>
    <m/>
    <m/>
    <d v="2016-12-15T00:00:00"/>
    <d v="2017-02-15T00:00:00"/>
    <m/>
    <s v="Humanitarian Food &amp; Nutrition Security and Resilience to Climate Change"/>
    <n v="34141"/>
    <s v="Chele DeGruccio"/>
    <s v="CARE Turkey Assistant Country Director - Programs (Former)"/>
    <s v="chele.degruccio@care.org"/>
    <m/>
    <m/>
    <m/>
    <s v="YES"/>
    <s v="NO"/>
    <s v="NO"/>
    <s v="To ensure vulnerable and newly-internally displaced populations affected by the crisis in Aleppo governorate were able to meet basic and essential needs, and have increased capacity to prepare for winter."/>
    <s v="Sub-National"/>
    <s v="Syria: Aleppo governorate, Jebel Saman district, Daret Azza and Arareb sub-districts"/>
    <s v="Newly arrived displaced people fleeing from Aleppo"/>
    <n v="731"/>
    <n v="714"/>
    <n v="1445"/>
    <m/>
    <m/>
    <m/>
    <m/>
    <m/>
    <n v="731"/>
    <n v="714"/>
    <n v="1445"/>
    <m/>
    <m/>
    <m/>
    <m/>
    <m/>
    <m/>
    <m/>
    <m/>
    <m/>
    <m/>
    <m/>
    <m/>
    <m/>
    <m/>
    <m/>
    <m/>
    <m/>
    <m/>
    <m/>
    <m/>
    <m/>
    <m/>
    <m/>
    <m/>
    <m/>
    <m/>
    <m/>
    <m/>
    <m/>
    <m/>
    <m/>
    <m/>
    <m/>
    <m/>
    <m/>
    <m/>
    <m/>
    <m/>
    <m/>
    <m/>
    <m/>
    <m/>
    <m/>
    <s v="YES"/>
    <n v="1445"/>
    <n v="0.51"/>
    <m/>
    <m/>
    <m/>
    <m/>
    <m/>
    <m/>
    <m/>
    <m/>
    <m/>
    <m/>
    <m/>
    <m/>
    <m/>
    <m/>
    <m/>
    <m/>
    <m/>
    <m/>
    <m/>
    <m/>
    <m/>
    <m/>
    <m/>
    <m/>
    <m/>
    <m/>
    <m/>
    <m/>
    <m/>
    <m/>
    <m/>
    <m/>
    <m/>
    <m/>
    <m/>
    <m/>
    <m/>
    <m/>
    <m/>
    <m/>
    <m/>
    <m/>
    <m/>
    <m/>
    <m/>
    <m/>
    <m/>
    <m/>
    <m/>
    <m/>
    <m/>
    <m/>
    <m/>
    <m/>
    <m/>
    <m/>
    <m/>
    <m/>
    <m/>
    <m/>
    <m/>
    <m/>
    <m/>
    <m/>
    <m/>
    <m/>
    <m/>
    <m/>
    <m/>
    <m/>
    <m/>
    <m/>
    <m/>
    <m/>
    <m/>
    <m/>
    <m/>
    <m/>
    <m/>
    <m/>
    <m/>
    <m/>
    <m/>
    <m/>
    <m/>
    <s v="NO"/>
    <m/>
    <m/>
    <s v="NO"/>
    <s v="NO"/>
    <m/>
    <m/>
    <m/>
    <x v="0"/>
    <s v="NO"/>
    <s v="YES"/>
    <s v="YES"/>
    <s v="YES"/>
    <s v="NO"/>
    <s v="NO"/>
    <s v="NO"/>
    <m/>
    <m/>
    <x v="0"/>
    <m/>
    <x v="3"/>
    <m/>
    <x v="2"/>
    <x v="0"/>
    <s v="YES"/>
    <x v="0"/>
    <x v="0"/>
    <x v="0"/>
    <x v="0"/>
    <n v="4"/>
    <x v="0"/>
    <x v="0"/>
    <x v="0"/>
    <x v="0"/>
    <x v="0"/>
    <x v="0"/>
    <n v="0"/>
    <x v="0"/>
    <x v="0"/>
    <x v="0"/>
    <x v="0"/>
    <x v="0"/>
    <n v="0"/>
    <x v="2"/>
    <x v="2"/>
    <n v="1"/>
    <s v="Local NGO(s)/CSO(s)"/>
    <m/>
    <m/>
    <x v="1"/>
    <m/>
    <s v="CARE Turkey, through its local implementing NGO partner, Ataa for Relief and Development (ATAA), distributed Winterization Kits to 250 households (HHs) – or 1445 beneficiaries – with the funding made available through the CARE France appeal. It has to be noted that the total number of the beneficiaries was slightly below the targeted figure of 1500, as the size of some households reached was less than the average standard household size of six persons on which responses are designed."/>
    <m/>
    <m/>
    <m/>
    <s v="Challenges encountered were primarily due to partner capacity issues related to inventory management, as well as long delays experienced at the border crossing with many other agencies and UN all sending trucks of aid supplies at same time thereby overwhelming border customs capacity. "/>
    <s v="Packaging of kits must be undertaken in consideration of transport requirements to ensure beneficiaries are able to carry the kits (i.e. boxes have handles etc.) as well as that there are volunteers or that the distribution teams can help carry kits for those who need assistance."/>
    <m/>
    <m/>
    <m/>
    <n v="1445"/>
    <n v="0"/>
    <n v="0"/>
    <n v="0.50588235294117645"/>
    <s v=""/>
    <n v="731"/>
    <n v="0"/>
    <n v="1"/>
    <n v="1445"/>
    <n v="0"/>
    <n v="0"/>
    <s v=""/>
    <n v="0"/>
    <n v="0"/>
    <s v=""/>
    <s v=""/>
    <n v="0"/>
    <n v="0"/>
    <s v=""/>
    <s v=""/>
    <n v="0"/>
    <n v="0"/>
    <s v=""/>
    <s v=""/>
    <n v="0"/>
    <n v="0"/>
    <s v=""/>
    <s v="2. Sensitive"/>
    <s v="No marker score"/>
    <s v="No marker score"/>
    <s v="It did not develop any specific innovation"/>
    <s v="Little or no advocacy"/>
    <s v="It took tested solutions to scale on its own"/>
  </r>
  <r>
    <x v="71"/>
    <x v="1"/>
    <m/>
    <s v="Rapid Emergency Assistance to Conflict Affected Households in Syria, Phase II (REACH-S II)"/>
    <s v="Syria"/>
    <s v="OFDATR0005"/>
    <s v="CARE USA"/>
    <s v="Government"/>
    <s v="Government - US"/>
    <s v="OFDA"/>
    <m/>
    <m/>
    <m/>
    <m/>
    <m/>
    <m/>
    <m/>
    <m/>
    <m/>
    <m/>
    <m/>
    <m/>
    <m/>
    <m/>
    <m/>
    <m/>
    <m/>
    <m/>
    <m/>
    <m/>
    <m/>
    <m/>
    <m/>
    <m/>
    <m/>
    <m/>
    <m/>
    <m/>
    <m/>
    <m/>
    <m/>
    <m/>
    <m/>
    <m/>
    <m/>
    <m/>
    <m/>
    <m/>
    <m/>
    <m/>
    <m/>
    <m/>
    <m/>
    <m/>
    <m/>
    <d v="2015-09-01T00:00:00"/>
    <d v="2016-08-31T00:00:00"/>
    <m/>
    <s v="Humanitarian Other"/>
    <n v="2996600"/>
    <s v="John Uniack Davis"/>
    <s v="CARE Turkey Country Director (former)"/>
    <s v="john.davis@care.org"/>
    <m/>
    <m/>
    <m/>
    <s v="YES"/>
    <s v="NO"/>
    <s v="NO"/>
    <s v="To relieve the immediate suffering of IDPs and host community members affected by conflict through timely and appropriate provision of health services, food security assistance and distribution of essential non-food items (NFis) to help families cope with winter."/>
    <s v="Sub-National"/>
    <s v="Syria: Idleb, Aleppo and Deir-ez Zor governorates"/>
    <s v="Sector 1: Health - Life-saving health services are provided to Syrian women, men, boys and girls affected by the conflict._x000a_Sector 2: Agriculture and Food Security - lDPs and host families have improved food security._x000a_Sector 3: Logistics Support and Relief Commodities - Vulnerable IDP and host community households have access to essential NFis to protect themselves from harsh winter conditions"/>
    <n v="13850"/>
    <n v="7247"/>
    <n v="21097"/>
    <m/>
    <m/>
    <m/>
    <m/>
    <m/>
    <n v="13850"/>
    <n v="7247"/>
    <n v="21097"/>
    <m/>
    <m/>
    <m/>
    <m/>
    <m/>
    <m/>
    <m/>
    <m/>
    <m/>
    <m/>
    <m/>
    <m/>
    <m/>
    <m/>
    <m/>
    <m/>
    <m/>
    <m/>
    <m/>
    <m/>
    <m/>
    <m/>
    <m/>
    <m/>
    <m/>
    <m/>
    <m/>
    <s v="YES"/>
    <n v="15560"/>
    <n v="0.62"/>
    <m/>
    <s v="Yes"/>
    <n v="2599"/>
    <n v="0.49"/>
    <m/>
    <m/>
    <m/>
    <m/>
    <m/>
    <s v="YES"/>
    <n v="2938"/>
    <n v="1"/>
    <m/>
    <m/>
    <m/>
    <m/>
    <m/>
    <m/>
    <m/>
    <m/>
    <m/>
    <m/>
    <m/>
    <m/>
    <m/>
    <m/>
    <m/>
    <m/>
    <m/>
    <m/>
    <m/>
    <m/>
    <m/>
    <m/>
    <m/>
    <m/>
    <m/>
    <m/>
    <m/>
    <m/>
    <m/>
    <m/>
    <m/>
    <m/>
    <m/>
    <m/>
    <m/>
    <m/>
    <m/>
    <m/>
    <m/>
    <m/>
    <m/>
    <m/>
    <m/>
    <m/>
    <m/>
    <m/>
    <m/>
    <m/>
    <m/>
    <m/>
    <m/>
    <m/>
    <m/>
    <m/>
    <m/>
    <m/>
    <m/>
    <m/>
    <m/>
    <m/>
    <m/>
    <m/>
    <m/>
    <m/>
    <m/>
    <m/>
    <m/>
    <m/>
    <m/>
    <m/>
    <m/>
    <m/>
    <m/>
    <m/>
    <m/>
    <m/>
    <m/>
    <m/>
    <m/>
    <m/>
    <m/>
    <m/>
    <m/>
    <m/>
    <m/>
    <m/>
    <m/>
    <m/>
    <m/>
    <s v="YES"/>
    <s v="October"/>
    <n v="2016"/>
    <s v="YES"/>
    <s v="NO"/>
    <m/>
    <m/>
    <m/>
    <x v="1"/>
    <s v="NO"/>
    <s v="NO"/>
    <s v="YES"/>
    <s v="YES"/>
    <s v="YES"/>
    <m/>
    <s v="NO"/>
    <m/>
    <m/>
    <x v="1"/>
    <s v="Vouchers"/>
    <x v="0"/>
    <m/>
    <x v="1"/>
    <x v="0"/>
    <s v="YES"/>
    <x v="0"/>
    <x v="0"/>
    <x v="0"/>
    <x v="0"/>
    <n v="4"/>
    <x v="0"/>
    <x v="0"/>
    <x v="0"/>
    <x v="0"/>
    <x v="0"/>
    <x v="0"/>
    <n v="0"/>
    <x v="0"/>
    <x v="0"/>
    <x v="0"/>
    <x v="0"/>
    <x v="0"/>
    <n v="0"/>
    <x v="2"/>
    <x v="2"/>
    <n v="3"/>
    <s v="Local NGO(s)/CSO(s)"/>
    <m/>
    <m/>
    <x v="2"/>
    <m/>
    <m/>
    <s v="Community planning"/>
    <s v="Use of vouchers"/>
    <s v="Flexibility and adoptability"/>
    <s v="Cost effectiveness was achieved through local purchasing of NFIs"/>
    <s v="Local authorities, advised beneficiaries to share the sheep they received with other vulnerable HH, though this was against the MoU with them.  The field team learnt that tit is important to emphasize against their practices and to do close monitoring after distribution to ensure that it does no happen again,"/>
    <s v="Working with partners who have a presence and  acceptance on the ground is very important"/>
    <m/>
    <m/>
    <n v="21097"/>
    <n v="0"/>
    <n v="0"/>
    <n v="0.65649144428117745"/>
    <s v=""/>
    <n v="13850"/>
    <n v="0"/>
    <n v="1"/>
    <n v="21097"/>
    <n v="0"/>
    <n v="0"/>
    <n v="1"/>
    <n v="2599"/>
    <n v="0"/>
    <n v="0"/>
    <n v="1"/>
    <n v="2938"/>
    <n v="0"/>
    <n v="0"/>
    <s v=""/>
    <n v="0"/>
    <n v="0"/>
    <s v=""/>
    <s v=""/>
    <n v="0"/>
    <n v="0"/>
    <s v=""/>
    <s v="2. Sensitive"/>
    <s v="No marker score"/>
    <s v="No marker score"/>
    <s v="It tested new ways for fighting poverty, but did not measure results of innovation"/>
    <s v="Moderate advocacy"/>
    <s v="It did not take tested solutions to scale"/>
  </r>
  <r>
    <x v="71"/>
    <x v="1"/>
    <m/>
    <s v="Rapid Emergency Assistance to Conflict Affected Households in Syria, Phase III (REACH-S III)"/>
    <s v="Syria"/>
    <s v="OFDATR0009"/>
    <s v="CARE USA"/>
    <s v="Government"/>
    <s v="Government - US"/>
    <s v="OFDA"/>
    <m/>
    <m/>
    <m/>
    <m/>
    <m/>
    <m/>
    <m/>
    <m/>
    <m/>
    <m/>
    <m/>
    <m/>
    <m/>
    <m/>
    <m/>
    <m/>
    <m/>
    <m/>
    <m/>
    <m/>
    <m/>
    <m/>
    <m/>
    <m/>
    <m/>
    <m/>
    <m/>
    <m/>
    <m/>
    <m/>
    <m/>
    <m/>
    <m/>
    <m/>
    <m/>
    <m/>
    <m/>
    <m/>
    <m/>
    <m/>
    <m/>
    <m/>
    <m/>
    <m/>
    <m/>
    <d v="2016-09-01T00:00:00"/>
    <d v="2017-08-31T00:00:00"/>
    <m/>
    <s v="Humanitarian Other"/>
    <n v="6032831"/>
    <s v="Stella Agnes ATITI"/>
    <s v="CARE Syria North Hub - OFDA &amp; UNFPA Program Manager"/>
    <s v="stella.atiti@care.org"/>
    <s v="Ayham Taha"/>
    <s v="Project Manager"/>
    <s v="ayham.taha@care.org"/>
    <s v="YES"/>
    <s v="NO"/>
    <s v="NO"/>
    <s v="To relieve the immediate suffering of IDPs and host community members affected by conflict through timely and appropriate provision of health services, food security assistance and distribution of essential non-food items (NFis) to help families cope with winter."/>
    <s v="Sub-National"/>
    <s v="Syria: Idleb and Aleppo governorates"/>
    <s v="Sector 1: Agriculture and Food Security (FS) - IDPs and host families have improved food security_x000a_Sector 2: Health - Life-saving health services are provided to Syrian women, men, girls and boys affected by the conflict by reinforcing and expanding available medical services across the continuum of health through trauma, primary and reproductive health care services._x000a_Sector 3: Logistics Support and Relief Commodities - IDPs have the necessary non-food items to meet their immediate winter NFI needs, without engaging in negative coping strategies._x000a__x000a_(390,600 conflict-affected individuals, including 182,728 women, 87,000 men and 120,872 children.)"/>
    <n v="143280"/>
    <n v="105929"/>
    <n v="249209"/>
    <m/>
    <m/>
    <m/>
    <m/>
    <m/>
    <n v="143280"/>
    <n v="105929"/>
    <n v="249209"/>
    <m/>
    <m/>
    <m/>
    <m/>
    <m/>
    <m/>
    <m/>
    <m/>
    <m/>
    <m/>
    <m/>
    <m/>
    <m/>
    <m/>
    <m/>
    <m/>
    <m/>
    <m/>
    <m/>
    <m/>
    <m/>
    <m/>
    <m/>
    <m/>
    <m/>
    <m/>
    <m/>
    <s v="YES"/>
    <n v="210929"/>
    <n v="0.59"/>
    <m/>
    <s v="Yes"/>
    <n v="11991"/>
    <n v="0.51"/>
    <m/>
    <m/>
    <m/>
    <m/>
    <m/>
    <m/>
    <m/>
    <m/>
    <m/>
    <s v="YES"/>
    <n v="26289"/>
    <n v="0.5"/>
    <m/>
    <m/>
    <m/>
    <m/>
    <m/>
    <m/>
    <m/>
    <m/>
    <m/>
    <m/>
    <m/>
    <m/>
    <m/>
    <m/>
    <m/>
    <m/>
    <m/>
    <m/>
    <m/>
    <m/>
    <m/>
    <m/>
    <m/>
    <m/>
    <m/>
    <m/>
    <m/>
    <m/>
    <m/>
    <m/>
    <m/>
    <m/>
    <m/>
    <m/>
    <m/>
    <m/>
    <m/>
    <m/>
    <m/>
    <m/>
    <m/>
    <m/>
    <m/>
    <m/>
    <m/>
    <m/>
    <m/>
    <m/>
    <m/>
    <m/>
    <m/>
    <m/>
    <m/>
    <m/>
    <m/>
    <m/>
    <m/>
    <m/>
    <m/>
    <m/>
    <m/>
    <m/>
    <m/>
    <m/>
    <m/>
    <m/>
    <m/>
    <m/>
    <m/>
    <m/>
    <m/>
    <m/>
    <m/>
    <m/>
    <m/>
    <m/>
    <m/>
    <m/>
    <m/>
    <m/>
    <m/>
    <m/>
    <m/>
    <m/>
    <m/>
    <s v="YES"/>
    <s v="January"/>
    <n v="2016"/>
    <s v="YES"/>
    <s v="YES"/>
    <s v="August"/>
    <n v="2017"/>
    <s v="Currently underway - inclusive of Reach SII and III"/>
    <x v="0"/>
    <m/>
    <m/>
    <s v="YES"/>
    <s v="YES"/>
    <s v="YES"/>
    <m/>
    <m/>
    <m/>
    <m/>
    <x v="2"/>
    <s v="Use of voucher instead of in-kind distributions, Advocating for women's inclusion,  adopting door to door distribution of NFIs to ensure that all genders can be reached and that their lives are not endangered."/>
    <x v="1"/>
    <s v="The project was implemented through partners, documenting lessons learnt and using them to streangthen approaches and modalities."/>
    <x v="1"/>
    <x v="0"/>
    <s v="YES"/>
    <x v="0"/>
    <x v="0"/>
    <x v="0"/>
    <x v="0"/>
    <n v="4"/>
    <x v="0"/>
    <x v="0"/>
    <x v="0"/>
    <x v="0"/>
    <x v="0"/>
    <x v="0"/>
    <n v="0"/>
    <x v="0"/>
    <x v="0"/>
    <x v="0"/>
    <x v="0"/>
    <x v="0"/>
    <n v="0"/>
    <x v="2"/>
    <x v="2"/>
    <n v="3"/>
    <s v="Local NGO(s)/CSO(s)"/>
    <m/>
    <m/>
    <x v="2"/>
    <m/>
    <s v="Gender sensitivity was incorporated into the project design and implementation of all activities throughout the project cycle wae done in a gender transformative manner.  Based on the fluidity of the context, the project ensured that all genders could be reached and participate without putting their lives at risk."/>
    <s v="Use of value vouchers to support agricultural production, livestock and winter kits"/>
    <s v="Provision of emergency health services"/>
    <s v="Community and other stakeholders engagement throughout the project cycle"/>
    <s v="Having a contingency plan for unexpected increased number of beneficiaries or having to relocated health facilities when security deteriorates in location of a health facility."/>
    <s v="It is possible to continued providing humanitarian aid amid uncertain and fluid contexts"/>
    <s v="Third party monitoring and monitoring consultants are very important in remote management as they help to validate information provided by partners from a different angle"/>
    <m/>
    <m/>
    <n v="249209"/>
    <n v="0"/>
    <n v="0"/>
    <n v="0.57493910733560982"/>
    <s v=""/>
    <n v="143280"/>
    <n v="0"/>
    <n v="1"/>
    <n v="249209"/>
    <n v="0"/>
    <n v="0"/>
    <n v="1"/>
    <n v="11991"/>
    <n v="0"/>
    <n v="0"/>
    <s v=""/>
    <n v="0"/>
    <n v="0"/>
    <s v=""/>
    <s v=""/>
    <n v="0"/>
    <n v="0"/>
    <s v=""/>
    <s v=""/>
    <n v="0"/>
    <n v="0"/>
    <s v=""/>
    <s v="2. Sensitive"/>
    <s v="No marker score"/>
    <s v="No marker score"/>
    <s v="It tested new ways for fighting poverty and measured results of innovation"/>
    <s v="Little or no advocacy"/>
    <s v="It linked and worked with strategic alliances and partners to take tested and effective solutions to scale"/>
  </r>
  <r>
    <x v="71"/>
    <x v="1"/>
    <m/>
    <s v="Rapid Response to Aleppo Emergency"/>
    <s v="Syria"/>
    <s v="CAUSTR0007"/>
    <s v="CARE Australia"/>
    <s v="Foundation"/>
    <s v="Other"/>
    <s v="CARE Australia"/>
    <m/>
    <m/>
    <m/>
    <m/>
    <m/>
    <m/>
    <m/>
    <m/>
    <m/>
    <m/>
    <m/>
    <m/>
    <m/>
    <m/>
    <m/>
    <m/>
    <m/>
    <m/>
    <m/>
    <m/>
    <m/>
    <m/>
    <m/>
    <m/>
    <m/>
    <m/>
    <m/>
    <m/>
    <m/>
    <m/>
    <m/>
    <m/>
    <m/>
    <m/>
    <m/>
    <m/>
    <m/>
    <m/>
    <m/>
    <m/>
    <m/>
    <m/>
    <m/>
    <m/>
    <m/>
    <d v="2016-08-15T00:00:00"/>
    <d v="2017-02-28T00:00:00"/>
    <m/>
    <s v="Humanitarian Food &amp; Nutrition Security and Resilience to Climate Change"/>
    <n v="95816"/>
    <s v="Maithree Abeyrathna"/>
    <s v="CARE Turkey - ECHO &amp; Dutch MoFA Program Manager (Former)"/>
    <s v="Maithree.abeyrathna@care.org"/>
    <m/>
    <m/>
    <m/>
    <s v="YES"/>
    <s v="NO"/>
    <s v="NO"/>
    <s v="3,600 recently displaced persons are better able to meet basic needs through increased access to essential food supplies."/>
    <s v="Sub-National"/>
    <s v="Syria: Aleppo governorate, Menbij"/>
    <s v="Recently displaced persons"/>
    <n v="2193"/>
    <n v="3369"/>
    <n v="5562"/>
    <m/>
    <m/>
    <m/>
    <m/>
    <m/>
    <n v="3369"/>
    <n v="2193"/>
    <n v="5562"/>
    <m/>
    <m/>
    <m/>
    <m/>
    <m/>
    <m/>
    <m/>
    <m/>
    <m/>
    <m/>
    <m/>
    <m/>
    <m/>
    <m/>
    <m/>
    <s v="YES"/>
    <n v="5562"/>
    <n v="0.39"/>
    <m/>
    <m/>
    <m/>
    <m/>
    <m/>
    <m/>
    <m/>
    <m/>
    <m/>
    <m/>
    <m/>
    <m/>
    <m/>
    <m/>
    <m/>
    <m/>
    <m/>
    <m/>
    <m/>
    <m/>
    <m/>
    <m/>
    <m/>
    <m/>
    <m/>
    <m/>
    <m/>
    <m/>
    <m/>
    <m/>
    <m/>
    <m/>
    <m/>
    <m/>
    <m/>
    <m/>
    <m/>
    <m/>
    <m/>
    <m/>
    <m/>
    <m/>
    <m/>
    <m/>
    <m/>
    <m/>
    <m/>
    <m/>
    <m/>
    <m/>
    <m/>
    <m/>
    <m/>
    <m/>
    <m/>
    <m/>
    <m/>
    <m/>
    <m/>
    <m/>
    <m/>
    <m/>
    <m/>
    <m/>
    <m/>
    <m/>
    <m/>
    <m/>
    <m/>
    <m/>
    <m/>
    <m/>
    <m/>
    <m/>
    <m/>
    <m/>
    <m/>
    <m/>
    <m/>
    <m/>
    <m/>
    <m/>
    <m/>
    <m/>
    <m/>
    <m/>
    <m/>
    <m/>
    <m/>
    <m/>
    <m/>
    <m/>
    <m/>
    <m/>
    <m/>
    <m/>
    <m/>
    <m/>
    <m/>
    <m/>
    <m/>
    <m/>
    <m/>
    <m/>
    <m/>
    <m/>
    <m/>
    <m/>
    <m/>
    <m/>
    <m/>
    <m/>
    <m/>
    <s v="NO"/>
    <m/>
    <m/>
    <s v="NO"/>
    <s v="NO"/>
    <m/>
    <m/>
    <m/>
    <x v="0"/>
    <s v="NO"/>
    <s v="YES"/>
    <s v="YES"/>
    <s v="YES"/>
    <s v="NO"/>
    <s v="NO"/>
    <s v="NO"/>
    <m/>
    <m/>
    <x v="0"/>
    <m/>
    <x v="3"/>
    <m/>
    <x v="1"/>
    <x v="0"/>
    <s v="YES"/>
    <x v="1"/>
    <x v="1"/>
    <x v="0"/>
    <x v="1"/>
    <n v="2"/>
    <x v="0"/>
    <x v="0"/>
    <x v="0"/>
    <x v="0"/>
    <x v="0"/>
    <x v="0"/>
    <n v="0"/>
    <x v="0"/>
    <x v="0"/>
    <x v="0"/>
    <x v="0"/>
    <x v="0"/>
    <n v="0"/>
    <x v="2"/>
    <x v="2"/>
    <n v="1"/>
    <s v="Local NGO(s)/CSO(s)"/>
    <m/>
    <m/>
    <x v="1"/>
    <m/>
    <s v="The project’s objective was to improve the food security for newly displaced people from the Aleppo crisis in Membij district, Aleppo governorate by providing essential food baskets for in-kind distribution to 1,080 IDP households.  CARE through its local implementing NGO Syrian partner Khayr distributed 2,155 Food baskets to 1,080 households or 7,094 beneficiaries._x000a__x000a_The procurement process for the food baskets commenced in early September in order to quickly respond and provide support to IDPs from Aleppo City. However, there were various procurement challenges faced by  Khayr which delayed the delivery of these food baskets. First, due to border closures the only way to reach Membij was through Al Hassakah governorate which increased risk and potential for diversion of the aid. Therefore,  local procurement was agreed by CARE and Khayr as best option to mitigate such risks, however  posed alternate  challenges to the implementation plan: _x000a_1- Lack of items availability the local market. _x000a_2- Limited number of vendors willing to deliver the food baskets to Membij._x000a_3- Changes in the tax amounts levied on the food items, resulting in  price fluctuations  and resulting in invalidity of the vendor quotations._x000a__x000a_These aforementioned realities impacted implementation plan as the final selected approved vendor  was ultimately unable  to fulfil the contract due to the market price fluctuations thus delaying the contracting. _x000a__x000a_However, after reconvening the procurement committee the vendor contract was finally issued and the delivery of items proceeded  from 19- 22 October 2016."/>
    <m/>
    <m/>
    <m/>
    <s v="A Rapid Market Assessment needs to be conducted before initiating  procurement processes. Whenever there is an emergency response  CARE needs to work closely with partner organizations to apply  emergency procurement procedures which are adaptable and flexible to the changing market conditions inside Syria."/>
    <s v="In order to avoid delays in the rapid procurement processes, new contractual clauses were added to  local procurement contracts to decrease the bargaining power of supplier as per the following: _x000a_1- Vendors can bid for the contract only if the designated items are available within the proximity  of the vendors’ location._x000a_2- In case of failure to supply the purchased items, the vendor is subject to pay 1% of the total contract value as a penalty."/>
    <s v="Packaging of kits must be undertaken in consideration of transport requirements to ensure beneficiaries are able to carry the kits (i.e. boxes have handles etc.) as well as that there are volunteers or that the distribution teams can help carry kits for those who need assistance."/>
    <m/>
    <m/>
    <n v="5562"/>
    <n v="0"/>
    <n v="0"/>
    <n v="0.60571736785329022"/>
    <s v=""/>
    <n v="3369"/>
    <n v="0"/>
    <n v="1"/>
    <n v="5562"/>
    <n v="0"/>
    <n v="0"/>
    <n v="1"/>
    <n v="5562"/>
    <n v="0"/>
    <n v="0"/>
    <s v=""/>
    <n v="0"/>
    <n v="0"/>
    <s v=""/>
    <s v=""/>
    <n v="0"/>
    <n v="0"/>
    <s v=""/>
    <s v=""/>
    <n v="0"/>
    <n v="0"/>
    <s v=""/>
    <s v="1. Neutral"/>
    <s v="No marker score"/>
    <s v="No marker score"/>
    <s v="It did not develop any specific innovation"/>
    <s v="Little or no advocacy"/>
    <s v="It took tested solutions to scale on its own"/>
  </r>
  <r>
    <x v="71"/>
    <x v="1"/>
    <m/>
    <s v="Restoring sustained access to lifesaving water supplies for underserved communities in rural Hassakeh"/>
    <s v="Syria"/>
    <s v="OCHATR0001"/>
    <s v="CARE USA"/>
    <s v="Multilateral agency"/>
    <s v="UN - United Nations agencies/offices"/>
    <s v="UN OCHA"/>
    <m/>
    <m/>
    <m/>
    <m/>
    <m/>
    <m/>
    <m/>
    <m/>
    <m/>
    <m/>
    <m/>
    <m/>
    <m/>
    <m/>
    <m/>
    <m/>
    <m/>
    <m/>
    <m/>
    <m/>
    <m/>
    <m/>
    <m/>
    <m/>
    <m/>
    <m/>
    <m/>
    <m/>
    <m/>
    <m/>
    <m/>
    <m/>
    <m/>
    <m/>
    <m/>
    <m/>
    <m/>
    <m/>
    <m/>
    <m/>
    <m/>
    <m/>
    <m/>
    <m/>
    <m/>
    <d v="2015-11-01T00:00:00"/>
    <d v="2016-05-31T00:00:00"/>
    <d v="2017-03-03T00:00:00"/>
    <s v="Humanitarian Access to and Control over Economic Resources"/>
    <n v="555721.71"/>
    <s v="Mazen Alhusseini"/>
    <s v="Project Manager (Former)"/>
    <s v="Mazen.Alhusseini@care.org"/>
    <s v="ATITI Stella Agnes"/>
    <s v="Program Manager"/>
    <s v="stella.atiti@care.org"/>
    <s v="YES"/>
    <s v="NO"/>
    <s v="NO"/>
    <s v="Restoring sustained access to lifesaving water supplies for underserved communities in rural Hassakeh"/>
    <s v="Sub-National"/>
    <s v="Syria: Al-Hasakeh &amp; Ar Raqqa governorates"/>
    <s v="The proposed project will rehabilitate existing community water infrastructure that will improve 218,398 individuals' (IDP and host) access to a sustained, safe and adequate water supply in 13 towns and villages, the majority of which (10) are in Ras Al Ain sub-district (Ras Al Ain district, Al Hasakeh Governorate) and the remaining 3 are in Suluk sub-district (Tell Abiad district, Ar Raqqa governorate). The project will work with local institutions responsible for WASH services and representatives of the communities using these services in the target locations. Primarily, activities will include the repair of two sewage systems (to prevent the contamination of water sources) and the installation of generators for the functioning of water treatment plants to improve existing community water distribution systems. To ensure sustainability, the project will provide training to local WASH engineers from Local Councils, who will be responsible for setting up a user fee collection system to cover future Operations and Maintenance costs (O&amp;M). To assist 12 out of the 13 target villages (those where Water Treatment Plants are to be rehabilitated) with O&amp;M, the project will support the local authorities in covering such costs for 3 months."/>
    <n v="15664"/>
    <n v="11136"/>
    <n v="26800"/>
    <m/>
    <m/>
    <m/>
    <m/>
    <m/>
    <n v="15664"/>
    <n v="11136"/>
    <n v="26800"/>
    <m/>
    <m/>
    <m/>
    <m/>
    <m/>
    <m/>
    <m/>
    <m/>
    <m/>
    <m/>
    <m/>
    <m/>
    <m/>
    <m/>
    <m/>
    <m/>
    <m/>
    <m/>
    <m/>
    <m/>
    <m/>
    <m/>
    <m/>
    <m/>
    <m/>
    <m/>
    <m/>
    <m/>
    <m/>
    <m/>
    <m/>
    <m/>
    <m/>
    <m/>
    <m/>
    <m/>
    <m/>
    <m/>
    <m/>
    <m/>
    <m/>
    <m/>
    <m/>
    <m/>
    <m/>
    <m/>
    <m/>
    <s v="YES"/>
    <n v="26800"/>
    <n v="0.57999999999999996"/>
    <m/>
    <m/>
    <m/>
    <m/>
    <m/>
    <m/>
    <m/>
    <m/>
    <m/>
    <m/>
    <m/>
    <m/>
    <m/>
    <m/>
    <m/>
    <m/>
    <m/>
    <m/>
    <m/>
    <m/>
    <m/>
    <m/>
    <m/>
    <m/>
    <m/>
    <m/>
    <m/>
    <m/>
    <m/>
    <m/>
    <m/>
    <m/>
    <m/>
    <m/>
    <m/>
    <m/>
    <m/>
    <m/>
    <m/>
    <m/>
    <m/>
    <m/>
    <m/>
    <m/>
    <m/>
    <m/>
    <m/>
    <m/>
    <m/>
    <m/>
    <m/>
    <m/>
    <m/>
    <m/>
    <m/>
    <m/>
    <m/>
    <m/>
    <m/>
    <m/>
    <m/>
    <m/>
    <m/>
    <m/>
    <m/>
    <m/>
    <m/>
    <m/>
    <m/>
    <m/>
    <m/>
    <m/>
    <m/>
    <m/>
    <m/>
    <m/>
    <m/>
    <m/>
    <m/>
    <m/>
    <m/>
    <s v="NO"/>
    <m/>
    <m/>
    <s v="NO"/>
    <s v="NO"/>
    <m/>
    <m/>
    <s v="N/A"/>
    <x v="1"/>
    <m/>
    <s v="YES"/>
    <s v="YES"/>
    <s v="YES"/>
    <s v="YES"/>
    <m/>
    <s v="NO"/>
    <m/>
    <m/>
    <x v="0"/>
    <m/>
    <x v="0"/>
    <m/>
    <x v="1"/>
    <x v="0"/>
    <s v="YES"/>
    <x v="0"/>
    <x v="0"/>
    <x v="0"/>
    <x v="0"/>
    <n v="4"/>
    <x v="0"/>
    <x v="0"/>
    <x v="0"/>
    <x v="0"/>
    <x v="0"/>
    <x v="0"/>
    <n v="0"/>
    <x v="0"/>
    <x v="0"/>
    <x v="0"/>
    <x v="0"/>
    <x v="0"/>
    <n v="0"/>
    <x v="2"/>
    <x v="2"/>
    <n v="1"/>
    <s v="Local NGO(s)/CSO(s)"/>
    <m/>
    <m/>
    <x v="2"/>
    <s v="Training of water committee members, empowering local leaders to manage the water supply stations"/>
    <s v="The project had to adjust its timeline several times due to unforeseen challenges"/>
    <s v="Community engagement in the management of the water stations and networks"/>
    <s v="Putting in place a cost recovery system"/>
    <s v="Negotiation skills with the different factions in the operational areas"/>
    <s v="Transporting equipment/goods into certain geographical areas held by certain factions is a very big challenge"/>
    <s v="Rehabilitation water supplies has a far reaching impact to a large population"/>
    <s v="While planning a project allow contingency time for the unexpected"/>
    <m/>
    <m/>
    <n v="26800"/>
    <n v="0"/>
    <n v="0"/>
    <n v="0.58447761194029846"/>
    <s v=""/>
    <n v="15664"/>
    <n v="0"/>
    <n v="1"/>
    <n v="26800"/>
    <n v="0"/>
    <n v="0"/>
    <s v=""/>
    <n v="0"/>
    <n v="0"/>
    <s v=""/>
    <s v=""/>
    <n v="0"/>
    <n v="0"/>
    <s v=""/>
    <s v=""/>
    <n v="0"/>
    <n v="0"/>
    <s v=""/>
    <s v=""/>
    <n v="0"/>
    <n v="0"/>
    <s v=""/>
    <s v="2. Sensitive"/>
    <s v="No marker score"/>
    <s v="No marker score"/>
    <s v="It did not develop any specific innovation"/>
    <s v="Moderate advocacy"/>
    <s v="It did not take tested solutions to scale"/>
  </r>
  <r>
    <x v="71"/>
    <x v="1"/>
    <m/>
    <s v="Strengthening the Resilience of Syrian Women Affected by the Crisis"/>
    <s v="Syria"/>
    <s v="CCUKLB0004"/>
    <s v="CARE UK"/>
    <s v="Other"/>
    <s v="Other"/>
    <s v="CARE UK"/>
    <m/>
    <m/>
    <m/>
    <m/>
    <m/>
    <m/>
    <m/>
    <m/>
    <m/>
    <m/>
    <m/>
    <m/>
    <m/>
    <m/>
    <m/>
    <m/>
    <m/>
    <m/>
    <m/>
    <m/>
    <m/>
    <m/>
    <m/>
    <m/>
    <m/>
    <m/>
    <m/>
    <m/>
    <m/>
    <m/>
    <m/>
    <m/>
    <m/>
    <m/>
    <m/>
    <m/>
    <m/>
    <m/>
    <m/>
    <m/>
    <m/>
    <m/>
    <m/>
    <m/>
    <m/>
    <d v="2016-07-01T00:00:00"/>
    <d v="2016-09-30T00:00:00"/>
    <m/>
    <s v="Humanitarian Other"/>
    <n v="66500"/>
    <m/>
    <m/>
    <m/>
    <m/>
    <m/>
    <m/>
    <s v="YES"/>
    <s v="NO"/>
    <s v="NO"/>
    <s v="Provide PSS, Educational Courses and Vocational Training to Vulnerable Women in order to enable them to care for themselves, their families and communities"/>
    <s v="Sub-National"/>
    <s v="Syria, Rural Damascus, Rural Damascus and Duma Districts"/>
    <m/>
    <n v="540"/>
    <n v="0"/>
    <n v="540"/>
    <n v="0"/>
    <n v="0"/>
    <n v="0"/>
    <s v="Direct participants are individual that directly benefit from the project's actions, such as recipients of food assistance, and winterization kits assistance. Indirect participants are the family members, community as they are impacted in some way by the project (e.g. adopting an innovation  as sustainable heating materials which they learned from a direct participant)"/>
    <m/>
    <n v="1012"/>
    <m/>
    <n v="1012"/>
    <m/>
    <m/>
    <m/>
    <s v="NO"/>
    <m/>
    <m/>
    <m/>
    <s v="NO"/>
    <m/>
    <m/>
    <m/>
    <s v="YES"/>
    <n v="1012"/>
    <n v="1"/>
    <m/>
    <s v="NO"/>
    <m/>
    <m/>
    <m/>
    <s v="NO"/>
    <m/>
    <m/>
    <m/>
    <s v="NO"/>
    <m/>
    <m/>
    <m/>
    <s v="NO"/>
    <m/>
    <m/>
    <m/>
    <s v="NO"/>
    <m/>
    <m/>
    <m/>
    <s v="YES"/>
    <n v="1012"/>
    <n v="1"/>
    <m/>
    <s v="NO"/>
    <m/>
    <m/>
    <m/>
    <s v="NO"/>
    <m/>
    <m/>
    <m/>
    <s v="NO"/>
    <m/>
    <m/>
    <m/>
    <m/>
    <m/>
    <m/>
    <m/>
    <m/>
    <m/>
    <m/>
    <m/>
    <m/>
    <m/>
    <m/>
    <m/>
    <m/>
    <m/>
    <m/>
    <m/>
    <m/>
    <m/>
    <m/>
    <m/>
    <m/>
    <m/>
    <m/>
    <m/>
    <m/>
    <m/>
    <m/>
    <m/>
    <m/>
    <m/>
    <m/>
    <m/>
    <m/>
    <m/>
    <m/>
    <m/>
    <m/>
    <m/>
    <m/>
    <m/>
    <m/>
    <m/>
    <m/>
    <m/>
    <m/>
    <m/>
    <m/>
    <m/>
    <m/>
    <m/>
    <m/>
    <m/>
    <m/>
    <m/>
    <m/>
    <m/>
    <m/>
    <m/>
    <m/>
    <m/>
    <m/>
    <m/>
    <m/>
    <m/>
    <m/>
    <m/>
    <m/>
    <m/>
    <m/>
    <m/>
    <m/>
    <m/>
    <m/>
    <m/>
    <m/>
    <m/>
    <m/>
    <m/>
    <m/>
    <m/>
    <s v="NO"/>
    <m/>
    <m/>
    <m/>
    <s v="NO"/>
    <m/>
    <m/>
    <m/>
    <x v="0"/>
    <m/>
    <m/>
    <m/>
    <m/>
    <m/>
    <m/>
    <m/>
    <m/>
    <m/>
    <x v="1"/>
    <m/>
    <x v="1"/>
    <m/>
    <x v="0"/>
    <x v="0"/>
    <s v="YES"/>
    <x v="0"/>
    <x v="0"/>
    <x v="0"/>
    <x v="0"/>
    <n v="4"/>
    <x v="1"/>
    <x v="1"/>
    <x v="1"/>
    <x v="1"/>
    <x v="1"/>
    <x v="1"/>
    <n v="4"/>
    <x v="1"/>
    <x v="1"/>
    <x v="1"/>
    <x v="1"/>
    <x v="1"/>
    <n v="3"/>
    <x v="1"/>
    <x v="4"/>
    <n v="2"/>
    <s v="Local NGO(s)/CSO(s)"/>
    <s v="Local NGO(s)/CSO(s)"/>
    <m/>
    <x v="0"/>
    <m/>
    <m/>
    <m/>
    <m/>
    <m/>
    <m/>
    <m/>
    <m/>
    <m/>
    <m/>
    <n v="1012"/>
    <n v="0"/>
    <n v="0"/>
    <n v="1"/>
    <s v=""/>
    <n v="1012"/>
    <n v="0"/>
    <n v="1"/>
    <n v="1012"/>
    <n v="0"/>
    <n v="0"/>
    <s v=""/>
    <n v="0"/>
    <n v="0"/>
    <s v=""/>
    <s v=""/>
    <n v="0"/>
    <n v="0"/>
    <s v=""/>
    <s v=""/>
    <n v="0"/>
    <n v="0"/>
    <s v=""/>
    <s v=""/>
    <n v="0"/>
    <n v="0"/>
    <s v=""/>
    <s v="2. Sensitive"/>
    <s v="2. Accommodating"/>
    <s v="2. Sensitive"/>
    <s v="It tested new ways for fighting poverty, but did not measure results of innovation"/>
    <s v="Little or no advocacy"/>
    <s v="It linked and worked with strategic alliances and partners to take tested and effective solutions to scale"/>
  </r>
  <r>
    <x v="71"/>
    <x v="1"/>
    <m/>
    <s v="Supporting Vulnerable Families to Cope with the Winter"/>
    <s v="Syria"/>
    <s v="CLDSSY0001"/>
    <s v="CARE USA"/>
    <m/>
    <s v="Other"/>
    <s v="Latter-Day Saint Charities"/>
    <m/>
    <m/>
    <m/>
    <m/>
    <m/>
    <m/>
    <m/>
    <m/>
    <m/>
    <m/>
    <m/>
    <m/>
    <m/>
    <m/>
    <m/>
    <m/>
    <m/>
    <m/>
    <m/>
    <m/>
    <m/>
    <m/>
    <m/>
    <m/>
    <m/>
    <m/>
    <m/>
    <m/>
    <m/>
    <m/>
    <m/>
    <m/>
    <m/>
    <m/>
    <m/>
    <m/>
    <m/>
    <m/>
    <m/>
    <m/>
    <m/>
    <m/>
    <m/>
    <m/>
    <m/>
    <d v="2016-11-01T00:00:00"/>
    <d v="2017-04-30T00:00:00"/>
    <m/>
    <s v="Humanitarian Food &amp; Nutrition Security and Resilience to Climate Change"/>
    <n v="259739"/>
    <s v="Malgorzata Markert"/>
    <s v="Area Manager"/>
    <s v="markert@care.de"/>
    <m/>
    <m/>
    <m/>
    <s v="YES"/>
    <s v="YES"/>
    <s v="YES"/>
    <s v="The project aims to support 600 vulnerable families in hard-to-reach areas in Rural Damascus and Homs governorates during the cold winter season"/>
    <s v="Sub-National"/>
    <s v="Syria, Rural Damascus, Eastern Ghouta and Jiroud Syria, Homs, Northern Rural Homs, Tal Dahab and Al Houla"/>
    <s v="IDPs, including some who are recently displaced; Host families, including those hosting more than one displaced family; Families living in poorly insulated and poorly equipped shelters, such as unfinished buildings, makeshift dwellings, tents and collective shelters; Families with a high number of dependents (children, elderly); and Families that have members with special needs (injured, disabled, chronically ill, pregnant or lactating women, infants)."/>
    <n v="1800"/>
    <n v="1200"/>
    <n v="3000"/>
    <n v="0"/>
    <n v="0"/>
    <n v="0"/>
    <s v="The direct participants are the receivers of the warm kits. There are no indirect participants since the kits were composed of winter cloths."/>
    <m/>
    <n v="2702"/>
    <n v="1231"/>
    <n v="3933"/>
    <n v="0"/>
    <n v="0"/>
    <n v="0"/>
    <s v="NO"/>
    <m/>
    <m/>
    <m/>
    <s v="NO"/>
    <m/>
    <m/>
    <m/>
    <s v="NO"/>
    <m/>
    <m/>
    <m/>
    <s v="NO"/>
    <m/>
    <m/>
    <m/>
    <s v="NO"/>
    <m/>
    <m/>
    <m/>
    <s v="NO"/>
    <m/>
    <m/>
    <m/>
    <s v="NO"/>
    <m/>
    <m/>
    <m/>
    <s v="NO"/>
    <m/>
    <m/>
    <m/>
    <s v="NO"/>
    <m/>
    <m/>
    <m/>
    <s v="NO"/>
    <m/>
    <m/>
    <m/>
    <s v="NO"/>
    <m/>
    <m/>
    <m/>
    <s v="NO"/>
    <m/>
    <m/>
    <m/>
    <s v="Winterization"/>
    <s v="YES"/>
    <n v="3933"/>
    <n v="0.68700000000000006"/>
    <m/>
    <n v="7000"/>
    <n v="3248"/>
    <n v="10248"/>
    <m/>
    <m/>
    <m/>
    <m/>
    <m/>
    <m/>
    <m/>
    <m/>
    <m/>
    <m/>
    <m/>
    <m/>
    <m/>
    <m/>
    <m/>
    <m/>
    <m/>
    <m/>
    <m/>
    <m/>
    <m/>
    <m/>
    <m/>
    <m/>
    <m/>
    <m/>
    <m/>
    <m/>
    <m/>
    <m/>
    <m/>
    <m/>
    <m/>
    <m/>
    <m/>
    <m/>
    <m/>
    <m/>
    <m/>
    <m/>
    <m/>
    <m/>
    <m/>
    <m/>
    <m/>
    <m/>
    <m/>
    <m/>
    <m/>
    <m/>
    <m/>
    <m/>
    <m/>
    <m/>
    <m/>
    <m/>
    <m/>
    <m/>
    <m/>
    <m/>
    <m/>
    <m/>
    <m/>
    <m/>
    <m/>
    <m/>
    <m/>
    <m/>
    <m/>
    <m/>
    <m/>
    <m/>
    <s v="YES"/>
    <s v="March"/>
    <n v="2017"/>
    <s v="YES"/>
    <s v="NO"/>
    <m/>
    <m/>
    <m/>
    <x v="0"/>
    <m/>
    <m/>
    <m/>
    <m/>
    <m/>
    <m/>
    <m/>
    <m/>
    <m/>
    <x v="1"/>
    <m/>
    <x v="1"/>
    <m/>
    <x v="0"/>
    <x v="0"/>
    <s v="YES"/>
    <x v="0"/>
    <x v="0"/>
    <x v="0"/>
    <x v="0"/>
    <n v="4"/>
    <x v="1"/>
    <x v="1"/>
    <x v="1"/>
    <x v="1"/>
    <x v="1"/>
    <x v="1"/>
    <n v="4"/>
    <x v="1"/>
    <x v="1"/>
    <x v="2"/>
    <x v="2"/>
    <x v="3"/>
    <n v="1"/>
    <x v="0"/>
    <x v="2"/>
    <n v="3"/>
    <s v="Local NGO(s)/CSO(s)"/>
    <s v="Local NGO(s)/CSO(s)"/>
    <s v="Local NGO(s)/CSO(s)"/>
    <x v="1"/>
    <m/>
    <s v="Adaptation of distribution sites and review of beneficiary selection criteria to include a broader and more mixed target group"/>
    <s v="Sourcing winterization items from local workshops to generate income opportunities for vulnerable people."/>
    <m/>
    <m/>
    <m/>
    <m/>
    <m/>
    <m/>
    <m/>
    <n v="10248"/>
    <n v="0"/>
    <n v="0"/>
    <n v="0.68306010928961747"/>
    <s v=""/>
    <n v="7000"/>
    <n v="0"/>
    <n v="1"/>
    <n v="3933"/>
    <n v="0"/>
    <n v="0"/>
    <s v=""/>
    <n v="0"/>
    <n v="0"/>
    <s v=""/>
    <s v=""/>
    <n v="0"/>
    <n v="0"/>
    <s v=""/>
    <s v=""/>
    <n v="0"/>
    <n v="0"/>
    <s v=""/>
    <s v=""/>
    <n v="0"/>
    <n v="0"/>
    <s v=""/>
    <s v="2. Sensitive"/>
    <s v="2. Accommodating"/>
    <s v="1. Neutral"/>
    <s v="It tested new ways for fighting poverty, but did not measure results of innovation"/>
    <s v="Little or no advocacy"/>
    <s v="It linked and worked with strategic alliances and partners to take tested and effective solutions to scale"/>
  </r>
  <r>
    <x v="71"/>
    <x v="1"/>
    <m/>
    <s v="Syria Crisis: Emergency Response in Aleppo"/>
    <s v="Syria"/>
    <s v="CCHETR0002"/>
    <s v="CI Secretariat"/>
    <s v="Foundation"/>
    <s v="Other"/>
    <s v="Cooperative for Assistance and Relief Everywhere International Secretariat"/>
    <s v="APERTR0002"/>
    <s v="CI Secretariat"/>
    <s v="Foundation"/>
    <s v="Other"/>
    <s v="CI Secretariat"/>
    <m/>
    <m/>
    <m/>
    <m/>
    <m/>
    <m/>
    <m/>
    <m/>
    <m/>
    <m/>
    <m/>
    <m/>
    <m/>
    <m/>
    <m/>
    <m/>
    <m/>
    <m/>
    <m/>
    <m/>
    <m/>
    <m/>
    <m/>
    <m/>
    <m/>
    <m/>
    <m/>
    <m/>
    <m/>
    <m/>
    <m/>
    <m/>
    <m/>
    <m/>
    <m/>
    <m/>
    <m/>
    <m/>
    <m/>
    <m/>
    <d v="2016-08-25T00:00:00"/>
    <d v="2016-11-25T00:00:00"/>
    <m/>
    <s v="Humanitarian Food &amp; Nutrition Security and Resilience to Climate Change"/>
    <n v="126000"/>
    <s v="Chele DeGruccio"/>
    <s v="CARE Turkey Assistant Country Director - Programs (Former)"/>
    <s v="chele.degruccio@care.org"/>
    <s v="Dionne Wong"/>
    <s v="Information Manager - Regional Syria Response Team (Former)"/>
    <s v="dwong@care.org"/>
    <s v="YES"/>
    <s v="NO"/>
    <s v="NO"/>
    <s v="To provide life-saving humanitarian assistance for underserved and besieged to vulnerable populations affected by armed conflict in Aleppo including women-head, child-head households, the elderly, people living with disabilities, households with no income and those in collective shelters; to address acute and urgent WASH needs of vulnerable populations in Aleppo"/>
    <s v="Sub-National"/>
    <s v="Syria: Aleppo governorate, Jebel Saman district, Daret Azza sub-district"/>
    <s v="The targeted beneficiaries were host communities 90% and IDPs 10% inside Eastern Aleppo city. Most of the IDPS lost their incomes and their way to earn money in the same areas because of the besieging and shelling, others have moved from nearby areas (Idleb Governorate, Western Aleppo City and some small villages) because of the intensive fighting there and due to some family relationships."/>
    <n v="4455"/>
    <n v="4343"/>
    <n v="8798"/>
    <m/>
    <m/>
    <m/>
    <m/>
    <m/>
    <n v="4455"/>
    <n v="4343"/>
    <n v="8798"/>
    <m/>
    <m/>
    <m/>
    <m/>
    <m/>
    <m/>
    <m/>
    <m/>
    <m/>
    <m/>
    <m/>
    <m/>
    <m/>
    <m/>
    <m/>
    <s v="YES"/>
    <n v="8798"/>
    <n v="0.51"/>
    <m/>
    <m/>
    <m/>
    <m/>
    <m/>
    <m/>
    <m/>
    <m/>
    <m/>
    <m/>
    <m/>
    <m/>
    <m/>
    <m/>
    <m/>
    <m/>
    <m/>
    <m/>
    <m/>
    <m/>
    <m/>
    <m/>
    <m/>
    <m/>
    <m/>
    <m/>
    <m/>
    <m/>
    <m/>
    <m/>
    <m/>
    <m/>
    <m/>
    <m/>
    <m/>
    <m/>
    <m/>
    <m/>
    <m/>
    <m/>
    <m/>
    <m/>
    <m/>
    <m/>
    <m/>
    <m/>
    <m/>
    <m/>
    <m/>
    <m/>
    <m/>
    <m/>
    <m/>
    <m/>
    <m/>
    <m/>
    <m/>
    <m/>
    <m/>
    <m/>
    <m/>
    <m/>
    <m/>
    <m/>
    <m/>
    <m/>
    <m/>
    <m/>
    <m/>
    <m/>
    <m/>
    <m/>
    <m/>
    <m/>
    <m/>
    <m/>
    <m/>
    <m/>
    <m/>
    <m/>
    <m/>
    <m/>
    <m/>
    <m/>
    <m/>
    <m/>
    <m/>
    <m/>
    <m/>
    <m/>
    <m/>
    <m/>
    <m/>
    <m/>
    <m/>
    <m/>
    <m/>
    <m/>
    <m/>
    <m/>
    <m/>
    <m/>
    <m/>
    <m/>
    <m/>
    <m/>
    <m/>
    <m/>
    <m/>
    <m/>
    <m/>
    <m/>
    <m/>
    <s v="NO"/>
    <m/>
    <m/>
    <s v="NO"/>
    <s v="NO"/>
    <m/>
    <m/>
    <m/>
    <x v="2"/>
    <s v="NO"/>
    <s v="YES"/>
    <s v="YES"/>
    <s v="YES"/>
    <s v="NO"/>
    <s v="NO"/>
    <s v="NO"/>
    <m/>
    <m/>
    <x v="0"/>
    <m/>
    <x v="0"/>
    <m/>
    <x v="2"/>
    <x v="0"/>
    <s v="YES"/>
    <x v="0"/>
    <x v="0"/>
    <x v="0"/>
    <x v="0"/>
    <n v="4"/>
    <x v="0"/>
    <x v="0"/>
    <x v="0"/>
    <x v="0"/>
    <x v="0"/>
    <x v="0"/>
    <n v="0"/>
    <x v="0"/>
    <x v="0"/>
    <x v="0"/>
    <x v="0"/>
    <x v="0"/>
    <n v="0"/>
    <x v="2"/>
    <x v="2"/>
    <n v="2"/>
    <s v="Local NGO(s)/CSO(s)"/>
    <m/>
    <m/>
    <x v="1"/>
    <m/>
    <m/>
    <m/>
    <m/>
    <m/>
    <s v="Distribution of Aqua tabs :_x000a_within the scope of work of this project, we were not able to perform awareness sessions for many reasons have been previously discussed, and the lesson we have learnt regarding this issue was that, those items are not supposed to be distributed in emergency situations, or may be distributed in later time of the project. So in the upcoming project, SR will ensure that enough time is planned and enough money is budgeted for those"/>
    <s v="Changing location :_x000a_As per the main plan, the distribution was supposed to be done in Aleppo city, but having no access to Aleppo made the project impossible to be implemented there since the city was facing siege and the items in the markets were almost gone after communicating with CARE and receiving their  approval. We have changed the implementation location to target Aleppo IDPs that have moved out of the city and respond to their needs as well."/>
    <m/>
    <m/>
    <m/>
    <n v="8798"/>
    <n v="0"/>
    <n v="0"/>
    <n v="0.50636508297340299"/>
    <s v=""/>
    <n v="4455"/>
    <n v="0"/>
    <n v="1"/>
    <n v="8798"/>
    <n v="0"/>
    <n v="0"/>
    <n v="1"/>
    <n v="8798"/>
    <n v="0"/>
    <n v="0"/>
    <s v=""/>
    <n v="0"/>
    <n v="0"/>
    <s v=""/>
    <s v=""/>
    <n v="0"/>
    <n v="0"/>
    <s v=""/>
    <s v=""/>
    <n v="0"/>
    <n v="0"/>
    <s v=""/>
    <s v="2. Sensitive"/>
    <s v="No marker score"/>
    <s v="No marker score"/>
    <s v="It did not develop any specific innovation"/>
    <s v="Intensive advocacy"/>
    <s v="It did not take tested solutions to scale"/>
  </r>
  <r>
    <x v="71"/>
    <x v="1"/>
    <m/>
    <s v="Syria Joint Response III"/>
    <s v="Syria"/>
    <s v="CNLDTR0007"/>
    <s v="CARE Nederland"/>
    <s v="Government"/>
    <s v="Government - Netherlands"/>
    <s v="Ministry of Foreign Affairs of the Netherlands"/>
    <m/>
    <m/>
    <m/>
    <m/>
    <m/>
    <m/>
    <m/>
    <m/>
    <m/>
    <m/>
    <m/>
    <m/>
    <m/>
    <m/>
    <m/>
    <m/>
    <m/>
    <m/>
    <m/>
    <m/>
    <m/>
    <m/>
    <m/>
    <m/>
    <m/>
    <m/>
    <m/>
    <m/>
    <m/>
    <m/>
    <m/>
    <m/>
    <m/>
    <m/>
    <m/>
    <m/>
    <m/>
    <m/>
    <m/>
    <m/>
    <m/>
    <m/>
    <m/>
    <m/>
    <m/>
    <d v="2017-03-01T00:00:00"/>
    <d v="2017-12-31T00:00:00"/>
    <m/>
    <s v="Humanitarian Access to and Control over Economic Resources"/>
    <n v="558295.84"/>
    <s v="Abdulmalik Swaleh"/>
    <s v="CARE Turkey - Assistant Country Director - Program Support"/>
    <s v="Abdulmalik.Swaleh@care.org"/>
    <s v="Mohamad Eid Hamsho"/>
    <s v="CARE Syria North Hub - ECHO &amp; Dutch MoFA Program Manager"/>
    <s v="MohamadEid.Hamsho@care.org"/>
    <s v="YES"/>
    <s v="NO"/>
    <s v="NO"/>
    <s v="Provide life-saving assistance to the most vulnerable people as well as prevent, mitigate and respond to protection risks and support the protective environment in Syria through Food security &amp; Livelihoods, Protection and Basic needs support activities."/>
    <s v="Sub-National"/>
    <s v="Syria: Idleb governorate, Armanaz and Kafr Nabal districts"/>
    <s v="CARE will target vulnerable IDP and host-community households for assistance. Specific additional selection criteria will be developed in coordination with the communities with priority given to (a) Female and child-headed households (b) Households with no income; and (c) Households headed by injured, disabled or elderly persons. With respect to livelihoods activities, targeting will include a consideration for previous experience, interest and motivation to undertake livelihoods and agriculture work, viable business ideas and the ability to work, in addition to vulnerability factors and gender/age-related concerns."/>
    <m/>
    <m/>
    <m/>
    <m/>
    <m/>
    <m/>
    <s v="During this period (March 2017-June 2017) there was no activity under this project."/>
    <m/>
    <m/>
    <m/>
    <m/>
    <m/>
    <m/>
    <m/>
    <m/>
    <m/>
    <m/>
    <m/>
    <m/>
    <m/>
    <m/>
    <m/>
    <m/>
    <m/>
    <m/>
    <m/>
    <m/>
    <m/>
    <m/>
    <m/>
    <m/>
    <m/>
    <m/>
    <m/>
    <m/>
    <m/>
    <m/>
    <m/>
    <m/>
    <m/>
    <m/>
    <m/>
    <m/>
    <m/>
    <m/>
    <m/>
    <m/>
    <m/>
    <m/>
    <m/>
    <m/>
    <m/>
    <m/>
    <m/>
    <m/>
    <m/>
    <m/>
    <m/>
    <m/>
    <m/>
    <m/>
    <m/>
    <m/>
    <m/>
    <m/>
    <m/>
    <m/>
    <m/>
    <m/>
    <m/>
    <m/>
    <m/>
    <m/>
    <m/>
    <m/>
    <m/>
    <m/>
    <m/>
    <m/>
    <m/>
    <m/>
    <m/>
    <m/>
    <m/>
    <m/>
    <m/>
    <m/>
    <m/>
    <m/>
    <m/>
    <m/>
    <m/>
    <m/>
    <m/>
    <m/>
    <m/>
    <m/>
    <m/>
    <m/>
    <m/>
    <m/>
    <m/>
    <m/>
    <m/>
    <m/>
    <m/>
    <m/>
    <m/>
    <m/>
    <m/>
    <m/>
    <m/>
    <m/>
    <m/>
    <m/>
    <m/>
    <m/>
    <m/>
    <m/>
    <m/>
    <m/>
    <m/>
    <m/>
    <m/>
    <m/>
    <m/>
    <m/>
    <m/>
    <m/>
    <m/>
    <m/>
    <m/>
    <m/>
    <m/>
    <m/>
    <m/>
    <m/>
    <m/>
    <m/>
    <m/>
    <m/>
    <m/>
    <s v="NO"/>
    <m/>
    <m/>
    <s v="NO"/>
    <s v="NO"/>
    <m/>
    <m/>
    <m/>
    <x v="0"/>
    <s v="NO"/>
    <s v="YES"/>
    <s v="YES"/>
    <s v="YES"/>
    <s v="NO"/>
    <s v="NO"/>
    <s v="NO"/>
    <m/>
    <m/>
    <x v="0"/>
    <m/>
    <x v="3"/>
    <m/>
    <x v="1"/>
    <x v="0"/>
    <s v="YES"/>
    <x v="0"/>
    <x v="0"/>
    <x v="0"/>
    <x v="0"/>
    <n v="4"/>
    <x v="0"/>
    <x v="0"/>
    <x v="0"/>
    <x v="0"/>
    <x v="0"/>
    <x v="0"/>
    <n v="0"/>
    <x v="0"/>
    <x v="0"/>
    <x v="0"/>
    <x v="0"/>
    <x v="0"/>
    <n v="0"/>
    <x v="2"/>
    <x v="2"/>
    <n v="1"/>
    <s v="Local NGO(s)/CSO(s)"/>
    <m/>
    <m/>
    <x v="2"/>
    <m/>
    <s v="Project has made activities adjustment in terms of protection activities by adding the dignity kits distribution as part of CARE response for the women in need and GBV survivors "/>
    <s v="Outreach messages with more focus in GBV and CP"/>
    <m/>
    <m/>
    <m/>
    <m/>
    <m/>
    <m/>
    <m/>
    <n v="0"/>
    <n v="0"/>
    <s v=""/>
    <s v=""/>
    <s v=""/>
    <n v="0"/>
    <n v="0"/>
    <n v="1"/>
    <n v="0"/>
    <n v="0"/>
    <s v=""/>
    <s v=""/>
    <n v="0"/>
    <n v="0"/>
    <s v=""/>
    <s v=""/>
    <n v="0"/>
    <n v="0"/>
    <s v=""/>
    <s v=""/>
    <n v="0"/>
    <n v="0"/>
    <s v=""/>
    <s v=""/>
    <n v="0"/>
    <n v="0"/>
    <s v=""/>
    <s v="2. Sensitive"/>
    <s v="No marker score"/>
    <s v="No marker score"/>
    <s v="It did not develop any specific innovation"/>
    <s v="Little or no advocacy"/>
    <s v="It took tested solutions to scale on its own"/>
  </r>
  <r>
    <x v="71"/>
    <x v="1"/>
    <m/>
    <s v="Syria Resilience Consortium"/>
    <s v="Syria"/>
    <s v="CNORTR0001"/>
    <s v="CARE Norge"/>
    <s v="Government"/>
    <s v="Government - Sweden"/>
    <s v="SIDA"/>
    <m/>
    <m/>
    <m/>
    <m/>
    <m/>
    <m/>
    <m/>
    <m/>
    <m/>
    <m/>
    <m/>
    <m/>
    <m/>
    <m/>
    <m/>
    <m/>
    <m/>
    <m/>
    <m/>
    <m/>
    <m/>
    <m/>
    <m/>
    <m/>
    <m/>
    <m/>
    <m/>
    <m/>
    <m/>
    <m/>
    <m/>
    <m/>
    <m/>
    <m/>
    <m/>
    <m/>
    <m/>
    <m/>
    <m/>
    <m/>
    <m/>
    <m/>
    <m/>
    <m/>
    <m/>
    <d v="2016-09-12T00:00:00"/>
    <d v="2017-10-31T00:00:00"/>
    <m/>
    <s v="Humanitarian Access to and Control over Economic Resources"/>
    <n v="804127.61"/>
    <s v="Christina Northey"/>
    <s v="CARE Turkey - Country Director"/>
    <s v="Christina.Northey@care.org"/>
    <s v="Nawras Al-Husein"/>
    <s v="CARE Syria North Hub - Syria Resilience Consortium Program Manager"/>
    <s v="nawras.alhusein@care.org"/>
    <s v="YES"/>
    <s v="YES"/>
    <s v="YES"/>
    <s v="Households and communities across Syria have increased livelihoods protection and support opportunities and are better able to adapt to and cope with shocks."/>
    <s v="Sub-National"/>
    <s v="North:_x000a_- Idleb governorate_x000a_- Aleppo governorate"/>
    <s v="The Action will primarily target areas hosting high numbers of displaced persons in both rural and urban areas across Syria. Within these areas, the Action will support both local host communities and displaced persons with different support components. The Action aims to reach a participation of at least 25% women across all results and 50% women’s participation in trainings. Taking into account that up-to 25% of the Syrian population now live with a disability, the project aims at including at least 10% of PWDs across all activities. Youth and young men and women will be a primarily target group for vocational training and internships/apprenticeships as many lack access to education or employment opportunities."/>
    <m/>
    <m/>
    <m/>
    <m/>
    <m/>
    <m/>
    <s v="During this period (september 2016-June 2017) there was no activity under this project."/>
    <m/>
    <m/>
    <m/>
    <m/>
    <m/>
    <m/>
    <m/>
    <m/>
    <m/>
    <m/>
    <m/>
    <m/>
    <m/>
    <m/>
    <m/>
    <m/>
    <m/>
    <m/>
    <m/>
    <m/>
    <m/>
    <m/>
    <m/>
    <m/>
    <m/>
    <m/>
    <m/>
    <m/>
    <m/>
    <m/>
    <m/>
    <m/>
    <m/>
    <m/>
    <m/>
    <m/>
    <m/>
    <m/>
    <m/>
    <m/>
    <m/>
    <m/>
    <m/>
    <m/>
    <m/>
    <m/>
    <m/>
    <m/>
    <m/>
    <m/>
    <m/>
    <m/>
    <m/>
    <m/>
    <m/>
    <m/>
    <m/>
    <m/>
    <m/>
    <m/>
    <m/>
    <m/>
    <m/>
    <m/>
    <m/>
    <m/>
    <m/>
    <m/>
    <m/>
    <m/>
    <m/>
    <m/>
    <m/>
    <m/>
    <m/>
    <m/>
    <m/>
    <m/>
    <m/>
    <m/>
    <m/>
    <m/>
    <m/>
    <m/>
    <m/>
    <m/>
    <m/>
    <m/>
    <m/>
    <m/>
    <m/>
    <m/>
    <m/>
    <m/>
    <m/>
    <m/>
    <m/>
    <m/>
    <m/>
    <m/>
    <m/>
    <m/>
    <m/>
    <m/>
    <m/>
    <m/>
    <m/>
    <m/>
    <m/>
    <m/>
    <m/>
    <m/>
    <m/>
    <m/>
    <m/>
    <m/>
    <m/>
    <m/>
    <m/>
    <m/>
    <m/>
    <m/>
    <m/>
    <m/>
    <m/>
    <m/>
    <m/>
    <m/>
    <m/>
    <m/>
    <m/>
    <m/>
    <m/>
    <m/>
    <m/>
    <s v="YES"/>
    <s v="January"/>
    <n v="2017"/>
    <s v="YES"/>
    <s v="NO"/>
    <m/>
    <m/>
    <s v="Evaluation planned at end of consortium 2020. We are unable to share the baseline report as we have strict information sharing protocols in place and there is not external version."/>
    <x v="1"/>
    <s v="NO"/>
    <s v="NO"/>
    <s v="YES"/>
    <s v="NO"/>
    <s v="YES"/>
    <s v="YES"/>
    <s v="NO"/>
    <s v="NO"/>
    <m/>
    <x v="1"/>
    <s v="Providing the more vulnerable beneficiaries with animals as assets to help them to resist the poverty_x000a_Training the poor people on some life skills and vocations in order to help individuals to develop their qualification and earn money which reduce the poverty negative effect."/>
    <x v="1"/>
    <s v="Care is a part of the Syrian Resilience Consortium (SRC) which include several organizations and there a lot of coordination between them and strategic alliance."/>
    <x v="2"/>
    <x v="0"/>
    <s v="YES"/>
    <x v="0"/>
    <x v="0"/>
    <x v="0"/>
    <x v="0"/>
    <n v="4"/>
    <x v="0"/>
    <x v="0"/>
    <x v="0"/>
    <x v="0"/>
    <x v="0"/>
    <x v="0"/>
    <n v="0"/>
    <x v="0"/>
    <x v="0"/>
    <x v="0"/>
    <x v="0"/>
    <x v="0"/>
    <n v="0"/>
    <x v="0"/>
    <x v="2"/>
    <n v="1"/>
    <s v="Local NGO(s)/CSO(s)"/>
    <m/>
    <m/>
    <x v="0"/>
    <s v="Care and the partner support rehabilitation of inferastructure in the civil society, also did a lot of stakeholder engagement sessions for livelihood inclusion, in addition Care' partner coordinate with the local authoroties and the local council . Care and partner support establishing diagnostict eppedomiological diseases of animals in I dleb university which will serve or the civil society and the livestock keeper."/>
    <s v="Care and the partner adjust the rapid need assessment to target the female and the disable people and elderly in FGDs and KIIs, Also the eligibility criteria were adjusted to more focus on the females by giving these criteria more weightage."/>
    <s v="Emgaging local stakeholder and local council"/>
    <s v="Engaging women"/>
    <s v="Community planning for the rehabilitation of the most required inferastructure."/>
    <s v="Promissing practice is establishing veternary diagnostic laboratory in Idleb university to do sustainability in the epidemiological animals diseases."/>
    <s v="Challenges like the restriction roles of the turky border, also the bad security situation and internal conflict of the armed groups"/>
    <s v="More coordination from the other NGO/INGO"/>
    <m/>
    <m/>
    <n v="0"/>
    <n v="0"/>
    <s v=""/>
    <s v=""/>
    <s v=""/>
    <n v="0"/>
    <n v="0"/>
    <n v="1"/>
    <n v="0"/>
    <n v="0"/>
    <s v=""/>
    <s v=""/>
    <n v="0"/>
    <n v="0"/>
    <s v=""/>
    <s v=""/>
    <n v="0"/>
    <n v="0"/>
    <s v=""/>
    <s v=""/>
    <n v="0"/>
    <n v="0"/>
    <s v=""/>
    <s v=""/>
    <n v="0"/>
    <n v="0"/>
    <s v=""/>
    <s v="2. Sensitive"/>
    <s v="No marker score"/>
    <s v="No marker score"/>
    <s v="It tested new ways for fighting poverty, but did not measure results of innovation"/>
    <s v="Moderate advocacy"/>
    <s v="It linked and worked with strategic alliances and partners to take tested and effective solutions to scale"/>
  </r>
  <r>
    <x v="71"/>
    <x v="1"/>
    <m/>
    <s v="Syria Resilience Consortium"/>
    <s v="Syria"/>
    <s v="CGBRTR0011"/>
    <s v="CARE UK"/>
    <s v="Multilateral agency"/>
    <s v="EU - European Union (other than ECHO)"/>
    <s v="EC-European Commission"/>
    <m/>
    <m/>
    <m/>
    <m/>
    <m/>
    <m/>
    <m/>
    <m/>
    <m/>
    <m/>
    <m/>
    <m/>
    <m/>
    <m/>
    <m/>
    <m/>
    <m/>
    <m/>
    <m/>
    <m/>
    <m/>
    <m/>
    <m/>
    <m/>
    <m/>
    <m/>
    <m/>
    <m/>
    <m/>
    <m/>
    <m/>
    <m/>
    <m/>
    <m/>
    <m/>
    <m/>
    <m/>
    <m/>
    <m/>
    <m/>
    <m/>
    <m/>
    <m/>
    <m/>
    <m/>
    <d v="2016-12-13T00:00:00"/>
    <d v="2018-06-12T00:00:00"/>
    <m/>
    <s v="Humanitarian Access to and Control over Economic Resources"/>
    <n v="1580022.99"/>
    <s v="Holly Solberg"/>
    <s v="MENA Regional Director"/>
    <s v="hsolberg@care.org "/>
    <s v="Nawras Al-Husein"/>
    <s v="CARE Syria North Hub - Syria Resilience Consortium Program Manager"/>
    <s v="nawras.alhusein@care.org"/>
    <s v="YES"/>
    <s v="YES"/>
    <s v="YES"/>
    <s v="Households and communities across Syria have increased livelihoods protection and support opportunities and are better able to adapt to and cope with shocks."/>
    <s v="Sub-National"/>
    <s v="Syria:_x000a__x000a_North: _x000a_- Idleb governorate: Harim, al-Mar’a, Idleb districts_x000a_- Aleppo governorate:: Aleppo City, Azaz districts"/>
    <s v="The Action will target a total number of approximately 24,441 conflict-affected men and women, in particular displaced populations/host communities, female heads of households, persons with disabilities (PWD) and youth, as well as staff members of local organizations and local stakeholders, including representatives of authorities in Syria. The target group encompasses all displaced persons/host community members who directly participate in project activities (skills training, cash-for-work (CFW) etc.) or directly receive services or input (business grants, agricultural input etc.) as well as staff members of local organizations or other local stakeholders, including representatives of local authorities who participate in trainings or discussions."/>
    <n v="1148"/>
    <n v="1320"/>
    <n v="2468"/>
    <m/>
    <m/>
    <m/>
    <m/>
    <m/>
    <n v="1148"/>
    <n v="1320"/>
    <n v="2468"/>
    <m/>
    <m/>
    <m/>
    <m/>
    <m/>
    <m/>
    <m/>
    <m/>
    <m/>
    <m/>
    <m/>
    <m/>
    <m/>
    <m/>
    <m/>
    <m/>
    <m/>
    <m/>
    <m/>
    <m/>
    <m/>
    <m/>
    <m/>
    <m/>
    <m/>
    <m/>
    <m/>
    <m/>
    <m/>
    <m/>
    <m/>
    <s v="Yes"/>
    <n v="2468"/>
    <n v="0.47"/>
    <m/>
    <m/>
    <m/>
    <m/>
    <m/>
    <m/>
    <m/>
    <m/>
    <m/>
    <m/>
    <m/>
    <m/>
    <m/>
    <m/>
    <m/>
    <m/>
    <m/>
    <m/>
    <m/>
    <m/>
    <m/>
    <m/>
    <m/>
    <m/>
    <m/>
    <m/>
    <m/>
    <m/>
    <m/>
    <m/>
    <m/>
    <m/>
    <m/>
    <m/>
    <m/>
    <m/>
    <m/>
    <m/>
    <m/>
    <m/>
    <m/>
    <m/>
    <m/>
    <m/>
    <m/>
    <m/>
    <m/>
    <m/>
    <m/>
    <m/>
    <m/>
    <m/>
    <m/>
    <m/>
    <m/>
    <m/>
    <m/>
    <m/>
    <m/>
    <m/>
    <m/>
    <m/>
    <m/>
    <m/>
    <m/>
    <m/>
    <m/>
    <m/>
    <m/>
    <m/>
    <m/>
    <m/>
    <m/>
    <m/>
    <m/>
    <m/>
    <m/>
    <m/>
    <m/>
    <m/>
    <m/>
    <m/>
    <m/>
    <m/>
    <m/>
    <m/>
    <m/>
    <m/>
    <m/>
    <m/>
    <m/>
    <m/>
    <m/>
    <m/>
    <m/>
    <m/>
    <m/>
    <s v="YES"/>
    <s v="January"/>
    <n v="2017"/>
    <s v="YES"/>
    <s v="NO"/>
    <m/>
    <m/>
    <s v="Evaluation planned at end of consortium 2020. We are unable to share the baseline report as we have strict information sharing protocols in place and there is not external version."/>
    <x v="1"/>
    <s v="NO"/>
    <s v="NO"/>
    <s v="YES"/>
    <s v="NO"/>
    <s v="YES"/>
    <s v="YES"/>
    <s v="NO"/>
    <s v="NO"/>
    <m/>
    <x v="1"/>
    <s v="Provide people temporary income through cash for work - consider the vulnerability criteria when choosing beneficiary criteria in targeted activities. Provide people with training to develop their life skill to earn money help them to reduce poverty effects ."/>
    <x v="1"/>
    <s v="Coordination with the SRC consortium members in order to avoid any over laping during implementing, This consortium is high level of strategic alliance in the region."/>
    <x v="2"/>
    <x v="0"/>
    <s v="YES"/>
    <x v="0"/>
    <x v="0"/>
    <x v="0"/>
    <x v="0"/>
    <n v="4"/>
    <x v="0"/>
    <x v="0"/>
    <x v="0"/>
    <x v="0"/>
    <x v="0"/>
    <x v="0"/>
    <n v="0"/>
    <x v="0"/>
    <x v="0"/>
    <x v="0"/>
    <x v="0"/>
    <x v="0"/>
    <n v="0"/>
    <x v="0"/>
    <x v="2"/>
    <n v="1"/>
    <s v="Local NGO(s)/CSO(s)"/>
    <m/>
    <m/>
    <x v="0"/>
    <s v="provide service to the civil society through conducting a lot of vital projects through cash for work (cleaning) - Rehabilitation of inferastructure provide benefit to the civil society. - engaement of local stake holder with some activities (during the beneficiaries selection process)"/>
    <s v="There an adjusment in all tools and procedures to ensure inclusion of femele, elderly and disable people in all activities. - Selecting suitable vocation for female and disable people through vocational training implementing/ - the project target more than 50% of beneficiary as female."/>
    <s v="VSLAs"/>
    <s v="Session of local stakeholder engagement"/>
    <s v="Coordination with the local councils and high level of communities key informants."/>
    <s v="Promissing practice is distributing drip irrigation network to vegetable farmers in Idleb will promote the sustainability and development and savining water."/>
    <s v="Distributing fodder to animals keeper is better to distribute animals."/>
    <m/>
    <m/>
    <m/>
    <n v="2468"/>
    <n v="0"/>
    <n v="0"/>
    <n v="0.46515397082658022"/>
    <s v=""/>
    <n v="1148"/>
    <n v="0"/>
    <n v="1"/>
    <n v="2468"/>
    <n v="0"/>
    <n v="0"/>
    <n v="1"/>
    <n v="2468"/>
    <n v="0"/>
    <n v="0"/>
    <s v=""/>
    <n v="0"/>
    <n v="0"/>
    <s v=""/>
    <s v=""/>
    <n v="0"/>
    <n v="0"/>
    <s v=""/>
    <s v=""/>
    <n v="0"/>
    <n v="0"/>
    <s v=""/>
    <s v="2. Sensitive"/>
    <s v="No marker score"/>
    <s v="No marker score"/>
    <s v="It tested new ways for fighting poverty, but did not measure results of innovation"/>
    <s v="Moderate advocacy"/>
    <s v="It linked and worked with strategic alliances and partners to take tested and effective solutions to scale"/>
  </r>
  <r>
    <x v="71"/>
    <x v="1"/>
    <m/>
    <s v="Syria Resilience project"/>
    <s v="Syria"/>
    <s v="CGBRSY0010"/>
    <s v="CARE UK"/>
    <s v="Government"/>
    <s v="Government - UK"/>
    <s v="DFID"/>
    <m/>
    <m/>
    <m/>
    <m/>
    <m/>
    <m/>
    <m/>
    <m/>
    <m/>
    <m/>
    <m/>
    <m/>
    <m/>
    <m/>
    <m/>
    <m/>
    <m/>
    <m/>
    <m/>
    <m/>
    <m/>
    <m/>
    <m/>
    <m/>
    <m/>
    <m/>
    <m/>
    <m/>
    <m/>
    <m/>
    <m/>
    <m/>
    <m/>
    <m/>
    <m/>
    <m/>
    <m/>
    <m/>
    <m/>
    <m/>
    <m/>
    <m/>
    <m/>
    <m/>
    <m/>
    <d v="2017-01-01T00:00:00"/>
    <d v="2020-03-31T00:00:00"/>
    <m/>
    <s v="Development Other"/>
    <n v="17952791.57"/>
    <s v="Fidaa F. Haddad"/>
    <s v="Food Security &amp; Livelihoods Program Manager"/>
    <s v="Haddad, Fidaa &lt;Fidaa.Haddad@care.org&gt;"/>
    <s v="Mahmoud Salah Eddin"/>
    <s v="Deputy Program Manager"/>
    <s v="Kharouf, Mahmoud &lt;Mahmoud.Kharouf@care.org&gt;"/>
    <s v="YES"/>
    <s v="YES"/>
    <s v="YES"/>
    <s v="Families affected by conflict are self-reliant, mitigate protection risks and negative coping mechanisms and participate in economic life"/>
    <s v="Sub-National"/>
    <s v="Syria, Dara'a and Quneitra Governorates, Quneitra Governorates: Al Khashniyyeh, Quneitra Central, Dara'a Governorates: Dara'a, Izra"/>
    <s v="developing resilience of housholds and communities affected by syrian conflict"/>
    <n v="51930"/>
    <n v="51930"/>
    <n v="103860"/>
    <m/>
    <m/>
    <m/>
    <m/>
    <m/>
    <m/>
    <m/>
    <m/>
    <m/>
    <m/>
    <m/>
    <m/>
    <m/>
    <m/>
    <m/>
    <s v="YES"/>
    <m/>
    <m/>
    <m/>
    <m/>
    <m/>
    <m/>
    <m/>
    <s v="YES"/>
    <n v="8316"/>
    <m/>
    <m/>
    <m/>
    <m/>
    <m/>
    <m/>
    <m/>
    <m/>
    <m/>
    <m/>
    <m/>
    <m/>
    <m/>
    <m/>
    <s v="Yes"/>
    <m/>
    <m/>
    <m/>
    <s v="YES"/>
    <m/>
    <m/>
    <m/>
    <m/>
    <m/>
    <m/>
    <m/>
    <s v="YES"/>
    <m/>
    <m/>
    <m/>
    <s v="YES"/>
    <m/>
    <m/>
    <m/>
    <m/>
    <m/>
    <m/>
    <m/>
    <m/>
    <n v="0"/>
    <n v="0"/>
    <n v="8316"/>
    <m/>
    <m/>
    <m/>
    <s v="YES"/>
    <m/>
    <m/>
    <m/>
    <m/>
    <m/>
    <m/>
    <m/>
    <m/>
    <m/>
    <m/>
    <m/>
    <m/>
    <m/>
    <m/>
    <m/>
    <s v="YES"/>
    <m/>
    <m/>
    <m/>
    <m/>
    <m/>
    <m/>
    <m/>
    <s v="YES"/>
    <m/>
    <m/>
    <m/>
    <m/>
    <m/>
    <m/>
    <m/>
    <s v="YES"/>
    <m/>
    <m/>
    <m/>
    <m/>
    <m/>
    <m/>
    <m/>
    <m/>
    <m/>
    <m/>
    <m/>
    <s v="YES"/>
    <m/>
    <m/>
    <m/>
    <s v="YES"/>
    <m/>
    <m/>
    <m/>
    <m/>
    <m/>
    <m/>
    <m/>
    <m/>
    <m/>
    <m/>
    <m/>
    <s v="YES"/>
    <m/>
    <m/>
    <m/>
    <m/>
    <m/>
    <m/>
    <m/>
    <m/>
    <s v="YES"/>
    <s v="July"/>
    <n v="2017"/>
    <s v="NO"/>
    <s v="YES"/>
    <m/>
    <m/>
    <m/>
    <x v="1"/>
    <s v="NO"/>
    <s v="YES"/>
    <s v="YES"/>
    <s v="NO"/>
    <s v="YES"/>
    <s v="YES"/>
    <s v="NO"/>
    <m/>
    <m/>
    <x v="2"/>
    <s v="Hawala System for Cash transfer. Linking the Value Chain with the food security, integration between the program activities ( protection, rapid response and livelihood)"/>
    <x v="3"/>
    <s v="Six month review methadology"/>
    <x v="1"/>
    <x v="0"/>
    <s v="YES"/>
    <x v="0"/>
    <x v="0"/>
    <x v="0"/>
    <x v="0"/>
    <n v="4"/>
    <x v="1"/>
    <x v="1"/>
    <x v="1"/>
    <x v="1"/>
    <x v="1"/>
    <x v="1"/>
    <n v="4"/>
    <x v="3"/>
    <x v="1"/>
    <x v="1"/>
    <x v="1"/>
    <x v="4"/>
    <n v="3"/>
    <x v="0"/>
    <x v="2"/>
    <n v="5"/>
    <s v="Private sector"/>
    <s v="Local NGO(s)/CSO(s)"/>
    <s v="Local NGO(s)/CSO(s)"/>
    <x v="0"/>
    <s v="After the Organizational capacity assessment for the partners, CARE developed capacity building plan in order to strenghthen the partners capacity on Gender main streaming, safty and security, finance and procurment."/>
    <s v="No adjusment or change."/>
    <s v="Location Integration to achieve the highest possible level of integration ."/>
    <s v="Focus on gender sensitivity to include women within the activities."/>
    <m/>
    <m/>
    <m/>
    <m/>
    <m/>
    <m/>
    <n v="8316"/>
    <n v="0"/>
    <n v="0"/>
    <n v="0"/>
    <s v=""/>
    <n v="0"/>
    <n v="0"/>
    <n v="1"/>
    <n v="0"/>
    <n v="0"/>
    <s v=""/>
    <n v="1"/>
    <n v="8316"/>
    <n v="0"/>
    <n v="0"/>
    <s v=""/>
    <n v="0"/>
    <n v="0"/>
    <s v=""/>
    <s v=""/>
    <n v="0"/>
    <n v="0"/>
    <s v=""/>
    <n v="1"/>
    <n v="0"/>
    <n v="0"/>
    <s v=""/>
    <s v="2. Sensitive"/>
    <s v="2. Accommodating"/>
    <s v="4. Transformative"/>
    <s v="It tested new ways for fighting poverty and measured results of innovation"/>
    <s v="Moderate advocacy"/>
    <s v="It took tested solutions to scale on its own"/>
  </r>
  <r>
    <x v="71"/>
    <x v="1"/>
    <m/>
    <s v="Syria Reslience Consortium"/>
    <s v="Syria"/>
    <s v="CNORTR0002"/>
    <s v="CARE Norge"/>
    <s v="Government"/>
    <s v="Government - Norway"/>
    <s v="Ministry of Foreign Affairs of Norway"/>
    <m/>
    <m/>
    <m/>
    <m/>
    <m/>
    <m/>
    <m/>
    <m/>
    <m/>
    <m/>
    <m/>
    <m/>
    <m/>
    <m/>
    <m/>
    <m/>
    <m/>
    <m/>
    <m/>
    <m/>
    <m/>
    <m/>
    <m/>
    <m/>
    <m/>
    <m/>
    <m/>
    <m/>
    <m/>
    <m/>
    <m/>
    <m/>
    <m/>
    <m/>
    <m/>
    <m/>
    <m/>
    <m/>
    <m/>
    <m/>
    <m/>
    <m/>
    <m/>
    <m/>
    <m/>
    <d v="2016-12-01T00:00:00"/>
    <d v="2017-10-31T00:00:00"/>
    <m/>
    <s v="Humanitarian Access to and Control over Economic Resources"/>
    <n v="503352.32000000001"/>
    <s v="Holly Solberg"/>
    <s v="MENA Regional Director"/>
    <s v="hsolberg@care.org "/>
    <s v="Nawras Al-Husein"/>
    <s v="CARE Syria North Hub - Syria Resilience Consortium Program Manager"/>
    <s v="nawras.alhusein@care.org"/>
    <s v="YES"/>
    <s v="YES"/>
    <s v="YES"/>
    <s v="Support conflict-affected populations, communities, and institutions in Syria to maintain, restore, and enhance inclusive livelihoods, thus contributing to their resilience."/>
    <s v="Sub-National"/>
    <s v="Syria:_x000a__x000a_North:_x000a_- Idleb governorate _x000a_- Aleppo governorate"/>
    <s v="The project will target conflict-affected men and women, in particular displaced populations/host communities, female heads of households, persons with disabilities/injuries (PWD/Is) and youth, as well as staff members of local organizations and local stakeholders, including representatives of authorities in Syria. The target group encompasses all displaced persons/host community members who directly participate in project activities (skills training, cash-for-work (CFW) etc.) or directly receive services or input (business grants, agricultural input etc.) as well as staff members of local organizations or other local stakeholders, e.g. representatives of local authorities who participate in trainings or discussions."/>
    <n v="0"/>
    <n v="0"/>
    <n v="0"/>
    <n v="0"/>
    <n v="0"/>
    <n v="0"/>
    <s v="During this period (December 2016-June 2017) there was no activity under this project."/>
    <m/>
    <m/>
    <m/>
    <m/>
    <m/>
    <m/>
    <m/>
    <m/>
    <m/>
    <m/>
    <m/>
    <m/>
    <m/>
    <m/>
    <m/>
    <m/>
    <m/>
    <m/>
    <m/>
    <m/>
    <m/>
    <m/>
    <m/>
    <m/>
    <m/>
    <m/>
    <m/>
    <m/>
    <m/>
    <m/>
    <m/>
    <m/>
    <m/>
    <m/>
    <m/>
    <m/>
    <m/>
    <m/>
    <m/>
    <m/>
    <m/>
    <m/>
    <m/>
    <m/>
    <m/>
    <m/>
    <m/>
    <m/>
    <m/>
    <m/>
    <m/>
    <m/>
    <m/>
    <m/>
    <m/>
    <m/>
    <m/>
    <m/>
    <m/>
    <m/>
    <m/>
    <m/>
    <m/>
    <m/>
    <m/>
    <m/>
    <m/>
    <m/>
    <m/>
    <m/>
    <m/>
    <m/>
    <m/>
    <m/>
    <m/>
    <m/>
    <m/>
    <m/>
    <m/>
    <m/>
    <m/>
    <m/>
    <m/>
    <m/>
    <m/>
    <m/>
    <m/>
    <m/>
    <m/>
    <m/>
    <m/>
    <m/>
    <m/>
    <m/>
    <m/>
    <m/>
    <m/>
    <m/>
    <m/>
    <m/>
    <m/>
    <m/>
    <m/>
    <m/>
    <m/>
    <m/>
    <m/>
    <m/>
    <m/>
    <m/>
    <m/>
    <m/>
    <m/>
    <m/>
    <m/>
    <m/>
    <m/>
    <m/>
    <m/>
    <m/>
    <m/>
    <m/>
    <m/>
    <m/>
    <m/>
    <m/>
    <m/>
    <m/>
    <m/>
    <m/>
    <m/>
    <m/>
    <m/>
    <m/>
    <m/>
    <s v="YES"/>
    <s v="January"/>
    <n v="2017"/>
    <s v="YES"/>
    <s v="NO"/>
    <m/>
    <m/>
    <s v="Evaluation planned at end of consortium 2020. We are unable to share the baseline report as we have strict information sharing protocols in place and there is not external version. "/>
    <x v="1"/>
    <s v="NO"/>
    <s v="NO"/>
    <s v="YES"/>
    <s v="NO"/>
    <s v="YES"/>
    <s v="YES"/>
    <s v="NO"/>
    <s v="NO"/>
    <m/>
    <x v="1"/>
    <s v="Provide people with temporary income throw cash for work and people enrollement"/>
    <x v="1"/>
    <s v="Coordination among the Syria Reseileince Consortium (SRC) and among the local NGO partner."/>
    <x v="3"/>
    <x v="0"/>
    <s v="YES"/>
    <x v="0"/>
    <x v="0"/>
    <x v="0"/>
    <x v="0"/>
    <n v="4"/>
    <x v="0"/>
    <x v="0"/>
    <x v="0"/>
    <x v="0"/>
    <x v="0"/>
    <x v="0"/>
    <n v="0"/>
    <x v="0"/>
    <x v="0"/>
    <x v="0"/>
    <x v="0"/>
    <x v="0"/>
    <n v="0"/>
    <x v="0"/>
    <x v="2"/>
    <n v="1"/>
    <s v="Local NGO(s)/CSO(s)"/>
    <m/>
    <m/>
    <x v="0"/>
    <s v="Support the civil society through rehabilitation of the inferastructure which make the life of people easier."/>
    <s v="Yes, we did a lot od adjusment in tools design, assessment, registration to make sure that female and disable people are included in this project."/>
    <s v="Coomunity planning to determine the more required projects to be rehabilitated "/>
    <m/>
    <m/>
    <s v="Promissing practices: Rehabilitation of some strategic inferastruction projects "/>
    <m/>
    <m/>
    <m/>
    <m/>
    <n v="0"/>
    <n v="0"/>
    <s v=""/>
    <s v=""/>
    <s v=""/>
    <n v="0"/>
    <n v="0"/>
    <n v="1"/>
    <n v="0"/>
    <n v="0"/>
    <s v=""/>
    <s v=""/>
    <n v="0"/>
    <n v="0"/>
    <s v=""/>
    <s v=""/>
    <n v="0"/>
    <n v="0"/>
    <s v=""/>
    <s v=""/>
    <n v="0"/>
    <n v="0"/>
    <s v=""/>
    <s v=""/>
    <n v="0"/>
    <n v="0"/>
    <s v=""/>
    <s v="2. Sensitive"/>
    <s v="No marker score"/>
    <s v="No marker score"/>
    <s v="It tested new ways for fighting poverty, but did not measure results of innovation"/>
    <s v="Moderate advocacy"/>
    <s v="It linked and worked with strategic alliances and partners to take tested and effective solutions to scale"/>
  </r>
  <r>
    <x v="71"/>
    <x v="1"/>
    <m/>
    <s v="UNHCR: (US1V1) Targeted rehabilitation to IDP collective shelters in southern Syria  / (US1Q9) Shelter and NFI support to vulnerable populations in southern Syria. ECHO: Emergency support and preparedness in southern Syria   DFATD: Emergency WASH support to people affected by conflict"/>
    <s v="Syria"/>
    <s v="UNHCSY0004"/>
    <s v="CARE USA"/>
    <s v="Government"/>
    <s v="UN - United Nations agencies/offices"/>
    <s v="UNHCR"/>
    <s v="UNHCSY0002"/>
    <s v="CARE USA"/>
    <s v="Government"/>
    <s v="UN - United Nations agencies/offices"/>
    <s v="UNHCR"/>
    <s v="CAUTSY0005"/>
    <s v="CARE Österreich"/>
    <s v="Government"/>
    <s v="ECHO - European Commission for Humanitarian Aid and Civil Protection"/>
    <s v="ECHO"/>
    <s v="CCANJO0008"/>
    <s v="CARE Canada"/>
    <s v="Government"/>
    <s v="Government - Canada"/>
    <s v="DFATD-Canada"/>
    <m/>
    <m/>
    <m/>
    <m/>
    <m/>
    <m/>
    <m/>
    <m/>
    <m/>
    <m/>
    <m/>
    <m/>
    <m/>
    <m/>
    <m/>
    <m/>
    <m/>
    <m/>
    <m/>
    <m/>
    <m/>
    <m/>
    <m/>
    <m/>
    <m/>
    <m/>
    <m/>
    <m/>
    <m/>
    <m/>
    <d v="2016-08-01T00:00:00"/>
    <d v="2017-07-31T00:00:00"/>
    <d v="2017-09-30T00:00:00"/>
    <s v="Humanitarian Other"/>
    <n v="5026839.53"/>
    <s v="Jennifer OLSON-SNELL"/>
    <s v="Deputy Director Programs"/>
    <m/>
    <s v="Duaa AL DARAWEESH"/>
    <s v="Deputy Rapid Response Manager"/>
    <m/>
    <s v="YES"/>
    <s v="NO"/>
    <s v="NO"/>
    <s v="Support to IDPs in southern Syria"/>
    <s v="Sub-National"/>
    <s v="Dar'a and Quneitra governorates, southern Syria"/>
    <s v="IDPs and host families"/>
    <n v="46523"/>
    <n v="48421"/>
    <n v="94944"/>
    <m/>
    <m/>
    <m/>
    <m/>
    <m/>
    <n v="46523"/>
    <n v="48421"/>
    <n v="94944"/>
    <m/>
    <m/>
    <m/>
    <m/>
    <m/>
    <m/>
    <m/>
    <m/>
    <m/>
    <m/>
    <m/>
    <m/>
    <m/>
    <m/>
    <m/>
    <m/>
    <m/>
    <m/>
    <m/>
    <m/>
    <m/>
    <m/>
    <m/>
    <m/>
    <m/>
    <m/>
    <m/>
    <m/>
    <m/>
    <m/>
    <m/>
    <m/>
    <m/>
    <m/>
    <m/>
    <m/>
    <m/>
    <m/>
    <m/>
    <m/>
    <m/>
    <m/>
    <m/>
    <s v="YES"/>
    <n v="94944"/>
    <n v="0.49"/>
    <m/>
    <m/>
    <m/>
    <m/>
    <m/>
    <m/>
    <m/>
    <m/>
    <m/>
    <m/>
    <m/>
    <m/>
    <m/>
    <m/>
    <m/>
    <m/>
    <m/>
    <m/>
    <m/>
    <m/>
    <m/>
    <m/>
    <m/>
    <m/>
    <m/>
    <m/>
    <m/>
    <m/>
    <m/>
    <m/>
    <m/>
    <m/>
    <m/>
    <m/>
    <m/>
    <m/>
    <m/>
    <m/>
    <m/>
    <m/>
    <m/>
    <m/>
    <m/>
    <m/>
    <m/>
    <m/>
    <m/>
    <m/>
    <m/>
    <m/>
    <m/>
    <m/>
    <m/>
    <m/>
    <m/>
    <m/>
    <m/>
    <m/>
    <m/>
    <m/>
    <m/>
    <m/>
    <m/>
    <m/>
    <m/>
    <m/>
    <m/>
    <m/>
    <m/>
    <m/>
    <m/>
    <m/>
    <m/>
    <m/>
    <m/>
    <m/>
    <m/>
    <m/>
    <m/>
    <m/>
    <m/>
    <m/>
    <m/>
    <m/>
    <m/>
    <s v="NO"/>
    <m/>
    <m/>
    <m/>
    <s v="NO"/>
    <m/>
    <m/>
    <m/>
    <x v="0"/>
    <m/>
    <m/>
    <m/>
    <m/>
    <m/>
    <m/>
    <m/>
    <m/>
    <m/>
    <x v="0"/>
    <m/>
    <x v="2"/>
    <m/>
    <x v="3"/>
    <x v="0"/>
    <s v="YES"/>
    <x v="0"/>
    <x v="0"/>
    <x v="0"/>
    <x v="0"/>
    <n v="4"/>
    <x v="0"/>
    <x v="0"/>
    <x v="0"/>
    <x v="0"/>
    <x v="0"/>
    <x v="0"/>
    <n v="0"/>
    <x v="0"/>
    <x v="0"/>
    <x v="0"/>
    <x v="0"/>
    <x v="0"/>
    <n v="0"/>
    <x v="1"/>
    <x v="4"/>
    <n v="5"/>
    <s v="Local NGO(s)/CSO(s)"/>
    <s v="Local NGO(s)/CSO(s)"/>
    <s v="Local NGO(s)/CSO(s)"/>
    <x v="1"/>
    <m/>
    <m/>
    <s v="Several projects have enhanced rapid response by conducting rapid multi-sector assessments, pre-positioning emergency stocks, and establishing a platform for immediate, operational coordination."/>
    <s v="Community Planning"/>
    <s v="CSs Rehabilitation"/>
    <s v="Due to unprecedented displacement in the months of August and September, collective shelters continued to be used even more than before. Upon the initial assessment of collective shelters, partners identified 108 collective shelters with nearly 50 housing 7 or more families. Based on this, CARE's initial assessment was carried out in 35 of the most highly populated collective shelters. Results from this initial assessment indicate that the level of repairs, especially WASH repairs in all of these collective shelters is extremely high. Because of this and because of the challenges the team had conducting this assessment during conflict in southern Syria, CARE required additional 3 months of the rehabilitation process. Displacement continued to be unpredicted, several IDP families displaced for more than one time , from the collective shelters.   "/>
    <s v="Internal returnees movements specifically the distribution process in July. Respectively, new vulnerabilities at the ground and new needs."/>
    <s v="Several projects have enhanced rapid response by conducting rapid multi-sector assessments, pre-positioning emergency stocks, and establishing a platform for immediate, operational coordination. CARE SSU is leading on informal coordination group coordinating efforts on the ground and response in the South."/>
    <m/>
    <m/>
    <n v="94944"/>
    <n v="0"/>
    <n v="0"/>
    <n v="0.49000463431075159"/>
    <s v=""/>
    <n v="46523"/>
    <n v="0"/>
    <n v="1"/>
    <n v="94944"/>
    <n v="0"/>
    <n v="0"/>
    <s v=""/>
    <n v="0"/>
    <n v="0"/>
    <s v=""/>
    <s v=""/>
    <n v="0"/>
    <n v="0"/>
    <s v=""/>
    <s v=""/>
    <n v="0"/>
    <n v="0"/>
    <s v=""/>
    <s v=""/>
    <n v="0"/>
    <n v="0"/>
    <s v=""/>
    <s v="2. Sensitive"/>
    <s v="No marker score"/>
    <s v="No marker score"/>
    <s v="It did not develop any specific innovation"/>
    <s v="Little or no advocacy"/>
    <n v="0"/>
  </r>
  <r>
    <x v="71"/>
    <x v="1"/>
    <m/>
    <s v="Voice to Voiceless: critical protection and emergency support for hard to reach communities in Syria"/>
    <s v="Syria"/>
    <s v="UNHCTR0006"/>
    <s v="CARE USA"/>
    <s v="Multilateral agency"/>
    <s v="UN - United Nations agencies/offices"/>
    <s v="UNHCR"/>
    <m/>
    <m/>
    <m/>
    <m/>
    <m/>
    <m/>
    <m/>
    <m/>
    <m/>
    <m/>
    <m/>
    <m/>
    <m/>
    <m/>
    <m/>
    <m/>
    <m/>
    <m/>
    <m/>
    <m/>
    <m/>
    <m/>
    <m/>
    <m/>
    <m/>
    <m/>
    <m/>
    <m/>
    <m/>
    <m/>
    <m/>
    <m/>
    <m/>
    <m/>
    <m/>
    <m/>
    <m/>
    <m/>
    <m/>
    <m/>
    <m/>
    <m/>
    <m/>
    <m/>
    <m/>
    <d v="2016-01-01T00:00:00"/>
    <d v="2016-12-31T00:00:00"/>
    <m/>
    <s v="Humanitarian Other"/>
    <n v="1800110"/>
    <s v="John Uniack Davis"/>
    <s v="CARE Turkey Country Director (Former)"/>
    <s v="john.davis@care.org"/>
    <s v="Chele DeGruccio"/>
    <s v="CARE Turkey Assistant Country Director - Programs (Former)"/>
    <s v="chele.degruccio@care.org"/>
    <s v="YES"/>
    <s v="NO"/>
    <s v="NO"/>
    <s v="This project seeks to improve the protection of vulnerable populations in Syria through the provision of protection support to 12,000 individuals through outreach, psychosocial support, and case management services and referral mechanisms. Additionally, the project will provide core relief items to 18,000 households facing new emergencies through in-kind distribution of Household kits."/>
    <s v="Sub-National"/>
    <s v="Syria: Idleb governorate, Jesr Al Shoghur,  Al Ma'ra, Harem, Areha, Idleb sub-districts; Aleppo governorate, Jebal Saman, Azaz, Atareb, Manbej, Al Safera sub-districts."/>
    <s v="This project aimed to target different needs of men, women, boys, and girls. Rapid response activates primarily targeted newly arrived IDPs in Idleb governorate. The special needs of children, women and older people have been taken into account in beneficiary selection and distribution process; in which the selection process focused mainly on households that did not possess productive assets and have no opportunity to earn an immediate stable income, recently arrived IDPs in collective or unprotected shelters, female headed households, children headed households, head of household with disability, Households with injured, elderly, or disables people, households with two children less than 5 years, and large households with more than 6 members. While protection activities focused on survivors of abuse, exploitation, GBV, and SGBV, and individuals who suffer from acute psychosocial distress. The project also targeted community leaders and activists who played a critical role in protection outreach activities acting as a catalysts."/>
    <n v="59747"/>
    <n v="53403"/>
    <n v="113150"/>
    <m/>
    <m/>
    <m/>
    <m/>
    <m/>
    <n v="59747"/>
    <n v="53403"/>
    <n v="113150"/>
    <m/>
    <m/>
    <m/>
    <m/>
    <m/>
    <m/>
    <m/>
    <s v="YES"/>
    <n v="2444"/>
    <n v="0.56000000000000005"/>
    <m/>
    <m/>
    <m/>
    <m/>
    <m/>
    <m/>
    <m/>
    <m/>
    <m/>
    <m/>
    <m/>
    <m/>
    <m/>
    <m/>
    <m/>
    <m/>
    <m/>
    <m/>
    <m/>
    <m/>
    <m/>
    <m/>
    <m/>
    <m/>
    <m/>
    <s v="YES"/>
    <n v="12766"/>
    <n v="0.77"/>
    <m/>
    <m/>
    <m/>
    <m/>
    <m/>
    <s v="YES"/>
    <n v="97940"/>
    <n v="0.51"/>
    <m/>
    <m/>
    <m/>
    <m/>
    <m/>
    <m/>
    <m/>
    <m/>
    <m/>
    <m/>
    <m/>
    <m/>
    <m/>
    <m/>
    <m/>
    <m/>
    <m/>
    <m/>
    <m/>
    <m/>
    <m/>
    <m/>
    <m/>
    <m/>
    <m/>
    <m/>
    <m/>
    <m/>
    <m/>
    <m/>
    <m/>
    <m/>
    <m/>
    <m/>
    <m/>
    <m/>
    <m/>
    <m/>
    <m/>
    <m/>
    <m/>
    <m/>
    <m/>
    <m/>
    <m/>
    <m/>
    <m/>
    <m/>
    <m/>
    <m/>
    <m/>
    <m/>
    <m/>
    <m/>
    <m/>
    <m/>
    <m/>
    <m/>
    <m/>
    <m/>
    <m/>
    <m/>
    <m/>
    <m/>
    <m/>
    <m/>
    <m/>
    <m/>
    <m/>
    <m/>
    <m/>
    <m/>
    <m/>
    <m/>
    <m/>
    <m/>
    <m/>
    <m/>
    <m/>
    <m/>
    <m/>
    <m/>
    <m/>
    <m/>
    <m/>
    <s v="YES"/>
    <s v="November"/>
    <n v="2016"/>
    <s v="YES"/>
    <s v="NO"/>
    <m/>
    <m/>
    <s v="N/A"/>
    <x v="0"/>
    <s v="NO"/>
    <s v="YES"/>
    <s v="YES"/>
    <s v="YES"/>
    <s v="NO"/>
    <s v="NO"/>
    <s v="NO"/>
    <m/>
    <m/>
    <x v="0"/>
    <m/>
    <x v="0"/>
    <m/>
    <x v="2"/>
    <x v="0"/>
    <s v="YES"/>
    <x v="0"/>
    <x v="0"/>
    <x v="0"/>
    <x v="0"/>
    <n v="4"/>
    <x v="0"/>
    <x v="0"/>
    <x v="0"/>
    <x v="0"/>
    <x v="0"/>
    <x v="0"/>
    <n v="0"/>
    <x v="0"/>
    <x v="0"/>
    <x v="0"/>
    <x v="0"/>
    <x v="0"/>
    <n v="0"/>
    <x v="2"/>
    <x v="2"/>
    <n v="2"/>
    <s v="Local NGO(s)/CSO(s)"/>
    <m/>
    <m/>
    <x v="1"/>
    <m/>
    <m/>
    <m/>
    <m/>
    <m/>
    <s v="• A project with protection response interventions requires longer implementation period for community mobilization and to establish trust among community members. CARE lost three months of implementation due to delays from UNHCR to finalize the partnership contract. This caused very challenging operation for both partners and CARE staff. It is important to recognize the operational challenges inside Syria and provide sufficient time for partners to implement such projects successfully."/>
    <s v="• The reliability and professionalism of Local Councils vary from one community to another and many local authorities throughout Syria have recommended beneficiary lists that favor some populations over others based on their personal connections or other motivations. To overcome this problem, partner teams engaged in independent verification of beneficiaries through the help of volunteers to ensure that only people in urgent need, as defined by the vulnerability criteria, were targeted with kits. Given the connections to beneficiary populations and resources of local councils, partners maintained constant communication with local councils while advocating for accountable beneficiary selection."/>
    <s v="• The community centers have continued to grow in terms of regular services, referrals and follow-ups from the community they are working in since their inception. Post activity monitoring and community feedback stressed the importance of their continuation and need to expand such services. Project closure and discontinuation of services after 3-6 months will not not sustain the impact created by the project interventions. It is recommended to resource similar protection interventions at least for 2 years to achieve full results of the program.  "/>
    <m/>
    <m/>
    <n v="113150"/>
    <n v="0"/>
    <n v="0"/>
    <n v="0.52803358373840037"/>
    <s v=""/>
    <n v="59747"/>
    <n v="0"/>
    <n v="1"/>
    <n v="113150"/>
    <n v="0"/>
    <n v="0"/>
    <s v=""/>
    <n v="0"/>
    <n v="0"/>
    <s v=""/>
    <s v=""/>
    <n v="0"/>
    <n v="0"/>
    <s v=""/>
    <s v=""/>
    <n v="0"/>
    <n v="0"/>
    <s v=""/>
    <s v=""/>
    <n v="0"/>
    <n v="0"/>
    <s v=""/>
    <s v="2. Sensitive"/>
    <s v="No marker score"/>
    <s v="No marker score"/>
    <s v="It did not develop any specific innovation"/>
    <s v="Little or no advocacy"/>
    <s v="It did not take tested solutions to scale"/>
  </r>
  <r>
    <x v="71"/>
    <x v="1"/>
    <m/>
    <s v="Vouchers to meet basic and essential needs of displaced poulations fleeing Aleppo"/>
    <s v="Syria"/>
    <s v="CAUSTR0006"/>
    <s v="CARE Australia"/>
    <s v="Foundation"/>
    <s v="Other"/>
    <s v="CARE Australia"/>
    <s v="DOINFR2255"/>
    <s v="CARE France"/>
    <s v="Foundation"/>
    <s v="Other"/>
    <s v="CARE France"/>
    <m/>
    <s v="CARE USA"/>
    <s v="Individual supporter"/>
    <m/>
    <m/>
    <m/>
    <m/>
    <m/>
    <m/>
    <m/>
    <m/>
    <m/>
    <m/>
    <m/>
    <m/>
    <m/>
    <m/>
    <m/>
    <m/>
    <m/>
    <m/>
    <m/>
    <m/>
    <m/>
    <m/>
    <m/>
    <m/>
    <m/>
    <m/>
    <m/>
    <m/>
    <m/>
    <m/>
    <m/>
    <m/>
    <m/>
    <m/>
    <m/>
    <m/>
    <m/>
    <d v="2017-02-01T00:00:00"/>
    <d v="2017-07-31T00:00:00"/>
    <m/>
    <s v="Humanitarian Food &amp; Nutrition Security and Resilience to Climate Change"/>
    <n v="83655.3"/>
    <s v="Maithree Abeyrathna"/>
    <s v="CARE Turkey - ECHO &amp; Dutch MoFA Program Manager (Former)"/>
    <s v="Maithree.abeyrathna@care.org"/>
    <s v="Wouter Schaap"/>
    <s v="CARE Syria - Country Director"/>
    <s v="Wouter.Schaap@care.org"/>
    <s v="YES"/>
    <s v="NO"/>
    <s v="NO"/>
    <s v="Ensure that 710 HH of the most vulnerable and newly-internally displaced populations affected by the crisis in Aleppo governorate are able to meet their basic and essential needs, with improved access to food, hygiene and urgent non-food items, and increased capacity to withstand the harsh winter conditions."/>
    <s v="Sub-National"/>
    <s v="Syria: Aleppo governorate, Jebel Saman district"/>
    <s v="Most vulnerable and newly-internally displaced populations affected by the crisis in Aleppo governorate"/>
    <n v="2078"/>
    <n v="1944"/>
    <n v="4022"/>
    <m/>
    <m/>
    <m/>
    <m/>
    <m/>
    <n v="2078"/>
    <n v="1944"/>
    <n v="4022"/>
    <m/>
    <m/>
    <m/>
    <m/>
    <m/>
    <m/>
    <m/>
    <s v="YES"/>
    <n v="4022"/>
    <n v="0.52"/>
    <m/>
    <m/>
    <m/>
    <m/>
    <m/>
    <s v="YES"/>
    <n v="4022"/>
    <n v="0.52"/>
    <m/>
    <m/>
    <m/>
    <m/>
    <m/>
    <m/>
    <m/>
    <m/>
    <m/>
    <m/>
    <m/>
    <m/>
    <m/>
    <m/>
    <m/>
    <m/>
    <m/>
    <m/>
    <m/>
    <m/>
    <m/>
    <m/>
    <m/>
    <m/>
    <m/>
    <m/>
    <m/>
    <m/>
    <m/>
    <m/>
    <m/>
    <m/>
    <m/>
    <m/>
    <m/>
    <m/>
    <m/>
    <m/>
    <m/>
    <m/>
    <m/>
    <m/>
    <m/>
    <m/>
    <m/>
    <m/>
    <m/>
    <m/>
    <m/>
    <m/>
    <m/>
    <m/>
    <m/>
    <m/>
    <m/>
    <m/>
    <m/>
    <m/>
    <m/>
    <m/>
    <m/>
    <m/>
    <m/>
    <m/>
    <m/>
    <m/>
    <m/>
    <m/>
    <m/>
    <m/>
    <m/>
    <m/>
    <m/>
    <m/>
    <m/>
    <m/>
    <m/>
    <m/>
    <m/>
    <m/>
    <m/>
    <m/>
    <m/>
    <m/>
    <m/>
    <m/>
    <m/>
    <m/>
    <m/>
    <m/>
    <m/>
    <m/>
    <m/>
    <m/>
    <m/>
    <m/>
    <m/>
    <m/>
    <m/>
    <m/>
    <m/>
    <m/>
    <m/>
    <m/>
    <m/>
    <m/>
    <m/>
    <m/>
    <m/>
    <m/>
    <m/>
    <m/>
    <m/>
    <s v="NO"/>
    <m/>
    <m/>
    <s v="NO"/>
    <s v="NO"/>
    <m/>
    <m/>
    <m/>
    <x v="0"/>
    <s v="NO"/>
    <s v="NO"/>
    <s v="YES"/>
    <s v="YES"/>
    <s v="NO"/>
    <m/>
    <s v="NO"/>
    <m/>
    <m/>
    <x v="0"/>
    <m/>
    <x v="0"/>
    <m/>
    <x v="0"/>
    <x v="0"/>
    <s v="YES"/>
    <x v="0"/>
    <x v="0"/>
    <x v="0"/>
    <x v="0"/>
    <n v="4"/>
    <x v="0"/>
    <x v="0"/>
    <x v="0"/>
    <x v="0"/>
    <x v="0"/>
    <x v="0"/>
    <n v="0"/>
    <x v="0"/>
    <x v="0"/>
    <x v="0"/>
    <x v="0"/>
    <x v="0"/>
    <n v="0"/>
    <x v="2"/>
    <x v="2"/>
    <n v="1"/>
    <s v="Local NGO(s)/CSO(s)"/>
    <m/>
    <m/>
    <x v="1"/>
    <m/>
    <s v="Relevant findings from this assessment will be incorporated into the response in order to ensure appropriate gender considerations are factored into implementation and monitoring processes."/>
    <s v="The MEAL framework for this project included systematic but simple, timely, and gender-sensitive mechanisms for measurement of project achievement."/>
    <s v="It places the beneficiaries as active participants in providing for the welfare of their families in a more dignified way than receiving goods that they can’t decide on. "/>
    <m/>
    <s v="The importance of having pre-positioned items to minimize the needed period for response "/>
    <m/>
    <m/>
    <m/>
    <m/>
    <n v="4022"/>
    <n v="0"/>
    <n v="0"/>
    <n v="0.51665837891596222"/>
    <s v=""/>
    <n v="2078"/>
    <n v="0"/>
    <n v="1"/>
    <n v="4022"/>
    <n v="0"/>
    <n v="0"/>
    <n v="1"/>
    <n v="4022"/>
    <n v="0"/>
    <n v="0"/>
    <s v=""/>
    <n v="0"/>
    <n v="0"/>
    <s v=""/>
    <s v=""/>
    <n v="0"/>
    <n v="0"/>
    <s v=""/>
    <s v=""/>
    <n v="0"/>
    <n v="0"/>
    <s v=""/>
    <s v="2. Sensitive"/>
    <s v="No marker score"/>
    <s v="No marker score"/>
    <s v="It did not develop any specific innovation"/>
    <s v="Little or no advocacy"/>
    <s v="It did not take tested solutions to scale"/>
  </r>
  <r>
    <x v="71"/>
    <x v="1"/>
    <n v="3423"/>
    <s v="WASH and Protection support in Southern Syria"/>
    <s v="Syria"/>
    <s v="OFDASY0003"/>
    <s v="CARE USA"/>
    <s v="Government"/>
    <s v="Government - US"/>
    <s v="OFDA"/>
    <s v="OFDASY0004"/>
    <s v="CARE USA"/>
    <s v="Government"/>
    <s v="Government - US"/>
    <s v="OFDA"/>
    <m/>
    <m/>
    <m/>
    <m/>
    <m/>
    <m/>
    <m/>
    <m/>
    <m/>
    <m/>
    <m/>
    <m/>
    <m/>
    <m/>
    <m/>
    <m/>
    <m/>
    <m/>
    <m/>
    <m/>
    <m/>
    <m/>
    <m/>
    <m/>
    <m/>
    <m/>
    <m/>
    <m/>
    <m/>
    <m/>
    <m/>
    <m/>
    <m/>
    <m/>
    <m/>
    <m/>
    <m/>
    <m/>
    <m/>
    <m/>
    <d v="2016-05-24T00:00:00"/>
    <d v="2017-05-23T00:00:00"/>
    <d v="2017-10-23T00:00:00"/>
    <s v="Humanitarian Other"/>
    <n v="1992351"/>
    <s v="Lana Halaseh"/>
    <s v="Deputy WASH Manager"/>
    <s v="lana.halaseh@care.org"/>
    <s v="Fairouz Hassan"/>
    <s v="Deputy protection manager"/>
    <s v="Fairouz.hassan@care.org"/>
    <s v="YES"/>
    <s v="NO"/>
    <s v="NO"/>
    <s v="To meet the basic WASH and Protection needs of vulnerable households in southern Syria"/>
    <s v="Sub-National"/>
    <s v="Dar'a Governorate- Izra distrcit_x000a_Dar'a Governorate- Dar'a district_x000a_Qunitera Governorate- Qunitera district"/>
    <s v="IDPs, host communities and vulnerable households in Dar'a and Qunitera Governorates"/>
    <n v="6677"/>
    <n v="7232"/>
    <n v="13909"/>
    <m/>
    <m/>
    <m/>
    <s v="WASH: Number of people directly benefitting from the sanitation infrastructure program and Number of people receiving direct hygiene promotion (excluding mass media campaigns and without double-counting)_x000a__x000a_Protection:The protection component has the mandate to reach the most vulnerable households in communities both Host community and IDP's who have suffered from trumatic situation during te crisis and need to have a focused Psychosocial support through the non-specialized services that CARE provides to enhance their wellbeing and mitigate their negative coping mechanism, as well as the community members who needs to enhance their access to the basic services and at this service level the whole community is a direct target"/>
    <m/>
    <n v="6671"/>
    <n v="6526"/>
    <n v="13197"/>
    <m/>
    <m/>
    <m/>
    <s v="NO"/>
    <m/>
    <m/>
    <m/>
    <s v="NO"/>
    <m/>
    <m/>
    <m/>
    <s v="NO"/>
    <m/>
    <m/>
    <m/>
    <s v="NO"/>
    <m/>
    <m/>
    <m/>
    <s v="NO"/>
    <m/>
    <m/>
    <m/>
    <s v="NO"/>
    <m/>
    <m/>
    <m/>
    <s v="NO"/>
    <m/>
    <m/>
    <m/>
    <s v="NO"/>
    <m/>
    <m/>
    <m/>
    <s v="YES"/>
    <n v="1202"/>
    <n v="0.56000000000000005"/>
    <m/>
    <s v="NO"/>
    <m/>
    <m/>
    <m/>
    <s v="NO"/>
    <m/>
    <m/>
    <m/>
    <s v="YES"/>
    <n v="11961"/>
    <n v="0.5"/>
    <m/>
    <m/>
    <m/>
    <m/>
    <m/>
    <m/>
    <m/>
    <m/>
    <m/>
    <m/>
    <m/>
    <m/>
    <m/>
    <m/>
    <m/>
    <m/>
    <m/>
    <m/>
    <m/>
    <m/>
    <m/>
    <m/>
    <m/>
    <m/>
    <m/>
    <m/>
    <m/>
    <m/>
    <m/>
    <m/>
    <m/>
    <m/>
    <m/>
    <m/>
    <m/>
    <m/>
    <m/>
    <m/>
    <m/>
    <m/>
    <m/>
    <m/>
    <m/>
    <m/>
    <m/>
    <m/>
    <m/>
    <m/>
    <m/>
    <m/>
    <m/>
    <m/>
    <m/>
    <m/>
    <m/>
    <m/>
    <m/>
    <m/>
    <m/>
    <m/>
    <m/>
    <m/>
    <m/>
    <m/>
    <m/>
    <m/>
    <m/>
    <m/>
    <m/>
    <m/>
    <m/>
    <m/>
    <m/>
    <m/>
    <m/>
    <m/>
    <m/>
    <m/>
    <m/>
    <m/>
    <m/>
    <s v="NO"/>
    <m/>
    <m/>
    <s v="NO"/>
    <s v="YES"/>
    <s v="October"/>
    <m/>
    <m/>
    <x v="0"/>
    <s v="YES"/>
    <s v="NO"/>
    <s v="YES"/>
    <s v="NO"/>
    <s v="YES"/>
    <s v="NO"/>
    <s v="YES"/>
    <s v="NO"/>
    <m/>
    <x v="0"/>
    <m/>
    <x v="3"/>
    <m/>
    <x v="1"/>
    <x v="0"/>
    <s v="YES"/>
    <x v="0"/>
    <x v="0"/>
    <x v="0"/>
    <x v="0"/>
    <n v="4"/>
    <x v="3"/>
    <x v="2"/>
    <x v="2"/>
    <x v="2"/>
    <x v="2"/>
    <x v="3"/>
    <n v="0"/>
    <x v="1"/>
    <x v="1"/>
    <x v="2"/>
    <x v="2"/>
    <x v="3"/>
    <n v="1"/>
    <x v="0"/>
    <x v="3"/>
    <n v="2"/>
    <s v="Local NGO(s)/CSO(s)"/>
    <s v="International NGO(s)"/>
    <m/>
    <x v="1"/>
    <m/>
    <s v="* Most of the activities were implemnetd by the partner while the rehabilitaion and installtion of solar systems for the targeted 24 water schemes were implemented directly by CARE through hiring 4 Engineers to proceed with the process._x000a_* some of the activities were implemented to target tand benefit the most vulnerable families rather than focusing only on the hosting families._x000a_* Chaniging on the Feedback mechanism through CARE own system.                                                                                      _x000a_* increase the benificiaries total number to meet the huge need within the community."/>
    <s v="1. Chaniging on the Feedback mechanism through CARE own system."/>
    <s v="2. increase the benificiaries total number to meet the huge need within the community."/>
    <s v="3. will be engaging females in the formed WASH committees"/>
    <s v="1. Partner Technical capacity building is a continous need to build a strong partner."/>
    <s v="2. to work more on identifying the needs and have a feedback from the community."/>
    <m/>
    <m/>
    <m/>
    <n v="13197"/>
    <n v="0"/>
    <n v="0"/>
    <n v="0.50549367280442525"/>
    <s v=""/>
    <n v="6671"/>
    <n v="0"/>
    <n v="1"/>
    <n v="13197"/>
    <n v="0"/>
    <n v="0"/>
    <s v=""/>
    <n v="0"/>
    <n v="0"/>
    <s v=""/>
    <s v=""/>
    <n v="0"/>
    <n v="0"/>
    <s v=""/>
    <s v=""/>
    <n v="0"/>
    <n v="0"/>
    <s v=""/>
    <s v=""/>
    <n v="0"/>
    <n v="0"/>
    <s v=""/>
    <s v="2. Sensitive"/>
    <s v="0. Unaware"/>
    <s v="1. Neutral"/>
    <s v="It did not develop any specific innovation"/>
    <s v="Little or no advocacy"/>
    <s v="It took tested solutions to scale on its own"/>
  </r>
  <r>
    <x v="71"/>
    <x v="1"/>
    <n v="3424"/>
    <s v="WASH Support to confict Affected Communities"/>
    <s v="Syria"/>
    <s v="UNCFSY0001"/>
    <s v="CARE USA"/>
    <s v="Other"/>
    <s v="UN - United Nations agencies/offices"/>
    <s v="UNICEF"/>
    <m/>
    <m/>
    <m/>
    <m/>
    <m/>
    <m/>
    <m/>
    <m/>
    <m/>
    <m/>
    <m/>
    <m/>
    <m/>
    <m/>
    <m/>
    <m/>
    <m/>
    <m/>
    <m/>
    <m/>
    <m/>
    <m/>
    <m/>
    <m/>
    <m/>
    <m/>
    <m/>
    <m/>
    <m/>
    <m/>
    <m/>
    <m/>
    <m/>
    <m/>
    <m/>
    <m/>
    <m/>
    <m/>
    <m/>
    <m/>
    <m/>
    <m/>
    <m/>
    <m/>
    <m/>
    <d v="2015-10-05T00:00:00"/>
    <d v="2016-12-31T00:00:00"/>
    <m/>
    <s v="Humanitarian Other"/>
    <n v="2844513.34"/>
    <s v="Evarest Ochola"/>
    <s v="WASH Advisor"/>
    <s v="Evarest.Ochola@care.ca"/>
    <s v="Alaa AlQaisi"/>
    <s v="Deputy WASH Manager"/>
    <s v="Alaa.Alqaisi@care.org"/>
    <s v="YES"/>
    <s v="NO"/>
    <s v="NO"/>
    <s v="To meet the basic WASH  needs of vulnerable households in Southern Syria"/>
    <s v="Sub-National"/>
    <s v="Dara'a and Quneitra Governorates"/>
    <s v="IDPs and host communities in Dara'a and Quneitra governorates"/>
    <n v="190491"/>
    <n v="206365"/>
    <n v="396856"/>
    <m/>
    <m/>
    <m/>
    <m/>
    <m/>
    <n v="190491"/>
    <n v="206365"/>
    <n v="396856"/>
    <m/>
    <m/>
    <m/>
    <m/>
    <m/>
    <m/>
    <m/>
    <m/>
    <m/>
    <m/>
    <m/>
    <m/>
    <m/>
    <m/>
    <m/>
    <m/>
    <m/>
    <m/>
    <m/>
    <m/>
    <m/>
    <m/>
    <m/>
    <m/>
    <m/>
    <m/>
    <m/>
    <m/>
    <m/>
    <m/>
    <m/>
    <m/>
    <m/>
    <m/>
    <m/>
    <m/>
    <m/>
    <m/>
    <m/>
    <m/>
    <m/>
    <m/>
    <m/>
    <m/>
    <m/>
    <m/>
    <m/>
    <s v="YES"/>
    <n v="396856"/>
    <n v="0.48"/>
    <m/>
    <m/>
    <m/>
    <m/>
    <m/>
    <m/>
    <m/>
    <m/>
    <m/>
    <m/>
    <m/>
    <m/>
    <m/>
    <m/>
    <m/>
    <m/>
    <m/>
    <m/>
    <m/>
    <m/>
    <m/>
    <m/>
    <m/>
    <m/>
    <m/>
    <m/>
    <m/>
    <m/>
    <m/>
    <m/>
    <m/>
    <m/>
    <m/>
    <m/>
    <m/>
    <m/>
    <m/>
    <m/>
    <m/>
    <m/>
    <m/>
    <m/>
    <m/>
    <m/>
    <m/>
    <m/>
    <m/>
    <m/>
    <m/>
    <m/>
    <m/>
    <m/>
    <m/>
    <m/>
    <m/>
    <m/>
    <m/>
    <m/>
    <m/>
    <m/>
    <m/>
    <m/>
    <m/>
    <m/>
    <m/>
    <m/>
    <m/>
    <m/>
    <m/>
    <m/>
    <m/>
    <m/>
    <m/>
    <m/>
    <m/>
    <m/>
    <m/>
    <m/>
    <m/>
    <m/>
    <m/>
    <s v="NO"/>
    <m/>
    <m/>
    <m/>
    <m/>
    <m/>
    <m/>
    <m/>
    <x v="0"/>
    <m/>
    <m/>
    <m/>
    <m/>
    <m/>
    <m/>
    <m/>
    <m/>
    <m/>
    <x v="0"/>
    <m/>
    <x v="0"/>
    <m/>
    <x v="1"/>
    <x v="0"/>
    <s v="YES"/>
    <x v="0"/>
    <x v="0"/>
    <x v="0"/>
    <x v="0"/>
    <n v="4"/>
    <x v="0"/>
    <x v="2"/>
    <x v="2"/>
    <x v="2"/>
    <x v="2"/>
    <x v="0"/>
    <n v="0"/>
    <x v="0"/>
    <x v="0"/>
    <x v="0"/>
    <x v="0"/>
    <x v="0"/>
    <n v="0"/>
    <x v="0"/>
    <x v="2"/>
    <n v="2"/>
    <s v="Local NGO(s)/CSO(s)"/>
    <m/>
    <m/>
    <x v="2"/>
    <s v="CARE's Southern Syria programs work nearly completely through Syrian NGO partners.  CARE works closely to build capacity of Syrian civil society through ongoing communication and training. There is ongoing training with partners in management systems, program implementation, management, and monitoring, financial management, and humanitarian principles."/>
    <m/>
    <m/>
    <m/>
    <m/>
    <s v="Need to diversify  partnership with different civil society and private sector actors"/>
    <s v="Very strong MEAL approach is critical"/>
    <m/>
    <m/>
    <m/>
    <n v="396856"/>
    <n v="0"/>
    <n v="0"/>
    <n v="0.48000030237668073"/>
    <s v=""/>
    <n v="190491"/>
    <n v="0"/>
    <n v="1"/>
    <n v="396856"/>
    <n v="0"/>
    <n v="0"/>
    <s v=""/>
    <n v="0"/>
    <n v="0"/>
    <s v=""/>
    <s v=""/>
    <n v="0"/>
    <n v="0"/>
    <s v=""/>
    <s v=""/>
    <n v="0"/>
    <n v="0"/>
    <s v=""/>
    <s v=""/>
    <n v="0"/>
    <n v="0"/>
    <s v=""/>
    <s v="2. Sensitive"/>
    <s v="No marker score"/>
    <s v="No marker score"/>
    <s v="It did not develop any specific innovation"/>
    <s v="Little or no advocacy"/>
    <s v="It did not take tested solutions to scale"/>
  </r>
  <r>
    <x v="71"/>
    <x v="1"/>
    <m/>
    <s v="WASH Support to confict Affected Communities"/>
    <s v="Syria"/>
    <s v="UNCFSY0010"/>
    <s v="CARE USA"/>
    <s v="Other"/>
    <s v="UN - United Nations agencies/offices"/>
    <s v="UNICEF"/>
    <m/>
    <m/>
    <m/>
    <m/>
    <m/>
    <m/>
    <m/>
    <m/>
    <m/>
    <m/>
    <m/>
    <m/>
    <m/>
    <m/>
    <m/>
    <m/>
    <m/>
    <m/>
    <m/>
    <m/>
    <m/>
    <m/>
    <m/>
    <m/>
    <m/>
    <m/>
    <m/>
    <m/>
    <m/>
    <m/>
    <m/>
    <m/>
    <m/>
    <m/>
    <m/>
    <m/>
    <m/>
    <m/>
    <m/>
    <m/>
    <m/>
    <m/>
    <m/>
    <m/>
    <m/>
    <d v="2017-04-01T00:00:00"/>
    <d v="2017-06-30T00:00:00"/>
    <m/>
    <s v="Humanitarian Other"/>
    <n v="305553"/>
    <s v="Evarest Ochola"/>
    <s v="WASH Advisor"/>
    <s v="Evarest.Ochola@care.ca"/>
    <s v="Alaa AlQaisi"/>
    <s v="Deputy WASH Manager"/>
    <s v="Alaa.Alqaisi@care.org"/>
    <s v="YES"/>
    <s v="NO"/>
    <s v="NO"/>
    <s v="To meet the basic WASH  needs of vulnerable households in Southern Syria"/>
    <s v="Sub-National"/>
    <s v="Dara'a and Quneitra Governorates"/>
    <s v="IDPs and host communities in Dara'a and Qunwitra governorates"/>
    <n v="203837"/>
    <n v="203838"/>
    <n v="407675"/>
    <m/>
    <m/>
    <m/>
    <m/>
    <m/>
    <n v="203837"/>
    <n v="203838"/>
    <n v="407675"/>
    <m/>
    <m/>
    <m/>
    <m/>
    <m/>
    <m/>
    <m/>
    <m/>
    <m/>
    <m/>
    <m/>
    <m/>
    <m/>
    <m/>
    <m/>
    <m/>
    <m/>
    <m/>
    <m/>
    <m/>
    <m/>
    <m/>
    <m/>
    <m/>
    <m/>
    <m/>
    <m/>
    <m/>
    <m/>
    <m/>
    <m/>
    <m/>
    <m/>
    <m/>
    <m/>
    <m/>
    <m/>
    <m/>
    <m/>
    <m/>
    <m/>
    <m/>
    <m/>
    <m/>
    <m/>
    <m/>
    <m/>
    <s v="YES"/>
    <n v="407675"/>
    <n v="0.5"/>
    <m/>
    <m/>
    <m/>
    <m/>
    <m/>
    <m/>
    <m/>
    <m/>
    <m/>
    <m/>
    <m/>
    <m/>
    <m/>
    <m/>
    <m/>
    <m/>
    <m/>
    <m/>
    <m/>
    <m/>
    <m/>
    <m/>
    <m/>
    <m/>
    <m/>
    <m/>
    <m/>
    <m/>
    <m/>
    <m/>
    <m/>
    <m/>
    <m/>
    <m/>
    <m/>
    <m/>
    <m/>
    <m/>
    <m/>
    <m/>
    <m/>
    <m/>
    <m/>
    <m/>
    <m/>
    <m/>
    <m/>
    <m/>
    <m/>
    <m/>
    <m/>
    <m/>
    <m/>
    <m/>
    <m/>
    <m/>
    <m/>
    <m/>
    <m/>
    <m/>
    <m/>
    <m/>
    <m/>
    <m/>
    <m/>
    <m/>
    <m/>
    <m/>
    <m/>
    <m/>
    <m/>
    <m/>
    <m/>
    <m/>
    <m/>
    <m/>
    <m/>
    <m/>
    <m/>
    <m/>
    <m/>
    <s v="NO"/>
    <m/>
    <m/>
    <m/>
    <m/>
    <m/>
    <m/>
    <m/>
    <x v="0"/>
    <m/>
    <m/>
    <m/>
    <m/>
    <m/>
    <m/>
    <m/>
    <m/>
    <m/>
    <x v="0"/>
    <m/>
    <x v="0"/>
    <m/>
    <x v="1"/>
    <x v="0"/>
    <s v="YES"/>
    <x v="0"/>
    <x v="0"/>
    <x v="0"/>
    <x v="0"/>
    <n v="4"/>
    <x v="0"/>
    <x v="2"/>
    <x v="2"/>
    <x v="2"/>
    <x v="2"/>
    <x v="0"/>
    <n v="0"/>
    <x v="0"/>
    <x v="0"/>
    <x v="0"/>
    <x v="0"/>
    <x v="0"/>
    <n v="0"/>
    <x v="0"/>
    <x v="2"/>
    <n v="2"/>
    <s v="Local NGO(s)/CSO(s)"/>
    <m/>
    <m/>
    <x v="2"/>
    <s v="CARE's Southern Syria programs work nearly completely through Syrian NGO partners.  CARE works closely to build capacity of Syrian civil society through ongoing communication and training. There is ongoing training with partners in management systems, program implementation, management, and monitoring, financial management, and humanitarian principles."/>
    <m/>
    <m/>
    <m/>
    <m/>
    <s v="Need to diversify  partnership with different civil society and private sector actors"/>
    <m/>
    <m/>
    <m/>
    <m/>
    <n v="407675"/>
    <n v="0"/>
    <n v="0"/>
    <n v="0.49999877353283867"/>
    <s v=""/>
    <n v="203837"/>
    <n v="0"/>
    <n v="1"/>
    <n v="407675"/>
    <n v="0"/>
    <n v="0"/>
    <s v=""/>
    <n v="0"/>
    <n v="0"/>
    <s v=""/>
    <s v=""/>
    <n v="0"/>
    <n v="0"/>
    <s v=""/>
    <s v=""/>
    <n v="0"/>
    <n v="0"/>
    <s v=""/>
    <s v=""/>
    <n v="0"/>
    <n v="0"/>
    <s v=""/>
    <s v="2. Sensitive"/>
    <s v="No marker score"/>
    <s v="No marker score"/>
    <s v="It did not develop any specific innovation"/>
    <s v="Little or no advocacy"/>
    <s v="It did not take tested solutions to scale"/>
  </r>
  <r>
    <x v="71"/>
    <x v="1"/>
    <m/>
    <s v="Whole of Syria Consortium"/>
    <s v="Syria"/>
    <s v="SIDA"/>
    <s v="CARE Norge"/>
    <s v="Government"/>
    <s v="Government - Norway"/>
    <m/>
    <m/>
    <m/>
    <m/>
    <m/>
    <m/>
    <m/>
    <m/>
    <m/>
    <m/>
    <m/>
    <m/>
    <m/>
    <m/>
    <m/>
    <m/>
    <m/>
    <m/>
    <m/>
    <m/>
    <m/>
    <m/>
    <m/>
    <m/>
    <m/>
    <m/>
    <m/>
    <m/>
    <m/>
    <m/>
    <m/>
    <m/>
    <m/>
    <m/>
    <m/>
    <m/>
    <m/>
    <m/>
    <m/>
    <m/>
    <m/>
    <m/>
    <m/>
    <m/>
    <m/>
    <m/>
    <d v="2016-09-01T00:00:00"/>
    <d v="2019-10-31T00:00:00"/>
    <m/>
    <s v="Development Other"/>
    <n v="569202"/>
    <s v="Fidaa F. Haddad"/>
    <s v="Food Security &amp; Livelihoods Program Manager"/>
    <s v="Haddad, Fidaa &lt;Fidaa.Haddad@care.org&gt;"/>
    <s v="Mahmoud Salah Eddin"/>
    <s v="Deputy Program Manager"/>
    <s v="Kharouf, Mahmoud &lt;Mahmoud.Kharouf@care.org&gt;"/>
    <s v="YES"/>
    <s v="NO"/>
    <s v="NO"/>
    <s v="Contribute to enhancing the resilience of the affected, population in Syria (displaced populations and host communities)."/>
    <s v="Sub-National"/>
    <s v="Syria, Dara'a and Quneitra Governorates, Quneitra Governorates: Al Khashniyyeh, Quneitra Central, Dara'a Governorates: Dara'a, Izra"/>
    <s v="Households and communities across Syria have increased livelihood opportunities and are better able to adapt to and cope with shocks. Individuals have access to temporary income to mitigate negative coping mechanisms."/>
    <n v="120"/>
    <n v="260"/>
    <n v="380"/>
    <n v="600"/>
    <n v="1300"/>
    <n v="1900"/>
    <s v="The direct beneficiaries receive our assistance directly. The indirect beneficiaries: we multiply the direct by 5 as the average number of individuals in the HH are 6."/>
    <m/>
    <n v="0"/>
    <n v="0"/>
    <n v="380"/>
    <m/>
    <m/>
    <n v="1900"/>
    <m/>
    <m/>
    <m/>
    <m/>
    <s v="YES"/>
    <m/>
    <m/>
    <m/>
    <m/>
    <m/>
    <m/>
    <m/>
    <m/>
    <m/>
    <m/>
    <m/>
    <m/>
    <m/>
    <m/>
    <m/>
    <m/>
    <m/>
    <m/>
    <m/>
    <m/>
    <m/>
    <m/>
    <m/>
    <s v="Yes"/>
    <m/>
    <m/>
    <m/>
    <m/>
    <m/>
    <m/>
    <m/>
    <m/>
    <m/>
    <m/>
    <m/>
    <m/>
    <m/>
    <m/>
    <m/>
    <m/>
    <m/>
    <m/>
    <m/>
    <m/>
    <m/>
    <m/>
    <m/>
    <m/>
    <m/>
    <m/>
    <m/>
    <m/>
    <m/>
    <m/>
    <m/>
    <m/>
    <m/>
    <m/>
    <m/>
    <m/>
    <m/>
    <m/>
    <m/>
    <m/>
    <m/>
    <m/>
    <m/>
    <m/>
    <m/>
    <m/>
    <m/>
    <m/>
    <m/>
    <m/>
    <m/>
    <m/>
    <m/>
    <m/>
    <m/>
    <m/>
    <m/>
    <m/>
    <m/>
    <m/>
    <m/>
    <m/>
    <m/>
    <m/>
    <m/>
    <m/>
    <m/>
    <m/>
    <m/>
    <m/>
    <m/>
    <m/>
    <m/>
    <m/>
    <m/>
    <m/>
    <m/>
    <m/>
    <m/>
    <m/>
    <m/>
    <m/>
    <m/>
    <m/>
    <m/>
    <m/>
    <m/>
    <m/>
    <m/>
    <m/>
    <m/>
    <m/>
    <m/>
    <m/>
    <m/>
    <m/>
    <m/>
    <m/>
    <m/>
    <s v="YES"/>
    <s v="September"/>
    <n v="2017"/>
    <s v="NO"/>
    <m/>
    <m/>
    <m/>
    <m/>
    <x v="3"/>
    <m/>
    <m/>
    <m/>
    <m/>
    <m/>
    <m/>
    <m/>
    <m/>
    <m/>
    <x v="3"/>
    <m/>
    <x v="2"/>
    <m/>
    <x v="3"/>
    <x v="0"/>
    <s v="YES"/>
    <x v="0"/>
    <x v="0"/>
    <x v="0"/>
    <x v="0"/>
    <n v="4"/>
    <x v="1"/>
    <x v="1"/>
    <x v="1"/>
    <x v="1"/>
    <x v="1"/>
    <x v="1"/>
    <n v="4"/>
    <x v="3"/>
    <x v="1"/>
    <x v="1"/>
    <x v="1"/>
    <x v="4"/>
    <n v="3"/>
    <x v="0"/>
    <x v="2"/>
    <n v="3"/>
    <s v="Private sector"/>
    <s v="Local NGO(s)/CSO(s)"/>
    <s v="Local NGO(s)/CSO(s)"/>
    <x v="0"/>
    <s v="After the Organizational capacity assessment for the partners, CARE developed capacity building plan in order to strenghthen the partners capacity on Gender main streaming, safty and security, finance and procurment."/>
    <s v="No adjusment or change."/>
    <m/>
    <m/>
    <m/>
    <m/>
    <m/>
    <m/>
    <m/>
    <m/>
    <n v="380"/>
    <n v="1900"/>
    <n v="5"/>
    <n v="0"/>
    <n v="0"/>
    <n v="0"/>
    <n v="0"/>
    <n v="1"/>
    <n v="380"/>
    <n v="1900"/>
    <n v="5"/>
    <n v="1"/>
    <n v="0"/>
    <n v="0"/>
    <s v=""/>
    <s v=""/>
    <n v="0"/>
    <n v="0"/>
    <s v=""/>
    <s v=""/>
    <n v="0"/>
    <n v="0"/>
    <s v=""/>
    <s v=""/>
    <n v="0"/>
    <n v="0"/>
    <s v=""/>
    <s v="2. Sensitive"/>
    <s v="2. Accommodating"/>
    <s v="4. Transformative"/>
    <n v="0"/>
    <n v="0"/>
    <n v="0"/>
  </r>
  <r>
    <x v="71"/>
    <x v="1"/>
    <m/>
    <s v="Whole of Syria Consortium"/>
    <s v="Syria"/>
    <s v="CGBRSY0007"/>
    <s v="CARE UK"/>
    <s v="Government"/>
    <s v="EU - European Union (other than ECHO)"/>
    <s v="EC-European commission"/>
    <m/>
    <m/>
    <m/>
    <m/>
    <m/>
    <m/>
    <m/>
    <m/>
    <m/>
    <m/>
    <m/>
    <m/>
    <m/>
    <m/>
    <m/>
    <m/>
    <m/>
    <m/>
    <m/>
    <m/>
    <m/>
    <m/>
    <m/>
    <m/>
    <m/>
    <m/>
    <m/>
    <m/>
    <m/>
    <m/>
    <m/>
    <m/>
    <m/>
    <m/>
    <m/>
    <m/>
    <m/>
    <m/>
    <m/>
    <m/>
    <m/>
    <m/>
    <m/>
    <m/>
    <m/>
    <d v="2016-01-01T00:00:00"/>
    <d v="2018-06-30T00:00:00"/>
    <m/>
    <s v="Development Other"/>
    <n v="1526986.85"/>
    <s v="Fidaa F. Haddad"/>
    <s v="Food Security &amp; Livelihoods Program Manager"/>
    <s v="Haddad, Fidaa &lt;Fidaa.Haddad@care.org&gt;"/>
    <s v="Mahmoud Salah Eddin"/>
    <s v="Deputy Program Manager"/>
    <s v="Kharouf, Mahmoud &lt;Mahmoud.Kharouf@care.org&gt;"/>
    <s v="YES"/>
    <s v="YES"/>
    <s v="YES"/>
    <s v="Contribute to enhancing the resilience of the affected. population in Syria (displaced populations and host communities)."/>
    <s v="Sub-National"/>
    <s v="Syria, Dara'a and Quneitra Governorates, Quneitra Governorates: Al Khashniyyeh, Quneitra Central, Dara'a Governorates: Dara'a, Izra"/>
    <s v="Households and communities across Syria have increased livelihood opportunities and are better able to adapt to and cope with shocks. Individuals have access to temporary income to mitigate negative coping mechanisms."/>
    <n v="600"/>
    <n v="1200"/>
    <n v="1800"/>
    <n v="3000"/>
    <n v="6000"/>
    <n v="9000"/>
    <s v="The direct beneficiaries receive our assistance directly. The indirect beneficiaries: we multiply the direct by 5 as the average number of individuals in the HH are 6."/>
    <m/>
    <m/>
    <m/>
    <m/>
    <m/>
    <m/>
    <m/>
    <m/>
    <m/>
    <m/>
    <m/>
    <s v="YES"/>
    <m/>
    <m/>
    <m/>
    <m/>
    <m/>
    <m/>
    <m/>
    <m/>
    <m/>
    <m/>
    <m/>
    <m/>
    <m/>
    <m/>
    <m/>
    <m/>
    <m/>
    <m/>
    <m/>
    <m/>
    <m/>
    <m/>
    <m/>
    <s v="Yes"/>
    <m/>
    <m/>
    <m/>
    <m/>
    <m/>
    <m/>
    <m/>
    <m/>
    <m/>
    <m/>
    <m/>
    <m/>
    <m/>
    <m/>
    <m/>
    <m/>
    <m/>
    <m/>
    <m/>
    <m/>
    <m/>
    <m/>
    <m/>
    <m/>
    <n v="0"/>
    <n v="0"/>
    <n v="0"/>
    <n v="0"/>
    <n v="0"/>
    <n v="0"/>
    <s v="YES"/>
    <m/>
    <m/>
    <m/>
    <s v="NO"/>
    <m/>
    <m/>
    <m/>
    <m/>
    <m/>
    <m/>
    <m/>
    <m/>
    <m/>
    <m/>
    <m/>
    <s v="YES"/>
    <m/>
    <m/>
    <m/>
    <m/>
    <m/>
    <m/>
    <m/>
    <s v="YES"/>
    <m/>
    <m/>
    <m/>
    <m/>
    <m/>
    <m/>
    <m/>
    <s v="YES"/>
    <m/>
    <m/>
    <m/>
    <m/>
    <m/>
    <m/>
    <m/>
    <m/>
    <m/>
    <m/>
    <m/>
    <s v="YES"/>
    <m/>
    <m/>
    <m/>
    <s v="YES"/>
    <m/>
    <m/>
    <m/>
    <m/>
    <m/>
    <m/>
    <m/>
    <m/>
    <m/>
    <m/>
    <m/>
    <s v="YES"/>
    <m/>
    <m/>
    <m/>
    <m/>
    <m/>
    <m/>
    <m/>
    <m/>
    <s v="YES"/>
    <s v="July"/>
    <n v="2017"/>
    <s v="NO"/>
    <m/>
    <m/>
    <m/>
    <m/>
    <x v="3"/>
    <m/>
    <m/>
    <m/>
    <m/>
    <m/>
    <m/>
    <m/>
    <m/>
    <m/>
    <x v="3"/>
    <m/>
    <x v="2"/>
    <m/>
    <x v="3"/>
    <x v="0"/>
    <s v="YES"/>
    <x v="0"/>
    <x v="0"/>
    <x v="0"/>
    <x v="0"/>
    <n v="4"/>
    <x v="1"/>
    <x v="1"/>
    <x v="1"/>
    <x v="1"/>
    <x v="1"/>
    <x v="1"/>
    <n v="4"/>
    <x v="3"/>
    <x v="1"/>
    <x v="1"/>
    <x v="1"/>
    <x v="4"/>
    <n v="3"/>
    <x v="0"/>
    <x v="2"/>
    <n v="3"/>
    <s v="Private sector"/>
    <s v="Local NGO(s)/CSO(s)"/>
    <s v="Local NGO(s)/CSO(s)"/>
    <x v="0"/>
    <s v="After the Organizational capacity assessment for the partners, CARE developed capacity building plan in order to strenghthen the partners capacity on Gender main streaming, safty and security, finance and procurment."/>
    <s v="No adjusment or change."/>
    <m/>
    <m/>
    <m/>
    <m/>
    <m/>
    <m/>
    <m/>
    <m/>
    <n v="0"/>
    <n v="0"/>
    <s v=""/>
    <s v=""/>
    <s v=""/>
    <n v="0"/>
    <n v="0"/>
    <n v="1"/>
    <n v="0"/>
    <n v="0"/>
    <s v=""/>
    <n v="1"/>
    <n v="0"/>
    <n v="0"/>
    <s v=""/>
    <s v=""/>
    <n v="0"/>
    <n v="0"/>
    <s v=""/>
    <s v=""/>
    <n v="0"/>
    <n v="0"/>
    <s v=""/>
    <n v="1"/>
    <n v="0"/>
    <n v="0"/>
    <s v=""/>
    <s v="2. Sensitive"/>
    <s v="2. Accommodating"/>
    <s v="4. Transformative"/>
    <n v="0"/>
    <n v="0"/>
    <n v="0"/>
  </r>
  <r>
    <x v="72"/>
    <x v="5"/>
    <m/>
    <s v="ALUTA"/>
    <s v="Tanzania"/>
    <m/>
    <s v="No CARE member related to the project/initiative"/>
    <s v="Other"/>
    <s v="Other"/>
    <s v="Agricultural Markets Development Trust"/>
    <m/>
    <m/>
    <m/>
    <m/>
    <m/>
    <m/>
    <m/>
    <m/>
    <m/>
    <m/>
    <m/>
    <m/>
    <m/>
    <m/>
    <m/>
    <m/>
    <m/>
    <m/>
    <m/>
    <m/>
    <m/>
    <m/>
    <m/>
    <m/>
    <m/>
    <m/>
    <m/>
    <m/>
    <m/>
    <m/>
    <m/>
    <m/>
    <m/>
    <m/>
    <m/>
    <m/>
    <m/>
    <m/>
    <m/>
    <m/>
    <m/>
    <m/>
    <m/>
    <m/>
    <m/>
    <d v="2017-03-01T00:00:00"/>
    <d v="2019-03-31T00:00:00"/>
    <m/>
    <s v="Development Access to and Control over Economic Resources"/>
    <n v="2031562.62"/>
    <s v="Blandina Karoma"/>
    <s v="Program Coordinator"/>
    <s v="Bkaroma@care.org"/>
    <s v="Thabit Masoud"/>
    <s v="SALAMA DTU"/>
    <s v="TMasoud@care.org"/>
    <s v="NO"/>
    <s v="YES"/>
    <s v="NO"/>
    <s v="Improved livelihoods and income of small-scale farmers, particularly women and youth, through facilitating strong linkages among actors within sunflower market systems, thereby contributing to Tanzanias National Sunflower Strategy and economic development."/>
    <s v="Sub-National"/>
    <s v="Iringa and Njombe region in Iringa rural and Waging'ombe districts"/>
    <s v="Women and Youth smallholders farmers"/>
    <n v="4800"/>
    <n v="3200"/>
    <n v="8000"/>
    <n v="19200"/>
    <n v="12800"/>
    <n v="32000"/>
    <s v="The direct participants are those who will be directly benefited by the project in the trainings, seeds,all program activities will be passing through them, while Indirect participants are the family members of the direct partipants. By Demographic survey the household member size is 5 hence if in the household we have 5 member and one of them is our direct partipant hence we take the direct partipant times 4 to get the indirect partipants of the project"/>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x v="3"/>
    <m/>
    <m/>
    <m/>
    <m/>
    <m/>
    <m/>
    <m/>
    <m/>
    <m/>
    <x v="3"/>
    <m/>
    <x v="2"/>
    <m/>
    <x v="3"/>
    <x v="1"/>
    <s v="YES"/>
    <x v="0"/>
    <x v="0"/>
    <x v="1"/>
    <x v="4"/>
    <n v="3"/>
    <x v="1"/>
    <x v="1"/>
    <x v="1"/>
    <x v="1"/>
    <x v="2"/>
    <x v="1"/>
    <n v="3"/>
    <x v="1"/>
    <x v="1"/>
    <x v="1"/>
    <x v="2"/>
    <x v="3"/>
    <n v="2"/>
    <x v="1"/>
    <x v="4"/>
    <m/>
    <m/>
    <m/>
    <m/>
    <x v="3"/>
    <m/>
    <m/>
    <m/>
    <m/>
    <m/>
    <m/>
    <m/>
    <m/>
    <m/>
    <s v="http://minerva.care.ca/livelink1/livelink.exe?func=ll&amp;objId=6558027&amp;objAction=browse&amp;viewType="/>
    <n v="0"/>
    <n v="0"/>
    <s v=""/>
    <s v=""/>
    <s v=""/>
    <n v="0"/>
    <n v="0"/>
    <s v=""/>
    <n v="0"/>
    <n v="0"/>
    <s v=""/>
    <s v=""/>
    <n v="0"/>
    <n v="0"/>
    <s v=""/>
    <s v=""/>
    <n v="0"/>
    <n v="0"/>
    <s v=""/>
    <s v=""/>
    <n v="0"/>
    <n v="0"/>
    <s v=""/>
    <s v=""/>
    <n v="0"/>
    <n v="0"/>
    <s v=""/>
    <s v="3. Responsive"/>
    <s v="2. Accommodating"/>
    <s v="1. Neutral"/>
    <n v="0"/>
    <n v="0"/>
    <n v="0"/>
  </r>
  <r>
    <x v="72"/>
    <x v="5"/>
    <n v="3658"/>
    <s v="Ardhi Yetu (Our Land) Program"/>
    <s v="Tanzania"/>
    <s v="DK116"/>
    <s v="CARE Danmark"/>
    <s v="Government"/>
    <s v="Government - Denmark"/>
    <s v="DANIDA"/>
    <m/>
    <m/>
    <m/>
    <m/>
    <m/>
    <m/>
    <m/>
    <m/>
    <m/>
    <m/>
    <m/>
    <m/>
    <m/>
    <m/>
    <m/>
    <m/>
    <m/>
    <m/>
    <m/>
    <m/>
    <m/>
    <m/>
    <m/>
    <m/>
    <m/>
    <m/>
    <m/>
    <m/>
    <m/>
    <m/>
    <m/>
    <m/>
    <m/>
    <m/>
    <m/>
    <m/>
    <m/>
    <m/>
    <m/>
    <m/>
    <m/>
    <m/>
    <m/>
    <m/>
    <m/>
    <d v="2014-01-01T00:00:00"/>
    <d v="2017-12-31T00:00:00"/>
    <m/>
    <s v="Development Access to and Control over Economic Resources"/>
    <m/>
    <s v="Marry Ndaro"/>
    <s v="Program Coordinator"/>
    <s v="Marry.ndaro@care.org"/>
    <s v="Ali Mbarouk"/>
    <s v="Monitoring, Evaluation and Learning Coordinator"/>
    <s v="Ali.mbarouk@care.org"/>
    <s v="NO"/>
    <s v="YES"/>
    <s v="NO"/>
    <s v="1.Strengthen the capacity of Tanzania civil society at local and National levels to hold land sector duty bearers accountable  (including government and private sector) while advocating and ppromoting for the rights of small scale farmers and pastoralists as a mean of ensuring food security.2. increased capacity of small scale farmers and pastorialists and their local organizations to represent their interest, understand their rights, and work collaboratively. 3. Strengthen vertical linkage between local level CBOs and interest groups with  National, Regional and international level alliances and network supporting land rights"/>
    <s v="Sub-National"/>
    <s v="Iringa region (Mufindi and Kilolo districts), Mbeya region (Mbarali district), Coastal region (Kilwa and Rufiji)"/>
    <s v="Small scale farmers and pastoralists, women and other groups that are dependent on land and other Natural resources in areas affected by large commercial agriculture."/>
    <n v="36260"/>
    <n v="37740"/>
    <n v="74000"/>
    <n v="3659464"/>
    <n v="3515956"/>
    <n v="7175420"/>
    <s v="Direct beneficiaries are pastoralists community (including producer) receiving support land rights issues. It also include their network. Indirect beneficiaries include household members of direct beneficaries, people who are indirectly affected by program interventions; advocacy and policy issues, compaign in TV, Radio and newsletters etc."/>
    <m/>
    <m/>
    <m/>
    <m/>
    <m/>
    <m/>
    <m/>
    <m/>
    <m/>
    <m/>
    <m/>
    <m/>
    <m/>
    <m/>
    <m/>
    <m/>
    <m/>
    <m/>
    <m/>
    <m/>
    <m/>
    <m/>
    <m/>
    <m/>
    <m/>
    <m/>
    <m/>
    <m/>
    <m/>
    <m/>
    <m/>
    <m/>
    <m/>
    <m/>
    <m/>
    <m/>
    <m/>
    <m/>
    <m/>
    <m/>
    <m/>
    <m/>
    <m/>
    <m/>
    <m/>
    <m/>
    <m/>
    <m/>
    <m/>
    <m/>
    <m/>
    <m/>
    <m/>
    <m/>
    <m/>
    <m/>
    <m/>
    <m/>
    <m/>
    <m/>
    <n v="449"/>
    <n v="515"/>
    <n v="964"/>
    <n v="2411"/>
    <n v="2409"/>
    <n v="4820"/>
    <s v="NO"/>
    <m/>
    <m/>
    <m/>
    <s v="NO"/>
    <m/>
    <m/>
    <m/>
    <s v="NO"/>
    <m/>
    <m/>
    <m/>
    <s v="NO"/>
    <m/>
    <m/>
    <m/>
    <s v="YES"/>
    <n v="964"/>
    <n v="0.47"/>
    <n v="4820"/>
    <s v="NO"/>
    <m/>
    <m/>
    <m/>
    <s v="YES"/>
    <n v="964"/>
    <n v="0.47"/>
    <n v="4820"/>
    <s v="NO"/>
    <m/>
    <m/>
    <m/>
    <s v="NO"/>
    <m/>
    <m/>
    <m/>
    <s v="NO"/>
    <m/>
    <m/>
    <m/>
    <s v="NO"/>
    <m/>
    <m/>
    <m/>
    <s v="YES"/>
    <m/>
    <m/>
    <m/>
    <s v="YES"/>
    <n v="860"/>
    <n v="0.47"/>
    <n v="4300"/>
    <s v="NO"/>
    <m/>
    <m/>
    <m/>
    <s v="NO"/>
    <m/>
    <m/>
    <m/>
    <s v="NO"/>
    <m/>
    <m/>
    <m/>
    <m/>
    <m/>
    <m/>
    <m/>
    <m/>
    <s v="YES"/>
    <s v="December"/>
    <n v="2016"/>
    <s v="YES"/>
    <s v="YES"/>
    <s v="October"/>
    <n v="2017"/>
    <m/>
    <x v="2"/>
    <s v="YES"/>
    <s v="NO"/>
    <s v="YES"/>
    <s v="YES"/>
    <s v="YES"/>
    <s v="NO"/>
    <s v="NO"/>
    <s v="NO"/>
    <m/>
    <x v="1"/>
    <m/>
    <x v="1"/>
    <m/>
    <x v="0"/>
    <x v="1"/>
    <s v="YES"/>
    <x v="0"/>
    <x v="0"/>
    <x v="1"/>
    <x v="4"/>
    <n v="3"/>
    <x v="2"/>
    <x v="1"/>
    <x v="1"/>
    <x v="1"/>
    <x v="1"/>
    <x v="2"/>
    <n v="4"/>
    <x v="1"/>
    <x v="1"/>
    <x v="2"/>
    <x v="2"/>
    <x v="3"/>
    <n v="1"/>
    <x v="0"/>
    <x v="3"/>
    <n v="2"/>
    <s v="Media or journalist network(s)"/>
    <s v="Local NGO(s)/CSO(s)"/>
    <m/>
    <x v="0"/>
    <s v="AYP has provided the civil Societys implementing the program both technical and financial capacity"/>
    <m/>
    <s v="Working in alliance with other CSOs on land related issues, large scale investment, gender and pastoralism"/>
    <s v="Engaging high level government officials and institutions coordinating land issues"/>
    <s v="Working with Private sector on large scale investment, land use plan and land rights for supporting small holder farmers and pastoralists"/>
    <s v="The power of working in coalition with other like minded organizations were an eye opener for AYP team and partners"/>
    <s v="The readness of the government ministries to involve CSOs in the process of policy review."/>
    <s v="Issues agreed upon (during stakeholder meeting) were not well taken by the decision  and policymakers and hence more strategic engagement (with policy and decision makers) needed."/>
    <s v="Data presented in this FY17 PIIRS  Reach were mainly extracted from Program Annual Report, where the reach is lower compared to previous reporting due to fact that AYP is more operating at National Level than at community level (more for influencing policy change)"/>
    <m/>
    <n v="964"/>
    <n v="4820"/>
    <n v="5"/>
    <n v="0.46576763485477179"/>
    <n v="0.50020746887966805"/>
    <n v="449"/>
    <n v="2411"/>
    <s v=""/>
    <n v="0"/>
    <n v="0"/>
    <s v=""/>
    <n v="1"/>
    <n v="964"/>
    <n v="4820"/>
    <n v="5"/>
    <s v=""/>
    <n v="0"/>
    <n v="0"/>
    <s v=""/>
    <s v=""/>
    <n v="0"/>
    <n v="0"/>
    <s v=""/>
    <n v="1"/>
    <n v="453.08"/>
    <n v="2265.4"/>
    <n v="5"/>
    <s v="3. Responsive"/>
    <s v="4. Transformational"/>
    <s v="1. Neutral"/>
    <s v="It tested new ways for fighting poverty, but did not measure results of innovation"/>
    <s v="Intensive advocacy"/>
    <s v="It linked and worked with strategic alliances and partners to take tested and effective solutions to scale"/>
  </r>
  <r>
    <x v="72"/>
    <x v="5"/>
    <n v="3660"/>
    <s v="CARE-WWF Alliance in Tanzania: Expanding up the Coast"/>
    <s v="Tanzania"/>
    <m/>
    <s v="CARE USA"/>
    <s v="Foundation"/>
    <s v="Other"/>
    <s v="Sall Family Foundation"/>
    <m/>
    <m/>
    <m/>
    <m/>
    <m/>
    <m/>
    <m/>
    <m/>
    <m/>
    <m/>
    <m/>
    <m/>
    <m/>
    <m/>
    <m/>
    <m/>
    <m/>
    <m/>
    <m/>
    <m/>
    <m/>
    <m/>
    <m/>
    <m/>
    <m/>
    <m/>
    <m/>
    <m/>
    <m/>
    <m/>
    <m/>
    <m/>
    <m/>
    <m/>
    <m/>
    <m/>
    <m/>
    <m/>
    <m/>
    <m/>
    <m/>
    <m/>
    <m/>
    <m/>
    <m/>
    <d v="2016-01-01T00:00:00"/>
    <d v="2019-06-30T00:00:00"/>
    <m/>
    <s v="Development Other"/>
    <n v="840000"/>
    <s v="Christina John"/>
    <s v="Partnership Development Manager"/>
    <s v="Cjohn@care.org"/>
    <s v="Thabit Masoud"/>
    <s v="Program Director- SALAMA"/>
    <s v="Tmasoud@care.org"/>
    <s v="NO"/>
    <s v="YES"/>
    <s v="NO"/>
    <s v="By June 2019, a scalable evidence- based approache to intergration conservation and natural resource based livelihoods in farming communities of  Nachingwea district, Southern Tanzania."/>
    <s v="Sub-National"/>
    <s v="Nachingwea district, Lindi Region , Southern Tanzania"/>
    <s v="Poor smallholder women farmers"/>
    <n v="1600"/>
    <n v="1800"/>
    <n v="3400"/>
    <n v="6400"/>
    <n v="7200"/>
    <n v="13600"/>
    <s v="Direct participants are the poor smallholder women farmers who are directly reached through project activities are are specifically mentioned in the project proposal while indirect participants are the people who are reached through direct participants and have been calculated by multiplying direct participant number by the average Tanzania Demographic Survey of 2012 that shows the average number of four people per household."/>
    <m/>
    <m/>
    <m/>
    <m/>
    <m/>
    <m/>
    <m/>
    <m/>
    <m/>
    <m/>
    <m/>
    <m/>
    <m/>
    <m/>
    <m/>
    <m/>
    <m/>
    <m/>
    <m/>
    <m/>
    <m/>
    <m/>
    <m/>
    <m/>
    <m/>
    <m/>
    <m/>
    <m/>
    <m/>
    <m/>
    <m/>
    <m/>
    <m/>
    <m/>
    <m/>
    <m/>
    <m/>
    <m/>
    <m/>
    <m/>
    <m/>
    <m/>
    <m/>
    <m/>
    <m/>
    <m/>
    <m/>
    <m/>
    <m/>
    <m/>
    <m/>
    <m/>
    <m/>
    <m/>
    <m/>
    <m/>
    <m/>
    <m/>
    <m/>
    <m/>
    <n v="287"/>
    <n v="307"/>
    <n v="594"/>
    <n v="1148"/>
    <n v="1228"/>
    <n v="2376"/>
    <s v="YES"/>
    <n v="165"/>
    <n v="0.46"/>
    <n v="660"/>
    <s v="YES"/>
    <n v="302"/>
    <n v="0.374"/>
    <n v="1208"/>
    <s v="NO"/>
    <m/>
    <m/>
    <m/>
    <s v="NO"/>
    <m/>
    <m/>
    <m/>
    <s v="NO"/>
    <m/>
    <m/>
    <m/>
    <s v="NO"/>
    <m/>
    <m/>
    <m/>
    <s v="YES"/>
    <n v="329"/>
    <n v="0.55000000000000004"/>
    <n v="1316"/>
    <s v="NO"/>
    <m/>
    <m/>
    <m/>
    <s v="YES"/>
    <m/>
    <m/>
    <m/>
    <s v="NO"/>
    <m/>
    <m/>
    <m/>
    <s v="NO"/>
    <m/>
    <m/>
    <m/>
    <s v="YES"/>
    <n v="137"/>
    <n v="0.27"/>
    <n v="548"/>
    <s v="YES"/>
    <n v="16"/>
    <n v="0.5"/>
    <n v="64"/>
    <s v="NO"/>
    <m/>
    <m/>
    <m/>
    <s v="NO"/>
    <m/>
    <m/>
    <m/>
    <s v="YES"/>
    <n v="164"/>
    <n v="0.64600000000000002"/>
    <n v="656"/>
    <m/>
    <m/>
    <m/>
    <m/>
    <m/>
    <s v="YES"/>
    <s v="August"/>
    <n v="2016"/>
    <s v="NO"/>
    <s v="YES"/>
    <s v="September"/>
    <n v="2017"/>
    <s v="Team has not yet discuss and agree on the methodologies to use in the next coming Mid- Term Review"/>
    <x v="1"/>
    <s v="NO"/>
    <s v="NO"/>
    <s v="YES"/>
    <s v="NO"/>
    <s v="YES"/>
    <s v="NO"/>
    <s v="NO"/>
    <m/>
    <m/>
    <x v="1"/>
    <s v="The alliance has been tested how VSLA can reduce pressure in forest. Team have started to measure how effective this can promote to conservation of natural resources but will have the written information in the next few months."/>
    <x v="1"/>
    <s v="Tested pro poor sustainable approaches to household economic development and conservation of natural resources."/>
    <x v="0"/>
    <x v="0"/>
    <s v="YES"/>
    <x v="1"/>
    <x v="0"/>
    <x v="1"/>
    <x v="1"/>
    <n v="2"/>
    <x v="1"/>
    <x v="2"/>
    <x v="1"/>
    <x v="2"/>
    <x v="1"/>
    <x v="4"/>
    <n v="2"/>
    <x v="1"/>
    <x v="1"/>
    <x v="1"/>
    <x v="1"/>
    <x v="1"/>
    <n v="3"/>
    <x v="3"/>
    <x v="3"/>
    <n v="2"/>
    <s v="International NGO(s)"/>
    <s v="Local alliance(s)/Platform(s)/Network(s) of  NGOs/CSOs"/>
    <m/>
    <x v="1"/>
    <m/>
    <s v="In Alliance pilot project there was no focused impact group and gender was not the main focus. However in the next two years gender will be a cross cutting issue around all the project outcomes."/>
    <s v="Farmer Field and Business School"/>
    <s v="Village Saving and Loan Association"/>
    <s v="Use of Village Natural Resorce Committees in management of natural resources"/>
    <s v="The impact of CSA intervention has greatly helped in conservation work, farmers have observed that it is possible to cultivate a small plot  of the land and produce more. The notion of searching for new farms has been reduced in implementation areas."/>
    <s v="Selection of people in the Village Natural Resources Committee who have been engaged with illegal timber trading propmoted them to stop this business as well as mobilizing their allies to stop and concentrate in other income generating activities. Those people have been active participants in management of natural resources and provide advise on how well to conduct patrols over the forest"/>
    <s v="For the village that have started see the benefit from Participatory Forest Management activities, each community members have started see the importance of working closely with Village Natural Resource Committee on management of natural resources."/>
    <s v="The project have been awarded 2 years after extension period and this is effective from July 2017 to June 2019."/>
    <m/>
    <n v="594"/>
    <n v="2376"/>
    <n v="4"/>
    <n v="0.48316498316498319"/>
    <n v="0.48316498316498319"/>
    <n v="287"/>
    <n v="1148"/>
    <s v=""/>
    <n v="0"/>
    <n v="0"/>
    <s v=""/>
    <n v="1"/>
    <n v="329"/>
    <n v="1316"/>
    <n v="4"/>
    <s v=""/>
    <n v="0"/>
    <n v="0"/>
    <s v=""/>
    <s v=""/>
    <n v="0"/>
    <n v="0"/>
    <s v=""/>
    <n v="1"/>
    <n v="164"/>
    <n v="656"/>
    <n v="4"/>
    <s v="1. Neutral"/>
    <s v="1. Tokenistic"/>
    <s v="2. Sensitive"/>
    <s v="It tested new ways for fighting poverty, but did not measure results of innovation"/>
    <s v="Moderate advocacy"/>
    <s v="It linked and worked with strategic alliances and partners to take tested and effective solutions to scale"/>
  </r>
  <r>
    <x v="72"/>
    <x v="5"/>
    <n v="3657"/>
    <s v="Gender Equality and Women Empowerment Program (GEWEP)"/>
    <s v="Tanzania"/>
    <s v="CNORTZ0107"/>
    <s v="CARE Norge"/>
    <s v="Government"/>
    <s v="Government - Norway"/>
    <s v="NORAD"/>
    <m/>
    <m/>
    <m/>
    <m/>
    <m/>
    <m/>
    <m/>
    <m/>
    <m/>
    <m/>
    <m/>
    <m/>
    <m/>
    <m/>
    <m/>
    <m/>
    <m/>
    <m/>
    <m/>
    <m/>
    <m/>
    <m/>
    <m/>
    <m/>
    <m/>
    <m/>
    <m/>
    <m/>
    <m/>
    <m/>
    <m/>
    <m/>
    <m/>
    <m/>
    <m/>
    <m/>
    <m/>
    <m/>
    <m/>
    <m/>
    <m/>
    <m/>
    <m/>
    <m/>
    <m/>
    <d v="2014-01-01T00:00:00"/>
    <d v="2017-04-30T00:00:00"/>
    <m/>
    <s v="Development Access to and Control over Economic Resources"/>
    <n v="506977"/>
    <s v="Ali Mbarouk"/>
    <s v="Program Coordinator"/>
    <s v="Ali.mbarouk@care.org"/>
    <s v="Gloria Cheche"/>
    <s v="Deputy Country Director - Program"/>
    <s v="Gloria.cheche@care.org"/>
    <s v="NO"/>
    <s v="YES"/>
    <s v="NO"/>
    <s v="Women in food insecure households where livelihoods depend on rain -fed small holder agriculture and Natural Resources in Zanzibar (Unguja and Pemba) realize the social economic and political rights."/>
    <s v="Sub-National"/>
    <s v="Zanzibar (Unguja and Pemba)"/>
    <s v="women in food insecure households where livelihoods depend on rain -fed small holder agriculture and Natural Resources in Zanzibar will be reached directly through village savings and loan groups (VSLA)."/>
    <n v="66180"/>
    <n v="16545"/>
    <n v="82725"/>
    <n v="264720"/>
    <n v="66180"/>
    <n v="330900"/>
    <s v="Direct beneficiaries at VSLA members estimated at 25 at each group while the indirect beneficiaries are number of direct benficiaries multilied by average household size and then substracting the direct beneficiaries."/>
    <m/>
    <m/>
    <m/>
    <m/>
    <m/>
    <m/>
    <m/>
    <m/>
    <m/>
    <m/>
    <m/>
    <m/>
    <m/>
    <m/>
    <m/>
    <m/>
    <m/>
    <m/>
    <m/>
    <m/>
    <m/>
    <m/>
    <m/>
    <m/>
    <m/>
    <m/>
    <m/>
    <m/>
    <m/>
    <m/>
    <m/>
    <m/>
    <m/>
    <m/>
    <m/>
    <m/>
    <m/>
    <m/>
    <m/>
    <m/>
    <m/>
    <m/>
    <m/>
    <m/>
    <m/>
    <m/>
    <m/>
    <m/>
    <m/>
    <m/>
    <m/>
    <m/>
    <m/>
    <m/>
    <m/>
    <m/>
    <m/>
    <m/>
    <m/>
    <m/>
    <n v="13534"/>
    <n v="6029"/>
    <n v="19563"/>
    <n v="49886"/>
    <n v="47929"/>
    <n v="97815"/>
    <s v="NO"/>
    <m/>
    <m/>
    <m/>
    <s v="NO"/>
    <m/>
    <m/>
    <m/>
    <s v="NO"/>
    <m/>
    <m/>
    <m/>
    <s v="NO"/>
    <m/>
    <m/>
    <m/>
    <s v="YES"/>
    <n v="20140"/>
    <n v="0.8"/>
    <n v="100700"/>
    <s v="NO"/>
    <m/>
    <m/>
    <m/>
    <s v="NO"/>
    <m/>
    <m/>
    <m/>
    <s v="YES"/>
    <n v="19477"/>
    <n v="0.75"/>
    <n v="97385"/>
    <s v="NO"/>
    <m/>
    <m/>
    <m/>
    <s v="NO"/>
    <m/>
    <m/>
    <m/>
    <s v="NO"/>
    <m/>
    <m/>
    <m/>
    <s v="NO"/>
    <m/>
    <m/>
    <m/>
    <s v="NO"/>
    <m/>
    <m/>
    <m/>
    <s v="NO"/>
    <m/>
    <m/>
    <m/>
    <s v="NO"/>
    <m/>
    <m/>
    <m/>
    <s v="YES"/>
    <n v="19477"/>
    <n v="0.79200000000000004"/>
    <n v="19385"/>
    <m/>
    <m/>
    <m/>
    <m/>
    <m/>
    <s v="NO"/>
    <m/>
    <m/>
    <m/>
    <s v="NO"/>
    <m/>
    <n v="2017"/>
    <s v="No future evaluation is planned for GEWEP"/>
    <x v="1"/>
    <s v="NO"/>
    <s v="YES"/>
    <s v="NO"/>
    <s v="YES"/>
    <s v="NO"/>
    <s v="NO"/>
    <s v="NO"/>
    <s v="NO"/>
    <m/>
    <x v="0"/>
    <m/>
    <x v="3"/>
    <m/>
    <x v="1"/>
    <x v="1"/>
    <s v="YES"/>
    <x v="0"/>
    <x v="1"/>
    <x v="1"/>
    <x v="4"/>
    <n v="2"/>
    <x v="1"/>
    <x v="1"/>
    <x v="1"/>
    <x v="1"/>
    <x v="1"/>
    <x v="1"/>
    <n v="4"/>
    <x v="1"/>
    <x v="1"/>
    <x v="2"/>
    <x v="2"/>
    <x v="3"/>
    <n v="1"/>
    <x v="0"/>
    <x v="3"/>
    <n v="2"/>
    <s v="Local NGO(s)/CSO(s)"/>
    <m/>
    <m/>
    <x v="0"/>
    <s v="The participating NGOs were capacity strengthen both in term of financial and technical skills development. In term of finance, there were  subgranted and provided skills related to financial management. In term of other skills development, partners were exposed to; human resources management skills, monitoring and evaluation, Gender marker training, Natural Resource management, Fundraising etc."/>
    <m/>
    <s v="Engaging Religious leader to advance gender equality"/>
    <s v="Men Engage"/>
    <s v="Working in partnership with local organizations"/>
    <s v="women who are successfully in their economic activities are able to participate more in processes of household level financial decision making."/>
    <s v="Holistic and intergrated approaches involving engaging men (and boys) including religious leaders are needed to address discriminatory norms that limit women's participation in and benefiting from economic activities"/>
    <s v="Shaking of GEWEP program implementation due to inability to retain staff (due to insufficient potifolio) has resulted in loss of experience, program knowledge as well as challenges towards achieving program objectives."/>
    <m/>
    <m/>
    <n v="19563"/>
    <n v="97815"/>
    <n v="5"/>
    <n v="0.69181618361192043"/>
    <n v="0.51000357818330522"/>
    <n v="13534"/>
    <n v="49886"/>
    <s v=""/>
    <n v="0"/>
    <n v="0"/>
    <s v=""/>
    <n v="1"/>
    <n v="20140"/>
    <n v="100700"/>
    <n v="5"/>
    <s v=""/>
    <n v="0"/>
    <n v="0"/>
    <s v=""/>
    <n v="1"/>
    <n v="19477"/>
    <n v="97385"/>
    <n v="5"/>
    <n v="1"/>
    <n v="19477"/>
    <n v="80560"/>
    <n v="4.1361605996816762"/>
    <s v="3. Responsive"/>
    <s v="2. Accommodating"/>
    <s v="1. Neutral"/>
    <s v="It did not develop any specific innovation"/>
    <s v="Moderate advocacy"/>
    <s v="It took tested solutions to scale on its own"/>
  </r>
  <r>
    <x v="72"/>
    <x v="5"/>
    <m/>
    <s v="GO GREEN PROJECT"/>
    <s v="Tanzania"/>
    <s v="CDNKTZ00016"/>
    <s v="CARE Danmark"/>
    <s v="Foundation"/>
    <s v="Other"/>
    <s v="Augustinus Foundation"/>
    <s v="CNORTZ0110"/>
    <s v="No CARE member related to the project/initiative"/>
    <s v="Foundation"/>
    <s v="Other"/>
    <s v="FRED OLSEN"/>
    <s v="CUPFTZ"/>
    <s v="No CARE member related to the project/initiative"/>
    <s v="Individual supporter"/>
    <s v="Other"/>
    <s v="INDIVIDUAL DONOR"/>
    <s v="CUPFTZ"/>
    <s v="No CARE member related to the project/initiative"/>
    <s v="Foundation"/>
    <s v="Other"/>
    <s v="MARSHAL REYNOLD"/>
    <m/>
    <m/>
    <m/>
    <m/>
    <m/>
    <m/>
    <m/>
    <m/>
    <m/>
    <m/>
    <m/>
    <m/>
    <m/>
    <m/>
    <m/>
    <m/>
    <m/>
    <m/>
    <m/>
    <m/>
    <m/>
    <m/>
    <m/>
    <m/>
    <m/>
    <m/>
    <m/>
    <m/>
    <m/>
    <m/>
    <d v="2017-01-01T00:00:00"/>
    <d v="2020-03-03T00:00:00"/>
    <m/>
    <s v="Development Other"/>
    <n v="506852.22139714297"/>
    <s v="Waziri Njau"/>
    <s v="Programme Coordinator"/>
    <s v="WNjau@care.org"/>
    <m/>
    <m/>
    <m/>
    <s v="NO"/>
    <s v="YES"/>
    <s v="NO"/>
    <s v="Contribute to increasing the number of women in Tanzania adopting and directly benefitting from clean energy. products. Results: Result 1: Three private clean energy suppliers (with formally certified products) are selling competitive and quality products to 450 women entrepreneurs through three established district level energy hubs in Kilimanjaro Region. Result 2: 450 women entrepreneurs have established clean energy businesses and are selling competitive and quality products according to the demands of the population in rural areas of Kilimanjaro Region; 30,000 products will be sold, reaching 150,000 indirect beneficiaries. Result 3: Increased awareness among energy sector stakeholders - throughout the value chain - of key barriers and drivers for adoption of new clean energy technologies."/>
    <s v="Sub-National"/>
    <s v="The project is implemented in three Districts (Same, Hai &amp; Moshi rural)"/>
    <s v="450 women entrepreneurs have established clean energy businesses and are selling competitive and quality products according to the demands of the population in rural areas of Kilimanjaro Region; 30,000 products will be sold, reaching 150,000 indirect beneficiaries."/>
    <n v="450"/>
    <n v="0"/>
    <n v="450"/>
    <n v="105000"/>
    <n v="45000"/>
    <n v="150000"/>
    <s v="450 women will be targeting in the project. The project aims to sell a total of 30,000 products reaching an estimate 150,000 men and women. Indirect participants have been caculating by a 70/40 split with the majority of products reaching women."/>
    <m/>
    <m/>
    <m/>
    <m/>
    <m/>
    <m/>
    <m/>
    <m/>
    <m/>
    <m/>
    <m/>
    <m/>
    <m/>
    <m/>
    <m/>
    <m/>
    <m/>
    <m/>
    <m/>
    <m/>
    <m/>
    <m/>
    <m/>
    <m/>
    <m/>
    <m/>
    <m/>
    <m/>
    <m/>
    <m/>
    <m/>
    <m/>
    <m/>
    <m/>
    <m/>
    <m/>
    <m/>
    <m/>
    <m/>
    <m/>
    <m/>
    <m/>
    <m/>
    <m/>
    <m/>
    <m/>
    <m/>
    <m/>
    <m/>
    <m/>
    <m/>
    <m/>
    <m/>
    <m/>
    <m/>
    <m/>
    <m/>
    <m/>
    <m/>
    <m/>
    <m/>
    <m/>
    <m/>
    <m/>
    <m/>
    <m/>
    <m/>
    <m/>
    <m/>
    <m/>
    <m/>
    <m/>
    <m/>
    <m/>
    <m/>
    <m/>
    <m/>
    <m/>
    <m/>
    <m/>
    <m/>
    <m/>
    <m/>
    <m/>
    <m/>
    <m/>
    <m/>
    <m/>
    <m/>
    <m/>
    <m/>
    <m/>
    <m/>
    <m/>
    <m/>
    <m/>
    <m/>
    <m/>
    <m/>
    <m/>
    <m/>
    <m/>
    <m/>
    <m/>
    <m/>
    <m/>
    <m/>
    <m/>
    <m/>
    <m/>
    <m/>
    <m/>
    <m/>
    <m/>
    <m/>
    <m/>
    <m/>
    <m/>
    <m/>
    <m/>
    <m/>
    <m/>
    <m/>
    <m/>
    <m/>
    <m/>
    <s v="YES"/>
    <m/>
    <m/>
    <m/>
    <m/>
    <m/>
    <m/>
    <m/>
    <m/>
    <s v="YES"/>
    <s v="May"/>
    <n v="2017"/>
    <s v="NO"/>
    <s v="NO"/>
    <m/>
    <m/>
    <s v="The final report has yet to be completed."/>
    <x v="0"/>
    <s v="NO"/>
    <m/>
    <m/>
    <s v="NO"/>
    <m/>
    <m/>
    <s v="NO"/>
    <m/>
    <m/>
    <x v="3"/>
    <m/>
    <x v="2"/>
    <m/>
    <x v="3"/>
    <x v="0"/>
    <s v="YES"/>
    <x v="0"/>
    <x v="0"/>
    <x v="1"/>
    <x v="1"/>
    <n v="3"/>
    <x v="1"/>
    <x v="1"/>
    <x v="1"/>
    <x v="1"/>
    <x v="1"/>
    <x v="1"/>
    <n v="4"/>
    <x v="1"/>
    <x v="1"/>
    <x v="1"/>
    <x v="1"/>
    <x v="1"/>
    <n v="3"/>
    <x v="3"/>
    <x v="3"/>
    <n v="6"/>
    <s v="Private sector"/>
    <s v="Local NGO(s)/CSO(s)"/>
    <m/>
    <x v="0"/>
    <m/>
    <m/>
    <s v="Implementation of the project has not yet started. However a platform to work through VSLAs will provide 450 women who are enterpreneurs. Additionally a partnership with the  private sector will train and trade with women involved in project implementation."/>
    <s v="Private sector engagement"/>
    <m/>
    <s v="Project implementation has not yet started."/>
    <m/>
    <m/>
    <s v="The project has not yet started the implementation"/>
    <s v="https://drive.google.com/file/d/0BzwFUvSWgpwQVTVtQ3RpT0ZYMFc2MGJWcWNMU2hDR2xDZmFF/view?ts=596f0eb0"/>
    <n v="0"/>
    <n v="0"/>
    <s v=""/>
    <s v=""/>
    <s v=""/>
    <n v="0"/>
    <n v="0"/>
    <s v=""/>
    <n v="0"/>
    <n v="0"/>
    <s v=""/>
    <s v=""/>
    <n v="0"/>
    <n v="0"/>
    <s v=""/>
    <s v=""/>
    <n v="0"/>
    <n v="0"/>
    <s v=""/>
    <s v=""/>
    <n v="0"/>
    <n v="0"/>
    <s v=""/>
    <n v="1"/>
    <n v="0"/>
    <n v="0"/>
    <s v=""/>
    <s v="1. Neutral"/>
    <s v="2. Accommodating"/>
    <s v="2. Sensitive"/>
    <n v="0"/>
    <s v="Little or no advocacy"/>
    <n v="0"/>
  </r>
  <r>
    <x v="72"/>
    <x v="5"/>
    <n v="3655"/>
    <s v="Link UP"/>
    <s v="Tanzania"/>
    <s v="GATETZ0020"/>
    <s v="CARE USA"/>
    <s v="Foundation"/>
    <s v="Bill &amp; Melinda Gates Foundation"/>
    <s v="Bill &amp; Melinda Gates Foundation"/>
    <m/>
    <m/>
    <m/>
    <m/>
    <m/>
    <m/>
    <m/>
    <m/>
    <m/>
    <m/>
    <m/>
    <m/>
    <m/>
    <m/>
    <m/>
    <m/>
    <m/>
    <m/>
    <m/>
    <m/>
    <m/>
    <m/>
    <m/>
    <m/>
    <m/>
    <m/>
    <m/>
    <m/>
    <m/>
    <m/>
    <m/>
    <m/>
    <m/>
    <m/>
    <m/>
    <m/>
    <m/>
    <m/>
    <m/>
    <m/>
    <m/>
    <m/>
    <m/>
    <m/>
    <m/>
    <d v="2013-10-30T00:00:00"/>
    <m/>
    <d v="2017-06-30T00:00:00"/>
    <s v="Development Access to and Control over Economic Resources"/>
    <n v="787851"/>
    <s v="Christian Pennotti"/>
    <s v="Financial inclusion Director - Access Africa"/>
    <s v="Cpennotti@care.orrg"/>
    <s v="Mwimbe Fikirini"/>
    <s v="Program Coordinator - Care Tanzania"/>
    <s v="Mfikirini@Care.com"/>
    <s v="NO"/>
    <s v="YES"/>
    <s v="NO"/>
    <s v="To build replicable models for financial inclusion by providing opportunities for VSLA members to access formal financial services via linkages to financial service providers through the introduction and expansion of technology-enabled financial service"/>
    <s v="Sub-National"/>
    <s v="Dar es salaam (Kinondoni and temeke Districts, Morogoro (Mvomero, Morogoro Municipal, Gairo, kilombero, Ulanga and Malinyi), Pwani (Kibaha, Mkuranga and Kisarawe), Tabora (Uyui, Sikonge, tabora Municipal and Urambo district), Shinyanga (Shinyanga rural and Kahama districts), Mwanza (sengerema and Kwimba Districts), Zanzibar (Unguja and Pemba), Njombe ( Ludewa), Iringa (Mufindi and iringa Municipal districts) and kilimanjaro (Hai district)."/>
    <s v="VSLAs Groups which are made up of about 70% women and 30% men."/>
    <n v="68000"/>
    <n v="32000"/>
    <n v="100000"/>
    <n v="272000"/>
    <n v="128000"/>
    <n v="400000"/>
    <s v="Direct participants of the project are member of VSLA groups, Local government leaders and village agent. Indirect particpants are calculated besed on current household survey scale that is Direct participants*4."/>
    <m/>
    <m/>
    <m/>
    <m/>
    <m/>
    <m/>
    <m/>
    <m/>
    <m/>
    <m/>
    <m/>
    <m/>
    <m/>
    <m/>
    <m/>
    <m/>
    <m/>
    <m/>
    <m/>
    <m/>
    <m/>
    <m/>
    <m/>
    <m/>
    <m/>
    <m/>
    <m/>
    <m/>
    <m/>
    <m/>
    <m/>
    <m/>
    <m/>
    <m/>
    <m/>
    <m/>
    <m/>
    <m/>
    <m/>
    <m/>
    <m/>
    <m/>
    <m/>
    <m/>
    <m/>
    <m/>
    <m/>
    <m/>
    <m/>
    <m/>
    <m/>
    <m/>
    <m/>
    <m/>
    <m/>
    <m/>
    <m/>
    <m/>
    <m/>
    <m/>
    <n v="11834"/>
    <n v="3417"/>
    <n v="15251"/>
    <n v="47336"/>
    <n v="13668"/>
    <n v="61004"/>
    <s v="NO"/>
    <m/>
    <m/>
    <m/>
    <s v="NO"/>
    <m/>
    <m/>
    <m/>
    <s v="NO"/>
    <m/>
    <m/>
    <m/>
    <s v="NO"/>
    <m/>
    <m/>
    <m/>
    <s v="NO"/>
    <m/>
    <m/>
    <m/>
    <s v="NO"/>
    <m/>
    <m/>
    <m/>
    <s v="NO"/>
    <m/>
    <m/>
    <m/>
    <s v="NO"/>
    <m/>
    <m/>
    <m/>
    <s v="NO"/>
    <m/>
    <m/>
    <m/>
    <s v="NO"/>
    <m/>
    <m/>
    <m/>
    <s v="NO"/>
    <m/>
    <m/>
    <m/>
    <s v="NO"/>
    <m/>
    <m/>
    <m/>
    <s v="NO"/>
    <m/>
    <m/>
    <m/>
    <s v="NO"/>
    <m/>
    <m/>
    <m/>
    <s v="NO"/>
    <m/>
    <m/>
    <m/>
    <s v="YES"/>
    <n v="15251"/>
    <n v="0.77590000000000003"/>
    <n v="61004"/>
    <m/>
    <s v="NO"/>
    <m/>
    <m/>
    <m/>
    <s v="YES"/>
    <s v="April"/>
    <n v="2017"/>
    <s v="YES"/>
    <s v="NO"/>
    <m/>
    <m/>
    <s v="N/A"/>
    <x v="0"/>
    <s v="YES"/>
    <s v="NO"/>
    <s v="YES"/>
    <s v="YES"/>
    <s v="YES"/>
    <s v="NO"/>
    <s v="YES"/>
    <s v="NO"/>
    <m/>
    <x v="2"/>
    <s v="Chomoka is an emerging social enterprise driven by a proprietary mobile application to be used by VSLAs to manage their records, access banking services and gain advisory support from a trusted network of Chomoka agents. Once deployed at scale, Chomoka will accelerate and deepen formal financial inclusion while increasing usage of digital financial services in rural areas. The platform will generate an unprecedented, real-time data stream on the financial behavior of un-banked and under-banked groups and their members and offer new insights into the size, scope and behavior of these groups. Most importantly, Chomoka will enable groups to more effectively and accurately manage their transactions while also establishing digital financial histories and connections that open up a world of new possibilities. Chomoka expects to have over 1 million group members using the application by 2021."/>
    <x v="1"/>
    <s v="Enhancement of Mobile technology to VSLA groups ussing FFI mobile platform in making transactions"/>
    <x v="0"/>
    <x v="0"/>
    <s v="YES"/>
    <x v="0"/>
    <x v="0"/>
    <x v="0"/>
    <x v="0"/>
    <n v="4"/>
    <x v="1"/>
    <x v="1"/>
    <x v="2"/>
    <x v="1"/>
    <x v="1"/>
    <x v="1"/>
    <n v="3"/>
    <x v="1"/>
    <x v="2"/>
    <x v="2"/>
    <x v="1"/>
    <x v="3"/>
    <n v="1"/>
    <x v="2"/>
    <x v="0"/>
    <n v="3"/>
    <s v="Private sector"/>
    <s v="Local government(s)"/>
    <s v="International NGO(s)"/>
    <x v="1"/>
    <m/>
    <s v="There was no adjustment in this FY"/>
    <s v="Conduct joint outreach campaigns to help VSLAs self-identify as interested in opening accounts"/>
    <s v="Develop partnerships with leading FSPs in Tanzania and co-develop savings products and service delivery models tailored to the needs of VSLAs"/>
    <s v="Provide training and support to interested groups to learn how to use the products and navigate the account opening process"/>
    <s v="By developing a relationship with a formal financial institution, many groups expect to have the opportunity to access formal credit. Groups nearly unanimously would like access to additional capital in the form of credit for their groups operations. The desire for additional credit was voiced in every focus group discussion by at least one member. This credit would support lending in the early stage of the group cycle when the loan fund is not sufficient to meet demand for loans. It could also allow groups to extend their lending periods, to overcome challenges with new business investment due to the standard short repayment period"/>
    <s v="In Tanzania, there is much less uptake of mobile banking amongst groups, likely due to a lack of 3-pin solution for groups on NMBs platform. The large majority of groups linked through LINK Up use NMB, but the mobile solution is not yet developed, and is not tailored to the needs of savings groups with three signatories. In addition to this, network issues are prevalent in rural Tanzania, further preventing groups from adopting the mobile technology"/>
    <s v="While linkage is contributing to womens economic employment, it is not directing addressing the underlying cultural and societal barriers to a womens household right to control her finances. There are clear boundaries of what linkage alone can achieve. well as better achieve their savings goals- through friction between them and the money in their accounts. For many women, access to a personal bank account provides the privacy they need to maintain control over the money they make, either through their own income generation or through share purchases and group loans. The accounts enable women to maintain a greater secrecy around the money they have as "/>
    <s v="Technological innovations such as the use of mobile phones to make loan payments and transfer cash make it easier for women to gain access to capital by reducing the need to travel long distances. This also allows them to sidestep social constraints that restrict womens mobility or the people with whom they can interact. Digital solutions were developed as part of the LINK Up program, however, adoption remains low particularly among women. In order to drive this adoption higher, investment must be made to build digital literacy and instilling confidence in interacting with the bank through mobile."/>
    <m/>
    <n v="15251"/>
    <n v="61004"/>
    <n v="4"/>
    <n v="0.77594911809061706"/>
    <n v="0.77594911809061706"/>
    <n v="11834"/>
    <n v="47336"/>
    <s v=""/>
    <n v="0"/>
    <n v="0"/>
    <s v=""/>
    <s v=""/>
    <n v="0"/>
    <n v="0"/>
    <s v=""/>
    <s v=""/>
    <n v="0"/>
    <n v="0"/>
    <s v=""/>
    <s v=""/>
    <n v="0"/>
    <n v="0"/>
    <s v=""/>
    <n v="1"/>
    <n v="15251"/>
    <n v="61004"/>
    <n v="4"/>
    <s v="2. Sensitive"/>
    <s v="2. Accommodating"/>
    <s v="1. Neutral"/>
    <s v="It tested new ways for fighting poverty and measured results of innovation"/>
    <s v="Little or no advocacy"/>
    <s v="It linked and worked with strategic alliances and partners to take tested and effective solutions to scale"/>
  </r>
  <r>
    <x v="72"/>
    <x v="5"/>
    <n v="3659"/>
    <s v="Micro Lead Expansion project"/>
    <s v="Tanzania"/>
    <s v="UNCDFTZ0001"/>
    <s v="CARE USA"/>
    <s v="Multilateral agency"/>
    <s v="UN - United Nations agencies/offices"/>
    <s v="UNCDF"/>
    <m/>
    <m/>
    <m/>
    <m/>
    <m/>
    <m/>
    <m/>
    <m/>
    <m/>
    <m/>
    <m/>
    <m/>
    <m/>
    <m/>
    <m/>
    <m/>
    <m/>
    <m/>
    <m/>
    <m/>
    <m/>
    <m/>
    <m/>
    <m/>
    <m/>
    <m/>
    <m/>
    <m/>
    <m/>
    <m/>
    <m/>
    <m/>
    <m/>
    <m/>
    <m/>
    <m/>
    <m/>
    <m/>
    <m/>
    <m/>
    <m/>
    <m/>
    <m/>
    <m/>
    <m/>
    <d v="2013-05-05T00:00:00"/>
    <d v="2017-03-31T00:00:00"/>
    <m/>
    <s v="Development Access to and Control over Economic Resources"/>
    <n v="1874068"/>
    <s v="Blandina Karoma"/>
    <s v="Program Coordinator"/>
    <s v="Bkaroma@care.org"/>
    <s v="Meba Haruni"/>
    <s v="MEAL DTU"/>
    <s v="Meba.Haruni@co.care.org"/>
    <s v="NO"/>
    <s v="YES"/>
    <s v="NO"/>
    <s v="To provide access to financial services through VSLAs to over 70,000 financially excluded people and access to formal financial services to around 50,000 members. Linkages will be mainly for saving products and target clientele will low income financially excluded rural families in Kilimanjaro region."/>
    <s v="Sub-National"/>
    <s v="Kilimanjaro Region in Moshi rural, Moshi Urban, Hai,Same, Mwanga,Rombo and Siha Districts"/>
    <s v="Women and Men who are excluded from formal finacial services"/>
    <n v="49000"/>
    <n v="21000"/>
    <n v="70000"/>
    <n v="196000"/>
    <n v="84000"/>
    <n v="280000"/>
    <s v="Direct Participants: All individuals who are directly involved in activities implemented by the project, receiving support, services, goods, resources or other, directly from CARE or through a partner such as women and men in the rural setting who are memberof VSLA.   The Indirect participants are the family member of the direct participants.As per Demographic survey the household size is 5."/>
    <m/>
    <m/>
    <m/>
    <m/>
    <m/>
    <m/>
    <m/>
    <m/>
    <m/>
    <m/>
    <m/>
    <m/>
    <m/>
    <m/>
    <m/>
    <m/>
    <m/>
    <m/>
    <m/>
    <m/>
    <m/>
    <m/>
    <m/>
    <m/>
    <m/>
    <m/>
    <m/>
    <m/>
    <m/>
    <m/>
    <m/>
    <m/>
    <m/>
    <m/>
    <m/>
    <m/>
    <m/>
    <m/>
    <m/>
    <m/>
    <m/>
    <m/>
    <m/>
    <m/>
    <m/>
    <m/>
    <m/>
    <m/>
    <m/>
    <m/>
    <m/>
    <m/>
    <m/>
    <m/>
    <m/>
    <m/>
    <m/>
    <m/>
    <m/>
    <m/>
    <n v="42226"/>
    <n v="12013"/>
    <n v="54239"/>
    <n v="168904"/>
    <n v="48052"/>
    <n v="216956"/>
    <s v="NO"/>
    <m/>
    <m/>
    <m/>
    <s v="NO"/>
    <m/>
    <m/>
    <m/>
    <s v="NO"/>
    <m/>
    <m/>
    <m/>
    <s v="NO"/>
    <m/>
    <m/>
    <m/>
    <s v="NO"/>
    <m/>
    <m/>
    <m/>
    <s v="NO"/>
    <m/>
    <m/>
    <m/>
    <s v="NO"/>
    <m/>
    <m/>
    <m/>
    <s v="NO"/>
    <m/>
    <m/>
    <m/>
    <s v="NO"/>
    <m/>
    <m/>
    <m/>
    <s v="NO"/>
    <m/>
    <m/>
    <m/>
    <s v="NO"/>
    <m/>
    <m/>
    <m/>
    <s v="NO"/>
    <m/>
    <m/>
    <m/>
    <s v="NO"/>
    <m/>
    <m/>
    <m/>
    <s v="NO"/>
    <m/>
    <m/>
    <m/>
    <s v="NO"/>
    <m/>
    <m/>
    <m/>
    <s v="YES"/>
    <n v="5174"/>
    <n v="0.7"/>
    <n v="144872"/>
    <m/>
    <m/>
    <m/>
    <m/>
    <m/>
    <s v="NO"/>
    <m/>
    <m/>
    <s v="NO"/>
    <s v="NO"/>
    <m/>
    <m/>
    <m/>
    <x v="0"/>
    <s v="NO"/>
    <s v="NO"/>
    <s v="NO"/>
    <s v="NO"/>
    <s v="NO"/>
    <s v="NO"/>
    <s v="NO"/>
    <s v="NO"/>
    <m/>
    <x v="0"/>
    <m/>
    <x v="1"/>
    <s v="MLE helps MCBL to improve its mobile platform and partner with SELCOM in cost effective manner to save the rural people in which they can be able to pull and push to/from their accounts"/>
    <x v="0"/>
    <x v="0"/>
    <s v="YES"/>
    <x v="0"/>
    <x v="0"/>
    <x v="1"/>
    <x v="1"/>
    <n v="3"/>
    <x v="1"/>
    <x v="1"/>
    <x v="1"/>
    <x v="1"/>
    <x v="1"/>
    <x v="1"/>
    <n v="4"/>
    <x v="1"/>
    <x v="1"/>
    <x v="1"/>
    <x v="2"/>
    <x v="3"/>
    <n v="2"/>
    <x v="0"/>
    <x v="3"/>
    <n v="1"/>
    <m/>
    <s v="Local government(s)"/>
    <m/>
    <x v="1"/>
    <m/>
    <m/>
    <s v="Mass meeting campaign"/>
    <s v="VSLA physical meeting on their meeting days"/>
    <s v="VSLA ward &amp; village sesitization meetings"/>
    <s v="Increase of group account opening following frequent mass meeting campaigns"/>
    <s v="Frequent monitoring visits has led  to having quality groups and clear data"/>
    <s v="Partnership is the key for implementations of various projects. MCBL is in partnership with various technology companies for implementations of mobile banking and agency banking. Also the partnership between CARE International in Tanzania and Mwanga Community Bank Ltd made a successful linkage of Saving group to MCBL"/>
    <m/>
    <s v="http://minerva.care.ca/livelink1/livelink.exe?func=ll&amp;objId=3062515&amp;objAction=browse&amp;viewType=1"/>
    <n v="54239"/>
    <n v="216956"/>
    <n v="4"/>
    <n v="0.77851730304762257"/>
    <n v="0.77851730304762257"/>
    <n v="42226"/>
    <n v="168904"/>
    <s v=""/>
    <n v="0"/>
    <n v="0"/>
    <s v=""/>
    <s v=""/>
    <n v="0"/>
    <n v="0"/>
    <s v=""/>
    <s v=""/>
    <n v="0"/>
    <n v="0"/>
    <s v=""/>
    <s v=""/>
    <n v="0"/>
    <n v="0"/>
    <s v=""/>
    <n v="1"/>
    <n v="5174"/>
    <n v="144872"/>
    <n v="28"/>
    <s v="1. Neutral"/>
    <s v="2. Accommodating"/>
    <s v="1. Neutral"/>
    <s v="It did not develop any specific innovation"/>
    <s v="Little or no advocacy"/>
    <s v="It linked and worked with strategic alliances and partners to take tested and effective solutions to scale"/>
  </r>
  <r>
    <x v="72"/>
    <x v="5"/>
    <n v="3654"/>
    <s v="Pastoralist Programme"/>
    <s v="Tanzania"/>
    <s v="EMIRTZ0060"/>
    <s v="CARE USA"/>
    <s v="Government"/>
    <s v="Government - Finland"/>
    <s v="Irish Aid"/>
    <m/>
    <m/>
    <m/>
    <m/>
    <m/>
    <m/>
    <m/>
    <m/>
    <m/>
    <m/>
    <m/>
    <m/>
    <m/>
    <m/>
    <m/>
    <m/>
    <m/>
    <m/>
    <m/>
    <m/>
    <m/>
    <m/>
    <m/>
    <m/>
    <m/>
    <m/>
    <m/>
    <m/>
    <m/>
    <m/>
    <m/>
    <m/>
    <m/>
    <m/>
    <m/>
    <m/>
    <m/>
    <m/>
    <m/>
    <m/>
    <m/>
    <m/>
    <m/>
    <m/>
    <m/>
    <d v="2012-02-01T00:00:00"/>
    <d v="2016-12-31T00:00:00"/>
    <d v="2017-06-30T00:00:00"/>
    <s v="Development Access to and Control over Economic Resources"/>
    <n v="3080000"/>
    <s v="Thabit S. Masoud"/>
    <s v="Director Technical Unit"/>
    <s v="Masoud.Thabit@care.org"/>
    <s v="Julian R. Dalika"/>
    <s v="Monitoring and Evaluation Officer"/>
    <s v="Julian.Dalika@care.org"/>
    <s v="NO"/>
    <s v="YES"/>
    <s v="NO"/>
    <s v="Improved capacity of pastoralist communities to overcome poverty, reduce vulnerability and strengthen the rights of men and women pastoralist for sustainable livelihood"/>
    <s v="Sub-National"/>
    <s v="The programme is implemented in the areas where mostly pastoralist communities live in the regions of Arusha, Manyara and Morogoro."/>
    <s v="The main impact groups are pastoralist men and women especially understanding of their rights and needs as the programme was aimed at the advancement of pastoralist men and women's rights to a sustainable livelihood"/>
    <n v="88587"/>
    <n v="188246"/>
    <n v="276833"/>
    <n v="162913"/>
    <n v="346190"/>
    <n v="509103"/>
    <s v="The programme is sex disaggregated data for all activities during entire life of the project. Therefore, we used the proportions of men and women participants for the sex disaggregated data that was provided. In this regards we calculated that the proportion of 68% of 276,833 direct for men (188,246) and 32% of 276,833 for women (88,586); also 68% of 509,103 indirect for men (346,190) and 509,103 for women (162,913) to total reached beneficiaries.  "/>
    <m/>
    <m/>
    <m/>
    <m/>
    <m/>
    <m/>
    <m/>
    <m/>
    <m/>
    <m/>
    <m/>
    <m/>
    <m/>
    <m/>
    <m/>
    <m/>
    <m/>
    <m/>
    <m/>
    <m/>
    <m/>
    <m/>
    <m/>
    <m/>
    <m/>
    <m/>
    <m/>
    <m/>
    <m/>
    <m/>
    <m/>
    <m/>
    <m/>
    <m/>
    <m/>
    <m/>
    <m/>
    <m/>
    <m/>
    <m/>
    <m/>
    <m/>
    <m/>
    <m/>
    <m/>
    <m/>
    <m/>
    <m/>
    <m/>
    <m/>
    <m/>
    <m/>
    <m/>
    <m/>
    <m/>
    <m/>
    <m/>
    <m/>
    <m/>
    <m/>
    <n v="1959"/>
    <n v="4571"/>
    <n v="6530"/>
    <n v="80496"/>
    <n v="187824"/>
    <n v="268320"/>
    <m/>
    <m/>
    <m/>
    <m/>
    <s v="YES"/>
    <n v="5800"/>
    <n v="0.32"/>
    <n v="148000"/>
    <m/>
    <m/>
    <m/>
    <m/>
    <m/>
    <m/>
    <m/>
    <m/>
    <s v="YES"/>
    <n v="5535"/>
    <n v="0.7"/>
    <n v="22140"/>
    <m/>
    <m/>
    <m/>
    <m/>
    <m/>
    <m/>
    <m/>
    <m/>
    <m/>
    <m/>
    <m/>
    <m/>
    <m/>
    <m/>
    <m/>
    <m/>
    <m/>
    <m/>
    <m/>
    <m/>
    <m/>
    <m/>
    <m/>
    <m/>
    <m/>
    <m/>
    <m/>
    <m/>
    <m/>
    <m/>
    <m/>
    <m/>
    <m/>
    <m/>
    <m/>
    <m/>
    <m/>
    <m/>
    <m/>
    <m/>
    <s v="YES"/>
    <n v="5535"/>
    <n v="0.7"/>
    <n v="22140"/>
    <s v="Advocacy in land rights"/>
    <s v="YES"/>
    <n v="6530"/>
    <n v="0.15"/>
    <n v="26120"/>
    <s v="NO"/>
    <m/>
    <m/>
    <s v="NO"/>
    <s v="NO"/>
    <m/>
    <m/>
    <m/>
    <x v="2"/>
    <s v="YES"/>
    <s v="YES"/>
    <s v="YES"/>
    <s v="YES"/>
    <s v="YES"/>
    <s v="YES"/>
    <s v="YES"/>
    <s v="YES"/>
    <s v="Infuencing the Ministry of agriculture and livestock development with Local governmnet to increase livestock budget allocation in livestock sector for improving quality of veterinary and extension services"/>
    <x v="2"/>
    <s v="Diversification of income through income generating activities like revolving funds (VSLA, VICOBA) and entrepreneurship."/>
    <x v="1"/>
    <s v="Diversification of income, land rights for women, ownership of resources for women, and implementation of policy"/>
    <x v="0"/>
    <x v="1"/>
    <s v="YES"/>
    <x v="0"/>
    <x v="0"/>
    <x v="1"/>
    <x v="4"/>
    <n v="3"/>
    <x v="1"/>
    <x v="1"/>
    <x v="1"/>
    <x v="1"/>
    <x v="1"/>
    <x v="1"/>
    <n v="4"/>
    <x v="1"/>
    <x v="1"/>
    <x v="1"/>
    <x v="1"/>
    <x v="1"/>
    <n v="3"/>
    <x v="3"/>
    <x v="2"/>
    <n v="10"/>
    <s v="Local government(s)"/>
    <s v="Local NGO(s)/CSO(s)"/>
    <m/>
    <x v="0"/>
    <s v="The programme conducted capacity building for both local and national level CSOs in a number of aspects including financial management, project design, implementation, monitoring &amp; evaluation and reporting (DIMER) and quarterly on-site technical support during field monitoring and financial verification visits."/>
    <m/>
    <s v="Effective evidence-based advocacy to influence policy and implementation;"/>
    <s v="Representation of pastoralists at local and national levels, leading to greater respect of their rights;"/>
    <s v="Increased capacity of local government institutions to provide quality and timely services to pastoralists;"/>
    <s v="Womens socio-economic empowerment is a process that once secured is an essential component with catalytic effect to community social and livelihood transformation. PP experience affirms that awareness creation and training on gender equality, leadership, entrepreneurship and land rights largely contributed to unlocking pastoral womens and the rest of community members mind with positive impact on understanding and recognition of womens roles and rights. The evidence behind this assertion include:- o Women access to, control and ownership of productive resources; o Women engagement in IGAs and VICOBA with strong impact on social cohesion and households economic resilience; o Womens gained confidence to contest for leadership positions and participate in planning and decision-making processes both at household and community level; and o Respect and acceptance of womens ideas and material contribution both at household and community level."/>
    <s v="Although advocacy involves a slow process of change, which does not produce quick, &quot;glossy&quot; results sometimes difficult to measure,  but the use of formal and informal networks such a KAI a loose coalition proved to be an effective way in building joint efforts and common voice with strong impact on addressing national level advocacy and challenging issues;"/>
    <s v="Agro-pastoralism to a certain extent reduces land conflict incidences for the reason that agro-pastoralist do feel the pinch for crop distraction and the need for protecting livestock routes for access to grazing land, watering and mineral licking sites as compared to those purely engaging in either farming or pastoralism alone. Moreover, agro-pastoralism broadens community members sense of diversification, thereby confronting challenges attributed to climate change;"/>
    <s v="The programme has gathered lessons which we feel are good for shared learnig within the organization, nationally and beyond in a more wider scope for enhanced voice and joint efforts particularly on key evidence-based advocacy issues."/>
    <m/>
    <n v="6530"/>
    <n v="268320"/>
    <n v="41.090352220520671"/>
    <n v="0.3"/>
    <n v="0.3"/>
    <n v="1959"/>
    <n v="80496"/>
    <s v=""/>
    <n v="0"/>
    <n v="0"/>
    <s v=""/>
    <n v="1"/>
    <n v="5800"/>
    <n v="148000"/>
    <n v="25.517241379310345"/>
    <s v=""/>
    <n v="0"/>
    <n v="0"/>
    <s v=""/>
    <s v=""/>
    <n v="0"/>
    <n v="0"/>
    <s v=""/>
    <n v="1"/>
    <n v="5535"/>
    <n v="22140"/>
    <n v="4"/>
    <s v="3. Responsive"/>
    <s v="2. Accommodating"/>
    <s v="2. Sensitive"/>
    <s v="It tested new ways for fighting poverty and measured results of innovation"/>
    <s v="Intensive advocacy"/>
    <s v="It linked and worked with strategic alliances and partners to take tested and effective solutions to scale"/>
  </r>
  <r>
    <x v="72"/>
    <x v="5"/>
    <n v="3656"/>
    <s v="PESA KWA WOTE (PKW)"/>
    <s v="Tanzania"/>
    <s v="FSDTTZ0006"/>
    <s v="No CARE member related to the project/initiative"/>
    <s v="Other"/>
    <s v="Other"/>
    <s v="Financial Sector Deepening Trust"/>
    <m/>
    <m/>
    <m/>
    <m/>
    <m/>
    <m/>
    <m/>
    <m/>
    <m/>
    <m/>
    <m/>
    <m/>
    <m/>
    <m/>
    <m/>
    <m/>
    <m/>
    <m/>
    <m/>
    <m/>
    <m/>
    <m/>
    <m/>
    <m/>
    <m/>
    <m/>
    <m/>
    <m/>
    <m/>
    <m/>
    <m/>
    <m/>
    <m/>
    <m/>
    <m/>
    <m/>
    <m/>
    <m/>
    <m/>
    <m/>
    <m/>
    <m/>
    <m/>
    <m/>
    <m/>
    <d v="2017-01-01T00:00:00"/>
    <d v="2018-12-31T00:00:00"/>
    <m/>
    <s v="Development Access to and Control over Economic Resources"/>
    <n v="1537326.23"/>
    <s v="ZENAIS MATEMU"/>
    <s v="PROGRAM COORDINATOR"/>
    <s v="Zenais.Matemu@care.org"/>
    <s v="BENTA S. KAYUNI"/>
    <s v="MONITORING,EVALUATION AND LEARNING OFFICER"/>
    <s v="Benta.Kayuni@care.org"/>
    <s v="NO"/>
    <s v="YES"/>
    <s v="NO"/>
    <s v="Improve access to financial services to rural community women and men in 35 districts within 8 regions, Tanzania mainland and Zanzibar"/>
    <s v="Sub-National"/>
    <s v="REGIONS: MOROGORO, IRINGA, COAST,TABORA, SHINYANGA, MWANZA, UNGUJA AND PEMBA"/>
    <s v="The main impact group of the project are women and men"/>
    <n v="59091"/>
    <n v="23083"/>
    <n v="81174"/>
    <n v="236364"/>
    <n v="92332"/>
    <n v="328696"/>
    <s v="Direct participants are the ones who are reached direct by the project and they are capture in the project documents including proposal and lograme. The calculation of this group has been done based on the project proposal and logframe. Indirect particpants are the ones who are indirectly reached as a results of reached a direct participants. For example one member of a household who is a member to VSLA is benefiting by being a member therefore this member is also supporting the rest of her houselhold members. The calculation of this group has been calculated by multiplying the direct participants number by the average demographic survey 2012 which shows an average of 4 people in the household."/>
    <m/>
    <m/>
    <m/>
    <m/>
    <m/>
    <m/>
    <m/>
    <m/>
    <m/>
    <m/>
    <m/>
    <m/>
    <m/>
    <m/>
    <m/>
    <m/>
    <m/>
    <m/>
    <m/>
    <m/>
    <m/>
    <m/>
    <m/>
    <m/>
    <m/>
    <m/>
    <m/>
    <m/>
    <m/>
    <m/>
    <m/>
    <m/>
    <m/>
    <m/>
    <m/>
    <m/>
    <m/>
    <m/>
    <m/>
    <m/>
    <m/>
    <m/>
    <m/>
    <m/>
    <m/>
    <m/>
    <m/>
    <m/>
    <m/>
    <m/>
    <m/>
    <m/>
    <m/>
    <m/>
    <m/>
    <m/>
    <m/>
    <m/>
    <m/>
    <m/>
    <n v="28410"/>
    <n v="12177"/>
    <n v="40587"/>
    <n v="113604"/>
    <n v="48708"/>
    <n v="162312"/>
    <s v="NO"/>
    <m/>
    <m/>
    <m/>
    <s v="NO"/>
    <m/>
    <m/>
    <m/>
    <s v="NO"/>
    <m/>
    <m/>
    <m/>
    <s v="NO"/>
    <m/>
    <m/>
    <m/>
    <s v="NO"/>
    <m/>
    <m/>
    <m/>
    <s v="NO"/>
    <m/>
    <m/>
    <m/>
    <s v="NO"/>
    <m/>
    <m/>
    <m/>
    <s v="NO"/>
    <m/>
    <m/>
    <m/>
    <s v="NO"/>
    <m/>
    <m/>
    <m/>
    <s v="NO"/>
    <m/>
    <m/>
    <m/>
    <s v="NO"/>
    <m/>
    <m/>
    <m/>
    <s v="NO"/>
    <m/>
    <m/>
    <m/>
    <s v="NO"/>
    <m/>
    <m/>
    <m/>
    <s v="NO"/>
    <m/>
    <m/>
    <m/>
    <s v="NO"/>
    <m/>
    <m/>
    <m/>
    <s v="YES"/>
    <n v="28401"/>
    <n v="0.7"/>
    <n v="162312"/>
    <m/>
    <m/>
    <m/>
    <m/>
    <m/>
    <s v="YES"/>
    <s v="August"/>
    <n v="2016"/>
    <s v="YES"/>
    <s v="NO"/>
    <m/>
    <m/>
    <m/>
    <x v="0"/>
    <s v="YES"/>
    <s v="NO"/>
    <s v="YES"/>
    <s v="YES"/>
    <s v="NO"/>
    <s v="NO"/>
    <s v="NO"/>
    <s v="NO"/>
    <m/>
    <x v="1"/>
    <s v="PKW is designing a Fee For Service model which will require VSLA members to pay for the service rather than being trained with the compasation from the project. This is  a new innovation which will be tested within the next two years of the project. The project is also working with franchisees to form groups. These are busniness people who have been trained on VSLA model and they are forming and training groups-payments are made by the project based on the reached targets in terms of members."/>
    <x v="1"/>
    <s v="The project tested bot the Partnership and Franchisee models. The fee for Service is still in the design phase."/>
    <x v="0"/>
    <x v="0"/>
    <s v="NO"/>
    <x v="1"/>
    <x v="0"/>
    <x v="0"/>
    <x v="1"/>
    <n v="2"/>
    <x v="1"/>
    <x v="1"/>
    <x v="1"/>
    <x v="1"/>
    <x v="1"/>
    <x v="1"/>
    <n v="4"/>
    <x v="1"/>
    <x v="2"/>
    <x v="1"/>
    <x v="2"/>
    <x v="3"/>
    <n v="1"/>
    <x v="2"/>
    <x v="2"/>
    <n v="11"/>
    <s v="Local NGO(s)/CSO(s)"/>
    <s v="Local NGO(s)/CSO(s)"/>
    <s v="Local NGO(s)/CSO(s)"/>
    <x v="2"/>
    <s v="There has been on job capacity building to partners in relation to financial management, management and training of VSLA methodology, training in M&amp;E tools and systems."/>
    <s v="The changes were not gender transformative, however it was more on ensuring that there are high quality VSLA groups. A second componenta was on learning through the introduction of a Fee-For-Service model and conducting research on the relationship between the quality of groups and the sustainability of groups."/>
    <s v="VSLA: this stands for Village Savings and Loan Asociation of which community members inclduing women are sensitized to forms groups for a purpose of saving as well as accessing loans after sometimes. The model is also providing an opportunity top VSLA members to leran on how to manage their meetings in relation to the 8 VSLA modules."/>
    <m/>
    <m/>
    <s v="Demand of VSLA in the community remains high and a lot of communities see the benefits of participating in a VSL group"/>
    <s v="Having high quality groups has created a lot of intrest from the Government of Tanzania. The Government now see VSL as a chanel for implementing government initiatives such as the access to loans from government funds such as the  Women and Youth Development fund."/>
    <s v="Working to improve the quality of groups is  expensive and requires a lot of resources and capacities to facilitate frequent support and monitoring visits to groups"/>
    <m/>
    <s v="http://minerva.care.ca/livelink1/livelink.exe?func=ll&amp;objId=3438347&amp;objAction=browse&amp;viewType=1"/>
    <n v="40587"/>
    <n v="162312"/>
    <n v="3.9991130164831103"/>
    <n v="0.69997782541207776"/>
    <n v="0.69991128197545471"/>
    <n v="28410"/>
    <n v="113604"/>
    <s v=""/>
    <n v="0"/>
    <n v="0"/>
    <s v=""/>
    <s v=""/>
    <n v="0"/>
    <n v="0"/>
    <s v=""/>
    <s v=""/>
    <n v="0"/>
    <n v="0"/>
    <s v=""/>
    <s v=""/>
    <n v="0"/>
    <n v="0"/>
    <s v=""/>
    <n v="1"/>
    <n v="28401"/>
    <n v="162312"/>
    <n v="5.7150100348579276"/>
    <s v="1. Neutral"/>
    <s v="2. Accommodating"/>
    <s v="1. Neutral"/>
    <s v="It tested new ways for fighting poverty, but did not measure results of innovation"/>
    <s v="Little or no advocacy"/>
    <s v="It linked and worked with strategic alliances and partners to take tested and effective solutions to scale"/>
  </r>
  <r>
    <x v="72"/>
    <x v="5"/>
    <m/>
    <s v="Supporting Adolescent Girls' Empowerment (SAGE)"/>
    <s v="Tanzania"/>
    <s v="MILETZ0001"/>
    <s v="CARE USA"/>
    <s v="Foundation"/>
    <s v="Other"/>
    <s v="Elaine B. Alexander Foundation"/>
    <m/>
    <s v="CARE USA"/>
    <s v="Foundation"/>
    <s v="Other"/>
    <s v="Trehan Family Foundation"/>
    <m/>
    <m/>
    <m/>
    <m/>
    <m/>
    <m/>
    <m/>
    <m/>
    <m/>
    <m/>
    <m/>
    <m/>
    <m/>
    <m/>
    <m/>
    <m/>
    <m/>
    <m/>
    <m/>
    <m/>
    <m/>
    <m/>
    <m/>
    <m/>
    <m/>
    <m/>
    <m/>
    <m/>
    <m/>
    <m/>
    <m/>
    <m/>
    <m/>
    <m/>
    <m/>
    <m/>
    <m/>
    <m/>
    <m/>
    <m/>
    <d v="2009-07-01T00:00:00"/>
    <d v="2014-06-30T00:00:00"/>
    <d v="2018-06-30T00:00:00"/>
    <s v="Development Other"/>
    <n v="500000"/>
    <s v="Andie Bobb"/>
    <s v="Executive Director Southeast &amp; mid - Atlantic Regions - CARE USA"/>
    <s v="abobb@care.org"/>
    <s v="Flavian Lihwa"/>
    <s v="Program Coordinator - CARE Tanzania"/>
    <s v="Flihwa@care.org"/>
    <s v="YES"/>
    <s v="YES"/>
    <s v="YES"/>
    <s v="To improve the quality of life among 1500 marginalized adolescent girls and young women in 20 villages in Kahama district."/>
    <s v="Sub-National"/>
    <s v="Mega, Ngogwa, Ntobo, Segese, Shilela and Wendele adminstration wards"/>
    <s v="Marginalized adolescent girls of age 09 - 17 years who droped from school and or never been registered to school."/>
    <n v="2278"/>
    <n v="723"/>
    <n v="3001"/>
    <n v="141004"/>
    <n v="87951"/>
    <n v="228955"/>
    <s v="Direct participants are Primary school teachers who and village health workers who attended related/ targeted training, Project advisory committe members and project stakeholders who attanded project exit and or annual meetings, and students who participated on the day of African child exhibition and mock parliament event .Indirect beneficiaries of the project calculations are based on the expected number of students attended the sessions and been shared skills and ideas with trained teachers and peer educators.Indirect beneficiaries also include those receiving Youth Friendly Services, and those adopted new ideas/ information through members of PAC and other project stakeholders."/>
    <m/>
    <n v="185"/>
    <n v="205"/>
    <n v="390"/>
    <n v="2220"/>
    <n v="2460"/>
    <n v="4680"/>
    <m/>
    <m/>
    <m/>
    <m/>
    <m/>
    <m/>
    <m/>
    <m/>
    <s v="YES"/>
    <n v="81"/>
    <n v="0.39500000000000002"/>
    <n v="972"/>
    <m/>
    <m/>
    <m/>
    <m/>
    <m/>
    <m/>
    <m/>
    <m/>
    <m/>
    <m/>
    <m/>
    <m/>
    <m/>
    <m/>
    <m/>
    <m/>
    <m/>
    <m/>
    <m/>
    <m/>
    <m/>
    <m/>
    <m/>
    <m/>
    <s v="YES"/>
    <n v="101"/>
    <n v="0.56399999999999995"/>
    <n v="1212"/>
    <m/>
    <m/>
    <m/>
    <m/>
    <m/>
    <m/>
    <m/>
    <m/>
    <s v="Accelerating protection,empowerment and equal opportunity to children campaign"/>
    <s v="YES"/>
    <n v="130"/>
    <n v="0.61499999999999999"/>
    <m/>
    <n v="213"/>
    <n v="238"/>
    <n v="451"/>
    <n v="2556"/>
    <n v="2856"/>
    <n v="5412"/>
    <m/>
    <m/>
    <m/>
    <m/>
    <m/>
    <m/>
    <m/>
    <m/>
    <m/>
    <m/>
    <m/>
    <m/>
    <m/>
    <m/>
    <m/>
    <m/>
    <m/>
    <m/>
    <m/>
    <m/>
    <s v="YES"/>
    <n v="96"/>
    <n v="0.42699999999999999"/>
    <n v="1152"/>
    <m/>
    <m/>
    <m/>
    <m/>
    <m/>
    <m/>
    <m/>
    <m/>
    <m/>
    <m/>
    <m/>
    <m/>
    <m/>
    <m/>
    <m/>
    <m/>
    <m/>
    <m/>
    <m/>
    <m/>
    <m/>
    <m/>
    <m/>
    <m/>
    <m/>
    <m/>
    <m/>
    <m/>
    <s v="YES"/>
    <n v="135"/>
    <n v="0.54800000000000004"/>
    <n v="1620"/>
    <m/>
    <m/>
    <m/>
    <m/>
    <m/>
    <m/>
    <m/>
    <m/>
    <m/>
    <m/>
    <m/>
    <m/>
    <m/>
    <s v="NO"/>
    <m/>
    <m/>
    <m/>
    <m/>
    <m/>
    <m/>
    <m/>
    <x v="0"/>
    <s v="NO"/>
    <s v="NO"/>
    <s v="NO"/>
    <s v="NO"/>
    <s v="NO"/>
    <s v="NO"/>
    <s v="NO"/>
    <s v="NO"/>
    <s v="Consider maintaining ratio of trained teachers in project schools during transfer authorization."/>
    <x v="0"/>
    <m/>
    <x v="2"/>
    <m/>
    <x v="3"/>
    <x v="0"/>
    <s v="YES"/>
    <x v="0"/>
    <x v="0"/>
    <x v="0"/>
    <x v="0"/>
    <n v="4"/>
    <x v="1"/>
    <x v="0"/>
    <x v="0"/>
    <x v="1"/>
    <x v="1"/>
    <x v="4"/>
    <n v="2"/>
    <x v="2"/>
    <x v="0"/>
    <x v="0"/>
    <x v="0"/>
    <x v="2"/>
    <n v="0"/>
    <x v="2"/>
    <x v="1"/>
    <m/>
    <m/>
    <m/>
    <m/>
    <x v="1"/>
    <m/>
    <s v="Activities for the project are aimed at promoting access to quality education among marginalized out of school girls through improving the teaching and learning environment, developing girls leadership skills, and raising community awareness on girls right to quality education. These activities have been implemented since the project started, no adjustments have been made."/>
    <s v="Using VSLAs to support girls education and women economic empowerement: As a result of SAGE support, borrowing and servicing of loans in VSLAs has increased, the group shares price has raised from USD 0.2 0.4 in 2012/2013 to USD 0.5 1.0 per share 2016/2017."/>
    <s v="Enganging men and boys on gender equality: To date, the project has increased the number of men and boys playing the role of improving community awareness on gender equality to 178 men and 930 boys, as compared to 156 men and 819 boys in previous years"/>
    <m/>
    <s v="Consultative meetings with the local government in project implementation areas have led to an increase in the likelihood that project interventions will be sustained beyond the lifespan of the project. From meetings with project stakeholders to discuss the project closeout plan the local goverment agreed to 16 commitments that will ensure sustainability of SAGE within their catchment areas. The commitments fall under the broad categories of: planning and funding of SAGE activities; supportive supervision; community engagement; and registering of VSLA groups."/>
    <m/>
    <m/>
    <s v="Girls right to education are not yet fully recognized by the policy framework in Tanzania. While the Education and training Policy of 2007 makes commitment to remove barriers and provide opportunity for all girls and boys to complete basic education, there are still no instruments to put the policy into effect. The guideline for returning pregnant girls back to school was not approved by the parliament and the government has made it clear that pregnant girls will not be allowed back to government schools after delivery. CARE Tanzania will continue to work through local CSOs to advocate for the right of girls to education and development through collecting and sharing evidence from the field. The evidence will be in form of inspiring, touching stories of girls who were given second chances and succeeded, and perhaps some of the girls who didnt get the second chance."/>
    <m/>
    <n v="451"/>
    <n v="5412"/>
    <n v="12"/>
    <n v="0.47228381374722839"/>
    <n v="0.47228381374722839"/>
    <n v="213"/>
    <n v="2556"/>
    <n v="1"/>
    <n v="390"/>
    <n v="4680"/>
    <n v="12"/>
    <s v=""/>
    <n v="0"/>
    <n v="0"/>
    <s v=""/>
    <n v="1"/>
    <n v="135"/>
    <n v="1620"/>
    <n v="12"/>
    <s v=""/>
    <n v="0"/>
    <n v="0"/>
    <s v=""/>
    <s v=""/>
    <n v="0"/>
    <n v="0"/>
    <s v=""/>
    <s v="2. Sensitive"/>
    <s v="1. Tokenistic"/>
    <s v="0. Harmful"/>
    <s v="It did not develop any specific innovation"/>
    <s v="Little or no advocacy"/>
    <n v="0"/>
  </r>
  <r>
    <x v="72"/>
    <x v="5"/>
    <m/>
    <s v="Tabora Maternal and Newborn Health Initiative"/>
    <s v="Tanzania"/>
    <s v="CCANTZ0009"/>
    <s v="CARE Canada"/>
    <s v="Government"/>
    <s v="Government - Canada"/>
    <s v="Global Affairs Canada (GAC)"/>
    <m/>
    <m/>
    <m/>
    <m/>
    <m/>
    <m/>
    <m/>
    <m/>
    <m/>
    <m/>
    <m/>
    <m/>
    <m/>
    <m/>
    <m/>
    <m/>
    <m/>
    <m/>
    <m/>
    <m/>
    <m/>
    <m/>
    <m/>
    <m/>
    <m/>
    <m/>
    <m/>
    <m/>
    <m/>
    <m/>
    <m/>
    <m/>
    <m/>
    <m/>
    <m/>
    <m/>
    <m/>
    <m/>
    <m/>
    <m/>
    <m/>
    <m/>
    <m/>
    <m/>
    <m/>
    <d v="2017-01-06T00:00:00"/>
    <d v="2021-06-30T00:00:00"/>
    <m/>
    <s v="Development Sexual, Reproductive and Maternal Health (SRMH)"/>
    <n v="9518400"/>
    <s v="Julian Dalika"/>
    <s v="Monitoring and Evaluations Officer"/>
    <s v="jdalika@care.org"/>
    <s v="Flavian Lihwa"/>
    <s v="Program Coordinator - CARE Tanzania"/>
    <s v="Flihwa@care.org"/>
    <s v="NO"/>
    <s v="YES"/>
    <s v="NO"/>
    <s v="To reduce maternal and newborn mortality in undervserved districts of Tanzania"/>
    <s v="Sub-National"/>
    <s v="Tabora region, covering all districts: Nzega, Igunga, Uyui, Urambo, Kaliua, Sikonge, and Tabora urban"/>
    <s v="Women of reproductive age, 15-49 years old"/>
    <n v="832"/>
    <n v="554"/>
    <n v="1386"/>
    <n v="298995"/>
    <n v="660510"/>
    <n v="959505"/>
    <s v="Direct participants are the Regional Health Management Team (RHMT) and the Council Health Management Teams, health care workers, and community health workers.Indirect beneficiaries of the project calculations are based on the expected coverage of BEmONC services. Population estimates were based on 2012 census projections. The Project expects to cover approximately 50% BEmONC in the Tabora. Indirect beneficiaries also include those receiving emergency transportation services and CEmONC services. Additionally they include those participating in Community Scorecard and Social Analysis and Action and receiving Youth Friendly Services. These reach numbers will be refined following the design of each of the respective interventions."/>
    <m/>
    <m/>
    <m/>
    <m/>
    <m/>
    <m/>
    <m/>
    <m/>
    <m/>
    <m/>
    <m/>
    <m/>
    <m/>
    <m/>
    <m/>
    <m/>
    <m/>
    <m/>
    <m/>
    <m/>
    <m/>
    <m/>
    <m/>
    <m/>
    <m/>
    <m/>
    <m/>
    <m/>
    <m/>
    <m/>
    <m/>
    <m/>
    <m/>
    <m/>
    <m/>
    <m/>
    <m/>
    <m/>
    <m/>
    <m/>
    <m/>
    <m/>
    <m/>
    <m/>
    <m/>
    <m/>
    <m/>
    <m/>
    <m/>
    <m/>
    <m/>
    <m/>
    <m/>
    <m/>
    <m/>
    <m/>
    <m/>
    <m/>
    <m/>
    <m/>
    <n v="0"/>
    <n v="0"/>
    <n v="0"/>
    <n v="0"/>
    <n v="0"/>
    <n v="0"/>
    <m/>
    <m/>
    <m/>
    <m/>
    <m/>
    <m/>
    <m/>
    <m/>
    <m/>
    <m/>
    <m/>
    <m/>
    <m/>
    <m/>
    <m/>
    <m/>
    <m/>
    <m/>
    <m/>
    <m/>
    <m/>
    <m/>
    <m/>
    <m/>
    <m/>
    <m/>
    <m/>
    <m/>
    <m/>
    <m/>
    <m/>
    <m/>
    <m/>
    <m/>
    <m/>
    <m/>
    <m/>
    <m/>
    <m/>
    <m/>
    <m/>
    <m/>
    <m/>
    <m/>
    <m/>
    <m/>
    <m/>
    <m/>
    <m/>
    <m/>
    <m/>
    <m/>
    <s v="YES"/>
    <m/>
    <m/>
    <m/>
    <m/>
    <m/>
    <m/>
    <m/>
    <m/>
    <m/>
    <m/>
    <m/>
    <m/>
    <m/>
    <m/>
    <m/>
    <m/>
    <s v="NO"/>
    <m/>
    <m/>
    <m/>
    <s v="YES"/>
    <s v="October"/>
    <n v="2017"/>
    <s v="The project's baseline evaluation is set to take place in October 2017"/>
    <x v="0"/>
    <m/>
    <m/>
    <m/>
    <m/>
    <m/>
    <m/>
    <m/>
    <m/>
    <m/>
    <x v="3"/>
    <m/>
    <x v="2"/>
    <m/>
    <x v="3"/>
    <x v="0"/>
    <s v="YES"/>
    <x v="0"/>
    <x v="0"/>
    <x v="1"/>
    <x v="1"/>
    <n v="3"/>
    <x v="2"/>
    <x v="1"/>
    <x v="1"/>
    <x v="1"/>
    <x v="1"/>
    <x v="2"/>
    <n v="4"/>
    <x v="1"/>
    <x v="1"/>
    <x v="1"/>
    <x v="1"/>
    <x v="1"/>
    <n v="3"/>
    <x v="2"/>
    <x v="3"/>
    <n v="3"/>
    <s v="Local government(s)"/>
    <s v="International NGO(s)"/>
    <m/>
    <x v="1"/>
    <m/>
    <m/>
    <s v="Capacity building to regional and district health system managers to effectively plan, manage, and deliver quality gender-sensitive reproductive, maternal and newborn health services"/>
    <s v="Increase access to gender-sensitive reproductive, maternal newborn health services"/>
    <s v="Improve knowledge and skills of health providers to deliver gendersensitive reproductive, maternal, and newborn clinical services"/>
    <m/>
    <m/>
    <m/>
    <s v="The TAMANI project has not yet started any activity implementation, what have been done to date is only inception process and development of project implentation plan (PIP)"/>
    <m/>
    <n v="0"/>
    <n v="0"/>
    <s v=""/>
    <s v=""/>
    <s v=""/>
    <n v="0"/>
    <n v="0"/>
    <s v=""/>
    <n v="0"/>
    <n v="0"/>
    <s v=""/>
    <s v=""/>
    <n v="0"/>
    <n v="0"/>
    <s v=""/>
    <n v="1"/>
    <n v="0"/>
    <n v="0"/>
    <s v=""/>
    <s v=""/>
    <n v="0"/>
    <n v="0"/>
    <s v=""/>
    <s v=""/>
    <n v="0"/>
    <n v="0"/>
    <s v=""/>
    <s v="1. Neutral"/>
    <s v="4. Transformational"/>
    <s v="2. Sensitive"/>
    <n v="0"/>
    <s v="Little or no advocacy"/>
    <n v="0"/>
  </r>
  <r>
    <x v="73"/>
    <x v="0"/>
    <m/>
    <s v="Building Market Share and Social Good in Thailand (Hug Khao)"/>
    <s v="Thailand"/>
    <s v="GRN0020"/>
    <s v="Raks Thai Foundation"/>
    <s v="Corporation"/>
    <s v="Other"/>
    <s v="John Deere"/>
    <m/>
    <m/>
    <m/>
    <m/>
    <m/>
    <m/>
    <m/>
    <m/>
    <m/>
    <m/>
    <m/>
    <m/>
    <m/>
    <m/>
    <m/>
    <m/>
    <m/>
    <m/>
    <m/>
    <m/>
    <m/>
    <m/>
    <m/>
    <m/>
    <m/>
    <m/>
    <m/>
    <m/>
    <m/>
    <m/>
    <m/>
    <m/>
    <m/>
    <m/>
    <m/>
    <m/>
    <m/>
    <m/>
    <m/>
    <m/>
    <m/>
    <m/>
    <m/>
    <m/>
    <m/>
    <d v="2017-02-01T00:00:00"/>
    <d v="2019-01-31T00:00:00"/>
    <m/>
    <s v="Development Other"/>
    <n v="408332"/>
    <s v="Ms. Thongphit Pinyosinwat"/>
    <s v="Director, Program Quality Department"/>
    <s v="thongphit@gmail.com"/>
    <s v="Ms. Boonthida Ketsomboon"/>
    <s v="Program Officer, Program Quality Department"/>
    <s v="boonthida@raksthai.org"/>
    <s v="YES"/>
    <s v="YES"/>
    <s v="YES"/>
    <s v="1. Smallholder rice farms in Thailand sustainably increase their incomes and improve the long-term profitability of their farms."/>
    <s v="Sub-National"/>
    <s v="3 districts in Ubon Ratchatani"/>
    <s v="Farmers"/>
    <n v="0"/>
    <n v="0"/>
    <n v="3000"/>
    <n v="0"/>
    <n v="0"/>
    <n v="0"/>
    <m/>
    <m/>
    <n v="0"/>
    <n v="0"/>
    <n v="0"/>
    <m/>
    <m/>
    <m/>
    <s v="NO"/>
    <m/>
    <m/>
    <m/>
    <s v="NO"/>
    <m/>
    <m/>
    <m/>
    <s v="NO"/>
    <m/>
    <m/>
    <m/>
    <s v="YES"/>
    <m/>
    <m/>
    <m/>
    <s v="NO"/>
    <m/>
    <m/>
    <m/>
    <s v="NO"/>
    <m/>
    <m/>
    <m/>
    <s v="NO"/>
    <m/>
    <m/>
    <m/>
    <s v="Yes"/>
    <m/>
    <m/>
    <m/>
    <s v="YES"/>
    <m/>
    <m/>
    <m/>
    <s v="NO"/>
    <m/>
    <m/>
    <m/>
    <s v="NO"/>
    <m/>
    <m/>
    <m/>
    <s v="NO"/>
    <m/>
    <m/>
    <m/>
    <m/>
    <s v="NO"/>
    <m/>
    <m/>
    <m/>
    <n v="0"/>
    <n v="0"/>
    <n v="350"/>
    <n v="0"/>
    <n v="0"/>
    <n v="0"/>
    <s v="YES"/>
    <n v="350"/>
    <n v="0"/>
    <n v="0"/>
    <s v="NO"/>
    <m/>
    <m/>
    <m/>
    <s v="NO"/>
    <m/>
    <m/>
    <m/>
    <s v="NO"/>
    <m/>
    <m/>
    <m/>
    <s v="NO"/>
    <m/>
    <m/>
    <m/>
    <s v="NO"/>
    <m/>
    <m/>
    <m/>
    <s v="NO"/>
    <m/>
    <m/>
    <m/>
    <s v="NO"/>
    <n v="0"/>
    <n v="0"/>
    <n v="0"/>
    <s v="NO"/>
    <m/>
    <m/>
    <m/>
    <s v="NO"/>
    <m/>
    <m/>
    <m/>
    <s v="NO"/>
    <m/>
    <m/>
    <m/>
    <s v="NO"/>
    <m/>
    <m/>
    <m/>
    <s v="NO"/>
    <m/>
    <m/>
    <m/>
    <s v="NO"/>
    <m/>
    <m/>
    <m/>
    <s v="NO"/>
    <m/>
    <m/>
    <m/>
    <s v="NO"/>
    <m/>
    <m/>
    <m/>
    <m/>
    <s v="NO"/>
    <m/>
    <m/>
    <m/>
    <s v="NO"/>
    <m/>
    <m/>
    <s v="NO"/>
    <s v="YES"/>
    <s v="October"/>
    <n v="2017"/>
    <m/>
    <x v="0"/>
    <s v="NO"/>
    <s v="NO"/>
    <s v="NO"/>
    <s v="NO"/>
    <s v="NO"/>
    <s v="NO"/>
    <s v="YES"/>
    <s v="NO"/>
    <m/>
    <x v="0"/>
    <m/>
    <x v="0"/>
    <m/>
    <x v="0"/>
    <x v="0"/>
    <s v="YES"/>
    <x v="0"/>
    <x v="0"/>
    <x v="0"/>
    <x v="0"/>
    <n v="4"/>
    <x v="1"/>
    <x v="1"/>
    <x v="1"/>
    <x v="1"/>
    <x v="1"/>
    <x v="1"/>
    <n v="4"/>
    <x v="1"/>
    <x v="1"/>
    <x v="2"/>
    <x v="2"/>
    <x v="3"/>
    <n v="1"/>
    <x v="0"/>
    <x v="0"/>
    <n v="1"/>
    <s v="International NGO(s)"/>
    <s v="Labor union(s)"/>
    <m/>
    <x v="2"/>
    <m/>
    <m/>
    <s v="Project just started this February and it is too early to identify successful strategies"/>
    <m/>
    <m/>
    <s v="Project just started this February and it is too early to identify any key lessons learned"/>
    <m/>
    <m/>
    <m/>
    <m/>
    <n v="350"/>
    <n v="0"/>
    <n v="0"/>
    <n v="0"/>
    <s v=""/>
    <n v="0"/>
    <n v="0"/>
    <n v="1"/>
    <n v="0"/>
    <n v="0"/>
    <s v=""/>
    <n v="1"/>
    <n v="350"/>
    <n v="0"/>
    <n v="0"/>
    <s v=""/>
    <n v="0"/>
    <n v="0"/>
    <s v=""/>
    <s v=""/>
    <n v="0"/>
    <n v="0"/>
    <s v=""/>
    <s v=""/>
    <n v="0"/>
    <n v="0"/>
    <s v=""/>
    <s v="2. Sensitive"/>
    <s v="2. Accommodating"/>
    <s v="1. Neutral"/>
    <s v="It did not develop any specific innovation"/>
    <s v="Little or no advocacy"/>
    <s v="It did not take tested solutions to scale"/>
  </r>
  <r>
    <x v="73"/>
    <x v="0"/>
    <m/>
    <s v="Chiva Pa Doi"/>
    <s v="Thailand"/>
    <s v="CRN0018"/>
    <s v="Raks Thai Foundation"/>
    <s v="Corporation"/>
    <s v="Other"/>
    <s v="Chanel Foundation"/>
    <m/>
    <m/>
    <m/>
    <m/>
    <m/>
    <m/>
    <m/>
    <m/>
    <m/>
    <m/>
    <m/>
    <m/>
    <m/>
    <m/>
    <m/>
    <m/>
    <m/>
    <m/>
    <m/>
    <m/>
    <m/>
    <m/>
    <m/>
    <m/>
    <m/>
    <m/>
    <m/>
    <m/>
    <m/>
    <m/>
    <m/>
    <m/>
    <m/>
    <m/>
    <m/>
    <m/>
    <m/>
    <m/>
    <m/>
    <m/>
    <m/>
    <m/>
    <m/>
    <m/>
    <m/>
    <d v="2016-07-01T00:00:00"/>
    <d v="2017-12-31T00:00:00"/>
    <m/>
    <s v="Development Other"/>
    <n v="942140"/>
    <s v="Ms. Thongphit Pinyosinwat"/>
    <s v="Director, Program Quality Department"/>
    <s v="thongphit@gmail.com"/>
    <s v="Ms. Boonthida Ketsomboon"/>
    <s v="Program Officer, Program Quality Department"/>
    <s v="boonthida@raksthai.org"/>
    <s v="YES"/>
    <s v="YES"/>
    <s v="YES"/>
    <s v="To contribute to the economic and social empowerment of ethnic women in Chiang Mai Region"/>
    <s v="Sub-National"/>
    <s v="Northern Thailand, Chiang Mai"/>
    <s v="Ethnic minority groups in northen Thailand"/>
    <n v="188"/>
    <n v="0"/>
    <n v="188"/>
    <n v="1537"/>
    <n v="1642"/>
    <n v="3179"/>
    <s v="188 ethinic women in Chiang Mai region"/>
    <m/>
    <n v="0"/>
    <n v="0"/>
    <n v="0"/>
    <m/>
    <m/>
    <m/>
    <s v="NO"/>
    <m/>
    <m/>
    <m/>
    <s v="NO"/>
    <m/>
    <m/>
    <m/>
    <s v="NO"/>
    <m/>
    <m/>
    <m/>
    <s v="YES"/>
    <m/>
    <m/>
    <m/>
    <s v="NO"/>
    <m/>
    <m/>
    <m/>
    <s v="NO"/>
    <m/>
    <m/>
    <m/>
    <s v="NO"/>
    <m/>
    <m/>
    <m/>
    <s v="Yes"/>
    <m/>
    <m/>
    <m/>
    <s v="YES"/>
    <m/>
    <m/>
    <m/>
    <s v="NO"/>
    <m/>
    <m/>
    <m/>
    <s v="NO"/>
    <m/>
    <m/>
    <m/>
    <s v="NO"/>
    <m/>
    <m/>
    <m/>
    <m/>
    <s v="NO"/>
    <m/>
    <m/>
    <m/>
    <n v="188"/>
    <n v="12"/>
    <n v="200"/>
    <n v="0"/>
    <n v="0"/>
    <n v="0"/>
    <s v="NO"/>
    <m/>
    <m/>
    <m/>
    <s v="NO"/>
    <m/>
    <m/>
    <m/>
    <s v="NO"/>
    <m/>
    <m/>
    <m/>
    <s v="NO"/>
    <m/>
    <m/>
    <m/>
    <s v="NO"/>
    <m/>
    <m/>
    <m/>
    <s v="NO"/>
    <m/>
    <m/>
    <m/>
    <s v="NO"/>
    <m/>
    <m/>
    <m/>
    <s v="NO"/>
    <n v="0"/>
    <n v="0"/>
    <n v="0"/>
    <s v="NO"/>
    <m/>
    <m/>
    <m/>
    <s v="NO"/>
    <m/>
    <m/>
    <m/>
    <s v="NO"/>
    <m/>
    <m/>
    <m/>
    <s v="NO"/>
    <m/>
    <m/>
    <m/>
    <s v="YES"/>
    <n v="12"/>
    <n v="0"/>
    <n v="0"/>
    <s v="NO"/>
    <m/>
    <m/>
    <m/>
    <s v="NO"/>
    <m/>
    <m/>
    <m/>
    <s v="YES"/>
    <n v="188"/>
    <n v="1"/>
    <n v="0"/>
    <m/>
    <s v="NO"/>
    <m/>
    <m/>
    <m/>
    <s v="NO"/>
    <m/>
    <m/>
    <s v="NO"/>
    <s v="YES"/>
    <s v="December"/>
    <n v="2017"/>
    <m/>
    <x v="0"/>
    <s v="NO"/>
    <s v="NO"/>
    <s v="NO"/>
    <s v="NO"/>
    <s v="NO"/>
    <s v="NO"/>
    <s v="NO"/>
    <s v="NO"/>
    <m/>
    <x v="0"/>
    <m/>
    <x v="0"/>
    <m/>
    <x v="0"/>
    <x v="0"/>
    <s v="YES"/>
    <x v="0"/>
    <x v="0"/>
    <x v="0"/>
    <x v="0"/>
    <n v="4"/>
    <x v="1"/>
    <x v="1"/>
    <x v="1"/>
    <x v="1"/>
    <x v="1"/>
    <x v="1"/>
    <n v="4"/>
    <x v="1"/>
    <x v="1"/>
    <x v="1"/>
    <x v="2"/>
    <x v="3"/>
    <n v="2"/>
    <x v="0"/>
    <x v="1"/>
    <m/>
    <m/>
    <m/>
    <m/>
    <x v="2"/>
    <m/>
    <s v="Organizing meetings and trainings with only women participants is impossible in the community and cultural context of hill tribes, as in Karen communities, men play a significant role as community/village leaders. Therefore, to effectively advance the project  it is wiser to adopt an approach including men and especially village headman (leader) as well as religious leader (position always held by men as well). Working together with these different partners is so far the only solution that has shown potential results towards women empowerment."/>
    <m/>
    <m/>
    <m/>
    <s v="Gender empowerment in the context of northern Thailand hill tribe communities is very challenging as many key role and position are held by men. Thus the approach process has to be smoothed and inclusive of both men and women."/>
    <s v="During meetings held to introduce the project to the community both women and men attended the meetings. Raks Thai observed that women often remain silent, shy and stay in the background of the meeting room. In such situation it is difficult for Raks Thai to get feedback and opinions from women."/>
    <m/>
    <m/>
    <m/>
    <n v="200"/>
    <n v="0"/>
    <n v="0"/>
    <n v="0.94"/>
    <s v=""/>
    <n v="188"/>
    <n v="0"/>
    <n v="1"/>
    <n v="0"/>
    <n v="0"/>
    <s v=""/>
    <n v="1"/>
    <n v="0"/>
    <n v="0"/>
    <s v=""/>
    <s v=""/>
    <n v="0"/>
    <n v="0"/>
    <s v=""/>
    <s v=""/>
    <n v="0"/>
    <n v="0"/>
    <s v=""/>
    <n v="1"/>
    <n v="188"/>
    <n v="0"/>
    <n v="0"/>
    <s v="2. Sensitive"/>
    <s v="2. Accommodating"/>
    <s v="1. Neutral"/>
    <s v="It did not develop any specific innovation"/>
    <s v="Little or no advocacy"/>
    <s v="It did not take tested solutions to scale"/>
  </r>
  <r>
    <x v="73"/>
    <x v="0"/>
    <n v="3671"/>
    <s v="Community and Parents Participation in Early Childhood Development"/>
    <s v="Thailand"/>
    <s v="TH692-THA063"/>
    <s v="Raks Thai Foundation"/>
    <s v="Multilateral agency"/>
    <s v="UN - United Nations agencies/offices"/>
    <s v="UNICEF"/>
    <m/>
    <m/>
    <m/>
    <m/>
    <m/>
    <m/>
    <m/>
    <m/>
    <m/>
    <m/>
    <m/>
    <m/>
    <m/>
    <m/>
    <m/>
    <m/>
    <m/>
    <m/>
    <m/>
    <m/>
    <m/>
    <m/>
    <m/>
    <m/>
    <m/>
    <m/>
    <m/>
    <m/>
    <m/>
    <m/>
    <m/>
    <m/>
    <m/>
    <m/>
    <m/>
    <m/>
    <m/>
    <m/>
    <m/>
    <m/>
    <m/>
    <m/>
    <m/>
    <m/>
    <m/>
    <d v="2015-06-01T00:00:00"/>
    <d v="2016-06-30T00:00:00"/>
    <d v="2016-09-30T00:00:00"/>
    <s v="Development Other"/>
    <n v="124380"/>
    <s v="Ms. Supaporn Mahaphontrakoon"/>
    <s v="Senior Program Officer"/>
    <s v="tanapong_ud@raksthai.org"/>
    <s v="Ms. Sutirat Kojchsawas"/>
    <s v="Field Coordinator"/>
    <s v="sutirat_ay@raksthai.org"/>
    <s v="NO"/>
    <s v="YES"/>
    <s v="NO"/>
    <s v="1) To increase participation of parents and caretakers in ELDC learning process improvement, linking to family and community environments,_x000a_2) To improve learning environments and resources for children in different skills and ages in ELCD."/>
    <s v="Sub-National"/>
    <s v="24 Early Learning Demonstration Center (ELDC) in 13 provinces of_x000a_4 central provinces:  Bangkok, Pathum Thani, Nakhon Nayok, Petchburi_x000a_1 eastern provinces: Rayong_x000a_2 northern province: Chiang Mai, Lampang_x000a_2 northeastern province: Loei, Khon Khen_x000a_4 southern province: Patthalung, Pattani, Yala, Narathiwat"/>
    <s v="Caregivers, caretakers, communities, government sectors, children aged 3-5 years"/>
    <n v="160"/>
    <n v="150"/>
    <n v="310"/>
    <n v="180"/>
    <n v="140"/>
    <n v="320"/>
    <m/>
    <m/>
    <m/>
    <m/>
    <m/>
    <m/>
    <m/>
    <m/>
    <m/>
    <m/>
    <m/>
    <m/>
    <m/>
    <m/>
    <m/>
    <m/>
    <m/>
    <m/>
    <m/>
    <m/>
    <m/>
    <m/>
    <m/>
    <m/>
    <m/>
    <m/>
    <m/>
    <m/>
    <m/>
    <m/>
    <m/>
    <m/>
    <m/>
    <m/>
    <m/>
    <m/>
    <m/>
    <m/>
    <m/>
    <m/>
    <m/>
    <m/>
    <m/>
    <m/>
    <m/>
    <m/>
    <m/>
    <m/>
    <m/>
    <m/>
    <m/>
    <m/>
    <m/>
    <m/>
    <m/>
    <m/>
    <m/>
    <m/>
    <m/>
    <m/>
    <m/>
    <n v="200"/>
    <n v="100"/>
    <n v="300"/>
    <n v="160"/>
    <n v="80"/>
    <n v="240"/>
    <s v="NO"/>
    <m/>
    <m/>
    <m/>
    <s v="NO"/>
    <m/>
    <m/>
    <m/>
    <s v="NO"/>
    <m/>
    <m/>
    <m/>
    <s v="NO"/>
    <m/>
    <m/>
    <m/>
    <s v="NO"/>
    <m/>
    <m/>
    <m/>
    <s v="YES"/>
    <n v="300"/>
    <n v="0.66"/>
    <n v="240"/>
    <s v="NO"/>
    <m/>
    <m/>
    <m/>
    <s v="NO"/>
    <n v="0"/>
    <n v="0"/>
    <n v="0"/>
    <s v="NO"/>
    <m/>
    <m/>
    <m/>
    <s v="NO"/>
    <m/>
    <m/>
    <m/>
    <s v="NO"/>
    <m/>
    <m/>
    <m/>
    <s v="NO"/>
    <m/>
    <m/>
    <m/>
    <s v="NO"/>
    <m/>
    <m/>
    <m/>
    <s v="NO"/>
    <m/>
    <m/>
    <m/>
    <s v="NO"/>
    <m/>
    <m/>
    <m/>
    <s v="NO"/>
    <m/>
    <m/>
    <m/>
    <m/>
    <s v="NO"/>
    <m/>
    <m/>
    <m/>
    <s v="YES"/>
    <s v="September"/>
    <n v="2016"/>
    <s v="NO"/>
    <s v="NO"/>
    <m/>
    <m/>
    <m/>
    <x v="0"/>
    <s v="NO"/>
    <s v="NO"/>
    <s v="NO"/>
    <s v="YES"/>
    <s v="NO"/>
    <s v="NO"/>
    <s v="NO"/>
    <m/>
    <m/>
    <x v="2"/>
    <m/>
    <x v="0"/>
    <m/>
    <x v="3"/>
    <x v="1"/>
    <s v="YES"/>
    <x v="0"/>
    <x v="0"/>
    <x v="0"/>
    <x v="2"/>
    <n v="4"/>
    <x v="2"/>
    <x v="1"/>
    <x v="1"/>
    <x v="1"/>
    <x v="1"/>
    <x v="2"/>
    <n v="4"/>
    <x v="1"/>
    <x v="1"/>
    <x v="2"/>
    <x v="2"/>
    <x v="3"/>
    <n v="1"/>
    <x v="2"/>
    <x v="1"/>
    <m/>
    <s v="Local government(s)"/>
    <s v="Grassroots organization(s)"/>
    <s v="National government"/>
    <x v="1"/>
    <m/>
    <m/>
    <m/>
    <m/>
    <m/>
    <m/>
    <m/>
    <m/>
    <m/>
    <m/>
    <n v="300"/>
    <n v="240"/>
    <n v="0.8"/>
    <n v="0.66666666666666663"/>
    <n v="0.66666666666666663"/>
    <n v="200"/>
    <n v="160"/>
    <s v=""/>
    <n v="0"/>
    <n v="0"/>
    <s v=""/>
    <s v=""/>
    <n v="0"/>
    <n v="0"/>
    <s v=""/>
    <s v=""/>
    <n v="0"/>
    <n v="0"/>
    <s v=""/>
    <s v=""/>
    <n v="0"/>
    <n v="0"/>
    <s v=""/>
    <s v=""/>
    <n v="0"/>
    <n v="0"/>
    <s v=""/>
    <s v="4. Transformative"/>
    <s v="4. Transformational"/>
    <s v="1. Neutral"/>
    <s v="It tested new ways for fighting poverty and measured results of innovation"/>
    <s v="Little or no advocacy"/>
    <s v="It did not take tested solutions to scale"/>
  </r>
  <r>
    <x v="73"/>
    <x v="0"/>
    <m/>
    <s v="Enhancing the recognition and protection of the rights of Cambodian and Laotian migrant workers in the Thai construction sector (Triangle)"/>
    <s v="Thailand"/>
    <s v="GRN0019"/>
    <s v="Raks Thai Foundation"/>
    <s v="Multilateral agency"/>
    <s v="UN - United Nations agencies/offices"/>
    <s v="International Labour Organization (ILO)"/>
    <m/>
    <m/>
    <m/>
    <m/>
    <m/>
    <m/>
    <m/>
    <m/>
    <m/>
    <m/>
    <m/>
    <m/>
    <m/>
    <m/>
    <m/>
    <m/>
    <m/>
    <m/>
    <m/>
    <m/>
    <m/>
    <m/>
    <m/>
    <m/>
    <m/>
    <m/>
    <m/>
    <m/>
    <m/>
    <m/>
    <m/>
    <m/>
    <m/>
    <m/>
    <m/>
    <m/>
    <m/>
    <m/>
    <m/>
    <m/>
    <m/>
    <m/>
    <m/>
    <m/>
    <m/>
    <d v="2017-01-01T00:00:00"/>
    <d v="2017-12-31T00:00:00"/>
    <m/>
    <s v="Development Other"/>
    <n v="29180"/>
    <s v="Ms. Thongphit Pinyosinwat"/>
    <s v="Director, Program Quality Department"/>
    <s v="thongphit@gmail.com"/>
    <s v="Mr Wasurat Homsud"/>
    <s v="Program Officer, Program Quality Department"/>
    <s v="wasurat@raksthai.org"/>
    <s v="NO"/>
    <s v="YES"/>
    <s v="NO"/>
    <s v="Enhancing the recognition and protection of the rights of Cambodian and Laotian migrant workers in the Thai construction sector"/>
    <s v="Sub-National"/>
    <s v="Northern and North-eastern provinces of Thailand bordering Cambodia and Laos"/>
    <s v="Cambodian and Laotian migrant workers in the Thai construction sector"/>
    <n v="150"/>
    <n v="150"/>
    <n v="300"/>
    <n v="150"/>
    <n v="150"/>
    <n v="300"/>
    <m/>
    <m/>
    <m/>
    <m/>
    <m/>
    <m/>
    <m/>
    <m/>
    <m/>
    <m/>
    <m/>
    <m/>
    <m/>
    <m/>
    <m/>
    <m/>
    <m/>
    <m/>
    <m/>
    <m/>
    <m/>
    <m/>
    <m/>
    <m/>
    <m/>
    <m/>
    <m/>
    <m/>
    <m/>
    <m/>
    <m/>
    <m/>
    <m/>
    <m/>
    <m/>
    <m/>
    <m/>
    <m/>
    <m/>
    <m/>
    <m/>
    <m/>
    <m/>
    <m/>
    <m/>
    <m/>
    <m/>
    <m/>
    <m/>
    <m/>
    <m/>
    <m/>
    <m/>
    <m/>
    <m/>
    <m/>
    <m/>
    <m/>
    <m/>
    <m/>
    <m/>
    <n v="14"/>
    <n v="11"/>
    <n v="25"/>
    <n v="0"/>
    <n v="0"/>
    <n v="0"/>
    <s v="NO"/>
    <m/>
    <m/>
    <m/>
    <s v="NO"/>
    <m/>
    <m/>
    <m/>
    <s v="NO"/>
    <m/>
    <m/>
    <m/>
    <s v="NO"/>
    <m/>
    <m/>
    <m/>
    <s v="NO"/>
    <m/>
    <m/>
    <m/>
    <s v="YES"/>
    <n v="25"/>
    <n v="0.56000000000000005"/>
    <n v="0"/>
    <s v="NO"/>
    <m/>
    <m/>
    <m/>
    <s v="NO"/>
    <n v="0"/>
    <n v="0"/>
    <n v="0"/>
    <s v="NO"/>
    <m/>
    <m/>
    <m/>
    <s v="NO"/>
    <m/>
    <m/>
    <m/>
    <s v="NO"/>
    <m/>
    <m/>
    <m/>
    <s v="NO"/>
    <m/>
    <m/>
    <m/>
    <s v="YES"/>
    <m/>
    <m/>
    <m/>
    <s v="NO"/>
    <m/>
    <m/>
    <m/>
    <s v="NO"/>
    <m/>
    <m/>
    <m/>
    <s v="NO"/>
    <m/>
    <m/>
    <m/>
    <s v="Labour Rights"/>
    <s v="YES"/>
    <m/>
    <m/>
    <m/>
    <s v="NO"/>
    <m/>
    <m/>
    <s v="NO"/>
    <s v="YES"/>
    <s v="December"/>
    <n v="2017"/>
    <m/>
    <x v="0"/>
    <s v="NO"/>
    <s v="NO"/>
    <s v="NO"/>
    <s v="YES"/>
    <s v="NO"/>
    <s v="NO"/>
    <s v="NO"/>
    <s v="NO"/>
    <m/>
    <x v="0"/>
    <m/>
    <x v="3"/>
    <m/>
    <x v="0"/>
    <x v="1"/>
    <s v="YES"/>
    <x v="0"/>
    <x v="0"/>
    <x v="1"/>
    <x v="4"/>
    <n v="3"/>
    <x v="2"/>
    <x v="1"/>
    <x v="1"/>
    <x v="1"/>
    <x v="1"/>
    <x v="2"/>
    <n v="4"/>
    <x v="3"/>
    <x v="1"/>
    <x v="2"/>
    <x v="1"/>
    <x v="5"/>
    <n v="2"/>
    <x v="2"/>
    <x v="1"/>
    <m/>
    <m/>
    <m/>
    <m/>
    <x v="1"/>
    <s v="The project did not carry out actions in this FY to strengthen civil society"/>
    <s v="There is no important change in this FY. However, Raks Thai will initiate the collaboration with employer in the next FY to enhance the recognition and protection of the rights of Cambodian and Laotian migrant workers in the Thai construction sector."/>
    <s v="Raks Thai will conduct outreach and awareness raising among Cambodian and Laotian migrant workers in the construction sector in Bangkok and Samut Prakarn in order to increase knowledge and access to protection, particularly in Occupational Safety and Health (OSH) and Social Security Office (SSO) issues."/>
    <s v="Raks Thai will work with Cambodian and Laotian migrant works volunteers who can take the lead in organising migrant workers groups. Migrant leaders will be equipped with different capacity buildings and empowerment activities such as rights knowledge, strategy to organize community awareness sessions and play a leadership role for their migrant fellows in construction sites/camps."/>
    <s v="Through the coordination with the ILO and its employer constituent, Raks Thai will work to support employers, especially construction sites/camps to create migrant friendly working spaces that contribute to increase the proportion of positive migration experiences, i.e. employment practice, working condition, OSH, and etc. This is including the promotion of self-regulation system on good recruitment and employment practice."/>
    <s v="Migrant workers have a limited free time to join the outreach sessions since they have to work overtime after 5 pm six days a week and some of them also work overtime on Sunday. With no exact days off, this made it difficult for field officers to make an appointment with targeted employers."/>
    <s v="Limited project orientation among employers is needed or else they will not cooperated in the project activities."/>
    <s v="Some employers feel that their company already provide the workers with enough labour rights and safety standard according to the law, so they do not need to participate in the project."/>
    <s v="The migrant workers have basic knowledge on using the protective gears while working, still they do not adapt such knowledge of the safety in the real working condition. Raising awareness to the migrant workers should be more installed to help them realize the importance of being in charge of their own safety. The persuasive skills are needed to integrate in the outreach session. Also Raks Thai has to work closely with Government and employers to gain more access to migrant worker in construction site."/>
    <s v="Please see the attachment of the narrative of the progress report of the project."/>
    <n v="25"/>
    <n v="0"/>
    <n v="0"/>
    <n v="0.56000000000000005"/>
    <s v=""/>
    <n v="14"/>
    <n v="0"/>
    <s v=""/>
    <n v="0"/>
    <n v="0"/>
    <s v=""/>
    <s v=""/>
    <n v="0"/>
    <n v="0"/>
    <s v=""/>
    <s v=""/>
    <n v="0"/>
    <n v="0"/>
    <s v=""/>
    <s v=""/>
    <n v="0"/>
    <n v="0"/>
    <s v=""/>
    <s v=""/>
    <n v="0"/>
    <n v="0"/>
    <s v=""/>
    <s v="3. Responsive"/>
    <s v="4. Transformational"/>
    <s v="3. Responsive"/>
    <s v="It did not develop any specific innovation"/>
    <s v="Little or no advocacy"/>
    <s v="It took tested solutions to scale on its own"/>
  </r>
  <r>
    <x v="73"/>
    <x v="0"/>
    <n v="3670"/>
    <s v="KLA TAM DEE (Stop bullying in schools)"/>
    <s v="Thailand"/>
    <s v="CO003-THA063"/>
    <s v="Raks Thai Foundation"/>
    <s v="Corporation"/>
    <s v="Other"/>
    <s v="Thoressen Group (TTA)"/>
    <s v="CO005-THA063"/>
    <s v="Raks Thai Foundation"/>
    <s v="Corporation"/>
    <s v="Other"/>
    <s v="BKIND Funding by Corporates"/>
    <s v="NET007-THA063"/>
    <s v="Raks Thai Foundation"/>
    <s v="Foundation"/>
    <s v="Other"/>
    <s v="Raks Thai Foundation"/>
    <m/>
    <m/>
    <m/>
    <m/>
    <m/>
    <m/>
    <m/>
    <m/>
    <m/>
    <m/>
    <m/>
    <m/>
    <m/>
    <m/>
    <m/>
    <m/>
    <m/>
    <m/>
    <m/>
    <m/>
    <m/>
    <m/>
    <m/>
    <m/>
    <m/>
    <m/>
    <m/>
    <m/>
    <m/>
    <m/>
    <m/>
    <m/>
    <m/>
    <m/>
    <m/>
    <d v="2015-01-01T00:00:00"/>
    <d v="2017-12-31T00:00:00"/>
    <m/>
    <s v="Development Other"/>
    <n v="108649"/>
    <s v="MS. Supaporn Mahaphontrakoon"/>
    <s v="Senior Program Officer"/>
    <s v="tanapong_ud@raksthai.org"/>
    <s v="MR. Prateep Lohnarai"/>
    <s v="Field Coordinator"/>
    <s v="thaworn_ud@raksthai.org"/>
    <s v="NO"/>
    <s v="YES"/>
    <s v="NO"/>
    <s v="Stop bullying in schools."/>
    <s v="Sub-National"/>
    <s v="Southern provinces of Thailand: Pattani, Yala, Narathiwas, Krabi. Northeastern: Nongkai, Srisaket. Nortern: Chiang Mai.  And Central: Ayuthaya"/>
    <s v="1. Children aged 9-12, 1,900 targeted children in small size primary schools, Level 3-6,  2. Teachers and Administrators in schools 120 persons, 3. People in society realize the bullying situation in schools and support their children with schools' policy."/>
    <n v="803"/>
    <n v="742"/>
    <n v="1545"/>
    <n v="2700"/>
    <n v="2000"/>
    <n v="4700"/>
    <m/>
    <m/>
    <m/>
    <m/>
    <m/>
    <m/>
    <m/>
    <m/>
    <m/>
    <m/>
    <m/>
    <m/>
    <m/>
    <m/>
    <m/>
    <m/>
    <m/>
    <m/>
    <m/>
    <m/>
    <m/>
    <m/>
    <m/>
    <m/>
    <m/>
    <m/>
    <m/>
    <m/>
    <m/>
    <m/>
    <m/>
    <m/>
    <m/>
    <m/>
    <m/>
    <m/>
    <m/>
    <m/>
    <m/>
    <m/>
    <m/>
    <m/>
    <m/>
    <m/>
    <m/>
    <m/>
    <m/>
    <m/>
    <m/>
    <m/>
    <m/>
    <m/>
    <m/>
    <m/>
    <m/>
    <m/>
    <m/>
    <m/>
    <m/>
    <m/>
    <m/>
    <n v="901"/>
    <n v="777"/>
    <n v="1678"/>
    <n v="2854"/>
    <n v="2300"/>
    <n v="5154"/>
    <s v="NO"/>
    <m/>
    <m/>
    <m/>
    <s v="NO"/>
    <m/>
    <m/>
    <m/>
    <s v="NO"/>
    <m/>
    <m/>
    <m/>
    <s v="NO"/>
    <m/>
    <m/>
    <m/>
    <s v="NO"/>
    <m/>
    <m/>
    <m/>
    <s v="YES"/>
    <n v="1678"/>
    <n v="0.53"/>
    <n v="5154"/>
    <s v="NO"/>
    <m/>
    <m/>
    <m/>
    <s v="NO"/>
    <n v="0"/>
    <n v="0"/>
    <n v="0"/>
    <s v="NO"/>
    <m/>
    <m/>
    <m/>
    <s v="NO"/>
    <m/>
    <m/>
    <m/>
    <s v="NO"/>
    <m/>
    <m/>
    <m/>
    <s v="NO"/>
    <m/>
    <m/>
    <m/>
    <s v="NO"/>
    <m/>
    <m/>
    <m/>
    <s v="NO"/>
    <m/>
    <m/>
    <m/>
    <s v="NO"/>
    <m/>
    <m/>
    <m/>
    <s v="NO"/>
    <m/>
    <m/>
    <m/>
    <m/>
    <s v="NO"/>
    <m/>
    <m/>
    <m/>
    <s v="YES"/>
    <s v="January"/>
    <n v="2017"/>
    <s v="NO"/>
    <m/>
    <m/>
    <m/>
    <m/>
    <x v="3"/>
    <s v="NO"/>
    <s v="NO"/>
    <s v="NO"/>
    <s v="YES"/>
    <s v="NO"/>
    <s v="NO"/>
    <s v="NO"/>
    <m/>
    <m/>
    <x v="0"/>
    <m/>
    <x v="0"/>
    <m/>
    <x v="2"/>
    <x v="1"/>
    <s v="YES"/>
    <x v="0"/>
    <x v="0"/>
    <x v="0"/>
    <x v="2"/>
    <n v="4"/>
    <x v="2"/>
    <x v="1"/>
    <x v="1"/>
    <x v="1"/>
    <x v="1"/>
    <x v="2"/>
    <n v="4"/>
    <x v="1"/>
    <x v="1"/>
    <x v="2"/>
    <x v="2"/>
    <x v="3"/>
    <n v="1"/>
    <x v="2"/>
    <x v="1"/>
    <m/>
    <s v="Local government(s)"/>
    <s v="Grassroots organization(s)"/>
    <s v="Private sector"/>
    <x v="1"/>
    <m/>
    <m/>
    <m/>
    <m/>
    <m/>
    <m/>
    <m/>
    <m/>
    <m/>
    <m/>
    <n v="1678"/>
    <n v="5154"/>
    <n v="3.0715137067938021"/>
    <n v="0.53694874851013108"/>
    <n v="0.55374466433837799"/>
    <n v="901"/>
    <n v="2854"/>
    <s v=""/>
    <n v="0"/>
    <n v="0"/>
    <s v=""/>
    <s v=""/>
    <n v="0"/>
    <n v="0"/>
    <s v=""/>
    <s v=""/>
    <n v="0"/>
    <n v="0"/>
    <s v=""/>
    <s v=""/>
    <n v="0"/>
    <n v="0"/>
    <s v=""/>
    <s v=""/>
    <n v="0"/>
    <n v="0"/>
    <s v=""/>
    <s v="4. Transformative"/>
    <s v="4. Transformational"/>
    <s v="1. Neutral"/>
    <s v="It did not develop any specific innovation"/>
    <n v="0"/>
    <s v="It did not take tested solutions to scale"/>
  </r>
  <r>
    <x v="73"/>
    <x v="0"/>
    <n v="3675"/>
    <s v="Klong Prasong Mangrove Forests Rehabilitation"/>
    <s v="Thailand"/>
    <s v="SER0010-THA089"/>
    <s v="Raks Thai Foundation"/>
    <s v="Corporation"/>
    <s v="Other"/>
    <s v="The Pure Project Thamma Raksa Co. Ltd."/>
    <m/>
    <m/>
    <m/>
    <m/>
    <m/>
    <m/>
    <m/>
    <m/>
    <m/>
    <m/>
    <m/>
    <m/>
    <m/>
    <m/>
    <m/>
    <m/>
    <m/>
    <m/>
    <m/>
    <m/>
    <m/>
    <m/>
    <m/>
    <m/>
    <m/>
    <m/>
    <m/>
    <m/>
    <m/>
    <m/>
    <m/>
    <m/>
    <m/>
    <m/>
    <m/>
    <m/>
    <m/>
    <m/>
    <m/>
    <m/>
    <m/>
    <m/>
    <m/>
    <m/>
    <m/>
    <d v="2016-06-20T00:00:00"/>
    <d v="2017-09-19T00:00:00"/>
    <m/>
    <s v="Development Food &amp; Nutrition Security and Resilience to Climate Change"/>
    <n v="10285.709999999999"/>
    <s v="Ms. Thongphit Pinyosinwat"/>
    <s v="Director, Program Quality Department"/>
    <s v="thongphit@gmail.com"/>
    <s v="Ms. Boonthida Ketsomboon"/>
    <s v="Program Officer, Program Quality Department"/>
    <s v="boonthida@raksthai.org"/>
    <s v="YES"/>
    <s v="YES"/>
    <s v="YES"/>
    <s v="Rehabilitation and preservation of the mangrove forest to reduce the impact of coastal erosion, and increase the area for cultivation of marine life."/>
    <s v="Sub-National"/>
    <s v="Klong Prasong Village, Klong Prasong Sub-district, Krabi Province, Thailand"/>
    <s v="In order to create the participatory and learning in mangrove rehabilitation to reduce the coastal erosion affect together with increasing the living areas and breeding for the marine animals."/>
    <n v="353"/>
    <n v="367"/>
    <n v="720"/>
    <n v="0"/>
    <n v="0"/>
    <n v="0"/>
    <m/>
    <m/>
    <m/>
    <m/>
    <m/>
    <n v="0"/>
    <n v="0"/>
    <n v="0"/>
    <s v="NO"/>
    <m/>
    <m/>
    <m/>
    <s v="NO"/>
    <m/>
    <m/>
    <m/>
    <s v="NO"/>
    <m/>
    <m/>
    <m/>
    <s v="NO"/>
    <m/>
    <m/>
    <m/>
    <s v="NO"/>
    <m/>
    <m/>
    <m/>
    <s v="NO"/>
    <m/>
    <m/>
    <m/>
    <s v="NO"/>
    <m/>
    <m/>
    <m/>
    <s v="NO"/>
    <m/>
    <m/>
    <m/>
    <s v="YES"/>
    <m/>
    <m/>
    <m/>
    <s v="NO"/>
    <m/>
    <m/>
    <m/>
    <s v="NO"/>
    <m/>
    <m/>
    <m/>
    <s v="NO"/>
    <m/>
    <m/>
    <m/>
    <m/>
    <s v="NO"/>
    <m/>
    <m/>
    <m/>
    <n v="212"/>
    <n v="220"/>
    <n v="432"/>
    <m/>
    <m/>
    <m/>
    <s v="NO"/>
    <m/>
    <m/>
    <m/>
    <s v="NO"/>
    <m/>
    <m/>
    <m/>
    <s v="NO"/>
    <m/>
    <m/>
    <m/>
    <s v="NO"/>
    <m/>
    <m/>
    <m/>
    <s v="NO"/>
    <m/>
    <m/>
    <m/>
    <s v="NO"/>
    <m/>
    <m/>
    <m/>
    <s v="NO"/>
    <m/>
    <m/>
    <m/>
    <s v="NO"/>
    <m/>
    <m/>
    <m/>
    <s v="NO"/>
    <m/>
    <m/>
    <m/>
    <s v="NO"/>
    <m/>
    <m/>
    <m/>
    <s v="NO"/>
    <m/>
    <m/>
    <m/>
    <s v="YES"/>
    <n v="432"/>
    <n v="0.49"/>
    <n v="0"/>
    <s v="NO"/>
    <m/>
    <m/>
    <m/>
    <s v="NO"/>
    <m/>
    <m/>
    <m/>
    <s v="NO"/>
    <m/>
    <m/>
    <m/>
    <s v="NO"/>
    <m/>
    <m/>
    <m/>
    <m/>
    <m/>
    <m/>
    <m/>
    <m/>
    <s v="YES"/>
    <s v="July"/>
    <n v="2016"/>
    <s v="NO"/>
    <s v="NO"/>
    <m/>
    <m/>
    <m/>
    <x v="0"/>
    <s v="NO"/>
    <s v="NO"/>
    <s v="NO"/>
    <s v="YES"/>
    <s v="NO"/>
    <s v="NO"/>
    <s v="NO"/>
    <s v="NO"/>
    <m/>
    <x v="0"/>
    <s v="This project use natural mangrove restoration to reslove coastal erosion in coastal areas with local paticipation and engaging local authority to support and expand the activity."/>
    <x v="3"/>
    <s v="Mangrove that have been restore after 3 years in the ares can stop costal erosion."/>
    <x v="0"/>
    <x v="0"/>
    <s v="YES"/>
    <x v="0"/>
    <x v="0"/>
    <x v="1"/>
    <x v="1"/>
    <n v="3"/>
    <x v="1"/>
    <x v="2"/>
    <x v="1"/>
    <x v="1"/>
    <x v="1"/>
    <x v="1"/>
    <n v="3"/>
    <x v="1"/>
    <x v="1"/>
    <x v="1"/>
    <x v="1"/>
    <x v="1"/>
    <n v="3"/>
    <x v="3"/>
    <x v="3"/>
    <m/>
    <s v="Grassroots organization(s)"/>
    <s v="Local NGO(s)/CSO(s)"/>
    <s v="Private sector"/>
    <x v="1"/>
    <m/>
    <s v="The community gathers in group and they create the mangrove forestry planting together in order to protect the coastal erosion by separating into each responsible zone in their communities"/>
    <s v="Mangrove forestry planting by local people."/>
    <s v="Develop community learning center"/>
    <s v="Local media and facebook fanpage     "/>
    <s v="The community experience becomes the basis for a case study of rehabilitation of mangrove forest as an adaptation to the adverse effects of climate change in KhlongPrasong"/>
    <s v="Preparing mangrove nursery can improve survival rate of mangrove rehabilitation"/>
    <s v="Facebook fanpage for community learning center, the challenge for communicate with local peple, privat sector and local government."/>
    <m/>
    <s v="https://www.facebook.com/????????????????????????????????????-???????????-399924273706158"/>
    <n v="432"/>
    <n v="0"/>
    <n v="0"/>
    <n v="0.49074074074074076"/>
    <s v=""/>
    <n v="212"/>
    <n v="0"/>
    <n v="1"/>
    <n v="0"/>
    <n v="0"/>
    <s v=""/>
    <n v="1"/>
    <n v="432"/>
    <n v="0"/>
    <n v="0"/>
    <s v=""/>
    <n v="0"/>
    <n v="0"/>
    <s v=""/>
    <s v=""/>
    <n v="0"/>
    <n v="0"/>
    <s v=""/>
    <s v=""/>
    <n v="0"/>
    <n v="0"/>
    <s v=""/>
    <s v="1. Neutral"/>
    <s v="2. Accommodating"/>
    <s v="2. Sensitive"/>
    <s v="It did not develop any specific innovation"/>
    <s v="Little or no advocacy"/>
    <s v="It took tested solutions to scale on its own"/>
  </r>
  <r>
    <x v="73"/>
    <x v="0"/>
    <n v="3668"/>
    <s v="Migrant Children"/>
    <s v="Thailand"/>
    <s v="GR007-THA068"/>
    <s v="Raks Thai Foundation"/>
    <s v="Government"/>
    <s v="Government - Thailand"/>
    <s v="Ministry of Public Health of Thailand"/>
    <m/>
    <m/>
    <m/>
    <m/>
    <m/>
    <m/>
    <m/>
    <m/>
    <m/>
    <m/>
    <m/>
    <m/>
    <m/>
    <m/>
    <m/>
    <m/>
    <m/>
    <m/>
    <m/>
    <m/>
    <m/>
    <m/>
    <m/>
    <m/>
    <m/>
    <m/>
    <m/>
    <m/>
    <m/>
    <m/>
    <m/>
    <m/>
    <m/>
    <m/>
    <m/>
    <m/>
    <m/>
    <m/>
    <m/>
    <m/>
    <m/>
    <m/>
    <m/>
    <m/>
    <m/>
    <d v="2016-01-01T00:00:00"/>
    <d v="2016-09-30T00:00:00"/>
    <m/>
    <s v="Development Other"/>
    <n v="6857"/>
    <s v="MS. Supaporn Mahaphontrakoon"/>
    <s v="Senior Program Officer"/>
    <s v="tanapong_ud@raksthai.org"/>
    <m/>
    <m/>
    <m/>
    <s v="NO"/>
    <s v="YES"/>
    <s v="NO"/>
    <s v="Providee education to the children of migrants"/>
    <s v="Sub-National"/>
    <s v="Samut Sakorn"/>
    <s v="Parents of young children in Chiang mai province"/>
    <n v="60"/>
    <n v="75"/>
    <n v="135"/>
    <n v="100"/>
    <n v="150"/>
    <n v="250"/>
    <m/>
    <m/>
    <m/>
    <m/>
    <m/>
    <m/>
    <m/>
    <m/>
    <m/>
    <m/>
    <m/>
    <m/>
    <m/>
    <m/>
    <m/>
    <m/>
    <m/>
    <m/>
    <m/>
    <m/>
    <m/>
    <m/>
    <m/>
    <m/>
    <m/>
    <m/>
    <m/>
    <m/>
    <m/>
    <m/>
    <m/>
    <m/>
    <m/>
    <m/>
    <m/>
    <m/>
    <m/>
    <m/>
    <m/>
    <m/>
    <m/>
    <m/>
    <m/>
    <m/>
    <m/>
    <m/>
    <m/>
    <m/>
    <m/>
    <m/>
    <m/>
    <m/>
    <m/>
    <m/>
    <m/>
    <m/>
    <m/>
    <m/>
    <m/>
    <m/>
    <m/>
    <n v="53"/>
    <n v="74"/>
    <n v="127"/>
    <n v="130"/>
    <n v="95"/>
    <n v="225"/>
    <s v="NO"/>
    <m/>
    <m/>
    <m/>
    <s v="NO"/>
    <m/>
    <m/>
    <m/>
    <s v="NO"/>
    <m/>
    <m/>
    <m/>
    <s v="NO"/>
    <m/>
    <m/>
    <m/>
    <s v="NO"/>
    <m/>
    <m/>
    <m/>
    <s v="YES"/>
    <n v="127"/>
    <n v="0.41"/>
    <n v="225"/>
    <s v="NO"/>
    <m/>
    <m/>
    <m/>
    <s v="NO"/>
    <n v="0"/>
    <n v="0"/>
    <n v="0"/>
    <s v="YES"/>
    <n v="0"/>
    <n v="0.66"/>
    <n v="0"/>
    <s v="NO"/>
    <m/>
    <m/>
    <m/>
    <s v="NO"/>
    <m/>
    <m/>
    <m/>
    <s v="NO"/>
    <m/>
    <m/>
    <m/>
    <s v="NO"/>
    <m/>
    <m/>
    <m/>
    <s v="YES"/>
    <m/>
    <m/>
    <m/>
    <s v="NO"/>
    <m/>
    <m/>
    <m/>
    <s v="NO"/>
    <m/>
    <m/>
    <m/>
    <m/>
    <s v="NO"/>
    <m/>
    <m/>
    <m/>
    <s v="NO"/>
    <m/>
    <m/>
    <s v="NO"/>
    <s v="NO"/>
    <m/>
    <m/>
    <m/>
    <x v="0"/>
    <s v="NO"/>
    <s v="NO"/>
    <m/>
    <s v="NO"/>
    <s v="NO"/>
    <m/>
    <s v="NO"/>
    <m/>
    <m/>
    <x v="0"/>
    <m/>
    <x v="0"/>
    <m/>
    <x v="0"/>
    <x v="0"/>
    <s v="NO"/>
    <x v="0"/>
    <x v="0"/>
    <x v="0"/>
    <x v="1"/>
    <n v="3"/>
    <x v="1"/>
    <x v="1"/>
    <x v="1"/>
    <x v="1"/>
    <x v="1"/>
    <x v="1"/>
    <n v="4"/>
    <x v="1"/>
    <x v="1"/>
    <x v="1"/>
    <x v="2"/>
    <x v="3"/>
    <n v="2"/>
    <x v="2"/>
    <x v="1"/>
    <m/>
    <s v="Local NGO(s)/CSO(s)"/>
    <s v="Local government(s)"/>
    <s v="National government"/>
    <x v="1"/>
    <m/>
    <s v="The Project ended as the FY started"/>
    <m/>
    <m/>
    <m/>
    <m/>
    <m/>
    <m/>
    <m/>
    <m/>
    <n v="127"/>
    <n v="225"/>
    <n v="1.7716535433070866"/>
    <n v="0.41732283464566927"/>
    <n v="0.57777777777777772"/>
    <n v="53"/>
    <n v="130"/>
    <s v=""/>
    <n v="0"/>
    <n v="0"/>
    <s v=""/>
    <s v=""/>
    <n v="0"/>
    <n v="0"/>
    <s v=""/>
    <n v="1"/>
    <n v="0"/>
    <n v="0"/>
    <s v=""/>
    <s v=""/>
    <n v="0"/>
    <n v="0"/>
    <s v=""/>
    <s v=""/>
    <n v="0"/>
    <n v="0"/>
    <s v=""/>
    <s v="1. Neutral"/>
    <s v="2. Accommodating"/>
    <s v="1. Neutral"/>
    <s v="It did not develop any specific innovation"/>
    <s v="Little or no advocacy"/>
    <s v="It did not take tested solutions to scale"/>
  </r>
  <r>
    <x v="73"/>
    <x v="0"/>
    <n v="3662"/>
    <s v="Partnership for Containment of Artemisinin Resistance and Moving Towards the Elimination of Plasmodium  (MAL-SSF)"/>
    <s v="Thailand"/>
    <s v="TH645-THA066"/>
    <s v="Raks Thai Foundation"/>
    <s v="Government"/>
    <s v="Government - Thailand"/>
    <s v="Ministry of Public Health of Thailand"/>
    <s v="TH645-THA066"/>
    <s v="Raks Thai Foundation"/>
    <s v="Foundation"/>
    <s v="The Global Fund to Fight AIDS, Tuberculosis and Malaria"/>
    <s v="Global Fund to Fight AIDS, Tuberculosis and Malaria"/>
    <m/>
    <m/>
    <m/>
    <m/>
    <m/>
    <m/>
    <m/>
    <m/>
    <m/>
    <m/>
    <m/>
    <m/>
    <m/>
    <m/>
    <m/>
    <m/>
    <m/>
    <m/>
    <m/>
    <m/>
    <m/>
    <m/>
    <m/>
    <m/>
    <m/>
    <m/>
    <m/>
    <m/>
    <m/>
    <m/>
    <m/>
    <m/>
    <m/>
    <m/>
    <m/>
    <m/>
    <m/>
    <m/>
    <m/>
    <m/>
    <d v="2014-10-01T00:00:00"/>
    <d v="2017-09-30T00:00:00"/>
    <m/>
    <s v="Development Other"/>
    <n v="3295562"/>
    <s v="Ms. Thongphit Pinyosinwat"/>
    <s v="Director, Program Quality Department"/>
    <s v="thongphit@gmail.com"/>
    <s v="Mr. Patipan Yutithamsathit"/>
    <s v="Program Officer, Program Quality Department"/>
    <s v="patipan@raksthai.org"/>
    <s v="NO"/>
    <s v="YES"/>
    <s v="NO"/>
    <s v="To move towards eliminate Plasmodium falciparum malaria parasites in Thailand, with the aim  of reaching the targets of the Global Malaria Action Plan (GMAP) and Global Millennium Development Goals by 2015."/>
    <s v="Sub-National"/>
    <s v="9 provinces in Thailand:_x000a_1  province in Central - Ratchaburi,_x000a_3 provinves in East - Chonburi. Rayong, Trat,_x000a_2 provinces in Northeast - Si Sa Kat, Ubon Ratchathani,_x000a_3 provinces in South - Prachuap Khiri Khan, Songkhla, Surat Thani."/>
    <s v="Migrant population"/>
    <m/>
    <m/>
    <m/>
    <m/>
    <m/>
    <m/>
    <s v="Total participants are calculated based on the LLIN's and ITNs distrubuted in the implementation area, and used as a proxy for the total number of participants expected to be reached during the project."/>
    <m/>
    <m/>
    <m/>
    <m/>
    <m/>
    <m/>
    <m/>
    <m/>
    <m/>
    <m/>
    <m/>
    <m/>
    <m/>
    <m/>
    <m/>
    <m/>
    <m/>
    <m/>
    <m/>
    <m/>
    <m/>
    <m/>
    <m/>
    <m/>
    <m/>
    <m/>
    <m/>
    <m/>
    <m/>
    <m/>
    <m/>
    <m/>
    <m/>
    <m/>
    <m/>
    <m/>
    <m/>
    <m/>
    <m/>
    <m/>
    <m/>
    <m/>
    <m/>
    <m/>
    <m/>
    <m/>
    <m/>
    <m/>
    <m/>
    <m/>
    <m/>
    <m/>
    <m/>
    <m/>
    <m/>
    <m/>
    <m/>
    <m/>
    <m/>
    <m/>
    <n v="0"/>
    <n v="0"/>
    <n v="12341"/>
    <n v="0"/>
    <n v="0"/>
    <n v="0"/>
    <s v="NO"/>
    <m/>
    <m/>
    <m/>
    <s v="NO"/>
    <m/>
    <m/>
    <m/>
    <s v="NO"/>
    <m/>
    <m/>
    <m/>
    <s v="NO"/>
    <m/>
    <m/>
    <m/>
    <s v="NO"/>
    <m/>
    <m/>
    <m/>
    <s v="NO"/>
    <m/>
    <m/>
    <m/>
    <s v="NO"/>
    <m/>
    <m/>
    <m/>
    <s v="NO"/>
    <n v="0"/>
    <n v="0"/>
    <n v="0"/>
    <s v="NO"/>
    <m/>
    <m/>
    <m/>
    <s v="YES"/>
    <n v="12341"/>
    <n v="0"/>
    <n v="0"/>
    <s v="NO"/>
    <m/>
    <m/>
    <m/>
    <s v="NO"/>
    <m/>
    <m/>
    <m/>
    <s v="NO"/>
    <m/>
    <m/>
    <m/>
    <s v="NO"/>
    <m/>
    <m/>
    <m/>
    <s v="NO"/>
    <m/>
    <m/>
    <m/>
    <s v="NO"/>
    <m/>
    <m/>
    <m/>
    <m/>
    <s v="NO"/>
    <m/>
    <m/>
    <m/>
    <s v="NO"/>
    <m/>
    <m/>
    <s v="NO"/>
    <s v="YES"/>
    <s v="December"/>
    <n v="2017"/>
    <s v="The December 2017 evaluation will likely cover the full project and  will be used to inform the next phase of the project, should it be approved"/>
    <x v="1"/>
    <s v="NO"/>
    <s v="NO"/>
    <s v="NO"/>
    <s v="YES"/>
    <s v="YES"/>
    <s v="NO"/>
    <s v="NO"/>
    <m/>
    <m/>
    <x v="0"/>
    <m/>
    <x v="1"/>
    <m/>
    <x v="0"/>
    <x v="0"/>
    <s v="NO"/>
    <x v="0"/>
    <x v="0"/>
    <x v="1"/>
    <x v="1"/>
    <n v="2"/>
    <x v="2"/>
    <x v="1"/>
    <x v="1"/>
    <x v="1"/>
    <x v="1"/>
    <x v="2"/>
    <n v="4"/>
    <x v="1"/>
    <x v="1"/>
    <x v="2"/>
    <x v="2"/>
    <x v="3"/>
    <n v="1"/>
    <x v="2"/>
    <x v="3"/>
    <n v="3"/>
    <s v="Local NGO(s)/CSO(s)"/>
    <s v="International NGO(s)"/>
    <m/>
    <x v="0"/>
    <m/>
    <s v="Incorporation of combination therapies to improve efficacy of treatment"/>
    <s v="Increasing coverage of LLINs and ITNs of M1 and M2 population in A1 and A2 area"/>
    <s v="Empower migrants community by promoting malaria awareness and LLIN usage through interactive communication"/>
    <s v="Conduct Peer education in community by migrant health workers and volunteers and Training on knowledge and pratice of MHV to support prevention and treatment of target population"/>
    <s v="Migrant Health Volunteer (MHV) plays the significant role to easily approach into target population and provide the education tool by communication without language barrier."/>
    <m/>
    <m/>
    <m/>
    <m/>
    <n v="12341"/>
    <n v="0"/>
    <n v="0"/>
    <n v="0"/>
    <s v=""/>
    <n v="0"/>
    <n v="0"/>
    <s v=""/>
    <n v="0"/>
    <n v="0"/>
    <s v=""/>
    <s v=""/>
    <n v="0"/>
    <n v="0"/>
    <s v=""/>
    <s v=""/>
    <n v="0"/>
    <n v="0"/>
    <s v=""/>
    <s v=""/>
    <n v="0"/>
    <n v="0"/>
    <s v=""/>
    <s v=""/>
    <n v="0"/>
    <n v="0"/>
    <s v=""/>
    <s v="1. Neutral"/>
    <s v="4. Transformational"/>
    <s v="1. Neutral"/>
    <s v="It did not develop any specific innovation"/>
    <s v="Moderate advocacy"/>
    <s v="It linked and worked with strategic alliances and partners to take tested and effective solutions to scale"/>
  </r>
  <r>
    <x v="73"/>
    <x v="0"/>
    <n v="3667"/>
    <s v="Power Teen V"/>
    <s v="Thailand"/>
    <s v="GR006-THA068"/>
    <s v="Raks Thai Foundation"/>
    <s v="Government"/>
    <s v="Government - Thailand"/>
    <s v="Ministry of Public Health of Thailand"/>
    <m/>
    <m/>
    <m/>
    <m/>
    <m/>
    <m/>
    <m/>
    <m/>
    <m/>
    <m/>
    <m/>
    <m/>
    <m/>
    <m/>
    <m/>
    <m/>
    <m/>
    <m/>
    <m/>
    <m/>
    <m/>
    <m/>
    <m/>
    <m/>
    <m/>
    <m/>
    <m/>
    <m/>
    <m/>
    <m/>
    <m/>
    <m/>
    <m/>
    <m/>
    <m/>
    <m/>
    <m/>
    <m/>
    <m/>
    <m/>
    <m/>
    <m/>
    <m/>
    <m/>
    <m/>
    <d v="2016-01-01T00:00:00"/>
    <d v="2016-09-30T00:00:00"/>
    <m/>
    <s v="Development Other"/>
    <n v="1714"/>
    <s v="Mrs.nipa Chomphupa"/>
    <s v="Program Coordinator"/>
    <s v="nipac7@gmail.com"/>
    <s v="Mr.Manop Jitika"/>
    <s v="Senior Field Officer"/>
    <s v="Taliw-liw@hotmail.com"/>
    <s v="NO"/>
    <s v="YES"/>
    <s v="NO"/>
    <s v="Youth living with HIV, aged 12-24 years in Chiang Mai and Payao, have good physical and mental condition, with confidence and security to live in society, and are not being stigmatized by others."/>
    <s v="Sub-National"/>
    <s v="2 Northern Provininces of Thailand, which are Chiang Mai and Phayao"/>
    <s v="Youth of the two provinces can live confidentially, with a strong network and supports from stakeholders of the government, private organizations, families to support a continuation of working."/>
    <n v="300"/>
    <n v="200"/>
    <n v="500"/>
    <n v="200"/>
    <n v="200"/>
    <n v="400"/>
    <m/>
    <m/>
    <m/>
    <m/>
    <m/>
    <m/>
    <m/>
    <m/>
    <m/>
    <m/>
    <m/>
    <m/>
    <m/>
    <m/>
    <m/>
    <m/>
    <m/>
    <m/>
    <m/>
    <m/>
    <m/>
    <m/>
    <m/>
    <m/>
    <m/>
    <m/>
    <m/>
    <m/>
    <m/>
    <m/>
    <m/>
    <m/>
    <m/>
    <m/>
    <m/>
    <m/>
    <m/>
    <m/>
    <m/>
    <m/>
    <m/>
    <m/>
    <m/>
    <m/>
    <m/>
    <m/>
    <m/>
    <m/>
    <m/>
    <m/>
    <m/>
    <m/>
    <m/>
    <m/>
    <m/>
    <m/>
    <m/>
    <m/>
    <m/>
    <m/>
    <m/>
    <n v="60"/>
    <n v="180"/>
    <n v="240"/>
    <n v="80"/>
    <n v="120"/>
    <n v="200"/>
    <s v="NO"/>
    <m/>
    <m/>
    <m/>
    <s v="NO"/>
    <m/>
    <m/>
    <m/>
    <s v="NO"/>
    <m/>
    <m/>
    <m/>
    <s v="NO"/>
    <m/>
    <m/>
    <m/>
    <s v="NO"/>
    <m/>
    <m/>
    <m/>
    <s v="NO"/>
    <m/>
    <m/>
    <m/>
    <s v="NO"/>
    <m/>
    <m/>
    <m/>
    <s v="NO"/>
    <m/>
    <m/>
    <m/>
    <s v="NO"/>
    <m/>
    <m/>
    <m/>
    <s v="YES"/>
    <n v="240"/>
    <n v="0.25"/>
    <n v="200"/>
    <s v="NO"/>
    <m/>
    <m/>
    <m/>
    <s v="NO"/>
    <m/>
    <m/>
    <m/>
    <s v="NO"/>
    <m/>
    <m/>
    <m/>
    <s v="NO"/>
    <m/>
    <m/>
    <m/>
    <s v="NO"/>
    <m/>
    <m/>
    <m/>
    <s v="NO"/>
    <m/>
    <m/>
    <m/>
    <m/>
    <s v="NO"/>
    <m/>
    <m/>
    <m/>
    <s v="NO"/>
    <m/>
    <m/>
    <s v="NO"/>
    <m/>
    <m/>
    <m/>
    <m/>
    <x v="1"/>
    <s v="NO"/>
    <s v="NO"/>
    <s v="NO"/>
    <s v="YES"/>
    <s v="YES"/>
    <s v="NO"/>
    <s v="YES"/>
    <m/>
    <m/>
    <x v="0"/>
    <m/>
    <x v="1"/>
    <m/>
    <x v="1"/>
    <x v="0"/>
    <s v="NO"/>
    <x v="0"/>
    <x v="0"/>
    <x v="0"/>
    <x v="1"/>
    <n v="3"/>
    <x v="1"/>
    <x v="1"/>
    <x v="1"/>
    <x v="1"/>
    <x v="1"/>
    <x v="1"/>
    <n v="4"/>
    <x v="1"/>
    <x v="2"/>
    <x v="2"/>
    <x v="1"/>
    <x v="3"/>
    <n v="1"/>
    <x v="2"/>
    <x v="1"/>
    <m/>
    <s v="Local NGO(s)/CSO(s)"/>
    <s v="Local government(s)"/>
    <s v="National government"/>
    <x v="1"/>
    <m/>
    <m/>
    <m/>
    <m/>
    <m/>
    <m/>
    <m/>
    <m/>
    <m/>
    <m/>
    <n v="240"/>
    <n v="200"/>
    <n v="0.83333333333333337"/>
    <n v="0.25"/>
    <n v="0.4"/>
    <n v="60"/>
    <n v="80"/>
    <s v=""/>
    <n v="0"/>
    <n v="0"/>
    <s v=""/>
    <s v=""/>
    <n v="0"/>
    <n v="0"/>
    <s v=""/>
    <s v=""/>
    <n v="0"/>
    <n v="0"/>
    <s v=""/>
    <s v=""/>
    <n v="0"/>
    <n v="0"/>
    <s v=""/>
    <s v=""/>
    <n v="0"/>
    <n v="0"/>
    <s v=""/>
    <s v="1. Neutral"/>
    <s v="2. Accommodating"/>
    <s v="1. Neutral"/>
    <s v="It did not develop any specific innovation"/>
    <s v="Moderate advocacy"/>
    <s v="It linked and worked with strategic alliances and partners to take tested and effective solutions to scale"/>
  </r>
  <r>
    <x v="73"/>
    <x v="0"/>
    <n v="3666"/>
    <s v="Promote Understanding of HIV Prevention among Women Migrant Workers"/>
    <s v="Thailand"/>
    <s v="GR005-THA068"/>
    <s v="Raks Thai Foundation"/>
    <s v="Government"/>
    <s v="Government - Thailand"/>
    <s v="Ministry of Public Health of Thailand"/>
    <m/>
    <m/>
    <m/>
    <m/>
    <m/>
    <m/>
    <m/>
    <m/>
    <m/>
    <m/>
    <m/>
    <m/>
    <m/>
    <m/>
    <m/>
    <m/>
    <m/>
    <m/>
    <m/>
    <m/>
    <m/>
    <m/>
    <m/>
    <m/>
    <m/>
    <m/>
    <m/>
    <m/>
    <m/>
    <m/>
    <m/>
    <m/>
    <m/>
    <m/>
    <m/>
    <m/>
    <m/>
    <m/>
    <m/>
    <m/>
    <m/>
    <m/>
    <m/>
    <m/>
    <m/>
    <d v="2016-01-01T00:00:00"/>
    <d v="2016-09-30T00:00:00"/>
    <m/>
    <s v="Development Other"/>
    <n v="3429"/>
    <s v="Ms.Nipa Chomphupa"/>
    <s v="Program Coordinator"/>
    <s v="nipac7@gmail.com"/>
    <m/>
    <m/>
    <m/>
    <s v="NO"/>
    <s v="YES"/>
    <s v="NO"/>
    <s v="Promote Understanding of HIV Prevention among Women Migrant Workers"/>
    <s v="Sub-National"/>
    <s v="Chiang Mai Province of Thailand"/>
    <s v="Women Migrant Workers"/>
    <n v="16"/>
    <n v="8"/>
    <n v="24"/>
    <n v="4"/>
    <n v="5"/>
    <n v="9"/>
    <m/>
    <m/>
    <m/>
    <m/>
    <m/>
    <m/>
    <m/>
    <m/>
    <m/>
    <m/>
    <m/>
    <m/>
    <m/>
    <m/>
    <m/>
    <m/>
    <m/>
    <m/>
    <m/>
    <m/>
    <m/>
    <m/>
    <m/>
    <m/>
    <m/>
    <m/>
    <m/>
    <m/>
    <m/>
    <m/>
    <m/>
    <m/>
    <m/>
    <m/>
    <m/>
    <m/>
    <m/>
    <m/>
    <m/>
    <m/>
    <m/>
    <m/>
    <m/>
    <m/>
    <m/>
    <m/>
    <m/>
    <m/>
    <m/>
    <m/>
    <m/>
    <m/>
    <m/>
    <m/>
    <m/>
    <m/>
    <m/>
    <m/>
    <m/>
    <m/>
    <m/>
    <n v="85"/>
    <n v="40"/>
    <n v="125"/>
    <n v="120"/>
    <n v="60"/>
    <n v="180"/>
    <s v="NO"/>
    <m/>
    <m/>
    <m/>
    <s v="NO"/>
    <m/>
    <m/>
    <m/>
    <s v="NO"/>
    <m/>
    <m/>
    <m/>
    <s v="NO"/>
    <m/>
    <m/>
    <m/>
    <s v="NO"/>
    <m/>
    <m/>
    <m/>
    <s v="NO"/>
    <m/>
    <m/>
    <m/>
    <s v="NO"/>
    <m/>
    <m/>
    <m/>
    <s v="NO"/>
    <n v="0"/>
    <n v="0"/>
    <n v="0"/>
    <s v="NO"/>
    <m/>
    <m/>
    <m/>
    <s v="YES"/>
    <n v="125"/>
    <n v="0.68"/>
    <n v="180"/>
    <s v="NO"/>
    <m/>
    <m/>
    <m/>
    <s v="NO"/>
    <m/>
    <m/>
    <m/>
    <s v="NO"/>
    <m/>
    <m/>
    <m/>
    <s v="NO"/>
    <m/>
    <m/>
    <m/>
    <s v="NO"/>
    <m/>
    <m/>
    <m/>
    <s v="NO"/>
    <m/>
    <m/>
    <m/>
    <m/>
    <s v="NO"/>
    <m/>
    <m/>
    <m/>
    <s v="NO"/>
    <m/>
    <m/>
    <s v="NO"/>
    <m/>
    <m/>
    <m/>
    <m/>
    <x v="0"/>
    <s v="NO"/>
    <s v="NO"/>
    <s v="NO"/>
    <s v="NO"/>
    <s v="NO"/>
    <s v="NO"/>
    <s v="NO"/>
    <m/>
    <m/>
    <x v="0"/>
    <m/>
    <x v="1"/>
    <m/>
    <x v="1"/>
    <x v="0"/>
    <s v="YES"/>
    <x v="0"/>
    <x v="0"/>
    <x v="0"/>
    <x v="0"/>
    <n v="4"/>
    <x v="1"/>
    <x v="1"/>
    <x v="1"/>
    <x v="1"/>
    <x v="1"/>
    <x v="1"/>
    <n v="4"/>
    <x v="1"/>
    <x v="2"/>
    <x v="2"/>
    <x v="1"/>
    <x v="3"/>
    <n v="1"/>
    <x v="2"/>
    <x v="1"/>
    <m/>
    <s v="Local NGO(s)/CSO(s)"/>
    <s v="Local government(s)"/>
    <m/>
    <x v="1"/>
    <m/>
    <s v="No major changes were done during this FY"/>
    <m/>
    <m/>
    <m/>
    <m/>
    <m/>
    <m/>
    <m/>
    <m/>
    <n v="125"/>
    <n v="180"/>
    <n v="1.44"/>
    <n v="0.68"/>
    <n v="0.66666666666666663"/>
    <n v="85"/>
    <n v="120"/>
    <s v=""/>
    <n v="0"/>
    <n v="0"/>
    <s v=""/>
    <s v=""/>
    <n v="0"/>
    <n v="0"/>
    <s v=""/>
    <s v=""/>
    <n v="0"/>
    <n v="0"/>
    <s v=""/>
    <s v=""/>
    <n v="0"/>
    <n v="0"/>
    <s v=""/>
    <s v=""/>
    <n v="0"/>
    <n v="0"/>
    <s v=""/>
    <s v="2. Sensitive"/>
    <s v="2. Accommodating"/>
    <s v="1. Neutral"/>
    <s v="It did not develop any specific innovation"/>
    <s v="Little or no advocacy"/>
    <s v="It linked and worked with strategic alliances and partners to take tested and effective solutions to scale"/>
  </r>
  <r>
    <x v="73"/>
    <x v="0"/>
    <n v="3673"/>
    <s v="Reducing the Prevalence Of Child Labour among migrant worker in Thai seafood industry (REPOCL)"/>
    <s v="Thailand"/>
    <s v="GR008-THA066"/>
    <s v="Raks Thai Foundation"/>
    <s v="Foundation"/>
    <s v="Other"/>
    <s v="Terre des Hommes Netherlands (TdH)"/>
    <m/>
    <m/>
    <m/>
    <m/>
    <m/>
    <m/>
    <m/>
    <m/>
    <m/>
    <m/>
    <m/>
    <m/>
    <m/>
    <m/>
    <m/>
    <m/>
    <m/>
    <m/>
    <m/>
    <m/>
    <m/>
    <m/>
    <m/>
    <m/>
    <m/>
    <m/>
    <m/>
    <m/>
    <m/>
    <m/>
    <m/>
    <m/>
    <m/>
    <m/>
    <m/>
    <m/>
    <m/>
    <m/>
    <m/>
    <m/>
    <m/>
    <m/>
    <m/>
    <m/>
    <m/>
    <d v="2016-02-01T00:00:00"/>
    <d v="2016-12-31T00:00:00"/>
    <d v="2017-03-31T00:00:00"/>
    <s v="Development Other"/>
    <n v="148290"/>
    <s v="Ms. Thongphit Pinyosinwat"/>
    <s v="Director, Program Quality Department"/>
    <s v="thongphit@gmail.com"/>
    <s v="Mr Wasurat Homsud"/>
    <s v="Program Officer, Program Quality Department"/>
    <s v="wasurat@raksthai.org"/>
    <s v="NO"/>
    <s v="YES"/>
    <s v="NO"/>
    <s v="To eliminate worst forms of child labour."/>
    <s v="Sub-National"/>
    <s v="2 provinces of North - Chiang Mai, Tak_x000a_1 provinces of Central - Samut Prakarn_x000a_2 provinces of South - Surat Thani, Nakhon Si Thammarat"/>
    <s v="Children at risk of child labour and exploitation."/>
    <n v="1432"/>
    <n v="1172"/>
    <n v="2604"/>
    <n v="980"/>
    <n v="802"/>
    <n v="1782"/>
    <m/>
    <m/>
    <m/>
    <m/>
    <m/>
    <m/>
    <m/>
    <m/>
    <m/>
    <m/>
    <m/>
    <m/>
    <m/>
    <m/>
    <m/>
    <m/>
    <m/>
    <m/>
    <m/>
    <m/>
    <m/>
    <m/>
    <m/>
    <m/>
    <m/>
    <m/>
    <m/>
    <m/>
    <m/>
    <m/>
    <m/>
    <m/>
    <m/>
    <m/>
    <m/>
    <m/>
    <m/>
    <m/>
    <m/>
    <m/>
    <m/>
    <m/>
    <m/>
    <m/>
    <m/>
    <m/>
    <m/>
    <m/>
    <m/>
    <m/>
    <m/>
    <m/>
    <m/>
    <m/>
    <m/>
    <m/>
    <m/>
    <m/>
    <m/>
    <m/>
    <m/>
    <n v="1045"/>
    <n v="854"/>
    <n v="1899"/>
    <n v="956"/>
    <n v="781"/>
    <n v="1737"/>
    <s v="NO"/>
    <m/>
    <m/>
    <m/>
    <s v="NO"/>
    <m/>
    <m/>
    <m/>
    <s v="NO"/>
    <m/>
    <m/>
    <m/>
    <s v="NO"/>
    <m/>
    <m/>
    <m/>
    <s v="NO"/>
    <m/>
    <m/>
    <m/>
    <s v="YES"/>
    <n v="1818"/>
    <n v="0.55000000000000004"/>
    <n v="1737"/>
    <s v="NO"/>
    <m/>
    <m/>
    <m/>
    <s v="NO"/>
    <n v="0"/>
    <n v="0"/>
    <n v="0"/>
    <s v="NO"/>
    <m/>
    <m/>
    <m/>
    <s v="NO"/>
    <m/>
    <m/>
    <m/>
    <s v="NO"/>
    <m/>
    <m/>
    <m/>
    <s v="NO"/>
    <m/>
    <m/>
    <m/>
    <s v="YES"/>
    <n v="36"/>
    <n v="0.44"/>
    <n v="0"/>
    <s v="NO"/>
    <m/>
    <m/>
    <m/>
    <s v="NO"/>
    <m/>
    <m/>
    <m/>
    <s v="NO"/>
    <m/>
    <m/>
    <m/>
    <m/>
    <s v="NO"/>
    <m/>
    <m/>
    <m/>
    <s v="YES"/>
    <s v="October"/>
    <n v="2016"/>
    <s v="NO"/>
    <m/>
    <m/>
    <m/>
    <m/>
    <x v="0"/>
    <s v="NO"/>
    <s v="NO"/>
    <s v="NO"/>
    <s v="YES"/>
    <s v="YES"/>
    <s v="NO"/>
    <s v="NO"/>
    <s v="NO"/>
    <m/>
    <x v="0"/>
    <m/>
    <x v="1"/>
    <m/>
    <x v="1"/>
    <x v="0"/>
    <s v="YES"/>
    <x v="0"/>
    <x v="0"/>
    <x v="0"/>
    <x v="0"/>
    <n v="4"/>
    <x v="1"/>
    <x v="1"/>
    <x v="1"/>
    <x v="1"/>
    <x v="1"/>
    <x v="1"/>
    <n v="4"/>
    <x v="1"/>
    <x v="1"/>
    <x v="1"/>
    <x v="2"/>
    <x v="3"/>
    <n v="2"/>
    <x v="2"/>
    <x v="0"/>
    <n v="2"/>
    <s v="Local NGO(s)/CSO(s)"/>
    <m/>
    <m/>
    <x v="1"/>
    <m/>
    <s v="The project initiate the prevention program to address worst forms of child labour in Thailand. After the implementation of this period, two schools agreed to let migrant children enrolling into their education service."/>
    <s v="Prevention of worst forms of child labour through the community outreach programme which provide the information on child labour/trafficking, notification procedures, and set up the community watch volunteer."/>
    <s v="Support the children to enroll in education system by providing financial support to those who are ready to join Thai formal education system, and provide those who are not ready with the service of Migrant Children Learning Center."/>
    <s v="Engage all stakeholder in the implementation areas, e.g. Government officials, law enforcement, and private sector, in order to enabling the environment that friendly for migrant children to participate in the education system."/>
    <s v="Low level of M&amp;E activity reflect in low performance."/>
    <s v="The inability to secure funding lead to the un-achieved planned objectives."/>
    <s v="The project concerning the worst form of child labour need to engage many actors in the community, such as children, families, Government agency, law enforcement, CSO, and private sector."/>
    <s v="The initial plan of this project is designed for 3 years implementation but Raks Thai and partners could only implement in 15 months period. This is due to that donor (TdH) could not secure funding for the grant, many activities that planned to continue in the later stage were put on hold so the project could not achieve its purposes."/>
    <s v="Please see the attachment of the narrative of the progress report of the project as well as the excel file which update the quantitative result."/>
    <n v="1899"/>
    <n v="1737"/>
    <n v="0.91469194312796209"/>
    <n v="0.55028962611901"/>
    <n v="0.55037420840529649"/>
    <n v="1045"/>
    <n v="956"/>
    <s v=""/>
    <n v="0"/>
    <n v="0"/>
    <s v=""/>
    <s v=""/>
    <n v="0"/>
    <n v="0"/>
    <s v=""/>
    <s v=""/>
    <n v="0"/>
    <n v="0"/>
    <s v=""/>
    <s v=""/>
    <n v="0"/>
    <n v="0"/>
    <s v=""/>
    <s v=""/>
    <n v="0"/>
    <n v="0"/>
    <s v=""/>
    <s v="2. Sensitive"/>
    <s v="2. Accommodating"/>
    <s v="1. Neutral"/>
    <s v="It did not develop any specific innovation"/>
    <s v="Little or no advocacy"/>
    <s v="It linked and worked with strategic alliances and partners to take tested and effective solutions to scale"/>
  </r>
  <r>
    <x v="73"/>
    <x v="0"/>
    <m/>
    <s v="Ship to Shore (Phase 1)"/>
    <s v="Thailand"/>
    <s v="GRN0028"/>
    <s v="Raks Thai Foundation"/>
    <s v="Multilateral agency"/>
    <s v="UN - United Nations agencies/offices"/>
    <s v="International Labour Organization (ILO)"/>
    <m/>
    <m/>
    <m/>
    <m/>
    <m/>
    <m/>
    <m/>
    <m/>
    <m/>
    <m/>
    <m/>
    <m/>
    <m/>
    <m/>
    <m/>
    <m/>
    <m/>
    <m/>
    <m/>
    <m/>
    <m/>
    <m/>
    <m/>
    <m/>
    <m/>
    <m/>
    <m/>
    <m/>
    <m/>
    <m/>
    <m/>
    <m/>
    <m/>
    <m/>
    <m/>
    <m/>
    <m/>
    <m/>
    <m/>
    <m/>
    <m/>
    <m/>
    <m/>
    <m/>
    <m/>
    <d v="2017-06-15T00:00:00"/>
    <d v="2017-12-31T00:00:00"/>
    <m/>
    <s v="Development Other"/>
    <n v="125868"/>
    <s v="Ms. Thongphit Pinyosinwat"/>
    <s v="Director, Program Quality Department"/>
    <s v="thongphit@gmail.com"/>
    <s v="Mr Wasurat Homsud"/>
    <s v="Program Officer, Program Quality Department"/>
    <s v="wasurat@raksthai.org"/>
    <s v="NO"/>
    <s v="YES"/>
    <s v="NO"/>
    <s v="Combatting unnacceptable forms of work in the Thai Fishing and Seafood Industry through empowering migrant workers"/>
    <s v="Sub-National"/>
    <s v="Southern provinces of Thailand"/>
    <s v="Migrant workers in the Thai Fishing and Seafood Industry"/>
    <n v="0"/>
    <n v="60"/>
    <n v="120"/>
    <n v="750"/>
    <n v="750"/>
    <n v="1500"/>
    <m/>
    <m/>
    <m/>
    <m/>
    <m/>
    <m/>
    <m/>
    <m/>
    <m/>
    <m/>
    <m/>
    <m/>
    <m/>
    <m/>
    <m/>
    <m/>
    <m/>
    <m/>
    <m/>
    <m/>
    <m/>
    <m/>
    <m/>
    <m/>
    <m/>
    <m/>
    <m/>
    <m/>
    <m/>
    <m/>
    <m/>
    <m/>
    <m/>
    <m/>
    <m/>
    <m/>
    <m/>
    <m/>
    <m/>
    <m/>
    <m/>
    <m/>
    <m/>
    <m/>
    <m/>
    <m/>
    <m/>
    <m/>
    <m/>
    <m/>
    <m/>
    <m/>
    <m/>
    <m/>
    <m/>
    <m/>
    <m/>
    <m/>
    <m/>
    <m/>
    <m/>
    <n v="0"/>
    <n v="0"/>
    <n v="0"/>
    <n v="0"/>
    <n v="0"/>
    <n v="0"/>
    <s v="NO"/>
    <m/>
    <m/>
    <m/>
    <s v="NO"/>
    <m/>
    <m/>
    <m/>
    <s v="NO"/>
    <m/>
    <m/>
    <m/>
    <s v="NO"/>
    <m/>
    <m/>
    <m/>
    <s v="NO"/>
    <m/>
    <m/>
    <m/>
    <s v="NO"/>
    <m/>
    <m/>
    <m/>
    <s v="NO"/>
    <m/>
    <m/>
    <m/>
    <s v="NO"/>
    <n v="0"/>
    <n v="0"/>
    <n v="0"/>
    <s v="NO"/>
    <m/>
    <m/>
    <m/>
    <s v="NO"/>
    <m/>
    <m/>
    <m/>
    <s v="NO"/>
    <m/>
    <m/>
    <m/>
    <s v="NO"/>
    <m/>
    <m/>
    <m/>
    <s v="YES"/>
    <n v="0"/>
    <n v="0"/>
    <n v="0"/>
    <s v="NO"/>
    <m/>
    <m/>
    <m/>
    <s v="NO"/>
    <m/>
    <m/>
    <m/>
    <s v="NO"/>
    <m/>
    <m/>
    <m/>
    <s v="Labour Rights"/>
    <s v="YES"/>
    <n v="0"/>
    <n v="0"/>
    <n v="0"/>
    <s v="NO"/>
    <m/>
    <m/>
    <s v="NO"/>
    <s v="YES"/>
    <s v="December"/>
    <n v="2017"/>
    <m/>
    <x v="0"/>
    <s v="NO"/>
    <s v="NO"/>
    <s v="NO"/>
    <s v="YES"/>
    <s v="YES"/>
    <s v="NO"/>
    <s v="NO"/>
    <m/>
    <m/>
    <x v="1"/>
    <m/>
    <x v="0"/>
    <m/>
    <x v="0"/>
    <x v="1"/>
    <s v="YES"/>
    <x v="0"/>
    <x v="0"/>
    <x v="1"/>
    <x v="4"/>
    <n v="3"/>
    <x v="2"/>
    <x v="1"/>
    <x v="1"/>
    <x v="1"/>
    <x v="1"/>
    <x v="2"/>
    <n v="4"/>
    <x v="3"/>
    <x v="1"/>
    <x v="2"/>
    <x v="1"/>
    <x v="5"/>
    <n v="2"/>
    <x v="2"/>
    <x v="1"/>
    <m/>
    <m/>
    <m/>
    <m/>
    <x v="1"/>
    <s v="The project did not carry out actions in this FY to strengthen civil society"/>
    <s v="The project is still in its preparation period. There is no important changes in this FY."/>
    <s v="Intensive program with provincial based staff in Samutsakorn, Pattani and Suratthani"/>
    <s v="Building young leaders among migrant workers who can create natural linkages and networks with the migrant communities"/>
    <s v="Network extension focusing on Ranong, Trang and Chumphon, but also linking with other provinces that could be covered by the program partners (e.g. Stella Maris, SERC, HRDF)."/>
    <s v="The project is still in its preparation period. There is no lessons learned in this FY."/>
    <m/>
    <m/>
    <s v="Raks Thai already conducted the project orientation meeting. The next step of the project will be to start the capacity building program for young migrant leaders in six provinces."/>
    <s v="Please find the attached &quot;Theory of Change Ship to ShoreCombatting Unacceptable forms of Work in the Thai Fishing and Seafood Industry&quot;."/>
    <n v="0"/>
    <n v="0"/>
    <s v=""/>
    <s v=""/>
    <s v=""/>
    <n v="0"/>
    <n v="0"/>
    <s v=""/>
    <n v="0"/>
    <n v="0"/>
    <s v=""/>
    <s v=""/>
    <n v="0"/>
    <n v="0"/>
    <s v=""/>
    <s v=""/>
    <n v="0"/>
    <n v="0"/>
    <s v=""/>
    <s v=""/>
    <n v="0"/>
    <n v="0"/>
    <s v=""/>
    <s v=""/>
    <n v="0"/>
    <n v="0"/>
    <s v=""/>
    <s v="3. Responsive"/>
    <s v="4. Transformational"/>
    <s v="3. Responsive"/>
    <s v="It tested new ways for fighting poverty, but did not measure results of innovation"/>
    <s v="Little or no advocacy"/>
    <s v="It did not take tested solutions to scale"/>
  </r>
  <r>
    <x v="73"/>
    <x v="0"/>
    <n v="3661"/>
    <s v="Stop TB ans AIDS through RTTR (STAR)"/>
    <s v="Thailand"/>
    <s v="TH691-THA066"/>
    <s v="Raks Thai Foundation"/>
    <s v="Government"/>
    <s v="Government - Thailand"/>
    <s v="Ministry of Public Health of Thailand"/>
    <s v="TH691-THA066"/>
    <s v="Raks Thai Foundation"/>
    <s v="Foundation"/>
    <s v="The Global Fund to Fight AIDS, Tuberculosis and Malaria"/>
    <s v="Global Fund to Fight AIDS, Tuberculosis and Malaria"/>
    <m/>
    <m/>
    <m/>
    <m/>
    <m/>
    <m/>
    <m/>
    <m/>
    <m/>
    <m/>
    <m/>
    <m/>
    <m/>
    <m/>
    <m/>
    <m/>
    <m/>
    <m/>
    <m/>
    <m/>
    <m/>
    <m/>
    <m/>
    <m/>
    <m/>
    <m/>
    <m/>
    <m/>
    <m/>
    <m/>
    <m/>
    <m/>
    <m/>
    <m/>
    <m/>
    <m/>
    <m/>
    <m/>
    <m/>
    <m/>
    <d v="2015-01-01T00:00:00"/>
    <d v="2017-12-31T00:00:00"/>
    <m/>
    <s v="Development Other"/>
    <n v="22278214"/>
    <s v="Ms. Thongphit Pinyosinwat"/>
    <s v="Director, Program Quality Department"/>
    <s v="thongphit@gmail.com"/>
    <s v="Ms. Chutarat Wongsuwon"/>
    <s v="Assistant Program Quality Director, Program Quality Department"/>
    <s v="chutarat_bkk@raksthai.org"/>
    <s v="NO"/>
    <s v="YES"/>
    <s v="NO"/>
    <s v="1. To end AIDS in Thailand by 2030 (reducing annual new infections to below 1000 cases (from the current 8,134 estimated new infections annually)_x000a_2. To reduce the prevalence of TB from 159 per 100,000 to 120 per 100,000 between 2015 and 2019."/>
    <s v="Sub-National"/>
    <s v="26 provinces in Thailand;_x000a_5 provinces in Central Bangkok (MSM, MSW, FSW, PWID), Samut Prakan (MSM, PWID, Migrant), Nonthaburi (MSM), Pathum Thani (MSM), Samut Sakhon (Migrant),_x000a_3 provinces in East - Chon Buri (MSM, MSW, Migrant), Rayong (Migrant), Trad (Migrant),_x000a_4 provinces in Northeast - Ubon Ratchathani (MSM),  Nakhon Ratchasima(MSM), Khon Kaen (MSM), Udon Thani (MSM)_x000a_4 provinces in North - Chiang Mai (MSM, MSW, PWID, Migrant), Lampoon (MSM), Tak (PWID), Chiang Rai (PWID),  _x000a_10 provinces in South Songkhla (MSM, PWID, Migrant), Nakhon Si Thammarat(MSM), Phuket (MSM, MSW),  Surat Thani (MSM), Trang (PWID), Patthalung (PWID), Satun (PWID), Pattani (PWID), Yala (PWID), Narathiwat (PWID)."/>
    <s v="Migrant Workers (HIV and TB), People Who Inject Drugs (HIV and TB), Male and Female Sex Workers (HIV), Men who have Sex with Men and Transgender  (HIV)"/>
    <n v="0"/>
    <n v="0"/>
    <n v="388585"/>
    <n v="0"/>
    <n v="0"/>
    <n v="0"/>
    <s v="Y1 (Jan.15 - Sep.15) = 86,590_x000a_Y2 (Oct.15 - Sep.16) = 143,450_x000a_Y3 (Oct.16 -  Sep.17) = 135,716_x000a_Y3 (Oct.17- Dec.17) = 22,829_x000a_Each participants is only counted once between October to September each year. To ensure that participants for the FY July-June (below) are not double counted, reported figures below for FY17 only include 01  October 2016-30 June 2017"/>
    <m/>
    <m/>
    <m/>
    <m/>
    <m/>
    <m/>
    <m/>
    <m/>
    <m/>
    <m/>
    <m/>
    <m/>
    <m/>
    <m/>
    <m/>
    <m/>
    <m/>
    <m/>
    <m/>
    <m/>
    <m/>
    <m/>
    <m/>
    <m/>
    <m/>
    <m/>
    <m/>
    <m/>
    <m/>
    <m/>
    <m/>
    <m/>
    <m/>
    <m/>
    <m/>
    <m/>
    <m/>
    <m/>
    <m/>
    <m/>
    <m/>
    <m/>
    <m/>
    <m/>
    <m/>
    <m/>
    <m/>
    <m/>
    <m/>
    <m/>
    <m/>
    <m/>
    <m/>
    <m/>
    <m/>
    <m/>
    <m/>
    <m/>
    <m/>
    <m/>
    <n v="17841"/>
    <n v="85180"/>
    <n v="103021"/>
    <m/>
    <m/>
    <m/>
    <s v="NO"/>
    <m/>
    <m/>
    <m/>
    <s v="NO"/>
    <m/>
    <m/>
    <m/>
    <s v="NO"/>
    <m/>
    <m/>
    <m/>
    <s v="NO"/>
    <m/>
    <m/>
    <m/>
    <s v="NO"/>
    <m/>
    <m/>
    <m/>
    <s v="NO"/>
    <m/>
    <m/>
    <m/>
    <s v="NO"/>
    <m/>
    <m/>
    <m/>
    <s v="NO"/>
    <n v="0"/>
    <n v="0"/>
    <n v="0"/>
    <s v="NO"/>
    <m/>
    <m/>
    <m/>
    <s v="YES"/>
    <n v="103021"/>
    <n v="0.17299999999999999"/>
    <n v="0"/>
    <s v="NO"/>
    <m/>
    <m/>
    <m/>
    <s v="NO"/>
    <m/>
    <m/>
    <m/>
    <s v="YES"/>
    <m/>
    <m/>
    <m/>
    <s v="NO"/>
    <m/>
    <m/>
    <m/>
    <s v="NO"/>
    <m/>
    <m/>
    <m/>
    <s v="NO"/>
    <m/>
    <m/>
    <m/>
    <m/>
    <s v="NO"/>
    <m/>
    <m/>
    <m/>
    <s v="NO"/>
    <m/>
    <m/>
    <s v="NO"/>
    <s v="YES"/>
    <s v="January"/>
    <n v="2018"/>
    <m/>
    <x v="2"/>
    <s v="YES"/>
    <s v="YES"/>
    <s v="NO"/>
    <s v="YES"/>
    <s v="YES"/>
    <s v="NO"/>
    <s v="YES"/>
    <m/>
    <m/>
    <x v="1"/>
    <m/>
    <x v="1"/>
    <m/>
    <x v="1"/>
    <x v="1"/>
    <s v="YES"/>
    <x v="0"/>
    <x v="0"/>
    <x v="0"/>
    <x v="2"/>
    <n v="4"/>
    <x v="2"/>
    <x v="1"/>
    <x v="1"/>
    <x v="1"/>
    <x v="1"/>
    <x v="2"/>
    <n v="4"/>
    <x v="1"/>
    <x v="1"/>
    <x v="1"/>
    <x v="1"/>
    <x v="1"/>
    <n v="3"/>
    <x v="2"/>
    <x v="3"/>
    <n v="16"/>
    <s v="Local NGO(s)/CSO(s)"/>
    <s v="Local government(s)"/>
    <s v="Local alliance(s)/Platform(s)/Network(s) of  NGOs/CSOs"/>
    <x v="0"/>
    <m/>
    <s v="The change in the project is its three months extension, which the target is increased. The project has carried out a study on gender equality, gende sensitivity, and gender based violence among target population. Expecting report is in December 2017."/>
    <s v="1.To reach MSM and TG. the project has initiated a new platform to provide access to the population by introucing an online application."/>
    <s v="2. Project introduced Mobile data collecting, Real Time Cohrt Monitoring (RTCM), to collect the Reach-Recruit-Test-Treat-Retain (RRTTR) data cascade."/>
    <s v="3. To strengthen the Hiv testing service for target population, the project has supported HIV testing centers in community. The centers are organized by community with supervision from  government Bureau of Aids, TB and STI."/>
    <s v="The RTCM needs to be linked with national health reporting system. The project has faced difficulties to link the data as it's patient's confidentiality."/>
    <s v="Partner capacity building and Organization Development:Project has worked with partners who used to receive lump-sum appropriation budget for their implementation. The project required the partners to change their routine financial management as well as program management. Some have struggled to explain the new routine to their long term staff. Quarterly support based on partner's performamnce evaluation is carried out by the project staff to strengthen the  management system."/>
    <s v="Risk Mitigation: Project has introduced organization risk and their mitigation to all partners. At each partner, there are different risks identified by the project and partner-self assessment. However, the priority list of risk mitigation has been quite similar between project and partnet assessment."/>
    <m/>
    <s v="RTCM and  RIHIS Test"/>
    <n v="103021"/>
    <n v="0"/>
    <n v="0"/>
    <n v="0.17317828403917648"/>
    <s v=""/>
    <n v="17841"/>
    <n v="0"/>
    <s v=""/>
    <n v="0"/>
    <n v="0"/>
    <s v=""/>
    <s v=""/>
    <n v="0"/>
    <n v="0"/>
    <s v=""/>
    <s v=""/>
    <n v="0"/>
    <n v="0"/>
    <s v=""/>
    <s v=""/>
    <n v="0"/>
    <n v="0"/>
    <s v=""/>
    <s v=""/>
    <n v="0"/>
    <n v="0"/>
    <s v=""/>
    <s v="4. Transformative"/>
    <s v="4. Transformational"/>
    <s v="2. Sensitive"/>
    <s v="It tested new ways for fighting poverty, but did not measure results of innovation"/>
    <s v="Intensive advocacy"/>
    <s v="It linked and worked with strategic alliances and partners to take tested and effective solutions to scale"/>
  </r>
  <r>
    <x v="73"/>
    <x v="0"/>
    <n v="3668"/>
    <s v="Strengthening Women Leaders to be Change Agent on Sexual and Reproductive Health Promotion"/>
    <s v="Thailand"/>
    <s v="GR007-THA068"/>
    <s v="Raks Thai Foundation"/>
    <s v="Government"/>
    <s v="Government - Thailand"/>
    <s v="Ministry of Public Health of Thailand"/>
    <m/>
    <m/>
    <m/>
    <m/>
    <m/>
    <m/>
    <m/>
    <m/>
    <m/>
    <m/>
    <m/>
    <m/>
    <m/>
    <m/>
    <m/>
    <m/>
    <m/>
    <m/>
    <m/>
    <m/>
    <m/>
    <m/>
    <m/>
    <m/>
    <m/>
    <m/>
    <m/>
    <m/>
    <m/>
    <m/>
    <m/>
    <m/>
    <m/>
    <m/>
    <m/>
    <m/>
    <m/>
    <m/>
    <m/>
    <m/>
    <m/>
    <m/>
    <m/>
    <m/>
    <m/>
    <d v="2016-01-01T00:00:00"/>
    <d v="2016-09-30T00:00:00"/>
    <m/>
    <s v="Development Other"/>
    <n v="5657"/>
    <s v="Mrs.nipa Chomphupa"/>
    <s v="Program Coordinator"/>
    <s v="nipac7@gmail.com"/>
    <m/>
    <m/>
    <m/>
    <s v="NO"/>
    <s v="YES"/>
    <s v="NO"/>
    <s v="Strengthening Women Leaders to be Change Agent on Sexual and Reproductive Health Promotion"/>
    <s v="Sub-National"/>
    <s v="Chiang Mai Province of Thailand"/>
    <s v="Women Leaders, Women Village Health Volunteers, Women with HIV in Chiang Mai Province."/>
    <n v="160"/>
    <n v="150"/>
    <n v="310"/>
    <n v="200"/>
    <n v="130"/>
    <n v="330"/>
    <m/>
    <m/>
    <m/>
    <m/>
    <m/>
    <m/>
    <m/>
    <m/>
    <m/>
    <m/>
    <m/>
    <m/>
    <m/>
    <m/>
    <m/>
    <m/>
    <m/>
    <m/>
    <m/>
    <m/>
    <m/>
    <m/>
    <m/>
    <m/>
    <m/>
    <m/>
    <m/>
    <m/>
    <m/>
    <m/>
    <m/>
    <m/>
    <m/>
    <m/>
    <m/>
    <m/>
    <m/>
    <m/>
    <m/>
    <m/>
    <m/>
    <m/>
    <m/>
    <m/>
    <m/>
    <m/>
    <m/>
    <m/>
    <m/>
    <m/>
    <m/>
    <m/>
    <m/>
    <m/>
    <m/>
    <m/>
    <m/>
    <m/>
    <m/>
    <m/>
    <m/>
    <n v="200"/>
    <n v="100"/>
    <n v="300"/>
    <n v="160"/>
    <n v="80"/>
    <n v="240"/>
    <s v="NO"/>
    <m/>
    <m/>
    <m/>
    <s v="NO"/>
    <m/>
    <m/>
    <m/>
    <s v="NO"/>
    <m/>
    <m/>
    <m/>
    <s v="NO"/>
    <m/>
    <m/>
    <m/>
    <s v="NO"/>
    <m/>
    <m/>
    <m/>
    <s v="NO"/>
    <m/>
    <m/>
    <m/>
    <s v="NO"/>
    <m/>
    <m/>
    <m/>
    <s v="NO"/>
    <n v="0"/>
    <n v="0"/>
    <n v="0"/>
    <s v="YES"/>
    <n v="540"/>
    <n v="0.66"/>
    <n v="240"/>
    <s v="NO"/>
    <m/>
    <m/>
    <m/>
    <s v="NO"/>
    <m/>
    <m/>
    <m/>
    <s v="NO"/>
    <m/>
    <m/>
    <m/>
    <s v="NO"/>
    <m/>
    <m/>
    <m/>
    <s v="NO"/>
    <m/>
    <m/>
    <m/>
    <s v="NO"/>
    <m/>
    <m/>
    <m/>
    <s v="NO"/>
    <m/>
    <m/>
    <m/>
    <m/>
    <s v="NO"/>
    <m/>
    <m/>
    <m/>
    <s v="NO"/>
    <m/>
    <m/>
    <s v="NO"/>
    <s v="NO"/>
    <m/>
    <m/>
    <m/>
    <x v="0"/>
    <s v="NO"/>
    <s v="NO"/>
    <m/>
    <s v="YES"/>
    <s v="NO"/>
    <m/>
    <s v="NO"/>
    <m/>
    <m/>
    <x v="0"/>
    <m/>
    <x v="1"/>
    <m/>
    <x v="1"/>
    <x v="0"/>
    <s v="YES"/>
    <x v="0"/>
    <x v="0"/>
    <x v="0"/>
    <x v="0"/>
    <n v="4"/>
    <x v="1"/>
    <x v="1"/>
    <x v="1"/>
    <x v="1"/>
    <x v="1"/>
    <x v="1"/>
    <n v="4"/>
    <x v="1"/>
    <x v="1"/>
    <x v="1"/>
    <x v="2"/>
    <x v="3"/>
    <n v="2"/>
    <x v="2"/>
    <x v="1"/>
    <m/>
    <s v="Local NGO(s)/CSO(s)"/>
    <s v="Local government(s)"/>
    <s v="National government"/>
    <x v="1"/>
    <m/>
    <m/>
    <m/>
    <m/>
    <m/>
    <m/>
    <m/>
    <m/>
    <m/>
    <m/>
    <n v="300"/>
    <n v="240"/>
    <n v="0.8"/>
    <n v="0.66666666666666663"/>
    <n v="0.66666666666666663"/>
    <n v="200"/>
    <n v="160"/>
    <s v=""/>
    <n v="0"/>
    <n v="0"/>
    <s v=""/>
    <s v=""/>
    <n v="0"/>
    <n v="0"/>
    <s v=""/>
    <s v=""/>
    <n v="0"/>
    <n v="0"/>
    <s v=""/>
    <s v=""/>
    <n v="0"/>
    <n v="0"/>
    <s v=""/>
    <s v=""/>
    <n v="0"/>
    <n v="0"/>
    <s v=""/>
    <s v="2. Sensitive"/>
    <s v="2. Accommodating"/>
    <s v="1. Neutral"/>
    <s v="It did not develop any specific innovation"/>
    <s v="Little or no advocacy"/>
    <s v="It linked and worked with strategic alliances and partners to take tested and effective solutions to scale"/>
  </r>
  <r>
    <x v="73"/>
    <x v="0"/>
    <n v="3665"/>
    <s v="Teen  Pregnancy (Prevention &amp; Solving Pregnancy of Teenagers in Chiang Mai,  Lamphun ,Phayao)"/>
    <s v="Thailand"/>
    <s v="TH677-THA085 (Lamphun) , TH676-THA085 (Chiang Mai), TH675-THA085 (Phayao)"/>
    <s v="Raks Thai Foundation"/>
    <s v="Government"/>
    <s v="Other"/>
    <s v="Thai Health Promotion Office"/>
    <m/>
    <m/>
    <m/>
    <m/>
    <m/>
    <m/>
    <m/>
    <m/>
    <m/>
    <m/>
    <m/>
    <m/>
    <m/>
    <m/>
    <m/>
    <m/>
    <m/>
    <m/>
    <m/>
    <m/>
    <m/>
    <m/>
    <m/>
    <m/>
    <m/>
    <m/>
    <m/>
    <m/>
    <m/>
    <m/>
    <m/>
    <m/>
    <m/>
    <m/>
    <m/>
    <m/>
    <m/>
    <m/>
    <m/>
    <m/>
    <m/>
    <m/>
    <m/>
    <m/>
    <m/>
    <d v="2014-10-01T00:00:00"/>
    <d v="2017-11-30T00:00:00"/>
    <m/>
    <s v="Development Other"/>
    <n v="242268"/>
    <s v="Ms.Nipa Chomphupa"/>
    <s v="Program Coordinator"/>
    <s v="nipac7@gmail.com"/>
    <s v="Mr. Sawat  Khamfu"/>
    <s v="Field Officer"/>
    <s v="sawad2553@gmail.com"/>
    <s v="NO"/>
    <s v="YES"/>
    <s v="NO"/>
    <s v="Promotion of mechanisms for prevention and solving pregnancing problem of teenagers among government sector, social society organizations, and communities in Chiang Mai."/>
    <s v="Sub-National"/>
    <s v="3 Northern Provinces of Thailand, which are  Lamphun, Chiang Mai, ."/>
    <s v="56 communities and 8 sub-districts of 3 provinces."/>
    <n v="6000"/>
    <n v="5000"/>
    <n v="11000"/>
    <n v="8000"/>
    <n v="6000"/>
    <n v="14000"/>
    <m/>
    <m/>
    <m/>
    <m/>
    <m/>
    <m/>
    <m/>
    <m/>
    <m/>
    <m/>
    <m/>
    <m/>
    <m/>
    <m/>
    <m/>
    <m/>
    <m/>
    <m/>
    <m/>
    <m/>
    <m/>
    <m/>
    <m/>
    <m/>
    <m/>
    <m/>
    <m/>
    <m/>
    <m/>
    <m/>
    <m/>
    <m/>
    <m/>
    <m/>
    <m/>
    <m/>
    <m/>
    <m/>
    <m/>
    <m/>
    <m/>
    <m/>
    <m/>
    <m/>
    <m/>
    <m/>
    <m/>
    <m/>
    <m/>
    <m/>
    <m/>
    <m/>
    <m/>
    <m/>
    <m/>
    <m/>
    <m/>
    <m/>
    <m/>
    <m/>
    <m/>
    <n v="1500"/>
    <n v="1000"/>
    <n v="2500"/>
    <n v="3000"/>
    <n v="2500"/>
    <n v="5500"/>
    <s v="NO"/>
    <m/>
    <m/>
    <m/>
    <s v="NO"/>
    <m/>
    <m/>
    <m/>
    <s v="NO"/>
    <m/>
    <m/>
    <m/>
    <s v="NO"/>
    <m/>
    <m/>
    <m/>
    <s v="NO"/>
    <m/>
    <m/>
    <m/>
    <s v="NO"/>
    <m/>
    <m/>
    <m/>
    <s v="NO"/>
    <m/>
    <m/>
    <m/>
    <s v="NO"/>
    <n v="0"/>
    <n v="0"/>
    <n v="0"/>
    <s v="NO"/>
    <m/>
    <m/>
    <m/>
    <s v="NO"/>
    <m/>
    <m/>
    <m/>
    <s v="NO"/>
    <m/>
    <m/>
    <m/>
    <s v="NO"/>
    <m/>
    <m/>
    <m/>
    <s v="NO"/>
    <m/>
    <m/>
    <m/>
    <s v="YES"/>
    <n v="2500"/>
    <n v="0.6"/>
    <n v="5500"/>
    <s v="NO"/>
    <m/>
    <m/>
    <m/>
    <s v="NO"/>
    <m/>
    <m/>
    <m/>
    <m/>
    <s v="NO"/>
    <m/>
    <m/>
    <m/>
    <s v="YES"/>
    <s v="November"/>
    <n v="2016"/>
    <s v="NO"/>
    <s v="NO"/>
    <m/>
    <m/>
    <m/>
    <x v="0"/>
    <s v="NO"/>
    <s v="NO"/>
    <s v="NO"/>
    <s v="NO"/>
    <s v="NO"/>
    <s v="YES"/>
    <s v="NO"/>
    <m/>
    <m/>
    <x v="0"/>
    <m/>
    <x v="3"/>
    <m/>
    <x v="2"/>
    <x v="1"/>
    <s v="YES"/>
    <x v="0"/>
    <x v="0"/>
    <x v="0"/>
    <x v="2"/>
    <n v="4"/>
    <x v="2"/>
    <x v="1"/>
    <x v="1"/>
    <x v="1"/>
    <x v="1"/>
    <x v="2"/>
    <n v="4"/>
    <x v="1"/>
    <x v="1"/>
    <x v="1"/>
    <x v="2"/>
    <x v="3"/>
    <n v="2"/>
    <x v="2"/>
    <x v="1"/>
    <m/>
    <s v="Local government(s)"/>
    <s v="Local NGO(s)/CSO(s)"/>
    <s v="Social movement"/>
    <x v="1"/>
    <m/>
    <m/>
    <m/>
    <m/>
    <m/>
    <m/>
    <m/>
    <m/>
    <m/>
    <m/>
    <n v="2500"/>
    <n v="5500"/>
    <n v="2.2000000000000002"/>
    <n v="0.6"/>
    <n v="0.54545454545454541"/>
    <n v="1500"/>
    <n v="3000"/>
    <s v=""/>
    <n v="0"/>
    <n v="0"/>
    <s v=""/>
    <s v=""/>
    <n v="0"/>
    <n v="0"/>
    <s v=""/>
    <n v="1"/>
    <n v="2500"/>
    <n v="5500"/>
    <n v="2.2000000000000002"/>
    <s v=""/>
    <n v="0"/>
    <n v="0"/>
    <s v=""/>
    <s v=""/>
    <n v="0"/>
    <n v="0"/>
    <s v=""/>
    <s v="4. Transformative"/>
    <s v="4. Transformational"/>
    <s v="1. Neutral"/>
    <s v="It did not develop any specific innovation"/>
    <s v="Little or no advocacy"/>
    <s v="It took tested solutions to scale on its own"/>
  </r>
  <r>
    <x v="73"/>
    <x v="0"/>
    <n v="3663"/>
    <s v="Thailand Regional Artemisinin Containment Initiative (RAI)"/>
    <s v="Thailand"/>
    <s v="TH690-THA066"/>
    <s v="Raks Thai Foundation"/>
    <s v="Government"/>
    <s v="Government - Thailand"/>
    <s v="Ministry of Public Health of Thailand"/>
    <s v="TH690-THA066"/>
    <s v="Raks Thai Foundation"/>
    <s v="Foundation"/>
    <s v="The Global Fund to Fight AIDS, Tuberculosis and Malaria"/>
    <s v="Global Fund to Fight AIDS, Tuberculosis and Malaria"/>
    <m/>
    <m/>
    <m/>
    <m/>
    <m/>
    <m/>
    <m/>
    <m/>
    <m/>
    <m/>
    <m/>
    <m/>
    <m/>
    <m/>
    <m/>
    <m/>
    <m/>
    <m/>
    <m/>
    <m/>
    <m/>
    <m/>
    <m/>
    <m/>
    <m/>
    <m/>
    <m/>
    <m/>
    <m/>
    <m/>
    <m/>
    <m/>
    <m/>
    <m/>
    <m/>
    <m/>
    <m/>
    <m/>
    <m/>
    <m/>
    <d v="2014-01-01T00:00:00"/>
    <d v="2017-12-31T00:00:00"/>
    <m/>
    <s v="Development Other"/>
    <n v="2169785"/>
    <s v="Mr. Shreehari Achara"/>
    <s v="Program Officer,  Program Quality Department"/>
    <s v="shree222shree@gmail.com"/>
    <s v="Ms. Pasinee Sawadtayawong"/>
    <s v="Program Assistant,  Program Quality Department"/>
    <s v="pasinee@raksthai.org"/>
    <s v="NO"/>
    <s v="YES"/>
    <s v="NO"/>
    <s v="To make as large as possible contribution to the elimination of  Falciparum malaria from the GMS, and to prevent the emergence or spread of Artemisinin."/>
    <s v="Sub-National"/>
    <s v="9 provinces in Thailand:_x000a_2 provinces in North - Tak, Mae Hong Son_x000a_2  provinces in Central - Ratchaburi, Kanchanburi_x000a_1 provinve in East - Trat,_x000a_2 provinces in Northeast - Si Sa Kat, Surin,2 provinces in South - Prachuap Khiri Khan, Ranong."/>
    <s v="Migrant population"/>
    <n v="40817"/>
    <n v="83300"/>
    <n v="124117"/>
    <n v="140026"/>
    <n v="134534"/>
    <n v="274560"/>
    <m/>
    <m/>
    <m/>
    <m/>
    <m/>
    <m/>
    <m/>
    <m/>
    <m/>
    <m/>
    <m/>
    <m/>
    <m/>
    <m/>
    <m/>
    <m/>
    <m/>
    <m/>
    <m/>
    <m/>
    <m/>
    <m/>
    <m/>
    <m/>
    <m/>
    <m/>
    <m/>
    <m/>
    <m/>
    <m/>
    <m/>
    <m/>
    <m/>
    <m/>
    <m/>
    <m/>
    <m/>
    <m/>
    <m/>
    <m/>
    <m/>
    <m/>
    <m/>
    <m/>
    <m/>
    <m/>
    <m/>
    <m/>
    <m/>
    <m/>
    <m/>
    <m/>
    <m/>
    <m/>
    <m/>
    <m/>
    <m/>
    <m/>
    <m/>
    <m/>
    <m/>
    <m/>
    <m/>
    <n v="36034"/>
    <m/>
    <m/>
    <m/>
    <s v="NO"/>
    <m/>
    <m/>
    <m/>
    <s v="NO"/>
    <m/>
    <m/>
    <m/>
    <s v="NO"/>
    <m/>
    <m/>
    <m/>
    <s v="NO"/>
    <m/>
    <m/>
    <m/>
    <s v="NO"/>
    <m/>
    <m/>
    <m/>
    <s v="NO"/>
    <m/>
    <m/>
    <m/>
    <s v="NO"/>
    <m/>
    <m/>
    <m/>
    <s v="NO"/>
    <n v="0"/>
    <n v="0"/>
    <n v="0"/>
    <s v="NO"/>
    <m/>
    <m/>
    <m/>
    <s v="YES"/>
    <n v="36034"/>
    <n v="0"/>
    <n v="0"/>
    <s v="NO"/>
    <m/>
    <m/>
    <m/>
    <s v="NO"/>
    <m/>
    <m/>
    <m/>
    <s v="NO"/>
    <m/>
    <m/>
    <m/>
    <s v="NO"/>
    <m/>
    <m/>
    <m/>
    <s v="NO"/>
    <m/>
    <m/>
    <m/>
    <s v="NO"/>
    <m/>
    <m/>
    <m/>
    <m/>
    <s v="NO"/>
    <m/>
    <m/>
    <m/>
    <s v="NO"/>
    <m/>
    <m/>
    <s v="NO"/>
    <s v="YES"/>
    <s v="December"/>
    <n v="2017"/>
    <s v="The December 2017 evaluation will likely cover the full project as a bridge between RAI and the potential second phase (RAI2E)"/>
    <x v="1"/>
    <s v="YES"/>
    <s v="NO"/>
    <s v="NO"/>
    <s v="NO"/>
    <s v="YES"/>
    <s v="YES"/>
    <s v="NO"/>
    <s v="NO"/>
    <m/>
    <x v="0"/>
    <m/>
    <x v="1"/>
    <m/>
    <x v="0"/>
    <x v="0"/>
    <s v="YES"/>
    <x v="0"/>
    <x v="0"/>
    <x v="0"/>
    <x v="0"/>
    <n v="4"/>
    <x v="2"/>
    <x v="1"/>
    <x v="1"/>
    <x v="1"/>
    <x v="1"/>
    <x v="2"/>
    <n v="4"/>
    <x v="1"/>
    <x v="1"/>
    <x v="2"/>
    <x v="2"/>
    <x v="3"/>
    <n v="1"/>
    <x v="2"/>
    <x v="3"/>
    <n v="3"/>
    <s v="Local NGO(s)/CSO(s)"/>
    <s v="International NGO(s)"/>
    <m/>
    <x v="0"/>
    <m/>
    <m/>
    <s v="1. LLIN/LLIHN distribute, Main protection tool distribute to people in community to protect at the first stage of Malaria."/>
    <s v="2. Community outreach provide training for volunteer, provide education (BCC tools) in community. This activity facilitate to engage with community and leading to create community resilience.  "/>
    <s v="3. CSO sharing platform, as the pool of cso in GMS sharing knowledge, data on Malaria as well as lesson-learn and challenge"/>
    <s v="Coordinate among government , private sector and CSO will booth to successful goal"/>
    <s v="Volunteer is one of important factor to reach into community to create sustainable in community + community resilience."/>
    <s v="BHC can only test by MC staffs not by volunteer."/>
    <m/>
    <m/>
    <n v="36034"/>
    <n v="0"/>
    <n v="0"/>
    <n v="0"/>
    <s v=""/>
    <n v="0"/>
    <n v="0"/>
    <s v=""/>
    <n v="0"/>
    <n v="0"/>
    <s v=""/>
    <s v=""/>
    <n v="0"/>
    <n v="0"/>
    <s v=""/>
    <s v=""/>
    <n v="0"/>
    <n v="0"/>
    <s v=""/>
    <s v=""/>
    <n v="0"/>
    <n v="0"/>
    <s v=""/>
    <s v=""/>
    <n v="0"/>
    <n v="0"/>
    <s v=""/>
    <s v="2. Sensitive"/>
    <s v="4. Transformational"/>
    <s v="1. Neutral"/>
    <s v="It did not develop any specific innovation"/>
    <s v="Moderate advocacy"/>
    <s v="It linked and worked with strategic alliances and partners to take tested and effective solutions to scale"/>
  </r>
  <r>
    <x v="73"/>
    <x v="0"/>
    <n v="3768"/>
    <s v="Thailand Seafood Hotspot (Service contract)"/>
    <s v="Thailand"/>
    <s v="SE007-THA066"/>
    <s v="Raks Thai Foundation"/>
    <s v="Other"/>
    <s v="Other"/>
    <s v="Freedom Fund"/>
    <m/>
    <m/>
    <m/>
    <m/>
    <m/>
    <m/>
    <m/>
    <m/>
    <m/>
    <m/>
    <m/>
    <m/>
    <m/>
    <m/>
    <m/>
    <m/>
    <m/>
    <m/>
    <m/>
    <m/>
    <m/>
    <m/>
    <m/>
    <m/>
    <m/>
    <m/>
    <m/>
    <m/>
    <m/>
    <m/>
    <m/>
    <m/>
    <m/>
    <m/>
    <m/>
    <m/>
    <m/>
    <m/>
    <m/>
    <m/>
    <m/>
    <m/>
    <m/>
    <m/>
    <m/>
    <d v="2016-06-01T00:00:00"/>
    <d v="2017-02-28T00:00:00"/>
    <d v="2017-04-30T00:00:00"/>
    <s v="Development Other"/>
    <n v="60000"/>
    <s v="Ms. Thongphit Pinyosinwat"/>
    <s v="Director, Program Quality Department"/>
    <s v="thongphit@gmail.com"/>
    <s v="Mr Wasurat Homsud"/>
    <s v="Program Officer, Program Quality Department"/>
    <s v="wasurat@raksthai.org"/>
    <s v="NO"/>
    <s v="YES"/>
    <s v="NO"/>
    <s v="Significantly reducing slavery in the seafood industry in Thailand."/>
    <s v="Sub-National"/>
    <s v="Southern Provinces of Thailand, which are Ranong, Surat thani, and Songkhla."/>
    <s v="Modern slavery victims in the Thai Seafood Industry"/>
    <n v="0"/>
    <n v="0"/>
    <n v="0"/>
    <n v="0"/>
    <n v="0"/>
    <n v="0"/>
    <m/>
    <m/>
    <m/>
    <m/>
    <m/>
    <m/>
    <m/>
    <m/>
    <m/>
    <m/>
    <m/>
    <m/>
    <m/>
    <m/>
    <m/>
    <m/>
    <m/>
    <m/>
    <m/>
    <m/>
    <m/>
    <m/>
    <m/>
    <m/>
    <m/>
    <m/>
    <m/>
    <m/>
    <m/>
    <m/>
    <m/>
    <m/>
    <m/>
    <m/>
    <m/>
    <m/>
    <m/>
    <m/>
    <m/>
    <m/>
    <m/>
    <m/>
    <m/>
    <m/>
    <m/>
    <m/>
    <m/>
    <m/>
    <m/>
    <m/>
    <m/>
    <m/>
    <m/>
    <m/>
    <m/>
    <m/>
    <m/>
    <m/>
    <m/>
    <m/>
    <m/>
    <n v="17"/>
    <n v="29"/>
    <n v="46"/>
    <m/>
    <m/>
    <m/>
    <s v="NO"/>
    <m/>
    <m/>
    <m/>
    <s v="NO"/>
    <m/>
    <m/>
    <m/>
    <s v="NO"/>
    <m/>
    <m/>
    <m/>
    <s v="NO"/>
    <m/>
    <m/>
    <m/>
    <s v="NO"/>
    <m/>
    <m/>
    <m/>
    <s v="NO"/>
    <m/>
    <m/>
    <m/>
    <s v="NO"/>
    <m/>
    <m/>
    <m/>
    <s v="NO"/>
    <m/>
    <m/>
    <m/>
    <s v="NO"/>
    <m/>
    <m/>
    <m/>
    <s v="NO"/>
    <m/>
    <m/>
    <m/>
    <s v="NO"/>
    <m/>
    <m/>
    <m/>
    <s v="NO"/>
    <m/>
    <m/>
    <m/>
    <s v="YES"/>
    <n v="36"/>
    <n v="0.54"/>
    <m/>
    <s v="NO"/>
    <m/>
    <m/>
    <m/>
    <s v="NO"/>
    <m/>
    <m/>
    <m/>
    <s v="NO"/>
    <m/>
    <m/>
    <m/>
    <s v="Shelter"/>
    <s v="YES"/>
    <n v="10"/>
    <n v="0.3"/>
    <m/>
    <s v="NO"/>
    <m/>
    <m/>
    <s v="NO"/>
    <s v="YES"/>
    <s v="August"/>
    <n v="2017"/>
    <m/>
    <x v="0"/>
    <s v="NO"/>
    <s v="NO"/>
    <s v="NO"/>
    <s v="NO"/>
    <s v="YES"/>
    <s v="NO"/>
    <s v="NO"/>
    <m/>
    <m/>
    <x v="0"/>
    <m/>
    <x v="1"/>
    <m/>
    <x v="0"/>
    <x v="1"/>
    <s v="NO"/>
    <x v="0"/>
    <x v="0"/>
    <x v="1"/>
    <x v="4"/>
    <n v="2"/>
    <x v="2"/>
    <x v="1"/>
    <x v="1"/>
    <x v="1"/>
    <x v="1"/>
    <x v="2"/>
    <n v="4"/>
    <x v="3"/>
    <x v="1"/>
    <x v="0"/>
    <x v="1"/>
    <x v="5"/>
    <n v="2"/>
    <x v="2"/>
    <x v="1"/>
    <n v="5"/>
    <s v="Local NGO(s)/CSO(s)"/>
    <s v="Local government(s)"/>
    <s v="National government"/>
    <x v="0"/>
    <s v="Civil society strengthening was one of the explicit objectives in the project/initiative, and it carried out actions in this FY"/>
    <s v="For advocacy purpose, Raks Thai did the study on shelter service provision to human trafficking victims, especially migrant. This study will later disseminate to partners, both GO and CSO to further utilize as they see fit. Moreover, Raks Thai had initiated the communication platform, www.Thailandseafoodhotspot.org, to strengthen network of organizations working toward anti-human trafficking."/>
    <s v="Increasing partnership between CSOs and GOs to collaboratively work together in order to fill gaps in anti- human trafficking works particularly in the seafood hotspot areas in Thailand. "/>
    <s v="Increasing Thailand knowledge on shelter service provision for migrant victims of trafficking by conducting the study &quot;Review of Shelter Services Provision to Victims of Trafficking in Thailand&quot;."/>
    <m/>
    <s v="There is still a gap in shelter service provide by GO in Thailand hence new order has been announced by the Ministry of Social Development and Human Security to let private sector including CSOs to operate shelter for human trafficking victims."/>
    <s v="Government officials are willing to have CSOs engage in anti-human trafficking work, as they launch the campaign of GO-CSO collaboration to end the trafficking issue in Thailand."/>
    <s v="There are several organizations working toward anti-human trafficking issue in Thailand. However, at this stage, there is few cooperation to be seen."/>
    <s v="Regarding the finding of the study, we found that there is still a large gap in mental health service provision in the shelters. Therefore, Raks Thai, under the support of Freedom Fund, will continue its work in 2018 with the aim to build the capacity of CSO in provide non-clinical mental health support to migrant victims of trafficking."/>
    <s v="Please see the attachment of the narrative of the progress report of the project as well as the &quot;Review of Shelter Services Provision to Victims of Trafficking in Thailand&quot;."/>
    <n v="46"/>
    <n v="0"/>
    <n v="0"/>
    <n v="0.36956521739130432"/>
    <s v=""/>
    <n v="17"/>
    <n v="0"/>
    <s v=""/>
    <n v="0"/>
    <n v="0"/>
    <s v=""/>
    <s v=""/>
    <n v="0"/>
    <n v="0"/>
    <s v=""/>
    <s v=""/>
    <n v="0"/>
    <n v="0"/>
    <s v=""/>
    <s v=""/>
    <n v="0"/>
    <n v="0"/>
    <s v=""/>
    <s v=""/>
    <n v="0"/>
    <n v="0"/>
    <s v=""/>
    <s v="3. Responsive"/>
    <s v="4. Transformational"/>
    <s v="3. Responsive"/>
    <s v="It did not develop any specific innovation"/>
    <s v="Little or no advocacy"/>
    <s v="It linked and worked with strategic alliances and partners to take tested and effective solutions to scale"/>
  </r>
  <r>
    <x v="73"/>
    <x v="0"/>
    <n v="3669"/>
    <s v="Tipco Asphalt Group Youth Hero"/>
    <s v="Thailand"/>
    <s v="CO001-THA 063"/>
    <s v="Raks Thai Foundation"/>
    <s v="Corporation"/>
    <s v="Other"/>
    <s v="Tipco Asphalt Group Co., Ltd."/>
    <m/>
    <m/>
    <m/>
    <m/>
    <m/>
    <m/>
    <m/>
    <m/>
    <m/>
    <m/>
    <m/>
    <m/>
    <m/>
    <m/>
    <m/>
    <m/>
    <m/>
    <m/>
    <m/>
    <m/>
    <m/>
    <m/>
    <m/>
    <m/>
    <m/>
    <m/>
    <m/>
    <m/>
    <m/>
    <m/>
    <m/>
    <m/>
    <m/>
    <m/>
    <m/>
    <m/>
    <m/>
    <m/>
    <m/>
    <m/>
    <m/>
    <m/>
    <m/>
    <m/>
    <m/>
    <d v="2016-05-01T00:00:00"/>
    <d v="2018-04-01T00:00:00"/>
    <m/>
    <s v="Development Other"/>
    <n v="138911"/>
    <s v="Mr. Tanaphong Surakai"/>
    <s v="Field Coordinator"/>
    <s v="tanapong_ud@raksthai.org"/>
    <s v="Mr. Thaworn Deerun"/>
    <s v="Field Officer"/>
    <s v="thaworn_ud@raksthai.org"/>
    <s v="NO"/>
    <s v="YES"/>
    <s v="NO"/>
    <s v="Increase occupational  skills and marketing skills for students, as well as produce products and indirect income from their occupations."/>
    <s v="Sub-National"/>
    <s v="8 schools in Thailand, which are in the provinces of Pitsanulok (2 schools), Nakorn Ratchasima (2 schools), Rayong (2 schools), Surat Thani (2 schools)."/>
    <s v="800 students in 8 secondary schools"/>
    <n v="375"/>
    <n v="425"/>
    <n v="800"/>
    <n v="628"/>
    <n v="650"/>
    <n v="1278"/>
    <m/>
    <m/>
    <m/>
    <m/>
    <m/>
    <m/>
    <m/>
    <m/>
    <m/>
    <m/>
    <m/>
    <m/>
    <m/>
    <m/>
    <m/>
    <m/>
    <m/>
    <m/>
    <m/>
    <m/>
    <m/>
    <m/>
    <m/>
    <m/>
    <m/>
    <m/>
    <m/>
    <m/>
    <m/>
    <m/>
    <m/>
    <m/>
    <m/>
    <m/>
    <m/>
    <m/>
    <m/>
    <m/>
    <m/>
    <m/>
    <m/>
    <m/>
    <m/>
    <m/>
    <m/>
    <m/>
    <m/>
    <m/>
    <m/>
    <m/>
    <m/>
    <m/>
    <m/>
    <m/>
    <m/>
    <m/>
    <m/>
    <m/>
    <m/>
    <m/>
    <m/>
    <n v="450"/>
    <n v="428"/>
    <n v="878"/>
    <n v="500"/>
    <n v="500"/>
    <n v="1000"/>
    <s v="NO"/>
    <m/>
    <m/>
    <m/>
    <s v="NO"/>
    <m/>
    <m/>
    <m/>
    <s v="NO"/>
    <m/>
    <m/>
    <m/>
    <s v="NO"/>
    <m/>
    <m/>
    <m/>
    <s v="YES"/>
    <n v="961"/>
    <n v="0.47"/>
    <n v="1000"/>
    <s v="NO"/>
    <m/>
    <m/>
    <m/>
    <s v="NO"/>
    <m/>
    <m/>
    <m/>
    <s v="NO"/>
    <n v="0"/>
    <n v="0"/>
    <n v="0"/>
    <s v="NO"/>
    <m/>
    <m/>
    <m/>
    <s v="NO"/>
    <m/>
    <m/>
    <m/>
    <s v="NO"/>
    <m/>
    <m/>
    <m/>
    <s v="NO"/>
    <m/>
    <m/>
    <m/>
    <s v="NO"/>
    <m/>
    <m/>
    <m/>
    <s v="NO"/>
    <m/>
    <m/>
    <m/>
    <s v="NO"/>
    <m/>
    <m/>
    <m/>
    <s v="NO"/>
    <m/>
    <m/>
    <m/>
    <m/>
    <s v="NO"/>
    <m/>
    <m/>
    <m/>
    <s v="YES"/>
    <s v="December"/>
    <n v="2016"/>
    <s v="NO"/>
    <s v="NO"/>
    <m/>
    <m/>
    <m/>
    <x v="0"/>
    <s v="NO"/>
    <s v="NO"/>
    <m/>
    <s v="NO"/>
    <s v="NO"/>
    <m/>
    <s v="NO"/>
    <m/>
    <m/>
    <x v="2"/>
    <m/>
    <x v="0"/>
    <m/>
    <x v="1"/>
    <x v="0"/>
    <s v="YES"/>
    <x v="0"/>
    <x v="0"/>
    <x v="0"/>
    <x v="0"/>
    <n v="4"/>
    <x v="1"/>
    <x v="1"/>
    <x v="1"/>
    <x v="1"/>
    <x v="1"/>
    <x v="1"/>
    <n v="4"/>
    <x v="1"/>
    <x v="1"/>
    <x v="2"/>
    <x v="2"/>
    <x v="3"/>
    <n v="1"/>
    <x v="2"/>
    <x v="1"/>
    <m/>
    <s v="Local government(s)"/>
    <s v="Grassroots organization(s)"/>
    <s v="Private sector"/>
    <x v="1"/>
    <m/>
    <m/>
    <m/>
    <m/>
    <m/>
    <m/>
    <m/>
    <m/>
    <m/>
    <m/>
    <n v="878"/>
    <n v="1000"/>
    <n v="1.1389521640091116"/>
    <n v="0.51252847380410027"/>
    <n v="0.5"/>
    <n v="450"/>
    <n v="500"/>
    <s v=""/>
    <n v="0"/>
    <n v="0"/>
    <s v=""/>
    <n v="1"/>
    <n v="961"/>
    <n v="1000"/>
    <n v="1.0405827263267429"/>
    <s v=""/>
    <n v="0"/>
    <n v="0"/>
    <s v=""/>
    <s v=""/>
    <n v="0"/>
    <n v="0"/>
    <s v=""/>
    <n v="1"/>
    <n v="451.66999999999996"/>
    <n v="470"/>
    <n v="1.0405827263267431"/>
    <s v="2. Sensitive"/>
    <s v="2. Accommodating"/>
    <s v="1. Neutral"/>
    <s v="It tested new ways for fighting poverty and measured results of innovation"/>
    <s v="Little or no advocacy"/>
    <s v="It did not take tested solutions to scale"/>
  </r>
  <r>
    <x v="73"/>
    <x v="0"/>
    <m/>
    <s v="Trans-border malaria: Fine-scale mapping of high-risk populations and targeting of hotspots with appropriate and novel intervention packages."/>
    <s v="Thailand"/>
    <s v="GR004-THA068"/>
    <s v="Raks Thai Foundation"/>
    <s v="Foundation"/>
    <s v="Other"/>
    <s v="Malaria Consortium Asia"/>
    <m/>
    <m/>
    <m/>
    <m/>
    <m/>
    <m/>
    <m/>
    <m/>
    <m/>
    <m/>
    <m/>
    <m/>
    <m/>
    <m/>
    <m/>
    <m/>
    <m/>
    <m/>
    <m/>
    <m/>
    <m/>
    <m/>
    <m/>
    <m/>
    <m/>
    <m/>
    <m/>
    <m/>
    <m/>
    <m/>
    <m/>
    <m/>
    <m/>
    <m/>
    <m/>
    <m/>
    <m/>
    <m/>
    <m/>
    <m/>
    <m/>
    <m/>
    <m/>
    <m/>
    <m/>
    <d v="2015-07-01T00:00:00"/>
    <d v="2016-12-31T00:00:00"/>
    <d v="2017-12-31T00:00:00"/>
    <s v="Development Other"/>
    <n v="1186360"/>
    <s v="Mr. Shreehari Achara"/>
    <s v="Program Officer,  Program Quality Department"/>
    <s v="shree222shree@gmail.com"/>
    <s v="Ms. Pasinee Sawadtayawong"/>
    <s v="Program Assistant,  Program Quality Department"/>
    <s v="pasinee@raksthai.org"/>
    <s v="NO"/>
    <s v="YES"/>
    <s v="NO"/>
    <s v="To contribute to the control and elimination of P. falciparum and AR in border regions of Cambodia and Thailand through identification of hotspots and hot-channels of parasite dispersion along borders, and subsequent implementation of targeted control &quot;packages&quot; to eliminate identified hotspots and increase practice of preventive behaviours by high-risk populations. "/>
    <s v="Sub-National"/>
    <s v="Thailand - Province of Ubon Ratchathani"/>
    <s v="Thai and Mobile and Migrant Populations (MMPs)"/>
    <n v="12651"/>
    <n v="12154"/>
    <n v="24805"/>
    <n v="25000"/>
    <n v="24500"/>
    <n v="49500"/>
    <m/>
    <m/>
    <m/>
    <m/>
    <m/>
    <m/>
    <m/>
    <m/>
    <m/>
    <m/>
    <m/>
    <m/>
    <m/>
    <m/>
    <m/>
    <m/>
    <m/>
    <m/>
    <m/>
    <m/>
    <m/>
    <m/>
    <m/>
    <m/>
    <m/>
    <m/>
    <m/>
    <m/>
    <m/>
    <m/>
    <m/>
    <m/>
    <m/>
    <m/>
    <m/>
    <m/>
    <m/>
    <m/>
    <m/>
    <m/>
    <m/>
    <m/>
    <m/>
    <m/>
    <m/>
    <m/>
    <m/>
    <m/>
    <m/>
    <m/>
    <m/>
    <m/>
    <m/>
    <m/>
    <m/>
    <m/>
    <m/>
    <m/>
    <m/>
    <m/>
    <m/>
    <m/>
    <m/>
    <n v="3746"/>
    <m/>
    <m/>
    <m/>
    <s v="NO"/>
    <m/>
    <m/>
    <m/>
    <s v="NO"/>
    <m/>
    <m/>
    <m/>
    <s v="NO"/>
    <m/>
    <m/>
    <m/>
    <s v="NO"/>
    <m/>
    <m/>
    <m/>
    <s v="NO"/>
    <m/>
    <m/>
    <m/>
    <s v="NO"/>
    <m/>
    <m/>
    <m/>
    <s v="NO"/>
    <m/>
    <m/>
    <m/>
    <s v="NO"/>
    <m/>
    <m/>
    <m/>
    <s v="NO"/>
    <m/>
    <m/>
    <m/>
    <s v="YES"/>
    <n v="3746"/>
    <n v="0"/>
    <m/>
    <s v="NO"/>
    <m/>
    <m/>
    <m/>
    <s v="NO"/>
    <m/>
    <m/>
    <m/>
    <s v="NO"/>
    <m/>
    <m/>
    <m/>
    <s v="NO"/>
    <m/>
    <m/>
    <m/>
    <s v="NO"/>
    <m/>
    <m/>
    <m/>
    <s v="NO"/>
    <m/>
    <m/>
    <m/>
    <m/>
    <s v="NO"/>
    <m/>
    <m/>
    <m/>
    <s v="NO"/>
    <m/>
    <m/>
    <s v="NO"/>
    <s v="YES"/>
    <s v="December"/>
    <n v="2017"/>
    <s v="The December 2017 evaluation will likely cover the full project and  will be used to inform the next phase of the project, should it be approved"/>
    <x v="1"/>
    <s v="YES"/>
    <s v="NO"/>
    <s v="NO"/>
    <s v="NO"/>
    <s v="YES"/>
    <s v="YES"/>
    <s v="NO"/>
    <s v="NO"/>
    <m/>
    <x v="1"/>
    <m/>
    <x v="1"/>
    <m/>
    <x v="0"/>
    <x v="0"/>
    <s v="YES"/>
    <x v="0"/>
    <x v="0"/>
    <x v="0"/>
    <x v="0"/>
    <n v="4"/>
    <x v="2"/>
    <x v="1"/>
    <x v="1"/>
    <x v="1"/>
    <x v="1"/>
    <x v="2"/>
    <n v="4"/>
    <x v="1"/>
    <x v="1"/>
    <x v="2"/>
    <x v="2"/>
    <x v="3"/>
    <n v="1"/>
    <x v="2"/>
    <x v="3"/>
    <n v="8"/>
    <s v="International NGO(s)"/>
    <m/>
    <m/>
    <x v="2"/>
    <m/>
    <s v="During this FY, the project included mobile active case detection and follow up, which led to a reduction in the number of  malaria cases"/>
    <s v="Support mobile active case detection (community ICF) by government and Thai health volunteers in selected high risk communities along with follow up for p.v and p.f cases"/>
    <s v=" Organize community campaigning sessions to focus on prevention of artemisinin resistance"/>
    <s v="Cross learning filed visit between Ubonratchathani and Loas"/>
    <s v=" RTD cannot be tested by volunteer. "/>
    <s v="Follow up mobile people Malaria case still be the challenges."/>
    <s v="Coordinate for both sides (Thailand-Laos) is important for refer and follow up case, due to implemented area is near the border, a lot mobile migrant. As well as to meeting and sharing the progress of implementation/ challenge/ share same basic understanding for implementation but sometimes people from both side are unavailable to join the meeting."/>
    <m/>
    <m/>
    <n v="3746"/>
    <n v="0"/>
    <n v="0"/>
    <n v="0"/>
    <s v=""/>
    <n v="0"/>
    <n v="0"/>
    <s v=""/>
    <n v="0"/>
    <n v="0"/>
    <s v=""/>
    <s v=""/>
    <n v="0"/>
    <n v="0"/>
    <s v=""/>
    <s v=""/>
    <n v="0"/>
    <n v="0"/>
    <s v=""/>
    <s v=""/>
    <n v="0"/>
    <n v="0"/>
    <s v=""/>
    <s v=""/>
    <n v="0"/>
    <n v="0"/>
    <s v=""/>
    <s v="2. Sensitive"/>
    <s v="4. Transformational"/>
    <s v="1. Neutral"/>
    <s v="It tested new ways for fighting poverty, but did not measure results of innovation"/>
    <s v="Moderate advocacy"/>
    <s v="It linked and worked with strategic alliances and partners to take tested and effective solutions to scale"/>
  </r>
  <r>
    <x v="73"/>
    <x v="0"/>
    <m/>
    <s v="Where The Rain  Falls (Phase 4)"/>
    <s v="Thailand"/>
    <s v="GRN0017"/>
    <s v="Raks Thai Foundation"/>
    <s v="Corporation"/>
    <s v="Other"/>
    <s v="AXA"/>
    <m/>
    <m/>
    <m/>
    <m/>
    <m/>
    <m/>
    <m/>
    <m/>
    <m/>
    <m/>
    <m/>
    <m/>
    <m/>
    <m/>
    <m/>
    <m/>
    <m/>
    <m/>
    <m/>
    <m/>
    <m/>
    <m/>
    <m/>
    <m/>
    <m/>
    <m/>
    <m/>
    <m/>
    <m/>
    <m/>
    <m/>
    <m/>
    <m/>
    <m/>
    <m/>
    <m/>
    <m/>
    <m/>
    <m/>
    <m/>
    <m/>
    <m/>
    <m/>
    <m/>
    <m/>
    <d v="2017-01-01T00:00:00"/>
    <d v="2019-12-31T00:00:00"/>
    <m/>
    <s v="Development Food &amp; Nutrition Security and Resilience to Climate Change"/>
    <n v="379200"/>
    <s v="Ms. Thongphit Pinyosinwat"/>
    <s v="Director, Program Quality Department"/>
    <s v="thongphit@gmail.com"/>
    <s v="Ms. Boonthida Ketsomboon"/>
    <s v="Program Officer, Program Quality Department"/>
    <s v="boonthida@raksthai.org"/>
    <s v="YES"/>
    <s v="YES"/>
    <s v="YES"/>
    <s v="To contribute to the increased resilience and adpative capacities of ethnic minority communties from Northern highland areas to climate risks and climate change."/>
    <s v="Sub-National"/>
    <s v="21 communities in Chiang Mai province in both Kallayaniwattana and Mae Chaem districts"/>
    <s v="Indigenous communities and ethnic minorities in Northern Thailand"/>
    <n v="2422"/>
    <n v="2548"/>
    <n v="4970"/>
    <n v="1354"/>
    <n v="1447"/>
    <n v="2801"/>
    <m/>
    <m/>
    <n v="0"/>
    <n v="0"/>
    <n v="0"/>
    <m/>
    <m/>
    <m/>
    <s v="NO"/>
    <m/>
    <m/>
    <m/>
    <s v="NO"/>
    <m/>
    <m/>
    <m/>
    <s v="NO"/>
    <m/>
    <m/>
    <m/>
    <s v="YES"/>
    <m/>
    <m/>
    <m/>
    <s v="NO"/>
    <m/>
    <m/>
    <m/>
    <s v="NO"/>
    <m/>
    <m/>
    <m/>
    <s v="NO"/>
    <m/>
    <m/>
    <m/>
    <s v="Yes"/>
    <m/>
    <m/>
    <m/>
    <s v="YES"/>
    <m/>
    <m/>
    <m/>
    <s v="NO"/>
    <m/>
    <m/>
    <m/>
    <s v="NO"/>
    <m/>
    <m/>
    <m/>
    <s v="NO"/>
    <m/>
    <m/>
    <m/>
    <m/>
    <s v="NO"/>
    <m/>
    <m/>
    <m/>
    <n v="816"/>
    <n v="1693"/>
    <n v="2509"/>
    <n v="0"/>
    <n v="0"/>
    <n v="0"/>
    <s v="NO"/>
    <m/>
    <m/>
    <m/>
    <s v="YES"/>
    <n v="2509"/>
    <n v="0.33"/>
    <m/>
    <s v="NO"/>
    <m/>
    <m/>
    <m/>
    <s v="NO"/>
    <m/>
    <m/>
    <m/>
    <s v="NO"/>
    <m/>
    <m/>
    <m/>
    <s v="NO"/>
    <m/>
    <m/>
    <m/>
    <s v="NO"/>
    <m/>
    <m/>
    <m/>
    <s v="NO"/>
    <m/>
    <m/>
    <m/>
    <s v="NO"/>
    <m/>
    <m/>
    <m/>
    <s v="NO"/>
    <m/>
    <m/>
    <m/>
    <s v="NO"/>
    <m/>
    <m/>
    <m/>
    <s v="YES"/>
    <n v="2509"/>
    <n v="0.33"/>
    <m/>
    <s v="NO"/>
    <m/>
    <m/>
    <m/>
    <s v="NO"/>
    <m/>
    <m/>
    <m/>
    <s v="NO"/>
    <m/>
    <m/>
    <m/>
    <s v="NO"/>
    <m/>
    <m/>
    <m/>
    <m/>
    <m/>
    <m/>
    <m/>
    <m/>
    <s v="YES"/>
    <s v="December"/>
    <n v="2016"/>
    <s v="NO"/>
    <s v="NO"/>
    <m/>
    <m/>
    <m/>
    <x v="1"/>
    <s v="YES"/>
    <s v="NO"/>
    <s v="NO"/>
    <s v="NO"/>
    <s v="NO"/>
    <s v="NO"/>
    <s v="YES"/>
    <s v="NO"/>
    <m/>
    <x v="1"/>
    <m/>
    <x v="1"/>
    <m/>
    <x v="0"/>
    <x v="0"/>
    <s v="YES"/>
    <x v="0"/>
    <x v="0"/>
    <x v="0"/>
    <x v="0"/>
    <n v="4"/>
    <x v="2"/>
    <x v="1"/>
    <x v="1"/>
    <x v="1"/>
    <x v="1"/>
    <x v="2"/>
    <n v="4"/>
    <x v="1"/>
    <x v="1"/>
    <x v="1"/>
    <x v="1"/>
    <x v="1"/>
    <n v="3"/>
    <x v="3"/>
    <x v="1"/>
    <n v="12"/>
    <s v="Local government(s)"/>
    <s v="National government"/>
    <s v="Local NGO(s)/CSO(s)"/>
    <x v="2"/>
    <m/>
    <s v="This project phase commenced in January 2017 and and has had no important changes in this FY.     "/>
    <s v="A full evaluation has not been conducted since starting in January 2017. As such, top strategies contributing to the outcomes have not been observed at the time of reporting"/>
    <m/>
    <m/>
    <s v="Farmers in highland target areas have little access to communication and transportation means. They lack access to new production technologies. In the same way, some ethnic communities have no or at least limited proficiency in Thai language. Thus, they lack the opportunity to strengthen their potential under the strong competition in the country"/>
    <s v="Highland ethnic farmers are lacking secured access to land right and use, as well as access to funding sources, fund accessibility and production inputs."/>
    <m/>
    <m/>
    <m/>
    <n v="2509"/>
    <n v="0"/>
    <n v="0"/>
    <n v="0.32522917497010762"/>
    <s v=""/>
    <n v="816"/>
    <n v="0"/>
    <n v="1"/>
    <n v="0"/>
    <n v="0"/>
    <s v=""/>
    <n v="1"/>
    <n v="2509"/>
    <n v="0"/>
    <n v="0"/>
    <s v=""/>
    <n v="0"/>
    <n v="0"/>
    <s v=""/>
    <s v=""/>
    <n v="0"/>
    <n v="0"/>
    <s v=""/>
    <s v=""/>
    <n v="0"/>
    <n v="0"/>
    <s v=""/>
    <s v="2. Sensitive"/>
    <s v="4. Transformational"/>
    <s v="2. Sensitive"/>
    <s v="It tested new ways for fighting poverty, but did not measure results of innovation"/>
    <s v="Moderate advocacy"/>
    <s v="It linked and worked with strategic alliances and partners to take tested and effective solutions to scale"/>
  </r>
  <r>
    <x v="73"/>
    <x v="0"/>
    <m/>
    <s v="Youth Empowerment in Chiang Mai Highland Area"/>
    <s v="Thailand"/>
    <s v="GR010-THA089"/>
    <s v="Raks Thai Foundation"/>
    <s v="Corporation"/>
    <s v="Other"/>
    <s v="Swarovaski"/>
    <m/>
    <m/>
    <m/>
    <m/>
    <m/>
    <m/>
    <m/>
    <m/>
    <m/>
    <m/>
    <m/>
    <m/>
    <m/>
    <m/>
    <m/>
    <m/>
    <m/>
    <m/>
    <m/>
    <m/>
    <m/>
    <m/>
    <m/>
    <m/>
    <m/>
    <m/>
    <m/>
    <m/>
    <m/>
    <m/>
    <m/>
    <m/>
    <m/>
    <m/>
    <m/>
    <m/>
    <m/>
    <m/>
    <m/>
    <m/>
    <m/>
    <m/>
    <m/>
    <m/>
    <m/>
    <d v="2016-06-01T00:00:00"/>
    <d v="2017-05-31T00:00:00"/>
    <d v="2017-09-30T00:00:00"/>
    <s v="Development Other"/>
    <n v="35200"/>
    <s v="Ms. Thongphit Pinyosinwat"/>
    <s v="Director, Program Quality Department"/>
    <s v="thongphit@gmail.com"/>
    <s v="Ms. Boonthida Ketsomboon"/>
    <s v="Program Officer, Program Quality Department"/>
    <s v="boonthida@raksthai.org"/>
    <s v="YES"/>
    <s v="YES"/>
    <s v="YES"/>
    <s v="Children actively engage in sustainable water management, sanitation and hygiene"/>
    <s v="Sub-National"/>
    <s v="Yang Pian sub-district, Okmoi District, Chiang Mai province"/>
    <s v="3 local schools in 3 villages (Mae Lan, Kong Sang, Sob Lan)"/>
    <n v="406"/>
    <n v="296"/>
    <n v="702"/>
    <n v="0"/>
    <n v="0"/>
    <n v="0"/>
    <s v="667 students and 35 teachers were direct benefitiaries"/>
    <m/>
    <n v="0"/>
    <n v="0"/>
    <n v="0"/>
    <m/>
    <m/>
    <m/>
    <s v="NO"/>
    <m/>
    <m/>
    <m/>
    <s v="NO"/>
    <m/>
    <m/>
    <m/>
    <s v="NO"/>
    <m/>
    <m/>
    <m/>
    <s v="YES"/>
    <m/>
    <m/>
    <m/>
    <s v="NO"/>
    <m/>
    <m/>
    <m/>
    <s v="NO"/>
    <m/>
    <m/>
    <m/>
    <s v="NO"/>
    <m/>
    <m/>
    <m/>
    <s v="Yes"/>
    <m/>
    <m/>
    <m/>
    <s v="YES"/>
    <m/>
    <m/>
    <m/>
    <s v="NO"/>
    <m/>
    <m/>
    <m/>
    <s v="NO"/>
    <m/>
    <m/>
    <m/>
    <s v="NO"/>
    <m/>
    <m/>
    <m/>
    <m/>
    <s v="NO"/>
    <m/>
    <m/>
    <m/>
    <n v="168"/>
    <n v="119"/>
    <n v="287"/>
    <n v="330"/>
    <n v="280"/>
    <n v="610"/>
    <s v="NO"/>
    <m/>
    <m/>
    <m/>
    <s v="NO"/>
    <m/>
    <m/>
    <m/>
    <s v="NO"/>
    <m/>
    <m/>
    <m/>
    <s v="NO"/>
    <m/>
    <m/>
    <m/>
    <s v="NO"/>
    <m/>
    <m/>
    <m/>
    <s v="NO"/>
    <m/>
    <m/>
    <m/>
    <s v="NO"/>
    <m/>
    <m/>
    <m/>
    <s v="NO"/>
    <m/>
    <m/>
    <m/>
    <s v="NO"/>
    <m/>
    <m/>
    <m/>
    <s v="NO"/>
    <m/>
    <m/>
    <m/>
    <s v="NO"/>
    <m/>
    <m/>
    <m/>
    <s v="NO"/>
    <m/>
    <m/>
    <m/>
    <s v="NO"/>
    <m/>
    <m/>
    <m/>
    <s v="NO"/>
    <m/>
    <m/>
    <m/>
    <s v="YES"/>
    <n v="287"/>
    <n v="0.56000000000000005"/>
    <n v="610"/>
    <s v="NO"/>
    <m/>
    <m/>
    <m/>
    <m/>
    <m/>
    <m/>
    <m/>
    <m/>
    <s v="NO"/>
    <m/>
    <m/>
    <s v="NO"/>
    <s v="YES"/>
    <s v="December"/>
    <n v="2017"/>
    <m/>
    <x v="0"/>
    <s v="NO"/>
    <s v="NO"/>
    <s v="NO"/>
    <s v="NO"/>
    <s v="NO"/>
    <s v="NO"/>
    <s v="NO"/>
    <s v="NO"/>
    <m/>
    <x v="1"/>
    <m/>
    <x v="3"/>
    <m/>
    <x v="0"/>
    <x v="0"/>
    <s v="YES"/>
    <x v="1"/>
    <x v="0"/>
    <x v="0"/>
    <x v="1"/>
    <n v="3"/>
    <x v="1"/>
    <x v="2"/>
    <x v="1"/>
    <x v="1"/>
    <x v="1"/>
    <x v="1"/>
    <n v="3"/>
    <x v="1"/>
    <x v="1"/>
    <x v="2"/>
    <x v="2"/>
    <x v="3"/>
    <n v="1"/>
    <x v="2"/>
    <x v="1"/>
    <m/>
    <m/>
    <m/>
    <m/>
    <x v="1"/>
    <m/>
    <m/>
    <s v="An activity based learning teaaching methid has been applied to the Swarovski Water School, allowing chidren to understand the difference between safe water and unsafe water and how the water"/>
    <m/>
    <m/>
    <s v="Children are able to address their water related problems during the project based learning process and they want to solve the problems and they feel that the problems related water are important to their well-being."/>
    <s v="Children play a critical role in sharing ideas relating to the design of the program and will be included as participants during the next development phase"/>
    <m/>
    <m/>
    <m/>
    <n v="287"/>
    <n v="610"/>
    <n v="2.1254355400696863"/>
    <n v="0.58536585365853655"/>
    <n v="0.54098360655737709"/>
    <n v="168"/>
    <n v="330"/>
    <n v="1"/>
    <n v="0"/>
    <n v="0"/>
    <s v=""/>
    <n v="1"/>
    <n v="287"/>
    <n v="610"/>
    <n v="2.1254355400696863"/>
    <s v=""/>
    <n v="0"/>
    <n v="0"/>
    <s v=""/>
    <s v=""/>
    <n v="0"/>
    <n v="0"/>
    <s v=""/>
    <s v=""/>
    <n v="0"/>
    <n v="0"/>
    <s v=""/>
    <s v="1. Neutral"/>
    <s v="2. Accommodating"/>
    <s v="1. Neutral"/>
    <s v="It tested new ways for fighting poverty, but did not measure results of innovation"/>
    <s v="Little or no advocacy"/>
    <s v="It took tested solutions to scale on its own"/>
  </r>
  <r>
    <x v="73"/>
    <x v="0"/>
    <m/>
    <s v="Youth Leadership Development (YLD)"/>
    <s v="Thailand"/>
    <n v="339"/>
    <s v="CARE Japan"/>
    <s v="Corporation"/>
    <s v="Other"/>
    <s v="NISSAN Japan"/>
    <s v="COR0012"/>
    <s v="Raks Thai Foundation"/>
    <s v="Corporation"/>
    <s v="Other"/>
    <s v="NISSAN JAPAN"/>
    <m/>
    <m/>
    <m/>
    <m/>
    <m/>
    <m/>
    <m/>
    <m/>
    <m/>
    <m/>
    <m/>
    <m/>
    <m/>
    <m/>
    <m/>
    <m/>
    <m/>
    <m/>
    <m/>
    <m/>
    <m/>
    <m/>
    <m/>
    <m/>
    <m/>
    <m/>
    <m/>
    <m/>
    <m/>
    <m/>
    <m/>
    <m/>
    <m/>
    <m/>
    <m/>
    <m/>
    <m/>
    <m/>
    <m/>
    <m/>
    <d v="2017-04-01T00:00:00"/>
    <d v="2020-03-31T00:00:00"/>
    <m/>
    <s v="Development Other"/>
    <n v="186396"/>
    <s v="Sunee Talawat"/>
    <s v="Senior Program Coordinator"/>
    <s v="sunee@raksthai.org"/>
    <s v="Sutirat  Kojchasawad"/>
    <s v="Field Coordinator"/>
    <s v="kojtar@gmail.com"/>
    <s v="NO"/>
    <s v="YES"/>
    <s v="NO"/>
    <s v="To build leasership and occupational /business skills among in-school youth, particularly girls."/>
    <s v="National"/>
    <s v="Phranakhon Si Ayutthaya Province and Rayong Province, Thailand"/>
    <s v="1,200 high-school students particularly of the grades 9-12 in 8 selected schools;_x000a_80 teachers in the participating schools;_x000a_160 parents, communities, local government agencies and private sector."/>
    <n v="0"/>
    <n v="0"/>
    <n v="1440"/>
    <n v="1320"/>
    <n v="1363"/>
    <n v="2683"/>
    <s v="·1,200 Students or youth aged 12-18 years studying in 8 schools. (5 Phra Nakhon Si Ayutthaya, 3 Rayong)_x000a_· 80 teachers of the 8 schools."/>
    <m/>
    <m/>
    <m/>
    <m/>
    <m/>
    <m/>
    <m/>
    <m/>
    <m/>
    <m/>
    <m/>
    <m/>
    <m/>
    <m/>
    <m/>
    <m/>
    <m/>
    <m/>
    <m/>
    <m/>
    <m/>
    <m/>
    <m/>
    <m/>
    <m/>
    <m/>
    <m/>
    <m/>
    <m/>
    <m/>
    <m/>
    <m/>
    <m/>
    <m/>
    <m/>
    <m/>
    <m/>
    <m/>
    <m/>
    <m/>
    <m/>
    <m/>
    <m/>
    <m/>
    <m/>
    <m/>
    <m/>
    <m/>
    <m/>
    <m/>
    <m/>
    <m/>
    <m/>
    <m/>
    <m/>
    <m/>
    <m/>
    <m/>
    <m/>
    <m/>
    <n v="68"/>
    <n v="37"/>
    <n v="105"/>
    <m/>
    <m/>
    <m/>
    <s v="NO"/>
    <m/>
    <m/>
    <m/>
    <s v="NO"/>
    <m/>
    <m/>
    <m/>
    <s v="NO"/>
    <m/>
    <m/>
    <m/>
    <s v="NO"/>
    <m/>
    <m/>
    <m/>
    <s v="NO"/>
    <m/>
    <m/>
    <m/>
    <s v="YES"/>
    <n v="105"/>
    <n v="0.65"/>
    <n v="0"/>
    <s v="NO"/>
    <m/>
    <m/>
    <m/>
    <s v="NO"/>
    <n v="0"/>
    <n v="0"/>
    <n v="0"/>
    <s v="NO"/>
    <m/>
    <m/>
    <m/>
    <s v="NO"/>
    <m/>
    <m/>
    <m/>
    <s v="NO"/>
    <m/>
    <m/>
    <m/>
    <s v="NO"/>
    <m/>
    <m/>
    <m/>
    <s v="NO"/>
    <m/>
    <m/>
    <m/>
    <s v="NO"/>
    <m/>
    <m/>
    <m/>
    <s v="NO"/>
    <m/>
    <m/>
    <m/>
    <s v="NO"/>
    <m/>
    <m/>
    <m/>
    <m/>
    <m/>
    <m/>
    <m/>
    <m/>
    <s v="YES"/>
    <s v="July"/>
    <n v="2017"/>
    <s v="NO"/>
    <s v="NO"/>
    <m/>
    <m/>
    <m/>
    <x v="0"/>
    <s v="NO"/>
    <s v="NO"/>
    <s v="NO"/>
    <s v="NO"/>
    <s v="NO"/>
    <s v="NO"/>
    <s v="NO"/>
    <s v="NO"/>
    <m/>
    <x v="0"/>
    <m/>
    <x v="0"/>
    <m/>
    <x v="0"/>
    <x v="0"/>
    <s v="YES"/>
    <x v="0"/>
    <x v="0"/>
    <x v="0"/>
    <x v="0"/>
    <n v="4"/>
    <x v="1"/>
    <x v="1"/>
    <x v="1"/>
    <x v="2"/>
    <x v="1"/>
    <x v="1"/>
    <n v="3"/>
    <x v="2"/>
    <x v="1"/>
    <x v="2"/>
    <x v="2"/>
    <x v="2"/>
    <n v="1"/>
    <x v="2"/>
    <x v="1"/>
    <m/>
    <m/>
    <m/>
    <m/>
    <x v="1"/>
    <m/>
    <m/>
    <s v="Project just started this April, and it is too early to identify any impact for contributing to the project objectives."/>
    <m/>
    <m/>
    <s v="Project just started this April, and it is too early to identify any challenges or learning."/>
    <m/>
    <m/>
    <m/>
    <m/>
    <n v="105"/>
    <n v="0"/>
    <n v="0"/>
    <n v="0.64761904761904765"/>
    <s v=""/>
    <n v="68"/>
    <n v="0"/>
    <s v=""/>
    <n v="0"/>
    <n v="0"/>
    <s v=""/>
    <s v=""/>
    <n v="0"/>
    <n v="0"/>
    <s v=""/>
    <s v=""/>
    <n v="0"/>
    <n v="0"/>
    <s v=""/>
    <s v=""/>
    <n v="0"/>
    <n v="0"/>
    <s v=""/>
    <s v=""/>
    <n v="0"/>
    <n v="0"/>
    <s v=""/>
    <s v="2. Sensitive"/>
    <s v="2. Accommodating"/>
    <s v="0. Harmful"/>
    <s v="It did not develop any specific innovation"/>
    <s v="Little or no advocacy"/>
    <s v="It did not take tested solutions to scale"/>
  </r>
  <r>
    <x v="74"/>
    <x v="0"/>
    <n v="3681"/>
    <s v="Atsabe Rural Development Project for Improvement of Livelihoods (HAFORSA) Project"/>
    <s v="Timor-Leste"/>
    <s v="TLS076"/>
    <s v="CARE Japan"/>
    <s v="Government"/>
    <s v="Government - Japan"/>
    <s v="Ministry of Foreign Affairs of Japan"/>
    <m/>
    <m/>
    <m/>
    <m/>
    <m/>
    <m/>
    <m/>
    <m/>
    <m/>
    <m/>
    <m/>
    <m/>
    <m/>
    <m/>
    <m/>
    <m/>
    <m/>
    <m/>
    <m/>
    <m/>
    <m/>
    <m/>
    <m/>
    <m/>
    <m/>
    <m/>
    <m/>
    <m/>
    <m/>
    <m/>
    <m/>
    <m/>
    <m/>
    <m/>
    <m/>
    <m/>
    <m/>
    <m/>
    <m/>
    <m/>
    <m/>
    <m/>
    <m/>
    <m/>
    <m/>
    <d v="2016-02-03T00:00:00"/>
    <d v="2019-03-02T00:00:00"/>
    <m/>
    <s v="Development Access to and Control over Economic Resources"/>
    <n v="743000"/>
    <s v="Kaoru Yamagiwa"/>
    <s v="Project Manager"/>
    <s v="Kaoru.Yamagiwa@careint.org"/>
    <m/>
    <m/>
    <m/>
    <s v="NO"/>
    <s v="YES"/>
    <s v="NO"/>
    <s v="The project goal is to improve agricultural livelihood opportunities in Atsabe. As such the project aims to strengthen the capacity of farmers and to strengthen the capacity of women participating in farmers groups."/>
    <s v="Sub-National"/>
    <s v="Sub-municipalities (Administrative Post)"/>
    <s v="Farmers especially female farmers, local authorities, extension workers, and community people in general"/>
    <n v="300"/>
    <n v="150"/>
    <n v="450"/>
    <n v="2943"/>
    <n v="2872"/>
    <n v="5815"/>
    <s v="Direct expected participants are 450 farmers (15 farmers per group x 30 groups). Ten out of 30 are comprised only of women, whereas the mix groups are expected to comprise 50% of women. Hence it is estimated that 300 women and 150 men are direct beneficiaries. Indirect partitipants are 1280 households, or 5965 persons (male:2872 persons/female:2943 persons). In the HAFORSA target areas, 5965 persons live in 22 aldeias. Besides the formation of farmers groups and technical training to them, HAFORSA also involves community people in conducting Climate Vulnerability Capacity Assessment (CVCA), Aldeia Reilience Action Plan (ARAP), community based soil and water protection work, and gender related training which involves community population. While the participants for these activities maybe limited,  almost all the community members will get indirect benefit from these activities. This number number reflected here has the direct members deducted."/>
    <m/>
    <m/>
    <m/>
    <m/>
    <m/>
    <m/>
    <m/>
    <m/>
    <m/>
    <m/>
    <m/>
    <m/>
    <m/>
    <m/>
    <m/>
    <m/>
    <m/>
    <m/>
    <m/>
    <m/>
    <m/>
    <m/>
    <m/>
    <m/>
    <m/>
    <m/>
    <m/>
    <m/>
    <m/>
    <m/>
    <m/>
    <m/>
    <m/>
    <m/>
    <m/>
    <m/>
    <m/>
    <m/>
    <m/>
    <m/>
    <m/>
    <m/>
    <m/>
    <m/>
    <m/>
    <m/>
    <m/>
    <m/>
    <m/>
    <m/>
    <m/>
    <m/>
    <m/>
    <m/>
    <m/>
    <m/>
    <m/>
    <m/>
    <m/>
    <m/>
    <n v="332"/>
    <n v="159"/>
    <n v="491"/>
    <m/>
    <m/>
    <m/>
    <s v="YES"/>
    <n v="491"/>
    <n v="0.67617107942973498"/>
    <n v="6060"/>
    <s v="YES"/>
    <n v="53"/>
    <n v="0.43396226415094302"/>
    <n v="867"/>
    <m/>
    <m/>
    <m/>
    <m/>
    <s v="YES"/>
    <n v="50"/>
    <n v="0.06"/>
    <n v="1178"/>
    <m/>
    <m/>
    <m/>
    <m/>
    <m/>
    <m/>
    <m/>
    <m/>
    <m/>
    <m/>
    <m/>
    <m/>
    <m/>
    <m/>
    <m/>
    <m/>
    <m/>
    <m/>
    <m/>
    <m/>
    <m/>
    <m/>
    <m/>
    <m/>
    <m/>
    <m/>
    <m/>
    <m/>
    <m/>
    <m/>
    <m/>
    <m/>
    <m/>
    <m/>
    <m/>
    <m/>
    <m/>
    <m/>
    <m/>
    <m/>
    <m/>
    <m/>
    <m/>
    <m/>
    <s v="YES"/>
    <n v="332"/>
    <n v="1"/>
    <n v="1328"/>
    <m/>
    <m/>
    <m/>
    <m/>
    <m/>
    <s v="YES"/>
    <s v="May"/>
    <n v="2016"/>
    <s v="NO"/>
    <s v="YES"/>
    <s v="November"/>
    <n v="2018"/>
    <s v="Baseline was conducted at the initial stage of the project before the farmers groups were formed. However, the indicators mostly refer to the progress for farmers groups, Hence 'follow-up base line survey' has been carried out in 2016 and continued in 2017 for established farmer groups. When the final evaluation is conducted, the data will be compared to baseline. It is hoped that tablets will be used for data collection for the final evaluation as it is more efficient and time saving."/>
    <x v="0"/>
    <s v="NO"/>
    <s v="NO"/>
    <s v="YES"/>
    <s v="NO"/>
    <s v="NO"/>
    <s v="NO"/>
    <s v="NO"/>
    <s v="YES"/>
    <s v="Gender equality, women's active participation in livelihood activities"/>
    <x v="1"/>
    <s v="The project piloted planting agriculture products which have higher market value such as onions, peanuts, turmeric, and some other horticulture products. While some products did not turn out well due to rain (broccoli and turmeric), onions and bakchoy had good results, which assured the project to upscale planting these products in the area."/>
    <x v="0"/>
    <m/>
    <x v="0"/>
    <x v="0"/>
    <s v="YES"/>
    <x v="0"/>
    <x v="0"/>
    <x v="1"/>
    <x v="1"/>
    <n v="3"/>
    <x v="1"/>
    <x v="1"/>
    <x v="2"/>
    <x v="1"/>
    <x v="2"/>
    <x v="4"/>
    <n v="2"/>
    <x v="1"/>
    <x v="1"/>
    <x v="1"/>
    <x v="1"/>
    <x v="1"/>
    <n v="3"/>
    <x v="0"/>
    <x v="0"/>
    <n v="1"/>
    <s v="Local government(s)"/>
    <m/>
    <m/>
    <x v="1"/>
    <m/>
    <m/>
    <s v="Establishing and supporting only female farmer groups: HAFORSA supported establishing 30 farmer groups. Groups were formed by the community based on some criteria that HAFORSA suggested which included establishment of 10 female farmer groups. It seems that female only groups are very active and taking initaitives, while getting support from male family members."/>
    <s v="Engaging men sessions: Apart from the Gender Equality sessions where both men and women participate, HAFORSA started to hold 'Engaging Men and Boys' Session. It is an opprotunity for men to rethink about men's roles, men's weaknesses that they cannot voice out, and what they can do to support women, while they can reflect about their life to trace their way of thinking and behavior. It is not an one-off process, but having an initial session is a good start. This session needs to be continued for changing their mind-set for gender."/>
    <s v="CVCA (Climate Vulnerability and Capacity Analysis): At the beginning of the intervention, HAFORSA held CVCA in each Aldeia to discuss and understand the situation of natural resouces and disasters, livelihood practices, and needs of the communities. Thie excerise made it possible for HAFORSA to determine their priorities and elements of support such as types of crops and loation of soil and water protection."/>
    <s v="Unpredictable weather affected the planting of the seeds and the harvest of the agriculture products."/>
    <m/>
    <m/>
    <s v="This project reports zero indirect participants as it fully overlaps with Project Lafaek. In any case, specific data for this project alone in this FY would other ways include:_x000a_Indirect: 3,015 women&amp;girls  3,045 men&amp;boys =    6,060 Total                    _x000a_"/>
    <s v="Project proposal (project document) and log frame for HAFORSA. HAFORSA Annual report (in Japanese). Baseline survey"/>
    <n v="491"/>
    <n v="0"/>
    <n v="0"/>
    <n v="0.6761710794297352"/>
    <s v=""/>
    <n v="332"/>
    <n v="0"/>
    <s v=""/>
    <n v="0"/>
    <n v="0"/>
    <s v=""/>
    <n v="1"/>
    <n v="491"/>
    <n v="6060"/>
    <n v="12.342158859470468"/>
    <s v=""/>
    <n v="0"/>
    <n v="0"/>
    <s v=""/>
    <s v=""/>
    <n v="0"/>
    <n v="0"/>
    <s v=""/>
    <n v="1"/>
    <n v="332"/>
    <n v="1328"/>
    <n v="4"/>
    <s v="1. Neutral"/>
    <s v="1. Tokenistic"/>
    <s v="2. Sensitive"/>
    <s v="It tested new ways for fighting poverty, but did not measure results of innovation"/>
    <s v="Little or no advocacy"/>
    <s v="It did not take tested solutions to scale"/>
  </r>
  <r>
    <x v="74"/>
    <x v="0"/>
    <n v="3677"/>
    <s v="HANDS. Acronym for Tetum phrase &quot;Halimar, Aprende no Discobre Suseso&quot; meaning &quot;Play, learn &amp; discover success&quot;.  "/>
    <s v="Timor-Leste"/>
    <s v="TLS073"/>
    <s v="CARE Australia"/>
    <s v="Government"/>
    <s v="Other"/>
    <s v="MFAT-New Zealand"/>
    <m/>
    <m/>
    <m/>
    <m/>
    <m/>
    <m/>
    <m/>
    <m/>
    <m/>
    <m/>
    <m/>
    <m/>
    <m/>
    <m/>
    <m/>
    <m/>
    <m/>
    <m/>
    <m/>
    <m/>
    <m/>
    <m/>
    <m/>
    <m/>
    <m/>
    <m/>
    <m/>
    <m/>
    <m/>
    <m/>
    <m/>
    <m/>
    <m/>
    <m/>
    <m/>
    <m/>
    <m/>
    <m/>
    <m/>
    <m/>
    <m/>
    <m/>
    <m/>
    <m/>
    <m/>
    <d v="2015-10-01T00:00:00"/>
    <d v="2016-11-01T00:00:00"/>
    <d v="2016-12-15T00:00:00"/>
    <s v="Development Other"/>
    <n v="541525"/>
    <s v="Peter Raynes"/>
    <s v="Country Director - CITL"/>
    <s v="Peter.Raynes@careint.org"/>
    <s v="Shoaib Danish"/>
    <s v="Education Coordinator - CITL"/>
    <s v="Shoaib.Danish@careint.org"/>
    <s v="NO"/>
    <s v="YES"/>
    <s v="NO"/>
    <s v="Improved students learning skills in education sector through distribution of learning materials to Pre-Schools"/>
    <s v="National"/>
    <s v="Pre schools in 13 municipalities in Timor-Leste"/>
    <s v="Students at Pre school level"/>
    <n v="4681"/>
    <n v="4495"/>
    <n v="9176"/>
    <n v="0"/>
    <n v="0"/>
    <n v="0"/>
    <s v="This project reports zero participants as it fully overlaps with Project Lafaek. In any case, specific data for this project alone in this FY would other ways include:_x000a_Direct: 4,681 women&amp;girls  4,495 men&amp;boys =    9,176 Total_x000a_"/>
    <m/>
    <m/>
    <m/>
    <m/>
    <m/>
    <m/>
    <m/>
    <m/>
    <m/>
    <m/>
    <m/>
    <m/>
    <m/>
    <m/>
    <m/>
    <m/>
    <m/>
    <m/>
    <m/>
    <m/>
    <m/>
    <m/>
    <m/>
    <m/>
    <m/>
    <m/>
    <m/>
    <m/>
    <m/>
    <m/>
    <m/>
    <m/>
    <m/>
    <m/>
    <m/>
    <m/>
    <m/>
    <m/>
    <m/>
    <m/>
    <m/>
    <m/>
    <m/>
    <m/>
    <m/>
    <m/>
    <m/>
    <m/>
    <m/>
    <m/>
    <m/>
    <m/>
    <m/>
    <m/>
    <m/>
    <m/>
    <m/>
    <m/>
    <m/>
    <m/>
    <m/>
    <m/>
    <m/>
    <m/>
    <m/>
    <m/>
    <m/>
    <m/>
    <m/>
    <m/>
    <m/>
    <m/>
    <m/>
    <m/>
    <m/>
    <m/>
    <m/>
    <m/>
    <m/>
    <m/>
    <m/>
    <m/>
    <m/>
    <m/>
    <m/>
    <m/>
    <s v="YES"/>
    <m/>
    <m/>
    <m/>
    <m/>
    <m/>
    <m/>
    <m/>
    <m/>
    <m/>
    <m/>
    <m/>
    <m/>
    <m/>
    <m/>
    <m/>
    <m/>
    <m/>
    <m/>
    <m/>
    <m/>
    <m/>
    <m/>
    <m/>
    <m/>
    <m/>
    <m/>
    <m/>
    <m/>
    <m/>
    <m/>
    <m/>
    <m/>
    <m/>
    <m/>
    <m/>
    <m/>
    <m/>
    <m/>
    <m/>
    <m/>
    <m/>
    <m/>
    <m/>
    <m/>
    <m/>
    <m/>
    <m/>
    <m/>
    <s v="NO"/>
    <m/>
    <m/>
    <s v="NO"/>
    <s v="NO"/>
    <m/>
    <m/>
    <m/>
    <x v="0"/>
    <m/>
    <m/>
    <m/>
    <m/>
    <m/>
    <m/>
    <m/>
    <m/>
    <m/>
    <x v="0"/>
    <m/>
    <x v="0"/>
    <m/>
    <x v="0"/>
    <x v="0"/>
    <s v="YES"/>
    <x v="1"/>
    <x v="0"/>
    <x v="1"/>
    <x v="1"/>
    <n v="2"/>
    <x v="3"/>
    <x v="1"/>
    <x v="2"/>
    <x v="2"/>
    <x v="2"/>
    <x v="3"/>
    <n v="1"/>
    <x v="1"/>
    <x v="1"/>
    <x v="1"/>
    <x v="2"/>
    <x v="3"/>
    <n v="2"/>
    <x v="2"/>
    <x v="1"/>
    <n v="1"/>
    <s v="National government"/>
    <m/>
    <m/>
    <x v="1"/>
    <m/>
    <s v="The project distribution initial plan was expected to finish on 15 July 2016. However,  the MoE raised an issue on the quality of some of the learning materials therefore leading to delays and the project eventually requiring an extension until December 2016."/>
    <s v="Advocacy. CARE International in Timor-Leste's advocacy to the MoE in order to provide orientation to Pre-School teachers on how to use learning materials to teach the students in an efficient and effective manner."/>
    <s v="Strong operational capacity. CARE International in Timor-Leste has strong operational systems and processes enabling us to make effective and efficient use of resources towards cost-effective outcomes."/>
    <s v="Multiplying impact. CARE International in Timor-Leste has been able to leverage distribution to schools by linking it directly to existing Lafaek Learning Media project which is already reaching every pre-primary and primary school in the country."/>
    <s v="An important lesson learnt from the HANDS project is that CARE International in Timor-Leste needs to confirm project materials (including quality) with the relevant Ministry/Directorate before start up of implementation."/>
    <s v="CARE International in Timor-Leste should obtain Ministry/Directorate's  written approval before starting a project."/>
    <s v="A challenge is that the Pre-Schools do not have adequate management systems in place to manage and use existing learning materials."/>
    <s v="This project reports zero participants as it fully overlaps with Project Lafaek. In any case, specific data for this project alone in this FY would other ways include:_x000a_Direct: 4,681 women&amp;girls  4,495 men&amp;boys =    9,176 Total_x000a_"/>
    <m/>
    <n v="0"/>
    <n v="0"/>
    <s v=""/>
    <s v=""/>
    <s v=""/>
    <n v="0"/>
    <n v="0"/>
    <s v=""/>
    <n v="0"/>
    <n v="0"/>
    <s v=""/>
    <s v=""/>
    <n v="0"/>
    <n v="0"/>
    <s v=""/>
    <s v=""/>
    <n v="0"/>
    <n v="0"/>
    <s v=""/>
    <s v=""/>
    <n v="0"/>
    <n v="0"/>
    <s v=""/>
    <s v=""/>
    <n v="0"/>
    <n v="0"/>
    <s v=""/>
    <s v="1. Neutral"/>
    <s v="0. Unaware"/>
    <s v="1. Neutral"/>
    <s v="It did not develop any specific innovation"/>
    <s v="Little or no advocacy"/>
    <s v="It did not take tested solutions to scale"/>
  </r>
  <r>
    <x v="74"/>
    <x v="0"/>
    <n v="3680"/>
    <s v="Lafaek Learning Media (LLM)"/>
    <s v="Timor-Leste"/>
    <s v="TLS069"/>
    <s v="CARE Australia"/>
    <s v="Government"/>
    <s v="Other"/>
    <s v="MFAT-New Zealand"/>
    <s v="TLS075"/>
    <s v="CARE Australia"/>
    <s v="Government"/>
    <s v="Government - Australia"/>
    <s v="Australia Department of Foreign Affairs, Trade and Development"/>
    <s v="TLS069"/>
    <s v="CARE Japan"/>
    <s v="Individual supporter"/>
    <s v="Other"/>
    <s v="Funds provided by CARE Japan raised through private donors."/>
    <m/>
    <m/>
    <m/>
    <m/>
    <m/>
    <m/>
    <m/>
    <m/>
    <m/>
    <m/>
    <m/>
    <m/>
    <m/>
    <m/>
    <m/>
    <m/>
    <m/>
    <m/>
    <m/>
    <m/>
    <m/>
    <m/>
    <m/>
    <m/>
    <m/>
    <m/>
    <m/>
    <m/>
    <m/>
    <m/>
    <m/>
    <m/>
    <m/>
    <m/>
    <m/>
    <d v="2014-06-18T00:00:00"/>
    <d v="2018-06-15T00:00:00"/>
    <m/>
    <s v="Development Other"/>
    <n v="4680776"/>
    <s v="Shoaib Danish"/>
    <s v="Education Program Coordinator"/>
    <s v="shoaib.danish@careint.org"/>
    <m/>
    <m/>
    <m/>
    <s v="NO"/>
    <s v="YES"/>
    <s v="NO"/>
    <s v="I. Improved family social and economic well-being, II. Improved learning outcomes"/>
    <s v="National"/>
    <s v="13 Municipalities of Timor-Leste"/>
    <s v="Students and teachers in pre-schools and primary schools across the country. Community members in 80,000 households in rural and disaventaged areas."/>
    <n v="167000"/>
    <n v="223000"/>
    <n v="390000"/>
    <n v="524442"/>
    <n v="541497"/>
    <n v="1065939"/>
    <s v="Direct participants of the projects are the pre- and primary school students (till grade 4), their teachers and the parent who received the Lafaek Community magazines. Their numbers are calculated based on the number of students and teachers who receive education materials. The data collected disaggregated by gender and disability. Indirect participants of the project are parents of the students (in case they are not receiving the Lafaek Community magazines) the siblings and other members of the family."/>
    <m/>
    <m/>
    <m/>
    <m/>
    <m/>
    <m/>
    <m/>
    <m/>
    <m/>
    <m/>
    <m/>
    <m/>
    <m/>
    <m/>
    <m/>
    <m/>
    <m/>
    <m/>
    <m/>
    <m/>
    <m/>
    <m/>
    <m/>
    <m/>
    <m/>
    <m/>
    <m/>
    <m/>
    <m/>
    <m/>
    <m/>
    <m/>
    <m/>
    <m/>
    <m/>
    <m/>
    <m/>
    <m/>
    <m/>
    <m/>
    <m/>
    <m/>
    <m/>
    <m/>
    <m/>
    <m/>
    <m/>
    <m/>
    <m/>
    <m/>
    <m/>
    <m/>
    <m/>
    <m/>
    <m/>
    <m/>
    <m/>
    <m/>
    <m/>
    <m/>
    <n v="100468"/>
    <n v="173120"/>
    <n v="273588"/>
    <n v="287689"/>
    <n v="297046"/>
    <n v="584735"/>
    <s v="YES"/>
    <n v="90966"/>
    <n v="0.15"/>
    <n v="315652"/>
    <s v="YES"/>
    <n v="90966"/>
    <n v="0.15"/>
    <n v="315652"/>
    <s v="YES"/>
    <n v="90966"/>
    <n v="0.15"/>
    <n v="315652"/>
    <s v="YES"/>
    <n v="90966"/>
    <n v="0.15"/>
    <n v="315652"/>
    <s v="YES"/>
    <n v="90966"/>
    <n v="0.15"/>
    <n v="315652"/>
    <s v="YES"/>
    <n v="273588"/>
    <n v="0.47499999999999998"/>
    <n v="584735"/>
    <s v="YES"/>
    <n v="90966"/>
    <n v="0.15"/>
    <n v="315652"/>
    <s v="YES"/>
    <n v="90966"/>
    <n v="0.15"/>
    <n v="315652"/>
    <s v="YES"/>
    <n v="90966"/>
    <n v="0.15"/>
    <n v="315652"/>
    <s v="YES"/>
    <n v="90966"/>
    <n v="0.15"/>
    <n v="315652"/>
    <s v="NO"/>
    <m/>
    <m/>
    <m/>
    <s v="NO"/>
    <m/>
    <m/>
    <m/>
    <s v="YES"/>
    <n v="90966"/>
    <n v="0.15"/>
    <n v="315652"/>
    <s v="YES"/>
    <n v="90966"/>
    <n v="0.15"/>
    <n v="315652"/>
    <s v="YES"/>
    <n v="90966"/>
    <n v="0.15"/>
    <n v="315652"/>
    <s v="YES"/>
    <n v="90966"/>
    <n v="0.15"/>
    <n v="315652"/>
    <m/>
    <s v="NO"/>
    <m/>
    <m/>
    <m/>
    <s v="YES"/>
    <s v="July"/>
    <n v="2016"/>
    <s v="YES"/>
    <s v="NO"/>
    <m/>
    <m/>
    <s v="Basline evaluation had been conducted 2 times. The first was in June 2015 for Lafaek Kiik, ba Komunidade and ba Manorin, while the second in July 2016. This difference is because Lafaek Prima had been launched at that time."/>
    <x v="0"/>
    <s v="NO"/>
    <s v="NO"/>
    <s v="NO"/>
    <s v="YES"/>
    <s v="YES"/>
    <s v="YES"/>
    <s v="NO"/>
    <s v="NO"/>
    <m/>
    <x v="0"/>
    <s v="Although we did not have innovation in this fiscal year,but we have been implementing the sponsorship model, which has the potential to transform in the Lafaek ba Komunidade into a social entrprise. And we have just launched the Lafaek Facebook page."/>
    <x v="3"/>
    <s v="In the last quarter of 2016 the project has been launched an online monitoring system provided by ONA. Field officers upload data about distribution of education materials. It gives first hand a real time data that allow us to give support immediately when it is necessary."/>
    <x v="1"/>
    <x v="0"/>
    <s v="YES"/>
    <x v="0"/>
    <x v="0"/>
    <x v="0"/>
    <x v="0"/>
    <n v="4"/>
    <x v="1"/>
    <x v="1"/>
    <x v="2"/>
    <x v="1"/>
    <x v="1"/>
    <x v="1"/>
    <n v="3"/>
    <x v="1"/>
    <x v="1"/>
    <x v="1"/>
    <x v="1"/>
    <x v="1"/>
    <n v="3"/>
    <x v="0"/>
    <x v="0"/>
    <n v="10"/>
    <s v="International NGO(s)"/>
    <s v="Local NGO(s)/CSO(s)"/>
    <s v="Local government(s)"/>
    <x v="2"/>
    <s v="Local NGOs have contributed in the distribution of education materials."/>
    <s v="The project made major improvements in the M&amp;E system. It puts the focus on real time data collection, mobile monitoring, and collecting more human interest stories from the field. This meant that the M&amp;E team had to e expanded.It helps to ensure more accurate data collection and analyses."/>
    <s v="Sponsorship model: in order to establish sustainability of Lafaek Komunidade, a sponsorship model had be worked out, where content of the magazine is being developed with the specific topic of a sponsor. For this the project also strethen the marketing activities to reach potential sponsors (i.e. private companies, local NGOs, INGOs, goverment institutions)"/>
    <s v="Digital M&amp;E system: Online M&amp;E system had been launched in October 2016. The paper forms were turned into online digital forms, which helps collect real time data about households and schools. It also has the feature to collect GPS coordinates, that help localize the schools and pre-schools in the country."/>
    <s v="New distribution model: In the first part of the project distribution of Lafaek ba Komunidade had been made through the head of the villages. However, the experiences showed that the magazine could not reach enough households. Thus, with the new distribution model, the magazine is beeing distributed thourgh the schools. Students and teachers get magaziens, which helped to increase the distribution numbers significantly."/>
    <s v="During the launching the online monitoring system the project faced challenge of data collection and handling. It was needed to organize trainings and refreshing trainings in order to prepare the colleagues how to collect data. The trainings provided so far have helped us to build the capacity of our staff to work with the online monitoring system."/>
    <s v="Delays in distribution of school and community magazines due to late arrival of the shipment, road and weather condition; i.e rainy season. Project has revisited the production calendar and has improved the planning process for distribution in order to deal with these delays."/>
    <m/>
    <s v="Notes on data provided: 1) As for the expected beneficiaries data had been calculated based on the project's yearly target. The direct beneficiaries for the life of the project add up to 310000 individuals (taking into account the addition of 19000 pre-school students and 21000 grade 1 students). As calculation for the indirect beneficiaries for the whole life of the project is concerned, this will be difficult to do because of the existence of siblings and the risks of reporting significant number of duplicates. 2) Lafaek Prima project started in FY16 (year 2) and hence can't be counted towards the targets in beneficiaries for year 1. 3) In order to avoid doublecounting in the expected beneficieries and also in participants an estimation was made to define the proportion and number of siblings in the schools and the households. Based on our current data, around 23% of students have siblings in the schools. We have mainly used the project datasets to report the numbers here, but in some cases we have used the National Census 2015 data such the percentage of male/female population. 4) Regarding the sectors which are covered by the Lafaek magazines, the community magazine provide contents for most of the categories listed hence we have only mentioned the number of people who are receving the community magazines in the first row and we didn't want to mention the same number in all othe rows that would result in the same people getting counted for several times. For the indirect beneficiaries we have excluded the students who are receiving the school magazines. For the education sector, we have included only the students because thier parents are being counted in the first row. Therefore the numbers in this section can't be just added up as there are obvious duplications, but if the focus is one individual row/sector then the numbers can be reported as they are."/>
    <m/>
    <n v="273588"/>
    <n v="584735"/>
    <n v="2.1372830679708175"/>
    <n v="0.36722370864219189"/>
    <n v="0.49199893969062908"/>
    <n v="100468"/>
    <n v="287689"/>
    <s v=""/>
    <n v="0"/>
    <n v="0"/>
    <s v=""/>
    <n v="1"/>
    <n v="90966"/>
    <n v="315652"/>
    <n v="3.4699997801376337"/>
    <n v="1"/>
    <n v="90966"/>
    <n v="315652"/>
    <n v="3.4699997801376337"/>
    <n v="1"/>
    <n v="90966"/>
    <n v="315652"/>
    <n v="3.4699997801376337"/>
    <n v="1"/>
    <n v="90966"/>
    <n v="315652"/>
    <n v="3.4699997801376337"/>
    <s v="2. Sensitive"/>
    <s v="2. Accommodating"/>
    <s v="2. Sensitive"/>
    <s v="It did not develop any specific innovation"/>
    <s v="Little or no advocacy"/>
    <s v="It took tested solutions to scale on its own"/>
  </r>
  <r>
    <x v="74"/>
    <x v="0"/>
    <m/>
    <s v="Promosaun Praktika Importante iha Uma no Familia liu husi Grupu Supporta Inan no Kuidadu Saude Primaria (PPI) project"/>
    <s v="Timor-Leste"/>
    <s v="TLS 074 / TL 218"/>
    <s v="CARE Australia"/>
    <s v="Government"/>
    <s v="EU - European Union (other than ECHO)"/>
    <s v="EU"/>
    <m/>
    <m/>
    <m/>
    <m/>
    <m/>
    <m/>
    <m/>
    <m/>
    <m/>
    <m/>
    <m/>
    <m/>
    <m/>
    <m/>
    <m/>
    <m/>
    <m/>
    <m/>
    <m/>
    <m/>
    <m/>
    <m/>
    <m/>
    <m/>
    <m/>
    <m/>
    <m/>
    <m/>
    <m/>
    <m/>
    <m/>
    <m/>
    <m/>
    <m/>
    <m/>
    <m/>
    <m/>
    <m/>
    <m/>
    <m/>
    <m/>
    <m/>
    <m/>
    <m/>
    <m/>
    <d v="2016-09-01T00:00:00"/>
    <d v="2017-09-30T00:00:00"/>
    <d v="2017-11-30T00:00:00"/>
    <s v="Development Sexual, Reproductive and Maternal Health (SRMH)"/>
    <n v="272475"/>
    <s v="Grishma Bista"/>
    <s v="SRMH and Women's Voice Coordinator"/>
    <s v="Grishma.Bista@careint.org"/>
    <m/>
    <m/>
    <m/>
    <s v="NO"/>
    <s v="YES"/>
    <s v="NO"/>
    <s v="To improve the health of mothers, infants and young children in Ermera Municipality"/>
    <s v="Sub-National"/>
    <s v="In Ermera Municipality"/>
    <s v="Mothers of Reprodutive age, Fathers, Community Leaders, Traditional Birth Attendants and Children under 5  in Ermera Municipality"/>
    <n v="530"/>
    <n v="238"/>
    <n v="768"/>
    <n v="61611"/>
    <n v="63264"/>
    <n v="124875"/>
    <s v="The direct beneficiaries are counted from the number of Health Workers trained to establish Mother Supprt Groups, Village Heads, and actual Mother Support Group members.  For indirect beneficaries, the total direct beneciaries was deducted from the total population in Municipality Ermera as the project covers the entire municipality and information is expected to reach at least one member of each household through the Mother Support Group members.  (Total Population-direct beneficiaries = Indirect Beneficaries)."/>
    <m/>
    <m/>
    <m/>
    <m/>
    <m/>
    <m/>
    <m/>
    <m/>
    <m/>
    <m/>
    <m/>
    <m/>
    <m/>
    <m/>
    <m/>
    <m/>
    <m/>
    <m/>
    <m/>
    <m/>
    <m/>
    <m/>
    <m/>
    <m/>
    <m/>
    <m/>
    <m/>
    <m/>
    <m/>
    <m/>
    <m/>
    <m/>
    <m/>
    <m/>
    <m/>
    <m/>
    <m/>
    <m/>
    <m/>
    <m/>
    <m/>
    <m/>
    <m/>
    <m/>
    <m/>
    <m/>
    <m/>
    <m/>
    <m/>
    <m/>
    <m/>
    <m/>
    <m/>
    <m/>
    <m/>
    <m/>
    <m/>
    <m/>
    <m/>
    <m/>
    <n v="534"/>
    <n v="293"/>
    <n v="827"/>
    <m/>
    <m/>
    <m/>
    <m/>
    <m/>
    <m/>
    <m/>
    <m/>
    <m/>
    <m/>
    <m/>
    <m/>
    <m/>
    <m/>
    <m/>
    <m/>
    <m/>
    <m/>
    <m/>
    <m/>
    <m/>
    <m/>
    <m/>
    <m/>
    <m/>
    <m/>
    <m/>
    <m/>
    <m/>
    <m/>
    <m/>
    <m/>
    <m/>
    <m/>
    <m/>
    <m/>
    <m/>
    <m/>
    <m/>
    <s v="YES"/>
    <n v="827"/>
    <n v="0.64570737605804096"/>
    <n v="124875"/>
    <m/>
    <m/>
    <m/>
    <m/>
    <m/>
    <m/>
    <m/>
    <m/>
    <m/>
    <m/>
    <m/>
    <m/>
    <s v="YES"/>
    <n v="827"/>
    <n v="0.64570737605804096"/>
    <n v="124875"/>
    <m/>
    <m/>
    <m/>
    <m/>
    <m/>
    <m/>
    <m/>
    <m/>
    <m/>
    <m/>
    <m/>
    <m/>
    <m/>
    <s v="NO"/>
    <m/>
    <m/>
    <m/>
    <s v="YES"/>
    <s v="November"/>
    <n v="2017"/>
    <s v="A small end of project review is planned for November 2017. The review will include a FGD and Key Informant Interviews with the target beneficiaries in order to seek feedback on the effectiveness and sustainability of the project. The key interviewees will be: trained health workers, Mother Support Group members, Village Council and women in the community."/>
    <x v="1"/>
    <s v="YES"/>
    <s v="NO"/>
    <s v="NO"/>
    <s v="NO"/>
    <s v="YES"/>
    <s v="NO"/>
    <s v="NO"/>
    <m/>
    <m/>
    <x v="0"/>
    <m/>
    <x v="1"/>
    <s v="The 52 Mother Support Groups have been established in Ermera following the Ministry of Health guidelines. The plan for MoH is to roll it out in all 13 municipalities."/>
    <x v="0"/>
    <x v="0"/>
    <s v="YES"/>
    <x v="1"/>
    <x v="0"/>
    <x v="1"/>
    <x v="1"/>
    <n v="2"/>
    <x v="1"/>
    <x v="1"/>
    <x v="1"/>
    <x v="1"/>
    <x v="2"/>
    <x v="1"/>
    <n v="3"/>
    <x v="1"/>
    <x v="2"/>
    <x v="1"/>
    <x v="1"/>
    <x v="3"/>
    <n v="2"/>
    <x v="2"/>
    <x v="3"/>
    <n v="2"/>
    <s v="Local government(s)"/>
    <s v="National government"/>
    <m/>
    <x v="1"/>
    <m/>
    <s v="CARE is supporting the MoH to roll out its guideline. CARE has repeatedly flagged it with the MoH and the donor that the project could be more transformative if certain aspects such as engaging with men and boys or the structural element are strengthened further. However, due to budgetary contstraints these suggestionst have not been taken on board yet."/>
    <s v="Mother Support Group is considered an effective approach to provide SRMH-related and Nutrition messages to women in communities and also ensure there is an increased number of women in accessing the health services."/>
    <s v="Involving the Health Workers in the project implementation is expected to promote a sense of ownership and contributing towards the sustainability of the project."/>
    <m/>
    <s v="The health workers involved in facilitating training to mother support groups have competing priorities and demands from the government. Without proper resourcing and rethinking about the responsibilities of doctors and midwives based at the village and hamlet level, it will be difficult to continue to expect them to monitor and support the established Mother Support Groups."/>
    <s v="The support materials produced by the MoH is not suitable for low literate adults who are a part of the Mother Support Groups."/>
    <m/>
    <s v="This project reports zero indirect participants as it fully overlaps with Project Lafaek. In any case, specific data for this project alone in this FY would other ways include:_x000a_Indirect: 61,611 women&amp;girls  63,264 men&amp;boys =    124,875 Total_x000a_"/>
    <m/>
    <n v="827"/>
    <n v="0"/>
    <n v="0"/>
    <n v="0.64570737605804107"/>
    <s v=""/>
    <n v="534"/>
    <n v="0"/>
    <s v=""/>
    <n v="0"/>
    <n v="0"/>
    <s v=""/>
    <s v=""/>
    <n v="0"/>
    <n v="0"/>
    <s v=""/>
    <n v="1"/>
    <n v="827"/>
    <n v="124875"/>
    <n v="150.99758162031438"/>
    <s v=""/>
    <n v="0"/>
    <n v="0"/>
    <s v=""/>
    <s v=""/>
    <n v="0"/>
    <n v="0"/>
    <s v=""/>
    <s v="1. Neutral"/>
    <s v="2. Accommodating"/>
    <s v="1. Neutral"/>
    <s v="It did not develop any specific innovation"/>
    <s v="Moderate advocacy"/>
    <s v="It linked and worked with strategic alliances and partners to take tested and effective solutions to scale"/>
  </r>
  <r>
    <x v="74"/>
    <x v="0"/>
    <m/>
    <s v="Response to El Nino Project"/>
    <s v="Timor-Leste"/>
    <s v="Action for Resilient Communities in Timor-Leste TL218"/>
    <s v="CARE Australia"/>
    <s v="Government"/>
    <s v="Government - Australia"/>
    <s v="DFAT-Australia"/>
    <s v="The Supplementary Feeding Project TLS078"/>
    <s v="No CARE member related to the project/initiative"/>
    <s v="Multilateral agency"/>
    <s v="UN - United Nations agencies/offices"/>
    <s v="World Food Programme (WFP)"/>
    <s v="ERF El Nino Drought Project TL230"/>
    <s v="CI Secretariat"/>
    <s v="Other"/>
    <s v="Other"/>
    <s v="CI - ERF"/>
    <s v="CA El Nino Drought Project TL231"/>
    <s v="CARE Australia"/>
    <s v="Other"/>
    <s v="Other"/>
    <s v="CARE Australia Emergency Appeal for El Nino"/>
    <s v="START Viqueque Drought Project TL232"/>
    <s v="CARE UK"/>
    <s v="Other"/>
    <s v="Other"/>
    <s v="START Network "/>
    <m/>
    <m/>
    <m/>
    <m/>
    <m/>
    <m/>
    <m/>
    <m/>
    <m/>
    <m/>
    <m/>
    <m/>
    <m/>
    <m/>
    <m/>
    <m/>
    <m/>
    <m/>
    <m/>
    <m/>
    <m/>
    <m/>
    <m/>
    <m/>
    <m/>
    <d v="2016-06-29T00:00:00"/>
    <d v="2017-07-01T00:00:00"/>
    <m/>
    <s v="Humanitarian Food &amp; Nutrition Security and Resilience to Climate Change"/>
    <n v="380648"/>
    <s v="Peter Raynes"/>
    <s v="Country Director"/>
    <s v="Peter.Raynes@careint.org"/>
    <m/>
    <m/>
    <m/>
    <s v="YES"/>
    <s v="NO"/>
    <s v="NO"/>
    <s v="The goal of the initiative was to provide humanitarian health, nutrition, and food security support to pregnant and breast feeding mothers and their families from disadvantaged households in communities most heavily affected by the 2015/16 El Nino drought in Timor-Leste  "/>
    <s v="Sub-National"/>
    <s v="The programming initiative took place in 86 hamlets across the municipality of Viqueque in Timor-Leste"/>
    <s v="The main beneficiaries are pregnant and breastfeeding women and their families in disadvantaged, rural Viqueque municipality"/>
    <n v="1734"/>
    <n v="1673"/>
    <n v="3407"/>
    <n v="2635"/>
    <n v="2709"/>
    <n v="5344"/>
    <s v="Direct participants are those pregnant and breastfeeding mothers and their children (1734) who were assisted with supplimentary feeding products by the largest phase of the program; the direct participants includes male and female children who were assisted with supplementary feeding products; the direct beneficiaires include men who attended the sessions on supplementary feeding, DRR and gender equity sessions which were given during distribution of the supplementary feeding products (1673); The indirect beneficiaries are other households members from the households where pregnant and breastfeeding women and children were assisted, minus the numbers of women, children, and men who have been calculated as direct beneficiaries (total:5344)."/>
    <m/>
    <n v="1734"/>
    <n v="1673"/>
    <n v="3407"/>
    <n v="2635"/>
    <n v="2709"/>
    <n v="5344"/>
    <m/>
    <m/>
    <m/>
    <m/>
    <m/>
    <m/>
    <m/>
    <m/>
    <m/>
    <m/>
    <m/>
    <m/>
    <s v="YES"/>
    <n v="3407"/>
    <n v="0.50890000000000002"/>
    <n v="5344"/>
    <m/>
    <m/>
    <m/>
    <m/>
    <s v="YES"/>
    <n v="2246"/>
    <n v="0.624"/>
    <n v="1954"/>
    <s v="YES"/>
    <n v="2246"/>
    <n v="0.624"/>
    <n v="1954"/>
    <m/>
    <m/>
    <m/>
    <m/>
    <m/>
    <m/>
    <m/>
    <m/>
    <m/>
    <m/>
    <m/>
    <m/>
    <m/>
    <m/>
    <m/>
    <m/>
    <s v="YES"/>
    <n v="3407"/>
    <n v="0.50890000000000002"/>
    <n v="5344"/>
    <m/>
    <m/>
    <m/>
    <m/>
    <m/>
    <m/>
    <m/>
    <m/>
    <m/>
    <m/>
    <m/>
    <m/>
    <m/>
    <m/>
    <m/>
    <m/>
    <m/>
    <m/>
    <m/>
    <m/>
    <m/>
    <m/>
    <m/>
    <m/>
    <m/>
    <m/>
    <m/>
    <m/>
    <m/>
    <m/>
    <m/>
    <m/>
    <m/>
    <m/>
    <m/>
    <m/>
    <m/>
    <m/>
    <m/>
    <m/>
    <m/>
    <m/>
    <m/>
    <m/>
    <m/>
    <m/>
    <m/>
    <m/>
    <m/>
    <m/>
    <m/>
    <m/>
    <m/>
    <m/>
    <m/>
    <m/>
    <m/>
    <m/>
    <m/>
    <m/>
    <m/>
    <m/>
    <m/>
    <m/>
    <m/>
    <m/>
    <m/>
    <m/>
    <m/>
    <m/>
    <m/>
    <m/>
    <m/>
    <m/>
    <m/>
    <m/>
    <m/>
    <m/>
    <m/>
    <m/>
    <s v="YES"/>
    <s v="February"/>
    <n v="2016"/>
    <s v="NO"/>
    <s v="NO"/>
    <m/>
    <m/>
    <s v="The evaluation was a peer review conducted by all the agencies in the consortium of humanitarian responses. It looks at whether outputs were acheived in relation to plans, at lessons learned as a result of the work and provides key recommendations."/>
    <x v="1"/>
    <m/>
    <m/>
    <m/>
    <m/>
    <s v="YES"/>
    <m/>
    <m/>
    <m/>
    <s v="Action to influence government recognition of El Nino drought and its impacts on rural populations in most effected areas."/>
    <x v="1"/>
    <s v="The initiative used tablets and online data entry for rural-based assessments. This produced increased accuracy and speed for assessment results and was the first time the process had been used by INGOs for such a process in Timor-Leste."/>
    <x v="2"/>
    <m/>
    <x v="3"/>
    <x v="1"/>
    <s v="YES"/>
    <x v="0"/>
    <x v="0"/>
    <x v="1"/>
    <x v="4"/>
    <n v="3"/>
    <x v="1"/>
    <x v="1"/>
    <x v="2"/>
    <x v="1"/>
    <x v="2"/>
    <x v="4"/>
    <n v="2"/>
    <x v="1"/>
    <x v="1"/>
    <x v="1"/>
    <x v="1"/>
    <x v="1"/>
    <n v="3"/>
    <x v="0"/>
    <x v="0"/>
    <n v="9"/>
    <s v="International NGO(s)"/>
    <s v="Local government(s)"/>
    <s v="Multilateral organization(s)"/>
    <x v="1"/>
    <m/>
    <s v="The initiative increased engagement with local government and key services including municipal health and agricultural extension workers, and also community leaders, in order to strengthen the sustainability, and enhance the enabling environment for key outcomes, including gender equality goals."/>
    <s v="Engaging community leaders, e.g. around identification of most vulnerable households through key criteria."/>
    <s v="Engaging goverment service providers, including Ministry of Agriculture and Fisheries for technical support, and increased sustainability."/>
    <s v="Engaging with men and boys, to promote increased understanding of maternal nutrition and health."/>
    <s v="Strengthen coordination with local authorities as a mechanism to progress advocacy, including involvement of municipal level authorities to respond."/>
    <s v="For resilience programming - localised, in-depth assessments can ensure interventions are appropriate and effective for local conditions."/>
    <s v="Gender and disability should be strengthened to ensure womens leadership and voice and active participation of people with disabilities including design, implementation and evaluation."/>
    <s v="The intiative was made up of a series of successive humanitarian response projects to support most vulnerable households in areas most heavily impacted by the El Nino drought. Two of the projects involved consortia of INGOs, and one was a partnership with WFP to support supplementary feeding."/>
    <m/>
    <n v="3407"/>
    <n v="5344"/>
    <n v="1.5685353683592604"/>
    <n v="0.50895215732315824"/>
    <n v="0.49307634730538924"/>
    <n v="1734"/>
    <n v="2635"/>
    <n v="1"/>
    <n v="3407"/>
    <n v="5344"/>
    <n v="1.5685353683592604"/>
    <n v="1"/>
    <n v="3407"/>
    <n v="5344"/>
    <n v="1.5685353683592604"/>
    <s v=""/>
    <n v="0"/>
    <n v="0"/>
    <s v=""/>
    <s v=""/>
    <n v="0"/>
    <n v="0"/>
    <s v=""/>
    <s v=""/>
    <n v="0"/>
    <n v="0"/>
    <s v=""/>
    <s v="3. Responsive"/>
    <s v="1. Tokenistic"/>
    <s v="2. Sensitive"/>
    <s v="It tested new ways for fighting poverty, but did not measure results of innovation"/>
    <s v="Moderate advocacy"/>
    <n v="0"/>
  </r>
  <r>
    <x v="74"/>
    <x v="0"/>
    <n v="3682"/>
    <s v="Safe Motherhood Project (SMP)"/>
    <s v="Timor-Leste"/>
    <s v="TLS046"/>
    <s v="CARE Australia"/>
    <s v="Government"/>
    <s v="Government - Australia"/>
    <s v="DFAT-Australia"/>
    <m/>
    <m/>
    <m/>
    <m/>
    <m/>
    <m/>
    <m/>
    <m/>
    <m/>
    <m/>
    <m/>
    <m/>
    <m/>
    <m/>
    <m/>
    <m/>
    <m/>
    <m/>
    <m/>
    <m/>
    <m/>
    <m/>
    <m/>
    <m/>
    <m/>
    <m/>
    <m/>
    <m/>
    <m/>
    <m/>
    <m/>
    <m/>
    <m/>
    <m/>
    <m/>
    <m/>
    <m/>
    <m/>
    <m/>
    <m/>
    <m/>
    <m/>
    <m/>
    <m/>
    <m/>
    <d v="2013-07-01T00:00:00"/>
    <d v="2017-06-30T00:00:00"/>
    <m/>
    <s v="Development Sexual, Reproductive and Maternal Health (SRMH)"/>
    <n v="2259561"/>
    <s v="Grishma Bista"/>
    <s v="SRMH and Women's Voice Program Coordinator"/>
    <s v="Grishma.Bista@careint.org"/>
    <m/>
    <m/>
    <m/>
    <s v="NO"/>
    <s v="YES"/>
    <s v="NO"/>
    <s v="The overall goal of the project is to decrease maternal mortality and morbidity"/>
    <s v="Sub-National"/>
    <s v="Ermera Municipality ( Administrative Post of Atsabe) and Covalima Municipality (Administrative Post of Maukatar, Fatululik and Tilomar)"/>
    <s v="Women of reproductive age in remote disadvantaged communities"/>
    <n v="2097"/>
    <n v="1478"/>
    <n v="3575"/>
    <n v="2539"/>
    <n v="4140"/>
    <n v="6679"/>
    <s v="The direct beneficaries is calculated as the total number of Mother Support Group members (566), total number of community mobilizers (43), nght event Participants (1671), family of MCG members attending the health education sessions (248), participants during the  Municipality level score card meetings (48), and Family Health Day participants (997). For the indirect beneficaries , it is calculated as the total population in the target areas after reducing the total direct beneficaries."/>
    <m/>
    <m/>
    <m/>
    <m/>
    <m/>
    <m/>
    <m/>
    <m/>
    <m/>
    <m/>
    <m/>
    <m/>
    <m/>
    <m/>
    <m/>
    <m/>
    <m/>
    <m/>
    <m/>
    <m/>
    <m/>
    <m/>
    <m/>
    <m/>
    <m/>
    <m/>
    <m/>
    <m/>
    <m/>
    <m/>
    <m/>
    <m/>
    <m/>
    <m/>
    <m/>
    <m/>
    <m/>
    <m/>
    <m/>
    <m/>
    <m/>
    <m/>
    <m/>
    <m/>
    <m/>
    <m/>
    <m/>
    <m/>
    <m/>
    <m/>
    <m/>
    <m/>
    <m/>
    <m/>
    <m/>
    <m/>
    <m/>
    <m/>
    <m/>
    <m/>
    <n v="2097"/>
    <n v="1478"/>
    <n v="3575"/>
    <m/>
    <m/>
    <m/>
    <s v="NO"/>
    <m/>
    <m/>
    <m/>
    <s v="NO"/>
    <m/>
    <m/>
    <m/>
    <s v="NO"/>
    <m/>
    <m/>
    <m/>
    <s v="NO"/>
    <m/>
    <m/>
    <m/>
    <s v="NO"/>
    <m/>
    <m/>
    <m/>
    <s v="NO"/>
    <m/>
    <m/>
    <m/>
    <s v="YES"/>
    <n v="3575"/>
    <n v="0.58657342657342604"/>
    <n v="6679"/>
    <s v="NO"/>
    <m/>
    <m/>
    <m/>
    <s v="NO"/>
    <m/>
    <m/>
    <m/>
    <s v="NO"/>
    <m/>
    <m/>
    <m/>
    <s v="NO"/>
    <m/>
    <m/>
    <m/>
    <s v="NO"/>
    <m/>
    <m/>
    <m/>
    <s v="NO"/>
    <m/>
    <m/>
    <m/>
    <s v="YES"/>
    <n v="3575"/>
    <n v="0.58657342657342604"/>
    <n v="6679"/>
    <s v="NO"/>
    <m/>
    <m/>
    <m/>
    <s v="NO"/>
    <m/>
    <m/>
    <m/>
    <m/>
    <m/>
    <m/>
    <m/>
    <m/>
    <s v="YES"/>
    <s v="May"/>
    <n v="2017"/>
    <s v="YES"/>
    <s v="NO"/>
    <m/>
    <m/>
    <m/>
    <x v="1"/>
    <s v="NO"/>
    <s v="NO"/>
    <s v="YES"/>
    <s v="NO"/>
    <s v="YES"/>
    <s v="NO"/>
    <s v="NO"/>
    <m/>
    <m/>
    <x v="0"/>
    <m/>
    <x v="0"/>
    <m/>
    <x v="1"/>
    <x v="1"/>
    <s v="YES"/>
    <x v="0"/>
    <x v="0"/>
    <x v="1"/>
    <x v="4"/>
    <n v="3"/>
    <x v="1"/>
    <x v="1"/>
    <x v="1"/>
    <x v="1"/>
    <x v="2"/>
    <x v="1"/>
    <n v="3"/>
    <x v="1"/>
    <x v="2"/>
    <x v="1"/>
    <x v="1"/>
    <x v="3"/>
    <n v="2"/>
    <x v="0"/>
    <x v="0"/>
    <n v="2"/>
    <s v="Local NGO(s)/CSO(s)"/>
    <s v="Local government(s)"/>
    <m/>
    <x v="0"/>
    <s v="The project  has been working through its partner to raise understanding about social accountability"/>
    <s v="Most men in the target communities are farmers and work in the field during the day time making it very hard to reach them. Night events were held in order to reach more men in order to disseminate information about family planning, danger signs, importance of ante and post natal care and supporting their wives to access the services."/>
    <s v="Engaging men in the activity has proved to be an effective strategy. By implementing night events, the husbands are also aware of the obejctive of the project and are more supportive of women accessing the health services."/>
    <s v="Community Score Card approach has been perceived as useful by both community members and service providers. It is not so much that they were unaware of the issues going on but implementing the CSC helped formalise their issues and gave them a means to talk to Municipal authorities about their issues in a succinct manner."/>
    <m/>
    <s v="The project took on a local CSO as a partner to implement the Community Score Card process. CARE in Timor-Leste ourselves were learning the process making it difficult to mentor and strengthen the civil society partner. It is better to wait to take on a partner while you are learning the process yourself."/>
    <s v="The project took on a scattered geographic area within a given municipality. It has been a lesson to go deep in to a geographic area and demonstrate results rather than scatter the resources."/>
    <m/>
    <s v="This project reports zero indirect participants as it fully overlaps with Project Lafaek. In any case, specific data for this project alone in this FY would other ways include:_x000a_Indirect: 2,539 women&amp;girls  4,140 men&amp;boys =    6,679 Total_x000a_"/>
    <m/>
    <n v="3575"/>
    <n v="0"/>
    <n v="0"/>
    <n v="0.58657342657342659"/>
    <s v=""/>
    <n v="2097"/>
    <n v="0"/>
    <s v=""/>
    <n v="0"/>
    <n v="0"/>
    <s v=""/>
    <n v="1"/>
    <n v="3575"/>
    <n v="6679"/>
    <n v="1.8682517482517482"/>
    <n v="1"/>
    <n v="3575"/>
    <n v="6679"/>
    <n v="1.8682517482517482"/>
    <s v=""/>
    <n v="0"/>
    <n v="0"/>
    <s v=""/>
    <s v=""/>
    <n v="0"/>
    <n v="0"/>
    <s v=""/>
    <s v="3. Responsive"/>
    <s v="2. Accommodating"/>
    <s v="1. Neutral"/>
    <s v="It did not develop any specific innovation"/>
    <s v="Moderate advocacy"/>
    <s v="It did not take tested solutions to scale"/>
  </r>
  <r>
    <x v="75"/>
    <x v="1"/>
    <n v="1111"/>
    <s v="Improving workforce preparedness of 400 Syrian refugees in Gaziantep within four months."/>
    <s v="Turkey"/>
    <m/>
    <s v="CARE UK"/>
    <s v="Corporation"/>
    <s v="Government - Germany"/>
    <s v="GIZ"/>
    <m/>
    <m/>
    <m/>
    <m/>
    <m/>
    <m/>
    <m/>
    <m/>
    <m/>
    <m/>
    <m/>
    <m/>
    <m/>
    <m/>
    <m/>
    <m/>
    <m/>
    <m/>
    <m/>
    <m/>
    <m/>
    <m/>
    <m/>
    <m/>
    <m/>
    <m/>
    <m/>
    <m/>
    <m/>
    <m/>
    <m/>
    <m/>
    <m/>
    <m/>
    <m/>
    <m/>
    <m/>
    <m/>
    <m/>
    <m/>
    <m/>
    <m/>
    <m/>
    <m/>
    <m/>
    <d v="2015-09-01T00:00:00"/>
    <d v="2017-01-31T00:00:00"/>
    <m/>
    <s v="Development Other"/>
    <n v="414000"/>
    <s v="Salah Hamwi"/>
    <s v="Program Manager"/>
    <s v="Salah.Hamwi@care.org"/>
    <m/>
    <m/>
    <m/>
    <s v="YES"/>
    <s v="YES"/>
    <s v="YES"/>
    <s v="Improve Syrian men, women and youth employability through skills development (through vocational trainings and language courses) and linkages with employers"/>
    <s v="Sub-National"/>
    <s v="Turkey - Gaziantep Province - Gaziantep city"/>
    <s v="Syrian refugees participating in trainings and courses have increased skills and work force preparedness"/>
    <n v="313"/>
    <n v="318"/>
    <n v="631"/>
    <m/>
    <m/>
    <m/>
    <s v="The 631 participants reported include unique beneficiaries as recorded by the CO. No overlap with other projects"/>
    <m/>
    <n v="313"/>
    <n v="318"/>
    <n v="631"/>
    <m/>
    <m/>
    <m/>
    <m/>
    <m/>
    <m/>
    <m/>
    <m/>
    <m/>
    <m/>
    <m/>
    <m/>
    <m/>
    <m/>
    <m/>
    <m/>
    <m/>
    <m/>
    <m/>
    <m/>
    <m/>
    <m/>
    <m/>
    <m/>
    <m/>
    <m/>
    <m/>
    <m/>
    <m/>
    <m/>
    <m/>
    <s v="Yes"/>
    <n v="631"/>
    <n v="0.5"/>
    <m/>
    <m/>
    <m/>
    <m/>
    <m/>
    <m/>
    <m/>
    <m/>
    <m/>
    <m/>
    <m/>
    <m/>
    <m/>
    <m/>
    <m/>
    <m/>
    <m/>
    <m/>
    <m/>
    <m/>
    <m/>
    <m/>
    <m/>
    <m/>
    <m/>
    <m/>
    <m/>
    <m/>
    <m/>
    <m/>
    <m/>
    <m/>
    <m/>
    <m/>
    <m/>
    <m/>
    <m/>
    <m/>
    <m/>
    <m/>
    <m/>
    <m/>
    <m/>
    <m/>
    <m/>
    <m/>
    <m/>
    <m/>
    <m/>
    <m/>
    <m/>
    <m/>
    <m/>
    <m/>
    <m/>
    <m/>
    <m/>
    <m/>
    <m/>
    <m/>
    <m/>
    <m/>
    <m/>
    <m/>
    <m/>
    <m/>
    <m/>
    <m/>
    <m/>
    <m/>
    <m/>
    <m/>
    <m/>
    <m/>
    <m/>
    <m/>
    <m/>
    <m/>
    <m/>
    <m/>
    <m/>
    <m/>
    <m/>
    <m/>
    <m/>
    <m/>
    <m/>
    <m/>
    <m/>
    <m/>
    <m/>
    <m/>
    <m/>
    <m/>
    <m/>
    <m/>
    <m/>
    <s v="YES"/>
    <s v="January"/>
    <n v="2017"/>
    <s v="YES"/>
    <s v="NO"/>
    <m/>
    <m/>
    <m/>
    <x v="1"/>
    <s v="NO"/>
    <s v="NO"/>
    <s v="YES"/>
    <s v="NO"/>
    <s v="YES"/>
    <s v="YES"/>
    <s v="YES"/>
    <s v="NO"/>
    <m/>
    <x v="1"/>
    <m/>
    <x v="0"/>
    <m/>
    <x v="2"/>
    <x v="1"/>
    <m/>
    <x v="2"/>
    <x v="2"/>
    <x v="2"/>
    <x v="3"/>
    <n v="0"/>
    <x v="0"/>
    <x v="0"/>
    <x v="0"/>
    <x v="0"/>
    <x v="0"/>
    <x v="0"/>
    <n v="0"/>
    <x v="0"/>
    <x v="0"/>
    <x v="0"/>
    <x v="0"/>
    <x v="0"/>
    <n v="0"/>
    <x v="0"/>
    <x v="2"/>
    <n v="3"/>
    <s v="Local NGO(s)/CSO(s)"/>
    <s v="Private sector"/>
    <s v="Private sector"/>
    <x v="2"/>
    <m/>
    <m/>
    <m/>
    <m/>
    <m/>
    <s v="The registration form should include specific questions to ensure identification of individuals. Unique number for identification should be allocated to each participant with a verification procedure put in place if needed."/>
    <s v="All CARE staff, participants, and service providers agreed that four months was a very short period in which to implement and achieve the goal of the project with the best possible quality."/>
    <s v="Consider focusing programming on small business support where equipment is provided to participants, as well as training"/>
    <s v="The 631 participants reported include unique beneficiaries as recorded by the CO. No overlap with other projects"/>
    <m/>
    <n v="631"/>
    <n v="0"/>
    <n v="0"/>
    <n v="0.49603803486529319"/>
    <s v=""/>
    <n v="313"/>
    <n v="0"/>
    <n v="1"/>
    <n v="631"/>
    <n v="0"/>
    <n v="0"/>
    <n v="1"/>
    <n v="631"/>
    <n v="0"/>
    <n v="0"/>
    <s v=""/>
    <n v="0"/>
    <n v="0"/>
    <s v=""/>
    <s v=""/>
    <n v="0"/>
    <n v="0"/>
    <s v=""/>
    <s v=""/>
    <n v="0"/>
    <n v="0"/>
    <s v=""/>
    <s v="No marker score"/>
    <s v="No marker score"/>
    <s v="No marker score"/>
    <s v="It tested new ways for fighting poverty, but did not measure results of innovation"/>
    <s v="Moderate advocacy"/>
    <s v="It did not take tested solutions to scale"/>
  </r>
  <r>
    <x v="75"/>
    <x v="1"/>
    <n v="3684"/>
    <s v="Information Volunteers: Community-based Protection Program for Syrian Refugees in Southern Turkey"/>
    <s v="Turkey"/>
    <m/>
    <s v="CARE UK"/>
    <s v="Corporation"/>
    <m/>
    <s v="ECHO"/>
    <m/>
    <m/>
    <m/>
    <m/>
    <m/>
    <m/>
    <m/>
    <m/>
    <m/>
    <m/>
    <m/>
    <m/>
    <m/>
    <m/>
    <m/>
    <m/>
    <m/>
    <m/>
    <m/>
    <m/>
    <m/>
    <m/>
    <m/>
    <m/>
    <m/>
    <m/>
    <m/>
    <m/>
    <m/>
    <m/>
    <m/>
    <m/>
    <m/>
    <m/>
    <m/>
    <m/>
    <m/>
    <m/>
    <m/>
    <m/>
    <m/>
    <m/>
    <m/>
    <m/>
    <m/>
    <d v="2016-11-01T00:00:00"/>
    <d v="2017-03-31T00:00:00"/>
    <m/>
    <s v="Humanitarian Other"/>
    <n v="1374051.11739101"/>
    <s v="Salah Hamwi"/>
    <s v="Program Manager"/>
    <s v="Salah.Hamwi@care.org"/>
    <s v="Elcin"/>
    <s v="Project Manager"/>
    <s v="Elcin.Cavlan@care.org"/>
    <s v="YES"/>
    <s v="NO"/>
    <s v="NO"/>
    <s v="Refugee women, girls, boys and men receive critical protection information and have increased access to protection services and support"/>
    <s v="Sub-National"/>
    <s v="Turkey - Sanliurfa Province - Birecik and Halfeti districts, Turkey - Ankara Province - Beypazari, Altindag, Polatli and Haymana districts"/>
    <s v="To contribute to strengthening protection of vulnerable Syrian refugee women, girls, boys and men in Turkey"/>
    <n v="19535"/>
    <n v="20379"/>
    <n v="39914"/>
    <m/>
    <m/>
    <m/>
    <s v="In order to avoid double counting, this project serves as &quot;umbrella&quot; project for actions funded by ECHO around Basic needs, winterization and protection. The 40,046 participants reported include unique beneficiaries as recorded by the CO "/>
    <m/>
    <n v="19602"/>
    <n v="20444"/>
    <n v="40046"/>
    <m/>
    <m/>
    <m/>
    <m/>
    <m/>
    <m/>
    <m/>
    <m/>
    <m/>
    <m/>
    <m/>
    <m/>
    <m/>
    <m/>
    <m/>
    <m/>
    <m/>
    <m/>
    <m/>
    <m/>
    <m/>
    <m/>
    <m/>
    <m/>
    <m/>
    <m/>
    <m/>
    <m/>
    <m/>
    <m/>
    <m/>
    <m/>
    <m/>
    <m/>
    <m/>
    <s v="YES"/>
    <n v="39914"/>
    <n v="0.49"/>
    <m/>
    <m/>
    <m/>
    <m/>
    <m/>
    <m/>
    <m/>
    <m/>
    <m/>
    <m/>
    <m/>
    <m/>
    <m/>
    <m/>
    <m/>
    <m/>
    <m/>
    <m/>
    <m/>
    <m/>
    <m/>
    <m/>
    <m/>
    <m/>
    <m/>
    <m/>
    <m/>
    <m/>
    <m/>
    <m/>
    <m/>
    <m/>
    <m/>
    <m/>
    <m/>
    <m/>
    <m/>
    <m/>
    <m/>
    <m/>
    <m/>
    <m/>
    <m/>
    <m/>
    <m/>
    <m/>
    <m/>
    <m/>
    <m/>
    <m/>
    <m/>
    <m/>
    <m/>
    <m/>
    <m/>
    <m/>
    <m/>
    <m/>
    <m/>
    <m/>
    <m/>
    <m/>
    <m/>
    <m/>
    <m/>
    <m/>
    <m/>
    <m/>
    <m/>
    <m/>
    <m/>
    <m/>
    <m/>
    <m/>
    <m/>
    <m/>
    <m/>
    <m/>
    <m/>
    <m/>
    <m/>
    <m/>
    <m/>
    <m/>
    <m/>
    <m/>
    <m/>
    <m/>
    <m/>
    <m/>
    <m/>
    <m/>
    <m/>
    <s v="YES"/>
    <s v="March"/>
    <n v="2017"/>
    <s v="YES"/>
    <s v="YES"/>
    <s v="April"/>
    <n v="2018"/>
    <m/>
    <x v="1"/>
    <s v="NO"/>
    <s v="NO"/>
    <s v="YES"/>
    <s v="NO"/>
    <s v="YES"/>
    <s v="YES"/>
    <s v="YES"/>
    <s v="NO"/>
    <m/>
    <x v="1"/>
    <m/>
    <x v="0"/>
    <m/>
    <x v="2"/>
    <x v="1"/>
    <m/>
    <x v="2"/>
    <x v="2"/>
    <x v="2"/>
    <x v="3"/>
    <n v="0"/>
    <x v="0"/>
    <x v="0"/>
    <x v="0"/>
    <x v="0"/>
    <x v="0"/>
    <x v="0"/>
    <n v="0"/>
    <x v="0"/>
    <x v="0"/>
    <x v="0"/>
    <x v="0"/>
    <x v="0"/>
    <n v="0"/>
    <x v="0"/>
    <x v="0"/>
    <n v="1"/>
    <s v="Local NGO(s)/CSO(s)"/>
    <m/>
    <m/>
    <x v="2"/>
    <m/>
    <m/>
    <m/>
    <m/>
    <m/>
    <s v="The project team requires improved access database with queries that enable them to get outputs they need."/>
    <s v="Find suitable and suitable venue to conduct the sessions. One of these venue is to have community center, so, people can go there and conduct the sessions with them."/>
    <s v="Conduct trainings related to PO for PO team in regular basis to build team capacity."/>
    <s v="In order to avoid double counting, this project serves as &quot;umbrella&quot; project for actions funded by ECHO around Basic needs, winterization and protection. The 40,046 participants reported include unique beneficiaries as recorded by the CO "/>
    <m/>
    <n v="40046"/>
    <n v="0"/>
    <n v="0"/>
    <n v="0.48948708984667633"/>
    <s v=""/>
    <n v="19602"/>
    <n v="0"/>
    <n v="1"/>
    <n v="40046"/>
    <n v="0"/>
    <n v="0"/>
    <s v=""/>
    <n v="0"/>
    <n v="0"/>
    <s v=""/>
    <s v=""/>
    <n v="0"/>
    <n v="0"/>
    <s v=""/>
    <s v=""/>
    <n v="0"/>
    <n v="0"/>
    <s v=""/>
    <s v=""/>
    <n v="0"/>
    <n v="0"/>
    <s v=""/>
    <s v="No marker score"/>
    <s v="No marker score"/>
    <s v="No marker score"/>
    <s v="It tested new ways for fighting poverty, but did not measure results of innovation"/>
    <s v="Moderate advocacy"/>
    <s v="It did not take tested solutions to scale"/>
  </r>
  <r>
    <x v="75"/>
    <x v="1"/>
    <n v="2222"/>
    <s v="Interventions In Refugee Camp Aim To Meet Basic Needs And Improve Hygiene Practices"/>
    <s v="Turkey"/>
    <m/>
    <s v="CARE USA"/>
    <s v="Corporation"/>
    <m/>
    <s v="CARE USA"/>
    <m/>
    <m/>
    <m/>
    <m/>
    <m/>
    <m/>
    <m/>
    <m/>
    <m/>
    <m/>
    <m/>
    <m/>
    <m/>
    <m/>
    <m/>
    <m/>
    <m/>
    <m/>
    <m/>
    <m/>
    <m/>
    <m/>
    <m/>
    <m/>
    <m/>
    <m/>
    <m/>
    <m/>
    <m/>
    <m/>
    <m/>
    <m/>
    <m/>
    <m/>
    <m/>
    <m/>
    <m/>
    <m/>
    <m/>
    <m/>
    <m/>
    <m/>
    <m/>
    <m/>
    <m/>
    <d v="2015-06-01T00:00:00"/>
    <d v="2017-06-30T00:00:00"/>
    <m/>
    <m/>
    <n v="40000"/>
    <s v="Salah Hamwi"/>
    <s v="Program Manager"/>
    <s v="Salah.Hamwi@care.org"/>
    <m/>
    <m/>
    <m/>
    <s v="YES"/>
    <s v="NO"/>
    <s v="NO"/>
    <s v="Aiming to meet basic needs and improve hygiene practices for refugee in Kills camp"/>
    <s v="Sub-National"/>
    <s v="Turkey - Kills Province - Kills camp"/>
    <s v="Syrian refugees in Kills camp their hygiene practice have increased"/>
    <n v="8320"/>
    <n v="7680"/>
    <n v="16000"/>
    <m/>
    <m/>
    <m/>
    <s v="The 16,000 participants reported include unique beneficiaries as recorded by the CO "/>
    <m/>
    <n v="7680"/>
    <n v="8320"/>
    <n v="16000"/>
    <m/>
    <m/>
    <m/>
    <m/>
    <m/>
    <m/>
    <m/>
    <m/>
    <m/>
    <m/>
    <m/>
    <m/>
    <m/>
    <m/>
    <m/>
    <m/>
    <m/>
    <m/>
    <m/>
    <m/>
    <m/>
    <m/>
    <m/>
    <m/>
    <m/>
    <m/>
    <m/>
    <m/>
    <m/>
    <m/>
    <m/>
    <m/>
    <m/>
    <m/>
    <m/>
    <m/>
    <m/>
    <m/>
    <m/>
    <m/>
    <m/>
    <m/>
    <m/>
    <m/>
    <m/>
    <m/>
    <m/>
    <s v="YES"/>
    <n v="16000"/>
    <n v="0.52"/>
    <m/>
    <m/>
    <m/>
    <m/>
    <m/>
    <m/>
    <m/>
    <m/>
    <m/>
    <m/>
    <m/>
    <m/>
    <m/>
    <m/>
    <m/>
    <m/>
    <m/>
    <m/>
    <m/>
    <m/>
    <m/>
    <m/>
    <m/>
    <m/>
    <m/>
    <m/>
    <m/>
    <m/>
    <m/>
    <m/>
    <m/>
    <m/>
    <m/>
    <m/>
    <m/>
    <m/>
    <m/>
    <m/>
    <m/>
    <m/>
    <m/>
    <m/>
    <m/>
    <m/>
    <m/>
    <m/>
    <m/>
    <m/>
    <m/>
    <m/>
    <m/>
    <m/>
    <m/>
    <m/>
    <m/>
    <m/>
    <m/>
    <m/>
    <m/>
    <m/>
    <m/>
    <m/>
    <m/>
    <m/>
    <m/>
    <m/>
    <m/>
    <m/>
    <m/>
    <m/>
    <m/>
    <m/>
    <m/>
    <m/>
    <m/>
    <m/>
    <m/>
    <m/>
    <m/>
    <m/>
    <m/>
    <s v="YES"/>
    <s v="June"/>
    <n v="2017"/>
    <s v="YES"/>
    <s v="NO"/>
    <m/>
    <m/>
    <m/>
    <x v="1"/>
    <s v="NO"/>
    <s v="NO"/>
    <s v="YES"/>
    <s v="NO"/>
    <s v="YES"/>
    <s v="YES"/>
    <s v="YES"/>
    <s v="NO"/>
    <m/>
    <x v="1"/>
    <m/>
    <x v="0"/>
    <m/>
    <x v="2"/>
    <x v="1"/>
    <m/>
    <x v="2"/>
    <x v="2"/>
    <x v="2"/>
    <x v="3"/>
    <n v="0"/>
    <x v="0"/>
    <x v="0"/>
    <x v="0"/>
    <x v="0"/>
    <x v="0"/>
    <x v="0"/>
    <n v="0"/>
    <x v="0"/>
    <x v="0"/>
    <x v="0"/>
    <x v="0"/>
    <x v="0"/>
    <n v="0"/>
    <x v="0"/>
    <x v="1"/>
    <n v="1"/>
    <s v="Local government(s)"/>
    <m/>
    <m/>
    <x v="2"/>
    <m/>
    <m/>
    <m/>
    <m/>
    <m/>
    <m/>
    <m/>
    <m/>
    <s v="The 16,000 participants reported include unique beneficiaries as recorded by the CO "/>
    <m/>
    <n v="16000"/>
    <n v="0"/>
    <n v="0"/>
    <n v="0.48"/>
    <s v=""/>
    <n v="7680"/>
    <n v="0"/>
    <n v="1"/>
    <n v="16000"/>
    <n v="0"/>
    <n v="0"/>
    <s v=""/>
    <n v="0"/>
    <n v="0"/>
    <s v=""/>
    <s v=""/>
    <n v="0"/>
    <n v="0"/>
    <s v=""/>
    <s v=""/>
    <n v="0"/>
    <n v="0"/>
    <s v=""/>
    <s v=""/>
    <n v="0"/>
    <n v="0"/>
    <s v=""/>
    <s v="No marker score"/>
    <s v="No marker score"/>
    <s v="No marker score"/>
    <s v="It tested new ways for fighting poverty, but did not measure results of innovation"/>
    <s v="Moderate advocacy"/>
    <s v="It did not take tested solutions to scale"/>
  </r>
  <r>
    <x v="75"/>
    <x v="1"/>
    <n v="3688"/>
    <s v="Urgent basic humanitarian assistance, and coordination of information needs, for Syrian refugees in Turkey"/>
    <s v="Turkey"/>
    <m/>
    <s v="CARE UK"/>
    <s v="Corporation"/>
    <m/>
    <s v="ECHO "/>
    <m/>
    <m/>
    <m/>
    <m/>
    <m/>
    <m/>
    <m/>
    <m/>
    <m/>
    <m/>
    <m/>
    <m/>
    <m/>
    <m/>
    <m/>
    <m/>
    <m/>
    <m/>
    <m/>
    <m/>
    <m/>
    <m/>
    <m/>
    <m/>
    <m/>
    <m/>
    <m/>
    <m/>
    <m/>
    <m/>
    <m/>
    <m/>
    <m/>
    <m/>
    <m/>
    <m/>
    <m/>
    <m/>
    <m/>
    <m/>
    <m/>
    <m/>
    <m/>
    <m/>
    <m/>
    <d v="2015-11-01T00:00:00"/>
    <d v="2017-03-31T00:00:00"/>
    <m/>
    <s v="Humanitarian Food &amp; Nutrition Security and Resilience to Climate Change"/>
    <n v="2400212.71590464"/>
    <s v="Salah Hamwi"/>
    <s v="Program Manager"/>
    <s v="Salah.Hamwi@care.org"/>
    <m/>
    <m/>
    <m/>
    <s v="YES"/>
    <s v="NO"/>
    <s v="NO"/>
    <s v="Urgent and critical food and non food needs of refugees are met and their vulnerabilities reduced"/>
    <s v="Sub-National"/>
    <s v="Turkey - Sanliurfa Province - Birecik and Halfeti districts"/>
    <s v="To contribute to meeting urgent basic needs of vulnerable Syrian refugee women, girls, boys and men in Turkey."/>
    <n v="2926"/>
    <n v="2867"/>
    <n v="5793"/>
    <m/>
    <m/>
    <m/>
    <s v="In order to avoid double counting, this project reports zero participants because project &quot;Information Volunteers...&quot; serves as &quot;umbrella&quot; project for actions funded by ECHO around Basic needs, winterization and protection. In any case, specific data for this project alone in this FY would other ways include:_x000a_Direct: 2,926  women&amp;girls  2,867 men&amp;boys =   5,793  Total_x000a_"/>
    <m/>
    <m/>
    <m/>
    <m/>
    <m/>
    <m/>
    <m/>
    <m/>
    <m/>
    <m/>
    <m/>
    <s v="YES"/>
    <n v="5793"/>
    <n v="0.51"/>
    <m/>
    <m/>
    <m/>
    <m/>
    <m/>
    <m/>
    <m/>
    <m/>
    <m/>
    <m/>
    <m/>
    <m/>
    <m/>
    <m/>
    <m/>
    <m/>
    <m/>
    <m/>
    <m/>
    <m/>
    <m/>
    <m/>
    <m/>
    <m/>
    <m/>
    <m/>
    <m/>
    <m/>
    <m/>
    <m/>
    <m/>
    <m/>
    <m/>
    <m/>
    <m/>
    <m/>
    <m/>
    <m/>
    <m/>
    <m/>
    <m/>
    <m/>
    <m/>
    <m/>
    <m/>
    <m/>
    <m/>
    <m/>
    <m/>
    <m/>
    <m/>
    <m/>
    <m/>
    <m/>
    <m/>
    <m/>
    <m/>
    <m/>
    <m/>
    <m/>
    <m/>
    <m/>
    <m/>
    <m/>
    <m/>
    <m/>
    <m/>
    <m/>
    <m/>
    <m/>
    <m/>
    <m/>
    <m/>
    <m/>
    <m/>
    <m/>
    <m/>
    <m/>
    <m/>
    <m/>
    <m/>
    <m/>
    <m/>
    <m/>
    <m/>
    <m/>
    <m/>
    <m/>
    <m/>
    <m/>
    <m/>
    <m/>
    <m/>
    <m/>
    <m/>
    <m/>
    <m/>
    <m/>
    <m/>
    <m/>
    <m/>
    <m/>
    <m/>
    <m/>
    <m/>
    <m/>
    <m/>
    <m/>
    <m/>
    <m/>
    <m/>
    <m/>
    <m/>
    <m/>
    <m/>
    <m/>
    <m/>
    <m/>
    <m/>
    <m/>
    <m/>
    <s v="YES"/>
    <s v="March"/>
    <n v="2017"/>
    <s v="YES"/>
    <s v="NO"/>
    <m/>
    <m/>
    <s v="This project has been completed and no same future project amd the evaluation for this project has been completed in this fisical year"/>
    <x v="1"/>
    <s v="NO"/>
    <s v="NO"/>
    <s v="YES"/>
    <s v="NO"/>
    <s v="YES"/>
    <s v="YES"/>
    <s v="YES"/>
    <s v="NO"/>
    <m/>
    <x v="1"/>
    <s v="Through Providing providing basic needs  e-vouchers that covers most of family monthly basic needs"/>
    <x v="0"/>
    <m/>
    <x v="2"/>
    <x v="1"/>
    <m/>
    <x v="2"/>
    <x v="2"/>
    <x v="2"/>
    <x v="3"/>
    <n v="0"/>
    <x v="0"/>
    <x v="0"/>
    <x v="0"/>
    <x v="0"/>
    <x v="0"/>
    <x v="0"/>
    <n v="0"/>
    <x v="0"/>
    <x v="0"/>
    <x v="0"/>
    <x v="0"/>
    <x v="0"/>
    <n v="0"/>
    <x v="0"/>
    <x v="1"/>
    <m/>
    <m/>
    <m/>
    <m/>
    <x v="3"/>
    <m/>
    <m/>
    <m/>
    <m/>
    <m/>
    <s v="Working in areas where CARE registered will enable to us to have sub-office in the area - second solution would be to hire staff/volunteers from the area of operation where they can access field easily."/>
    <s v="Push more the e voucher supplier to offer us better commission % so the shopkeepers costs will be less."/>
    <s v="Contracting with more shops in order to increase the competency"/>
    <s v="In order to avoid double counting, this project reports zero participants because project &quot;Information Volunteers...&quot; serves as &quot;umbrella&quot; project for actions funded by ECHO around Basic needs, winterization and protection. In any case, specific data for this project alone in this FY would other ways include:_x000a_Direct: 2,926  women&amp;girls  2,867 men&amp;boys =   5,793  Total_x000a_"/>
    <m/>
    <n v="0"/>
    <n v="0"/>
    <s v=""/>
    <s v=""/>
    <s v=""/>
    <n v="0"/>
    <n v="0"/>
    <n v="1"/>
    <n v="0"/>
    <n v="0"/>
    <s v=""/>
    <s v=""/>
    <n v="0"/>
    <n v="0"/>
    <s v=""/>
    <s v=""/>
    <n v="0"/>
    <n v="0"/>
    <s v=""/>
    <s v=""/>
    <n v="0"/>
    <n v="0"/>
    <s v=""/>
    <s v=""/>
    <n v="0"/>
    <n v="0"/>
    <s v=""/>
    <s v="No marker score"/>
    <s v="No marker score"/>
    <s v="No marker score"/>
    <s v="It tested new ways for fighting poverty, but did not measure results of innovation"/>
    <s v="Moderate advocacy"/>
    <s v="It did not take tested solutions to scale"/>
  </r>
  <r>
    <x v="75"/>
    <x v="1"/>
    <n v="3686"/>
    <s v="Urgent winterization needs of highly vulnerable refugees in Turkey"/>
    <s v="Turkey"/>
    <m/>
    <s v="CARE UK"/>
    <s v="Corporation"/>
    <m/>
    <s v="ECHO"/>
    <m/>
    <m/>
    <m/>
    <m/>
    <m/>
    <m/>
    <m/>
    <m/>
    <m/>
    <m/>
    <m/>
    <m/>
    <m/>
    <m/>
    <m/>
    <m/>
    <m/>
    <m/>
    <m/>
    <m/>
    <m/>
    <m/>
    <m/>
    <m/>
    <m/>
    <m/>
    <m/>
    <m/>
    <m/>
    <m/>
    <m/>
    <m/>
    <m/>
    <m/>
    <m/>
    <m/>
    <m/>
    <m/>
    <m/>
    <m/>
    <m/>
    <m/>
    <m/>
    <m/>
    <m/>
    <d v="2016-10-01T00:00:00"/>
    <d v="2017-02-28T00:00:00"/>
    <m/>
    <s v="Humanitarian Other"/>
    <n v="1325736.1650972101"/>
    <s v="Salah Hamwi"/>
    <s v="Program Manager"/>
    <s v="Salah.Hamwi@care.org"/>
    <s v="Sharmeela Aminath"/>
    <s v="Project Manager"/>
    <s v="Aminath.Sharmeela@care.org"/>
    <s v="YES"/>
    <s v="NO"/>
    <s v="NO"/>
    <s v="Urgent and critical winterization needs of refugees are met and their vulnerabilities reduced"/>
    <s v="Sub-National"/>
    <s v="Turkey - Sanliurfa Province - Birecik and Halfeti districts, Turkey - Ankara Province - Beypazari, Altindag, Polatli and Haymana districts"/>
    <s v="To contribute to meeting urgent winterization needs of vulnerable refugee women, girls, boys and men in Turkey."/>
    <n v="13037"/>
    <n v="13506"/>
    <n v="26543"/>
    <m/>
    <m/>
    <m/>
    <s v="In order to avoid double counting, this project reports zero participants because project &quot;Information Volunteers...&quot; serves as &quot;umbrella&quot; project for actions funded by ECHO around Basic needs, winterization and protection. In any case, specific data for this project alone in this FY would other ways include:_x000a_Direct: 13,037  women&amp;girls  13,506 men&amp;boys =   26,543  Total_x000a_"/>
    <m/>
    <m/>
    <m/>
    <m/>
    <m/>
    <m/>
    <m/>
    <m/>
    <m/>
    <m/>
    <m/>
    <s v="YES"/>
    <n v="26543"/>
    <n v="0.49"/>
    <m/>
    <m/>
    <m/>
    <m/>
    <m/>
    <m/>
    <m/>
    <m/>
    <m/>
    <m/>
    <m/>
    <m/>
    <m/>
    <m/>
    <m/>
    <m/>
    <m/>
    <m/>
    <m/>
    <m/>
    <m/>
    <m/>
    <m/>
    <m/>
    <m/>
    <m/>
    <m/>
    <m/>
    <m/>
    <m/>
    <m/>
    <m/>
    <m/>
    <m/>
    <m/>
    <m/>
    <m/>
    <m/>
    <m/>
    <m/>
    <m/>
    <m/>
    <m/>
    <m/>
    <m/>
    <m/>
    <m/>
    <m/>
    <m/>
    <m/>
    <m/>
    <m/>
    <m/>
    <m/>
    <m/>
    <m/>
    <m/>
    <m/>
    <m/>
    <m/>
    <m/>
    <m/>
    <m/>
    <m/>
    <m/>
    <m/>
    <m/>
    <m/>
    <m/>
    <m/>
    <m/>
    <m/>
    <m/>
    <m/>
    <m/>
    <m/>
    <m/>
    <m/>
    <m/>
    <m/>
    <m/>
    <m/>
    <m/>
    <m/>
    <m/>
    <m/>
    <m/>
    <m/>
    <m/>
    <m/>
    <m/>
    <m/>
    <m/>
    <m/>
    <m/>
    <m/>
    <m/>
    <m/>
    <m/>
    <m/>
    <m/>
    <m/>
    <m/>
    <m/>
    <m/>
    <m/>
    <m/>
    <m/>
    <m/>
    <m/>
    <m/>
    <m/>
    <m/>
    <m/>
    <m/>
    <m/>
    <m/>
    <m/>
    <m/>
    <m/>
    <m/>
    <s v="YES"/>
    <s v="November"/>
    <n v="2016"/>
    <s v="YES"/>
    <s v="NO"/>
    <m/>
    <m/>
    <m/>
    <x v="1"/>
    <s v="NO"/>
    <s v="NO"/>
    <s v="YES"/>
    <s v="NO"/>
    <s v="YES"/>
    <s v="YES"/>
    <s v="YES"/>
    <s v="NO"/>
    <m/>
    <x v="1"/>
    <s v="Through Providing providing winterization  e-vouchers that covers most of family monthly winter needs"/>
    <x v="0"/>
    <m/>
    <x v="2"/>
    <x v="1"/>
    <m/>
    <x v="2"/>
    <x v="2"/>
    <x v="2"/>
    <x v="3"/>
    <n v="0"/>
    <x v="0"/>
    <x v="0"/>
    <x v="0"/>
    <x v="0"/>
    <x v="0"/>
    <x v="0"/>
    <n v="0"/>
    <x v="0"/>
    <x v="0"/>
    <x v="0"/>
    <x v="0"/>
    <x v="0"/>
    <n v="0"/>
    <x v="0"/>
    <x v="0"/>
    <n v="1"/>
    <s v="Local NGO(s)/CSO(s)"/>
    <m/>
    <m/>
    <x v="2"/>
    <m/>
    <m/>
    <m/>
    <m/>
    <m/>
    <s v="Working in areas where CARE registered will enable to us to have sub-office in the area - second solution would be to hire staff/volunteers from the area of operation where they can access field easily."/>
    <s v="To advocate through the winterization task force to identify different modalities for distributing cash as response to winter need"/>
    <s v="Identify secured or big space for distribution to get all the beneficiaries inside, in the bad weather"/>
    <s v="In order to avoid double counting, this project reports zero participants because project &quot;Information Volunteers...&quot; serves as &quot;umbrella&quot; project for actions funded by ECHO around Basic needs, winterization and protection. In any case, specific data for this project alone in this FY would other ways include:_x000a_Direct: 13,037  women&amp;girls  13,506 men&amp;boys =   26,543  Total_x000a_"/>
    <m/>
    <n v="0"/>
    <n v="0"/>
    <s v=""/>
    <s v=""/>
    <s v=""/>
    <n v="0"/>
    <n v="0"/>
    <n v="1"/>
    <n v="0"/>
    <n v="0"/>
    <s v=""/>
    <s v=""/>
    <n v="0"/>
    <n v="0"/>
    <s v=""/>
    <s v=""/>
    <n v="0"/>
    <n v="0"/>
    <s v=""/>
    <s v=""/>
    <n v="0"/>
    <n v="0"/>
    <s v=""/>
    <s v=""/>
    <n v="0"/>
    <n v="0"/>
    <s v=""/>
    <s v="No marker score"/>
    <s v="No marker score"/>
    <s v="No marker score"/>
    <s v="It tested new ways for fighting poverty, but did not measure results of innovation"/>
    <s v="Moderate advocacy"/>
    <s v="It did not take tested solutions to scale"/>
  </r>
  <r>
    <x v="76"/>
    <x v="3"/>
    <n v="3442"/>
    <s v="BARCLAYS PROJECT LINK"/>
    <s v="Uganda"/>
    <s v="CGBRUG0074"/>
    <s v="CARE UK"/>
    <s v="Other"/>
    <s v="Other"/>
    <s v="Barclays Bank"/>
    <m/>
    <m/>
    <m/>
    <m/>
    <m/>
    <m/>
    <m/>
    <m/>
    <m/>
    <m/>
    <m/>
    <m/>
    <m/>
    <m/>
    <m/>
    <m/>
    <m/>
    <m/>
    <m/>
    <m/>
    <m/>
    <m/>
    <m/>
    <m/>
    <m/>
    <m/>
    <m/>
    <m/>
    <m/>
    <m/>
    <m/>
    <m/>
    <m/>
    <m/>
    <m/>
    <m/>
    <m/>
    <m/>
    <m/>
    <m/>
    <m/>
    <m/>
    <m/>
    <m/>
    <m/>
    <d v="2016-04-05T00:00:00"/>
    <d v="2017-03-05T00:00:00"/>
    <m/>
    <s v="Development Access to and Control over Economic Resources"/>
    <n v="332932"/>
    <s v="Delphine Mugisha"/>
    <s v="Program Director"/>
    <s v="Delphine.Mugisha@care.org"/>
    <m/>
    <m/>
    <m/>
    <s v="NO"/>
    <s v="YES"/>
    <s v="NO"/>
    <s v="Scaling up with Digital Financial Financial Services through Ledger Link and E-Keys innovations"/>
    <s v="National"/>
    <s v="West Nile region, Eastern Region in Teso, Busia, Bugiri, Iganga districts,  and Kasese and Kabrole districts."/>
    <s v="Both women, men and youth (18-35 yrs) in mature VSLA groups."/>
    <n v="13800"/>
    <n v="6200"/>
    <n v="20000"/>
    <n v="55200"/>
    <n v="24800"/>
    <n v="80000"/>
    <s v="The direct are members of the Community Saving and credit group. The Indirect beneficiaries are Household Members computed using the average national Household size according to the national census 2014 which is 5 members perHH. Indirect Benficiary=(Direct Beneficiaries*5)- Direct Beneficiaries."/>
    <m/>
    <m/>
    <m/>
    <m/>
    <m/>
    <m/>
    <m/>
    <m/>
    <m/>
    <m/>
    <m/>
    <m/>
    <m/>
    <m/>
    <m/>
    <m/>
    <m/>
    <m/>
    <m/>
    <m/>
    <m/>
    <m/>
    <m/>
    <m/>
    <m/>
    <m/>
    <m/>
    <m/>
    <m/>
    <m/>
    <m/>
    <m/>
    <m/>
    <m/>
    <m/>
    <m/>
    <m/>
    <m/>
    <m/>
    <m/>
    <m/>
    <m/>
    <m/>
    <m/>
    <m/>
    <m/>
    <m/>
    <m/>
    <m/>
    <m/>
    <m/>
    <m/>
    <m/>
    <m/>
    <m/>
    <m/>
    <m/>
    <m/>
    <m/>
    <m/>
    <n v="3010"/>
    <n v="1290"/>
    <n v="4300"/>
    <n v="12040"/>
    <n v="5160"/>
    <n v="17200"/>
    <s v="NO"/>
    <m/>
    <m/>
    <m/>
    <s v="NO"/>
    <m/>
    <m/>
    <m/>
    <s v="NO"/>
    <m/>
    <m/>
    <m/>
    <s v="NO"/>
    <m/>
    <m/>
    <m/>
    <s v="YES"/>
    <n v="4300"/>
    <n v="0.7"/>
    <n v="17200"/>
    <s v="NO"/>
    <m/>
    <m/>
    <m/>
    <s v="NO"/>
    <m/>
    <m/>
    <m/>
    <s v="NO"/>
    <m/>
    <m/>
    <m/>
    <s v="NO"/>
    <m/>
    <m/>
    <m/>
    <s v="NO"/>
    <m/>
    <m/>
    <m/>
    <s v="NO"/>
    <m/>
    <m/>
    <m/>
    <s v="NO"/>
    <m/>
    <m/>
    <m/>
    <s v="NO"/>
    <m/>
    <m/>
    <m/>
    <s v="NO"/>
    <m/>
    <m/>
    <m/>
    <s v="NO"/>
    <m/>
    <m/>
    <m/>
    <s v="YES"/>
    <n v="4300"/>
    <n v="0.7"/>
    <n v="17200"/>
    <m/>
    <m/>
    <m/>
    <m/>
    <m/>
    <s v="NO"/>
    <m/>
    <m/>
    <s v="NO"/>
    <s v="NO"/>
    <m/>
    <m/>
    <s v="N/A"/>
    <x v="1"/>
    <s v="YES"/>
    <s v="NO"/>
    <s v="YES"/>
    <s v="NO"/>
    <s v="YES"/>
    <s v="YES"/>
    <s v="NO"/>
    <s v="YES"/>
    <s v="Engaging Private Sector to develop digitalized financial products meeting the needs of the rural community"/>
    <x v="2"/>
    <s v="Developed VSLA saving products using electronic Keys, VSLA over drafts and electronic record keeping termed as ledger Link"/>
    <x v="1"/>
    <s v="Tested VSLA saving products using electronic Keys, VSLA over drafts and electronic record keeping termed as ledger Link"/>
    <x v="1"/>
    <x v="0"/>
    <s v="YES"/>
    <x v="0"/>
    <x v="0"/>
    <x v="0"/>
    <x v="0"/>
    <n v="4"/>
    <x v="1"/>
    <x v="1"/>
    <x v="1"/>
    <x v="1"/>
    <x v="1"/>
    <x v="1"/>
    <n v="4"/>
    <x v="1"/>
    <x v="1"/>
    <x v="1"/>
    <x v="1"/>
    <x v="1"/>
    <n v="3"/>
    <x v="2"/>
    <x v="2"/>
    <n v="2"/>
    <m/>
    <m/>
    <m/>
    <x v="2"/>
    <s v="This was done through staff training, mentoring, coaching and close monitoring support."/>
    <m/>
    <s v="VSLA Model"/>
    <s v="Digital VSLA products using Electronic Keys"/>
    <s v="Electronic Record Keeping termed as Ledger Link"/>
    <s v="Projects testing technology or new innovations need time to test it before rolling it out to communities"/>
    <m/>
    <m/>
    <s v="The number of people reached in the sectors of economic development and women empowerment is the same because they are exactly the same people reached in both sectors, so the numbers should not be cummulated."/>
    <s v="VSLA MIS Reports, http://www.finance.go.ug/tier-4-microfinance-institutions-money-lenders-act-2016/-The Tier 4 policy microfinance and money lenders Act 2016, Barclays Bank MOU"/>
    <n v="4300"/>
    <n v="17200"/>
    <n v="4"/>
    <n v="0.7"/>
    <n v="0.7"/>
    <n v="3010"/>
    <n v="12040"/>
    <s v=""/>
    <n v="0"/>
    <n v="0"/>
    <s v=""/>
    <n v="1"/>
    <n v="4300"/>
    <n v="17200"/>
    <n v="4"/>
    <s v=""/>
    <n v="0"/>
    <n v="0"/>
    <s v=""/>
    <s v=""/>
    <n v="0"/>
    <n v="0"/>
    <s v=""/>
    <n v="1"/>
    <n v="4300"/>
    <n v="17200"/>
    <n v="4"/>
    <s v="2. Sensitive"/>
    <s v="2. Accommodating"/>
    <s v="2. Sensitive"/>
    <s v="It tested new ways for fighting poverty and measured results of innovation"/>
    <s v="Moderate advocacy"/>
    <s v="It linked and worked with strategic alliances and partners to take tested and effective solutions to scale"/>
  </r>
  <r>
    <x v="76"/>
    <x v="3"/>
    <n v="3441"/>
    <s v="Digital Sub-Wallets for Increased Financial Empowerment of Women"/>
    <s v="Uganda"/>
    <s v="GATEUG0006"/>
    <s v="CARE USA"/>
    <s v="Foundation"/>
    <s v="Other"/>
    <s v="Bill &amp; Melinda Gates Foundation"/>
    <m/>
    <m/>
    <m/>
    <m/>
    <m/>
    <m/>
    <m/>
    <m/>
    <m/>
    <m/>
    <m/>
    <m/>
    <m/>
    <m/>
    <m/>
    <m/>
    <m/>
    <m/>
    <m/>
    <m/>
    <m/>
    <m/>
    <m/>
    <m/>
    <m/>
    <m/>
    <m/>
    <m/>
    <m/>
    <m/>
    <m/>
    <m/>
    <m/>
    <m/>
    <m/>
    <m/>
    <m/>
    <m/>
    <m/>
    <m/>
    <m/>
    <m/>
    <m/>
    <m/>
    <m/>
    <d v="2016-01-01T00:00:00"/>
    <d v="2019-12-31T00:00:00"/>
    <m/>
    <s v="Development Access to and Control over Economic Resources"/>
    <n v="798062"/>
    <s v="Melch Natukunda"/>
    <s v="Initiative Manager"/>
    <s v="Melch.Natukunda@care.org"/>
    <m/>
    <m/>
    <m/>
    <s v="NO"/>
    <s v="YES"/>
    <s v="NO"/>
    <s v="Women  have equitable influence over household financial decisions and to use mobile financial technology to improve their own and their familys opportunities and lives."/>
    <s v="Sub-National"/>
    <s v="Western Uganda ( Bushenyi and Rubirizi)"/>
    <s v="Women in existing VSLA groups (VSLA)"/>
    <n v="1213"/>
    <n v="953"/>
    <n v="2166"/>
    <n v="4852"/>
    <n v="3812"/>
    <n v="8664"/>
    <s v="The direct are members of the Community Saving and credit group. The Indirect beneficiaries are Household Members computed using the average national Household size according to the national census 2014 which is 5 members perHH. Indirect Benficiary=(Direct Beneficiaries*5)- Direct Beneficiaries."/>
    <m/>
    <m/>
    <m/>
    <m/>
    <m/>
    <m/>
    <m/>
    <m/>
    <m/>
    <m/>
    <m/>
    <m/>
    <m/>
    <m/>
    <m/>
    <m/>
    <m/>
    <m/>
    <m/>
    <m/>
    <m/>
    <m/>
    <m/>
    <m/>
    <m/>
    <m/>
    <m/>
    <m/>
    <m/>
    <m/>
    <m/>
    <m/>
    <m/>
    <m/>
    <m/>
    <m/>
    <m/>
    <m/>
    <m/>
    <m/>
    <m/>
    <m/>
    <m/>
    <m/>
    <m/>
    <m/>
    <m/>
    <m/>
    <m/>
    <m/>
    <m/>
    <m/>
    <m/>
    <m/>
    <m/>
    <m/>
    <m/>
    <m/>
    <m/>
    <m/>
    <n v="497"/>
    <n v="213"/>
    <n v="710"/>
    <n v="1988"/>
    <n v="852"/>
    <n v="2840"/>
    <s v="NO"/>
    <m/>
    <m/>
    <m/>
    <s v="NO"/>
    <m/>
    <m/>
    <m/>
    <s v="NO"/>
    <m/>
    <m/>
    <m/>
    <s v="NO"/>
    <m/>
    <m/>
    <m/>
    <s v="YES"/>
    <n v="710"/>
    <n v="0.7"/>
    <n v="2840"/>
    <s v="NO"/>
    <m/>
    <m/>
    <m/>
    <s v="NO"/>
    <m/>
    <m/>
    <m/>
    <s v="YES"/>
    <n v="4"/>
    <n v="1"/>
    <n v="16"/>
    <s v="YES"/>
    <n v="241"/>
    <n v="0.804979253112033"/>
    <n v="964"/>
    <s v="NO"/>
    <m/>
    <m/>
    <m/>
    <s v="NO"/>
    <m/>
    <m/>
    <m/>
    <s v="NO"/>
    <m/>
    <m/>
    <m/>
    <s v="NO"/>
    <m/>
    <m/>
    <m/>
    <s v="NO"/>
    <m/>
    <m/>
    <m/>
    <s v="NO"/>
    <m/>
    <m/>
    <m/>
    <s v="YES"/>
    <n v="710"/>
    <n v="0.7"/>
    <n v="2840"/>
    <m/>
    <m/>
    <m/>
    <m/>
    <m/>
    <s v="NO"/>
    <m/>
    <m/>
    <s v="NO"/>
    <s v="NO"/>
    <m/>
    <m/>
    <m/>
    <x v="1"/>
    <s v="YES"/>
    <s v="NO"/>
    <s v="YES"/>
    <s v="NO"/>
    <s v="YES"/>
    <s v="NO"/>
    <s v="NO"/>
    <s v="YES"/>
    <s v="Enganging Formal Financial Sectors to develop products that meet the needs of the rural women."/>
    <x v="2"/>
    <s v="Developed Digitalised subwallets for women"/>
    <x v="1"/>
    <s v="Tested the uptake and utilization of the digital subwallet among women in Bushenyi"/>
    <x v="1"/>
    <x v="1"/>
    <s v="YES"/>
    <x v="0"/>
    <x v="0"/>
    <x v="0"/>
    <x v="2"/>
    <n v="4"/>
    <x v="1"/>
    <x v="1"/>
    <x v="1"/>
    <x v="1"/>
    <x v="1"/>
    <x v="1"/>
    <n v="4"/>
    <x v="1"/>
    <x v="1"/>
    <x v="1"/>
    <x v="1"/>
    <x v="1"/>
    <n v="3"/>
    <x v="2"/>
    <x v="2"/>
    <n v="4"/>
    <s v="University/research institution(s)"/>
    <s v="Local NGO(s)/CSO(s)"/>
    <s v="Private sector"/>
    <x v="2"/>
    <s v="Built capacity of Implementing partner organisation  on digital sub wallets and househould financial counselling. The Partner were also coached and mentored throug IPO support visits."/>
    <m/>
    <s v="VSLA Model"/>
    <s v="Digital Sub-Wallets"/>
    <s v="Gender, Financial and  Household Dialogues/Counselling, GBV Refferal Mechanism"/>
    <s v="Conduction of Gender Analysis was critical for identifying cultural and social norms affecting the communities"/>
    <s v="Gender, Financial and Household Dialogues enables household toaddress power issues and improve financial relationship with in the households"/>
    <s v="The major challenges hindering uptake of new technologies include roll out of un tested technologies in community which still have bugs that need to be fix, high digital illeteracy with out a contigency plan in place to address it and mobile technology charges even on failed transactions."/>
    <s v="The number of people reached in the sectors of economic development and women empowerment is the samilar because they are exactly the same people reached in both sectors, so the numbers should not be cummulated."/>
    <s v="Pilot Baseline report, End of pilot phase report, and draft gender Analysis report, Gates Annual Report"/>
    <n v="710"/>
    <n v="2840"/>
    <n v="4"/>
    <n v="0.7"/>
    <n v="0.7"/>
    <n v="497"/>
    <n v="1988"/>
    <s v=""/>
    <n v="0"/>
    <n v="0"/>
    <s v=""/>
    <n v="1"/>
    <n v="710"/>
    <n v="2840"/>
    <n v="4"/>
    <s v=""/>
    <n v="0"/>
    <n v="0"/>
    <s v=""/>
    <n v="1"/>
    <n v="4"/>
    <n v="16"/>
    <n v="4"/>
    <n v="1"/>
    <n v="710"/>
    <n v="2840"/>
    <n v="4"/>
    <s v="4. Transformative"/>
    <s v="2. Accommodating"/>
    <s v="2. Sensitive"/>
    <s v="It tested new ways for fighting poverty and measured results of innovation"/>
    <s v="Moderate advocacy"/>
    <s v="It linked and worked with strategic alliances and partners to take tested and effective solutions to scale"/>
  </r>
  <r>
    <x v="76"/>
    <x v="3"/>
    <n v="3438"/>
    <s v="Digitalized Financial Services for Youth"/>
    <s v="Uganda"/>
    <s v="FSDUUG0001"/>
    <s v="No CARE member related to the project/initiative"/>
    <s v="Multilateral agency"/>
    <s v="Other"/>
    <s v="Financial Sector Deepening Trust"/>
    <m/>
    <m/>
    <m/>
    <m/>
    <m/>
    <m/>
    <m/>
    <m/>
    <m/>
    <m/>
    <m/>
    <m/>
    <m/>
    <m/>
    <m/>
    <m/>
    <m/>
    <m/>
    <m/>
    <m/>
    <m/>
    <m/>
    <m/>
    <m/>
    <m/>
    <m/>
    <m/>
    <m/>
    <m/>
    <m/>
    <m/>
    <m/>
    <m/>
    <m/>
    <m/>
    <m/>
    <m/>
    <m/>
    <m/>
    <m/>
    <m/>
    <m/>
    <m/>
    <m/>
    <m/>
    <d v="2015-09-01T00:00:00"/>
    <d v="2016-12-30T00:00:00"/>
    <d v="2017-04-30T00:00:00"/>
    <s v="Development Access to and Control over Economic Resources"/>
    <n v="284880"/>
    <s v="Delphine Mugisha"/>
    <s v="Program Director"/>
    <s v="Delphine.Mugisha@care.org"/>
    <m/>
    <m/>
    <m/>
    <s v="NO"/>
    <s v="YES"/>
    <s v="NO"/>
    <s v="Rural and peri-urban youth (15-30yrs) in Kibaale district have increased access to financial services and engage meaningfully with the financial market actors for sustainable financial inclusion"/>
    <s v="Sub-National"/>
    <s v="Western Uganda in Kagadi"/>
    <s v="Women and Youth (15-30years)"/>
    <n v="6793"/>
    <n v="5557"/>
    <n v="12350"/>
    <n v="27172"/>
    <n v="22228"/>
    <n v="49400"/>
    <s v="The direct are members of the Community Saving and credit group. The Indirect beneficiaries are Household Members computed using the average national Household size according to the national census 2014 which is 5 members perHH. Indirect Benficiary=(Direct Beneficiaries*5)- Direct Beneficiaries."/>
    <m/>
    <m/>
    <m/>
    <m/>
    <m/>
    <m/>
    <m/>
    <m/>
    <m/>
    <m/>
    <m/>
    <m/>
    <m/>
    <m/>
    <m/>
    <m/>
    <m/>
    <m/>
    <m/>
    <m/>
    <m/>
    <m/>
    <m/>
    <m/>
    <m/>
    <m/>
    <m/>
    <m/>
    <m/>
    <m/>
    <m/>
    <m/>
    <m/>
    <m/>
    <m/>
    <m/>
    <m/>
    <m/>
    <m/>
    <m/>
    <m/>
    <m/>
    <m/>
    <m/>
    <m/>
    <m/>
    <m/>
    <m/>
    <m/>
    <m/>
    <m/>
    <m/>
    <m/>
    <m/>
    <m/>
    <m/>
    <m/>
    <m/>
    <m/>
    <m/>
    <n v="3912.48"/>
    <n v="3611.52"/>
    <n v="7524"/>
    <n v="15649.92"/>
    <n v="14446.08"/>
    <n v="30096"/>
    <s v="NO"/>
    <m/>
    <m/>
    <m/>
    <s v="NO"/>
    <m/>
    <m/>
    <m/>
    <s v="NO"/>
    <m/>
    <m/>
    <m/>
    <s v="NO"/>
    <m/>
    <m/>
    <m/>
    <s v="YES"/>
    <n v="7524"/>
    <n v="0.52"/>
    <n v="30096"/>
    <s v="NO"/>
    <m/>
    <m/>
    <m/>
    <s v="NO"/>
    <m/>
    <m/>
    <m/>
    <s v="NO"/>
    <m/>
    <m/>
    <m/>
    <s v="NO"/>
    <m/>
    <m/>
    <m/>
    <s v="NO"/>
    <m/>
    <m/>
    <m/>
    <s v="NO"/>
    <m/>
    <m/>
    <m/>
    <s v="NO"/>
    <m/>
    <m/>
    <m/>
    <s v="NO"/>
    <m/>
    <m/>
    <m/>
    <s v="NO"/>
    <m/>
    <m/>
    <m/>
    <s v="NO"/>
    <m/>
    <m/>
    <m/>
    <s v="YES"/>
    <n v="7524"/>
    <n v="0.52"/>
    <n v="30096"/>
    <m/>
    <m/>
    <m/>
    <m/>
    <m/>
    <s v="NO"/>
    <m/>
    <m/>
    <s v="NO"/>
    <s v="NO"/>
    <m/>
    <m/>
    <s v="N/A"/>
    <x v="1"/>
    <s v="YES"/>
    <s v="NO"/>
    <s v="YES"/>
    <s v="NO"/>
    <s v="NO"/>
    <s v="YES"/>
    <s v="NO"/>
    <s v="YES"/>
    <s v="Engaging Private Sector to develop digitalized financial products meeting the needs of the youth"/>
    <x v="2"/>
    <s v="Developed digitalised Youth Saving and Loans Association (YSLA) saving product using a three pin digital Platfom and YSLA loan Product."/>
    <x v="1"/>
    <s v="Tested digitalised Youth Saving and Loans Association (YSLA) saving product using a three pin digital Platfom and YSLA loan Product."/>
    <x v="1"/>
    <x v="0"/>
    <s v="YES"/>
    <x v="0"/>
    <x v="0"/>
    <x v="0"/>
    <x v="0"/>
    <n v="4"/>
    <x v="1"/>
    <x v="1"/>
    <x v="1"/>
    <x v="1"/>
    <x v="1"/>
    <x v="1"/>
    <n v="4"/>
    <x v="1"/>
    <x v="1"/>
    <x v="1"/>
    <x v="1"/>
    <x v="1"/>
    <n v="3"/>
    <x v="2"/>
    <x v="2"/>
    <n v="2"/>
    <m/>
    <m/>
    <m/>
    <x v="2"/>
    <s v="coached and Mentoring Implementing partner staff through monitoring and technical back stopping."/>
    <m/>
    <s v="VSLA Model"/>
    <s v="Three pin digitalized YSLA Saving product"/>
    <m/>
    <s v="Engangement of Stakeholders such the Local Government is critical for Project success"/>
    <s v="Addressing cultural and gender norms  at community level is critical for Youth participation in VSLA especially female youth"/>
    <s v="Innovation or technologies which are not tested prior to roll out in the community affect the adoption rate of technologies as youth get demotivated when the technologies keep failiing."/>
    <s v="The number of people reached in the sectors of economic development and women empowerment is the samilar because they are exactly the same people reached in both sectors, so the numbers should not be cummulated."/>
    <s v="The VSLA MIS, Final FSDU report"/>
    <n v="7524"/>
    <n v="30096"/>
    <n v="4"/>
    <n v="0.52"/>
    <n v="0.52"/>
    <n v="3912.48"/>
    <n v="15649.92"/>
    <s v=""/>
    <n v="0"/>
    <n v="0"/>
    <s v=""/>
    <n v="1"/>
    <n v="7524"/>
    <n v="30096"/>
    <n v="4"/>
    <s v=""/>
    <n v="0"/>
    <n v="0"/>
    <s v=""/>
    <s v=""/>
    <n v="0"/>
    <n v="0"/>
    <s v=""/>
    <n v="1"/>
    <n v="7524"/>
    <n v="30096"/>
    <n v="4"/>
    <s v="2. Sensitive"/>
    <s v="2. Accommodating"/>
    <s v="2. Sensitive"/>
    <s v="It tested new ways for fighting poverty and measured results of innovation"/>
    <s v="Moderate advocacy"/>
    <s v="It linked and worked with strategic alliances and partners to take tested and effective solutions to scale"/>
  </r>
  <r>
    <x v="76"/>
    <x v="3"/>
    <m/>
    <s v="Emergency response for refugees, asylum seekers from South Sudan and host communities in Rhino and Imvepi Camps in West-Nile Uganda (2017), with funding from Czech, ECHO-Oxfam, SAFPAC, UNFPA, Norway and UNHCR"/>
    <s v="Uganda"/>
    <s v="ECHO / Oxfam"/>
    <s v="CARE UK"/>
    <s v="Multilateral agency"/>
    <s v="ECHO - European Commission for Humanitarian Aid and Civil Protection"/>
    <s v="ECHO"/>
    <s v="ECHO / MC"/>
    <s v="CARE UK"/>
    <s v="Multilateral agency"/>
    <s v="ECHO - European Commission for Humanitarian Aid and Civil Protection"/>
    <m/>
    <s v="Czech Republic"/>
    <s v="No CARE member related to the project/initiative"/>
    <s v="Government"/>
    <s v="Other"/>
    <s v="Ministry of Foreign Affairs of the Czech Republic (through CARE Czech)"/>
    <s v="UNFPA 1"/>
    <s v="No CARE member related to the project/initiative"/>
    <s v="Multilateral agency"/>
    <s v="UN - United Nations agencies/offices"/>
    <s v="UNFPA"/>
    <s v="UNFPA 2"/>
    <s v="No CARE member related to the project/initiative"/>
    <s v="Multilateral agency"/>
    <s v="UN - United Nations agencies/offices"/>
    <s v="UNFPA"/>
    <m/>
    <m/>
    <m/>
    <m/>
    <m/>
    <m/>
    <m/>
    <m/>
    <m/>
    <m/>
    <m/>
    <m/>
    <m/>
    <m/>
    <m/>
    <m/>
    <m/>
    <m/>
    <m/>
    <m/>
    <m/>
    <m/>
    <m/>
    <m/>
    <m/>
    <d v="2017-01-01T00:00:00"/>
    <d v="2018-10-31T00:00:00"/>
    <m/>
    <s v="Humanitarian Other"/>
    <n v="3466939.16"/>
    <s v="Carly Sheehan"/>
    <s v="Emergency Team Leader"/>
    <s v="Carly.Sheehan@care.org"/>
    <s v="Delphine Pinault"/>
    <s v="Country Director"/>
    <s v="delphine.pinault@care.org"/>
    <s v="YES"/>
    <s v="NO"/>
    <s v="NO"/>
    <s v="Emergency response to South Sudanese Refugees, asylum seekers and Host communities in West Nile, Uganda"/>
    <s v="Sub-National"/>
    <s v="Refugee settlements of Rhino, Imvepi (Arua district), and Bidibidi (Yumbe district) in West Nile region of Uganda"/>
    <s v="Arrived South Sudanese refugees and host communities settled at Rhino, Imvepi and Bidibidi settlements, especially targeting women and girls."/>
    <n v="73667"/>
    <n v="62573"/>
    <n v="136240"/>
    <n v="126437"/>
    <n v="116869"/>
    <n v="243306"/>
    <s v="The direct beneficiaries: (Women and men 18 + years in settlement camps in Arua district; 45,383 being women and girls and 39,432 men and boys) + (30% of host population estimated to be 51425 of the 171415 total host population; 28284 being women and girls and 23141 being men and boys). The indirect beneficiaries: (Refugees in who are 18 years and less, of which 60442 are women and girls and 62874 are men and boys)+ (70% of the host population, 65995 being women and girls and 53995 being men and boys. Where neccesary, we used  a proportion of 55% to estimate women and girls and 45% for men and boys."/>
    <m/>
    <n v="69550"/>
    <n v="35937"/>
    <n v="105487"/>
    <n v="4530"/>
    <n v="32970"/>
    <n v="37500"/>
    <m/>
    <m/>
    <m/>
    <m/>
    <m/>
    <m/>
    <m/>
    <m/>
    <m/>
    <m/>
    <m/>
    <m/>
    <m/>
    <m/>
    <m/>
    <m/>
    <s v="YES"/>
    <n v="512"/>
    <m/>
    <m/>
    <m/>
    <m/>
    <m/>
    <m/>
    <m/>
    <m/>
    <m/>
    <m/>
    <m/>
    <m/>
    <m/>
    <m/>
    <s v="YES"/>
    <n v="6276"/>
    <m/>
    <m/>
    <s v="YES"/>
    <n v="88404"/>
    <m/>
    <m/>
    <s v="YES"/>
    <n v="10295"/>
    <m/>
    <m/>
    <m/>
    <m/>
    <m/>
    <m/>
    <m/>
    <m/>
    <m/>
    <m/>
    <m/>
    <m/>
    <m/>
    <m/>
    <m/>
    <m/>
    <m/>
    <m/>
    <m/>
    <m/>
    <m/>
    <m/>
    <m/>
    <m/>
    <m/>
    <m/>
    <m/>
    <m/>
    <m/>
    <m/>
    <m/>
    <m/>
    <m/>
    <m/>
    <m/>
    <m/>
    <m/>
    <m/>
    <m/>
    <m/>
    <m/>
    <m/>
    <m/>
    <m/>
    <m/>
    <m/>
    <m/>
    <m/>
    <m/>
    <m/>
    <m/>
    <m/>
    <m/>
    <m/>
    <m/>
    <m/>
    <m/>
    <m/>
    <m/>
    <m/>
    <m/>
    <m/>
    <m/>
    <m/>
    <m/>
    <m/>
    <m/>
    <m/>
    <m/>
    <m/>
    <m/>
    <m/>
    <m/>
    <m/>
    <m/>
    <m/>
    <m/>
    <m/>
    <m/>
    <m/>
    <m/>
    <m/>
    <m/>
    <m/>
    <m/>
    <m/>
    <s v="NO"/>
    <m/>
    <m/>
    <s v="NO"/>
    <s v="YES"/>
    <s v="August"/>
    <n v="2017"/>
    <s v="Future projects will make evaluations an integral part of monitoring and evaluation systems; this will allow for programs to be able to summatively demostrate impact of initiatives on project beneficiaries and improve programming practices in emergency settings."/>
    <x v="0"/>
    <s v="NO"/>
    <s v="NO"/>
    <s v="YES"/>
    <s v="YES"/>
    <s v="NO"/>
    <s v="NO"/>
    <s v="NO"/>
    <s v="NO"/>
    <m/>
    <x v="0"/>
    <m/>
    <x v="0"/>
    <m/>
    <x v="1"/>
    <x v="0"/>
    <s v="YES"/>
    <x v="0"/>
    <x v="0"/>
    <x v="0"/>
    <x v="0"/>
    <n v="4"/>
    <x v="3"/>
    <x v="1"/>
    <x v="1"/>
    <x v="1"/>
    <x v="1"/>
    <x v="3"/>
    <n v="4"/>
    <x v="3"/>
    <x v="2"/>
    <x v="1"/>
    <x v="2"/>
    <x v="5"/>
    <n v="1"/>
    <x v="2"/>
    <x v="1"/>
    <m/>
    <m/>
    <m/>
    <m/>
    <x v="1"/>
    <m/>
    <s v="The Humanitarian response has made deliberate efforts to establish a gender responsive Monitoring and Evaluation system; that will enable the initiative to systematically document gender approaches that are currently carried out, and inform future gender mainstreaming activities that are aligned to CARE International standards and objectives."/>
    <s v="Working with and through local government structures"/>
    <s v="Engaging Men"/>
    <s v="Community Mobilisation"/>
    <s v="Emergency scale ups require resourcing in both program and support functions early in a response to ensure quality program delivery and sufficient administrative support."/>
    <s v="Finding space to operate has had its challenges, with UNHCR giving priority to Implementing Partners (i.e. agencies it funds with cash), leaving Operating Partners (like CARE) to negotiate and haggle about finding locations to work"/>
    <s v="A database/spreadsheet to track beneficiary numbers should be established at the start of the response to better systematically track progress against goals."/>
    <s v="The data collected and provided in this form has been pulled together by the response team at the end of the year; it was not systematically tracked throughout the response. Work is ongoing to improve the quality and quantity of SADD in the response."/>
    <m/>
    <n v="105487"/>
    <n v="37500"/>
    <n v="0.35549404191985745"/>
    <n v="0.65932294974736227"/>
    <n v="0.1208"/>
    <n v="69550"/>
    <n v="4530"/>
    <n v="1"/>
    <n v="105487"/>
    <n v="37500"/>
    <n v="0.35549404191985745"/>
    <s v=""/>
    <n v="0"/>
    <n v="0"/>
    <s v=""/>
    <n v="1"/>
    <n v="88404"/>
    <n v="0"/>
    <n v="0"/>
    <n v="1"/>
    <n v="512"/>
    <n v="0"/>
    <n v="0"/>
    <s v=""/>
    <n v="0"/>
    <n v="0"/>
    <s v=""/>
    <s v="2. Sensitive"/>
    <s v="0. Unaware"/>
    <s v="3. Responsive"/>
    <s v="It did not develop any specific innovation"/>
    <s v="Little or no advocacy"/>
    <s v="It did not take tested solutions to scale"/>
  </r>
  <r>
    <x v="76"/>
    <x v="3"/>
    <n v="3435"/>
    <s v="FOREST RESOURCES SECTOR TRANSPARENCY PROGRAMME IN UGANDA (FOREST)"/>
    <s v="Uganda"/>
    <s v="CDNKUG0036/DK116"/>
    <s v="CARE Danmark"/>
    <s v="Government"/>
    <s v="Government - Denmark"/>
    <s v="DANIDA"/>
    <m/>
    <m/>
    <m/>
    <m/>
    <m/>
    <m/>
    <m/>
    <m/>
    <m/>
    <m/>
    <m/>
    <m/>
    <m/>
    <m/>
    <m/>
    <m/>
    <m/>
    <m/>
    <m/>
    <m/>
    <m/>
    <m/>
    <m/>
    <m/>
    <m/>
    <m/>
    <m/>
    <m/>
    <m/>
    <m/>
    <m/>
    <m/>
    <m/>
    <m/>
    <m/>
    <m/>
    <m/>
    <m/>
    <m/>
    <m/>
    <m/>
    <m/>
    <m/>
    <m/>
    <m/>
    <d v="2013-04-01T00:00:00"/>
    <d v="2017-12-31T00:00:00"/>
    <m/>
    <s v="Development Food &amp; Nutrition Security and Resilience to Climate Change"/>
    <n v="38411210"/>
    <s v="Annet Kandole Balewa"/>
    <s v="Manager FOREST Sub-Programme"/>
    <s v="Annet.kandole@care.org"/>
    <s v="Delphine Norah Mugisha"/>
    <s v="Programme Director"/>
    <s v="Delphine.Mugisha@care.org"/>
    <s v="NO"/>
    <s v="YES"/>
    <s v="NO"/>
    <s v="Civil society has increased transparency, accountability and responsiveness in forest governance to the benefit of poor Ugandan citizens (men and women)"/>
    <s v="National"/>
    <s v="Albertine Rift Region Districts of Kiryandongo, Masindi, Buliisa, Hoima, Kibale, Kyenjojo, Kyegegwa, Mubende and Kabarole"/>
    <s v="Forest Adjacent communities (poor men and women)"/>
    <n v="34500"/>
    <n v="80500"/>
    <n v="115000"/>
    <n v="138000"/>
    <n v="322000"/>
    <n v="460000"/>
    <s v="Direct participants are individuals who live in Parishes adjacent to forest reserves. A parish is the penultimate administrative level in Uganda. Direct partiipants also include individuals who participate in project activities such as meetings at the sub-county, district and national levels. The indirect are those reached by participants who directly participate in/benefit from project activities (It is assumed that each direct participant in the project reaches 4 other people in their household. This is arrived at from the National Housing and population census 2014 which placed each household size in Uganda to be 5 persons on average.  Indirect may also individuals reached via social and mass media platforms. The project began using such media for its advocacy platform in the past fiscal year."/>
    <m/>
    <m/>
    <m/>
    <m/>
    <m/>
    <m/>
    <m/>
    <m/>
    <m/>
    <m/>
    <m/>
    <m/>
    <m/>
    <m/>
    <m/>
    <m/>
    <m/>
    <m/>
    <m/>
    <m/>
    <m/>
    <m/>
    <m/>
    <m/>
    <m/>
    <m/>
    <m/>
    <m/>
    <m/>
    <m/>
    <m/>
    <m/>
    <m/>
    <m/>
    <m/>
    <m/>
    <m/>
    <m/>
    <m/>
    <m/>
    <m/>
    <m/>
    <m/>
    <m/>
    <m/>
    <m/>
    <m/>
    <m/>
    <m/>
    <m/>
    <m/>
    <m/>
    <m/>
    <m/>
    <m/>
    <m/>
    <m/>
    <m/>
    <m/>
    <m/>
    <n v="1389"/>
    <n v="3168"/>
    <n v="4557"/>
    <n v="5556"/>
    <n v="12672"/>
    <n v="18228"/>
    <s v="NO"/>
    <m/>
    <m/>
    <m/>
    <s v="YES"/>
    <n v="4557"/>
    <n v="0.30480579328505503"/>
    <n v="18228"/>
    <s v="NO"/>
    <m/>
    <m/>
    <m/>
    <s v="NO"/>
    <m/>
    <m/>
    <m/>
    <s v="YES"/>
    <n v="96"/>
    <n v="0.30199999999999999"/>
    <n v="384"/>
    <s v="NO"/>
    <m/>
    <m/>
    <m/>
    <s v="NO"/>
    <m/>
    <m/>
    <m/>
    <s v="NO"/>
    <m/>
    <m/>
    <m/>
    <s v="NO"/>
    <m/>
    <m/>
    <m/>
    <s v="NO"/>
    <m/>
    <m/>
    <m/>
    <s v="NO"/>
    <m/>
    <m/>
    <m/>
    <s v="YES"/>
    <n v="4557"/>
    <n v="0.30480579328505503"/>
    <n v="18228"/>
    <s v="YES"/>
    <n v="4557"/>
    <n v="0.30480579328505503"/>
    <n v="18228"/>
    <s v="NO"/>
    <m/>
    <m/>
    <m/>
    <s v="NO"/>
    <m/>
    <m/>
    <m/>
    <s v="NO"/>
    <m/>
    <m/>
    <m/>
    <m/>
    <s v="NO"/>
    <m/>
    <m/>
    <m/>
    <s v="YES"/>
    <s v="May"/>
    <n v="2017"/>
    <s v="YES"/>
    <s v="YES"/>
    <s v="November"/>
    <n v="2017"/>
    <s v="Final evaluation till the project team decides whether or not the impact study for the project can consitute a final evaluation"/>
    <x v="2"/>
    <s v="NO"/>
    <s v="NO"/>
    <m/>
    <s v="YES"/>
    <s v="NO"/>
    <m/>
    <s v="YES"/>
    <s v="YES"/>
    <s v="Advocacy against practices that undermine existing polices. For example, issuing of land titles in forests that have been designated by policy as forest reserves without following due process of degazettment  (gazettment - when a portion of land is designated as a forest reserve managed by the govenrment for the people); Government trying to establish crop plantation in areas designated as forest reserves."/>
    <x v="0"/>
    <m/>
    <x v="1"/>
    <s v="(1) social media advocacy : using social media like twitter to promote advocacy around the undermining of exisiting policy and the Government's decision to use forest reserves for crop plantation (2) Working with private sector companies specifically tea companines to create shared value ecosytems in which these companies invest in the work CARE does around environmental sustainbility and simultaneously improve their ability to make a profit."/>
    <x v="0"/>
    <x v="0"/>
    <s v="NO"/>
    <x v="0"/>
    <x v="0"/>
    <x v="1"/>
    <x v="1"/>
    <n v="2"/>
    <x v="2"/>
    <x v="1"/>
    <x v="1"/>
    <x v="1"/>
    <x v="1"/>
    <x v="2"/>
    <n v="4"/>
    <x v="1"/>
    <x v="1"/>
    <x v="1"/>
    <x v="1"/>
    <x v="1"/>
    <n v="3"/>
    <x v="0"/>
    <x v="3"/>
    <n v="5"/>
    <s v="Local NGO(s)/CSO(s)"/>
    <s v="Media or journalist network(s)"/>
    <s v="National government"/>
    <x v="0"/>
    <s v="CARE conducted a social media tralning for the partners which provided them with knowledge and skills in conducting social media compaigns."/>
    <s v="The project initiated to engagements with private sector institutions to further enhance progress towards achievement of its objectives. A Private Sector Advisor was employed to develop a private sector strategy and spearhead engagements with Private Sector  "/>
    <s v="Community Based Monitoring Model through the use of Information Communication Technology"/>
    <s v="Investigative Journalism"/>
    <s v="Networking and Alliance building as well as engaging duty bears (government) through a non-confrontational manner."/>
    <s v="Alliance building and networking between CSOs and selected individuals or departments within the target government enhances quick achievement of advocacy results, maintains long term relations for future engagements.  Based on this lession, CARE and the project and partners are working together with government to put in place a Benefit sharing guideline in Central Forest Reserves; operationalizing the Tree Fund and resolving the issue of illegal titles in forest reserves.   "/>
    <s v="Investigative Journalism produces credibale evidence that helps to sustain advocacy efforts and the demand for justice. It is through evidence generated from investigative journalism that the project has been able to sustain the campaign against issuance of illegal land tiltles in forest reserves and to demand for cancellation of those already issued. The campaign has been picked by the Commission of Inquiry on Land matters that was constitued by the Cabinet."/>
    <s v="The use of Social media is very effective in mobilzing the masses against degradation of natural resources. During the FY a total of 15,319,157 people were indirectly reached through twItter. Through this campaign the degradation of Zoka forest reserve was haulted and government cancelled 154 land titles issued in forest reserves.    "/>
    <s v="(1)The project also works at The district level not just the national (2) The numbers for development sectors cannot be divided up all participants contribute to all the sectors that were reported."/>
    <s v="FOREST Programme Harmonized Monitoring and Evaluation Framework; FOREST Quarterly Progress Reports for FY17; FOREST Impact Study Report 2017."/>
    <n v="4557"/>
    <n v="18228"/>
    <n v="4"/>
    <n v="0.30480579328505597"/>
    <n v="0.30480579328505597"/>
    <n v="1389"/>
    <n v="5556"/>
    <s v=""/>
    <n v="0"/>
    <n v="0"/>
    <s v=""/>
    <n v="1"/>
    <n v="4557"/>
    <n v="18228"/>
    <n v="4"/>
    <s v=""/>
    <n v="0"/>
    <n v="0"/>
    <s v=""/>
    <s v=""/>
    <n v="0"/>
    <n v="0"/>
    <s v=""/>
    <n v="1"/>
    <n v="28.991999999999997"/>
    <n v="115.96799999999999"/>
    <n v="4"/>
    <s v="1. Neutral"/>
    <s v="4. Transformational"/>
    <s v="2. Sensitive"/>
    <s v="It did not develop any specific innovation"/>
    <s v="Intensive advocacy"/>
    <s v="It linked and worked with strategic alliances and partners to take tested and effective solutions to scale"/>
  </r>
  <r>
    <x v="76"/>
    <x v="3"/>
    <n v="3427"/>
    <s v="GENDER EQUALITY AND WOMEN'S EMPOWERMENT PROGRAMME (GEWEP)"/>
    <s v="Uganda"/>
    <s v="CNORUG0021"/>
    <s v="CARE Norge"/>
    <s v="Government"/>
    <s v="Government - Norway"/>
    <s v="NORAD"/>
    <m/>
    <m/>
    <m/>
    <m/>
    <m/>
    <m/>
    <m/>
    <m/>
    <m/>
    <m/>
    <m/>
    <m/>
    <m/>
    <m/>
    <m/>
    <m/>
    <m/>
    <m/>
    <m/>
    <m/>
    <m/>
    <m/>
    <m/>
    <m/>
    <m/>
    <m/>
    <m/>
    <m/>
    <m/>
    <m/>
    <m/>
    <m/>
    <m/>
    <m/>
    <m/>
    <m/>
    <m/>
    <m/>
    <m/>
    <m/>
    <m/>
    <m/>
    <m/>
    <m/>
    <m/>
    <d v="2014-01-01T00:00:00"/>
    <d v="2018-02-28T00:00:00"/>
    <d v="2017-03-31T00:00:00"/>
    <s v="Development Access to and Control over Economic Resources"/>
    <n v="880053"/>
    <s v="Ronald Matanda"/>
    <s v="Programme Manager"/>
    <s v="Ronald.Matanda@care.org"/>
    <s v="Adokorach Caroline Brenda"/>
    <s v="Initiative Manager"/>
    <s v="carol.adokorach@care.org"/>
    <s v="NO"/>
    <s v="YES"/>
    <s v="NO"/>
    <s v="Gender Equality and Empowerment of vulnerable women and girls in northern Uganda promoted and stregthened."/>
    <s v="Sub-National"/>
    <s v="Northern Uganda districts of( Gulu, Amuru, Nwoya, Pader, and Kitgum)."/>
    <s v="Women and girls of reproductive age (15-49 years) from 600 existing VSLA groups"/>
    <n v="17500"/>
    <n v="7500"/>
    <n v="25000"/>
    <n v="87500"/>
    <n v="37500"/>
    <n v="125000"/>
    <s v="Direct participants are impact groups who have benefited from interventions or training support such as VSLA, private sector/financial linkages, Mkt information, SPM training, FAL etc They therefore have access and control over economic resources. Indirect participants are members of participating or targeted households"/>
    <m/>
    <m/>
    <m/>
    <m/>
    <m/>
    <m/>
    <m/>
    <m/>
    <m/>
    <m/>
    <m/>
    <m/>
    <m/>
    <m/>
    <m/>
    <m/>
    <m/>
    <m/>
    <m/>
    <m/>
    <m/>
    <m/>
    <m/>
    <m/>
    <m/>
    <m/>
    <m/>
    <m/>
    <m/>
    <m/>
    <m/>
    <m/>
    <m/>
    <m/>
    <m/>
    <m/>
    <m/>
    <m/>
    <m/>
    <m/>
    <m/>
    <m/>
    <m/>
    <m/>
    <m/>
    <m/>
    <m/>
    <m/>
    <m/>
    <m/>
    <m/>
    <m/>
    <m/>
    <m/>
    <m/>
    <m/>
    <m/>
    <m/>
    <m/>
    <m/>
    <n v="10750"/>
    <n v="6710"/>
    <n v="17460"/>
    <n v="61110"/>
    <n v="26190"/>
    <n v="87300"/>
    <m/>
    <m/>
    <m/>
    <m/>
    <m/>
    <m/>
    <m/>
    <m/>
    <m/>
    <m/>
    <m/>
    <m/>
    <m/>
    <m/>
    <m/>
    <m/>
    <s v="YES"/>
    <n v="250"/>
    <n v="1"/>
    <n v="1250"/>
    <s v="YES"/>
    <n v="600"/>
    <n v="1"/>
    <n v="3000"/>
    <m/>
    <m/>
    <m/>
    <m/>
    <s v="YES"/>
    <n v="2200"/>
    <n v="0"/>
    <n v="1125"/>
    <s v="YES"/>
    <n v="50"/>
    <n v="1"/>
    <n v="250"/>
    <s v="NO"/>
    <m/>
    <m/>
    <m/>
    <m/>
    <m/>
    <m/>
    <m/>
    <m/>
    <m/>
    <m/>
    <m/>
    <m/>
    <m/>
    <m/>
    <m/>
    <m/>
    <m/>
    <m/>
    <m/>
    <m/>
    <m/>
    <m/>
    <m/>
    <s v="YES"/>
    <n v="15525"/>
    <n v="0.7"/>
    <n v="77625"/>
    <m/>
    <m/>
    <m/>
    <m/>
    <m/>
    <s v="NO"/>
    <m/>
    <m/>
    <m/>
    <s v="NO"/>
    <m/>
    <m/>
    <s v="The project just documented best stories since it was a transition phase of a project that had been running (ROCO KWO)"/>
    <x v="1"/>
    <s v="YES"/>
    <s v="YES"/>
    <s v="YES"/>
    <s v="YES"/>
    <s v="YES"/>
    <s v="YES"/>
    <s v="YES"/>
    <s v="NO"/>
    <m/>
    <x v="1"/>
    <s v="Importance of financial linkages between VSLA groups and financial institutions"/>
    <x v="1"/>
    <s v="Financial linkages between VSLAs and financial insitutions"/>
    <x v="1"/>
    <x v="0"/>
    <s v="YES"/>
    <x v="0"/>
    <x v="0"/>
    <x v="0"/>
    <x v="0"/>
    <n v="4"/>
    <x v="1"/>
    <x v="1"/>
    <x v="1"/>
    <x v="1"/>
    <x v="1"/>
    <x v="1"/>
    <n v="4"/>
    <x v="1"/>
    <x v="1"/>
    <x v="1"/>
    <x v="1"/>
    <x v="1"/>
    <n v="3"/>
    <x v="0"/>
    <x v="2"/>
    <n v="2"/>
    <s v="Local NGO(s)/CSO(s)"/>
    <s v="Local government(s)"/>
    <s v="Grassroots organization(s)"/>
    <x v="0"/>
    <s v="Capacity building training"/>
    <s v="No changes/adjustments made in this FY"/>
    <s v="VSLAs"/>
    <s v="Engaging men and Boys"/>
    <m/>
    <s v="Cultural rigidity still considered a challenge especially in the areas of women control and ownership over productive resources such as land. Some men on the other hand deny their wives from participation in politics/leadership with myths that they will become big headed and get another man, make the children suffer at home and weaken family relationship."/>
    <s v="High illiteracy level among women makes it difficult for them to apply interventions knowledge, skills and some technology to boost economic activities. They therefore still require skilled but hired labour which in most cases are the men."/>
    <s v="Climate Change presented in form of prolonged dry spell has been experienced as the biggest risk to womens agricultural activities which is the backbone of the Populace. This negative change in climate affects harvest (quantity and quality) and more over affects loan servicing for VSLA members who have borrowed money from either VSLA or banks.   "/>
    <m/>
    <s v="GEWEP II Results framework Uganda"/>
    <n v="17460"/>
    <n v="87300"/>
    <n v="5"/>
    <n v="0.61569301260022913"/>
    <n v="0.7"/>
    <n v="10750"/>
    <n v="61110"/>
    <s v=""/>
    <n v="0"/>
    <n v="0"/>
    <s v=""/>
    <n v="1"/>
    <n v="250"/>
    <n v="1250"/>
    <n v="5"/>
    <s v=""/>
    <n v="0"/>
    <n v="0"/>
    <s v=""/>
    <n v="1"/>
    <n v="2200"/>
    <n v="1125"/>
    <n v="0.51136363636363635"/>
    <n v="1"/>
    <n v="15525"/>
    <n v="77625"/>
    <n v="5"/>
    <s v="2. Sensitive"/>
    <s v="2. Accommodating"/>
    <s v="2. Sensitive"/>
    <s v="It tested new ways for fighting poverty, but did not measure results of innovation"/>
    <s v="Moderate advocacy"/>
    <s v="It linked and worked with strategic alliances and partners to take tested and effective solutions to scale"/>
  </r>
  <r>
    <x v="76"/>
    <x v="3"/>
    <n v="3437"/>
    <s v="Partners for Resilience Strategic Plan"/>
    <s v="Uganda"/>
    <s v="NL178"/>
    <s v="CARE Nederland"/>
    <s v="Government"/>
    <m/>
    <s v="Ministry of Foreign Affairs of the Netherlands"/>
    <m/>
    <m/>
    <m/>
    <m/>
    <m/>
    <m/>
    <m/>
    <m/>
    <m/>
    <m/>
    <m/>
    <m/>
    <m/>
    <m/>
    <m/>
    <m/>
    <m/>
    <m/>
    <m/>
    <m/>
    <m/>
    <m/>
    <m/>
    <m/>
    <m/>
    <m/>
    <m/>
    <m/>
    <m/>
    <m/>
    <m/>
    <m/>
    <m/>
    <m/>
    <m/>
    <m/>
    <m/>
    <m/>
    <m/>
    <m/>
    <m/>
    <m/>
    <m/>
    <m/>
    <m/>
    <d v="2016-01-01T00:00:00"/>
    <d v="2020-12-31T00:00:00"/>
    <m/>
    <s v="Development Food &amp; Nutrition Security and Resilience to Climate Change"/>
    <n v="947810"/>
    <s v="Anguparu Monica"/>
    <s v="Initiative Manager DRR"/>
    <s v="Monica.Anguparu@care.org"/>
    <s v="Kandole Annet"/>
    <s v="Program Manager WENG"/>
    <s v="Annet.Kandole@care.org"/>
    <s v="NO"/>
    <s v="YES"/>
    <s v="NO"/>
    <s v="To Integrate Risk Management into programes for resilience building among vulnerable communities"/>
    <s v="Multiple countries"/>
    <s v="Uganda, Kenya, South Sudan, Ethiopia, Philipines, Mali, Indonesia, Haiti, Quatemala and India. In Uganda the project is implemented at National and in Otuke district."/>
    <s v="women, men, girls and boys"/>
    <n v="17100"/>
    <n v="20900"/>
    <n v="38000"/>
    <n v="68400"/>
    <n v="83600"/>
    <n v="152000"/>
    <s v="Direct participants are individuals reached through their direct participation in various project activities. The indirect are those reached by participants who directly participate in/benefit from project activities (It is assumed that each direct participant in the project reaches 4 other people in their household. This is arrived at from the National Housing and population census 2014 which placed each household size in Uganda to be 5 persons on average."/>
    <m/>
    <m/>
    <m/>
    <m/>
    <m/>
    <m/>
    <m/>
    <m/>
    <m/>
    <m/>
    <m/>
    <m/>
    <m/>
    <m/>
    <m/>
    <m/>
    <m/>
    <m/>
    <m/>
    <m/>
    <m/>
    <m/>
    <m/>
    <m/>
    <m/>
    <m/>
    <m/>
    <m/>
    <m/>
    <m/>
    <m/>
    <m/>
    <m/>
    <m/>
    <m/>
    <m/>
    <m/>
    <m/>
    <m/>
    <m/>
    <m/>
    <m/>
    <m/>
    <m/>
    <m/>
    <m/>
    <m/>
    <m/>
    <m/>
    <m/>
    <m/>
    <m/>
    <m/>
    <m/>
    <m/>
    <m/>
    <m/>
    <m/>
    <m/>
    <m/>
    <n v="1446"/>
    <n v="1945"/>
    <n v="3391"/>
    <n v="5784"/>
    <n v="7780"/>
    <n v="13564"/>
    <s v="YES"/>
    <n v="21"/>
    <n v="0.43"/>
    <n v="84"/>
    <s v="YES"/>
    <n v="988"/>
    <n v="0.4"/>
    <n v="3952"/>
    <s v="NO"/>
    <m/>
    <m/>
    <m/>
    <s v="YES"/>
    <n v="457"/>
    <n v="0.51"/>
    <n v="1828"/>
    <s v="NO"/>
    <m/>
    <m/>
    <m/>
    <s v="NO"/>
    <m/>
    <m/>
    <m/>
    <s v="NO"/>
    <m/>
    <m/>
    <m/>
    <s v="NO"/>
    <m/>
    <m/>
    <m/>
    <s v="NO"/>
    <m/>
    <m/>
    <m/>
    <s v="NO"/>
    <m/>
    <m/>
    <m/>
    <s v="NO"/>
    <m/>
    <m/>
    <m/>
    <s v="YES"/>
    <n v="1238"/>
    <n v="0.44"/>
    <n v="4952"/>
    <s v="YES"/>
    <n v="315"/>
    <n v="0.22"/>
    <n v="1260"/>
    <s v="NO"/>
    <m/>
    <m/>
    <m/>
    <s v="NO"/>
    <m/>
    <m/>
    <m/>
    <s v="NO"/>
    <m/>
    <m/>
    <m/>
    <m/>
    <s v="NO"/>
    <m/>
    <m/>
    <m/>
    <s v="NO"/>
    <m/>
    <m/>
    <s v="NO"/>
    <s v="NO"/>
    <m/>
    <m/>
    <s v="Final evaluation yet to be jointly decided by the alliance members"/>
    <x v="2"/>
    <s v="NO"/>
    <s v="NO"/>
    <s v="YES"/>
    <s v="YES"/>
    <s v="YES"/>
    <s v="YES"/>
    <s v="YES"/>
    <s v="NO"/>
    <m/>
    <x v="1"/>
    <s v="Packaging a training for district, civil society and private sector on climate change and Disaster management policies"/>
    <x v="1"/>
    <s v="(1) Worked with National Climate Smart Agriculture and INGO ACSA alliance to review the CSA framework."/>
    <x v="0"/>
    <x v="0"/>
    <s v="YES"/>
    <x v="0"/>
    <x v="0"/>
    <x v="1"/>
    <x v="1"/>
    <n v="3"/>
    <x v="1"/>
    <x v="1"/>
    <x v="1"/>
    <x v="1"/>
    <x v="1"/>
    <x v="1"/>
    <n v="4"/>
    <x v="3"/>
    <x v="1"/>
    <x v="1"/>
    <x v="1"/>
    <x v="4"/>
    <n v="3"/>
    <x v="0"/>
    <x v="0"/>
    <n v="4"/>
    <s v="International NGO(s)"/>
    <s v="Local NGO(s)/CSO(s)"/>
    <s v="Local government(s)"/>
    <x v="0"/>
    <s v="CARE conducted a joint regional capacity building in advocacy for partners. CARE also provided technical support in reviewing the activities of the country partners for better alinment to resilience building and enabling environment. Additionally, CARE also buil capacity of the authorities in NCC policy and facilitated design of ENR bill."/>
    <s v="The review of project plan included girls and boys in addition to the women and men. National dialogues also focussed on CBA for girls and boys as part of a whole community."/>
    <s v="Community planning"/>
    <s v="Model farmers"/>
    <s v="VSLA groups"/>
    <s v="Understanding government processes, systems and procedures so as to know what, when, where, how, whom, why to engage them in the project cycle."/>
    <s v="Dialogues with community creates learning of indigenous knowledge and enriches approaches for project planning, implementation, monitoring and reporting"/>
    <s v="Government is very interested in aligning CSO plans to government plans at all levels as well as sharing of CSO reports for inclusion into the national sector performance assessments to enhance learning, coordination and reporting of CSOs deliverables.  "/>
    <s v="The project shifted from direct implementation of livelihoods activities to capacity building, policy dialogue and scaling up good practices among CSOs, government, private sector and researchers at district, national, and regional level."/>
    <s v="PFR Reports can be accessed from: https://docs.google.com/spreadsheets/d/1sst9N2m51jSF2lFob-uw9mKWcB0NDcpTUNu8VaxvRnQ/edit#gid=0"/>
    <n v="3391"/>
    <n v="13564"/>
    <n v="4"/>
    <n v="0.4264228841049838"/>
    <n v="0.4264228841049838"/>
    <n v="1446"/>
    <n v="5784"/>
    <s v=""/>
    <n v="0"/>
    <n v="0"/>
    <s v=""/>
    <n v="1"/>
    <n v="1238"/>
    <n v="4952"/>
    <n v="4"/>
    <s v=""/>
    <n v="0"/>
    <n v="0"/>
    <s v=""/>
    <s v=""/>
    <n v="0"/>
    <n v="0"/>
    <s v=""/>
    <s v=""/>
    <n v="0"/>
    <n v="0"/>
    <s v=""/>
    <s v="1. Neutral"/>
    <s v="2. Accommodating"/>
    <s v="4. Transformative"/>
    <s v="It tested new ways for fighting poverty, but did not measure results of innovation"/>
    <s v="Intensive advocacy"/>
    <s v="It linked and worked with strategic alliances and partners to take tested and effective solutions to scale"/>
  </r>
  <r>
    <x v="76"/>
    <x v="3"/>
    <n v="3439"/>
    <s v="PROFIRA EASTERN:- Establishment of Community Savings and Credit Groups"/>
    <s v="Uganda"/>
    <s v="PROFUG0001"/>
    <s v="No CARE member related to the project/initiative"/>
    <s v="Government"/>
    <s v="Other"/>
    <s v="Mnistry of Finance, Planning and Economic Development of Uganda"/>
    <m/>
    <m/>
    <m/>
    <m/>
    <m/>
    <m/>
    <m/>
    <m/>
    <m/>
    <m/>
    <m/>
    <m/>
    <m/>
    <m/>
    <m/>
    <m/>
    <m/>
    <m/>
    <m/>
    <m/>
    <m/>
    <m/>
    <m/>
    <m/>
    <m/>
    <m/>
    <m/>
    <m/>
    <m/>
    <m/>
    <m/>
    <m/>
    <m/>
    <m/>
    <m/>
    <m/>
    <m/>
    <m/>
    <m/>
    <m/>
    <m/>
    <m/>
    <m/>
    <m/>
    <m/>
    <d v="2016-05-01T00:00:00"/>
    <d v="2019-04-01T00:00:00"/>
    <m/>
    <s v="Development Access to and Control over Economic Resources"/>
    <n v="750000"/>
    <s v="Delphine Mugisha"/>
    <s v="Program Director"/>
    <s v="Delphine.Mugisha@care.org"/>
    <m/>
    <m/>
    <m/>
    <s v="NO"/>
    <s v="YES"/>
    <s v="NO"/>
    <s v="To increase income, improve food security and reduce vulnerability in rural areas"/>
    <s v="Sub-National"/>
    <s v="Eastern Uganda (Kumi, Soroti, Bukedea, Serere,Ngora, Amuria, Katakwi, Kaberamaido, Mbale,Kibuku,Kween, Kapchorwa, Bukwo, Butaleja, Pallisa, Tororo, Sironko, Manafwa, Budaka, Bududa,"/>
    <s v="Women and Youth (15-30years)"/>
    <n v="43750"/>
    <n v="18750"/>
    <n v="62500"/>
    <n v="175000"/>
    <n v="75000"/>
    <n v="250000"/>
    <s v="The direct are members of the Community Saving and credit group. The Indirect beneficiaries are Household Members computed using the average national Household size according to the national census 2014 which is 5 members perHH. Indirect Benficiary=(Direct Beneficiaries*5)- Direct Beneficiaries."/>
    <m/>
    <m/>
    <m/>
    <m/>
    <m/>
    <m/>
    <m/>
    <m/>
    <m/>
    <m/>
    <m/>
    <m/>
    <m/>
    <m/>
    <m/>
    <m/>
    <m/>
    <m/>
    <m/>
    <m/>
    <m/>
    <m/>
    <m/>
    <m/>
    <m/>
    <m/>
    <m/>
    <m/>
    <m/>
    <m/>
    <m/>
    <m/>
    <m/>
    <m/>
    <m/>
    <m/>
    <m/>
    <m/>
    <m/>
    <m/>
    <m/>
    <m/>
    <m/>
    <m/>
    <m/>
    <m/>
    <m/>
    <m/>
    <m/>
    <m/>
    <m/>
    <m/>
    <m/>
    <m/>
    <m/>
    <m/>
    <m/>
    <m/>
    <m/>
    <m/>
    <n v="13001"/>
    <n v="1405"/>
    <n v="14406"/>
    <n v="52002"/>
    <n v="16422"/>
    <n v="68424"/>
    <s v="NO"/>
    <m/>
    <m/>
    <m/>
    <s v="NO"/>
    <m/>
    <m/>
    <m/>
    <s v="NO"/>
    <m/>
    <m/>
    <m/>
    <s v="NO"/>
    <m/>
    <m/>
    <m/>
    <s v="YES"/>
    <n v="17106"/>
    <n v="0.75900000000000001"/>
    <n v="68424"/>
    <s v="NO"/>
    <m/>
    <m/>
    <m/>
    <s v="NO"/>
    <m/>
    <m/>
    <m/>
    <s v="NO"/>
    <m/>
    <m/>
    <m/>
    <s v="NO"/>
    <m/>
    <m/>
    <m/>
    <s v="NO"/>
    <m/>
    <m/>
    <m/>
    <s v="NO"/>
    <m/>
    <m/>
    <m/>
    <s v="NO"/>
    <m/>
    <m/>
    <m/>
    <s v="NO"/>
    <m/>
    <m/>
    <m/>
    <s v="NO"/>
    <m/>
    <m/>
    <m/>
    <s v="NO"/>
    <m/>
    <m/>
    <m/>
    <s v="YES"/>
    <n v="17106"/>
    <n v="0.75900000000000001"/>
    <n v="68424"/>
    <m/>
    <m/>
    <m/>
    <m/>
    <m/>
    <s v="YES"/>
    <s v="June"/>
    <n v="2017"/>
    <s v="YES"/>
    <s v="NO"/>
    <m/>
    <m/>
    <s v="N/A"/>
    <x v="1"/>
    <s v="YES"/>
    <s v="NO"/>
    <s v="YES"/>
    <s v="NO"/>
    <s v="YES"/>
    <s v="YES"/>
    <s v="NO"/>
    <s v="YES"/>
    <s v="Engaging Local Government in Supporting the Project Implementation"/>
    <x v="0"/>
    <m/>
    <x v="1"/>
    <s v="Community Saving and Credit Groups Scaled up through local CSOs with support from Central and Local government."/>
    <x v="1"/>
    <x v="0"/>
    <s v="YES"/>
    <x v="0"/>
    <x v="0"/>
    <x v="0"/>
    <x v="0"/>
    <n v="4"/>
    <x v="1"/>
    <x v="1"/>
    <x v="1"/>
    <x v="1"/>
    <x v="1"/>
    <x v="1"/>
    <n v="4"/>
    <x v="1"/>
    <x v="1"/>
    <x v="1"/>
    <x v="1"/>
    <x v="1"/>
    <n v="3"/>
    <x v="2"/>
    <x v="2"/>
    <n v="4"/>
    <m/>
    <m/>
    <m/>
    <x v="2"/>
    <s v="The project trained partner staff in the SAVIX (online VSLA MIS), continued to mentor and coach partner staff through field monitoring visits."/>
    <m/>
    <s v="VSLA Model"/>
    <m/>
    <m/>
    <s v="Engangement of Stakeholders such the Local Government is critical for Project success"/>
    <s v="VSLA model has proved to be a powerful for empowering women and youth financially."/>
    <m/>
    <s v="The number of people reached in the sectors of economic development and women empowerment is the samilar because they are exactly the same people reached in both sectors, so the numbers should not be cummulated."/>
    <s v="http://mis.thesavix.org/p:en/index.html and Eastern Baseline Report"/>
    <n v="14406"/>
    <n v="68424"/>
    <n v="4.7496876301541029"/>
    <n v="0.90247119255865615"/>
    <n v="0.75999649245878642"/>
    <n v="13001"/>
    <n v="52002"/>
    <s v=""/>
    <n v="0"/>
    <n v="0"/>
    <s v=""/>
    <n v="1"/>
    <n v="17106"/>
    <n v="68424"/>
    <n v="4"/>
    <s v=""/>
    <n v="0"/>
    <n v="0"/>
    <s v=""/>
    <s v=""/>
    <n v="0"/>
    <n v="0"/>
    <s v=""/>
    <n v="1"/>
    <n v="17106"/>
    <n v="68424"/>
    <n v="4"/>
    <s v="2. Sensitive"/>
    <s v="2. Accommodating"/>
    <s v="2. Sensitive"/>
    <s v="It did not develop any specific innovation"/>
    <s v="Moderate advocacy"/>
    <s v="It linked and worked with strategic alliances and partners to take tested and effective solutions to scale"/>
  </r>
  <r>
    <x v="76"/>
    <x v="3"/>
    <n v="3440"/>
    <s v="PROFIRA NORTH EASTERN:- Establishment of Community Savings and Credit Groups"/>
    <s v="Uganda"/>
    <s v="PROFUG0002"/>
    <s v="No CARE member related to the project/initiative"/>
    <s v="Government"/>
    <s v="Other"/>
    <s v="Mnistry of Finance, Planning and Economic Development of Uganda"/>
    <m/>
    <m/>
    <m/>
    <m/>
    <m/>
    <m/>
    <m/>
    <m/>
    <m/>
    <m/>
    <m/>
    <m/>
    <m/>
    <m/>
    <m/>
    <m/>
    <m/>
    <m/>
    <m/>
    <m/>
    <m/>
    <m/>
    <m/>
    <m/>
    <m/>
    <m/>
    <m/>
    <m/>
    <m/>
    <m/>
    <m/>
    <m/>
    <m/>
    <m/>
    <m/>
    <m/>
    <m/>
    <m/>
    <m/>
    <m/>
    <m/>
    <m/>
    <m/>
    <m/>
    <m/>
    <d v="2016-05-01T00:00:00"/>
    <d v="2019-04-01T00:00:00"/>
    <m/>
    <s v="Development Access to and Control over Economic Resources"/>
    <n v="475000"/>
    <s v="Delphine Mugisha"/>
    <s v="Program Director"/>
    <s v="Delphine.Mugisha@care.org"/>
    <m/>
    <m/>
    <m/>
    <s v="NO"/>
    <s v="YES"/>
    <s v="NO"/>
    <s v="To increase income, improve food security and reduce vulnerability in rural areas"/>
    <s v="Sub-National"/>
    <s v="North Eastern Uganda (Napak, Moroto, Kotido, Kabong, Nakapiripirit, Abim, Amudat)"/>
    <s v="Women and Youth (15-30years)"/>
    <n v="17500"/>
    <n v="7500"/>
    <n v="25000"/>
    <n v="70000"/>
    <n v="30000"/>
    <n v="100000"/>
    <s v="The direct are members of the Community Saving and credit group. The Indirect beneficiaries are Household Members computed using the average national Household size according to the national census 2014 which is 5 members perHH. Indirect Benficiary=(Direct Beneficiaries*5)- Direct Beneficiaries."/>
    <m/>
    <m/>
    <m/>
    <m/>
    <m/>
    <m/>
    <m/>
    <m/>
    <m/>
    <m/>
    <m/>
    <m/>
    <m/>
    <m/>
    <m/>
    <m/>
    <m/>
    <m/>
    <m/>
    <m/>
    <m/>
    <m/>
    <m/>
    <m/>
    <m/>
    <m/>
    <m/>
    <m/>
    <m/>
    <m/>
    <m/>
    <m/>
    <m/>
    <m/>
    <m/>
    <m/>
    <m/>
    <m/>
    <m/>
    <m/>
    <m/>
    <m/>
    <m/>
    <m/>
    <m/>
    <m/>
    <m/>
    <m/>
    <m/>
    <m/>
    <m/>
    <m/>
    <m/>
    <m/>
    <m/>
    <m/>
    <m/>
    <m/>
    <m/>
    <m/>
    <n v="5188"/>
    <n v="2119"/>
    <n v="7307"/>
    <n v="20752"/>
    <n v="8476"/>
    <n v="29228"/>
    <s v="NO"/>
    <m/>
    <m/>
    <m/>
    <s v="NO"/>
    <m/>
    <m/>
    <m/>
    <s v="NO"/>
    <m/>
    <m/>
    <m/>
    <s v="NO"/>
    <m/>
    <m/>
    <m/>
    <s v="YES"/>
    <n v="7307"/>
    <n v="0.71399999999999997"/>
    <n v="29228"/>
    <s v="NO"/>
    <m/>
    <m/>
    <m/>
    <s v="NO"/>
    <m/>
    <m/>
    <m/>
    <s v="NO"/>
    <m/>
    <m/>
    <m/>
    <s v="NO"/>
    <m/>
    <m/>
    <m/>
    <s v="NO"/>
    <m/>
    <m/>
    <m/>
    <s v="NO"/>
    <m/>
    <m/>
    <m/>
    <s v="NO"/>
    <m/>
    <m/>
    <m/>
    <s v="NO"/>
    <m/>
    <m/>
    <m/>
    <s v="NO"/>
    <m/>
    <m/>
    <m/>
    <s v="NO"/>
    <m/>
    <m/>
    <m/>
    <s v="YES"/>
    <n v="7307"/>
    <n v="0.71399999999999997"/>
    <n v="29228"/>
    <m/>
    <m/>
    <m/>
    <m/>
    <m/>
    <s v="YES"/>
    <s v="June"/>
    <n v="2017"/>
    <s v="YES"/>
    <s v="NO"/>
    <m/>
    <m/>
    <s v="N/A"/>
    <x v="1"/>
    <s v="YES"/>
    <s v="NO"/>
    <s v="YES"/>
    <s v="NO"/>
    <s v="YES"/>
    <s v="YES"/>
    <s v="NO"/>
    <s v="YES"/>
    <s v="Engaging Local Government in Supporting the Project Implementation"/>
    <x v="0"/>
    <m/>
    <x v="1"/>
    <s v="Community Saving and Credit Groups Scaled up through local CSOs with support from Central and Local government."/>
    <x v="1"/>
    <x v="0"/>
    <s v="YES"/>
    <x v="0"/>
    <x v="0"/>
    <x v="0"/>
    <x v="0"/>
    <n v="4"/>
    <x v="1"/>
    <x v="1"/>
    <x v="1"/>
    <x v="1"/>
    <x v="1"/>
    <x v="1"/>
    <n v="4"/>
    <x v="1"/>
    <x v="1"/>
    <x v="1"/>
    <x v="1"/>
    <x v="1"/>
    <n v="3"/>
    <x v="2"/>
    <x v="2"/>
    <n v="4"/>
    <m/>
    <m/>
    <m/>
    <x v="2"/>
    <s v="The project trained partner staff in the SAVIX (online VSLA MIS), continued to mentor and coach partner staff through field monitoring visits."/>
    <m/>
    <s v="VSLA Model"/>
    <m/>
    <m/>
    <s v="Engangement of Stakeholders such the Local Government is critical for Project success"/>
    <s v="VSLA Model has proved to attract a high participation of youth of all gender with male participation at 61% and 68% for female youth."/>
    <m/>
    <s v="The number of people reached in the sectors of economic development and women empowerment is the samilar because they are exactly the same people reached in both sectors, so the numbers should not be cummulated."/>
    <s v="http://mis.thesavix.org/p:en/index.html and North Eastern Baseline Report"/>
    <n v="7307"/>
    <n v="29228"/>
    <n v="4"/>
    <n v="0.71000410565211436"/>
    <n v="0.71000410565211436"/>
    <n v="5188"/>
    <n v="20752"/>
    <s v=""/>
    <n v="0"/>
    <n v="0"/>
    <s v=""/>
    <n v="1"/>
    <n v="7307"/>
    <n v="29228"/>
    <n v="4"/>
    <s v=""/>
    <n v="0"/>
    <n v="0"/>
    <s v=""/>
    <s v=""/>
    <n v="0"/>
    <n v="0"/>
    <s v=""/>
    <n v="1"/>
    <n v="7307"/>
    <n v="29228"/>
    <n v="4"/>
    <s v="2. Sensitive"/>
    <s v="2. Accommodating"/>
    <s v="2. Sensitive"/>
    <s v="It did not develop any specific innovation"/>
    <s v="Moderate advocacy"/>
    <s v="It linked and worked with strategic alliances and partners to take tested and effective solutions to scale"/>
  </r>
  <r>
    <x v="76"/>
    <x v="3"/>
    <m/>
    <s v="PROFIRA WESTNILE:- Strengthening, Innovations and Partnership for Mature Community Saving and Credit Groups (CSCGs)"/>
    <s v="Uganda"/>
    <s v="PROFUG0005"/>
    <s v="No CARE member related to the project/initiative"/>
    <s v="Government"/>
    <s v="Other"/>
    <s v="Mnistry of Finance, Planning and Economic Development of Uganda"/>
    <m/>
    <m/>
    <m/>
    <m/>
    <m/>
    <m/>
    <m/>
    <m/>
    <m/>
    <m/>
    <m/>
    <m/>
    <m/>
    <m/>
    <m/>
    <m/>
    <m/>
    <m/>
    <m/>
    <m/>
    <m/>
    <m/>
    <m/>
    <m/>
    <m/>
    <m/>
    <m/>
    <m/>
    <m/>
    <m/>
    <m/>
    <m/>
    <m/>
    <m/>
    <m/>
    <m/>
    <m/>
    <m/>
    <m/>
    <m/>
    <m/>
    <m/>
    <m/>
    <m/>
    <m/>
    <d v="2016-11-01T00:00:00"/>
    <d v="2019-11-01T00:00:00"/>
    <m/>
    <s v="Development Access to and Control over Economic Resources"/>
    <n v="232066"/>
    <s v="Delphine Mugisha"/>
    <s v="Program Director"/>
    <s v="Delphine.Mugisha@care.org"/>
    <m/>
    <m/>
    <m/>
    <s v="NO"/>
    <s v="YES"/>
    <s v="NO"/>
    <s v="To increase income, improve food security and reduce vulnerability in rural areas"/>
    <s v="Sub-National"/>
    <s v="WestNile (Arua, Nebbi, Zombo, Maracha, Koboko, Adjumani and Yumbe)"/>
    <s v="Women and Youth (15-30years) in mature VSLA"/>
    <n v="5250"/>
    <n v="2250"/>
    <n v="7500"/>
    <n v="21000"/>
    <n v="9000"/>
    <n v="30000"/>
    <s v="The direct are members of the Community Saving and credit group. The Indirect beneficiaries are Household Members computed using the average national Household size according to the national census 2014 which is 5 members perHH. Indirect Benficiary=(Direct Beneficiaries*5)- Direct Beneficiaries."/>
    <m/>
    <m/>
    <m/>
    <m/>
    <m/>
    <m/>
    <m/>
    <m/>
    <m/>
    <m/>
    <m/>
    <m/>
    <m/>
    <m/>
    <m/>
    <m/>
    <m/>
    <m/>
    <m/>
    <m/>
    <m/>
    <m/>
    <m/>
    <m/>
    <m/>
    <m/>
    <m/>
    <m/>
    <m/>
    <m/>
    <m/>
    <m/>
    <m/>
    <m/>
    <m/>
    <m/>
    <m/>
    <m/>
    <m/>
    <m/>
    <m/>
    <m/>
    <m/>
    <m/>
    <m/>
    <m/>
    <m/>
    <m/>
    <m/>
    <m/>
    <m/>
    <m/>
    <m/>
    <m/>
    <m/>
    <m/>
    <m/>
    <m/>
    <m/>
    <m/>
    <n v="0"/>
    <n v="0"/>
    <n v="0"/>
    <n v="0"/>
    <n v="0"/>
    <n v="0"/>
    <s v="NO"/>
    <m/>
    <m/>
    <m/>
    <s v="NO"/>
    <m/>
    <m/>
    <m/>
    <s v="NO"/>
    <m/>
    <m/>
    <m/>
    <s v="NO"/>
    <m/>
    <m/>
    <m/>
    <s v="YES"/>
    <n v="0"/>
    <n v="0.71399999999999997"/>
    <n v="0"/>
    <s v="NO"/>
    <m/>
    <m/>
    <m/>
    <s v="NO"/>
    <m/>
    <m/>
    <m/>
    <s v="NO"/>
    <m/>
    <m/>
    <m/>
    <s v="NO"/>
    <m/>
    <m/>
    <m/>
    <s v="NO"/>
    <m/>
    <m/>
    <m/>
    <s v="NO"/>
    <m/>
    <m/>
    <m/>
    <s v="NO"/>
    <m/>
    <m/>
    <m/>
    <s v="NO"/>
    <m/>
    <m/>
    <m/>
    <s v="NO"/>
    <m/>
    <m/>
    <m/>
    <s v="NO"/>
    <m/>
    <m/>
    <m/>
    <s v="YES"/>
    <n v="0"/>
    <n v="0.71399999999999997"/>
    <n v="0"/>
    <m/>
    <m/>
    <m/>
    <m/>
    <m/>
    <s v="NO"/>
    <m/>
    <m/>
    <s v="NO"/>
    <s v="YES"/>
    <s v="November"/>
    <n v="2017"/>
    <s v="Baseline Evaluation"/>
    <x v="1"/>
    <s v="NO"/>
    <s v="NO"/>
    <s v="YES"/>
    <s v="NO"/>
    <s v="YES"/>
    <s v="YES"/>
    <s v="NO"/>
    <s v="YES"/>
    <s v="Engaging Private sectors in particular banks to develop financial products suitable for women and youth."/>
    <x v="1"/>
    <s v="VSLA saving products using digitalized platforms"/>
    <x v="1"/>
    <s v="VSLA saving products using digitalized platforms, and physical interface with the financial institutions."/>
    <x v="1"/>
    <x v="0"/>
    <s v="YES"/>
    <x v="0"/>
    <x v="0"/>
    <x v="0"/>
    <x v="0"/>
    <n v="4"/>
    <x v="1"/>
    <x v="1"/>
    <x v="1"/>
    <x v="1"/>
    <x v="1"/>
    <x v="1"/>
    <n v="4"/>
    <x v="1"/>
    <x v="1"/>
    <x v="1"/>
    <x v="1"/>
    <x v="1"/>
    <n v="3"/>
    <x v="2"/>
    <x v="2"/>
    <n v="4"/>
    <s v="Private sector"/>
    <s v="Local NGO(s)/CSO(s)"/>
    <s v="National government"/>
    <x v="2"/>
    <s v="Building capacity of staff in the Partner organisations in Financial Literacy."/>
    <m/>
    <s v="VSLA Model"/>
    <s v="Digital Platfrom for Formal Financial Inclusion"/>
    <m/>
    <s v="Engangement of Stakeholders such the Local Government is critical for Project success"/>
    <m/>
    <m/>
    <m/>
    <m/>
    <n v="0"/>
    <n v="0"/>
    <s v=""/>
    <s v=""/>
    <s v=""/>
    <n v="0"/>
    <n v="0"/>
    <s v=""/>
    <n v="0"/>
    <n v="0"/>
    <s v=""/>
    <n v="1"/>
    <n v="0"/>
    <n v="0"/>
    <s v=""/>
    <s v=""/>
    <n v="0"/>
    <n v="0"/>
    <s v=""/>
    <s v=""/>
    <n v="0"/>
    <n v="0"/>
    <s v=""/>
    <n v="1"/>
    <n v="0"/>
    <n v="0"/>
    <s v=""/>
    <s v="2. Sensitive"/>
    <s v="2. Accommodating"/>
    <s v="2. Sensitive"/>
    <s v="It tested new ways for fighting poverty, but did not measure results of innovation"/>
    <s v="Moderate advocacy"/>
    <s v="It linked and worked with strategic alliances and partners to take tested and effective solutions to scale"/>
  </r>
  <r>
    <x v="76"/>
    <x v="3"/>
    <n v="3434"/>
    <s v="Safe Water for Health Care Facilities"/>
    <s v="Uganda"/>
    <s v="EMORUG001, US1P4"/>
    <s v="CARE USA"/>
    <s v="Corporation"/>
    <s v="Other"/>
    <s v="General Electric Foundation"/>
    <m/>
    <m/>
    <m/>
    <m/>
    <m/>
    <m/>
    <m/>
    <m/>
    <m/>
    <m/>
    <m/>
    <m/>
    <m/>
    <m/>
    <m/>
    <m/>
    <m/>
    <m/>
    <m/>
    <m/>
    <m/>
    <m/>
    <m/>
    <m/>
    <m/>
    <m/>
    <m/>
    <m/>
    <m/>
    <m/>
    <m/>
    <m/>
    <m/>
    <m/>
    <m/>
    <m/>
    <m/>
    <m/>
    <m/>
    <m/>
    <m/>
    <m/>
    <m/>
    <m/>
    <m/>
    <d v="2016-04-01T00:00:00"/>
    <m/>
    <d v="2017-09-30T00:00:00"/>
    <s v="Development Other"/>
    <n v="195223"/>
    <s v="FRED OWERA ODOM"/>
    <s v="INITIATIVE MANAGER"/>
    <s v="Fred.owera@care.org"/>
    <s v="CONSTANCE BWIRE"/>
    <s v="PROJECT CORDINATOR"/>
    <s v="Constance,bwire@care.org"/>
    <s v="NO"/>
    <s v="YES"/>
    <s v="NO"/>
    <s v="To improve water quality supplies in 6 health facilities in Western Uganda through installation of sustainable water purification systems and training of local operators to facilitate long-term &amp; appropriate maintenance."/>
    <s v="Sub-National"/>
    <s v="The project is being implemented in Districts of Bundibugyo, Kasese, Kanungu and Mbarara (6 hoispitals Bundibgyo, Kilembe, Kagando, Bwindi, Kisiizi and Ruharo )"/>
    <s v="Pregnant mothers and children and other patients in  the hospital"/>
    <n v="27946"/>
    <n v="9554"/>
    <n v="37500"/>
    <n v="7737"/>
    <n v="3139"/>
    <n v="10876"/>
    <s v="Direct participants are individuals who visit the healthcare facilities as out patients and those admitted in the healthcare facilities as inpatients that is always about one quarter of the total patients figures. Indirect participants are those caregivers that accompany the inpatients to healthcare facilities and as per the standards there should not be more than 2 and the  figures can obtained by multiplying the number of direct participants by 2. Indirect may also be the numbers of  staff members  in each healthcare facility. On average each healthcare facility has 50 staff amounting to about 300 staff for 6 healthcare facilities targeted by the project. The other category of indirect participants are the family members of the staff. The total indirect numbers of staff and their families 50*6*5. This is based on the 2014 population census that put the number of people per household at 5. The reason indirect numbers are less than direct is because only staff members, their faimilies and care givers of inpatients are considered indirect beneficiaries and inpatients make up only ¼ of total patients."/>
    <m/>
    <m/>
    <m/>
    <m/>
    <m/>
    <m/>
    <m/>
    <m/>
    <m/>
    <m/>
    <m/>
    <m/>
    <m/>
    <m/>
    <m/>
    <m/>
    <m/>
    <m/>
    <m/>
    <m/>
    <m/>
    <m/>
    <m/>
    <m/>
    <m/>
    <m/>
    <m/>
    <m/>
    <m/>
    <m/>
    <m/>
    <m/>
    <m/>
    <m/>
    <m/>
    <m/>
    <m/>
    <m/>
    <m/>
    <m/>
    <m/>
    <m/>
    <m/>
    <m/>
    <m/>
    <m/>
    <m/>
    <m/>
    <m/>
    <m/>
    <m/>
    <m/>
    <m/>
    <m/>
    <m/>
    <m/>
    <m/>
    <m/>
    <m/>
    <m/>
    <n v="65888"/>
    <n v="55854"/>
    <n v="121742"/>
    <n v="17222"/>
    <n v="14714"/>
    <n v="31936"/>
    <s v="NO"/>
    <m/>
    <m/>
    <m/>
    <s v="NO"/>
    <m/>
    <m/>
    <m/>
    <s v="NO"/>
    <m/>
    <m/>
    <m/>
    <s v="NO"/>
    <m/>
    <m/>
    <m/>
    <s v="NO"/>
    <m/>
    <m/>
    <m/>
    <s v="NO"/>
    <m/>
    <m/>
    <m/>
    <s v="NO"/>
    <m/>
    <m/>
    <m/>
    <s v="NO"/>
    <m/>
    <m/>
    <m/>
    <s v="NO"/>
    <m/>
    <m/>
    <m/>
    <s v="NO"/>
    <m/>
    <m/>
    <m/>
    <s v="NO"/>
    <m/>
    <m/>
    <m/>
    <s v="NO"/>
    <m/>
    <m/>
    <m/>
    <s v="NO"/>
    <m/>
    <m/>
    <m/>
    <s v="NO"/>
    <m/>
    <m/>
    <m/>
    <s v="YES"/>
    <n v="121742"/>
    <n v="0.54100000000000004"/>
    <n v="31936"/>
    <s v="NO"/>
    <m/>
    <m/>
    <m/>
    <m/>
    <s v="NO"/>
    <m/>
    <m/>
    <m/>
    <s v="NO"/>
    <m/>
    <m/>
    <s v="NO"/>
    <s v="NO"/>
    <m/>
    <m/>
    <m/>
    <x v="0"/>
    <s v="NO"/>
    <s v="NO"/>
    <s v="YES"/>
    <s v="YES"/>
    <s v="NO"/>
    <s v="NO"/>
    <s v="NO"/>
    <s v="NO"/>
    <m/>
    <x v="2"/>
    <s v="The innovations was the use of water filters to improve on the quality of water used in healthcare facilities for carrying out medical procedures"/>
    <x v="1"/>
    <s v="(1) The project implementation approach was through collaboration with other organizations/Government institutions to leverage for technical support  (2) Working with private sector companies specifically     suppliers of spare parts for the water filters as well suppliers of supplies for water quality testing to improve on sustainbility and simultaneously improve their ability to make a profit."/>
    <x v="1"/>
    <x v="0"/>
    <s v="YES"/>
    <x v="0"/>
    <x v="0"/>
    <x v="0"/>
    <x v="0"/>
    <n v="4"/>
    <x v="1"/>
    <x v="2"/>
    <x v="1"/>
    <x v="1"/>
    <x v="1"/>
    <x v="1"/>
    <n v="3"/>
    <x v="1"/>
    <x v="1"/>
    <x v="1"/>
    <x v="1"/>
    <x v="1"/>
    <n v="3"/>
    <x v="0"/>
    <x v="3"/>
    <n v="8"/>
    <s v="Local NGO(s)/CSO(s)"/>
    <s v="University/research institution(s)"/>
    <s v="Private sector"/>
    <x v="1"/>
    <m/>
    <s v="The engagement with Uganda Medical Protestant Bureau with strong expertise on Infection Prevention Control (IPC) to undertake IPC assessment in the beneficiaries HCF and developed a curriculum to address the gaps"/>
    <s v="Working in partnership with other organizations has helped in leveraging for technical support in areas that Project staff does have capacity to handle"/>
    <s v="Capacity building of hospital staff on O &amp; M of the water filtration Systems has proven very effective in the sustainability of the water filtration systems"/>
    <m/>
    <s v="Shared learning through exchange visits"/>
    <s v="Information sharing helps in building trust and confidence"/>
    <s v="Regular meetings with collaborating partners helped in building synergies and learning from each other"/>
    <s v="The data source was from the National Health Management Information database. The reason why indirect numbers are less than the direct is because only care givers of inpatients, staff and family members are considered indirect beneficiaries and inpatients make up only ¼ of total out patients. The indirect figures were calculated using the following formula. Indirect females= (Total direct female out patients*0.25)+ hospital staff staff and their familiy members (50*6*5)/2). Indirect Men = (Total direct men*0.25)+ hospital staff and their family members (50*6*5)/2).  Where 50=number of staff per hospital; 6=number of hospitals; 5= Average household size as per 2014 population census; 2 is an assumption that half of the hospital staff and their families are women and men respectively.  "/>
    <s v="Project proposal document, Monthly Field Reports, Quarterly Donor Reports, National Health Management Information database"/>
    <n v="121742"/>
    <n v="31936"/>
    <n v="0.26232524519064909"/>
    <n v="0.5412101000476417"/>
    <n v="0.53926603206412826"/>
    <n v="65888"/>
    <n v="17222"/>
    <s v=""/>
    <n v="0"/>
    <n v="0"/>
    <s v=""/>
    <n v="1"/>
    <n v="121742"/>
    <n v="31936"/>
    <n v="0.26232524519064909"/>
    <s v=""/>
    <n v="0"/>
    <n v="0"/>
    <s v=""/>
    <s v=""/>
    <n v="0"/>
    <n v="0"/>
    <s v=""/>
    <s v=""/>
    <n v="0"/>
    <n v="0"/>
    <s v=""/>
    <s v="2. Sensitive"/>
    <s v="2. Accommodating"/>
    <s v="2. Sensitive"/>
    <s v="It tested new ways for fighting poverty and measured results of innovation"/>
    <s v="Little or no advocacy"/>
    <s v="It linked and worked with strategic alliances and partners to take tested and effective solutions to scale"/>
  </r>
  <r>
    <x v="76"/>
    <x v="3"/>
    <n v="3429"/>
    <s v="SRMCH (Improving Access to Reproductive, Child and Maternal Health in Northern Uganda)"/>
    <s v="Uganda"/>
    <s v="CAUTUG0021"/>
    <s v="CARE Österreich"/>
    <s v="Government"/>
    <s v="Government - Austria"/>
    <s v="Austrian Development Agency (ADA)"/>
    <m/>
    <m/>
    <m/>
    <m/>
    <m/>
    <m/>
    <m/>
    <m/>
    <m/>
    <m/>
    <m/>
    <m/>
    <m/>
    <m/>
    <m/>
    <m/>
    <m/>
    <m/>
    <m/>
    <m/>
    <m/>
    <m/>
    <m/>
    <m/>
    <m/>
    <m/>
    <m/>
    <m/>
    <m/>
    <m/>
    <m/>
    <m/>
    <m/>
    <m/>
    <m/>
    <m/>
    <m/>
    <m/>
    <m/>
    <m/>
    <m/>
    <m/>
    <m/>
    <m/>
    <m/>
    <d v="2014-09-01T00:00:00"/>
    <d v="2017-08-31T00:00:00"/>
    <m/>
    <s v="Development Sexual, Reproductive and Maternal Health (SRMH)"/>
    <n v="386667.31"/>
    <s v="Ronald Matanda"/>
    <s v="Programme Manager"/>
    <s v="Ronald.Matanda@care.org"/>
    <s v="Ronald Ogal"/>
    <s v="Initiative Manager"/>
    <s v="rogal@care.org"/>
    <s v="NO"/>
    <s v="YES"/>
    <s v="NO"/>
    <s v="Contribute to improved Reproductive, Maternal and Child Health amongst the target population"/>
    <s v="Sub-National"/>
    <s v="Northern Uganda, covering the three districts of Gulu, Amuru and Nwoya"/>
    <s v="Post-conflict affected, poor and  vulnerable women and girls (15-49 years of age)"/>
    <n v="1680"/>
    <n v="3920"/>
    <n v="5600"/>
    <n v="17250"/>
    <n v="40250"/>
    <n v="57500"/>
    <s v="Direct participants are the role model men and members of their households, members of the 10 participating households, trained health workers and local leaders. This also include members of the Parents Teachers Association (PTA). Indirect participants include parents and teachers participating in the Parents Teachers Association (PTA) general meetings and people participating in the community outreaches organized by the role model men. It also include people accessing services from the trained health workers and local leaders and people accessing information through peer sharing with household members of the participating 10 households."/>
    <m/>
    <m/>
    <m/>
    <m/>
    <m/>
    <m/>
    <m/>
    <m/>
    <m/>
    <m/>
    <m/>
    <m/>
    <m/>
    <m/>
    <m/>
    <m/>
    <m/>
    <m/>
    <m/>
    <m/>
    <m/>
    <m/>
    <m/>
    <m/>
    <m/>
    <m/>
    <m/>
    <m/>
    <m/>
    <m/>
    <m/>
    <m/>
    <m/>
    <m/>
    <m/>
    <m/>
    <m/>
    <m/>
    <m/>
    <m/>
    <m/>
    <m/>
    <m/>
    <m/>
    <m/>
    <m/>
    <m/>
    <m/>
    <m/>
    <m/>
    <m/>
    <m/>
    <m/>
    <m/>
    <m/>
    <m/>
    <m/>
    <m/>
    <m/>
    <m/>
    <n v="2349"/>
    <n v="5482"/>
    <n v="7831"/>
    <n v="16140"/>
    <n v="37660"/>
    <n v="53800"/>
    <m/>
    <m/>
    <m/>
    <m/>
    <m/>
    <m/>
    <m/>
    <m/>
    <s v="YES"/>
    <n v="7831"/>
    <n v="0.3"/>
    <n v="53800"/>
    <m/>
    <m/>
    <m/>
    <m/>
    <m/>
    <m/>
    <m/>
    <m/>
    <m/>
    <m/>
    <m/>
    <m/>
    <m/>
    <m/>
    <m/>
    <m/>
    <s v="YES"/>
    <n v="7831"/>
    <n v="0.3"/>
    <n v="53800"/>
    <s v="YES"/>
    <n v="7831"/>
    <n v="0.3"/>
    <n v="53800"/>
    <s v="NO"/>
    <m/>
    <m/>
    <m/>
    <m/>
    <m/>
    <m/>
    <m/>
    <m/>
    <m/>
    <m/>
    <m/>
    <m/>
    <m/>
    <m/>
    <m/>
    <s v="YES"/>
    <n v="7831"/>
    <n v="0.3"/>
    <n v="53800"/>
    <s v="YES"/>
    <n v="5600"/>
    <n v="0.3"/>
    <n v="22400"/>
    <m/>
    <m/>
    <m/>
    <m/>
    <m/>
    <m/>
    <m/>
    <m/>
    <m/>
    <s v="YES"/>
    <s v="December"/>
    <n v="2016"/>
    <s v="YES"/>
    <s v="YES"/>
    <s v="July"/>
    <n v="2017"/>
    <s v="End of project eevaluation will be conducted in July 2017"/>
    <x v="1"/>
    <s v="YES"/>
    <s v="YES"/>
    <s v="YES"/>
    <s v="YES"/>
    <s v="YES"/>
    <s v="YES"/>
    <s v="YES"/>
    <s v="NO"/>
    <m/>
    <x v="1"/>
    <s v="Engaging men and boys approach"/>
    <x v="1"/>
    <s v="Engaging men and boys approach"/>
    <x v="1"/>
    <x v="1"/>
    <s v="YES"/>
    <x v="0"/>
    <x v="0"/>
    <x v="0"/>
    <x v="2"/>
    <n v="4"/>
    <x v="2"/>
    <x v="1"/>
    <x v="1"/>
    <x v="1"/>
    <x v="1"/>
    <x v="2"/>
    <n v="4"/>
    <x v="3"/>
    <x v="1"/>
    <x v="1"/>
    <x v="1"/>
    <x v="4"/>
    <n v="3"/>
    <x v="2"/>
    <x v="3"/>
    <n v="1"/>
    <s v="Local NGO(s)/CSO(s)"/>
    <s v="Local government(s)"/>
    <s v="Grassroots organization(s)"/>
    <x v="2"/>
    <s v="Capacity building training"/>
    <s v="No changes/adjustments made in this FY"/>
    <s v="Engaging men and Boys"/>
    <s v="VSLAs"/>
    <s v="School programs (working with members of the Parents Teachers Associations)"/>
    <s v="Involvement of health service providers and local leaders in meetings and dialogues conducted by the Role Model Men has contributed to the success of the project."/>
    <s v="Continuous dialogues between role model men, men participating households and other men in the community is helpful in changing attitudes, beliefs and perception on sharing house chores among couples."/>
    <s v="Coordination with different stakeholders is important for operational planning and effective delivery of integrated SRMCH services."/>
    <s v="7,831 direct participants include household members of the 100 role model men and members of the participating households reached by role model men. It also include trained health workers, local leaders and members of the Parents Teachers Association (PTA). The 53,800 indirect participants include parents and teachers participating in the Parents Teachers Association (PTA) general meetings and participants for the community outreaches organized by the role model men together with health workers. It also include people accessing health services from the trained health workers/local leaders and people accessing information through peer sharing with household members of the participating 10 households."/>
    <m/>
    <n v="7831"/>
    <n v="53800"/>
    <n v="6.8701315285404165"/>
    <n v="0.29996169071638362"/>
    <n v="0.3"/>
    <n v="2349"/>
    <n v="16140"/>
    <s v=""/>
    <n v="0"/>
    <n v="0"/>
    <s v=""/>
    <n v="1"/>
    <n v="5600"/>
    <n v="22400"/>
    <n v="4"/>
    <n v="1"/>
    <n v="7831"/>
    <n v="53800"/>
    <n v="6.8701315285404165"/>
    <n v="1"/>
    <n v="7831"/>
    <n v="53800"/>
    <n v="6.8701315285404165"/>
    <s v=""/>
    <n v="0"/>
    <n v="0"/>
    <s v=""/>
    <s v="4. Transformative"/>
    <s v="4. Transformational"/>
    <s v="4. Transformative"/>
    <s v="It tested new ways for fighting poverty, but did not measure results of innovation"/>
    <s v="Moderate advocacy"/>
    <s v="It linked and worked with strategic alliances and partners to take tested and effective solutions to scale"/>
  </r>
  <r>
    <x v="76"/>
    <x v="3"/>
    <n v="3431"/>
    <s v="United Nations Joint program on GBV"/>
    <s v="Uganda"/>
    <s v="UNFPUG0009"/>
    <s v="No CARE member related to the project/initiative"/>
    <s v="Multilateral agency"/>
    <s v="UN - United Nations agencies/offices"/>
    <s v="UNFPA"/>
    <m/>
    <m/>
    <m/>
    <m/>
    <m/>
    <m/>
    <m/>
    <m/>
    <m/>
    <m/>
    <m/>
    <m/>
    <m/>
    <m/>
    <m/>
    <m/>
    <m/>
    <m/>
    <m/>
    <m/>
    <m/>
    <m/>
    <m/>
    <m/>
    <m/>
    <m/>
    <m/>
    <m/>
    <m/>
    <m/>
    <m/>
    <m/>
    <m/>
    <m/>
    <m/>
    <m/>
    <m/>
    <m/>
    <m/>
    <m/>
    <m/>
    <m/>
    <m/>
    <m/>
    <m/>
    <d v="2017-01-01T00:00:00"/>
    <m/>
    <m/>
    <s v="Development A Life Free From Violence (GBV)"/>
    <n v="160000"/>
    <s v="Ronald Matanda"/>
    <s v="Programme Manager"/>
    <s v="Ronald.Matanda@care.org"/>
    <s v="Ronald Ogal"/>
    <s v="Initiative Manager"/>
    <s v="rogal@care.org"/>
    <s v="NO"/>
    <s v="YES"/>
    <s v="NO"/>
    <s v="To contribute to sustainability of a gender based violence free society in Northern and North Eastern Uganda, where women and girls continue to be protected and empowered to assert their rights and are treated with dignity and respect."/>
    <s v="Sub-National"/>
    <s v="Northern Uganda, covering the four districts of Gulu, Amuru, Pader and Kitgum"/>
    <s v="Post-conflict affected, poor and  vulnerable women and girls (15-49 years of age)"/>
    <n v="35574"/>
    <n v="23716"/>
    <n v="59290"/>
    <n v="1500000"/>
    <n v="1000000"/>
    <n v="2500000"/>
    <s v="Direct participants are people the project reached through trainings, GBV services (medical support, psychosocial support, safety and security services), follow ups, outreaches and dialogues. Indirect participants on the other hand are people  reached by the project through peer sharing and different radio programs."/>
    <m/>
    <m/>
    <m/>
    <m/>
    <m/>
    <m/>
    <m/>
    <m/>
    <m/>
    <m/>
    <m/>
    <m/>
    <m/>
    <m/>
    <m/>
    <m/>
    <m/>
    <m/>
    <m/>
    <m/>
    <m/>
    <m/>
    <m/>
    <m/>
    <m/>
    <m/>
    <m/>
    <m/>
    <m/>
    <m/>
    <m/>
    <m/>
    <m/>
    <m/>
    <m/>
    <m/>
    <m/>
    <m/>
    <m/>
    <m/>
    <m/>
    <m/>
    <m/>
    <m/>
    <m/>
    <m/>
    <m/>
    <m/>
    <m/>
    <m/>
    <m/>
    <m/>
    <m/>
    <m/>
    <m/>
    <m/>
    <m/>
    <m/>
    <m/>
    <m/>
    <n v="27227"/>
    <n v="18151"/>
    <n v="45378"/>
    <n v="1380000"/>
    <n v="920000"/>
    <n v="2300000"/>
    <m/>
    <m/>
    <m/>
    <m/>
    <m/>
    <m/>
    <m/>
    <m/>
    <s v="YES"/>
    <n v="45378"/>
    <n v="0.6"/>
    <n v="2300000"/>
    <m/>
    <m/>
    <m/>
    <m/>
    <m/>
    <m/>
    <m/>
    <m/>
    <s v="YES"/>
    <n v="45378"/>
    <n v="0.6"/>
    <n v="2300000"/>
    <m/>
    <m/>
    <m/>
    <m/>
    <s v="YES"/>
    <n v="45378"/>
    <n v="0.6"/>
    <n v="2300000"/>
    <s v="YES"/>
    <n v="45378"/>
    <n v="0.6"/>
    <n v="2300000"/>
    <m/>
    <m/>
    <m/>
    <m/>
    <m/>
    <m/>
    <m/>
    <m/>
    <m/>
    <m/>
    <m/>
    <m/>
    <m/>
    <m/>
    <m/>
    <m/>
    <s v="YES"/>
    <n v="45378"/>
    <n v="0.6"/>
    <n v="2300000"/>
    <m/>
    <m/>
    <m/>
    <m/>
    <s v="YES"/>
    <n v="45378"/>
    <n v="0.6"/>
    <n v="2300000"/>
    <m/>
    <m/>
    <m/>
    <m/>
    <m/>
    <s v="YES"/>
    <s v="April"/>
    <n v="2017"/>
    <s v="NO"/>
    <s v="NO"/>
    <m/>
    <m/>
    <m/>
    <x v="2"/>
    <s v="YES"/>
    <s v="YES"/>
    <s v="YES"/>
    <s v="YES"/>
    <s v="YES"/>
    <m/>
    <s v="YES"/>
    <s v="YES"/>
    <s v="Development of alcohol ordinance to regulate the sale and consumption of alcohol in Gulu district"/>
    <x v="2"/>
    <m/>
    <x v="1"/>
    <m/>
    <x v="2"/>
    <x v="1"/>
    <s v="YES"/>
    <x v="0"/>
    <x v="0"/>
    <x v="0"/>
    <x v="2"/>
    <n v="4"/>
    <x v="2"/>
    <x v="1"/>
    <x v="1"/>
    <x v="1"/>
    <x v="1"/>
    <x v="2"/>
    <n v="4"/>
    <x v="3"/>
    <x v="1"/>
    <x v="1"/>
    <x v="1"/>
    <x v="4"/>
    <n v="3"/>
    <x v="2"/>
    <x v="3"/>
    <n v="2"/>
    <s v="Local NGO(s)/CSO(s)"/>
    <s v="Local government(s)"/>
    <s v="Grassroots organization(s)"/>
    <x v="2"/>
    <s v="Capacity building training"/>
    <s v="No changes/adjustments made in this FY"/>
    <s v="Engaging men and Boys"/>
    <s v="SASA! Methodology"/>
    <s v="Peer Education (in and out of schools)"/>
    <s v="Engaging men and boys in dialogues around social norms and positive masculinity has proven to be successful in challenging practices that perpetrate violence against women."/>
    <s v="Coordination with different stakeholders is important for operational planning and effective delivery of integrated GBV prevention and response services."/>
    <s v="Alcoholism is still a major challenge in GBV prevention"/>
    <s v="45,378 direct participants include the role model men, SASA Activists, peer educators in schools and out of schools, senior women and males teachers and members of the different clubs in schools. It also include people who benefited from the different trainings, GBV services (medical support, psychosocial support, safety and security services), follow ups, outreaches and dialogues. 2,300,000 indirect participants people who benefited from the project through peer sharing in schools and community. It also include people reached through different radio programs."/>
    <s v="Link to National GBV database http://ngbvd.mglsd.go.ug/statdistrictdetails.php, Ipsos Connect; Audience Research (Day After Recall Approach) quarter three 2016"/>
    <n v="45378"/>
    <n v="2300000"/>
    <n v="50.685354136365639"/>
    <n v="0.60000440742209882"/>
    <n v="0.6"/>
    <n v="27227"/>
    <n v="1380000"/>
    <s v=""/>
    <n v="0"/>
    <n v="0"/>
    <s v=""/>
    <s v=""/>
    <n v="0"/>
    <n v="0"/>
    <s v=""/>
    <n v="1"/>
    <n v="45378"/>
    <n v="2300000"/>
    <n v="50.685354136365639"/>
    <n v="1"/>
    <n v="45378"/>
    <n v="2300000"/>
    <n v="50.685354136365639"/>
    <n v="1"/>
    <n v="45378"/>
    <n v="2300000"/>
    <n v="50.685354136365639"/>
    <s v="4. Transformative"/>
    <s v="4. Transformational"/>
    <s v="4. Transformative"/>
    <s v="It tested new ways for fighting poverty and measured results of innovation"/>
    <s v="Intensive advocacy"/>
    <s v="It linked and worked with strategic alliances and partners to take tested and effective solutions to scale"/>
  </r>
  <r>
    <x v="77"/>
    <x v="1"/>
    <m/>
    <s v="&quot;Growing Together&quot; report on systems approach to microenterprises in value chains."/>
    <s v="United Kingdom"/>
    <m/>
    <s v="CARE UK"/>
    <m/>
    <m/>
    <m/>
    <m/>
    <m/>
    <m/>
    <m/>
    <m/>
    <m/>
    <m/>
    <m/>
    <m/>
    <m/>
    <m/>
    <m/>
    <m/>
    <m/>
    <m/>
    <m/>
    <m/>
    <m/>
    <m/>
    <m/>
    <m/>
    <m/>
    <m/>
    <m/>
    <m/>
    <m/>
    <m/>
    <m/>
    <m/>
    <m/>
    <m/>
    <m/>
    <m/>
    <m/>
    <m/>
    <m/>
    <m/>
    <m/>
    <m/>
    <m/>
    <m/>
    <m/>
    <m/>
    <m/>
    <m/>
    <m/>
    <d v="2017-09-29T00:00:00"/>
    <m/>
    <m/>
    <m/>
    <s v="Gerry Boyle"/>
    <s v="Senior Policy Advisor, Women's Economic Empowerment"/>
    <s v="boyle@careinternational.org"/>
    <m/>
    <m/>
    <m/>
    <s v="NO"/>
    <s v="YES"/>
    <s v="NO"/>
    <s v="Urge companies to take a systems approach to incorporating micro-enterprises in their value chains"/>
    <s v="Global"/>
    <m/>
    <s v="Micro-enterprises and especially women."/>
    <m/>
    <m/>
    <n v="1000"/>
    <m/>
    <m/>
    <m/>
    <s v="4xroundtables and EU delegation presentation plus hard copies distributed by CARE"/>
    <m/>
    <m/>
    <m/>
    <m/>
    <m/>
    <m/>
    <m/>
    <m/>
    <m/>
    <m/>
    <m/>
    <m/>
    <m/>
    <m/>
    <m/>
    <m/>
    <m/>
    <m/>
    <m/>
    <m/>
    <m/>
    <m/>
    <m/>
    <m/>
    <m/>
    <m/>
    <m/>
    <m/>
    <m/>
    <m/>
    <m/>
    <m/>
    <m/>
    <m/>
    <m/>
    <m/>
    <m/>
    <m/>
    <m/>
    <m/>
    <m/>
    <m/>
    <m/>
    <m/>
    <m/>
    <m/>
    <m/>
    <m/>
    <m/>
    <m/>
    <m/>
    <m/>
    <m/>
    <m/>
    <m/>
    <m/>
    <m/>
    <m/>
    <m/>
    <m/>
    <m/>
    <m/>
    <n v="1000"/>
    <m/>
    <m/>
    <m/>
    <m/>
    <m/>
    <m/>
    <m/>
    <m/>
    <m/>
    <m/>
    <m/>
    <m/>
    <m/>
    <m/>
    <m/>
    <m/>
    <m/>
    <m/>
    <m/>
    <m/>
    <m/>
    <m/>
    <m/>
    <m/>
    <m/>
    <m/>
    <m/>
    <m/>
    <m/>
    <m/>
    <m/>
    <m/>
    <m/>
    <m/>
    <m/>
    <m/>
    <m/>
    <m/>
    <m/>
    <m/>
    <m/>
    <m/>
    <m/>
    <m/>
    <m/>
    <m/>
    <m/>
    <m/>
    <m/>
    <m/>
    <m/>
    <m/>
    <m/>
    <m/>
    <m/>
    <m/>
    <m/>
    <m/>
    <m/>
    <m/>
    <m/>
    <m/>
    <m/>
    <s v="YES"/>
    <n v="1000"/>
    <m/>
    <m/>
    <m/>
    <m/>
    <m/>
    <m/>
    <m/>
    <m/>
    <m/>
    <m/>
    <m/>
    <m/>
    <m/>
    <m/>
    <m/>
    <x v="1"/>
    <s v="NO"/>
    <m/>
    <s v="YES"/>
    <m/>
    <m/>
    <m/>
    <m/>
    <m/>
    <m/>
    <x v="0"/>
    <m/>
    <x v="0"/>
    <m/>
    <x v="0"/>
    <x v="2"/>
    <m/>
    <x v="2"/>
    <x v="2"/>
    <x v="2"/>
    <x v="3"/>
    <n v="0"/>
    <x v="0"/>
    <x v="0"/>
    <x v="0"/>
    <x v="0"/>
    <x v="0"/>
    <x v="0"/>
    <n v="0"/>
    <x v="0"/>
    <x v="0"/>
    <x v="0"/>
    <x v="0"/>
    <x v="0"/>
    <n v="0"/>
    <x v="1"/>
    <x v="4"/>
    <m/>
    <m/>
    <m/>
    <m/>
    <x v="3"/>
    <m/>
    <m/>
    <m/>
    <m/>
    <m/>
    <m/>
    <m/>
    <m/>
    <m/>
    <s v="https://insights.careinternational.org.uk/development-blog/growing-together-report-guidance-to-businesses-to-support-them-in-helping-micro-enterprises-in-their-value-chains-to-thrive"/>
    <n v="1000"/>
    <n v="0"/>
    <n v="0"/>
    <n v="0"/>
    <s v=""/>
    <n v="0"/>
    <n v="0"/>
    <s v=""/>
    <n v="0"/>
    <n v="0"/>
    <s v=""/>
    <s v=""/>
    <n v="0"/>
    <n v="0"/>
    <s v=""/>
    <s v=""/>
    <n v="0"/>
    <n v="0"/>
    <s v=""/>
    <s v=""/>
    <n v="0"/>
    <n v="0"/>
    <s v=""/>
    <n v="1"/>
    <n v="1000"/>
    <n v="0"/>
    <n v="0"/>
    <s v="No marker score"/>
    <s v="No marker score"/>
    <s v="No marker score"/>
    <s v="It did not develop any specific innovation"/>
    <s v="Moderate advocacy"/>
    <s v="It did not take tested solutions to scale"/>
  </r>
  <r>
    <x v="77"/>
    <x v="1"/>
    <m/>
    <s v="Empowering Women in the Economy event  - How the Private Sector can advance the 2017 recommendations of the UN High Level Panel on Women's Economic Empowerment"/>
    <s v="United Kingdom"/>
    <m/>
    <s v="CARE UK"/>
    <m/>
    <m/>
    <m/>
    <m/>
    <m/>
    <m/>
    <m/>
    <m/>
    <m/>
    <m/>
    <m/>
    <m/>
    <m/>
    <m/>
    <m/>
    <m/>
    <m/>
    <m/>
    <m/>
    <m/>
    <m/>
    <m/>
    <m/>
    <m/>
    <m/>
    <m/>
    <m/>
    <m/>
    <m/>
    <m/>
    <m/>
    <m/>
    <m/>
    <m/>
    <m/>
    <m/>
    <m/>
    <m/>
    <m/>
    <m/>
    <m/>
    <m/>
    <m/>
    <m/>
    <m/>
    <m/>
    <m/>
    <m/>
    <d v="2017-05-01T00:00:00"/>
    <d v="2017-10-01T00:00:00"/>
    <m/>
    <s v="Development Other"/>
    <m/>
    <s v="Fiona Jarden"/>
    <s v="Financial inclusion policy and advocacy advisor"/>
    <s v="jarden@careinternational.org"/>
    <m/>
    <m/>
    <m/>
    <s v="NO"/>
    <s v="YES"/>
    <s v="NO"/>
    <s v="Influence private sector to implement the HLP recommendations - especially on eliminating GBV in the workplace and expanding financial inclusion (VSLAs)"/>
    <s v="Global"/>
    <s v="Global - Sub-Saharan Africa, MENA, Asia, LAC."/>
    <s v="Low income women and adolescents"/>
    <m/>
    <m/>
    <n v="400"/>
    <m/>
    <m/>
    <m/>
    <s v="People who were intvited to and attended the event."/>
    <m/>
    <m/>
    <m/>
    <m/>
    <m/>
    <m/>
    <m/>
    <m/>
    <m/>
    <m/>
    <m/>
    <m/>
    <m/>
    <m/>
    <m/>
    <m/>
    <m/>
    <m/>
    <m/>
    <m/>
    <m/>
    <m/>
    <m/>
    <m/>
    <m/>
    <m/>
    <m/>
    <m/>
    <m/>
    <m/>
    <m/>
    <m/>
    <m/>
    <m/>
    <m/>
    <m/>
    <m/>
    <m/>
    <m/>
    <m/>
    <m/>
    <m/>
    <m/>
    <m/>
    <m/>
    <m/>
    <m/>
    <m/>
    <m/>
    <m/>
    <m/>
    <m/>
    <m/>
    <m/>
    <m/>
    <m/>
    <m/>
    <m/>
    <m/>
    <m/>
    <m/>
    <m/>
    <n v="400"/>
    <m/>
    <m/>
    <m/>
    <m/>
    <m/>
    <m/>
    <m/>
    <m/>
    <m/>
    <m/>
    <m/>
    <m/>
    <m/>
    <m/>
    <m/>
    <m/>
    <m/>
    <m/>
    <m/>
    <m/>
    <m/>
    <m/>
    <m/>
    <m/>
    <m/>
    <m/>
    <m/>
    <m/>
    <m/>
    <m/>
    <m/>
    <m/>
    <m/>
    <m/>
    <m/>
    <m/>
    <m/>
    <m/>
    <m/>
    <m/>
    <m/>
    <m/>
    <m/>
    <m/>
    <m/>
    <m/>
    <m/>
    <m/>
    <m/>
    <m/>
    <m/>
    <m/>
    <m/>
    <m/>
    <m/>
    <m/>
    <m/>
    <m/>
    <m/>
    <m/>
    <m/>
    <m/>
    <m/>
    <s v="YES"/>
    <n v="400"/>
    <m/>
    <m/>
    <m/>
    <m/>
    <m/>
    <m/>
    <m/>
    <s v="NO"/>
    <m/>
    <m/>
    <s v="NO"/>
    <s v="NO"/>
    <m/>
    <m/>
    <m/>
    <x v="2"/>
    <s v="NO"/>
    <m/>
    <s v="NO"/>
    <s v="NO"/>
    <s v="YES"/>
    <s v="NO"/>
    <s v="NO"/>
    <s v="NO"/>
    <m/>
    <x v="0"/>
    <m/>
    <x v="0"/>
    <m/>
    <x v="1"/>
    <x v="2"/>
    <s v="NO"/>
    <x v="2"/>
    <x v="2"/>
    <x v="2"/>
    <x v="3"/>
    <n v="0"/>
    <x v="0"/>
    <x v="0"/>
    <x v="0"/>
    <x v="0"/>
    <x v="0"/>
    <x v="0"/>
    <n v="0"/>
    <x v="0"/>
    <x v="0"/>
    <x v="0"/>
    <x v="0"/>
    <x v="0"/>
    <n v="0"/>
    <x v="1"/>
    <x v="4"/>
    <m/>
    <m/>
    <m/>
    <m/>
    <x v="0"/>
    <m/>
    <m/>
    <m/>
    <m/>
    <m/>
    <s v="Event cross-sector partnership useful for acheving outcomes and focus on private sector for a London event helped achieved outcomes"/>
    <m/>
    <m/>
    <m/>
    <s v="https://insights.careinternational.org.uk/in-depth/emp-women-in-economy-event-2017"/>
    <n v="400"/>
    <n v="0"/>
    <n v="0"/>
    <n v="0"/>
    <s v=""/>
    <n v="0"/>
    <n v="0"/>
    <s v=""/>
    <n v="0"/>
    <n v="0"/>
    <s v=""/>
    <s v=""/>
    <n v="0"/>
    <n v="0"/>
    <s v=""/>
    <s v=""/>
    <n v="0"/>
    <n v="0"/>
    <s v=""/>
    <s v=""/>
    <n v="0"/>
    <n v="0"/>
    <s v=""/>
    <n v="1"/>
    <n v="400"/>
    <n v="0"/>
    <n v="0"/>
    <s v="No marker score"/>
    <s v="No marker score"/>
    <s v="No marker score"/>
    <s v="It did not develop any specific innovation"/>
    <s v="Intensive advocacy"/>
    <s v="It did not take tested solutions to scale"/>
  </r>
  <r>
    <x v="77"/>
    <x v="1"/>
    <m/>
    <s v="Global partnership for the financial inclusion of the unbanked."/>
    <s v="United Kingdom"/>
    <m/>
    <s v="CARE UK"/>
    <m/>
    <m/>
    <m/>
    <m/>
    <m/>
    <m/>
    <m/>
    <m/>
    <m/>
    <m/>
    <m/>
    <m/>
    <m/>
    <m/>
    <m/>
    <m/>
    <m/>
    <m/>
    <m/>
    <m/>
    <m/>
    <m/>
    <m/>
    <m/>
    <m/>
    <m/>
    <m/>
    <m/>
    <m/>
    <m/>
    <m/>
    <m/>
    <m/>
    <m/>
    <m/>
    <m/>
    <m/>
    <m/>
    <m/>
    <m/>
    <m/>
    <m/>
    <m/>
    <m/>
    <m/>
    <m/>
    <m/>
    <m/>
    <d v="2016-01-01T00:00:00"/>
    <m/>
    <m/>
    <s v="Development Other"/>
    <m/>
    <s v="Fiona Jarden"/>
    <s v="Financial inclusion policy and advocacy advisor"/>
    <s v="jarden@careinternational.org"/>
    <m/>
    <m/>
    <m/>
    <s v="NO"/>
    <s v="YES"/>
    <s v="NO"/>
    <s v="Pioneer a cross-sector global partnership to financially include 600m of the world's unbanked women"/>
    <s v="Global"/>
    <s v="Global - Sub-Saharan Africa, MENA, Asia, LAC."/>
    <s v="Low income women and adolescents with no access to financial services"/>
    <m/>
    <m/>
    <n v="120"/>
    <m/>
    <m/>
    <m/>
    <m/>
    <m/>
    <m/>
    <m/>
    <m/>
    <m/>
    <m/>
    <m/>
    <m/>
    <m/>
    <m/>
    <m/>
    <m/>
    <m/>
    <m/>
    <m/>
    <m/>
    <m/>
    <m/>
    <m/>
    <m/>
    <m/>
    <m/>
    <m/>
    <m/>
    <m/>
    <m/>
    <m/>
    <m/>
    <m/>
    <m/>
    <m/>
    <m/>
    <m/>
    <m/>
    <m/>
    <m/>
    <m/>
    <m/>
    <m/>
    <m/>
    <m/>
    <m/>
    <m/>
    <m/>
    <m/>
    <m/>
    <m/>
    <m/>
    <m/>
    <m/>
    <m/>
    <m/>
    <m/>
    <m/>
    <m/>
    <m/>
    <m/>
    <m/>
    <m/>
    <m/>
    <m/>
    <m/>
    <m/>
    <m/>
    <m/>
    <m/>
    <m/>
    <m/>
    <m/>
    <m/>
    <m/>
    <m/>
    <m/>
    <m/>
    <m/>
    <m/>
    <m/>
    <m/>
    <m/>
    <m/>
    <m/>
    <m/>
    <m/>
    <m/>
    <m/>
    <m/>
    <m/>
    <m/>
    <m/>
    <m/>
    <m/>
    <m/>
    <m/>
    <m/>
    <m/>
    <m/>
    <m/>
    <m/>
    <m/>
    <m/>
    <m/>
    <m/>
    <m/>
    <m/>
    <m/>
    <m/>
    <m/>
    <m/>
    <m/>
    <m/>
    <m/>
    <m/>
    <m/>
    <m/>
    <m/>
    <m/>
    <m/>
    <m/>
    <m/>
    <m/>
    <m/>
    <m/>
    <m/>
    <m/>
    <m/>
    <m/>
    <s v="YES"/>
    <n v="120"/>
    <m/>
    <m/>
    <m/>
    <m/>
    <m/>
    <m/>
    <m/>
    <s v="NO"/>
    <m/>
    <m/>
    <s v="NO"/>
    <s v="NO"/>
    <m/>
    <m/>
    <m/>
    <x v="2"/>
    <s v="NO"/>
    <m/>
    <s v="NO"/>
    <s v="NO"/>
    <s v="YES"/>
    <s v="NO"/>
    <s v="NO"/>
    <s v="NO"/>
    <m/>
    <x v="0"/>
    <m/>
    <x v="0"/>
    <m/>
    <x v="0"/>
    <x v="2"/>
    <s v="NO"/>
    <x v="2"/>
    <x v="2"/>
    <x v="2"/>
    <x v="3"/>
    <n v="0"/>
    <x v="0"/>
    <x v="0"/>
    <x v="0"/>
    <x v="0"/>
    <x v="0"/>
    <x v="0"/>
    <n v="0"/>
    <x v="0"/>
    <x v="0"/>
    <x v="0"/>
    <x v="0"/>
    <x v="0"/>
    <n v="0"/>
    <x v="1"/>
    <x v="4"/>
    <m/>
    <m/>
    <m/>
    <m/>
    <x v="0"/>
    <m/>
    <m/>
    <m/>
    <m/>
    <m/>
    <m/>
    <m/>
    <m/>
    <m/>
    <s v="https://insights.careinternational.org.uk/publications/briefing-paper-to-the-un-high-level-panel-on-women-s-economic-empowerment-working-group-on-financial-digital-inclusion-and-property"/>
    <n v="0"/>
    <n v="0"/>
    <s v=""/>
    <s v=""/>
    <s v=""/>
    <n v="0"/>
    <n v="0"/>
    <s v=""/>
    <n v="0"/>
    <n v="0"/>
    <s v=""/>
    <s v=""/>
    <n v="0"/>
    <n v="0"/>
    <s v=""/>
    <s v=""/>
    <n v="0"/>
    <n v="0"/>
    <s v=""/>
    <s v=""/>
    <n v="0"/>
    <n v="0"/>
    <s v=""/>
    <n v="1"/>
    <n v="120"/>
    <n v="0"/>
    <n v="0"/>
    <s v="No marker score"/>
    <s v="No marker score"/>
    <s v="No marker score"/>
    <s v="It did not develop any specific innovation"/>
    <s v="Intensive advocacy"/>
    <s v="It did not take tested solutions to scale"/>
  </r>
  <r>
    <x v="77"/>
    <x v="1"/>
    <m/>
    <s v="ILO Convention on ending violence at work"/>
    <s v="United Kingdom"/>
    <m/>
    <s v="CARE UK"/>
    <m/>
    <m/>
    <m/>
    <m/>
    <m/>
    <m/>
    <m/>
    <m/>
    <m/>
    <m/>
    <m/>
    <m/>
    <m/>
    <m/>
    <m/>
    <m/>
    <m/>
    <m/>
    <m/>
    <m/>
    <m/>
    <m/>
    <m/>
    <m/>
    <m/>
    <m/>
    <m/>
    <m/>
    <m/>
    <m/>
    <m/>
    <m/>
    <m/>
    <m/>
    <m/>
    <m/>
    <m/>
    <m/>
    <m/>
    <m/>
    <m/>
    <m/>
    <m/>
    <m/>
    <m/>
    <m/>
    <m/>
    <m/>
    <d v="2017-06-26T00:00:00"/>
    <d v="2020-06-30T00:00:00"/>
    <m/>
    <s v="Development A Life Free From Violence (GBV)"/>
    <m/>
    <s v="Gerry Boyle"/>
    <s v="Senior Policy Advisor, Women's Economic Empowerment"/>
    <s v="boyle@careinternational.org"/>
    <m/>
    <m/>
    <m/>
    <s v="NO"/>
    <s v="YES"/>
    <s v="NO"/>
    <s v="Urge the ILO to adopt a new convention on addressing GBV in the world of work"/>
    <s v="Global"/>
    <s v="Potentially global and certainly Asia, LAC, UK, USA, Australia."/>
    <s v="Women at work including informal workers and home workers."/>
    <m/>
    <m/>
    <n v="5"/>
    <m/>
    <m/>
    <m/>
    <s v="Direct participants are those who we have directly engaged in order to make change."/>
    <m/>
    <m/>
    <m/>
    <m/>
    <m/>
    <m/>
    <m/>
    <m/>
    <m/>
    <m/>
    <m/>
    <m/>
    <m/>
    <m/>
    <m/>
    <m/>
    <m/>
    <m/>
    <m/>
    <m/>
    <m/>
    <m/>
    <m/>
    <m/>
    <m/>
    <m/>
    <m/>
    <m/>
    <m/>
    <m/>
    <m/>
    <m/>
    <m/>
    <m/>
    <m/>
    <m/>
    <m/>
    <m/>
    <m/>
    <m/>
    <m/>
    <m/>
    <m/>
    <m/>
    <m/>
    <m/>
    <m/>
    <m/>
    <m/>
    <m/>
    <m/>
    <m/>
    <m/>
    <m/>
    <m/>
    <m/>
    <m/>
    <m/>
    <m/>
    <m/>
    <m/>
    <m/>
    <n v="5"/>
    <m/>
    <m/>
    <m/>
    <m/>
    <m/>
    <m/>
    <m/>
    <m/>
    <m/>
    <m/>
    <m/>
    <m/>
    <m/>
    <m/>
    <m/>
    <m/>
    <m/>
    <m/>
    <m/>
    <m/>
    <m/>
    <m/>
    <m/>
    <m/>
    <m/>
    <m/>
    <m/>
    <m/>
    <m/>
    <m/>
    <m/>
    <m/>
    <m/>
    <m/>
    <m/>
    <m/>
    <m/>
    <m/>
    <m/>
    <m/>
    <m/>
    <m/>
    <m/>
    <m/>
    <m/>
    <m/>
    <m/>
    <m/>
    <m/>
    <m/>
    <m/>
    <m/>
    <m/>
    <m/>
    <m/>
    <m/>
    <m/>
    <m/>
    <m/>
    <m/>
    <m/>
    <m/>
    <m/>
    <m/>
    <m/>
    <m/>
    <m/>
    <m/>
    <m/>
    <m/>
    <m/>
    <m/>
    <m/>
    <m/>
    <m/>
    <m/>
    <m/>
    <m/>
    <m/>
    <m/>
    <x v="2"/>
    <s v="YES"/>
    <m/>
    <m/>
    <m/>
    <m/>
    <m/>
    <m/>
    <m/>
    <m/>
    <x v="0"/>
    <m/>
    <x v="0"/>
    <m/>
    <x v="2"/>
    <x v="2"/>
    <m/>
    <x v="2"/>
    <x v="2"/>
    <x v="2"/>
    <x v="3"/>
    <n v="0"/>
    <x v="0"/>
    <x v="0"/>
    <x v="0"/>
    <x v="0"/>
    <x v="0"/>
    <x v="0"/>
    <n v="0"/>
    <x v="0"/>
    <x v="0"/>
    <x v="0"/>
    <x v="0"/>
    <x v="0"/>
    <n v="0"/>
    <x v="1"/>
    <x v="4"/>
    <m/>
    <m/>
    <m/>
    <m/>
    <x v="3"/>
    <m/>
    <m/>
    <m/>
    <m/>
    <m/>
    <m/>
    <m/>
    <m/>
    <m/>
    <s v="https://insights.careinternational.org.uk/in-depth/ending-violence-and-harassment-at-work"/>
    <n v="5"/>
    <n v="0"/>
    <n v="0"/>
    <n v="0"/>
    <s v=""/>
    <n v="0"/>
    <n v="0"/>
    <s v=""/>
    <n v="0"/>
    <n v="0"/>
    <s v=""/>
    <s v=""/>
    <n v="0"/>
    <n v="0"/>
    <s v=""/>
    <s v=""/>
    <n v="0"/>
    <n v="0"/>
    <s v=""/>
    <s v=""/>
    <n v="0"/>
    <n v="0"/>
    <s v=""/>
    <s v=""/>
    <n v="0"/>
    <n v="0"/>
    <s v=""/>
    <s v="No marker score"/>
    <s v="No marker score"/>
    <s v="No marker score"/>
    <s v="It did not develop any specific innovation"/>
    <s v="Intensive advocacy"/>
    <s v="It did not take tested solutions to scale"/>
  </r>
  <r>
    <x v="77"/>
    <x v="1"/>
    <m/>
    <s v="Innovations in Capturing Complex Change"/>
    <s v="United Kingdom"/>
    <m/>
    <s v="CARE UK"/>
    <m/>
    <m/>
    <s v="Halcrow"/>
    <m/>
    <m/>
    <m/>
    <m/>
    <m/>
    <m/>
    <m/>
    <m/>
    <m/>
    <m/>
    <m/>
    <m/>
    <m/>
    <m/>
    <m/>
    <m/>
    <m/>
    <m/>
    <m/>
    <m/>
    <m/>
    <m/>
    <m/>
    <m/>
    <m/>
    <m/>
    <m/>
    <m/>
    <m/>
    <m/>
    <m/>
    <m/>
    <m/>
    <m/>
    <m/>
    <m/>
    <m/>
    <m/>
    <m/>
    <m/>
    <m/>
    <m/>
    <m/>
    <m/>
    <m/>
    <d v="2015-09-01T00:00:00"/>
    <d v="2017-08-31T00:00:00"/>
    <m/>
    <s v="Development Other"/>
    <n v="202000"/>
    <s v="Tom Aston"/>
    <s v="Governance Advisor"/>
    <s v="aston@careinternational.org"/>
    <m/>
    <m/>
    <m/>
    <s v="YES"/>
    <s v="YES"/>
    <s v="YES"/>
    <s v="Strengthen M&amp;E capacity to measure the effects of inclusive govenance"/>
    <s v="Global"/>
    <s v="Ghana and Bangladesh"/>
    <s v="Strengthened capacity to measure the effects of inclusive govenance"/>
    <n v="48"/>
    <n v="68"/>
    <n v="115"/>
    <m/>
    <m/>
    <m/>
    <s v="Direct participants are those staff and partners who have received training in London, Washington, Dhaka, Gaziapur, Ashanti and Accra. Tracking indirect participants I believe would not be particularly valuable."/>
    <m/>
    <m/>
    <m/>
    <m/>
    <m/>
    <m/>
    <m/>
    <m/>
    <m/>
    <m/>
    <m/>
    <m/>
    <m/>
    <m/>
    <m/>
    <m/>
    <m/>
    <m/>
    <m/>
    <m/>
    <m/>
    <m/>
    <m/>
    <m/>
    <m/>
    <m/>
    <m/>
    <m/>
    <m/>
    <m/>
    <m/>
    <m/>
    <m/>
    <m/>
    <m/>
    <m/>
    <m/>
    <m/>
    <m/>
    <m/>
    <m/>
    <m/>
    <m/>
    <m/>
    <m/>
    <m/>
    <m/>
    <m/>
    <m/>
    <m/>
    <m/>
    <m/>
    <m/>
    <m/>
    <m/>
    <m/>
    <m/>
    <m/>
    <m/>
    <m/>
    <m/>
    <m/>
    <m/>
    <m/>
    <m/>
    <m/>
    <m/>
    <m/>
    <m/>
    <m/>
    <m/>
    <m/>
    <m/>
    <m/>
    <m/>
    <m/>
    <m/>
    <m/>
    <m/>
    <m/>
    <m/>
    <m/>
    <m/>
    <m/>
    <m/>
    <m/>
    <m/>
    <m/>
    <m/>
    <m/>
    <m/>
    <m/>
    <m/>
    <m/>
    <m/>
    <m/>
    <m/>
    <m/>
    <m/>
    <m/>
    <m/>
    <m/>
    <m/>
    <m/>
    <m/>
    <m/>
    <m/>
    <m/>
    <m/>
    <m/>
    <m/>
    <m/>
    <m/>
    <m/>
    <m/>
    <m/>
    <m/>
    <m/>
    <m/>
    <m/>
    <m/>
    <m/>
    <m/>
    <m/>
    <m/>
    <m/>
    <m/>
    <m/>
    <m/>
    <m/>
    <m/>
    <m/>
    <m/>
    <m/>
    <m/>
    <s v="NO"/>
    <m/>
    <m/>
    <m/>
    <m/>
    <m/>
    <m/>
    <s v="The initiative is designed to promote better evaluation. So, Ghana and Bangladesh teams are doing their own pilot contribution tracing evaluations."/>
    <x v="2"/>
    <m/>
    <m/>
    <m/>
    <m/>
    <m/>
    <m/>
    <m/>
    <m/>
    <m/>
    <x v="2"/>
    <s v="The project is designed to help promote uptake of innovative M&amp;E methods within CARE and for the wider development community. Contribution tracing is an innovative methodology. This will not contribute to fighting poverty directly, but will help streamline project monitoring which should ensure greater time is available for activities in which we are fighting poverty and inequality directly."/>
    <x v="1"/>
    <s v="The project is based around a learning partnership and one of the key aims was to bring different methods to scale. This has been achieved in terms of incorportating different qualitative methods in the the IGS strategy."/>
    <x v="0"/>
    <x v="3"/>
    <s v="NO"/>
    <x v="1"/>
    <x v="1"/>
    <x v="0"/>
    <x v="5"/>
    <n v="1"/>
    <x v="1"/>
    <x v="1"/>
    <x v="1"/>
    <x v="2"/>
    <x v="2"/>
    <x v="4"/>
    <n v="2"/>
    <x v="2"/>
    <x v="2"/>
    <x v="2"/>
    <x v="2"/>
    <x v="2"/>
    <n v="0"/>
    <x v="2"/>
    <x v="0"/>
    <n v="2"/>
    <s v="International NGO(s)"/>
    <s v="Local NGO(s)/CSO(s)"/>
    <m/>
    <x v="2"/>
    <s v="Only in terms of including them in the training activities"/>
    <s v="No. Only in the sense that the scope of influence appears to have improved. And in this sense we've focused more than anticipated on ensuring buy in from partners beyond CARE like USAID's CLA group, Bond, among others."/>
    <s v="Contribution tracing"/>
    <s v="Advocacy"/>
    <m/>
    <s v="1. Domains of change or theories of change?: concept before causation. 2. Qualitative is just anecdotal: causal inference beyond sample size. 3. Case study selection bias: the story of honourable Deborah. 4. Passive bystanders: the paradox of M vs. E (fears of bias, &amp; related skills gaps). 5. We don't have that data: Lots of activity data, little influence data. 6. We have that data, but where does it fit?: MSC confronts probative value"/>
    <m/>
    <m/>
    <m/>
    <m/>
    <n v="0"/>
    <n v="0"/>
    <s v=""/>
    <s v=""/>
    <s v=""/>
    <n v="0"/>
    <n v="0"/>
    <n v="1"/>
    <n v="0"/>
    <n v="0"/>
    <s v=""/>
    <s v=""/>
    <n v="0"/>
    <n v="0"/>
    <s v=""/>
    <s v=""/>
    <n v="0"/>
    <n v="0"/>
    <s v=""/>
    <s v=""/>
    <n v="0"/>
    <n v="0"/>
    <s v=""/>
    <s v=""/>
    <n v="0"/>
    <n v="0"/>
    <s v=""/>
    <s v="0. Harmful"/>
    <s v="1. Tokenistic"/>
    <s v="0. Harmful"/>
    <s v="It tested new ways for fighting poverty and measured results of innovation"/>
    <s v="Intensive advocacy"/>
    <s v="It linked and worked with strategic alliances and partners to take tested and effective solutions to scale"/>
  </r>
  <r>
    <x v="77"/>
    <x v="1"/>
    <m/>
    <s v="Linking for Change Savings Charter"/>
    <s v="United Kingdom"/>
    <m/>
    <s v="CARE UK"/>
    <m/>
    <m/>
    <m/>
    <m/>
    <m/>
    <m/>
    <m/>
    <m/>
    <m/>
    <m/>
    <m/>
    <m/>
    <m/>
    <m/>
    <m/>
    <m/>
    <m/>
    <m/>
    <m/>
    <m/>
    <m/>
    <m/>
    <m/>
    <m/>
    <m/>
    <m/>
    <m/>
    <m/>
    <m/>
    <m/>
    <m/>
    <m/>
    <m/>
    <m/>
    <m/>
    <m/>
    <m/>
    <m/>
    <m/>
    <m/>
    <m/>
    <m/>
    <m/>
    <m/>
    <m/>
    <m/>
    <m/>
    <m/>
    <d v="2016-03-01T00:00:00"/>
    <m/>
    <m/>
    <s v="Development Other"/>
    <m/>
    <s v="Fiona Jarden"/>
    <s v="Financial inclusion policy and advocacy advisor"/>
    <s v="jarden@careinternational.org"/>
    <m/>
    <m/>
    <m/>
    <s v="NO"/>
    <s v="YES"/>
    <s v="NO"/>
    <s v="Powerful global alliance of actors committed to responsibly bank savings groups"/>
    <s v="Global"/>
    <s v="Global - Sub-Saharan Africa, MENA, Asia, LAC."/>
    <s v="Low income populations"/>
    <m/>
    <m/>
    <n v="350"/>
    <m/>
    <m/>
    <m/>
    <m/>
    <m/>
    <m/>
    <m/>
    <m/>
    <m/>
    <m/>
    <m/>
    <m/>
    <m/>
    <m/>
    <m/>
    <m/>
    <m/>
    <m/>
    <m/>
    <m/>
    <m/>
    <m/>
    <m/>
    <m/>
    <m/>
    <m/>
    <m/>
    <m/>
    <m/>
    <m/>
    <m/>
    <m/>
    <m/>
    <m/>
    <m/>
    <m/>
    <m/>
    <m/>
    <m/>
    <m/>
    <m/>
    <m/>
    <m/>
    <m/>
    <m/>
    <m/>
    <m/>
    <m/>
    <m/>
    <m/>
    <m/>
    <m/>
    <m/>
    <m/>
    <m/>
    <m/>
    <m/>
    <m/>
    <m/>
    <m/>
    <m/>
    <m/>
    <m/>
    <m/>
    <m/>
    <m/>
    <n v="350"/>
    <m/>
    <m/>
    <m/>
    <m/>
    <m/>
    <m/>
    <m/>
    <m/>
    <m/>
    <m/>
    <m/>
    <m/>
    <m/>
    <m/>
    <m/>
    <m/>
    <m/>
    <m/>
    <m/>
    <m/>
    <m/>
    <m/>
    <m/>
    <m/>
    <m/>
    <m/>
    <m/>
    <m/>
    <m/>
    <m/>
    <m/>
    <m/>
    <m/>
    <m/>
    <m/>
    <m/>
    <m/>
    <m/>
    <m/>
    <m/>
    <m/>
    <m/>
    <m/>
    <m/>
    <m/>
    <m/>
    <m/>
    <m/>
    <m/>
    <m/>
    <m/>
    <m/>
    <m/>
    <m/>
    <m/>
    <m/>
    <m/>
    <m/>
    <m/>
    <m/>
    <m/>
    <m/>
    <m/>
    <s v="YES"/>
    <n v="350"/>
    <m/>
    <m/>
    <m/>
    <m/>
    <m/>
    <m/>
    <m/>
    <s v="NO"/>
    <m/>
    <m/>
    <s v="NO"/>
    <s v="NO"/>
    <m/>
    <m/>
    <m/>
    <x v="1"/>
    <s v="NO"/>
    <m/>
    <s v="NO"/>
    <s v="NO"/>
    <s v="YES"/>
    <s v="NO"/>
    <s v="NO"/>
    <s v="NO"/>
    <m/>
    <x v="0"/>
    <m/>
    <x v="0"/>
    <m/>
    <x v="0"/>
    <x v="2"/>
    <s v="NO"/>
    <x v="2"/>
    <x v="2"/>
    <x v="2"/>
    <x v="3"/>
    <n v="0"/>
    <x v="0"/>
    <x v="0"/>
    <x v="0"/>
    <x v="0"/>
    <x v="0"/>
    <x v="0"/>
    <n v="0"/>
    <x v="0"/>
    <x v="0"/>
    <x v="0"/>
    <x v="0"/>
    <x v="0"/>
    <n v="0"/>
    <x v="1"/>
    <x v="4"/>
    <m/>
    <m/>
    <m/>
    <m/>
    <x v="0"/>
    <m/>
    <m/>
    <m/>
    <m/>
    <m/>
    <m/>
    <m/>
    <m/>
    <m/>
    <s v="https://www.careinternational.org.uk/linking-for-change/"/>
    <n v="350"/>
    <n v="0"/>
    <n v="0"/>
    <n v="0"/>
    <s v=""/>
    <n v="0"/>
    <n v="0"/>
    <s v=""/>
    <n v="0"/>
    <n v="0"/>
    <s v=""/>
    <s v=""/>
    <n v="0"/>
    <n v="0"/>
    <s v=""/>
    <s v=""/>
    <n v="0"/>
    <n v="0"/>
    <s v=""/>
    <s v=""/>
    <n v="0"/>
    <n v="0"/>
    <s v=""/>
    <n v="1"/>
    <n v="350"/>
    <n v="0"/>
    <n v="0"/>
    <s v="No marker score"/>
    <s v="No marker score"/>
    <s v="No marker score"/>
    <s v="It did not develop any specific innovation"/>
    <s v="Moderate advocacy"/>
    <s v="It did not take tested solutions to scale"/>
  </r>
  <r>
    <x v="77"/>
    <x v="1"/>
    <m/>
    <s v="London Somalia Conference - ensuring civil society participation via support to diaspora side event"/>
    <s v="United Kingdom"/>
    <m/>
    <s v="CARE UK"/>
    <m/>
    <m/>
    <m/>
    <m/>
    <m/>
    <m/>
    <m/>
    <m/>
    <m/>
    <m/>
    <m/>
    <m/>
    <m/>
    <m/>
    <m/>
    <m/>
    <m/>
    <m/>
    <m/>
    <m/>
    <m/>
    <m/>
    <m/>
    <m/>
    <m/>
    <m/>
    <m/>
    <m/>
    <m/>
    <m/>
    <m/>
    <m/>
    <m/>
    <m/>
    <m/>
    <m/>
    <m/>
    <m/>
    <m/>
    <m/>
    <m/>
    <m/>
    <m/>
    <m/>
    <m/>
    <m/>
    <m/>
    <m/>
    <d v="2017-05-01T00:00:00"/>
    <d v="2017-05-30T00:00:00"/>
    <m/>
    <s v="Humanitarian Other"/>
    <m/>
    <s v="Suzy Madigan"/>
    <s v="Senior Policy Advisor"/>
    <s v="madigan@careinternational.org"/>
    <m/>
    <m/>
    <m/>
    <s v="YES"/>
    <s v="YES"/>
    <s v="YES"/>
    <s v="Working with FCO/DfID and London-based Somalia diaspora to organise women's side-event. The goal is to ensure that the voices of the diaspora of Somalia are included in the event and more broadly to advocate for greater includion of the voices of the diaspora into future events."/>
    <s v="Global"/>
    <s v="London, UK"/>
    <s v="Somali women and girls, civil society, diaspora in UK"/>
    <m/>
    <m/>
    <n v="5"/>
    <m/>
    <m/>
    <n v="45"/>
    <s v="The direct participants here are the 2 DFID/FCO workers to whom we advocated that they include diaspora voices in the conference plus the 3 young Somali leaders who were included in the event as a result of the advocacy. The indirect participants are the 45 people who attended the event itself.  The indirect participants might be even larger but it is difficult to gauge further impact but the aim was to try and ensure the includion more broadly of diaspora voices in conversations about Somalia"/>
    <m/>
    <m/>
    <m/>
    <n v="5"/>
    <m/>
    <m/>
    <n v="45"/>
    <m/>
    <m/>
    <m/>
    <m/>
    <m/>
    <m/>
    <m/>
    <m/>
    <m/>
    <m/>
    <m/>
    <m/>
    <m/>
    <m/>
    <m/>
    <m/>
    <m/>
    <m/>
    <m/>
    <m/>
    <m/>
    <m/>
    <m/>
    <m/>
    <m/>
    <m/>
    <m/>
    <m/>
    <m/>
    <m/>
    <m/>
    <m/>
    <m/>
    <m/>
    <m/>
    <m/>
    <m/>
    <m/>
    <m/>
    <m/>
    <m/>
    <m/>
    <m/>
    <m/>
    <m/>
    <m/>
    <m/>
    <m/>
    <m/>
    <s v="YES"/>
    <n v="5"/>
    <m/>
    <n v="45"/>
    <m/>
    <m/>
    <n v="5"/>
    <m/>
    <m/>
    <n v="45"/>
    <m/>
    <m/>
    <m/>
    <m/>
    <m/>
    <m/>
    <m/>
    <m/>
    <m/>
    <m/>
    <m/>
    <m/>
    <m/>
    <m/>
    <m/>
    <m/>
    <m/>
    <m/>
    <m/>
    <m/>
    <m/>
    <m/>
    <m/>
    <m/>
    <m/>
    <m/>
    <m/>
    <m/>
    <m/>
    <m/>
    <m/>
    <m/>
    <m/>
    <m/>
    <m/>
    <m/>
    <m/>
    <m/>
    <m/>
    <m/>
    <m/>
    <m/>
    <m/>
    <m/>
    <m/>
    <m/>
    <m/>
    <m/>
    <s v="YES"/>
    <n v="5"/>
    <m/>
    <n v="45"/>
    <m/>
    <m/>
    <m/>
    <m/>
    <m/>
    <m/>
    <m/>
    <m/>
    <m/>
    <m/>
    <m/>
    <m/>
    <m/>
    <m/>
    <m/>
    <m/>
    <m/>
    <m/>
    <m/>
    <m/>
    <m/>
    <m/>
    <m/>
    <m/>
    <m/>
    <x v="2"/>
    <s v="NO"/>
    <s v="NO"/>
    <s v="YES"/>
    <s v="NO"/>
    <s v="NO"/>
    <s v="NO"/>
    <s v="NO"/>
    <m/>
    <m/>
    <x v="0"/>
    <m/>
    <x v="0"/>
    <m/>
    <x v="0"/>
    <x v="2"/>
    <m/>
    <x v="2"/>
    <x v="2"/>
    <x v="2"/>
    <x v="3"/>
    <n v="0"/>
    <x v="0"/>
    <x v="0"/>
    <x v="0"/>
    <x v="0"/>
    <x v="0"/>
    <x v="0"/>
    <n v="0"/>
    <x v="0"/>
    <x v="0"/>
    <x v="0"/>
    <x v="0"/>
    <x v="0"/>
    <n v="0"/>
    <x v="1"/>
    <x v="4"/>
    <m/>
    <m/>
    <m/>
    <m/>
    <x v="3"/>
    <m/>
    <m/>
    <m/>
    <m/>
    <m/>
    <m/>
    <m/>
    <m/>
    <m/>
    <m/>
    <n v="5"/>
    <n v="45"/>
    <n v="9"/>
    <n v="0"/>
    <n v="0"/>
    <n v="0"/>
    <n v="0"/>
    <n v="1"/>
    <n v="5"/>
    <n v="45"/>
    <n v="9"/>
    <s v=""/>
    <n v="0"/>
    <n v="0"/>
    <s v=""/>
    <s v=""/>
    <n v="0"/>
    <n v="0"/>
    <s v=""/>
    <s v=""/>
    <n v="0"/>
    <n v="0"/>
    <s v=""/>
    <s v=""/>
    <n v="0"/>
    <n v="0"/>
    <s v=""/>
    <s v="No marker score"/>
    <s v="No marker score"/>
    <s v="No marker score"/>
    <s v="It did not develop any specific innovation"/>
    <s v="Intensive advocacy"/>
    <s v="It did not take tested solutions to scale"/>
  </r>
  <r>
    <x v="77"/>
    <x v="1"/>
    <m/>
    <s v="UN High Level Panel on Women's Economic Empowerment"/>
    <s v="United Kingdom"/>
    <m/>
    <s v="CARE UK"/>
    <m/>
    <m/>
    <m/>
    <m/>
    <m/>
    <m/>
    <m/>
    <m/>
    <m/>
    <m/>
    <m/>
    <m/>
    <m/>
    <m/>
    <m/>
    <m/>
    <m/>
    <m/>
    <m/>
    <m/>
    <m/>
    <m/>
    <m/>
    <m/>
    <m/>
    <m/>
    <m/>
    <m/>
    <m/>
    <m/>
    <m/>
    <m/>
    <m/>
    <m/>
    <m/>
    <m/>
    <m/>
    <m/>
    <m/>
    <m/>
    <m/>
    <m/>
    <m/>
    <m/>
    <m/>
    <m/>
    <m/>
    <m/>
    <d v="2015-10-01T00:00:00"/>
    <d v="2017-09-01T00:00:00"/>
    <m/>
    <s v="Development Other"/>
    <m/>
    <s v="Fiona Jarden"/>
    <s v="Financial Inclusion and Advocacy Advisor"/>
    <s v="jarden@careinternational.org"/>
    <m/>
    <m/>
    <m/>
    <s v="NO"/>
    <s v="YES"/>
    <s v="NO"/>
    <s v="Final report endorses VSLA / linkage scale up as a a proven path to WEE, then influence actors to implement this recommendation in policy and practice"/>
    <s v="Global"/>
    <s v="Global - Sub-Saharan Africa, MENA, Asia, LAC."/>
    <s v="Low income women and adolescents"/>
    <m/>
    <m/>
    <n v="1000"/>
    <m/>
    <m/>
    <m/>
    <s v="The direct participants are the number of people who attended working groups and presentations at events."/>
    <m/>
    <m/>
    <m/>
    <m/>
    <m/>
    <m/>
    <m/>
    <m/>
    <m/>
    <m/>
    <m/>
    <m/>
    <m/>
    <m/>
    <m/>
    <m/>
    <m/>
    <m/>
    <m/>
    <m/>
    <m/>
    <m/>
    <m/>
    <m/>
    <m/>
    <m/>
    <m/>
    <m/>
    <m/>
    <m/>
    <m/>
    <m/>
    <m/>
    <m/>
    <m/>
    <m/>
    <m/>
    <m/>
    <m/>
    <m/>
    <m/>
    <m/>
    <m/>
    <m/>
    <m/>
    <m/>
    <m/>
    <m/>
    <m/>
    <m/>
    <m/>
    <m/>
    <m/>
    <m/>
    <m/>
    <m/>
    <m/>
    <m/>
    <m/>
    <m/>
    <m/>
    <m/>
    <n v="1000"/>
    <m/>
    <m/>
    <m/>
    <m/>
    <m/>
    <m/>
    <m/>
    <m/>
    <m/>
    <m/>
    <m/>
    <m/>
    <m/>
    <m/>
    <m/>
    <m/>
    <m/>
    <m/>
    <m/>
    <m/>
    <m/>
    <m/>
    <m/>
    <m/>
    <m/>
    <m/>
    <m/>
    <m/>
    <m/>
    <m/>
    <m/>
    <m/>
    <m/>
    <m/>
    <m/>
    <m/>
    <m/>
    <m/>
    <m/>
    <m/>
    <m/>
    <m/>
    <m/>
    <m/>
    <m/>
    <m/>
    <m/>
    <m/>
    <m/>
    <m/>
    <m/>
    <m/>
    <m/>
    <m/>
    <m/>
    <m/>
    <m/>
    <m/>
    <m/>
    <m/>
    <m/>
    <m/>
    <m/>
    <s v="YES"/>
    <n v="1000"/>
    <m/>
    <m/>
    <m/>
    <m/>
    <m/>
    <m/>
    <m/>
    <s v="NO"/>
    <m/>
    <m/>
    <s v="NO"/>
    <s v="NO"/>
    <m/>
    <m/>
    <m/>
    <x v="2"/>
    <s v="NO"/>
    <m/>
    <s v="NO"/>
    <s v="NO"/>
    <s v="YES"/>
    <s v="NO"/>
    <s v="NO"/>
    <s v="NO"/>
    <m/>
    <x v="0"/>
    <m/>
    <x v="0"/>
    <m/>
    <x v="0"/>
    <x v="2"/>
    <s v="NO"/>
    <x v="2"/>
    <x v="2"/>
    <x v="2"/>
    <x v="3"/>
    <n v="0"/>
    <x v="0"/>
    <x v="0"/>
    <x v="0"/>
    <x v="0"/>
    <x v="0"/>
    <x v="0"/>
    <n v="0"/>
    <x v="0"/>
    <x v="0"/>
    <x v="0"/>
    <x v="0"/>
    <x v="0"/>
    <n v="0"/>
    <x v="1"/>
    <x v="4"/>
    <m/>
    <s v="Multilateral organization(s)"/>
    <m/>
    <m/>
    <x v="2"/>
    <m/>
    <m/>
    <m/>
    <m/>
    <m/>
    <s v="To achieve outcomes on this project required very closely staying engaged in the UN HLP process, building key relationships to influence the outcome document"/>
    <m/>
    <m/>
    <m/>
    <s v="https://insights.careinternational.org.uk/in-depth/emp-women-in-economy-event-2017"/>
    <n v="1000"/>
    <n v="0"/>
    <n v="0"/>
    <n v="0"/>
    <s v=""/>
    <n v="0"/>
    <n v="0"/>
    <s v=""/>
    <n v="0"/>
    <n v="0"/>
    <s v=""/>
    <s v=""/>
    <n v="0"/>
    <n v="0"/>
    <s v=""/>
    <s v=""/>
    <n v="0"/>
    <n v="0"/>
    <s v=""/>
    <s v=""/>
    <n v="0"/>
    <n v="0"/>
    <s v=""/>
    <n v="1"/>
    <n v="1000"/>
    <n v="0"/>
    <n v="0"/>
    <s v="No marker score"/>
    <s v="No marker score"/>
    <s v="No marker score"/>
    <s v="It did not develop any specific innovation"/>
    <s v="Intensive advocacy"/>
    <s v="It did not take tested solutions to scale"/>
  </r>
  <r>
    <x v="78"/>
    <x v="6"/>
    <m/>
    <s v="Advocating Against Redesign of USAID and US State Department"/>
    <s v="United States of America"/>
    <m/>
    <s v="CARE USA"/>
    <m/>
    <m/>
    <m/>
    <m/>
    <m/>
    <m/>
    <m/>
    <m/>
    <m/>
    <m/>
    <m/>
    <m/>
    <m/>
    <m/>
    <m/>
    <m/>
    <m/>
    <m/>
    <m/>
    <m/>
    <m/>
    <m/>
    <m/>
    <m/>
    <m/>
    <m/>
    <m/>
    <m/>
    <m/>
    <m/>
    <m/>
    <m/>
    <m/>
    <m/>
    <m/>
    <m/>
    <m/>
    <m/>
    <m/>
    <m/>
    <m/>
    <m/>
    <m/>
    <m/>
    <m/>
    <m/>
    <m/>
    <m/>
    <d v="2017-01-03T00:00:00"/>
    <m/>
    <m/>
    <s v="Development Other"/>
    <m/>
    <s v="Amanda Mathies"/>
    <s v="MEL Officer"/>
    <s v="amathies@care.org"/>
    <s v="Elizabeth Marcey"/>
    <s v="Senior Policy Advocate"/>
    <s v="emarcey@care.org"/>
    <s v="YES"/>
    <s v="YES"/>
    <s v="YES"/>
    <s v="Protect the capacity of USAID and State Department to provide and implement humanitarian assistance in FY18. This is in response to the Trump Administration's proposal to reduce USAID and/or combine it into the State Department which would affect the US investment in foreign assistance"/>
    <s v="Global"/>
    <s v="Global"/>
    <s v="Countries and communities receiving U.S. foreign assistance, particularly those living under the international poverty line"/>
    <m/>
    <m/>
    <m/>
    <m/>
    <m/>
    <m/>
    <s v="Direct participants could include various coalitions and CARE staff while indirect participants include all countries and communities impacted by USG funding and/or policy."/>
    <m/>
    <m/>
    <m/>
    <m/>
    <m/>
    <m/>
    <m/>
    <s v="YES"/>
    <m/>
    <m/>
    <m/>
    <s v="YES"/>
    <m/>
    <m/>
    <m/>
    <s v="YES"/>
    <m/>
    <m/>
    <m/>
    <s v="YES"/>
    <m/>
    <m/>
    <m/>
    <s v="YES"/>
    <m/>
    <m/>
    <m/>
    <s v="YES"/>
    <m/>
    <m/>
    <m/>
    <s v="YES"/>
    <m/>
    <m/>
    <m/>
    <s v="Yes"/>
    <m/>
    <m/>
    <m/>
    <s v="YES"/>
    <m/>
    <m/>
    <m/>
    <s v="YES"/>
    <m/>
    <m/>
    <m/>
    <s v="YES"/>
    <m/>
    <m/>
    <m/>
    <s v="YES"/>
    <m/>
    <m/>
    <m/>
    <m/>
    <m/>
    <m/>
    <m/>
    <m/>
    <m/>
    <m/>
    <m/>
    <m/>
    <m/>
    <m/>
    <s v="YES"/>
    <m/>
    <m/>
    <m/>
    <s v="YES"/>
    <m/>
    <m/>
    <m/>
    <s v="YES"/>
    <m/>
    <m/>
    <m/>
    <s v="YES"/>
    <m/>
    <m/>
    <m/>
    <s v="YES"/>
    <m/>
    <m/>
    <m/>
    <s v="YES"/>
    <m/>
    <m/>
    <m/>
    <s v="YES"/>
    <m/>
    <m/>
    <m/>
    <s v="YES"/>
    <m/>
    <m/>
    <m/>
    <s v="YES"/>
    <m/>
    <m/>
    <m/>
    <s v="YES"/>
    <m/>
    <m/>
    <m/>
    <s v="YES"/>
    <m/>
    <m/>
    <m/>
    <s v="YES"/>
    <m/>
    <m/>
    <m/>
    <s v="YES"/>
    <m/>
    <m/>
    <m/>
    <s v="YES"/>
    <m/>
    <m/>
    <m/>
    <s v="YES"/>
    <m/>
    <m/>
    <m/>
    <s v="YES"/>
    <m/>
    <m/>
    <m/>
    <m/>
    <m/>
    <m/>
    <m/>
    <m/>
    <s v="NO"/>
    <m/>
    <m/>
    <s v="NO"/>
    <s v="NO"/>
    <m/>
    <m/>
    <m/>
    <x v="2"/>
    <s v="NO"/>
    <s v="YES"/>
    <s v="NO"/>
    <s v="NO"/>
    <s v="NO"/>
    <s v="NO"/>
    <s v="NO"/>
    <s v="NO"/>
    <m/>
    <x v="3"/>
    <m/>
    <x v="2"/>
    <m/>
    <x v="3"/>
    <x v="2"/>
    <m/>
    <x v="2"/>
    <x v="2"/>
    <x v="2"/>
    <x v="3"/>
    <n v="0"/>
    <x v="0"/>
    <x v="0"/>
    <x v="0"/>
    <x v="0"/>
    <x v="0"/>
    <x v="0"/>
    <n v="0"/>
    <x v="0"/>
    <x v="0"/>
    <x v="0"/>
    <x v="0"/>
    <x v="0"/>
    <n v="0"/>
    <x v="1"/>
    <x v="3"/>
    <m/>
    <s v="Grassroots organization(s)"/>
    <s v="International NGO(s)"/>
    <s v="National government"/>
    <x v="3"/>
    <m/>
    <s v="CARE pivoted to focus on the issue of protecting US foreign assistance, including curent operating structure, which was a major pivot from our typical advocacy for improved policies, and CARE has become a major leader on this issue."/>
    <s v="assuming a leader being the conduit between the Hill and USAID"/>
    <s v="focusing on legislative oversight text, supporting and providing input into alternative reports on redesign"/>
    <s v="spurring congressional actions to counter administration actions"/>
    <s v="USG Executive branch systems and infastructure are not as resilient as we had hoped"/>
    <s v="congressional tools to challenge the adminstration are limited"/>
    <s v="Discrete and surgical advoacy to key congressional policy makers is the best return on investment."/>
    <s v="We have a long way to go on this front, as this is not an area that CARE has an articulated stance that we can reference. This has required both the creation of CARE policy and advocacy."/>
    <m/>
    <n v="0"/>
    <n v="0"/>
    <s v=""/>
    <s v=""/>
    <s v=""/>
    <n v="0"/>
    <n v="0"/>
    <n v="1"/>
    <n v="0"/>
    <n v="0"/>
    <s v=""/>
    <n v="1"/>
    <n v="0"/>
    <n v="0"/>
    <s v=""/>
    <n v="1"/>
    <n v="0"/>
    <n v="0"/>
    <s v=""/>
    <n v="1"/>
    <n v="0"/>
    <n v="0"/>
    <s v=""/>
    <n v="1"/>
    <n v="0"/>
    <n v="0"/>
    <s v=""/>
    <s v="No marker score"/>
    <s v="No marker score"/>
    <s v="No marker score"/>
    <n v="0"/>
    <s v="Intensive advocacy"/>
    <n v="0"/>
  </r>
  <r>
    <x v="78"/>
    <x v="6"/>
    <m/>
    <s v="Family Planning 2020/Family Planning Summit_CARE USA"/>
    <s v="United States of America"/>
    <m/>
    <s v="CARE USA"/>
    <m/>
    <m/>
    <m/>
    <m/>
    <m/>
    <m/>
    <m/>
    <m/>
    <m/>
    <m/>
    <m/>
    <m/>
    <m/>
    <m/>
    <m/>
    <m/>
    <m/>
    <m/>
    <m/>
    <m/>
    <m/>
    <m/>
    <m/>
    <m/>
    <m/>
    <m/>
    <m/>
    <m/>
    <m/>
    <m/>
    <m/>
    <m/>
    <m/>
    <m/>
    <m/>
    <m/>
    <m/>
    <m/>
    <m/>
    <m/>
    <m/>
    <m/>
    <m/>
    <m/>
    <m/>
    <m/>
    <m/>
    <m/>
    <d v="2017-02-01T00:00:00"/>
    <d v="2017-07-01T00:00:00"/>
    <m/>
    <s v="Humanitarian Sexual, Reproductive and Maternal Health (SRMH)"/>
    <m/>
    <s v="Amanda Mathies"/>
    <s v="MEL Officer"/>
    <s v="amathies@care.org"/>
    <s v="Christina Wegs"/>
    <s v="Global Advocacy Lead, Sexual and Reproductive Health and Rights"/>
    <s v="cwegs@care.org"/>
    <s v="YES"/>
    <s v="YES"/>
    <s v="YES"/>
    <s v="CARE's primary goal for the Summit was to secure commitments and funding that ensure equitable access to rights-based family planning for the 32 million women and girls affected by crisis and conflict."/>
    <s v="Global"/>
    <s v="Global (FP2020); Regional (EU) National (key bilateral donors -Canada, Australia, UK, Norway, plus national governments of Djibouti, DRC, Malawi, Nepal, Chad, Benin, Niger, Sierra Leone, India, Burundi, Mali"/>
    <s v="women and girls in fragile states/crisis-affected settings"/>
    <m/>
    <m/>
    <m/>
    <m/>
    <m/>
    <m/>
    <s v="In theory could impact 32 million women and girls by increasing prioritation of and investment in SRHR of the estimated 32 million women and girls affected by crisis. Through CARE's direct advocacy and joint advocacy  through IAWG, we powerfully shaped the agenda and outcomes of the FP Summit: FP in humanitarian crises was featured prominently on the Summit agenda and was specifically mentioned in 12 commitments by FP2020 focus countries, donors and civil society organisations, with key donors and governments committing to game-changing actions to accelerate progress in reaching all women and young people affected by crisis with family planning. Several governments' new/stregthened commitments reflected ALL of CARE's advocacy asks (e.g. Canada, UK.)This was a huge accomplishment: until this Summit, family planning in humanitarian crises was virtually absent from the FP2020 agenda."/>
    <m/>
    <m/>
    <m/>
    <m/>
    <m/>
    <m/>
    <m/>
    <m/>
    <m/>
    <m/>
    <m/>
    <m/>
    <m/>
    <m/>
    <m/>
    <m/>
    <m/>
    <m/>
    <m/>
    <m/>
    <m/>
    <m/>
    <m/>
    <m/>
    <m/>
    <m/>
    <m/>
    <m/>
    <m/>
    <m/>
    <m/>
    <m/>
    <m/>
    <m/>
    <m/>
    <m/>
    <m/>
    <m/>
    <m/>
    <m/>
    <m/>
    <m/>
    <m/>
    <m/>
    <m/>
    <m/>
    <m/>
    <m/>
    <m/>
    <m/>
    <m/>
    <m/>
    <m/>
    <m/>
    <m/>
    <m/>
    <m/>
    <m/>
    <m/>
    <m/>
    <m/>
    <m/>
    <m/>
    <m/>
    <m/>
    <m/>
    <s v="NO"/>
    <m/>
    <m/>
    <m/>
    <s v="NO"/>
    <m/>
    <m/>
    <m/>
    <s v="NO"/>
    <m/>
    <m/>
    <m/>
    <s v="NO"/>
    <m/>
    <m/>
    <m/>
    <s v="NO"/>
    <m/>
    <m/>
    <m/>
    <s v="NO"/>
    <m/>
    <m/>
    <m/>
    <s v="NO"/>
    <m/>
    <m/>
    <m/>
    <s v="NO"/>
    <m/>
    <m/>
    <m/>
    <s v="NO"/>
    <m/>
    <m/>
    <m/>
    <s v="NO"/>
    <m/>
    <m/>
    <m/>
    <s v="NO"/>
    <m/>
    <m/>
    <m/>
    <s v="NO"/>
    <m/>
    <m/>
    <m/>
    <s v="NO"/>
    <m/>
    <m/>
    <m/>
    <s v="YES"/>
    <m/>
    <m/>
    <m/>
    <s v="NO"/>
    <m/>
    <m/>
    <m/>
    <s v="NO"/>
    <m/>
    <m/>
    <m/>
    <m/>
    <m/>
    <m/>
    <m/>
    <m/>
    <s v="NO"/>
    <m/>
    <m/>
    <s v="NO"/>
    <s v="NO"/>
    <m/>
    <m/>
    <m/>
    <x v="2"/>
    <s v="YES"/>
    <s v="NO"/>
    <s v="NO"/>
    <s v="NO"/>
    <s v="NO"/>
    <s v="YES"/>
    <s v="YES"/>
    <s v="YES"/>
    <s v="strengthening existing policies /commitments of global actors, bilateral donors, and key national goverments"/>
    <x v="3"/>
    <m/>
    <x v="2"/>
    <s v="Direct advocacy by CARE and joint advocacy by IAWG leveraged evidence from CARE's programs that demonstrated the demand for, feasibility of and impact of investing in SRHR in emergencies; CARE also shared evidence about health and rights outcomes from social accountability/Community ScoreCard on SRHR."/>
    <x v="1"/>
    <x v="2"/>
    <m/>
    <x v="2"/>
    <x v="2"/>
    <x v="2"/>
    <x v="3"/>
    <n v="0"/>
    <x v="0"/>
    <x v="0"/>
    <x v="0"/>
    <x v="0"/>
    <x v="0"/>
    <x v="0"/>
    <n v="0"/>
    <x v="0"/>
    <x v="0"/>
    <x v="0"/>
    <x v="0"/>
    <x v="0"/>
    <n v="0"/>
    <x v="1"/>
    <x v="2"/>
    <m/>
    <s v="International NGO(s)"/>
    <s v="Regional alliance(s)/Platform(s)/Network(s) of  NGOs/CSOs"/>
    <s v="National government"/>
    <x v="3"/>
    <m/>
    <m/>
    <m/>
    <m/>
    <m/>
    <s v="Setting clear, strategic advocacy priorities early on, and engaging early to mobilize key influencers and decision-makers- especially important was engaging early with key champions in donor governments."/>
    <s v="Taking a leadership role/mobilizing joint action through a credible global coaltion - CARE was able to shape the agenda of a diverse and influential global coaltion which is a key &quot;go-to&quot; for donors, UN, CSO allies."/>
    <s v="Engaging consistently with a working group of with 28 representatives from 14 CARE members; provided clear and concrete advocacy messages and asks that CI partners were able integrate into advocacy with their own governments- we heard that this &quot;made it easy&quot; for CI partners to contribute to this joint effort, ensured that we all advanced a strategic and well-aligned policy agenda- helping ensure collective impact. The working group also provided responsive coaching/guidance to help CARe members navigate context-specific advocacy spaces, and tailor CARE's messages/asks to their context."/>
    <s v="This initiative was designed by CARE USA Global Advocacy Team + CIUK Advocacy Team jointly led CARE International's engagement. *OUTCOMES: Through our leadership role on the Inter-Agency Working Group, CARE helped shape IAWGs joint messages and policy asks relating to family planning in crisis-affected settings. We co-convened two donor briefing meetings and helped build a cadre of powerful champions for family planning in humanitarian crises, including at DFID, Gates and within FP2020.  Ahead of the Summit, Beth Schlachter, Executive Director of FP2020, published an op-ed about the critical importance of FP in humanitarian crises, drawing directly from IAWGs messages. FP Summit organisers also shared IAWGs policy asks with focal points in all 69 FP2020 priority countries. Key CARE Lead Members (EC, Norway, Canada, Australia and the UK) proactively advocated for commitments to FP in humanitarian contexts through public advocacy and communications work, and/or direct engagement with key government officials.  FP in humanitarian crises was a priority theme at the Summit, and was the focus of a high-level event where CARE's work in Chad, DRC and Pakistan was highlighted. There were 12 commitments that specifically referred to ensuring access to contraception in humanitarian settings, including strong commitments from the Netherlands, the UK, Belgium, Denmark, Iceland and Australia. We also saw commitments to improving data, monitoring, accountability and funding relating to sexual and reproductive health, as well a Joint Donor Statement on Sexual and Reproductive Health in Crises calling for concrete actions to ensure better coordinated and more effective funding for SRHR in crises-affected settings."/>
    <s v="Please see the attached 4 page summary of CARe's engagement and outcomes ahead of and at the 2017 Global Family Planning Summit."/>
    <n v="0"/>
    <n v="0"/>
    <s v=""/>
    <s v=""/>
    <s v=""/>
    <n v="0"/>
    <n v="0"/>
    <n v="1"/>
    <n v="0"/>
    <n v="0"/>
    <s v=""/>
    <s v=""/>
    <n v="0"/>
    <n v="0"/>
    <s v=""/>
    <n v="1"/>
    <n v="0"/>
    <n v="0"/>
    <s v=""/>
    <s v=""/>
    <n v="0"/>
    <n v="0"/>
    <s v=""/>
    <s v=""/>
    <n v="0"/>
    <n v="0"/>
    <s v=""/>
    <s v="No marker score"/>
    <s v="No marker score"/>
    <s v="No marker score"/>
    <n v="0"/>
    <s v="Intensive advocacy"/>
    <n v="0"/>
  </r>
  <r>
    <x v="78"/>
    <x v="6"/>
    <m/>
    <s v="Farm Bill 2018"/>
    <s v="United States of America"/>
    <m/>
    <s v="CARE USA"/>
    <m/>
    <m/>
    <m/>
    <m/>
    <m/>
    <m/>
    <m/>
    <m/>
    <m/>
    <m/>
    <m/>
    <m/>
    <m/>
    <m/>
    <m/>
    <m/>
    <m/>
    <m/>
    <m/>
    <m/>
    <m/>
    <m/>
    <m/>
    <m/>
    <m/>
    <m/>
    <m/>
    <m/>
    <m/>
    <m/>
    <m/>
    <m/>
    <m/>
    <m/>
    <m/>
    <m/>
    <m/>
    <m/>
    <m/>
    <m/>
    <m/>
    <m/>
    <m/>
    <m/>
    <m/>
    <m/>
    <m/>
    <m/>
    <d v="2017-05-01T00:00:00"/>
    <m/>
    <m/>
    <s v="Humanitarian Food &amp; Nutrition Security and Resilience to Climate Change"/>
    <m/>
    <s v="Amanda Mathies"/>
    <s v="MEL Officer"/>
    <s v="amathies@care.org"/>
    <s v="Mary Olive"/>
    <s v="Policy Advocate"/>
    <s v="mary.olive@care.org"/>
    <s v="YES"/>
    <s v="YES"/>
    <s v="YES"/>
    <s v="Advocating to successfully change current policies so that US food aid programs reach more people in more efficient and effective ways"/>
    <s v="Global"/>
    <s v="Global"/>
    <s v="Global, but majority are people in need of immediate food assistance because of natural or man-made crisis"/>
    <m/>
    <m/>
    <m/>
    <m/>
    <m/>
    <m/>
    <s v="Due to the nature of this advocacy initiative direct and indirect participants are not calculated. However, this bill will impact U.S. food assistance around the world if implemented."/>
    <m/>
    <m/>
    <m/>
    <m/>
    <m/>
    <m/>
    <m/>
    <s v="NO"/>
    <m/>
    <m/>
    <m/>
    <s v="NO"/>
    <m/>
    <m/>
    <m/>
    <s v="NO"/>
    <m/>
    <m/>
    <m/>
    <s v="YES"/>
    <m/>
    <m/>
    <m/>
    <s v="NO"/>
    <m/>
    <m/>
    <m/>
    <s v="NO"/>
    <m/>
    <m/>
    <m/>
    <s v="NO"/>
    <m/>
    <m/>
    <m/>
    <s v="NO"/>
    <m/>
    <m/>
    <m/>
    <s v="NO"/>
    <m/>
    <m/>
    <m/>
    <s v="NO"/>
    <m/>
    <m/>
    <m/>
    <s v="NO"/>
    <m/>
    <m/>
    <m/>
    <s v="NO"/>
    <m/>
    <m/>
    <m/>
    <m/>
    <m/>
    <m/>
    <m/>
    <m/>
    <m/>
    <m/>
    <m/>
    <m/>
    <m/>
    <m/>
    <s v="YES"/>
    <m/>
    <m/>
    <m/>
    <s v="YES"/>
    <m/>
    <m/>
    <m/>
    <s v="NO"/>
    <m/>
    <m/>
    <m/>
    <s v="YES"/>
    <m/>
    <m/>
    <m/>
    <s v="YES"/>
    <m/>
    <m/>
    <m/>
    <s v="NO"/>
    <m/>
    <m/>
    <m/>
    <s v="YES"/>
    <m/>
    <m/>
    <m/>
    <s v="NO"/>
    <m/>
    <m/>
    <m/>
    <s v="YES"/>
    <m/>
    <m/>
    <m/>
    <s v="NO"/>
    <m/>
    <m/>
    <m/>
    <s v="YES"/>
    <m/>
    <m/>
    <m/>
    <s v="YES"/>
    <m/>
    <m/>
    <m/>
    <s v="NO"/>
    <m/>
    <m/>
    <m/>
    <s v="NO"/>
    <m/>
    <m/>
    <m/>
    <s v="NO"/>
    <m/>
    <m/>
    <m/>
    <s v="YES"/>
    <m/>
    <m/>
    <m/>
    <m/>
    <m/>
    <m/>
    <m/>
    <m/>
    <s v="NO"/>
    <m/>
    <m/>
    <s v="NO"/>
    <s v="NO"/>
    <m/>
    <m/>
    <m/>
    <x v="2"/>
    <s v="NO"/>
    <s v="YES"/>
    <s v="NO"/>
    <s v="YES"/>
    <s v="NO"/>
    <s v="NO"/>
    <s v="NO"/>
    <m/>
    <m/>
    <x v="3"/>
    <m/>
    <x v="2"/>
    <m/>
    <x v="3"/>
    <x v="2"/>
    <m/>
    <x v="2"/>
    <x v="2"/>
    <x v="2"/>
    <x v="3"/>
    <n v="0"/>
    <x v="0"/>
    <x v="0"/>
    <x v="0"/>
    <x v="0"/>
    <x v="0"/>
    <x v="0"/>
    <n v="0"/>
    <x v="0"/>
    <x v="0"/>
    <x v="0"/>
    <x v="0"/>
    <x v="0"/>
    <n v="0"/>
    <x v="1"/>
    <x v="3"/>
    <m/>
    <s v="International NGO(s)"/>
    <s v="Private sector"/>
    <s v="Grassroots organization(s)"/>
    <x v="3"/>
    <m/>
    <s v="Farm Bill language has not yet been released, but CARE continues to advocate for an end to the monetization requirement and for greater flexibility so that food aid programs reach more people."/>
    <s v="Working within a unified coalition of iNGOs, who are advocating for the same policy changes, and engaging the private sector when possible."/>
    <m/>
    <m/>
    <s v="The policy is far too complex for grassroots efforts; therefore we have learned how to simplify our message and educate our advocates on broad policy objectives, rather than attempting to teach them specifics"/>
    <m/>
    <m/>
    <s v="CARE's main goal for the 2018 Farm Bill is to have the monetization requirement removed from the Food for Peace program. Currently, the monetization requirement is completely satisfied by CARE's SHOUHARDO program in Bangladesh, where we have a high level of cooperation and involvement from the Bangladeshi government. However, this relationship would be difficult to repeat in other developing countries, which would make monetization a risky practice to conduct anywhere else. CARE is working to educate Members of Congress about monetization in order to gain support for removing the requirement."/>
    <m/>
    <n v="0"/>
    <n v="0"/>
    <s v=""/>
    <s v=""/>
    <s v=""/>
    <n v="0"/>
    <n v="0"/>
    <n v="1"/>
    <n v="0"/>
    <n v="0"/>
    <s v=""/>
    <n v="1"/>
    <n v="0"/>
    <n v="0"/>
    <s v=""/>
    <s v=""/>
    <n v="0"/>
    <n v="0"/>
    <s v=""/>
    <s v=""/>
    <n v="0"/>
    <n v="0"/>
    <s v=""/>
    <n v="1"/>
    <n v="0"/>
    <n v="0"/>
    <s v=""/>
    <s v="No marker score"/>
    <s v="No marker score"/>
    <s v="No marker score"/>
    <n v="0"/>
    <s v="Intensive advocacy"/>
    <n v="0"/>
  </r>
  <r>
    <x v="78"/>
    <x v="6"/>
    <m/>
    <s v="G7 Foreign Ministers Meeting_CARE USA"/>
    <s v="United States of America"/>
    <m/>
    <s v="CARE USA"/>
    <m/>
    <m/>
    <m/>
    <m/>
    <m/>
    <m/>
    <m/>
    <m/>
    <m/>
    <m/>
    <m/>
    <m/>
    <m/>
    <m/>
    <m/>
    <m/>
    <m/>
    <m/>
    <m/>
    <m/>
    <m/>
    <m/>
    <m/>
    <m/>
    <m/>
    <m/>
    <m/>
    <m/>
    <m/>
    <m/>
    <m/>
    <m/>
    <m/>
    <m/>
    <m/>
    <m/>
    <m/>
    <m/>
    <m/>
    <m/>
    <m/>
    <m/>
    <m/>
    <m/>
    <m/>
    <m/>
    <m/>
    <m/>
    <d v="2017-04-10T00:00:00"/>
    <d v="2017-04-11T00:00:00"/>
    <m/>
    <s v="Humanitarian Other"/>
    <m/>
    <s v="Amanda Mathies"/>
    <s v="MEL Officer"/>
    <s v="amathies@care.org"/>
    <s v="Joe Read"/>
    <s v="Global Advocacy Advisor"/>
    <s v="joe.read@care.org"/>
    <s v="YES"/>
    <s v="NO"/>
    <s v="NO"/>
    <s v="CARE's primary goal for the meeting was to influence the agenda to ensure that the four famine contexts were discussed among Foreign Ministers and preparations made for further discussion ahead of the Summit, in order to mobilise G7 members to commit further funds and attention to these contexts."/>
    <s v="Global"/>
    <s v="Global- European and North American CMPs. Four famines: Nigeria, Somalia, South Sudan, Yemen"/>
    <s v="Famine-affected communities in Nigeria, Somalia, South Sudan, Yemen"/>
    <m/>
    <m/>
    <m/>
    <m/>
    <m/>
    <n v="20000000"/>
    <s v="Due to the nature of this advocacy initiative direct and indirect participants are difficult to calculate. However, if we were to calculate the indirect participants who would be affected by famine it is approx. 20 million people based on UN/World Bank figures."/>
    <m/>
    <m/>
    <m/>
    <m/>
    <m/>
    <m/>
    <m/>
    <m/>
    <m/>
    <m/>
    <m/>
    <m/>
    <m/>
    <m/>
    <m/>
    <m/>
    <m/>
    <m/>
    <m/>
    <m/>
    <m/>
    <m/>
    <m/>
    <m/>
    <m/>
    <m/>
    <m/>
    <m/>
    <m/>
    <m/>
    <m/>
    <m/>
    <m/>
    <m/>
    <m/>
    <m/>
    <m/>
    <m/>
    <m/>
    <m/>
    <m/>
    <m/>
    <m/>
    <m/>
    <m/>
    <m/>
    <m/>
    <m/>
    <m/>
    <m/>
    <m/>
    <m/>
    <m/>
    <m/>
    <m/>
    <m/>
    <m/>
    <m/>
    <m/>
    <m/>
    <m/>
    <m/>
    <m/>
    <m/>
    <m/>
    <m/>
    <m/>
    <m/>
    <m/>
    <m/>
    <m/>
    <m/>
    <m/>
    <m/>
    <m/>
    <m/>
    <m/>
    <m/>
    <m/>
    <m/>
    <m/>
    <m/>
    <m/>
    <m/>
    <m/>
    <m/>
    <m/>
    <m/>
    <m/>
    <m/>
    <m/>
    <m/>
    <m/>
    <m/>
    <m/>
    <m/>
    <m/>
    <m/>
    <m/>
    <m/>
    <m/>
    <m/>
    <m/>
    <m/>
    <m/>
    <m/>
    <m/>
    <m/>
    <m/>
    <m/>
    <m/>
    <m/>
    <m/>
    <m/>
    <m/>
    <m/>
    <m/>
    <m/>
    <m/>
    <m/>
    <m/>
    <m/>
    <m/>
    <m/>
    <m/>
    <m/>
    <m/>
    <m/>
    <m/>
    <m/>
    <m/>
    <m/>
    <m/>
    <m/>
    <m/>
    <s v="NO"/>
    <m/>
    <m/>
    <s v="NO"/>
    <s v="NO"/>
    <m/>
    <m/>
    <m/>
    <x v="1"/>
    <s v="NO"/>
    <s v="NO"/>
    <s v="NO"/>
    <s v="NO"/>
    <s v="NO"/>
    <s v="YES"/>
    <s v="NO"/>
    <s v="NO"/>
    <m/>
    <x v="3"/>
    <m/>
    <x v="2"/>
    <m/>
    <x v="1"/>
    <x v="2"/>
    <m/>
    <x v="2"/>
    <x v="2"/>
    <x v="2"/>
    <x v="3"/>
    <n v="0"/>
    <x v="0"/>
    <x v="0"/>
    <x v="0"/>
    <x v="0"/>
    <x v="0"/>
    <x v="0"/>
    <n v="0"/>
    <x v="0"/>
    <x v="0"/>
    <x v="0"/>
    <x v="0"/>
    <x v="0"/>
    <n v="0"/>
    <x v="1"/>
    <x v="3"/>
    <m/>
    <s v="International NGO(s)"/>
    <s v="Multilateral organization(s)"/>
    <s v="National government"/>
    <x v="2"/>
    <s v="Somewhat - country-based advocacy alliances expanded to capital-based advocacy work with G7 member states (e.g. in DC, Ottawa, London) "/>
    <m/>
    <m/>
    <m/>
    <m/>
    <s v="Need to plan more strategic and targeted advocacy at capital level with key partners and allies towards G7 members to increase impact before official meetings"/>
    <m/>
    <m/>
    <s v="Advocacy at the G7 was challenging this year due to the location of meetings in a country without a CARE presence (Italy), but commitment from key member partners allowed us to identify creative ways to engage in advocacy on famine due to the importance of influencing G7 members (such as targetting advocacy at country level)_x000a_Extent of linking with partners: Partnership with UN/World Bank convened alliance to raise profile and funding to prevent famine, in addition to NGO advocacy work from each country context (Nigeria, Somalia, South Sudan, Yemen)"/>
    <m/>
    <n v="0"/>
    <n v="0"/>
    <s v=""/>
    <s v=""/>
    <s v=""/>
    <n v="0"/>
    <n v="0"/>
    <n v="1"/>
    <n v="0"/>
    <n v="0"/>
    <s v=""/>
    <s v=""/>
    <n v="0"/>
    <n v="0"/>
    <s v=""/>
    <s v=""/>
    <n v="0"/>
    <n v="0"/>
    <s v=""/>
    <s v=""/>
    <n v="0"/>
    <n v="0"/>
    <s v=""/>
    <s v=""/>
    <n v="0"/>
    <n v="0"/>
    <s v=""/>
    <s v="No marker score"/>
    <s v="No marker score"/>
    <s v="No marker score"/>
    <n v="0"/>
    <s v="Moderate advocacy"/>
    <n v="0"/>
  </r>
  <r>
    <x v="78"/>
    <x v="6"/>
    <m/>
    <s v="G7 Summit_CARE USA"/>
    <s v="United States of America"/>
    <m/>
    <s v="CARE USA"/>
    <m/>
    <m/>
    <m/>
    <m/>
    <m/>
    <m/>
    <m/>
    <m/>
    <m/>
    <m/>
    <m/>
    <m/>
    <m/>
    <m/>
    <m/>
    <m/>
    <m/>
    <m/>
    <m/>
    <m/>
    <m/>
    <m/>
    <m/>
    <m/>
    <m/>
    <m/>
    <m/>
    <m/>
    <m/>
    <m/>
    <m/>
    <m/>
    <m/>
    <m/>
    <m/>
    <m/>
    <m/>
    <m/>
    <m/>
    <m/>
    <m/>
    <m/>
    <m/>
    <m/>
    <m/>
    <m/>
    <m/>
    <m/>
    <d v="2017-05-26T00:00:00"/>
    <d v="2017-05-27T00:00:00"/>
    <m/>
    <s v="Humanitarian Other"/>
    <m/>
    <s v="Amanda Mathies"/>
    <s v="MEL Officer"/>
    <s v="amathies@care.org"/>
    <s v="Joe Read"/>
    <s v="Global Advocacy Advisor"/>
    <s v="joe.read@care.org"/>
    <s v="YES"/>
    <s v="NO"/>
    <s v="NO"/>
    <s v="CARE's primary goal for the meeting was to influence the agenda to ensure that the four famine contexts were discussed at the Summit, in order to mobilise G7 members to commit further funds and attention to these contexts."/>
    <s v="Global"/>
    <s v="Global- European and North American CMPs. Four famines: Nigeria, Somalia, South Sudan, Yemen"/>
    <s v="Famine-affected communities in Nigeria, Somalia, South Sudan, Yemen"/>
    <m/>
    <m/>
    <m/>
    <m/>
    <m/>
    <m/>
    <s v="Due to the nature of this advocacy initiative direct and indirect participants are difficult to calculate. However, if we were to calculate the indirect participants who would be affected by famine it is approx. 20 million people based on UN/World Bank figures."/>
    <m/>
    <m/>
    <m/>
    <m/>
    <m/>
    <m/>
    <m/>
    <m/>
    <m/>
    <m/>
    <m/>
    <m/>
    <m/>
    <m/>
    <m/>
    <m/>
    <m/>
    <m/>
    <m/>
    <m/>
    <m/>
    <m/>
    <m/>
    <m/>
    <m/>
    <m/>
    <m/>
    <m/>
    <m/>
    <m/>
    <m/>
    <m/>
    <m/>
    <m/>
    <m/>
    <m/>
    <m/>
    <m/>
    <m/>
    <m/>
    <m/>
    <m/>
    <m/>
    <m/>
    <m/>
    <m/>
    <m/>
    <m/>
    <m/>
    <m/>
    <m/>
    <m/>
    <m/>
    <m/>
    <m/>
    <m/>
    <m/>
    <m/>
    <m/>
    <m/>
    <m/>
    <m/>
    <m/>
    <m/>
    <m/>
    <m/>
    <m/>
    <m/>
    <m/>
    <m/>
    <m/>
    <m/>
    <m/>
    <m/>
    <m/>
    <m/>
    <m/>
    <m/>
    <m/>
    <m/>
    <m/>
    <m/>
    <m/>
    <m/>
    <m/>
    <m/>
    <m/>
    <m/>
    <m/>
    <m/>
    <m/>
    <m/>
    <m/>
    <m/>
    <m/>
    <m/>
    <m/>
    <m/>
    <m/>
    <m/>
    <m/>
    <m/>
    <m/>
    <m/>
    <m/>
    <m/>
    <m/>
    <m/>
    <m/>
    <m/>
    <m/>
    <m/>
    <m/>
    <m/>
    <m/>
    <m/>
    <m/>
    <m/>
    <m/>
    <m/>
    <m/>
    <m/>
    <m/>
    <m/>
    <m/>
    <m/>
    <m/>
    <m/>
    <m/>
    <m/>
    <m/>
    <m/>
    <m/>
    <m/>
    <m/>
    <s v="NO"/>
    <m/>
    <m/>
    <s v="NO"/>
    <s v="NO"/>
    <m/>
    <m/>
    <m/>
    <x v="1"/>
    <s v="NO"/>
    <s v="NO"/>
    <s v="NO"/>
    <s v="NO"/>
    <s v="NO"/>
    <s v="YES"/>
    <s v="NO"/>
    <s v="NO"/>
    <m/>
    <x v="3"/>
    <m/>
    <x v="2"/>
    <m/>
    <x v="1"/>
    <x v="2"/>
    <m/>
    <x v="2"/>
    <x v="2"/>
    <x v="2"/>
    <x v="3"/>
    <n v="0"/>
    <x v="0"/>
    <x v="0"/>
    <x v="0"/>
    <x v="0"/>
    <x v="0"/>
    <x v="0"/>
    <n v="0"/>
    <x v="0"/>
    <x v="0"/>
    <x v="0"/>
    <x v="0"/>
    <x v="0"/>
    <n v="0"/>
    <x v="1"/>
    <x v="3"/>
    <m/>
    <s v="International NGO(s)"/>
    <s v="Multilateral organization(s)"/>
    <s v="National government"/>
    <x v="2"/>
    <s v="Somewhat - country-based advocacy alliances expanded to capital-based advocacy work with G7 member states (e.g. in DC, Ottawa, London)"/>
    <m/>
    <m/>
    <m/>
    <m/>
    <s v="Need to plan more strategic and targeted advocacy at capital level with key partners and allies towards G7 members to increase impact before official meetings"/>
    <m/>
    <m/>
    <s v="Advocacy at the G7 was challenging this year due to the location of meetings in a country without a CARE presence (Italy), but commitment from key member partners allowed us to identify creative ways to engage in advocacy on famine due to the importance of influencing G7 members (such as targetting advocacy at country level)_x000a_Extent of linking with partners: Partnership with UN/Wrld Bank convened alliance to raise profile and funding to prevent famine, in addition to NGO advocacy work from each country context (Nigeria, Somalia, South Sudan, Yemen)"/>
    <m/>
    <n v="0"/>
    <n v="0"/>
    <s v=""/>
    <s v=""/>
    <s v=""/>
    <n v="0"/>
    <n v="0"/>
    <n v="1"/>
    <n v="0"/>
    <n v="0"/>
    <s v=""/>
    <s v=""/>
    <n v="0"/>
    <n v="0"/>
    <s v=""/>
    <s v=""/>
    <n v="0"/>
    <n v="0"/>
    <s v=""/>
    <s v=""/>
    <n v="0"/>
    <n v="0"/>
    <s v=""/>
    <s v=""/>
    <n v="0"/>
    <n v="0"/>
    <s v=""/>
    <s v="No marker score"/>
    <s v="No marker score"/>
    <s v="No marker score"/>
    <n v="0"/>
    <s v="Moderate advocacy"/>
    <n v="0"/>
  </r>
  <r>
    <x v="78"/>
    <x v="6"/>
    <m/>
    <s v="Global Gag Rule / Mexico City Policy"/>
    <s v="United States of America"/>
    <m/>
    <s v="CARE USA"/>
    <m/>
    <m/>
    <m/>
    <m/>
    <m/>
    <m/>
    <m/>
    <m/>
    <m/>
    <m/>
    <m/>
    <m/>
    <m/>
    <m/>
    <m/>
    <m/>
    <m/>
    <m/>
    <m/>
    <m/>
    <m/>
    <m/>
    <m/>
    <m/>
    <m/>
    <m/>
    <m/>
    <m/>
    <m/>
    <m/>
    <m/>
    <m/>
    <m/>
    <m/>
    <m/>
    <m/>
    <m/>
    <m/>
    <m/>
    <m/>
    <m/>
    <m/>
    <m/>
    <m/>
    <m/>
    <m/>
    <m/>
    <m/>
    <d v="2017-01-03T00:00:00"/>
    <m/>
    <m/>
    <s v="Development Sexual, Reproductive and Maternal Health (SRMH)"/>
    <m/>
    <s v="Amanda Mathies"/>
    <s v="MEL Program Officer"/>
    <s v="amathies@care.org"/>
    <s v="Ben Weingrod"/>
    <s v="Senior Policy Advocate"/>
    <s v="bweingrod@care.org"/>
    <s v="YES"/>
    <s v="YES"/>
    <s v="YES"/>
    <s v="Mitigate harm of expanded Global Gag Rule (aka Mexico City Policy), prevent permanent codification. The Global Gag rule disqualifies non-US NGOs from receiving certain kinds of U.S. government funding if they engage in specific abortion-related activities, even when those activities are supported by other funding. CARE USA has been working to mitigate the harm of this policy and advocacting against/ preventing permanent codification."/>
    <s v="Global"/>
    <m/>
    <s v="women and girls receiving sexual and reproductive health and rights care around the globe."/>
    <m/>
    <m/>
    <m/>
    <m/>
    <m/>
    <m/>
    <s v="Individuals or groups who were directly engaged in action towards change in this policy included the US Congress, USAID, and the US State Department. Due to the nature of this advocacy initiative direct and indirect participants are not calculated. However, this policy will impact humanitarian and development work around the world if implemented, primarily women and girls in need of SRHR services"/>
    <m/>
    <m/>
    <m/>
    <m/>
    <m/>
    <m/>
    <m/>
    <s v="NO"/>
    <m/>
    <m/>
    <m/>
    <s v="NO"/>
    <m/>
    <m/>
    <m/>
    <s v="NO"/>
    <m/>
    <m/>
    <m/>
    <s v="NO"/>
    <m/>
    <m/>
    <m/>
    <s v="NO"/>
    <m/>
    <m/>
    <m/>
    <s v="NO"/>
    <m/>
    <m/>
    <m/>
    <s v="NO"/>
    <m/>
    <m/>
    <m/>
    <s v="NO"/>
    <m/>
    <m/>
    <m/>
    <s v="NO"/>
    <m/>
    <m/>
    <m/>
    <s v="YES"/>
    <m/>
    <m/>
    <m/>
    <s v="NO"/>
    <m/>
    <m/>
    <m/>
    <s v="NO"/>
    <m/>
    <m/>
    <m/>
    <m/>
    <m/>
    <m/>
    <m/>
    <m/>
    <m/>
    <m/>
    <m/>
    <m/>
    <m/>
    <m/>
    <s v="NO"/>
    <m/>
    <m/>
    <m/>
    <s v="NO"/>
    <m/>
    <m/>
    <m/>
    <s v="NO"/>
    <m/>
    <m/>
    <m/>
    <s v="NO"/>
    <m/>
    <m/>
    <m/>
    <s v="NO"/>
    <m/>
    <m/>
    <m/>
    <s v="NO"/>
    <m/>
    <m/>
    <m/>
    <s v="NO"/>
    <m/>
    <m/>
    <m/>
    <s v="NO"/>
    <m/>
    <m/>
    <m/>
    <s v="NO"/>
    <m/>
    <m/>
    <m/>
    <s v="NO"/>
    <m/>
    <m/>
    <m/>
    <s v="NO"/>
    <m/>
    <m/>
    <m/>
    <s v="NO"/>
    <m/>
    <m/>
    <m/>
    <s v="NO"/>
    <m/>
    <m/>
    <m/>
    <s v="YES"/>
    <m/>
    <m/>
    <m/>
    <s v="NO"/>
    <m/>
    <m/>
    <m/>
    <s v="NO"/>
    <m/>
    <m/>
    <m/>
    <m/>
    <m/>
    <m/>
    <m/>
    <m/>
    <s v="NO"/>
    <m/>
    <m/>
    <m/>
    <s v="NO"/>
    <m/>
    <m/>
    <m/>
    <x v="2"/>
    <s v="NO"/>
    <s v="YES"/>
    <s v="NO"/>
    <s v="NO"/>
    <s v="NO"/>
    <s v="NO"/>
    <s v="NO"/>
    <m/>
    <m/>
    <x v="3"/>
    <m/>
    <x v="2"/>
    <m/>
    <x v="3"/>
    <x v="2"/>
    <m/>
    <x v="2"/>
    <x v="2"/>
    <x v="2"/>
    <x v="3"/>
    <n v="0"/>
    <x v="0"/>
    <x v="0"/>
    <x v="0"/>
    <x v="0"/>
    <x v="0"/>
    <x v="0"/>
    <n v="0"/>
    <x v="0"/>
    <x v="0"/>
    <x v="0"/>
    <x v="0"/>
    <x v="0"/>
    <n v="0"/>
    <x v="1"/>
    <x v="3"/>
    <m/>
    <s v="International NGO(s)"/>
    <s v="National government"/>
    <s v="Grassroots organization(s)"/>
    <x v="3"/>
    <m/>
    <s v="CARE USA has become more aggressive in its advocacy around the global gag rule as its impact on beneficiaries and conflcit with our views on SRHR have become clearer"/>
    <m/>
    <m/>
    <m/>
    <s v="The current political environment presents significant challenges to successful proactive advocacy, resources need to be focused on defensive work to prevent funding cuts and implementation of bad policies (as opposed to calling for increased funding and improving policies)."/>
    <m/>
    <m/>
    <m/>
    <m/>
    <n v="0"/>
    <n v="0"/>
    <s v=""/>
    <s v=""/>
    <s v=""/>
    <n v="0"/>
    <n v="0"/>
    <n v="1"/>
    <n v="0"/>
    <n v="0"/>
    <s v=""/>
    <s v=""/>
    <n v="0"/>
    <n v="0"/>
    <s v=""/>
    <n v="1"/>
    <n v="0"/>
    <n v="0"/>
    <s v=""/>
    <s v=""/>
    <n v="0"/>
    <n v="0"/>
    <s v=""/>
    <s v=""/>
    <n v="0"/>
    <n v="0"/>
    <s v=""/>
    <s v="No marker score"/>
    <s v="No marker score"/>
    <s v="No marker score"/>
    <n v="0"/>
    <s v="Intensive advocacy"/>
    <n v="0"/>
  </r>
  <r>
    <x v="78"/>
    <x v="6"/>
    <m/>
    <s v="Hodeida Port"/>
    <s v="United States of America"/>
    <m/>
    <s v="CARE USA"/>
    <m/>
    <m/>
    <m/>
    <m/>
    <m/>
    <m/>
    <m/>
    <m/>
    <m/>
    <m/>
    <m/>
    <m/>
    <m/>
    <m/>
    <m/>
    <m/>
    <m/>
    <m/>
    <m/>
    <m/>
    <m/>
    <m/>
    <m/>
    <m/>
    <m/>
    <m/>
    <m/>
    <m/>
    <m/>
    <m/>
    <m/>
    <m/>
    <m/>
    <m/>
    <m/>
    <m/>
    <m/>
    <m/>
    <m/>
    <m/>
    <m/>
    <m/>
    <m/>
    <m/>
    <m/>
    <m/>
    <m/>
    <m/>
    <d v="2017-02-01T00:00:00"/>
    <d v="2017-06-01T00:00:00"/>
    <m/>
    <s v="Humanitarian Other"/>
    <m/>
    <s v="Amanda Mathies"/>
    <s v="MEL Officer"/>
    <s v="amathies@care.org"/>
    <s v="Jessica Moses"/>
    <s v="Policy Advocate"/>
    <s v="jmoses@care.org"/>
    <s v="YES"/>
    <s v="YES"/>
    <s v="YES"/>
    <s v="Advocating to U.S. government to prevent a Saudi - led coalition airstrike on Hodeida port that would devastate efforts to import and distribute humanitarian aid in Yemen."/>
    <s v="National"/>
    <s v="Hodeida Port - which services 80% of the Yemeni population"/>
    <s v="Populations in Yemen receiving humanitarian assistance (through the Hodeidah port)"/>
    <n v="10720000"/>
    <n v="11100000"/>
    <n v="21800000"/>
    <m/>
    <m/>
    <m/>
    <s v="Due to the nature of this advocacy initiative direct and indirect participants are not calculated."/>
    <m/>
    <m/>
    <m/>
    <m/>
    <m/>
    <m/>
    <m/>
    <s v="NO"/>
    <m/>
    <m/>
    <m/>
    <s v="NO"/>
    <m/>
    <m/>
    <m/>
    <s v="NO"/>
    <m/>
    <m/>
    <m/>
    <s v="YES"/>
    <m/>
    <m/>
    <m/>
    <s v="NO"/>
    <m/>
    <m/>
    <m/>
    <s v="NO"/>
    <m/>
    <m/>
    <m/>
    <s v="YES"/>
    <m/>
    <m/>
    <m/>
    <s v="NO"/>
    <m/>
    <m/>
    <m/>
    <s v="NO"/>
    <m/>
    <m/>
    <m/>
    <s v="NO"/>
    <m/>
    <m/>
    <m/>
    <s v="YES"/>
    <m/>
    <m/>
    <m/>
    <s v="YES"/>
    <m/>
    <m/>
    <m/>
    <m/>
    <m/>
    <m/>
    <m/>
    <m/>
    <m/>
    <m/>
    <m/>
    <m/>
    <m/>
    <m/>
    <s v="YES"/>
    <m/>
    <m/>
    <m/>
    <s v="YES"/>
    <m/>
    <m/>
    <m/>
    <s v="NO"/>
    <m/>
    <m/>
    <m/>
    <s v="YES"/>
    <m/>
    <m/>
    <m/>
    <s v="YES"/>
    <m/>
    <m/>
    <m/>
    <s v="NO"/>
    <m/>
    <m/>
    <m/>
    <s v="YES"/>
    <m/>
    <m/>
    <m/>
    <s v="NO"/>
    <m/>
    <m/>
    <m/>
    <s v="YES"/>
    <m/>
    <m/>
    <m/>
    <s v="NO"/>
    <m/>
    <m/>
    <m/>
    <s v="NO"/>
    <m/>
    <m/>
    <m/>
    <s v="YES"/>
    <m/>
    <m/>
    <m/>
    <s v="NO"/>
    <m/>
    <m/>
    <m/>
    <s v="NO"/>
    <m/>
    <m/>
    <m/>
    <s v="NO"/>
    <m/>
    <m/>
    <m/>
    <s v="YES"/>
    <m/>
    <m/>
    <m/>
    <m/>
    <m/>
    <m/>
    <m/>
    <m/>
    <s v="NO"/>
    <m/>
    <m/>
    <s v="NO"/>
    <s v="NO"/>
    <m/>
    <m/>
    <m/>
    <x v="2"/>
    <s v="NO"/>
    <s v="YES"/>
    <s v="NO"/>
    <s v="NO"/>
    <s v="NO"/>
    <s v="NO"/>
    <s v="NO"/>
    <s v="YES"/>
    <s v="Other: preventing an attack by foreign government on key civilian infrastructure"/>
    <x v="3"/>
    <m/>
    <x v="2"/>
    <s v="Worked with coalition partners"/>
    <x v="3"/>
    <x v="2"/>
    <m/>
    <x v="2"/>
    <x v="2"/>
    <x v="2"/>
    <x v="3"/>
    <n v="0"/>
    <x v="0"/>
    <x v="0"/>
    <x v="0"/>
    <x v="0"/>
    <x v="0"/>
    <x v="0"/>
    <n v="0"/>
    <x v="0"/>
    <x v="0"/>
    <x v="0"/>
    <x v="0"/>
    <x v="0"/>
    <n v="0"/>
    <x v="1"/>
    <x v="3"/>
    <m/>
    <s v="International NGO(s)"/>
    <s v="Local alliance(s)/Platform(s)/Network(s) of  NGOs/CSOs"/>
    <s v="National government"/>
    <x v="3"/>
    <m/>
    <m/>
    <s v="Working within a unified coalition of INGOs, who are advocating for the same action across legislative and executive targets"/>
    <s v="Engaging media"/>
    <s v="Tied efforts closely to the famine work so people could understand the impact of action"/>
    <s v="In the current political environment in the U.S., NGO's can still be held accountable for comments made off the record, in closed door meetings which now can wind up leaked to the press as part of an interagency struggle due to lack of bureaucratic leadership."/>
    <m/>
    <m/>
    <s v="Although successful under the timeframe of this survey, this will be an issue that we will have to continue to confront until the conflict has reached a peaceful conclusion.  "/>
    <m/>
    <n v="0"/>
    <n v="0"/>
    <s v=""/>
    <s v=""/>
    <s v=""/>
    <n v="0"/>
    <n v="0"/>
    <n v="1"/>
    <n v="0"/>
    <n v="0"/>
    <s v=""/>
    <n v="1"/>
    <n v="0"/>
    <n v="0"/>
    <s v=""/>
    <s v=""/>
    <n v="0"/>
    <n v="0"/>
    <s v=""/>
    <s v=""/>
    <n v="0"/>
    <n v="0"/>
    <s v=""/>
    <n v="1"/>
    <n v="0"/>
    <n v="0"/>
    <s v=""/>
    <s v="No marker score"/>
    <s v="No marker score"/>
    <s v="No marker score"/>
    <n v="0"/>
    <s v="Intensive advocacy"/>
    <n v="0"/>
  </r>
  <r>
    <x v="78"/>
    <x v="6"/>
    <m/>
    <s v="Humanitarian Supplemental"/>
    <s v="United States of America"/>
    <m/>
    <s v="CARE USA"/>
    <m/>
    <m/>
    <m/>
    <m/>
    <m/>
    <m/>
    <m/>
    <m/>
    <m/>
    <m/>
    <m/>
    <m/>
    <m/>
    <m/>
    <m/>
    <m/>
    <m/>
    <m/>
    <m/>
    <m/>
    <m/>
    <m/>
    <m/>
    <m/>
    <m/>
    <m/>
    <m/>
    <m/>
    <m/>
    <m/>
    <m/>
    <m/>
    <m/>
    <m/>
    <m/>
    <m/>
    <m/>
    <m/>
    <m/>
    <m/>
    <m/>
    <m/>
    <m/>
    <m/>
    <m/>
    <m/>
    <m/>
    <m/>
    <d v="2017-04-05T00:00:00"/>
    <d v="2017-05-05T00:00:00"/>
    <m/>
    <s v="Humanitarian Food &amp; Nutrition Security and Resilience to Climate Change"/>
    <m/>
    <s v="Amanda Mathies"/>
    <s v="MEL Officer"/>
    <s v="amathies@care.org"/>
    <s v="Jessica Moses"/>
    <s v="Policy Advocate"/>
    <s v="jmoses@care.org"/>
    <s v="YES"/>
    <s v="YES"/>
    <s v="YES"/>
    <s v="Advocating to secure an additional 1 billion USD in FY17 humanitarian funding, to address the 'four famine' contexts"/>
    <s v="Global"/>
    <s v="Global, but emphasis on Nigeria, Somalia, South Sudan, and Yemen (the four famine contexts)"/>
    <s v="The most vulnerable affected by drought and food insecurity, including women and children"/>
    <m/>
    <m/>
    <m/>
    <m/>
    <m/>
    <m/>
    <s v="Due to the nature of this advocacy initiative direct and indirect participants are not calculated. If participants are related to partners, the work here was done with USAID and key Senate offices."/>
    <m/>
    <m/>
    <m/>
    <m/>
    <m/>
    <m/>
    <m/>
    <s v="NO"/>
    <m/>
    <m/>
    <m/>
    <s v="NO"/>
    <m/>
    <m/>
    <m/>
    <s v="NO"/>
    <m/>
    <m/>
    <m/>
    <s v="YES"/>
    <m/>
    <m/>
    <m/>
    <s v="NO"/>
    <m/>
    <m/>
    <m/>
    <s v="NO"/>
    <m/>
    <m/>
    <m/>
    <s v="NO"/>
    <m/>
    <m/>
    <m/>
    <s v="NO"/>
    <m/>
    <m/>
    <m/>
    <s v="NO"/>
    <m/>
    <m/>
    <m/>
    <s v="NO"/>
    <m/>
    <m/>
    <m/>
    <s v="NO"/>
    <m/>
    <m/>
    <m/>
    <s v="NO"/>
    <m/>
    <m/>
    <m/>
    <m/>
    <m/>
    <m/>
    <m/>
    <m/>
    <m/>
    <m/>
    <m/>
    <m/>
    <m/>
    <m/>
    <s v="YES"/>
    <m/>
    <m/>
    <m/>
    <s v="YES"/>
    <m/>
    <m/>
    <m/>
    <s v="NO"/>
    <m/>
    <m/>
    <m/>
    <s v="YES"/>
    <m/>
    <m/>
    <m/>
    <s v="YES"/>
    <m/>
    <m/>
    <m/>
    <s v="NO"/>
    <m/>
    <m/>
    <m/>
    <s v="YES"/>
    <m/>
    <m/>
    <m/>
    <s v="NO"/>
    <m/>
    <m/>
    <m/>
    <s v="YES"/>
    <m/>
    <m/>
    <m/>
    <s v="NO"/>
    <m/>
    <m/>
    <m/>
    <s v="NO"/>
    <m/>
    <m/>
    <m/>
    <s v="YES"/>
    <m/>
    <m/>
    <m/>
    <s v="NO"/>
    <m/>
    <m/>
    <m/>
    <s v="NO"/>
    <m/>
    <m/>
    <m/>
    <s v="NO"/>
    <m/>
    <m/>
    <m/>
    <s v="YES"/>
    <m/>
    <m/>
    <m/>
    <m/>
    <m/>
    <m/>
    <m/>
    <m/>
    <s v="NO"/>
    <m/>
    <m/>
    <s v="NO"/>
    <s v="NO"/>
    <m/>
    <m/>
    <m/>
    <x v="2"/>
    <s v="NO"/>
    <s v="NO"/>
    <s v="NO"/>
    <s v="NO"/>
    <s v="NO"/>
    <s v="NO"/>
    <s v="YES"/>
    <s v="NO"/>
    <m/>
    <x v="3"/>
    <m/>
    <x v="2"/>
    <s v="Worked with coalition partners - including food security partners"/>
    <x v="3"/>
    <x v="2"/>
    <m/>
    <x v="2"/>
    <x v="2"/>
    <x v="2"/>
    <x v="3"/>
    <n v="0"/>
    <x v="0"/>
    <x v="0"/>
    <x v="0"/>
    <x v="0"/>
    <x v="0"/>
    <x v="0"/>
    <n v="0"/>
    <x v="0"/>
    <x v="0"/>
    <x v="0"/>
    <x v="0"/>
    <x v="0"/>
    <n v="0"/>
    <x v="1"/>
    <x v="4"/>
    <m/>
    <s v="International NGO(s)"/>
    <s v="Local alliance(s)/Platform(s)/Network(s) of  NGOs/CSOs"/>
    <s v="National government"/>
    <x v="3"/>
    <m/>
    <m/>
    <s v="Close working relationships with government officials"/>
    <s v="Building a coalition of humanitarian and food/nutrition security NGO's"/>
    <s v="Encouraging stronger relationships between Hill staff and Admin staff"/>
    <s v="Importance of personal relationships in advocacy work"/>
    <s v="importance of good cost per beneficary info"/>
    <s v="The need to fill the gap for good information on humanitarian programming to show what outcomes investments can produce"/>
    <s v="For this initiative, the lack of a good data sharing platform within CARE became a hurdle when trying to access information quickly without having to reach out to country teams, when they are trying to respond to growing needs during underfunded responses."/>
    <m/>
    <n v="0"/>
    <n v="0"/>
    <s v=""/>
    <s v=""/>
    <s v=""/>
    <n v="0"/>
    <n v="0"/>
    <n v="1"/>
    <n v="0"/>
    <n v="0"/>
    <s v=""/>
    <n v="1"/>
    <n v="0"/>
    <n v="0"/>
    <s v=""/>
    <s v=""/>
    <n v="0"/>
    <n v="0"/>
    <s v=""/>
    <s v=""/>
    <n v="0"/>
    <n v="0"/>
    <s v=""/>
    <n v="1"/>
    <n v="0"/>
    <n v="0"/>
    <s v=""/>
    <s v="No marker score"/>
    <s v="No marker score"/>
    <s v="No marker score"/>
    <n v="0"/>
    <s v="Intensive advocacy"/>
    <n v="0"/>
  </r>
  <r>
    <x v="78"/>
    <x v="6"/>
    <m/>
    <s v="ILO Convention on Ending Harrasment and Violence in the World of Work"/>
    <s v="United States of America"/>
    <m/>
    <s v="CARE USA"/>
    <m/>
    <m/>
    <m/>
    <m/>
    <m/>
    <m/>
    <m/>
    <m/>
    <m/>
    <m/>
    <m/>
    <m/>
    <m/>
    <m/>
    <m/>
    <m/>
    <m/>
    <m/>
    <m/>
    <m/>
    <m/>
    <m/>
    <m/>
    <m/>
    <m/>
    <m/>
    <m/>
    <m/>
    <m/>
    <m/>
    <m/>
    <m/>
    <m/>
    <m/>
    <m/>
    <m/>
    <m/>
    <m/>
    <m/>
    <m/>
    <m/>
    <m/>
    <m/>
    <m/>
    <m/>
    <m/>
    <m/>
    <m/>
    <d v="2017-05-01T00:00:00"/>
    <m/>
    <m/>
    <s v="Development A Life Free From Violence (GBV)"/>
    <m/>
    <s v="Amanda Mathies"/>
    <s v="MEL Officer"/>
    <s v="amathies@care.org"/>
    <s v="Marguerite Lauter"/>
    <s v="Senior Global Advocacy Advisor"/>
    <s v="mlauter@care.org"/>
    <s v="NO"/>
    <s v="YES"/>
    <s v="NO"/>
    <s v="Influence member states, businesses and labor unions to support  the adoption of a new ILO convention on addressing violence and harrasment in the world of work, with a strong focus on GBV"/>
    <s v="Global"/>
    <m/>
    <s v="Women who are engaged in all types of work around the world"/>
    <m/>
    <m/>
    <m/>
    <m/>
    <m/>
    <m/>
    <s v="Due to the nature of this advocacy initiative direct and indirect participants are not calculated."/>
    <m/>
    <m/>
    <m/>
    <m/>
    <m/>
    <m/>
    <m/>
    <m/>
    <m/>
    <m/>
    <m/>
    <m/>
    <m/>
    <m/>
    <m/>
    <m/>
    <m/>
    <m/>
    <m/>
    <m/>
    <m/>
    <m/>
    <m/>
    <m/>
    <m/>
    <m/>
    <m/>
    <m/>
    <m/>
    <m/>
    <m/>
    <m/>
    <m/>
    <m/>
    <m/>
    <m/>
    <m/>
    <m/>
    <m/>
    <m/>
    <m/>
    <m/>
    <m/>
    <m/>
    <m/>
    <m/>
    <m/>
    <m/>
    <m/>
    <m/>
    <m/>
    <m/>
    <m/>
    <m/>
    <m/>
    <m/>
    <m/>
    <m/>
    <m/>
    <m/>
    <m/>
    <m/>
    <m/>
    <m/>
    <m/>
    <m/>
    <s v="NO"/>
    <m/>
    <m/>
    <m/>
    <s v="NO"/>
    <m/>
    <m/>
    <m/>
    <s v="NO"/>
    <m/>
    <m/>
    <m/>
    <s v="NO"/>
    <m/>
    <m/>
    <m/>
    <s v="NO"/>
    <m/>
    <m/>
    <m/>
    <s v="NO"/>
    <m/>
    <m/>
    <m/>
    <s v="NO"/>
    <m/>
    <m/>
    <m/>
    <s v="YES"/>
    <m/>
    <m/>
    <m/>
    <s v="NO"/>
    <m/>
    <m/>
    <m/>
    <s v="NO"/>
    <m/>
    <m/>
    <m/>
    <s v="NO"/>
    <m/>
    <m/>
    <m/>
    <s v="NO"/>
    <m/>
    <m/>
    <m/>
    <s v="NO"/>
    <m/>
    <m/>
    <m/>
    <s v="NO"/>
    <m/>
    <m/>
    <m/>
    <s v="NO"/>
    <m/>
    <m/>
    <m/>
    <s v="NO"/>
    <m/>
    <m/>
    <m/>
    <m/>
    <m/>
    <m/>
    <m/>
    <m/>
    <s v="NO"/>
    <m/>
    <m/>
    <s v="NO"/>
    <s v="NO"/>
    <m/>
    <m/>
    <m/>
    <x v="1"/>
    <s v="YES"/>
    <s v="NO"/>
    <s v="NO"/>
    <s v="NO"/>
    <s v="NO"/>
    <s v="YES"/>
    <s v="NO"/>
    <s v="NO"/>
    <m/>
    <x v="3"/>
    <m/>
    <x v="2"/>
    <m/>
    <x v="3"/>
    <x v="2"/>
    <m/>
    <x v="2"/>
    <x v="2"/>
    <x v="2"/>
    <x v="3"/>
    <n v="0"/>
    <x v="0"/>
    <x v="0"/>
    <x v="0"/>
    <x v="0"/>
    <x v="0"/>
    <x v="0"/>
    <n v="0"/>
    <x v="0"/>
    <x v="0"/>
    <x v="0"/>
    <x v="0"/>
    <x v="0"/>
    <n v="0"/>
    <x v="1"/>
    <x v="3"/>
    <m/>
    <s v="Labor union(s)"/>
    <s v="National government"/>
    <s v="Private sector"/>
    <x v="3"/>
    <m/>
    <m/>
    <m/>
    <m/>
    <m/>
    <m/>
    <m/>
    <m/>
    <s v="Initiaive involves coalition work with labor unions, women's groups, and other allies. This initiative is still very much in the nascent stages of development. We are now in the midst of a process to engage CI members across the confederation in this initiative, and strengthen linkages to CI's Global Moment advocacy campaign in March, 2018"/>
    <m/>
    <n v="0"/>
    <n v="0"/>
    <s v=""/>
    <s v=""/>
    <s v=""/>
    <n v="0"/>
    <n v="0"/>
    <s v=""/>
    <n v="0"/>
    <n v="0"/>
    <s v=""/>
    <s v=""/>
    <n v="0"/>
    <n v="0"/>
    <s v=""/>
    <s v=""/>
    <n v="0"/>
    <n v="0"/>
    <s v=""/>
    <n v="1"/>
    <n v="0"/>
    <n v="0"/>
    <s v=""/>
    <s v=""/>
    <n v="0"/>
    <n v="0"/>
    <s v=""/>
    <s v="No marker score"/>
    <s v="No marker score"/>
    <s v="No marker score"/>
    <n v="0"/>
    <s v="Moderate advocacy"/>
    <n v="0"/>
  </r>
  <r>
    <x v="78"/>
    <x v="6"/>
    <m/>
    <s v="ILO(International Labor Organization): ILO Convention 189 ratification and implementation_CARE USA"/>
    <s v="United States of America"/>
    <m/>
    <s v="CARE USA"/>
    <m/>
    <m/>
    <m/>
    <m/>
    <m/>
    <m/>
    <m/>
    <m/>
    <m/>
    <m/>
    <m/>
    <m/>
    <m/>
    <m/>
    <m/>
    <m/>
    <m/>
    <m/>
    <m/>
    <m/>
    <m/>
    <m/>
    <m/>
    <m/>
    <m/>
    <m/>
    <m/>
    <m/>
    <m/>
    <m/>
    <m/>
    <m/>
    <m/>
    <m/>
    <m/>
    <m/>
    <m/>
    <m/>
    <m/>
    <m/>
    <m/>
    <m/>
    <m/>
    <m/>
    <m/>
    <m/>
    <m/>
    <m/>
    <d v="2016-11-01T00:00:00"/>
    <m/>
    <m/>
    <s v="Development A Life Free From Violence (GBV)"/>
    <m/>
    <s v="Amanda Mathies"/>
    <s v="MEL Officer"/>
    <s v="amathies@care.org"/>
    <s v="Marguerite Lauter"/>
    <s v="Senior Global Advocacy Advisor"/>
    <s v="mlauter@care.org"/>
    <s v="NO"/>
    <s v="YES"/>
    <s v="NO"/>
    <s v="Ensure the equal rights and protection of domestic workers globally, with an advocacy focus on the Latin America region."/>
    <s v="Global"/>
    <s v="LAC- Brazil, Colombia, Ecuador, Guatemala, Honduras and México"/>
    <s v="women and girls, domestic workers, female workers"/>
    <m/>
    <m/>
    <m/>
    <m/>
    <m/>
    <m/>
    <s v="Due to the nature of this advocacy initiative direct and indirect participants are not calculated."/>
    <m/>
    <m/>
    <m/>
    <m/>
    <m/>
    <m/>
    <m/>
    <m/>
    <m/>
    <m/>
    <m/>
    <m/>
    <m/>
    <m/>
    <m/>
    <m/>
    <m/>
    <m/>
    <m/>
    <m/>
    <m/>
    <m/>
    <m/>
    <m/>
    <m/>
    <m/>
    <m/>
    <m/>
    <m/>
    <m/>
    <m/>
    <m/>
    <m/>
    <m/>
    <m/>
    <m/>
    <m/>
    <m/>
    <m/>
    <m/>
    <m/>
    <m/>
    <m/>
    <m/>
    <m/>
    <m/>
    <m/>
    <m/>
    <m/>
    <m/>
    <m/>
    <m/>
    <m/>
    <m/>
    <m/>
    <m/>
    <m/>
    <m/>
    <m/>
    <m/>
    <m/>
    <m/>
    <m/>
    <m/>
    <m/>
    <m/>
    <s v="NO"/>
    <m/>
    <m/>
    <m/>
    <s v="NO"/>
    <m/>
    <m/>
    <m/>
    <s v="NO"/>
    <m/>
    <m/>
    <m/>
    <s v="NO"/>
    <m/>
    <m/>
    <m/>
    <s v="NO"/>
    <m/>
    <m/>
    <m/>
    <s v="NO"/>
    <m/>
    <m/>
    <m/>
    <s v="NO"/>
    <m/>
    <m/>
    <m/>
    <s v="YES"/>
    <m/>
    <m/>
    <m/>
    <s v="YES"/>
    <m/>
    <m/>
    <m/>
    <s v="NO"/>
    <m/>
    <m/>
    <m/>
    <s v="NO"/>
    <m/>
    <m/>
    <m/>
    <s v="NO"/>
    <m/>
    <m/>
    <m/>
    <s v="NO"/>
    <m/>
    <m/>
    <m/>
    <s v="NO"/>
    <m/>
    <m/>
    <m/>
    <s v="NO"/>
    <m/>
    <m/>
    <m/>
    <s v="YES"/>
    <m/>
    <m/>
    <m/>
    <m/>
    <m/>
    <m/>
    <m/>
    <m/>
    <s v="NO"/>
    <m/>
    <m/>
    <s v="NO"/>
    <s v="NO"/>
    <m/>
    <m/>
    <m/>
    <x v="2"/>
    <s v="YES"/>
    <s v="NO"/>
    <s v="NO"/>
    <s v="YES"/>
    <s v="NO"/>
    <s v="NO"/>
    <s v="NO"/>
    <m/>
    <m/>
    <x v="3"/>
    <m/>
    <x v="2"/>
    <m/>
    <x v="2"/>
    <x v="2"/>
    <m/>
    <x v="2"/>
    <x v="2"/>
    <x v="2"/>
    <x v="3"/>
    <n v="0"/>
    <x v="0"/>
    <x v="0"/>
    <x v="0"/>
    <x v="0"/>
    <x v="0"/>
    <x v="0"/>
    <n v="0"/>
    <x v="0"/>
    <x v="0"/>
    <x v="0"/>
    <x v="0"/>
    <x v="0"/>
    <n v="0"/>
    <x v="1"/>
    <x v="2"/>
    <m/>
    <s v="National government"/>
    <s v="Labor union(s)"/>
    <s v="Private sector"/>
    <x v="0"/>
    <m/>
    <m/>
    <s v="Working in coalition"/>
    <s v="Convening multi-stakeholders"/>
    <s v="Direct meetings with policymakers"/>
    <s v="The need to better document the stories and learnings from these women's groups"/>
    <s v="the importance of working in coalition and with a collective voice"/>
    <s v="the need to build a strategic campaign to raise awareness about the challenges domestic workers face"/>
    <s v="GBV is a central focus of the wider campaign around rights for domestic workers, although it is not an explicit component of ILO 189, it is closely linked to a larger strategy to address the major barriers to equal rights and protection for domestic workers. In addition, significant objective is to strengthen the collective voice of civil society to influence governments, trade unions and the private sector."/>
    <s v="See LAC IGS Impact Report; Systematization workshop report"/>
    <n v="0"/>
    <n v="0"/>
    <s v=""/>
    <s v=""/>
    <s v=""/>
    <n v="0"/>
    <n v="0"/>
    <s v=""/>
    <n v="0"/>
    <n v="0"/>
    <s v=""/>
    <s v=""/>
    <n v="0"/>
    <n v="0"/>
    <s v=""/>
    <s v=""/>
    <n v="0"/>
    <n v="0"/>
    <s v=""/>
    <n v="1"/>
    <n v="0"/>
    <n v="0"/>
    <s v=""/>
    <n v="1"/>
    <n v="0"/>
    <n v="0"/>
    <s v=""/>
    <s v="No marker score"/>
    <s v="No marker score"/>
    <s v="No marker score"/>
    <n v="0"/>
    <s v="Intensive advocacy"/>
    <n v="0"/>
  </r>
  <r>
    <x v="78"/>
    <x v="6"/>
    <m/>
    <s v="Implementation of the Adolescent Girl Strategy"/>
    <s v="United States of America"/>
    <m/>
    <s v="CARE USA"/>
    <m/>
    <m/>
    <m/>
    <m/>
    <m/>
    <m/>
    <m/>
    <m/>
    <m/>
    <m/>
    <m/>
    <m/>
    <m/>
    <m/>
    <m/>
    <m/>
    <m/>
    <m/>
    <m/>
    <m/>
    <m/>
    <m/>
    <m/>
    <m/>
    <m/>
    <m/>
    <m/>
    <m/>
    <m/>
    <m/>
    <m/>
    <m/>
    <m/>
    <m/>
    <m/>
    <m/>
    <m/>
    <m/>
    <m/>
    <m/>
    <m/>
    <m/>
    <m/>
    <m/>
    <m/>
    <m/>
    <m/>
    <m/>
    <d v="2016-03-14T00:00:00"/>
    <m/>
    <m/>
    <s v="Development A Life Free From Violence (GBV)"/>
    <m/>
    <s v="Amanda Mathies"/>
    <s v="MEL Officer"/>
    <s v="amathies@care.org"/>
    <s v="Gayatri Patel"/>
    <s v="Senior Policy Advocate"/>
    <s v="gpatel@care.org"/>
    <s v="YES"/>
    <s v="YES"/>
    <s v="YES"/>
    <s v="Advocating for US government implementation of long-term comprehensive strategies to prevent and respond to gender based violence for adolescent girls"/>
    <s v="Global"/>
    <s v="Any country benefiting from USG gender programming"/>
    <s v="adolescent girls"/>
    <m/>
    <m/>
    <m/>
    <m/>
    <m/>
    <m/>
    <s v="Due to the nature of this advocacy initiative direct and indirect participants are not calculated."/>
    <m/>
    <m/>
    <m/>
    <m/>
    <m/>
    <m/>
    <m/>
    <s v="NO"/>
    <m/>
    <m/>
    <m/>
    <s v="NO"/>
    <m/>
    <m/>
    <m/>
    <s v="NO"/>
    <m/>
    <m/>
    <m/>
    <s v="NO"/>
    <m/>
    <m/>
    <m/>
    <s v="YES"/>
    <m/>
    <m/>
    <m/>
    <s v="YES"/>
    <m/>
    <m/>
    <m/>
    <s v="NO"/>
    <m/>
    <m/>
    <m/>
    <s v="NO"/>
    <m/>
    <m/>
    <m/>
    <s v="NO"/>
    <m/>
    <m/>
    <m/>
    <s v="NO"/>
    <m/>
    <m/>
    <m/>
    <s v="NO"/>
    <m/>
    <m/>
    <m/>
    <s v="NO"/>
    <m/>
    <m/>
    <m/>
    <m/>
    <m/>
    <m/>
    <m/>
    <m/>
    <m/>
    <m/>
    <m/>
    <m/>
    <m/>
    <m/>
    <s v="NO"/>
    <m/>
    <m/>
    <m/>
    <s v="NO"/>
    <m/>
    <m/>
    <m/>
    <s v="NO"/>
    <m/>
    <m/>
    <m/>
    <s v="NO"/>
    <m/>
    <m/>
    <m/>
    <s v="NO"/>
    <m/>
    <m/>
    <m/>
    <s v="NO"/>
    <m/>
    <m/>
    <m/>
    <s v="NO"/>
    <m/>
    <m/>
    <m/>
    <s v="YES"/>
    <m/>
    <m/>
    <m/>
    <s v="YES"/>
    <m/>
    <m/>
    <m/>
    <s v="NO"/>
    <m/>
    <m/>
    <m/>
    <s v="NO"/>
    <m/>
    <m/>
    <m/>
    <s v="NO"/>
    <m/>
    <m/>
    <m/>
    <s v="NO"/>
    <m/>
    <m/>
    <m/>
    <s v="NO"/>
    <m/>
    <m/>
    <m/>
    <s v="NO"/>
    <m/>
    <m/>
    <m/>
    <s v="NO"/>
    <m/>
    <m/>
    <m/>
    <m/>
    <m/>
    <m/>
    <m/>
    <m/>
    <s v="NO"/>
    <m/>
    <m/>
    <s v="NO"/>
    <s v="NO"/>
    <m/>
    <m/>
    <m/>
    <x v="2"/>
    <s v="NO"/>
    <s v="NO"/>
    <s v="NO"/>
    <s v="YES"/>
    <s v="NO"/>
    <s v="NO"/>
    <s v="NO"/>
    <s v="NO"/>
    <m/>
    <x v="3"/>
    <m/>
    <x v="2"/>
    <m/>
    <x v="2"/>
    <x v="2"/>
    <m/>
    <x v="2"/>
    <x v="2"/>
    <x v="2"/>
    <x v="3"/>
    <n v="0"/>
    <x v="0"/>
    <x v="0"/>
    <x v="0"/>
    <x v="0"/>
    <x v="0"/>
    <x v="0"/>
    <n v="0"/>
    <x v="0"/>
    <x v="0"/>
    <x v="0"/>
    <x v="0"/>
    <x v="0"/>
    <n v="0"/>
    <x v="1"/>
    <x v="4"/>
    <m/>
    <s v="National government"/>
    <s v="International NGO(s)"/>
    <s v="Local alliance(s)/Platform(s)/Network(s) of  NGOs/CSOs"/>
    <x v="3"/>
    <m/>
    <s v="Had to determine extent to which we could push new Administration to implement a strategy from the previous Administration"/>
    <s v="Comprehensive whole-of-government approaches"/>
    <s v="focus on girls as a specific population in USG policies and programming"/>
    <m/>
    <s v="Getting answers on extent of implementation difficult without key leadership in place"/>
    <m/>
    <m/>
    <m/>
    <m/>
    <n v="0"/>
    <n v="0"/>
    <s v=""/>
    <s v=""/>
    <s v=""/>
    <n v="0"/>
    <n v="0"/>
    <n v="1"/>
    <n v="0"/>
    <n v="0"/>
    <s v=""/>
    <s v=""/>
    <n v="0"/>
    <n v="0"/>
    <s v=""/>
    <s v=""/>
    <n v="0"/>
    <n v="0"/>
    <s v=""/>
    <n v="1"/>
    <n v="0"/>
    <n v="0"/>
    <s v=""/>
    <s v=""/>
    <n v="0"/>
    <n v="0"/>
    <s v=""/>
    <s v="No marker score"/>
    <s v="No marker score"/>
    <s v="No marker score"/>
    <n v="0"/>
    <s v="Intensive advocacy"/>
    <n v="0"/>
  </r>
  <r>
    <x v="78"/>
    <x v="6"/>
    <m/>
    <s v="International Violence Against Women Act"/>
    <s v="United States of America"/>
    <m/>
    <s v="CARE USA"/>
    <m/>
    <m/>
    <m/>
    <m/>
    <m/>
    <m/>
    <m/>
    <m/>
    <m/>
    <m/>
    <m/>
    <m/>
    <m/>
    <m/>
    <m/>
    <m/>
    <m/>
    <m/>
    <m/>
    <m/>
    <m/>
    <m/>
    <m/>
    <m/>
    <m/>
    <m/>
    <m/>
    <m/>
    <m/>
    <m/>
    <m/>
    <m/>
    <m/>
    <m/>
    <m/>
    <m/>
    <m/>
    <m/>
    <m/>
    <m/>
    <m/>
    <m/>
    <m/>
    <m/>
    <m/>
    <m/>
    <m/>
    <m/>
    <d v="2017-01-01T00:00:00"/>
    <m/>
    <m/>
    <s v="Development A Life Free From Violence (GBV)"/>
    <m/>
    <s v="Amanda Mathies"/>
    <s v="MEL Officer"/>
    <s v="amathies@care.org"/>
    <s v="Gayatri Patel"/>
    <s v="Senior Policy Advocate"/>
    <s v="gpatel@care.org"/>
    <s v="YES"/>
    <s v="YES"/>
    <s v="YES"/>
    <s v="Advocating for Congress to support the International Violence Against Women Act (IVAWA) which elevates the importance of women's empowerment and gender-based violence, including child marriage, as a foreign policy priority"/>
    <s v="Global"/>
    <m/>
    <s v="women and girls"/>
    <m/>
    <m/>
    <m/>
    <m/>
    <m/>
    <m/>
    <s v="Due to the nature of this advocacy initiative direct and indirect participants are not calculated."/>
    <m/>
    <m/>
    <m/>
    <m/>
    <m/>
    <m/>
    <m/>
    <s v="NO"/>
    <m/>
    <m/>
    <m/>
    <s v="NO"/>
    <m/>
    <m/>
    <m/>
    <s v="NO"/>
    <m/>
    <m/>
    <m/>
    <s v="NO"/>
    <m/>
    <m/>
    <m/>
    <s v="YES"/>
    <m/>
    <m/>
    <m/>
    <s v="YES"/>
    <m/>
    <m/>
    <m/>
    <s v="NO"/>
    <m/>
    <m/>
    <m/>
    <s v="NO"/>
    <m/>
    <m/>
    <m/>
    <s v="NO"/>
    <m/>
    <m/>
    <m/>
    <s v="NO"/>
    <m/>
    <m/>
    <m/>
    <s v="NO"/>
    <m/>
    <m/>
    <m/>
    <s v="NO"/>
    <m/>
    <m/>
    <m/>
    <m/>
    <m/>
    <m/>
    <m/>
    <m/>
    <m/>
    <m/>
    <m/>
    <m/>
    <m/>
    <m/>
    <s v="NO"/>
    <m/>
    <m/>
    <m/>
    <s v="NO"/>
    <m/>
    <m/>
    <m/>
    <s v="NO"/>
    <m/>
    <m/>
    <m/>
    <s v="NO"/>
    <m/>
    <m/>
    <m/>
    <s v="NO"/>
    <m/>
    <m/>
    <m/>
    <s v="NO"/>
    <m/>
    <m/>
    <m/>
    <s v="NO"/>
    <m/>
    <m/>
    <m/>
    <s v="YES"/>
    <m/>
    <m/>
    <m/>
    <s v="YES"/>
    <m/>
    <m/>
    <m/>
    <s v="NO"/>
    <m/>
    <m/>
    <m/>
    <s v="NO"/>
    <m/>
    <m/>
    <m/>
    <s v="NO"/>
    <m/>
    <m/>
    <m/>
    <s v="NO"/>
    <m/>
    <m/>
    <m/>
    <s v="NO"/>
    <m/>
    <m/>
    <m/>
    <s v="NO"/>
    <m/>
    <m/>
    <m/>
    <s v="NO"/>
    <m/>
    <m/>
    <m/>
    <m/>
    <m/>
    <m/>
    <m/>
    <m/>
    <s v="NO"/>
    <m/>
    <m/>
    <s v="NO"/>
    <s v="NO"/>
    <m/>
    <m/>
    <m/>
    <x v="2"/>
    <s v="YES"/>
    <s v="NO"/>
    <s v="NO"/>
    <s v="NO"/>
    <s v="NO"/>
    <s v="NO"/>
    <s v="NO"/>
    <s v="NO"/>
    <m/>
    <x v="3"/>
    <m/>
    <x v="2"/>
    <m/>
    <x v="2"/>
    <x v="2"/>
    <m/>
    <x v="2"/>
    <x v="2"/>
    <x v="2"/>
    <x v="3"/>
    <n v="0"/>
    <x v="0"/>
    <x v="0"/>
    <x v="0"/>
    <x v="0"/>
    <x v="0"/>
    <x v="0"/>
    <n v="0"/>
    <x v="0"/>
    <x v="0"/>
    <x v="0"/>
    <x v="0"/>
    <x v="0"/>
    <n v="0"/>
    <x v="1"/>
    <x v="4"/>
    <m/>
    <s v="National government"/>
    <s v="International NGO(s)"/>
    <m/>
    <x v="3"/>
    <m/>
    <s v="Re-negotiated language from previous versions of the bill to garner more bipartisan support"/>
    <s v="Work with coalitions"/>
    <s v="outreach to moderate faith-based organizations"/>
    <s v="relationship-building with influential Republican offices"/>
    <s v="Very clearly articulate redlines when negotiating bill language"/>
    <s v="ensure broad participation/consultation"/>
    <m/>
    <m/>
    <m/>
    <n v="0"/>
    <n v="0"/>
    <s v=""/>
    <s v=""/>
    <s v=""/>
    <n v="0"/>
    <n v="0"/>
    <n v="1"/>
    <n v="0"/>
    <n v="0"/>
    <s v=""/>
    <s v=""/>
    <n v="0"/>
    <n v="0"/>
    <s v=""/>
    <s v=""/>
    <n v="0"/>
    <n v="0"/>
    <s v=""/>
    <n v="1"/>
    <n v="0"/>
    <n v="0"/>
    <s v=""/>
    <s v=""/>
    <n v="0"/>
    <n v="0"/>
    <s v=""/>
    <s v="No marker score"/>
    <s v="No marker score"/>
    <s v="No marker score"/>
    <n v="0"/>
    <s v="Intensive advocacy"/>
    <n v="0"/>
  </r>
  <r>
    <x v="78"/>
    <x v="6"/>
    <m/>
    <s v="London Somalia Conference_CARE USA"/>
    <s v="United States of America"/>
    <m/>
    <s v="CARE USA"/>
    <m/>
    <m/>
    <m/>
    <m/>
    <m/>
    <m/>
    <m/>
    <m/>
    <m/>
    <m/>
    <m/>
    <m/>
    <m/>
    <m/>
    <m/>
    <m/>
    <m/>
    <m/>
    <m/>
    <m/>
    <m/>
    <m/>
    <m/>
    <m/>
    <m/>
    <m/>
    <m/>
    <m/>
    <m/>
    <m/>
    <m/>
    <m/>
    <m/>
    <m/>
    <m/>
    <m/>
    <m/>
    <m/>
    <m/>
    <m/>
    <m/>
    <m/>
    <m/>
    <m/>
    <m/>
    <m/>
    <m/>
    <m/>
    <d v="2017-02-23T00:00:00"/>
    <d v="2017-02-23T00:00:00"/>
    <m/>
    <s v="Humanitarian Other"/>
    <m/>
    <s v="Amanda Mathies"/>
    <s v="MEL Officer"/>
    <s v="amathies@care.org"/>
    <s v="Joe Read"/>
    <s v="Global Advocacy Advisor"/>
    <s v="joe.read@care.org"/>
    <s v="YES"/>
    <s v="NO"/>
    <s v="NO"/>
    <s v="CARE's primary goal for the meeting was to ensure that civil society voices were heard by delegations and to mobilise further fundraising along with diplomatic actions to address obstacles and bottlenecks to the Somalia response."/>
    <s v="Multiple countries"/>
    <s v="National (Somalia) and Global (European, North American and Australian CMPs)"/>
    <s v="Displacement and conflict-affected communities in Somalia"/>
    <m/>
    <m/>
    <m/>
    <m/>
    <m/>
    <n v="3200000"/>
    <s v="Due to the nature of this advocacy initiative direct and indirect participants are difficult to calculate. However, if we were to calculate the indirect participants who would be affected it would be the 3.2 million people in need of humanitarian assistance in Somalia"/>
    <m/>
    <m/>
    <m/>
    <m/>
    <m/>
    <m/>
    <m/>
    <m/>
    <m/>
    <m/>
    <m/>
    <m/>
    <m/>
    <m/>
    <m/>
    <m/>
    <m/>
    <m/>
    <m/>
    <m/>
    <m/>
    <m/>
    <m/>
    <m/>
    <m/>
    <m/>
    <m/>
    <m/>
    <m/>
    <m/>
    <m/>
    <m/>
    <m/>
    <m/>
    <m/>
    <m/>
    <m/>
    <m/>
    <m/>
    <m/>
    <m/>
    <m/>
    <m/>
    <m/>
    <m/>
    <m/>
    <m/>
    <m/>
    <m/>
    <m/>
    <m/>
    <m/>
    <m/>
    <m/>
    <m/>
    <m/>
    <m/>
    <m/>
    <m/>
    <m/>
    <m/>
    <m/>
    <m/>
    <m/>
    <m/>
    <m/>
    <m/>
    <m/>
    <m/>
    <m/>
    <m/>
    <m/>
    <m/>
    <m/>
    <m/>
    <m/>
    <m/>
    <m/>
    <m/>
    <m/>
    <m/>
    <m/>
    <m/>
    <m/>
    <m/>
    <m/>
    <m/>
    <m/>
    <m/>
    <m/>
    <m/>
    <m/>
    <m/>
    <m/>
    <m/>
    <m/>
    <m/>
    <m/>
    <m/>
    <m/>
    <m/>
    <m/>
    <m/>
    <m/>
    <m/>
    <m/>
    <m/>
    <m/>
    <m/>
    <m/>
    <m/>
    <m/>
    <m/>
    <m/>
    <m/>
    <m/>
    <m/>
    <m/>
    <m/>
    <m/>
    <m/>
    <m/>
    <m/>
    <m/>
    <m/>
    <m/>
    <m/>
    <m/>
    <m/>
    <m/>
    <m/>
    <m/>
    <m/>
    <m/>
    <m/>
    <s v="NO"/>
    <m/>
    <m/>
    <s v="NO"/>
    <s v="NO"/>
    <m/>
    <m/>
    <m/>
    <x v="2"/>
    <s v="NO"/>
    <s v="NO"/>
    <s v="NO"/>
    <s v="NO"/>
    <s v="NO"/>
    <s v="YES"/>
    <s v="NO"/>
    <s v="NO"/>
    <m/>
    <x v="3"/>
    <m/>
    <x v="2"/>
    <m/>
    <x v="1"/>
    <x v="2"/>
    <m/>
    <x v="2"/>
    <x v="2"/>
    <x v="2"/>
    <x v="3"/>
    <n v="0"/>
    <x v="0"/>
    <x v="0"/>
    <x v="0"/>
    <x v="0"/>
    <x v="0"/>
    <x v="0"/>
    <n v="0"/>
    <x v="0"/>
    <x v="0"/>
    <x v="0"/>
    <x v="0"/>
    <x v="0"/>
    <n v="0"/>
    <x v="1"/>
    <x v="3"/>
    <m/>
    <s v="International NGO(s)"/>
    <s v="Local NGO(s)/CSO(s)"/>
    <s v="National government"/>
    <x v="2"/>
    <s v="Somewhat - strengthened linkages between Somalia-based advocacy and capital-level advocacy"/>
    <m/>
    <s v="Multi-stakeholder alliances, "/>
    <s v="evidence-based awareness raising"/>
    <m/>
    <s v="Need more strategic and coordinated planning between country level and capital level in advance of high level meetings/donor conferences on humanitarian crises"/>
    <m/>
    <m/>
    <s v="Two months of intensive planning (through the global Somalia NGO advocacy group) was invested in order to make advocacy at the London Somalia Conference successful. This could not be repeated for all crises, particularly at busy times of year, unless there is greater responsibility-sharing among CMPs_x000a_Extent of linking with partners: Participation in global NGO advocacy coalition coordinated by Oxfam in London (including colleagues in Somalia, Nairobi, London, Paris and DC)"/>
    <m/>
    <n v="0"/>
    <n v="0"/>
    <s v=""/>
    <s v=""/>
    <s v=""/>
    <n v="0"/>
    <n v="0"/>
    <n v="1"/>
    <n v="0"/>
    <n v="0"/>
    <s v=""/>
    <s v=""/>
    <n v="0"/>
    <n v="0"/>
    <s v=""/>
    <s v=""/>
    <n v="0"/>
    <n v="0"/>
    <s v=""/>
    <s v=""/>
    <n v="0"/>
    <n v="0"/>
    <s v=""/>
    <s v=""/>
    <n v="0"/>
    <n v="0"/>
    <s v=""/>
    <s v="No marker score"/>
    <s v="No marker score"/>
    <s v="No marker score"/>
    <n v="0"/>
    <s v="Intensive advocacy"/>
    <n v="0"/>
  </r>
  <r>
    <x v="78"/>
    <x v="6"/>
    <m/>
    <s v="Malabo Commitments_CARE USA"/>
    <s v="United States of America"/>
    <m/>
    <s v="CARE USA"/>
    <m/>
    <m/>
    <m/>
    <m/>
    <m/>
    <m/>
    <m/>
    <m/>
    <m/>
    <m/>
    <m/>
    <m/>
    <m/>
    <m/>
    <m/>
    <m/>
    <m/>
    <m/>
    <m/>
    <m/>
    <m/>
    <m/>
    <m/>
    <m/>
    <m/>
    <m/>
    <m/>
    <m/>
    <m/>
    <m/>
    <m/>
    <m/>
    <m/>
    <m/>
    <m/>
    <m/>
    <m/>
    <m/>
    <m/>
    <m/>
    <m/>
    <m/>
    <m/>
    <m/>
    <m/>
    <m/>
    <m/>
    <m/>
    <d v="2016-11-01T00:00:00"/>
    <m/>
    <m/>
    <s v="Development Food &amp; Nutrition Security and Resilience to Climate Change"/>
    <m/>
    <s v="Amanda Mathies"/>
    <s v="MEL Officer"/>
    <s v="amathies@care.org"/>
    <s v="Marguerite Lauter"/>
    <s v="Senior Global Advocacy Advisor"/>
    <s v="mlauter@care.org"/>
    <s v="NO"/>
    <s v="YES"/>
    <s v="NO"/>
    <s v="Ensure governments uphold their commitments to allot 10% of government funding to agriculture and nutrition programming."/>
    <s v="Regional"/>
    <s v="Southern Africa: Zimbabwe, Zambia, Madagascar, Malawi, Tanzania, Mozambique"/>
    <s v="small-scale food producers, particularly women "/>
    <m/>
    <m/>
    <m/>
    <m/>
    <m/>
    <m/>
    <s v="Due to the nature of this advocacy initiative direct and indirect participants are not calculated."/>
    <m/>
    <m/>
    <m/>
    <m/>
    <m/>
    <m/>
    <m/>
    <m/>
    <m/>
    <m/>
    <m/>
    <m/>
    <m/>
    <m/>
    <m/>
    <m/>
    <m/>
    <m/>
    <m/>
    <m/>
    <m/>
    <m/>
    <m/>
    <m/>
    <m/>
    <m/>
    <m/>
    <m/>
    <m/>
    <m/>
    <m/>
    <m/>
    <m/>
    <m/>
    <m/>
    <m/>
    <m/>
    <m/>
    <m/>
    <m/>
    <m/>
    <m/>
    <m/>
    <m/>
    <m/>
    <m/>
    <m/>
    <m/>
    <m/>
    <m/>
    <m/>
    <m/>
    <m/>
    <m/>
    <m/>
    <m/>
    <m/>
    <m/>
    <m/>
    <m/>
    <m/>
    <m/>
    <m/>
    <m/>
    <m/>
    <m/>
    <s v="YES"/>
    <m/>
    <m/>
    <m/>
    <s v="YES"/>
    <m/>
    <m/>
    <m/>
    <s v="NO"/>
    <m/>
    <m/>
    <m/>
    <s v="NO"/>
    <m/>
    <m/>
    <m/>
    <s v="NO"/>
    <m/>
    <m/>
    <m/>
    <s v="NO"/>
    <m/>
    <m/>
    <m/>
    <s v="YES"/>
    <m/>
    <m/>
    <m/>
    <s v="NO"/>
    <m/>
    <m/>
    <m/>
    <s v="NO"/>
    <m/>
    <m/>
    <m/>
    <s v="NO"/>
    <m/>
    <m/>
    <m/>
    <s v="NO"/>
    <m/>
    <m/>
    <m/>
    <s v="NO"/>
    <m/>
    <m/>
    <m/>
    <s v="NO"/>
    <m/>
    <m/>
    <m/>
    <s v="NO"/>
    <m/>
    <m/>
    <m/>
    <s v="NO"/>
    <m/>
    <m/>
    <m/>
    <s v="NO"/>
    <m/>
    <m/>
    <m/>
    <m/>
    <m/>
    <m/>
    <m/>
    <m/>
    <s v="NO"/>
    <m/>
    <m/>
    <s v="NO"/>
    <s v="NO"/>
    <m/>
    <m/>
    <m/>
    <x v="2"/>
    <s v="NO"/>
    <s v="NO"/>
    <s v="NO"/>
    <s v="YES"/>
    <s v="NO"/>
    <s v="NO"/>
    <s v="NO"/>
    <m/>
    <m/>
    <x v="3"/>
    <m/>
    <x v="2"/>
    <m/>
    <x v="3"/>
    <x v="2"/>
    <m/>
    <x v="2"/>
    <x v="2"/>
    <x v="2"/>
    <x v="3"/>
    <n v="0"/>
    <x v="0"/>
    <x v="0"/>
    <x v="0"/>
    <x v="0"/>
    <x v="0"/>
    <x v="0"/>
    <n v="0"/>
    <x v="0"/>
    <x v="0"/>
    <x v="0"/>
    <x v="0"/>
    <x v="0"/>
    <n v="0"/>
    <x v="1"/>
    <x v="3"/>
    <m/>
    <s v="National government"/>
    <s v="International NGO(s)"/>
    <s v="Local NGO(s)/CSO(s)"/>
    <x v="3"/>
    <m/>
    <s v="The project has recognized the need to prioritize engagement around key moments over the next FY across national budgetting processes. "/>
    <s v="Multi-stakeholder alliances"/>
    <s v="Evidence-based awareness raising"/>
    <m/>
    <s v="Need to build a more strategic and targeted awareness-raising campaign with key partners and allies"/>
    <m/>
    <m/>
    <s v="This project has generated a lot of momentum over the past six months through the development of several key partnerships with highly active coalitions, specifically the Graca Michel Trust and FANRPAN. This has elevated CARE's leadership and visibility on the issue and given us platforms to share our evidence based advocacy asks."/>
    <s v="SARMU IGS Impact Report"/>
    <n v="0"/>
    <n v="0"/>
    <s v=""/>
    <s v=""/>
    <s v=""/>
    <n v="0"/>
    <n v="0"/>
    <s v=""/>
    <n v="0"/>
    <n v="0"/>
    <s v=""/>
    <n v="1"/>
    <n v="0"/>
    <n v="0"/>
    <s v=""/>
    <s v=""/>
    <n v="0"/>
    <n v="0"/>
    <s v=""/>
    <s v=""/>
    <n v="0"/>
    <n v="0"/>
    <s v=""/>
    <s v=""/>
    <n v="0"/>
    <n v="0"/>
    <s v=""/>
    <s v="No marker score"/>
    <s v="No marker score"/>
    <s v="No marker score"/>
    <n v="0"/>
    <s v="Intensive advocacy"/>
    <n v="0"/>
  </r>
  <r>
    <x v="78"/>
    <x v="6"/>
    <m/>
    <s v="Oslo Humanitarian Conference_CARE USA"/>
    <s v="United States of America"/>
    <m/>
    <s v="CARE USA"/>
    <m/>
    <m/>
    <m/>
    <m/>
    <m/>
    <m/>
    <m/>
    <m/>
    <m/>
    <m/>
    <m/>
    <m/>
    <m/>
    <m/>
    <m/>
    <m/>
    <m/>
    <m/>
    <m/>
    <m/>
    <m/>
    <m/>
    <m/>
    <m/>
    <m/>
    <m/>
    <m/>
    <m/>
    <m/>
    <m/>
    <m/>
    <m/>
    <m/>
    <m/>
    <m/>
    <m/>
    <m/>
    <m/>
    <m/>
    <m/>
    <m/>
    <m/>
    <m/>
    <m/>
    <m/>
    <m/>
    <m/>
    <m/>
    <d v="2017-02-23T00:00:00"/>
    <d v="2017-02-24T00:00:00"/>
    <m/>
    <s v="Humanitarian Other"/>
    <m/>
    <s v="Amanda Mathies"/>
    <s v="MEL Officer"/>
    <s v="amathies@care.org"/>
    <s v="Joe Read"/>
    <s v="Global Advocacy Advisor"/>
    <s v="joe.read@care.org"/>
    <s v="YES"/>
    <s v="NO"/>
    <s v="NO"/>
    <s v="CARE's primary goal for the meeting was to ensure that civil society voices were heard by delegations and to raise issues of concern to CARE operations in Cameroon, Chad, Niger and Nigeria, particularly in the food security sector, along with pushing for pledges to the humanitarian responses in the four countries."/>
    <s v="Multiple countries"/>
    <s v="National (Cameroon, Chad, Niger, Nigeria) and Global (European, North American and Australian CMPs)"/>
    <s v="Displacement and conflict-affected communities in the Lake Chad Basin"/>
    <m/>
    <m/>
    <m/>
    <m/>
    <m/>
    <n v="11000000"/>
    <s v="Due to the nature of this advocacy initiative direct and indirect participants are difficult to calculate. However, if we were to calculate the indirect participants who would be affected it would be the 11 million people in need of humanitarian assistance in the Lake Chad Basin"/>
    <m/>
    <m/>
    <m/>
    <m/>
    <m/>
    <m/>
    <m/>
    <m/>
    <m/>
    <m/>
    <m/>
    <m/>
    <m/>
    <m/>
    <m/>
    <m/>
    <m/>
    <m/>
    <m/>
    <m/>
    <m/>
    <m/>
    <m/>
    <m/>
    <m/>
    <m/>
    <m/>
    <m/>
    <m/>
    <m/>
    <m/>
    <m/>
    <m/>
    <m/>
    <m/>
    <m/>
    <m/>
    <m/>
    <m/>
    <m/>
    <m/>
    <m/>
    <m/>
    <m/>
    <m/>
    <m/>
    <m/>
    <m/>
    <m/>
    <m/>
    <m/>
    <m/>
    <m/>
    <m/>
    <m/>
    <m/>
    <m/>
    <m/>
    <m/>
    <m/>
    <m/>
    <m/>
    <m/>
    <m/>
    <m/>
    <m/>
    <m/>
    <m/>
    <m/>
    <m/>
    <m/>
    <m/>
    <m/>
    <m/>
    <m/>
    <m/>
    <m/>
    <m/>
    <m/>
    <m/>
    <m/>
    <m/>
    <m/>
    <m/>
    <m/>
    <m/>
    <m/>
    <m/>
    <m/>
    <m/>
    <m/>
    <m/>
    <m/>
    <m/>
    <m/>
    <m/>
    <m/>
    <m/>
    <m/>
    <m/>
    <m/>
    <m/>
    <m/>
    <m/>
    <m/>
    <m/>
    <m/>
    <m/>
    <m/>
    <m/>
    <m/>
    <m/>
    <m/>
    <m/>
    <m/>
    <m/>
    <m/>
    <m/>
    <m/>
    <m/>
    <m/>
    <m/>
    <m/>
    <m/>
    <m/>
    <m/>
    <m/>
    <m/>
    <m/>
    <m/>
    <m/>
    <m/>
    <m/>
    <m/>
    <m/>
    <s v="NO"/>
    <m/>
    <m/>
    <s v="NO"/>
    <s v="NO"/>
    <m/>
    <m/>
    <m/>
    <x v="1"/>
    <s v="NO"/>
    <s v="NO"/>
    <s v="NO"/>
    <s v="NO"/>
    <s v="NO"/>
    <s v="YES"/>
    <s v="NO"/>
    <s v="NO"/>
    <m/>
    <x v="3"/>
    <m/>
    <x v="2"/>
    <m/>
    <x v="1"/>
    <x v="2"/>
    <m/>
    <x v="2"/>
    <x v="2"/>
    <x v="2"/>
    <x v="3"/>
    <n v="0"/>
    <x v="0"/>
    <x v="0"/>
    <x v="0"/>
    <x v="0"/>
    <x v="0"/>
    <x v="0"/>
    <n v="0"/>
    <x v="0"/>
    <x v="0"/>
    <x v="0"/>
    <x v="0"/>
    <x v="0"/>
    <n v="0"/>
    <x v="1"/>
    <x v="3"/>
    <m/>
    <s v="International NGO(s)"/>
    <s v="Local NGO(s)/CSO(s)"/>
    <s v="National government"/>
    <x v="2"/>
    <s v="Somewhat- strengthened linkages between INGO advocacy coordination and civil society in the Lake Chad Basin"/>
    <m/>
    <s v="Multi-stakeholder alliances, "/>
    <s v="evidence-based awareness raising"/>
    <m/>
    <s v="Need more strategic and coordinated planning between country level and capital level in advance of high level meetings/donor conferences on humanitarian crises"/>
    <m/>
    <m/>
    <s v="Planning by CARE Norway for this event was supported by CARE USA (policy analysis) and CI (deployment of Fatouma Soumana to attend the conference. How can this approach be replicated in future? _x000a_Extent of linking with partners: Participation in in-country NGO forum advocacy work and coordination with peer organisations in Oslo"/>
    <m/>
    <n v="0"/>
    <n v="0"/>
    <s v=""/>
    <s v=""/>
    <s v=""/>
    <n v="0"/>
    <n v="0"/>
    <n v="1"/>
    <n v="0"/>
    <n v="0"/>
    <s v=""/>
    <s v=""/>
    <n v="0"/>
    <n v="0"/>
    <s v=""/>
    <s v=""/>
    <n v="0"/>
    <n v="0"/>
    <s v=""/>
    <s v=""/>
    <n v="0"/>
    <n v="0"/>
    <s v=""/>
    <s v=""/>
    <n v="0"/>
    <n v="0"/>
    <s v=""/>
    <s v="No marker score"/>
    <s v="No marker score"/>
    <s v="No marker score"/>
    <n v="0"/>
    <s v="Moderate advocacy"/>
    <n v="0"/>
  </r>
  <r>
    <x v="78"/>
    <x v="6"/>
    <m/>
    <s v="Preventing Executive Order on Cargo Preference"/>
    <s v="United States of America"/>
    <m/>
    <s v="CARE USA"/>
    <m/>
    <m/>
    <m/>
    <m/>
    <m/>
    <m/>
    <m/>
    <m/>
    <m/>
    <m/>
    <m/>
    <m/>
    <m/>
    <m/>
    <m/>
    <m/>
    <m/>
    <m/>
    <m/>
    <m/>
    <m/>
    <m/>
    <m/>
    <m/>
    <m/>
    <m/>
    <m/>
    <m/>
    <m/>
    <m/>
    <m/>
    <m/>
    <m/>
    <m/>
    <m/>
    <m/>
    <m/>
    <m/>
    <m/>
    <m/>
    <m/>
    <m/>
    <m/>
    <m/>
    <m/>
    <m/>
    <m/>
    <m/>
    <d v="2017-06-26T00:00:00"/>
    <d v="2017-06-30T00:00:00"/>
    <m/>
    <s v="Humanitarian Food &amp; Nutrition Security and Resilience to Climate Change"/>
    <m/>
    <s v="Amanda Mathies"/>
    <s v="MEL Officer"/>
    <s v="amathies@care.org"/>
    <s v="Mary Olive"/>
    <s v="Policy Advocate"/>
    <s v="mary.olive@care.org"/>
    <s v="YES"/>
    <s v="NO"/>
    <s v="NO"/>
    <s v="Advocating to prevent a harmful executive order on increasing Cargo Prefence from being introduced and/or going into effect. The cargo preference requires that the majority of U.S. food aid be shipped from the US to countires in need, a process that can be slow and expensive. Without this requirement, resources spent on shipping could be redirected to people requiring assistance."/>
    <s v="Global"/>
    <s v="Global"/>
    <s v="Global"/>
    <m/>
    <m/>
    <m/>
    <m/>
    <m/>
    <m/>
    <s v="Due to the nature of this advocacy initiative direct and indirect participants are not calculated. However, this executive order would have negatively impacted humanitarian and development work around the world if implemented by making U.S. food assistance more expensive and slower."/>
    <m/>
    <m/>
    <m/>
    <m/>
    <m/>
    <m/>
    <m/>
    <s v="NO"/>
    <m/>
    <m/>
    <m/>
    <s v="NO"/>
    <m/>
    <m/>
    <m/>
    <s v="NO"/>
    <m/>
    <m/>
    <m/>
    <s v="YES"/>
    <m/>
    <m/>
    <m/>
    <s v="NO"/>
    <m/>
    <m/>
    <m/>
    <s v="NO"/>
    <m/>
    <m/>
    <m/>
    <s v="NO"/>
    <m/>
    <m/>
    <m/>
    <s v="NO"/>
    <m/>
    <m/>
    <m/>
    <s v="NO"/>
    <m/>
    <m/>
    <m/>
    <s v="NO"/>
    <m/>
    <m/>
    <m/>
    <s v="NO"/>
    <m/>
    <m/>
    <m/>
    <s v="NO"/>
    <m/>
    <m/>
    <m/>
    <m/>
    <m/>
    <m/>
    <m/>
    <m/>
    <m/>
    <m/>
    <m/>
    <m/>
    <m/>
    <m/>
    <m/>
    <m/>
    <m/>
    <m/>
    <m/>
    <m/>
    <m/>
    <m/>
    <m/>
    <m/>
    <m/>
    <m/>
    <m/>
    <m/>
    <m/>
    <m/>
    <m/>
    <m/>
    <m/>
    <m/>
    <m/>
    <m/>
    <m/>
    <m/>
    <m/>
    <m/>
    <m/>
    <m/>
    <m/>
    <m/>
    <m/>
    <m/>
    <m/>
    <m/>
    <m/>
    <m/>
    <m/>
    <m/>
    <m/>
    <m/>
    <m/>
    <m/>
    <m/>
    <m/>
    <m/>
    <m/>
    <m/>
    <m/>
    <m/>
    <m/>
    <m/>
    <m/>
    <m/>
    <m/>
    <m/>
    <m/>
    <m/>
    <m/>
    <m/>
    <m/>
    <m/>
    <m/>
    <m/>
    <m/>
    <m/>
    <m/>
    <m/>
    <m/>
    <m/>
    <s v="NO"/>
    <m/>
    <m/>
    <s v="NO"/>
    <s v="NO"/>
    <m/>
    <m/>
    <m/>
    <x v="2"/>
    <s v="NO"/>
    <s v="YES"/>
    <s v="NO"/>
    <s v="NO"/>
    <s v="NO"/>
    <s v="NO"/>
    <s v="NO"/>
    <m/>
    <m/>
    <x v="3"/>
    <m/>
    <x v="2"/>
    <m/>
    <x v="3"/>
    <x v="2"/>
    <m/>
    <x v="2"/>
    <x v="2"/>
    <x v="2"/>
    <x v="3"/>
    <n v="0"/>
    <x v="0"/>
    <x v="0"/>
    <x v="0"/>
    <x v="0"/>
    <x v="0"/>
    <x v="0"/>
    <n v="0"/>
    <x v="0"/>
    <x v="0"/>
    <x v="0"/>
    <x v="0"/>
    <x v="0"/>
    <n v="0"/>
    <x v="1"/>
    <x v="3"/>
    <m/>
    <s v="International NGO(s)"/>
    <s v="Private sector"/>
    <s v="Grassroots organization(s)"/>
    <x v="3"/>
    <m/>
    <m/>
    <s v="Engaging the private sector"/>
    <m/>
    <m/>
    <s v="Diversifying the types of individuals and increasing the number of Congressional offices contacting the Administration elicits a faster response from the White House"/>
    <m/>
    <m/>
    <s v="CARE heard through rumors that the White House was considering an Executive Order (EO) that would require 100% of government shipments to be made on US flag ships, which cost approximately twice that of foreign flag ships. We discovered that a draft of the EO was written, and it was intended to align with the President's &quot;buy American, hire American&quot; philosphy. However, the EO was not shared or discussed with USAID, USDA, or any stakeholders who would be negatively impacted by the policy. CARE then mobilized, along with a coalition of other NGOs, to inform Members of Congress and private industry groups to encourage them to contact the White House. CARE also met with White House officials to discuss the impacts that such a policy would have on international food aid programs. Ultimately, the White House ceased efforts on the Executive Order."/>
    <m/>
    <n v="0"/>
    <n v="0"/>
    <s v=""/>
    <s v=""/>
    <s v=""/>
    <n v="0"/>
    <n v="0"/>
    <n v="1"/>
    <n v="0"/>
    <n v="0"/>
    <s v=""/>
    <n v="1"/>
    <n v="0"/>
    <n v="0"/>
    <s v=""/>
    <s v=""/>
    <n v="0"/>
    <n v="0"/>
    <s v=""/>
    <s v=""/>
    <n v="0"/>
    <n v="0"/>
    <s v=""/>
    <s v=""/>
    <n v="0"/>
    <n v="0"/>
    <s v=""/>
    <s v="No marker score"/>
    <s v="No marker score"/>
    <s v="No marker score"/>
    <n v="0"/>
    <s v="Intensive advocacy"/>
    <n v="0"/>
  </r>
  <r>
    <x v="78"/>
    <x v="6"/>
    <m/>
    <s v="Protecting Let Girls Learn"/>
    <s v="United States of America"/>
    <m/>
    <s v="CARE USA"/>
    <m/>
    <m/>
    <m/>
    <m/>
    <m/>
    <m/>
    <m/>
    <m/>
    <m/>
    <m/>
    <m/>
    <m/>
    <m/>
    <m/>
    <m/>
    <m/>
    <m/>
    <m/>
    <m/>
    <m/>
    <m/>
    <m/>
    <m/>
    <m/>
    <m/>
    <m/>
    <m/>
    <m/>
    <m/>
    <m/>
    <m/>
    <m/>
    <m/>
    <m/>
    <m/>
    <m/>
    <m/>
    <m/>
    <m/>
    <m/>
    <m/>
    <m/>
    <m/>
    <m/>
    <m/>
    <m/>
    <m/>
    <m/>
    <d v="2017-05-01T00:00:00"/>
    <d v="2017-05-10T00:00:00"/>
    <m/>
    <s v="Development Other"/>
    <m/>
    <s v="Amanda Mathies"/>
    <s v="MEL Officer"/>
    <s v="amathies@care.org"/>
    <s v="Gayatri Patel"/>
    <s v="Senior Policy Advocate"/>
    <s v="gpatel@care.org"/>
    <s v="YES"/>
    <s v="YES"/>
    <s v="YES"/>
    <s v="Following the announcement from the Trump Administration to end Let Girls Learn, CARE and partners advocated on behalf of Let Girls Learn and  against the end of this program. Let Girls Learn is a United States government initiative to ensure adolescent girls get the education they deserve."/>
    <s v="Global"/>
    <s v="Current LGL countries include Malawi, Tanzania, Nepal, and Laos"/>
    <s v="adolescent girls"/>
    <m/>
    <m/>
    <m/>
    <m/>
    <m/>
    <m/>
    <s v="Due to the nature of this advocacy initiative direct and indirect participants are not calculated."/>
    <m/>
    <m/>
    <m/>
    <m/>
    <m/>
    <m/>
    <m/>
    <s v="NO"/>
    <m/>
    <m/>
    <m/>
    <s v="NO"/>
    <m/>
    <m/>
    <m/>
    <s v="YES"/>
    <m/>
    <m/>
    <m/>
    <s v="NO"/>
    <m/>
    <m/>
    <m/>
    <s v="NO"/>
    <m/>
    <m/>
    <m/>
    <s v="YES"/>
    <m/>
    <m/>
    <m/>
    <s v="NO"/>
    <m/>
    <m/>
    <m/>
    <s v="NO"/>
    <m/>
    <m/>
    <m/>
    <s v="NO"/>
    <m/>
    <m/>
    <m/>
    <s v="NO"/>
    <m/>
    <m/>
    <m/>
    <s v="NO"/>
    <m/>
    <m/>
    <m/>
    <s v="NO"/>
    <m/>
    <m/>
    <m/>
    <m/>
    <m/>
    <m/>
    <m/>
    <m/>
    <m/>
    <m/>
    <m/>
    <m/>
    <m/>
    <m/>
    <s v="NO"/>
    <m/>
    <m/>
    <m/>
    <s v="NO"/>
    <m/>
    <m/>
    <m/>
    <s v="NO"/>
    <m/>
    <m/>
    <m/>
    <s v="NO"/>
    <m/>
    <m/>
    <m/>
    <s v="NO"/>
    <m/>
    <m/>
    <m/>
    <s v="YES"/>
    <m/>
    <m/>
    <m/>
    <s v="NO"/>
    <m/>
    <m/>
    <m/>
    <s v="NO"/>
    <m/>
    <m/>
    <m/>
    <s v="YES"/>
    <m/>
    <m/>
    <m/>
    <s v="NO"/>
    <m/>
    <m/>
    <m/>
    <s v="NO"/>
    <m/>
    <m/>
    <m/>
    <s v="NO"/>
    <m/>
    <m/>
    <m/>
    <s v="NO"/>
    <m/>
    <m/>
    <m/>
    <s v="NO"/>
    <m/>
    <m/>
    <m/>
    <s v="NO"/>
    <m/>
    <m/>
    <m/>
    <s v="NO"/>
    <m/>
    <m/>
    <m/>
    <m/>
    <m/>
    <m/>
    <m/>
    <m/>
    <s v="NO"/>
    <m/>
    <m/>
    <s v="NO"/>
    <s v="NO"/>
    <m/>
    <m/>
    <m/>
    <x v="2"/>
    <s v="NO"/>
    <s v="NO"/>
    <s v="NO"/>
    <s v="NO"/>
    <s v="NO"/>
    <s v="NO"/>
    <s v="NO"/>
    <s v="YES"/>
    <s v="Saving the program"/>
    <x v="3"/>
    <m/>
    <x v="2"/>
    <m/>
    <x v="1"/>
    <x v="2"/>
    <m/>
    <x v="2"/>
    <x v="2"/>
    <x v="2"/>
    <x v="3"/>
    <n v="0"/>
    <x v="0"/>
    <x v="0"/>
    <x v="0"/>
    <x v="0"/>
    <x v="0"/>
    <x v="0"/>
    <n v="0"/>
    <x v="0"/>
    <x v="0"/>
    <x v="0"/>
    <x v="0"/>
    <x v="0"/>
    <n v="0"/>
    <x v="1"/>
    <x v="2"/>
    <m/>
    <s v="National government"/>
    <s v="International NGO(s)"/>
    <m/>
    <x v="3"/>
    <m/>
    <s v="Civil Society responded quickly and very vocally following the announcement that the Trump Administration was going to end Let Girls Learn, and the publicity of this put enough pressure on the Administration to not end the initiative."/>
    <s v="Partnerships between government, donors, civil society"/>
    <m/>
    <m/>
    <s v="Media pressure works to influence this Administration"/>
    <s v="broad partnerships with USG on initiatives are difficult when not tied to specific programming"/>
    <s v="USG interested in working on challenging issues in emergency contexts"/>
    <s v="This is a success but this can come up again in the future."/>
    <m/>
    <n v="0"/>
    <n v="0"/>
    <s v=""/>
    <s v=""/>
    <s v=""/>
    <n v="0"/>
    <n v="0"/>
    <n v="1"/>
    <n v="0"/>
    <n v="0"/>
    <s v=""/>
    <s v=""/>
    <n v="0"/>
    <n v="0"/>
    <s v=""/>
    <s v=""/>
    <n v="0"/>
    <n v="0"/>
    <s v=""/>
    <s v=""/>
    <n v="0"/>
    <n v="0"/>
    <s v=""/>
    <s v=""/>
    <n v="0"/>
    <n v="0"/>
    <s v=""/>
    <s v="No marker score"/>
    <s v="No marker score"/>
    <s v="No marker score"/>
    <n v="0"/>
    <s v="Intensive advocacy"/>
    <n v="0"/>
  </r>
  <r>
    <x v="78"/>
    <x v="6"/>
    <m/>
    <s v="Protecting US Foreign Assistance Funding_bilateral assistance"/>
    <s v="United States of America"/>
    <m/>
    <s v="CARE USA"/>
    <m/>
    <m/>
    <m/>
    <m/>
    <m/>
    <m/>
    <m/>
    <m/>
    <m/>
    <m/>
    <m/>
    <m/>
    <m/>
    <m/>
    <m/>
    <m/>
    <m/>
    <m/>
    <m/>
    <m/>
    <m/>
    <m/>
    <m/>
    <m/>
    <m/>
    <m/>
    <m/>
    <m/>
    <m/>
    <m/>
    <m/>
    <m/>
    <m/>
    <m/>
    <m/>
    <m/>
    <m/>
    <m/>
    <m/>
    <m/>
    <m/>
    <m/>
    <m/>
    <m/>
    <m/>
    <m/>
    <m/>
    <m/>
    <d v="2017-01-03T00:00:00"/>
    <d v="2017-05-05T00:00:00"/>
    <m/>
    <s v="Development Other"/>
    <m/>
    <s v="Amanda Mathies"/>
    <s v="MEL Officer"/>
    <s v="amathies@care.org"/>
    <s v="Elizabeth Marcey"/>
    <s v="Senior Policy Advocate"/>
    <s v="emarcey@care.org"/>
    <s v="YES"/>
    <s v="YES"/>
    <s v="YES"/>
    <s v="Advocating to maintain and protect the U.S. foreign assistance budget in Fiscal Year 2017 (roughly the current level of funding)despite proposals to cut the foreign assistance budget by the Trump Administration"/>
    <s v="Global"/>
    <s v="Global"/>
    <s v="Any communities that receive U.S. foreign assistance in some form since this funding was protected, this would primarily be communitites living under the international poverty line"/>
    <m/>
    <m/>
    <m/>
    <m/>
    <m/>
    <m/>
    <s v="Direct participants could include various coalitions and CARE staff while indirect participants include any communities impacted by USG funding and/or policy."/>
    <m/>
    <m/>
    <m/>
    <m/>
    <m/>
    <m/>
    <m/>
    <s v="YES"/>
    <m/>
    <m/>
    <m/>
    <s v="YES"/>
    <m/>
    <m/>
    <m/>
    <s v="YES"/>
    <m/>
    <m/>
    <m/>
    <s v="YES"/>
    <m/>
    <m/>
    <m/>
    <s v="YES"/>
    <m/>
    <m/>
    <m/>
    <s v="YES"/>
    <m/>
    <m/>
    <m/>
    <s v="YES"/>
    <m/>
    <m/>
    <m/>
    <s v="Yes"/>
    <m/>
    <m/>
    <m/>
    <s v="YES"/>
    <m/>
    <m/>
    <m/>
    <s v="YES"/>
    <m/>
    <m/>
    <m/>
    <s v="YES"/>
    <m/>
    <m/>
    <m/>
    <s v="YES"/>
    <m/>
    <m/>
    <m/>
    <m/>
    <m/>
    <m/>
    <m/>
    <m/>
    <m/>
    <m/>
    <m/>
    <m/>
    <m/>
    <m/>
    <s v="YES"/>
    <m/>
    <m/>
    <m/>
    <s v="YES"/>
    <m/>
    <m/>
    <m/>
    <s v="YES"/>
    <m/>
    <m/>
    <m/>
    <s v="YES"/>
    <m/>
    <m/>
    <m/>
    <s v="YES"/>
    <m/>
    <m/>
    <m/>
    <s v="YES"/>
    <m/>
    <m/>
    <m/>
    <s v="YES"/>
    <m/>
    <m/>
    <m/>
    <s v="YES"/>
    <m/>
    <m/>
    <m/>
    <s v="YES"/>
    <m/>
    <m/>
    <m/>
    <s v="YES"/>
    <m/>
    <m/>
    <m/>
    <s v="YES"/>
    <m/>
    <m/>
    <m/>
    <s v="YES"/>
    <m/>
    <m/>
    <m/>
    <s v="YES"/>
    <m/>
    <m/>
    <m/>
    <s v="YES"/>
    <m/>
    <m/>
    <m/>
    <s v="YES"/>
    <m/>
    <m/>
    <m/>
    <s v="YES"/>
    <m/>
    <m/>
    <m/>
    <m/>
    <m/>
    <m/>
    <m/>
    <m/>
    <s v="NO"/>
    <m/>
    <m/>
    <s v="NO"/>
    <s v="NO"/>
    <m/>
    <m/>
    <m/>
    <x v="2"/>
    <s v="NO"/>
    <s v="YES"/>
    <s v="NO"/>
    <s v="NO"/>
    <s v="NO"/>
    <s v="NO"/>
    <s v="YES"/>
    <m/>
    <m/>
    <x v="3"/>
    <m/>
    <x v="2"/>
    <m/>
    <x v="3"/>
    <x v="2"/>
    <m/>
    <x v="2"/>
    <x v="2"/>
    <x v="2"/>
    <x v="3"/>
    <n v="0"/>
    <x v="0"/>
    <x v="0"/>
    <x v="0"/>
    <x v="0"/>
    <x v="0"/>
    <x v="0"/>
    <n v="0"/>
    <x v="0"/>
    <x v="0"/>
    <x v="0"/>
    <x v="0"/>
    <x v="0"/>
    <n v="0"/>
    <x v="1"/>
    <x v="3"/>
    <m/>
    <s v="Grassroots organization(s)"/>
    <s v="International NGO(s)"/>
    <s v="National government"/>
    <x v="3"/>
    <m/>
    <s v="CARE pivoted to focus on this issue of protecting the U.S. foreign assistance budget because of the major threat to our work, which was a major change, and CARE has become a major leader on this issue."/>
    <s v="assuming a leadership role of the broader US NGO advocacy community and being the conduit between the Hill and USAID"/>
    <s v="focusing on legislaive oversight text and overall funding levels (not sector specific)"/>
    <s v="providing outside experstise that would normally be provided by the administartion to Congress and initiating an ask that would generally be seen as the role of the administration.  "/>
    <s v="USG Executive branch systems and infastructure are not as resilient as we had hoped"/>
    <s v="congressional tools to challenge the adminstration are limited"/>
    <s v="Discrete and surgical advocacy to key congressional policy makers is the best return on investment."/>
    <s v="Given the current political environment we are working in and the disruptions of policy norms and traditional ways of working, CARE is achieving incredible advocacy wins that translate to tangle impacts on the ground."/>
    <m/>
    <n v="0"/>
    <n v="0"/>
    <s v=""/>
    <s v=""/>
    <s v=""/>
    <n v="0"/>
    <n v="0"/>
    <n v="1"/>
    <n v="0"/>
    <n v="0"/>
    <s v=""/>
    <n v="1"/>
    <n v="0"/>
    <n v="0"/>
    <s v=""/>
    <n v="1"/>
    <n v="0"/>
    <n v="0"/>
    <s v=""/>
    <n v="1"/>
    <n v="0"/>
    <n v="0"/>
    <s v=""/>
    <n v="1"/>
    <n v="0"/>
    <n v="0"/>
    <s v=""/>
    <s v="No marker score"/>
    <s v="No marker score"/>
    <s v="No marker score"/>
    <n v="0"/>
    <s v="Intensive advocacy"/>
    <n v="0"/>
  </r>
  <r>
    <x v="78"/>
    <x v="6"/>
    <m/>
    <s v="Protecting US Foreign Assistance Funding_child marriage"/>
    <s v="United States of America"/>
    <m/>
    <s v="CARE USA"/>
    <m/>
    <m/>
    <m/>
    <m/>
    <m/>
    <m/>
    <m/>
    <m/>
    <m/>
    <m/>
    <m/>
    <m/>
    <m/>
    <m/>
    <m/>
    <m/>
    <m/>
    <m/>
    <m/>
    <m/>
    <m/>
    <m/>
    <m/>
    <m/>
    <m/>
    <m/>
    <m/>
    <m/>
    <m/>
    <m/>
    <m/>
    <m/>
    <m/>
    <m/>
    <m/>
    <m/>
    <m/>
    <m/>
    <m/>
    <m/>
    <m/>
    <m/>
    <m/>
    <m/>
    <m/>
    <m/>
    <m/>
    <m/>
    <d v="2017-01-03T00:00:00"/>
    <d v="2017-06-29T00:00:00"/>
    <m/>
    <s v="Development A Life Free From Violence (GBV)"/>
    <m/>
    <s v="Amanda Mathies"/>
    <s v="MEL Officer"/>
    <s v="amathies@care.org"/>
    <s v="Gayatri Patel"/>
    <s v="Senior Policy Advocate"/>
    <s v="gpatel@care.org"/>
    <s v="YES"/>
    <s v="YES"/>
    <s v="YES"/>
    <s v="Successfully advocated for robust funding for child marriage programming and/or implementation of the Adolescent Girl Strategy through Congressional appropriations process despite proposed cuts from the Trump Administration"/>
    <s v="Global"/>
    <m/>
    <s v="adolescent girls"/>
    <m/>
    <m/>
    <m/>
    <m/>
    <m/>
    <m/>
    <s v="Due to the nature of this advocacy initiative direct and indirect participants are not calculated."/>
    <m/>
    <m/>
    <m/>
    <m/>
    <m/>
    <m/>
    <m/>
    <s v="NO"/>
    <m/>
    <m/>
    <m/>
    <s v="NO"/>
    <m/>
    <m/>
    <m/>
    <s v="NO"/>
    <m/>
    <m/>
    <m/>
    <s v="NO"/>
    <m/>
    <m/>
    <m/>
    <s v="YES"/>
    <m/>
    <m/>
    <m/>
    <s v="YES"/>
    <m/>
    <m/>
    <m/>
    <s v="NO"/>
    <m/>
    <m/>
    <m/>
    <s v="NO"/>
    <m/>
    <m/>
    <m/>
    <s v="NO"/>
    <m/>
    <m/>
    <m/>
    <s v="NO"/>
    <m/>
    <m/>
    <m/>
    <s v="NO"/>
    <m/>
    <m/>
    <m/>
    <s v="NO"/>
    <m/>
    <m/>
    <m/>
    <m/>
    <m/>
    <m/>
    <m/>
    <m/>
    <m/>
    <m/>
    <m/>
    <m/>
    <m/>
    <m/>
    <s v="NO"/>
    <m/>
    <m/>
    <m/>
    <s v="NO"/>
    <m/>
    <m/>
    <m/>
    <s v="NO"/>
    <m/>
    <m/>
    <m/>
    <s v="NO"/>
    <m/>
    <m/>
    <m/>
    <s v="NO"/>
    <m/>
    <m/>
    <m/>
    <s v="NO"/>
    <m/>
    <m/>
    <m/>
    <s v="NO"/>
    <m/>
    <m/>
    <m/>
    <s v="YES"/>
    <m/>
    <m/>
    <m/>
    <s v="YES"/>
    <m/>
    <m/>
    <m/>
    <s v="NO"/>
    <m/>
    <m/>
    <m/>
    <s v="NO"/>
    <m/>
    <m/>
    <m/>
    <s v="NO"/>
    <m/>
    <m/>
    <m/>
    <s v="NO"/>
    <m/>
    <m/>
    <m/>
    <s v="NO"/>
    <m/>
    <m/>
    <m/>
    <s v="NO"/>
    <m/>
    <m/>
    <m/>
    <s v="NO"/>
    <m/>
    <m/>
    <m/>
    <m/>
    <m/>
    <m/>
    <m/>
    <m/>
    <s v="NO"/>
    <m/>
    <m/>
    <s v="NO"/>
    <s v="NO"/>
    <m/>
    <m/>
    <m/>
    <x v="2"/>
    <s v="NO"/>
    <s v="NO"/>
    <s v="NO"/>
    <s v="NO"/>
    <s v="NO"/>
    <s v="NO"/>
    <s v="YES"/>
    <s v="NO"/>
    <m/>
    <x v="3"/>
    <m/>
    <x v="2"/>
    <m/>
    <x v="3"/>
    <x v="2"/>
    <m/>
    <x v="2"/>
    <x v="2"/>
    <x v="2"/>
    <x v="3"/>
    <n v="0"/>
    <x v="0"/>
    <x v="0"/>
    <x v="0"/>
    <x v="0"/>
    <x v="0"/>
    <x v="0"/>
    <n v="0"/>
    <x v="0"/>
    <x v="0"/>
    <x v="0"/>
    <x v="0"/>
    <x v="0"/>
    <n v="0"/>
    <x v="1"/>
    <x v="3"/>
    <m/>
    <s v="Regional alliance(s)/Platform(s)/Network(s) of  NGOs/CSOs"/>
    <s v="International NGO(s)"/>
    <s v="National government"/>
    <x v="3"/>
    <m/>
    <s v="Recalibrated approach to appropriations advocacy by coming together as a &quot;coalition of gender coalitions&quot; focused on broad international affairs budget rather than sector-specific advocacy"/>
    <s v="Collective advocacy as a &quot;gender community&quot; (i.e., key gender coalitions joining forces on advocacy around appropriations)"/>
    <s v="developing community-wide talking points, letters, and materials"/>
    <s v="targeting advocacy to Hill champions and Administration"/>
    <s v="Collective advocacy has impact, but important that all stay on the same message"/>
    <m/>
    <m/>
    <m/>
    <m/>
    <n v="0"/>
    <n v="0"/>
    <s v=""/>
    <s v=""/>
    <s v=""/>
    <n v="0"/>
    <n v="0"/>
    <n v="1"/>
    <n v="0"/>
    <n v="0"/>
    <s v=""/>
    <s v=""/>
    <n v="0"/>
    <n v="0"/>
    <s v=""/>
    <s v=""/>
    <n v="0"/>
    <n v="0"/>
    <s v=""/>
    <n v="1"/>
    <n v="0"/>
    <n v="0"/>
    <s v=""/>
    <s v=""/>
    <n v="0"/>
    <n v="0"/>
    <s v=""/>
    <s v="No marker score"/>
    <s v="No marker score"/>
    <s v="No marker score"/>
    <n v="0"/>
    <s v="Intensive advocacy"/>
    <n v="0"/>
  </r>
  <r>
    <x v="78"/>
    <x v="6"/>
    <m/>
    <s v="Protecting US Foreign Assistance Funding_family planning"/>
    <s v="United States of America"/>
    <m/>
    <s v="CARE USA"/>
    <m/>
    <m/>
    <m/>
    <m/>
    <m/>
    <m/>
    <m/>
    <m/>
    <m/>
    <m/>
    <m/>
    <m/>
    <m/>
    <m/>
    <m/>
    <m/>
    <m/>
    <m/>
    <m/>
    <m/>
    <m/>
    <m/>
    <m/>
    <m/>
    <m/>
    <m/>
    <m/>
    <m/>
    <m/>
    <m/>
    <m/>
    <m/>
    <m/>
    <m/>
    <m/>
    <m/>
    <m/>
    <m/>
    <m/>
    <m/>
    <m/>
    <m/>
    <m/>
    <m/>
    <m/>
    <m/>
    <m/>
    <m/>
    <d v="2017-01-03T00:00:00"/>
    <d v="2017-05-05T00:00:00"/>
    <m/>
    <s v="Development Sexual, Reproductive and Maternal Health (SRMH)"/>
    <m/>
    <s v="Amanda Mathies"/>
    <s v="MEL Program Officer"/>
    <s v="amathies@care.org"/>
    <s v="Ben Weingrod"/>
    <s v="Senior Policy Advocate"/>
    <s v="bweingrod@care.org"/>
    <s v="YES"/>
    <s v="YES"/>
    <s v="YES"/>
    <s v="Advocacted to maintain funding for bilateral family planning assistance at $585 million in FY17 in response to the Trump Administration's proposal to greatly reduce this funding"/>
    <s v="Global"/>
    <m/>
    <s v="Women and girls receiving sexual and reproductive health and rights care"/>
    <m/>
    <m/>
    <m/>
    <m/>
    <m/>
    <m/>
    <s v="Individuals who were directly engaged in action towards change in this policy include the US Congress, USAID, and the US State Department. Due to the nature of this advocacy initiative direct and indirect participants are not calculated. However, this policy will impact humanitarian and development funding around the world for those who benefit from US funded family planning programs and projects"/>
    <m/>
    <m/>
    <m/>
    <m/>
    <m/>
    <m/>
    <m/>
    <s v="NO"/>
    <m/>
    <m/>
    <m/>
    <s v="NO"/>
    <m/>
    <m/>
    <m/>
    <s v="NO"/>
    <m/>
    <m/>
    <m/>
    <s v="NO"/>
    <m/>
    <m/>
    <m/>
    <s v="NO"/>
    <m/>
    <m/>
    <m/>
    <s v="NO"/>
    <m/>
    <m/>
    <m/>
    <s v="NO"/>
    <m/>
    <m/>
    <m/>
    <s v="NO"/>
    <m/>
    <m/>
    <m/>
    <s v="NO"/>
    <m/>
    <m/>
    <m/>
    <s v="YES"/>
    <m/>
    <m/>
    <m/>
    <s v="NO"/>
    <m/>
    <m/>
    <m/>
    <s v="NO"/>
    <m/>
    <m/>
    <m/>
    <m/>
    <m/>
    <m/>
    <m/>
    <m/>
    <m/>
    <m/>
    <m/>
    <m/>
    <m/>
    <m/>
    <s v="NO"/>
    <m/>
    <m/>
    <m/>
    <s v="NO"/>
    <m/>
    <m/>
    <m/>
    <s v="NO"/>
    <m/>
    <m/>
    <m/>
    <s v="NO"/>
    <m/>
    <m/>
    <m/>
    <s v="NO"/>
    <m/>
    <m/>
    <m/>
    <s v="NO"/>
    <m/>
    <m/>
    <m/>
    <s v="NO"/>
    <m/>
    <m/>
    <m/>
    <s v="NO"/>
    <m/>
    <m/>
    <m/>
    <s v="NO"/>
    <m/>
    <m/>
    <m/>
    <s v="NO"/>
    <m/>
    <m/>
    <m/>
    <s v="NO"/>
    <m/>
    <m/>
    <m/>
    <s v="NO"/>
    <m/>
    <m/>
    <m/>
    <s v="NO"/>
    <m/>
    <m/>
    <m/>
    <s v="YES"/>
    <m/>
    <m/>
    <m/>
    <s v="NO"/>
    <m/>
    <m/>
    <m/>
    <s v="NO"/>
    <m/>
    <m/>
    <m/>
    <m/>
    <m/>
    <m/>
    <m/>
    <m/>
    <s v="NO"/>
    <m/>
    <m/>
    <m/>
    <s v="NO"/>
    <m/>
    <m/>
    <m/>
    <x v="2"/>
    <s v="NO"/>
    <s v="NO"/>
    <s v="NO"/>
    <s v="NO"/>
    <s v="NO"/>
    <s v="NO"/>
    <s v="YES"/>
    <m/>
    <m/>
    <x v="3"/>
    <m/>
    <x v="2"/>
    <m/>
    <x v="3"/>
    <x v="2"/>
    <m/>
    <x v="2"/>
    <x v="2"/>
    <x v="2"/>
    <x v="3"/>
    <n v="0"/>
    <x v="0"/>
    <x v="0"/>
    <x v="0"/>
    <x v="0"/>
    <x v="0"/>
    <x v="0"/>
    <n v="0"/>
    <x v="0"/>
    <x v="0"/>
    <x v="0"/>
    <x v="0"/>
    <x v="0"/>
    <n v="0"/>
    <x v="1"/>
    <x v="3"/>
    <m/>
    <s v="International NGO(s)"/>
    <s v="National government"/>
    <s v="Grassroots organization(s)"/>
    <x v="3"/>
    <m/>
    <m/>
    <m/>
    <m/>
    <m/>
    <s v="The current political environment presents significant challenges to successful proactive advocacy, resources need to be focused on defensive work to prevent funding cuts and implementation of bad policies (as opposed to calling for increased funding and improving policies)."/>
    <m/>
    <m/>
    <m/>
    <m/>
    <n v="0"/>
    <n v="0"/>
    <s v=""/>
    <s v=""/>
    <s v=""/>
    <n v="0"/>
    <n v="0"/>
    <n v="1"/>
    <n v="0"/>
    <n v="0"/>
    <s v=""/>
    <s v=""/>
    <n v="0"/>
    <n v="0"/>
    <s v=""/>
    <n v="1"/>
    <n v="0"/>
    <n v="0"/>
    <s v=""/>
    <s v=""/>
    <n v="0"/>
    <n v="0"/>
    <s v=""/>
    <s v=""/>
    <n v="0"/>
    <n v="0"/>
    <s v=""/>
    <s v="No marker score"/>
    <s v="No marker score"/>
    <s v="No marker score"/>
    <n v="0"/>
    <s v="Intensive advocacy"/>
    <n v="0"/>
  </r>
  <r>
    <x v="78"/>
    <x v="6"/>
    <m/>
    <s v="Protecting US Foreign Assistance Funding_GBV"/>
    <s v="United States of America"/>
    <m/>
    <s v="CARE USA"/>
    <m/>
    <m/>
    <m/>
    <m/>
    <m/>
    <m/>
    <m/>
    <m/>
    <m/>
    <m/>
    <m/>
    <m/>
    <m/>
    <m/>
    <m/>
    <m/>
    <m/>
    <m/>
    <m/>
    <m/>
    <m/>
    <m/>
    <m/>
    <m/>
    <m/>
    <m/>
    <m/>
    <m/>
    <m/>
    <m/>
    <m/>
    <m/>
    <m/>
    <m/>
    <m/>
    <m/>
    <m/>
    <m/>
    <m/>
    <m/>
    <m/>
    <m/>
    <m/>
    <m/>
    <m/>
    <m/>
    <m/>
    <m/>
    <d v="2017-01-03T00:00:00"/>
    <d v="2017-06-29T00:00:00"/>
    <m/>
    <s v="Development A Life Free From Violence (GBV)"/>
    <m/>
    <s v="Amanda Mathies"/>
    <s v="MEL Officer"/>
    <s v="amathies@care.org"/>
    <s v="Gayatri Patel"/>
    <s v="Senior Policy Advocate"/>
    <s v="gpatel@care.org"/>
    <s v="YES"/>
    <s v="YES"/>
    <s v="YES"/>
    <s v="Successfully advocated for robust funding for the implementation of the U.S. GBV Strategy through the Congressional appropriations process despite deep funding cut proposals from the Trump Administration"/>
    <s v="Global"/>
    <m/>
    <s v="women and girls"/>
    <m/>
    <m/>
    <m/>
    <m/>
    <m/>
    <m/>
    <s v="Due to the nature of this advocacy initiative direct and indirect participants are not calculated."/>
    <m/>
    <m/>
    <m/>
    <m/>
    <m/>
    <m/>
    <m/>
    <s v="NO"/>
    <m/>
    <m/>
    <m/>
    <s v="NO"/>
    <m/>
    <m/>
    <m/>
    <s v="NO"/>
    <m/>
    <m/>
    <m/>
    <s v="NO"/>
    <m/>
    <m/>
    <m/>
    <s v="YES"/>
    <m/>
    <m/>
    <m/>
    <s v="YES"/>
    <m/>
    <m/>
    <m/>
    <s v="NO"/>
    <m/>
    <m/>
    <m/>
    <s v="NO"/>
    <m/>
    <m/>
    <m/>
    <s v="NO"/>
    <m/>
    <m/>
    <m/>
    <s v="NO"/>
    <m/>
    <m/>
    <m/>
    <s v="NO"/>
    <m/>
    <m/>
    <m/>
    <s v="NO"/>
    <m/>
    <m/>
    <m/>
    <m/>
    <m/>
    <m/>
    <m/>
    <m/>
    <m/>
    <m/>
    <m/>
    <m/>
    <m/>
    <m/>
    <s v="NO"/>
    <m/>
    <m/>
    <m/>
    <s v="NO"/>
    <m/>
    <m/>
    <m/>
    <s v="NO"/>
    <m/>
    <m/>
    <m/>
    <s v="NO"/>
    <m/>
    <m/>
    <m/>
    <s v="NO"/>
    <m/>
    <m/>
    <m/>
    <s v="NO"/>
    <m/>
    <m/>
    <m/>
    <s v="NO"/>
    <m/>
    <m/>
    <m/>
    <s v="YES"/>
    <m/>
    <m/>
    <m/>
    <s v="YES"/>
    <m/>
    <m/>
    <m/>
    <s v="NO"/>
    <m/>
    <m/>
    <m/>
    <s v="NO"/>
    <m/>
    <m/>
    <m/>
    <s v="NO"/>
    <m/>
    <m/>
    <m/>
    <s v="NO"/>
    <m/>
    <m/>
    <m/>
    <s v="NO"/>
    <m/>
    <m/>
    <m/>
    <s v="NO"/>
    <m/>
    <m/>
    <m/>
    <s v="NO"/>
    <m/>
    <m/>
    <m/>
    <m/>
    <m/>
    <m/>
    <m/>
    <m/>
    <s v="NO"/>
    <m/>
    <m/>
    <s v="NO"/>
    <s v="NO"/>
    <m/>
    <m/>
    <m/>
    <x v="2"/>
    <s v="NO"/>
    <s v="NO"/>
    <s v="NO"/>
    <s v="NO"/>
    <s v="NO"/>
    <s v="NO"/>
    <s v="YES"/>
    <s v="NO"/>
    <m/>
    <x v="3"/>
    <m/>
    <x v="2"/>
    <m/>
    <x v="2"/>
    <x v="2"/>
    <m/>
    <x v="2"/>
    <x v="2"/>
    <x v="2"/>
    <x v="3"/>
    <n v="0"/>
    <x v="0"/>
    <x v="0"/>
    <x v="0"/>
    <x v="0"/>
    <x v="0"/>
    <x v="0"/>
    <n v="0"/>
    <x v="0"/>
    <x v="0"/>
    <x v="0"/>
    <x v="0"/>
    <x v="0"/>
    <n v="0"/>
    <x v="1"/>
    <x v="3"/>
    <m/>
    <s v="Regional alliance(s)/Platform(s)/Network(s) of  NGOs/CSOs"/>
    <s v="National government"/>
    <s v="International NGO(s)"/>
    <x v="3"/>
    <m/>
    <s v="Recalibrated approach to appropriations advocacy by coming together as a &quot;coalition of gender coalitions&quot; focused on broad international affairs budget rather than sector-specific advocacy"/>
    <s v="Collective advocacy as a &quot;gender community&quot; (i.e., key gender coalitions joining forces on advocacy around appropriations)"/>
    <s v="developing community-wide talking points, letters, and materials"/>
    <s v="targeting advocacy to Hill champions and Administration"/>
    <s v="Collective advocacy has impact, but important that all stay on the same message"/>
    <m/>
    <m/>
    <m/>
    <m/>
    <n v="0"/>
    <n v="0"/>
    <s v=""/>
    <s v=""/>
    <s v=""/>
    <n v="0"/>
    <n v="0"/>
    <n v="1"/>
    <n v="0"/>
    <n v="0"/>
    <s v=""/>
    <s v=""/>
    <n v="0"/>
    <n v="0"/>
    <s v=""/>
    <s v=""/>
    <n v="0"/>
    <n v="0"/>
    <s v=""/>
    <n v="1"/>
    <n v="0"/>
    <n v="0"/>
    <s v=""/>
    <s v=""/>
    <n v="0"/>
    <n v="0"/>
    <s v=""/>
    <s v="No marker score"/>
    <s v="No marker score"/>
    <s v="No marker score"/>
    <n v="0"/>
    <s v="Intensive advocacy"/>
    <n v="0"/>
  </r>
  <r>
    <x v="78"/>
    <x v="6"/>
    <m/>
    <s v="Protecting US Foreign Assistance Funding_language on reform"/>
    <s v="United States of America"/>
    <m/>
    <s v="CARE USA"/>
    <m/>
    <m/>
    <m/>
    <m/>
    <m/>
    <m/>
    <m/>
    <m/>
    <m/>
    <m/>
    <m/>
    <m/>
    <m/>
    <m/>
    <m/>
    <m/>
    <m/>
    <m/>
    <m/>
    <m/>
    <m/>
    <m/>
    <m/>
    <m/>
    <m/>
    <m/>
    <m/>
    <m/>
    <m/>
    <m/>
    <m/>
    <m/>
    <m/>
    <m/>
    <m/>
    <m/>
    <m/>
    <m/>
    <m/>
    <m/>
    <m/>
    <m/>
    <m/>
    <m/>
    <m/>
    <m/>
    <m/>
    <m/>
    <d v="2017-01-03T00:00:00"/>
    <d v="2017-05-05T00:00:00"/>
    <m/>
    <s v="Development Other"/>
    <m/>
    <s v="Amanda Mathies"/>
    <s v="MEL Officer"/>
    <s v="amathies@care.org"/>
    <s v="Elizabeth Marcey"/>
    <s v="Senior Policy Advocate"/>
    <s v="emarcey@care.org"/>
    <s v="YES"/>
    <s v="YES"/>
    <s v="YES"/>
    <s v="Advocacting to include language on congressional oversight for reform of U.S. agencies like USAID and the State Department in response to the Trump Administration's proposal to combine USAID into the State Department. This would greatly reduce and dilute U.S. investment in development by combining development into our diplomacy agency.  "/>
    <s v="Global"/>
    <s v="Global"/>
    <s v="Countries and Communities that benefit from USAID programs and funding"/>
    <m/>
    <m/>
    <m/>
    <m/>
    <m/>
    <m/>
    <s v="Direct participants could include various coalitions and CARE staff while indirect participants include any country or community that is impacted by USG funding and/or policy."/>
    <m/>
    <m/>
    <m/>
    <m/>
    <m/>
    <m/>
    <m/>
    <s v="YES"/>
    <m/>
    <m/>
    <m/>
    <s v="YES"/>
    <m/>
    <m/>
    <m/>
    <s v="YES"/>
    <m/>
    <m/>
    <m/>
    <s v="YES"/>
    <m/>
    <m/>
    <m/>
    <s v="YES"/>
    <m/>
    <m/>
    <m/>
    <s v="YES"/>
    <m/>
    <m/>
    <m/>
    <s v="YES"/>
    <m/>
    <m/>
    <m/>
    <s v="Yes"/>
    <m/>
    <m/>
    <m/>
    <s v="YES"/>
    <m/>
    <m/>
    <m/>
    <s v="YES"/>
    <m/>
    <m/>
    <m/>
    <s v="YES"/>
    <m/>
    <m/>
    <m/>
    <s v="YES"/>
    <m/>
    <m/>
    <m/>
    <m/>
    <m/>
    <m/>
    <m/>
    <m/>
    <m/>
    <m/>
    <m/>
    <m/>
    <m/>
    <m/>
    <s v="YES"/>
    <m/>
    <m/>
    <m/>
    <s v="YES"/>
    <m/>
    <m/>
    <m/>
    <s v="YES"/>
    <m/>
    <m/>
    <m/>
    <s v="YES"/>
    <m/>
    <m/>
    <m/>
    <s v="YES"/>
    <m/>
    <m/>
    <m/>
    <s v="YES"/>
    <m/>
    <m/>
    <m/>
    <s v="YES"/>
    <m/>
    <m/>
    <m/>
    <s v="YES"/>
    <m/>
    <m/>
    <m/>
    <s v="YES"/>
    <m/>
    <m/>
    <m/>
    <s v="YES"/>
    <m/>
    <m/>
    <m/>
    <s v="YES"/>
    <m/>
    <m/>
    <m/>
    <s v="YES"/>
    <m/>
    <m/>
    <m/>
    <s v="YES"/>
    <m/>
    <m/>
    <m/>
    <s v="YES"/>
    <m/>
    <m/>
    <m/>
    <s v="YES"/>
    <m/>
    <m/>
    <m/>
    <s v="YES"/>
    <m/>
    <m/>
    <m/>
    <m/>
    <m/>
    <m/>
    <m/>
    <m/>
    <s v="NO"/>
    <m/>
    <m/>
    <s v="NO"/>
    <s v="NO"/>
    <m/>
    <m/>
    <m/>
    <x v="2"/>
    <s v="NO"/>
    <s v="YES"/>
    <s v="NO"/>
    <s v="NO"/>
    <s v="NO"/>
    <s v="NO"/>
    <s v="YES"/>
    <m/>
    <m/>
    <x v="3"/>
    <m/>
    <x v="2"/>
    <m/>
    <x v="3"/>
    <x v="2"/>
    <m/>
    <x v="2"/>
    <x v="2"/>
    <x v="2"/>
    <x v="3"/>
    <n v="0"/>
    <x v="0"/>
    <x v="0"/>
    <x v="0"/>
    <x v="0"/>
    <x v="0"/>
    <x v="0"/>
    <n v="0"/>
    <x v="0"/>
    <x v="0"/>
    <x v="0"/>
    <x v="0"/>
    <x v="0"/>
    <n v="0"/>
    <x v="1"/>
    <x v="3"/>
    <m/>
    <s v="Grassroots organization(s)"/>
    <s v="International NGO(s)"/>
    <s v="National government"/>
    <x v="3"/>
    <m/>
    <s v="CARE pivoted to focus on the issue of protecting U.S. foreign assistance, which was a major change, and CARE has become a major leader on this issue."/>
    <s v="assuming a leadership role of the broader US NGO advocacy community and being the conduit between the Hill and USAID"/>
    <s v="focusing on legislaive oversight text and overall funding levels (not sector specific)"/>
    <s v="providing outside experstise that would normally be provided by the administartion to Congress and initiating an ask that would generally been seen as the role of the administration.  "/>
    <s v="USG Executive branch systems and infastructure are not as resilient as we had hoped"/>
    <s v="congressional tools to challenge the adminstration are limited"/>
    <s v="Discrete and surgical advoacy to key congressional policy makers is the best return on investment."/>
    <s v="Given the political environment we are working in and the disruptions of policy norms, CARE is achieving incredible advocacy wins that translate to tangle impacts on the ground."/>
    <m/>
    <n v="0"/>
    <n v="0"/>
    <s v=""/>
    <s v=""/>
    <s v=""/>
    <n v="0"/>
    <n v="0"/>
    <n v="1"/>
    <n v="0"/>
    <n v="0"/>
    <s v=""/>
    <n v="1"/>
    <n v="0"/>
    <n v="0"/>
    <s v=""/>
    <n v="1"/>
    <n v="0"/>
    <n v="0"/>
    <s v=""/>
    <n v="1"/>
    <n v="0"/>
    <n v="0"/>
    <s v=""/>
    <n v="1"/>
    <n v="0"/>
    <n v="0"/>
    <s v=""/>
    <s v="No marker score"/>
    <s v="No marker score"/>
    <s v="No marker score"/>
    <n v="0"/>
    <s v="Intensive advocacy"/>
    <n v="0"/>
  </r>
  <r>
    <x v="78"/>
    <x v="6"/>
    <m/>
    <s v="Protecting US Foreign Assistance Funding_poverty and humanitarian focused funding"/>
    <s v="United States of America"/>
    <m/>
    <s v="CARE USA"/>
    <m/>
    <m/>
    <m/>
    <m/>
    <m/>
    <m/>
    <m/>
    <m/>
    <m/>
    <m/>
    <m/>
    <m/>
    <m/>
    <m/>
    <m/>
    <m/>
    <m/>
    <m/>
    <m/>
    <m/>
    <m/>
    <m/>
    <m/>
    <m/>
    <m/>
    <m/>
    <m/>
    <m/>
    <m/>
    <m/>
    <m/>
    <m/>
    <m/>
    <m/>
    <m/>
    <m/>
    <m/>
    <m/>
    <m/>
    <m/>
    <m/>
    <m/>
    <m/>
    <m/>
    <m/>
    <m/>
    <m/>
    <m/>
    <d v="2017-01-03T00:00:00"/>
    <m/>
    <m/>
    <s v="Development Other"/>
    <m/>
    <s v="Amanda Mathies"/>
    <s v="MEL Officer"/>
    <s v="amathies@care.org"/>
    <s v="Elizabeth Marcey"/>
    <s v="Senior Policy Advocate"/>
    <s v="emarcey@care.org"/>
    <s v="YES"/>
    <s v="YES"/>
    <s v="YES"/>
    <s v="Advocating to support a strong foreign assistance budget funded at no less than $60 billion in Fiscal Year 2018 - roughly the current level of funding."/>
    <s v="Global"/>
    <s v="Global"/>
    <s v="Countries and communities that receive US foreign assistance, particularly those living under the international poverty line"/>
    <m/>
    <m/>
    <m/>
    <m/>
    <m/>
    <m/>
    <s v="Direct participants could include various coalitions and CARE staff while indirect participants include all countries and communities impacted by USG funding and/or policy."/>
    <m/>
    <m/>
    <m/>
    <m/>
    <m/>
    <m/>
    <m/>
    <s v="YES"/>
    <m/>
    <m/>
    <m/>
    <s v="YES"/>
    <m/>
    <m/>
    <m/>
    <s v="YES"/>
    <m/>
    <m/>
    <m/>
    <s v="YES"/>
    <m/>
    <m/>
    <m/>
    <s v="YES"/>
    <m/>
    <m/>
    <m/>
    <s v="YES"/>
    <m/>
    <m/>
    <m/>
    <s v="YES"/>
    <m/>
    <m/>
    <m/>
    <s v="Yes"/>
    <m/>
    <m/>
    <m/>
    <s v="YES"/>
    <m/>
    <m/>
    <m/>
    <s v="YES"/>
    <m/>
    <m/>
    <m/>
    <s v="YES"/>
    <m/>
    <m/>
    <m/>
    <s v="YES"/>
    <m/>
    <m/>
    <m/>
    <m/>
    <m/>
    <m/>
    <m/>
    <m/>
    <m/>
    <m/>
    <m/>
    <m/>
    <m/>
    <m/>
    <s v="YES"/>
    <m/>
    <m/>
    <m/>
    <s v="YES"/>
    <m/>
    <m/>
    <m/>
    <s v="YES"/>
    <m/>
    <m/>
    <m/>
    <s v="YES"/>
    <m/>
    <m/>
    <m/>
    <s v="YES"/>
    <m/>
    <m/>
    <m/>
    <s v="YES"/>
    <m/>
    <m/>
    <m/>
    <s v="YES"/>
    <m/>
    <m/>
    <m/>
    <s v="YES"/>
    <m/>
    <m/>
    <m/>
    <s v="YES"/>
    <m/>
    <m/>
    <m/>
    <s v="YES"/>
    <m/>
    <m/>
    <m/>
    <s v="YES"/>
    <m/>
    <m/>
    <m/>
    <s v="YES"/>
    <m/>
    <m/>
    <m/>
    <s v="YES"/>
    <m/>
    <m/>
    <m/>
    <s v="YES"/>
    <m/>
    <m/>
    <m/>
    <s v="YES"/>
    <m/>
    <m/>
    <m/>
    <s v="YES"/>
    <m/>
    <m/>
    <m/>
    <m/>
    <m/>
    <m/>
    <m/>
    <m/>
    <s v="NO"/>
    <m/>
    <m/>
    <s v="NO"/>
    <s v="NO"/>
    <m/>
    <m/>
    <m/>
    <x v="2"/>
    <s v="NO"/>
    <s v="YES"/>
    <s v="NO"/>
    <s v="NO"/>
    <s v="NO"/>
    <s v="NO"/>
    <s v="YES"/>
    <m/>
    <m/>
    <x v="3"/>
    <m/>
    <x v="2"/>
    <m/>
    <x v="3"/>
    <x v="2"/>
    <m/>
    <x v="2"/>
    <x v="2"/>
    <x v="2"/>
    <x v="3"/>
    <n v="0"/>
    <x v="0"/>
    <x v="0"/>
    <x v="0"/>
    <x v="0"/>
    <x v="0"/>
    <x v="0"/>
    <n v="0"/>
    <x v="0"/>
    <x v="0"/>
    <x v="0"/>
    <x v="0"/>
    <x v="0"/>
    <n v="0"/>
    <x v="1"/>
    <x v="3"/>
    <m/>
    <s v="Grassroots organization(s)"/>
    <s v="International NGO(s)"/>
    <s v="National government"/>
    <x v="3"/>
    <m/>
    <s v="CARE pivoted to focus on the issue of protecting US foreign assistance due to the threats posed by the Trump Administration, which was a major change, and CARE has become a major leader on this issue."/>
    <s v="assuming a leadership role of the broader US NGO advocacy community and being the conduit between the Hill and USAID"/>
    <s v="focusing on legislaive oversight text and overall funding levels (not sector specific)"/>
    <s v="providing outside experstise that would normally be provided by the administartion to Congress and initiating an ask that would generally been seen as the role of the administration.  "/>
    <s v="USG Executive branch systems and infastructure are not as resilient as we had hoped"/>
    <s v="congressional tools to challenge the adminstration are limited"/>
    <s v="Discrete and surgical advoacy to key congressional policy makers is the best return on investment."/>
    <s v="Given the political environment we are working in and the disruptions of policy norms, CARE is achieving incredible advocacy wins that translate to tangle impacts on the ground."/>
    <m/>
    <n v="0"/>
    <n v="0"/>
    <s v=""/>
    <s v=""/>
    <s v=""/>
    <n v="0"/>
    <n v="0"/>
    <n v="1"/>
    <n v="0"/>
    <n v="0"/>
    <s v=""/>
    <n v="1"/>
    <n v="0"/>
    <n v="0"/>
    <s v=""/>
    <n v="1"/>
    <n v="0"/>
    <n v="0"/>
    <s v=""/>
    <n v="1"/>
    <n v="0"/>
    <n v="0"/>
    <s v=""/>
    <n v="1"/>
    <n v="0"/>
    <n v="0"/>
    <s v=""/>
    <s v="No marker score"/>
    <s v="No marker score"/>
    <s v="No marker score"/>
    <n v="0"/>
    <s v="Intensive advocacy"/>
    <n v="0"/>
  </r>
  <r>
    <x v="78"/>
    <x v="6"/>
    <m/>
    <s v="Protecting US Foreign Assistance Funding_spending and obligation of funds"/>
    <s v="United States of America"/>
    <m/>
    <s v="CARE USA"/>
    <m/>
    <m/>
    <m/>
    <m/>
    <m/>
    <m/>
    <m/>
    <m/>
    <m/>
    <m/>
    <m/>
    <m/>
    <m/>
    <m/>
    <m/>
    <m/>
    <m/>
    <m/>
    <m/>
    <m/>
    <m/>
    <m/>
    <m/>
    <m/>
    <m/>
    <m/>
    <m/>
    <m/>
    <m/>
    <m/>
    <m/>
    <m/>
    <m/>
    <m/>
    <m/>
    <m/>
    <m/>
    <m/>
    <m/>
    <m/>
    <m/>
    <m/>
    <m/>
    <m/>
    <m/>
    <m/>
    <m/>
    <m/>
    <d v="2017-01-03T00:00:00"/>
    <d v="2017-05-05T00:00:00"/>
    <m/>
    <s v="Development Other"/>
    <m/>
    <s v="Amanda Mathies"/>
    <s v="MEL Officer"/>
    <s v="amathies@care.org"/>
    <s v="Elizabeth Marcey"/>
    <s v="Senior Policy Advocate"/>
    <s v="emarcey@care.org"/>
    <s v="YES"/>
    <s v="YES"/>
    <s v="YES"/>
    <s v="Advocating to include language in the FY17 Omnibus which requires the White House to spend allocated funding. This is important because Congress can allocate funds, but the White House can hold it and not allocate it."/>
    <s v="Global"/>
    <s v="Global"/>
    <s v="Countries and communities that receive US foreign assistance, particularly those living under the international poverty line"/>
    <m/>
    <m/>
    <m/>
    <m/>
    <m/>
    <m/>
    <s v="Direct participants could include various coalitions and CARE staff while indirect participants include all countries and communities that receive US government funding."/>
    <m/>
    <m/>
    <m/>
    <m/>
    <m/>
    <m/>
    <m/>
    <s v="YES"/>
    <m/>
    <m/>
    <m/>
    <s v="YES"/>
    <m/>
    <m/>
    <m/>
    <s v="YES"/>
    <m/>
    <m/>
    <m/>
    <s v="YES"/>
    <m/>
    <m/>
    <m/>
    <s v="YES"/>
    <m/>
    <m/>
    <m/>
    <s v="YES"/>
    <m/>
    <m/>
    <m/>
    <s v="YES"/>
    <m/>
    <m/>
    <m/>
    <s v="Yes"/>
    <m/>
    <m/>
    <m/>
    <s v="YES"/>
    <m/>
    <m/>
    <m/>
    <s v="YES"/>
    <m/>
    <m/>
    <m/>
    <s v="YES"/>
    <m/>
    <m/>
    <m/>
    <s v="YES"/>
    <m/>
    <m/>
    <m/>
    <m/>
    <m/>
    <m/>
    <m/>
    <m/>
    <m/>
    <m/>
    <m/>
    <m/>
    <m/>
    <m/>
    <s v="YES"/>
    <m/>
    <m/>
    <m/>
    <s v="YES"/>
    <m/>
    <m/>
    <m/>
    <s v="YES"/>
    <m/>
    <m/>
    <m/>
    <s v="YES"/>
    <m/>
    <m/>
    <m/>
    <s v="YES"/>
    <m/>
    <m/>
    <m/>
    <s v="YES"/>
    <m/>
    <m/>
    <m/>
    <s v="YES"/>
    <m/>
    <m/>
    <m/>
    <s v="YES"/>
    <m/>
    <m/>
    <m/>
    <s v="YES"/>
    <m/>
    <m/>
    <m/>
    <s v="YES"/>
    <m/>
    <m/>
    <m/>
    <s v="YES"/>
    <m/>
    <m/>
    <m/>
    <s v="YES"/>
    <m/>
    <m/>
    <m/>
    <s v="YES"/>
    <m/>
    <m/>
    <m/>
    <s v="YES"/>
    <m/>
    <m/>
    <m/>
    <s v="YES"/>
    <m/>
    <m/>
    <m/>
    <s v="YES"/>
    <m/>
    <m/>
    <m/>
    <m/>
    <m/>
    <m/>
    <m/>
    <m/>
    <s v="NO"/>
    <m/>
    <m/>
    <s v="NO"/>
    <s v="NO"/>
    <m/>
    <m/>
    <m/>
    <x v="2"/>
    <s v="NO"/>
    <s v="YES"/>
    <s v="NO"/>
    <s v="NO"/>
    <s v="NO"/>
    <s v="NO"/>
    <s v="YES"/>
    <m/>
    <m/>
    <x v="3"/>
    <m/>
    <x v="2"/>
    <m/>
    <x v="3"/>
    <x v="2"/>
    <m/>
    <x v="2"/>
    <x v="2"/>
    <x v="2"/>
    <x v="3"/>
    <n v="0"/>
    <x v="0"/>
    <x v="0"/>
    <x v="0"/>
    <x v="0"/>
    <x v="0"/>
    <x v="0"/>
    <n v="0"/>
    <x v="0"/>
    <x v="0"/>
    <x v="0"/>
    <x v="0"/>
    <x v="0"/>
    <n v="0"/>
    <x v="1"/>
    <x v="3"/>
    <m/>
    <s v="Grassroots organization(s)"/>
    <s v="International NGO(s)"/>
    <s v="National government"/>
    <x v="3"/>
    <m/>
    <s v="CARE pivoted to focus on protecting US foreign assistance because of the threats posed by the Trump Administration, which was a major change, and CARE has become a major leader on this issue."/>
    <s v="assuming a leadership role of the broader US NGO advocacy community and being the conduit between the Hill and USAID"/>
    <s v="focusing on legislaive oversight text and overall funding levels (not sector specific)"/>
    <s v="providing outside experstise that would normally be provided by the administartion to Congress and initiating an ask that would generally been seen as the role of the administration.  "/>
    <s v="USG Executive branch systems and infastructure are not as resilient as we had hoped"/>
    <s v="congressional tools to challenge the adminstration are limited"/>
    <s v="Discrete and surgical advoacy to key congressional policy makers is the best return on investment."/>
    <s v="Given the environment we are working in and the disruptions of policy norms, CARE is achieving incredible advocacy wins that translate to tangle impacts on the ground."/>
    <m/>
    <n v="0"/>
    <n v="0"/>
    <s v=""/>
    <s v=""/>
    <s v=""/>
    <n v="0"/>
    <n v="0"/>
    <n v="1"/>
    <n v="0"/>
    <n v="0"/>
    <s v=""/>
    <n v="1"/>
    <n v="0"/>
    <n v="0"/>
    <s v=""/>
    <n v="1"/>
    <n v="0"/>
    <n v="0"/>
    <s v=""/>
    <n v="1"/>
    <n v="0"/>
    <n v="0"/>
    <s v=""/>
    <n v="1"/>
    <n v="0"/>
    <n v="0"/>
    <s v=""/>
    <s v="No marker score"/>
    <s v="No marker score"/>
    <s v="No marker score"/>
    <n v="0"/>
    <s v="Intensive advocacy"/>
    <n v="0"/>
  </r>
  <r>
    <x v="78"/>
    <x v="6"/>
    <m/>
    <s v="Reach Every Child and Mother Act Introduction in the Senate and House"/>
    <s v="United States of America"/>
    <m/>
    <s v="CARE USA"/>
    <m/>
    <m/>
    <m/>
    <m/>
    <m/>
    <m/>
    <m/>
    <m/>
    <m/>
    <m/>
    <m/>
    <m/>
    <m/>
    <m/>
    <m/>
    <m/>
    <m/>
    <m/>
    <m/>
    <m/>
    <m/>
    <m/>
    <m/>
    <m/>
    <m/>
    <m/>
    <m/>
    <m/>
    <m/>
    <m/>
    <m/>
    <m/>
    <m/>
    <m/>
    <m/>
    <m/>
    <m/>
    <m/>
    <m/>
    <m/>
    <m/>
    <m/>
    <m/>
    <m/>
    <m/>
    <m/>
    <m/>
    <m/>
    <d v="2017-01-03T00:00:00"/>
    <m/>
    <m/>
    <s v="Development Sexual, Reproductive and Maternal Health (SRMH)"/>
    <m/>
    <s v="Amanda Mathies"/>
    <s v="MEL Program Officer"/>
    <s v="amathies@care.org"/>
    <s v="Ben Weingrod"/>
    <s v="Senior Policy Advocate"/>
    <s v="bweingrod@care.org"/>
    <s v="YES"/>
    <s v="YES"/>
    <s v="YES"/>
    <s v="Advocating for the US government to pass the Reach Every Mother and Child Act. This legislation would put the US on track to help end preventable maternal and child deaths within a generation, utilizing a variety of interventions, including family planning. CARE played a vital role in ensuring harmful language wasn't added to the legislation."/>
    <s v="Global"/>
    <m/>
    <s v="women and girls, specifically mothers and children"/>
    <m/>
    <m/>
    <m/>
    <m/>
    <m/>
    <m/>
    <s v="Individuals or groups who were directly engaged in this stage of advocacy included the US Congress and partner NGOs. Due to the nature of this advocacy initiative direct and indirect participants are not calculated. However, this policy will impact humanitarian and development work around the world, particularly mothers and children"/>
    <m/>
    <m/>
    <m/>
    <m/>
    <m/>
    <m/>
    <m/>
    <s v="NO"/>
    <m/>
    <m/>
    <m/>
    <s v="NO"/>
    <m/>
    <m/>
    <m/>
    <s v="NO"/>
    <m/>
    <m/>
    <m/>
    <s v="NO"/>
    <m/>
    <m/>
    <m/>
    <s v="NO"/>
    <m/>
    <m/>
    <m/>
    <s v="NO"/>
    <m/>
    <m/>
    <m/>
    <s v="NO"/>
    <m/>
    <m/>
    <m/>
    <s v="NO"/>
    <m/>
    <m/>
    <m/>
    <s v="NO"/>
    <m/>
    <m/>
    <m/>
    <s v="YES"/>
    <m/>
    <m/>
    <m/>
    <s v="NO"/>
    <m/>
    <m/>
    <m/>
    <s v="NO"/>
    <m/>
    <m/>
    <m/>
    <m/>
    <m/>
    <m/>
    <m/>
    <m/>
    <m/>
    <m/>
    <m/>
    <m/>
    <m/>
    <m/>
    <s v="NO"/>
    <m/>
    <m/>
    <m/>
    <s v="NO"/>
    <m/>
    <m/>
    <m/>
    <s v="NO"/>
    <m/>
    <m/>
    <m/>
    <s v="NO"/>
    <m/>
    <m/>
    <m/>
    <s v="NO"/>
    <m/>
    <m/>
    <m/>
    <s v="NO"/>
    <m/>
    <m/>
    <m/>
    <s v="NO"/>
    <m/>
    <m/>
    <m/>
    <s v="NO"/>
    <m/>
    <m/>
    <m/>
    <s v="NO"/>
    <m/>
    <m/>
    <m/>
    <s v="NO"/>
    <m/>
    <m/>
    <m/>
    <s v="NO"/>
    <m/>
    <m/>
    <m/>
    <s v="NO"/>
    <m/>
    <m/>
    <m/>
    <s v="NO"/>
    <m/>
    <m/>
    <m/>
    <s v="YES"/>
    <m/>
    <m/>
    <m/>
    <s v="NO"/>
    <m/>
    <m/>
    <m/>
    <s v="NO"/>
    <m/>
    <m/>
    <m/>
    <m/>
    <m/>
    <m/>
    <m/>
    <m/>
    <s v="NO"/>
    <m/>
    <m/>
    <m/>
    <s v="NO"/>
    <m/>
    <m/>
    <m/>
    <x v="2"/>
    <s v="YES"/>
    <s v="YES"/>
    <s v="NO"/>
    <s v="NO"/>
    <s v="NO"/>
    <s v="NO"/>
    <s v="NO"/>
    <m/>
    <m/>
    <x v="3"/>
    <m/>
    <x v="2"/>
    <m/>
    <x v="3"/>
    <x v="2"/>
    <m/>
    <x v="2"/>
    <x v="2"/>
    <x v="2"/>
    <x v="3"/>
    <n v="0"/>
    <x v="0"/>
    <x v="0"/>
    <x v="0"/>
    <x v="0"/>
    <x v="0"/>
    <x v="0"/>
    <n v="0"/>
    <x v="0"/>
    <x v="0"/>
    <x v="0"/>
    <x v="0"/>
    <x v="0"/>
    <n v="0"/>
    <x v="1"/>
    <x v="3"/>
    <m/>
    <s v="International NGO(s)"/>
    <s v="National government"/>
    <s v="Grassroots organization(s)"/>
    <x v="3"/>
    <m/>
    <s v="CARE played an important role in ensuring hamrful language wasn't included and that language around family planning was protected in this piece of legislation. This wasn't an issue in the previous version of the Reach Act last Congress, but some NGO members in the coaliton were trying to change the language to appease the new conservative political context."/>
    <m/>
    <m/>
    <m/>
    <s v="The current political environment presents significant challenges to successful proactive advocacy, resources need to be focused on defensive work to prevent funding cuts and implementation of bad policies (as opposed to calling for increased funding and improving policies)."/>
    <m/>
    <m/>
    <m/>
    <m/>
    <n v="0"/>
    <n v="0"/>
    <s v=""/>
    <s v=""/>
    <s v=""/>
    <n v="0"/>
    <n v="0"/>
    <n v="1"/>
    <n v="0"/>
    <n v="0"/>
    <s v=""/>
    <s v=""/>
    <n v="0"/>
    <n v="0"/>
    <s v=""/>
    <n v="1"/>
    <n v="0"/>
    <n v="0"/>
    <s v=""/>
    <s v=""/>
    <n v="0"/>
    <n v="0"/>
    <s v=""/>
    <s v=""/>
    <n v="0"/>
    <n v="0"/>
    <s v=""/>
    <s v="No marker score"/>
    <s v="No marker score"/>
    <s v="No marker score"/>
    <n v="0"/>
    <s v="Intensive advocacy"/>
    <n v="0"/>
  </r>
  <r>
    <x v="78"/>
    <x v="6"/>
    <m/>
    <s v="Reauthorization of Global Food Security Act (GFSA)"/>
    <s v="United States of America"/>
    <m/>
    <s v="CARE USA"/>
    <m/>
    <m/>
    <m/>
    <m/>
    <m/>
    <m/>
    <m/>
    <m/>
    <m/>
    <m/>
    <m/>
    <m/>
    <m/>
    <m/>
    <m/>
    <m/>
    <m/>
    <m/>
    <m/>
    <m/>
    <m/>
    <m/>
    <m/>
    <m/>
    <m/>
    <m/>
    <m/>
    <m/>
    <m/>
    <m/>
    <m/>
    <m/>
    <m/>
    <m/>
    <m/>
    <m/>
    <m/>
    <m/>
    <m/>
    <m/>
    <m/>
    <m/>
    <m/>
    <m/>
    <m/>
    <m/>
    <m/>
    <m/>
    <m/>
    <m/>
    <m/>
    <s v="Development Food &amp; Nutrition Security and Resilience to Climate Change"/>
    <m/>
    <s v="Amanda Mathies"/>
    <s v="MEL Officer"/>
    <s v="amathies@care.org"/>
    <s v="Mary Olive"/>
    <s v="Policy Advocate"/>
    <s v="mary.olive@care.org"/>
    <s v="YES"/>
    <s v="YES"/>
    <s v="YES"/>
    <s v="Advocating to reauthorize the Global Food Security Act which codifies Feed the Future and is the first piece of legislation focused on U.S. food programs to include a focus on smallholder producers, women farmers, and natural resource management"/>
    <s v="Global"/>
    <s v="The 19 countries included in Feed the Future (Bangladesh, Cambodia, Ethiopia, Ghana, Guatemala, Haiti, Honduras, Kenya, Liberia, Malawi, Mali, Mozambique, Nepal, Rwanda, Senegal, Tajikistan, Tanzania, Uganda, and Zambia) in addition to countries experiencing crises that receive funding from the Emergency Food Security Program which is authorized in the GFSA"/>
    <s v="Smallholder farmers and women"/>
    <m/>
    <m/>
    <m/>
    <m/>
    <m/>
    <m/>
    <s v="Due to the nature of this advocacy initiative direct and indirect participants are not calculated. However, the reauthorization of GFSA will impact Feed the Future programming around the world and women farmers and smallscale food producers."/>
    <m/>
    <m/>
    <m/>
    <m/>
    <m/>
    <m/>
    <m/>
    <s v="NO"/>
    <m/>
    <m/>
    <m/>
    <s v="NO"/>
    <m/>
    <m/>
    <m/>
    <s v="NO"/>
    <m/>
    <m/>
    <m/>
    <s v="YES"/>
    <m/>
    <m/>
    <m/>
    <s v="NO"/>
    <m/>
    <m/>
    <m/>
    <s v="NO"/>
    <m/>
    <m/>
    <m/>
    <s v="NO"/>
    <m/>
    <m/>
    <m/>
    <s v="NO"/>
    <m/>
    <m/>
    <m/>
    <s v="NO"/>
    <m/>
    <m/>
    <m/>
    <s v="NO"/>
    <m/>
    <m/>
    <m/>
    <s v="NO"/>
    <m/>
    <m/>
    <m/>
    <s v="NO"/>
    <m/>
    <m/>
    <m/>
    <m/>
    <m/>
    <m/>
    <m/>
    <m/>
    <m/>
    <m/>
    <m/>
    <m/>
    <m/>
    <m/>
    <s v="YES"/>
    <m/>
    <m/>
    <m/>
    <s v="YES"/>
    <m/>
    <m/>
    <m/>
    <s v="NO"/>
    <m/>
    <m/>
    <m/>
    <s v="YES"/>
    <m/>
    <m/>
    <m/>
    <s v="YES"/>
    <m/>
    <m/>
    <m/>
    <s v="NO"/>
    <m/>
    <m/>
    <m/>
    <s v="YES"/>
    <m/>
    <m/>
    <m/>
    <s v="NO"/>
    <m/>
    <m/>
    <m/>
    <s v="YES"/>
    <m/>
    <m/>
    <m/>
    <s v="NO"/>
    <m/>
    <m/>
    <m/>
    <s v="NO"/>
    <m/>
    <m/>
    <m/>
    <s v="YES"/>
    <m/>
    <m/>
    <m/>
    <s v="NO"/>
    <m/>
    <m/>
    <m/>
    <s v="NO"/>
    <m/>
    <m/>
    <m/>
    <s v="NO"/>
    <m/>
    <m/>
    <m/>
    <s v="YES"/>
    <m/>
    <m/>
    <m/>
    <m/>
    <m/>
    <m/>
    <m/>
    <m/>
    <m/>
    <m/>
    <m/>
    <m/>
    <m/>
    <m/>
    <m/>
    <m/>
    <x v="2"/>
    <s v="NO"/>
    <s v="NO"/>
    <s v="NO"/>
    <s v="YES"/>
    <s v="NO"/>
    <s v="NO"/>
    <s v="NO"/>
    <m/>
    <m/>
    <x v="3"/>
    <m/>
    <x v="2"/>
    <m/>
    <x v="3"/>
    <x v="2"/>
    <m/>
    <x v="2"/>
    <x v="2"/>
    <x v="2"/>
    <x v="3"/>
    <n v="0"/>
    <x v="0"/>
    <x v="0"/>
    <x v="0"/>
    <x v="0"/>
    <x v="0"/>
    <x v="0"/>
    <n v="0"/>
    <x v="0"/>
    <x v="0"/>
    <x v="0"/>
    <x v="0"/>
    <x v="0"/>
    <n v="0"/>
    <x v="1"/>
    <x v="3"/>
    <m/>
    <s v="International NGO(s)"/>
    <s v="Private sector"/>
    <s v="Grassroots organization(s)"/>
    <x v="3"/>
    <m/>
    <s v="GFSA is now turning towards implementation, and we pivoted to influence the USAID written strategy and other policy changes with continued advocacy focus  on smallholder farmers and their needs, women and girls, in addition to a continued focus on climate resilience and agricultural development."/>
    <s v="Being the community lead to engage with House Leadership, accurately whipping all members of the House and serving as the coordinator for the operation, cultivating hill relationships that allow for good communication when emotions run high, approaching all policy stakeholders so they are aware of what our focus is,  and maintaining strong and consistent contact with administration officials leading on the bill."/>
    <m/>
    <m/>
    <s v="Handling of House leadership relationship is the make or break difference."/>
    <s v="Having a credible whip count was the key to our engagement."/>
    <s v="Working 1:1 rather than in coalition based on the personalities of the policymakers involved was a critical tool."/>
    <s v="As of September 2017, it is still unclear whether the original Senate authors of the GFSA (Senators Casey and Isakson and Congressman Smith) are willing to be the congressional champions who lead the reauthorization efforts. Chairman Royce is committed however (House side). Currently, CARE would support making changes to the GFSA that put further focus on monitoring and evaluation of meeting the needs of small holder farmers, better coordination with local governments (not just national), greater standards of reporting for women and girls; however, it is too early to determine if there will be political space for making significant changes."/>
    <s v="GFSA After Action Review"/>
    <n v="0"/>
    <n v="0"/>
    <s v=""/>
    <s v=""/>
    <s v=""/>
    <n v="0"/>
    <n v="0"/>
    <n v="1"/>
    <n v="0"/>
    <n v="0"/>
    <s v=""/>
    <n v="1"/>
    <n v="0"/>
    <n v="0"/>
    <s v=""/>
    <s v=""/>
    <n v="0"/>
    <n v="0"/>
    <s v=""/>
    <s v=""/>
    <n v="0"/>
    <n v="0"/>
    <s v=""/>
    <n v="1"/>
    <n v="0"/>
    <n v="0"/>
    <s v=""/>
    <s v="No marker score"/>
    <s v="No marker score"/>
    <s v="No marker score"/>
    <n v="0"/>
    <s v="Intensive advocacy"/>
    <n v="0"/>
  </r>
  <r>
    <x v="78"/>
    <x v="6"/>
    <m/>
    <s v="Uganda Refugee Solidarity Summit_CARE USA"/>
    <s v="United States of America"/>
    <m/>
    <s v="CARE USA"/>
    <m/>
    <m/>
    <m/>
    <m/>
    <m/>
    <m/>
    <m/>
    <m/>
    <m/>
    <m/>
    <m/>
    <m/>
    <m/>
    <m/>
    <m/>
    <m/>
    <m/>
    <m/>
    <m/>
    <m/>
    <m/>
    <m/>
    <m/>
    <m/>
    <m/>
    <m/>
    <m/>
    <m/>
    <m/>
    <m/>
    <m/>
    <m/>
    <m/>
    <m/>
    <m/>
    <m/>
    <m/>
    <m/>
    <m/>
    <m/>
    <m/>
    <m/>
    <m/>
    <m/>
    <m/>
    <m/>
    <m/>
    <m/>
    <d v="2017-06-22T00:00:00"/>
    <d v="2017-06-23T00:00:00"/>
    <m/>
    <s v="Humanitarian Other"/>
    <m/>
    <s v="Amanda Mathies"/>
    <s v="MEL Officer"/>
    <s v="amathies@care.org"/>
    <s v="Joe Read"/>
    <s v="Global Advocacy Advisor"/>
    <s v="joe.read@care.org"/>
    <s v="YES"/>
    <s v="NO"/>
    <s v="NO"/>
    <s v="CARE's primary goal for the meeting was to ensure that the experiences of women and girls were included in outcome documents from the Summit, and to include civil society voices from CAREs work engaging men and boys to address sexual and gender-based violence in Ugandan refugee settlements."/>
    <s v="Multiple countries"/>
    <s v="National (Uganda, South Sudan) and Global (CARE USA, CARE Nederlands &amp; CARE Austria)"/>
    <s v="Refugee and host communities in Uganda, crisis-affected communities in South Sudan"/>
    <m/>
    <m/>
    <m/>
    <m/>
    <m/>
    <n v="7000000"/>
    <s v="Due to the nature of this advocacy initiative direct and indirect participants are difficult to calculate. However, if we were to calculate the indirect participants who would be affected it would be the 1 million South Sudanese refugees in Uganda, and 6 million crisis-affected people in South Sudan."/>
    <m/>
    <m/>
    <m/>
    <m/>
    <m/>
    <m/>
    <m/>
    <m/>
    <m/>
    <m/>
    <m/>
    <m/>
    <m/>
    <m/>
    <m/>
    <m/>
    <m/>
    <m/>
    <m/>
    <m/>
    <m/>
    <m/>
    <m/>
    <m/>
    <m/>
    <m/>
    <m/>
    <m/>
    <m/>
    <m/>
    <m/>
    <m/>
    <m/>
    <m/>
    <m/>
    <m/>
    <m/>
    <m/>
    <m/>
    <m/>
    <m/>
    <m/>
    <m/>
    <m/>
    <m/>
    <m/>
    <m/>
    <m/>
    <m/>
    <m/>
    <m/>
    <m/>
    <m/>
    <m/>
    <m/>
    <m/>
    <m/>
    <m/>
    <m/>
    <m/>
    <m/>
    <m/>
    <m/>
    <m/>
    <m/>
    <m/>
    <m/>
    <m/>
    <m/>
    <m/>
    <m/>
    <m/>
    <m/>
    <m/>
    <m/>
    <m/>
    <m/>
    <m/>
    <m/>
    <m/>
    <m/>
    <m/>
    <m/>
    <m/>
    <m/>
    <m/>
    <m/>
    <m/>
    <m/>
    <m/>
    <m/>
    <m/>
    <m/>
    <m/>
    <m/>
    <m/>
    <m/>
    <m/>
    <m/>
    <m/>
    <m/>
    <m/>
    <m/>
    <m/>
    <m/>
    <m/>
    <m/>
    <m/>
    <m/>
    <m/>
    <m/>
    <m/>
    <m/>
    <m/>
    <m/>
    <m/>
    <m/>
    <m/>
    <m/>
    <m/>
    <m/>
    <m/>
    <m/>
    <m/>
    <m/>
    <m/>
    <m/>
    <m/>
    <m/>
    <m/>
    <m/>
    <m/>
    <m/>
    <m/>
    <m/>
    <s v="NO"/>
    <m/>
    <m/>
    <s v="NO"/>
    <s v="NO"/>
    <m/>
    <m/>
    <m/>
    <x v="2"/>
    <s v="NO"/>
    <s v="NO"/>
    <s v="NO"/>
    <s v="NO"/>
    <s v="NO"/>
    <s v="YES"/>
    <s v="NO"/>
    <s v="NO"/>
    <m/>
    <x v="3"/>
    <m/>
    <x v="2"/>
    <m/>
    <x v="2"/>
    <x v="2"/>
    <m/>
    <x v="2"/>
    <x v="2"/>
    <x v="2"/>
    <x v="3"/>
    <n v="0"/>
    <x v="0"/>
    <x v="0"/>
    <x v="0"/>
    <x v="0"/>
    <x v="0"/>
    <x v="0"/>
    <n v="0"/>
    <x v="0"/>
    <x v="0"/>
    <x v="0"/>
    <x v="0"/>
    <x v="0"/>
    <n v="0"/>
    <x v="1"/>
    <x v="3"/>
    <m/>
    <s v="International NGO(s)"/>
    <s v="Multilateral organization(s)"/>
    <s v="National government"/>
    <x v="2"/>
    <s v="Somewhat - strengthened existing INGO advocacy coordination in Uganda"/>
    <m/>
    <s v="Multi-stakeholder alliances, "/>
    <s v="evidence-based awareness raising, "/>
    <s v="engaging men and boys"/>
    <s v="Need more strategic and coordinated planning between country level and capital level in advance of high level meetings/donor conferences on humanitarian crises"/>
    <m/>
    <m/>
    <s v="Three week deployment of CARE USA policy/advocacy adviser to support the Uganda CO in preparation for this conference. How can we improve follow-up after policy/advocacy deployments in future and can we plan future policy/advocacy deployments through the CI roster?_x000a_Extent of linking with partners: Participating in women and girls side event planning group with UN Women, UNFPA, UNICEF, UNHCR and peer NGOs, in addition to in-country NGO forum advocacy work, and intensive collaboration with Oxfam, Save and Worldvision international advocacy colleagues on deployment in Uganda."/>
    <m/>
    <n v="0"/>
    <n v="0"/>
    <s v=""/>
    <s v=""/>
    <s v=""/>
    <n v="0"/>
    <n v="0"/>
    <n v="1"/>
    <n v="0"/>
    <n v="0"/>
    <s v=""/>
    <s v=""/>
    <n v="0"/>
    <n v="0"/>
    <s v=""/>
    <s v=""/>
    <n v="0"/>
    <n v="0"/>
    <s v=""/>
    <s v=""/>
    <n v="0"/>
    <n v="0"/>
    <s v=""/>
    <s v=""/>
    <n v="0"/>
    <n v="0"/>
    <s v=""/>
    <s v="No marker score"/>
    <s v="No marker score"/>
    <s v="No marker score"/>
    <n v="0"/>
    <s v="Intensive advocacy"/>
    <n v="0"/>
  </r>
  <r>
    <x v="78"/>
    <x v="6"/>
    <m/>
    <s v="UN Commission on the Status of Women_CARE USA"/>
    <s v="United States of America"/>
    <m/>
    <s v="CARE USA"/>
    <m/>
    <m/>
    <m/>
    <m/>
    <m/>
    <m/>
    <m/>
    <m/>
    <m/>
    <m/>
    <m/>
    <m/>
    <m/>
    <m/>
    <m/>
    <m/>
    <m/>
    <m/>
    <m/>
    <m/>
    <m/>
    <m/>
    <m/>
    <m/>
    <m/>
    <m/>
    <m/>
    <m/>
    <m/>
    <m/>
    <m/>
    <m/>
    <m/>
    <m/>
    <m/>
    <m/>
    <m/>
    <m/>
    <m/>
    <m/>
    <m/>
    <m/>
    <m/>
    <m/>
    <m/>
    <m/>
    <m/>
    <m/>
    <d v="2016-08-01T00:00:00"/>
    <d v="2017-03-27T00:00:00"/>
    <m/>
    <s v="Development Access to and Control over Economic Resources"/>
    <m/>
    <s v="Amanda Mathies"/>
    <s v="MEL Officer"/>
    <s v="amathies@care.org"/>
    <s v="Milkah Kihunah"/>
    <s v="Deputy Director, Global Advocacy"/>
    <s v="mkihunah@care.org"/>
    <s v="YES"/>
    <s v="YES"/>
    <s v="YES"/>
    <s v="The thematic focus for the Comission on the Status of Women this year was on WEE, and CARE's goals for the summit included: strenghtening partnerships with key actors, particularly women's rights groups and key govts. sharing and amplifying CARE's experience, evidence and learning through public events and targeted meetings and strengthening internal learning and mapping of CAREs global WEE and advocacy work."/>
    <s v="Global"/>
    <m/>
    <s v="Women and girls"/>
    <m/>
    <m/>
    <m/>
    <m/>
    <m/>
    <m/>
    <s v="Due to the nature of this advocacy initiative direct and indirect participants are not calculated."/>
    <m/>
    <m/>
    <m/>
    <m/>
    <m/>
    <m/>
    <m/>
    <m/>
    <m/>
    <m/>
    <m/>
    <m/>
    <m/>
    <m/>
    <m/>
    <m/>
    <m/>
    <m/>
    <m/>
    <m/>
    <m/>
    <m/>
    <m/>
    <m/>
    <m/>
    <m/>
    <m/>
    <m/>
    <m/>
    <m/>
    <m/>
    <m/>
    <m/>
    <m/>
    <m/>
    <m/>
    <m/>
    <m/>
    <m/>
    <m/>
    <m/>
    <m/>
    <m/>
    <m/>
    <m/>
    <m/>
    <m/>
    <m/>
    <m/>
    <m/>
    <m/>
    <m/>
    <m/>
    <m/>
    <m/>
    <m/>
    <m/>
    <m/>
    <m/>
    <m/>
    <m/>
    <m/>
    <m/>
    <m/>
    <m/>
    <m/>
    <s v="NO"/>
    <m/>
    <m/>
    <m/>
    <s v="NO"/>
    <m/>
    <m/>
    <m/>
    <s v="NO"/>
    <m/>
    <m/>
    <m/>
    <s v="NO"/>
    <m/>
    <m/>
    <m/>
    <s v="NO"/>
    <m/>
    <m/>
    <m/>
    <s v="NO"/>
    <m/>
    <m/>
    <m/>
    <s v="NO"/>
    <m/>
    <m/>
    <m/>
    <s v="NO"/>
    <m/>
    <m/>
    <m/>
    <s v="YES"/>
    <m/>
    <m/>
    <m/>
    <s v="NO"/>
    <m/>
    <m/>
    <m/>
    <s v="NO"/>
    <m/>
    <m/>
    <m/>
    <s v="NO"/>
    <m/>
    <m/>
    <m/>
    <s v="NO"/>
    <m/>
    <m/>
    <m/>
    <s v="NO"/>
    <m/>
    <m/>
    <m/>
    <s v="NO"/>
    <m/>
    <m/>
    <m/>
    <s v="YES"/>
    <m/>
    <m/>
    <m/>
    <m/>
    <m/>
    <m/>
    <m/>
    <m/>
    <s v="NO"/>
    <m/>
    <m/>
    <s v="NO"/>
    <s v="NO"/>
    <m/>
    <m/>
    <m/>
    <x v="2"/>
    <s v="NO"/>
    <s v="NO"/>
    <s v="NO"/>
    <s v="NO"/>
    <s v="NO"/>
    <s v="YES"/>
    <s v="NO"/>
    <s v="NO"/>
    <m/>
    <x v="3"/>
    <m/>
    <x v="2"/>
    <s v="CARE organized 6 side events and a variety of strategic meetings with key actors, and was able to share it's program learning and evidence (e.g. on financial inclusion) with governments, civil society, businesses and other actors, with potential for taking tested solutions to scale"/>
    <x v="1"/>
    <x v="2"/>
    <m/>
    <x v="2"/>
    <x v="2"/>
    <x v="2"/>
    <x v="3"/>
    <n v="0"/>
    <x v="0"/>
    <x v="0"/>
    <x v="0"/>
    <x v="0"/>
    <x v="0"/>
    <x v="0"/>
    <n v="0"/>
    <x v="0"/>
    <x v="0"/>
    <x v="0"/>
    <x v="0"/>
    <x v="0"/>
    <n v="0"/>
    <x v="1"/>
    <x v="3"/>
    <m/>
    <s v="Grassroots organization(s)"/>
    <s v="International NGO(s)"/>
    <s v="National government"/>
    <x v="2"/>
    <s v="CARE supported and worked with civil society coalitions in various ways during CSW e.g. engaging in CSO intel-gathering and strategizing efforts to influence the content of the outcome document"/>
    <m/>
    <m/>
    <m/>
    <m/>
    <s v="affirmed importance of CSW as a great networking and relationship building space, particularly with activists and women's networks but also with key governments and donors"/>
    <s v="Important to engage southern governments through CSW side-events and meetings in order to build relationships that can be leveraged for global and national advocacy"/>
    <s v="Important to define and communicate our CSW influencing goals as early as possible to ensure organizational alignment and impact in our CSW engagement"/>
    <m/>
    <m/>
    <n v="0"/>
    <n v="0"/>
    <s v=""/>
    <s v=""/>
    <s v=""/>
    <n v="0"/>
    <n v="0"/>
    <n v="1"/>
    <n v="0"/>
    <n v="0"/>
    <s v=""/>
    <s v=""/>
    <n v="0"/>
    <n v="0"/>
    <s v=""/>
    <s v=""/>
    <n v="0"/>
    <n v="0"/>
    <s v=""/>
    <s v=""/>
    <n v="0"/>
    <n v="0"/>
    <s v=""/>
    <n v="1"/>
    <n v="0"/>
    <n v="0"/>
    <s v=""/>
    <s v="No marker score"/>
    <s v="No marker score"/>
    <s v="No marker score"/>
    <n v="0"/>
    <s v="Intensive advocacy"/>
    <n v="0"/>
  </r>
  <r>
    <x v="78"/>
    <x v="6"/>
    <m/>
    <s v="UN General Assembly Resolution on child marriage"/>
    <s v="United States of America"/>
    <m/>
    <s v="CARE USA"/>
    <m/>
    <m/>
    <m/>
    <m/>
    <m/>
    <m/>
    <m/>
    <m/>
    <m/>
    <m/>
    <m/>
    <m/>
    <m/>
    <m/>
    <m/>
    <m/>
    <m/>
    <m/>
    <m/>
    <m/>
    <m/>
    <m/>
    <m/>
    <m/>
    <m/>
    <m/>
    <m/>
    <m/>
    <m/>
    <m/>
    <m/>
    <m/>
    <m/>
    <m/>
    <m/>
    <m/>
    <m/>
    <m/>
    <m/>
    <m/>
    <m/>
    <m/>
    <m/>
    <m/>
    <m/>
    <m/>
    <m/>
    <m/>
    <d v="2016-07-16T00:00:00"/>
    <d v="2016-11-16T00:00:00"/>
    <m/>
    <s v="Development A Life Free From Violence (GBV)"/>
    <m/>
    <s v="Amanda Mathies"/>
    <s v="MEL Officer"/>
    <s v="amathies@care.org"/>
    <s v="Milkah Kihunah"/>
    <s v="Deputy Director, Global Advocacy"/>
    <s v="mkihunah@care.org"/>
    <s v="YES"/>
    <s v="YES"/>
    <s v="YES"/>
    <s v="CARE nfluenced goverments to adopt a strong UN General Assembly Resolution that included language recognizing gender inequality as the root cause of child marriage and the importance of addressing child marriage in crisis settings and calling on states to take action, including by addressing harmful social norms, empowering girls to participate in all decisions affecting them and to report on progress in addressing child marriage as part of fulfilling their obligations under the Sustainable Development Goals. CARE also influenced the language in the resolution"/>
    <s v="Global"/>
    <m/>
    <s v="Adolescent girls"/>
    <m/>
    <m/>
    <m/>
    <m/>
    <m/>
    <m/>
    <s v="We are unable to calculate the number of participants who would be impacted by adoption of this global policy, however if members states fully implemented the commitments in the resolution, it would have a positive impact on millions of girls who are at risk of or affected by child marriage in around the world."/>
    <m/>
    <m/>
    <m/>
    <m/>
    <m/>
    <m/>
    <m/>
    <m/>
    <m/>
    <m/>
    <m/>
    <m/>
    <m/>
    <m/>
    <m/>
    <m/>
    <m/>
    <m/>
    <m/>
    <m/>
    <m/>
    <m/>
    <m/>
    <m/>
    <m/>
    <m/>
    <m/>
    <m/>
    <m/>
    <m/>
    <m/>
    <m/>
    <m/>
    <m/>
    <m/>
    <m/>
    <m/>
    <m/>
    <m/>
    <m/>
    <m/>
    <m/>
    <m/>
    <m/>
    <m/>
    <m/>
    <m/>
    <m/>
    <m/>
    <m/>
    <m/>
    <m/>
    <m/>
    <m/>
    <m/>
    <m/>
    <m/>
    <m/>
    <m/>
    <m/>
    <m/>
    <m/>
    <m/>
    <m/>
    <m/>
    <m/>
    <s v="NO"/>
    <m/>
    <m/>
    <m/>
    <s v="NO"/>
    <m/>
    <m/>
    <m/>
    <s v="NO"/>
    <m/>
    <m/>
    <m/>
    <s v="NO"/>
    <m/>
    <m/>
    <m/>
    <s v="NO"/>
    <m/>
    <m/>
    <m/>
    <s v="NO"/>
    <m/>
    <m/>
    <m/>
    <s v="NO"/>
    <m/>
    <m/>
    <m/>
    <s v="YES"/>
    <m/>
    <m/>
    <m/>
    <s v="YES"/>
    <m/>
    <m/>
    <m/>
    <s v="NO"/>
    <m/>
    <m/>
    <m/>
    <s v="NO"/>
    <m/>
    <m/>
    <m/>
    <s v="NO"/>
    <m/>
    <m/>
    <m/>
    <s v="NO"/>
    <m/>
    <m/>
    <m/>
    <s v="NO"/>
    <m/>
    <m/>
    <m/>
    <s v="NO"/>
    <m/>
    <m/>
    <m/>
    <s v="YES"/>
    <m/>
    <m/>
    <m/>
    <m/>
    <m/>
    <m/>
    <m/>
    <m/>
    <s v="NO"/>
    <m/>
    <m/>
    <s v="NO"/>
    <s v="NO"/>
    <m/>
    <m/>
    <m/>
    <x v="2"/>
    <s v="YES"/>
    <s v="NO"/>
    <s v="NO"/>
    <s v="NO"/>
    <s v="NO"/>
    <s v="NO"/>
    <s v="NO"/>
    <s v="NO"/>
    <m/>
    <x v="3"/>
    <m/>
    <x v="2"/>
    <m/>
    <x v="2"/>
    <x v="2"/>
    <m/>
    <x v="2"/>
    <x v="2"/>
    <x v="2"/>
    <x v="3"/>
    <n v="0"/>
    <x v="0"/>
    <x v="0"/>
    <x v="0"/>
    <x v="0"/>
    <x v="0"/>
    <x v="0"/>
    <n v="0"/>
    <x v="0"/>
    <x v="0"/>
    <x v="0"/>
    <x v="0"/>
    <x v="0"/>
    <n v="0"/>
    <x v="1"/>
    <x v="3"/>
    <m/>
    <s v="International NGO(s)"/>
    <s v="National government"/>
    <s v="Local government(s)"/>
    <x v="3"/>
    <m/>
    <s v="1) CARE prioritized this process in order to strengthen government commitment to addressing child marriage and promoting girls rights and in order to ensure a focus on adddressing gender inequality as the key driver to child marriage"/>
    <m/>
    <m/>
    <m/>
    <s v="need for better communication and coodrination across CARE to identify and leverage opportunities for influence with key governments"/>
    <s v="need for more intensive local to global advocacy to influence key southern governments that sometimes have progressive national policies but take a silent or regressive stance at the UN on gender issues"/>
    <s v="Need for more CARE connections at national or regional level with networks and coalitions working on child marriage/girls rights that also have global foorprint (e.g. Girls Not Brides)"/>
    <s v="involved significant work through through  a coalition of INGOs and champion governments "/>
    <m/>
    <n v="0"/>
    <n v="0"/>
    <s v=""/>
    <s v=""/>
    <s v=""/>
    <n v="0"/>
    <n v="0"/>
    <n v="1"/>
    <n v="0"/>
    <n v="0"/>
    <s v=""/>
    <s v=""/>
    <n v="0"/>
    <n v="0"/>
    <s v=""/>
    <s v=""/>
    <n v="0"/>
    <n v="0"/>
    <s v=""/>
    <n v="1"/>
    <n v="0"/>
    <n v="0"/>
    <s v=""/>
    <n v="1"/>
    <n v="0"/>
    <n v="0"/>
    <s v=""/>
    <s v="No marker score"/>
    <s v="No marker score"/>
    <s v="No marker score"/>
    <n v="0"/>
    <s v="Intensive advocacy"/>
    <n v="0"/>
  </r>
  <r>
    <x v="78"/>
    <x v="6"/>
    <m/>
    <s v="UN High Level Panel on Womens Economic Empowerment_CARE USA"/>
    <s v="United States of America"/>
    <m/>
    <s v="CARE USA"/>
    <m/>
    <m/>
    <m/>
    <m/>
    <m/>
    <m/>
    <m/>
    <m/>
    <m/>
    <m/>
    <m/>
    <m/>
    <m/>
    <m/>
    <m/>
    <m/>
    <m/>
    <m/>
    <m/>
    <m/>
    <m/>
    <m/>
    <m/>
    <m/>
    <m/>
    <m/>
    <m/>
    <m/>
    <m/>
    <m/>
    <m/>
    <m/>
    <m/>
    <m/>
    <m/>
    <m/>
    <m/>
    <m/>
    <m/>
    <m/>
    <m/>
    <m/>
    <m/>
    <m/>
    <m/>
    <m/>
    <m/>
    <m/>
    <d v="2016-01-01T00:00:00"/>
    <d v="2016-09-30T00:00:00"/>
    <m/>
    <s v="Development Access to and Control over Economic Resources"/>
    <m/>
    <s v="Amanda Mathies"/>
    <s v="MEL Officer"/>
    <s v="amathies@care.org"/>
    <s v="Marguerite Lauter"/>
    <s v="Senior Global Advocacy Advisor"/>
    <s v="mlauter@care.org"/>
    <s v="NO"/>
    <s v="YES"/>
    <s v="NO"/>
    <s v="Influence the HLP to integrate women's voice, VSLA's/savings groups, and financial inclusions into their recommendations to shape the women's economic empowerment components of the UN's 2030 agenda "/>
    <s v="Global"/>
    <m/>
    <s v="Women and girls"/>
    <m/>
    <m/>
    <m/>
    <m/>
    <m/>
    <m/>
    <s v="Due to the nature of this advocacy initiative direct and indirect participants are not calculated."/>
    <m/>
    <m/>
    <m/>
    <m/>
    <m/>
    <m/>
    <m/>
    <m/>
    <m/>
    <m/>
    <m/>
    <m/>
    <m/>
    <m/>
    <m/>
    <m/>
    <m/>
    <m/>
    <m/>
    <m/>
    <m/>
    <m/>
    <m/>
    <m/>
    <m/>
    <m/>
    <m/>
    <m/>
    <m/>
    <m/>
    <m/>
    <m/>
    <m/>
    <m/>
    <m/>
    <m/>
    <m/>
    <m/>
    <m/>
    <m/>
    <m/>
    <m/>
    <m/>
    <m/>
    <m/>
    <m/>
    <m/>
    <m/>
    <m/>
    <m/>
    <m/>
    <m/>
    <m/>
    <m/>
    <m/>
    <m/>
    <m/>
    <m/>
    <m/>
    <m/>
    <m/>
    <m/>
    <m/>
    <m/>
    <m/>
    <m/>
    <s v="NO"/>
    <m/>
    <m/>
    <m/>
    <s v="NO"/>
    <m/>
    <m/>
    <m/>
    <s v="NO"/>
    <m/>
    <m/>
    <m/>
    <s v="NO"/>
    <m/>
    <m/>
    <m/>
    <s v="NO"/>
    <m/>
    <m/>
    <m/>
    <s v="NO"/>
    <m/>
    <m/>
    <m/>
    <s v="NO"/>
    <m/>
    <m/>
    <m/>
    <s v="NO"/>
    <m/>
    <m/>
    <m/>
    <s v="YES"/>
    <m/>
    <m/>
    <m/>
    <s v="NO"/>
    <m/>
    <m/>
    <m/>
    <s v="NO"/>
    <m/>
    <m/>
    <m/>
    <s v="NO"/>
    <m/>
    <m/>
    <m/>
    <s v="NO"/>
    <m/>
    <m/>
    <m/>
    <s v="NO"/>
    <m/>
    <m/>
    <m/>
    <s v="NO"/>
    <m/>
    <m/>
    <m/>
    <s v="YES"/>
    <m/>
    <m/>
    <m/>
    <m/>
    <m/>
    <m/>
    <m/>
    <m/>
    <s v="NO"/>
    <m/>
    <m/>
    <s v="NO"/>
    <s v="NO"/>
    <m/>
    <m/>
    <m/>
    <x v="2"/>
    <s v="NO"/>
    <s v="NO"/>
    <s v="YES"/>
    <s v="NO"/>
    <s v="NO"/>
    <s v="YES"/>
    <s v="NO"/>
    <s v="NO"/>
    <m/>
    <x v="3"/>
    <m/>
    <x v="2"/>
    <m/>
    <x v="3"/>
    <x v="2"/>
    <m/>
    <x v="2"/>
    <x v="2"/>
    <x v="2"/>
    <x v="3"/>
    <n v="0"/>
    <x v="0"/>
    <x v="0"/>
    <x v="0"/>
    <x v="0"/>
    <x v="0"/>
    <x v="0"/>
    <n v="0"/>
    <x v="0"/>
    <x v="0"/>
    <x v="0"/>
    <x v="0"/>
    <x v="0"/>
    <n v="0"/>
    <x v="1"/>
    <x v="3"/>
    <m/>
    <s v="International NGO(s)"/>
    <s v="Private sector"/>
    <s v="National government"/>
    <x v="3"/>
    <m/>
    <m/>
    <s v="Direct lobbying"/>
    <s v="High level awareness raising events with policymakers and leaders from public and private sectors"/>
    <m/>
    <s v="Still much more to do to understand the impact of this panel on the lives of women and families. How do we measure and evaluate our impact on helping to achieve the SDG's?"/>
    <m/>
    <m/>
    <s v="Much of this work has been led by CI-UK, who lead on the WEE Outcome Area. However, since the establishment of the IGS's, we have done a much better job of more deliberately linking the advocacy work of the IGS's with the global advocacy priorities and targeted advocacy work with the HLPF."/>
    <m/>
    <n v="0"/>
    <n v="0"/>
    <s v=""/>
    <s v=""/>
    <s v=""/>
    <n v="0"/>
    <n v="0"/>
    <s v=""/>
    <n v="0"/>
    <n v="0"/>
    <s v=""/>
    <s v=""/>
    <n v="0"/>
    <n v="0"/>
    <s v=""/>
    <s v=""/>
    <n v="0"/>
    <n v="0"/>
    <s v=""/>
    <s v=""/>
    <n v="0"/>
    <n v="0"/>
    <s v=""/>
    <n v="1"/>
    <n v="0"/>
    <n v="0"/>
    <s v=""/>
    <s v="No marker score"/>
    <s v="No marker score"/>
    <s v="No marker score"/>
    <n v="0"/>
    <s v="Intensive advocacy"/>
    <n v="0"/>
  </r>
  <r>
    <x v="78"/>
    <x v="6"/>
    <m/>
    <s v="UN/World Bank High Level Meeting on Famine_CARE USA"/>
    <s v="United States of America"/>
    <m/>
    <s v="CARE USA"/>
    <m/>
    <m/>
    <m/>
    <m/>
    <m/>
    <m/>
    <m/>
    <m/>
    <m/>
    <m/>
    <m/>
    <m/>
    <m/>
    <m/>
    <m/>
    <m/>
    <m/>
    <m/>
    <m/>
    <m/>
    <m/>
    <m/>
    <m/>
    <m/>
    <m/>
    <m/>
    <m/>
    <m/>
    <m/>
    <m/>
    <m/>
    <m/>
    <m/>
    <m/>
    <m/>
    <m/>
    <m/>
    <m/>
    <m/>
    <m/>
    <m/>
    <m/>
    <m/>
    <m/>
    <m/>
    <m/>
    <m/>
    <m/>
    <d v="2017-04-22T00:00:00"/>
    <d v="2017-04-22T00:00:00"/>
    <m/>
    <s v="Humanitarian Other"/>
    <m/>
    <s v="Amanda Mathies"/>
    <s v="MEL Officer"/>
    <s v="amathies@care.org"/>
    <s v="Joe Read"/>
    <s v="Global Advocacy Advisor"/>
    <s v="joe.read@care.org"/>
    <s v="YES"/>
    <s v="NO"/>
    <s v="NO"/>
    <s v="CARE's primary goal for the meeting was to ensure that I-NGOs were represented at the meeting, and to advance messaging with the UN and World Bank to include livelihoods, education and protection programming in its famine appeal."/>
    <s v="National"/>
    <s v="National (CARE USA) but specifically working to for Nigeria, Somalia, South Sudan, Yemen"/>
    <s v="Famine-affected communities in Nigeria, Somalia, South Sudan, Yemen"/>
    <m/>
    <m/>
    <m/>
    <m/>
    <m/>
    <m/>
    <s v="Due to the nature of this advocacy initiative direct and indirect participants are difficult to calculate. However, if we were to calculate the indirect participants who would be affected it would be the 20 million people affected by famine"/>
    <m/>
    <m/>
    <m/>
    <m/>
    <m/>
    <m/>
    <m/>
    <m/>
    <m/>
    <m/>
    <m/>
    <m/>
    <m/>
    <m/>
    <m/>
    <m/>
    <m/>
    <m/>
    <m/>
    <m/>
    <m/>
    <m/>
    <m/>
    <m/>
    <m/>
    <m/>
    <m/>
    <m/>
    <m/>
    <m/>
    <m/>
    <m/>
    <m/>
    <m/>
    <m/>
    <m/>
    <m/>
    <m/>
    <m/>
    <m/>
    <m/>
    <m/>
    <m/>
    <m/>
    <m/>
    <m/>
    <m/>
    <m/>
    <m/>
    <m/>
    <m/>
    <m/>
    <m/>
    <m/>
    <m/>
    <m/>
    <m/>
    <m/>
    <m/>
    <m/>
    <m/>
    <m/>
    <m/>
    <m/>
    <m/>
    <m/>
    <m/>
    <m/>
    <m/>
    <m/>
    <m/>
    <m/>
    <m/>
    <m/>
    <m/>
    <m/>
    <m/>
    <m/>
    <m/>
    <m/>
    <m/>
    <m/>
    <m/>
    <m/>
    <m/>
    <m/>
    <m/>
    <m/>
    <m/>
    <m/>
    <m/>
    <m/>
    <m/>
    <m/>
    <m/>
    <m/>
    <m/>
    <m/>
    <m/>
    <m/>
    <m/>
    <m/>
    <m/>
    <m/>
    <m/>
    <m/>
    <m/>
    <m/>
    <m/>
    <m/>
    <m/>
    <m/>
    <m/>
    <m/>
    <m/>
    <m/>
    <m/>
    <m/>
    <m/>
    <m/>
    <m/>
    <m/>
    <m/>
    <m/>
    <m/>
    <m/>
    <m/>
    <m/>
    <m/>
    <m/>
    <m/>
    <m/>
    <m/>
    <m/>
    <m/>
    <s v="NO"/>
    <m/>
    <m/>
    <s v="NO"/>
    <s v="NO"/>
    <m/>
    <m/>
    <m/>
    <x v="1"/>
    <s v="NO"/>
    <s v="NO"/>
    <s v="YES"/>
    <s v="NO"/>
    <s v="NO"/>
    <s v="YES"/>
    <s v="NO"/>
    <s v="NO"/>
    <m/>
    <x v="3"/>
    <m/>
    <x v="2"/>
    <m/>
    <x v="1"/>
    <x v="2"/>
    <m/>
    <x v="2"/>
    <x v="2"/>
    <x v="2"/>
    <x v="3"/>
    <n v="0"/>
    <x v="0"/>
    <x v="0"/>
    <x v="0"/>
    <x v="0"/>
    <x v="0"/>
    <x v="0"/>
    <n v="0"/>
    <x v="0"/>
    <x v="0"/>
    <x v="0"/>
    <x v="0"/>
    <x v="0"/>
    <n v="0"/>
    <x v="1"/>
    <x v="3"/>
    <m/>
    <s v="International NGO(s)"/>
    <s v="Multilateral organization(s)"/>
    <s v="National government"/>
    <x v="3"/>
    <m/>
    <m/>
    <s v="Direct lobbying,"/>
    <s v="high level awareness raising on women and girls in famine-affected countries with leaders from IFIs, UN agencies and governments"/>
    <m/>
    <s v="Need to engage in direct advocacy with World Bank in order to influence agenda"/>
    <m/>
    <m/>
    <s v="Need to strengthen engagement with the World Bank to engage with ongoing work in famine-affected and fragile contexts_x000a_Extent of linking with partners: Linked with Interaction and other INGOs participating in the meeting_x000a_Mainstream GBV- addressed GBV as part of broader package of sexual and reproductive health needs and rights"/>
    <m/>
    <n v="0"/>
    <n v="0"/>
    <s v=""/>
    <s v=""/>
    <s v=""/>
    <n v="0"/>
    <n v="0"/>
    <n v="1"/>
    <n v="0"/>
    <n v="0"/>
    <s v=""/>
    <s v=""/>
    <n v="0"/>
    <n v="0"/>
    <s v=""/>
    <s v=""/>
    <n v="0"/>
    <n v="0"/>
    <s v=""/>
    <s v=""/>
    <n v="0"/>
    <n v="0"/>
    <s v=""/>
    <s v=""/>
    <n v="0"/>
    <n v="0"/>
    <s v=""/>
    <s v="No marker score"/>
    <s v="No marker score"/>
    <s v="No marker score"/>
    <n v="0"/>
    <s v="Moderate advocacy"/>
    <n v="0"/>
  </r>
  <r>
    <x v="78"/>
    <x v="6"/>
    <m/>
    <s v="UNFCCC_FNS"/>
    <s v="United States of America"/>
    <m/>
    <s v="CARE USA"/>
    <m/>
    <m/>
    <m/>
    <m/>
    <m/>
    <m/>
    <m/>
    <m/>
    <m/>
    <m/>
    <m/>
    <m/>
    <m/>
    <m/>
    <m/>
    <m/>
    <m/>
    <m/>
    <m/>
    <m/>
    <m/>
    <m/>
    <m/>
    <m/>
    <m/>
    <m/>
    <m/>
    <m/>
    <m/>
    <m/>
    <m/>
    <m/>
    <m/>
    <m/>
    <m/>
    <m/>
    <m/>
    <m/>
    <m/>
    <m/>
    <m/>
    <m/>
    <m/>
    <m/>
    <m/>
    <m/>
    <m/>
    <m/>
    <d v="2017-06-29T00:00:00"/>
    <m/>
    <m/>
    <s v="Development Food &amp; Nutrition Security and Resilience to Climate Change"/>
    <m/>
    <s v="Amanda Mathies"/>
    <s v="MEL Officer"/>
    <s v="amathies@care.org"/>
    <s v="Tonya Rawe"/>
    <s v="Global Policy Lead, Food and Nutrition Security"/>
    <s v="trawe@care.org"/>
    <s v="NO"/>
    <s v="YES"/>
    <s v="NO"/>
    <s v="Overarching goal: Influence UNFCCC(United Nations Framework Convention on Climate Change ) policies, including those that govern national action and finance, to support the scale up of gender-transformative, climate-resilient,and nutrition-sensitive agricluture; advocate for measures to address inequality, ensure avoidance of harm, and advance learning &amp; guide action on all aspects of the FNS/CC nexus. Main objective: the UNFCCC establishes &amp; implements a work programme on agriculture &amp; food security that addresses adaptation and mitigation; enables examination of social aspects and emerging issues in FNS/CC; identifies and facilitates filling gaps in knowledge, action, and support; and seeks to inform further guidance on finance and action."/>
    <s v="Global"/>
    <s v="Global"/>
    <s v="Small-scale food producers, particularly women"/>
    <m/>
    <m/>
    <m/>
    <m/>
    <m/>
    <m/>
    <s v="Due to the nature of this advocacy initiative direct and indirect participants are not calculated. However, this will impact FNS/CC related development work around the world."/>
    <m/>
    <m/>
    <m/>
    <m/>
    <m/>
    <m/>
    <m/>
    <m/>
    <m/>
    <m/>
    <m/>
    <m/>
    <m/>
    <m/>
    <m/>
    <m/>
    <m/>
    <m/>
    <m/>
    <m/>
    <m/>
    <m/>
    <m/>
    <m/>
    <m/>
    <m/>
    <m/>
    <m/>
    <m/>
    <m/>
    <m/>
    <m/>
    <m/>
    <m/>
    <m/>
    <m/>
    <m/>
    <m/>
    <m/>
    <m/>
    <m/>
    <m/>
    <m/>
    <m/>
    <m/>
    <m/>
    <m/>
    <m/>
    <m/>
    <m/>
    <m/>
    <m/>
    <m/>
    <m/>
    <m/>
    <m/>
    <m/>
    <m/>
    <m/>
    <m/>
    <m/>
    <m/>
    <m/>
    <m/>
    <m/>
    <m/>
    <s v="YES"/>
    <m/>
    <m/>
    <m/>
    <s v="YES"/>
    <m/>
    <m/>
    <m/>
    <s v="NO"/>
    <m/>
    <m/>
    <m/>
    <s v="NO"/>
    <m/>
    <m/>
    <m/>
    <s v="YES"/>
    <m/>
    <m/>
    <m/>
    <s v="NO"/>
    <m/>
    <m/>
    <m/>
    <s v="YES"/>
    <m/>
    <m/>
    <m/>
    <s v="NO"/>
    <m/>
    <m/>
    <m/>
    <s v="YES"/>
    <m/>
    <m/>
    <m/>
    <s v="NO"/>
    <m/>
    <m/>
    <m/>
    <s v="NO"/>
    <m/>
    <m/>
    <m/>
    <s v="YES"/>
    <m/>
    <m/>
    <m/>
    <s v="NO"/>
    <m/>
    <m/>
    <m/>
    <s v="NO"/>
    <m/>
    <m/>
    <m/>
    <s v="NO"/>
    <m/>
    <m/>
    <m/>
    <s v="YES"/>
    <m/>
    <m/>
    <m/>
    <m/>
    <m/>
    <m/>
    <m/>
    <m/>
    <s v="NO"/>
    <m/>
    <m/>
    <s v="NO"/>
    <s v="NO"/>
    <m/>
    <m/>
    <m/>
    <x v="2"/>
    <s v="YES"/>
    <s v="NO"/>
    <s v="NO"/>
    <s v="NO"/>
    <s v="NO"/>
    <s v="YES"/>
    <s v="NO"/>
    <m/>
    <m/>
    <x v="3"/>
    <m/>
    <x v="1"/>
    <s v="Initiative involved significant coalition engagement; CARE sought to influence coalition policy positions to amplify our voice beyond our own reach as CARE"/>
    <x v="3"/>
    <x v="2"/>
    <m/>
    <x v="2"/>
    <x v="2"/>
    <x v="2"/>
    <x v="3"/>
    <n v="0"/>
    <x v="0"/>
    <x v="0"/>
    <x v="0"/>
    <x v="0"/>
    <x v="0"/>
    <x v="0"/>
    <n v="0"/>
    <x v="0"/>
    <x v="0"/>
    <x v="0"/>
    <x v="0"/>
    <x v="0"/>
    <n v="0"/>
    <x v="1"/>
    <x v="3"/>
    <m/>
    <s v="International NGO(s)"/>
    <s v="National government"/>
    <s v="University/research institution(s)"/>
    <x v="2"/>
    <s v="CARE supported capacity building of new NGO coalition members on the issues &amp; assumed the role of facilitator in a consensus-building exercise among a wide set of NGOs."/>
    <s v="1. Prioritization: CARE opted to prioritize this multilateral process, among others, to be able to devote more resources to it. 2. Politics: CARE recognized a need to be more political in our outreach -- though we were not able to fully act on this. 3. CARE's Role as Facilitator: CARE recognized its value as and stepped up to play the role of convenor &amp; facilitator (given our seat in the middle of the political spectrum)."/>
    <s v="Strong relationships with key governments;"/>
    <s v="CARE approach to advocacy as principled but practical partner (our middle ground advocacy stance and approach)."/>
    <m/>
    <s v="Need to engage more politically in the climate negotiations (which requires more resources &amp; stronger relationships than we have already)"/>
    <s v="Need for more rigourous (and earlier) analysis of policies &amp; precedents to present stronger arguments for our policy position;"/>
    <s v="Need for broader reach as CARE (so more engagement within CARE)."/>
    <s v="Our prioritization of the UNFCCC enabled us to focus more on this in the second half of the FY, though we are still building our work in this area to be deeper and more thoughtful and to engage more parts of CARE. Ongoign political challenges in the UNFCCC may entail a significant shift in our focus. The completion &amp; launch of the FNS advocacy strategy will enable more focus on cultivating wider engagement in CARE &amp; deepening our policy work in this area."/>
    <s v="No formal evaluation documents produced. Informal conversation held with key colleagues at mid-point in FY (negotiations run on calendar year)."/>
    <n v="0"/>
    <n v="0"/>
    <s v=""/>
    <s v=""/>
    <s v=""/>
    <n v="0"/>
    <n v="0"/>
    <s v=""/>
    <n v="0"/>
    <n v="0"/>
    <s v=""/>
    <n v="1"/>
    <n v="0"/>
    <n v="0"/>
    <s v=""/>
    <s v=""/>
    <n v="0"/>
    <n v="0"/>
    <s v=""/>
    <s v=""/>
    <n v="0"/>
    <n v="0"/>
    <s v=""/>
    <n v="1"/>
    <n v="0"/>
    <n v="0"/>
    <s v=""/>
    <s v="No marker score"/>
    <s v="No marker score"/>
    <s v="No marker score"/>
    <n v="0"/>
    <s v="Intensive advocacy"/>
    <s v="It linked and worked with strategic alliances and partners to take tested and effective solutions to scale"/>
  </r>
  <r>
    <x v="78"/>
    <x v="6"/>
    <m/>
    <s v="UNFPA Funding"/>
    <s v="United States of America"/>
    <m/>
    <s v="CARE USA"/>
    <m/>
    <m/>
    <m/>
    <m/>
    <m/>
    <m/>
    <m/>
    <m/>
    <m/>
    <m/>
    <m/>
    <m/>
    <m/>
    <m/>
    <m/>
    <m/>
    <m/>
    <m/>
    <m/>
    <m/>
    <m/>
    <m/>
    <m/>
    <m/>
    <m/>
    <m/>
    <m/>
    <m/>
    <m/>
    <m/>
    <m/>
    <m/>
    <m/>
    <m/>
    <m/>
    <m/>
    <m/>
    <m/>
    <m/>
    <m/>
    <m/>
    <m/>
    <m/>
    <m/>
    <m/>
    <m/>
    <m/>
    <m/>
    <d v="2017-01-03T00:00:00"/>
    <m/>
    <m/>
    <s v="Development Sexual, Reproductive and Maternal Health (SRMH)"/>
    <m/>
    <s v="Amanda Mathies"/>
    <s v="MEL Program Officer"/>
    <s v="amathies@care.org"/>
    <s v="Ben Weingrod"/>
    <s v="Senior Policy Advocate"/>
    <s v="bweingrod@care.org"/>
    <s v="YES"/>
    <s v="YES"/>
    <s v="YES"/>
    <s v="Advocating for the US government to support robust funding for international family planning, including funding for the United Nationas Population Fund (UNFPA) of at least $37.5 million."/>
    <s v="Global"/>
    <m/>
    <s v="women and girls receiving sexual and reproductive health and rights care, particularly those in crisis settings"/>
    <m/>
    <m/>
    <m/>
    <m/>
    <m/>
    <m/>
    <s v="Individuals or groups who were directly engaged in action towards change in this policy included the US Congress, USAID, and the US State Department. Due to the nature of this advocacy initiative direct and indirect participants are not calculated. However, this policy will impact humanitarian and development work around the world if implemented, particularly women and girls in need of SRHR services including in crisis settings"/>
    <m/>
    <m/>
    <m/>
    <m/>
    <m/>
    <m/>
    <m/>
    <s v="NO"/>
    <m/>
    <m/>
    <m/>
    <s v="NO"/>
    <m/>
    <m/>
    <m/>
    <s v="NO"/>
    <m/>
    <m/>
    <m/>
    <s v="NO"/>
    <m/>
    <m/>
    <m/>
    <s v="NO"/>
    <m/>
    <m/>
    <m/>
    <s v="NO"/>
    <m/>
    <m/>
    <m/>
    <s v="NO"/>
    <m/>
    <m/>
    <m/>
    <s v="NO"/>
    <m/>
    <m/>
    <m/>
    <s v="NO"/>
    <m/>
    <m/>
    <m/>
    <s v="YES"/>
    <m/>
    <m/>
    <m/>
    <s v="NO"/>
    <m/>
    <m/>
    <m/>
    <s v="NO"/>
    <m/>
    <m/>
    <m/>
    <m/>
    <m/>
    <m/>
    <m/>
    <m/>
    <m/>
    <m/>
    <m/>
    <m/>
    <m/>
    <m/>
    <s v="NO"/>
    <m/>
    <m/>
    <m/>
    <s v="NO"/>
    <m/>
    <m/>
    <m/>
    <s v="NO"/>
    <m/>
    <m/>
    <m/>
    <s v="NO"/>
    <m/>
    <m/>
    <m/>
    <s v="NO"/>
    <m/>
    <m/>
    <m/>
    <s v="NO"/>
    <m/>
    <m/>
    <m/>
    <s v="NO"/>
    <m/>
    <m/>
    <m/>
    <s v="NO"/>
    <m/>
    <m/>
    <m/>
    <s v="NO"/>
    <m/>
    <m/>
    <m/>
    <s v="NO"/>
    <m/>
    <m/>
    <m/>
    <s v="NO"/>
    <m/>
    <m/>
    <m/>
    <s v="NO"/>
    <m/>
    <m/>
    <m/>
    <s v="NO"/>
    <m/>
    <m/>
    <m/>
    <s v="YES"/>
    <m/>
    <m/>
    <m/>
    <s v="NO"/>
    <m/>
    <m/>
    <m/>
    <s v="NO"/>
    <m/>
    <m/>
    <m/>
    <m/>
    <m/>
    <m/>
    <m/>
    <m/>
    <s v="NO"/>
    <m/>
    <m/>
    <m/>
    <s v="NO"/>
    <m/>
    <m/>
    <m/>
    <x v="2"/>
    <s v="NO"/>
    <s v="NO"/>
    <s v="NO"/>
    <s v="NO"/>
    <s v="NO"/>
    <s v="NO"/>
    <s v="YES"/>
    <m/>
    <m/>
    <x v="3"/>
    <m/>
    <x v="2"/>
    <m/>
    <x v="3"/>
    <x v="2"/>
    <m/>
    <x v="2"/>
    <x v="2"/>
    <x v="2"/>
    <x v="3"/>
    <n v="0"/>
    <x v="0"/>
    <x v="0"/>
    <x v="0"/>
    <x v="0"/>
    <x v="0"/>
    <x v="0"/>
    <n v="0"/>
    <x v="0"/>
    <x v="0"/>
    <x v="0"/>
    <x v="0"/>
    <x v="0"/>
    <n v="0"/>
    <x v="1"/>
    <x v="3"/>
    <m/>
    <s v="International NGO(s)"/>
    <s v="National government"/>
    <s v="Grassroots organization(s)"/>
    <x v="3"/>
    <m/>
    <m/>
    <m/>
    <m/>
    <m/>
    <s v="The current political environment presents significant challenges to successful proactive advocacy, resources need to be focused on defensive work to prevent funding cuts and implementation of bad policies (as opposed to calling for increased funding and improving policies)."/>
    <m/>
    <m/>
    <m/>
    <m/>
    <n v="0"/>
    <n v="0"/>
    <s v=""/>
    <s v=""/>
    <s v=""/>
    <n v="0"/>
    <n v="0"/>
    <n v="1"/>
    <n v="0"/>
    <n v="0"/>
    <s v=""/>
    <s v=""/>
    <n v="0"/>
    <n v="0"/>
    <s v=""/>
    <n v="1"/>
    <n v="0"/>
    <n v="0"/>
    <s v=""/>
    <s v=""/>
    <n v="0"/>
    <n v="0"/>
    <s v=""/>
    <s v=""/>
    <n v="0"/>
    <n v="0"/>
    <s v=""/>
    <s v="No marker score"/>
    <s v="No marker score"/>
    <s v="No marker score"/>
    <n v="0"/>
    <s v="Intensive advocacy"/>
    <n v="0"/>
  </r>
  <r>
    <x v="78"/>
    <x v="6"/>
    <m/>
    <s v="UNHCR Annual Consultations with NGOs_CARE USA"/>
    <s v="United States of America"/>
    <m/>
    <s v="CARE USA"/>
    <m/>
    <m/>
    <m/>
    <m/>
    <m/>
    <m/>
    <m/>
    <m/>
    <m/>
    <m/>
    <m/>
    <m/>
    <m/>
    <m/>
    <m/>
    <m/>
    <m/>
    <m/>
    <m/>
    <m/>
    <m/>
    <m/>
    <m/>
    <m/>
    <m/>
    <m/>
    <m/>
    <m/>
    <m/>
    <m/>
    <m/>
    <m/>
    <m/>
    <m/>
    <m/>
    <m/>
    <m/>
    <m/>
    <m/>
    <m/>
    <m/>
    <m/>
    <m/>
    <m/>
    <m/>
    <m/>
    <m/>
    <m/>
    <d v="2017-06-14T00:00:00"/>
    <d v="2017-06-16T00:00:00"/>
    <m/>
    <s v="Humanitarian Other"/>
    <m/>
    <s v="Amanda Mathies"/>
    <s v="MEL Officer"/>
    <s v="amathies@care.org"/>
    <s v="Joe Read"/>
    <s v="Global Advocacy Advisor"/>
    <s v="joe.read@care.org"/>
    <s v="YES"/>
    <s v="NO"/>
    <s v="NO"/>
    <s v="CARE's primary goal for the consultations was to raise questions and concerns with UNHCR regarding CO partnership with UNHCR in a number of contexts, as well as in the four famines contexts (and related refugee crises) particularly."/>
    <s v="Global"/>
    <m/>
    <s v="Refugees and host communities, specifically women &amp; girls (and other affected populations with protection risks)"/>
    <m/>
    <m/>
    <m/>
    <m/>
    <m/>
    <m/>
    <s v="Due to the nature of this advocacy initiative direct and indirect participants are difficult to calculate. Direct participants includes Nile Hope (CARE South Sudan local partner) and indirect would include refugees and host communities."/>
    <m/>
    <m/>
    <m/>
    <m/>
    <m/>
    <m/>
    <m/>
    <m/>
    <m/>
    <m/>
    <m/>
    <m/>
    <m/>
    <m/>
    <m/>
    <m/>
    <m/>
    <m/>
    <m/>
    <m/>
    <m/>
    <m/>
    <m/>
    <m/>
    <m/>
    <m/>
    <m/>
    <m/>
    <m/>
    <m/>
    <m/>
    <m/>
    <m/>
    <m/>
    <m/>
    <m/>
    <m/>
    <m/>
    <m/>
    <m/>
    <m/>
    <m/>
    <m/>
    <m/>
    <m/>
    <m/>
    <m/>
    <m/>
    <m/>
    <m/>
    <m/>
    <m/>
    <m/>
    <m/>
    <m/>
    <m/>
    <m/>
    <m/>
    <m/>
    <m/>
    <m/>
    <m/>
    <m/>
    <m/>
    <m/>
    <m/>
    <m/>
    <m/>
    <m/>
    <m/>
    <m/>
    <m/>
    <m/>
    <m/>
    <m/>
    <m/>
    <m/>
    <m/>
    <m/>
    <m/>
    <m/>
    <m/>
    <m/>
    <m/>
    <m/>
    <m/>
    <m/>
    <m/>
    <m/>
    <m/>
    <m/>
    <m/>
    <m/>
    <m/>
    <m/>
    <m/>
    <m/>
    <m/>
    <m/>
    <m/>
    <m/>
    <m/>
    <m/>
    <m/>
    <m/>
    <m/>
    <m/>
    <m/>
    <m/>
    <m/>
    <m/>
    <m/>
    <m/>
    <m/>
    <m/>
    <m/>
    <m/>
    <m/>
    <m/>
    <m/>
    <m/>
    <m/>
    <m/>
    <m/>
    <m/>
    <m/>
    <m/>
    <m/>
    <m/>
    <m/>
    <m/>
    <m/>
    <m/>
    <m/>
    <m/>
    <s v="NO"/>
    <m/>
    <m/>
    <s v="NO"/>
    <s v="NO"/>
    <m/>
    <m/>
    <m/>
    <x v="1"/>
    <s v="NO"/>
    <s v="NO"/>
    <s v="NO"/>
    <s v="NO"/>
    <s v="YES"/>
    <s v="NO"/>
    <s v="NO"/>
    <s v="NO"/>
    <m/>
    <x v="3"/>
    <m/>
    <x v="2"/>
    <m/>
    <x v="1"/>
    <x v="2"/>
    <m/>
    <x v="2"/>
    <x v="2"/>
    <x v="2"/>
    <x v="3"/>
    <n v="0"/>
    <x v="0"/>
    <x v="0"/>
    <x v="0"/>
    <x v="0"/>
    <x v="0"/>
    <x v="0"/>
    <n v="0"/>
    <x v="0"/>
    <x v="0"/>
    <x v="0"/>
    <x v="0"/>
    <x v="0"/>
    <n v="0"/>
    <x v="1"/>
    <x v="3"/>
    <m/>
    <s v="International NGO(s)"/>
    <s v="Local NGO(s)/CSO(s)"/>
    <s v="Multilateral organization(s)"/>
    <x v="2"/>
    <s v="Somewhat - NGO cooridnation supported by ICVA and Interaction"/>
    <m/>
    <s v="Multi-stakeholder alliances, "/>
    <s v="evidence-based awareness raising"/>
    <m/>
    <s v="Need to expand the approach of collecting inputs from COs that have partnership agreements with UNHCR to other UN consultation processes (e.g. with IOM, WFP) to improve evidence-basis of engagement in consultations"/>
    <m/>
    <m/>
    <s v="Need to expand the size of CARE delegation to UNHCR NGO consultations in future to participate in more of the sessions while taking meetings with desk officers. Would be useful for CARE to be more visible during the NGO side event before the consultations._x000a_Extent of linking with partners: Linked with ICVA, Interaction and other INGOs participating in the consultations, particularly Women's Refugee Commission_x000a_Mainstream GBV: addressed GBV as part of protection-focused conversations with UNHCR (as protection lead agency)"/>
    <m/>
    <n v="0"/>
    <n v="0"/>
    <s v=""/>
    <s v=""/>
    <s v=""/>
    <n v="0"/>
    <n v="0"/>
    <n v="1"/>
    <n v="0"/>
    <n v="0"/>
    <s v=""/>
    <s v=""/>
    <n v="0"/>
    <n v="0"/>
    <s v=""/>
    <s v=""/>
    <n v="0"/>
    <n v="0"/>
    <s v=""/>
    <s v=""/>
    <n v="0"/>
    <n v="0"/>
    <s v=""/>
    <s v=""/>
    <n v="0"/>
    <n v="0"/>
    <s v=""/>
    <s v="No marker score"/>
    <s v="No marker score"/>
    <s v="No marker score"/>
    <n v="0"/>
    <s v="Moderate advocacy"/>
    <n v="0"/>
  </r>
  <r>
    <x v="79"/>
    <x v="0"/>
    <n v="3692"/>
    <s v="Emergency WASH response to El Nino in Vanuatu"/>
    <s v="Vanuatu"/>
    <s v="57871/10"/>
    <s v="CARE Australia"/>
    <s v="Government"/>
    <s v="Government - Australia"/>
    <s v="DFAT-Australia"/>
    <m/>
    <m/>
    <m/>
    <m/>
    <m/>
    <m/>
    <m/>
    <m/>
    <m/>
    <m/>
    <m/>
    <m/>
    <m/>
    <m/>
    <m/>
    <m/>
    <m/>
    <m/>
    <m/>
    <m/>
    <m/>
    <m/>
    <m/>
    <m/>
    <m/>
    <m/>
    <m/>
    <m/>
    <m/>
    <m/>
    <m/>
    <m/>
    <m/>
    <m/>
    <m/>
    <m/>
    <m/>
    <m/>
    <m/>
    <m/>
    <m/>
    <m/>
    <m/>
    <m/>
    <m/>
    <d v="2016-01-13T00:00:00"/>
    <d v="2016-10-31T00:00:00"/>
    <m/>
    <s v="Humanitarian Other"/>
    <n v="232548"/>
    <s v="Megan Chisholm"/>
    <s v="Country Director"/>
    <s v="megan.chisholm@careint.org"/>
    <s v="Kieren Davis"/>
    <s v="WASH Program Manger"/>
    <s v="kieren.davis@careint.org"/>
    <s v="YES"/>
    <s v="NO"/>
    <s v="NO"/>
    <s v="To provide vulnerable communities with life-saving and sustainable options to improve water, sanitation, and hygiene (WASH) in Tafea and Shefa Provinces, Vanuatu to better cope with the effects of El Niño related drought."/>
    <s v="Sub-National"/>
    <s v="South East Whitesands and West Tanna island Tafea province and Shefa province Vanuatu"/>
    <s v="women , men, girls and boys and people with a disability"/>
    <n v="5414"/>
    <n v="5414"/>
    <n v="10828"/>
    <n v="1561"/>
    <n v="1561"/>
    <n v="3122"/>
    <s v="The direct participants collected from the training, awareness form from training and emergency water tracking including desalination and distribution while indirect participants are the community population of the project target sites including SMS hygiene promotion."/>
    <m/>
    <n v="9645"/>
    <n v="8920"/>
    <n v="18565"/>
    <n v="16489"/>
    <n v="16722"/>
    <n v="33211"/>
    <s v="NO"/>
    <m/>
    <m/>
    <m/>
    <s v="NO"/>
    <m/>
    <m/>
    <m/>
    <s v="NO"/>
    <m/>
    <m/>
    <m/>
    <s v="NO"/>
    <m/>
    <m/>
    <m/>
    <s v="NO"/>
    <m/>
    <m/>
    <m/>
    <s v="NO"/>
    <m/>
    <m/>
    <m/>
    <s v="NO"/>
    <m/>
    <m/>
    <m/>
    <s v="NO"/>
    <m/>
    <m/>
    <m/>
    <s v="NO"/>
    <m/>
    <m/>
    <m/>
    <s v="NO"/>
    <m/>
    <m/>
    <m/>
    <s v="NO"/>
    <m/>
    <m/>
    <m/>
    <s v="YES"/>
    <n v="18565"/>
    <n v="0.52"/>
    <n v="33211"/>
    <m/>
    <m/>
    <m/>
    <m/>
    <m/>
    <m/>
    <m/>
    <m/>
    <m/>
    <m/>
    <m/>
    <m/>
    <m/>
    <m/>
    <m/>
    <m/>
    <m/>
    <m/>
    <m/>
    <m/>
    <m/>
    <m/>
    <m/>
    <m/>
    <m/>
    <m/>
    <m/>
    <m/>
    <m/>
    <m/>
    <m/>
    <m/>
    <m/>
    <m/>
    <m/>
    <m/>
    <m/>
    <m/>
    <m/>
    <m/>
    <m/>
    <m/>
    <m/>
    <m/>
    <m/>
    <m/>
    <m/>
    <m/>
    <m/>
    <m/>
    <m/>
    <m/>
    <m/>
    <m/>
    <m/>
    <m/>
    <m/>
    <m/>
    <m/>
    <m/>
    <m/>
    <m/>
    <m/>
    <m/>
    <m/>
    <m/>
    <m/>
    <m/>
    <m/>
    <m/>
    <m/>
    <m/>
    <m/>
    <m/>
    <m/>
    <m/>
    <m/>
    <m/>
    <m/>
    <m/>
    <s v="NO"/>
    <m/>
    <m/>
    <s v="NO"/>
    <s v="NO"/>
    <m/>
    <m/>
    <m/>
    <x v="1"/>
    <s v="NO"/>
    <s v="NO"/>
    <s v="YES"/>
    <s v="NO"/>
    <s v="YES"/>
    <s v="NO"/>
    <s v="NO"/>
    <s v="YES"/>
    <s v="highly gender and protection focused response engaging partners and the sector in disucssion on gender and socially inclusive WASH responses"/>
    <x v="2"/>
    <s v="gender awareness training proir to engagement on activities, Women in WASH storians, gender action plan and employment of female WASH technical staff"/>
    <x v="1"/>
    <s v="gender and social inclusion in humanitarian reponse"/>
    <x v="1"/>
    <x v="1"/>
    <s v="YES"/>
    <x v="0"/>
    <x v="0"/>
    <x v="0"/>
    <x v="2"/>
    <n v="4"/>
    <x v="1"/>
    <x v="1"/>
    <x v="1"/>
    <x v="1"/>
    <x v="1"/>
    <x v="1"/>
    <n v="4"/>
    <x v="3"/>
    <x v="2"/>
    <x v="1"/>
    <x v="1"/>
    <x v="5"/>
    <n v="2"/>
    <x v="0"/>
    <x v="2"/>
    <n v="3"/>
    <s v="International NGO(s)"/>
    <s v="Local government(s)"/>
    <s v="Local NGO(s)/CSO(s)"/>
    <x v="2"/>
    <s v="lessons learned workshops on WASH in slow onset emergencies and also gender WASH in emergencies"/>
    <m/>
    <s v="gender analysis and development of gender action plan"/>
    <s v="community WASH planning with gender balanced committees"/>
    <s v="focus on protection and social inclusion"/>
    <s v="focus on gender and appointment of a GESI officer to take forward the actions identified in the gender action plan"/>
    <s v="women in wash storian process and engaging men in these processes to affect changes in attitudes and community action"/>
    <s v="introducing MHM kits to communities has been a great way to breakdown taboo around MHM in communities"/>
    <m/>
    <m/>
    <n v="18565"/>
    <n v="33211"/>
    <n v="1.7889038513331539"/>
    <n v="0.51952598976568809"/>
    <n v="0.49649212610279725"/>
    <n v="9645"/>
    <n v="16489"/>
    <n v="1"/>
    <n v="18565"/>
    <n v="33211"/>
    <n v="1.7889038513331539"/>
    <s v=""/>
    <n v="0"/>
    <n v="0"/>
    <s v=""/>
    <s v=""/>
    <n v="0"/>
    <n v="0"/>
    <s v=""/>
    <s v=""/>
    <n v="0"/>
    <n v="0"/>
    <s v=""/>
    <s v=""/>
    <n v="0"/>
    <n v="0"/>
    <s v=""/>
    <s v="4. Transformative"/>
    <s v="2. Accommodating"/>
    <s v="3. Responsive"/>
    <s v="It tested new ways for fighting poverty and measured results of innovation"/>
    <s v="Moderate advocacy"/>
    <s v="It linked and worked with strategic alliances and partners to take tested and effective solutions to scale"/>
  </r>
  <r>
    <x v="79"/>
    <x v="0"/>
    <n v="3690"/>
    <s v="Increasing small island Resilience to Climate Change and disasters in Vanuatu"/>
    <s v="Vanuatu"/>
    <s v="ANC10"/>
    <s v="CARE Australia"/>
    <s v="Government"/>
    <s v="Government - Australia"/>
    <s v="DFAT-Australia"/>
    <m/>
    <m/>
    <m/>
    <m/>
    <m/>
    <m/>
    <m/>
    <m/>
    <m/>
    <m/>
    <m/>
    <m/>
    <m/>
    <m/>
    <m/>
    <m/>
    <m/>
    <m/>
    <m/>
    <m/>
    <m/>
    <m/>
    <m/>
    <m/>
    <m/>
    <m/>
    <m/>
    <m/>
    <m/>
    <m/>
    <m/>
    <m/>
    <m/>
    <m/>
    <m/>
    <m/>
    <m/>
    <m/>
    <m/>
    <m/>
    <m/>
    <m/>
    <m/>
    <m/>
    <m/>
    <d v="2014-07-01T00:00:00"/>
    <d v="2017-06-30T00:00:00"/>
    <m/>
    <s v="Development Food &amp; Nutrition Security and Resilience to Climate Change"/>
    <m/>
    <s v="Megan Chisholm"/>
    <s v="Country Director"/>
    <m/>
    <s v="Charlie Damon"/>
    <s v="Program Director"/>
    <m/>
    <s v="NO"/>
    <s v="YES"/>
    <s v="NO"/>
    <s v="This project strengthens community resilience to disasters and climate change and supports Provincial structures to strengthen gender and social inclusive disaster response plans. At the national level, it advocates and implements women-led gender and social inclusive preparedness and response policy"/>
    <s v="National"/>
    <s v="Tafea Province and Port Vila"/>
    <s v="the impact group are women, men, young people and vulnerable groups in target sites"/>
    <n v="1161"/>
    <n v="1232"/>
    <n v="2393"/>
    <n v="1671"/>
    <n v="1671"/>
    <n v="3342"/>
    <s v="The Direct beneficiaries of this action are  at the community level - women, men, boys, girls people with a disability, CDCCC members, WASH committee members, Area secretaries. At the provincial level direct participants are provincial governement staff - from disaster, agriculture, water and the secretary general and members of the Provincial disaster committee. At the national level direct participants include members of the gender and protection cluster and other clusters/working groups, the National Disaster Management office. Indirect beneficiaries are the population of Vanuatu."/>
    <m/>
    <m/>
    <m/>
    <m/>
    <m/>
    <m/>
    <m/>
    <m/>
    <m/>
    <m/>
    <m/>
    <m/>
    <m/>
    <m/>
    <m/>
    <m/>
    <m/>
    <m/>
    <m/>
    <m/>
    <m/>
    <m/>
    <m/>
    <m/>
    <m/>
    <m/>
    <m/>
    <m/>
    <m/>
    <m/>
    <m/>
    <m/>
    <m/>
    <m/>
    <m/>
    <m/>
    <m/>
    <m/>
    <m/>
    <m/>
    <m/>
    <m/>
    <m/>
    <m/>
    <m/>
    <m/>
    <m/>
    <m/>
    <m/>
    <m/>
    <m/>
    <m/>
    <m/>
    <m/>
    <m/>
    <m/>
    <m/>
    <m/>
    <m/>
    <m/>
    <n v="2367"/>
    <n v="2420"/>
    <n v="4787"/>
    <n v="696"/>
    <n v="749"/>
    <n v="1445"/>
    <s v="NO"/>
    <m/>
    <m/>
    <m/>
    <s v="YES"/>
    <n v="4787"/>
    <n v="0.49"/>
    <n v="1445"/>
    <s v="NO"/>
    <m/>
    <m/>
    <m/>
    <s v="YES"/>
    <n v="4787"/>
    <n v="0.49"/>
    <n v="1445"/>
    <s v="NO"/>
    <m/>
    <m/>
    <m/>
    <s v="NO"/>
    <m/>
    <m/>
    <m/>
    <s v="NO"/>
    <m/>
    <m/>
    <m/>
    <s v="NO"/>
    <m/>
    <m/>
    <m/>
    <s v="NO"/>
    <m/>
    <m/>
    <m/>
    <s v="NO"/>
    <m/>
    <m/>
    <m/>
    <s v="NO"/>
    <m/>
    <m/>
    <m/>
    <s v="NO"/>
    <m/>
    <m/>
    <m/>
    <s v="NO"/>
    <m/>
    <m/>
    <m/>
    <s v="NO"/>
    <m/>
    <m/>
    <m/>
    <s v="NO"/>
    <m/>
    <m/>
    <m/>
    <s v="NO"/>
    <m/>
    <m/>
    <m/>
    <m/>
    <s v="NO"/>
    <m/>
    <m/>
    <m/>
    <s v="YES"/>
    <s v="February"/>
    <n v="2017"/>
    <s v="NO"/>
    <s v="NO"/>
    <m/>
    <m/>
    <m/>
    <x v="1"/>
    <s v="YES"/>
    <s v="NO"/>
    <s v="YES"/>
    <s v="YES"/>
    <s v="YES"/>
    <s v="YES"/>
    <s v="NO"/>
    <s v="NO"/>
    <m/>
    <x v="2"/>
    <s v="ensured gender balanced teams were included in government sponsered guidelines for the CDCCC"/>
    <x v="1"/>
    <s v="worked in a coalition with other INGOs to ensure CBDRR handbook and provincial planning is inclusive of gender"/>
    <x v="0"/>
    <x v="1"/>
    <s v="YES"/>
    <x v="0"/>
    <x v="1"/>
    <x v="0"/>
    <x v="4"/>
    <n v="3"/>
    <x v="2"/>
    <x v="2"/>
    <x v="1"/>
    <x v="1"/>
    <x v="1"/>
    <x v="5"/>
    <n v="3"/>
    <x v="3"/>
    <x v="1"/>
    <x v="1"/>
    <x v="1"/>
    <x v="4"/>
    <n v="3"/>
    <x v="3"/>
    <x v="0"/>
    <n v="4"/>
    <s v="Local NGO(s)/CSO(s)"/>
    <s v="Local government(s)"/>
    <s v="Local alliance(s)/Platform(s)/Network(s) of  NGOs/CSOs"/>
    <x v="2"/>
    <s v="supported increased understanding of gender responsive /transformative programming through the gender and protection cluster"/>
    <m/>
    <s v="The setting of the gender balance (50% man and 50% woman) CDCCC in 10 communities out of 29 communities"/>
    <s v="The development of the Provincial Disaster and Climate change mangement plan"/>
    <s v="community planning for responding to climate change and disasters"/>
    <s v="CDCCCs was really effective and working well but if CARE stops working with the communities the sustainability of the CDCCCs maybe affected due to the lack of resources."/>
    <s v="Gender situation difficult for women in Tanna especially with regard to leadership of CDCCCs and so CARE had to really focus on gender awareness training for communities to encourage appointment of women to leadership roles."/>
    <s v="Demo plots some of the demo plots were successful, but others were struggling because of the severe weather (Drought) and no water so it is not successful"/>
    <m/>
    <s v="endline"/>
    <n v="4787"/>
    <n v="1445"/>
    <n v="0.30185920200543137"/>
    <n v="0.49446417380405266"/>
    <n v="0.48166089965397924"/>
    <n v="2367"/>
    <n v="696"/>
    <s v=""/>
    <n v="0"/>
    <n v="0"/>
    <s v=""/>
    <n v="1"/>
    <n v="4787"/>
    <n v="1445"/>
    <n v="0.30185920200543137"/>
    <s v=""/>
    <n v="0"/>
    <n v="0"/>
    <s v=""/>
    <s v=""/>
    <n v="0"/>
    <n v="0"/>
    <s v=""/>
    <s v=""/>
    <n v="0"/>
    <n v="0"/>
    <s v=""/>
    <s v="3. Responsive"/>
    <s v="3. Responsive"/>
    <s v="4. Transformative"/>
    <s v="It tested new ways for fighting poverty and measured results of innovation"/>
    <s v="Moderate advocacy"/>
    <s v="It linked and worked with strategic alliances and partners to take tested and effective solutions to scale"/>
  </r>
  <r>
    <x v="79"/>
    <x v="0"/>
    <n v="3693"/>
    <s v="PREVENT- Preparedness and Response for the most Vulnerable communities to El Niño in TAFEA"/>
    <s v="Vanuatu"/>
    <s v="VUT011"/>
    <s v="CARE Australia"/>
    <s v="Government"/>
    <s v="Government - US"/>
    <s v="OFDA"/>
    <m/>
    <m/>
    <m/>
    <m/>
    <m/>
    <m/>
    <m/>
    <m/>
    <m/>
    <m/>
    <m/>
    <m/>
    <m/>
    <m/>
    <m/>
    <m/>
    <m/>
    <m/>
    <m/>
    <m/>
    <m/>
    <m/>
    <m/>
    <m/>
    <m/>
    <m/>
    <m/>
    <m/>
    <m/>
    <m/>
    <m/>
    <m/>
    <m/>
    <m/>
    <m/>
    <m/>
    <m/>
    <m/>
    <m/>
    <m/>
    <m/>
    <m/>
    <m/>
    <m/>
    <m/>
    <d v="2015-12-15T00:00:00"/>
    <d v="2016-12-15T00:00:00"/>
    <d v="2017-04-21T00:00:00"/>
    <s v="Humanitarian Other"/>
    <n v="1002898"/>
    <s v="Megan Chisholm"/>
    <s v="Country Director"/>
    <s v="megan.chisholm@careint.org"/>
    <s v="Kieren Davis"/>
    <s v="WASH Program Manger"/>
    <s v="kieren.davis@careint.org"/>
    <s v="YES"/>
    <s v="YES"/>
    <s v="YES"/>
    <s v="The PREVENT project aim is to increase the preparedness and adaptive capacity of vulnerable individuals in Tafea Province to respond to decreased water availability due to El Niño by building on existing cultural traditions, government structures, and community management systems."/>
    <s v="Sub-National"/>
    <s v="Islands of Futuna, Anietyum, Erromango and Whitesands area in Tanna."/>
    <s v="Women, children, people with a disability, men and other vulnerabile members of target communities in Tafea Province"/>
    <n v="3409"/>
    <n v="3348"/>
    <n v="6757"/>
    <n v="3446"/>
    <n v="3414"/>
    <n v="6860"/>
    <s v="The direct participants collected from project activities and indirect participants are the community population."/>
    <m/>
    <n v="1386"/>
    <n v="1443"/>
    <n v="2829"/>
    <n v="3446"/>
    <n v="3414"/>
    <n v="6860"/>
    <s v="NO"/>
    <m/>
    <m/>
    <m/>
    <s v="NO"/>
    <m/>
    <m/>
    <m/>
    <s v="NO"/>
    <m/>
    <m/>
    <m/>
    <s v="NO"/>
    <m/>
    <m/>
    <m/>
    <s v="NO"/>
    <m/>
    <m/>
    <m/>
    <s v="NO"/>
    <m/>
    <m/>
    <m/>
    <s v="NO"/>
    <m/>
    <m/>
    <m/>
    <s v="NO"/>
    <m/>
    <m/>
    <m/>
    <s v="NO"/>
    <m/>
    <m/>
    <m/>
    <s v="NO"/>
    <m/>
    <m/>
    <m/>
    <s v="NO"/>
    <m/>
    <m/>
    <m/>
    <s v="YES"/>
    <n v="2829"/>
    <n v="0.49"/>
    <n v="6860"/>
    <m/>
    <s v="NO"/>
    <m/>
    <m/>
    <m/>
    <n v="1386"/>
    <n v="1443"/>
    <n v="2829"/>
    <n v="3446"/>
    <n v="3414"/>
    <n v="6860"/>
    <s v="NO"/>
    <m/>
    <m/>
    <m/>
    <s v="NO"/>
    <m/>
    <m/>
    <m/>
    <s v="NO"/>
    <m/>
    <m/>
    <m/>
    <s v="NO"/>
    <m/>
    <m/>
    <m/>
    <s v="NO"/>
    <m/>
    <m/>
    <m/>
    <s v="NO"/>
    <m/>
    <m/>
    <m/>
    <s v="NO"/>
    <m/>
    <m/>
    <m/>
    <s v="NO"/>
    <m/>
    <m/>
    <m/>
    <s v="NO"/>
    <m/>
    <m/>
    <m/>
    <s v="NO"/>
    <m/>
    <m/>
    <m/>
    <s v="NO"/>
    <m/>
    <m/>
    <m/>
    <s v="NO"/>
    <m/>
    <m/>
    <m/>
    <s v="NO"/>
    <m/>
    <m/>
    <m/>
    <s v="YES"/>
    <m/>
    <m/>
    <m/>
    <s v="YES"/>
    <n v="2829"/>
    <n v="0.49"/>
    <n v="6860"/>
    <s v="NO"/>
    <m/>
    <m/>
    <m/>
    <m/>
    <s v="NO"/>
    <m/>
    <m/>
    <m/>
    <s v="YES"/>
    <s v="June"/>
    <n v="2017"/>
    <s v="NO"/>
    <s v="NO"/>
    <m/>
    <m/>
    <m/>
    <x v="1"/>
    <s v="NO"/>
    <s v="NO"/>
    <s v="YES"/>
    <s v="NO"/>
    <s v="YES"/>
    <s v="NO"/>
    <s v="NO"/>
    <s v="NO"/>
    <m/>
    <x v="2"/>
    <s v="use of female technical staff as role models, MHM interventions"/>
    <x v="0"/>
    <m/>
    <x v="0"/>
    <x v="1"/>
    <s v="NO"/>
    <x v="0"/>
    <x v="1"/>
    <x v="0"/>
    <x v="4"/>
    <n v="2"/>
    <x v="1"/>
    <x v="1"/>
    <x v="1"/>
    <x v="1"/>
    <x v="1"/>
    <x v="1"/>
    <n v="4"/>
    <x v="3"/>
    <x v="2"/>
    <x v="1"/>
    <x v="1"/>
    <x v="5"/>
    <n v="2"/>
    <x v="0"/>
    <x v="0"/>
    <n v="1"/>
    <s v="Local government(s)"/>
    <m/>
    <m/>
    <x v="1"/>
    <m/>
    <s v="increased engagement with local government"/>
    <s v="Engaging women in committees"/>
    <s v="Use of female plumbers to change attitudes"/>
    <s v="Gender awareness with activities"/>
    <s v="Continue to work with committees to reach 50% women on Water committees"/>
    <s v="Take women from active committees to take part in other activities to share experience and knowledge"/>
    <s v="To increase engagement with local government"/>
    <m/>
    <m/>
    <n v="2829"/>
    <n v="6860"/>
    <n v="2.4248851184164018"/>
    <n v="0.48992576882290562"/>
    <n v="0.502332361516035"/>
    <n v="1386"/>
    <n v="3446"/>
    <n v="1"/>
    <n v="2829"/>
    <n v="6860"/>
    <n v="2.4248851184164018"/>
    <n v="1"/>
    <n v="2829"/>
    <n v="6860"/>
    <n v="2.4248851184164018"/>
    <n v="1"/>
    <n v="0"/>
    <n v="0"/>
    <s v=""/>
    <s v=""/>
    <n v="0"/>
    <n v="0"/>
    <s v=""/>
    <s v=""/>
    <n v="0"/>
    <n v="0"/>
    <s v=""/>
    <s v="3. Responsive"/>
    <s v="2. Accommodating"/>
    <s v="3. Responsive"/>
    <s v="It tested new ways for fighting poverty and measured results of innovation"/>
    <s v="Moderate advocacy"/>
    <s v="It did not take tested solutions to scale"/>
  </r>
  <r>
    <x v="79"/>
    <x v="0"/>
    <n v="3694"/>
    <s v="Tropical Cyclone Pam Recovery Programme to the UNICEF Multi-Country Programme for Pacific Island Countries"/>
    <s v="Vanuatu"/>
    <s v="VUT012"/>
    <s v="CARE Australia"/>
    <s v="Multilateral agency"/>
    <s v="UN - United Nations agencies/offices"/>
    <s v="UNICEF"/>
    <m/>
    <m/>
    <m/>
    <m/>
    <m/>
    <m/>
    <m/>
    <m/>
    <m/>
    <m/>
    <m/>
    <m/>
    <m/>
    <m/>
    <m/>
    <m/>
    <m/>
    <m/>
    <m/>
    <m/>
    <m/>
    <m/>
    <m/>
    <m/>
    <m/>
    <m/>
    <m/>
    <m/>
    <m/>
    <m/>
    <m/>
    <m/>
    <m/>
    <m/>
    <m/>
    <m/>
    <m/>
    <m/>
    <m/>
    <m/>
    <m/>
    <m/>
    <m/>
    <m/>
    <m/>
    <d v="2015-11-20T00:00:00"/>
    <d v="2016-11-19T00:00:00"/>
    <d v="2017-04-21T00:00:00"/>
    <s v="Humanitarian Other"/>
    <n v="497355"/>
    <s v="Megan Chisholm"/>
    <s v="Country Director"/>
    <s v="megan.chisholm@careint.org"/>
    <s v="Kieren Davis"/>
    <s v="WASH Program Manger"/>
    <s v="kieren.davis@careint.org"/>
    <s v="YES"/>
    <s v="YES"/>
    <s v="YES"/>
    <s v="The project aimed to maintain the momentum from the emergency response by ensuring that communities were rehabilitating existing systems while moving towards more resilient and sustainable community WASH approaches. This provided the opportunities for communities to be more in line with the 2008-2018 Department of Geology, Mines and Water Resources (DGMWR) WASH strategy and UNICEFs Drinking Water Safety and Security Planning (DWSSP) for the Pacific Region."/>
    <s v="Sub-National"/>
    <s v="Aniwa, Erromango,Islands and Whitesands area (Tanna Island) Tafea province"/>
    <s v="Women, men, the elderly, people with a disability and children in Erromango, Aniwa and East Tanna islands."/>
    <n v="2508"/>
    <n v="2555"/>
    <n v="5063"/>
    <n v="3195"/>
    <n v="3218"/>
    <n v="6413"/>
    <s v="The direct participants are participants in actvities and users of services and collected from the activity engagement  and indirect participants are the total target community population from census data."/>
    <m/>
    <n v="1955"/>
    <n v="2005"/>
    <n v="3960"/>
    <n v="3195"/>
    <n v="3218"/>
    <n v="6413"/>
    <s v="NO"/>
    <m/>
    <m/>
    <m/>
    <s v="NO"/>
    <m/>
    <m/>
    <m/>
    <s v="NO"/>
    <m/>
    <m/>
    <m/>
    <s v="NO"/>
    <m/>
    <m/>
    <m/>
    <s v="NO"/>
    <m/>
    <m/>
    <m/>
    <s v="NO"/>
    <m/>
    <m/>
    <m/>
    <s v="NO"/>
    <m/>
    <m/>
    <m/>
    <s v="NO"/>
    <m/>
    <m/>
    <m/>
    <s v="NO"/>
    <m/>
    <m/>
    <m/>
    <s v="NO"/>
    <m/>
    <m/>
    <m/>
    <s v="NO"/>
    <m/>
    <m/>
    <m/>
    <s v="YES"/>
    <n v="3960"/>
    <n v="0.49"/>
    <n v="6413"/>
    <m/>
    <s v="NO"/>
    <m/>
    <m/>
    <m/>
    <n v="1955"/>
    <n v="2005"/>
    <n v="3960"/>
    <n v="3195"/>
    <n v="3218"/>
    <n v="6413"/>
    <s v="NO"/>
    <m/>
    <m/>
    <m/>
    <s v="NO"/>
    <m/>
    <m/>
    <m/>
    <s v="NO"/>
    <m/>
    <m/>
    <m/>
    <s v="NO"/>
    <m/>
    <m/>
    <m/>
    <s v="NO"/>
    <m/>
    <m/>
    <m/>
    <s v="NO"/>
    <m/>
    <m/>
    <m/>
    <s v="NO"/>
    <m/>
    <m/>
    <m/>
    <s v="NO"/>
    <m/>
    <m/>
    <m/>
    <s v="NO"/>
    <m/>
    <m/>
    <m/>
    <s v="NO"/>
    <m/>
    <m/>
    <m/>
    <s v="NO"/>
    <m/>
    <m/>
    <m/>
    <s v="NO"/>
    <m/>
    <m/>
    <m/>
    <s v="NO"/>
    <m/>
    <m/>
    <m/>
    <s v="YES"/>
    <m/>
    <m/>
    <m/>
    <s v="YES"/>
    <n v="3960"/>
    <n v="0.49"/>
    <n v="6413"/>
    <s v="NO"/>
    <m/>
    <m/>
    <m/>
    <m/>
    <s v="NO"/>
    <m/>
    <m/>
    <m/>
    <s v="YES"/>
    <s v="May"/>
    <n v="2017"/>
    <s v="NO"/>
    <s v="NO"/>
    <m/>
    <m/>
    <m/>
    <x v="1"/>
    <s v="NO"/>
    <s v="NO"/>
    <s v="YES"/>
    <s v="YES"/>
    <s v="YES"/>
    <s v="NO"/>
    <s v="NO"/>
    <s v="YES"/>
    <s v="conducted training on the minimum commitments on safety and dignity of affected persons for all WASH sector members in Tanna"/>
    <x v="2"/>
    <s v="employment of female staff as plumbers, introduction of multipronged MHM strategy- awarenss, facilities redesign and material resources"/>
    <x v="0"/>
    <m/>
    <x v="0"/>
    <x v="1"/>
    <s v="YES"/>
    <x v="0"/>
    <x v="1"/>
    <x v="0"/>
    <x v="4"/>
    <n v="3"/>
    <x v="1"/>
    <x v="1"/>
    <x v="1"/>
    <x v="1"/>
    <x v="1"/>
    <x v="1"/>
    <n v="4"/>
    <x v="3"/>
    <x v="2"/>
    <x v="1"/>
    <x v="1"/>
    <x v="5"/>
    <n v="2"/>
    <x v="0"/>
    <x v="0"/>
    <n v="3"/>
    <s v="Local government(s)"/>
    <s v="Local NGO(s)/CSO(s)"/>
    <s v="International NGO(s)"/>
    <x v="2"/>
    <s v="increase knowledge around 5 minimum commitments WASH"/>
    <s v="Appointed female technical staff, appointed a GESI technical person to work with all the teams, conducted training for sector on 5 minimum commitments to safety and dignity of all"/>
    <s v="MHM focused work - material, awareness, infrastruture changes"/>
    <s v="Gender balanced water committees"/>
    <s v="Female plumbers as role models"/>
    <s v="Strengthen the dept of water and continue to work closely with them"/>
    <s v="Gender awareness of community"/>
    <s v="Work with the sector to avoid duplication"/>
    <m/>
    <m/>
    <n v="3960"/>
    <n v="6413"/>
    <n v="1.6194444444444445"/>
    <n v="0.49368686868686867"/>
    <n v="0.49820676750350851"/>
    <n v="1955"/>
    <n v="3195"/>
    <n v="1"/>
    <n v="3960"/>
    <n v="6413"/>
    <n v="1.6194444444444445"/>
    <n v="1"/>
    <n v="3960"/>
    <n v="6413"/>
    <n v="1.6194444444444445"/>
    <n v="1"/>
    <n v="0"/>
    <n v="0"/>
    <s v=""/>
    <s v=""/>
    <n v="0"/>
    <n v="0"/>
    <s v=""/>
    <s v=""/>
    <n v="0"/>
    <n v="0"/>
    <s v=""/>
    <s v="3. Responsive"/>
    <s v="2. Accommodating"/>
    <s v="3. Responsive"/>
    <s v="It tested new ways for fighting poverty and measured results of innovation"/>
    <s v="Moderate advocacy"/>
    <s v="It did not take tested solutions to scale"/>
  </r>
  <r>
    <x v="79"/>
    <x v="0"/>
    <m/>
    <s v="Water for Life"/>
    <s v="Vanuatu"/>
    <s v="UNI40"/>
    <s v="CARE Australia"/>
    <s v="Multilateral agency"/>
    <s v="UN - United Nations agencies/offices"/>
    <s v="UNICEF"/>
    <m/>
    <m/>
    <m/>
    <m/>
    <m/>
    <m/>
    <m/>
    <m/>
    <m/>
    <m/>
    <m/>
    <m/>
    <m/>
    <m/>
    <m/>
    <m/>
    <m/>
    <m/>
    <m/>
    <m/>
    <m/>
    <m/>
    <m/>
    <m/>
    <m/>
    <m/>
    <m/>
    <m/>
    <m/>
    <m/>
    <m/>
    <m/>
    <m/>
    <m/>
    <m/>
    <m/>
    <m/>
    <m/>
    <m/>
    <m/>
    <m/>
    <m/>
    <m/>
    <m/>
    <m/>
    <d v="2017-01-01T00:00:00"/>
    <d v="2017-12-31T00:00:00"/>
    <m/>
    <s v="Humanitarian Other"/>
    <n v="661878"/>
    <s v="Megan Chisholm"/>
    <s v="Country Director"/>
    <s v="megan.chisholm@careint.org"/>
    <s v="Kieren Davis"/>
    <s v="WASH Program Manger"/>
    <s v="kieren.davis@careint.org"/>
    <s v="YES"/>
    <s v="YES"/>
    <s v="YES"/>
    <s v="hrough this program 5596 people including women, children, people with a disability, the elderly and men in the targeted communities will be able to accessing sufficient, safe and secure water supplies for drinking as a result of the Drinking Water Safety and Security training and the committee set up, practice effective hygiene and sanitation as a result of the Paticipatory, Hygiene, Sanitation and Transformative Training and, learn how to build your own VIP latrines through the demonstration of the VIP latrines."/>
    <s v="Sub-National"/>
    <s v="31 communities across Central and North Tanna, Tafea Province."/>
    <s v="women, children, people with a disability, the elderly and men in the targeted communities"/>
    <n v="532"/>
    <n v="555"/>
    <n v="1087"/>
    <n v="2680"/>
    <n v="2849"/>
    <n v="5529"/>
    <s v="The direct participants collected from the training and awareness form from training and awareness and indirect participants are the community population."/>
    <m/>
    <n v="532"/>
    <n v="555"/>
    <n v="1087"/>
    <n v="2680"/>
    <n v="2849"/>
    <n v="5529"/>
    <s v="NO"/>
    <m/>
    <m/>
    <m/>
    <s v="NO"/>
    <m/>
    <m/>
    <m/>
    <s v="NO"/>
    <m/>
    <m/>
    <m/>
    <s v="NO"/>
    <m/>
    <m/>
    <m/>
    <s v="NO"/>
    <m/>
    <m/>
    <m/>
    <s v="NO"/>
    <m/>
    <m/>
    <m/>
    <s v="NO"/>
    <m/>
    <m/>
    <m/>
    <s v="NO"/>
    <m/>
    <m/>
    <m/>
    <s v="NO"/>
    <m/>
    <m/>
    <m/>
    <s v="NO"/>
    <m/>
    <m/>
    <m/>
    <s v="NO"/>
    <m/>
    <m/>
    <m/>
    <s v="YES"/>
    <n v="1087"/>
    <n v="0.49"/>
    <n v="5529"/>
    <m/>
    <m/>
    <m/>
    <m/>
    <m/>
    <n v="674"/>
    <n v="691"/>
    <n v="1365"/>
    <n v="2680"/>
    <n v="2849"/>
    <n v="5529"/>
    <s v="NO"/>
    <m/>
    <m/>
    <m/>
    <s v="NO"/>
    <m/>
    <m/>
    <m/>
    <s v="NO"/>
    <m/>
    <m/>
    <m/>
    <s v="NO"/>
    <m/>
    <m/>
    <m/>
    <s v="NO"/>
    <m/>
    <m/>
    <m/>
    <s v="NO"/>
    <m/>
    <m/>
    <m/>
    <s v="NO"/>
    <m/>
    <m/>
    <m/>
    <s v="NO"/>
    <m/>
    <m/>
    <m/>
    <s v="NO"/>
    <m/>
    <m/>
    <m/>
    <s v="NO"/>
    <m/>
    <m/>
    <m/>
    <s v="NO"/>
    <m/>
    <m/>
    <m/>
    <s v="NO"/>
    <m/>
    <m/>
    <m/>
    <s v="NO"/>
    <m/>
    <m/>
    <m/>
    <s v="NO"/>
    <m/>
    <m/>
    <m/>
    <s v="YES"/>
    <n v="1087"/>
    <n v="0.49"/>
    <n v="5529"/>
    <s v="NO"/>
    <m/>
    <m/>
    <m/>
    <m/>
    <s v="NO"/>
    <m/>
    <m/>
    <m/>
    <s v="YES"/>
    <s v="April"/>
    <n v="2017"/>
    <s v="NO"/>
    <s v="YES"/>
    <s v="November"/>
    <n v="2017"/>
    <m/>
    <x v="1"/>
    <s v="NO"/>
    <s v="NO"/>
    <s v="YES"/>
    <s v="NO"/>
    <s v="NO"/>
    <s v="NO"/>
    <s v="NO"/>
    <s v="NO"/>
    <m/>
    <x v="2"/>
    <s v="use of female plumbers as role models,"/>
    <x v="3"/>
    <s v="gender balanced water committees"/>
    <x v="0"/>
    <x v="1"/>
    <s v="YES"/>
    <x v="0"/>
    <x v="0"/>
    <x v="0"/>
    <x v="2"/>
    <n v="4"/>
    <x v="1"/>
    <x v="2"/>
    <x v="1"/>
    <x v="1"/>
    <x v="1"/>
    <x v="1"/>
    <n v="3"/>
    <x v="3"/>
    <x v="2"/>
    <x v="1"/>
    <x v="1"/>
    <x v="5"/>
    <n v="2"/>
    <x v="0"/>
    <x v="1"/>
    <n v="1"/>
    <s v="Local government(s)"/>
    <m/>
    <m/>
    <x v="1"/>
    <m/>
    <s v="increase accountability measures"/>
    <s v="Gender awareness with each activitiy"/>
    <s v="Gender balanced water committee - training"/>
    <s v="VIP demonstration"/>
    <s v="Continue to focus on gender roles"/>
    <s v="Increasing focus on gender balanace on committees"/>
    <s v="continue to engage with government"/>
    <m/>
    <m/>
    <n v="1365"/>
    <n v="5529"/>
    <n v="4.0505494505494504"/>
    <n v="0.4937728937728938"/>
    <n v="0.48471694700669199"/>
    <n v="674"/>
    <n v="2680"/>
    <n v="1"/>
    <n v="1087"/>
    <n v="5529"/>
    <n v="5.0864765409383628"/>
    <n v="1"/>
    <n v="1087"/>
    <n v="5529"/>
    <n v="5.0864765409383628"/>
    <s v=""/>
    <n v="0"/>
    <n v="0"/>
    <s v=""/>
    <s v=""/>
    <n v="0"/>
    <n v="0"/>
    <s v=""/>
    <s v=""/>
    <n v="0"/>
    <n v="0"/>
    <s v=""/>
    <s v="4. Transformative"/>
    <s v="2. Accommodating"/>
    <s v="3. Responsive"/>
    <s v="It tested new ways for fighting poverty and measured results of innovation"/>
    <s v="Moderate advocacy"/>
    <s v="It took tested solutions to scale on its own"/>
  </r>
  <r>
    <x v="79"/>
    <x v="0"/>
    <n v="3689"/>
    <s v="Were ready for Climate Change Increasing Small Island resilience to climate change in Vanuatu"/>
    <s v="Vanuatu"/>
    <s v="VU024"/>
    <s v="No CARE member related to the project/initiative"/>
    <s v="Government"/>
    <s v="Government - US"/>
    <s v="Pacific-American Climate Fund (PACAM) USAID"/>
    <m/>
    <m/>
    <m/>
    <m/>
    <m/>
    <m/>
    <m/>
    <m/>
    <m/>
    <m/>
    <m/>
    <m/>
    <m/>
    <m/>
    <m/>
    <m/>
    <m/>
    <m/>
    <m/>
    <m/>
    <m/>
    <m/>
    <m/>
    <m/>
    <m/>
    <m/>
    <m/>
    <m/>
    <m/>
    <m/>
    <m/>
    <m/>
    <m/>
    <m/>
    <m/>
    <m/>
    <m/>
    <m/>
    <m/>
    <m/>
    <m/>
    <m/>
    <m/>
    <m/>
    <m/>
    <d v="2016-01-01T00:00:00"/>
    <d v="2017-05-31T00:00:00"/>
    <m/>
    <s v="Development Food &amp; Nutrition Security and Resilience to Climate Change"/>
    <n v="500000"/>
    <s v="Megan Chisholm"/>
    <s v="Country Director"/>
    <s v="charlie.damon@careint.org"/>
    <s v="Charlie Damon"/>
    <s v="Program Director"/>
    <s v="megan.chisholm@careint.org"/>
    <s v="NO"/>
    <s v="YES"/>
    <s v="NO"/>
    <s v="Communities, especially women, young people, boys and girls have increased resilience to shocks, stresses and future uncertainty resulting from climate change. Focuses on community and sub-national level."/>
    <s v="National"/>
    <s v="Port Vila , Tafea province (Tanna, Aniwa, Erromango) and Sanma province"/>
    <s v="Women, men, young people and girls and boys in Tafea and Sanma Provinces"/>
    <n v="2861"/>
    <n v="2840"/>
    <n v="5701"/>
    <n v="2317"/>
    <n v="2443"/>
    <n v="4760"/>
    <s v="The Direct beneficiaries of this action are at the community level - women, men, boys, girls people with a disability, CDCCC members, WASH committee members, Area secretaries. At the provincial level direct participants are provincial governement staff - from disaster, agriculture, water and the secretary general and members of the Provincial disaster committee. At the national level direct participants include members the Eductaion Department Curriculum Development unit, and Save the children. Indirect beneficiaries are the population of Vanuatu."/>
    <m/>
    <m/>
    <m/>
    <m/>
    <m/>
    <m/>
    <m/>
    <m/>
    <m/>
    <m/>
    <m/>
    <m/>
    <m/>
    <m/>
    <m/>
    <m/>
    <m/>
    <m/>
    <m/>
    <m/>
    <m/>
    <m/>
    <m/>
    <m/>
    <m/>
    <m/>
    <m/>
    <m/>
    <m/>
    <m/>
    <m/>
    <m/>
    <m/>
    <m/>
    <m/>
    <m/>
    <m/>
    <m/>
    <m/>
    <m/>
    <m/>
    <m/>
    <m/>
    <m/>
    <m/>
    <m/>
    <m/>
    <m/>
    <m/>
    <m/>
    <m/>
    <m/>
    <m/>
    <m/>
    <m/>
    <m/>
    <m/>
    <m/>
    <m/>
    <m/>
    <n v="995"/>
    <n v="962"/>
    <n v="1957"/>
    <n v="2317"/>
    <n v="2443"/>
    <n v="4760"/>
    <s v="NO"/>
    <m/>
    <m/>
    <m/>
    <s v="YES"/>
    <n v="1957"/>
    <n v="0.5"/>
    <n v="4760"/>
    <s v="NO"/>
    <m/>
    <m/>
    <m/>
    <s v="NO"/>
    <m/>
    <m/>
    <m/>
    <s v="NO"/>
    <m/>
    <m/>
    <m/>
    <s v="NO"/>
    <m/>
    <m/>
    <m/>
    <s v="NO"/>
    <m/>
    <m/>
    <m/>
    <s v="NO"/>
    <m/>
    <m/>
    <m/>
    <s v="NO"/>
    <m/>
    <m/>
    <m/>
    <s v="NO"/>
    <m/>
    <m/>
    <m/>
    <s v="NO"/>
    <m/>
    <m/>
    <m/>
    <s v="NO"/>
    <m/>
    <m/>
    <m/>
    <s v="NO"/>
    <m/>
    <m/>
    <m/>
    <s v="NO"/>
    <m/>
    <m/>
    <m/>
    <s v="NO"/>
    <m/>
    <m/>
    <m/>
    <s v="NO"/>
    <m/>
    <m/>
    <m/>
    <m/>
    <s v="NO"/>
    <m/>
    <m/>
    <m/>
    <s v="YES"/>
    <s v="March"/>
    <n v="2017"/>
    <s v="NO"/>
    <s v="NO"/>
    <m/>
    <m/>
    <s v="LIMITATIONS AND CRITICAL ANALYSIS AFTER FIELD SURVEY: Notification of Survey: Field trips reports noted that some communities had not been notified by community leaders about the field work and there were some miscommunications on the purposeof the work.This led to challenges in finding survey participants in some locations.  Closed Questions: The majority of questions are closed, which may limit the depth of data collected.  However, in terms of time available for surveying, the type of survey used and the abilities of enumerators, this is considered the most appropriate format for the time.  Execution of Survey:  Some of the responses indicate a lack of understanding, or different understandings, by enumerators of the questions.  For example, the question regarding the number of people with a disability in a household has answers that seem unrealistic, however were still recordedby enumerators.  Survey Structure:  The baseline data analysis revealed some flaws in the question structure, in particular the use of multiple selection questions.For example, people may be able to select multiple and therefore contradictory answers.Due to the need for the questions to be the same for the endline, these flaws were again apparent.Survey Timing:The endline survey was undertaken in conjunction with the final program activities.  Staff first conducted training sessions on topics such as water management, disaster plan development and climate change, then at the conclusion of the work, conducted the endline survey.  This structure has obvious advantages from a logistical perspective, in an operating environment where travel to remote communities is time consuming and expensive; however, it raises a fewpoints to consider in terms of the survey.  First, survey respondents were primarily the same people who had just completed the activities.  Thus, the survey does not ascertain the level of knowledge in a community but rather the level of knowledge within the group of people who engaged in activities.Next, the participants were likely to be more expert than the average community member, as the trainings were attended by people such as CDCCC members; this could also skew results.   Lastly, the proximity of the survey to the activity means it is functioning more as a post-test rather than a tool for measuring longer term change in the community.  On the other hand, in some locations enumerators went house-to-house, resulting in a more random sample of people.  Given this analysis compares knowledge in different geographic areas, it is worth keeping in mind the fact that different sampling methodologies may have been used in different areas.Some recommendations for managing this is future surveys are to select a method for approaching interviewees and ensuring the same method is used across teams (to house-to-house orusing activity participants).It would also be usefulto report the percentage of community members attending activities, so that a better idea or the impact of the work can be formed.Gender Analysis:The baseline KAP survey takes data from five islands, while the endlinesurvey covers three islands.  Therefore, it should be noted that when comparing baseline sex-disaggregated graphs to endlinesex-disaggregated graphs, Futunaand Aneityum are not included in endline graphs.   Survey Length:Field teams reported that due to the length of the survey and the need to complete other activities on their field trips, the survey could have been conducted more effectively if it had been completed on standalone field trips.  Assessment Fatigue:  The people living in the target area complained about the repetition of the surveys questions (Erromango); having been asked these questions during the baseline and also during other project surveys, communities are suffering assessment fatigue.   Due to the small population sizes, the burden of repeated surveys is felt by all.  Teams report increasing difficulty engaging people with surveys, thus it could be assumed that results are impacted by this fatigue.  Time of Year:  The endline surveys were conducted in November and December, and then again between February andMarch, which coincided with a busy time of year for communities.  Thus, it was difficult for field teams to find people willing to be interviewed and meet the sample size targets.Electronic Data Collection:  An issue with the tablet used in South Erromango Area Council meant the data collected in that location could not be usedin the first round of collection. A second round of data collection was completed in South Erromango to amend this issue, although technical issues continued to affect the data collection; some surveys could not be completed in their entirety and were therefore not included in the analysis."/>
    <x v="1"/>
    <s v="NO"/>
    <s v="NO"/>
    <s v="YES"/>
    <s v="YES"/>
    <s v="YES"/>
    <s v="YES"/>
    <s v="NO"/>
    <s v="NO"/>
    <m/>
    <x v="2"/>
    <s v="development of gender balanced CDCCCs"/>
    <x v="1"/>
    <s v="This project was built off the previous CBA/CCA projects (2012-2014) implemented by CARE and SC that included community level planning and mitigation action on Futuna Island (Tafea Province), Efate Island (Sheaf province) and Penama Province. These projects focussed on increasing community level awareness of climate change and implementing adaptive agricultural practice such as soil management and the introduction of climate resilient and disease resistant crops. Increasing food security was a focus of this project through the introduction of new and re-establishment of traditional food preservation practices. This PACAM project built upon the learning and foot holds gained from the CBA project and expanded it to other islands within Tafea Province and into the Sanma province."/>
    <x v="0"/>
    <x v="1"/>
    <s v="YES"/>
    <x v="0"/>
    <x v="1"/>
    <x v="0"/>
    <x v="4"/>
    <n v="3"/>
    <x v="2"/>
    <x v="2"/>
    <x v="1"/>
    <x v="1"/>
    <x v="1"/>
    <x v="5"/>
    <n v="3"/>
    <x v="3"/>
    <x v="1"/>
    <x v="1"/>
    <x v="1"/>
    <x v="4"/>
    <n v="3"/>
    <x v="3"/>
    <x v="0"/>
    <n v="6"/>
    <s v="Local NGO(s)/CSO(s)"/>
    <s v="Local government(s)"/>
    <s v="Local alliance(s)/Platform(s)/Network(s) of  NGOs/CSOs"/>
    <x v="2"/>
    <s v="CARE monitored SAVEs progress in the implementation and reporting thorughout the project implementation and support them to complete the project acitivites. Also the partnership allowed for the  two implementing partners to share knowledge, training materials and support each other in the implementation of the activities and the reporting processes e.g. CARE staff trained Save staff on the set up of gender balanced CDCCCs."/>
    <s v="In the proposal the orginal target was 2,500 people in total however, this number was exceeded because CARE decided to work in an additional 7 communities in Tanna, raising the target communities from 25 to 32. This meant CARE set up an additional 7 new CDCCCs."/>
    <s v="The setting of the gender balance (50% males and 50% females) CDCCC- CARE worked with 22 CDCCCs across three islands, of which 10 are gender balanced (50% women), 6 are above 40%, 3 between 30-38% and three around 26% and all CDCCCs have female members and strong participation of women. In total, 63 women have been voted into senior leadership roles inside the CDCCCs in Tanna, Erromango and Aniwa islands."/>
    <s v="The development of the Tafea Provincial Disaster Response and Climate change mangement plan and at community level the development or updating of community development/action plans that integrate climate change scenarios. Also Supported Save to replicated the activity in Sanma"/>
    <s v="Training in climate resilient agricultural practices: CARE reached 176 community members (86 females, 90 males) and 145 students (65 females, 80 males) with agriculture training and implemented, in partnership, with Department of Agriculture and Rural Development (DARD) 6 demonstration plots in the communities and 4 in schools.The agricultural training provided plants and practices that are climate resilient, disease resistant and nutritious. Using resources such as The Climate Smart Agriculture Handbook, Solar Dryer Manual and Solar Fruit Drying and Nutrition Cook book (Kakae blo yumi booklet). Also Supported Save to replicated the activity in Sanma Province."/>
    <s v="Gender and social inclusion: Communities expressed their wide acceptance of gender balanced CDCCCs through the election of women into the committees and into leadership roles, experienced throughout the project communities despite the challenges of the gender norms particularly experienced in Tanna. SC experienced some difficulties engaging the province to include women in the development of the provincial plan. In future projects CARE has committed to ensuring that a gender analysis is undertaken by all partners and a gender inclusion strategy put in place and monitored. Also Disability inclusion, CARE experienced difficulty in ensuring that participants who had a disability self-identified as such and registered themselves in the correct columns on attendance sheets. CARE has participated in disability inclusive development training over the last quarter and has started to improve data gathering tools."/>
    <s v="Collaboration with local authorities to build climate resilience The collaboration between local technical government departments to support climate change resilience through education interventions, agriculture and community and provincial planning mechanisms has enhanced the sustainability and effectiveness of project outcomes. The project worked closely with the Education Department, the National Disaster Management Office (NDMO), the Department of Meteorology and Geo-Hazards (VMGD), provincial authorities and the Department of Agriculture and Rural Development (DARD) in the implementation of the project in the two provinces. DARD provided a series of trainings and hands-on learning for local community members and students on agriculture that responded to a change environment. Education Department Zone Area Coordinators engaged in the socialisation of the new climate change curriculum and materials and the NDMO, VMGD as well as the Provincial authorities engaged with the development of the Provincial Disaster Response and Climate Change Management plans. Effectively engaging with local departments supports them in their responsibility and role to provide better services for their constituents. This cross fertilisation of knowledge, skills and expertise meant that personal experiences and current scientific knowledge were brought together to produce tangible outputs for the community and far greater understanding of necessary climate resilient agricultural practices. Relationships developed will continue to foster project outcomes."/>
    <s v="Increase food nutrition and preservation training to communities: Feedback from communities and staff indicate that food nutrition and food preservation training should be conducted in each community rather than bringing representatives together to one training program so that most community members can be part of and access the training. Knowledge is considered powerful in this context and often this results in a reluctance to share knowledge for the benefit of others. Providing direct training to as many individuals in a community as possible would ensure that more people effectively took up new practices."/>
    <s v="CARE was the lead contractor and project manager with SC as the subgrantee. CARE worked directly with a total of 22 communities and the TAFEA province and Save with CARE's support worked with a total of 10 communities and the Sanma province reaching a total of 5701 direct beneficaries in total. Outcome 1: Up to 2,500 (this targetd was exceeded) women, men, young people, boys and girls in 25 communities have increased knowledge and capacity to plan for, adapt and address unavoidable impacts of climate change. Outcome 2: Up to 20 primary and secondary schools in TAFEA and SANMA provinces have increased awareness to climate change impacts and access to climate change and adaptation teaching materials for use in the school curriculum. Outcome 3: Up to 2,500 (this targetd was exceeded) women, men, young people, boys and girls in 25 communities areusing their increased climate knowledge to implement on the ground climate change adaptation actions, focusing on agriculture, food security, livelihoods and water resource management"/>
    <s v="PACAM Final Report with Annexes, including endline analyses and case studies: link to Dropbox- https://www.dropbox.com/sh/wrjs3gdirko46e7/AAAkHoBE-Ipn2CV5QbiI7GdMa?dl=0"/>
    <n v="1957"/>
    <n v="4760"/>
    <n v="2.4322943280531426"/>
    <n v="0.50843127235564645"/>
    <n v="0.48676470588235293"/>
    <n v="995"/>
    <n v="2317"/>
    <s v=""/>
    <n v="0"/>
    <n v="0"/>
    <s v=""/>
    <n v="1"/>
    <n v="1957"/>
    <n v="4760"/>
    <n v="2.4322943280531426"/>
    <s v=""/>
    <n v="0"/>
    <n v="0"/>
    <s v=""/>
    <s v=""/>
    <n v="0"/>
    <n v="0"/>
    <s v=""/>
    <s v=""/>
    <n v="0"/>
    <n v="0"/>
    <s v=""/>
    <s v="3. Responsive"/>
    <s v="3. Responsive"/>
    <s v="4. Transformative"/>
    <s v="It tested new ways for fighting poverty and measured results of innovation"/>
    <s v="Moderate advocacy"/>
    <s v="It linked and worked with strategic alliances and partners to take tested and effective solutions to scale"/>
  </r>
  <r>
    <x v="79"/>
    <x v="0"/>
    <n v="3695"/>
    <s v="Women's and Girls Empowerment Program"/>
    <s v="Vanuatu"/>
    <s v="VUT005"/>
    <s v="CARE Australia"/>
    <s v="Government"/>
    <s v="Government - Australia"/>
    <s v="DFAT-Australia"/>
    <m/>
    <m/>
    <m/>
    <m/>
    <m/>
    <m/>
    <m/>
    <m/>
    <m/>
    <m/>
    <m/>
    <m/>
    <m/>
    <m/>
    <m/>
    <m/>
    <m/>
    <m/>
    <m/>
    <m/>
    <m/>
    <m/>
    <m/>
    <m/>
    <m/>
    <m/>
    <m/>
    <m/>
    <m/>
    <m/>
    <m/>
    <m/>
    <m/>
    <m/>
    <m/>
    <m/>
    <m/>
    <m/>
    <m/>
    <m/>
    <m/>
    <m/>
    <m/>
    <m/>
    <m/>
    <d v="2014-02-01T00:00:00"/>
    <d v="2017-06-30T00:00:00"/>
    <m/>
    <s v="Development Access to and Control over Economic Resources"/>
    <n v="199752"/>
    <s v="Megan Chisholm"/>
    <s v="Country Director"/>
    <s v="Megan.chisholm@careint.org"/>
    <s v="Charlie Damon"/>
    <s v="Program Director"/>
    <s v="Charlie.damon@careint.org"/>
    <s v="NO"/>
    <s v="YES"/>
    <s v="NO"/>
    <s v="This project aim is to strengthen gender equality in Vanuatu by ensuring that women and girls are equal citizens and participate fully, freely and safely in society.  "/>
    <s v="National"/>
    <s v="Rural communities of Tafea Province"/>
    <s v="The main Impact groups are women and girls."/>
    <n v="837"/>
    <n v="837"/>
    <n v="1107"/>
    <n v="3690"/>
    <n v="3690"/>
    <n v="7380"/>
    <s v="DIrect participants are women, men, girls and boys in communities who are participating in the actvities - life skills, women's economic groups and other gender awareness activities. indirect participants are members of the communities where the direct participants are living."/>
    <m/>
    <m/>
    <m/>
    <m/>
    <m/>
    <m/>
    <m/>
    <m/>
    <m/>
    <m/>
    <m/>
    <m/>
    <m/>
    <m/>
    <m/>
    <m/>
    <m/>
    <m/>
    <m/>
    <m/>
    <m/>
    <m/>
    <m/>
    <m/>
    <m/>
    <m/>
    <m/>
    <m/>
    <m/>
    <m/>
    <m/>
    <m/>
    <m/>
    <m/>
    <m/>
    <m/>
    <m/>
    <m/>
    <m/>
    <m/>
    <m/>
    <m/>
    <m/>
    <m/>
    <m/>
    <m/>
    <m/>
    <m/>
    <m/>
    <m/>
    <m/>
    <m/>
    <m/>
    <m/>
    <m/>
    <m/>
    <m/>
    <m/>
    <m/>
    <m/>
    <n v="593"/>
    <n v="446"/>
    <n v="1039"/>
    <n v="3097"/>
    <n v="735"/>
    <n v="3832"/>
    <s v="NO"/>
    <m/>
    <m/>
    <m/>
    <s v="NO"/>
    <m/>
    <m/>
    <m/>
    <s v="NO"/>
    <m/>
    <m/>
    <m/>
    <s v="NO"/>
    <m/>
    <m/>
    <m/>
    <s v="NO"/>
    <m/>
    <m/>
    <m/>
    <s v="NO"/>
    <m/>
    <m/>
    <m/>
    <s v="NO"/>
    <m/>
    <m/>
    <m/>
    <s v="YES"/>
    <n v="435"/>
    <n v="0.54700000000000004"/>
    <n v="1160"/>
    <s v="YES"/>
    <n v="68"/>
    <n v="0.69"/>
    <n v="907"/>
    <s v="NO"/>
    <m/>
    <m/>
    <m/>
    <s v="NO"/>
    <m/>
    <m/>
    <m/>
    <s v="NO"/>
    <m/>
    <m/>
    <m/>
    <s v="NO"/>
    <m/>
    <m/>
    <m/>
    <s v="NO"/>
    <m/>
    <m/>
    <m/>
    <s v="NO"/>
    <m/>
    <m/>
    <m/>
    <s v="YES"/>
    <n v="238"/>
    <n v="0.81499999999999995"/>
    <n v="1063"/>
    <m/>
    <s v="NO"/>
    <m/>
    <m/>
    <m/>
    <s v="YES"/>
    <s v="October"/>
    <n v="2016"/>
    <s v="NO"/>
    <s v="NO"/>
    <m/>
    <m/>
    <m/>
    <x v="1"/>
    <s v="YES"/>
    <s v="NO"/>
    <s v="YES"/>
    <s v="YES"/>
    <s v="YES"/>
    <s v="YES"/>
    <s v="NO"/>
    <s v="NO"/>
    <m/>
    <x v="0"/>
    <m/>
    <x v="0"/>
    <m/>
    <x v="1"/>
    <x v="1"/>
    <s v="YES"/>
    <x v="0"/>
    <x v="1"/>
    <x v="0"/>
    <x v="4"/>
    <n v="3"/>
    <x v="1"/>
    <x v="1"/>
    <x v="1"/>
    <x v="1"/>
    <x v="1"/>
    <x v="1"/>
    <n v="4"/>
    <x v="1"/>
    <x v="1"/>
    <x v="1"/>
    <x v="2"/>
    <x v="3"/>
    <n v="2"/>
    <x v="0"/>
    <x v="0"/>
    <n v="4"/>
    <s v="Local NGO(s)/CSO(s)"/>
    <s v="Local government(s)"/>
    <s v="Local alliance(s)/Platform(s)/Network(s) of  NGOs/CSOs"/>
    <x v="2"/>
    <s v="through the Gender and Protection Cluster CARE helped strengthen Civil societiy organistion's gender capacity/focus"/>
    <s v="The all Project was redesigned for the second phase"/>
    <s v="The development of the women's economic groups"/>
    <s v="Engaing men in the poultry/egg _ very successful"/>
    <s v="The redesigning of the project for phase II"/>
    <s v="Involve men and boys more to influence the change in women being able to be part of decision making"/>
    <s v="Strengthening the feedback mechanism"/>
    <s v="include the Gender equality framework into all the aspect of the program"/>
    <m/>
    <m/>
    <n v="1039"/>
    <n v="3832"/>
    <n v="3.6881616939364772"/>
    <n v="0.57074109720885469"/>
    <n v="0.80819415448851772"/>
    <n v="593"/>
    <n v="3097"/>
    <s v=""/>
    <n v="0"/>
    <n v="0"/>
    <s v=""/>
    <s v=""/>
    <n v="0"/>
    <n v="0"/>
    <s v=""/>
    <s v=""/>
    <n v="0"/>
    <n v="0"/>
    <s v=""/>
    <n v="1"/>
    <n v="435"/>
    <n v="1160"/>
    <n v="2.6666666666666665"/>
    <n v="1"/>
    <n v="238"/>
    <n v="1063"/>
    <n v="4.4663865546218489"/>
    <s v="3. Responsive"/>
    <s v="2. Accommodating"/>
    <s v="1. Neutral"/>
    <s v="It did not develop any specific innovation"/>
    <s v="Moderate advocacy"/>
    <s v="It did not take tested solutions to scale"/>
  </r>
  <r>
    <x v="79"/>
    <x v="0"/>
    <n v="3691"/>
    <s v="YUMI Ready - Every one is Prepared"/>
    <s v="Vanuatu"/>
    <s v="VU025"/>
    <s v="CARE Australia"/>
    <s v="Government"/>
    <s v="ECHO - European Commission for Humanitarian Aid and Civil Protection"/>
    <s v="ECHO"/>
    <m/>
    <m/>
    <m/>
    <m/>
    <m/>
    <m/>
    <m/>
    <m/>
    <m/>
    <m/>
    <m/>
    <m/>
    <m/>
    <m/>
    <m/>
    <m/>
    <m/>
    <m/>
    <m/>
    <m/>
    <m/>
    <m/>
    <m/>
    <m/>
    <m/>
    <m/>
    <m/>
    <m/>
    <m/>
    <m/>
    <m/>
    <m/>
    <m/>
    <m/>
    <m/>
    <m/>
    <m/>
    <m/>
    <m/>
    <m/>
    <m/>
    <m/>
    <m/>
    <m/>
    <m/>
    <d v="2015-07-01T00:00:00"/>
    <d v="2016-12-31T00:00:00"/>
    <m/>
    <s v="Development Food &amp; Nutrition Security and Resilience to Climate Change"/>
    <n v="435734"/>
    <s v="Megan Chisholm"/>
    <s v="Country Director"/>
    <s v="Megan.chiishlom@careint.org"/>
    <s v="Charlie Damon"/>
    <s v="Program Director"/>
    <s v="Charlie.damon@careint.org"/>
    <s v="NO"/>
    <s v="YES"/>
    <s v="NO"/>
    <s v="To increase the Resilience of communities from the impact of disaster events through community, provincial and national level institutionalisation of Disaster Risk Reduction with phase out strategy."/>
    <s v="National"/>
    <s v="Port Vila, Tafea Province (Tanna, Aniwa, Futuna, Erromango)"/>
    <s v="Women, men, girls, boys people with a disability in communities in Tafea province"/>
    <n v="2911"/>
    <n v="3100"/>
    <n v="6011"/>
    <n v="1697"/>
    <n v="1790"/>
    <n v="3487"/>
    <s v="The Direct beneficiaries of this action areat the community level - women, men, boys, girls people with a disability, CDCCC members, WASH committee members, Area secretaries. At the provincial level direct participants are provincial governement staff - from disaster, agriculture, water and the secretary general and members of the Provincial disaster committee. At the national level direct participants include members of the gender and protection cluster and other clusters/working groups, the National Disaster Management office. Indirect beneficiaries are the population of Vanuatu."/>
    <m/>
    <m/>
    <m/>
    <m/>
    <m/>
    <m/>
    <m/>
    <m/>
    <m/>
    <m/>
    <m/>
    <m/>
    <m/>
    <m/>
    <m/>
    <m/>
    <m/>
    <m/>
    <m/>
    <m/>
    <m/>
    <m/>
    <m/>
    <m/>
    <m/>
    <m/>
    <m/>
    <m/>
    <m/>
    <m/>
    <m/>
    <m/>
    <m/>
    <m/>
    <m/>
    <m/>
    <m/>
    <m/>
    <m/>
    <m/>
    <m/>
    <m/>
    <m/>
    <m/>
    <m/>
    <m/>
    <m/>
    <m/>
    <m/>
    <m/>
    <m/>
    <m/>
    <m/>
    <m/>
    <m/>
    <m/>
    <m/>
    <m/>
    <m/>
    <m/>
    <n v="2367"/>
    <n v="2420"/>
    <n v="4787"/>
    <n v="696"/>
    <n v="749"/>
    <n v="1445"/>
    <s v="NO"/>
    <m/>
    <m/>
    <m/>
    <s v="YES"/>
    <n v="4787"/>
    <n v="0.49"/>
    <n v="1445"/>
    <s v="NO"/>
    <m/>
    <m/>
    <m/>
    <s v="YES"/>
    <n v="4787"/>
    <n v="0.49"/>
    <n v="1445"/>
    <s v="NO"/>
    <m/>
    <m/>
    <m/>
    <s v="NO"/>
    <m/>
    <m/>
    <m/>
    <s v="NO"/>
    <m/>
    <m/>
    <m/>
    <s v="NO"/>
    <m/>
    <m/>
    <m/>
    <s v="NO"/>
    <m/>
    <m/>
    <m/>
    <s v="NO"/>
    <m/>
    <m/>
    <m/>
    <s v="NO"/>
    <m/>
    <m/>
    <m/>
    <s v="NO"/>
    <m/>
    <m/>
    <m/>
    <s v="NO"/>
    <m/>
    <m/>
    <m/>
    <s v="NO"/>
    <m/>
    <m/>
    <m/>
    <s v="NO"/>
    <m/>
    <m/>
    <m/>
    <s v="NO"/>
    <m/>
    <m/>
    <m/>
    <m/>
    <s v="NO"/>
    <m/>
    <m/>
    <m/>
    <s v="YES"/>
    <s v="October"/>
    <n v="2016"/>
    <s v="NO"/>
    <s v="NO"/>
    <m/>
    <m/>
    <m/>
    <x v="1"/>
    <s v="YES"/>
    <s v="NO"/>
    <s v="YES"/>
    <s v="YES"/>
    <s v="YES"/>
    <s v="YES"/>
    <s v="NO"/>
    <s v="NO"/>
    <m/>
    <x v="2"/>
    <s v="ensured gender balanced CDCCCs"/>
    <x v="1"/>
    <s v="worked together in coaltion with other INGOs to ensure gender inclusion in the CBDRR handbook of the governement"/>
    <x v="0"/>
    <x v="1"/>
    <s v="YES"/>
    <x v="0"/>
    <x v="1"/>
    <x v="0"/>
    <x v="4"/>
    <n v="3"/>
    <x v="2"/>
    <x v="2"/>
    <x v="1"/>
    <x v="1"/>
    <x v="1"/>
    <x v="5"/>
    <n v="3"/>
    <x v="3"/>
    <x v="1"/>
    <x v="1"/>
    <x v="1"/>
    <x v="4"/>
    <n v="3"/>
    <x v="3"/>
    <x v="0"/>
    <n v="4"/>
    <s v="Local NGO(s)/CSO(s)"/>
    <s v="Local government(s)"/>
    <s v="Local alliance(s)/Platform(s)/Network(s) of  NGOs/CSOs"/>
    <x v="2"/>
    <s v="Gender and protection cluster - and other clusters support to all members on gender responsive/transformative programmimng"/>
    <m/>
    <s v="The setting of the CDCCC (community disaster and climate change committee) in 16 communities"/>
    <s v="The  support of development of the Provincial Disaster and Climate change mangement plan and do Simulation exercises at the Province to train the Provincial disaster committee"/>
    <s v="Development of community Response plan to Community prone disasters"/>
    <s v="CDCCCs was really effective and working well but if CARE stops working with the communities there is no sustainability of the CDCCCs because there were no resources to develop them to do things their own."/>
    <s v="Action plan some community do not have resources that they could things so they need assistance in small things (nails bag of cement for their Evacuation centre) how could CARE come in to help provide this assistance."/>
    <m/>
    <m/>
    <s v="Endline"/>
    <n v="4787"/>
    <n v="1445"/>
    <n v="0.30185920200543137"/>
    <n v="0.49446417380405266"/>
    <n v="0.48166089965397924"/>
    <n v="2367"/>
    <n v="696"/>
    <s v=""/>
    <n v="0"/>
    <n v="0"/>
    <s v=""/>
    <n v="1"/>
    <n v="4787"/>
    <n v="1445"/>
    <n v="0.30185920200543137"/>
    <s v=""/>
    <n v="0"/>
    <n v="0"/>
    <s v=""/>
    <s v=""/>
    <n v="0"/>
    <n v="0"/>
    <s v=""/>
    <s v=""/>
    <n v="0"/>
    <n v="0"/>
    <s v=""/>
    <s v="3. Responsive"/>
    <s v="3. Responsive"/>
    <s v="4. Transformative"/>
    <s v="It tested new ways for fighting poverty and measured results of innovation"/>
    <s v="Moderate advocacy"/>
    <s v="It linked and worked with strategic alliances and partners to take tested and effective solutions to scale"/>
  </r>
  <r>
    <x v="80"/>
    <x v="0"/>
    <m/>
    <s v="A River Basin Cross-border Flood Resilience Support Platform"/>
    <s v="Vietnam"/>
    <s v="VNM269"/>
    <s v="No CARE member related to the project/initiative"/>
    <s v="Other"/>
    <s v="Other"/>
    <s v="Global Resilience Partnership"/>
    <m/>
    <m/>
    <m/>
    <m/>
    <m/>
    <m/>
    <m/>
    <m/>
    <m/>
    <m/>
    <m/>
    <m/>
    <m/>
    <m/>
    <m/>
    <m/>
    <m/>
    <m/>
    <m/>
    <m/>
    <m/>
    <m/>
    <m/>
    <m/>
    <m/>
    <m/>
    <m/>
    <m/>
    <m/>
    <m/>
    <m/>
    <m/>
    <m/>
    <m/>
    <m/>
    <m/>
    <m/>
    <m/>
    <m/>
    <m/>
    <m/>
    <m/>
    <m/>
    <m/>
    <m/>
    <d v="2017-01-01T00:00:00"/>
    <d v="2018-06-30T00:00:00"/>
    <m/>
    <s v="Humanitarian Access to and Control over Economic Resources"/>
    <n v="50000"/>
    <s v="Le Xuan Hieu"/>
    <s v="Portfolio Manager"/>
    <s v="LeXuan.Hieu@careint.org"/>
    <m/>
    <m/>
    <m/>
    <s v="YES"/>
    <s v="YES"/>
    <s v="YES"/>
    <s v="Creation of an integrated model and associated platform for dialogue to promote basin-scale interagency decision-making and planning"/>
    <s v="Sub-National"/>
    <s v="Quang Nam province and Da Nang City"/>
    <s v="Local people who are living on Vu Gia and Thu Bon basin"/>
    <n v="5000"/>
    <n v="5000"/>
    <n v="10000"/>
    <n v="10000"/>
    <n v="10000"/>
    <n v="20000"/>
    <s v="Direct participant: The key members (husband and wife who get benefit driectly from project intervention regarding water regulatory in Vu Gia and Thu Bon River Basin Indirect participant: 4 members x No of direct participant families"/>
    <m/>
    <n v="150"/>
    <n v="150"/>
    <n v="300"/>
    <n v="600"/>
    <n v="600"/>
    <n v="1200"/>
    <m/>
    <m/>
    <m/>
    <m/>
    <m/>
    <m/>
    <m/>
    <m/>
    <m/>
    <m/>
    <m/>
    <m/>
    <m/>
    <m/>
    <m/>
    <m/>
    <m/>
    <m/>
    <m/>
    <m/>
    <m/>
    <m/>
    <m/>
    <m/>
    <m/>
    <m/>
    <m/>
    <m/>
    <m/>
    <m/>
    <m/>
    <m/>
    <m/>
    <m/>
    <m/>
    <m/>
    <m/>
    <m/>
    <m/>
    <m/>
    <m/>
    <m/>
    <m/>
    <m/>
    <m/>
    <m/>
    <m/>
    <m/>
    <m/>
    <s v="YES"/>
    <n v="300"/>
    <m/>
    <n v="1200"/>
    <n v="150"/>
    <n v="150"/>
    <n v="300"/>
    <n v="600"/>
    <n v="600"/>
    <n v="1200"/>
    <s v="YES"/>
    <n v="300"/>
    <n v="0.5"/>
    <n v="1200"/>
    <s v="YES"/>
    <n v="300"/>
    <n v="0.5"/>
    <n v="1200"/>
    <s v="NO"/>
    <m/>
    <m/>
    <m/>
    <s v="YES"/>
    <n v="300"/>
    <n v="0.5"/>
    <n v="1200"/>
    <s v="NO"/>
    <m/>
    <m/>
    <m/>
    <s v="NO"/>
    <m/>
    <m/>
    <m/>
    <s v="NO"/>
    <m/>
    <m/>
    <m/>
    <s v="NO"/>
    <m/>
    <m/>
    <m/>
    <s v="NO"/>
    <m/>
    <m/>
    <m/>
    <s v="NO"/>
    <m/>
    <m/>
    <m/>
    <s v="NO"/>
    <m/>
    <m/>
    <m/>
    <s v="YES"/>
    <n v="300"/>
    <n v="0.5"/>
    <n v="1200"/>
    <s v="NO"/>
    <m/>
    <m/>
    <m/>
    <s v="NO"/>
    <m/>
    <m/>
    <m/>
    <s v="NO"/>
    <m/>
    <m/>
    <m/>
    <s v="NO"/>
    <m/>
    <m/>
    <m/>
    <m/>
    <s v="NO"/>
    <m/>
    <m/>
    <m/>
    <s v="NO"/>
    <m/>
    <m/>
    <s v="NO"/>
    <s v="NO"/>
    <m/>
    <m/>
    <s v="It is sub-commponent. Therefore there is no final evaluation"/>
    <x v="1"/>
    <s v="NO"/>
    <s v="NO"/>
    <s v="YES"/>
    <s v="YES"/>
    <s v="NO"/>
    <s v="YES"/>
    <s v="YES"/>
    <s v="NO"/>
    <m/>
    <x v="1"/>
    <s v="Based on this project, CVN will test DRR tool for urban context"/>
    <x v="1"/>
    <s v="CVN partnership with ISET to conduct Urban DRR project, which can help CVN have more experience on DRR in urban, which can bring more opportunities for both CVN and ISET for bidding proposal in the future"/>
    <x v="0"/>
    <x v="0"/>
    <s v="YES"/>
    <x v="0"/>
    <x v="0"/>
    <x v="0"/>
    <x v="0"/>
    <n v="4"/>
    <x v="1"/>
    <x v="1"/>
    <x v="1"/>
    <x v="2"/>
    <x v="1"/>
    <x v="1"/>
    <n v="3"/>
    <x v="1"/>
    <x v="1"/>
    <x v="1"/>
    <x v="1"/>
    <x v="1"/>
    <n v="3"/>
    <x v="3"/>
    <x v="2"/>
    <n v="1"/>
    <s v="International NGO(s)"/>
    <s v="International NGO(s)"/>
    <s v="International NGO(s)"/>
    <x v="2"/>
    <s v="Project provide training on DRR for commune women uinion as well as to build capacity for local communities"/>
    <s v="Project contributed very important change regarding staff capacity on how to conudct VCA in urban context"/>
    <s v="Adoption of CBDRM tool from rural context to urban context"/>
    <s v="CVN learnt new approach thru ISET how to conduct DRR in urban context"/>
    <s v="Coordination between 2 provinces (Quang Nam and Da Nang) to work on Vu Gia and Thu Bon basin"/>
    <s v="The coordination of partners is very crucial. ISET engagement with CARE in discussion of requirement for the community assessment is very helpful and ensures relevant information is collected. ISET also has good understanding at city and provincial level which can be cross checked at community level for consolidation of information"/>
    <s v="Tools and guideline should be flexible to adapt to the real situation at site eg. organizing separate group discussion of male and female where its crucial to understand the differentiated view of men and women. If the local context does allow, women should be consulted first to ensure no men domination of opinions"/>
    <m/>
    <s v="CVN only in chgarge of implement small component of this project. Key activities conducted by CVN were 1) conduct VCA in 5 communes of Quang Nam and Da Nang province; 2) support local community to bring community voice to the governments of 2 provinces"/>
    <s v="First 6 months report. Project documents"/>
    <n v="300"/>
    <n v="1200"/>
    <n v="4"/>
    <n v="0.5"/>
    <n v="0.5"/>
    <n v="150"/>
    <n v="600"/>
    <n v="1"/>
    <n v="300"/>
    <n v="1200"/>
    <n v="4"/>
    <n v="1"/>
    <n v="300"/>
    <n v="1200"/>
    <n v="4"/>
    <s v=""/>
    <n v="0"/>
    <n v="0"/>
    <s v=""/>
    <s v=""/>
    <n v="0"/>
    <n v="0"/>
    <s v=""/>
    <s v=""/>
    <n v="0"/>
    <n v="0"/>
    <s v=""/>
    <s v="2. Sensitive"/>
    <s v="2. Accommodating"/>
    <s v="2. Sensitive"/>
    <s v="It tested new ways for fighting poverty, but did not measure results of innovation"/>
    <s v="Moderate advocacy"/>
    <s v="It linked and worked with strategic alliances and partners to take tested and effective solutions to scale"/>
  </r>
  <r>
    <x v="80"/>
    <x v="0"/>
    <n v="3447"/>
    <s v="Assistance for drought and saltwater intrusion affected communities in the Mekong Delta and Central Highlands regions of Vietnam"/>
    <s v="Vietnam"/>
    <s v="VNM265"/>
    <s v="CARE Deutschland-Luxemburg"/>
    <s v="Multilateral agency"/>
    <s v="ECHO - European Commission for Humanitarian Aid and Civil Protection"/>
    <s v="ECHO"/>
    <m/>
    <m/>
    <m/>
    <m/>
    <m/>
    <m/>
    <m/>
    <m/>
    <m/>
    <m/>
    <m/>
    <m/>
    <m/>
    <m/>
    <m/>
    <m/>
    <m/>
    <m/>
    <m/>
    <m/>
    <m/>
    <m/>
    <m/>
    <m/>
    <m/>
    <m/>
    <m/>
    <m/>
    <m/>
    <m/>
    <m/>
    <m/>
    <m/>
    <m/>
    <m/>
    <m/>
    <m/>
    <m/>
    <m/>
    <m/>
    <m/>
    <m/>
    <m/>
    <m/>
    <m/>
    <d v="2016-08-01T00:00:00"/>
    <d v="2017-07-31T00:00:00"/>
    <m/>
    <s v="Humanitarian Food &amp; Nutrition Security and Resilience to Climate Change"/>
    <n v="832444"/>
    <s v="Le Xuan Hieu"/>
    <s v="Portfolio Manager"/>
    <s v="LeXuan.Hieu@careint.org"/>
    <m/>
    <m/>
    <m/>
    <s v="YES"/>
    <s v="NO"/>
    <s v="NO"/>
    <s v="To provide urgent humanitarian assistance to the most vulnerable El Nino affected communities and households in the Mekong Delta and Central Highlands regions of Vietnam"/>
    <s v="Sub-National"/>
    <s v="Soc Trang and Ca Mau provinces"/>
    <s v="Poor households in both Soc Trang and Kien Giang provinces effected by drought and salt intrusion in Vietnam in 20166"/>
    <n v="26064"/>
    <n v="26096"/>
    <n v="52160"/>
    <m/>
    <m/>
    <m/>
    <s v="There are no indirect beneficiaries because all populations of 4 targeted communes are direct beneficiaries. They received the hygin promotion information thru the risk communication activity"/>
    <m/>
    <n v="26064"/>
    <n v="26096"/>
    <n v="52160"/>
    <m/>
    <m/>
    <m/>
    <s v="YES"/>
    <n v="8400"/>
    <n v="0.505"/>
    <m/>
    <s v="YES"/>
    <m/>
    <m/>
    <m/>
    <s v="NO"/>
    <m/>
    <m/>
    <m/>
    <s v="YES"/>
    <n v="4200"/>
    <n v="0.505"/>
    <m/>
    <s v="NO"/>
    <m/>
    <m/>
    <m/>
    <s v="NO"/>
    <m/>
    <m/>
    <m/>
    <s v="NO"/>
    <m/>
    <m/>
    <m/>
    <s v="Yes"/>
    <n v="4200"/>
    <n v="0.505"/>
    <m/>
    <s v="YES"/>
    <n v="4200"/>
    <n v="0.5"/>
    <m/>
    <s v="NO"/>
    <m/>
    <m/>
    <m/>
    <s v="NO"/>
    <m/>
    <m/>
    <m/>
    <s v="YES"/>
    <n v="52160"/>
    <n v="0.5"/>
    <m/>
    <m/>
    <s v="NO"/>
    <m/>
    <m/>
    <m/>
    <m/>
    <m/>
    <m/>
    <m/>
    <m/>
    <m/>
    <m/>
    <m/>
    <m/>
    <m/>
    <m/>
    <m/>
    <m/>
    <m/>
    <m/>
    <m/>
    <m/>
    <m/>
    <m/>
    <m/>
    <m/>
    <m/>
    <m/>
    <m/>
    <m/>
    <m/>
    <m/>
    <m/>
    <m/>
    <m/>
    <m/>
    <m/>
    <m/>
    <m/>
    <m/>
    <m/>
    <m/>
    <m/>
    <m/>
    <m/>
    <m/>
    <m/>
    <m/>
    <m/>
    <m/>
    <m/>
    <m/>
    <m/>
    <m/>
    <m/>
    <m/>
    <m/>
    <m/>
    <m/>
    <m/>
    <m/>
    <m/>
    <m/>
    <m/>
    <m/>
    <m/>
    <m/>
    <m/>
    <m/>
    <m/>
    <m/>
    <m/>
    <m/>
    <m/>
    <m/>
    <m/>
    <m/>
    <m/>
    <m/>
    <m/>
    <s v="YES"/>
    <s v="October"/>
    <n v="2016"/>
    <s v="YES"/>
    <s v="YES"/>
    <s v="July"/>
    <n v="2017"/>
    <s v="In October 2017, project conducted baseline plus with KAP survey. In the next year project will conduct posk KAP and final evaluation"/>
    <x v="0"/>
    <s v="NO"/>
    <s v="NO"/>
    <s v="YES"/>
    <s v="YES"/>
    <s v="NO"/>
    <s v="NO"/>
    <s v="NO"/>
    <s v="NO"/>
    <m/>
    <x v="1"/>
    <s v="Project apply new beneficiaries selection methods, which based on the ICT system"/>
    <x v="1"/>
    <s v="Proejct consort with SC to test real-time monitoring system as well as using ICT in beneficiaries selection"/>
    <x v="1"/>
    <x v="1"/>
    <s v="NO"/>
    <x v="0"/>
    <x v="0"/>
    <x v="0"/>
    <x v="4"/>
    <n v="3"/>
    <x v="1"/>
    <x v="1"/>
    <x v="1"/>
    <x v="1"/>
    <x v="1"/>
    <x v="1"/>
    <n v="4"/>
    <x v="3"/>
    <x v="1"/>
    <x v="1"/>
    <x v="1"/>
    <x v="4"/>
    <n v="3"/>
    <x v="3"/>
    <x v="3"/>
    <n v="3"/>
    <s v="International NGO(s)"/>
    <s v="National government"/>
    <m/>
    <x v="2"/>
    <s v="Project built capacity for women union in both Soc Trang and Kien Giang on technique of emergency response, especially on cash transfer and real-time monitoring"/>
    <s v="Project is addressing the right needs of disaster affected populations, the project design and approaches is suitable to organizational capacity, priority of support and the project implementation plan and practice is consistence with CARE and SCs capacity and donor policy, it brings value-added to match the effort of the local Government to alleviate suffering and build capacity for marginalized people to better cope with disasters"/>
    <s v="Applied real-time mornitong to track all the beneficiaries as well as applied ICT in beneficiaries selection in order to ensure the transperancy of this process"/>
    <s v="Provide multi purpose cash which can help local people have more decision power"/>
    <s v="Consortium is effective model to conduct emergency response project which can mobilze resources and expertise from multi organisations"/>
    <s v="Partnership with Local Government and communities: Working directly with community, in cooperation with local masse organization: CARE with the omens Union and SC with the RC, the project also need further cooperation with Local Government at commune levels to mobilize support, particularly in coordinating efforts with different sectors within the commune structure: Health Care, Education, Water management, Youth"/>
    <s v="Level of support: For multi-purpose cash, it is advisable to use some levels of support (SC model) instead of actual number of household members (CARE model). This is due to the fact that some households with 1-2 members received a very small amount of money and had to travel 2 times from a long distance which the cost to receive it almost equal to the amount they got. This can be solved by one time distribution to the small sized family"/>
    <s v="Planning should anticipate long admin procedures in donor contracting and beneficiary selection to design timeframe to match practical situation"/>
    <m/>
    <s v="Project document. Table of beneficiaries. Interim report. Final evaluation report"/>
    <n v="52160"/>
    <n v="0"/>
    <n v="0"/>
    <n v="0.49969325153374233"/>
    <s v=""/>
    <n v="26064"/>
    <n v="0"/>
    <n v="1"/>
    <n v="52160"/>
    <n v="0"/>
    <n v="0"/>
    <n v="1"/>
    <n v="4200"/>
    <n v="0"/>
    <n v="0"/>
    <s v=""/>
    <n v="0"/>
    <n v="0"/>
    <s v=""/>
    <s v=""/>
    <n v="0"/>
    <n v="0"/>
    <s v=""/>
    <s v=""/>
    <n v="0"/>
    <n v="0"/>
    <s v=""/>
    <s v="3. Responsive"/>
    <s v="2. Accommodating"/>
    <s v="4. Transformative"/>
    <s v="It tested new ways for fighting poverty, but did not measure results of innovation"/>
    <s v="Little or no advocacy"/>
    <s v="It linked and worked with strategic alliances and partners to take tested and effective solutions to scale"/>
  </r>
  <r>
    <x v="80"/>
    <x v="0"/>
    <n v="3455"/>
    <s v="CIVIL ACTION for SOCIO-ECONOMIC INCLUSION in Northern Vietnam (phase IV)"/>
    <s v="Vietnam"/>
    <s v="VNM 259"/>
    <s v="CARE Danmark"/>
    <s v="Government"/>
    <s v="Government - Denmark"/>
    <s v="DANIDA"/>
    <m/>
    <m/>
    <m/>
    <m/>
    <m/>
    <m/>
    <m/>
    <m/>
    <m/>
    <m/>
    <m/>
    <m/>
    <m/>
    <m/>
    <m/>
    <m/>
    <m/>
    <m/>
    <m/>
    <m/>
    <m/>
    <m/>
    <m/>
    <m/>
    <m/>
    <m/>
    <m/>
    <m/>
    <m/>
    <m/>
    <m/>
    <m/>
    <m/>
    <m/>
    <m/>
    <m/>
    <m/>
    <m/>
    <m/>
    <m/>
    <m/>
    <m/>
    <m/>
    <m/>
    <m/>
    <d v="2016-01-01T00:00:00"/>
    <d v="2017-12-31T00:00:00"/>
    <m/>
    <s v="Development Other"/>
    <n v="735294"/>
    <s v="Nguyen Duc Thanh"/>
    <s v="Portfolio Manager"/>
    <s v="nguyenduc.thanh@careint.org"/>
    <s v="Nguyen Tri Dzung"/>
    <s v="REMW program team leader"/>
    <s v="nguyentri.dzung@careint.org"/>
    <s v="NO"/>
    <s v="YES"/>
    <s v="NO"/>
    <s v="Civil society organisations and representatives of those who are at risk of socio-economic exclusion among Northern ethnic minorities are increasingly involved in setting the agenda for more inclusive development approaches and policies"/>
    <s v="National"/>
    <s v="Northen provinces and partly in central and highland areas in Viet Nam"/>
    <s v="The most vulneable ethnic minority people, in particualry women and girls - Strategic partners -VNGO and their CSO networks are in particular and CSOs in general in Viet Nam"/>
    <n v="8984"/>
    <n v="10546"/>
    <n v="19530"/>
    <n v="5859910"/>
    <n v="6099090"/>
    <n v="11959000"/>
    <s v="The direct people are ethnic minority men and women, local authorities and government officials directly participated in the project activities in the project locations. The indirect people are more than 11 millions ethnic minority people living in the forest moutainous areas in Vietnam, who benefit from changes in related policies, national program that CARE and stratetegic CSO partners advocating for changes/ improvement"/>
    <m/>
    <m/>
    <m/>
    <n v="0"/>
    <m/>
    <m/>
    <m/>
    <m/>
    <m/>
    <m/>
    <m/>
    <m/>
    <m/>
    <m/>
    <m/>
    <m/>
    <m/>
    <m/>
    <m/>
    <m/>
    <m/>
    <m/>
    <m/>
    <m/>
    <m/>
    <m/>
    <m/>
    <m/>
    <m/>
    <m/>
    <m/>
    <m/>
    <m/>
    <m/>
    <m/>
    <m/>
    <m/>
    <m/>
    <m/>
    <m/>
    <m/>
    <m/>
    <m/>
    <m/>
    <m/>
    <m/>
    <m/>
    <m/>
    <m/>
    <m/>
    <m/>
    <m/>
    <m/>
    <m/>
    <m/>
    <m/>
    <m/>
    <m/>
    <m/>
    <m/>
    <n v="8984"/>
    <n v="10546"/>
    <n v="19530"/>
    <n v="5859910"/>
    <n v="6099090"/>
    <n v="11959000"/>
    <s v="NO"/>
    <m/>
    <m/>
    <m/>
    <s v="YES"/>
    <n v="429"/>
    <n v="1"/>
    <n v="1716"/>
    <s v="NO"/>
    <m/>
    <m/>
    <m/>
    <s v="NO"/>
    <m/>
    <m/>
    <m/>
    <s v="NO"/>
    <m/>
    <m/>
    <m/>
    <s v="NO"/>
    <m/>
    <m/>
    <m/>
    <s v="NO"/>
    <m/>
    <m/>
    <m/>
    <s v="NO"/>
    <m/>
    <m/>
    <m/>
    <s v="YES"/>
    <n v="1235"/>
    <n v="0.8"/>
    <n v="4940"/>
    <s v="NO"/>
    <m/>
    <m/>
    <m/>
    <s v="NO"/>
    <m/>
    <m/>
    <m/>
    <s v="YES"/>
    <n v="1241"/>
    <n v="0.31"/>
    <n v="4962"/>
    <s v="YES"/>
    <n v="19530"/>
    <n v="0.3"/>
    <n v="78120"/>
    <s v="NO"/>
    <m/>
    <m/>
    <m/>
    <s v="NO"/>
    <m/>
    <m/>
    <m/>
    <s v="YES"/>
    <m/>
    <m/>
    <m/>
    <m/>
    <s v="NO"/>
    <m/>
    <m/>
    <m/>
    <s v="NO"/>
    <m/>
    <m/>
    <m/>
    <s v="YES"/>
    <s v="November"/>
    <n v="2017"/>
    <s v="Planed to have a evaluation (2 international and national consultants), the main methodology is documentation and casestudy to find out lessons learnt to document and reflect to evaluate the project. It is expected the outputs of the final evaluation will produce a number of casestudies for learning and reflection in term of CSO capacity strenthening, advocacy, outcome monitoring, gender equity, impact/ changes made etc."/>
    <x v="2"/>
    <s v="YES"/>
    <s v="YES"/>
    <s v="YES"/>
    <s v="YES"/>
    <s v="YES"/>
    <s v="YES"/>
    <s v="YES"/>
    <s v="YES"/>
    <s v="Advocacy for CSO's enabling working environment"/>
    <x v="2"/>
    <s v="Program approach, partnership, outcome monitoring, partner driven"/>
    <x v="1"/>
    <s v="Partnership, partner driven, CSO collective actions for influence"/>
    <x v="0"/>
    <x v="1"/>
    <s v="YES"/>
    <x v="0"/>
    <x v="0"/>
    <x v="0"/>
    <x v="2"/>
    <n v="4"/>
    <x v="2"/>
    <x v="1"/>
    <x v="1"/>
    <x v="1"/>
    <x v="1"/>
    <x v="2"/>
    <n v="4"/>
    <x v="1"/>
    <x v="1"/>
    <x v="1"/>
    <x v="1"/>
    <x v="1"/>
    <n v="3"/>
    <x v="0"/>
    <x v="2"/>
    <n v="3"/>
    <s v="Local NGO(s)/CSO(s)"/>
    <m/>
    <m/>
    <x v="0"/>
    <s v="Facilitated the CSO partners strenthen their Ods; activist, knowledge broker; join program development etc."/>
    <m/>
    <s v="Partnership strenthening and project partner driven"/>
    <s v="Maintained an openness, trust, friendly, inovative, supportive working environmnent between the partners in the project"/>
    <s v="Empower CSO representatives of the impact groups (Landnet, Tienphong networks or CBO led by EM women etc.)"/>
    <s v="Advocacy process is complexity and challeging. It need to have strategic and tactics plans/ actions. Sometime we should go in a lign with CSO networks/ alliances but sometime should be activists and stand behind and support government active people/ policy makers  "/>
    <s v="We could not be representatives for the impact group to address their development issues but building and strengthening their representatives (CSOs, networks) would be a strategic and long term interventions"/>
    <s v="Ethnic minority young people will be potential targeted groups for changes"/>
    <m/>
    <m/>
    <n v="19530"/>
    <n v="11959000"/>
    <n v="612.33998975934458"/>
    <n v="0.46001024065540197"/>
    <n v="0.49"/>
    <n v="8984"/>
    <n v="5859910"/>
    <s v=""/>
    <n v="0"/>
    <n v="0"/>
    <s v=""/>
    <n v="1"/>
    <n v="1241"/>
    <n v="4962"/>
    <n v="3.9983883964544722"/>
    <s v=""/>
    <n v="0"/>
    <n v="0"/>
    <s v=""/>
    <s v=""/>
    <n v="0"/>
    <n v="0"/>
    <s v=""/>
    <n v="1"/>
    <n v="0"/>
    <n v="0"/>
    <s v=""/>
    <s v="4. Transformative"/>
    <s v="4. Transformational"/>
    <s v="2. Sensitive"/>
    <s v="It tested new ways for fighting poverty and measured results of innovation"/>
    <s v="Intensive advocacy"/>
    <s v="It linked and worked with strategic alliances and partners to take tested and effective solutions to scale"/>
  </r>
  <r>
    <x v="80"/>
    <x v="0"/>
    <m/>
    <s v="EMPOWER ME: WOMENS EMPOWERMENT THROUGH CLEAN COOKSTOVE MICRO-ENTERPRISES"/>
    <s v="Vietnam"/>
    <s v="VNM267"/>
    <s v="No CARE member related to the project/initiative"/>
    <s v="Other"/>
    <s v="Other"/>
    <s v="Global Alliance for Clean Cookstove"/>
    <m/>
    <m/>
    <m/>
    <m/>
    <m/>
    <m/>
    <m/>
    <m/>
    <m/>
    <m/>
    <m/>
    <m/>
    <m/>
    <m/>
    <m/>
    <m/>
    <m/>
    <m/>
    <m/>
    <m/>
    <m/>
    <m/>
    <m/>
    <m/>
    <m/>
    <m/>
    <m/>
    <m/>
    <m/>
    <m/>
    <m/>
    <m/>
    <m/>
    <m/>
    <m/>
    <m/>
    <m/>
    <m/>
    <m/>
    <m/>
    <m/>
    <m/>
    <m/>
    <m/>
    <m/>
    <d v="2016-09-01T00:00:00"/>
    <d v="2017-08-31T00:00:00"/>
    <d v="2017-11-30T00:00:00"/>
    <s v="Development Access to and Control over Economic Resources"/>
    <n v="75000"/>
    <s v="Le Xuan Hieu"/>
    <s v="Portfolio Manager"/>
    <s v="LeXuan.Hieu@careint.org"/>
    <m/>
    <m/>
    <m/>
    <s v="NO"/>
    <s v="YES"/>
    <s v="NO"/>
    <s v="To promote the economic empowerment of ethnic minority women through clean cookstove micro-enterprises"/>
    <s v="Sub-National"/>
    <s v="Dien Bien and Bac Kan provinces"/>
    <s v="Ethnic women of VSLA groups in both Bac Kan and Dien Bien provinces"/>
    <n v="3500"/>
    <n v="0"/>
    <n v="3500"/>
    <n v="5250"/>
    <n v="8750"/>
    <n v="14000"/>
    <s v="Direct beneficiaries: total 3500 women who bought clean cookstoves. Indirect: all members of 3500 family who bought cookstoves"/>
    <m/>
    <m/>
    <m/>
    <m/>
    <m/>
    <m/>
    <m/>
    <m/>
    <m/>
    <m/>
    <m/>
    <m/>
    <m/>
    <m/>
    <m/>
    <m/>
    <m/>
    <m/>
    <m/>
    <m/>
    <m/>
    <m/>
    <m/>
    <m/>
    <m/>
    <m/>
    <m/>
    <m/>
    <m/>
    <m/>
    <m/>
    <m/>
    <m/>
    <m/>
    <m/>
    <m/>
    <m/>
    <m/>
    <m/>
    <m/>
    <m/>
    <m/>
    <m/>
    <m/>
    <m/>
    <m/>
    <m/>
    <m/>
    <m/>
    <m/>
    <m/>
    <m/>
    <m/>
    <m/>
    <m/>
    <m/>
    <m/>
    <m/>
    <m/>
    <m/>
    <n v="500"/>
    <n v="0"/>
    <n v="500"/>
    <n v="750"/>
    <n v="1250"/>
    <n v="2000"/>
    <s v="NO"/>
    <m/>
    <m/>
    <m/>
    <s v="YES"/>
    <n v="500"/>
    <n v="1"/>
    <n v="2000"/>
    <s v="NO"/>
    <m/>
    <m/>
    <m/>
    <s v="NO"/>
    <m/>
    <m/>
    <m/>
    <s v="YES"/>
    <n v="70"/>
    <n v="1"/>
    <n v="280"/>
    <s v="NO"/>
    <m/>
    <m/>
    <m/>
    <s v="NO"/>
    <m/>
    <m/>
    <m/>
    <s v="YES"/>
    <n v="70"/>
    <n v="1"/>
    <n v="280"/>
    <s v="YES"/>
    <n v="70"/>
    <n v="1"/>
    <n v="280"/>
    <s v="NO"/>
    <m/>
    <m/>
    <m/>
    <s v="NO"/>
    <m/>
    <m/>
    <m/>
    <s v="NO"/>
    <m/>
    <m/>
    <m/>
    <s v="NO"/>
    <m/>
    <m/>
    <m/>
    <s v="NO"/>
    <m/>
    <m/>
    <m/>
    <s v="NO"/>
    <m/>
    <m/>
    <m/>
    <s v="YES"/>
    <n v="70"/>
    <n v="1"/>
    <n v="280"/>
    <m/>
    <s v="NO"/>
    <m/>
    <m/>
    <m/>
    <s v="NO"/>
    <m/>
    <m/>
    <s v="NO"/>
    <s v="YES"/>
    <s v="August"/>
    <n v="2017"/>
    <s v="In the next year, project will conduct final evaluation as well as measure some key indicators which recommended by Global Alliance for Clean Cookstoves"/>
    <x v="0"/>
    <s v="NO"/>
    <s v="NO"/>
    <s v="NO"/>
    <s v="NO"/>
    <s v="NO"/>
    <s v="NO"/>
    <s v="NO"/>
    <s v="NO"/>
    <m/>
    <x v="1"/>
    <s v="Project built bussiness skills for VSA leaders who could operate their bussiness based on clean cookstoves products"/>
    <x v="1"/>
    <s v="Project partnershiop with GreenGen, an company focuses to produce and sell clean cookstoves"/>
    <x v="1"/>
    <x v="1"/>
    <s v="YES"/>
    <x v="0"/>
    <x v="0"/>
    <x v="0"/>
    <x v="2"/>
    <n v="4"/>
    <x v="2"/>
    <x v="1"/>
    <x v="1"/>
    <x v="1"/>
    <x v="1"/>
    <x v="2"/>
    <n v="4"/>
    <x v="3"/>
    <x v="1"/>
    <x v="1"/>
    <x v="1"/>
    <x v="4"/>
    <n v="3"/>
    <x v="0"/>
    <x v="3"/>
    <n v="1"/>
    <s v="Private sector"/>
    <m/>
    <m/>
    <x v="2"/>
    <s v="Project also provide training to improve capacity of for VSLA groups"/>
    <s v="With training provided from project, as well as experiencing thru selling the clean cookstove, the understanding/knowledge and skill of bussiness of VSLA leaders has been improved"/>
    <s v="Project based on VSLA flatform in order to build business skill for VSAL leaders"/>
    <s v="Sharing experience between Dien Bien and Bac Kan is good way to learn each other between 2 areas and 2 ethnic group"/>
    <m/>
    <s v="Business skill could not fucstioning well after one training, it require a lot of coaching and mentoring"/>
    <s v="Athought training for around 70 VSLA leaders on business skill, but project should not expect to help all of them to work on business. Therefore project should strong focus on the members who have strong potential of bussiness"/>
    <m/>
    <s v="Project targeted to sell out 3500 clean cookstoves with then 1 year, however it will be really challenges because we could not sure how local people accept new type of cookstoves"/>
    <s v="Project document_x000a_Quarterly reports"/>
    <n v="500"/>
    <n v="2000"/>
    <n v="4"/>
    <n v="1"/>
    <n v="0.375"/>
    <n v="500"/>
    <n v="750"/>
    <s v=""/>
    <n v="0"/>
    <n v="0"/>
    <s v=""/>
    <n v="1"/>
    <n v="500"/>
    <n v="2000"/>
    <n v="4"/>
    <s v=""/>
    <n v="0"/>
    <n v="0"/>
    <s v=""/>
    <n v="1"/>
    <n v="70"/>
    <n v="280"/>
    <n v="4"/>
    <n v="1"/>
    <n v="70"/>
    <n v="280"/>
    <n v="4"/>
    <s v="4. Transformative"/>
    <s v="4. Transformational"/>
    <s v="4. Transformative"/>
    <s v="It tested new ways for fighting poverty, but did not measure results of innovation"/>
    <s v="Little or no advocacy"/>
    <s v="It linked and worked with strategic alliances and partners to take tested and effective solutions to scale"/>
  </r>
  <r>
    <x v="80"/>
    <x v="0"/>
    <n v="3451"/>
    <s v="Enhancing adaptive capacity of women and ethnic minority smallholder farmers through improved agro-climate information in South-East Asia"/>
    <s v="Vietnam"/>
    <s v="VNM257"/>
    <s v="No CARE member related to the project/initiative"/>
    <s v="Other"/>
    <s v="Other"/>
    <s v="CGIAR Research Program on Climate change Agriculture and Food Secuirty-CCAFS led by International Center for Tropical Agriculture-CIAT, granted to The International Centre for Research in Agroforestry and CARE"/>
    <m/>
    <m/>
    <m/>
    <m/>
    <m/>
    <m/>
    <m/>
    <m/>
    <m/>
    <m/>
    <m/>
    <m/>
    <m/>
    <m/>
    <m/>
    <m/>
    <m/>
    <m/>
    <m/>
    <m/>
    <m/>
    <m/>
    <m/>
    <m/>
    <m/>
    <m/>
    <m/>
    <m/>
    <m/>
    <m/>
    <m/>
    <m/>
    <m/>
    <m/>
    <m/>
    <m/>
    <m/>
    <m/>
    <m/>
    <m/>
    <m/>
    <m/>
    <m/>
    <m/>
    <m/>
    <d v="2015-01-01T00:00:00"/>
    <d v="2018-12-31T00:00:00"/>
    <m/>
    <s v="Development Access to and Control over Economic Resources"/>
    <n v="384508"/>
    <s v="Le Xuan Hieu"/>
    <s v="Portfolio Manager"/>
    <s v="LeXuan.Hieu@careint.org"/>
    <m/>
    <m/>
    <m/>
    <s v="NO"/>
    <s v="YES"/>
    <s v="NO"/>
    <s v="By 2019 women and ethnic minority (W&amp;EM) farmers in Vietnam, Cambodia and Lao are able to better forecast and respond to risks and opportunities from limatic variability through participatory equitable agro-climatic information systems (ACIS)"/>
    <s v="Multiple countries"/>
    <s v="Project is implemented in Vietnam, Laos and Cambodia. In Vietnam, it will be implemented in Dien Bien and Ha Tinh Provinces"/>
    <s v="In Vietnam, the impact groups of the project are women and ethnic minority farmers in Dien Bien and Ha Tinh Provinces"/>
    <n v="85000"/>
    <n v="85000"/>
    <n v="170000"/>
    <n v="4713"/>
    <n v="2845"/>
    <n v="7558"/>
    <s v="Direct beneficiaries: total men and women in the targeted project communes who will receive climate information and agricuture advisories. Indirect beneficiaries: total farmer in both Dien Bien and Ha Tinh will benefifited from scalling out ACIS activities from provincial people committee policies"/>
    <m/>
    <m/>
    <m/>
    <m/>
    <m/>
    <m/>
    <m/>
    <m/>
    <m/>
    <m/>
    <m/>
    <m/>
    <m/>
    <m/>
    <m/>
    <m/>
    <m/>
    <m/>
    <m/>
    <m/>
    <m/>
    <m/>
    <m/>
    <m/>
    <m/>
    <m/>
    <m/>
    <m/>
    <m/>
    <m/>
    <m/>
    <m/>
    <m/>
    <m/>
    <m/>
    <m/>
    <m/>
    <m/>
    <m/>
    <m/>
    <m/>
    <m/>
    <m/>
    <m/>
    <m/>
    <m/>
    <m/>
    <m/>
    <m/>
    <m/>
    <m/>
    <m/>
    <m/>
    <m/>
    <m/>
    <m/>
    <m/>
    <m/>
    <m/>
    <m/>
    <n v="1300"/>
    <n v="1970"/>
    <n v="3270"/>
    <n v="5200"/>
    <n v="7880"/>
    <n v="13080"/>
    <s v="YES"/>
    <n v="3270"/>
    <n v="0.39755351681957102"/>
    <n v="13080"/>
    <s v="YES"/>
    <n v="3270"/>
    <n v="0.39755351681957102"/>
    <n v="13080"/>
    <s v="NO"/>
    <m/>
    <m/>
    <m/>
    <s v="NO"/>
    <m/>
    <m/>
    <m/>
    <s v="NO"/>
    <m/>
    <m/>
    <m/>
    <s v="YES"/>
    <n v="3270"/>
    <n v="0.39755351681957102"/>
    <n v="13080"/>
    <s v="NO"/>
    <m/>
    <m/>
    <m/>
    <s v="NO"/>
    <m/>
    <m/>
    <m/>
    <s v="YES"/>
    <n v="3270"/>
    <n v="0.39755351681957102"/>
    <n v="13080"/>
    <s v="NO"/>
    <m/>
    <m/>
    <m/>
    <s v="NO"/>
    <m/>
    <m/>
    <m/>
    <s v="NO"/>
    <m/>
    <m/>
    <m/>
    <s v="YES"/>
    <n v="3270"/>
    <n v="0.39755351681957102"/>
    <n v="13080"/>
    <s v="NO"/>
    <m/>
    <m/>
    <m/>
    <s v="NO"/>
    <m/>
    <m/>
    <m/>
    <s v="YES"/>
    <n v="3270"/>
    <n v="0.39755351681957102"/>
    <n v="13080"/>
    <m/>
    <m/>
    <m/>
    <m/>
    <m/>
    <s v="NO"/>
    <m/>
    <m/>
    <s v="YES"/>
    <s v="NO"/>
    <m/>
    <m/>
    <s v="There is no baseline/evaluation this FY"/>
    <x v="1"/>
    <s v="NO"/>
    <s v="NO"/>
    <s v="NO"/>
    <s v="YES"/>
    <s v="YES"/>
    <s v="YES"/>
    <s v="NO"/>
    <s v="NO"/>
    <m/>
    <x v="1"/>
    <s v="Project tested to distribute climate information and adviories which they has not experience before"/>
    <x v="1"/>
    <s v="Project tested to distribute climate information and adviories which they has not experience before"/>
    <x v="1"/>
    <x v="1"/>
    <s v="YES"/>
    <x v="0"/>
    <x v="0"/>
    <x v="0"/>
    <x v="2"/>
    <n v="4"/>
    <x v="1"/>
    <x v="1"/>
    <x v="1"/>
    <x v="1"/>
    <x v="1"/>
    <x v="1"/>
    <n v="4"/>
    <x v="3"/>
    <x v="1"/>
    <x v="1"/>
    <x v="1"/>
    <x v="4"/>
    <n v="3"/>
    <x v="3"/>
    <x v="3"/>
    <n v="3"/>
    <s v="Local government(s)"/>
    <s v="International NGO(s)"/>
    <s v="Local NGO(s)/CSO(s)"/>
    <x v="2"/>
    <s v="Project contributed to build capacity for Ha Tinh Farmer Association and Centre for Community Development in Dien Bien"/>
    <s v="Provincial Meteorology and Hydrology Station (PMHS) continued to produce one seasonal forecast for Autumn-winter season which is downscaled for Dien Bien district. This seasonal forecast has been taken into consideration of the Provincial, District Department of Agriculture and Rural Development (P&amp;D DARD) to address farmers demand (scenario for temperature, rainfall, number of damaging heavy rains, hot days. PMHS also shared weekly forecast with information about rainfall, temperature and early warning on extreme weather events. However, there were still terms which were broad (changing cloud, scattered rain, thunderstorms in some location) which were not easy to use in actions"/>
    <s v="Project used VSLA flatform for distribution and discussion of how to apply agricuture adviories"/>
    <s v="Gender transformation in agriculture should be also integrated in VSAL meetings"/>
    <s v="Project should looking for different method to distribute climate information and advisories because a lot of ethnic women could not read Vietnamese"/>
    <s v="It was quite costly if project still use tradtional methods of information distribution, therefore project should consider new methods such as ICT, SMS in messages delivery"/>
    <s v="How to distribute climate and advisory to farmers in time was issue because if information flow from province to district to commune to village to villager, it take so long time, it could be miss opportunities for farmer to response effectively. Therefore project need to find other quicker solution for that"/>
    <m/>
    <s v="Due to budget cut, therefore project lack of resources to conduct documentation as well as advocacy at provincial level"/>
    <s v="Project document. Six month report. Baseline report"/>
    <n v="3270"/>
    <n v="13080"/>
    <n v="4"/>
    <n v="0.39755351681957185"/>
    <n v="0.39755351681957185"/>
    <n v="1300"/>
    <n v="5200"/>
    <s v=""/>
    <n v="0"/>
    <n v="0"/>
    <s v=""/>
    <n v="1"/>
    <n v="3270"/>
    <n v="13080"/>
    <n v="4"/>
    <s v=""/>
    <n v="0"/>
    <n v="0"/>
    <s v=""/>
    <s v=""/>
    <n v="0"/>
    <n v="0"/>
    <s v=""/>
    <n v="1"/>
    <n v="3270"/>
    <n v="13080"/>
    <n v="4"/>
    <s v="4. Transformative"/>
    <s v="2. Accommodating"/>
    <s v="4. Transformative"/>
    <s v="It tested new ways for fighting poverty, but did not measure results of innovation"/>
    <s v="Moderate advocacy"/>
    <s v="It linked and worked with strategic alliances and partners to take tested and effective solutions to scale"/>
  </r>
  <r>
    <x v="80"/>
    <x v="0"/>
    <m/>
    <s v="Ethnic Minority Womens Empowerment - Plus"/>
    <s v="Vietnam"/>
    <s v="VNM264"/>
    <s v="CARE UK"/>
    <s v="Corporation"/>
    <s v="Other"/>
    <s v="Experian"/>
    <m/>
    <m/>
    <m/>
    <m/>
    <m/>
    <m/>
    <m/>
    <m/>
    <m/>
    <m/>
    <m/>
    <m/>
    <m/>
    <m/>
    <m/>
    <m/>
    <m/>
    <m/>
    <m/>
    <m/>
    <m/>
    <m/>
    <m/>
    <m/>
    <m/>
    <m/>
    <m/>
    <m/>
    <m/>
    <m/>
    <m/>
    <m/>
    <m/>
    <m/>
    <m/>
    <m/>
    <m/>
    <m/>
    <m/>
    <m/>
    <m/>
    <m/>
    <m/>
    <m/>
    <m/>
    <d v="2016-07-01T00:00:00"/>
    <d v="2017-06-30T00:00:00"/>
    <m/>
    <s v="Development Access to and Control over Economic Resources"/>
    <n v="45991"/>
    <s v="Le Xuan Hieu"/>
    <s v="Portfolio Manager"/>
    <s v="LeXuan.Hieu@careint.org"/>
    <m/>
    <m/>
    <m/>
    <s v="NO"/>
    <s v="YES"/>
    <s v="NO"/>
    <s v="The Ethnic Minority Womens Empowerment Plus (EMWE+) project will promote the financial inclusion and resilience of women from the Thai ethnic minority group in Dien Bien Province of Northern Vietnam. The projects main objective is to increase the resilience of ethnic minority women and their families through improved financial inclusion"/>
    <s v="Sub-National"/>
    <s v="Dien Bien province"/>
    <s v="Ethnic minority Women in Dien Bien province"/>
    <n v="1200"/>
    <n v="0"/>
    <n v="1200"/>
    <n v="1800"/>
    <n v="3000"/>
    <n v="4800"/>
    <s v="Direct beneficiaries: total members of VSLA establish under this project + total VSAL members participated in financial literacy education (not including VSLA members under this project). Indirect beneficiaries: total people of direct beneficiaries family members"/>
    <m/>
    <m/>
    <m/>
    <m/>
    <m/>
    <m/>
    <m/>
    <m/>
    <m/>
    <m/>
    <m/>
    <m/>
    <m/>
    <m/>
    <m/>
    <m/>
    <m/>
    <m/>
    <m/>
    <m/>
    <m/>
    <m/>
    <m/>
    <m/>
    <m/>
    <m/>
    <m/>
    <m/>
    <m/>
    <m/>
    <m/>
    <m/>
    <m/>
    <m/>
    <m/>
    <m/>
    <m/>
    <m/>
    <m/>
    <m/>
    <m/>
    <m/>
    <m/>
    <m/>
    <m/>
    <m/>
    <m/>
    <m/>
    <m/>
    <m/>
    <m/>
    <m/>
    <m/>
    <m/>
    <m/>
    <m/>
    <m/>
    <m/>
    <m/>
    <m/>
    <n v="1823"/>
    <n v="0"/>
    <n v="1823"/>
    <n v="2735"/>
    <n v="4557"/>
    <n v="7292"/>
    <s v="NO"/>
    <m/>
    <m/>
    <m/>
    <s v="NO"/>
    <m/>
    <m/>
    <m/>
    <s v="NO"/>
    <m/>
    <m/>
    <m/>
    <s v="NO"/>
    <m/>
    <m/>
    <m/>
    <s v="NO"/>
    <m/>
    <m/>
    <m/>
    <s v="YES"/>
    <n v="1823"/>
    <n v="1"/>
    <n v="7292"/>
    <s v="NO"/>
    <m/>
    <m/>
    <m/>
    <s v="NO"/>
    <m/>
    <m/>
    <m/>
    <s v="NO"/>
    <m/>
    <m/>
    <m/>
    <s v="NO"/>
    <m/>
    <m/>
    <m/>
    <s v="NO"/>
    <m/>
    <m/>
    <m/>
    <s v="NO"/>
    <m/>
    <m/>
    <m/>
    <s v="NO"/>
    <m/>
    <m/>
    <m/>
    <s v="NO"/>
    <m/>
    <m/>
    <m/>
    <s v="NO"/>
    <m/>
    <m/>
    <m/>
    <s v="YES"/>
    <n v="1823"/>
    <n v="1"/>
    <n v="7292"/>
    <m/>
    <s v="NO"/>
    <m/>
    <m/>
    <m/>
    <m/>
    <m/>
    <m/>
    <s v="NO"/>
    <s v="NO"/>
    <m/>
    <m/>
    <s v="EMWE PLUS was consider as added activities to EMWE project which contained only 2 activities 1) establish VSLA groups and 2) provide finance literacy eudcation"/>
    <x v="0"/>
    <s v="NO"/>
    <s v="NO"/>
    <s v="YES"/>
    <s v="YES"/>
    <s v="YES"/>
    <s v="NO"/>
    <s v="NO"/>
    <s v="NO"/>
    <m/>
    <x v="1"/>
    <s v="Project provided more opportunities for ethnic women to access to finance resources as well as provide knowledge on how to save and spend money effectively"/>
    <x v="1"/>
    <s v="Project worked with CCD and Dien Bien women union to transfer VSLA model which can help them to replicate this model to other areas of Dien Bien province"/>
    <x v="1"/>
    <x v="1"/>
    <s v="YES"/>
    <x v="0"/>
    <x v="0"/>
    <x v="0"/>
    <x v="2"/>
    <n v="4"/>
    <x v="1"/>
    <x v="1"/>
    <x v="2"/>
    <x v="1"/>
    <x v="1"/>
    <x v="1"/>
    <n v="3"/>
    <x v="1"/>
    <x v="1"/>
    <x v="2"/>
    <x v="1"/>
    <x v="3"/>
    <n v="2"/>
    <x v="0"/>
    <x v="3"/>
    <n v="1"/>
    <s v="Local NGO(s)/CSO(s)"/>
    <m/>
    <m/>
    <x v="2"/>
    <s v="Project focused to build capacity for CCD and leaders of VSLA groups on finance literacy education"/>
    <s v="After a year of implementation, the project has achieved the major social outcomes, with strong focus on building resilience capacity of women, including womens empowerment, recognition of local authorities toward women and inclusion of the most marginalized people"/>
    <s v="After joining 30 groups of VSLA in 05 communes, 880 women have a platform to meet regularly and practice saving. The change start from individual women. They have gain confidence and discuss in groups about matter affecting their life"/>
    <s v="Women also reflected financial literacy training have helped them organize their household budget and planning better. They shared that previously, they did not set goals for savings and think about arranging their budget for different purposes, they just used small amount of cash for daily consumption, and when they needed money for other purpose, they would sell their assets, such as buffalos or cows. Putting money into saving was not popular practice among these women. After financial literacy training, they are now aware of the importance of saving and setting goals for their life. Saving becomes a tool for them to reach their goals and  the goal can be small, to medium and large"/>
    <s v="Beyond individual change, the relationship among women themselves. VSLA members reflected that they really enjoyed going to VSLA meeting and socialize with other women because previously, women were too occupied with housework and could not going out to see others. While VSLA is regular platform, they can meet up frequently, not only to practice saving abut also to discuss other issues that concern their lives, or even just to chat anything they want, or just to sing a song together"/>
    <s v="EMWE PLUS has been built on EMWE project, therefore it is synergy resources each others to create more impact to local community"/>
    <s v="It could be difficult to build all VSLA leaders to became TOT trainers, therefore project should select only some key leaders who have potential to training on finance literacy education which they will deliver to VSLA members"/>
    <s v="EMWE PLUS created very strong VSLA mater trainers which included for both &quot;how to establish and operate VSLA&quot; and &quot;finance literacy education&quot;. With this trainers, which can help to roll out both topics to the other areas/provinces. CVN can mobilze this resource for the other projects if needed"/>
    <s v="With limited budget and short time frame, therefore project only focused into 2 activities. Which included 1) establish VSAL and 2) provide training finance literacy education. Therefore project only created impact on finance inclusion which could be not included other factors such social, livelihood etc"/>
    <s v="1. Project document_x000a_2. Quarterly report_x000a_3. Final report"/>
    <n v="1823"/>
    <n v="7292"/>
    <n v="4"/>
    <n v="1"/>
    <n v="0.37506856829402085"/>
    <n v="1823"/>
    <n v="2735"/>
    <s v=""/>
    <n v="0"/>
    <n v="0"/>
    <s v=""/>
    <s v=""/>
    <n v="0"/>
    <n v="0"/>
    <s v=""/>
    <s v=""/>
    <n v="0"/>
    <n v="0"/>
    <s v=""/>
    <s v=""/>
    <n v="0"/>
    <n v="0"/>
    <s v=""/>
    <n v="1"/>
    <n v="1823"/>
    <n v="7292"/>
    <n v="4"/>
    <s v="4. Transformative"/>
    <s v="2. Accommodating"/>
    <s v="1. Neutral"/>
    <s v="It tested new ways for fighting poverty, but did not measure results of innovation"/>
    <s v="Little or no advocacy"/>
    <s v="It linked and worked with strategic alliances and partners to take tested and effective solutions to scale"/>
  </r>
  <r>
    <x v="80"/>
    <x v="0"/>
    <n v="3449"/>
    <s v="Ethnic Minority Womens Empowerment Initiative"/>
    <s v="Vietnam"/>
    <s v="VNM 245"/>
    <s v="CARE Australia"/>
    <s v="Government"/>
    <s v="Government - Australia"/>
    <s v="DFAT-Australia"/>
    <m/>
    <m/>
    <m/>
    <m/>
    <m/>
    <m/>
    <m/>
    <m/>
    <m/>
    <m/>
    <m/>
    <m/>
    <m/>
    <m/>
    <m/>
    <m/>
    <m/>
    <m/>
    <m/>
    <m/>
    <m/>
    <m/>
    <m/>
    <m/>
    <m/>
    <m/>
    <m/>
    <m/>
    <m/>
    <m/>
    <m/>
    <m/>
    <m/>
    <m/>
    <m/>
    <m/>
    <m/>
    <m/>
    <m/>
    <m/>
    <m/>
    <m/>
    <m/>
    <m/>
    <m/>
    <d v="2013-07-01T00:00:00"/>
    <d v="2017-06-30T00:00:00"/>
    <m/>
    <s v="Humanitarian Access to and Control over Economic Resources"/>
    <n v="1511580.6"/>
    <s v="Le Xuan Hieu"/>
    <s v="Portfolio Manager"/>
    <s v="LeXuan.Hieu@careint.org"/>
    <m/>
    <m/>
    <m/>
    <s v="NO"/>
    <s v="YES"/>
    <s v="NO"/>
    <s v="REMW are empowered to actively participate in local socio-economic development planning and decision making"/>
    <s v="National"/>
    <s v="Dien Bien District, Dien Bien Province Ba Be District, Bac Kan Province, Hanoi for engagement in national level dialog"/>
    <s v="Remote Ethnic Minority Women, who are land poor, socially isolated, and have weak resilience to hazards and shocks"/>
    <n v="9325"/>
    <n v="5191"/>
    <n v="14516"/>
    <n v="4463"/>
    <n v="2595"/>
    <n v="7058"/>
    <s v="Direct beneficiaries: total No of women who participate in the VSLA groups plus with husband of VSLA groups who participated in engaging with men activities Indirect: total members of the family of all direct beneficiaries families"/>
    <m/>
    <m/>
    <m/>
    <m/>
    <m/>
    <m/>
    <m/>
    <m/>
    <m/>
    <m/>
    <m/>
    <m/>
    <m/>
    <m/>
    <m/>
    <m/>
    <m/>
    <m/>
    <m/>
    <m/>
    <m/>
    <m/>
    <m/>
    <m/>
    <m/>
    <m/>
    <m/>
    <m/>
    <m/>
    <m/>
    <m/>
    <m/>
    <m/>
    <m/>
    <m/>
    <m/>
    <m/>
    <m/>
    <m/>
    <m/>
    <m/>
    <m/>
    <m/>
    <m/>
    <m/>
    <m/>
    <m/>
    <m/>
    <m/>
    <m/>
    <m/>
    <m/>
    <m/>
    <m/>
    <m/>
    <m/>
    <m/>
    <m/>
    <m/>
    <m/>
    <n v="1408"/>
    <n v="455"/>
    <n v="1863"/>
    <n v="2112"/>
    <n v="3065"/>
    <n v="5177"/>
    <s v="NO"/>
    <m/>
    <m/>
    <m/>
    <s v="YES"/>
    <n v="429"/>
    <n v="1"/>
    <n v="1716"/>
    <s v="NO"/>
    <m/>
    <m/>
    <m/>
    <s v="NO"/>
    <m/>
    <m/>
    <m/>
    <s v="YES"/>
    <n v="1408"/>
    <n v="1"/>
    <n v="5177"/>
    <s v="NO"/>
    <m/>
    <m/>
    <m/>
    <s v="NO"/>
    <m/>
    <m/>
    <m/>
    <s v="YES"/>
    <n v="1863"/>
    <n v="0.75577026301663897"/>
    <n v="5177"/>
    <s v="YES"/>
    <n v="1863"/>
    <n v="0.75577026301663897"/>
    <n v="5177"/>
    <s v="NO"/>
    <m/>
    <m/>
    <m/>
    <s v="NO"/>
    <m/>
    <m/>
    <m/>
    <s v="NO"/>
    <m/>
    <m/>
    <m/>
    <s v="YES"/>
    <n v="1863"/>
    <n v="0.75577026301663897"/>
    <n v="5177"/>
    <s v="NO"/>
    <m/>
    <m/>
    <m/>
    <s v="NO"/>
    <m/>
    <m/>
    <m/>
    <s v="YES"/>
    <n v="1863"/>
    <n v="0.75577026301663897"/>
    <n v="5177"/>
    <m/>
    <m/>
    <m/>
    <m/>
    <m/>
    <s v="YES"/>
    <s v="May"/>
    <n v="2017"/>
    <s v="YES"/>
    <s v="NO"/>
    <m/>
    <m/>
    <s v="Project conducted both endline survey in order to collect data in order to measure all indicators indicated in the logframe. On the other hand, project also to conduct evaluate qualitative part in order to assess relevant, effectiveness, efficiency, sustainbale also"/>
    <x v="1"/>
    <s v="NO"/>
    <s v="NO"/>
    <s v="YES"/>
    <s v="YES"/>
    <s v="YES"/>
    <s v="YES"/>
    <s v="NO"/>
    <m/>
    <m/>
    <x v="1"/>
    <s v="EMWE project has been designed as a platform to integrate other interventions that work jointly towards a common objective such as empowering minority women. With limited resources, EMWE cannot solve all the problems for ethnic minorities so integration with other projects is important."/>
    <x v="1"/>
    <s v="Project documented VSLA models whiich has been transferred to Central Women Union"/>
    <x v="1"/>
    <x v="1"/>
    <s v="YES"/>
    <x v="0"/>
    <x v="0"/>
    <x v="0"/>
    <x v="2"/>
    <n v="4"/>
    <x v="2"/>
    <x v="1"/>
    <x v="1"/>
    <x v="1"/>
    <x v="1"/>
    <x v="2"/>
    <n v="4"/>
    <x v="3"/>
    <x v="1"/>
    <x v="1"/>
    <x v="1"/>
    <x v="4"/>
    <n v="3"/>
    <x v="0"/>
    <x v="3"/>
    <n v="3"/>
    <s v="Local NGO(s)/CSO(s)"/>
    <s v="Local NGO(s)/CSO(s)"/>
    <s v="Local government(s)"/>
    <x v="2"/>
    <s v="Project build capacity for Bac Kan Women Union and Centre for Community Development in Dien Bien province"/>
    <s v="The overall objective of the EMWE project was to empower REMW to actively participate in local SEDP and decision making. With this regards, the evaluation report concludes that the project activities have made progress towards achieving its objective. The above discussion has shown that REMWs participation in village meetings has indeed increased. Moreover, they also started to be more active and speak out their concerns and opinions in the village meetings."/>
    <s v="Engaging with men will be good approach to conduct gender transformative"/>
    <s v="VSAL will be appropriated flatfoorm to support women economic empowerement"/>
    <s v="SAA also will be the good tool to challenge existing gender norm"/>
    <s v="The projects experience showed that EMWEs multifaceted approach to gender equality aligned with the three components of CAREs Gender Equality Framework was effective."/>
    <s v="Engaging with men is good way to implement gender stransformation"/>
    <s v="LARCs are an effective mechanism for women to build their capacity, share experience, socialise, and strengthen their collective identity and voice"/>
    <s v="EMWE is the first project of CVN strongly focus on gender transformative. EMWE also to stricly follow all M&amp;E steps such as  baseline, midterm review, endline and final evaluation."/>
    <s v="Project Document. FY 17 Project Plan. Mid-term Interim Report. Final Rport. Final Evaluation . Baseline Survey Report"/>
    <n v="1863"/>
    <n v="5177"/>
    <n v="2.778851315083199"/>
    <n v="0.75577026301663985"/>
    <n v="0.40795827699439829"/>
    <n v="1408"/>
    <n v="2112"/>
    <s v=""/>
    <n v="0"/>
    <n v="0"/>
    <s v=""/>
    <n v="1"/>
    <n v="1408"/>
    <n v="5177"/>
    <n v="3.6768465909090908"/>
    <s v=""/>
    <n v="0"/>
    <n v="0"/>
    <s v=""/>
    <n v="1"/>
    <n v="1863"/>
    <n v="5177"/>
    <n v="2.778851315083199"/>
    <n v="1"/>
    <n v="1863"/>
    <n v="5177"/>
    <n v="2.778851315083199"/>
    <s v="4. Transformative"/>
    <s v="4. Transformational"/>
    <s v="4. Transformative"/>
    <s v="It tested new ways for fighting poverty, but did not measure results of innovation"/>
    <s v="Moderate advocacy"/>
    <s v="It linked and worked with strategic alliances and partners to take tested and effective solutions to scale"/>
  </r>
  <r>
    <x v="80"/>
    <x v="0"/>
    <n v="3450"/>
    <s v="Increase Remote Ethnic Minority Womens access to formal financial products and services to increase their financial inclusion"/>
    <s v="Vietnam"/>
    <m/>
    <s v="CARE USA"/>
    <s v="Corporation"/>
    <s v="Other"/>
    <s v="VISA Worldwide Inc."/>
    <m/>
    <s v="CARE USA"/>
    <s v="Corporation"/>
    <s v="Other"/>
    <s v="NETHOPE"/>
    <m/>
    <m/>
    <m/>
    <m/>
    <m/>
    <m/>
    <m/>
    <m/>
    <m/>
    <m/>
    <m/>
    <m/>
    <m/>
    <m/>
    <m/>
    <m/>
    <m/>
    <m/>
    <m/>
    <m/>
    <m/>
    <m/>
    <m/>
    <m/>
    <m/>
    <m/>
    <m/>
    <m/>
    <m/>
    <m/>
    <m/>
    <m/>
    <m/>
    <m/>
    <m/>
    <m/>
    <m/>
    <m/>
    <m/>
    <m/>
    <d v="2015-07-01T00:00:00"/>
    <d v="2017-06-30T00:00:00"/>
    <m/>
    <s v="Development Access to and Control over Economic Resources"/>
    <n v="332600"/>
    <s v="Le Xuan Hieu"/>
    <s v="Portfolio Manager"/>
    <s v="LeXuan.Hieu@careint.org"/>
    <m/>
    <m/>
    <m/>
    <s v="NO"/>
    <s v="YES"/>
    <s v="NO"/>
    <s v="Increase Remote Ethnic Minority Womens access to formal financial products and services to increase their financial inclusion"/>
    <s v="Sub-National"/>
    <s v="Dien Bien Province, Vietnam"/>
    <s v="Etnic Minority Women in Dien Bien province"/>
    <n v="775"/>
    <n v="0"/>
    <n v="775"/>
    <n v="1375"/>
    <n v="1375"/>
    <n v="2750"/>
    <s v="Direct beneficiaries: members of VSLA group who will applied &quot;banking solution&quot;. Indirect beneficiaries: all members of VSAL member's families"/>
    <m/>
    <n v="0"/>
    <n v="0"/>
    <n v="0"/>
    <n v="0"/>
    <n v="0"/>
    <n v="0"/>
    <m/>
    <m/>
    <m/>
    <m/>
    <m/>
    <m/>
    <m/>
    <m/>
    <m/>
    <m/>
    <m/>
    <m/>
    <m/>
    <m/>
    <m/>
    <m/>
    <m/>
    <m/>
    <m/>
    <m/>
    <m/>
    <m/>
    <m/>
    <m/>
    <m/>
    <m/>
    <m/>
    <m/>
    <m/>
    <m/>
    <m/>
    <m/>
    <m/>
    <m/>
    <m/>
    <m/>
    <m/>
    <m/>
    <m/>
    <m/>
    <m/>
    <m/>
    <m/>
    <m/>
    <m/>
    <m/>
    <m/>
    <m/>
    <m/>
    <m/>
    <m/>
    <m/>
    <m/>
    <n v="0"/>
    <n v="0"/>
    <n v="0"/>
    <n v="0"/>
    <n v="0"/>
    <n v="0"/>
    <s v="NO"/>
    <m/>
    <m/>
    <m/>
    <s v="NO"/>
    <m/>
    <m/>
    <m/>
    <s v="NO"/>
    <m/>
    <m/>
    <m/>
    <s v="NO"/>
    <m/>
    <m/>
    <m/>
    <s v="YES"/>
    <n v="0"/>
    <n v="0"/>
    <n v="0"/>
    <s v="NO"/>
    <m/>
    <m/>
    <m/>
    <s v="NO"/>
    <m/>
    <m/>
    <m/>
    <s v="NO"/>
    <m/>
    <m/>
    <m/>
    <s v="NO"/>
    <m/>
    <m/>
    <m/>
    <s v="NO"/>
    <m/>
    <m/>
    <m/>
    <s v="NO"/>
    <m/>
    <m/>
    <m/>
    <s v="NO"/>
    <m/>
    <m/>
    <m/>
    <s v="NO"/>
    <m/>
    <m/>
    <m/>
    <s v="NO"/>
    <m/>
    <m/>
    <m/>
    <s v="NO"/>
    <m/>
    <m/>
    <m/>
    <s v="YES"/>
    <m/>
    <m/>
    <m/>
    <m/>
    <m/>
    <m/>
    <m/>
    <m/>
    <s v="NO"/>
    <m/>
    <m/>
    <s v="NO"/>
    <s v="YES"/>
    <s v="November"/>
    <n v="2017"/>
    <s v="Project will conduct final evaluation in Nov 2017, which should be including evaluation of &quot;IT soluation&quot; which project pilot to apply for VSLA groups"/>
    <x v="0"/>
    <s v="NO"/>
    <s v="NO"/>
    <s v="NO"/>
    <s v="YES"/>
    <s v="NO"/>
    <s v="NO"/>
    <s v="NO"/>
    <m/>
    <m/>
    <x v="1"/>
    <s v="Project to contribute to improve of finance inclusion/accessment for women groups which will contribute to the reduction of poverty  "/>
    <x v="1"/>
    <s v="Project is working with local bank in order to develop &quot;banking solution&quot; which can help VSLA group members easily to access the finance"/>
    <x v="0"/>
    <x v="1"/>
    <s v="YES"/>
    <x v="0"/>
    <x v="0"/>
    <x v="0"/>
    <x v="2"/>
    <n v="4"/>
    <x v="1"/>
    <x v="1"/>
    <x v="1"/>
    <x v="1"/>
    <x v="1"/>
    <x v="1"/>
    <n v="4"/>
    <x v="2"/>
    <x v="2"/>
    <x v="2"/>
    <x v="2"/>
    <x v="2"/>
    <n v="0"/>
    <x v="2"/>
    <x v="3"/>
    <n v="3"/>
    <s v="Local NGO(s)/CSO(s)"/>
    <s v="Private sector"/>
    <m/>
    <x v="3"/>
    <m/>
    <s v="Due to challenges in deveoping the &quot;solution&quot;. Therefore in FY17, project focused to discussed with VISA about how to facilitate to develop the solution. Therefore there was no impact in this FY. With long discussion on the solution, therefore project have to extend more 6 months until the 31 Dec 2017"/>
    <s v="It is not easy to develop IT solution. Therefore it should be develop based on the existing solution"/>
    <s v="Regarding VSLA, project should not only focus on focus finance inclusion it should be including finance literacy education"/>
    <m/>
    <s v="The delay in finalizing VSLA documents from CARE side was caused by a misunderstanding and complicated communication process within CARE Vietnam, CARE USA and Visa team. The expectation of CARE and Visa on the document was not clearly understood among the team, leading to the long process of revision and discussion back and forth."/>
    <s v="This is also a lesson learnt for CARE in future work with private sector. CARE should have an standardized document on VSLAs to share with any private sector to serve different purposes, such as, linking with banks, advocating for financial inclusion"/>
    <s v="Another lesson learnt from this process is that both CARE and Visa should open up and share information more. In 2016, Visa already explored Viettel and Military bank and promised a deadline for bank selection but CARE was not given any explanation for the cancelation of the selection. Until recently, Visa just shared that Viettel previously had an exclusive contract with Mastercard. This could be a reason for the delay while CARE was not shared about this. The open sharing of information would have reduced any misunderstanding and confusion between the two parties"/>
    <s v="Due to late of solution development, therefore in FY17 project could not implement any activities to create the impact that why project have to extend more 6 months"/>
    <s v="Project document_x000a_Quaterly report"/>
    <n v="0"/>
    <n v="0"/>
    <s v=""/>
    <s v=""/>
    <s v=""/>
    <n v="0"/>
    <n v="0"/>
    <s v=""/>
    <n v="0"/>
    <n v="0"/>
    <s v=""/>
    <n v="1"/>
    <n v="0"/>
    <n v="0"/>
    <s v=""/>
    <s v=""/>
    <n v="0"/>
    <n v="0"/>
    <s v=""/>
    <s v=""/>
    <n v="0"/>
    <n v="0"/>
    <s v=""/>
    <n v="1"/>
    <n v="0"/>
    <n v="0"/>
    <s v=""/>
    <s v="4. Transformative"/>
    <s v="2. Accommodating"/>
    <s v="0. Harmful"/>
    <s v="It tested new ways for fighting poverty, but did not measure results of innovation"/>
    <s v="Little or no advocacy"/>
    <s v="It linked and worked with strategic alliances and partners to take tested and effective solutions to scale"/>
  </r>
  <r>
    <x v="80"/>
    <x v="0"/>
    <m/>
    <s v="Lendwithcare"/>
    <s v="Vietnam"/>
    <s v="UNRTGB0076"/>
    <s v="CARE UK"/>
    <s v="Individual supporter"/>
    <s v="Other"/>
    <m/>
    <s v="UNRTGB0076"/>
    <s v="CARE UK"/>
    <s v="Foundation"/>
    <s v="Other"/>
    <s v="The Jimmy Choo Foundation"/>
    <m/>
    <m/>
    <m/>
    <m/>
    <m/>
    <m/>
    <m/>
    <m/>
    <m/>
    <m/>
    <m/>
    <m/>
    <m/>
    <m/>
    <m/>
    <m/>
    <m/>
    <m/>
    <m/>
    <m/>
    <m/>
    <m/>
    <m/>
    <m/>
    <m/>
    <m/>
    <m/>
    <m/>
    <m/>
    <m/>
    <m/>
    <m/>
    <m/>
    <m/>
    <m/>
    <m/>
    <m/>
    <m/>
    <m/>
    <m/>
    <d v="2016-07-01T00:00:00"/>
    <d v="2017-06-30T00:00:00"/>
    <m/>
    <s v="Development Access to and Control over Economic Resources"/>
    <n v="450206"/>
    <s v="Tracey Horner"/>
    <s v="Head of Lendwithcare"/>
    <s v="horner@careinternational.org"/>
    <m/>
    <m/>
    <m/>
    <s v="NO"/>
    <s v="YES"/>
    <s v="NO"/>
    <s v="Provide loan capital to poor and low-income individuals, mainly women, who want to start or expand a small business."/>
    <s v="Sub-National"/>
    <s v="Northern and Central Vietnam"/>
    <s v="Women and men with existing income-generating activities who are excluded from the formal financial sector. The main impact groups are individuals engaged insmall-scale farming, animal husbandry and petty trading."/>
    <n v="528"/>
    <n v="129"/>
    <n v="657"/>
    <n v="392"/>
    <n v="376"/>
    <n v="768"/>
    <s v="Direct participants are those who received a loan to invest in their business from Lendwithcare lenders in FY17. Indirect participants have been calculated by adding up all of the dependents of the entrepreneurs who received a loan in FY17 and the people who have been employed in their businesses. We are not able to disaggregate the data for indirect participants by female and male, so I have used the ratio of 51:49 that is in the CIA World Factbook for Vietnam https://www.cia.gov/library/publications/the-world-factbook/geos/vm.html. This is an on-going project so I have given the numbers of participants just in this FY as there is no end date to the project."/>
    <m/>
    <m/>
    <m/>
    <m/>
    <m/>
    <m/>
    <m/>
    <m/>
    <m/>
    <m/>
    <m/>
    <m/>
    <m/>
    <m/>
    <m/>
    <m/>
    <m/>
    <m/>
    <m/>
    <m/>
    <m/>
    <m/>
    <m/>
    <m/>
    <m/>
    <m/>
    <m/>
    <m/>
    <m/>
    <m/>
    <m/>
    <m/>
    <m/>
    <m/>
    <m/>
    <m/>
    <m/>
    <m/>
    <m/>
    <m/>
    <m/>
    <m/>
    <m/>
    <m/>
    <m/>
    <m/>
    <m/>
    <m/>
    <m/>
    <m/>
    <m/>
    <m/>
    <m/>
    <m/>
    <m/>
    <m/>
    <m/>
    <m/>
    <m/>
    <m/>
    <n v="528"/>
    <n v="129"/>
    <n v="657"/>
    <n v="392"/>
    <n v="376"/>
    <n v="768"/>
    <m/>
    <m/>
    <m/>
    <m/>
    <m/>
    <m/>
    <m/>
    <m/>
    <m/>
    <m/>
    <m/>
    <m/>
    <m/>
    <m/>
    <m/>
    <m/>
    <m/>
    <m/>
    <m/>
    <m/>
    <m/>
    <m/>
    <m/>
    <m/>
    <m/>
    <m/>
    <m/>
    <m/>
    <m/>
    <m/>
    <m/>
    <m/>
    <m/>
    <m/>
    <m/>
    <m/>
    <m/>
    <m/>
    <m/>
    <m/>
    <m/>
    <m/>
    <m/>
    <m/>
    <m/>
    <m/>
    <m/>
    <m/>
    <m/>
    <m/>
    <m/>
    <m/>
    <m/>
    <m/>
    <m/>
    <m/>
    <m/>
    <m/>
    <m/>
    <m/>
    <s v="YES"/>
    <n v="657"/>
    <n v="0.8"/>
    <n v="768"/>
    <m/>
    <m/>
    <m/>
    <m/>
    <m/>
    <s v="NO"/>
    <m/>
    <m/>
    <m/>
    <s v="NO"/>
    <m/>
    <m/>
    <m/>
    <x v="0"/>
    <m/>
    <m/>
    <m/>
    <m/>
    <m/>
    <m/>
    <m/>
    <m/>
    <m/>
    <x v="0"/>
    <m/>
    <x v="0"/>
    <m/>
    <x v="0"/>
    <x v="3"/>
    <m/>
    <x v="2"/>
    <x v="2"/>
    <x v="2"/>
    <x v="5"/>
    <n v="0"/>
    <x v="3"/>
    <x v="0"/>
    <x v="0"/>
    <x v="0"/>
    <x v="0"/>
    <x v="3"/>
    <n v="0"/>
    <x v="2"/>
    <x v="0"/>
    <x v="0"/>
    <x v="0"/>
    <x v="2"/>
    <n v="0"/>
    <x v="2"/>
    <x v="2"/>
    <n v="1"/>
    <s v="Private sector"/>
    <m/>
    <m/>
    <x v="1"/>
    <m/>
    <s v="There were no important changes or adjustments made."/>
    <s v="Microfinance was used as the strategy to meet our Financial Inclusion and WEE objectives."/>
    <s v="Peer-to-peer lending was used as the strategy to raise loan capital for the project's participants."/>
    <m/>
    <s v="High staff turnover in our partner organisation can have an impact on programme quality."/>
    <s v="The need for good Management Information Systems (MIS) is key for the proper management of a microfinance organisation but are very expensive and largely unaffordable for small organisations."/>
    <s v="Legal and regulatory changes can have an impact on the services partners are able to provide, particularly with regards to capturing savings."/>
    <s v="This is an on-going project so we do not have a budget for the lifetime of the project. The number we have reported is how much loan capital was raised through the Lendwithcare platform for Vietnam in FY17. Lendwithcare does not use gender, resilience or governance scorecards as part of its programming so we have had to answer no to all the questions related to these. However, an outcome of 'harmful' (particularly with regards to women's empowerment and gender equality) seems in accurate since this initiatve focuses heavily on Women's Economic Empowerment and in Vietnam 80% of the beneficiaries are female."/>
    <m/>
    <n v="657"/>
    <n v="768"/>
    <n v="1.1689497716894977"/>
    <n v="0.80365296803652964"/>
    <n v="0.51041666666666663"/>
    <n v="528"/>
    <n v="392"/>
    <s v=""/>
    <n v="0"/>
    <n v="0"/>
    <s v=""/>
    <s v=""/>
    <n v="0"/>
    <n v="0"/>
    <s v=""/>
    <s v=""/>
    <n v="0"/>
    <n v="0"/>
    <s v=""/>
    <s v=""/>
    <n v="0"/>
    <n v="0"/>
    <s v=""/>
    <n v="1"/>
    <n v="657"/>
    <n v="768"/>
    <n v="1.1689497716894977"/>
    <s v="0. Harmful"/>
    <s v="0. Unaware"/>
    <s v="0. Harmful"/>
    <s v="It did not develop any specific innovation"/>
    <s v="Little or no advocacy"/>
    <s v="It did not take tested solutions to scale"/>
  </r>
  <r>
    <x v="80"/>
    <x v="0"/>
    <n v="3443"/>
    <s v="Nang Quyen (Empowerment) in Vietnam"/>
    <s v="Vietnam"/>
    <s v="VNM246, VN273"/>
    <s v="CARE Australia"/>
    <m/>
    <m/>
    <s v="DFAT-Australia"/>
    <m/>
    <m/>
    <m/>
    <m/>
    <m/>
    <m/>
    <m/>
    <m/>
    <m/>
    <m/>
    <m/>
    <m/>
    <m/>
    <m/>
    <m/>
    <m/>
    <m/>
    <m/>
    <m/>
    <m/>
    <m/>
    <m/>
    <m/>
    <m/>
    <m/>
    <m/>
    <m/>
    <m/>
    <m/>
    <m/>
    <m/>
    <m/>
    <m/>
    <m/>
    <m/>
    <m/>
    <m/>
    <m/>
    <m/>
    <m/>
    <m/>
    <m/>
    <m/>
    <m/>
    <m/>
    <d v="2013-07-01T00:00:00"/>
    <m/>
    <m/>
    <s v="Development A Life Free From Violence (GBV)"/>
    <n v="1394206"/>
    <s v="Le Thi Hong Giang"/>
    <s v="GBV Specialist"/>
    <s v="lethihong.giang@careint.org"/>
    <s v="Nguyen Thi Huong"/>
    <s v="SMP Team leader"/>
    <s v="nguyenthi.huong@careint.org"/>
    <s v="NO"/>
    <s v="YES"/>
    <s v="NO"/>
    <s v="To tackle the underlying causes of exclusion of and discrimination against female sex workers. The project pilots a model of engagement between female sex workers and authorities which will promote improved protections for female sex workers against GBV and access to services, and support their voice and participation in decision-making, by addressing stigma, discriminatory practices and punitive approaches."/>
    <s v="Sub-National"/>
    <s v="Three provinces: Quang Ninh (In the North of Vietnam), Can Tho and Ho chi Minh city (In the South of Vietnam) Hanoi: Capital city for Advocacy events"/>
    <s v="Female sex workers: Mostly ones who work on the streets and some of them from venue based"/>
    <n v="2644"/>
    <n v="440"/>
    <n v="3084"/>
    <n v="6016"/>
    <n v="3240"/>
    <n v="9256"/>
    <s v="Direct participants: Female sex workers (FSW); local authorities including police, Services providers at local and national level. They were counted when participated in workshops, dialogues between FSWs and local authorities, We Are Women clubs meetings and outreach; trainings to partners through CARE support."/>
    <m/>
    <m/>
    <m/>
    <m/>
    <m/>
    <m/>
    <m/>
    <m/>
    <m/>
    <m/>
    <m/>
    <m/>
    <m/>
    <m/>
    <m/>
    <m/>
    <m/>
    <m/>
    <m/>
    <m/>
    <m/>
    <m/>
    <m/>
    <m/>
    <m/>
    <m/>
    <m/>
    <m/>
    <m/>
    <m/>
    <m/>
    <m/>
    <m/>
    <m/>
    <m/>
    <m/>
    <m/>
    <m/>
    <m/>
    <m/>
    <m/>
    <m/>
    <m/>
    <m/>
    <m/>
    <m/>
    <m/>
    <m/>
    <m/>
    <m/>
    <m/>
    <m/>
    <m/>
    <m/>
    <m/>
    <m/>
    <m/>
    <m/>
    <m/>
    <m/>
    <n v="1353"/>
    <n v="179"/>
    <n v="1532"/>
    <n v="967"/>
    <n v="1451"/>
    <n v="2418"/>
    <s v="NO"/>
    <m/>
    <m/>
    <m/>
    <s v="NO"/>
    <m/>
    <m/>
    <m/>
    <s v="NO"/>
    <m/>
    <m/>
    <m/>
    <s v="NO"/>
    <m/>
    <m/>
    <m/>
    <s v="NO"/>
    <m/>
    <m/>
    <m/>
    <s v="NO"/>
    <m/>
    <m/>
    <m/>
    <s v="NO"/>
    <m/>
    <m/>
    <m/>
    <s v="YES"/>
    <n v="1532"/>
    <n v="0.88315926892950303"/>
    <n v="2418"/>
    <s v="YES"/>
    <n v="322"/>
    <n v="0.44409937888198697"/>
    <n v="644"/>
    <s v="NO"/>
    <m/>
    <m/>
    <m/>
    <s v="NO"/>
    <m/>
    <m/>
    <m/>
    <s v="NO"/>
    <m/>
    <m/>
    <m/>
    <s v="NO"/>
    <m/>
    <m/>
    <m/>
    <s v="NO"/>
    <m/>
    <m/>
    <m/>
    <s v="NO"/>
    <m/>
    <m/>
    <m/>
    <s v="YES"/>
    <n v="1532"/>
    <n v="0.88"/>
    <n v="2418"/>
    <s v="Women voice"/>
    <s v="YES"/>
    <n v="552"/>
    <n v="0.41666666666666602"/>
    <n v="230"/>
    <s v="YES"/>
    <s v="May"/>
    <n v="2017"/>
    <s v="YES"/>
    <s v="NO"/>
    <m/>
    <m/>
    <m/>
    <x v="1"/>
    <s v="NO"/>
    <s v="YES"/>
    <s v="YES"/>
    <s v="YES"/>
    <s v="YES"/>
    <s v="NO"/>
    <s v="YES"/>
    <s v="NO"/>
    <m/>
    <x v="0"/>
    <m/>
    <x v="1"/>
    <s v="To promote the Prevention and response to GBV against sex workers the project have involved multisectoral agencies including Police. The police involvement in the project has proved the need of changing this sector attitude and awareness so that it can play their responsibility to protect sex workers in case of GBV.  "/>
    <x v="1"/>
    <x v="1"/>
    <s v="YES"/>
    <x v="0"/>
    <x v="0"/>
    <x v="0"/>
    <x v="2"/>
    <n v="4"/>
    <x v="2"/>
    <x v="2"/>
    <x v="1"/>
    <x v="1"/>
    <x v="2"/>
    <x v="5"/>
    <n v="2"/>
    <x v="0"/>
    <x v="0"/>
    <x v="0"/>
    <x v="0"/>
    <x v="0"/>
    <n v="0"/>
    <x v="2"/>
    <x v="2"/>
    <n v="5"/>
    <s v="Local government(s)"/>
    <s v="National government"/>
    <s v="Local NGO(s)/CSO(s)"/>
    <x v="0"/>
    <s v="CARE worked with Vietnam Network of Sex Workers in the country and provided technical support to strengthen capacity of network members in 16 provinces by support training on leadership skills and GBV prevention."/>
    <m/>
    <s v="Quartely dialogues between local authority including police and female sex workers (FSWs): The dialogues were organized quartely and facilitated by local department of labor invalid and social affair. According to the project final evaluation, the dialogues have helped FSW involved in project activities have achieved a much-improved platform for expressing their needs to local authorities, with potential for input into local planning for service provision and, to a lesser extent, policy formulation. for the poloce themselves only participated in the dialogues that they knew about FSWs challenges and GBV expereinces."/>
    <s v="We are Women Club become platform for FSWs to raise their voice to their peers and local authority and social service providers and safe place to share their concerns."/>
    <m/>
    <s v="Sex work situation is changing, and with changes to more phone-based or online sex work, the WrW club might not be relevant for the collective voice of FSWs. It is essential to think of online forum and online networking for support as alternative platform to empower FSWs."/>
    <s v="One size doesnt fit all: the situation regarding FSW differs in every province, and is also changing constantly; while the basic NQ project model is sound, an important feature is its flexibility. In future replication of the NQ model, CARE needs to be taken to ensure that it is not implemented in a formulaic way, but can be adapted to fit the needs of each specific situation."/>
    <s v="To make significant change of police working style require both institutional partnership with Ministry of Public Security and the change at individual level. Although individual change cannot make change at scale but it is significant in dealing with the issues at locality and at single cases."/>
    <m/>
    <s v="Please contact to: lethihong.giang@careint.org for such documents: - Project design - Project annual report - Project end of Project Evaluation."/>
    <n v="1532"/>
    <n v="2418"/>
    <n v="1.5783289817232375"/>
    <n v="0.88315926892950392"/>
    <n v="0.39991728701406121"/>
    <n v="1353"/>
    <n v="967"/>
    <s v=""/>
    <n v="0"/>
    <n v="0"/>
    <s v=""/>
    <s v=""/>
    <n v="0"/>
    <n v="0"/>
    <s v=""/>
    <s v=""/>
    <n v="0"/>
    <n v="0"/>
    <s v=""/>
    <n v="1"/>
    <n v="1532"/>
    <n v="2418"/>
    <n v="1.5783289817232375"/>
    <n v="1"/>
    <n v="1532"/>
    <n v="2418"/>
    <n v="1.5783289817232375"/>
    <s v="4. Transformative"/>
    <s v="3. Responsive"/>
    <s v="No marker score"/>
    <s v="It did not develop any specific innovation"/>
    <s v="Moderate advocacy"/>
    <s v="It linked and worked with strategic alliances and partners to take tested and effective solutions to scale"/>
  </r>
  <r>
    <x v="80"/>
    <x v="0"/>
    <n v="3444"/>
    <s v="New Me! New skills and knowledge for improved livelihood security for Hanois waste-collectors."/>
    <s v="Vietnam"/>
    <s v="VNM255"/>
    <s v="CARE USA"/>
    <s v="Other"/>
    <s v="Other"/>
    <s v="The Asia Group"/>
    <m/>
    <m/>
    <m/>
    <m/>
    <m/>
    <m/>
    <m/>
    <m/>
    <m/>
    <m/>
    <m/>
    <m/>
    <m/>
    <m/>
    <m/>
    <m/>
    <m/>
    <m/>
    <m/>
    <m/>
    <m/>
    <m/>
    <m/>
    <m/>
    <m/>
    <m/>
    <m/>
    <m/>
    <m/>
    <m/>
    <m/>
    <m/>
    <m/>
    <m/>
    <m/>
    <m/>
    <m/>
    <m/>
    <m/>
    <m/>
    <m/>
    <m/>
    <m/>
    <m/>
    <m/>
    <d v="2016-02-01T00:00:00"/>
    <d v="2016-07-30T00:00:00"/>
    <m/>
    <s v="Development Other"/>
    <n v="29000"/>
    <s v="Le Thi Hong Giang"/>
    <s v="Portfolio Manager"/>
    <s v="lethihong.giang@careint.org"/>
    <s v="Pham Kim Ngan"/>
    <s v="Program Officer"/>
    <s v="phamkim.ngan@careint.org"/>
    <s v="NO"/>
    <s v="YES"/>
    <s v="NO"/>
    <s v="Improve the income and enhance the livelihood development value of the recycle busisness for female migrant workers in informal sector who are waste collector and street vendors."/>
    <s v="Sub-National"/>
    <s v="Hanoi, Vietnam"/>
    <s v="Female migrants in informal sector who are waste collectors and street vendors."/>
    <n v="15"/>
    <n v="2"/>
    <n v="17"/>
    <n v="34"/>
    <n v="34"/>
    <n v="68"/>
    <s v="Direct participants is the waste collectors and street vendors that participating in the recycle business group that CARE support. Indirect participants are their 4 members of the family who are benefited from the direct participants, among them half is female and half is male."/>
    <m/>
    <m/>
    <m/>
    <m/>
    <m/>
    <m/>
    <m/>
    <m/>
    <m/>
    <m/>
    <m/>
    <m/>
    <m/>
    <m/>
    <m/>
    <m/>
    <m/>
    <m/>
    <m/>
    <m/>
    <m/>
    <m/>
    <m/>
    <m/>
    <m/>
    <m/>
    <m/>
    <m/>
    <m/>
    <m/>
    <m/>
    <m/>
    <m/>
    <m/>
    <m/>
    <m/>
    <m/>
    <m/>
    <m/>
    <m/>
    <m/>
    <m/>
    <m/>
    <m/>
    <m/>
    <m/>
    <m/>
    <m/>
    <m/>
    <m/>
    <m/>
    <m/>
    <m/>
    <m/>
    <m/>
    <m/>
    <m/>
    <m/>
    <m/>
    <m/>
    <n v="15"/>
    <n v="2"/>
    <n v="17"/>
    <n v="60"/>
    <n v="8"/>
    <n v="68"/>
    <s v="NO"/>
    <m/>
    <m/>
    <m/>
    <s v="NO"/>
    <m/>
    <m/>
    <m/>
    <s v="NO"/>
    <m/>
    <m/>
    <m/>
    <s v="NO"/>
    <m/>
    <m/>
    <m/>
    <s v="NO"/>
    <m/>
    <m/>
    <m/>
    <s v="NO"/>
    <m/>
    <m/>
    <m/>
    <s v="NO"/>
    <m/>
    <m/>
    <m/>
    <s v="NO"/>
    <m/>
    <m/>
    <m/>
    <s v="NO"/>
    <m/>
    <m/>
    <m/>
    <s v="NO"/>
    <m/>
    <m/>
    <m/>
    <s v="NO"/>
    <m/>
    <m/>
    <m/>
    <s v="NO"/>
    <m/>
    <m/>
    <m/>
    <s v="NO"/>
    <m/>
    <m/>
    <m/>
    <s v="NO"/>
    <m/>
    <m/>
    <m/>
    <s v="NO"/>
    <m/>
    <m/>
    <m/>
    <s v="YES"/>
    <n v="17"/>
    <n v="0.88"/>
    <n v="68"/>
    <m/>
    <m/>
    <m/>
    <m/>
    <m/>
    <s v="NO"/>
    <m/>
    <m/>
    <m/>
    <s v="NO"/>
    <m/>
    <m/>
    <s v="No future evaluation for this phase as the project is too small"/>
    <x v="0"/>
    <s v="NO"/>
    <s v="NO"/>
    <s v="NO"/>
    <s v="NO"/>
    <s v="NO"/>
    <s v="NO"/>
    <s v="NO"/>
    <s v="NO"/>
    <m/>
    <x v="1"/>
    <s v="The new recycle busisness that gathesr the women who are female migrant in informal sector (waste collectors and street vendors)"/>
    <x v="1"/>
    <s v="The new recycle business was piloted by the 2 groups. This model is one of the solution to be scaled up for the female workers in informal sector, especially the waste collectors and street vendors."/>
    <x v="0"/>
    <x v="0"/>
    <s v="NO"/>
    <x v="1"/>
    <x v="1"/>
    <x v="1"/>
    <x v="5"/>
    <n v="0"/>
    <x v="1"/>
    <x v="2"/>
    <x v="2"/>
    <x v="1"/>
    <x v="2"/>
    <x v="4"/>
    <n v="1"/>
    <x v="2"/>
    <x v="2"/>
    <x v="2"/>
    <x v="2"/>
    <x v="2"/>
    <n v="0"/>
    <x v="2"/>
    <x v="3"/>
    <n v="1"/>
    <s v="Local alliance(s)/Platform(s)/Network(s) of  NGOs/CSOs"/>
    <m/>
    <m/>
    <x v="1"/>
    <m/>
    <s v="There are 2 mens who were invited to the group with the welcome of all the female participants. That is the way to engaging men to make the group having more men's opinions which also good for market analysis. The 2 male members also support a lot on shipping goods - which was still the weakness of the female migrant of the groups."/>
    <s v="The most significant success was the formation of the NEW Me as a collective group of female migrants who can discover their own potential to secure livelihood. They are interested in continuing activities and improving their group."/>
    <m/>
    <m/>
    <s v="Although they are eager to learn new skills, it is not easy for them to apply since they used to work individually and to the simplicityof their daily income routine. The group needs more time to practise and get more experience in working with each other."/>
    <m/>
    <m/>
    <m/>
    <s v="Project Document. Final report"/>
    <n v="17"/>
    <n v="68"/>
    <n v="4"/>
    <n v="0.88235294117647056"/>
    <n v="0.88235294117647056"/>
    <n v="15"/>
    <n v="60"/>
    <s v=""/>
    <n v="0"/>
    <n v="0"/>
    <s v=""/>
    <s v=""/>
    <n v="0"/>
    <n v="0"/>
    <s v=""/>
    <s v=""/>
    <n v="0"/>
    <n v="0"/>
    <s v=""/>
    <s v=""/>
    <n v="0"/>
    <n v="0"/>
    <s v=""/>
    <n v="1"/>
    <n v="17"/>
    <n v="68"/>
    <n v="4"/>
    <s v="0. Harmful"/>
    <s v="1. Tokenistic"/>
    <s v="0. Harmful"/>
    <s v="It tested new ways for fighting poverty, but did not measure results of innovation"/>
    <s v="Little or no advocacy"/>
    <s v="It linked and worked with strategic alliances and partners to take tested and effective solutions to scale"/>
  </r>
  <r>
    <x v="80"/>
    <x v="0"/>
    <n v="3444"/>
    <s v="New Me! Phase 2: Working Toward a Women-Led Enterprise in Used Goods Trading"/>
    <s v="Vietnam"/>
    <s v="VNM260_x000a_VN311"/>
    <s v="CARE USA"/>
    <s v="Other"/>
    <s v="Other"/>
    <s v="The Asia Group"/>
    <s v="VNM260_x000a_VN311"/>
    <s v="CARE USA"/>
    <s v="Other"/>
    <s v="Other"/>
    <s v="PEIERLS Foundation"/>
    <m/>
    <m/>
    <m/>
    <m/>
    <m/>
    <m/>
    <m/>
    <m/>
    <m/>
    <m/>
    <m/>
    <m/>
    <m/>
    <m/>
    <m/>
    <m/>
    <m/>
    <m/>
    <m/>
    <m/>
    <m/>
    <m/>
    <m/>
    <m/>
    <m/>
    <m/>
    <m/>
    <m/>
    <m/>
    <m/>
    <m/>
    <m/>
    <m/>
    <m/>
    <m/>
    <m/>
    <m/>
    <m/>
    <m/>
    <m/>
    <d v="2017-04-01T00:00:00"/>
    <d v="2018-03-31T00:00:00"/>
    <m/>
    <s v="Development Other"/>
    <n v="45000"/>
    <s v="Pham Kim Ngan"/>
    <s v="Program Officer"/>
    <s v="phamkim.ngan@careint.org"/>
    <m/>
    <m/>
    <m/>
    <s v="NO"/>
    <s v="YES"/>
    <s v="NO"/>
    <s v="Improve the income and enhance the livelihood development value of the recycle busisness for female migrant workers in informal sector who are waste collector and street vendors."/>
    <s v="Sub-National"/>
    <s v="Hanoi, Vietnam"/>
    <s v="Female migrants in informal sector who are waste collectors and street vendors."/>
    <n v="30"/>
    <n v="0"/>
    <n v="30"/>
    <n v="60"/>
    <n v="60"/>
    <n v="120"/>
    <s v="Direct participants is the waste collectors and street vendors that participating in the recycle business group that CARE support.. Indirect participants are their 4 members of the family who are benefited from the women's direct participants, among them, half is men and boys and half is women and girls"/>
    <m/>
    <m/>
    <m/>
    <m/>
    <m/>
    <m/>
    <m/>
    <m/>
    <m/>
    <m/>
    <m/>
    <m/>
    <m/>
    <m/>
    <m/>
    <m/>
    <m/>
    <m/>
    <m/>
    <m/>
    <m/>
    <m/>
    <m/>
    <m/>
    <m/>
    <m/>
    <m/>
    <m/>
    <m/>
    <m/>
    <m/>
    <m/>
    <m/>
    <m/>
    <m/>
    <m/>
    <m/>
    <m/>
    <m/>
    <m/>
    <m/>
    <m/>
    <m/>
    <m/>
    <m/>
    <m/>
    <m/>
    <m/>
    <m/>
    <m/>
    <m/>
    <m/>
    <m/>
    <m/>
    <m/>
    <m/>
    <m/>
    <m/>
    <m/>
    <m/>
    <n v="30"/>
    <n v="0"/>
    <n v="30"/>
    <n v="120"/>
    <n v="0"/>
    <n v="120"/>
    <s v="NO"/>
    <m/>
    <m/>
    <m/>
    <s v="NO"/>
    <m/>
    <m/>
    <m/>
    <s v="NO"/>
    <m/>
    <m/>
    <m/>
    <s v="NO"/>
    <m/>
    <m/>
    <m/>
    <s v="NO"/>
    <m/>
    <m/>
    <m/>
    <s v="NO"/>
    <m/>
    <m/>
    <m/>
    <s v="NO"/>
    <m/>
    <m/>
    <m/>
    <s v="NO"/>
    <m/>
    <m/>
    <m/>
    <s v="NO"/>
    <m/>
    <m/>
    <m/>
    <s v="NO"/>
    <m/>
    <m/>
    <m/>
    <s v="NO"/>
    <m/>
    <m/>
    <m/>
    <s v="NO"/>
    <m/>
    <m/>
    <m/>
    <s v="NO"/>
    <m/>
    <m/>
    <m/>
    <s v="NO"/>
    <m/>
    <m/>
    <m/>
    <s v="NO"/>
    <m/>
    <m/>
    <m/>
    <s v="YES"/>
    <n v="30"/>
    <n v="0"/>
    <n v="120"/>
    <m/>
    <m/>
    <m/>
    <m/>
    <m/>
    <s v="NO"/>
    <m/>
    <m/>
    <m/>
    <s v="NO"/>
    <m/>
    <m/>
    <s v="No future evaluation for this phase as project is too small."/>
    <x v="0"/>
    <s v="NO"/>
    <s v="NO"/>
    <s v="NO"/>
    <s v="NO"/>
    <s v="NO"/>
    <s v="NO"/>
    <s v="NO"/>
    <s v="NO"/>
    <m/>
    <x v="1"/>
    <s v="The new recycle busisness that gathesr the women who are female migrant in informal sector (waste collectors and street vendors). Besides, the project pilots the VSLA models in the urban area with this group for this first time in Vietnam."/>
    <x v="1"/>
    <s v="The new recycle business and VSLA model was piloted by the 2 groups. This model is one of the solution to be scaled up for the female workers in informal sector, especially the waste collectors and street vendors."/>
    <x v="0"/>
    <x v="0"/>
    <s v="NO"/>
    <x v="1"/>
    <x v="1"/>
    <x v="1"/>
    <x v="5"/>
    <n v="0"/>
    <x v="1"/>
    <x v="2"/>
    <x v="2"/>
    <x v="1"/>
    <x v="2"/>
    <x v="4"/>
    <n v="1"/>
    <x v="2"/>
    <x v="1"/>
    <x v="1"/>
    <x v="1"/>
    <x v="2"/>
    <n v="3"/>
    <x v="2"/>
    <x v="3"/>
    <n v="1"/>
    <s v="Local alliance(s)/Platform(s)/Network(s) of  NGOs/CSOs"/>
    <m/>
    <m/>
    <x v="1"/>
    <m/>
    <m/>
    <s v="Not yet happened in the FY17."/>
    <m/>
    <m/>
    <s v="Not yet happened in the FY17."/>
    <m/>
    <m/>
    <m/>
    <s v="Project Document"/>
    <n v="30"/>
    <n v="120"/>
    <n v="4"/>
    <n v="1"/>
    <n v="1"/>
    <n v="30"/>
    <n v="120"/>
    <s v=""/>
    <n v="0"/>
    <n v="0"/>
    <s v=""/>
    <s v=""/>
    <n v="0"/>
    <n v="0"/>
    <s v=""/>
    <s v=""/>
    <n v="0"/>
    <n v="0"/>
    <s v=""/>
    <s v=""/>
    <n v="0"/>
    <n v="0"/>
    <s v=""/>
    <n v="1"/>
    <n v="30"/>
    <n v="120"/>
    <n v="4"/>
    <s v="0. Harmful"/>
    <s v="1. Tokenistic"/>
    <s v="0. Harmful"/>
    <s v="It tested new ways for fighting poverty, but did not measure results of innovation"/>
    <s v="Little or no advocacy"/>
    <s v="It linked and worked with strategic alliances and partners to take tested and effective solutions to scale"/>
  </r>
  <r>
    <x v="80"/>
    <x v="0"/>
    <m/>
    <s v="Partnership for Ethnic minority's Equitable and Inclusive Development - P4EM"/>
    <s v="Vietnam"/>
    <m/>
    <s v="No CARE member related to the project/initiative"/>
    <s v="Government"/>
    <s v="Government - Ireland"/>
    <s v="Irish Aid"/>
    <m/>
    <m/>
    <m/>
    <m/>
    <m/>
    <m/>
    <m/>
    <m/>
    <m/>
    <m/>
    <m/>
    <m/>
    <m/>
    <m/>
    <m/>
    <m/>
    <m/>
    <m/>
    <m/>
    <m/>
    <m/>
    <m/>
    <m/>
    <m/>
    <m/>
    <m/>
    <m/>
    <m/>
    <m/>
    <m/>
    <m/>
    <m/>
    <m/>
    <m/>
    <m/>
    <m/>
    <m/>
    <m/>
    <m/>
    <m/>
    <m/>
    <m/>
    <m/>
    <m/>
    <m/>
    <d v="2016-10-01T00:00:00"/>
    <d v="2020-10-30T00:00:00"/>
    <m/>
    <s v="Development Food &amp; Nutrition Security and Resilience to Climate Change"/>
    <n v="7952285"/>
    <s v="Nguyen Duc Thanh"/>
    <s v="Porfolio Manager"/>
    <s v="Nguyenduc.thanh@careint.org"/>
    <s v="Nguyen Tri Dzung"/>
    <s v="REMWE program team leader"/>
    <s v="Nguyentri.dzung@careint.org"/>
    <s v="NO"/>
    <s v="YES"/>
    <s v="NO"/>
    <s v="Contribute to is to reduce multidimensional poverty for marginalized and poor ethnic minority people in Vietnam and contribute to inclusive, equitable and environmentally sustainable growth"/>
    <s v="National"/>
    <s v="Countries and provinces"/>
    <s v="Ethnic minority people"/>
    <n v="174"/>
    <n v="213"/>
    <n v="387"/>
    <n v="31868"/>
    <n v="21246"/>
    <n v="53114"/>
    <s v="The direct ones: policy makers, government officials at national and local level (provinces, districts, communes) The indirect ones: ethnic minority men and women living in the selected communes, districts where the project aiming to support the province poverty reduction units to pilot and desmonstrate development approaches, methodology to implement the national targed sustaiable poverty reducation program"/>
    <m/>
    <m/>
    <m/>
    <m/>
    <m/>
    <m/>
    <m/>
    <m/>
    <m/>
    <m/>
    <m/>
    <m/>
    <m/>
    <m/>
    <m/>
    <m/>
    <m/>
    <m/>
    <m/>
    <m/>
    <m/>
    <m/>
    <m/>
    <m/>
    <m/>
    <m/>
    <m/>
    <m/>
    <m/>
    <m/>
    <m/>
    <m/>
    <m/>
    <m/>
    <m/>
    <m/>
    <m/>
    <m/>
    <m/>
    <m/>
    <m/>
    <m/>
    <m/>
    <m/>
    <m/>
    <m/>
    <m/>
    <m/>
    <m/>
    <m/>
    <m/>
    <m/>
    <m/>
    <m/>
    <m/>
    <m/>
    <m/>
    <m/>
    <m/>
    <m/>
    <n v="186"/>
    <n v="201"/>
    <n v="387"/>
    <n v="558"/>
    <n v="603"/>
    <n v="1161"/>
    <s v="NO"/>
    <m/>
    <m/>
    <m/>
    <s v="YES"/>
    <n v="115"/>
    <n v="0.48"/>
    <n v="345"/>
    <s v="NO"/>
    <m/>
    <m/>
    <m/>
    <s v="NO"/>
    <m/>
    <m/>
    <m/>
    <s v="NO"/>
    <m/>
    <m/>
    <m/>
    <s v="NO"/>
    <m/>
    <m/>
    <m/>
    <s v="NO"/>
    <m/>
    <m/>
    <m/>
    <s v="NO"/>
    <m/>
    <m/>
    <m/>
    <s v="YES"/>
    <n v="115"/>
    <n v="0.48"/>
    <n v="345"/>
    <s v="NO"/>
    <m/>
    <m/>
    <m/>
    <s v="NO"/>
    <m/>
    <m/>
    <m/>
    <s v="NO"/>
    <m/>
    <m/>
    <m/>
    <s v="YES"/>
    <n v="387"/>
    <n v="0.48"/>
    <n v="1161"/>
    <s v="NO"/>
    <m/>
    <m/>
    <m/>
    <s v="NO"/>
    <m/>
    <m/>
    <m/>
    <s v="NO"/>
    <m/>
    <m/>
    <m/>
    <m/>
    <s v="NO"/>
    <m/>
    <m/>
    <m/>
    <s v="YES"/>
    <s v="June"/>
    <n v="2017"/>
    <s v="YES"/>
    <s v="NO"/>
    <m/>
    <m/>
    <m/>
    <x v="1"/>
    <s v="NO"/>
    <m/>
    <s v="YES"/>
    <s v="YES"/>
    <s v="YES"/>
    <s v="YES"/>
    <s v="NO"/>
    <m/>
    <m/>
    <x v="2"/>
    <s v="Strengthening partnership mechanism between Government, CSOs and IO s horizentally and vertically from national to local level in the process of implementation of National targeted programs as well reviewing and formulating policies for EM development"/>
    <x v="1"/>
    <s v="On going process to identify solutions, good practices, evidences tested by CSOs for documenting, advocating. 2 tested solutions, methodologies taken to scale: community based infrastructure maintaince mechanism and co research methodology    "/>
    <x v="0"/>
    <x v="0"/>
    <s v="YES"/>
    <x v="0"/>
    <x v="0"/>
    <x v="0"/>
    <x v="0"/>
    <n v="4"/>
    <x v="2"/>
    <x v="1"/>
    <x v="1"/>
    <x v="1"/>
    <x v="1"/>
    <x v="2"/>
    <n v="4"/>
    <x v="1"/>
    <x v="1"/>
    <x v="1"/>
    <x v="1"/>
    <x v="1"/>
    <n v="3"/>
    <x v="0"/>
    <x v="3"/>
    <n v="6"/>
    <s v="National government"/>
    <s v="Local alliance(s)/Platform(s)/Network(s) of  NGOs/CSOs"/>
    <s v="Local government(s)"/>
    <x v="0"/>
    <s v="Calling CSOs' best practices/ evidences for sharing and scalling up in the national targeted program Engaging and promoting CSO engagement in policy review or formulation for ethnic minority development process"/>
    <s v="Engaging more participation of Women Union from Central to local level in the partnership platform, mechanism of the project and advocating the co research methodology (Right and Voice project) through the Women Unions to scaling up in the project location aiming to empower ethnic minority women in the process of co researching"/>
    <s v="Just started almost a year, and this is a complicated and challeged project, given it involves multi stakeholders and facilitates a partnership coordination mechanism horizentally and vertically at national and to local levels, the project has been in the process of applying key strategies: capacity building for the focal goverment stakeholder (at national level it is Centre for Ethnic minority committee affair -CEMA - and DEMA at provincal level) who plays key fuctions in coordinating the partnership mechanism;  promotes CSO's avocacy based evidences for scaling up in the NTPs;"/>
    <m/>
    <m/>
    <s v="It is cruicial to have an common goal, objectives and agreement between partners when joining a partnership platform/working mechanism"/>
    <s v="Each partner has their own organizational system in term of finance, procurement and program management. In particularly government system and mechanism it could not be flexible to adapt with the context change. It is, therefore, taking time and challage to implemnt joined and shared resource activities between the partners  "/>
    <s v="Multi partnership project should promote a mechanism to ensure ability of harmonization and synergy between partners' organizational systems, policies in order to maximize resources for creating lasting changes"/>
    <m/>
    <m/>
    <n v="387"/>
    <n v="1161"/>
    <n v="3"/>
    <n v="0.48062015503875971"/>
    <n v="0.48062015503875971"/>
    <n v="186"/>
    <n v="558"/>
    <s v=""/>
    <n v="0"/>
    <n v="0"/>
    <s v=""/>
    <n v="1"/>
    <n v="115"/>
    <n v="345"/>
    <n v="3"/>
    <s v=""/>
    <n v="0"/>
    <n v="0"/>
    <s v=""/>
    <s v=""/>
    <n v="0"/>
    <n v="0"/>
    <s v=""/>
    <s v=""/>
    <n v="0"/>
    <n v="0"/>
    <s v=""/>
    <s v="2. Sensitive"/>
    <s v="4. Transformational"/>
    <s v="2. Sensitive"/>
    <s v="It tested new ways for fighting poverty and measured results of innovation"/>
    <s v="Moderate advocacy"/>
    <s v="It linked and worked with strategic alliances and partners to take tested and effective solutions to scale"/>
  </r>
  <r>
    <x v="80"/>
    <x v="0"/>
    <n v="3446"/>
    <s v="Personal Advancement and Career Enhancement (P.A.C.E)"/>
    <s v="Vietnam"/>
    <s v="VNM255, VN308"/>
    <s v="CARE USA"/>
    <s v="Other"/>
    <s v="Other"/>
    <s v="GAP Inc."/>
    <m/>
    <m/>
    <m/>
    <m/>
    <m/>
    <m/>
    <m/>
    <m/>
    <m/>
    <m/>
    <m/>
    <m/>
    <m/>
    <m/>
    <m/>
    <m/>
    <m/>
    <m/>
    <m/>
    <m/>
    <m/>
    <m/>
    <m/>
    <m/>
    <m/>
    <m/>
    <m/>
    <m/>
    <m/>
    <m/>
    <m/>
    <m/>
    <m/>
    <m/>
    <m/>
    <m/>
    <m/>
    <m/>
    <m/>
    <m/>
    <m/>
    <m/>
    <m/>
    <m/>
    <m/>
    <d v="2017-02-01T00:00:00"/>
    <d v="2018-01-31T00:00:00"/>
    <m/>
    <s v="Development Other"/>
    <n v="94975.93"/>
    <s v="Pham Kim Ngan"/>
    <s v="Program Officer"/>
    <s v="phamkim.ngan@careint.org"/>
    <s v="Nguyen Thi Huong"/>
    <s v="Social Marginalized Population Team Leader"/>
    <s v="nguyenthi.huong@careint.org"/>
    <s v="NO"/>
    <s v="YES"/>
    <s v="NO"/>
    <s v="Migrant women have enhanced personal agency and opportunities to speak out about their interests"/>
    <s v="Sub-National"/>
    <s v="Hanoi, Vietnam"/>
    <s v="Female migrant workers in informal sector"/>
    <n v="349"/>
    <n v="32"/>
    <n v="381"/>
    <n v="762"/>
    <n v="762"/>
    <n v="1524"/>
    <s v="The direct participant number is including (1) 301 female migrant registered the training course (2) 18 key local trainers and supporters who are women (3) 32 husbands and male trainer (4) 30 house owners and local authorities. The indirect participants number is including the 3 other family member of each FMW"/>
    <m/>
    <m/>
    <m/>
    <m/>
    <m/>
    <m/>
    <n v="0"/>
    <s v="NO"/>
    <m/>
    <m/>
    <m/>
    <s v="NO"/>
    <m/>
    <m/>
    <m/>
    <s v="NO"/>
    <m/>
    <m/>
    <m/>
    <m/>
    <m/>
    <m/>
    <m/>
    <m/>
    <m/>
    <m/>
    <m/>
    <m/>
    <m/>
    <m/>
    <m/>
    <m/>
    <m/>
    <m/>
    <m/>
    <m/>
    <m/>
    <m/>
    <m/>
    <m/>
    <m/>
    <m/>
    <m/>
    <m/>
    <m/>
    <m/>
    <m/>
    <m/>
    <m/>
    <m/>
    <m/>
    <m/>
    <m/>
    <m/>
    <m/>
    <m/>
    <m/>
    <m/>
    <m/>
    <m/>
    <n v="319"/>
    <n v="2"/>
    <n v="321"/>
    <n v="642"/>
    <n v="642"/>
    <n v="1284"/>
    <s v="NO"/>
    <m/>
    <m/>
    <m/>
    <s v="NO"/>
    <m/>
    <m/>
    <m/>
    <s v="NO"/>
    <m/>
    <m/>
    <m/>
    <s v="NO"/>
    <m/>
    <m/>
    <m/>
    <s v="NO"/>
    <m/>
    <m/>
    <m/>
    <s v="NO"/>
    <m/>
    <m/>
    <m/>
    <s v="NO"/>
    <m/>
    <m/>
    <m/>
    <s v="NO"/>
    <m/>
    <m/>
    <m/>
    <s v="NO"/>
    <m/>
    <m/>
    <m/>
    <s v="NO"/>
    <m/>
    <m/>
    <m/>
    <s v="NO"/>
    <m/>
    <m/>
    <m/>
    <s v="NO"/>
    <m/>
    <m/>
    <m/>
    <s v="NO"/>
    <m/>
    <m/>
    <m/>
    <s v="NO"/>
    <m/>
    <m/>
    <m/>
    <s v="NO"/>
    <m/>
    <m/>
    <m/>
    <s v="YES"/>
    <n v="321"/>
    <n v="1"/>
    <n v="1284"/>
    <s v="Life skill"/>
    <s v="YES"/>
    <n v="321"/>
    <n v="1"/>
    <n v="1"/>
    <s v="NO"/>
    <m/>
    <m/>
    <m/>
    <m/>
    <m/>
    <m/>
    <s v="Donor does not allow evaluation"/>
    <x v="1"/>
    <s v="NO"/>
    <s v="NO"/>
    <s v="NO"/>
    <s v="YES"/>
    <s v="NO"/>
    <s v="NO"/>
    <s v="NO"/>
    <s v="YES"/>
    <s v="Dialogue workshop: This workshop was using the skill that the female migrant had got from the life skill training to talk with the local government about the local policy related directly to them. It brought more mutual understanding between them, so that the local authorities can support them better, while the female migrant also need the obligations as a citizen there"/>
    <x v="0"/>
    <m/>
    <x v="0"/>
    <m/>
    <x v="1"/>
    <x v="0"/>
    <s v="NO"/>
    <x v="0"/>
    <x v="0"/>
    <x v="1"/>
    <x v="1"/>
    <n v="2"/>
    <x v="1"/>
    <x v="2"/>
    <x v="1"/>
    <x v="1"/>
    <x v="2"/>
    <x v="4"/>
    <n v="2"/>
    <x v="1"/>
    <x v="2"/>
    <x v="1"/>
    <x v="2"/>
    <x v="3"/>
    <n v="1"/>
    <x v="2"/>
    <x v="2"/>
    <n v="2"/>
    <s v="Local alliance(s)/Platform(s)/Network(s) of  NGOs/CSOs"/>
    <m/>
    <m/>
    <x v="2"/>
    <s v="Support to establish and operate the club of female migrant workers"/>
    <s v="The project has improve the skills of women for their self development and create a good forum so that they can share with each other their issues and experience. The project has collected 301 participants which is far from the proposal' expectation. This is the good data on female migrant workers in informal sector that CARE can approach at any time for research or further intervention. The project has built up a good M&amp;E system which can satisfy both donnor and CARE's requirement."/>
    <s v="Female migrant worker's club: The club in which the semale migrant workers can voice out their issue and experience by topic."/>
    <m/>
    <m/>
    <s v="The good M&amp;E system at the starting point would help the process influent much."/>
    <s v="The female migrant workers who work in the construction area is hard to follow the training course because of their heavy job and intense working schedule. While they are one of the vulnerable group of overwork and being harassed, it is the need to collect them again for other chance of trained."/>
    <s v="It is hard to write a good human interest story about the beneficiary since sometimes the change that can see from each person is quite small and petty."/>
    <m/>
    <s v="H:\03. PROGRAM\02. Projects' Record\01. Current Projects\VNM255_VN308_P.A.C.E in communities 2017\01. Proposal"/>
    <n v="321"/>
    <n v="1284"/>
    <n v="4"/>
    <n v="0.99376947040498442"/>
    <n v="0.5"/>
    <n v="319"/>
    <n v="642"/>
    <s v=""/>
    <n v="0"/>
    <n v="0"/>
    <s v=""/>
    <s v=""/>
    <n v="0"/>
    <n v="0"/>
    <s v=""/>
    <s v=""/>
    <n v="0"/>
    <n v="0"/>
    <s v=""/>
    <s v=""/>
    <n v="0"/>
    <n v="0"/>
    <s v=""/>
    <n v="1"/>
    <n v="321"/>
    <n v="1284"/>
    <n v="4"/>
    <s v="1. Neutral"/>
    <s v="1. Tokenistic"/>
    <s v="1. Neutral"/>
    <s v="It did not develop any specific innovation"/>
    <s v="Moderate advocacy"/>
    <s v="It did not take tested solutions to scale"/>
  </r>
  <r>
    <x v="80"/>
    <x v="0"/>
    <n v="3446"/>
    <s v="Personal Advancement and Career Enhancement (P.A.C.E)"/>
    <s v="Vietnam"/>
    <s v="VNM255, VN290"/>
    <s v="CARE USA"/>
    <s v="Other"/>
    <s v="Other"/>
    <s v="GAP Inc."/>
    <m/>
    <m/>
    <m/>
    <m/>
    <m/>
    <m/>
    <m/>
    <m/>
    <m/>
    <m/>
    <m/>
    <m/>
    <m/>
    <m/>
    <m/>
    <m/>
    <m/>
    <m/>
    <m/>
    <m/>
    <m/>
    <m/>
    <m/>
    <m/>
    <m/>
    <m/>
    <m/>
    <m/>
    <m/>
    <m/>
    <m/>
    <m/>
    <m/>
    <m/>
    <m/>
    <m/>
    <m/>
    <m/>
    <m/>
    <m/>
    <m/>
    <m/>
    <m/>
    <m/>
    <m/>
    <d v="2015-10-01T00:00:00"/>
    <d v="2016-11-30T00:00:00"/>
    <m/>
    <s v="Development Other"/>
    <n v="102904"/>
    <s v="Pham Kim Ngan"/>
    <s v="Program Officer"/>
    <s v="phamkim.ngan@careint.org"/>
    <s v="Nguyen Thi Huong"/>
    <s v="Social Marginalized Population Team Leader"/>
    <s v="nguyenthi.huong@careint.org"/>
    <s v="NO"/>
    <s v="YES"/>
    <s v="NO"/>
    <s v="To support womens empowerment through enhanced personal agency and economic opportunities"/>
    <s v="Sub-National"/>
    <s v="Hanoi, Vietnam"/>
    <s v="Female migrant workers in informal sector"/>
    <n v="230"/>
    <n v="0"/>
    <n v="230"/>
    <n v="460"/>
    <n v="460"/>
    <n v="920"/>
    <s v="The direct participant number is including (1) 200 participants (2) 30 local trainers and assistants. The indirect participants number is including the 4 other family member of each FMW"/>
    <m/>
    <m/>
    <m/>
    <m/>
    <m/>
    <m/>
    <n v="0"/>
    <s v="NO"/>
    <m/>
    <m/>
    <m/>
    <s v="NO"/>
    <m/>
    <m/>
    <m/>
    <s v="NO"/>
    <m/>
    <m/>
    <m/>
    <m/>
    <m/>
    <m/>
    <m/>
    <m/>
    <m/>
    <m/>
    <m/>
    <m/>
    <m/>
    <m/>
    <m/>
    <m/>
    <m/>
    <m/>
    <m/>
    <m/>
    <m/>
    <m/>
    <m/>
    <m/>
    <m/>
    <m/>
    <m/>
    <m/>
    <m/>
    <m/>
    <m/>
    <m/>
    <m/>
    <m/>
    <m/>
    <m/>
    <m/>
    <m/>
    <m/>
    <m/>
    <m/>
    <m/>
    <m/>
    <m/>
    <n v="230"/>
    <n v="0"/>
    <n v="230"/>
    <n v="460"/>
    <n v="460"/>
    <n v="920"/>
    <s v="NO"/>
    <m/>
    <m/>
    <m/>
    <s v="NO"/>
    <m/>
    <m/>
    <m/>
    <s v="NO"/>
    <m/>
    <m/>
    <m/>
    <s v="NO"/>
    <m/>
    <m/>
    <m/>
    <s v="NO"/>
    <m/>
    <m/>
    <m/>
    <s v="NO"/>
    <m/>
    <m/>
    <m/>
    <s v="NO"/>
    <m/>
    <m/>
    <m/>
    <s v="NO"/>
    <m/>
    <m/>
    <m/>
    <s v="NO"/>
    <m/>
    <m/>
    <m/>
    <s v="NO"/>
    <m/>
    <m/>
    <m/>
    <s v="NO"/>
    <m/>
    <m/>
    <m/>
    <s v="NO"/>
    <m/>
    <m/>
    <m/>
    <s v="NO"/>
    <m/>
    <m/>
    <m/>
    <s v="NO"/>
    <m/>
    <m/>
    <m/>
    <s v="NO"/>
    <m/>
    <m/>
    <m/>
    <s v="YES"/>
    <n v="230"/>
    <n v="1"/>
    <n v="920"/>
    <s v="Life skill"/>
    <s v="YES"/>
    <n v="230"/>
    <n v="1"/>
    <n v="1"/>
    <s v="NO"/>
    <m/>
    <m/>
    <m/>
    <m/>
    <m/>
    <m/>
    <s v="Donor does not allow evaluation"/>
    <x v="1"/>
    <s v="NO"/>
    <s v="NO"/>
    <s v="NO"/>
    <s v="YES"/>
    <s v="NO"/>
    <s v="NO"/>
    <s v="NO"/>
    <s v="YES"/>
    <s v="Dialogue workshop: This workshop was using the skill that the female migrant had got from the life skill training to talk with the local government about the local policy related directly to them. It brought more mutual understanding between them, so that the local authorities can support them better, while the female migrant also need the obligations as a citizen there"/>
    <x v="0"/>
    <m/>
    <x v="0"/>
    <m/>
    <x v="1"/>
    <x v="0"/>
    <s v="NO"/>
    <x v="0"/>
    <x v="0"/>
    <x v="1"/>
    <x v="1"/>
    <n v="2"/>
    <x v="1"/>
    <x v="2"/>
    <x v="1"/>
    <x v="1"/>
    <x v="2"/>
    <x v="4"/>
    <n v="2"/>
    <x v="1"/>
    <x v="2"/>
    <x v="1"/>
    <x v="2"/>
    <x v="3"/>
    <n v="1"/>
    <x v="2"/>
    <x v="2"/>
    <n v="2"/>
    <s v="Local alliance(s)/Platform(s)/Network(s) of  NGOs/CSOs"/>
    <m/>
    <m/>
    <x v="1"/>
    <m/>
    <s v="The project has improve the skills of women for their self development and create a good forum so that they can share with each other their issues and experience. The project has collected 200 participants. This is the good data on female migrant workers in informal sector that CARE can approach at any time for research or further intervention."/>
    <s v="Female migrant worker's club: The club in which the semale migrant workers can voice out their issue and experience by topic."/>
    <m/>
    <m/>
    <s v="The good M&amp;E system at the starting point would not very influence, so the better M&amp;E system in the next phase would help"/>
    <m/>
    <m/>
    <m/>
    <m/>
    <n v="230"/>
    <n v="920"/>
    <n v="4"/>
    <n v="1"/>
    <n v="0.5"/>
    <n v="230"/>
    <n v="460"/>
    <s v=""/>
    <n v="0"/>
    <n v="0"/>
    <s v=""/>
    <s v=""/>
    <n v="0"/>
    <n v="0"/>
    <s v=""/>
    <s v=""/>
    <n v="0"/>
    <n v="0"/>
    <s v=""/>
    <s v=""/>
    <n v="0"/>
    <n v="0"/>
    <s v=""/>
    <n v="1"/>
    <n v="230"/>
    <n v="920"/>
    <n v="4"/>
    <s v="1. Neutral"/>
    <s v="1. Tokenistic"/>
    <s v="1. Neutral"/>
    <s v="It did not develop any specific innovation"/>
    <s v="Moderate advocacy"/>
    <s v="It did not take tested solutions to scale"/>
  </r>
  <r>
    <x v="80"/>
    <x v="0"/>
    <n v="3456"/>
    <s v="Promoting landrights for ethnic minority people in Vietnam"/>
    <s v="Vietnam"/>
    <s v="VNM258"/>
    <s v="CARE Danmark"/>
    <s v="Multilateral agency"/>
    <s v="EU - European Union (other than ECHO)"/>
    <s v="EU"/>
    <m/>
    <m/>
    <m/>
    <m/>
    <m/>
    <m/>
    <m/>
    <m/>
    <m/>
    <m/>
    <m/>
    <m/>
    <m/>
    <m/>
    <m/>
    <m/>
    <m/>
    <m/>
    <m/>
    <m/>
    <m/>
    <m/>
    <m/>
    <m/>
    <m/>
    <m/>
    <m/>
    <m/>
    <m/>
    <m/>
    <m/>
    <m/>
    <m/>
    <m/>
    <m/>
    <m/>
    <m/>
    <m/>
    <m/>
    <m/>
    <m/>
    <m/>
    <m/>
    <m/>
    <m/>
    <d v="2016-01-01T00:00:00"/>
    <d v="2018-12-31T00:00:00"/>
    <m/>
    <s v="Development Access to and Control over Economic Resources"/>
    <n v="641481"/>
    <s v="Nguyen Duc Thanh"/>
    <s v="Portfolio Manager"/>
    <s v="nguyenduc.thanh@careint.org"/>
    <s v="Nguyen Tri Dzung"/>
    <s v="REMW program team leader"/>
    <s v="nguyentri.dzung@careint.org"/>
    <s v="NO"/>
    <s v="YES"/>
    <s v="NO"/>
    <s v="To contribute to the protection and promotion of ethnic minority peoples rights to community forest lands"/>
    <s v="National"/>
    <s v="Northern Vietnam: Simacai and Bat Xat districts, Lao Cai province; Dinh Lap district and Huu Lung district, Lang Son province; - Central Vietnam: Tuyen Hoa, Quang Ninh districts, Quang Binh province; Que Phong district, Nghe An Province; Huong Son district, Ha Tinh province; - Central Highlands: Sa Thay and Kon Plong districts, Kon Tum province; - Hanoi: national advocacy and engagement;"/>
    <s v="The targets of this project are the policy makers who will determine the content of the Law on Forest Protection and Development. The Vietnam Administration of Forestry (VN Forest) chairs the drafting committee, on which also sits Committee on Ethnic Minority Affairs (CEMA), the government body with the mandate to improve conditions for ethnic minority populations."/>
    <n v="570"/>
    <n v="641"/>
    <n v="1211"/>
    <n v="5859910"/>
    <n v="6099090"/>
    <n v="11959000"/>
    <s v="The direct people are ethnic minority men and women, local authorities and government officials directly participated in the project activities in the project locations. The indirect people are more than 11 millions ethnic minority people living in the forest moutainous areas in Vietnam, who benefit from changes in forest land and forest related law/ policies"/>
    <m/>
    <m/>
    <m/>
    <n v="0"/>
    <m/>
    <m/>
    <m/>
    <m/>
    <m/>
    <m/>
    <m/>
    <m/>
    <m/>
    <m/>
    <m/>
    <m/>
    <m/>
    <m/>
    <m/>
    <m/>
    <m/>
    <m/>
    <m/>
    <m/>
    <m/>
    <m/>
    <m/>
    <m/>
    <m/>
    <m/>
    <m/>
    <m/>
    <m/>
    <m/>
    <m/>
    <m/>
    <m/>
    <m/>
    <m/>
    <m/>
    <m/>
    <m/>
    <m/>
    <m/>
    <m/>
    <m/>
    <m/>
    <m/>
    <m/>
    <m/>
    <m/>
    <m/>
    <m/>
    <m/>
    <m/>
    <m/>
    <m/>
    <m/>
    <m/>
    <m/>
    <n v="570"/>
    <n v="671"/>
    <n v="1241"/>
    <m/>
    <m/>
    <m/>
    <s v="NO"/>
    <m/>
    <m/>
    <m/>
    <s v="NO"/>
    <m/>
    <m/>
    <m/>
    <s v="NO"/>
    <m/>
    <m/>
    <m/>
    <s v="NO"/>
    <m/>
    <m/>
    <m/>
    <s v="NO"/>
    <m/>
    <m/>
    <m/>
    <s v="NO"/>
    <m/>
    <m/>
    <m/>
    <s v="NO"/>
    <m/>
    <m/>
    <m/>
    <s v="NO"/>
    <m/>
    <m/>
    <m/>
    <s v="NO"/>
    <m/>
    <m/>
    <m/>
    <s v="NO"/>
    <m/>
    <m/>
    <m/>
    <s v="NO"/>
    <m/>
    <m/>
    <m/>
    <s v="YES"/>
    <n v="1241"/>
    <n v="0.31"/>
    <n v="4964"/>
    <s v="YES"/>
    <n v="367"/>
    <n v="0.25"/>
    <n v="1468"/>
    <s v="NO"/>
    <m/>
    <m/>
    <m/>
    <s v="NO"/>
    <m/>
    <m/>
    <m/>
    <s v="YES"/>
    <n v="327"/>
    <n v="1"/>
    <n v="1308"/>
    <m/>
    <s v="NO"/>
    <m/>
    <m/>
    <m/>
    <s v="NO"/>
    <m/>
    <m/>
    <m/>
    <s v="YES"/>
    <s v="October"/>
    <m/>
    <s v="comparability with baseline, and results/ achivement of advocacy process on the forest land law revision"/>
    <x v="2"/>
    <s v="YES"/>
    <s v="YES"/>
    <s v="YES"/>
    <s v="YES"/>
    <s v="YES"/>
    <s v="YES"/>
    <s v="YES"/>
    <s v="YES"/>
    <s v="Advocate the government respect the right of ethnic minority applying their customary law in the forest land and forest protection and management"/>
    <x v="2"/>
    <s v="Strengthen a national CSO network led by ethnic minority people (Landnet) who represents for their community in the process of addressing forest land right issues/ the law revision. Support to form a Gender ambassedor network, including men and women, from different provinces, aiming to promote gender equity, right of EM women in access to land and forest land rights"/>
    <x v="1"/>
    <s v="EM women led CBOs on forest based livelihood options. Community /Costumary law  based  forest management"/>
    <x v="0"/>
    <x v="1"/>
    <s v="YES"/>
    <x v="0"/>
    <x v="0"/>
    <x v="0"/>
    <x v="2"/>
    <n v="4"/>
    <x v="2"/>
    <x v="1"/>
    <x v="1"/>
    <x v="1"/>
    <x v="1"/>
    <x v="2"/>
    <n v="4"/>
    <x v="1"/>
    <x v="1"/>
    <x v="2"/>
    <x v="1"/>
    <x v="3"/>
    <n v="2"/>
    <x v="0"/>
    <x v="2"/>
    <n v="1"/>
    <s v="Local NGO(s)/CSO(s)"/>
    <m/>
    <m/>
    <x v="0"/>
    <s v="Activiist, CSO network strengthen, capacity strengthening"/>
    <s v="Advocated changes in the in Decree 01/2017/ND-CP dated 6th January 2017. The newly revised decree now states that households, individuals, and communities who are living in forest areas can be legally allocated these forest areas as natural forest for production (which had previously stated that only organizations could benefit from the allocation of production forests. There had been no mention of households or communities as possible legal owners of productive lands. A number of recommendations on the second revision of law on forest protection and development has been taken (e.g. community is one of the forest owner, custormary law respect, other beneficieries and responsiblitiy of community in forest protection and managment). The law revision will be approved in the second national assembly session in Oct., 2017"/>
    <s v="Advocacy based evidences (good practices of community based forest management or customary law based forest management)"/>
    <s v="Collective action of CSOs (research, consultation workshop, policy consultation papers etc.) for advocacy, in particulaly CSO/ CSO network led by the impact group"/>
    <s v="Maintained close relationship with key policy makers and the law draft team and playing as activists"/>
    <s v="Close follow up the government and national assembly discussion and feedback on the law revision draft to have timely respones and consultations"/>
    <s v="Represenative and nuence practical evidences have strong influence to the policy maker decision, in  particularly voice of the impact groups during law revision consultation process  "/>
    <s v="Field visits for policy makers are important for them to interact and see the needs of communities"/>
    <s v="In general assesment, the project has significantly achived the expected results. A number of specific recommendations to the law revision draft have been taken regardless to respect customary law and community forest owner. Additionally, the project also supports EM women more engagement in forest development and management at local level through EM women led CBOs in forest based livelihoods, nursery garden etc."/>
    <s v="A number of publications, law revision consultation papers for reference"/>
    <n v="1241"/>
    <n v="0"/>
    <n v="0"/>
    <n v="0.45930701047542305"/>
    <s v=""/>
    <n v="570"/>
    <n v="0"/>
    <s v=""/>
    <n v="0"/>
    <n v="0"/>
    <s v=""/>
    <n v="1"/>
    <n v="1241"/>
    <n v="4964"/>
    <n v="4"/>
    <s v=""/>
    <n v="0"/>
    <n v="0"/>
    <s v=""/>
    <s v=""/>
    <n v="0"/>
    <n v="0"/>
    <s v=""/>
    <n v="1"/>
    <n v="327"/>
    <n v="1308"/>
    <n v="4"/>
    <s v="4. Transformative"/>
    <s v="4. Transformational"/>
    <s v="1. Neutral"/>
    <s v="It tested new ways for fighting poverty and measured results of innovation"/>
    <s v="Intensive advocacy"/>
    <s v="It linked and worked with strategic alliances and partners to take tested and effective solutions to scale"/>
  </r>
  <r>
    <x v="80"/>
    <x v="0"/>
    <n v="3454"/>
    <s v="Voice and Rights for Ethnic Minority Women"/>
    <s v="Vietnam"/>
    <s v="VNM 252"/>
    <s v="CARE Danmark"/>
    <s v="Multilateral agency"/>
    <s v="EU - European Union (other than ECHO)"/>
    <s v="EU"/>
    <m/>
    <m/>
    <m/>
    <m/>
    <m/>
    <m/>
    <m/>
    <m/>
    <m/>
    <m/>
    <m/>
    <m/>
    <m/>
    <m/>
    <m/>
    <m/>
    <m/>
    <m/>
    <m/>
    <m/>
    <m/>
    <m/>
    <m/>
    <m/>
    <m/>
    <m/>
    <m/>
    <m/>
    <m/>
    <m/>
    <m/>
    <m/>
    <m/>
    <m/>
    <m/>
    <m/>
    <m/>
    <m/>
    <m/>
    <m/>
    <m/>
    <m/>
    <m/>
    <m/>
    <m/>
    <d v="2015-07-01T00:00:00"/>
    <d v="2018-06-30T00:00:00"/>
    <m/>
    <s v="Development Other"/>
    <n v="3674"/>
    <s v="Nguyen Duc Thanh"/>
    <s v="Portfolio Manager"/>
    <s v="nguyenduc.thanh@careint.org"/>
    <s v="Nguyen Tri Dzung"/>
    <s v="REMW program team leader"/>
    <s v="nguyentri.dzung@careint.org"/>
    <s v="NO"/>
    <s v="YES"/>
    <s v="NO"/>
    <s v="Contribute to securing the rights of ethnic minority women in Vietnam by enhancing their voice and ensuring that government agencies and civil society value, respect and respond to it. Specific objectives: 1): Ethnic minority women have enhanced capacity to identify, articulate and advocate on issues that effect them to government and civil society; and 2): The Ethnic Minority Working Group (EMWG) and CEMA have increased respect for and sensitivity to the rights of ethnic minority women and enhanced capacity to recognise and respond to their needs."/>
    <s v="Sub-National"/>
    <s v="Bac Kan province - a mountainous province in northen of Vietnam"/>
    <s v="Ethnic minority women in the province"/>
    <n v="7963"/>
    <n v="3096"/>
    <n v="11059"/>
    <n v="6218680"/>
    <n v="5740320"/>
    <n v="11959000"/>
    <s v="The direct people are ethnic minority men and women, local authorities and government officials directly participated in the project activities in the province and national level. The indirect people are more than 11 millions ethnic minority people living in the forest moutainous areas in Vietnam, who benefit from changes in related policies, the national program that CARE and stratetegic CSO partners advocating for changes/ improvement through the co research processes"/>
    <m/>
    <m/>
    <m/>
    <m/>
    <m/>
    <m/>
    <m/>
    <m/>
    <m/>
    <m/>
    <m/>
    <m/>
    <m/>
    <m/>
    <m/>
    <m/>
    <m/>
    <m/>
    <m/>
    <m/>
    <m/>
    <m/>
    <m/>
    <m/>
    <m/>
    <m/>
    <m/>
    <m/>
    <m/>
    <m/>
    <m/>
    <m/>
    <m/>
    <m/>
    <m/>
    <m/>
    <m/>
    <m/>
    <m/>
    <m/>
    <m/>
    <m/>
    <m/>
    <m/>
    <m/>
    <m/>
    <m/>
    <m/>
    <m/>
    <m/>
    <m/>
    <m/>
    <m/>
    <m/>
    <m/>
    <m/>
    <m/>
    <m/>
    <m/>
    <m/>
    <n v="510"/>
    <n v="70"/>
    <n v="580"/>
    <n v="1680"/>
    <n v="560"/>
    <n v="2240"/>
    <s v="NO"/>
    <m/>
    <m/>
    <m/>
    <s v="NO"/>
    <m/>
    <m/>
    <m/>
    <s v="NO"/>
    <m/>
    <m/>
    <m/>
    <s v="NO"/>
    <m/>
    <m/>
    <m/>
    <s v="NO"/>
    <m/>
    <m/>
    <m/>
    <s v="NO"/>
    <m/>
    <m/>
    <m/>
    <s v="NO"/>
    <m/>
    <m/>
    <m/>
    <s v="NO"/>
    <m/>
    <m/>
    <m/>
    <s v="YES"/>
    <n v="580"/>
    <n v="0.87"/>
    <n v="2320"/>
    <s v="NO"/>
    <m/>
    <m/>
    <m/>
    <s v="NO"/>
    <m/>
    <m/>
    <m/>
    <s v="NO"/>
    <m/>
    <m/>
    <m/>
    <s v="YES"/>
    <n v="580"/>
    <n v="0.87"/>
    <n v="2320"/>
    <s v="NO"/>
    <m/>
    <m/>
    <m/>
    <s v="NO"/>
    <m/>
    <m/>
    <m/>
    <s v="NO"/>
    <m/>
    <m/>
    <m/>
    <s v="Women Social  Empowerment"/>
    <s v="YES"/>
    <n v="65"/>
    <n v="1"/>
    <n v="260"/>
    <s v="NO"/>
    <m/>
    <m/>
    <m/>
    <s v="YES"/>
    <s v="April"/>
    <n v="2018"/>
    <m/>
    <x v="1"/>
    <m/>
    <s v="YES"/>
    <s v="YES"/>
    <s v="YES"/>
    <s v="YES"/>
    <s v="YES"/>
    <m/>
    <m/>
    <m/>
    <x v="2"/>
    <s v="Power shift and balance throug co research methodology"/>
    <x v="1"/>
    <s v="Co research methodology"/>
    <x v="1"/>
    <x v="1"/>
    <s v="YES"/>
    <x v="0"/>
    <x v="0"/>
    <x v="0"/>
    <x v="2"/>
    <n v="4"/>
    <x v="2"/>
    <x v="1"/>
    <x v="1"/>
    <x v="1"/>
    <x v="1"/>
    <x v="2"/>
    <n v="4"/>
    <x v="1"/>
    <x v="2"/>
    <x v="2"/>
    <x v="1"/>
    <x v="3"/>
    <n v="1"/>
    <x v="2"/>
    <x v="2"/>
    <n v="2"/>
    <s v="Local NGO(s)/CSO(s)"/>
    <s v="Local government(s)"/>
    <m/>
    <x v="0"/>
    <s v="Activist and support advocacy process"/>
    <s v="Re allocate more fund for the CSO partner taking lead in communication and advocacy, adocate Vietnam Women Union at national level to scale up the methodology"/>
    <s v="Building confidence, self esteem for EM women through the co research process, respect their voice, decisions making"/>
    <s v="Have a good plan for documentation and communication"/>
    <s v="Closely engage and inform local authorities and policy makers/ planners in and on time on the project progress and results"/>
    <s v="The impact group has ability to solve their own issues by their ways when they were given power and resources"/>
    <s v="Documentation and communication plays important roles for inspiration, infuence and advocacy"/>
    <s v="We could find a good opportunity for advocating and scalling up if having information on or understanding the government's the same interests"/>
    <s v="The co research methogology has shown as powerful tool to empower EM women, The central Vietnam Women Union has taken this methodology and suggested to support for scaling up"/>
    <s v="A number of publication, documentation and video clips for references"/>
    <n v="580"/>
    <n v="2240"/>
    <n v="3.8620689655172415"/>
    <n v="0.87931034482758619"/>
    <n v="0.75"/>
    <n v="510"/>
    <n v="1680"/>
    <s v=""/>
    <n v="0"/>
    <n v="0"/>
    <s v=""/>
    <s v=""/>
    <n v="0"/>
    <n v="0"/>
    <s v=""/>
    <s v=""/>
    <n v="0"/>
    <n v="0"/>
    <s v=""/>
    <s v=""/>
    <n v="0"/>
    <n v="0"/>
    <s v=""/>
    <s v=""/>
    <n v="0"/>
    <n v="0"/>
    <s v=""/>
    <s v="4. Transformative"/>
    <s v="4. Transformational"/>
    <s v="1. Neutral"/>
    <s v="It tested new ways for fighting poverty and measured results of innovation"/>
    <s v="Moderate advocacy"/>
    <s v="It linked and worked with strategic alliances and partners to take tested and effective solutions to scale"/>
  </r>
  <r>
    <x v="80"/>
    <x v="0"/>
    <n v="3453"/>
    <s v="Womens Economic Empowerment through Agriculture Value Chain Enhancement (WEAVE)"/>
    <s v="Vietnam"/>
    <s v="VNM 302"/>
    <s v="CARE Australia"/>
    <s v="Government"/>
    <s v="Government - Australia"/>
    <s v="DFAT-Australia"/>
    <m/>
    <m/>
    <m/>
    <m/>
    <m/>
    <m/>
    <m/>
    <m/>
    <m/>
    <m/>
    <m/>
    <m/>
    <m/>
    <m/>
    <m/>
    <m/>
    <m/>
    <m/>
    <m/>
    <m/>
    <m/>
    <m/>
    <m/>
    <m/>
    <m/>
    <m/>
    <m/>
    <m/>
    <m/>
    <m/>
    <m/>
    <m/>
    <m/>
    <m/>
    <m/>
    <m/>
    <m/>
    <m/>
    <m/>
    <m/>
    <m/>
    <m/>
    <m/>
    <m/>
    <m/>
    <d v="2016-04-01T00:00:00"/>
    <d v="2019-08-31T00:00:00"/>
    <m/>
    <s v="Development Access to and Control over Economic Resources"/>
    <n v="573342"/>
    <s v="Le Xuan Hieu"/>
    <s v="Portfolio Manager"/>
    <s v="LeXuan.Hieu@careint.org"/>
    <m/>
    <m/>
    <m/>
    <s v="NO"/>
    <s v="YES"/>
    <s v="NO"/>
    <s v="The overall Goal of the WEAVE project is to enhance womens economic empowerment and social inclusion in agricultural value chains in rural Vietnam. This will be achieved through four outcomes that will collectively lead to increased womens economic empowerment"/>
    <s v="National"/>
    <s v="Bac Kan_x000a_Lao Cai_x000a_Ha Noi"/>
    <s v="Ethnic minorities, mainly resident in rural and upland areas, are often found to be more disadvantaged compared to the majority Kinh on interlocked multi dimensions of poverty such as illiteracy, decreased access to basic services, social exclusion and vulnerability to market and environmental risks and shocks. They represent 15% of the total population but account for 70% of Vietnams extreme poor . Women remain one of the most vulnerable groups and are still in a disadvantaged position compared to men despite the fact that there is a legal framework that is supportive of gender equality"/>
    <n v="450"/>
    <n v="300"/>
    <n v="750"/>
    <n v="900"/>
    <n v="825"/>
    <n v="1725"/>
    <s v="Direct beneficiaries: total men/women who are planting banana in 2 communes Indirect beneficiaries: total members of banana prioducer's families"/>
    <m/>
    <m/>
    <m/>
    <m/>
    <m/>
    <m/>
    <m/>
    <m/>
    <m/>
    <m/>
    <m/>
    <m/>
    <m/>
    <m/>
    <m/>
    <m/>
    <m/>
    <m/>
    <m/>
    <m/>
    <m/>
    <m/>
    <m/>
    <m/>
    <m/>
    <m/>
    <m/>
    <m/>
    <m/>
    <m/>
    <m/>
    <m/>
    <m/>
    <m/>
    <m/>
    <m/>
    <m/>
    <m/>
    <m/>
    <m/>
    <m/>
    <m/>
    <m/>
    <m/>
    <m/>
    <m/>
    <m/>
    <m/>
    <m/>
    <m/>
    <m/>
    <m/>
    <m/>
    <m/>
    <m/>
    <m/>
    <m/>
    <m/>
    <m/>
    <m/>
    <n v="475"/>
    <n v="475"/>
    <n v="950"/>
    <n v="950"/>
    <n v="950"/>
    <n v="1900"/>
    <s v="YES"/>
    <n v="950"/>
    <n v="0.5"/>
    <n v="1900"/>
    <s v="YES"/>
    <n v="950"/>
    <n v="0.5"/>
    <n v="1900"/>
    <s v="NO"/>
    <m/>
    <m/>
    <m/>
    <s v="NO"/>
    <m/>
    <m/>
    <m/>
    <s v="YES"/>
    <n v="950"/>
    <n v="0.5"/>
    <n v="1900"/>
    <s v="NO"/>
    <m/>
    <m/>
    <m/>
    <s v="NO"/>
    <m/>
    <m/>
    <m/>
    <s v="NO"/>
    <m/>
    <m/>
    <m/>
    <s v="YES"/>
    <n v="950"/>
    <n v="0.5"/>
    <n v="1900"/>
    <s v="NO"/>
    <m/>
    <m/>
    <m/>
    <s v="NO"/>
    <m/>
    <m/>
    <m/>
    <s v="NO"/>
    <m/>
    <m/>
    <m/>
    <s v="NO"/>
    <m/>
    <m/>
    <m/>
    <s v="NO"/>
    <m/>
    <m/>
    <m/>
    <s v="NO"/>
    <m/>
    <m/>
    <m/>
    <s v="YES"/>
    <n v="950"/>
    <n v="0.5"/>
    <n v="1900"/>
    <m/>
    <s v="NO"/>
    <m/>
    <m/>
    <m/>
    <s v="YES"/>
    <s v="July"/>
    <n v="2016"/>
    <s v="YES"/>
    <s v="NO"/>
    <m/>
    <m/>
    <s v="In the baseline, WEAVE started appli to measure the WEAI"/>
    <x v="1"/>
    <s v="NO"/>
    <s v="NO"/>
    <s v="NO"/>
    <s v="YES"/>
    <s v="YES"/>
    <s v="NO"/>
    <s v="YES"/>
    <s v="NO"/>
    <m/>
    <x v="1"/>
    <s v="project test new approach of WEE thru value change analysis"/>
    <x v="1"/>
    <s v="CVN, Oxfam and SNV consort to implement this project. CVN will bring the M&amp;E, OD and financial inclusion experience, OXFAM will contribute the GALS and SNV will bring private sector engagemnet. All this experiences to focus to WEE for the project goal"/>
    <x v="1"/>
    <x v="1"/>
    <s v="YES"/>
    <x v="0"/>
    <x v="0"/>
    <x v="0"/>
    <x v="2"/>
    <n v="4"/>
    <x v="1"/>
    <x v="1"/>
    <x v="1"/>
    <x v="1"/>
    <x v="1"/>
    <x v="1"/>
    <n v="4"/>
    <x v="1"/>
    <x v="1"/>
    <x v="1"/>
    <x v="1"/>
    <x v="1"/>
    <n v="3"/>
    <x v="0"/>
    <x v="3"/>
    <n v="4"/>
    <s v="International NGO(s)"/>
    <s v="Local NGO(s)/CSO(s)"/>
    <s v="Local government(s)"/>
    <x v="2"/>
    <s v="Project conducted building capacity for 2 implementing partners (especially on market and GALS approaches)"/>
    <s v="The coordinating mechanism among consortium members and local partners is in place. The project got approval from the government, and on that basis contracts/memoranda of understanding with local partners were signed. Consortium members then organised project launching events, and planning workshops with related stakeholders to widely communicate the project goals, objectives, and intervention strategies to local community and businesses. The joint project activity plan, MEL plan, and communication plan were completed and approved, emphasising shared values, working principles, contribution, and responsibility of each organisation. The engagement with the private sector for contract farming/inclusive business models is progressing well with positive reflections from companies themselves"/>
    <s v="Project applied both GALS and SAA activities for gender transformation"/>
    <s v="Engaging private sectors in Women Economic Empowerment"/>
    <s v="Applied VCA approach into WEE"/>
    <s v="Working in the consortium. WEAVE was set up based on the strengths of each consortium member, including GALS (Oxfam), value chain development and market-based solutions (SNV) and financial solutions (CARE), meaning both opportunities for cross-learning and enhanced capacity for each member, and effort needed to harmonise and compliment the others definitions, approaches, and criteria"/>
    <s v="The importance of local partners. Local partners participation is crucial during project implementation. Their understanding of project objectives, how the project supports them, and their roles in each stage of the project then translated into commitment and ownership of the project interventions and activities, for example rolling out similar activities to other locations, applying gender sensitive/ participatory approaches in their work, and facilitating community discussions without imposing solutions or ideas"/>
    <s v="Trust building. Involving related stakeholders right from the planning process offered a great opportunity to local partners, producer group members, and company to get to know each other, to be open to share their questions, concerns, expectations, and needs, so that the project can adjust its design or focus to reflect such needs. Target companies need to be involved in this period as well to gradually build up understanding and trust. Trust building obviously requires two ways communication and interactions (for example to introduce the concept of contract farming to banana producer groups), in addition to capacity building activities for producer groups (such as legal obligations with contracts). Trust building demonstrated the significant roles of NGOs as broker and facilitator for social change"/>
    <m/>
    <s v="Project document . Inception Report. Baseline report. First six months report"/>
    <n v="950"/>
    <n v="1900"/>
    <n v="2"/>
    <n v="0.5"/>
    <n v="0.5"/>
    <n v="475"/>
    <n v="950"/>
    <s v=""/>
    <n v="0"/>
    <n v="0"/>
    <s v=""/>
    <n v="1"/>
    <n v="950"/>
    <n v="1900"/>
    <n v="2"/>
    <s v=""/>
    <n v="0"/>
    <n v="0"/>
    <s v=""/>
    <s v=""/>
    <n v="0"/>
    <n v="0"/>
    <s v=""/>
    <n v="1"/>
    <n v="950"/>
    <n v="1900"/>
    <n v="2"/>
    <s v="4. Transformative"/>
    <s v="2. Accommodating"/>
    <s v="2. Sensitive"/>
    <s v="It tested new ways for fighting poverty, but did not measure results of innovation"/>
    <s v="Moderate advocacy"/>
    <s v="It linked and worked with strategic alliances and partners to take tested and effective solutions to scale"/>
  </r>
  <r>
    <x v="81"/>
    <x v="1"/>
    <m/>
    <s v="Health under protection (HUP): Emergency health and nutrition assistance to people living in communities whose rights are inadequately protected in the West bank (WB)"/>
    <s v="West Bank and Gaza"/>
    <s v="OCHAWB0004"/>
    <s v="No CARE member related to the project/initiative"/>
    <s v="Other"/>
    <s v="UN - United Nations agencies/offices"/>
    <s v="UN OCHA"/>
    <m/>
    <m/>
    <m/>
    <m/>
    <m/>
    <m/>
    <m/>
    <m/>
    <m/>
    <m/>
    <m/>
    <m/>
    <m/>
    <m/>
    <m/>
    <m/>
    <m/>
    <m/>
    <m/>
    <m/>
    <m/>
    <m/>
    <m/>
    <m/>
    <m/>
    <m/>
    <m/>
    <m/>
    <m/>
    <m/>
    <m/>
    <m/>
    <m/>
    <m/>
    <m/>
    <m/>
    <m/>
    <m/>
    <m/>
    <m/>
    <m/>
    <m/>
    <m/>
    <m/>
    <m/>
    <d v="2016-10-20T00:00:00"/>
    <d v="2016-11-01T00:00:00"/>
    <m/>
    <s v="Humanitarian Sexual, Reproductive and Maternal Health (SRMH)"/>
    <n v="250000.05"/>
    <s v="Ayman Shuaibi"/>
    <s v="Area Manager"/>
    <s v="shuaibi@carewbg.org"/>
    <m/>
    <m/>
    <m/>
    <s v="YES"/>
    <s v="NO"/>
    <s v="NO"/>
    <s v="Overall Objective: The projects overall objective is To address the essential health and protection needs of the most vulnerable population groups in the protection risk prone communities in the West Bank. Specific objective: To support vulnerable households living in protection risk prone communities in the West Bank to protect and improve their access to healthcare and protection support"/>
    <s v="Sub-National"/>
    <s v="WestBank"/>
    <s v="The total population of the 42 targeted affected communities in WB and east Jerusalem have safe and equitable access to essential quality health services (Level 2) provided by the project, even of the slight interruptions to the schedule due to Israeli restrictions, permit regime, and the coordination process that takes time mainly in Haret al khalayleh and An Nabi Samweil in Jerusalem and Khallet An Numan in Bethlehem that leads to loss of two to three visits, while the others locations are going smoothly with slight delay in arrival as in At Tuwani and Susia due to flying check points. All the project services are accessible from the direct services to the referrals of Protection needed cases."/>
    <n v="6600"/>
    <n v="3400"/>
    <n v="10000"/>
    <m/>
    <m/>
    <m/>
    <s v="The direct beneficiaries are the people received services from the mobile clinics, indirect are the community members improved access to health services"/>
    <m/>
    <n v="7700"/>
    <n v="3300"/>
    <n v="11000"/>
    <n v="17150"/>
    <n v="17150"/>
    <n v="34300"/>
    <m/>
    <m/>
    <m/>
    <m/>
    <m/>
    <m/>
    <m/>
    <m/>
    <m/>
    <m/>
    <m/>
    <m/>
    <s v="YES"/>
    <n v="3850"/>
    <n v="1"/>
    <n v="3400"/>
    <s v="YES"/>
    <n v="3850"/>
    <n v="1"/>
    <n v="3400"/>
    <s v="YES"/>
    <n v="3850"/>
    <n v="1"/>
    <n v="3400"/>
    <s v="YES"/>
    <n v="11000"/>
    <n v="0.7"/>
    <n v="34300"/>
    <m/>
    <m/>
    <m/>
    <m/>
    <m/>
    <m/>
    <m/>
    <m/>
    <s v="YES"/>
    <n v="2750"/>
    <n v="1"/>
    <n v="8575"/>
    <m/>
    <m/>
    <m/>
    <m/>
    <m/>
    <m/>
    <m/>
    <m/>
    <m/>
    <m/>
    <m/>
    <m/>
    <m/>
    <m/>
    <m/>
    <m/>
    <m/>
    <m/>
    <m/>
    <m/>
    <m/>
    <m/>
    <m/>
    <m/>
    <m/>
    <m/>
    <m/>
    <m/>
    <m/>
    <m/>
    <m/>
    <m/>
    <m/>
    <m/>
    <m/>
    <m/>
    <m/>
    <m/>
    <m/>
    <m/>
    <m/>
    <m/>
    <m/>
    <m/>
    <m/>
    <m/>
    <m/>
    <m/>
    <m/>
    <m/>
    <m/>
    <m/>
    <m/>
    <m/>
    <m/>
    <m/>
    <m/>
    <m/>
    <m/>
    <m/>
    <m/>
    <m/>
    <m/>
    <m/>
    <m/>
    <m/>
    <m/>
    <m/>
    <m/>
    <m/>
    <m/>
    <m/>
    <m/>
    <m/>
    <m/>
    <m/>
    <m/>
    <m/>
    <m/>
    <m/>
    <m/>
    <m/>
    <m/>
    <m/>
    <m/>
    <m/>
    <m/>
    <m/>
    <s v="NO"/>
    <m/>
    <m/>
    <s v="NO"/>
    <m/>
    <m/>
    <m/>
    <m/>
    <x v="0"/>
    <s v="NO"/>
    <m/>
    <m/>
    <s v="NO"/>
    <m/>
    <m/>
    <m/>
    <m/>
    <m/>
    <x v="2"/>
    <s v="the mobile clinic services"/>
    <x v="1"/>
    <m/>
    <x v="1"/>
    <x v="0"/>
    <s v="YES"/>
    <x v="0"/>
    <x v="0"/>
    <x v="0"/>
    <x v="0"/>
    <n v="4"/>
    <x v="1"/>
    <x v="1"/>
    <x v="1"/>
    <x v="1"/>
    <x v="1"/>
    <x v="1"/>
    <n v="4"/>
    <x v="1"/>
    <x v="1"/>
    <x v="1"/>
    <x v="1"/>
    <x v="1"/>
    <n v="3"/>
    <x v="2"/>
    <x v="2"/>
    <n v="2"/>
    <s v="Local government(s)"/>
    <s v="Local NGO(s)/CSO(s)"/>
    <s v="Local alliance(s)/Platform(s)/Network(s) of  NGOs/CSOs"/>
    <x v="0"/>
    <m/>
    <m/>
    <m/>
    <m/>
    <m/>
    <m/>
    <m/>
    <m/>
    <m/>
    <m/>
    <n v="11000"/>
    <n v="34300"/>
    <n v="3.1181818181818182"/>
    <n v="0.7"/>
    <n v="0.5"/>
    <n v="7700"/>
    <n v="17150"/>
    <n v="1"/>
    <n v="11000"/>
    <n v="34300"/>
    <n v="3.1181818181818182"/>
    <n v="1"/>
    <n v="3850"/>
    <n v="3400"/>
    <n v="0.88311688311688308"/>
    <n v="1"/>
    <n v="2750"/>
    <n v="8575"/>
    <n v="3.1181818181818182"/>
    <n v="1"/>
    <n v="3850"/>
    <n v="3400"/>
    <n v="0.88311688311688308"/>
    <s v=""/>
    <n v="0"/>
    <n v="0"/>
    <s v=""/>
    <s v="2. Sensitive"/>
    <s v="2. Accommodating"/>
    <s v="2. Sensitive"/>
    <s v="It tested new ways for fighting poverty and measured results of innovation"/>
    <s v="Little or no advocacy"/>
    <s v="It linked and worked with strategic alliances and partners to take tested and effective solutions to scale"/>
  </r>
  <r>
    <x v="81"/>
    <x v="1"/>
    <n v="3783"/>
    <s v="Improve access and availability of quality care within Gaza by building the capacity of NGOs and community based organization"/>
    <s v="West Bank and Gaza"/>
    <s v="IMCXWB0001"/>
    <s v="CARE USA"/>
    <s v="Foundation"/>
    <s v="Government - US"/>
    <s v="USAID"/>
    <m/>
    <m/>
    <m/>
    <m/>
    <m/>
    <m/>
    <m/>
    <m/>
    <m/>
    <m/>
    <m/>
    <m/>
    <m/>
    <m/>
    <m/>
    <m/>
    <m/>
    <m/>
    <m/>
    <m/>
    <m/>
    <m/>
    <m/>
    <m/>
    <m/>
    <m/>
    <m/>
    <m/>
    <m/>
    <m/>
    <m/>
    <m/>
    <m/>
    <m/>
    <m/>
    <m/>
    <m/>
    <m/>
    <m/>
    <m/>
    <m/>
    <m/>
    <m/>
    <m/>
    <m/>
    <d v="2016-01-12T00:00:00"/>
    <d v="2021-01-11T00:00:00"/>
    <m/>
    <s v="Humanitarian Other"/>
    <n v="3072389"/>
    <s v="Ayman Shuaibi"/>
    <s v="Area Manager"/>
    <s v="shuaibi@carewbg.org"/>
    <m/>
    <m/>
    <m/>
    <s v="YES"/>
    <s v="NO"/>
    <s v="NO"/>
    <s v="Increased access and availability of quality emergency and essential health services"/>
    <s v="Sub-National"/>
    <s v="Gaza"/>
    <m/>
    <n v="100000"/>
    <n v="100000"/>
    <n v="200000"/>
    <m/>
    <m/>
    <m/>
    <m/>
    <m/>
    <n v="85812"/>
    <n v="54612"/>
    <n v="140424"/>
    <m/>
    <m/>
    <m/>
    <m/>
    <m/>
    <m/>
    <m/>
    <m/>
    <m/>
    <m/>
    <m/>
    <m/>
    <m/>
    <m/>
    <m/>
    <m/>
    <m/>
    <m/>
    <m/>
    <m/>
    <m/>
    <m/>
    <m/>
    <m/>
    <m/>
    <m/>
    <m/>
    <s v="YES"/>
    <n v="140424"/>
    <n v="0.7"/>
    <m/>
    <m/>
    <m/>
    <m/>
    <m/>
    <m/>
    <m/>
    <m/>
    <m/>
    <s v="YES"/>
    <n v="25000"/>
    <n v="1"/>
    <m/>
    <m/>
    <m/>
    <m/>
    <m/>
    <m/>
    <m/>
    <m/>
    <m/>
    <m/>
    <m/>
    <m/>
    <m/>
    <m/>
    <m/>
    <m/>
    <m/>
    <m/>
    <m/>
    <m/>
    <m/>
    <m/>
    <m/>
    <m/>
    <m/>
    <m/>
    <m/>
    <m/>
    <m/>
    <m/>
    <m/>
    <m/>
    <m/>
    <m/>
    <m/>
    <m/>
    <m/>
    <m/>
    <m/>
    <m/>
    <m/>
    <m/>
    <m/>
    <m/>
    <m/>
    <m/>
    <m/>
    <m/>
    <m/>
    <m/>
    <m/>
    <m/>
    <m/>
    <m/>
    <m/>
    <m/>
    <m/>
    <m/>
    <m/>
    <m/>
    <m/>
    <m/>
    <m/>
    <m/>
    <m/>
    <m/>
    <m/>
    <m/>
    <m/>
    <m/>
    <m/>
    <m/>
    <m/>
    <m/>
    <m/>
    <m/>
    <m/>
    <m/>
    <m/>
    <m/>
    <m/>
    <m/>
    <m/>
    <m/>
    <m/>
    <m/>
    <m/>
    <m/>
    <m/>
    <s v="YES"/>
    <m/>
    <m/>
    <s v="NO"/>
    <s v="YES"/>
    <m/>
    <m/>
    <m/>
    <x v="1"/>
    <s v="NO"/>
    <s v="NO"/>
    <s v="NO"/>
    <s v="NO"/>
    <s v="NO"/>
    <s v="NO"/>
    <s v="NO"/>
    <m/>
    <m/>
    <x v="1"/>
    <m/>
    <x v="1"/>
    <m/>
    <x v="1"/>
    <x v="0"/>
    <s v="YES"/>
    <x v="0"/>
    <x v="0"/>
    <x v="0"/>
    <x v="0"/>
    <n v="4"/>
    <x v="1"/>
    <x v="1"/>
    <x v="1"/>
    <x v="1"/>
    <x v="1"/>
    <x v="1"/>
    <n v="4"/>
    <x v="3"/>
    <x v="1"/>
    <x v="1"/>
    <x v="1"/>
    <x v="4"/>
    <n v="3"/>
    <x v="2"/>
    <x v="2"/>
    <m/>
    <s v="International NGO(s)"/>
    <s v="Local government(s)"/>
    <m/>
    <x v="1"/>
    <m/>
    <m/>
    <m/>
    <m/>
    <m/>
    <m/>
    <m/>
    <m/>
    <m/>
    <m/>
    <n v="140424"/>
    <n v="0"/>
    <n v="0"/>
    <n v="0.61109212100495647"/>
    <s v=""/>
    <n v="85812"/>
    <n v="0"/>
    <n v="1"/>
    <n v="140424"/>
    <n v="0"/>
    <n v="0"/>
    <s v=""/>
    <n v="0"/>
    <n v="0"/>
    <s v=""/>
    <n v="1"/>
    <n v="25000"/>
    <n v="0"/>
    <n v="0"/>
    <s v=""/>
    <n v="0"/>
    <n v="0"/>
    <s v=""/>
    <s v=""/>
    <n v="0"/>
    <n v="0"/>
    <s v=""/>
    <s v="2. Sensitive"/>
    <s v="2. Accommodating"/>
    <s v="4. Transformative"/>
    <s v="It tested new ways for fighting poverty, but did not measure results of innovation"/>
    <s v="Moderate advocacy"/>
    <s v="It linked and worked with strategic alliances and partners to take tested and effective solutions to scale"/>
  </r>
  <r>
    <x v="81"/>
    <x v="1"/>
    <m/>
    <s v="Lendwithcare"/>
    <s v="West Bank and Gaza"/>
    <s v="UNRTGB0076"/>
    <s v="CARE UK"/>
    <s v="Individual supporter"/>
    <s v="Other"/>
    <m/>
    <s v="UNRTGB0076"/>
    <s v="CARE UK"/>
    <s v="Foundation"/>
    <s v="Other"/>
    <s v="The Jimmy Choo Foundation"/>
    <m/>
    <m/>
    <m/>
    <m/>
    <m/>
    <m/>
    <m/>
    <m/>
    <m/>
    <m/>
    <m/>
    <m/>
    <m/>
    <m/>
    <m/>
    <m/>
    <m/>
    <m/>
    <m/>
    <m/>
    <m/>
    <m/>
    <m/>
    <m/>
    <m/>
    <m/>
    <m/>
    <m/>
    <m/>
    <m/>
    <m/>
    <m/>
    <m/>
    <m/>
    <m/>
    <m/>
    <m/>
    <m/>
    <m/>
    <m/>
    <d v="2016-07-01T00:00:00"/>
    <d v="2017-06-30T00:00:00"/>
    <m/>
    <s v="Development Access to and Control over Economic Resources"/>
    <n v="140250"/>
    <s v="Tracey Horner"/>
    <s v="Head of Lendwithcare"/>
    <s v="horner@careinternational.org"/>
    <m/>
    <m/>
    <m/>
    <s v="NO"/>
    <s v="YES"/>
    <s v="NO"/>
    <s v="Provide loan capital to poor and low-income individuals, mainly women, who want to start or expand a small business."/>
    <s v="Sub-National"/>
    <s v="West Bank &amp; Gaza"/>
    <s v="Women and men with existing income-generating activities who are excluded from the formal financial sector. The main impact groups are individuals engaged in agriculture, animal husbandry and services."/>
    <n v="13"/>
    <n v="28"/>
    <n v="41"/>
    <n v="51"/>
    <n v="108"/>
    <n v="159"/>
    <s v="Direct participants are those who received a loan to invest in their business from Lendwithcare lenders in FY17. Indirect participants have been calculated by adding up all of the dependents of the entrepreneurs who received a loan in FY17 and the people who have been employed in their businesses. We are not able to disaggregate the data for indirect participants by female and male, so I have used the ratio of 49:51 from the Palestinian Central Bureau of Statistics 2015 http://www.pcbs.gov.ps/portals/_pcbs/PressRelease/WomenDy2015E.pdf. This is an on-going project so I have given the numbers of participants just in this FY as there is no end date to the project."/>
    <m/>
    <m/>
    <m/>
    <m/>
    <m/>
    <m/>
    <m/>
    <m/>
    <m/>
    <m/>
    <m/>
    <m/>
    <m/>
    <m/>
    <m/>
    <m/>
    <m/>
    <m/>
    <m/>
    <m/>
    <m/>
    <m/>
    <m/>
    <m/>
    <m/>
    <m/>
    <m/>
    <m/>
    <m/>
    <m/>
    <m/>
    <m/>
    <m/>
    <m/>
    <m/>
    <m/>
    <m/>
    <m/>
    <m/>
    <m/>
    <m/>
    <m/>
    <m/>
    <m/>
    <m/>
    <m/>
    <m/>
    <m/>
    <m/>
    <m/>
    <m/>
    <m/>
    <m/>
    <m/>
    <m/>
    <m/>
    <m/>
    <m/>
    <m/>
    <m/>
    <n v="13"/>
    <n v="28"/>
    <n v="41"/>
    <n v="51"/>
    <n v="108"/>
    <n v="159"/>
    <m/>
    <m/>
    <m/>
    <m/>
    <m/>
    <m/>
    <m/>
    <m/>
    <m/>
    <m/>
    <m/>
    <m/>
    <m/>
    <m/>
    <m/>
    <m/>
    <m/>
    <m/>
    <m/>
    <m/>
    <m/>
    <m/>
    <m/>
    <m/>
    <m/>
    <m/>
    <m/>
    <m/>
    <m/>
    <m/>
    <m/>
    <m/>
    <m/>
    <m/>
    <m/>
    <m/>
    <m/>
    <m/>
    <m/>
    <m/>
    <m/>
    <m/>
    <m/>
    <m/>
    <m/>
    <m/>
    <m/>
    <m/>
    <m/>
    <m/>
    <m/>
    <m/>
    <m/>
    <m/>
    <m/>
    <m/>
    <m/>
    <m/>
    <m/>
    <m/>
    <s v="YES"/>
    <n v="41"/>
    <n v="0.32"/>
    <n v="211"/>
    <m/>
    <m/>
    <m/>
    <m/>
    <m/>
    <s v="NO"/>
    <m/>
    <m/>
    <m/>
    <s v="NO"/>
    <m/>
    <m/>
    <m/>
    <x v="0"/>
    <m/>
    <m/>
    <m/>
    <m/>
    <m/>
    <m/>
    <m/>
    <m/>
    <m/>
    <x v="0"/>
    <m/>
    <x v="0"/>
    <m/>
    <x v="0"/>
    <x v="3"/>
    <m/>
    <x v="2"/>
    <x v="2"/>
    <x v="2"/>
    <x v="5"/>
    <n v="0"/>
    <x v="3"/>
    <x v="0"/>
    <x v="0"/>
    <x v="0"/>
    <x v="0"/>
    <x v="3"/>
    <n v="0"/>
    <x v="2"/>
    <x v="0"/>
    <x v="0"/>
    <x v="0"/>
    <x v="2"/>
    <n v="0"/>
    <x v="2"/>
    <x v="2"/>
    <n v="1"/>
    <s v="Private sector"/>
    <m/>
    <m/>
    <x v="1"/>
    <m/>
    <s v="There were no important changes or adjustments made."/>
    <s v="Microfinance was used as the strategy to meet our Financial Inclusion and WEE objectives."/>
    <s v="Peer-to-peer lending was used as the strategy to raise loan capital for the project's participants."/>
    <m/>
    <s v="The way we work with our microfinance partner in Palestine is very different to all other countries we work in due to the on-going instability. We work in close partnership with CARE West Bank and Gaza, who need to check each loan recipient against CARE US' Bridger list before the loan can be sent to Lendwithcare for funding."/>
    <s v="Due to the highly politicised environment it has been a bit of a challenge to effectively convey to donors why the Palestinian entrepreneurs featured on Lendwithcare require assistance. The entrepreneurs seem wealthier and far better educated than the more typical entrepreneur we feature on the website, yet access to resources is a huge challenge in these territories and opportunities slim. We are limited in what we can say about the occupation and therefore the loans are harder to fund."/>
    <m/>
    <s v="This is an on-going project so we do not have a budget for the lifetime of the project. The number we have reported is how much loan capital was raised through the Lendwithcare platform for the Palestinian Territories in FY17. Lendwithcare does not use gender, resilience or governance scorecards as part of its programming so we have had to answer no to all the questions related to these. However, an outcome of 'harmful' (particularly with regards to women's empowerment and gender equality) seems in accurate since this initiatve focuses heavily on Women's Economic Empowerment."/>
    <m/>
    <n v="41"/>
    <n v="159"/>
    <n v="3.8780487804878048"/>
    <n v="0.31707317073170732"/>
    <n v="0.32075471698113206"/>
    <n v="13"/>
    <n v="51"/>
    <s v=""/>
    <n v="0"/>
    <n v="0"/>
    <s v=""/>
    <s v=""/>
    <n v="0"/>
    <n v="0"/>
    <s v=""/>
    <s v=""/>
    <n v="0"/>
    <n v="0"/>
    <s v=""/>
    <s v=""/>
    <n v="0"/>
    <n v="0"/>
    <s v=""/>
    <n v="1"/>
    <n v="41"/>
    <n v="211"/>
    <n v="5.1463414634146343"/>
    <s v="0. Harmful"/>
    <s v="0. Unaware"/>
    <s v="0. Harmful"/>
    <s v="It did not develop any specific innovation"/>
    <s v="Little or no advocacy"/>
    <s v="It did not take tested solutions to scale"/>
  </r>
  <r>
    <x v="81"/>
    <x v="1"/>
    <n v="3464"/>
    <s v="My Right to My Future Womens Participation in Peace Building and Conflict Resolution"/>
    <s v="West Bank and Gaza"/>
    <s v="CAUTWB0038"/>
    <s v="CARE Österreich"/>
    <s v="Government"/>
    <s v="EU - European Union (other than ECHO)"/>
    <s v="EU"/>
    <m/>
    <m/>
    <m/>
    <m/>
    <m/>
    <m/>
    <m/>
    <m/>
    <m/>
    <m/>
    <m/>
    <m/>
    <m/>
    <m/>
    <m/>
    <m/>
    <m/>
    <m/>
    <m/>
    <m/>
    <m/>
    <m/>
    <m/>
    <m/>
    <m/>
    <m/>
    <m/>
    <m/>
    <m/>
    <m/>
    <m/>
    <m/>
    <m/>
    <m/>
    <m/>
    <m/>
    <m/>
    <m/>
    <m/>
    <m/>
    <m/>
    <m/>
    <m/>
    <m/>
    <m/>
    <d v="2015-04-01T00:00:00"/>
    <d v="2017-10-01T00:00:00"/>
    <m/>
    <s v="Development Other"/>
    <n v="672993"/>
    <s v="Ayman Shuaibi"/>
    <s v="Area Manager"/>
    <s v="shuaibi@carewbg.org"/>
    <s v="Hiba Tibi"/>
    <s v="Economic Empowerment Program Coordinator- WestBank"/>
    <s v="Htibi@carewbg.org"/>
    <s v="NO"/>
    <s v="YES"/>
    <s v="NO"/>
    <s v="Building a strong and politically active Palestinian society that engages for a just and lasting peace, towards which men and women are equally contributing."/>
    <s v="National"/>
    <s v="WestBank &amp; Gaza"/>
    <s v="Women, Political parties"/>
    <n v="2150"/>
    <n v="2150"/>
    <n v="4300"/>
    <m/>
    <m/>
    <m/>
    <s v="Direct beneficiaries are reached by the project and actively participated in the campaigns. Indirect beneficiaries are divided into several categories, women who will improve access to political parties due to the activation of the charter adaptation, other gender NGOs who will improve their approach in targeting women and improve their engagement"/>
    <m/>
    <m/>
    <m/>
    <m/>
    <m/>
    <m/>
    <m/>
    <m/>
    <m/>
    <m/>
    <m/>
    <m/>
    <m/>
    <m/>
    <m/>
    <m/>
    <m/>
    <m/>
    <m/>
    <m/>
    <m/>
    <m/>
    <m/>
    <m/>
    <m/>
    <m/>
    <m/>
    <m/>
    <m/>
    <m/>
    <m/>
    <m/>
    <m/>
    <m/>
    <m/>
    <m/>
    <m/>
    <m/>
    <m/>
    <m/>
    <m/>
    <m/>
    <m/>
    <m/>
    <m/>
    <m/>
    <m/>
    <m/>
    <m/>
    <m/>
    <m/>
    <m/>
    <m/>
    <m/>
    <m/>
    <m/>
    <m/>
    <m/>
    <m/>
    <m/>
    <n v="2150"/>
    <n v="2150"/>
    <n v="4300"/>
    <n v="23500"/>
    <n v="23500"/>
    <n v="47000"/>
    <m/>
    <m/>
    <m/>
    <m/>
    <s v="NO"/>
    <m/>
    <m/>
    <m/>
    <s v="YES"/>
    <n v="4300"/>
    <n v="0.5"/>
    <n v="47000"/>
    <s v="NO"/>
    <m/>
    <m/>
    <m/>
    <s v="NO"/>
    <m/>
    <m/>
    <m/>
    <s v="NO"/>
    <m/>
    <m/>
    <m/>
    <s v="NO"/>
    <m/>
    <m/>
    <m/>
    <s v="YES"/>
    <n v="4300"/>
    <m/>
    <n v="4700"/>
    <s v="YES"/>
    <n v="4300"/>
    <m/>
    <n v="4700"/>
    <s v="NO"/>
    <m/>
    <m/>
    <m/>
    <s v="NO"/>
    <m/>
    <m/>
    <m/>
    <s v="NO"/>
    <m/>
    <m/>
    <m/>
    <s v="YES"/>
    <n v="4300"/>
    <m/>
    <n v="4700"/>
    <s v="NO"/>
    <m/>
    <m/>
    <m/>
    <s v="NO"/>
    <m/>
    <m/>
    <m/>
    <s v="NO"/>
    <m/>
    <m/>
    <m/>
    <m/>
    <m/>
    <m/>
    <m/>
    <m/>
    <s v="NO"/>
    <m/>
    <m/>
    <s v="NO"/>
    <s v="YES"/>
    <s v="September"/>
    <n v="2017"/>
    <m/>
    <x v="2"/>
    <s v="NO"/>
    <s v="NO"/>
    <s v="YES"/>
    <s v="YES"/>
    <s v="YES"/>
    <s v="NO"/>
    <s v="NO"/>
    <m/>
    <m/>
    <x v="2"/>
    <m/>
    <x v="1"/>
    <m/>
    <x v="1"/>
    <x v="1"/>
    <s v="YES"/>
    <x v="0"/>
    <x v="0"/>
    <x v="0"/>
    <x v="2"/>
    <n v="4"/>
    <x v="2"/>
    <x v="1"/>
    <x v="1"/>
    <x v="1"/>
    <x v="1"/>
    <x v="2"/>
    <n v="4"/>
    <x v="1"/>
    <x v="1"/>
    <x v="1"/>
    <x v="1"/>
    <x v="1"/>
    <n v="3"/>
    <x v="2"/>
    <x v="2"/>
    <n v="3"/>
    <s v="Grassroots organization(s)"/>
    <s v="Local alliance(s)/Platform(s)/Network(s) of  NGOs/CSOs"/>
    <s v="Local NGO(s)/CSO(s)"/>
    <x v="0"/>
    <s v="wworking with grasroots organizations and political parties bases"/>
    <m/>
    <m/>
    <m/>
    <m/>
    <m/>
    <m/>
    <m/>
    <m/>
    <m/>
    <n v="4300"/>
    <n v="47000"/>
    <n v="10.930232558139535"/>
    <n v="0.5"/>
    <n v="0.5"/>
    <n v="2150"/>
    <n v="23500"/>
    <s v=""/>
    <n v="0"/>
    <n v="0"/>
    <s v=""/>
    <s v=""/>
    <n v="0"/>
    <n v="0"/>
    <s v=""/>
    <s v=""/>
    <n v="0"/>
    <n v="0"/>
    <s v=""/>
    <n v="1"/>
    <n v="4300"/>
    <n v="4700"/>
    <n v="1.0930232558139534"/>
    <s v=""/>
    <n v="0"/>
    <n v="0"/>
    <s v=""/>
    <s v="4. Transformative"/>
    <s v="4. Transformational"/>
    <s v="2. Sensitive"/>
    <s v="It tested new ways for fighting poverty and measured results of innovation"/>
    <s v="Intensive advocacy"/>
    <s v="It linked and worked with strategic alliances and partners to take tested and effective solutions to scale"/>
  </r>
  <r>
    <x v="81"/>
    <x v="1"/>
    <m/>
    <s v="Rehabilitating and Strengthening Farmers Livelihood and Food Security in Gaza"/>
    <s v="West Bank and Gaza"/>
    <s v="CAUTWB0041"/>
    <s v="CARE Österreich"/>
    <s v="Foundation"/>
    <s v="Other"/>
    <s v="OFID"/>
    <m/>
    <m/>
    <m/>
    <m/>
    <m/>
    <m/>
    <m/>
    <m/>
    <m/>
    <m/>
    <m/>
    <m/>
    <m/>
    <m/>
    <m/>
    <m/>
    <m/>
    <m/>
    <m/>
    <m/>
    <m/>
    <m/>
    <m/>
    <m/>
    <m/>
    <m/>
    <m/>
    <m/>
    <m/>
    <m/>
    <m/>
    <m/>
    <m/>
    <m/>
    <m/>
    <m/>
    <m/>
    <m/>
    <m/>
    <m/>
    <m/>
    <m/>
    <m/>
    <m/>
    <m/>
    <d v="2017-02-01T00:00:00"/>
    <d v="2018-03-31T00:00:00"/>
    <m/>
    <s v="Humanitarian Access to and Control over Economic Resources"/>
    <n v="800000"/>
    <s v="Mostafa Kahlout"/>
    <s v="Economic Empowerment Program Coordinator- Gaza"/>
    <s v="mkahlout@carewbg.org"/>
    <s v="Ayman Shuaibi"/>
    <s v="Area Manager"/>
    <s v="shuaibi@carewbg.org"/>
    <s v="YES"/>
    <s v="YES"/>
    <s v="YES"/>
    <s v="The proposed projects overall objective is: Improved food security of conflict affected people in the Gaza strip"/>
    <s v="Sub-National"/>
    <s v="Gaza"/>
    <s v="livelihoods of conflict affected and food insecure farming households in Gaza"/>
    <n v="3558"/>
    <n v="3558"/>
    <n v="7116"/>
    <n v="3558"/>
    <n v="3558"/>
    <n v="7116"/>
    <s v="CARE WBG consider working with the HH as a farming Unit- all members contributing to it are direct beneficiaries. Indirect beneficiaries are divided into several categories, during the FY17  1- each targeted farmers will influence at least one farming neighbour HH with the innovation introduced,2-  also othe members of communities will improve access to land and water through the infrastructure constructed by the project, 3- community members/ farmers improved access to agriculture and agribusiness services"/>
    <m/>
    <m/>
    <m/>
    <m/>
    <m/>
    <m/>
    <m/>
    <m/>
    <m/>
    <m/>
    <m/>
    <m/>
    <m/>
    <m/>
    <m/>
    <m/>
    <m/>
    <m/>
    <m/>
    <s v="YES"/>
    <m/>
    <m/>
    <m/>
    <m/>
    <m/>
    <m/>
    <m/>
    <m/>
    <m/>
    <m/>
    <m/>
    <m/>
    <m/>
    <m/>
    <m/>
    <s v="Yes"/>
    <m/>
    <m/>
    <m/>
    <m/>
    <m/>
    <m/>
    <m/>
    <m/>
    <m/>
    <m/>
    <m/>
    <m/>
    <m/>
    <m/>
    <m/>
    <m/>
    <m/>
    <m/>
    <m/>
    <m/>
    <m/>
    <m/>
    <m/>
    <m/>
    <n v="3000"/>
    <n v="3000"/>
    <n v="6000"/>
    <n v="3000"/>
    <n v="3000"/>
    <n v="6000"/>
    <s v="YES"/>
    <n v="6000"/>
    <n v="0.5"/>
    <n v="6000"/>
    <s v="YES"/>
    <n v="6000"/>
    <n v="0.5"/>
    <n v="6000"/>
    <s v="NO"/>
    <m/>
    <m/>
    <m/>
    <s v="YES"/>
    <n v="600"/>
    <n v="0.5"/>
    <n v="600"/>
    <s v="YES"/>
    <n v="6000"/>
    <n v="0.5"/>
    <n v="1500"/>
    <s v="NO"/>
    <m/>
    <m/>
    <m/>
    <s v="YES"/>
    <n v="6000"/>
    <n v="0.5"/>
    <n v="6000"/>
    <s v="YES"/>
    <n v="1350"/>
    <m/>
    <n v="5400"/>
    <s v="YES"/>
    <n v="1350"/>
    <m/>
    <n v="5400"/>
    <s v="NO"/>
    <m/>
    <m/>
    <m/>
    <s v="YES"/>
    <n v="6000"/>
    <n v="0.5"/>
    <n v="6000"/>
    <s v="YES"/>
    <n v="6000"/>
    <n v="0.5"/>
    <n v="6000"/>
    <s v="YES"/>
    <n v="1350"/>
    <m/>
    <n v="5400"/>
    <m/>
    <m/>
    <m/>
    <m/>
    <s v="YES"/>
    <n v="3000"/>
    <n v="0.5"/>
    <n v="3000"/>
    <s v="YES"/>
    <n v="500"/>
    <n v="1"/>
    <n v="500"/>
    <m/>
    <m/>
    <m/>
    <m/>
    <m/>
    <s v="NO"/>
    <m/>
    <m/>
    <m/>
    <s v="YES"/>
    <m/>
    <m/>
    <m/>
    <x v="0"/>
    <m/>
    <m/>
    <m/>
    <m/>
    <m/>
    <m/>
    <m/>
    <m/>
    <m/>
    <x v="1"/>
    <m/>
    <x v="3"/>
    <m/>
    <x v="0"/>
    <x v="0"/>
    <s v="YES"/>
    <x v="0"/>
    <x v="0"/>
    <x v="0"/>
    <x v="0"/>
    <n v="4"/>
    <x v="1"/>
    <x v="1"/>
    <x v="1"/>
    <x v="1"/>
    <x v="1"/>
    <x v="1"/>
    <n v="4"/>
    <x v="3"/>
    <x v="1"/>
    <x v="1"/>
    <x v="1"/>
    <x v="4"/>
    <n v="3"/>
    <x v="0"/>
    <x v="3"/>
    <m/>
    <s v="Local NGO(s)/CSO(s)"/>
    <s v="Local government(s)"/>
    <s v="Grassroots organization(s)"/>
    <x v="0"/>
    <m/>
    <m/>
    <s v="Using gender value chain analysis as a key tool in the design stage to ensure a positive impact on women economically."/>
    <s v="Adopting transitional programming linking relief with development."/>
    <s v="Social enterprises development, working with and developing CBOs and private sector companies, including cooperatives, to act as socio-economic hubs. In addition to Private sector engagement, especially to enable poor communities to have access to markets."/>
    <m/>
    <m/>
    <m/>
    <m/>
    <m/>
    <n v="6000"/>
    <n v="6000"/>
    <n v="1"/>
    <n v="0.5"/>
    <n v="0.5"/>
    <n v="3000"/>
    <n v="3000"/>
    <n v="1"/>
    <n v="0"/>
    <n v="0"/>
    <s v=""/>
    <n v="1"/>
    <n v="6000"/>
    <n v="6000"/>
    <n v="1"/>
    <s v=""/>
    <n v="0"/>
    <n v="0"/>
    <s v=""/>
    <n v="1"/>
    <n v="1350"/>
    <n v="5400"/>
    <n v="4"/>
    <n v="1"/>
    <n v="3000"/>
    <n v="750"/>
    <n v="0.25"/>
    <s v="2. Sensitive"/>
    <s v="2. Accommodating"/>
    <s v="4. Transformative"/>
    <s v="It tested new ways for fighting poverty, but did not measure results of innovation"/>
    <s v="Little or no advocacy"/>
    <s v="It took tested solutions to scale on its own"/>
  </r>
  <r>
    <x v="81"/>
    <x v="1"/>
    <m/>
    <s v="Rehabilitating and Strengthening Food Security in the West Bank and Gaza (AYADI)&quot;"/>
    <s v="West Bank and Gaza"/>
    <s v="CCANWB0011"/>
    <s v="CARE Canada"/>
    <s v="Government"/>
    <s v="Government - Canada"/>
    <s v="DFATD-Canada"/>
    <m/>
    <m/>
    <m/>
    <m/>
    <m/>
    <m/>
    <m/>
    <m/>
    <m/>
    <m/>
    <m/>
    <m/>
    <m/>
    <m/>
    <m/>
    <m/>
    <m/>
    <m/>
    <m/>
    <m/>
    <m/>
    <m/>
    <m/>
    <m/>
    <m/>
    <m/>
    <m/>
    <m/>
    <m/>
    <m/>
    <m/>
    <m/>
    <m/>
    <m/>
    <m/>
    <m/>
    <m/>
    <m/>
    <m/>
    <m/>
    <m/>
    <m/>
    <m/>
    <m/>
    <m/>
    <d v="2016-06-21T00:00:00"/>
    <d v="2018-09-30T00:00:00"/>
    <m/>
    <s v="Development Food &amp; Nutrition Security and Resilience to Climate Change"/>
    <n v="5744930"/>
    <s v="Mostafa Kahlout"/>
    <s v="Economic Empowerment Program Coordinator- Gaza"/>
    <s v="mkahlout@carewbg.org"/>
    <s v="Ayman Shuaibi"/>
    <s v="Area Manager"/>
    <s v="shuaibi@carewbg.org"/>
    <s v="YES"/>
    <s v="YES"/>
    <s v="YES"/>
    <s v="Lives saved, suffering alleviated and human dignity maintained"/>
    <s v="National"/>
    <s v="West Bank and Gaza, The project will be executed in 3 Governorates in the West Bank (Jordan Valley): Nablus, Tubas and Jericho, and in 5 Governorates of the Gaza Strip: Rafah, Khanyounis, Middle, Gaza and North Gaza."/>
    <s v="livelihoods of 34,295 individuals across the West Bank and in Gaza, representing approximately 17,262 women &amp; girls and 16,999 men &amp; boys."/>
    <n v="17262"/>
    <n v="16999"/>
    <n v="34261"/>
    <n v="17262"/>
    <n v="16999"/>
    <n v="34261"/>
    <s v="CARE WBG consider working with the HH as a farming Unit- all members contributing to it are direct beneficiaries. Indirect beneficiaries are divided into several categories, during the FY17 as the project is still at the early stages, 1- each targeted farmers will influence at least more than one farming neighbours in his farm with the innovation introduced,2-  also othe members of communities will improve access to land and water through the infrastructure constructed by the project, 3- community members/ farmers improved access to agriculture and agribusiness services"/>
    <m/>
    <m/>
    <m/>
    <m/>
    <m/>
    <m/>
    <m/>
    <m/>
    <m/>
    <m/>
    <m/>
    <m/>
    <m/>
    <m/>
    <m/>
    <m/>
    <m/>
    <m/>
    <m/>
    <s v="YES"/>
    <m/>
    <m/>
    <m/>
    <m/>
    <m/>
    <m/>
    <m/>
    <m/>
    <m/>
    <m/>
    <m/>
    <m/>
    <m/>
    <m/>
    <m/>
    <s v="Yes"/>
    <m/>
    <m/>
    <m/>
    <m/>
    <m/>
    <m/>
    <m/>
    <m/>
    <m/>
    <m/>
    <m/>
    <m/>
    <m/>
    <m/>
    <m/>
    <m/>
    <m/>
    <m/>
    <m/>
    <m/>
    <m/>
    <m/>
    <m/>
    <m/>
    <n v="9504"/>
    <n v="9504"/>
    <n v="19008"/>
    <n v="14310"/>
    <n v="14310"/>
    <n v="28620"/>
    <s v="YES"/>
    <n v="19008"/>
    <n v="0.5"/>
    <n v="28620"/>
    <s v="YES"/>
    <n v="19008"/>
    <n v="0.5"/>
    <n v="28620"/>
    <m/>
    <m/>
    <m/>
    <m/>
    <s v="YES"/>
    <n v="1900"/>
    <n v="0.5"/>
    <n v="28620"/>
    <s v="YES"/>
    <n v="19008"/>
    <n v="0.5"/>
    <n v="14310"/>
    <m/>
    <m/>
    <m/>
    <m/>
    <s v="YES"/>
    <n v="19008"/>
    <n v="0.5"/>
    <n v="5724"/>
    <s v="YES"/>
    <n v="900"/>
    <n v="0.7"/>
    <n v="5040"/>
    <s v="YES"/>
    <n v="900"/>
    <n v="0.7"/>
    <n v="5040"/>
    <m/>
    <m/>
    <m/>
    <m/>
    <s v="YES"/>
    <n v="8400"/>
    <n v="0.5"/>
    <n v="8400"/>
    <s v="YES"/>
    <n v="14000"/>
    <n v="0.5"/>
    <n v="5724"/>
    <s v="YES"/>
    <n v="1800"/>
    <n v="0.7"/>
    <n v="10080"/>
    <m/>
    <m/>
    <m/>
    <m/>
    <s v="YES"/>
    <n v="5600"/>
    <n v="0.5"/>
    <n v="5600"/>
    <s v="YES"/>
    <n v="3300"/>
    <n v="1"/>
    <n v="16500"/>
    <m/>
    <m/>
    <m/>
    <m/>
    <m/>
    <s v="YES"/>
    <s v="June"/>
    <n v="2017"/>
    <s v="YES"/>
    <s v="NO"/>
    <m/>
    <m/>
    <m/>
    <x v="0"/>
    <s v="NO"/>
    <s v="NO"/>
    <s v="YES"/>
    <s v="NO"/>
    <s v="NO"/>
    <s v="NO"/>
    <s v="NO"/>
    <s v="NO"/>
    <m/>
    <x v="1"/>
    <s v="Tested agricultural practices"/>
    <x v="3"/>
    <m/>
    <x v="1"/>
    <x v="1"/>
    <s v="YES"/>
    <x v="0"/>
    <x v="0"/>
    <x v="0"/>
    <x v="2"/>
    <n v="4"/>
    <x v="1"/>
    <x v="1"/>
    <x v="1"/>
    <x v="1"/>
    <x v="1"/>
    <x v="1"/>
    <n v="4"/>
    <x v="3"/>
    <x v="1"/>
    <x v="1"/>
    <x v="1"/>
    <x v="4"/>
    <n v="3"/>
    <x v="0"/>
    <x v="2"/>
    <n v="2"/>
    <s v="Local government(s)"/>
    <s v="Local NGO(s)/CSO(s)"/>
    <m/>
    <x v="0"/>
    <s v="Providing business development packages including inputs, capacity building, linkages to markets"/>
    <m/>
    <s v="Using gender value chain analysis as a key tool in the design stage to ensure a positive impact on women economically."/>
    <s v="Adopting transitional programming linking relief with development."/>
    <s v="Social enterprises development, working with and developing CBOs and private sector companies, including cooperatives, to act as socio-economic hubs. In addition to Private sector engagement, especially to enable poor communities to have access to markets."/>
    <m/>
    <m/>
    <m/>
    <m/>
    <m/>
    <n v="19008"/>
    <n v="28620"/>
    <n v="1.5056818181818181"/>
    <n v="0.5"/>
    <n v="0.5"/>
    <n v="9504"/>
    <n v="14310"/>
    <n v="1"/>
    <n v="0"/>
    <n v="0"/>
    <s v=""/>
    <n v="1"/>
    <n v="19008"/>
    <n v="28620"/>
    <n v="1.5056818181818181"/>
    <s v=""/>
    <n v="0"/>
    <n v="0"/>
    <s v=""/>
    <n v="1"/>
    <n v="900"/>
    <n v="5040"/>
    <n v="5.6"/>
    <n v="1"/>
    <n v="9504"/>
    <n v="16500"/>
    <n v="1.7361111111111112"/>
    <s v="4. Transformative"/>
    <s v="2. Accommodating"/>
    <s v="4. Transformative"/>
    <s v="It tested new ways for fighting poverty, but did not measure results of innovation"/>
    <s v="Little or no advocacy"/>
    <s v="It took tested solutions to scale on its own"/>
  </r>
  <r>
    <x v="81"/>
    <x v="1"/>
    <n v="3461"/>
    <s v="Souqona-Our Market"/>
    <s v="West Bank and Gaza"/>
    <s v="CAUSWB0019"/>
    <s v="CARE Australia"/>
    <s v="Government"/>
    <s v="Government - Australia"/>
    <s v="DFAT-Australia"/>
    <m/>
    <m/>
    <m/>
    <m/>
    <m/>
    <m/>
    <m/>
    <m/>
    <m/>
    <m/>
    <m/>
    <m/>
    <m/>
    <m/>
    <m/>
    <m/>
    <m/>
    <m/>
    <m/>
    <m/>
    <m/>
    <m/>
    <m/>
    <m/>
    <m/>
    <m/>
    <m/>
    <m/>
    <m/>
    <m/>
    <m/>
    <m/>
    <m/>
    <m/>
    <m/>
    <m/>
    <m/>
    <m/>
    <m/>
    <m/>
    <m/>
    <m/>
    <m/>
    <m/>
    <m/>
    <d v="2016-04-01T00:00:00"/>
    <d v="2019-03-31T00:00:00"/>
    <m/>
    <s v="Development Access to and Control over Economic Resources"/>
    <n v="5125000"/>
    <s v="Hiba Tibi"/>
    <s v="Economic Empowerment Program Coordinator- WestBank"/>
    <s v="Htibi@carewbg.org"/>
    <s v="Anan Kittaneh"/>
    <s v="Economic Empowerment Program Director"/>
    <s v="akittaneh@carewbg.org"/>
    <s v="NO"/>
    <s v="YES"/>
    <s v="NO"/>
    <s v="Increased income, agency, and market opportunity for Palestinian Farmers through growth in pro-poor agribusiness and market development"/>
    <s v="Sub-National"/>
    <s v="WEstBank"/>
    <s v="Women, youth and small scale farmers"/>
    <n v="16800"/>
    <n v="16800"/>
    <n v="33600"/>
    <n v="25000"/>
    <n v="25000"/>
    <n v="50000"/>
    <s v="CARE WBG consider working with the HH as a farming Unit- all members contributing to it are direct beneficiaries. Indirect beneficiaries are divided into several categories, 1- each targeted farmers will influence at least 2 neighbours in his farm with the innovation introduced, 2- also influencing the ministry of agriculture, to promote for the innovation introduced through their departments on national level. 3- influencing at least four large partners also to adapt CARE's approach in Privet sector engagement and social inclusion,  which they will apply in their programs as well. 4- influencing investors and other market actors to invest and engage in the agricultural sector , 5- community members/ farmers improved access to agriculture and agribusiness services"/>
    <m/>
    <m/>
    <m/>
    <m/>
    <m/>
    <m/>
    <m/>
    <m/>
    <m/>
    <m/>
    <m/>
    <m/>
    <m/>
    <m/>
    <m/>
    <m/>
    <m/>
    <m/>
    <m/>
    <m/>
    <m/>
    <m/>
    <m/>
    <m/>
    <m/>
    <m/>
    <m/>
    <m/>
    <m/>
    <m/>
    <m/>
    <m/>
    <m/>
    <m/>
    <m/>
    <m/>
    <m/>
    <m/>
    <m/>
    <m/>
    <m/>
    <m/>
    <m/>
    <m/>
    <m/>
    <m/>
    <m/>
    <m/>
    <m/>
    <m/>
    <m/>
    <m/>
    <m/>
    <m/>
    <m/>
    <m/>
    <m/>
    <m/>
    <m/>
    <m/>
    <n v="2000"/>
    <n v="2000"/>
    <n v="4000"/>
    <n v="4000"/>
    <n v="4000"/>
    <n v="8000"/>
    <s v="YES"/>
    <n v="4000"/>
    <n v="0.5"/>
    <n v="8000"/>
    <s v="YES"/>
    <n v="4000"/>
    <n v="0.5"/>
    <n v="8000"/>
    <m/>
    <m/>
    <m/>
    <m/>
    <s v="YES"/>
    <n v="400"/>
    <n v="0.5"/>
    <m/>
    <s v="YES"/>
    <n v="4000"/>
    <n v="0.5"/>
    <n v="8000"/>
    <m/>
    <m/>
    <m/>
    <m/>
    <s v="YES"/>
    <n v="4000"/>
    <n v="0.5"/>
    <n v="8000"/>
    <s v="YES"/>
    <n v="1120"/>
    <n v="0.8"/>
    <n v="2240"/>
    <s v="YES"/>
    <n v="1120"/>
    <n v="0.8"/>
    <n v="2240"/>
    <m/>
    <m/>
    <m/>
    <m/>
    <s v="YES"/>
    <n v="2240"/>
    <n v="0.5"/>
    <n v="4480"/>
    <s v="YES"/>
    <n v="4000"/>
    <n v="0.5"/>
    <n v="8000"/>
    <s v="YES"/>
    <m/>
    <m/>
    <m/>
    <m/>
    <m/>
    <m/>
    <m/>
    <s v="YES"/>
    <n v="1120"/>
    <n v="0.5"/>
    <n v="2240"/>
    <s v="YES"/>
    <n v="1120"/>
    <n v="1"/>
    <n v="2240"/>
    <m/>
    <m/>
    <m/>
    <m/>
    <m/>
    <s v="NO"/>
    <m/>
    <m/>
    <s v="NO"/>
    <s v="YES"/>
    <s v="November"/>
    <n v="2017"/>
    <m/>
    <x v="1"/>
    <s v="YES"/>
    <s v="NO"/>
    <s v="YES"/>
    <s v="YES"/>
    <s v="YES"/>
    <s v="YES"/>
    <s v="NO"/>
    <m/>
    <m/>
    <x v="2"/>
    <s v="new agricultural practices, new business models,"/>
    <x v="1"/>
    <m/>
    <x v="1"/>
    <x v="1"/>
    <s v="YES"/>
    <x v="0"/>
    <x v="0"/>
    <x v="0"/>
    <x v="2"/>
    <n v="4"/>
    <x v="2"/>
    <x v="1"/>
    <x v="1"/>
    <x v="1"/>
    <x v="1"/>
    <x v="2"/>
    <n v="4"/>
    <x v="3"/>
    <x v="1"/>
    <x v="1"/>
    <x v="1"/>
    <x v="4"/>
    <n v="3"/>
    <x v="3"/>
    <x v="2"/>
    <n v="4"/>
    <s v="Local government(s)"/>
    <s v="International NGO(s)"/>
    <s v="Local alliance(s)/Platform(s)/Network(s) of  NGOs/CSOs"/>
    <x v="0"/>
    <m/>
    <m/>
    <s v="1) Value chain development for food value chains while also integrating the market system development approach."/>
    <s v="2) Private sector engagement and entrepreneurship development; and"/>
    <s v="3) Womens economic empowerment framework"/>
    <m/>
    <m/>
    <m/>
    <m/>
    <m/>
    <n v="4000"/>
    <n v="8000"/>
    <n v="2"/>
    <n v="0.5"/>
    <n v="0.5"/>
    <n v="2000"/>
    <n v="4000"/>
    <s v=""/>
    <n v="0"/>
    <n v="0"/>
    <s v=""/>
    <n v="1"/>
    <n v="4000"/>
    <n v="8000"/>
    <n v="2"/>
    <s v=""/>
    <n v="0"/>
    <n v="0"/>
    <s v=""/>
    <n v="1"/>
    <n v="1120"/>
    <n v="2240"/>
    <n v="2"/>
    <n v="1"/>
    <n v="2000"/>
    <n v="4000"/>
    <n v="2"/>
    <s v="4. Transformative"/>
    <s v="4. Transformational"/>
    <s v="4. Transformative"/>
    <s v="It tested new ways for fighting poverty and measured results of innovation"/>
    <s v="Moderate advocacy"/>
    <s v="It linked and worked with strategic alliances and partners to take tested and effective solutions to scale"/>
  </r>
  <r>
    <x v="81"/>
    <x v="1"/>
    <n v="3457"/>
    <s v="Strengthening Livelihoods through Community Adaptation and Learning (SLCAL)"/>
    <s v="West Bank and Gaza"/>
    <s v="CDEUWB0026"/>
    <s v="CARE Deutschland-Luxemburg"/>
    <s v="Government"/>
    <s v="Government - Germany"/>
    <s v="BMZ"/>
    <m/>
    <m/>
    <m/>
    <m/>
    <m/>
    <m/>
    <m/>
    <m/>
    <m/>
    <m/>
    <m/>
    <m/>
    <m/>
    <m/>
    <m/>
    <m/>
    <m/>
    <m/>
    <m/>
    <m/>
    <m/>
    <m/>
    <m/>
    <m/>
    <m/>
    <m/>
    <m/>
    <m/>
    <m/>
    <m/>
    <m/>
    <m/>
    <m/>
    <m/>
    <m/>
    <m/>
    <m/>
    <m/>
    <m/>
    <m/>
    <m/>
    <m/>
    <m/>
    <m/>
    <m/>
    <d v="2014-01-01T00:00:00"/>
    <d v="2017-01-31T00:00:00"/>
    <m/>
    <s v="Development Food &amp; Nutrition Security and Resilience to Climate Change"/>
    <n v="4135680"/>
    <s v="Hiba Tibi"/>
    <s v="Economic Empowerment Program Coordinator- WestBank"/>
    <s v="Htibi@carewbg.org"/>
    <s v="Anan Kittaneh"/>
    <s v="Economic Empowerment Program Director"/>
    <s v="akittaneh@carewbg.org"/>
    <s v="YES"/>
    <s v="YES"/>
    <s v="YES"/>
    <s v="The project´s objective is to strengthen the livelihood of vulnerable Palestinian communities in the agricultural production sector and to adapt their livelihoods to longer term climate changes"/>
    <s v="National"/>
    <s v="26 communities in West Bank and Gaza"/>
    <s v="Vulnerable farmer affedcted by climate change"/>
    <n v="5800"/>
    <n v="5800"/>
    <n v="11600"/>
    <n v="3900"/>
    <n v="3900"/>
    <n v="7800"/>
    <s v="CARE WBG consider working with the HH as a farming Unit- all members contributing to it are direct beneficiaries. Indirect beneficiaries are divided into several categories, 1- each targeted farmers will influence at least 3 neighbours in his farm with the innovation introduced, 2- as a result of building the capacity of 40 coordinators at the ministry of agriculture, each one of them will reach out to 200 farmers in their localities. 3- more indirect beneficiaries will also benefit from the influence on the national and international strategies and policies in relation to the climate change and the impact on the stakeholders engaged in this process 4- influencing large international NSOs and local NGOs to adapt and support the climate change innovative adaptation practices, 5- community members/ farmers improved access to agriculture and agribusiness services"/>
    <m/>
    <m/>
    <m/>
    <m/>
    <m/>
    <m/>
    <m/>
    <m/>
    <m/>
    <m/>
    <m/>
    <m/>
    <m/>
    <m/>
    <m/>
    <m/>
    <m/>
    <m/>
    <m/>
    <m/>
    <m/>
    <m/>
    <m/>
    <m/>
    <m/>
    <m/>
    <m/>
    <m/>
    <m/>
    <m/>
    <m/>
    <m/>
    <m/>
    <m/>
    <m/>
    <m/>
    <m/>
    <m/>
    <m/>
    <m/>
    <m/>
    <m/>
    <m/>
    <m/>
    <m/>
    <m/>
    <m/>
    <m/>
    <m/>
    <m/>
    <m/>
    <m/>
    <m/>
    <m/>
    <m/>
    <m/>
    <m/>
    <m/>
    <m/>
    <m/>
    <n v="5608.4"/>
    <n v="5608"/>
    <n v="11216"/>
    <n v="39226"/>
    <n v="39226"/>
    <n v="78452"/>
    <s v="YES"/>
    <n v="11217"/>
    <n v="0.5"/>
    <n v="81252"/>
    <s v="YES"/>
    <n v="11217"/>
    <n v="0.5"/>
    <n v="81252"/>
    <m/>
    <m/>
    <m/>
    <m/>
    <s v="YES"/>
    <n v="1121"/>
    <n v="0.5"/>
    <n v="8125"/>
    <s v="YES"/>
    <n v="1121"/>
    <n v="0.2"/>
    <n v="8125"/>
    <s v="NO"/>
    <m/>
    <m/>
    <m/>
    <s v="YES"/>
    <n v="11217"/>
    <n v="0.5"/>
    <n v="8125"/>
    <s v="YES"/>
    <n v="650"/>
    <m/>
    <n v="1950"/>
    <s v="YES"/>
    <n v="650"/>
    <m/>
    <n v="1950"/>
    <s v="NO"/>
    <m/>
    <m/>
    <m/>
    <s v="YES"/>
    <n v="2804"/>
    <n v="0.5"/>
    <n v="8125"/>
    <s v="YES"/>
    <n v="11217"/>
    <n v="0.5"/>
    <n v="81252"/>
    <s v="YES"/>
    <n v="3900"/>
    <n v="0.5"/>
    <m/>
    <s v="NO"/>
    <m/>
    <m/>
    <m/>
    <s v="YES"/>
    <n v="2804"/>
    <m/>
    <m/>
    <s v="YES"/>
    <n v="2000"/>
    <n v="1"/>
    <n v="8125"/>
    <m/>
    <m/>
    <m/>
    <m/>
    <m/>
    <s v="NO"/>
    <m/>
    <m/>
    <m/>
    <s v="YES"/>
    <s v="December"/>
    <n v="2017"/>
    <s v="Final Evaluation for the project"/>
    <x v="2"/>
    <s v="YES"/>
    <s v="NO"/>
    <s v="YES"/>
    <s v="YES"/>
    <s v="YES"/>
    <s v="YES"/>
    <s v="NO"/>
    <m/>
    <m/>
    <x v="2"/>
    <s v="Intreduce innovative practices for natural resource management and climate change adoptation"/>
    <x v="1"/>
    <s v="Intreducing new approaches to the govermental bodies and working with different partners to adopt it"/>
    <x v="0"/>
    <x v="0"/>
    <s v="YES"/>
    <x v="0"/>
    <x v="0"/>
    <x v="0"/>
    <x v="0"/>
    <n v="4"/>
    <x v="1"/>
    <x v="1"/>
    <x v="1"/>
    <x v="1"/>
    <x v="1"/>
    <x v="1"/>
    <n v="4"/>
    <x v="3"/>
    <x v="1"/>
    <x v="1"/>
    <x v="1"/>
    <x v="4"/>
    <n v="3"/>
    <x v="3"/>
    <x v="2"/>
    <n v="3"/>
    <s v="Local NGO(s)/CSO(s)"/>
    <s v="National government"/>
    <s v="Regional alliance(s)/Platform(s)/Network(s) of  NGOs/CSOs"/>
    <x v="0"/>
    <m/>
    <m/>
    <s v="Working with alliances like the ministry of agriculature to adapt and scale up the interduced innovation and learning developed"/>
    <s v="Adopting transitional programming linking relief with development."/>
    <s v="Social enterprises development, working with and developing CBOs and private sector companies, including cooperatives, to act as socio-economic hubs. To dessiminate and promote for the innovative practices intreduced"/>
    <m/>
    <m/>
    <m/>
    <m/>
    <m/>
    <n v="11216"/>
    <n v="78452"/>
    <n v="6.9946504992867329"/>
    <n v="0.50003566333808847"/>
    <n v="0.5"/>
    <n v="5608.4"/>
    <n v="39226"/>
    <n v="1"/>
    <n v="0"/>
    <n v="0"/>
    <s v=""/>
    <n v="1"/>
    <n v="11217"/>
    <n v="81252"/>
    <n v="7.2436480342337521"/>
    <s v=""/>
    <n v="0"/>
    <n v="0"/>
    <s v=""/>
    <n v="1"/>
    <n v="650"/>
    <n v="1950"/>
    <n v="3"/>
    <n v="1"/>
    <n v="2000"/>
    <n v="8125"/>
    <n v="4.0625"/>
    <s v="2. Sensitive"/>
    <s v="2. Accommodating"/>
    <s v="4. Transformative"/>
    <s v="It tested new ways for fighting poverty and measured results of innovation"/>
    <s v="Intensive advocacy"/>
    <s v="It linked and worked with strategic alliances and partners to take tested and effective solutions to scale"/>
  </r>
  <r>
    <x v="82"/>
    <x v="1"/>
    <m/>
    <s v="Cholera Prevention and Response Project in Abyan Governorate"/>
    <s v="Yemen"/>
    <s v="OCHAYE0021"/>
    <s v="No CARE member related to the project/initiative"/>
    <s v="Other"/>
    <s v="UN - United Nations agencies/offices"/>
    <s v="UN OCHA"/>
    <m/>
    <m/>
    <m/>
    <m/>
    <m/>
    <m/>
    <m/>
    <m/>
    <m/>
    <m/>
    <m/>
    <m/>
    <m/>
    <m/>
    <m/>
    <m/>
    <m/>
    <m/>
    <m/>
    <m/>
    <m/>
    <m/>
    <m/>
    <m/>
    <m/>
    <m/>
    <m/>
    <m/>
    <m/>
    <m/>
    <m/>
    <m/>
    <m/>
    <m/>
    <m/>
    <m/>
    <m/>
    <m/>
    <m/>
    <m/>
    <m/>
    <m/>
    <m/>
    <m/>
    <m/>
    <d v="2017-02-26T00:00:00"/>
    <d v="2017-06-25T00:00:00"/>
    <m/>
    <s v="Humanitarian Other"/>
    <n v="500000"/>
    <s v="Iftikar Al-Sakaf"/>
    <s v="Area Manager South"/>
    <s v="iftekar.alsakaf@care.org"/>
    <m/>
    <m/>
    <m/>
    <s v="YES"/>
    <s v="NO"/>
    <s v="NO"/>
    <s v="The project goal is to prevent and control transmission of cholera and Acute Watery Diarrhea (AWD) among affected and at risk populations in targeted district of Abyan Governorate."/>
    <s v="Sub-National"/>
    <s v="The project was implemented in Khanfar district of Abyan Governorate, Yemen"/>
    <s v="The main impact groups are households who are at risk of Cholera/AWD."/>
    <n v="20580"/>
    <n v="21420"/>
    <n v="42000"/>
    <n v="24148"/>
    <n v="25210"/>
    <n v="49358"/>
    <s v="The direct participants are individuals (family members) who directly received safe water (through water trucking) and those who received WASH NFIs. The indirect beneficiaries are individuals who will get WASH messages from other members of the community as well as get assistance from the health facilities and schools supported by the project. It is expected that (apart from the direct project beneficiaries), 50% of the community members living in the project operational areas are indirectly reached."/>
    <m/>
    <n v="21417"/>
    <n v="20821"/>
    <n v="42238"/>
    <n v="23729"/>
    <n v="25509"/>
    <n v="49238"/>
    <s v="NO"/>
    <m/>
    <m/>
    <m/>
    <s v="NO"/>
    <m/>
    <m/>
    <m/>
    <s v="NO"/>
    <m/>
    <m/>
    <m/>
    <s v="NO"/>
    <m/>
    <m/>
    <m/>
    <s v="NO"/>
    <m/>
    <m/>
    <m/>
    <s v="NO"/>
    <m/>
    <m/>
    <m/>
    <s v="NO"/>
    <m/>
    <m/>
    <m/>
    <s v="NO"/>
    <m/>
    <m/>
    <m/>
    <s v="NO"/>
    <m/>
    <m/>
    <m/>
    <s v="NO"/>
    <m/>
    <m/>
    <m/>
    <s v="NO"/>
    <m/>
    <m/>
    <m/>
    <s v="YES"/>
    <n v="42238"/>
    <n v="0.50700000000000001"/>
    <n v="49238"/>
    <m/>
    <m/>
    <m/>
    <m/>
    <m/>
    <m/>
    <m/>
    <m/>
    <m/>
    <m/>
    <m/>
    <m/>
    <m/>
    <m/>
    <m/>
    <m/>
    <m/>
    <m/>
    <m/>
    <m/>
    <m/>
    <m/>
    <m/>
    <m/>
    <m/>
    <m/>
    <m/>
    <m/>
    <m/>
    <m/>
    <m/>
    <m/>
    <m/>
    <m/>
    <m/>
    <m/>
    <m/>
    <m/>
    <m/>
    <m/>
    <m/>
    <m/>
    <m/>
    <m/>
    <m/>
    <m/>
    <m/>
    <m/>
    <m/>
    <m/>
    <m/>
    <m/>
    <m/>
    <m/>
    <m/>
    <m/>
    <m/>
    <m/>
    <m/>
    <m/>
    <m/>
    <m/>
    <m/>
    <m/>
    <m/>
    <m/>
    <m/>
    <m/>
    <m/>
    <m/>
    <m/>
    <m/>
    <m/>
    <m/>
    <m/>
    <m/>
    <m/>
    <m/>
    <m/>
    <m/>
    <s v="NO"/>
    <m/>
    <m/>
    <s v="NO"/>
    <s v="NO"/>
    <m/>
    <m/>
    <m/>
    <x v="0"/>
    <m/>
    <m/>
    <m/>
    <m/>
    <m/>
    <m/>
    <m/>
    <m/>
    <m/>
    <x v="0"/>
    <m/>
    <x v="0"/>
    <m/>
    <x v="1"/>
    <x v="0"/>
    <s v="YES"/>
    <x v="0"/>
    <x v="0"/>
    <x v="0"/>
    <x v="0"/>
    <n v="4"/>
    <x v="3"/>
    <x v="1"/>
    <x v="1"/>
    <x v="2"/>
    <x v="2"/>
    <x v="3"/>
    <n v="2"/>
    <x v="1"/>
    <x v="1"/>
    <x v="1"/>
    <x v="2"/>
    <x v="3"/>
    <n v="2"/>
    <x v="2"/>
    <x v="1"/>
    <m/>
    <m/>
    <m/>
    <m/>
    <x v="1"/>
    <m/>
    <s v="The project did not make any adjustment in the FY to its goals/activities in order to be more gender transformative"/>
    <m/>
    <m/>
    <m/>
    <s v="The project recruited field officers and volunteers from the same district, which has been instrumental in facilitating/monitoring field activities and ensuring continuity during access hurdles"/>
    <s v="CARE had coordinated with IRC in selection of operational villages for intervention, which helped to avoid duplication of efforts"/>
    <s v="Applying conflict sensitivity or Do-No-Harm approach is of vital in minimizing the incidence of conflict that might arise due to the implementation of this project. CARE organized orientation and sensitization sessions for community members during the start-up of the project so that the community was aware of the criteria for selection of beneficiaries, the planned activities, and the responsibilities expected from the community."/>
    <m/>
    <m/>
    <n v="42238"/>
    <n v="49238"/>
    <n v="1.1657275439177992"/>
    <n v="0.50705525829821485"/>
    <n v="0.48192452983468054"/>
    <n v="21417"/>
    <n v="23729"/>
    <n v="1"/>
    <n v="42238"/>
    <n v="49238"/>
    <n v="1.1657275439177992"/>
    <s v=""/>
    <n v="0"/>
    <n v="0"/>
    <s v=""/>
    <s v=""/>
    <n v="0"/>
    <n v="0"/>
    <s v=""/>
    <s v=""/>
    <n v="0"/>
    <n v="0"/>
    <s v=""/>
    <s v=""/>
    <n v="0"/>
    <n v="0"/>
    <s v=""/>
    <s v="2. Sensitive"/>
    <s v="0. Unaware"/>
    <s v="1. Neutral"/>
    <s v="It did not develop any specific innovation"/>
    <s v="Little or no advocacy"/>
    <s v="It did not take tested solutions to scale"/>
  </r>
  <r>
    <x v="82"/>
    <x v="1"/>
    <m/>
    <s v="Dutch Relief Alliance - Yemen Joint Response Phase II"/>
    <s v="Yemen"/>
    <s v="CNLDYE0019"/>
    <s v="CARE Nederland"/>
    <s v="Government"/>
    <s v="Government - Netherlands"/>
    <s v="Ministry of Foreign Affairs of the Netherlands"/>
    <m/>
    <m/>
    <m/>
    <m/>
    <m/>
    <m/>
    <m/>
    <m/>
    <m/>
    <m/>
    <m/>
    <m/>
    <m/>
    <m/>
    <m/>
    <m/>
    <m/>
    <m/>
    <m/>
    <m/>
    <m/>
    <m/>
    <m/>
    <m/>
    <m/>
    <m/>
    <m/>
    <m/>
    <m/>
    <m/>
    <m/>
    <m/>
    <m/>
    <m/>
    <m/>
    <m/>
    <m/>
    <m/>
    <m/>
    <m/>
    <m/>
    <m/>
    <m/>
    <m/>
    <m/>
    <d v="2015-12-01T00:00:00"/>
    <d v="2016-11-30T00:00:00"/>
    <d v="2016-12-31T00:00:00"/>
    <s v="Humanitarian Other"/>
    <n v="1540000"/>
    <s v="Essam Mohammed"/>
    <s v="Senior Area Manager"/>
    <s v="essam.mohammed@care.org"/>
    <m/>
    <m/>
    <m/>
    <s v="YES"/>
    <s v="NO"/>
    <s v="NO"/>
    <s v="The project goal is to provide life-saving humanitarian assistance to people affected by the conflict in Yemen"/>
    <s v="Sub-National"/>
    <s v="The project was implemented in Ash Shamayatein and Hayfan districsr of Taiz Governorate and Tor Al-Baha and Al-Qabitah districts of Lahj Governorate, Yemen"/>
    <s v="The main impact groups are food insecured and vulnerable population living in the project operational areas."/>
    <n v="9755"/>
    <n v="10153"/>
    <n v="19908"/>
    <m/>
    <m/>
    <n v="0"/>
    <s v="The direct participants are individuals (family members) who directly received WASH and cash assistance from the project.  "/>
    <m/>
    <n v="13238"/>
    <n v="13162"/>
    <n v="26400"/>
    <m/>
    <m/>
    <n v="0"/>
    <s v="NO"/>
    <m/>
    <m/>
    <m/>
    <s v="YES"/>
    <n v="4751"/>
    <n v="0.50800000000000001"/>
    <m/>
    <s v="NO"/>
    <m/>
    <m/>
    <m/>
    <s v="NO"/>
    <m/>
    <m/>
    <m/>
    <s v="NO"/>
    <m/>
    <m/>
    <m/>
    <s v="NO"/>
    <m/>
    <m/>
    <m/>
    <s v="NO"/>
    <m/>
    <m/>
    <m/>
    <s v="NO"/>
    <m/>
    <m/>
    <m/>
    <s v="NO"/>
    <m/>
    <m/>
    <m/>
    <s v="NO"/>
    <m/>
    <m/>
    <m/>
    <s v="NO"/>
    <m/>
    <m/>
    <m/>
    <s v="YES"/>
    <n v="21649"/>
    <n v="0.5"/>
    <m/>
    <m/>
    <m/>
    <m/>
    <m/>
    <m/>
    <m/>
    <m/>
    <m/>
    <m/>
    <m/>
    <m/>
    <m/>
    <m/>
    <m/>
    <m/>
    <m/>
    <m/>
    <m/>
    <m/>
    <m/>
    <m/>
    <m/>
    <m/>
    <m/>
    <m/>
    <m/>
    <m/>
    <m/>
    <m/>
    <m/>
    <m/>
    <m/>
    <m/>
    <m/>
    <m/>
    <m/>
    <m/>
    <m/>
    <m/>
    <m/>
    <m/>
    <m/>
    <m/>
    <m/>
    <m/>
    <m/>
    <m/>
    <m/>
    <m/>
    <m/>
    <m/>
    <m/>
    <m/>
    <m/>
    <m/>
    <m/>
    <m/>
    <m/>
    <m/>
    <m/>
    <m/>
    <m/>
    <m/>
    <m/>
    <m/>
    <m/>
    <m/>
    <m/>
    <m/>
    <m/>
    <m/>
    <m/>
    <m/>
    <m/>
    <m/>
    <m/>
    <m/>
    <m/>
    <m/>
    <m/>
    <s v="YES"/>
    <s v="June"/>
    <n v="2017"/>
    <s v="YES"/>
    <s v="YES"/>
    <s v="January"/>
    <n v="2018"/>
    <m/>
    <x v="0"/>
    <m/>
    <m/>
    <m/>
    <m/>
    <m/>
    <m/>
    <m/>
    <m/>
    <m/>
    <x v="0"/>
    <m/>
    <x v="0"/>
    <m/>
    <x v="1"/>
    <x v="0"/>
    <s v="YES"/>
    <x v="0"/>
    <x v="0"/>
    <x v="0"/>
    <x v="0"/>
    <n v="4"/>
    <x v="3"/>
    <x v="1"/>
    <x v="1"/>
    <x v="2"/>
    <x v="2"/>
    <x v="3"/>
    <n v="2"/>
    <x v="1"/>
    <x v="1"/>
    <x v="1"/>
    <x v="2"/>
    <x v="3"/>
    <n v="2"/>
    <x v="2"/>
    <x v="1"/>
    <m/>
    <m/>
    <m/>
    <m/>
    <x v="1"/>
    <m/>
    <s v="The project did not make any adjustment in the FY to its goals/activities in order to be more gender transformative"/>
    <m/>
    <m/>
    <m/>
    <s v="The project has been working on a reputable financial agency with a mobile team to transfer cash to beneficiary households. Having mobile team alleviated the issues related to dignity and protection of the projects beneficiaries , specially, women, disable and elderly people who cant  travel far away to receive their assistance."/>
    <s v="The project has selected and trained community volunteers from the targeted areas, which allow them to implement the day-to-day activities and conduct monitoring during insecurity (where senior project staffs could not travel to the field)."/>
    <s v="The project has spent a significant period of time in sensitizing/orienting community leaders, community committees members and the community on the project activities (and expected results) as well as on the roles/responsibilites expected from the local leaders, the committees, and the community. This helps a lot in smooth facilitation of project activities."/>
    <m/>
    <m/>
    <n v="26400"/>
    <n v="0"/>
    <n v="0"/>
    <n v="0.50143939393939396"/>
    <s v=""/>
    <n v="13238"/>
    <n v="0"/>
    <n v="1"/>
    <n v="26400"/>
    <n v="0"/>
    <n v="0"/>
    <s v=""/>
    <n v="0"/>
    <n v="0"/>
    <s v=""/>
    <s v=""/>
    <n v="0"/>
    <n v="0"/>
    <s v=""/>
    <s v=""/>
    <n v="0"/>
    <n v="0"/>
    <s v=""/>
    <s v=""/>
    <n v="0"/>
    <n v="0"/>
    <s v=""/>
    <s v="2. Sensitive"/>
    <s v="0. Unaware"/>
    <s v="1. Neutral"/>
    <s v="It did not develop any specific innovation"/>
    <s v="Little or no advocacy"/>
    <s v="It did not take tested solutions to scale"/>
  </r>
  <r>
    <x v="82"/>
    <x v="1"/>
    <m/>
    <s v="Economic Empowerment for Women Entrepreneurs Project in Yemen"/>
    <s v="Yemen"/>
    <s v="CNLDYE0030"/>
    <s v="CARE Nederland"/>
    <s v="Corporation"/>
    <s v="Other"/>
    <s v="H&amp;M Conscious Foundation"/>
    <m/>
    <m/>
    <m/>
    <m/>
    <m/>
    <m/>
    <m/>
    <m/>
    <m/>
    <m/>
    <m/>
    <m/>
    <m/>
    <m/>
    <m/>
    <m/>
    <m/>
    <m/>
    <m/>
    <m/>
    <m/>
    <m/>
    <m/>
    <m/>
    <m/>
    <m/>
    <m/>
    <m/>
    <m/>
    <m/>
    <m/>
    <m/>
    <m/>
    <m/>
    <m/>
    <m/>
    <m/>
    <m/>
    <m/>
    <m/>
    <m/>
    <m/>
    <m/>
    <m/>
    <m/>
    <d v="2016-07-01T00:00:00"/>
    <d v="2017-03-31T00:00:00"/>
    <m/>
    <s v="Development Access to and Control over Economic Resources"/>
    <n v="180892"/>
    <s v="Azzah Khalil"/>
    <s v="Project Officer"/>
    <s v="azzah.khalil@care.org"/>
    <m/>
    <m/>
    <m/>
    <s v="NO"/>
    <s v="YES"/>
    <s v="NO"/>
    <s v="The overall project objective is to provide an opportunity for entrepreneurial women who currently lack access to funding to make their business start-up or business growth a reality. The project aims to support and empower the Yemeni women economically through providing set of training, mentorship and consultancy ended up with interest-free loans for establishing or growth their businesses."/>
    <s v="National"/>
    <s v="The project is implemented in Aden and Sana'a Governorates, Yemen"/>
    <s v="The main impact groups are women entrepreneurs"/>
    <n v="513"/>
    <m/>
    <n v="513"/>
    <n v="1760"/>
    <n v="1831"/>
    <n v="3591"/>
    <s v="The direct participants are women who directly received assistance from the project. Indirect beneficiaries are family members of the women who are supported by the project."/>
    <m/>
    <m/>
    <m/>
    <n v="0"/>
    <m/>
    <m/>
    <n v="0"/>
    <s v="NO"/>
    <m/>
    <m/>
    <m/>
    <s v="NO"/>
    <m/>
    <m/>
    <m/>
    <s v="NO"/>
    <m/>
    <m/>
    <m/>
    <s v="NO"/>
    <m/>
    <m/>
    <m/>
    <s v="NO"/>
    <m/>
    <m/>
    <m/>
    <s v="NO"/>
    <m/>
    <m/>
    <m/>
    <s v="NO"/>
    <m/>
    <m/>
    <m/>
    <s v="NO"/>
    <m/>
    <m/>
    <m/>
    <s v="NO"/>
    <m/>
    <m/>
    <m/>
    <s v="NO"/>
    <m/>
    <m/>
    <m/>
    <s v="NO"/>
    <m/>
    <m/>
    <m/>
    <s v="NO"/>
    <m/>
    <m/>
    <m/>
    <m/>
    <m/>
    <m/>
    <m/>
    <m/>
    <n v="513"/>
    <m/>
    <n v="513"/>
    <n v="1760"/>
    <n v="1831"/>
    <n v="3591"/>
    <m/>
    <m/>
    <m/>
    <m/>
    <m/>
    <m/>
    <m/>
    <m/>
    <m/>
    <m/>
    <m/>
    <m/>
    <m/>
    <m/>
    <m/>
    <m/>
    <m/>
    <m/>
    <m/>
    <m/>
    <m/>
    <m/>
    <m/>
    <m/>
    <m/>
    <m/>
    <m/>
    <m/>
    <m/>
    <m/>
    <m/>
    <m/>
    <m/>
    <m/>
    <m/>
    <m/>
    <m/>
    <m/>
    <m/>
    <m/>
    <m/>
    <m/>
    <m/>
    <m/>
    <m/>
    <m/>
    <m/>
    <m/>
    <m/>
    <m/>
    <m/>
    <m/>
    <m/>
    <m/>
    <m/>
    <m/>
    <m/>
    <m/>
    <m/>
    <m/>
    <s v="YES"/>
    <n v="513"/>
    <n v="1"/>
    <n v="3591"/>
    <m/>
    <m/>
    <m/>
    <m/>
    <m/>
    <s v="NO"/>
    <m/>
    <m/>
    <s v="NO"/>
    <s v="NO"/>
    <m/>
    <m/>
    <m/>
    <x v="0"/>
    <m/>
    <m/>
    <m/>
    <m/>
    <m/>
    <m/>
    <m/>
    <m/>
    <m/>
    <x v="0"/>
    <m/>
    <x v="0"/>
    <m/>
    <x v="1"/>
    <x v="0"/>
    <s v="YES"/>
    <x v="0"/>
    <x v="0"/>
    <x v="0"/>
    <x v="0"/>
    <n v="4"/>
    <x v="3"/>
    <x v="1"/>
    <x v="1"/>
    <x v="2"/>
    <x v="2"/>
    <x v="3"/>
    <n v="2"/>
    <x v="1"/>
    <x v="1"/>
    <x v="1"/>
    <x v="2"/>
    <x v="3"/>
    <n v="2"/>
    <x v="2"/>
    <x v="1"/>
    <m/>
    <m/>
    <m/>
    <m/>
    <x v="1"/>
    <m/>
    <s v="The project did not make any adjustment in the FY to its goals/activities in order to be more gender transformative"/>
    <m/>
    <m/>
    <m/>
    <m/>
    <m/>
    <m/>
    <m/>
    <m/>
    <n v="513"/>
    <n v="3591"/>
    <n v="7"/>
    <n v="1"/>
    <n v="0.49011417432470061"/>
    <n v="513"/>
    <n v="1760"/>
    <s v=""/>
    <n v="0"/>
    <n v="0"/>
    <s v=""/>
    <s v=""/>
    <n v="0"/>
    <n v="0"/>
    <s v=""/>
    <s v=""/>
    <n v="0"/>
    <n v="0"/>
    <s v=""/>
    <s v=""/>
    <n v="0"/>
    <n v="0"/>
    <s v=""/>
    <n v="1"/>
    <n v="513"/>
    <n v="3591"/>
    <n v="7"/>
    <s v="2. Sensitive"/>
    <s v="0. Unaware"/>
    <s v="1. Neutral"/>
    <s v="It did not develop any specific innovation"/>
    <s v="Little or no advocacy"/>
    <s v="It did not take tested solutions to scale"/>
  </r>
  <r>
    <x v="82"/>
    <x v="1"/>
    <m/>
    <s v="Emergency cash and household NFI assistance for the most vulnerable IDPs and host communities in Hajjah Governorate"/>
    <s v="Yemen"/>
    <s v="OCHAYE0014"/>
    <s v="No CARE member related to the project/initiative"/>
    <s v="Other"/>
    <s v="UN - United Nations agencies/offices"/>
    <s v="UN OCHA"/>
    <m/>
    <m/>
    <m/>
    <m/>
    <m/>
    <m/>
    <m/>
    <m/>
    <m/>
    <m/>
    <m/>
    <m/>
    <m/>
    <m/>
    <m/>
    <m/>
    <m/>
    <m/>
    <m/>
    <m/>
    <m/>
    <m/>
    <m/>
    <m/>
    <m/>
    <m/>
    <m/>
    <m/>
    <m/>
    <m/>
    <m/>
    <m/>
    <m/>
    <m/>
    <m/>
    <m/>
    <m/>
    <m/>
    <m/>
    <m/>
    <m/>
    <m/>
    <m/>
    <m/>
    <m/>
    <d v="2016-07-01T00:00:00"/>
    <d v="2017-06-30T00:00:00"/>
    <d v="2017-09-30T00:00:00"/>
    <s v="Humanitarian Other"/>
    <n v="1340001.26"/>
    <s v="Bushra Aldukhainah"/>
    <s v="Area Manager North"/>
    <s v="Bushra Aldukhainah@care.org"/>
    <m/>
    <m/>
    <m/>
    <s v="YES"/>
    <s v="NO"/>
    <s v="NO"/>
    <s v="The overall project objective is to improve access to essential food &amp; house hold non-food items for the most vulnerable IDP &amp; Host households through cash transfers &amp; provision of non-food items."/>
    <s v="Sub-National"/>
    <s v="The project was implemented in Al-Zuhra and Al-Luhaya districts of Al-Hodeidah Governorate, Yemen"/>
    <s v="The main impact groups are the most vulnerable and food insecured conflict affected households"/>
    <n v="10012"/>
    <n v="9238"/>
    <n v="19250"/>
    <m/>
    <m/>
    <n v="0"/>
    <s v="The direct participants are individuals (family members) who directly received cash and shelter NFIs assistance. No indirect beneficiaries are anticipated in this project."/>
    <m/>
    <n v="8376"/>
    <n v="8707"/>
    <n v="17083"/>
    <m/>
    <m/>
    <n v="0"/>
    <s v="NO"/>
    <m/>
    <m/>
    <m/>
    <s v="YES"/>
    <n v="3894"/>
    <n v="0.49299999999999999"/>
    <m/>
    <s v="NO"/>
    <m/>
    <m/>
    <m/>
    <s v="NO"/>
    <m/>
    <m/>
    <m/>
    <s v="NO"/>
    <m/>
    <m/>
    <m/>
    <s v="NO"/>
    <m/>
    <m/>
    <m/>
    <s v="NO"/>
    <m/>
    <m/>
    <m/>
    <s v="NO"/>
    <m/>
    <m/>
    <m/>
    <s v="NO"/>
    <m/>
    <m/>
    <m/>
    <s v="NO"/>
    <m/>
    <m/>
    <m/>
    <s v="YES"/>
    <n v="13189"/>
    <n v="0.48899999999999999"/>
    <m/>
    <s v="NO"/>
    <m/>
    <m/>
    <m/>
    <m/>
    <m/>
    <m/>
    <m/>
    <m/>
    <m/>
    <m/>
    <m/>
    <m/>
    <m/>
    <m/>
    <m/>
    <m/>
    <m/>
    <m/>
    <m/>
    <m/>
    <m/>
    <m/>
    <m/>
    <m/>
    <m/>
    <m/>
    <m/>
    <m/>
    <m/>
    <m/>
    <m/>
    <m/>
    <m/>
    <m/>
    <m/>
    <m/>
    <m/>
    <m/>
    <m/>
    <m/>
    <m/>
    <m/>
    <m/>
    <m/>
    <m/>
    <m/>
    <m/>
    <m/>
    <m/>
    <m/>
    <m/>
    <m/>
    <m/>
    <m/>
    <m/>
    <m/>
    <m/>
    <m/>
    <m/>
    <m/>
    <m/>
    <m/>
    <m/>
    <m/>
    <m/>
    <m/>
    <m/>
    <m/>
    <m/>
    <m/>
    <m/>
    <m/>
    <m/>
    <m/>
    <m/>
    <m/>
    <m/>
    <m/>
    <m/>
    <m/>
    <m/>
    <m/>
    <m/>
    <s v="YES"/>
    <s v="October"/>
    <n v="2016"/>
    <s v="YES"/>
    <s v="YES"/>
    <s v="September"/>
    <n v="2017"/>
    <s v="The project will conduct an end-line survey to measure the changes related to key food security outcome indicators such as Coping Strategy Index and Food Consumption Scores. The survey will mainly utilize quantitative (household) survey and qualitative data collection methods will also be utilized to triangulate the findings of the household survey."/>
    <x v="0"/>
    <m/>
    <m/>
    <m/>
    <m/>
    <m/>
    <m/>
    <m/>
    <m/>
    <m/>
    <x v="0"/>
    <m/>
    <x v="0"/>
    <m/>
    <x v="1"/>
    <x v="0"/>
    <s v="YES"/>
    <x v="0"/>
    <x v="0"/>
    <x v="0"/>
    <x v="0"/>
    <n v="4"/>
    <x v="3"/>
    <x v="1"/>
    <x v="1"/>
    <x v="2"/>
    <x v="2"/>
    <x v="3"/>
    <n v="2"/>
    <x v="1"/>
    <x v="1"/>
    <x v="1"/>
    <x v="2"/>
    <x v="3"/>
    <n v="2"/>
    <x v="2"/>
    <x v="1"/>
    <m/>
    <m/>
    <m/>
    <m/>
    <x v="1"/>
    <m/>
    <s v="The project did not make any adjustment in the FY to its goals/activities in order to be more gender transformative"/>
    <m/>
    <m/>
    <m/>
    <m/>
    <m/>
    <m/>
    <m/>
    <m/>
    <n v="17083"/>
    <n v="0"/>
    <n v="0"/>
    <n v="0.49031200608792369"/>
    <s v=""/>
    <n v="8376"/>
    <n v="0"/>
    <n v="1"/>
    <n v="17083"/>
    <n v="0"/>
    <n v="0"/>
    <s v=""/>
    <n v="0"/>
    <n v="0"/>
    <s v=""/>
    <s v=""/>
    <n v="0"/>
    <n v="0"/>
    <s v=""/>
    <s v=""/>
    <n v="0"/>
    <n v="0"/>
    <s v=""/>
    <s v=""/>
    <n v="0"/>
    <n v="0"/>
    <s v=""/>
    <s v="2. Sensitive"/>
    <s v="0. Unaware"/>
    <s v="1. Neutral"/>
    <s v="It did not develop any specific innovation"/>
    <s v="Little or no advocacy"/>
    <s v="It did not take tested solutions to scale"/>
  </r>
  <r>
    <x v="82"/>
    <x v="1"/>
    <m/>
    <s v="Emergency Cholera Response Project in Al-Hota district, Lahj Governorate"/>
    <s v="Yemen"/>
    <s v="OCHAYE0018"/>
    <s v="No CARE member related to the project/initiative"/>
    <s v="Other"/>
    <s v="UN - United Nations agencies/offices"/>
    <s v="UN OCHA"/>
    <m/>
    <m/>
    <m/>
    <m/>
    <m/>
    <m/>
    <m/>
    <m/>
    <m/>
    <m/>
    <m/>
    <m/>
    <m/>
    <m/>
    <m/>
    <m/>
    <m/>
    <m/>
    <m/>
    <m/>
    <m/>
    <m/>
    <m/>
    <m/>
    <m/>
    <m/>
    <m/>
    <m/>
    <m/>
    <m/>
    <m/>
    <m/>
    <m/>
    <m/>
    <m/>
    <m/>
    <m/>
    <m/>
    <m/>
    <m/>
    <m/>
    <m/>
    <m/>
    <m/>
    <m/>
    <d v="2016-11-08T00:00:00"/>
    <m/>
    <m/>
    <s v="Humanitarian Other"/>
    <n v="399998.42"/>
    <s v="Dr. Iftekar Al-Sakaf"/>
    <s v="Area Manager - South"/>
    <s v="iftekar.alsakaf@care.org"/>
    <m/>
    <m/>
    <m/>
    <s v="YES"/>
    <s v="NO"/>
    <s v="NO"/>
    <s v="The goal of the project is to prevent and control transmission of cholera and Acute watery diarrhea (AWD) among affected population and at risk population in Al-Hota district of Lahj Governorate, Yemen."/>
    <s v="Sub-National"/>
    <s v="The project was implemented in Al-Hota district of Lahj Governorate, Yemen"/>
    <s v="The main impact groups are households who are at risk of Cholera/AWD."/>
    <n v="12025"/>
    <n v="12515"/>
    <n v="24540"/>
    <n v="5286"/>
    <n v="5500"/>
    <n v="10786"/>
    <s v="The direct participants are individuals (family members) who directly received safe water (through water trucking) and those who received WASH NFIs. The indirect beneficiaries are individuals who will get WASH messages from other members of the community."/>
    <m/>
    <n v="13789"/>
    <n v="13247"/>
    <n v="27036"/>
    <n v="3261"/>
    <n v="5029"/>
    <n v="8290"/>
    <s v="NO"/>
    <m/>
    <m/>
    <m/>
    <s v="NO"/>
    <m/>
    <m/>
    <m/>
    <s v="NO"/>
    <m/>
    <m/>
    <m/>
    <s v="NO"/>
    <m/>
    <m/>
    <m/>
    <s v="NO"/>
    <m/>
    <m/>
    <m/>
    <s v="NO"/>
    <m/>
    <m/>
    <m/>
    <s v="NO"/>
    <m/>
    <m/>
    <m/>
    <s v="NO"/>
    <m/>
    <m/>
    <m/>
    <s v="NO"/>
    <m/>
    <m/>
    <m/>
    <s v="NO"/>
    <m/>
    <m/>
    <m/>
    <s v="NO"/>
    <m/>
    <m/>
    <m/>
    <s v="YES"/>
    <n v="27036"/>
    <n v="0.51"/>
    <n v="8290"/>
    <m/>
    <m/>
    <m/>
    <m/>
    <m/>
    <m/>
    <m/>
    <m/>
    <m/>
    <m/>
    <m/>
    <m/>
    <m/>
    <m/>
    <m/>
    <m/>
    <m/>
    <m/>
    <m/>
    <m/>
    <m/>
    <m/>
    <m/>
    <m/>
    <m/>
    <m/>
    <m/>
    <m/>
    <m/>
    <m/>
    <m/>
    <m/>
    <m/>
    <m/>
    <m/>
    <m/>
    <m/>
    <m/>
    <m/>
    <m/>
    <m/>
    <m/>
    <m/>
    <m/>
    <m/>
    <m/>
    <m/>
    <m/>
    <m/>
    <m/>
    <m/>
    <m/>
    <m/>
    <m/>
    <m/>
    <m/>
    <m/>
    <m/>
    <m/>
    <m/>
    <m/>
    <m/>
    <m/>
    <m/>
    <m/>
    <m/>
    <m/>
    <m/>
    <m/>
    <m/>
    <m/>
    <m/>
    <m/>
    <m/>
    <m/>
    <m/>
    <m/>
    <m/>
    <m/>
    <m/>
    <s v="NO"/>
    <m/>
    <m/>
    <m/>
    <m/>
    <m/>
    <m/>
    <m/>
    <x v="0"/>
    <m/>
    <m/>
    <m/>
    <m/>
    <m/>
    <m/>
    <m/>
    <m/>
    <m/>
    <x v="0"/>
    <m/>
    <x v="0"/>
    <m/>
    <x v="1"/>
    <x v="0"/>
    <s v="YES"/>
    <x v="0"/>
    <x v="0"/>
    <x v="0"/>
    <x v="0"/>
    <n v="4"/>
    <x v="3"/>
    <x v="1"/>
    <x v="1"/>
    <x v="2"/>
    <x v="2"/>
    <x v="3"/>
    <n v="2"/>
    <x v="1"/>
    <x v="1"/>
    <x v="1"/>
    <x v="2"/>
    <x v="3"/>
    <n v="2"/>
    <x v="2"/>
    <x v="1"/>
    <m/>
    <m/>
    <m/>
    <m/>
    <x v="1"/>
    <m/>
    <s v="The project did not make any adjustment in the FY to its goals/activities in order to be more gender transformative"/>
    <m/>
    <m/>
    <m/>
    <s v="Daily monitoring of Free Residual Chlorine ratio in water tanks level and in HHs level is a good tool to ensure that the beneficiaries will drink safe water against AWD/Cholera"/>
    <s v="Having gender-balanced team is of highly importance while conducting hygiene promotion activities to the different segments of the society."/>
    <s v="Provision of orientation and sensitization for community members during the start-up of the project is instrumental to ensure participation of community members at a desired level"/>
    <m/>
    <m/>
    <n v="27036"/>
    <n v="8290"/>
    <n v="0.30662819943778663"/>
    <n v="0.5100236721408492"/>
    <n v="0.3933655006031363"/>
    <n v="13789"/>
    <n v="3261"/>
    <n v="1"/>
    <n v="27036"/>
    <n v="8290"/>
    <n v="0.30662819943778663"/>
    <s v=""/>
    <n v="0"/>
    <n v="0"/>
    <s v=""/>
    <s v=""/>
    <n v="0"/>
    <n v="0"/>
    <s v=""/>
    <s v=""/>
    <n v="0"/>
    <n v="0"/>
    <s v=""/>
    <s v=""/>
    <n v="0"/>
    <n v="0"/>
    <s v=""/>
    <s v="2. Sensitive"/>
    <s v="0. Unaware"/>
    <s v="1. Neutral"/>
    <s v="It did not develop any specific innovation"/>
    <s v="Little or no advocacy"/>
    <s v="It did not take tested solutions to scale"/>
  </r>
  <r>
    <x v="82"/>
    <x v="1"/>
    <m/>
    <s v="Emergency lifesaving assistance to the most vulnerable conflict affected IDPs and host communities in Yemen"/>
    <s v="Yemen"/>
    <s v="CDEUYE0027"/>
    <s v="CARE Deutschland-Luxemburg"/>
    <s v="Multilateral agency"/>
    <s v="ECHO - European Commission for Humanitarian Aid and Civil Protection"/>
    <s v="ECHO"/>
    <m/>
    <m/>
    <m/>
    <m/>
    <m/>
    <m/>
    <m/>
    <m/>
    <m/>
    <m/>
    <m/>
    <m/>
    <m/>
    <m/>
    <m/>
    <m/>
    <m/>
    <m/>
    <m/>
    <m/>
    <m/>
    <m/>
    <m/>
    <m/>
    <m/>
    <m/>
    <m/>
    <m/>
    <m/>
    <m/>
    <m/>
    <m/>
    <m/>
    <m/>
    <m/>
    <m/>
    <m/>
    <m/>
    <m/>
    <m/>
    <m/>
    <m/>
    <m/>
    <m/>
    <m/>
    <d v="2016-03-01T00:00:00"/>
    <d v="2017-02-28T00:00:00"/>
    <m/>
    <s v="Humanitarian Other"/>
    <n v="1100000"/>
    <s v="Essam Mohammed"/>
    <s v="Senior Area Manager"/>
    <s v="essam.mohammed@care.org"/>
    <m/>
    <m/>
    <m/>
    <s v="YES"/>
    <s v="NO"/>
    <s v="NO"/>
    <s v="The goal of the project is to address the critical humanitarian needs of people that have been affected by conflict in the three targeted districts of Taiz Governorate through provision of emergency cash and comprehensive WASH assistance. As much as is possible and practicable, integrated services cutting across the two sectors WASH and food security will be offered."/>
    <s v="Sub-National"/>
    <s v="The project was implemented in Ashshamaytan, Al-Maeefer, and Al-Mawaseet districts of Taiz Governorate, Yemen"/>
    <s v="The main impact groups are food insecured and vulnerable population living in the project operational areas."/>
    <n v="10266"/>
    <n v="10685"/>
    <n v="20951"/>
    <m/>
    <m/>
    <m/>
    <s v="The direct participants are individuals (family members) who directly received project assistance such as WASH and cash."/>
    <m/>
    <n v="11062"/>
    <n v="10521"/>
    <n v="21583"/>
    <m/>
    <m/>
    <n v="0"/>
    <s v="NO"/>
    <m/>
    <m/>
    <m/>
    <s v="YES"/>
    <n v="6013"/>
    <n v="0.54100000000000004"/>
    <m/>
    <s v="NO"/>
    <m/>
    <m/>
    <m/>
    <s v="NO"/>
    <m/>
    <m/>
    <m/>
    <s v="NO"/>
    <m/>
    <m/>
    <m/>
    <s v="NO"/>
    <m/>
    <m/>
    <m/>
    <s v="NO"/>
    <m/>
    <m/>
    <m/>
    <s v="NO"/>
    <m/>
    <m/>
    <m/>
    <s v="NO"/>
    <m/>
    <m/>
    <m/>
    <s v="NO"/>
    <m/>
    <m/>
    <m/>
    <s v="NO"/>
    <m/>
    <m/>
    <m/>
    <s v="YES"/>
    <n v="21583"/>
    <n v="0.57199999999999995"/>
    <m/>
    <m/>
    <m/>
    <m/>
    <m/>
    <m/>
    <m/>
    <m/>
    <m/>
    <m/>
    <m/>
    <m/>
    <m/>
    <m/>
    <m/>
    <m/>
    <m/>
    <m/>
    <m/>
    <m/>
    <m/>
    <m/>
    <m/>
    <m/>
    <m/>
    <m/>
    <m/>
    <m/>
    <m/>
    <m/>
    <m/>
    <m/>
    <m/>
    <m/>
    <m/>
    <m/>
    <m/>
    <m/>
    <m/>
    <m/>
    <m/>
    <m/>
    <m/>
    <m/>
    <m/>
    <m/>
    <m/>
    <m/>
    <m/>
    <m/>
    <m/>
    <m/>
    <m/>
    <m/>
    <m/>
    <m/>
    <m/>
    <m/>
    <m/>
    <m/>
    <m/>
    <m/>
    <m/>
    <m/>
    <m/>
    <m/>
    <m/>
    <m/>
    <m/>
    <m/>
    <m/>
    <m/>
    <m/>
    <m/>
    <m/>
    <m/>
    <m/>
    <m/>
    <m/>
    <m/>
    <m/>
    <s v="YES"/>
    <s v="April"/>
    <n v="2016"/>
    <s v="YES"/>
    <s v="NO"/>
    <m/>
    <m/>
    <s v="The project conducted baseline and endline surveys with representative households to measure the intended changes of the project. The project used both quantitative and qualitative methodologies."/>
    <x v="0"/>
    <m/>
    <m/>
    <m/>
    <m/>
    <m/>
    <m/>
    <m/>
    <m/>
    <m/>
    <x v="0"/>
    <m/>
    <x v="0"/>
    <m/>
    <x v="1"/>
    <x v="0"/>
    <s v="YES"/>
    <x v="0"/>
    <x v="0"/>
    <x v="0"/>
    <x v="0"/>
    <n v="4"/>
    <x v="3"/>
    <x v="1"/>
    <x v="1"/>
    <x v="2"/>
    <x v="2"/>
    <x v="3"/>
    <n v="2"/>
    <x v="1"/>
    <x v="1"/>
    <x v="1"/>
    <x v="2"/>
    <x v="3"/>
    <n v="2"/>
    <x v="2"/>
    <x v="0"/>
    <n v="1"/>
    <m/>
    <m/>
    <m/>
    <x v="1"/>
    <m/>
    <s v="The project did not make any adjustment in the FY to its goals/activities in order to be more gender transformative"/>
    <m/>
    <m/>
    <m/>
    <s v="Working with a micro-finance institution with a mobile team found to be more effective in facilitating cash transfer for beneficiaries and also minimize safety and security concerns"/>
    <s v="Conducting of 100% spot-check for verification of beneficiary households from cash transfer helped to minimize inclusion errors"/>
    <s v="The process related to transition/exit strategy should be discussed with the community as early as possible so as to facilitate handover timely"/>
    <m/>
    <m/>
    <n v="21583"/>
    <n v="0"/>
    <n v="0"/>
    <n v="0.51253301209285085"/>
    <s v=""/>
    <n v="11062"/>
    <n v="0"/>
    <n v="1"/>
    <n v="21583"/>
    <n v="0"/>
    <n v="0"/>
    <s v=""/>
    <n v="0"/>
    <n v="0"/>
    <s v=""/>
    <s v=""/>
    <n v="0"/>
    <n v="0"/>
    <s v=""/>
    <s v=""/>
    <n v="0"/>
    <n v="0"/>
    <s v=""/>
    <s v=""/>
    <n v="0"/>
    <n v="0"/>
    <s v=""/>
    <s v="2. Sensitive"/>
    <s v="0. Unaware"/>
    <s v="1. Neutral"/>
    <s v="It did not develop any specific innovation"/>
    <s v="Little or no advocacy"/>
    <s v="It did not take tested solutions to scale"/>
  </r>
  <r>
    <x v="82"/>
    <x v="1"/>
    <m/>
    <s v="Emergency support for conflict affected population in Yemen and enhanced INGO Coordination in Safety and Security"/>
    <s v="Yemen"/>
    <s v="CDEUYE0029"/>
    <s v="CARE Deutschland-Luxemburg"/>
    <s v="Multilateral agency"/>
    <s v="ECHO - European Commission for Humanitarian Aid and Civil Protection"/>
    <s v="ECHO"/>
    <m/>
    <m/>
    <m/>
    <m/>
    <m/>
    <m/>
    <m/>
    <m/>
    <m/>
    <m/>
    <m/>
    <m/>
    <m/>
    <m/>
    <m/>
    <m/>
    <m/>
    <m/>
    <m/>
    <m/>
    <m/>
    <m/>
    <m/>
    <m/>
    <m/>
    <m/>
    <m/>
    <m/>
    <m/>
    <m/>
    <m/>
    <m/>
    <m/>
    <m/>
    <m/>
    <m/>
    <m/>
    <m/>
    <m/>
    <m/>
    <m/>
    <m/>
    <m/>
    <m/>
    <m/>
    <d v="2016-01-01T00:00:00"/>
    <d v="2016-12-31T00:00:00"/>
    <d v="2017-01-31T00:00:00"/>
    <s v="Humanitarian Other"/>
    <n v="1652174"/>
    <s v="Essam Mohammed"/>
    <s v="Senior Area Manager"/>
    <s v="essam.mohammed@care.org"/>
    <m/>
    <m/>
    <m/>
    <s v="YES"/>
    <s v="NO"/>
    <s v="NO"/>
    <s v="Main goal of the project: Vulnerable households in targeted locations have improved access to protection services, food security, emergency shelter, water and sanitation and INGOs working in Yemen have improved coordination and access to safety and security advice."/>
    <s v="Sub-National"/>
    <s v="The project was implemented in Al-Mahabashah district of Hajjah Governorate and Al-Boureiqa district of Aden Governorate, Yemen"/>
    <s v="The main impact groups are food insecured and vulnerable population living in the project operational areas."/>
    <n v="7150"/>
    <n v="7375"/>
    <n v="14525"/>
    <n v="14175"/>
    <n v="15306"/>
    <n v="29481"/>
    <s v="The direct participants are individuals (family members) who directly received project assistance such as WASH and cash. It is expected that 10% of the population in the targeted districts will be benefited indirectly from the hygiene promotion/awareness intervention"/>
    <m/>
    <n v="13389"/>
    <n v="12847"/>
    <n v="26236"/>
    <n v="8185"/>
    <n v="8955"/>
    <n v="17140"/>
    <s v="NO"/>
    <m/>
    <m/>
    <m/>
    <s v="YES"/>
    <n v="3375"/>
    <n v="0.51"/>
    <m/>
    <s v="NO"/>
    <m/>
    <m/>
    <m/>
    <s v="NO"/>
    <m/>
    <m/>
    <m/>
    <s v="NO"/>
    <m/>
    <m/>
    <m/>
    <s v="NO"/>
    <m/>
    <m/>
    <m/>
    <s v="NO"/>
    <m/>
    <m/>
    <m/>
    <s v="NO"/>
    <m/>
    <m/>
    <m/>
    <s v="NO"/>
    <m/>
    <m/>
    <m/>
    <s v="NO"/>
    <m/>
    <m/>
    <m/>
    <s v="NO"/>
    <m/>
    <m/>
    <m/>
    <s v="YES"/>
    <n v="22861"/>
    <n v="0.51"/>
    <n v="17140"/>
    <m/>
    <m/>
    <m/>
    <m/>
    <m/>
    <m/>
    <m/>
    <m/>
    <m/>
    <m/>
    <m/>
    <m/>
    <m/>
    <m/>
    <m/>
    <m/>
    <m/>
    <m/>
    <m/>
    <m/>
    <m/>
    <m/>
    <m/>
    <m/>
    <m/>
    <m/>
    <m/>
    <m/>
    <m/>
    <m/>
    <m/>
    <m/>
    <m/>
    <m/>
    <m/>
    <m/>
    <m/>
    <m/>
    <m/>
    <m/>
    <m/>
    <m/>
    <m/>
    <m/>
    <m/>
    <m/>
    <m/>
    <m/>
    <m/>
    <m/>
    <m/>
    <m/>
    <m/>
    <m/>
    <m/>
    <m/>
    <m/>
    <m/>
    <m/>
    <m/>
    <m/>
    <m/>
    <m/>
    <m/>
    <m/>
    <m/>
    <m/>
    <m/>
    <m/>
    <m/>
    <m/>
    <m/>
    <m/>
    <m/>
    <m/>
    <m/>
    <m/>
    <m/>
    <m/>
    <m/>
    <s v="YES"/>
    <s v="March"/>
    <n v="2016"/>
    <s v="YES"/>
    <s v="NO"/>
    <m/>
    <m/>
    <s v="The project conducted baseline and endline surveys with representative households to measure the intended changes of the project. The project used both quantitative and qualitative methodologies."/>
    <x v="0"/>
    <m/>
    <m/>
    <m/>
    <m/>
    <m/>
    <m/>
    <m/>
    <m/>
    <m/>
    <x v="0"/>
    <m/>
    <x v="0"/>
    <m/>
    <x v="1"/>
    <x v="0"/>
    <s v="YES"/>
    <x v="0"/>
    <x v="0"/>
    <x v="0"/>
    <x v="0"/>
    <n v="4"/>
    <x v="3"/>
    <x v="1"/>
    <x v="1"/>
    <x v="2"/>
    <x v="2"/>
    <x v="3"/>
    <n v="2"/>
    <x v="1"/>
    <x v="1"/>
    <x v="1"/>
    <x v="2"/>
    <x v="3"/>
    <n v="2"/>
    <x v="2"/>
    <x v="0"/>
    <n v="1"/>
    <m/>
    <m/>
    <m/>
    <x v="1"/>
    <m/>
    <s v="The project did not make any adjustment in the FY to its goals/activities in order to be more gender transformative"/>
    <m/>
    <m/>
    <m/>
    <s v="The contextual, political, security dynamics changed so quickly that a coordination mechanism needs to be sufficiently flexible to adapt and adjust to these changing dynamics."/>
    <s v="Maintaining low profile mechanisms and acting with transparency - Spreading risk through group representation and engaging more INGOs to share in the responsibilities"/>
    <m/>
    <m/>
    <m/>
    <n v="26236"/>
    <n v="17140"/>
    <n v="0.65330080805000768"/>
    <n v="0.5103293184936728"/>
    <n v="0.47753792298716452"/>
    <n v="13389"/>
    <n v="8185"/>
    <n v="1"/>
    <n v="26236"/>
    <n v="17140"/>
    <n v="0.65330080805000768"/>
    <s v=""/>
    <n v="0"/>
    <n v="0"/>
    <s v=""/>
    <s v=""/>
    <n v="0"/>
    <n v="0"/>
    <s v=""/>
    <s v=""/>
    <n v="0"/>
    <n v="0"/>
    <s v=""/>
    <s v=""/>
    <n v="0"/>
    <n v="0"/>
    <s v=""/>
    <s v="2. Sensitive"/>
    <s v="0. Unaware"/>
    <s v="1. Neutral"/>
    <s v="It did not develop any specific innovation"/>
    <s v="Little or no advocacy"/>
    <s v="It did not take tested solutions to scale"/>
  </r>
  <r>
    <x v="82"/>
    <x v="1"/>
    <m/>
    <s v="Emergency WASH and Household NFI assistance to vulnerable IDPs and Host Communities in Taiz Governorate"/>
    <s v="Yemen"/>
    <s v="OCHAYE0016"/>
    <s v="No CARE member related to the project/initiative"/>
    <s v="Other"/>
    <s v="UN - United Nations agencies/offices"/>
    <s v="UN OCHA"/>
    <m/>
    <m/>
    <m/>
    <m/>
    <m/>
    <m/>
    <m/>
    <m/>
    <m/>
    <m/>
    <m/>
    <m/>
    <m/>
    <m/>
    <m/>
    <m/>
    <m/>
    <m/>
    <m/>
    <m/>
    <m/>
    <m/>
    <m/>
    <m/>
    <m/>
    <m/>
    <m/>
    <m/>
    <m/>
    <m/>
    <m/>
    <m/>
    <m/>
    <m/>
    <m/>
    <m/>
    <m/>
    <m/>
    <m/>
    <m/>
    <m/>
    <m/>
    <m/>
    <m/>
    <m/>
    <d v="2016-07-20T00:00:00"/>
    <d v="2017-07-19T00:00:00"/>
    <m/>
    <s v="Humanitarian Other"/>
    <n v="1469980.73"/>
    <s v="Essam Mohammed"/>
    <s v="Senior Area Manager"/>
    <s v="essam.mohammed@care.org"/>
    <m/>
    <m/>
    <m/>
    <s v="YES"/>
    <s v="NO"/>
    <s v="NO"/>
    <s v="The overall project objective is to provide comprehensive emergency WASH and household NFI assistance to the most vulnerable IDP and Host Communities in Taiz."/>
    <s v="Sub-National"/>
    <s v="The project was implemented in Al-Mawaseet and Hayfan districts of Taiz Governorate, Yemen"/>
    <s v="The main impact groups are the most vulnerable conflict affected households"/>
    <n v="33618"/>
    <n v="25882"/>
    <n v="59500"/>
    <n v="54286"/>
    <n v="37996"/>
    <n v="92282"/>
    <s v="The direct participants are individuals (family members) who directly received WASH  (safe water and hygiene kits)and shelter NFIs assistance. The indirect beneficiaries are individuals who will get WASH messages from other members of the community. It is expected that (apart from the direct project beneficiaries), 50% of the community members living in the project operational areas are indirectly reached."/>
    <m/>
    <n v="37531"/>
    <n v="33649"/>
    <n v="71180"/>
    <n v="52330"/>
    <n v="34112"/>
    <n v="86442"/>
    <s v="NO"/>
    <m/>
    <m/>
    <m/>
    <s v="NO"/>
    <m/>
    <m/>
    <m/>
    <s v="NO"/>
    <m/>
    <m/>
    <m/>
    <s v="NO"/>
    <m/>
    <m/>
    <m/>
    <s v="NO"/>
    <m/>
    <m/>
    <m/>
    <s v="NO"/>
    <m/>
    <m/>
    <m/>
    <s v="NO"/>
    <m/>
    <m/>
    <m/>
    <s v="NO"/>
    <m/>
    <m/>
    <m/>
    <s v="NO"/>
    <m/>
    <m/>
    <m/>
    <s v="NO"/>
    <m/>
    <m/>
    <m/>
    <s v="YES"/>
    <n v="15862"/>
    <n v="0.51"/>
    <m/>
    <s v="YES"/>
    <n v="55318"/>
    <n v="0.52"/>
    <n v="86442"/>
    <m/>
    <m/>
    <m/>
    <m/>
    <m/>
    <m/>
    <m/>
    <m/>
    <m/>
    <m/>
    <m/>
    <m/>
    <m/>
    <m/>
    <m/>
    <m/>
    <m/>
    <m/>
    <m/>
    <m/>
    <m/>
    <m/>
    <m/>
    <m/>
    <m/>
    <m/>
    <m/>
    <m/>
    <m/>
    <m/>
    <m/>
    <m/>
    <m/>
    <m/>
    <m/>
    <m/>
    <m/>
    <m/>
    <m/>
    <m/>
    <m/>
    <m/>
    <m/>
    <m/>
    <m/>
    <m/>
    <m/>
    <m/>
    <m/>
    <m/>
    <m/>
    <m/>
    <m/>
    <m/>
    <m/>
    <m/>
    <m/>
    <m/>
    <m/>
    <m/>
    <m/>
    <m/>
    <m/>
    <m/>
    <m/>
    <m/>
    <m/>
    <m/>
    <m/>
    <m/>
    <m/>
    <m/>
    <m/>
    <m/>
    <m/>
    <m/>
    <m/>
    <m/>
    <m/>
    <m/>
    <s v="YES"/>
    <s v="October"/>
    <n v="2016"/>
    <s v="YES"/>
    <s v="YES"/>
    <s v="July"/>
    <n v="2017"/>
    <s v="The project will conduct an end-line survey to measure the changes related to key WASH outcome indicators. The survey will mainly utilize quantitative (household) survey and qualitative data collection methods will also be utilized to triangulate the findings of the household survey."/>
    <x v="0"/>
    <m/>
    <m/>
    <m/>
    <m/>
    <m/>
    <m/>
    <m/>
    <m/>
    <m/>
    <x v="0"/>
    <m/>
    <x v="0"/>
    <m/>
    <x v="1"/>
    <x v="0"/>
    <s v="YES"/>
    <x v="0"/>
    <x v="0"/>
    <x v="0"/>
    <x v="0"/>
    <n v="4"/>
    <x v="3"/>
    <x v="1"/>
    <x v="1"/>
    <x v="2"/>
    <x v="2"/>
    <x v="3"/>
    <n v="2"/>
    <x v="1"/>
    <x v="1"/>
    <x v="1"/>
    <x v="2"/>
    <x v="3"/>
    <n v="2"/>
    <x v="2"/>
    <x v="0"/>
    <m/>
    <m/>
    <m/>
    <m/>
    <x v="1"/>
    <m/>
    <s v="The project did not make any adjustment in the FY to its goals/activities in order to be more gender transformative"/>
    <m/>
    <m/>
    <m/>
    <m/>
    <m/>
    <m/>
    <m/>
    <m/>
    <n v="71180"/>
    <n v="86442"/>
    <n v="1.2144141612812587"/>
    <n v="0.52726889575723512"/>
    <n v="0.60537701580250336"/>
    <n v="37531"/>
    <n v="52330"/>
    <n v="1"/>
    <n v="71180"/>
    <n v="86442"/>
    <n v="1.2144141612812587"/>
    <s v=""/>
    <n v="0"/>
    <n v="0"/>
    <s v=""/>
    <s v=""/>
    <n v="0"/>
    <n v="0"/>
    <s v=""/>
    <s v=""/>
    <n v="0"/>
    <n v="0"/>
    <s v=""/>
    <s v=""/>
    <n v="0"/>
    <n v="0"/>
    <s v=""/>
    <s v="2. Sensitive"/>
    <s v="0. Unaware"/>
    <s v="1. Neutral"/>
    <s v="It did not develop any specific innovation"/>
    <s v="Little or no advocacy"/>
    <s v="It did not take tested solutions to scale"/>
  </r>
  <r>
    <x v="82"/>
    <x v="1"/>
    <m/>
    <s v="Emergency WASH, Economic Assistance and Humanitarian Coordination in Yemen"/>
    <s v="Yemen"/>
    <s v="OFDAYE0006"/>
    <s v="CARE USA"/>
    <s v="Government"/>
    <s v="Government - US"/>
    <s v="UN OCHA"/>
    <m/>
    <m/>
    <m/>
    <m/>
    <m/>
    <m/>
    <m/>
    <m/>
    <m/>
    <m/>
    <m/>
    <m/>
    <m/>
    <m/>
    <m/>
    <m/>
    <m/>
    <m/>
    <m/>
    <m/>
    <m/>
    <m/>
    <m/>
    <m/>
    <m/>
    <m/>
    <m/>
    <m/>
    <m/>
    <m/>
    <m/>
    <m/>
    <m/>
    <m/>
    <m/>
    <m/>
    <m/>
    <m/>
    <m/>
    <m/>
    <m/>
    <m/>
    <m/>
    <m/>
    <m/>
    <d v="2016-10-01T00:00:00"/>
    <d v="2017-09-30T00:00:00"/>
    <m/>
    <s v="Humanitarian Food &amp; Nutrition Security and Resilience to Climate Change"/>
    <n v="2450023"/>
    <s v="Essam Mohammed"/>
    <s v="Senior Area Manager"/>
    <s v="essam.mohammed@care.org"/>
    <m/>
    <m/>
    <m/>
    <s v="YES"/>
    <s v="NO"/>
    <s v="NO"/>
    <s v="The project goal is to improve access to cash and water and promote proper hygiene among vulnerable IDPs and host communities"/>
    <s v="Sub-National"/>
    <s v="The project was implemented in various districts of  Hajjah and Amran Governorates,Yemen"/>
    <s v="The main impact groups are food insecured and vulnerable population living in the project operational areas."/>
    <n v="34410"/>
    <n v="35814"/>
    <n v="70224"/>
    <n v="53300"/>
    <n v="55476"/>
    <n v="108776"/>
    <s v="The direct participants are individuals (family members) who directly received cash assistance from the project.  It is anticipated that 50% of population living in the area will be benefited indirectly from the hygiene promotion activities."/>
    <m/>
    <n v="34410"/>
    <n v="35814"/>
    <n v="70224"/>
    <n v="52388"/>
    <n v="54526"/>
    <n v="106914"/>
    <s v="NO"/>
    <m/>
    <m/>
    <m/>
    <s v="YES"/>
    <n v="10651"/>
    <n v="0.49"/>
    <m/>
    <s v="NO"/>
    <m/>
    <m/>
    <m/>
    <s v="NO"/>
    <m/>
    <m/>
    <m/>
    <s v="NO"/>
    <m/>
    <m/>
    <m/>
    <s v="NO"/>
    <m/>
    <m/>
    <m/>
    <s v="NO"/>
    <m/>
    <m/>
    <m/>
    <s v="NO"/>
    <m/>
    <m/>
    <m/>
    <s v="NO"/>
    <m/>
    <m/>
    <m/>
    <s v="NO"/>
    <m/>
    <m/>
    <m/>
    <s v="NO"/>
    <m/>
    <m/>
    <m/>
    <s v="YES"/>
    <n v="59573"/>
    <n v="0.49"/>
    <n v="106914"/>
    <m/>
    <m/>
    <m/>
    <m/>
    <m/>
    <m/>
    <m/>
    <m/>
    <m/>
    <m/>
    <m/>
    <m/>
    <m/>
    <m/>
    <m/>
    <m/>
    <m/>
    <m/>
    <m/>
    <m/>
    <m/>
    <m/>
    <m/>
    <m/>
    <m/>
    <m/>
    <m/>
    <m/>
    <m/>
    <m/>
    <m/>
    <m/>
    <m/>
    <m/>
    <m/>
    <m/>
    <m/>
    <m/>
    <m/>
    <m/>
    <m/>
    <m/>
    <m/>
    <m/>
    <m/>
    <m/>
    <m/>
    <m/>
    <m/>
    <m/>
    <m/>
    <m/>
    <m/>
    <m/>
    <m/>
    <m/>
    <m/>
    <m/>
    <m/>
    <m/>
    <m/>
    <m/>
    <m/>
    <m/>
    <m/>
    <m/>
    <m/>
    <m/>
    <m/>
    <m/>
    <m/>
    <m/>
    <m/>
    <m/>
    <m/>
    <m/>
    <m/>
    <m/>
    <m/>
    <m/>
    <s v="NO"/>
    <m/>
    <m/>
    <m/>
    <s v="YES"/>
    <s v="September"/>
    <n v="2017"/>
    <s v="A rapid evaluation will be conducted in Sept 2017 to measure the outcomes related to usage of latrines and other hygiene/sanitation issues."/>
    <x v="0"/>
    <m/>
    <m/>
    <m/>
    <m/>
    <m/>
    <m/>
    <m/>
    <m/>
    <m/>
    <x v="0"/>
    <m/>
    <x v="0"/>
    <m/>
    <x v="1"/>
    <x v="0"/>
    <s v="YES"/>
    <x v="0"/>
    <x v="0"/>
    <x v="0"/>
    <x v="0"/>
    <n v="4"/>
    <x v="3"/>
    <x v="1"/>
    <x v="1"/>
    <x v="2"/>
    <x v="2"/>
    <x v="3"/>
    <n v="2"/>
    <x v="1"/>
    <x v="1"/>
    <x v="1"/>
    <x v="2"/>
    <x v="3"/>
    <n v="2"/>
    <x v="2"/>
    <x v="1"/>
    <m/>
    <m/>
    <m/>
    <m/>
    <x v="1"/>
    <m/>
    <s v="The project did not make any adjustment in the FY to its goals/activities in order to be more gender transformative"/>
    <m/>
    <m/>
    <m/>
    <m/>
    <m/>
    <m/>
    <m/>
    <m/>
    <n v="70224"/>
    <n v="106914"/>
    <n v="1.5224709501025291"/>
    <n v="0.49000341763499661"/>
    <n v="0.49000130946368109"/>
    <n v="34410"/>
    <n v="52388"/>
    <n v="1"/>
    <n v="70224"/>
    <n v="106914"/>
    <n v="1.5224709501025291"/>
    <s v=""/>
    <n v="0"/>
    <n v="0"/>
    <s v=""/>
    <s v=""/>
    <n v="0"/>
    <n v="0"/>
    <s v=""/>
    <s v=""/>
    <n v="0"/>
    <n v="0"/>
    <s v=""/>
    <s v=""/>
    <n v="0"/>
    <n v="0"/>
    <s v=""/>
    <s v="2. Sensitive"/>
    <s v="0. Unaware"/>
    <s v="1. Neutral"/>
    <s v="It did not develop any specific innovation"/>
    <s v="Little or no advocacy"/>
    <s v="It did not take tested solutions to scale"/>
  </r>
  <r>
    <x v="82"/>
    <x v="1"/>
    <m/>
    <s v="Enhanced Rural Resilience in Yemen project (ERRY) in Abyan and Lahj"/>
    <s v="Yemen"/>
    <s v="WFPXYE0011"/>
    <s v="No CARE member related to the project/initiative"/>
    <s v="Other"/>
    <s v="UN - United Nations agencies/offices"/>
    <s v="World Food Programme (WFP)"/>
    <m/>
    <m/>
    <m/>
    <m/>
    <m/>
    <m/>
    <m/>
    <m/>
    <m/>
    <m/>
    <m/>
    <m/>
    <m/>
    <m/>
    <m/>
    <m/>
    <m/>
    <m/>
    <m/>
    <m/>
    <m/>
    <m/>
    <m/>
    <m/>
    <m/>
    <m/>
    <m/>
    <m/>
    <m/>
    <m/>
    <m/>
    <m/>
    <m/>
    <m/>
    <m/>
    <m/>
    <m/>
    <m/>
    <m/>
    <m/>
    <m/>
    <m/>
    <m/>
    <m/>
    <m/>
    <d v="2016-05-01T00:00:00"/>
    <d v="2016-11-30T00:00:00"/>
    <d v="2017-02-08T00:00:00"/>
    <s v="Humanitarian Other"/>
    <n v="221739"/>
    <s v="Iftekar Al-Sakaf"/>
    <s v="Area Manager  South"/>
    <s v="iftekar.alsakaf@care.org"/>
    <m/>
    <m/>
    <m/>
    <s v="YES"/>
    <s v="NO"/>
    <s v="NO"/>
    <s v="The project goal is to improve access to food 7,791 food-insecure individuals in Lahj and Abyan  Governorates, ensuring a balanced food intake for beneficiaries; and support 1,113 HHs in Abyan and Lahj to enhance access to improved communal assets."/>
    <s v="Sub-National"/>
    <s v="The project was implemented in Kanfar and Mudiyah districsr of Abyan Governorate and Tuban and Halmmen districts of Lahj Governorate, Yemen"/>
    <s v="The main impact groups are food insecured and vulnerable population living in the project operational areas."/>
    <n v="3818"/>
    <n v="3973"/>
    <n v="7791"/>
    <n v="16490"/>
    <n v="17162"/>
    <n v="33652"/>
    <s v="The direct participants are individuals (family members) who directly received cash assistance from the project.  The indirect beneficiaries are households who are benefited from the construction/rehabilitation of communal assets theough the cash-for-work scheme. It is estimated that 10% of the total population in the targeted districts have indirectly benefited from the project."/>
    <m/>
    <n v="3896"/>
    <n v="3907"/>
    <n v="7803"/>
    <n v="16490"/>
    <n v="17162"/>
    <n v="33652"/>
    <s v="NO"/>
    <m/>
    <m/>
    <m/>
    <s v="YES"/>
    <n v="7803"/>
    <n v="0.499"/>
    <n v="33652"/>
    <s v="NO"/>
    <m/>
    <m/>
    <m/>
    <s v="YES"/>
    <n v="7803"/>
    <n v="0.499"/>
    <n v="33652"/>
    <s v="NO"/>
    <m/>
    <m/>
    <m/>
    <s v="NO"/>
    <m/>
    <m/>
    <m/>
    <s v="NO"/>
    <m/>
    <m/>
    <m/>
    <s v="NO"/>
    <m/>
    <m/>
    <m/>
    <s v="NO"/>
    <m/>
    <m/>
    <m/>
    <s v="NO"/>
    <m/>
    <m/>
    <m/>
    <s v="NO"/>
    <m/>
    <m/>
    <m/>
    <s v="NO"/>
    <m/>
    <m/>
    <m/>
    <m/>
    <m/>
    <m/>
    <m/>
    <m/>
    <m/>
    <m/>
    <m/>
    <m/>
    <m/>
    <m/>
    <m/>
    <m/>
    <m/>
    <m/>
    <m/>
    <m/>
    <m/>
    <m/>
    <m/>
    <m/>
    <m/>
    <m/>
    <m/>
    <m/>
    <m/>
    <m/>
    <m/>
    <m/>
    <m/>
    <m/>
    <m/>
    <m/>
    <m/>
    <m/>
    <m/>
    <m/>
    <m/>
    <m/>
    <m/>
    <m/>
    <m/>
    <m/>
    <m/>
    <m/>
    <m/>
    <m/>
    <m/>
    <m/>
    <m/>
    <m/>
    <m/>
    <m/>
    <m/>
    <m/>
    <m/>
    <m/>
    <m/>
    <m/>
    <m/>
    <m/>
    <m/>
    <m/>
    <m/>
    <m/>
    <m/>
    <m/>
    <m/>
    <m/>
    <m/>
    <m/>
    <m/>
    <m/>
    <m/>
    <m/>
    <m/>
    <m/>
    <m/>
    <m/>
    <m/>
    <s v="NO"/>
    <m/>
    <m/>
    <s v="NO"/>
    <s v="NO"/>
    <m/>
    <m/>
    <m/>
    <x v="0"/>
    <m/>
    <m/>
    <m/>
    <m/>
    <m/>
    <m/>
    <m/>
    <m/>
    <m/>
    <x v="0"/>
    <m/>
    <x v="0"/>
    <m/>
    <x v="1"/>
    <x v="0"/>
    <s v="YES"/>
    <x v="0"/>
    <x v="0"/>
    <x v="0"/>
    <x v="0"/>
    <n v="4"/>
    <x v="3"/>
    <x v="1"/>
    <x v="1"/>
    <x v="2"/>
    <x v="2"/>
    <x v="3"/>
    <n v="2"/>
    <x v="1"/>
    <x v="1"/>
    <x v="1"/>
    <x v="2"/>
    <x v="3"/>
    <n v="2"/>
    <x v="2"/>
    <x v="1"/>
    <m/>
    <m/>
    <m/>
    <m/>
    <x v="1"/>
    <m/>
    <s v="The project did not make any adjustment in the FY to its goals/activities in order to be more gender transformative"/>
    <m/>
    <m/>
    <m/>
    <m/>
    <m/>
    <m/>
    <m/>
    <m/>
    <n v="7803"/>
    <n v="33652"/>
    <n v="4.3127002434960913"/>
    <n v="0.49929514289375881"/>
    <n v="0.49001545227623916"/>
    <n v="3896"/>
    <n v="16490"/>
    <n v="1"/>
    <n v="7803"/>
    <n v="33652"/>
    <n v="4.3127002434960913"/>
    <n v="1"/>
    <n v="7803"/>
    <n v="33652"/>
    <n v="4.3127002434960913"/>
    <s v=""/>
    <n v="0"/>
    <n v="0"/>
    <s v=""/>
    <s v=""/>
    <n v="0"/>
    <n v="0"/>
    <s v=""/>
    <s v=""/>
    <n v="0"/>
    <n v="0"/>
    <s v=""/>
    <s v="2. Sensitive"/>
    <s v="0. Unaware"/>
    <s v="1. Neutral"/>
    <s v="It did not develop any specific innovation"/>
    <s v="Little or no advocacy"/>
    <s v="It did not take tested solutions to scale"/>
  </r>
  <r>
    <x v="82"/>
    <x v="1"/>
    <m/>
    <s v="Enhancing access to WASH and meeting basic needs in conflict-affected areas of Taiz governorate"/>
    <s v="Yemen"/>
    <s v="CCANYE0001"/>
    <s v="CARE Canada"/>
    <s v="Government"/>
    <s v="Government - Canada"/>
    <s v="DFATD-Canada"/>
    <m/>
    <m/>
    <m/>
    <m/>
    <m/>
    <m/>
    <m/>
    <m/>
    <m/>
    <m/>
    <m/>
    <m/>
    <m/>
    <m/>
    <m/>
    <m/>
    <m/>
    <m/>
    <m/>
    <m/>
    <m/>
    <m/>
    <m/>
    <m/>
    <m/>
    <m/>
    <m/>
    <m/>
    <m/>
    <m/>
    <m/>
    <m/>
    <m/>
    <m/>
    <m/>
    <m/>
    <m/>
    <m/>
    <m/>
    <m/>
    <m/>
    <m/>
    <m/>
    <m/>
    <m/>
    <d v="2016-03-15T00:00:00"/>
    <d v="2017-03-31T00:00:00"/>
    <m/>
    <s v="Humanitarian Other"/>
    <n v="1300000"/>
    <s v="Essam Mohammed"/>
    <s v="Senior Area Manager"/>
    <s v="essam.mohammed@care.org"/>
    <m/>
    <m/>
    <m/>
    <s v="YES"/>
    <s v="NO"/>
    <s v="NO"/>
    <s v="Main goal of the project: Reduced vulnerability of crisis-affected people, especially women and children through improved access to water, sanitation and hygiene services for vulnerable populations in conflict affected areas and improved ability for at risk populations, especially women, to meet their basic needs."/>
    <s v="Sub-National"/>
    <s v="The project was implemented in Shamayatayn and Al Ma'afer districts of Taiz Governorate, Yemen"/>
    <s v="The main impact groups are food insecured and vulnerable population living in the project operational areas."/>
    <n v="6517"/>
    <n v="5733"/>
    <n v="12250"/>
    <m/>
    <m/>
    <n v="0"/>
    <s v="The direct participants are individuals (family members) who directly received project assistance such as WASH and cash."/>
    <m/>
    <n v="20974"/>
    <n v="19533"/>
    <n v="40507"/>
    <m/>
    <m/>
    <n v="0"/>
    <s v="NO"/>
    <m/>
    <m/>
    <m/>
    <s v="YES"/>
    <n v="5336"/>
    <n v="0.51"/>
    <m/>
    <s v="NO"/>
    <m/>
    <m/>
    <m/>
    <s v="NO"/>
    <m/>
    <m/>
    <m/>
    <s v="NO"/>
    <m/>
    <m/>
    <m/>
    <s v="NO"/>
    <m/>
    <m/>
    <m/>
    <s v="NO"/>
    <m/>
    <m/>
    <m/>
    <s v="NO"/>
    <m/>
    <m/>
    <m/>
    <s v="NO"/>
    <m/>
    <m/>
    <m/>
    <s v="NO"/>
    <m/>
    <m/>
    <m/>
    <s v="NO"/>
    <m/>
    <m/>
    <m/>
    <s v="YES"/>
    <n v="35171"/>
    <n v="0.52"/>
    <m/>
    <m/>
    <m/>
    <m/>
    <m/>
    <m/>
    <m/>
    <m/>
    <m/>
    <m/>
    <m/>
    <m/>
    <m/>
    <m/>
    <m/>
    <m/>
    <m/>
    <m/>
    <m/>
    <m/>
    <m/>
    <m/>
    <m/>
    <m/>
    <m/>
    <m/>
    <m/>
    <m/>
    <m/>
    <m/>
    <m/>
    <m/>
    <m/>
    <m/>
    <m/>
    <m/>
    <m/>
    <m/>
    <m/>
    <m/>
    <m/>
    <m/>
    <m/>
    <m/>
    <m/>
    <m/>
    <m/>
    <m/>
    <m/>
    <m/>
    <m/>
    <m/>
    <m/>
    <m/>
    <m/>
    <m/>
    <m/>
    <m/>
    <m/>
    <m/>
    <m/>
    <m/>
    <m/>
    <m/>
    <m/>
    <m/>
    <m/>
    <m/>
    <m/>
    <m/>
    <m/>
    <m/>
    <m/>
    <m/>
    <m/>
    <m/>
    <m/>
    <m/>
    <m/>
    <m/>
    <m/>
    <s v="YES"/>
    <s v="March"/>
    <n v="2017"/>
    <s v="YES"/>
    <s v="NO"/>
    <m/>
    <m/>
    <s v="The project conducted baseline and endline surveys with representative households to measure the intended changes of the project. The project used both quantitative and qualitative methodologies."/>
    <x v="0"/>
    <m/>
    <m/>
    <m/>
    <m/>
    <m/>
    <m/>
    <m/>
    <m/>
    <m/>
    <x v="0"/>
    <m/>
    <x v="0"/>
    <m/>
    <x v="1"/>
    <x v="0"/>
    <s v="YES"/>
    <x v="0"/>
    <x v="0"/>
    <x v="0"/>
    <x v="0"/>
    <n v="4"/>
    <x v="3"/>
    <x v="1"/>
    <x v="1"/>
    <x v="2"/>
    <x v="2"/>
    <x v="3"/>
    <n v="2"/>
    <x v="1"/>
    <x v="1"/>
    <x v="1"/>
    <x v="2"/>
    <x v="3"/>
    <n v="2"/>
    <x v="2"/>
    <x v="1"/>
    <m/>
    <m/>
    <m/>
    <m/>
    <x v="1"/>
    <m/>
    <s v="The project did not make any adjustment in the FY to its goals/activities in order to be more gender transformative"/>
    <m/>
    <m/>
    <m/>
    <s v="One of the important lesson learned is to make target communities sensitized to the whole project (goal, interventions, target groups, beneficiary selection criteria, implementation mechanism, period) to avoid creating any conflict among community members specially, the gap response is huge and the assistance sources are limited. The project should take in consideration the principle of Do no Harm from the beginning."/>
    <s v="Another important lesson is to take care when selecting the community committees which will represent the communities and be the focal points between the project team and communities. Good committees will help to achieve the success of activities and avoid any problem that might encounter while implementing them."/>
    <m/>
    <m/>
    <m/>
    <n v="40507"/>
    <n v="0"/>
    <n v="0"/>
    <n v="0.51778704915199847"/>
    <s v=""/>
    <n v="20974"/>
    <n v="0"/>
    <n v="1"/>
    <n v="40507"/>
    <n v="0"/>
    <n v="0"/>
    <s v=""/>
    <n v="0"/>
    <n v="0"/>
    <s v=""/>
    <s v=""/>
    <n v="0"/>
    <n v="0"/>
    <s v=""/>
    <s v=""/>
    <n v="0"/>
    <n v="0"/>
    <s v=""/>
    <s v=""/>
    <n v="0"/>
    <n v="0"/>
    <s v=""/>
    <s v="2. Sensitive"/>
    <s v="0. Unaware"/>
    <s v="1. Neutral"/>
    <s v="It did not develop any specific innovation"/>
    <s v="Little or no advocacy"/>
    <s v="It did not take tested solutions to scale"/>
  </r>
  <r>
    <x v="82"/>
    <x v="1"/>
    <m/>
    <s v="Food assistance program in Amran and Abyan Governorate -Phase  IV"/>
    <s v="Yemen"/>
    <s v="WFPXYE0009"/>
    <s v="No CARE member related to the project/initiative"/>
    <s v="Other"/>
    <s v="UN - United Nations agencies/offices"/>
    <s v="World Food Programme (WFP)"/>
    <m/>
    <m/>
    <m/>
    <m/>
    <m/>
    <m/>
    <m/>
    <m/>
    <m/>
    <m/>
    <m/>
    <m/>
    <m/>
    <m/>
    <m/>
    <m/>
    <m/>
    <m/>
    <m/>
    <m/>
    <m/>
    <m/>
    <m/>
    <m/>
    <m/>
    <m/>
    <m/>
    <m/>
    <m/>
    <m/>
    <m/>
    <m/>
    <m/>
    <m/>
    <m/>
    <m/>
    <m/>
    <m/>
    <m/>
    <m/>
    <m/>
    <m/>
    <m/>
    <m/>
    <m/>
    <d v="2016-04-01T00:00:00"/>
    <d v="2016-12-31T00:00:00"/>
    <d v="2017-06-30T00:00:00"/>
    <s v="Humanitarian Food &amp; Nutrition Security and Resilience to Climate Change"/>
    <n v="1437362"/>
    <s v="Iftekar Al-sakaf"/>
    <s v="Area Manager - South"/>
    <s v="iftekar.alsakaf@care.org"/>
    <m/>
    <m/>
    <m/>
    <s v="YES"/>
    <s v="NO"/>
    <s v="NO"/>
    <s v="The project goal is to improve food consumption for targeted severely food- insecure persons &amp; IDPs in Amran governorate, ensuring a balanced food intake for beneficiaries and to reduce negative coping strategies among severely  food- insecure persons &amp; IDPs in Abyan governorate."/>
    <s v="Sub-National"/>
    <s v="The project was implemented in six districsr ofAmran Governorate,Yemen"/>
    <s v="The main impact groups are food insecured and vulnerable population living in the project operational areas."/>
    <n v="262122"/>
    <n v="272821"/>
    <n v="534943"/>
    <m/>
    <m/>
    <n v="0"/>
    <s v="The direct participants are individuals (family members) who directly received food from the project.  There are no anticipated indirect beneficiaries under this project.  "/>
    <m/>
    <n v="187082"/>
    <n v="187617"/>
    <n v="374699"/>
    <m/>
    <m/>
    <n v="0"/>
    <s v="NO"/>
    <m/>
    <m/>
    <m/>
    <s v="YES"/>
    <n v="374699"/>
    <n v="0.499"/>
    <m/>
    <s v="NO"/>
    <m/>
    <m/>
    <m/>
    <s v="YES"/>
    <n v="374699"/>
    <n v="0.499"/>
    <m/>
    <s v="NO"/>
    <m/>
    <m/>
    <m/>
    <s v="NO"/>
    <m/>
    <m/>
    <m/>
    <s v="NO"/>
    <m/>
    <m/>
    <m/>
    <s v="NO"/>
    <m/>
    <m/>
    <m/>
    <s v="NO"/>
    <m/>
    <m/>
    <m/>
    <s v="NO"/>
    <m/>
    <m/>
    <m/>
    <s v="NO"/>
    <m/>
    <m/>
    <m/>
    <s v="NO"/>
    <m/>
    <m/>
    <m/>
    <m/>
    <m/>
    <m/>
    <m/>
    <m/>
    <m/>
    <m/>
    <m/>
    <m/>
    <m/>
    <m/>
    <m/>
    <m/>
    <m/>
    <m/>
    <m/>
    <m/>
    <m/>
    <m/>
    <m/>
    <m/>
    <m/>
    <m/>
    <m/>
    <m/>
    <m/>
    <m/>
    <m/>
    <m/>
    <m/>
    <m/>
    <m/>
    <m/>
    <m/>
    <m/>
    <m/>
    <m/>
    <m/>
    <m/>
    <m/>
    <m/>
    <m/>
    <m/>
    <m/>
    <m/>
    <m/>
    <m/>
    <m/>
    <m/>
    <m/>
    <m/>
    <m/>
    <m/>
    <m/>
    <m/>
    <m/>
    <m/>
    <m/>
    <m/>
    <m/>
    <m/>
    <m/>
    <m/>
    <m/>
    <m/>
    <m/>
    <m/>
    <m/>
    <m/>
    <m/>
    <m/>
    <m/>
    <m/>
    <m/>
    <m/>
    <m/>
    <m/>
    <m/>
    <m/>
    <m/>
    <s v="NO"/>
    <m/>
    <m/>
    <m/>
    <m/>
    <m/>
    <m/>
    <m/>
    <x v="0"/>
    <m/>
    <m/>
    <m/>
    <m/>
    <m/>
    <m/>
    <m/>
    <m/>
    <m/>
    <x v="0"/>
    <m/>
    <x v="0"/>
    <m/>
    <x v="1"/>
    <x v="0"/>
    <s v="YES"/>
    <x v="0"/>
    <x v="0"/>
    <x v="0"/>
    <x v="0"/>
    <n v="4"/>
    <x v="3"/>
    <x v="1"/>
    <x v="1"/>
    <x v="2"/>
    <x v="2"/>
    <x v="3"/>
    <n v="2"/>
    <x v="1"/>
    <x v="1"/>
    <x v="1"/>
    <x v="2"/>
    <x v="3"/>
    <n v="2"/>
    <x v="2"/>
    <x v="0"/>
    <n v="1"/>
    <s v="International NGO(s)"/>
    <s v="Local government(s)"/>
    <m/>
    <x v="1"/>
    <m/>
    <s v="The project did not make any adjustment in the FY to its goals/activities in order to be more gender transformative"/>
    <m/>
    <m/>
    <m/>
    <s v="Address the issue of malnutrition and key WASH behaviours through enhancing conducting nutrition-WASH focused awareness raising ssessions"/>
    <m/>
    <m/>
    <m/>
    <m/>
    <n v="374699"/>
    <n v="0"/>
    <n v="0"/>
    <n v="0.49928609363782661"/>
    <s v=""/>
    <n v="187082"/>
    <n v="0"/>
    <n v="1"/>
    <n v="374699"/>
    <n v="0"/>
    <n v="0"/>
    <n v="1"/>
    <n v="374699"/>
    <n v="0"/>
    <n v="0"/>
    <s v=""/>
    <n v="0"/>
    <n v="0"/>
    <s v=""/>
    <s v=""/>
    <n v="0"/>
    <n v="0"/>
    <s v=""/>
    <s v=""/>
    <n v="0"/>
    <n v="0"/>
    <s v=""/>
    <s v="2. Sensitive"/>
    <s v="0. Unaware"/>
    <s v="1. Neutral"/>
    <s v="It did not develop any specific innovation"/>
    <s v="Little or no advocacy"/>
    <s v="It did not take tested solutions to scale"/>
  </r>
  <r>
    <x v="82"/>
    <x v="1"/>
    <m/>
    <s v="Food assistance program in Amran Governorate -Phase  III"/>
    <s v="Yemen"/>
    <s v="WFPXYE0008"/>
    <s v="No CARE member related to the project/initiative"/>
    <s v="Other"/>
    <s v="UN - United Nations agencies/offices"/>
    <s v="World Food Programme (WFP)"/>
    <m/>
    <m/>
    <m/>
    <m/>
    <m/>
    <m/>
    <m/>
    <m/>
    <m/>
    <m/>
    <m/>
    <m/>
    <m/>
    <m/>
    <m/>
    <m/>
    <m/>
    <m/>
    <m/>
    <m/>
    <m/>
    <m/>
    <m/>
    <m/>
    <m/>
    <m/>
    <m/>
    <m/>
    <m/>
    <m/>
    <m/>
    <m/>
    <m/>
    <m/>
    <m/>
    <m/>
    <m/>
    <m/>
    <m/>
    <m/>
    <m/>
    <m/>
    <m/>
    <m/>
    <m/>
    <d v="2016-04-01T00:00:00"/>
    <d v="2016-12-31T00:00:00"/>
    <d v="2017-06-30T00:00:00"/>
    <s v="Humanitarian Food &amp; Nutrition Security and Resilience to Climate Change"/>
    <n v="579663"/>
    <s v="Essam Mohammed"/>
    <s v="Senior Area Manager"/>
    <s v="essam.mohammed@care.org"/>
    <m/>
    <m/>
    <m/>
    <s v="YES"/>
    <s v="NO"/>
    <s v="NO"/>
    <s v="The project goal is to improve food consumption for targeted severely food- insecure persons &amp; IDPs in Amran governorate, ensuring a balanced food intake for beneficiaries and to reduce negative coping strategies among 321,732 severely  food- insecure persons &amp; IDPs in Amran governorate."/>
    <s v="Sub-National"/>
    <s v="The project was implemented in five districsr of Amran Governorate,Yemen"/>
    <s v="The main impact groups are food insecured and vulnerable population living in the project operational areas."/>
    <n v="157649"/>
    <n v="164083"/>
    <n v="321732"/>
    <m/>
    <m/>
    <n v="0"/>
    <s v="The direct participants are individuals (family members) who directly received food from the project.  There are no anticipated indirect beneficiaries under this project.  "/>
    <m/>
    <n v="108012"/>
    <n v="109460"/>
    <n v="217472"/>
    <m/>
    <m/>
    <n v="0"/>
    <s v="NO"/>
    <m/>
    <m/>
    <m/>
    <s v="YES"/>
    <n v="217472"/>
    <n v="0.496"/>
    <m/>
    <s v="NO"/>
    <m/>
    <m/>
    <m/>
    <s v="YES"/>
    <n v="217472"/>
    <n v="0.496"/>
    <m/>
    <s v="NO"/>
    <m/>
    <m/>
    <m/>
    <s v="NO"/>
    <m/>
    <m/>
    <m/>
    <s v="NO"/>
    <m/>
    <m/>
    <m/>
    <s v="NO"/>
    <m/>
    <m/>
    <m/>
    <s v="NO"/>
    <m/>
    <m/>
    <m/>
    <s v="NO"/>
    <m/>
    <m/>
    <m/>
    <s v="NO"/>
    <m/>
    <m/>
    <m/>
    <s v="NO"/>
    <m/>
    <m/>
    <m/>
    <m/>
    <m/>
    <m/>
    <m/>
    <m/>
    <m/>
    <m/>
    <m/>
    <m/>
    <m/>
    <m/>
    <m/>
    <m/>
    <m/>
    <m/>
    <m/>
    <m/>
    <m/>
    <m/>
    <m/>
    <m/>
    <m/>
    <m/>
    <m/>
    <m/>
    <m/>
    <m/>
    <m/>
    <m/>
    <m/>
    <m/>
    <m/>
    <m/>
    <m/>
    <m/>
    <m/>
    <m/>
    <m/>
    <m/>
    <m/>
    <m/>
    <m/>
    <m/>
    <m/>
    <m/>
    <m/>
    <m/>
    <m/>
    <m/>
    <m/>
    <m/>
    <m/>
    <m/>
    <m/>
    <m/>
    <m/>
    <m/>
    <m/>
    <m/>
    <m/>
    <m/>
    <m/>
    <m/>
    <m/>
    <m/>
    <m/>
    <m/>
    <m/>
    <m/>
    <m/>
    <m/>
    <m/>
    <m/>
    <m/>
    <m/>
    <m/>
    <m/>
    <m/>
    <m/>
    <m/>
    <s v="NO"/>
    <m/>
    <m/>
    <m/>
    <m/>
    <m/>
    <m/>
    <m/>
    <x v="0"/>
    <m/>
    <m/>
    <m/>
    <m/>
    <m/>
    <m/>
    <m/>
    <m/>
    <m/>
    <x v="0"/>
    <m/>
    <x v="0"/>
    <m/>
    <x v="1"/>
    <x v="0"/>
    <s v="YES"/>
    <x v="0"/>
    <x v="0"/>
    <x v="0"/>
    <x v="0"/>
    <n v="4"/>
    <x v="3"/>
    <x v="1"/>
    <x v="1"/>
    <x v="2"/>
    <x v="2"/>
    <x v="3"/>
    <n v="2"/>
    <x v="1"/>
    <x v="1"/>
    <x v="1"/>
    <x v="2"/>
    <x v="3"/>
    <n v="2"/>
    <x v="2"/>
    <x v="1"/>
    <m/>
    <m/>
    <m/>
    <m/>
    <x v="1"/>
    <m/>
    <s v="The project did not make any adjustment in the FY to its goals/activities in order to be more gender transformative"/>
    <m/>
    <m/>
    <m/>
    <s v="Address the issue of malnutrition and key WASH behaviours through enhancing conducting nutrition-WASH focused awareness raising ssessions"/>
    <m/>
    <m/>
    <m/>
    <m/>
    <n v="217472"/>
    <n v="0"/>
    <n v="0"/>
    <n v="0.49667083578575633"/>
    <s v=""/>
    <n v="108012"/>
    <n v="0"/>
    <n v="1"/>
    <n v="217472"/>
    <n v="0"/>
    <n v="0"/>
    <n v="1"/>
    <n v="217472"/>
    <n v="0"/>
    <n v="0"/>
    <s v=""/>
    <n v="0"/>
    <n v="0"/>
    <s v=""/>
    <s v=""/>
    <n v="0"/>
    <n v="0"/>
    <s v=""/>
    <s v=""/>
    <n v="0"/>
    <n v="0"/>
    <s v=""/>
    <s v="2. Sensitive"/>
    <s v="0. Unaware"/>
    <s v="1. Neutral"/>
    <s v="It did not develop any specific innovation"/>
    <s v="Little or no advocacy"/>
    <s v="It did not take tested solutions to scale"/>
  </r>
  <r>
    <x v="82"/>
    <x v="1"/>
    <m/>
    <s v="Integrated Recovery Program"/>
    <s v="Yemen"/>
    <s v="CGBRYE0024"/>
    <s v="CARE UK"/>
    <s v="Government"/>
    <s v="Government - UK"/>
    <s v="DFID"/>
    <m/>
    <m/>
    <m/>
    <m/>
    <m/>
    <m/>
    <m/>
    <m/>
    <m/>
    <m/>
    <m/>
    <m/>
    <m/>
    <m/>
    <m/>
    <m/>
    <m/>
    <m/>
    <m/>
    <m/>
    <m/>
    <m/>
    <m/>
    <m/>
    <m/>
    <m/>
    <m/>
    <m/>
    <m/>
    <m/>
    <m/>
    <m/>
    <m/>
    <m/>
    <m/>
    <m/>
    <m/>
    <m/>
    <m/>
    <m/>
    <m/>
    <m/>
    <m/>
    <m/>
    <m/>
    <d v="2013-09-01T00:00:00"/>
    <d v="2017-03-31T00:00:00"/>
    <m/>
    <s v="Humanitarian Other"/>
    <n v="27129675"/>
    <s v="Abdirahman Ali Aden"/>
    <s v="Consortium Coordinator"/>
    <s v="abdirahman.aden@care.org   "/>
    <m/>
    <m/>
    <m/>
    <s v="YES"/>
    <s v="NO"/>
    <s v="NO"/>
    <s v="The main goal of the project is to contribute to reducing morbidity and mortality and building the resilience of conflict affected populations. The expected outputs are 1) Target groups receive WASH support, contributing to improved nutritional status; 2) Target groups have improved productive livelihoods capacity and increased food access; 3) Target groups are equipped with resilience strategies and response plans to enable them to better cope with shocks and stresses; and 4) Targeted groups are provided with improve physical protection and communal infrastructure"/>
    <s v="National"/>
    <s v="The project was implemented in various districts of Hajjah, Hodeidah, Lahj, and Abyan Governorates, Yemen."/>
    <s v="The main impact groups are food insecured and vulnerable population living in the project operational areas."/>
    <n v="271345"/>
    <n v="282420"/>
    <n v="553765"/>
    <n v="342755"/>
    <n v="356745"/>
    <n v="699500"/>
    <s v="Direct participants are those individuals who received direct cash, WASH, and health assistance. It was estimated that 50% of people who are in need of WASH assistance will be indirectly benefited from the hygiene and sanitation awareness activities."/>
    <m/>
    <n v="204506"/>
    <n v="212853"/>
    <n v="417359"/>
    <n v="342755"/>
    <n v="356745"/>
    <n v="699500"/>
    <m/>
    <m/>
    <m/>
    <m/>
    <s v="YES"/>
    <n v="91698"/>
    <n v="0.49"/>
    <m/>
    <m/>
    <m/>
    <m/>
    <m/>
    <m/>
    <m/>
    <m/>
    <m/>
    <m/>
    <m/>
    <m/>
    <m/>
    <m/>
    <m/>
    <m/>
    <m/>
    <s v="YES"/>
    <n v="2648"/>
    <n v="0.49"/>
    <m/>
    <s v="Yes"/>
    <n v="37390"/>
    <n v="0.49"/>
    <m/>
    <m/>
    <m/>
    <m/>
    <m/>
    <m/>
    <m/>
    <m/>
    <m/>
    <m/>
    <m/>
    <m/>
    <m/>
    <s v="YES"/>
    <n v="285623"/>
    <n v="0.49"/>
    <m/>
    <m/>
    <m/>
    <m/>
    <m/>
    <m/>
    <m/>
    <m/>
    <m/>
    <m/>
    <m/>
    <m/>
    <m/>
    <m/>
    <m/>
    <m/>
    <m/>
    <m/>
    <m/>
    <m/>
    <m/>
    <m/>
    <m/>
    <m/>
    <m/>
    <m/>
    <m/>
    <m/>
    <m/>
    <m/>
    <m/>
    <m/>
    <m/>
    <m/>
    <m/>
    <m/>
    <m/>
    <m/>
    <m/>
    <m/>
    <m/>
    <m/>
    <m/>
    <m/>
    <m/>
    <m/>
    <m/>
    <m/>
    <m/>
    <m/>
    <m/>
    <m/>
    <m/>
    <m/>
    <m/>
    <m/>
    <m/>
    <m/>
    <m/>
    <m/>
    <m/>
    <m/>
    <m/>
    <m/>
    <m/>
    <m/>
    <m/>
    <m/>
    <m/>
    <m/>
    <m/>
    <m/>
    <m/>
    <m/>
    <m/>
    <m/>
    <m/>
    <m/>
    <m/>
    <m/>
    <m/>
    <s v="NO"/>
    <m/>
    <m/>
    <m/>
    <s v="NO"/>
    <m/>
    <m/>
    <m/>
    <x v="3"/>
    <m/>
    <m/>
    <m/>
    <m/>
    <m/>
    <m/>
    <m/>
    <m/>
    <m/>
    <x v="0"/>
    <m/>
    <x v="0"/>
    <m/>
    <x v="1"/>
    <x v="0"/>
    <s v="YES"/>
    <x v="0"/>
    <x v="0"/>
    <x v="0"/>
    <x v="0"/>
    <n v="4"/>
    <x v="3"/>
    <x v="2"/>
    <x v="1"/>
    <x v="1"/>
    <x v="2"/>
    <x v="3"/>
    <n v="2"/>
    <x v="1"/>
    <x v="1"/>
    <x v="1"/>
    <x v="1"/>
    <x v="1"/>
    <n v="3"/>
    <x v="2"/>
    <x v="0"/>
    <n v="3"/>
    <s v="International NGO(s)"/>
    <s v="Local NGO(s)/CSO(s)"/>
    <s v="Local government(s)"/>
    <x v="1"/>
    <m/>
    <s v="The project did not make any adjustment in the FY to its goals/activities in order to be more gender transformative"/>
    <m/>
    <m/>
    <m/>
    <m/>
    <m/>
    <m/>
    <m/>
    <m/>
    <n v="417359"/>
    <n v="699500"/>
    <n v="1.6760151332545843"/>
    <n v="0.49000021564168977"/>
    <n v="0.49"/>
    <n v="204506"/>
    <n v="342755"/>
    <n v="1"/>
    <n v="417359"/>
    <n v="699500"/>
    <n v="1.6760151332545843"/>
    <n v="1"/>
    <n v="37390"/>
    <n v="0"/>
    <n v="0"/>
    <s v=""/>
    <n v="0"/>
    <n v="0"/>
    <s v=""/>
    <s v=""/>
    <n v="0"/>
    <n v="0"/>
    <s v=""/>
    <s v=""/>
    <n v="0"/>
    <n v="0"/>
    <s v=""/>
    <s v="2. Sensitive"/>
    <s v="0. Unaware"/>
    <s v="2. Sensitive"/>
    <s v="It did not develop any specific innovation"/>
    <n v="0"/>
    <s v="It did not take tested solutions to scale"/>
  </r>
  <r>
    <x v="82"/>
    <x v="1"/>
    <m/>
    <s v="Integrated Response for Cholera Prevention and Mitigation"/>
    <s v="Yemen"/>
    <s v="CDEUYE0036"/>
    <s v="CARE Deutschland-Luxemburg"/>
    <s v="Multilateral agency"/>
    <s v="ECHO - European Commission for Humanitarian Aid and Civil Protection"/>
    <s v="ECHO"/>
    <m/>
    <m/>
    <m/>
    <m/>
    <m/>
    <m/>
    <m/>
    <m/>
    <m/>
    <m/>
    <m/>
    <m/>
    <m/>
    <m/>
    <m/>
    <m/>
    <m/>
    <m/>
    <m/>
    <m/>
    <m/>
    <m/>
    <m/>
    <m/>
    <m/>
    <m/>
    <m/>
    <m/>
    <m/>
    <m/>
    <m/>
    <m/>
    <m/>
    <m/>
    <m/>
    <m/>
    <m/>
    <m/>
    <m/>
    <m/>
    <m/>
    <m/>
    <m/>
    <m/>
    <m/>
    <d v="2016-01-01T00:00:00"/>
    <d v="2017-06-30T00:00:00"/>
    <m/>
    <s v="Humanitarian Other"/>
    <n v="550000"/>
    <s v="Iftikar Al-Sakaf"/>
    <s v="Area Manager South"/>
    <s v="iftekar.alsakaf@care.org"/>
    <m/>
    <m/>
    <m/>
    <s v="YES"/>
    <s v="NO"/>
    <s v="NO"/>
    <s v="The project focuses on  improvement of quality and quantity of water supply in affected locations, provision of basic hygiene supplies and Improvement of knowledge on hygiene and collective action to improve overall hygiene conditions of specific target areas."/>
    <s v="Sub-National"/>
    <s v="The project was implemented in Al-Boureiqa district of Aden Governorate, Yemen"/>
    <s v="The main impact groups are households who are at risk of Cholera/AWD."/>
    <n v="12005"/>
    <n v="12495"/>
    <n v="24500"/>
    <n v="17476"/>
    <n v="20290"/>
    <n v="37766"/>
    <s v="The direct participants are individuals (family members) who directly received safe water (through water trucking) and those who received WASH NFIs. The indirect beneficiaries are individuals who will get WASH messages from other members of the community as well as get assistance from the health facilities and schools supported by the project. It is expected that (apart from the direct project beneficiaries), 50% of the community members living in the project operational areas are indirectly reached."/>
    <m/>
    <n v="12493"/>
    <n v="12007"/>
    <n v="24500"/>
    <n v="17476"/>
    <n v="20290"/>
    <n v="37766"/>
    <s v="NO"/>
    <m/>
    <m/>
    <m/>
    <s v="NO"/>
    <m/>
    <m/>
    <m/>
    <s v="NO"/>
    <m/>
    <m/>
    <m/>
    <s v="NO"/>
    <m/>
    <m/>
    <m/>
    <s v="NO"/>
    <m/>
    <m/>
    <m/>
    <s v="NO"/>
    <m/>
    <m/>
    <m/>
    <s v="NO"/>
    <m/>
    <m/>
    <m/>
    <s v="NO"/>
    <m/>
    <m/>
    <m/>
    <s v="NO"/>
    <m/>
    <m/>
    <m/>
    <s v="NO"/>
    <m/>
    <m/>
    <m/>
    <s v="NO"/>
    <m/>
    <m/>
    <m/>
    <s v="YES"/>
    <n v="24500"/>
    <n v="0.51"/>
    <n v="37766"/>
    <m/>
    <m/>
    <m/>
    <m/>
    <m/>
    <m/>
    <m/>
    <m/>
    <m/>
    <m/>
    <m/>
    <m/>
    <m/>
    <m/>
    <m/>
    <m/>
    <m/>
    <m/>
    <m/>
    <m/>
    <m/>
    <m/>
    <m/>
    <m/>
    <m/>
    <m/>
    <m/>
    <m/>
    <m/>
    <m/>
    <m/>
    <m/>
    <m/>
    <m/>
    <m/>
    <m/>
    <m/>
    <m/>
    <m/>
    <m/>
    <m/>
    <m/>
    <m/>
    <m/>
    <m/>
    <m/>
    <m/>
    <m/>
    <m/>
    <m/>
    <m/>
    <m/>
    <m/>
    <m/>
    <m/>
    <m/>
    <m/>
    <m/>
    <m/>
    <m/>
    <m/>
    <m/>
    <m/>
    <m/>
    <m/>
    <m/>
    <m/>
    <m/>
    <m/>
    <m/>
    <m/>
    <m/>
    <m/>
    <m/>
    <m/>
    <m/>
    <m/>
    <m/>
    <m/>
    <m/>
    <s v="NO"/>
    <m/>
    <m/>
    <s v="NO"/>
    <s v="NO"/>
    <m/>
    <m/>
    <m/>
    <x v="0"/>
    <m/>
    <m/>
    <m/>
    <m/>
    <m/>
    <m/>
    <m/>
    <m/>
    <m/>
    <x v="0"/>
    <m/>
    <x v="0"/>
    <m/>
    <x v="1"/>
    <x v="0"/>
    <s v="YES"/>
    <x v="0"/>
    <x v="0"/>
    <x v="0"/>
    <x v="0"/>
    <n v="4"/>
    <x v="3"/>
    <x v="1"/>
    <x v="1"/>
    <x v="2"/>
    <x v="2"/>
    <x v="3"/>
    <n v="2"/>
    <x v="1"/>
    <x v="1"/>
    <x v="1"/>
    <x v="2"/>
    <x v="3"/>
    <n v="2"/>
    <x v="2"/>
    <x v="1"/>
    <m/>
    <m/>
    <m/>
    <m/>
    <x v="1"/>
    <m/>
    <s v="The project did not make any adjustment in the FY to its goals/activities in order to be more gender transformative"/>
    <m/>
    <m/>
    <m/>
    <s v="The project has been closely coordinating with the relevant government agencies who are working on the Cholera response and this enabled to avoid duplication and give the right support to the health facilities. The health office was also took an active role in training of community volunteers in Cholera/AWD prevention, which needs to be replicated in the future."/>
    <s v="More emphasis should be given to 'prevention' so as to timely curb the negative impacts of the Cholera outbreak."/>
    <s v="Having a gender balanced hygiene promotion team is of paramount importance to reach the various segments of the community."/>
    <m/>
    <m/>
    <n v="24500"/>
    <n v="37766"/>
    <n v="1.541469387755102"/>
    <n v="0.50991836734693874"/>
    <n v="0.46274426733040303"/>
    <n v="12493"/>
    <n v="17476"/>
    <n v="1"/>
    <n v="24500"/>
    <n v="37766"/>
    <n v="1.541469387755102"/>
    <s v=""/>
    <n v="0"/>
    <n v="0"/>
    <s v=""/>
    <s v=""/>
    <n v="0"/>
    <n v="0"/>
    <s v=""/>
    <s v=""/>
    <n v="0"/>
    <n v="0"/>
    <s v=""/>
    <s v=""/>
    <n v="0"/>
    <n v="0"/>
    <s v=""/>
    <s v="2. Sensitive"/>
    <s v="0. Unaware"/>
    <s v="1. Neutral"/>
    <s v="It did not develop any specific innovation"/>
    <s v="Little or no advocacy"/>
    <s v="It did not take tested solutions to scale"/>
  </r>
  <r>
    <x v="82"/>
    <x v="1"/>
    <m/>
    <s v="Yemen Crisis Appeal - Rehabilitation of Water Schemes in Abyan and Amran through Cash for Work"/>
    <s v="Yemen"/>
    <s v="CGBRYE0040 - CO"/>
    <s v="CARE UK"/>
    <s v="Government"/>
    <s v="Other"/>
    <s v="Disaster Emergency Committee (DEC)"/>
    <m/>
    <m/>
    <m/>
    <m/>
    <m/>
    <m/>
    <m/>
    <m/>
    <m/>
    <m/>
    <m/>
    <m/>
    <m/>
    <m/>
    <m/>
    <m/>
    <m/>
    <m/>
    <m/>
    <m/>
    <m/>
    <m/>
    <m/>
    <m/>
    <m/>
    <m/>
    <m/>
    <m/>
    <m/>
    <m/>
    <m/>
    <m/>
    <m/>
    <m/>
    <m/>
    <m/>
    <m/>
    <m/>
    <m/>
    <m/>
    <m/>
    <m/>
    <m/>
    <m/>
    <m/>
    <d v="2016-12-12T00:00:00"/>
    <d v="2017-06-30T00:00:00"/>
    <m/>
    <s v="Humanitarian Other"/>
    <n v="474130"/>
    <s v="Essam Mohammed"/>
    <s v="Senior Area Manager"/>
    <s v="essam.mohammed@care.org"/>
    <m/>
    <m/>
    <m/>
    <s v="YES"/>
    <s v="NO"/>
    <s v="NO"/>
    <s v="The goal of the project is to increase households' income to meet their basic and immediate needs. The project also aims  to increase access to safe-drinking water."/>
    <s v="Sub-National"/>
    <s v="The project was implemented in two districts of Amran and Abyan Governorates, Yemen"/>
    <s v="The main impact groups are food insecured and vulnerable population living in the project operational areas."/>
    <n v="5145"/>
    <n v="5355"/>
    <n v="10500"/>
    <m/>
    <m/>
    <m/>
    <s v="The direct participants are individuals (family members) who directly received cash assistance from the project and also individuals who are benefited from the rehabilitation of water schemes.No indirect beneficiaries are anticipated under this project."/>
    <m/>
    <n v="8250"/>
    <n v="9551"/>
    <n v="17801"/>
    <m/>
    <m/>
    <m/>
    <s v="NO"/>
    <m/>
    <m/>
    <m/>
    <s v="YES"/>
    <n v="2742"/>
    <n v="0.45600000000000002"/>
    <m/>
    <s v="NO"/>
    <m/>
    <m/>
    <m/>
    <s v="NO"/>
    <m/>
    <m/>
    <m/>
    <s v="NO"/>
    <m/>
    <m/>
    <m/>
    <s v="NO"/>
    <m/>
    <m/>
    <m/>
    <s v="NO"/>
    <m/>
    <m/>
    <m/>
    <s v="NO"/>
    <m/>
    <m/>
    <m/>
    <s v="NO"/>
    <m/>
    <m/>
    <m/>
    <s v="NO"/>
    <m/>
    <m/>
    <m/>
    <s v="NO"/>
    <m/>
    <m/>
    <m/>
    <s v="YES"/>
    <n v="17801"/>
    <n v="0.46300000000000002"/>
    <m/>
    <m/>
    <m/>
    <m/>
    <m/>
    <m/>
    <m/>
    <m/>
    <m/>
    <m/>
    <m/>
    <m/>
    <m/>
    <m/>
    <m/>
    <m/>
    <m/>
    <m/>
    <m/>
    <m/>
    <m/>
    <m/>
    <m/>
    <m/>
    <m/>
    <m/>
    <m/>
    <m/>
    <m/>
    <m/>
    <m/>
    <m/>
    <m/>
    <m/>
    <m/>
    <m/>
    <m/>
    <m/>
    <m/>
    <m/>
    <m/>
    <m/>
    <m/>
    <m/>
    <m/>
    <m/>
    <m/>
    <m/>
    <m/>
    <m/>
    <m/>
    <m/>
    <m/>
    <m/>
    <m/>
    <m/>
    <m/>
    <m/>
    <m/>
    <m/>
    <m/>
    <m/>
    <m/>
    <m/>
    <m/>
    <m/>
    <m/>
    <m/>
    <m/>
    <m/>
    <m/>
    <m/>
    <m/>
    <m/>
    <m/>
    <m/>
    <m/>
    <m/>
    <m/>
    <m/>
    <m/>
    <s v="NO"/>
    <m/>
    <m/>
    <m/>
    <s v="YES"/>
    <s v="December"/>
    <n v="2017"/>
    <m/>
    <x v="0"/>
    <m/>
    <m/>
    <m/>
    <m/>
    <m/>
    <m/>
    <m/>
    <m/>
    <m/>
    <x v="0"/>
    <m/>
    <x v="0"/>
    <m/>
    <x v="1"/>
    <x v="0"/>
    <s v="YES"/>
    <x v="0"/>
    <x v="0"/>
    <x v="0"/>
    <x v="0"/>
    <n v="4"/>
    <x v="3"/>
    <x v="2"/>
    <x v="1"/>
    <x v="2"/>
    <x v="2"/>
    <x v="3"/>
    <n v="1"/>
    <x v="1"/>
    <x v="1"/>
    <x v="1"/>
    <x v="2"/>
    <x v="3"/>
    <n v="2"/>
    <x v="2"/>
    <x v="1"/>
    <m/>
    <m/>
    <m/>
    <m/>
    <x v="1"/>
    <m/>
    <s v="The project did not make any adjustment in the FY to its goals/activities in order to be more gender transformative"/>
    <m/>
    <m/>
    <m/>
    <m/>
    <m/>
    <m/>
    <m/>
    <m/>
    <n v="17801"/>
    <n v="0"/>
    <n v="0"/>
    <n v="0.46345710915117128"/>
    <s v=""/>
    <n v="8250"/>
    <n v="0"/>
    <n v="1"/>
    <n v="17801"/>
    <n v="0"/>
    <n v="0"/>
    <s v=""/>
    <n v="0"/>
    <n v="0"/>
    <s v=""/>
    <s v=""/>
    <n v="0"/>
    <n v="0"/>
    <s v=""/>
    <s v=""/>
    <n v="0"/>
    <n v="0"/>
    <s v=""/>
    <s v=""/>
    <n v="0"/>
    <n v="0"/>
    <s v=""/>
    <s v="2. Sensitive"/>
    <s v="0. Unaware"/>
    <s v="1. Neutral"/>
    <s v="It did not develop any specific innovation"/>
    <s v="Little or no advocacy"/>
    <s v="It did not take tested solutions to scale"/>
  </r>
  <r>
    <x v="82"/>
    <x v="1"/>
    <m/>
    <s v="Yemen Emergency Food Assistance (YEFA)"/>
    <s v="Yemen"/>
    <s v="MCORYE0002"/>
    <s v="CARE USA"/>
    <s v="Government"/>
    <s v="Government - US"/>
    <s v="USAID"/>
    <m/>
    <m/>
    <m/>
    <m/>
    <m/>
    <m/>
    <m/>
    <m/>
    <m/>
    <m/>
    <m/>
    <m/>
    <m/>
    <m/>
    <m/>
    <m/>
    <m/>
    <m/>
    <m/>
    <m/>
    <m/>
    <m/>
    <m/>
    <m/>
    <m/>
    <m/>
    <m/>
    <m/>
    <m/>
    <m/>
    <m/>
    <m/>
    <m/>
    <m/>
    <m/>
    <m/>
    <m/>
    <m/>
    <m/>
    <m/>
    <m/>
    <m/>
    <m/>
    <m/>
    <m/>
    <d v="2016-07-17T00:00:00"/>
    <d v="2017-06-16T00:00:00"/>
    <d v="2017-08-31T00:00:00"/>
    <s v="Humanitarian Other"/>
    <n v="2000000"/>
    <s v="Essam Mohammed"/>
    <s v="Senior Area Manager"/>
    <s v="essam.mohammed@care.org"/>
    <m/>
    <m/>
    <m/>
    <s v="YES"/>
    <s v="NO"/>
    <s v="NO"/>
    <s v="The project goal is to reduce food insecurity and promote recovery and resilience of vulnerable displaced and conflict-affected households in Yemen."/>
    <s v="Sub-National"/>
    <s v="The project was implemented in Al-Maqatirah and Al-Madaribah districsr of Lahj Governorate,Yemen"/>
    <s v="The main impact groups are food insecured and vulnerable population living in the project operational areas."/>
    <n v="6174"/>
    <n v="6426"/>
    <n v="12600"/>
    <n v="3601"/>
    <n v="3748"/>
    <n v="7349"/>
    <s v="The direct participants are individuals (family members) who directly received food voucher from the project.  The indirect beneficiaries are households who are benefited from the construction/rehabilitation of communal assets theough the cash-for-work scheme. It is estimated that all of the people in the targeted districts have either directly or indirectly  indirectly benefited from the project."/>
    <m/>
    <n v="5571"/>
    <n v="5614"/>
    <n v="11185"/>
    <n v="3601"/>
    <n v="3748"/>
    <n v="7349"/>
    <s v="NO"/>
    <m/>
    <m/>
    <m/>
    <s v="YES"/>
    <n v="11185"/>
    <n v="0.498"/>
    <n v="7349"/>
    <s v="NO"/>
    <m/>
    <m/>
    <m/>
    <s v="YES"/>
    <n v="11185"/>
    <n v="0.498"/>
    <n v="7349"/>
    <s v="NO"/>
    <m/>
    <m/>
    <m/>
    <s v="NO"/>
    <m/>
    <m/>
    <m/>
    <s v="NO"/>
    <m/>
    <m/>
    <m/>
    <s v="NO"/>
    <m/>
    <m/>
    <m/>
    <s v="NO"/>
    <m/>
    <m/>
    <m/>
    <s v="NO"/>
    <m/>
    <m/>
    <m/>
    <s v="NO"/>
    <m/>
    <m/>
    <m/>
    <s v="NO"/>
    <m/>
    <m/>
    <m/>
    <m/>
    <m/>
    <m/>
    <m/>
    <m/>
    <m/>
    <m/>
    <m/>
    <m/>
    <m/>
    <m/>
    <m/>
    <m/>
    <m/>
    <m/>
    <m/>
    <m/>
    <m/>
    <m/>
    <m/>
    <m/>
    <m/>
    <m/>
    <m/>
    <m/>
    <m/>
    <m/>
    <m/>
    <m/>
    <m/>
    <m/>
    <m/>
    <m/>
    <m/>
    <m/>
    <m/>
    <m/>
    <m/>
    <m/>
    <m/>
    <m/>
    <m/>
    <m/>
    <m/>
    <m/>
    <m/>
    <m/>
    <m/>
    <m/>
    <m/>
    <m/>
    <m/>
    <m/>
    <m/>
    <m/>
    <m/>
    <m/>
    <m/>
    <m/>
    <m/>
    <m/>
    <m/>
    <m/>
    <m/>
    <m/>
    <m/>
    <m/>
    <m/>
    <m/>
    <m/>
    <m/>
    <m/>
    <m/>
    <m/>
    <m/>
    <m/>
    <m/>
    <m/>
    <m/>
    <m/>
    <s v="YES"/>
    <s v="November"/>
    <n v="2016"/>
    <s v="YES"/>
    <s v="YES"/>
    <s v="October"/>
    <n v="2017"/>
    <s v="The project will conduct an end-line survey to measure the changes at the outcome level and compare the findings with the results of the baseline survey. Similar sampling methodologies and data collection methods will be used."/>
    <x v="0"/>
    <m/>
    <m/>
    <m/>
    <m/>
    <m/>
    <m/>
    <m/>
    <m/>
    <m/>
    <x v="0"/>
    <m/>
    <x v="0"/>
    <m/>
    <x v="1"/>
    <x v="0"/>
    <s v="YES"/>
    <x v="0"/>
    <x v="0"/>
    <x v="0"/>
    <x v="0"/>
    <n v="4"/>
    <x v="3"/>
    <x v="1"/>
    <x v="1"/>
    <x v="2"/>
    <x v="2"/>
    <x v="3"/>
    <n v="2"/>
    <x v="1"/>
    <x v="1"/>
    <x v="1"/>
    <x v="2"/>
    <x v="3"/>
    <n v="2"/>
    <x v="2"/>
    <x v="1"/>
    <m/>
    <m/>
    <m/>
    <m/>
    <x v="1"/>
    <m/>
    <s v="The project did not make any adjustment in the FY to its goals/activities in order to be more gender transformative"/>
    <m/>
    <m/>
    <m/>
    <s v="The project has exerted significant time on community mobilization phase, which ensure high participation of the community and better targeting of beneficiaries."/>
    <s v="The voucher system stimulates the local market"/>
    <s v="The mini-KAP survey, which is being conducted regularly, helped to measure the impact of  the project on the awareness of the community on key hygiene and sanitation practice."/>
    <m/>
    <m/>
    <n v="11185"/>
    <n v="7349"/>
    <n v="0.6570406794814484"/>
    <n v="0.49807778274474745"/>
    <n v="0.48999863927064907"/>
    <n v="5571"/>
    <n v="3601"/>
    <n v="1"/>
    <n v="11185"/>
    <n v="7349"/>
    <n v="0.6570406794814484"/>
    <n v="1"/>
    <n v="11185"/>
    <n v="7349"/>
    <n v="0.6570406794814484"/>
    <s v=""/>
    <n v="0"/>
    <n v="0"/>
    <s v=""/>
    <s v=""/>
    <n v="0"/>
    <n v="0"/>
    <s v=""/>
    <s v=""/>
    <n v="0"/>
    <n v="0"/>
    <s v=""/>
    <s v="2. Sensitive"/>
    <s v="0. Unaware"/>
    <s v="1. Neutral"/>
    <s v="It did not develop any specific innovation"/>
    <s v="Little or no advocacy"/>
    <s v="It did not take tested solutions to scale"/>
  </r>
  <r>
    <x v="83"/>
    <x v="5"/>
    <m/>
    <s v="Amway Nutrilite Little Bits"/>
    <s v="Zambia"/>
    <m/>
    <s v="CARE USA"/>
    <s v="Corporation"/>
    <s v="Other"/>
    <s v="Alticor, Inc."/>
    <m/>
    <m/>
    <m/>
    <m/>
    <m/>
    <m/>
    <m/>
    <m/>
    <m/>
    <m/>
    <m/>
    <m/>
    <m/>
    <m/>
    <m/>
    <m/>
    <m/>
    <m/>
    <m/>
    <m/>
    <m/>
    <m/>
    <m/>
    <m/>
    <m/>
    <m/>
    <m/>
    <m/>
    <m/>
    <m/>
    <m/>
    <m/>
    <m/>
    <m/>
    <m/>
    <m/>
    <m/>
    <m/>
    <m/>
    <m/>
    <m/>
    <m/>
    <m/>
    <m/>
    <m/>
    <d v="2014-08-08T00:00:00"/>
    <d v="2016-12-31T00:00:00"/>
    <d v="2017-12-31T00:00:00"/>
    <s v="Development Food &amp; Nutrition Security and Resilience to Climate Change"/>
    <n v="1127356"/>
    <s v="Rebecca Feinberg"/>
    <s v="Director of Development"/>
    <s v="rebecca.feinberg@care.org"/>
    <s v="Aliya Firozvi"/>
    <s v="Project Manager, Nutrilite Little Bits"/>
    <s v="afirozvi@care.org"/>
    <s v="NO"/>
    <s v="YES"/>
    <s v="NO"/>
    <s v="CARE and Amway have embarked on a strategic partnership based on the shared goals of helping people live better lives and finding sustainable solutions to hunger and malnutrition. The partnership strives to expand the use of Amways Nutrilite Little Bits (NLB) micronutrient product in robust infant and young child feeding (IYCF) programs."/>
    <s v="Multiple countries"/>
    <s v="Regions within several countries."/>
    <s v="The main impact group is children 0-5 years old, and young school-aged children above 5 years old."/>
    <m/>
    <m/>
    <n v="425"/>
    <m/>
    <m/>
    <m/>
    <m/>
    <m/>
    <m/>
    <m/>
    <m/>
    <m/>
    <m/>
    <m/>
    <m/>
    <m/>
    <m/>
    <m/>
    <m/>
    <m/>
    <m/>
    <m/>
    <m/>
    <m/>
    <m/>
    <m/>
    <m/>
    <m/>
    <m/>
    <m/>
    <m/>
    <m/>
    <m/>
    <m/>
    <m/>
    <m/>
    <m/>
    <m/>
    <m/>
    <m/>
    <m/>
    <m/>
    <m/>
    <m/>
    <m/>
    <m/>
    <m/>
    <m/>
    <m/>
    <m/>
    <m/>
    <m/>
    <m/>
    <m/>
    <m/>
    <m/>
    <m/>
    <m/>
    <m/>
    <m/>
    <m/>
    <m/>
    <m/>
    <m/>
    <m/>
    <m/>
    <m/>
    <m/>
    <m/>
    <m/>
    <m/>
    <m/>
    <m/>
    <s v="NO"/>
    <m/>
    <m/>
    <m/>
    <s v="NO"/>
    <m/>
    <m/>
    <m/>
    <s v="NO"/>
    <m/>
    <m/>
    <m/>
    <s v="NO"/>
    <m/>
    <m/>
    <m/>
    <s v="NO"/>
    <m/>
    <m/>
    <m/>
    <s v="NO"/>
    <m/>
    <m/>
    <m/>
    <s v="YES"/>
    <n v="425"/>
    <m/>
    <m/>
    <s v="NO"/>
    <m/>
    <m/>
    <m/>
    <s v="NO"/>
    <m/>
    <m/>
    <m/>
    <s v="NO"/>
    <m/>
    <m/>
    <m/>
    <s v="NO"/>
    <m/>
    <m/>
    <m/>
    <s v="NO"/>
    <m/>
    <m/>
    <m/>
    <s v="NO"/>
    <m/>
    <m/>
    <m/>
    <s v="NO"/>
    <m/>
    <m/>
    <m/>
    <s v="NO"/>
    <m/>
    <m/>
    <m/>
    <s v="NO"/>
    <m/>
    <m/>
    <m/>
    <m/>
    <s v="NO"/>
    <m/>
    <m/>
    <m/>
    <m/>
    <m/>
    <m/>
    <m/>
    <m/>
    <m/>
    <m/>
    <m/>
    <x v="3"/>
    <m/>
    <m/>
    <m/>
    <m/>
    <m/>
    <m/>
    <m/>
    <m/>
    <m/>
    <x v="3"/>
    <m/>
    <x v="2"/>
    <m/>
    <x v="3"/>
    <x v="2"/>
    <m/>
    <x v="2"/>
    <x v="2"/>
    <x v="2"/>
    <x v="3"/>
    <n v="0"/>
    <x v="0"/>
    <x v="0"/>
    <x v="0"/>
    <x v="0"/>
    <x v="0"/>
    <x v="0"/>
    <n v="0"/>
    <x v="0"/>
    <x v="0"/>
    <x v="0"/>
    <x v="0"/>
    <x v="0"/>
    <n v="0"/>
    <x v="1"/>
    <x v="4"/>
    <m/>
    <m/>
    <m/>
    <m/>
    <x v="3"/>
    <m/>
    <m/>
    <m/>
    <m/>
    <m/>
    <m/>
    <m/>
    <m/>
    <m/>
    <m/>
    <n v="0"/>
    <n v="0"/>
    <s v=""/>
    <s v=""/>
    <s v=""/>
    <n v="0"/>
    <n v="0"/>
    <s v=""/>
    <n v="0"/>
    <n v="0"/>
    <s v=""/>
    <n v="1"/>
    <n v="425"/>
    <n v="0"/>
    <n v="0"/>
    <s v=""/>
    <n v="0"/>
    <n v="0"/>
    <s v=""/>
    <s v=""/>
    <n v="0"/>
    <n v="0"/>
    <s v=""/>
    <s v=""/>
    <n v="0"/>
    <n v="0"/>
    <s v=""/>
    <s v="No marker score"/>
    <s v="No marker score"/>
    <s v="No marker score"/>
    <n v="0"/>
    <n v="0"/>
    <n v="0"/>
  </r>
  <r>
    <x v="83"/>
    <x v="5"/>
    <m/>
    <s v="FOOD AND NUTRITION SECURITY AND ENHANCED RESILIENCE (FANSER)"/>
    <s v="Zambia"/>
    <s v="ZMB 120, ZM 447"/>
    <s v="CARE Deutschland-Luxemburg"/>
    <s v="Government"/>
    <s v="Government - Germany"/>
    <s v="GIZ"/>
    <m/>
    <m/>
    <m/>
    <m/>
    <m/>
    <m/>
    <m/>
    <m/>
    <m/>
    <m/>
    <m/>
    <m/>
    <m/>
    <m/>
    <m/>
    <m/>
    <m/>
    <m/>
    <m/>
    <m/>
    <m/>
    <m/>
    <m/>
    <m/>
    <m/>
    <m/>
    <m/>
    <m/>
    <m/>
    <m/>
    <m/>
    <m/>
    <m/>
    <m/>
    <m/>
    <m/>
    <m/>
    <m/>
    <m/>
    <m/>
    <m/>
    <m/>
    <m/>
    <m/>
    <m/>
    <d v="2016-02-01T00:00:00"/>
    <m/>
    <m/>
    <s v="Humanitarian Food &amp; Nutrition Security and Resilience to Climate Change"/>
    <n v="500000"/>
    <s v="Oliver Wakelin"/>
    <s v="Assistant Country Director"/>
    <s v="WakelinO@carezam.org"/>
    <s v="Levyson Banda"/>
    <s v="Project Manager"/>
    <s v="BandaL@carezam.org"/>
    <s v="YES"/>
    <s v="YES"/>
    <s v="YES"/>
    <s v="The food and nutrition situation of insecure people, particularly women of reproductive age and young children, in Katete district has improved."/>
    <s v="Sub-National"/>
    <s v="Katete District, Eastern Province of Zambia"/>
    <s v="Pregnant women, Lactating women, Children under the age of two and Adolecent girls"/>
    <n v="2758"/>
    <n v="0"/>
    <n v="2758"/>
    <n v="7033"/>
    <n v="6757"/>
    <n v="13790"/>
    <s v="The direct participants for this project are all pregnant and lactating mothers and adolesecent girls in all the 2,758 targeted households. On the other hand, indirect participants are all other household members from the 2,758 households supported by the project. The number of direct participants is calculated based on the actual number of beneficiaries supported by the project as per records in the project database. While the number of indirect participants is calculated using the total number of households covered by the project multiplied by 6, which is the average number of people per household. The total fingure is then reduced by the total number of direct participants.  "/>
    <m/>
    <m/>
    <m/>
    <m/>
    <m/>
    <m/>
    <m/>
    <m/>
    <m/>
    <m/>
    <m/>
    <m/>
    <m/>
    <m/>
    <m/>
    <m/>
    <m/>
    <m/>
    <m/>
    <s v="YES"/>
    <n v="2758"/>
    <n v="1"/>
    <n v="13790"/>
    <m/>
    <m/>
    <m/>
    <m/>
    <m/>
    <m/>
    <m/>
    <m/>
    <m/>
    <m/>
    <m/>
    <m/>
    <m/>
    <m/>
    <m/>
    <m/>
    <m/>
    <m/>
    <m/>
    <m/>
    <m/>
    <m/>
    <m/>
    <m/>
    <m/>
    <m/>
    <m/>
    <m/>
    <m/>
    <m/>
    <m/>
    <m/>
    <m/>
    <m/>
    <m/>
    <m/>
    <m/>
    <n v="1589"/>
    <n v="1169"/>
    <n v="2758"/>
    <n v="7033"/>
    <n v="6757"/>
    <n v="13790"/>
    <s v="YES"/>
    <n v="2758"/>
    <n v="0.92"/>
    <n v="11679"/>
    <m/>
    <m/>
    <m/>
    <m/>
    <m/>
    <m/>
    <m/>
    <m/>
    <m/>
    <m/>
    <m/>
    <m/>
    <m/>
    <m/>
    <m/>
    <m/>
    <m/>
    <m/>
    <m/>
    <m/>
    <s v="YES"/>
    <n v="2758"/>
    <n v="0.92"/>
    <n v="11679"/>
    <m/>
    <m/>
    <m/>
    <m/>
    <m/>
    <m/>
    <m/>
    <m/>
    <m/>
    <m/>
    <m/>
    <m/>
    <m/>
    <m/>
    <m/>
    <m/>
    <m/>
    <m/>
    <m/>
    <m/>
    <m/>
    <m/>
    <m/>
    <m/>
    <m/>
    <m/>
    <m/>
    <m/>
    <s v="YES"/>
    <n v="2450"/>
    <n v="0.89"/>
    <n v="11515"/>
    <m/>
    <m/>
    <m/>
    <m/>
    <m/>
    <m/>
    <m/>
    <m/>
    <m/>
    <s v="NO"/>
    <m/>
    <m/>
    <m/>
    <s v="NO"/>
    <m/>
    <m/>
    <s v="A cross-sectional end of project study will be conducted in March, 2017"/>
    <x v="0"/>
    <m/>
    <m/>
    <m/>
    <m/>
    <m/>
    <m/>
    <m/>
    <m/>
    <m/>
    <x v="1"/>
    <s v="Use of simple and low cost technologies/equipment (solar dryers and treadle pumps) for food processing and preservation and crop irrigation.  "/>
    <x v="0"/>
    <m/>
    <x v="0"/>
    <x v="0"/>
    <s v="NO"/>
    <x v="0"/>
    <x v="1"/>
    <x v="0"/>
    <x v="1"/>
    <n v="2"/>
    <x v="1"/>
    <x v="1"/>
    <x v="2"/>
    <x v="1"/>
    <x v="2"/>
    <x v="4"/>
    <n v="2"/>
    <x v="1"/>
    <x v="1"/>
    <x v="1"/>
    <x v="2"/>
    <x v="3"/>
    <n v="2"/>
    <x v="2"/>
    <x v="2"/>
    <n v="6"/>
    <s v="Local government(s)"/>
    <s v="Grassroots organization(s)"/>
    <s v="Local alliance(s)/Platform(s)/Network(s) of  NGOs/CSOs"/>
    <x v="1"/>
    <m/>
    <s v="The criteria for targeting project participants/beneficiaries was adjusted to include adolescent girls as part of the direct beneficiaries besides pregnant and lactating mothers."/>
    <s v="Male involvement in the implementation of project activities. As the main participants for the project are women, the project has made a deliberate plan to encourage the women to bring their husbands for project activities such as training."/>
    <s v="Implementation of sectoral activities through an integrated approach i.e. activities that related but falling under different sectors are jointly implemented by the concerned sectors/ministries.  "/>
    <m/>
    <s v="Success and long term sustainability of project interventions depends on institutional strengthening i.e. building capacity of existing government systems and structures."/>
    <m/>
    <m/>
    <m/>
    <m/>
    <n v="2758"/>
    <n v="13790"/>
    <n v="5"/>
    <n v="0.57614213197969544"/>
    <n v="0.51000725163161709"/>
    <n v="1589"/>
    <n v="7033"/>
    <n v="1"/>
    <n v="0"/>
    <n v="0"/>
    <s v=""/>
    <n v="1"/>
    <n v="2758"/>
    <n v="13790"/>
    <n v="5"/>
    <s v=""/>
    <n v="0"/>
    <n v="0"/>
    <s v=""/>
    <s v=""/>
    <n v="0"/>
    <n v="0"/>
    <s v=""/>
    <s v=""/>
    <n v="0"/>
    <n v="0"/>
    <s v=""/>
    <s v="1. Neutral"/>
    <s v="1. Tokenistic"/>
    <s v="1. Neutral"/>
    <s v="It tested new ways for fighting poverty, but did not measure results of innovation"/>
    <s v="Little or no advocacy"/>
    <s v="It did not take tested solutions to scale"/>
  </r>
  <r>
    <x v="83"/>
    <x v="5"/>
    <m/>
    <s v="Lendwithcare"/>
    <s v="Zambia"/>
    <s v="UNRTGB0076"/>
    <s v="CARE UK"/>
    <s v="Individual supporter"/>
    <s v="Other"/>
    <m/>
    <s v="UNRTGB0076"/>
    <s v="CARE UK"/>
    <s v="Foundation"/>
    <s v="Other"/>
    <s v="The Jimmy Choo Foundation"/>
    <m/>
    <m/>
    <m/>
    <m/>
    <m/>
    <m/>
    <m/>
    <m/>
    <m/>
    <m/>
    <m/>
    <m/>
    <m/>
    <m/>
    <m/>
    <m/>
    <m/>
    <m/>
    <m/>
    <m/>
    <m/>
    <m/>
    <m/>
    <m/>
    <m/>
    <m/>
    <m/>
    <m/>
    <m/>
    <m/>
    <m/>
    <m/>
    <m/>
    <m/>
    <m/>
    <m/>
    <m/>
    <m/>
    <m/>
    <m/>
    <d v="2016-07-01T00:00:00"/>
    <d v="2017-06-30T00:00:00"/>
    <m/>
    <s v="Development Access to and Control over Economic Resources"/>
    <n v="647296"/>
    <s v="Tracey Horner"/>
    <s v="Head of Lendwithcare"/>
    <s v="horner@careinternational.org"/>
    <m/>
    <m/>
    <m/>
    <s v="NO"/>
    <s v="YES"/>
    <s v="NO"/>
    <s v="Provide loan capital to poor and low-income individuals, exclusively groups of women, who want to start or expand a small business."/>
    <s v="Sub-National"/>
    <s v="Chipata, Lundazi, Petauke, Nyimba and Katete in Eastern Province and Mazabuka, Monze, Choma, Kalomo and Kafue in Southern Province."/>
    <s v="Women with existing income-generating activities who are excluded from the formal financial sector. The main impact groups are individuals engaged in small-scale farming, animal husbandry and petty trading."/>
    <n v="3859"/>
    <n v="0"/>
    <n v="3859"/>
    <n v="3826"/>
    <n v="3827"/>
    <n v="7653"/>
    <s v="Direct participants are those who received a loan to invest in their business from Lendwithcare lenders in FY17. Indirect participants have been calculated by adding up all of the dependents of the entrepreneurs who received a loan in FY17 and the people who have been employed in their businesses. We are not able to disaggregate the data for indirect participants by female and male, so I have used the ratio of 50:50 that is in the CIA World Factbook for Zambia https://www.cia.gov/library/publications/the-world-factbook/geos/za.html. This is an on-going project so I have given the numbers of participants just in this FY as there is no end date to the project."/>
    <m/>
    <m/>
    <m/>
    <m/>
    <m/>
    <m/>
    <m/>
    <m/>
    <m/>
    <m/>
    <m/>
    <m/>
    <m/>
    <m/>
    <m/>
    <m/>
    <m/>
    <m/>
    <m/>
    <m/>
    <m/>
    <m/>
    <m/>
    <m/>
    <m/>
    <m/>
    <m/>
    <m/>
    <m/>
    <m/>
    <m/>
    <m/>
    <m/>
    <m/>
    <m/>
    <m/>
    <m/>
    <m/>
    <m/>
    <m/>
    <m/>
    <m/>
    <m/>
    <m/>
    <m/>
    <m/>
    <m/>
    <m/>
    <m/>
    <m/>
    <m/>
    <m/>
    <m/>
    <m/>
    <m/>
    <m/>
    <m/>
    <m/>
    <m/>
    <m/>
    <n v="3859"/>
    <n v="0"/>
    <n v="3859"/>
    <n v="3826"/>
    <n v="3827"/>
    <n v="7653"/>
    <m/>
    <m/>
    <m/>
    <m/>
    <m/>
    <m/>
    <m/>
    <m/>
    <m/>
    <m/>
    <m/>
    <m/>
    <m/>
    <m/>
    <m/>
    <m/>
    <m/>
    <m/>
    <m/>
    <m/>
    <m/>
    <m/>
    <m/>
    <m/>
    <m/>
    <m/>
    <m/>
    <m/>
    <m/>
    <m/>
    <m/>
    <m/>
    <m/>
    <m/>
    <m/>
    <m/>
    <m/>
    <m/>
    <m/>
    <m/>
    <m/>
    <m/>
    <m/>
    <m/>
    <m/>
    <m/>
    <m/>
    <m/>
    <m/>
    <m/>
    <m/>
    <m/>
    <m/>
    <m/>
    <m/>
    <m/>
    <m/>
    <m/>
    <m/>
    <m/>
    <s v="YES"/>
    <n v="3859"/>
    <n v="1"/>
    <n v="7653"/>
    <m/>
    <m/>
    <m/>
    <m/>
    <m/>
    <s v="NO"/>
    <m/>
    <m/>
    <m/>
    <s v="NO"/>
    <m/>
    <m/>
    <m/>
    <x v="0"/>
    <m/>
    <m/>
    <m/>
    <m/>
    <m/>
    <m/>
    <m/>
    <m/>
    <m/>
    <x v="0"/>
    <m/>
    <x v="0"/>
    <m/>
    <x v="0"/>
    <x v="3"/>
    <m/>
    <x v="2"/>
    <x v="2"/>
    <x v="2"/>
    <x v="5"/>
    <n v="0"/>
    <x v="3"/>
    <x v="0"/>
    <x v="0"/>
    <x v="0"/>
    <x v="0"/>
    <x v="3"/>
    <n v="0"/>
    <x v="2"/>
    <x v="0"/>
    <x v="0"/>
    <x v="0"/>
    <x v="2"/>
    <n v="0"/>
    <x v="2"/>
    <x v="2"/>
    <n v="1"/>
    <s v="Private sector"/>
    <m/>
    <m/>
    <x v="1"/>
    <m/>
    <s v="There were no important changes or adjustments made."/>
    <s v="Microfinance was used as the strategy to meet our Financial Inclusion and WEE objectives."/>
    <s v="Peer-to-peer lending was used as the strategy to raise loan capital for the project's participants."/>
    <m/>
    <s v="Since Lendwithcare sends loan capital to our microfinance partners in USD this has exposed some of our partners, including our partner in Zambia, to a certain degree of exchange rate risk. To mitigate this risk we began transferring loan capital in GBP to their Head Office in the UK who would then transfer the money in GBP or local currency."/>
    <m/>
    <m/>
    <s v="This is an on-going project so we do not have a budget for the lifetime of the project. The number we have reported is how much loan capital was raised through the Lendwithcare platform for Zambia in FY17. Lendwithcare does not use gender, resilience or governance scorecards as part of its programming so we have had to answer no to all the questions related to these. However, an outcome of 'harmful' (particularly with regards to women's empowerment and gender equality) seems in accurate since this initiatve focuses heavily on Women's Economic Empowerment and in Zambia the beneficiaries are 100% female."/>
    <m/>
    <n v="3859"/>
    <n v="7653"/>
    <n v="1.9831562580979529"/>
    <n v="1"/>
    <n v="0.49993466614399584"/>
    <n v="3859"/>
    <n v="3826"/>
    <s v=""/>
    <n v="0"/>
    <n v="0"/>
    <s v=""/>
    <s v=""/>
    <n v="0"/>
    <n v="0"/>
    <s v=""/>
    <s v=""/>
    <n v="0"/>
    <n v="0"/>
    <s v=""/>
    <s v=""/>
    <n v="0"/>
    <n v="0"/>
    <s v=""/>
    <n v="1"/>
    <n v="3859"/>
    <n v="7653"/>
    <n v="1.9831562580979529"/>
    <s v="0. Harmful"/>
    <s v="0. Unaware"/>
    <s v="0. Harmful"/>
    <s v="It did not develop any specific innovation"/>
    <s v="Little or no advocacy"/>
    <s v="It did not take tested solutions to scale"/>
  </r>
  <r>
    <x v="83"/>
    <x v="5"/>
    <m/>
    <s v="Nutrition at the Center"/>
    <s v="Zambia"/>
    <s v="ZMB106"/>
    <s v="CARE USA"/>
    <s v="Foundation"/>
    <s v="Other"/>
    <s v="Sall Family Foundation"/>
    <m/>
    <m/>
    <m/>
    <m/>
    <m/>
    <m/>
    <m/>
    <m/>
    <m/>
    <m/>
    <m/>
    <m/>
    <m/>
    <m/>
    <m/>
    <m/>
    <m/>
    <m/>
    <m/>
    <m/>
    <m/>
    <m/>
    <m/>
    <m/>
    <m/>
    <m/>
    <m/>
    <m/>
    <m/>
    <m/>
    <m/>
    <m/>
    <m/>
    <m/>
    <m/>
    <m/>
    <m/>
    <m/>
    <m/>
    <m/>
    <m/>
    <m/>
    <m/>
    <m/>
    <m/>
    <d v="2013-06-01T00:00:00"/>
    <d v="2017-12-31T00:00:00"/>
    <m/>
    <s v="Development Other"/>
    <n v="1848985"/>
    <s v="Oliver W."/>
    <s v="Assistant Country Director"/>
    <m/>
    <s v="Catherine Pongolani"/>
    <s v="Project Manager"/>
    <s v="pongolanic@carezam.org"/>
    <s v="NO"/>
    <s v="YES"/>
    <s v="NO"/>
    <s v="Significantly contribute to improved maternal and child nutrition and health outcomes"/>
    <s v="Sub-National"/>
    <s v="The project is implemented in two districts (Lundazi &amp; Chadiza) of Eastern Province"/>
    <s v="Women of Child bearing age (15 - 49) and Children below the age of 2 years."/>
    <n v="10840"/>
    <m/>
    <n v="10840"/>
    <n v="22330"/>
    <n v="31870"/>
    <n v="54200"/>
    <s v="Direct Beneficiaries - 542 Nutrition Support Groups (NSGs) of 20 members each who are direct participants of the project, giving 10,840 women. And Indirect beneficiaries - 10,800 by an average of 5 rest of the household members giving 54,200."/>
    <m/>
    <m/>
    <m/>
    <m/>
    <m/>
    <m/>
    <m/>
    <m/>
    <m/>
    <m/>
    <m/>
    <m/>
    <m/>
    <m/>
    <m/>
    <m/>
    <m/>
    <m/>
    <m/>
    <m/>
    <m/>
    <m/>
    <m/>
    <m/>
    <m/>
    <m/>
    <m/>
    <m/>
    <m/>
    <m/>
    <m/>
    <m/>
    <m/>
    <m/>
    <m/>
    <m/>
    <m/>
    <m/>
    <m/>
    <m/>
    <m/>
    <m/>
    <m/>
    <m/>
    <m/>
    <m/>
    <m/>
    <m/>
    <m/>
    <m/>
    <m/>
    <m/>
    <m/>
    <m/>
    <m/>
    <m/>
    <m/>
    <m/>
    <m/>
    <m/>
    <n v="10840"/>
    <m/>
    <n v="10840"/>
    <n v="22330"/>
    <n v="31870"/>
    <n v="54200"/>
    <s v="YES"/>
    <n v="10840"/>
    <n v="1"/>
    <n v="54200"/>
    <s v="YES"/>
    <n v="10840"/>
    <n v="1"/>
    <n v="54200"/>
    <s v="NO"/>
    <m/>
    <m/>
    <m/>
    <s v="NO"/>
    <m/>
    <m/>
    <m/>
    <s v="YES"/>
    <n v="10840"/>
    <n v="1"/>
    <n v="54200"/>
    <s v="NO"/>
    <m/>
    <m/>
    <m/>
    <s v="YES"/>
    <n v="10840"/>
    <n v="1"/>
    <n v="54200"/>
    <s v="NO"/>
    <m/>
    <m/>
    <m/>
    <s v="YES"/>
    <n v="10840"/>
    <n v="1"/>
    <n v="54200"/>
    <s v="NO"/>
    <m/>
    <m/>
    <m/>
    <s v="NO"/>
    <m/>
    <m/>
    <m/>
    <s v="NO"/>
    <m/>
    <m/>
    <m/>
    <s v="NO"/>
    <m/>
    <m/>
    <m/>
    <s v="NO"/>
    <m/>
    <m/>
    <m/>
    <s v="NO"/>
    <m/>
    <m/>
    <m/>
    <s v="YES"/>
    <n v="10840"/>
    <n v="1"/>
    <n v="54200"/>
    <m/>
    <m/>
    <m/>
    <m/>
    <m/>
    <s v="NO"/>
    <m/>
    <m/>
    <m/>
    <s v="YES"/>
    <s v="November"/>
    <n v="2017"/>
    <s v="The project will engage an external consultant to conduct a survey focusing on collecting both qualitative and quantitative data to measure the achievement of the project objectives. CARE US will provide technical support in generating the sample size and the data collection tools to be rolled out in the field for collection of raw data."/>
    <x v="1"/>
    <s v="NO"/>
    <s v="NO"/>
    <s v="YES"/>
    <s v="YES"/>
    <s v="YES"/>
    <s v="NO"/>
    <s v="NO"/>
    <m/>
    <m/>
    <x v="2"/>
    <s v="The introduction of small water lifting devices (treadle pumps) to the women belonging to the nutrition support groups has helped them to reduce invest the saved time on watering the large portions of vegetables and thereby ensuring that household are food secure and increased the income through the sale of axcess vegetables."/>
    <x v="1"/>
    <s v="The project worked with partners such as Government line Ministries and other International NGOs  i.e. GIZ to adopt the integrated approach to nutrition specific and sensitive interventions and ensure that the targeted individuals are reached with a comprehensive nutrition package."/>
    <x v="0"/>
    <x v="1"/>
    <s v="NO"/>
    <x v="0"/>
    <x v="0"/>
    <x v="0"/>
    <x v="4"/>
    <n v="3"/>
    <x v="1"/>
    <x v="1"/>
    <x v="1"/>
    <x v="1"/>
    <x v="1"/>
    <x v="1"/>
    <n v="4"/>
    <x v="1"/>
    <x v="1"/>
    <x v="1"/>
    <x v="1"/>
    <x v="1"/>
    <n v="3"/>
    <x v="0"/>
    <x v="3"/>
    <n v="2"/>
    <s v="National government"/>
    <m/>
    <m/>
    <x v="1"/>
    <m/>
    <m/>
    <s v="Farmer School - Nutrition Support Groups set up the demo gardens where were learnt about the production of nutrient rich crops"/>
    <s v="The project implemented the men engagement interventions to help men participate in the nutrition activities at household and community levels."/>
    <m/>
    <s v="Engagement of Government staff in monitoring ensures that there is provision of timely technical support to the beneficiaries and sustainability is eminent."/>
    <s v="The adoption of innovations such as Gray Water promotes production and availability of nutrient rich vegetables"/>
    <m/>
    <m/>
    <m/>
    <n v="10840"/>
    <n v="54200"/>
    <n v="5"/>
    <n v="1"/>
    <n v="0.41199261992619929"/>
    <n v="10840"/>
    <n v="22330"/>
    <s v=""/>
    <n v="0"/>
    <n v="0"/>
    <s v=""/>
    <n v="1"/>
    <n v="10840"/>
    <n v="54200"/>
    <n v="5"/>
    <s v=""/>
    <n v="0"/>
    <n v="0"/>
    <s v=""/>
    <s v=""/>
    <n v="0"/>
    <n v="0"/>
    <s v=""/>
    <n v="1"/>
    <n v="10840"/>
    <n v="54200"/>
    <n v="5"/>
    <s v="3. Responsive"/>
    <s v="2. Accommodating"/>
    <s v="2. Sensitive"/>
    <s v="It tested new ways for fighting poverty and measured results of innovation"/>
    <s v="Moderate advocacy"/>
    <s v="It linked and worked with strategic alliances and partners to take tested and effective solutions to scale"/>
  </r>
  <r>
    <x v="83"/>
    <x v="5"/>
    <m/>
    <s v="Peri Urban Community Driven Models for Equitable Services (COMEQS)"/>
    <s v="Zambia"/>
    <s v="ZM436"/>
    <s v="CARE UK"/>
    <s v="Other"/>
    <s v="Other"/>
    <s v="Comic Relief"/>
    <m/>
    <m/>
    <m/>
    <m/>
    <m/>
    <m/>
    <m/>
    <m/>
    <m/>
    <m/>
    <m/>
    <m/>
    <m/>
    <m/>
    <m/>
    <m/>
    <m/>
    <m/>
    <m/>
    <m/>
    <m/>
    <m/>
    <m/>
    <m/>
    <m/>
    <m/>
    <m/>
    <m/>
    <m/>
    <m/>
    <m/>
    <m/>
    <m/>
    <m/>
    <m/>
    <m/>
    <m/>
    <m/>
    <m/>
    <m/>
    <m/>
    <m/>
    <m/>
    <m/>
    <m/>
    <d v="2014-10-01T00:00:00"/>
    <d v="2018-09-30T00:00:00"/>
    <m/>
    <s v="Development Other"/>
    <n v="1580956"/>
    <s v="Kate Dresser"/>
    <s v="Programme Management coordinator"/>
    <s v="dressser@careinternational.org"/>
    <s v="Chikwe Mbweeda"/>
    <s v="Director- Social Development"/>
    <s v="Mbweedac@carezam.org"/>
    <s v="NO"/>
    <s v="YES"/>
    <s v="NO"/>
    <s v="To contribute to improving environmental conditions for the people in peri-urban settlements of Lusaka city"/>
    <s v="Sub-National"/>
    <s v="The project is implemented in Lusaka's Ng'ombe, Chipata, Chaisa and Kanyama settlements in Zambia"/>
    <s v="Men and boys, Women and girls"/>
    <n v="155693"/>
    <n v="155055"/>
    <n v="310748"/>
    <n v="19988"/>
    <n v="19907"/>
    <n v="39895"/>
    <s v="The direct participants are the number of people or head count of population reached with delivery of solid waste services. The project is implemented in four slums and to reach the following people directly with solidwaste collection service: Ng'ombe compound (40% of population) 26,596 people; Chipata compound (100% of population) 95,041 people; Chaisa Compouind (100% of population) 19,858 people and Kanyama Compound (100% of population)169,253 people. Indirect participants are the number of people who live in the project areas but not serviced with solid waste collection service. In three of four project areas all (100%) of people will be reached, while in one project areas (Ng'ombe compound) only 40% of the total population will be served while 60% will not be reached. The number of people that wont be reached (indirect beneficiaries)  is 39,895."/>
    <m/>
    <m/>
    <m/>
    <m/>
    <m/>
    <m/>
    <m/>
    <m/>
    <m/>
    <m/>
    <m/>
    <m/>
    <m/>
    <m/>
    <m/>
    <m/>
    <m/>
    <m/>
    <m/>
    <m/>
    <m/>
    <m/>
    <m/>
    <m/>
    <m/>
    <m/>
    <m/>
    <m/>
    <m/>
    <m/>
    <m/>
    <m/>
    <m/>
    <m/>
    <m/>
    <m/>
    <m/>
    <m/>
    <m/>
    <m/>
    <m/>
    <m/>
    <m/>
    <m/>
    <m/>
    <m/>
    <m/>
    <m/>
    <m/>
    <m/>
    <m/>
    <m/>
    <m/>
    <m/>
    <m/>
    <m/>
    <m/>
    <m/>
    <m/>
    <m/>
    <n v="41924"/>
    <n v="41754"/>
    <n v="83678"/>
    <n v="19988"/>
    <n v="19907"/>
    <n v="39895"/>
    <s v="NO"/>
    <m/>
    <m/>
    <m/>
    <s v="NO"/>
    <m/>
    <m/>
    <m/>
    <s v="NO"/>
    <m/>
    <m/>
    <m/>
    <s v="NO"/>
    <m/>
    <m/>
    <m/>
    <s v="NO"/>
    <m/>
    <m/>
    <m/>
    <s v="NO"/>
    <m/>
    <m/>
    <m/>
    <s v="NO"/>
    <m/>
    <m/>
    <m/>
    <s v="NO"/>
    <m/>
    <m/>
    <m/>
    <s v="NO"/>
    <m/>
    <m/>
    <m/>
    <s v="NO"/>
    <m/>
    <m/>
    <m/>
    <s v="NO"/>
    <m/>
    <m/>
    <m/>
    <s v="NO"/>
    <m/>
    <m/>
    <m/>
    <s v="NO"/>
    <m/>
    <m/>
    <m/>
    <s v="NO"/>
    <m/>
    <m/>
    <m/>
    <s v="YES"/>
    <n v="83678"/>
    <n v="0.50101579865675505"/>
    <n v="39895"/>
    <s v="NO"/>
    <m/>
    <m/>
    <m/>
    <m/>
    <m/>
    <m/>
    <m/>
    <m/>
    <s v="YES"/>
    <s v="March"/>
    <n v="2017"/>
    <s v="YES"/>
    <s v="NO"/>
    <m/>
    <m/>
    <s v="None"/>
    <x v="1"/>
    <m/>
    <m/>
    <m/>
    <m/>
    <s v="YES"/>
    <m/>
    <m/>
    <m/>
    <m/>
    <x v="2"/>
    <s v="The project tested the water-waste tariff bundling payment model for solidwaste collection service. The innovation enabled  CARE supported social enterprises to collect increased revneue which enabled them to provide inceased quality and quantity of service to the participants. Evaluation results showed a 215% increase in revenue for social enterprises from USD3,420 at baseline to USD10,757."/>
    <x v="1"/>
    <s v="CARE Zambia worked with the ministry of local government, lusaka city council, office of the myor for lusaka city, a local NGO and a solid waste sector association, local community leadership structures to influence and lobby the public water utility company to approve rolling out of the water-waste tariff bundling model to two more slums. At time of reporting, an in -principle agreement for rolling the innovation out was granted."/>
    <x v="0"/>
    <x v="0"/>
    <s v="YES"/>
    <x v="1"/>
    <x v="0"/>
    <x v="0"/>
    <x v="1"/>
    <n v="3"/>
    <x v="1"/>
    <x v="1"/>
    <x v="1"/>
    <x v="1"/>
    <x v="1"/>
    <x v="1"/>
    <n v="4"/>
    <x v="0"/>
    <x v="0"/>
    <x v="0"/>
    <x v="0"/>
    <x v="0"/>
    <n v="0"/>
    <x v="2"/>
    <x v="2"/>
    <n v="4"/>
    <s v="Local government(s)"/>
    <s v="Private sector"/>
    <s v="Local NGO(s)/CSO(s)"/>
    <x v="2"/>
    <s v="1. Participation as discussant in two WASH nights which are  networking events organised by the water and sanitation association of zambia and bring sector  professionals and organisations to discuss WASH sector issues (policies, practices, programs, interventions, etc). 2. Including local NGO staff in capacity building trainings. 3. Funding local NGOs who are partners to implement project activities."/>
    <s v="1. Adjusted implementation plan- the DIP was reviewed to reflect delayed approval of rolling out water-waste tariff bundling innovation. 2. Reviewed staff composition- recruited one additional staff to support with technical skills. 3. Adjustied activities- after phase 1 review, project changed to buy a big truck instead of tractor because of increased solidwaste tonnage arising from testing a new waste collection tariff."/>
    <s v="Water-waste tariff bundling model- a model to maximise solidwaste collection tariff and address the low willingness to pay by service users. Service users using direct payment to the solidwaste enterprises started paying through a bundled tariff with a prime service (water) thorugh an intermediary. With the new tariff payment model, revenue for solidwaste social enterprises increased by more than 200%. Increased revenue enabled SEs to plough back into increased coverage and reach."/>
    <s v="Community policing- a strategy to utilise local community structures and leadership to conduct compliance and inspection of households not subscribing to waste collection; and curbing illegal dumping of waste. The strategy enabled CBOs in Ngombe compound (a project areas) to increase household/customer subscription from 2106 to 3280."/>
    <s v="Influencing- a strategy used to engage with various decision makers and influences to support the project in rolling out or expand the testing of the key project model (water-waste tariff bundling). As a result, the office of the mayor, senior officer of the sector ministry, area councillors came in support of the model and appeleded to the public utility to pprove the roll out of the model."/>
    <s v="Bundling tariffs for urban services has the potential to increase revenue for social enterprises who rely on the willingness -to-pay by service users in urban slums where enforcement by local authorities is weak."/>
    <s v="Municipal data on waste generation capacity in communities are underestimated. The lusaka city council has not conducted a waste characterisation study in more than 20 years as such generation per capita are estimated. The COMEQS Project used these estimates to plan waste haulage and the mode of transport needed. We realised that the actual waste generated was higher than estimated and the mode of transport not adequate. This informed the project to review the appropriate transport for phase 2 when the roll out the model to additional project areas."/>
    <s v="Use of the Citizens Charter is a promising practice as evidenced from the feedback recieved during its development. the CC is a social accountability mechanism hailed to be unique in the solidwaste sector and a good practice to facilitate service provider and service user engagement, and allow for consensus in the service benchmarking and ultimately lead to improved service quality. Sector actors have expressed interest in learning how the approach will be implemented in order to draw lessons for replication."/>
    <m/>
    <s v="1. COMEQS Phase 1 Review Study Report. 2. COMEQS gender and governance marker vetting forms. 3. COMEQS Year 3 Annual Report. (drop box link to be provided)"/>
    <n v="83678"/>
    <n v="39895"/>
    <n v="0.47676808719137648"/>
    <n v="0.50101579865675561"/>
    <n v="0.50101516480761998"/>
    <n v="41924"/>
    <n v="19988"/>
    <s v=""/>
    <n v="0"/>
    <n v="0"/>
    <s v=""/>
    <n v="1"/>
    <n v="83678"/>
    <n v="39895"/>
    <n v="0.47676808719137648"/>
    <s v=""/>
    <n v="0"/>
    <n v="0"/>
    <s v=""/>
    <s v=""/>
    <n v="0"/>
    <n v="0"/>
    <s v=""/>
    <s v=""/>
    <n v="0"/>
    <n v="0"/>
    <s v=""/>
    <s v="1. Neutral"/>
    <s v="2. Accommodating"/>
    <s v="No marker score"/>
    <s v="It tested new ways for fighting poverty and measured results of innovation"/>
    <s v="Moderate advocacy"/>
    <s v="It linked and worked with strategic alliances and partners to take tested and effective solutions to scale"/>
  </r>
  <r>
    <x v="83"/>
    <x v="5"/>
    <m/>
    <s v="Scaling Up Nutrition"/>
    <s v="Zambia"/>
    <s v="ZMB108"/>
    <s v="CARE Canada"/>
    <s v="Multilateral agency"/>
    <s v="Government - UK"/>
    <s v="DFID"/>
    <s v="ZMB108"/>
    <s v="CARE Canada"/>
    <s v="Multilateral agency"/>
    <s v="Government - Ireland"/>
    <s v="Irish Aid"/>
    <s v="ZMB108"/>
    <s v="CARE Canada"/>
    <s v="Multilateral agency"/>
    <s v="Government - Sweden"/>
    <s v="Swedish International Development Cooperation Agency"/>
    <m/>
    <m/>
    <m/>
    <m/>
    <m/>
    <m/>
    <m/>
    <m/>
    <m/>
    <m/>
    <m/>
    <m/>
    <m/>
    <m/>
    <m/>
    <m/>
    <m/>
    <m/>
    <m/>
    <m/>
    <m/>
    <m/>
    <m/>
    <m/>
    <m/>
    <m/>
    <m/>
    <m/>
    <m/>
    <m/>
    <m/>
    <m/>
    <m/>
    <m/>
    <m/>
    <d v="2013-08-19T00:00:00"/>
    <d v="2016-08-30T00:00:00"/>
    <d v="2018-06-30T00:00:00"/>
    <s v="Development Food &amp; Nutrition Security and Resilience to Climate Change"/>
    <n v="28182670"/>
    <s v="Oliver Wakelin"/>
    <s v="Deput Country Director"/>
    <s v="wakelino@carezam.org"/>
    <s v="Mary S. Chibambala"/>
    <s v="Team Leader"/>
    <s v="chibambulam@carezam.org"/>
    <s v="NO"/>
    <s v="YES"/>
    <s v="NO"/>
    <s v="Improved health and nutritional status of children under five"/>
    <s v="National"/>
    <s v="The project is being implemented in 14 districts located in 7 provinces in Zambia"/>
    <s v="Children under two and pregnant and lactating women"/>
    <n v="260000"/>
    <m/>
    <n v="610000"/>
    <m/>
    <m/>
    <m/>
    <s v="Children under two and pregnant and lactating women"/>
    <m/>
    <m/>
    <m/>
    <m/>
    <m/>
    <m/>
    <m/>
    <s v="NO"/>
    <m/>
    <m/>
    <m/>
    <s v="NO"/>
    <m/>
    <m/>
    <m/>
    <s v="NO"/>
    <m/>
    <m/>
    <m/>
    <s v="NO"/>
    <m/>
    <m/>
    <m/>
    <s v="NO"/>
    <m/>
    <m/>
    <m/>
    <s v="NO"/>
    <m/>
    <m/>
    <m/>
    <s v="NO"/>
    <m/>
    <m/>
    <m/>
    <s v="NO"/>
    <m/>
    <m/>
    <m/>
    <s v="NO"/>
    <m/>
    <m/>
    <m/>
    <s v="NO"/>
    <m/>
    <m/>
    <m/>
    <s v="NO"/>
    <m/>
    <m/>
    <m/>
    <s v="NO"/>
    <m/>
    <m/>
    <m/>
    <m/>
    <m/>
    <m/>
    <m/>
    <m/>
    <n v="101447"/>
    <n v="151811"/>
    <n v="253258"/>
    <m/>
    <m/>
    <m/>
    <s v="YES"/>
    <n v="24216"/>
    <n v="0.64"/>
    <m/>
    <s v="NO"/>
    <m/>
    <m/>
    <m/>
    <s v="NO"/>
    <m/>
    <m/>
    <m/>
    <s v="NO"/>
    <m/>
    <m/>
    <m/>
    <s v="NO"/>
    <m/>
    <m/>
    <m/>
    <s v="YES"/>
    <n v="189698"/>
    <n v="0.5"/>
    <m/>
    <s v="YES"/>
    <n v="48089"/>
    <n v="0.86"/>
    <m/>
    <s v="NO"/>
    <m/>
    <m/>
    <m/>
    <s v="NO"/>
    <m/>
    <m/>
    <m/>
    <s v="YES"/>
    <n v="43691"/>
    <n v="1"/>
    <m/>
    <s v="NO"/>
    <m/>
    <m/>
    <m/>
    <s v="NO"/>
    <m/>
    <m/>
    <m/>
    <s v="NO"/>
    <m/>
    <m/>
    <m/>
    <s v="NO"/>
    <m/>
    <m/>
    <m/>
    <s v="YES"/>
    <n v="19245"/>
    <n v="0.84"/>
    <m/>
    <s v="NO"/>
    <m/>
    <m/>
    <m/>
    <m/>
    <m/>
    <m/>
    <m/>
    <m/>
    <s v="YES"/>
    <s v="April"/>
    <n v="2016"/>
    <s v="NO"/>
    <s v="YES"/>
    <s v="March"/>
    <n v="2018"/>
    <m/>
    <x v="3"/>
    <s v="YES"/>
    <s v="NO"/>
    <s v="NO"/>
    <s v="YES"/>
    <s v="YES"/>
    <s v="YES"/>
    <s v="YES"/>
    <s v="NO"/>
    <m/>
    <x v="2"/>
    <s v="Nutrion intervention have for the first time been implemeted in multisectoral approach involving six governement line ministries concerned with water, health, agriculture, livestock, education and social protection."/>
    <x v="1"/>
    <s v="The multisectoral approach at sub-district (ward) level  was expacted to total of 236 wards  from  140 in the last FY"/>
    <x v="0"/>
    <x v="2"/>
    <m/>
    <x v="2"/>
    <x v="2"/>
    <x v="2"/>
    <x v="3"/>
    <n v="0"/>
    <x v="0"/>
    <x v="0"/>
    <x v="0"/>
    <x v="0"/>
    <x v="0"/>
    <x v="0"/>
    <n v="0"/>
    <x v="0"/>
    <x v="0"/>
    <x v="0"/>
    <x v="0"/>
    <x v="0"/>
    <n v="0"/>
    <x v="0"/>
    <x v="3"/>
    <m/>
    <s v="Local government(s)"/>
    <s v="Local alliance(s)/Platform(s)/Network(s) of  NGOs/CSOs"/>
    <s v="Local NGO(s)/CSO(s)"/>
    <x v="0"/>
    <s v="Training in gender mainstreaming"/>
    <m/>
    <m/>
    <m/>
    <m/>
    <m/>
    <m/>
    <m/>
    <s v="The outcome form containing high level programme indicators that are usually monitored through routine surveys have such as ZDHS not been filled. These indicators  form will be filled with guidance from ACD"/>
    <m/>
    <n v="253258"/>
    <n v="0"/>
    <n v="0"/>
    <n v="0.40056780042486317"/>
    <s v=""/>
    <n v="101447"/>
    <n v="0"/>
    <s v=""/>
    <n v="0"/>
    <n v="0"/>
    <s v=""/>
    <n v="1"/>
    <n v="48089"/>
    <n v="0"/>
    <n v="0"/>
    <s v=""/>
    <n v="0"/>
    <n v="0"/>
    <s v=""/>
    <s v=""/>
    <n v="0"/>
    <n v="0"/>
    <s v=""/>
    <s v=""/>
    <n v="0"/>
    <n v="0"/>
    <s v=""/>
    <s v="No marker score"/>
    <s v="No marker score"/>
    <s v="No marker score"/>
    <s v="It tested new ways for fighting poverty and measured results of innovation"/>
    <n v="0"/>
    <s v="It linked and worked with strategic alliances and partners to take tested and effective solutions to scale"/>
  </r>
  <r>
    <x v="83"/>
    <x v="5"/>
    <s v="ZMB119/ZM446"/>
    <s v="Southern Africa Nutrition Initiative"/>
    <s v="Zambia"/>
    <s v="ZMB119/ZM446"/>
    <s v="CARE Canada"/>
    <s v="Government"/>
    <s v="Government - Canada"/>
    <s v="Global Affairs Canada (GAC)"/>
    <m/>
    <m/>
    <m/>
    <m/>
    <m/>
    <m/>
    <m/>
    <m/>
    <m/>
    <m/>
    <m/>
    <m/>
    <m/>
    <m/>
    <m/>
    <m/>
    <m/>
    <m/>
    <m/>
    <m/>
    <m/>
    <m/>
    <m/>
    <m/>
    <m/>
    <m/>
    <m/>
    <m/>
    <m/>
    <m/>
    <m/>
    <m/>
    <m/>
    <m/>
    <m/>
    <m/>
    <m/>
    <m/>
    <m/>
    <m/>
    <m/>
    <m/>
    <m/>
    <m/>
    <m/>
    <d v="2016-03-17T00:00:00"/>
    <d v="2020-06-30T00:00:00"/>
    <m/>
    <s v="Development Food &amp; Nutrition Security and Resilience to Climate Change"/>
    <m/>
    <s v="Bryan Baleke Ng'ambi"/>
    <s v="Project Manager"/>
    <s v="ng'ambib@carezam.org"/>
    <m/>
    <m/>
    <m/>
    <s v="NO"/>
    <s v="YES"/>
    <s v="NO"/>
    <s v="The goal is to improve the nutritional status of women of reproductive age (15 49) and boys and girls U5 directly, specifically targeting stunting in children under 5 and under nutrition in WRA especially the pregnant and lactating mothers."/>
    <s v="Multiple countries"/>
    <s v="Zambia,Muchinga Province (Mpika and Shiwa Ngandu)"/>
    <s v="Women in the Reproductive Age (15-49 years) and Childern 0-5 years"/>
    <n v="39851"/>
    <n v="23927"/>
    <n v="63778"/>
    <n v="22781"/>
    <n v="36250"/>
    <n v="59031"/>
    <s v="Direct participants are women 15-49 years and boys and girls 0-5 years. The calculation of women 15-49 years is estimated to be 22% of the general population in the selected 10 wards of Mpika and Shiwangandu while the calculation of boys and girls 0-5 years is 20% of the general population. Other direct participants will include implementers(DNCC members, WNCC members, community leaders, volunteers and professional staff from health, agriculture, social welfare and local council) that will will gain knowledge through training. The indirect participants  includes members of households from direct participants or participants that will benefit as a result of advocacy or mass-media education.  "/>
    <m/>
    <m/>
    <m/>
    <m/>
    <m/>
    <m/>
    <m/>
    <m/>
    <m/>
    <m/>
    <m/>
    <m/>
    <m/>
    <m/>
    <m/>
    <m/>
    <m/>
    <m/>
    <m/>
    <m/>
    <m/>
    <m/>
    <m/>
    <m/>
    <m/>
    <m/>
    <m/>
    <m/>
    <m/>
    <m/>
    <m/>
    <m/>
    <m/>
    <m/>
    <m/>
    <m/>
    <m/>
    <m/>
    <m/>
    <m/>
    <m/>
    <m/>
    <m/>
    <m/>
    <m/>
    <m/>
    <m/>
    <m/>
    <m/>
    <m/>
    <m/>
    <m/>
    <m/>
    <m/>
    <m/>
    <m/>
    <m/>
    <m/>
    <m/>
    <m/>
    <n v="37770"/>
    <n v="25510"/>
    <n v="63280"/>
    <n v="12705"/>
    <n v="10005"/>
    <n v="22710"/>
    <s v="NO"/>
    <m/>
    <m/>
    <m/>
    <s v="NO"/>
    <m/>
    <m/>
    <m/>
    <s v="NO"/>
    <m/>
    <m/>
    <m/>
    <s v="NO"/>
    <m/>
    <m/>
    <m/>
    <s v="NO"/>
    <m/>
    <m/>
    <m/>
    <s v="NO"/>
    <m/>
    <m/>
    <m/>
    <s v="YES"/>
    <n v="13656"/>
    <n v="0.55000000000000004"/>
    <n v="2510"/>
    <s v="NO"/>
    <m/>
    <m/>
    <m/>
    <s v="NO"/>
    <m/>
    <m/>
    <m/>
    <s v="NO"/>
    <m/>
    <m/>
    <m/>
    <s v="NO"/>
    <m/>
    <m/>
    <m/>
    <s v="NO"/>
    <m/>
    <m/>
    <m/>
    <s v="NO"/>
    <m/>
    <m/>
    <m/>
    <s v="NO"/>
    <m/>
    <m/>
    <m/>
    <s v="NO"/>
    <m/>
    <m/>
    <m/>
    <s v="NO"/>
    <m/>
    <m/>
    <m/>
    <m/>
    <m/>
    <m/>
    <m/>
    <m/>
    <s v="YES"/>
    <s v="January"/>
    <n v="2017"/>
    <s v="YES"/>
    <s v="NO"/>
    <m/>
    <m/>
    <s v="The Project will compare baseline values on key indicators or variables with findings in future evaluations in order to acertain the impact of the project. The future evaluations will involve quantitative and qualitative. In the quantitative evelautions, sampling will be done radomly in all the 10 wards in Mpika and Shiwangandu while in qualitative evaluations sampling will be purposive.  "/>
    <x v="1"/>
    <s v="NO"/>
    <s v="YES"/>
    <s v="YES"/>
    <s v="YES"/>
    <s v="YES"/>
    <s v="NO"/>
    <s v="NO"/>
    <s v="YES"/>
    <s v="Iron and folic supplementation and Climate smart agriculture"/>
    <x v="0"/>
    <m/>
    <x v="1"/>
    <s v="Multi-sectoral approaches through working with the District Nutrition Coordinating Committee (DNCC) in promoting food and nutrition agenda"/>
    <x v="0"/>
    <x v="0"/>
    <s v="YES"/>
    <x v="0"/>
    <x v="0"/>
    <x v="0"/>
    <x v="0"/>
    <n v="4"/>
    <x v="1"/>
    <x v="1"/>
    <x v="2"/>
    <x v="1"/>
    <x v="1"/>
    <x v="1"/>
    <n v="3"/>
    <x v="3"/>
    <x v="1"/>
    <x v="2"/>
    <x v="1"/>
    <x v="5"/>
    <n v="2"/>
    <x v="0"/>
    <x v="2"/>
    <n v="15"/>
    <s v="Local government(s)"/>
    <s v="Grassroots organization(s)"/>
    <s v="Local NGO(s)/CSO(s)"/>
    <x v="1"/>
    <m/>
    <s v="No changes made."/>
    <s v="Farmer schools"/>
    <s v="Engaging men"/>
    <s v="Community planning"/>
    <s v="Empowering of women with knowledge, skills  and inputs in agricultural increases food security and nutrition at household level"/>
    <s v="Participation of women in decision making structures is very low and affects interventions that affects women. For instance growing of cash crops like cotton/tobbaco is preferred by men compared to growing of crops with nutritious value like groundnuts, beans etc."/>
    <s v="The roles of women and men are not balanced, a woman is required to wake up early to start preparing meals for the family while the man is still in bed. The project has positioned itself to see how this can be challenged through sensitization of community members on gender roles."/>
    <s v="The project started activity implementation in April 2017 after the approval of the budget and therefore not so many activities were implemented in this FY."/>
    <s v="Baseline_Final Report_Zambia_July 2017.pdf"/>
    <n v="63280"/>
    <n v="22710"/>
    <n v="0.35888116308470291"/>
    <n v="0.5968710493046776"/>
    <n v="0.55944517833553498"/>
    <n v="37770"/>
    <n v="12705"/>
    <s v=""/>
    <n v="0"/>
    <n v="0"/>
    <s v=""/>
    <n v="1"/>
    <n v="13656"/>
    <n v="2510"/>
    <n v="0.18380199179847687"/>
    <s v=""/>
    <n v="0"/>
    <n v="0"/>
    <s v=""/>
    <s v=""/>
    <n v="0"/>
    <n v="0"/>
    <s v=""/>
    <s v=""/>
    <n v="0"/>
    <n v="0"/>
    <s v=""/>
    <s v="2. Sensitive"/>
    <s v="2. Accommodating"/>
    <s v="3. Responsive"/>
    <s v="It did not develop any specific innovation"/>
    <s v="Moderate advocacy"/>
    <s v="It linked and worked with strategic alliances and partners to take tested and effective solutions to scale"/>
  </r>
  <r>
    <x v="83"/>
    <x v="5"/>
    <m/>
    <s v="SUNI-EU"/>
    <s v="Zambia"/>
    <m/>
    <s v="CARE Deutschland-Luxemburg"/>
    <s v="Multilateral agency"/>
    <s v="EU - European Union (other than ECHO)"/>
    <s v="EU"/>
    <m/>
    <m/>
    <m/>
    <m/>
    <m/>
    <m/>
    <m/>
    <m/>
    <m/>
    <m/>
    <m/>
    <m/>
    <m/>
    <m/>
    <m/>
    <m/>
    <m/>
    <m/>
    <m/>
    <m/>
    <m/>
    <m/>
    <m/>
    <m/>
    <m/>
    <m/>
    <m/>
    <m/>
    <m/>
    <m/>
    <m/>
    <m/>
    <m/>
    <m/>
    <m/>
    <m/>
    <m/>
    <m/>
    <m/>
    <m/>
    <m/>
    <m/>
    <m/>
    <m/>
    <m/>
    <d v="2016-11-01T00:00:00"/>
    <d v="2020-04-30T00:00:00"/>
    <m/>
    <s v="Development Food &amp; Nutrition Security and Resilience to Climate Change"/>
    <n v="1536083.6"/>
    <s v="Maureen Mubanga"/>
    <s v="Project Manager"/>
    <s v="mubangam@carezam.com"/>
    <m/>
    <m/>
    <m/>
    <s v="YES"/>
    <s v="YES"/>
    <s v="YES"/>
    <s v="To contribute to reducing Maternal and Child Undernutrition in Kalomo and Choma Districts of Southern Province, Zambia by 2020"/>
    <s v="Sub-National"/>
    <s v="The Project will be implemented in Southern Province of Zambia, in Choma and Kalomo Districts. They are located 290km and 350km from the Zambian Capital Lusaka respectively. Choma is on Latitude -16.6667 degrees S and Longitude 27.1667 degrees E. Kalomo is located on Latitude -17.1095 degrees S and Longitude 26.6082 degrees E. The project will be implemented in 10 Wards per District. The Wards of operation are Sikalongo, Batoka, Macha, Mangunza, Chilalantambo, Masuku, Kabimba, Simambo, Nakeempa and Simamvwa for Choma District. Wards of operation for Kalomo are Chawila, Chifunsa, Kalonda, Mayoba, Nachikungu, Sipatunyana, Simayakwe, Naliya, Omba and Bilili."/>
    <s v="7000 Children under 2 years, 4000 lactating and Pregnant Mothers, 25 GRZ Staff, 400 Community Volunteers"/>
    <n v="7715"/>
    <n v="3710"/>
    <n v="11425"/>
    <n v="11415"/>
    <n v="11415"/>
    <n v="22830"/>
    <s v="The direct participants are those in the project proposal, planned for at proposal development. Indirect participants are rough estimates"/>
    <m/>
    <m/>
    <m/>
    <m/>
    <m/>
    <m/>
    <m/>
    <s v="NO"/>
    <m/>
    <m/>
    <m/>
    <s v="NO"/>
    <m/>
    <m/>
    <m/>
    <s v="NO"/>
    <m/>
    <m/>
    <m/>
    <s v="YES"/>
    <m/>
    <m/>
    <m/>
    <s v="NO"/>
    <m/>
    <m/>
    <m/>
    <s v="NO"/>
    <m/>
    <m/>
    <m/>
    <s v="NO"/>
    <m/>
    <m/>
    <m/>
    <s v="NO"/>
    <m/>
    <m/>
    <m/>
    <s v="NO"/>
    <m/>
    <m/>
    <m/>
    <s v="NO"/>
    <m/>
    <m/>
    <m/>
    <s v="NO"/>
    <m/>
    <m/>
    <m/>
    <s v="YES"/>
    <m/>
    <m/>
    <m/>
    <m/>
    <s v="NO"/>
    <m/>
    <m/>
    <m/>
    <n v="200"/>
    <n v="200"/>
    <n v="400"/>
    <n v="1200"/>
    <n v="1200"/>
    <n v="2400"/>
    <s v="NO"/>
    <n v="0"/>
    <m/>
    <m/>
    <s v="NO"/>
    <m/>
    <m/>
    <m/>
    <s v="NO"/>
    <m/>
    <m/>
    <m/>
    <s v="NO"/>
    <m/>
    <m/>
    <m/>
    <s v="NO"/>
    <m/>
    <m/>
    <m/>
    <s v="NO"/>
    <m/>
    <m/>
    <m/>
    <s v="YES"/>
    <n v="400"/>
    <n v="0.5"/>
    <n v="2400"/>
    <s v="NO"/>
    <m/>
    <m/>
    <m/>
    <s v="NO"/>
    <m/>
    <m/>
    <m/>
    <s v="NO"/>
    <m/>
    <m/>
    <m/>
    <s v="NO"/>
    <m/>
    <m/>
    <m/>
    <s v="NO"/>
    <m/>
    <m/>
    <m/>
    <s v="NO"/>
    <m/>
    <m/>
    <m/>
    <s v="NO"/>
    <m/>
    <m/>
    <m/>
    <s v="NO"/>
    <m/>
    <m/>
    <m/>
    <s v="NO"/>
    <m/>
    <m/>
    <m/>
    <m/>
    <s v="NO"/>
    <m/>
    <m/>
    <m/>
    <s v="YES"/>
    <s v="April"/>
    <n v="2017"/>
    <s v="YES"/>
    <s v="NO"/>
    <m/>
    <m/>
    <m/>
    <x v="1"/>
    <s v="NO"/>
    <s v="NO"/>
    <s v="NO"/>
    <s v="YES"/>
    <s v="NO"/>
    <s v="NO"/>
    <s v="NO"/>
    <m/>
    <m/>
    <x v="0"/>
    <m/>
    <x v="1"/>
    <s v="the project worked hand in hand with Government in all its community engagements at start up in order to ensure continuity even as the Project goes into full time implementation"/>
    <x v="0"/>
    <x v="0"/>
    <s v="YES"/>
    <x v="1"/>
    <x v="0"/>
    <x v="1"/>
    <x v="1"/>
    <n v="2"/>
    <x v="1"/>
    <x v="1"/>
    <x v="1"/>
    <x v="1"/>
    <x v="1"/>
    <x v="1"/>
    <n v="4"/>
    <x v="1"/>
    <x v="1"/>
    <x v="1"/>
    <x v="2"/>
    <x v="3"/>
    <n v="2"/>
    <x v="0"/>
    <x v="3"/>
    <n v="3"/>
    <s v="Local government(s)"/>
    <s v="Local NGO(s)/CSO(s)"/>
    <s v="Grassroots organization(s)"/>
    <x v="1"/>
    <m/>
    <m/>
    <m/>
    <m/>
    <m/>
    <m/>
    <m/>
    <m/>
    <m/>
    <m/>
    <n v="400"/>
    <n v="2400"/>
    <n v="6"/>
    <n v="0.5"/>
    <n v="0.5"/>
    <n v="200"/>
    <n v="1200"/>
    <n v="1"/>
    <n v="0"/>
    <n v="0"/>
    <s v=""/>
    <n v="1"/>
    <n v="400"/>
    <n v="2400"/>
    <n v="6"/>
    <s v=""/>
    <n v="0"/>
    <n v="0"/>
    <s v=""/>
    <s v=""/>
    <n v="0"/>
    <n v="0"/>
    <s v=""/>
    <s v=""/>
    <n v="0"/>
    <n v="0"/>
    <s v=""/>
    <s v="1. Neutral"/>
    <s v="2. Accommodating"/>
    <s v="1. Neutral"/>
    <s v="It did not develop any specific innovation"/>
    <s v="Moderate advocacy"/>
    <s v="It linked and worked with strategic alliances and partners to take tested and effective solutions to scale"/>
  </r>
  <r>
    <x v="84"/>
    <x v="5"/>
    <n v="3501"/>
    <s v="Emergency Cash First Response to Drought-affected commmunities in the Southern provinces of Zimbabwe"/>
    <s v="Zimbabwe"/>
    <s v="ZWE056, ZW355"/>
    <s v="CARE UK"/>
    <s v="Government"/>
    <s v="Government - UK"/>
    <s v="DFID"/>
    <m/>
    <m/>
    <m/>
    <m/>
    <m/>
    <m/>
    <m/>
    <m/>
    <m/>
    <m/>
    <m/>
    <m/>
    <m/>
    <m/>
    <m/>
    <m/>
    <m/>
    <m/>
    <m/>
    <m/>
    <m/>
    <m/>
    <m/>
    <m/>
    <m/>
    <m/>
    <m/>
    <m/>
    <m/>
    <m/>
    <m/>
    <m/>
    <m/>
    <m/>
    <m/>
    <m/>
    <m/>
    <m/>
    <m/>
    <m/>
    <m/>
    <m/>
    <m/>
    <m/>
    <m/>
    <d v="2015-08-01T00:00:00"/>
    <d v="2016-03-30T00:00:00"/>
    <d v="2017-05-31T00:00:00"/>
    <s v="Humanitarian Food &amp; Nutrition Security and Resilience to Climate Change"/>
    <n v="52549667.609999999"/>
    <s v="Abel Simbarashe Whande"/>
    <s v="Team Leader"/>
    <s v="AbelWh@carezimbabwe.org"/>
    <s v="Morazain, Monique"/>
    <s v="Assistant Country Director"/>
    <s v="Monique.Morazain@care.ca"/>
    <s v="YES"/>
    <s v="NO"/>
    <s v="NO"/>
    <s v="The project addressed the immediate food needs of vulnerable men, women, boys and girls through the provision of mobile unconditional cash transfers that aim to cover 50% of the household food basket and nutritional needs of men, women, boys and girls."/>
    <s v="Sub-National"/>
    <s v="Masvingo Province:  Zaka, Gutu and Masvingo Rural districts (3),Matebeleland South Province: Beitbridge, Insiza, Matobo, Gwanda and Umzingwane districts (5). Matabeleland North Province: Umguza, Lupane and Nyaki districts (3), Midlands Province: Gokwe North, Gokwe South, Shurugwi and Mberengwa districts (4)"/>
    <s v="Poor, rural women, in female headed households, unable to fully exercise their rights, residing in areas dependent on agricultural livelihoods and at significant risk from the shocks of drought"/>
    <n v="178080"/>
    <n v="157920"/>
    <n v="336000"/>
    <n v="0"/>
    <n v="0"/>
    <m/>
    <s v="Direct participants are vulnerable men, women, boys and girls who received mobile unconditional cash transfers that aimed to cover approximately 70% of the household food basket and nutritional needs. The numbers are obtained from records of actual cash tranfers each month, receipient households' data was collected at registration, so an accurate number of direct participants was calculated monthly. Committees and volunteers who enabled delivery of project interventions were also direct particiapants receiving cash transfers."/>
    <m/>
    <n v="212766"/>
    <n v="187513"/>
    <n v="400279"/>
    <m/>
    <m/>
    <m/>
    <s v="NO"/>
    <m/>
    <m/>
    <m/>
    <s v="YES"/>
    <n v="400279"/>
    <n v="0.53"/>
    <n v="0"/>
    <s v="NO"/>
    <m/>
    <m/>
    <m/>
    <s v="YES"/>
    <n v="400279"/>
    <n v="0.53"/>
    <n v="0"/>
    <s v="YES"/>
    <n v="104526"/>
    <n v="0.69"/>
    <n v="300000"/>
    <s v="NO"/>
    <m/>
    <m/>
    <m/>
    <s v="NO"/>
    <m/>
    <m/>
    <m/>
    <s v="NO"/>
    <m/>
    <m/>
    <m/>
    <s v="NO"/>
    <m/>
    <m/>
    <m/>
    <s v="NO"/>
    <m/>
    <m/>
    <m/>
    <s v="NO"/>
    <m/>
    <m/>
    <m/>
    <s v="NO"/>
    <m/>
    <m/>
    <m/>
    <m/>
    <s v="NO"/>
    <m/>
    <m/>
    <m/>
    <m/>
    <m/>
    <m/>
    <m/>
    <m/>
    <m/>
    <m/>
    <m/>
    <m/>
    <m/>
    <m/>
    <m/>
    <m/>
    <m/>
    <m/>
    <m/>
    <m/>
    <m/>
    <m/>
    <m/>
    <m/>
    <m/>
    <m/>
    <m/>
    <m/>
    <m/>
    <m/>
    <m/>
    <m/>
    <m/>
    <m/>
    <m/>
    <m/>
    <m/>
    <m/>
    <m/>
    <m/>
    <m/>
    <m/>
    <m/>
    <m/>
    <m/>
    <m/>
    <m/>
    <m/>
    <m/>
    <m/>
    <m/>
    <m/>
    <m/>
    <m/>
    <m/>
    <m/>
    <m/>
    <m/>
    <m/>
    <m/>
    <m/>
    <m/>
    <m/>
    <m/>
    <m/>
    <m/>
    <m/>
    <m/>
    <m/>
    <m/>
    <m/>
    <m/>
    <m/>
    <m/>
    <m/>
    <m/>
    <m/>
    <m/>
    <s v="YES"/>
    <s v="February"/>
    <n v="2017"/>
    <s v="YES"/>
    <s v="NO"/>
    <m/>
    <m/>
    <m/>
    <x v="1"/>
    <s v="NO"/>
    <s v="NO"/>
    <s v="NO"/>
    <s v="NO"/>
    <s v="YES"/>
    <s v="NO"/>
    <s v="NO"/>
    <s v="NO"/>
    <m/>
    <x v="0"/>
    <m/>
    <x v="0"/>
    <m/>
    <x v="1"/>
    <x v="1"/>
    <s v="YES"/>
    <x v="0"/>
    <x v="0"/>
    <x v="0"/>
    <x v="2"/>
    <n v="4"/>
    <x v="1"/>
    <x v="2"/>
    <x v="2"/>
    <x v="1"/>
    <x v="1"/>
    <x v="4"/>
    <n v="2"/>
    <x v="1"/>
    <x v="1"/>
    <x v="1"/>
    <x v="1"/>
    <x v="1"/>
    <n v="3"/>
    <x v="2"/>
    <x v="0"/>
    <n v="3"/>
    <s v="International NGO(s)"/>
    <s v="Private sector"/>
    <m/>
    <x v="1"/>
    <m/>
    <s v="The project was providing humanitarian assistance in response to severe drought. However, during FY17, there was heavy flooding in project areas. The project adjusted its response by providing Cash Assistance to Persons Affected By Floods, a new intervention reaching 3,656 people receiving USD62,155.10."/>
    <s v="Accountability with strong complaints and feedback mechanism"/>
    <s v="Partnership strategy (donor, INGO, private sector and local government)"/>
    <s v="GBV case management strategy"/>
    <s v="When the country was hit by a liquidity crisis the project was able to shift focus from cash-outs to promote e-purchases while still attaining its goals of improving access to food by drought affected communities. During the 2016/17 rain season when some communities were inaccessible people were able to receive their assistance without risking crossing flooded rivers."/>
    <s v="Cash transfers promote resilience in drought affected communities. Financial inclusion was achieved for the previously unbanked communities. Access to micro-insurance products, such as funeral cover, now possible for communities which were unbanked at the beginning of the project."/>
    <s v="The transfer value of $7 per person was appropriate for enabling people to access basic food needs, but could have been based on households overall needs and not just food (e.g. a minimum expenditure basket)."/>
    <s v="An extensive evaluation was done and learning documents produced with the assitance of CIUK. There was a lot of work done by the project on gender and resilience due to emerging issues, not part of the design. Very good results were thus achieved, thanks to excellent donor participation and very good staff capacity."/>
    <s v="Project report, proposal and learning documents are attached. Evaluation      http://www.opml.co.uk/projects/evaluating-cash-transfer-programme-zimbabwe"/>
    <n v="400279"/>
    <n v="0"/>
    <n v="0"/>
    <n v="0.53154424788709875"/>
    <s v=""/>
    <n v="212766"/>
    <n v="0"/>
    <n v="1"/>
    <n v="400279"/>
    <n v="0"/>
    <n v="0"/>
    <n v="1"/>
    <n v="400279"/>
    <n v="0"/>
    <n v="0"/>
    <s v=""/>
    <n v="0"/>
    <n v="0"/>
    <s v=""/>
    <n v="1"/>
    <n v="104526"/>
    <n v="300000"/>
    <n v="2.8700993054359683"/>
    <s v=""/>
    <n v="0"/>
    <n v="0"/>
    <s v=""/>
    <s v="4. Transformative"/>
    <s v="1. Tokenistic"/>
    <s v="2. Sensitive"/>
    <s v="It did not develop any specific innovation"/>
    <s v="Moderate advocacy"/>
    <s v="It did not take tested solutions to scale"/>
  </r>
  <r>
    <x v="84"/>
    <x v="5"/>
    <n v="3505"/>
    <s v="Empowering Adolescents for Lifelong Learning"/>
    <s v="Zimbabwe"/>
    <s v="ZW354, ZWE088"/>
    <s v="CARE USA"/>
    <s v="Individual supporter"/>
    <s v="Other"/>
    <s v="Patsy Collins Trust Fund Initiative (PCTFI)"/>
    <m/>
    <m/>
    <m/>
    <m/>
    <m/>
    <m/>
    <m/>
    <m/>
    <m/>
    <m/>
    <m/>
    <m/>
    <m/>
    <m/>
    <m/>
    <m/>
    <m/>
    <m/>
    <m/>
    <m/>
    <m/>
    <m/>
    <m/>
    <m/>
    <m/>
    <m/>
    <m/>
    <m/>
    <m/>
    <m/>
    <m/>
    <m/>
    <m/>
    <m/>
    <m/>
    <m/>
    <m/>
    <m/>
    <m/>
    <m/>
    <m/>
    <m/>
    <m/>
    <m/>
    <m/>
    <d v="2015-07-01T00:00:00"/>
    <d v="2020-06-30T00:00:00"/>
    <m/>
    <s v="Development Other"/>
    <n v="1061612"/>
    <s v="Gilbert Phiri"/>
    <s v="Project Manager"/>
    <s v="gilbertph@carezimbabwe.org"/>
    <s v="Monique Morazain"/>
    <s v="Assistant Country Director"/>
    <s v="Monique.Morazain@carezimbabwe.org"/>
    <s v="NO"/>
    <s v="YES"/>
    <s v="NO"/>
    <s v="Female and male adolescents are empowered to make and pursue informed life choices"/>
    <s v="Sub-National"/>
    <s v="Epworth suburb, Harare Province"/>
    <s v="Male and Female adolescents aged between 13 - 17 years and their teachers."/>
    <n v="1000"/>
    <n v="1000"/>
    <n v="2000"/>
    <n v="30000"/>
    <n v="30000"/>
    <n v="60000"/>
    <s v="Direct project participants are total form one students enroled by the eight project schools and their teachers. Indirect project particpants are total forms two to form six students enroled by the eight project schools and their teachers."/>
    <m/>
    <m/>
    <m/>
    <m/>
    <m/>
    <m/>
    <m/>
    <m/>
    <m/>
    <m/>
    <m/>
    <m/>
    <m/>
    <m/>
    <m/>
    <m/>
    <m/>
    <m/>
    <m/>
    <m/>
    <m/>
    <m/>
    <m/>
    <m/>
    <m/>
    <m/>
    <m/>
    <m/>
    <m/>
    <m/>
    <m/>
    <m/>
    <m/>
    <m/>
    <m/>
    <m/>
    <m/>
    <m/>
    <m/>
    <m/>
    <m/>
    <m/>
    <m/>
    <m/>
    <m/>
    <m/>
    <m/>
    <m/>
    <m/>
    <m/>
    <m/>
    <m/>
    <m/>
    <m/>
    <m/>
    <m/>
    <m/>
    <m/>
    <m/>
    <m/>
    <n v="769"/>
    <n v="668"/>
    <n v="1437"/>
    <n v="2114"/>
    <n v="2112"/>
    <n v="4226"/>
    <s v="NO"/>
    <m/>
    <m/>
    <m/>
    <s v="NO"/>
    <m/>
    <m/>
    <m/>
    <s v="NO"/>
    <m/>
    <m/>
    <m/>
    <s v="NO"/>
    <m/>
    <m/>
    <m/>
    <s v="NO"/>
    <m/>
    <m/>
    <m/>
    <s v="YES"/>
    <n v="1437"/>
    <n v="0.54"/>
    <n v="4226"/>
    <s v="NO"/>
    <m/>
    <m/>
    <m/>
    <s v="NO"/>
    <m/>
    <m/>
    <m/>
    <s v="NO"/>
    <m/>
    <m/>
    <m/>
    <s v="NO"/>
    <m/>
    <m/>
    <m/>
    <s v="NO"/>
    <m/>
    <m/>
    <m/>
    <s v="NO"/>
    <m/>
    <m/>
    <m/>
    <s v="NO"/>
    <m/>
    <m/>
    <m/>
    <s v="NO"/>
    <m/>
    <m/>
    <m/>
    <s v="NO"/>
    <m/>
    <m/>
    <m/>
    <s v="NO"/>
    <m/>
    <m/>
    <m/>
    <m/>
    <s v="NO"/>
    <m/>
    <m/>
    <m/>
    <s v="YES"/>
    <s v="January"/>
    <n v="2017"/>
    <s v="NO"/>
    <s v="NO"/>
    <m/>
    <m/>
    <s v="Mid line evaluation is scheduled for FY19"/>
    <x v="1"/>
    <s v="NO"/>
    <s v="NO"/>
    <s v="YES"/>
    <s v="YES"/>
    <s v="YES"/>
    <s v="NO"/>
    <s v="NO"/>
    <s v="NO"/>
    <m/>
    <x v="1"/>
    <s v="Capacity building of teachers in learner centred teaching approaches in support of the updated Zimbabwe primary and secondary education curriculum"/>
    <x v="0"/>
    <m/>
    <x v="0"/>
    <x v="0"/>
    <s v="YES"/>
    <x v="0"/>
    <x v="1"/>
    <x v="0"/>
    <x v="1"/>
    <n v="3"/>
    <x v="1"/>
    <x v="1"/>
    <x v="1"/>
    <x v="1"/>
    <x v="1"/>
    <x v="1"/>
    <n v="4"/>
    <x v="2"/>
    <x v="2"/>
    <x v="2"/>
    <x v="1"/>
    <x v="2"/>
    <n v="1"/>
    <x v="2"/>
    <x v="2"/>
    <n v="0"/>
    <m/>
    <m/>
    <m/>
    <x v="1"/>
    <m/>
    <m/>
    <s v="Adolescence Development Model (modified Power Within model)"/>
    <s v="Teachers Capacity Building"/>
    <s v="Teacher Liaison Group (Selected teachers representing schools in project implementation through project updates, activity planning, and M &amp; E. Currently, a WhatsApp platform is used by the project to engage the group)"/>
    <s v="The Zimbabwe public education sector is characterised bureacracy and culture of unsharing of information which adversely affects implementation of project activities"/>
    <s v="The type of project needs continuous stakeholder engagement since its main focus is software and it takes long before benefits are realised."/>
    <m/>
    <m/>
    <s v="Project report and baseline report"/>
    <n v="1437"/>
    <n v="4226"/>
    <n v="2.9408489909533753"/>
    <n v="0.53514265831593599"/>
    <n v="0.50023663038334121"/>
    <n v="769"/>
    <n v="2114"/>
    <s v=""/>
    <n v="0"/>
    <n v="0"/>
    <s v=""/>
    <s v=""/>
    <n v="0"/>
    <n v="0"/>
    <s v=""/>
    <s v=""/>
    <n v="0"/>
    <n v="0"/>
    <s v=""/>
    <s v=""/>
    <n v="0"/>
    <n v="0"/>
    <s v=""/>
    <s v=""/>
    <n v="0"/>
    <n v="0"/>
    <s v=""/>
    <s v="1. Neutral"/>
    <s v="2. Accommodating"/>
    <s v="0. Harmful"/>
    <s v="It tested new ways for fighting poverty, but did not measure results of innovation"/>
    <s v="Moderate advocacy"/>
    <s v="It did not take tested solutions to scale"/>
  </r>
  <r>
    <x v="84"/>
    <x v="5"/>
    <m/>
    <s v="Enhancing Community Resilience and Sustainability (ECRAS) in Chiredzi and Mwenezi districts"/>
    <s v="Zimbabwe"/>
    <s v="ZWE080 ZW365"/>
    <s v="CARE Canada"/>
    <s v="Multilateral agency"/>
    <s v="UN - United Nations agencies/offices"/>
    <s v="UNDP"/>
    <m/>
    <m/>
    <m/>
    <m/>
    <m/>
    <m/>
    <m/>
    <m/>
    <m/>
    <m/>
    <m/>
    <m/>
    <m/>
    <m/>
    <m/>
    <m/>
    <m/>
    <m/>
    <m/>
    <m/>
    <m/>
    <m/>
    <m/>
    <m/>
    <m/>
    <m/>
    <m/>
    <m/>
    <m/>
    <m/>
    <m/>
    <m/>
    <m/>
    <m/>
    <m/>
    <m/>
    <m/>
    <m/>
    <m/>
    <m/>
    <m/>
    <m/>
    <m/>
    <m/>
    <m/>
    <d v="2016-07-01T00:00:00"/>
    <d v="2019-06-30T00:00:00"/>
    <m/>
    <s v="Development Food &amp; Nutrition Security and Resilience to Climate Change"/>
    <n v="3956491.92"/>
    <s v="Solomon Mutambara"/>
    <s v="Team Leader"/>
    <s v="solomonmu@carezimbabwe.org"/>
    <s v="Monique Morazain"/>
    <s v="Assistant Country Director"/>
    <s v="Monique.Morazain@carezimbabwe.org"/>
    <s v="NO"/>
    <s v="YES"/>
    <s v="NO"/>
    <s v="Households and Communities have improved resilience"/>
    <s v="Sub-National"/>
    <s v="Chiredzi and Mwenezi districts of Masvingo province"/>
    <s v="Poor, rural women, in female headed households, unable to fully exercise their rights, residing in areas dependent on agricultural livelihoods and at significant risk from the shocks of drought"/>
    <n v="5044"/>
    <n v="4656"/>
    <n v="9700"/>
    <n v="24440"/>
    <n v="22560"/>
    <n v="47000"/>
    <s v="The direct particiapnts are land and labour endowed and financially constrained smallholder farmers attending project trainings, linked with input and output markets and those provided with accessing inputs under under contract farming arrangements. This is 72 % of households population in targeted areas. Indirect participants is has been calculated as number of vulnerable and poor individuals in targeted areas based on population census less direct participants."/>
    <m/>
    <m/>
    <m/>
    <m/>
    <m/>
    <m/>
    <m/>
    <m/>
    <m/>
    <m/>
    <m/>
    <m/>
    <m/>
    <m/>
    <m/>
    <m/>
    <m/>
    <m/>
    <m/>
    <m/>
    <m/>
    <m/>
    <m/>
    <m/>
    <m/>
    <m/>
    <m/>
    <m/>
    <m/>
    <m/>
    <m/>
    <m/>
    <m/>
    <m/>
    <m/>
    <m/>
    <m/>
    <m/>
    <m/>
    <m/>
    <m/>
    <m/>
    <m/>
    <m/>
    <m/>
    <m/>
    <m/>
    <m/>
    <m/>
    <m/>
    <m/>
    <m/>
    <m/>
    <m/>
    <m/>
    <m/>
    <m/>
    <m/>
    <m/>
    <m/>
    <n v="3918"/>
    <n v="3474"/>
    <n v="7392"/>
    <n v="15673"/>
    <n v="13899"/>
    <n v="29572"/>
    <s v="YES"/>
    <n v="2640"/>
    <n v="0.54"/>
    <n v="10560"/>
    <s v="YES"/>
    <n v="7393"/>
    <n v="0.53"/>
    <n v="29571"/>
    <s v="NO"/>
    <m/>
    <m/>
    <m/>
    <s v="YES"/>
    <n v="5036"/>
    <n v="0.66"/>
    <n v="20144"/>
    <s v="NO"/>
    <m/>
    <m/>
    <m/>
    <s v="NO"/>
    <m/>
    <m/>
    <m/>
    <s v="NO"/>
    <m/>
    <m/>
    <m/>
    <s v="NO"/>
    <m/>
    <m/>
    <m/>
    <s v="NO"/>
    <m/>
    <m/>
    <m/>
    <s v="NO"/>
    <m/>
    <m/>
    <m/>
    <s v="YES"/>
    <n v="250"/>
    <n v="0.68"/>
    <n v="1000"/>
    <s v="NO"/>
    <m/>
    <m/>
    <m/>
    <s v="NO"/>
    <m/>
    <m/>
    <m/>
    <s v="YES"/>
    <m/>
    <m/>
    <m/>
    <s v="YES"/>
    <n v="3500"/>
    <n v="0.6"/>
    <m/>
    <s v="NO"/>
    <m/>
    <m/>
    <m/>
    <m/>
    <m/>
    <m/>
    <m/>
    <m/>
    <s v="NO"/>
    <m/>
    <m/>
    <m/>
    <s v="NO"/>
    <m/>
    <m/>
    <s v="All evaluations for the project are commisioned by UNDP for the whole country program"/>
    <x v="0"/>
    <s v="NO"/>
    <s v="NO"/>
    <s v="YES"/>
    <s v="NO"/>
    <s v="NO"/>
    <s v="NO"/>
    <s v="NO"/>
    <s v="NO"/>
    <m/>
    <x v="1"/>
    <s v="Sequencing and layering of activities on same households"/>
    <x v="0"/>
    <m/>
    <x v="0"/>
    <x v="1"/>
    <s v="YES"/>
    <x v="1"/>
    <x v="0"/>
    <x v="1"/>
    <x v="4"/>
    <n v="2"/>
    <x v="1"/>
    <x v="1"/>
    <x v="2"/>
    <x v="1"/>
    <x v="1"/>
    <x v="1"/>
    <n v="3"/>
    <x v="3"/>
    <x v="1"/>
    <x v="1"/>
    <x v="1"/>
    <x v="4"/>
    <n v="3"/>
    <x v="3"/>
    <x v="2"/>
    <n v="4"/>
    <s v="International NGO(s)"/>
    <s v="Private sector"/>
    <m/>
    <x v="1"/>
    <m/>
    <m/>
    <s v="Community Adaptation Action Planning (CAAP)"/>
    <s v="VSLAs (Promoted productive asset acquisation)"/>
    <s v="Participatory Scenario Planning (PSP)"/>
    <s v="Interactions with farmers through farmer field visits revealed that the aspect of fodder production is fairly new to farmers and farmers are very keen on taking it up. Most of the farmers lost livestock during the dry seasons due to hunger and the promotion of fodder production will address real threats for livestock management in the targeted communities."/>
    <s v="Learning visits play a significant role in developing the capacity of farmers as they learn by seeing. It also helps farmers to anticipate some of the challenges they could face in implementing a certain intervention."/>
    <m/>
    <s v="The project got additional funding under the crisis modifier component and High Frequency Monitoring which are key to resilience programming."/>
    <s v="1. ECRAS year one annual report, 2. ECRAS log frame"/>
    <n v="7392"/>
    <n v="29572"/>
    <n v="4.0005411255411252"/>
    <n v="0.53003246753246758"/>
    <n v="0.52999458947653189"/>
    <n v="3918"/>
    <n v="15673"/>
    <s v=""/>
    <n v="0"/>
    <n v="0"/>
    <s v=""/>
    <n v="1"/>
    <n v="7393"/>
    <n v="29571"/>
    <n v="3.9998647369132962"/>
    <n v="1"/>
    <n v="0"/>
    <n v="0"/>
    <s v=""/>
    <s v=""/>
    <n v="0"/>
    <n v="0"/>
    <s v=""/>
    <s v=""/>
    <n v="0"/>
    <n v="0"/>
    <s v=""/>
    <s v="3. Responsive"/>
    <s v="2. Accommodating"/>
    <s v="4. Transformative"/>
    <s v="It tested new ways for fighting poverty, but did not measure results of innovation"/>
    <s v="Little or no advocacy"/>
    <s v="It did not take tested solutions to scale"/>
  </r>
  <r>
    <x v="84"/>
    <x v="5"/>
    <s v="AID-FFP-A-13-0003"/>
    <s v="Enhancing Nutrition Stepping Up Resilince and Enterprise (ENSURE)"/>
    <s v="Zimbabwe"/>
    <m/>
    <s v="CARE USA"/>
    <s v="Government"/>
    <s v="Government - US"/>
    <s v="USAID"/>
    <m/>
    <m/>
    <m/>
    <m/>
    <m/>
    <m/>
    <m/>
    <m/>
    <m/>
    <m/>
    <m/>
    <m/>
    <m/>
    <m/>
    <m/>
    <m/>
    <m/>
    <m/>
    <m/>
    <m/>
    <m/>
    <m/>
    <m/>
    <m/>
    <m/>
    <m/>
    <m/>
    <m/>
    <m/>
    <m/>
    <m/>
    <m/>
    <m/>
    <m/>
    <m/>
    <m/>
    <m/>
    <m/>
    <m/>
    <m/>
    <m/>
    <m/>
    <m/>
    <m/>
    <m/>
    <d v="2013-07-01T00:00:00"/>
    <d v="2018-05-31T00:00:00"/>
    <m/>
    <s v="Development Food &amp; Nutrition Security and Resilience to Climate Change"/>
    <n v="22331122.02"/>
    <s v="Archibald Chikavanga"/>
    <s v="Project Manager"/>
    <s v="archibaldchikavanga@carezimbabwe.org"/>
    <s v="Monique Morazain"/>
    <s v="Assistant Country Director- Programs"/>
    <s v="Monique.Morazain@care.ca"/>
    <s v="YES"/>
    <s v="YES"/>
    <s v="YES"/>
    <s v="Goal: Food security of targeted communities and households in Manicaland and Masvingo Provinces improved  by 2018. The ENSURE program interventions are organized around three important themes: maternal and child health (SO1), agriculture and economic development (SO2), and resilience (SO3). Complementing these themes and focusing on the current context in Zimbabwe, ENSURE will highlight the Cross Cutting Objective (SO4) of promoting gender equity in nutrition and agriculture."/>
    <s v="Sub-National"/>
    <s v="CARE operates in Bikita, Chivi and Zaka Districts of Masvingo Province"/>
    <s v="Pregnant and Lactating Women (women of reporductive age), Children Under 2, Small holder farmers (women and men)"/>
    <n v="78076"/>
    <n v="72071"/>
    <n v="150147"/>
    <n v="55462"/>
    <n v="35179"/>
    <n v="90641"/>
    <m/>
    <m/>
    <n v="65005"/>
    <n v="53424"/>
    <n v="118429"/>
    <m/>
    <m/>
    <n v="0"/>
    <s v="NO"/>
    <m/>
    <m/>
    <m/>
    <s v="NO"/>
    <m/>
    <m/>
    <m/>
    <s v="NO"/>
    <m/>
    <m/>
    <m/>
    <s v="YES"/>
    <n v="118429"/>
    <n v="0.55000000000000004"/>
    <m/>
    <s v="NO"/>
    <m/>
    <m/>
    <m/>
    <s v="YES"/>
    <n v="10587"/>
    <n v="0.57999999999999996"/>
    <m/>
    <s v="NO"/>
    <m/>
    <m/>
    <m/>
    <s v="NO"/>
    <m/>
    <m/>
    <m/>
    <s v="NO"/>
    <m/>
    <m/>
    <m/>
    <s v="NO"/>
    <m/>
    <m/>
    <m/>
    <s v="NO"/>
    <m/>
    <m/>
    <m/>
    <s v="YES"/>
    <n v="21847"/>
    <n v="0.91"/>
    <m/>
    <m/>
    <s v="NO"/>
    <m/>
    <m/>
    <m/>
    <n v="42377"/>
    <n v="14255"/>
    <n v="56632"/>
    <n v="186459"/>
    <n v="62722"/>
    <n v="249181"/>
    <s v="YES"/>
    <n v="7430"/>
    <n v="0.7"/>
    <n v="32692"/>
    <s v="YES"/>
    <n v="3414"/>
    <n v="0.74"/>
    <n v="15022"/>
    <s v="NO"/>
    <m/>
    <m/>
    <m/>
    <s v="YES"/>
    <n v="2612"/>
    <n v="0.56999999999999995"/>
    <n v="11493"/>
    <s v="YES"/>
    <n v="7755"/>
    <n v="0.89"/>
    <n v="34122"/>
    <s v="NO"/>
    <m/>
    <m/>
    <m/>
    <s v="YES"/>
    <n v="21780"/>
    <n v="0.56999999999999995"/>
    <n v="10886"/>
    <s v="NO"/>
    <m/>
    <m/>
    <m/>
    <s v="YES"/>
    <n v="10587"/>
    <n v="0.57999999999999996"/>
    <n v="31761"/>
    <s v="NO"/>
    <m/>
    <m/>
    <m/>
    <s v="YES"/>
    <n v="3202"/>
    <n v="0.56999999999999995"/>
    <n v="14089"/>
    <s v="YES"/>
    <n v="1051"/>
    <n v="0.54"/>
    <n v="4624"/>
    <s v="NO"/>
    <m/>
    <m/>
    <m/>
    <s v="NO"/>
    <m/>
    <m/>
    <m/>
    <s v="YES"/>
    <n v="21846"/>
    <n v="0.91"/>
    <n v="96122"/>
    <s v="YES"/>
    <n v="109"/>
    <n v="1"/>
    <n v="480"/>
    <m/>
    <s v="NO"/>
    <m/>
    <m/>
    <m/>
    <s v="NO"/>
    <m/>
    <m/>
    <m/>
    <s v="YES"/>
    <m/>
    <n v="2018"/>
    <s v="An end of project evaluation will be done in the next FY.This evaluation will be done by a third party firm and the results will be compared with baseline."/>
    <x v="1"/>
    <s v="YES"/>
    <m/>
    <m/>
    <m/>
    <m/>
    <m/>
    <s v="NO"/>
    <m/>
    <m/>
    <x v="0"/>
    <m/>
    <x v="0"/>
    <m/>
    <x v="3"/>
    <x v="1"/>
    <s v="YES"/>
    <x v="0"/>
    <x v="0"/>
    <x v="0"/>
    <x v="2"/>
    <n v="4"/>
    <x v="1"/>
    <x v="1"/>
    <x v="1"/>
    <x v="1"/>
    <x v="1"/>
    <x v="1"/>
    <n v="4"/>
    <x v="3"/>
    <x v="1"/>
    <x v="1"/>
    <x v="1"/>
    <x v="4"/>
    <n v="3"/>
    <x v="3"/>
    <x v="0"/>
    <n v="4"/>
    <s v="International NGO(s)"/>
    <s v="National government"/>
    <m/>
    <x v="1"/>
    <m/>
    <m/>
    <s v="Use of the Dialogue Counselling Process (DCP) in care group promoted identification of barriers that prevent behaviour change by Care Group Clients (CGC) and other family members at household level and seeks commitment on how to overcome the barriers.  This is an improvement to the counselling process as it is centered on the compound family unit to increase behaviour change adoption.  "/>
    <s v="The agri business hub model resulted in increased coverage for peer to peer education as demonstration sites increased.The demonstartion sites were the centre for skills transfer on production (integrated crop and livestock system), early warning and market information dissemination through lead farmers and market facilitators."/>
    <s v="Adoption of regenerative activites (planting fruit trees, fodder, apiculture and acqua culture) in the dam catchment areas enhanced resilience in nutrition through multiple benefits."/>
    <s v="Linking CGs (both lead mothers and neighborhood women) to VSLs and income generating activities ensures community level sustainability of CGs beyond the life of the program."/>
    <s v="Value addition at FFA by incorporating apiculture and aquaculture coupled with other economic activities promoted through VS&amp;L helps communities to build maintenance funds   "/>
    <s v="Flexibility in program design promotes quick response to changes in context, in the process providing an opportunity for communities to protect gains"/>
    <s v="During the first quarter of the year, high temperatures in excess of 45°C were recorded in the province resulting in excessive evaporation and drying of major water sources such as boreholes, wells, dams and rivers.  The situation improved significantly in the second quarter as rains were received.  Masvingo Province received high rainfall amounts both in intensity and cumulative totals. In the year, Bikita, Chivi and Zaka districts received higher than normal average rainfall that was 125%, 134% and 147% respectively. Extremes were reported in Zaka and Bikita districts due to Cyclone Dineo where rainfall amounts of 168mm and 190mm respectively, fell in less than 24 hours at some locations.  "/>
    <m/>
    <n v="118429"/>
    <n v="249181"/>
    <n v="2.1040539057156606"/>
    <n v="0.54889427420648662"/>
    <n v="0.74828738948796258"/>
    <n v="65005"/>
    <n v="186459"/>
    <n v="1"/>
    <n v="118429"/>
    <n v="0"/>
    <n v="0"/>
    <n v="1"/>
    <n v="118429"/>
    <n v="96122"/>
    <n v="0.81164241866434739"/>
    <s v=""/>
    <n v="0"/>
    <n v="0"/>
    <s v=""/>
    <s v=""/>
    <n v="0"/>
    <n v="0"/>
    <s v=""/>
    <n v="1"/>
    <n v="6901.95"/>
    <n v="30368.58"/>
    <n v="4.4000000000000004"/>
    <s v="4. Transformative"/>
    <s v="2. Accommodating"/>
    <s v="4. Transformative"/>
    <s v="It did not develop any specific innovation"/>
    <s v="Moderate advocacy"/>
    <s v="It did not take tested solutions to scale"/>
  </r>
  <r>
    <x v="84"/>
    <x v="5"/>
    <m/>
    <s v="Improving Agricultural Production and Access to Water, Sanitation and Hygiene for Drought Affected Populations in Masvingo Province"/>
    <s v="Zimbabwe"/>
    <s v="ZWE051, ZW363"/>
    <s v="CARE USA"/>
    <s v="Government"/>
    <s v="Government - US"/>
    <s v="OFDA/USAID"/>
    <m/>
    <m/>
    <m/>
    <m/>
    <m/>
    <m/>
    <m/>
    <m/>
    <m/>
    <m/>
    <m/>
    <m/>
    <m/>
    <m/>
    <m/>
    <m/>
    <m/>
    <m/>
    <m/>
    <m/>
    <m/>
    <m/>
    <m/>
    <m/>
    <m/>
    <m/>
    <m/>
    <m/>
    <m/>
    <m/>
    <m/>
    <m/>
    <m/>
    <m/>
    <m/>
    <m/>
    <m/>
    <m/>
    <m/>
    <m/>
    <m/>
    <m/>
    <m/>
    <m/>
    <m/>
    <d v="2016-08-07T00:00:00"/>
    <d v="2017-07-07T00:00:00"/>
    <d v="2017-10-07T00:00:00"/>
    <s v="Humanitarian Food &amp; Nutrition Security and Resilience to Climate Change"/>
    <n v="1500000"/>
    <s v="Merilyn Kawadza"/>
    <s v="Project Manager"/>
    <s v="merilynka@carezimbabwe.org"/>
    <s v="Monique Morazain"/>
    <s v="Assistant Country Director"/>
    <s v="Monique.Morazain@carezimbabwe.org"/>
    <s v="YES"/>
    <s v="YES"/>
    <s v="YES"/>
    <s v="To provide immediate assistance and recovery to drought affected populations in Masvingo Province through asset (livestock) protection, access to water, sanitation and hygiene, and improved agricultural production"/>
    <s v="Sub-National"/>
    <s v="Zaka, Bikita and Chivi districts of Masvingo Provinces"/>
    <s v="Poor, rural women, in female headed households, unable to fully exercise their rights, residing in areas dependent on agricultural livelihoods and at significant risk from the shocks of drought"/>
    <n v="7845"/>
    <n v="7275"/>
    <n v="15120"/>
    <m/>
    <m/>
    <m/>
    <s v="Direct project participants are smallholder farmers (and in the case of rehabilitated boreholes and their household members) and indirect participants is the number of direct participants multipled by 4 (average household size five less the household head). Direct project participants has been calculated by multiplying number of boreholes to be rehabilitated by expected average number of individuals to drink water from each borehole as this was the intervetion expected to have the highest number of beneficiaries. No expected indirect beneficiaries for the water points intervention."/>
    <m/>
    <n v="11661"/>
    <n v="9541"/>
    <n v="21202"/>
    <m/>
    <m/>
    <m/>
    <s v="NO"/>
    <m/>
    <m/>
    <m/>
    <s v="NO"/>
    <m/>
    <m/>
    <m/>
    <s v="NO"/>
    <m/>
    <m/>
    <m/>
    <s v="NO"/>
    <m/>
    <m/>
    <m/>
    <s v="NO"/>
    <m/>
    <m/>
    <m/>
    <s v="NO"/>
    <m/>
    <m/>
    <m/>
    <s v="NO"/>
    <m/>
    <m/>
    <m/>
    <s v="Yes"/>
    <n v="6860"/>
    <n v="0.7"/>
    <n v="27440"/>
    <s v="NO"/>
    <m/>
    <m/>
    <m/>
    <s v="NO"/>
    <m/>
    <m/>
    <m/>
    <s v="NO"/>
    <m/>
    <m/>
    <m/>
    <s v="YES"/>
    <n v="30838"/>
    <n v="0.56000000000000005"/>
    <n v="0"/>
    <m/>
    <m/>
    <m/>
    <m/>
    <m/>
    <n v="4557"/>
    <n v="2303"/>
    <n v="6860"/>
    <n v="18228"/>
    <n v="11515"/>
    <n v="29743"/>
    <s v="YES"/>
    <n v="6860"/>
    <n v="0.7"/>
    <n v="29743"/>
    <s v="YES"/>
    <n v="6860"/>
    <n v="0.7"/>
    <n v="29743"/>
    <s v="NO"/>
    <m/>
    <m/>
    <m/>
    <s v="YES"/>
    <n v="482"/>
    <n v="0.47"/>
    <n v="19487"/>
    <s v="YES"/>
    <n v="1066"/>
    <n v="0.84"/>
    <n v="4264"/>
    <s v="NO"/>
    <m/>
    <m/>
    <m/>
    <s v="YES"/>
    <n v="183"/>
    <n v="0.56999999999999995"/>
    <n v="732"/>
    <s v="NO"/>
    <m/>
    <m/>
    <m/>
    <s v="YES"/>
    <n v="183"/>
    <n v="0.56999999999999995"/>
    <n v="732"/>
    <s v="NO"/>
    <m/>
    <m/>
    <m/>
    <s v="YES"/>
    <n v="958"/>
    <n v="0.62"/>
    <n v="3832"/>
    <s v="NO"/>
    <m/>
    <m/>
    <m/>
    <s v="NO"/>
    <m/>
    <m/>
    <m/>
    <s v="NO"/>
    <m/>
    <m/>
    <m/>
    <s v="NO"/>
    <m/>
    <m/>
    <m/>
    <s v="NO"/>
    <m/>
    <m/>
    <m/>
    <m/>
    <m/>
    <m/>
    <m/>
    <m/>
    <s v="YES"/>
    <s v="October"/>
    <n v="2016"/>
    <s v="YES"/>
    <s v="YES"/>
    <s v="September"/>
    <n v="2017"/>
    <s v="The baseline which was carried out internally will be shared with an independent consultant to allow comparisons, The evaluation will use both qualitative and quantitative approach,  which will involve collection of primary and secondary and participatory engagement of key stakeholders. Households will be randomly selected."/>
    <x v="0"/>
    <s v="NO"/>
    <s v="NO"/>
    <s v="YES"/>
    <s v="NO"/>
    <s v="NO"/>
    <s v="NO"/>
    <s v="NO"/>
    <s v="NO"/>
    <m/>
    <x v="1"/>
    <s v="Promoted production and preservation of fodder crops (velvet bean) and seed multiplication. This is new to both women and men smallhoder farmers."/>
    <x v="0"/>
    <m/>
    <x v="0"/>
    <x v="1"/>
    <s v="YES"/>
    <x v="1"/>
    <x v="0"/>
    <x v="0"/>
    <x v="4"/>
    <n v="3"/>
    <x v="1"/>
    <x v="1"/>
    <x v="1"/>
    <x v="1"/>
    <x v="1"/>
    <x v="1"/>
    <n v="4"/>
    <x v="3"/>
    <x v="1"/>
    <x v="0"/>
    <x v="1"/>
    <x v="5"/>
    <n v="2"/>
    <x v="0"/>
    <x v="1"/>
    <m/>
    <m/>
    <m/>
    <m/>
    <x v="1"/>
    <m/>
    <s v="No adjustments made"/>
    <s v="Lead farmer concept"/>
    <s v="Participatory Health and Hygiene Education (PHHE)"/>
    <s v="Village Savings and Lending"/>
    <s v="With proper engagement communities are prepared make all necessary contributions including free labour and ideas as long as the value the initiative."/>
    <s v="Agro-dealer concept can also contribute in smallholder farmers accessing lucrative output markets and besides enhancing access to improved inputs."/>
    <s v="Despite high levels of awareness on water borne diseases, communities tend to use nearby unprotected water sources for drinking rather than travelling to a bit far away boreholes and especially those considered yielding less palatable water compared to unprotected water sources"/>
    <s v="Data has been adjusted as Project OFDA has a 9,636 participant overlap with CTP (data provided by CO). In any case, specific data for this project alone in this FY would other ways include:_x000a_Humanitarian Direct: 17,372  women&amp;girls  13,466 men&amp;boys =   30,838  Total_x000a_"/>
    <s v="Project report"/>
    <n v="21202"/>
    <n v="29743"/>
    <n v="1.402839354777851"/>
    <n v="0.5499952834638242"/>
    <n v="0.61285008237232286"/>
    <n v="11661"/>
    <n v="18228"/>
    <n v="1"/>
    <n v="21202"/>
    <n v="0"/>
    <n v="0"/>
    <n v="1"/>
    <n v="6860"/>
    <n v="29743"/>
    <n v="4.3357142857142854"/>
    <s v=""/>
    <n v="0"/>
    <n v="0"/>
    <s v=""/>
    <s v=""/>
    <n v="0"/>
    <n v="0"/>
    <s v=""/>
    <n v="1"/>
    <n v="895.43999999999994"/>
    <n v="3581.7599999999998"/>
    <n v="4"/>
    <s v="3. Responsive"/>
    <s v="2. Accommodating"/>
    <s v="3. Responsive"/>
    <s v="It tested new ways for fighting poverty, but did not measure results of innovation"/>
    <s v="Little or no advocacy"/>
    <s v="It did not take tested solutions to scale"/>
  </r>
  <r>
    <x v="84"/>
    <x v="5"/>
    <m/>
    <s v="Improving Gender Attitudes, Transition and Education Outcomes (IGATE-T)"/>
    <s v="Zimbabwe"/>
    <s v="ZWE085, ZW371"/>
    <s v="CARE UK"/>
    <s v="Government"/>
    <s v="Government - UK"/>
    <s v="DFID"/>
    <m/>
    <m/>
    <m/>
    <m/>
    <m/>
    <m/>
    <m/>
    <m/>
    <m/>
    <m/>
    <m/>
    <m/>
    <m/>
    <m/>
    <m/>
    <m/>
    <m/>
    <m/>
    <m/>
    <m/>
    <m/>
    <m/>
    <m/>
    <m/>
    <m/>
    <m/>
    <m/>
    <m/>
    <m/>
    <m/>
    <m/>
    <m/>
    <m/>
    <m/>
    <m/>
    <m/>
    <m/>
    <m/>
    <m/>
    <m/>
    <m/>
    <m/>
    <m/>
    <m/>
    <m/>
    <d v="2017-05-01T00:00:00"/>
    <d v="2021-09-30T00:00:00"/>
    <m/>
    <s v="Development Other"/>
    <n v="4303360.6399999997"/>
    <s v="OBERT CHIGODORA"/>
    <s v="Project Manager"/>
    <s v="obertch@carezimbabwe.org"/>
    <s v="MONIQUE MORAZAIN"/>
    <s v="Assistant Country Director"/>
    <s v="Monique.Morazain@carezimbabwe.org"/>
    <s v="NO"/>
    <s v="YES"/>
    <s v="NO"/>
    <s v="73492 marginalised girls are well equipped for transition into life through fluency in literacy, numeracy and financial literacy and life skills"/>
    <s v="Sub-National"/>
    <s v="Nine districts in 4 provinces. Midlands Province x 2 districts (Mberengwa and Gokwe North); Masvingo x 1 district (Chivi); Matabeleland North x 3 districts  (Lupane, Nkayi and Mangwe)and Matabeleland South x 3 districts B(Binga, Beitbridge and Insiza)"/>
    <s v="Rural vulnerable girl children aged 7-19 years (at the beginning of the project), with limited choices, and at high risk of early marriage, pregnancy, HIV, exploitation and abuse."/>
    <n v="31502"/>
    <n v="14030"/>
    <n v="45532"/>
    <n v="8271"/>
    <n v="6495"/>
    <n v="14766"/>
    <s v="Direct: Female learners grade 3 -7 in 99 schools in the two districts (Chivi and Mberengwa where CARE isimplementing. It also includes out of school girls participating in Community based Education in districts being implemented by World Vision as CARE is providing technical support in financial literacy skills and girls in inschool leadership clubs in all the nine districts as CARE is providing technical support in Girls leadership. The female facilitators, teachers and mentors are also indirect participants.        Diect male particpants include mainly  number of boys in intervention school grade 3 to grade 9 (form 2) and the number of male teachers and faciitattors trained to roll out activities .   These will benefit from the improved teaching practices appied by the teachers, participation in leadership clubs and financial litercay sessions.                                                                                                                                                                                                                                                              Indirect:  These include all female learners in schools belonging to the same cluster as intervention schools (all grades grade 1 to 7) and Form 1 to from 2 (or upto grade 9). It also includes number of boys in such schools."/>
    <m/>
    <m/>
    <m/>
    <m/>
    <m/>
    <m/>
    <m/>
    <m/>
    <m/>
    <m/>
    <m/>
    <m/>
    <m/>
    <m/>
    <m/>
    <m/>
    <m/>
    <m/>
    <m/>
    <m/>
    <m/>
    <m/>
    <m/>
    <m/>
    <m/>
    <m/>
    <m/>
    <m/>
    <m/>
    <m/>
    <m/>
    <m/>
    <m/>
    <m/>
    <m/>
    <m/>
    <m/>
    <m/>
    <m/>
    <m/>
    <m/>
    <m/>
    <m/>
    <m/>
    <m/>
    <m/>
    <m/>
    <m/>
    <m/>
    <m/>
    <m/>
    <m/>
    <m/>
    <m/>
    <m/>
    <m/>
    <m/>
    <m/>
    <m/>
    <m/>
    <n v="0"/>
    <n v="0"/>
    <n v="0"/>
    <n v="0"/>
    <n v="0"/>
    <n v="0"/>
    <s v="NO"/>
    <m/>
    <m/>
    <m/>
    <s v="NO"/>
    <m/>
    <m/>
    <m/>
    <s v="NO"/>
    <m/>
    <m/>
    <m/>
    <s v="NO"/>
    <m/>
    <m/>
    <m/>
    <s v="NO"/>
    <m/>
    <m/>
    <m/>
    <s v="YES"/>
    <m/>
    <m/>
    <m/>
    <s v="NO"/>
    <m/>
    <m/>
    <m/>
    <s v="YES"/>
    <m/>
    <m/>
    <m/>
    <s v="YES"/>
    <m/>
    <m/>
    <m/>
    <s v="NO"/>
    <m/>
    <m/>
    <m/>
    <s v="NO"/>
    <m/>
    <m/>
    <m/>
    <s v="NO"/>
    <m/>
    <m/>
    <m/>
    <s v="YES"/>
    <m/>
    <m/>
    <m/>
    <s v="YES"/>
    <m/>
    <m/>
    <m/>
    <s v="NO"/>
    <m/>
    <m/>
    <m/>
    <s v="YES"/>
    <m/>
    <m/>
    <m/>
    <m/>
    <s v="NO"/>
    <m/>
    <m/>
    <m/>
    <s v="NO"/>
    <m/>
    <m/>
    <m/>
    <s v="YES"/>
    <s v="October"/>
    <n v="2017"/>
    <s v="The baseline for the IGATE T project will be conducted starting October 2017. After that, annual assessments in form of external evaluations will be conducted. IGATE-T will employ a quasi-experimental design for its evaluations where comparison schools will be purposeively selected to compare learning and transition outcomes. An exetrnal evaluator is contracted by the lead agency to conduct the baseline and evaluations. Data will be collected from a cohort list of girls and households identified during the baseline survey who are part of a longitudinal study. CARE' role is to provide inputs on the development of ToR for the evaluation."/>
    <x v="0"/>
    <s v="NO"/>
    <s v="NO"/>
    <s v="NO"/>
    <s v="NO"/>
    <s v="NO"/>
    <s v="NO"/>
    <s v="NO"/>
    <s v="NO"/>
    <m/>
    <x v="0"/>
    <m/>
    <x v="0"/>
    <m/>
    <x v="0"/>
    <x v="1"/>
    <s v="YES"/>
    <x v="0"/>
    <x v="0"/>
    <x v="0"/>
    <x v="2"/>
    <n v="4"/>
    <x v="2"/>
    <x v="1"/>
    <x v="1"/>
    <x v="1"/>
    <x v="1"/>
    <x v="2"/>
    <n v="4"/>
    <x v="0"/>
    <x v="0"/>
    <x v="0"/>
    <x v="0"/>
    <x v="0"/>
    <n v="0"/>
    <x v="0"/>
    <x v="0"/>
    <n v="2"/>
    <s v="International NGO(s)"/>
    <s v="University/research institution(s)"/>
    <m/>
    <x v="1"/>
    <m/>
    <s v="The baseline study is currently being designed. Changes are not expected until the next FY."/>
    <s v="The project is in start up phase"/>
    <m/>
    <m/>
    <s v="The project is in start up phase"/>
    <m/>
    <m/>
    <s v="Field work had not yet started. Scoring on gender and governance marker were based on project design while resilience marker will be scored based on implementation"/>
    <m/>
    <n v="0"/>
    <n v="0"/>
    <s v=""/>
    <s v=""/>
    <s v=""/>
    <n v="0"/>
    <n v="0"/>
    <s v=""/>
    <n v="0"/>
    <n v="0"/>
    <s v=""/>
    <s v=""/>
    <n v="0"/>
    <n v="0"/>
    <s v=""/>
    <n v="1"/>
    <n v="0"/>
    <n v="0"/>
    <s v=""/>
    <n v="1"/>
    <n v="0"/>
    <n v="0"/>
    <s v=""/>
    <n v="1"/>
    <n v="0"/>
    <n v="0"/>
    <s v=""/>
    <s v="4. Transformative"/>
    <s v="4. Transformational"/>
    <s v="No marker score"/>
    <s v="It did not develop any specific innovation"/>
    <s v="Little or no advocacy"/>
    <s v="It did not take tested solutions to scale"/>
  </r>
  <r>
    <x v="84"/>
    <x v="5"/>
    <n v="3504"/>
    <s v="Improving Girls' Access through Transforming Education (IGATE)"/>
    <s v="Zimbabwe"/>
    <s v="ZWE085, ZW335"/>
    <s v="CARE UK"/>
    <s v="Government"/>
    <s v="Government - UK"/>
    <s v="DFID"/>
    <m/>
    <m/>
    <m/>
    <m/>
    <m/>
    <m/>
    <m/>
    <m/>
    <m/>
    <m/>
    <m/>
    <m/>
    <m/>
    <m/>
    <m/>
    <m/>
    <m/>
    <m/>
    <m/>
    <m/>
    <m/>
    <m/>
    <m/>
    <m/>
    <m/>
    <m/>
    <m/>
    <m/>
    <m/>
    <m/>
    <m/>
    <m/>
    <m/>
    <m/>
    <m/>
    <m/>
    <m/>
    <m/>
    <m/>
    <m/>
    <m/>
    <m/>
    <m/>
    <m/>
    <m/>
    <d v="2013-03-12T00:00:00"/>
    <d v="2017-03-31T00:00:00"/>
    <m/>
    <s v="Development Other"/>
    <n v="3887660.77"/>
    <s v="Obert Chigodora"/>
    <s v="Project Manager"/>
    <s v="ObertCh@carezimbabwe.org"/>
    <s v="Monique Morazain"/>
    <s v="Assistant Country Director"/>
    <s v="Monique.Morazain@care.ca"/>
    <s v="NO"/>
    <s v="YES"/>
    <s v="NO"/>
    <s v="Improved  learning outcomes of 48,997 marginalised girls within 467 schools"/>
    <s v="Sub-National"/>
    <s v="Ten districts in 4 provinces. Midlands Province x 3 districts; Masvingo x 1 district; Matabeleland North x 3 districts and Matabeleland South x 3 districts"/>
    <s v="Rural vulnerable girl children aged 5-15 years (at the beginning of the project), with limited choices, and at high risk of early marriage, pregnancy, HIV, exploitation and abuse."/>
    <n v="107092"/>
    <n v="2335"/>
    <n v="109427"/>
    <n v="41540"/>
    <n v="98080"/>
    <n v="139620"/>
    <s v="Marginalised girls who are the primary direct participants. Women, men and boys in VSL households, Mothers Groups, traditional and religious leaders, and School Development Committees (SDCs) are also direct participants. Indirect participants are community members, namely, Communities in Support of Girls Education (CSGE) and boys and men who are essential in creating an enabling and safe environment for girls education."/>
    <m/>
    <m/>
    <m/>
    <m/>
    <m/>
    <m/>
    <m/>
    <m/>
    <m/>
    <m/>
    <m/>
    <m/>
    <m/>
    <m/>
    <m/>
    <m/>
    <m/>
    <m/>
    <m/>
    <m/>
    <m/>
    <m/>
    <m/>
    <m/>
    <m/>
    <m/>
    <m/>
    <m/>
    <m/>
    <m/>
    <m/>
    <m/>
    <m/>
    <m/>
    <m/>
    <m/>
    <m/>
    <m/>
    <m/>
    <m/>
    <m/>
    <m/>
    <m/>
    <m/>
    <m/>
    <m/>
    <m/>
    <m/>
    <m/>
    <m/>
    <m/>
    <m/>
    <m/>
    <m/>
    <m/>
    <m/>
    <m/>
    <m/>
    <m/>
    <m/>
    <n v="102480.5"/>
    <n v="92694.5"/>
    <n v="195175"/>
    <n v="37842.5"/>
    <n v="58552.5"/>
    <n v="96395"/>
    <s v="NO"/>
    <m/>
    <m/>
    <m/>
    <s v="NO"/>
    <m/>
    <m/>
    <m/>
    <s v="NO"/>
    <m/>
    <m/>
    <m/>
    <s v="NO"/>
    <m/>
    <m/>
    <m/>
    <s v="NO"/>
    <m/>
    <m/>
    <m/>
    <s v="YES"/>
    <n v="141158"/>
    <n v="0.52"/>
    <n v="20290"/>
    <s v="NO"/>
    <m/>
    <m/>
    <m/>
    <s v="YES"/>
    <n v="7762"/>
    <n v="0.92"/>
    <n v="53217"/>
    <s v="YES"/>
    <n v="94046"/>
    <n v="1"/>
    <n v="80290"/>
    <s v="NO"/>
    <m/>
    <m/>
    <m/>
    <s v="NO"/>
    <m/>
    <m/>
    <m/>
    <s v="NO"/>
    <m/>
    <m/>
    <m/>
    <s v="YES"/>
    <n v="32421"/>
    <n v="0.52"/>
    <n v="202448"/>
    <s v="YES"/>
    <n v="54376"/>
    <n v="1"/>
    <n v="101448"/>
    <s v="NO"/>
    <m/>
    <m/>
    <m/>
    <s v="YES"/>
    <n v="19411"/>
    <n v="1"/>
    <n v="118407"/>
    <m/>
    <s v="NO"/>
    <m/>
    <m/>
    <m/>
    <s v="YES"/>
    <s v="November"/>
    <n v="2016"/>
    <s v="NO"/>
    <s v="NO"/>
    <m/>
    <m/>
    <m/>
    <x v="1"/>
    <s v="NO"/>
    <s v="NO"/>
    <s v="YES"/>
    <s v="YES"/>
    <s v="YES"/>
    <s v="NO"/>
    <s v="NO"/>
    <s v="NO"/>
    <m/>
    <x v="0"/>
    <m/>
    <x v="0"/>
    <m/>
    <x v="2"/>
    <x v="1"/>
    <s v="YES"/>
    <x v="0"/>
    <x v="0"/>
    <x v="0"/>
    <x v="2"/>
    <n v="4"/>
    <x v="2"/>
    <x v="1"/>
    <x v="1"/>
    <x v="1"/>
    <x v="1"/>
    <x v="2"/>
    <n v="4"/>
    <x v="1"/>
    <x v="1"/>
    <x v="1"/>
    <x v="1"/>
    <x v="1"/>
    <n v="3"/>
    <x v="2"/>
    <x v="2"/>
    <n v="1"/>
    <s v="International NGO(s)"/>
    <m/>
    <m/>
    <x v="0"/>
    <s v="Support to two local faith-based organizations (UDACIZA and EFZ) to develop girls' empowerment and gender programming targeting girls from marginalized groups, particularly Apostolic households; Support to community-based organizations to voice their concerns on education, gender equality and GBV to local authorities (working through a score card platform)."/>
    <s v="The Selection Planning and Management component of the VSL was introduced in order to strengthen the women economic empowerment outcomes."/>
    <s v="The Mothers Group intervention of following up on cases affecting girls education and mentoring young girls on life skills contributed to improved literacy outcomes"/>
    <s v="The Power Within intervention of building building girls leadership skills proved effective in improving literacy and numeracy outcomes for marginalised girls."/>
    <s v="Village Savings and Lending intervention was directly linked to improved numeracy skills in the daughters of participants, and has helped in building household economic capacities to meet education expenses for their children and to an extent built community resilience to the impact of drought"/>
    <s v="Community engagement in development initiatives in a manner that recognises their potential and capacities is vital for building community ownership to the initiatives and self organise themselves in response to identified challenges."/>
    <s v="Community/village level literacy and numeracy activities involving paprents trained on child protection issues are promising ways of improving learning outcomes for marginalised girls."/>
    <s v="Intergenerational effect of VSL participation - acquisition of numeracy skills at a faster pace by girls living in HHs practicing VSL, compared to control HHs"/>
    <s v="The year has been challenging as it was during the same period when the consortium learnt more about the implications of  Payment By Results (PbR) on the project. Some project compromises had to be made in order to put more effort and focus on learning activities in order to improve on the learning outcome indicators which are tied to the PbR. However, it also presented an opportunity for the project to innovate around its models to make the m more relevant to improving marginalised girls' learning outcomes."/>
    <s v="Proposal, logframe, quartlerly and annual reports uploaded on the Minerva"/>
    <n v="195175"/>
    <n v="96395"/>
    <n v="0.49389009862943511"/>
    <n v="0.5250698091456385"/>
    <n v="0.39257741584107059"/>
    <n v="102480.5"/>
    <n v="37842.5"/>
    <s v=""/>
    <n v="0"/>
    <n v="0"/>
    <s v=""/>
    <s v=""/>
    <n v="0"/>
    <n v="0"/>
    <s v=""/>
    <n v="1"/>
    <n v="54376"/>
    <n v="101448"/>
    <n v="1.8656760335442106"/>
    <n v="1"/>
    <n v="7762"/>
    <n v="53217"/>
    <n v="6.8560937902602426"/>
    <n v="1"/>
    <n v="19411"/>
    <n v="118407"/>
    <n v="6.0999948482819022"/>
    <s v="4. Transformative"/>
    <s v="4. Transformational"/>
    <s v="2. Sensitive"/>
    <s v="It did not develop any specific innovation"/>
    <s v="Moderate advocacy"/>
    <s v="It did not take tested solutions to scale"/>
  </r>
  <r>
    <x v="84"/>
    <x v="5"/>
    <n v="3512"/>
    <s v="Improving Water, Sanitation and Hygiene in Rural Areas of Zimbabwe"/>
    <s v="Zimbabwe"/>
    <s v="ZWE078, ZW353"/>
    <s v="CARE Canada"/>
    <s v="Multilateral agency"/>
    <s v="UN - United Nations agencies/offices"/>
    <s v="UNICEF"/>
    <m/>
    <m/>
    <m/>
    <m/>
    <m/>
    <m/>
    <m/>
    <m/>
    <m/>
    <m/>
    <m/>
    <m/>
    <m/>
    <m/>
    <m/>
    <m/>
    <m/>
    <m/>
    <m/>
    <m/>
    <m/>
    <m/>
    <m/>
    <m/>
    <m/>
    <m/>
    <m/>
    <m/>
    <m/>
    <m/>
    <m/>
    <m/>
    <m/>
    <m/>
    <m/>
    <m/>
    <m/>
    <m/>
    <m/>
    <m/>
    <m/>
    <m/>
    <m/>
    <m/>
    <m/>
    <d v="2013-05-01T00:00:00"/>
    <d v="2016-06-30T00:00:00"/>
    <d v="2016-11-30T00:00:00"/>
    <s v="Development Other"/>
    <n v="2896337"/>
    <s v="Lovemore Mujuru"/>
    <s v="Project Manager"/>
    <s v="LovemoreMujuru@carezimbabwe.org"/>
    <s v="Monique Morazain"/>
    <s v="Assistant Country Director"/>
    <s v="Monique.Morazain@care.ca"/>
    <s v="NO"/>
    <s v="YES"/>
    <s v="NO"/>
    <s v="The overall goal of the Zimbabwe Rural WASH program will be to reduce mortality due to WASH related diseases, reduce the burden of water collection on women and girls, and to improve dignity, basic education outcomes, and gender equality.  The programme also seeks to help Zimbabwe make significant progress towards the Millennium Development Goals by 2015 (and SDGs) particularly promote gender equality and and empower women, reduce child mortality, improve maternal health and  combat HIV/AIDS, malaria and other diseases."/>
    <s v="Sub-National"/>
    <s v="Midlands Province (Mberengwa District )and Masvingo Province (Gutu, Masvingo and Zaka Districts)"/>
    <s v="Poor, rural women, in female headed households, unable to fully exercise their rights, residing in areas dependent on agricultural livelihoods and at significant risk from the shocks of drought"/>
    <n v="189800"/>
    <n v="175200"/>
    <n v="365000"/>
    <n v="0"/>
    <n v="0"/>
    <n v="0"/>
    <s v="Direct participants are populations especially, vulnerable men and women, school children, and those affected HIV and AIDS, that do not have year round access to safe water supplies and improved school sanitation facilities. Populations in target communities practice open defecation and in need of community-driven sanitation and hygiene approaches."/>
    <m/>
    <m/>
    <m/>
    <m/>
    <m/>
    <m/>
    <m/>
    <m/>
    <m/>
    <m/>
    <m/>
    <m/>
    <m/>
    <m/>
    <m/>
    <m/>
    <m/>
    <m/>
    <m/>
    <m/>
    <m/>
    <m/>
    <m/>
    <m/>
    <m/>
    <m/>
    <m/>
    <m/>
    <m/>
    <m/>
    <m/>
    <m/>
    <m/>
    <m/>
    <m/>
    <m/>
    <m/>
    <m/>
    <m/>
    <m/>
    <m/>
    <m/>
    <m/>
    <m/>
    <m/>
    <m/>
    <m/>
    <m/>
    <m/>
    <m/>
    <m/>
    <m/>
    <m/>
    <m/>
    <m/>
    <m/>
    <m/>
    <m/>
    <m/>
    <m/>
    <n v="137604"/>
    <n v="127019"/>
    <n v="264623"/>
    <m/>
    <m/>
    <m/>
    <s v="NO"/>
    <m/>
    <m/>
    <m/>
    <s v="NO"/>
    <m/>
    <m/>
    <m/>
    <s v="NO"/>
    <m/>
    <m/>
    <m/>
    <s v="NO"/>
    <m/>
    <m/>
    <m/>
    <s v="NO"/>
    <m/>
    <m/>
    <m/>
    <s v="NO"/>
    <m/>
    <m/>
    <m/>
    <s v="NO"/>
    <m/>
    <m/>
    <m/>
    <s v="NO"/>
    <m/>
    <m/>
    <m/>
    <s v="NO"/>
    <m/>
    <m/>
    <m/>
    <s v="NO"/>
    <m/>
    <m/>
    <m/>
    <s v="NO"/>
    <m/>
    <m/>
    <m/>
    <s v="NO"/>
    <m/>
    <m/>
    <m/>
    <s v="NO"/>
    <m/>
    <m/>
    <m/>
    <s v="NO"/>
    <m/>
    <m/>
    <m/>
    <s v="YES"/>
    <n v="264623"/>
    <n v="0.52"/>
    <n v="0"/>
    <s v="NO"/>
    <m/>
    <m/>
    <m/>
    <m/>
    <s v="NO"/>
    <m/>
    <m/>
    <m/>
    <s v="NO"/>
    <m/>
    <m/>
    <s v="NO"/>
    <s v="NO"/>
    <m/>
    <m/>
    <m/>
    <x v="0"/>
    <s v="NO"/>
    <s v="NO"/>
    <s v="NO"/>
    <s v="NO"/>
    <s v="YES"/>
    <s v="NO"/>
    <s v="NO"/>
    <s v="NO"/>
    <m/>
    <x v="0"/>
    <m/>
    <x v="0"/>
    <m/>
    <x v="0"/>
    <x v="0"/>
    <s v="YES"/>
    <x v="0"/>
    <x v="0"/>
    <x v="0"/>
    <x v="0"/>
    <n v="4"/>
    <x v="1"/>
    <x v="1"/>
    <x v="1"/>
    <x v="1"/>
    <x v="2"/>
    <x v="1"/>
    <n v="3"/>
    <x v="1"/>
    <x v="2"/>
    <x v="2"/>
    <x v="1"/>
    <x v="3"/>
    <n v="1"/>
    <x v="2"/>
    <x v="1"/>
    <m/>
    <m/>
    <m/>
    <m/>
    <x v="1"/>
    <m/>
    <s v="In FY17, the project focused on sanitaion result of attaining Open Defacation Free status. All other results had been achived in FY16."/>
    <s v="Participatory Health and Hygiene Education"/>
    <s v="VSLAs"/>
    <s v="Private Sector Engagement"/>
    <s v="Budgetary support to WASH governance structure (District Water and Sanitation Sub Committee - DWSSC) is not sustainable. During the FY, the DWSSC vehicle, donated by UNICEF, was involved in an accident and grounded. It was not repaired. Unsustainability of governance support was clear before project end."/>
    <s v="Despite the intensified engagement of local leadership, some local leaders did not embrace the sanitation initiatives as expected. Some did not take a leadership role and as a result their villages could not achieve Open Defacation Free (ODF) status as anticipated."/>
    <s v="The uptake of the Upgradable Blair Ventilated Improved Pit latrine (uBVIP) continued to be a challenge in some communities as they opted to construct the Blair Ventilated Improved Pit latrine (BVIP) yet did not have the resources. The pro-poor solution was not easily embraced."/>
    <s v="Data has been adjusted as Project OFDA has a 17,513 participant overlap with CTP (data provided by CO)In any case, specific data for this project alone in this FY would other ways include:_x000a_Direct: 146,711 women&amp;girls  135,425 men&amp;boys =    282,136Total_x000a_"/>
    <s v="Project Final Report."/>
    <n v="264623"/>
    <n v="0"/>
    <n v="0"/>
    <n v="0.52000015115844045"/>
    <s v=""/>
    <n v="137604"/>
    <n v="0"/>
    <s v=""/>
    <n v="0"/>
    <n v="0"/>
    <s v=""/>
    <n v="1"/>
    <n v="264623"/>
    <n v="0"/>
    <n v="0"/>
    <s v=""/>
    <n v="0"/>
    <n v="0"/>
    <s v=""/>
    <s v=""/>
    <n v="0"/>
    <n v="0"/>
    <s v=""/>
    <s v=""/>
    <n v="0"/>
    <n v="0"/>
    <s v=""/>
    <s v="2. Sensitive"/>
    <s v="2. Accommodating"/>
    <s v="1. Neutral"/>
    <s v="It did not develop any specific innovation"/>
    <s v="Little or no advocacy"/>
    <s v="It did not take tested solutions to scale"/>
  </r>
  <r>
    <x v="84"/>
    <x v="5"/>
    <m/>
    <s v="Improving Water, Sanitation and Hygiene in Rural Areas of Zimbabwe Extension"/>
    <s v="Zimbabwe"/>
    <s v="ZWE078, ZW368"/>
    <s v="CARE Canada"/>
    <s v="Multilateral agency"/>
    <s v="UN - United Nations agencies/offices"/>
    <s v="UNICEF"/>
    <m/>
    <m/>
    <m/>
    <m/>
    <m/>
    <m/>
    <m/>
    <m/>
    <m/>
    <m/>
    <m/>
    <m/>
    <m/>
    <m/>
    <m/>
    <m/>
    <m/>
    <m/>
    <m/>
    <m/>
    <m/>
    <m/>
    <m/>
    <m/>
    <m/>
    <m/>
    <m/>
    <m/>
    <m/>
    <m/>
    <m/>
    <m/>
    <m/>
    <m/>
    <m/>
    <m/>
    <m/>
    <m/>
    <m/>
    <m/>
    <m/>
    <m/>
    <m/>
    <m/>
    <m/>
    <d v="2017-05-01T00:00:00"/>
    <d v="2018-12-31T00:00:00"/>
    <m/>
    <s v="Development Other"/>
    <n v="1004394"/>
    <s v="Lovemore Mujuru"/>
    <s v="Project Manager"/>
    <s v="LovemoreMujuru@carezimbabwe.org"/>
    <s v="Monique Morazain"/>
    <s v="Assistant Country Director"/>
    <s v="Monique.Morazain@care.ca"/>
    <s v="NO"/>
    <s v="YES"/>
    <s v="NO"/>
    <s v="Increased equitable and sustainable use of protected water supplies; use of improved sanitation; adoption of hygiene"/>
    <s v="Sub-National"/>
    <s v="Buhera and Mutare districts in Manicaland Province"/>
    <s v="Poor, rural women, in female headed households, unable to fully exercise their rights, residing in areas dependent on agricultural livelihoods and at significant risk from the shocks of drought"/>
    <n v="121420"/>
    <n v="112080"/>
    <n v="233500"/>
    <m/>
    <m/>
    <n v="0"/>
    <s v="Women, men, girls and boys, in the selected wards of Buhera and Mutare Districts without sustainable access to perennial, safe water supplies and dignified   sanitation facilities and hygienic practices. Indirect participants are other people in the target communities adopting new hygiene behaviours and building their own WASH facilities without the project assistance."/>
    <m/>
    <m/>
    <m/>
    <m/>
    <m/>
    <m/>
    <m/>
    <m/>
    <m/>
    <m/>
    <m/>
    <m/>
    <m/>
    <m/>
    <m/>
    <m/>
    <m/>
    <m/>
    <m/>
    <m/>
    <m/>
    <m/>
    <m/>
    <m/>
    <m/>
    <m/>
    <m/>
    <m/>
    <m/>
    <m/>
    <m/>
    <m/>
    <m/>
    <m/>
    <m/>
    <m/>
    <m/>
    <m/>
    <m/>
    <m/>
    <m/>
    <m/>
    <m/>
    <m/>
    <m/>
    <m/>
    <m/>
    <m/>
    <m/>
    <m/>
    <m/>
    <m/>
    <m/>
    <m/>
    <m/>
    <m/>
    <m/>
    <m/>
    <m/>
    <m/>
    <n v="0"/>
    <n v="0"/>
    <n v="0"/>
    <n v="0"/>
    <n v="0"/>
    <n v="0"/>
    <s v="NO"/>
    <m/>
    <m/>
    <m/>
    <s v="NO"/>
    <m/>
    <m/>
    <m/>
    <s v="NO"/>
    <m/>
    <m/>
    <m/>
    <s v="NO"/>
    <m/>
    <m/>
    <m/>
    <s v="NO"/>
    <m/>
    <m/>
    <m/>
    <s v="NO"/>
    <m/>
    <m/>
    <m/>
    <s v="NO"/>
    <m/>
    <m/>
    <m/>
    <s v="NO"/>
    <m/>
    <m/>
    <m/>
    <s v="NO"/>
    <m/>
    <m/>
    <m/>
    <s v="NO"/>
    <m/>
    <m/>
    <m/>
    <s v="YES"/>
    <m/>
    <m/>
    <m/>
    <s v="NO"/>
    <m/>
    <m/>
    <m/>
    <s v="NO"/>
    <m/>
    <m/>
    <m/>
    <s v="NO"/>
    <m/>
    <m/>
    <m/>
    <s v="YES"/>
    <n v="0"/>
    <n v="0"/>
    <n v="0"/>
    <s v="NO"/>
    <m/>
    <m/>
    <m/>
    <m/>
    <s v="NO"/>
    <m/>
    <m/>
    <m/>
    <s v="NO"/>
    <m/>
    <m/>
    <s v="NO"/>
    <s v="NO"/>
    <m/>
    <m/>
    <s v="UNICEF carries out national level baselines and evaluations."/>
    <x v="3"/>
    <m/>
    <m/>
    <m/>
    <m/>
    <m/>
    <m/>
    <m/>
    <m/>
    <m/>
    <x v="0"/>
    <m/>
    <x v="2"/>
    <m/>
    <x v="0"/>
    <x v="2"/>
    <m/>
    <x v="2"/>
    <x v="2"/>
    <x v="2"/>
    <x v="3"/>
    <n v="0"/>
    <x v="0"/>
    <x v="0"/>
    <x v="0"/>
    <x v="0"/>
    <x v="0"/>
    <x v="0"/>
    <n v="0"/>
    <x v="0"/>
    <x v="0"/>
    <x v="0"/>
    <x v="0"/>
    <x v="0"/>
    <n v="0"/>
    <x v="2"/>
    <x v="1"/>
    <m/>
    <m/>
    <m/>
    <m/>
    <x v="1"/>
    <m/>
    <s v="NONE, Project was in start up phase"/>
    <s v="NONE, Project was in start up phase"/>
    <m/>
    <m/>
    <s v="NONE, Project was in start up phase"/>
    <m/>
    <m/>
    <s v="No activities were caried out in target communities in FY17."/>
    <s v="Project proposal"/>
    <n v="0"/>
    <n v="0"/>
    <s v=""/>
    <s v=""/>
    <s v=""/>
    <n v="0"/>
    <n v="0"/>
    <s v=""/>
    <n v="0"/>
    <n v="0"/>
    <s v=""/>
    <n v="1"/>
    <n v="0"/>
    <n v="0"/>
    <s v=""/>
    <s v=""/>
    <n v="0"/>
    <n v="0"/>
    <s v=""/>
    <s v=""/>
    <n v="0"/>
    <n v="0"/>
    <s v=""/>
    <s v=""/>
    <n v="0"/>
    <n v="0"/>
    <s v=""/>
    <s v="No marker score"/>
    <s v="No marker score"/>
    <s v="No marker score"/>
    <s v="It did not develop any specific innovation"/>
    <n v="0"/>
    <n v="0"/>
  </r>
  <r>
    <x v="84"/>
    <x v="5"/>
    <n v="3503"/>
    <s v="Integrated Soil-Water Conservation and Livestock Management in the Runde River Catchment Area"/>
    <s v="Zimbabwe"/>
    <s v="ZW083, ZW343"/>
    <s v="CARE Deutschland-Luxemburg"/>
    <s v="Multilateral agency"/>
    <s v="EU - European Union (other than ECHO)"/>
    <s v="EU"/>
    <m/>
    <m/>
    <m/>
    <m/>
    <m/>
    <m/>
    <m/>
    <m/>
    <m/>
    <m/>
    <m/>
    <m/>
    <m/>
    <m/>
    <m/>
    <m/>
    <m/>
    <m/>
    <m/>
    <m/>
    <m/>
    <m/>
    <m/>
    <m/>
    <m/>
    <m/>
    <m/>
    <m/>
    <m/>
    <m/>
    <m/>
    <m/>
    <m/>
    <m/>
    <m/>
    <m/>
    <m/>
    <m/>
    <m/>
    <m/>
    <m/>
    <m/>
    <m/>
    <m/>
    <m/>
    <d v="2013-12-01T00:00:00"/>
    <d v="2016-11-30T00:00:00"/>
    <m/>
    <s v="Development Other"/>
    <n v="1375000"/>
    <s v="Merilyn Kudzai Kawadza"/>
    <s v="Project Manager"/>
    <s v="merilynka@carezimbabwe.org"/>
    <s v="Monique Morazain"/>
    <s v="Assistant Country Director"/>
    <s v="Monique.Morazain@carezimbabwe.org"/>
    <s v="NO"/>
    <s v="YES"/>
    <s v="NO"/>
    <s v="Environmental protection and monitoring to improve the livelihoods of the population in Runde River Catchment and the Lowveld cane growing areas. Contributing to a larger EC goal of support, sustain and increase sugarcane production within an improved socio-economic environment, that is to improve the investiment and productivity in the sugar growing sector so as to improve the livelihoods of the population in the Lowveld."/>
    <s v="Sub-National"/>
    <s v="Bikita, Chivi, Chiredzi, Masvingo, Mwenezi and Zaka districts (Zimbabwe; Masvingo Province)"/>
    <s v="Poor, rural women, in female headed households, unable to fully exercise their rights, residing in areas dependent on agricultural livelihoods and at significant risk from the shocks of drought"/>
    <n v="955"/>
    <n v="944"/>
    <n v="1899"/>
    <n v="4775"/>
    <n v="4720"/>
    <n v="9495"/>
    <s v="Poor rural women and men smallholder household heads, agriculture extension staff, NRM committees and local leadership were direct participants. Indirect participants were the household members of smallholder farmers and population benefiting from new NRM by-laws."/>
    <m/>
    <m/>
    <m/>
    <m/>
    <m/>
    <m/>
    <m/>
    <m/>
    <m/>
    <m/>
    <m/>
    <m/>
    <m/>
    <m/>
    <m/>
    <m/>
    <m/>
    <m/>
    <m/>
    <m/>
    <m/>
    <m/>
    <m/>
    <m/>
    <m/>
    <m/>
    <m/>
    <m/>
    <m/>
    <m/>
    <m/>
    <m/>
    <m/>
    <m/>
    <m/>
    <m/>
    <m/>
    <m/>
    <m/>
    <m/>
    <m/>
    <m/>
    <m/>
    <m/>
    <m/>
    <m/>
    <m/>
    <m/>
    <m/>
    <m/>
    <m/>
    <m/>
    <m/>
    <m/>
    <m/>
    <m/>
    <m/>
    <m/>
    <m/>
    <m/>
    <n v="6018"/>
    <n v="3241"/>
    <n v="9259"/>
    <n v="41613"/>
    <n v="38412"/>
    <n v="80025"/>
    <s v="YES"/>
    <n v="9259"/>
    <n v="0.65"/>
    <n v="37036"/>
    <s v="YES"/>
    <n v="185"/>
    <n v="0.5"/>
    <n v="740"/>
    <s v="NO"/>
    <m/>
    <m/>
    <m/>
    <s v="YES"/>
    <n v="704"/>
    <n v="0.5"/>
    <n v="2816"/>
    <s v="NO"/>
    <m/>
    <m/>
    <m/>
    <s v="NO"/>
    <m/>
    <m/>
    <m/>
    <s v="NO"/>
    <m/>
    <m/>
    <m/>
    <s v="NO"/>
    <m/>
    <m/>
    <m/>
    <s v="NO"/>
    <m/>
    <m/>
    <m/>
    <s v="NO"/>
    <m/>
    <m/>
    <m/>
    <s v="NO"/>
    <m/>
    <m/>
    <m/>
    <s v="YES"/>
    <n v="2954"/>
    <n v="0.5"/>
    <n v="80025"/>
    <s v="NO"/>
    <m/>
    <m/>
    <m/>
    <s v="NO"/>
    <m/>
    <m/>
    <m/>
    <s v="NO"/>
    <m/>
    <m/>
    <m/>
    <s v="NO"/>
    <m/>
    <m/>
    <m/>
    <m/>
    <s v="NO"/>
    <m/>
    <m/>
    <m/>
    <s v="YES"/>
    <s v="February"/>
    <n v="2017"/>
    <s v="NO"/>
    <s v="NO"/>
    <m/>
    <m/>
    <m/>
    <x v="1"/>
    <s v="NO"/>
    <s v="NO"/>
    <s v="YES"/>
    <s v="YES"/>
    <s v="NO"/>
    <s v="NO"/>
    <s v="NO"/>
    <s v="NO"/>
    <m/>
    <x v="1"/>
    <s v="Cluster irrigation farmers  in Zaka district engaged in Chili contract farming thereby increasing the financial base"/>
    <x v="1"/>
    <s v="Community level natural resources management through by-laws"/>
    <x v="1"/>
    <x v="0"/>
    <s v="NO"/>
    <x v="0"/>
    <x v="0"/>
    <x v="1"/>
    <x v="1"/>
    <n v="2"/>
    <x v="2"/>
    <x v="1"/>
    <x v="1"/>
    <x v="1"/>
    <x v="1"/>
    <x v="2"/>
    <n v="4"/>
    <x v="1"/>
    <x v="1"/>
    <x v="1"/>
    <x v="1"/>
    <x v="1"/>
    <n v="3"/>
    <x v="0"/>
    <x v="2"/>
    <n v="1"/>
    <s v="Local NGO(s)/CSO(s)"/>
    <m/>
    <m/>
    <x v="1"/>
    <m/>
    <m/>
    <s v="Capacity building of public extension staff"/>
    <s v="Community based Natural Resources Management"/>
    <s v="Farmer Schools"/>
    <s v="Effective stakeholders coordination and leadership is a critical success factor"/>
    <s v="When stakeholders see intrinsic value to their participation, securing their long-term support, cooperation and commitment to a cause project success is almost guaranteed."/>
    <m/>
    <s v="Project numbers previously reported were based on participants interacting with project staff, such as committee members. Field activities were mostly delivered through government extension staff, and their reach was not reported previously.                                                                                       There is need for continued investment in the capacitry building of public extension staff on M &amp; E  to enhance their skills in  data collection and reporting."/>
    <s v="Project final report and evaluation are attached"/>
    <n v="9259"/>
    <n v="80025"/>
    <n v="8.642942002376067"/>
    <n v="0.64996219894157037"/>
    <n v="0.52"/>
    <n v="6018"/>
    <n v="41613"/>
    <s v=""/>
    <n v="0"/>
    <n v="0"/>
    <s v=""/>
    <n v="1"/>
    <n v="9259"/>
    <n v="80025"/>
    <n v="8.642942002376067"/>
    <s v=""/>
    <n v="0"/>
    <n v="0"/>
    <s v=""/>
    <s v=""/>
    <n v="0"/>
    <n v="0"/>
    <s v=""/>
    <s v=""/>
    <n v="0"/>
    <n v="0"/>
    <s v=""/>
    <s v="1. Neutral"/>
    <s v="4. Transformational"/>
    <s v="2. Sensitive"/>
    <s v="It tested new ways for fighting poverty, but did not measure results of innovation"/>
    <s v="Moderate advocacy"/>
    <s v="It linked and worked with strategic alliances and partners to take tested and effective solutions to scale"/>
  </r>
  <r>
    <x v="84"/>
    <x v="5"/>
    <m/>
    <s v="Lendwithcare"/>
    <s v="Zimbabwe"/>
    <s v="UNRTGB0076"/>
    <s v="CARE UK"/>
    <s v="Individual supporter"/>
    <s v="Other"/>
    <m/>
    <s v="UNRTGB0076"/>
    <s v="CARE UK"/>
    <s v="Foundation"/>
    <s v="Other"/>
    <s v="The Jimmy Choo Foundation"/>
    <m/>
    <m/>
    <m/>
    <m/>
    <m/>
    <m/>
    <m/>
    <m/>
    <m/>
    <m/>
    <m/>
    <m/>
    <m/>
    <m/>
    <m/>
    <m/>
    <m/>
    <m/>
    <m/>
    <m/>
    <m/>
    <m/>
    <m/>
    <m/>
    <m/>
    <m/>
    <m/>
    <m/>
    <m/>
    <m/>
    <m/>
    <m/>
    <m/>
    <m/>
    <m/>
    <m/>
    <m/>
    <m/>
    <m/>
    <m/>
    <d v="2016-07-01T00:00:00"/>
    <d v="2017-06-30T00:00:00"/>
    <m/>
    <s v="Development Access to and Control over Economic Resources"/>
    <n v="385570"/>
    <s v="Tracey Horner"/>
    <s v="Head of Lendwithcare"/>
    <s v="horner@careinternational.org"/>
    <m/>
    <m/>
    <m/>
    <s v="NO"/>
    <s v="YES"/>
    <s v="NO"/>
    <s v="Provide loan capital to poor and low-income individuals, exclusively groups of women, who want to start or expand a small business."/>
    <s v="Sub-National"/>
    <s v="Harare"/>
    <s v="Women with existing income-generating activities who are excluded from the formal financial sector. The main impact groups are individuals engaged in primarily in petty trading."/>
    <n v="725"/>
    <n v="0"/>
    <n v="725"/>
    <n v="939"/>
    <n v="902"/>
    <n v="1841"/>
    <s v="Direct participants are those who received a loan to invest in their business from Lendwithcare lenders in FY17. Indirect participants have been calculated by adding up all of the dependents of the entrepreneurs who received a loan in FY17 and the people who have been employed in their businesses. We are not able to disaggregate the data for indirect participants by female and male, so I have used the ratio of 51:49 that is in the CIA World Factbook for Zimbabwe https://www.cia.gov/library/publications/the-world-factbook/geos/zi.html . This is an on-going project so I have given the numbers of participants just in this FY as there is no end date to the project."/>
    <m/>
    <m/>
    <m/>
    <m/>
    <m/>
    <m/>
    <m/>
    <m/>
    <m/>
    <m/>
    <m/>
    <m/>
    <m/>
    <m/>
    <m/>
    <m/>
    <m/>
    <m/>
    <m/>
    <m/>
    <m/>
    <m/>
    <m/>
    <m/>
    <m/>
    <m/>
    <m/>
    <m/>
    <m/>
    <m/>
    <m/>
    <m/>
    <m/>
    <m/>
    <m/>
    <m/>
    <m/>
    <m/>
    <m/>
    <m/>
    <m/>
    <m/>
    <m/>
    <m/>
    <m/>
    <m/>
    <m/>
    <m/>
    <m/>
    <m/>
    <m/>
    <m/>
    <m/>
    <m/>
    <m/>
    <m/>
    <m/>
    <m/>
    <m/>
    <m/>
    <n v="725"/>
    <n v="0"/>
    <n v="725"/>
    <n v="939"/>
    <n v="902"/>
    <n v="1841"/>
    <m/>
    <m/>
    <m/>
    <m/>
    <m/>
    <m/>
    <m/>
    <m/>
    <m/>
    <m/>
    <m/>
    <m/>
    <m/>
    <m/>
    <m/>
    <m/>
    <m/>
    <m/>
    <m/>
    <m/>
    <m/>
    <m/>
    <m/>
    <m/>
    <m/>
    <m/>
    <m/>
    <m/>
    <m/>
    <m/>
    <m/>
    <m/>
    <m/>
    <m/>
    <m/>
    <m/>
    <m/>
    <m/>
    <m/>
    <m/>
    <m/>
    <m/>
    <m/>
    <m/>
    <m/>
    <m/>
    <m/>
    <m/>
    <m/>
    <m/>
    <m/>
    <m/>
    <m/>
    <m/>
    <m/>
    <m/>
    <m/>
    <m/>
    <m/>
    <m/>
    <s v="YES"/>
    <n v="725"/>
    <n v="1"/>
    <n v="1841"/>
    <m/>
    <m/>
    <m/>
    <m/>
    <m/>
    <s v="YES"/>
    <s v="June"/>
    <n v="2017"/>
    <m/>
    <s v="NO"/>
    <m/>
    <m/>
    <m/>
    <x v="0"/>
    <m/>
    <m/>
    <m/>
    <m/>
    <m/>
    <m/>
    <m/>
    <m/>
    <m/>
    <x v="0"/>
    <m/>
    <x v="0"/>
    <m/>
    <x v="0"/>
    <x v="3"/>
    <m/>
    <x v="2"/>
    <x v="2"/>
    <x v="2"/>
    <x v="5"/>
    <n v="0"/>
    <x v="3"/>
    <x v="0"/>
    <x v="0"/>
    <x v="0"/>
    <x v="0"/>
    <x v="3"/>
    <n v="0"/>
    <x v="2"/>
    <x v="0"/>
    <x v="0"/>
    <x v="0"/>
    <x v="2"/>
    <n v="0"/>
    <x v="2"/>
    <x v="2"/>
    <n v="1"/>
    <s v="Private sector"/>
    <m/>
    <m/>
    <x v="1"/>
    <m/>
    <s v="There were no important changes or adjustments made."/>
    <s v="Microfinance was used as the strategy to meet our Financial Inclusion and WEE objectives."/>
    <s v="Peer-to-peer lending was used as the strategy to raise loan capital for the project's participants."/>
    <s v="Questionnaires (developed in collaboration with the University of Portsmouth) and a Poverty Assessment Tool were used to measure the impact of accessing microcredit on household poverty levels and business development."/>
    <s v="In FY17, Zimbabwe's economy continued to be incredibly fragile largey due to a severe cash shortage. This had an impact on the success of small businesses and also the ability of micro-entrepreneurs to repay their loans. We supported a number of defaulted loans on Lendwithcare in FY17."/>
    <s v="It was a huge challenge to locate participants from the baseline study in FY16, particularly those from the control group."/>
    <m/>
    <s v="This is an on-going project so we do not have a budget for the lifetime of the project. The number we have reported is how much loan capital was raised through the Lendwithcare platform for Ecuador in FY17. Lendwithcare does not use gender, resilience or governance scorecards as part of its programming so we have had to answer no to all the questions related to these. However, an outcome of 'harmful' (particularly with regards to women's empowerment and gender equality) seems in accurate since this initiatve focuses heavily on Women's Economic Empowerment and in Zimbabwe the beneficiaries are 100% female."/>
    <m/>
    <n v="725"/>
    <n v="1841"/>
    <n v="2.539310344827586"/>
    <n v="1"/>
    <n v="0.510048886474742"/>
    <n v="725"/>
    <n v="939"/>
    <s v=""/>
    <n v="0"/>
    <n v="0"/>
    <s v=""/>
    <s v=""/>
    <n v="0"/>
    <n v="0"/>
    <s v=""/>
    <s v=""/>
    <n v="0"/>
    <n v="0"/>
    <s v=""/>
    <s v=""/>
    <n v="0"/>
    <n v="0"/>
    <s v=""/>
    <n v="1"/>
    <n v="725"/>
    <n v="1841"/>
    <n v="2.539310344827586"/>
    <s v="0. Harmful"/>
    <s v="0. Unaware"/>
    <s v="0. Harmful"/>
    <s v="It did not develop any specific innovation"/>
    <s v="Little or no advocacy"/>
    <s v="It did not take tested solutions to scale"/>
  </r>
  <r>
    <x v="84"/>
    <x v="5"/>
    <n v="3509"/>
    <s v="Provision of technical assistance to CBZ during implementation of rural finance outreach strategy in selected country districts under the Zimbabwe Livelihoods and Food Security Program"/>
    <s v="Zimbabwe"/>
    <s v="ZWE056 ZW352, ZW359"/>
    <s v="CARE Canada"/>
    <s v="Multilateral agency"/>
    <s v="UN - United Nations agencies/offices"/>
    <s v="FAO"/>
    <m/>
    <m/>
    <m/>
    <m/>
    <m/>
    <m/>
    <m/>
    <m/>
    <m/>
    <m/>
    <m/>
    <m/>
    <m/>
    <m/>
    <m/>
    <m/>
    <m/>
    <m/>
    <m/>
    <m/>
    <m/>
    <m/>
    <m/>
    <m/>
    <m/>
    <m/>
    <m/>
    <m/>
    <m/>
    <m/>
    <m/>
    <m/>
    <m/>
    <m/>
    <m/>
    <m/>
    <m/>
    <m/>
    <m/>
    <m/>
    <m/>
    <m/>
    <m/>
    <m/>
    <m/>
    <d v="2015-09-30T00:00:00"/>
    <d v="2017-09-30T00:00:00"/>
    <m/>
    <s v="Development Access to and Control over Economic Resources"/>
    <n v="285796.26"/>
    <s v="Henry Chimboza"/>
    <s v="Project Manager"/>
    <s v="henrych@carezimbabwe.org"/>
    <s v="Monique Morazain"/>
    <s v="Assistant Country Director"/>
    <s v="Monique.Morazain@carezimbabwe.org"/>
    <s v="NO"/>
    <s v="YES"/>
    <s v="NO"/>
    <s v="To determine the rural financial needs and current gaps in Microplans capacity, which together will inform the development of a rural finance outreach strategy for Microplan"/>
    <s v="Sub-National"/>
    <s v="Mashonaland Central Province (Guruve and Mt. Darwin districts) and Manicaland Province (Mutare, Makoni and Mutasa districts)"/>
    <s v="Poor, rural women, in female headed households, unable to fully exercise their rights, residing in areas dependent on agricultural livelihoods and at significant risk from the shocks of drought"/>
    <n v="27563"/>
    <n v="11813"/>
    <n v="39376"/>
    <n v="110252"/>
    <n v="47252"/>
    <n v="157504"/>
    <s v="Direct participants are the rural low income earners becoming CBZ clients through opening savibgs accounts, accessing loans, insurance products and receiving advisories as a result of CARE support and the indirect particiants is number of direct participants multiplied by average household size less the direct particiapnt."/>
    <m/>
    <m/>
    <m/>
    <m/>
    <m/>
    <m/>
    <m/>
    <m/>
    <m/>
    <m/>
    <m/>
    <m/>
    <m/>
    <m/>
    <m/>
    <m/>
    <m/>
    <m/>
    <m/>
    <m/>
    <m/>
    <m/>
    <m/>
    <m/>
    <m/>
    <m/>
    <m/>
    <m/>
    <m/>
    <m/>
    <m/>
    <m/>
    <m/>
    <m/>
    <m/>
    <m/>
    <m/>
    <m/>
    <m/>
    <m/>
    <m/>
    <m/>
    <m/>
    <m/>
    <m/>
    <m/>
    <m/>
    <m/>
    <m/>
    <m/>
    <m/>
    <m/>
    <m/>
    <m/>
    <m/>
    <m/>
    <m/>
    <m/>
    <m/>
    <m/>
    <n v="11143"/>
    <n v="7429"/>
    <n v="18572"/>
    <n v="44573"/>
    <n v="29715"/>
    <n v="74288"/>
    <s v="NO"/>
    <m/>
    <m/>
    <m/>
    <s v="NO"/>
    <m/>
    <m/>
    <m/>
    <s v="NO"/>
    <m/>
    <m/>
    <m/>
    <s v="NO"/>
    <m/>
    <m/>
    <m/>
    <s v="YES"/>
    <n v="18572"/>
    <n v="0.6"/>
    <n v="74288"/>
    <s v="NO"/>
    <m/>
    <m/>
    <m/>
    <s v="NO"/>
    <m/>
    <m/>
    <m/>
    <s v="NO"/>
    <m/>
    <m/>
    <m/>
    <s v="NO"/>
    <m/>
    <m/>
    <m/>
    <s v="NO"/>
    <m/>
    <m/>
    <m/>
    <s v="NO"/>
    <m/>
    <m/>
    <m/>
    <s v="NO"/>
    <m/>
    <m/>
    <m/>
    <s v="NO"/>
    <m/>
    <m/>
    <m/>
    <s v="NO"/>
    <m/>
    <m/>
    <m/>
    <s v="NO"/>
    <m/>
    <m/>
    <m/>
    <s v="NO"/>
    <m/>
    <m/>
    <m/>
    <m/>
    <s v="NO"/>
    <m/>
    <m/>
    <m/>
    <s v="NO"/>
    <m/>
    <m/>
    <m/>
    <s v="NO"/>
    <m/>
    <m/>
    <s v="This project focuses on technical assistance to a financial institution, baseline and evaluation are part of process monitoring measuring level of capacity building"/>
    <x v="1"/>
    <s v="YES"/>
    <s v="YES"/>
    <s v="YES"/>
    <s v="NO"/>
    <s v="NO"/>
    <s v="NO"/>
    <s v="NO"/>
    <m/>
    <m/>
    <x v="0"/>
    <m/>
    <x v="0"/>
    <m/>
    <x v="0"/>
    <x v="0"/>
    <s v="YES"/>
    <x v="0"/>
    <x v="0"/>
    <x v="0"/>
    <x v="0"/>
    <n v="4"/>
    <x v="1"/>
    <x v="1"/>
    <x v="1"/>
    <x v="1"/>
    <x v="1"/>
    <x v="1"/>
    <n v="4"/>
    <x v="1"/>
    <x v="1"/>
    <x v="2"/>
    <x v="1"/>
    <x v="3"/>
    <n v="2"/>
    <x v="0"/>
    <x v="2"/>
    <n v="1"/>
    <s v="Private sector"/>
    <m/>
    <m/>
    <x v="1"/>
    <m/>
    <m/>
    <s v="Partner capacity building"/>
    <s v="Market analysis"/>
    <s v="Opening of low cost branches and bank agencies in rural areas"/>
    <s v="There is need for financial literacy training across everyone working in rural areas (NGOs, Private sector as well as clients themselves)"/>
    <s v="With adequate skills and knowledge Community based Agents can form a vital link between Financial Institutions and the communities"/>
    <s v="Smallholder farmers need appropriate and adequate capacity to deal with off takers"/>
    <s v="A project of this nature which works with financial institurions involving working with existing structures requires longer time frames to build relationships and nurturing those relations.  "/>
    <m/>
    <n v="18572"/>
    <n v="74288"/>
    <n v="4"/>
    <n v="0.59998923110058155"/>
    <n v="0.60000269222485458"/>
    <n v="11143"/>
    <n v="44573"/>
    <s v=""/>
    <n v="0"/>
    <n v="0"/>
    <s v=""/>
    <n v="1"/>
    <n v="18572"/>
    <n v="74288"/>
    <n v="4"/>
    <s v=""/>
    <n v="0"/>
    <n v="0"/>
    <s v=""/>
    <s v=""/>
    <n v="0"/>
    <n v="0"/>
    <s v=""/>
    <n v="1"/>
    <n v="11143.199999999999"/>
    <n v="44572.799999999996"/>
    <n v="4"/>
    <s v="2. Sensitive"/>
    <s v="2. Accommodating"/>
    <s v="1. Neutral"/>
    <s v="It did not develop any specific innovation"/>
    <s v="Moderate advocacy"/>
    <s v="It did not take tested solutions to scale"/>
  </r>
  <r>
    <x v="84"/>
    <x v="5"/>
    <n v="3508"/>
    <s v="Provision of technical assistance to Microplan during implementation of rural finance outreach strategy in selected country districts under the Zimbabwe Livelihoods and Food Security Program"/>
    <s v="Zimbabwe"/>
    <s v="ZWE056 ZW351, ZW358"/>
    <s v="CARE Canada"/>
    <s v="Multilateral agency"/>
    <s v="UN - United Nations agencies/offices"/>
    <s v="FAO"/>
    <m/>
    <m/>
    <m/>
    <m/>
    <m/>
    <m/>
    <m/>
    <m/>
    <m/>
    <m/>
    <m/>
    <m/>
    <m/>
    <m/>
    <m/>
    <m/>
    <m/>
    <m/>
    <m/>
    <m/>
    <m/>
    <m/>
    <m/>
    <m/>
    <m/>
    <m/>
    <m/>
    <m/>
    <m/>
    <m/>
    <m/>
    <m/>
    <m/>
    <m/>
    <m/>
    <m/>
    <m/>
    <m/>
    <m/>
    <m/>
    <m/>
    <m/>
    <m/>
    <m/>
    <m/>
    <d v="2015-09-30T00:00:00"/>
    <d v="2017-09-30T00:00:00"/>
    <m/>
    <s v="Development Access to and Control over Economic Resources"/>
    <n v="307844.76"/>
    <s v="Henry Chimboza"/>
    <s v="Project Manager"/>
    <s v="henrych@carezimbabwe.org"/>
    <s v="Monique Morazain"/>
    <s v="Assistant Country Director"/>
    <s v="Monique.Morazain@carezimbabwe.org"/>
    <s v="NO"/>
    <s v="YES"/>
    <s v="NO"/>
    <s v="To determine the rural financial needs and current gaps in Microplans capacity, which together will inform the development of a rural finance outreach strategy for Microplan"/>
    <s v="Sub-National"/>
    <s v="Mashonaland Central Province (Guruve and Mt. Darwin districts) and Manicaland Province (Mutare, Makoni and Mutasa districts)"/>
    <s v="Poor, rural women, in female headed households, unable to fully exercise their rights, residing in areas dependent on agricultural livelihoods and at significant risk from the shocks of drought"/>
    <n v="35151"/>
    <n v="15065"/>
    <n v="50216"/>
    <n v="140604"/>
    <n v="60260"/>
    <n v="200864"/>
    <s v="Micro Plan low income clients opening savings accounts for low income earners, accesing individual loan products, insurance products and advisory services for their enterprises through support from CARE"/>
    <m/>
    <m/>
    <m/>
    <m/>
    <m/>
    <m/>
    <m/>
    <m/>
    <m/>
    <m/>
    <m/>
    <m/>
    <m/>
    <m/>
    <m/>
    <m/>
    <m/>
    <m/>
    <m/>
    <m/>
    <m/>
    <m/>
    <m/>
    <m/>
    <m/>
    <m/>
    <m/>
    <m/>
    <m/>
    <m/>
    <m/>
    <m/>
    <m/>
    <m/>
    <m/>
    <m/>
    <m/>
    <m/>
    <m/>
    <m/>
    <m/>
    <m/>
    <m/>
    <m/>
    <m/>
    <m/>
    <m/>
    <m/>
    <m/>
    <m/>
    <m/>
    <m/>
    <m/>
    <m/>
    <m/>
    <m/>
    <m/>
    <m/>
    <m/>
    <m/>
    <n v="5521"/>
    <n v="9006"/>
    <n v="14527"/>
    <n v="22084"/>
    <n v="36024"/>
    <n v="58108"/>
    <s v="NO"/>
    <m/>
    <m/>
    <m/>
    <s v="NO"/>
    <m/>
    <m/>
    <m/>
    <s v="NO"/>
    <m/>
    <m/>
    <m/>
    <s v="NO"/>
    <m/>
    <m/>
    <m/>
    <s v="YES"/>
    <n v="14527"/>
    <n v="0.38"/>
    <n v="58108"/>
    <s v="NO"/>
    <m/>
    <m/>
    <m/>
    <s v="NO"/>
    <m/>
    <m/>
    <m/>
    <s v="NO"/>
    <m/>
    <m/>
    <m/>
    <s v="NO"/>
    <m/>
    <m/>
    <m/>
    <s v="NO"/>
    <m/>
    <m/>
    <m/>
    <s v="NO"/>
    <m/>
    <m/>
    <m/>
    <s v="NO"/>
    <m/>
    <m/>
    <m/>
    <s v="NO"/>
    <m/>
    <m/>
    <m/>
    <s v="NO"/>
    <m/>
    <m/>
    <m/>
    <s v="NO"/>
    <m/>
    <m/>
    <m/>
    <s v="NO"/>
    <m/>
    <m/>
    <m/>
    <m/>
    <s v="NO"/>
    <m/>
    <m/>
    <m/>
    <s v="NO"/>
    <m/>
    <m/>
    <m/>
    <s v="NO"/>
    <m/>
    <m/>
    <s v="Evaluations are commisioned by the donor (Food and Agriculture Organisation for United Nations)"/>
    <x v="2"/>
    <s v="YES"/>
    <s v="YES"/>
    <s v="YES"/>
    <s v="YES"/>
    <s v="NO"/>
    <s v="NO"/>
    <s v="NO"/>
    <m/>
    <m/>
    <x v="0"/>
    <m/>
    <x v="0"/>
    <m/>
    <x v="0"/>
    <x v="0"/>
    <s v="YES"/>
    <x v="0"/>
    <x v="0"/>
    <x v="0"/>
    <x v="0"/>
    <n v="4"/>
    <x v="1"/>
    <x v="1"/>
    <x v="1"/>
    <x v="1"/>
    <x v="1"/>
    <x v="1"/>
    <n v="4"/>
    <x v="1"/>
    <x v="1"/>
    <x v="2"/>
    <x v="1"/>
    <x v="3"/>
    <n v="2"/>
    <x v="0"/>
    <x v="2"/>
    <n v="1"/>
    <s v="Private sector"/>
    <m/>
    <m/>
    <x v="1"/>
    <m/>
    <m/>
    <s v="Partner Capacity building"/>
    <s v="Market analysis"/>
    <s v="Strategy development"/>
    <s v="Smaller financial institutions are more responsive to technical assistance than larger ones"/>
    <s v="There is need for financial literacy training across everyone working in rural areas (NGOs, Private sector as well as clients themselves)"/>
    <s v="Smallholder farmers need appropriate and adequate capacity to deal with off takers"/>
    <m/>
    <m/>
    <n v="14527"/>
    <n v="58108"/>
    <n v="4"/>
    <n v="0.38005093962965514"/>
    <n v="0.38005093962965514"/>
    <n v="5521"/>
    <n v="22084"/>
    <s v=""/>
    <n v="0"/>
    <n v="0"/>
    <s v=""/>
    <n v="1"/>
    <n v="14527"/>
    <n v="58108"/>
    <n v="4"/>
    <s v=""/>
    <n v="0"/>
    <n v="0"/>
    <s v=""/>
    <s v=""/>
    <n v="0"/>
    <n v="0"/>
    <s v=""/>
    <n v="1"/>
    <n v="5520.26"/>
    <n v="22081.040000000001"/>
    <n v="4"/>
    <s v="2. Sensitive"/>
    <s v="2. Accommodating"/>
    <s v="1. Neutral"/>
    <s v="It did not develop any specific innovation"/>
    <s v="Intensive advocacy"/>
    <s v="It did not take tested solutions to scale"/>
  </r>
  <r>
    <x v="84"/>
    <x v="5"/>
    <n v="3513"/>
    <s v="Putting Women and Girls at the Centre of Improving WASH and Health Outcomes for Chivi Residents"/>
    <s v="Zimbabwe"/>
    <s v="ZWE078, ZW364"/>
    <s v="CARE Australia"/>
    <s v="Government"/>
    <s v="Government - Australia"/>
    <s v="Australian NGO Cooperation Program (ANCP)"/>
    <m/>
    <m/>
    <m/>
    <m/>
    <m/>
    <m/>
    <m/>
    <m/>
    <m/>
    <m/>
    <m/>
    <m/>
    <m/>
    <m/>
    <m/>
    <m/>
    <m/>
    <m/>
    <m/>
    <m/>
    <m/>
    <m/>
    <m/>
    <m/>
    <m/>
    <m/>
    <m/>
    <m/>
    <m/>
    <m/>
    <m/>
    <m/>
    <m/>
    <m/>
    <m/>
    <m/>
    <m/>
    <m/>
    <m/>
    <m/>
    <m/>
    <m/>
    <m/>
    <m/>
    <m/>
    <d v="2013-10-01T00:00:00"/>
    <d v="2016-10-01T00:00:00"/>
    <d v="2018-06-30T00:00:00"/>
    <s v="Development Other"/>
    <n v="1982822"/>
    <s v="Lovemore Mujuru"/>
    <s v="Project Manager"/>
    <s v="lovemoremujuru@carezimbabwe.org"/>
    <s v="Monique Morazain"/>
    <s v="Assistant Country Director"/>
    <s v="Monique.Morazain@care.ca"/>
    <s v="NO"/>
    <s v="YES"/>
    <s v="NO"/>
    <s v="Increased equitable and sustainable access to and use of safe water supply, improved sanitation and improved hygienic practices among the rural population of Chivi district"/>
    <s v="Sub-National"/>
    <s v="Chivi District in Masvingo Province"/>
    <s v="Poor, rural women, in female headed households, unable to fully exercise their rights, residing in areas dependent on agricultural livelihoods and at significant risk from the shocks of drought"/>
    <n v="18346"/>
    <n v="16934"/>
    <n v="35280"/>
    <n v="0"/>
    <n v="0"/>
    <n v="0"/>
    <s v="Women, men, girls and boys, 30% of the population, in the selected wards of Chivi District without sustainable access to perennial, safe water supplies and dignified   sanitation facilities and hygienic practices. People accessing new or rehabilitated WASH facilities and girls benefiting from menstrual hygiene management are counted as direct project participants. Indirect participants are other people in the target communities adopting new hygiene behaviours and building their own WASH facilities without the project assistance."/>
    <m/>
    <m/>
    <m/>
    <m/>
    <m/>
    <m/>
    <m/>
    <m/>
    <m/>
    <m/>
    <m/>
    <m/>
    <m/>
    <m/>
    <m/>
    <m/>
    <m/>
    <m/>
    <m/>
    <m/>
    <m/>
    <m/>
    <m/>
    <m/>
    <m/>
    <m/>
    <m/>
    <m/>
    <m/>
    <m/>
    <m/>
    <m/>
    <m/>
    <m/>
    <m/>
    <m/>
    <m/>
    <m/>
    <m/>
    <m/>
    <m/>
    <m/>
    <m/>
    <m/>
    <m/>
    <m/>
    <m/>
    <m/>
    <m/>
    <m/>
    <m/>
    <m/>
    <m/>
    <m/>
    <m/>
    <m/>
    <m/>
    <m/>
    <m/>
    <m/>
    <n v="34117"/>
    <n v="11477"/>
    <n v="45594"/>
    <n v="292"/>
    <n v="189"/>
    <n v="481"/>
    <s v="NO"/>
    <m/>
    <m/>
    <m/>
    <s v="NO"/>
    <m/>
    <m/>
    <m/>
    <s v="NO"/>
    <m/>
    <m/>
    <m/>
    <s v="NO"/>
    <m/>
    <m/>
    <m/>
    <s v="NO"/>
    <m/>
    <m/>
    <m/>
    <s v="NO"/>
    <m/>
    <m/>
    <m/>
    <s v="NO"/>
    <m/>
    <m/>
    <m/>
    <s v="NO"/>
    <m/>
    <m/>
    <m/>
    <s v="NO"/>
    <m/>
    <m/>
    <m/>
    <s v="NO"/>
    <m/>
    <m/>
    <m/>
    <s v="NO"/>
    <m/>
    <m/>
    <m/>
    <s v="NO"/>
    <m/>
    <m/>
    <m/>
    <s v="NO"/>
    <m/>
    <m/>
    <m/>
    <s v="NO"/>
    <m/>
    <m/>
    <m/>
    <s v="YES"/>
    <n v="53111"/>
    <n v="0.52"/>
    <n v="481"/>
    <s v="NO"/>
    <m/>
    <m/>
    <m/>
    <m/>
    <s v="NO"/>
    <m/>
    <m/>
    <m/>
    <s v="YES"/>
    <s v="February"/>
    <n v="2017"/>
    <s v="YES"/>
    <s v="YES"/>
    <s v="October"/>
    <n v="2017"/>
    <s v="Baseline for a new phase of project in new geographical location. Collection of data on existing WASH infrastructure and WASH knowledge, attitudes and practices."/>
    <x v="1"/>
    <s v="NO"/>
    <s v="NO"/>
    <s v="NO"/>
    <s v="YES"/>
    <s v="NO"/>
    <s v="NO"/>
    <s v="NO"/>
    <s v="NO"/>
    <m/>
    <x v="1"/>
    <s v="Village leaders from villages that had attained Open Defecation Free (ODF) status were used by the project to mobilize new communities for triggering ODF activities. For Gender inclusion, the project decetralized latrine building workshops to encourage women to be trained as builders as they would come for training daily from their homes. More than 50% of trained builders were women as a result of change in strategy. The women were also provided with worksuits for ensuring clothing more appropriate for infrastructure work."/>
    <x v="1"/>
    <s v="The projeect shared learning on ODF mobilization and gender inclusion in builder training with other CARE WASH projects for adoption. The learning was also shared with UNICEF for adoption by national NGOs working in WASH."/>
    <x v="0"/>
    <x v="0"/>
    <s v="YES"/>
    <x v="0"/>
    <x v="0"/>
    <x v="0"/>
    <x v="0"/>
    <n v="4"/>
    <x v="1"/>
    <x v="1"/>
    <x v="1"/>
    <x v="1"/>
    <x v="2"/>
    <x v="1"/>
    <n v="3"/>
    <x v="1"/>
    <x v="1"/>
    <x v="1"/>
    <x v="2"/>
    <x v="3"/>
    <n v="2"/>
    <x v="2"/>
    <x v="1"/>
    <m/>
    <m/>
    <m/>
    <m/>
    <x v="1"/>
    <m/>
    <m/>
    <m/>
    <m/>
    <m/>
    <s v="Male engagement, through establishment of mens fora, enable men to share and dialogue on WASH related gender roles and responsibilities resulting in understanding and sharing of resposibilities."/>
    <s v="Clustering of villages for triggering ODF is problematic as full attendance is a requirement and residents must experience the shame and disgust emotions generated during the process to change behaviour from open defecation"/>
    <s v="The project decetralized latrine building workshops to encourage women to be trained as builders as they would come for training daily from their homes. More than 50% of trained builders were women as a result of change in strategy. The women were also provided with worksuits for ensuring clothing more appropriate for infrastructure work."/>
    <s v="This project has and overlap of 11,018 participants with Project ENSURE in Chivi. Figures have been adjusted in order to avoid double counting. In any case, specific data for this project alone in this FY would other ways include:_x000a_Direct: 27,618  women&amp;girls  25,493 men&amp;boys =   53,111  Total_x000a__x000a__x000a__x000a_ beneficiaries changed from 35 280 to 53 111. The changes were due to changes of the data sources from Village Based Consultative Information to the government led Rural WASH Information Management System"/>
    <s v="Project final report, Proposal and Evaluation report are attached"/>
    <n v="45594"/>
    <n v="481"/>
    <n v="1.0549633723735579E-2"/>
    <n v="0.74827828223011805"/>
    <n v="0.6070686070686071"/>
    <n v="34117"/>
    <n v="292"/>
    <s v=""/>
    <n v="0"/>
    <n v="0"/>
    <s v=""/>
    <n v="1"/>
    <n v="53111"/>
    <n v="481"/>
    <n v="9.0565043023102566E-3"/>
    <s v=""/>
    <n v="0"/>
    <n v="0"/>
    <s v=""/>
    <s v=""/>
    <n v="0"/>
    <n v="0"/>
    <s v=""/>
    <s v=""/>
    <n v="0"/>
    <n v="0"/>
    <s v=""/>
    <s v="2. Sensitive"/>
    <s v="2. Accommodating"/>
    <s v="1. Neutral"/>
    <s v="It tested new ways for fighting poverty, but did not measure results of innovation"/>
    <s v="Moderate advocacy"/>
    <s v="It linked and worked with strategic alliances and partners to take tested and effective solutions to scale"/>
  </r>
  <r>
    <x v="84"/>
    <x v="5"/>
    <n v="3506"/>
    <s v="Supporting the Development of Women Enterprises in Zaka District"/>
    <s v="Zimbabwe"/>
    <s v="ZWE025, ZW360"/>
    <s v="CARE USA"/>
    <s v="Foundation"/>
    <s v="Other"/>
    <s v="Cordula Kirchgessner Foundation"/>
    <m/>
    <m/>
    <m/>
    <m/>
    <m/>
    <m/>
    <m/>
    <m/>
    <m/>
    <m/>
    <m/>
    <m/>
    <m/>
    <m/>
    <m/>
    <m/>
    <m/>
    <m/>
    <m/>
    <m/>
    <m/>
    <m/>
    <m/>
    <m/>
    <m/>
    <m/>
    <m/>
    <m/>
    <m/>
    <m/>
    <m/>
    <m/>
    <m/>
    <m/>
    <m/>
    <m/>
    <m/>
    <m/>
    <m/>
    <m/>
    <m/>
    <m/>
    <m/>
    <m/>
    <m/>
    <d v="2016-01-15T00:00:00"/>
    <d v="2017-01-15T00:00:00"/>
    <d v="2017-03-31T00:00:00"/>
    <s v="Development Other"/>
    <n v="160000"/>
    <s v="Ellen Chigwanda"/>
    <s v="Education Advisor"/>
    <s v="Ellen.Chigwanda@care.org"/>
    <s v="Monique Morazain"/>
    <s v="Assistant Country Director"/>
    <s v="Monique.Morazain@care.ca"/>
    <s v="NO"/>
    <s v="YES"/>
    <s v="NO"/>
    <s v="The projects goal is improved business growth in women-led informal enterprises.The aim is for women to realize business growth as a result of improved business management, exposure and financial literacy"/>
    <s v="Sub-National"/>
    <s v="Zaka District in Masvingo Province"/>
    <s v="Poor, rural women, in female headed households, unable to fully exercise their rights, residing in areas dependent on agricultural livelihoods and at significant risk from the shocks of drought"/>
    <n v="1000"/>
    <m/>
    <n v="1000"/>
    <n v="0"/>
    <n v="0"/>
    <n v="0"/>
    <s v="Poor, rural women, mostly in female headed households, without income security, residing in areas dependent on agricultural livelihoods and at significant risk from the shocks of drought. These women are ready to grow/expand/diversify their informal businesses (with linkages to external sources of funds such as small grants, micro-leasing or other financial services). They also require basic business management skills, mentoring and coaching."/>
    <m/>
    <m/>
    <m/>
    <m/>
    <m/>
    <m/>
    <m/>
    <m/>
    <m/>
    <m/>
    <m/>
    <m/>
    <m/>
    <m/>
    <m/>
    <m/>
    <m/>
    <m/>
    <m/>
    <m/>
    <m/>
    <m/>
    <m/>
    <m/>
    <m/>
    <m/>
    <m/>
    <m/>
    <m/>
    <m/>
    <m/>
    <m/>
    <m/>
    <m/>
    <m/>
    <m/>
    <m/>
    <m/>
    <m/>
    <m/>
    <m/>
    <m/>
    <m/>
    <m/>
    <m/>
    <m/>
    <m/>
    <m/>
    <m/>
    <m/>
    <m/>
    <m/>
    <m/>
    <m/>
    <m/>
    <m/>
    <m/>
    <m/>
    <m/>
    <m/>
    <n v="1066"/>
    <n v="0"/>
    <n v="1066"/>
    <n v="2772"/>
    <n v="2558"/>
    <n v="5330"/>
    <s v="NO"/>
    <m/>
    <m/>
    <m/>
    <s v="NO"/>
    <m/>
    <m/>
    <m/>
    <s v="NO"/>
    <m/>
    <m/>
    <m/>
    <s v="NO"/>
    <m/>
    <m/>
    <m/>
    <s v="NO"/>
    <m/>
    <m/>
    <m/>
    <s v="NO"/>
    <m/>
    <m/>
    <m/>
    <s v="NO"/>
    <m/>
    <m/>
    <m/>
    <s v="NO"/>
    <m/>
    <m/>
    <m/>
    <s v="NO"/>
    <m/>
    <m/>
    <m/>
    <s v="NO"/>
    <m/>
    <m/>
    <m/>
    <s v="NO"/>
    <m/>
    <m/>
    <m/>
    <s v="NO"/>
    <m/>
    <m/>
    <m/>
    <s v="NO"/>
    <m/>
    <m/>
    <m/>
    <s v="NO"/>
    <m/>
    <m/>
    <m/>
    <s v="NO"/>
    <m/>
    <m/>
    <m/>
    <s v="YES"/>
    <n v="1066"/>
    <n v="1"/>
    <n v="5330"/>
    <m/>
    <s v="NO"/>
    <m/>
    <m/>
    <m/>
    <s v="NO"/>
    <m/>
    <m/>
    <s v="NO"/>
    <s v="NO"/>
    <m/>
    <m/>
    <m/>
    <x v="0"/>
    <s v="NO"/>
    <s v="NO"/>
    <s v="NO"/>
    <s v="NO"/>
    <s v="NO"/>
    <s v="NO"/>
    <s v="NO"/>
    <s v="NO"/>
    <m/>
    <x v="0"/>
    <m/>
    <x v="0"/>
    <m/>
    <x v="0"/>
    <x v="0"/>
    <s v="NO"/>
    <x v="1"/>
    <x v="1"/>
    <x v="0"/>
    <x v="5"/>
    <n v="1"/>
    <x v="1"/>
    <x v="2"/>
    <x v="2"/>
    <x v="1"/>
    <x v="2"/>
    <x v="4"/>
    <n v="1"/>
    <x v="1"/>
    <x v="2"/>
    <x v="2"/>
    <x v="1"/>
    <x v="3"/>
    <n v="1"/>
    <x v="2"/>
    <x v="0"/>
    <n v="1"/>
    <s v="Local NGO(s)/CSO(s)"/>
    <m/>
    <m/>
    <x v="1"/>
    <m/>
    <m/>
    <s v="Market Engagement"/>
    <s v="VSLA"/>
    <m/>
    <s v="Both technical skills and business management capacity are essential for successful micro enterprise development"/>
    <s v="In an illiquid economy, project participants had to adjust from cash transactions to mobile and plastic money."/>
    <m/>
    <m/>
    <s v="Project Report is attached"/>
    <n v="1066"/>
    <n v="5330"/>
    <n v="5"/>
    <n v="1"/>
    <n v="0.52007504690431516"/>
    <n v="1066"/>
    <n v="2772"/>
    <s v=""/>
    <n v="0"/>
    <n v="0"/>
    <s v=""/>
    <s v=""/>
    <n v="0"/>
    <n v="0"/>
    <s v=""/>
    <s v=""/>
    <n v="0"/>
    <n v="0"/>
    <s v=""/>
    <s v=""/>
    <n v="0"/>
    <n v="0"/>
    <s v=""/>
    <n v="1"/>
    <n v="1066"/>
    <n v="5330"/>
    <n v="5"/>
    <s v="0. Harmful"/>
    <s v="1. Tokenistic"/>
    <s v="1. Neutral"/>
    <s v="It did not develop any specific innovation"/>
    <s v="Little or no advocacy"/>
    <s v="It did not take tested solutions to scale"/>
  </r>
  <r>
    <x v="84"/>
    <x v="5"/>
    <m/>
    <s v="UNICEF Restoring Access To Safe Water Improved Sanitary And Hygiene Conditions For Drought Affected Populations In Mberengwa, Gutu and Zaka Districts"/>
    <s v="Zimbabwe"/>
    <s v="ZWE078, ZW369"/>
    <s v="CARE Canada"/>
    <s v="Multilateral agency"/>
    <s v="UN - United Nations agencies/offices"/>
    <s v="UNICEF"/>
    <m/>
    <m/>
    <m/>
    <m/>
    <m/>
    <m/>
    <m/>
    <m/>
    <m/>
    <m/>
    <m/>
    <m/>
    <m/>
    <m/>
    <m/>
    <m/>
    <m/>
    <m/>
    <m/>
    <m/>
    <m/>
    <m/>
    <m/>
    <m/>
    <m/>
    <m/>
    <m/>
    <m/>
    <m/>
    <m/>
    <m/>
    <m/>
    <m/>
    <m/>
    <m/>
    <m/>
    <m/>
    <m/>
    <m/>
    <m/>
    <m/>
    <m/>
    <m/>
    <m/>
    <m/>
    <d v="2017-06-01T00:00:00"/>
    <d v="2018-02-28T00:00:00"/>
    <m/>
    <s v="Humanitarian Other"/>
    <n v="779129"/>
    <s v="Lovemore Mujuru"/>
    <s v="Project Manager"/>
    <s v="LovemoreMujuru@carezimbabwe.org"/>
    <s v="Monique Morazain"/>
    <s v="Assistant Country Director"/>
    <s v="Monique.Morazain@care.ca"/>
    <s v="YES"/>
    <s v="NO"/>
    <s v="NO"/>
    <s v="67,000 vulnerable men, women and children in Mberengwa, Zaka and Gutu districts of Midlands and Masvingo province in Zimbabwe have improved access to critical WASH services to reduce morbidity and mortality from diarrheal diseases"/>
    <s v="Sub-National"/>
    <s v="Mberengwa District in Midlands Province and Gutu and Zaka Districts in Masvingo Province"/>
    <s v="Poor, rural women, in female headed households, unable to fully exercise their rights, residing in areas dependent on agricultural livelihoods and at significant risk from the shocks of drought"/>
    <n v="34840"/>
    <n v="32160"/>
    <n v="67000"/>
    <n v="0"/>
    <n v="0"/>
    <n v="0"/>
    <s v="Women, men, girls and boys, in the selected wards of Buhera and Mutare Districts without sustainable access to perennial, safe water supplies and dignified   sanitation facilities and hygienic practices. Indirect participants are other people in the target communities adopting new hygiene behaviours and building their own WASH facilities without the project assistance."/>
    <m/>
    <n v="0"/>
    <n v="0"/>
    <n v="0"/>
    <n v="0"/>
    <n v="0"/>
    <n v="0"/>
    <s v="NO"/>
    <m/>
    <m/>
    <m/>
    <s v="NO"/>
    <m/>
    <m/>
    <m/>
    <s v="NO"/>
    <m/>
    <m/>
    <m/>
    <s v="NO"/>
    <m/>
    <m/>
    <m/>
    <s v="NO"/>
    <m/>
    <m/>
    <m/>
    <s v="NO"/>
    <m/>
    <m/>
    <m/>
    <s v="NO"/>
    <m/>
    <m/>
    <m/>
    <s v="NO"/>
    <m/>
    <m/>
    <m/>
    <s v="NO"/>
    <m/>
    <m/>
    <m/>
    <s v="NO"/>
    <m/>
    <m/>
    <m/>
    <s v="NO"/>
    <m/>
    <m/>
    <m/>
    <s v="YES"/>
    <m/>
    <m/>
    <m/>
    <m/>
    <s v="NO"/>
    <m/>
    <m/>
    <m/>
    <m/>
    <m/>
    <m/>
    <m/>
    <m/>
    <m/>
    <m/>
    <m/>
    <m/>
    <m/>
    <m/>
    <m/>
    <m/>
    <m/>
    <m/>
    <m/>
    <m/>
    <m/>
    <m/>
    <m/>
    <m/>
    <m/>
    <m/>
    <m/>
    <m/>
    <m/>
    <m/>
    <m/>
    <m/>
    <m/>
    <m/>
    <m/>
    <m/>
    <m/>
    <m/>
    <m/>
    <m/>
    <m/>
    <m/>
    <m/>
    <m/>
    <m/>
    <m/>
    <m/>
    <m/>
    <m/>
    <m/>
    <m/>
    <m/>
    <m/>
    <m/>
    <m/>
    <m/>
    <m/>
    <m/>
    <m/>
    <m/>
    <m/>
    <m/>
    <m/>
    <m/>
    <m/>
    <m/>
    <m/>
    <m/>
    <m/>
    <m/>
    <m/>
    <m/>
    <m/>
    <m/>
    <m/>
    <m/>
    <m/>
    <m/>
    <s v="NO"/>
    <m/>
    <m/>
    <s v="NO"/>
    <s v="NO"/>
    <m/>
    <m/>
    <s v="UNICEF carries out national level baseline surveys and evaluations"/>
    <x v="3"/>
    <m/>
    <m/>
    <m/>
    <m/>
    <m/>
    <m/>
    <m/>
    <m/>
    <m/>
    <x v="0"/>
    <m/>
    <x v="2"/>
    <m/>
    <x v="3"/>
    <x v="2"/>
    <m/>
    <x v="2"/>
    <x v="2"/>
    <x v="2"/>
    <x v="3"/>
    <n v="0"/>
    <x v="0"/>
    <x v="0"/>
    <x v="0"/>
    <x v="0"/>
    <x v="0"/>
    <x v="0"/>
    <n v="0"/>
    <x v="0"/>
    <x v="0"/>
    <x v="0"/>
    <x v="0"/>
    <x v="0"/>
    <n v="0"/>
    <x v="2"/>
    <x v="4"/>
    <n v="0"/>
    <m/>
    <m/>
    <m/>
    <x v="3"/>
    <m/>
    <s v="NONE, the project was in start up phase in FY17"/>
    <s v="NONE, the project was in start up phase in FY17"/>
    <m/>
    <m/>
    <s v="NONE, the project was in start up phase in FY17"/>
    <m/>
    <m/>
    <s v="Project was just starting in FY17, had no contact with planned participants"/>
    <s v="Project proposal"/>
    <n v="0"/>
    <n v="0"/>
    <s v=""/>
    <s v=""/>
    <s v=""/>
    <n v="0"/>
    <n v="0"/>
    <n v="1"/>
    <n v="0"/>
    <n v="0"/>
    <s v=""/>
    <s v=""/>
    <n v="0"/>
    <n v="0"/>
    <s v=""/>
    <s v=""/>
    <n v="0"/>
    <n v="0"/>
    <s v=""/>
    <s v=""/>
    <n v="0"/>
    <n v="0"/>
    <s v=""/>
    <s v=""/>
    <n v="0"/>
    <n v="0"/>
    <s v=""/>
    <s v="No marker score"/>
    <s v="No marker score"/>
    <s v="No marker score"/>
    <s v="It did not develop any specific innovation"/>
    <n v="0"/>
    <n v="0"/>
  </r>
  <r>
    <x v="84"/>
    <x v="5"/>
    <n v="3507"/>
    <s v="WASH - Hygiene Promotion and Capacity Development for Zvishavane and Shurugwi Towns (UNICEF Small Towns Project)"/>
    <s v="Zimbabwe"/>
    <s v="ZWE078, ZW349"/>
    <s v="CARE Canada"/>
    <s v="Multilateral agency"/>
    <s v="UN - United Nations agencies/offices"/>
    <s v="UNICEF"/>
    <m/>
    <m/>
    <m/>
    <m/>
    <m/>
    <m/>
    <m/>
    <m/>
    <m/>
    <m/>
    <m/>
    <m/>
    <m/>
    <m/>
    <m/>
    <m/>
    <m/>
    <m/>
    <m/>
    <m/>
    <m/>
    <m/>
    <m/>
    <m/>
    <m/>
    <m/>
    <m/>
    <m/>
    <m/>
    <m/>
    <m/>
    <m/>
    <m/>
    <m/>
    <m/>
    <m/>
    <m/>
    <m/>
    <m/>
    <m/>
    <m/>
    <m/>
    <m/>
    <m/>
    <m/>
    <d v="2014-08-29T00:00:00"/>
    <d v="2015-12-31T00:00:00"/>
    <d v="2016-07-31T00:00:00"/>
    <s v="Humanitarian Other"/>
    <n v="512327.53"/>
    <s v="Merilyn Kawadza"/>
    <s v="Project Manager"/>
    <s v="Merilynka@carezimbabwe.org"/>
    <s v="Monique Morazain"/>
    <s v="Assistant Country Director"/>
    <s v="Monique.Morazain@care.ca"/>
    <s v="YES"/>
    <s v="NO"/>
    <s v="NO"/>
    <s v="To reduce morbidity and mortality due  to diarrheal diseases. In the two small towns, CARE aimed to improve town council's capacity in WASH service delivery and improve the residents' WASH behaviours and practices."/>
    <s v="Sub-National"/>
    <s v="Shurugwi  and Zvishavane Towns in Midlands Province"/>
    <s v="Poor, vulnerable urban women and girls of reproductive age (aged 15-49)"/>
    <n v="34840"/>
    <n v="32160"/>
    <n v="67000"/>
    <n v="0"/>
    <n v="0"/>
    <n v="0"/>
    <s v="The part of the population of the 2 towns reached with key messages on safe hygiene practices, this includes groups of women and men engaged in Participatory Health and Hygiene Education clubs, staff of the town councils involved in WASH service delivery, and staff at clinics and schools."/>
    <m/>
    <m/>
    <m/>
    <m/>
    <n v="0"/>
    <n v="0"/>
    <n v="0"/>
    <s v="NO"/>
    <m/>
    <m/>
    <m/>
    <s v="NO"/>
    <m/>
    <m/>
    <m/>
    <s v="NO"/>
    <m/>
    <m/>
    <m/>
    <s v="NO"/>
    <m/>
    <m/>
    <m/>
    <s v="NO"/>
    <m/>
    <m/>
    <m/>
    <s v="NO"/>
    <m/>
    <m/>
    <m/>
    <s v="NO"/>
    <m/>
    <m/>
    <m/>
    <s v="NO"/>
    <m/>
    <m/>
    <m/>
    <s v="NO"/>
    <m/>
    <m/>
    <m/>
    <s v="NO"/>
    <m/>
    <m/>
    <m/>
    <s v="NO"/>
    <m/>
    <m/>
    <m/>
    <s v="YES"/>
    <m/>
    <m/>
    <m/>
    <m/>
    <s v="NO"/>
    <m/>
    <m/>
    <m/>
    <m/>
    <m/>
    <m/>
    <m/>
    <m/>
    <m/>
    <m/>
    <m/>
    <m/>
    <m/>
    <m/>
    <m/>
    <m/>
    <m/>
    <m/>
    <m/>
    <m/>
    <m/>
    <m/>
    <m/>
    <m/>
    <m/>
    <m/>
    <m/>
    <m/>
    <m/>
    <m/>
    <m/>
    <m/>
    <m/>
    <m/>
    <m/>
    <m/>
    <m/>
    <m/>
    <m/>
    <m/>
    <m/>
    <m/>
    <m/>
    <m/>
    <m/>
    <m/>
    <m/>
    <m/>
    <m/>
    <m/>
    <m/>
    <m/>
    <m/>
    <m/>
    <m/>
    <m/>
    <m/>
    <m/>
    <m/>
    <m/>
    <m/>
    <m/>
    <m/>
    <m/>
    <m/>
    <m/>
    <m/>
    <m/>
    <m/>
    <m/>
    <m/>
    <m/>
    <m/>
    <m/>
    <m/>
    <m/>
    <m/>
    <m/>
    <s v="NO"/>
    <m/>
    <m/>
    <s v="YES"/>
    <s v="NO"/>
    <m/>
    <m/>
    <m/>
    <x v="3"/>
    <m/>
    <m/>
    <s v="NO"/>
    <m/>
    <m/>
    <s v="NO"/>
    <m/>
    <m/>
    <m/>
    <x v="3"/>
    <m/>
    <x v="2"/>
    <m/>
    <x v="0"/>
    <x v="2"/>
    <m/>
    <x v="2"/>
    <x v="2"/>
    <x v="2"/>
    <x v="3"/>
    <n v="0"/>
    <x v="0"/>
    <x v="0"/>
    <x v="0"/>
    <x v="0"/>
    <x v="0"/>
    <x v="0"/>
    <n v="0"/>
    <x v="0"/>
    <x v="0"/>
    <x v="0"/>
    <x v="0"/>
    <x v="0"/>
    <n v="0"/>
    <x v="2"/>
    <x v="1"/>
    <m/>
    <m/>
    <m/>
    <m/>
    <x v="1"/>
    <m/>
    <m/>
    <s v="THERE WERE NO ACTIVITIES IN THIS FY"/>
    <m/>
    <m/>
    <s v="THERE WERE NO ACTIVITIES IN THIS FY"/>
    <m/>
    <m/>
    <s v="THERE WERE NO FIELD ACTIVITIES IN THE ONE MONTH OF THE PROJECT. CLOSE OUT INCLUDING REPORTING WERE THE ONLY ACTIVITIES"/>
    <s v="NO DOCUMENTS GENERATED FOR FY17. RESULTS OF FY16 AS DOCUMENTED REMAIN UNCHANGED."/>
    <n v="0"/>
    <n v="0"/>
    <s v=""/>
    <s v=""/>
    <s v=""/>
    <n v="0"/>
    <n v="0"/>
    <n v="1"/>
    <n v="0"/>
    <n v="0"/>
    <s v=""/>
    <s v=""/>
    <n v="0"/>
    <n v="0"/>
    <s v=""/>
    <s v=""/>
    <n v="0"/>
    <n v="0"/>
    <s v=""/>
    <s v=""/>
    <n v="0"/>
    <n v="0"/>
    <s v=""/>
    <s v=""/>
    <n v="0"/>
    <n v="0"/>
    <s v=""/>
    <s v="No marker score"/>
    <s v="No marker score"/>
    <s v="No marker score"/>
    <n v="0"/>
    <n v="0"/>
    <n v="0"/>
  </r>
  <r>
    <x v="84"/>
    <x v="5"/>
    <n v="3510"/>
    <s v="Youth Empowerment Project (YEP)"/>
    <s v="Zimbabwe"/>
    <s v="ZW342 , ZWE086"/>
    <s v="CARE Canada"/>
    <s v="Government"/>
    <s v="Government - Sweden"/>
    <s v="Embassy of Sweden"/>
    <m/>
    <m/>
    <m/>
    <m/>
    <m/>
    <m/>
    <m/>
    <m/>
    <m/>
    <m/>
    <m/>
    <m/>
    <m/>
    <m/>
    <m/>
    <m/>
    <m/>
    <m/>
    <m/>
    <m/>
    <m/>
    <m/>
    <m/>
    <m/>
    <m/>
    <m/>
    <m/>
    <m/>
    <m/>
    <m/>
    <m/>
    <m/>
    <m/>
    <m/>
    <m/>
    <m/>
    <m/>
    <m/>
    <m/>
    <m/>
    <m/>
    <m/>
    <m/>
    <m/>
    <m/>
    <d v="2013-11-01T00:00:00"/>
    <d v="2016-10-31T00:00:00"/>
    <d v="2017-01-31T00:00:00"/>
    <s v="Development Access to and Control over Economic Resources"/>
    <n v="5040154"/>
    <s v="Tafirenyika Kakono"/>
    <s v="Sector coordinator"/>
    <s v="Tafirenyikaka@carezimbabwe.org"/>
    <s v="Monique Morazain"/>
    <s v="Assistant Country Director"/>
    <s v="Monique.Morazain@carezimbabwe.org"/>
    <s v="NO"/>
    <s v="YES"/>
    <s v="NO"/>
    <s v="Increased economic and social participation of male and female youth in Zimbabwe"/>
    <s v="Sub-National"/>
    <s v="Provinces: Masvingo, Manicaland, Matebeleland South, Harare.  Districts: Masvingo (rural), Zaka, Bikita, Chivi, Chiredzi Nyanga, Mutasa, Beitbridge, Gwanda, Chitungwiza, Chipinge"/>
    <s v="Male and Female youth aged between 18- 35 years."/>
    <n v="12600"/>
    <n v="5400"/>
    <n v="18000"/>
    <m/>
    <m/>
    <m/>
    <s v="The direct participants are the youths that received training in techincal skills, received loans, attendance SAA sessions, particpated in economic opoortunities awareness sessions, received interpersonal skills coaching. The indirect participants are the youth reached through their parents. Parents and community leadership were targetd with Social Analysis and Action sessions in order to promote youth economic activities."/>
    <m/>
    <m/>
    <m/>
    <m/>
    <m/>
    <m/>
    <m/>
    <m/>
    <m/>
    <m/>
    <m/>
    <m/>
    <m/>
    <m/>
    <m/>
    <m/>
    <m/>
    <m/>
    <m/>
    <m/>
    <m/>
    <m/>
    <m/>
    <m/>
    <m/>
    <m/>
    <m/>
    <m/>
    <m/>
    <m/>
    <m/>
    <m/>
    <m/>
    <m/>
    <m/>
    <m/>
    <m/>
    <m/>
    <m/>
    <m/>
    <m/>
    <m/>
    <m/>
    <m/>
    <m/>
    <m/>
    <m/>
    <m/>
    <m/>
    <m/>
    <m/>
    <m/>
    <m/>
    <m/>
    <m/>
    <m/>
    <m/>
    <m/>
    <m/>
    <m/>
    <n v="4893"/>
    <n v="2983"/>
    <n v="7876"/>
    <n v="1679"/>
    <n v="1550"/>
    <n v="3229"/>
    <s v="NO"/>
    <m/>
    <m/>
    <m/>
    <s v="NO"/>
    <m/>
    <m/>
    <m/>
    <s v="NO"/>
    <m/>
    <m/>
    <m/>
    <s v="NO"/>
    <m/>
    <m/>
    <m/>
    <s v="YES"/>
    <n v="7876"/>
    <n v="0.62"/>
    <n v="3228"/>
    <s v="NO"/>
    <m/>
    <m/>
    <m/>
    <s v="NO"/>
    <m/>
    <m/>
    <m/>
    <s v="NO"/>
    <m/>
    <m/>
    <m/>
    <s v="YES"/>
    <n v="5208"/>
    <n v="0.62"/>
    <n v="3228"/>
    <s v="NO"/>
    <m/>
    <m/>
    <m/>
    <s v="NO"/>
    <m/>
    <m/>
    <m/>
    <s v="NO"/>
    <m/>
    <m/>
    <m/>
    <s v="YES"/>
    <n v="5208"/>
    <n v="0.62"/>
    <n v="3228"/>
    <s v="NO"/>
    <m/>
    <m/>
    <m/>
    <s v="NO"/>
    <m/>
    <m/>
    <m/>
    <s v="YES"/>
    <n v="4893"/>
    <n v="0.62"/>
    <n v="1679"/>
    <m/>
    <s v="NO"/>
    <m/>
    <m/>
    <m/>
    <s v="YES"/>
    <s v="November"/>
    <n v="2016"/>
    <s v="NO"/>
    <s v="NO"/>
    <m/>
    <m/>
    <m/>
    <x v="1"/>
    <s v="NO"/>
    <s v="NO"/>
    <s v="YES"/>
    <s v="NO"/>
    <s v="YES"/>
    <s v="NO"/>
    <s v="NO"/>
    <s v="NO"/>
    <m/>
    <x v="1"/>
    <s v="Micro Finance Institutions (MFIs) partners introduced outreach programmes instead of the traditional way of waiting for potential clients to visit their offices. The project made use of local articians for the Technical skills intervention resulting in the trained youths being exposed to mentoring for long periods and youths received advisories through mobile phones text messages"/>
    <x v="1"/>
    <s v="Use of local skilled people to train and mentor youths"/>
    <x v="0"/>
    <x v="1"/>
    <s v="YES"/>
    <x v="0"/>
    <x v="0"/>
    <x v="0"/>
    <x v="2"/>
    <n v="4"/>
    <x v="1"/>
    <x v="1"/>
    <x v="1"/>
    <x v="1"/>
    <x v="1"/>
    <x v="1"/>
    <n v="4"/>
    <x v="1"/>
    <x v="1"/>
    <x v="1"/>
    <x v="2"/>
    <x v="3"/>
    <n v="2"/>
    <x v="0"/>
    <x v="2"/>
    <n v="4"/>
    <s v="Local government(s)"/>
    <s v="Private sector"/>
    <s v="Other"/>
    <x v="2"/>
    <s v="Institutional capacity building of local NGO implementing partners (2). This was an on-going process from project inception addressing capacity gaps in project delivery."/>
    <m/>
    <s v="Entreprenuership Training"/>
    <s v="Social Analysis and Action - Dialogues"/>
    <s v="Village savings and Lending"/>
    <s v="Rephrasing governance intervention to reflect engagement/dialogue e.g Social Analaysis and Action encourages buy in by communities and government stakeholders"/>
    <s v="Decision making takes longer for banks as compared to Micro finance Institutions (MFIs). Future projects need to engage of banks early to allow time for the preparations and processes without prejudicing project viability which is affected by the time that elapses between project design and implementation."/>
    <s v="Despite trying to separate NGO work and private sector, when it comes to financial linkages, word always gets out regarding the loan revolving funds. This in part affects loan repayments as youths that would have borrowed the first time and repaid will come back for a second loan with no intention to repay as they would want to gauge what happens to those struggling to repay."/>
    <m/>
    <s v="Project final report and evaluation are attached"/>
    <n v="7876"/>
    <n v="3229"/>
    <n v="0.4099796851193499"/>
    <n v="0.62125444388014217"/>
    <n v="0.51997522452771761"/>
    <n v="4893"/>
    <n v="1679"/>
    <s v=""/>
    <n v="0"/>
    <n v="0"/>
    <s v=""/>
    <n v="1"/>
    <n v="7876"/>
    <n v="3228"/>
    <n v="0.40985271711528692"/>
    <s v=""/>
    <n v="0"/>
    <n v="0"/>
    <s v=""/>
    <s v=""/>
    <n v="0"/>
    <n v="0"/>
    <s v=""/>
    <n v="1"/>
    <n v="4893"/>
    <n v="2001.36"/>
    <n v="0.40902513795217654"/>
    <s v="4. Transformative"/>
    <s v="2. Accommodating"/>
    <s v="1. Neutral"/>
    <s v="It tested new ways for fighting poverty, but did not measure results of innovation"/>
    <s v="Moderate advocacy"/>
    <s v="It linked and worked with strategic alliances and partners to take tested and effective solutions to scale"/>
  </r>
  <r>
    <x v="84"/>
    <x v="5"/>
    <n v="3502"/>
    <s v="Zimbabwe Emergency Food Security Mobile Cash Transfer Programme"/>
    <s v="Zimbabwe"/>
    <s v="ZWE075, ZW361"/>
    <s v="CARE Deutschland-Luxemburg"/>
    <s v="Multilateral agency"/>
    <s v="ECHO - European Commission for Humanitarian Aid and Civil Protection"/>
    <s v="ECHO"/>
    <m/>
    <m/>
    <m/>
    <m/>
    <m/>
    <m/>
    <m/>
    <m/>
    <m/>
    <m/>
    <m/>
    <m/>
    <m/>
    <m/>
    <m/>
    <m/>
    <m/>
    <m/>
    <m/>
    <m/>
    <m/>
    <m/>
    <m/>
    <m/>
    <m/>
    <m/>
    <m/>
    <m/>
    <m/>
    <m/>
    <m/>
    <m/>
    <m/>
    <m/>
    <m/>
    <m/>
    <m/>
    <m/>
    <m/>
    <m/>
    <m/>
    <m/>
    <m/>
    <m/>
    <m/>
    <d v="2016-01-01T00:00:00"/>
    <d v="2016-08-30T00:00:00"/>
    <d v="2017-06-14T00:00:00"/>
    <s v="Humanitarian Food &amp; Nutrition Security and Resilience to Climate Change"/>
    <n v="3902634.36"/>
    <s v="Abel Simbarashe Whande"/>
    <s v="Team Leader"/>
    <s v="AbelWh@carezimbabwe.org"/>
    <s v="Monique Morazain"/>
    <s v="Assistant Country Director"/>
    <s v="Monique.Morazain@care.ca"/>
    <s v="YES"/>
    <s v="NO"/>
    <s v="NO"/>
    <s v="The project ainmed to mitigate the effects of immediate food insecurity through mobile cash transfers to people affected by the El Nino phenomenon, while at the same time building their resilience to future shocks"/>
    <s v="Sub-National"/>
    <s v="Gokwe North and Gokwe South Districts of Midlands Province"/>
    <s v="Poor, rural women, in female headed households, unable to fully exercise their rights, residing in areas dependent on agricultural livelihoods and at significant risk from the shocks of drought"/>
    <n v="15317"/>
    <n v="13583"/>
    <n v="28900"/>
    <n v="0"/>
    <n v="0"/>
    <n v="0"/>
    <s v="Direct participants are vulnerable men, women, boys and girls from labour endowed households who received mobile conditional cash transfers that aimed to supplement the household food basket and nutritional needs. 13% of the households were without labour capacity and they received unconditional cash transfers. The numbers are obtained from records of actual cash tranfers each month, household representatives trained in resilience activities and nutrional activities. Receipient households' data was collected at registration, so an accurate number of direct participants was calculated monthly. Committees and volunteers who enabled delivery of project interventions were also direct particiapants receiving cash transfers."/>
    <m/>
    <n v="21547"/>
    <n v="19158"/>
    <n v="40705"/>
    <m/>
    <m/>
    <m/>
    <s v="NO"/>
    <m/>
    <m/>
    <m/>
    <s v="YES"/>
    <n v="40705"/>
    <n v="0.53"/>
    <n v="0"/>
    <s v="NO"/>
    <m/>
    <m/>
    <m/>
    <s v="YES"/>
    <n v="40705"/>
    <n v="0.53"/>
    <n v="0"/>
    <s v="NO"/>
    <m/>
    <m/>
    <m/>
    <s v="NO"/>
    <m/>
    <m/>
    <m/>
    <s v="NO"/>
    <m/>
    <m/>
    <m/>
    <s v="Yes"/>
    <n v="9368"/>
    <n v="0.56000000000000005"/>
    <n v="37472"/>
    <s v="NO"/>
    <m/>
    <m/>
    <m/>
    <s v="NO"/>
    <m/>
    <m/>
    <m/>
    <s v="NO"/>
    <m/>
    <m/>
    <m/>
    <s v="NO"/>
    <m/>
    <m/>
    <m/>
    <m/>
    <m/>
    <m/>
    <m/>
    <m/>
    <m/>
    <m/>
    <m/>
    <m/>
    <m/>
    <m/>
    <m/>
    <m/>
    <m/>
    <m/>
    <m/>
    <m/>
    <m/>
    <m/>
    <m/>
    <m/>
    <m/>
    <m/>
    <m/>
    <m/>
    <m/>
    <m/>
    <m/>
    <m/>
    <m/>
    <m/>
    <m/>
    <m/>
    <m/>
    <m/>
    <m/>
    <m/>
    <m/>
    <m/>
    <m/>
    <m/>
    <m/>
    <m/>
    <m/>
    <m/>
    <m/>
    <m/>
    <m/>
    <m/>
    <m/>
    <m/>
    <m/>
    <m/>
    <m/>
    <m/>
    <m/>
    <m/>
    <m/>
    <m/>
    <m/>
    <m/>
    <m/>
    <m/>
    <m/>
    <m/>
    <m/>
    <m/>
    <m/>
    <m/>
    <m/>
    <m/>
    <m/>
    <m/>
    <m/>
    <m/>
    <m/>
    <m/>
    <m/>
    <m/>
    <m/>
    <s v="YES"/>
    <s v="May"/>
    <n v="2017"/>
    <m/>
    <s v="NO"/>
    <m/>
    <m/>
    <s v="Current evaluation was done in May 2017. Save the Children, the consortium lead, has not yet released the report"/>
    <x v="0"/>
    <s v="NO"/>
    <s v="NO"/>
    <s v="NO"/>
    <s v="NO"/>
    <s v="NO"/>
    <s v="NO"/>
    <s v="NO"/>
    <s v="NO"/>
    <m/>
    <x v="0"/>
    <m/>
    <x v="0"/>
    <m/>
    <x v="1"/>
    <x v="0"/>
    <s v="NO"/>
    <x v="1"/>
    <x v="0"/>
    <x v="0"/>
    <x v="1"/>
    <n v="2"/>
    <x v="1"/>
    <x v="2"/>
    <x v="2"/>
    <x v="1"/>
    <x v="1"/>
    <x v="4"/>
    <n v="2"/>
    <x v="1"/>
    <x v="2"/>
    <x v="1"/>
    <x v="1"/>
    <x v="3"/>
    <n v="2"/>
    <x v="0"/>
    <x v="1"/>
    <n v="1"/>
    <s v="Private sector"/>
    <m/>
    <m/>
    <x v="1"/>
    <m/>
    <s v="The project added a component to address food and nutrion needs of people affected by floods."/>
    <s v="CARE Accountability Framework"/>
    <s v="Participatory Scenario Planning"/>
    <s v="CARE Market Engagement Strategy"/>
    <s v="Establish beneficiary reporting and feedback mechanisms through provision of toll free tip-off anonymous phone numbers, help desk, suggestion boxes, direct contact with staff, direct calls to staff and walk-ins"/>
    <s v="There is need to conduct education campaign on how the mobile money transfer system works to both beneficiaries and all stakeholders such as, government departments, mobile money company agents, traditional and religious leaders and the business community at large in the initial stages of the programme. This would eliminate the numerous technological challenges that are encountered in options for using money in mobile wallets."/>
    <s v="As a resilience strategy, small livestock savings were promoted. Communities were encouraged to keep of small livestock such as goats and chickens which mature early compared to cattle and can be used for food and income through sales in times of shocks such as drought."/>
    <m/>
    <s v="Project reports (2) attached, (Evaluation report not yet available)"/>
    <n v="40705"/>
    <n v="0"/>
    <n v="0"/>
    <n v="0.52934528927650171"/>
    <s v=""/>
    <n v="21547"/>
    <n v="0"/>
    <n v="1"/>
    <n v="40705"/>
    <n v="0"/>
    <n v="0"/>
    <n v="1"/>
    <n v="40705"/>
    <n v="37472"/>
    <n v="0.92057486795234"/>
    <s v=""/>
    <n v="0"/>
    <n v="0"/>
    <s v=""/>
    <s v=""/>
    <n v="0"/>
    <n v="0"/>
    <s v=""/>
    <s v=""/>
    <n v="0"/>
    <n v="0"/>
    <s v=""/>
    <s v="1. Neutral"/>
    <s v="1. Tokenistic"/>
    <s v="1. Neutral"/>
    <s v="It did not develop any specific innovation"/>
    <s v="Little or no advocacy"/>
    <s v="It did not take tested solutions to scal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rowHeaderCaption="" colHeaderCaption="">
  <location ref="A3:U103" firstHeaderRow="0" firstDataRow="1" firstDataCol="1"/>
  <pivotFields count="308">
    <pivotField axis="axisRow" subtotalTop="0" showAll="0">
      <items count="88">
        <item x="0"/>
        <item x="1"/>
        <item x="2"/>
        <item x="3"/>
        <item x="4"/>
        <item x="5"/>
        <item x="6"/>
        <item x="7"/>
        <item x="8"/>
        <item x="9"/>
        <item x="10"/>
        <item x="11"/>
        <item x="12"/>
        <item m="1" x="86"/>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20"/>
        <item m="1" x="85"/>
        <item t="default"/>
      </items>
    </pivotField>
    <pivotField axis="axisRow" subtotalTop="0" showAll="0">
      <items count="9">
        <item x="3"/>
        <item x="5"/>
        <item x="2"/>
        <item x="0"/>
        <item x="4"/>
        <item x="1"/>
        <item x="6"/>
        <item m="1" x="7"/>
        <item t="default"/>
      </items>
    </pivotField>
    <pivotField subtotalTop="0" showAll="0"/>
    <pivotField dataField="1" subtotalTop="0"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numFmtId="3" subtotalTop="0" showAll="0"/>
    <pivotField dataField="1" numFmtId="3" subtotalTop="0" showAll="0"/>
    <pivotField subtotalTop="0" showAll="0"/>
    <pivotField subtotalTop="0" showAll="0"/>
    <pivotField subtotalTop="0" showAll="0"/>
    <pivotField dataField="1" numFmtId="164" subtotalTop="0" showAll="0"/>
    <pivotField dataField="1" numFmtId="164" subtotalTop="0" showAll="0"/>
    <pivotField dataField="1" subtotalTop="0" showAll="0"/>
    <pivotField dataField="1" numFmtId="3" subtotalTop="0" showAll="0"/>
    <pivotField dataField="1" numFmtId="3" subtotalTop="0" showAll="0"/>
    <pivotField subtotalTop="0" showAll="0"/>
    <pivotField dataField="1" subtotalTop="0" showAll="0"/>
    <pivotField dataField="1" numFmtId="3" subtotalTop="0" showAll="0"/>
    <pivotField dataField="1" numFmtId="3" subtotalTop="0" showAll="0"/>
    <pivotField subtotalTop="0" showAll="0"/>
    <pivotField dataField="1" subtotalTop="0" showAll="0"/>
    <pivotField dataField="1" numFmtId="3" subtotalTop="0" showAll="0"/>
    <pivotField dataField="1" numFmtId="3" subtotalTop="0" showAll="0"/>
    <pivotField subtotalTop="0" showAll="0"/>
    <pivotField dataField="1" subtotalTop="0" showAll="0"/>
    <pivotField dataField="1" numFmtId="3" subtotalTop="0" showAll="0"/>
    <pivotField dataField="1" numFmtId="3" subtotalTop="0" showAll="0"/>
    <pivotField subtotalTop="0" showAll="0"/>
    <pivotField dataField="1" subtotalTop="0" showAll="0"/>
    <pivotField dataField="1" numFmtId="164"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2">
    <field x="1"/>
    <field x="0"/>
  </rowFields>
  <rowItems count="100">
    <i>
      <x/>
    </i>
    <i r="1">
      <x v="8"/>
    </i>
    <i r="1">
      <x v="23"/>
    </i>
    <i r="1">
      <x v="37"/>
    </i>
    <i r="1">
      <x v="62"/>
    </i>
    <i r="1">
      <x v="65"/>
    </i>
    <i r="1">
      <x v="67"/>
    </i>
    <i r="1">
      <x v="69"/>
    </i>
    <i r="1">
      <x v="76"/>
    </i>
    <i r="1">
      <x v="85"/>
    </i>
    <i t="default">
      <x/>
    </i>
    <i>
      <x v="1"/>
    </i>
    <i r="1">
      <x v="43"/>
    </i>
    <i r="1">
      <x v="44"/>
    </i>
    <i r="1">
      <x v="49"/>
    </i>
    <i r="1">
      <x v="66"/>
    </i>
    <i r="1">
      <x v="72"/>
    </i>
    <i r="1">
      <x v="83"/>
    </i>
    <i r="1">
      <x v="84"/>
    </i>
    <i t="default">
      <x v="1"/>
    </i>
    <i>
      <x v="2"/>
    </i>
    <i r="1">
      <x v="5"/>
    </i>
    <i r="1">
      <x v="7"/>
    </i>
    <i r="1">
      <x v="10"/>
    </i>
    <i r="1">
      <x v="11"/>
    </i>
    <i r="1">
      <x v="15"/>
    </i>
    <i r="1">
      <x v="28"/>
    </i>
    <i r="1">
      <x v="41"/>
    </i>
    <i r="1">
      <x v="45"/>
    </i>
    <i r="1">
      <x v="54"/>
    </i>
    <i r="1">
      <x v="64"/>
    </i>
    <i t="default">
      <x v="2"/>
    </i>
    <i>
      <x v="3"/>
    </i>
    <i r="1">
      <x/>
    </i>
    <i r="1">
      <x v="3"/>
    </i>
    <i r="1">
      <x v="9"/>
    </i>
    <i r="1">
      <x v="24"/>
    </i>
    <i r="1">
      <x v="33"/>
    </i>
    <i r="1">
      <x v="34"/>
    </i>
    <i r="1">
      <x v="39"/>
    </i>
    <i r="1">
      <x v="50"/>
    </i>
    <i r="1">
      <x v="51"/>
    </i>
    <i r="1">
      <x v="56"/>
    </i>
    <i r="1">
      <x v="58"/>
    </i>
    <i r="1">
      <x v="60"/>
    </i>
    <i r="1">
      <x v="68"/>
    </i>
    <i r="1">
      <x v="73"/>
    </i>
    <i r="1">
      <x v="74"/>
    </i>
    <i r="1">
      <x v="79"/>
    </i>
    <i r="1">
      <x v="80"/>
    </i>
    <i t="default">
      <x v="3"/>
    </i>
    <i>
      <x v="4"/>
    </i>
    <i r="1">
      <x v="12"/>
    </i>
    <i r="1">
      <x v="14"/>
    </i>
    <i r="1">
      <x v="17"/>
    </i>
    <i r="1">
      <x v="20"/>
    </i>
    <i r="1">
      <x v="21"/>
    </i>
    <i r="1">
      <x v="30"/>
    </i>
    <i r="1">
      <x v="31"/>
    </i>
    <i r="1">
      <x v="32"/>
    </i>
    <i r="1">
      <x v="46"/>
    </i>
    <i r="1">
      <x v="53"/>
    </i>
    <i r="1">
      <x v="57"/>
    </i>
    <i r="1">
      <x v="59"/>
    </i>
    <i t="default">
      <x v="4"/>
    </i>
    <i>
      <x v="5"/>
    </i>
    <i r="1">
      <x v="1"/>
    </i>
    <i r="1">
      <x v="2"/>
    </i>
    <i r="1">
      <x v="4"/>
    </i>
    <i r="1">
      <x v="6"/>
    </i>
    <i r="1">
      <x v="16"/>
    </i>
    <i r="1">
      <x v="18"/>
    </i>
    <i r="1">
      <x v="19"/>
    </i>
    <i r="1">
      <x v="22"/>
    </i>
    <i r="1">
      <x v="25"/>
    </i>
    <i r="1">
      <x v="26"/>
    </i>
    <i r="1">
      <x v="27"/>
    </i>
    <i r="1">
      <x v="29"/>
    </i>
    <i r="1">
      <x v="35"/>
    </i>
    <i r="1">
      <x v="36"/>
    </i>
    <i r="1">
      <x v="38"/>
    </i>
    <i r="1">
      <x v="40"/>
    </i>
    <i r="1">
      <x v="42"/>
    </i>
    <i r="1">
      <x v="47"/>
    </i>
    <i r="1">
      <x v="48"/>
    </i>
    <i r="1">
      <x v="52"/>
    </i>
    <i r="1">
      <x v="55"/>
    </i>
    <i r="1">
      <x v="61"/>
    </i>
    <i r="1">
      <x v="63"/>
    </i>
    <i r="1">
      <x v="70"/>
    </i>
    <i r="1">
      <x v="71"/>
    </i>
    <i r="1">
      <x v="75"/>
    </i>
    <i r="1">
      <x v="77"/>
    </i>
    <i r="1">
      <x v="81"/>
    </i>
    <i r="1">
      <x v="82"/>
    </i>
    <i t="default">
      <x v="5"/>
    </i>
    <i>
      <x v="6"/>
    </i>
    <i r="1">
      <x v="78"/>
    </i>
    <i t="default">
      <x v="6"/>
    </i>
    <i t="grand">
      <x/>
    </i>
  </rowItems>
  <colFields count="1">
    <field x="-2"/>
  </colFields>
  <colItems count="20">
    <i>
      <x/>
    </i>
    <i i="1">
      <x v="1"/>
    </i>
    <i i="2">
      <x v="2"/>
    </i>
    <i i="3">
      <x v="3"/>
    </i>
    <i i="4">
      <x v="4"/>
    </i>
    <i i="5">
      <x v="5"/>
    </i>
    <i i="6">
      <x v="6"/>
    </i>
    <i i="7">
      <x v="7"/>
    </i>
    <i i="8">
      <x v="8"/>
    </i>
    <i i="9">
      <x v="9"/>
    </i>
    <i i="10">
      <x v="10"/>
    </i>
    <i i="11">
      <x v="11"/>
    </i>
    <i i="12">
      <x v="12"/>
    </i>
    <i i="13">
      <x v="13"/>
    </i>
    <i i="14">
      <x v="14"/>
    </i>
    <i i="15">
      <x v="15"/>
    </i>
    <i i="16">
      <x v="16"/>
    </i>
    <i i="17">
      <x v="17"/>
    </i>
    <i i="18">
      <x v="18"/>
    </i>
    <i i="19">
      <x v="19"/>
    </i>
  </colItems>
  <dataFields count="20">
    <dataField name="Sum of Total Direct Participants in the Fiscal Year" fld="275" baseField="0" baseItem="0"/>
    <dataField name="Sum of Total Indirect Participants in the Fiscal Year" fld="276" baseField="0" baseItem="0"/>
    <dataField name="Count of Project/Initiative Name" fld="3" subtotal="count" baseField="0" baseItem="0"/>
    <dataField name="Sum of # women from total participants (Direct)" fld="280" baseField="0" baseItem="0"/>
    <dataField name="Sum of # women from total participants (Indirect)" fld="281" baseField="0" baseItem="0"/>
    <dataField name="Sum of Total Participants Humanitarian Direct" fld="283" baseField="0" baseItem="0"/>
    <dataField name="Sum of Total Participants Humanitarian Indirect" fld="284" baseField="0" baseItem="0"/>
    <dataField name="Sum of Outcome area - Humanitarian" fld="282" baseField="0" baseItem="8"/>
    <dataField name="Sum of Total Participants Sexual, Reproductive and Maternal Health Rights Direct" fld="291" baseField="0" baseItem="0"/>
    <dataField name="Sum of Total Participants Sexual, Reproductive and Maternal Health Rights Indirect" fld="292" baseField="0" baseItem="0"/>
    <dataField name="Sum of Outcome area - SRMH" fld="290" baseField="1" baseItem="0"/>
    <dataField name="Sum of Total Participants Food and Nutrition Security and Climate Change Resilience Direct" fld="287" baseField="0" baseItem="0"/>
    <dataField name="Sum of Total Participants Food and Nutrition Security and Climate Change Resilience Indirect" fld="288" baseField="0" baseItem="0"/>
    <dataField name="Sum of Outcome area - FNS" fld="286" baseField="1" baseItem="0"/>
    <dataField name="Sum of Total Participants A Life Free From Violence Direct" fld="295" baseField="0" baseItem="0"/>
    <dataField name="Sum of Total Participants A Life Free From Violence Indirect" fld="296" baseField="0" baseItem="0"/>
    <dataField name="Sum of Outcome area - LFFV" fld="294" baseField="0" baseItem="8"/>
    <dataField name="Sum of Total Participants Women's Economic Empowerment Direct" fld="299" baseField="0" baseItem="0"/>
    <dataField name="Sum of Total Participants Women's Economic Empowerment Indirect" fld="300" baseField="1" baseItem="0"/>
    <dataField name="Sum of Outcome area - WEE" fld="298" baseField="1" baseItem="0"/>
  </dataFields>
  <formats count="4">
    <format dxfId="3">
      <pivotArea outline="0" collapsedLevelsAreSubtotals="1" fieldPosition="0"/>
    </format>
    <format dxfId="2">
      <pivotArea dataOnly="0" labelOnly="1" outline="0" fieldPosition="0">
        <references count="1">
          <reference field="4294967294" count="7">
            <x v="0"/>
            <x v="1"/>
            <x v="3"/>
            <x v="4"/>
            <x v="5"/>
            <x v="6"/>
            <x v="7"/>
          </reference>
        </references>
      </pivotArea>
    </format>
    <format dxfId="1">
      <pivotArea outline="0" collapsedLevelsAreSubtotals="1" fieldPosition="0"/>
    </format>
    <format dxfId="0">
      <pivotArea dataOnly="0" labelOnly="1" outline="0" fieldPosition="0">
        <references count="1">
          <reference field="4294967294" count="7">
            <x v="0"/>
            <x v="1"/>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PivotTable21" cacheId="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rowHeaderCaption="" colHeaderCaption="">
  <location ref="A426:M528" firstHeaderRow="1" firstDataRow="3" firstDataCol="1"/>
  <pivotFields count="308">
    <pivotField axis="axisRow" subtotalTop="0" showAll="0">
      <items count="88">
        <item x="0"/>
        <item x="1"/>
        <item x="2"/>
        <item x="3"/>
        <item x="4"/>
        <item x="5"/>
        <item x="6"/>
        <item x="7"/>
        <item x="8"/>
        <item x="9"/>
        <item x="10"/>
        <item x="11"/>
        <item x="12"/>
        <item m="1" x="86"/>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20"/>
        <item m="1" x="85"/>
        <item t="default"/>
      </items>
    </pivotField>
    <pivotField axis="axisRow" subtotalTop="0" showAll="0">
      <items count="9">
        <item x="3"/>
        <item x="5"/>
        <item x="2"/>
        <item x="0"/>
        <item x="4"/>
        <item x="1"/>
        <item x="6"/>
        <item m="1" x="7"/>
        <item t="default"/>
      </items>
    </pivotField>
    <pivotField subtotalTop="0" showAll="0"/>
    <pivotField subtotalTop="0"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defaultSubtotal="0">
      <items count="4">
        <item x="3"/>
        <item x="0"/>
        <item x="1"/>
        <item x="2"/>
      </items>
    </pivotField>
    <pivotField subtotalTop="0" showAll="0"/>
    <pivotField subtotalTop="0" showAll="0"/>
    <pivotField subtotalTop="0" showAll="0"/>
    <pivotField axis="axisCol" dataField="1" subtotalTop="0" showAll="0">
      <items count="4">
        <item x="1"/>
        <item x="0"/>
        <item x="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numFmtId="164" subtotalTop="0" showAll="0"/>
    <pivotField numFmtId="164"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2">
    <field x="1"/>
    <field x="0"/>
  </rowFields>
  <rowItems count="100">
    <i>
      <x/>
    </i>
    <i r="1">
      <x v="8"/>
    </i>
    <i r="1">
      <x v="23"/>
    </i>
    <i r="1">
      <x v="37"/>
    </i>
    <i r="1">
      <x v="62"/>
    </i>
    <i r="1">
      <x v="65"/>
    </i>
    <i r="1">
      <x v="67"/>
    </i>
    <i r="1">
      <x v="69"/>
    </i>
    <i r="1">
      <x v="76"/>
    </i>
    <i r="1">
      <x v="85"/>
    </i>
    <i t="default">
      <x/>
    </i>
    <i>
      <x v="1"/>
    </i>
    <i r="1">
      <x v="43"/>
    </i>
    <i r="1">
      <x v="44"/>
    </i>
    <i r="1">
      <x v="49"/>
    </i>
    <i r="1">
      <x v="66"/>
    </i>
    <i r="1">
      <x v="72"/>
    </i>
    <i r="1">
      <x v="83"/>
    </i>
    <i r="1">
      <x v="84"/>
    </i>
    <i t="default">
      <x v="1"/>
    </i>
    <i>
      <x v="2"/>
    </i>
    <i r="1">
      <x v="5"/>
    </i>
    <i r="1">
      <x v="7"/>
    </i>
    <i r="1">
      <x v="10"/>
    </i>
    <i r="1">
      <x v="11"/>
    </i>
    <i r="1">
      <x v="15"/>
    </i>
    <i r="1">
      <x v="28"/>
    </i>
    <i r="1">
      <x v="41"/>
    </i>
    <i r="1">
      <x v="45"/>
    </i>
    <i r="1">
      <x v="54"/>
    </i>
    <i r="1">
      <x v="64"/>
    </i>
    <i t="default">
      <x v="2"/>
    </i>
    <i>
      <x v="3"/>
    </i>
    <i r="1">
      <x/>
    </i>
    <i r="1">
      <x v="3"/>
    </i>
    <i r="1">
      <x v="9"/>
    </i>
    <i r="1">
      <x v="24"/>
    </i>
    <i r="1">
      <x v="33"/>
    </i>
    <i r="1">
      <x v="34"/>
    </i>
    <i r="1">
      <x v="39"/>
    </i>
    <i r="1">
      <x v="50"/>
    </i>
    <i r="1">
      <x v="51"/>
    </i>
    <i r="1">
      <x v="56"/>
    </i>
    <i r="1">
      <x v="58"/>
    </i>
    <i r="1">
      <x v="60"/>
    </i>
    <i r="1">
      <x v="68"/>
    </i>
    <i r="1">
      <x v="73"/>
    </i>
    <i r="1">
      <x v="74"/>
    </i>
    <i r="1">
      <x v="79"/>
    </i>
    <i r="1">
      <x v="80"/>
    </i>
    <i t="default">
      <x v="3"/>
    </i>
    <i>
      <x v="4"/>
    </i>
    <i r="1">
      <x v="12"/>
    </i>
    <i r="1">
      <x v="14"/>
    </i>
    <i r="1">
      <x v="17"/>
    </i>
    <i r="1">
      <x v="20"/>
    </i>
    <i r="1">
      <x v="21"/>
    </i>
    <i r="1">
      <x v="30"/>
    </i>
    <i r="1">
      <x v="31"/>
    </i>
    <i r="1">
      <x v="32"/>
    </i>
    <i r="1">
      <x v="46"/>
    </i>
    <i r="1">
      <x v="53"/>
    </i>
    <i r="1">
      <x v="57"/>
    </i>
    <i r="1">
      <x v="59"/>
    </i>
    <i t="default">
      <x v="4"/>
    </i>
    <i>
      <x v="5"/>
    </i>
    <i r="1">
      <x v="1"/>
    </i>
    <i r="1">
      <x v="2"/>
    </i>
    <i r="1">
      <x v="4"/>
    </i>
    <i r="1">
      <x v="6"/>
    </i>
    <i r="1">
      <x v="16"/>
    </i>
    <i r="1">
      <x v="18"/>
    </i>
    <i r="1">
      <x v="19"/>
    </i>
    <i r="1">
      <x v="22"/>
    </i>
    <i r="1">
      <x v="25"/>
    </i>
    <i r="1">
      <x v="26"/>
    </i>
    <i r="1">
      <x v="27"/>
    </i>
    <i r="1">
      <x v="29"/>
    </i>
    <i r="1">
      <x v="35"/>
    </i>
    <i r="1">
      <x v="36"/>
    </i>
    <i r="1">
      <x v="38"/>
    </i>
    <i r="1">
      <x v="40"/>
    </i>
    <i r="1">
      <x v="42"/>
    </i>
    <i r="1">
      <x v="47"/>
    </i>
    <i r="1">
      <x v="48"/>
    </i>
    <i r="1">
      <x v="52"/>
    </i>
    <i r="1">
      <x v="55"/>
    </i>
    <i r="1">
      <x v="61"/>
    </i>
    <i r="1">
      <x v="63"/>
    </i>
    <i r="1">
      <x v="70"/>
    </i>
    <i r="1">
      <x v="71"/>
    </i>
    <i r="1">
      <x v="75"/>
    </i>
    <i r="1">
      <x v="77"/>
    </i>
    <i r="1">
      <x v="81"/>
    </i>
    <i r="1">
      <x v="82"/>
    </i>
    <i t="default">
      <x v="5"/>
    </i>
    <i>
      <x v="6"/>
    </i>
    <i r="1">
      <x v="78"/>
    </i>
    <i t="default">
      <x v="6"/>
    </i>
    <i t="grand">
      <x/>
    </i>
  </rowItems>
  <colFields count="2">
    <field x="238"/>
    <field x="242"/>
  </colFields>
  <colItems count="12">
    <i>
      <x/>
      <x/>
    </i>
    <i r="1">
      <x v="1"/>
    </i>
    <i r="1">
      <x v="2"/>
    </i>
    <i>
      <x v="1"/>
      <x/>
    </i>
    <i r="1">
      <x v="1"/>
    </i>
    <i r="1">
      <x v="2"/>
    </i>
    <i>
      <x v="2"/>
      <x/>
    </i>
    <i r="1">
      <x v="1"/>
    </i>
    <i r="1">
      <x v="2"/>
    </i>
    <i>
      <x v="3"/>
      <x/>
    </i>
    <i r="1">
      <x v="1"/>
    </i>
    <i r="1">
      <x v="2"/>
    </i>
  </colItems>
  <dataFields count="1">
    <dataField name="Count of Gender Marker – M&amp;E Systems" fld="24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rowHeaderCaption="" colHeaderCaption="">
  <location ref="A320:M422" firstHeaderRow="1" firstDataRow="3" firstDataCol="1"/>
  <pivotFields count="308">
    <pivotField axis="axisRow" subtotalTop="0" showAll="0">
      <items count="88">
        <item x="0"/>
        <item x="1"/>
        <item x="2"/>
        <item x="3"/>
        <item x="4"/>
        <item x="5"/>
        <item x="6"/>
        <item x="7"/>
        <item x="8"/>
        <item x="9"/>
        <item x="10"/>
        <item x="11"/>
        <item x="12"/>
        <item m="1" x="86"/>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20"/>
        <item m="1" x="85"/>
        <item t="default"/>
      </items>
    </pivotField>
    <pivotField axis="axisRow" subtotalTop="0" showAll="0">
      <items count="9">
        <item x="3"/>
        <item x="5"/>
        <item x="2"/>
        <item x="0"/>
        <item x="4"/>
        <item x="1"/>
        <item x="6"/>
        <item m="1" x="7"/>
        <item t="default"/>
      </items>
    </pivotField>
    <pivotField subtotalTop="0" showAll="0"/>
    <pivotField subtotalTop="0"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defaultSubtotal="0"/>
    <pivotField subtotalTop="0" showAll="0"/>
    <pivotField subtotalTop="0" showAll="0"/>
    <pivotField subtotalTop="0" showAll="0"/>
    <pivotField subtotalTop="0" showAll="0"/>
    <pivotField subtotalTop="0" showAll="0"/>
    <pivotField subtotalTop="0" showAll="0"/>
    <pivotField axis="axisCol" subtotalTop="0" showAll="0" defaultSubtotal="0">
      <items count="4">
        <item x="3"/>
        <item x="1"/>
        <item x="2"/>
        <item x="0"/>
      </items>
    </pivotField>
    <pivotField subtotalTop="0" showAll="0"/>
    <pivotField subtotalTop="0" showAll="0"/>
    <pivotField axis="axisCol" dataField="1" subtotalTop="0" showAll="0">
      <items count="4">
        <item x="2"/>
        <item x="1"/>
        <item x="0"/>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numFmtId="164" subtotalTop="0" showAll="0"/>
    <pivotField numFmtId="164"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2">
    <field x="1"/>
    <field x="0"/>
  </rowFields>
  <rowItems count="100">
    <i>
      <x/>
    </i>
    <i r="1">
      <x v="8"/>
    </i>
    <i r="1">
      <x v="23"/>
    </i>
    <i r="1">
      <x v="37"/>
    </i>
    <i r="1">
      <x v="62"/>
    </i>
    <i r="1">
      <x v="65"/>
    </i>
    <i r="1">
      <x v="67"/>
    </i>
    <i r="1">
      <x v="69"/>
    </i>
    <i r="1">
      <x v="76"/>
    </i>
    <i r="1">
      <x v="85"/>
    </i>
    <i t="default">
      <x/>
    </i>
    <i>
      <x v="1"/>
    </i>
    <i r="1">
      <x v="43"/>
    </i>
    <i r="1">
      <x v="44"/>
    </i>
    <i r="1">
      <x v="49"/>
    </i>
    <i r="1">
      <x v="66"/>
    </i>
    <i r="1">
      <x v="72"/>
    </i>
    <i r="1">
      <x v="83"/>
    </i>
    <i r="1">
      <x v="84"/>
    </i>
    <i t="default">
      <x v="1"/>
    </i>
    <i>
      <x v="2"/>
    </i>
    <i r="1">
      <x v="5"/>
    </i>
    <i r="1">
      <x v="7"/>
    </i>
    <i r="1">
      <x v="10"/>
    </i>
    <i r="1">
      <x v="11"/>
    </i>
    <i r="1">
      <x v="15"/>
    </i>
    <i r="1">
      <x v="28"/>
    </i>
    <i r="1">
      <x v="41"/>
    </i>
    <i r="1">
      <x v="45"/>
    </i>
    <i r="1">
      <x v="54"/>
    </i>
    <i r="1">
      <x v="64"/>
    </i>
    <i t="default">
      <x v="2"/>
    </i>
    <i>
      <x v="3"/>
    </i>
    <i r="1">
      <x/>
    </i>
    <i r="1">
      <x v="3"/>
    </i>
    <i r="1">
      <x v="9"/>
    </i>
    <i r="1">
      <x v="24"/>
    </i>
    <i r="1">
      <x v="33"/>
    </i>
    <i r="1">
      <x v="34"/>
    </i>
    <i r="1">
      <x v="39"/>
    </i>
    <i r="1">
      <x v="50"/>
    </i>
    <i r="1">
      <x v="51"/>
    </i>
    <i r="1">
      <x v="56"/>
    </i>
    <i r="1">
      <x v="58"/>
    </i>
    <i r="1">
      <x v="60"/>
    </i>
    <i r="1">
      <x v="68"/>
    </i>
    <i r="1">
      <x v="73"/>
    </i>
    <i r="1">
      <x v="74"/>
    </i>
    <i r="1">
      <x v="79"/>
    </i>
    <i r="1">
      <x v="80"/>
    </i>
    <i t="default">
      <x v="3"/>
    </i>
    <i>
      <x v="4"/>
    </i>
    <i r="1">
      <x v="12"/>
    </i>
    <i r="1">
      <x v="14"/>
    </i>
    <i r="1">
      <x v="17"/>
    </i>
    <i r="1">
      <x v="20"/>
    </i>
    <i r="1">
      <x v="21"/>
    </i>
    <i r="1">
      <x v="30"/>
    </i>
    <i r="1">
      <x v="31"/>
    </i>
    <i r="1">
      <x v="32"/>
    </i>
    <i r="1">
      <x v="46"/>
    </i>
    <i r="1">
      <x v="53"/>
    </i>
    <i r="1">
      <x v="57"/>
    </i>
    <i r="1">
      <x v="59"/>
    </i>
    <i t="default">
      <x v="4"/>
    </i>
    <i>
      <x v="5"/>
    </i>
    <i r="1">
      <x v="1"/>
    </i>
    <i r="1">
      <x v="2"/>
    </i>
    <i r="1">
      <x v="4"/>
    </i>
    <i r="1">
      <x v="6"/>
    </i>
    <i r="1">
      <x v="16"/>
    </i>
    <i r="1">
      <x v="18"/>
    </i>
    <i r="1">
      <x v="19"/>
    </i>
    <i r="1">
      <x v="22"/>
    </i>
    <i r="1">
      <x v="25"/>
    </i>
    <i r="1">
      <x v="26"/>
    </i>
    <i r="1">
      <x v="27"/>
    </i>
    <i r="1">
      <x v="29"/>
    </i>
    <i r="1">
      <x v="35"/>
    </i>
    <i r="1">
      <x v="36"/>
    </i>
    <i r="1">
      <x v="38"/>
    </i>
    <i r="1">
      <x v="40"/>
    </i>
    <i r="1">
      <x v="42"/>
    </i>
    <i r="1">
      <x v="47"/>
    </i>
    <i r="1">
      <x v="48"/>
    </i>
    <i r="1">
      <x v="52"/>
    </i>
    <i r="1">
      <x v="55"/>
    </i>
    <i r="1">
      <x v="61"/>
    </i>
    <i r="1">
      <x v="63"/>
    </i>
    <i r="1">
      <x v="70"/>
    </i>
    <i r="1">
      <x v="71"/>
    </i>
    <i r="1">
      <x v="75"/>
    </i>
    <i r="1">
      <x v="77"/>
    </i>
    <i r="1">
      <x v="81"/>
    </i>
    <i r="1">
      <x v="82"/>
    </i>
    <i t="default">
      <x v="5"/>
    </i>
    <i>
      <x v="6"/>
    </i>
    <i r="1">
      <x v="78"/>
    </i>
    <i t="default">
      <x v="6"/>
    </i>
    <i t="grand">
      <x/>
    </i>
  </rowItems>
  <colFields count="2">
    <field x="245"/>
    <field x="248"/>
  </colFields>
  <colItems count="12">
    <i>
      <x/>
      <x/>
    </i>
    <i r="1">
      <x v="1"/>
    </i>
    <i r="1">
      <x v="2"/>
    </i>
    <i>
      <x v="1"/>
      <x/>
    </i>
    <i r="1">
      <x v="1"/>
    </i>
    <i r="1">
      <x v="2"/>
    </i>
    <i>
      <x v="2"/>
      <x/>
    </i>
    <i r="1">
      <x v="1"/>
    </i>
    <i r="1">
      <x v="2"/>
    </i>
    <i>
      <x v="3"/>
      <x/>
    </i>
    <i r="1">
      <x v="1"/>
    </i>
    <i r="1">
      <x v="2"/>
    </i>
  </colItems>
  <dataFields count="1">
    <dataField name="Count of Governance Marker – Integration" fld="24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rowHeaderCaption="" colHeaderCaption="">
  <location ref="A426:M528" firstHeaderRow="1" firstDataRow="3" firstDataCol="1"/>
  <pivotFields count="308">
    <pivotField axis="axisRow" subtotalTop="0" showAll="0">
      <items count="88">
        <item x="0"/>
        <item x="1"/>
        <item x="2"/>
        <item x="3"/>
        <item x="4"/>
        <item x="5"/>
        <item x="6"/>
        <item x="7"/>
        <item x="8"/>
        <item x="9"/>
        <item x="10"/>
        <item x="11"/>
        <item x="12"/>
        <item m="1" x="86"/>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20"/>
        <item m="1" x="85"/>
        <item t="default"/>
      </items>
    </pivotField>
    <pivotField axis="axisRow" subtotalTop="0" showAll="0">
      <items count="9">
        <item x="3"/>
        <item x="5"/>
        <item x="2"/>
        <item x="0"/>
        <item x="4"/>
        <item x="1"/>
        <item x="6"/>
        <item m="1" x="7"/>
        <item t="default"/>
      </items>
    </pivotField>
    <pivotField subtotalTop="0" showAll="0"/>
    <pivotField subtotalTop="0"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defaultSubtotal="0"/>
    <pivotField subtotalTop="0" showAll="0"/>
    <pivotField subtotalTop="0" showAll="0"/>
    <pivotField subtotalTop="0" showAll="0"/>
    <pivotField subtotalTop="0" showAll="0"/>
    <pivotField subtotalTop="0" showAll="0"/>
    <pivotField subtotalTop="0" showAll="0"/>
    <pivotField axis="axisCol" subtotalTop="0" showAll="0" defaultSubtotal="0">
      <items count="4">
        <item x="3"/>
        <item x="1"/>
        <item x="2"/>
        <item x="0"/>
      </items>
    </pivotField>
    <pivotField subtotalTop="0" showAll="0"/>
    <pivotField subtotalTop="0" showAll="0"/>
    <pivotField subtotalTop="0" showAll="0"/>
    <pivotField axis="axisCol" dataField="1" subtotalTop="0" showAll="0">
      <items count="4">
        <item x="2"/>
        <item x="1"/>
        <item x="0"/>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numFmtId="164" subtotalTop="0" showAll="0"/>
    <pivotField numFmtId="164"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2">
    <field x="1"/>
    <field x="0"/>
  </rowFields>
  <rowItems count="100">
    <i>
      <x/>
    </i>
    <i r="1">
      <x v="8"/>
    </i>
    <i r="1">
      <x v="23"/>
    </i>
    <i r="1">
      <x v="37"/>
    </i>
    <i r="1">
      <x v="62"/>
    </i>
    <i r="1">
      <x v="65"/>
    </i>
    <i r="1">
      <x v="67"/>
    </i>
    <i r="1">
      <x v="69"/>
    </i>
    <i r="1">
      <x v="76"/>
    </i>
    <i r="1">
      <x v="85"/>
    </i>
    <i t="default">
      <x/>
    </i>
    <i>
      <x v="1"/>
    </i>
    <i r="1">
      <x v="43"/>
    </i>
    <i r="1">
      <x v="44"/>
    </i>
    <i r="1">
      <x v="49"/>
    </i>
    <i r="1">
      <x v="66"/>
    </i>
    <i r="1">
      <x v="72"/>
    </i>
    <i r="1">
      <x v="83"/>
    </i>
    <i r="1">
      <x v="84"/>
    </i>
    <i t="default">
      <x v="1"/>
    </i>
    <i>
      <x v="2"/>
    </i>
    <i r="1">
      <x v="5"/>
    </i>
    <i r="1">
      <x v="7"/>
    </i>
    <i r="1">
      <x v="10"/>
    </i>
    <i r="1">
      <x v="11"/>
    </i>
    <i r="1">
      <x v="15"/>
    </i>
    <i r="1">
      <x v="28"/>
    </i>
    <i r="1">
      <x v="41"/>
    </i>
    <i r="1">
      <x v="45"/>
    </i>
    <i r="1">
      <x v="54"/>
    </i>
    <i r="1">
      <x v="64"/>
    </i>
    <i t="default">
      <x v="2"/>
    </i>
    <i>
      <x v="3"/>
    </i>
    <i r="1">
      <x/>
    </i>
    <i r="1">
      <x v="3"/>
    </i>
    <i r="1">
      <x v="9"/>
    </i>
    <i r="1">
      <x v="24"/>
    </i>
    <i r="1">
      <x v="33"/>
    </i>
    <i r="1">
      <x v="34"/>
    </i>
    <i r="1">
      <x v="39"/>
    </i>
    <i r="1">
      <x v="50"/>
    </i>
    <i r="1">
      <x v="51"/>
    </i>
    <i r="1">
      <x v="56"/>
    </i>
    <i r="1">
      <x v="58"/>
    </i>
    <i r="1">
      <x v="60"/>
    </i>
    <i r="1">
      <x v="68"/>
    </i>
    <i r="1">
      <x v="73"/>
    </i>
    <i r="1">
      <x v="74"/>
    </i>
    <i r="1">
      <x v="79"/>
    </i>
    <i r="1">
      <x v="80"/>
    </i>
    <i t="default">
      <x v="3"/>
    </i>
    <i>
      <x v="4"/>
    </i>
    <i r="1">
      <x v="12"/>
    </i>
    <i r="1">
      <x v="14"/>
    </i>
    <i r="1">
      <x v="17"/>
    </i>
    <i r="1">
      <x v="20"/>
    </i>
    <i r="1">
      <x v="21"/>
    </i>
    <i r="1">
      <x v="30"/>
    </i>
    <i r="1">
      <x v="31"/>
    </i>
    <i r="1">
      <x v="32"/>
    </i>
    <i r="1">
      <x v="46"/>
    </i>
    <i r="1">
      <x v="53"/>
    </i>
    <i r="1">
      <x v="57"/>
    </i>
    <i r="1">
      <x v="59"/>
    </i>
    <i t="default">
      <x v="4"/>
    </i>
    <i>
      <x v="5"/>
    </i>
    <i r="1">
      <x v="1"/>
    </i>
    <i r="1">
      <x v="2"/>
    </i>
    <i r="1">
      <x v="4"/>
    </i>
    <i r="1">
      <x v="6"/>
    </i>
    <i r="1">
      <x v="16"/>
    </i>
    <i r="1">
      <x v="18"/>
    </i>
    <i r="1">
      <x v="19"/>
    </i>
    <i r="1">
      <x v="22"/>
    </i>
    <i r="1">
      <x v="25"/>
    </i>
    <i r="1">
      <x v="26"/>
    </i>
    <i r="1">
      <x v="27"/>
    </i>
    <i r="1">
      <x v="29"/>
    </i>
    <i r="1">
      <x v="35"/>
    </i>
    <i r="1">
      <x v="36"/>
    </i>
    <i r="1">
      <x v="38"/>
    </i>
    <i r="1">
      <x v="40"/>
    </i>
    <i r="1">
      <x v="42"/>
    </i>
    <i r="1">
      <x v="47"/>
    </i>
    <i r="1">
      <x v="48"/>
    </i>
    <i r="1">
      <x v="52"/>
    </i>
    <i r="1">
      <x v="55"/>
    </i>
    <i r="1">
      <x v="61"/>
    </i>
    <i r="1">
      <x v="63"/>
    </i>
    <i r="1">
      <x v="70"/>
    </i>
    <i r="1">
      <x v="71"/>
    </i>
    <i r="1">
      <x v="75"/>
    </i>
    <i r="1">
      <x v="77"/>
    </i>
    <i r="1">
      <x v="81"/>
    </i>
    <i r="1">
      <x v="82"/>
    </i>
    <i t="default">
      <x v="5"/>
    </i>
    <i>
      <x v="6"/>
    </i>
    <i r="1">
      <x v="78"/>
    </i>
    <i t="default">
      <x v="6"/>
    </i>
    <i t="grand">
      <x/>
    </i>
  </rowItems>
  <colFields count="2">
    <field x="245"/>
    <field x="249"/>
  </colFields>
  <colItems count="12">
    <i>
      <x/>
      <x/>
    </i>
    <i r="1">
      <x v="1"/>
    </i>
    <i r="1">
      <x v="2"/>
    </i>
    <i>
      <x v="1"/>
      <x/>
    </i>
    <i r="1">
      <x v="1"/>
    </i>
    <i r="1">
      <x v="2"/>
    </i>
    <i>
      <x v="2"/>
      <x/>
    </i>
    <i r="1">
      <x v="1"/>
    </i>
    <i r="1">
      <x v="2"/>
    </i>
    <i>
      <x v="3"/>
      <x/>
    </i>
    <i r="1">
      <x v="1"/>
    </i>
    <i r="1">
      <x v="2"/>
    </i>
  </colItems>
  <dataFields count="1">
    <dataField name="Count of Governance Marker – CARE’s own accountability" fld="24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rowHeaderCaption="" colHeaderCaption="">
  <location ref="A108:M210" firstHeaderRow="1" firstDataRow="3" firstDataCol="1"/>
  <pivotFields count="308">
    <pivotField axis="axisRow" subtotalTop="0" showAll="0">
      <items count="88">
        <item x="0"/>
        <item x="1"/>
        <item x="2"/>
        <item x="3"/>
        <item x="4"/>
        <item x="5"/>
        <item x="6"/>
        <item x="7"/>
        <item x="8"/>
        <item x="9"/>
        <item x="10"/>
        <item x="11"/>
        <item x="12"/>
        <item m="1" x="86"/>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20"/>
        <item m="1" x="85"/>
        <item t="default"/>
      </items>
    </pivotField>
    <pivotField axis="axisRow" subtotalTop="0" showAll="0">
      <items count="9">
        <item x="3"/>
        <item x="5"/>
        <item x="2"/>
        <item x="0"/>
        <item x="4"/>
        <item x="1"/>
        <item x="6"/>
        <item m="1" x="7"/>
        <item t="default"/>
      </items>
    </pivotField>
    <pivotField subtotalTop="0" showAll="0"/>
    <pivotField subtotalTop="0"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defaultSubtotal="0"/>
    <pivotField subtotalTop="0" showAll="0"/>
    <pivotField subtotalTop="0" showAll="0"/>
    <pivotField subtotalTop="0" showAll="0"/>
    <pivotField subtotalTop="0" showAll="0"/>
    <pivotField subtotalTop="0" showAll="0"/>
    <pivotField subtotalTop="0" showAll="0"/>
    <pivotField axis="axisCol" subtotalTop="0" showAll="0" defaultSubtotal="0">
      <items count="4">
        <item x="3"/>
        <item x="1"/>
        <item x="2"/>
        <item x="0"/>
      </items>
    </pivotField>
    <pivotField axis="axisCol" dataField="1" subtotalTop="0" showAll="0">
      <items count="4">
        <item x="2"/>
        <item x="1"/>
        <item x="0"/>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numFmtId="164" subtotalTop="0" showAll="0"/>
    <pivotField numFmtId="164"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2">
    <field x="1"/>
    <field x="0"/>
  </rowFields>
  <rowItems count="100">
    <i>
      <x/>
    </i>
    <i r="1">
      <x v="8"/>
    </i>
    <i r="1">
      <x v="23"/>
    </i>
    <i r="1">
      <x v="37"/>
    </i>
    <i r="1">
      <x v="62"/>
    </i>
    <i r="1">
      <x v="65"/>
    </i>
    <i r="1">
      <x v="67"/>
    </i>
    <i r="1">
      <x v="69"/>
    </i>
    <i r="1">
      <x v="76"/>
    </i>
    <i r="1">
      <x v="85"/>
    </i>
    <i t="default">
      <x/>
    </i>
    <i>
      <x v="1"/>
    </i>
    <i r="1">
      <x v="43"/>
    </i>
    <i r="1">
      <x v="44"/>
    </i>
    <i r="1">
      <x v="49"/>
    </i>
    <i r="1">
      <x v="66"/>
    </i>
    <i r="1">
      <x v="72"/>
    </i>
    <i r="1">
      <x v="83"/>
    </i>
    <i r="1">
      <x v="84"/>
    </i>
    <i t="default">
      <x v="1"/>
    </i>
    <i>
      <x v="2"/>
    </i>
    <i r="1">
      <x v="5"/>
    </i>
    <i r="1">
      <x v="7"/>
    </i>
    <i r="1">
      <x v="10"/>
    </i>
    <i r="1">
      <x v="11"/>
    </i>
    <i r="1">
      <x v="15"/>
    </i>
    <i r="1">
      <x v="28"/>
    </i>
    <i r="1">
      <x v="41"/>
    </i>
    <i r="1">
      <x v="45"/>
    </i>
    <i r="1">
      <x v="54"/>
    </i>
    <i r="1">
      <x v="64"/>
    </i>
    <i t="default">
      <x v="2"/>
    </i>
    <i>
      <x v="3"/>
    </i>
    <i r="1">
      <x/>
    </i>
    <i r="1">
      <x v="3"/>
    </i>
    <i r="1">
      <x v="9"/>
    </i>
    <i r="1">
      <x v="24"/>
    </i>
    <i r="1">
      <x v="33"/>
    </i>
    <i r="1">
      <x v="34"/>
    </i>
    <i r="1">
      <x v="39"/>
    </i>
    <i r="1">
      <x v="50"/>
    </i>
    <i r="1">
      <x v="51"/>
    </i>
    <i r="1">
      <x v="56"/>
    </i>
    <i r="1">
      <x v="58"/>
    </i>
    <i r="1">
      <x v="60"/>
    </i>
    <i r="1">
      <x v="68"/>
    </i>
    <i r="1">
      <x v="73"/>
    </i>
    <i r="1">
      <x v="74"/>
    </i>
    <i r="1">
      <x v="79"/>
    </i>
    <i r="1">
      <x v="80"/>
    </i>
    <i t="default">
      <x v="3"/>
    </i>
    <i>
      <x v="4"/>
    </i>
    <i r="1">
      <x v="12"/>
    </i>
    <i r="1">
      <x v="14"/>
    </i>
    <i r="1">
      <x v="17"/>
    </i>
    <i r="1">
      <x v="20"/>
    </i>
    <i r="1">
      <x v="21"/>
    </i>
    <i r="1">
      <x v="30"/>
    </i>
    <i r="1">
      <x v="31"/>
    </i>
    <i r="1">
      <x v="32"/>
    </i>
    <i r="1">
      <x v="46"/>
    </i>
    <i r="1">
      <x v="53"/>
    </i>
    <i r="1">
      <x v="57"/>
    </i>
    <i r="1">
      <x v="59"/>
    </i>
    <i t="default">
      <x v="4"/>
    </i>
    <i>
      <x v="5"/>
    </i>
    <i r="1">
      <x v="1"/>
    </i>
    <i r="1">
      <x v="2"/>
    </i>
    <i r="1">
      <x v="4"/>
    </i>
    <i r="1">
      <x v="6"/>
    </i>
    <i r="1">
      <x v="16"/>
    </i>
    <i r="1">
      <x v="18"/>
    </i>
    <i r="1">
      <x v="19"/>
    </i>
    <i r="1">
      <x v="22"/>
    </i>
    <i r="1">
      <x v="25"/>
    </i>
    <i r="1">
      <x v="26"/>
    </i>
    <i r="1">
      <x v="27"/>
    </i>
    <i r="1">
      <x v="29"/>
    </i>
    <i r="1">
      <x v="35"/>
    </i>
    <i r="1">
      <x v="36"/>
    </i>
    <i r="1">
      <x v="38"/>
    </i>
    <i r="1">
      <x v="40"/>
    </i>
    <i r="1">
      <x v="42"/>
    </i>
    <i r="1">
      <x v="47"/>
    </i>
    <i r="1">
      <x v="48"/>
    </i>
    <i r="1">
      <x v="52"/>
    </i>
    <i r="1">
      <x v="55"/>
    </i>
    <i r="1">
      <x v="61"/>
    </i>
    <i r="1">
      <x v="63"/>
    </i>
    <i r="1">
      <x v="70"/>
    </i>
    <i r="1">
      <x v="71"/>
    </i>
    <i r="1">
      <x v="75"/>
    </i>
    <i r="1">
      <x v="77"/>
    </i>
    <i r="1">
      <x v="81"/>
    </i>
    <i r="1">
      <x v="82"/>
    </i>
    <i t="default">
      <x v="5"/>
    </i>
    <i>
      <x v="6"/>
    </i>
    <i r="1">
      <x v="78"/>
    </i>
    <i t="default">
      <x v="6"/>
    </i>
    <i t="grand">
      <x/>
    </i>
  </rowItems>
  <colFields count="2">
    <field x="245"/>
    <field x="246"/>
  </colFields>
  <colItems count="12">
    <i>
      <x/>
      <x/>
    </i>
    <i r="1">
      <x v="1"/>
    </i>
    <i r="1">
      <x v="2"/>
    </i>
    <i>
      <x v="1"/>
      <x/>
    </i>
    <i r="1">
      <x v="1"/>
    </i>
    <i r="1">
      <x v="2"/>
    </i>
    <i>
      <x v="2"/>
      <x/>
    </i>
    <i r="1">
      <x v="1"/>
    </i>
    <i r="1">
      <x v="2"/>
    </i>
    <i>
      <x v="3"/>
      <x/>
    </i>
    <i r="1">
      <x v="1"/>
    </i>
    <i r="1">
      <x v="2"/>
    </i>
  </colItems>
  <dataFields count="1">
    <dataField name="Count of Governance Marker – Analysis" fld="24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rowHeaderCaption="" colHeaderCaption="">
  <location ref="A214:M316" firstHeaderRow="1" firstDataRow="3" firstDataCol="1"/>
  <pivotFields count="308">
    <pivotField axis="axisRow" subtotalTop="0" showAll="0">
      <items count="88">
        <item x="0"/>
        <item x="1"/>
        <item x="2"/>
        <item x="3"/>
        <item x="4"/>
        <item x="5"/>
        <item x="6"/>
        <item x="7"/>
        <item x="8"/>
        <item x="9"/>
        <item x="10"/>
        <item x="11"/>
        <item x="12"/>
        <item m="1" x="86"/>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20"/>
        <item m="1" x="85"/>
        <item t="default"/>
      </items>
    </pivotField>
    <pivotField axis="axisRow" subtotalTop="0" showAll="0">
      <items count="9">
        <item x="3"/>
        <item x="5"/>
        <item x="2"/>
        <item x="0"/>
        <item x="4"/>
        <item x="1"/>
        <item x="6"/>
        <item m="1" x="7"/>
        <item t="default"/>
      </items>
    </pivotField>
    <pivotField subtotalTop="0" showAll="0"/>
    <pivotField subtotalTop="0"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defaultSubtotal="0"/>
    <pivotField subtotalTop="0" showAll="0"/>
    <pivotField subtotalTop="0" showAll="0"/>
    <pivotField subtotalTop="0" showAll="0"/>
    <pivotField subtotalTop="0" showAll="0"/>
    <pivotField subtotalTop="0" showAll="0"/>
    <pivotField subtotalTop="0" showAll="0"/>
    <pivotField axis="axisCol" subtotalTop="0" showAll="0" defaultSubtotal="0">
      <items count="4">
        <item x="3"/>
        <item x="1"/>
        <item x="2"/>
        <item x="0"/>
      </items>
    </pivotField>
    <pivotField subtotalTop="0" showAll="0"/>
    <pivotField axis="axisCol" dataField="1" subtotalTop="0" showAll="0">
      <items count="4">
        <item x="2"/>
        <item x="1"/>
        <item x="0"/>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numFmtId="164" subtotalTop="0" showAll="0"/>
    <pivotField numFmtId="164"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2">
    <field x="1"/>
    <field x="0"/>
  </rowFields>
  <rowItems count="100">
    <i>
      <x/>
    </i>
    <i r="1">
      <x v="8"/>
    </i>
    <i r="1">
      <x v="23"/>
    </i>
    <i r="1">
      <x v="37"/>
    </i>
    <i r="1">
      <x v="62"/>
    </i>
    <i r="1">
      <x v="65"/>
    </i>
    <i r="1">
      <x v="67"/>
    </i>
    <i r="1">
      <x v="69"/>
    </i>
    <i r="1">
      <x v="76"/>
    </i>
    <i r="1">
      <x v="85"/>
    </i>
    <i t="default">
      <x/>
    </i>
    <i>
      <x v="1"/>
    </i>
    <i r="1">
      <x v="43"/>
    </i>
    <i r="1">
      <x v="44"/>
    </i>
    <i r="1">
      <x v="49"/>
    </i>
    <i r="1">
      <x v="66"/>
    </i>
    <i r="1">
      <x v="72"/>
    </i>
    <i r="1">
      <x v="83"/>
    </i>
    <i r="1">
      <x v="84"/>
    </i>
    <i t="default">
      <x v="1"/>
    </i>
    <i>
      <x v="2"/>
    </i>
    <i r="1">
      <x v="5"/>
    </i>
    <i r="1">
      <x v="7"/>
    </i>
    <i r="1">
      <x v="10"/>
    </i>
    <i r="1">
      <x v="11"/>
    </i>
    <i r="1">
      <x v="15"/>
    </i>
    <i r="1">
      <x v="28"/>
    </i>
    <i r="1">
      <x v="41"/>
    </i>
    <i r="1">
      <x v="45"/>
    </i>
    <i r="1">
      <x v="54"/>
    </i>
    <i r="1">
      <x v="64"/>
    </i>
    <i t="default">
      <x v="2"/>
    </i>
    <i>
      <x v="3"/>
    </i>
    <i r="1">
      <x/>
    </i>
    <i r="1">
      <x v="3"/>
    </i>
    <i r="1">
      <x v="9"/>
    </i>
    <i r="1">
      <x v="24"/>
    </i>
    <i r="1">
      <x v="33"/>
    </i>
    <i r="1">
      <x v="34"/>
    </i>
    <i r="1">
      <x v="39"/>
    </i>
    <i r="1">
      <x v="50"/>
    </i>
    <i r="1">
      <x v="51"/>
    </i>
    <i r="1">
      <x v="56"/>
    </i>
    <i r="1">
      <x v="58"/>
    </i>
    <i r="1">
      <x v="60"/>
    </i>
    <i r="1">
      <x v="68"/>
    </i>
    <i r="1">
      <x v="73"/>
    </i>
    <i r="1">
      <x v="74"/>
    </i>
    <i r="1">
      <x v="79"/>
    </i>
    <i r="1">
      <x v="80"/>
    </i>
    <i t="default">
      <x v="3"/>
    </i>
    <i>
      <x v="4"/>
    </i>
    <i r="1">
      <x v="12"/>
    </i>
    <i r="1">
      <x v="14"/>
    </i>
    <i r="1">
      <x v="17"/>
    </i>
    <i r="1">
      <x v="20"/>
    </i>
    <i r="1">
      <x v="21"/>
    </i>
    <i r="1">
      <x v="30"/>
    </i>
    <i r="1">
      <x v="31"/>
    </i>
    <i r="1">
      <x v="32"/>
    </i>
    <i r="1">
      <x v="46"/>
    </i>
    <i r="1">
      <x v="53"/>
    </i>
    <i r="1">
      <x v="57"/>
    </i>
    <i r="1">
      <x v="59"/>
    </i>
    <i t="default">
      <x v="4"/>
    </i>
    <i>
      <x v="5"/>
    </i>
    <i r="1">
      <x v="1"/>
    </i>
    <i r="1">
      <x v="2"/>
    </i>
    <i r="1">
      <x v="4"/>
    </i>
    <i r="1">
      <x v="6"/>
    </i>
    <i r="1">
      <x v="16"/>
    </i>
    <i r="1">
      <x v="18"/>
    </i>
    <i r="1">
      <x v="19"/>
    </i>
    <i r="1">
      <x v="22"/>
    </i>
    <i r="1">
      <x v="25"/>
    </i>
    <i r="1">
      <x v="26"/>
    </i>
    <i r="1">
      <x v="27"/>
    </i>
    <i r="1">
      <x v="29"/>
    </i>
    <i r="1">
      <x v="35"/>
    </i>
    <i r="1">
      <x v="36"/>
    </i>
    <i r="1">
      <x v="38"/>
    </i>
    <i r="1">
      <x v="40"/>
    </i>
    <i r="1">
      <x v="42"/>
    </i>
    <i r="1">
      <x v="47"/>
    </i>
    <i r="1">
      <x v="48"/>
    </i>
    <i r="1">
      <x v="52"/>
    </i>
    <i r="1">
      <x v="55"/>
    </i>
    <i r="1">
      <x v="61"/>
    </i>
    <i r="1">
      <x v="63"/>
    </i>
    <i r="1">
      <x v="70"/>
    </i>
    <i r="1">
      <x v="71"/>
    </i>
    <i r="1">
      <x v="75"/>
    </i>
    <i r="1">
      <x v="77"/>
    </i>
    <i r="1">
      <x v="81"/>
    </i>
    <i r="1">
      <x v="82"/>
    </i>
    <i t="default">
      <x v="5"/>
    </i>
    <i>
      <x v="6"/>
    </i>
    <i r="1">
      <x v="78"/>
    </i>
    <i t="default">
      <x v="6"/>
    </i>
    <i t="grand">
      <x/>
    </i>
  </rowItems>
  <colFields count="2">
    <field x="245"/>
    <field x="247"/>
  </colFields>
  <colItems count="12">
    <i>
      <x/>
      <x/>
    </i>
    <i r="1">
      <x v="1"/>
    </i>
    <i r="1">
      <x v="2"/>
    </i>
    <i>
      <x v="1"/>
      <x/>
    </i>
    <i r="1">
      <x v="1"/>
    </i>
    <i r="1">
      <x v="2"/>
    </i>
    <i>
      <x v="2"/>
      <x/>
    </i>
    <i r="1">
      <x v="1"/>
    </i>
    <i r="1">
      <x v="2"/>
    </i>
    <i>
      <x v="3"/>
      <x/>
    </i>
    <i r="1">
      <x v="1"/>
    </i>
    <i r="1">
      <x v="2"/>
    </i>
  </colItems>
  <dataFields count="1">
    <dataField name="Count of Governance Marker – Activities" fld="247"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rowHeaderCaption="" colHeaderCaption="">
  <location ref="A3:G104" firstHeaderRow="1" firstDataRow="2" firstDataCol="1"/>
  <pivotFields count="308">
    <pivotField axis="axisRow" subtotalTop="0" showAll="0">
      <items count="88">
        <item x="0"/>
        <item x="1"/>
        <item x="2"/>
        <item x="3"/>
        <item x="4"/>
        <item x="5"/>
        <item x="6"/>
        <item x="7"/>
        <item x="8"/>
        <item x="9"/>
        <item x="10"/>
        <item x="11"/>
        <item x="12"/>
        <item m="1" x="86"/>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20"/>
        <item m="1" x="85"/>
        <item t="default"/>
      </items>
    </pivotField>
    <pivotField axis="axisRow" subtotalTop="0" showAll="0">
      <items count="9">
        <item x="3"/>
        <item x="5"/>
        <item x="2"/>
        <item x="0"/>
        <item x="4"/>
        <item x="1"/>
        <item x="6"/>
        <item m="1" x="7"/>
        <item t="default"/>
      </items>
    </pivotField>
    <pivotField subtotalTop="0" showAll="0"/>
    <pivotField subtotalTop="0"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dataField="1" subtotalTop="0" showAll="0">
      <items count="10">
        <item x="3"/>
        <item x="4"/>
        <item x="1"/>
        <item x="5"/>
        <item x="2"/>
        <item m="1" x="8"/>
        <item m="1" x="7"/>
        <item m="1" x="6"/>
        <item x="0"/>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numFmtId="164" subtotalTop="0" showAll="0"/>
    <pivotField numFmtId="164"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2">
    <field x="1"/>
    <field x="0"/>
  </rowFields>
  <rowItems count="100">
    <i>
      <x/>
    </i>
    <i r="1">
      <x v="8"/>
    </i>
    <i r="1">
      <x v="23"/>
    </i>
    <i r="1">
      <x v="37"/>
    </i>
    <i r="1">
      <x v="62"/>
    </i>
    <i r="1">
      <x v="65"/>
    </i>
    <i r="1">
      <x v="67"/>
    </i>
    <i r="1">
      <x v="69"/>
    </i>
    <i r="1">
      <x v="76"/>
    </i>
    <i r="1">
      <x v="85"/>
    </i>
    <i t="default">
      <x/>
    </i>
    <i>
      <x v="1"/>
    </i>
    <i r="1">
      <x v="43"/>
    </i>
    <i r="1">
      <x v="44"/>
    </i>
    <i r="1">
      <x v="49"/>
    </i>
    <i r="1">
      <x v="66"/>
    </i>
    <i r="1">
      <x v="72"/>
    </i>
    <i r="1">
      <x v="83"/>
    </i>
    <i r="1">
      <x v="84"/>
    </i>
    <i t="default">
      <x v="1"/>
    </i>
    <i>
      <x v="2"/>
    </i>
    <i r="1">
      <x v="5"/>
    </i>
    <i r="1">
      <x v="7"/>
    </i>
    <i r="1">
      <x v="10"/>
    </i>
    <i r="1">
      <x v="11"/>
    </i>
    <i r="1">
      <x v="15"/>
    </i>
    <i r="1">
      <x v="28"/>
    </i>
    <i r="1">
      <x v="41"/>
    </i>
    <i r="1">
      <x v="45"/>
    </i>
    <i r="1">
      <x v="54"/>
    </i>
    <i r="1">
      <x v="64"/>
    </i>
    <i t="default">
      <x v="2"/>
    </i>
    <i>
      <x v="3"/>
    </i>
    <i r="1">
      <x/>
    </i>
    <i r="1">
      <x v="3"/>
    </i>
    <i r="1">
      <x v="9"/>
    </i>
    <i r="1">
      <x v="24"/>
    </i>
    <i r="1">
      <x v="33"/>
    </i>
    <i r="1">
      <x v="34"/>
    </i>
    <i r="1">
      <x v="39"/>
    </i>
    <i r="1">
      <x v="50"/>
    </i>
    <i r="1">
      <x v="51"/>
    </i>
    <i r="1">
      <x v="56"/>
    </i>
    <i r="1">
      <x v="58"/>
    </i>
    <i r="1">
      <x v="60"/>
    </i>
    <i r="1">
      <x v="68"/>
    </i>
    <i r="1">
      <x v="73"/>
    </i>
    <i r="1">
      <x v="74"/>
    </i>
    <i r="1">
      <x v="79"/>
    </i>
    <i r="1">
      <x v="80"/>
    </i>
    <i t="default">
      <x v="3"/>
    </i>
    <i>
      <x v="4"/>
    </i>
    <i r="1">
      <x v="12"/>
    </i>
    <i r="1">
      <x v="14"/>
    </i>
    <i r="1">
      <x v="17"/>
    </i>
    <i r="1">
      <x v="20"/>
    </i>
    <i r="1">
      <x v="21"/>
    </i>
    <i r="1">
      <x v="30"/>
    </i>
    <i r="1">
      <x v="31"/>
    </i>
    <i r="1">
      <x v="32"/>
    </i>
    <i r="1">
      <x v="46"/>
    </i>
    <i r="1">
      <x v="53"/>
    </i>
    <i r="1">
      <x v="57"/>
    </i>
    <i r="1">
      <x v="59"/>
    </i>
    <i t="default">
      <x v="4"/>
    </i>
    <i>
      <x v="5"/>
    </i>
    <i r="1">
      <x v="1"/>
    </i>
    <i r="1">
      <x v="2"/>
    </i>
    <i r="1">
      <x v="4"/>
    </i>
    <i r="1">
      <x v="6"/>
    </i>
    <i r="1">
      <x v="16"/>
    </i>
    <i r="1">
      <x v="18"/>
    </i>
    <i r="1">
      <x v="19"/>
    </i>
    <i r="1">
      <x v="22"/>
    </i>
    <i r="1">
      <x v="25"/>
    </i>
    <i r="1">
      <x v="26"/>
    </i>
    <i r="1">
      <x v="27"/>
    </i>
    <i r="1">
      <x v="29"/>
    </i>
    <i r="1">
      <x v="35"/>
    </i>
    <i r="1">
      <x v="36"/>
    </i>
    <i r="1">
      <x v="38"/>
    </i>
    <i r="1">
      <x v="40"/>
    </i>
    <i r="1">
      <x v="42"/>
    </i>
    <i r="1">
      <x v="47"/>
    </i>
    <i r="1">
      <x v="48"/>
    </i>
    <i r="1">
      <x v="52"/>
    </i>
    <i r="1">
      <x v="55"/>
    </i>
    <i r="1">
      <x v="61"/>
    </i>
    <i r="1">
      <x v="63"/>
    </i>
    <i r="1">
      <x v="70"/>
    </i>
    <i r="1">
      <x v="71"/>
    </i>
    <i r="1">
      <x v="75"/>
    </i>
    <i r="1">
      <x v="77"/>
    </i>
    <i r="1">
      <x v="81"/>
    </i>
    <i r="1">
      <x v="82"/>
    </i>
    <i t="default">
      <x v="5"/>
    </i>
    <i>
      <x v="6"/>
    </i>
    <i r="1">
      <x v="78"/>
    </i>
    <i t="default">
      <x v="6"/>
    </i>
    <i t="grand">
      <x/>
    </i>
  </rowItems>
  <colFields count="1">
    <field x="250"/>
  </colFields>
  <colItems count="6">
    <i>
      <x/>
    </i>
    <i>
      <x v="1"/>
    </i>
    <i>
      <x v="2"/>
    </i>
    <i>
      <x v="3"/>
    </i>
    <i>
      <x v="4"/>
    </i>
    <i>
      <x v="8"/>
    </i>
  </colItems>
  <dataFields count="1">
    <dataField name="Count of Governance marker score" fld="25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rowHeaderCaption="" colHeaderCaption="">
  <location ref="A3:E104" firstHeaderRow="1" firstDataRow="2" firstDataCol="1"/>
  <pivotFields count="308">
    <pivotField axis="axisRow" subtotalTop="0" showAll="0">
      <items count="88">
        <item x="0"/>
        <item x="1"/>
        <item x="2"/>
        <item x="3"/>
        <item x="4"/>
        <item x="5"/>
        <item x="6"/>
        <item x="7"/>
        <item x="8"/>
        <item x="9"/>
        <item x="10"/>
        <item x="11"/>
        <item x="12"/>
        <item m="1" x="86"/>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20"/>
        <item m="1" x="85"/>
        <item t="default"/>
      </items>
    </pivotField>
    <pivotField axis="axisRow" subtotalTop="0" showAll="0">
      <items count="9">
        <item x="3"/>
        <item x="5"/>
        <item x="2"/>
        <item x="0"/>
        <item x="4"/>
        <item x="1"/>
        <item x="6"/>
        <item m="1" x="7"/>
        <item t="default"/>
      </items>
    </pivotField>
    <pivotField subtotalTop="0" showAll="0"/>
    <pivotField subtotalTop="0"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dataField="1" subtotalTop="0" showAll="0">
      <items count="5">
        <item x="0"/>
        <item x="2"/>
        <item x="1"/>
        <item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numFmtId="164" subtotalTop="0" showAll="0"/>
    <pivotField numFmtId="164"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2">
    <field x="1"/>
    <field x="0"/>
  </rowFields>
  <rowItems count="100">
    <i>
      <x/>
    </i>
    <i r="1">
      <x v="8"/>
    </i>
    <i r="1">
      <x v="23"/>
    </i>
    <i r="1">
      <x v="37"/>
    </i>
    <i r="1">
      <x v="62"/>
    </i>
    <i r="1">
      <x v="65"/>
    </i>
    <i r="1">
      <x v="67"/>
    </i>
    <i r="1">
      <x v="69"/>
    </i>
    <i r="1">
      <x v="76"/>
    </i>
    <i r="1">
      <x v="85"/>
    </i>
    <i t="default">
      <x/>
    </i>
    <i>
      <x v="1"/>
    </i>
    <i r="1">
      <x v="43"/>
    </i>
    <i r="1">
      <x v="44"/>
    </i>
    <i r="1">
      <x v="49"/>
    </i>
    <i r="1">
      <x v="66"/>
    </i>
    <i r="1">
      <x v="72"/>
    </i>
    <i r="1">
      <x v="83"/>
    </i>
    <i r="1">
      <x v="84"/>
    </i>
    <i t="default">
      <x v="1"/>
    </i>
    <i>
      <x v="2"/>
    </i>
    <i r="1">
      <x v="5"/>
    </i>
    <i r="1">
      <x v="7"/>
    </i>
    <i r="1">
      <x v="10"/>
    </i>
    <i r="1">
      <x v="11"/>
    </i>
    <i r="1">
      <x v="15"/>
    </i>
    <i r="1">
      <x v="28"/>
    </i>
    <i r="1">
      <x v="41"/>
    </i>
    <i r="1">
      <x v="45"/>
    </i>
    <i r="1">
      <x v="54"/>
    </i>
    <i r="1">
      <x v="64"/>
    </i>
    <i t="default">
      <x v="2"/>
    </i>
    <i>
      <x v="3"/>
    </i>
    <i r="1">
      <x/>
    </i>
    <i r="1">
      <x v="3"/>
    </i>
    <i r="1">
      <x v="9"/>
    </i>
    <i r="1">
      <x v="24"/>
    </i>
    <i r="1">
      <x v="33"/>
    </i>
    <i r="1">
      <x v="34"/>
    </i>
    <i r="1">
      <x v="39"/>
    </i>
    <i r="1">
      <x v="50"/>
    </i>
    <i r="1">
      <x v="51"/>
    </i>
    <i r="1">
      <x v="56"/>
    </i>
    <i r="1">
      <x v="58"/>
    </i>
    <i r="1">
      <x v="60"/>
    </i>
    <i r="1">
      <x v="68"/>
    </i>
    <i r="1">
      <x v="73"/>
    </i>
    <i r="1">
      <x v="74"/>
    </i>
    <i r="1">
      <x v="79"/>
    </i>
    <i r="1">
      <x v="80"/>
    </i>
    <i t="default">
      <x v="3"/>
    </i>
    <i>
      <x v="4"/>
    </i>
    <i r="1">
      <x v="12"/>
    </i>
    <i r="1">
      <x v="14"/>
    </i>
    <i r="1">
      <x v="17"/>
    </i>
    <i r="1">
      <x v="20"/>
    </i>
    <i r="1">
      <x v="21"/>
    </i>
    <i r="1">
      <x v="30"/>
    </i>
    <i r="1">
      <x v="31"/>
    </i>
    <i r="1">
      <x v="32"/>
    </i>
    <i r="1">
      <x v="46"/>
    </i>
    <i r="1">
      <x v="53"/>
    </i>
    <i r="1">
      <x v="57"/>
    </i>
    <i r="1">
      <x v="59"/>
    </i>
    <i t="default">
      <x v="4"/>
    </i>
    <i>
      <x v="5"/>
    </i>
    <i r="1">
      <x v="1"/>
    </i>
    <i r="1">
      <x v="2"/>
    </i>
    <i r="1">
      <x v="4"/>
    </i>
    <i r="1">
      <x v="6"/>
    </i>
    <i r="1">
      <x v="16"/>
    </i>
    <i r="1">
      <x v="18"/>
    </i>
    <i r="1">
      <x v="19"/>
    </i>
    <i r="1">
      <x v="22"/>
    </i>
    <i r="1">
      <x v="25"/>
    </i>
    <i r="1">
      <x v="26"/>
    </i>
    <i r="1">
      <x v="27"/>
    </i>
    <i r="1">
      <x v="29"/>
    </i>
    <i r="1">
      <x v="35"/>
    </i>
    <i r="1">
      <x v="36"/>
    </i>
    <i r="1">
      <x v="38"/>
    </i>
    <i r="1">
      <x v="40"/>
    </i>
    <i r="1">
      <x v="42"/>
    </i>
    <i r="1">
      <x v="47"/>
    </i>
    <i r="1">
      <x v="48"/>
    </i>
    <i r="1">
      <x v="52"/>
    </i>
    <i r="1">
      <x v="55"/>
    </i>
    <i r="1">
      <x v="61"/>
    </i>
    <i r="1">
      <x v="63"/>
    </i>
    <i r="1">
      <x v="70"/>
    </i>
    <i r="1">
      <x v="71"/>
    </i>
    <i r="1">
      <x v="75"/>
    </i>
    <i r="1">
      <x v="77"/>
    </i>
    <i r="1">
      <x v="81"/>
    </i>
    <i r="1">
      <x v="82"/>
    </i>
    <i t="default">
      <x v="5"/>
    </i>
    <i>
      <x v="6"/>
    </i>
    <i r="1">
      <x v="78"/>
    </i>
    <i t="default">
      <x v="6"/>
    </i>
    <i t="grand">
      <x/>
    </i>
  </rowItems>
  <colFields count="1">
    <field x="233"/>
  </colFields>
  <colItems count="4">
    <i>
      <x/>
    </i>
    <i>
      <x v="1"/>
    </i>
    <i>
      <x v="2"/>
    </i>
    <i>
      <x v="3"/>
    </i>
  </colItems>
  <dataFields count="1">
    <dataField name="Count of To what extent did the project/initiative develop innovations for fighting poverty and inequality  in this FY?" fld="233"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rowHeaderCaption="" colHeaderCaption="">
  <location ref="A3:F104" firstHeaderRow="1" firstDataRow="2" firstDataCol="1"/>
  <pivotFields count="308">
    <pivotField axis="axisRow" subtotalTop="0" showAll="0">
      <items count="88">
        <item x="0"/>
        <item x="1"/>
        <item x="2"/>
        <item x="3"/>
        <item x="4"/>
        <item x="5"/>
        <item x="6"/>
        <item x="7"/>
        <item x="8"/>
        <item x="9"/>
        <item x="10"/>
        <item x="11"/>
        <item x="12"/>
        <item m="1" x="86"/>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20"/>
        <item m="1" x="85"/>
        <item t="default"/>
      </items>
    </pivotField>
    <pivotField axis="axisRow" subtotalTop="0" showAll="0">
      <items count="9">
        <item x="3"/>
        <item x="5"/>
        <item x="2"/>
        <item x="0"/>
        <item x="4"/>
        <item x="1"/>
        <item x="6"/>
        <item m="1" x="7"/>
        <item t="default"/>
      </items>
    </pivotField>
    <pivotField subtotalTop="0" showAll="0"/>
    <pivotField subtotalTop="0"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dataField="1" subtotalTop="0" showAll="0">
      <items count="6">
        <item x="2"/>
        <item x="1"/>
        <item x="3"/>
        <item x="0"/>
        <item x="4"/>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numFmtId="164" subtotalTop="0" showAll="0"/>
    <pivotField numFmtId="164"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2">
    <field x="1"/>
    <field x="0"/>
  </rowFields>
  <rowItems count="100">
    <i>
      <x/>
    </i>
    <i r="1">
      <x v="8"/>
    </i>
    <i r="1">
      <x v="23"/>
    </i>
    <i r="1">
      <x v="37"/>
    </i>
    <i r="1">
      <x v="62"/>
    </i>
    <i r="1">
      <x v="65"/>
    </i>
    <i r="1">
      <x v="67"/>
    </i>
    <i r="1">
      <x v="69"/>
    </i>
    <i r="1">
      <x v="76"/>
    </i>
    <i r="1">
      <x v="85"/>
    </i>
    <i t="default">
      <x/>
    </i>
    <i>
      <x v="1"/>
    </i>
    <i r="1">
      <x v="43"/>
    </i>
    <i r="1">
      <x v="44"/>
    </i>
    <i r="1">
      <x v="49"/>
    </i>
    <i r="1">
      <x v="66"/>
    </i>
    <i r="1">
      <x v="72"/>
    </i>
    <i r="1">
      <x v="83"/>
    </i>
    <i r="1">
      <x v="84"/>
    </i>
    <i t="default">
      <x v="1"/>
    </i>
    <i>
      <x v="2"/>
    </i>
    <i r="1">
      <x v="5"/>
    </i>
    <i r="1">
      <x v="7"/>
    </i>
    <i r="1">
      <x v="10"/>
    </i>
    <i r="1">
      <x v="11"/>
    </i>
    <i r="1">
      <x v="15"/>
    </i>
    <i r="1">
      <x v="28"/>
    </i>
    <i r="1">
      <x v="41"/>
    </i>
    <i r="1">
      <x v="45"/>
    </i>
    <i r="1">
      <x v="54"/>
    </i>
    <i r="1">
      <x v="64"/>
    </i>
    <i t="default">
      <x v="2"/>
    </i>
    <i>
      <x v="3"/>
    </i>
    <i r="1">
      <x/>
    </i>
    <i r="1">
      <x v="3"/>
    </i>
    <i r="1">
      <x v="9"/>
    </i>
    <i r="1">
      <x v="24"/>
    </i>
    <i r="1">
      <x v="33"/>
    </i>
    <i r="1">
      <x v="34"/>
    </i>
    <i r="1">
      <x v="39"/>
    </i>
    <i r="1">
      <x v="50"/>
    </i>
    <i r="1">
      <x v="51"/>
    </i>
    <i r="1">
      <x v="56"/>
    </i>
    <i r="1">
      <x v="58"/>
    </i>
    <i r="1">
      <x v="60"/>
    </i>
    <i r="1">
      <x v="68"/>
    </i>
    <i r="1">
      <x v="73"/>
    </i>
    <i r="1">
      <x v="74"/>
    </i>
    <i r="1">
      <x v="79"/>
    </i>
    <i r="1">
      <x v="80"/>
    </i>
    <i t="default">
      <x v="3"/>
    </i>
    <i>
      <x v="4"/>
    </i>
    <i r="1">
      <x v="12"/>
    </i>
    <i r="1">
      <x v="14"/>
    </i>
    <i r="1">
      <x v="17"/>
    </i>
    <i r="1">
      <x v="20"/>
    </i>
    <i r="1">
      <x v="21"/>
    </i>
    <i r="1">
      <x v="30"/>
    </i>
    <i r="1">
      <x v="31"/>
    </i>
    <i r="1">
      <x v="32"/>
    </i>
    <i r="1">
      <x v="46"/>
    </i>
    <i r="1">
      <x v="53"/>
    </i>
    <i r="1">
      <x v="57"/>
    </i>
    <i r="1">
      <x v="59"/>
    </i>
    <i t="default">
      <x v="4"/>
    </i>
    <i>
      <x v="5"/>
    </i>
    <i r="1">
      <x v="1"/>
    </i>
    <i r="1">
      <x v="2"/>
    </i>
    <i r="1">
      <x v="4"/>
    </i>
    <i r="1">
      <x v="6"/>
    </i>
    <i r="1">
      <x v="16"/>
    </i>
    <i r="1">
      <x v="18"/>
    </i>
    <i r="1">
      <x v="19"/>
    </i>
    <i r="1">
      <x v="22"/>
    </i>
    <i r="1">
      <x v="25"/>
    </i>
    <i r="1">
      <x v="26"/>
    </i>
    <i r="1">
      <x v="27"/>
    </i>
    <i r="1">
      <x v="29"/>
    </i>
    <i r="1">
      <x v="35"/>
    </i>
    <i r="1">
      <x v="36"/>
    </i>
    <i r="1">
      <x v="38"/>
    </i>
    <i r="1">
      <x v="40"/>
    </i>
    <i r="1">
      <x v="42"/>
    </i>
    <i r="1">
      <x v="47"/>
    </i>
    <i r="1">
      <x v="48"/>
    </i>
    <i r="1">
      <x v="52"/>
    </i>
    <i r="1">
      <x v="55"/>
    </i>
    <i r="1">
      <x v="61"/>
    </i>
    <i r="1">
      <x v="63"/>
    </i>
    <i r="1">
      <x v="70"/>
    </i>
    <i r="1">
      <x v="71"/>
    </i>
    <i r="1">
      <x v="75"/>
    </i>
    <i r="1">
      <x v="77"/>
    </i>
    <i r="1">
      <x v="81"/>
    </i>
    <i r="1">
      <x v="82"/>
    </i>
    <i t="default">
      <x v="5"/>
    </i>
    <i>
      <x v="6"/>
    </i>
    <i r="1">
      <x v="78"/>
    </i>
    <i t="default">
      <x v="6"/>
    </i>
    <i t="grand">
      <x/>
    </i>
  </rowItems>
  <colFields count="1">
    <field x="259"/>
  </colFields>
  <colItems count="5">
    <i>
      <x/>
    </i>
    <i>
      <x v="1"/>
    </i>
    <i>
      <x v="2"/>
    </i>
    <i>
      <x v="3"/>
    </i>
    <i>
      <x v="4"/>
    </i>
  </colItems>
  <dataFields count="1">
    <dataField name="Count of To what extent was the project/initiative implemented with and/or through partners in this FY?" fld="259" subtotal="count" showDataAs="percentOfRow" baseField="0" baseItem="9"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rowHeaderCaption="" colHeaderCaption="">
  <location ref="A320:M422" firstHeaderRow="1" firstDataRow="3" firstDataCol="1"/>
  <pivotFields count="308">
    <pivotField axis="axisRow" subtotalTop="0" showAll="0">
      <items count="88">
        <item x="0"/>
        <item x="1"/>
        <item x="2"/>
        <item x="3"/>
        <item x="4"/>
        <item x="5"/>
        <item x="6"/>
        <item x="7"/>
        <item x="8"/>
        <item x="9"/>
        <item x="10"/>
        <item x="11"/>
        <item x="12"/>
        <item m="1" x="86"/>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20"/>
        <item m="1" x="85"/>
        <item t="default"/>
      </items>
    </pivotField>
    <pivotField axis="axisRow" subtotalTop="0" showAll="0">
      <items count="9">
        <item x="3"/>
        <item x="5"/>
        <item x="2"/>
        <item x="0"/>
        <item x="4"/>
        <item x="1"/>
        <item x="6"/>
        <item m="1" x="7"/>
        <item t="default"/>
      </items>
    </pivotField>
    <pivotField subtotalTop="0" showAll="0"/>
    <pivotField subtotalTop="0"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defaultSubtotal="0"/>
    <pivotField subtotalTop="0" showAll="0"/>
    <pivotField subtotalTop="0" showAll="0"/>
    <pivotField subtotalTop="0" showAll="0"/>
    <pivotField subtotalTop="0" showAll="0"/>
    <pivotField subtotalTop="0" showAll="0"/>
    <pivotField subtotalTop="0" showAll="0"/>
    <pivotField subtotalTop="0" showAll="0" defaultSubtotal="0"/>
    <pivotField subtotalTop="0" showAll="0"/>
    <pivotField subtotalTop="0" showAll="0"/>
    <pivotField subtotalTop="0" showAll="0"/>
    <pivotField subtotalTop="0" showAll="0"/>
    <pivotField subtotalTop="0" showAll="0"/>
    <pivotField subtotalTop="0" showAll="0"/>
    <pivotField axis="axisCol" subtotalTop="0" showAll="0" defaultSubtotal="0">
      <items count="4">
        <item x="2"/>
        <item x="1"/>
        <item x="3"/>
        <item x="0"/>
      </items>
    </pivotField>
    <pivotField subtotalTop="0" showAll="0"/>
    <pivotField subtotalTop="0" showAll="0"/>
    <pivotField axis="axisCol" dataField="1" subtotalTop="0" showAll="0">
      <items count="4">
        <item x="2"/>
        <item x="1"/>
        <item x="0"/>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numFmtId="164" subtotalTop="0" showAll="0"/>
    <pivotField numFmtId="164"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2">
    <field x="1"/>
    <field x="0"/>
  </rowFields>
  <rowItems count="100">
    <i>
      <x/>
    </i>
    <i r="1">
      <x v="8"/>
    </i>
    <i r="1">
      <x v="23"/>
    </i>
    <i r="1">
      <x v="37"/>
    </i>
    <i r="1">
      <x v="62"/>
    </i>
    <i r="1">
      <x v="65"/>
    </i>
    <i r="1">
      <x v="67"/>
    </i>
    <i r="1">
      <x v="69"/>
    </i>
    <i r="1">
      <x v="76"/>
    </i>
    <i r="1">
      <x v="85"/>
    </i>
    <i t="default">
      <x/>
    </i>
    <i>
      <x v="1"/>
    </i>
    <i r="1">
      <x v="43"/>
    </i>
    <i r="1">
      <x v="44"/>
    </i>
    <i r="1">
      <x v="49"/>
    </i>
    <i r="1">
      <x v="66"/>
    </i>
    <i r="1">
      <x v="72"/>
    </i>
    <i r="1">
      <x v="83"/>
    </i>
    <i r="1">
      <x v="84"/>
    </i>
    <i t="default">
      <x v="1"/>
    </i>
    <i>
      <x v="2"/>
    </i>
    <i r="1">
      <x v="5"/>
    </i>
    <i r="1">
      <x v="7"/>
    </i>
    <i r="1">
      <x v="10"/>
    </i>
    <i r="1">
      <x v="11"/>
    </i>
    <i r="1">
      <x v="15"/>
    </i>
    <i r="1">
      <x v="28"/>
    </i>
    <i r="1">
      <x v="41"/>
    </i>
    <i r="1">
      <x v="45"/>
    </i>
    <i r="1">
      <x v="54"/>
    </i>
    <i r="1">
      <x v="64"/>
    </i>
    <i t="default">
      <x v="2"/>
    </i>
    <i>
      <x v="3"/>
    </i>
    <i r="1">
      <x/>
    </i>
    <i r="1">
      <x v="3"/>
    </i>
    <i r="1">
      <x v="9"/>
    </i>
    <i r="1">
      <x v="24"/>
    </i>
    <i r="1">
      <x v="33"/>
    </i>
    <i r="1">
      <x v="34"/>
    </i>
    <i r="1">
      <x v="39"/>
    </i>
    <i r="1">
      <x v="50"/>
    </i>
    <i r="1">
      <x v="51"/>
    </i>
    <i r="1">
      <x v="56"/>
    </i>
    <i r="1">
      <x v="58"/>
    </i>
    <i r="1">
      <x v="60"/>
    </i>
    <i r="1">
      <x v="68"/>
    </i>
    <i r="1">
      <x v="73"/>
    </i>
    <i r="1">
      <x v="74"/>
    </i>
    <i r="1">
      <x v="79"/>
    </i>
    <i r="1">
      <x v="80"/>
    </i>
    <i t="default">
      <x v="3"/>
    </i>
    <i>
      <x v="4"/>
    </i>
    <i r="1">
      <x v="12"/>
    </i>
    <i r="1">
      <x v="14"/>
    </i>
    <i r="1">
      <x v="17"/>
    </i>
    <i r="1">
      <x v="20"/>
    </i>
    <i r="1">
      <x v="21"/>
    </i>
    <i r="1">
      <x v="30"/>
    </i>
    <i r="1">
      <x v="31"/>
    </i>
    <i r="1">
      <x v="32"/>
    </i>
    <i r="1">
      <x v="46"/>
    </i>
    <i r="1">
      <x v="53"/>
    </i>
    <i r="1">
      <x v="57"/>
    </i>
    <i r="1">
      <x v="59"/>
    </i>
    <i t="default">
      <x v="4"/>
    </i>
    <i>
      <x v="5"/>
    </i>
    <i r="1">
      <x v="1"/>
    </i>
    <i r="1">
      <x v="2"/>
    </i>
    <i r="1">
      <x v="4"/>
    </i>
    <i r="1">
      <x v="6"/>
    </i>
    <i r="1">
      <x v="16"/>
    </i>
    <i r="1">
      <x v="18"/>
    </i>
    <i r="1">
      <x v="19"/>
    </i>
    <i r="1">
      <x v="22"/>
    </i>
    <i r="1">
      <x v="25"/>
    </i>
    <i r="1">
      <x v="26"/>
    </i>
    <i r="1">
      <x v="27"/>
    </i>
    <i r="1">
      <x v="29"/>
    </i>
    <i r="1">
      <x v="35"/>
    </i>
    <i r="1">
      <x v="36"/>
    </i>
    <i r="1">
      <x v="38"/>
    </i>
    <i r="1">
      <x v="40"/>
    </i>
    <i r="1">
      <x v="42"/>
    </i>
    <i r="1">
      <x v="47"/>
    </i>
    <i r="1">
      <x v="48"/>
    </i>
    <i r="1">
      <x v="52"/>
    </i>
    <i r="1">
      <x v="55"/>
    </i>
    <i r="1">
      <x v="61"/>
    </i>
    <i r="1">
      <x v="63"/>
    </i>
    <i r="1">
      <x v="70"/>
    </i>
    <i r="1">
      <x v="71"/>
    </i>
    <i r="1">
      <x v="75"/>
    </i>
    <i r="1">
      <x v="77"/>
    </i>
    <i r="1">
      <x v="81"/>
    </i>
    <i r="1">
      <x v="82"/>
    </i>
    <i t="default">
      <x v="5"/>
    </i>
    <i>
      <x v="6"/>
    </i>
    <i r="1">
      <x v="78"/>
    </i>
    <i t="default">
      <x v="6"/>
    </i>
    <i t="grand">
      <x/>
    </i>
  </rowItems>
  <colFields count="2">
    <field x="252"/>
    <field x="255"/>
  </colFields>
  <colItems count="12">
    <i>
      <x/>
      <x/>
    </i>
    <i r="1">
      <x v="1"/>
    </i>
    <i r="1">
      <x v="2"/>
    </i>
    <i>
      <x v="1"/>
      <x/>
    </i>
    <i r="1">
      <x v="1"/>
    </i>
    <i r="1">
      <x v="2"/>
    </i>
    <i>
      <x v="2"/>
      <x/>
    </i>
    <i r="1">
      <x v="1"/>
    </i>
    <i r="1">
      <x v="2"/>
    </i>
    <i>
      <x v="3"/>
      <x/>
    </i>
    <i r="1">
      <x v="1"/>
    </i>
    <i r="1">
      <x v="2"/>
    </i>
  </colItems>
  <dataFields count="1">
    <dataField name="Count of Resilience marker - Risk Landscape" fld="25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rowHeaderCaption="" colHeaderCaption="">
  <location ref="A214:L316" firstHeaderRow="1" firstDataRow="3" firstDataCol="1"/>
  <pivotFields count="308">
    <pivotField axis="axisRow" subtotalTop="0" showAll="0">
      <items count="88">
        <item x="0"/>
        <item x="1"/>
        <item x="2"/>
        <item x="3"/>
        <item x="4"/>
        <item x="5"/>
        <item x="6"/>
        <item x="7"/>
        <item x="8"/>
        <item x="9"/>
        <item x="10"/>
        <item x="11"/>
        <item x="12"/>
        <item m="1" x="86"/>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20"/>
        <item m="1" x="85"/>
        <item t="default"/>
      </items>
    </pivotField>
    <pivotField axis="axisRow" subtotalTop="0" showAll="0">
      <items count="9">
        <item x="3"/>
        <item x="5"/>
        <item x="2"/>
        <item x="0"/>
        <item x="4"/>
        <item x="1"/>
        <item x="6"/>
        <item m="1" x="7"/>
        <item t="default"/>
      </items>
    </pivotField>
    <pivotField subtotalTop="0" showAll="0"/>
    <pivotField subtotalTop="0"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defaultSubtotal="0"/>
    <pivotField subtotalTop="0" showAll="0"/>
    <pivotField subtotalTop="0" showAll="0"/>
    <pivotField subtotalTop="0" showAll="0"/>
    <pivotField subtotalTop="0" showAll="0"/>
    <pivotField subtotalTop="0" showAll="0"/>
    <pivotField subtotalTop="0" showAll="0"/>
    <pivotField subtotalTop="0" showAll="0" defaultSubtotal="0"/>
    <pivotField subtotalTop="0" showAll="0"/>
    <pivotField subtotalTop="0" showAll="0"/>
    <pivotField subtotalTop="0" showAll="0"/>
    <pivotField subtotalTop="0" showAll="0"/>
    <pivotField subtotalTop="0" showAll="0"/>
    <pivotField subtotalTop="0" showAll="0"/>
    <pivotField axis="axisCol" subtotalTop="0" showAll="0" defaultSubtotal="0">
      <items count="4">
        <item x="2"/>
        <item x="1"/>
        <item x="3"/>
        <item x="0"/>
      </items>
    </pivotField>
    <pivotField subtotalTop="0" showAll="0"/>
    <pivotField axis="axisCol" dataField="1" subtotalTop="0" showAll="0">
      <items count="4">
        <item x="2"/>
        <item x="1"/>
        <item x="0"/>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numFmtId="164" subtotalTop="0" showAll="0"/>
    <pivotField numFmtId="164"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2">
    <field x="1"/>
    <field x="0"/>
  </rowFields>
  <rowItems count="100">
    <i>
      <x/>
    </i>
    <i r="1">
      <x v="8"/>
    </i>
    <i r="1">
      <x v="23"/>
    </i>
    <i r="1">
      <x v="37"/>
    </i>
    <i r="1">
      <x v="62"/>
    </i>
    <i r="1">
      <x v="65"/>
    </i>
    <i r="1">
      <x v="67"/>
    </i>
    <i r="1">
      <x v="69"/>
    </i>
    <i r="1">
      <x v="76"/>
    </i>
    <i r="1">
      <x v="85"/>
    </i>
    <i t="default">
      <x/>
    </i>
    <i>
      <x v="1"/>
    </i>
    <i r="1">
      <x v="43"/>
    </i>
    <i r="1">
      <x v="44"/>
    </i>
    <i r="1">
      <x v="49"/>
    </i>
    <i r="1">
      <x v="66"/>
    </i>
    <i r="1">
      <x v="72"/>
    </i>
    <i r="1">
      <x v="83"/>
    </i>
    <i r="1">
      <x v="84"/>
    </i>
    <i t="default">
      <x v="1"/>
    </i>
    <i>
      <x v="2"/>
    </i>
    <i r="1">
      <x v="5"/>
    </i>
    <i r="1">
      <x v="7"/>
    </i>
    <i r="1">
      <x v="10"/>
    </i>
    <i r="1">
      <x v="11"/>
    </i>
    <i r="1">
      <x v="15"/>
    </i>
    <i r="1">
      <x v="28"/>
    </i>
    <i r="1">
      <x v="41"/>
    </i>
    <i r="1">
      <x v="45"/>
    </i>
    <i r="1">
      <x v="54"/>
    </i>
    <i r="1">
      <x v="64"/>
    </i>
    <i t="default">
      <x v="2"/>
    </i>
    <i>
      <x v="3"/>
    </i>
    <i r="1">
      <x/>
    </i>
    <i r="1">
      <x v="3"/>
    </i>
    <i r="1">
      <x v="9"/>
    </i>
    <i r="1">
      <x v="24"/>
    </i>
    <i r="1">
      <x v="33"/>
    </i>
    <i r="1">
      <x v="34"/>
    </i>
    <i r="1">
      <x v="39"/>
    </i>
    <i r="1">
      <x v="50"/>
    </i>
    <i r="1">
      <x v="51"/>
    </i>
    <i r="1">
      <x v="56"/>
    </i>
    <i r="1">
      <x v="58"/>
    </i>
    <i r="1">
      <x v="60"/>
    </i>
    <i r="1">
      <x v="68"/>
    </i>
    <i r="1">
      <x v="73"/>
    </i>
    <i r="1">
      <x v="74"/>
    </i>
    <i r="1">
      <x v="79"/>
    </i>
    <i r="1">
      <x v="80"/>
    </i>
    <i t="default">
      <x v="3"/>
    </i>
    <i>
      <x v="4"/>
    </i>
    <i r="1">
      <x v="12"/>
    </i>
    <i r="1">
      <x v="14"/>
    </i>
    <i r="1">
      <x v="17"/>
    </i>
    <i r="1">
      <x v="20"/>
    </i>
    <i r="1">
      <x v="21"/>
    </i>
    <i r="1">
      <x v="30"/>
    </i>
    <i r="1">
      <x v="31"/>
    </i>
    <i r="1">
      <x v="32"/>
    </i>
    <i r="1">
      <x v="46"/>
    </i>
    <i r="1">
      <x v="53"/>
    </i>
    <i r="1">
      <x v="57"/>
    </i>
    <i r="1">
      <x v="59"/>
    </i>
    <i t="default">
      <x v="4"/>
    </i>
    <i>
      <x v="5"/>
    </i>
    <i r="1">
      <x v="1"/>
    </i>
    <i r="1">
      <x v="2"/>
    </i>
    <i r="1">
      <x v="4"/>
    </i>
    <i r="1">
      <x v="6"/>
    </i>
    <i r="1">
      <x v="16"/>
    </i>
    <i r="1">
      <x v="18"/>
    </i>
    <i r="1">
      <x v="19"/>
    </i>
    <i r="1">
      <x v="22"/>
    </i>
    <i r="1">
      <x v="25"/>
    </i>
    <i r="1">
      <x v="26"/>
    </i>
    <i r="1">
      <x v="27"/>
    </i>
    <i r="1">
      <x v="29"/>
    </i>
    <i r="1">
      <x v="35"/>
    </i>
    <i r="1">
      <x v="36"/>
    </i>
    <i r="1">
      <x v="38"/>
    </i>
    <i r="1">
      <x v="40"/>
    </i>
    <i r="1">
      <x v="42"/>
    </i>
    <i r="1">
      <x v="47"/>
    </i>
    <i r="1">
      <x v="48"/>
    </i>
    <i r="1">
      <x v="52"/>
    </i>
    <i r="1">
      <x v="55"/>
    </i>
    <i r="1">
      <x v="61"/>
    </i>
    <i r="1">
      <x v="63"/>
    </i>
    <i r="1">
      <x v="70"/>
    </i>
    <i r="1">
      <x v="71"/>
    </i>
    <i r="1">
      <x v="75"/>
    </i>
    <i r="1">
      <x v="77"/>
    </i>
    <i r="1">
      <x v="81"/>
    </i>
    <i r="1">
      <x v="82"/>
    </i>
    <i t="default">
      <x v="5"/>
    </i>
    <i>
      <x v="6"/>
    </i>
    <i r="1">
      <x v="78"/>
    </i>
    <i t="default">
      <x v="6"/>
    </i>
    <i t="grand">
      <x/>
    </i>
  </rowItems>
  <colFields count="2">
    <field x="252"/>
    <field x="254"/>
  </colFields>
  <colItems count="11">
    <i>
      <x/>
      <x/>
    </i>
    <i r="1">
      <x v="1"/>
    </i>
    <i r="1">
      <x v="2"/>
    </i>
    <i>
      <x v="1"/>
      <x/>
    </i>
    <i r="1">
      <x v="1"/>
    </i>
    <i r="1">
      <x v="2"/>
    </i>
    <i>
      <x v="2"/>
      <x/>
    </i>
    <i r="1">
      <x v="1"/>
    </i>
    <i r="1">
      <x v="2"/>
    </i>
    <i>
      <x v="3"/>
      <x/>
    </i>
    <i r="1">
      <x v="2"/>
    </i>
  </colItems>
  <dataFields count="1">
    <dataField name="Count of Resilience marker - Activities" fld="25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rowHeaderCaption="" colHeaderCaption="">
  <location ref="A3:E104" firstHeaderRow="1" firstDataRow="2" firstDataCol="1"/>
  <pivotFields count="308">
    <pivotField axis="axisRow" subtotalTop="0" showAll="0">
      <items count="88">
        <item x="0"/>
        <item x="1"/>
        <item x="2"/>
        <item x="3"/>
        <item x="4"/>
        <item x="5"/>
        <item x="6"/>
        <item x="7"/>
        <item x="8"/>
        <item x="9"/>
        <item x="10"/>
        <item x="11"/>
        <item x="12"/>
        <item m="1" x="86"/>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20"/>
        <item m="1" x="85"/>
        <item t="default"/>
      </items>
    </pivotField>
    <pivotField axis="axisRow" subtotalTop="0" showAll="0">
      <items count="9">
        <item x="3"/>
        <item x="5"/>
        <item x="2"/>
        <item x="0"/>
        <item x="4"/>
        <item x="1"/>
        <item x="6"/>
        <item m="1" x="7"/>
        <item t="default"/>
      </items>
    </pivotField>
    <pivotField subtotalTop="0" showAll="0"/>
    <pivotField subtotalTop="0"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dataField="1" subtotalTop="0" showAll="0">
      <items count="5">
        <item x="2"/>
        <item x="0"/>
        <item x="1"/>
        <item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numFmtId="164" subtotalTop="0" showAll="0"/>
    <pivotField numFmtId="164"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2">
    <field x="1"/>
    <field x="0"/>
  </rowFields>
  <rowItems count="100">
    <i>
      <x/>
    </i>
    <i r="1">
      <x v="8"/>
    </i>
    <i r="1">
      <x v="23"/>
    </i>
    <i r="1">
      <x v="37"/>
    </i>
    <i r="1">
      <x v="62"/>
    </i>
    <i r="1">
      <x v="65"/>
    </i>
    <i r="1">
      <x v="67"/>
    </i>
    <i r="1">
      <x v="69"/>
    </i>
    <i r="1">
      <x v="76"/>
    </i>
    <i r="1">
      <x v="85"/>
    </i>
    <i t="default">
      <x/>
    </i>
    <i>
      <x v="1"/>
    </i>
    <i r="1">
      <x v="43"/>
    </i>
    <i r="1">
      <x v="44"/>
    </i>
    <i r="1">
      <x v="49"/>
    </i>
    <i r="1">
      <x v="66"/>
    </i>
    <i r="1">
      <x v="72"/>
    </i>
    <i r="1">
      <x v="83"/>
    </i>
    <i r="1">
      <x v="84"/>
    </i>
    <i t="default">
      <x v="1"/>
    </i>
    <i>
      <x v="2"/>
    </i>
    <i r="1">
      <x v="5"/>
    </i>
    <i r="1">
      <x v="7"/>
    </i>
    <i r="1">
      <x v="10"/>
    </i>
    <i r="1">
      <x v="11"/>
    </i>
    <i r="1">
      <x v="15"/>
    </i>
    <i r="1">
      <x v="28"/>
    </i>
    <i r="1">
      <x v="41"/>
    </i>
    <i r="1">
      <x v="45"/>
    </i>
    <i r="1">
      <x v="54"/>
    </i>
    <i r="1">
      <x v="64"/>
    </i>
    <i t="default">
      <x v="2"/>
    </i>
    <i>
      <x v="3"/>
    </i>
    <i r="1">
      <x/>
    </i>
    <i r="1">
      <x v="3"/>
    </i>
    <i r="1">
      <x v="9"/>
    </i>
    <i r="1">
      <x v="24"/>
    </i>
    <i r="1">
      <x v="33"/>
    </i>
    <i r="1">
      <x v="34"/>
    </i>
    <i r="1">
      <x v="39"/>
    </i>
    <i r="1">
      <x v="50"/>
    </i>
    <i r="1">
      <x v="51"/>
    </i>
    <i r="1">
      <x v="56"/>
    </i>
    <i r="1">
      <x v="58"/>
    </i>
    <i r="1">
      <x v="60"/>
    </i>
    <i r="1">
      <x v="68"/>
    </i>
    <i r="1">
      <x v="73"/>
    </i>
    <i r="1">
      <x v="74"/>
    </i>
    <i r="1">
      <x v="79"/>
    </i>
    <i r="1">
      <x v="80"/>
    </i>
    <i t="default">
      <x v="3"/>
    </i>
    <i>
      <x v="4"/>
    </i>
    <i r="1">
      <x v="12"/>
    </i>
    <i r="1">
      <x v="14"/>
    </i>
    <i r="1">
      <x v="17"/>
    </i>
    <i r="1">
      <x v="20"/>
    </i>
    <i r="1">
      <x v="21"/>
    </i>
    <i r="1">
      <x v="30"/>
    </i>
    <i r="1">
      <x v="31"/>
    </i>
    <i r="1">
      <x v="32"/>
    </i>
    <i r="1">
      <x v="46"/>
    </i>
    <i r="1">
      <x v="53"/>
    </i>
    <i r="1">
      <x v="57"/>
    </i>
    <i r="1">
      <x v="59"/>
    </i>
    <i t="default">
      <x v="4"/>
    </i>
    <i>
      <x v="5"/>
    </i>
    <i r="1">
      <x v="1"/>
    </i>
    <i r="1">
      <x v="2"/>
    </i>
    <i r="1">
      <x v="4"/>
    </i>
    <i r="1">
      <x v="6"/>
    </i>
    <i r="1">
      <x v="16"/>
    </i>
    <i r="1">
      <x v="18"/>
    </i>
    <i r="1">
      <x v="19"/>
    </i>
    <i r="1">
      <x v="22"/>
    </i>
    <i r="1">
      <x v="25"/>
    </i>
    <i r="1">
      <x v="26"/>
    </i>
    <i r="1">
      <x v="27"/>
    </i>
    <i r="1">
      <x v="29"/>
    </i>
    <i r="1">
      <x v="35"/>
    </i>
    <i r="1">
      <x v="36"/>
    </i>
    <i r="1">
      <x v="38"/>
    </i>
    <i r="1">
      <x v="40"/>
    </i>
    <i r="1">
      <x v="42"/>
    </i>
    <i r="1">
      <x v="47"/>
    </i>
    <i r="1">
      <x v="48"/>
    </i>
    <i r="1">
      <x v="52"/>
    </i>
    <i r="1">
      <x v="55"/>
    </i>
    <i r="1">
      <x v="61"/>
    </i>
    <i r="1">
      <x v="63"/>
    </i>
    <i r="1">
      <x v="70"/>
    </i>
    <i r="1">
      <x v="71"/>
    </i>
    <i r="1">
      <x v="75"/>
    </i>
    <i r="1">
      <x v="77"/>
    </i>
    <i r="1">
      <x v="81"/>
    </i>
    <i r="1">
      <x v="82"/>
    </i>
    <i t="default">
      <x v="5"/>
    </i>
    <i>
      <x v="6"/>
    </i>
    <i r="1">
      <x v="78"/>
    </i>
    <i t="default">
      <x v="6"/>
    </i>
    <i t="grand">
      <x/>
    </i>
  </rowItems>
  <colFields count="1">
    <field x="223"/>
  </colFields>
  <colItems count="4">
    <i>
      <x/>
    </i>
    <i>
      <x v="1"/>
    </i>
    <i>
      <x v="2"/>
    </i>
    <i>
      <x v="3"/>
    </i>
  </colItems>
  <dataFields count="1">
    <dataField name="Extent of advocacy" fld="223"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rowHeaderCaption="" colHeaderCaption="">
  <location ref="A3:G104" firstHeaderRow="1" firstDataRow="2" firstDataCol="1"/>
  <pivotFields count="308">
    <pivotField axis="axisRow" subtotalTop="0" showAll="0">
      <items count="88">
        <item x="0"/>
        <item x="1"/>
        <item x="2"/>
        <item x="3"/>
        <item x="4"/>
        <item x="5"/>
        <item x="6"/>
        <item x="7"/>
        <item x="8"/>
        <item x="9"/>
        <item x="10"/>
        <item x="11"/>
        <item x="12"/>
        <item m="1" x="86"/>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20"/>
        <item m="1" x="85"/>
        <item t="default"/>
      </items>
    </pivotField>
    <pivotField axis="axisRow" subtotalTop="0" showAll="0">
      <items count="9">
        <item x="3"/>
        <item x="5"/>
        <item x="2"/>
        <item x="0"/>
        <item x="4"/>
        <item x="1"/>
        <item x="6"/>
        <item m="1" x="7"/>
        <item t="default"/>
      </items>
    </pivotField>
    <pivotField subtotalTop="0" showAll="0"/>
    <pivotField subtotalTop="0"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dataField="1" subtotalTop="0" showAll="0">
      <items count="9">
        <item x="2"/>
        <item x="3"/>
        <item x="1"/>
        <item x="5"/>
        <item x="4"/>
        <item m="1" x="7"/>
        <item m="1" x="6"/>
        <item x="0"/>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numFmtId="164" subtotalTop="0" showAll="0"/>
    <pivotField numFmtId="164"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2">
    <field x="1"/>
    <field x="0"/>
  </rowFields>
  <rowItems count="100">
    <i>
      <x/>
    </i>
    <i r="1">
      <x v="8"/>
    </i>
    <i r="1">
      <x v="23"/>
    </i>
    <i r="1">
      <x v="37"/>
    </i>
    <i r="1">
      <x v="62"/>
    </i>
    <i r="1">
      <x v="65"/>
    </i>
    <i r="1">
      <x v="67"/>
    </i>
    <i r="1">
      <x v="69"/>
    </i>
    <i r="1">
      <x v="76"/>
    </i>
    <i r="1">
      <x v="85"/>
    </i>
    <i t="default">
      <x/>
    </i>
    <i>
      <x v="1"/>
    </i>
    <i r="1">
      <x v="43"/>
    </i>
    <i r="1">
      <x v="44"/>
    </i>
    <i r="1">
      <x v="49"/>
    </i>
    <i r="1">
      <x v="66"/>
    </i>
    <i r="1">
      <x v="72"/>
    </i>
    <i r="1">
      <x v="83"/>
    </i>
    <i r="1">
      <x v="84"/>
    </i>
    <i t="default">
      <x v="1"/>
    </i>
    <i>
      <x v="2"/>
    </i>
    <i r="1">
      <x v="5"/>
    </i>
    <i r="1">
      <x v="7"/>
    </i>
    <i r="1">
      <x v="10"/>
    </i>
    <i r="1">
      <x v="11"/>
    </i>
    <i r="1">
      <x v="15"/>
    </i>
    <i r="1">
      <x v="28"/>
    </i>
    <i r="1">
      <x v="41"/>
    </i>
    <i r="1">
      <x v="45"/>
    </i>
    <i r="1">
      <x v="54"/>
    </i>
    <i r="1">
      <x v="64"/>
    </i>
    <i t="default">
      <x v="2"/>
    </i>
    <i>
      <x v="3"/>
    </i>
    <i r="1">
      <x/>
    </i>
    <i r="1">
      <x v="3"/>
    </i>
    <i r="1">
      <x v="9"/>
    </i>
    <i r="1">
      <x v="24"/>
    </i>
    <i r="1">
      <x v="33"/>
    </i>
    <i r="1">
      <x v="34"/>
    </i>
    <i r="1">
      <x v="39"/>
    </i>
    <i r="1">
      <x v="50"/>
    </i>
    <i r="1">
      <x v="51"/>
    </i>
    <i r="1">
      <x v="56"/>
    </i>
    <i r="1">
      <x v="58"/>
    </i>
    <i r="1">
      <x v="60"/>
    </i>
    <i r="1">
      <x v="68"/>
    </i>
    <i r="1">
      <x v="73"/>
    </i>
    <i r="1">
      <x v="74"/>
    </i>
    <i r="1">
      <x v="79"/>
    </i>
    <i r="1">
      <x v="80"/>
    </i>
    <i t="default">
      <x v="3"/>
    </i>
    <i>
      <x v="4"/>
    </i>
    <i r="1">
      <x v="12"/>
    </i>
    <i r="1">
      <x v="14"/>
    </i>
    <i r="1">
      <x v="17"/>
    </i>
    <i r="1">
      <x v="20"/>
    </i>
    <i r="1">
      <x v="21"/>
    </i>
    <i r="1">
      <x v="30"/>
    </i>
    <i r="1">
      <x v="31"/>
    </i>
    <i r="1">
      <x v="32"/>
    </i>
    <i r="1">
      <x v="46"/>
    </i>
    <i r="1">
      <x v="53"/>
    </i>
    <i r="1">
      <x v="57"/>
    </i>
    <i r="1">
      <x v="59"/>
    </i>
    <i t="default">
      <x v="4"/>
    </i>
    <i>
      <x v="5"/>
    </i>
    <i r="1">
      <x v="1"/>
    </i>
    <i r="1">
      <x v="2"/>
    </i>
    <i r="1">
      <x v="4"/>
    </i>
    <i r="1">
      <x v="6"/>
    </i>
    <i r="1">
      <x v="16"/>
    </i>
    <i r="1">
      <x v="18"/>
    </i>
    <i r="1">
      <x v="19"/>
    </i>
    <i r="1">
      <x v="22"/>
    </i>
    <i r="1">
      <x v="25"/>
    </i>
    <i r="1">
      <x v="26"/>
    </i>
    <i r="1">
      <x v="27"/>
    </i>
    <i r="1">
      <x v="29"/>
    </i>
    <i r="1">
      <x v="35"/>
    </i>
    <i r="1">
      <x v="36"/>
    </i>
    <i r="1">
      <x v="38"/>
    </i>
    <i r="1">
      <x v="40"/>
    </i>
    <i r="1">
      <x v="42"/>
    </i>
    <i r="1">
      <x v="47"/>
    </i>
    <i r="1">
      <x v="48"/>
    </i>
    <i r="1">
      <x v="52"/>
    </i>
    <i r="1">
      <x v="55"/>
    </i>
    <i r="1">
      <x v="61"/>
    </i>
    <i r="1">
      <x v="63"/>
    </i>
    <i r="1">
      <x v="70"/>
    </i>
    <i r="1">
      <x v="71"/>
    </i>
    <i r="1">
      <x v="75"/>
    </i>
    <i r="1">
      <x v="77"/>
    </i>
    <i r="1">
      <x v="81"/>
    </i>
    <i r="1">
      <x v="82"/>
    </i>
    <i t="default">
      <x v="5"/>
    </i>
    <i>
      <x v="6"/>
    </i>
    <i r="1">
      <x v="78"/>
    </i>
    <i t="default">
      <x v="6"/>
    </i>
    <i t="grand">
      <x/>
    </i>
  </rowItems>
  <colFields count="1">
    <field x="256"/>
  </colFields>
  <colItems count="6">
    <i>
      <x/>
    </i>
    <i>
      <x v="1"/>
    </i>
    <i>
      <x v="2"/>
    </i>
    <i>
      <x v="3"/>
    </i>
    <i>
      <x v="4"/>
    </i>
    <i>
      <x v="7"/>
    </i>
  </colItems>
  <dataFields count="1">
    <dataField name="Count of Resilience marker score" fld="256" subtotal="count" baseField="0" baseItem="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rowHeaderCaption="" colHeaderCaption="">
  <location ref="A108:M210" firstHeaderRow="1" firstDataRow="3" firstDataCol="1"/>
  <pivotFields count="308">
    <pivotField axis="axisRow" subtotalTop="0" showAll="0">
      <items count="88">
        <item x="0"/>
        <item x="1"/>
        <item x="2"/>
        <item x="3"/>
        <item x="4"/>
        <item x="5"/>
        <item x="6"/>
        <item x="7"/>
        <item x="8"/>
        <item x="9"/>
        <item x="10"/>
        <item x="11"/>
        <item x="12"/>
        <item m="1" x="86"/>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20"/>
        <item m="1" x="85"/>
        <item t="default"/>
      </items>
    </pivotField>
    <pivotField axis="axisRow" subtotalTop="0" showAll="0">
      <items count="9">
        <item x="3"/>
        <item x="5"/>
        <item x="2"/>
        <item x="0"/>
        <item x="4"/>
        <item x="1"/>
        <item x="6"/>
        <item m="1" x="7"/>
        <item t="default"/>
      </items>
    </pivotField>
    <pivotField subtotalTop="0" showAll="0"/>
    <pivotField subtotalTop="0"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defaultSubtotal="0"/>
    <pivotField subtotalTop="0" showAll="0"/>
    <pivotField subtotalTop="0" showAll="0"/>
    <pivotField subtotalTop="0" showAll="0"/>
    <pivotField subtotalTop="0" showAll="0"/>
    <pivotField subtotalTop="0" showAll="0"/>
    <pivotField subtotalTop="0" showAll="0"/>
    <pivotField subtotalTop="0" showAll="0" defaultSubtotal="0"/>
    <pivotField subtotalTop="0" showAll="0"/>
    <pivotField subtotalTop="0" showAll="0"/>
    <pivotField subtotalTop="0" showAll="0"/>
    <pivotField subtotalTop="0" showAll="0"/>
    <pivotField subtotalTop="0" showAll="0"/>
    <pivotField subtotalTop="0" showAll="0"/>
    <pivotField axis="axisCol" subtotalTop="0" showAll="0" defaultSubtotal="0">
      <items count="4">
        <item x="2"/>
        <item x="1"/>
        <item x="3"/>
        <item x="0"/>
      </items>
    </pivotField>
    <pivotField axis="axisCol" dataField="1" subtotalTop="0" showAll="0">
      <items count="4">
        <item x="2"/>
        <item x="1"/>
        <item x="0"/>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numFmtId="164" subtotalTop="0" showAll="0"/>
    <pivotField numFmtId="164"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2">
    <field x="1"/>
    <field x="0"/>
  </rowFields>
  <rowItems count="100">
    <i>
      <x/>
    </i>
    <i r="1">
      <x v="8"/>
    </i>
    <i r="1">
      <x v="23"/>
    </i>
    <i r="1">
      <x v="37"/>
    </i>
    <i r="1">
      <x v="62"/>
    </i>
    <i r="1">
      <x v="65"/>
    </i>
    <i r="1">
      <x v="67"/>
    </i>
    <i r="1">
      <x v="69"/>
    </i>
    <i r="1">
      <x v="76"/>
    </i>
    <i r="1">
      <x v="85"/>
    </i>
    <i t="default">
      <x/>
    </i>
    <i>
      <x v="1"/>
    </i>
    <i r="1">
      <x v="43"/>
    </i>
    <i r="1">
      <x v="44"/>
    </i>
    <i r="1">
      <x v="49"/>
    </i>
    <i r="1">
      <x v="66"/>
    </i>
    <i r="1">
      <x v="72"/>
    </i>
    <i r="1">
      <x v="83"/>
    </i>
    <i r="1">
      <x v="84"/>
    </i>
    <i t="default">
      <x v="1"/>
    </i>
    <i>
      <x v="2"/>
    </i>
    <i r="1">
      <x v="5"/>
    </i>
    <i r="1">
      <x v="7"/>
    </i>
    <i r="1">
      <x v="10"/>
    </i>
    <i r="1">
      <x v="11"/>
    </i>
    <i r="1">
      <x v="15"/>
    </i>
    <i r="1">
      <x v="28"/>
    </i>
    <i r="1">
      <x v="41"/>
    </i>
    <i r="1">
      <x v="45"/>
    </i>
    <i r="1">
      <x v="54"/>
    </i>
    <i r="1">
      <x v="64"/>
    </i>
    <i t="default">
      <x v="2"/>
    </i>
    <i>
      <x v="3"/>
    </i>
    <i r="1">
      <x/>
    </i>
    <i r="1">
      <x v="3"/>
    </i>
    <i r="1">
      <x v="9"/>
    </i>
    <i r="1">
      <x v="24"/>
    </i>
    <i r="1">
      <x v="33"/>
    </i>
    <i r="1">
      <x v="34"/>
    </i>
    <i r="1">
      <x v="39"/>
    </i>
    <i r="1">
      <x v="50"/>
    </i>
    <i r="1">
      <x v="51"/>
    </i>
    <i r="1">
      <x v="56"/>
    </i>
    <i r="1">
      <x v="58"/>
    </i>
    <i r="1">
      <x v="60"/>
    </i>
    <i r="1">
      <x v="68"/>
    </i>
    <i r="1">
      <x v="73"/>
    </i>
    <i r="1">
      <x v="74"/>
    </i>
    <i r="1">
      <x v="79"/>
    </i>
    <i r="1">
      <x v="80"/>
    </i>
    <i t="default">
      <x v="3"/>
    </i>
    <i>
      <x v="4"/>
    </i>
    <i r="1">
      <x v="12"/>
    </i>
    <i r="1">
      <x v="14"/>
    </i>
    <i r="1">
      <x v="17"/>
    </i>
    <i r="1">
      <x v="20"/>
    </i>
    <i r="1">
      <x v="21"/>
    </i>
    <i r="1">
      <x v="30"/>
    </i>
    <i r="1">
      <x v="31"/>
    </i>
    <i r="1">
      <x v="32"/>
    </i>
    <i r="1">
      <x v="46"/>
    </i>
    <i r="1">
      <x v="53"/>
    </i>
    <i r="1">
      <x v="57"/>
    </i>
    <i r="1">
      <x v="59"/>
    </i>
    <i t="default">
      <x v="4"/>
    </i>
    <i>
      <x v="5"/>
    </i>
    <i r="1">
      <x v="1"/>
    </i>
    <i r="1">
      <x v="2"/>
    </i>
    <i r="1">
      <x v="4"/>
    </i>
    <i r="1">
      <x v="6"/>
    </i>
    <i r="1">
      <x v="16"/>
    </i>
    <i r="1">
      <x v="18"/>
    </i>
    <i r="1">
      <x v="19"/>
    </i>
    <i r="1">
      <x v="22"/>
    </i>
    <i r="1">
      <x v="25"/>
    </i>
    <i r="1">
      <x v="26"/>
    </i>
    <i r="1">
      <x v="27"/>
    </i>
    <i r="1">
      <x v="29"/>
    </i>
    <i r="1">
      <x v="35"/>
    </i>
    <i r="1">
      <x v="36"/>
    </i>
    <i r="1">
      <x v="38"/>
    </i>
    <i r="1">
      <x v="40"/>
    </i>
    <i r="1">
      <x v="42"/>
    </i>
    <i r="1">
      <x v="47"/>
    </i>
    <i r="1">
      <x v="48"/>
    </i>
    <i r="1">
      <x v="52"/>
    </i>
    <i r="1">
      <x v="55"/>
    </i>
    <i r="1">
      <x v="61"/>
    </i>
    <i r="1">
      <x v="63"/>
    </i>
    <i r="1">
      <x v="70"/>
    </i>
    <i r="1">
      <x v="71"/>
    </i>
    <i r="1">
      <x v="75"/>
    </i>
    <i r="1">
      <x v="77"/>
    </i>
    <i r="1">
      <x v="81"/>
    </i>
    <i r="1">
      <x v="82"/>
    </i>
    <i t="default">
      <x v="5"/>
    </i>
    <i>
      <x v="6"/>
    </i>
    <i r="1">
      <x v="78"/>
    </i>
    <i t="default">
      <x v="6"/>
    </i>
    <i t="grand">
      <x/>
    </i>
  </rowItems>
  <colFields count="2">
    <field x="252"/>
    <field x="253"/>
  </colFields>
  <colItems count="12">
    <i>
      <x/>
      <x/>
    </i>
    <i r="1">
      <x v="1"/>
    </i>
    <i r="1">
      <x v="2"/>
    </i>
    <i>
      <x v="1"/>
      <x/>
    </i>
    <i r="1">
      <x v="1"/>
    </i>
    <i r="1">
      <x v="2"/>
    </i>
    <i>
      <x v="2"/>
      <x/>
    </i>
    <i r="1">
      <x v="1"/>
    </i>
    <i r="1">
      <x v="2"/>
    </i>
    <i>
      <x v="3"/>
      <x/>
    </i>
    <i r="1">
      <x v="1"/>
    </i>
    <i r="1">
      <x v="2"/>
    </i>
  </colItems>
  <dataFields count="1">
    <dataField name="Count of Resilience marker - Analysis" fld="25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rowHeaderCaption="" colHeaderCaption="">
  <location ref="A3:E104" firstHeaderRow="1" firstDataRow="2" firstDataCol="1"/>
  <pivotFields count="308">
    <pivotField axis="axisRow" subtotalTop="0" showAll="0">
      <items count="88">
        <item x="0"/>
        <item x="1"/>
        <item x="2"/>
        <item x="3"/>
        <item x="4"/>
        <item x="5"/>
        <item x="6"/>
        <item x="7"/>
        <item x="8"/>
        <item x="9"/>
        <item x="10"/>
        <item x="11"/>
        <item x="12"/>
        <item m="1" x="86"/>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20"/>
        <item m="1" x="85"/>
        <item t="default"/>
      </items>
    </pivotField>
    <pivotField axis="axisRow" subtotalTop="0" showAll="0">
      <items count="9">
        <item x="3"/>
        <item x="5"/>
        <item x="2"/>
        <item x="0"/>
        <item x="4"/>
        <item x="1"/>
        <item x="6"/>
        <item m="1" x="7"/>
        <item t="default"/>
      </items>
    </pivotField>
    <pivotField subtotalTop="0" showAll="0"/>
    <pivotField subtotalTop="0"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dataField="1" subtotalTop="0" showAll="0">
      <items count="5">
        <item x="0"/>
        <item x="1"/>
        <item x="3"/>
        <item x="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numFmtId="164" subtotalTop="0" showAll="0"/>
    <pivotField numFmtId="164"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2">
    <field x="1"/>
    <field x="0"/>
  </rowFields>
  <rowItems count="100">
    <i>
      <x/>
    </i>
    <i r="1">
      <x v="8"/>
    </i>
    <i r="1">
      <x v="23"/>
    </i>
    <i r="1">
      <x v="37"/>
    </i>
    <i r="1">
      <x v="62"/>
    </i>
    <i r="1">
      <x v="65"/>
    </i>
    <i r="1">
      <x v="67"/>
    </i>
    <i r="1">
      <x v="69"/>
    </i>
    <i r="1">
      <x v="76"/>
    </i>
    <i r="1">
      <x v="85"/>
    </i>
    <i t="default">
      <x/>
    </i>
    <i>
      <x v="1"/>
    </i>
    <i r="1">
      <x v="43"/>
    </i>
    <i r="1">
      <x v="44"/>
    </i>
    <i r="1">
      <x v="49"/>
    </i>
    <i r="1">
      <x v="66"/>
    </i>
    <i r="1">
      <x v="72"/>
    </i>
    <i r="1">
      <x v="83"/>
    </i>
    <i r="1">
      <x v="84"/>
    </i>
    <i t="default">
      <x v="1"/>
    </i>
    <i>
      <x v="2"/>
    </i>
    <i r="1">
      <x v="5"/>
    </i>
    <i r="1">
      <x v="7"/>
    </i>
    <i r="1">
      <x v="10"/>
    </i>
    <i r="1">
      <x v="11"/>
    </i>
    <i r="1">
      <x v="15"/>
    </i>
    <i r="1">
      <x v="28"/>
    </i>
    <i r="1">
      <x v="41"/>
    </i>
    <i r="1">
      <x v="45"/>
    </i>
    <i r="1">
      <x v="54"/>
    </i>
    <i r="1">
      <x v="64"/>
    </i>
    <i t="default">
      <x v="2"/>
    </i>
    <i>
      <x v="3"/>
    </i>
    <i r="1">
      <x/>
    </i>
    <i r="1">
      <x v="3"/>
    </i>
    <i r="1">
      <x v="9"/>
    </i>
    <i r="1">
      <x v="24"/>
    </i>
    <i r="1">
      <x v="33"/>
    </i>
    <i r="1">
      <x v="34"/>
    </i>
    <i r="1">
      <x v="39"/>
    </i>
    <i r="1">
      <x v="50"/>
    </i>
    <i r="1">
      <x v="51"/>
    </i>
    <i r="1">
      <x v="56"/>
    </i>
    <i r="1">
      <x v="58"/>
    </i>
    <i r="1">
      <x v="60"/>
    </i>
    <i r="1">
      <x v="68"/>
    </i>
    <i r="1">
      <x v="73"/>
    </i>
    <i r="1">
      <x v="74"/>
    </i>
    <i r="1">
      <x v="79"/>
    </i>
    <i r="1">
      <x v="80"/>
    </i>
    <i t="default">
      <x v="3"/>
    </i>
    <i>
      <x v="4"/>
    </i>
    <i r="1">
      <x v="12"/>
    </i>
    <i r="1">
      <x v="14"/>
    </i>
    <i r="1">
      <x v="17"/>
    </i>
    <i r="1">
      <x v="20"/>
    </i>
    <i r="1">
      <x v="21"/>
    </i>
    <i r="1">
      <x v="30"/>
    </i>
    <i r="1">
      <x v="31"/>
    </i>
    <i r="1">
      <x v="32"/>
    </i>
    <i r="1">
      <x v="46"/>
    </i>
    <i r="1">
      <x v="53"/>
    </i>
    <i r="1">
      <x v="57"/>
    </i>
    <i r="1">
      <x v="59"/>
    </i>
    <i t="default">
      <x v="4"/>
    </i>
    <i>
      <x v="5"/>
    </i>
    <i r="1">
      <x v="1"/>
    </i>
    <i r="1">
      <x v="2"/>
    </i>
    <i r="1">
      <x v="4"/>
    </i>
    <i r="1">
      <x v="6"/>
    </i>
    <i r="1">
      <x v="16"/>
    </i>
    <i r="1">
      <x v="18"/>
    </i>
    <i r="1">
      <x v="19"/>
    </i>
    <i r="1">
      <x v="22"/>
    </i>
    <i r="1">
      <x v="25"/>
    </i>
    <i r="1">
      <x v="26"/>
    </i>
    <i r="1">
      <x v="27"/>
    </i>
    <i r="1">
      <x v="29"/>
    </i>
    <i r="1">
      <x v="35"/>
    </i>
    <i r="1">
      <x v="36"/>
    </i>
    <i r="1">
      <x v="38"/>
    </i>
    <i r="1">
      <x v="40"/>
    </i>
    <i r="1">
      <x v="42"/>
    </i>
    <i r="1">
      <x v="47"/>
    </i>
    <i r="1">
      <x v="48"/>
    </i>
    <i r="1">
      <x v="52"/>
    </i>
    <i r="1">
      <x v="55"/>
    </i>
    <i r="1">
      <x v="61"/>
    </i>
    <i r="1">
      <x v="63"/>
    </i>
    <i r="1">
      <x v="70"/>
    </i>
    <i r="1">
      <x v="71"/>
    </i>
    <i r="1">
      <x v="75"/>
    </i>
    <i r="1">
      <x v="77"/>
    </i>
    <i r="1">
      <x v="81"/>
    </i>
    <i r="1">
      <x v="82"/>
    </i>
    <i t="default">
      <x v="5"/>
    </i>
    <i>
      <x v="6"/>
    </i>
    <i r="1">
      <x v="78"/>
    </i>
    <i t="default">
      <x v="6"/>
    </i>
    <i t="grand">
      <x/>
    </i>
  </rowItems>
  <colFields count="1">
    <field x="235"/>
  </colFields>
  <colItems count="4">
    <i>
      <x/>
    </i>
    <i>
      <x v="1"/>
    </i>
    <i>
      <x v="2"/>
    </i>
    <i>
      <x v="3"/>
    </i>
  </colItems>
  <dataFields count="1">
    <dataField name="Count of To what extent did the project/initiative link or work with strategic alliances and partners to take tested and effective solutions to scale in this FY?" fld="235"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rowHeaderCaption="" colHeaderCaption="">
  <location ref="A3:E104" firstHeaderRow="1" firstDataRow="2" firstDataCol="1"/>
  <pivotFields count="308">
    <pivotField axis="axisRow" subtotalTop="0" showAll="0">
      <items count="88">
        <item x="0"/>
        <item x="1"/>
        <item x="2"/>
        <item x="3"/>
        <item x="4"/>
        <item x="5"/>
        <item x="6"/>
        <item x="7"/>
        <item x="8"/>
        <item x="9"/>
        <item x="10"/>
        <item x="11"/>
        <item x="12"/>
        <item m="1" x="86"/>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20"/>
        <item m="1" x="85"/>
        <item t="default"/>
      </items>
    </pivotField>
    <pivotField axis="axisRow" subtotalTop="0" showAll="0">
      <items count="9">
        <item x="3"/>
        <item x="5"/>
        <item x="2"/>
        <item x="0"/>
        <item x="4"/>
        <item x="1"/>
        <item x="6"/>
        <item m="1" x="7"/>
        <item t="default"/>
      </items>
    </pivotField>
    <pivotField subtotalTop="0" showAll="0"/>
    <pivotField subtotalTop="0"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dataField="1" subtotalTop="0" showAll="0">
      <items count="5">
        <item x="2"/>
        <item x="0"/>
        <item x="1"/>
        <item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numFmtId="164" subtotalTop="0" showAll="0"/>
    <pivotField numFmtId="164"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2">
    <field x="1"/>
    <field x="0"/>
  </rowFields>
  <rowItems count="100">
    <i>
      <x/>
    </i>
    <i r="1">
      <x v="8"/>
    </i>
    <i r="1">
      <x v="23"/>
    </i>
    <i r="1">
      <x v="37"/>
    </i>
    <i r="1">
      <x v="62"/>
    </i>
    <i r="1">
      <x v="65"/>
    </i>
    <i r="1">
      <x v="67"/>
    </i>
    <i r="1">
      <x v="69"/>
    </i>
    <i r="1">
      <x v="76"/>
    </i>
    <i r="1">
      <x v="85"/>
    </i>
    <i t="default">
      <x/>
    </i>
    <i>
      <x v="1"/>
    </i>
    <i r="1">
      <x v="43"/>
    </i>
    <i r="1">
      <x v="44"/>
    </i>
    <i r="1">
      <x v="49"/>
    </i>
    <i r="1">
      <x v="66"/>
    </i>
    <i r="1">
      <x v="72"/>
    </i>
    <i r="1">
      <x v="83"/>
    </i>
    <i r="1">
      <x v="84"/>
    </i>
    <i t="default">
      <x v="1"/>
    </i>
    <i>
      <x v="2"/>
    </i>
    <i r="1">
      <x v="5"/>
    </i>
    <i r="1">
      <x v="7"/>
    </i>
    <i r="1">
      <x v="10"/>
    </i>
    <i r="1">
      <x v="11"/>
    </i>
    <i r="1">
      <x v="15"/>
    </i>
    <i r="1">
      <x v="28"/>
    </i>
    <i r="1">
      <x v="41"/>
    </i>
    <i r="1">
      <x v="45"/>
    </i>
    <i r="1">
      <x v="54"/>
    </i>
    <i r="1">
      <x v="64"/>
    </i>
    <i t="default">
      <x v="2"/>
    </i>
    <i>
      <x v="3"/>
    </i>
    <i r="1">
      <x/>
    </i>
    <i r="1">
      <x v="3"/>
    </i>
    <i r="1">
      <x v="9"/>
    </i>
    <i r="1">
      <x v="24"/>
    </i>
    <i r="1">
      <x v="33"/>
    </i>
    <i r="1">
      <x v="34"/>
    </i>
    <i r="1">
      <x v="39"/>
    </i>
    <i r="1">
      <x v="50"/>
    </i>
    <i r="1">
      <x v="51"/>
    </i>
    <i r="1">
      <x v="56"/>
    </i>
    <i r="1">
      <x v="58"/>
    </i>
    <i r="1">
      <x v="60"/>
    </i>
    <i r="1">
      <x v="68"/>
    </i>
    <i r="1">
      <x v="73"/>
    </i>
    <i r="1">
      <x v="74"/>
    </i>
    <i r="1">
      <x v="79"/>
    </i>
    <i r="1">
      <x v="80"/>
    </i>
    <i t="default">
      <x v="3"/>
    </i>
    <i>
      <x v="4"/>
    </i>
    <i r="1">
      <x v="12"/>
    </i>
    <i r="1">
      <x v="14"/>
    </i>
    <i r="1">
      <x v="17"/>
    </i>
    <i r="1">
      <x v="20"/>
    </i>
    <i r="1">
      <x v="21"/>
    </i>
    <i r="1">
      <x v="30"/>
    </i>
    <i r="1">
      <x v="31"/>
    </i>
    <i r="1">
      <x v="32"/>
    </i>
    <i r="1">
      <x v="46"/>
    </i>
    <i r="1">
      <x v="53"/>
    </i>
    <i r="1">
      <x v="57"/>
    </i>
    <i r="1">
      <x v="59"/>
    </i>
    <i t="default">
      <x v="4"/>
    </i>
    <i>
      <x v="5"/>
    </i>
    <i r="1">
      <x v="1"/>
    </i>
    <i r="1">
      <x v="2"/>
    </i>
    <i r="1">
      <x v="4"/>
    </i>
    <i r="1">
      <x v="6"/>
    </i>
    <i r="1">
      <x v="16"/>
    </i>
    <i r="1">
      <x v="18"/>
    </i>
    <i r="1">
      <x v="19"/>
    </i>
    <i r="1">
      <x v="22"/>
    </i>
    <i r="1">
      <x v="25"/>
    </i>
    <i r="1">
      <x v="26"/>
    </i>
    <i r="1">
      <x v="27"/>
    </i>
    <i r="1">
      <x v="29"/>
    </i>
    <i r="1">
      <x v="35"/>
    </i>
    <i r="1">
      <x v="36"/>
    </i>
    <i r="1">
      <x v="38"/>
    </i>
    <i r="1">
      <x v="40"/>
    </i>
    <i r="1">
      <x v="42"/>
    </i>
    <i r="1">
      <x v="47"/>
    </i>
    <i r="1">
      <x v="48"/>
    </i>
    <i r="1">
      <x v="52"/>
    </i>
    <i r="1">
      <x v="55"/>
    </i>
    <i r="1">
      <x v="61"/>
    </i>
    <i r="1">
      <x v="63"/>
    </i>
    <i r="1">
      <x v="70"/>
    </i>
    <i r="1">
      <x v="71"/>
    </i>
    <i r="1">
      <x v="75"/>
    </i>
    <i r="1">
      <x v="77"/>
    </i>
    <i r="1">
      <x v="81"/>
    </i>
    <i r="1">
      <x v="82"/>
    </i>
    <i t="default">
      <x v="5"/>
    </i>
    <i>
      <x v="6"/>
    </i>
    <i r="1">
      <x v="78"/>
    </i>
    <i t="default">
      <x v="6"/>
    </i>
    <i t="grand">
      <x/>
    </i>
  </rowItems>
  <colFields count="1">
    <field x="264"/>
  </colFields>
  <colItems count="4">
    <i>
      <x/>
    </i>
    <i>
      <x v="1"/>
    </i>
    <i>
      <x v="2"/>
    </i>
    <i>
      <x v="3"/>
    </i>
  </colItems>
  <dataFields count="1">
    <dataField name="Count of To what extent did the project contribute to strengthening civil society in the FY?" fld="264" subtotal="count" showDataAs="percentOfRow" baseField="0" baseItem="8"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rowHeaderCaption="" colHeaderCaption="">
  <location ref="A3:E104" firstHeaderRow="1" firstDataRow="2" firstDataCol="1"/>
  <pivotFields count="308">
    <pivotField axis="axisRow" subtotalTop="0" showAll="0">
      <items count="88">
        <item x="0"/>
        <item x="1"/>
        <item x="2"/>
        <item x="3"/>
        <item x="4"/>
        <item x="5"/>
        <item x="6"/>
        <item x="7"/>
        <item x="8"/>
        <item x="9"/>
        <item x="10"/>
        <item x="11"/>
        <item x="12"/>
        <item m="1" x="86"/>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20"/>
        <item m="1" x="85"/>
        <item t="default"/>
      </items>
    </pivotField>
    <pivotField axis="axisRow" subtotalTop="0" showAll="0">
      <items count="9">
        <item x="3"/>
        <item x="5"/>
        <item x="2"/>
        <item x="0"/>
        <item x="4"/>
        <item x="1"/>
        <item x="6"/>
        <item m="1" x="7"/>
        <item t="default"/>
      </items>
    </pivotField>
    <pivotField subtotalTop="0" showAll="0"/>
    <pivotField subtotalTop="0"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dataField="1" subtotalTop="0" showAll="0">
      <items count="5">
        <item x="2"/>
        <item x="3"/>
        <item x="0"/>
        <item x="1"/>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numFmtId="164" subtotalTop="0" showAll="0"/>
    <pivotField numFmtId="164"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2">
    <field x="1"/>
    <field x="0"/>
  </rowFields>
  <rowItems count="100">
    <i>
      <x/>
    </i>
    <i r="1">
      <x v="8"/>
    </i>
    <i r="1">
      <x v="23"/>
    </i>
    <i r="1">
      <x v="37"/>
    </i>
    <i r="1">
      <x v="62"/>
    </i>
    <i r="1">
      <x v="65"/>
    </i>
    <i r="1">
      <x v="67"/>
    </i>
    <i r="1">
      <x v="69"/>
    </i>
    <i r="1">
      <x v="76"/>
    </i>
    <i r="1">
      <x v="85"/>
    </i>
    <i t="default">
      <x/>
    </i>
    <i>
      <x v="1"/>
    </i>
    <i r="1">
      <x v="43"/>
    </i>
    <i r="1">
      <x v="44"/>
    </i>
    <i r="1">
      <x v="49"/>
    </i>
    <i r="1">
      <x v="66"/>
    </i>
    <i r="1">
      <x v="72"/>
    </i>
    <i r="1">
      <x v="83"/>
    </i>
    <i r="1">
      <x v="84"/>
    </i>
    <i t="default">
      <x v="1"/>
    </i>
    <i>
      <x v="2"/>
    </i>
    <i r="1">
      <x v="5"/>
    </i>
    <i r="1">
      <x v="7"/>
    </i>
    <i r="1">
      <x v="10"/>
    </i>
    <i r="1">
      <x v="11"/>
    </i>
    <i r="1">
      <x v="15"/>
    </i>
    <i r="1">
      <x v="28"/>
    </i>
    <i r="1">
      <x v="41"/>
    </i>
    <i r="1">
      <x v="45"/>
    </i>
    <i r="1">
      <x v="54"/>
    </i>
    <i r="1">
      <x v="64"/>
    </i>
    <i t="default">
      <x v="2"/>
    </i>
    <i>
      <x v="3"/>
    </i>
    <i r="1">
      <x/>
    </i>
    <i r="1">
      <x v="3"/>
    </i>
    <i r="1">
      <x v="9"/>
    </i>
    <i r="1">
      <x v="24"/>
    </i>
    <i r="1">
      <x v="33"/>
    </i>
    <i r="1">
      <x v="34"/>
    </i>
    <i r="1">
      <x v="39"/>
    </i>
    <i r="1">
      <x v="50"/>
    </i>
    <i r="1">
      <x v="51"/>
    </i>
    <i r="1">
      <x v="56"/>
    </i>
    <i r="1">
      <x v="58"/>
    </i>
    <i r="1">
      <x v="60"/>
    </i>
    <i r="1">
      <x v="68"/>
    </i>
    <i r="1">
      <x v="73"/>
    </i>
    <i r="1">
      <x v="74"/>
    </i>
    <i r="1">
      <x v="79"/>
    </i>
    <i r="1">
      <x v="80"/>
    </i>
    <i t="default">
      <x v="3"/>
    </i>
    <i>
      <x v="4"/>
    </i>
    <i r="1">
      <x v="12"/>
    </i>
    <i r="1">
      <x v="14"/>
    </i>
    <i r="1">
      <x v="17"/>
    </i>
    <i r="1">
      <x v="20"/>
    </i>
    <i r="1">
      <x v="21"/>
    </i>
    <i r="1">
      <x v="30"/>
    </i>
    <i r="1">
      <x v="31"/>
    </i>
    <i r="1">
      <x v="32"/>
    </i>
    <i r="1">
      <x v="46"/>
    </i>
    <i r="1">
      <x v="53"/>
    </i>
    <i r="1">
      <x v="57"/>
    </i>
    <i r="1">
      <x v="59"/>
    </i>
    <i t="default">
      <x v="4"/>
    </i>
    <i>
      <x v="5"/>
    </i>
    <i r="1">
      <x v="1"/>
    </i>
    <i r="1">
      <x v="2"/>
    </i>
    <i r="1">
      <x v="4"/>
    </i>
    <i r="1">
      <x v="6"/>
    </i>
    <i r="1">
      <x v="16"/>
    </i>
    <i r="1">
      <x v="18"/>
    </i>
    <i r="1">
      <x v="19"/>
    </i>
    <i r="1">
      <x v="22"/>
    </i>
    <i r="1">
      <x v="25"/>
    </i>
    <i r="1">
      <x v="26"/>
    </i>
    <i r="1">
      <x v="27"/>
    </i>
    <i r="1">
      <x v="29"/>
    </i>
    <i r="1">
      <x v="35"/>
    </i>
    <i r="1">
      <x v="36"/>
    </i>
    <i r="1">
      <x v="38"/>
    </i>
    <i r="1">
      <x v="40"/>
    </i>
    <i r="1">
      <x v="42"/>
    </i>
    <i r="1">
      <x v="47"/>
    </i>
    <i r="1">
      <x v="48"/>
    </i>
    <i r="1">
      <x v="52"/>
    </i>
    <i r="1">
      <x v="55"/>
    </i>
    <i r="1">
      <x v="61"/>
    </i>
    <i r="1">
      <x v="63"/>
    </i>
    <i r="1">
      <x v="70"/>
    </i>
    <i r="1">
      <x v="71"/>
    </i>
    <i r="1">
      <x v="75"/>
    </i>
    <i r="1">
      <x v="77"/>
    </i>
    <i r="1">
      <x v="81"/>
    </i>
    <i r="1">
      <x v="82"/>
    </i>
    <i t="default">
      <x v="5"/>
    </i>
    <i>
      <x v="6"/>
    </i>
    <i r="1">
      <x v="78"/>
    </i>
    <i t="default">
      <x v="6"/>
    </i>
    <i t="grand">
      <x/>
    </i>
  </rowItems>
  <colFields count="1">
    <field x="258"/>
  </colFields>
  <colItems count="4">
    <i>
      <x/>
    </i>
    <i>
      <x v="1"/>
    </i>
    <i>
      <x v="2"/>
    </i>
    <i>
      <x v="3"/>
    </i>
  </colItems>
  <dataFields count="1">
    <dataField name="Count of To what extent did the project/initiative have a strategy yo address current or future social and environmental vulnerability caudes by climate change in this FY?" fld="258" subtotal="count" showDataAs="percentOfRow" baseField="1"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rowHeaderCaption="" colHeaderCaption="">
  <location ref="A3:E104" firstHeaderRow="1" firstDataRow="2" firstDataCol="1"/>
  <pivotFields count="308">
    <pivotField axis="axisRow" subtotalTop="0" showAll="0">
      <items count="88">
        <item x="0"/>
        <item x="1"/>
        <item x="2"/>
        <item x="3"/>
        <item x="4"/>
        <item x="5"/>
        <item x="6"/>
        <item x="7"/>
        <item x="8"/>
        <item x="9"/>
        <item x="10"/>
        <item x="11"/>
        <item x="12"/>
        <item m="1" x="86"/>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20"/>
        <item m="1" x="85"/>
        <item t="default"/>
      </items>
    </pivotField>
    <pivotField axis="axisRow" subtotalTop="0" showAll="0">
      <items count="9">
        <item x="3"/>
        <item x="5"/>
        <item x="2"/>
        <item x="0"/>
        <item x="4"/>
        <item x="1"/>
        <item x="6"/>
        <item m="1" x="7"/>
        <item t="default"/>
      </items>
    </pivotField>
    <pivotField subtotalTop="0" showAll="0"/>
    <pivotField subtotalTop="0"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dataField="1" subtotalTop="0" showAll="0">
      <items count="5">
        <item x="0"/>
        <item x="1"/>
        <item x="2"/>
        <item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numFmtId="164" subtotalTop="0" showAll="0"/>
    <pivotField numFmtId="164"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2">
    <field x="1"/>
    <field x="0"/>
  </rowFields>
  <rowItems count="100">
    <i>
      <x/>
    </i>
    <i r="1">
      <x v="8"/>
    </i>
    <i r="1">
      <x v="23"/>
    </i>
    <i r="1">
      <x v="37"/>
    </i>
    <i r="1">
      <x v="62"/>
    </i>
    <i r="1">
      <x v="65"/>
    </i>
    <i r="1">
      <x v="67"/>
    </i>
    <i r="1">
      <x v="69"/>
    </i>
    <i r="1">
      <x v="76"/>
    </i>
    <i r="1">
      <x v="85"/>
    </i>
    <i t="default">
      <x/>
    </i>
    <i>
      <x v="1"/>
    </i>
    <i r="1">
      <x v="43"/>
    </i>
    <i r="1">
      <x v="44"/>
    </i>
    <i r="1">
      <x v="49"/>
    </i>
    <i r="1">
      <x v="66"/>
    </i>
    <i r="1">
      <x v="72"/>
    </i>
    <i r="1">
      <x v="83"/>
    </i>
    <i r="1">
      <x v="84"/>
    </i>
    <i t="default">
      <x v="1"/>
    </i>
    <i>
      <x v="2"/>
    </i>
    <i r="1">
      <x v="5"/>
    </i>
    <i r="1">
      <x v="7"/>
    </i>
    <i r="1">
      <x v="10"/>
    </i>
    <i r="1">
      <x v="11"/>
    </i>
    <i r="1">
      <x v="15"/>
    </i>
    <i r="1">
      <x v="28"/>
    </i>
    <i r="1">
      <x v="41"/>
    </i>
    <i r="1">
      <x v="45"/>
    </i>
    <i r="1">
      <x v="54"/>
    </i>
    <i r="1">
      <x v="64"/>
    </i>
    <i t="default">
      <x v="2"/>
    </i>
    <i>
      <x v="3"/>
    </i>
    <i r="1">
      <x/>
    </i>
    <i r="1">
      <x v="3"/>
    </i>
    <i r="1">
      <x v="9"/>
    </i>
    <i r="1">
      <x v="24"/>
    </i>
    <i r="1">
      <x v="33"/>
    </i>
    <i r="1">
      <x v="34"/>
    </i>
    <i r="1">
      <x v="39"/>
    </i>
    <i r="1">
      <x v="50"/>
    </i>
    <i r="1">
      <x v="51"/>
    </i>
    <i r="1">
      <x v="56"/>
    </i>
    <i r="1">
      <x v="58"/>
    </i>
    <i r="1">
      <x v="60"/>
    </i>
    <i r="1">
      <x v="68"/>
    </i>
    <i r="1">
      <x v="73"/>
    </i>
    <i r="1">
      <x v="74"/>
    </i>
    <i r="1">
      <x v="79"/>
    </i>
    <i r="1">
      <x v="80"/>
    </i>
    <i t="default">
      <x v="3"/>
    </i>
    <i>
      <x v="4"/>
    </i>
    <i r="1">
      <x v="12"/>
    </i>
    <i r="1">
      <x v="14"/>
    </i>
    <i r="1">
      <x v="17"/>
    </i>
    <i r="1">
      <x v="20"/>
    </i>
    <i r="1">
      <x v="21"/>
    </i>
    <i r="1">
      <x v="30"/>
    </i>
    <i r="1">
      <x v="31"/>
    </i>
    <i r="1">
      <x v="32"/>
    </i>
    <i r="1">
      <x v="46"/>
    </i>
    <i r="1">
      <x v="53"/>
    </i>
    <i r="1">
      <x v="57"/>
    </i>
    <i r="1">
      <x v="59"/>
    </i>
    <i t="default">
      <x v="4"/>
    </i>
    <i>
      <x v="5"/>
    </i>
    <i r="1">
      <x v="1"/>
    </i>
    <i r="1">
      <x v="2"/>
    </i>
    <i r="1">
      <x v="4"/>
    </i>
    <i r="1">
      <x v="6"/>
    </i>
    <i r="1">
      <x v="16"/>
    </i>
    <i r="1">
      <x v="18"/>
    </i>
    <i r="1">
      <x v="19"/>
    </i>
    <i r="1">
      <x v="22"/>
    </i>
    <i r="1">
      <x v="25"/>
    </i>
    <i r="1">
      <x v="26"/>
    </i>
    <i r="1">
      <x v="27"/>
    </i>
    <i r="1">
      <x v="29"/>
    </i>
    <i r="1">
      <x v="35"/>
    </i>
    <i r="1">
      <x v="36"/>
    </i>
    <i r="1">
      <x v="38"/>
    </i>
    <i r="1">
      <x v="40"/>
    </i>
    <i r="1">
      <x v="42"/>
    </i>
    <i r="1">
      <x v="47"/>
    </i>
    <i r="1">
      <x v="48"/>
    </i>
    <i r="1">
      <x v="52"/>
    </i>
    <i r="1">
      <x v="55"/>
    </i>
    <i r="1">
      <x v="61"/>
    </i>
    <i r="1">
      <x v="63"/>
    </i>
    <i r="1">
      <x v="70"/>
    </i>
    <i r="1">
      <x v="71"/>
    </i>
    <i r="1">
      <x v="75"/>
    </i>
    <i r="1">
      <x v="77"/>
    </i>
    <i r="1">
      <x v="81"/>
    </i>
    <i r="1">
      <x v="82"/>
    </i>
    <i t="default">
      <x v="5"/>
    </i>
    <i>
      <x v="6"/>
    </i>
    <i r="1">
      <x v="78"/>
    </i>
    <i t="default">
      <x v="6"/>
    </i>
    <i t="grand">
      <x/>
    </i>
  </rowItems>
  <colFields count="1">
    <field x="237"/>
  </colFields>
  <colItems count="4">
    <i>
      <x/>
    </i>
    <i>
      <x v="1"/>
    </i>
    <i>
      <x v="2"/>
    </i>
    <i>
      <x v="3"/>
    </i>
  </colItems>
  <dataFields count="1">
    <dataField name="Count of To what extent did the project/initiative focus on addressing sexual and gender based violence (GBV) in this FY?" fld="237" subtotal="count" showDataAs="percentOfRow" baseField="0" baseItem="9"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20" cacheId="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rowHeaderCaption="" colHeaderCaption="">
  <location ref="A320:L422" firstHeaderRow="1" firstDataRow="3" firstDataCol="1"/>
  <pivotFields count="308">
    <pivotField axis="axisRow" subtotalTop="0" showAll="0">
      <items count="88">
        <item x="0"/>
        <item x="1"/>
        <item x="2"/>
        <item x="3"/>
        <item x="4"/>
        <item x="5"/>
        <item x="6"/>
        <item x="7"/>
        <item x="8"/>
        <item x="9"/>
        <item x="10"/>
        <item x="11"/>
        <item x="12"/>
        <item m="1" x="86"/>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20"/>
        <item m="1" x="85"/>
        <item t="default"/>
      </items>
    </pivotField>
    <pivotField axis="axisRow" subtotalTop="0" showAll="0">
      <items count="9">
        <item x="3"/>
        <item x="5"/>
        <item x="2"/>
        <item x="0"/>
        <item x="4"/>
        <item x="1"/>
        <item x="6"/>
        <item m="1" x="7"/>
        <item t="default"/>
      </items>
    </pivotField>
    <pivotField subtotalTop="0" showAll="0"/>
    <pivotField subtotalTop="0"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defaultSubtotal="0">
      <items count="4">
        <item x="3"/>
        <item x="0"/>
        <item x="1"/>
        <item x="2"/>
      </items>
    </pivotField>
    <pivotField subtotalTop="0" showAll="0"/>
    <pivotField subtotalTop="0" showAll="0"/>
    <pivotField axis="axisCol" dataField="1" subtotalTop="0" showAll="0">
      <items count="4">
        <item x="1"/>
        <item x="0"/>
        <item x="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numFmtId="164" subtotalTop="0" showAll="0"/>
    <pivotField numFmtId="164"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2">
    <field x="1"/>
    <field x="0"/>
  </rowFields>
  <rowItems count="100">
    <i>
      <x/>
    </i>
    <i r="1">
      <x v="8"/>
    </i>
    <i r="1">
      <x v="23"/>
    </i>
    <i r="1">
      <x v="37"/>
    </i>
    <i r="1">
      <x v="62"/>
    </i>
    <i r="1">
      <x v="65"/>
    </i>
    <i r="1">
      <x v="67"/>
    </i>
    <i r="1">
      <x v="69"/>
    </i>
    <i r="1">
      <x v="76"/>
    </i>
    <i r="1">
      <x v="85"/>
    </i>
    <i t="default">
      <x/>
    </i>
    <i>
      <x v="1"/>
    </i>
    <i r="1">
      <x v="43"/>
    </i>
    <i r="1">
      <x v="44"/>
    </i>
    <i r="1">
      <x v="49"/>
    </i>
    <i r="1">
      <x v="66"/>
    </i>
    <i r="1">
      <x v="72"/>
    </i>
    <i r="1">
      <x v="83"/>
    </i>
    <i r="1">
      <x v="84"/>
    </i>
    <i t="default">
      <x v="1"/>
    </i>
    <i>
      <x v="2"/>
    </i>
    <i r="1">
      <x v="5"/>
    </i>
    <i r="1">
      <x v="7"/>
    </i>
    <i r="1">
      <x v="10"/>
    </i>
    <i r="1">
      <x v="11"/>
    </i>
    <i r="1">
      <x v="15"/>
    </i>
    <i r="1">
      <x v="28"/>
    </i>
    <i r="1">
      <x v="41"/>
    </i>
    <i r="1">
      <x v="45"/>
    </i>
    <i r="1">
      <x v="54"/>
    </i>
    <i r="1">
      <x v="64"/>
    </i>
    <i t="default">
      <x v="2"/>
    </i>
    <i>
      <x v="3"/>
    </i>
    <i r="1">
      <x/>
    </i>
    <i r="1">
      <x v="3"/>
    </i>
    <i r="1">
      <x v="9"/>
    </i>
    <i r="1">
      <x v="24"/>
    </i>
    <i r="1">
      <x v="33"/>
    </i>
    <i r="1">
      <x v="34"/>
    </i>
    <i r="1">
      <x v="39"/>
    </i>
    <i r="1">
      <x v="50"/>
    </i>
    <i r="1">
      <x v="51"/>
    </i>
    <i r="1">
      <x v="56"/>
    </i>
    <i r="1">
      <x v="58"/>
    </i>
    <i r="1">
      <x v="60"/>
    </i>
    <i r="1">
      <x v="68"/>
    </i>
    <i r="1">
      <x v="73"/>
    </i>
    <i r="1">
      <x v="74"/>
    </i>
    <i r="1">
      <x v="79"/>
    </i>
    <i r="1">
      <x v="80"/>
    </i>
    <i t="default">
      <x v="3"/>
    </i>
    <i>
      <x v="4"/>
    </i>
    <i r="1">
      <x v="12"/>
    </i>
    <i r="1">
      <x v="14"/>
    </i>
    <i r="1">
      <x v="17"/>
    </i>
    <i r="1">
      <x v="20"/>
    </i>
    <i r="1">
      <x v="21"/>
    </i>
    <i r="1">
      <x v="30"/>
    </i>
    <i r="1">
      <x v="31"/>
    </i>
    <i r="1">
      <x v="32"/>
    </i>
    <i r="1">
      <x v="46"/>
    </i>
    <i r="1">
      <x v="53"/>
    </i>
    <i r="1">
      <x v="57"/>
    </i>
    <i r="1">
      <x v="59"/>
    </i>
    <i t="default">
      <x v="4"/>
    </i>
    <i>
      <x v="5"/>
    </i>
    <i r="1">
      <x v="1"/>
    </i>
    <i r="1">
      <x v="2"/>
    </i>
    <i r="1">
      <x v="4"/>
    </i>
    <i r="1">
      <x v="6"/>
    </i>
    <i r="1">
      <x v="16"/>
    </i>
    <i r="1">
      <x v="18"/>
    </i>
    <i r="1">
      <x v="19"/>
    </i>
    <i r="1">
      <x v="22"/>
    </i>
    <i r="1">
      <x v="25"/>
    </i>
    <i r="1">
      <x v="26"/>
    </i>
    <i r="1">
      <x v="27"/>
    </i>
    <i r="1">
      <x v="29"/>
    </i>
    <i r="1">
      <x v="35"/>
    </i>
    <i r="1">
      <x v="36"/>
    </i>
    <i r="1">
      <x v="38"/>
    </i>
    <i r="1">
      <x v="40"/>
    </i>
    <i r="1">
      <x v="42"/>
    </i>
    <i r="1">
      <x v="47"/>
    </i>
    <i r="1">
      <x v="48"/>
    </i>
    <i r="1">
      <x v="52"/>
    </i>
    <i r="1">
      <x v="55"/>
    </i>
    <i r="1">
      <x v="61"/>
    </i>
    <i r="1">
      <x v="63"/>
    </i>
    <i r="1">
      <x v="70"/>
    </i>
    <i r="1">
      <x v="71"/>
    </i>
    <i r="1">
      <x v="75"/>
    </i>
    <i r="1">
      <x v="77"/>
    </i>
    <i r="1">
      <x v="81"/>
    </i>
    <i r="1">
      <x v="82"/>
    </i>
    <i t="default">
      <x v="5"/>
    </i>
    <i>
      <x v="6"/>
    </i>
    <i r="1">
      <x v="78"/>
    </i>
    <i t="default">
      <x v="6"/>
    </i>
    <i t="grand">
      <x/>
    </i>
  </rowItems>
  <colFields count="2">
    <field x="238"/>
    <field x="241"/>
  </colFields>
  <colItems count="11">
    <i>
      <x/>
      <x/>
    </i>
    <i r="1">
      <x v="1"/>
    </i>
    <i r="1">
      <x v="2"/>
    </i>
    <i>
      <x v="1"/>
      <x/>
    </i>
    <i r="1">
      <x v="1"/>
    </i>
    <i r="1">
      <x v="2"/>
    </i>
    <i>
      <x v="2"/>
      <x/>
    </i>
    <i r="1">
      <x v="1"/>
    </i>
    <i r="1">
      <x v="2"/>
    </i>
    <i>
      <x v="3"/>
      <x/>
    </i>
    <i r="1">
      <x v="2"/>
    </i>
  </colItems>
  <dataFields count="1">
    <dataField name="Count of Gender Marker – Participation" fld="24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PivotTable19" cacheId="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rowHeaderCaption="" colHeaderCaption="">
  <location ref="A214:M316" firstHeaderRow="1" firstDataRow="3" firstDataCol="1"/>
  <pivotFields count="308">
    <pivotField axis="axisRow" subtotalTop="0" showAll="0">
      <items count="88">
        <item x="0"/>
        <item x="1"/>
        <item x="2"/>
        <item x="3"/>
        <item x="4"/>
        <item x="5"/>
        <item x="6"/>
        <item x="7"/>
        <item x="8"/>
        <item x="9"/>
        <item x="10"/>
        <item x="11"/>
        <item x="12"/>
        <item m="1" x="86"/>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20"/>
        <item m="1" x="85"/>
        <item t="default"/>
      </items>
    </pivotField>
    <pivotField axis="axisRow" subtotalTop="0" showAll="0">
      <items count="9">
        <item x="3"/>
        <item x="5"/>
        <item x="2"/>
        <item x="0"/>
        <item x="4"/>
        <item x="1"/>
        <item x="6"/>
        <item m="1" x="7"/>
        <item t="default"/>
      </items>
    </pivotField>
    <pivotField subtotalTop="0" showAll="0"/>
    <pivotField subtotalTop="0"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defaultSubtotal="0">
      <items count="4">
        <item x="3"/>
        <item x="0"/>
        <item x="1"/>
        <item x="2"/>
      </items>
    </pivotField>
    <pivotField subtotalTop="0" showAll="0"/>
    <pivotField axis="axisCol" dataField="1" subtotalTop="0" showAll="0">
      <items count="4">
        <item x="1"/>
        <item x="0"/>
        <item x="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numFmtId="164" subtotalTop="0" showAll="0"/>
    <pivotField numFmtId="164"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2">
    <field x="1"/>
    <field x="0"/>
  </rowFields>
  <rowItems count="100">
    <i>
      <x/>
    </i>
    <i r="1">
      <x v="8"/>
    </i>
    <i r="1">
      <x v="23"/>
    </i>
    <i r="1">
      <x v="37"/>
    </i>
    <i r="1">
      <x v="62"/>
    </i>
    <i r="1">
      <x v="65"/>
    </i>
    <i r="1">
      <x v="67"/>
    </i>
    <i r="1">
      <x v="69"/>
    </i>
    <i r="1">
      <x v="76"/>
    </i>
    <i r="1">
      <x v="85"/>
    </i>
    <i t="default">
      <x/>
    </i>
    <i>
      <x v="1"/>
    </i>
    <i r="1">
      <x v="43"/>
    </i>
    <i r="1">
      <x v="44"/>
    </i>
    <i r="1">
      <x v="49"/>
    </i>
    <i r="1">
      <x v="66"/>
    </i>
    <i r="1">
      <x v="72"/>
    </i>
    <i r="1">
      <x v="83"/>
    </i>
    <i r="1">
      <x v="84"/>
    </i>
    <i t="default">
      <x v="1"/>
    </i>
    <i>
      <x v="2"/>
    </i>
    <i r="1">
      <x v="5"/>
    </i>
    <i r="1">
      <x v="7"/>
    </i>
    <i r="1">
      <x v="10"/>
    </i>
    <i r="1">
      <x v="11"/>
    </i>
    <i r="1">
      <x v="15"/>
    </i>
    <i r="1">
      <x v="28"/>
    </i>
    <i r="1">
      <x v="41"/>
    </i>
    <i r="1">
      <x v="45"/>
    </i>
    <i r="1">
      <x v="54"/>
    </i>
    <i r="1">
      <x v="64"/>
    </i>
    <i t="default">
      <x v="2"/>
    </i>
    <i>
      <x v="3"/>
    </i>
    <i r="1">
      <x/>
    </i>
    <i r="1">
      <x v="3"/>
    </i>
    <i r="1">
      <x v="9"/>
    </i>
    <i r="1">
      <x v="24"/>
    </i>
    <i r="1">
      <x v="33"/>
    </i>
    <i r="1">
      <x v="34"/>
    </i>
    <i r="1">
      <x v="39"/>
    </i>
    <i r="1">
      <x v="50"/>
    </i>
    <i r="1">
      <x v="51"/>
    </i>
    <i r="1">
      <x v="56"/>
    </i>
    <i r="1">
      <x v="58"/>
    </i>
    <i r="1">
      <x v="60"/>
    </i>
    <i r="1">
      <x v="68"/>
    </i>
    <i r="1">
      <x v="73"/>
    </i>
    <i r="1">
      <x v="74"/>
    </i>
    <i r="1">
      <x v="79"/>
    </i>
    <i r="1">
      <x v="80"/>
    </i>
    <i t="default">
      <x v="3"/>
    </i>
    <i>
      <x v="4"/>
    </i>
    <i r="1">
      <x v="12"/>
    </i>
    <i r="1">
      <x v="14"/>
    </i>
    <i r="1">
      <x v="17"/>
    </i>
    <i r="1">
      <x v="20"/>
    </i>
    <i r="1">
      <x v="21"/>
    </i>
    <i r="1">
      <x v="30"/>
    </i>
    <i r="1">
      <x v="31"/>
    </i>
    <i r="1">
      <x v="32"/>
    </i>
    <i r="1">
      <x v="46"/>
    </i>
    <i r="1">
      <x v="53"/>
    </i>
    <i r="1">
      <x v="57"/>
    </i>
    <i r="1">
      <x v="59"/>
    </i>
    <i t="default">
      <x v="4"/>
    </i>
    <i>
      <x v="5"/>
    </i>
    <i r="1">
      <x v="1"/>
    </i>
    <i r="1">
      <x v="2"/>
    </i>
    <i r="1">
      <x v="4"/>
    </i>
    <i r="1">
      <x v="6"/>
    </i>
    <i r="1">
      <x v="16"/>
    </i>
    <i r="1">
      <x v="18"/>
    </i>
    <i r="1">
      <x v="19"/>
    </i>
    <i r="1">
      <x v="22"/>
    </i>
    <i r="1">
      <x v="25"/>
    </i>
    <i r="1">
      <x v="26"/>
    </i>
    <i r="1">
      <x v="27"/>
    </i>
    <i r="1">
      <x v="29"/>
    </i>
    <i r="1">
      <x v="35"/>
    </i>
    <i r="1">
      <x v="36"/>
    </i>
    <i r="1">
      <x v="38"/>
    </i>
    <i r="1">
      <x v="40"/>
    </i>
    <i r="1">
      <x v="42"/>
    </i>
    <i r="1">
      <x v="47"/>
    </i>
    <i r="1">
      <x v="48"/>
    </i>
    <i r="1">
      <x v="52"/>
    </i>
    <i r="1">
      <x v="55"/>
    </i>
    <i r="1">
      <x v="61"/>
    </i>
    <i r="1">
      <x v="63"/>
    </i>
    <i r="1">
      <x v="70"/>
    </i>
    <i r="1">
      <x v="71"/>
    </i>
    <i r="1">
      <x v="75"/>
    </i>
    <i r="1">
      <x v="77"/>
    </i>
    <i r="1">
      <x v="81"/>
    </i>
    <i r="1">
      <x v="82"/>
    </i>
    <i t="default">
      <x v="5"/>
    </i>
    <i>
      <x v="6"/>
    </i>
    <i r="1">
      <x v="78"/>
    </i>
    <i t="default">
      <x v="6"/>
    </i>
    <i t="grand">
      <x/>
    </i>
  </rowItems>
  <colFields count="2">
    <field x="238"/>
    <field x="240"/>
  </colFields>
  <colItems count="12">
    <i>
      <x/>
      <x/>
    </i>
    <i r="1">
      <x v="1"/>
    </i>
    <i r="1">
      <x v="2"/>
    </i>
    <i>
      <x v="1"/>
      <x/>
    </i>
    <i r="1">
      <x v="1"/>
    </i>
    <i r="1">
      <x v="2"/>
    </i>
    <i>
      <x v="2"/>
      <x/>
    </i>
    <i r="1">
      <x v="1"/>
    </i>
    <i r="1">
      <x v="2"/>
    </i>
    <i>
      <x v="3"/>
      <x/>
    </i>
    <i r="1">
      <x v="1"/>
    </i>
    <i r="1">
      <x v="2"/>
    </i>
  </colItems>
  <dataFields count="1">
    <dataField name="Count of Gender Marker – Activities" fld="24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rowHeaderCaption="" colHeaderCaption="">
  <location ref="A108:M210" firstHeaderRow="1" firstDataRow="3" firstDataCol="1"/>
  <pivotFields count="308">
    <pivotField axis="axisRow" subtotalTop="0" showAll="0">
      <items count="88">
        <item x="0"/>
        <item x="1"/>
        <item x="2"/>
        <item x="3"/>
        <item x="4"/>
        <item x="5"/>
        <item x="6"/>
        <item x="7"/>
        <item x="8"/>
        <item x="9"/>
        <item x="10"/>
        <item x="11"/>
        <item x="12"/>
        <item m="1" x="86"/>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20"/>
        <item m="1" x="85"/>
        <item t="default"/>
      </items>
    </pivotField>
    <pivotField axis="axisRow" subtotalTop="0" showAll="0">
      <items count="9">
        <item x="3"/>
        <item x="5"/>
        <item x="2"/>
        <item x="0"/>
        <item x="4"/>
        <item x="1"/>
        <item x="6"/>
        <item m="1" x="7"/>
        <item t="default"/>
      </items>
    </pivotField>
    <pivotField subtotalTop="0" showAll="0"/>
    <pivotField subtotalTop="0"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defaultSubtotal="0">
      <items count="4">
        <item x="3"/>
        <item x="0"/>
        <item x="1"/>
        <item x="2"/>
      </items>
    </pivotField>
    <pivotField dataField="1" subtotalTop="0" showAll="0"/>
    <pivotField axis="axisCol" subtotalTop="0" showAll="0">
      <items count="4">
        <item x="1"/>
        <item x="0"/>
        <item x="2"/>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numFmtId="164" subtotalTop="0" showAll="0"/>
    <pivotField numFmtId="164"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2">
    <field x="1"/>
    <field x="0"/>
  </rowFields>
  <rowItems count="100">
    <i>
      <x/>
    </i>
    <i r="1">
      <x v="8"/>
    </i>
    <i r="1">
      <x v="23"/>
    </i>
    <i r="1">
      <x v="37"/>
    </i>
    <i r="1">
      <x v="62"/>
    </i>
    <i r="1">
      <x v="65"/>
    </i>
    <i r="1">
      <x v="67"/>
    </i>
    <i r="1">
      <x v="69"/>
    </i>
    <i r="1">
      <x v="76"/>
    </i>
    <i r="1">
      <x v="85"/>
    </i>
    <i t="default">
      <x/>
    </i>
    <i>
      <x v="1"/>
    </i>
    <i r="1">
      <x v="43"/>
    </i>
    <i r="1">
      <x v="44"/>
    </i>
    <i r="1">
      <x v="49"/>
    </i>
    <i r="1">
      <x v="66"/>
    </i>
    <i r="1">
      <x v="72"/>
    </i>
    <i r="1">
      <x v="83"/>
    </i>
    <i r="1">
      <x v="84"/>
    </i>
    <i t="default">
      <x v="1"/>
    </i>
    <i>
      <x v="2"/>
    </i>
    <i r="1">
      <x v="5"/>
    </i>
    <i r="1">
      <x v="7"/>
    </i>
    <i r="1">
      <x v="10"/>
    </i>
    <i r="1">
      <x v="11"/>
    </i>
    <i r="1">
      <x v="15"/>
    </i>
    <i r="1">
      <x v="28"/>
    </i>
    <i r="1">
      <x v="41"/>
    </i>
    <i r="1">
      <x v="45"/>
    </i>
    <i r="1">
      <x v="54"/>
    </i>
    <i r="1">
      <x v="64"/>
    </i>
    <i t="default">
      <x v="2"/>
    </i>
    <i>
      <x v="3"/>
    </i>
    <i r="1">
      <x/>
    </i>
    <i r="1">
      <x v="3"/>
    </i>
    <i r="1">
      <x v="9"/>
    </i>
    <i r="1">
      <x v="24"/>
    </i>
    <i r="1">
      <x v="33"/>
    </i>
    <i r="1">
      <x v="34"/>
    </i>
    <i r="1">
      <x v="39"/>
    </i>
    <i r="1">
      <x v="50"/>
    </i>
    <i r="1">
      <x v="51"/>
    </i>
    <i r="1">
      <x v="56"/>
    </i>
    <i r="1">
      <x v="58"/>
    </i>
    <i r="1">
      <x v="60"/>
    </i>
    <i r="1">
      <x v="68"/>
    </i>
    <i r="1">
      <x v="73"/>
    </i>
    <i r="1">
      <x v="74"/>
    </i>
    <i r="1">
      <x v="79"/>
    </i>
    <i r="1">
      <x v="80"/>
    </i>
    <i t="default">
      <x v="3"/>
    </i>
    <i>
      <x v="4"/>
    </i>
    <i r="1">
      <x v="12"/>
    </i>
    <i r="1">
      <x v="14"/>
    </i>
    <i r="1">
      <x v="17"/>
    </i>
    <i r="1">
      <x v="20"/>
    </i>
    <i r="1">
      <x v="21"/>
    </i>
    <i r="1">
      <x v="30"/>
    </i>
    <i r="1">
      <x v="31"/>
    </i>
    <i r="1">
      <x v="32"/>
    </i>
    <i r="1">
      <x v="46"/>
    </i>
    <i r="1">
      <x v="53"/>
    </i>
    <i r="1">
      <x v="57"/>
    </i>
    <i r="1">
      <x v="59"/>
    </i>
    <i t="default">
      <x v="4"/>
    </i>
    <i>
      <x v="5"/>
    </i>
    <i r="1">
      <x v="1"/>
    </i>
    <i r="1">
      <x v="2"/>
    </i>
    <i r="1">
      <x v="4"/>
    </i>
    <i r="1">
      <x v="6"/>
    </i>
    <i r="1">
      <x v="16"/>
    </i>
    <i r="1">
      <x v="18"/>
    </i>
    <i r="1">
      <x v="19"/>
    </i>
    <i r="1">
      <x v="22"/>
    </i>
    <i r="1">
      <x v="25"/>
    </i>
    <i r="1">
      <x v="26"/>
    </i>
    <i r="1">
      <x v="27"/>
    </i>
    <i r="1">
      <x v="29"/>
    </i>
    <i r="1">
      <x v="35"/>
    </i>
    <i r="1">
      <x v="36"/>
    </i>
    <i r="1">
      <x v="38"/>
    </i>
    <i r="1">
      <x v="40"/>
    </i>
    <i r="1">
      <x v="42"/>
    </i>
    <i r="1">
      <x v="47"/>
    </i>
    <i r="1">
      <x v="48"/>
    </i>
    <i r="1">
      <x v="52"/>
    </i>
    <i r="1">
      <x v="55"/>
    </i>
    <i r="1">
      <x v="61"/>
    </i>
    <i r="1">
      <x v="63"/>
    </i>
    <i r="1">
      <x v="70"/>
    </i>
    <i r="1">
      <x v="71"/>
    </i>
    <i r="1">
      <x v="75"/>
    </i>
    <i r="1">
      <x v="77"/>
    </i>
    <i r="1">
      <x v="81"/>
    </i>
    <i r="1">
      <x v="82"/>
    </i>
    <i t="default">
      <x v="5"/>
    </i>
    <i>
      <x v="6"/>
    </i>
    <i r="1">
      <x v="78"/>
    </i>
    <i t="default">
      <x v="6"/>
    </i>
    <i t="grand">
      <x/>
    </i>
  </rowItems>
  <colFields count="2">
    <field x="238"/>
    <field x="240"/>
  </colFields>
  <colItems count="12">
    <i>
      <x/>
      <x/>
    </i>
    <i r="1">
      <x v="1"/>
    </i>
    <i r="1">
      <x v="2"/>
    </i>
    <i>
      <x v="1"/>
      <x/>
    </i>
    <i r="1">
      <x v="1"/>
    </i>
    <i r="1">
      <x v="2"/>
    </i>
    <i>
      <x v="2"/>
      <x/>
    </i>
    <i r="1">
      <x v="1"/>
    </i>
    <i r="1">
      <x v="2"/>
    </i>
    <i>
      <x v="3"/>
      <x/>
    </i>
    <i r="1">
      <x v="1"/>
    </i>
    <i r="1">
      <x v="2"/>
    </i>
  </colItems>
  <dataFields count="1">
    <dataField name="Count of Gender Marker – Analysis" fld="23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6" minRefreshableVersion="3" useAutoFormatting="1" colGrandTotals="0" itemPrintTitles="1" createdVersion="6" indent="0" outline="1" outlineData="1" multipleFieldFilters="0" rowHeaderCaption="" colHeaderCaption="">
  <location ref="A3:G104" firstHeaderRow="1" firstDataRow="2" firstDataCol="1"/>
  <pivotFields count="308">
    <pivotField axis="axisRow" subtotalTop="0" showAll="0">
      <items count="88">
        <item x="0"/>
        <item x="1"/>
        <item x="2"/>
        <item x="3"/>
        <item x="4"/>
        <item x="5"/>
        <item x="6"/>
        <item x="7"/>
        <item x="8"/>
        <item x="9"/>
        <item x="10"/>
        <item x="11"/>
        <item x="12"/>
        <item m="1" x="86"/>
        <item x="13"/>
        <item x="14"/>
        <item x="15"/>
        <item x="16"/>
        <item x="17"/>
        <item x="18"/>
        <item x="19"/>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20"/>
        <item m="1" x="85"/>
        <item t="default"/>
      </items>
    </pivotField>
    <pivotField axis="axisRow" subtotalTop="0" showAll="0">
      <items count="9">
        <item x="3"/>
        <item x="5"/>
        <item x="2"/>
        <item x="0"/>
        <item x="4"/>
        <item x="1"/>
        <item x="6"/>
        <item m="1" x="7"/>
        <item t="default"/>
      </items>
    </pivotField>
    <pivotField subtotalTop="0" showAll="0"/>
    <pivotField subtotalTop="0" showAll="0"/>
    <pivotField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dataField="1" subtotalTop="0" showAll="0">
      <items count="9">
        <item x="5"/>
        <item x="1"/>
        <item x="0"/>
        <item x="4"/>
        <item x="2"/>
        <item m="1" x="7"/>
        <item m="1" x="6"/>
        <item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3" subtotalTop="0" showAll="0"/>
    <pivotField numFmtId="3" subtotalTop="0" showAll="0"/>
    <pivotField subtotalTop="0" showAll="0"/>
    <pivotField subtotalTop="0" showAll="0"/>
    <pivotField subtotalTop="0" showAll="0"/>
    <pivotField numFmtId="164" subtotalTop="0" showAll="0"/>
    <pivotField numFmtId="164"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3" subtotalTop="0" showAll="0"/>
    <pivotField numFmtId="3" subtotalTop="0" showAll="0"/>
    <pivotField subtotalTop="0" showAll="0"/>
    <pivotField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2">
    <field x="1"/>
    <field x="0"/>
  </rowFields>
  <rowItems count="100">
    <i>
      <x/>
    </i>
    <i r="1">
      <x v="8"/>
    </i>
    <i r="1">
      <x v="23"/>
    </i>
    <i r="1">
      <x v="37"/>
    </i>
    <i r="1">
      <x v="62"/>
    </i>
    <i r="1">
      <x v="65"/>
    </i>
    <i r="1">
      <x v="67"/>
    </i>
    <i r="1">
      <x v="69"/>
    </i>
    <i r="1">
      <x v="76"/>
    </i>
    <i r="1">
      <x v="85"/>
    </i>
    <i t="default">
      <x/>
    </i>
    <i>
      <x v="1"/>
    </i>
    <i r="1">
      <x v="43"/>
    </i>
    <i r="1">
      <x v="44"/>
    </i>
    <i r="1">
      <x v="49"/>
    </i>
    <i r="1">
      <x v="66"/>
    </i>
    <i r="1">
      <x v="72"/>
    </i>
    <i r="1">
      <x v="83"/>
    </i>
    <i r="1">
      <x v="84"/>
    </i>
    <i t="default">
      <x v="1"/>
    </i>
    <i>
      <x v="2"/>
    </i>
    <i r="1">
      <x v="5"/>
    </i>
    <i r="1">
      <x v="7"/>
    </i>
    <i r="1">
      <x v="10"/>
    </i>
    <i r="1">
      <x v="11"/>
    </i>
    <i r="1">
      <x v="15"/>
    </i>
    <i r="1">
      <x v="28"/>
    </i>
    <i r="1">
      <x v="41"/>
    </i>
    <i r="1">
      <x v="45"/>
    </i>
    <i r="1">
      <x v="54"/>
    </i>
    <i r="1">
      <x v="64"/>
    </i>
    <i t="default">
      <x v="2"/>
    </i>
    <i>
      <x v="3"/>
    </i>
    <i r="1">
      <x/>
    </i>
    <i r="1">
      <x v="3"/>
    </i>
    <i r="1">
      <x v="9"/>
    </i>
    <i r="1">
      <x v="24"/>
    </i>
    <i r="1">
      <x v="33"/>
    </i>
    <i r="1">
      <x v="34"/>
    </i>
    <i r="1">
      <x v="39"/>
    </i>
    <i r="1">
      <x v="50"/>
    </i>
    <i r="1">
      <x v="51"/>
    </i>
    <i r="1">
      <x v="56"/>
    </i>
    <i r="1">
      <x v="58"/>
    </i>
    <i r="1">
      <x v="60"/>
    </i>
    <i r="1">
      <x v="68"/>
    </i>
    <i r="1">
      <x v="73"/>
    </i>
    <i r="1">
      <x v="74"/>
    </i>
    <i r="1">
      <x v="79"/>
    </i>
    <i r="1">
      <x v="80"/>
    </i>
    <i t="default">
      <x v="3"/>
    </i>
    <i>
      <x v="4"/>
    </i>
    <i r="1">
      <x v="12"/>
    </i>
    <i r="1">
      <x v="14"/>
    </i>
    <i r="1">
      <x v="17"/>
    </i>
    <i r="1">
      <x v="20"/>
    </i>
    <i r="1">
      <x v="21"/>
    </i>
    <i r="1">
      <x v="30"/>
    </i>
    <i r="1">
      <x v="31"/>
    </i>
    <i r="1">
      <x v="32"/>
    </i>
    <i r="1">
      <x v="46"/>
    </i>
    <i r="1">
      <x v="53"/>
    </i>
    <i r="1">
      <x v="57"/>
    </i>
    <i r="1">
      <x v="59"/>
    </i>
    <i t="default">
      <x v="4"/>
    </i>
    <i>
      <x v="5"/>
    </i>
    <i r="1">
      <x v="1"/>
    </i>
    <i r="1">
      <x v="2"/>
    </i>
    <i r="1">
      <x v="4"/>
    </i>
    <i r="1">
      <x v="6"/>
    </i>
    <i r="1">
      <x v="16"/>
    </i>
    <i r="1">
      <x v="18"/>
    </i>
    <i r="1">
      <x v="19"/>
    </i>
    <i r="1">
      <x v="22"/>
    </i>
    <i r="1">
      <x v="25"/>
    </i>
    <i r="1">
      <x v="26"/>
    </i>
    <i r="1">
      <x v="27"/>
    </i>
    <i r="1">
      <x v="29"/>
    </i>
    <i r="1">
      <x v="35"/>
    </i>
    <i r="1">
      <x v="36"/>
    </i>
    <i r="1">
      <x v="38"/>
    </i>
    <i r="1">
      <x v="40"/>
    </i>
    <i r="1">
      <x v="42"/>
    </i>
    <i r="1">
      <x v="47"/>
    </i>
    <i r="1">
      <x v="48"/>
    </i>
    <i r="1">
      <x v="52"/>
    </i>
    <i r="1">
      <x v="55"/>
    </i>
    <i r="1">
      <x v="61"/>
    </i>
    <i r="1">
      <x v="63"/>
    </i>
    <i r="1">
      <x v="70"/>
    </i>
    <i r="1">
      <x v="71"/>
    </i>
    <i r="1">
      <x v="75"/>
    </i>
    <i r="1">
      <x v="77"/>
    </i>
    <i r="1">
      <x v="81"/>
    </i>
    <i r="1">
      <x v="82"/>
    </i>
    <i t="default">
      <x v="5"/>
    </i>
    <i>
      <x v="6"/>
    </i>
    <i r="1">
      <x v="78"/>
    </i>
    <i t="default">
      <x v="6"/>
    </i>
    <i t="grand">
      <x/>
    </i>
  </rowItems>
  <colFields count="1">
    <field x="243"/>
  </colFields>
  <colItems count="6">
    <i>
      <x/>
    </i>
    <i>
      <x v="1"/>
    </i>
    <i>
      <x v="2"/>
    </i>
    <i>
      <x v="3"/>
    </i>
    <i>
      <x v="4"/>
    </i>
    <i>
      <x v="7"/>
    </i>
  </colItems>
  <dataFields count="1">
    <dataField name="Count of Gender marker score" fld="243" subtotal="count" baseField="0" baseItem="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5" Type="http://schemas.openxmlformats.org/officeDocument/2006/relationships/pivotTable" Target="../pivotTables/pivotTable10.xml"/><Relationship Id="rId4" Type="http://schemas.openxmlformats.org/officeDocument/2006/relationships/pivotTable" Target="../pivotTables/pivotTable9.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13.xml"/><Relationship Id="rId2" Type="http://schemas.openxmlformats.org/officeDocument/2006/relationships/pivotTable" Target="../pivotTables/pivotTable12.xml"/><Relationship Id="rId1" Type="http://schemas.openxmlformats.org/officeDocument/2006/relationships/pivotTable" Target="../pivotTables/pivotTable11.xml"/><Relationship Id="rId5" Type="http://schemas.openxmlformats.org/officeDocument/2006/relationships/pivotTable" Target="../pivotTables/pivotTable15.xml"/><Relationship Id="rId4" Type="http://schemas.openxmlformats.org/officeDocument/2006/relationships/pivotTable" Target="../pivotTables/pivotTable14.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6.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7.xml"/></Relationships>
</file>

<file path=xl/worksheets/_rels/sheet14.xml.rels><?xml version="1.0" encoding="UTF-8" standalone="yes"?>
<Relationships xmlns="http://schemas.openxmlformats.org/package/2006/relationships"><Relationship Id="rId3" Type="http://schemas.openxmlformats.org/officeDocument/2006/relationships/pivotTable" Target="../pivotTables/pivotTable20.xml"/><Relationship Id="rId2" Type="http://schemas.openxmlformats.org/officeDocument/2006/relationships/pivotTable" Target="../pivotTables/pivotTable19.xml"/><Relationship Id="rId1" Type="http://schemas.openxmlformats.org/officeDocument/2006/relationships/pivotTable" Target="../pivotTables/pivotTable18.xml"/><Relationship Id="rId4" Type="http://schemas.openxmlformats.org/officeDocument/2006/relationships/pivotTable" Target="../pivotTables/pivotTable21.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2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mailto:juvenal.afurika@care.org" TargetMode="External"/><Relationship Id="rId13" Type="http://schemas.openxmlformats.org/officeDocument/2006/relationships/vmlDrawing" Target="../drawings/vmlDrawing1.vml"/><Relationship Id="rId3" Type="http://schemas.openxmlformats.org/officeDocument/2006/relationships/hyperlink" Target="mailto:Huguette.Sekpe@care.org" TargetMode="External"/><Relationship Id="rId7" Type="http://schemas.openxmlformats.org/officeDocument/2006/relationships/hyperlink" Target="mailto:jnamien@care.org" TargetMode="External"/><Relationship Id="rId12" Type="http://schemas.openxmlformats.org/officeDocument/2006/relationships/printerSettings" Target="../printerSettings/printerSettings4.bin"/><Relationship Id="rId2" Type="http://schemas.openxmlformats.org/officeDocument/2006/relationships/hyperlink" Target="mailto:afsana.chowdhury@care.org" TargetMode="External"/><Relationship Id="rId1" Type="http://schemas.openxmlformats.org/officeDocument/2006/relationships/hyperlink" Target="mailto:sakina.sultana@care.org" TargetMode="External"/><Relationship Id="rId6" Type="http://schemas.openxmlformats.org/officeDocument/2006/relationships/hyperlink" Target="mailto:pasinee@raksthai.org" TargetMode="External"/><Relationship Id="rId11" Type="http://schemas.openxmlformats.org/officeDocument/2006/relationships/hyperlink" Target="mailto:maude.morin@care.org" TargetMode="External"/><Relationship Id="rId5" Type="http://schemas.openxmlformats.org/officeDocument/2006/relationships/hyperlink" Target="mailto:shree222shree@gmail.com" TargetMode="External"/><Relationship Id="rId10" Type="http://schemas.openxmlformats.org/officeDocument/2006/relationships/hyperlink" Target="mailto:laura.sewell@care.org" TargetMode="External"/><Relationship Id="rId4" Type="http://schemas.openxmlformats.org/officeDocument/2006/relationships/hyperlink" Target="mailto:iretie.lokonon@care.ca" TargetMode="External"/><Relationship Id="rId9" Type="http://schemas.openxmlformats.org/officeDocument/2006/relationships/hyperlink" Target="mailto:laura.sewell@care.org" TargetMode="External"/><Relationship Id="rId1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33"/>
  <sheetViews>
    <sheetView zoomScale="70" zoomScaleNormal="70" workbookViewId="0">
      <selection activeCell="D1" sqref="D1:F1"/>
    </sheetView>
  </sheetViews>
  <sheetFormatPr defaultColWidth="9.140625" defaultRowHeight="12.75" x14ac:dyDescent="0.25"/>
  <cols>
    <col min="1" max="1" width="25.85546875" style="67" customWidth="1"/>
    <col min="2" max="2" width="18.42578125" style="67" customWidth="1"/>
    <col min="3" max="3" width="12.42578125" style="67" customWidth="1"/>
    <col min="4" max="4" width="24.5703125" style="67" customWidth="1"/>
    <col min="5" max="5" width="14.5703125" style="67" customWidth="1"/>
    <col min="6" max="6" width="22.5703125" style="67" customWidth="1"/>
    <col min="7" max="7" width="3.85546875" style="67" customWidth="1"/>
    <col min="8" max="8" width="21.28515625" style="67" customWidth="1"/>
    <col min="9" max="9" width="12.42578125" style="67" customWidth="1"/>
    <col min="10" max="10" width="14.85546875" style="67" customWidth="1"/>
    <col min="11" max="11" width="15.5703125" style="67" customWidth="1"/>
    <col min="12" max="12" width="12.42578125" style="67" customWidth="1"/>
    <col min="13" max="13" width="3.85546875" style="67" customWidth="1"/>
    <col min="14" max="14" width="9.140625" style="67"/>
    <col min="15" max="16" width="6" style="67" customWidth="1"/>
    <col min="17" max="19" width="11.28515625" style="67" customWidth="1"/>
    <col min="20" max="24" width="6" style="67" customWidth="1"/>
    <col min="25" max="28" width="9.140625" style="64"/>
    <col min="29" max="29" width="29.5703125" style="64" customWidth="1"/>
    <col min="30" max="16384" width="9.140625" style="67"/>
  </cols>
  <sheetData>
    <row r="1" spans="1:32" s="63" customFormat="1" x14ac:dyDescent="0.25">
      <c r="A1" s="320" t="s">
        <v>14502</v>
      </c>
      <c r="B1" s="321"/>
      <c r="C1" s="322"/>
      <c r="D1" s="392" t="s">
        <v>14803</v>
      </c>
      <c r="E1" s="392"/>
      <c r="F1" s="392"/>
      <c r="G1" s="207" t="str">
        <f>VLOOKUP(D1,'PIIRS FY17 Reach'!KW:KY,2,FALSE)</f>
        <v>SHOUHARDO III</v>
      </c>
      <c r="H1" s="125" t="s">
        <v>0</v>
      </c>
      <c r="I1" s="126" t="str">
        <f>VLOOKUP(D1,'PIIRS FY17 Reach'!KW:KY,3,FALSE)</f>
        <v>Bangladesh</v>
      </c>
      <c r="J1" s="126"/>
      <c r="K1" s="123" t="s">
        <v>1</v>
      </c>
      <c r="L1" s="124" t="str">
        <f>VLOOKUP(I1,'PIIRS FY17 Reach'!A:B,2,FALSE)</f>
        <v>Asia and the Pacific</v>
      </c>
      <c r="M1" s="126"/>
      <c r="N1" s="126"/>
      <c r="O1" s="126"/>
      <c r="P1" s="126"/>
      <c r="Q1" s="126"/>
      <c r="R1" s="126"/>
      <c r="S1" s="126"/>
      <c r="T1" s="126"/>
      <c r="U1" s="126"/>
      <c r="V1" s="126"/>
      <c r="W1" s="126"/>
      <c r="X1" s="126"/>
      <c r="Y1" s="64"/>
      <c r="Z1" s="64"/>
      <c r="AA1" s="64"/>
      <c r="AB1" s="64"/>
      <c r="AC1" s="64" t="s">
        <v>0</v>
      </c>
    </row>
    <row r="2" spans="1:32" ht="13.5" thickBot="1" x14ac:dyDescent="0.3">
      <c r="A2" s="124"/>
      <c r="B2" s="124"/>
      <c r="C2" s="124"/>
      <c r="D2" s="124"/>
      <c r="E2" s="124"/>
      <c r="F2" s="124"/>
      <c r="G2" s="124"/>
      <c r="H2" s="124"/>
      <c r="I2" s="124"/>
      <c r="J2" s="124"/>
      <c r="K2" s="124"/>
      <c r="L2" s="124"/>
      <c r="M2" s="124"/>
      <c r="N2" s="124"/>
      <c r="O2" s="124"/>
      <c r="P2" s="124"/>
      <c r="Q2" s="124"/>
      <c r="R2" s="124"/>
      <c r="S2" s="124"/>
      <c r="T2" s="124"/>
      <c r="U2" s="124"/>
      <c r="V2" s="124"/>
      <c r="W2" s="124"/>
      <c r="X2" s="124"/>
      <c r="Y2" s="66"/>
      <c r="Z2" s="66"/>
      <c r="AA2" s="66"/>
      <c r="AB2" s="66"/>
      <c r="AC2" s="66" t="s">
        <v>14324</v>
      </c>
      <c r="AD2" s="65"/>
      <c r="AE2" s="65"/>
      <c r="AF2" s="65"/>
    </row>
    <row r="3" spans="1:32" s="118" customFormat="1" ht="23.25" x14ac:dyDescent="0.25">
      <c r="A3" s="374" t="str">
        <f>UPPER("CARE "&amp;D1&amp;" REPORT")</f>
        <v>CARE BANGLADESH - SHOUHARDO III REPORT</v>
      </c>
      <c r="B3" s="375"/>
      <c r="C3" s="375"/>
      <c r="D3" s="375"/>
      <c r="E3" s="375"/>
      <c r="F3" s="375"/>
      <c r="G3" s="375"/>
      <c r="H3" s="375"/>
      <c r="I3" s="375"/>
      <c r="J3" s="375"/>
      <c r="K3" s="375"/>
      <c r="L3" s="375"/>
      <c r="M3" s="375"/>
      <c r="N3" s="375"/>
      <c r="O3" s="375"/>
      <c r="P3" s="375"/>
      <c r="Q3" s="375"/>
      <c r="R3" s="375"/>
      <c r="S3" s="375"/>
      <c r="T3" s="375"/>
      <c r="U3" s="375"/>
      <c r="V3" s="375"/>
      <c r="W3" s="375"/>
      <c r="X3" s="376"/>
      <c r="Y3" s="116"/>
      <c r="Z3" s="116"/>
      <c r="AA3" s="116"/>
      <c r="AB3" s="116"/>
      <c r="AC3" s="116" t="s">
        <v>305</v>
      </c>
      <c r="AD3" s="117"/>
      <c r="AE3" s="117"/>
      <c r="AF3" s="117"/>
    </row>
    <row r="4" spans="1:32" s="118" customFormat="1" ht="24" thickBot="1" x14ac:dyDescent="0.3">
      <c r="A4" s="377" t="str">
        <f>UPPER("Program Information &amp; Impact Reporting System (PIIRS) - FY 2017")</f>
        <v>PROGRAM INFORMATION &amp; IMPACT REPORTING SYSTEM (PIIRS) - FY 2017</v>
      </c>
      <c r="B4" s="378"/>
      <c r="C4" s="378"/>
      <c r="D4" s="378"/>
      <c r="E4" s="378"/>
      <c r="F4" s="378"/>
      <c r="G4" s="378"/>
      <c r="H4" s="378"/>
      <c r="I4" s="378"/>
      <c r="J4" s="378"/>
      <c r="K4" s="378"/>
      <c r="L4" s="378"/>
      <c r="M4" s="378"/>
      <c r="N4" s="378"/>
      <c r="O4" s="378"/>
      <c r="P4" s="378"/>
      <c r="Q4" s="378"/>
      <c r="R4" s="378"/>
      <c r="S4" s="378"/>
      <c r="T4" s="378"/>
      <c r="U4" s="378"/>
      <c r="V4" s="378"/>
      <c r="W4" s="378"/>
      <c r="X4" s="379"/>
      <c r="Y4" s="116"/>
      <c r="Z4" s="116"/>
      <c r="AA4" s="116"/>
      <c r="AB4" s="116"/>
      <c r="AC4" s="116" t="s">
        <v>601</v>
      </c>
      <c r="AD4" s="117"/>
      <c r="AE4" s="117"/>
      <c r="AF4" s="117"/>
    </row>
    <row r="5" spans="1:32" x14ac:dyDescent="0.25">
      <c r="A5" s="127"/>
      <c r="B5" s="124"/>
      <c r="C5" s="124"/>
      <c r="D5" s="124"/>
      <c r="E5" s="124"/>
      <c r="F5" s="124"/>
      <c r="G5" s="124"/>
      <c r="H5" s="124"/>
      <c r="I5" s="124"/>
      <c r="J5" s="124"/>
      <c r="K5" s="124"/>
      <c r="L5" s="124"/>
      <c r="M5" s="124"/>
      <c r="N5" s="124"/>
      <c r="O5" s="124"/>
      <c r="P5" s="124"/>
      <c r="Q5" s="124"/>
      <c r="R5" s="124"/>
      <c r="S5" s="124"/>
      <c r="T5" s="124"/>
      <c r="U5" s="124"/>
      <c r="V5" s="124"/>
      <c r="W5" s="124"/>
      <c r="X5" s="128"/>
      <c r="Y5" s="66"/>
      <c r="Z5" s="66"/>
      <c r="AA5" s="66"/>
      <c r="AB5" s="66"/>
      <c r="AC5" s="66" t="s">
        <v>14325</v>
      </c>
      <c r="AD5" s="65"/>
      <c r="AE5" s="65"/>
      <c r="AF5" s="65"/>
    </row>
    <row r="6" spans="1:32" ht="13.5" thickBot="1" x14ac:dyDescent="0.3">
      <c r="A6" s="127"/>
      <c r="B6" s="124"/>
      <c r="C6" s="124"/>
      <c r="D6" s="124"/>
      <c r="E6" s="124"/>
      <c r="F6" s="124"/>
      <c r="G6" s="130"/>
      <c r="H6" s="124"/>
      <c r="I6" s="124"/>
      <c r="J6" s="124"/>
      <c r="K6" s="124"/>
      <c r="L6" s="124"/>
      <c r="M6" s="130"/>
      <c r="N6" s="130"/>
      <c r="O6" s="130"/>
      <c r="P6" s="130"/>
      <c r="Q6" s="130"/>
      <c r="R6" s="130"/>
      <c r="S6" s="130"/>
      <c r="T6" s="130"/>
      <c r="U6" s="130"/>
      <c r="V6" s="130"/>
      <c r="W6" s="130"/>
      <c r="X6" s="131"/>
      <c r="Y6" s="66"/>
      <c r="Z6" s="66"/>
      <c r="AA6" s="66"/>
      <c r="AB6" s="66"/>
      <c r="AC6" s="66" t="s">
        <v>14326</v>
      </c>
      <c r="AD6" s="65"/>
      <c r="AE6" s="65"/>
      <c r="AF6" s="65"/>
    </row>
    <row r="7" spans="1:32" s="107" customFormat="1" ht="21" customHeight="1" x14ac:dyDescent="0.25">
      <c r="A7" s="380" t="str">
        <f>UPPER("Contribution to Reach in "&amp;I1)</f>
        <v>CONTRIBUTION TO REACH IN BANGLADESH</v>
      </c>
      <c r="B7" s="381"/>
      <c r="C7" s="381"/>
      <c r="D7" s="381"/>
      <c r="E7" s="381"/>
      <c r="F7" s="382"/>
      <c r="G7" s="132"/>
      <c r="H7" s="380" t="str">
        <f>UPPER("% WOMEN REACHED BY PROJECT")</f>
        <v>% WOMEN REACHED BY PROJECT</v>
      </c>
      <c r="I7" s="381"/>
      <c r="J7" s="381"/>
      <c r="K7" s="381"/>
      <c r="L7" s="382"/>
      <c r="M7" s="132"/>
      <c r="N7" s="132"/>
      <c r="O7" s="132"/>
      <c r="P7" s="132"/>
      <c r="Q7" s="132"/>
      <c r="R7" s="132"/>
      <c r="S7" s="132"/>
      <c r="T7" s="132"/>
      <c r="U7" s="132"/>
      <c r="V7" s="132"/>
      <c r="W7" s="132"/>
      <c r="X7" s="132"/>
      <c r="Y7" s="106"/>
      <c r="Z7" s="106"/>
      <c r="AA7" s="106"/>
      <c r="AB7" s="106"/>
      <c r="AC7" s="106" t="s">
        <v>14327</v>
      </c>
      <c r="AD7" s="105"/>
      <c r="AE7" s="105"/>
      <c r="AF7" s="105"/>
    </row>
    <row r="8" spans="1:32" ht="18" x14ac:dyDescent="0.25">
      <c r="A8" s="208"/>
      <c r="B8" s="209"/>
      <c r="C8" s="209"/>
      <c r="D8" s="209"/>
      <c r="E8" s="209"/>
      <c r="F8" s="210"/>
      <c r="G8" s="151"/>
      <c r="H8" s="211"/>
      <c r="I8" s="151"/>
      <c r="J8" s="151"/>
      <c r="K8" s="151"/>
      <c r="L8" s="212"/>
      <c r="M8" s="124"/>
      <c r="N8" s="124"/>
      <c r="O8" s="124"/>
      <c r="P8" s="124"/>
      <c r="Q8" s="124"/>
      <c r="R8" s="124"/>
      <c r="S8" s="124"/>
      <c r="T8" s="124"/>
      <c r="U8" s="124"/>
      <c r="V8" s="124"/>
      <c r="W8" s="124"/>
      <c r="X8" s="124"/>
      <c r="Y8" s="66"/>
      <c r="Z8" s="66"/>
      <c r="AA8" s="66"/>
      <c r="AB8" s="66"/>
      <c r="AC8" s="68" t="s">
        <v>14328</v>
      </c>
      <c r="AD8" s="65"/>
      <c r="AE8" s="65"/>
      <c r="AF8" s="65"/>
    </row>
    <row r="9" spans="1:32" s="70" customFormat="1" ht="25.5" customHeight="1" x14ac:dyDescent="0.25">
      <c r="A9" s="383" t="s">
        <v>14329</v>
      </c>
      <c r="B9" s="384"/>
      <c r="C9" s="384" t="s">
        <v>14330</v>
      </c>
      <c r="D9" s="384"/>
      <c r="E9" s="384" t="s">
        <v>14331</v>
      </c>
      <c r="F9" s="391"/>
      <c r="G9" s="140"/>
      <c r="H9" s="139">
        <f>_xlfn.IFNA(VLOOKUP($G$1,'PIIRS FY17 Reach'!$D$2:$KV$951,276,FALSE),"")</f>
        <v>0.74060450320695481</v>
      </c>
      <c r="I9" s="140"/>
      <c r="J9" s="141">
        <f>IFERROR(VLOOKUP($I$1,Reach!$A$3:$U$105,5,FALSE)/VLOOKUP($I$1,Reach!$A$3:$U$105,2,FALSE),"")</f>
        <v>0.82673740755982061</v>
      </c>
      <c r="K9" s="142"/>
      <c r="L9" s="143">
        <f>IFERROR(VLOOKUP($L$1&amp;" Total",Reach!$A$3:$U$105,5,FALSE)/VLOOKUP($L$1&amp;" Total",Reach!$A$3:$U$105,2,FALSE),"")</f>
        <v>0.83580958421546059</v>
      </c>
      <c r="M9" s="129"/>
      <c r="N9" s="144"/>
      <c r="O9" s="145" t="s">
        <v>14332</v>
      </c>
      <c r="P9" s="144" t="s">
        <v>14333</v>
      </c>
      <c r="Q9" s="145" t="s">
        <v>14334</v>
      </c>
      <c r="R9" s="145" t="s">
        <v>14349</v>
      </c>
      <c r="S9" s="145" t="s">
        <v>14335</v>
      </c>
      <c r="T9" s="145" t="s">
        <v>14336</v>
      </c>
      <c r="U9" s="145" t="s">
        <v>14337</v>
      </c>
      <c r="V9" s="145" t="s">
        <v>14338</v>
      </c>
      <c r="W9" s="145" t="s">
        <v>14339</v>
      </c>
      <c r="X9" s="145" t="s">
        <v>14340</v>
      </c>
      <c r="Y9" s="68"/>
      <c r="Z9" s="68"/>
      <c r="AA9" s="68"/>
      <c r="AB9" s="68"/>
      <c r="AC9" s="68" t="s">
        <v>14341</v>
      </c>
      <c r="AD9" s="69"/>
      <c r="AE9" s="69"/>
      <c r="AF9" s="69"/>
    </row>
    <row r="10" spans="1:32" ht="21" customHeight="1" x14ac:dyDescent="0.25">
      <c r="A10" s="147">
        <f>_xlfn.IFNA(VLOOKUP($I$1,Reach!$A$3:$U$105,4,FALSE),"")</f>
        <v>49</v>
      </c>
      <c r="B10" s="148" t="str">
        <f>_xlfn.IFNA(VLOOKUP($G$1,'PIIRS FY17 Reach'!$D$2:$KV$951,4,FALSE),"")</f>
        <v>CARE USA</v>
      </c>
      <c r="C10" s="149">
        <f>_xlfn.IFNA(ROUND(VLOOKUP($I$1,Reach!$A$3:$U$105,2,FALSE)/1000,1),"")</f>
        <v>11350.7</v>
      </c>
      <c r="D10" s="149">
        <f>_xlfn.IFNA(VLOOKUP($G$1,'PIIRS FY17 Reach'!$D$2:$KV$951,273,FALSE)/1000,"")</f>
        <v>193.018</v>
      </c>
      <c r="E10" s="149">
        <f>_xlfn.IFNA(ROUND(VLOOKUP($I$1,Reach!$A$3:$U$105,3,FALSE)/1000,1),"")</f>
        <v>38231.4</v>
      </c>
      <c r="F10" s="150">
        <f>_xlfn.IFNA(VLOOKUP($G$1,'PIIRS FY17 Reach'!$D$2:$KV$951,274,FALSE)/1000,"")</f>
        <v>320.13600000000002</v>
      </c>
      <c r="G10" s="151"/>
      <c r="H10" s="386" t="s">
        <v>14330</v>
      </c>
      <c r="I10" s="387"/>
      <c r="J10" s="387"/>
      <c r="K10" s="387"/>
      <c r="L10" s="388"/>
      <c r="M10" s="124"/>
      <c r="N10" s="137" t="s">
        <v>14503</v>
      </c>
      <c r="O10" s="152">
        <f>A79</f>
        <v>2</v>
      </c>
      <c r="P10" s="153">
        <f>_xlfn.IFNA(IF(VLOOKUP($G$1,'PIIRS FY17 Reach'!$D$2:$KV$951,235,FALSE)="It was fully GBV-focused",1,IF(VLOOKUP($G$1,'PIIRS FY17 Reach'!$D$2:$KV$951,235,FALSE)="It mainstreamed GBV in other actions/thematic areas",0.5,"")),"")</f>
        <v>0.5</v>
      </c>
      <c r="Q10" s="152" t="b">
        <f>A86</f>
        <v>0</v>
      </c>
      <c r="R10" s="153">
        <f>_xlfn.IFNA(IF(VLOOKUP($G$1,'PIIRS FY17 Reach'!$D$2:$KV$951,221,FALSE)="Intensive advocacy",1,IF(VLOOKUP($G$1,'PIIRS FY17 Reach'!$D$2:$KV$951,221,FALSE)="Moderate advocacy",0.5,"")),"")</f>
        <v>0.5</v>
      </c>
      <c r="S10" s="153">
        <f>_xlfn.IFNA(IF(VLOOKUP($G$1,'PIIRS FY17 Reach'!$D$2:$KV$951,257,FALSE)="All activities were implemented with and/or through partners",1,IF(VLOOKUP($G$1,'PIIRS FY17 Reach'!$D$2:$KV$951,257,FALSE)="Most activities were implemented with and/or through partners",0.5,"")),"")</f>
        <v>1</v>
      </c>
      <c r="T10" s="153">
        <f>_xlfn.IFNA(IF(VLOOKUP($G$1,'PIIRS FY17 Reach'!$D$2:$KV$951,262,FALSE)="Civil society strengthening was one of the explicit objectives in the project/initiative, and it carried out actions in this FY",1,IF(VLOOKUP($G$1,'PIIRS FY17 Reach'!$D$2:$KV$951,262,FALSE)="Civil society strengthening was not one of the explicit objectives in the project/initiative, yet it carried out actions in this FY to strengthen civil society",0.5,"")),"")</f>
        <v>1</v>
      </c>
      <c r="U10" s="152">
        <f>A93</f>
        <v>4</v>
      </c>
      <c r="V10" s="153">
        <f>_xlfn.IFNA(IF(VLOOKUP($G$1,'PIIRS FY17 Reach'!$D$2:$KV$951,256,FALSE)="Fully addressed vulnerability caused by climate change",1,IF(VLOOKUP($G$1,'PIIRS FY17 Reach'!$D$2:$KV$951,256,FALSE)="Partially addressed vulnerability caused by climate change",0.5,"")),"")</f>
        <v>0.5</v>
      </c>
      <c r="W10" s="153">
        <f>_xlfn.IFNA(IF(VLOOKUP($G$1,'PIIRS FY17 Reach'!$D$2:$KV$951,231,FALSE)="It tested new ways for fighting poverty and measured results of innovation",1,IF(VLOOKUP($G$1,'PIIRS FY17 Reach'!$D$2:$KV$951,231,FALSE)="It tested new ways for fighting poverty, but did not measure results of innovation",0.5,"")),"")</f>
        <v>0.5</v>
      </c>
      <c r="X10" s="153">
        <f>_xlfn.IFNA(IF(VLOOKUP($G$1,'PIIRS FY17 Reach'!$D$2:$KV$951,233,FALSE)="It linked and worked with strategic alliances and partners to take tested and effective solutions to scale",1,IF(VLOOKUP($G$1,'PIIRS FY17 Reach'!$D$2:$KV$951,233,FALSE)="It took tested solutions to scale on its own",0.5,"")),"")</f>
        <v>0.5</v>
      </c>
      <c r="Y10" s="66"/>
      <c r="Z10" s="66"/>
      <c r="AA10" s="66"/>
      <c r="AB10" s="66"/>
      <c r="AC10" s="66" t="s">
        <v>14342</v>
      </c>
      <c r="AD10" s="65"/>
      <c r="AE10" s="65"/>
      <c r="AF10" s="65"/>
    </row>
    <row r="11" spans="1:32" ht="18" x14ac:dyDescent="0.25">
      <c r="A11" s="389" t="str">
        <f>I1</f>
        <v>Bangladesh</v>
      </c>
      <c r="B11" s="390" t="s">
        <v>14504</v>
      </c>
      <c r="C11" s="155" t="s">
        <v>14470</v>
      </c>
      <c r="D11" s="155" t="s">
        <v>14470</v>
      </c>
      <c r="E11" s="155" t="s">
        <v>14470</v>
      </c>
      <c r="F11" s="156" t="s">
        <v>14470</v>
      </c>
      <c r="G11" s="151"/>
      <c r="H11" s="157" t="s">
        <v>14503</v>
      </c>
      <c r="I11" s="151"/>
      <c r="J11" s="158" t="s">
        <v>0</v>
      </c>
      <c r="K11" s="151"/>
      <c r="L11" s="159" t="s">
        <v>1</v>
      </c>
      <c r="M11" s="124"/>
      <c r="N11" s="137" t="s">
        <v>0</v>
      </c>
      <c r="O11" s="152">
        <f>IFERROR(VLOOKUP($I$1,'Gender marker'!$A$5:$J$120,10,FALSE),"")</f>
        <v>2.4166666666666665</v>
      </c>
      <c r="P11" s="153">
        <f>_xlfn.IFNA(VLOOKUP($I$1,GBV!$A$2:$E$105,3,FALSE)+VLOOKUP($I$1,GBV!$A$2:$E$105,4,FALSE),"")</f>
        <v>0.58333333333333326</v>
      </c>
      <c r="Q11" s="152">
        <f>IFERROR(VLOOKUP($I$1,'Governance marker'!$A$5:$J$119,10,FALSE),"")</f>
        <v>1.9583333333333333</v>
      </c>
      <c r="R11" s="153">
        <f>_xlfn.IFNA(VLOOKUP($I$1,Advocacy!$A$2:$E$105,2,FALSE)+VLOOKUP($I$1,Advocacy!$A$2:$E$105,4,FALSE),"")</f>
        <v>0.5714285714285714</v>
      </c>
      <c r="S11" s="153">
        <f>_xlfn.IFNA(VLOOKUP($I$1,Partnership!$A$2:$E$105,2,FALSE)+VLOOKUP($I$1,Partnership!$A$2:$E$105,4,FALSE),"")</f>
        <v>0.4375</v>
      </c>
      <c r="T11" s="153">
        <f>_xlfn.IFNA(VLOOKUP($I$1,'Civ soc'!$A$2:$E$105,2,FALSE)+VLOOKUP($I$1,'Civ soc'!$A$2:$E$105,3,FALSE),"")</f>
        <v>0.5</v>
      </c>
      <c r="U11" s="152">
        <f>IFERROR(VLOOKUP($I$1,'Resilience marker'!$A$5:$J$120,10,FALSE),"")</f>
        <v>2.3548387096774195</v>
      </c>
      <c r="V11" s="153">
        <f>_xlfn.IFNA(VLOOKUP($I$1,Climate!$A$2:$E$105,3,FALSE)+VLOOKUP($I$1,Climate!$A$2:$E$105,4,FALSE),"")</f>
        <v>0.45833333333333331</v>
      </c>
      <c r="W11" s="153">
        <f>_xlfn.IFNA(VLOOKUP($I$1,Innovation!$A$2:$E$105,3,FALSE)+VLOOKUP($I$1,Innovation!$A$2:$E$105,4,FALSE),"")</f>
        <v>0.61224489795918369</v>
      </c>
      <c r="X11" s="153">
        <f>_xlfn.IFNA(VLOOKUP($I$1,Scaling!$A$2:$E$105,3,FALSE)+VLOOKUP($I$1,Scaling!$A$2:$E$105,4,FALSE),"")</f>
        <v>0.64583333333333337</v>
      </c>
      <c r="Y11" s="66"/>
      <c r="Z11" s="66"/>
      <c r="AA11" s="66"/>
      <c r="AB11" s="66"/>
      <c r="AC11" s="66" t="s">
        <v>14344</v>
      </c>
      <c r="AD11" s="65"/>
      <c r="AE11" s="65"/>
      <c r="AF11" s="65"/>
    </row>
    <row r="12" spans="1:32" ht="18" x14ac:dyDescent="0.25">
      <c r="A12" s="389"/>
      <c r="B12" s="390"/>
      <c r="C12" s="158" t="s">
        <v>0</v>
      </c>
      <c r="D12" s="158" t="s">
        <v>14503</v>
      </c>
      <c r="E12" s="158" t="s">
        <v>0</v>
      </c>
      <c r="F12" s="159" t="s">
        <v>14503</v>
      </c>
      <c r="G12" s="151"/>
      <c r="H12" s="386" t="s">
        <v>14331</v>
      </c>
      <c r="I12" s="387"/>
      <c r="J12" s="387"/>
      <c r="K12" s="387"/>
      <c r="L12" s="388"/>
      <c r="M12" s="124"/>
      <c r="N12" s="137" t="s">
        <v>1</v>
      </c>
      <c r="O12" s="152">
        <f>IFERROR(VLOOKUP($L$1&amp;" Total",'Gender marker'!$A$5:$J$120,10,FALSE),"")</f>
        <v>2.445736434108527</v>
      </c>
      <c r="P12" s="153">
        <f>_xlfn.IFNA(VLOOKUP($L$1&amp;" Total",GBV!$A$2:$E$105,3,FALSE)+VLOOKUP($L$1&amp;" Total",GBV!$A$2:$E$105,4,FALSE),"")</f>
        <v>0.49416342412451364</v>
      </c>
      <c r="Q12" s="152">
        <f>IFERROR(VLOOKUP($L$1&amp;" Total",'Governance marker'!$A$5:$J$119,10,FALSE),"")</f>
        <v>2.1782945736434107</v>
      </c>
      <c r="R12" s="153">
        <f>_xlfn.IFNA(VLOOKUP($L$1&amp;" Total",Advocacy!$A$2:$E$105,2,FALSE)+VLOOKUP($L$1&amp;" Total",Advocacy!$A$2:$E$105,4,FALSE),"")</f>
        <v>0.59695817490494296</v>
      </c>
      <c r="S12" s="153">
        <f>_xlfn.IFNA(VLOOKUP($L$1&amp;" Total",Partnership!$A$2:$E$105,2,FALSE)+VLOOKUP($L$1&amp;" Total",Partnership!$A$2:$E$105,4,FALSE),"")</f>
        <v>0.52851711026615966</v>
      </c>
      <c r="T12" s="153">
        <f>_xlfn.IFNA(VLOOKUP($L$1&amp;" Total",'Civ soc'!$A$2:$E$105,2,FALSE)+VLOOKUP($L$1&amp;" Total",'Civ soc'!$A$2:$E$105,3,FALSE),"")</f>
        <v>0.58778625954198471</v>
      </c>
      <c r="U12" s="152">
        <f>IFERROR(VLOOKUP($L$1&amp;" Total",'Resilience marker'!$A$5:$J$120,10,FALSE),"")</f>
        <v>1.8680851063829786</v>
      </c>
      <c r="V12" s="153">
        <f>_xlfn.IFNA(VLOOKUP($L$1&amp;" Total",Climate!$A$2:$E$105,3,FALSE)+VLOOKUP($L$1&amp;" Total",Climate!$A$2:$E$105,4,FALSE),"")</f>
        <v>0.41176470588235298</v>
      </c>
      <c r="W12" s="153">
        <f>_xlfn.IFNA(VLOOKUP($L$1&amp;" Total",Innovation!$A$2:$E$105,3,FALSE)+VLOOKUP($L$1&amp;" Total",Innovation!$A$2:$E$105,4,FALSE),"")</f>
        <v>0.5</v>
      </c>
      <c r="X12" s="153">
        <f>_xlfn.IFNA(VLOOKUP($L$1&amp;" Total",Scaling!$A$2:$E$105,3,FALSE)+VLOOKUP($L$1&amp;" Total",Scaling!$A$2:$E$105,4,FALSE),"")</f>
        <v>0.55078125</v>
      </c>
      <c r="Y12" s="66"/>
      <c r="Z12" s="66"/>
      <c r="AA12" s="66"/>
      <c r="AB12" s="66"/>
      <c r="AC12" s="66" t="s">
        <v>14345</v>
      </c>
      <c r="AD12" s="65"/>
      <c r="AE12" s="65"/>
      <c r="AF12" s="65"/>
    </row>
    <row r="13" spans="1:32" s="70" customFormat="1" ht="41.1" customHeight="1" x14ac:dyDescent="0.25">
      <c r="A13" s="160"/>
      <c r="B13" s="161" t="str">
        <f>IFERROR(ROUND(B10/A10*100,2)&amp;"% of all CARE","")</f>
        <v/>
      </c>
      <c r="C13" s="140"/>
      <c r="D13" s="162" t="str">
        <f>IFERROR(ROUND(D10*1000/(C10*1000)*100,2)&amp;"% of all CARE "&amp;I1,"")</f>
        <v>1.7% of all CARE Bangladesh</v>
      </c>
      <c r="E13" s="140"/>
      <c r="F13" s="163" t="str">
        <f>IFERROR(ROUND(F10*1000/(E10*1000)*100,2)&amp;"% of all CARE "&amp;I1,"")</f>
        <v>0.84% of all CARE Bangladesh</v>
      </c>
      <c r="G13" s="140"/>
      <c r="H13" s="139">
        <f>_xlfn.IFNA(VLOOKUP($G$1,'PIIRS FY17 Reach'!$D$2:$KV$951,277,FALSE),"")</f>
        <v>0.49800084963890345</v>
      </c>
      <c r="I13" s="140"/>
      <c r="J13" s="141">
        <f>IFERROR(VLOOKUP($I$1,Reach!$A$3:$U$105,6,FALSE)/VLOOKUP($I$1,Reach!$A$3:$U$105,3,FALSE),"")</f>
        <v>0.83070567329481926</v>
      </c>
      <c r="K13" s="142"/>
      <c r="L13" s="143">
        <f>IFERROR(VLOOKUP($L$1&amp;" Total",Reach!$A$3:$U$105,6,FALSE)/VLOOKUP($L$1&amp;" Total",Reach!$A$3:$U$105,3,FALSE),"")</f>
        <v>0.56280021502911837</v>
      </c>
      <c r="M13" s="129"/>
      <c r="N13" s="129"/>
      <c r="O13" s="144" t="s">
        <v>14346</v>
      </c>
      <c r="P13" s="144" t="s">
        <v>14347</v>
      </c>
      <c r="Q13" s="144" t="s">
        <v>14348</v>
      </c>
      <c r="R13" s="144" t="s">
        <v>14349</v>
      </c>
      <c r="S13" s="144" t="s">
        <v>14350</v>
      </c>
      <c r="T13" s="144" t="s">
        <v>14336</v>
      </c>
      <c r="U13" s="144" t="s">
        <v>14351</v>
      </c>
      <c r="V13" s="144" t="s">
        <v>14352</v>
      </c>
      <c r="W13" s="144" t="s">
        <v>14339</v>
      </c>
      <c r="X13" s="144" t="s">
        <v>14340</v>
      </c>
      <c r="Y13" s="68"/>
      <c r="Z13" s="68"/>
      <c r="AA13" s="68"/>
      <c r="AB13" s="68"/>
      <c r="AC13" s="68" t="s">
        <v>635</v>
      </c>
      <c r="AD13" s="69"/>
      <c r="AE13" s="69"/>
      <c r="AF13" s="69"/>
    </row>
    <row r="14" spans="1:32" ht="18.75" thickBot="1" x14ac:dyDescent="0.3">
      <c r="A14" s="189"/>
      <c r="B14" s="190"/>
      <c r="C14" s="190"/>
      <c r="D14" s="190"/>
      <c r="E14" s="190"/>
      <c r="F14" s="192"/>
      <c r="G14" s="151"/>
      <c r="H14" s="213"/>
      <c r="I14" s="190"/>
      <c r="J14" s="214"/>
      <c r="K14" s="215"/>
      <c r="L14" s="216"/>
      <c r="M14" s="124"/>
      <c r="N14" s="124"/>
      <c r="O14" s="144"/>
      <c r="P14" s="144"/>
      <c r="Q14" s="144"/>
      <c r="R14" s="144"/>
      <c r="S14" s="144"/>
      <c r="T14" s="144"/>
      <c r="U14" s="144"/>
      <c r="V14" s="144"/>
      <c r="W14" s="144"/>
      <c r="X14" s="144"/>
      <c r="Y14" s="66"/>
      <c r="Z14" s="66"/>
      <c r="AA14" s="66"/>
      <c r="AB14" s="66"/>
      <c r="AC14" s="68" t="s">
        <v>14353</v>
      </c>
      <c r="AD14" s="65"/>
      <c r="AE14" s="65"/>
      <c r="AF14" s="65"/>
    </row>
    <row r="15" spans="1:32" x14ac:dyDescent="0.25">
      <c r="A15" s="124"/>
      <c r="B15" s="124"/>
      <c r="C15" s="124"/>
      <c r="D15" s="124"/>
      <c r="E15" s="124"/>
      <c r="F15" s="124"/>
      <c r="G15" s="124"/>
      <c r="H15" s="170"/>
      <c r="I15" s="124"/>
      <c r="J15" s="170"/>
      <c r="K15" s="171"/>
      <c r="L15" s="172"/>
      <c r="M15" s="124"/>
      <c r="N15" s="124"/>
      <c r="O15" s="144"/>
      <c r="P15" s="144"/>
      <c r="Q15" s="144"/>
      <c r="R15" s="144"/>
      <c r="S15" s="144"/>
      <c r="T15" s="144"/>
      <c r="U15" s="144"/>
      <c r="V15" s="144"/>
      <c r="W15" s="144"/>
      <c r="X15" s="144"/>
      <c r="Y15" s="66"/>
      <c r="Z15" s="66"/>
      <c r="AA15" s="66"/>
      <c r="AB15" s="66"/>
      <c r="AC15" s="66" t="s">
        <v>14354</v>
      </c>
      <c r="AD15" s="65"/>
      <c r="AE15" s="65"/>
      <c r="AF15" s="65"/>
    </row>
    <row r="16" spans="1:32" ht="13.5" thickBot="1" x14ac:dyDescent="0.3">
      <c r="A16" s="124"/>
      <c r="B16" s="124"/>
      <c r="C16" s="124"/>
      <c r="D16" s="124"/>
      <c r="E16" s="124"/>
      <c r="F16" s="124"/>
      <c r="G16" s="124"/>
      <c r="H16" s="170"/>
      <c r="I16" s="124"/>
      <c r="J16" s="170"/>
      <c r="K16" s="171"/>
      <c r="L16" s="172"/>
      <c r="M16" s="124"/>
      <c r="N16" s="124"/>
      <c r="O16" s="144"/>
      <c r="P16" s="144"/>
      <c r="Q16" s="144"/>
      <c r="R16" s="144"/>
      <c r="S16" s="144"/>
      <c r="T16" s="144"/>
      <c r="U16" s="144"/>
      <c r="V16" s="144"/>
      <c r="W16" s="144"/>
      <c r="X16" s="144"/>
      <c r="Y16" s="66"/>
      <c r="Z16" s="66"/>
      <c r="AA16" s="66"/>
      <c r="AB16" s="66"/>
      <c r="AC16" s="68" t="s">
        <v>14355</v>
      </c>
      <c r="AD16" s="65"/>
      <c r="AE16" s="65"/>
      <c r="AF16" s="65"/>
    </row>
    <row r="17" spans="1:32" s="107" customFormat="1" ht="20.25" x14ac:dyDescent="0.25">
      <c r="A17" s="404" t="str">
        <f>UPPER("contributions to program strategy outcome areas")</f>
        <v>CONTRIBUTIONS TO PROGRAM STRATEGY OUTCOME AREAS</v>
      </c>
      <c r="B17" s="405"/>
      <c r="C17" s="405"/>
      <c r="D17" s="405"/>
      <c r="E17" s="405"/>
      <c r="F17" s="406"/>
      <c r="G17" s="132"/>
      <c r="H17" s="132"/>
      <c r="I17" s="132"/>
      <c r="J17" s="132"/>
      <c r="K17" s="132"/>
      <c r="L17" s="132"/>
      <c r="M17" s="132"/>
      <c r="N17" s="132"/>
      <c r="O17" s="132"/>
      <c r="P17" s="132"/>
      <c r="Q17" s="132"/>
      <c r="R17" s="132"/>
      <c r="S17" s="132"/>
      <c r="T17" s="132"/>
      <c r="U17" s="132"/>
      <c r="V17" s="132"/>
      <c r="W17" s="132"/>
      <c r="X17" s="132"/>
      <c r="Y17" s="106"/>
      <c r="Z17" s="106"/>
      <c r="AA17" s="106"/>
      <c r="AB17" s="106"/>
      <c r="AC17" s="108" t="s">
        <v>652</v>
      </c>
      <c r="AD17" s="105"/>
      <c r="AE17" s="105"/>
      <c r="AF17" s="105"/>
    </row>
    <row r="18" spans="1:32" x14ac:dyDescent="0.25">
      <c r="A18" s="127"/>
      <c r="B18" s="124"/>
      <c r="C18" s="124"/>
      <c r="D18" s="124"/>
      <c r="E18" s="124"/>
      <c r="F18" s="128"/>
      <c r="G18" s="124"/>
      <c r="H18" s="124"/>
      <c r="I18" s="124"/>
      <c r="J18" s="124"/>
      <c r="K18" s="124"/>
      <c r="L18" s="124"/>
      <c r="M18" s="124"/>
      <c r="N18" s="124"/>
      <c r="O18" s="124"/>
      <c r="P18" s="124"/>
      <c r="Q18" s="124"/>
      <c r="R18" s="124"/>
      <c r="S18" s="124"/>
      <c r="T18" s="124"/>
      <c r="U18" s="124"/>
      <c r="V18" s="124"/>
      <c r="W18" s="124"/>
      <c r="X18" s="124"/>
      <c r="Y18" s="66"/>
      <c r="Z18" s="66"/>
      <c r="AA18" s="66"/>
      <c r="AB18" s="66"/>
      <c r="AC18" s="66" t="s">
        <v>14356</v>
      </c>
      <c r="AD18" s="65"/>
      <c r="AE18" s="65"/>
      <c r="AF18" s="65"/>
    </row>
    <row r="19" spans="1:32" s="72" customFormat="1" ht="39.950000000000003" customHeight="1" x14ac:dyDescent="0.25">
      <c r="A19" s="217">
        <f>AA30*1000</f>
        <v>5716</v>
      </c>
      <c r="B19" s="393" t="str">
        <f>_xlfn.IFNA(IF(AA30=0,"Not working on Humanitarian Assistance",IF(AA30*1000&gt;1000000,"Reached "&amp;TEXT(ROUND(AA30/1000,1),"#,##0.0_);(#,##0.0)")&amp;"million disaster/crisis-affected people with life-saving humanitarian assistance, indirectly benefiting a further "&amp;TEXT(ROUND(AB30/1000,1),"#,##0.0_);(#,##0)")&amp;"million","Reached "&amp;TEXT(ROUND(AA30,1),"#,##0_);(#,##0)")&amp;"thousand disaster/crisis-affected people with life-saving humanitarian assistance, indirectly benefiting a further "&amp;TEXT(ROUND(AB30,1),"#,##0_);(#,##0)")&amp;"thousand")),"")</f>
        <v>Reached 6 thousand disaster/crisis-affected people with life-saving humanitarian assistance, indirectly benefiting a further 19 thousand</v>
      </c>
      <c r="C19" s="393"/>
      <c r="D19" s="393"/>
      <c r="E19" s="393"/>
      <c r="F19" s="394"/>
      <c r="G19" s="177"/>
      <c r="H19" s="177"/>
      <c r="I19" s="177"/>
      <c r="J19" s="177"/>
      <c r="K19" s="177"/>
      <c r="L19" s="177"/>
      <c r="M19" s="177"/>
      <c r="N19" s="177"/>
      <c r="O19" s="177"/>
      <c r="P19" s="177"/>
      <c r="Q19" s="177"/>
      <c r="R19" s="177"/>
      <c r="S19" s="177"/>
      <c r="T19" s="177"/>
      <c r="U19" s="177"/>
      <c r="V19" s="177"/>
      <c r="W19" s="177"/>
      <c r="X19" s="177"/>
      <c r="Y19" s="68"/>
      <c r="Z19" s="68"/>
      <c r="AA19" s="68"/>
      <c r="AB19" s="68"/>
      <c r="AC19" s="66" t="s">
        <v>1527</v>
      </c>
      <c r="AD19" s="65"/>
      <c r="AE19" s="65"/>
      <c r="AF19" s="65"/>
    </row>
    <row r="20" spans="1:32" ht="12.95" customHeight="1" x14ac:dyDescent="0.25">
      <c r="A20" s="217"/>
      <c r="B20" s="393"/>
      <c r="C20" s="393"/>
      <c r="D20" s="393"/>
      <c r="E20" s="393"/>
      <c r="F20" s="394"/>
      <c r="G20" s="124"/>
      <c r="H20" s="124"/>
      <c r="I20" s="124"/>
      <c r="J20" s="124"/>
      <c r="K20" s="124"/>
      <c r="L20" s="124"/>
      <c r="M20" s="124"/>
      <c r="N20" s="124"/>
      <c r="O20" s="124"/>
      <c r="P20" s="124"/>
      <c r="Q20" s="124"/>
      <c r="R20" s="124"/>
      <c r="S20" s="124"/>
      <c r="T20" s="124"/>
      <c r="U20" s="124"/>
      <c r="V20" s="124"/>
      <c r="W20" s="124"/>
      <c r="X20" s="124"/>
      <c r="Y20" s="66"/>
      <c r="Z20" s="66"/>
      <c r="AA20" s="66"/>
      <c r="AB20" s="66"/>
      <c r="AC20" s="66" t="s">
        <v>14359</v>
      </c>
      <c r="AD20" s="71"/>
      <c r="AE20" s="71"/>
      <c r="AF20" s="71"/>
    </row>
    <row r="21" spans="1:32" s="72" customFormat="1" ht="44.1" customHeight="1" x14ac:dyDescent="0.25">
      <c r="A21" s="217">
        <f>AA34*1000</f>
        <v>0</v>
      </c>
      <c r="B21" s="393" t="str">
        <f>_xlfn.IFNA(IF(AA34=0,"Not working on SRMH",IF(AA34*1000&gt;1000000,"Reached "&amp;TEXT(ROUND(AA34/1000,1),"#,##0.0_);(#,##0.0)")&amp;"million people to support women's rights to sexual, reproductive and maternal health, indirectly benefiting a further "&amp;TEXT(ROUND(AB34/1000,1),"#,##0.0_);(#,##0)")&amp;"million","Reached "&amp;TEXT(ROUND(AA34,1),"#,##0_);(#,##0)")&amp;"thousand people to support women's rights to sexual, reproductive and maternal health, indirectly benefiting a further "&amp;TEXT(ROUND(AB34,1),"#,##0_);(#,##0)")&amp;"thousand")),"")</f>
        <v>Not working on SRMH</v>
      </c>
      <c r="C21" s="393"/>
      <c r="D21" s="393"/>
      <c r="E21" s="393"/>
      <c r="F21" s="394"/>
      <c r="G21" s="177"/>
      <c r="H21" s="177"/>
      <c r="I21" s="177"/>
      <c r="J21" s="177"/>
      <c r="K21" s="177"/>
      <c r="L21" s="177"/>
      <c r="M21" s="177"/>
      <c r="Y21" s="68"/>
      <c r="Z21" s="68"/>
      <c r="AA21" s="68"/>
      <c r="AB21" s="68"/>
      <c r="AC21" s="66" t="s">
        <v>1595</v>
      </c>
    </row>
    <row r="22" spans="1:32" ht="12.6" customHeight="1" x14ac:dyDescent="0.25">
      <c r="A22" s="217"/>
      <c r="B22" s="393"/>
      <c r="C22" s="393"/>
      <c r="D22" s="393"/>
      <c r="E22" s="393"/>
      <c r="F22" s="394"/>
      <c r="G22" s="124"/>
      <c r="H22" s="124"/>
      <c r="I22" s="124"/>
      <c r="J22" s="124"/>
      <c r="K22" s="124"/>
      <c r="L22" s="124"/>
      <c r="M22" s="124"/>
      <c r="Y22" s="66"/>
      <c r="Z22" s="66"/>
      <c r="AA22" s="66"/>
      <c r="AB22" s="66"/>
      <c r="AC22" s="66" t="s">
        <v>14360</v>
      </c>
    </row>
    <row r="23" spans="1:32" ht="35.1" customHeight="1" x14ac:dyDescent="0.25">
      <c r="A23" s="217">
        <f>AA38*1000</f>
        <v>0</v>
      </c>
      <c r="B23" s="393" t="str">
        <f>_xlfn.IFNA(IF(AA38=0,"Not working on LFFV",IF(AA38*1000&gt;1000000,"Reached "&amp;TEXT(ROUND(AA38/1000,1),"#,##0.0_);(#,##0.0)")&amp;"million people to support women and girls' rights to a life free from violence, indirectly benefiting a further "&amp;TEXT(ROUND(AB38/1000,1),"#,##0.0_);(#,##0)")&amp;"million","Reached "&amp;TEXT(ROUND(AA38,1),"#,##0_);(#,##0)")&amp;"thousand people to support women and girls' rights to a life free from violence, indirectly benefiting a further "&amp;TEXT(ROUND(AB38,1),"#,##0_);(#,##0)")&amp;"thousand")),"")</f>
        <v>Not working on LFFV</v>
      </c>
      <c r="C23" s="393"/>
      <c r="D23" s="393"/>
      <c r="E23" s="393"/>
      <c r="F23" s="394"/>
      <c r="G23" s="124"/>
      <c r="H23" s="124"/>
      <c r="I23" s="124"/>
      <c r="J23" s="124"/>
      <c r="K23" s="124"/>
      <c r="L23" s="124"/>
      <c r="M23" s="124"/>
      <c r="Y23" s="66" t="s">
        <v>14528</v>
      </c>
      <c r="Z23" s="66"/>
      <c r="AA23" s="66"/>
      <c r="AB23" s="66"/>
      <c r="AC23" s="66" t="s">
        <v>14361</v>
      </c>
    </row>
    <row r="24" spans="1:32" s="74" customFormat="1" ht="18.600000000000001" customHeight="1" x14ac:dyDescent="0.25">
      <c r="A24" s="217"/>
      <c r="B24" s="393"/>
      <c r="C24" s="393"/>
      <c r="D24" s="393"/>
      <c r="E24" s="393"/>
      <c r="F24" s="394"/>
      <c r="G24" s="187"/>
      <c r="H24" s="187"/>
      <c r="I24" s="187"/>
      <c r="J24" s="187"/>
      <c r="K24" s="187"/>
      <c r="L24" s="187"/>
      <c r="M24" s="187"/>
      <c r="Y24" s="66"/>
      <c r="Z24" s="66"/>
      <c r="AA24" s="66"/>
      <c r="AB24" s="66"/>
      <c r="AC24" s="66" t="s">
        <v>1735</v>
      </c>
    </row>
    <row r="25" spans="1:32" ht="42" customHeight="1" x14ac:dyDescent="0.25">
      <c r="A25" s="217">
        <f>AA43*1000</f>
        <v>63904</v>
      </c>
      <c r="B25" s="393" t="str">
        <f>_xlfn.IFNA(IF(AA43=0,"Not working on FNS &amp; CCR",IF(AA43*1000&gt;1000000,"Reached "&amp;TEXT(ROUND(AA43/1000,1),"#,##0.0_);(#,##0.0)")&amp;"million people to support their food and nutrition security and resilience to climate change, indirectly benefiting a further "&amp;TEXT(ROUND(AB43/1000,1),"#,##0.0_);(#,##0)")&amp;"million","Reached "&amp;TEXT(ROUND(AA43,1),"#,##0_);(#,##0)")&amp;"thousand people to support their food and nutrition security and resilience to climate change, indirectly benefiting a further "&amp;TEXT(ROUND(AB43,1),"#,##0_);(#,##0)")&amp;"thousand")),"")</f>
        <v>Reached 64 thousand people to support their food and nutrition security and resilience to climate change, indirectly benefiting a further 213 thousand</v>
      </c>
      <c r="C25" s="393"/>
      <c r="D25" s="393"/>
      <c r="E25" s="393"/>
      <c r="F25" s="394"/>
      <c r="G25" s="124"/>
      <c r="H25" s="124"/>
      <c r="I25" s="124"/>
      <c r="J25" s="124"/>
      <c r="K25" s="124"/>
      <c r="L25" s="124"/>
      <c r="M25" s="124"/>
      <c r="Y25" s="66"/>
      <c r="Z25" s="66"/>
      <c r="AA25" s="66"/>
      <c r="AB25" s="66"/>
      <c r="AC25" s="66" t="s">
        <v>14362</v>
      </c>
    </row>
    <row r="26" spans="1:32" ht="12.6" customHeight="1" x14ac:dyDescent="0.25">
      <c r="A26" s="217"/>
      <c r="B26" s="393"/>
      <c r="C26" s="393"/>
      <c r="D26" s="393"/>
      <c r="E26" s="393"/>
      <c r="F26" s="394"/>
      <c r="G26" s="124"/>
      <c r="H26" s="124"/>
      <c r="I26" s="124"/>
      <c r="J26" s="124"/>
      <c r="K26" s="124"/>
      <c r="L26" s="124"/>
      <c r="M26" s="124"/>
      <c r="Y26" s="66"/>
      <c r="Z26" s="66"/>
      <c r="AA26" s="66"/>
      <c r="AB26" s="66"/>
      <c r="AC26" s="66" t="s">
        <v>14363</v>
      </c>
    </row>
    <row r="27" spans="1:32" ht="36.950000000000003" customHeight="1" x14ac:dyDescent="0.25">
      <c r="A27" s="217">
        <f>AA48*1000</f>
        <v>43243</v>
      </c>
      <c r="B27" s="393" t="str">
        <f>_xlfn.IFNA(IF(AA48=0,"Not working on WEE",IF(AA48*1000&gt;1000000,"Reached "&amp;TEXT(ROUND(AA48/1000,1),"#,##0.0_);(#,##0.0)")&amp;"million people to promote their access to and control of economic resources, indirectly benefiting a further "&amp;TEXT(ROUND(AB48/1000,1),"#,##0.0_);(#,##0)")&amp;"million","Reached "&amp;TEXT(ROUND(AA48,1),"#,##0_);(#,##0)")&amp;"thousand people to promote their access to and control of economic resources, indirectly benefiting a further "&amp;TEXT(ROUND(AB48,1),"#,##0_);(#,##0)")&amp;"thousand")),"")</f>
        <v>Reached 43 thousand people to promote their access to and control of economic resources, indirectly benefiting a further 147 thousand</v>
      </c>
      <c r="C27" s="393"/>
      <c r="D27" s="393"/>
      <c r="E27" s="393"/>
      <c r="F27" s="394"/>
      <c r="G27" s="124"/>
      <c r="H27" s="124"/>
      <c r="I27" s="124"/>
      <c r="J27" s="124"/>
      <c r="K27" s="124"/>
      <c r="L27" s="124"/>
      <c r="M27" s="124"/>
      <c r="Y27" s="66"/>
      <c r="Z27" s="66"/>
      <c r="AA27" s="66"/>
      <c r="AB27" s="66"/>
      <c r="AC27" s="66" t="s">
        <v>14364</v>
      </c>
    </row>
    <row r="28" spans="1:32" ht="12.6" customHeight="1" thickBot="1" x14ac:dyDescent="0.3">
      <c r="A28" s="218"/>
      <c r="B28" s="395"/>
      <c r="C28" s="395"/>
      <c r="D28" s="395"/>
      <c r="E28" s="395"/>
      <c r="F28" s="396"/>
      <c r="G28" s="124"/>
      <c r="H28" s="124"/>
      <c r="I28" s="124"/>
      <c r="J28" s="124"/>
      <c r="K28" s="124"/>
      <c r="L28" s="124"/>
      <c r="M28" s="124"/>
      <c r="Y28" s="66"/>
      <c r="Z28" s="66"/>
      <c r="AA28" s="66"/>
      <c r="AB28" s="66"/>
      <c r="AC28" s="66" t="s">
        <v>14365</v>
      </c>
    </row>
    <row r="29" spans="1:32" ht="18.95" customHeight="1" thickBot="1" x14ac:dyDescent="0.3">
      <c r="A29" s="126"/>
      <c r="B29" s="126"/>
      <c r="C29" s="126"/>
      <c r="D29" s="126"/>
      <c r="E29" s="126"/>
      <c r="F29" s="126"/>
      <c r="G29" s="124"/>
      <c r="H29" s="124"/>
      <c r="I29" s="124"/>
      <c r="J29" s="124"/>
      <c r="K29" s="124"/>
      <c r="L29" s="124"/>
      <c r="M29" s="124"/>
      <c r="N29" s="126"/>
      <c r="O29" s="126"/>
      <c r="P29" s="126"/>
      <c r="Q29" s="126"/>
      <c r="R29" s="126"/>
      <c r="S29" s="126"/>
      <c r="T29" s="126"/>
      <c r="U29" s="126"/>
      <c r="V29" s="126"/>
      <c r="W29" s="126"/>
      <c r="X29" s="126"/>
      <c r="Y29" s="66"/>
      <c r="Z29" s="66"/>
      <c r="AA29" s="66"/>
      <c r="AB29" s="66"/>
      <c r="AC29" s="66" t="s">
        <v>1827</v>
      </c>
    </row>
    <row r="30" spans="1:32" s="107" customFormat="1" ht="33" customHeight="1" x14ac:dyDescent="0.25">
      <c r="A30" s="397" t="s">
        <v>14507</v>
      </c>
      <c r="B30" s="398"/>
      <c r="C30" s="399"/>
      <c r="D30" s="381" t="s">
        <v>14508</v>
      </c>
      <c r="E30" s="381"/>
      <c r="F30" s="382"/>
      <c r="G30" s="132"/>
      <c r="H30" s="402" t="str">
        <f>"Donors: "&amp;VLOOKUP($G$1,'PIIRS FY17 Reach'!$D$2:$KV$951,7,FALSE)&amp;IF(VLOOKUP($G$1,'PIIRS FY17 Reach'!$D$2:$KV$951,12,FALSE)="","",", "&amp;VLOOKUP($G$1,'PIIRS FY17 Reach'!$D$2:$KV$951,12,FALSE)&amp;IF(VLOOKUP($G$1,'PIIRS FY17 Reach'!$D$2:$KV$951,19,FALSE)="","",", "&amp;VLOOKUP($G$1,'PIIRS FY17 Reach'!$D$2:$KV$951,19,FALSE)&amp;IF(VLOOKUP($G$1,'PIIRS FY17 Reach'!$D$2:$KV$951,26,FALSE)="","",", "&amp;VLOOKUP($G$1,'PIIRS FY17 Reach'!$D$2:$KV$951,26,FALSE))))</f>
        <v>Donors: CARE USA, Government of Bangladesh</v>
      </c>
      <c r="I30" s="400"/>
      <c r="J30" s="400"/>
      <c r="K30" s="400"/>
      <c r="L30" s="400"/>
      <c r="M30" s="400"/>
      <c r="N30" s="385" t="str">
        <f>"Budget: US$ "&amp;TEXT(VLOOKUP($G$1,'PIIRS FY17 Reach'!$D$2:$KV$951,57,FALSE),"#,##0;(#,##0.)")</f>
        <v>Budget: US$ 8,800,000</v>
      </c>
      <c r="O30" s="385"/>
      <c r="P30" s="385"/>
      <c r="Q30" s="385"/>
      <c r="R30" s="385"/>
      <c r="S30" s="385"/>
      <c r="T30" s="385"/>
      <c r="U30" s="400" t="str">
        <f>"Start &amp; end dates: "&amp;TEXT(VLOOKUP($G$1,'PIIRS FY17 Reach'!$D$2:$KV$951,53,FALSE),"mmm-yy")&amp;" to "&amp;TEXT(IF(VLOOKUP($G$1,'PIIRS FY17 Reach'!$D$2:$KV$951,55,FALSE)="",VLOOKUP($G$1,'PIIRS FY17 Reach'!$D$2:$KV$951,54,FALSE),VLOOKUP($G$1,'PIIRS FY17 Reach'!$D$2:$KV$951,55,FALSE)),"mmm-yy")</f>
        <v>Start &amp; end dates: Sep-15 to Sep-20</v>
      </c>
      <c r="V30" s="400"/>
      <c r="W30" s="400"/>
      <c r="X30" s="401"/>
      <c r="Y30" s="106" t="s">
        <v>14366</v>
      </c>
      <c r="Z30" s="119"/>
      <c r="AA30" s="120">
        <f>_xlfn.IFNA(VLOOKUP($G$1,'PIIRS FY17 Reach'!$D$2:$KV$952,281,FALSE)/1000,"")</f>
        <v>5.7160000000000002</v>
      </c>
      <c r="AB30" s="120">
        <f>_xlfn.IFNA(VLOOKUP($G$1,'PIIRS FY17 Reach'!$D$2:$KV$952,282,FALSE)/1000,"")</f>
        <v>19.434000000000001</v>
      </c>
      <c r="AC30" s="106" t="s">
        <v>14367</v>
      </c>
    </row>
    <row r="31" spans="1:32" ht="22.5" customHeight="1" x14ac:dyDescent="0.25">
      <c r="A31" s="219" t="s">
        <v>14509</v>
      </c>
      <c r="B31" s="220" t="s">
        <v>14505</v>
      </c>
      <c r="C31" s="221" t="s">
        <v>14506</v>
      </c>
      <c r="D31" s="222" t="s">
        <v>14509</v>
      </c>
      <c r="E31" s="220" t="s">
        <v>14505</v>
      </c>
      <c r="F31" s="221" t="s">
        <v>14506</v>
      </c>
      <c r="G31" s="124"/>
      <c r="H31" s="363"/>
      <c r="I31" s="364"/>
      <c r="J31" s="364"/>
      <c r="K31" s="364"/>
      <c r="L31" s="364"/>
      <c r="M31" s="364"/>
      <c r="N31" s="239"/>
      <c r="O31" s="239"/>
      <c r="P31" s="242"/>
      <c r="Q31" s="242"/>
      <c r="R31" s="242"/>
      <c r="S31" s="242"/>
      <c r="T31" s="242"/>
      <c r="U31" s="364"/>
      <c r="V31" s="364"/>
      <c r="W31" s="364"/>
      <c r="X31" s="365"/>
      <c r="Y31" s="66"/>
      <c r="Z31" s="77"/>
      <c r="AA31" s="78"/>
      <c r="AB31" s="78"/>
      <c r="AC31" s="66" t="s">
        <v>1873</v>
      </c>
    </row>
    <row r="32" spans="1:32" ht="22.5" customHeight="1" x14ac:dyDescent="0.25">
      <c r="A32" s="223" t="s">
        <v>14510</v>
      </c>
      <c r="B32" s="224" t="str">
        <f>_xlfn.IFNA(IF(VLOOKUP($G$1,'PIIRS FY17 Reach'!$D$2:$KV$951,86,FALSE)=0,"",VLOOKUP($G$1,'PIIRS FY17 Reach'!$D$2:$KV$951,86,FALSE)),"")</f>
        <v/>
      </c>
      <c r="C32" s="225" t="str">
        <f>_xlfn.IFNA(IF(VLOOKUP($G$1,'PIIRS FY17 Reach'!$D$2:$KV$951,88,FALSE)=0,"",VLOOKUP($G$1,'PIIRS FY17 Reach'!$D$2:$KV$951,88,FALSE)),"")</f>
        <v/>
      </c>
      <c r="D32" s="226" t="s">
        <v>14520</v>
      </c>
      <c r="E32" s="224">
        <f>_xlfn.IFNA(IF(VLOOKUP($G$1,'PIIRS FY17 Reach'!$D$2:$KV$951,145,FALSE)=0,"",VLOOKUP($G$1,'PIIRS FY17 Reach'!$D$2:$KV$951,145,FALSE)),"")</f>
        <v>62580</v>
      </c>
      <c r="F32" s="225">
        <f>_xlfn.IFNA(IF(VLOOKUP($G$1,'PIIRS FY17 Reach'!$D$2:$KV$951,147,FALSE)=0,"",VLOOKUP($G$1,'PIIRS FY17 Reach'!$D$2:$KV$951,147,FALSE)),"")</f>
        <v>212772</v>
      </c>
      <c r="G32" s="124"/>
      <c r="H32" s="363" t="str">
        <f>"Goal: "&amp;VLOOKUP($G$1,'PIIRS FY17 Reach'!$D$2:$KV$951,67,FALSE)</f>
        <v>Goal:  Improved gender equitable food and nutrition security and resilience of the vulnerable people living in the Char and Haor in Bangladesh by 2020</v>
      </c>
      <c r="I32" s="364"/>
      <c r="J32" s="364"/>
      <c r="K32" s="364"/>
      <c r="L32" s="242"/>
      <c r="M32" s="242"/>
      <c r="N32" s="364" t="str">
        <f>"Location: "&amp;VLOOKUP($G$1,'PIIRS FY17 Reach'!$D$2:$KV$951,68,FALSE)&amp;" - "&amp;VLOOKUP($G$1,'PIIRS FY17 Reach'!$D$2:$KV$951,69,FALSE)</f>
        <v>Location: Sub-National - Number of Districts-08 (Kurigram, Gaibandha, Sirajganj, Jamalpur, Netrakona, Habiganj, Kishoreganj, Sunamganj) and 23 Upazila</v>
      </c>
      <c r="O32" s="364"/>
      <c r="P32" s="364"/>
      <c r="Q32" s="364"/>
      <c r="R32" s="364"/>
      <c r="S32" s="364"/>
      <c r="T32" s="364"/>
      <c r="U32" s="364"/>
      <c r="V32" s="364"/>
      <c r="W32" s="364"/>
      <c r="X32" s="365"/>
      <c r="Y32" s="66"/>
      <c r="Z32" s="77"/>
      <c r="AA32" s="78"/>
      <c r="AB32" s="78"/>
      <c r="AC32" s="66" t="s">
        <v>2092</v>
      </c>
    </row>
    <row r="33" spans="1:29" ht="22.5" customHeight="1" x14ac:dyDescent="0.25">
      <c r="A33" s="223" t="s">
        <v>14511</v>
      </c>
      <c r="B33" s="224" t="str">
        <f>_xlfn.IFNA(IF(VLOOKUP($G$1,'PIIRS FY17 Reach'!$D$2:$KV$951,90,FALSE)=0,"",VLOOKUP($G$1,'PIIRS FY17 Reach'!$D$2:$KV$951,90,FALSE)),"")</f>
        <v/>
      </c>
      <c r="C33" s="225" t="str">
        <f>_xlfn.IFNA(IF(VLOOKUP($G$1,'PIIRS FY17 Reach'!$D$2:$KV$951,92,FALSE)=0,"",VLOOKUP($G$1,'PIIRS FY17 Reach'!$D$2:$KV$951,92,FALSE)),"")</f>
        <v/>
      </c>
      <c r="D33" s="226" t="s">
        <v>14521</v>
      </c>
      <c r="E33" s="224" t="str">
        <f>_xlfn.IFNA(IF(VLOOKUP($G$1,'PIIRS FY17 Reach'!$D$2:$KV$951,149,FALSE)=0,"",VLOOKUP($G$1,'PIIRS FY17 Reach'!$D$2:$KV$951,149,FALSE)),"")</f>
        <v/>
      </c>
      <c r="F33" s="225" t="str">
        <f>_xlfn.IFNA(IF(VLOOKUP($G$1,'PIIRS FY17 Reach'!$D$2:$KV$951,151,FALSE)=0,"",VLOOKUP($G$1,'PIIRS FY17 Reach'!$D$2:$KV$951,151,FALSE)),"")</f>
        <v/>
      </c>
      <c r="G33" s="124"/>
      <c r="H33" s="363"/>
      <c r="I33" s="364"/>
      <c r="J33" s="364"/>
      <c r="K33" s="364"/>
      <c r="M33" s="242"/>
      <c r="N33" s="364"/>
      <c r="O33" s="364"/>
      <c r="P33" s="364"/>
      <c r="Q33" s="364"/>
      <c r="R33" s="364"/>
      <c r="S33" s="364"/>
      <c r="T33" s="364"/>
      <c r="U33" s="364"/>
      <c r="V33" s="364"/>
      <c r="W33" s="364"/>
      <c r="X33" s="365"/>
      <c r="Y33" s="66"/>
      <c r="Z33" s="66"/>
      <c r="AA33" s="66"/>
      <c r="AB33" s="66"/>
      <c r="AC33" s="66" t="s">
        <v>2395</v>
      </c>
    </row>
    <row r="34" spans="1:29" ht="22.5" customHeight="1" x14ac:dyDescent="0.25">
      <c r="A34" s="223" t="s">
        <v>14512</v>
      </c>
      <c r="B34" s="224" t="str">
        <f>_xlfn.IFNA(IF(VLOOKUP($G$1,'PIIRS FY17 Reach'!$D$2:$KV$951,94,FALSE)=0,"",VLOOKUP($G$1,'PIIRS FY17 Reach'!$D$2:$KV$951,94,FALSE)),"")</f>
        <v/>
      </c>
      <c r="C34" s="225" t="str">
        <f>_xlfn.IFNA(IF(VLOOKUP($G$1,'PIIRS FY17 Reach'!$D$2:$KV$951,96,FALSE)=0,"",VLOOKUP($G$1,'PIIRS FY17 Reach'!$D$2:$KV$951,96,FALSE)),"")</f>
        <v/>
      </c>
      <c r="D34" s="226" t="s">
        <v>14522</v>
      </c>
      <c r="E34" s="224" t="str">
        <f>_xlfn.IFNA(IF(VLOOKUP($G$1,'PIIRS FY17 Reach'!$D$2:$KV$951,153,FALSE)=0,"",VLOOKUP($G$1,'PIIRS FY17 Reach'!$D$2:$KV$951,153,FALSE)),"")</f>
        <v/>
      </c>
      <c r="F34" s="225" t="str">
        <f>_xlfn.IFNA(IF(VLOOKUP($G$1,'PIIRS FY17 Reach'!$D$2:$KV$951,155,FALSE)=0,"",VLOOKUP($G$1,'PIIRS FY17 Reach'!$D$2:$KV$951,155,FALSE)),"")</f>
        <v/>
      </c>
      <c r="G34" s="124"/>
      <c r="H34" s="363"/>
      <c r="I34" s="364"/>
      <c r="J34" s="364"/>
      <c r="K34" s="364"/>
      <c r="L34" s="242"/>
      <c r="M34" s="242"/>
      <c r="N34" s="364"/>
      <c r="O34" s="364"/>
      <c r="P34" s="364"/>
      <c r="Q34" s="364"/>
      <c r="R34" s="364"/>
      <c r="S34" s="364"/>
      <c r="T34" s="364"/>
      <c r="U34" s="364"/>
      <c r="V34" s="364"/>
      <c r="W34" s="364"/>
      <c r="X34" s="365"/>
      <c r="Y34" s="66" t="s">
        <v>14368</v>
      </c>
      <c r="Z34" s="75"/>
      <c r="AA34" s="76">
        <f>_xlfn.IFNA(VLOOKUP($G$1,'PIIRS FY17 Reach'!$D$2:$KV$952,289,FALSE)/1000,"")</f>
        <v>0</v>
      </c>
      <c r="AB34" s="76">
        <f>_xlfn.IFNA(VLOOKUP($G$1,'PIIRS FY17 Reach'!$D$2:$KV$952,290,FALSE)/1000,"")</f>
        <v>0</v>
      </c>
      <c r="AC34" s="66" t="s">
        <v>7496</v>
      </c>
    </row>
    <row r="35" spans="1:29" ht="22.5" customHeight="1" x14ac:dyDescent="0.25">
      <c r="A35" s="223" t="s">
        <v>14513</v>
      </c>
      <c r="B35" s="224" t="str">
        <f>_xlfn.IFNA(IF(VLOOKUP($G$1,'PIIRS FY17 Reach'!$D$2:$KV$951,98,FALSE)=0,"",VLOOKUP($G$1,'PIIRS FY17 Reach'!$D$2:$KV$951,98,FALSE)),"")</f>
        <v/>
      </c>
      <c r="C35" s="225" t="str">
        <f>_xlfn.IFNA(IF(VLOOKUP($G$1,'PIIRS FY17 Reach'!$D$2:$KV$951,100,FALSE)=0,"",VLOOKUP($G$1,'PIIRS FY17 Reach'!$D$2:$KV$951,100,FALSE)),"")</f>
        <v/>
      </c>
      <c r="D35" s="226" t="s">
        <v>14523</v>
      </c>
      <c r="E35" s="224">
        <f>_xlfn.IFNA(IF(VLOOKUP($G$1,'PIIRS FY17 Reach'!$D$2:$KV$951,157,FALSE)=0,"",VLOOKUP($G$1,'PIIRS FY17 Reach'!$D$2:$KV$951,157,FALSE)),"")</f>
        <v>4663</v>
      </c>
      <c r="F35" s="225">
        <f>_xlfn.IFNA(IF(VLOOKUP($G$1,'PIIRS FY17 Reach'!$D$2:$KV$951,159,FALSE)=0,"",VLOOKUP($G$1,'PIIRS FY17 Reach'!$D$2:$KV$951,159,FALSE)),"")</f>
        <v>15854</v>
      </c>
      <c r="G35" s="124"/>
      <c r="H35" s="363"/>
      <c r="I35" s="364"/>
      <c r="J35" s="364"/>
      <c r="K35" s="364"/>
      <c r="L35" s="242"/>
      <c r="M35" s="242"/>
      <c r="N35" s="364"/>
      <c r="O35" s="364"/>
      <c r="P35" s="364"/>
      <c r="Q35" s="364"/>
      <c r="R35" s="364"/>
      <c r="S35" s="364"/>
      <c r="T35" s="364"/>
      <c r="U35" s="364"/>
      <c r="V35" s="364"/>
      <c r="W35" s="364"/>
      <c r="X35" s="365"/>
      <c r="Y35" s="66"/>
      <c r="Z35" s="77"/>
      <c r="AA35" s="78"/>
      <c r="AB35" s="78"/>
      <c r="AC35" s="66" t="s">
        <v>14369</v>
      </c>
    </row>
    <row r="36" spans="1:29" ht="22.5" customHeight="1" x14ac:dyDescent="0.25">
      <c r="A36" s="223" t="s">
        <v>14514</v>
      </c>
      <c r="B36" s="224" t="str">
        <f>_xlfn.IFNA(IF(VLOOKUP($G$1,'PIIRS FY17 Reach'!$D$2:$KV$951,102,FALSE)=0,"",VLOOKUP($G$1,'PIIRS FY17 Reach'!$D$2:$KV$951,102,FALSE)),"")</f>
        <v/>
      </c>
      <c r="C36" s="225" t="str">
        <f>_xlfn.IFNA(IF(VLOOKUP($G$1,'PIIRS FY17 Reach'!$D$2:$KV$951,104,FALSE)=0,"",VLOOKUP($G$1,'PIIRS FY17 Reach'!$D$2:$KV$951,104,FALSE)),"")</f>
        <v/>
      </c>
      <c r="D36" s="226" t="s">
        <v>14524</v>
      </c>
      <c r="E36" s="224">
        <f>_xlfn.IFNA(IF(VLOOKUP($G$1,'PIIRS FY17 Reach'!$D$2:$KV$951,161,FALSE)=0,"",VLOOKUP($G$1,'PIIRS FY17 Reach'!$D$2:$KV$951,161,FALSE)),"")</f>
        <v>43243</v>
      </c>
      <c r="F36" s="225">
        <f>_xlfn.IFNA(IF(VLOOKUP($G$1,'PIIRS FY17 Reach'!$D$2:$KV$951,163,FALSE)=0,"",VLOOKUP($G$1,'PIIRS FY17 Reach'!$D$2:$KV$951,163,FALSE)),"")</f>
        <v>147026</v>
      </c>
      <c r="G36" s="124"/>
      <c r="H36" s="363"/>
      <c r="I36" s="364"/>
      <c r="J36" s="364"/>
      <c r="K36" s="364"/>
      <c r="L36" s="242"/>
      <c r="M36" s="242"/>
      <c r="N36" s="364"/>
      <c r="O36" s="364"/>
      <c r="P36" s="364"/>
      <c r="Q36" s="364"/>
      <c r="R36" s="364"/>
      <c r="S36" s="364"/>
      <c r="T36" s="364"/>
      <c r="U36" s="364"/>
      <c r="V36" s="364"/>
      <c r="W36" s="364"/>
      <c r="X36" s="365"/>
      <c r="Y36" s="66"/>
      <c r="Z36" s="77"/>
      <c r="AA36" s="78"/>
      <c r="AB36" s="78"/>
      <c r="AC36" s="66" t="s">
        <v>14370</v>
      </c>
    </row>
    <row r="37" spans="1:29" ht="22.5" customHeight="1" x14ac:dyDescent="0.25">
      <c r="A37" s="223" t="s">
        <v>14515</v>
      </c>
      <c r="B37" s="224" t="str">
        <f>_xlfn.IFNA(IF(VLOOKUP($G$1,'PIIRS FY17 Reach'!$D$2:$KV$951,106,FALSE)=0,"",VLOOKUP($G$1,'PIIRS FY17 Reach'!$D$2:$KV$951,106,FALSE)),"")</f>
        <v/>
      </c>
      <c r="C37" s="225" t="str">
        <f>_xlfn.IFNA(IF(VLOOKUP($G$1,'PIIRS FY17 Reach'!$D$2:$KV$951,108,FALSE)=0,"",VLOOKUP($G$1,'PIIRS FY17 Reach'!$D$2:$KV$951,108,FALSE)),"")</f>
        <v/>
      </c>
      <c r="D37" s="226" t="s">
        <v>14512</v>
      </c>
      <c r="E37" s="224" t="str">
        <f>_xlfn.IFNA(IF(VLOOKUP($G$1,'PIIRS FY17 Reach'!$D$2:$KV$951,165,FALSE)=0,"",VLOOKUP($G$1,'PIIRS FY17 Reach'!$D$2:$KV$951,165,FALSE)),"")</f>
        <v/>
      </c>
      <c r="F37" s="225" t="str">
        <f>_xlfn.IFNA(IF(VLOOKUP($G$1,'PIIRS FY17 Reach'!$D$2:$KV$951,167,FALSE)=0,"",VLOOKUP($G$1,'PIIRS FY17 Reach'!$D$2:$KV$951,163,FALSE)),"")</f>
        <v/>
      </c>
      <c r="G37" s="124"/>
      <c r="H37" s="245"/>
      <c r="I37" s="242"/>
      <c r="J37" s="242"/>
      <c r="K37" s="242"/>
      <c r="L37" s="242"/>
      <c r="M37" s="242"/>
      <c r="O37" s="242"/>
      <c r="P37" s="242"/>
      <c r="Q37" s="242"/>
      <c r="R37" s="242"/>
      <c r="S37" s="242"/>
      <c r="T37" s="242"/>
      <c r="U37" s="242"/>
      <c r="V37" s="242"/>
      <c r="W37" s="242"/>
      <c r="X37" s="243"/>
      <c r="Y37" s="66"/>
      <c r="Z37" s="66"/>
      <c r="AA37" s="66"/>
      <c r="AB37" s="66"/>
      <c r="AC37" s="66" t="s">
        <v>2536</v>
      </c>
    </row>
    <row r="38" spans="1:29" ht="22.5" customHeight="1" x14ac:dyDescent="0.25">
      <c r="A38" s="223" t="s">
        <v>14516</v>
      </c>
      <c r="B38" s="224" t="str">
        <f>_xlfn.IFNA(IF(VLOOKUP($G$1,'PIIRS FY17 Reach'!$D$2:$KV$951,110,FALSE)=0,"",VLOOKUP($G$1,'PIIRS FY17 Reach'!$D$2:$KV$951,110,FALSE)),"")</f>
        <v/>
      </c>
      <c r="C38" s="225" t="str">
        <f>_xlfn.IFNA(IF(VLOOKUP($G$1,'PIIRS FY17 Reach'!$D$2:$KV$951,112,FALSE)=0,"",VLOOKUP($G$1,'PIIRS FY17 Reach'!$D$2:$KV$951,112,FALSE)),"")</f>
        <v/>
      </c>
      <c r="D38" s="226" t="s">
        <v>14513</v>
      </c>
      <c r="E38" s="224">
        <f>_xlfn.IFNA(IF(VLOOKUP($G$1,'PIIRS FY17 Reach'!$D$2:$KV$951,169,FALSE)=0,"",VLOOKUP($G$1,'PIIRS FY17 Reach'!$D$2:$KV$951,169,FALSE)),"")</f>
        <v>63904</v>
      </c>
      <c r="F38" s="225">
        <f>_xlfn.IFNA(IF(VLOOKUP($G$1,'PIIRS FY17 Reach'!$D$2:$KV$951,171,FALSE)=0,"",VLOOKUP($G$1,'PIIRS FY17 Reach'!$D$2:$KV$951,171,FALSE)),"")</f>
        <v>87601</v>
      </c>
      <c r="G38" s="124"/>
      <c r="H38" s="363" t="str">
        <f>"Impact group: "&amp;VLOOKUP($G$1,'PIIRS FY17 Reach'!$D$2:$KV$951,70,FALSE)&amp;" - "&amp;IFERROR(TEXT(VLOOKUP($G$1,'PIIRS FY17 Reach'!$D$2:$KV$951,73,FALSE),"#,##0;(#,##0.)")&amp;" life of project direct participants ("&amp;ROUND(VLOOKUP($G$1,'PIIRS FY17 Reach'!$D$2:$KV$951,71,FALSE)/VLOOKUP($G$1,'PIIRS FY17 Reach'!$D$2:$KV$951,73,FALSE)*100,0)&amp;"% women &amp; girls) and "&amp;TEXT(VLOOKUP($G$1,'PIIRS FY17 Reach'!$D$2:$KV$951,76,FALSE),"#,##0;(#,##0.)")&amp;" indirect participants ("&amp;ROUND(VLOOKUP($G$1,'PIIRS FY17 Reach'!$D$2:$KV$951,74,FALSE)/VLOOKUP($G$1,'PIIRS FY17 Reach'!$D$2:$KV$951,76,FALSE)*100,0)&amp;"% women &amp; girls)",TEXT(VLOOKUP($G$1,'PIIRS FY17 Reach'!$D$2:$KV$951,73,FALSE),"#,##0;(#,##0.)")&amp;" life of project direct participants and "&amp;TEXT(VLOOKUP($G$1,'PIIRS FY17 Reach'!$D$2:$KV$951,76,FALSE),"#,##0;(#,##0.)")&amp;" indirect participants")</f>
        <v>Impact group: Poor and Extreme Poor (PEP) households in 08 district of  the vulnerable Char and Haor area in Bangladesh - 407,000 life of project direct participants (69% women &amp; girls) and 267,856 indirect participants (21% women &amp; girls)</v>
      </c>
      <c r="I38" s="364"/>
      <c r="J38" s="364"/>
      <c r="K38" s="364"/>
      <c r="L38" s="242"/>
      <c r="M38" s="242"/>
      <c r="N38" s="364" t="str">
        <f>"Definition of participants: "&amp;VLOOKUP($G$1,'PIIRS FY17 Reach'!$D$2:$KV$951,77,FALSE)</f>
        <v>Definition of participants: SHOUHARDO III conduct a census survey and found a Total of 674,856 Poor and Extreme poor participants in the working area. Program has plan to direct reached 407000 participants within the program period. And rest of the 267856 participants will indirectly benefited from direct particpants.</v>
      </c>
      <c r="O38" s="364"/>
      <c r="P38" s="364"/>
      <c r="Q38" s="364"/>
      <c r="R38" s="364"/>
      <c r="S38" s="364"/>
      <c r="T38" s="364"/>
      <c r="U38" s="364"/>
      <c r="V38" s="364"/>
      <c r="W38" s="364"/>
      <c r="X38" s="365"/>
      <c r="Y38" s="66" t="s">
        <v>14371</v>
      </c>
      <c r="Z38" s="75"/>
      <c r="AA38" s="76">
        <f>_xlfn.IFNA(VLOOKUP($G$1,'PIIRS FY17 Reach'!$D$2:$KV$952,293,FALSE)/1000,"")</f>
        <v>0</v>
      </c>
      <c r="AB38" s="76">
        <f>_xlfn.IFNA(VLOOKUP($G$1,'PIIRS FY17 Reach'!$D$2:$KV$952,294,FALSE)/1000,"")</f>
        <v>0</v>
      </c>
      <c r="AC38" s="66" t="s">
        <v>14372</v>
      </c>
    </row>
    <row r="39" spans="1:29" ht="22.5" customHeight="1" x14ac:dyDescent="0.25">
      <c r="A39" s="223" t="s">
        <v>14517</v>
      </c>
      <c r="B39" s="224" t="str">
        <f>_xlfn.IFNA(IF(VLOOKUP($G$1,'PIIRS FY17 Reach'!$D$2:$KV$951,114,FALSE)=0,"",VLOOKUP($G$1,'PIIRS FY17 Reach'!$D$2:$KV$951,114,FALSE)),"")</f>
        <v/>
      </c>
      <c r="C39" s="225" t="str">
        <f>_xlfn.IFNA(IF(VLOOKUP($G$1,'PIIRS FY17 Reach'!$D$2:$KV$951,116,FALSE)=0,"",VLOOKUP($G$1,'PIIRS FY17 Reach'!$D$2:$KV$951,116,FALSE)),"")</f>
        <v/>
      </c>
      <c r="D39" s="226" t="str">
        <f>A36</f>
        <v>GBV</v>
      </c>
      <c r="E39" s="224" t="str">
        <f>_xlfn.IFNA(IF(VLOOKUP($G$1,'PIIRS FY17 Reach'!$D$2:$KV$951,173,FALSE)=0,"",VLOOKUP($G$1,'PIIRS FY17 Reach'!$D$2:$KV$951,173,FALSE)),"")</f>
        <v/>
      </c>
      <c r="F39" s="225" t="str">
        <f>_xlfn.IFNA(IF(VLOOKUP($G$1,'PIIRS FY17 Reach'!$D$2:$KV$951,175,FALSE)=0,"",VLOOKUP($G$1,'PIIRS FY17 Reach'!$D$2:$KV$951,175,FALSE)),"")</f>
        <v/>
      </c>
      <c r="G39" s="124"/>
      <c r="H39" s="363"/>
      <c r="I39" s="364"/>
      <c r="J39" s="364"/>
      <c r="K39" s="364"/>
      <c r="L39" s="242"/>
      <c r="M39" s="242"/>
      <c r="N39" s="364"/>
      <c r="O39" s="364"/>
      <c r="P39" s="364"/>
      <c r="Q39" s="364"/>
      <c r="R39" s="364"/>
      <c r="S39" s="364"/>
      <c r="T39" s="364"/>
      <c r="U39" s="364"/>
      <c r="V39" s="364"/>
      <c r="W39" s="364"/>
      <c r="X39" s="365"/>
      <c r="Y39" s="66"/>
      <c r="Z39" s="77"/>
      <c r="AA39" s="78"/>
      <c r="AB39" s="78"/>
      <c r="AC39" s="66" t="s">
        <v>14373</v>
      </c>
    </row>
    <row r="40" spans="1:29" ht="22.5" customHeight="1" x14ac:dyDescent="0.25">
      <c r="A40" s="223" t="s">
        <v>14518</v>
      </c>
      <c r="B40" s="224" t="str">
        <f>_xlfn.IFNA(IF(VLOOKUP($G$1,'PIIRS FY17 Reach'!$D$2:$KV$951,118,FALSE)=0,"",VLOOKUP($G$1,'PIIRS FY17 Reach'!$D$2:$KV$951,118,FALSE)),"")</f>
        <v/>
      </c>
      <c r="C40" s="225" t="str">
        <f>_xlfn.IFNA(IF(VLOOKUP($G$1,'PIIRS FY17 Reach'!$D$2:$KV$951,120,FALSE)=0,"",VLOOKUP($G$1,'PIIRS FY17 Reach'!$D$2:$KV$951,120,FALSE)),"")</f>
        <v/>
      </c>
      <c r="D40" s="226" t="str">
        <f>A37</f>
        <v>Gender equality (other)</v>
      </c>
      <c r="E40" s="224" t="str">
        <f>_xlfn.IFNA(IF(VLOOKUP($G$1,'PIIRS FY17 Reach'!$D$2:$KV$951,177,FALSE)=0,"",VLOOKUP($G$1,'PIIRS FY17 Reach'!$D$2:$KV$951,177,FALSE)),"")</f>
        <v/>
      </c>
      <c r="F40" s="225" t="str">
        <f>_xlfn.IFNA(IF(VLOOKUP($G$1,'PIIRS FY17 Reach'!$D$2:$KV$951,179,FALSE)=0,"",VLOOKUP($G$1,'PIIRS FY17 Reach'!$D$2:$KV$951,179,FALSE)),"")</f>
        <v/>
      </c>
      <c r="G40" s="124"/>
      <c r="H40" s="363"/>
      <c r="I40" s="364"/>
      <c r="J40" s="364"/>
      <c r="K40" s="364"/>
      <c r="L40" s="242"/>
      <c r="M40" s="242"/>
      <c r="N40" s="364"/>
      <c r="O40" s="364"/>
      <c r="P40" s="364"/>
      <c r="Q40" s="364"/>
      <c r="R40" s="364"/>
      <c r="S40" s="364"/>
      <c r="T40" s="364"/>
      <c r="U40" s="364"/>
      <c r="V40" s="364"/>
      <c r="W40" s="364"/>
      <c r="X40" s="365"/>
      <c r="Y40" s="66"/>
      <c r="Z40" s="77"/>
      <c r="AA40" s="78"/>
      <c r="AB40" s="78"/>
      <c r="AC40" s="66" t="s">
        <v>2806</v>
      </c>
    </row>
    <row r="41" spans="1:29" ht="22.5" customHeight="1" x14ac:dyDescent="0.25">
      <c r="A41" s="223" t="s">
        <v>14368</v>
      </c>
      <c r="B41" s="224" t="str">
        <f>_xlfn.IFNA(IF(VLOOKUP($G$1,'PIIRS FY17 Reach'!$D$2:$KV$951,106,FALSE)=0,"",VLOOKUP($G$1,'PIIRS FY17 Reach'!$D$2:$KV$951,106,FALSE)),"")</f>
        <v/>
      </c>
      <c r="C41" s="225" t="str">
        <f>_xlfn.IFNA(IF(VLOOKUP($G$1,'PIIRS FY17 Reach'!$D$2:$KV$951,124,FALSE)=0,"",VLOOKUP($G$1,'PIIRS FY17 Reach'!$D$2:$KV$951,124,FALSE)),"")</f>
        <v/>
      </c>
      <c r="D41" s="226" t="str">
        <f>A38</f>
        <v>Health (other)</v>
      </c>
      <c r="E41" s="224">
        <f>_xlfn.IFNA(IF(VLOOKUP($G$1,'PIIRS FY17 Reach'!$D$2:$KV$951,181,FALSE)=0,"",VLOOKUP($G$1,'PIIRS FY17 Reach'!$D$2:$KV$951,181,FALSE)),"")</f>
        <v>103306</v>
      </c>
      <c r="F41" s="225">
        <f>_xlfn.IFNA(IF(VLOOKUP($G$1,'PIIRS FY17 Reach'!$D$2:$KV$951,183,FALSE)=0,"",VLOOKUP($G$1,'PIIRS FY17 Reach'!$D$2:$KV$951,183,FALSE)),"")</f>
        <v>177524</v>
      </c>
      <c r="G41" s="124"/>
      <c r="H41" s="363"/>
      <c r="I41" s="364"/>
      <c r="J41" s="364"/>
      <c r="K41" s="364"/>
      <c r="L41" s="242"/>
      <c r="M41" s="242"/>
      <c r="N41" s="364"/>
      <c r="O41" s="364"/>
      <c r="P41" s="364"/>
      <c r="Q41" s="364"/>
      <c r="R41" s="364"/>
      <c r="S41" s="364"/>
      <c r="T41" s="364"/>
      <c r="U41" s="364"/>
      <c r="V41" s="364"/>
      <c r="W41" s="364"/>
      <c r="X41" s="365"/>
      <c r="Y41" s="66"/>
      <c r="Z41" s="66"/>
      <c r="AA41" s="66"/>
      <c r="AB41" s="66"/>
      <c r="AC41" s="66" t="s">
        <v>14374</v>
      </c>
    </row>
    <row r="42" spans="1:29" ht="22.5" customHeight="1" x14ac:dyDescent="0.25">
      <c r="A42" s="223" t="s">
        <v>12511</v>
      </c>
      <c r="B42" s="224">
        <f>_xlfn.IFNA(IF(VLOOKUP($G$1,'PIIRS FY17 Reach'!$D$2:$KV$951,126,FALSE)=0,"",VLOOKUP($G$1,'PIIRS FY17 Reach'!$D$2:$KV$951,126,FALSE)),"")</f>
        <v>5716</v>
      </c>
      <c r="C42" s="225">
        <f>_xlfn.IFNA(IF(VLOOKUP($G$1,'PIIRS FY17 Reach'!$D$2:$KV$951,128,FALSE)=0,"",VLOOKUP($G$1,'PIIRS FY17 Reach'!$D$2:$KV$951,128,FALSE)),"")</f>
        <v>19434</v>
      </c>
      <c r="D42" s="226" t="s">
        <v>14525</v>
      </c>
      <c r="E42" s="224">
        <f>_xlfn.IFNA(IF(VLOOKUP($G$1,'PIIRS FY17 Reach'!$D$2:$KV$951,185,FALSE)=0,"",VLOOKUP($G$1,'PIIRS FY17 Reach'!$D$2:$KV$951,185,FALSE)),"")</f>
        <v>602</v>
      </c>
      <c r="F42" s="225">
        <f>_xlfn.IFNA(IF(VLOOKUP($G$1,'PIIRS FY17 Reach'!$D$2:$KV$951,187,FALSE)=0,"",VLOOKUP($G$1,'PIIRS FY17 Reach'!$D$2:$KV$951,187,FALSE)),"")</f>
        <v>837</v>
      </c>
      <c r="G42" s="124"/>
      <c r="H42" s="127"/>
      <c r="I42" s="242"/>
      <c r="J42" s="242"/>
      <c r="K42" s="242"/>
      <c r="L42" s="242"/>
      <c r="M42" s="242"/>
      <c r="N42" s="364"/>
      <c r="O42" s="364"/>
      <c r="P42" s="364"/>
      <c r="Q42" s="364"/>
      <c r="R42" s="364"/>
      <c r="S42" s="364"/>
      <c r="T42" s="364"/>
      <c r="U42" s="364"/>
      <c r="V42" s="364"/>
      <c r="W42" s="364"/>
      <c r="X42" s="365"/>
      <c r="Y42" s="66"/>
      <c r="Z42" s="66"/>
      <c r="AA42" s="66"/>
      <c r="AB42" s="66"/>
      <c r="AC42" s="66" t="s">
        <v>14376</v>
      </c>
    </row>
    <row r="43" spans="1:29" ht="22.5" customHeight="1" x14ac:dyDescent="0.25">
      <c r="A43" s="223" t="s">
        <v>7191</v>
      </c>
      <c r="B43" s="224">
        <f>_xlfn.IFNA(IF(VLOOKUP($G$1,'PIIRS FY17 Reach'!$D$2:$KV$951,130,FALSE)=0,"",VLOOKUP($G$1,'PIIRS FY17 Reach'!$D$2:$KV$951,130,FALSE)),"")</f>
        <v>5716</v>
      </c>
      <c r="C43" s="225">
        <f>_xlfn.IFNA(IF(VLOOKUP($G$1,'PIIRS FY17 Reach'!$D$2:$KV$951,132,FALSE)=0,"",VLOOKUP($G$1,'PIIRS FY17 Reach'!$D$2:$KV$951,132,FALSE)),"")</f>
        <v>19434</v>
      </c>
      <c r="D43" s="226" t="s">
        <v>14526</v>
      </c>
      <c r="E43" s="224" t="str">
        <f>_xlfn.IFNA(IF(VLOOKUP($G$1,'PIIRS FY17 Reach'!$D$2:$KV$951,189,FALSE)=0,"",VLOOKUP($G$1,'PIIRS FY17 Reach'!$D$2:$KV$951,189,FALSE)),"")</f>
        <v/>
      </c>
      <c r="F43" s="225" t="str">
        <f>_xlfn.IFNA(IF(VLOOKUP($G$1,'PIIRS FY17 Reach'!$D$2:$KV$951,191,FALSE)=0,"",VLOOKUP($G$1,'PIIRS FY17 Reach'!$D$2:$KV$951,191,FALSE)),"")</f>
        <v/>
      </c>
      <c r="G43" s="124"/>
      <c r="H43" s="363" t="str">
        <f>IF(VLOOKUP($G$1,'PIIRS FY17 Reach'!$D$2:$KV$951,232,FALSE)="","","Innovations: "&amp;VLOOKUP($G$1,'PIIRS FY17 Reach'!$D$2:$KV$951,232,FALSE))</f>
        <v>Innovations: VSLA and FFBS model</v>
      </c>
      <c r="I43" s="364"/>
      <c r="J43" s="364"/>
      <c r="K43" s="364"/>
      <c r="L43" s="242"/>
      <c r="N43" s="364" t="str">
        <f>IF(VLOOKUP($G$1,'PIIRS FY17 Reach'!$D$2:$KV$951,234,FALSE)="","","Scaling up: "&amp;VLOOKUP($G$1,'PIIRS FY17 Reach'!$D$2:$KV$951,234,FALSE))</f>
        <v>Scaling up: Program advisory and Coordination Committee (PACC) meeting</v>
      </c>
      <c r="O43" s="364"/>
      <c r="P43" s="364"/>
      <c r="Q43" s="364"/>
      <c r="R43" s="364"/>
      <c r="S43" s="364"/>
      <c r="T43" s="364"/>
      <c r="U43" s="364"/>
      <c r="V43" s="364"/>
      <c r="W43" s="364"/>
      <c r="X43" s="365"/>
      <c r="Y43" s="66" t="s">
        <v>14375</v>
      </c>
      <c r="Z43" s="75"/>
      <c r="AA43" s="76">
        <f>_xlfn.IFNA(VLOOKUP($G$1,'PIIRS FY17 Reach'!$D$2:$KV$952,285,FALSE)/1000,"")</f>
        <v>63.904000000000003</v>
      </c>
      <c r="AB43" s="76">
        <f>_xlfn.IFNA(VLOOKUP($G$1,'PIIRS FY17 Reach'!$D$2:$KV$952,286,FALSE)/1000,"")</f>
        <v>212.77199999999999</v>
      </c>
      <c r="AC43" s="66" t="s">
        <v>2931</v>
      </c>
    </row>
    <row r="44" spans="1:29" ht="22.5" customHeight="1" x14ac:dyDescent="0.25">
      <c r="A44" s="223" t="s">
        <v>384</v>
      </c>
      <c r="B44" s="224" t="str">
        <f>_xlfn.IFNA(IF(VLOOKUP($G$1,'PIIRS FY17 Reach'!$D$2:$KV$951,135,FALSE)=0,"",VLOOKUP($G$1,'PIIRS FY17 Reach'!$D$2:$KV$951,135,FALSE)),"")</f>
        <v/>
      </c>
      <c r="C44" s="225" t="str">
        <f>_xlfn.IFNA(IF(VLOOKUP($G$1,'PIIRS FY17 Reach'!$D$2:$KV$951,137,FALSE)=0,"",VLOOKUP($G$1,'PIIRS FY17 Reach'!$D$2:$KV$951,137,FALSE)),"")</f>
        <v/>
      </c>
      <c r="D44" s="226" t="s">
        <v>14527</v>
      </c>
      <c r="E44" s="224">
        <f>_xlfn.IFNA(IF(VLOOKUP($G$1,'PIIRS FY17 Reach'!$D$2:$KV$951,193,FALSE)=0,"",VLOOKUP($G$1,'PIIRS FY17 Reach'!$D$2:$KV$951,193,FALSE)),"")</f>
        <v>9831</v>
      </c>
      <c r="F44" s="225">
        <f>_xlfn.IFNA(IF(VLOOKUP($G$1,'PIIRS FY17 Reach'!$D$2:$KV$951,195,FALSE)=0,"",VLOOKUP($G$1,'PIIRS FY17 Reach'!$D$2:$KV$951,195,FALSE)),"")</f>
        <v>33425</v>
      </c>
      <c r="G44" s="124"/>
      <c r="H44" s="363"/>
      <c r="I44" s="364"/>
      <c r="J44" s="364"/>
      <c r="K44" s="364"/>
      <c r="L44" s="242"/>
      <c r="M44" s="242"/>
      <c r="N44" s="364"/>
      <c r="O44" s="364"/>
      <c r="P44" s="364"/>
      <c r="Q44" s="364"/>
      <c r="R44" s="364"/>
      <c r="S44" s="364"/>
      <c r="T44" s="364"/>
      <c r="U44" s="364"/>
      <c r="V44" s="364"/>
      <c r="W44" s="364"/>
      <c r="X44" s="365"/>
      <c r="Y44" s="66"/>
      <c r="Z44" s="77"/>
      <c r="AA44" s="78"/>
      <c r="AB44" s="78"/>
      <c r="AC44" s="66" t="s">
        <v>2956</v>
      </c>
    </row>
    <row r="45" spans="1:29" ht="22.5" customHeight="1" x14ac:dyDescent="0.25">
      <c r="A45" s="229"/>
      <c r="B45" s="230"/>
      <c r="C45" s="231"/>
      <c r="D45" s="226" t="s">
        <v>14368</v>
      </c>
      <c r="E45" s="224" t="str">
        <f>_xlfn.IFNA(IF(VLOOKUP($G$1,'PIIRS FY17 Reach'!$D$2:$KV$951,197,FALSE)=0,"",VLOOKUP($G$1,'PIIRS FY17 Reach'!$D$2:$KV$951,197,FALSE)),"")</f>
        <v/>
      </c>
      <c r="F45" s="225" t="str">
        <f>_xlfn.IFNA(IF(VLOOKUP($G$1,'PIIRS FY17 Reach'!$D$2:$KV$951,199,FALSE)=0,"",VLOOKUP($G$1,'PIIRS FY17 Reach'!$D$2:$KV$951,199,FALSE)),"")</f>
        <v/>
      </c>
      <c r="G45" s="124"/>
      <c r="H45" s="363"/>
      <c r="I45" s="364"/>
      <c r="J45" s="364"/>
      <c r="K45" s="364"/>
      <c r="L45" s="242"/>
      <c r="M45" s="242"/>
      <c r="N45" s="364"/>
      <c r="O45" s="364"/>
      <c r="P45" s="364"/>
      <c r="Q45" s="364"/>
      <c r="R45" s="364"/>
      <c r="S45" s="364"/>
      <c r="T45" s="364"/>
      <c r="U45" s="364"/>
      <c r="V45" s="364"/>
      <c r="W45" s="364"/>
      <c r="X45" s="365"/>
      <c r="Y45" s="66"/>
      <c r="Z45" s="77"/>
      <c r="AA45" s="78"/>
      <c r="AB45" s="78"/>
      <c r="AC45" s="66" t="s">
        <v>3140</v>
      </c>
    </row>
    <row r="46" spans="1:29" ht="22.5" customHeight="1" x14ac:dyDescent="0.25">
      <c r="A46" s="229"/>
      <c r="B46" s="230"/>
      <c r="C46" s="231"/>
      <c r="D46" s="226" t="s">
        <v>7191</v>
      </c>
      <c r="E46" s="224" t="str">
        <f>_xlfn.IFNA(IF(VLOOKUP($G$1,'PIIRS FY17 Reach'!$D$2:$KV$951,201,FALSE)=0,"",VLOOKUP($G$1,'PIIRS FY17 Reach'!$D$2:$KV$951,201,FALSE)),"")</f>
        <v/>
      </c>
      <c r="F46" s="225" t="str">
        <f>_xlfn.IFNA(IF(VLOOKUP($G$1,'PIIRS FY17 Reach'!$D$2:$KV$951,203,FALSE)=0,"",VLOOKUP($G$1,'PIIRS FY17 Reach'!$D$2:$KV$951,203,FALSE)),"")</f>
        <v/>
      </c>
      <c r="G46" s="124"/>
      <c r="H46" s="363"/>
      <c r="I46" s="364"/>
      <c r="J46" s="364"/>
      <c r="K46" s="364"/>
      <c r="L46" s="242"/>
      <c r="M46" s="242"/>
      <c r="N46" s="364"/>
      <c r="O46" s="364"/>
      <c r="P46" s="364"/>
      <c r="Q46" s="364"/>
      <c r="R46" s="364"/>
      <c r="S46" s="364"/>
      <c r="T46" s="364"/>
      <c r="U46" s="364"/>
      <c r="V46" s="364"/>
      <c r="W46" s="364"/>
      <c r="X46" s="365"/>
      <c r="Y46" s="66"/>
      <c r="Z46" s="66"/>
      <c r="AA46" s="66"/>
      <c r="AB46" s="66"/>
      <c r="AC46" s="66" t="s">
        <v>3148</v>
      </c>
    </row>
    <row r="47" spans="1:29" ht="22.5" customHeight="1" x14ac:dyDescent="0.25">
      <c r="A47" s="229"/>
      <c r="B47" s="230"/>
      <c r="C47" s="231"/>
      <c r="D47" s="226" t="s">
        <v>14377</v>
      </c>
      <c r="E47" s="224">
        <f>_xlfn.IFNA(IF(VLOOKUP($G$1,'PIIRS FY17 Reach'!$D$2:$KV$951,205,FALSE)=0,"",VLOOKUP($G$1,'PIIRS FY17 Reach'!$D$2:$KV$951,205,FALSE)),"")</f>
        <v>32559</v>
      </c>
      <c r="F47" s="225">
        <f>_xlfn.IFNA(IF(VLOOKUP($G$1,'PIIRS FY17 Reach'!$D$2:$KV$951,207,FALSE)=0,"",VLOOKUP($G$1,'PIIRS FY17 Reach'!$D$2:$KV$951,207,FALSE)),"")</f>
        <v>110287</v>
      </c>
      <c r="G47" s="124"/>
      <c r="H47" s="363"/>
      <c r="I47" s="364"/>
      <c r="J47" s="364"/>
      <c r="K47" s="364"/>
      <c r="L47" s="126"/>
      <c r="M47" s="126"/>
      <c r="N47" s="364"/>
      <c r="O47" s="364"/>
      <c r="P47" s="364"/>
      <c r="Q47" s="364"/>
      <c r="R47" s="364"/>
      <c r="S47" s="364"/>
      <c r="T47" s="364"/>
      <c r="U47" s="364"/>
      <c r="V47" s="364"/>
      <c r="W47" s="364"/>
      <c r="X47" s="365"/>
      <c r="Y47" s="66"/>
      <c r="Z47" s="66"/>
      <c r="AA47" s="66"/>
      <c r="AB47" s="66"/>
      <c r="AC47" s="66" t="s">
        <v>14378</v>
      </c>
    </row>
    <row r="48" spans="1:29" ht="22.5" customHeight="1" x14ac:dyDescent="0.25">
      <c r="A48" s="229"/>
      <c r="B48" s="230"/>
      <c r="C48" s="231"/>
      <c r="D48" s="232" t="s">
        <v>384</v>
      </c>
      <c r="E48" s="224" t="str">
        <f>_xlfn.IFNA(IF(VLOOKUP($G$1,'PIIRS FY17 Reach'!$D$2:$KV$951,210,FALSE)=0,"",VLOOKUP($G$1,'PIIRS FY17 Reach'!$D$2:$KV$951,210,FALSE)),"")</f>
        <v/>
      </c>
      <c r="F48" s="225" t="str">
        <f>_xlfn.IFNA(IF(VLOOKUP($G$1,'PIIRS FY17 Reach'!$D$2:$KV$951,212,FALSE)=0,"",VLOOKUP($G$1,'PIIRS FY17 Reach'!$D$2:$KV$951,212,FALSE)),"")</f>
        <v/>
      </c>
      <c r="G48" s="124"/>
      <c r="H48" s="363"/>
      <c r="I48" s="364"/>
      <c r="J48" s="364"/>
      <c r="K48" s="364"/>
      <c r="L48" s="126"/>
      <c r="M48" s="126"/>
      <c r="N48" s="126"/>
      <c r="O48" s="126"/>
      <c r="P48" s="126"/>
      <c r="Q48" s="126"/>
      <c r="R48" s="126"/>
      <c r="S48" s="126"/>
      <c r="T48" s="126"/>
      <c r="U48" s="126"/>
      <c r="V48" s="126"/>
      <c r="W48" s="126"/>
      <c r="X48" s="184"/>
      <c r="Y48" s="66" t="s">
        <v>14377</v>
      </c>
      <c r="Z48" s="75"/>
      <c r="AA48" s="76">
        <f>_xlfn.IFNA(VLOOKUP($G$1,'PIIRS FY17 Reach'!$D$2:$KV$952,297,FALSE)/1000,"")</f>
        <v>43.243000000000002</v>
      </c>
      <c r="AB48" s="76">
        <f>_xlfn.IFNA(VLOOKUP($G$1,'PIIRS FY17 Reach'!$D$2:$KV$952,298,FALSE)/1000,"")</f>
        <v>147.02600000000001</v>
      </c>
      <c r="AC48" s="66" t="s">
        <v>14379</v>
      </c>
    </row>
    <row r="49" spans="1:29" ht="22.5" customHeight="1" x14ac:dyDescent="0.25">
      <c r="A49" s="233"/>
      <c r="B49" s="234"/>
      <c r="C49" s="235"/>
      <c r="D49" s="126"/>
      <c r="E49" s="126"/>
      <c r="F49" s="184"/>
      <c r="G49" s="124"/>
      <c r="H49" s="127"/>
      <c r="I49" s="124"/>
      <c r="K49" s="242"/>
      <c r="L49" s="242"/>
      <c r="M49" s="242"/>
      <c r="N49" s="242"/>
      <c r="O49" s="242"/>
      <c r="P49" s="242"/>
      <c r="Q49" s="242"/>
      <c r="R49" s="242"/>
      <c r="S49" s="242"/>
      <c r="T49" s="126"/>
      <c r="U49" s="126"/>
      <c r="V49" s="126"/>
      <c r="W49" s="126"/>
      <c r="X49" s="184"/>
      <c r="Y49" s="66"/>
      <c r="Z49" s="66"/>
      <c r="AA49" s="66"/>
      <c r="AB49" s="66"/>
      <c r="AC49" s="66" t="s">
        <v>3231</v>
      </c>
    </row>
    <row r="50" spans="1:29" ht="35.450000000000003" customHeight="1" x14ac:dyDescent="0.25">
      <c r="A50" s="236" t="s">
        <v>14519</v>
      </c>
      <c r="B50" s="240">
        <f>IFERROR(VLOOKUP($G$1,'PIIRS FY17 Reach'!$D$2:$KV$951,79,FALSE)/(VLOOKUP($G$1,'PIIRS FY17 Reach'!$D$2:$KV$951,81,FALSE)),"")</f>
        <v>0.48600419874037787</v>
      </c>
      <c r="C50" s="241">
        <f>IFERROR(VLOOKUP($G$1,'PIIRS FY17 Reach'!$D$2:$KV$951,82,FALSE)/(VLOOKUP($G$1,'PIIRS FY17 Reach'!$D$2:$KV$951,84,FALSE)),"")</f>
        <v>0.49799320778017908</v>
      </c>
      <c r="D50" s="237" t="s">
        <v>14519</v>
      </c>
      <c r="E50" s="240">
        <f>IFERROR(VLOOKUP($G$1,'PIIRS FY17 Reach'!$D$2:$KV$951,138,FALSE)/(VLOOKUP($G$1,'PIIRS FY17 Reach'!$D$2:$KV$951,140,FALSE)),"")</f>
        <v>0.74060450320695481</v>
      </c>
      <c r="F50" s="241">
        <f>IFERROR(VLOOKUP($G$1,'PIIRS FY17 Reach'!$D$2:$KV$951,141,FALSE)/(VLOOKUP($G$1,'PIIRS FY17 Reach'!$D$2:$KV$951,143,FALSE)),"")</f>
        <v>0.49800084963890345</v>
      </c>
      <c r="G50" s="124"/>
      <c r="H50" s="368" t="s">
        <v>14560</v>
      </c>
      <c r="I50" s="372" t="s">
        <v>14530</v>
      </c>
      <c r="J50" s="370" t="str">
        <f>IF(VLOOKUP($G$1,'PIIRS FY17 Reach'!$D$2:$KV$951,213,FALSE)="NO","No",VLOOKUP($G$1,'PIIRS FY17 Reach'!$D$2:$KV$951,214,FALSE))&amp;" "&amp;VLOOKUP($G$1,'PIIRS FY17 Reach'!$D$2:$KV$951,215,FALSE)</f>
        <v xml:space="preserve">No </v>
      </c>
      <c r="K50" s="372" t="s">
        <v>14529</v>
      </c>
      <c r="L50" s="370" t="str">
        <f>IF(VLOOKUP($G$1,'PIIRS FY17 Reach'!$D$2:$KV$951,217,FALSE)="NO","No",VLOOKUP($G$1,'PIIRS FY17 Reach'!$D$2:$KV$951,218,FALSE))&amp;" "&amp;VLOOKUP($G$1,'PIIRS FY17 Reach'!$D$2:$KV$951,219,FALSE)</f>
        <v>March 2018</v>
      </c>
      <c r="M50" s="242"/>
      <c r="N50" s="364" t="str">
        <f>IF(VLOOKUP($G$1,'PIIRS FY17 Reach'!$D$2:$KV$951,220,FALSE)="","",VLOOKUP($G$1,'PIIRS FY17 Reach'!$D$2:$KV$951,220,FALSE))</f>
        <v>The methods employed will sample the participant population. The MTE will take place approximately during March-May 2018. CARE will finalize the timing of the MTE data collection after consultation with and approval of the AoR and the USAID Mission. The midterm evaluation will be managed by CARE through an externally contracted third party firm.</v>
      </c>
      <c r="O50" s="364"/>
      <c r="P50" s="364"/>
      <c r="Q50" s="364"/>
      <c r="R50" s="364"/>
      <c r="S50" s="364"/>
      <c r="T50" s="364"/>
      <c r="U50" s="364"/>
      <c r="V50" s="364"/>
      <c r="W50" s="364"/>
      <c r="X50" s="365"/>
      <c r="Y50" s="66"/>
      <c r="Z50" s="66"/>
      <c r="AA50" s="66"/>
      <c r="AB50" s="66"/>
      <c r="AC50" s="66" t="s">
        <v>3249</v>
      </c>
    </row>
    <row r="51" spans="1:29" ht="44.1" customHeight="1" thickBot="1" x14ac:dyDescent="0.3">
      <c r="A51" s="238"/>
      <c r="B51" s="191"/>
      <c r="C51" s="201"/>
      <c r="D51" s="191"/>
      <c r="E51" s="191"/>
      <c r="F51" s="201"/>
      <c r="G51" s="124"/>
      <c r="H51" s="369"/>
      <c r="I51" s="373"/>
      <c r="J51" s="371"/>
      <c r="K51" s="373"/>
      <c r="L51" s="371"/>
      <c r="M51" s="244"/>
      <c r="N51" s="366"/>
      <c r="O51" s="366"/>
      <c r="P51" s="366"/>
      <c r="Q51" s="366"/>
      <c r="R51" s="366"/>
      <c r="S51" s="366"/>
      <c r="T51" s="366"/>
      <c r="U51" s="366"/>
      <c r="V51" s="366"/>
      <c r="W51" s="366"/>
      <c r="X51" s="367"/>
      <c r="Y51" s="66"/>
      <c r="Z51" s="66"/>
      <c r="AA51" s="66"/>
      <c r="AB51" s="66"/>
      <c r="AC51" s="66" t="s">
        <v>14380</v>
      </c>
    </row>
    <row r="52" spans="1:29" x14ac:dyDescent="0.25">
      <c r="A52" s="65"/>
      <c r="B52" s="65"/>
      <c r="C52" s="65"/>
      <c r="D52" s="65"/>
      <c r="E52" s="65"/>
      <c r="F52" s="65"/>
      <c r="G52" s="65"/>
      <c r="H52" s="65"/>
      <c r="I52" s="65"/>
      <c r="J52" s="65"/>
      <c r="K52" s="65"/>
      <c r="L52" s="65"/>
      <c r="M52" s="65"/>
      <c r="N52" s="65"/>
      <c r="O52" s="65"/>
      <c r="P52" s="65"/>
      <c r="Q52" s="65"/>
      <c r="R52" s="65"/>
      <c r="S52" s="65"/>
      <c r="T52" s="65"/>
      <c r="U52" s="65"/>
      <c r="V52" s="65"/>
      <c r="W52" s="65"/>
      <c r="X52" s="65"/>
      <c r="Y52" s="66"/>
      <c r="Z52" s="66"/>
      <c r="AA52" s="66"/>
      <c r="AB52" s="66"/>
      <c r="AC52" s="66" t="s">
        <v>14381</v>
      </c>
    </row>
    <row r="53" spans="1:29" x14ac:dyDescent="0.25">
      <c r="A53" s="65"/>
      <c r="B53" s="65"/>
      <c r="C53" s="65"/>
      <c r="D53" s="65"/>
      <c r="E53" s="65"/>
      <c r="F53" s="65"/>
      <c r="G53" s="65"/>
      <c r="H53" s="65"/>
      <c r="I53" s="65"/>
      <c r="J53" s="65"/>
      <c r="K53" s="65"/>
      <c r="L53" s="65"/>
      <c r="M53" s="65"/>
      <c r="N53" s="65"/>
      <c r="O53" s="65"/>
      <c r="P53" s="65"/>
      <c r="Q53" s="65"/>
      <c r="R53" s="65"/>
      <c r="S53" s="65"/>
      <c r="T53" s="65"/>
      <c r="U53" s="65"/>
      <c r="V53" s="65"/>
      <c r="W53" s="65"/>
      <c r="X53" s="65"/>
      <c r="Y53" s="66"/>
      <c r="Z53" s="66"/>
      <c r="AA53" s="66"/>
      <c r="AB53" s="66"/>
      <c r="AC53" s="66" t="s">
        <v>3261</v>
      </c>
    </row>
    <row r="54" spans="1:29" x14ac:dyDescent="0.25">
      <c r="A54" s="65"/>
      <c r="B54" s="65"/>
      <c r="C54" s="65"/>
      <c r="D54" s="65"/>
      <c r="E54" s="65"/>
      <c r="F54" s="65"/>
      <c r="G54" s="65"/>
      <c r="H54" s="65"/>
      <c r="I54" s="65"/>
      <c r="J54" s="65"/>
      <c r="K54" s="65"/>
      <c r="L54" s="65"/>
      <c r="M54" s="65"/>
      <c r="N54" s="65"/>
      <c r="O54" s="65"/>
      <c r="P54" s="65"/>
      <c r="Q54" s="65"/>
      <c r="R54" s="65"/>
      <c r="S54" s="65"/>
      <c r="T54" s="65"/>
      <c r="U54" s="65"/>
      <c r="V54" s="65"/>
      <c r="W54" s="65"/>
      <c r="X54" s="65"/>
      <c r="Y54" s="66"/>
      <c r="Z54" s="66"/>
      <c r="AA54" s="66"/>
      <c r="AB54" s="66"/>
      <c r="AC54" s="66" t="s">
        <v>14322</v>
      </c>
    </row>
    <row r="55" spans="1:29" x14ac:dyDescent="0.25">
      <c r="A55" s="65"/>
      <c r="B55" s="65"/>
      <c r="C55" s="65"/>
      <c r="D55" s="65"/>
      <c r="E55" s="65"/>
      <c r="F55" s="65"/>
      <c r="G55" s="65"/>
      <c r="H55" s="65"/>
      <c r="I55" s="65"/>
      <c r="J55" s="65"/>
      <c r="K55" s="65"/>
      <c r="L55" s="65"/>
      <c r="M55" s="65"/>
      <c r="N55" s="65"/>
      <c r="O55" s="65"/>
      <c r="P55" s="65"/>
      <c r="Q55" s="65"/>
      <c r="R55" s="65"/>
      <c r="S55" s="65"/>
      <c r="T55" s="65"/>
      <c r="U55" s="65"/>
      <c r="V55" s="65"/>
      <c r="W55" s="65"/>
      <c r="X55" s="65"/>
      <c r="Y55" s="66"/>
      <c r="Z55" s="66"/>
      <c r="AA55" s="66"/>
      <c r="AB55" s="66"/>
      <c r="AC55" s="66" t="s">
        <v>3272</v>
      </c>
    </row>
    <row r="56" spans="1:29" x14ac:dyDescent="0.25">
      <c r="A56" s="65"/>
      <c r="B56" s="65"/>
      <c r="C56" s="65"/>
      <c r="D56" s="65"/>
      <c r="E56" s="65"/>
      <c r="F56" s="65"/>
      <c r="G56" s="65"/>
      <c r="H56" s="65"/>
      <c r="I56" s="65"/>
      <c r="J56" s="65"/>
      <c r="K56" s="65"/>
      <c r="L56" s="65"/>
      <c r="M56" s="65"/>
      <c r="N56" s="65"/>
      <c r="O56" s="65"/>
      <c r="P56" s="65"/>
      <c r="Q56" s="65"/>
      <c r="R56" s="65"/>
      <c r="S56" s="65"/>
      <c r="T56" s="65"/>
      <c r="U56" s="65"/>
      <c r="V56" s="65"/>
      <c r="W56" s="65"/>
      <c r="X56" s="65"/>
      <c r="Y56" s="66"/>
      <c r="Z56" s="66"/>
      <c r="AA56" s="66"/>
      <c r="AB56" s="66"/>
      <c r="AC56" s="66" t="s">
        <v>3546</v>
      </c>
    </row>
    <row r="57" spans="1:29" x14ac:dyDescent="0.25">
      <c r="A57" s="65"/>
      <c r="B57" s="65"/>
      <c r="C57" s="65"/>
      <c r="D57" s="65"/>
      <c r="E57" s="65"/>
      <c r="F57" s="65"/>
      <c r="G57" s="65"/>
      <c r="H57" s="65"/>
      <c r="I57" s="65"/>
      <c r="J57" s="65"/>
      <c r="K57" s="65"/>
      <c r="L57" s="65"/>
      <c r="M57" s="65"/>
      <c r="N57" s="65"/>
      <c r="O57" s="65"/>
      <c r="P57" s="65"/>
      <c r="Q57" s="65"/>
      <c r="R57" s="65"/>
      <c r="S57" s="65"/>
      <c r="T57" s="65"/>
      <c r="U57" s="65"/>
      <c r="V57" s="65"/>
      <c r="W57" s="65"/>
      <c r="X57" s="65"/>
      <c r="Y57" s="66"/>
      <c r="Z57" s="66"/>
      <c r="AA57" s="66"/>
      <c r="AB57" s="66"/>
      <c r="AC57" s="66" t="s">
        <v>14382</v>
      </c>
    </row>
    <row r="58" spans="1:29" x14ac:dyDescent="0.25">
      <c r="A58" s="65"/>
      <c r="B58" s="65"/>
      <c r="C58" s="65"/>
      <c r="D58" s="65"/>
      <c r="E58" s="65"/>
      <c r="F58" s="65"/>
      <c r="G58" s="65"/>
      <c r="H58" s="65"/>
      <c r="I58" s="65"/>
      <c r="J58" s="65"/>
      <c r="K58" s="65"/>
      <c r="L58" s="65"/>
      <c r="M58" s="65"/>
      <c r="N58" s="65"/>
      <c r="O58" s="65"/>
      <c r="P58" s="65"/>
      <c r="Q58" s="65"/>
      <c r="R58" s="65"/>
      <c r="S58" s="65"/>
      <c r="T58" s="65"/>
      <c r="U58" s="65"/>
      <c r="V58" s="65"/>
      <c r="W58" s="65"/>
      <c r="X58" s="65"/>
      <c r="Y58" s="66"/>
      <c r="Z58" s="66"/>
      <c r="AA58" s="66"/>
      <c r="AB58" s="66"/>
      <c r="AC58" s="66" t="s">
        <v>14383</v>
      </c>
    </row>
    <row r="59" spans="1:29" x14ac:dyDescent="0.25">
      <c r="A59" s="65"/>
      <c r="B59" s="65"/>
      <c r="C59" s="65"/>
      <c r="D59" s="65"/>
      <c r="E59" s="65"/>
      <c r="F59" s="65"/>
      <c r="G59" s="65"/>
      <c r="H59" s="65"/>
      <c r="I59" s="65"/>
      <c r="J59" s="65"/>
      <c r="K59" s="65"/>
      <c r="L59" s="65"/>
      <c r="M59" s="65"/>
      <c r="N59" s="65"/>
      <c r="O59" s="65"/>
      <c r="P59" s="65"/>
      <c r="Q59" s="65"/>
      <c r="R59" s="65"/>
      <c r="S59" s="65"/>
      <c r="T59" s="65"/>
      <c r="U59" s="65"/>
      <c r="V59" s="65"/>
      <c r="W59" s="65"/>
      <c r="X59" s="65"/>
      <c r="Y59" s="66"/>
      <c r="Z59" s="66"/>
      <c r="AA59" s="66"/>
      <c r="AB59" s="66"/>
      <c r="AC59" s="66" t="s">
        <v>14384</v>
      </c>
    </row>
    <row r="60" spans="1:29" x14ac:dyDescent="0.25">
      <c r="A60" s="65"/>
      <c r="B60" s="65"/>
      <c r="C60" s="65"/>
      <c r="D60" s="65"/>
      <c r="E60" s="65"/>
      <c r="F60" s="65"/>
      <c r="G60" s="65"/>
      <c r="H60" s="65"/>
      <c r="I60" s="65"/>
      <c r="J60" s="65"/>
      <c r="K60" s="65"/>
      <c r="L60" s="65"/>
      <c r="M60" s="65"/>
      <c r="N60" s="65"/>
      <c r="O60" s="65"/>
      <c r="P60" s="65"/>
      <c r="Q60" s="65"/>
      <c r="R60" s="65"/>
      <c r="S60" s="65"/>
      <c r="T60" s="65"/>
      <c r="U60" s="65"/>
      <c r="V60" s="65"/>
      <c r="W60" s="65"/>
      <c r="X60" s="65"/>
      <c r="Y60" s="66"/>
      <c r="Z60" s="66"/>
      <c r="AA60" s="66"/>
      <c r="AB60" s="66"/>
      <c r="AC60" s="66" t="s">
        <v>14385</v>
      </c>
    </row>
    <row r="61" spans="1:29" ht="12.6" customHeight="1" x14ac:dyDescent="0.25">
      <c r="A61" s="65"/>
      <c r="B61" s="65"/>
      <c r="C61" s="65"/>
      <c r="D61" s="65"/>
      <c r="E61" s="65"/>
      <c r="F61" s="65"/>
      <c r="G61" s="65"/>
      <c r="H61" s="65"/>
      <c r="I61" s="65"/>
      <c r="J61" s="65"/>
      <c r="K61" s="65"/>
      <c r="L61" s="65"/>
      <c r="M61" s="65"/>
      <c r="N61" s="65"/>
      <c r="O61" s="65"/>
      <c r="P61" s="65"/>
      <c r="Q61" s="65"/>
      <c r="R61" s="65"/>
      <c r="S61" s="65"/>
      <c r="T61" s="65"/>
      <c r="U61" s="65"/>
      <c r="V61" s="65"/>
      <c r="W61" s="65"/>
      <c r="X61" s="65"/>
      <c r="Y61" s="66"/>
      <c r="Z61" s="66"/>
      <c r="AA61" s="66"/>
      <c r="AB61" s="66"/>
      <c r="AC61" s="66" t="s">
        <v>3868</v>
      </c>
    </row>
    <row r="62" spans="1:29" x14ac:dyDescent="0.25">
      <c r="A62" s="65"/>
      <c r="B62" s="65"/>
      <c r="C62" s="65"/>
      <c r="D62" s="65"/>
      <c r="E62" s="65"/>
      <c r="F62" s="65"/>
      <c r="G62" s="65"/>
      <c r="H62" s="65"/>
      <c r="I62" s="65"/>
      <c r="J62" s="65"/>
      <c r="K62" s="65"/>
      <c r="L62" s="65"/>
      <c r="M62" s="65"/>
      <c r="N62" s="65"/>
      <c r="O62" s="65"/>
      <c r="P62" s="65"/>
      <c r="Q62" s="65"/>
      <c r="R62" s="65"/>
      <c r="S62" s="65"/>
      <c r="T62" s="65"/>
      <c r="U62" s="65"/>
      <c r="V62" s="65"/>
      <c r="W62" s="65"/>
      <c r="X62" s="65"/>
      <c r="Y62" s="66"/>
      <c r="Z62" s="66"/>
      <c r="AA62" s="66"/>
      <c r="AB62" s="66"/>
      <c r="AC62" s="66" t="s">
        <v>4268</v>
      </c>
    </row>
    <row r="63" spans="1:29" ht="12.6" customHeight="1" x14ac:dyDescent="0.25">
      <c r="A63" s="65"/>
      <c r="B63" s="65"/>
      <c r="C63" s="65"/>
      <c r="D63" s="65"/>
      <c r="E63" s="65"/>
      <c r="F63" s="65"/>
      <c r="G63" s="65"/>
      <c r="H63" s="65"/>
      <c r="I63" s="65"/>
      <c r="J63" s="65"/>
      <c r="K63" s="65"/>
      <c r="L63" s="65"/>
      <c r="M63" s="65"/>
      <c r="N63" s="65"/>
      <c r="O63" s="65"/>
      <c r="P63" s="65"/>
      <c r="Q63" s="65"/>
      <c r="R63" s="65"/>
      <c r="S63" s="65"/>
      <c r="T63" s="65"/>
      <c r="U63" s="65"/>
      <c r="V63" s="65"/>
      <c r="W63" s="65"/>
      <c r="X63" s="65"/>
      <c r="Y63" s="66"/>
      <c r="Z63" s="66"/>
      <c r="AA63" s="66"/>
      <c r="AB63" s="66"/>
      <c r="AC63" s="66" t="s">
        <v>14386</v>
      </c>
    </row>
    <row r="64" spans="1:29" x14ac:dyDescent="0.25">
      <c r="A64" s="65"/>
      <c r="B64" s="65"/>
      <c r="C64" s="65"/>
      <c r="D64" s="65"/>
      <c r="E64" s="65"/>
      <c r="F64" s="65"/>
      <c r="G64" s="65"/>
      <c r="H64" s="65"/>
      <c r="I64" s="65"/>
      <c r="J64" s="65"/>
      <c r="K64" s="65"/>
      <c r="L64" s="65"/>
      <c r="M64" s="65"/>
      <c r="N64" s="65"/>
      <c r="O64" s="65"/>
      <c r="P64" s="65"/>
      <c r="Q64" s="65"/>
      <c r="R64" s="65"/>
      <c r="S64" s="65"/>
      <c r="T64" s="65"/>
      <c r="U64" s="65"/>
      <c r="V64" s="65"/>
      <c r="W64" s="65"/>
      <c r="X64" s="65"/>
      <c r="Y64" s="66"/>
      <c r="Z64" s="66"/>
      <c r="AA64" s="66"/>
      <c r="AB64" s="66"/>
      <c r="AC64" s="66" t="s">
        <v>4293</v>
      </c>
    </row>
    <row r="65" spans="1:32" x14ac:dyDescent="0.25">
      <c r="A65" s="65"/>
      <c r="B65" s="65"/>
      <c r="C65" s="65"/>
      <c r="D65" s="65"/>
      <c r="E65" s="65"/>
      <c r="F65" s="65"/>
      <c r="G65" s="65"/>
      <c r="H65" s="65"/>
      <c r="I65" s="65"/>
      <c r="J65" s="65"/>
      <c r="K65" s="65"/>
      <c r="L65" s="65"/>
      <c r="M65" s="65"/>
      <c r="N65" s="65"/>
      <c r="O65" s="65"/>
      <c r="P65" s="65"/>
      <c r="Q65" s="65"/>
      <c r="R65" s="65"/>
      <c r="S65" s="65"/>
      <c r="T65" s="65"/>
      <c r="U65" s="65"/>
      <c r="V65" s="65"/>
      <c r="W65" s="65"/>
      <c r="X65" s="65"/>
      <c r="Y65" s="66"/>
      <c r="Z65" s="66"/>
      <c r="AA65" s="66"/>
      <c r="AB65" s="66"/>
      <c r="AC65" s="66" t="s">
        <v>14387</v>
      </c>
    </row>
    <row r="66" spans="1:32" x14ac:dyDescent="0.25">
      <c r="A66" s="65"/>
      <c r="B66" s="65"/>
      <c r="C66" s="65"/>
      <c r="D66" s="65"/>
      <c r="E66" s="65"/>
      <c r="F66" s="65"/>
      <c r="G66" s="65"/>
      <c r="H66" s="65"/>
      <c r="I66" s="65"/>
      <c r="J66" s="65"/>
      <c r="K66" s="65"/>
      <c r="L66" s="65"/>
      <c r="M66" s="65"/>
      <c r="N66" s="65"/>
      <c r="O66" s="65"/>
      <c r="P66" s="65"/>
      <c r="Q66" s="65"/>
      <c r="R66" s="65"/>
      <c r="S66" s="65"/>
      <c r="T66" s="65"/>
      <c r="U66" s="65"/>
      <c r="V66" s="65"/>
      <c r="W66" s="65"/>
      <c r="X66" s="65"/>
      <c r="Y66" s="66"/>
      <c r="Z66" s="66"/>
      <c r="AA66" s="66"/>
      <c r="AB66" s="66"/>
      <c r="AC66" s="66" t="s">
        <v>14388</v>
      </c>
    </row>
    <row r="67" spans="1:32" x14ac:dyDescent="0.25">
      <c r="A67" s="65"/>
      <c r="B67" s="65"/>
      <c r="C67" s="65"/>
      <c r="D67" s="65"/>
      <c r="E67" s="65"/>
      <c r="F67" s="65"/>
      <c r="G67" s="65"/>
      <c r="H67" s="66"/>
      <c r="T67" s="65"/>
      <c r="U67" s="65"/>
      <c r="V67" s="65"/>
      <c r="W67" s="65"/>
      <c r="X67" s="65"/>
      <c r="Y67" s="66"/>
      <c r="Z67" s="66"/>
      <c r="AA67" s="66"/>
      <c r="AB67" s="66"/>
      <c r="AC67" s="66" t="s">
        <v>4346</v>
      </c>
    </row>
    <row r="68" spans="1:32" x14ac:dyDescent="0.25">
      <c r="A68" s="65"/>
      <c r="B68" s="65"/>
      <c r="C68" s="65"/>
      <c r="D68" s="65"/>
      <c r="E68" s="65"/>
      <c r="F68" s="65"/>
      <c r="G68" s="65"/>
      <c r="H68" s="66" t="s">
        <v>14368</v>
      </c>
      <c r="T68" s="65"/>
      <c r="U68" s="65"/>
      <c r="V68" s="65"/>
      <c r="W68" s="65"/>
      <c r="X68" s="65"/>
      <c r="Y68" s="66"/>
      <c r="Z68" s="66"/>
      <c r="AA68" s="66"/>
      <c r="AB68" s="66"/>
      <c r="AC68" s="66" t="s">
        <v>4428</v>
      </c>
    </row>
    <row r="69" spans="1:32" x14ac:dyDescent="0.25">
      <c r="A69" s="65"/>
      <c r="B69" s="65"/>
      <c r="C69" s="65"/>
      <c r="D69" s="65"/>
      <c r="E69" s="65"/>
      <c r="F69" s="65"/>
      <c r="G69" s="65"/>
      <c r="H69" s="66"/>
      <c r="T69" s="65"/>
      <c r="U69" s="65"/>
      <c r="V69" s="65"/>
      <c r="W69" s="65"/>
      <c r="X69" s="65"/>
      <c r="Y69" s="66"/>
      <c r="Z69" s="66"/>
      <c r="AA69" s="66"/>
      <c r="AB69" s="66"/>
      <c r="AC69" s="66" t="s">
        <v>4471</v>
      </c>
    </row>
    <row r="70" spans="1:32" x14ac:dyDescent="0.25">
      <c r="A70" s="65"/>
      <c r="B70" s="65"/>
      <c r="C70" s="65"/>
      <c r="D70" s="65"/>
      <c r="E70" s="65"/>
      <c r="F70" s="65"/>
      <c r="G70" s="65"/>
      <c r="H70" s="66"/>
      <c r="T70" s="65"/>
      <c r="U70" s="65"/>
      <c r="V70" s="65"/>
      <c r="W70" s="65"/>
      <c r="X70" s="65"/>
      <c r="Y70" s="66"/>
      <c r="Z70" s="66"/>
      <c r="AA70" s="66"/>
      <c r="AB70" s="66"/>
      <c r="AC70" s="66" t="s">
        <v>4743</v>
      </c>
    </row>
    <row r="71" spans="1:32" s="80" customFormat="1" x14ac:dyDescent="0.25">
      <c r="A71" s="79"/>
      <c r="B71" s="79"/>
      <c r="C71" s="79"/>
      <c r="D71" s="79"/>
      <c r="E71" s="79"/>
      <c r="F71" s="79"/>
      <c r="G71" s="79"/>
      <c r="H71" s="66"/>
      <c r="T71" s="79"/>
      <c r="U71" s="79"/>
      <c r="V71" s="79"/>
      <c r="W71" s="79"/>
      <c r="X71" s="79"/>
      <c r="Y71" s="66"/>
      <c r="Z71" s="66"/>
      <c r="AA71" s="66"/>
      <c r="AB71" s="66"/>
      <c r="AC71" s="66" t="s">
        <v>14389</v>
      </c>
    </row>
    <row r="72" spans="1:32" s="80" customFormat="1" x14ac:dyDescent="0.25">
      <c r="A72" s="79"/>
      <c r="B72" s="79"/>
      <c r="C72" s="79"/>
      <c r="D72" s="79"/>
      <c r="E72" s="79"/>
      <c r="F72" s="79"/>
      <c r="G72" s="79"/>
      <c r="H72" s="66" t="s">
        <v>14371</v>
      </c>
      <c r="T72" s="79"/>
      <c r="U72" s="79"/>
      <c r="V72" s="79"/>
      <c r="W72" s="79"/>
      <c r="X72" s="79"/>
      <c r="Y72" s="66"/>
      <c r="Z72" s="66"/>
      <c r="AA72" s="66"/>
      <c r="AB72" s="66"/>
      <c r="AC72" s="66" t="s">
        <v>4777</v>
      </c>
    </row>
    <row r="73" spans="1:32" s="80" customFormat="1" x14ac:dyDescent="0.25">
      <c r="A73" s="79"/>
      <c r="B73" s="79"/>
      <c r="C73" s="79" t="s">
        <v>14503</v>
      </c>
      <c r="D73" s="79" t="str">
        <f>$I$1</f>
        <v>Bangladesh</v>
      </c>
      <c r="E73" s="79" t="str">
        <f>$L$1</f>
        <v>Asia and the Pacific</v>
      </c>
      <c r="F73" s="79"/>
      <c r="G73" s="79"/>
      <c r="H73" s="66"/>
      <c r="T73" s="79"/>
      <c r="U73" s="79"/>
      <c r="V73" s="79"/>
      <c r="W73" s="79"/>
      <c r="X73" s="79"/>
      <c r="Y73" s="66"/>
      <c r="Z73" s="66"/>
      <c r="AA73" s="66"/>
      <c r="AB73" s="66"/>
      <c r="AC73" s="66" t="s">
        <v>14390</v>
      </c>
    </row>
    <row r="74" spans="1:32" s="80" customFormat="1" x14ac:dyDescent="0.25">
      <c r="A74" s="407" t="s">
        <v>14332</v>
      </c>
      <c r="B74" s="79" t="s">
        <v>14295</v>
      </c>
      <c r="C74" s="81" t="str">
        <f>IF(VLOOKUP($G$1,'PIIRS FY17 Reach'!$D$1:$IW$951,241,FALSE)='FY17 PIIRS Project Summary'!B74,1,"")</f>
        <v/>
      </c>
      <c r="D74" s="81">
        <f>IFERROR(VLOOKUP($I$1,'Gender marker'!$A$5:$J$120,6,FALSE)/VLOOKUP($I$1,'Gender marker'!$A$5:$J$120,9,FALSE),"")</f>
        <v>0.20408163265306123</v>
      </c>
      <c r="E74" s="81">
        <v>0.14141414141414141</v>
      </c>
      <c r="F74" s="79"/>
      <c r="G74" s="79"/>
      <c r="H74" s="66"/>
      <c r="T74" s="79"/>
      <c r="U74" s="79"/>
      <c r="V74" s="79"/>
      <c r="W74" s="79"/>
      <c r="X74" s="79"/>
      <c r="Y74" s="66"/>
      <c r="Z74" s="66"/>
      <c r="AA74" s="66"/>
      <c r="AB74" s="66"/>
      <c r="AC74" s="66" t="s">
        <v>14391</v>
      </c>
    </row>
    <row r="75" spans="1:32" s="80" customFormat="1" x14ac:dyDescent="0.25">
      <c r="A75" s="407"/>
      <c r="B75" s="79" t="s">
        <v>14294</v>
      </c>
      <c r="C75" s="81" t="str">
        <f>IF(VLOOKUP($G$1,'PIIRS FY17 Reach'!$D$1:$IW$951,241,FALSE)='FY17 PIIRS Project Summary'!B75,1,"")</f>
        <v/>
      </c>
      <c r="D75" s="81">
        <f>IFERROR(VLOOKUP($I$1,'Gender marker'!$A$5:$J$120,5,FALSE)/VLOOKUP($I$1,'Gender marker'!$A$5:$J$120,9,FALSE),"")</f>
        <v>0.16326530612244897</v>
      </c>
      <c r="E75" s="81">
        <v>0.1111111111111111</v>
      </c>
      <c r="F75" s="79"/>
      <c r="G75" s="79"/>
      <c r="H75" s="66"/>
      <c r="T75" s="79"/>
      <c r="U75" s="79"/>
      <c r="V75" s="79"/>
      <c r="W75" s="79"/>
      <c r="X75" s="79"/>
      <c r="Y75" s="66"/>
      <c r="Z75" s="66"/>
      <c r="AA75" s="66"/>
      <c r="AB75" s="66"/>
      <c r="AC75" s="66" t="s">
        <v>14392</v>
      </c>
    </row>
    <row r="76" spans="1:32" s="80" customFormat="1" ht="15" x14ac:dyDescent="0.25">
      <c r="A76" s="407"/>
      <c r="B76" s="79" t="s">
        <v>14293</v>
      </c>
      <c r="C76" s="81">
        <f>IF(VLOOKUP($G$1,'PIIRS FY17 Reach'!$D$1:$IW$951,241,FALSE)='FY17 PIIRS Project Summary'!B76,1,"")</f>
        <v>1</v>
      </c>
      <c r="D76" s="81">
        <f>IFERROR(VLOOKUP($I$1,'Gender marker'!$A$5:$J$120,4,FALSE)/VLOOKUP($I$1,'Gender marker'!$A$5:$J$120,9,FALSE),"")</f>
        <v>0.44897959183673469</v>
      </c>
      <c r="E76" s="81">
        <v>0.61616161616161613</v>
      </c>
      <c r="F76" s="79"/>
      <c r="G76" s="79"/>
      <c r="H76" s="66"/>
      <c r="I76" s="127"/>
      <c r="J76" s="227"/>
      <c r="K76" s="227"/>
      <c r="L76" s="227"/>
      <c r="M76" s="227"/>
      <c r="N76" s="227"/>
      <c r="O76" s="227"/>
      <c r="P76" s="227"/>
      <c r="Q76" s="227"/>
      <c r="R76" s="227"/>
      <c r="S76" s="228"/>
      <c r="T76" s="79"/>
      <c r="U76" s="79"/>
      <c r="V76" s="79"/>
      <c r="W76" s="79"/>
      <c r="X76" s="79"/>
      <c r="Y76" s="66"/>
      <c r="Z76" s="66"/>
      <c r="AA76" s="66"/>
      <c r="AB76" s="66"/>
      <c r="AC76" s="66" t="s">
        <v>5061</v>
      </c>
    </row>
    <row r="77" spans="1:32" s="80" customFormat="1" ht="12.6" customHeight="1" x14ac:dyDescent="0.25">
      <c r="A77" s="407"/>
      <c r="B77" s="79" t="s">
        <v>14292</v>
      </c>
      <c r="C77" s="81" t="str">
        <f>IF(VLOOKUP($G$1,'PIIRS FY17 Reach'!$D$1:$IW$951,241,FALSE)='FY17 PIIRS Project Summary'!B77,1,"")</f>
        <v/>
      </c>
      <c r="D77" s="81">
        <f>IFERROR(VLOOKUP($I$1,'Gender marker'!$A$5:$J$120,3,FALSE)/VLOOKUP($I$1,'Gender marker'!$A$5:$J$120,9,FALSE),"")</f>
        <v>0.16326530612244897</v>
      </c>
      <c r="E77" s="81">
        <v>0.12121212121212122</v>
      </c>
      <c r="F77" s="79"/>
      <c r="G77" s="79"/>
      <c r="H77" s="66" t="s">
        <v>14375</v>
      </c>
      <c r="I77" s="127"/>
      <c r="P77" s="242"/>
      <c r="Q77" s="242"/>
      <c r="R77" s="242"/>
      <c r="S77" s="243"/>
      <c r="T77" s="79"/>
      <c r="U77" s="79"/>
      <c r="V77" s="79"/>
      <c r="W77" s="79"/>
      <c r="X77" s="79"/>
      <c r="Y77" s="66"/>
      <c r="Z77" s="66"/>
      <c r="AA77" s="66"/>
      <c r="AB77" s="66"/>
      <c r="AC77" s="66" t="s">
        <v>14395</v>
      </c>
      <c r="AD77" s="79"/>
      <c r="AE77" s="79"/>
      <c r="AF77" s="79"/>
    </row>
    <row r="78" spans="1:32" s="80" customFormat="1" ht="12.6" customHeight="1" x14ac:dyDescent="0.25">
      <c r="A78" s="407"/>
      <c r="B78" s="79" t="s">
        <v>14393</v>
      </c>
      <c r="C78" s="81" t="str">
        <f>IF(VLOOKUP($G$1,'PIIRS FY17 Reach'!$D$1:$IW$951,241,FALSE)='FY17 PIIRS Project Summary'!B78,1,"")</f>
        <v/>
      </c>
      <c r="D78" s="81">
        <f>IFERROR(VLOOKUP($I$1,'Gender marker'!$A$5:$J$120,2,FALSE)/VLOOKUP($I$1,'Gender marker'!$A$5:$J$120,9,FALSE),"")</f>
        <v>0</v>
      </c>
      <c r="E78" s="81">
        <v>1.0101010101010102E-2</v>
      </c>
      <c r="F78" s="79"/>
      <c r="G78" s="79"/>
      <c r="H78" s="66"/>
      <c r="I78" s="127"/>
      <c r="J78" s="242"/>
      <c r="K78" s="242"/>
      <c r="L78" s="242"/>
      <c r="M78" s="242"/>
      <c r="N78" s="242"/>
      <c r="O78" s="242"/>
      <c r="P78" s="242"/>
      <c r="Q78" s="242"/>
      <c r="R78" s="242"/>
      <c r="S78" s="243"/>
      <c r="T78" s="79"/>
      <c r="U78" s="79"/>
      <c r="V78" s="79"/>
      <c r="W78" s="79"/>
      <c r="X78" s="79"/>
      <c r="Y78" s="66"/>
      <c r="Z78" s="66"/>
      <c r="AA78" s="66"/>
      <c r="AB78" s="66"/>
      <c r="AC78" s="66" t="s">
        <v>5190</v>
      </c>
      <c r="AD78" s="79"/>
      <c r="AE78" s="79"/>
      <c r="AF78" s="79"/>
    </row>
    <row r="79" spans="1:32" s="80" customFormat="1" ht="12.6" customHeight="1" x14ac:dyDescent="0.25">
      <c r="A79" s="79">
        <f>IF(C74=1,4,IF(C75=1,3,IF(C76=1,2,IF(C77=1,1,IF(C78=1,0,IF(C79=1,""))))))</f>
        <v>2</v>
      </c>
      <c r="B79" s="79" t="s">
        <v>14394</v>
      </c>
      <c r="C79" s="81" t="str">
        <f>IF(VLOOKUP($G$1,'PIIRS FY17 Reach'!$D$1:$IW$951,241,FALSE)='FY17 PIIRS Project Summary'!B79,1,"")</f>
        <v/>
      </c>
      <c r="D79" s="81">
        <f>IFERROR(VLOOKUP($I$1,'Gender marker'!$A$5:$J$120,7,FALSE)/VLOOKUP($I$1,'Gender marker'!$A$5:$J$120,9,FALSE),"")</f>
        <v>2.0408163265306121E-2</v>
      </c>
      <c r="E79" s="81">
        <v>0</v>
      </c>
      <c r="F79" s="79"/>
      <c r="G79" s="79"/>
      <c r="H79" s="66"/>
      <c r="I79" s="127"/>
      <c r="J79" s="242"/>
      <c r="K79" s="242"/>
      <c r="L79" s="242"/>
      <c r="M79" s="242"/>
      <c r="N79" s="242"/>
      <c r="O79" s="242"/>
      <c r="P79" s="242"/>
      <c r="Q79" s="242"/>
      <c r="R79" s="242"/>
      <c r="S79" s="243"/>
      <c r="T79" s="79"/>
      <c r="U79" s="79"/>
      <c r="V79" s="79"/>
      <c r="W79" s="79"/>
      <c r="X79" s="79"/>
      <c r="Y79" s="66"/>
      <c r="Z79" s="66"/>
      <c r="AA79" s="66"/>
      <c r="AB79" s="66"/>
      <c r="AC79" s="66" t="s">
        <v>14396</v>
      </c>
      <c r="AD79" s="79"/>
      <c r="AE79" s="79"/>
      <c r="AF79" s="79"/>
    </row>
    <row r="80" spans="1:32" s="80" customFormat="1" ht="12.6" customHeight="1" x14ac:dyDescent="0.25">
      <c r="A80" s="79"/>
      <c r="B80" s="79"/>
      <c r="C80" s="81" t="str">
        <f>C73</f>
        <v>Project</v>
      </c>
      <c r="D80" s="81" t="str">
        <f>D73</f>
        <v>Bangladesh</v>
      </c>
      <c r="E80" s="79" t="str">
        <f>$L$1</f>
        <v>Asia and the Pacific</v>
      </c>
      <c r="F80" s="79"/>
      <c r="G80" s="79"/>
      <c r="H80" s="66"/>
      <c r="I80" s="127"/>
      <c r="J80" s="242"/>
      <c r="K80" s="242"/>
      <c r="L80" s="242"/>
      <c r="M80" s="242"/>
      <c r="N80" s="242"/>
      <c r="O80" s="242"/>
      <c r="P80" s="242"/>
      <c r="Q80" s="242"/>
      <c r="R80" s="242"/>
      <c r="S80" s="243"/>
      <c r="T80" s="79"/>
      <c r="U80" s="79"/>
      <c r="V80" s="79"/>
      <c r="W80" s="79"/>
      <c r="X80" s="79"/>
      <c r="Y80" s="66"/>
      <c r="Z80" s="66"/>
      <c r="AA80" s="66"/>
      <c r="AB80" s="66"/>
      <c r="AC80" s="66" t="s">
        <v>14397</v>
      </c>
      <c r="AD80" s="79"/>
      <c r="AE80" s="79"/>
      <c r="AF80" s="79"/>
    </row>
    <row r="81" spans="1:32" s="80" customFormat="1" ht="15" x14ac:dyDescent="0.25">
      <c r="A81" s="403" t="s">
        <v>14334</v>
      </c>
      <c r="B81" s="79" t="s">
        <v>14300</v>
      </c>
      <c r="C81" s="81" t="str">
        <f>IF(VLOOKUP($G$1,'PIIRS FY17 Reach'!$D$1:$IW$951,248,FALSE)='FY17 PIIRS Project Summary'!B81,1,"")</f>
        <v/>
      </c>
      <c r="D81" s="81">
        <f>IFERROR(VLOOKUP($I$1,'Governance marker'!$A$5:$J$119,6,FALSE)/VLOOKUP($I$1,'Governance marker'!$A$5:$J$119,9,FALSE),"")</f>
        <v>6.1224489795918366E-2</v>
      </c>
      <c r="E81" s="81">
        <v>0.1111111111111111</v>
      </c>
      <c r="F81" s="79"/>
      <c r="G81" s="79"/>
      <c r="H81" s="66"/>
      <c r="I81" s="127"/>
      <c r="J81" s="227"/>
      <c r="K81" s="227"/>
      <c r="L81" s="227"/>
      <c r="M81" s="227"/>
      <c r="N81" s="227"/>
      <c r="O81" s="227"/>
      <c r="P81" s="227"/>
      <c r="Q81" s="227"/>
      <c r="R81" s="227"/>
      <c r="S81" s="228"/>
      <c r="T81" s="79"/>
      <c r="U81" s="79"/>
      <c r="V81" s="79"/>
      <c r="W81" s="79"/>
      <c r="X81" s="79"/>
      <c r="Y81" s="66"/>
      <c r="Z81" s="66"/>
      <c r="AA81" s="66"/>
      <c r="AB81" s="66"/>
      <c r="AC81" s="66" t="s">
        <v>14399</v>
      </c>
      <c r="AD81" s="79"/>
      <c r="AE81" s="79"/>
      <c r="AF81" s="79"/>
    </row>
    <row r="82" spans="1:32" s="80" customFormat="1" x14ac:dyDescent="0.25">
      <c r="A82" s="403"/>
      <c r="B82" s="79" t="s">
        <v>14294</v>
      </c>
      <c r="C82" s="81" t="str">
        <f>IF(VLOOKUP($G$1,'PIIRS FY17 Reach'!$D$1:$IW$951,248,FALSE)='FY17 PIIRS Project Summary'!B82,1,"")</f>
        <v/>
      </c>
      <c r="D82" s="81">
        <f>IFERROR(VLOOKUP($I$1,'Governance marker'!$A$5:$J$119,5,FALSE)/VLOOKUP($I$1,'Governance marker'!$A$5:$J$119,9,FALSE),"")</f>
        <v>0</v>
      </c>
      <c r="E82" s="81">
        <v>2.0202020202020204E-2</v>
      </c>
      <c r="F82" s="79"/>
      <c r="G82" s="79"/>
      <c r="H82" s="66" t="s">
        <v>14377</v>
      </c>
      <c r="I82" s="127"/>
      <c r="T82" s="79"/>
      <c r="U82" s="79"/>
      <c r="V82" s="79"/>
      <c r="W82" s="79"/>
      <c r="X82" s="79"/>
      <c r="Y82" s="66"/>
      <c r="Z82" s="66"/>
      <c r="AA82" s="66"/>
      <c r="AB82" s="66"/>
      <c r="AC82" s="66" t="s">
        <v>5300</v>
      </c>
      <c r="AD82" s="79"/>
      <c r="AE82" s="79"/>
      <c r="AF82" s="79"/>
    </row>
    <row r="83" spans="1:32" s="80" customFormat="1" x14ac:dyDescent="0.25">
      <c r="A83" s="403"/>
      <c r="B83" s="79" t="s">
        <v>14398</v>
      </c>
      <c r="C83" s="81" t="str">
        <f>IF(VLOOKUP($G$1,'PIIRS FY17 Reach'!$D$1:$IW$951,248,FALSE)='FY17 PIIRS Project Summary'!B83,1,"")</f>
        <v/>
      </c>
      <c r="D83" s="81">
        <f>IFERROR(VLOOKUP($I$1,'Governance marker'!$A$5:$J$119,4,FALSE)/VLOOKUP($I$1,'Governance marker'!$A$5:$J$119,9,FALSE),"")</f>
        <v>0.79591836734693877</v>
      </c>
      <c r="E83" s="81">
        <v>0.61616161616161613</v>
      </c>
      <c r="F83" s="79"/>
      <c r="G83" s="79"/>
      <c r="H83" s="66"/>
      <c r="I83" s="127"/>
      <c r="T83" s="79"/>
      <c r="U83" s="79"/>
      <c r="V83" s="79"/>
      <c r="W83" s="79"/>
      <c r="X83" s="79"/>
      <c r="Y83" s="66"/>
      <c r="Z83" s="66"/>
      <c r="AA83" s="66"/>
      <c r="AB83" s="66"/>
      <c r="AC83" s="66" t="s">
        <v>5932</v>
      </c>
      <c r="AD83" s="79"/>
      <c r="AE83" s="79"/>
      <c r="AF83" s="79"/>
    </row>
    <row r="84" spans="1:32" s="80" customFormat="1" x14ac:dyDescent="0.25">
      <c r="A84" s="403"/>
      <c r="B84" s="79" t="s">
        <v>14298</v>
      </c>
      <c r="C84" s="81" t="str">
        <f>IF(VLOOKUP($G$1,'PIIRS FY17 Reach'!$D$1:$IW$951,248,FALSE)='FY17 PIIRS Project Summary'!B84,1,"")</f>
        <v/>
      </c>
      <c r="D84" s="81">
        <f>IFERROR(VLOOKUP($I$1,'Governance marker'!$A$5:$J$119,3,FALSE)/VLOOKUP($I$1,'Governance marker'!$A$5:$J$119,9,FALSE),"")</f>
        <v>8.1632653061224483E-2</v>
      </c>
      <c r="E84" s="81">
        <v>5.0505050505050504E-2</v>
      </c>
      <c r="F84" s="79"/>
      <c r="G84" s="79"/>
      <c r="H84" s="66"/>
      <c r="I84" s="127"/>
      <c r="T84" s="79"/>
      <c r="U84" s="79"/>
      <c r="V84" s="79"/>
      <c r="W84" s="79"/>
      <c r="X84" s="79"/>
      <c r="Y84" s="66"/>
      <c r="Z84" s="66"/>
      <c r="AA84" s="66"/>
      <c r="AB84" s="66"/>
      <c r="AC84" s="66" t="s">
        <v>14401</v>
      </c>
      <c r="AD84" s="79"/>
      <c r="AE84" s="79"/>
      <c r="AF84" s="79"/>
    </row>
    <row r="85" spans="1:32" s="80" customFormat="1" ht="13.5" thickBot="1" x14ac:dyDescent="0.3">
      <c r="A85" s="403"/>
      <c r="B85" s="79" t="s">
        <v>14400</v>
      </c>
      <c r="C85" s="81" t="str">
        <f>IF(VLOOKUP($G$1,'PIIRS FY17 Reach'!$D$1:$IW$951,248,FALSE)='FY17 PIIRS Project Summary'!B85,1,"")</f>
        <v/>
      </c>
      <c r="D85" s="81">
        <f>IFERROR(VLOOKUP($I$1,'Governance marker'!$A$5:$J$119,2,FALSE)/VLOOKUP($I$1,'Governance marker'!$A$5:$J$119,9,FALSE),"")</f>
        <v>4.0816326530612242E-2</v>
      </c>
      <c r="E85" s="81">
        <v>0.19191919191919191</v>
      </c>
      <c r="F85" s="79"/>
      <c r="G85" s="79"/>
      <c r="H85" s="66"/>
      <c r="I85" s="165"/>
      <c r="T85" s="79"/>
      <c r="U85" s="79"/>
      <c r="V85" s="79"/>
      <c r="W85" s="79"/>
      <c r="X85" s="79"/>
      <c r="Y85" s="66"/>
      <c r="Z85" s="66"/>
      <c r="AA85" s="66"/>
      <c r="AB85" s="66"/>
      <c r="AC85" s="66" t="s">
        <v>6024</v>
      </c>
      <c r="AD85" s="79"/>
      <c r="AE85" s="79"/>
      <c r="AF85" s="79"/>
    </row>
    <row r="86" spans="1:32" s="80" customFormat="1" x14ac:dyDescent="0.25">
      <c r="A86" s="79" t="b">
        <f>IF(C81=1,4,IF(C82=1,3,IF(C83=1,2,IF(C84=1,1,IF(C85=1,0,IF(C86=1,""))))))</f>
        <v>0</v>
      </c>
      <c r="B86" s="79" t="s">
        <v>14394</v>
      </c>
      <c r="C86" s="81" t="str">
        <f>IF(VLOOKUP($G$1,'PIIRS FY17 Reach'!$D$1:$IW$951,248,FALSE)='FY17 PIIRS Project Summary'!B86,1,"")</f>
        <v/>
      </c>
      <c r="D86" s="81">
        <f>IFERROR(VLOOKUP($I$1,'Governance marker'!$A$5:$J$119,7,FALSE)/VLOOKUP($I$1,'Governance marker'!$A$5:$J$119,9,FALSE),"")</f>
        <v>2.0408163265306121E-2</v>
      </c>
      <c r="E86" s="81">
        <v>1.0101010101010102E-2</v>
      </c>
      <c r="F86" s="79"/>
      <c r="G86" s="79"/>
      <c r="H86" s="66"/>
      <c r="I86" s="66"/>
      <c r="J86" s="66"/>
      <c r="K86" s="66"/>
      <c r="L86" s="66" t="s">
        <v>14381</v>
      </c>
      <c r="M86" s="65"/>
      <c r="N86" s="65"/>
      <c r="O86" s="65"/>
      <c r="P86" s="67"/>
      <c r="Q86" s="67"/>
      <c r="R86" s="67"/>
      <c r="S86" s="67"/>
      <c r="T86" s="79"/>
      <c r="U86" s="79"/>
      <c r="V86" s="79"/>
      <c r="W86" s="79"/>
      <c r="X86" s="79"/>
      <c r="Y86" s="66"/>
      <c r="Z86" s="66"/>
      <c r="AA86" s="66"/>
      <c r="AB86" s="66"/>
      <c r="AC86" s="66" t="s">
        <v>14396</v>
      </c>
      <c r="AD86" s="79"/>
      <c r="AE86" s="79"/>
      <c r="AF86" s="79"/>
    </row>
    <row r="87" spans="1:32" s="80" customFormat="1" x14ac:dyDescent="0.25">
      <c r="A87" s="79"/>
      <c r="B87" s="79"/>
      <c r="C87" s="81" t="str">
        <f>C80</f>
        <v>Project</v>
      </c>
      <c r="D87" s="81" t="str">
        <f>D80</f>
        <v>Bangladesh</v>
      </c>
      <c r="E87" s="79" t="str">
        <f>$L$1</f>
        <v>Asia and the Pacific</v>
      </c>
      <c r="F87" s="79"/>
      <c r="G87" s="79"/>
      <c r="H87" s="66"/>
      <c r="I87" s="66"/>
      <c r="J87" s="66"/>
      <c r="K87" s="66"/>
      <c r="L87" s="66" t="s">
        <v>3261</v>
      </c>
      <c r="M87" s="65"/>
      <c r="N87" s="65"/>
      <c r="O87" s="65"/>
      <c r="P87" s="67"/>
      <c r="Q87" s="67"/>
      <c r="R87" s="67"/>
      <c r="S87" s="67"/>
      <c r="T87" s="79"/>
      <c r="U87" s="79"/>
      <c r="V87" s="79"/>
      <c r="W87" s="79"/>
      <c r="X87" s="79"/>
      <c r="Y87" s="66"/>
      <c r="Z87" s="66"/>
      <c r="AA87" s="66"/>
      <c r="AB87" s="66"/>
      <c r="AC87" s="66" t="s">
        <v>14397</v>
      </c>
      <c r="AD87" s="79"/>
      <c r="AE87" s="79"/>
      <c r="AF87" s="79"/>
    </row>
    <row r="88" spans="1:32" s="80" customFormat="1" x14ac:dyDescent="0.25">
      <c r="A88" s="403" t="s">
        <v>14337</v>
      </c>
      <c r="B88" s="79" t="s">
        <v>14295</v>
      </c>
      <c r="C88" s="81">
        <f>IF(VLOOKUP($G$1,'PIIRS FY17 Reach'!$D$1:$IW$951,254,FALSE)='FY17 PIIRS Project Summary'!B88,1,"")</f>
        <v>1</v>
      </c>
      <c r="D88" s="81">
        <f>IFERROR(VLOOKUP($I$1,'Resilience marker'!$A$5:$J$120,6,FALSE)/VLOOKUP($I$1,'Resilience marker'!$A$5:$J$120,9,FALSE),"")</f>
        <v>0.16326530612244897</v>
      </c>
      <c r="E88" s="81">
        <v>0.1368421052631579</v>
      </c>
      <c r="F88" s="79"/>
      <c r="G88" s="79"/>
      <c r="H88" s="66"/>
      <c r="I88" s="66"/>
      <c r="J88" s="66"/>
      <c r="K88" s="66"/>
      <c r="L88" s="66" t="s">
        <v>14322</v>
      </c>
      <c r="M88" s="65"/>
      <c r="N88" s="65"/>
      <c r="O88" s="65"/>
      <c r="P88" s="67"/>
      <c r="Q88" s="67"/>
      <c r="R88" s="67"/>
      <c r="S88" s="67"/>
      <c r="T88" s="79"/>
      <c r="U88" s="79"/>
      <c r="V88" s="79"/>
      <c r="W88" s="79"/>
      <c r="X88" s="79"/>
      <c r="Y88" s="66"/>
      <c r="Z88" s="66"/>
      <c r="AA88" s="66"/>
      <c r="AB88" s="66"/>
      <c r="AC88" s="66" t="s">
        <v>14399</v>
      </c>
      <c r="AD88" s="79"/>
      <c r="AE88" s="79"/>
      <c r="AF88" s="79"/>
    </row>
    <row r="89" spans="1:32" s="80" customFormat="1" x14ac:dyDescent="0.25">
      <c r="A89" s="403"/>
      <c r="B89" s="79" t="s">
        <v>14294</v>
      </c>
      <c r="C89" s="81" t="str">
        <f>IF(VLOOKUP($G$1,'PIIRS FY17 Reach'!$D$1:$IW$951,254,FALSE)='FY17 PIIRS Project Summary'!B89,1,"")</f>
        <v/>
      </c>
      <c r="D89" s="81">
        <f>IFERROR(VLOOKUP($I$1,'Resilience marker'!$A$5:$J$120,5,FALSE)/VLOOKUP($I$1,'Resilience marker'!$A$5:$J$120,9,FALSE),"")</f>
        <v>4.0816326530612242E-2</v>
      </c>
      <c r="E89" s="81">
        <v>5.2631578947368418E-2</v>
      </c>
      <c r="F89" s="79"/>
      <c r="G89" s="79"/>
      <c r="H89" s="66"/>
      <c r="I89" s="66"/>
      <c r="J89" s="66"/>
      <c r="K89" s="66"/>
      <c r="L89" s="66" t="s">
        <v>3272</v>
      </c>
      <c r="M89" s="65"/>
      <c r="N89" s="65"/>
      <c r="O89" s="65"/>
      <c r="P89" s="67"/>
      <c r="Q89" s="67"/>
      <c r="R89" s="67"/>
      <c r="S89" s="67"/>
      <c r="T89" s="79"/>
      <c r="U89" s="79"/>
      <c r="V89" s="79"/>
      <c r="W89" s="79"/>
      <c r="X89" s="79"/>
      <c r="Y89" s="66"/>
      <c r="Z89" s="66"/>
      <c r="AA89" s="66"/>
      <c r="AB89" s="66"/>
      <c r="AC89" s="66" t="s">
        <v>5300</v>
      </c>
      <c r="AD89" s="79"/>
      <c r="AE89" s="79"/>
      <c r="AF89" s="79"/>
    </row>
    <row r="90" spans="1:32" s="80" customFormat="1" x14ac:dyDescent="0.25">
      <c r="A90" s="403"/>
      <c r="B90" s="79" t="s">
        <v>14293</v>
      </c>
      <c r="C90" s="81" t="str">
        <f>IF(VLOOKUP($G$1,'PIIRS FY17 Reach'!$D$1:$IW$951,254,FALSE)='FY17 PIIRS Project Summary'!B90,1,"")</f>
        <v/>
      </c>
      <c r="D90" s="81">
        <f>IFERROR(VLOOKUP($I$1,'Resilience marker'!$A$5:$J$120,4,FALSE)/VLOOKUP($I$1,'Resilience marker'!$A$5:$J$120,9,FALSE),"")</f>
        <v>0.2857142857142857</v>
      </c>
      <c r="E90" s="81">
        <v>0.51578947368421058</v>
      </c>
      <c r="F90" s="79"/>
      <c r="G90" s="79"/>
      <c r="H90" s="66"/>
      <c r="I90" s="66"/>
      <c r="J90" s="66"/>
      <c r="K90" s="66"/>
      <c r="L90" s="66" t="s">
        <v>3546</v>
      </c>
      <c r="M90" s="65"/>
      <c r="N90" s="65"/>
      <c r="O90" s="65"/>
      <c r="P90" s="67"/>
      <c r="Q90" s="67"/>
      <c r="R90" s="67"/>
      <c r="S90" s="67"/>
      <c r="T90" s="79"/>
      <c r="U90" s="79"/>
      <c r="V90" s="79"/>
      <c r="W90" s="79"/>
      <c r="X90" s="79"/>
      <c r="Y90" s="66"/>
      <c r="Z90" s="66"/>
      <c r="AA90" s="66"/>
      <c r="AB90" s="66"/>
      <c r="AC90" s="66" t="s">
        <v>5932</v>
      </c>
      <c r="AD90" s="79"/>
      <c r="AE90" s="79"/>
      <c r="AF90" s="79"/>
    </row>
    <row r="91" spans="1:32" s="80" customFormat="1" x14ac:dyDescent="0.25">
      <c r="A91" s="403"/>
      <c r="B91" s="79" t="s">
        <v>14292</v>
      </c>
      <c r="C91" s="81" t="str">
        <f>IF(VLOOKUP($G$1,'PIIRS FY17 Reach'!$D$1:$IW$951,254,FALSE)='FY17 PIIRS Project Summary'!B91,1,"")</f>
        <v/>
      </c>
      <c r="D91" s="81">
        <f>IFERROR(VLOOKUP($I$1,'Resilience marker'!$A$5:$J$120,3,FALSE)/VLOOKUP($I$1,'Resilience marker'!$A$5:$J$120,9,FALSE),"")</f>
        <v>0.14285714285714285</v>
      </c>
      <c r="E91" s="81">
        <v>0.22105263157894736</v>
      </c>
      <c r="F91" s="79"/>
      <c r="G91" s="79"/>
      <c r="H91" s="66"/>
      <c r="I91" s="66"/>
      <c r="J91" s="66"/>
      <c r="K91" s="66"/>
      <c r="L91" s="66" t="s">
        <v>14382</v>
      </c>
      <c r="M91" s="65"/>
      <c r="N91" s="65"/>
      <c r="O91" s="65"/>
      <c r="P91" s="67"/>
      <c r="Q91" s="67"/>
      <c r="R91" s="67"/>
      <c r="S91" s="67"/>
      <c r="T91" s="79"/>
      <c r="U91" s="79"/>
      <c r="V91" s="79"/>
      <c r="W91" s="79"/>
      <c r="X91" s="79"/>
      <c r="Y91" s="66"/>
      <c r="Z91" s="66"/>
      <c r="AA91" s="66"/>
      <c r="AB91" s="66"/>
      <c r="AC91" s="66" t="s">
        <v>14401</v>
      </c>
      <c r="AD91" s="79"/>
      <c r="AE91" s="79"/>
      <c r="AF91" s="79"/>
    </row>
    <row r="92" spans="1:32" s="80" customFormat="1" x14ac:dyDescent="0.25">
      <c r="A92" s="403"/>
      <c r="B92" s="79" t="s">
        <v>14393</v>
      </c>
      <c r="C92" s="81" t="str">
        <f>IF(VLOOKUP($G$1,'PIIRS FY17 Reach'!$D$1:$IW$951,254,FALSE)='FY17 PIIRS Project Summary'!B92,1,"")</f>
        <v/>
      </c>
      <c r="D92" s="81">
        <f>IFERROR(VLOOKUP($I$1,'Resilience marker'!$A$5:$J$120,2,FALSE)/VLOOKUP($I$1,'Resilience marker'!$A$5:$J$120,9,FALSE),"")</f>
        <v>0</v>
      </c>
      <c r="E92" s="81">
        <v>7.3684210526315783E-2</v>
      </c>
      <c r="F92" s="79"/>
      <c r="G92" s="79"/>
      <c r="H92" s="66"/>
      <c r="I92" s="66"/>
      <c r="J92" s="66"/>
      <c r="K92" s="66"/>
      <c r="L92" s="66" t="s">
        <v>14383</v>
      </c>
      <c r="M92" s="65"/>
      <c r="N92" s="65"/>
      <c r="O92" s="65"/>
      <c r="P92" s="67"/>
      <c r="Q92" s="67"/>
      <c r="R92" s="67"/>
      <c r="S92" s="67"/>
      <c r="T92" s="79"/>
      <c r="U92" s="79"/>
      <c r="V92" s="79"/>
      <c r="W92" s="79"/>
      <c r="X92" s="79"/>
      <c r="Y92" s="66"/>
      <c r="Z92" s="66"/>
      <c r="AA92" s="66"/>
      <c r="AB92" s="66"/>
      <c r="AC92" s="66" t="s">
        <v>14403</v>
      </c>
      <c r="AD92" s="79"/>
      <c r="AE92" s="79"/>
      <c r="AF92" s="79"/>
    </row>
    <row r="93" spans="1:32" s="80" customFormat="1" x14ac:dyDescent="0.25">
      <c r="A93" s="79">
        <f>IF(C88=1,4,IF(C89=1,3,IF(C90=1,2,IF(C91=1,1,IF(C92=1,0,IF(C93=1,""))))))</f>
        <v>4</v>
      </c>
      <c r="B93" s="79" t="s">
        <v>14394</v>
      </c>
      <c r="C93" s="81" t="str">
        <f>IF(VLOOKUP($G$1,'PIIRS FY17 Reach'!$D$1:$IW$951,254,FALSE)='FY17 PIIRS Project Summary'!B93,1,"")</f>
        <v/>
      </c>
      <c r="D93" s="81">
        <f>IFERROR(VLOOKUP($I$1,'Resilience marker'!$A$5:$J$120,7,FALSE)/VLOOKUP($I$1,'Resilience marker'!$A$5:$J$120,9,FALSE),"")</f>
        <v>0.36734693877551022</v>
      </c>
      <c r="E93" s="81">
        <v>0</v>
      </c>
      <c r="F93" s="79"/>
      <c r="G93" s="79"/>
      <c r="H93" s="66"/>
      <c r="I93" s="66"/>
      <c r="J93" s="66"/>
      <c r="K93" s="66"/>
      <c r="L93" s="66" t="s">
        <v>14384</v>
      </c>
      <c r="M93" s="65"/>
      <c r="N93" s="65"/>
      <c r="O93" s="65"/>
      <c r="P93" s="67"/>
      <c r="Q93" s="67"/>
      <c r="R93" s="67"/>
      <c r="S93" s="67"/>
      <c r="T93" s="79"/>
      <c r="U93" s="79"/>
      <c r="V93" s="79"/>
      <c r="W93" s="79"/>
      <c r="X93" s="79"/>
      <c r="Y93" s="66"/>
      <c r="Z93" s="66"/>
      <c r="AA93" s="66"/>
      <c r="AB93" s="66"/>
      <c r="AC93" s="66" t="s">
        <v>6457</v>
      </c>
      <c r="AD93" s="79"/>
      <c r="AE93" s="79"/>
      <c r="AF93" s="79"/>
    </row>
    <row r="94" spans="1:32" s="80" customFormat="1" x14ac:dyDescent="0.25">
      <c r="A94" s="79"/>
      <c r="B94" s="79"/>
      <c r="C94" s="79"/>
      <c r="D94" s="79"/>
      <c r="E94" s="79"/>
      <c r="F94" s="79"/>
      <c r="G94" s="79"/>
      <c r="H94" s="66"/>
      <c r="I94" s="66"/>
      <c r="J94" s="66"/>
      <c r="K94" s="66"/>
      <c r="L94" s="66" t="s">
        <v>14385</v>
      </c>
      <c r="M94" s="65"/>
      <c r="N94" s="65"/>
      <c r="O94" s="65"/>
      <c r="P94" s="67"/>
      <c r="Q94" s="67"/>
      <c r="R94" s="67"/>
      <c r="S94" s="67"/>
      <c r="T94" s="79"/>
      <c r="U94" s="79"/>
      <c r="V94" s="79"/>
      <c r="W94" s="79"/>
      <c r="X94" s="79"/>
      <c r="Y94" s="66"/>
      <c r="Z94" s="66"/>
      <c r="AA94" s="66"/>
      <c r="AB94" s="66"/>
      <c r="AC94" s="66" t="s">
        <v>14404</v>
      </c>
      <c r="AD94" s="79"/>
      <c r="AE94" s="79"/>
      <c r="AF94" s="79"/>
    </row>
    <row r="95" spans="1:32" s="80" customFormat="1" x14ac:dyDescent="0.25">
      <c r="A95" s="79"/>
      <c r="B95" s="79"/>
      <c r="C95" s="79"/>
      <c r="D95" s="79"/>
      <c r="E95" s="79"/>
      <c r="F95" s="79"/>
      <c r="G95" s="79"/>
      <c r="H95" s="66"/>
      <c r="I95" s="66"/>
      <c r="J95" s="66"/>
      <c r="K95" s="66"/>
      <c r="L95" s="66" t="s">
        <v>3868</v>
      </c>
      <c r="M95" s="65"/>
      <c r="N95" s="65"/>
      <c r="O95" s="65"/>
      <c r="P95" s="67"/>
      <c r="Q95" s="67"/>
      <c r="R95" s="67"/>
      <c r="S95" s="67"/>
      <c r="T95" s="79"/>
      <c r="U95" s="79"/>
      <c r="V95" s="79"/>
      <c r="W95" s="79"/>
      <c r="X95" s="79"/>
      <c r="Y95" s="66"/>
      <c r="Z95" s="66"/>
      <c r="AA95" s="66"/>
      <c r="AB95" s="66"/>
      <c r="AC95" s="66" t="s">
        <v>14405</v>
      </c>
      <c r="AD95" s="79"/>
      <c r="AE95" s="79"/>
      <c r="AF95" s="79"/>
    </row>
    <row r="96" spans="1:32" s="80" customFormat="1" x14ac:dyDescent="0.25">
      <c r="A96" s="79"/>
      <c r="B96" s="79"/>
      <c r="C96" s="79"/>
      <c r="D96" s="79"/>
      <c r="E96" s="79"/>
      <c r="F96" s="79"/>
      <c r="G96" s="79"/>
      <c r="H96" s="66"/>
      <c r="I96" s="66"/>
      <c r="J96" s="66"/>
      <c r="K96" s="66"/>
      <c r="L96" s="66" t="s">
        <v>4268</v>
      </c>
      <c r="M96" s="65"/>
      <c r="N96" s="65"/>
      <c r="O96" s="65"/>
      <c r="P96" s="67"/>
      <c r="Q96" s="67"/>
      <c r="R96" s="67"/>
      <c r="S96" s="67"/>
      <c r="T96" s="79"/>
      <c r="U96" s="79"/>
      <c r="V96" s="79"/>
      <c r="W96" s="79"/>
      <c r="X96" s="79"/>
      <c r="Y96" s="66"/>
      <c r="Z96" s="66"/>
      <c r="AA96" s="66"/>
      <c r="AB96" s="66"/>
      <c r="AC96" s="66" t="s">
        <v>14406</v>
      </c>
      <c r="AD96" s="79"/>
      <c r="AE96" s="79"/>
      <c r="AF96" s="79"/>
    </row>
    <row r="97" spans="1:32" x14ac:dyDescent="0.25">
      <c r="A97" s="65"/>
      <c r="B97" s="65"/>
      <c r="C97" s="65"/>
      <c r="D97" s="65"/>
      <c r="E97" s="65"/>
      <c r="F97" s="65"/>
      <c r="G97" s="65"/>
      <c r="H97" s="66"/>
      <c r="I97" s="66"/>
      <c r="J97" s="66"/>
      <c r="K97" s="66"/>
      <c r="L97" s="66" t="s">
        <v>14386</v>
      </c>
      <c r="M97" s="65"/>
      <c r="N97" s="65"/>
      <c r="O97" s="65"/>
      <c r="T97" s="65"/>
      <c r="U97" s="65"/>
      <c r="V97" s="65"/>
      <c r="W97" s="65"/>
      <c r="X97" s="65"/>
      <c r="Y97" s="66"/>
      <c r="Z97" s="66"/>
      <c r="AA97" s="66"/>
      <c r="AB97" s="66"/>
      <c r="AC97" s="66" t="s">
        <v>6805</v>
      </c>
      <c r="AD97" s="65"/>
      <c r="AE97" s="65"/>
      <c r="AF97" s="65"/>
    </row>
    <row r="98" spans="1:32" x14ac:dyDescent="0.25">
      <c r="A98" s="65"/>
      <c r="B98" s="65"/>
      <c r="C98" s="65"/>
      <c r="D98" s="65"/>
      <c r="E98" s="65"/>
      <c r="F98" s="65"/>
      <c r="G98" s="65"/>
      <c r="H98" s="66"/>
      <c r="I98" s="66"/>
      <c r="J98" s="66"/>
      <c r="K98" s="66"/>
      <c r="L98" s="66" t="s">
        <v>4293</v>
      </c>
      <c r="M98" s="65"/>
      <c r="N98" s="65"/>
      <c r="O98" s="65"/>
      <c r="T98" s="65"/>
      <c r="U98" s="65"/>
      <c r="V98" s="65"/>
      <c r="W98" s="65"/>
      <c r="X98" s="65"/>
      <c r="Y98" s="66"/>
      <c r="Z98" s="66"/>
      <c r="AA98" s="66"/>
      <c r="AB98" s="66"/>
      <c r="AC98" s="66" t="s">
        <v>14407</v>
      </c>
      <c r="AD98" s="65"/>
      <c r="AE98" s="65"/>
      <c r="AF98" s="65"/>
    </row>
    <row r="99" spans="1:32" x14ac:dyDescent="0.25">
      <c r="A99" s="65"/>
      <c r="B99" s="65"/>
      <c r="C99" s="65"/>
      <c r="D99" s="65"/>
      <c r="E99" s="65"/>
      <c r="F99" s="65"/>
      <c r="G99" s="65"/>
      <c r="H99" s="66"/>
      <c r="I99" s="66"/>
      <c r="J99" s="66"/>
      <c r="K99" s="66"/>
      <c r="L99" s="66" t="s">
        <v>14387</v>
      </c>
      <c r="M99" s="65"/>
      <c r="N99" s="65"/>
      <c r="O99" s="65"/>
      <c r="T99" s="65"/>
      <c r="U99" s="65"/>
      <c r="V99" s="65"/>
      <c r="W99" s="65"/>
      <c r="X99" s="65"/>
      <c r="Y99" s="66"/>
      <c r="Z99" s="66"/>
      <c r="AA99" s="66"/>
      <c r="AB99" s="66"/>
      <c r="AC99" s="66" t="s">
        <v>14408</v>
      </c>
      <c r="AD99" s="65"/>
      <c r="AE99" s="65"/>
      <c r="AF99" s="65"/>
    </row>
    <row r="100" spans="1:32" x14ac:dyDescent="0.25">
      <c r="A100" s="65"/>
      <c r="B100" s="65"/>
      <c r="C100" s="65"/>
      <c r="D100" s="65"/>
      <c r="E100" s="65"/>
      <c r="F100" s="65"/>
      <c r="G100" s="65"/>
      <c r="H100" s="66"/>
      <c r="I100" s="66"/>
      <c r="J100" s="66"/>
      <c r="K100" s="66"/>
      <c r="L100" s="66" t="s">
        <v>14388</v>
      </c>
      <c r="M100" s="65"/>
      <c r="N100" s="65"/>
      <c r="O100" s="65"/>
      <c r="T100" s="65"/>
      <c r="U100" s="65"/>
      <c r="V100" s="65"/>
      <c r="W100" s="65"/>
      <c r="X100" s="65"/>
      <c r="Y100" s="66"/>
      <c r="Z100" s="66"/>
      <c r="AA100" s="66"/>
      <c r="AB100" s="66"/>
      <c r="AC100" s="66" t="s">
        <v>6850</v>
      </c>
      <c r="AD100" s="65"/>
      <c r="AE100" s="65"/>
      <c r="AF100" s="65"/>
    </row>
    <row r="101" spans="1:32" x14ac:dyDescent="0.25">
      <c r="A101" s="65"/>
      <c r="B101" s="65"/>
      <c r="C101" s="65"/>
      <c r="D101" s="65"/>
      <c r="E101" s="65"/>
      <c r="F101" s="65"/>
      <c r="G101" s="65"/>
      <c r="H101" s="66"/>
      <c r="I101" s="66"/>
      <c r="J101" s="66"/>
      <c r="K101" s="66"/>
      <c r="L101" s="66" t="s">
        <v>4346</v>
      </c>
      <c r="M101" s="65"/>
      <c r="N101" s="65"/>
      <c r="O101" s="65"/>
      <c r="T101" s="65"/>
      <c r="U101" s="65"/>
      <c r="V101" s="65"/>
      <c r="W101" s="65"/>
      <c r="X101" s="65"/>
      <c r="Y101" s="66"/>
      <c r="Z101" s="66"/>
      <c r="AA101" s="66"/>
      <c r="AB101" s="66"/>
      <c r="AC101" s="66" t="s">
        <v>14409</v>
      </c>
      <c r="AD101" s="65"/>
      <c r="AE101" s="65"/>
      <c r="AF101" s="65"/>
    </row>
    <row r="102" spans="1:32" x14ac:dyDescent="0.25">
      <c r="A102" s="65"/>
      <c r="B102" s="65"/>
      <c r="C102" s="65"/>
      <c r="D102" s="65"/>
      <c r="E102" s="65"/>
      <c r="F102" s="65"/>
      <c r="G102" s="65"/>
      <c r="H102" s="66"/>
      <c r="I102" s="66"/>
      <c r="J102" s="66"/>
      <c r="K102" s="66"/>
      <c r="L102" s="66" t="s">
        <v>4428</v>
      </c>
      <c r="M102" s="65"/>
      <c r="N102" s="65"/>
      <c r="O102" s="65"/>
      <c r="T102" s="65"/>
      <c r="U102" s="65"/>
      <c r="V102" s="65"/>
      <c r="W102" s="65"/>
      <c r="X102" s="65"/>
      <c r="Y102" s="66"/>
      <c r="Z102" s="66"/>
      <c r="AA102" s="66"/>
      <c r="AB102" s="66"/>
      <c r="AC102" s="66" t="s">
        <v>7083</v>
      </c>
      <c r="AD102" s="65"/>
      <c r="AE102" s="65"/>
      <c r="AF102" s="65"/>
    </row>
    <row r="103" spans="1:32" x14ac:dyDescent="0.25">
      <c r="A103" s="65"/>
      <c r="B103" s="65"/>
      <c r="C103" s="65"/>
      <c r="D103" s="65"/>
      <c r="E103" s="65"/>
      <c r="F103" s="65"/>
      <c r="G103" s="65"/>
      <c r="H103" s="66"/>
      <c r="I103" s="66"/>
      <c r="J103" s="66"/>
      <c r="K103" s="66"/>
      <c r="L103" s="66" t="s">
        <v>4471</v>
      </c>
      <c r="M103" s="65"/>
      <c r="N103" s="65"/>
      <c r="O103" s="65"/>
      <c r="T103" s="65"/>
      <c r="U103" s="65"/>
      <c r="V103" s="65"/>
      <c r="W103" s="65"/>
      <c r="X103" s="65"/>
      <c r="Y103" s="66"/>
      <c r="Z103" s="66"/>
      <c r="AA103" s="66"/>
      <c r="AB103" s="66"/>
      <c r="AC103" s="66" t="s">
        <v>14410</v>
      </c>
      <c r="AD103" s="65"/>
      <c r="AE103" s="65"/>
      <c r="AF103" s="65"/>
    </row>
    <row r="104" spans="1:32" x14ac:dyDescent="0.25">
      <c r="A104" s="65"/>
      <c r="B104" s="65"/>
      <c r="C104" s="65"/>
      <c r="D104" s="65"/>
      <c r="E104" s="65"/>
      <c r="F104" s="65"/>
      <c r="G104" s="65"/>
      <c r="H104" s="66"/>
      <c r="I104" s="66"/>
      <c r="J104" s="66"/>
      <c r="K104" s="66"/>
      <c r="L104" s="66" t="s">
        <v>4743</v>
      </c>
      <c r="M104" s="65"/>
      <c r="N104" s="65"/>
      <c r="O104" s="65"/>
      <c r="T104" s="65"/>
      <c r="U104" s="65"/>
      <c r="V104" s="65"/>
      <c r="W104" s="65"/>
      <c r="X104" s="65"/>
      <c r="Y104" s="66"/>
      <c r="Z104" s="66"/>
      <c r="AA104" s="66"/>
      <c r="AB104" s="66"/>
      <c r="AC104" s="66" t="s">
        <v>7179</v>
      </c>
      <c r="AD104" s="65"/>
      <c r="AE104" s="65"/>
      <c r="AF104" s="65"/>
    </row>
    <row r="105" spans="1:32" x14ac:dyDescent="0.25">
      <c r="A105" s="65"/>
      <c r="B105" s="65"/>
      <c r="C105" s="65"/>
      <c r="D105" s="65"/>
      <c r="E105" s="65"/>
      <c r="F105" s="65"/>
      <c r="G105" s="65"/>
      <c r="H105" s="66"/>
      <c r="I105" s="66"/>
      <c r="J105" s="66"/>
      <c r="K105" s="66"/>
      <c r="L105" s="66" t="s">
        <v>14389</v>
      </c>
      <c r="M105" s="79"/>
      <c r="N105" s="79"/>
      <c r="O105" s="79"/>
      <c r="P105" s="80"/>
      <c r="Q105" s="80"/>
      <c r="R105" s="80"/>
      <c r="S105" s="80"/>
      <c r="T105" s="65"/>
      <c r="U105" s="65"/>
      <c r="V105" s="65"/>
      <c r="W105" s="65"/>
      <c r="X105" s="65"/>
      <c r="Y105" s="66"/>
      <c r="Z105" s="66"/>
      <c r="AA105" s="66"/>
      <c r="AB105" s="66"/>
      <c r="AC105" s="66" t="s">
        <v>14411</v>
      </c>
      <c r="AD105" s="65"/>
      <c r="AE105" s="65"/>
      <c r="AF105" s="65"/>
    </row>
    <row r="106" spans="1:32" x14ac:dyDescent="0.25">
      <c r="A106" s="65"/>
      <c r="B106" s="65"/>
      <c r="C106" s="65"/>
      <c r="D106" s="65"/>
      <c r="E106" s="65"/>
      <c r="F106" s="65"/>
      <c r="G106" s="65"/>
      <c r="H106" s="66"/>
      <c r="I106" s="66"/>
      <c r="J106" s="66"/>
      <c r="K106" s="66"/>
      <c r="L106" s="66" t="s">
        <v>4777</v>
      </c>
      <c r="M106" s="79"/>
      <c r="N106" s="79"/>
      <c r="O106" s="79"/>
      <c r="P106" s="80"/>
      <c r="Q106" s="80"/>
      <c r="R106" s="80"/>
      <c r="S106" s="80"/>
      <c r="T106" s="65"/>
      <c r="U106" s="65"/>
      <c r="V106" s="65"/>
      <c r="W106" s="65"/>
      <c r="X106" s="65"/>
      <c r="Y106" s="66"/>
      <c r="Z106" s="66"/>
      <c r="AA106" s="66"/>
      <c r="AB106" s="66"/>
      <c r="AC106" s="66" t="s">
        <v>14412</v>
      </c>
      <c r="AD106" s="65"/>
      <c r="AE106" s="65"/>
      <c r="AF106" s="65"/>
    </row>
    <row r="107" spans="1:32" x14ac:dyDescent="0.25">
      <c r="A107" s="65"/>
      <c r="B107" s="65"/>
      <c r="C107" s="65"/>
      <c r="D107" s="65"/>
      <c r="E107" s="65"/>
      <c r="F107" s="65"/>
      <c r="G107" s="65"/>
      <c r="H107" s="66"/>
      <c r="I107" s="66"/>
      <c r="J107" s="66"/>
      <c r="K107" s="66"/>
      <c r="L107" s="66" t="s">
        <v>14390</v>
      </c>
      <c r="M107" s="79"/>
      <c r="N107" s="79"/>
      <c r="O107" s="79"/>
      <c r="P107" s="80"/>
      <c r="Q107" s="80"/>
      <c r="R107" s="80"/>
      <c r="S107" s="80"/>
      <c r="T107" s="65"/>
      <c r="U107" s="65"/>
      <c r="V107" s="65"/>
      <c r="W107" s="65"/>
      <c r="X107" s="65"/>
      <c r="Y107" s="66"/>
      <c r="Z107" s="66"/>
      <c r="AA107" s="66"/>
      <c r="AB107" s="66"/>
      <c r="AC107" s="66" t="s">
        <v>14413</v>
      </c>
      <c r="AD107" s="65"/>
      <c r="AE107" s="65"/>
      <c r="AF107" s="65"/>
    </row>
    <row r="108" spans="1:32" x14ac:dyDescent="0.25">
      <c r="A108" s="65"/>
      <c r="B108" s="65"/>
      <c r="C108" s="65"/>
      <c r="D108" s="65"/>
      <c r="E108" s="65"/>
      <c r="F108" s="65"/>
      <c r="G108" s="65"/>
      <c r="H108" s="66"/>
      <c r="I108" s="66"/>
      <c r="J108" s="66"/>
      <c r="K108" s="66"/>
      <c r="L108" s="66" t="s">
        <v>14391</v>
      </c>
      <c r="M108" s="79"/>
      <c r="N108" s="79"/>
      <c r="O108" s="79"/>
      <c r="P108" s="80"/>
      <c r="Q108" s="80"/>
      <c r="R108" s="80"/>
      <c r="S108" s="80"/>
      <c r="T108" s="65"/>
      <c r="U108" s="65"/>
      <c r="V108" s="65"/>
      <c r="W108" s="65"/>
      <c r="X108" s="65"/>
      <c r="Y108" s="66"/>
      <c r="Z108" s="66"/>
      <c r="AA108" s="66"/>
      <c r="AB108" s="66"/>
      <c r="AC108" s="66" t="s">
        <v>14414</v>
      </c>
      <c r="AD108" s="65"/>
      <c r="AE108" s="65"/>
      <c r="AF108" s="65"/>
    </row>
    <row r="109" spans="1:32" x14ac:dyDescent="0.25">
      <c r="A109" s="65"/>
      <c r="B109" s="65"/>
      <c r="C109" s="65"/>
      <c r="D109" s="65"/>
      <c r="E109" s="65"/>
      <c r="F109" s="65"/>
      <c r="G109" s="65"/>
      <c r="H109" s="66"/>
      <c r="I109" s="66"/>
      <c r="J109" s="66"/>
      <c r="K109" s="66"/>
      <c r="L109" s="66" t="s">
        <v>14392</v>
      </c>
      <c r="M109" s="79"/>
      <c r="N109" s="79"/>
      <c r="O109" s="79"/>
      <c r="P109" s="80"/>
      <c r="Q109" s="80"/>
      <c r="R109" s="80"/>
      <c r="S109" s="80"/>
      <c r="T109" s="65"/>
      <c r="U109" s="65"/>
      <c r="V109" s="65"/>
      <c r="W109" s="65"/>
      <c r="X109" s="65"/>
      <c r="Y109" s="66"/>
      <c r="Z109" s="66"/>
      <c r="AA109" s="66"/>
      <c r="AB109" s="66"/>
      <c r="AC109" s="66" t="s">
        <v>14415</v>
      </c>
      <c r="AD109" s="65"/>
      <c r="AE109" s="65"/>
      <c r="AF109" s="65"/>
    </row>
    <row r="110" spans="1:32" x14ac:dyDescent="0.25">
      <c r="A110" s="65"/>
      <c r="B110" s="65"/>
      <c r="C110" s="65"/>
      <c r="D110" s="65"/>
      <c r="E110" s="65"/>
      <c r="F110" s="65"/>
      <c r="G110" s="65"/>
      <c r="H110" s="66"/>
      <c r="I110" s="66"/>
      <c r="J110" s="66"/>
      <c r="K110" s="66"/>
      <c r="L110" s="66" t="s">
        <v>5061</v>
      </c>
      <c r="M110" s="79"/>
      <c r="N110" s="79"/>
      <c r="O110" s="79"/>
      <c r="P110" s="80"/>
      <c r="Q110" s="80"/>
      <c r="R110" s="80"/>
      <c r="S110" s="80"/>
      <c r="T110" s="65"/>
      <c r="U110" s="65"/>
      <c r="V110" s="65"/>
      <c r="W110" s="65"/>
      <c r="X110" s="65"/>
      <c r="Y110" s="66"/>
      <c r="Z110" s="66"/>
      <c r="AA110" s="66"/>
      <c r="AB110" s="66"/>
      <c r="AC110" s="66" t="s">
        <v>7194</v>
      </c>
      <c r="AD110" s="65"/>
      <c r="AE110" s="65"/>
      <c r="AF110" s="65"/>
    </row>
    <row r="111" spans="1:32" x14ac:dyDescent="0.25">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6"/>
      <c r="Z111" s="66"/>
      <c r="AA111" s="66"/>
      <c r="AB111" s="66"/>
      <c r="AC111" s="66" t="s">
        <v>7216</v>
      </c>
      <c r="AD111" s="65"/>
      <c r="AE111" s="65"/>
      <c r="AF111" s="65"/>
    </row>
    <row r="112" spans="1:32" x14ac:dyDescent="0.25">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6"/>
      <c r="Z112" s="66"/>
      <c r="AA112" s="66"/>
      <c r="AB112" s="66"/>
      <c r="AC112" s="66" t="s">
        <v>7451</v>
      </c>
      <c r="AD112" s="65"/>
      <c r="AE112" s="65"/>
      <c r="AF112" s="65"/>
    </row>
    <row r="113" spans="1:32" x14ac:dyDescent="0.25">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6"/>
      <c r="Z113" s="66"/>
      <c r="AA113" s="66"/>
      <c r="AB113" s="66"/>
      <c r="AC113" s="66" t="s">
        <v>14416</v>
      </c>
      <c r="AD113" s="65"/>
      <c r="AE113" s="65"/>
      <c r="AF113" s="65"/>
    </row>
    <row r="114" spans="1:32" x14ac:dyDescent="0.25">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6"/>
      <c r="Z114" s="66"/>
      <c r="AA114" s="66"/>
      <c r="AB114" s="66"/>
      <c r="AC114" s="66" t="s">
        <v>14417</v>
      </c>
      <c r="AD114" s="65"/>
      <c r="AE114" s="65"/>
      <c r="AF114" s="65"/>
    </row>
    <row r="115" spans="1:32" x14ac:dyDescent="0.25">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6"/>
      <c r="Z115" s="66"/>
      <c r="AA115" s="66"/>
      <c r="AB115" s="66"/>
      <c r="AC115" s="66" t="s">
        <v>7835</v>
      </c>
      <c r="AD115" s="65"/>
      <c r="AE115" s="65"/>
      <c r="AF115" s="65"/>
    </row>
    <row r="116" spans="1:32" x14ac:dyDescent="0.25">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6"/>
      <c r="Z116" s="66"/>
      <c r="AA116" s="66"/>
      <c r="AB116" s="66"/>
      <c r="AC116" s="66" t="s">
        <v>14418</v>
      </c>
      <c r="AD116" s="65"/>
      <c r="AE116" s="65"/>
      <c r="AF116" s="65"/>
    </row>
    <row r="117" spans="1:32" x14ac:dyDescent="0.25">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6"/>
      <c r="Z117" s="66"/>
      <c r="AA117" s="66"/>
      <c r="AB117" s="66"/>
      <c r="AC117" s="66" t="s">
        <v>14419</v>
      </c>
      <c r="AD117" s="65"/>
      <c r="AE117" s="65"/>
      <c r="AF117" s="65"/>
    </row>
    <row r="118" spans="1:32" x14ac:dyDescent="0.25">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6"/>
      <c r="Z118" s="66"/>
      <c r="AA118" s="66"/>
      <c r="AB118" s="66"/>
      <c r="AC118" s="66" t="s">
        <v>14420</v>
      </c>
      <c r="AD118" s="65"/>
      <c r="AE118" s="65"/>
      <c r="AF118" s="65"/>
    </row>
    <row r="119" spans="1:32" x14ac:dyDescent="0.25">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6"/>
      <c r="Z119" s="66"/>
      <c r="AA119" s="66"/>
      <c r="AB119" s="66"/>
      <c r="AC119" s="66" t="s">
        <v>14421</v>
      </c>
      <c r="AD119" s="65"/>
      <c r="AE119" s="65"/>
      <c r="AF119" s="65"/>
    </row>
    <row r="120" spans="1:32" x14ac:dyDescent="0.25">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6"/>
      <c r="Z120" s="66"/>
      <c r="AA120" s="66"/>
      <c r="AB120" s="66"/>
      <c r="AC120" s="66" t="s">
        <v>8138</v>
      </c>
      <c r="AD120" s="65"/>
      <c r="AE120" s="65"/>
      <c r="AF120" s="65"/>
    </row>
    <row r="121" spans="1:32" x14ac:dyDescent="0.25">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6"/>
      <c r="Z121" s="66"/>
      <c r="AA121" s="66"/>
      <c r="AB121" s="66"/>
      <c r="AC121" s="66" t="s">
        <v>14422</v>
      </c>
      <c r="AD121" s="65"/>
      <c r="AE121" s="65"/>
      <c r="AF121" s="65"/>
    </row>
    <row r="122" spans="1:32" x14ac:dyDescent="0.25">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6"/>
      <c r="Z122" s="66"/>
      <c r="AA122" s="66"/>
      <c r="AB122" s="66"/>
      <c r="AC122" s="66" t="s">
        <v>14423</v>
      </c>
      <c r="AD122" s="65"/>
      <c r="AE122" s="65"/>
      <c r="AF122" s="65"/>
    </row>
    <row r="123" spans="1:32" x14ac:dyDescent="0.25">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6"/>
      <c r="Z123" s="66"/>
      <c r="AA123" s="66"/>
      <c r="AB123" s="66"/>
      <c r="AC123" s="66" t="s">
        <v>14424</v>
      </c>
      <c r="AD123" s="65"/>
      <c r="AE123" s="65"/>
      <c r="AF123" s="65"/>
    </row>
    <row r="124" spans="1:32" x14ac:dyDescent="0.25">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6"/>
      <c r="Z124" s="66"/>
      <c r="AA124" s="66"/>
      <c r="AB124" s="66"/>
      <c r="AC124" s="66" t="s">
        <v>14425</v>
      </c>
      <c r="AD124" s="65"/>
      <c r="AE124" s="65"/>
      <c r="AF124" s="65"/>
    </row>
    <row r="125" spans="1:32" x14ac:dyDescent="0.25">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6"/>
      <c r="Z125" s="66"/>
      <c r="AA125" s="66"/>
      <c r="AB125" s="66"/>
      <c r="AC125" s="66" t="s">
        <v>8140</v>
      </c>
      <c r="AD125" s="65"/>
      <c r="AE125" s="65"/>
      <c r="AF125" s="65"/>
    </row>
    <row r="126" spans="1:32" x14ac:dyDescent="0.25">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6"/>
      <c r="Z126" s="66"/>
      <c r="AA126" s="66"/>
      <c r="AB126" s="66"/>
      <c r="AC126" s="66" t="s">
        <v>8180</v>
      </c>
      <c r="AD126" s="65"/>
      <c r="AE126" s="65"/>
      <c r="AF126" s="65"/>
    </row>
    <row r="127" spans="1:32" x14ac:dyDescent="0.25">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6"/>
      <c r="Z127" s="66"/>
      <c r="AA127" s="66"/>
      <c r="AB127" s="66"/>
      <c r="AC127" s="66" t="s">
        <v>8265</v>
      </c>
      <c r="AD127" s="65"/>
      <c r="AE127" s="65"/>
      <c r="AF127" s="65"/>
    </row>
    <row r="128" spans="1:32" x14ac:dyDescent="0.25">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6"/>
      <c r="Z128" s="66"/>
      <c r="AA128" s="66"/>
      <c r="AB128" s="66"/>
      <c r="AC128" s="66" t="s">
        <v>8444</v>
      </c>
      <c r="AD128" s="65"/>
      <c r="AE128" s="65"/>
      <c r="AF128" s="65"/>
    </row>
    <row r="129" spans="1:32" x14ac:dyDescent="0.25">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6"/>
      <c r="Z129" s="66"/>
      <c r="AA129" s="66"/>
      <c r="AB129" s="66"/>
      <c r="AC129" s="66" t="s">
        <v>14426</v>
      </c>
      <c r="AD129" s="65"/>
      <c r="AE129" s="65"/>
      <c r="AF129" s="65"/>
    </row>
    <row r="130" spans="1:32" x14ac:dyDescent="0.25">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6"/>
      <c r="Z130" s="66"/>
      <c r="AA130" s="66"/>
      <c r="AB130" s="66"/>
      <c r="AC130" s="66" t="s">
        <v>14427</v>
      </c>
      <c r="AD130" s="65"/>
      <c r="AE130" s="65"/>
      <c r="AF130" s="65"/>
    </row>
    <row r="131" spans="1:32" x14ac:dyDescent="0.25">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6"/>
      <c r="Z131" s="66"/>
      <c r="AA131" s="66"/>
      <c r="AB131" s="66"/>
      <c r="AC131" s="66" t="s">
        <v>8647</v>
      </c>
      <c r="AD131" s="65"/>
      <c r="AE131" s="65"/>
      <c r="AF131" s="65"/>
    </row>
    <row r="132" spans="1:32" x14ac:dyDescent="0.25">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6"/>
      <c r="Z132" s="66"/>
      <c r="AA132" s="66"/>
      <c r="AB132" s="66"/>
      <c r="AC132" s="66" t="s">
        <v>9020</v>
      </c>
      <c r="AD132" s="65"/>
      <c r="AE132" s="65"/>
      <c r="AF132" s="65"/>
    </row>
    <row r="133" spans="1:32" x14ac:dyDescent="0.25">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6"/>
      <c r="Z133" s="66"/>
      <c r="AA133" s="66"/>
      <c r="AB133" s="66"/>
      <c r="AC133" s="66" t="s">
        <v>14428</v>
      </c>
      <c r="AD133" s="65"/>
      <c r="AE133" s="65"/>
      <c r="AF133" s="65"/>
    </row>
    <row r="134" spans="1:32" x14ac:dyDescent="0.25">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6"/>
      <c r="Z134" s="66"/>
      <c r="AA134" s="66"/>
      <c r="AB134" s="66"/>
      <c r="AC134" s="66" t="s">
        <v>14429</v>
      </c>
      <c r="AD134" s="65"/>
      <c r="AE134" s="65"/>
      <c r="AF134" s="65"/>
    </row>
    <row r="135" spans="1:32" x14ac:dyDescent="0.25">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6"/>
      <c r="Z135" s="66"/>
      <c r="AA135" s="66"/>
      <c r="AB135" s="66"/>
      <c r="AC135" s="66" t="s">
        <v>9042</v>
      </c>
      <c r="AD135" s="65"/>
      <c r="AE135" s="65"/>
      <c r="AF135" s="65"/>
    </row>
    <row r="136" spans="1:32" x14ac:dyDescent="0.25">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6"/>
      <c r="Z136" s="66"/>
      <c r="AA136" s="66"/>
      <c r="AB136" s="66"/>
      <c r="AC136" s="66" t="s">
        <v>9043</v>
      </c>
      <c r="AD136" s="65"/>
      <c r="AE136" s="65"/>
      <c r="AF136" s="65"/>
    </row>
    <row r="137" spans="1:32" x14ac:dyDescent="0.25">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6"/>
      <c r="Z137" s="66"/>
      <c r="AA137" s="66"/>
      <c r="AB137" s="66"/>
      <c r="AC137" s="66" t="s">
        <v>14430</v>
      </c>
      <c r="AD137" s="65"/>
      <c r="AE137" s="65"/>
      <c r="AF137" s="65"/>
    </row>
    <row r="138" spans="1:32" x14ac:dyDescent="0.25">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6"/>
      <c r="Z138" s="66"/>
      <c r="AA138" s="66"/>
      <c r="AB138" s="66"/>
      <c r="AC138" s="66" t="s">
        <v>9409</v>
      </c>
      <c r="AD138" s="65"/>
      <c r="AE138" s="65"/>
      <c r="AF138" s="65"/>
    </row>
    <row r="139" spans="1:32" x14ac:dyDescent="0.25">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6"/>
      <c r="Z139" s="66"/>
      <c r="AA139" s="66"/>
      <c r="AB139" s="66"/>
      <c r="AC139" s="66" t="s">
        <v>14431</v>
      </c>
      <c r="AD139" s="65"/>
      <c r="AE139" s="65"/>
      <c r="AF139" s="65"/>
    </row>
    <row r="140" spans="1:32" x14ac:dyDescent="0.25">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6"/>
      <c r="Z140" s="66"/>
      <c r="AA140" s="66"/>
      <c r="AB140" s="66"/>
      <c r="AC140" s="66" t="s">
        <v>9427</v>
      </c>
      <c r="AD140" s="65"/>
      <c r="AE140" s="65"/>
      <c r="AF140" s="65"/>
    </row>
    <row r="141" spans="1:32" x14ac:dyDescent="0.25">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6"/>
      <c r="Z141" s="66"/>
      <c r="AA141" s="66"/>
      <c r="AB141" s="66"/>
      <c r="AC141" s="66" t="s">
        <v>14432</v>
      </c>
      <c r="AD141" s="65"/>
      <c r="AE141" s="65"/>
      <c r="AF141" s="65"/>
    </row>
    <row r="142" spans="1:32" x14ac:dyDescent="0.25">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6"/>
      <c r="Z142" s="66"/>
      <c r="AA142" s="66"/>
      <c r="AB142" s="66"/>
      <c r="AC142" s="66" t="s">
        <v>14433</v>
      </c>
      <c r="AD142" s="65"/>
      <c r="AE142" s="65"/>
      <c r="AF142" s="65"/>
    </row>
    <row r="143" spans="1:32" x14ac:dyDescent="0.25">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6"/>
      <c r="Z143" s="66"/>
      <c r="AA143" s="66"/>
      <c r="AB143" s="66"/>
      <c r="AC143" s="66" t="s">
        <v>9514</v>
      </c>
      <c r="AD143" s="65"/>
      <c r="AE143" s="65"/>
      <c r="AF143" s="65"/>
    </row>
    <row r="144" spans="1:32" x14ac:dyDescent="0.25">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6"/>
      <c r="Z144" s="66"/>
      <c r="AA144" s="66"/>
      <c r="AB144" s="66"/>
      <c r="AC144" s="66" t="s">
        <v>9516</v>
      </c>
      <c r="AD144" s="65"/>
      <c r="AE144" s="65"/>
      <c r="AF144" s="65"/>
    </row>
    <row r="145" spans="1:32" x14ac:dyDescent="0.25">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6"/>
      <c r="Z145" s="66"/>
      <c r="AA145" s="66"/>
      <c r="AB145" s="66"/>
      <c r="AC145" s="66" t="s">
        <v>14434</v>
      </c>
      <c r="AD145" s="65"/>
      <c r="AE145" s="65"/>
      <c r="AF145" s="65"/>
    </row>
    <row r="146" spans="1:32" x14ac:dyDescent="0.25">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6"/>
      <c r="Z146" s="66"/>
      <c r="AA146" s="66"/>
      <c r="AB146" s="66"/>
      <c r="AC146" s="66" t="s">
        <v>9706</v>
      </c>
      <c r="AD146" s="65"/>
      <c r="AE146" s="65"/>
      <c r="AF146" s="65"/>
    </row>
    <row r="147" spans="1:32" x14ac:dyDescent="0.25">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6"/>
      <c r="Z147" s="66"/>
      <c r="AA147" s="66"/>
      <c r="AB147" s="66"/>
      <c r="AC147" s="66" t="s">
        <v>10263</v>
      </c>
      <c r="AD147" s="65"/>
      <c r="AE147" s="65"/>
      <c r="AF147" s="65"/>
    </row>
    <row r="148" spans="1:32" x14ac:dyDescent="0.25">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6"/>
      <c r="Z148" s="66"/>
      <c r="AA148" s="66"/>
      <c r="AB148" s="66"/>
      <c r="AC148" s="66" t="s">
        <v>14435</v>
      </c>
      <c r="AD148" s="65"/>
      <c r="AE148" s="65"/>
      <c r="AF148" s="65"/>
    </row>
    <row r="149" spans="1:32" x14ac:dyDescent="0.25">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6"/>
      <c r="Z149" s="66"/>
      <c r="AA149" s="66"/>
      <c r="AB149" s="66"/>
      <c r="AC149" s="66" t="s">
        <v>14436</v>
      </c>
      <c r="AD149" s="65"/>
      <c r="AE149" s="65"/>
      <c r="AF149" s="65"/>
    </row>
    <row r="150" spans="1:32" x14ac:dyDescent="0.25">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6"/>
      <c r="Z150" s="66"/>
      <c r="AA150" s="66"/>
      <c r="AB150" s="66"/>
      <c r="AC150" s="66" t="s">
        <v>14437</v>
      </c>
      <c r="AD150" s="65"/>
      <c r="AE150" s="65"/>
      <c r="AF150" s="65"/>
    </row>
    <row r="151" spans="1:32" x14ac:dyDescent="0.25">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6"/>
      <c r="Z151" s="66"/>
      <c r="AA151" s="66"/>
      <c r="AB151" s="66"/>
      <c r="AC151" s="66" t="s">
        <v>10350</v>
      </c>
      <c r="AD151" s="65"/>
      <c r="AE151" s="65"/>
      <c r="AF151" s="65"/>
    </row>
    <row r="152" spans="1:32" x14ac:dyDescent="0.25">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6"/>
      <c r="Z152" s="66"/>
      <c r="AA152" s="66"/>
      <c r="AB152" s="66"/>
      <c r="AC152" s="66" t="s">
        <v>14438</v>
      </c>
      <c r="AD152" s="65"/>
      <c r="AE152" s="65"/>
      <c r="AF152" s="65"/>
    </row>
    <row r="153" spans="1:32" x14ac:dyDescent="0.25">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6"/>
      <c r="Z153" s="66"/>
      <c r="AA153" s="66"/>
      <c r="AB153" s="66"/>
      <c r="AC153" s="66" t="s">
        <v>10371</v>
      </c>
      <c r="AD153" s="65"/>
      <c r="AE153" s="65"/>
      <c r="AF153" s="65"/>
    </row>
    <row r="154" spans="1:32" x14ac:dyDescent="0.25">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6"/>
      <c r="Z154" s="66"/>
      <c r="AA154" s="66"/>
      <c r="AB154" s="66"/>
      <c r="AC154" s="66" t="s">
        <v>14439</v>
      </c>
      <c r="AD154" s="65"/>
      <c r="AE154" s="65"/>
      <c r="AF154" s="65"/>
    </row>
    <row r="155" spans="1:32" x14ac:dyDescent="0.25">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6"/>
      <c r="Z155" s="66"/>
      <c r="AA155" s="66"/>
      <c r="AB155" s="66"/>
      <c r="AC155" s="66" t="s">
        <v>14440</v>
      </c>
      <c r="AD155" s="65"/>
      <c r="AE155" s="65"/>
      <c r="AF155" s="65"/>
    </row>
    <row r="156" spans="1:32" x14ac:dyDescent="0.25">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6"/>
      <c r="Z156" s="66"/>
      <c r="AA156" s="66"/>
      <c r="AB156" s="66"/>
      <c r="AC156" s="66" t="s">
        <v>14441</v>
      </c>
      <c r="AD156" s="65"/>
      <c r="AE156" s="65"/>
      <c r="AF156" s="65"/>
    </row>
    <row r="157" spans="1:32" x14ac:dyDescent="0.25">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6"/>
      <c r="Z157" s="66"/>
      <c r="AA157" s="66"/>
      <c r="AB157" s="66"/>
      <c r="AC157" s="66" t="s">
        <v>14442</v>
      </c>
      <c r="AD157" s="65"/>
      <c r="AE157" s="65"/>
      <c r="AF157" s="65"/>
    </row>
    <row r="158" spans="1:32" x14ac:dyDescent="0.25">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6"/>
      <c r="Z158" s="66"/>
      <c r="AA158" s="66"/>
      <c r="AB158" s="66"/>
      <c r="AC158" s="66" t="s">
        <v>14443</v>
      </c>
      <c r="AD158" s="65"/>
      <c r="AE158" s="65"/>
      <c r="AF158" s="65"/>
    </row>
    <row r="159" spans="1:32" x14ac:dyDescent="0.25">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6"/>
      <c r="Z159" s="66"/>
      <c r="AA159" s="66"/>
      <c r="AB159" s="66"/>
      <c r="AC159" s="66" t="s">
        <v>14444</v>
      </c>
      <c r="AD159" s="65"/>
      <c r="AE159" s="65"/>
      <c r="AF159" s="65"/>
    </row>
    <row r="160" spans="1:32" x14ac:dyDescent="0.25">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6"/>
      <c r="Z160" s="66"/>
      <c r="AA160" s="66"/>
      <c r="AB160" s="66"/>
      <c r="AC160" s="66" t="s">
        <v>14445</v>
      </c>
      <c r="AD160" s="65"/>
      <c r="AE160" s="65"/>
      <c r="AF160" s="65"/>
    </row>
    <row r="161" spans="1:32" x14ac:dyDescent="0.25">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6"/>
      <c r="Z161" s="66"/>
      <c r="AA161" s="66"/>
      <c r="AB161" s="66"/>
      <c r="AC161" s="66" t="s">
        <v>14446</v>
      </c>
      <c r="AD161" s="65"/>
      <c r="AE161" s="65"/>
      <c r="AF161" s="65"/>
    </row>
    <row r="162" spans="1:32" x14ac:dyDescent="0.25">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6"/>
      <c r="Z162" s="66"/>
      <c r="AA162" s="66"/>
      <c r="AB162" s="66"/>
      <c r="AC162" s="66" t="s">
        <v>10558</v>
      </c>
      <c r="AD162" s="65"/>
      <c r="AE162" s="65"/>
      <c r="AF162" s="65"/>
    </row>
    <row r="163" spans="1:32" x14ac:dyDescent="0.25">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6"/>
      <c r="Z163" s="66"/>
      <c r="AA163" s="66"/>
      <c r="AB163" s="66"/>
      <c r="AC163" s="66" t="s">
        <v>14447</v>
      </c>
      <c r="AD163" s="65"/>
      <c r="AE163" s="65"/>
      <c r="AF163" s="65"/>
    </row>
    <row r="164" spans="1:32" x14ac:dyDescent="0.25">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6"/>
      <c r="Z164" s="66"/>
      <c r="AA164" s="66"/>
      <c r="AB164" s="66"/>
      <c r="AC164" s="66" t="s">
        <v>10594</v>
      </c>
      <c r="AD164" s="65"/>
      <c r="AE164" s="65"/>
      <c r="AF164" s="65"/>
    </row>
    <row r="165" spans="1:32" x14ac:dyDescent="0.25">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6"/>
      <c r="Z165" s="66"/>
      <c r="AA165" s="66"/>
      <c r="AB165" s="66"/>
      <c r="AC165" s="66" t="s">
        <v>14448</v>
      </c>
      <c r="AD165" s="65"/>
      <c r="AE165" s="65"/>
      <c r="AF165" s="65"/>
    </row>
    <row r="166" spans="1:32" x14ac:dyDescent="0.25">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6"/>
      <c r="Z166" s="66"/>
      <c r="AA166" s="66"/>
      <c r="AB166" s="66"/>
      <c r="AC166" s="66" t="s">
        <v>14449</v>
      </c>
      <c r="AD166" s="65"/>
      <c r="AE166" s="65"/>
      <c r="AF166" s="65"/>
    </row>
    <row r="167" spans="1:32" x14ac:dyDescent="0.25">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6"/>
      <c r="Z167" s="66"/>
      <c r="AA167" s="66"/>
      <c r="AB167" s="66"/>
      <c r="AC167" s="66" t="s">
        <v>14450</v>
      </c>
      <c r="AD167" s="65"/>
      <c r="AE167" s="65"/>
      <c r="AF167" s="65"/>
    </row>
    <row r="168" spans="1:32" x14ac:dyDescent="0.25">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6"/>
      <c r="Z168" s="66"/>
      <c r="AA168" s="66"/>
      <c r="AB168" s="66"/>
      <c r="AC168" s="66" t="s">
        <v>14451</v>
      </c>
      <c r="AD168" s="65"/>
      <c r="AE168" s="65"/>
      <c r="AF168" s="65"/>
    </row>
    <row r="169" spans="1:32" x14ac:dyDescent="0.25">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6"/>
      <c r="Z169" s="66"/>
      <c r="AA169" s="66"/>
      <c r="AB169" s="66"/>
      <c r="AC169" s="66" t="s">
        <v>14452</v>
      </c>
      <c r="AD169" s="65"/>
      <c r="AE169" s="65"/>
      <c r="AF169" s="65"/>
    </row>
    <row r="170" spans="1:32" x14ac:dyDescent="0.25">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6"/>
      <c r="Z170" s="66"/>
      <c r="AA170" s="66"/>
      <c r="AB170" s="66"/>
      <c r="AC170" s="66" t="s">
        <v>10685</v>
      </c>
      <c r="AD170" s="65"/>
      <c r="AE170" s="65"/>
      <c r="AF170" s="65"/>
    </row>
    <row r="171" spans="1:32" x14ac:dyDescent="0.25">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6"/>
      <c r="Z171" s="66"/>
      <c r="AA171" s="66"/>
      <c r="AB171" s="66"/>
      <c r="AC171" s="66" t="s">
        <v>11102</v>
      </c>
      <c r="AD171" s="65"/>
      <c r="AE171" s="65"/>
      <c r="AF171" s="65"/>
    </row>
    <row r="172" spans="1:32" x14ac:dyDescent="0.25">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6"/>
      <c r="Z172" s="66"/>
      <c r="AA172" s="66"/>
      <c r="AB172" s="66"/>
      <c r="AC172" s="66" t="s">
        <v>11104</v>
      </c>
      <c r="AD172" s="65"/>
      <c r="AE172" s="65"/>
      <c r="AF172" s="65"/>
    </row>
    <row r="173" spans="1:32" x14ac:dyDescent="0.25">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6"/>
      <c r="Z173" s="66"/>
      <c r="AA173" s="66"/>
      <c r="AB173" s="66"/>
      <c r="AC173" s="66" t="s">
        <v>14453</v>
      </c>
      <c r="AD173" s="65"/>
      <c r="AE173" s="65"/>
      <c r="AF173" s="65"/>
    </row>
    <row r="174" spans="1:32" x14ac:dyDescent="0.25">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6"/>
      <c r="Z174" s="66"/>
      <c r="AA174" s="66"/>
      <c r="AB174" s="66"/>
      <c r="AC174" s="66" t="s">
        <v>11304</v>
      </c>
      <c r="AD174" s="65"/>
      <c r="AE174" s="65"/>
      <c r="AF174" s="65"/>
    </row>
    <row r="175" spans="1:32" x14ac:dyDescent="0.25">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6"/>
      <c r="Z175" s="66"/>
      <c r="AA175" s="66"/>
      <c r="AB175" s="66"/>
      <c r="AC175" s="66" t="s">
        <v>11417</v>
      </c>
      <c r="AD175" s="65"/>
      <c r="AE175" s="65"/>
      <c r="AF175" s="65"/>
    </row>
    <row r="176" spans="1:32" x14ac:dyDescent="0.25">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6"/>
      <c r="Z176" s="66"/>
      <c r="AA176" s="66"/>
      <c r="AB176" s="66"/>
      <c r="AC176" s="66" t="s">
        <v>14454</v>
      </c>
      <c r="AD176" s="65"/>
      <c r="AE176" s="65"/>
      <c r="AF176" s="65"/>
    </row>
    <row r="177" spans="1:32" x14ac:dyDescent="0.25">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6"/>
      <c r="Z177" s="66"/>
      <c r="AA177" s="66"/>
      <c r="AB177" s="66"/>
      <c r="AC177" s="66" t="s">
        <v>14455</v>
      </c>
      <c r="AD177" s="65"/>
      <c r="AE177" s="65"/>
      <c r="AF177" s="65"/>
    </row>
    <row r="178" spans="1:32" x14ac:dyDescent="0.25">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6"/>
      <c r="Z178" s="66"/>
      <c r="AA178" s="66"/>
      <c r="AB178" s="66"/>
      <c r="AC178" s="66" t="s">
        <v>14456</v>
      </c>
      <c r="AD178" s="65"/>
      <c r="AE178" s="65"/>
      <c r="AF178" s="65"/>
    </row>
    <row r="179" spans="1:32" x14ac:dyDescent="0.25">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6"/>
      <c r="Z179" s="66"/>
      <c r="AA179" s="66"/>
      <c r="AB179" s="66"/>
      <c r="AC179" s="66" t="s">
        <v>11664</v>
      </c>
      <c r="AD179" s="65"/>
      <c r="AE179" s="65"/>
      <c r="AF179" s="65"/>
    </row>
    <row r="180" spans="1:32" x14ac:dyDescent="0.25">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6"/>
      <c r="Z180" s="66"/>
      <c r="AA180" s="66"/>
      <c r="AB180" s="66"/>
      <c r="AC180" s="66" t="s">
        <v>11693</v>
      </c>
      <c r="AD180" s="65"/>
      <c r="AE180" s="65"/>
      <c r="AF180" s="65"/>
    </row>
    <row r="181" spans="1:32" x14ac:dyDescent="0.25">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6"/>
      <c r="Z181" s="66"/>
      <c r="AA181" s="66"/>
      <c r="AB181" s="66"/>
      <c r="AC181" s="66" t="s">
        <v>14457</v>
      </c>
      <c r="AD181" s="65"/>
      <c r="AE181" s="65"/>
      <c r="AF181" s="65"/>
    </row>
    <row r="182" spans="1:32" x14ac:dyDescent="0.25">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6"/>
      <c r="Z182" s="66"/>
      <c r="AA182" s="66"/>
      <c r="AB182" s="66"/>
      <c r="AC182" s="66" t="s">
        <v>14458</v>
      </c>
      <c r="AD182" s="65"/>
      <c r="AE182" s="65"/>
      <c r="AF182" s="65"/>
    </row>
    <row r="183" spans="1:32" x14ac:dyDescent="0.25">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6"/>
      <c r="Z183" s="66"/>
      <c r="AA183" s="66"/>
      <c r="AB183" s="66"/>
      <c r="AC183" s="66" t="s">
        <v>12090</v>
      </c>
      <c r="AD183" s="65"/>
      <c r="AE183" s="65"/>
      <c r="AF183" s="65"/>
    </row>
    <row r="184" spans="1:32" x14ac:dyDescent="0.25">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6"/>
      <c r="Z184" s="66"/>
      <c r="AA184" s="66"/>
      <c r="AB184" s="66"/>
      <c r="AC184" s="66" t="s">
        <v>12294</v>
      </c>
      <c r="AD184" s="65"/>
      <c r="AE184" s="65"/>
      <c r="AF184" s="65"/>
    </row>
    <row r="185" spans="1:32" x14ac:dyDescent="0.25">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6"/>
      <c r="Z185" s="66"/>
      <c r="AA185" s="66"/>
      <c r="AB185" s="66"/>
      <c r="AC185" s="66" t="s">
        <v>12547</v>
      </c>
      <c r="AD185" s="65"/>
      <c r="AE185" s="65"/>
      <c r="AF185" s="65"/>
    </row>
    <row r="186" spans="1:32" x14ac:dyDescent="0.25">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6"/>
      <c r="Z186" s="66"/>
      <c r="AA186" s="66"/>
      <c r="AB186" s="66"/>
      <c r="AC186" s="66" t="s">
        <v>14459</v>
      </c>
      <c r="AD186" s="65"/>
      <c r="AE186" s="65"/>
      <c r="AF186" s="65"/>
    </row>
    <row r="187" spans="1:32" x14ac:dyDescent="0.25">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6"/>
      <c r="Z187" s="66"/>
      <c r="AA187" s="66"/>
      <c r="AB187" s="66"/>
      <c r="AC187" s="66" t="s">
        <v>14460</v>
      </c>
      <c r="AD187" s="65"/>
      <c r="AE187" s="65"/>
      <c r="AF187" s="65"/>
    </row>
    <row r="188" spans="1:32" x14ac:dyDescent="0.25">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6"/>
      <c r="Z188" s="66"/>
      <c r="AA188" s="66"/>
      <c r="AB188" s="66"/>
      <c r="AC188" s="66" t="s">
        <v>14461</v>
      </c>
      <c r="AD188" s="65"/>
      <c r="AE188" s="65"/>
      <c r="AF188" s="65"/>
    </row>
    <row r="189" spans="1:32" x14ac:dyDescent="0.25">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6"/>
      <c r="Z189" s="66"/>
      <c r="AA189" s="66"/>
      <c r="AB189" s="66"/>
      <c r="AC189" s="66" t="s">
        <v>14462</v>
      </c>
      <c r="AD189" s="65"/>
      <c r="AE189" s="65"/>
      <c r="AF189" s="65"/>
    </row>
    <row r="190" spans="1:32" x14ac:dyDescent="0.25">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6"/>
      <c r="Z190" s="66"/>
      <c r="AA190" s="66"/>
      <c r="AB190" s="66"/>
      <c r="AC190" s="66" t="s">
        <v>12654</v>
      </c>
      <c r="AD190" s="65"/>
      <c r="AE190" s="65"/>
      <c r="AF190" s="65"/>
    </row>
    <row r="191" spans="1:32" x14ac:dyDescent="0.25">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6"/>
      <c r="Z191" s="66"/>
      <c r="AA191" s="66"/>
      <c r="AB191" s="66"/>
      <c r="AC191" s="66" t="s">
        <v>14463</v>
      </c>
      <c r="AD191" s="65"/>
      <c r="AE191" s="65"/>
      <c r="AF191" s="65"/>
    </row>
    <row r="192" spans="1:32" x14ac:dyDescent="0.25">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6"/>
      <c r="Z192" s="66"/>
      <c r="AA192" s="66"/>
      <c r="AB192" s="66"/>
      <c r="AC192" s="66" t="s">
        <v>14464</v>
      </c>
      <c r="AD192" s="65"/>
      <c r="AE192" s="65"/>
      <c r="AF192" s="65"/>
    </row>
    <row r="193" spans="1:32" x14ac:dyDescent="0.25">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6"/>
      <c r="Z193" s="66"/>
      <c r="AA193" s="66"/>
      <c r="AB193" s="66"/>
      <c r="AC193" s="66" t="s">
        <v>12694</v>
      </c>
      <c r="AD193" s="65"/>
      <c r="AE193" s="65"/>
      <c r="AF193" s="65"/>
    </row>
    <row r="194" spans="1:32" x14ac:dyDescent="0.25">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6"/>
      <c r="Z194" s="66"/>
      <c r="AA194" s="66"/>
      <c r="AB194" s="66"/>
      <c r="AC194" s="66" t="s">
        <v>14465</v>
      </c>
      <c r="AD194" s="65"/>
      <c r="AE194" s="65"/>
      <c r="AF194" s="65"/>
    </row>
    <row r="195" spans="1:32" x14ac:dyDescent="0.25">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6"/>
      <c r="Z195" s="66"/>
      <c r="AA195" s="66"/>
      <c r="AB195" s="66"/>
      <c r="AC195" s="66" t="s">
        <v>14466</v>
      </c>
      <c r="AD195" s="65"/>
      <c r="AE195" s="65"/>
      <c r="AF195" s="65"/>
    </row>
    <row r="196" spans="1:32" x14ac:dyDescent="0.25">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6"/>
      <c r="Z196" s="66"/>
      <c r="AA196" s="66"/>
      <c r="AB196" s="66"/>
      <c r="AC196" s="66" t="s">
        <v>12907</v>
      </c>
      <c r="AD196" s="65"/>
      <c r="AE196" s="65"/>
      <c r="AF196" s="65"/>
    </row>
    <row r="197" spans="1:32" x14ac:dyDescent="0.25">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6"/>
      <c r="Z197" s="66"/>
      <c r="AA197" s="66"/>
      <c r="AB197" s="66"/>
      <c r="AC197" s="66" t="s">
        <v>12969</v>
      </c>
      <c r="AD197" s="65"/>
      <c r="AE197" s="65"/>
      <c r="AF197" s="65"/>
    </row>
    <row r="198" spans="1:32" x14ac:dyDescent="0.25">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6"/>
      <c r="Z198" s="66"/>
      <c r="AA198" s="66"/>
      <c r="AB198" s="66"/>
      <c r="AC198" s="66" t="s">
        <v>14467</v>
      </c>
      <c r="AD198" s="65"/>
      <c r="AE198" s="65"/>
      <c r="AF198" s="65"/>
    </row>
    <row r="199" spans="1:32" x14ac:dyDescent="0.25">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6"/>
      <c r="Z199" s="66"/>
      <c r="AA199" s="66"/>
      <c r="AB199" s="66"/>
      <c r="AC199" s="66" t="s">
        <v>14468</v>
      </c>
      <c r="AD199" s="65"/>
      <c r="AE199" s="65"/>
      <c r="AF199" s="65"/>
    </row>
    <row r="200" spans="1:32" x14ac:dyDescent="0.25">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6"/>
      <c r="Z200" s="66"/>
      <c r="AA200" s="66"/>
      <c r="AB200" s="66"/>
      <c r="AC200" s="66" t="s">
        <v>13272</v>
      </c>
      <c r="AD200" s="65"/>
      <c r="AE200" s="65"/>
      <c r="AF200" s="65"/>
    </row>
    <row r="201" spans="1:32" x14ac:dyDescent="0.25">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6"/>
      <c r="Z201" s="66"/>
      <c r="AA201" s="66"/>
      <c r="AB201" s="66"/>
      <c r="AC201" s="66" t="s">
        <v>14469</v>
      </c>
      <c r="AD201" s="65"/>
      <c r="AE201" s="65"/>
      <c r="AF201" s="65"/>
    </row>
    <row r="202" spans="1:32" x14ac:dyDescent="0.25">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6"/>
      <c r="Z202" s="66"/>
      <c r="AA202" s="66"/>
      <c r="AB202" s="66"/>
      <c r="AC202" s="66" t="s">
        <v>13409</v>
      </c>
      <c r="AD202" s="65"/>
      <c r="AE202" s="65"/>
      <c r="AF202" s="65"/>
    </row>
    <row r="203" spans="1:32" x14ac:dyDescent="0.25">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6"/>
      <c r="Z203" s="66"/>
      <c r="AA203" s="66"/>
      <c r="AB203" s="66"/>
      <c r="AC203" s="66" t="s">
        <v>13710</v>
      </c>
      <c r="AD203" s="65"/>
      <c r="AE203" s="65"/>
      <c r="AF203" s="65"/>
    </row>
    <row r="204" spans="1:32" x14ac:dyDescent="0.25">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6"/>
      <c r="Z204" s="66"/>
      <c r="AA204" s="66"/>
      <c r="AB204" s="66"/>
      <c r="AC204" s="66" t="s">
        <v>13783</v>
      </c>
      <c r="AD204" s="65"/>
      <c r="AE204" s="65"/>
      <c r="AF204" s="65"/>
    </row>
    <row r="205" spans="1:32" x14ac:dyDescent="0.25">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6"/>
      <c r="Z205" s="66"/>
      <c r="AA205" s="66"/>
      <c r="AB205" s="66"/>
      <c r="AC205" s="66" t="s">
        <v>13917</v>
      </c>
      <c r="AD205" s="65"/>
      <c r="AE205" s="65"/>
      <c r="AF205" s="65"/>
    </row>
    <row r="206" spans="1:32" x14ac:dyDescent="0.25">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6"/>
      <c r="Z206" s="66"/>
      <c r="AA206" s="66"/>
      <c r="AB206" s="66"/>
      <c r="AC206" s="66" t="s">
        <v>14016</v>
      </c>
      <c r="AD206" s="65"/>
      <c r="AE206" s="65"/>
      <c r="AF206" s="65"/>
    </row>
    <row r="207" spans="1:32" x14ac:dyDescent="0.25">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6"/>
      <c r="Z207" s="66"/>
      <c r="AA207" s="66"/>
      <c r="AB207" s="66"/>
      <c r="AC207" s="66"/>
      <c r="AD207" s="65"/>
      <c r="AE207" s="65"/>
      <c r="AF207" s="65"/>
    </row>
    <row r="208" spans="1:32" x14ac:dyDescent="0.25">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6"/>
      <c r="Z208" s="66"/>
      <c r="AA208" s="66"/>
      <c r="AB208" s="66"/>
      <c r="AC208" s="66"/>
      <c r="AD208" s="65"/>
      <c r="AE208" s="65"/>
      <c r="AF208" s="65"/>
    </row>
    <row r="209" spans="1:32" x14ac:dyDescent="0.25">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6"/>
      <c r="Z209" s="66"/>
      <c r="AA209" s="66"/>
      <c r="AB209" s="66"/>
      <c r="AC209" s="66"/>
      <c r="AD209" s="65"/>
      <c r="AE209" s="65"/>
      <c r="AF209" s="65"/>
    </row>
    <row r="210" spans="1:32" x14ac:dyDescent="0.25">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6"/>
      <c r="Z210" s="66"/>
      <c r="AA210" s="66"/>
      <c r="AB210" s="66"/>
      <c r="AC210" s="66"/>
      <c r="AD210" s="65"/>
      <c r="AE210" s="65"/>
      <c r="AF210" s="65"/>
    </row>
    <row r="211" spans="1:32" x14ac:dyDescent="0.25">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6"/>
      <c r="Z211" s="66"/>
      <c r="AA211" s="66"/>
      <c r="AB211" s="66"/>
      <c r="AC211" s="66"/>
      <c r="AD211" s="65"/>
      <c r="AE211" s="65"/>
      <c r="AF211" s="65"/>
    </row>
    <row r="212" spans="1:32" x14ac:dyDescent="0.25">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6"/>
      <c r="Z212" s="66"/>
      <c r="AA212" s="66"/>
      <c r="AB212" s="66"/>
      <c r="AC212" s="66"/>
      <c r="AD212" s="65"/>
      <c r="AE212" s="65"/>
      <c r="AF212" s="65"/>
    </row>
    <row r="213" spans="1:32" x14ac:dyDescent="0.25">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6"/>
      <c r="Z213" s="66"/>
      <c r="AA213" s="66"/>
      <c r="AB213" s="66"/>
      <c r="AC213" s="66"/>
      <c r="AD213" s="65"/>
      <c r="AE213" s="65"/>
      <c r="AF213" s="65"/>
    </row>
    <row r="214" spans="1:32" x14ac:dyDescent="0.25">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6"/>
      <c r="Z214" s="66"/>
      <c r="AA214" s="66"/>
      <c r="AB214" s="66"/>
      <c r="AC214" s="66"/>
      <c r="AD214" s="65"/>
      <c r="AE214" s="65"/>
      <c r="AF214" s="65"/>
    </row>
    <row r="215" spans="1:32" x14ac:dyDescent="0.25">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6"/>
      <c r="Z215" s="66"/>
      <c r="AA215" s="66"/>
      <c r="AB215" s="66"/>
      <c r="AC215" s="66"/>
      <c r="AD215" s="65"/>
      <c r="AE215" s="65"/>
      <c r="AF215" s="65"/>
    </row>
    <row r="216" spans="1:32" x14ac:dyDescent="0.25">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6"/>
      <c r="Z216" s="66"/>
      <c r="AA216" s="66"/>
      <c r="AB216" s="66"/>
      <c r="AC216" s="66"/>
      <c r="AD216" s="65"/>
      <c r="AE216" s="65"/>
      <c r="AF216" s="65"/>
    </row>
    <row r="217" spans="1:32" x14ac:dyDescent="0.25">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6"/>
      <c r="Z217" s="66"/>
      <c r="AA217" s="66"/>
      <c r="AB217" s="66"/>
      <c r="AC217" s="66"/>
      <c r="AD217" s="65"/>
      <c r="AE217" s="65"/>
      <c r="AF217" s="65"/>
    </row>
    <row r="218" spans="1:32" x14ac:dyDescent="0.25">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6"/>
      <c r="Z218" s="66"/>
      <c r="AA218" s="66"/>
      <c r="AB218" s="66"/>
      <c r="AC218" s="66"/>
      <c r="AD218" s="65"/>
      <c r="AE218" s="65"/>
      <c r="AF218" s="65"/>
    </row>
    <row r="219" spans="1:32" x14ac:dyDescent="0.25">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6"/>
      <c r="Z219" s="66"/>
      <c r="AA219" s="66"/>
      <c r="AB219" s="66"/>
      <c r="AC219" s="66"/>
      <c r="AD219" s="65"/>
      <c r="AE219" s="65"/>
      <c r="AF219" s="65"/>
    </row>
    <row r="220" spans="1:32" x14ac:dyDescent="0.25">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6"/>
      <c r="Z220" s="66"/>
      <c r="AA220" s="66"/>
      <c r="AB220" s="66"/>
      <c r="AC220" s="66"/>
      <c r="AD220" s="65"/>
      <c r="AE220" s="65"/>
      <c r="AF220" s="65"/>
    </row>
    <row r="221" spans="1:32" x14ac:dyDescent="0.25">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6"/>
      <c r="Z221" s="66"/>
      <c r="AA221" s="66"/>
      <c r="AB221" s="66"/>
      <c r="AC221" s="66"/>
      <c r="AD221" s="65"/>
      <c r="AE221" s="65"/>
      <c r="AF221" s="65"/>
    </row>
    <row r="222" spans="1:32" x14ac:dyDescent="0.25">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6"/>
      <c r="Z222" s="66"/>
      <c r="AA222" s="66"/>
      <c r="AB222" s="66"/>
      <c r="AC222" s="66"/>
      <c r="AD222" s="65"/>
      <c r="AE222" s="65"/>
      <c r="AF222" s="65"/>
    </row>
    <row r="223" spans="1:32" x14ac:dyDescent="0.25">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6"/>
      <c r="Z223" s="66"/>
      <c r="AA223" s="66"/>
      <c r="AB223" s="66"/>
      <c r="AC223" s="66"/>
      <c r="AD223" s="65"/>
      <c r="AE223" s="65"/>
      <c r="AF223" s="65"/>
    </row>
    <row r="224" spans="1:32" x14ac:dyDescent="0.25">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6"/>
      <c r="Z224" s="66"/>
      <c r="AA224" s="66"/>
      <c r="AB224" s="66"/>
      <c r="AC224" s="66"/>
      <c r="AD224" s="65"/>
      <c r="AE224" s="65"/>
      <c r="AF224" s="65"/>
    </row>
    <row r="225" spans="1:32" x14ac:dyDescent="0.25">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6"/>
      <c r="Z225" s="66"/>
      <c r="AA225" s="66"/>
      <c r="AB225" s="66"/>
      <c r="AC225" s="66"/>
      <c r="AD225" s="65"/>
      <c r="AE225" s="65"/>
      <c r="AF225" s="65"/>
    </row>
    <row r="226" spans="1:32" x14ac:dyDescent="0.25">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6"/>
      <c r="Z226" s="66"/>
      <c r="AA226" s="66"/>
      <c r="AB226" s="66"/>
      <c r="AC226" s="66"/>
      <c r="AD226" s="65"/>
      <c r="AE226" s="65"/>
      <c r="AF226" s="65"/>
    </row>
    <row r="227" spans="1:32" x14ac:dyDescent="0.25">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6"/>
      <c r="Z227" s="66"/>
      <c r="AA227" s="66"/>
      <c r="AB227" s="66"/>
      <c r="AC227" s="66"/>
      <c r="AD227" s="65"/>
      <c r="AE227" s="65"/>
      <c r="AF227" s="65"/>
    </row>
    <row r="228" spans="1:32" x14ac:dyDescent="0.25">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6"/>
      <c r="Z228" s="66"/>
      <c r="AA228" s="66"/>
      <c r="AB228" s="66"/>
      <c r="AC228" s="66"/>
      <c r="AD228" s="65"/>
      <c r="AE228" s="65"/>
      <c r="AF228" s="65"/>
    </row>
    <row r="229" spans="1:32" x14ac:dyDescent="0.25">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6"/>
      <c r="Z229" s="66"/>
      <c r="AA229" s="66"/>
      <c r="AB229" s="66"/>
      <c r="AC229" s="66"/>
      <c r="AD229" s="65"/>
      <c r="AE229" s="65"/>
      <c r="AF229" s="65"/>
    </row>
    <row r="230" spans="1:32" x14ac:dyDescent="0.25">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6"/>
      <c r="Z230" s="66"/>
      <c r="AA230" s="66"/>
      <c r="AB230" s="66"/>
      <c r="AC230" s="66"/>
      <c r="AD230" s="65"/>
      <c r="AE230" s="65"/>
      <c r="AF230" s="65"/>
    </row>
    <row r="231" spans="1:32" x14ac:dyDescent="0.25">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6"/>
      <c r="Z231" s="66"/>
      <c r="AA231" s="66"/>
      <c r="AB231" s="66"/>
      <c r="AC231" s="66"/>
      <c r="AD231" s="65"/>
      <c r="AE231" s="65"/>
      <c r="AF231" s="65"/>
    </row>
    <row r="232" spans="1:32" x14ac:dyDescent="0.25">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6"/>
      <c r="Z232" s="66"/>
      <c r="AA232" s="66"/>
      <c r="AB232" s="66"/>
      <c r="AD232" s="65"/>
      <c r="AE232" s="65"/>
      <c r="AF232" s="65"/>
    </row>
    <row r="233" spans="1:32" x14ac:dyDescent="0.25">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6"/>
      <c r="Z233" s="66"/>
      <c r="AA233" s="66"/>
      <c r="AB233" s="66"/>
      <c r="AD233" s="65"/>
      <c r="AE233" s="65"/>
      <c r="AF233" s="65"/>
    </row>
  </sheetData>
  <mergeCells count="38">
    <mergeCell ref="A81:A85"/>
    <mergeCell ref="A88:A92"/>
    <mergeCell ref="B23:F24"/>
    <mergeCell ref="B25:F26"/>
    <mergeCell ref="A17:F17"/>
    <mergeCell ref="B19:F20"/>
    <mergeCell ref="B21:F22"/>
    <mergeCell ref="A74:A78"/>
    <mergeCell ref="D1:F1"/>
    <mergeCell ref="B27:F28"/>
    <mergeCell ref="D30:F30"/>
    <mergeCell ref="A30:C30"/>
    <mergeCell ref="U30:X31"/>
    <mergeCell ref="H30:M31"/>
    <mergeCell ref="N32:X36"/>
    <mergeCell ref="H32:K36"/>
    <mergeCell ref="A3:X3"/>
    <mergeCell ref="A4:X4"/>
    <mergeCell ref="A7:F7"/>
    <mergeCell ref="H7:L7"/>
    <mergeCell ref="A9:B9"/>
    <mergeCell ref="N30:T30"/>
    <mergeCell ref="H10:L10"/>
    <mergeCell ref="A11:A12"/>
    <mergeCell ref="B11:B12"/>
    <mergeCell ref="H12:L12"/>
    <mergeCell ref="C9:D9"/>
    <mergeCell ref="E9:F9"/>
    <mergeCell ref="H38:K41"/>
    <mergeCell ref="N38:X42"/>
    <mergeCell ref="N50:X51"/>
    <mergeCell ref="H50:H51"/>
    <mergeCell ref="L50:L51"/>
    <mergeCell ref="K50:K51"/>
    <mergeCell ref="J50:J51"/>
    <mergeCell ref="I50:I51"/>
    <mergeCell ref="H43:K48"/>
    <mergeCell ref="N43:X47"/>
  </mergeCells>
  <pageMargins left="0.25" right="0.25" top="0.75" bottom="0.75" header="0.3" footer="0.3"/>
  <pageSetup paperSize="9" scale="42"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'PIIRS FY17 Reach'!$KW$2:$KW$951</xm:f>
          </x14:formula1>
          <xm:sqref>D1:F1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3:AK529"/>
  <sheetViews>
    <sheetView workbookViewId="0">
      <pane xSplit="1" topLeftCell="F1" activePane="topRight" state="frozen"/>
      <selection pane="topRight" activeCell="J6" sqref="J6"/>
    </sheetView>
  </sheetViews>
  <sheetFormatPr defaultRowHeight="15" x14ac:dyDescent="0.25"/>
  <cols>
    <col min="1" max="1" width="37.140625" customWidth="1"/>
    <col min="2" max="2" width="61.28515625" customWidth="1"/>
    <col min="3" max="3" width="3.7109375" customWidth="1"/>
    <col min="4" max="4" width="6.7109375" customWidth="1"/>
    <col min="5" max="5" width="65.7109375" customWidth="1"/>
    <col min="6" max="6" width="3.85546875" customWidth="1"/>
    <col min="7" max="7" width="6.7109375" customWidth="1"/>
    <col min="8" max="8" width="64.42578125" customWidth="1"/>
    <col min="9" max="9" width="3.85546875" customWidth="1"/>
    <col min="10" max="10" width="6.7109375" customWidth="1"/>
    <col min="11" max="11" width="8.5703125" customWidth="1"/>
    <col min="12" max="12" width="3.7109375" customWidth="1"/>
    <col min="13" max="13" width="6.7109375" customWidth="1"/>
    <col min="14" max="14" width="8.5703125" customWidth="1"/>
    <col min="15" max="15" width="3.7109375" customWidth="1"/>
    <col min="16" max="16" width="6.7109375" customWidth="1"/>
    <col min="17" max="18" width="11.42578125" customWidth="1"/>
    <col min="19" max="26" width="10" customWidth="1"/>
    <col min="27" max="27" width="11.42578125" customWidth="1"/>
    <col min="28" max="28" width="8.5703125" customWidth="1"/>
    <col min="29" max="29" width="3.7109375" customWidth="1"/>
    <col min="30" max="30" width="6.7109375" customWidth="1"/>
    <col min="31" max="31" width="8.140625" customWidth="1"/>
    <col min="32" max="32" width="8.5703125" customWidth="1"/>
    <col min="33" max="34" width="11.42578125" bestFit="1" customWidth="1"/>
  </cols>
  <sheetData>
    <row r="3" spans="1:11" ht="105" x14ac:dyDescent="0.25">
      <c r="A3" s="49" t="s">
        <v>14296</v>
      </c>
      <c r="B3" s="49" t="s">
        <v>14283</v>
      </c>
      <c r="I3" s="103" t="s">
        <v>14500</v>
      </c>
      <c r="J3" s="433" t="s">
        <v>14499</v>
      </c>
      <c r="K3" s="433" t="s">
        <v>14501</v>
      </c>
    </row>
    <row r="4" spans="1:11" x14ac:dyDescent="0.25">
      <c r="A4" s="49" t="s">
        <v>14283</v>
      </c>
      <c r="B4" t="s">
        <v>14291</v>
      </c>
      <c r="C4" t="s">
        <v>14292</v>
      </c>
      <c r="D4" t="s">
        <v>14293</v>
      </c>
      <c r="E4" t="s">
        <v>14294</v>
      </c>
      <c r="F4" t="s">
        <v>14295</v>
      </c>
      <c r="G4" t="s">
        <v>14394</v>
      </c>
      <c r="J4" s="433"/>
      <c r="K4" s="433"/>
    </row>
    <row r="5" spans="1:11" x14ac:dyDescent="0.25">
      <c r="A5" s="50" t="s">
        <v>1874</v>
      </c>
      <c r="B5" s="57"/>
      <c r="C5" s="57"/>
      <c r="D5" s="57"/>
      <c r="E5" s="57"/>
      <c r="F5" s="57"/>
      <c r="G5" s="57"/>
      <c r="J5" s="102"/>
    </row>
    <row r="6" spans="1:11" x14ac:dyDescent="0.25">
      <c r="A6" s="55" t="s">
        <v>1873</v>
      </c>
      <c r="B6" s="57">
        <v>1</v>
      </c>
      <c r="C6" s="57">
        <v>3</v>
      </c>
      <c r="D6" s="57">
        <v>1</v>
      </c>
      <c r="E6" s="57">
        <v>3</v>
      </c>
      <c r="F6" s="57">
        <v>4</v>
      </c>
      <c r="G6" s="57">
        <v>2</v>
      </c>
      <c r="I6">
        <f t="shared" ref="I6:I37" si="0">SUM(B6:G6)</f>
        <v>14</v>
      </c>
      <c r="J6" s="58">
        <f t="shared" ref="J6:J37" si="1">(F6*4+E6*3+D6*2+C6*1)/SUM(B6:F6)</f>
        <v>2.5</v>
      </c>
      <c r="K6" s="104">
        <f t="shared" ref="K6:K37" si="2">SUM(D6:F6)/(SUM(B6:G6))</f>
        <v>0.5714285714285714</v>
      </c>
    </row>
    <row r="7" spans="1:11" x14ac:dyDescent="0.25">
      <c r="A7" s="55" t="s">
        <v>3868</v>
      </c>
      <c r="B7" s="57"/>
      <c r="C7" s="57"/>
      <c r="D7" s="57">
        <v>22</v>
      </c>
      <c r="E7" s="57">
        <v>2</v>
      </c>
      <c r="F7" s="57">
        <v>6</v>
      </c>
      <c r="G7" s="57"/>
      <c r="I7">
        <f t="shared" si="0"/>
        <v>30</v>
      </c>
      <c r="J7" s="58">
        <f t="shared" si="1"/>
        <v>2.4666666666666668</v>
      </c>
      <c r="K7" s="104">
        <f t="shared" si="2"/>
        <v>1</v>
      </c>
    </row>
    <row r="8" spans="1:11" x14ac:dyDescent="0.25">
      <c r="A8" s="55" t="s">
        <v>6457</v>
      </c>
      <c r="B8" s="57">
        <v>2</v>
      </c>
      <c r="C8" s="57">
        <v>4</v>
      </c>
      <c r="D8" s="57">
        <v>15</v>
      </c>
      <c r="E8" s="57">
        <v>4</v>
      </c>
      <c r="F8" s="57">
        <v>3</v>
      </c>
      <c r="G8" s="57"/>
      <c r="I8">
        <f t="shared" si="0"/>
        <v>28</v>
      </c>
      <c r="J8" s="58">
        <f t="shared" si="1"/>
        <v>2.0714285714285716</v>
      </c>
      <c r="K8" s="104">
        <f t="shared" si="2"/>
        <v>0.7857142857142857</v>
      </c>
    </row>
    <row r="9" spans="1:11" x14ac:dyDescent="0.25">
      <c r="A9" s="55" t="s">
        <v>10371</v>
      </c>
      <c r="B9" s="57">
        <v>1</v>
      </c>
      <c r="C9" s="57">
        <v>1</v>
      </c>
      <c r="D9" s="57">
        <v>1</v>
      </c>
      <c r="E9" s="57">
        <v>2</v>
      </c>
      <c r="F9" s="57">
        <v>3</v>
      </c>
      <c r="G9" s="57">
        <v>2</v>
      </c>
      <c r="I9">
        <f t="shared" si="0"/>
        <v>10</v>
      </c>
      <c r="J9" s="58">
        <f t="shared" si="1"/>
        <v>2.625</v>
      </c>
      <c r="K9" s="104">
        <f t="shared" si="2"/>
        <v>0.6</v>
      </c>
    </row>
    <row r="10" spans="1:11" x14ac:dyDescent="0.25">
      <c r="A10" s="55" t="s">
        <v>10685</v>
      </c>
      <c r="B10" s="57"/>
      <c r="C10" s="57">
        <v>1</v>
      </c>
      <c r="D10" s="57">
        <v>31</v>
      </c>
      <c r="E10" s="57"/>
      <c r="F10" s="57">
        <v>3</v>
      </c>
      <c r="G10" s="57">
        <v>1</v>
      </c>
      <c r="I10">
        <f t="shared" si="0"/>
        <v>36</v>
      </c>
      <c r="J10" s="58">
        <f t="shared" si="1"/>
        <v>2.1428571428571428</v>
      </c>
      <c r="K10" s="104">
        <f t="shared" si="2"/>
        <v>0.94444444444444442</v>
      </c>
    </row>
    <row r="11" spans="1:11" x14ac:dyDescent="0.25">
      <c r="A11" s="55" t="s">
        <v>11104</v>
      </c>
      <c r="B11" s="57"/>
      <c r="C11" s="57">
        <v>3</v>
      </c>
      <c r="D11" s="57">
        <v>16</v>
      </c>
      <c r="E11" s="57"/>
      <c r="F11" s="57">
        <v>2</v>
      </c>
      <c r="G11" s="57"/>
      <c r="I11">
        <f t="shared" si="0"/>
        <v>21</v>
      </c>
      <c r="J11" s="58">
        <f t="shared" si="1"/>
        <v>2.0476190476190474</v>
      </c>
      <c r="K11" s="104">
        <f t="shared" si="2"/>
        <v>0.8571428571428571</v>
      </c>
    </row>
    <row r="12" spans="1:11" x14ac:dyDescent="0.25">
      <c r="A12" s="55" t="s">
        <v>11417</v>
      </c>
      <c r="B12" s="57"/>
      <c r="C12" s="57">
        <v>1</v>
      </c>
      <c r="D12" s="57">
        <v>10</v>
      </c>
      <c r="E12" s="57">
        <v>4</v>
      </c>
      <c r="F12" s="57">
        <v>3</v>
      </c>
      <c r="G12" s="57">
        <v>2</v>
      </c>
      <c r="I12">
        <f t="shared" si="0"/>
        <v>20</v>
      </c>
      <c r="J12" s="58">
        <f t="shared" si="1"/>
        <v>2.5</v>
      </c>
      <c r="K12" s="104">
        <f t="shared" si="2"/>
        <v>0.85</v>
      </c>
    </row>
    <row r="13" spans="1:11" x14ac:dyDescent="0.25">
      <c r="A13" s="55" t="s">
        <v>12694</v>
      </c>
      <c r="B13" s="57"/>
      <c r="C13" s="57">
        <v>2</v>
      </c>
      <c r="D13" s="57">
        <v>8</v>
      </c>
      <c r="E13" s="57"/>
      <c r="F13" s="57">
        <v>3</v>
      </c>
      <c r="G13" s="57"/>
      <c r="I13">
        <f t="shared" si="0"/>
        <v>13</v>
      </c>
      <c r="J13" s="58">
        <f t="shared" si="1"/>
        <v>2.3076923076923075</v>
      </c>
      <c r="K13" s="104">
        <f t="shared" si="2"/>
        <v>0.84615384615384615</v>
      </c>
    </row>
    <row r="14" spans="1:11" x14ac:dyDescent="0.25">
      <c r="A14" s="55" t="s">
        <v>14322</v>
      </c>
      <c r="B14" s="57"/>
      <c r="C14" s="57">
        <v>1</v>
      </c>
      <c r="D14" s="57">
        <v>2</v>
      </c>
      <c r="E14" s="57"/>
      <c r="F14" s="57">
        <v>2</v>
      </c>
      <c r="G14" s="57"/>
      <c r="I14">
        <f t="shared" si="0"/>
        <v>5</v>
      </c>
      <c r="J14" s="58">
        <f t="shared" si="1"/>
        <v>2.6</v>
      </c>
      <c r="K14" s="104">
        <f t="shared" si="2"/>
        <v>0.8</v>
      </c>
    </row>
    <row r="15" spans="1:11" x14ac:dyDescent="0.25">
      <c r="A15" s="50" t="s">
        <v>14276</v>
      </c>
      <c r="B15" s="57">
        <v>4</v>
      </c>
      <c r="C15" s="57">
        <v>16</v>
      </c>
      <c r="D15" s="57">
        <v>106</v>
      </c>
      <c r="E15" s="57">
        <v>15</v>
      </c>
      <c r="F15" s="57">
        <v>29</v>
      </c>
      <c r="G15" s="57">
        <v>7</v>
      </c>
      <c r="I15">
        <f t="shared" si="0"/>
        <v>177</v>
      </c>
      <c r="J15" s="58">
        <f t="shared" si="1"/>
        <v>2.2882352941176469</v>
      </c>
      <c r="K15" s="104">
        <f t="shared" si="2"/>
        <v>0.84745762711864403</v>
      </c>
    </row>
    <row r="16" spans="1:11" x14ac:dyDescent="0.25">
      <c r="A16" s="50" t="s">
        <v>7217</v>
      </c>
      <c r="B16" s="57"/>
      <c r="C16" s="57"/>
      <c r="D16" s="57"/>
      <c r="E16" s="57"/>
      <c r="F16" s="57"/>
      <c r="G16" s="57"/>
      <c r="I16">
        <f t="shared" si="0"/>
        <v>0</v>
      </c>
      <c r="J16" s="58" t="e">
        <f t="shared" si="1"/>
        <v>#DIV/0!</v>
      </c>
      <c r="K16" s="104" t="e">
        <f t="shared" si="2"/>
        <v>#DIV/0!</v>
      </c>
    </row>
    <row r="17" spans="1:11" x14ac:dyDescent="0.25">
      <c r="A17" s="55" t="s">
        <v>7216</v>
      </c>
      <c r="B17" s="57"/>
      <c r="C17" s="57"/>
      <c r="D17" s="57">
        <v>9</v>
      </c>
      <c r="E17" s="57"/>
      <c r="F17" s="57">
        <v>2</v>
      </c>
      <c r="G17" s="57"/>
      <c r="I17">
        <f t="shared" si="0"/>
        <v>11</v>
      </c>
      <c r="J17" s="58">
        <f t="shared" si="1"/>
        <v>2.3636363636363638</v>
      </c>
      <c r="K17" s="104">
        <f t="shared" si="2"/>
        <v>1</v>
      </c>
    </row>
    <row r="18" spans="1:11" x14ac:dyDescent="0.25">
      <c r="A18" s="55" t="s">
        <v>7451</v>
      </c>
      <c r="B18" s="57">
        <v>1</v>
      </c>
      <c r="C18" s="57">
        <v>3</v>
      </c>
      <c r="D18" s="57">
        <v>14</v>
      </c>
      <c r="E18" s="57">
        <v>1</v>
      </c>
      <c r="F18" s="57">
        <v>5</v>
      </c>
      <c r="G18" s="57"/>
      <c r="I18">
        <f t="shared" si="0"/>
        <v>24</v>
      </c>
      <c r="J18" s="58">
        <f t="shared" si="1"/>
        <v>2.25</v>
      </c>
      <c r="K18" s="104">
        <f t="shared" si="2"/>
        <v>0.83333333333333337</v>
      </c>
    </row>
    <row r="19" spans="1:11" x14ac:dyDescent="0.25">
      <c r="A19" s="55" t="s">
        <v>8265</v>
      </c>
      <c r="B19" s="57"/>
      <c r="C19" s="57">
        <v>3</v>
      </c>
      <c r="D19" s="57">
        <v>3</v>
      </c>
      <c r="E19" s="57">
        <v>2</v>
      </c>
      <c r="F19" s="57">
        <v>2</v>
      </c>
      <c r="G19" s="57"/>
      <c r="I19">
        <f t="shared" si="0"/>
        <v>10</v>
      </c>
      <c r="J19" s="58">
        <f t="shared" si="1"/>
        <v>2.2999999999999998</v>
      </c>
      <c r="K19" s="104">
        <f t="shared" si="2"/>
        <v>0.7</v>
      </c>
    </row>
    <row r="20" spans="1:11" x14ac:dyDescent="0.25">
      <c r="A20" s="55" t="s">
        <v>11102</v>
      </c>
      <c r="B20" s="57"/>
      <c r="C20" s="57"/>
      <c r="D20" s="57"/>
      <c r="E20" s="57"/>
      <c r="F20" s="57"/>
      <c r="G20" s="57">
        <v>1</v>
      </c>
      <c r="I20">
        <f t="shared" si="0"/>
        <v>1</v>
      </c>
      <c r="J20" s="58" t="e">
        <f t="shared" si="1"/>
        <v>#DIV/0!</v>
      </c>
      <c r="K20" s="104">
        <f t="shared" si="2"/>
        <v>0</v>
      </c>
    </row>
    <row r="21" spans="1:11" x14ac:dyDescent="0.25">
      <c r="A21" s="55" t="s">
        <v>12090</v>
      </c>
      <c r="B21" s="57"/>
      <c r="C21" s="57">
        <v>5</v>
      </c>
      <c r="D21" s="57">
        <v>2</v>
      </c>
      <c r="E21" s="57">
        <v>4</v>
      </c>
      <c r="F21" s="57"/>
      <c r="G21" s="57"/>
      <c r="I21">
        <f t="shared" si="0"/>
        <v>11</v>
      </c>
      <c r="J21" s="58">
        <f t="shared" si="1"/>
        <v>1.9090909090909092</v>
      </c>
      <c r="K21" s="104">
        <f t="shared" si="2"/>
        <v>0.54545454545454541</v>
      </c>
    </row>
    <row r="22" spans="1:11" x14ac:dyDescent="0.25">
      <c r="A22" s="55" t="s">
        <v>13917</v>
      </c>
      <c r="B22" s="57">
        <v>1</v>
      </c>
      <c r="C22" s="57">
        <v>3</v>
      </c>
      <c r="D22" s="57">
        <v>1</v>
      </c>
      <c r="E22" s="57">
        <v>1</v>
      </c>
      <c r="F22" s="57"/>
      <c r="G22" s="57">
        <v>2</v>
      </c>
      <c r="I22">
        <f t="shared" si="0"/>
        <v>8</v>
      </c>
      <c r="J22" s="58">
        <f t="shared" si="1"/>
        <v>1.3333333333333333</v>
      </c>
      <c r="K22" s="104">
        <f t="shared" si="2"/>
        <v>0.25</v>
      </c>
    </row>
    <row r="23" spans="1:11" x14ac:dyDescent="0.25">
      <c r="A23" s="55" t="s">
        <v>14016</v>
      </c>
      <c r="B23" s="57">
        <v>2</v>
      </c>
      <c r="C23" s="57">
        <v>3</v>
      </c>
      <c r="D23" s="57">
        <v>4</v>
      </c>
      <c r="E23" s="57">
        <v>2</v>
      </c>
      <c r="F23" s="57">
        <v>5</v>
      </c>
      <c r="G23" s="57">
        <v>3</v>
      </c>
      <c r="I23">
        <f t="shared" si="0"/>
        <v>19</v>
      </c>
      <c r="J23" s="58">
        <f t="shared" si="1"/>
        <v>2.3125</v>
      </c>
      <c r="K23" s="104">
        <f t="shared" si="2"/>
        <v>0.57894736842105265</v>
      </c>
    </row>
    <row r="24" spans="1:11" x14ac:dyDescent="0.25">
      <c r="A24" s="50" t="s">
        <v>14277</v>
      </c>
      <c r="B24" s="57">
        <v>4</v>
      </c>
      <c r="C24" s="57">
        <v>17</v>
      </c>
      <c r="D24" s="57">
        <v>33</v>
      </c>
      <c r="E24" s="57">
        <v>10</v>
      </c>
      <c r="F24" s="57">
        <v>14</v>
      </c>
      <c r="G24" s="57">
        <v>6</v>
      </c>
      <c r="I24">
        <f t="shared" si="0"/>
        <v>84</v>
      </c>
      <c r="J24" s="58">
        <f t="shared" si="1"/>
        <v>2.1666666666666665</v>
      </c>
      <c r="K24" s="104">
        <f t="shared" si="2"/>
        <v>0.6785714285714286</v>
      </c>
    </row>
    <row r="25" spans="1:11" x14ac:dyDescent="0.25">
      <c r="A25" s="50" t="s">
        <v>1596</v>
      </c>
      <c r="B25" s="57"/>
      <c r="C25" s="57"/>
      <c r="D25" s="57"/>
      <c r="E25" s="57"/>
      <c r="F25" s="57"/>
      <c r="G25" s="57"/>
      <c r="I25">
        <f t="shared" si="0"/>
        <v>0</v>
      </c>
      <c r="J25" s="58" t="e">
        <f t="shared" si="1"/>
        <v>#DIV/0!</v>
      </c>
      <c r="K25" s="104" t="e">
        <f t="shared" si="2"/>
        <v>#DIV/0!</v>
      </c>
    </row>
    <row r="26" spans="1:11" x14ac:dyDescent="0.25">
      <c r="A26" s="55" t="s">
        <v>1595</v>
      </c>
      <c r="B26" s="57"/>
      <c r="C26" s="57">
        <v>2</v>
      </c>
      <c r="D26" s="57">
        <v>3</v>
      </c>
      <c r="E26" s="57">
        <v>1</v>
      </c>
      <c r="F26" s="57">
        <v>1</v>
      </c>
      <c r="G26" s="57">
        <v>1</v>
      </c>
      <c r="I26">
        <f t="shared" si="0"/>
        <v>8</v>
      </c>
      <c r="J26" s="58">
        <f t="shared" si="1"/>
        <v>2.1428571428571428</v>
      </c>
      <c r="K26" s="104">
        <f t="shared" si="2"/>
        <v>0.625</v>
      </c>
    </row>
    <row r="27" spans="1:11" x14ac:dyDescent="0.25">
      <c r="A27" s="55" t="s">
        <v>1827</v>
      </c>
      <c r="B27" s="57"/>
      <c r="C27" s="57"/>
      <c r="D27" s="57">
        <v>2</v>
      </c>
      <c r="E27" s="57"/>
      <c r="F27" s="57"/>
      <c r="G27" s="57"/>
      <c r="I27">
        <f t="shared" si="0"/>
        <v>2</v>
      </c>
      <c r="J27" s="58">
        <f t="shared" si="1"/>
        <v>2</v>
      </c>
      <c r="K27" s="104">
        <f t="shared" si="2"/>
        <v>1</v>
      </c>
    </row>
    <row r="28" spans="1:11" x14ac:dyDescent="0.25">
      <c r="A28" s="55" t="s">
        <v>2395</v>
      </c>
      <c r="B28" s="57"/>
      <c r="C28" s="57"/>
      <c r="D28" s="57">
        <v>4</v>
      </c>
      <c r="E28" s="57"/>
      <c r="F28" s="57">
        <v>2</v>
      </c>
      <c r="G28" s="57"/>
      <c r="I28">
        <f t="shared" si="0"/>
        <v>6</v>
      </c>
      <c r="J28" s="58">
        <f t="shared" si="1"/>
        <v>2.6666666666666665</v>
      </c>
      <c r="K28" s="104">
        <f t="shared" si="2"/>
        <v>1</v>
      </c>
    </row>
    <row r="29" spans="1:11" x14ac:dyDescent="0.25">
      <c r="A29" s="55" t="s">
        <v>2536</v>
      </c>
      <c r="B29" s="57"/>
      <c r="C29" s="57"/>
      <c r="D29" s="57">
        <v>12</v>
      </c>
      <c r="E29" s="57">
        <v>2</v>
      </c>
      <c r="F29" s="57">
        <v>1</v>
      </c>
      <c r="G29" s="57"/>
      <c r="I29">
        <f t="shared" si="0"/>
        <v>15</v>
      </c>
      <c r="J29" s="58">
        <f t="shared" si="1"/>
        <v>2.2666666666666666</v>
      </c>
      <c r="K29" s="104">
        <f t="shared" si="2"/>
        <v>1</v>
      </c>
    </row>
    <row r="30" spans="1:11" x14ac:dyDescent="0.25">
      <c r="A30" s="55" t="s">
        <v>2956</v>
      </c>
      <c r="B30" s="57">
        <v>1</v>
      </c>
      <c r="C30" s="57">
        <v>2</v>
      </c>
      <c r="D30" s="57">
        <v>4</v>
      </c>
      <c r="E30" s="57"/>
      <c r="F30" s="57">
        <v>2</v>
      </c>
      <c r="G30" s="57"/>
      <c r="I30">
        <f t="shared" si="0"/>
        <v>9</v>
      </c>
      <c r="J30" s="58">
        <f t="shared" si="1"/>
        <v>2</v>
      </c>
      <c r="K30" s="104">
        <f t="shared" si="2"/>
        <v>0.66666666666666663</v>
      </c>
    </row>
    <row r="31" spans="1:11" x14ac:dyDescent="0.25">
      <c r="A31" s="55" t="s">
        <v>4471</v>
      </c>
      <c r="B31" s="57"/>
      <c r="C31" s="57"/>
      <c r="D31" s="57">
        <v>6</v>
      </c>
      <c r="E31" s="57">
        <v>1</v>
      </c>
      <c r="F31" s="57">
        <v>6</v>
      </c>
      <c r="G31" s="57"/>
      <c r="I31">
        <f t="shared" si="0"/>
        <v>13</v>
      </c>
      <c r="J31" s="58">
        <f t="shared" si="1"/>
        <v>3</v>
      </c>
      <c r="K31" s="104">
        <f t="shared" si="2"/>
        <v>1</v>
      </c>
    </row>
    <row r="32" spans="1:11" x14ac:dyDescent="0.25">
      <c r="A32" s="55" t="s">
        <v>7179</v>
      </c>
      <c r="B32" s="57"/>
      <c r="C32" s="57">
        <v>1</v>
      </c>
      <c r="D32" s="57"/>
      <c r="E32" s="57"/>
      <c r="F32" s="57"/>
      <c r="G32" s="57"/>
      <c r="I32">
        <f t="shared" si="0"/>
        <v>1</v>
      </c>
      <c r="J32" s="58">
        <f t="shared" si="1"/>
        <v>1</v>
      </c>
      <c r="K32" s="104">
        <f t="shared" si="2"/>
        <v>0</v>
      </c>
    </row>
    <row r="33" spans="1:11" x14ac:dyDescent="0.25">
      <c r="A33" s="55" t="s">
        <v>7835</v>
      </c>
      <c r="B33" s="57"/>
      <c r="C33" s="57">
        <v>1</v>
      </c>
      <c r="D33" s="57">
        <v>8</v>
      </c>
      <c r="E33" s="57">
        <v>5</v>
      </c>
      <c r="F33" s="57">
        <v>2</v>
      </c>
      <c r="G33" s="57"/>
      <c r="I33">
        <f t="shared" si="0"/>
        <v>16</v>
      </c>
      <c r="J33" s="58">
        <f t="shared" si="1"/>
        <v>2.5</v>
      </c>
      <c r="K33" s="104">
        <f t="shared" si="2"/>
        <v>0.9375</v>
      </c>
    </row>
    <row r="34" spans="1:11" x14ac:dyDescent="0.25">
      <c r="A34" s="55" t="s">
        <v>9043</v>
      </c>
      <c r="B34" s="57"/>
      <c r="C34" s="57">
        <v>3</v>
      </c>
      <c r="D34" s="57">
        <v>21</v>
      </c>
      <c r="E34" s="57">
        <v>1</v>
      </c>
      <c r="F34" s="57"/>
      <c r="G34" s="57">
        <v>3</v>
      </c>
      <c r="I34">
        <f t="shared" si="0"/>
        <v>28</v>
      </c>
      <c r="J34" s="58">
        <f t="shared" si="1"/>
        <v>1.92</v>
      </c>
      <c r="K34" s="104">
        <f t="shared" si="2"/>
        <v>0.7857142857142857</v>
      </c>
    </row>
    <row r="35" spans="1:11" x14ac:dyDescent="0.25">
      <c r="A35" s="55" t="s">
        <v>10594</v>
      </c>
      <c r="B35" s="57"/>
      <c r="C35" s="57">
        <v>3</v>
      </c>
      <c r="D35" s="57">
        <v>1</v>
      </c>
      <c r="E35" s="57">
        <v>1</v>
      </c>
      <c r="F35" s="57"/>
      <c r="G35" s="57"/>
      <c r="I35">
        <f t="shared" si="0"/>
        <v>5</v>
      </c>
      <c r="J35" s="58">
        <f t="shared" si="1"/>
        <v>1.6</v>
      </c>
      <c r="K35" s="104">
        <f t="shared" si="2"/>
        <v>0.4</v>
      </c>
    </row>
    <row r="36" spans="1:11" x14ac:dyDescent="0.25">
      <c r="A36" s="50" t="s">
        <v>14278</v>
      </c>
      <c r="B36" s="57">
        <v>1</v>
      </c>
      <c r="C36" s="57">
        <v>12</v>
      </c>
      <c r="D36" s="57">
        <v>61</v>
      </c>
      <c r="E36" s="57">
        <v>11</v>
      </c>
      <c r="F36" s="57">
        <v>14</v>
      </c>
      <c r="G36" s="57">
        <v>4</v>
      </c>
      <c r="I36">
        <f t="shared" si="0"/>
        <v>103</v>
      </c>
      <c r="J36" s="58">
        <f t="shared" si="1"/>
        <v>2.2525252525252526</v>
      </c>
      <c r="K36" s="104">
        <f t="shared" si="2"/>
        <v>0.83495145631067957</v>
      </c>
    </row>
    <row r="37" spans="1:11" x14ac:dyDescent="0.25">
      <c r="A37" s="50" t="s">
        <v>306</v>
      </c>
      <c r="B37" s="57"/>
      <c r="C37" s="57"/>
      <c r="D37" s="57"/>
      <c r="E37" s="57"/>
      <c r="F37" s="57"/>
      <c r="G37" s="57"/>
      <c r="I37">
        <f t="shared" si="0"/>
        <v>0</v>
      </c>
      <c r="J37" s="58" t="e">
        <f t="shared" si="1"/>
        <v>#DIV/0!</v>
      </c>
      <c r="K37" s="104" t="e">
        <f t="shared" si="2"/>
        <v>#DIV/0!</v>
      </c>
    </row>
    <row r="38" spans="1:11" x14ac:dyDescent="0.25">
      <c r="A38" s="55" t="s">
        <v>305</v>
      </c>
      <c r="B38" s="57"/>
      <c r="C38" s="57">
        <v>3</v>
      </c>
      <c r="D38" s="57">
        <v>11</v>
      </c>
      <c r="E38" s="57"/>
      <c r="F38" s="57">
        <v>1</v>
      </c>
      <c r="G38" s="57"/>
      <c r="I38">
        <f t="shared" ref="I38:I69" si="3">SUM(B38:G38)</f>
        <v>15</v>
      </c>
      <c r="J38" s="58">
        <f t="shared" ref="J38:J69" si="4">(F38*4+E38*3+D38*2+C38*1)/SUM(B38:F38)</f>
        <v>1.9333333333333333</v>
      </c>
      <c r="K38" s="104">
        <f t="shared" ref="K38:K69" si="5">SUM(D38:F38)/(SUM(B38:G38))</f>
        <v>0.8</v>
      </c>
    </row>
    <row r="39" spans="1:11" x14ac:dyDescent="0.25">
      <c r="A39" s="55" t="s">
        <v>652</v>
      </c>
      <c r="B39" s="57"/>
      <c r="C39" s="57">
        <v>8</v>
      </c>
      <c r="D39" s="57">
        <v>22</v>
      </c>
      <c r="E39" s="57">
        <v>8</v>
      </c>
      <c r="F39" s="57">
        <v>10</v>
      </c>
      <c r="G39" s="57">
        <v>1</v>
      </c>
      <c r="I39">
        <f t="shared" si="3"/>
        <v>49</v>
      </c>
      <c r="J39" s="58">
        <f t="shared" si="4"/>
        <v>2.4166666666666665</v>
      </c>
      <c r="K39" s="104">
        <f t="shared" si="5"/>
        <v>0.81632653061224492</v>
      </c>
    </row>
    <row r="40" spans="1:11" x14ac:dyDescent="0.25">
      <c r="A40" s="55" t="s">
        <v>2092</v>
      </c>
      <c r="B40" s="57">
        <v>1</v>
      </c>
      <c r="C40" s="57"/>
      <c r="D40" s="57">
        <v>7</v>
      </c>
      <c r="E40" s="57">
        <v>3</v>
      </c>
      <c r="F40" s="57">
        <v>7</v>
      </c>
      <c r="G40" s="57"/>
      <c r="I40">
        <f t="shared" si="3"/>
        <v>18</v>
      </c>
      <c r="J40" s="58">
        <f t="shared" si="4"/>
        <v>2.8333333333333335</v>
      </c>
      <c r="K40" s="104">
        <f t="shared" si="5"/>
        <v>0.94444444444444442</v>
      </c>
    </row>
    <row r="41" spans="1:11" x14ac:dyDescent="0.25">
      <c r="A41" s="55" t="s">
        <v>4268</v>
      </c>
      <c r="B41" s="57"/>
      <c r="C41" s="57"/>
      <c r="D41" s="57">
        <v>1</v>
      </c>
      <c r="E41" s="57"/>
      <c r="F41" s="57"/>
      <c r="G41" s="57"/>
      <c r="I41">
        <f t="shared" si="3"/>
        <v>1</v>
      </c>
      <c r="J41" s="58">
        <f t="shared" si="4"/>
        <v>2</v>
      </c>
      <c r="K41" s="104">
        <f t="shared" si="5"/>
        <v>1</v>
      </c>
    </row>
    <row r="42" spans="1:11" x14ac:dyDescent="0.25">
      <c r="A42" s="55" t="s">
        <v>5300</v>
      </c>
      <c r="B42" s="57"/>
      <c r="C42" s="57"/>
      <c r="D42" s="57">
        <v>14</v>
      </c>
      <c r="E42" s="57">
        <v>9</v>
      </c>
      <c r="F42" s="57">
        <v>12</v>
      </c>
      <c r="G42" s="57">
        <v>5</v>
      </c>
      <c r="I42">
        <f t="shared" si="3"/>
        <v>40</v>
      </c>
      <c r="J42" s="58">
        <f t="shared" si="4"/>
        <v>2.9428571428571431</v>
      </c>
      <c r="K42" s="104">
        <f t="shared" si="5"/>
        <v>0.875</v>
      </c>
    </row>
    <row r="43" spans="1:11" x14ac:dyDescent="0.25">
      <c r="A43" s="55" t="s">
        <v>5932</v>
      </c>
      <c r="B43" s="57"/>
      <c r="C43" s="57"/>
      <c r="D43" s="57">
        <v>6</v>
      </c>
      <c r="E43" s="57">
        <v>2</v>
      </c>
      <c r="F43" s="57"/>
      <c r="G43" s="57"/>
      <c r="I43">
        <f t="shared" si="3"/>
        <v>8</v>
      </c>
      <c r="J43" s="58">
        <f t="shared" si="4"/>
        <v>2.25</v>
      </c>
      <c r="K43" s="104">
        <f t="shared" si="5"/>
        <v>1</v>
      </c>
    </row>
    <row r="44" spans="1:11" x14ac:dyDescent="0.25">
      <c r="A44" s="55" t="s">
        <v>6850</v>
      </c>
      <c r="B44" s="57"/>
      <c r="C44" s="57">
        <v>1</v>
      </c>
      <c r="D44" s="57">
        <v>12</v>
      </c>
      <c r="E44" s="57"/>
      <c r="F44" s="57">
        <v>1</v>
      </c>
      <c r="G44" s="57"/>
      <c r="I44">
        <f t="shared" si="3"/>
        <v>14</v>
      </c>
      <c r="J44" s="58">
        <f t="shared" si="4"/>
        <v>2.0714285714285716</v>
      </c>
      <c r="K44" s="104">
        <f t="shared" si="5"/>
        <v>0.9285714285714286</v>
      </c>
    </row>
    <row r="45" spans="1:11" x14ac:dyDescent="0.25">
      <c r="A45" s="55" t="s">
        <v>8444</v>
      </c>
      <c r="B45" s="57"/>
      <c r="C45" s="57">
        <v>6</v>
      </c>
      <c r="D45" s="57">
        <v>4</v>
      </c>
      <c r="E45" s="57">
        <v>3</v>
      </c>
      <c r="F45" s="57">
        <v>2</v>
      </c>
      <c r="G45" s="57">
        <v>1</v>
      </c>
      <c r="I45">
        <f t="shared" si="3"/>
        <v>16</v>
      </c>
      <c r="J45" s="58">
        <f t="shared" si="4"/>
        <v>2.0666666666666669</v>
      </c>
      <c r="K45" s="104">
        <f t="shared" si="5"/>
        <v>0.5625</v>
      </c>
    </row>
    <row r="46" spans="1:11" x14ac:dyDescent="0.25">
      <c r="A46" s="55" t="s">
        <v>8647</v>
      </c>
      <c r="B46" s="57"/>
      <c r="C46" s="57">
        <v>4</v>
      </c>
      <c r="D46" s="57">
        <v>11</v>
      </c>
      <c r="E46" s="57">
        <v>3</v>
      </c>
      <c r="F46" s="57">
        <v>5</v>
      </c>
      <c r="G46" s="57">
        <v>2</v>
      </c>
      <c r="I46">
        <f t="shared" si="3"/>
        <v>25</v>
      </c>
      <c r="J46" s="58">
        <f t="shared" si="4"/>
        <v>2.3913043478260869</v>
      </c>
      <c r="K46" s="104">
        <f t="shared" si="5"/>
        <v>0.76</v>
      </c>
    </row>
    <row r="47" spans="1:11" x14ac:dyDescent="0.25">
      <c r="A47" s="55" t="s">
        <v>9427</v>
      </c>
      <c r="B47" s="57">
        <v>1</v>
      </c>
      <c r="C47" s="57"/>
      <c r="D47" s="57">
        <v>3</v>
      </c>
      <c r="E47" s="57"/>
      <c r="F47" s="57"/>
      <c r="G47" s="57">
        <v>2</v>
      </c>
      <c r="I47">
        <f t="shared" si="3"/>
        <v>6</v>
      </c>
      <c r="J47" s="58">
        <f t="shared" si="4"/>
        <v>1.5</v>
      </c>
      <c r="K47" s="104">
        <f t="shared" si="5"/>
        <v>0.5</v>
      </c>
    </row>
    <row r="48" spans="1:11" x14ac:dyDescent="0.25">
      <c r="A48" s="55" t="s">
        <v>9516</v>
      </c>
      <c r="B48" s="57"/>
      <c r="C48" s="57"/>
      <c r="D48" s="57">
        <v>4</v>
      </c>
      <c r="E48" s="57">
        <v>4</v>
      </c>
      <c r="F48" s="57">
        <v>2</v>
      </c>
      <c r="G48" s="57">
        <v>2</v>
      </c>
      <c r="I48">
        <f t="shared" si="3"/>
        <v>12</v>
      </c>
      <c r="J48" s="58">
        <f t="shared" si="4"/>
        <v>2.8</v>
      </c>
      <c r="K48" s="104">
        <f t="shared" si="5"/>
        <v>0.83333333333333337</v>
      </c>
    </row>
    <row r="49" spans="1:11" x14ac:dyDescent="0.25">
      <c r="A49" s="55" t="s">
        <v>10263</v>
      </c>
      <c r="B49" s="57">
        <v>1</v>
      </c>
      <c r="C49" s="57">
        <v>1</v>
      </c>
      <c r="D49" s="57">
        <v>2</v>
      </c>
      <c r="E49" s="57"/>
      <c r="F49" s="57">
        <v>2</v>
      </c>
      <c r="G49" s="57"/>
      <c r="I49">
        <f t="shared" si="3"/>
        <v>6</v>
      </c>
      <c r="J49" s="58">
        <f t="shared" si="4"/>
        <v>2.1666666666666665</v>
      </c>
      <c r="K49" s="104">
        <f t="shared" si="5"/>
        <v>0.66666666666666663</v>
      </c>
    </row>
    <row r="50" spans="1:11" x14ac:dyDescent="0.25">
      <c r="A50" s="55" t="s">
        <v>11304</v>
      </c>
      <c r="B50" s="57"/>
      <c r="C50" s="57">
        <v>1</v>
      </c>
      <c r="D50" s="57">
        <v>5</v>
      </c>
      <c r="E50" s="57">
        <v>1</v>
      </c>
      <c r="F50" s="57"/>
      <c r="G50" s="57"/>
      <c r="I50">
        <f t="shared" si="3"/>
        <v>7</v>
      </c>
      <c r="J50" s="58">
        <f t="shared" si="4"/>
        <v>2</v>
      </c>
      <c r="K50" s="104">
        <f t="shared" si="5"/>
        <v>0.8571428571428571</v>
      </c>
    </row>
    <row r="51" spans="1:11" x14ac:dyDescent="0.25">
      <c r="A51" s="55" t="s">
        <v>12294</v>
      </c>
      <c r="B51" s="57"/>
      <c r="C51" s="57">
        <v>5</v>
      </c>
      <c r="D51" s="57">
        <v>10</v>
      </c>
      <c r="E51" s="57">
        <v>3</v>
      </c>
      <c r="F51" s="57">
        <v>4</v>
      </c>
      <c r="G51" s="57"/>
      <c r="I51">
        <f t="shared" si="3"/>
        <v>22</v>
      </c>
      <c r="J51" s="58">
        <f t="shared" si="4"/>
        <v>2.2727272727272729</v>
      </c>
      <c r="K51" s="104">
        <f t="shared" si="5"/>
        <v>0.77272727272727271</v>
      </c>
    </row>
    <row r="52" spans="1:11" x14ac:dyDescent="0.25">
      <c r="A52" s="55" t="s">
        <v>12547</v>
      </c>
      <c r="B52" s="57"/>
      <c r="C52" s="57">
        <v>3</v>
      </c>
      <c r="D52" s="57">
        <v>1</v>
      </c>
      <c r="E52" s="57">
        <v>2</v>
      </c>
      <c r="F52" s="57"/>
      <c r="G52" s="57"/>
      <c r="I52">
        <f t="shared" si="3"/>
        <v>6</v>
      </c>
      <c r="J52" s="58">
        <f t="shared" si="4"/>
        <v>1.8333333333333333</v>
      </c>
      <c r="K52" s="104">
        <f t="shared" si="5"/>
        <v>0.5</v>
      </c>
    </row>
    <row r="53" spans="1:11" x14ac:dyDescent="0.25">
      <c r="A53" s="55" t="s">
        <v>13272</v>
      </c>
      <c r="B53" s="57"/>
      <c r="C53" s="57"/>
      <c r="D53" s="57"/>
      <c r="E53" s="57">
        <v>6</v>
      </c>
      <c r="F53" s="57">
        <v>2</v>
      </c>
      <c r="G53" s="57"/>
      <c r="I53">
        <f t="shared" si="3"/>
        <v>8</v>
      </c>
      <c r="J53" s="58">
        <f t="shared" si="4"/>
        <v>3.25</v>
      </c>
      <c r="K53" s="104">
        <f t="shared" si="5"/>
        <v>1</v>
      </c>
    </row>
    <row r="54" spans="1:11" x14ac:dyDescent="0.25">
      <c r="A54" s="55" t="s">
        <v>13409</v>
      </c>
      <c r="B54" s="57">
        <v>3</v>
      </c>
      <c r="C54" s="57">
        <v>2</v>
      </c>
      <c r="D54" s="57">
        <v>2</v>
      </c>
      <c r="E54" s="57">
        <v>1</v>
      </c>
      <c r="F54" s="57">
        <v>10</v>
      </c>
      <c r="G54" s="57"/>
      <c r="I54">
        <f t="shared" si="3"/>
        <v>18</v>
      </c>
      <c r="J54" s="58">
        <f t="shared" si="4"/>
        <v>2.7222222222222223</v>
      </c>
      <c r="K54" s="104">
        <f t="shared" si="5"/>
        <v>0.72222222222222221</v>
      </c>
    </row>
    <row r="55" spans="1:11" x14ac:dyDescent="0.25">
      <c r="A55" s="50" t="s">
        <v>14279</v>
      </c>
      <c r="B55" s="57">
        <v>6</v>
      </c>
      <c r="C55" s="57">
        <v>34</v>
      </c>
      <c r="D55" s="57">
        <v>115</v>
      </c>
      <c r="E55" s="57">
        <v>45</v>
      </c>
      <c r="F55" s="57">
        <v>58</v>
      </c>
      <c r="G55" s="57">
        <v>13</v>
      </c>
      <c r="I55">
        <f t="shared" si="3"/>
        <v>271</v>
      </c>
      <c r="J55" s="58">
        <f t="shared" si="4"/>
        <v>2.445736434108527</v>
      </c>
      <c r="K55" s="104">
        <f t="shared" si="5"/>
        <v>0.80442804428044279</v>
      </c>
    </row>
    <row r="56" spans="1:11" x14ac:dyDescent="0.25">
      <c r="A56" s="50" t="s">
        <v>2807</v>
      </c>
      <c r="B56" s="57"/>
      <c r="C56" s="57"/>
      <c r="D56" s="57"/>
      <c r="E56" s="57"/>
      <c r="F56" s="57"/>
      <c r="G56" s="57"/>
      <c r="I56">
        <f t="shared" si="3"/>
        <v>0</v>
      </c>
      <c r="J56" s="58" t="e">
        <f t="shared" si="4"/>
        <v>#DIV/0!</v>
      </c>
      <c r="K56" s="104" t="e">
        <f t="shared" si="5"/>
        <v>#DIV/0!</v>
      </c>
    </row>
    <row r="57" spans="1:11" x14ac:dyDescent="0.25">
      <c r="A57" s="55" t="s">
        <v>2806</v>
      </c>
      <c r="B57" s="57"/>
      <c r="C57" s="57"/>
      <c r="D57" s="57"/>
      <c r="E57" s="57">
        <v>1</v>
      </c>
      <c r="F57" s="57"/>
      <c r="G57" s="57"/>
      <c r="I57">
        <f t="shared" si="3"/>
        <v>1</v>
      </c>
      <c r="J57" s="58">
        <f t="shared" si="4"/>
        <v>3</v>
      </c>
      <c r="K57" s="104">
        <f t="shared" si="5"/>
        <v>1</v>
      </c>
    </row>
    <row r="58" spans="1:11" x14ac:dyDescent="0.25">
      <c r="A58" s="55" t="s">
        <v>2931</v>
      </c>
      <c r="B58" s="57"/>
      <c r="C58" s="57"/>
      <c r="D58" s="57"/>
      <c r="E58" s="57"/>
      <c r="F58" s="57">
        <v>1</v>
      </c>
      <c r="G58" s="57"/>
      <c r="I58">
        <f t="shared" si="3"/>
        <v>1</v>
      </c>
      <c r="J58" s="58">
        <f t="shared" si="4"/>
        <v>4</v>
      </c>
      <c r="K58" s="104">
        <f t="shared" si="5"/>
        <v>1</v>
      </c>
    </row>
    <row r="59" spans="1:11" x14ac:dyDescent="0.25">
      <c r="A59" s="55" t="s">
        <v>3148</v>
      </c>
      <c r="B59" s="57"/>
      <c r="C59" s="57">
        <v>3</v>
      </c>
      <c r="D59" s="57">
        <v>1</v>
      </c>
      <c r="E59" s="57"/>
      <c r="F59" s="57">
        <v>1</v>
      </c>
      <c r="G59" s="57"/>
      <c r="I59">
        <f t="shared" si="3"/>
        <v>5</v>
      </c>
      <c r="J59" s="58">
        <f t="shared" si="4"/>
        <v>1.8</v>
      </c>
      <c r="K59" s="104">
        <f t="shared" si="5"/>
        <v>0.4</v>
      </c>
    </row>
    <row r="60" spans="1:11" x14ac:dyDescent="0.25">
      <c r="A60" s="55" t="s">
        <v>3261</v>
      </c>
      <c r="B60" s="57"/>
      <c r="C60" s="57"/>
      <c r="D60" s="57"/>
      <c r="E60" s="57"/>
      <c r="F60" s="57"/>
      <c r="G60" s="57">
        <v>1</v>
      </c>
      <c r="I60">
        <f t="shared" si="3"/>
        <v>1</v>
      </c>
      <c r="J60" s="58" t="e">
        <f t="shared" si="4"/>
        <v>#DIV/0!</v>
      </c>
      <c r="K60" s="104">
        <f t="shared" si="5"/>
        <v>0</v>
      </c>
    </row>
    <row r="61" spans="1:11" x14ac:dyDescent="0.25">
      <c r="A61" s="55" t="s">
        <v>3272</v>
      </c>
      <c r="B61" s="57">
        <v>1</v>
      </c>
      <c r="C61" s="57">
        <v>5</v>
      </c>
      <c r="D61" s="57">
        <v>9</v>
      </c>
      <c r="E61" s="57">
        <v>3</v>
      </c>
      <c r="F61" s="57">
        <v>1</v>
      </c>
      <c r="G61" s="57"/>
      <c r="I61">
        <f t="shared" si="3"/>
        <v>19</v>
      </c>
      <c r="J61" s="58">
        <f t="shared" si="4"/>
        <v>1.8947368421052631</v>
      </c>
      <c r="K61" s="104">
        <f t="shared" si="5"/>
        <v>0.68421052631578949</v>
      </c>
    </row>
    <row r="62" spans="1:11" x14ac:dyDescent="0.25">
      <c r="A62" s="55" t="s">
        <v>4777</v>
      </c>
      <c r="B62" s="57"/>
      <c r="C62" s="57">
        <v>2</v>
      </c>
      <c r="D62" s="57">
        <v>6</v>
      </c>
      <c r="E62" s="57">
        <v>6</v>
      </c>
      <c r="F62" s="57">
        <v>1</v>
      </c>
      <c r="G62" s="57">
        <v>1</v>
      </c>
      <c r="I62">
        <f t="shared" si="3"/>
        <v>16</v>
      </c>
      <c r="J62" s="58">
        <f t="shared" si="4"/>
        <v>2.4</v>
      </c>
      <c r="K62" s="104">
        <f t="shared" si="5"/>
        <v>0.8125</v>
      </c>
    </row>
    <row r="63" spans="1:11" x14ac:dyDescent="0.25">
      <c r="A63" s="55" t="s">
        <v>5061</v>
      </c>
      <c r="B63" s="57"/>
      <c r="C63" s="57"/>
      <c r="D63" s="57">
        <v>7</v>
      </c>
      <c r="E63" s="57"/>
      <c r="F63" s="57">
        <v>1</v>
      </c>
      <c r="G63" s="57"/>
      <c r="I63">
        <f t="shared" si="3"/>
        <v>8</v>
      </c>
      <c r="J63" s="58">
        <f t="shared" si="4"/>
        <v>2.25</v>
      </c>
      <c r="K63" s="104">
        <f t="shared" si="5"/>
        <v>1</v>
      </c>
    </row>
    <row r="64" spans="1:11" x14ac:dyDescent="0.25">
      <c r="A64" s="55" t="s">
        <v>5190</v>
      </c>
      <c r="B64" s="57"/>
      <c r="C64" s="57"/>
      <c r="D64" s="57">
        <v>4</v>
      </c>
      <c r="E64" s="57">
        <v>1</v>
      </c>
      <c r="F64" s="57">
        <v>2</v>
      </c>
      <c r="G64" s="57"/>
      <c r="I64">
        <f t="shared" si="3"/>
        <v>7</v>
      </c>
      <c r="J64" s="58">
        <f t="shared" si="4"/>
        <v>2.7142857142857144</v>
      </c>
      <c r="K64" s="104">
        <f t="shared" si="5"/>
        <v>1</v>
      </c>
    </row>
    <row r="65" spans="1:11" x14ac:dyDescent="0.25">
      <c r="A65" s="55" t="s">
        <v>8138</v>
      </c>
      <c r="B65" s="57"/>
      <c r="C65" s="57"/>
      <c r="D65" s="57"/>
      <c r="E65" s="57">
        <v>1</v>
      </c>
      <c r="F65" s="57"/>
      <c r="G65" s="57"/>
      <c r="I65">
        <f t="shared" si="3"/>
        <v>1</v>
      </c>
      <c r="J65" s="58">
        <f t="shared" si="4"/>
        <v>3</v>
      </c>
      <c r="K65" s="104">
        <f t="shared" si="5"/>
        <v>1</v>
      </c>
    </row>
    <row r="66" spans="1:11" x14ac:dyDescent="0.25">
      <c r="A66" s="55" t="s">
        <v>9042</v>
      </c>
      <c r="B66" s="57"/>
      <c r="C66" s="57"/>
      <c r="D66" s="57"/>
      <c r="E66" s="57"/>
      <c r="F66" s="57">
        <v>1</v>
      </c>
      <c r="G66" s="57"/>
      <c r="I66">
        <f t="shared" si="3"/>
        <v>1</v>
      </c>
      <c r="J66" s="58">
        <f t="shared" si="4"/>
        <v>4</v>
      </c>
      <c r="K66" s="104">
        <f t="shared" si="5"/>
        <v>1</v>
      </c>
    </row>
    <row r="67" spans="1:11" x14ac:dyDescent="0.25">
      <c r="A67" s="55" t="s">
        <v>9514</v>
      </c>
      <c r="B67" s="57"/>
      <c r="C67" s="57"/>
      <c r="D67" s="57"/>
      <c r="E67" s="57"/>
      <c r="F67" s="57"/>
      <c r="G67" s="57">
        <v>1</v>
      </c>
      <c r="I67">
        <f t="shared" si="3"/>
        <v>1</v>
      </c>
      <c r="J67" s="58" t="e">
        <f t="shared" si="4"/>
        <v>#DIV/0!</v>
      </c>
      <c r="K67" s="104">
        <f t="shared" si="5"/>
        <v>0</v>
      </c>
    </row>
    <row r="68" spans="1:11" x14ac:dyDescent="0.25">
      <c r="A68" s="55" t="s">
        <v>9706</v>
      </c>
      <c r="B68" s="57">
        <v>1</v>
      </c>
      <c r="C68" s="57">
        <v>17</v>
      </c>
      <c r="D68" s="57">
        <v>15</v>
      </c>
      <c r="E68" s="57">
        <v>1</v>
      </c>
      <c r="F68" s="57">
        <v>1</v>
      </c>
      <c r="G68" s="57">
        <v>1</v>
      </c>
      <c r="I68">
        <f t="shared" si="3"/>
        <v>36</v>
      </c>
      <c r="J68" s="58">
        <f t="shared" si="4"/>
        <v>1.5428571428571429</v>
      </c>
      <c r="K68" s="104">
        <f t="shared" si="5"/>
        <v>0.47222222222222221</v>
      </c>
    </row>
    <row r="69" spans="1:11" x14ac:dyDescent="0.25">
      <c r="A69" s="50" t="s">
        <v>14280</v>
      </c>
      <c r="B69" s="57">
        <v>2</v>
      </c>
      <c r="C69" s="57">
        <v>27</v>
      </c>
      <c r="D69" s="57">
        <v>42</v>
      </c>
      <c r="E69" s="57">
        <v>13</v>
      </c>
      <c r="F69" s="57">
        <v>9</v>
      </c>
      <c r="G69" s="57">
        <v>4</v>
      </c>
      <c r="I69">
        <f t="shared" si="3"/>
        <v>97</v>
      </c>
      <c r="J69" s="58">
        <f t="shared" si="4"/>
        <v>2</v>
      </c>
      <c r="K69" s="104">
        <f t="shared" si="5"/>
        <v>0.65979381443298968</v>
      </c>
    </row>
    <row r="70" spans="1:11" x14ac:dyDescent="0.25">
      <c r="A70" s="50" t="s">
        <v>602</v>
      </c>
      <c r="B70" s="57"/>
      <c r="C70" s="57"/>
      <c r="D70" s="57"/>
      <c r="E70" s="57"/>
      <c r="F70" s="57"/>
      <c r="G70" s="57"/>
      <c r="I70">
        <f t="shared" ref="I70:I105" si="6">SUM(B70:G70)</f>
        <v>0</v>
      </c>
      <c r="J70" s="58" t="e">
        <f t="shared" ref="J70:J105" si="7">(F70*4+E70*3+D70*2+C70*1)/SUM(B70:F70)</f>
        <v>#DIV/0!</v>
      </c>
      <c r="K70" s="104" t="e">
        <f t="shared" ref="K70:K105" si="8">SUM(D70:F70)/(SUM(B70:G70))</f>
        <v>#DIV/0!</v>
      </c>
    </row>
    <row r="71" spans="1:11" x14ac:dyDescent="0.25">
      <c r="A71" s="55" t="s">
        <v>601</v>
      </c>
      <c r="B71" s="57"/>
      <c r="C71" s="57"/>
      <c r="D71" s="57"/>
      <c r="E71" s="57"/>
      <c r="F71" s="57">
        <v>1</v>
      </c>
      <c r="G71" s="57"/>
      <c r="I71">
        <f t="shared" si="6"/>
        <v>1</v>
      </c>
      <c r="J71" s="58">
        <f t="shared" si="7"/>
        <v>4</v>
      </c>
      <c r="K71" s="104">
        <f t="shared" si="8"/>
        <v>1</v>
      </c>
    </row>
    <row r="72" spans="1:11" x14ac:dyDescent="0.25">
      <c r="A72" s="55" t="s">
        <v>635</v>
      </c>
      <c r="B72" s="57"/>
      <c r="C72" s="57"/>
      <c r="D72" s="57"/>
      <c r="E72" s="57"/>
      <c r="F72" s="57">
        <v>1</v>
      </c>
      <c r="G72" s="57">
        <v>1</v>
      </c>
      <c r="I72">
        <f t="shared" si="6"/>
        <v>2</v>
      </c>
      <c r="J72" s="58">
        <f t="shared" si="7"/>
        <v>4</v>
      </c>
      <c r="K72" s="104">
        <f t="shared" si="8"/>
        <v>0.5</v>
      </c>
    </row>
    <row r="73" spans="1:11" x14ac:dyDescent="0.25">
      <c r="A73" s="55" t="s">
        <v>1527</v>
      </c>
      <c r="B73" s="57">
        <v>2</v>
      </c>
      <c r="C73" s="57"/>
      <c r="D73" s="57"/>
      <c r="E73" s="57">
        <v>1</v>
      </c>
      <c r="F73" s="57"/>
      <c r="G73" s="57">
        <v>2</v>
      </c>
      <c r="I73">
        <f t="shared" si="6"/>
        <v>5</v>
      </c>
      <c r="J73" s="58">
        <f t="shared" si="7"/>
        <v>1</v>
      </c>
      <c r="K73" s="104">
        <f t="shared" si="8"/>
        <v>0.2</v>
      </c>
    </row>
    <row r="74" spans="1:11" x14ac:dyDescent="0.25">
      <c r="A74" s="55" t="s">
        <v>1735</v>
      </c>
      <c r="B74" s="57"/>
      <c r="C74" s="57"/>
      <c r="D74" s="57"/>
      <c r="E74" s="57">
        <v>2</v>
      </c>
      <c r="F74" s="57">
        <v>3</v>
      </c>
      <c r="G74" s="57"/>
      <c r="I74">
        <f t="shared" si="6"/>
        <v>5</v>
      </c>
      <c r="J74" s="58">
        <f t="shared" si="7"/>
        <v>3.6</v>
      </c>
      <c r="K74" s="104">
        <f t="shared" si="8"/>
        <v>1</v>
      </c>
    </row>
    <row r="75" spans="1:11" x14ac:dyDescent="0.25">
      <c r="A75" s="55" t="s">
        <v>3140</v>
      </c>
      <c r="B75" s="57"/>
      <c r="C75" s="57"/>
      <c r="D75" s="57"/>
      <c r="E75" s="57"/>
      <c r="F75" s="57">
        <v>1</v>
      </c>
      <c r="G75" s="57"/>
      <c r="I75">
        <f t="shared" si="6"/>
        <v>1</v>
      </c>
      <c r="J75" s="58">
        <f t="shared" si="7"/>
        <v>4</v>
      </c>
      <c r="K75" s="104">
        <f t="shared" si="8"/>
        <v>1</v>
      </c>
    </row>
    <row r="76" spans="1:11" x14ac:dyDescent="0.25">
      <c r="A76" s="55" t="s">
        <v>3231</v>
      </c>
      <c r="B76" s="57"/>
      <c r="C76" s="57">
        <v>1</v>
      </c>
      <c r="D76" s="57"/>
      <c r="E76" s="57"/>
      <c r="F76" s="57"/>
      <c r="G76" s="57"/>
      <c r="I76">
        <f t="shared" si="6"/>
        <v>1</v>
      </c>
      <c r="J76" s="58">
        <f t="shared" si="7"/>
        <v>1</v>
      </c>
      <c r="K76" s="104">
        <f t="shared" si="8"/>
        <v>0</v>
      </c>
    </row>
    <row r="77" spans="1:11" x14ac:dyDescent="0.25">
      <c r="A77" s="55" t="s">
        <v>3249</v>
      </c>
      <c r="B77" s="57"/>
      <c r="C77" s="57"/>
      <c r="D77" s="57"/>
      <c r="E77" s="57">
        <v>1</v>
      </c>
      <c r="F77" s="57"/>
      <c r="G77" s="57"/>
      <c r="I77">
        <f t="shared" si="6"/>
        <v>1</v>
      </c>
      <c r="J77" s="58">
        <f t="shared" si="7"/>
        <v>3</v>
      </c>
      <c r="K77" s="104">
        <f t="shared" si="8"/>
        <v>1</v>
      </c>
    </row>
    <row r="78" spans="1:11" x14ac:dyDescent="0.25">
      <c r="A78" s="55" t="s">
        <v>3546</v>
      </c>
      <c r="B78" s="57">
        <v>1</v>
      </c>
      <c r="C78" s="57">
        <v>6</v>
      </c>
      <c r="D78" s="57">
        <v>1</v>
      </c>
      <c r="E78" s="57">
        <v>6</v>
      </c>
      <c r="F78" s="57">
        <v>4</v>
      </c>
      <c r="G78" s="57">
        <v>1</v>
      </c>
      <c r="I78">
        <f t="shared" si="6"/>
        <v>19</v>
      </c>
      <c r="J78" s="58">
        <f t="shared" si="7"/>
        <v>2.3333333333333335</v>
      </c>
      <c r="K78" s="104">
        <f t="shared" si="8"/>
        <v>0.57894736842105265</v>
      </c>
    </row>
    <row r="79" spans="1:11" x14ac:dyDescent="0.25">
      <c r="A79" s="55" t="s">
        <v>4293</v>
      </c>
      <c r="B79" s="57"/>
      <c r="C79" s="57">
        <v>4</v>
      </c>
      <c r="D79" s="57"/>
      <c r="E79" s="57"/>
      <c r="F79" s="57"/>
      <c r="G79" s="57"/>
      <c r="I79">
        <f t="shared" si="6"/>
        <v>4</v>
      </c>
      <c r="J79" s="58">
        <f t="shared" si="7"/>
        <v>1</v>
      </c>
      <c r="K79" s="104">
        <f t="shared" si="8"/>
        <v>0</v>
      </c>
    </row>
    <row r="80" spans="1:11" x14ac:dyDescent="0.25">
      <c r="A80" s="55" t="s">
        <v>4346</v>
      </c>
      <c r="B80" s="57"/>
      <c r="C80" s="57"/>
      <c r="D80" s="57">
        <v>2</v>
      </c>
      <c r="E80" s="57"/>
      <c r="F80" s="57">
        <v>1</v>
      </c>
      <c r="G80" s="57">
        <v>1</v>
      </c>
      <c r="I80">
        <f t="shared" si="6"/>
        <v>4</v>
      </c>
      <c r="J80" s="58">
        <f t="shared" si="7"/>
        <v>2.6666666666666665</v>
      </c>
      <c r="K80" s="104">
        <f t="shared" si="8"/>
        <v>0.75</v>
      </c>
    </row>
    <row r="81" spans="1:11" x14ac:dyDescent="0.25">
      <c r="A81" s="55" t="s">
        <v>4428</v>
      </c>
      <c r="B81" s="57"/>
      <c r="C81" s="57">
        <v>2</v>
      </c>
      <c r="D81" s="57">
        <v>1</v>
      </c>
      <c r="E81" s="57"/>
      <c r="F81" s="57"/>
      <c r="G81" s="57"/>
      <c r="I81">
        <f t="shared" si="6"/>
        <v>3</v>
      </c>
      <c r="J81" s="58">
        <f t="shared" si="7"/>
        <v>1.3333333333333333</v>
      </c>
      <c r="K81" s="104">
        <f t="shared" si="8"/>
        <v>0.33333333333333331</v>
      </c>
    </row>
    <row r="82" spans="1:11" x14ac:dyDescent="0.25">
      <c r="A82" s="55" t="s">
        <v>4743</v>
      </c>
      <c r="B82" s="57"/>
      <c r="C82" s="57"/>
      <c r="D82" s="57">
        <v>1</v>
      </c>
      <c r="E82" s="57"/>
      <c r="F82" s="57"/>
      <c r="G82" s="57"/>
      <c r="I82">
        <f t="shared" si="6"/>
        <v>1</v>
      </c>
      <c r="J82" s="58">
        <f t="shared" si="7"/>
        <v>2</v>
      </c>
      <c r="K82" s="104">
        <f t="shared" si="8"/>
        <v>1</v>
      </c>
    </row>
    <row r="83" spans="1:11" x14ac:dyDescent="0.25">
      <c r="A83" s="55" t="s">
        <v>6024</v>
      </c>
      <c r="B83" s="57"/>
      <c r="C83" s="57">
        <v>6</v>
      </c>
      <c r="D83" s="57"/>
      <c r="E83" s="57"/>
      <c r="F83" s="57">
        <v>1</v>
      </c>
      <c r="G83" s="57"/>
      <c r="I83">
        <f t="shared" si="6"/>
        <v>7</v>
      </c>
      <c r="J83" s="58">
        <f t="shared" si="7"/>
        <v>1.4285714285714286</v>
      </c>
      <c r="K83" s="104">
        <f t="shared" si="8"/>
        <v>0.14285714285714285</v>
      </c>
    </row>
    <row r="84" spans="1:11" x14ac:dyDescent="0.25">
      <c r="A84" s="55" t="s">
        <v>6105</v>
      </c>
      <c r="B84" s="57"/>
      <c r="C84" s="57"/>
      <c r="D84" s="57">
        <v>4</v>
      </c>
      <c r="E84" s="57"/>
      <c r="F84" s="57">
        <v>16</v>
      </c>
      <c r="G84" s="57"/>
      <c r="I84">
        <f t="shared" si="6"/>
        <v>20</v>
      </c>
      <c r="J84" s="58">
        <f t="shared" si="7"/>
        <v>3.6</v>
      </c>
      <c r="K84" s="104">
        <f t="shared" si="8"/>
        <v>1</v>
      </c>
    </row>
    <row r="85" spans="1:11" x14ac:dyDescent="0.25">
      <c r="A85" s="55" t="s">
        <v>6805</v>
      </c>
      <c r="B85" s="57"/>
      <c r="C85" s="57">
        <v>1</v>
      </c>
      <c r="D85" s="57">
        <v>1</v>
      </c>
      <c r="E85" s="57"/>
      <c r="F85" s="57">
        <v>1</v>
      </c>
      <c r="G85" s="57"/>
      <c r="I85">
        <f t="shared" si="6"/>
        <v>3</v>
      </c>
      <c r="J85" s="58">
        <f t="shared" si="7"/>
        <v>2.3333333333333335</v>
      </c>
      <c r="K85" s="104">
        <f t="shared" si="8"/>
        <v>0.66666666666666663</v>
      </c>
    </row>
    <row r="86" spans="1:11" x14ac:dyDescent="0.25">
      <c r="A86" s="55" t="s">
        <v>7083</v>
      </c>
      <c r="B86" s="57">
        <v>4</v>
      </c>
      <c r="C86" s="57"/>
      <c r="D86" s="57">
        <v>2</v>
      </c>
      <c r="E86" s="57"/>
      <c r="F86" s="57"/>
      <c r="G86" s="57"/>
      <c r="I86">
        <f t="shared" si="6"/>
        <v>6</v>
      </c>
      <c r="J86" s="58">
        <f t="shared" si="7"/>
        <v>0.66666666666666663</v>
      </c>
      <c r="K86" s="104">
        <f t="shared" si="8"/>
        <v>0.33333333333333331</v>
      </c>
    </row>
    <row r="87" spans="1:11" x14ac:dyDescent="0.25">
      <c r="A87" s="55" t="s">
        <v>7194</v>
      </c>
      <c r="B87" s="57"/>
      <c r="C87" s="57"/>
      <c r="D87" s="57"/>
      <c r="E87" s="57"/>
      <c r="F87" s="57">
        <v>1</v>
      </c>
      <c r="G87" s="57"/>
      <c r="I87">
        <f t="shared" si="6"/>
        <v>1</v>
      </c>
      <c r="J87" s="58">
        <f t="shared" si="7"/>
        <v>4</v>
      </c>
      <c r="K87" s="104">
        <f t="shared" si="8"/>
        <v>1</v>
      </c>
    </row>
    <row r="88" spans="1:11" x14ac:dyDescent="0.25">
      <c r="A88" s="55" t="s">
        <v>8140</v>
      </c>
      <c r="B88" s="57"/>
      <c r="C88" s="57">
        <v>2</v>
      </c>
      <c r="D88" s="57"/>
      <c r="E88" s="57"/>
      <c r="F88" s="57">
        <v>1</v>
      </c>
      <c r="G88" s="57"/>
      <c r="I88">
        <f t="shared" si="6"/>
        <v>3</v>
      </c>
      <c r="J88" s="58">
        <f t="shared" si="7"/>
        <v>2</v>
      </c>
      <c r="K88" s="104">
        <f t="shared" si="8"/>
        <v>0.33333333333333331</v>
      </c>
    </row>
    <row r="89" spans="1:11" x14ac:dyDescent="0.25">
      <c r="A89" s="55" t="s">
        <v>8180</v>
      </c>
      <c r="B89" s="57"/>
      <c r="C89" s="57">
        <v>3</v>
      </c>
      <c r="D89" s="57"/>
      <c r="E89" s="57">
        <v>2</v>
      </c>
      <c r="F89" s="57"/>
      <c r="G89" s="57"/>
      <c r="I89">
        <f t="shared" si="6"/>
        <v>5</v>
      </c>
      <c r="J89" s="58">
        <f t="shared" si="7"/>
        <v>1.8</v>
      </c>
      <c r="K89" s="104">
        <f t="shared" si="8"/>
        <v>0.4</v>
      </c>
    </row>
    <row r="90" spans="1:11" x14ac:dyDescent="0.25">
      <c r="A90" s="55" t="s">
        <v>9020</v>
      </c>
      <c r="B90" s="57"/>
      <c r="C90" s="57"/>
      <c r="D90" s="57"/>
      <c r="E90" s="57"/>
      <c r="F90" s="57"/>
      <c r="G90" s="57">
        <v>3</v>
      </c>
      <c r="I90">
        <f t="shared" si="6"/>
        <v>3</v>
      </c>
      <c r="J90" s="58" t="e">
        <f t="shared" si="7"/>
        <v>#DIV/0!</v>
      </c>
      <c r="K90" s="104">
        <f t="shared" si="8"/>
        <v>0</v>
      </c>
    </row>
    <row r="91" spans="1:11" x14ac:dyDescent="0.25">
      <c r="A91" s="55" t="s">
        <v>9409</v>
      </c>
      <c r="B91" s="57"/>
      <c r="C91" s="57"/>
      <c r="D91" s="57"/>
      <c r="E91" s="57">
        <v>1</v>
      </c>
      <c r="F91" s="57"/>
      <c r="G91" s="57"/>
      <c r="I91">
        <f t="shared" si="6"/>
        <v>1</v>
      </c>
      <c r="J91" s="58">
        <f t="shared" si="7"/>
        <v>3</v>
      </c>
      <c r="K91" s="104">
        <f t="shared" si="8"/>
        <v>1</v>
      </c>
    </row>
    <row r="92" spans="1:11" x14ac:dyDescent="0.25">
      <c r="A92" s="55" t="s">
        <v>10350</v>
      </c>
      <c r="B92" s="57"/>
      <c r="C92" s="57">
        <v>1</v>
      </c>
      <c r="D92" s="57"/>
      <c r="E92" s="57"/>
      <c r="F92" s="57"/>
      <c r="G92" s="57"/>
      <c r="I92">
        <f t="shared" si="6"/>
        <v>1</v>
      </c>
      <c r="J92" s="58">
        <f t="shared" si="7"/>
        <v>1</v>
      </c>
      <c r="K92" s="104">
        <f t="shared" si="8"/>
        <v>0</v>
      </c>
    </row>
    <row r="93" spans="1:11" x14ac:dyDescent="0.25">
      <c r="A93" s="55" t="s">
        <v>10558</v>
      </c>
      <c r="B93" s="57"/>
      <c r="C93" s="57"/>
      <c r="D93" s="57">
        <v>5</v>
      </c>
      <c r="E93" s="57"/>
      <c r="F93" s="57">
        <v>2</v>
      </c>
      <c r="G93" s="57"/>
      <c r="I93">
        <f t="shared" si="6"/>
        <v>7</v>
      </c>
      <c r="J93" s="58">
        <f t="shared" si="7"/>
        <v>2.5714285714285716</v>
      </c>
      <c r="K93" s="104">
        <f t="shared" si="8"/>
        <v>1</v>
      </c>
    </row>
    <row r="94" spans="1:11" x14ac:dyDescent="0.25">
      <c r="A94" s="55" t="s">
        <v>11664</v>
      </c>
      <c r="B94" s="57"/>
      <c r="C94" s="57"/>
      <c r="D94" s="57"/>
      <c r="E94" s="57">
        <v>6</v>
      </c>
      <c r="F94" s="57"/>
      <c r="G94" s="57"/>
      <c r="I94">
        <f t="shared" si="6"/>
        <v>6</v>
      </c>
      <c r="J94" s="58">
        <f t="shared" si="7"/>
        <v>3</v>
      </c>
      <c r="K94" s="104">
        <f t="shared" si="8"/>
        <v>1</v>
      </c>
    </row>
    <row r="95" spans="1:11" x14ac:dyDescent="0.25">
      <c r="A95" s="55" t="s">
        <v>11693</v>
      </c>
      <c r="B95" s="57"/>
      <c r="C95" s="57">
        <v>3</v>
      </c>
      <c r="D95" s="57">
        <v>29</v>
      </c>
      <c r="E95" s="57">
        <v>1</v>
      </c>
      <c r="F95" s="57"/>
      <c r="G95" s="57">
        <v>3</v>
      </c>
      <c r="I95">
        <f t="shared" si="6"/>
        <v>36</v>
      </c>
      <c r="J95" s="58">
        <f t="shared" si="7"/>
        <v>1.9393939393939394</v>
      </c>
      <c r="K95" s="104">
        <f t="shared" si="8"/>
        <v>0.83333333333333337</v>
      </c>
    </row>
    <row r="96" spans="1:11" x14ac:dyDescent="0.25">
      <c r="A96" s="55" t="s">
        <v>12654</v>
      </c>
      <c r="B96" s="57"/>
      <c r="C96" s="57"/>
      <c r="D96" s="57"/>
      <c r="E96" s="57"/>
      <c r="F96" s="57"/>
      <c r="G96" s="57">
        <v>5</v>
      </c>
      <c r="I96">
        <f t="shared" si="6"/>
        <v>5</v>
      </c>
      <c r="J96" s="58" t="e">
        <f t="shared" si="7"/>
        <v>#DIV/0!</v>
      </c>
      <c r="K96" s="104">
        <f t="shared" si="8"/>
        <v>0</v>
      </c>
    </row>
    <row r="97" spans="1:28" x14ac:dyDescent="0.25">
      <c r="A97" s="55" t="s">
        <v>12907</v>
      </c>
      <c r="B97" s="57">
        <v>1</v>
      </c>
      <c r="C97" s="57"/>
      <c r="D97" s="57"/>
      <c r="E97" s="57"/>
      <c r="F97" s="57"/>
      <c r="G97" s="57">
        <v>7</v>
      </c>
      <c r="I97">
        <f t="shared" si="6"/>
        <v>8</v>
      </c>
      <c r="J97" s="58">
        <f t="shared" si="7"/>
        <v>0</v>
      </c>
      <c r="K97" s="104">
        <f t="shared" si="8"/>
        <v>0</v>
      </c>
    </row>
    <row r="98" spans="1:28" x14ac:dyDescent="0.25">
      <c r="A98" s="55" t="s">
        <v>13710</v>
      </c>
      <c r="B98" s="57">
        <v>1</v>
      </c>
      <c r="C98" s="57"/>
      <c r="D98" s="57">
        <v>4</v>
      </c>
      <c r="E98" s="57"/>
      <c r="F98" s="57">
        <v>3</v>
      </c>
      <c r="G98" s="57"/>
      <c r="I98">
        <f t="shared" si="6"/>
        <v>8</v>
      </c>
      <c r="J98" s="58">
        <f t="shared" si="7"/>
        <v>2.5</v>
      </c>
      <c r="K98" s="104">
        <f t="shared" si="8"/>
        <v>0.875</v>
      </c>
    </row>
    <row r="99" spans="1:28" x14ac:dyDescent="0.25">
      <c r="A99" s="55" t="s">
        <v>13783</v>
      </c>
      <c r="B99" s="57"/>
      <c r="C99" s="57"/>
      <c r="D99" s="57">
        <v>17</v>
      </c>
      <c r="E99" s="57"/>
      <c r="F99" s="57"/>
      <c r="G99" s="57"/>
      <c r="I99">
        <f t="shared" si="6"/>
        <v>17</v>
      </c>
      <c r="J99" s="58">
        <f t="shared" si="7"/>
        <v>2</v>
      </c>
      <c r="K99" s="104">
        <f t="shared" si="8"/>
        <v>1</v>
      </c>
    </row>
    <row r="100" spans="1:28" x14ac:dyDescent="0.25">
      <c r="A100" s="50" t="s">
        <v>14281</v>
      </c>
      <c r="B100" s="57">
        <v>9</v>
      </c>
      <c r="C100" s="57">
        <v>29</v>
      </c>
      <c r="D100" s="57">
        <v>67</v>
      </c>
      <c r="E100" s="57">
        <v>20</v>
      </c>
      <c r="F100" s="57">
        <v>36</v>
      </c>
      <c r="G100" s="57">
        <v>23</v>
      </c>
      <c r="I100">
        <f t="shared" si="6"/>
        <v>184</v>
      </c>
      <c r="J100" s="58">
        <f t="shared" si="7"/>
        <v>2.2795031055900621</v>
      </c>
      <c r="K100" s="104">
        <f t="shared" si="8"/>
        <v>0.66847826086956519</v>
      </c>
    </row>
    <row r="101" spans="1:28" x14ac:dyDescent="0.25">
      <c r="A101" s="50" t="s">
        <v>12970</v>
      </c>
      <c r="B101" s="57"/>
      <c r="C101" s="57"/>
      <c r="D101" s="57"/>
      <c r="E101" s="57"/>
      <c r="F101" s="57"/>
      <c r="G101" s="57"/>
      <c r="I101">
        <f t="shared" si="6"/>
        <v>0</v>
      </c>
      <c r="J101" s="58" t="e">
        <f t="shared" si="7"/>
        <v>#DIV/0!</v>
      </c>
      <c r="K101" s="104" t="e">
        <f t="shared" si="8"/>
        <v>#DIV/0!</v>
      </c>
    </row>
    <row r="102" spans="1:28" x14ac:dyDescent="0.25">
      <c r="A102" s="55" t="s">
        <v>12969</v>
      </c>
      <c r="B102" s="57"/>
      <c r="C102" s="57"/>
      <c r="D102" s="57"/>
      <c r="E102" s="57"/>
      <c r="F102" s="57"/>
      <c r="G102" s="57">
        <v>34</v>
      </c>
      <c r="I102">
        <f t="shared" si="6"/>
        <v>34</v>
      </c>
      <c r="J102" s="58" t="e">
        <f t="shared" si="7"/>
        <v>#DIV/0!</v>
      </c>
      <c r="K102" s="104">
        <f t="shared" si="8"/>
        <v>0</v>
      </c>
    </row>
    <row r="103" spans="1:28" x14ac:dyDescent="0.25">
      <c r="A103" s="50" t="s">
        <v>14282</v>
      </c>
      <c r="B103" s="57"/>
      <c r="C103" s="57"/>
      <c r="D103" s="57"/>
      <c r="E103" s="57"/>
      <c r="F103" s="57"/>
      <c r="G103" s="57">
        <v>34</v>
      </c>
      <c r="I103">
        <f t="shared" si="6"/>
        <v>34</v>
      </c>
      <c r="J103" s="58" t="e">
        <f t="shared" si="7"/>
        <v>#DIV/0!</v>
      </c>
      <c r="K103" s="104">
        <f t="shared" si="8"/>
        <v>0</v>
      </c>
    </row>
    <row r="104" spans="1:28" x14ac:dyDescent="0.25">
      <c r="A104" s="50" t="s">
        <v>14272</v>
      </c>
      <c r="B104" s="57">
        <v>26</v>
      </c>
      <c r="C104" s="57">
        <v>135</v>
      </c>
      <c r="D104" s="57">
        <v>424</v>
      </c>
      <c r="E104" s="57">
        <v>114</v>
      </c>
      <c r="F104" s="57">
        <v>160</v>
      </c>
      <c r="G104" s="57">
        <v>91</v>
      </c>
      <c r="I104">
        <f t="shared" si="6"/>
        <v>950</v>
      </c>
      <c r="J104" s="58">
        <f t="shared" si="7"/>
        <v>2.2875436554132711</v>
      </c>
      <c r="K104" s="104">
        <f t="shared" si="8"/>
        <v>0.73473684210526313</v>
      </c>
    </row>
    <row r="105" spans="1:28" x14ac:dyDescent="0.25">
      <c r="I105">
        <f t="shared" si="6"/>
        <v>0</v>
      </c>
      <c r="J105" s="58" t="e">
        <f t="shared" si="7"/>
        <v>#DIV/0!</v>
      </c>
      <c r="K105" s="104" t="e">
        <f t="shared" si="8"/>
        <v>#DIV/0!</v>
      </c>
    </row>
    <row r="106" spans="1:28" x14ac:dyDescent="0.25">
      <c r="B106" s="104" t="e">
        <f t="shared" ref="B106:G106" si="9">B105/$I$105</f>
        <v>#DIV/0!</v>
      </c>
      <c r="C106" s="104" t="e">
        <f t="shared" si="9"/>
        <v>#DIV/0!</v>
      </c>
      <c r="D106" s="104" t="e">
        <f t="shared" si="9"/>
        <v>#DIV/0!</v>
      </c>
      <c r="E106" s="104" t="e">
        <f t="shared" si="9"/>
        <v>#DIV/0!</v>
      </c>
      <c r="F106" s="104" t="e">
        <f t="shared" si="9"/>
        <v>#DIV/0!</v>
      </c>
      <c r="G106" s="104" t="e">
        <f t="shared" si="9"/>
        <v>#DIV/0!</v>
      </c>
    </row>
    <row r="108" spans="1:28" x14ac:dyDescent="0.25">
      <c r="A108" s="49" t="s">
        <v>14533</v>
      </c>
      <c r="B108" s="49" t="s">
        <v>14283</v>
      </c>
    </row>
    <row r="109" spans="1:28" x14ac:dyDescent="0.25">
      <c r="B109" t="s">
        <v>1909</v>
      </c>
      <c r="E109" t="s">
        <v>335</v>
      </c>
      <c r="H109" t="s">
        <v>478</v>
      </c>
      <c r="K109" t="s">
        <v>14275</v>
      </c>
      <c r="Q109" s="431" t="str">
        <f>A108</f>
        <v>Count of Gender Marker – Analysis</v>
      </c>
      <c r="R109" s="431"/>
      <c r="S109" s="431"/>
      <c r="T109" s="431"/>
      <c r="U109" s="431"/>
      <c r="V109" s="431"/>
      <c r="W109" s="113"/>
      <c r="X109" s="113"/>
      <c r="Z109" s="431"/>
      <c r="AA109" s="431"/>
      <c r="AB109" s="431"/>
    </row>
    <row r="110" spans="1:28" x14ac:dyDescent="0.25">
      <c r="A110" s="49" t="s">
        <v>14283</v>
      </c>
      <c r="B110" t="s">
        <v>319</v>
      </c>
      <c r="C110" t="s">
        <v>320</v>
      </c>
      <c r="D110" t="s">
        <v>14275</v>
      </c>
      <c r="E110" t="s">
        <v>319</v>
      </c>
      <c r="F110" t="s">
        <v>320</v>
      </c>
      <c r="G110" t="s">
        <v>14275</v>
      </c>
      <c r="H110" t="s">
        <v>319</v>
      </c>
      <c r="I110" t="s">
        <v>320</v>
      </c>
      <c r="J110" t="s">
        <v>14275</v>
      </c>
      <c r="K110" t="s">
        <v>319</v>
      </c>
      <c r="L110" t="s">
        <v>320</v>
      </c>
      <c r="M110" t="s">
        <v>14275</v>
      </c>
      <c r="Q110" s="431" t="s">
        <v>14537</v>
      </c>
      <c r="R110" s="431"/>
      <c r="S110" s="431" t="s">
        <v>14539</v>
      </c>
      <c r="T110" s="431"/>
      <c r="U110" s="431" t="s">
        <v>14540</v>
      </c>
      <c r="V110" s="431"/>
      <c r="W110" s="113"/>
      <c r="X110" s="113"/>
      <c r="Z110" t="s">
        <v>14541</v>
      </c>
    </row>
    <row r="111" spans="1:28" x14ac:dyDescent="0.25">
      <c r="A111" s="50" t="s">
        <v>1874</v>
      </c>
      <c r="B111" s="57"/>
      <c r="C111" s="57"/>
      <c r="D111" s="57"/>
      <c r="E111" s="57"/>
      <c r="F111" s="57"/>
      <c r="G111" s="57"/>
      <c r="H111" s="57"/>
      <c r="I111" s="57"/>
      <c r="J111" s="57"/>
      <c r="K111" s="57"/>
      <c r="L111" s="57"/>
      <c r="M111" s="57"/>
      <c r="Q111" s="113" t="s">
        <v>7463</v>
      </c>
      <c r="R111" s="113" t="s">
        <v>326</v>
      </c>
      <c r="S111" s="113" t="s">
        <v>7463</v>
      </c>
      <c r="T111" s="113" t="s">
        <v>326</v>
      </c>
      <c r="U111" s="113" t="s">
        <v>7463</v>
      </c>
      <c r="V111" s="113" t="s">
        <v>326</v>
      </c>
      <c r="W111" s="113"/>
      <c r="X111" s="113"/>
      <c r="Z111" s="113" t="str">
        <f>Q110</f>
        <v>Gender blind</v>
      </c>
      <c r="AA111" s="113" t="str">
        <f>S110</f>
        <v>Within existing roles</v>
      </c>
      <c r="AB111" s="113" t="str">
        <f>U110</f>
        <v>Challenged existing roles</v>
      </c>
    </row>
    <row r="112" spans="1:28" x14ac:dyDescent="0.25">
      <c r="A112" s="55" t="s">
        <v>1873</v>
      </c>
      <c r="B112" s="57">
        <v>1</v>
      </c>
      <c r="C112" s="57"/>
      <c r="D112" s="57"/>
      <c r="E112" s="57"/>
      <c r="F112" s="57">
        <v>3</v>
      </c>
      <c r="G112" s="57"/>
      <c r="H112" s="57">
        <v>1</v>
      </c>
      <c r="I112" s="57">
        <v>7</v>
      </c>
      <c r="J112" s="57"/>
      <c r="K112" s="57"/>
      <c r="L112" s="57"/>
      <c r="M112" s="57"/>
      <c r="Q112">
        <f t="shared" ref="Q112:R115" si="10">B112</f>
        <v>1</v>
      </c>
      <c r="R112">
        <f t="shared" si="10"/>
        <v>0</v>
      </c>
      <c r="S112">
        <f t="shared" ref="S112:T115" si="11">E112</f>
        <v>0</v>
      </c>
      <c r="T112">
        <f t="shared" si="11"/>
        <v>3</v>
      </c>
      <c r="U112">
        <f t="shared" ref="U112:V115" si="12">H112</f>
        <v>1</v>
      </c>
      <c r="V112">
        <f t="shared" si="12"/>
        <v>7</v>
      </c>
      <c r="Y112" t="str">
        <f>A112</f>
        <v>Burundi</v>
      </c>
      <c r="Z112" s="104">
        <f>IFERROR(R112/(SUM($Q112:$R112)),"")</f>
        <v>0</v>
      </c>
      <c r="AA112" s="104">
        <f>IFERROR(T112/(SUM($S112:$T112)),"")</f>
        <v>1</v>
      </c>
      <c r="AB112" s="104">
        <f>IFERROR(V112/(SUM($U112:$V112)),"")</f>
        <v>0.875</v>
      </c>
    </row>
    <row r="113" spans="1:28" x14ac:dyDescent="0.25">
      <c r="A113" s="55" t="s">
        <v>3868</v>
      </c>
      <c r="B113" s="57"/>
      <c r="C113" s="57"/>
      <c r="D113" s="57"/>
      <c r="E113" s="57"/>
      <c r="F113" s="57">
        <v>22</v>
      </c>
      <c r="G113" s="57"/>
      <c r="H113" s="57"/>
      <c r="I113" s="57">
        <v>8</v>
      </c>
      <c r="J113" s="57"/>
      <c r="K113" s="57"/>
      <c r="L113" s="57"/>
      <c r="M113" s="57"/>
      <c r="Q113">
        <f t="shared" si="10"/>
        <v>0</v>
      </c>
      <c r="R113">
        <f t="shared" si="10"/>
        <v>0</v>
      </c>
      <c r="S113">
        <f t="shared" si="11"/>
        <v>0</v>
      </c>
      <c r="T113">
        <f t="shared" si="11"/>
        <v>22</v>
      </c>
      <c r="U113">
        <f t="shared" si="12"/>
        <v>0</v>
      </c>
      <c r="V113">
        <f t="shared" si="12"/>
        <v>8</v>
      </c>
      <c r="Y113" t="str">
        <f t="shared" ref="Y113:Y176" si="13">A113</f>
        <v>Ethiopia</v>
      </c>
      <c r="Z113" s="104" t="str">
        <f t="shared" ref="Z113:Z176" si="14">IFERROR(R113/(SUM($Q113:$R113)),"")</f>
        <v/>
      </c>
      <c r="AA113" s="104">
        <f t="shared" ref="AA113:AA176" si="15">IFERROR(T113/(SUM($S113:$T113)),"")</f>
        <v>1</v>
      </c>
      <c r="AB113" s="104">
        <f t="shared" ref="AB113:AB176" si="16">IFERROR(V113/(SUM($U113:$V113)),"")</f>
        <v>1</v>
      </c>
    </row>
    <row r="114" spans="1:28" x14ac:dyDescent="0.25">
      <c r="A114" s="55" t="s">
        <v>6457</v>
      </c>
      <c r="B114" s="57">
        <v>1</v>
      </c>
      <c r="C114" s="57"/>
      <c r="D114" s="57"/>
      <c r="E114" s="57">
        <v>1</v>
      </c>
      <c r="F114" s="57">
        <v>18</v>
      </c>
      <c r="G114" s="57"/>
      <c r="H114" s="57">
        <v>2</v>
      </c>
      <c r="I114" s="57">
        <v>5</v>
      </c>
      <c r="J114" s="57"/>
      <c r="K114" s="57"/>
      <c r="L114" s="57"/>
      <c r="M114" s="57"/>
      <c r="Q114">
        <f t="shared" si="10"/>
        <v>1</v>
      </c>
      <c r="R114">
        <f t="shared" si="10"/>
        <v>0</v>
      </c>
      <c r="S114">
        <f t="shared" si="11"/>
        <v>1</v>
      </c>
      <c r="T114">
        <f t="shared" si="11"/>
        <v>18</v>
      </c>
      <c r="U114">
        <f t="shared" si="12"/>
        <v>2</v>
      </c>
      <c r="V114">
        <f t="shared" si="12"/>
        <v>5</v>
      </c>
      <c r="Y114" t="str">
        <f t="shared" si="13"/>
        <v>Kenya</v>
      </c>
      <c r="Z114" s="104">
        <f t="shared" si="14"/>
        <v>0</v>
      </c>
      <c r="AA114" s="104">
        <f t="shared" si="15"/>
        <v>0.94736842105263153</v>
      </c>
      <c r="AB114" s="104">
        <f t="shared" si="16"/>
        <v>0.7142857142857143</v>
      </c>
    </row>
    <row r="115" spans="1:28" x14ac:dyDescent="0.25">
      <c r="A115" s="55" t="s">
        <v>10371</v>
      </c>
      <c r="B115" s="57"/>
      <c r="C115" s="57"/>
      <c r="D115" s="57"/>
      <c r="E115" s="57"/>
      <c r="F115" s="57">
        <v>2</v>
      </c>
      <c r="G115" s="57"/>
      <c r="H115" s="57">
        <v>1</v>
      </c>
      <c r="I115" s="57">
        <v>4</v>
      </c>
      <c r="J115" s="57"/>
      <c r="K115" s="57"/>
      <c r="L115" s="57"/>
      <c r="M115" s="57"/>
      <c r="Q115">
        <f t="shared" si="10"/>
        <v>0</v>
      </c>
      <c r="R115">
        <f t="shared" si="10"/>
        <v>0</v>
      </c>
      <c r="S115">
        <f t="shared" si="11"/>
        <v>0</v>
      </c>
      <c r="T115">
        <f t="shared" si="11"/>
        <v>2</v>
      </c>
      <c r="U115">
        <f t="shared" si="12"/>
        <v>1</v>
      </c>
      <c r="V115">
        <f t="shared" si="12"/>
        <v>4</v>
      </c>
      <c r="Y115" t="str">
        <f t="shared" si="13"/>
        <v>Rwanda</v>
      </c>
      <c r="Z115" s="104" t="str">
        <f t="shared" si="14"/>
        <v/>
      </c>
      <c r="AA115" s="104">
        <f t="shared" si="15"/>
        <v>1</v>
      </c>
      <c r="AB115" s="104">
        <f t="shared" si="16"/>
        <v>0.8</v>
      </c>
    </row>
    <row r="116" spans="1:28" x14ac:dyDescent="0.25">
      <c r="A116" s="55" t="s">
        <v>10685</v>
      </c>
      <c r="B116" s="57"/>
      <c r="C116" s="57"/>
      <c r="D116" s="57"/>
      <c r="E116" s="57"/>
      <c r="F116" s="57">
        <v>32</v>
      </c>
      <c r="G116" s="57"/>
      <c r="H116" s="57"/>
      <c r="I116" s="57">
        <v>3</v>
      </c>
      <c r="J116" s="57"/>
      <c r="K116" s="57"/>
      <c r="L116" s="57"/>
      <c r="M116" s="57"/>
      <c r="Q116">
        <f t="shared" ref="Q116:Q179" si="17">B116</f>
        <v>0</v>
      </c>
      <c r="R116">
        <f t="shared" ref="R116:R179" si="18">C116</f>
        <v>0</v>
      </c>
      <c r="S116">
        <f t="shared" ref="S116:S179" si="19">E116</f>
        <v>0</v>
      </c>
      <c r="T116">
        <f t="shared" ref="T116:T179" si="20">F116</f>
        <v>32</v>
      </c>
      <c r="U116">
        <f t="shared" ref="U116:U179" si="21">H116</f>
        <v>0</v>
      </c>
      <c r="V116">
        <f t="shared" ref="V116:V179" si="22">I116</f>
        <v>3</v>
      </c>
      <c r="Y116" t="str">
        <f t="shared" si="13"/>
        <v>Somalia</v>
      </c>
      <c r="Z116" s="104" t="str">
        <f t="shared" si="14"/>
        <v/>
      </c>
      <c r="AA116" s="104">
        <f t="shared" si="15"/>
        <v>1</v>
      </c>
      <c r="AB116" s="104">
        <f t="shared" si="16"/>
        <v>1</v>
      </c>
    </row>
    <row r="117" spans="1:28" x14ac:dyDescent="0.25">
      <c r="A117" s="55" t="s">
        <v>11104</v>
      </c>
      <c r="B117" s="57"/>
      <c r="C117" s="57"/>
      <c r="D117" s="57"/>
      <c r="E117" s="57">
        <v>1</v>
      </c>
      <c r="F117" s="57">
        <v>18</v>
      </c>
      <c r="G117" s="57"/>
      <c r="H117" s="57"/>
      <c r="I117" s="57">
        <v>2</v>
      </c>
      <c r="J117" s="57"/>
      <c r="K117" s="57"/>
      <c r="L117" s="57"/>
      <c r="M117" s="57"/>
      <c r="Q117">
        <f t="shared" si="17"/>
        <v>0</v>
      </c>
      <c r="R117">
        <f t="shared" si="18"/>
        <v>0</v>
      </c>
      <c r="S117">
        <f t="shared" si="19"/>
        <v>1</v>
      </c>
      <c r="T117">
        <f t="shared" si="20"/>
        <v>18</v>
      </c>
      <c r="U117">
        <f t="shared" si="21"/>
        <v>0</v>
      </c>
      <c r="V117">
        <f t="shared" si="22"/>
        <v>2</v>
      </c>
      <c r="Y117" t="str">
        <f t="shared" si="13"/>
        <v>South Sudan</v>
      </c>
      <c r="Z117" s="104" t="str">
        <f t="shared" si="14"/>
        <v/>
      </c>
      <c r="AA117" s="104">
        <f t="shared" si="15"/>
        <v>0.94736842105263153</v>
      </c>
      <c r="AB117" s="104">
        <f t="shared" si="16"/>
        <v>1</v>
      </c>
    </row>
    <row r="118" spans="1:28" x14ac:dyDescent="0.25">
      <c r="A118" s="55" t="s">
        <v>11417</v>
      </c>
      <c r="B118" s="57"/>
      <c r="C118" s="57"/>
      <c r="D118" s="57"/>
      <c r="E118" s="57">
        <v>1</v>
      </c>
      <c r="F118" s="57">
        <v>10</v>
      </c>
      <c r="G118" s="57"/>
      <c r="H118" s="57"/>
      <c r="I118" s="57">
        <v>7</v>
      </c>
      <c r="J118" s="57"/>
      <c r="K118" s="57"/>
      <c r="L118" s="57"/>
      <c r="M118" s="57"/>
      <c r="Q118">
        <f t="shared" si="17"/>
        <v>0</v>
      </c>
      <c r="R118">
        <f t="shared" si="18"/>
        <v>0</v>
      </c>
      <c r="S118">
        <f t="shared" si="19"/>
        <v>1</v>
      </c>
      <c r="T118">
        <f t="shared" si="20"/>
        <v>10</v>
      </c>
      <c r="U118">
        <f t="shared" si="21"/>
        <v>0</v>
      </c>
      <c r="V118">
        <f t="shared" si="22"/>
        <v>7</v>
      </c>
      <c r="Y118" t="str">
        <f t="shared" si="13"/>
        <v>Sudan</v>
      </c>
      <c r="Z118" s="104" t="str">
        <f t="shared" si="14"/>
        <v/>
      </c>
      <c r="AA118" s="104">
        <f t="shared" si="15"/>
        <v>0.90909090909090906</v>
      </c>
      <c r="AB118" s="104">
        <f t="shared" si="16"/>
        <v>1</v>
      </c>
    </row>
    <row r="119" spans="1:28" x14ac:dyDescent="0.25">
      <c r="A119" s="55" t="s">
        <v>12694</v>
      </c>
      <c r="B119" s="57"/>
      <c r="C119" s="57"/>
      <c r="D119" s="57"/>
      <c r="E119" s="57"/>
      <c r="F119" s="57">
        <v>10</v>
      </c>
      <c r="G119" s="57"/>
      <c r="H119" s="57"/>
      <c r="I119" s="57">
        <v>3</v>
      </c>
      <c r="J119" s="57"/>
      <c r="K119" s="57"/>
      <c r="L119" s="57"/>
      <c r="M119" s="57"/>
      <c r="Q119">
        <f t="shared" si="17"/>
        <v>0</v>
      </c>
      <c r="R119">
        <f t="shared" si="18"/>
        <v>0</v>
      </c>
      <c r="S119">
        <f t="shared" si="19"/>
        <v>0</v>
      </c>
      <c r="T119">
        <f t="shared" si="20"/>
        <v>10</v>
      </c>
      <c r="U119">
        <f t="shared" si="21"/>
        <v>0</v>
      </c>
      <c r="V119">
        <f t="shared" si="22"/>
        <v>3</v>
      </c>
      <c r="Y119" t="str">
        <f t="shared" si="13"/>
        <v>Uganda</v>
      </c>
      <c r="Z119" s="104" t="str">
        <f t="shared" si="14"/>
        <v/>
      </c>
      <c r="AA119" s="104">
        <f t="shared" si="15"/>
        <v>1</v>
      </c>
      <c r="AB119" s="104">
        <f t="shared" si="16"/>
        <v>1</v>
      </c>
    </row>
    <row r="120" spans="1:28" x14ac:dyDescent="0.25">
      <c r="A120" s="55" t="s">
        <v>14322</v>
      </c>
      <c r="B120" s="57"/>
      <c r="C120" s="57"/>
      <c r="D120" s="57"/>
      <c r="E120" s="57"/>
      <c r="F120" s="57">
        <v>3</v>
      </c>
      <c r="G120" s="57"/>
      <c r="H120" s="57"/>
      <c r="I120" s="57">
        <v>2</v>
      </c>
      <c r="J120" s="57"/>
      <c r="K120" s="57"/>
      <c r="L120" s="57"/>
      <c r="M120" s="57"/>
      <c r="Q120">
        <f t="shared" si="17"/>
        <v>0</v>
      </c>
      <c r="R120">
        <f t="shared" si="18"/>
        <v>0</v>
      </c>
      <c r="S120">
        <f t="shared" si="19"/>
        <v>0</v>
      </c>
      <c r="T120">
        <f t="shared" si="20"/>
        <v>3</v>
      </c>
      <c r="U120">
        <f t="shared" si="21"/>
        <v>0</v>
      </c>
      <c r="V120">
        <f t="shared" si="22"/>
        <v>2</v>
      </c>
      <c r="Y120" t="str">
        <f t="shared" si="13"/>
        <v>DRC</v>
      </c>
      <c r="Z120" s="104" t="str">
        <f t="shared" si="14"/>
        <v/>
      </c>
      <c r="AA120" s="104">
        <f t="shared" si="15"/>
        <v>1</v>
      </c>
      <c r="AB120" s="104">
        <f t="shared" si="16"/>
        <v>1</v>
      </c>
    </row>
    <row r="121" spans="1:28" x14ac:dyDescent="0.25">
      <c r="A121" s="50" t="s">
        <v>14276</v>
      </c>
      <c r="B121" s="57">
        <v>2</v>
      </c>
      <c r="C121" s="57"/>
      <c r="D121" s="57"/>
      <c r="E121" s="57">
        <v>3</v>
      </c>
      <c r="F121" s="57">
        <v>118</v>
      </c>
      <c r="G121" s="57"/>
      <c r="H121" s="57">
        <v>4</v>
      </c>
      <c r="I121" s="57">
        <v>41</v>
      </c>
      <c r="J121" s="57"/>
      <c r="K121" s="57"/>
      <c r="L121" s="57"/>
      <c r="M121" s="57"/>
      <c r="Q121">
        <f t="shared" si="17"/>
        <v>2</v>
      </c>
      <c r="R121">
        <f t="shared" si="18"/>
        <v>0</v>
      </c>
      <c r="S121">
        <f t="shared" si="19"/>
        <v>3</v>
      </c>
      <c r="T121">
        <f t="shared" si="20"/>
        <v>118</v>
      </c>
      <c r="U121">
        <f t="shared" si="21"/>
        <v>4</v>
      </c>
      <c r="V121">
        <f t="shared" si="22"/>
        <v>41</v>
      </c>
      <c r="Y121" t="str">
        <f t="shared" si="13"/>
        <v>Africa - East and Central Total</v>
      </c>
      <c r="Z121" s="104">
        <f t="shared" si="14"/>
        <v>0</v>
      </c>
      <c r="AA121" s="104">
        <f t="shared" si="15"/>
        <v>0.97520661157024791</v>
      </c>
      <c r="AB121" s="104">
        <f t="shared" si="16"/>
        <v>0.91111111111111109</v>
      </c>
    </row>
    <row r="122" spans="1:28" x14ac:dyDescent="0.25">
      <c r="A122" s="50" t="s">
        <v>7217</v>
      </c>
      <c r="B122" s="57"/>
      <c r="C122" s="57"/>
      <c r="D122" s="57"/>
      <c r="E122" s="57"/>
      <c r="F122" s="57"/>
      <c r="G122" s="57"/>
      <c r="H122" s="57"/>
      <c r="I122" s="57"/>
      <c r="J122" s="57"/>
      <c r="K122" s="57"/>
      <c r="L122" s="57"/>
      <c r="M122" s="57"/>
      <c r="Q122">
        <f t="shared" si="17"/>
        <v>0</v>
      </c>
      <c r="R122">
        <f t="shared" si="18"/>
        <v>0</v>
      </c>
      <c r="S122">
        <f t="shared" si="19"/>
        <v>0</v>
      </c>
      <c r="T122">
        <f t="shared" si="20"/>
        <v>0</v>
      </c>
      <c r="U122">
        <f t="shared" si="21"/>
        <v>0</v>
      </c>
      <c r="V122">
        <f t="shared" si="22"/>
        <v>0</v>
      </c>
      <c r="Y122" t="str">
        <f t="shared" si="13"/>
        <v>Africa - Southern</v>
      </c>
      <c r="Z122" s="104" t="str">
        <f t="shared" si="14"/>
        <v/>
      </c>
      <c r="AA122" s="104" t="str">
        <f t="shared" si="15"/>
        <v/>
      </c>
      <c r="AB122" s="104" t="str">
        <f t="shared" si="16"/>
        <v/>
      </c>
    </row>
    <row r="123" spans="1:28" x14ac:dyDescent="0.25">
      <c r="A123" s="55" t="s">
        <v>7216</v>
      </c>
      <c r="B123" s="57"/>
      <c r="C123" s="57"/>
      <c r="D123" s="57"/>
      <c r="E123" s="57"/>
      <c r="F123" s="57">
        <v>9</v>
      </c>
      <c r="G123" s="57"/>
      <c r="H123" s="57"/>
      <c r="I123" s="57">
        <v>2</v>
      </c>
      <c r="J123" s="57"/>
      <c r="K123" s="57"/>
      <c r="L123" s="57"/>
      <c r="M123" s="57"/>
      <c r="Q123">
        <f t="shared" si="17"/>
        <v>0</v>
      </c>
      <c r="R123">
        <f t="shared" si="18"/>
        <v>0</v>
      </c>
      <c r="S123">
        <f t="shared" si="19"/>
        <v>0</v>
      </c>
      <c r="T123">
        <f t="shared" si="20"/>
        <v>9</v>
      </c>
      <c r="U123">
        <f t="shared" si="21"/>
        <v>0</v>
      </c>
      <c r="V123">
        <f t="shared" si="22"/>
        <v>2</v>
      </c>
      <c r="Y123" t="str">
        <f t="shared" si="13"/>
        <v>Madagascar</v>
      </c>
      <c r="Z123" s="104" t="str">
        <f t="shared" si="14"/>
        <v/>
      </c>
      <c r="AA123" s="104">
        <f t="shared" si="15"/>
        <v>1</v>
      </c>
      <c r="AB123" s="104">
        <f t="shared" si="16"/>
        <v>1</v>
      </c>
    </row>
    <row r="124" spans="1:28" x14ac:dyDescent="0.25">
      <c r="A124" s="55" t="s">
        <v>7451</v>
      </c>
      <c r="B124" s="57"/>
      <c r="C124" s="57"/>
      <c r="D124" s="57"/>
      <c r="E124" s="57">
        <v>1</v>
      </c>
      <c r="F124" s="57">
        <v>16</v>
      </c>
      <c r="G124" s="57"/>
      <c r="H124" s="57"/>
      <c r="I124" s="57">
        <v>6</v>
      </c>
      <c r="J124" s="57"/>
      <c r="K124" s="57"/>
      <c r="L124" s="57"/>
      <c r="M124" s="57"/>
      <c r="Q124">
        <f t="shared" si="17"/>
        <v>0</v>
      </c>
      <c r="R124">
        <f t="shared" si="18"/>
        <v>0</v>
      </c>
      <c r="S124">
        <f t="shared" si="19"/>
        <v>1</v>
      </c>
      <c r="T124">
        <f t="shared" si="20"/>
        <v>16</v>
      </c>
      <c r="U124">
        <f t="shared" si="21"/>
        <v>0</v>
      </c>
      <c r="V124">
        <f t="shared" si="22"/>
        <v>6</v>
      </c>
      <c r="Y124" t="str">
        <f t="shared" si="13"/>
        <v>Malawi</v>
      </c>
      <c r="Z124" s="104" t="str">
        <f t="shared" si="14"/>
        <v/>
      </c>
      <c r="AA124" s="104">
        <f t="shared" si="15"/>
        <v>0.94117647058823528</v>
      </c>
      <c r="AB124" s="104">
        <f t="shared" si="16"/>
        <v>1</v>
      </c>
    </row>
    <row r="125" spans="1:28" x14ac:dyDescent="0.25">
      <c r="A125" s="55" t="s">
        <v>8265</v>
      </c>
      <c r="B125" s="57"/>
      <c r="C125" s="57"/>
      <c r="D125" s="57"/>
      <c r="E125" s="57">
        <v>1</v>
      </c>
      <c r="F125" s="57">
        <v>5</v>
      </c>
      <c r="G125" s="57"/>
      <c r="H125" s="57">
        <v>2</v>
      </c>
      <c r="I125" s="57">
        <v>2</v>
      </c>
      <c r="J125" s="57"/>
      <c r="K125" s="57"/>
      <c r="L125" s="57"/>
      <c r="M125" s="57"/>
      <c r="Q125">
        <f t="shared" si="17"/>
        <v>0</v>
      </c>
      <c r="R125">
        <f t="shared" si="18"/>
        <v>0</v>
      </c>
      <c r="S125">
        <f t="shared" si="19"/>
        <v>1</v>
      </c>
      <c r="T125">
        <f t="shared" si="20"/>
        <v>5</v>
      </c>
      <c r="U125">
        <f t="shared" si="21"/>
        <v>2</v>
      </c>
      <c r="V125">
        <f t="shared" si="22"/>
        <v>2</v>
      </c>
      <c r="Y125" t="str">
        <f t="shared" si="13"/>
        <v>Mozambique</v>
      </c>
      <c r="Z125" s="104" t="str">
        <f t="shared" si="14"/>
        <v/>
      </c>
      <c r="AA125" s="104">
        <f t="shared" si="15"/>
        <v>0.83333333333333337</v>
      </c>
      <c r="AB125" s="104">
        <f t="shared" si="16"/>
        <v>0.5</v>
      </c>
    </row>
    <row r="126" spans="1:28" x14ac:dyDescent="0.25">
      <c r="A126" s="55" t="s">
        <v>11102</v>
      </c>
      <c r="B126" s="57"/>
      <c r="C126" s="57"/>
      <c r="D126" s="57"/>
      <c r="E126" s="57"/>
      <c r="F126" s="57"/>
      <c r="G126" s="57"/>
      <c r="H126" s="57"/>
      <c r="I126" s="57"/>
      <c r="J126" s="57"/>
      <c r="K126" s="57"/>
      <c r="L126" s="57"/>
      <c r="M126" s="57"/>
      <c r="Q126">
        <f t="shared" si="17"/>
        <v>0</v>
      </c>
      <c r="R126">
        <f t="shared" si="18"/>
        <v>0</v>
      </c>
      <c r="S126">
        <f t="shared" si="19"/>
        <v>0</v>
      </c>
      <c r="T126">
        <f t="shared" si="20"/>
        <v>0</v>
      </c>
      <c r="U126">
        <f t="shared" si="21"/>
        <v>0</v>
      </c>
      <c r="V126">
        <f t="shared" si="22"/>
        <v>0</v>
      </c>
      <c r="Y126" t="str">
        <f t="shared" si="13"/>
        <v>South Africa</v>
      </c>
      <c r="Z126" s="104" t="str">
        <f t="shared" si="14"/>
        <v/>
      </c>
      <c r="AA126" s="104" t="str">
        <f t="shared" si="15"/>
        <v/>
      </c>
      <c r="AB126" s="104" t="str">
        <f t="shared" si="16"/>
        <v/>
      </c>
    </row>
    <row r="127" spans="1:28" x14ac:dyDescent="0.25">
      <c r="A127" s="55" t="s">
        <v>12090</v>
      </c>
      <c r="B127" s="57"/>
      <c r="C127" s="57"/>
      <c r="D127" s="57"/>
      <c r="E127" s="57">
        <v>2</v>
      </c>
      <c r="F127" s="57">
        <v>5</v>
      </c>
      <c r="G127" s="57"/>
      <c r="H127" s="57"/>
      <c r="I127" s="57">
        <v>4</v>
      </c>
      <c r="J127" s="57"/>
      <c r="K127" s="57"/>
      <c r="L127" s="57"/>
      <c r="M127" s="57"/>
      <c r="Q127">
        <f t="shared" si="17"/>
        <v>0</v>
      </c>
      <c r="R127">
        <f t="shared" si="18"/>
        <v>0</v>
      </c>
      <c r="S127">
        <f t="shared" si="19"/>
        <v>2</v>
      </c>
      <c r="T127">
        <f t="shared" si="20"/>
        <v>5</v>
      </c>
      <c r="U127">
        <f t="shared" si="21"/>
        <v>0</v>
      </c>
      <c r="V127">
        <f t="shared" si="22"/>
        <v>4</v>
      </c>
      <c r="Y127" t="str">
        <f t="shared" si="13"/>
        <v>Tanzania</v>
      </c>
      <c r="Z127" s="104" t="str">
        <f t="shared" si="14"/>
        <v/>
      </c>
      <c r="AA127" s="104">
        <f t="shared" si="15"/>
        <v>0.7142857142857143</v>
      </c>
      <c r="AB127" s="104">
        <f t="shared" si="16"/>
        <v>1</v>
      </c>
    </row>
    <row r="128" spans="1:28" x14ac:dyDescent="0.25">
      <c r="A128" s="55" t="s">
        <v>13917</v>
      </c>
      <c r="B128" s="57"/>
      <c r="C128" s="57"/>
      <c r="D128" s="57"/>
      <c r="E128" s="57">
        <v>2</v>
      </c>
      <c r="F128" s="57">
        <v>2</v>
      </c>
      <c r="G128" s="57"/>
      <c r="H128" s="57"/>
      <c r="I128" s="57">
        <v>1</v>
      </c>
      <c r="J128" s="57"/>
      <c r="K128" s="57"/>
      <c r="L128" s="57"/>
      <c r="M128" s="57"/>
      <c r="Q128">
        <f t="shared" si="17"/>
        <v>0</v>
      </c>
      <c r="R128">
        <f t="shared" si="18"/>
        <v>0</v>
      </c>
      <c r="S128">
        <f t="shared" si="19"/>
        <v>2</v>
      </c>
      <c r="T128">
        <f t="shared" si="20"/>
        <v>2</v>
      </c>
      <c r="U128">
        <f t="shared" si="21"/>
        <v>0</v>
      </c>
      <c r="V128">
        <f t="shared" si="22"/>
        <v>1</v>
      </c>
      <c r="Y128" t="str">
        <f t="shared" si="13"/>
        <v>Zambia</v>
      </c>
      <c r="Z128" s="104" t="str">
        <f t="shared" si="14"/>
        <v/>
      </c>
      <c r="AA128" s="104">
        <f t="shared" si="15"/>
        <v>0.5</v>
      </c>
      <c r="AB128" s="104">
        <f t="shared" si="16"/>
        <v>1</v>
      </c>
    </row>
    <row r="129" spans="1:28" x14ac:dyDescent="0.25">
      <c r="A129" s="55" t="s">
        <v>14016</v>
      </c>
      <c r="B129" s="57"/>
      <c r="C129" s="57"/>
      <c r="D129" s="57"/>
      <c r="E129" s="57">
        <v>2</v>
      </c>
      <c r="F129" s="57">
        <v>6</v>
      </c>
      <c r="G129" s="57"/>
      <c r="H129" s="57">
        <v>2</v>
      </c>
      <c r="I129" s="57">
        <v>5</v>
      </c>
      <c r="J129" s="57"/>
      <c r="K129" s="57"/>
      <c r="L129" s="57"/>
      <c r="M129" s="57"/>
      <c r="Q129">
        <f t="shared" si="17"/>
        <v>0</v>
      </c>
      <c r="R129">
        <f t="shared" si="18"/>
        <v>0</v>
      </c>
      <c r="S129">
        <f t="shared" si="19"/>
        <v>2</v>
      </c>
      <c r="T129">
        <f t="shared" si="20"/>
        <v>6</v>
      </c>
      <c r="U129">
        <f t="shared" si="21"/>
        <v>2</v>
      </c>
      <c r="V129">
        <f t="shared" si="22"/>
        <v>5</v>
      </c>
      <c r="Y129" t="str">
        <f t="shared" si="13"/>
        <v>Zimbabwe</v>
      </c>
      <c r="Z129" s="104" t="str">
        <f t="shared" si="14"/>
        <v/>
      </c>
      <c r="AA129" s="104">
        <f t="shared" si="15"/>
        <v>0.75</v>
      </c>
      <c r="AB129" s="104">
        <f t="shared" si="16"/>
        <v>0.7142857142857143</v>
      </c>
    </row>
    <row r="130" spans="1:28" x14ac:dyDescent="0.25">
      <c r="A130" s="50" t="s">
        <v>14277</v>
      </c>
      <c r="B130" s="57"/>
      <c r="C130" s="57"/>
      <c r="D130" s="57"/>
      <c r="E130" s="57">
        <v>8</v>
      </c>
      <c r="F130" s="57">
        <v>43</v>
      </c>
      <c r="G130" s="57"/>
      <c r="H130" s="57">
        <v>4</v>
      </c>
      <c r="I130" s="57">
        <v>20</v>
      </c>
      <c r="J130" s="57"/>
      <c r="K130" s="57"/>
      <c r="L130" s="57"/>
      <c r="M130" s="57"/>
      <c r="Q130">
        <f t="shared" si="17"/>
        <v>0</v>
      </c>
      <c r="R130">
        <f t="shared" si="18"/>
        <v>0</v>
      </c>
      <c r="S130">
        <f t="shared" si="19"/>
        <v>8</v>
      </c>
      <c r="T130">
        <f t="shared" si="20"/>
        <v>43</v>
      </c>
      <c r="U130">
        <f t="shared" si="21"/>
        <v>4</v>
      </c>
      <c r="V130">
        <f t="shared" si="22"/>
        <v>20</v>
      </c>
      <c r="Y130" t="str">
        <f t="shared" si="13"/>
        <v>Africa - Southern Total</v>
      </c>
      <c r="Z130" s="104" t="str">
        <f t="shared" si="14"/>
        <v/>
      </c>
      <c r="AA130" s="104">
        <f t="shared" si="15"/>
        <v>0.84313725490196079</v>
      </c>
      <c r="AB130" s="104">
        <f t="shared" si="16"/>
        <v>0.83333333333333337</v>
      </c>
    </row>
    <row r="131" spans="1:28" x14ac:dyDescent="0.25">
      <c r="A131" s="50" t="s">
        <v>1596</v>
      </c>
      <c r="B131" s="57"/>
      <c r="C131" s="57"/>
      <c r="D131" s="57"/>
      <c r="E131" s="57"/>
      <c r="F131" s="57"/>
      <c r="G131" s="57"/>
      <c r="H131" s="57"/>
      <c r="I131" s="57"/>
      <c r="J131" s="57"/>
      <c r="K131" s="57"/>
      <c r="L131" s="57"/>
      <c r="M131" s="57"/>
      <c r="Q131">
        <f t="shared" si="17"/>
        <v>0</v>
      </c>
      <c r="R131">
        <f t="shared" si="18"/>
        <v>0</v>
      </c>
      <c r="S131">
        <f t="shared" si="19"/>
        <v>0</v>
      </c>
      <c r="T131">
        <f t="shared" si="20"/>
        <v>0</v>
      </c>
      <c r="U131">
        <f t="shared" si="21"/>
        <v>0</v>
      </c>
      <c r="V131">
        <f t="shared" si="22"/>
        <v>0</v>
      </c>
      <c r="Y131" t="str">
        <f t="shared" si="13"/>
        <v>Africa - Western</v>
      </c>
      <c r="Z131" s="104" t="str">
        <f t="shared" si="14"/>
        <v/>
      </c>
      <c r="AA131" s="104" t="str">
        <f t="shared" si="15"/>
        <v/>
      </c>
      <c r="AB131" s="104" t="str">
        <f t="shared" si="16"/>
        <v/>
      </c>
    </row>
    <row r="132" spans="1:28" x14ac:dyDescent="0.25">
      <c r="A132" s="55" t="s">
        <v>1595</v>
      </c>
      <c r="B132" s="57"/>
      <c r="C132" s="57"/>
      <c r="D132" s="57"/>
      <c r="E132" s="57"/>
      <c r="F132" s="57">
        <v>5</v>
      </c>
      <c r="G132" s="57"/>
      <c r="H132" s="57"/>
      <c r="I132" s="57">
        <v>2</v>
      </c>
      <c r="J132" s="57"/>
      <c r="K132" s="57"/>
      <c r="L132" s="57"/>
      <c r="M132" s="57"/>
      <c r="Q132">
        <f t="shared" si="17"/>
        <v>0</v>
      </c>
      <c r="R132">
        <f t="shared" si="18"/>
        <v>0</v>
      </c>
      <c r="S132">
        <f t="shared" si="19"/>
        <v>0</v>
      </c>
      <c r="T132">
        <f t="shared" si="20"/>
        <v>5</v>
      </c>
      <c r="U132">
        <f t="shared" si="21"/>
        <v>0</v>
      </c>
      <c r="V132">
        <f t="shared" si="22"/>
        <v>2</v>
      </c>
      <c r="Y132" t="str">
        <f t="shared" si="13"/>
        <v>Benin</v>
      </c>
      <c r="Z132" s="104" t="str">
        <f t="shared" si="14"/>
        <v/>
      </c>
      <c r="AA132" s="104">
        <f t="shared" si="15"/>
        <v>1</v>
      </c>
      <c r="AB132" s="104">
        <f t="shared" si="16"/>
        <v>1</v>
      </c>
    </row>
    <row r="133" spans="1:28" x14ac:dyDescent="0.25">
      <c r="A133" s="55" t="s">
        <v>1827</v>
      </c>
      <c r="B133" s="57"/>
      <c r="C133" s="57"/>
      <c r="D133" s="57"/>
      <c r="E133" s="57"/>
      <c r="F133" s="57">
        <v>2</v>
      </c>
      <c r="G133" s="57"/>
      <c r="H133" s="57"/>
      <c r="I133" s="57"/>
      <c r="J133" s="57"/>
      <c r="K133" s="57"/>
      <c r="L133" s="57"/>
      <c r="M133" s="57"/>
      <c r="Q133">
        <f t="shared" si="17"/>
        <v>0</v>
      </c>
      <c r="R133">
        <f t="shared" si="18"/>
        <v>0</v>
      </c>
      <c r="S133">
        <f t="shared" si="19"/>
        <v>0</v>
      </c>
      <c r="T133">
        <f t="shared" si="20"/>
        <v>2</v>
      </c>
      <c r="U133">
        <f t="shared" si="21"/>
        <v>0</v>
      </c>
      <c r="V133">
        <f t="shared" si="22"/>
        <v>0</v>
      </c>
      <c r="Y133" t="str">
        <f t="shared" si="13"/>
        <v>Burkina Faso</v>
      </c>
      <c r="Z133" s="104" t="str">
        <f t="shared" si="14"/>
        <v/>
      </c>
      <c r="AA133" s="104">
        <f t="shared" si="15"/>
        <v>1</v>
      </c>
      <c r="AB133" s="104" t="str">
        <f t="shared" si="16"/>
        <v/>
      </c>
    </row>
    <row r="134" spans="1:28" x14ac:dyDescent="0.25">
      <c r="A134" s="55" t="s">
        <v>2395</v>
      </c>
      <c r="B134" s="57"/>
      <c r="C134" s="57"/>
      <c r="D134" s="57"/>
      <c r="E134" s="57"/>
      <c r="F134" s="57">
        <v>4</v>
      </c>
      <c r="G134" s="57"/>
      <c r="H134" s="57"/>
      <c r="I134" s="57">
        <v>2</v>
      </c>
      <c r="J134" s="57"/>
      <c r="K134" s="57"/>
      <c r="L134" s="57"/>
      <c r="M134" s="57"/>
      <c r="Q134">
        <f t="shared" si="17"/>
        <v>0</v>
      </c>
      <c r="R134">
        <f t="shared" si="18"/>
        <v>0</v>
      </c>
      <c r="S134">
        <f t="shared" si="19"/>
        <v>0</v>
      </c>
      <c r="T134">
        <f t="shared" si="20"/>
        <v>4</v>
      </c>
      <c r="U134">
        <f t="shared" si="21"/>
        <v>0</v>
      </c>
      <c r="V134">
        <f t="shared" si="22"/>
        <v>2</v>
      </c>
      <c r="Y134" t="str">
        <f t="shared" si="13"/>
        <v>Cameroon</v>
      </c>
      <c r="Z134" s="104" t="str">
        <f t="shared" si="14"/>
        <v/>
      </c>
      <c r="AA134" s="104">
        <f t="shared" si="15"/>
        <v>1</v>
      </c>
      <c r="AB134" s="104">
        <f t="shared" si="16"/>
        <v>1</v>
      </c>
    </row>
    <row r="135" spans="1:28" x14ac:dyDescent="0.25">
      <c r="A135" s="55" t="s">
        <v>2536</v>
      </c>
      <c r="B135" s="57"/>
      <c r="C135" s="57"/>
      <c r="D135" s="57"/>
      <c r="E135" s="57"/>
      <c r="F135" s="57">
        <v>12</v>
      </c>
      <c r="G135" s="57"/>
      <c r="H135" s="57"/>
      <c r="I135" s="57">
        <v>3</v>
      </c>
      <c r="J135" s="57"/>
      <c r="K135" s="57"/>
      <c r="L135" s="57"/>
      <c r="M135" s="57"/>
      <c r="Q135">
        <f t="shared" si="17"/>
        <v>0</v>
      </c>
      <c r="R135">
        <f t="shared" si="18"/>
        <v>0</v>
      </c>
      <c r="S135">
        <f t="shared" si="19"/>
        <v>0</v>
      </c>
      <c r="T135">
        <f t="shared" si="20"/>
        <v>12</v>
      </c>
      <c r="U135">
        <f t="shared" si="21"/>
        <v>0</v>
      </c>
      <c r="V135">
        <f t="shared" si="22"/>
        <v>3</v>
      </c>
      <c r="Y135" t="str">
        <f t="shared" si="13"/>
        <v>Chad</v>
      </c>
      <c r="Z135" s="104" t="str">
        <f t="shared" si="14"/>
        <v/>
      </c>
      <c r="AA135" s="104">
        <f t="shared" si="15"/>
        <v>1</v>
      </c>
      <c r="AB135" s="104">
        <f t="shared" si="16"/>
        <v>1</v>
      </c>
    </row>
    <row r="136" spans="1:28" x14ac:dyDescent="0.25">
      <c r="A136" s="55" t="s">
        <v>2956</v>
      </c>
      <c r="B136" s="57">
        <v>1</v>
      </c>
      <c r="C136" s="57"/>
      <c r="D136" s="57"/>
      <c r="E136" s="57"/>
      <c r="F136" s="57">
        <v>6</v>
      </c>
      <c r="G136" s="57"/>
      <c r="H136" s="57"/>
      <c r="I136" s="57">
        <v>2</v>
      </c>
      <c r="J136" s="57"/>
      <c r="K136" s="57"/>
      <c r="L136" s="57"/>
      <c r="M136" s="57"/>
      <c r="Q136">
        <f t="shared" si="17"/>
        <v>1</v>
      </c>
      <c r="R136">
        <f t="shared" si="18"/>
        <v>0</v>
      </c>
      <c r="S136">
        <f t="shared" si="19"/>
        <v>0</v>
      </c>
      <c r="T136">
        <f t="shared" si="20"/>
        <v>6</v>
      </c>
      <c r="U136">
        <f t="shared" si="21"/>
        <v>0</v>
      </c>
      <c r="V136">
        <f t="shared" si="22"/>
        <v>2</v>
      </c>
      <c r="Y136" t="str">
        <f t="shared" si="13"/>
        <v>Cote d'Ivoire</v>
      </c>
      <c r="Z136" s="104">
        <f t="shared" si="14"/>
        <v>0</v>
      </c>
      <c r="AA136" s="104">
        <f t="shared" si="15"/>
        <v>1</v>
      </c>
      <c r="AB136" s="104">
        <f t="shared" si="16"/>
        <v>1</v>
      </c>
    </row>
    <row r="137" spans="1:28" x14ac:dyDescent="0.25">
      <c r="A137" s="55" t="s">
        <v>4471</v>
      </c>
      <c r="B137" s="57"/>
      <c r="C137" s="57"/>
      <c r="D137" s="57"/>
      <c r="E137" s="57"/>
      <c r="F137" s="57">
        <v>6</v>
      </c>
      <c r="G137" s="57"/>
      <c r="H137" s="57"/>
      <c r="I137" s="57">
        <v>7</v>
      </c>
      <c r="J137" s="57"/>
      <c r="K137" s="57"/>
      <c r="L137" s="57"/>
      <c r="M137" s="57"/>
      <c r="Q137">
        <f t="shared" si="17"/>
        <v>0</v>
      </c>
      <c r="R137">
        <f t="shared" si="18"/>
        <v>0</v>
      </c>
      <c r="S137">
        <f t="shared" si="19"/>
        <v>0</v>
      </c>
      <c r="T137">
        <f t="shared" si="20"/>
        <v>6</v>
      </c>
      <c r="U137">
        <f t="shared" si="21"/>
        <v>0</v>
      </c>
      <c r="V137">
        <f t="shared" si="22"/>
        <v>7</v>
      </c>
      <c r="Y137" t="str">
        <f t="shared" si="13"/>
        <v>Ghana</v>
      </c>
      <c r="Z137" s="104" t="str">
        <f t="shared" si="14"/>
        <v/>
      </c>
      <c r="AA137" s="104">
        <f t="shared" si="15"/>
        <v>1</v>
      </c>
      <c r="AB137" s="104">
        <f t="shared" si="16"/>
        <v>1</v>
      </c>
    </row>
    <row r="138" spans="1:28" x14ac:dyDescent="0.25">
      <c r="A138" s="55" t="s">
        <v>7179</v>
      </c>
      <c r="B138" s="57"/>
      <c r="C138" s="57"/>
      <c r="D138" s="57"/>
      <c r="E138" s="57"/>
      <c r="F138" s="57">
        <v>1</v>
      </c>
      <c r="G138" s="57"/>
      <c r="H138" s="57"/>
      <c r="I138" s="57"/>
      <c r="J138" s="57"/>
      <c r="K138" s="57"/>
      <c r="L138" s="57"/>
      <c r="M138" s="57"/>
      <c r="Q138">
        <f t="shared" si="17"/>
        <v>0</v>
      </c>
      <c r="R138">
        <f t="shared" si="18"/>
        <v>0</v>
      </c>
      <c r="S138">
        <f t="shared" si="19"/>
        <v>0</v>
      </c>
      <c r="T138">
        <f t="shared" si="20"/>
        <v>1</v>
      </c>
      <c r="U138">
        <f t="shared" si="21"/>
        <v>0</v>
      </c>
      <c r="V138">
        <f t="shared" si="22"/>
        <v>0</v>
      </c>
      <c r="Y138" t="str">
        <f t="shared" si="13"/>
        <v>Liberia</v>
      </c>
      <c r="Z138" s="104" t="str">
        <f t="shared" si="14"/>
        <v/>
      </c>
      <c r="AA138" s="104">
        <f t="shared" si="15"/>
        <v>1</v>
      </c>
      <c r="AB138" s="104" t="str">
        <f t="shared" si="16"/>
        <v/>
      </c>
    </row>
    <row r="139" spans="1:28" x14ac:dyDescent="0.25">
      <c r="A139" s="55" t="s">
        <v>7835</v>
      </c>
      <c r="B139" s="57"/>
      <c r="C139" s="57"/>
      <c r="D139" s="57"/>
      <c r="E139" s="57"/>
      <c r="F139" s="57">
        <v>9</v>
      </c>
      <c r="G139" s="57"/>
      <c r="H139" s="57">
        <v>3</v>
      </c>
      <c r="I139" s="57">
        <v>4</v>
      </c>
      <c r="J139" s="57"/>
      <c r="K139" s="57"/>
      <c r="L139" s="57"/>
      <c r="M139" s="57"/>
      <c r="Q139">
        <f t="shared" si="17"/>
        <v>0</v>
      </c>
      <c r="R139">
        <f t="shared" si="18"/>
        <v>0</v>
      </c>
      <c r="S139">
        <f t="shared" si="19"/>
        <v>0</v>
      </c>
      <c r="T139">
        <f t="shared" si="20"/>
        <v>9</v>
      </c>
      <c r="U139">
        <f t="shared" si="21"/>
        <v>3</v>
      </c>
      <c r="V139">
        <f t="shared" si="22"/>
        <v>4</v>
      </c>
      <c r="Y139" t="str">
        <f t="shared" si="13"/>
        <v>Mali</v>
      </c>
      <c r="Z139" s="104" t="str">
        <f t="shared" si="14"/>
        <v/>
      </c>
      <c r="AA139" s="104">
        <f t="shared" si="15"/>
        <v>1</v>
      </c>
      <c r="AB139" s="104">
        <f t="shared" si="16"/>
        <v>0.5714285714285714</v>
      </c>
    </row>
    <row r="140" spans="1:28" x14ac:dyDescent="0.25">
      <c r="A140" s="55" t="s">
        <v>9043</v>
      </c>
      <c r="B140" s="57"/>
      <c r="C140" s="57"/>
      <c r="D140" s="57"/>
      <c r="E140" s="57"/>
      <c r="F140" s="57">
        <v>24</v>
      </c>
      <c r="G140" s="57"/>
      <c r="H140" s="57"/>
      <c r="I140" s="57">
        <v>1</v>
      </c>
      <c r="J140" s="57"/>
      <c r="K140" s="57"/>
      <c r="L140" s="57"/>
      <c r="M140" s="57"/>
      <c r="Q140">
        <f t="shared" si="17"/>
        <v>0</v>
      </c>
      <c r="R140">
        <f t="shared" si="18"/>
        <v>0</v>
      </c>
      <c r="S140">
        <f t="shared" si="19"/>
        <v>0</v>
      </c>
      <c r="T140">
        <f t="shared" si="20"/>
        <v>24</v>
      </c>
      <c r="U140">
        <f t="shared" si="21"/>
        <v>0</v>
      </c>
      <c r="V140">
        <f t="shared" si="22"/>
        <v>1</v>
      </c>
      <c r="Y140" t="str">
        <f t="shared" si="13"/>
        <v>Niger</v>
      </c>
      <c r="Z140" s="104" t="str">
        <f t="shared" si="14"/>
        <v/>
      </c>
      <c r="AA140" s="104">
        <f t="shared" si="15"/>
        <v>1</v>
      </c>
      <c r="AB140" s="104">
        <f t="shared" si="16"/>
        <v>1</v>
      </c>
    </row>
    <row r="141" spans="1:28" x14ac:dyDescent="0.25">
      <c r="A141" s="55" t="s">
        <v>10594</v>
      </c>
      <c r="B141" s="57"/>
      <c r="C141" s="57"/>
      <c r="D141" s="57"/>
      <c r="E141" s="57">
        <v>1</v>
      </c>
      <c r="F141" s="57">
        <v>3</v>
      </c>
      <c r="G141" s="57"/>
      <c r="H141" s="57"/>
      <c r="I141" s="57">
        <v>1</v>
      </c>
      <c r="J141" s="57"/>
      <c r="K141" s="57"/>
      <c r="L141" s="57"/>
      <c r="M141" s="57"/>
      <c r="Q141">
        <f t="shared" si="17"/>
        <v>0</v>
      </c>
      <c r="R141">
        <f t="shared" si="18"/>
        <v>0</v>
      </c>
      <c r="S141">
        <f t="shared" si="19"/>
        <v>1</v>
      </c>
      <c r="T141">
        <f t="shared" si="20"/>
        <v>3</v>
      </c>
      <c r="U141">
        <f t="shared" si="21"/>
        <v>0</v>
      </c>
      <c r="V141">
        <f t="shared" si="22"/>
        <v>1</v>
      </c>
      <c r="Y141" t="str">
        <f t="shared" si="13"/>
        <v>Sierra Leone</v>
      </c>
      <c r="Z141" s="104" t="str">
        <f t="shared" si="14"/>
        <v/>
      </c>
      <c r="AA141" s="104">
        <f t="shared" si="15"/>
        <v>0.75</v>
      </c>
      <c r="AB141" s="104">
        <f t="shared" si="16"/>
        <v>1</v>
      </c>
    </row>
    <row r="142" spans="1:28" x14ac:dyDescent="0.25">
      <c r="A142" s="50" t="s">
        <v>14278</v>
      </c>
      <c r="B142" s="57">
        <v>1</v>
      </c>
      <c r="C142" s="57"/>
      <c r="D142" s="57"/>
      <c r="E142" s="57">
        <v>1</v>
      </c>
      <c r="F142" s="57">
        <v>72</v>
      </c>
      <c r="G142" s="57"/>
      <c r="H142" s="57">
        <v>3</v>
      </c>
      <c r="I142" s="57">
        <v>22</v>
      </c>
      <c r="J142" s="57"/>
      <c r="K142" s="57"/>
      <c r="L142" s="57"/>
      <c r="M142" s="57"/>
      <c r="Q142">
        <f t="shared" si="17"/>
        <v>1</v>
      </c>
      <c r="R142">
        <f t="shared" si="18"/>
        <v>0</v>
      </c>
      <c r="S142">
        <f t="shared" si="19"/>
        <v>1</v>
      </c>
      <c r="T142">
        <f t="shared" si="20"/>
        <v>72</v>
      </c>
      <c r="U142">
        <f t="shared" si="21"/>
        <v>3</v>
      </c>
      <c r="V142">
        <f t="shared" si="22"/>
        <v>22</v>
      </c>
      <c r="Y142" t="str">
        <f t="shared" si="13"/>
        <v>Africa - Western Total</v>
      </c>
      <c r="Z142" s="104">
        <f t="shared" si="14"/>
        <v>0</v>
      </c>
      <c r="AA142" s="104">
        <f t="shared" si="15"/>
        <v>0.98630136986301364</v>
      </c>
      <c r="AB142" s="104">
        <f t="shared" si="16"/>
        <v>0.88</v>
      </c>
    </row>
    <row r="143" spans="1:28" x14ac:dyDescent="0.25">
      <c r="A143" s="50" t="s">
        <v>306</v>
      </c>
      <c r="B143" s="57"/>
      <c r="C143" s="57"/>
      <c r="D143" s="57"/>
      <c r="E143" s="57"/>
      <c r="F143" s="57"/>
      <c r="G143" s="57"/>
      <c r="H143" s="57"/>
      <c r="I143" s="57"/>
      <c r="J143" s="57"/>
      <c r="K143" s="57"/>
      <c r="L143" s="57"/>
      <c r="M143" s="57"/>
      <c r="Q143">
        <f t="shared" si="17"/>
        <v>0</v>
      </c>
      <c r="R143">
        <f t="shared" si="18"/>
        <v>0</v>
      </c>
      <c r="S143">
        <f t="shared" si="19"/>
        <v>0</v>
      </c>
      <c r="T143">
        <f t="shared" si="20"/>
        <v>0</v>
      </c>
      <c r="U143">
        <f t="shared" si="21"/>
        <v>0</v>
      </c>
      <c r="V143">
        <f t="shared" si="22"/>
        <v>0</v>
      </c>
      <c r="Y143" t="str">
        <f t="shared" si="13"/>
        <v>Asia and the Pacific</v>
      </c>
      <c r="Z143" s="104" t="str">
        <f t="shared" si="14"/>
        <v/>
      </c>
      <c r="AA143" s="104" t="str">
        <f t="shared" si="15"/>
        <v/>
      </c>
      <c r="AB143" s="104" t="str">
        <f t="shared" si="16"/>
        <v/>
      </c>
    </row>
    <row r="144" spans="1:28" x14ac:dyDescent="0.25">
      <c r="A144" s="55" t="s">
        <v>305</v>
      </c>
      <c r="B144" s="57"/>
      <c r="C144" s="57"/>
      <c r="D144" s="57"/>
      <c r="E144" s="57">
        <v>1</v>
      </c>
      <c r="F144" s="57">
        <v>13</v>
      </c>
      <c r="G144" s="57"/>
      <c r="H144" s="57"/>
      <c r="I144" s="57">
        <v>1</v>
      </c>
      <c r="J144" s="57"/>
      <c r="K144" s="57"/>
      <c r="L144" s="57"/>
      <c r="M144" s="57"/>
      <c r="Q144">
        <f t="shared" si="17"/>
        <v>0</v>
      </c>
      <c r="R144">
        <f t="shared" si="18"/>
        <v>0</v>
      </c>
      <c r="S144">
        <f t="shared" si="19"/>
        <v>1</v>
      </c>
      <c r="T144">
        <f t="shared" si="20"/>
        <v>13</v>
      </c>
      <c r="U144">
        <f t="shared" si="21"/>
        <v>0</v>
      </c>
      <c r="V144">
        <f t="shared" si="22"/>
        <v>1</v>
      </c>
      <c r="Y144" t="str">
        <f t="shared" si="13"/>
        <v>Afghanistan</v>
      </c>
      <c r="Z144" s="104" t="str">
        <f t="shared" si="14"/>
        <v/>
      </c>
      <c r="AA144" s="104">
        <f t="shared" si="15"/>
        <v>0.9285714285714286</v>
      </c>
      <c r="AB144" s="104">
        <f t="shared" si="16"/>
        <v>1</v>
      </c>
    </row>
    <row r="145" spans="1:28" x14ac:dyDescent="0.25">
      <c r="A145" s="55" t="s">
        <v>652</v>
      </c>
      <c r="B145" s="57"/>
      <c r="C145" s="57"/>
      <c r="D145" s="57"/>
      <c r="E145" s="57"/>
      <c r="F145" s="57">
        <v>30</v>
      </c>
      <c r="G145" s="57"/>
      <c r="H145" s="57">
        <v>2</v>
      </c>
      <c r="I145" s="57">
        <v>16</v>
      </c>
      <c r="J145" s="57"/>
      <c r="K145" s="57"/>
      <c r="L145" s="57"/>
      <c r="M145" s="57"/>
      <c r="Q145">
        <f t="shared" si="17"/>
        <v>0</v>
      </c>
      <c r="R145">
        <f t="shared" si="18"/>
        <v>0</v>
      </c>
      <c r="S145">
        <f t="shared" si="19"/>
        <v>0</v>
      </c>
      <c r="T145">
        <f t="shared" si="20"/>
        <v>30</v>
      </c>
      <c r="U145">
        <f t="shared" si="21"/>
        <v>2</v>
      </c>
      <c r="V145">
        <f t="shared" si="22"/>
        <v>16</v>
      </c>
      <c r="Y145" t="str">
        <f t="shared" si="13"/>
        <v>Bangladesh</v>
      </c>
      <c r="Z145" s="104" t="str">
        <f t="shared" si="14"/>
        <v/>
      </c>
      <c r="AA145" s="104">
        <f t="shared" si="15"/>
        <v>1</v>
      </c>
      <c r="AB145" s="104">
        <f t="shared" si="16"/>
        <v>0.88888888888888884</v>
      </c>
    </row>
    <row r="146" spans="1:28" x14ac:dyDescent="0.25">
      <c r="A146" s="55" t="s">
        <v>2092</v>
      </c>
      <c r="B146" s="57"/>
      <c r="C146" s="57"/>
      <c r="D146" s="57"/>
      <c r="E146" s="57"/>
      <c r="F146" s="57">
        <v>7</v>
      </c>
      <c r="G146" s="57"/>
      <c r="H146" s="57">
        <v>1</v>
      </c>
      <c r="I146" s="57">
        <v>9</v>
      </c>
      <c r="J146" s="57"/>
      <c r="K146" s="57"/>
      <c r="L146" s="57"/>
      <c r="M146" s="57"/>
      <c r="Q146">
        <f t="shared" si="17"/>
        <v>0</v>
      </c>
      <c r="R146">
        <f t="shared" si="18"/>
        <v>0</v>
      </c>
      <c r="S146">
        <f t="shared" si="19"/>
        <v>0</v>
      </c>
      <c r="T146">
        <f t="shared" si="20"/>
        <v>7</v>
      </c>
      <c r="U146">
        <f t="shared" si="21"/>
        <v>1</v>
      </c>
      <c r="V146">
        <f t="shared" si="22"/>
        <v>9</v>
      </c>
      <c r="Y146" t="str">
        <f t="shared" si="13"/>
        <v>Cambodia</v>
      </c>
      <c r="Z146" s="104" t="str">
        <f t="shared" si="14"/>
        <v/>
      </c>
      <c r="AA146" s="104">
        <f t="shared" si="15"/>
        <v>1</v>
      </c>
      <c r="AB146" s="104">
        <f t="shared" si="16"/>
        <v>0.9</v>
      </c>
    </row>
    <row r="147" spans="1:28" x14ac:dyDescent="0.25">
      <c r="A147" s="55" t="s">
        <v>4268</v>
      </c>
      <c r="B147" s="57"/>
      <c r="C147" s="57"/>
      <c r="D147" s="57"/>
      <c r="E147" s="57"/>
      <c r="F147" s="57">
        <v>1</v>
      </c>
      <c r="G147" s="57"/>
      <c r="H147" s="57"/>
      <c r="I147" s="57"/>
      <c r="J147" s="57"/>
      <c r="K147" s="57"/>
      <c r="L147" s="57"/>
      <c r="M147" s="57"/>
      <c r="Q147">
        <f t="shared" si="17"/>
        <v>0</v>
      </c>
      <c r="R147">
        <f t="shared" si="18"/>
        <v>0</v>
      </c>
      <c r="S147">
        <f t="shared" si="19"/>
        <v>0</v>
      </c>
      <c r="T147">
        <f t="shared" si="20"/>
        <v>1</v>
      </c>
      <c r="U147">
        <f t="shared" si="21"/>
        <v>0</v>
      </c>
      <c r="V147">
        <f t="shared" si="22"/>
        <v>0</v>
      </c>
      <c r="Y147" t="str">
        <f t="shared" si="13"/>
        <v>Fiji</v>
      </c>
      <c r="Z147" s="104" t="str">
        <f t="shared" si="14"/>
        <v/>
      </c>
      <c r="AA147" s="104">
        <f t="shared" si="15"/>
        <v>1</v>
      </c>
      <c r="AB147" s="104" t="str">
        <f t="shared" si="16"/>
        <v/>
      </c>
    </row>
    <row r="148" spans="1:28" x14ac:dyDescent="0.25">
      <c r="A148" s="55" t="s">
        <v>5300</v>
      </c>
      <c r="B148" s="57"/>
      <c r="C148" s="57"/>
      <c r="D148" s="57"/>
      <c r="E148" s="57"/>
      <c r="F148" s="57">
        <v>14</v>
      </c>
      <c r="G148" s="57"/>
      <c r="H148" s="57">
        <v>1</v>
      </c>
      <c r="I148" s="57">
        <v>20</v>
      </c>
      <c r="J148" s="57"/>
      <c r="K148" s="57"/>
      <c r="L148" s="57"/>
      <c r="M148" s="57"/>
      <c r="Q148">
        <f t="shared" si="17"/>
        <v>0</v>
      </c>
      <c r="R148">
        <f t="shared" si="18"/>
        <v>0</v>
      </c>
      <c r="S148">
        <f t="shared" si="19"/>
        <v>0</v>
      </c>
      <c r="T148">
        <f t="shared" si="20"/>
        <v>14</v>
      </c>
      <c r="U148">
        <f t="shared" si="21"/>
        <v>1</v>
      </c>
      <c r="V148">
        <f t="shared" si="22"/>
        <v>20</v>
      </c>
      <c r="Y148" t="str">
        <f t="shared" si="13"/>
        <v>India</v>
      </c>
      <c r="Z148" s="104" t="str">
        <f t="shared" si="14"/>
        <v/>
      </c>
      <c r="AA148" s="104">
        <f t="shared" si="15"/>
        <v>1</v>
      </c>
      <c r="AB148" s="104">
        <f t="shared" si="16"/>
        <v>0.95238095238095233</v>
      </c>
    </row>
    <row r="149" spans="1:28" x14ac:dyDescent="0.25">
      <c r="A149" s="55" t="s">
        <v>5932</v>
      </c>
      <c r="B149" s="57"/>
      <c r="C149" s="57"/>
      <c r="D149" s="57"/>
      <c r="E149" s="57"/>
      <c r="F149" s="57">
        <v>6</v>
      </c>
      <c r="G149" s="57"/>
      <c r="H149" s="57"/>
      <c r="I149" s="57">
        <v>2</v>
      </c>
      <c r="J149" s="57"/>
      <c r="K149" s="57"/>
      <c r="L149" s="57"/>
      <c r="M149" s="57"/>
      <c r="Q149">
        <f t="shared" si="17"/>
        <v>0</v>
      </c>
      <c r="R149">
        <f t="shared" si="18"/>
        <v>0</v>
      </c>
      <c r="S149">
        <f t="shared" si="19"/>
        <v>0</v>
      </c>
      <c r="T149">
        <f t="shared" si="20"/>
        <v>6</v>
      </c>
      <c r="U149">
        <f t="shared" si="21"/>
        <v>0</v>
      </c>
      <c r="V149">
        <f t="shared" si="22"/>
        <v>2</v>
      </c>
      <c r="Y149" t="str">
        <f t="shared" si="13"/>
        <v>Indonesia</v>
      </c>
      <c r="Z149" s="104" t="str">
        <f t="shared" si="14"/>
        <v/>
      </c>
      <c r="AA149" s="104">
        <f t="shared" si="15"/>
        <v>1</v>
      </c>
      <c r="AB149" s="104">
        <f t="shared" si="16"/>
        <v>1</v>
      </c>
    </row>
    <row r="150" spans="1:28" x14ac:dyDescent="0.25">
      <c r="A150" s="55" t="s">
        <v>6850</v>
      </c>
      <c r="B150" s="57"/>
      <c r="C150" s="57"/>
      <c r="D150" s="57"/>
      <c r="E150" s="57">
        <v>1</v>
      </c>
      <c r="F150" s="57">
        <v>12</v>
      </c>
      <c r="G150" s="57"/>
      <c r="H150" s="57"/>
      <c r="I150" s="57">
        <v>1</v>
      </c>
      <c r="J150" s="57"/>
      <c r="K150" s="57"/>
      <c r="L150" s="57"/>
      <c r="M150" s="57"/>
      <c r="Q150">
        <f t="shared" si="17"/>
        <v>0</v>
      </c>
      <c r="R150">
        <f t="shared" si="18"/>
        <v>0</v>
      </c>
      <c r="S150">
        <f t="shared" si="19"/>
        <v>1</v>
      </c>
      <c r="T150">
        <f t="shared" si="20"/>
        <v>12</v>
      </c>
      <c r="U150">
        <f t="shared" si="21"/>
        <v>0</v>
      </c>
      <c r="V150">
        <f t="shared" si="22"/>
        <v>1</v>
      </c>
      <c r="Y150" t="str">
        <f t="shared" si="13"/>
        <v>Laos</v>
      </c>
      <c r="Z150" s="104" t="str">
        <f t="shared" si="14"/>
        <v/>
      </c>
      <c r="AA150" s="104">
        <f t="shared" si="15"/>
        <v>0.92307692307692313</v>
      </c>
      <c r="AB150" s="104">
        <f t="shared" si="16"/>
        <v>1</v>
      </c>
    </row>
    <row r="151" spans="1:28" x14ac:dyDescent="0.25">
      <c r="A151" s="55" t="s">
        <v>8444</v>
      </c>
      <c r="B151" s="57"/>
      <c r="C151" s="57"/>
      <c r="D151" s="57"/>
      <c r="E151" s="57">
        <v>1</v>
      </c>
      <c r="F151" s="57">
        <v>9</v>
      </c>
      <c r="G151" s="57"/>
      <c r="H151" s="57"/>
      <c r="I151" s="57">
        <v>6</v>
      </c>
      <c r="J151" s="57"/>
      <c r="K151" s="57"/>
      <c r="L151" s="57"/>
      <c r="M151" s="57"/>
      <c r="Q151">
        <f t="shared" si="17"/>
        <v>0</v>
      </c>
      <c r="R151">
        <f t="shared" si="18"/>
        <v>0</v>
      </c>
      <c r="S151">
        <f t="shared" si="19"/>
        <v>1</v>
      </c>
      <c r="T151">
        <f t="shared" si="20"/>
        <v>9</v>
      </c>
      <c r="U151">
        <f t="shared" si="21"/>
        <v>0</v>
      </c>
      <c r="V151">
        <f t="shared" si="22"/>
        <v>6</v>
      </c>
      <c r="Y151" t="str">
        <f t="shared" si="13"/>
        <v>Myanmar</v>
      </c>
      <c r="Z151" s="104" t="str">
        <f t="shared" si="14"/>
        <v/>
      </c>
      <c r="AA151" s="104">
        <f t="shared" si="15"/>
        <v>0.9</v>
      </c>
      <c r="AB151" s="104">
        <f t="shared" si="16"/>
        <v>1</v>
      </c>
    </row>
    <row r="152" spans="1:28" x14ac:dyDescent="0.25">
      <c r="A152" s="55" t="s">
        <v>8647</v>
      </c>
      <c r="B152" s="57"/>
      <c r="C152" s="57"/>
      <c r="D152" s="57"/>
      <c r="E152" s="57">
        <v>3</v>
      </c>
      <c r="F152" s="57">
        <v>12</v>
      </c>
      <c r="G152" s="57"/>
      <c r="H152" s="57">
        <v>2</v>
      </c>
      <c r="I152" s="57">
        <v>6</v>
      </c>
      <c r="J152" s="57"/>
      <c r="K152" s="57"/>
      <c r="L152" s="57"/>
      <c r="M152" s="57"/>
      <c r="Q152">
        <f t="shared" si="17"/>
        <v>0</v>
      </c>
      <c r="R152">
        <f t="shared" si="18"/>
        <v>0</v>
      </c>
      <c r="S152">
        <f t="shared" si="19"/>
        <v>3</v>
      </c>
      <c r="T152">
        <f t="shared" si="20"/>
        <v>12</v>
      </c>
      <c r="U152">
        <f t="shared" si="21"/>
        <v>2</v>
      </c>
      <c r="V152">
        <f t="shared" si="22"/>
        <v>6</v>
      </c>
      <c r="Y152" t="str">
        <f t="shared" si="13"/>
        <v>Nepal</v>
      </c>
      <c r="Z152" s="104" t="str">
        <f t="shared" si="14"/>
        <v/>
      </c>
      <c r="AA152" s="104">
        <f t="shared" si="15"/>
        <v>0.8</v>
      </c>
      <c r="AB152" s="104">
        <f t="shared" si="16"/>
        <v>0.75</v>
      </c>
    </row>
    <row r="153" spans="1:28" x14ac:dyDescent="0.25">
      <c r="A153" s="55" t="s">
        <v>9427</v>
      </c>
      <c r="B153" s="57"/>
      <c r="C153" s="57"/>
      <c r="D153" s="57"/>
      <c r="E153" s="57"/>
      <c r="F153" s="57">
        <v>3</v>
      </c>
      <c r="G153" s="57"/>
      <c r="H153" s="57"/>
      <c r="I153" s="57"/>
      <c r="J153" s="57"/>
      <c r="K153" s="57">
        <v>1</v>
      </c>
      <c r="L153" s="57">
        <v>1</v>
      </c>
      <c r="M153" s="57"/>
      <c r="Q153">
        <f t="shared" si="17"/>
        <v>0</v>
      </c>
      <c r="R153">
        <f t="shared" si="18"/>
        <v>0</v>
      </c>
      <c r="S153">
        <f t="shared" si="19"/>
        <v>0</v>
      </c>
      <c r="T153">
        <f t="shared" si="20"/>
        <v>3</v>
      </c>
      <c r="U153">
        <f t="shared" si="21"/>
        <v>0</v>
      </c>
      <c r="V153">
        <f t="shared" si="22"/>
        <v>0</v>
      </c>
      <c r="Y153" t="str">
        <f t="shared" si="13"/>
        <v>Pakistan</v>
      </c>
      <c r="Z153" s="104" t="str">
        <f t="shared" si="14"/>
        <v/>
      </c>
      <c r="AA153" s="104">
        <f t="shared" si="15"/>
        <v>1</v>
      </c>
      <c r="AB153" s="104" t="str">
        <f t="shared" si="16"/>
        <v/>
      </c>
    </row>
    <row r="154" spans="1:28" x14ac:dyDescent="0.25">
      <c r="A154" s="55" t="s">
        <v>9516</v>
      </c>
      <c r="B154" s="57"/>
      <c r="C154" s="57"/>
      <c r="D154" s="57"/>
      <c r="E154" s="57"/>
      <c r="F154" s="57">
        <v>4</v>
      </c>
      <c r="G154" s="57"/>
      <c r="H154" s="57">
        <v>2</v>
      </c>
      <c r="I154" s="57">
        <v>5</v>
      </c>
      <c r="J154" s="57"/>
      <c r="K154" s="57"/>
      <c r="L154" s="57"/>
      <c r="M154" s="57"/>
      <c r="Q154">
        <f t="shared" si="17"/>
        <v>0</v>
      </c>
      <c r="R154">
        <f t="shared" si="18"/>
        <v>0</v>
      </c>
      <c r="S154">
        <f t="shared" si="19"/>
        <v>0</v>
      </c>
      <c r="T154">
        <f t="shared" si="20"/>
        <v>4</v>
      </c>
      <c r="U154">
        <f t="shared" si="21"/>
        <v>2</v>
      </c>
      <c r="V154">
        <f t="shared" si="22"/>
        <v>5</v>
      </c>
      <c r="Y154" t="str">
        <f t="shared" si="13"/>
        <v>Papua New Guinea</v>
      </c>
      <c r="Z154" s="104" t="str">
        <f t="shared" si="14"/>
        <v/>
      </c>
      <c r="AA154" s="104">
        <f t="shared" si="15"/>
        <v>1</v>
      </c>
      <c r="AB154" s="104">
        <f t="shared" si="16"/>
        <v>0.7142857142857143</v>
      </c>
    </row>
    <row r="155" spans="1:28" x14ac:dyDescent="0.25">
      <c r="A155" s="55" t="s">
        <v>10263</v>
      </c>
      <c r="B155" s="57"/>
      <c r="C155" s="57"/>
      <c r="D155" s="57"/>
      <c r="E155" s="57"/>
      <c r="F155" s="57">
        <v>3</v>
      </c>
      <c r="G155" s="57"/>
      <c r="H155" s="57"/>
      <c r="I155" s="57">
        <v>2</v>
      </c>
      <c r="J155" s="57"/>
      <c r="K155" s="57"/>
      <c r="L155" s="57"/>
      <c r="M155" s="57"/>
      <c r="Q155">
        <f t="shared" si="17"/>
        <v>0</v>
      </c>
      <c r="R155">
        <f t="shared" si="18"/>
        <v>0</v>
      </c>
      <c r="S155">
        <f t="shared" si="19"/>
        <v>0</v>
      </c>
      <c r="T155">
        <f t="shared" si="20"/>
        <v>3</v>
      </c>
      <c r="U155">
        <f t="shared" si="21"/>
        <v>0</v>
      </c>
      <c r="V155">
        <f t="shared" si="22"/>
        <v>2</v>
      </c>
      <c r="Y155" t="str">
        <f t="shared" si="13"/>
        <v>Philippines</v>
      </c>
      <c r="Z155" s="104" t="str">
        <f t="shared" si="14"/>
        <v/>
      </c>
      <c r="AA155" s="104">
        <f t="shared" si="15"/>
        <v>1</v>
      </c>
      <c r="AB155" s="104">
        <f t="shared" si="16"/>
        <v>1</v>
      </c>
    </row>
    <row r="156" spans="1:28" x14ac:dyDescent="0.25">
      <c r="A156" s="55" t="s">
        <v>11304</v>
      </c>
      <c r="B156" s="57"/>
      <c r="C156" s="57"/>
      <c r="D156" s="57"/>
      <c r="E156" s="57"/>
      <c r="F156" s="57">
        <v>6</v>
      </c>
      <c r="G156" s="57"/>
      <c r="H156" s="57"/>
      <c r="I156" s="57">
        <v>1</v>
      </c>
      <c r="J156" s="57"/>
      <c r="K156" s="57"/>
      <c r="L156" s="57"/>
      <c r="M156" s="57"/>
      <c r="Q156">
        <f t="shared" si="17"/>
        <v>0</v>
      </c>
      <c r="R156">
        <f t="shared" si="18"/>
        <v>0</v>
      </c>
      <c r="S156">
        <f t="shared" si="19"/>
        <v>0</v>
      </c>
      <c r="T156">
        <f t="shared" si="20"/>
        <v>6</v>
      </c>
      <c r="U156">
        <f t="shared" si="21"/>
        <v>0</v>
      </c>
      <c r="V156">
        <f t="shared" si="22"/>
        <v>1</v>
      </c>
      <c r="Y156" t="str">
        <f t="shared" si="13"/>
        <v>Sri Lanka</v>
      </c>
      <c r="Z156" s="104" t="str">
        <f t="shared" si="14"/>
        <v/>
      </c>
      <c r="AA156" s="104">
        <f t="shared" si="15"/>
        <v>1</v>
      </c>
      <c r="AB156" s="104">
        <f t="shared" si="16"/>
        <v>1</v>
      </c>
    </row>
    <row r="157" spans="1:28" x14ac:dyDescent="0.25">
      <c r="A157" s="55" t="s">
        <v>12294</v>
      </c>
      <c r="B157" s="57"/>
      <c r="C157" s="57"/>
      <c r="D157" s="57"/>
      <c r="E157" s="57">
        <v>1</v>
      </c>
      <c r="F157" s="57">
        <v>14</v>
      </c>
      <c r="G157" s="57"/>
      <c r="H157" s="57"/>
      <c r="I157" s="57">
        <v>7</v>
      </c>
      <c r="J157" s="57"/>
      <c r="K157" s="57"/>
      <c r="L157" s="57"/>
      <c r="M157" s="57"/>
      <c r="Q157">
        <f t="shared" si="17"/>
        <v>0</v>
      </c>
      <c r="R157">
        <f t="shared" si="18"/>
        <v>0</v>
      </c>
      <c r="S157">
        <f t="shared" si="19"/>
        <v>1</v>
      </c>
      <c r="T157">
        <f t="shared" si="20"/>
        <v>14</v>
      </c>
      <c r="U157">
        <f t="shared" si="21"/>
        <v>0</v>
      </c>
      <c r="V157">
        <f t="shared" si="22"/>
        <v>7</v>
      </c>
      <c r="Y157" t="str">
        <f t="shared" si="13"/>
        <v>Thailand</v>
      </c>
      <c r="Z157" s="104" t="str">
        <f t="shared" si="14"/>
        <v/>
      </c>
      <c r="AA157" s="104">
        <f t="shared" si="15"/>
        <v>0.93333333333333335</v>
      </c>
      <c r="AB157" s="104">
        <f t="shared" si="16"/>
        <v>1</v>
      </c>
    </row>
    <row r="158" spans="1:28" x14ac:dyDescent="0.25">
      <c r="A158" s="55" t="s">
        <v>12547</v>
      </c>
      <c r="B158" s="57"/>
      <c r="C158" s="57"/>
      <c r="D158" s="57"/>
      <c r="E158" s="57">
        <v>2</v>
      </c>
      <c r="F158" s="57">
        <v>2</v>
      </c>
      <c r="G158" s="57"/>
      <c r="H158" s="57"/>
      <c r="I158" s="57">
        <v>2</v>
      </c>
      <c r="J158" s="57"/>
      <c r="K158" s="57"/>
      <c r="L158" s="57"/>
      <c r="M158" s="57"/>
      <c r="Q158">
        <f t="shared" si="17"/>
        <v>0</v>
      </c>
      <c r="R158">
        <f t="shared" si="18"/>
        <v>0</v>
      </c>
      <c r="S158">
        <f t="shared" si="19"/>
        <v>2</v>
      </c>
      <c r="T158">
        <f t="shared" si="20"/>
        <v>2</v>
      </c>
      <c r="U158">
        <f t="shared" si="21"/>
        <v>0</v>
      </c>
      <c r="V158">
        <f t="shared" si="22"/>
        <v>2</v>
      </c>
      <c r="Y158" t="str">
        <f t="shared" si="13"/>
        <v>Timor-Leste</v>
      </c>
      <c r="Z158" s="104" t="str">
        <f t="shared" si="14"/>
        <v/>
      </c>
      <c r="AA158" s="104">
        <f t="shared" si="15"/>
        <v>0.5</v>
      </c>
      <c r="AB158" s="104">
        <f t="shared" si="16"/>
        <v>1</v>
      </c>
    </row>
    <row r="159" spans="1:28" x14ac:dyDescent="0.25">
      <c r="A159" s="55" t="s">
        <v>13272</v>
      </c>
      <c r="B159" s="57"/>
      <c r="C159" s="57"/>
      <c r="D159" s="57"/>
      <c r="E159" s="57"/>
      <c r="F159" s="57"/>
      <c r="G159" s="57"/>
      <c r="H159" s="57"/>
      <c r="I159" s="57">
        <v>8</v>
      </c>
      <c r="J159" s="57"/>
      <c r="K159" s="57"/>
      <c r="L159" s="57"/>
      <c r="M159" s="57"/>
      <c r="Q159">
        <f t="shared" si="17"/>
        <v>0</v>
      </c>
      <c r="R159">
        <f t="shared" si="18"/>
        <v>0</v>
      </c>
      <c r="S159">
        <f t="shared" si="19"/>
        <v>0</v>
      </c>
      <c r="T159">
        <f t="shared" si="20"/>
        <v>0</v>
      </c>
      <c r="U159">
        <f t="shared" si="21"/>
        <v>0</v>
      </c>
      <c r="V159">
        <f t="shared" si="22"/>
        <v>8</v>
      </c>
      <c r="Y159" t="str">
        <f t="shared" si="13"/>
        <v>Vanuatu</v>
      </c>
      <c r="Z159" s="104" t="str">
        <f t="shared" si="14"/>
        <v/>
      </c>
      <c r="AA159" s="104" t="str">
        <f t="shared" si="15"/>
        <v/>
      </c>
      <c r="AB159" s="104">
        <f t="shared" si="16"/>
        <v>1</v>
      </c>
    </row>
    <row r="160" spans="1:28" x14ac:dyDescent="0.25">
      <c r="A160" s="55" t="s">
        <v>13409</v>
      </c>
      <c r="B160" s="57"/>
      <c r="C160" s="57"/>
      <c r="D160" s="57"/>
      <c r="E160" s="57">
        <v>2</v>
      </c>
      <c r="F160" s="57">
        <v>4</v>
      </c>
      <c r="G160" s="57"/>
      <c r="H160" s="57"/>
      <c r="I160" s="57">
        <v>11</v>
      </c>
      <c r="J160" s="57"/>
      <c r="K160" s="57"/>
      <c r="L160" s="57"/>
      <c r="M160" s="57"/>
      <c r="Q160">
        <f t="shared" si="17"/>
        <v>0</v>
      </c>
      <c r="R160">
        <f t="shared" si="18"/>
        <v>0</v>
      </c>
      <c r="S160">
        <f t="shared" si="19"/>
        <v>2</v>
      </c>
      <c r="T160">
        <f t="shared" si="20"/>
        <v>4</v>
      </c>
      <c r="U160">
        <f t="shared" si="21"/>
        <v>0</v>
      </c>
      <c r="V160">
        <f t="shared" si="22"/>
        <v>11</v>
      </c>
      <c r="Y160" t="str">
        <f t="shared" si="13"/>
        <v>Vietnam</v>
      </c>
      <c r="Z160" s="104" t="str">
        <f t="shared" si="14"/>
        <v/>
      </c>
      <c r="AA160" s="104">
        <f t="shared" si="15"/>
        <v>0.66666666666666663</v>
      </c>
      <c r="AB160" s="104">
        <f t="shared" si="16"/>
        <v>1</v>
      </c>
    </row>
    <row r="161" spans="1:28" x14ac:dyDescent="0.25">
      <c r="A161" s="50" t="s">
        <v>14279</v>
      </c>
      <c r="B161" s="57"/>
      <c r="C161" s="57"/>
      <c r="D161" s="57"/>
      <c r="E161" s="57">
        <v>11</v>
      </c>
      <c r="F161" s="57">
        <v>140</v>
      </c>
      <c r="G161" s="57"/>
      <c r="H161" s="57">
        <v>8</v>
      </c>
      <c r="I161" s="57">
        <v>97</v>
      </c>
      <c r="J161" s="57"/>
      <c r="K161" s="57">
        <v>1</v>
      </c>
      <c r="L161" s="57">
        <v>1</v>
      </c>
      <c r="M161" s="57"/>
      <c r="Q161">
        <f t="shared" si="17"/>
        <v>0</v>
      </c>
      <c r="R161">
        <f t="shared" si="18"/>
        <v>0</v>
      </c>
      <c r="S161">
        <f t="shared" si="19"/>
        <v>11</v>
      </c>
      <c r="T161">
        <f t="shared" si="20"/>
        <v>140</v>
      </c>
      <c r="U161">
        <f t="shared" si="21"/>
        <v>8</v>
      </c>
      <c r="V161">
        <f t="shared" si="22"/>
        <v>97</v>
      </c>
      <c r="Y161" t="str">
        <f t="shared" si="13"/>
        <v>Asia and the Pacific Total</v>
      </c>
      <c r="Z161" s="104" t="str">
        <f t="shared" si="14"/>
        <v/>
      </c>
      <c r="AA161" s="104">
        <f t="shared" si="15"/>
        <v>0.92715231788079466</v>
      </c>
      <c r="AB161" s="104">
        <f t="shared" si="16"/>
        <v>0.92380952380952386</v>
      </c>
    </row>
    <row r="162" spans="1:28" x14ac:dyDescent="0.25">
      <c r="A162" s="50" t="s">
        <v>2807</v>
      </c>
      <c r="B162" s="57"/>
      <c r="C162" s="57"/>
      <c r="D162" s="57"/>
      <c r="E162" s="57"/>
      <c r="F162" s="57"/>
      <c r="G162" s="57"/>
      <c r="H162" s="57"/>
      <c r="I162" s="57"/>
      <c r="J162" s="57"/>
      <c r="K162" s="57"/>
      <c r="L162" s="57"/>
      <c r="M162" s="57"/>
      <c r="Q162">
        <f t="shared" si="17"/>
        <v>0</v>
      </c>
      <c r="R162">
        <f t="shared" si="18"/>
        <v>0</v>
      </c>
      <c r="S162">
        <f t="shared" si="19"/>
        <v>0</v>
      </c>
      <c r="T162">
        <f t="shared" si="20"/>
        <v>0</v>
      </c>
      <c r="U162">
        <f t="shared" si="21"/>
        <v>0</v>
      </c>
      <c r="V162">
        <f t="shared" si="22"/>
        <v>0</v>
      </c>
      <c r="Y162" t="str">
        <f t="shared" si="13"/>
        <v>Latin America and the Caribbean</v>
      </c>
      <c r="Z162" s="104" t="str">
        <f t="shared" si="14"/>
        <v/>
      </c>
      <c r="AA162" s="104" t="str">
        <f t="shared" si="15"/>
        <v/>
      </c>
      <c r="AB162" s="104" t="str">
        <f t="shared" si="16"/>
        <v/>
      </c>
    </row>
    <row r="163" spans="1:28" x14ac:dyDescent="0.25">
      <c r="A163" s="55" t="s">
        <v>2806</v>
      </c>
      <c r="B163" s="57"/>
      <c r="C163" s="57"/>
      <c r="D163" s="57"/>
      <c r="E163" s="57"/>
      <c r="F163" s="57"/>
      <c r="G163" s="57"/>
      <c r="H163" s="57"/>
      <c r="I163" s="57">
        <v>1</v>
      </c>
      <c r="J163" s="57"/>
      <c r="K163" s="57"/>
      <c r="L163" s="57"/>
      <c r="M163" s="57"/>
      <c r="Q163">
        <f t="shared" si="17"/>
        <v>0</v>
      </c>
      <c r="R163">
        <f t="shared" si="18"/>
        <v>0</v>
      </c>
      <c r="S163">
        <f t="shared" si="19"/>
        <v>0</v>
      </c>
      <c r="T163">
        <f t="shared" si="20"/>
        <v>0</v>
      </c>
      <c r="U163">
        <f t="shared" si="21"/>
        <v>0</v>
      </c>
      <c r="V163">
        <f t="shared" si="22"/>
        <v>1</v>
      </c>
      <c r="Y163" t="str">
        <f t="shared" si="13"/>
        <v>Colombia</v>
      </c>
      <c r="Z163" s="104" t="str">
        <f t="shared" si="14"/>
        <v/>
      </c>
      <c r="AA163" s="104" t="str">
        <f t="shared" si="15"/>
        <v/>
      </c>
      <c r="AB163" s="104">
        <f t="shared" si="16"/>
        <v>1</v>
      </c>
    </row>
    <row r="164" spans="1:28" x14ac:dyDescent="0.25">
      <c r="A164" s="55" t="s">
        <v>2931</v>
      </c>
      <c r="B164" s="57"/>
      <c r="C164" s="57"/>
      <c r="D164" s="57"/>
      <c r="E164" s="57"/>
      <c r="F164" s="57"/>
      <c r="G164" s="57"/>
      <c r="H164" s="57"/>
      <c r="I164" s="57">
        <v>1</v>
      </c>
      <c r="J164" s="57"/>
      <c r="K164" s="57"/>
      <c r="L164" s="57"/>
      <c r="M164" s="57"/>
      <c r="Q164">
        <f t="shared" si="17"/>
        <v>0</v>
      </c>
      <c r="R164">
        <f t="shared" si="18"/>
        <v>0</v>
      </c>
      <c r="S164">
        <f t="shared" si="19"/>
        <v>0</v>
      </c>
      <c r="T164">
        <f t="shared" si="20"/>
        <v>0</v>
      </c>
      <c r="U164">
        <f t="shared" si="21"/>
        <v>0</v>
      </c>
      <c r="V164">
        <f t="shared" si="22"/>
        <v>1</v>
      </c>
      <c r="Y164" t="str">
        <f t="shared" si="13"/>
        <v>Costa Rica</v>
      </c>
      <c r="Z164" s="104" t="str">
        <f t="shared" si="14"/>
        <v/>
      </c>
      <c r="AA164" s="104" t="str">
        <f t="shared" si="15"/>
        <v/>
      </c>
      <c r="AB164" s="104">
        <f t="shared" si="16"/>
        <v>1</v>
      </c>
    </row>
    <row r="165" spans="1:28" x14ac:dyDescent="0.25">
      <c r="A165" s="55" t="s">
        <v>3148</v>
      </c>
      <c r="B165" s="57"/>
      <c r="C165" s="57"/>
      <c r="D165" s="57"/>
      <c r="E165" s="57"/>
      <c r="F165" s="57">
        <v>1</v>
      </c>
      <c r="G165" s="57">
        <v>3</v>
      </c>
      <c r="H165" s="57"/>
      <c r="I165" s="57">
        <v>1</v>
      </c>
      <c r="J165" s="57"/>
      <c r="K165" s="57"/>
      <c r="L165" s="57"/>
      <c r="M165" s="57"/>
      <c r="Q165">
        <f t="shared" si="17"/>
        <v>0</v>
      </c>
      <c r="R165">
        <f t="shared" si="18"/>
        <v>0</v>
      </c>
      <c r="S165">
        <f t="shared" si="19"/>
        <v>0</v>
      </c>
      <c r="T165">
        <f t="shared" si="20"/>
        <v>1</v>
      </c>
      <c r="U165">
        <f t="shared" si="21"/>
        <v>0</v>
      </c>
      <c r="V165">
        <f t="shared" si="22"/>
        <v>1</v>
      </c>
      <c r="Y165" t="str">
        <f t="shared" si="13"/>
        <v>Cuba</v>
      </c>
      <c r="Z165" s="104" t="str">
        <f t="shared" si="14"/>
        <v/>
      </c>
      <c r="AA165" s="104">
        <f t="shared" si="15"/>
        <v>1</v>
      </c>
      <c r="AB165" s="104">
        <f t="shared" si="16"/>
        <v>1</v>
      </c>
    </row>
    <row r="166" spans="1:28" x14ac:dyDescent="0.25">
      <c r="A166" s="55" t="s">
        <v>3261</v>
      </c>
      <c r="B166" s="57"/>
      <c r="C166" s="57"/>
      <c r="D166" s="57"/>
      <c r="E166" s="57"/>
      <c r="F166" s="57"/>
      <c r="G166" s="57"/>
      <c r="H166" s="57"/>
      <c r="I166" s="57"/>
      <c r="J166" s="57"/>
      <c r="K166" s="57"/>
      <c r="L166" s="57"/>
      <c r="M166" s="57"/>
      <c r="Q166">
        <f t="shared" si="17"/>
        <v>0</v>
      </c>
      <c r="R166">
        <f t="shared" si="18"/>
        <v>0</v>
      </c>
      <c r="S166">
        <f t="shared" si="19"/>
        <v>0</v>
      </c>
      <c r="T166">
        <f t="shared" si="20"/>
        <v>0</v>
      </c>
      <c r="U166">
        <f t="shared" si="21"/>
        <v>0</v>
      </c>
      <c r="V166">
        <f t="shared" si="22"/>
        <v>0</v>
      </c>
      <c r="Y166" t="str">
        <f t="shared" si="13"/>
        <v>Dominican Republic</v>
      </c>
      <c r="Z166" s="104" t="str">
        <f t="shared" si="14"/>
        <v/>
      </c>
      <c r="AA166" s="104" t="str">
        <f t="shared" si="15"/>
        <v/>
      </c>
      <c r="AB166" s="104" t="str">
        <f t="shared" si="16"/>
        <v/>
      </c>
    </row>
    <row r="167" spans="1:28" x14ac:dyDescent="0.25">
      <c r="A167" s="55" t="s">
        <v>3272</v>
      </c>
      <c r="B167" s="57"/>
      <c r="C167" s="57"/>
      <c r="D167" s="57"/>
      <c r="E167" s="57">
        <v>4</v>
      </c>
      <c r="F167" s="57">
        <v>10</v>
      </c>
      <c r="G167" s="57"/>
      <c r="H167" s="57"/>
      <c r="I167" s="57">
        <v>4</v>
      </c>
      <c r="J167" s="57"/>
      <c r="K167" s="57"/>
      <c r="L167" s="57"/>
      <c r="M167" s="57"/>
      <c r="Q167">
        <f t="shared" si="17"/>
        <v>0</v>
      </c>
      <c r="R167">
        <f t="shared" si="18"/>
        <v>0</v>
      </c>
      <c r="S167">
        <f t="shared" si="19"/>
        <v>4</v>
      </c>
      <c r="T167">
        <f t="shared" si="20"/>
        <v>10</v>
      </c>
      <c r="U167">
        <f t="shared" si="21"/>
        <v>0</v>
      </c>
      <c r="V167">
        <f t="shared" si="22"/>
        <v>4</v>
      </c>
      <c r="Y167" t="str">
        <f t="shared" si="13"/>
        <v>Ecuador</v>
      </c>
      <c r="Z167" s="104" t="str">
        <f t="shared" si="14"/>
        <v/>
      </c>
      <c r="AA167" s="104">
        <f t="shared" si="15"/>
        <v>0.7142857142857143</v>
      </c>
      <c r="AB167" s="104">
        <f t="shared" si="16"/>
        <v>1</v>
      </c>
    </row>
    <row r="168" spans="1:28" x14ac:dyDescent="0.25">
      <c r="A168" s="55" t="s">
        <v>4777</v>
      </c>
      <c r="B168" s="57"/>
      <c r="C168" s="57"/>
      <c r="D168" s="57"/>
      <c r="E168" s="57"/>
      <c r="F168" s="57">
        <v>8</v>
      </c>
      <c r="G168" s="57"/>
      <c r="H168" s="57"/>
      <c r="I168" s="57">
        <v>7</v>
      </c>
      <c r="J168" s="57"/>
      <c r="K168" s="57"/>
      <c r="L168" s="57"/>
      <c r="M168" s="57"/>
      <c r="Q168">
        <f t="shared" si="17"/>
        <v>0</v>
      </c>
      <c r="R168">
        <f t="shared" si="18"/>
        <v>0</v>
      </c>
      <c r="S168">
        <f t="shared" si="19"/>
        <v>0</v>
      </c>
      <c r="T168">
        <f t="shared" si="20"/>
        <v>8</v>
      </c>
      <c r="U168">
        <f t="shared" si="21"/>
        <v>0</v>
      </c>
      <c r="V168">
        <f t="shared" si="22"/>
        <v>7</v>
      </c>
      <c r="Y168" t="str">
        <f t="shared" si="13"/>
        <v>Guatemala</v>
      </c>
      <c r="Z168" s="104" t="str">
        <f t="shared" si="14"/>
        <v/>
      </c>
      <c r="AA168" s="104">
        <f t="shared" si="15"/>
        <v>1</v>
      </c>
      <c r="AB168" s="104">
        <f t="shared" si="16"/>
        <v>1</v>
      </c>
    </row>
    <row r="169" spans="1:28" x14ac:dyDescent="0.25">
      <c r="A169" s="55" t="s">
        <v>5061</v>
      </c>
      <c r="B169" s="57"/>
      <c r="C169" s="57"/>
      <c r="D169" s="57"/>
      <c r="E169" s="57"/>
      <c r="F169" s="57">
        <v>7</v>
      </c>
      <c r="G169" s="57"/>
      <c r="H169" s="57"/>
      <c r="I169" s="57">
        <v>1</v>
      </c>
      <c r="J169" s="57"/>
      <c r="K169" s="57"/>
      <c r="L169" s="57"/>
      <c r="M169" s="57"/>
      <c r="Q169">
        <f t="shared" si="17"/>
        <v>0</v>
      </c>
      <c r="R169">
        <f t="shared" si="18"/>
        <v>0</v>
      </c>
      <c r="S169">
        <f t="shared" si="19"/>
        <v>0</v>
      </c>
      <c r="T169">
        <f t="shared" si="20"/>
        <v>7</v>
      </c>
      <c r="U169">
        <f t="shared" si="21"/>
        <v>0</v>
      </c>
      <c r="V169">
        <f t="shared" si="22"/>
        <v>1</v>
      </c>
      <c r="Y169" t="str">
        <f t="shared" si="13"/>
        <v>Haiti</v>
      </c>
      <c r="Z169" s="104" t="str">
        <f t="shared" si="14"/>
        <v/>
      </c>
      <c r="AA169" s="104">
        <f t="shared" si="15"/>
        <v>1</v>
      </c>
      <c r="AB169" s="104">
        <f t="shared" si="16"/>
        <v>1</v>
      </c>
    </row>
    <row r="170" spans="1:28" x14ac:dyDescent="0.25">
      <c r="A170" s="55" t="s">
        <v>5190</v>
      </c>
      <c r="B170" s="57"/>
      <c r="C170" s="57"/>
      <c r="D170" s="57"/>
      <c r="E170" s="57"/>
      <c r="F170" s="57">
        <v>4</v>
      </c>
      <c r="G170" s="57"/>
      <c r="H170" s="57"/>
      <c r="I170" s="57">
        <v>3</v>
      </c>
      <c r="J170" s="57"/>
      <c r="K170" s="57"/>
      <c r="L170" s="57"/>
      <c r="M170" s="57"/>
      <c r="Q170">
        <f t="shared" si="17"/>
        <v>0</v>
      </c>
      <c r="R170">
        <f t="shared" si="18"/>
        <v>0</v>
      </c>
      <c r="S170">
        <f t="shared" si="19"/>
        <v>0</v>
      </c>
      <c r="T170">
        <f t="shared" si="20"/>
        <v>4</v>
      </c>
      <c r="U170">
        <f t="shared" si="21"/>
        <v>0</v>
      </c>
      <c r="V170">
        <f t="shared" si="22"/>
        <v>3</v>
      </c>
      <c r="Y170" t="str">
        <f t="shared" si="13"/>
        <v>Honduras</v>
      </c>
      <c r="Z170" s="104" t="str">
        <f t="shared" si="14"/>
        <v/>
      </c>
      <c r="AA170" s="104">
        <f t="shared" si="15"/>
        <v>1</v>
      </c>
      <c r="AB170" s="104">
        <f t="shared" si="16"/>
        <v>1</v>
      </c>
    </row>
    <row r="171" spans="1:28" x14ac:dyDescent="0.25">
      <c r="A171" s="55" t="s">
        <v>8138</v>
      </c>
      <c r="B171" s="57"/>
      <c r="C171" s="57"/>
      <c r="D171" s="57"/>
      <c r="E171" s="57"/>
      <c r="F171" s="57"/>
      <c r="G171" s="57"/>
      <c r="H171" s="57"/>
      <c r="I171" s="57">
        <v>1</v>
      </c>
      <c r="J171" s="57"/>
      <c r="K171" s="57"/>
      <c r="L171" s="57"/>
      <c r="M171" s="57"/>
      <c r="Q171">
        <f t="shared" si="17"/>
        <v>0</v>
      </c>
      <c r="R171">
        <f t="shared" si="18"/>
        <v>0</v>
      </c>
      <c r="S171">
        <f t="shared" si="19"/>
        <v>0</v>
      </c>
      <c r="T171">
        <f t="shared" si="20"/>
        <v>0</v>
      </c>
      <c r="U171">
        <f t="shared" si="21"/>
        <v>0</v>
      </c>
      <c r="V171">
        <f t="shared" si="22"/>
        <v>1</v>
      </c>
      <c r="Y171" t="str">
        <f t="shared" si="13"/>
        <v>Mexico</v>
      </c>
      <c r="Z171" s="104" t="str">
        <f t="shared" si="14"/>
        <v/>
      </c>
      <c r="AA171" s="104" t="str">
        <f t="shared" si="15"/>
        <v/>
      </c>
      <c r="AB171" s="104">
        <f t="shared" si="16"/>
        <v>1</v>
      </c>
    </row>
    <row r="172" spans="1:28" x14ac:dyDescent="0.25">
      <c r="A172" s="55" t="s">
        <v>9042</v>
      </c>
      <c r="B172" s="57"/>
      <c r="C172" s="57"/>
      <c r="D172" s="57"/>
      <c r="E172" s="57"/>
      <c r="F172" s="57"/>
      <c r="G172" s="57"/>
      <c r="H172" s="57"/>
      <c r="I172" s="57">
        <v>1</v>
      </c>
      <c r="J172" s="57"/>
      <c r="K172" s="57"/>
      <c r="L172" s="57"/>
      <c r="M172" s="57"/>
      <c r="Q172">
        <f t="shared" si="17"/>
        <v>0</v>
      </c>
      <c r="R172">
        <f t="shared" si="18"/>
        <v>0</v>
      </c>
      <c r="S172">
        <f t="shared" si="19"/>
        <v>0</v>
      </c>
      <c r="T172">
        <f t="shared" si="20"/>
        <v>0</v>
      </c>
      <c r="U172">
        <f t="shared" si="21"/>
        <v>0</v>
      </c>
      <c r="V172">
        <f t="shared" si="22"/>
        <v>1</v>
      </c>
      <c r="Y172" t="str">
        <f t="shared" si="13"/>
        <v>Nicaragua</v>
      </c>
      <c r="Z172" s="104" t="str">
        <f t="shared" si="14"/>
        <v/>
      </c>
      <c r="AA172" s="104" t="str">
        <f t="shared" si="15"/>
        <v/>
      </c>
      <c r="AB172" s="104">
        <f t="shared" si="16"/>
        <v>1</v>
      </c>
    </row>
    <row r="173" spans="1:28" x14ac:dyDescent="0.25">
      <c r="A173" s="55" t="s">
        <v>9514</v>
      </c>
      <c r="B173" s="57"/>
      <c r="C173" s="57"/>
      <c r="D173" s="57"/>
      <c r="E173" s="57"/>
      <c r="F173" s="57"/>
      <c r="G173" s="57"/>
      <c r="H173" s="57"/>
      <c r="I173" s="57"/>
      <c r="J173" s="57"/>
      <c r="K173" s="57"/>
      <c r="L173" s="57"/>
      <c r="M173" s="57"/>
      <c r="Q173">
        <f t="shared" si="17"/>
        <v>0</v>
      </c>
      <c r="R173">
        <f t="shared" si="18"/>
        <v>0</v>
      </c>
      <c r="S173">
        <f t="shared" si="19"/>
        <v>0</v>
      </c>
      <c r="T173">
        <f t="shared" si="20"/>
        <v>0</v>
      </c>
      <c r="U173">
        <f t="shared" si="21"/>
        <v>0</v>
      </c>
      <c r="V173">
        <f t="shared" si="22"/>
        <v>0</v>
      </c>
      <c r="Y173" t="str">
        <f t="shared" si="13"/>
        <v>Panama</v>
      </c>
      <c r="Z173" s="104" t="str">
        <f t="shared" si="14"/>
        <v/>
      </c>
      <c r="AA173" s="104" t="str">
        <f t="shared" si="15"/>
        <v/>
      </c>
      <c r="AB173" s="104" t="str">
        <f t="shared" si="16"/>
        <v/>
      </c>
    </row>
    <row r="174" spans="1:28" x14ac:dyDescent="0.25">
      <c r="A174" s="55" t="s">
        <v>9706</v>
      </c>
      <c r="B174" s="57"/>
      <c r="C174" s="57"/>
      <c r="D174" s="57"/>
      <c r="E174" s="57">
        <v>2</v>
      </c>
      <c r="F174" s="57">
        <v>29</v>
      </c>
      <c r="G174" s="57">
        <v>1</v>
      </c>
      <c r="H174" s="57">
        <v>1</v>
      </c>
      <c r="I174" s="57">
        <v>1</v>
      </c>
      <c r="J174" s="57"/>
      <c r="K174" s="57"/>
      <c r="L174" s="57"/>
      <c r="M174" s="57"/>
      <c r="Q174">
        <f t="shared" si="17"/>
        <v>0</v>
      </c>
      <c r="R174">
        <f t="shared" si="18"/>
        <v>0</v>
      </c>
      <c r="S174">
        <f t="shared" si="19"/>
        <v>2</v>
      </c>
      <c r="T174">
        <f t="shared" si="20"/>
        <v>29</v>
      </c>
      <c r="U174">
        <f t="shared" si="21"/>
        <v>1</v>
      </c>
      <c r="V174">
        <f t="shared" si="22"/>
        <v>1</v>
      </c>
      <c r="Y174" t="str">
        <f t="shared" si="13"/>
        <v>Peru</v>
      </c>
      <c r="Z174" s="104" t="str">
        <f t="shared" si="14"/>
        <v/>
      </c>
      <c r="AA174" s="104">
        <f t="shared" si="15"/>
        <v>0.93548387096774188</v>
      </c>
      <c r="AB174" s="104">
        <f t="shared" si="16"/>
        <v>0.5</v>
      </c>
    </row>
    <row r="175" spans="1:28" x14ac:dyDescent="0.25">
      <c r="A175" s="50" t="s">
        <v>14280</v>
      </c>
      <c r="B175" s="57"/>
      <c r="C175" s="57"/>
      <c r="D175" s="57"/>
      <c r="E175" s="57">
        <v>6</v>
      </c>
      <c r="F175" s="57">
        <v>59</v>
      </c>
      <c r="G175" s="57">
        <v>4</v>
      </c>
      <c r="H175" s="57">
        <v>1</v>
      </c>
      <c r="I175" s="57">
        <v>21</v>
      </c>
      <c r="J175" s="57"/>
      <c r="K175" s="57"/>
      <c r="L175" s="57"/>
      <c r="M175" s="57"/>
      <c r="Q175">
        <f t="shared" si="17"/>
        <v>0</v>
      </c>
      <c r="R175">
        <f t="shared" si="18"/>
        <v>0</v>
      </c>
      <c r="S175">
        <f t="shared" si="19"/>
        <v>6</v>
      </c>
      <c r="T175">
        <f t="shared" si="20"/>
        <v>59</v>
      </c>
      <c r="U175">
        <f t="shared" si="21"/>
        <v>1</v>
      </c>
      <c r="V175">
        <f t="shared" si="22"/>
        <v>21</v>
      </c>
      <c r="Y175" t="str">
        <f t="shared" si="13"/>
        <v>Latin America and the Caribbean Total</v>
      </c>
      <c r="Z175" s="104" t="str">
        <f t="shared" si="14"/>
        <v/>
      </c>
      <c r="AA175" s="104">
        <f t="shared" si="15"/>
        <v>0.90769230769230769</v>
      </c>
      <c r="AB175" s="104">
        <f t="shared" si="16"/>
        <v>0.95454545454545459</v>
      </c>
    </row>
    <row r="176" spans="1:28" x14ac:dyDescent="0.25">
      <c r="A176" s="50" t="s">
        <v>602</v>
      </c>
      <c r="B176" s="57"/>
      <c r="C176" s="57"/>
      <c r="D176" s="57"/>
      <c r="E176" s="57"/>
      <c r="F176" s="57"/>
      <c r="G176" s="57"/>
      <c r="H176" s="57"/>
      <c r="I176" s="57"/>
      <c r="J176" s="57"/>
      <c r="K176" s="57"/>
      <c r="L176" s="57"/>
      <c r="M176" s="57"/>
      <c r="Q176">
        <f t="shared" si="17"/>
        <v>0</v>
      </c>
      <c r="R176">
        <f t="shared" si="18"/>
        <v>0</v>
      </c>
      <c r="S176">
        <f t="shared" si="19"/>
        <v>0</v>
      </c>
      <c r="T176">
        <f t="shared" si="20"/>
        <v>0</v>
      </c>
      <c r="U176">
        <f t="shared" si="21"/>
        <v>0</v>
      </c>
      <c r="V176">
        <f t="shared" si="22"/>
        <v>0</v>
      </c>
      <c r="Y176" t="str">
        <f t="shared" si="13"/>
        <v>Middle East, North Africa and Europe</v>
      </c>
      <c r="Z176" s="104" t="str">
        <f t="shared" si="14"/>
        <v/>
      </c>
      <c r="AA176" s="104" t="str">
        <f t="shared" si="15"/>
        <v/>
      </c>
      <c r="AB176" s="104" t="str">
        <f t="shared" si="16"/>
        <v/>
      </c>
    </row>
    <row r="177" spans="1:28" x14ac:dyDescent="0.25">
      <c r="A177" s="55" t="s">
        <v>601</v>
      </c>
      <c r="B177" s="57"/>
      <c r="C177" s="57"/>
      <c r="D177" s="57"/>
      <c r="E177" s="57"/>
      <c r="F177" s="57"/>
      <c r="G177" s="57"/>
      <c r="H177" s="57"/>
      <c r="I177" s="57">
        <v>1</v>
      </c>
      <c r="J177" s="57"/>
      <c r="K177" s="57"/>
      <c r="L177" s="57"/>
      <c r="M177" s="57"/>
      <c r="Q177">
        <f t="shared" si="17"/>
        <v>0</v>
      </c>
      <c r="R177">
        <f t="shared" si="18"/>
        <v>0</v>
      </c>
      <c r="S177">
        <f t="shared" si="19"/>
        <v>0</v>
      </c>
      <c r="T177">
        <f t="shared" si="20"/>
        <v>0</v>
      </c>
      <c r="U177">
        <f t="shared" si="21"/>
        <v>0</v>
      </c>
      <c r="V177">
        <f t="shared" si="22"/>
        <v>1</v>
      </c>
      <c r="Y177" t="str">
        <f t="shared" ref="Y177:Y211" si="23">A177</f>
        <v>Albania</v>
      </c>
      <c r="Z177" s="104" t="str">
        <f t="shared" ref="Z177:Z211" si="24">IFERROR(R177/(SUM($Q177:$R177)),"")</f>
        <v/>
      </c>
      <c r="AA177" s="104" t="str">
        <f t="shared" ref="AA177:AA211" si="25">IFERROR(T177/(SUM($S177:$T177)),"")</f>
        <v/>
      </c>
      <c r="AB177" s="104">
        <f t="shared" ref="AB177:AB211" si="26">IFERROR(V177/(SUM($U177:$V177)),"")</f>
        <v>1</v>
      </c>
    </row>
    <row r="178" spans="1:28" x14ac:dyDescent="0.25">
      <c r="A178" s="55" t="s">
        <v>635</v>
      </c>
      <c r="B178" s="57"/>
      <c r="C178" s="57"/>
      <c r="D178" s="57"/>
      <c r="E178" s="57"/>
      <c r="F178" s="57"/>
      <c r="G178" s="57"/>
      <c r="H178" s="57"/>
      <c r="I178" s="57">
        <v>1</v>
      </c>
      <c r="J178" s="57"/>
      <c r="K178" s="57"/>
      <c r="L178" s="57"/>
      <c r="M178" s="57"/>
      <c r="Q178">
        <f t="shared" si="17"/>
        <v>0</v>
      </c>
      <c r="R178">
        <f t="shared" si="18"/>
        <v>0</v>
      </c>
      <c r="S178">
        <f t="shared" si="19"/>
        <v>0</v>
      </c>
      <c r="T178">
        <f t="shared" si="20"/>
        <v>0</v>
      </c>
      <c r="U178">
        <f t="shared" si="21"/>
        <v>0</v>
      </c>
      <c r="V178">
        <f t="shared" si="22"/>
        <v>1</v>
      </c>
      <c r="Y178" t="str">
        <f t="shared" si="23"/>
        <v>Austria</v>
      </c>
      <c r="Z178" s="104" t="str">
        <f t="shared" si="24"/>
        <v/>
      </c>
      <c r="AA178" s="104" t="str">
        <f t="shared" si="25"/>
        <v/>
      </c>
      <c r="AB178" s="104">
        <f t="shared" si="26"/>
        <v>1</v>
      </c>
    </row>
    <row r="179" spans="1:28" x14ac:dyDescent="0.25">
      <c r="A179" s="55" t="s">
        <v>1527</v>
      </c>
      <c r="B179" s="57"/>
      <c r="C179" s="57"/>
      <c r="D179" s="57"/>
      <c r="E179" s="57"/>
      <c r="F179" s="57"/>
      <c r="G179" s="57">
        <v>1</v>
      </c>
      <c r="H179" s="57"/>
      <c r="I179" s="57">
        <v>1</v>
      </c>
      <c r="J179" s="57"/>
      <c r="K179" s="57"/>
      <c r="L179" s="57"/>
      <c r="M179" s="57"/>
      <c r="Q179">
        <f t="shared" si="17"/>
        <v>0</v>
      </c>
      <c r="R179">
        <f t="shared" si="18"/>
        <v>0</v>
      </c>
      <c r="S179">
        <f t="shared" si="19"/>
        <v>0</v>
      </c>
      <c r="T179">
        <f t="shared" si="20"/>
        <v>0</v>
      </c>
      <c r="U179">
        <f t="shared" si="21"/>
        <v>0</v>
      </c>
      <c r="V179">
        <f t="shared" si="22"/>
        <v>1</v>
      </c>
      <c r="Y179" t="str">
        <f t="shared" si="23"/>
        <v>Belgium</v>
      </c>
      <c r="Z179" s="104" t="str">
        <f t="shared" si="24"/>
        <v/>
      </c>
      <c r="AA179" s="104" t="str">
        <f t="shared" si="25"/>
        <v/>
      </c>
      <c r="AB179" s="104">
        <f t="shared" si="26"/>
        <v>1</v>
      </c>
    </row>
    <row r="180" spans="1:28" x14ac:dyDescent="0.25">
      <c r="A180" s="55" t="s">
        <v>1735</v>
      </c>
      <c r="B180" s="57"/>
      <c r="C180" s="57"/>
      <c r="D180" s="57"/>
      <c r="E180" s="57"/>
      <c r="F180" s="57"/>
      <c r="G180" s="57"/>
      <c r="H180" s="57">
        <v>1</v>
      </c>
      <c r="I180" s="57">
        <v>4</v>
      </c>
      <c r="J180" s="57"/>
      <c r="K180" s="57"/>
      <c r="L180" s="57"/>
      <c r="M180" s="57"/>
      <c r="Q180">
        <f t="shared" ref="Q180:Q211" si="27">B180</f>
        <v>0</v>
      </c>
      <c r="R180">
        <f t="shared" ref="R180:R211" si="28">C180</f>
        <v>0</v>
      </c>
      <c r="S180">
        <f t="shared" ref="S180:S211" si="29">E180</f>
        <v>0</v>
      </c>
      <c r="T180">
        <f t="shared" ref="T180:T211" si="30">F180</f>
        <v>0</v>
      </c>
      <c r="U180">
        <f t="shared" ref="U180:U211" si="31">H180</f>
        <v>1</v>
      </c>
      <c r="V180">
        <f t="shared" ref="V180:V211" si="32">I180</f>
        <v>4</v>
      </c>
      <c r="Y180" t="str">
        <f t="shared" si="23"/>
        <v>Bosnia and Herzegovina</v>
      </c>
      <c r="Z180" s="104" t="str">
        <f t="shared" si="24"/>
        <v/>
      </c>
      <c r="AA180" s="104" t="str">
        <f t="shared" si="25"/>
        <v/>
      </c>
      <c r="AB180" s="104">
        <f t="shared" si="26"/>
        <v>0.8</v>
      </c>
    </row>
    <row r="181" spans="1:28" x14ac:dyDescent="0.25">
      <c r="A181" s="55" t="s">
        <v>3140</v>
      </c>
      <c r="B181" s="57"/>
      <c r="C181" s="57"/>
      <c r="D181" s="57"/>
      <c r="E181" s="57"/>
      <c r="F181" s="57"/>
      <c r="G181" s="57"/>
      <c r="H181" s="57"/>
      <c r="I181" s="57">
        <v>1</v>
      </c>
      <c r="J181" s="57"/>
      <c r="K181" s="57"/>
      <c r="L181" s="57"/>
      <c r="M181" s="57"/>
      <c r="Q181">
        <f t="shared" si="27"/>
        <v>0</v>
      </c>
      <c r="R181">
        <f t="shared" si="28"/>
        <v>0</v>
      </c>
      <c r="S181">
        <f t="shared" si="29"/>
        <v>0</v>
      </c>
      <c r="T181">
        <f t="shared" si="30"/>
        <v>0</v>
      </c>
      <c r="U181">
        <f t="shared" si="31"/>
        <v>0</v>
      </c>
      <c r="V181">
        <f t="shared" si="32"/>
        <v>1</v>
      </c>
      <c r="Y181" t="str">
        <f t="shared" si="23"/>
        <v>Croatia</v>
      </c>
      <c r="Z181" s="104" t="str">
        <f t="shared" si="24"/>
        <v/>
      </c>
      <c r="AA181" s="104" t="str">
        <f t="shared" si="25"/>
        <v/>
      </c>
      <c r="AB181" s="104">
        <f t="shared" si="26"/>
        <v>1</v>
      </c>
    </row>
    <row r="182" spans="1:28" x14ac:dyDescent="0.25">
      <c r="A182" s="55" t="s">
        <v>3231</v>
      </c>
      <c r="B182" s="57"/>
      <c r="C182" s="57"/>
      <c r="D182" s="57"/>
      <c r="E182" s="57">
        <v>1</v>
      </c>
      <c r="F182" s="57"/>
      <c r="G182" s="57"/>
      <c r="H182" s="57"/>
      <c r="I182" s="57"/>
      <c r="J182" s="57"/>
      <c r="K182" s="57"/>
      <c r="L182" s="57"/>
      <c r="M182" s="57"/>
      <c r="Q182">
        <f t="shared" si="27"/>
        <v>0</v>
      </c>
      <c r="R182">
        <f t="shared" si="28"/>
        <v>0</v>
      </c>
      <c r="S182">
        <f t="shared" si="29"/>
        <v>1</v>
      </c>
      <c r="T182">
        <f t="shared" si="30"/>
        <v>0</v>
      </c>
      <c r="U182">
        <f t="shared" si="31"/>
        <v>0</v>
      </c>
      <c r="V182">
        <f t="shared" si="32"/>
        <v>0</v>
      </c>
      <c r="Y182" t="str">
        <f t="shared" si="23"/>
        <v>Czech Republic</v>
      </c>
      <c r="Z182" s="104" t="str">
        <f t="shared" si="24"/>
        <v/>
      </c>
      <c r="AA182" s="104">
        <f t="shared" si="25"/>
        <v>0</v>
      </c>
      <c r="AB182" s="104" t="str">
        <f t="shared" si="26"/>
        <v/>
      </c>
    </row>
    <row r="183" spans="1:28" x14ac:dyDescent="0.25">
      <c r="A183" s="55" t="s">
        <v>3249</v>
      </c>
      <c r="B183" s="57"/>
      <c r="C183" s="57"/>
      <c r="D183" s="57"/>
      <c r="E183" s="57"/>
      <c r="F183" s="57"/>
      <c r="G183" s="57"/>
      <c r="H183" s="57"/>
      <c r="I183" s="57">
        <v>1</v>
      </c>
      <c r="J183" s="57"/>
      <c r="K183" s="57"/>
      <c r="L183" s="57"/>
      <c r="M183" s="57"/>
      <c r="Q183">
        <f t="shared" si="27"/>
        <v>0</v>
      </c>
      <c r="R183">
        <f t="shared" si="28"/>
        <v>0</v>
      </c>
      <c r="S183">
        <f t="shared" si="29"/>
        <v>0</v>
      </c>
      <c r="T183">
        <f t="shared" si="30"/>
        <v>0</v>
      </c>
      <c r="U183">
        <f t="shared" si="31"/>
        <v>0</v>
      </c>
      <c r="V183">
        <f t="shared" si="32"/>
        <v>1</v>
      </c>
      <c r="Y183" t="str">
        <f t="shared" si="23"/>
        <v>Denmark</v>
      </c>
      <c r="Z183" s="104" t="str">
        <f t="shared" si="24"/>
        <v/>
      </c>
      <c r="AA183" s="104" t="str">
        <f t="shared" si="25"/>
        <v/>
      </c>
      <c r="AB183" s="104">
        <f t="shared" si="26"/>
        <v>1</v>
      </c>
    </row>
    <row r="184" spans="1:28" x14ac:dyDescent="0.25">
      <c r="A184" s="55" t="s">
        <v>3546</v>
      </c>
      <c r="B184" s="57"/>
      <c r="C184" s="57"/>
      <c r="D184" s="57"/>
      <c r="E184" s="57">
        <v>3</v>
      </c>
      <c r="F184" s="57">
        <v>5</v>
      </c>
      <c r="G184" s="57"/>
      <c r="H184" s="57"/>
      <c r="I184" s="57">
        <v>10</v>
      </c>
      <c r="J184" s="57"/>
      <c r="K184" s="57"/>
      <c r="L184" s="57"/>
      <c r="M184" s="57"/>
      <c r="Q184">
        <f t="shared" si="27"/>
        <v>0</v>
      </c>
      <c r="R184">
        <f t="shared" si="28"/>
        <v>0</v>
      </c>
      <c r="S184">
        <f t="shared" si="29"/>
        <v>3</v>
      </c>
      <c r="T184">
        <f t="shared" si="30"/>
        <v>5</v>
      </c>
      <c r="U184">
        <f t="shared" si="31"/>
        <v>0</v>
      </c>
      <c r="V184">
        <f t="shared" si="32"/>
        <v>10</v>
      </c>
      <c r="Y184" t="str">
        <f t="shared" si="23"/>
        <v>Egypt</v>
      </c>
      <c r="Z184" s="104" t="str">
        <f t="shared" si="24"/>
        <v/>
      </c>
      <c r="AA184" s="104">
        <f t="shared" si="25"/>
        <v>0.625</v>
      </c>
      <c r="AB184" s="104">
        <f t="shared" si="26"/>
        <v>1</v>
      </c>
    </row>
    <row r="185" spans="1:28" x14ac:dyDescent="0.25">
      <c r="A185" s="55" t="s">
        <v>4293</v>
      </c>
      <c r="B185" s="57"/>
      <c r="C185" s="57"/>
      <c r="D185" s="57"/>
      <c r="E185" s="57">
        <v>1</v>
      </c>
      <c r="F185" s="57">
        <v>3</v>
      </c>
      <c r="G185" s="57"/>
      <c r="H185" s="57"/>
      <c r="I185" s="57"/>
      <c r="J185" s="57"/>
      <c r="K185" s="57"/>
      <c r="L185" s="57"/>
      <c r="M185" s="57"/>
      <c r="Q185">
        <f t="shared" si="27"/>
        <v>0</v>
      </c>
      <c r="R185">
        <f t="shared" si="28"/>
        <v>0</v>
      </c>
      <c r="S185">
        <f t="shared" si="29"/>
        <v>1</v>
      </c>
      <c r="T185">
        <f t="shared" si="30"/>
        <v>3</v>
      </c>
      <c r="U185">
        <f t="shared" si="31"/>
        <v>0</v>
      </c>
      <c r="V185">
        <f t="shared" si="32"/>
        <v>0</v>
      </c>
      <c r="Y185" t="str">
        <f t="shared" si="23"/>
        <v>France</v>
      </c>
      <c r="Z185" s="104" t="str">
        <f t="shared" si="24"/>
        <v/>
      </c>
      <c r="AA185" s="104">
        <f t="shared" si="25"/>
        <v>0.75</v>
      </c>
      <c r="AB185" s="104" t="str">
        <f t="shared" si="26"/>
        <v/>
      </c>
    </row>
    <row r="186" spans="1:28" x14ac:dyDescent="0.25">
      <c r="A186" s="55" t="s">
        <v>4346</v>
      </c>
      <c r="B186" s="57"/>
      <c r="C186" s="57"/>
      <c r="D186" s="57"/>
      <c r="E186" s="57"/>
      <c r="F186" s="57">
        <v>2</v>
      </c>
      <c r="G186" s="57"/>
      <c r="H186" s="57"/>
      <c r="I186" s="57">
        <v>1</v>
      </c>
      <c r="J186" s="57"/>
      <c r="K186" s="57"/>
      <c r="L186" s="57"/>
      <c r="M186" s="57"/>
      <c r="Q186">
        <f t="shared" si="27"/>
        <v>0</v>
      </c>
      <c r="R186">
        <f t="shared" si="28"/>
        <v>0</v>
      </c>
      <c r="S186">
        <f t="shared" si="29"/>
        <v>0</v>
      </c>
      <c r="T186">
        <f t="shared" si="30"/>
        <v>2</v>
      </c>
      <c r="U186">
        <f t="shared" si="31"/>
        <v>0</v>
      </c>
      <c r="V186">
        <f t="shared" si="32"/>
        <v>1</v>
      </c>
      <c r="Y186" t="str">
        <f t="shared" si="23"/>
        <v>Georgia</v>
      </c>
      <c r="Z186" s="104" t="str">
        <f t="shared" si="24"/>
        <v/>
      </c>
      <c r="AA186" s="104">
        <f t="shared" si="25"/>
        <v>1</v>
      </c>
      <c r="AB186" s="104">
        <f t="shared" si="26"/>
        <v>1</v>
      </c>
    </row>
    <row r="187" spans="1:28" x14ac:dyDescent="0.25">
      <c r="A187" s="55" t="s">
        <v>4428</v>
      </c>
      <c r="B187" s="57"/>
      <c r="C187" s="57"/>
      <c r="D187" s="57"/>
      <c r="E187" s="57"/>
      <c r="F187" s="57">
        <v>3</v>
      </c>
      <c r="G187" s="57"/>
      <c r="H187" s="57"/>
      <c r="I187" s="57"/>
      <c r="J187" s="57"/>
      <c r="K187" s="57"/>
      <c r="L187" s="57"/>
      <c r="M187" s="57"/>
      <c r="Q187">
        <f t="shared" si="27"/>
        <v>0</v>
      </c>
      <c r="R187">
        <f t="shared" si="28"/>
        <v>0</v>
      </c>
      <c r="S187">
        <f t="shared" si="29"/>
        <v>0</v>
      </c>
      <c r="T187">
        <f t="shared" si="30"/>
        <v>3</v>
      </c>
      <c r="U187">
        <f t="shared" si="31"/>
        <v>0</v>
      </c>
      <c r="V187">
        <f t="shared" si="32"/>
        <v>0</v>
      </c>
      <c r="Y187" t="str">
        <f t="shared" si="23"/>
        <v>Germany</v>
      </c>
      <c r="Z187" s="104" t="str">
        <f t="shared" si="24"/>
        <v/>
      </c>
      <c r="AA187" s="104">
        <f t="shared" si="25"/>
        <v>1</v>
      </c>
      <c r="AB187" s="104" t="str">
        <f t="shared" si="26"/>
        <v/>
      </c>
    </row>
    <row r="188" spans="1:28" x14ac:dyDescent="0.25">
      <c r="A188" s="55" t="s">
        <v>4743</v>
      </c>
      <c r="B188" s="57"/>
      <c r="C188" s="57"/>
      <c r="D188" s="57"/>
      <c r="E188" s="57"/>
      <c r="F188" s="57">
        <v>1</v>
      </c>
      <c r="G188" s="57"/>
      <c r="H188" s="57"/>
      <c r="I188" s="57"/>
      <c r="J188" s="57"/>
      <c r="K188" s="57"/>
      <c r="L188" s="57"/>
      <c r="M188" s="57"/>
      <c r="Q188">
        <f t="shared" si="27"/>
        <v>0</v>
      </c>
      <c r="R188">
        <f t="shared" si="28"/>
        <v>0</v>
      </c>
      <c r="S188">
        <f t="shared" si="29"/>
        <v>0</v>
      </c>
      <c r="T188">
        <f t="shared" si="30"/>
        <v>1</v>
      </c>
      <c r="U188">
        <f t="shared" si="31"/>
        <v>0</v>
      </c>
      <c r="V188">
        <f t="shared" si="32"/>
        <v>0</v>
      </c>
      <c r="Y188" t="str">
        <f t="shared" si="23"/>
        <v>Greece</v>
      </c>
      <c r="Z188" s="104" t="str">
        <f t="shared" si="24"/>
        <v/>
      </c>
      <c r="AA188" s="104">
        <f t="shared" si="25"/>
        <v>1</v>
      </c>
      <c r="AB188" s="104" t="str">
        <f t="shared" si="26"/>
        <v/>
      </c>
    </row>
    <row r="189" spans="1:28" x14ac:dyDescent="0.25">
      <c r="A189" s="55" t="s">
        <v>6024</v>
      </c>
      <c r="B189" s="57"/>
      <c r="C189" s="57"/>
      <c r="D189" s="57"/>
      <c r="E189" s="57"/>
      <c r="F189" s="57">
        <v>6</v>
      </c>
      <c r="G189" s="57"/>
      <c r="H189" s="57"/>
      <c r="I189" s="57">
        <v>1</v>
      </c>
      <c r="J189" s="57"/>
      <c r="K189" s="57"/>
      <c r="L189" s="57"/>
      <c r="M189" s="57"/>
      <c r="Q189">
        <f t="shared" si="27"/>
        <v>0</v>
      </c>
      <c r="R189">
        <f t="shared" si="28"/>
        <v>0</v>
      </c>
      <c r="S189">
        <f t="shared" si="29"/>
        <v>0</v>
      </c>
      <c r="T189">
        <f t="shared" si="30"/>
        <v>6</v>
      </c>
      <c r="U189">
        <f t="shared" si="31"/>
        <v>0</v>
      </c>
      <c r="V189">
        <f t="shared" si="32"/>
        <v>1</v>
      </c>
      <c r="Y189" t="str">
        <f t="shared" si="23"/>
        <v>Iraq</v>
      </c>
      <c r="Z189" s="104" t="str">
        <f t="shared" si="24"/>
        <v/>
      </c>
      <c r="AA189" s="104">
        <f t="shared" si="25"/>
        <v>1</v>
      </c>
      <c r="AB189" s="104">
        <f t="shared" si="26"/>
        <v>1</v>
      </c>
    </row>
    <row r="190" spans="1:28" x14ac:dyDescent="0.25">
      <c r="A190" s="55" t="s">
        <v>6105</v>
      </c>
      <c r="B190" s="57"/>
      <c r="C190" s="57"/>
      <c r="D190" s="57"/>
      <c r="E190" s="57"/>
      <c r="F190" s="57">
        <v>4</v>
      </c>
      <c r="G190" s="57"/>
      <c r="H190" s="57"/>
      <c r="I190" s="57">
        <v>16</v>
      </c>
      <c r="J190" s="57"/>
      <c r="K190" s="57"/>
      <c r="L190" s="57"/>
      <c r="M190" s="57"/>
      <c r="Q190">
        <f t="shared" si="27"/>
        <v>0</v>
      </c>
      <c r="R190">
        <f t="shared" si="28"/>
        <v>0</v>
      </c>
      <c r="S190">
        <f t="shared" si="29"/>
        <v>0</v>
      </c>
      <c r="T190">
        <f t="shared" si="30"/>
        <v>4</v>
      </c>
      <c r="U190">
        <f t="shared" si="31"/>
        <v>0</v>
      </c>
      <c r="V190">
        <f t="shared" si="32"/>
        <v>16</v>
      </c>
      <c r="Y190" t="str">
        <f t="shared" si="23"/>
        <v>Jordan</v>
      </c>
      <c r="Z190" s="104" t="str">
        <f t="shared" si="24"/>
        <v/>
      </c>
      <c r="AA190" s="104">
        <f t="shared" si="25"/>
        <v>1</v>
      </c>
      <c r="AB190" s="104">
        <f t="shared" si="26"/>
        <v>1</v>
      </c>
    </row>
    <row r="191" spans="1:28" x14ac:dyDescent="0.25">
      <c r="A191" s="55" t="s">
        <v>6805</v>
      </c>
      <c r="B191" s="57"/>
      <c r="C191" s="57"/>
      <c r="D191" s="57"/>
      <c r="E191" s="57">
        <v>1</v>
      </c>
      <c r="F191" s="57">
        <v>1</v>
      </c>
      <c r="G191" s="57"/>
      <c r="H191" s="57"/>
      <c r="I191" s="57">
        <v>1</v>
      </c>
      <c r="J191" s="57"/>
      <c r="K191" s="57"/>
      <c r="L191" s="57"/>
      <c r="M191" s="57"/>
      <c r="Q191">
        <f t="shared" si="27"/>
        <v>0</v>
      </c>
      <c r="R191">
        <f t="shared" si="28"/>
        <v>0</v>
      </c>
      <c r="S191">
        <f t="shared" si="29"/>
        <v>1</v>
      </c>
      <c r="T191">
        <f t="shared" si="30"/>
        <v>1</v>
      </c>
      <c r="U191">
        <f t="shared" si="31"/>
        <v>0</v>
      </c>
      <c r="V191">
        <f t="shared" si="32"/>
        <v>1</v>
      </c>
      <c r="Y191" t="str">
        <f t="shared" si="23"/>
        <v>Kosovo</v>
      </c>
      <c r="Z191" s="104" t="str">
        <f t="shared" si="24"/>
        <v/>
      </c>
      <c r="AA191" s="104">
        <f t="shared" si="25"/>
        <v>0.5</v>
      </c>
      <c r="AB191" s="104">
        <f t="shared" si="26"/>
        <v>1</v>
      </c>
    </row>
    <row r="192" spans="1:28" x14ac:dyDescent="0.25">
      <c r="A192" s="55" t="s">
        <v>7083</v>
      </c>
      <c r="B192" s="57">
        <v>3</v>
      </c>
      <c r="C192" s="57">
        <v>1</v>
      </c>
      <c r="D192" s="57"/>
      <c r="E192" s="57"/>
      <c r="F192" s="57">
        <v>2</v>
      </c>
      <c r="G192" s="57"/>
      <c r="H192" s="57"/>
      <c r="I192" s="57"/>
      <c r="J192" s="57"/>
      <c r="K192" s="57"/>
      <c r="L192" s="57"/>
      <c r="M192" s="57"/>
      <c r="Q192">
        <f t="shared" si="27"/>
        <v>3</v>
      </c>
      <c r="R192">
        <f t="shared" si="28"/>
        <v>1</v>
      </c>
      <c r="S192">
        <f t="shared" si="29"/>
        <v>0</v>
      </c>
      <c r="T192">
        <f t="shared" si="30"/>
        <v>2</v>
      </c>
      <c r="U192">
        <f t="shared" si="31"/>
        <v>0</v>
      </c>
      <c r="V192">
        <f t="shared" si="32"/>
        <v>0</v>
      </c>
      <c r="Y192" t="str">
        <f t="shared" si="23"/>
        <v>Lebanon</v>
      </c>
      <c r="Z192" s="104">
        <f t="shared" si="24"/>
        <v>0.25</v>
      </c>
      <c r="AA192" s="104">
        <f t="shared" si="25"/>
        <v>1</v>
      </c>
      <c r="AB192" s="104" t="str">
        <f t="shared" si="26"/>
        <v/>
      </c>
    </row>
    <row r="193" spans="1:28" x14ac:dyDescent="0.25">
      <c r="A193" s="55" t="s">
        <v>7194</v>
      </c>
      <c r="B193" s="57"/>
      <c r="C193" s="57"/>
      <c r="D193" s="57"/>
      <c r="E193" s="57"/>
      <c r="F193" s="57"/>
      <c r="G193" s="57"/>
      <c r="H193" s="57"/>
      <c r="I193" s="57">
        <v>1</v>
      </c>
      <c r="J193" s="57"/>
      <c r="K193" s="57"/>
      <c r="L193" s="57"/>
      <c r="M193" s="57"/>
      <c r="Q193">
        <f t="shared" si="27"/>
        <v>0</v>
      </c>
      <c r="R193">
        <f t="shared" si="28"/>
        <v>0</v>
      </c>
      <c r="S193">
        <f t="shared" si="29"/>
        <v>0</v>
      </c>
      <c r="T193">
        <f t="shared" si="30"/>
        <v>0</v>
      </c>
      <c r="U193">
        <f t="shared" si="31"/>
        <v>0</v>
      </c>
      <c r="V193">
        <f t="shared" si="32"/>
        <v>1</v>
      </c>
      <c r="Y193" t="str">
        <f t="shared" si="23"/>
        <v>Macedonia</v>
      </c>
      <c r="Z193" s="104" t="str">
        <f t="shared" si="24"/>
        <v/>
      </c>
      <c r="AA193" s="104" t="str">
        <f t="shared" si="25"/>
        <v/>
      </c>
      <c r="AB193" s="104">
        <f t="shared" si="26"/>
        <v>1</v>
      </c>
    </row>
    <row r="194" spans="1:28" x14ac:dyDescent="0.25">
      <c r="A194" s="55" t="s">
        <v>8140</v>
      </c>
      <c r="B194" s="57"/>
      <c r="C194" s="57"/>
      <c r="D194" s="57"/>
      <c r="E194" s="57"/>
      <c r="F194" s="57">
        <v>2</v>
      </c>
      <c r="G194" s="57"/>
      <c r="H194" s="57"/>
      <c r="I194" s="57">
        <v>1</v>
      </c>
      <c r="J194" s="57"/>
      <c r="K194" s="57"/>
      <c r="L194" s="57"/>
      <c r="M194" s="57"/>
      <c r="Q194">
        <f t="shared" si="27"/>
        <v>0</v>
      </c>
      <c r="R194">
        <f t="shared" si="28"/>
        <v>0</v>
      </c>
      <c r="S194">
        <f t="shared" si="29"/>
        <v>0</v>
      </c>
      <c r="T194">
        <f t="shared" si="30"/>
        <v>2</v>
      </c>
      <c r="U194">
        <f t="shared" si="31"/>
        <v>0</v>
      </c>
      <c r="V194">
        <f t="shared" si="32"/>
        <v>1</v>
      </c>
      <c r="Y194" t="str">
        <f t="shared" si="23"/>
        <v>Montenegro</v>
      </c>
      <c r="Z194" s="104" t="str">
        <f t="shared" si="24"/>
        <v/>
      </c>
      <c r="AA194" s="104">
        <f t="shared" si="25"/>
        <v>1</v>
      </c>
      <c r="AB194" s="104">
        <f t="shared" si="26"/>
        <v>1</v>
      </c>
    </row>
    <row r="195" spans="1:28" x14ac:dyDescent="0.25">
      <c r="A195" s="55" t="s">
        <v>8180</v>
      </c>
      <c r="B195" s="57"/>
      <c r="C195" s="57"/>
      <c r="D195" s="57"/>
      <c r="E195" s="57"/>
      <c r="F195" s="57">
        <v>3</v>
      </c>
      <c r="G195" s="57"/>
      <c r="H195" s="57"/>
      <c r="I195" s="57">
        <v>2</v>
      </c>
      <c r="J195" s="57"/>
      <c r="K195" s="57"/>
      <c r="L195" s="57"/>
      <c r="M195" s="57"/>
      <c r="Q195">
        <f t="shared" si="27"/>
        <v>0</v>
      </c>
      <c r="R195">
        <f t="shared" si="28"/>
        <v>0</v>
      </c>
      <c r="S195">
        <f t="shared" si="29"/>
        <v>0</v>
      </c>
      <c r="T195">
        <f t="shared" si="30"/>
        <v>3</v>
      </c>
      <c r="U195">
        <f t="shared" si="31"/>
        <v>0</v>
      </c>
      <c r="V195">
        <f t="shared" si="32"/>
        <v>2</v>
      </c>
      <c r="Y195" t="str">
        <f t="shared" si="23"/>
        <v>Morocco</v>
      </c>
      <c r="Z195" s="104" t="str">
        <f t="shared" si="24"/>
        <v/>
      </c>
      <c r="AA195" s="104">
        <f t="shared" si="25"/>
        <v>1</v>
      </c>
      <c r="AB195" s="104">
        <f t="shared" si="26"/>
        <v>1</v>
      </c>
    </row>
    <row r="196" spans="1:28" x14ac:dyDescent="0.25">
      <c r="A196" s="55" t="s">
        <v>9020</v>
      </c>
      <c r="B196" s="57"/>
      <c r="C196" s="57"/>
      <c r="D196" s="57"/>
      <c r="E196" s="57"/>
      <c r="F196" s="57"/>
      <c r="G196" s="57"/>
      <c r="H196" s="57"/>
      <c r="I196" s="57"/>
      <c r="J196" s="57"/>
      <c r="K196" s="57"/>
      <c r="L196" s="57"/>
      <c r="M196" s="57"/>
      <c r="Q196">
        <f t="shared" si="27"/>
        <v>0</v>
      </c>
      <c r="R196">
        <f t="shared" si="28"/>
        <v>0</v>
      </c>
      <c r="S196">
        <f t="shared" si="29"/>
        <v>0</v>
      </c>
      <c r="T196">
        <f t="shared" si="30"/>
        <v>0</v>
      </c>
      <c r="U196">
        <f t="shared" si="31"/>
        <v>0</v>
      </c>
      <c r="V196">
        <f t="shared" si="32"/>
        <v>0</v>
      </c>
      <c r="Y196" t="str">
        <f t="shared" si="23"/>
        <v>Netherlands</v>
      </c>
      <c r="Z196" s="104" t="str">
        <f t="shared" si="24"/>
        <v/>
      </c>
      <c r="AA196" s="104" t="str">
        <f t="shared" si="25"/>
        <v/>
      </c>
      <c r="AB196" s="104" t="str">
        <f t="shared" si="26"/>
        <v/>
      </c>
    </row>
    <row r="197" spans="1:28" x14ac:dyDescent="0.25">
      <c r="A197" s="55" t="s">
        <v>9409</v>
      </c>
      <c r="B197" s="57"/>
      <c r="C197" s="57"/>
      <c r="D197" s="57"/>
      <c r="E197" s="57"/>
      <c r="F197" s="57"/>
      <c r="G197" s="57"/>
      <c r="H197" s="57">
        <v>1</v>
      </c>
      <c r="I197" s="57"/>
      <c r="J197" s="57"/>
      <c r="K197" s="57"/>
      <c r="L197" s="57"/>
      <c r="M197" s="57"/>
      <c r="Q197">
        <f t="shared" si="27"/>
        <v>0</v>
      </c>
      <c r="R197">
        <f t="shared" si="28"/>
        <v>0</v>
      </c>
      <c r="S197">
        <f t="shared" si="29"/>
        <v>0</v>
      </c>
      <c r="T197">
        <f t="shared" si="30"/>
        <v>0</v>
      </c>
      <c r="U197">
        <f t="shared" si="31"/>
        <v>1</v>
      </c>
      <c r="V197">
        <f t="shared" si="32"/>
        <v>0</v>
      </c>
      <c r="Y197" t="str">
        <f t="shared" si="23"/>
        <v>Norway</v>
      </c>
      <c r="Z197" s="104" t="str">
        <f t="shared" si="24"/>
        <v/>
      </c>
      <c r="AA197" s="104" t="str">
        <f t="shared" si="25"/>
        <v/>
      </c>
      <c r="AB197" s="104">
        <f t="shared" si="26"/>
        <v>0</v>
      </c>
    </row>
    <row r="198" spans="1:28" x14ac:dyDescent="0.25">
      <c r="A198" s="55" t="s">
        <v>10350</v>
      </c>
      <c r="B198" s="57"/>
      <c r="C198" s="57"/>
      <c r="D198" s="57"/>
      <c r="E198" s="57"/>
      <c r="F198" s="57">
        <v>1</v>
      </c>
      <c r="G198" s="57"/>
      <c r="H198" s="57"/>
      <c r="I198" s="57"/>
      <c r="J198" s="57"/>
      <c r="K198" s="57"/>
      <c r="L198" s="57"/>
      <c r="M198" s="57"/>
      <c r="Q198">
        <f t="shared" si="27"/>
        <v>0</v>
      </c>
      <c r="R198">
        <f t="shared" si="28"/>
        <v>0</v>
      </c>
      <c r="S198">
        <f t="shared" si="29"/>
        <v>0</v>
      </c>
      <c r="T198">
        <f t="shared" si="30"/>
        <v>1</v>
      </c>
      <c r="U198">
        <f t="shared" si="31"/>
        <v>0</v>
      </c>
      <c r="V198">
        <f t="shared" si="32"/>
        <v>0</v>
      </c>
      <c r="Y198" t="str">
        <f t="shared" si="23"/>
        <v>Romania</v>
      </c>
      <c r="Z198" s="104" t="str">
        <f t="shared" si="24"/>
        <v/>
      </c>
      <c r="AA198" s="104">
        <f t="shared" si="25"/>
        <v>1</v>
      </c>
      <c r="AB198" s="104" t="str">
        <f t="shared" si="26"/>
        <v/>
      </c>
    </row>
    <row r="199" spans="1:28" x14ac:dyDescent="0.25">
      <c r="A199" s="55" t="s">
        <v>10558</v>
      </c>
      <c r="B199" s="57"/>
      <c r="C199" s="57"/>
      <c r="D199" s="57"/>
      <c r="E199" s="57"/>
      <c r="F199" s="57">
        <v>5</v>
      </c>
      <c r="G199" s="57"/>
      <c r="H199" s="57"/>
      <c r="I199" s="57">
        <v>2</v>
      </c>
      <c r="J199" s="57"/>
      <c r="K199" s="57"/>
      <c r="L199" s="57"/>
      <c r="M199" s="57"/>
      <c r="Q199">
        <f t="shared" si="27"/>
        <v>0</v>
      </c>
      <c r="R199">
        <f t="shared" si="28"/>
        <v>0</v>
      </c>
      <c r="S199">
        <f t="shared" si="29"/>
        <v>0</v>
      </c>
      <c r="T199">
        <f t="shared" si="30"/>
        <v>5</v>
      </c>
      <c r="U199">
        <f t="shared" si="31"/>
        <v>0</v>
      </c>
      <c r="V199">
        <f t="shared" si="32"/>
        <v>2</v>
      </c>
      <c r="Y199" t="str">
        <f t="shared" si="23"/>
        <v>Serbia</v>
      </c>
      <c r="Z199" s="104" t="str">
        <f t="shared" si="24"/>
        <v/>
      </c>
      <c r="AA199" s="104">
        <f t="shared" si="25"/>
        <v>1</v>
      </c>
      <c r="AB199" s="104">
        <f t="shared" si="26"/>
        <v>1</v>
      </c>
    </row>
    <row r="200" spans="1:28" x14ac:dyDescent="0.25">
      <c r="A200" s="55" t="s">
        <v>11664</v>
      </c>
      <c r="B200" s="57"/>
      <c r="C200" s="57"/>
      <c r="D200" s="57"/>
      <c r="E200" s="57"/>
      <c r="F200" s="57"/>
      <c r="G200" s="57"/>
      <c r="H200" s="57"/>
      <c r="I200" s="57">
        <v>6</v>
      </c>
      <c r="J200" s="57"/>
      <c r="K200" s="57"/>
      <c r="L200" s="57"/>
      <c r="M200" s="57"/>
      <c r="Q200">
        <f t="shared" si="27"/>
        <v>0</v>
      </c>
      <c r="R200">
        <f t="shared" si="28"/>
        <v>0</v>
      </c>
      <c r="S200">
        <f t="shared" si="29"/>
        <v>0</v>
      </c>
      <c r="T200">
        <f t="shared" si="30"/>
        <v>0</v>
      </c>
      <c r="U200">
        <f t="shared" si="31"/>
        <v>0</v>
      </c>
      <c r="V200">
        <f t="shared" si="32"/>
        <v>6</v>
      </c>
      <c r="Y200" t="str">
        <f t="shared" si="23"/>
        <v>Switzerland</v>
      </c>
      <c r="Z200" s="104" t="str">
        <f t="shared" si="24"/>
        <v/>
      </c>
      <c r="AA200" s="104" t="str">
        <f t="shared" si="25"/>
        <v/>
      </c>
      <c r="AB200" s="104">
        <f t="shared" si="26"/>
        <v>1</v>
      </c>
    </row>
    <row r="201" spans="1:28" x14ac:dyDescent="0.25">
      <c r="A201" s="55" t="s">
        <v>11693</v>
      </c>
      <c r="B201" s="57"/>
      <c r="C201" s="57"/>
      <c r="D201" s="57"/>
      <c r="E201" s="57">
        <v>3</v>
      </c>
      <c r="F201" s="57">
        <v>29</v>
      </c>
      <c r="G201" s="57"/>
      <c r="H201" s="57"/>
      <c r="I201" s="57">
        <v>1</v>
      </c>
      <c r="J201" s="57"/>
      <c r="K201" s="57"/>
      <c r="L201" s="57"/>
      <c r="M201" s="57"/>
      <c r="Q201">
        <f t="shared" si="27"/>
        <v>0</v>
      </c>
      <c r="R201">
        <f t="shared" si="28"/>
        <v>0</v>
      </c>
      <c r="S201">
        <f t="shared" si="29"/>
        <v>3</v>
      </c>
      <c r="T201">
        <f t="shared" si="30"/>
        <v>29</v>
      </c>
      <c r="U201">
        <f t="shared" si="31"/>
        <v>0</v>
      </c>
      <c r="V201">
        <f t="shared" si="32"/>
        <v>1</v>
      </c>
      <c r="Y201" t="str">
        <f t="shared" si="23"/>
        <v>Syria</v>
      </c>
      <c r="Z201" s="104" t="str">
        <f t="shared" si="24"/>
        <v/>
      </c>
      <c r="AA201" s="104">
        <f t="shared" si="25"/>
        <v>0.90625</v>
      </c>
      <c r="AB201" s="104">
        <f t="shared" si="26"/>
        <v>1</v>
      </c>
    </row>
    <row r="202" spans="1:28" x14ac:dyDescent="0.25">
      <c r="A202" s="55" t="s">
        <v>12654</v>
      </c>
      <c r="B202" s="57"/>
      <c r="C202" s="57"/>
      <c r="D202" s="57"/>
      <c r="E202" s="57"/>
      <c r="F202" s="57"/>
      <c r="G202" s="57"/>
      <c r="H202" s="57"/>
      <c r="I202" s="57"/>
      <c r="J202" s="57"/>
      <c r="K202" s="57"/>
      <c r="L202" s="57"/>
      <c r="M202" s="57"/>
      <c r="Q202">
        <f t="shared" si="27"/>
        <v>0</v>
      </c>
      <c r="R202">
        <f t="shared" si="28"/>
        <v>0</v>
      </c>
      <c r="S202">
        <f t="shared" si="29"/>
        <v>0</v>
      </c>
      <c r="T202">
        <f t="shared" si="30"/>
        <v>0</v>
      </c>
      <c r="U202">
        <f t="shared" si="31"/>
        <v>0</v>
      </c>
      <c r="V202">
        <f t="shared" si="32"/>
        <v>0</v>
      </c>
      <c r="Y202" t="str">
        <f t="shared" si="23"/>
        <v>Turkey</v>
      </c>
      <c r="Z202" s="104" t="str">
        <f t="shared" si="24"/>
        <v/>
      </c>
      <c r="AA202" s="104" t="str">
        <f t="shared" si="25"/>
        <v/>
      </c>
      <c r="AB202" s="104" t="str">
        <f t="shared" si="26"/>
        <v/>
      </c>
    </row>
    <row r="203" spans="1:28" x14ac:dyDescent="0.25">
      <c r="A203" s="55" t="s">
        <v>12907</v>
      </c>
      <c r="B203" s="57">
        <v>1</v>
      </c>
      <c r="C203" s="57"/>
      <c r="D203" s="57"/>
      <c r="E203" s="57"/>
      <c r="F203" s="57"/>
      <c r="G203" s="57"/>
      <c r="H203" s="57"/>
      <c r="I203" s="57"/>
      <c r="J203" s="57"/>
      <c r="K203" s="57"/>
      <c r="L203" s="57"/>
      <c r="M203" s="57">
        <v>4</v>
      </c>
      <c r="Q203">
        <f t="shared" si="27"/>
        <v>1</v>
      </c>
      <c r="R203">
        <f t="shared" si="28"/>
        <v>0</v>
      </c>
      <c r="S203">
        <f t="shared" si="29"/>
        <v>0</v>
      </c>
      <c r="T203">
        <f t="shared" si="30"/>
        <v>0</v>
      </c>
      <c r="U203">
        <f t="shared" si="31"/>
        <v>0</v>
      </c>
      <c r="V203">
        <f t="shared" si="32"/>
        <v>0</v>
      </c>
      <c r="Y203" t="str">
        <f t="shared" si="23"/>
        <v>United Kingdom</v>
      </c>
      <c r="Z203" s="104">
        <f t="shared" si="24"/>
        <v>0</v>
      </c>
      <c r="AA203" s="104" t="str">
        <f t="shared" si="25"/>
        <v/>
      </c>
      <c r="AB203" s="104" t="str">
        <f t="shared" si="26"/>
        <v/>
      </c>
    </row>
    <row r="204" spans="1:28" x14ac:dyDescent="0.25">
      <c r="A204" s="55" t="s">
        <v>13710</v>
      </c>
      <c r="B204" s="57"/>
      <c r="C204" s="57"/>
      <c r="D204" s="57"/>
      <c r="E204" s="57"/>
      <c r="F204" s="57">
        <v>4</v>
      </c>
      <c r="G204" s="57"/>
      <c r="H204" s="57"/>
      <c r="I204" s="57">
        <v>3</v>
      </c>
      <c r="J204" s="57"/>
      <c r="K204" s="57"/>
      <c r="L204" s="57"/>
      <c r="M204" s="57"/>
      <c r="Q204">
        <f t="shared" si="27"/>
        <v>0</v>
      </c>
      <c r="R204">
        <f t="shared" si="28"/>
        <v>0</v>
      </c>
      <c r="S204">
        <f t="shared" si="29"/>
        <v>0</v>
      </c>
      <c r="T204">
        <f t="shared" si="30"/>
        <v>4</v>
      </c>
      <c r="U204">
        <f t="shared" si="31"/>
        <v>0</v>
      </c>
      <c r="V204">
        <f t="shared" si="32"/>
        <v>3</v>
      </c>
      <c r="Y204" t="str">
        <f t="shared" si="23"/>
        <v>West Bank and Gaza</v>
      </c>
      <c r="Z204" s="104" t="str">
        <f t="shared" si="24"/>
        <v/>
      </c>
      <c r="AA204" s="104">
        <f t="shared" si="25"/>
        <v>1</v>
      </c>
      <c r="AB204" s="104">
        <f t="shared" si="26"/>
        <v>1</v>
      </c>
    </row>
    <row r="205" spans="1:28" x14ac:dyDescent="0.25">
      <c r="A205" s="55" t="s">
        <v>13783</v>
      </c>
      <c r="B205" s="57"/>
      <c r="C205" s="57"/>
      <c r="D205" s="57"/>
      <c r="E205" s="57"/>
      <c r="F205" s="57">
        <v>17</v>
      </c>
      <c r="G205" s="57"/>
      <c r="H205" s="57"/>
      <c r="I205" s="57"/>
      <c r="J205" s="57"/>
      <c r="K205" s="57"/>
      <c r="L205" s="57"/>
      <c r="M205" s="57"/>
      <c r="Q205">
        <f t="shared" si="27"/>
        <v>0</v>
      </c>
      <c r="R205">
        <f t="shared" si="28"/>
        <v>0</v>
      </c>
      <c r="S205">
        <f t="shared" si="29"/>
        <v>0</v>
      </c>
      <c r="T205">
        <f t="shared" si="30"/>
        <v>17</v>
      </c>
      <c r="U205">
        <f t="shared" si="31"/>
        <v>0</v>
      </c>
      <c r="V205">
        <f t="shared" si="32"/>
        <v>0</v>
      </c>
      <c r="Y205" t="str">
        <f t="shared" si="23"/>
        <v>Yemen</v>
      </c>
      <c r="Z205" s="104" t="str">
        <f t="shared" si="24"/>
        <v/>
      </c>
      <c r="AA205" s="104">
        <f t="shared" si="25"/>
        <v>1</v>
      </c>
      <c r="AB205" s="104" t="str">
        <f t="shared" si="26"/>
        <v/>
      </c>
    </row>
    <row r="206" spans="1:28" x14ac:dyDescent="0.25">
      <c r="A206" s="50" t="s">
        <v>14281</v>
      </c>
      <c r="B206" s="57">
        <v>4</v>
      </c>
      <c r="C206" s="57">
        <v>1</v>
      </c>
      <c r="D206" s="57"/>
      <c r="E206" s="57">
        <v>9</v>
      </c>
      <c r="F206" s="57">
        <v>88</v>
      </c>
      <c r="G206" s="57">
        <v>1</v>
      </c>
      <c r="H206" s="57">
        <v>2</v>
      </c>
      <c r="I206" s="57">
        <v>54</v>
      </c>
      <c r="J206" s="57"/>
      <c r="K206" s="57"/>
      <c r="L206" s="57"/>
      <c r="M206" s="57">
        <v>4</v>
      </c>
      <c r="Q206">
        <f t="shared" si="27"/>
        <v>4</v>
      </c>
      <c r="R206">
        <f t="shared" si="28"/>
        <v>1</v>
      </c>
      <c r="S206">
        <f t="shared" si="29"/>
        <v>9</v>
      </c>
      <c r="T206">
        <f t="shared" si="30"/>
        <v>88</v>
      </c>
      <c r="U206">
        <f t="shared" si="31"/>
        <v>2</v>
      </c>
      <c r="V206">
        <f t="shared" si="32"/>
        <v>54</v>
      </c>
      <c r="Y206" t="str">
        <f t="shared" si="23"/>
        <v>Middle East, North Africa and Europe Total</v>
      </c>
      <c r="Z206" s="104">
        <f t="shared" si="24"/>
        <v>0.2</v>
      </c>
      <c r="AA206" s="104">
        <f t="shared" si="25"/>
        <v>0.90721649484536082</v>
      </c>
      <c r="AB206" s="104">
        <f t="shared" si="26"/>
        <v>0.9642857142857143</v>
      </c>
    </row>
    <row r="207" spans="1:28" x14ac:dyDescent="0.25">
      <c r="A207" s="50" t="s">
        <v>12970</v>
      </c>
      <c r="B207" s="57"/>
      <c r="C207" s="57"/>
      <c r="D207" s="57"/>
      <c r="E207" s="57"/>
      <c r="F207" s="57"/>
      <c r="G207" s="57"/>
      <c r="H207" s="57"/>
      <c r="I207" s="57"/>
      <c r="J207" s="57"/>
      <c r="K207" s="57"/>
      <c r="L207" s="57"/>
      <c r="M207" s="57"/>
      <c r="Q207">
        <f t="shared" si="27"/>
        <v>0</v>
      </c>
      <c r="R207">
        <f t="shared" si="28"/>
        <v>0</v>
      </c>
      <c r="S207">
        <f t="shared" si="29"/>
        <v>0</v>
      </c>
      <c r="T207">
        <f t="shared" si="30"/>
        <v>0</v>
      </c>
      <c r="U207">
        <f t="shared" si="31"/>
        <v>0</v>
      </c>
      <c r="V207">
        <f t="shared" si="32"/>
        <v>0</v>
      </c>
      <c r="Y207" t="str">
        <f t="shared" si="23"/>
        <v>North America</v>
      </c>
      <c r="Z207" s="104" t="str">
        <f t="shared" si="24"/>
        <v/>
      </c>
      <c r="AA207" s="104" t="str">
        <f t="shared" si="25"/>
        <v/>
      </c>
      <c r="AB207" s="104" t="str">
        <f t="shared" si="26"/>
        <v/>
      </c>
    </row>
    <row r="208" spans="1:28" x14ac:dyDescent="0.25">
      <c r="A208" s="55" t="s">
        <v>12969</v>
      </c>
      <c r="B208" s="57"/>
      <c r="C208" s="57"/>
      <c r="D208" s="57"/>
      <c r="E208" s="57"/>
      <c r="F208" s="57"/>
      <c r="G208" s="57"/>
      <c r="H208" s="57"/>
      <c r="I208" s="57"/>
      <c r="J208" s="57"/>
      <c r="K208" s="57"/>
      <c r="L208" s="57"/>
      <c r="M208" s="57"/>
      <c r="Q208">
        <f t="shared" si="27"/>
        <v>0</v>
      </c>
      <c r="R208">
        <f t="shared" si="28"/>
        <v>0</v>
      </c>
      <c r="S208">
        <f t="shared" si="29"/>
        <v>0</v>
      </c>
      <c r="T208">
        <f t="shared" si="30"/>
        <v>0</v>
      </c>
      <c r="U208">
        <f t="shared" si="31"/>
        <v>0</v>
      </c>
      <c r="V208">
        <f t="shared" si="32"/>
        <v>0</v>
      </c>
      <c r="Y208" t="str">
        <f t="shared" si="23"/>
        <v>United States of America</v>
      </c>
      <c r="Z208" s="104" t="str">
        <f t="shared" si="24"/>
        <v/>
      </c>
      <c r="AA208" s="104" t="str">
        <f t="shared" si="25"/>
        <v/>
      </c>
      <c r="AB208" s="104" t="str">
        <f t="shared" si="26"/>
        <v/>
      </c>
    </row>
    <row r="209" spans="1:37" x14ac:dyDescent="0.25">
      <c r="A209" s="50" t="s">
        <v>14282</v>
      </c>
      <c r="B209" s="57"/>
      <c r="C209" s="57"/>
      <c r="D209" s="57"/>
      <c r="E209" s="57"/>
      <c r="F209" s="57"/>
      <c r="G209" s="57"/>
      <c r="H209" s="57"/>
      <c r="I209" s="57"/>
      <c r="J209" s="57"/>
      <c r="K209" s="57"/>
      <c r="L209" s="57"/>
      <c r="M209" s="57"/>
      <c r="Q209">
        <f t="shared" si="27"/>
        <v>0</v>
      </c>
      <c r="R209">
        <f t="shared" si="28"/>
        <v>0</v>
      </c>
      <c r="S209">
        <f t="shared" si="29"/>
        <v>0</v>
      </c>
      <c r="T209">
        <f t="shared" si="30"/>
        <v>0</v>
      </c>
      <c r="U209">
        <f t="shared" si="31"/>
        <v>0</v>
      </c>
      <c r="V209">
        <f t="shared" si="32"/>
        <v>0</v>
      </c>
      <c r="Y209" t="str">
        <f t="shared" si="23"/>
        <v>North America Total</v>
      </c>
      <c r="Z209" s="104" t="str">
        <f t="shared" si="24"/>
        <v/>
      </c>
      <c r="AA209" s="104" t="str">
        <f t="shared" si="25"/>
        <v/>
      </c>
      <c r="AB209" s="104" t="str">
        <f t="shared" si="26"/>
        <v/>
      </c>
    </row>
    <row r="210" spans="1:37" x14ac:dyDescent="0.25">
      <c r="A210" s="50" t="s">
        <v>14272</v>
      </c>
      <c r="B210" s="57">
        <v>7</v>
      </c>
      <c r="C210" s="57">
        <v>1</v>
      </c>
      <c r="D210" s="57"/>
      <c r="E210" s="57">
        <v>38</v>
      </c>
      <c r="F210" s="57">
        <v>520</v>
      </c>
      <c r="G210" s="57">
        <v>5</v>
      </c>
      <c r="H210" s="57">
        <v>22</v>
      </c>
      <c r="I210" s="57">
        <v>255</v>
      </c>
      <c r="J210" s="57"/>
      <c r="K210" s="57">
        <v>1</v>
      </c>
      <c r="L210" s="57">
        <v>1</v>
      </c>
      <c r="M210" s="57">
        <v>4</v>
      </c>
      <c r="Q210">
        <f t="shared" si="27"/>
        <v>7</v>
      </c>
      <c r="R210">
        <f t="shared" si="28"/>
        <v>1</v>
      </c>
      <c r="S210">
        <f t="shared" si="29"/>
        <v>38</v>
      </c>
      <c r="T210">
        <f t="shared" si="30"/>
        <v>520</v>
      </c>
      <c r="U210">
        <f t="shared" si="31"/>
        <v>22</v>
      </c>
      <c r="V210">
        <f t="shared" si="32"/>
        <v>255</v>
      </c>
      <c r="Y210" t="str">
        <f t="shared" si="23"/>
        <v>Grand Total</v>
      </c>
      <c r="Z210" s="104">
        <f t="shared" si="24"/>
        <v>0.125</v>
      </c>
      <c r="AA210" s="104">
        <f t="shared" si="25"/>
        <v>0.93189964157706096</v>
      </c>
      <c r="AB210" s="104">
        <f t="shared" si="26"/>
        <v>0.92057761732851984</v>
      </c>
    </row>
    <row r="211" spans="1:37" x14ac:dyDescent="0.25">
      <c r="Q211">
        <f t="shared" si="27"/>
        <v>0</v>
      </c>
      <c r="R211">
        <f t="shared" si="28"/>
        <v>0</v>
      </c>
      <c r="S211">
        <f t="shared" si="29"/>
        <v>0</v>
      </c>
      <c r="T211">
        <f t="shared" si="30"/>
        <v>0</v>
      </c>
      <c r="U211">
        <f t="shared" si="31"/>
        <v>0</v>
      </c>
      <c r="V211">
        <f t="shared" si="32"/>
        <v>0</v>
      </c>
      <c r="Y211">
        <f t="shared" si="23"/>
        <v>0</v>
      </c>
      <c r="Z211" s="104" t="str">
        <f t="shared" si="24"/>
        <v/>
      </c>
      <c r="AA211" s="104" t="str">
        <f t="shared" si="25"/>
        <v/>
      </c>
      <c r="AB211" s="104" t="str">
        <f t="shared" si="26"/>
        <v/>
      </c>
    </row>
    <row r="214" spans="1:37" x14ac:dyDescent="0.25">
      <c r="A214" s="49" t="s">
        <v>14534</v>
      </c>
      <c r="B214" s="49" t="s">
        <v>14283</v>
      </c>
    </row>
    <row r="215" spans="1:37" x14ac:dyDescent="0.25">
      <c r="B215" t="s">
        <v>1909</v>
      </c>
      <c r="E215" t="s">
        <v>335</v>
      </c>
      <c r="H215" t="s">
        <v>478</v>
      </c>
      <c r="K215" t="s">
        <v>14275</v>
      </c>
      <c r="Q215" s="431" t="str">
        <f>A214</f>
        <v>Count of Gender Marker – Activities</v>
      </c>
      <c r="R215" s="431"/>
      <c r="S215" s="431"/>
      <c r="T215" s="431"/>
      <c r="U215" s="431"/>
      <c r="V215" s="431"/>
      <c r="W215" s="113"/>
      <c r="X215" s="113"/>
      <c r="Z215" s="431"/>
      <c r="AA215" s="431"/>
      <c r="AB215" s="431"/>
    </row>
    <row r="216" spans="1:37" x14ac:dyDescent="0.25">
      <c r="A216" s="49" t="s">
        <v>14283</v>
      </c>
      <c r="B216" t="s">
        <v>319</v>
      </c>
      <c r="C216" t="s">
        <v>320</v>
      </c>
      <c r="D216" t="s">
        <v>14275</v>
      </c>
      <c r="E216" t="s">
        <v>319</v>
      </c>
      <c r="F216" t="s">
        <v>320</v>
      </c>
      <c r="G216" t="s">
        <v>14275</v>
      </c>
      <c r="H216" t="s">
        <v>319</v>
      </c>
      <c r="I216" t="s">
        <v>320</v>
      </c>
      <c r="J216" t="s">
        <v>14275</v>
      </c>
      <c r="K216" t="s">
        <v>319</v>
      </c>
      <c r="L216" t="s">
        <v>320</v>
      </c>
      <c r="M216" t="s">
        <v>14275</v>
      </c>
      <c r="N216" s="49"/>
      <c r="O216" s="49"/>
      <c r="P216" s="49"/>
      <c r="Q216" s="432" t="s">
        <v>14537</v>
      </c>
      <c r="R216" s="432"/>
      <c r="S216" s="432" t="s">
        <v>14539</v>
      </c>
      <c r="T216" s="432"/>
      <c r="U216" s="432" t="s">
        <v>14540</v>
      </c>
      <c r="V216" s="432"/>
      <c r="W216" s="115"/>
      <c r="X216" s="115"/>
      <c r="Y216" s="49"/>
      <c r="Z216" s="49" t="s">
        <v>14541</v>
      </c>
      <c r="AA216" s="49"/>
      <c r="AB216" s="49"/>
      <c r="AC216" s="49"/>
      <c r="AD216" s="49"/>
      <c r="AE216" s="49"/>
      <c r="AF216" s="49"/>
      <c r="AG216" s="49"/>
      <c r="AH216" s="49"/>
      <c r="AI216" s="49"/>
      <c r="AJ216" s="49"/>
      <c r="AK216" s="49"/>
    </row>
    <row r="217" spans="1:37" x14ac:dyDescent="0.25">
      <c r="A217" s="50" t="s">
        <v>1874</v>
      </c>
      <c r="B217" s="57"/>
      <c r="C217" s="57"/>
      <c r="D217" s="57"/>
      <c r="E217" s="57"/>
      <c r="F217" s="57"/>
      <c r="G217" s="57"/>
      <c r="H217" s="57"/>
      <c r="I217" s="57"/>
      <c r="J217" s="57"/>
      <c r="K217" s="57"/>
      <c r="L217" s="57"/>
      <c r="M217" s="57"/>
      <c r="Q217" s="113" t="s">
        <v>7463</v>
      </c>
      <c r="R217" s="113" t="s">
        <v>326</v>
      </c>
      <c r="S217" s="113" t="s">
        <v>7463</v>
      </c>
      <c r="T217" s="113" t="s">
        <v>326</v>
      </c>
      <c r="U217" s="113" t="s">
        <v>7463</v>
      </c>
      <c r="V217" s="113" t="s">
        <v>326</v>
      </c>
      <c r="W217" s="113"/>
      <c r="X217" s="113"/>
      <c r="Z217" s="113" t="str">
        <f>Q216</f>
        <v>Gender blind</v>
      </c>
      <c r="AA217" s="113" t="str">
        <f>S216</f>
        <v>Within existing roles</v>
      </c>
      <c r="AB217" s="113" t="str">
        <f>U216</f>
        <v>Challenged existing roles</v>
      </c>
    </row>
    <row r="218" spans="1:37" x14ac:dyDescent="0.25">
      <c r="A218" s="55" t="s">
        <v>1873</v>
      </c>
      <c r="B218" s="57">
        <v>1</v>
      </c>
      <c r="C218" s="57"/>
      <c r="D218" s="57"/>
      <c r="E218" s="57"/>
      <c r="F218" s="57">
        <v>4</v>
      </c>
      <c r="G218" s="57"/>
      <c r="H218" s="57">
        <v>1</v>
      </c>
      <c r="I218" s="57">
        <v>7</v>
      </c>
      <c r="J218" s="57"/>
      <c r="K218" s="57"/>
      <c r="L218" s="57"/>
      <c r="M218" s="57"/>
      <c r="Q218">
        <f t="shared" ref="Q218:R221" si="33">B218</f>
        <v>1</v>
      </c>
      <c r="R218">
        <f t="shared" si="33"/>
        <v>0</v>
      </c>
      <c r="S218">
        <f t="shared" ref="S218:T221" si="34">E218</f>
        <v>0</v>
      </c>
      <c r="T218">
        <f t="shared" si="34"/>
        <v>4</v>
      </c>
      <c r="U218">
        <f t="shared" ref="U218:V221" si="35">H218</f>
        <v>1</v>
      </c>
      <c r="V218">
        <f t="shared" si="35"/>
        <v>7</v>
      </c>
      <c r="Y218" t="str">
        <f>A218</f>
        <v>Burundi</v>
      </c>
      <c r="Z218" s="104">
        <f>IFERROR(R218/(SUM($Q218:$R218)),"")</f>
        <v>0</v>
      </c>
      <c r="AA218" s="104">
        <f>IFERROR(T218/(SUM($S218:$T218)),"")</f>
        <v>1</v>
      </c>
      <c r="AB218" s="104">
        <f>IFERROR(V218/(SUM($U218:$V218)),"")</f>
        <v>0.875</v>
      </c>
    </row>
    <row r="219" spans="1:37" x14ac:dyDescent="0.25">
      <c r="A219" s="55" t="s">
        <v>3868</v>
      </c>
      <c r="B219" s="57"/>
      <c r="C219" s="57"/>
      <c r="D219" s="57"/>
      <c r="E219" s="57"/>
      <c r="F219" s="57">
        <v>22</v>
      </c>
      <c r="G219" s="57"/>
      <c r="H219" s="57"/>
      <c r="I219" s="57">
        <v>8</v>
      </c>
      <c r="J219" s="57"/>
      <c r="K219" s="57"/>
      <c r="L219" s="57"/>
      <c r="M219" s="57"/>
      <c r="Q219">
        <f t="shared" si="33"/>
        <v>0</v>
      </c>
      <c r="R219">
        <f t="shared" si="33"/>
        <v>0</v>
      </c>
      <c r="S219">
        <f t="shared" si="34"/>
        <v>0</v>
      </c>
      <c r="T219">
        <f t="shared" si="34"/>
        <v>22</v>
      </c>
      <c r="U219">
        <f t="shared" si="35"/>
        <v>0</v>
      </c>
      <c r="V219">
        <f t="shared" si="35"/>
        <v>8</v>
      </c>
      <c r="Y219" t="str">
        <f t="shared" ref="Y219:Y282" si="36">A219</f>
        <v>Ethiopia</v>
      </c>
      <c r="Z219" s="104" t="str">
        <f t="shared" ref="Z219:Z282" si="37">IFERROR(R219/(SUM($Q219:$R219)),"")</f>
        <v/>
      </c>
      <c r="AA219" s="104">
        <f t="shared" ref="AA219:AA282" si="38">IFERROR(T219/(SUM($S219:$T219)),"")</f>
        <v>1</v>
      </c>
      <c r="AB219" s="104">
        <f t="shared" ref="AB219:AB282" si="39">IFERROR(V219/(SUM($U219:$V219)),"")</f>
        <v>1</v>
      </c>
    </row>
    <row r="220" spans="1:37" x14ac:dyDescent="0.25">
      <c r="A220" s="55" t="s">
        <v>6457</v>
      </c>
      <c r="B220" s="57">
        <v>1</v>
      </c>
      <c r="C220" s="57"/>
      <c r="D220" s="57"/>
      <c r="E220" s="57">
        <v>1</v>
      </c>
      <c r="F220" s="57">
        <v>18</v>
      </c>
      <c r="G220" s="57"/>
      <c r="H220" s="57">
        <v>2</v>
      </c>
      <c r="I220" s="57">
        <v>5</v>
      </c>
      <c r="J220" s="57"/>
      <c r="K220" s="57"/>
      <c r="L220" s="57"/>
      <c r="M220" s="57"/>
      <c r="Q220">
        <f t="shared" si="33"/>
        <v>1</v>
      </c>
      <c r="R220">
        <f t="shared" si="33"/>
        <v>0</v>
      </c>
      <c r="S220">
        <f t="shared" si="34"/>
        <v>1</v>
      </c>
      <c r="T220">
        <f t="shared" si="34"/>
        <v>18</v>
      </c>
      <c r="U220">
        <f t="shared" si="35"/>
        <v>2</v>
      </c>
      <c r="V220">
        <f t="shared" si="35"/>
        <v>5</v>
      </c>
      <c r="Y220" t="str">
        <f t="shared" si="36"/>
        <v>Kenya</v>
      </c>
      <c r="Z220" s="104">
        <f t="shared" si="37"/>
        <v>0</v>
      </c>
      <c r="AA220" s="104">
        <f t="shared" si="38"/>
        <v>0.94736842105263153</v>
      </c>
      <c r="AB220" s="104">
        <f t="shared" si="39"/>
        <v>0.7142857142857143</v>
      </c>
    </row>
    <row r="221" spans="1:37" x14ac:dyDescent="0.25">
      <c r="A221" s="55" t="s">
        <v>10371</v>
      </c>
      <c r="B221" s="57"/>
      <c r="C221" s="57"/>
      <c r="D221" s="57"/>
      <c r="E221" s="57"/>
      <c r="F221" s="57">
        <v>2</v>
      </c>
      <c r="G221" s="57"/>
      <c r="H221" s="57">
        <v>1</v>
      </c>
      <c r="I221" s="57">
        <v>4</v>
      </c>
      <c r="J221" s="57"/>
      <c r="K221" s="57"/>
      <c r="L221" s="57"/>
      <c r="M221" s="57"/>
      <c r="Q221">
        <f t="shared" si="33"/>
        <v>0</v>
      </c>
      <c r="R221">
        <f t="shared" si="33"/>
        <v>0</v>
      </c>
      <c r="S221">
        <f t="shared" si="34"/>
        <v>0</v>
      </c>
      <c r="T221">
        <f t="shared" si="34"/>
        <v>2</v>
      </c>
      <c r="U221">
        <f t="shared" si="35"/>
        <v>1</v>
      </c>
      <c r="V221">
        <f t="shared" si="35"/>
        <v>4</v>
      </c>
      <c r="Y221" t="str">
        <f t="shared" si="36"/>
        <v>Rwanda</v>
      </c>
      <c r="Z221" s="104" t="str">
        <f t="shared" si="37"/>
        <v/>
      </c>
      <c r="AA221" s="104">
        <f t="shared" si="38"/>
        <v>1</v>
      </c>
      <c r="AB221" s="104">
        <f t="shared" si="39"/>
        <v>0.8</v>
      </c>
    </row>
    <row r="222" spans="1:37" x14ac:dyDescent="0.25">
      <c r="A222" s="55" t="s">
        <v>10685</v>
      </c>
      <c r="B222" s="57"/>
      <c r="C222" s="57"/>
      <c r="D222" s="57"/>
      <c r="E222" s="57"/>
      <c r="F222" s="57">
        <v>32</v>
      </c>
      <c r="G222" s="57"/>
      <c r="H222" s="57"/>
      <c r="I222" s="57">
        <v>3</v>
      </c>
      <c r="J222" s="57"/>
      <c r="K222" s="57"/>
      <c r="L222" s="57"/>
      <c r="M222" s="57"/>
      <c r="Q222">
        <f t="shared" ref="Q222:Q285" si="40">B222</f>
        <v>0</v>
      </c>
      <c r="R222">
        <f t="shared" ref="R222:R285" si="41">C222</f>
        <v>0</v>
      </c>
      <c r="S222">
        <f t="shared" ref="S222:S285" si="42">E222</f>
        <v>0</v>
      </c>
      <c r="T222">
        <f t="shared" ref="T222:T285" si="43">F222</f>
        <v>32</v>
      </c>
      <c r="U222">
        <f t="shared" ref="U222:U285" si="44">H222</f>
        <v>0</v>
      </c>
      <c r="V222">
        <f t="shared" ref="V222:V285" si="45">I222</f>
        <v>3</v>
      </c>
      <c r="Y222" t="str">
        <f t="shared" si="36"/>
        <v>Somalia</v>
      </c>
      <c r="Z222" s="104" t="str">
        <f t="shared" si="37"/>
        <v/>
      </c>
      <c r="AA222" s="104">
        <f t="shared" si="38"/>
        <v>1</v>
      </c>
      <c r="AB222" s="104">
        <f t="shared" si="39"/>
        <v>1</v>
      </c>
    </row>
    <row r="223" spans="1:37" x14ac:dyDescent="0.25">
      <c r="A223" s="55" t="s">
        <v>11104</v>
      </c>
      <c r="B223" s="57"/>
      <c r="C223" s="57"/>
      <c r="D223" s="57"/>
      <c r="E223" s="57">
        <v>1</v>
      </c>
      <c r="F223" s="57">
        <v>18</v>
      </c>
      <c r="G223" s="57"/>
      <c r="H223" s="57"/>
      <c r="I223" s="57">
        <v>2</v>
      </c>
      <c r="J223" s="57"/>
      <c r="K223" s="57"/>
      <c r="L223" s="57"/>
      <c r="M223" s="57"/>
      <c r="Q223">
        <f t="shared" si="40"/>
        <v>0</v>
      </c>
      <c r="R223">
        <f t="shared" si="41"/>
        <v>0</v>
      </c>
      <c r="S223">
        <f t="shared" si="42"/>
        <v>1</v>
      </c>
      <c r="T223">
        <f t="shared" si="43"/>
        <v>18</v>
      </c>
      <c r="U223">
        <f t="shared" si="44"/>
        <v>0</v>
      </c>
      <c r="V223">
        <f t="shared" si="45"/>
        <v>2</v>
      </c>
      <c r="Y223" t="str">
        <f t="shared" si="36"/>
        <v>South Sudan</v>
      </c>
      <c r="Z223" s="104" t="str">
        <f t="shared" si="37"/>
        <v/>
      </c>
      <c r="AA223" s="104">
        <f t="shared" si="38"/>
        <v>0.94736842105263153</v>
      </c>
      <c r="AB223" s="104">
        <f t="shared" si="39"/>
        <v>1</v>
      </c>
    </row>
    <row r="224" spans="1:37" x14ac:dyDescent="0.25">
      <c r="A224" s="55" t="s">
        <v>11417</v>
      </c>
      <c r="B224" s="57"/>
      <c r="C224" s="57"/>
      <c r="D224" s="57"/>
      <c r="E224" s="57">
        <v>1</v>
      </c>
      <c r="F224" s="57">
        <v>10</v>
      </c>
      <c r="G224" s="57"/>
      <c r="H224" s="57"/>
      <c r="I224" s="57">
        <v>7</v>
      </c>
      <c r="J224" s="57"/>
      <c r="K224" s="57"/>
      <c r="L224" s="57"/>
      <c r="M224" s="57"/>
      <c r="Q224">
        <f t="shared" si="40"/>
        <v>0</v>
      </c>
      <c r="R224">
        <f t="shared" si="41"/>
        <v>0</v>
      </c>
      <c r="S224">
        <f t="shared" si="42"/>
        <v>1</v>
      </c>
      <c r="T224">
        <f t="shared" si="43"/>
        <v>10</v>
      </c>
      <c r="U224">
        <f t="shared" si="44"/>
        <v>0</v>
      </c>
      <c r="V224">
        <f t="shared" si="45"/>
        <v>7</v>
      </c>
      <c r="Y224" t="str">
        <f t="shared" si="36"/>
        <v>Sudan</v>
      </c>
      <c r="Z224" s="104" t="str">
        <f t="shared" si="37"/>
        <v/>
      </c>
      <c r="AA224" s="104">
        <f t="shared" si="38"/>
        <v>0.90909090909090906</v>
      </c>
      <c r="AB224" s="104">
        <f t="shared" si="39"/>
        <v>1</v>
      </c>
    </row>
    <row r="225" spans="1:28" x14ac:dyDescent="0.25">
      <c r="A225" s="55" t="s">
        <v>12694</v>
      </c>
      <c r="B225" s="57"/>
      <c r="C225" s="57"/>
      <c r="D225" s="57"/>
      <c r="E225" s="57"/>
      <c r="F225" s="57">
        <v>10</v>
      </c>
      <c r="G225" s="57"/>
      <c r="H225" s="57"/>
      <c r="I225" s="57">
        <v>3</v>
      </c>
      <c r="J225" s="57"/>
      <c r="K225" s="57"/>
      <c r="L225" s="57"/>
      <c r="M225" s="57"/>
      <c r="Q225">
        <f t="shared" si="40"/>
        <v>0</v>
      </c>
      <c r="R225">
        <f t="shared" si="41"/>
        <v>0</v>
      </c>
      <c r="S225">
        <f t="shared" si="42"/>
        <v>0</v>
      </c>
      <c r="T225">
        <f t="shared" si="43"/>
        <v>10</v>
      </c>
      <c r="U225">
        <f t="shared" si="44"/>
        <v>0</v>
      </c>
      <c r="V225">
        <f t="shared" si="45"/>
        <v>3</v>
      </c>
      <c r="Y225" t="str">
        <f t="shared" si="36"/>
        <v>Uganda</v>
      </c>
      <c r="Z225" s="104" t="str">
        <f t="shared" si="37"/>
        <v/>
      </c>
      <c r="AA225" s="104">
        <f t="shared" si="38"/>
        <v>1</v>
      </c>
      <c r="AB225" s="104">
        <f t="shared" si="39"/>
        <v>1</v>
      </c>
    </row>
    <row r="226" spans="1:28" x14ac:dyDescent="0.25">
      <c r="A226" s="55" t="s">
        <v>14322</v>
      </c>
      <c r="B226" s="57"/>
      <c r="C226" s="57"/>
      <c r="D226" s="57"/>
      <c r="E226" s="57"/>
      <c r="F226" s="57">
        <v>3</v>
      </c>
      <c r="G226" s="57"/>
      <c r="H226" s="57"/>
      <c r="I226" s="57">
        <v>2</v>
      </c>
      <c r="J226" s="57"/>
      <c r="K226" s="57"/>
      <c r="L226" s="57"/>
      <c r="M226" s="57"/>
      <c r="Q226">
        <f t="shared" si="40"/>
        <v>0</v>
      </c>
      <c r="R226">
        <f t="shared" si="41"/>
        <v>0</v>
      </c>
      <c r="S226">
        <f t="shared" si="42"/>
        <v>0</v>
      </c>
      <c r="T226">
        <f t="shared" si="43"/>
        <v>3</v>
      </c>
      <c r="U226">
        <f t="shared" si="44"/>
        <v>0</v>
      </c>
      <c r="V226">
        <f t="shared" si="45"/>
        <v>2</v>
      </c>
      <c r="Y226" t="str">
        <f t="shared" si="36"/>
        <v>DRC</v>
      </c>
      <c r="Z226" s="104" t="str">
        <f t="shared" si="37"/>
        <v/>
      </c>
      <c r="AA226" s="104">
        <f t="shared" si="38"/>
        <v>1</v>
      </c>
      <c r="AB226" s="104">
        <f t="shared" si="39"/>
        <v>1</v>
      </c>
    </row>
    <row r="227" spans="1:28" x14ac:dyDescent="0.25">
      <c r="A227" s="50" t="s">
        <v>14276</v>
      </c>
      <c r="B227" s="57">
        <v>2</v>
      </c>
      <c r="C227" s="57"/>
      <c r="D227" s="57"/>
      <c r="E227" s="57">
        <v>3</v>
      </c>
      <c r="F227" s="57">
        <v>119</v>
      </c>
      <c r="G227" s="57"/>
      <c r="H227" s="57">
        <v>4</v>
      </c>
      <c r="I227" s="57">
        <v>41</v>
      </c>
      <c r="J227" s="57"/>
      <c r="K227" s="57"/>
      <c r="L227" s="57"/>
      <c r="M227" s="57"/>
      <c r="Q227">
        <f t="shared" si="40"/>
        <v>2</v>
      </c>
      <c r="R227">
        <f t="shared" si="41"/>
        <v>0</v>
      </c>
      <c r="S227">
        <f t="shared" si="42"/>
        <v>3</v>
      </c>
      <c r="T227">
        <f t="shared" si="43"/>
        <v>119</v>
      </c>
      <c r="U227">
        <f t="shared" si="44"/>
        <v>4</v>
      </c>
      <c r="V227">
        <f t="shared" si="45"/>
        <v>41</v>
      </c>
      <c r="Y227" t="str">
        <f t="shared" si="36"/>
        <v>Africa - East and Central Total</v>
      </c>
      <c r="Z227" s="104">
        <f t="shared" si="37"/>
        <v>0</v>
      </c>
      <c r="AA227" s="104">
        <f t="shared" si="38"/>
        <v>0.97540983606557374</v>
      </c>
      <c r="AB227" s="104">
        <f t="shared" si="39"/>
        <v>0.91111111111111109</v>
      </c>
    </row>
    <row r="228" spans="1:28" x14ac:dyDescent="0.25">
      <c r="A228" s="50" t="s">
        <v>7217</v>
      </c>
      <c r="B228" s="57"/>
      <c r="C228" s="57"/>
      <c r="D228" s="57"/>
      <c r="E228" s="57"/>
      <c r="F228" s="57"/>
      <c r="G228" s="57"/>
      <c r="H228" s="57"/>
      <c r="I228" s="57"/>
      <c r="J228" s="57"/>
      <c r="K228" s="57"/>
      <c r="L228" s="57"/>
      <c r="M228" s="57"/>
      <c r="Q228">
        <f t="shared" si="40"/>
        <v>0</v>
      </c>
      <c r="R228">
        <f t="shared" si="41"/>
        <v>0</v>
      </c>
      <c r="S228">
        <f t="shared" si="42"/>
        <v>0</v>
      </c>
      <c r="T228">
        <f t="shared" si="43"/>
        <v>0</v>
      </c>
      <c r="U228">
        <f t="shared" si="44"/>
        <v>0</v>
      </c>
      <c r="V228">
        <f t="shared" si="45"/>
        <v>0</v>
      </c>
      <c r="Y228" t="str">
        <f t="shared" si="36"/>
        <v>Africa - Southern</v>
      </c>
      <c r="Z228" s="104" t="str">
        <f t="shared" si="37"/>
        <v/>
      </c>
      <c r="AA228" s="104" t="str">
        <f t="shared" si="38"/>
        <v/>
      </c>
      <c r="AB228" s="104" t="str">
        <f t="shared" si="39"/>
        <v/>
      </c>
    </row>
    <row r="229" spans="1:28" x14ac:dyDescent="0.25">
      <c r="A229" s="55" t="s">
        <v>7216</v>
      </c>
      <c r="B229" s="57"/>
      <c r="C229" s="57"/>
      <c r="D229" s="57"/>
      <c r="E229" s="57"/>
      <c r="F229" s="57">
        <v>9</v>
      </c>
      <c r="G229" s="57"/>
      <c r="H229" s="57"/>
      <c r="I229" s="57">
        <v>2</v>
      </c>
      <c r="J229" s="57"/>
      <c r="K229" s="57"/>
      <c r="L229" s="57"/>
      <c r="M229" s="57"/>
      <c r="Q229">
        <f t="shared" si="40"/>
        <v>0</v>
      </c>
      <c r="R229">
        <f t="shared" si="41"/>
        <v>0</v>
      </c>
      <c r="S229">
        <f t="shared" si="42"/>
        <v>0</v>
      </c>
      <c r="T229">
        <f t="shared" si="43"/>
        <v>9</v>
      </c>
      <c r="U229">
        <f t="shared" si="44"/>
        <v>0</v>
      </c>
      <c r="V229">
        <f t="shared" si="45"/>
        <v>2</v>
      </c>
      <c r="Y229" t="str">
        <f t="shared" si="36"/>
        <v>Madagascar</v>
      </c>
      <c r="Z229" s="104" t="str">
        <f t="shared" si="37"/>
        <v/>
      </c>
      <c r="AA229" s="104">
        <f t="shared" si="38"/>
        <v>1</v>
      </c>
      <c r="AB229" s="104">
        <f t="shared" si="39"/>
        <v>1</v>
      </c>
    </row>
    <row r="230" spans="1:28" x14ac:dyDescent="0.25">
      <c r="A230" s="55" t="s">
        <v>7451</v>
      </c>
      <c r="B230" s="57"/>
      <c r="C230" s="57"/>
      <c r="D230" s="57"/>
      <c r="E230" s="57">
        <v>1</v>
      </c>
      <c r="F230" s="57">
        <v>16</v>
      </c>
      <c r="G230" s="57"/>
      <c r="H230" s="57"/>
      <c r="I230" s="57">
        <v>6</v>
      </c>
      <c r="J230" s="57"/>
      <c r="K230" s="57"/>
      <c r="L230" s="57"/>
      <c r="M230" s="57"/>
      <c r="Q230">
        <f t="shared" si="40"/>
        <v>0</v>
      </c>
      <c r="R230">
        <f t="shared" si="41"/>
        <v>0</v>
      </c>
      <c r="S230">
        <f t="shared" si="42"/>
        <v>1</v>
      </c>
      <c r="T230">
        <f t="shared" si="43"/>
        <v>16</v>
      </c>
      <c r="U230">
        <f t="shared" si="44"/>
        <v>0</v>
      </c>
      <c r="V230">
        <f t="shared" si="45"/>
        <v>6</v>
      </c>
      <c r="Y230" t="str">
        <f t="shared" si="36"/>
        <v>Malawi</v>
      </c>
      <c r="Z230" s="104" t="str">
        <f t="shared" si="37"/>
        <v/>
      </c>
      <c r="AA230" s="104">
        <f t="shared" si="38"/>
        <v>0.94117647058823528</v>
      </c>
      <c r="AB230" s="104">
        <f t="shared" si="39"/>
        <v>1</v>
      </c>
    </row>
    <row r="231" spans="1:28" x14ac:dyDescent="0.25">
      <c r="A231" s="55" t="s">
        <v>8265</v>
      </c>
      <c r="B231" s="57"/>
      <c r="C231" s="57"/>
      <c r="D231" s="57"/>
      <c r="E231" s="57">
        <v>1</v>
      </c>
      <c r="F231" s="57">
        <v>5</v>
      </c>
      <c r="G231" s="57"/>
      <c r="H231" s="57">
        <v>2</v>
      </c>
      <c r="I231" s="57">
        <v>2</v>
      </c>
      <c r="J231" s="57"/>
      <c r="K231" s="57"/>
      <c r="L231" s="57"/>
      <c r="M231" s="57"/>
      <c r="Q231">
        <f t="shared" si="40"/>
        <v>0</v>
      </c>
      <c r="R231">
        <f t="shared" si="41"/>
        <v>0</v>
      </c>
      <c r="S231">
        <f t="shared" si="42"/>
        <v>1</v>
      </c>
      <c r="T231">
        <f t="shared" si="43"/>
        <v>5</v>
      </c>
      <c r="U231">
        <f t="shared" si="44"/>
        <v>2</v>
      </c>
      <c r="V231">
        <f t="shared" si="45"/>
        <v>2</v>
      </c>
      <c r="Y231" t="str">
        <f t="shared" si="36"/>
        <v>Mozambique</v>
      </c>
      <c r="Z231" s="104" t="str">
        <f t="shared" si="37"/>
        <v/>
      </c>
      <c r="AA231" s="104">
        <f t="shared" si="38"/>
        <v>0.83333333333333337</v>
      </c>
      <c r="AB231" s="104">
        <f t="shared" si="39"/>
        <v>0.5</v>
      </c>
    </row>
    <row r="232" spans="1:28" x14ac:dyDescent="0.25">
      <c r="A232" s="55" t="s">
        <v>11102</v>
      </c>
      <c r="B232" s="57"/>
      <c r="C232" s="57"/>
      <c r="D232" s="57"/>
      <c r="E232" s="57"/>
      <c r="F232" s="57"/>
      <c r="G232" s="57"/>
      <c r="H232" s="57"/>
      <c r="I232" s="57"/>
      <c r="J232" s="57"/>
      <c r="K232" s="57"/>
      <c r="L232" s="57"/>
      <c r="M232" s="57"/>
      <c r="Q232">
        <f t="shared" si="40"/>
        <v>0</v>
      </c>
      <c r="R232">
        <f t="shared" si="41"/>
        <v>0</v>
      </c>
      <c r="S232">
        <f t="shared" si="42"/>
        <v>0</v>
      </c>
      <c r="T232">
        <f t="shared" si="43"/>
        <v>0</v>
      </c>
      <c r="U232">
        <f t="shared" si="44"/>
        <v>0</v>
      </c>
      <c r="V232">
        <f t="shared" si="45"/>
        <v>0</v>
      </c>
      <c r="Y232" t="str">
        <f t="shared" si="36"/>
        <v>South Africa</v>
      </c>
      <c r="Z232" s="104" t="str">
        <f t="shared" si="37"/>
        <v/>
      </c>
      <c r="AA232" s="104" t="str">
        <f t="shared" si="38"/>
        <v/>
      </c>
      <c r="AB232" s="104" t="str">
        <f t="shared" si="39"/>
        <v/>
      </c>
    </row>
    <row r="233" spans="1:28" x14ac:dyDescent="0.25">
      <c r="A233" s="55" t="s">
        <v>12090</v>
      </c>
      <c r="B233" s="57"/>
      <c r="C233" s="57"/>
      <c r="D233" s="57"/>
      <c r="E233" s="57">
        <v>2</v>
      </c>
      <c r="F233" s="57">
        <v>5</v>
      </c>
      <c r="G233" s="57"/>
      <c r="H233" s="57"/>
      <c r="I233" s="57">
        <v>4</v>
      </c>
      <c r="J233" s="57"/>
      <c r="K233" s="57"/>
      <c r="L233" s="57"/>
      <c r="M233" s="57"/>
      <c r="Q233">
        <f t="shared" si="40"/>
        <v>0</v>
      </c>
      <c r="R233">
        <f t="shared" si="41"/>
        <v>0</v>
      </c>
      <c r="S233">
        <f t="shared" si="42"/>
        <v>2</v>
      </c>
      <c r="T233">
        <f t="shared" si="43"/>
        <v>5</v>
      </c>
      <c r="U233">
        <f t="shared" si="44"/>
        <v>0</v>
      </c>
      <c r="V233">
        <f t="shared" si="45"/>
        <v>4</v>
      </c>
      <c r="Y233" t="str">
        <f t="shared" si="36"/>
        <v>Tanzania</v>
      </c>
      <c r="Z233" s="104" t="str">
        <f t="shared" si="37"/>
        <v/>
      </c>
      <c r="AA233" s="104">
        <f t="shared" si="38"/>
        <v>0.7142857142857143</v>
      </c>
      <c r="AB233" s="104">
        <f t="shared" si="39"/>
        <v>1</v>
      </c>
    </row>
    <row r="234" spans="1:28" x14ac:dyDescent="0.25">
      <c r="A234" s="55" t="s">
        <v>13917</v>
      </c>
      <c r="B234" s="57"/>
      <c r="C234" s="57"/>
      <c r="D234" s="57"/>
      <c r="E234" s="57">
        <v>2</v>
      </c>
      <c r="F234" s="57">
        <v>2</v>
      </c>
      <c r="G234" s="57"/>
      <c r="H234" s="57"/>
      <c r="I234" s="57">
        <v>1</v>
      </c>
      <c r="J234" s="57"/>
      <c r="K234" s="57"/>
      <c r="L234" s="57"/>
      <c r="M234" s="57"/>
      <c r="Q234">
        <f t="shared" si="40"/>
        <v>0</v>
      </c>
      <c r="R234">
        <f t="shared" si="41"/>
        <v>0</v>
      </c>
      <c r="S234">
        <f t="shared" si="42"/>
        <v>2</v>
      </c>
      <c r="T234">
        <f t="shared" si="43"/>
        <v>2</v>
      </c>
      <c r="U234">
        <f t="shared" si="44"/>
        <v>0</v>
      </c>
      <c r="V234">
        <f t="shared" si="45"/>
        <v>1</v>
      </c>
      <c r="Y234" t="str">
        <f t="shared" si="36"/>
        <v>Zambia</v>
      </c>
      <c r="Z234" s="104" t="str">
        <f t="shared" si="37"/>
        <v/>
      </c>
      <c r="AA234" s="104">
        <f t="shared" si="38"/>
        <v>0.5</v>
      </c>
      <c r="AB234" s="104">
        <f t="shared" si="39"/>
        <v>1</v>
      </c>
    </row>
    <row r="235" spans="1:28" x14ac:dyDescent="0.25">
      <c r="A235" s="55" t="s">
        <v>14016</v>
      </c>
      <c r="B235" s="57"/>
      <c r="C235" s="57"/>
      <c r="D235" s="57"/>
      <c r="E235" s="57">
        <v>2</v>
      </c>
      <c r="F235" s="57">
        <v>6</v>
      </c>
      <c r="G235" s="57"/>
      <c r="H235" s="57">
        <v>2</v>
      </c>
      <c r="I235" s="57">
        <v>5</v>
      </c>
      <c r="J235" s="57"/>
      <c r="K235" s="57"/>
      <c r="L235" s="57"/>
      <c r="M235" s="57"/>
      <c r="Q235">
        <f t="shared" si="40"/>
        <v>0</v>
      </c>
      <c r="R235">
        <f t="shared" si="41"/>
        <v>0</v>
      </c>
      <c r="S235">
        <f t="shared" si="42"/>
        <v>2</v>
      </c>
      <c r="T235">
        <f t="shared" si="43"/>
        <v>6</v>
      </c>
      <c r="U235">
        <f t="shared" si="44"/>
        <v>2</v>
      </c>
      <c r="V235">
        <f t="shared" si="45"/>
        <v>5</v>
      </c>
      <c r="Y235" t="str">
        <f t="shared" si="36"/>
        <v>Zimbabwe</v>
      </c>
      <c r="Z235" s="104" t="str">
        <f t="shared" si="37"/>
        <v/>
      </c>
      <c r="AA235" s="104">
        <f t="shared" si="38"/>
        <v>0.75</v>
      </c>
      <c r="AB235" s="104">
        <f t="shared" si="39"/>
        <v>0.7142857142857143</v>
      </c>
    </row>
    <row r="236" spans="1:28" x14ac:dyDescent="0.25">
      <c r="A236" s="50" t="s">
        <v>14277</v>
      </c>
      <c r="B236" s="57"/>
      <c r="C236" s="57"/>
      <c r="D236" s="57"/>
      <c r="E236" s="57">
        <v>8</v>
      </c>
      <c r="F236" s="57">
        <v>43</v>
      </c>
      <c r="G236" s="57"/>
      <c r="H236" s="57">
        <v>4</v>
      </c>
      <c r="I236" s="57">
        <v>20</v>
      </c>
      <c r="J236" s="57"/>
      <c r="K236" s="57"/>
      <c r="L236" s="57"/>
      <c r="M236" s="57"/>
      <c r="Q236">
        <f t="shared" si="40"/>
        <v>0</v>
      </c>
      <c r="R236">
        <f t="shared" si="41"/>
        <v>0</v>
      </c>
      <c r="S236">
        <f t="shared" si="42"/>
        <v>8</v>
      </c>
      <c r="T236">
        <f t="shared" si="43"/>
        <v>43</v>
      </c>
      <c r="U236">
        <f t="shared" si="44"/>
        <v>4</v>
      </c>
      <c r="V236">
        <f t="shared" si="45"/>
        <v>20</v>
      </c>
      <c r="Y236" t="str">
        <f t="shared" si="36"/>
        <v>Africa - Southern Total</v>
      </c>
      <c r="Z236" s="104" t="str">
        <f t="shared" si="37"/>
        <v/>
      </c>
      <c r="AA236" s="104">
        <f t="shared" si="38"/>
        <v>0.84313725490196079</v>
      </c>
      <c r="AB236" s="104">
        <f t="shared" si="39"/>
        <v>0.83333333333333337</v>
      </c>
    </row>
    <row r="237" spans="1:28" x14ac:dyDescent="0.25">
      <c r="A237" s="50" t="s">
        <v>1596</v>
      </c>
      <c r="B237" s="57"/>
      <c r="C237" s="57"/>
      <c r="D237" s="57"/>
      <c r="E237" s="57"/>
      <c r="F237" s="57"/>
      <c r="G237" s="57"/>
      <c r="H237" s="57"/>
      <c r="I237" s="57"/>
      <c r="J237" s="57"/>
      <c r="K237" s="57"/>
      <c r="L237" s="57"/>
      <c r="M237" s="57"/>
      <c r="Q237">
        <f t="shared" si="40"/>
        <v>0</v>
      </c>
      <c r="R237">
        <f t="shared" si="41"/>
        <v>0</v>
      </c>
      <c r="S237">
        <f t="shared" si="42"/>
        <v>0</v>
      </c>
      <c r="T237">
        <f t="shared" si="43"/>
        <v>0</v>
      </c>
      <c r="U237">
        <f t="shared" si="44"/>
        <v>0</v>
      </c>
      <c r="V237">
        <f t="shared" si="45"/>
        <v>0</v>
      </c>
      <c r="Y237" t="str">
        <f t="shared" si="36"/>
        <v>Africa - Western</v>
      </c>
      <c r="Z237" s="104" t="str">
        <f t="shared" si="37"/>
        <v/>
      </c>
      <c r="AA237" s="104" t="str">
        <f t="shared" si="38"/>
        <v/>
      </c>
      <c r="AB237" s="104" t="str">
        <f t="shared" si="39"/>
        <v/>
      </c>
    </row>
    <row r="238" spans="1:28" x14ac:dyDescent="0.25">
      <c r="A238" s="55" t="s">
        <v>1595</v>
      </c>
      <c r="B238" s="57"/>
      <c r="C238" s="57"/>
      <c r="D238" s="57"/>
      <c r="E238" s="57"/>
      <c r="F238" s="57">
        <v>5</v>
      </c>
      <c r="G238" s="57"/>
      <c r="H238" s="57"/>
      <c r="I238" s="57">
        <v>2</v>
      </c>
      <c r="J238" s="57"/>
      <c r="K238" s="57"/>
      <c r="L238" s="57"/>
      <c r="M238" s="57"/>
      <c r="Q238">
        <f t="shared" si="40"/>
        <v>0</v>
      </c>
      <c r="R238">
        <f t="shared" si="41"/>
        <v>0</v>
      </c>
      <c r="S238">
        <f t="shared" si="42"/>
        <v>0</v>
      </c>
      <c r="T238">
        <f t="shared" si="43"/>
        <v>5</v>
      </c>
      <c r="U238">
        <f t="shared" si="44"/>
        <v>0</v>
      </c>
      <c r="V238">
        <f t="shared" si="45"/>
        <v>2</v>
      </c>
      <c r="Y238" t="str">
        <f t="shared" si="36"/>
        <v>Benin</v>
      </c>
      <c r="Z238" s="104" t="str">
        <f t="shared" si="37"/>
        <v/>
      </c>
      <c r="AA238" s="104">
        <f t="shared" si="38"/>
        <v>1</v>
      </c>
      <c r="AB238" s="104">
        <f t="shared" si="39"/>
        <v>1</v>
      </c>
    </row>
    <row r="239" spans="1:28" x14ac:dyDescent="0.25">
      <c r="A239" s="55" t="s">
        <v>1827</v>
      </c>
      <c r="B239" s="57"/>
      <c r="C239" s="57"/>
      <c r="D239" s="57"/>
      <c r="E239" s="57"/>
      <c r="F239" s="57">
        <v>2</v>
      </c>
      <c r="G239" s="57"/>
      <c r="H239" s="57"/>
      <c r="I239" s="57"/>
      <c r="J239" s="57"/>
      <c r="K239" s="57"/>
      <c r="L239" s="57"/>
      <c r="M239" s="57"/>
      <c r="Q239">
        <f t="shared" si="40"/>
        <v>0</v>
      </c>
      <c r="R239">
        <f t="shared" si="41"/>
        <v>0</v>
      </c>
      <c r="S239">
        <f t="shared" si="42"/>
        <v>0</v>
      </c>
      <c r="T239">
        <f t="shared" si="43"/>
        <v>2</v>
      </c>
      <c r="U239">
        <f t="shared" si="44"/>
        <v>0</v>
      </c>
      <c r="V239">
        <f t="shared" si="45"/>
        <v>0</v>
      </c>
      <c r="Y239" t="str">
        <f t="shared" si="36"/>
        <v>Burkina Faso</v>
      </c>
      <c r="Z239" s="104" t="str">
        <f t="shared" si="37"/>
        <v/>
      </c>
      <c r="AA239" s="104">
        <f t="shared" si="38"/>
        <v>1</v>
      </c>
      <c r="AB239" s="104" t="str">
        <f t="shared" si="39"/>
        <v/>
      </c>
    </row>
    <row r="240" spans="1:28" x14ac:dyDescent="0.25">
      <c r="A240" s="55" t="s">
        <v>2395</v>
      </c>
      <c r="B240" s="57"/>
      <c r="C240" s="57"/>
      <c r="D240" s="57"/>
      <c r="E240" s="57"/>
      <c r="F240" s="57">
        <v>4</v>
      </c>
      <c r="G240" s="57"/>
      <c r="H240" s="57"/>
      <c r="I240" s="57">
        <v>2</v>
      </c>
      <c r="J240" s="57"/>
      <c r="K240" s="57"/>
      <c r="L240" s="57"/>
      <c r="M240" s="57"/>
      <c r="Q240">
        <f t="shared" si="40"/>
        <v>0</v>
      </c>
      <c r="R240">
        <f t="shared" si="41"/>
        <v>0</v>
      </c>
      <c r="S240">
        <f t="shared" si="42"/>
        <v>0</v>
      </c>
      <c r="T240">
        <f t="shared" si="43"/>
        <v>4</v>
      </c>
      <c r="U240">
        <f t="shared" si="44"/>
        <v>0</v>
      </c>
      <c r="V240">
        <f t="shared" si="45"/>
        <v>2</v>
      </c>
      <c r="Y240" t="str">
        <f t="shared" si="36"/>
        <v>Cameroon</v>
      </c>
      <c r="Z240" s="104" t="str">
        <f t="shared" si="37"/>
        <v/>
      </c>
      <c r="AA240" s="104">
        <f t="shared" si="38"/>
        <v>1</v>
      </c>
      <c r="AB240" s="104">
        <f t="shared" si="39"/>
        <v>1</v>
      </c>
    </row>
    <row r="241" spans="1:28" x14ac:dyDescent="0.25">
      <c r="A241" s="55" t="s">
        <v>2536</v>
      </c>
      <c r="B241" s="57"/>
      <c r="C241" s="57"/>
      <c r="D241" s="57"/>
      <c r="E241" s="57"/>
      <c r="F241" s="57">
        <v>12</v>
      </c>
      <c r="G241" s="57"/>
      <c r="H241" s="57"/>
      <c r="I241" s="57">
        <v>3</v>
      </c>
      <c r="J241" s="57"/>
      <c r="K241" s="57"/>
      <c r="L241" s="57"/>
      <c r="M241" s="57"/>
      <c r="Q241">
        <f t="shared" si="40"/>
        <v>0</v>
      </c>
      <c r="R241">
        <f t="shared" si="41"/>
        <v>0</v>
      </c>
      <c r="S241">
        <f t="shared" si="42"/>
        <v>0</v>
      </c>
      <c r="T241">
        <f t="shared" si="43"/>
        <v>12</v>
      </c>
      <c r="U241">
        <f t="shared" si="44"/>
        <v>0</v>
      </c>
      <c r="V241">
        <f t="shared" si="45"/>
        <v>3</v>
      </c>
      <c r="Y241" t="str">
        <f t="shared" si="36"/>
        <v>Chad</v>
      </c>
      <c r="Z241" s="104" t="str">
        <f t="shared" si="37"/>
        <v/>
      </c>
      <c r="AA241" s="104">
        <f t="shared" si="38"/>
        <v>1</v>
      </c>
      <c r="AB241" s="104">
        <f t="shared" si="39"/>
        <v>1</v>
      </c>
    </row>
    <row r="242" spans="1:28" x14ac:dyDescent="0.25">
      <c r="A242" s="55" t="s">
        <v>2956</v>
      </c>
      <c r="B242" s="57">
        <v>1</v>
      </c>
      <c r="C242" s="57"/>
      <c r="D242" s="57"/>
      <c r="E242" s="57"/>
      <c r="F242" s="57">
        <v>6</v>
      </c>
      <c r="G242" s="57"/>
      <c r="H242" s="57"/>
      <c r="I242" s="57">
        <v>2</v>
      </c>
      <c r="J242" s="57"/>
      <c r="K242" s="57"/>
      <c r="L242" s="57"/>
      <c r="M242" s="57"/>
      <c r="Q242">
        <f t="shared" si="40"/>
        <v>1</v>
      </c>
      <c r="R242">
        <f t="shared" si="41"/>
        <v>0</v>
      </c>
      <c r="S242">
        <f t="shared" si="42"/>
        <v>0</v>
      </c>
      <c r="T242">
        <f t="shared" si="43"/>
        <v>6</v>
      </c>
      <c r="U242">
        <f t="shared" si="44"/>
        <v>0</v>
      </c>
      <c r="V242">
        <f t="shared" si="45"/>
        <v>2</v>
      </c>
      <c r="Y242" t="str">
        <f t="shared" si="36"/>
        <v>Cote d'Ivoire</v>
      </c>
      <c r="Z242" s="104">
        <f t="shared" si="37"/>
        <v>0</v>
      </c>
      <c r="AA242" s="104">
        <f t="shared" si="38"/>
        <v>1</v>
      </c>
      <c r="AB242" s="104">
        <f t="shared" si="39"/>
        <v>1</v>
      </c>
    </row>
    <row r="243" spans="1:28" x14ac:dyDescent="0.25">
      <c r="A243" s="55" t="s">
        <v>4471</v>
      </c>
      <c r="B243" s="57"/>
      <c r="C243" s="57"/>
      <c r="D243" s="57"/>
      <c r="E243" s="57"/>
      <c r="F243" s="57">
        <v>6</v>
      </c>
      <c r="G243" s="57"/>
      <c r="H243" s="57"/>
      <c r="I243" s="57">
        <v>7</v>
      </c>
      <c r="J243" s="57"/>
      <c r="K243" s="57"/>
      <c r="L243" s="57"/>
      <c r="M243" s="57"/>
      <c r="Q243">
        <f t="shared" si="40"/>
        <v>0</v>
      </c>
      <c r="R243">
        <f t="shared" si="41"/>
        <v>0</v>
      </c>
      <c r="S243">
        <f t="shared" si="42"/>
        <v>0</v>
      </c>
      <c r="T243">
        <f t="shared" si="43"/>
        <v>6</v>
      </c>
      <c r="U243">
        <f t="shared" si="44"/>
        <v>0</v>
      </c>
      <c r="V243">
        <f t="shared" si="45"/>
        <v>7</v>
      </c>
      <c r="Y243" t="str">
        <f t="shared" si="36"/>
        <v>Ghana</v>
      </c>
      <c r="Z243" s="104" t="str">
        <f t="shared" si="37"/>
        <v/>
      </c>
      <c r="AA243" s="104">
        <f t="shared" si="38"/>
        <v>1</v>
      </c>
      <c r="AB243" s="104">
        <f t="shared" si="39"/>
        <v>1</v>
      </c>
    </row>
    <row r="244" spans="1:28" x14ac:dyDescent="0.25">
      <c r="A244" s="55" t="s">
        <v>7179</v>
      </c>
      <c r="B244" s="57"/>
      <c r="C244" s="57"/>
      <c r="D244" s="57"/>
      <c r="E244" s="57"/>
      <c r="F244" s="57">
        <v>1</v>
      </c>
      <c r="G244" s="57"/>
      <c r="H244" s="57"/>
      <c r="I244" s="57"/>
      <c r="J244" s="57"/>
      <c r="K244" s="57"/>
      <c r="L244" s="57"/>
      <c r="M244" s="57"/>
      <c r="Q244">
        <f t="shared" si="40"/>
        <v>0</v>
      </c>
      <c r="R244">
        <f t="shared" si="41"/>
        <v>0</v>
      </c>
      <c r="S244">
        <f t="shared" si="42"/>
        <v>0</v>
      </c>
      <c r="T244">
        <f t="shared" si="43"/>
        <v>1</v>
      </c>
      <c r="U244">
        <f t="shared" si="44"/>
        <v>0</v>
      </c>
      <c r="V244">
        <f t="shared" si="45"/>
        <v>0</v>
      </c>
      <c r="Y244" t="str">
        <f t="shared" si="36"/>
        <v>Liberia</v>
      </c>
      <c r="Z244" s="104" t="str">
        <f t="shared" si="37"/>
        <v/>
      </c>
      <c r="AA244" s="104">
        <f t="shared" si="38"/>
        <v>1</v>
      </c>
      <c r="AB244" s="104" t="str">
        <f t="shared" si="39"/>
        <v/>
      </c>
    </row>
    <row r="245" spans="1:28" x14ac:dyDescent="0.25">
      <c r="A245" s="55" t="s">
        <v>7835</v>
      </c>
      <c r="B245" s="57"/>
      <c r="C245" s="57"/>
      <c r="D245" s="57"/>
      <c r="E245" s="57"/>
      <c r="F245" s="57">
        <v>9</v>
      </c>
      <c r="G245" s="57"/>
      <c r="H245" s="57">
        <v>3</v>
      </c>
      <c r="I245" s="57">
        <v>4</v>
      </c>
      <c r="J245" s="57"/>
      <c r="K245" s="57"/>
      <c r="L245" s="57"/>
      <c r="M245" s="57"/>
      <c r="Q245">
        <f t="shared" si="40"/>
        <v>0</v>
      </c>
      <c r="R245">
        <f t="shared" si="41"/>
        <v>0</v>
      </c>
      <c r="S245">
        <f t="shared" si="42"/>
        <v>0</v>
      </c>
      <c r="T245">
        <f t="shared" si="43"/>
        <v>9</v>
      </c>
      <c r="U245">
        <f t="shared" si="44"/>
        <v>3</v>
      </c>
      <c r="V245">
        <f t="shared" si="45"/>
        <v>4</v>
      </c>
      <c r="Y245" t="str">
        <f t="shared" si="36"/>
        <v>Mali</v>
      </c>
      <c r="Z245" s="104" t="str">
        <f t="shared" si="37"/>
        <v/>
      </c>
      <c r="AA245" s="104">
        <f t="shared" si="38"/>
        <v>1</v>
      </c>
      <c r="AB245" s="104">
        <f t="shared" si="39"/>
        <v>0.5714285714285714</v>
      </c>
    </row>
    <row r="246" spans="1:28" x14ac:dyDescent="0.25">
      <c r="A246" s="55" t="s">
        <v>9043</v>
      </c>
      <c r="B246" s="57"/>
      <c r="C246" s="57"/>
      <c r="D246" s="57"/>
      <c r="E246" s="57"/>
      <c r="F246" s="57">
        <v>24</v>
      </c>
      <c r="G246" s="57"/>
      <c r="H246" s="57"/>
      <c r="I246" s="57">
        <v>1</v>
      </c>
      <c r="J246" s="57"/>
      <c r="K246" s="57"/>
      <c r="L246" s="57"/>
      <c r="M246" s="57"/>
      <c r="Q246">
        <f t="shared" si="40"/>
        <v>0</v>
      </c>
      <c r="R246">
        <f t="shared" si="41"/>
        <v>0</v>
      </c>
      <c r="S246">
        <f t="shared" si="42"/>
        <v>0</v>
      </c>
      <c r="T246">
        <f t="shared" si="43"/>
        <v>24</v>
      </c>
      <c r="U246">
        <f t="shared" si="44"/>
        <v>0</v>
      </c>
      <c r="V246">
        <f t="shared" si="45"/>
        <v>1</v>
      </c>
      <c r="Y246" t="str">
        <f t="shared" si="36"/>
        <v>Niger</v>
      </c>
      <c r="Z246" s="104" t="str">
        <f t="shared" si="37"/>
        <v/>
      </c>
      <c r="AA246" s="104">
        <f t="shared" si="38"/>
        <v>1</v>
      </c>
      <c r="AB246" s="104">
        <f t="shared" si="39"/>
        <v>1</v>
      </c>
    </row>
    <row r="247" spans="1:28" x14ac:dyDescent="0.25">
      <c r="A247" s="55" t="s">
        <v>10594</v>
      </c>
      <c r="B247" s="57"/>
      <c r="C247" s="57"/>
      <c r="D247" s="57"/>
      <c r="E247" s="57">
        <v>1</v>
      </c>
      <c r="F247" s="57">
        <v>3</v>
      </c>
      <c r="G247" s="57"/>
      <c r="H247" s="57"/>
      <c r="I247" s="57">
        <v>1</v>
      </c>
      <c r="J247" s="57"/>
      <c r="K247" s="57"/>
      <c r="L247" s="57"/>
      <c r="M247" s="57"/>
      <c r="Q247">
        <f t="shared" si="40"/>
        <v>0</v>
      </c>
      <c r="R247">
        <f t="shared" si="41"/>
        <v>0</v>
      </c>
      <c r="S247">
        <f t="shared" si="42"/>
        <v>1</v>
      </c>
      <c r="T247">
        <f t="shared" si="43"/>
        <v>3</v>
      </c>
      <c r="U247">
        <f t="shared" si="44"/>
        <v>0</v>
      </c>
      <c r="V247">
        <f t="shared" si="45"/>
        <v>1</v>
      </c>
      <c r="Y247" t="str">
        <f t="shared" si="36"/>
        <v>Sierra Leone</v>
      </c>
      <c r="Z247" s="104" t="str">
        <f t="shared" si="37"/>
        <v/>
      </c>
      <c r="AA247" s="104">
        <f t="shared" si="38"/>
        <v>0.75</v>
      </c>
      <c r="AB247" s="104">
        <f t="shared" si="39"/>
        <v>1</v>
      </c>
    </row>
    <row r="248" spans="1:28" x14ac:dyDescent="0.25">
      <c r="A248" s="50" t="s">
        <v>14278</v>
      </c>
      <c r="B248" s="57">
        <v>1</v>
      </c>
      <c r="C248" s="57"/>
      <c r="D248" s="57"/>
      <c r="E248" s="57">
        <v>1</v>
      </c>
      <c r="F248" s="57">
        <v>72</v>
      </c>
      <c r="G248" s="57"/>
      <c r="H248" s="57">
        <v>3</v>
      </c>
      <c r="I248" s="57">
        <v>22</v>
      </c>
      <c r="J248" s="57"/>
      <c r="K248" s="57"/>
      <c r="L248" s="57"/>
      <c r="M248" s="57"/>
      <c r="Q248">
        <f t="shared" si="40"/>
        <v>1</v>
      </c>
      <c r="R248">
        <f t="shared" si="41"/>
        <v>0</v>
      </c>
      <c r="S248">
        <f t="shared" si="42"/>
        <v>1</v>
      </c>
      <c r="T248">
        <f t="shared" si="43"/>
        <v>72</v>
      </c>
      <c r="U248">
        <f t="shared" si="44"/>
        <v>3</v>
      </c>
      <c r="V248">
        <f t="shared" si="45"/>
        <v>22</v>
      </c>
      <c r="Y248" t="str">
        <f t="shared" si="36"/>
        <v>Africa - Western Total</v>
      </c>
      <c r="Z248" s="104">
        <f t="shared" si="37"/>
        <v>0</v>
      </c>
      <c r="AA248" s="104">
        <f t="shared" si="38"/>
        <v>0.98630136986301364</v>
      </c>
      <c r="AB248" s="104">
        <f t="shared" si="39"/>
        <v>0.88</v>
      </c>
    </row>
    <row r="249" spans="1:28" x14ac:dyDescent="0.25">
      <c r="A249" s="50" t="s">
        <v>306</v>
      </c>
      <c r="B249" s="57"/>
      <c r="C249" s="57"/>
      <c r="D249" s="57"/>
      <c r="E249" s="57"/>
      <c r="F249" s="57"/>
      <c r="G249" s="57"/>
      <c r="H249" s="57"/>
      <c r="I249" s="57"/>
      <c r="J249" s="57"/>
      <c r="K249" s="57"/>
      <c r="L249" s="57"/>
      <c r="M249" s="57"/>
      <c r="Q249">
        <f t="shared" si="40"/>
        <v>0</v>
      </c>
      <c r="R249">
        <f t="shared" si="41"/>
        <v>0</v>
      </c>
      <c r="S249">
        <f t="shared" si="42"/>
        <v>0</v>
      </c>
      <c r="T249">
        <f t="shared" si="43"/>
        <v>0</v>
      </c>
      <c r="U249">
        <f t="shared" si="44"/>
        <v>0</v>
      </c>
      <c r="V249">
        <f t="shared" si="45"/>
        <v>0</v>
      </c>
      <c r="Y249" t="str">
        <f t="shared" si="36"/>
        <v>Asia and the Pacific</v>
      </c>
      <c r="Z249" s="104" t="str">
        <f t="shared" si="37"/>
        <v/>
      </c>
      <c r="AA249" s="104" t="str">
        <f t="shared" si="38"/>
        <v/>
      </c>
      <c r="AB249" s="104" t="str">
        <f t="shared" si="39"/>
        <v/>
      </c>
    </row>
    <row r="250" spans="1:28" x14ac:dyDescent="0.25">
      <c r="A250" s="55" t="s">
        <v>305</v>
      </c>
      <c r="B250" s="57"/>
      <c r="C250" s="57"/>
      <c r="D250" s="57"/>
      <c r="E250" s="57">
        <v>1</v>
      </c>
      <c r="F250" s="57">
        <v>13</v>
      </c>
      <c r="G250" s="57"/>
      <c r="H250" s="57"/>
      <c r="I250" s="57">
        <v>1</v>
      </c>
      <c r="J250" s="57"/>
      <c r="K250" s="57"/>
      <c r="L250" s="57"/>
      <c r="M250" s="57"/>
      <c r="Q250">
        <f t="shared" si="40"/>
        <v>0</v>
      </c>
      <c r="R250">
        <f t="shared" si="41"/>
        <v>0</v>
      </c>
      <c r="S250">
        <f t="shared" si="42"/>
        <v>1</v>
      </c>
      <c r="T250">
        <f t="shared" si="43"/>
        <v>13</v>
      </c>
      <c r="U250">
        <f t="shared" si="44"/>
        <v>0</v>
      </c>
      <c r="V250">
        <f t="shared" si="45"/>
        <v>1</v>
      </c>
      <c r="Y250" t="str">
        <f t="shared" si="36"/>
        <v>Afghanistan</v>
      </c>
      <c r="Z250" s="104" t="str">
        <f t="shared" si="37"/>
        <v/>
      </c>
      <c r="AA250" s="104">
        <f t="shared" si="38"/>
        <v>0.9285714285714286</v>
      </c>
      <c r="AB250" s="104">
        <f t="shared" si="39"/>
        <v>1</v>
      </c>
    </row>
    <row r="251" spans="1:28" x14ac:dyDescent="0.25">
      <c r="A251" s="55" t="s">
        <v>652</v>
      </c>
      <c r="B251" s="57"/>
      <c r="C251" s="57"/>
      <c r="D251" s="57"/>
      <c r="E251" s="57"/>
      <c r="F251" s="57">
        <v>30</v>
      </c>
      <c r="G251" s="57"/>
      <c r="H251" s="57">
        <v>2</v>
      </c>
      <c r="I251" s="57">
        <v>16</v>
      </c>
      <c r="J251" s="57"/>
      <c r="K251" s="57"/>
      <c r="L251" s="57"/>
      <c r="M251" s="57"/>
      <c r="Q251">
        <f t="shared" si="40"/>
        <v>0</v>
      </c>
      <c r="R251">
        <f t="shared" si="41"/>
        <v>0</v>
      </c>
      <c r="S251">
        <f t="shared" si="42"/>
        <v>0</v>
      </c>
      <c r="T251">
        <f t="shared" si="43"/>
        <v>30</v>
      </c>
      <c r="U251">
        <f t="shared" si="44"/>
        <v>2</v>
      </c>
      <c r="V251">
        <f t="shared" si="45"/>
        <v>16</v>
      </c>
      <c r="Y251" t="str">
        <f t="shared" si="36"/>
        <v>Bangladesh</v>
      </c>
      <c r="Z251" s="104" t="str">
        <f t="shared" si="37"/>
        <v/>
      </c>
      <c r="AA251" s="104">
        <f t="shared" si="38"/>
        <v>1</v>
      </c>
      <c r="AB251" s="104">
        <f t="shared" si="39"/>
        <v>0.88888888888888884</v>
      </c>
    </row>
    <row r="252" spans="1:28" x14ac:dyDescent="0.25">
      <c r="A252" s="55" t="s">
        <v>2092</v>
      </c>
      <c r="B252" s="57"/>
      <c r="C252" s="57"/>
      <c r="D252" s="57"/>
      <c r="E252" s="57"/>
      <c r="F252" s="57">
        <v>7</v>
      </c>
      <c r="G252" s="57"/>
      <c r="H252" s="57">
        <v>1</v>
      </c>
      <c r="I252" s="57">
        <v>9</v>
      </c>
      <c r="J252" s="57"/>
      <c r="K252" s="57"/>
      <c r="L252" s="57"/>
      <c r="M252" s="57"/>
      <c r="Q252">
        <f t="shared" si="40"/>
        <v>0</v>
      </c>
      <c r="R252">
        <f t="shared" si="41"/>
        <v>0</v>
      </c>
      <c r="S252">
        <f t="shared" si="42"/>
        <v>0</v>
      </c>
      <c r="T252">
        <f t="shared" si="43"/>
        <v>7</v>
      </c>
      <c r="U252">
        <f t="shared" si="44"/>
        <v>1</v>
      </c>
      <c r="V252">
        <f t="shared" si="45"/>
        <v>9</v>
      </c>
      <c r="Y252" t="str">
        <f t="shared" si="36"/>
        <v>Cambodia</v>
      </c>
      <c r="Z252" s="104" t="str">
        <f t="shared" si="37"/>
        <v/>
      </c>
      <c r="AA252" s="104">
        <f t="shared" si="38"/>
        <v>1</v>
      </c>
      <c r="AB252" s="104">
        <f t="shared" si="39"/>
        <v>0.9</v>
      </c>
    </row>
    <row r="253" spans="1:28" x14ac:dyDescent="0.25">
      <c r="A253" s="55" t="s">
        <v>4268</v>
      </c>
      <c r="B253" s="57"/>
      <c r="C253" s="57"/>
      <c r="D253" s="57"/>
      <c r="E253" s="57"/>
      <c r="F253" s="57">
        <v>1</v>
      </c>
      <c r="G253" s="57"/>
      <c r="H253" s="57"/>
      <c r="I253" s="57"/>
      <c r="J253" s="57"/>
      <c r="K253" s="57"/>
      <c r="L253" s="57"/>
      <c r="M253" s="57"/>
      <c r="Q253">
        <f t="shared" si="40"/>
        <v>0</v>
      </c>
      <c r="R253">
        <f t="shared" si="41"/>
        <v>0</v>
      </c>
      <c r="S253">
        <f t="shared" si="42"/>
        <v>0</v>
      </c>
      <c r="T253">
        <f t="shared" si="43"/>
        <v>1</v>
      </c>
      <c r="U253">
        <f t="shared" si="44"/>
        <v>0</v>
      </c>
      <c r="V253">
        <f t="shared" si="45"/>
        <v>0</v>
      </c>
      <c r="Y253" t="str">
        <f t="shared" si="36"/>
        <v>Fiji</v>
      </c>
      <c r="Z253" s="104" t="str">
        <f t="shared" si="37"/>
        <v/>
      </c>
      <c r="AA253" s="104">
        <f t="shared" si="38"/>
        <v>1</v>
      </c>
      <c r="AB253" s="104" t="str">
        <f t="shared" si="39"/>
        <v/>
      </c>
    </row>
    <row r="254" spans="1:28" x14ac:dyDescent="0.25">
      <c r="A254" s="55" t="s">
        <v>5300</v>
      </c>
      <c r="B254" s="57"/>
      <c r="C254" s="57"/>
      <c r="D254" s="57"/>
      <c r="E254" s="57"/>
      <c r="F254" s="57">
        <v>14</v>
      </c>
      <c r="G254" s="57"/>
      <c r="H254" s="57">
        <v>1</v>
      </c>
      <c r="I254" s="57">
        <v>20</v>
      </c>
      <c r="J254" s="57"/>
      <c r="K254" s="57"/>
      <c r="L254" s="57"/>
      <c r="M254" s="57"/>
      <c r="Q254">
        <f t="shared" si="40"/>
        <v>0</v>
      </c>
      <c r="R254">
        <f t="shared" si="41"/>
        <v>0</v>
      </c>
      <c r="S254">
        <f t="shared" si="42"/>
        <v>0</v>
      </c>
      <c r="T254">
        <f t="shared" si="43"/>
        <v>14</v>
      </c>
      <c r="U254">
        <f t="shared" si="44"/>
        <v>1</v>
      </c>
      <c r="V254">
        <f t="shared" si="45"/>
        <v>20</v>
      </c>
      <c r="Y254" t="str">
        <f t="shared" si="36"/>
        <v>India</v>
      </c>
      <c r="Z254" s="104" t="str">
        <f t="shared" si="37"/>
        <v/>
      </c>
      <c r="AA254" s="104">
        <f t="shared" si="38"/>
        <v>1</v>
      </c>
      <c r="AB254" s="104">
        <f t="shared" si="39"/>
        <v>0.95238095238095233</v>
      </c>
    </row>
    <row r="255" spans="1:28" x14ac:dyDescent="0.25">
      <c r="A255" s="55" t="s">
        <v>5932</v>
      </c>
      <c r="B255" s="57"/>
      <c r="C255" s="57"/>
      <c r="D255" s="57"/>
      <c r="E255" s="57"/>
      <c r="F255" s="57">
        <v>6</v>
      </c>
      <c r="G255" s="57"/>
      <c r="H255" s="57"/>
      <c r="I255" s="57">
        <v>2</v>
      </c>
      <c r="J255" s="57"/>
      <c r="K255" s="57"/>
      <c r="L255" s="57"/>
      <c r="M255" s="57"/>
      <c r="Q255">
        <f t="shared" si="40"/>
        <v>0</v>
      </c>
      <c r="R255">
        <f t="shared" si="41"/>
        <v>0</v>
      </c>
      <c r="S255">
        <f t="shared" si="42"/>
        <v>0</v>
      </c>
      <c r="T255">
        <f t="shared" si="43"/>
        <v>6</v>
      </c>
      <c r="U255">
        <f t="shared" si="44"/>
        <v>0</v>
      </c>
      <c r="V255">
        <f t="shared" si="45"/>
        <v>2</v>
      </c>
      <c r="Y255" t="str">
        <f t="shared" si="36"/>
        <v>Indonesia</v>
      </c>
      <c r="Z255" s="104" t="str">
        <f t="shared" si="37"/>
        <v/>
      </c>
      <c r="AA255" s="104">
        <f t="shared" si="38"/>
        <v>1</v>
      </c>
      <c r="AB255" s="104">
        <f t="shared" si="39"/>
        <v>1</v>
      </c>
    </row>
    <row r="256" spans="1:28" x14ac:dyDescent="0.25">
      <c r="A256" s="55" t="s">
        <v>6850</v>
      </c>
      <c r="B256" s="57"/>
      <c r="C256" s="57"/>
      <c r="D256" s="57"/>
      <c r="E256" s="57">
        <v>1</v>
      </c>
      <c r="F256" s="57">
        <v>12</v>
      </c>
      <c r="G256" s="57"/>
      <c r="H256" s="57"/>
      <c r="I256" s="57">
        <v>1</v>
      </c>
      <c r="J256" s="57"/>
      <c r="K256" s="57"/>
      <c r="L256" s="57"/>
      <c r="M256" s="57"/>
      <c r="Q256">
        <f t="shared" si="40"/>
        <v>0</v>
      </c>
      <c r="R256">
        <f t="shared" si="41"/>
        <v>0</v>
      </c>
      <c r="S256">
        <f t="shared" si="42"/>
        <v>1</v>
      </c>
      <c r="T256">
        <f t="shared" si="43"/>
        <v>12</v>
      </c>
      <c r="U256">
        <f t="shared" si="44"/>
        <v>0</v>
      </c>
      <c r="V256">
        <f t="shared" si="45"/>
        <v>1</v>
      </c>
      <c r="Y256" t="str">
        <f t="shared" si="36"/>
        <v>Laos</v>
      </c>
      <c r="Z256" s="104" t="str">
        <f t="shared" si="37"/>
        <v/>
      </c>
      <c r="AA256" s="104">
        <f t="shared" si="38"/>
        <v>0.92307692307692313</v>
      </c>
      <c r="AB256" s="104">
        <f t="shared" si="39"/>
        <v>1</v>
      </c>
    </row>
    <row r="257" spans="1:28" x14ac:dyDescent="0.25">
      <c r="A257" s="55" t="s">
        <v>8444</v>
      </c>
      <c r="B257" s="57"/>
      <c r="C257" s="57"/>
      <c r="D257" s="57"/>
      <c r="E257" s="57">
        <v>1</v>
      </c>
      <c r="F257" s="57">
        <v>9</v>
      </c>
      <c r="G257" s="57"/>
      <c r="H257" s="57"/>
      <c r="I257" s="57">
        <v>6</v>
      </c>
      <c r="J257" s="57"/>
      <c r="K257" s="57"/>
      <c r="L257" s="57"/>
      <c r="M257" s="57"/>
      <c r="Q257">
        <f t="shared" si="40"/>
        <v>0</v>
      </c>
      <c r="R257">
        <f t="shared" si="41"/>
        <v>0</v>
      </c>
      <c r="S257">
        <f t="shared" si="42"/>
        <v>1</v>
      </c>
      <c r="T257">
        <f t="shared" si="43"/>
        <v>9</v>
      </c>
      <c r="U257">
        <f t="shared" si="44"/>
        <v>0</v>
      </c>
      <c r="V257">
        <f t="shared" si="45"/>
        <v>6</v>
      </c>
      <c r="Y257" t="str">
        <f t="shared" si="36"/>
        <v>Myanmar</v>
      </c>
      <c r="Z257" s="104" t="str">
        <f t="shared" si="37"/>
        <v/>
      </c>
      <c r="AA257" s="104">
        <f t="shared" si="38"/>
        <v>0.9</v>
      </c>
      <c r="AB257" s="104">
        <f t="shared" si="39"/>
        <v>1</v>
      </c>
    </row>
    <row r="258" spans="1:28" x14ac:dyDescent="0.25">
      <c r="A258" s="55" t="s">
        <v>8647</v>
      </c>
      <c r="B258" s="57"/>
      <c r="C258" s="57"/>
      <c r="D258" s="57"/>
      <c r="E258" s="57">
        <v>3</v>
      </c>
      <c r="F258" s="57">
        <v>12</v>
      </c>
      <c r="G258" s="57"/>
      <c r="H258" s="57">
        <v>2</v>
      </c>
      <c r="I258" s="57">
        <v>6</v>
      </c>
      <c r="J258" s="57"/>
      <c r="K258" s="57"/>
      <c r="L258" s="57"/>
      <c r="M258" s="57"/>
      <c r="Q258">
        <f t="shared" si="40"/>
        <v>0</v>
      </c>
      <c r="R258">
        <f t="shared" si="41"/>
        <v>0</v>
      </c>
      <c r="S258">
        <f t="shared" si="42"/>
        <v>3</v>
      </c>
      <c r="T258">
        <f t="shared" si="43"/>
        <v>12</v>
      </c>
      <c r="U258">
        <f t="shared" si="44"/>
        <v>2</v>
      </c>
      <c r="V258">
        <f t="shared" si="45"/>
        <v>6</v>
      </c>
      <c r="Y258" t="str">
        <f t="shared" si="36"/>
        <v>Nepal</v>
      </c>
      <c r="Z258" s="104" t="str">
        <f t="shared" si="37"/>
        <v/>
      </c>
      <c r="AA258" s="104">
        <f t="shared" si="38"/>
        <v>0.8</v>
      </c>
      <c r="AB258" s="104">
        <f t="shared" si="39"/>
        <v>0.75</v>
      </c>
    </row>
    <row r="259" spans="1:28" x14ac:dyDescent="0.25">
      <c r="A259" s="55" t="s">
        <v>9427</v>
      </c>
      <c r="B259" s="57"/>
      <c r="C259" s="57"/>
      <c r="D259" s="57"/>
      <c r="E259" s="57"/>
      <c r="F259" s="57">
        <v>3</v>
      </c>
      <c r="G259" s="57"/>
      <c r="H259" s="57"/>
      <c r="I259" s="57"/>
      <c r="J259" s="57"/>
      <c r="K259" s="57">
        <v>1</v>
      </c>
      <c r="L259" s="57">
        <v>1</v>
      </c>
      <c r="M259" s="57"/>
      <c r="Q259">
        <f t="shared" si="40"/>
        <v>0</v>
      </c>
      <c r="R259">
        <f t="shared" si="41"/>
        <v>0</v>
      </c>
      <c r="S259">
        <f t="shared" si="42"/>
        <v>0</v>
      </c>
      <c r="T259">
        <f t="shared" si="43"/>
        <v>3</v>
      </c>
      <c r="U259">
        <f t="shared" si="44"/>
        <v>0</v>
      </c>
      <c r="V259">
        <f t="shared" si="45"/>
        <v>0</v>
      </c>
      <c r="Y259" t="str">
        <f t="shared" si="36"/>
        <v>Pakistan</v>
      </c>
      <c r="Z259" s="104" t="str">
        <f t="shared" si="37"/>
        <v/>
      </c>
      <c r="AA259" s="104">
        <f t="shared" si="38"/>
        <v>1</v>
      </c>
      <c r="AB259" s="104" t="str">
        <f t="shared" si="39"/>
        <v/>
      </c>
    </row>
    <row r="260" spans="1:28" x14ac:dyDescent="0.25">
      <c r="A260" s="55" t="s">
        <v>9516</v>
      </c>
      <c r="B260" s="57"/>
      <c r="C260" s="57"/>
      <c r="D260" s="57"/>
      <c r="E260" s="57"/>
      <c r="F260" s="57">
        <v>4</v>
      </c>
      <c r="G260" s="57"/>
      <c r="H260" s="57">
        <v>2</v>
      </c>
      <c r="I260" s="57">
        <v>5</v>
      </c>
      <c r="J260" s="57"/>
      <c r="K260" s="57"/>
      <c r="L260" s="57"/>
      <c r="M260" s="57"/>
      <c r="Q260">
        <f t="shared" si="40"/>
        <v>0</v>
      </c>
      <c r="R260">
        <f t="shared" si="41"/>
        <v>0</v>
      </c>
      <c r="S260">
        <f t="shared" si="42"/>
        <v>0</v>
      </c>
      <c r="T260">
        <f t="shared" si="43"/>
        <v>4</v>
      </c>
      <c r="U260">
        <f t="shared" si="44"/>
        <v>2</v>
      </c>
      <c r="V260">
        <f t="shared" si="45"/>
        <v>5</v>
      </c>
      <c r="Y260" t="str">
        <f t="shared" si="36"/>
        <v>Papua New Guinea</v>
      </c>
      <c r="Z260" s="104" t="str">
        <f t="shared" si="37"/>
        <v/>
      </c>
      <c r="AA260" s="104">
        <f t="shared" si="38"/>
        <v>1</v>
      </c>
      <c r="AB260" s="104">
        <f t="shared" si="39"/>
        <v>0.7142857142857143</v>
      </c>
    </row>
    <row r="261" spans="1:28" x14ac:dyDescent="0.25">
      <c r="A261" s="55" t="s">
        <v>10263</v>
      </c>
      <c r="B261" s="57"/>
      <c r="C261" s="57"/>
      <c r="D261" s="57"/>
      <c r="E261" s="57"/>
      <c r="F261" s="57">
        <v>3</v>
      </c>
      <c r="G261" s="57"/>
      <c r="H261" s="57"/>
      <c r="I261" s="57">
        <v>2</v>
      </c>
      <c r="J261" s="57"/>
      <c r="K261" s="57"/>
      <c r="L261" s="57"/>
      <c r="M261" s="57"/>
      <c r="Q261">
        <f t="shared" si="40"/>
        <v>0</v>
      </c>
      <c r="R261">
        <f t="shared" si="41"/>
        <v>0</v>
      </c>
      <c r="S261">
        <f t="shared" si="42"/>
        <v>0</v>
      </c>
      <c r="T261">
        <f t="shared" si="43"/>
        <v>3</v>
      </c>
      <c r="U261">
        <f t="shared" si="44"/>
        <v>0</v>
      </c>
      <c r="V261">
        <f t="shared" si="45"/>
        <v>2</v>
      </c>
      <c r="Y261" t="str">
        <f t="shared" si="36"/>
        <v>Philippines</v>
      </c>
      <c r="Z261" s="104" t="str">
        <f t="shared" si="37"/>
        <v/>
      </c>
      <c r="AA261" s="104">
        <f t="shared" si="38"/>
        <v>1</v>
      </c>
      <c r="AB261" s="104">
        <f t="shared" si="39"/>
        <v>1</v>
      </c>
    </row>
    <row r="262" spans="1:28" x14ac:dyDescent="0.25">
      <c r="A262" s="55" t="s">
        <v>11304</v>
      </c>
      <c r="B262" s="57"/>
      <c r="C262" s="57"/>
      <c r="D262" s="57"/>
      <c r="E262" s="57"/>
      <c r="F262" s="57">
        <v>6</v>
      </c>
      <c r="G262" s="57"/>
      <c r="H262" s="57"/>
      <c r="I262" s="57">
        <v>1</v>
      </c>
      <c r="J262" s="57"/>
      <c r="K262" s="57"/>
      <c r="L262" s="57"/>
      <c r="M262" s="57"/>
      <c r="Q262">
        <f t="shared" si="40"/>
        <v>0</v>
      </c>
      <c r="R262">
        <f t="shared" si="41"/>
        <v>0</v>
      </c>
      <c r="S262">
        <f t="shared" si="42"/>
        <v>0</v>
      </c>
      <c r="T262">
        <f t="shared" si="43"/>
        <v>6</v>
      </c>
      <c r="U262">
        <f t="shared" si="44"/>
        <v>0</v>
      </c>
      <c r="V262">
        <f t="shared" si="45"/>
        <v>1</v>
      </c>
      <c r="Y262" t="str">
        <f t="shared" si="36"/>
        <v>Sri Lanka</v>
      </c>
      <c r="Z262" s="104" t="str">
        <f t="shared" si="37"/>
        <v/>
      </c>
      <c r="AA262" s="104">
        <f t="shared" si="38"/>
        <v>1</v>
      </c>
      <c r="AB262" s="104">
        <f t="shared" si="39"/>
        <v>1</v>
      </c>
    </row>
    <row r="263" spans="1:28" x14ac:dyDescent="0.25">
      <c r="A263" s="55" t="s">
        <v>12294</v>
      </c>
      <c r="B263" s="57"/>
      <c r="C263" s="57"/>
      <c r="D263" s="57"/>
      <c r="E263" s="57">
        <v>1</v>
      </c>
      <c r="F263" s="57">
        <v>14</v>
      </c>
      <c r="G263" s="57"/>
      <c r="H263" s="57"/>
      <c r="I263" s="57">
        <v>7</v>
      </c>
      <c r="J263" s="57"/>
      <c r="K263" s="57"/>
      <c r="L263" s="57"/>
      <c r="M263" s="57"/>
      <c r="Q263">
        <f t="shared" si="40"/>
        <v>0</v>
      </c>
      <c r="R263">
        <f t="shared" si="41"/>
        <v>0</v>
      </c>
      <c r="S263">
        <f t="shared" si="42"/>
        <v>1</v>
      </c>
      <c r="T263">
        <f t="shared" si="43"/>
        <v>14</v>
      </c>
      <c r="U263">
        <f t="shared" si="44"/>
        <v>0</v>
      </c>
      <c r="V263">
        <f t="shared" si="45"/>
        <v>7</v>
      </c>
      <c r="Y263" t="str">
        <f t="shared" si="36"/>
        <v>Thailand</v>
      </c>
      <c r="Z263" s="104" t="str">
        <f t="shared" si="37"/>
        <v/>
      </c>
      <c r="AA263" s="104">
        <f t="shared" si="38"/>
        <v>0.93333333333333335</v>
      </c>
      <c r="AB263" s="104">
        <f t="shared" si="39"/>
        <v>1</v>
      </c>
    </row>
    <row r="264" spans="1:28" x14ac:dyDescent="0.25">
      <c r="A264" s="55" t="s">
        <v>12547</v>
      </c>
      <c r="B264" s="57"/>
      <c r="C264" s="57"/>
      <c r="D264" s="57"/>
      <c r="E264" s="57">
        <v>2</v>
      </c>
      <c r="F264" s="57">
        <v>2</v>
      </c>
      <c r="G264" s="57"/>
      <c r="H264" s="57"/>
      <c r="I264" s="57">
        <v>2</v>
      </c>
      <c r="J264" s="57"/>
      <c r="K264" s="57"/>
      <c r="L264" s="57"/>
      <c r="M264" s="57"/>
      <c r="Q264">
        <f t="shared" si="40"/>
        <v>0</v>
      </c>
      <c r="R264">
        <f t="shared" si="41"/>
        <v>0</v>
      </c>
      <c r="S264">
        <f t="shared" si="42"/>
        <v>2</v>
      </c>
      <c r="T264">
        <f t="shared" si="43"/>
        <v>2</v>
      </c>
      <c r="U264">
        <f t="shared" si="44"/>
        <v>0</v>
      </c>
      <c r="V264">
        <f t="shared" si="45"/>
        <v>2</v>
      </c>
      <c r="Y264" t="str">
        <f t="shared" si="36"/>
        <v>Timor-Leste</v>
      </c>
      <c r="Z264" s="104" t="str">
        <f t="shared" si="37"/>
        <v/>
      </c>
      <c r="AA264" s="104">
        <f t="shared" si="38"/>
        <v>0.5</v>
      </c>
      <c r="AB264" s="104">
        <f t="shared" si="39"/>
        <v>1</v>
      </c>
    </row>
    <row r="265" spans="1:28" x14ac:dyDescent="0.25">
      <c r="A265" s="55" t="s">
        <v>13272</v>
      </c>
      <c r="B265" s="57"/>
      <c r="C265" s="57"/>
      <c r="D265" s="57"/>
      <c r="E265" s="57"/>
      <c r="F265" s="57"/>
      <c r="G265" s="57"/>
      <c r="H265" s="57"/>
      <c r="I265" s="57">
        <v>8</v>
      </c>
      <c r="J265" s="57"/>
      <c r="K265" s="57"/>
      <c r="L265" s="57"/>
      <c r="M265" s="57"/>
      <c r="Q265">
        <f t="shared" si="40"/>
        <v>0</v>
      </c>
      <c r="R265">
        <f t="shared" si="41"/>
        <v>0</v>
      </c>
      <c r="S265">
        <f t="shared" si="42"/>
        <v>0</v>
      </c>
      <c r="T265">
        <f t="shared" si="43"/>
        <v>0</v>
      </c>
      <c r="U265">
        <f t="shared" si="44"/>
        <v>0</v>
      </c>
      <c r="V265">
        <f t="shared" si="45"/>
        <v>8</v>
      </c>
      <c r="Y265" t="str">
        <f t="shared" si="36"/>
        <v>Vanuatu</v>
      </c>
      <c r="Z265" s="104" t="str">
        <f t="shared" si="37"/>
        <v/>
      </c>
      <c r="AA265" s="104" t="str">
        <f t="shared" si="38"/>
        <v/>
      </c>
      <c r="AB265" s="104">
        <f t="shared" si="39"/>
        <v>1</v>
      </c>
    </row>
    <row r="266" spans="1:28" x14ac:dyDescent="0.25">
      <c r="A266" s="55" t="s">
        <v>13409</v>
      </c>
      <c r="B266" s="57"/>
      <c r="C266" s="57"/>
      <c r="D266" s="57"/>
      <c r="E266" s="57">
        <v>2</v>
      </c>
      <c r="F266" s="57">
        <v>4</v>
      </c>
      <c r="G266" s="57"/>
      <c r="H266" s="57"/>
      <c r="I266" s="57">
        <v>11</v>
      </c>
      <c r="J266" s="57"/>
      <c r="K266" s="57"/>
      <c r="L266" s="57"/>
      <c r="M266" s="57"/>
      <c r="Q266">
        <f t="shared" si="40"/>
        <v>0</v>
      </c>
      <c r="R266">
        <f t="shared" si="41"/>
        <v>0</v>
      </c>
      <c r="S266">
        <f t="shared" si="42"/>
        <v>2</v>
      </c>
      <c r="T266">
        <f t="shared" si="43"/>
        <v>4</v>
      </c>
      <c r="U266">
        <f t="shared" si="44"/>
        <v>0</v>
      </c>
      <c r="V266">
        <f t="shared" si="45"/>
        <v>11</v>
      </c>
      <c r="Y266" t="str">
        <f t="shared" si="36"/>
        <v>Vietnam</v>
      </c>
      <c r="Z266" s="104" t="str">
        <f t="shared" si="37"/>
        <v/>
      </c>
      <c r="AA266" s="104">
        <f t="shared" si="38"/>
        <v>0.66666666666666663</v>
      </c>
      <c r="AB266" s="104">
        <f t="shared" si="39"/>
        <v>1</v>
      </c>
    </row>
    <row r="267" spans="1:28" x14ac:dyDescent="0.25">
      <c r="A267" s="50" t="s">
        <v>14279</v>
      </c>
      <c r="B267" s="57"/>
      <c r="C267" s="57"/>
      <c r="D267" s="57"/>
      <c r="E267" s="57">
        <v>11</v>
      </c>
      <c r="F267" s="57">
        <v>140</v>
      </c>
      <c r="G267" s="57"/>
      <c r="H267" s="57">
        <v>8</v>
      </c>
      <c r="I267" s="57">
        <v>97</v>
      </c>
      <c r="J267" s="57"/>
      <c r="K267" s="57">
        <v>1</v>
      </c>
      <c r="L267" s="57">
        <v>1</v>
      </c>
      <c r="M267" s="57"/>
      <c r="Q267">
        <f t="shared" si="40"/>
        <v>0</v>
      </c>
      <c r="R267">
        <f t="shared" si="41"/>
        <v>0</v>
      </c>
      <c r="S267">
        <f t="shared" si="42"/>
        <v>11</v>
      </c>
      <c r="T267">
        <f t="shared" si="43"/>
        <v>140</v>
      </c>
      <c r="U267">
        <f t="shared" si="44"/>
        <v>8</v>
      </c>
      <c r="V267">
        <f t="shared" si="45"/>
        <v>97</v>
      </c>
      <c r="Y267" t="str">
        <f t="shared" si="36"/>
        <v>Asia and the Pacific Total</v>
      </c>
      <c r="Z267" s="104" t="str">
        <f t="shared" si="37"/>
        <v/>
      </c>
      <c r="AA267" s="104">
        <f t="shared" si="38"/>
        <v>0.92715231788079466</v>
      </c>
      <c r="AB267" s="104">
        <f t="shared" si="39"/>
        <v>0.92380952380952386</v>
      </c>
    </row>
    <row r="268" spans="1:28" x14ac:dyDescent="0.25">
      <c r="A268" s="50" t="s">
        <v>2807</v>
      </c>
      <c r="B268" s="57"/>
      <c r="C268" s="57"/>
      <c r="D268" s="57"/>
      <c r="E268" s="57"/>
      <c r="F268" s="57"/>
      <c r="G268" s="57"/>
      <c r="H268" s="57"/>
      <c r="I268" s="57"/>
      <c r="J268" s="57"/>
      <c r="K268" s="57"/>
      <c r="L268" s="57"/>
      <c r="M268" s="57"/>
      <c r="Q268">
        <f t="shared" si="40"/>
        <v>0</v>
      </c>
      <c r="R268">
        <f t="shared" si="41"/>
        <v>0</v>
      </c>
      <c r="S268">
        <f t="shared" si="42"/>
        <v>0</v>
      </c>
      <c r="T268">
        <f t="shared" si="43"/>
        <v>0</v>
      </c>
      <c r="U268">
        <f t="shared" si="44"/>
        <v>0</v>
      </c>
      <c r="V268">
        <f t="shared" si="45"/>
        <v>0</v>
      </c>
      <c r="Y268" t="str">
        <f t="shared" si="36"/>
        <v>Latin America and the Caribbean</v>
      </c>
      <c r="Z268" s="104" t="str">
        <f t="shared" si="37"/>
        <v/>
      </c>
      <c r="AA268" s="104" t="str">
        <f t="shared" si="38"/>
        <v/>
      </c>
      <c r="AB268" s="104" t="str">
        <f t="shared" si="39"/>
        <v/>
      </c>
    </row>
    <row r="269" spans="1:28" x14ac:dyDescent="0.25">
      <c r="A269" s="55" t="s">
        <v>2806</v>
      </c>
      <c r="B269" s="57"/>
      <c r="C269" s="57"/>
      <c r="D269" s="57"/>
      <c r="E269" s="57"/>
      <c r="F269" s="57"/>
      <c r="G269" s="57"/>
      <c r="H269" s="57"/>
      <c r="I269" s="57">
        <v>1</v>
      </c>
      <c r="J269" s="57"/>
      <c r="K269" s="57"/>
      <c r="L269" s="57"/>
      <c r="M269" s="57"/>
      <c r="Q269">
        <f t="shared" si="40"/>
        <v>0</v>
      </c>
      <c r="R269">
        <f t="shared" si="41"/>
        <v>0</v>
      </c>
      <c r="S269">
        <f t="shared" si="42"/>
        <v>0</v>
      </c>
      <c r="T269">
        <f t="shared" si="43"/>
        <v>0</v>
      </c>
      <c r="U269">
        <f t="shared" si="44"/>
        <v>0</v>
      </c>
      <c r="V269">
        <f t="shared" si="45"/>
        <v>1</v>
      </c>
      <c r="Y269" t="str">
        <f t="shared" si="36"/>
        <v>Colombia</v>
      </c>
      <c r="Z269" s="104" t="str">
        <f t="shared" si="37"/>
        <v/>
      </c>
      <c r="AA269" s="104" t="str">
        <f t="shared" si="38"/>
        <v/>
      </c>
      <c r="AB269" s="104">
        <f t="shared" si="39"/>
        <v>1</v>
      </c>
    </row>
    <row r="270" spans="1:28" x14ac:dyDescent="0.25">
      <c r="A270" s="55" t="s">
        <v>2931</v>
      </c>
      <c r="B270" s="57"/>
      <c r="C270" s="57"/>
      <c r="D270" s="57"/>
      <c r="E270" s="57"/>
      <c r="F270" s="57"/>
      <c r="G270" s="57"/>
      <c r="H270" s="57"/>
      <c r="I270" s="57">
        <v>1</v>
      </c>
      <c r="J270" s="57"/>
      <c r="K270" s="57"/>
      <c r="L270" s="57"/>
      <c r="M270" s="57"/>
      <c r="Q270">
        <f t="shared" si="40"/>
        <v>0</v>
      </c>
      <c r="R270">
        <f t="shared" si="41"/>
        <v>0</v>
      </c>
      <c r="S270">
        <f t="shared" si="42"/>
        <v>0</v>
      </c>
      <c r="T270">
        <f t="shared" si="43"/>
        <v>0</v>
      </c>
      <c r="U270">
        <f t="shared" si="44"/>
        <v>0</v>
      </c>
      <c r="V270">
        <f t="shared" si="45"/>
        <v>1</v>
      </c>
      <c r="Y270" t="str">
        <f t="shared" si="36"/>
        <v>Costa Rica</v>
      </c>
      <c r="Z270" s="104" t="str">
        <f t="shared" si="37"/>
        <v/>
      </c>
      <c r="AA270" s="104" t="str">
        <f t="shared" si="38"/>
        <v/>
      </c>
      <c r="AB270" s="104">
        <f t="shared" si="39"/>
        <v>1</v>
      </c>
    </row>
    <row r="271" spans="1:28" x14ac:dyDescent="0.25">
      <c r="A271" s="55" t="s">
        <v>3148</v>
      </c>
      <c r="B271" s="57"/>
      <c r="C271" s="57"/>
      <c r="D271" s="57"/>
      <c r="E271" s="57"/>
      <c r="F271" s="57">
        <v>1</v>
      </c>
      <c r="G271" s="57"/>
      <c r="H271" s="57"/>
      <c r="I271" s="57">
        <v>1</v>
      </c>
      <c r="J271" s="57"/>
      <c r="K271" s="57"/>
      <c r="L271" s="57"/>
      <c r="M271" s="57"/>
      <c r="Q271">
        <f t="shared" si="40"/>
        <v>0</v>
      </c>
      <c r="R271">
        <f t="shared" si="41"/>
        <v>0</v>
      </c>
      <c r="S271">
        <f t="shared" si="42"/>
        <v>0</v>
      </c>
      <c r="T271">
        <f t="shared" si="43"/>
        <v>1</v>
      </c>
      <c r="U271">
        <f t="shared" si="44"/>
        <v>0</v>
      </c>
      <c r="V271">
        <f t="shared" si="45"/>
        <v>1</v>
      </c>
      <c r="Y271" t="str">
        <f t="shared" si="36"/>
        <v>Cuba</v>
      </c>
      <c r="Z271" s="104" t="str">
        <f t="shared" si="37"/>
        <v/>
      </c>
      <c r="AA271" s="104">
        <f t="shared" si="38"/>
        <v>1</v>
      </c>
      <c r="AB271" s="104">
        <f t="shared" si="39"/>
        <v>1</v>
      </c>
    </row>
    <row r="272" spans="1:28" x14ac:dyDescent="0.25">
      <c r="A272" s="55" t="s">
        <v>3261</v>
      </c>
      <c r="B272" s="57"/>
      <c r="C272" s="57"/>
      <c r="D272" s="57"/>
      <c r="E272" s="57"/>
      <c r="F272" s="57"/>
      <c r="G272" s="57"/>
      <c r="H272" s="57"/>
      <c r="I272" s="57"/>
      <c r="J272" s="57"/>
      <c r="K272" s="57"/>
      <c r="L272" s="57"/>
      <c r="M272" s="57"/>
      <c r="Q272">
        <f t="shared" si="40"/>
        <v>0</v>
      </c>
      <c r="R272">
        <f t="shared" si="41"/>
        <v>0</v>
      </c>
      <c r="S272">
        <f t="shared" si="42"/>
        <v>0</v>
      </c>
      <c r="T272">
        <f t="shared" si="43"/>
        <v>0</v>
      </c>
      <c r="U272">
        <f t="shared" si="44"/>
        <v>0</v>
      </c>
      <c r="V272">
        <f t="shared" si="45"/>
        <v>0</v>
      </c>
      <c r="Y272" t="str">
        <f t="shared" si="36"/>
        <v>Dominican Republic</v>
      </c>
      <c r="Z272" s="104" t="str">
        <f t="shared" si="37"/>
        <v/>
      </c>
      <c r="AA272" s="104" t="str">
        <f t="shared" si="38"/>
        <v/>
      </c>
      <c r="AB272" s="104" t="str">
        <f t="shared" si="39"/>
        <v/>
      </c>
    </row>
    <row r="273" spans="1:28" x14ac:dyDescent="0.25">
      <c r="A273" s="55" t="s">
        <v>3272</v>
      </c>
      <c r="B273" s="57"/>
      <c r="C273" s="57"/>
      <c r="D273" s="57"/>
      <c r="E273" s="57">
        <v>4</v>
      </c>
      <c r="F273" s="57">
        <v>10</v>
      </c>
      <c r="G273" s="57"/>
      <c r="H273" s="57"/>
      <c r="I273" s="57">
        <v>4</v>
      </c>
      <c r="J273" s="57"/>
      <c r="K273" s="57"/>
      <c r="L273" s="57"/>
      <c r="M273" s="57"/>
      <c r="Q273">
        <f t="shared" si="40"/>
        <v>0</v>
      </c>
      <c r="R273">
        <f t="shared" si="41"/>
        <v>0</v>
      </c>
      <c r="S273">
        <f t="shared" si="42"/>
        <v>4</v>
      </c>
      <c r="T273">
        <f t="shared" si="43"/>
        <v>10</v>
      </c>
      <c r="U273">
        <f t="shared" si="44"/>
        <v>0</v>
      </c>
      <c r="V273">
        <f t="shared" si="45"/>
        <v>4</v>
      </c>
      <c r="Y273" t="str">
        <f t="shared" si="36"/>
        <v>Ecuador</v>
      </c>
      <c r="Z273" s="104" t="str">
        <f t="shared" si="37"/>
        <v/>
      </c>
      <c r="AA273" s="104">
        <f t="shared" si="38"/>
        <v>0.7142857142857143</v>
      </c>
      <c r="AB273" s="104">
        <f t="shared" si="39"/>
        <v>1</v>
      </c>
    </row>
    <row r="274" spans="1:28" x14ac:dyDescent="0.25">
      <c r="A274" s="55" t="s">
        <v>4777</v>
      </c>
      <c r="B274" s="57"/>
      <c r="C274" s="57"/>
      <c r="D274" s="57"/>
      <c r="E274" s="57"/>
      <c r="F274" s="57">
        <v>8</v>
      </c>
      <c r="G274" s="57"/>
      <c r="H274" s="57"/>
      <c r="I274" s="57">
        <v>7</v>
      </c>
      <c r="J274" s="57"/>
      <c r="K274" s="57"/>
      <c r="L274" s="57"/>
      <c r="M274" s="57"/>
      <c r="Q274">
        <f t="shared" si="40"/>
        <v>0</v>
      </c>
      <c r="R274">
        <f t="shared" si="41"/>
        <v>0</v>
      </c>
      <c r="S274">
        <f t="shared" si="42"/>
        <v>0</v>
      </c>
      <c r="T274">
        <f t="shared" si="43"/>
        <v>8</v>
      </c>
      <c r="U274">
        <f t="shared" si="44"/>
        <v>0</v>
      </c>
      <c r="V274">
        <f t="shared" si="45"/>
        <v>7</v>
      </c>
      <c r="Y274" t="str">
        <f t="shared" si="36"/>
        <v>Guatemala</v>
      </c>
      <c r="Z274" s="104" t="str">
        <f t="shared" si="37"/>
        <v/>
      </c>
      <c r="AA274" s="104">
        <f t="shared" si="38"/>
        <v>1</v>
      </c>
      <c r="AB274" s="104">
        <f t="shared" si="39"/>
        <v>1</v>
      </c>
    </row>
    <row r="275" spans="1:28" x14ac:dyDescent="0.25">
      <c r="A275" s="55" t="s">
        <v>5061</v>
      </c>
      <c r="B275" s="57"/>
      <c r="C275" s="57"/>
      <c r="D275" s="57"/>
      <c r="E275" s="57"/>
      <c r="F275" s="57">
        <v>7</v>
      </c>
      <c r="G275" s="57"/>
      <c r="H275" s="57"/>
      <c r="I275" s="57">
        <v>1</v>
      </c>
      <c r="J275" s="57"/>
      <c r="K275" s="57"/>
      <c r="L275" s="57"/>
      <c r="M275" s="57"/>
      <c r="Q275">
        <f t="shared" si="40"/>
        <v>0</v>
      </c>
      <c r="R275">
        <f t="shared" si="41"/>
        <v>0</v>
      </c>
      <c r="S275">
        <f t="shared" si="42"/>
        <v>0</v>
      </c>
      <c r="T275">
        <f t="shared" si="43"/>
        <v>7</v>
      </c>
      <c r="U275">
        <f t="shared" si="44"/>
        <v>0</v>
      </c>
      <c r="V275">
        <f t="shared" si="45"/>
        <v>1</v>
      </c>
      <c r="Y275" t="str">
        <f t="shared" si="36"/>
        <v>Haiti</v>
      </c>
      <c r="Z275" s="104" t="str">
        <f t="shared" si="37"/>
        <v/>
      </c>
      <c r="AA275" s="104">
        <f t="shared" si="38"/>
        <v>1</v>
      </c>
      <c r="AB275" s="104">
        <f t="shared" si="39"/>
        <v>1</v>
      </c>
    </row>
    <row r="276" spans="1:28" x14ac:dyDescent="0.25">
      <c r="A276" s="55" t="s">
        <v>5190</v>
      </c>
      <c r="B276" s="57"/>
      <c r="C276" s="57"/>
      <c r="D276" s="57"/>
      <c r="E276" s="57"/>
      <c r="F276" s="57">
        <v>4</v>
      </c>
      <c r="G276" s="57"/>
      <c r="H276" s="57"/>
      <c r="I276" s="57">
        <v>3</v>
      </c>
      <c r="J276" s="57"/>
      <c r="K276" s="57"/>
      <c r="L276" s="57"/>
      <c r="M276" s="57"/>
      <c r="Q276">
        <f t="shared" si="40"/>
        <v>0</v>
      </c>
      <c r="R276">
        <f t="shared" si="41"/>
        <v>0</v>
      </c>
      <c r="S276">
        <f t="shared" si="42"/>
        <v>0</v>
      </c>
      <c r="T276">
        <f t="shared" si="43"/>
        <v>4</v>
      </c>
      <c r="U276">
        <f t="shared" si="44"/>
        <v>0</v>
      </c>
      <c r="V276">
        <f t="shared" si="45"/>
        <v>3</v>
      </c>
      <c r="Y276" t="str">
        <f t="shared" si="36"/>
        <v>Honduras</v>
      </c>
      <c r="Z276" s="104" t="str">
        <f t="shared" si="37"/>
        <v/>
      </c>
      <c r="AA276" s="104">
        <f t="shared" si="38"/>
        <v>1</v>
      </c>
      <c r="AB276" s="104">
        <f t="shared" si="39"/>
        <v>1</v>
      </c>
    </row>
    <row r="277" spans="1:28" x14ac:dyDescent="0.25">
      <c r="A277" s="55" t="s">
        <v>8138</v>
      </c>
      <c r="B277" s="57"/>
      <c r="C277" s="57"/>
      <c r="D277" s="57"/>
      <c r="E277" s="57"/>
      <c r="F277" s="57"/>
      <c r="G277" s="57"/>
      <c r="H277" s="57"/>
      <c r="I277" s="57">
        <v>1</v>
      </c>
      <c r="J277" s="57"/>
      <c r="K277" s="57"/>
      <c r="L277" s="57"/>
      <c r="M277" s="57"/>
      <c r="Q277">
        <f t="shared" si="40"/>
        <v>0</v>
      </c>
      <c r="R277">
        <f t="shared" si="41"/>
        <v>0</v>
      </c>
      <c r="S277">
        <f t="shared" si="42"/>
        <v>0</v>
      </c>
      <c r="T277">
        <f t="shared" si="43"/>
        <v>0</v>
      </c>
      <c r="U277">
        <f t="shared" si="44"/>
        <v>0</v>
      </c>
      <c r="V277">
        <f t="shared" si="45"/>
        <v>1</v>
      </c>
      <c r="Y277" t="str">
        <f t="shared" si="36"/>
        <v>Mexico</v>
      </c>
      <c r="Z277" s="104" t="str">
        <f t="shared" si="37"/>
        <v/>
      </c>
      <c r="AA277" s="104" t="str">
        <f t="shared" si="38"/>
        <v/>
      </c>
      <c r="AB277" s="104">
        <f t="shared" si="39"/>
        <v>1</v>
      </c>
    </row>
    <row r="278" spans="1:28" x14ac:dyDescent="0.25">
      <c r="A278" s="55" t="s">
        <v>9042</v>
      </c>
      <c r="B278" s="57"/>
      <c r="C278" s="57"/>
      <c r="D278" s="57"/>
      <c r="E278" s="57"/>
      <c r="F278" s="57"/>
      <c r="G278" s="57"/>
      <c r="H278" s="57"/>
      <c r="I278" s="57">
        <v>1</v>
      </c>
      <c r="J278" s="57"/>
      <c r="K278" s="57"/>
      <c r="L278" s="57"/>
      <c r="M278" s="57"/>
      <c r="Q278">
        <f t="shared" si="40"/>
        <v>0</v>
      </c>
      <c r="R278">
        <f t="shared" si="41"/>
        <v>0</v>
      </c>
      <c r="S278">
        <f t="shared" si="42"/>
        <v>0</v>
      </c>
      <c r="T278">
        <f t="shared" si="43"/>
        <v>0</v>
      </c>
      <c r="U278">
        <f t="shared" si="44"/>
        <v>0</v>
      </c>
      <c r="V278">
        <f t="shared" si="45"/>
        <v>1</v>
      </c>
      <c r="Y278" t="str">
        <f t="shared" si="36"/>
        <v>Nicaragua</v>
      </c>
      <c r="Z278" s="104" t="str">
        <f t="shared" si="37"/>
        <v/>
      </c>
      <c r="AA278" s="104" t="str">
        <f t="shared" si="38"/>
        <v/>
      </c>
      <c r="AB278" s="104">
        <f t="shared" si="39"/>
        <v>1</v>
      </c>
    </row>
    <row r="279" spans="1:28" x14ac:dyDescent="0.25">
      <c r="A279" s="55" t="s">
        <v>9514</v>
      </c>
      <c r="B279" s="57"/>
      <c r="C279" s="57"/>
      <c r="D279" s="57"/>
      <c r="E279" s="57"/>
      <c r="F279" s="57"/>
      <c r="G279" s="57"/>
      <c r="H279" s="57"/>
      <c r="I279" s="57"/>
      <c r="J279" s="57"/>
      <c r="K279" s="57"/>
      <c r="L279" s="57"/>
      <c r="M279" s="57"/>
      <c r="Q279">
        <f t="shared" si="40"/>
        <v>0</v>
      </c>
      <c r="R279">
        <f t="shared" si="41"/>
        <v>0</v>
      </c>
      <c r="S279">
        <f t="shared" si="42"/>
        <v>0</v>
      </c>
      <c r="T279">
        <f t="shared" si="43"/>
        <v>0</v>
      </c>
      <c r="U279">
        <f t="shared" si="44"/>
        <v>0</v>
      </c>
      <c r="V279">
        <f t="shared" si="45"/>
        <v>0</v>
      </c>
      <c r="Y279" t="str">
        <f t="shared" si="36"/>
        <v>Panama</v>
      </c>
      <c r="Z279" s="104" t="str">
        <f t="shared" si="37"/>
        <v/>
      </c>
      <c r="AA279" s="104" t="str">
        <f t="shared" si="38"/>
        <v/>
      </c>
      <c r="AB279" s="104" t="str">
        <f t="shared" si="39"/>
        <v/>
      </c>
    </row>
    <row r="280" spans="1:28" x14ac:dyDescent="0.25">
      <c r="A280" s="55" t="s">
        <v>9706</v>
      </c>
      <c r="B280" s="57"/>
      <c r="C280" s="57"/>
      <c r="D280" s="57"/>
      <c r="E280" s="57">
        <v>2</v>
      </c>
      <c r="F280" s="57">
        <v>29</v>
      </c>
      <c r="G280" s="57"/>
      <c r="H280" s="57">
        <v>1</v>
      </c>
      <c r="I280" s="57">
        <v>1</v>
      </c>
      <c r="J280" s="57"/>
      <c r="K280" s="57"/>
      <c r="L280" s="57"/>
      <c r="M280" s="57"/>
      <c r="Q280">
        <f t="shared" si="40"/>
        <v>0</v>
      </c>
      <c r="R280">
        <f t="shared" si="41"/>
        <v>0</v>
      </c>
      <c r="S280">
        <f t="shared" si="42"/>
        <v>2</v>
      </c>
      <c r="T280">
        <f t="shared" si="43"/>
        <v>29</v>
      </c>
      <c r="U280">
        <f t="shared" si="44"/>
        <v>1</v>
      </c>
      <c r="V280">
        <f t="shared" si="45"/>
        <v>1</v>
      </c>
      <c r="Y280" t="str">
        <f t="shared" si="36"/>
        <v>Peru</v>
      </c>
      <c r="Z280" s="104" t="str">
        <f t="shared" si="37"/>
        <v/>
      </c>
      <c r="AA280" s="104">
        <f t="shared" si="38"/>
        <v>0.93548387096774188</v>
      </c>
      <c r="AB280" s="104">
        <f t="shared" si="39"/>
        <v>0.5</v>
      </c>
    </row>
    <row r="281" spans="1:28" x14ac:dyDescent="0.25">
      <c r="A281" s="50" t="s">
        <v>14280</v>
      </c>
      <c r="B281" s="57"/>
      <c r="C281" s="57"/>
      <c r="D281" s="57"/>
      <c r="E281" s="57">
        <v>6</v>
      </c>
      <c r="F281" s="57">
        <v>59</v>
      </c>
      <c r="G281" s="57"/>
      <c r="H281" s="57">
        <v>1</v>
      </c>
      <c r="I281" s="57">
        <v>21</v>
      </c>
      <c r="J281" s="57"/>
      <c r="K281" s="57"/>
      <c r="L281" s="57"/>
      <c r="M281" s="57"/>
      <c r="Q281">
        <f t="shared" si="40"/>
        <v>0</v>
      </c>
      <c r="R281">
        <f t="shared" si="41"/>
        <v>0</v>
      </c>
      <c r="S281">
        <f t="shared" si="42"/>
        <v>6</v>
      </c>
      <c r="T281">
        <f t="shared" si="43"/>
        <v>59</v>
      </c>
      <c r="U281">
        <f t="shared" si="44"/>
        <v>1</v>
      </c>
      <c r="V281">
        <f t="shared" si="45"/>
        <v>21</v>
      </c>
      <c r="Y281" t="str">
        <f t="shared" si="36"/>
        <v>Latin America and the Caribbean Total</v>
      </c>
      <c r="Z281" s="104" t="str">
        <f t="shared" si="37"/>
        <v/>
      </c>
      <c r="AA281" s="104">
        <f t="shared" si="38"/>
        <v>0.90769230769230769</v>
      </c>
      <c r="AB281" s="104">
        <f t="shared" si="39"/>
        <v>0.95454545454545459</v>
      </c>
    </row>
    <row r="282" spans="1:28" x14ac:dyDescent="0.25">
      <c r="A282" s="50" t="s">
        <v>602</v>
      </c>
      <c r="B282" s="57"/>
      <c r="C282" s="57"/>
      <c r="D282" s="57"/>
      <c r="E282" s="57"/>
      <c r="F282" s="57"/>
      <c r="G282" s="57"/>
      <c r="H282" s="57"/>
      <c r="I282" s="57"/>
      <c r="J282" s="57"/>
      <c r="K282" s="57"/>
      <c r="L282" s="57"/>
      <c r="M282" s="57"/>
      <c r="Q282">
        <f t="shared" si="40"/>
        <v>0</v>
      </c>
      <c r="R282">
        <f t="shared" si="41"/>
        <v>0</v>
      </c>
      <c r="S282">
        <f t="shared" si="42"/>
        <v>0</v>
      </c>
      <c r="T282">
        <f t="shared" si="43"/>
        <v>0</v>
      </c>
      <c r="U282">
        <f t="shared" si="44"/>
        <v>0</v>
      </c>
      <c r="V282">
        <f t="shared" si="45"/>
        <v>0</v>
      </c>
      <c r="Y282" t="str">
        <f t="shared" si="36"/>
        <v>Middle East, North Africa and Europe</v>
      </c>
      <c r="Z282" s="104" t="str">
        <f t="shared" si="37"/>
        <v/>
      </c>
      <c r="AA282" s="104" t="str">
        <f t="shared" si="38"/>
        <v/>
      </c>
      <c r="AB282" s="104" t="str">
        <f t="shared" si="39"/>
        <v/>
      </c>
    </row>
    <row r="283" spans="1:28" x14ac:dyDescent="0.25">
      <c r="A283" s="55" t="s">
        <v>601</v>
      </c>
      <c r="B283" s="57"/>
      <c r="C283" s="57"/>
      <c r="D283" s="57"/>
      <c r="E283" s="57"/>
      <c r="F283" s="57"/>
      <c r="G283" s="57"/>
      <c r="H283" s="57"/>
      <c r="I283" s="57">
        <v>1</v>
      </c>
      <c r="J283" s="57"/>
      <c r="K283" s="57"/>
      <c r="L283" s="57"/>
      <c r="M283" s="57"/>
      <c r="Q283">
        <f t="shared" si="40"/>
        <v>0</v>
      </c>
      <c r="R283">
        <f t="shared" si="41"/>
        <v>0</v>
      </c>
      <c r="S283">
        <f t="shared" si="42"/>
        <v>0</v>
      </c>
      <c r="T283">
        <f t="shared" si="43"/>
        <v>0</v>
      </c>
      <c r="U283">
        <f t="shared" si="44"/>
        <v>0</v>
      </c>
      <c r="V283">
        <f t="shared" si="45"/>
        <v>1</v>
      </c>
      <c r="Y283" t="str">
        <f t="shared" ref="Y283:Y317" si="46">A283</f>
        <v>Albania</v>
      </c>
      <c r="Z283" s="104" t="str">
        <f t="shared" ref="Z283:Z317" si="47">IFERROR(R283/(SUM($Q283:$R283)),"")</f>
        <v/>
      </c>
      <c r="AA283" s="104" t="str">
        <f t="shared" ref="AA283:AA317" si="48">IFERROR(T283/(SUM($S283:$T283)),"")</f>
        <v/>
      </c>
      <c r="AB283" s="104">
        <f t="shared" ref="AB283:AB317" si="49">IFERROR(V283/(SUM($U283:$V283)),"")</f>
        <v>1</v>
      </c>
    </row>
    <row r="284" spans="1:28" x14ac:dyDescent="0.25">
      <c r="A284" s="55" t="s">
        <v>635</v>
      </c>
      <c r="B284" s="57"/>
      <c r="C284" s="57"/>
      <c r="D284" s="57"/>
      <c r="E284" s="57"/>
      <c r="F284" s="57"/>
      <c r="G284" s="57"/>
      <c r="H284" s="57"/>
      <c r="I284" s="57">
        <v>1</v>
      </c>
      <c r="J284" s="57"/>
      <c r="K284" s="57"/>
      <c r="L284" s="57"/>
      <c r="M284" s="57"/>
      <c r="Q284">
        <f t="shared" si="40"/>
        <v>0</v>
      </c>
      <c r="R284">
        <f t="shared" si="41"/>
        <v>0</v>
      </c>
      <c r="S284">
        <f t="shared" si="42"/>
        <v>0</v>
      </c>
      <c r="T284">
        <f t="shared" si="43"/>
        <v>0</v>
      </c>
      <c r="U284">
        <f t="shared" si="44"/>
        <v>0</v>
      </c>
      <c r="V284">
        <f t="shared" si="45"/>
        <v>1</v>
      </c>
      <c r="Y284" t="str">
        <f t="shared" si="46"/>
        <v>Austria</v>
      </c>
      <c r="Z284" s="104" t="str">
        <f t="shared" si="47"/>
        <v/>
      </c>
      <c r="AA284" s="104" t="str">
        <f t="shared" si="48"/>
        <v/>
      </c>
      <c r="AB284" s="104">
        <f t="shared" si="49"/>
        <v>1</v>
      </c>
    </row>
    <row r="285" spans="1:28" x14ac:dyDescent="0.25">
      <c r="A285" s="55" t="s">
        <v>1527</v>
      </c>
      <c r="B285" s="57"/>
      <c r="C285" s="57"/>
      <c r="D285" s="57"/>
      <c r="E285" s="57"/>
      <c r="F285" s="57">
        <v>1</v>
      </c>
      <c r="G285" s="57"/>
      <c r="H285" s="57"/>
      <c r="I285" s="57">
        <v>1</v>
      </c>
      <c r="J285" s="57"/>
      <c r="K285" s="57"/>
      <c r="L285" s="57"/>
      <c r="M285" s="57"/>
      <c r="Q285">
        <f t="shared" si="40"/>
        <v>0</v>
      </c>
      <c r="R285">
        <f t="shared" si="41"/>
        <v>0</v>
      </c>
      <c r="S285">
        <f t="shared" si="42"/>
        <v>0</v>
      </c>
      <c r="T285">
        <f t="shared" si="43"/>
        <v>1</v>
      </c>
      <c r="U285">
        <f t="shared" si="44"/>
        <v>0</v>
      </c>
      <c r="V285">
        <f t="shared" si="45"/>
        <v>1</v>
      </c>
      <c r="Y285" t="str">
        <f t="shared" si="46"/>
        <v>Belgium</v>
      </c>
      <c r="Z285" s="104" t="str">
        <f t="shared" si="47"/>
        <v/>
      </c>
      <c r="AA285" s="104">
        <f t="shared" si="48"/>
        <v>1</v>
      </c>
      <c r="AB285" s="104">
        <f t="shared" si="49"/>
        <v>1</v>
      </c>
    </row>
    <row r="286" spans="1:28" x14ac:dyDescent="0.25">
      <c r="A286" s="55" t="s">
        <v>1735</v>
      </c>
      <c r="B286" s="57"/>
      <c r="C286" s="57"/>
      <c r="D286" s="57"/>
      <c r="E286" s="57"/>
      <c r="F286" s="57"/>
      <c r="G286" s="57"/>
      <c r="H286" s="57">
        <v>1</v>
      </c>
      <c r="I286" s="57">
        <v>4</v>
      </c>
      <c r="J286" s="57"/>
      <c r="K286" s="57"/>
      <c r="L286" s="57"/>
      <c r="M286" s="57"/>
      <c r="Q286">
        <f t="shared" ref="Q286:Q317" si="50">B286</f>
        <v>0</v>
      </c>
      <c r="R286">
        <f t="shared" ref="R286:R317" si="51">C286</f>
        <v>0</v>
      </c>
      <c r="S286">
        <f t="shared" ref="S286:S317" si="52">E286</f>
        <v>0</v>
      </c>
      <c r="T286">
        <f t="shared" ref="T286:T317" si="53">F286</f>
        <v>0</v>
      </c>
      <c r="U286">
        <f t="shared" ref="U286:U317" si="54">H286</f>
        <v>1</v>
      </c>
      <c r="V286">
        <f t="shared" ref="V286:V317" si="55">I286</f>
        <v>4</v>
      </c>
      <c r="Y286" t="str">
        <f t="shared" si="46"/>
        <v>Bosnia and Herzegovina</v>
      </c>
      <c r="Z286" s="104" t="str">
        <f t="shared" si="47"/>
        <v/>
      </c>
      <c r="AA286" s="104" t="str">
        <f t="shared" si="48"/>
        <v/>
      </c>
      <c r="AB286" s="104">
        <f t="shared" si="49"/>
        <v>0.8</v>
      </c>
    </row>
    <row r="287" spans="1:28" x14ac:dyDescent="0.25">
      <c r="A287" s="55" t="s">
        <v>3140</v>
      </c>
      <c r="B287" s="57"/>
      <c r="C287" s="57"/>
      <c r="D287" s="57"/>
      <c r="E287" s="57"/>
      <c r="F287" s="57"/>
      <c r="G287" s="57"/>
      <c r="H287" s="57"/>
      <c r="I287" s="57">
        <v>1</v>
      </c>
      <c r="J287" s="57"/>
      <c r="K287" s="57"/>
      <c r="L287" s="57"/>
      <c r="M287" s="57"/>
      <c r="Q287">
        <f t="shared" si="50"/>
        <v>0</v>
      </c>
      <c r="R287">
        <f t="shared" si="51"/>
        <v>0</v>
      </c>
      <c r="S287">
        <f t="shared" si="52"/>
        <v>0</v>
      </c>
      <c r="T287">
        <f t="shared" si="53"/>
        <v>0</v>
      </c>
      <c r="U287">
        <f t="shared" si="54"/>
        <v>0</v>
      </c>
      <c r="V287">
        <f t="shared" si="55"/>
        <v>1</v>
      </c>
      <c r="Y287" t="str">
        <f t="shared" si="46"/>
        <v>Croatia</v>
      </c>
      <c r="Z287" s="104" t="str">
        <f t="shared" si="47"/>
        <v/>
      </c>
      <c r="AA287" s="104" t="str">
        <f t="shared" si="48"/>
        <v/>
      </c>
      <c r="AB287" s="104">
        <f t="shared" si="49"/>
        <v>1</v>
      </c>
    </row>
    <row r="288" spans="1:28" x14ac:dyDescent="0.25">
      <c r="A288" s="55" t="s">
        <v>3231</v>
      </c>
      <c r="B288" s="57"/>
      <c r="C288" s="57"/>
      <c r="D288" s="57"/>
      <c r="E288" s="57">
        <v>1</v>
      </c>
      <c r="F288" s="57"/>
      <c r="G288" s="57"/>
      <c r="H288" s="57"/>
      <c r="I288" s="57"/>
      <c r="J288" s="57"/>
      <c r="K288" s="57"/>
      <c r="L288" s="57"/>
      <c r="M288" s="57"/>
      <c r="Q288">
        <f t="shared" si="50"/>
        <v>0</v>
      </c>
      <c r="R288">
        <f t="shared" si="51"/>
        <v>0</v>
      </c>
      <c r="S288">
        <f t="shared" si="52"/>
        <v>1</v>
      </c>
      <c r="T288">
        <f t="shared" si="53"/>
        <v>0</v>
      </c>
      <c r="U288">
        <f t="shared" si="54"/>
        <v>0</v>
      </c>
      <c r="V288">
        <f t="shared" si="55"/>
        <v>0</v>
      </c>
      <c r="Y288" t="str">
        <f t="shared" si="46"/>
        <v>Czech Republic</v>
      </c>
      <c r="Z288" s="104" t="str">
        <f t="shared" si="47"/>
        <v/>
      </c>
      <c r="AA288" s="104">
        <f t="shared" si="48"/>
        <v>0</v>
      </c>
      <c r="AB288" s="104" t="str">
        <f t="shared" si="49"/>
        <v/>
      </c>
    </row>
    <row r="289" spans="1:28" x14ac:dyDescent="0.25">
      <c r="A289" s="55" t="s">
        <v>3249</v>
      </c>
      <c r="B289" s="57"/>
      <c r="C289" s="57"/>
      <c r="D289" s="57"/>
      <c r="E289" s="57"/>
      <c r="F289" s="57"/>
      <c r="G289" s="57"/>
      <c r="H289" s="57"/>
      <c r="I289" s="57">
        <v>1</v>
      </c>
      <c r="J289" s="57"/>
      <c r="K289" s="57"/>
      <c r="L289" s="57"/>
      <c r="M289" s="57"/>
      <c r="Q289">
        <f t="shared" si="50"/>
        <v>0</v>
      </c>
      <c r="R289">
        <f t="shared" si="51"/>
        <v>0</v>
      </c>
      <c r="S289">
        <f t="shared" si="52"/>
        <v>0</v>
      </c>
      <c r="T289">
        <f t="shared" si="53"/>
        <v>0</v>
      </c>
      <c r="U289">
        <f t="shared" si="54"/>
        <v>0</v>
      </c>
      <c r="V289">
        <f t="shared" si="55"/>
        <v>1</v>
      </c>
      <c r="Y289" t="str">
        <f t="shared" si="46"/>
        <v>Denmark</v>
      </c>
      <c r="Z289" s="104" t="str">
        <f t="shared" si="47"/>
        <v/>
      </c>
      <c r="AA289" s="104" t="str">
        <f t="shared" si="48"/>
        <v/>
      </c>
      <c r="AB289" s="104">
        <f t="shared" si="49"/>
        <v>1</v>
      </c>
    </row>
    <row r="290" spans="1:28" x14ac:dyDescent="0.25">
      <c r="A290" s="55" t="s">
        <v>3546</v>
      </c>
      <c r="B290" s="57"/>
      <c r="C290" s="57"/>
      <c r="D290" s="57"/>
      <c r="E290" s="57">
        <v>3</v>
      </c>
      <c r="F290" s="57">
        <v>5</v>
      </c>
      <c r="G290" s="57"/>
      <c r="H290" s="57"/>
      <c r="I290" s="57">
        <v>10</v>
      </c>
      <c r="J290" s="57"/>
      <c r="K290" s="57"/>
      <c r="L290" s="57"/>
      <c r="M290" s="57"/>
      <c r="Q290">
        <f t="shared" si="50"/>
        <v>0</v>
      </c>
      <c r="R290">
        <f t="shared" si="51"/>
        <v>0</v>
      </c>
      <c r="S290">
        <f t="shared" si="52"/>
        <v>3</v>
      </c>
      <c r="T290">
        <f t="shared" si="53"/>
        <v>5</v>
      </c>
      <c r="U290">
        <f t="shared" si="54"/>
        <v>0</v>
      </c>
      <c r="V290">
        <f t="shared" si="55"/>
        <v>10</v>
      </c>
      <c r="Y290" t="str">
        <f t="shared" si="46"/>
        <v>Egypt</v>
      </c>
      <c r="Z290" s="104" t="str">
        <f t="shared" si="47"/>
        <v/>
      </c>
      <c r="AA290" s="104">
        <f t="shared" si="48"/>
        <v>0.625</v>
      </c>
      <c r="AB290" s="104">
        <f t="shared" si="49"/>
        <v>1</v>
      </c>
    </row>
    <row r="291" spans="1:28" x14ac:dyDescent="0.25">
      <c r="A291" s="55" t="s">
        <v>4293</v>
      </c>
      <c r="B291" s="57"/>
      <c r="C291" s="57"/>
      <c r="D291" s="57"/>
      <c r="E291" s="57">
        <v>1</v>
      </c>
      <c r="F291" s="57">
        <v>3</v>
      </c>
      <c r="G291" s="57"/>
      <c r="H291" s="57"/>
      <c r="I291" s="57"/>
      <c r="J291" s="57"/>
      <c r="K291" s="57"/>
      <c r="L291" s="57"/>
      <c r="M291" s="57"/>
      <c r="Q291">
        <f t="shared" si="50"/>
        <v>0</v>
      </c>
      <c r="R291">
        <f t="shared" si="51"/>
        <v>0</v>
      </c>
      <c r="S291">
        <f t="shared" si="52"/>
        <v>1</v>
      </c>
      <c r="T291">
        <f t="shared" si="53"/>
        <v>3</v>
      </c>
      <c r="U291">
        <f t="shared" si="54"/>
        <v>0</v>
      </c>
      <c r="V291">
        <f t="shared" si="55"/>
        <v>0</v>
      </c>
      <c r="Y291" t="str">
        <f t="shared" si="46"/>
        <v>France</v>
      </c>
      <c r="Z291" s="104" t="str">
        <f t="shared" si="47"/>
        <v/>
      </c>
      <c r="AA291" s="104">
        <f t="shared" si="48"/>
        <v>0.75</v>
      </c>
      <c r="AB291" s="104" t="str">
        <f t="shared" si="49"/>
        <v/>
      </c>
    </row>
    <row r="292" spans="1:28" x14ac:dyDescent="0.25">
      <c r="A292" s="55" t="s">
        <v>4346</v>
      </c>
      <c r="B292" s="57"/>
      <c r="C292" s="57"/>
      <c r="D292" s="57"/>
      <c r="E292" s="57"/>
      <c r="F292" s="57">
        <v>2</v>
      </c>
      <c r="G292" s="57"/>
      <c r="H292" s="57"/>
      <c r="I292" s="57">
        <v>1</v>
      </c>
      <c r="J292" s="57"/>
      <c r="K292" s="57"/>
      <c r="L292" s="57"/>
      <c r="M292" s="57"/>
      <c r="Q292">
        <f t="shared" si="50"/>
        <v>0</v>
      </c>
      <c r="R292">
        <f t="shared" si="51"/>
        <v>0</v>
      </c>
      <c r="S292">
        <f t="shared" si="52"/>
        <v>0</v>
      </c>
      <c r="T292">
        <f t="shared" si="53"/>
        <v>2</v>
      </c>
      <c r="U292">
        <f t="shared" si="54"/>
        <v>0</v>
      </c>
      <c r="V292">
        <f t="shared" si="55"/>
        <v>1</v>
      </c>
      <c r="Y292" t="str">
        <f t="shared" si="46"/>
        <v>Georgia</v>
      </c>
      <c r="Z292" s="104" t="str">
        <f t="shared" si="47"/>
        <v/>
      </c>
      <c r="AA292" s="104">
        <f t="shared" si="48"/>
        <v>1</v>
      </c>
      <c r="AB292" s="104">
        <f t="shared" si="49"/>
        <v>1</v>
      </c>
    </row>
    <row r="293" spans="1:28" x14ac:dyDescent="0.25">
      <c r="A293" s="55" t="s">
        <v>4428</v>
      </c>
      <c r="B293" s="57"/>
      <c r="C293" s="57"/>
      <c r="D293" s="57"/>
      <c r="E293" s="57"/>
      <c r="F293" s="57">
        <v>3</v>
      </c>
      <c r="G293" s="57"/>
      <c r="H293" s="57"/>
      <c r="I293" s="57"/>
      <c r="J293" s="57"/>
      <c r="K293" s="57"/>
      <c r="L293" s="57"/>
      <c r="M293" s="57"/>
      <c r="Q293">
        <f t="shared" si="50"/>
        <v>0</v>
      </c>
      <c r="R293">
        <f t="shared" si="51"/>
        <v>0</v>
      </c>
      <c r="S293">
        <f t="shared" si="52"/>
        <v>0</v>
      </c>
      <c r="T293">
        <f t="shared" si="53"/>
        <v>3</v>
      </c>
      <c r="U293">
        <f t="shared" si="54"/>
        <v>0</v>
      </c>
      <c r="V293">
        <f t="shared" si="55"/>
        <v>0</v>
      </c>
      <c r="Y293" t="str">
        <f t="shared" si="46"/>
        <v>Germany</v>
      </c>
      <c r="Z293" s="104" t="str">
        <f t="shared" si="47"/>
        <v/>
      </c>
      <c r="AA293" s="104">
        <f t="shared" si="48"/>
        <v>1</v>
      </c>
      <c r="AB293" s="104" t="str">
        <f t="shared" si="49"/>
        <v/>
      </c>
    </row>
    <row r="294" spans="1:28" x14ac:dyDescent="0.25">
      <c r="A294" s="55" t="s">
        <v>4743</v>
      </c>
      <c r="B294" s="57"/>
      <c r="C294" s="57"/>
      <c r="D294" s="57"/>
      <c r="E294" s="57"/>
      <c r="F294" s="57">
        <v>1</v>
      </c>
      <c r="G294" s="57"/>
      <c r="H294" s="57"/>
      <c r="I294" s="57"/>
      <c r="J294" s="57"/>
      <c r="K294" s="57"/>
      <c r="L294" s="57"/>
      <c r="M294" s="57"/>
      <c r="Q294">
        <f t="shared" si="50"/>
        <v>0</v>
      </c>
      <c r="R294">
        <f t="shared" si="51"/>
        <v>0</v>
      </c>
      <c r="S294">
        <f t="shared" si="52"/>
        <v>0</v>
      </c>
      <c r="T294">
        <f t="shared" si="53"/>
        <v>1</v>
      </c>
      <c r="U294">
        <f t="shared" si="54"/>
        <v>0</v>
      </c>
      <c r="V294">
        <f t="shared" si="55"/>
        <v>0</v>
      </c>
      <c r="Y294" t="str">
        <f t="shared" si="46"/>
        <v>Greece</v>
      </c>
      <c r="Z294" s="104" t="str">
        <f t="shared" si="47"/>
        <v/>
      </c>
      <c r="AA294" s="104">
        <f t="shared" si="48"/>
        <v>1</v>
      </c>
      <c r="AB294" s="104" t="str">
        <f t="shared" si="49"/>
        <v/>
      </c>
    </row>
    <row r="295" spans="1:28" x14ac:dyDescent="0.25">
      <c r="A295" s="55" t="s">
        <v>6024</v>
      </c>
      <c r="B295" s="57"/>
      <c r="C295" s="57"/>
      <c r="D295" s="57"/>
      <c r="E295" s="57"/>
      <c r="F295" s="57">
        <v>6</v>
      </c>
      <c r="G295" s="57"/>
      <c r="H295" s="57"/>
      <c r="I295" s="57">
        <v>1</v>
      </c>
      <c r="J295" s="57"/>
      <c r="K295" s="57"/>
      <c r="L295" s="57"/>
      <c r="M295" s="57"/>
      <c r="Q295">
        <f t="shared" si="50"/>
        <v>0</v>
      </c>
      <c r="R295">
        <f t="shared" si="51"/>
        <v>0</v>
      </c>
      <c r="S295">
        <f t="shared" si="52"/>
        <v>0</v>
      </c>
      <c r="T295">
        <f t="shared" si="53"/>
        <v>6</v>
      </c>
      <c r="U295">
        <f t="shared" si="54"/>
        <v>0</v>
      </c>
      <c r="V295">
        <f t="shared" si="55"/>
        <v>1</v>
      </c>
      <c r="Y295" t="str">
        <f t="shared" si="46"/>
        <v>Iraq</v>
      </c>
      <c r="Z295" s="104" t="str">
        <f t="shared" si="47"/>
        <v/>
      </c>
      <c r="AA295" s="104">
        <f t="shared" si="48"/>
        <v>1</v>
      </c>
      <c r="AB295" s="104">
        <f t="shared" si="49"/>
        <v>1</v>
      </c>
    </row>
    <row r="296" spans="1:28" x14ac:dyDescent="0.25">
      <c r="A296" s="55" t="s">
        <v>6105</v>
      </c>
      <c r="B296" s="57"/>
      <c r="C296" s="57"/>
      <c r="D296" s="57"/>
      <c r="E296" s="57"/>
      <c r="F296" s="57">
        <v>4</v>
      </c>
      <c r="G296" s="57"/>
      <c r="H296" s="57"/>
      <c r="I296" s="57">
        <v>16</v>
      </c>
      <c r="J296" s="57"/>
      <c r="K296" s="57"/>
      <c r="L296" s="57"/>
      <c r="M296" s="57"/>
      <c r="Q296">
        <f t="shared" si="50"/>
        <v>0</v>
      </c>
      <c r="R296">
        <f t="shared" si="51"/>
        <v>0</v>
      </c>
      <c r="S296">
        <f t="shared" si="52"/>
        <v>0</v>
      </c>
      <c r="T296">
        <f t="shared" si="53"/>
        <v>4</v>
      </c>
      <c r="U296">
        <f t="shared" si="54"/>
        <v>0</v>
      </c>
      <c r="V296">
        <f t="shared" si="55"/>
        <v>16</v>
      </c>
      <c r="Y296" t="str">
        <f t="shared" si="46"/>
        <v>Jordan</v>
      </c>
      <c r="Z296" s="104" t="str">
        <f t="shared" si="47"/>
        <v/>
      </c>
      <c r="AA296" s="104">
        <f t="shared" si="48"/>
        <v>1</v>
      </c>
      <c r="AB296" s="104">
        <f t="shared" si="49"/>
        <v>1</v>
      </c>
    </row>
    <row r="297" spans="1:28" x14ac:dyDescent="0.25">
      <c r="A297" s="55" t="s">
        <v>6805</v>
      </c>
      <c r="B297" s="57"/>
      <c r="C297" s="57"/>
      <c r="D297" s="57"/>
      <c r="E297" s="57">
        <v>1</v>
      </c>
      <c r="F297" s="57">
        <v>1</v>
      </c>
      <c r="G297" s="57"/>
      <c r="H297" s="57"/>
      <c r="I297" s="57">
        <v>1</v>
      </c>
      <c r="J297" s="57"/>
      <c r="K297" s="57"/>
      <c r="L297" s="57"/>
      <c r="M297" s="57"/>
      <c r="Q297">
        <f t="shared" si="50"/>
        <v>0</v>
      </c>
      <c r="R297">
        <f t="shared" si="51"/>
        <v>0</v>
      </c>
      <c r="S297">
        <f t="shared" si="52"/>
        <v>1</v>
      </c>
      <c r="T297">
        <f t="shared" si="53"/>
        <v>1</v>
      </c>
      <c r="U297">
        <f t="shared" si="54"/>
        <v>0</v>
      </c>
      <c r="V297">
        <f t="shared" si="55"/>
        <v>1</v>
      </c>
      <c r="Y297" t="str">
        <f t="shared" si="46"/>
        <v>Kosovo</v>
      </c>
      <c r="Z297" s="104" t="str">
        <f t="shared" si="47"/>
        <v/>
      </c>
      <c r="AA297" s="104">
        <f t="shared" si="48"/>
        <v>0.5</v>
      </c>
      <c r="AB297" s="104">
        <f t="shared" si="49"/>
        <v>1</v>
      </c>
    </row>
    <row r="298" spans="1:28" x14ac:dyDescent="0.25">
      <c r="A298" s="55" t="s">
        <v>7083</v>
      </c>
      <c r="B298" s="57">
        <v>3</v>
      </c>
      <c r="C298" s="57">
        <v>1</v>
      </c>
      <c r="D298" s="57"/>
      <c r="E298" s="57"/>
      <c r="F298" s="57">
        <v>2</v>
      </c>
      <c r="G298" s="57"/>
      <c r="H298" s="57"/>
      <c r="I298" s="57"/>
      <c r="J298" s="57"/>
      <c r="K298" s="57"/>
      <c r="L298" s="57"/>
      <c r="M298" s="57"/>
      <c r="Q298">
        <f t="shared" si="50"/>
        <v>3</v>
      </c>
      <c r="R298">
        <f t="shared" si="51"/>
        <v>1</v>
      </c>
      <c r="S298">
        <f t="shared" si="52"/>
        <v>0</v>
      </c>
      <c r="T298">
        <f t="shared" si="53"/>
        <v>2</v>
      </c>
      <c r="U298">
        <f t="shared" si="54"/>
        <v>0</v>
      </c>
      <c r="V298">
        <f t="shared" si="55"/>
        <v>0</v>
      </c>
      <c r="Y298" t="str">
        <f t="shared" si="46"/>
        <v>Lebanon</v>
      </c>
      <c r="Z298" s="104">
        <f t="shared" si="47"/>
        <v>0.25</v>
      </c>
      <c r="AA298" s="104">
        <f t="shared" si="48"/>
        <v>1</v>
      </c>
      <c r="AB298" s="104" t="str">
        <f t="shared" si="49"/>
        <v/>
      </c>
    </row>
    <row r="299" spans="1:28" x14ac:dyDescent="0.25">
      <c r="A299" s="55" t="s">
        <v>7194</v>
      </c>
      <c r="B299" s="57"/>
      <c r="C299" s="57"/>
      <c r="D299" s="57"/>
      <c r="E299" s="57"/>
      <c r="F299" s="57"/>
      <c r="G299" s="57"/>
      <c r="H299" s="57"/>
      <c r="I299" s="57">
        <v>1</v>
      </c>
      <c r="J299" s="57"/>
      <c r="K299" s="57"/>
      <c r="L299" s="57"/>
      <c r="M299" s="57"/>
      <c r="Q299">
        <f t="shared" si="50"/>
        <v>0</v>
      </c>
      <c r="R299">
        <f t="shared" si="51"/>
        <v>0</v>
      </c>
      <c r="S299">
        <f t="shared" si="52"/>
        <v>0</v>
      </c>
      <c r="T299">
        <f t="shared" si="53"/>
        <v>0</v>
      </c>
      <c r="U299">
        <f t="shared" si="54"/>
        <v>0</v>
      </c>
      <c r="V299">
        <f t="shared" si="55"/>
        <v>1</v>
      </c>
      <c r="Y299" t="str">
        <f t="shared" si="46"/>
        <v>Macedonia</v>
      </c>
      <c r="Z299" s="104" t="str">
        <f t="shared" si="47"/>
        <v/>
      </c>
      <c r="AA299" s="104" t="str">
        <f t="shared" si="48"/>
        <v/>
      </c>
      <c r="AB299" s="104">
        <f t="shared" si="49"/>
        <v>1</v>
      </c>
    </row>
    <row r="300" spans="1:28" x14ac:dyDescent="0.25">
      <c r="A300" s="55" t="s">
        <v>8140</v>
      </c>
      <c r="B300" s="57"/>
      <c r="C300" s="57"/>
      <c r="D300" s="57"/>
      <c r="E300" s="57"/>
      <c r="F300" s="57">
        <v>2</v>
      </c>
      <c r="G300" s="57"/>
      <c r="H300" s="57"/>
      <c r="I300" s="57">
        <v>1</v>
      </c>
      <c r="J300" s="57"/>
      <c r="K300" s="57"/>
      <c r="L300" s="57"/>
      <c r="M300" s="57"/>
      <c r="Q300">
        <f t="shared" si="50"/>
        <v>0</v>
      </c>
      <c r="R300">
        <f t="shared" si="51"/>
        <v>0</v>
      </c>
      <c r="S300">
        <f t="shared" si="52"/>
        <v>0</v>
      </c>
      <c r="T300">
        <f t="shared" si="53"/>
        <v>2</v>
      </c>
      <c r="U300">
        <f t="shared" si="54"/>
        <v>0</v>
      </c>
      <c r="V300">
        <f t="shared" si="55"/>
        <v>1</v>
      </c>
      <c r="Y300" t="str">
        <f t="shared" si="46"/>
        <v>Montenegro</v>
      </c>
      <c r="Z300" s="104" t="str">
        <f t="shared" si="47"/>
        <v/>
      </c>
      <c r="AA300" s="104">
        <f t="shared" si="48"/>
        <v>1</v>
      </c>
      <c r="AB300" s="104">
        <f t="shared" si="49"/>
        <v>1</v>
      </c>
    </row>
    <row r="301" spans="1:28" x14ac:dyDescent="0.25">
      <c r="A301" s="55" t="s">
        <v>8180</v>
      </c>
      <c r="B301" s="57"/>
      <c r="C301" s="57"/>
      <c r="D301" s="57"/>
      <c r="E301" s="57"/>
      <c r="F301" s="57">
        <v>3</v>
      </c>
      <c r="G301" s="57"/>
      <c r="H301" s="57"/>
      <c r="I301" s="57">
        <v>2</v>
      </c>
      <c r="J301" s="57"/>
      <c r="K301" s="57"/>
      <c r="L301" s="57"/>
      <c r="M301" s="57"/>
      <c r="Q301">
        <f t="shared" si="50"/>
        <v>0</v>
      </c>
      <c r="R301">
        <f t="shared" si="51"/>
        <v>0</v>
      </c>
      <c r="S301">
        <f t="shared" si="52"/>
        <v>0</v>
      </c>
      <c r="T301">
        <f t="shared" si="53"/>
        <v>3</v>
      </c>
      <c r="U301">
        <f t="shared" si="54"/>
        <v>0</v>
      </c>
      <c r="V301">
        <f t="shared" si="55"/>
        <v>2</v>
      </c>
      <c r="Y301" t="str">
        <f t="shared" si="46"/>
        <v>Morocco</v>
      </c>
      <c r="Z301" s="104" t="str">
        <f t="shared" si="47"/>
        <v/>
      </c>
      <c r="AA301" s="104">
        <f t="shared" si="48"/>
        <v>1</v>
      </c>
      <c r="AB301" s="104">
        <f t="shared" si="49"/>
        <v>1</v>
      </c>
    </row>
    <row r="302" spans="1:28" x14ac:dyDescent="0.25">
      <c r="A302" s="55" t="s">
        <v>9020</v>
      </c>
      <c r="B302" s="57"/>
      <c r="C302" s="57"/>
      <c r="D302" s="57"/>
      <c r="E302" s="57"/>
      <c r="F302" s="57"/>
      <c r="G302" s="57"/>
      <c r="H302" s="57"/>
      <c r="I302" s="57"/>
      <c r="J302" s="57"/>
      <c r="K302" s="57"/>
      <c r="L302" s="57"/>
      <c r="M302" s="57"/>
      <c r="Q302">
        <f t="shared" si="50"/>
        <v>0</v>
      </c>
      <c r="R302">
        <f t="shared" si="51"/>
        <v>0</v>
      </c>
      <c r="S302">
        <f t="shared" si="52"/>
        <v>0</v>
      </c>
      <c r="T302">
        <f t="shared" si="53"/>
        <v>0</v>
      </c>
      <c r="U302">
        <f t="shared" si="54"/>
        <v>0</v>
      </c>
      <c r="V302">
        <f t="shared" si="55"/>
        <v>0</v>
      </c>
      <c r="Y302" t="str">
        <f t="shared" si="46"/>
        <v>Netherlands</v>
      </c>
      <c r="Z302" s="104" t="str">
        <f t="shared" si="47"/>
        <v/>
      </c>
      <c r="AA302" s="104" t="str">
        <f t="shared" si="48"/>
        <v/>
      </c>
      <c r="AB302" s="104" t="str">
        <f t="shared" si="49"/>
        <v/>
      </c>
    </row>
    <row r="303" spans="1:28" x14ac:dyDescent="0.25">
      <c r="A303" s="55" t="s">
        <v>9409</v>
      </c>
      <c r="B303" s="57"/>
      <c r="C303" s="57"/>
      <c r="D303" s="57"/>
      <c r="E303" s="57"/>
      <c r="F303" s="57"/>
      <c r="G303" s="57"/>
      <c r="H303" s="57">
        <v>1</v>
      </c>
      <c r="I303" s="57"/>
      <c r="J303" s="57"/>
      <c r="K303" s="57"/>
      <c r="L303" s="57"/>
      <c r="M303" s="57"/>
      <c r="Q303">
        <f t="shared" si="50"/>
        <v>0</v>
      </c>
      <c r="R303">
        <f t="shared" si="51"/>
        <v>0</v>
      </c>
      <c r="S303">
        <f t="shared" si="52"/>
        <v>0</v>
      </c>
      <c r="T303">
        <f t="shared" si="53"/>
        <v>0</v>
      </c>
      <c r="U303">
        <f t="shared" si="54"/>
        <v>1</v>
      </c>
      <c r="V303">
        <f t="shared" si="55"/>
        <v>0</v>
      </c>
      <c r="Y303" t="str">
        <f t="shared" si="46"/>
        <v>Norway</v>
      </c>
      <c r="Z303" s="104" t="str">
        <f t="shared" si="47"/>
        <v/>
      </c>
      <c r="AA303" s="104" t="str">
        <f t="shared" si="48"/>
        <v/>
      </c>
      <c r="AB303" s="104">
        <f t="shared" si="49"/>
        <v>0</v>
      </c>
    </row>
    <row r="304" spans="1:28" x14ac:dyDescent="0.25">
      <c r="A304" s="55" t="s">
        <v>10350</v>
      </c>
      <c r="B304" s="57"/>
      <c r="C304" s="57"/>
      <c r="D304" s="57"/>
      <c r="E304" s="57"/>
      <c r="F304" s="57">
        <v>1</v>
      </c>
      <c r="G304" s="57"/>
      <c r="H304" s="57"/>
      <c r="I304" s="57"/>
      <c r="J304" s="57"/>
      <c r="K304" s="57"/>
      <c r="L304" s="57"/>
      <c r="M304" s="57"/>
      <c r="Q304">
        <f t="shared" si="50"/>
        <v>0</v>
      </c>
      <c r="R304">
        <f t="shared" si="51"/>
        <v>0</v>
      </c>
      <c r="S304">
        <f t="shared" si="52"/>
        <v>0</v>
      </c>
      <c r="T304">
        <f t="shared" si="53"/>
        <v>1</v>
      </c>
      <c r="U304">
        <f t="shared" si="54"/>
        <v>0</v>
      </c>
      <c r="V304">
        <f t="shared" si="55"/>
        <v>0</v>
      </c>
      <c r="Y304" t="str">
        <f t="shared" si="46"/>
        <v>Romania</v>
      </c>
      <c r="Z304" s="104" t="str">
        <f t="shared" si="47"/>
        <v/>
      </c>
      <c r="AA304" s="104">
        <f t="shared" si="48"/>
        <v>1</v>
      </c>
      <c r="AB304" s="104" t="str">
        <f t="shared" si="49"/>
        <v/>
      </c>
    </row>
    <row r="305" spans="1:28" x14ac:dyDescent="0.25">
      <c r="A305" s="55" t="s">
        <v>10558</v>
      </c>
      <c r="B305" s="57"/>
      <c r="C305" s="57"/>
      <c r="D305" s="57"/>
      <c r="E305" s="57"/>
      <c r="F305" s="57">
        <v>5</v>
      </c>
      <c r="G305" s="57"/>
      <c r="H305" s="57"/>
      <c r="I305" s="57">
        <v>2</v>
      </c>
      <c r="J305" s="57"/>
      <c r="K305" s="57"/>
      <c r="L305" s="57"/>
      <c r="M305" s="57"/>
      <c r="Q305">
        <f t="shared" si="50"/>
        <v>0</v>
      </c>
      <c r="R305">
        <f t="shared" si="51"/>
        <v>0</v>
      </c>
      <c r="S305">
        <f t="shared" si="52"/>
        <v>0</v>
      </c>
      <c r="T305">
        <f t="shared" si="53"/>
        <v>5</v>
      </c>
      <c r="U305">
        <f t="shared" si="54"/>
        <v>0</v>
      </c>
      <c r="V305">
        <f t="shared" si="55"/>
        <v>2</v>
      </c>
      <c r="Y305" t="str">
        <f t="shared" si="46"/>
        <v>Serbia</v>
      </c>
      <c r="Z305" s="104" t="str">
        <f t="shared" si="47"/>
        <v/>
      </c>
      <c r="AA305" s="104">
        <f t="shared" si="48"/>
        <v>1</v>
      </c>
      <c r="AB305" s="104">
        <f t="shared" si="49"/>
        <v>1</v>
      </c>
    </row>
    <row r="306" spans="1:28" x14ac:dyDescent="0.25">
      <c r="A306" s="55" t="s">
        <v>11664</v>
      </c>
      <c r="B306" s="57"/>
      <c r="C306" s="57"/>
      <c r="D306" s="57"/>
      <c r="E306" s="57"/>
      <c r="F306" s="57"/>
      <c r="G306" s="57"/>
      <c r="H306" s="57"/>
      <c r="I306" s="57">
        <v>6</v>
      </c>
      <c r="J306" s="57"/>
      <c r="K306" s="57"/>
      <c r="L306" s="57"/>
      <c r="M306" s="57"/>
      <c r="Q306">
        <f t="shared" si="50"/>
        <v>0</v>
      </c>
      <c r="R306">
        <f t="shared" si="51"/>
        <v>0</v>
      </c>
      <c r="S306">
        <f t="shared" si="52"/>
        <v>0</v>
      </c>
      <c r="T306">
        <f t="shared" si="53"/>
        <v>0</v>
      </c>
      <c r="U306">
        <f t="shared" si="54"/>
        <v>0</v>
      </c>
      <c r="V306">
        <f t="shared" si="55"/>
        <v>6</v>
      </c>
      <c r="Y306" t="str">
        <f t="shared" si="46"/>
        <v>Switzerland</v>
      </c>
      <c r="Z306" s="104" t="str">
        <f t="shared" si="47"/>
        <v/>
      </c>
      <c r="AA306" s="104" t="str">
        <f t="shared" si="48"/>
        <v/>
      </c>
      <c r="AB306" s="104">
        <f t="shared" si="49"/>
        <v>1</v>
      </c>
    </row>
    <row r="307" spans="1:28" x14ac:dyDescent="0.25">
      <c r="A307" s="55" t="s">
        <v>11693</v>
      </c>
      <c r="B307" s="57"/>
      <c r="C307" s="57"/>
      <c r="D307" s="57"/>
      <c r="E307" s="57">
        <v>3</v>
      </c>
      <c r="F307" s="57">
        <v>29</v>
      </c>
      <c r="G307" s="57"/>
      <c r="H307" s="57"/>
      <c r="I307" s="57">
        <v>1</v>
      </c>
      <c r="J307" s="57"/>
      <c r="K307" s="57"/>
      <c r="L307" s="57"/>
      <c r="M307" s="57"/>
      <c r="Q307">
        <f t="shared" si="50"/>
        <v>0</v>
      </c>
      <c r="R307">
        <f t="shared" si="51"/>
        <v>0</v>
      </c>
      <c r="S307">
        <f t="shared" si="52"/>
        <v>3</v>
      </c>
      <c r="T307">
        <f t="shared" si="53"/>
        <v>29</v>
      </c>
      <c r="U307">
        <f t="shared" si="54"/>
        <v>0</v>
      </c>
      <c r="V307">
        <f t="shared" si="55"/>
        <v>1</v>
      </c>
      <c r="Y307" t="str">
        <f t="shared" si="46"/>
        <v>Syria</v>
      </c>
      <c r="Z307" s="104" t="str">
        <f t="shared" si="47"/>
        <v/>
      </c>
      <c r="AA307" s="104">
        <f t="shared" si="48"/>
        <v>0.90625</v>
      </c>
      <c r="AB307" s="104">
        <f t="shared" si="49"/>
        <v>1</v>
      </c>
    </row>
    <row r="308" spans="1:28" x14ac:dyDescent="0.25">
      <c r="A308" s="55" t="s">
        <v>12654</v>
      </c>
      <c r="B308" s="57"/>
      <c r="C308" s="57"/>
      <c r="D308" s="57"/>
      <c r="E308" s="57"/>
      <c r="F308" s="57"/>
      <c r="G308" s="57"/>
      <c r="H308" s="57"/>
      <c r="I308" s="57"/>
      <c r="J308" s="57"/>
      <c r="K308" s="57"/>
      <c r="L308" s="57"/>
      <c r="M308" s="57"/>
      <c r="Q308">
        <f t="shared" si="50"/>
        <v>0</v>
      </c>
      <c r="R308">
        <f t="shared" si="51"/>
        <v>0</v>
      </c>
      <c r="S308">
        <f t="shared" si="52"/>
        <v>0</v>
      </c>
      <c r="T308">
        <f t="shared" si="53"/>
        <v>0</v>
      </c>
      <c r="U308">
        <f t="shared" si="54"/>
        <v>0</v>
      </c>
      <c r="V308">
        <f t="shared" si="55"/>
        <v>0</v>
      </c>
      <c r="Y308" t="str">
        <f t="shared" si="46"/>
        <v>Turkey</v>
      </c>
      <c r="Z308" s="104" t="str">
        <f t="shared" si="47"/>
        <v/>
      </c>
      <c r="AA308" s="104" t="str">
        <f t="shared" si="48"/>
        <v/>
      </c>
      <c r="AB308" s="104" t="str">
        <f t="shared" si="49"/>
        <v/>
      </c>
    </row>
    <row r="309" spans="1:28" x14ac:dyDescent="0.25">
      <c r="A309" s="55" t="s">
        <v>12907</v>
      </c>
      <c r="B309" s="57">
        <v>1</v>
      </c>
      <c r="C309" s="57"/>
      <c r="D309" s="57"/>
      <c r="E309" s="57"/>
      <c r="F309" s="57"/>
      <c r="G309" s="57"/>
      <c r="H309" s="57"/>
      <c r="I309" s="57"/>
      <c r="J309" s="57"/>
      <c r="K309" s="57"/>
      <c r="L309" s="57"/>
      <c r="M309" s="57"/>
      <c r="Q309">
        <f t="shared" si="50"/>
        <v>1</v>
      </c>
      <c r="R309">
        <f t="shared" si="51"/>
        <v>0</v>
      </c>
      <c r="S309">
        <f t="shared" si="52"/>
        <v>0</v>
      </c>
      <c r="T309">
        <f t="shared" si="53"/>
        <v>0</v>
      </c>
      <c r="U309">
        <f t="shared" si="54"/>
        <v>0</v>
      </c>
      <c r="V309">
        <f t="shared" si="55"/>
        <v>0</v>
      </c>
      <c r="Y309" t="str">
        <f t="shared" si="46"/>
        <v>United Kingdom</v>
      </c>
      <c r="Z309" s="104">
        <f t="shared" si="47"/>
        <v>0</v>
      </c>
      <c r="AA309" s="104" t="str">
        <f t="shared" si="48"/>
        <v/>
      </c>
      <c r="AB309" s="104" t="str">
        <f t="shared" si="49"/>
        <v/>
      </c>
    </row>
    <row r="310" spans="1:28" x14ac:dyDescent="0.25">
      <c r="A310" s="55" t="s">
        <v>13710</v>
      </c>
      <c r="B310" s="57"/>
      <c r="C310" s="57"/>
      <c r="D310" s="57"/>
      <c r="E310" s="57"/>
      <c r="F310" s="57">
        <v>4</v>
      </c>
      <c r="G310" s="57"/>
      <c r="H310" s="57"/>
      <c r="I310" s="57">
        <v>3</v>
      </c>
      <c r="J310" s="57"/>
      <c r="K310" s="57"/>
      <c r="L310" s="57"/>
      <c r="M310" s="57"/>
      <c r="Q310">
        <f t="shared" si="50"/>
        <v>0</v>
      </c>
      <c r="R310">
        <f t="shared" si="51"/>
        <v>0</v>
      </c>
      <c r="S310">
        <f t="shared" si="52"/>
        <v>0</v>
      </c>
      <c r="T310">
        <f t="shared" si="53"/>
        <v>4</v>
      </c>
      <c r="U310">
        <f t="shared" si="54"/>
        <v>0</v>
      </c>
      <c r="V310">
        <f t="shared" si="55"/>
        <v>3</v>
      </c>
      <c r="Y310" t="str">
        <f t="shared" si="46"/>
        <v>West Bank and Gaza</v>
      </c>
      <c r="Z310" s="104" t="str">
        <f t="shared" si="47"/>
        <v/>
      </c>
      <c r="AA310" s="104">
        <f t="shared" si="48"/>
        <v>1</v>
      </c>
      <c r="AB310" s="104">
        <f t="shared" si="49"/>
        <v>1</v>
      </c>
    </row>
    <row r="311" spans="1:28" x14ac:dyDescent="0.25">
      <c r="A311" s="55" t="s">
        <v>13783</v>
      </c>
      <c r="B311" s="57"/>
      <c r="C311" s="57"/>
      <c r="D311" s="57"/>
      <c r="E311" s="57"/>
      <c r="F311" s="57">
        <v>17</v>
      </c>
      <c r="G311" s="57"/>
      <c r="H311" s="57"/>
      <c r="I311" s="57"/>
      <c r="J311" s="57"/>
      <c r="K311" s="57"/>
      <c r="L311" s="57"/>
      <c r="M311" s="57"/>
      <c r="Q311">
        <f t="shared" si="50"/>
        <v>0</v>
      </c>
      <c r="R311">
        <f t="shared" si="51"/>
        <v>0</v>
      </c>
      <c r="S311">
        <f t="shared" si="52"/>
        <v>0</v>
      </c>
      <c r="T311">
        <f t="shared" si="53"/>
        <v>17</v>
      </c>
      <c r="U311">
        <f t="shared" si="54"/>
        <v>0</v>
      </c>
      <c r="V311">
        <f t="shared" si="55"/>
        <v>0</v>
      </c>
      <c r="Y311" t="str">
        <f t="shared" si="46"/>
        <v>Yemen</v>
      </c>
      <c r="Z311" s="104" t="str">
        <f t="shared" si="47"/>
        <v/>
      </c>
      <c r="AA311" s="104">
        <f t="shared" si="48"/>
        <v>1</v>
      </c>
      <c r="AB311" s="104" t="str">
        <f t="shared" si="49"/>
        <v/>
      </c>
    </row>
    <row r="312" spans="1:28" x14ac:dyDescent="0.25">
      <c r="A312" s="50" t="s">
        <v>14281</v>
      </c>
      <c r="B312" s="57">
        <v>4</v>
      </c>
      <c r="C312" s="57">
        <v>1</v>
      </c>
      <c r="D312" s="57"/>
      <c r="E312" s="57">
        <v>9</v>
      </c>
      <c r="F312" s="57">
        <v>89</v>
      </c>
      <c r="G312" s="57"/>
      <c r="H312" s="57">
        <v>2</v>
      </c>
      <c r="I312" s="57">
        <v>54</v>
      </c>
      <c r="J312" s="57"/>
      <c r="K312" s="57"/>
      <c r="L312" s="57"/>
      <c r="M312" s="57"/>
      <c r="Q312">
        <f t="shared" si="50"/>
        <v>4</v>
      </c>
      <c r="R312">
        <f t="shared" si="51"/>
        <v>1</v>
      </c>
      <c r="S312">
        <f t="shared" si="52"/>
        <v>9</v>
      </c>
      <c r="T312">
        <f t="shared" si="53"/>
        <v>89</v>
      </c>
      <c r="U312">
        <f t="shared" si="54"/>
        <v>2</v>
      </c>
      <c r="V312">
        <f t="shared" si="55"/>
        <v>54</v>
      </c>
      <c r="Y312" t="str">
        <f t="shared" si="46"/>
        <v>Middle East, North Africa and Europe Total</v>
      </c>
      <c r="Z312" s="104">
        <f t="shared" si="47"/>
        <v>0.2</v>
      </c>
      <c r="AA312" s="104">
        <f t="shared" si="48"/>
        <v>0.90816326530612246</v>
      </c>
      <c r="AB312" s="104">
        <f t="shared" si="49"/>
        <v>0.9642857142857143</v>
      </c>
    </row>
    <row r="313" spans="1:28" x14ac:dyDescent="0.25">
      <c r="A313" s="50" t="s">
        <v>12970</v>
      </c>
      <c r="B313" s="57"/>
      <c r="C313" s="57"/>
      <c r="D313" s="57"/>
      <c r="E313" s="57"/>
      <c r="F313" s="57"/>
      <c r="G313" s="57"/>
      <c r="H313" s="57"/>
      <c r="I313" s="57"/>
      <c r="J313" s="57"/>
      <c r="K313" s="57"/>
      <c r="L313" s="57"/>
      <c r="M313" s="57"/>
      <c r="Q313">
        <f t="shared" si="50"/>
        <v>0</v>
      </c>
      <c r="R313">
        <f t="shared" si="51"/>
        <v>0</v>
      </c>
      <c r="S313">
        <f t="shared" si="52"/>
        <v>0</v>
      </c>
      <c r="T313">
        <f t="shared" si="53"/>
        <v>0</v>
      </c>
      <c r="U313">
        <f t="shared" si="54"/>
        <v>0</v>
      </c>
      <c r="V313">
        <f t="shared" si="55"/>
        <v>0</v>
      </c>
      <c r="Y313" t="str">
        <f t="shared" si="46"/>
        <v>North America</v>
      </c>
      <c r="Z313" s="104" t="str">
        <f t="shared" si="47"/>
        <v/>
      </c>
      <c r="AA313" s="104" t="str">
        <f t="shared" si="48"/>
        <v/>
      </c>
      <c r="AB313" s="104" t="str">
        <f t="shared" si="49"/>
        <v/>
      </c>
    </row>
    <row r="314" spans="1:28" x14ac:dyDescent="0.25">
      <c r="A314" s="55" t="s">
        <v>12969</v>
      </c>
      <c r="B314" s="57"/>
      <c r="C314" s="57"/>
      <c r="D314" s="57"/>
      <c r="E314" s="57"/>
      <c r="F314" s="57"/>
      <c r="G314" s="57"/>
      <c r="H314" s="57"/>
      <c r="I314" s="57"/>
      <c r="J314" s="57"/>
      <c r="K314" s="57"/>
      <c r="L314" s="57"/>
      <c r="M314" s="57"/>
      <c r="Q314">
        <f t="shared" si="50"/>
        <v>0</v>
      </c>
      <c r="R314">
        <f t="shared" si="51"/>
        <v>0</v>
      </c>
      <c r="S314">
        <f t="shared" si="52"/>
        <v>0</v>
      </c>
      <c r="T314">
        <f t="shared" si="53"/>
        <v>0</v>
      </c>
      <c r="U314">
        <f t="shared" si="54"/>
        <v>0</v>
      </c>
      <c r="V314">
        <f t="shared" si="55"/>
        <v>0</v>
      </c>
      <c r="Y314" t="str">
        <f t="shared" si="46"/>
        <v>United States of America</v>
      </c>
      <c r="Z314" s="104" t="str">
        <f t="shared" si="47"/>
        <v/>
      </c>
      <c r="AA314" s="104" t="str">
        <f t="shared" si="48"/>
        <v/>
      </c>
      <c r="AB314" s="104" t="str">
        <f t="shared" si="49"/>
        <v/>
      </c>
    </row>
    <row r="315" spans="1:28" x14ac:dyDescent="0.25">
      <c r="A315" s="50" t="s">
        <v>14282</v>
      </c>
      <c r="B315" s="57"/>
      <c r="C315" s="57"/>
      <c r="D315" s="57"/>
      <c r="E315" s="57"/>
      <c r="F315" s="57"/>
      <c r="G315" s="57"/>
      <c r="H315" s="57"/>
      <c r="I315" s="57"/>
      <c r="J315" s="57"/>
      <c r="K315" s="57"/>
      <c r="L315" s="57"/>
      <c r="M315" s="57"/>
      <c r="Q315">
        <f t="shared" si="50"/>
        <v>0</v>
      </c>
      <c r="R315">
        <f t="shared" si="51"/>
        <v>0</v>
      </c>
      <c r="S315">
        <f t="shared" si="52"/>
        <v>0</v>
      </c>
      <c r="T315">
        <f t="shared" si="53"/>
        <v>0</v>
      </c>
      <c r="U315">
        <f t="shared" si="54"/>
        <v>0</v>
      </c>
      <c r="V315">
        <f t="shared" si="55"/>
        <v>0</v>
      </c>
      <c r="Y315" t="str">
        <f t="shared" si="46"/>
        <v>North America Total</v>
      </c>
      <c r="Z315" s="104" t="str">
        <f t="shared" si="47"/>
        <v/>
      </c>
      <c r="AA315" s="104" t="str">
        <f t="shared" si="48"/>
        <v/>
      </c>
      <c r="AB315" s="104" t="str">
        <f t="shared" si="49"/>
        <v/>
      </c>
    </row>
    <row r="316" spans="1:28" x14ac:dyDescent="0.25">
      <c r="A316" s="50" t="s">
        <v>14272</v>
      </c>
      <c r="B316" s="57">
        <v>7</v>
      </c>
      <c r="C316" s="57">
        <v>1</v>
      </c>
      <c r="D316" s="57"/>
      <c r="E316" s="57">
        <v>38</v>
      </c>
      <c r="F316" s="57">
        <v>522</v>
      </c>
      <c r="G316" s="57"/>
      <c r="H316" s="57">
        <v>22</v>
      </c>
      <c r="I316" s="57">
        <v>255</v>
      </c>
      <c r="J316" s="57"/>
      <c r="K316" s="57">
        <v>1</v>
      </c>
      <c r="L316" s="57">
        <v>1</v>
      </c>
      <c r="M316" s="57"/>
      <c r="Q316">
        <f t="shared" si="50"/>
        <v>7</v>
      </c>
      <c r="R316">
        <f t="shared" si="51"/>
        <v>1</v>
      </c>
      <c r="S316">
        <f t="shared" si="52"/>
        <v>38</v>
      </c>
      <c r="T316">
        <f t="shared" si="53"/>
        <v>522</v>
      </c>
      <c r="U316">
        <f t="shared" si="54"/>
        <v>22</v>
      </c>
      <c r="V316">
        <f t="shared" si="55"/>
        <v>255</v>
      </c>
      <c r="Y316" t="str">
        <f t="shared" si="46"/>
        <v>Grand Total</v>
      </c>
      <c r="Z316" s="104">
        <f t="shared" si="47"/>
        <v>0.125</v>
      </c>
      <c r="AA316" s="104">
        <f t="shared" si="48"/>
        <v>0.93214285714285716</v>
      </c>
      <c r="AB316" s="104">
        <f t="shared" si="49"/>
        <v>0.92057761732851984</v>
      </c>
    </row>
    <row r="317" spans="1:28" x14ac:dyDescent="0.25">
      <c r="Q317">
        <f t="shared" si="50"/>
        <v>0</v>
      </c>
      <c r="R317">
        <f t="shared" si="51"/>
        <v>0</v>
      </c>
      <c r="S317">
        <f t="shared" si="52"/>
        <v>0</v>
      </c>
      <c r="T317">
        <f t="shared" si="53"/>
        <v>0</v>
      </c>
      <c r="U317">
        <f t="shared" si="54"/>
        <v>0</v>
      </c>
      <c r="V317">
        <f t="shared" si="55"/>
        <v>0</v>
      </c>
      <c r="Y317">
        <f t="shared" si="46"/>
        <v>0</v>
      </c>
      <c r="Z317" s="104" t="str">
        <f t="shared" si="47"/>
        <v/>
      </c>
      <c r="AA317" s="104" t="str">
        <f t="shared" si="48"/>
        <v/>
      </c>
      <c r="AB317" s="104" t="str">
        <f t="shared" si="49"/>
        <v/>
      </c>
    </row>
    <row r="320" spans="1:28" x14ac:dyDescent="0.25">
      <c r="A320" s="49" t="s">
        <v>14535</v>
      </c>
      <c r="B320" s="49" t="s">
        <v>14283</v>
      </c>
    </row>
    <row r="321" spans="1:37" x14ac:dyDescent="0.25">
      <c r="B321" t="s">
        <v>1909</v>
      </c>
      <c r="E321" t="s">
        <v>335</v>
      </c>
      <c r="H321" t="s">
        <v>478</v>
      </c>
      <c r="K321" t="s">
        <v>14275</v>
      </c>
      <c r="Q321" s="431" t="str">
        <f>A320</f>
        <v>Count of Gender Marker – Participation</v>
      </c>
      <c r="R321" s="431"/>
      <c r="S321" s="431"/>
      <c r="T321" s="431"/>
      <c r="U321" s="431"/>
      <c r="V321" s="431"/>
      <c r="W321" s="113"/>
      <c r="X321" s="113"/>
      <c r="Z321" s="431"/>
      <c r="AA321" s="431"/>
      <c r="AB321" s="431"/>
    </row>
    <row r="322" spans="1:37" x14ac:dyDescent="0.25">
      <c r="A322" s="49" t="s">
        <v>14283</v>
      </c>
      <c r="B322" t="s">
        <v>319</v>
      </c>
      <c r="C322" t="s">
        <v>320</v>
      </c>
      <c r="D322" t="s">
        <v>14275</v>
      </c>
      <c r="E322" t="s">
        <v>319</v>
      </c>
      <c r="F322" t="s">
        <v>320</v>
      </c>
      <c r="G322" t="s">
        <v>14275</v>
      </c>
      <c r="H322" t="s">
        <v>319</v>
      </c>
      <c r="I322" t="s">
        <v>320</v>
      </c>
      <c r="J322" t="s">
        <v>14275</v>
      </c>
      <c r="K322" t="s">
        <v>319</v>
      </c>
      <c r="L322" t="s">
        <v>14275</v>
      </c>
      <c r="N322" s="49"/>
      <c r="O322" s="49"/>
      <c r="P322" s="49"/>
      <c r="Q322" s="432" t="s">
        <v>14537</v>
      </c>
      <c r="R322" s="432"/>
      <c r="S322" s="432" t="s">
        <v>14539</v>
      </c>
      <c r="T322" s="432"/>
      <c r="U322" s="432" t="s">
        <v>14540</v>
      </c>
      <c r="V322" s="432"/>
      <c r="W322" s="115"/>
      <c r="X322" s="115"/>
      <c r="Y322" s="49"/>
      <c r="Z322" s="49" t="s">
        <v>14541</v>
      </c>
      <c r="AA322" s="49"/>
      <c r="AB322" s="49"/>
      <c r="AC322" s="49"/>
      <c r="AD322" s="49"/>
      <c r="AE322" s="49"/>
      <c r="AF322" s="49"/>
      <c r="AG322" s="49"/>
      <c r="AH322" s="49"/>
      <c r="AI322" s="49"/>
      <c r="AJ322" s="49"/>
      <c r="AK322" s="49"/>
    </row>
    <row r="323" spans="1:37" x14ac:dyDescent="0.25">
      <c r="A323" s="50" t="s">
        <v>1874</v>
      </c>
      <c r="B323" s="57"/>
      <c r="C323" s="57"/>
      <c r="D323" s="57"/>
      <c r="E323" s="57"/>
      <c r="F323" s="57"/>
      <c r="G323" s="57"/>
      <c r="H323" s="57"/>
      <c r="I323" s="57"/>
      <c r="J323" s="57"/>
      <c r="K323" s="57"/>
      <c r="L323" s="57"/>
      <c r="Q323" s="113" t="s">
        <v>7463</v>
      </c>
      <c r="R323" s="113" t="s">
        <v>326</v>
      </c>
      <c r="S323" s="113" t="s">
        <v>7463</v>
      </c>
      <c r="T323" s="113" t="s">
        <v>326</v>
      </c>
      <c r="U323" s="113" t="s">
        <v>7463</v>
      </c>
      <c r="V323" s="113" t="s">
        <v>326</v>
      </c>
      <c r="W323" s="113"/>
      <c r="X323" s="113"/>
      <c r="Z323" s="113" t="str">
        <f>Q322</f>
        <v>Gender blind</v>
      </c>
      <c r="AA323" s="113" t="str">
        <f>S322</f>
        <v>Within existing roles</v>
      </c>
      <c r="AB323" s="113" t="str">
        <f>U322</f>
        <v>Challenged existing roles</v>
      </c>
    </row>
    <row r="324" spans="1:37" x14ac:dyDescent="0.25">
      <c r="A324" s="55" t="s">
        <v>1873</v>
      </c>
      <c r="B324" s="57">
        <v>1</v>
      </c>
      <c r="C324" s="57"/>
      <c r="D324" s="57"/>
      <c r="E324" s="57"/>
      <c r="F324" s="57">
        <v>2</v>
      </c>
      <c r="G324" s="57"/>
      <c r="H324" s="57">
        <v>3</v>
      </c>
      <c r="I324" s="57">
        <v>5</v>
      </c>
      <c r="J324" s="57"/>
      <c r="K324" s="57"/>
      <c r="L324" s="57"/>
      <c r="Q324">
        <f t="shared" ref="Q324:R327" si="56">B324</f>
        <v>1</v>
      </c>
      <c r="R324">
        <f t="shared" si="56"/>
        <v>0</v>
      </c>
      <c r="S324">
        <f t="shared" ref="S324:T327" si="57">E324</f>
        <v>0</v>
      </c>
      <c r="T324">
        <f t="shared" si="57"/>
        <v>2</v>
      </c>
      <c r="U324">
        <f t="shared" ref="U324:V327" si="58">H324</f>
        <v>3</v>
      </c>
      <c r="V324">
        <f t="shared" si="58"/>
        <v>5</v>
      </c>
      <c r="Y324" t="str">
        <f>A324</f>
        <v>Burundi</v>
      </c>
      <c r="Z324" s="104">
        <f>IFERROR(R324/(SUM($Q324:$R324)),"")</f>
        <v>0</v>
      </c>
      <c r="AA324" s="104">
        <f>IFERROR(T324/(SUM($S324:$T324)),"")</f>
        <v>1</v>
      </c>
      <c r="AB324" s="104">
        <f>IFERROR(V324/(SUM($U324:$V324)),"")</f>
        <v>0.625</v>
      </c>
    </row>
    <row r="325" spans="1:37" x14ac:dyDescent="0.25">
      <c r="A325" s="55" t="s">
        <v>3868</v>
      </c>
      <c r="B325" s="57"/>
      <c r="C325" s="57"/>
      <c r="D325" s="57"/>
      <c r="E325" s="57"/>
      <c r="F325" s="57">
        <v>22</v>
      </c>
      <c r="G325" s="57"/>
      <c r="H325" s="57"/>
      <c r="I325" s="57">
        <v>8</v>
      </c>
      <c r="J325" s="57"/>
      <c r="K325" s="57"/>
      <c r="L325" s="57"/>
      <c r="Q325">
        <f t="shared" si="56"/>
        <v>0</v>
      </c>
      <c r="R325">
        <f t="shared" si="56"/>
        <v>0</v>
      </c>
      <c r="S325">
        <f t="shared" si="57"/>
        <v>0</v>
      </c>
      <c r="T325">
        <f t="shared" si="57"/>
        <v>22</v>
      </c>
      <c r="U325">
        <f t="shared" si="58"/>
        <v>0</v>
      </c>
      <c r="V325">
        <f t="shared" si="58"/>
        <v>8</v>
      </c>
      <c r="Y325" t="str">
        <f t="shared" ref="Y325:Y388" si="59">A325</f>
        <v>Ethiopia</v>
      </c>
      <c r="Z325" s="104" t="str">
        <f t="shared" ref="Z325:Z388" si="60">IFERROR(R325/(SUM($Q325:$R325)),"")</f>
        <v/>
      </c>
      <c r="AA325" s="104">
        <f t="shared" ref="AA325:AA388" si="61">IFERROR(T325/(SUM($S325:$T325)),"")</f>
        <v>1</v>
      </c>
      <c r="AB325" s="104">
        <f t="shared" ref="AB325:AB388" si="62">IFERROR(V325/(SUM($U325:$V325)),"")</f>
        <v>1</v>
      </c>
    </row>
    <row r="326" spans="1:37" x14ac:dyDescent="0.25">
      <c r="A326" s="55" t="s">
        <v>6457</v>
      </c>
      <c r="B326" s="57">
        <v>1</v>
      </c>
      <c r="C326" s="57"/>
      <c r="D326" s="57"/>
      <c r="E326" s="57">
        <v>1</v>
      </c>
      <c r="F326" s="57">
        <v>18</v>
      </c>
      <c r="G326" s="57"/>
      <c r="H326" s="57"/>
      <c r="I326" s="57">
        <v>7</v>
      </c>
      <c r="J326" s="57"/>
      <c r="K326" s="57"/>
      <c r="L326" s="57"/>
      <c r="Q326">
        <f t="shared" si="56"/>
        <v>1</v>
      </c>
      <c r="R326">
        <f t="shared" si="56"/>
        <v>0</v>
      </c>
      <c r="S326">
        <f t="shared" si="57"/>
        <v>1</v>
      </c>
      <c r="T326">
        <f t="shared" si="57"/>
        <v>18</v>
      </c>
      <c r="U326">
        <f t="shared" si="58"/>
        <v>0</v>
      </c>
      <c r="V326">
        <f t="shared" si="58"/>
        <v>7</v>
      </c>
      <c r="Y326" t="str">
        <f t="shared" si="59"/>
        <v>Kenya</v>
      </c>
      <c r="Z326" s="104">
        <f t="shared" si="60"/>
        <v>0</v>
      </c>
      <c r="AA326" s="104">
        <f t="shared" si="61"/>
        <v>0.94736842105263153</v>
      </c>
      <c r="AB326" s="104">
        <f t="shared" si="62"/>
        <v>1</v>
      </c>
    </row>
    <row r="327" spans="1:37" x14ac:dyDescent="0.25">
      <c r="A327" s="55" t="s">
        <v>10371</v>
      </c>
      <c r="B327" s="57"/>
      <c r="C327" s="57"/>
      <c r="D327" s="57"/>
      <c r="E327" s="57"/>
      <c r="F327" s="57">
        <v>2</v>
      </c>
      <c r="G327" s="57"/>
      <c r="H327" s="57"/>
      <c r="I327" s="57">
        <v>5</v>
      </c>
      <c r="J327" s="57"/>
      <c r="K327" s="57"/>
      <c r="L327" s="57"/>
      <c r="Q327">
        <f t="shared" si="56"/>
        <v>0</v>
      </c>
      <c r="R327">
        <f t="shared" si="56"/>
        <v>0</v>
      </c>
      <c r="S327">
        <f t="shared" si="57"/>
        <v>0</v>
      </c>
      <c r="T327">
        <f t="shared" si="57"/>
        <v>2</v>
      </c>
      <c r="U327">
        <f t="shared" si="58"/>
        <v>0</v>
      </c>
      <c r="V327">
        <f t="shared" si="58"/>
        <v>5</v>
      </c>
      <c r="Y327" t="str">
        <f t="shared" si="59"/>
        <v>Rwanda</v>
      </c>
      <c r="Z327" s="104" t="str">
        <f t="shared" si="60"/>
        <v/>
      </c>
      <c r="AA327" s="104">
        <f t="shared" si="61"/>
        <v>1</v>
      </c>
      <c r="AB327" s="104">
        <f t="shared" si="62"/>
        <v>1</v>
      </c>
    </row>
    <row r="328" spans="1:37" x14ac:dyDescent="0.25">
      <c r="A328" s="55" t="s">
        <v>10685</v>
      </c>
      <c r="B328" s="57"/>
      <c r="C328" s="57"/>
      <c r="D328" s="57"/>
      <c r="E328" s="57"/>
      <c r="F328" s="57">
        <v>32</v>
      </c>
      <c r="G328" s="57"/>
      <c r="H328" s="57"/>
      <c r="I328" s="57">
        <v>3</v>
      </c>
      <c r="J328" s="57"/>
      <c r="K328" s="57"/>
      <c r="L328" s="57"/>
      <c r="Q328">
        <f t="shared" ref="Q328:Q391" si="63">B328</f>
        <v>0</v>
      </c>
      <c r="R328">
        <f t="shared" ref="R328:R391" si="64">C328</f>
        <v>0</v>
      </c>
      <c r="S328">
        <f t="shared" ref="S328:S391" si="65">E328</f>
        <v>0</v>
      </c>
      <c r="T328">
        <f t="shared" ref="T328:T391" si="66">F328</f>
        <v>32</v>
      </c>
      <c r="U328">
        <f t="shared" ref="U328:U391" si="67">H328</f>
        <v>0</v>
      </c>
      <c r="V328">
        <f t="shared" ref="V328:V391" si="68">I328</f>
        <v>3</v>
      </c>
      <c r="Y328" t="str">
        <f t="shared" si="59"/>
        <v>Somalia</v>
      </c>
      <c r="Z328" s="104" t="str">
        <f t="shared" si="60"/>
        <v/>
      </c>
      <c r="AA328" s="104">
        <f t="shared" si="61"/>
        <v>1</v>
      </c>
      <c r="AB328" s="104">
        <f t="shared" si="62"/>
        <v>1</v>
      </c>
    </row>
    <row r="329" spans="1:37" x14ac:dyDescent="0.25">
      <c r="A329" s="55" t="s">
        <v>11104</v>
      </c>
      <c r="B329" s="57"/>
      <c r="C329" s="57"/>
      <c r="D329" s="57"/>
      <c r="E329" s="57"/>
      <c r="F329" s="57">
        <v>17</v>
      </c>
      <c r="G329" s="57"/>
      <c r="H329" s="57"/>
      <c r="I329" s="57">
        <v>2</v>
      </c>
      <c r="J329" s="57"/>
      <c r="K329" s="57"/>
      <c r="L329" s="57"/>
      <c r="Q329">
        <f t="shared" si="63"/>
        <v>0</v>
      </c>
      <c r="R329">
        <f t="shared" si="64"/>
        <v>0</v>
      </c>
      <c r="S329">
        <f t="shared" si="65"/>
        <v>0</v>
      </c>
      <c r="T329">
        <f t="shared" si="66"/>
        <v>17</v>
      </c>
      <c r="U329">
        <f t="shared" si="67"/>
        <v>0</v>
      </c>
      <c r="V329">
        <f t="shared" si="68"/>
        <v>2</v>
      </c>
      <c r="Y329" t="str">
        <f t="shared" si="59"/>
        <v>South Sudan</v>
      </c>
      <c r="Z329" s="104" t="str">
        <f t="shared" si="60"/>
        <v/>
      </c>
      <c r="AA329" s="104">
        <f t="shared" si="61"/>
        <v>1</v>
      </c>
      <c r="AB329" s="104">
        <f t="shared" si="62"/>
        <v>1</v>
      </c>
    </row>
    <row r="330" spans="1:37" x14ac:dyDescent="0.25">
      <c r="A330" s="55" t="s">
        <v>11417</v>
      </c>
      <c r="B330" s="57"/>
      <c r="C330" s="57"/>
      <c r="D330" s="57"/>
      <c r="E330" s="57"/>
      <c r="F330" s="57">
        <v>11</v>
      </c>
      <c r="G330" s="57"/>
      <c r="H330" s="57"/>
      <c r="I330" s="57">
        <v>7</v>
      </c>
      <c r="J330" s="57"/>
      <c r="K330" s="57"/>
      <c r="L330" s="57"/>
      <c r="Q330">
        <f t="shared" si="63"/>
        <v>0</v>
      </c>
      <c r="R330">
        <f t="shared" si="64"/>
        <v>0</v>
      </c>
      <c r="S330">
        <f t="shared" si="65"/>
        <v>0</v>
      </c>
      <c r="T330">
        <f t="shared" si="66"/>
        <v>11</v>
      </c>
      <c r="U330">
        <f t="shared" si="67"/>
        <v>0</v>
      </c>
      <c r="V330">
        <f t="shared" si="68"/>
        <v>7</v>
      </c>
      <c r="Y330" t="str">
        <f t="shared" si="59"/>
        <v>Sudan</v>
      </c>
      <c r="Z330" s="104" t="str">
        <f t="shared" si="60"/>
        <v/>
      </c>
      <c r="AA330" s="104">
        <f t="shared" si="61"/>
        <v>1</v>
      </c>
      <c r="AB330" s="104">
        <f t="shared" si="62"/>
        <v>1</v>
      </c>
    </row>
    <row r="331" spans="1:37" x14ac:dyDescent="0.25">
      <c r="A331" s="55" t="s">
        <v>12694</v>
      </c>
      <c r="B331" s="57"/>
      <c r="C331" s="57"/>
      <c r="D331" s="57"/>
      <c r="E331" s="57"/>
      <c r="F331" s="57">
        <v>10</v>
      </c>
      <c r="G331" s="57"/>
      <c r="H331" s="57"/>
      <c r="I331" s="57">
        <v>3</v>
      </c>
      <c r="J331" s="57"/>
      <c r="K331" s="57"/>
      <c r="L331" s="57"/>
      <c r="Q331">
        <f t="shared" si="63"/>
        <v>0</v>
      </c>
      <c r="R331">
        <f t="shared" si="64"/>
        <v>0</v>
      </c>
      <c r="S331">
        <f t="shared" si="65"/>
        <v>0</v>
      </c>
      <c r="T331">
        <f t="shared" si="66"/>
        <v>10</v>
      </c>
      <c r="U331">
        <f t="shared" si="67"/>
        <v>0</v>
      </c>
      <c r="V331">
        <f t="shared" si="68"/>
        <v>3</v>
      </c>
      <c r="Y331" t="str">
        <f t="shared" si="59"/>
        <v>Uganda</v>
      </c>
      <c r="Z331" s="104" t="str">
        <f t="shared" si="60"/>
        <v/>
      </c>
      <c r="AA331" s="104">
        <f t="shared" si="61"/>
        <v>1</v>
      </c>
      <c r="AB331" s="104">
        <f t="shared" si="62"/>
        <v>1</v>
      </c>
    </row>
    <row r="332" spans="1:37" x14ac:dyDescent="0.25">
      <c r="A332" s="55" t="s">
        <v>14322</v>
      </c>
      <c r="B332" s="57"/>
      <c r="C332" s="57"/>
      <c r="D332" s="57"/>
      <c r="E332" s="57"/>
      <c r="F332" s="57">
        <v>3</v>
      </c>
      <c r="G332" s="57"/>
      <c r="H332" s="57"/>
      <c r="I332" s="57">
        <v>2</v>
      </c>
      <c r="J332" s="57"/>
      <c r="K332" s="57"/>
      <c r="L332" s="57"/>
      <c r="Q332">
        <f t="shared" si="63"/>
        <v>0</v>
      </c>
      <c r="R332">
        <f t="shared" si="64"/>
        <v>0</v>
      </c>
      <c r="S332">
        <f t="shared" si="65"/>
        <v>0</v>
      </c>
      <c r="T332">
        <f t="shared" si="66"/>
        <v>3</v>
      </c>
      <c r="U332">
        <f t="shared" si="67"/>
        <v>0</v>
      </c>
      <c r="V332">
        <f t="shared" si="68"/>
        <v>2</v>
      </c>
      <c r="Y332" t="str">
        <f t="shared" si="59"/>
        <v>DRC</v>
      </c>
      <c r="Z332" s="104" t="str">
        <f t="shared" si="60"/>
        <v/>
      </c>
      <c r="AA332" s="104">
        <f t="shared" si="61"/>
        <v>1</v>
      </c>
      <c r="AB332" s="104">
        <f t="shared" si="62"/>
        <v>1</v>
      </c>
    </row>
    <row r="333" spans="1:37" x14ac:dyDescent="0.25">
      <c r="A333" s="50" t="s">
        <v>14276</v>
      </c>
      <c r="B333" s="57">
        <v>2</v>
      </c>
      <c r="C333" s="57"/>
      <c r="D333" s="57"/>
      <c r="E333" s="57">
        <v>1</v>
      </c>
      <c r="F333" s="57">
        <v>117</v>
      </c>
      <c r="G333" s="57"/>
      <c r="H333" s="57">
        <v>3</v>
      </c>
      <c r="I333" s="57">
        <v>42</v>
      </c>
      <c r="J333" s="57"/>
      <c r="K333" s="57"/>
      <c r="L333" s="57"/>
      <c r="Q333">
        <f t="shared" si="63"/>
        <v>2</v>
      </c>
      <c r="R333">
        <f t="shared" si="64"/>
        <v>0</v>
      </c>
      <c r="S333">
        <f t="shared" si="65"/>
        <v>1</v>
      </c>
      <c r="T333">
        <f t="shared" si="66"/>
        <v>117</v>
      </c>
      <c r="U333">
        <f t="shared" si="67"/>
        <v>3</v>
      </c>
      <c r="V333">
        <f t="shared" si="68"/>
        <v>42</v>
      </c>
      <c r="Y333" t="str">
        <f t="shared" si="59"/>
        <v>Africa - East and Central Total</v>
      </c>
      <c r="Z333" s="104">
        <f t="shared" si="60"/>
        <v>0</v>
      </c>
      <c r="AA333" s="104">
        <f t="shared" si="61"/>
        <v>0.99152542372881358</v>
      </c>
      <c r="AB333" s="104">
        <f t="shared" si="62"/>
        <v>0.93333333333333335</v>
      </c>
    </row>
    <row r="334" spans="1:37" x14ac:dyDescent="0.25">
      <c r="A334" s="50" t="s">
        <v>7217</v>
      </c>
      <c r="B334" s="57"/>
      <c r="C334" s="57"/>
      <c r="D334" s="57"/>
      <c r="E334" s="57"/>
      <c r="F334" s="57"/>
      <c r="G334" s="57"/>
      <c r="H334" s="57"/>
      <c r="I334" s="57"/>
      <c r="J334" s="57"/>
      <c r="K334" s="57"/>
      <c r="L334" s="57"/>
      <c r="Q334">
        <f t="shared" si="63"/>
        <v>0</v>
      </c>
      <c r="R334">
        <f t="shared" si="64"/>
        <v>0</v>
      </c>
      <c r="S334">
        <f t="shared" si="65"/>
        <v>0</v>
      </c>
      <c r="T334">
        <f t="shared" si="66"/>
        <v>0</v>
      </c>
      <c r="U334">
        <f t="shared" si="67"/>
        <v>0</v>
      </c>
      <c r="V334">
        <f t="shared" si="68"/>
        <v>0</v>
      </c>
      <c r="Y334" t="str">
        <f t="shared" si="59"/>
        <v>Africa - Southern</v>
      </c>
      <c r="Z334" s="104" t="str">
        <f t="shared" si="60"/>
        <v/>
      </c>
      <c r="AA334" s="104" t="str">
        <f t="shared" si="61"/>
        <v/>
      </c>
      <c r="AB334" s="104" t="str">
        <f t="shared" si="62"/>
        <v/>
      </c>
    </row>
    <row r="335" spans="1:37" x14ac:dyDescent="0.25">
      <c r="A335" s="55" t="s">
        <v>7216</v>
      </c>
      <c r="B335" s="57"/>
      <c r="C335" s="57"/>
      <c r="D335" s="57"/>
      <c r="E335" s="57"/>
      <c r="F335" s="57">
        <v>9</v>
      </c>
      <c r="G335" s="57"/>
      <c r="H335" s="57"/>
      <c r="I335" s="57">
        <v>2</v>
      </c>
      <c r="J335" s="57"/>
      <c r="K335" s="57"/>
      <c r="L335" s="57"/>
      <c r="Q335">
        <f t="shared" si="63"/>
        <v>0</v>
      </c>
      <c r="R335">
        <f t="shared" si="64"/>
        <v>0</v>
      </c>
      <c r="S335">
        <f t="shared" si="65"/>
        <v>0</v>
      </c>
      <c r="T335">
        <f t="shared" si="66"/>
        <v>9</v>
      </c>
      <c r="U335">
        <f t="shared" si="67"/>
        <v>0</v>
      </c>
      <c r="V335">
        <f t="shared" si="68"/>
        <v>2</v>
      </c>
      <c r="Y335" t="str">
        <f t="shared" si="59"/>
        <v>Madagascar</v>
      </c>
      <c r="Z335" s="104" t="str">
        <f t="shared" si="60"/>
        <v/>
      </c>
      <c r="AA335" s="104">
        <f t="shared" si="61"/>
        <v>1</v>
      </c>
      <c r="AB335" s="104">
        <f t="shared" si="62"/>
        <v>1</v>
      </c>
    </row>
    <row r="336" spans="1:37" x14ac:dyDescent="0.25">
      <c r="A336" s="55" t="s">
        <v>7451</v>
      </c>
      <c r="B336" s="57"/>
      <c r="C336" s="57"/>
      <c r="D336" s="57"/>
      <c r="E336" s="57">
        <v>1</v>
      </c>
      <c r="F336" s="57">
        <v>16</v>
      </c>
      <c r="G336" s="57"/>
      <c r="H336" s="57"/>
      <c r="I336" s="57">
        <v>6</v>
      </c>
      <c r="J336" s="57"/>
      <c r="K336" s="57"/>
      <c r="L336" s="57"/>
      <c r="Q336">
        <f t="shared" si="63"/>
        <v>0</v>
      </c>
      <c r="R336">
        <f t="shared" si="64"/>
        <v>0</v>
      </c>
      <c r="S336">
        <f t="shared" si="65"/>
        <v>1</v>
      </c>
      <c r="T336">
        <f t="shared" si="66"/>
        <v>16</v>
      </c>
      <c r="U336">
        <f t="shared" si="67"/>
        <v>0</v>
      </c>
      <c r="V336">
        <f t="shared" si="68"/>
        <v>6</v>
      </c>
      <c r="Y336" t="str">
        <f t="shared" si="59"/>
        <v>Malawi</v>
      </c>
      <c r="Z336" s="104" t="str">
        <f t="shared" si="60"/>
        <v/>
      </c>
      <c r="AA336" s="104">
        <f t="shared" si="61"/>
        <v>0.94117647058823528</v>
      </c>
      <c r="AB336" s="104">
        <f t="shared" si="62"/>
        <v>1</v>
      </c>
    </row>
    <row r="337" spans="1:28" x14ac:dyDescent="0.25">
      <c r="A337" s="55" t="s">
        <v>8265</v>
      </c>
      <c r="B337" s="57"/>
      <c r="C337" s="57"/>
      <c r="D337" s="57"/>
      <c r="E337" s="57"/>
      <c r="F337" s="57">
        <v>6</v>
      </c>
      <c r="G337" s="57"/>
      <c r="H337" s="57"/>
      <c r="I337" s="57">
        <v>4</v>
      </c>
      <c r="J337" s="57"/>
      <c r="K337" s="57"/>
      <c r="L337" s="57"/>
      <c r="Q337">
        <f t="shared" si="63"/>
        <v>0</v>
      </c>
      <c r="R337">
        <f t="shared" si="64"/>
        <v>0</v>
      </c>
      <c r="S337">
        <f t="shared" si="65"/>
        <v>0</v>
      </c>
      <c r="T337">
        <f t="shared" si="66"/>
        <v>6</v>
      </c>
      <c r="U337">
        <f t="shared" si="67"/>
        <v>0</v>
      </c>
      <c r="V337">
        <f t="shared" si="68"/>
        <v>4</v>
      </c>
      <c r="Y337" t="str">
        <f t="shared" si="59"/>
        <v>Mozambique</v>
      </c>
      <c r="Z337" s="104" t="str">
        <f t="shared" si="60"/>
        <v/>
      </c>
      <c r="AA337" s="104">
        <f t="shared" si="61"/>
        <v>1</v>
      </c>
      <c r="AB337" s="104">
        <f t="shared" si="62"/>
        <v>1</v>
      </c>
    </row>
    <row r="338" spans="1:28" x14ac:dyDescent="0.25">
      <c r="A338" s="55" t="s">
        <v>11102</v>
      </c>
      <c r="B338" s="57"/>
      <c r="C338" s="57"/>
      <c r="D338" s="57"/>
      <c r="E338" s="57"/>
      <c r="F338" s="57"/>
      <c r="G338" s="57"/>
      <c r="H338" s="57"/>
      <c r="I338" s="57"/>
      <c r="J338" s="57"/>
      <c r="K338" s="57"/>
      <c r="L338" s="57"/>
      <c r="Q338">
        <f t="shared" si="63"/>
        <v>0</v>
      </c>
      <c r="R338">
        <f t="shared" si="64"/>
        <v>0</v>
      </c>
      <c r="S338">
        <f t="shared" si="65"/>
        <v>0</v>
      </c>
      <c r="T338">
        <f t="shared" si="66"/>
        <v>0</v>
      </c>
      <c r="U338">
        <f t="shared" si="67"/>
        <v>0</v>
      </c>
      <c r="V338">
        <f t="shared" si="68"/>
        <v>0</v>
      </c>
      <c r="Y338" t="str">
        <f t="shared" si="59"/>
        <v>South Africa</v>
      </c>
      <c r="Z338" s="104" t="str">
        <f t="shared" si="60"/>
        <v/>
      </c>
      <c r="AA338" s="104" t="str">
        <f t="shared" si="61"/>
        <v/>
      </c>
      <c r="AB338" s="104" t="str">
        <f t="shared" si="62"/>
        <v/>
      </c>
    </row>
    <row r="339" spans="1:28" x14ac:dyDescent="0.25">
      <c r="A339" s="55" t="s">
        <v>12090</v>
      </c>
      <c r="B339" s="57"/>
      <c r="C339" s="57"/>
      <c r="D339" s="57"/>
      <c r="E339" s="57"/>
      <c r="F339" s="57">
        <v>7</v>
      </c>
      <c r="G339" s="57"/>
      <c r="H339" s="57">
        <v>1</v>
      </c>
      <c r="I339" s="57">
        <v>3</v>
      </c>
      <c r="J339" s="57"/>
      <c r="K339" s="57"/>
      <c r="L339" s="57"/>
      <c r="Q339">
        <f t="shared" si="63"/>
        <v>0</v>
      </c>
      <c r="R339">
        <f t="shared" si="64"/>
        <v>0</v>
      </c>
      <c r="S339">
        <f t="shared" si="65"/>
        <v>0</v>
      </c>
      <c r="T339">
        <f t="shared" si="66"/>
        <v>7</v>
      </c>
      <c r="U339">
        <f t="shared" si="67"/>
        <v>1</v>
      </c>
      <c r="V339">
        <f t="shared" si="68"/>
        <v>3</v>
      </c>
      <c r="Y339" t="str">
        <f t="shared" si="59"/>
        <v>Tanzania</v>
      </c>
      <c r="Z339" s="104" t="str">
        <f t="shared" si="60"/>
        <v/>
      </c>
      <c r="AA339" s="104">
        <f t="shared" si="61"/>
        <v>1</v>
      </c>
      <c r="AB339" s="104">
        <f t="shared" si="62"/>
        <v>0.75</v>
      </c>
    </row>
    <row r="340" spans="1:28" x14ac:dyDescent="0.25">
      <c r="A340" s="55" t="s">
        <v>13917</v>
      </c>
      <c r="B340" s="57"/>
      <c r="C340" s="57"/>
      <c r="D340" s="57"/>
      <c r="E340" s="57">
        <v>1</v>
      </c>
      <c r="F340" s="57">
        <v>3</v>
      </c>
      <c r="G340" s="57"/>
      <c r="H340" s="57"/>
      <c r="I340" s="57">
        <v>1</v>
      </c>
      <c r="J340" s="57"/>
      <c r="K340" s="57"/>
      <c r="L340" s="57"/>
      <c r="Q340">
        <f t="shared" si="63"/>
        <v>0</v>
      </c>
      <c r="R340">
        <f t="shared" si="64"/>
        <v>0</v>
      </c>
      <c r="S340">
        <f t="shared" si="65"/>
        <v>1</v>
      </c>
      <c r="T340">
        <f t="shared" si="66"/>
        <v>3</v>
      </c>
      <c r="U340">
        <f t="shared" si="67"/>
        <v>0</v>
      </c>
      <c r="V340">
        <f t="shared" si="68"/>
        <v>1</v>
      </c>
      <c r="Y340" t="str">
        <f t="shared" si="59"/>
        <v>Zambia</v>
      </c>
      <c r="Z340" s="104" t="str">
        <f t="shared" si="60"/>
        <v/>
      </c>
      <c r="AA340" s="104">
        <f t="shared" si="61"/>
        <v>0.75</v>
      </c>
      <c r="AB340" s="104">
        <f t="shared" si="62"/>
        <v>1</v>
      </c>
    </row>
    <row r="341" spans="1:28" x14ac:dyDescent="0.25">
      <c r="A341" s="55" t="s">
        <v>14016</v>
      </c>
      <c r="B341" s="57"/>
      <c r="C341" s="57"/>
      <c r="D341" s="57"/>
      <c r="E341" s="57">
        <v>2</v>
      </c>
      <c r="F341" s="57">
        <v>6</v>
      </c>
      <c r="G341" s="57"/>
      <c r="H341" s="57"/>
      <c r="I341" s="57">
        <v>7</v>
      </c>
      <c r="J341" s="57"/>
      <c r="K341" s="57"/>
      <c r="L341" s="57"/>
      <c r="Q341">
        <f t="shared" si="63"/>
        <v>0</v>
      </c>
      <c r="R341">
        <f t="shared" si="64"/>
        <v>0</v>
      </c>
      <c r="S341">
        <f t="shared" si="65"/>
        <v>2</v>
      </c>
      <c r="T341">
        <f t="shared" si="66"/>
        <v>6</v>
      </c>
      <c r="U341">
        <f t="shared" si="67"/>
        <v>0</v>
      </c>
      <c r="V341">
        <f t="shared" si="68"/>
        <v>7</v>
      </c>
      <c r="Y341" t="str">
        <f t="shared" si="59"/>
        <v>Zimbabwe</v>
      </c>
      <c r="Z341" s="104" t="str">
        <f t="shared" si="60"/>
        <v/>
      </c>
      <c r="AA341" s="104">
        <f t="shared" si="61"/>
        <v>0.75</v>
      </c>
      <c r="AB341" s="104">
        <f t="shared" si="62"/>
        <v>1</v>
      </c>
    </row>
    <row r="342" spans="1:28" x14ac:dyDescent="0.25">
      <c r="A342" s="50" t="s">
        <v>14277</v>
      </c>
      <c r="B342" s="57"/>
      <c r="C342" s="57"/>
      <c r="D342" s="57"/>
      <c r="E342" s="57">
        <v>4</v>
      </c>
      <c r="F342" s="57">
        <v>47</v>
      </c>
      <c r="G342" s="57"/>
      <c r="H342" s="57">
        <v>1</v>
      </c>
      <c r="I342" s="57">
        <v>23</v>
      </c>
      <c r="J342" s="57"/>
      <c r="K342" s="57"/>
      <c r="L342" s="57"/>
      <c r="Q342">
        <f t="shared" si="63"/>
        <v>0</v>
      </c>
      <c r="R342">
        <f t="shared" si="64"/>
        <v>0</v>
      </c>
      <c r="S342">
        <f t="shared" si="65"/>
        <v>4</v>
      </c>
      <c r="T342">
        <f t="shared" si="66"/>
        <v>47</v>
      </c>
      <c r="U342">
        <f t="shared" si="67"/>
        <v>1</v>
      </c>
      <c r="V342">
        <f t="shared" si="68"/>
        <v>23</v>
      </c>
      <c r="Y342" t="str">
        <f t="shared" si="59"/>
        <v>Africa - Southern Total</v>
      </c>
      <c r="Z342" s="104" t="str">
        <f t="shared" si="60"/>
        <v/>
      </c>
      <c r="AA342" s="104">
        <f t="shared" si="61"/>
        <v>0.92156862745098034</v>
      </c>
      <c r="AB342" s="104">
        <f t="shared" si="62"/>
        <v>0.95833333333333337</v>
      </c>
    </row>
    <row r="343" spans="1:28" x14ac:dyDescent="0.25">
      <c r="A343" s="50" t="s">
        <v>1596</v>
      </c>
      <c r="B343" s="57"/>
      <c r="C343" s="57"/>
      <c r="D343" s="57"/>
      <c r="E343" s="57"/>
      <c r="F343" s="57"/>
      <c r="G343" s="57"/>
      <c r="H343" s="57"/>
      <c r="I343" s="57"/>
      <c r="J343" s="57"/>
      <c r="K343" s="57"/>
      <c r="L343" s="57"/>
      <c r="Q343">
        <f t="shared" si="63"/>
        <v>0</v>
      </c>
      <c r="R343">
        <f t="shared" si="64"/>
        <v>0</v>
      </c>
      <c r="S343">
        <f t="shared" si="65"/>
        <v>0</v>
      </c>
      <c r="T343">
        <f t="shared" si="66"/>
        <v>0</v>
      </c>
      <c r="U343">
        <f t="shared" si="67"/>
        <v>0</v>
      </c>
      <c r="V343">
        <f t="shared" si="68"/>
        <v>0</v>
      </c>
      <c r="Y343" t="str">
        <f t="shared" si="59"/>
        <v>Africa - Western</v>
      </c>
      <c r="Z343" s="104" t="str">
        <f t="shared" si="60"/>
        <v/>
      </c>
      <c r="AA343" s="104" t="str">
        <f t="shared" si="61"/>
        <v/>
      </c>
      <c r="AB343" s="104" t="str">
        <f t="shared" si="62"/>
        <v/>
      </c>
    </row>
    <row r="344" spans="1:28" x14ac:dyDescent="0.25">
      <c r="A344" s="55" t="s">
        <v>1595</v>
      </c>
      <c r="B344" s="57"/>
      <c r="C344" s="57"/>
      <c r="D344" s="57"/>
      <c r="E344" s="57">
        <v>1</v>
      </c>
      <c r="F344" s="57">
        <v>4</v>
      </c>
      <c r="G344" s="57"/>
      <c r="H344" s="57"/>
      <c r="I344" s="57">
        <v>2</v>
      </c>
      <c r="J344" s="57"/>
      <c r="K344" s="57"/>
      <c r="L344" s="57"/>
      <c r="Q344">
        <f t="shared" si="63"/>
        <v>0</v>
      </c>
      <c r="R344">
        <f t="shared" si="64"/>
        <v>0</v>
      </c>
      <c r="S344">
        <f t="shared" si="65"/>
        <v>1</v>
      </c>
      <c r="T344">
        <f t="shared" si="66"/>
        <v>4</v>
      </c>
      <c r="U344">
        <f t="shared" si="67"/>
        <v>0</v>
      </c>
      <c r="V344">
        <f t="shared" si="68"/>
        <v>2</v>
      </c>
      <c r="Y344" t="str">
        <f t="shared" si="59"/>
        <v>Benin</v>
      </c>
      <c r="Z344" s="104" t="str">
        <f t="shared" si="60"/>
        <v/>
      </c>
      <c r="AA344" s="104">
        <f t="shared" si="61"/>
        <v>0.8</v>
      </c>
      <c r="AB344" s="104">
        <f t="shared" si="62"/>
        <v>1</v>
      </c>
    </row>
    <row r="345" spans="1:28" x14ac:dyDescent="0.25">
      <c r="A345" s="55" t="s">
        <v>1827</v>
      </c>
      <c r="B345" s="57"/>
      <c r="C345" s="57"/>
      <c r="D345" s="57"/>
      <c r="E345" s="57"/>
      <c r="F345" s="57">
        <v>2</v>
      </c>
      <c r="G345" s="57"/>
      <c r="H345" s="57"/>
      <c r="I345" s="57"/>
      <c r="J345" s="57"/>
      <c r="K345" s="57"/>
      <c r="L345" s="57"/>
      <c r="Q345">
        <f t="shared" si="63"/>
        <v>0</v>
      </c>
      <c r="R345">
        <f t="shared" si="64"/>
        <v>0</v>
      </c>
      <c r="S345">
        <f t="shared" si="65"/>
        <v>0</v>
      </c>
      <c r="T345">
        <f t="shared" si="66"/>
        <v>2</v>
      </c>
      <c r="U345">
        <f t="shared" si="67"/>
        <v>0</v>
      </c>
      <c r="V345">
        <f t="shared" si="68"/>
        <v>0</v>
      </c>
      <c r="Y345" t="str">
        <f t="shared" si="59"/>
        <v>Burkina Faso</v>
      </c>
      <c r="Z345" s="104" t="str">
        <f t="shared" si="60"/>
        <v/>
      </c>
      <c r="AA345" s="104">
        <f t="shared" si="61"/>
        <v>1</v>
      </c>
      <c r="AB345" s="104" t="str">
        <f t="shared" si="62"/>
        <v/>
      </c>
    </row>
    <row r="346" spans="1:28" x14ac:dyDescent="0.25">
      <c r="A346" s="55" t="s">
        <v>2395</v>
      </c>
      <c r="B346" s="57"/>
      <c r="C346" s="57"/>
      <c r="D346" s="57"/>
      <c r="E346" s="57"/>
      <c r="F346" s="57">
        <v>4</v>
      </c>
      <c r="G346" s="57"/>
      <c r="H346" s="57"/>
      <c r="I346" s="57">
        <v>2</v>
      </c>
      <c r="J346" s="57"/>
      <c r="K346" s="57"/>
      <c r="L346" s="57"/>
      <c r="Q346">
        <f t="shared" si="63"/>
        <v>0</v>
      </c>
      <c r="R346">
        <f t="shared" si="64"/>
        <v>0</v>
      </c>
      <c r="S346">
        <f t="shared" si="65"/>
        <v>0</v>
      </c>
      <c r="T346">
        <f t="shared" si="66"/>
        <v>4</v>
      </c>
      <c r="U346">
        <f t="shared" si="67"/>
        <v>0</v>
      </c>
      <c r="V346">
        <f t="shared" si="68"/>
        <v>2</v>
      </c>
      <c r="Y346" t="str">
        <f t="shared" si="59"/>
        <v>Cameroon</v>
      </c>
      <c r="Z346" s="104" t="str">
        <f t="shared" si="60"/>
        <v/>
      </c>
      <c r="AA346" s="104">
        <f t="shared" si="61"/>
        <v>1</v>
      </c>
      <c r="AB346" s="104">
        <f t="shared" si="62"/>
        <v>1</v>
      </c>
    </row>
    <row r="347" spans="1:28" x14ac:dyDescent="0.25">
      <c r="A347" s="55" t="s">
        <v>2536</v>
      </c>
      <c r="B347" s="57"/>
      <c r="C347" s="57"/>
      <c r="D347" s="57"/>
      <c r="E347" s="57"/>
      <c r="F347" s="57">
        <v>12</v>
      </c>
      <c r="G347" s="57"/>
      <c r="H347" s="57"/>
      <c r="I347" s="57">
        <v>2</v>
      </c>
      <c r="J347" s="57"/>
      <c r="K347" s="57"/>
      <c r="L347" s="57"/>
      <c r="Q347">
        <f t="shared" si="63"/>
        <v>0</v>
      </c>
      <c r="R347">
        <f t="shared" si="64"/>
        <v>0</v>
      </c>
      <c r="S347">
        <f t="shared" si="65"/>
        <v>0</v>
      </c>
      <c r="T347">
        <f t="shared" si="66"/>
        <v>12</v>
      </c>
      <c r="U347">
        <f t="shared" si="67"/>
        <v>0</v>
      </c>
      <c r="V347">
        <f t="shared" si="68"/>
        <v>2</v>
      </c>
      <c r="Y347" t="str">
        <f t="shared" si="59"/>
        <v>Chad</v>
      </c>
      <c r="Z347" s="104" t="str">
        <f t="shared" si="60"/>
        <v/>
      </c>
      <c r="AA347" s="104">
        <f t="shared" si="61"/>
        <v>1</v>
      </c>
      <c r="AB347" s="104">
        <f t="shared" si="62"/>
        <v>1</v>
      </c>
    </row>
    <row r="348" spans="1:28" x14ac:dyDescent="0.25">
      <c r="A348" s="55" t="s">
        <v>2956</v>
      </c>
      <c r="B348" s="57">
        <v>1</v>
      </c>
      <c r="C348" s="57"/>
      <c r="D348" s="57"/>
      <c r="E348" s="57"/>
      <c r="F348" s="57">
        <v>6</v>
      </c>
      <c r="G348" s="57"/>
      <c r="H348" s="57"/>
      <c r="I348" s="57">
        <v>2</v>
      </c>
      <c r="J348" s="57"/>
      <c r="K348" s="57"/>
      <c r="L348" s="57"/>
      <c r="Q348">
        <f t="shared" si="63"/>
        <v>1</v>
      </c>
      <c r="R348">
        <f t="shared" si="64"/>
        <v>0</v>
      </c>
      <c r="S348">
        <f t="shared" si="65"/>
        <v>0</v>
      </c>
      <c r="T348">
        <f t="shared" si="66"/>
        <v>6</v>
      </c>
      <c r="U348">
        <f t="shared" si="67"/>
        <v>0</v>
      </c>
      <c r="V348">
        <f t="shared" si="68"/>
        <v>2</v>
      </c>
      <c r="Y348" t="str">
        <f t="shared" si="59"/>
        <v>Cote d'Ivoire</v>
      </c>
      <c r="Z348" s="104">
        <f t="shared" si="60"/>
        <v>0</v>
      </c>
      <c r="AA348" s="104">
        <f t="shared" si="61"/>
        <v>1</v>
      </c>
      <c r="AB348" s="104">
        <f t="shared" si="62"/>
        <v>1</v>
      </c>
    </row>
    <row r="349" spans="1:28" x14ac:dyDescent="0.25">
      <c r="A349" s="55" t="s">
        <v>4471</v>
      </c>
      <c r="B349" s="57"/>
      <c r="C349" s="57"/>
      <c r="D349" s="57"/>
      <c r="E349" s="57"/>
      <c r="F349" s="57">
        <v>6</v>
      </c>
      <c r="G349" s="57"/>
      <c r="H349" s="57"/>
      <c r="I349" s="57">
        <v>7</v>
      </c>
      <c r="J349" s="57"/>
      <c r="K349" s="57"/>
      <c r="L349" s="57"/>
      <c r="Q349">
        <f t="shared" si="63"/>
        <v>0</v>
      </c>
      <c r="R349">
        <f t="shared" si="64"/>
        <v>0</v>
      </c>
      <c r="S349">
        <f t="shared" si="65"/>
        <v>0</v>
      </c>
      <c r="T349">
        <f t="shared" si="66"/>
        <v>6</v>
      </c>
      <c r="U349">
        <f t="shared" si="67"/>
        <v>0</v>
      </c>
      <c r="V349">
        <f t="shared" si="68"/>
        <v>7</v>
      </c>
      <c r="Y349" t="str">
        <f t="shared" si="59"/>
        <v>Ghana</v>
      </c>
      <c r="Z349" s="104" t="str">
        <f t="shared" si="60"/>
        <v/>
      </c>
      <c r="AA349" s="104">
        <f t="shared" si="61"/>
        <v>1</v>
      </c>
      <c r="AB349" s="104">
        <f t="shared" si="62"/>
        <v>1</v>
      </c>
    </row>
    <row r="350" spans="1:28" x14ac:dyDescent="0.25">
      <c r="A350" s="55" t="s">
        <v>7179</v>
      </c>
      <c r="B350" s="57"/>
      <c r="C350" s="57"/>
      <c r="D350" s="57"/>
      <c r="E350" s="57">
        <v>1</v>
      </c>
      <c r="F350" s="57"/>
      <c r="G350" s="57"/>
      <c r="H350" s="57"/>
      <c r="I350" s="57"/>
      <c r="J350" s="57"/>
      <c r="K350" s="57"/>
      <c r="L350" s="57"/>
      <c r="Q350">
        <f t="shared" si="63"/>
        <v>0</v>
      </c>
      <c r="R350">
        <f t="shared" si="64"/>
        <v>0</v>
      </c>
      <c r="S350">
        <f t="shared" si="65"/>
        <v>1</v>
      </c>
      <c r="T350">
        <f t="shared" si="66"/>
        <v>0</v>
      </c>
      <c r="U350">
        <f t="shared" si="67"/>
        <v>0</v>
      </c>
      <c r="V350">
        <f t="shared" si="68"/>
        <v>0</v>
      </c>
      <c r="Y350" t="str">
        <f t="shared" si="59"/>
        <v>Liberia</v>
      </c>
      <c r="Z350" s="104" t="str">
        <f t="shared" si="60"/>
        <v/>
      </c>
      <c r="AA350" s="104">
        <f t="shared" si="61"/>
        <v>0</v>
      </c>
      <c r="AB350" s="104" t="str">
        <f t="shared" si="62"/>
        <v/>
      </c>
    </row>
    <row r="351" spans="1:28" x14ac:dyDescent="0.25">
      <c r="A351" s="55" t="s">
        <v>7835</v>
      </c>
      <c r="B351" s="57"/>
      <c r="C351" s="57"/>
      <c r="D351" s="57"/>
      <c r="E351" s="57">
        <v>1</v>
      </c>
      <c r="F351" s="57">
        <v>8</v>
      </c>
      <c r="G351" s="57"/>
      <c r="H351" s="57"/>
      <c r="I351" s="57">
        <v>7</v>
      </c>
      <c r="J351" s="57"/>
      <c r="K351" s="57"/>
      <c r="L351" s="57"/>
      <c r="Q351">
        <f t="shared" si="63"/>
        <v>0</v>
      </c>
      <c r="R351">
        <f t="shared" si="64"/>
        <v>0</v>
      </c>
      <c r="S351">
        <f t="shared" si="65"/>
        <v>1</v>
      </c>
      <c r="T351">
        <f t="shared" si="66"/>
        <v>8</v>
      </c>
      <c r="U351">
        <f t="shared" si="67"/>
        <v>0</v>
      </c>
      <c r="V351">
        <f t="shared" si="68"/>
        <v>7</v>
      </c>
      <c r="Y351" t="str">
        <f t="shared" si="59"/>
        <v>Mali</v>
      </c>
      <c r="Z351" s="104" t="str">
        <f t="shared" si="60"/>
        <v/>
      </c>
      <c r="AA351" s="104">
        <f t="shared" si="61"/>
        <v>0.88888888888888884</v>
      </c>
      <c r="AB351" s="104">
        <f t="shared" si="62"/>
        <v>1</v>
      </c>
    </row>
    <row r="352" spans="1:28" x14ac:dyDescent="0.25">
      <c r="A352" s="55" t="s">
        <v>9043</v>
      </c>
      <c r="B352" s="57"/>
      <c r="C352" s="57"/>
      <c r="D352" s="57"/>
      <c r="E352" s="57"/>
      <c r="F352" s="57">
        <v>24</v>
      </c>
      <c r="G352" s="57"/>
      <c r="H352" s="57"/>
      <c r="I352" s="57">
        <v>1</v>
      </c>
      <c r="J352" s="57"/>
      <c r="K352" s="57"/>
      <c r="L352" s="57"/>
      <c r="Q352">
        <f t="shared" si="63"/>
        <v>0</v>
      </c>
      <c r="R352">
        <f t="shared" si="64"/>
        <v>0</v>
      </c>
      <c r="S352">
        <f t="shared" si="65"/>
        <v>0</v>
      </c>
      <c r="T352">
        <f t="shared" si="66"/>
        <v>24</v>
      </c>
      <c r="U352">
        <f t="shared" si="67"/>
        <v>0</v>
      </c>
      <c r="V352">
        <f t="shared" si="68"/>
        <v>1</v>
      </c>
      <c r="Y352" t="str">
        <f t="shared" si="59"/>
        <v>Niger</v>
      </c>
      <c r="Z352" s="104" t="str">
        <f t="shared" si="60"/>
        <v/>
      </c>
      <c r="AA352" s="104">
        <f t="shared" si="61"/>
        <v>1</v>
      </c>
      <c r="AB352" s="104">
        <f t="shared" si="62"/>
        <v>1</v>
      </c>
    </row>
    <row r="353" spans="1:28" x14ac:dyDescent="0.25">
      <c r="A353" s="55" t="s">
        <v>10594</v>
      </c>
      <c r="B353" s="57"/>
      <c r="C353" s="57"/>
      <c r="D353" s="57"/>
      <c r="E353" s="57"/>
      <c r="F353" s="57">
        <v>4</v>
      </c>
      <c r="G353" s="57"/>
      <c r="H353" s="57"/>
      <c r="I353" s="57">
        <v>1</v>
      </c>
      <c r="J353" s="57"/>
      <c r="K353" s="57"/>
      <c r="L353" s="57"/>
      <c r="Q353">
        <f t="shared" si="63"/>
        <v>0</v>
      </c>
      <c r="R353">
        <f t="shared" si="64"/>
        <v>0</v>
      </c>
      <c r="S353">
        <f t="shared" si="65"/>
        <v>0</v>
      </c>
      <c r="T353">
        <f t="shared" si="66"/>
        <v>4</v>
      </c>
      <c r="U353">
        <f t="shared" si="67"/>
        <v>0</v>
      </c>
      <c r="V353">
        <f t="shared" si="68"/>
        <v>1</v>
      </c>
      <c r="Y353" t="str">
        <f t="shared" si="59"/>
        <v>Sierra Leone</v>
      </c>
      <c r="Z353" s="104" t="str">
        <f t="shared" si="60"/>
        <v/>
      </c>
      <c r="AA353" s="104">
        <f t="shared" si="61"/>
        <v>1</v>
      </c>
      <c r="AB353" s="104">
        <f t="shared" si="62"/>
        <v>1</v>
      </c>
    </row>
    <row r="354" spans="1:28" x14ac:dyDescent="0.25">
      <c r="A354" s="50" t="s">
        <v>14278</v>
      </c>
      <c r="B354" s="57">
        <v>1</v>
      </c>
      <c r="C354" s="57"/>
      <c r="D354" s="57"/>
      <c r="E354" s="57">
        <v>3</v>
      </c>
      <c r="F354" s="57">
        <v>70</v>
      </c>
      <c r="G354" s="57"/>
      <c r="H354" s="57"/>
      <c r="I354" s="57">
        <v>24</v>
      </c>
      <c r="J354" s="57"/>
      <c r="K354" s="57"/>
      <c r="L354" s="57"/>
      <c r="Q354">
        <f t="shared" si="63"/>
        <v>1</v>
      </c>
      <c r="R354">
        <f t="shared" si="64"/>
        <v>0</v>
      </c>
      <c r="S354">
        <f t="shared" si="65"/>
        <v>3</v>
      </c>
      <c r="T354">
        <f t="shared" si="66"/>
        <v>70</v>
      </c>
      <c r="U354">
        <f t="shared" si="67"/>
        <v>0</v>
      </c>
      <c r="V354">
        <f t="shared" si="68"/>
        <v>24</v>
      </c>
      <c r="Y354" t="str">
        <f t="shared" si="59"/>
        <v>Africa - Western Total</v>
      </c>
      <c r="Z354" s="104">
        <f t="shared" si="60"/>
        <v>0</v>
      </c>
      <c r="AA354" s="104">
        <f t="shared" si="61"/>
        <v>0.95890410958904104</v>
      </c>
      <c r="AB354" s="104">
        <f t="shared" si="62"/>
        <v>1</v>
      </c>
    </row>
    <row r="355" spans="1:28" x14ac:dyDescent="0.25">
      <c r="A355" s="50" t="s">
        <v>306</v>
      </c>
      <c r="B355" s="57"/>
      <c r="C355" s="57"/>
      <c r="D355" s="57"/>
      <c r="E355" s="57"/>
      <c r="F355" s="57"/>
      <c r="G355" s="57"/>
      <c r="H355" s="57"/>
      <c r="I355" s="57"/>
      <c r="J355" s="57"/>
      <c r="K355" s="57"/>
      <c r="L355" s="57"/>
      <c r="Q355">
        <f t="shared" si="63"/>
        <v>0</v>
      </c>
      <c r="R355">
        <f t="shared" si="64"/>
        <v>0</v>
      </c>
      <c r="S355">
        <f t="shared" si="65"/>
        <v>0</v>
      </c>
      <c r="T355">
        <f t="shared" si="66"/>
        <v>0</v>
      </c>
      <c r="U355">
        <f t="shared" si="67"/>
        <v>0</v>
      </c>
      <c r="V355">
        <f t="shared" si="68"/>
        <v>0</v>
      </c>
      <c r="Y355" t="str">
        <f t="shared" si="59"/>
        <v>Asia and the Pacific</v>
      </c>
      <c r="Z355" s="104" t="str">
        <f t="shared" si="60"/>
        <v/>
      </c>
      <c r="AA355" s="104" t="str">
        <f t="shared" si="61"/>
        <v/>
      </c>
      <c r="AB355" s="104" t="str">
        <f t="shared" si="62"/>
        <v/>
      </c>
    </row>
    <row r="356" spans="1:28" x14ac:dyDescent="0.25">
      <c r="A356" s="55" t="s">
        <v>305</v>
      </c>
      <c r="B356" s="57"/>
      <c r="C356" s="57"/>
      <c r="D356" s="57"/>
      <c r="E356" s="57">
        <v>2</v>
      </c>
      <c r="F356" s="57">
        <v>12</v>
      </c>
      <c r="G356" s="57"/>
      <c r="H356" s="57"/>
      <c r="I356" s="57">
        <v>1</v>
      </c>
      <c r="J356" s="57"/>
      <c r="K356" s="57"/>
      <c r="L356" s="57"/>
      <c r="Q356">
        <f t="shared" si="63"/>
        <v>0</v>
      </c>
      <c r="R356">
        <f t="shared" si="64"/>
        <v>0</v>
      </c>
      <c r="S356">
        <f t="shared" si="65"/>
        <v>2</v>
      </c>
      <c r="T356">
        <f t="shared" si="66"/>
        <v>12</v>
      </c>
      <c r="U356">
        <f t="shared" si="67"/>
        <v>0</v>
      </c>
      <c r="V356">
        <f t="shared" si="68"/>
        <v>1</v>
      </c>
      <c r="Y356" t="str">
        <f t="shared" si="59"/>
        <v>Afghanistan</v>
      </c>
      <c r="Z356" s="104" t="str">
        <f t="shared" si="60"/>
        <v/>
      </c>
      <c r="AA356" s="104">
        <f t="shared" si="61"/>
        <v>0.8571428571428571</v>
      </c>
      <c r="AB356" s="104">
        <f t="shared" si="62"/>
        <v>1</v>
      </c>
    </row>
    <row r="357" spans="1:28" x14ac:dyDescent="0.25">
      <c r="A357" s="55" t="s">
        <v>652</v>
      </c>
      <c r="B357" s="57"/>
      <c r="C357" s="57"/>
      <c r="D357" s="57"/>
      <c r="E357" s="57"/>
      <c r="F357" s="57">
        <v>30</v>
      </c>
      <c r="G357" s="57"/>
      <c r="H357" s="57">
        <v>3</v>
      </c>
      <c r="I357" s="57">
        <v>15</v>
      </c>
      <c r="J357" s="57"/>
      <c r="K357" s="57"/>
      <c r="L357" s="57"/>
      <c r="Q357">
        <f t="shared" si="63"/>
        <v>0</v>
      </c>
      <c r="R357">
        <f t="shared" si="64"/>
        <v>0</v>
      </c>
      <c r="S357">
        <f t="shared" si="65"/>
        <v>0</v>
      </c>
      <c r="T357">
        <f t="shared" si="66"/>
        <v>30</v>
      </c>
      <c r="U357">
        <f t="shared" si="67"/>
        <v>3</v>
      </c>
      <c r="V357">
        <f t="shared" si="68"/>
        <v>15</v>
      </c>
      <c r="Y357" t="str">
        <f t="shared" si="59"/>
        <v>Bangladesh</v>
      </c>
      <c r="Z357" s="104" t="str">
        <f t="shared" si="60"/>
        <v/>
      </c>
      <c r="AA357" s="104">
        <f t="shared" si="61"/>
        <v>1</v>
      </c>
      <c r="AB357" s="104">
        <f t="shared" si="62"/>
        <v>0.83333333333333337</v>
      </c>
    </row>
    <row r="358" spans="1:28" x14ac:dyDescent="0.25">
      <c r="A358" s="55" t="s">
        <v>2092</v>
      </c>
      <c r="B358" s="57"/>
      <c r="C358" s="57"/>
      <c r="D358" s="57"/>
      <c r="E358" s="57"/>
      <c r="F358" s="57">
        <v>7</v>
      </c>
      <c r="G358" s="57"/>
      <c r="H358" s="57">
        <v>1</v>
      </c>
      <c r="I358" s="57">
        <v>9</v>
      </c>
      <c r="J358" s="57"/>
      <c r="K358" s="57"/>
      <c r="L358" s="57"/>
      <c r="Q358">
        <f t="shared" si="63"/>
        <v>0</v>
      </c>
      <c r="R358">
        <f t="shared" si="64"/>
        <v>0</v>
      </c>
      <c r="S358">
        <f t="shared" si="65"/>
        <v>0</v>
      </c>
      <c r="T358">
        <f t="shared" si="66"/>
        <v>7</v>
      </c>
      <c r="U358">
        <f t="shared" si="67"/>
        <v>1</v>
      </c>
      <c r="V358">
        <f t="shared" si="68"/>
        <v>9</v>
      </c>
      <c r="Y358" t="str">
        <f t="shared" si="59"/>
        <v>Cambodia</v>
      </c>
      <c r="Z358" s="104" t="str">
        <f t="shared" si="60"/>
        <v/>
      </c>
      <c r="AA358" s="104">
        <f t="shared" si="61"/>
        <v>1</v>
      </c>
      <c r="AB358" s="104">
        <f t="shared" si="62"/>
        <v>0.9</v>
      </c>
    </row>
    <row r="359" spans="1:28" x14ac:dyDescent="0.25">
      <c r="A359" s="55" t="s">
        <v>4268</v>
      </c>
      <c r="B359" s="57"/>
      <c r="C359" s="57"/>
      <c r="D359" s="57"/>
      <c r="E359" s="57"/>
      <c r="F359" s="57">
        <v>1</v>
      </c>
      <c r="G359" s="57"/>
      <c r="H359" s="57"/>
      <c r="I359" s="57"/>
      <c r="J359" s="57"/>
      <c r="K359" s="57"/>
      <c r="L359" s="57"/>
      <c r="Q359">
        <f t="shared" si="63"/>
        <v>0</v>
      </c>
      <c r="R359">
        <f t="shared" si="64"/>
        <v>0</v>
      </c>
      <c r="S359">
        <f t="shared" si="65"/>
        <v>0</v>
      </c>
      <c r="T359">
        <f t="shared" si="66"/>
        <v>1</v>
      </c>
      <c r="U359">
        <f t="shared" si="67"/>
        <v>0</v>
      </c>
      <c r="V359">
        <f t="shared" si="68"/>
        <v>0</v>
      </c>
      <c r="Y359" t="str">
        <f t="shared" si="59"/>
        <v>Fiji</v>
      </c>
      <c r="Z359" s="104" t="str">
        <f t="shared" si="60"/>
        <v/>
      </c>
      <c r="AA359" s="104">
        <f t="shared" si="61"/>
        <v>1</v>
      </c>
      <c r="AB359" s="104" t="str">
        <f t="shared" si="62"/>
        <v/>
      </c>
    </row>
    <row r="360" spans="1:28" x14ac:dyDescent="0.25">
      <c r="A360" s="55" t="s">
        <v>5300</v>
      </c>
      <c r="B360" s="57"/>
      <c r="C360" s="57"/>
      <c r="D360" s="57"/>
      <c r="E360" s="57"/>
      <c r="F360" s="57">
        <v>14</v>
      </c>
      <c r="G360" s="57"/>
      <c r="H360" s="57">
        <v>1</v>
      </c>
      <c r="I360" s="57">
        <v>20</v>
      </c>
      <c r="J360" s="57"/>
      <c r="K360" s="57"/>
      <c r="L360" s="57"/>
      <c r="Q360">
        <f t="shared" si="63"/>
        <v>0</v>
      </c>
      <c r="R360">
        <f t="shared" si="64"/>
        <v>0</v>
      </c>
      <c r="S360">
        <f t="shared" si="65"/>
        <v>0</v>
      </c>
      <c r="T360">
        <f t="shared" si="66"/>
        <v>14</v>
      </c>
      <c r="U360">
        <f t="shared" si="67"/>
        <v>1</v>
      </c>
      <c r="V360">
        <f t="shared" si="68"/>
        <v>20</v>
      </c>
      <c r="Y360" t="str">
        <f t="shared" si="59"/>
        <v>India</v>
      </c>
      <c r="Z360" s="104" t="str">
        <f t="shared" si="60"/>
        <v/>
      </c>
      <c r="AA360" s="104">
        <f t="shared" si="61"/>
        <v>1</v>
      </c>
      <c r="AB360" s="104">
        <f t="shared" si="62"/>
        <v>0.95238095238095233</v>
      </c>
    </row>
    <row r="361" spans="1:28" x14ac:dyDescent="0.25">
      <c r="A361" s="55" t="s">
        <v>5932</v>
      </c>
      <c r="B361" s="57"/>
      <c r="C361" s="57"/>
      <c r="D361" s="57"/>
      <c r="E361" s="57"/>
      <c r="F361" s="57">
        <v>6</v>
      </c>
      <c r="G361" s="57"/>
      <c r="H361" s="57"/>
      <c r="I361" s="57">
        <v>2</v>
      </c>
      <c r="J361" s="57"/>
      <c r="K361" s="57"/>
      <c r="L361" s="57"/>
      <c r="Q361">
        <f t="shared" si="63"/>
        <v>0</v>
      </c>
      <c r="R361">
        <f t="shared" si="64"/>
        <v>0</v>
      </c>
      <c r="S361">
        <f t="shared" si="65"/>
        <v>0</v>
      </c>
      <c r="T361">
        <f t="shared" si="66"/>
        <v>6</v>
      </c>
      <c r="U361">
        <f t="shared" si="67"/>
        <v>0</v>
      </c>
      <c r="V361">
        <f t="shared" si="68"/>
        <v>2</v>
      </c>
      <c r="Y361" t="str">
        <f t="shared" si="59"/>
        <v>Indonesia</v>
      </c>
      <c r="Z361" s="104" t="str">
        <f t="shared" si="60"/>
        <v/>
      </c>
      <c r="AA361" s="104">
        <f t="shared" si="61"/>
        <v>1</v>
      </c>
      <c r="AB361" s="104">
        <f t="shared" si="62"/>
        <v>1</v>
      </c>
    </row>
    <row r="362" spans="1:28" x14ac:dyDescent="0.25">
      <c r="A362" s="55" t="s">
        <v>6850</v>
      </c>
      <c r="B362" s="57"/>
      <c r="C362" s="57"/>
      <c r="D362" s="57"/>
      <c r="E362" s="57"/>
      <c r="F362" s="57">
        <v>13</v>
      </c>
      <c r="G362" s="57"/>
      <c r="H362" s="57"/>
      <c r="I362" s="57">
        <v>1</v>
      </c>
      <c r="J362" s="57"/>
      <c r="K362" s="57"/>
      <c r="L362" s="57"/>
      <c r="Q362">
        <f t="shared" si="63"/>
        <v>0</v>
      </c>
      <c r="R362">
        <f t="shared" si="64"/>
        <v>0</v>
      </c>
      <c r="S362">
        <f t="shared" si="65"/>
        <v>0</v>
      </c>
      <c r="T362">
        <f t="shared" si="66"/>
        <v>13</v>
      </c>
      <c r="U362">
        <f t="shared" si="67"/>
        <v>0</v>
      </c>
      <c r="V362">
        <f t="shared" si="68"/>
        <v>1</v>
      </c>
      <c r="Y362" t="str">
        <f t="shared" si="59"/>
        <v>Laos</v>
      </c>
      <c r="Z362" s="104" t="str">
        <f t="shared" si="60"/>
        <v/>
      </c>
      <c r="AA362" s="104">
        <f t="shared" si="61"/>
        <v>1</v>
      </c>
      <c r="AB362" s="104">
        <f t="shared" si="62"/>
        <v>1</v>
      </c>
    </row>
    <row r="363" spans="1:28" x14ac:dyDescent="0.25">
      <c r="A363" s="55" t="s">
        <v>8444</v>
      </c>
      <c r="B363" s="57"/>
      <c r="C363" s="57"/>
      <c r="D363" s="57"/>
      <c r="E363" s="57"/>
      <c r="F363" s="57">
        <v>10</v>
      </c>
      <c r="G363" s="57"/>
      <c r="H363" s="57">
        <v>4</v>
      </c>
      <c r="I363" s="57">
        <v>2</v>
      </c>
      <c r="J363" s="57"/>
      <c r="K363" s="57"/>
      <c r="L363" s="57"/>
      <c r="Q363">
        <f t="shared" si="63"/>
        <v>0</v>
      </c>
      <c r="R363">
        <f t="shared" si="64"/>
        <v>0</v>
      </c>
      <c r="S363">
        <f t="shared" si="65"/>
        <v>0</v>
      </c>
      <c r="T363">
        <f t="shared" si="66"/>
        <v>10</v>
      </c>
      <c r="U363">
        <f t="shared" si="67"/>
        <v>4</v>
      </c>
      <c r="V363">
        <f t="shared" si="68"/>
        <v>2</v>
      </c>
      <c r="Y363" t="str">
        <f t="shared" si="59"/>
        <v>Myanmar</v>
      </c>
      <c r="Z363" s="104" t="str">
        <f t="shared" si="60"/>
        <v/>
      </c>
      <c r="AA363" s="104">
        <f t="shared" si="61"/>
        <v>1</v>
      </c>
      <c r="AB363" s="104">
        <f t="shared" si="62"/>
        <v>0.33333333333333331</v>
      </c>
    </row>
    <row r="364" spans="1:28" x14ac:dyDescent="0.25">
      <c r="A364" s="55" t="s">
        <v>8647</v>
      </c>
      <c r="B364" s="57"/>
      <c r="C364" s="57"/>
      <c r="D364" s="57"/>
      <c r="E364" s="57"/>
      <c r="F364" s="57">
        <v>15</v>
      </c>
      <c r="G364" s="57"/>
      <c r="H364" s="57"/>
      <c r="I364" s="57">
        <v>8</v>
      </c>
      <c r="J364" s="57"/>
      <c r="K364" s="57"/>
      <c r="L364" s="57"/>
      <c r="Q364">
        <f t="shared" si="63"/>
        <v>0</v>
      </c>
      <c r="R364">
        <f t="shared" si="64"/>
        <v>0</v>
      </c>
      <c r="S364">
        <f t="shared" si="65"/>
        <v>0</v>
      </c>
      <c r="T364">
        <f t="shared" si="66"/>
        <v>15</v>
      </c>
      <c r="U364">
        <f t="shared" si="67"/>
        <v>0</v>
      </c>
      <c r="V364">
        <f t="shared" si="68"/>
        <v>8</v>
      </c>
      <c r="Y364" t="str">
        <f t="shared" si="59"/>
        <v>Nepal</v>
      </c>
      <c r="Z364" s="104" t="str">
        <f t="shared" si="60"/>
        <v/>
      </c>
      <c r="AA364" s="104">
        <f t="shared" si="61"/>
        <v>1</v>
      </c>
      <c r="AB364" s="104">
        <f t="shared" si="62"/>
        <v>1</v>
      </c>
    </row>
    <row r="365" spans="1:28" x14ac:dyDescent="0.25">
      <c r="A365" s="55" t="s">
        <v>9427</v>
      </c>
      <c r="B365" s="57"/>
      <c r="C365" s="57"/>
      <c r="D365" s="57"/>
      <c r="E365" s="57"/>
      <c r="F365" s="57">
        <v>3</v>
      </c>
      <c r="G365" s="57"/>
      <c r="H365" s="57"/>
      <c r="I365" s="57"/>
      <c r="J365" s="57"/>
      <c r="K365" s="57">
        <v>2</v>
      </c>
      <c r="L365" s="57"/>
      <c r="Q365">
        <f t="shared" si="63"/>
        <v>0</v>
      </c>
      <c r="R365">
        <f t="shared" si="64"/>
        <v>0</v>
      </c>
      <c r="S365">
        <f t="shared" si="65"/>
        <v>0</v>
      </c>
      <c r="T365">
        <f t="shared" si="66"/>
        <v>3</v>
      </c>
      <c r="U365">
        <f t="shared" si="67"/>
        <v>0</v>
      </c>
      <c r="V365">
        <f t="shared" si="68"/>
        <v>0</v>
      </c>
      <c r="Y365" t="str">
        <f t="shared" si="59"/>
        <v>Pakistan</v>
      </c>
      <c r="Z365" s="104" t="str">
        <f t="shared" si="60"/>
        <v/>
      </c>
      <c r="AA365" s="104">
        <f t="shared" si="61"/>
        <v>1</v>
      </c>
      <c r="AB365" s="104" t="str">
        <f t="shared" si="62"/>
        <v/>
      </c>
    </row>
    <row r="366" spans="1:28" x14ac:dyDescent="0.25">
      <c r="A366" s="55" t="s">
        <v>9516</v>
      </c>
      <c r="B366" s="57"/>
      <c r="C366" s="57"/>
      <c r="D366" s="57"/>
      <c r="E366" s="57"/>
      <c r="F366" s="57">
        <v>4</v>
      </c>
      <c r="G366" s="57"/>
      <c r="H366" s="57">
        <v>2</v>
      </c>
      <c r="I366" s="57">
        <v>5</v>
      </c>
      <c r="J366" s="57"/>
      <c r="K366" s="57"/>
      <c r="L366" s="57"/>
      <c r="Q366">
        <f t="shared" si="63"/>
        <v>0</v>
      </c>
      <c r="R366">
        <f t="shared" si="64"/>
        <v>0</v>
      </c>
      <c r="S366">
        <f t="shared" si="65"/>
        <v>0</v>
      </c>
      <c r="T366">
        <f t="shared" si="66"/>
        <v>4</v>
      </c>
      <c r="U366">
        <f t="shared" si="67"/>
        <v>2</v>
      </c>
      <c r="V366">
        <f t="shared" si="68"/>
        <v>5</v>
      </c>
      <c r="Y366" t="str">
        <f t="shared" si="59"/>
        <v>Papua New Guinea</v>
      </c>
      <c r="Z366" s="104" t="str">
        <f t="shared" si="60"/>
        <v/>
      </c>
      <c r="AA366" s="104">
        <f t="shared" si="61"/>
        <v>1</v>
      </c>
      <c r="AB366" s="104">
        <f t="shared" si="62"/>
        <v>0.7142857142857143</v>
      </c>
    </row>
    <row r="367" spans="1:28" x14ac:dyDescent="0.25">
      <c r="A367" s="55" t="s">
        <v>10263</v>
      </c>
      <c r="B367" s="57"/>
      <c r="C367" s="57"/>
      <c r="D367" s="57"/>
      <c r="E367" s="57"/>
      <c r="F367" s="57">
        <v>3</v>
      </c>
      <c r="G367" s="57"/>
      <c r="H367" s="57"/>
      <c r="I367" s="57">
        <v>2</v>
      </c>
      <c r="J367" s="57"/>
      <c r="K367" s="57"/>
      <c r="L367" s="57"/>
      <c r="Q367">
        <f t="shared" si="63"/>
        <v>0</v>
      </c>
      <c r="R367">
        <f t="shared" si="64"/>
        <v>0</v>
      </c>
      <c r="S367">
        <f t="shared" si="65"/>
        <v>0</v>
      </c>
      <c r="T367">
        <f t="shared" si="66"/>
        <v>3</v>
      </c>
      <c r="U367">
        <f t="shared" si="67"/>
        <v>0</v>
      </c>
      <c r="V367">
        <f t="shared" si="68"/>
        <v>2</v>
      </c>
      <c r="Y367" t="str">
        <f t="shared" si="59"/>
        <v>Philippines</v>
      </c>
      <c r="Z367" s="104" t="str">
        <f t="shared" si="60"/>
        <v/>
      </c>
      <c r="AA367" s="104">
        <f t="shared" si="61"/>
        <v>1</v>
      </c>
      <c r="AB367" s="104">
        <f t="shared" si="62"/>
        <v>1</v>
      </c>
    </row>
    <row r="368" spans="1:28" x14ac:dyDescent="0.25">
      <c r="A368" s="55" t="s">
        <v>11304</v>
      </c>
      <c r="B368" s="57"/>
      <c r="C368" s="57"/>
      <c r="D368" s="57"/>
      <c r="E368" s="57">
        <v>1</v>
      </c>
      <c r="F368" s="57">
        <v>5</v>
      </c>
      <c r="G368" s="57"/>
      <c r="H368" s="57"/>
      <c r="I368" s="57">
        <v>1</v>
      </c>
      <c r="J368" s="57"/>
      <c r="K368" s="57"/>
      <c r="L368" s="57"/>
      <c r="Q368">
        <f t="shared" si="63"/>
        <v>0</v>
      </c>
      <c r="R368">
        <f t="shared" si="64"/>
        <v>0</v>
      </c>
      <c r="S368">
        <f t="shared" si="65"/>
        <v>1</v>
      </c>
      <c r="T368">
        <f t="shared" si="66"/>
        <v>5</v>
      </c>
      <c r="U368">
        <f t="shared" si="67"/>
        <v>0</v>
      </c>
      <c r="V368">
        <f t="shared" si="68"/>
        <v>1</v>
      </c>
      <c r="Y368" t="str">
        <f t="shared" si="59"/>
        <v>Sri Lanka</v>
      </c>
      <c r="Z368" s="104" t="str">
        <f t="shared" si="60"/>
        <v/>
      </c>
      <c r="AA368" s="104">
        <f t="shared" si="61"/>
        <v>0.83333333333333337</v>
      </c>
      <c r="AB368" s="104">
        <f t="shared" si="62"/>
        <v>1</v>
      </c>
    </row>
    <row r="369" spans="1:28" x14ac:dyDescent="0.25">
      <c r="A369" s="55" t="s">
        <v>12294</v>
      </c>
      <c r="B369" s="57"/>
      <c r="C369" s="57"/>
      <c r="D369" s="57"/>
      <c r="E369" s="57"/>
      <c r="F369" s="57">
        <v>15</v>
      </c>
      <c r="G369" s="57"/>
      <c r="H369" s="57"/>
      <c r="I369" s="57">
        <v>7</v>
      </c>
      <c r="J369" s="57"/>
      <c r="K369" s="57"/>
      <c r="L369" s="57"/>
      <c r="Q369">
        <f t="shared" si="63"/>
        <v>0</v>
      </c>
      <c r="R369">
        <f t="shared" si="64"/>
        <v>0</v>
      </c>
      <c r="S369">
        <f t="shared" si="65"/>
        <v>0</v>
      </c>
      <c r="T369">
        <f t="shared" si="66"/>
        <v>15</v>
      </c>
      <c r="U369">
        <f t="shared" si="67"/>
        <v>0</v>
      </c>
      <c r="V369">
        <f t="shared" si="68"/>
        <v>7</v>
      </c>
      <c r="Y369" t="str">
        <f t="shared" si="59"/>
        <v>Thailand</v>
      </c>
      <c r="Z369" s="104" t="str">
        <f t="shared" si="60"/>
        <v/>
      </c>
      <c r="AA369" s="104">
        <f t="shared" si="61"/>
        <v>1</v>
      </c>
      <c r="AB369" s="104">
        <f t="shared" si="62"/>
        <v>1</v>
      </c>
    </row>
    <row r="370" spans="1:28" x14ac:dyDescent="0.25">
      <c r="A370" s="55" t="s">
        <v>12547</v>
      </c>
      <c r="B370" s="57"/>
      <c r="C370" s="57"/>
      <c r="D370" s="57"/>
      <c r="E370" s="57"/>
      <c r="F370" s="57">
        <v>4</v>
      </c>
      <c r="G370" s="57"/>
      <c r="H370" s="57"/>
      <c r="I370" s="57">
        <v>2</v>
      </c>
      <c r="J370" s="57"/>
      <c r="K370" s="57"/>
      <c r="L370" s="57"/>
      <c r="Q370">
        <f t="shared" si="63"/>
        <v>0</v>
      </c>
      <c r="R370">
        <f t="shared" si="64"/>
        <v>0</v>
      </c>
      <c r="S370">
        <f t="shared" si="65"/>
        <v>0</v>
      </c>
      <c r="T370">
        <f t="shared" si="66"/>
        <v>4</v>
      </c>
      <c r="U370">
        <f t="shared" si="67"/>
        <v>0</v>
      </c>
      <c r="V370">
        <f t="shared" si="68"/>
        <v>2</v>
      </c>
      <c r="Y370" t="str">
        <f t="shared" si="59"/>
        <v>Timor-Leste</v>
      </c>
      <c r="Z370" s="104" t="str">
        <f t="shared" si="60"/>
        <v/>
      </c>
      <c r="AA370" s="104">
        <f t="shared" si="61"/>
        <v>1</v>
      </c>
      <c r="AB370" s="104">
        <f t="shared" si="62"/>
        <v>1</v>
      </c>
    </row>
    <row r="371" spans="1:28" x14ac:dyDescent="0.25">
      <c r="A371" s="55" t="s">
        <v>13272</v>
      </c>
      <c r="B371" s="57"/>
      <c r="C371" s="57"/>
      <c r="D371" s="57"/>
      <c r="E371" s="57"/>
      <c r="F371" s="57"/>
      <c r="G371" s="57"/>
      <c r="H371" s="57">
        <v>6</v>
      </c>
      <c r="I371" s="57">
        <v>2</v>
      </c>
      <c r="J371" s="57"/>
      <c r="K371" s="57"/>
      <c r="L371" s="57"/>
      <c r="Q371">
        <f t="shared" si="63"/>
        <v>0</v>
      </c>
      <c r="R371">
        <f t="shared" si="64"/>
        <v>0</v>
      </c>
      <c r="S371">
        <f t="shared" si="65"/>
        <v>0</v>
      </c>
      <c r="T371">
        <f t="shared" si="66"/>
        <v>0</v>
      </c>
      <c r="U371">
        <f t="shared" si="67"/>
        <v>6</v>
      </c>
      <c r="V371">
        <f t="shared" si="68"/>
        <v>2</v>
      </c>
      <c r="Y371" t="str">
        <f t="shared" si="59"/>
        <v>Vanuatu</v>
      </c>
      <c r="Z371" s="104" t="str">
        <f t="shared" si="60"/>
        <v/>
      </c>
      <c r="AA371" s="104" t="str">
        <f t="shared" si="61"/>
        <v/>
      </c>
      <c r="AB371" s="104">
        <f t="shared" si="62"/>
        <v>0.25</v>
      </c>
    </row>
    <row r="372" spans="1:28" x14ac:dyDescent="0.25">
      <c r="A372" s="55" t="s">
        <v>13409</v>
      </c>
      <c r="B372" s="57"/>
      <c r="C372" s="57"/>
      <c r="D372" s="57"/>
      <c r="E372" s="57">
        <v>2</v>
      </c>
      <c r="F372" s="57">
        <v>4</v>
      </c>
      <c r="G372" s="57"/>
      <c r="H372" s="57"/>
      <c r="I372" s="57">
        <v>11</v>
      </c>
      <c r="J372" s="57"/>
      <c r="K372" s="57"/>
      <c r="L372" s="57"/>
      <c r="Q372">
        <f t="shared" si="63"/>
        <v>0</v>
      </c>
      <c r="R372">
        <f t="shared" si="64"/>
        <v>0</v>
      </c>
      <c r="S372">
        <f t="shared" si="65"/>
        <v>2</v>
      </c>
      <c r="T372">
        <f t="shared" si="66"/>
        <v>4</v>
      </c>
      <c r="U372">
        <f t="shared" si="67"/>
        <v>0</v>
      </c>
      <c r="V372">
        <f t="shared" si="68"/>
        <v>11</v>
      </c>
      <c r="Y372" t="str">
        <f t="shared" si="59"/>
        <v>Vietnam</v>
      </c>
      <c r="Z372" s="104" t="str">
        <f t="shared" si="60"/>
        <v/>
      </c>
      <c r="AA372" s="104">
        <f t="shared" si="61"/>
        <v>0.66666666666666663</v>
      </c>
      <c r="AB372" s="104">
        <f t="shared" si="62"/>
        <v>1</v>
      </c>
    </row>
    <row r="373" spans="1:28" x14ac:dyDescent="0.25">
      <c r="A373" s="50" t="s">
        <v>14279</v>
      </c>
      <c r="B373" s="57"/>
      <c r="C373" s="57"/>
      <c r="D373" s="57"/>
      <c r="E373" s="57">
        <v>5</v>
      </c>
      <c r="F373" s="57">
        <v>146</v>
      </c>
      <c r="G373" s="57"/>
      <c r="H373" s="57">
        <v>17</v>
      </c>
      <c r="I373" s="57">
        <v>88</v>
      </c>
      <c r="J373" s="57"/>
      <c r="K373" s="57">
        <v>2</v>
      </c>
      <c r="L373" s="57"/>
      <c r="Q373">
        <f t="shared" si="63"/>
        <v>0</v>
      </c>
      <c r="R373">
        <f t="shared" si="64"/>
        <v>0</v>
      </c>
      <c r="S373">
        <f t="shared" si="65"/>
        <v>5</v>
      </c>
      <c r="T373">
        <f t="shared" si="66"/>
        <v>146</v>
      </c>
      <c r="U373">
        <f t="shared" si="67"/>
        <v>17</v>
      </c>
      <c r="V373">
        <f t="shared" si="68"/>
        <v>88</v>
      </c>
      <c r="Y373" t="str">
        <f t="shared" si="59"/>
        <v>Asia and the Pacific Total</v>
      </c>
      <c r="Z373" s="104" t="str">
        <f t="shared" si="60"/>
        <v/>
      </c>
      <c r="AA373" s="104">
        <f t="shared" si="61"/>
        <v>0.9668874172185431</v>
      </c>
      <c r="AB373" s="104">
        <f t="shared" si="62"/>
        <v>0.83809523809523812</v>
      </c>
    </row>
    <row r="374" spans="1:28" x14ac:dyDescent="0.25">
      <c r="A374" s="50" t="s">
        <v>2807</v>
      </c>
      <c r="B374" s="57"/>
      <c r="C374" s="57"/>
      <c r="D374" s="57"/>
      <c r="E374" s="57"/>
      <c r="F374" s="57"/>
      <c r="G374" s="57"/>
      <c r="H374" s="57"/>
      <c r="I374" s="57"/>
      <c r="J374" s="57"/>
      <c r="K374" s="57"/>
      <c r="L374" s="57"/>
      <c r="Q374">
        <f t="shared" si="63"/>
        <v>0</v>
      </c>
      <c r="R374">
        <f t="shared" si="64"/>
        <v>0</v>
      </c>
      <c r="S374">
        <f t="shared" si="65"/>
        <v>0</v>
      </c>
      <c r="T374">
        <f t="shared" si="66"/>
        <v>0</v>
      </c>
      <c r="U374">
        <f t="shared" si="67"/>
        <v>0</v>
      </c>
      <c r="V374">
        <f t="shared" si="68"/>
        <v>0</v>
      </c>
      <c r="Y374" t="str">
        <f t="shared" si="59"/>
        <v>Latin America and the Caribbean</v>
      </c>
      <c r="Z374" s="104" t="str">
        <f t="shared" si="60"/>
        <v/>
      </c>
      <c r="AA374" s="104" t="str">
        <f t="shared" si="61"/>
        <v/>
      </c>
      <c r="AB374" s="104" t="str">
        <f t="shared" si="62"/>
        <v/>
      </c>
    </row>
    <row r="375" spans="1:28" x14ac:dyDescent="0.25">
      <c r="A375" s="55" t="s">
        <v>2806</v>
      </c>
      <c r="B375" s="57"/>
      <c r="C375" s="57"/>
      <c r="D375" s="57"/>
      <c r="E375" s="57"/>
      <c r="F375" s="57"/>
      <c r="G375" s="57"/>
      <c r="H375" s="57"/>
      <c r="I375" s="57">
        <v>1</v>
      </c>
      <c r="J375" s="57"/>
      <c r="K375" s="57"/>
      <c r="L375" s="57"/>
      <c r="Q375">
        <f t="shared" si="63"/>
        <v>0</v>
      </c>
      <c r="R375">
        <f t="shared" si="64"/>
        <v>0</v>
      </c>
      <c r="S375">
        <f t="shared" si="65"/>
        <v>0</v>
      </c>
      <c r="T375">
        <f t="shared" si="66"/>
        <v>0</v>
      </c>
      <c r="U375">
        <f t="shared" si="67"/>
        <v>0</v>
      </c>
      <c r="V375">
        <f t="shared" si="68"/>
        <v>1</v>
      </c>
      <c r="Y375" t="str">
        <f t="shared" si="59"/>
        <v>Colombia</v>
      </c>
      <c r="Z375" s="104" t="str">
        <f t="shared" si="60"/>
        <v/>
      </c>
      <c r="AA375" s="104" t="str">
        <f t="shared" si="61"/>
        <v/>
      </c>
      <c r="AB375" s="104">
        <f t="shared" si="62"/>
        <v>1</v>
      </c>
    </row>
    <row r="376" spans="1:28" x14ac:dyDescent="0.25">
      <c r="A376" s="55" t="s">
        <v>2931</v>
      </c>
      <c r="B376" s="57"/>
      <c r="C376" s="57"/>
      <c r="D376" s="57"/>
      <c r="E376" s="57"/>
      <c r="F376" s="57"/>
      <c r="G376" s="57"/>
      <c r="H376" s="57"/>
      <c r="I376" s="57">
        <v>1</v>
      </c>
      <c r="J376" s="57"/>
      <c r="K376" s="57"/>
      <c r="L376" s="57"/>
      <c r="Q376">
        <f t="shared" si="63"/>
        <v>0</v>
      </c>
      <c r="R376">
        <f t="shared" si="64"/>
        <v>0</v>
      </c>
      <c r="S376">
        <f t="shared" si="65"/>
        <v>0</v>
      </c>
      <c r="T376">
        <f t="shared" si="66"/>
        <v>0</v>
      </c>
      <c r="U376">
        <f t="shared" si="67"/>
        <v>0</v>
      </c>
      <c r="V376">
        <f t="shared" si="68"/>
        <v>1</v>
      </c>
      <c r="Y376" t="str">
        <f t="shared" si="59"/>
        <v>Costa Rica</v>
      </c>
      <c r="Z376" s="104" t="str">
        <f t="shared" si="60"/>
        <v/>
      </c>
      <c r="AA376" s="104" t="str">
        <f t="shared" si="61"/>
        <v/>
      </c>
      <c r="AB376" s="104">
        <f t="shared" si="62"/>
        <v>1</v>
      </c>
    </row>
    <row r="377" spans="1:28" x14ac:dyDescent="0.25">
      <c r="A377" s="55" t="s">
        <v>3148</v>
      </c>
      <c r="B377" s="57"/>
      <c r="C377" s="57"/>
      <c r="D377" s="57"/>
      <c r="E377" s="57"/>
      <c r="F377" s="57">
        <v>4</v>
      </c>
      <c r="G377" s="57"/>
      <c r="H377" s="57"/>
      <c r="I377" s="57">
        <v>1</v>
      </c>
      <c r="J377" s="57"/>
      <c r="K377" s="57"/>
      <c r="L377" s="57"/>
      <c r="Q377">
        <f t="shared" si="63"/>
        <v>0</v>
      </c>
      <c r="R377">
        <f t="shared" si="64"/>
        <v>0</v>
      </c>
      <c r="S377">
        <f t="shared" si="65"/>
        <v>0</v>
      </c>
      <c r="T377">
        <f t="shared" si="66"/>
        <v>4</v>
      </c>
      <c r="U377">
        <f t="shared" si="67"/>
        <v>0</v>
      </c>
      <c r="V377">
        <f t="shared" si="68"/>
        <v>1</v>
      </c>
      <c r="Y377" t="str">
        <f t="shared" si="59"/>
        <v>Cuba</v>
      </c>
      <c r="Z377" s="104" t="str">
        <f t="shared" si="60"/>
        <v/>
      </c>
      <c r="AA377" s="104">
        <f t="shared" si="61"/>
        <v>1</v>
      </c>
      <c r="AB377" s="104">
        <f t="shared" si="62"/>
        <v>1</v>
      </c>
    </row>
    <row r="378" spans="1:28" x14ac:dyDescent="0.25">
      <c r="A378" s="55" t="s">
        <v>3261</v>
      </c>
      <c r="B378" s="57"/>
      <c r="C378" s="57"/>
      <c r="D378" s="57"/>
      <c r="E378" s="57"/>
      <c r="F378" s="57"/>
      <c r="G378" s="57"/>
      <c r="H378" s="57"/>
      <c r="I378" s="57"/>
      <c r="J378" s="57"/>
      <c r="K378" s="57"/>
      <c r="L378" s="57"/>
      <c r="Q378">
        <f t="shared" si="63"/>
        <v>0</v>
      </c>
      <c r="R378">
        <f t="shared" si="64"/>
        <v>0</v>
      </c>
      <c r="S378">
        <f t="shared" si="65"/>
        <v>0</v>
      </c>
      <c r="T378">
        <f t="shared" si="66"/>
        <v>0</v>
      </c>
      <c r="U378">
        <f t="shared" si="67"/>
        <v>0</v>
      </c>
      <c r="V378">
        <f t="shared" si="68"/>
        <v>0</v>
      </c>
      <c r="Y378" t="str">
        <f t="shared" si="59"/>
        <v>Dominican Republic</v>
      </c>
      <c r="Z378" s="104" t="str">
        <f t="shared" si="60"/>
        <v/>
      </c>
      <c r="AA378" s="104" t="str">
        <f t="shared" si="61"/>
        <v/>
      </c>
      <c r="AB378" s="104" t="str">
        <f t="shared" si="62"/>
        <v/>
      </c>
    </row>
    <row r="379" spans="1:28" x14ac:dyDescent="0.25">
      <c r="A379" s="55" t="s">
        <v>3272</v>
      </c>
      <c r="B379" s="57"/>
      <c r="C379" s="57"/>
      <c r="D379" s="57"/>
      <c r="E379" s="57"/>
      <c r="F379" s="57">
        <v>14</v>
      </c>
      <c r="G379" s="57"/>
      <c r="H379" s="57"/>
      <c r="I379" s="57">
        <v>4</v>
      </c>
      <c r="J379" s="57"/>
      <c r="K379" s="57"/>
      <c r="L379" s="57"/>
      <c r="Q379">
        <f t="shared" si="63"/>
        <v>0</v>
      </c>
      <c r="R379">
        <f t="shared" si="64"/>
        <v>0</v>
      </c>
      <c r="S379">
        <f t="shared" si="65"/>
        <v>0</v>
      </c>
      <c r="T379">
        <f t="shared" si="66"/>
        <v>14</v>
      </c>
      <c r="U379">
        <f t="shared" si="67"/>
        <v>0</v>
      </c>
      <c r="V379">
        <f t="shared" si="68"/>
        <v>4</v>
      </c>
      <c r="Y379" t="str">
        <f t="shared" si="59"/>
        <v>Ecuador</v>
      </c>
      <c r="Z379" s="104" t="str">
        <f t="shared" si="60"/>
        <v/>
      </c>
      <c r="AA379" s="104">
        <f t="shared" si="61"/>
        <v>1</v>
      </c>
      <c r="AB379" s="104">
        <f t="shared" si="62"/>
        <v>1</v>
      </c>
    </row>
    <row r="380" spans="1:28" x14ac:dyDescent="0.25">
      <c r="A380" s="55" t="s">
        <v>4777</v>
      </c>
      <c r="B380" s="57"/>
      <c r="C380" s="57"/>
      <c r="D380" s="57"/>
      <c r="E380" s="57"/>
      <c r="F380" s="57">
        <v>8</v>
      </c>
      <c r="G380" s="57"/>
      <c r="H380" s="57"/>
      <c r="I380" s="57">
        <v>7</v>
      </c>
      <c r="J380" s="57"/>
      <c r="K380" s="57"/>
      <c r="L380" s="57"/>
      <c r="Q380">
        <f t="shared" si="63"/>
        <v>0</v>
      </c>
      <c r="R380">
        <f t="shared" si="64"/>
        <v>0</v>
      </c>
      <c r="S380">
        <f t="shared" si="65"/>
        <v>0</v>
      </c>
      <c r="T380">
        <f t="shared" si="66"/>
        <v>8</v>
      </c>
      <c r="U380">
        <f t="shared" si="67"/>
        <v>0</v>
      </c>
      <c r="V380">
        <f t="shared" si="68"/>
        <v>7</v>
      </c>
      <c r="Y380" t="str">
        <f t="shared" si="59"/>
        <v>Guatemala</v>
      </c>
      <c r="Z380" s="104" t="str">
        <f t="shared" si="60"/>
        <v/>
      </c>
      <c r="AA380" s="104">
        <f t="shared" si="61"/>
        <v>1</v>
      </c>
      <c r="AB380" s="104">
        <f t="shared" si="62"/>
        <v>1</v>
      </c>
    </row>
    <row r="381" spans="1:28" x14ac:dyDescent="0.25">
      <c r="A381" s="55" t="s">
        <v>5061</v>
      </c>
      <c r="B381" s="57"/>
      <c r="C381" s="57"/>
      <c r="D381" s="57"/>
      <c r="E381" s="57"/>
      <c r="F381" s="57">
        <v>7</v>
      </c>
      <c r="G381" s="57"/>
      <c r="H381" s="57"/>
      <c r="I381" s="57">
        <v>1</v>
      </c>
      <c r="J381" s="57"/>
      <c r="K381" s="57"/>
      <c r="L381" s="57"/>
      <c r="Q381">
        <f t="shared" si="63"/>
        <v>0</v>
      </c>
      <c r="R381">
        <f t="shared" si="64"/>
        <v>0</v>
      </c>
      <c r="S381">
        <f t="shared" si="65"/>
        <v>0</v>
      </c>
      <c r="T381">
        <f t="shared" si="66"/>
        <v>7</v>
      </c>
      <c r="U381">
        <f t="shared" si="67"/>
        <v>0</v>
      </c>
      <c r="V381">
        <f t="shared" si="68"/>
        <v>1</v>
      </c>
      <c r="Y381" t="str">
        <f t="shared" si="59"/>
        <v>Haiti</v>
      </c>
      <c r="Z381" s="104" t="str">
        <f t="shared" si="60"/>
        <v/>
      </c>
      <c r="AA381" s="104">
        <f t="shared" si="61"/>
        <v>1</v>
      </c>
      <c r="AB381" s="104">
        <f t="shared" si="62"/>
        <v>1</v>
      </c>
    </row>
    <row r="382" spans="1:28" x14ac:dyDescent="0.25">
      <c r="A382" s="55" t="s">
        <v>5190</v>
      </c>
      <c r="B382" s="57"/>
      <c r="C382" s="57"/>
      <c r="D382" s="57"/>
      <c r="E382" s="57"/>
      <c r="F382" s="57">
        <v>4</v>
      </c>
      <c r="G382" s="57"/>
      <c r="H382" s="57"/>
      <c r="I382" s="57">
        <v>3</v>
      </c>
      <c r="J382" s="57"/>
      <c r="K382" s="57"/>
      <c r="L382" s="57"/>
      <c r="Q382">
        <f t="shared" si="63"/>
        <v>0</v>
      </c>
      <c r="R382">
        <f t="shared" si="64"/>
        <v>0</v>
      </c>
      <c r="S382">
        <f t="shared" si="65"/>
        <v>0</v>
      </c>
      <c r="T382">
        <f t="shared" si="66"/>
        <v>4</v>
      </c>
      <c r="U382">
        <f t="shared" si="67"/>
        <v>0</v>
      </c>
      <c r="V382">
        <f t="shared" si="68"/>
        <v>3</v>
      </c>
      <c r="Y382" t="str">
        <f t="shared" si="59"/>
        <v>Honduras</v>
      </c>
      <c r="Z382" s="104" t="str">
        <f t="shared" si="60"/>
        <v/>
      </c>
      <c r="AA382" s="104">
        <f t="shared" si="61"/>
        <v>1</v>
      </c>
      <c r="AB382" s="104">
        <f t="shared" si="62"/>
        <v>1</v>
      </c>
    </row>
    <row r="383" spans="1:28" x14ac:dyDescent="0.25">
      <c r="A383" s="55" t="s">
        <v>8138</v>
      </c>
      <c r="B383" s="57"/>
      <c r="C383" s="57"/>
      <c r="D383" s="57"/>
      <c r="E383" s="57"/>
      <c r="F383" s="57"/>
      <c r="G383" s="57"/>
      <c r="H383" s="57"/>
      <c r="I383" s="57">
        <v>1</v>
      </c>
      <c r="J383" s="57"/>
      <c r="K383" s="57"/>
      <c r="L383" s="57"/>
      <c r="Q383">
        <f t="shared" si="63"/>
        <v>0</v>
      </c>
      <c r="R383">
        <f t="shared" si="64"/>
        <v>0</v>
      </c>
      <c r="S383">
        <f t="shared" si="65"/>
        <v>0</v>
      </c>
      <c r="T383">
        <f t="shared" si="66"/>
        <v>0</v>
      </c>
      <c r="U383">
        <f t="shared" si="67"/>
        <v>0</v>
      </c>
      <c r="V383">
        <f t="shared" si="68"/>
        <v>1</v>
      </c>
      <c r="Y383" t="str">
        <f t="shared" si="59"/>
        <v>Mexico</v>
      </c>
      <c r="Z383" s="104" t="str">
        <f t="shared" si="60"/>
        <v/>
      </c>
      <c r="AA383" s="104" t="str">
        <f t="shared" si="61"/>
        <v/>
      </c>
      <c r="AB383" s="104">
        <f t="shared" si="62"/>
        <v>1</v>
      </c>
    </row>
    <row r="384" spans="1:28" x14ac:dyDescent="0.25">
      <c r="A384" s="55" t="s">
        <v>9042</v>
      </c>
      <c r="B384" s="57"/>
      <c r="C384" s="57"/>
      <c r="D384" s="57"/>
      <c r="E384" s="57"/>
      <c r="F384" s="57"/>
      <c r="G384" s="57"/>
      <c r="H384" s="57"/>
      <c r="I384" s="57">
        <v>1</v>
      </c>
      <c r="J384" s="57"/>
      <c r="K384" s="57"/>
      <c r="L384" s="57"/>
      <c r="Q384">
        <f t="shared" si="63"/>
        <v>0</v>
      </c>
      <c r="R384">
        <f t="shared" si="64"/>
        <v>0</v>
      </c>
      <c r="S384">
        <f t="shared" si="65"/>
        <v>0</v>
      </c>
      <c r="T384">
        <f t="shared" si="66"/>
        <v>0</v>
      </c>
      <c r="U384">
        <f t="shared" si="67"/>
        <v>0</v>
      </c>
      <c r="V384">
        <f t="shared" si="68"/>
        <v>1</v>
      </c>
      <c r="Y384" t="str">
        <f t="shared" si="59"/>
        <v>Nicaragua</v>
      </c>
      <c r="Z384" s="104" t="str">
        <f t="shared" si="60"/>
        <v/>
      </c>
      <c r="AA384" s="104" t="str">
        <f t="shared" si="61"/>
        <v/>
      </c>
      <c r="AB384" s="104">
        <f t="shared" si="62"/>
        <v>1</v>
      </c>
    </row>
    <row r="385" spans="1:28" x14ac:dyDescent="0.25">
      <c r="A385" s="55" t="s">
        <v>9514</v>
      </c>
      <c r="B385" s="57"/>
      <c r="C385" s="57"/>
      <c r="D385" s="57"/>
      <c r="E385" s="57"/>
      <c r="F385" s="57"/>
      <c r="G385" s="57"/>
      <c r="H385" s="57"/>
      <c r="I385" s="57"/>
      <c r="J385" s="57"/>
      <c r="K385" s="57"/>
      <c r="L385" s="57"/>
      <c r="Q385">
        <f t="shared" si="63"/>
        <v>0</v>
      </c>
      <c r="R385">
        <f t="shared" si="64"/>
        <v>0</v>
      </c>
      <c r="S385">
        <f t="shared" si="65"/>
        <v>0</v>
      </c>
      <c r="T385">
        <f t="shared" si="66"/>
        <v>0</v>
      </c>
      <c r="U385">
        <f t="shared" si="67"/>
        <v>0</v>
      </c>
      <c r="V385">
        <f t="shared" si="68"/>
        <v>0</v>
      </c>
      <c r="Y385" t="str">
        <f t="shared" si="59"/>
        <v>Panama</v>
      </c>
      <c r="Z385" s="104" t="str">
        <f t="shared" si="60"/>
        <v/>
      </c>
      <c r="AA385" s="104" t="str">
        <f t="shared" si="61"/>
        <v/>
      </c>
      <c r="AB385" s="104" t="str">
        <f t="shared" si="62"/>
        <v/>
      </c>
    </row>
    <row r="386" spans="1:28" x14ac:dyDescent="0.25">
      <c r="A386" s="55" t="s">
        <v>9706</v>
      </c>
      <c r="B386" s="57"/>
      <c r="C386" s="57"/>
      <c r="D386" s="57"/>
      <c r="E386" s="57">
        <v>4</v>
      </c>
      <c r="F386" s="57">
        <v>28</v>
      </c>
      <c r="G386" s="57"/>
      <c r="H386" s="57"/>
      <c r="I386" s="57">
        <v>2</v>
      </c>
      <c r="J386" s="57"/>
      <c r="K386" s="57"/>
      <c r="L386" s="57"/>
      <c r="Q386">
        <f t="shared" si="63"/>
        <v>0</v>
      </c>
      <c r="R386">
        <f t="shared" si="64"/>
        <v>0</v>
      </c>
      <c r="S386">
        <f t="shared" si="65"/>
        <v>4</v>
      </c>
      <c r="T386">
        <f t="shared" si="66"/>
        <v>28</v>
      </c>
      <c r="U386">
        <f t="shared" si="67"/>
        <v>0</v>
      </c>
      <c r="V386">
        <f t="shared" si="68"/>
        <v>2</v>
      </c>
      <c r="Y386" t="str">
        <f t="shared" si="59"/>
        <v>Peru</v>
      </c>
      <c r="Z386" s="104" t="str">
        <f t="shared" si="60"/>
        <v/>
      </c>
      <c r="AA386" s="104">
        <f t="shared" si="61"/>
        <v>0.875</v>
      </c>
      <c r="AB386" s="104">
        <f t="shared" si="62"/>
        <v>1</v>
      </c>
    </row>
    <row r="387" spans="1:28" x14ac:dyDescent="0.25">
      <c r="A387" s="50" t="s">
        <v>14280</v>
      </c>
      <c r="B387" s="57"/>
      <c r="C387" s="57"/>
      <c r="D387" s="57"/>
      <c r="E387" s="57">
        <v>4</v>
      </c>
      <c r="F387" s="57">
        <v>65</v>
      </c>
      <c r="G387" s="57"/>
      <c r="H387" s="57"/>
      <c r="I387" s="57">
        <v>22</v>
      </c>
      <c r="J387" s="57"/>
      <c r="K387" s="57"/>
      <c r="L387" s="57"/>
      <c r="Q387">
        <f t="shared" si="63"/>
        <v>0</v>
      </c>
      <c r="R387">
        <f t="shared" si="64"/>
        <v>0</v>
      </c>
      <c r="S387">
        <f t="shared" si="65"/>
        <v>4</v>
      </c>
      <c r="T387">
        <f t="shared" si="66"/>
        <v>65</v>
      </c>
      <c r="U387">
        <f t="shared" si="67"/>
        <v>0</v>
      </c>
      <c r="V387">
        <f t="shared" si="68"/>
        <v>22</v>
      </c>
      <c r="Y387" t="str">
        <f t="shared" si="59"/>
        <v>Latin America and the Caribbean Total</v>
      </c>
      <c r="Z387" s="104" t="str">
        <f t="shared" si="60"/>
        <v/>
      </c>
      <c r="AA387" s="104">
        <f t="shared" si="61"/>
        <v>0.94202898550724634</v>
      </c>
      <c r="AB387" s="104">
        <f t="shared" si="62"/>
        <v>1</v>
      </c>
    </row>
    <row r="388" spans="1:28" x14ac:dyDescent="0.25">
      <c r="A388" s="50" t="s">
        <v>602</v>
      </c>
      <c r="B388" s="57"/>
      <c r="C388" s="57"/>
      <c r="D388" s="57"/>
      <c r="E388" s="57"/>
      <c r="F388" s="57"/>
      <c r="G388" s="57"/>
      <c r="H388" s="57"/>
      <c r="I388" s="57"/>
      <c r="J388" s="57"/>
      <c r="K388" s="57"/>
      <c r="L388" s="57"/>
      <c r="Q388">
        <f t="shared" si="63"/>
        <v>0</v>
      </c>
      <c r="R388">
        <f t="shared" si="64"/>
        <v>0</v>
      </c>
      <c r="S388">
        <f t="shared" si="65"/>
        <v>0</v>
      </c>
      <c r="T388">
        <f t="shared" si="66"/>
        <v>0</v>
      </c>
      <c r="U388">
        <f t="shared" si="67"/>
        <v>0</v>
      </c>
      <c r="V388">
        <f t="shared" si="68"/>
        <v>0</v>
      </c>
      <c r="Y388" t="str">
        <f t="shared" si="59"/>
        <v>Middle East, North Africa and Europe</v>
      </c>
      <c r="Z388" s="104" t="str">
        <f t="shared" si="60"/>
        <v/>
      </c>
      <c r="AA388" s="104" t="str">
        <f t="shared" si="61"/>
        <v/>
      </c>
      <c r="AB388" s="104" t="str">
        <f t="shared" si="62"/>
        <v/>
      </c>
    </row>
    <row r="389" spans="1:28" x14ac:dyDescent="0.25">
      <c r="A389" s="55" t="s">
        <v>601</v>
      </c>
      <c r="B389" s="57"/>
      <c r="C389" s="57"/>
      <c r="D389" s="57"/>
      <c r="E389" s="57"/>
      <c r="F389" s="57"/>
      <c r="G389" s="57"/>
      <c r="H389" s="57"/>
      <c r="I389" s="57">
        <v>1</v>
      </c>
      <c r="J389" s="57"/>
      <c r="K389" s="57"/>
      <c r="L389" s="57"/>
      <c r="Q389">
        <f t="shared" si="63"/>
        <v>0</v>
      </c>
      <c r="R389">
        <f t="shared" si="64"/>
        <v>0</v>
      </c>
      <c r="S389">
        <f t="shared" si="65"/>
        <v>0</v>
      </c>
      <c r="T389">
        <f t="shared" si="66"/>
        <v>0</v>
      </c>
      <c r="U389">
        <f t="shared" si="67"/>
        <v>0</v>
      </c>
      <c r="V389">
        <f t="shared" si="68"/>
        <v>1</v>
      </c>
      <c r="Y389" t="str">
        <f t="shared" ref="Y389:Y423" si="69">A389</f>
        <v>Albania</v>
      </c>
      <c r="Z389" s="104" t="str">
        <f t="shared" ref="Z389:Z423" si="70">IFERROR(R389/(SUM($Q389:$R389)),"")</f>
        <v/>
      </c>
      <c r="AA389" s="104" t="str">
        <f t="shared" ref="AA389:AA423" si="71">IFERROR(T389/(SUM($S389:$T389)),"")</f>
        <v/>
      </c>
      <c r="AB389" s="104">
        <f t="shared" ref="AB389:AB423" si="72">IFERROR(V389/(SUM($U389:$V389)),"")</f>
        <v>1</v>
      </c>
    </row>
    <row r="390" spans="1:28" x14ac:dyDescent="0.25">
      <c r="A390" s="55" t="s">
        <v>635</v>
      </c>
      <c r="B390" s="57"/>
      <c r="C390" s="57"/>
      <c r="D390" s="57"/>
      <c r="E390" s="57"/>
      <c r="F390" s="57"/>
      <c r="G390" s="57"/>
      <c r="H390" s="57"/>
      <c r="I390" s="57">
        <v>1</v>
      </c>
      <c r="J390" s="57"/>
      <c r="K390" s="57"/>
      <c r="L390" s="57"/>
      <c r="Q390">
        <f t="shared" si="63"/>
        <v>0</v>
      </c>
      <c r="R390">
        <f t="shared" si="64"/>
        <v>0</v>
      </c>
      <c r="S390">
        <f t="shared" si="65"/>
        <v>0</v>
      </c>
      <c r="T390">
        <f t="shared" si="66"/>
        <v>0</v>
      </c>
      <c r="U390">
        <f t="shared" si="67"/>
        <v>0</v>
      </c>
      <c r="V390">
        <f t="shared" si="68"/>
        <v>1</v>
      </c>
      <c r="Y390" t="str">
        <f t="shared" si="69"/>
        <v>Austria</v>
      </c>
      <c r="Z390" s="104" t="str">
        <f t="shared" si="70"/>
        <v/>
      </c>
      <c r="AA390" s="104" t="str">
        <f t="shared" si="71"/>
        <v/>
      </c>
      <c r="AB390" s="104">
        <f t="shared" si="72"/>
        <v>1</v>
      </c>
    </row>
    <row r="391" spans="1:28" x14ac:dyDescent="0.25">
      <c r="A391" s="55" t="s">
        <v>1527</v>
      </c>
      <c r="B391" s="57"/>
      <c r="C391" s="57"/>
      <c r="D391" s="57"/>
      <c r="E391" s="57"/>
      <c r="F391" s="57"/>
      <c r="G391" s="57"/>
      <c r="H391" s="57"/>
      <c r="I391" s="57"/>
      <c r="J391" s="57"/>
      <c r="K391" s="57"/>
      <c r="L391" s="57"/>
      <c r="Q391">
        <f t="shared" si="63"/>
        <v>0</v>
      </c>
      <c r="R391">
        <f t="shared" si="64"/>
        <v>0</v>
      </c>
      <c r="S391">
        <f t="shared" si="65"/>
        <v>0</v>
      </c>
      <c r="T391">
        <f t="shared" si="66"/>
        <v>0</v>
      </c>
      <c r="U391">
        <f t="shared" si="67"/>
        <v>0</v>
      </c>
      <c r="V391">
        <f t="shared" si="68"/>
        <v>0</v>
      </c>
      <c r="Y391" t="str">
        <f t="shared" si="69"/>
        <v>Belgium</v>
      </c>
      <c r="Z391" s="104" t="str">
        <f t="shared" si="70"/>
        <v/>
      </c>
      <c r="AA391" s="104" t="str">
        <f t="shared" si="71"/>
        <v/>
      </c>
      <c r="AB391" s="104" t="str">
        <f t="shared" si="72"/>
        <v/>
      </c>
    </row>
    <row r="392" spans="1:28" x14ac:dyDescent="0.25">
      <c r="A392" s="55" t="s">
        <v>1735</v>
      </c>
      <c r="B392" s="57"/>
      <c r="C392" s="57"/>
      <c r="D392" s="57"/>
      <c r="E392" s="57"/>
      <c r="F392" s="57"/>
      <c r="G392" s="57"/>
      <c r="H392" s="57"/>
      <c r="I392" s="57">
        <v>5</v>
      </c>
      <c r="J392" s="57"/>
      <c r="K392" s="57"/>
      <c r="L392" s="57"/>
      <c r="Q392">
        <f t="shared" ref="Q392:Q423" si="73">B392</f>
        <v>0</v>
      </c>
      <c r="R392">
        <f t="shared" ref="R392:R423" si="74">C392</f>
        <v>0</v>
      </c>
      <c r="S392">
        <f t="shared" ref="S392:S423" si="75">E392</f>
        <v>0</v>
      </c>
      <c r="T392">
        <f t="shared" ref="T392:T423" si="76">F392</f>
        <v>0</v>
      </c>
      <c r="U392">
        <f t="shared" ref="U392:U423" si="77">H392</f>
        <v>0</v>
      </c>
      <c r="V392">
        <f t="shared" ref="V392:V423" si="78">I392</f>
        <v>5</v>
      </c>
      <c r="Y392" t="str">
        <f t="shared" si="69"/>
        <v>Bosnia and Herzegovina</v>
      </c>
      <c r="Z392" s="104" t="str">
        <f t="shared" si="70"/>
        <v/>
      </c>
      <c r="AA392" s="104" t="str">
        <f t="shared" si="71"/>
        <v/>
      </c>
      <c r="AB392" s="104">
        <f t="shared" si="72"/>
        <v>1</v>
      </c>
    </row>
    <row r="393" spans="1:28" x14ac:dyDescent="0.25">
      <c r="A393" s="55" t="s">
        <v>3140</v>
      </c>
      <c r="B393" s="57"/>
      <c r="C393" s="57"/>
      <c r="D393" s="57"/>
      <c r="E393" s="57"/>
      <c r="F393" s="57"/>
      <c r="G393" s="57"/>
      <c r="H393" s="57"/>
      <c r="I393" s="57">
        <v>1</v>
      </c>
      <c r="J393" s="57"/>
      <c r="K393" s="57"/>
      <c r="L393" s="57"/>
      <c r="Q393">
        <f t="shared" si="73"/>
        <v>0</v>
      </c>
      <c r="R393">
        <f t="shared" si="74"/>
        <v>0</v>
      </c>
      <c r="S393">
        <f t="shared" si="75"/>
        <v>0</v>
      </c>
      <c r="T393">
        <f t="shared" si="76"/>
        <v>0</v>
      </c>
      <c r="U393">
        <f t="shared" si="77"/>
        <v>0</v>
      </c>
      <c r="V393">
        <f t="shared" si="78"/>
        <v>1</v>
      </c>
      <c r="Y393" t="str">
        <f t="shared" si="69"/>
        <v>Croatia</v>
      </c>
      <c r="Z393" s="104" t="str">
        <f t="shared" si="70"/>
        <v/>
      </c>
      <c r="AA393" s="104" t="str">
        <f t="shared" si="71"/>
        <v/>
      </c>
      <c r="AB393" s="104">
        <f t="shared" si="72"/>
        <v>1</v>
      </c>
    </row>
    <row r="394" spans="1:28" x14ac:dyDescent="0.25">
      <c r="A394" s="55" t="s">
        <v>3231</v>
      </c>
      <c r="B394" s="57"/>
      <c r="C394" s="57"/>
      <c r="D394" s="57"/>
      <c r="E394" s="57">
        <v>1</v>
      </c>
      <c r="F394" s="57"/>
      <c r="G394" s="57"/>
      <c r="H394" s="57"/>
      <c r="I394" s="57"/>
      <c r="J394" s="57"/>
      <c r="K394" s="57"/>
      <c r="L394" s="57"/>
      <c r="Q394">
        <f t="shared" si="73"/>
        <v>0</v>
      </c>
      <c r="R394">
        <f t="shared" si="74"/>
        <v>0</v>
      </c>
      <c r="S394">
        <f t="shared" si="75"/>
        <v>1</v>
      </c>
      <c r="T394">
        <f t="shared" si="76"/>
        <v>0</v>
      </c>
      <c r="U394">
        <f t="shared" si="77"/>
        <v>0</v>
      </c>
      <c r="V394">
        <f t="shared" si="78"/>
        <v>0</v>
      </c>
      <c r="Y394" t="str">
        <f t="shared" si="69"/>
        <v>Czech Republic</v>
      </c>
      <c r="Z394" s="104" t="str">
        <f t="shared" si="70"/>
        <v/>
      </c>
      <c r="AA394" s="104">
        <f t="shared" si="71"/>
        <v>0</v>
      </c>
      <c r="AB394" s="104" t="str">
        <f t="shared" si="72"/>
        <v/>
      </c>
    </row>
    <row r="395" spans="1:28" x14ac:dyDescent="0.25">
      <c r="A395" s="55" t="s">
        <v>3249</v>
      </c>
      <c r="B395" s="57"/>
      <c r="C395" s="57"/>
      <c r="D395" s="57"/>
      <c r="E395" s="57"/>
      <c r="F395" s="57"/>
      <c r="G395" s="57"/>
      <c r="H395" s="57">
        <v>1</v>
      </c>
      <c r="I395" s="57"/>
      <c r="J395" s="57"/>
      <c r="K395" s="57"/>
      <c r="L395" s="57"/>
      <c r="Q395">
        <f t="shared" si="73"/>
        <v>0</v>
      </c>
      <c r="R395">
        <f t="shared" si="74"/>
        <v>0</v>
      </c>
      <c r="S395">
        <f t="shared" si="75"/>
        <v>0</v>
      </c>
      <c r="T395">
        <f t="shared" si="76"/>
        <v>0</v>
      </c>
      <c r="U395">
        <f t="shared" si="77"/>
        <v>1</v>
      </c>
      <c r="V395">
        <f t="shared" si="78"/>
        <v>0</v>
      </c>
      <c r="Y395" t="str">
        <f t="shared" si="69"/>
        <v>Denmark</v>
      </c>
      <c r="Z395" s="104" t="str">
        <f t="shared" si="70"/>
        <v/>
      </c>
      <c r="AA395" s="104" t="str">
        <f t="shared" si="71"/>
        <v/>
      </c>
      <c r="AB395" s="104">
        <f t="shared" si="72"/>
        <v>0</v>
      </c>
    </row>
    <row r="396" spans="1:28" x14ac:dyDescent="0.25">
      <c r="A396" s="55" t="s">
        <v>3546</v>
      </c>
      <c r="B396" s="57"/>
      <c r="C396" s="57"/>
      <c r="D396" s="57"/>
      <c r="E396" s="57">
        <v>2</v>
      </c>
      <c r="F396" s="57">
        <v>6</v>
      </c>
      <c r="G396" s="57"/>
      <c r="H396" s="57">
        <v>2</v>
      </c>
      <c r="I396" s="57">
        <v>8</v>
      </c>
      <c r="J396" s="57"/>
      <c r="K396" s="57"/>
      <c r="L396" s="57"/>
      <c r="Q396">
        <f t="shared" si="73"/>
        <v>0</v>
      </c>
      <c r="R396">
        <f t="shared" si="74"/>
        <v>0</v>
      </c>
      <c r="S396">
        <f t="shared" si="75"/>
        <v>2</v>
      </c>
      <c r="T396">
        <f t="shared" si="76"/>
        <v>6</v>
      </c>
      <c r="U396">
        <f t="shared" si="77"/>
        <v>2</v>
      </c>
      <c r="V396">
        <f t="shared" si="78"/>
        <v>8</v>
      </c>
      <c r="Y396" t="str">
        <f t="shared" si="69"/>
        <v>Egypt</v>
      </c>
      <c r="Z396" s="104" t="str">
        <f t="shared" si="70"/>
        <v/>
      </c>
      <c r="AA396" s="104">
        <f t="shared" si="71"/>
        <v>0.75</v>
      </c>
      <c r="AB396" s="104">
        <f t="shared" si="72"/>
        <v>0.8</v>
      </c>
    </row>
    <row r="397" spans="1:28" x14ac:dyDescent="0.25">
      <c r="A397" s="55" t="s">
        <v>4293</v>
      </c>
      <c r="B397" s="57"/>
      <c r="C397" s="57"/>
      <c r="D397" s="57"/>
      <c r="E397" s="57">
        <v>1</v>
      </c>
      <c r="F397" s="57">
        <v>3</v>
      </c>
      <c r="G397" s="57"/>
      <c r="H397" s="57"/>
      <c r="I397" s="57"/>
      <c r="J397" s="57"/>
      <c r="K397" s="57"/>
      <c r="L397" s="57"/>
      <c r="Q397">
        <f t="shared" si="73"/>
        <v>0</v>
      </c>
      <c r="R397">
        <f t="shared" si="74"/>
        <v>0</v>
      </c>
      <c r="S397">
        <f t="shared" si="75"/>
        <v>1</v>
      </c>
      <c r="T397">
        <f t="shared" si="76"/>
        <v>3</v>
      </c>
      <c r="U397">
        <f t="shared" si="77"/>
        <v>0</v>
      </c>
      <c r="V397">
        <f t="shared" si="78"/>
        <v>0</v>
      </c>
      <c r="Y397" t="str">
        <f t="shared" si="69"/>
        <v>France</v>
      </c>
      <c r="Z397" s="104" t="str">
        <f t="shared" si="70"/>
        <v/>
      </c>
      <c r="AA397" s="104">
        <f t="shared" si="71"/>
        <v>0.75</v>
      </c>
      <c r="AB397" s="104" t="str">
        <f t="shared" si="72"/>
        <v/>
      </c>
    </row>
    <row r="398" spans="1:28" x14ac:dyDescent="0.25">
      <c r="A398" s="55" t="s">
        <v>4346</v>
      </c>
      <c r="B398" s="57"/>
      <c r="C398" s="57"/>
      <c r="D398" s="57"/>
      <c r="E398" s="57"/>
      <c r="F398" s="57">
        <v>2</v>
      </c>
      <c r="G398" s="57"/>
      <c r="H398" s="57"/>
      <c r="I398" s="57">
        <v>1</v>
      </c>
      <c r="J398" s="57"/>
      <c r="K398" s="57"/>
      <c r="L398" s="57"/>
      <c r="Q398">
        <f t="shared" si="73"/>
        <v>0</v>
      </c>
      <c r="R398">
        <f t="shared" si="74"/>
        <v>0</v>
      </c>
      <c r="S398">
        <f t="shared" si="75"/>
        <v>0</v>
      </c>
      <c r="T398">
        <f t="shared" si="76"/>
        <v>2</v>
      </c>
      <c r="U398">
        <f t="shared" si="77"/>
        <v>0</v>
      </c>
      <c r="V398">
        <f t="shared" si="78"/>
        <v>1</v>
      </c>
      <c r="Y398" t="str">
        <f t="shared" si="69"/>
        <v>Georgia</v>
      </c>
      <c r="Z398" s="104" t="str">
        <f t="shared" si="70"/>
        <v/>
      </c>
      <c r="AA398" s="104">
        <f t="shared" si="71"/>
        <v>1</v>
      </c>
      <c r="AB398" s="104">
        <f t="shared" si="72"/>
        <v>1</v>
      </c>
    </row>
    <row r="399" spans="1:28" x14ac:dyDescent="0.25">
      <c r="A399" s="55" t="s">
        <v>4428</v>
      </c>
      <c r="B399" s="57"/>
      <c r="C399" s="57"/>
      <c r="D399" s="57"/>
      <c r="E399" s="57"/>
      <c r="F399" s="57">
        <v>3</v>
      </c>
      <c r="G399" s="57"/>
      <c r="H399" s="57"/>
      <c r="I399" s="57"/>
      <c r="J399" s="57"/>
      <c r="K399" s="57"/>
      <c r="L399" s="57"/>
      <c r="Q399">
        <f t="shared" si="73"/>
        <v>0</v>
      </c>
      <c r="R399">
        <f t="shared" si="74"/>
        <v>0</v>
      </c>
      <c r="S399">
        <f t="shared" si="75"/>
        <v>0</v>
      </c>
      <c r="T399">
        <f t="shared" si="76"/>
        <v>3</v>
      </c>
      <c r="U399">
        <f t="shared" si="77"/>
        <v>0</v>
      </c>
      <c r="V399">
        <f t="shared" si="78"/>
        <v>0</v>
      </c>
      <c r="Y399" t="str">
        <f t="shared" si="69"/>
        <v>Germany</v>
      </c>
      <c r="Z399" s="104" t="str">
        <f t="shared" si="70"/>
        <v/>
      </c>
      <c r="AA399" s="104">
        <f t="shared" si="71"/>
        <v>1</v>
      </c>
      <c r="AB399" s="104" t="str">
        <f t="shared" si="72"/>
        <v/>
      </c>
    </row>
    <row r="400" spans="1:28" x14ac:dyDescent="0.25">
      <c r="A400" s="55" t="s">
        <v>4743</v>
      </c>
      <c r="B400" s="57"/>
      <c r="C400" s="57"/>
      <c r="D400" s="57"/>
      <c r="E400" s="57"/>
      <c r="F400" s="57">
        <v>1</v>
      </c>
      <c r="G400" s="57"/>
      <c r="H400" s="57"/>
      <c r="I400" s="57"/>
      <c r="J400" s="57"/>
      <c r="K400" s="57"/>
      <c r="L400" s="57"/>
      <c r="Q400">
        <f t="shared" si="73"/>
        <v>0</v>
      </c>
      <c r="R400">
        <f t="shared" si="74"/>
        <v>0</v>
      </c>
      <c r="S400">
        <f t="shared" si="75"/>
        <v>0</v>
      </c>
      <c r="T400">
        <f t="shared" si="76"/>
        <v>1</v>
      </c>
      <c r="U400">
        <f t="shared" si="77"/>
        <v>0</v>
      </c>
      <c r="V400">
        <f t="shared" si="78"/>
        <v>0</v>
      </c>
      <c r="Y400" t="str">
        <f t="shared" si="69"/>
        <v>Greece</v>
      </c>
      <c r="Z400" s="104" t="str">
        <f t="shared" si="70"/>
        <v/>
      </c>
      <c r="AA400" s="104">
        <f t="shared" si="71"/>
        <v>1</v>
      </c>
      <c r="AB400" s="104" t="str">
        <f t="shared" si="72"/>
        <v/>
      </c>
    </row>
    <row r="401" spans="1:28" x14ac:dyDescent="0.25">
      <c r="A401" s="55" t="s">
        <v>6024</v>
      </c>
      <c r="B401" s="57"/>
      <c r="C401" s="57"/>
      <c r="D401" s="57"/>
      <c r="E401" s="57"/>
      <c r="F401" s="57">
        <v>6</v>
      </c>
      <c r="G401" s="57"/>
      <c r="H401" s="57"/>
      <c r="I401" s="57">
        <v>1</v>
      </c>
      <c r="J401" s="57"/>
      <c r="K401" s="57"/>
      <c r="L401" s="57"/>
      <c r="Q401">
        <f t="shared" si="73"/>
        <v>0</v>
      </c>
      <c r="R401">
        <f t="shared" si="74"/>
        <v>0</v>
      </c>
      <c r="S401">
        <f t="shared" si="75"/>
        <v>0</v>
      </c>
      <c r="T401">
        <f t="shared" si="76"/>
        <v>6</v>
      </c>
      <c r="U401">
        <f t="shared" si="77"/>
        <v>0</v>
      </c>
      <c r="V401">
        <f t="shared" si="78"/>
        <v>1</v>
      </c>
      <c r="Y401" t="str">
        <f t="shared" si="69"/>
        <v>Iraq</v>
      </c>
      <c r="Z401" s="104" t="str">
        <f t="shared" si="70"/>
        <v/>
      </c>
      <c r="AA401" s="104">
        <f t="shared" si="71"/>
        <v>1</v>
      </c>
      <c r="AB401" s="104">
        <f t="shared" si="72"/>
        <v>1</v>
      </c>
    </row>
    <row r="402" spans="1:28" x14ac:dyDescent="0.25">
      <c r="A402" s="55" t="s">
        <v>6105</v>
      </c>
      <c r="B402" s="57"/>
      <c r="C402" s="57"/>
      <c r="D402" s="57"/>
      <c r="E402" s="57"/>
      <c r="F402" s="57">
        <v>4</v>
      </c>
      <c r="G402" s="57"/>
      <c r="H402" s="57"/>
      <c r="I402" s="57">
        <v>16</v>
      </c>
      <c r="J402" s="57"/>
      <c r="K402" s="57"/>
      <c r="L402" s="57"/>
      <c r="Q402">
        <f t="shared" si="73"/>
        <v>0</v>
      </c>
      <c r="R402">
        <f t="shared" si="74"/>
        <v>0</v>
      </c>
      <c r="S402">
        <f t="shared" si="75"/>
        <v>0</v>
      </c>
      <c r="T402">
        <f t="shared" si="76"/>
        <v>4</v>
      </c>
      <c r="U402">
        <f t="shared" si="77"/>
        <v>0</v>
      </c>
      <c r="V402">
        <f t="shared" si="78"/>
        <v>16</v>
      </c>
      <c r="Y402" t="str">
        <f t="shared" si="69"/>
        <v>Jordan</v>
      </c>
      <c r="Z402" s="104" t="str">
        <f t="shared" si="70"/>
        <v/>
      </c>
      <c r="AA402" s="104">
        <f t="shared" si="71"/>
        <v>1</v>
      </c>
      <c r="AB402" s="104">
        <f t="shared" si="72"/>
        <v>1</v>
      </c>
    </row>
    <row r="403" spans="1:28" x14ac:dyDescent="0.25">
      <c r="A403" s="55" t="s">
        <v>6805</v>
      </c>
      <c r="B403" s="57"/>
      <c r="C403" s="57"/>
      <c r="D403" s="57"/>
      <c r="E403" s="57"/>
      <c r="F403" s="57">
        <v>2</v>
      </c>
      <c r="G403" s="57"/>
      <c r="H403" s="57"/>
      <c r="I403" s="57">
        <v>1</v>
      </c>
      <c r="J403" s="57"/>
      <c r="K403" s="57"/>
      <c r="L403" s="57"/>
      <c r="Q403">
        <f t="shared" si="73"/>
        <v>0</v>
      </c>
      <c r="R403">
        <f t="shared" si="74"/>
        <v>0</v>
      </c>
      <c r="S403">
        <f t="shared" si="75"/>
        <v>0</v>
      </c>
      <c r="T403">
        <f t="shared" si="76"/>
        <v>2</v>
      </c>
      <c r="U403">
        <f t="shared" si="77"/>
        <v>0</v>
      </c>
      <c r="V403">
        <f t="shared" si="78"/>
        <v>1</v>
      </c>
      <c r="Y403" t="str">
        <f t="shared" si="69"/>
        <v>Kosovo</v>
      </c>
      <c r="Z403" s="104" t="str">
        <f t="shared" si="70"/>
        <v/>
      </c>
      <c r="AA403" s="104">
        <f t="shared" si="71"/>
        <v>1</v>
      </c>
      <c r="AB403" s="104">
        <f t="shared" si="72"/>
        <v>1</v>
      </c>
    </row>
    <row r="404" spans="1:28" x14ac:dyDescent="0.25">
      <c r="A404" s="55" t="s">
        <v>7083</v>
      </c>
      <c r="B404" s="57">
        <v>3</v>
      </c>
      <c r="C404" s="57">
        <v>1</v>
      </c>
      <c r="D404" s="57"/>
      <c r="E404" s="57"/>
      <c r="F404" s="57">
        <v>2</v>
      </c>
      <c r="G404" s="57"/>
      <c r="H404" s="57"/>
      <c r="I404" s="57"/>
      <c r="J404" s="57"/>
      <c r="K404" s="57"/>
      <c r="L404" s="57"/>
      <c r="Q404">
        <f t="shared" si="73"/>
        <v>3</v>
      </c>
      <c r="R404">
        <f t="shared" si="74"/>
        <v>1</v>
      </c>
      <c r="S404">
        <f t="shared" si="75"/>
        <v>0</v>
      </c>
      <c r="T404">
        <f t="shared" si="76"/>
        <v>2</v>
      </c>
      <c r="U404">
        <f t="shared" si="77"/>
        <v>0</v>
      </c>
      <c r="V404">
        <f t="shared" si="78"/>
        <v>0</v>
      </c>
      <c r="Y404" t="str">
        <f t="shared" si="69"/>
        <v>Lebanon</v>
      </c>
      <c r="Z404" s="104">
        <f t="shared" si="70"/>
        <v>0.25</v>
      </c>
      <c r="AA404" s="104">
        <f t="shared" si="71"/>
        <v>1</v>
      </c>
      <c r="AB404" s="104" t="str">
        <f t="shared" si="72"/>
        <v/>
      </c>
    </row>
    <row r="405" spans="1:28" x14ac:dyDescent="0.25">
      <c r="A405" s="55" t="s">
        <v>7194</v>
      </c>
      <c r="B405" s="57"/>
      <c r="C405" s="57"/>
      <c r="D405" s="57"/>
      <c r="E405" s="57"/>
      <c r="F405" s="57"/>
      <c r="G405" s="57"/>
      <c r="H405" s="57"/>
      <c r="I405" s="57">
        <v>1</v>
      </c>
      <c r="J405" s="57"/>
      <c r="K405" s="57"/>
      <c r="L405" s="57"/>
      <c r="Q405">
        <f t="shared" si="73"/>
        <v>0</v>
      </c>
      <c r="R405">
        <f t="shared" si="74"/>
        <v>0</v>
      </c>
      <c r="S405">
        <f t="shared" si="75"/>
        <v>0</v>
      </c>
      <c r="T405">
        <f t="shared" si="76"/>
        <v>0</v>
      </c>
      <c r="U405">
        <f t="shared" si="77"/>
        <v>0</v>
      </c>
      <c r="V405">
        <f t="shared" si="78"/>
        <v>1</v>
      </c>
      <c r="Y405" t="str">
        <f t="shared" si="69"/>
        <v>Macedonia</v>
      </c>
      <c r="Z405" s="104" t="str">
        <f t="shared" si="70"/>
        <v/>
      </c>
      <c r="AA405" s="104" t="str">
        <f t="shared" si="71"/>
        <v/>
      </c>
      <c r="AB405" s="104">
        <f t="shared" si="72"/>
        <v>1</v>
      </c>
    </row>
    <row r="406" spans="1:28" x14ac:dyDescent="0.25">
      <c r="A406" s="55" t="s">
        <v>8140</v>
      </c>
      <c r="B406" s="57"/>
      <c r="C406" s="57"/>
      <c r="D406" s="57"/>
      <c r="E406" s="57"/>
      <c r="F406" s="57">
        <v>2</v>
      </c>
      <c r="G406" s="57"/>
      <c r="H406" s="57"/>
      <c r="I406" s="57">
        <v>1</v>
      </c>
      <c r="J406" s="57"/>
      <c r="K406" s="57"/>
      <c r="L406" s="57"/>
      <c r="Q406">
        <f t="shared" si="73"/>
        <v>0</v>
      </c>
      <c r="R406">
        <f t="shared" si="74"/>
        <v>0</v>
      </c>
      <c r="S406">
        <f t="shared" si="75"/>
        <v>0</v>
      </c>
      <c r="T406">
        <f t="shared" si="76"/>
        <v>2</v>
      </c>
      <c r="U406">
        <f t="shared" si="77"/>
        <v>0</v>
      </c>
      <c r="V406">
        <f t="shared" si="78"/>
        <v>1</v>
      </c>
      <c r="Y406" t="str">
        <f t="shared" si="69"/>
        <v>Montenegro</v>
      </c>
      <c r="Z406" s="104" t="str">
        <f t="shared" si="70"/>
        <v/>
      </c>
      <c r="AA406" s="104">
        <f t="shared" si="71"/>
        <v>1</v>
      </c>
      <c r="AB406" s="104">
        <f t="shared" si="72"/>
        <v>1</v>
      </c>
    </row>
    <row r="407" spans="1:28" x14ac:dyDescent="0.25">
      <c r="A407" s="55" t="s">
        <v>8180</v>
      </c>
      <c r="B407" s="57"/>
      <c r="C407" s="57"/>
      <c r="D407" s="57"/>
      <c r="E407" s="57"/>
      <c r="F407" s="57">
        <v>3</v>
      </c>
      <c r="G407" s="57"/>
      <c r="H407" s="57"/>
      <c r="I407" s="57">
        <v>2</v>
      </c>
      <c r="J407" s="57"/>
      <c r="K407" s="57"/>
      <c r="L407" s="57"/>
      <c r="Q407">
        <f t="shared" si="73"/>
        <v>0</v>
      </c>
      <c r="R407">
        <f t="shared" si="74"/>
        <v>0</v>
      </c>
      <c r="S407">
        <f t="shared" si="75"/>
        <v>0</v>
      </c>
      <c r="T407">
        <f t="shared" si="76"/>
        <v>3</v>
      </c>
      <c r="U407">
        <f t="shared" si="77"/>
        <v>0</v>
      </c>
      <c r="V407">
        <f t="shared" si="78"/>
        <v>2</v>
      </c>
      <c r="Y407" t="str">
        <f t="shared" si="69"/>
        <v>Morocco</v>
      </c>
      <c r="Z407" s="104" t="str">
        <f t="shared" si="70"/>
        <v/>
      </c>
      <c r="AA407" s="104">
        <f t="shared" si="71"/>
        <v>1</v>
      </c>
      <c r="AB407" s="104">
        <f t="shared" si="72"/>
        <v>1</v>
      </c>
    </row>
    <row r="408" spans="1:28" x14ac:dyDescent="0.25">
      <c r="A408" s="55" t="s">
        <v>9020</v>
      </c>
      <c r="B408" s="57"/>
      <c r="C408" s="57"/>
      <c r="D408" s="57"/>
      <c r="E408" s="57"/>
      <c r="F408" s="57"/>
      <c r="G408" s="57"/>
      <c r="H408" s="57"/>
      <c r="I408" s="57"/>
      <c r="J408" s="57"/>
      <c r="K408" s="57"/>
      <c r="L408" s="57"/>
      <c r="Q408">
        <f t="shared" si="73"/>
        <v>0</v>
      </c>
      <c r="R408">
        <f t="shared" si="74"/>
        <v>0</v>
      </c>
      <c r="S408">
        <f t="shared" si="75"/>
        <v>0</v>
      </c>
      <c r="T408">
        <f t="shared" si="76"/>
        <v>0</v>
      </c>
      <c r="U408">
        <f t="shared" si="77"/>
        <v>0</v>
      </c>
      <c r="V408">
        <f t="shared" si="78"/>
        <v>0</v>
      </c>
      <c r="Y408" t="str">
        <f t="shared" si="69"/>
        <v>Netherlands</v>
      </c>
      <c r="Z408" s="104" t="str">
        <f t="shared" si="70"/>
        <v/>
      </c>
      <c r="AA408" s="104" t="str">
        <f t="shared" si="71"/>
        <v/>
      </c>
      <c r="AB408" s="104" t="str">
        <f t="shared" si="72"/>
        <v/>
      </c>
    </row>
    <row r="409" spans="1:28" x14ac:dyDescent="0.25">
      <c r="A409" s="55" t="s">
        <v>9409</v>
      </c>
      <c r="B409" s="57"/>
      <c r="C409" s="57"/>
      <c r="D409" s="57"/>
      <c r="E409" s="57"/>
      <c r="F409" s="57"/>
      <c r="G409" s="57"/>
      <c r="H409" s="57"/>
      <c r="I409" s="57">
        <v>1</v>
      </c>
      <c r="J409" s="57"/>
      <c r="K409" s="57"/>
      <c r="L409" s="57"/>
      <c r="Q409">
        <f t="shared" si="73"/>
        <v>0</v>
      </c>
      <c r="R409">
        <f t="shared" si="74"/>
        <v>0</v>
      </c>
      <c r="S409">
        <f t="shared" si="75"/>
        <v>0</v>
      </c>
      <c r="T409">
        <f t="shared" si="76"/>
        <v>0</v>
      </c>
      <c r="U409">
        <f t="shared" si="77"/>
        <v>0</v>
      </c>
      <c r="V409">
        <f t="shared" si="78"/>
        <v>1</v>
      </c>
      <c r="Y409" t="str">
        <f t="shared" si="69"/>
        <v>Norway</v>
      </c>
      <c r="Z409" s="104" t="str">
        <f t="shared" si="70"/>
        <v/>
      </c>
      <c r="AA409" s="104" t="str">
        <f t="shared" si="71"/>
        <v/>
      </c>
      <c r="AB409" s="104">
        <f t="shared" si="72"/>
        <v>1</v>
      </c>
    </row>
    <row r="410" spans="1:28" x14ac:dyDescent="0.25">
      <c r="A410" s="55" t="s">
        <v>10350</v>
      </c>
      <c r="B410" s="57"/>
      <c r="C410" s="57"/>
      <c r="D410" s="57"/>
      <c r="E410" s="57"/>
      <c r="F410" s="57">
        <v>1</v>
      </c>
      <c r="G410" s="57"/>
      <c r="H410" s="57"/>
      <c r="I410" s="57"/>
      <c r="J410" s="57"/>
      <c r="K410" s="57"/>
      <c r="L410" s="57"/>
      <c r="Q410">
        <f t="shared" si="73"/>
        <v>0</v>
      </c>
      <c r="R410">
        <f t="shared" si="74"/>
        <v>0</v>
      </c>
      <c r="S410">
        <f t="shared" si="75"/>
        <v>0</v>
      </c>
      <c r="T410">
        <f t="shared" si="76"/>
        <v>1</v>
      </c>
      <c r="U410">
        <f t="shared" si="77"/>
        <v>0</v>
      </c>
      <c r="V410">
        <f t="shared" si="78"/>
        <v>0</v>
      </c>
      <c r="Y410" t="str">
        <f t="shared" si="69"/>
        <v>Romania</v>
      </c>
      <c r="Z410" s="104" t="str">
        <f t="shared" si="70"/>
        <v/>
      </c>
      <c r="AA410" s="104">
        <f t="shared" si="71"/>
        <v>1</v>
      </c>
      <c r="AB410" s="104" t="str">
        <f t="shared" si="72"/>
        <v/>
      </c>
    </row>
    <row r="411" spans="1:28" x14ac:dyDescent="0.25">
      <c r="A411" s="55" t="s">
        <v>10558</v>
      </c>
      <c r="B411" s="57"/>
      <c r="C411" s="57"/>
      <c r="D411" s="57"/>
      <c r="E411" s="57"/>
      <c r="F411" s="57">
        <v>5</v>
      </c>
      <c r="G411" s="57"/>
      <c r="H411" s="57"/>
      <c r="I411" s="57">
        <v>2</v>
      </c>
      <c r="J411" s="57"/>
      <c r="K411" s="57"/>
      <c r="L411" s="57"/>
      <c r="Q411">
        <f t="shared" si="73"/>
        <v>0</v>
      </c>
      <c r="R411">
        <f t="shared" si="74"/>
        <v>0</v>
      </c>
      <c r="S411">
        <f t="shared" si="75"/>
        <v>0</v>
      </c>
      <c r="T411">
        <f t="shared" si="76"/>
        <v>5</v>
      </c>
      <c r="U411">
        <f t="shared" si="77"/>
        <v>0</v>
      </c>
      <c r="V411">
        <f t="shared" si="78"/>
        <v>2</v>
      </c>
      <c r="Y411" t="str">
        <f t="shared" si="69"/>
        <v>Serbia</v>
      </c>
      <c r="Z411" s="104" t="str">
        <f t="shared" si="70"/>
        <v/>
      </c>
      <c r="AA411" s="104">
        <f t="shared" si="71"/>
        <v>1</v>
      </c>
      <c r="AB411" s="104">
        <f t="shared" si="72"/>
        <v>1</v>
      </c>
    </row>
    <row r="412" spans="1:28" x14ac:dyDescent="0.25">
      <c r="A412" s="55" t="s">
        <v>11664</v>
      </c>
      <c r="B412" s="57"/>
      <c r="C412" s="57"/>
      <c r="D412" s="57"/>
      <c r="E412" s="57"/>
      <c r="F412" s="57"/>
      <c r="G412" s="57"/>
      <c r="H412" s="57"/>
      <c r="I412" s="57"/>
      <c r="J412" s="57"/>
      <c r="K412" s="57"/>
      <c r="L412" s="57"/>
      <c r="Q412">
        <f t="shared" si="73"/>
        <v>0</v>
      </c>
      <c r="R412">
        <f t="shared" si="74"/>
        <v>0</v>
      </c>
      <c r="S412">
        <f t="shared" si="75"/>
        <v>0</v>
      </c>
      <c r="T412">
        <f t="shared" si="76"/>
        <v>0</v>
      </c>
      <c r="U412">
        <f t="shared" si="77"/>
        <v>0</v>
      </c>
      <c r="V412">
        <f t="shared" si="78"/>
        <v>0</v>
      </c>
      <c r="Y412" t="str">
        <f t="shared" si="69"/>
        <v>Switzerland</v>
      </c>
      <c r="Z412" s="104" t="str">
        <f t="shared" si="70"/>
        <v/>
      </c>
      <c r="AA412" s="104" t="str">
        <f t="shared" si="71"/>
        <v/>
      </c>
      <c r="AB412" s="104" t="str">
        <f t="shared" si="72"/>
        <v/>
      </c>
    </row>
    <row r="413" spans="1:28" x14ac:dyDescent="0.25">
      <c r="A413" s="55" t="s">
        <v>11693</v>
      </c>
      <c r="B413" s="57"/>
      <c r="C413" s="57"/>
      <c r="D413" s="57"/>
      <c r="E413" s="57">
        <v>2</v>
      </c>
      <c r="F413" s="57">
        <v>30</v>
      </c>
      <c r="G413" s="57"/>
      <c r="H413" s="57"/>
      <c r="I413" s="57">
        <v>1</v>
      </c>
      <c r="J413" s="57"/>
      <c r="K413" s="57"/>
      <c r="L413" s="57"/>
      <c r="Q413">
        <f t="shared" si="73"/>
        <v>0</v>
      </c>
      <c r="R413">
        <f t="shared" si="74"/>
        <v>0</v>
      </c>
      <c r="S413">
        <f t="shared" si="75"/>
        <v>2</v>
      </c>
      <c r="T413">
        <f t="shared" si="76"/>
        <v>30</v>
      </c>
      <c r="U413">
        <f t="shared" si="77"/>
        <v>0</v>
      </c>
      <c r="V413">
        <f t="shared" si="78"/>
        <v>1</v>
      </c>
      <c r="Y413" t="str">
        <f t="shared" si="69"/>
        <v>Syria</v>
      </c>
      <c r="Z413" s="104" t="str">
        <f t="shared" si="70"/>
        <v/>
      </c>
      <c r="AA413" s="104">
        <f t="shared" si="71"/>
        <v>0.9375</v>
      </c>
      <c r="AB413" s="104">
        <f t="shared" si="72"/>
        <v>1</v>
      </c>
    </row>
    <row r="414" spans="1:28" x14ac:dyDescent="0.25">
      <c r="A414" s="55" t="s">
        <v>12654</v>
      </c>
      <c r="B414" s="57"/>
      <c r="C414" s="57"/>
      <c r="D414" s="57"/>
      <c r="E414" s="57"/>
      <c r="F414" s="57"/>
      <c r="G414" s="57"/>
      <c r="H414" s="57"/>
      <c r="I414" s="57"/>
      <c r="J414" s="57"/>
      <c r="K414" s="57"/>
      <c r="L414" s="57"/>
      <c r="Q414">
        <f t="shared" si="73"/>
        <v>0</v>
      </c>
      <c r="R414">
        <f t="shared" si="74"/>
        <v>0</v>
      </c>
      <c r="S414">
        <f t="shared" si="75"/>
        <v>0</v>
      </c>
      <c r="T414">
        <f t="shared" si="76"/>
        <v>0</v>
      </c>
      <c r="U414">
        <f t="shared" si="77"/>
        <v>0</v>
      </c>
      <c r="V414">
        <f t="shared" si="78"/>
        <v>0</v>
      </c>
      <c r="Y414" t="str">
        <f t="shared" si="69"/>
        <v>Turkey</v>
      </c>
      <c r="Z414" s="104" t="str">
        <f t="shared" si="70"/>
        <v/>
      </c>
      <c r="AA414" s="104" t="str">
        <f t="shared" si="71"/>
        <v/>
      </c>
      <c r="AB414" s="104" t="str">
        <f t="shared" si="72"/>
        <v/>
      </c>
    </row>
    <row r="415" spans="1:28" x14ac:dyDescent="0.25">
      <c r="A415" s="55" t="s">
        <v>12907</v>
      </c>
      <c r="B415" s="57">
        <v>1</v>
      </c>
      <c r="C415" s="57"/>
      <c r="D415" s="57"/>
      <c r="E415" s="57"/>
      <c r="F415" s="57"/>
      <c r="G415" s="57"/>
      <c r="H415" s="57"/>
      <c r="I415" s="57"/>
      <c r="J415" s="57"/>
      <c r="K415" s="57"/>
      <c r="L415" s="57"/>
      <c r="Q415">
        <f t="shared" si="73"/>
        <v>1</v>
      </c>
      <c r="R415">
        <f t="shared" si="74"/>
        <v>0</v>
      </c>
      <c r="S415">
        <f t="shared" si="75"/>
        <v>0</v>
      </c>
      <c r="T415">
        <f t="shared" si="76"/>
        <v>0</v>
      </c>
      <c r="U415">
        <f t="shared" si="77"/>
        <v>0</v>
      </c>
      <c r="V415">
        <f t="shared" si="78"/>
        <v>0</v>
      </c>
      <c r="Y415" t="str">
        <f t="shared" si="69"/>
        <v>United Kingdom</v>
      </c>
      <c r="Z415" s="104">
        <f t="shared" si="70"/>
        <v>0</v>
      </c>
      <c r="AA415" s="104" t="str">
        <f t="shared" si="71"/>
        <v/>
      </c>
      <c r="AB415" s="104" t="str">
        <f t="shared" si="72"/>
        <v/>
      </c>
    </row>
    <row r="416" spans="1:28" x14ac:dyDescent="0.25">
      <c r="A416" s="55" t="s">
        <v>13710</v>
      </c>
      <c r="B416" s="57"/>
      <c r="C416" s="57"/>
      <c r="D416" s="57"/>
      <c r="E416" s="57"/>
      <c r="F416" s="57">
        <v>4</v>
      </c>
      <c r="G416" s="57"/>
      <c r="H416" s="57"/>
      <c r="I416" s="57">
        <v>3</v>
      </c>
      <c r="J416" s="57"/>
      <c r="K416" s="57"/>
      <c r="L416" s="57"/>
      <c r="Q416">
        <f t="shared" si="73"/>
        <v>0</v>
      </c>
      <c r="R416">
        <f t="shared" si="74"/>
        <v>0</v>
      </c>
      <c r="S416">
        <f t="shared" si="75"/>
        <v>0</v>
      </c>
      <c r="T416">
        <f t="shared" si="76"/>
        <v>4</v>
      </c>
      <c r="U416">
        <f t="shared" si="77"/>
        <v>0</v>
      </c>
      <c r="V416">
        <f t="shared" si="78"/>
        <v>3</v>
      </c>
      <c r="Y416" t="str">
        <f t="shared" si="69"/>
        <v>West Bank and Gaza</v>
      </c>
      <c r="Z416" s="104" t="str">
        <f t="shared" si="70"/>
        <v/>
      </c>
      <c r="AA416" s="104">
        <f t="shared" si="71"/>
        <v>1</v>
      </c>
      <c r="AB416" s="104">
        <f t="shared" si="72"/>
        <v>1</v>
      </c>
    </row>
    <row r="417" spans="1:37" x14ac:dyDescent="0.25">
      <c r="A417" s="55" t="s">
        <v>13783</v>
      </c>
      <c r="B417" s="57"/>
      <c r="C417" s="57"/>
      <c r="D417" s="57"/>
      <c r="E417" s="57"/>
      <c r="F417" s="57">
        <v>17</v>
      </c>
      <c r="G417" s="57"/>
      <c r="H417" s="57"/>
      <c r="I417" s="57"/>
      <c r="J417" s="57"/>
      <c r="K417" s="57"/>
      <c r="L417" s="57"/>
      <c r="Q417">
        <f t="shared" si="73"/>
        <v>0</v>
      </c>
      <c r="R417">
        <f t="shared" si="74"/>
        <v>0</v>
      </c>
      <c r="S417">
        <f t="shared" si="75"/>
        <v>0</v>
      </c>
      <c r="T417">
        <f t="shared" si="76"/>
        <v>17</v>
      </c>
      <c r="U417">
        <f t="shared" si="77"/>
        <v>0</v>
      </c>
      <c r="V417">
        <f t="shared" si="78"/>
        <v>0</v>
      </c>
      <c r="Y417" t="str">
        <f t="shared" si="69"/>
        <v>Yemen</v>
      </c>
      <c r="Z417" s="104" t="str">
        <f t="shared" si="70"/>
        <v/>
      </c>
      <c r="AA417" s="104">
        <f t="shared" si="71"/>
        <v>1</v>
      </c>
      <c r="AB417" s="104" t="str">
        <f t="shared" si="72"/>
        <v/>
      </c>
    </row>
    <row r="418" spans="1:37" x14ac:dyDescent="0.25">
      <c r="A418" s="50" t="s">
        <v>14281</v>
      </c>
      <c r="B418" s="57">
        <v>4</v>
      </c>
      <c r="C418" s="57">
        <v>1</v>
      </c>
      <c r="D418" s="57"/>
      <c r="E418" s="57">
        <v>6</v>
      </c>
      <c r="F418" s="57">
        <v>91</v>
      </c>
      <c r="G418" s="57"/>
      <c r="H418" s="57">
        <v>3</v>
      </c>
      <c r="I418" s="57">
        <v>46</v>
      </c>
      <c r="J418" s="57"/>
      <c r="K418" s="57"/>
      <c r="L418" s="57"/>
      <c r="Q418">
        <f t="shared" si="73"/>
        <v>4</v>
      </c>
      <c r="R418">
        <f t="shared" si="74"/>
        <v>1</v>
      </c>
      <c r="S418">
        <f t="shared" si="75"/>
        <v>6</v>
      </c>
      <c r="T418">
        <f t="shared" si="76"/>
        <v>91</v>
      </c>
      <c r="U418">
        <f t="shared" si="77"/>
        <v>3</v>
      </c>
      <c r="V418">
        <f t="shared" si="78"/>
        <v>46</v>
      </c>
      <c r="Y418" t="str">
        <f t="shared" si="69"/>
        <v>Middle East, North Africa and Europe Total</v>
      </c>
      <c r="Z418" s="104">
        <f t="shared" si="70"/>
        <v>0.2</v>
      </c>
      <c r="AA418" s="104">
        <f t="shared" si="71"/>
        <v>0.93814432989690721</v>
      </c>
      <c r="AB418" s="104">
        <f t="shared" si="72"/>
        <v>0.93877551020408168</v>
      </c>
    </row>
    <row r="419" spans="1:37" x14ac:dyDescent="0.25">
      <c r="A419" s="50" t="s">
        <v>12970</v>
      </c>
      <c r="B419" s="57"/>
      <c r="C419" s="57"/>
      <c r="D419" s="57"/>
      <c r="E419" s="57"/>
      <c r="F419" s="57"/>
      <c r="G419" s="57"/>
      <c r="H419" s="57"/>
      <c r="I419" s="57"/>
      <c r="J419" s="57"/>
      <c r="K419" s="57"/>
      <c r="L419" s="57"/>
      <c r="Q419">
        <f t="shared" si="73"/>
        <v>0</v>
      </c>
      <c r="R419">
        <f t="shared" si="74"/>
        <v>0</v>
      </c>
      <c r="S419">
        <f t="shared" si="75"/>
        <v>0</v>
      </c>
      <c r="T419">
        <f t="shared" si="76"/>
        <v>0</v>
      </c>
      <c r="U419">
        <f t="shared" si="77"/>
        <v>0</v>
      </c>
      <c r="V419">
        <f t="shared" si="78"/>
        <v>0</v>
      </c>
      <c r="Y419" t="str">
        <f t="shared" si="69"/>
        <v>North America</v>
      </c>
      <c r="Z419" s="104" t="str">
        <f t="shared" si="70"/>
        <v/>
      </c>
      <c r="AA419" s="104" t="str">
        <f t="shared" si="71"/>
        <v/>
      </c>
      <c r="AB419" s="104" t="str">
        <f t="shared" si="72"/>
        <v/>
      </c>
    </row>
    <row r="420" spans="1:37" x14ac:dyDescent="0.25">
      <c r="A420" s="55" t="s">
        <v>12969</v>
      </c>
      <c r="B420" s="57"/>
      <c r="C420" s="57"/>
      <c r="D420" s="57"/>
      <c r="E420" s="57"/>
      <c r="F420" s="57"/>
      <c r="G420" s="57"/>
      <c r="H420" s="57"/>
      <c r="I420" s="57"/>
      <c r="J420" s="57"/>
      <c r="K420" s="57"/>
      <c r="L420" s="57"/>
      <c r="Q420">
        <f t="shared" si="73"/>
        <v>0</v>
      </c>
      <c r="R420">
        <f t="shared" si="74"/>
        <v>0</v>
      </c>
      <c r="S420">
        <f t="shared" si="75"/>
        <v>0</v>
      </c>
      <c r="T420">
        <f t="shared" si="76"/>
        <v>0</v>
      </c>
      <c r="U420">
        <f t="shared" si="77"/>
        <v>0</v>
      </c>
      <c r="V420">
        <f t="shared" si="78"/>
        <v>0</v>
      </c>
      <c r="Y420" t="str">
        <f t="shared" si="69"/>
        <v>United States of America</v>
      </c>
      <c r="Z420" s="104" t="str">
        <f t="shared" si="70"/>
        <v/>
      </c>
      <c r="AA420" s="104" t="str">
        <f t="shared" si="71"/>
        <v/>
      </c>
      <c r="AB420" s="104" t="str">
        <f t="shared" si="72"/>
        <v/>
      </c>
    </row>
    <row r="421" spans="1:37" x14ac:dyDescent="0.25">
      <c r="A421" s="50" t="s">
        <v>14282</v>
      </c>
      <c r="B421" s="57"/>
      <c r="C421" s="57"/>
      <c r="D421" s="57"/>
      <c r="E421" s="57"/>
      <c r="F421" s="57"/>
      <c r="G421" s="57"/>
      <c r="H421" s="57"/>
      <c r="I421" s="57"/>
      <c r="J421" s="57"/>
      <c r="K421" s="57"/>
      <c r="L421" s="57"/>
      <c r="Q421">
        <f t="shared" si="73"/>
        <v>0</v>
      </c>
      <c r="R421">
        <f t="shared" si="74"/>
        <v>0</v>
      </c>
      <c r="S421">
        <f t="shared" si="75"/>
        <v>0</v>
      </c>
      <c r="T421">
        <f t="shared" si="76"/>
        <v>0</v>
      </c>
      <c r="U421">
        <f t="shared" si="77"/>
        <v>0</v>
      </c>
      <c r="V421">
        <f t="shared" si="78"/>
        <v>0</v>
      </c>
      <c r="Y421" t="str">
        <f t="shared" si="69"/>
        <v>North America Total</v>
      </c>
      <c r="Z421" s="104" t="str">
        <f t="shared" si="70"/>
        <v/>
      </c>
      <c r="AA421" s="104" t="str">
        <f t="shared" si="71"/>
        <v/>
      </c>
      <c r="AB421" s="104" t="str">
        <f t="shared" si="72"/>
        <v/>
      </c>
    </row>
    <row r="422" spans="1:37" x14ac:dyDescent="0.25">
      <c r="A422" s="50" t="s">
        <v>14272</v>
      </c>
      <c r="B422" s="57">
        <v>7</v>
      </c>
      <c r="C422" s="57">
        <v>1</v>
      </c>
      <c r="D422" s="57"/>
      <c r="E422" s="57">
        <v>23</v>
      </c>
      <c r="F422" s="57">
        <v>536</v>
      </c>
      <c r="G422" s="57"/>
      <c r="H422" s="57">
        <v>24</v>
      </c>
      <c r="I422" s="57">
        <v>245</v>
      </c>
      <c r="J422" s="57"/>
      <c r="K422" s="57">
        <v>2</v>
      </c>
      <c r="L422" s="57"/>
      <c r="Q422">
        <f t="shared" si="73"/>
        <v>7</v>
      </c>
      <c r="R422">
        <f t="shared" si="74"/>
        <v>1</v>
      </c>
      <c r="S422">
        <f t="shared" si="75"/>
        <v>23</v>
      </c>
      <c r="T422">
        <f t="shared" si="76"/>
        <v>536</v>
      </c>
      <c r="U422">
        <f t="shared" si="77"/>
        <v>24</v>
      </c>
      <c r="V422">
        <f t="shared" si="78"/>
        <v>245</v>
      </c>
      <c r="Y422" t="str">
        <f t="shared" si="69"/>
        <v>Grand Total</v>
      </c>
      <c r="Z422" s="104">
        <f t="shared" si="70"/>
        <v>0.125</v>
      </c>
      <c r="AA422" s="104">
        <f t="shared" si="71"/>
        <v>0.95885509838998206</v>
      </c>
      <c r="AB422" s="104">
        <f t="shared" si="72"/>
        <v>0.91078066914498146</v>
      </c>
    </row>
    <row r="423" spans="1:37" x14ac:dyDescent="0.25">
      <c r="Q423">
        <f t="shared" si="73"/>
        <v>0</v>
      </c>
      <c r="R423">
        <f t="shared" si="74"/>
        <v>0</v>
      </c>
      <c r="S423">
        <f t="shared" si="75"/>
        <v>0</v>
      </c>
      <c r="T423">
        <f t="shared" si="76"/>
        <v>0</v>
      </c>
      <c r="U423">
        <f t="shared" si="77"/>
        <v>0</v>
      </c>
      <c r="V423">
        <f t="shared" si="78"/>
        <v>0</v>
      </c>
      <c r="Y423">
        <f t="shared" si="69"/>
        <v>0</v>
      </c>
      <c r="Z423" s="104" t="str">
        <f t="shared" si="70"/>
        <v/>
      </c>
      <c r="AA423" s="104" t="str">
        <f t="shared" si="71"/>
        <v/>
      </c>
      <c r="AB423" s="104" t="str">
        <f t="shared" si="72"/>
        <v/>
      </c>
    </row>
    <row r="426" spans="1:37" x14ac:dyDescent="0.25">
      <c r="A426" s="49" t="s">
        <v>14536</v>
      </c>
      <c r="B426" s="49" t="s">
        <v>14283</v>
      </c>
    </row>
    <row r="427" spans="1:37" x14ac:dyDescent="0.25">
      <c r="B427" t="s">
        <v>1909</v>
      </c>
      <c r="E427" t="s">
        <v>335</v>
      </c>
      <c r="H427" t="s">
        <v>478</v>
      </c>
      <c r="K427" t="s">
        <v>14275</v>
      </c>
      <c r="Q427" s="431" t="str">
        <f>A426</f>
        <v>Count of Gender Marker – M&amp;E Systems</v>
      </c>
      <c r="R427" s="431"/>
      <c r="S427" s="431"/>
      <c r="T427" s="431"/>
      <c r="U427" s="431"/>
      <c r="V427" s="431"/>
      <c r="W427" s="113"/>
      <c r="X427" s="113"/>
      <c r="Z427" s="431"/>
      <c r="AA427" s="431"/>
      <c r="AB427" s="431"/>
    </row>
    <row r="428" spans="1:37" x14ac:dyDescent="0.25">
      <c r="A428" s="49" t="s">
        <v>14283</v>
      </c>
      <c r="B428" t="s">
        <v>319</v>
      </c>
      <c r="C428" t="s">
        <v>320</v>
      </c>
      <c r="D428" t="s">
        <v>14275</v>
      </c>
      <c r="E428" t="s">
        <v>319</v>
      </c>
      <c r="F428" t="s">
        <v>320</v>
      </c>
      <c r="G428" t="s">
        <v>14275</v>
      </c>
      <c r="H428" t="s">
        <v>319</v>
      </c>
      <c r="I428" t="s">
        <v>320</v>
      </c>
      <c r="J428" t="s">
        <v>14275</v>
      </c>
      <c r="K428" t="s">
        <v>319</v>
      </c>
      <c r="L428" t="s">
        <v>320</v>
      </c>
      <c r="M428" t="s">
        <v>14275</v>
      </c>
      <c r="N428" s="49"/>
      <c r="O428" s="49"/>
      <c r="P428" s="49"/>
      <c r="Q428" s="432" t="s">
        <v>14537</v>
      </c>
      <c r="R428" s="432"/>
      <c r="S428" s="432" t="s">
        <v>14539</v>
      </c>
      <c r="T428" s="432"/>
      <c r="U428" s="432" t="s">
        <v>14540</v>
      </c>
      <c r="V428" s="432"/>
      <c r="W428" s="115"/>
      <c r="X428" s="115"/>
      <c r="Y428" s="49"/>
      <c r="Z428" s="49" t="s">
        <v>14541</v>
      </c>
      <c r="AA428" s="49"/>
      <c r="AB428" s="49"/>
      <c r="AC428" s="49"/>
      <c r="AD428" s="49"/>
      <c r="AE428" s="49"/>
      <c r="AF428" s="49"/>
      <c r="AG428" s="49"/>
      <c r="AH428" s="49"/>
      <c r="AI428" s="49"/>
      <c r="AJ428" s="49"/>
      <c r="AK428" s="49"/>
    </row>
    <row r="429" spans="1:37" x14ac:dyDescent="0.25">
      <c r="A429" s="50" t="s">
        <v>1874</v>
      </c>
      <c r="B429" s="57"/>
      <c r="C429" s="57"/>
      <c r="D429" s="57"/>
      <c r="E429" s="57"/>
      <c r="F429" s="57"/>
      <c r="G429" s="57"/>
      <c r="H429" s="57"/>
      <c r="I429" s="57"/>
      <c r="J429" s="57"/>
      <c r="K429" s="57"/>
      <c r="L429" s="57"/>
      <c r="M429" s="57"/>
      <c r="Q429" s="113" t="s">
        <v>7463</v>
      </c>
      <c r="R429" s="113" t="s">
        <v>326</v>
      </c>
      <c r="S429" s="113" t="s">
        <v>7463</v>
      </c>
      <c r="T429" s="113" t="s">
        <v>326</v>
      </c>
      <c r="U429" s="113" t="s">
        <v>7463</v>
      </c>
      <c r="V429" s="113" t="s">
        <v>326</v>
      </c>
      <c r="W429" s="113"/>
      <c r="X429" s="113"/>
      <c r="Z429" s="113" t="str">
        <f>Q428</f>
        <v>Gender blind</v>
      </c>
      <c r="AA429" s="113" t="str">
        <f>S428</f>
        <v>Within existing roles</v>
      </c>
      <c r="AB429" s="113" t="str">
        <f>U428</f>
        <v>Challenged existing roles</v>
      </c>
    </row>
    <row r="430" spans="1:37" x14ac:dyDescent="0.25">
      <c r="A430" s="55" t="s">
        <v>1873</v>
      </c>
      <c r="B430" s="57">
        <v>1</v>
      </c>
      <c r="C430" s="57"/>
      <c r="D430" s="57"/>
      <c r="E430" s="57">
        <v>1</v>
      </c>
      <c r="F430" s="57">
        <v>3</v>
      </c>
      <c r="G430" s="57"/>
      <c r="H430" s="57">
        <v>4</v>
      </c>
      <c r="I430" s="57">
        <v>4</v>
      </c>
      <c r="J430" s="57"/>
      <c r="K430" s="57"/>
      <c r="L430" s="57"/>
      <c r="M430" s="57"/>
      <c r="Q430">
        <f t="shared" ref="Q430:R433" si="79">B430</f>
        <v>1</v>
      </c>
      <c r="R430">
        <f t="shared" si="79"/>
        <v>0</v>
      </c>
      <c r="S430">
        <f t="shared" ref="S430:T433" si="80">E430</f>
        <v>1</v>
      </c>
      <c r="T430">
        <f t="shared" si="80"/>
        <v>3</v>
      </c>
      <c r="U430">
        <f t="shared" ref="U430:V433" si="81">H430</f>
        <v>4</v>
      </c>
      <c r="V430">
        <f t="shared" si="81"/>
        <v>4</v>
      </c>
      <c r="Y430" t="str">
        <f>A430</f>
        <v>Burundi</v>
      </c>
      <c r="Z430" s="104">
        <f>IFERROR(R430/(SUM($Q430:$R430)),"")</f>
        <v>0</v>
      </c>
      <c r="AA430" s="104">
        <f>IFERROR(T430/(SUM($S430:$T430)),"")</f>
        <v>0.75</v>
      </c>
      <c r="AB430" s="104">
        <f>IFERROR(V430/(SUM($U430:$V430)),"")</f>
        <v>0.5</v>
      </c>
    </row>
    <row r="431" spans="1:37" x14ac:dyDescent="0.25">
      <c r="A431" s="55" t="s">
        <v>3868</v>
      </c>
      <c r="B431" s="57"/>
      <c r="C431" s="57"/>
      <c r="D431" s="57"/>
      <c r="E431" s="57"/>
      <c r="F431" s="57">
        <v>22</v>
      </c>
      <c r="G431" s="57"/>
      <c r="H431" s="57">
        <v>2</v>
      </c>
      <c r="I431" s="57">
        <v>6</v>
      </c>
      <c r="J431" s="57"/>
      <c r="K431" s="57"/>
      <c r="L431" s="57"/>
      <c r="M431" s="57"/>
      <c r="Q431">
        <f t="shared" si="79"/>
        <v>0</v>
      </c>
      <c r="R431">
        <f t="shared" si="79"/>
        <v>0</v>
      </c>
      <c r="S431">
        <f t="shared" si="80"/>
        <v>0</v>
      </c>
      <c r="T431">
        <f t="shared" si="80"/>
        <v>22</v>
      </c>
      <c r="U431">
        <f t="shared" si="81"/>
        <v>2</v>
      </c>
      <c r="V431">
        <f t="shared" si="81"/>
        <v>6</v>
      </c>
      <c r="Y431" t="str">
        <f t="shared" ref="Y431:Y494" si="82">A431</f>
        <v>Ethiopia</v>
      </c>
      <c r="Z431" s="104" t="str">
        <f t="shared" ref="Z431:Z494" si="83">IFERROR(R431/(SUM($Q431:$R431)),"")</f>
        <v/>
      </c>
      <c r="AA431" s="104">
        <f t="shared" ref="AA431:AA494" si="84">IFERROR(T431/(SUM($S431:$T431)),"")</f>
        <v>1</v>
      </c>
      <c r="AB431" s="104">
        <f t="shared" ref="AB431:AB494" si="85">IFERROR(V431/(SUM($U431:$V431)),"")</f>
        <v>0.75</v>
      </c>
    </row>
    <row r="432" spans="1:37" x14ac:dyDescent="0.25">
      <c r="A432" s="55" t="s">
        <v>6457</v>
      </c>
      <c r="B432" s="57"/>
      <c r="C432" s="57">
        <v>1</v>
      </c>
      <c r="D432" s="57"/>
      <c r="E432" s="57">
        <v>3</v>
      </c>
      <c r="F432" s="57">
        <v>16</v>
      </c>
      <c r="G432" s="57"/>
      <c r="H432" s="57">
        <v>3</v>
      </c>
      <c r="I432" s="57">
        <v>4</v>
      </c>
      <c r="J432" s="57"/>
      <c r="K432" s="57"/>
      <c r="L432" s="57"/>
      <c r="M432" s="57"/>
      <c r="Q432">
        <f t="shared" si="79"/>
        <v>0</v>
      </c>
      <c r="R432">
        <f t="shared" si="79"/>
        <v>1</v>
      </c>
      <c r="S432">
        <f t="shared" si="80"/>
        <v>3</v>
      </c>
      <c r="T432">
        <f t="shared" si="80"/>
        <v>16</v>
      </c>
      <c r="U432">
        <f t="shared" si="81"/>
        <v>3</v>
      </c>
      <c r="V432">
        <f t="shared" si="81"/>
        <v>4</v>
      </c>
      <c r="Y432" t="str">
        <f t="shared" si="82"/>
        <v>Kenya</v>
      </c>
      <c r="Z432" s="104">
        <f t="shared" si="83"/>
        <v>1</v>
      </c>
      <c r="AA432" s="104">
        <f t="shared" si="84"/>
        <v>0.84210526315789469</v>
      </c>
      <c r="AB432" s="104">
        <f t="shared" si="85"/>
        <v>0.5714285714285714</v>
      </c>
    </row>
    <row r="433" spans="1:28" x14ac:dyDescent="0.25">
      <c r="A433" s="55" t="s">
        <v>10371</v>
      </c>
      <c r="B433" s="57"/>
      <c r="C433" s="57"/>
      <c r="D433" s="57"/>
      <c r="E433" s="57">
        <v>1</v>
      </c>
      <c r="F433" s="57">
        <v>1</v>
      </c>
      <c r="G433" s="57"/>
      <c r="H433" s="57"/>
      <c r="I433" s="57">
        <v>5</v>
      </c>
      <c r="J433" s="57"/>
      <c r="K433" s="57"/>
      <c r="L433" s="57"/>
      <c r="M433" s="57"/>
      <c r="Q433">
        <f t="shared" si="79"/>
        <v>0</v>
      </c>
      <c r="R433">
        <f t="shared" si="79"/>
        <v>0</v>
      </c>
      <c r="S433">
        <f t="shared" si="80"/>
        <v>1</v>
      </c>
      <c r="T433">
        <f t="shared" si="80"/>
        <v>1</v>
      </c>
      <c r="U433">
        <f t="shared" si="81"/>
        <v>0</v>
      </c>
      <c r="V433">
        <f t="shared" si="81"/>
        <v>5</v>
      </c>
      <c r="Y433" t="str">
        <f t="shared" si="82"/>
        <v>Rwanda</v>
      </c>
      <c r="Z433" s="104" t="str">
        <f t="shared" si="83"/>
        <v/>
      </c>
      <c r="AA433" s="104">
        <f t="shared" si="84"/>
        <v>0.5</v>
      </c>
      <c r="AB433" s="104">
        <f t="shared" si="85"/>
        <v>1</v>
      </c>
    </row>
    <row r="434" spans="1:28" x14ac:dyDescent="0.25">
      <c r="A434" s="55" t="s">
        <v>10685</v>
      </c>
      <c r="B434" s="57"/>
      <c r="C434" s="57"/>
      <c r="D434" s="57"/>
      <c r="E434" s="57"/>
      <c r="F434" s="57">
        <v>32</v>
      </c>
      <c r="G434" s="57"/>
      <c r="H434" s="57"/>
      <c r="I434" s="57">
        <v>3</v>
      </c>
      <c r="J434" s="57"/>
      <c r="K434" s="57"/>
      <c r="L434" s="57"/>
      <c r="M434" s="57"/>
      <c r="Q434">
        <f t="shared" ref="Q434:Q497" si="86">B434</f>
        <v>0</v>
      </c>
      <c r="R434">
        <f t="shared" ref="R434:R497" si="87">C434</f>
        <v>0</v>
      </c>
      <c r="S434">
        <f t="shared" ref="S434:S497" si="88">E434</f>
        <v>0</v>
      </c>
      <c r="T434">
        <f t="shared" ref="T434:T497" si="89">F434</f>
        <v>32</v>
      </c>
      <c r="U434">
        <f t="shared" ref="U434:U497" si="90">H434</f>
        <v>0</v>
      </c>
      <c r="V434">
        <f t="shared" ref="V434:V497" si="91">I434</f>
        <v>3</v>
      </c>
      <c r="Y434" t="str">
        <f t="shared" si="82"/>
        <v>Somalia</v>
      </c>
      <c r="Z434" s="104" t="str">
        <f t="shared" si="83"/>
        <v/>
      </c>
      <c r="AA434" s="104">
        <f t="shared" si="84"/>
        <v>1</v>
      </c>
      <c r="AB434" s="104">
        <f t="shared" si="85"/>
        <v>1</v>
      </c>
    </row>
    <row r="435" spans="1:28" x14ac:dyDescent="0.25">
      <c r="A435" s="55" t="s">
        <v>11104</v>
      </c>
      <c r="B435" s="57"/>
      <c r="C435" s="57"/>
      <c r="D435" s="57"/>
      <c r="E435" s="57"/>
      <c r="F435" s="57">
        <v>19</v>
      </c>
      <c r="G435" s="57"/>
      <c r="H435" s="57"/>
      <c r="I435" s="57">
        <v>2</v>
      </c>
      <c r="J435" s="57"/>
      <c r="K435" s="57"/>
      <c r="L435" s="57"/>
      <c r="M435" s="57"/>
      <c r="Q435">
        <f t="shared" si="86"/>
        <v>0</v>
      </c>
      <c r="R435">
        <f t="shared" si="87"/>
        <v>0</v>
      </c>
      <c r="S435">
        <f t="shared" si="88"/>
        <v>0</v>
      </c>
      <c r="T435">
        <f t="shared" si="89"/>
        <v>19</v>
      </c>
      <c r="U435">
        <f t="shared" si="90"/>
        <v>0</v>
      </c>
      <c r="V435">
        <f t="shared" si="91"/>
        <v>2</v>
      </c>
      <c r="Y435" t="str">
        <f t="shared" si="82"/>
        <v>South Sudan</v>
      </c>
      <c r="Z435" s="104" t="str">
        <f t="shared" si="83"/>
        <v/>
      </c>
      <c r="AA435" s="104">
        <f t="shared" si="84"/>
        <v>1</v>
      </c>
      <c r="AB435" s="104">
        <f t="shared" si="85"/>
        <v>1</v>
      </c>
    </row>
    <row r="436" spans="1:28" x14ac:dyDescent="0.25">
      <c r="A436" s="55" t="s">
        <v>11417</v>
      </c>
      <c r="B436" s="57"/>
      <c r="C436" s="57"/>
      <c r="D436" s="57"/>
      <c r="E436" s="57"/>
      <c r="F436" s="57">
        <v>11</v>
      </c>
      <c r="G436" s="57"/>
      <c r="H436" s="57">
        <v>4</v>
      </c>
      <c r="I436" s="57">
        <v>3</v>
      </c>
      <c r="J436" s="57"/>
      <c r="K436" s="57"/>
      <c r="L436" s="57"/>
      <c r="M436" s="57"/>
      <c r="Q436">
        <f t="shared" si="86"/>
        <v>0</v>
      </c>
      <c r="R436">
        <f t="shared" si="87"/>
        <v>0</v>
      </c>
      <c r="S436">
        <f t="shared" si="88"/>
        <v>0</v>
      </c>
      <c r="T436">
        <f t="shared" si="89"/>
        <v>11</v>
      </c>
      <c r="U436">
        <f t="shared" si="90"/>
        <v>4</v>
      </c>
      <c r="V436">
        <f t="shared" si="91"/>
        <v>3</v>
      </c>
      <c r="Y436" t="str">
        <f t="shared" si="82"/>
        <v>Sudan</v>
      </c>
      <c r="Z436" s="104" t="str">
        <f t="shared" si="83"/>
        <v/>
      </c>
      <c r="AA436" s="104">
        <f t="shared" si="84"/>
        <v>1</v>
      </c>
      <c r="AB436" s="104">
        <f t="shared" si="85"/>
        <v>0.42857142857142855</v>
      </c>
    </row>
    <row r="437" spans="1:28" x14ac:dyDescent="0.25">
      <c r="A437" s="55" t="s">
        <v>12694</v>
      </c>
      <c r="B437" s="57"/>
      <c r="C437" s="57"/>
      <c r="D437" s="57"/>
      <c r="E437" s="57">
        <v>2</v>
      </c>
      <c r="F437" s="57">
        <v>8</v>
      </c>
      <c r="G437" s="57"/>
      <c r="H437" s="57"/>
      <c r="I437" s="57">
        <v>3</v>
      </c>
      <c r="J437" s="57"/>
      <c r="K437" s="57"/>
      <c r="L437" s="57"/>
      <c r="M437" s="57"/>
      <c r="Q437">
        <f t="shared" si="86"/>
        <v>0</v>
      </c>
      <c r="R437">
        <f t="shared" si="87"/>
        <v>0</v>
      </c>
      <c r="S437">
        <f t="shared" si="88"/>
        <v>2</v>
      </c>
      <c r="T437">
        <f t="shared" si="89"/>
        <v>8</v>
      </c>
      <c r="U437">
        <f t="shared" si="90"/>
        <v>0</v>
      </c>
      <c r="V437">
        <f t="shared" si="91"/>
        <v>3</v>
      </c>
      <c r="Y437" t="str">
        <f t="shared" si="82"/>
        <v>Uganda</v>
      </c>
      <c r="Z437" s="104" t="str">
        <f t="shared" si="83"/>
        <v/>
      </c>
      <c r="AA437" s="104">
        <f t="shared" si="84"/>
        <v>0.8</v>
      </c>
      <c r="AB437" s="104">
        <f t="shared" si="85"/>
        <v>1</v>
      </c>
    </row>
    <row r="438" spans="1:28" x14ac:dyDescent="0.25">
      <c r="A438" s="55" t="s">
        <v>14322</v>
      </c>
      <c r="B438" s="57"/>
      <c r="C438" s="57"/>
      <c r="D438" s="57"/>
      <c r="E438" s="57"/>
      <c r="F438" s="57">
        <v>2</v>
      </c>
      <c r="G438" s="57"/>
      <c r="H438" s="57"/>
      <c r="I438" s="57">
        <v>2</v>
      </c>
      <c r="J438" s="57"/>
      <c r="K438" s="57"/>
      <c r="L438" s="57"/>
      <c r="M438" s="57"/>
      <c r="Q438">
        <f t="shared" si="86"/>
        <v>0</v>
      </c>
      <c r="R438">
        <f t="shared" si="87"/>
        <v>0</v>
      </c>
      <c r="S438">
        <f t="shared" si="88"/>
        <v>0</v>
      </c>
      <c r="T438">
        <f t="shared" si="89"/>
        <v>2</v>
      </c>
      <c r="U438">
        <f t="shared" si="90"/>
        <v>0</v>
      </c>
      <c r="V438">
        <f t="shared" si="91"/>
        <v>2</v>
      </c>
      <c r="Y438" t="str">
        <f t="shared" si="82"/>
        <v>DRC</v>
      </c>
      <c r="Z438" s="104" t="str">
        <f t="shared" si="83"/>
        <v/>
      </c>
      <c r="AA438" s="104">
        <f t="shared" si="84"/>
        <v>1</v>
      </c>
      <c r="AB438" s="104">
        <f t="shared" si="85"/>
        <v>1</v>
      </c>
    </row>
    <row r="439" spans="1:28" x14ac:dyDescent="0.25">
      <c r="A439" s="50" t="s">
        <v>14276</v>
      </c>
      <c r="B439" s="57">
        <v>1</v>
      </c>
      <c r="C439" s="57">
        <v>1</v>
      </c>
      <c r="D439" s="57"/>
      <c r="E439" s="57">
        <v>7</v>
      </c>
      <c r="F439" s="57">
        <v>114</v>
      </c>
      <c r="G439" s="57"/>
      <c r="H439" s="57">
        <v>13</v>
      </c>
      <c r="I439" s="57">
        <v>32</v>
      </c>
      <c r="J439" s="57"/>
      <c r="K439" s="57"/>
      <c r="L439" s="57"/>
      <c r="M439" s="57"/>
      <c r="Q439">
        <f t="shared" si="86"/>
        <v>1</v>
      </c>
      <c r="R439">
        <f t="shared" si="87"/>
        <v>1</v>
      </c>
      <c r="S439">
        <f t="shared" si="88"/>
        <v>7</v>
      </c>
      <c r="T439">
        <f t="shared" si="89"/>
        <v>114</v>
      </c>
      <c r="U439">
        <f t="shared" si="90"/>
        <v>13</v>
      </c>
      <c r="V439">
        <f t="shared" si="91"/>
        <v>32</v>
      </c>
      <c r="Y439" t="str">
        <f t="shared" si="82"/>
        <v>Africa - East and Central Total</v>
      </c>
      <c r="Z439" s="104">
        <f t="shared" si="83"/>
        <v>0.5</v>
      </c>
      <c r="AA439" s="104">
        <f t="shared" si="84"/>
        <v>0.94214876033057848</v>
      </c>
      <c r="AB439" s="104">
        <f t="shared" si="85"/>
        <v>0.71111111111111114</v>
      </c>
    </row>
    <row r="440" spans="1:28" x14ac:dyDescent="0.25">
      <c r="A440" s="50" t="s">
        <v>7217</v>
      </c>
      <c r="B440" s="57"/>
      <c r="C440" s="57"/>
      <c r="D440" s="57"/>
      <c r="E440" s="57"/>
      <c r="F440" s="57"/>
      <c r="G440" s="57"/>
      <c r="H440" s="57"/>
      <c r="I440" s="57"/>
      <c r="J440" s="57"/>
      <c r="K440" s="57"/>
      <c r="L440" s="57"/>
      <c r="M440" s="57"/>
      <c r="Q440">
        <f t="shared" si="86"/>
        <v>0</v>
      </c>
      <c r="R440">
        <f t="shared" si="87"/>
        <v>0</v>
      </c>
      <c r="S440">
        <f t="shared" si="88"/>
        <v>0</v>
      </c>
      <c r="T440">
        <f t="shared" si="89"/>
        <v>0</v>
      </c>
      <c r="U440">
        <f t="shared" si="90"/>
        <v>0</v>
      </c>
      <c r="V440">
        <f t="shared" si="91"/>
        <v>0</v>
      </c>
      <c r="Y440" t="str">
        <f t="shared" si="82"/>
        <v>Africa - Southern</v>
      </c>
      <c r="Z440" s="104" t="str">
        <f t="shared" si="83"/>
        <v/>
      </c>
      <c r="AA440" s="104" t="str">
        <f t="shared" si="84"/>
        <v/>
      </c>
      <c r="AB440" s="104" t="str">
        <f t="shared" si="85"/>
        <v/>
      </c>
    </row>
    <row r="441" spans="1:28" x14ac:dyDescent="0.25">
      <c r="A441" s="55" t="s">
        <v>7216</v>
      </c>
      <c r="B441" s="57"/>
      <c r="C441" s="57"/>
      <c r="D441" s="57"/>
      <c r="E441" s="57"/>
      <c r="F441" s="57">
        <v>9</v>
      </c>
      <c r="G441" s="57"/>
      <c r="H441" s="57"/>
      <c r="I441" s="57">
        <v>2</v>
      </c>
      <c r="J441" s="57"/>
      <c r="K441" s="57"/>
      <c r="L441" s="57"/>
      <c r="M441" s="57"/>
      <c r="Q441">
        <f t="shared" si="86"/>
        <v>0</v>
      </c>
      <c r="R441">
        <f t="shared" si="87"/>
        <v>0</v>
      </c>
      <c r="S441">
        <f t="shared" si="88"/>
        <v>0</v>
      </c>
      <c r="T441">
        <f t="shared" si="89"/>
        <v>9</v>
      </c>
      <c r="U441">
        <f t="shared" si="90"/>
        <v>0</v>
      </c>
      <c r="V441">
        <f t="shared" si="91"/>
        <v>2</v>
      </c>
      <c r="Y441" t="str">
        <f t="shared" si="82"/>
        <v>Madagascar</v>
      </c>
      <c r="Z441" s="104" t="str">
        <f t="shared" si="83"/>
        <v/>
      </c>
      <c r="AA441" s="104">
        <f t="shared" si="84"/>
        <v>1</v>
      </c>
      <c r="AB441" s="104">
        <f t="shared" si="85"/>
        <v>1</v>
      </c>
    </row>
    <row r="442" spans="1:28" x14ac:dyDescent="0.25">
      <c r="A442" s="55" t="s">
        <v>7451</v>
      </c>
      <c r="B442" s="57"/>
      <c r="C442" s="57"/>
      <c r="D442" s="57"/>
      <c r="E442" s="57">
        <v>1</v>
      </c>
      <c r="F442" s="57">
        <v>16</v>
      </c>
      <c r="G442" s="57"/>
      <c r="H442" s="57"/>
      <c r="I442" s="57">
        <v>6</v>
      </c>
      <c r="J442" s="57"/>
      <c r="K442" s="57"/>
      <c r="L442" s="57"/>
      <c r="M442" s="57"/>
      <c r="Q442">
        <f t="shared" si="86"/>
        <v>0</v>
      </c>
      <c r="R442">
        <f t="shared" si="87"/>
        <v>0</v>
      </c>
      <c r="S442">
        <f t="shared" si="88"/>
        <v>1</v>
      </c>
      <c r="T442">
        <f t="shared" si="89"/>
        <v>16</v>
      </c>
      <c r="U442">
        <f t="shared" si="90"/>
        <v>0</v>
      </c>
      <c r="V442">
        <f t="shared" si="91"/>
        <v>6</v>
      </c>
      <c r="Y442" t="str">
        <f t="shared" si="82"/>
        <v>Malawi</v>
      </c>
      <c r="Z442" s="104" t="str">
        <f t="shared" si="83"/>
        <v/>
      </c>
      <c r="AA442" s="104">
        <f t="shared" si="84"/>
        <v>0.94117647058823528</v>
      </c>
      <c r="AB442" s="104">
        <f t="shared" si="85"/>
        <v>1</v>
      </c>
    </row>
    <row r="443" spans="1:28" x14ac:dyDescent="0.25">
      <c r="A443" s="55" t="s">
        <v>8265</v>
      </c>
      <c r="B443" s="57"/>
      <c r="C443" s="57"/>
      <c r="D443" s="57"/>
      <c r="E443" s="57">
        <v>1</v>
      </c>
      <c r="F443" s="57">
        <v>5</v>
      </c>
      <c r="G443" s="57"/>
      <c r="H443" s="57">
        <v>1</v>
      </c>
      <c r="I443" s="57">
        <v>3</v>
      </c>
      <c r="J443" s="57"/>
      <c r="K443" s="57"/>
      <c r="L443" s="57"/>
      <c r="M443" s="57"/>
      <c r="Q443">
        <f t="shared" si="86"/>
        <v>0</v>
      </c>
      <c r="R443">
        <f t="shared" si="87"/>
        <v>0</v>
      </c>
      <c r="S443">
        <f t="shared" si="88"/>
        <v>1</v>
      </c>
      <c r="T443">
        <f t="shared" si="89"/>
        <v>5</v>
      </c>
      <c r="U443">
        <f t="shared" si="90"/>
        <v>1</v>
      </c>
      <c r="V443">
        <f t="shared" si="91"/>
        <v>3</v>
      </c>
      <c r="Y443" t="str">
        <f t="shared" si="82"/>
        <v>Mozambique</v>
      </c>
      <c r="Z443" s="104" t="str">
        <f t="shared" si="83"/>
        <v/>
      </c>
      <c r="AA443" s="104">
        <f t="shared" si="84"/>
        <v>0.83333333333333337</v>
      </c>
      <c r="AB443" s="104">
        <f t="shared" si="85"/>
        <v>0.75</v>
      </c>
    </row>
    <row r="444" spans="1:28" x14ac:dyDescent="0.25">
      <c r="A444" s="55" t="s">
        <v>11102</v>
      </c>
      <c r="B444" s="57"/>
      <c r="C444" s="57"/>
      <c r="D444" s="57"/>
      <c r="E444" s="57"/>
      <c r="F444" s="57"/>
      <c r="G444" s="57"/>
      <c r="H444" s="57"/>
      <c r="I444" s="57"/>
      <c r="J444" s="57"/>
      <c r="K444" s="57"/>
      <c r="L444" s="57"/>
      <c r="M444" s="57"/>
      <c r="Q444">
        <f t="shared" si="86"/>
        <v>0</v>
      </c>
      <c r="R444">
        <f t="shared" si="87"/>
        <v>0</v>
      </c>
      <c r="S444">
        <f t="shared" si="88"/>
        <v>0</v>
      </c>
      <c r="T444">
        <f t="shared" si="89"/>
        <v>0</v>
      </c>
      <c r="U444">
        <f t="shared" si="90"/>
        <v>0</v>
      </c>
      <c r="V444">
        <f t="shared" si="91"/>
        <v>0</v>
      </c>
      <c r="Y444" t="str">
        <f t="shared" si="82"/>
        <v>South Africa</v>
      </c>
      <c r="Z444" s="104" t="str">
        <f t="shared" si="83"/>
        <v/>
      </c>
      <c r="AA444" s="104" t="str">
        <f t="shared" si="84"/>
        <v/>
      </c>
      <c r="AB444" s="104" t="str">
        <f t="shared" si="85"/>
        <v/>
      </c>
    </row>
    <row r="445" spans="1:28" x14ac:dyDescent="0.25">
      <c r="A445" s="55" t="s">
        <v>12090</v>
      </c>
      <c r="B445" s="57"/>
      <c r="C445" s="57"/>
      <c r="D445" s="57"/>
      <c r="E445" s="57">
        <v>4</v>
      </c>
      <c r="F445" s="57">
        <v>3</v>
      </c>
      <c r="G445" s="57"/>
      <c r="H445" s="57">
        <v>4</v>
      </c>
      <c r="I445" s="57"/>
      <c r="J445" s="57"/>
      <c r="K445" s="57"/>
      <c r="L445" s="57"/>
      <c r="M445" s="57"/>
      <c r="Q445">
        <f t="shared" si="86"/>
        <v>0</v>
      </c>
      <c r="R445">
        <f t="shared" si="87"/>
        <v>0</v>
      </c>
      <c r="S445">
        <f t="shared" si="88"/>
        <v>4</v>
      </c>
      <c r="T445">
        <f t="shared" si="89"/>
        <v>3</v>
      </c>
      <c r="U445">
        <f t="shared" si="90"/>
        <v>4</v>
      </c>
      <c r="V445">
        <f t="shared" si="91"/>
        <v>0</v>
      </c>
      <c r="Y445" t="str">
        <f t="shared" si="82"/>
        <v>Tanzania</v>
      </c>
      <c r="Z445" s="104" t="str">
        <f t="shared" si="83"/>
        <v/>
      </c>
      <c r="AA445" s="104">
        <f t="shared" si="84"/>
        <v>0.42857142857142855</v>
      </c>
      <c r="AB445" s="104">
        <f t="shared" si="85"/>
        <v>0</v>
      </c>
    </row>
    <row r="446" spans="1:28" x14ac:dyDescent="0.25">
      <c r="A446" s="55" t="s">
        <v>13917</v>
      </c>
      <c r="B446" s="57"/>
      <c r="C446" s="57"/>
      <c r="D446" s="57"/>
      <c r="E446" s="57">
        <v>1</v>
      </c>
      <c r="F446" s="57">
        <v>3</v>
      </c>
      <c r="G446" s="57"/>
      <c r="H446" s="57"/>
      <c r="I446" s="57">
        <v>1</v>
      </c>
      <c r="J446" s="57"/>
      <c r="K446" s="57"/>
      <c r="L446" s="57"/>
      <c r="M446" s="57"/>
      <c r="Q446">
        <f t="shared" si="86"/>
        <v>0</v>
      </c>
      <c r="R446">
        <f t="shared" si="87"/>
        <v>0</v>
      </c>
      <c r="S446">
        <f t="shared" si="88"/>
        <v>1</v>
      </c>
      <c r="T446">
        <f t="shared" si="89"/>
        <v>3</v>
      </c>
      <c r="U446">
        <f t="shared" si="90"/>
        <v>0</v>
      </c>
      <c r="V446">
        <f t="shared" si="91"/>
        <v>1</v>
      </c>
      <c r="Y446" t="str">
        <f t="shared" si="82"/>
        <v>Zambia</v>
      </c>
      <c r="Z446" s="104" t="str">
        <f t="shared" si="83"/>
        <v/>
      </c>
      <c r="AA446" s="104">
        <f t="shared" si="84"/>
        <v>0.75</v>
      </c>
      <c r="AB446" s="104">
        <f t="shared" si="85"/>
        <v>1</v>
      </c>
    </row>
    <row r="447" spans="1:28" x14ac:dyDescent="0.25">
      <c r="A447" s="55" t="s">
        <v>14016</v>
      </c>
      <c r="B447" s="57"/>
      <c r="C447" s="57"/>
      <c r="D447" s="57"/>
      <c r="E447" s="57">
        <v>1</v>
      </c>
      <c r="F447" s="57">
        <v>7</v>
      </c>
      <c r="G447" s="57"/>
      <c r="H447" s="57">
        <v>1</v>
      </c>
      <c r="I447" s="57">
        <v>6</v>
      </c>
      <c r="J447" s="57"/>
      <c r="K447" s="57"/>
      <c r="L447" s="57"/>
      <c r="M447" s="57"/>
      <c r="Q447">
        <f t="shared" si="86"/>
        <v>0</v>
      </c>
      <c r="R447">
        <f t="shared" si="87"/>
        <v>0</v>
      </c>
      <c r="S447">
        <f t="shared" si="88"/>
        <v>1</v>
      </c>
      <c r="T447">
        <f t="shared" si="89"/>
        <v>7</v>
      </c>
      <c r="U447">
        <f t="shared" si="90"/>
        <v>1</v>
      </c>
      <c r="V447">
        <f t="shared" si="91"/>
        <v>6</v>
      </c>
      <c r="Y447" t="str">
        <f t="shared" si="82"/>
        <v>Zimbabwe</v>
      </c>
      <c r="Z447" s="104" t="str">
        <f t="shared" si="83"/>
        <v/>
      </c>
      <c r="AA447" s="104">
        <f t="shared" si="84"/>
        <v>0.875</v>
      </c>
      <c r="AB447" s="104">
        <f t="shared" si="85"/>
        <v>0.8571428571428571</v>
      </c>
    </row>
    <row r="448" spans="1:28" x14ac:dyDescent="0.25">
      <c r="A448" s="50" t="s">
        <v>14277</v>
      </c>
      <c r="B448" s="57"/>
      <c r="C448" s="57"/>
      <c r="D448" s="57"/>
      <c r="E448" s="57">
        <v>8</v>
      </c>
      <c r="F448" s="57">
        <v>43</v>
      </c>
      <c r="G448" s="57"/>
      <c r="H448" s="57">
        <v>6</v>
      </c>
      <c r="I448" s="57">
        <v>18</v>
      </c>
      <c r="J448" s="57"/>
      <c r="K448" s="57"/>
      <c r="L448" s="57"/>
      <c r="M448" s="57"/>
      <c r="Q448">
        <f t="shared" si="86"/>
        <v>0</v>
      </c>
      <c r="R448">
        <f t="shared" si="87"/>
        <v>0</v>
      </c>
      <c r="S448">
        <f t="shared" si="88"/>
        <v>8</v>
      </c>
      <c r="T448">
        <f t="shared" si="89"/>
        <v>43</v>
      </c>
      <c r="U448">
        <f t="shared" si="90"/>
        <v>6</v>
      </c>
      <c r="V448">
        <f t="shared" si="91"/>
        <v>18</v>
      </c>
      <c r="Y448" t="str">
        <f t="shared" si="82"/>
        <v>Africa - Southern Total</v>
      </c>
      <c r="Z448" s="104" t="str">
        <f t="shared" si="83"/>
        <v/>
      </c>
      <c r="AA448" s="104">
        <f t="shared" si="84"/>
        <v>0.84313725490196079</v>
      </c>
      <c r="AB448" s="104">
        <f t="shared" si="85"/>
        <v>0.75</v>
      </c>
    </row>
    <row r="449" spans="1:28" x14ac:dyDescent="0.25">
      <c r="A449" s="50" t="s">
        <v>1596</v>
      </c>
      <c r="B449" s="57"/>
      <c r="C449" s="57"/>
      <c r="D449" s="57"/>
      <c r="E449" s="57"/>
      <c r="F449" s="57"/>
      <c r="G449" s="57"/>
      <c r="H449" s="57"/>
      <c r="I449" s="57"/>
      <c r="J449" s="57"/>
      <c r="K449" s="57"/>
      <c r="L449" s="57"/>
      <c r="M449" s="57"/>
      <c r="Q449">
        <f t="shared" si="86"/>
        <v>0</v>
      </c>
      <c r="R449">
        <f t="shared" si="87"/>
        <v>0</v>
      </c>
      <c r="S449">
        <f t="shared" si="88"/>
        <v>0</v>
      </c>
      <c r="T449">
        <f t="shared" si="89"/>
        <v>0</v>
      </c>
      <c r="U449">
        <f t="shared" si="90"/>
        <v>0</v>
      </c>
      <c r="V449">
        <f t="shared" si="91"/>
        <v>0</v>
      </c>
      <c r="Y449" t="str">
        <f t="shared" si="82"/>
        <v>Africa - Western</v>
      </c>
      <c r="Z449" s="104" t="str">
        <f t="shared" si="83"/>
        <v/>
      </c>
      <c r="AA449" s="104" t="str">
        <f t="shared" si="84"/>
        <v/>
      </c>
      <c r="AB449" s="104" t="str">
        <f t="shared" si="85"/>
        <v/>
      </c>
    </row>
    <row r="450" spans="1:28" x14ac:dyDescent="0.25">
      <c r="A450" s="55" t="s">
        <v>1595</v>
      </c>
      <c r="B450" s="57"/>
      <c r="C450" s="57"/>
      <c r="D450" s="57"/>
      <c r="E450" s="57">
        <v>2</v>
      </c>
      <c r="F450" s="57">
        <v>3</v>
      </c>
      <c r="G450" s="57"/>
      <c r="H450" s="57">
        <v>1</v>
      </c>
      <c r="I450" s="57">
        <v>1</v>
      </c>
      <c r="J450" s="57"/>
      <c r="K450" s="57"/>
      <c r="L450" s="57"/>
      <c r="M450" s="57"/>
      <c r="Q450">
        <f t="shared" si="86"/>
        <v>0</v>
      </c>
      <c r="R450">
        <f t="shared" si="87"/>
        <v>0</v>
      </c>
      <c r="S450">
        <f t="shared" si="88"/>
        <v>2</v>
      </c>
      <c r="T450">
        <f t="shared" si="89"/>
        <v>3</v>
      </c>
      <c r="U450">
        <f t="shared" si="90"/>
        <v>1</v>
      </c>
      <c r="V450">
        <f t="shared" si="91"/>
        <v>1</v>
      </c>
      <c r="Y450" t="str">
        <f t="shared" si="82"/>
        <v>Benin</v>
      </c>
      <c r="Z450" s="104" t="str">
        <f t="shared" si="83"/>
        <v/>
      </c>
      <c r="AA450" s="104">
        <f t="shared" si="84"/>
        <v>0.6</v>
      </c>
      <c r="AB450" s="104">
        <f t="shared" si="85"/>
        <v>0.5</v>
      </c>
    </row>
    <row r="451" spans="1:28" x14ac:dyDescent="0.25">
      <c r="A451" s="55" t="s">
        <v>1827</v>
      </c>
      <c r="B451" s="57"/>
      <c r="C451" s="57"/>
      <c r="D451" s="57"/>
      <c r="E451" s="57"/>
      <c r="F451" s="57">
        <v>2</v>
      </c>
      <c r="G451" s="57"/>
      <c r="H451" s="57"/>
      <c r="I451" s="57"/>
      <c r="J451" s="57"/>
      <c r="K451" s="57"/>
      <c r="L451" s="57"/>
      <c r="M451" s="57"/>
      <c r="Q451">
        <f t="shared" si="86"/>
        <v>0</v>
      </c>
      <c r="R451">
        <f t="shared" si="87"/>
        <v>0</v>
      </c>
      <c r="S451">
        <f t="shared" si="88"/>
        <v>0</v>
      </c>
      <c r="T451">
        <f t="shared" si="89"/>
        <v>2</v>
      </c>
      <c r="U451">
        <f t="shared" si="90"/>
        <v>0</v>
      </c>
      <c r="V451">
        <f t="shared" si="91"/>
        <v>0</v>
      </c>
      <c r="Y451" t="str">
        <f t="shared" si="82"/>
        <v>Burkina Faso</v>
      </c>
      <c r="Z451" s="104" t="str">
        <f t="shared" si="83"/>
        <v/>
      </c>
      <c r="AA451" s="104">
        <f t="shared" si="84"/>
        <v>1</v>
      </c>
      <c r="AB451" s="104" t="str">
        <f t="shared" si="85"/>
        <v/>
      </c>
    </row>
    <row r="452" spans="1:28" x14ac:dyDescent="0.25">
      <c r="A452" s="55" t="s">
        <v>2395</v>
      </c>
      <c r="B452" s="57"/>
      <c r="C452" s="57"/>
      <c r="D452" s="57"/>
      <c r="E452" s="57"/>
      <c r="F452" s="57">
        <v>4</v>
      </c>
      <c r="G452" s="57"/>
      <c r="H452" s="57"/>
      <c r="I452" s="57">
        <v>2</v>
      </c>
      <c r="J452" s="57"/>
      <c r="K452" s="57"/>
      <c r="L452" s="57"/>
      <c r="M452" s="57"/>
      <c r="Q452">
        <f t="shared" si="86"/>
        <v>0</v>
      </c>
      <c r="R452">
        <f t="shared" si="87"/>
        <v>0</v>
      </c>
      <c r="S452">
        <f t="shared" si="88"/>
        <v>0</v>
      </c>
      <c r="T452">
        <f t="shared" si="89"/>
        <v>4</v>
      </c>
      <c r="U452">
        <f t="shared" si="90"/>
        <v>0</v>
      </c>
      <c r="V452">
        <f t="shared" si="91"/>
        <v>2</v>
      </c>
      <c r="Y452" t="str">
        <f t="shared" si="82"/>
        <v>Cameroon</v>
      </c>
      <c r="Z452" s="104" t="str">
        <f t="shared" si="83"/>
        <v/>
      </c>
      <c r="AA452" s="104">
        <f t="shared" si="84"/>
        <v>1</v>
      </c>
      <c r="AB452" s="104">
        <f t="shared" si="85"/>
        <v>1</v>
      </c>
    </row>
    <row r="453" spans="1:28" x14ac:dyDescent="0.25">
      <c r="A453" s="55" t="s">
        <v>2536</v>
      </c>
      <c r="B453" s="57"/>
      <c r="C453" s="57"/>
      <c r="D453" s="57"/>
      <c r="E453" s="57"/>
      <c r="F453" s="57">
        <v>12</v>
      </c>
      <c r="G453" s="57"/>
      <c r="H453" s="57">
        <v>1</v>
      </c>
      <c r="I453" s="57">
        <v>1</v>
      </c>
      <c r="J453" s="57"/>
      <c r="K453" s="57"/>
      <c r="L453" s="57"/>
      <c r="M453" s="57"/>
      <c r="Q453">
        <f t="shared" si="86"/>
        <v>0</v>
      </c>
      <c r="R453">
        <f t="shared" si="87"/>
        <v>0</v>
      </c>
      <c r="S453">
        <f t="shared" si="88"/>
        <v>0</v>
      </c>
      <c r="T453">
        <f t="shared" si="89"/>
        <v>12</v>
      </c>
      <c r="U453">
        <f t="shared" si="90"/>
        <v>1</v>
      </c>
      <c r="V453">
        <f t="shared" si="91"/>
        <v>1</v>
      </c>
      <c r="Y453" t="str">
        <f t="shared" si="82"/>
        <v>Chad</v>
      </c>
      <c r="Z453" s="104" t="str">
        <f t="shared" si="83"/>
        <v/>
      </c>
      <c r="AA453" s="104">
        <f t="shared" si="84"/>
        <v>1</v>
      </c>
      <c r="AB453" s="104">
        <f t="shared" si="85"/>
        <v>0.5</v>
      </c>
    </row>
    <row r="454" spans="1:28" x14ac:dyDescent="0.25">
      <c r="A454" s="55" t="s">
        <v>2956</v>
      </c>
      <c r="B454" s="57">
        <v>1</v>
      </c>
      <c r="C454" s="57"/>
      <c r="D454" s="57"/>
      <c r="E454" s="57">
        <v>2</v>
      </c>
      <c r="F454" s="57">
        <v>4</v>
      </c>
      <c r="G454" s="57"/>
      <c r="H454" s="57"/>
      <c r="I454" s="57">
        <v>2</v>
      </c>
      <c r="J454" s="57"/>
      <c r="K454" s="57"/>
      <c r="L454" s="57"/>
      <c r="M454" s="57"/>
      <c r="Q454">
        <f t="shared" si="86"/>
        <v>1</v>
      </c>
      <c r="R454">
        <f t="shared" si="87"/>
        <v>0</v>
      </c>
      <c r="S454">
        <f t="shared" si="88"/>
        <v>2</v>
      </c>
      <c r="T454">
        <f t="shared" si="89"/>
        <v>4</v>
      </c>
      <c r="U454">
        <f t="shared" si="90"/>
        <v>0</v>
      </c>
      <c r="V454">
        <f t="shared" si="91"/>
        <v>2</v>
      </c>
      <c r="Y454" t="str">
        <f t="shared" si="82"/>
        <v>Cote d'Ivoire</v>
      </c>
      <c r="Z454" s="104">
        <f t="shared" si="83"/>
        <v>0</v>
      </c>
      <c r="AA454" s="104">
        <f t="shared" si="84"/>
        <v>0.66666666666666663</v>
      </c>
      <c r="AB454" s="104">
        <f t="shared" si="85"/>
        <v>1</v>
      </c>
    </row>
    <row r="455" spans="1:28" x14ac:dyDescent="0.25">
      <c r="A455" s="55" t="s">
        <v>4471</v>
      </c>
      <c r="B455" s="57"/>
      <c r="C455" s="57"/>
      <c r="D455" s="57"/>
      <c r="E455" s="57"/>
      <c r="F455" s="57">
        <v>6</v>
      </c>
      <c r="G455" s="57"/>
      <c r="H455" s="57"/>
      <c r="I455" s="57">
        <v>6</v>
      </c>
      <c r="J455" s="57"/>
      <c r="K455" s="57"/>
      <c r="L455" s="57"/>
      <c r="M455" s="57"/>
      <c r="Q455">
        <f t="shared" si="86"/>
        <v>0</v>
      </c>
      <c r="R455">
        <f t="shared" si="87"/>
        <v>0</v>
      </c>
      <c r="S455">
        <f t="shared" si="88"/>
        <v>0</v>
      </c>
      <c r="T455">
        <f t="shared" si="89"/>
        <v>6</v>
      </c>
      <c r="U455">
        <f t="shared" si="90"/>
        <v>0</v>
      </c>
      <c r="V455">
        <f t="shared" si="91"/>
        <v>6</v>
      </c>
      <c r="Y455" t="str">
        <f t="shared" si="82"/>
        <v>Ghana</v>
      </c>
      <c r="Z455" s="104" t="str">
        <f t="shared" si="83"/>
        <v/>
      </c>
      <c r="AA455" s="104">
        <f t="shared" si="84"/>
        <v>1</v>
      </c>
      <c r="AB455" s="104">
        <f t="shared" si="85"/>
        <v>1</v>
      </c>
    </row>
    <row r="456" spans="1:28" x14ac:dyDescent="0.25">
      <c r="A456" s="55" t="s">
        <v>7179</v>
      </c>
      <c r="B456" s="57"/>
      <c r="C456" s="57"/>
      <c r="D456" s="57"/>
      <c r="E456" s="57"/>
      <c r="F456" s="57">
        <v>1</v>
      </c>
      <c r="G456" s="57"/>
      <c r="H456" s="57"/>
      <c r="I456" s="57"/>
      <c r="J456" s="57"/>
      <c r="K456" s="57"/>
      <c r="L456" s="57"/>
      <c r="M456" s="57"/>
      <c r="Q456">
        <f t="shared" si="86"/>
        <v>0</v>
      </c>
      <c r="R456">
        <f t="shared" si="87"/>
        <v>0</v>
      </c>
      <c r="S456">
        <f t="shared" si="88"/>
        <v>0</v>
      </c>
      <c r="T456">
        <f t="shared" si="89"/>
        <v>1</v>
      </c>
      <c r="U456">
        <f t="shared" si="90"/>
        <v>0</v>
      </c>
      <c r="V456">
        <f t="shared" si="91"/>
        <v>0</v>
      </c>
      <c r="Y456" t="str">
        <f t="shared" si="82"/>
        <v>Liberia</v>
      </c>
      <c r="Z456" s="104" t="str">
        <f t="shared" si="83"/>
        <v/>
      </c>
      <c r="AA456" s="104">
        <f t="shared" si="84"/>
        <v>1</v>
      </c>
      <c r="AB456" s="104" t="str">
        <f t="shared" si="85"/>
        <v/>
      </c>
    </row>
    <row r="457" spans="1:28" x14ac:dyDescent="0.25">
      <c r="A457" s="55" t="s">
        <v>7835</v>
      </c>
      <c r="B457" s="57"/>
      <c r="C457" s="57"/>
      <c r="D457" s="57"/>
      <c r="E457" s="57"/>
      <c r="F457" s="57">
        <v>9</v>
      </c>
      <c r="G457" s="57"/>
      <c r="H457" s="57">
        <v>1</v>
      </c>
      <c r="I457" s="57">
        <v>6</v>
      </c>
      <c r="J457" s="57"/>
      <c r="K457" s="57"/>
      <c r="L457" s="57"/>
      <c r="M457" s="57"/>
      <c r="Q457">
        <f t="shared" si="86"/>
        <v>0</v>
      </c>
      <c r="R457">
        <f t="shared" si="87"/>
        <v>0</v>
      </c>
      <c r="S457">
        <f t="shared" si="88"/>
        <v>0</v>
      </c>
      <c r="T457">
        <f t="shared" si="89"/>
        <v>9</v>
      </c>
      <c r="U457">
        <f t="shared" si="90"/>
        <v>1</v>
      </c>
      <c r="V457">
        <f t="shared" si="91"/>
        <v>6</v>
      </c>
      <c r="Y457" t="str">
        <f t="shared" si="82"/>
        <v>Mali</v>
      </c>
      <c r="Z457" s="104" t="str">
        <f t="shared" si="83"/>
        <v/>
      </c>
      <c r="AA457" s="104">
        <f t="shared" si="84"/>
        <v>1</v>
      </c>
      <c r="AB457" s="104">
        <f t="shared" si="85"/>
        <v>0.8571428571428571</v>
      </c>
    </row>
    <row r="458" spans="1:28" x14ac:dyDescent="0.25">
      <c r="A458" s="55" t="s">
        <v>9043</v>
      </c>
      <c r="B458" s="57"/>
      <c r="C458" s="57"/>
      <c r="D458" s="57"/>
      <c r="E458" s="57">
        <v>2</v>
      </c>
      <c r="F458" s="57">
        <v>22</v>
      </c>
      <c r="G458" s="57"/>
      <c r="H458" s="57"/>
      <c r="I458" s="57">
        <v>1</v>
      </c>
      <c r="J458" s="57"/>
      <c r="K458" s="57"/>
      <c r="L458" s="57"/>
      <c r="M458" s="57"/>
      <c r="Q458">
        <f t="shared" si="86"/>
        <v>0</v>
      </c>
      <c r="R458">
        <f t="shared" si="87"/>
        <v>0</v>
      </c>
      <c r="S458">
        <f t="shared" si="88"/>
        <v>2</v>
      </c>
      <c r="T458">
        <f t="shared" si="89"/>
        <v>22</v>
      </c>
      <c r="U458">
        <f t="shared" si="90"/>
        <v>0</v>
      </c>
      <c r="V458">
        <f t="shared" si="91"/>
        <v>1</v>
      </c>
      <c r="Y458" t="str">
        <f t="shared" si="82"/>
        <v>Niger</v>
      </c>
      <c r="Z458" s="104" t="str">
        <f t="shared" si="83"/>
        <v/>
      </c>
      <c r="AA458" s="104">
        <f t="shared" si="84"/>
        <v>0.91666666666666663</v>
      </c>
      <c r="AB458" s="104">
        <f t="shared" si="85"/>
        <v>1</v>
      </c>
    </row>
    <row r="459" spans="1:28" x14ac:dyDescent="0.25">
      <c r="A459" s="55" t="s">
        <v>10594</v>
      </c>
      <c r="B459" s="57"/>
      <c r="C459" s="57"/>
      <c r="D459" s="57"/>
      <c r="E459" s="57"/>
      <c r="F459" s="57">
        <v>4</v>
      </c>
      <c r="G459" s="57"/>
      <c r="H459" s="57"/>
      <c r="I459" s="57">
        <v>1</v>
      </c>
      <c r="J459" s="57"/>
      <c r="K459" s="57"/>
      <c r="L459" s="57"/>
      <c r="M459" s="57"/>
      <c r="Q459">
        <f t="shared" si="86"/>
        <v>0</v>
      </c>
      <c r="R459">
        <f t="shared" si="87"/>
        <v>0</v>
      </c>
      <c r="S459">
        <f t="shared" si="88"/>
        <v>0</v>
      </c>
      <c r="T459">
        <f t="shared" si="89"/>
        <v>4</v>
      </c>
      <c r="U459">
        <f t="shared" si="90"/>
        <v>0</v>
      </c>
      <c r="V459">
        <f t="shared" si="91"/>
        <v>1</v>
      </c>
      <c r="Y459" t="str">
        <f t="shared" si="82"/>
        <v>Sierra Leone</v>
      </c>
      <c r="Z459" s="104" t="str">
        <f t="shared" si="83"/>
        <v/>
      </c>
      <c r="AA459" s="104">
        <f t="shared" si="84"/>
        <v>1</v>
      </c>
      <c r="AB459" s="104">
        <f t="shared" si="85"/>
        <v>1</v>
      </c>
    </row>
    <row r="460" spans="1:28" x14ac:dyDescent="0.25">
      <c r="A460" s="50" t="s">
        <v>14278</v>
      </c>
      <c r="B460" s="57">
        <v>1</v>
      </c>
      <c r="C460" s="57"/>
      <c r="D460" s="57"/>
      <c r="E460" s="57">
        <v>6</v>
      </c>
      <c r="F460" s="57">
        <v>67</v>
      </c>
      <c r="G460" s="57"/>
      <c r="H460" s="57">
        <v>3</v>
      </c>
      <c r="I460" s="57">
        <v>20</v>
      </c>
      <c r="J460" s="57"/>
      <c r="K460" s="57"/>
      <c r="L460" s="57"/>
      <c r="M460" s="57"/>
      <c r="Q460">
        <f t="shared" si="86"/>
        <v>1</v>
      </c>
      <c r="R460">
        <f t="shared" si="87"/>
        <v>0</v>
      </c>
      <c r="S460">
        <f t="shared" si="88"/>
        <v>6</v>
      </c>
      <c r="T460">
        <f t="shared" si="89"/>
        <v>67</v>
      </c>
      <c r="U460">
        <f t="shared" si="90"/>
        <v>3</v>
      </c>
      <c r="V460">
        <f t="shared" si="91"/>
        <v>20</v>
      </c>
      <c r="Y460" t="str">
        <f t="shared" si="82"/>
        <v>Africa - Western Total</v>
      </c>
      <c r="Z460" s="104">
        <f t="shared" si="83"/>
        <v>0</v>
      </c>
      <c r="AA460" s="104">
        <f t="shared" si="84"/>
        <v>0.9178082191780822</v>
      </c>
      <c r="AB460" s="104">
        <f t="shared" si="85"/>
        <v>0.86956521739130432</v>
      </c>
    </row>
    <row r="461" spans="1:28" x14ac:dyDescent="0.25">
      <c r="A461" s="50" t="s">
        <v>306</v>
      </c>
      <c r="B461" s="57"/>
      <c r="C461" s="57"/>
      <c r="D461" s="57"/>
      <c r="E461" s="57"/>
      <c r="F461" s="57"/>
      <c r="G461" s="57"/>
      <c r="H461" s="57"/>
      <c r="I461" s="57"/>
      <c r="J461" s="57"/>
      <c r="K461" s="57"/>
      <c r="L461" s="57"/>
      <c r="M461" s="57"/>
      <c r="Q461">
        <f t="shared" si="86"/>
        <v>0</v>
      </c>
      <c r="R461">
        <f t="shared" si="87"/>
        <v>0</v>
      </c>
      <c r="S461">
        <f t="shared" si="88"/>
        <v>0</v>
      </c>
      <c r="T461">
        <f t="shared" si="89"/>
        <v>0</v>
      </c>
      <c r="U461">
        <f t="shared" si="90"/>
        <v>0</v>
      </c>
      <c r="V461">
        <f t="shared" si="91"/>
        <v>0</v>
      </c>
      <c r="Y461" t="str">
        <f t="shared" si="82"/>
        <v>Asia and the Pacific</v>
      </c>
      <c r="Z461" s="104" t="str">
        <f t="shared" si="83"/>
        <v/>
      </c>
      <c r="AA461" s="104" t="str">
        <f t="shared" si="84"/>
        <v/>
      </c>
      <c r="AB461" s="104" t="str">
        <f t="shared" si="85"/>
        <v/>
      </c>
    </row>
    <row r="462" spans="1:28" x14ac:dyDescent="0.25">
      <c r="A462" s="55" t="s">
        <v>305</v>
      </c>
      <c r="B462" s="57"/>
      <c r="C462" s="57"/>
      <c r="D462" s="57"/>
      <c r="E462" s="57">
        <v>1</v>
      </c>
      <c r="F462" s="57">
        <v>13</v>
      </c>
      <c r="G462" s="57"/>
      <c r="H462" s="57"/>
      <c r="I462" s="57">
        <v>1</v>
      </c>
      <c r="J462" s="57"/>
      <c r="K462" s="57"/>
      <c r="L462" s="57"/>
      <c r="M462" s="57"/>
      <c r="Q462">
        <f t="shared" si="86"/>
        <v>0</v>
      </c>
      <c r="R462">
        <f t="shared" si="87"/>
        <v>0</v>
      </c>
      <c r="S462">
        <f t="shared" si="88"/>
        <v>1</v>
      </c>
      <c r="T462">
        <f t="shared" si="89"/>
        <v>13</v>
      </c>
      <c r="U462">
        <f t="shared" si="90"/>
        <v>0</v>
      </c>
      <c r="V462">
        <f t="shared" si="91"/>
        <v>1</v>
      </c>
      <c r="Y462" t="str">
        <f t="shared" si="82"/>
        <v>Afghanistan</v>
      </c>
      <c r="Z462" s="104" t="str">
        <f t="shared" si="83"/>
        <v/>
      </c>
      <c r="AA462" s="104">
        <f t="shared" si="84"/>
        <v>0.9285714285714286</v>
      </c>
      <c r="AB462" s="104">
        <f t="shared" si="85"/>
        <v>1</v>
      </c>
    </row>
    <row r="463" spans="1:28" x14ac:dyDescent="0.25">
      <c r="A463" s="55" t="s">
        <v>652</v>
      </c>
      <c r="B463" s="57"/>
      <c r="C463" s="57"/>
      <c r="D463" s="57"/>
      <c r="E463" s="57">
        <v>5</v>
      </c>
      <c r="F463" s="57">
        <v>25</v>
      </c>
      <c r="G463" s="57"/>
      <c r="H463" s="57">
        <v>6</v>
      </c>
      <c r="I463" s="57">
        <v>12</v>
      </c>
      <c r="J463" s="57"/>
      <c r="K463" s="57"/>
      <c r="L463" s="57"/>
      <c r="M463" s="57"/>
      <c r="Q463">
        <f t="shared" si="86"/>
        <v>0</v>
      </c>
      <c r="R463">
        <f t="shared" si="87"/>
        <v>0</v>
      </c>
      <c r="S463">
        <f t="shared" si="88"/>
        <v>5</v>
      </c>
      <c r="T463">
        <f t="shared" si="89"/>
        <v>25</v>
      </c>
      <c r="U463">
        <f t="shared" si="90"/>
        <v>6</v>
      </c>
      <c r="V463">
        <f t="shared" si="91"/>
        <v>12</v>
      </c>
      <c r="Y463" t="str">
        <f t="shared" si="82"/>
        <v>Bangladesh</v>
      </c>
      <c r="Z463" s="104" t="str">
        <f t="shared" si="83"/>
        <v/>
      </c>
      <c r="AA463" s="104">
        <f t="shared" si="84"/>
        <v>0.83333333333333337</v>
      </c>
      <c r="AB463" s="104">
        <f t="shared" si="85"/>
        <v>0.66666666666666663</v>
      </c>
    </row>
    <row r="464" spans="1:28" x14ac:dyDescent="0.25">
      <c r="A464" s="55" t="s">
        <v>2092</v>
      </c>
      <c r="B464" s="57"/>
      <c r="C464" s="57"/>
      <c r="D464" s="57"/>
      <c r="E464" s="57"/>
      <c r="F464" s="57">
        <v>7</v>
      </c>
      <c r="G464" s="57"/>
      <c r="H464" s="57">
        <v>1</v>
      </c>
      <c r="I464" s="57">
        <v>9</v>
      </c>
      <c r="J464" s="57"/>
      <c r="K464" s="57"/>
      <c r="L464" s="57"/>
      <c r="M464" s="57"/>
      <c r="Q464">
        <f t="shared" si="86"/>
        <v>0</v>
      </c>
      <c r="R464">
        <f t="shared" si="87"/>
        <v>0</v>
      </c>
      <c r="S464">
        <f t="shared" si="88"/>
        <v>0</v>
      </c>
      <c r="T464">
        <f t="shared" si="89"/>
        <v>7</v>
      </c>
      <c r="U464">
        <f t="shared" si="90"/>
        <v>1</v>
      </c>
      <c r="V464">
        <f t="shared" si="91"/>
        <v>9</v>
      </c>
      <c r="Y464" t="str">
        <f t="shared" si="82"/>
        <v>Cambodia</v>
      </c>
      <c r="Z464" s="104" t="str">
        <f t="shared" si="83"/>
        <v/>
      </c>
      <c r="AA464" s="104">
        <f t="shared" si="84"/>
        <v>1</v>
      </c>
      <c r="AB464" s="104">
        <f t="shared" si="85"/>
        <v>0.9</v>
      </c>
    </row>
    <row r="465" spans="1:28" x14ac:dyDescent="0.25">
      <c r="A465" s="55" t="s">
        <v>4268</v>
      </c>
      <c r="B465" s="57"/>
      <c r="C465" s="57"/>
      <c r="D465" s="57"/>
      <c r="E465" s="57"/>
      <c r="F465" s="57">
        <v>1</v>
      </c>
      <c r="G465" s="57"/>
      <c r="H465" s="57"/>
      <c r="I465" s="57"/>
      <c r="J465" s="57"/>
      <c r="K465" s="57"/>
      <c r="L465" s="57"/>
      <c r="M465" s="57"/>
      <c r="Q465">
        <f t="shared" si="86"/>
        <v>0</v>
      </c>
      <c r="R465">
        <f t="shared" si="87"/>
        <v>0</v>
      </c>
      <c r="S465">
        <f t="shared" si="88"/>
        <v>0</v>
      </c>
      <c r="T465">
        <f t="shared" si="89"/>
        <v>1</v>
      </c>
      <c r="U465">
        <f t="shared" si="90"/>
        <v>0</v>
      </c>
      <c r="V465">
        <f t="shared" si="91"/>
        <v>0</v>
      </c>
      <c r="Y465" t="str">
        <f t="shared" si="82"/>
        <v>Fiji</v>
      </c>
      <c r="Z465" s="104" t="str">
        <f t="shared" si="83"/>
        <v/>
      </c>
      <c r="AA465" s="104">
        <f t="shared" si="84"/>
        <v>1</v>
      </c>
      <c r="AB465" s="104" t="str">
        <f t="shared" si="85"/>
        <v/>
      </c>
    </row>
    <row r="466" spans="1:28" x14ac:dyDescent="0.25">
      <c r="A466" s="55" t="s">
        <v>5300</v>
      </c>
      <c r="B466" s="57"/>
      <c r="C466" s="57"/>
      <c r="D466" s="57"/>
      <c r="E466" s="57"/>
      <c r="F466" s="57">
        <v>14</v>
      </c>
      <c r="G466" s="57"/>
      <c r="H466" s="57">
        <v>4</v>
      </c>
      <c r="I466" s="57">
        <v>17</v>
      </c>
      <c r="J466" s="57"/>
      <c r="K466" s="57"/>
      <c r="L466" s="57"/>
      <c r="M466" s="57"/>
      <c r="Q466">
        <f t="shared" si="86"/>
        <v>0</v>
      </c>
      <c r="R466">
        <f t="shared" si="87"/>
        <v>0</v>
      </c>
      <c r="S466">
        <f t="shared" si="88"/>
        <v>0</v>
      </c>
      <c r="T466">
        <f t="shared" si="89"/>
        <v>14</v>
      </c>
      <c r="U466">
        <f t="shared" si="90"/>
        <v>4</v>
      </c>
      <c r="V466">
        <f t="shared" si="91"/>
        <v>17</v>
      </c>
      <c r="Y466" t="str">
        <f t="shared" si="82"/>
        <v>India</v>
      </c>
      <c r="Z466" s="104" t="str">
        <f t="shared" si="83"/>
        <v/>
      </c>
      <c r="AA466" s="104">
        <f t="shared" si="84"/>
        <v>1</v>
      </c>
      <c r="AB466" s="104">
        <f t="shared" si="85"/>
        <v>0.80952380952380953</v>
      </c>
    </row>
    <row r="467" spans="1:28" x14ac:dyDescent="0.25">
      <c r="A467" s="55" t="s">
        <v>5932</v>
      </c>
      <c r="B467" s="57"/>
      <c r="C467" s="57"/>
      <c r="D467" s="57"/>
      <c r="E467" s="57"/>
      <c r="F467" s="57">
        <v>6</v>
      </c>
      <c r="G467" s="57"/>
      <c r="H467" s="57">
        <v>2</v>
      </c>
      <c r="I467" s="57"/>
      <c r="J467" s="57"/>
      <c r="K467" s="57"/>
      <c r="L467" s="57"/>
      <c r="M467" s="57"/>
      <c r="Q467">
        <f t="shared" si="86"/>
        <v>0</v>
      </c>
      <c r="R467">
        <f t="shared" si="87"/>
        <v>0</v>
      </c>
      <c r="S467">
        <f t="shared" si="88"/>
        <v>0</v>
      </c>
      <c r="T467">
        <f t="shared" si="89"/>
        <v>6</v>
      </c>
      <c r="U467">
        <f t="shared" si="90"/>
        <v>2</v>
      </c>
      <c r="V467">
        <f t="shared" si="91"/>
        <v>0</v>
      </c>
      <c r="Y467" t="str">
        <f t="shared" si="82"/>
        <v>Indonesia</v>
      </c>
      <c r="Z467" s="104" t="str">
        <f t="shared" si="83"/>
        <v/>
      </c>
      <c r="AA467" s="104">
        <f t="shared" si="84"/>
        <v>1</v>
      </c>
      <c r="AB467" s="104">
        <f t="shared" si="85"/>
        <v>0</v>
      </c>
    </row>
    <row r="468" spans="1:28" x14ac:dyDescent="0.25">
      <c r="A468" s="55" t="s">
        <v>6850</v>
      </c>
      <c r="B468" s="57"/>
      <c r="C468" s="57"/>
      <c r="D468" s="57"/>
      <c r="E468" s="57">
        <v>1</v>
      </c>
      <c r="F468" s="57">
        <v>12</v>
      </c>
      <c r="G468" s="57"/>
      <c r="H468" s="57"/>
      <c r="I468" s="57">
        <v>1</v>
      </c>
      <c r="J468" s="57"/>
      <c r="K468" s="57"/>
      <c r="L468" s="57"/>
      <c r="M468" s="57"/>
      <c r="Q468">
        <f t="shared" si="86"/>
        <v>0</v>
      </c>
      <c r="R468">
        <f t="shared" si="87"/>
        <v>0</v>
      </c>
      <c r="S468">
        <f t="shared" si="88"/>
        <v>1</v>
      </c>
      <c r="T468">
        <f t="shared" si="89"/>
        <v>12</v>
      </c>
      <c r="U468">
        <f t="shared" si="90"/>
        <v>0</v>
      </c>
      <c r="V468">
        <f t="shared" si="91"/>
        <v>1</v>
      </c>
      <c r="Y468" t="str">
        <f t="shared" si="82"/>
        <v>Laos</v>
      </c>
      <c r="Z468" s="104" t="str">
        <f t="shared" si="83"/>
        <v/>
      </c>
      <c r="AA468" s="104">
        <f t="shared" si="84"/>
        <v>0.92307692307692313</v>
      </c>
      <c r="AB468" s="104">
        <f t="shared" si="85"/>
        <v>1</v>
      </c>
    </row>
    <row r="469" spans="1:28" x14ac:dyDescent="0.25">
      <c r="A469" s="55" t="s">
        <v>8444</v>
      </c>
      <c r="B469" s="57"/>
      <c r="C469" s="57"/>
      <c r="D469" s="57"/>
      <c r="E469" s="57">
        <v>6</v>
      </c>
      <c r="F469" s="57">
        <v>4</v>
      </c>
      <c r="G469" s="57"/>
      <c r="H469" s="57">
        <v>4</v>
      </c>
      <c r="I469" s="57">
        <v>2</v>
      </c>
      <c r="J469" s="57"/>
      <c r="K469" s="57"/>
      <c r="L469" s="57"/>
      <c r="M469" s="57"/>
      <c r="Q469">
        <f t="shared" si="86"/>
        <v>0</v>
      </c>
      <c r="R469">
        <f t="shared" si="87"/>
        <v>0</v>
      </c>
      <c r="S469">
        <f t="shared" si="88"/>
        <v>6</v>
      </c>
      <c r="T469">
        <f t="shared" si="89"/>
        <v>4</v>
      </c>
      <c r="U469">
        <f t="shared" si="90"/>
        <v>4</v>
      </c>
      <c r="V469">
        <f t="shared" si="91"/>
        <v>2</v>
      </c>
      <c r="Y469" t="str">
        <f t="shared" si="82"/>
        <v>Myanmar</v>
      </c>
      <c r="Z469" s="104" t="str">
        <f t="shared" si="83"/>
        <v/>
      </c>
      <c r="AA469" s="104">
        <f t="shared" si="84"/>
        <v>0.4</v>
      </c>
      <c r="AB469" s="104">
        <f t="shared" si="85"/>
        <v>0.33333333333333331</v>
      </c>
    </row>
    <row r="470" spans="1:28" x14ac:dyDescent="0.25">
      <c r="A470" s="55" t="s">
        <v>8647</v>
      </c>
      <c r="B470" s="57"/>
      <c r="C470" s="57"/>
      <c r="D470" s="57"/>
      <c r="E470" s="57"/>
      <c r="F470" s="57">
        <v>14</v>
      </c>
      <c r="G470" s="57"/>
      <c r="H470" s="57">
        <v>1</v>
      </c>
      <c r="I470" s="57">
        <v>7</v>
      </c>
      <c r="J470" s="57"/>
      <c r="K470" s="57"/>
      <c r="L470" s="57"/>
      <c r="M470" s="57"/>
      <c r="Q470">
        <f t="shared" si="86"/>
        <v>0</v>
      </c>
      <c r="R470">
        <f t="shared" si="87"/>
        <v>0</v>
      </c>
      <c r="S470">
        <f t="shared" si="88"/>
        <v>0</v>
      </c>
      <c r="T470">
        <f t="shared" si="89"/>
        <v>14</v>
      </c>
      <c r="U470">
        <f t="shared" si="90"/>
        <v>1</v>
      </c>
      <c r="V470">
        <f t="shared" si="91"/>
        <v>7</v>
      </c>
      <c r="Y470" t="str">
        <f t="shared" si="82"/>
        <v>Nepal</v>
      </c>
      <c r="Z470" s="104" t="str">
        <f t="shared" si="83"/>
        <v/>
      </c>
      <c r="AA470" s="104">
        <f t="shared" si="84"/>
        <v>1</v>
      </c>
      <c r="AB470" s="104">
        <f t="shared" si="85"/>
        <v>0.875</v>
      </c>
    </row>
    <row r="471" spans="1:28" x14ac:dyDescent="0.25">
      <c r="A471" s="55" t="s">
        <v>9427</v>
      </c>
      <c r="B471" s="57"/>
      <c r="C471" s="57"/>
      <c r="D471" s="57"/>
      <c r="E471" s="57"/>
      <c r="F471" s="57">
        <v>3</v>
      </c>
      <c r="G471" s="57"/>
      <c r="H471" s="57"/>
      <c r="I471" s="57"/>
      <c r="J471" s="57"/>
      <c r="K471" s="57">
        <v>1</v>
      </c>
      <c r="L471" s="57">
        <v>1</v>
      </c>
      <c r="M471" s="57"/>
      <c r="Q471">
        <f t="shared" si="86"/>
        <v>0</v>
      </c>
      <c r="R471">
        <f t="shared" si="87"/>
        <v>0</v>
      </c>
      <c r="S471">
        <f t="shared" si="88"/>
        <v>0</v>
      </c>
      <c r="T471">
        <f t="shared" si="89"/>
        <v>3</v>
      </c>
      <c r="U471">
        <f t="shared" si="90"/>
        <v>0</v>
      </c>
      <c r="V471">
        <f t="shared" si="91"/>
        <v>0</v>
      </c>
      <c r="Y471" t="str">
        <f t="shared" si="82"/>
        <v>Pakistan</v>
      </c>
      <c r="Z471" s="104" t="str">
        <f t="shared" si="83"/>
        <v/>
      </c>
      <c r="AA471" s="104">
        <f t="shared" si="84"/>
        <v>1</v>
      </c>
      <c r="AB471" s="104" t="str">
        <f t="shared" si="85"/>
        <v/>
      </c>
    </row>
    <row r="472" spans="1:28" x14ac:dyDescent="0.25">
      <c r="A472" s="55" t="s">
        <v>9516</v>
      </c>
      <c r="B472" s="57"/>
      <c r="C472" s="57"/>
      <c r="D472" s="57"/>
      <c r="E472" s="57"/>
      <c r="F472" s="57">
        <v>4</v>
      </c>
      <c r="G472" s="57"/>
      <c r="H472" s="57">
        <v>3</v>
      </c>
      <c r="I472" s="57">
        <v>4</v>
      </c>
      <c r="J472" s="57"/>
      <c r="K472" s="57"/>
      <c r="L472" s="57"/>
      <c r="M472" s="57"/>
      <c r="Q472">
        <f t="shared" si="86"/>
        <v>0</v>
      </c>
      <c r="R472">
        <f t="shared" si="87"/>
        <v>0</v>
      </c>
      <c r="S472">
        <f t="shared" si="88"/>
        <v>0</v>
      </c>
      <c r="T472">
        <f t="shared" si="89"/>
        <v>4</v>
      </c>
      <c r="U472">
        <f t="shared" si="90"/>
        <v>3</v>
      </c>
      <c r="V472">
        <f t="shared" si="91"/>
        <v>4</v>
      </c>
      <c r="Y472" t="str">
        <f t="shared" si="82"/>
        <v>Papua New Guinea</v>
      </c>
      <c r="Z472" s="104" t="str">
        <f t="shared" si="83"/>
        <v/>
      </c>
      <c r="AA472" s="104">
        <f t="shared" si="84"/>
        <v>1</v>
      </c>
      <c r="AB472" s="104">
        <f t="shared" si="85"/>
        <v>0.5714285714285714</v>
      </c>
    </row>
    <row r="473" spans="1:28" x14ac:dyDescent="0.25">
      <c r="A473" s="55" t="s">
        <v>10263</v>
      </c>
      <c r="B473" s="57"/>
      <c r="C473" s="57"/>
      <c r="D473" s="57"/>
      <c r="E473" s="57">
        <v>1</v>
      </c>
      <c r="F473" s="57">
        <v>2</v>
      </c>
      <c r="G473" s="57"/>
      <c r="H473" s="57"/>
      <c r="I473" s="57">
        <v>2</v>
      </c>
      <c r="J473" s="57"/>
      <c r="K473" s="57"/>
      <c r="L473" s="57"/>
      <c r="M473" s="57"/>
      <c r="Q473">
        <f t="shared" si="86"/>
        <v>0</v>
      </c>
      <c r="R473">
        <f t="shared" si="87"/>
        <v>0</v>
      </c>
      <c r="S473">
        <f t="shared" si="88"/>
        <v>1</v>
      </c>
      <c r="T473">
        <f t="shared" si="89"/>
        <v>2</v>
      </c>
      <c r="U473">
        <f t="shared" si="90"/>
        <v>0</v>
      </c>
      <c r="V473">
        <f t="shared" si="91"/>
        <v>2</v>
      </c>
      <c r="Y473" t="str">
        <f t="shared" si="82"/>
        <v>Philippines</v>
      </c>
      <c r="Z473" s="104" t="str">
        <f t="shared" si="83"/>
        <v/>
      </c>
      <c r="AA473" s="104">
        <f t="shared" si="84"/>
        <v>0.66666666666666663</v>
      </c>
      <c r="AB473" s="104">
        <f t="shared" si="85"/>
        <v>1</v>
      </c>
    </row>
    <row r="474" spans="1:28" x14ac:dyDescent="0.25">
      <c r="A474" s="55" t="s">
        <v>11304</v>
      </c>
      <c r="B474" s="57"/>
      <c r="C474" s="57"/>
      <c r="D474" s="57"/>
      <c r="E474" s="57"/>
      <c r="F474" s="57">
        <v>6</v>
      </c>
      <c r="G474" s="57"/>
      <c r="H474" s="57">
        <v>1</v>
      </c>
      <c r="I474" s="57"/>
      <c r="J474" s="57"/>
      <c r="K474" s="57"/>
      <c r="L474" s="57"/>
      <c r="M474" s="57"/>
      <c r="Q474">
        <f t="shared" si="86"/>
        <v>0</v>
      </c>
      <c r="R474">
        <f t="shared" si="87"/>
        <v>0</v>
      </c>
      <c r="S474">
        <f t="shared" si="88"/>
        <v>0</v>
      </c>
      <c r="T474">
        <f t="shared" si="89"/>
        <v>6</v>
      </c>
      <c r="U474">
        <f t="shared" si="90"/>
        <v>1</v>
      </c>
      <c r="V474">
        <f t="shared" si="91"/>
        <v>0</v>
      </c>
      <c r="Y474" t="str">
        <f t="shared" si="82"/>
        <v>Sri Lanka</v>
      </c>
      <c r="Z474" s="104" t="str">
        <f t="shared" si="83"/>
        <v/>
      </c>
      <c r="AA474" s="104">
        <f t="shared" si="84"/>
        <v>1</v>
      </c>
      <c r="AB474" s="104">
        <f t="shared" si="85"/>
        <v>0</v>
      </c>
    </row>
    <row r="475" spans="1:28" x14ac:dyDescent="0.25">
      <c r="A475" s="55" t="s">
        <v>12294</v>
      </c>
      <c r="B475" s="57"/>
      <c r="C475" s="57"/>
      <c r="D475" s="57"/>
      <c r="E475" s="57">
        <v>2</v>
      </c>
      <c r="F475" s="57">
        <v>13</v>
      </c>
      <c r="G475" s="57"/>
      <c r="H475" s="57">
        <v>3</v>
      </c>
      <c r="I475" s="57">
        <v>4</v>
      </c>
      <c r="J475" s="57"/>
      <c r="K475" s="57"/>
      <c r="L475" s="57"/>
      <c r="M475" s="57"/>
      <c r="Q475">
        <f t="shared" si="86"/>
        <v>0</v>
      </c>
      <c r="R475">
        <f t="shared" si="87"/>
        <v>0</v>
      </c>
      <c r="S475">
        <f t="shared" si="88"/>
        <v>2</v>
      </c>
      <c r="T475">
        <f t="shared" si="89"/>
        <v>13</v>
      </c>
      <c r="U475">
        <f t="shared" si="90"/>
        <v>3</v>
      </c>
      <c r="V475">
        <f t="shared" si="91"/>
        <v>4</v>
      </c>
      <c r="Y475" t="str">
        <f t="shared" si="82"/>
        <v>Thailand</v>
      </c>
      <c r="Z475" s="104" t="str">
        <f t="shared" si="83"/>
        <v/>
      </c>
      <c r="AA475" s="104">
        <f t="shared" si="84"/>
        <v>0.8666666666666667</v>
      </c>
      <c r="AB475" s="104">
        <f t="shared" si="85"/>
        <v>0.5714285714285714</v>
      </c>
    </row>
    <row r="476" spans="1:28" x14ac:dyDescent="0.25">
      <c r="A476" s="55" t="s">
        <v>12547</v>
      </c>
      <c r="B476" s="57"/>
      <c r="C476" s="57"/>
      <c r="D476" s="57"/>
      <c r="E476" s="57">
        <v>3</v>
      </c>
      <c r="F476" s="57">
        <v>1</v>
      </c>
      <c r="G476" s="57"/>
      <c r="H476" s="57">
        <v>2</v>
      </c>
      <c r="I476" s="57"/>
      <c r="J476" s="57"/>
      <c r="K476" s="57"/>
      <c r="L476" s="57"/>
      <c r="M476" s="57"/>
      <c r="Q476">
        <f t="shared" si="86"/>
        <v>0</v>
      </c>
      <c r="R476">
        <f t="shared" si="87"/>
        <v>0</v>
      </c>
      <c r="S476">
        <f t="shared" si="88"/>
        <v>3</v>
      </c>
      <c r="T476">
        <f t="shared" si="89"/>
        <v>1</v>
      </c>
      <c r="U476">
        <f t="shared" si="90"/>
        <v>2</v>
      </c>
      <c r="V476">
        <f t="shared" si="91"/>
        <v>0</v>
      </c>
      <c r="Y476" t="str">
        <f t="shared" si="82"/>
        <v>Timor-Leste</v>
      </c>
      <c r="Z476" s="104" t="str">
        <f t="shared" si="83"/>
        <v/>
      </c>
      <c r="AA476" s="104">
        <f t="shared" si="84"/>
        <v>0.25</v>
      </c>
      <c r="AB476" s="104">
        <f t="shared" si="85"/>
        <v>0</v>
      </c>
    </row>
    <row r="477" spans="1:28" x14ac:dyDescent="0.25">
      <c r="A477" s="55" t="s">
        <v>13272</v>
      </c>
      <c r="B477" s="57"/>
      <c r="C477" s="57"/>
      <c r="D477" s="57"/>
      <c r="E477" s="57"/>
      <c r="F477" s="57"/>
      <c r="G477" s="57"/>
      <c r="H477" s="57"/>
      <c r="I477" s="57">
        <v>8</v>
      </c>
      <c r="J477" s="57"/>
      <c r="K477" s="57"/>
      <c r="L477" s="57"/>
      <c r="M477" s="57"/>
      <c r="Q477">
        <f t="shared" si="86"/>
        <v>0</v>
      </c>
      <c r="R477">
        <f t="shared" si="87"/>
        <v>0</v>
      </c>
      <c r="S477">
        <f t="shared" si="88"/>
        <v>0</v>
      </c>
      <c r="T477">
        <f t="shared" si="89"/>
        <v>0</v>
      </c>
      <c r="U477">
        <f t="shared" si="90"/>
        <v>0</v>
      </c>
      <c r="V477">
        <f t="shared" si="91"/>
        <v>8</v>
      </c>
      <c r="Y477" t="str">
        <f t="shared" si="82"/>
        <v>Vanuatu</v>
      </c>
      <c r="Z477" s="104" t="str">
        <f t="shared" si="83"/>
        <v/>
      </c>
      <c r="AA477" s="104" t="str">
        <f t="shared" si="84"/>
        <v/>
      </c>
      <c r="AB477" s="104">
        <f t="shared" si="85"/>
        <v>1</v>
      </c>
    </row>
    <row r="478" spans="1:28" x14ac:dyDescent="0.25">
      <c r="A478" s="55" t="s">
        <v>13409</v>
      </c>
      <c r="B478" s="57"/>
      <c r="C478" s="57"/>
      <c r="D478" s="57"/>
      <c r="E478" s="57">
        <v>4</v>
      </c>
      <c r="F478" s="57">
        <v>2</v>
      </c>
      <c r="G478" s="57"/>
      <c r="H478" s="57"/>
      <c r="I478" s="57">
        <v>11</v>
      </c>
      <c r="J478" s="57"/>
      <c r="K478" s="57"/>
      <c r="L478" s="57"/>
      <c r="M478" s="57"/>
      <c r="Q478">
        <f t="shared" si="86"/>
        <v>0</v>
      </c>
      <c r="R478">
        <f t="shared" si="87"/>
        <v>0</v>
      </c>
      <c r="S478">
        <f t="shared" si="88"/>
        <v>4</v>
      </c>
      <c r="T478">
        <f t="shared" si="89"/>
        <v>2</v>
      </c>
      <c r="U478">
        <f t="shared" si="90"/>
        <v>0</v>
      </c>
      <c r="V478">
        <f t="shared" si="91"/>
        <v>11</v>
      </c>
      <c r="Y478" t="str">
        <f t="shared" si="82"/>
        <v>Vietnam</v>
      </c>
      <c r="Z478" s="104" t="str">
        <f t="shared" si="83"/>
        <v/>
      </c>
      <c r="AA478" s="104">
        <f t="shared" si="84"/>
        <v>0.33333333333333331</v>
      </c>
      <c r="AB478" s="104">
        <f t="shared" si="85"/>
        <v>1</v>
      </c>
    </row>
    <row r="479" spans="1:28" x14ac:dyDescent="0.25">
      <c r="A479" s="50" t="s">
        <v>14279</v>
      </c>
      <c r="B479" s="57"/>
      <c r="C479" s="57"/>
      <c r="D479" s="57"/>
      <c r="E479" s="57">
        <v>23</v>
      </c>
      <c r="F479" s="57">
        <v>127</v>
      </c>
      <c r="G479" s="57"/>
      <c r="H479" s="57">
        <v>27</v>
      </c>
      <c r="I479" s="57">
        <v>78</v>
      </c>
      <c r="J479" s="57"/>
      <c r="K479" s="57">
        <v>1</v>
      </c>
      <c r="L479" s="57">
        <v>1</v>
      </c>
      <c r="M479" s="57"/>
      <c r="Q479">
        <f t="shared" si="86"/>
        <v>0</v>
      </c>
      <c r="R479">
        <f t="shared" si="87"/>
        <v>0</v>
      </c>
      <c r="S479">
        <f t="shared" si="88"/>
        <v>23</v>
      </c>
      <c r="T479">
        <f t="shared" si="89"/>
        <v>127</v>
      </c>
      <c r="U479">
        <f t="shared" si="90"/>
        <v>27</v>
      </c>
      <c r="V479">
        <f t="shared" si="91"/>
        <v>78</v>
      </c>
      <c r="Y479" t="str">
        <f t="shared" si="82"/>
        <v>Asia and the Pacific Total</v>
      </c>
      <c r="Z479" s="104" t="str">
        <f t="shared" si="83"/>
        <v/>
      </c>
      <c r="AA479" s="104">
        <f t="shared" si="84"/>
        <v>0.84666666666666668</v>
      </c>
      <c r="AB479" s="104">
        <f t="shared" si="85"/>
        <v>0.74285714285714288</v>
      </c>
    </row>
    <row r="480" spans="1:28" x14ac:dyDescent="0.25">
      <c r="A480" s="50" t="s">
        <v>2807</v>
      </c>
      <c r="B480" s="57"/>
      <c r="C480" s="57"/>
      <c r="D480" s="57"/>
      <c r="E480" s="57"/>
      <c r="F480" s="57"/>
      <c r="G480" s="57"/>
      <c r="H480" s="57"/>
      <c r="I480" s="57"/>
      <c r="J480" s="57"/>
      <c r="K480" s="57"/>
      <c r="L480" s="57"/>
      <c r="M480" s="57"/>
      <c r="Q480">
        <f t="shared" si="86"/>
        <v>0</v>
      </c>
      <c r="R480">
        <f t="shared" si="87"/>
        <v>0</v>
      </c>
      <c r="S480">
        <f t="shared" si="88"/>
        <v>0</v>
      </c>
      <c r="T480">
        <f t="shared" si="89"/>
        <v>0</v>
      </c>
      <c r="U480">
        <f t="shared" si="90"/>
        <v>0</v>
      </c>
      <c r="V480">
        <f t="shared" si="91"/>
        <v>0</v>
      </c>
      <c r="Y480" t="str">
        <f t="shared" si="82"/>
        <v>Latin America and the Caribbean</v>
      </c>
      <c r="Z480" s="104" t="str">
        <f t="shared" si="83"/>
        <v/>
      </c>
      <c r="AA480" s="104" t="str">
        <f t="shared" si="84"/>
        <v/>
      </c>
      <c r="AB480" s="104" t="str">
        <f t="shared" si="85"/>
        <v/>
      </c>
    </row>
    <row r="481" spans="1:28" x14ac:dyDescent="0.25">
      <c r="A481" s="55" t="s">
        <v>2806</v>
      </c>
      <c r="B481" s="57"/>
      <c r="C481" s="57"/>
      <c r="D481" s="57"/>
      <c r="E481" s="57"/>
      <c r="F481" s="57"/>
      <c r="G481" s="57"/>
      <c r="H481" s="57">
        <v>1</v>
      </c>
      <c r="I481" s="57"/>
      <c r="J481" s="57"/>
      <c r="K481" s="57"/>
      <c r="L481" s="57"/>
      <c r="M481" s="57"/>
      <c r="Q481">
        <f t="shared" si="86"/>
        <v>0</v>
      </c>
      <c r="R481">
        <f t="shared" si="87"/>
        <v>0</v>
      </c>
      <c r="S481">
        <f t="shared" si="88"/>
        <v>0</v>
      </c>
      <c r="T481">
        <f t="shared" si="89"/>
        <v>0</v>
      </c>
      <c r="U481">
        <f t="shared" si="90"/>
        <v>1</v>
      </c>
      <c r="V481">
        <f t="shared" si="91"/>
        <v>0</v>
      </c>
      <c r="Y481" t="str">
        <f t="shared" si="82"/>
        <v>Colombia</v>
      </c>
      <c r="Z481" s="104" t="str">
        <f t="shared" si="83"/>
        <v/>
      </c>
      <c r="AA481" s="104" t="str">
        <f t="shared" si="84"/>
        <v/>
      </c>
      <c r="AB481" s="104">
        <f t="shared" si="85"/>
        <v>0</v>
      </c>
    </row>
    <row r="482" spans="1:28" x14ac:dyDescent="0.25">
      <c r="A482" s="55" t="s">
        <v>2931</v>
      </c>
      <c r="B482" s="57"/>
      <c r="C482" s="57"/>
      <c r="D482" s="57"/>
      <c r="E482" s="57"/>
      <c r="F482" s="57"/>
      <c r="G482" s="57"/>
      <c r="H482" s="57"/>
      <c r="I482" s="57">
        <v>1</v>
      </c>
      <c r="J482" s="57"/>
      <c r="K482" s="57"/>
      <c r="L482" s="57"/>
      <c r="M482" s="57"/>
      <c r="Q482">
        <f t="shared" si="86"/>
        <v>0</v>
      </c>
      <c r="R482">
        <f t="shared" si="87"/>
        <v>0</v>
      </c>
      <c r="S482">
        <f t="shared" si="88"/>
        <v>0</v>
      </c>
      <c r="T482">
        <f t="shared" si="89"/>
        <v>0</v>
      </c>
      <c r="U482">
        <f t="shared" si="90"/>
        <v>0</v>
      </c>
      <c r="V482">
        <f t="shared" si="91"/>
        <v>1</v>
      </c>
      <c r="Y482" t="str">
        <f t="shared" si="82"/>
        <v>Costa Rica</v>
      </c>
      <c r="Z482" s="104" t="str">
        <f t="shared" si="83"/>
        <v/>
      </c>
      <c r="AA482" s="104" t="str">
        <f t="shared" si="84"/>
        <v/>
      </c>
      <c r="AB482" s="104">
        <f t="shared" si="85"/>
        <v>1</v>
      </c>
    </row>
    <row r="483" spans="1:28" x14ac:dyDescent="0.25">
      <c r="A483" s="55" t="s">
        <v>3148</v>
      </c>
      <c r="B483" s="57"/>
      <c r="C483" s="57"/>
      <c r="D483" s="57"/>
      <c r="E483" s="57"/>
      <c r="F483" s="57">
        <v>4</v>
      </c>
      <c r="G483" s="57"/>
      <c r="H483" s="57"/>
      <c r="I483" s="57">
        <v>1</v>
      </c>
      <c r="J483" s="57"/>
      <c r="K483" s="57"/>
      <c r="L483" s="57"/>
      <c r="M483" s="57"/>
      <c r="Q483">
        <f t="shared" si="86"/>
        <v>0</v>
      </c>
      <c r="R483">
        <f t="shared" si="87"/>
        <v>0</v>
      </c>
      <c r="S483">
        <f t="shared" si="88"/>
        <v>0</v>
      </c>
      <c r="T483">
        <f t="shared" si="89"/>
        <v>4</v>
      </c>
      <c r="U483">
        <f t="shared" si="90"/>
        <v>0</v>
      </c>
      <c r="V483">
        <f t="shared" si="91"/>
        <v>1</v>
      </c>
      <c r="Y483" t="str">
        <f t="shared" si="82"/>
        <v>Cuba</v>
      </c>
      <c r="Z483" s="104" t="str">
        <f t="shared" si="83"/>
        <v/>
      </c>
      <c r="AA483" s="104">
        <f t="shared" si="84"/>
        <v>1</v>
      </c>
      <c r="AB483" s="104">
        <f t="shared" si="85"/>
        <v>1</v>
      </c>
    </row>
    <row r="484" spans="1:28" x14ac:dyDescent="0.25">
      <c r="A484" s="55" t="s">
        <v>3261</v>
      </c>
      <c r="B484" s="57"/>
      <c r="C484" s="57"/>
      <c r="D484" s="57"/>
      <c r="E484" s="57"/>
      <c r="F484" s="57"/>
      <c r="G484" s="57"/>
      <c r="H484" s="57"/>
      <c r="I484" s="57"/>
      <c r="J484" s="57"/>
      <c r="K484" s="57"/>
      <c r="L484" s="57"/>
      <c r="M484" s="57"/>
      <c r="Q484">
        <f t="shared" si="86"/>
        <v>0</v>
      </c>
      <c r="R484">
        <f t="shared" si="87"/>
        <v>0</v>
      </c>
      <c r="S484">
        <f t="shared" si="88"/>
        <v>0</v>
      </c>
      <c r="T484">
        <f t="shared" si="89"/>
        <v>0</v>
      </c>
      <c r="U484">
        <f t="shared" si="90"/>
        <v>0</v>
      </c>
      <c r="V484">
        <f t="shared" si="91"/>
        <v>0</v>
      </c>
      <c r="Y484" t="str">
        <f t="shared" si="82"/>
        <v>Dominican Republic</v>
      </c>
      <c r="Z484" s="104" t="str">
        <f t="shared" si="83"/>
        <v/>
      </c>
      <c r="AA484" s="104" t="str">
        <f t="shared" si="84"/>
        <v/>
      </c>
      <c r="AB484" s="104" t="str">
        <f t="shared" si="85"/>
        <v/>
      </c>
    </row>
    <row r="485" spans="1:28" x14ac:dyDescent="0.25">
      <c r="A485" s="55" t="s">
        <v>3272</v>
      </c>
      <c r="B485" s="57"/>
      <c r="C485" s="57"/>
      <c r="D485" s="57"/>
      <c r="E485" s="57"/>
      <c r="F485" s="57">
        <v>14</v>
      </c>
      <c r="G485" s="57"/>
      <c r="H485" s="57">
        <v>3</v>
      </c>
      <c r="I485" s="57">
        <v>1</v>
      </c>
      <c r="J485" s="57"/>
      <c r="K485" s="57"/>
      <c r="L485" s="57"/>
      <c r="M485" s="57"/>
      <c r="Q485">
        <f t="shared" si="86"/>
        <v>0</v>
      </c>
      <c r="R485">
        <f t="shared" si="87"/>
        <v>0</v>
      </c>
      <c r="S485">
        <f t="shared" si="88"/>
        <v>0</v>
      </c>
      <c r="T485">
        <f t="shared" si="89"/>
        <v>14</v>
      </c>
      <c r="U485">
        <f t="shared" si="90"/>
        <v>3</v>
      </c>
      <c r="V485">
        <f t="shared" si="91"/>
        <v>1</v>
      </c>
      <c r="Y485" t="str">
        <f t="shared" si="82"/>
        <v>Ecuador</v>
      </c>
      <c r="Z485" s="104" t="str">
        <f t="shared" si="83"/>
        <v/>
      </c>
      <c r="AA485" s="104">
        <f t="shared" si="84"/>
        <v>1</v>
      </c>
      <c r="AB485" s="104">
        <f t="shared" si="85"/>
        <v>0.25</v>
      </c>
    </row>
    <row r="486" spans="1:28" x14ac:dyDescent="0.25">
      <c r="A486" s="55" t="s">
        <v>4777</v>
      </c>
      <c r="B486" s="57"/>
      <c r="C486" s="57"/>
      <c r="D486" s="57"/>
      <c r="E486" s="57">
        <v>2</v>
      </c>
      <c r="F486" s="57">
        <v>6</v>
      </c>
      <c r="G486" s="57"/>
      <c r="H486" s="57">
        <v>6</v>
      </c>
      <c r="I486" s="57">
        <v>1</v>
      </c>
      <c r="J486" s="57"/>
      <c r="K486" s="57"/>
      <c r="L486" s="57"/>
      <c r="M486" s="57"/>
      <c r="Q486">
        <f t="shared" si="86"/>
        <v>0</v>
      </c>
      <c r="R486">
        <f t="shared" si="87"/>
        <v>0</v>
      </c>
      <c r="S486">
        <f t="shared" si="88"/>
        <v>2</v>
      </c>
      <c r="T486">
        <f t="shared" si="89"/>
        <v>6</v>
      </c>
      <c r="U486">
        <f t="shared" si="90"/>
        <v>6</v>
      </c>
      <c r="V486">
        <f t="shared" si="91"/>
        <v>1</v>
      </c>
      <c r="Y486" t="str">
        <f t="shared" si="82"/>
        <v>Guatemala</v>
      </c>
      <c r="Z486" s="104" t="str">
        <f t="shared" si="83"/>
        <v/>
      </c>
      <c r="AA486" s="104">
        <f t="shared" si="84"/>
        <v>0.75</v>
      </c>
      <c r="AB486" s="104">
        <f t="shared" si="85"/>
        <v>0.14285714285714285</v>
      </c>
    </row>
    <row r="487" spans="1:28" x14ac:dyDescent="0.25">
      <c r="A487" s="55" t="s">
        <v>5061</v>
      </c>
      <c r="B487" s="57"/>
      <c r="C487" s="57"/>
      <c r="D487" s="57"/>
      <c r="E487" s="57"/>
      <c r="F487" s="57">
        <v>7</v>
      </c>
      <c r="G487" s="57"/>
      <c r="H487" s="57"/>
      <c r="I487" s="57">
        <v>1</v>
      </c>
      <c r="J487" s="57"/>
      <c r="K487" s="57"/>
      <c r="L487" s="57"/>
      <c r="M487" s="57"/>
      <c r="Q487">
        <f t="shared" si="86"/>
        <v>0</v>
      </c>
      <c r="R487">
        <f t="shared" si="87"/>
        <v>0</v>
      </c>
      <c r="S487">
        <f t="shared" si="88"/>
        <v>0</v>
      </c>
      <c r="T487">
        <f t="shared" si="89"/>
        <v>7</v>
      </c>
      <c r="U487">
        <f t="shared" si="90"/>
        <v>0</v>
      </c>
      <c r="V487">
        <f t="shared" si="91"/>
        <v>1</v>
      </c>
      <c r="Y487" t="str">
        <f t="shared" si="82"/>
        <v>Haiti</v>
      </c>
      <c r="Z487" s="104" t="str">
        <f t="shared" si="83"/>
        <v/>
      </c>
      <c r="AA487" s="104">
        <f t="shared" si="84"/>
        <v>1</v>
      </c>
      <c r="AB487" s="104">
        <f t="shared" si="85"/>
        <v>1</v>
      </c>
    </row>
    <row r="488" spans="1:28" x14ac:dyDescent="0.25">
      <c r="A488" s="55" t="s">
        <v>5190</v>
      </c>
      <c r="B488" s="57"/>
      <c r="C488" s="57"/>
      <c r="D488" s="57"/>
      <c r="E488" s="57"/>
      <c r="F488" s="57">
        <v>4</v>
      </c>
      <c r="G488" s="57"/>
      <c r="H488" s="57">
        <v>1</v>
      </c>
      <c r="I488" s="57">
        <v>2</v>
      </c>
      <c r="J488" s="57"/>
      <c r="K488" s="57"/>
      <c r="L488" s="57"/>
      <c r="M488" s="57"/>
      <c r="Q488">
        <f t="shared" si="86"/>
        <v>0</v>
      </c>
      <c r="R488">
        <f t="shared" si="87"/>
        <v>0</v>
      </c>
      <c r="S488">
        <f t="shared" si="88"/>
        <v>0</v>
      </c>
      <c r="T488">
        <f t="shared" si="89"/>
        <v>4</v>
      </c>
      <c r="U488">
        <f t="shared" si="90"/>
        <v>1</v>
      </c>
      <c r="V488">
        <f t="shared" si="91"/>
        <v>2</v>
      </c>
      <c r="Y488" t="str">
        <f t="shared" si="82"/>
        <v>Honduras</v>
      </c>
      <c r="Z488" s="104" t="str">
        <f t="shared" si="83"/>
        <v/>
      </c>
      <c r="AA488" s="104">
        <f t="shared" si="84"/>
        <v>1</v>
      </c>
      <c r="AB488" s="104">
        <f t="shared" si="85"/>
        <v>0.66666666666666663</v>
      </c>
    </row>
    <row r="489" spans="1:28" x14ac:dyDescent="0.25">
      <c r="A489" s="55" t="s">
        <v>8138</v>
      </c>
      <c r="B489" s="57"/>
      <c r="C489" s="57"/>
      <c r="D489" s="57"/>
      <c r="E489" s="57"/>
      <c r="F489" s="57"/>
      <c r="G489" s="57"/>
      <c r="H489" s="57">
        <v>1</v>
      </c>
      <c r="I489" s="57"/>
      <c r="J489" s="57"/>
      <c r="K489" s="57"/>
      <c r="L489" s="57"/>
      <c r="M489" s="57"/>
      <c r="Q489">
        <f t="shared" si="86"/>
        <v>0</v>
      </c>
      <c r="R489">
        <f t="shared" si="87"/>
        <v>0</v>
      </c>
      <c r="S489">
        <f t="shared" si="88"/>
        <v>0</v>
      </c>
      <c r="T489">
        <f t="shared" si="89"/>
        <v>0</v>
      </c>
      <c r="U489">
        <f t="shared" si="90"/>
        <v>1</v>
      </c>
      <c r="V489">
        <f t="shared" si="91"/>
        <v>0</v>
      </c>
      <c r="Y489" t="str">
        <f t="shared" si="82"/>
        <v>Mexico</v>
      </c>
      <c r="Z489" s="104" t="str">
        <f t="shared" si="83"/>
        <v/>
      </c>
      <c r="AA489" s="104" t="str">
        <f t="shared" si="84"/>
        <v/>
      </c>
      <c r="AB489" s="104">
        <f t="shared" si="85"/>
        <v>0</v>
      </c>
    </row>
    <row r="490" spans="1:28" x14ac:dyDescent="0.25">
      <c r="A490" s="55" t="s">
        <v>9042</v>
      </c>
      <c r="B490" s="57"/>
      <c r="C490" s="57"/>
      <c r="D490" s="57"/>
      <c r="E490" s="57"/>
      <c r="F490" s="57"/>
      <c r="G490" s="57"/>
      <c r="H490" s="57"/>
      <c r="I490" s="57">
        <v>1</v>
      </c>
      <c r="J490" s="57"/>
      <c r="K490" s="57"/>
      <c r="L490" s="57"/>
      <c r="M490" s="57"/>
      <c r="Q490">
        <f t="shared" si="86"/>
        <v>0</v>
      </c>
      <c r="R490">
        <f t="shared" si="87"/>
        <v>0</v>
      </c>
      <c r="S490">
        <f t="shared" si="88"/>
        <v>0</v>
      </c>
      <c r="T490">
        <f t="shared" si="89"/>
        <v>0</v>
      </c>
      <c r="U490">
        <f t="shared" si="90"/>
        <v>0</v>
      </c>
      <c r="V490">
        <f t="shared" si="91"/>
        <v>1</v>
      </c>
      <c r="Y490" t="str">
        <f t="shared" si="82"/>
        <v>Nicaragua</v>
      </c>
      <c r="Z490" s="104" t="str">
        <f t="shared" si="83"/>
        <v/>
      </c>
      <c r="AA490" s="104" t="str">
        <f t="shared" si="84"/>
        <v/>
      </c>
      <c r="AB490" s="104">
        <f t="shared" si="85"/>
        <v>1</v>
      </c>
    </row>
    <row r="491" spans="1:28" x14ac:dyDescent="0.25">
      <c r="A491" s="55" t="s">
        <v>9514</v>
      </c>
      <c r="B491" s="57"/>
      <c r="C491" s="57"/>
      <c r="D491" s="57"/>
      <c r="E491" s="57"/>
      <c r="F491" s="57"/>
      <c r="G491" s="57"/>
      <c r="H491" s="57"/>
      <c r="I491" s="57"/>
      <c r="J491" s="57"/>
      <c r="K491" s="57"/>
      <c r="L491" s="57"/>
      <c r="M491" s="57"/>
      <c r="Q491">
        <f t="shared" si="86"/>
        <v>0</v>
      </c>
      <c r="R491">
        <f t="shared" si="87"/>
        <v>0</v>
      </c>
      <c r="S491">
        <f t="shared" si="88"/>
        <v>0</v>
      </c>
      <c r="T491">
        <f t="shared" si="89"/>
        <v>0</v>
      </c>
      <c r="U491">
        <f t="shared" si="90"/>
        <v>0</v>
      </c>
      <c r="V491">
        <f t="shared" si="91"/>
        <v>0</v>
      </c>
      <c r="Y491" t="str">
        <f t="shared" si="82"/>
        <v>Panama</v>
      </c>
      <c r="Z491" s="104" t="str">
        <f t="shared" si="83"/>
        <v/>
      </c>
      <c r="AA491" s="104" t="str">
        <f t="shared" si="84"/>
        <v/>
      </c>
      <c r="AB491" s="104" t="str">
        <f t="shared" si="85"/>
        <v/>
      </c>
    </row>
    <row r="492" spans="1:28" x14ac:dyDescent="0.25">
      <c r="A492" s="55" t="s">
        <v>9706</v>
      </c>
      <c r="B492" s="57"/>
      <c r="C492" s="57"/>
      <c r="D492" s="57"/>
      <c r="E492" s="57">
        <v>6</v>
      </c>
      <c r="F492" s="57">
        <v>25</v>
      </c>
      <c r="G492" s="57"/>
      <c r="H492" s="57">
        <v>1</v>
      </c>
      <c r="I492" s="57">
        <v>1</v>
      </c>
      <c r="J492" s="57"/>
      <c r="K492" s="57"/>
      <c r="L492" s="57"/>
      <c r="M492" s="57"/>
      <c r="Q492">
        <f t="shared" si="86"/>
        <v>0</v>
      </c>
      <c r="R492">
        <f t="shared" si="87"/>
        <v>0</v>
      </c>
      <c r="S492">
        <f t="shared" si="88"/>
        <v>6</v>
      </c>
      <c r="T492">
        <f t="shared" si="89"/>
        <v>25</v>
      </c>
      <c r="U492">
        <f t="shared" si="90"/>
        <v>1</v>
      </c>
      <c r="V492">
        <f t="shared" si="91"/>
        <v>1</v>
      </c>
      <c r="Y492" t="str">
        <f t="shared" si="82"/>
        <v>Peru</v>
      </c>
      <c r="Z492" s="104" t="str">
        <f t="shared" si="83"/>
        <v/>
      </c>
      <c r="AA492" s="104">
        <f t="shared" si="84"/>
        <v>0.80645161290322576</v>
      </c>
      <c r="AB492" s="104">
        <f t="shared" si="85"/>
        <v>0.5</v>
      </c>
    </row>
    <row r="493" spans="1:28" x14ac:dyDescent="0.25">
      <c r="A493" s="50" t="s">
        <v>14280</v>
      </c>
      <c r="B493" s="57"/>
      <c r="C493" s="57"/>
      <c r="D493" s="57"/>
      <c r="E493" s="57">
        <v>8</v>
      </c>
      <c r="F493" s="57">
        <v>60</v>
      </c>
      <c r="G493" s="57"/>
      <c r="H493" s="57">
        <v>13</v>
      </c>
      <c r="I493" s="57">
        <v>9</v>
      </c>
      <c r="J493" s="57"/>
      <c r="K493" s="57"/>
      <c r="L493" s="57"/>
      <c r="M493" s="57"/>
      <c r="Q493">
        <f t="shared" si="86"/>
        <v>0</v>
      </c>
      <c r="R493">
        <f t="shared" si="87"/>
        <v>0</v>
      </c>
      <c r="S493">
        <f t="shared" si="88"/>
        <v>8</v>
      </c>
      <c r="T493">
        <f t="shared" si="89"/>
        <v>60</v>
      </c>
      <c r="U493">
        <f t="shared" si="90"/>
        <v>13</v>
      </c>
      <c r="V493">
        <f t="shared" si="91"/>
        <v>9</v>
      </c>
      <c r="Y493" t="str">
        <f t="shared" si="82"/>
        <v>Latin America and the Caribbean Total</v>
      </c>
      <c r="Z493" s="104" t="str">
        <f t="shared" si="83"/>
        <v/>
      </c>
      <c r="AA493" s="104">
        <f t="shared" si="84"/>
        <v>0.88235294117647056</v>
      </c>
      <c r="AB493" s="104">
        <f t="shared" si="85"/>
        <v>0.40909090909090912</v>
      </c>
    </row>
    <row r="494" spans="1:28" x14ac:dyDescent="0.25">
      <c r="A494" s="50" t="s">
        <v>602</v>
      </c>
      <c r="B494" s="57"/>
      <c r="C494" s="57"/>
      <c r="D494" s="57"/>
      <c r="E494" s="57"/>
      <c r="F494" s="57"/>
      <c r="G494" s="57"/>
      <c r="H494" s="57"/>
      <c r="I494" s="57"/>
      <c r="J494" s="57"/>
      <c r="K494" s="57"/>
      <c r="L494" s="57"/>
      <c r="M494" s="57"/>
      <c r="Q494">
        <f t="shared" si="86"/>
        <v>0</v>
      </c>
      <c r="R494">
        <f t="shared" si="87"/>
        <v>0</v>
      </c>
      <c r="S494">
        <f t="shared" si="88"/>
        <v>0</v>
      </c>
      <c r="T494">
        <f t="shared" si="89"/>
        <v>0</v>
      </c>
      <c r="U494">
        <f t="shared" si="90"/>
        <v>0</v>
      </c>
      <c r="V494">
        <f t="shared" si="91"/>
        <v>0</v>
      </c>
      <c r="Y494" t="str">
        <f t="shared" si="82"/>
        <v>Middle East, North Africa and Europe</v>
      </c>
      <c r="Z494" s="104" t="str">
        <f t="shared" si="83"/>
        <v/>
      </c>
      <c r="AA494" s="104" t="str">
        <f t="shared" si="84"/>
        <v/>
      </c>
      <c r="AB494" s="104" t="str">
        <f t="shared" si="85"/>
        <v/>
      </c>
    </row>
    <row r="495" spans="1:28" x14ac:dyDescent="0.25">
      <c r="A495" s="55" t="s">
        <v>601</v>
      </c>
      <c r="B495" s="57"/>
      <c r="C495" s="57"/>
      <c r="D495" s="57"/>
      <c r="E495" s="57"/>
      <c r="F495" s="57"/>
      <c r="G495" s="57"/>
      <c r="H495" s="57"/>
      <c r="I495" s="57">
        <v>1</v>
      </c>
      <c r="J495" s="57"/>
      <c r="K495" s="57"/>
      <c r="L495" s="57"/>
      <c r="M495" s="57"/>
      <c r="Q495">
        <f t="shared" si="86"/>
        <v>0</v>
      </c>
      <c r="R495">
        <f t="shared" si="87"/>
        <v>0</v>
      </c>
      <c r="S495">
        <f t="shared" si="88"/>
        <v>0</v>
      </c>
      <c r="T495">
        <f t="shared" si="89"/>
        <v>0</v>
      </c>
      <c r="U495">
        <f t="shared" si="90"/>
        <v>0</v>
      </c>
      <c r="V495">
        <f t="shared" si="91"/>
        <v>1</v>
      </c>
      <c r="Y495" t="str">
        <f t="shared" ref="Y495:Y529" si="92">A495</f>
        <v>Albania</v>
      </c>
      <c r="Z495" s="104" t="str">
        <f t="shared" ref="Z495:Z529" si="93">IFERROR(R495/(SUM($Q495:$R495)),"")</f>
        <v/>
      </c>
      <c r="AA495" s="104" t="str">
        <f t="shared" ref="AA495:AA529" si="94">IFERROR(T495/(SUM($S495:$T495)),"")</f>
        <v/>
      </c>
      <c r="AB495" s="104">
        <f t="shared" ref="AB495:AB529" si="95">IFERROR(V495/(SUM($U495:$V495)),"")</f>
        <v>1</v>
      </c>
    </row>
    <row r="496" spans="1:28" x14ac:dyDescent="0.25">
      <c r="A496" s="55" t="s">
        <v>635</v>
      </c>
      <c r="B496" s="57"/>
      <c r="C496" s="57"/>
      <c r="D496" s="57"/>
      <c r="E496" s="57"/>
      <c r="F496" s="57"/>
      <c r="G496" s="57"/>
      <c r="H496" s="57"/>
      <c r="I496" s="57">
        <v>1</v>
      </c>
      <c r="J496" s="57"/>
      <c r="K496" s="57"/>
      <c r="L496" s="57"/>
      <c r="M496" s="57"/>
      <c r="Q496">
        <f t="shared" si="86"/>
        <v>0</v>
      </c>
      <c r="R496">
        <f t="shared" si="87"/>
        <v>0</v>
      </c>
      <c r="S496">
        <f t="shared" si="88"/>
        <v>0</v>
      </c>
      <c r="T496">
        <f t="shared" si="89"/>
        <v>0</v>
      </c>
      <c r="U496">
        <f t="shared" si="90"/>
        <v>0</v>
      </c>
      <c r="V496">
        <f t="shared" si="91"/>
        <v>1</v>
      </c>
      <c r="Y496" t="str">
        <f t="shared" si="92"/>
        <v>Austria</v>
      </c>
      <c r="Z496" s="104" t="str">
        <f t="shared" si="93"/>
        <v/>
      </c>
      <c r="AA496" s="104" t="str">
        <f t="shared" si="94"/>
        <v/>
      </c>
      <c r="AB496" s="104">
        <f t="shared" si="95"/>
        <v>1</v>
      </c>
    </row>
    <row r="497" spans="1:28" x14ac:dyDescent="0.25">
      <c r="A497" s="55" t="s">
        <v>1527</v>
      </c>
      <c r="B497" s="57"/>
      <c r="C497" s="57"/>
      <c r="D497" s="57"/>
      <c r="E497" s="57"/>
      <c r="F497" s="57"/>
      <c r="G497" s="57"/>
      <c r="H497" s="57"/>
      <c r="I497" s="57"/>
      <c r="J497" s="57"/>
      <c r="K497" s="57"/>
      <c r="L497" s="57"/>
      <c r="M497" s="57"/>
      <c r="Q497">
        <f t="shared" si="86"/>
        <v>0</v>
      </c>
      <c r="R497">
        <f t="shared" si="87"/>
        <v>0</v>
      </c>
      <c r="S497">
        <f t="shared" si="88"/>
        <v>0</v>
      </c>
      <c r="T497">
        <f t="shared" si="89"/>
        <v>0</v>
      </c>
      <c r="U497">
        <f t="shared" si="90"/>
        <v>0</v>
      </c>
      <c r="V497">
        <f t="shared" si="91"/>
        <v>0</v>
      </c>
      <c r="Y497" t="str">
        <f t="shared" si="92"/>
        <v>Belgium</v>
      </c>
      <c r="Z497" s="104" t="str">
        <f t="shared" si="93"/>
        <v/>
      </c>
      <c r="AA497" s="104" t="str">
        <f t="shared" si="94"/>
        <v/>
      </c>
      <c r="AB497" s="104" t="str">
        <f t="shared" si="95"/>
        <v/>
      </c>
    </row>
    <row r="498" spans="1:28" x14ac:dyDescent="0.25">
      <c r="A498" s="55" t="s">
        <v>1735</v>
      </c>
      <c r="B498" s="57"/>
      <c r="C498" s="57"/>
      <c r="D498" s="57"/>
      <c r="E498" s="57"/>
      <c r="F498" s="57"/>
      <c r="G498" s="57"/>
      <c r="H498" s="57">
        <v>2</v>
      </c>
      <c r="I498" s="57">
        <v>3</v>
      </c>
      <c r="J498" s="57"/>
      <c r="K498" s="57"/>
      <c r="L498" s="57"/>
      <c r="M498" s="57"/>
      <c r="Q498">
        <f t="shared" ref="Q498:Q529" si="96">B498</f>
        <v>0</v>
      </c>
      <c r="R498">
        <f t="shared" ref="R498:R529" si="97">C498</f>
        <v>0</v>
      </c>
      <c r="S498">
        <f t="shared" ref="S498:S529" si="98">E498</f>
        <v>0</v>
      </c>
      <c r="T498">
        <f t="shared" ref="T498:T529" si="99">F498</f>
        <v>0</v>
      </c>
      <c r="U498">
        <f t="shared" ref="U498:U529" si="100">H498</f>
        <v>2</v>
      </c>
      <c r="V498">
        <f t="shared" ref="V498:V529" si="101">I498</f>
        <v>3</v>
      </c>
      <c r="Y498" t="str">
        <f t="shared" si="92"/>
        <v>Bosnia and Herzegovina</v>
      </c>
      <c r="Z498" s="104" t="str">
        <f t="shared" si="93"/>
        <v/>
      </c>
      <c r="AA498" s="104" t="str">
        <f t="shared" si="94"/>
        <v/>
      </c>
      <c r="AB498" s="104">
        <f t="shared" si="95"/>
        <v>0.6</v>
      </c>
    </row>
    <row r="499" spans="1:28" x14ac:dyDescent="0.25">
      <c r="A499" s="55" t="s">
        <v>3140</v>
      </c>
      <c r="B499" s="57"/>
      <c r="C499" s="57"/>
      <c r="D499" s="57"/>
      <c r="E499" s="57"/>
      <c r="F499" s="57"/>
      <c r="G499" s="57"/>
      <c r="H499" s="57"/>
      <c r="I499" s="57">
        <v>1</v>
      </c>
      <c r="J499" s="57"/>
      <c r="K499" s="57"/>
      <c r="L499" s="57"/>
      <c r="M499" s="57"/>
      <c r="Q499">
        <f t="shared" si="96"/>
        <v>0</v>
      </c>
      <c r="R499">
        <f t="shared" si="97"/>
        <v>0</v>
      </c>
      <c r="S499">
        <f t="shared" si="98"/>
        <v>0</v>
      </c>
      <c r="T499">
        <f t="shared" si="99"/>
        <v>0</v>
      </c>
      <c r="U499">
        <f t="shared" si="100"/>
        <v>0</v>
      </c>
      <c r="V499">
        <f t="shared" si="101"/>
        <v>1</v>
      </c>
      <c r="Y499" t="str">
        <f t="shared" si="92"/>
        <v>Croatia</v>
      </c>
      <c r="Z499" s="104" t="str">
        <f t="shared" si="93"/>
        <v/>
      </c>
      <c r="AA499" s="104" t="str">
        <f t="shared" si="94"/>
        <v/>
      </c>
      <c r="AB499" s="104">
        <f t="shared" si="95"/>
        <v>1</v>
      </c>
    </row>
    <row r="500" spans="1:28" x14ac:dyDescent="0.25">
      <c r="A500" s="55" t="s">
        <v>3231</v>
      </c>
      <c r="B500" s="57"/>
      <c r="C500" s="57"/>
      <c r="D500" s="57"/>
      <c r="E500" s="57"/>
      <c r="F500" s="57">
        <v>1</v>
      </c>
      <c r="G500" s="57"/>
      <c r="H500" s="57"/>
      <c r="I500" s="57"/>
      <c r="J500" s="57"/>
      <c r="K500" s="57"/>
      <c r="L500" s="57"/>
      <c r="M500" s="57"/>
      <c r="Q500">
        <f t="shared" si="96"/>
        <v>0</v>
      </c>
      <c r="R500">
        <f t="shared" si="97"/>
        <v>0</v>
      </c>
      <c r="S500">
        <f t="shared" si="98"/>
        <v>0</v>
      </c>
      <c r="T500">
        <f t="shared" si="99"/>
        <v>1</v>
      </c>
      <c r="U500">
        <f t="shared" si="100"/>
        <v>0</v>
      </c>
      <c r="V500">
        <f t="shared" si="101"/>
        <v>0</v>
      </c>
      <c r="Y500" t="str">
        <f t="shared" si="92"/>
        <v>Czech Republic</v>
      </c>
      <c r="Z500" s="104" t="str">
        <f t="shared" si="93"/>
        <v/>
      </c>
      <c r="AA500" s="104">
        <f t="shared" si="94"/>
        <v>1</v>
      </c>
      <c r="AB500" s="104" t="str">
        <f t="shared" si="95"/>
        <v/>
      </c>
    </row>
    <row r="501" spans="1:28" x14ac:dyDescent="0.25">
      <c r="A501" s="55" t="s">
        <v>3249</v>
      </c>
      <c r="B501" s="57"/>
      <c r="C501" s="57"/>
      <c r="D501" s="57"/>
      <c r="E501" s="57"/>
      <c r="F501" s="57"/>
      <c r="G501" s="57"/>
      <c r="H501" s="57">
        <v>1</v>
      </c>
      <c r="I501" s="57"/>
      <c r="J501" s="57"/>
      <c r="K501" s="57"/>
      <c r="L501" s="57"/>
      <c r="M501" s="57"/>
      <c r="Q501">
        <f t="shared" si="96"/>
        <v>0</v>
      </c>
      <c r="R501">
        <f t="shared" si="97"/>
        <v>0</v>
      </c>
      <c r="S501">
        <f t="shared" si="98"/>
        <v>0</v>
      </c>
      <c r="T501">
        <f t="shared" si="99"/>
        <v>0</v>
      </c>
      <c r="U501">
        <f t="shared" si="100"/>
        <v>1</v>
      </c>
      <c r="V501">
        <f t="shared" si="101"/>
        <v>0</v>
      </c>
      <c r="Y501" t="str">
        <f t="shared" si="92"/>
        <v>Denmark</v>
      </c>
      <c r="Z501" s="104" t="str">
        <f t="shared" si="93"/>
        <v/>
      </c>
      <c r="AA501" s="104" t="str">
        <f t="shared" si="94"/>
        <v/>
      </c>
      <c r="AB501" s="104">
        <f t="shared" si="95"/>
        <v>0</v>
      </c>
    </row>
    <row r="502" spans="1:28" x14ac:dyDescent="0.25">
      <c r="A502" s="55" t="s">
        <v>3546</v>
      </c>
      <c r="B502" s="57"/>
      <c r="C502" s="57"/>
      <c r="D502" s="57"/>
      <c r="E502" s="57">
        <v>4</v>
      </c>
      <c r="F502" s="57">
        <v>4</v>
      </c>
      <c r="G502" s="57"/>
      <c r="H502" s="57">
        <v>6</v>
      </c>
      <c r="I502" s="57">
        <v>4</v>
      </c>
      <c r="J502" s="57"/>
      <c r="K502" s="57"/>
      <c r="L502" s="57"/>
      <c r="M502" s="57"/>
      <c r="Q502">
        <f t="shared" si="96"/>
        <v>0</v>
      </c>
      <c r="R502">
        <f t="shared" si="97"/>
        <v>0</v>
      </c>
      <c r="S502">
        <f t="shared" si="98"/>
        <v>4</v>
      </c>
      <c r="T502">
        <f t="shared" si="99"/>
        <v>4</v>
      </c>
      <c r="U502">
        <f t="shared" si="100"/>
        <v>6</v>
      </c>
      <c r="V502">
        <f t="shared" si="101"/>
        <v>4</v>
      </c>
      <c r="Y502" t="str">
        <f t="shared" si="92"/>
        <v>Egypt</v>
      </c>
      <c r="Z502" s="104" t="str">
        <f t="shared" si="93"/>
        <v/>
      </c>
      <c r="AA502" s="104">
        <f t="shared" si="94"/>
        <v>0.5</v>
      </c>
      <c r="AB502" s="104">
        <f t="shared" si="95"/>
        <v>0.4</v>
      </c>
    </row>
    <row r="503" spans="1:28" x14ac:dyDescent="0.25">
      <c r="A503" s="55" t="s">
        <v>4293</v>
      </c>
      <c r="B503" s="57"/>
      <c r="C503" s="57"/>
      <c r="D503" s="57"/>
      <c r="E503" s="57">
        <v>3</v>
      </c>
      <c r="F503" s="57">
        <v>1</v>
      </c>
      <c r="G503" s="57"/>
      <c r="H503" s="57"/>
      <c r="I503" s="57"/>
      <c r="J503" s="57"/>
      <c r="K503" s="57"/>
      <c r="L503" s="57"/>
      <c r="M503" s="57"/>
      <c r="Q503">
        <f t="shared" si="96"/>
        <v>0</v>
      </c>
      <c r="R503">
        <f t="shared" si="97"/>
        <v>0</v>
      </c>
      <c r="S503">
        <f t="shared" si="98"/>
        <v>3</v>
      </c>
      <c r="T503">
        <f t="shared" si="99"/>
        <v>1</v>
      </c>
      <c r="U503">
        <f t="shared" si="100"/>
        <v>0</v>
      </c>
      <c r="V503">
        <f t="shared" si="101"/>
        <v>0</v>
      </c>
      <c r="Y503" t="str">
        <f t="shared" si="92"/>
        <v>France</v>
      </c>
      <c r="Z503" s="104" t="str">
        <f t="shared" si="93"/>
        <v/>
      </c>
      <c r="AA503" s="104">
        <f t="shared" si="94"/>
        <v>0.25</v>
      </c>
      <c r="AB503" s="104" t="str">
        <f t="shared" si="95"/>
        <v/>
      </c>
    </row>
    <row r="504" spans="1:28" x14ac:dyDescent="0.25">
      <c r="A504" s="55" t="s">
        <v>4346</v>
      </c>
      <c r="B504" s="57"/>
      <c r="C504" s="57"/>
      <c r="D504" s="57"/>
      <c r="E504" s="57"/>
      <c r="F504" s="57">
        <v>2</v>
      </c>
      <c r="G504" s="57"/>
      <c r="H504" s="57"/>
      <c r="I504" s="57">
        <v>1</v>
      </c>
      <c r="J504" s="57"/>
      <c r="K504" s="57"/>
      <c r="L504" s="57"/>
      <c r="M504" s="57"/>
      <c r="Q504">
        <f t="shared" si="96"/>
        <v>0</v>
      </c>
      <c r="R504">
        <f t="shared" si="97"/>
        <v>0</v>
      </c>
      <c r="S504">
        <f t="shared" si="98"/>
        <v>0</v>
      </c>
      <c r="T504">
        <f t="shared" si="99"/>
        <v>2</v>
      </c>
      <c r="U504">
        <f t="shared" si="100"/>
        <v>0</v>
      </c>
      <c r="V504">
        <f t="shared" si="101"/>
        <v>1</v>
      </c>
      <c r="Y504" t="str">
        <f t="shared" si="92"/>
        <v>Georgia</v>
      </c>
      <c r="Z504" s="104" t="str">
        <f t="shared" si="93"/>
        <v/>
      </c>
      <c r="AA504" s="104">
        <f t="shared" si="94"/>
        <v>1</v>
      </c>
      <c r="AB504" s="104">
        <f t="shared" si="95"/>
        <v>1</v>
      </c>
    </row>
    <row r="505" spans="1:28" x14ac:dyDescent="0.25">
      <c r="A505" s="55" t="s">
        <v>4428</v>
      </c>
      <c r="B505" s="57"/>
      <c r="C505" s="57"/>
      <c r="D505" s="57"/>
      <c r="E505" s="57">
        <v>2</v>
      </c>
      <c r="F505" s="57">
        <v>1</v>
      </c>
      <c r="G505" s="57"/>
      <c r="H505" s="57"/>
      <c r="I505" s="57"/>
      <c r="J505" s="57"/>
      <c r="K505" s="57"/>
      <c r="L505" s="57"/>
      <c r="M505" s="57"/>
      <c r="Q505">
        <f t="shared" si="96"/>
        <v>0</v>
      </c>
      <c r="R505">
        <f t="shared" si="97"/>
        <v>0</v>
      </c>
      <c r="S505">
        <f t="shared" si="98"/>
        <v>2</v>
      </c>
      <c r="T505">
        <f t="shared" si="99"/>
        <v>1</v>
      </c>
      <c r="U505">
        <f t="shared" si="100"/>
        <v>0</v>
      </c>
      <c r="V505">
        <f t="shared" si="101"/>
        <v>0</v>
      </c>
      <c r="Y505" t="str">
        <f t="shared" si="92"/>
        <v>Germany</v>
      </c>
      <c r="Z505" s="104" t="str">
        <f t="shared" si="93"/>
        <v/>
      </c>
      <c r="AA505" s="104">
        <f t="shared" si="94"/>
        <v>0.33333333333333331</v>
      </c>
      <c r="AB505" s="104" t="str">
        <f t="shared" si="95"/>
        <v/>
      </c>
    </row>
    <row r="506" spans="1:28" x14ac:dyDescent="0.25">
      <c r="A506" s="55" t="s">
        <v>4743</v>
      </c>
      <c r="B506" s="57"/>
      <c r="C506" s="57"/>
      <c r="D506" s="57"/>
      <c r="E506" s="57"/>
      <c r="F506" s="57">
        <v>1</v>
      </c>
      <c r="G506" s="57"/>
      <c r="H506" s="57"/>
      <c r="I506" s="57"/>
      <c r="J506" s="57"/>
      <c r="K506" s="57"/>
      <c r="L506" s="57"/>
      <c r="M506" s="57"/>
      <c r="Q506">
        <f t="shared" si="96"/>
        <v>0</v>
      </c>
      <c r="R506">
        <f t="shared" si="97"/>
        <v>0</v>
      </c>
      <c r="S506">
        <f t="shared" si="98"/>
        <v>0</v>
      </c>
      <c r="T506">
        <f t="shared" si="99"/>
        <v>1</v>
      </c>
      <c r="U506">
        <f t="shared" si="100"/>
        <v>0</v>
      </c>
      <c r="V506">
        <f t="shared" si="101"/>
        <v>0</v>
      </c>
      <c r="Y506" t="str">
        <f t="shared" si="92"/>
        <v>Greece</v>
      </c>
      <c r="Z506" s="104" t="str">
        <f t="shared" si="93"/>
        <v/>
      </c>
      <c r="AA506" s="104">
        <f t="shared" si="94"/>
        <v>1</v>
      </c>
      <c r="AB506" s="104" t="str">
        <f t="shared" si="95"/>
        <v/>
      </c>
    </row>
    <row r="507" spans="1:28" x14ac:dyDescent="0.25">
      <c r="A507" s="55" t="s">
        <v>6024</v>
      </c>
      <c r="B507" s="57"/>
      <c r="C507" s="57"/>
      <c r="D507" s="57"/>
      <c r="E507" s="57"/>
      <c r="F507" s="57">
        <v>6</v>
      </c>
      <c r="G507" s="57"/>
      <c r="H507" s="57"/>
      <c r="I507" s="57">
        <v>1</v>
      </c>
      <c r="J507" s="57"/>
      <c r="K507" s="57"/>
      <c r="L507" s="57"/>
      <c r="M507" s="57"/>
      <c r="Q507">
        <f t="shared" si="96"/>
        <v>0</v>
      </c>
      <c r="R507">
        <f t="shared" si="97"/>
        <v>0</v>
      </c>
      <c r="S507">
        <f t="shared" si="98"/>
        <v>0</v>
      </c>
      <c r="T507">
        <f t="shared" si="99"/>
        <v>6</v>
      </c>
      <c r="U507">
        <f t="shared" si="100"/>
        <v>0</v>
      </c>
      <c r="V507">
        <f t="shared" si="101"/>
        <v>1</v>
      </c>
      <c r="Y507" t="str">
        <f t="shared" si="92"/>
        <v>Iraq</v>
      </c>
      <c r="Z507" s="104" t="str">
        <f t="shared" si="93"/>
        <v/>
      </c>
      <c r="AA507" s="104">
        <f t="shared" si="94"/>
        <v>1</v>
      </c>
      <c r="AB507" s="104">
        <f t="shared" si="95"/>
        <v>1</v>
      </c>
    </row>
    <row r="508" spans="1:28" x14ac:dyDescent="0.25">
      <c r="A508" s="55" t="s">
        <v>6105</v>
      </c>
      <c r="B508" s="57"/>
      <c r="C508" s="57"/>
      <c r="D508" s="57"/>
      <c r="E508" s="57"/>
      <c r="F508" s="57">
        <v>4</v>
      </c>
      <c r="G508" s="57"/>
      <c r="H508" s="57"/>
      <c r="I508" s="57">
        <v>16</v>
      </c>
      <c r="J508" s="57"/>
      <c r="K508" s="57"/>
      <c r="L508" s="57"/>
      <c r="M508" s="57"/>
      <c r="Q508">
        <f t="shared" si="96"/>
        <v>0</v>
      </c>
      <c r="R508">
        <f t="shared" si="97"/>
        <v>0</v>
      </c>
      <c r="S508">
        <f t="shared" si="98"/>
        <v>0</v>
      </c>
      <c r="T508">
        <f t="shared" si="99"/>
        <v>4</v>
      </c>
      <c r="U508">
        <f t="shared" si="100"/>
        <v>0</v>
      </c>
      <c r="V508">
        <f t="shared" si="101"/>
        <v>16</v>
      </c>
      <c r="Y508" t="str">
        <f t="shared" si="92"/>
        <v>Jordan</v>
      </c>
      <c r="Z508" s="104" t="str">
        <f t="shared" si="93"/>
        <v/>
      </c>
      <c r="AA508" s="104">
        <f t="shared" si="94"/>
        <v>1</v>
      </c>
      <c r="AB508" s="104">
        <f t="shared" si="95"/>
        <v>1</v>
      </c>
    </row>
    <row r="509" spans="1:28" x14ac:dyDescent="0.25">
      <c r="A509" s="55" t="s">
        <v>6805</v>
      </c>
      <c r="B509" s="57"/>
      <c r="C509" s="57"/>
      <c r="D509" s="57"/>
      <c r="E509" s="57">
        <v>1</v>
      </c>
      <c r="F509" s="57">
        <v>1</v>
      </c>
      <c r="G509" s="57"/>
      <c r="H509" s="57"/>
      <c r="I509" s="57">
        <v>1</v>
      </c>
      <c r="J509" s="57"/>
      <c r="K509" s="57"/>
      <c r="L509" s="57"/>
      <c r="M509" s="57"/>
      <c r="Q509">
        <f t="shared" si="96"/>
        <v>0</v>
      </c>
      <c r="R509">
        <f t="shared" si="97"/>
        <v>0</v>
      </c>
      <c r="S509">
        <f t="shared" si="98"/>
        <v>1</v>
      </c>
      <c r="T509">
        <f t="shared" si="99"/>
        <v>1</v>
      </c>
      <c r="U509">
        <f t="shared" si="100"/>
        <v>0</v>
      </c>
      <c r="V509">
        <f t="shared" si="101"/>
        <v>1</v>
      </c>
      <c r="Y509" t="str">
        <f t="shared" si="92"/>
        <v>Kosovo</v>
      </c>
      <c r="Z509" s="104" t="str">
        <f t="shared" si="93"/>
        <v/>
      </c>
      <c r="AA509" s="104">
        <f t="shared" si="94"/>
        <v>0.5</v>
      </c>
      <c r="AB509" s="104">
        <f t="shared" si="95"/>
        <v>1</v>
      </c>
    </row>
    <row r="510" spans="1:28" x14ac:dyDescent="0.25">
      <c r="A510" s="55" t="s">
        <v>7083</v>
      </c>
      <c r="B510" s="57">
        <v>2</v>
      </c>
      <c r="C510" s="57">
        <v>2</v>
      </c>
      <c r="D510" s="57"/>
      <c r="E510" s="57"/>
      <c r="F510" s="57">
        <v>2</v>
      </c>
      <c r="G510" s="57"/>
      <c r="H510" s="57"/>
      <c r="I510" s="57"/>
      <c r="J510" s="57"/>
      <c r="K510" s="57"/>
      <c r="L510" s="57"/>
      <c r="M510" s="57"/>
      <c r="Q510">
        <f t="shared" si="96"/>
        <v>2</v>
      </c>
      <c r="R510">
        <f t="shared" si="97"/>
        <v>2</v>
      </c>
      <c r="S510">
        <f t="shared" si="98"/>
        <v>0</v>
      </c>
      <c r="T510">
        <f t="shared" si="99"/>
        <v>2</v>
      </c>
      <c r="U510">
        <f t="shared" si="100"/>
        <v>0</v>
      </c>
      <c r="V510">
        <f t="shared" si="101"/>
        <v>0</v>
      </c>
      <c r="Y510" t="str">
        <f t="shared" si="92"/>
        <v>Lebanon</v>
      </c>
      <c r="Z510" s="104">
        <f t="shared" si="93"/>
        <v>0.5</v>
      </c>
      <c r="AA510" s="104">
        <f t="shared" si="94"/>
        <v>1</v>
      </c>
      <c r="AB510" s="104" t="str">
        <f t="shared" si="95"/>
        <v/>
      </c>
    </row>
    <row r="511" spans="1:28" x14ac:dyDescent="0.25">
      <c r="A511" s="55" t="s">
        <v>7194</v>
      </c>
      <c r="B511" s="57"/>
      <c r="C511" s="57"/>
      <c r="D511" s="57"/>
      <c r="E511" s="57"/>
      <c r="F511" s="57"/>
      <c r="G511" s="57"/>
      <c r="H511" s="57"/>
      <c r="I511" s="57">
        <v>1</v>
      </c>
      <c r="J511" s="57"/>
      <c r="K511" s="57"/>
      <c r="L511" s="57"/>
      <c r="M511" s="57"/>
      <c r="Q511">
        <f t="shared" si="96"/>
        <v>0</v>
      </c>
      <c r="R511">
        <f t="shared" si="97"/>
        <v>0</v>
      </c>
      <c r="S511">
        <f t="shared" si="98"/>
        <v>0</v>
      </c>
      <c r="T511">
        <f t="shared" si="99"/>
        <v>0</v>
      </c>
      <c r="U511">
        <f t="shared" si="100"/>
        <v>0</v>
      </c>
      <c r="V511">
        <f t="shared" si="101"/>
        <v>1</v>
      </c>
      <c r="Y511" t="str">
        <f t="shared" si="92"/>
        <v>Macedonia</v>
      </c>
      <c r="Z511" s="104" t="str">
        <f t="shared" si="93"/>
        <v/>
      </c>
      <c r="AA511" s="104" t="str">
        <f t="shared" si="94"/>
        <v/>
      </c>
      <c r="AB511" s="104">
        <f t="shared" si="95"/>
        <v>1</v>
      </c>
    </row>
    <row r="512" spans="1:28" x14ac:dyDescent="0.25">
      <c r="A512" s="55" t="s">
        <v>8140</v>
      </c>
      <c r="B512" s="57"/>
      <c r="C512" s="57"/>
      <c r="D512" s="57"/>
      <c r="E512" s="57">
        <v>2</v>
      </c>
      <c r="F512" s="57"/>
      <c r="G512" s="57"/>
      <c r="H512" s="57"/>
      <c r="I512" s="57">
        <v>1</v>
      </c>
      <c r="J512" s="57"/>
      <c r="K512" s="57"/>
      <c r="L512" s="57"/>
      <c r="M512" s="57"/>
      <c r="Q512">
        <f t="shared" si="96"/>
        <v>0</v>
      </c>
      <c r="R512">
        <f t="shared" si="97"/>
        <v>0</v>
      </c>
      <c r="S512">
        <f t="shared" si="98"/>
        <v>2</v>
      </c>
      <c r="T512">
        <f t="shared" si="99"/>
        <v>0</v>
      </c>
      <c r="U512">
        <f t="shared" si="100"/>
        <v>0</v>
      </c>
      <c r="V512">
        <f t="shared" si="101"/>
        <v>1</v>
      </c>
      <c r="Y512" t="str">
        <f t="shared" si="92"/>
        <v>Montenegro</v>
      </c>
      <c r="Z512" s="104" t="str">
        <f t="shared" si="93"/>
        <v/>
      </c>
      <c r="AA512" s="104">
        <f t="shared" si="94"/>
        <v>0</v>
      </c>
      <c r="AB512" s="104">
        <f t="shared" si="95"/>
        <v>1</v>
      </c>
    </row>
    <row r="513" spans="1:28" x14ac:dyDescent="0.25">
      <c r="A513" s="55" t="s">
        <v>8180</v>
      </c>
      <c r="B513" s="57"/>
      <c r="C513" s="57"/>
      <c r="D513" s="57"/>
      <c r="E513" s="57"/>
      <c r="F513" s="57">
        <v>3</v>
      </c>
      <c r="G513" s="57"/>
      <c r="H513" s="57"/>
      <c r="I513" s="57">
        <v>2</v>
      </c>
      <c r="J513" s="57"/>
      <c r="K513" s="57"/>
      <c r="L513" s="57"/>
      <c r="M513" s="57"/>
      <c r="Q513">
        <f t="shared" si="96"/>
        <v>0</v>
      </c>
      <c r="R513">
        <f t="shared" si="97"/>
        <v>0</v>
      </c>
      <c r="S513">
        <f t="shared" si="98"/>
        <v>0</v>
      </c>
      <c r="T513">
        <f t="shared" si="99"/>
        <v>3</v>
      </c>
      <c r="U513">
        <f t="shared" si="100"/>
        <v>0</v>
      </c>
      <c r="V513">
        <f t="shared" si="101"/>
        <v>2</v>
      </c>
      <c r="Y513" t="str">
        <f t="shared" si="92"/>
        <v>Morocco</v>
      </c>
      <c r="Z513" s="104" t="str">
        <f t="shared" si="93"/>
        <v/>
      </c>
      <c r="AA513" s="104">
        <f t="shared" si="94"/>
        <v>1</v>
      </c>
      <c r="AB513" s="104">
        <f t="shared" si="95"/>
        <v>1</v>
      </c>
    </row>
    <row r="514" spans="1:28" x14ac:dyDescent="0.25">
      <c r="A514" s="55" t="s">
        <v>9020</v>
      </c>
      <c r="B514" s="57"/>
      <c r="C514" s="57"/>
      <c r="D514" s="57"/>
      <c r="E514" s="57"/>
      <c r="F514" s="57"/>
      <c r="G514" s="57"/>
      <c r="H514" s="57"/>
      <c r="I514" s="57"/>
      <c r="J514" s="57"/>
      <c r="K514" s="57"/>
      <c r="L514" s="57"/>
      <c r="M514" s="57"/>
      <c r="Q514">
        <f t="shared" si="96"/>
        <v>0</v>
      </c>
      <c r="R514">
        <f t="shared" si="97"/>
        <v>0</v>
      </c>
      <c r="S514">
        <f t="shared" si="98"/>
        <v>0</v>
      </c>
      <c r="T514">
        <f t="shared" si="99"/>
        <v>0</v>
      </c>
      <c r="U514">
        <f t="shared" si="100"/>
        <v>0</v>
      </c>
      <c r="V514">
        <f t="shared" si="101"/>
        <v>0</v>
      </c>
      <c r="Y514" t="str">
        <f t="shared" si="92"/>
        <v>Netherlands</v>
      </c>
      <c r="Z514" s="104" t="str">
        <f t="shared" si="93"/>
        <v/>
      </c>
      <c r="AA514" s="104" t="str">
        <f t="shared" si="94"/>
        <v/>
      </c>
      <c r="AB514" s="104" t="str">
        <f t="shared" si="95"/>
        <v/>
      </c>
    </row>
    <row r="515" spans="1:28" x14ac:dyDescent="0.25">
      <c r="A515" s="55" t="s">
        <v>9409</v>
      </c>
      <c r="B515" s="57"/>
      <c r="C515" s="57"/>
      <c r="D515" s="57"/>
      <c r="E515" s="57"/>
      <c r="F515" s="57"/>
      <c r="G515" s="57"/>
      <c r="H515" s="57">
        <v>1</v>
      </c>
      <c r="I515" s="57"/>
      <c r="J515" s="57"/>
      <c r="K515" s="57"/>
      <c r="L515" s="57"/>
      <c r="M515" s="57"/>
      <c r="Q515">
        <f t="shared" si="96"/>
        <v>0</v>
      </c>
      <c r="R515">
        <f t="shared" si="97"/>
        <v>0</v>
      </c>
      <c r="S515">
        <f t="shared" si="98"/>
        <v>0</v>
      </c>
      <c r="T515">
        <f t="shared" si="99"/>
        <v>0</v>
      </c>
      <c r="U515">
        <f t="shared" si="100"/>
        <v>1</v>
      </c>
      <c r="V515">
        <f t="shared" si="101"/>
        <v>0</v>
      </c>
      <c r="Y515" t="str">
        <f t="shared" si="92"/>
        <v>Norway</v>
      </c>
      <c r="Z515" s="104" t="str">
        <f t="shared" si="93"/>
        <v/>
      </c>
      <c r="AA515" s="104" t="str">
        <f t="shared" si="94"/>
        <v/>
      </c>
      <c r="AB515" s="104">
        <f t="shared" si="95"/>
        <v>0</v>
      </c>
    </row>
    <row r="516" spans="1:28" x14ac:dyDescent="0.25">
      <c r="A516" s="55" t="s">
        <v>10350</v>
      </c>
      <c r="B516" s="57"/>
      <c r="C516" s="57"/>
      <c r="D516" s="57"/>
      <c r="E516" s="57">
        <v>1</v>
      </c>
      <c r="F516" s="57"/>
      <c r="G516" s="57"/>
      <c r="H516" s="57"/>
      <c r="I516" s="57"/>
      <c r="J516" s="57"/>
      <c r="K516" s="57"/>
      <c r="L516" s="57"/>
      <c r="M516" s="57"/>
      <c r="Q516">
        <f t="shared" si="96"/>
        <v>0</v>
      </c>
      <c r="R516">
        <f t="shared" si="97"/>
        <v>0</v>
      </c>
      <c r="S516">
        <f t="shared" si="98"/>
        <v>1</v>
      </c>
      <c r="T516">
        <f t="shared" si="99"/>
        <v>0</v>
      </c>
      <c r="U516">
        <f t="shared" si="100"/>
        <v>0</v>
      </c>
      <c r="V516">
        <f t="shared" si="101"/>
        <v>0</v>
      </c>
      <c r="Y516" t="str">
        <f t="shared" si="92"/>
        <v>Romania</v>
      </c>
      <c r="Z516" s="104" t="str">
        <f t="shared" si="93"/>
        <v/>
      </c>
      <c r="AA516" s="104">
        <f t="shared" si="94"/>
        <v>0</v>
      </c>
      <c r="AB516" s="104" t="str">
        <f t="shared" si="95"/>
        <v/>
      </c>
    </row>
    <row r="517" spans="1:28" x14ac:dyDescent="0.25">
      <c r="A517" s="55" t="s">
        <v>10558</v>
      </c>
      <c r="B517" s="57"/>
      <c r="C517" s="57"/>
      <c r="D517" s="57"/>
      <c r="E517" s="57"/>
      <c r="F517" s="57">
        <v>5</v>
      </c>
      <c r="G517" s="57"/>
      <c r="H517" s="57"/>
      <c r="I517" s="57">
        <v>2</v>
      </c>
      <c r="J517" s="57"/>
      <c r="K517" s="57"/>
      <c r="L517" s="57"/>
      <c r="M517" s="57"/>
      <c r="Q517">
        <f t="shared" si="96"/>
        <v>0</v>
      </c>
      <c r="R517">
        <f t="shared" si="97"/>
        <v>0</v>
      </c>
      <c r="S517">
        <f t="shared" si="98"/>
        <v>0</v>
      </c>
      <c r="T517">
        <f t="shared" si="99"/>
        <v>5</v>
      </c>
      <c r="U517">
        <f t="shared" si="100"/>
        <v>0</v>
      </c>
      <c r="V517">
        <f t="shared" si="101"/>
        <v>2</v>
      </c>
      <c r="Y517" t="str">
        <f t="shared" si="92"/>
        <v>Serbia</v>
      </c>
      <c r="Z517" s="104" t="str">
        <f t="shared" si="93"/>
        <v/>
      </c>
      <c r="AA517" s="104">
        <f t="shared" si="94"/>
        <v>1</v>
      </c>
      <c r="AB517" s="104">
        <f t="shared" si="95"/>
        <v>1</v>
      </c>
    </row>
    <row r="518" spans="1:28" x14ac:dyDescent="0.25">
      <c r="A518" s="55" t="s">
        <v>11664</v>
      </c>
      <c r="B518" s="57"/>
      <c r="C518" s="57"/>
      <c r="D518" s="57"/>
      <c r="E518" s="57"/>
      <c r="F518" s="57"/>
      <c r="G518" s="57"/>
      <c r="H518" s="57"/>
      <c r="I518" s="57">
        <v>4</v>
      </c>
      <c r="J518" s="57"/>
      <c r="K518" s="57"/>
      <c r="L518" s="57"/>
      <c r="M518" s="57"/>
      <c r="Q518">
        <f t="shared" si="96"/>
        <v>0</v>
      </c>
      <c r="R518">
        <f t="shared" si="97"/>
        <v>0</v>
      </c>
      <c r="S518">
        <f t="shared" si="98"/>
        <v>0</v>
      </c>
      <c r="T518">
        <f t="shared" si="99"/>
        <v>0</v>
      </c>
      <c r="U518">
        <f t="shared" si="100"/>
        <v>0</v>
      </c>
      <c r="V518">
        <f t="shared" si="101"/>
        <v>4</v>
      </c>
      <c r="Y518" t="str">
        <f t="shared" si="92"/>
        <v>Switzerland</v>
      </c>
      <c r="Z518" s="104" t="str">
        <f t="shared" si="93"/>
        <v/>
      </c>
      <c r="AA518" s="104" t="str">
        <f t="shared" si="94"/>
        <v/>
      </c>
      <c r="AB518" s="104">
        <f t="shared" si="95"/>
        <v>1</v>
      </c>
    </row>
    <row r="519" spans="1:28" x14ac:dyDescent="0.25">
      <c r="A519" s="55" t="s">
        <v>11693</v>
      </c>
      <c r="B519" s="57"/>
      <c r="C519" s="57"/>
      <c r="D519" s="57"/>
      <c r="E519" s="57"/>
      <c r="F519" s="57">
        <v>32</v>
      </c>
      <c r="G519" s="57"/>
      <c r="H519" s="57">
        <v>1</v>
      </c>
      <c r="I519" s="57"/>
      <c r="J519" s="57"/>
      <c r="K519" s="57"/>
      <c r="L519" s="57"/>
      <c r="M519" s="57"/>
      <c r="Q519">
        <f t="shared" si="96"/>
        <v>0</v>
      </c>
      <c r="R519">
        <f t="shared" si="97"/>
        <v>0</v>
      </c>
      <c r="S519">
        <f t="shared" si="98"/>
        <v>0</v>
      </c>
      <c r="T519">
        <f t="shared" si="99"/>
        <v>32</v>
      </c>
      <c r="U519">
        <f t="shared" si="100"/>
        <v>1</v>
      </c>
      <c r="V519">
        <f t="shared" si="101"/>
        <v>0</v>
      </c>
      <c r="Y519" t="str">
        <f t="shared" si="92"/>
        <v>Syria</v>
      </c>
      <c r="Z519" s="104" t="str">
        <f t="shared" si="93"/>
        <v/>
      </c>
      <c r="AA519" s="104">
        <f t="shared" si="94"/>
        <v>1</v>
      </c>
      <c r="AB519" s="104">
        <f t="shared" si="95"/>
        <v>0</v>
      </c>
    </row>
    <row r="520" spans="1:28" x14ac:dyDescent="0.25">
      <c r="A520" s="55" t="s">
        <v>12654</v>
      </c>
      <c r="B520" s="57"/>
      <c r="C520" s="57"/>
      <c r="D520" s="57"/>
      <c r="E520" s="57"/>
      <c r="F520" s="57"/>
      <c r="G520" s="57"/>
      <c r="H520" s="57"/>
      <c r="I520" s="57"/>
      <c r="J520" s="57"/>
      <c r="K520" s="57"/>
      <c r="L520" s="57"/>
      <c r="M520" s="57"/>
      <c r="Q520">
        <f t="shared" si="96"/>
        <v>0</v>
      </c>
      <c r="R520">
        <f t="shared" si="97"/>
        <v>0</v>
      </c>
      <c r="S520">
        <f t="shared" si="98"/>
        <v>0</v>
      </c>
      <c r="T520">
        <f t="shared" si="99"/>
        <v>0</v>
      </c>
      <c r="U520">
        <f t="shared" si="100"/>
        <v>0</v>
      </c>
      <c r="V520">
        <f t="shared" si="101"/>
        <v>0</v>
      </c>
      <c r="Y520" t="str">
        <f t="shared" si="92"/>
        <v>Turkey</v>
      </c>
      <c r="Z520" s="104" t="str">
        <f t="shared" si="93"/>
        <v/>
      </c>
      <c r="AA520" s="104" t="str">
        <f t="shared" si="94"/>
        <v/>
      </c>
      <c r="AB520" s="104" t="str">
        <f t="shared" si="95"/>
        <v/>
      </c>
    </row>
    <row r="521" spans="1:28" x14ac:dyDescent="0.25">
      <c r="A521" s="55" t="s">
        <v>12907</v>
      </c>
      <c r="B521" s="57"/>
      <c r="C521" s="57">
        <v>1</v>
      </c>
      <c r="D521" s="57"/>
      <c r="E521" s="57"/>
      <c r="F521" s="57"/>
      <c r="G521" s="57"/>
      <c r="H521" s="57"/>
      <c r="I521" s="57"/>
      <c r="J521" s="57"/>
      <c r="K521" s="57"/>
      <c r="L521" s="57"/>
      <c r="M521" s="57"/>
      <c r="Q521">
        <f t="shared" si="96"/>
        <v>0</v>
      </c>
      <c r="R521">
        <f t="shared" si="97"/>
        <v>1</v>
      </c>
      <c r="S521">
        <f t="shared" si="98"/>
        <v>0</v>
      </c>
      <c r="T521">
        <f t="shared" si="99"/>
        <v>0</v>
      </c>
      <c r="U521">
        <f t="shared" si="100"/>
        <v>0</v>
      </c>
      <c r="V521">
        <f t="shared" si="101"/>
        <v>0</v>
      </c>
      <c r="Y521" t="str">
        <f t="shared" si="92"/>
        <v>United Kingdom</v>
      </c>
      <c r="Z521" s="104">
        <f t="shared" si="93"/>
        <v>1</v>
      </c>
      <c r="AA521" s="104" t="str">
        <f t="shared" si="94"/>
        <v/>
      </c>
      <c r="AB521" s="104" t="str">
        <f t="shared" si="95"/>
        <v/>
      </c>
    </row>
    <row r="522" spans="1:28" x14ac:dyDescent="0.25">
      <c r="A522" s="55" t="s">
        <v>13710</v>
      </c>
      <c r="B522" s="57"/>
      <c r="C522" s="57"/>
      <c r="D522" s="57"/>
      <c r="E522" s="57"/>
      <c r="F522" s="57">
        <v>4</v>
      </c>
      <c r="G522" s="57"/>
      <c r="H522" s="57"/>
      <c r="I522" s="57">
        <v>3</v>
      </c>
      <c r="J522" s="57"/>
      <c r="K522" s="57"/>
      <c r="L522" s="57"/>
      <c r="M522" s="57"/>
      <c r="Q522">
        <f t="shared" si="96"/>
        <v>0</v>
      </c>
      <c r="R522">
        <f t="shared" si="97"/>
        <v>0</v>
      </c>
      <c r="S522">
        <f t="shared" si="98"/>
        <v>0</v>
      </c>
      <c r="T522">
        <f t="shared" si="99"/>
        <v>4</v>
      </c>
      <c r="U522">
        <f t="shared" si="100"/>
        <v>0</v>
      </c>
      <c r="V522">
        <f t="shared" si="101"/>
        <v>3</v>
      </c>
      <c r="Y522" t="str">
        <f t="shared" si="92"/>
        <v>West Bank and Gaza</v>
      </c>
      <c r="Z522" s="104" t="str">
        <f t="shared" si="93"/>
        <v/>
      </c>
      <c r="AA522" s="104">
        <f t="shared" si="94"/>
        <v>1</v>
      </c>
      <c r="AB522" s="104">
        <f t="shared" si="95"/>
        <v>1</v>
      </c>
    </row>
    <row r="523" spans="1:28" x14ac:dyDescent="0.25">
      <c r="A523" s="55" t="s">
        <v>13783</v>
      </c>
      <c r="B523" s="57"/>
      <c r="C523" s="57"/>
      <c r="D523" s="57"/>
      <c r="E523" s="57"/>
      <c r="F523" s="57">
        <v>17</v>
      </c>
      <c r="G523" s="57"/>
      <c r="H523" s="57"/>
      <c r="I523" s="57"/>
      <c r="J523" s="57"/>
      <c r="K523" s="57"/>
      <c r="L523" s="57"/>
      <c r="M523" s="57"/>
      <c r="Q523">
        <f t="shared" si="96"/>
        <v>0</v>
      </c>
      <c r="R523">
        <f t="shared" si="97"/>
        <v>0</v>
      </c>
      <c r="S523">
        <f t="shared" si="98"/>
        <v>0</v>
      </c>
      <c r="T523">
        <f t="shared" si="99"/>
        <v>17</v>
      </c>
      <c r="U523">
        <f t="shared" si="100"/>
        <v>0</v>
      </c>
      <c r="V523">
        <f t="shared" si="101"/>
        <v>0</v>
      </c>
      <c r="Y523" t="str">
        <f t="shared" si="92"/>
        <v>Yemen</v>
      </c>
      <c r="Z523" s="104" t="str">
        <f t="shared" si="93"/>
        <v/>
      </c>
      <c r="AA523" s="104">
        <f t="shared" si="94"/>
        <v>1</v>
      </c>
      <c r="AB523" s="104" t="str">
        <f t="shared" si="95"/>
        <v/>
      </c>
    </row>
    <row r="524" spans="1:28" x14ac:dyDescent="0.25">
      <c r="A524" s="50" t="s">
        <v>14281</v>
      </c>
      <c r="B524" s="57">
        <v>2</v>
      </c>
      <c r="C524" s="57">
        <v>3</v>
      </c>
      <c r="D524" s="57"/>
      <c r="E524" s="57">
        <v>13</v>
      </c>
      <c r="F524" s="57">
        <v>84</v>
      </c>
      <c r="G524" s="57"/>
      <c r="H524" s="57">
        <v>11</v>
      </c>
      <c r="I524" s="57">
        <v>42</v>
      </c>
      <c r="J524" s="57"/>
      <c r="K524" s="57"/>
      <c r="L524" s="57"/>
      <c r="M524" s="57"/>
      <c r="Q524">
        <f t="shared" si="96"/>
        <v>2</v>
      </c>
      <c r="R524">
        <f t="shared" si="97"/>
        <v>3</v>
      </c>
      <c r="S524">
        <f t="shared" si="98"/>
        <v>13</v>
      </c>
      <c r="T524">
        <f t="shared" si="99"/>
        <v>84</v>
      </c>
      <c r="U524">
        <f t="shared" si="100"/>
        <v>11</v>
      </c>
      <c r="V524">
        <f t="shared" si="101"/>
        <v>42</v>
      </c>
      <c r="Y524" t="str">
        <f t="shared" si="92"/>
        <v>Middle East, North Africa and Europe Total</v>
      </c>
      <c r="Z524" s="104">
        <f t="shared" si="93"/>
        <v>0.6</v>
      </c>
      <c r="AA524" s="104">
        <f t="shared" si="94"/>
        <v>0.865979381443299</v>
      </c>
      <c r="AB524" s="104">
        <f t="shared" si="95"/>
        <v>0.79245283018867929</v>
      </c>
    </row>
    <row r="525" spans="1:28" x14ac:dyDescent="0.25">
      <c r="A525" s="50" t="s">
        <v>12970</v>
      </c>
      <c r="B525" s="57"/>
      <c r="C525" s="57"/>
      <c r="D525" s="57"/>
      <c r="E525" s="57"/>
      <c r="F525" s="57"/>
      <c r="G525" s="57"/>
      <c r="H525" s="57"/>
      <c r="I525" s="57"/>
      <c r="J525" s="57"/>
      <c r="K525" s="57"/>
      <c r="L525" s="57"/>
      <c r="M525" s="57"/>
      <c r="Q525">
        <f t="shared" si="96"/>
        <v>0</v>
      </c>
      <c r="R525">
        <f t="shared" si="97"/>
        <v>0</v>
      </c>
      <c r="S525">
        <f t="shared" si="98"/>
        <v>0</v>
      </c>
      <c r="T525">
        <f t="shared" si="99"/>
        <v>0</v>
      </c>
      <c r="U525">
        <f t="shared" si="100"/>
        <v>0</v>
      </c>
      <c r="V525">
        <f t="shared" si="101"/>
        <v>0</v>
      </c>
      <c r="Y525" t="str">
        <f t="shared" si="92"/>
        <v>North America</v>
      </c>
      <c r="Z525" s="104" t="str">
        <f t="shared" si="93"/>
        <v/>
      </c>
      <c r="AA525" s="104" t="str">
        <f t="shared" si="94"/>
        <v/>
      </c>
      <c r="AB525" s="104" t="str">
        <f t="shared" si="95"/>
        <v/>
      </c>
    </row>
    <row r="526" spans="1:28" x14ac:dyDescent="0.25">
      <c r="A526" s="55" t="s">
        <v>12969</v>
      </c>
      <c r="B526" s="57"/>
      <c r="C526" s="57"/>
      <c r="D526" s="57"/>
      <c r="E526" s="57"/>
      <c r="F526" s="57"/>
      <c r="G526" s="57"/>
      <c r="H526" s="57"/>
      <c r="I526" s="57"/>
      <c r="J526" s="57"/>
      <c r="K526" s="57"/>
      <c r="L526" s="57"/>
      <c r="M526" s="57"/>
      <c r="Q526">
        <f t="shared" si="96"/>
        <v>0</v>
      </c>
      <c r="R526">
        <f t="shared" si="97"/>
        <v>0</v>
      </c>
      <c r="S526">
        <f t="shared" si="98"/>
        <v>0</v>
      </c>
      <c r="T526">
        <f t="shared" si="99"/>
        <v>0</v>
      </c>
      <c r="U526">
        <f t="shared" si="100"/>
        <v>0</v>
      </c>
      <c r="V526">
        <f t="shared" si="101"/>
        <v>0</v>
      </c>
      <c r="Y526" t="str">
        <f t="shared" si="92"/>
        <v>United States of America</v>
      </c>
      <c r="Z526" s="104" t="str">
        <f t="shared" si="93"/>
        <v/>
      </c>
      <c r="AA526" s="104" t="str">
        <f t="shared" si="94"/>
        <v/>
      </c>
      <c r="AB526" s="104" t="str">
        <f t="shared" si="95"/>
        <v/>
      </c>
    </row>
    <row r="527" spans="1:28" x14ac:dyDescent="0.25">
      <c r="A527" s="50" t="s">
        <v>14282</v>
      </c>
      <c r="B527" s="57"/>
      <c r="C527" s="57"/>
      <c r="D527" s="57"/>
      <c r="E527" s="57"/>
      <c r="F527" s="57"/>
      <c r="G527" s="57"/>
      <c r="H527" s="57"/>
      <c r="I527" s="57"/>
      <c r="J527" s="57"/>
      <c r="K527" s="57"/>
      <c r="L527" s="57"/>
      <c r="M527" s="57"/>
      <c r="Q527">
        <f t="shared" si="96"/>
        <v>0</v>
      </c>
      <c r="R527">
        <f t="shared" si="97"/>
        <v>0</v>
      </c>
      <c r="S527">
        <f t="shared" si="98"/>
        <v>0</v>
      </c>
      <c r="T527">
        <f t="shared" si="99"/>
        <v>0</v>
      </c>
      <c r="U527">
        <f t="shared" si="100"/>
        <v>0</v>
      </c>
      <c r="V527">
        <f t="shared" si="101"/>
        <v>0</v>
      </c>
      <c r="Y527" t="str">
        <f t="shared" si="92"/>
        <v>North America Total</v>
      </c>
      <c r="Z527" s="104" t="str">
        <f t="shared" si="93"/>
        <v/>
      </c>
      <c r="AA527" s="104" t="str">
        <f t="shared" si="94"/>
        <v/>
      </c>
      <c r="AB527" s="104" t="str">
        <f t="shared" si="95"/>
        <v/>
      </c>
    </row>
    <row r="528" spans="1:28" x14ac:dyDescent="0.25">
      <c r="A528" s="50" t="s">
        <v>14272</v>
      </c>
      <c r="B528" s="57">
        <v>4</v>
      </c>
      <c r="C528" s="57">
        <v>4</v>
      </c>
      <c r="D528" s="57"/>
      <c r="E528" s="57">
        <v>65</v>
      </c>
      <c r="F528" s="57">
        <v>495</v>
      </c>
      <c r="G528" s="57"/>
      <c r="H528" s="57">
        <v>73</v>
      </c>
      <c r="I528" s="57">
        <v>199</v>
      </c>
      <c r="J528" s="57"/>
      <c r="K528" s="57">
        <v>1</v>
      </c>
      <c r="L528" s="57">
        <v>1</v>
      </c>
      <c r="M528" s="57"/>
      <c r="Q528">
        <f t="shared" si="96"/>
        <v>4</v>
      </c>
      <c r="R528">
        <f t="shared" si="97"/>
        <v>4</v>
      </c>
      <c r="S528">
        <f t="shared" si="98"/>
        <v>65</v>
      </c>
      <c r="T528">
        <f t="shared" si="99"/>
        <v>495</v>
      </c>
      <c r="U528">
        <f t="shared" si="100"/>
        <v>73</v>
      </c>
      <c r="V528">
        <f t="shared" si="101"/>
        <v>199</v>
      </c>
      <c r="Y528" t="str">
        <f t="shared" si="92"/>
        <v>Grand Total</v>
      </c>
      <c r="Z528" s="104">
        <f t="shared" si="93"/>
        <v>0.5</v>
      </c>
      <c r="AA528" s="104">
        <f t="shared" si="94"/>
        <v>0.8839285714285714</v>
      </c>
      <c r="AB528" s="104">
        <f t="shared" si="95"/>
        <v>0.73161764705882348</v>
      </c>
    </row>
    <row r="529" spans="17:28" x14ac:dyDescent="0.25">
      <c r="Q529">
        <f t="shared" si="96"/>
        <v>0</v>
      </c>
      <c r="R529">
        <f t="shared" si="97"/>
        <v>0</v>
      </c>
      <c r="S529">
        <f t="shared" si="98"/>
        <v>0</v>
      </c>
      <c r="T529">
        <f t="shared" si="99"/>
        <v>0</v>
      </c>
      <c r="U529">
        <f t="shared" si="100"/>
        <v>0</v>
      </c>
      <c r="V529">
        <f t="shared" si="101"/>
        <v>0</v>
      </c>
      <c r="Y529">
        <f t="shared" si="92"/>
        <v>0</v>
      </c>
      <c r="Z529" s="104" t="str">
        <f t="shared" si="93"/>
        <v/>
      </c>
      <c r="AA529" s="104" t="str">
        <f t="shared" si="94"/>
        <v/>
      </c>
      <c r="AB529" s="104" t="str">
        <f t="shared" si="95"/>
        <v/>
      </c>
    </row>
  </sheetData>
  <mergeCells count="22">
    <mergeCell ref="Q110:R110"/>
    <mergeCell ref="S110:T110"/>
    <mergeCell ref="U110:V110"/>
    <mergeCell ref="Z109:AB109"/>
    <mergeCell ref="J3:J4"/>
    <mergeCell ref="K3:K4"/>
    <mergeCell ref="Q109:V109"/>
    <mergeCell ref="Q215:V215"/>
    <mergeCell ref="Z215:AB215"/>
    <mergeCell ref="Q216:R216"/>
    <mergeCell ref="S216:T216"/>
    <mergeCell ref="U216:V216"/>
    <mergeCell ref="Q321:V321"/>
    <mergeCell ref="Z321:AB321"/>
    <mergeCell ref="Q322:R322"/>
    <mergeCell ref="S322:T322"/>
    <mergeCell ref="U322:V322"/>
    <mergeCell ref="Q427:V427"/>
    <mergeCell ref="Z427:AB427"/>
    <mergeCell ref="Q428:R428"/>
    <mergeCell ref="S428:T428"/>
    <mergeCell ref="U428:V42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3:AK529"/>
  <sheetViews>
    <sheetView topLeftCell="B1" workbookViewId="0">
      <selection activeCell="B46" sqref="B46:H48"/>
    </sheetView>
  </sheetViews>
  <sheetFormatPr defaultRowHeight="15" x14ac:dyDescent="0.25"/>
  <cols>
    <col min="1" max="1" width="50" customWidth="1"/>
    <col min="2" max="2" width="63.5703125" customWidth="1"/>
    <col min="3" max="3" width="3.7109375" customWidth="1"/>
    <col min="4" max="4" width="6.7109375" customWidth="1"/>
    <col min="5" max="5" width="82.42578125" customWidth="1"/>
    <col min="6" max="6" width="3.85546875" customWidth="1"/>
    <col min="7" max="7" width="6.7109375" customWidth="1"/>
    <col min="8" max="8" width="72.42578125" customWidth="1"/>
    <col min="9" max="9" width="3.85546875" customWidth="1"/>
    <col min="10" max="10" width="6.7109375" customWidth="1"/>
    <col min="11" max="11" width="8.5703125" customWidth="1"/>
    <col min="12" max="12" width="3.7109375" customWidth="1"/>
    <col min="13" max="13" width="6.7109375" customWidth="1"/>
    <col min="14" max="14" width="8.5703125" customWidth="1"/>
    <col min="15" max="15" width="3.7109375" customWidth="1"/>
    <col min="16" max="16" width="6.7109375" customWidth="1"/>
    <col min="25" max="25" width="22.140625" customWidth="1"/>
  </cols>
  <sheetData>
    <row r="3" spans="1:11" ht="105" x14ac:dyDescent="0.25">
      <c r="A3" s="49" t="s">
        <v>14301</v>
      </c>
      <c r="B3" s="49" t="s">
        <v>14283</v>
      </c>
      <c r="I3" s="103" t="s">
        <v>14500</v>
      </c>
      <c r="J3" s="434" t="s">
        <v>14499</v>
      </c>
      <c r="K3" s="434" t="s">
        <v>14501</v>
      </c>
    </row>
    <row r="4" spans="1:11" x14ac:dyDescent="0.25">
      <c r="A4" s="49" t="s">
        <v>14283</v>
      </c>
      <c r="B4" t="s">
        <v>14297</v>
      </c>
      <c r="C4" t="s">
        <v>14298</v>
      </c>
      <c r="D4" t="s">
        <v>14299</v>
      </c>
      <c r="E4" t="s">
        <v>14294</v>
      </c>
      <c r="F4" t="s">
        <v>14300</v>
      </c>
      <c r="G4" t="s">
        <v>14394</v>
      </c>
      <c r="J4" s="434"/>
      <c r="K4" s="434"/>
    </row>
    <row r="5" spans="1:11" x14ac:dyDescent="0.25">
      <c r="A5" s="50" t="s">
        <v>1874</v>
      </c>
      <c r="B5" s="57"/>
      <c r="C5" s="57"/>
      <c r="D5" s="57"/>
      <c r="E5" s="57"/>
      <c r="F5" s="57"/>
      <c r="G5" s="57"/>
      <c r="J5" s="101"/>
    </row>
    <row r="6" spans="1:11" x14ac:dyDescent="0.25">
      <c r="A6" s="55" t="s">
        <v>1873</v>
      </c>
      <c r="B6" s="57">
        <v>4</v>
      </c>
      <c r="C6" s="57">
        <v>5</v>
      </c>
      <c r="D6" s="57">
        <v>3</v>
      </c>
      <c r="E6" s="57"/>
      <c r="F6" s="57">
        <v>2</v>
      </c>
      <c r="G6" s="57"/>
      <c r="I6">
        <f t="shared" ref="I6:I37" si="0">SUM(B6:G6)</f>
        <v>14</v>
      </c>
      <c r="J6" s="58">
        <f>(F6*4+E6*3+D6*2+C6*1)/SUM(B6:F6)</f>
        <v>1.3571428571428572</v>
      </c>
      <c r="K6" s="104">
        <f>SUM(D6:F6)/(SUM(B6:G6))</f>
        <v>0.35714285714285715</v>
      </c>
    </row>
    <row r="7" spans="1:11" x14ac:dyDescent="0.25">
      <c r="A7" s="55" t="s">
        <v>3868</v>
      </c>
      <c r="B7" s="57"/>
      <c r="C7" s="57"/>
      <c r="D7" s="57">
        <v>28</v>
      </c>
      <c r="E7" s="57">
        <v>1</v>
      </c>
      <c r="F7" s="57">
        <v>1</v>
      </c>
      <c r="G7" s="57"/>
      <c r="I7">
        <f t="shared" si="0"/>
        <v>30</v>
      </c>
      <c r="J7" s="58">
        <f t="shared" ref="J7:J70" si="1">(F7*4+E7*3+D7*2+C7*1)/SUM(B7:F7)</f>
        <v>2.1</v>
      </c>
      <c r="K7" s="104">
        <f t="shared" ref="K7:K70" si="2">SUM(D7:F7)/(SUM(B7:G7))</f>
        <v>1</v>
      </c>
    </row>
    <row r="8" spans="1:11" x14ac:dyDescent="0.25">
      <c r="A8" s="55" t="s">
        <v>6457</v>
      </c>
      <c r="B8" s="57">
        <v>1</v>
      </c>
      <c r="C8" s="57">
        <v>2</v>
      </c>
      <c r="D8" s="57">
        <v>20</v>
      </c>
      <c r="E8" s="57">
        <v>1</v>
      </c>
      <c r="F8" s="57"/>
      <c r="G8" s="57">
        <v>4</v>
      </c>
      <c r="I8">
        <f t="shared" si="0"/>
        <v>28</v>
      </c>
      <c r="J8" s="58">
        <f t="shared" si="1"/>
        <v>1.875</v>
      </c>
      <c r="K8" s="104">
        <f t="shared" si="2"/>
        <v>0.75</v>
      </c>
    </row>
    <row r="9" spans="1:11" x14ac:dyDescent="0.25">
      <c r="A9" s="55" t="s">
        <v>10371</v>
      </c>
      <c r="B9" s="57">
        <v>1</v>
      </c>
      <c r="C9" s="57"/>
      <c r="D9" s="57">
        <v>5</v>
      </c>
      <c r="E9" s="57">
        <v>2</v>
      </c>
      <c r="F9" s="57"/>
      <c r="G9" s="57">
        <v>2</v>
      </c>
      <c r="I9">
        <f t="shared" si="0"/>
        <v>10</v>
      </c>
      <c r="J9" s="58">
        <f t="shared" si="1"/>
        <v>2</v>
      </c>
      <c r="K9" s="104">
        <f t="shared" si="2"/>
        <v>0.7</v>
      </c>
    </row>
    <row r="10" spans="1:11" x14ac:dyDescent="0.25">
      <c r="A10" s="55" t="s">
        <v>10685</v>
      </c>
      <c r="B10" s="57"/>
      <c r="C10" s="57">
        <v>2</v>
      </c>
      <c r="D10" s="57">
        <v>28</v>
      </c>
      <c r="E10" s="57">
        <v>2</v>
      </c>
      <c r="F10" s="57">
        <v>2</v>
      </c>
      <c r="G10" s="57">
        <v>2</v>
      </c>
      <c r="I10">
        <f t="shared" si="0"/>
        <v>36</v>
      </c>
      <c r="J10" s="58">
        <f t="shared" si="1"/>
        <v>2.1176470588235294</v>
      </c>
      <c r="K10" s="104">
        <f t="shared" si="2"/>
        <v>0.88888888888888884</v>
      </c>
    </row>
    <row r="11" spans="1:11" x14ac:dyDescent="0.25">
      <c r="A11" s="55" t="s">
        <v>11104</v>
      </c>
      <c r="B11" s="57"/>
      <c r="C11" s="57"/>
      <c r="D11" s="57">
        <v>20</v>
      </c>
      <c r="E11" s="57"/>
      <c r="F11" s="57">
        <v>1</v>
      </c>
      <c r="G11" s="57"/>
      <c r="I11">
        <f t="shared" si="0"/>
        <v>21</v>
      </c>
      <c r="J11" s="58">
        <f t="shared" si="1"/>
        <v>2.0952380952380953</v>
      </c>
      <c r="K11" s="104">
        <f t="shared" si="2"/>
        <v>1</v>
      </c>
    </row>
    <row r="12" spans="1:11" x14ac:dyDescent="0.25">
      <c r="A12" s="55" t="s">
        <v>11417</v>
      </c>
      <c r="B12" s="57"/>
      <c r="C12" s="57">
        <v>1</v>
      </c>
      <c r="D12" s="57">
        <v>13</v>
      </c>
      <c r="E12" s="57">
        <v>2</v>
      </c>
      <c r="F12" s="57">
        <v>2</v>
      </c>
      <c r="G12" s="57">
        <v>2</v>
      </c>
      <c r="I12">
        <f t="shared" si="0"/>
        <v>20</v>
      </c>
      <c r="J12" s="58">
        <f t="shared" si="1"/>
        <v>2.2777777777777777</v>
      </c>
      <c r="K12" s="104">
        <f t="shared" si="2"/>
        <v>0.85</v>
      </c>
    </row>
    <row r="13" spans="1:11" x14ac:dyDescent="0.25">
      <c r="A13" s="55" t="s">
        <v>12694</v>
      </c>
      <c r="B13" s="57">
        <v>1</v>
      </c>
      <c r="C13" s="57"/>
      <c r="D13" s="57">
        <v>9</v>
      </c>
      <c r="E13" s="57"/>
      <c r="F13" s="57">
        <v>3</v>
      </c>
      <c r="G13" s="57"/>
      <c r="I13">
        <f t="shared" si="0"/>
        <v>13</v>
      </c>
      <c r="J13" s="58">
        <f t="shared" si="1"/>
        <v>2.3076923076923075</v>
      </c>
      <c r="K13" s="104">
        <f t="shared" si="2"/>
        <v>0.92307692307692313</v>
      </c>
    </row>
    <row r="14" spans="1:11" x14ac:dyDescent="0.25">
      <c r="A14" s="55" t="s">
        <v>14322</v>
      </c>
      <c r="B14" s="57"/>
      <c r="C14" s="57"/>
      <c r="D14" s="57">
        <v>4</v>
      </c>
      <c r="E14" s="57"/>
      <c r="F14" s="57">
        <v>1</v>
      </c>
      <c r="G14" s="57"/>
      <c r="I14">
        <f t="shared" si="0"/>
        <v>5</v>
      </c>
      <c r="J14" s="58">
        <f t="shared" si="1"/>
        <v>2.4</v>
      </c>
      <c r="K14" s="104">
        <f t="shared" si="2"/>
        <v>1</v>
      </c>
    </row>
    <row r="15" spans="1:11" x14ac:dyDescent="0.25">
      <c r="A15" s="50" t="s">
        <v>14276</v>
      </c>
      <c r="B15" s="57">
        <v>7</v>
      </c>
      <c r="C15" s="57">
        <v>10</v>
      </c>
      <c r="D15" s="57">
        <v>130</v>
      </c>
      <c r="E15" s="57">
        <v>8</v>
      </c>
      <c r="F15" s="57">
        <v>12</v>
      </c>
      <c r="G15" s="57">
        <v>10</v>
      </c>
      <c r="I15">
        <f t="shared" si="0"/>
        <v>177</v>
      </c>
      <c r="J15" s="58">
        <f t="shared" si="1"/>
        <v>2.0479041916167664</v>
      </c>
      <c r="K15" s="104">
        <f t="shared" si="2"/>
        <v>0.84745762711864403</v>
      </c>
    </row>
    <row r="16" spans="1:11" x14ac:dyDescent="0.25">
      <c r="A16" s="50" t="s">
        <v>7217</v>
      </c>
      <c r="B16" s="57"/>
      <c r="C16" s="57"/>
      <c r="D16" s="57"/>
      <c r="E16" s="57"/>
      <c r="F16" s="57"/>
      <c r="G16" s="57"/>
      <c r="I16">
        <f t="shared" si="0"/>
        <v>0</v>
      </c>
      <c r="J16" s="58" t="e">
        <f t="shared" si="1"/>
        <v>#DIV/0!</v>
      </c>
      <c r="K16" s="104" t="e">
        <f t="shared" si="2"/>
        <v>#DIV/0!</v>
      </c>
    </row>
    <row r="17" spans="1:11" x14ac:dyDescent="0.25">
      <c r="A17" s="55" t="s">
        <v>7216</v>
      </c>
      <c r="B17" s="57"/>
      <c r="C17" s="57"/>
      <c r="D17" s="57">
        <v>10</v>
      </c>
      <c r="E17" s="57"/>
      <c r="F17" s="57"/>
      <c r="G17" s="57">
        <v>1</v>
      </c>
      <c r="I17">
        <f t="shared" si="0"/>
        <v>11</v>
      </c>
      <c r="J17" s="58">
        <f t="shared" si="1"/>
        <v>2</v>
      </c>
      <c r="K17" s="104">
        <f t="shared" si="2"/>
        <v>0.90909090909090906</v>
      </c>
    </row>
    <row r="18" spans="1:11" x14ac:dyDescent="0.25">
      <c r="A18" s="55" t="s">
        <v>7451</v>
      </c>
      <c r="B18" s="57">
        <v>1</v>
      </c>
      <c r="C18" s="57">
        <v>4</v>
      </c>
      <c r="D18" s="57">
        <v>17</v>
      </c>
      <c r="E18" s="57">
        <v>2</v>
      </c>
      <c r="F18" s="57"/>
      <c r="G18" s="57"/>
      <c r="I18">
        <f t="shared" si="0"/>
        <v>24</v>
      </c>
      <c r="J18" s="58">
        <f t="shared" si="1"/>
        <v>1.8333333333333333</v>
      </c>
      <c r="K18" s="104">
        <f t="shared" si="2"/>
        <v>0.79166666666666663</v>
      </c>
    </row>
    <row r="19" spans="1:11" x14ac:dyDescent="0.25">
      <c r="A19" s="55" t="s">
        <v>8265</v>
      </c>
      <c r="B19" s="57"/>
      <c r="C19" s="57">
        <v>1</v>
      </c>
      <c r="D19" s="57">
        <v>6</v>
      </c>
      <c r="E19" s="57">
        <v>2</v>
      </c>
      <c r="F19" s="57">
        <v>1</v>
      </c>
      <c r="G19" s="57"/>
      <c r="I19">
        <f t="shared" si="0"/>
        <v>10</v>
      </c>
      <c r="J19" s="58">
        <f t="shared" si="1"/>
        <v>2.2999999999999998</v>
      </c>
      <c r="K19" s="104">
        <f t="shared" si="2"/>
        <v>0.9</v>
      </c>
    </row>
    <row r="20" spans="1:11" x14ac:dyDescent="0.25">
      <c r="A20" s="55" t="s">
        <v>11102</v>
      </c>
      <c r="B20" s="57"/>
      <c r="C20" s="57"/>
      <c r="D20" s="57"/>
      <c r="E20" s="57"/>
      <c r="F20" s="57"/>
      <c r="G20" s="57">
        <v>1</v>
      </c>
      <c r="I20">
        <f t="shared" si="0"/>
        <v>1</v>
      </c>
      <c r="J20" s="58" t="e">
        <f t="shared" si="1"/>
        <v>#DIV/0!</v>
      </c>
      <c r="K20" s="104">
        <f t="shared" si="2"/>
        <v>0</v>
      </c>
    </row>
    <row r="21" spans="1:11" x14ac:dyDescent="0.25">
      <c r="A21" s="55" t="s">
        <v>12090</v>
      </c>
      <c r="B21" s="57"/>
      <c r="C21" s="57">
        <v>2</v>
      </c>
      <c r="D21" s="57">
        <v>7</v>
      </c>
      <c r="E21" s="57"/>
      <c r="F21" s="57">
        <v>2</v>
      </c>
      <c r="G21" s="57"/>
      <c r="I21">
        <f t="shared" si="0"/>
        <v>11</v>
      </c>
      <c r="J21" s="58">
        <f t="shared" si="1"/>
        <v>2.1818181818181817</v>
      </c>
      <c r="K21" s="104">
        <f t="shared" si="2"/>
        <v>0.81818181818181823</v>
      </c>
    </row>
    <row r="22" spans="1:11" x14ac:dyDescent="0.25">
      <c r="A22" s="55" t="s">
        <v>13917</v>
      </c>
      <c r="B22" s="57">
        <v>1</v>
      </c>
      <c r="C22" s="57">
        <v>1</v>
      </c>
      <c r="D22" s="57">
        <v>4</v>
      </c>
      <c r="E22" s="57"/>
      <c r="F22" s="57"/>
      <c r="G22" s="57">
        <v>2</v>
      </c>
      <c r="I22">
        <f t="shared" si="0"/>
        <v>8</v>
      </c>
      <c r="J22" s="58">
        <f t="shared" si="1"/>
        <v>1.5</v>
      </c>
      <c r="K22" s="104">
        <f t="shared" si="2"/>
        <v>0.5</v>
      </c>
    </row>
    <row r="23" spans="1:11" x14ac:dyDescent="0.25">
      <c r="A23" s="55" t="s">
        <v>14016</v>
      </c>
      <c r="B23" s="57">
        <v>1</v>
      </c>
      <c r="C23" s="57">
        <v>3</v>
      </c>
      <c r="D23" s="57">
        <v>9</v>
      </c>
      <c r="E23" s="57"/>
      <c r="F23" s="57">
        <v>3</v>
      </c>
      <c r="G23" s="57">
        <v>3</v>
      </c>
      <c r="I23">
        <f t="shared" si="0"/>
        <v>19</v>
      </c>
      <c r="J23" s="58">
        <f t="shared" si="1"/>
        <v>2.0625</v>
      </c>
      <c r="K23" s="104">
        <f t="shared" si="2"/>
        <v>0.63157894736842102</v>
      </c>
    </row>
    <row r="24" spans="1:11" x14ac:dyDescent="0.25">
      <c r="A24" s="50" t="s">
        <v>14277</v>
      </c>
      <c r="B24" s="57">
        <v>3</v>
      </c>
      <c r="C24" s="57">
        <v>11</v>
      </c>
      <c r="D24" s="57">
        <v>53</v>
      </c>
      <c r="E24" s="57">
        <v>4</v>
      </c>
      <c r="F24" s="57">
        <v>6</v>
      </c>
      <c r="G24" s="57">
        <v>7</v>
      </c>
      <c r="I24">
        <f t="shared" si="0"/>
        <v>84</v>
      </c>
      <c r="J24" s="58">
        <f t="shared" si="1"/>
        <v>1.9870129870129871</v>
      </c>
      <c r="K24" s="104">
        <f t="shared" si="2"/>
        <v>0.75</v>
      </c>
    </row>
    <row r="25" spans="1:11" x14ac:dyDescent="0.25">
      <c r="A25" s="50" t="s">
        <v>1596</v>
      </c>
      <c r="B25" s="57"/>
      <c r="C25" s="57"/>
      <c r="D25" s="57"/>
      <c r="E25" s="57"/>
      <c r="F25" s="57"/>
      <c r="G25" s="57"/>
      <c r="I25">
        <f t="shared" si="0"/>
        <v>0</v>
      </c>
      <c r="J25" s="58" t="e">
        <f t="shared" si="1"/>
        <v>#DIV/0!</v>
      </c>
      <c r="K25" s="104" t="e">
        <f t="shared" si="2"/>
        <v>#DIV/0!</v>
      </c>
    </row>
    <row r="26" spans="1:11" x14ac:dyDescent="0.25">
      <c r="A26" s="55" t="s">
        <v>1595</v>
      </c>
      <c r="B26" s="57">
        <v>1</v>
      </c>
      <c r="C26" s="57">
        <v>1</v>
      </c>
      <c r="D26" s="57">
        <v>4</v>
      </c>
      <c r="E26" s="57">
        <v>1</v>
      </c>
      <c r="F26" s="57"/>
      <c r="G26" s="57">
        <v>1</v>
      </c>
      <c r="I26">
        <f t="shared" si="0"/>
        <v>8</v>
      </c>
      <c r="J26" s="58">
        <f t="shared" si="1"/>
        <v>1.7142857142857142</v>
      </c>
      <c r="K26" s="104">
        <f t="shared" si="2"/>
        <v>0.625</v>
      </c>
    </row>
    <row r="27" spans="1:11" x14ac:dyDescent="0.25">
      <c r="A27" s="55" t="s">
        <v>1827</v>
      </c>
      <c r="B27" s="57"/>
      <c r="C27" s="57"/>
      <c r="D27" s="57">
        <v>1</v>
      </c>
      <c r="E27" s="57"/>
      <c r="F27" s="57">
        <v>1</v>
      </c>
      <c r="G27" s="57"/>
      <c r="I27">
        <f t="shared" si="0"/>
        <v>2</v>
      </c>
      <c r="J27" s="58">
        <f t="shared" si="1"/>
        <v>3</v>
      </c>
      <c r="K27" s="104">
        <f t="shared" si="2"/>
        <v>1</v>
      </c>
    </row>
    <row r="28" spans="1:11" x14ac:dyDescent="0.25">
      <c r="A28" s="55" t="s">
        <v>2395</v>
      </c>
      <c r="B28" s="57"/>
      <c r="C28" s="57"/>
      <c r="D28" s="57">
        <v>6</v>
      </c>
      <c r="E28" s="57"/>
      <c r="F28" s="57"/>
      <c r="G28" s="57"/>
      <c r="I28">
        <f t="shared" si="0"/>
        <v>6</v>
      </c>
      <c r="J28" s="58">
        <f t="shared" si="1"/>
        <v>2</v>
      </c>
      <c r="K28" s="104">
        <f t="shared" si="2"/>
        <v>1</v>
      </c>
    </row>
    <row r="29" spans="1:11" x14ac:dyDescent="0.25">
      <c r="A29" s="55" t="s">
        <v>2536</v>
      </c>
      <c r="B29" s="57">
        <v>1</v>
      </c>
      <c r="C29" s="57">
        <v>2</v>
      </c>
      <c r="D29" s="57">
        <v>10</v>
      </c>
      <c r="E29" s="57"/>
      <c r="F29" s="57">
        <v>2</v>
      </c>
      <c r="G29" s="57"/>
      <c r="I29">
        <f t="shared" si="0"/>
        <v>15</v>
      </c>
      <c r="J29" s="58">
        <f t="shared" si="1"/>
        <v>2</v>
      </c>
      <c r="K29" s="104">
        <f t="shared" si="2"/>
        <v>0.8</v>
      </c>
    </row>
    <row r="30" spans="1:11" x14ac:dyDescent="0.25">
      <c r="A30" s="55" t="s">
        <v>2956</v>
      </c>
      <c r="B30" s="57">
        <v>1</v>
      </c>
      <c r="C30" s="57"/>
      <c r="D30" s="57">
        <v>8</v>
      </c>
      <c r="E30" s="57"/>
      <c r="F30" s="57"/>
      <c r="G30" s="57"/>
      <c r="I30">
        <f t="shared" si="0"/>
        <v>9</v>
      </c>
      <c r="J30" s="58">
        <f t="shared" si="1"/>
        <v>1.7777777777777777</v>
      </c>
      <c r="K30" s="104">
        <f t="shared" si="2"/>
        <v>0.88888888888888884</v>
      </c>
    </row>
    <row r="31" spans="1:11" x14ac:dyDescent="0.25">
      <c r="A31" s="55" t="s">
        <v>4471</v>
      </c>
      <c r="B31" s="57">
        <v>1</v>
      </c>
      <c r="C31" s="57"/>
      <c r="D31" s="57">
        <v>8</v>
      </c>
      <c r="E31" s="57"/>
      <c r="F31" s="57">
        <v>3</v>
      </c>
      <c r="G31" s="57">
        <v>1</v>
      </c>
      <c r="I31">
        <f t="shared" si="0"/>
        <v>13</v>
      </c>
      <c r="J31" s="58">
        <f t="shared" si="1"/>
        <v>2.3333333333333335</v>
      </c>
      <c r="K31" s="104">
        <f t="shared" si="2"/>
        <v>0.84615384615384615</v>
      </c>
    </row>
    <row r="32" spans="1:11" x14ac:dyDescent="0.25">
      <c r="A32" s="55" t="s">
        <v>7179</v>
      </c>
      <c r="B32" s="57">
        <v>1</v>
      </c>
      <c r="C32" s="57"/>
      <c r="D32" s="57"/>
      <c r="E32" s="57"/>
      <c r="F32" s="57"/>
      <c r="G32" s="57"/>
      <c r="I32">
        <f t="shared" si="0"/>
        <v>1</v>
      </c>
      <c r="J32" s="58">
        <f t="shared" si="1"/>
        <v>0</v>
      </c>
      <c r="K32" s="104">
        <f t="shared" si="2"/>
        <v>0</v>
      </c>
    </row>
    <row r="33" spans="1:11" x14ac:dyDescent="0.25">
      <c r="A33" s="55" t="s">
        <v>7835</v>
      </c>
      <c r="B33" s="57"/>
      <c r="C33" s="57">
        <v>1</v>
      </c>
      <c r="D33" s="57">
        <v>11</v>
      </c>
      <c r="E33" s="57"/>
      <c r="F33" s="57">
        <v>3</v>
      </c>
      <c r="G33" s="57">
        <v>1</v>
      </c>
      <c r="I33">
        <f t="shared" si="0"/>
        <v>16</v>
      </c>
      <c r="J33" s="58">
        <f t="shared" si="1"/>
        <v>2.3333333333333335</v>
      </c>
      <c r="K33" s="104">
        <f t="shared" si="2"/>
        <v>0.875</v>
      </c>
    </row>
    <row r="34" spans="1:11" x14ac:dyDescent="0.25">
      <c r="A34" s="55" t="s">
        <v>9043</v>
      </c>
      <c r="B34" s="57">
        <v>13</v>
      </c>
      <c r="C34" s="57">
        <v>1</v>
      </c>
      <c r="D34" s="57">
        <v>10</v>
      </c>
      <c r="E34" s="57"/>
      <c r="F34" s="57">
        <v>2</v>
      </c>
      <c r="G34" s="57">
        <v>2</v>
      </c>
      <c r="I34">
        <f t="shared" si="0"/>
        <v>28</v>
      </c>
      <c r="J34" s="58">
        <f t="shared" si="1"/>
        <v>1.1153846153846154</v>
      </c>
      <c r="K34" s="104">
        <f t="shared" si="2"/>
        <v>0.42857142857142855</v>
      </c>
    </row>
    <row r="35" spans="1:11" x14ac:dyDescent="0.25">
      <c r="A35" s="55" t="s">
        <v>10594</v>
      </c>
      <c r="B35" s="57">
        <v>1</v>
      </c>
      <c r="C35" s="57"/>
      <c r="D35" s="57">
        <v>3</v>
      </c>
      <c r="E35" s="57">
        <v>1</v>
      </c>
      <c r="F35" s="57"/>
      <c r="G35" s="57"/>
      <c r="I35">
        <f t="shared" si="0"/>
        <v>5</v>
      </c>
      <c r="J35" s="58">
        <f t="shared" si="1"/>
        <v>1.8</v>
      </c>
      <c r="K35" s="104">
        <f t="shared" si="2"/>
        <v>0.8</v>
      </c>
    </row>
    <row r="36" spans="1:11" x14ac:dyDescent="0.25">
      <c r="A36" s="50" t="s">
        <v>14278</v>
      </c>
      <c r="B36" s="57">
        <v>19</v>
      </c>
      <c r="C36" s="57">
        <v>5</v>
      </c>
      <c r="D36" s="57">
        <v>61</v>
      </c>
      <c r="E36" s="57">
        <v>2</v>
      </c>
      <c r="F36" s="57">
        <v>11</v>
      </c>
      <c r="G36" s="57">
        <v>5</v>
      </c>
      <c r="I36">
        <f t="shared" si="0"/>
        <v>103</v>
      </c>
      <c r="J36" s="58">
        <f t="shared" si="1"/>
        <v>1.8061224489795917</v>
      </c>
      <c r="K36" s="104">
        <f t="shared" si="2"/>
        <v>0.71844660194174759</v>
      </c>
    </row>
    <row r="37" spans="1:11" x14ac:dyDescent="0.25">
      <c r="A37" s="50" t="s">
        <v>306</v>
      </c>
      <c r="B37" s="57"/>
      <c r="C37" s="57"/>
      <c r="D37" s="57"/>
      <c r="E37" s="57"/>
      <c r="F37" s="57"/>
      <c r="G37" s="57"/>
      <c r="I37">
        <f t="shared" si="0"/>
        <v>0</v>
      </c>
      <c r="J37" s="58" t="e">
        <f t="shared" si="1"/>
        <v>#DIV/0!</v>
      </c>
      <c r="K37" s="104" t="e">
        <f t="shared" si="2"/>
        <v>#DIV/0!</v>
      </c>
    </row>
    <row r="38" spans="1:11" x14ac:dyDescent="0.25">
      <c r="A38" s="55" t="s">
        <v>305</v>
      </c>
      <c r="B38" s="57"/>
      <c r="C38" s="57"/>
      <c r="D38" s="57">
        <v>12</v>
      </c>
      <c r="E38" s="57"/>
      <c r="F38" s="57"/>
      <c r="G38" s="57">
        <v>3</v>
      </c>
      <c r="I38">
        <f t="shared" ref="I38:I69" si="3">SUM(B38:G38)</f>
        <v>15</v>
      </c>
      <c r="J38" s="58">
        <f t="shared" si="1"/>
        <v>2</v>
      </c>
      <c r="K38" s="104">
        <f t="shared" si="2"/>
        <v>0.8</v>
      </c>
    </row>
    <row r="39" spans="1:11" x14ac:dyDescent="0.25">
      <c r="A39" s="55" t="s">
        <v>652</v>
      </c>
      <c r="B39" s="57">
        <v>2</v>
      </c>
      <c r="C39" s="57">
        <v>4</v>
      </c>
      <c r="D39" s="57">
        <v>39</v>
      </c>
      <c r="E39" s="57"/>
      <c r="F39" s="57">
        <v>3</v>
      </c>
      <c r="G39" s="57">
        <v>1</v>
      </c>
      <c r="I39">
        <f t="shared" si="3"/>
        <v>49</v>
      </c>
      <c r="J39" s="58">
        <f t="shared" si="1"/>
        <v>1.9583333333333333</v>
      </c>
      <c r="K39" s="104">
        <f t="shared" si="2"/>
        <v>0.8571428571428571</v>
      </c>
    </row>
    <row r="40" spans="1:11" x14ac:dyDescent="0.25">
      <c r="A40" s="55" t="s">
        <v>2092</v>
      </c>
      <c r="B40" s="57">
        <v>1</v>
      </c>
      <c r="C40" s="57"/>
      <c r="D40" s="57">
        <v>14</v>
      </c>
      <c r="E40" s="57"/>
      <c r="F40" s="57">
        <v>3</v>
      </c>
      <c r="G40" s="57"/>
      <c r="I40">
        <f t="shared" si="3"/>
        <v>18</v>
      </c>
      <c r="J40" s="58">
        <f t="shared" si="1"/>
        <v>2.2222222222222223</v>
      </c>
      <c r="K40" s="104">
        <f t="shared" si="2"/>
        <v>0.94444444444444442</v>
      </c>
    </row>
    <row r="41" spans="1:11" x14ac:dyDescent="0.25">
      <c r="A41" s="55" t="s">
        <v>4268</v>
      </c>
      <c r="B41" s="57"/>
      <c r="C41" s="57"/>
      <c r="D41" s="57">
        <v>1</v>
      </c>
      <c r="E41" s="57"/>
      <c r="F41" s="57"/>
      <c r="G41" s="57"/>
      <c r="I41">
        <f t="shared" si="3"/>
        <v>1</v>
      </c>
      <c r="J41" s="58">
        <f t="shared" si="1"/>
        <v>2</v>
      </c>
      <c r="K41" s="104">
        <f t="shared" si="2"/>
        <v>1</v>
      </c>
    </row>
    <row r="42" spans="1:11" x14ac:dyDescent="0.25">
      <c r="A42" s="55" t="s">
        <v>5300</v>
      </c>
      <c r="B42" s="57">
        <v>1</v>
      </c>
      <c r="C42" s="57">
        <v>3</v>
      </c>
      <c r="D42" s="57">
        <v>18</v>
      </c>
      <c r="E42" s="57">
        <v>11</v>
      </c>
      <c r="F42" s="57">
        <v>2</v>
      </c>
      <c r="G42" s="57">
        <v>5</v>
      </c>
      <c r="I42">
        <f t="shared" si="3"/>
        <v>40</v>
      </c>
      <c r="J42" s="58">
        <f t="shared" si="1"/>
        <v>2.2857142857142856</v>
      </c>
      <c r="K42" s="104">
        <f t="shared" si="2"/>
        <v>0.77500000000000002</v>
      </c>
    </row>
    <row r="43" spans="1:11" x14ac:dyDescent="0.25">
      <c r="A43" s="55" t="s">
        <v>5932</v>
      </c>
      <c r="B43" s="57"/>
      <c r="C43" s="57"/>
      <c r="D43" s="57">
        <v>7</v>
      </c>
      <c r="E43" s="57">
        <v>1</v>
      </c>
      <c r="F43" s="57"/>
      <c r="G43" s="57"/>
      <c r="I43">
        <f t="shared" si="3"/>
        <v>8</v>
      </c>
      <c r="J43" s="58">
        <f t="shared" si="1"/>
        <v>2.125</v>
      </c>
      <c r="K43" s="104">
        <f t="shared" si="2"/>
        <v>1</v>
      </c>
    </row>
    <row r="44" spans="1:11" x14ac:dyDescent="0.25">
      <c r="A44" s="55" t="s">
        <v>6850</v>
      </c>
      <c r="B44" s="57">
        <v>1</v>
      </c>
      <c r="C44" s="57"/>
      <c r="D44" s="57">
        <v>12</v>
      </c>
      <c r="E44" s="57"/>
      <c r="F44" s="57">
        <v>1</v>
      </c>
      <c r="G44" s="57"/>
      <c r="I44">
        <f t="shared" si="3"/>
        <v>14</v>
      </c>
      <c r="J44" s="58">
        <f t="shared" si="1"/>
        <v>2</v>
      </c>
      <c r="K44" s="104">
        <f t="shared" si="2"/>
        <v>0.9285714285714286</v>
      </c>
    </row>
    <row r="45" spans="1:11" x14ac:dyDescent="0.25">
      <c r="A45" s="55" t="s">
        <v>8444</v>
      </c>
      <c r="B45" s="57"/>
      <c r="C45" s="57">
        <v>4</v>
      </c>
      <c r="D45" s="57">
        <v>10</v>
      </c>
      <c r="E45" s="57"/>
      <c r="F45" s="57">
        <v>2</v>
      </c>
      <c r="G45" s="57"/>
      <c r="I45">
        <f t="shared" si="3"/>
        <v>16</v>
      </c>
      <c r="J45" s="58">
        <f t="shared" si="1"/>
        <v>2</v>
      </c>
      <c r="K45" s="104">
        <f t="shared" si="2"/>
        <v>0.75</v>
      </c>
    </row>
    <row r="46" spans="1:11" x14ac:dyDescent="0.25">
      <c r="A46" s="55" t="s">
        <v>8647</v>
      </c>
      <c r="B46" s="57"/>
      <c r="C46" s="57"/>
      <c r="D46" s="57">
        <v>18</v>
      </c>
      <c r="E46" s="57">
        <v>2</v>
      </c>
      <c r="F46" s="57">
        <v>4</v>
      </c>
      <c r="G46" s="57">
        <v>1</v>
      </c>
      <c r="I46">
        <f t="shared" si="3"/>
        <v>25</v>
      </c>
      <c r="J46" s="58">
        <f t="shared" si="1"/>
        <v>2.4166666666666665</v>
      </c>
      <c r="K46" s="104">
        <f t="shared" si="2"/>
        <v>0.96</v>
      </c>
    </row>
    <row r="47" spans="1:11" x14ac:dyDescent="0.25">
      <c r="A47" s="55" t="s">
        <v>9427</v>
      </c>
      <c r="B47" s="57">
        <v>1</v>
      </c>
      <c r="C47" s="57"/>
      <c r="D47" s="57">
        <v>3</v>
      </c>
      <c r="E47" s="57"/>
      <c r="F47" s="57"/>
      <c r="G47" s="57">
        <v>2</v>
      </c>
      <c r="I47">
        <f t="shared" si="3"/>
        <v>6</v>
      </c>
      <c r="J47" s="58">
        <f t="shared" si="1"/>
        <v>1.5</v>
      </c>
      <c r="K47" s="104">
        <f t="shared" si="2"/>
        <v>0.5</v>
      </c>
    </row>
    <row r="48" spans="1:11" x14ac:dyDescent="0.25">
      <c r="A48" s="55" t="s">
        <v>9516</v>
      </c>
      <c r="B48" s="57">
        <v>3</v>
      </c>
      <c r="C48" s="57"/>
      <c r="D48" s="57">
        <v>6</v>
      </c>
      <c r="E48" s="57">
        <v>2</v>
      </c>
      <c r="F48" s="57"/>
      <c r="G48" s="57">
        <v>1</v>
      </c>
      <c r="I48">
        <f t="shared" si="3"/>
        <v>12</v>
      </c>
      <c r="J48" s="58">
        <f t="shared" si="1"/>
        <v>1.6363636363636365</v>
      </c>
      <c r="K48" s="104">
        <f t="shared" si="2"/>
        <v>0.66666666666666663</v>
      </c>
    </row>
    <row r="49" spans="1:11" x14ac:dyDescent="0.25">
      <c r="A49" s="55" t="s">
        <v>10263</v>
      </c>
      <c r="B49" s="57">
        <v>1</v>
      </c>
      <c r="C49" s="57">
        <v>1</v>
      </c>
      <c r="D49" s="57">
        <v>1</v>
      </c>
      <c r="E49" s="57">
        <v>3</v>
      </c>
      <c r="F49" s="57"/>
      <c r="G49" s="57"/>
      <c r="I49">
        <f t="shared" si="3"/>
        <v>6</v>
      </c>
      <c r="J49" s="58">
        <f t="shared" si="1"/>
        <v>2</v>
      </c>
      <c r="K49" s="104">
        <f t="shared" si="2"/>
        <v>0.66666666666666663</v>
      </c>
    </row>
    <row r="50" spans="1:11" x14ac:dyDescent="0.25">
      <c r="A50" s="55" t="s">
        <v>11304</v>
      </c>
      <c r="B50" s="57"/>
      <c r="C50" s="57"/>
      <c r="D50" s="57">
        <v>6</v>
      </c>
      <c r="E50" s="57">
        <v>1</v>
      </c>
      <c r="F50" s="57"/>
      <c r="G50" s="57"/>
      <c r="I50">
        <f t="shared" si="3"/>
        <v>7</v>
      </c>
      <c r="J50" s="58">
        <f t="shared" si="1"/>
        <v>2.1428571428571428</v>
      </c>
      <c r="K50" s="104">
        <f t="shared" si="2"/>
        <v>1</v>
      </c>
    </row>
    <row r="51" spans="1:11" x14ac:dyDescent="0.25">
      <c r="A51" s="55" t="s">
        <v>12294</v>
      </c>
      <c r="B51" s="57"/>
      <c r="C51" s="57"/>
      <c r="D51" s="57">
        <v>11</v>
      </c>
      <c r="E51" s="57"/>
      <c r="F51" s="57">
        <v>11</v>
      </c>
      <c r="G51" s="57"/>
      <c r="I51">
        <f t="shared" si="3"/>
        <v>22</v>
      </c>
      <c r="J51" s="58">
        <f t="shared" si="1"/>
        <v>3</v>
      </c>
      <c r="K51" s="104">
        <f t="shared" si="2"/>
        <v>1</v>
      </c>
    </row>
    <row r="52" spans="1:11" x14ac:dyDescent="0.25">
      <c r="A52" s="55" t="s">
        <v>12547</v>
      </c>
      <c r="B52" s="57">
        <v>1</v>
      </c>
      <c r="C52" s="57">
        <v>2</v>
      </c>
      <c r="D52" s="57">
        <v>3</v>
      </c>
      <c r="E52" s="57"/>
      <c r="F52" s="57"/>
      <c r="G52" s="57"/>
      <c r="I52">
        <f t="shared" si="3"/>
        <v>6</v>
      </c>
      <c r="J52" s="58">
        <f t="shared" si="1"/>
        <v>1.3333333333333333</v>
      </c>
      <c r="K52" s="104">
        <f t="shared" si="2"/>
        <v>0.5</v>
      </c>
    </row>
    <row r="53" spans="1:11" x14ac:dyDescent="0.25">
      <c r="A53" s="55" t="s">
        <v>13272</v>
      </c>
      <c r="B53" s="57"/>
      <c r="C53" s="57"/>
      <c r="D53" s="57">
        <v>5</v>
      </c>
      <c r="E53" s="57">
        <v>3</v>
      </c>
      <c r="F53" s="57"/>
      <c r="G53" s="57"/>
      <c r="I53">
        <f t="shared" si="3"/>
        <v>8</v>
      </c>
      <c r="J53" s="58">
        <f t="shared" si="1"/>
        <v>2.375</v>
      </c>
      <c r="K53" s="104">
        <f t="shared" si="2"/>
        <v>1</v>
      </c>
    </row>
    <row r="54" spans="1:11" x14ac:dyDescent="0.25">
      <c r="A54" s="55" t="s">
        <v>13409</v>
      </c>
      <c r="B54" s="57">
        <v>1</v>
      </c>
      <c r="C54" s="57">
        <v>4</v>
      </c>
      <c r="D54" s="57">
        <v>6</v>
      </c>
      <c r="E54" s="57">
        <v>1</v>
      </c>
      <c r="F54" s="57">
        <v>6</v>
      </c>
      <c r="G54" s="57"/>
      <c r="I54">
        <f t="shared" si="3"/>
        <v>18</v>
      </c>
      <c r="J54" s="58">
        <f t="shared" si="1"/>
        <v>2.3888888888888888</v>
      </c>
      <c r="K54" s="104">
        <f t="shared" si="2"/>
        <v>0.72222222222222221</v>
      </c>
    </row>
    <row r="55" spans="1:11" x14ac:dyDescent="0.25">
      <c r="A55" s="50" t="s">
        <v>14279</v>
      </c>
      <c r="B55" s="57">
        <v>12</v>
      </c>
      <c r="C55" s="57">
        <v>18</v>
      </c>
      <c r="D55" s="57">
        <v>172</v>
      </c>
      <c r="E55" s="57">
        <v>24</v>
      </c>
      <c r="F55" s="57">
        <v>32</v>
      </c>
      <c r="G55" s="57">
        <v>13</v>
      </c>
      <c r="I55">
        <f t="shared" si="3"/>
        <v>271</v>
      </c>
      <c r="J55" s="58">
        <f t="shared" si="1"/>
        <v>2.1782945736434107</v>
      </c>
      <c r="K55" s="104">
        <f t="shared" si="2"/>
        <v>0.84132841328413288</v>
      </c>
    </row>
    <row r="56" spans="1:11" x14ac:dyDescent="0.25">
      <c r="A56" s="50" t="s">
        <v>2807</v>
      </c>
      <c r="B56" s="57"/>
      <c r="C56" s="57"/>
      <c r="D56" s="57"/>
      <c r="E56" s="57"/>
      <c r="F56" s="57"/>
      <c r="G56" s="57"/>
      <c r="I56">
        <f t="shared" si="3"/>
        <v>0</v>
      </c>
      <c r="J56" s="58" t="e">
        <f t="shared" si="1"/>
        <v>#DIV/0!</v>
      </c>
      <c r="K56" s="104" t="e">
        <f t="shared" si="2"/>
        <v>#DIV/0!</v>
      </c>
    </row>
    <row r="57" spans="1:11" x14ac:dyDescent="0.25">
      <c r="A57" s="55" t="s">
        <v>2806</v>
      </c>
      <c r="B57" s="57"/>
      <c r="C57" s="57"/>
      <c r="D57" s="57"/>
      <c r="E57" s="57"/>
      <c r="F57" s="57">
        <v>1</v>
      </c>
      <c r="G57" s="57"/>
      <c r="I57">
        <f t="shared" si="3"/>
        <v>1</v>
      </c>
      <c r="J57" s="58">
        <f t="shared" si="1"/>
        <v>4</v>
      </c>
      <c r="K57" s="104">
        <f t="shared" si="2"/>
        <v>1</v>
      </c>
    </row>
    <row r="58" spans="1:11" x14ac:dyDescent="0.25">
      <c r="A58" s="55" t="s">
        <v>2931</v>
      </c>
      <c r="B58" s="57"/>
      <c r="C58" s="57"/>
      <c r="D58" s="57">
        <v>1</v>
      </c>
      <c r="E58" s="57"/>
      <c r="F58" s="57"/>
      <c r="G58" s="57"/>
      <c r="I58">
        <f t="shared" si="3"/>
        <v>1</v>
      </c>
      <c r="J58" s="58">
        <f t="shared" si="1"/>
        <v>2</v>
      </c>
      <c r="K58" s="104">
        <f t="shared" si="2"/>
        <v>1</v>
      </c>
    </row>
    <row r="59" spans="1:11" x14ac:dyDescent="0.25">
      <c r="A59" s="55" t="s">
        <v>3148</v>
      </c>
      <c r="B59" s="57"/>
      <c r="C59" s="57">
        <v>1</v>
      </c>
      <c r="D59" s="57">
        <v>4</v>
      </c>
      <c r="E59" s="57"/>
      <c r="F59" s="57"/>
      <c r="G59" s="57"/>
      <c r="I59">
        <f t="shared" si="3"/>
        <v>5</v>
      </c>
      <c r="J59" s="58">
        <f t="shared" si="1"/>
        <v>1.8</v>
      </c>
      <c r="K59" s="104">
        <f t="shared" si="2"/>
        <v>0.8</v>
      </c>
    </row>
    <row r="60" spans="1:11" x14ac:dyDescent="0.25">
      <c r="A60" s="55" t="s">
        <v>3261</v>
      </c>
      <c r="B60" s="57"/>
      <c r="C60" s="57"/>
      <c r="D60" s="57"/>
      <c r="E60" s="57"/>
      <c r="F60" s="57"/>
      <c r="G60" s="57">
        <v>1</v>
      </c>
      <c r="I60">
        <f t="shared" si="3"/>
        <v>1</v>
      </c>
      <c r="J60" s="58" t="e">
        <f t="shared" si="1"/>
        <v>#DIV/0!</v>
      </c>
      <c r="K60" s="104">
        <f t="shared" si="2"/>
        <v>0</v>
      </c>
    </row>
    <row r="61" spans="1:11" x14ac:dyDescent="0.25">
      <c r="A61" s="55" t="s">
        <v>3272</v>
      </c>
      <c r="B61" s="57">
        <v>1</v>
      </c>
      <c r="C61" s="57"/>
      <c r="D61" s="57">
        <v>16</v>
      </c>
      <c r="E61" s="57">
        <v>1</v>
      </c>
      <c r="F61" s="57">
        <v>1</v>
      </c>
      <c r="G61" s="57"/>
      <c r="I61">
        <f t="shared" si="3"/>
        <v>19</v>
      </c>
      <c r="J61" s="58">
        <f t="shared" si="1"/>
        <v>2.0526315789473686</v>
      </c>
      <c r="K61" s="104">
        <f t="shared" si="2"/>
        <v>0.94736842105263153</v>
      </c>
    </row>
    <row r="62" spans="1:11" x14ac:dyDescent="0.25">
      <c r="A62" s="55" t="s">
        <v>4777</v>
      </c>
      <c r="B62" s="57"/>
      <c r="C62" s="57"/>
      <c r="D62" s="57">
        <v>6</v>
      </c>
      <c r="E62" s="57">
        <v>7</v>
      </c>
      <c r="F62" s="57">
        <v>2</v>
      </c>
      <c r="G62" s="57">
        <v>1</v>
      </c>
      <c r="I62">
        <f t="shared" si="3"/>
        <v>16</v>
      </c>
      <c r="J62" s="58">
        <f t="shared" si="1"/>
        <v>2.7333333333333334</v>
      </c>
      <c r="K62" s="104">
        <f t="shared" si="2"/>
        <v>0.9375</v>
      </c>
    </row>
    <row r="63" spans="1:11" x14ac:dyDescent="0.25">
      <c r="A63" s="55" t="s">
        <v>5061</v>
      </c>
      <c r="B63" s="57"/>
      <c r="C63" s="57"/>
      <c r="D63" s="57">
        <v>8</v>
      </c>
      <c r="E63" s="57"/>
      <c r="F63" s="57"/>
      <c r="G63" s="57"/>
      <c r="I63">
        <f t="shared" si="3"/>
        <v>8</v>
      </c>
      <c r="J63" s="58">
        <f t="shared" si="1"/>
        <v>2</v>
      </c>
      <c r="K63" s="104">
        <f t="shared" si="2"/>
        <v>1</v>
      </c>
    </row>
    <row r="64" spans="1:11" x14ac:dyDescent="0.25">
      <c r="A64" s="55" t="s">
        <v>5190</v>
      </c>
      <c r="B64" s="57"/>
      <c r="C64" s="57"/>
      <c r="D64" s="57">
        <v>5</v>
      </c>
      <c r="E64" s="57"/>
      <c r="F64" s="57">
        <v>2</v>
      </c>
      <c r="G64" s="57"/>
      <c r="I64">
        <f t="shared" si="3"/>
        <v>7</v>
      </c>
      <c r="J64" s="58">
        <f t="shared" si="1"/>
        <v>2.5714285714285716</v>
      </c>
      <c r="K64" s="104">
        <f t="shared" si="2"/>
        <v>1</v>
      </c>
    </row>
    <row r="65" spans="1:11" x14ac:dyDescent="0.25">
      <c r="A65" s="55" t="s">
        <v>8138</v>
      </c>
      <c r="B65" s="57"/>
      <c r="C65" s="57"/>
      <c r="D65" s="57"/>
      <c r="E65" s="57"/>
      <c r="F65" s="57">
        <v>1</v>
      </c>
      <c r="G65" s="57"/>
      <c r="I65">
        <f t="shared" si="3"/>
        <v>1</v>
      </c>
      <c r="J65" s="58">
        <f t="shared" si="1"/>
        <v>4</v>
      </c>
      <c r="K65" s="104">
        <f t="shared" si="2"/>
        <v>1</v>
      </c>
    </row>
    <row r="66" spans="1:11" x14ac:dyDescent="0.25">
      <c r="A66" s="55" t="s">
        <v>9042</v>
      </c>
      <c r="B66" s="57"/>
      <c r="C66" s="57"/>
      <c r="D66" s="57">
        <v>1</v>
      </c>
      <c r="E66" s="57"/>
      <c r="F66" s="57"/>
      <c r="G66" s="57"/>
      <c r="I66">
        <f t="shared" si="3"/>
        <v>1</v>
      </c>
      <c r="J66" s="58">
        <f t="shared" si="1"/>
        <v>2</v>
      </c>
      <c r="K66" s="104">
        <f t="shared" si="2"/>
        <v>1</v>
      </c>
    </row>
    <row r="67" spans="1:11" x14ac:dyDescent="0.25">
      <c r="A67" s="55" t="s">
        <v>9514</v>
      </c>
      <c r="B67" s="57"/>
      <c r="C67" s="57"/>
      <c r="D67" s="57"/>
      <c r="E67" s="57"/>
      <c r="F67" s="57"/>
      <c r="G67" s="57">
        <v>1</v>
      </c>
      <c r="I67">
        <f t="shared" si="3"/>
        <v>1</v>
      </c>
      <c r="J67" s="58" t="e">
        <f t="shared" si="1"/>
        <v>#DIV/0!</v>
      </c>
      <c r="K67" s="104">
        <f t="shared" si="2"/>
        <v>0</v>
      </c>
    </row>
    <row r="68" spans="1:11" x14ac:dyDescent="0.25">
      <c r="A68" s="55" t="s">
        <v>9706</v>
      </c>
      <c r="B68" s="57">
        <v>3</v>
      </c>
      <c r="C68" s="57">
        <v>2</v>
      </c>
      <c r="D68" s="57">
        <v>25</v>
      </c>
      <c r="E68" s="57">
        <v>1</v>
      </c>
      <c r="F68" s="57">
        <v>4</v>
      </c>
      <c r="G68" s="57">
        <v>1</v>
      </c>
      <c r="I68">
        <f t="shared" si="3"/>
        <v>36</v>
      </c>
      <c r="J68" s="58">
        <f t="shared" si="1"/>
        <v>2.0285714285714285</v>
      </c>
      <c r="K68" s="104">
        <f t="shared" si="2"/>
        <v>0.83333333333333337</v>
      </c>
    </row>
    <row r="69" spans="1:11" x14ac:dyDescent="0.25">
      <c r="A69" s="50" t="s">
        <v>14280</v>
      </c>
      <c r="B69" s="57">
        <v>4</v>
      </c>
      <c r="C69" s="57">
        <v>3</v>
      </c>
      <c r="D69" s="57">
        <v>66</v>
      </c>
      <c r="E69" s="57">
        <v>9</v>
      </c>
      <c r="F69" s="57">
        <v>11</v>
      </c>
      <c r="G69" s="57">
        <v>4</v>
      </c>
      <c r="I69">
        <f t="shared" si="3"/>
        <v>97</v>
      </c>
      <c r="J69" s="58">
        <f t="shared" si="1"/>
        <v>2.21505376344086</v>
      </c>
      <c r="K69" s="104">
        <f t="shared" si="2"/>
        <v>0.88659793814432986</v>
      </c>
    </row>
    <row r="70" spans="1:11" x14ac:dyDescent="0.25">
      <c r="A70" s="50" t="s">
        <v>602</v>
      </c>
      <c r="B70" s="57"/>
      <c r="C70" s="57"/>
      <c r="D70" s="57"/>
      <c r="E70" s="57"/>
      <c r="F70" s="57"/>
      <c r="G70" s="57"/>
      <c r="I70">
        <f t="shared" ref="I70:I105" si="4">SUM(B70:G70)</f>
        <v>0</v>
      </c>
      <c r="J70" s="58" t="e">
        <f t="shared" si="1"/>
        <v>#DIV/0!</v>
      </c>
      <c r="K70" s="104" t="e">
        <f t="shared" si="2"/>
        <v>#DIV/0!</v>
      </c>
    </row>
    <row r="71" spans="1:11" x14ac:dyDescent="0.25">
      <c r="A71" s="55" t="s">
        <v>601</v>
      </c>
      <c r="B71" s="57"/>
      <c r="C71" s="57"/>
      <c r="D71" s="57"/>
      <c r="E71" s="57"/>
      <c r="F71" s="57">
        <v>1</v>
      </c>
      <c r="G71" s="57"/>
      <c r="I71">
        <f t="shared" si="4"/>
        <v>1</v>
      </c>
      <c r="J71" s="58">
        <f t="shared" ref="J71:J105" si="5">(F71*4+E71*3+D71*2+C71*1)/SUM(B71:F71)</f>
        <v>4</v>
      </c>
      <c r="K71" s="104">
        <f t="shared" ref="K71:K105" si="6">SUM(D71:F71)/(SUM(B71:G71))</f>
        <v>1</v>
      </c>
    </row>
    <row r="72" spans="1:11" x14ac:dyDescent="0.25">
      <c r="A72" s="55" t="s">
        <v>635</v>
      </c>
      <c r="B72" s="57"/>
      <c r="C72" s="57"/>
      <c r="D72" s="57"/>
      <c r="E72" s="57"/>
      <c r="F72" s="57"/>
      <c r="G72" s="57">
        <v>2</v>
      </c>
      <c r="I72">
        <f t="shared" si="4"/>
        <v>2</v>
      </c>
      <c r="J72" s="58" t="e">
        <f t="shared" si="5"/>
        <v>#DIV/0!</v>
      </c>
      <c r="K72" s="104">
        <f t="shared" si="6"/>
        <v>0</v>
      </c>
    </row>
    <row r="73" spans="1:11" x14ac:dyDescent="0.25">
      <c r="A73" s="55" t="s">
        <v>1527</v>
      </c>
      <c r="B73" s="57"/>
      <c r="C73" s="57">
        <v>1</v>
      </c>
      <c r="D73" s="57"/>
      <c r="E73" s="57">
        <v>3</v>
      </c>
      <c r="F73" s="57"/>
      <c r="G73" s="57">
        <v>1</v>
      </c>
      <c r="I73">
        <f t="shared" si="4"/>
        <v>5</v>
      </c>
      <c r="J73" s="58">
        <f t="shared" si="5"/>
        <v>2.5</v>
      </c>
      <c r="K73" s="104">
        <f t="shared" si="6"/>
        <v>0.6</v>
      </c>
    </row>
    <row r="74" spans="1:11" x14ac:dyDescent="0.25">
      <c r="A74" s="55" t="s">
        <v>1735</v>
      </c>
      <c r="B74" s="57"/>
      <c r="C74" s="57"/>
      <c r="D74" s="57">
        <v>2</v>
      </c>
      <c r="E74" s="57">
        <v>1</v>
      </c>
      <c r="F74" s="57">
        <v>2</v>
      </c>
      <c r="G74" s="57"/>
      <c r="I74">
        <f t="shared" si="4"/>
        <v>5</v>
      </c>
      <c r="J74" s="58">
        <f t="shared" si="5"/>
        <v>3</v>
      </c>
      <c r="K74" s="104">
        <f t="shared" si="6"/>
        <v>1</v>
      </c>
    </row>
    <row r="75" spans="1:11" x14ac:dyDescent="0.25">
      <c r="A75" s="55" t="s">
        <v>3140</v>
      </c>
      <c r="B75" s="57"/>
      <c r="C75" s="57"/>
      <c r="D75" s="57"/>
      <c r="E75" s="57"/>
      <c r="F75" s="57">
        <v>1</v>
      </c>
      <c r="G75" s="57"/>
      <c r="I75">
        <f t="shared" si="4"/>
        <v>1</v>
      </c>
      <c r="J75" s="58">
        <f t="shared" si="5"/>
        <v>4</v>
      </c>
      <c r="K75" s="104">
        <f t="shared" si="6"/>
        <v>1</v>
      </c>
    </row>
    <row r="76" spans="1:11" x14ac:dyDescent="0.25">
      <c r="A76" s="55" t="s">
        <v>3231</v>
      </c>
      <c r="B76" s="57">
        <v>1</v>
      </c>
      <c r="C76" s="57"/>
      <c r="D76" s="57"/>
      <c r="E76" s="57"/>
      <c r="F76" s="57"/>
      <c r="G76" s="57"/>
      <c r="I76">
        <f t="shared" si="4"/>
        <v>1</v>
      </c>
      <c r="J76" s="58">
        <f t="shared" si="5"/>
        <v>0</v>
      </c>
      <c r="K76" s="104">
        <f t="shared" si="6"/>
        <v>0</v>
      </c>
    </row>
    <row r="77" spans="1:11" x14ac:dyDescent="0.25">
      <c r="A77" s="55" t="s">
        <v>3249</v>
      </c>
      <c r="B77" s="57"/>
      <c r="C77" s="57"/>
      <c r="D77" s="57"/>
      <c r="E77" s="57">
        <v>1</v>
      </c>
      <c r="F77" s="57"/>
      <c r="G77" s="57"/>
      <c r="I77">
        <f t="shared" si="4"/>
        <v>1</v>
      </c>
      <c r="J77" s="58">
        <f t="shared" si="5"/>
        <v>3</v>
      </c>
      <c r="K77" s="104">
        <f t="shared" si="6"/>
        <v>1</v>
      </c>
    </row>
    <row r="78" spans="1:11" x14ac:dyDescent="0.25">
      <c r="A78" s="55" t="s">
        <v>3546</v>
      </c>
      <c r="B78" s="57"/>
      <c r="C78" s="57">
        <v>1</v>
      </c>
      <c r="D78" s="57">
        <v>14</v>
      </c>
      <c r="E78" s="57"/>
      <c r="F78" s="57">
        <v>4</v>
      </c>
      <c r="G78" s="57"/>
      <c r="I78">
        <f t="shared" si="4"/>
        <v>19</v>
      </c>
      <c r="J78" s="58">
        <f t="shared" si="5"/>
        <v>2.3684210526315788</v>
      </c>
      <c r="K78" s="104">
        <f t="shared" si="6"/>
        <v>0.94736842105263153</v>
      </c>
    </row>
    <row r="79" spans="1:11" x14ac:dyDescent="0.25">
      <c r="A79" s="55" t="s">
        <v>4293</v>
      </c>
      <c r="B79" s="57">
        <v>1</v>
      </c>
      <c r="C79" s="57">
        <v>2</v>
      </c>
      <c r="D79" s="57">
        <v>1</v>
      </c>
      <c r="E79" s="57"/>
      <c r="F79" s="57"/>
      <c r="G79" s="57"/>
      <c r="I79">
        <f t="shared" si="4"/>
        <v>4</v>
      </c>
      <c r="J79" s="58">
        <f t="shared" si="5"/>
        <v>1</v>
      </c>
      <c r="K79" s="104">
        <f t="shared" si="6"/>
        <v>0.25</v>
      </c>
    </row>
    <row r="80" spans="1:11" x14ac:dyDescent="0.25">
      <c r="A80" s="55" t="s">
        <v>4346</v>
      </c>
      <c r="B80" s="57"/>
      <c r="C80" s="57"/>
      <c r="D80" s="57">
        <v>1</v>
      </c>
      <c r="E80" s="57"/>
      <c r="F80" s="57">
        <v>2</v>
      </c>
      <c r="G80" s="57">
        <v>1</v>
      </c>
      <c r="I80">
        <f t="shared" si="4"/>
        <v>4</v>
      </c>
      <c r="J80" s="58">
        <f t="shared" si="5"/>
        <v>3.3333333333333335</v>
      </c>
      <c r="K80" s="104">
        <f t="shared" si="6"/>
        <v>0.75</v>
      </c>
    </row>
    <row r="81" spans="1:11" x14ac:dyDescent="0.25">
      <c r="A81" s="55" t="s">
        <v>4428</v>
      </c>
      <c r="B81" s="57"/>
      <c r="C81" s="57"/>
      <c r="D81" s="57"/>
      <c r="E81" s="57">
        <v>3</v>
      </c>
      <c r="F81" s="57"/>
      <c r="G81" s="57"/>
      <c r="I81">
        <f t="shared" si="4"/>
        <v>3</v>
      </c>
      <c r="J81" s="58">
        <f t="shared" si="5"/>
        <v>3</v>
      </c>
      <c r="K81" s="104">
        <f t="shared" si="6"/>
        <v>1</v>
      </c>
    </row>
    <row r="82" spans="1:11" x14ac:dyDescent="0.25">
      <c r="A82" s="55" t="s">
        <v>4743</v>
      </c>
      <c r="B82" s="57"/>
      <c r="C82" s="57"/>
      <c r="D82" s="57">
        <v>1</v>
      </c>
      <c r="E82" s="57"/>
      <c r="F82" s="57"/>
      <c r="G82" s="57"/>
      <c r="I82">
        <f t="shared" si="4"/>
        <v>1</v>
      </c>
      <c r="J82" s="58">
        <f t="shared" si="5"/>
        <v>2</v>
      </c>
      <c r="K82" s="104">
        <f t="shared" si="6"/>
        <v>1</v>
      </c>
    </row>
    <row r="83" spans="1:11" x14ac:dyDescent="0.25">
      <c r="A83" s="55" t="s">
        <v>6024</v>
      </c>
      <c r="B83" s="57">
        <v>1</v>
      </c>
      <c r="C83" s="57"/>
      <c r="D83" s="57">
        <v>6</v>
      </c>
      <c r="E83" s="57"/>
      <c r="F83" s="57"/>
      <c r="G83" s="57"/>
      <c r="I83">
        <f t="shared" si="4"/>
        <v>7</v>
      </c>
      <c r="J83" s="58">
        <f t="shared" si="5"/>
        <v>1.7142857142857142</v>
      </c>
      <c r="K83" s="104">
        <f t="shared" si="6"/>
        <v>0.8571428571428571</v>
      </c>
    </row>
    <row r="84" spans="1:11" x14ac:dyDescent="0.25">
      <c r="A84" s="55" t="s">
        <v>6105</v>
      </c>
      <c r="B84" s="57"/>
      <c r="C84" s="57">
        <v>2</v>
      </c>
      <c r="D84" s="57">
        <v>12</v>
      </c>
      <c r="E84" s="57">
        <v>3</v>
      </c>
      <c r="F84" s="57">
        <v>3</v>
      </c>
      <c r="G84" s="57"/>
      <c r="I84">
        <f t="shared" si="4"/>
        <v>20</v>
      </c>
      <c r="J84" s="58">
        <f t="shared" si="5"/>
        <v>2.35</v>
      </c>
      <c r="K84" s="104">
        <f t="shared" si="6"/>
        <v>0.9</v>
      </c>
    </row>
    <row r="85" spans="1:11" x14ac:dyDescent="0.25">
      <c r="A85" s="55" t="s">
        <v>6805</v>
      </c>
      <c r="B85" s="57"/>
      <c r="C85" s="57"/>
      <c r="D85" s="57">
        <v>2</v>
      </c>
      <c r="E85" s="57"/>
      <c r="F85" s="57">
        <v>1</v>
      </c>
      <c r="G85" s="57"/>
      <c r="I85">
        <f t="shared" si="4"/>
        <v>3</v>
      </c>
      <c r="J85" s="58">
        <f t="shared" si="5"/>
        <v>2.6666666666666665</v>
      </c>
      <c r="K85" s="104">
        <f t="shared" si="6"/>
        <v>1</v>
      </c>
    </row>
    <row r="86" spans="1:11" x14ac:dyDescent="0.25">
      <c r="A86" s="55" t="s">
        <v>7083</v>
      </c>
      <c r="B86" s="57"/>
      <c r="C86" s="57"/>
      <c r="D86" s="57">
        <v>6</v>
      </c>
      <c r="E86" s="57"/>
      <c r="F86" s="57"/>
      <c r="G86" s="57"/>
      <c r="I86">
        <f t="shared" si="4"/>
        <v>6</v>
      </c>
      <c r="J86" s="58">
        <f t="shared" si="5"/>
        <v>2</v>
      </c>
      <c r="K86" s="104">
        <f t="shared" si="6"/>
        <v>1</v>
      </c>
    </row>
    <row r="87" spans="1:11" x14ac:dyDescent="0.25">
      <c r="A87" s="55" t="s">
        <v>7194</v>
      </c>
      <c r="B87" s="57"/>
      <c r="C87" s="57"/>
      <c r="D87" s="57"/>
      <c r="E87" s="57">
        <v>1</v>
      </c>
      <c r="F87" s="57"/>
      <c r="G87" s="57"/>
      <c r="I87">
        <f t="shared" si="4"/>
        <v>1</v>
      </c>
      <c r="J87" s="58">
        <f t="shared" si="5"/>
        <v>3</v>
      </c>
      <c r="K87" s="104">
        <f t="shared" si="6"/>
        <v>1</v>
      </c>
    </row>
    <row r="88" spans="1:11" x14ac:dyDescent="0.25">
      <c r="A88" s="55" t="s">
        <v>8140</v>
      </c>
      <c r="B88" s="57"/>
      <c r="C88" s="57">
        <v>1</v>
      </c>
      <c r="D88" s="57">
        <v>2</v>
      </c>
      <c r="E88" s="57"/>
      <c r="F88" s="57"/>
      <c r="G88" s="57"/>
      <c r="I88">
        <f t="shared" si="4"/>
        <v>3</v>
      </c>
      <c r="J88" s="58">
        <f t="shared" si="5"/>
        <v>1.6666666666666667</v>
      </c>
      <c r="K88" s="104">
        <f t="shared" si="6"/>
        <v>0.66666666666666663</v>
      </c>
    </row>
    <row r="89" spans="1:11" x14ac:dyDescent="0.25">
      <c r="A89" s="55" t="s">
        <v>8180</v>
      </c>
      <c r="B89" s="57"/>
      <c r="C89" s="57"/>
      <c r="D89" s="57">
        <v>5</v>
      </c>
      <c r="E89" s="57"/>
      <c r="F89" s="57"/>
      <c r="G89" s="57"/>
      <c r="I89">
        <f t="shared" si="4"/>
        <v>5</v>
      </c>
      <c r="J89" s="58">
        <f t="shared" si="5"/>
        <v>2</v>
      </c>
      <c r="K89" s="104">
        <f t="shared" si="6"/>
        <v>1</v>
      </c>
    </row>
    <row r="90" spans="1:11" x14ac:dyDescent="0.25">
      <c r="A90" s="55" t="s">
        <v>9020</v>
      </c>
      <c r="B90" s="57"/>
      <c r="C90" s="57"/>
      <c r="D90" s="57"/>
      <c r="E90" s="57"/>
      <c r="F90" s="57"/>
      <c r="G90" s="57">
        <v>3</v>
      </c>
      <c r="I90">
        <f t="shared" si="4"/>
        <v>3</v>
      </c>
      <c r="J90" s="58" t="e">
        <f t="shared" si="5"/>
        <v>#DIV/0!</v>
      </c>
      <c r="K90" s="104">
        <f t="shared" si="6"/>
        <v>0</v>
      </c>
    </row>
    <row r="91" spans="1:11" x14ac:dyDescent="0.25">
      <c r="A91" s="55" t="s">
        <v>9409</v>
      </c>
      <c r="B91" s="57"/>
      <c r="C91" s="57"/>
      <c r="D91" s="57"/>
      <c r="E91" s="57">
        <v>1</v>
      </c>
      <c r="F91" s="57"/>
      <c r="G91" s="57"/>
      <c r="I91">
        <f t="shared" si="4"/>
        <v>1</v>
      </c>
      <c r="J91" s="58">
        <f t="shared" si="5"/>
        <v>3</v>
      </c>
      <c r="K91" s="104">
        <f t="shared" si="6"/>
        <v>1</v>
      </c>
    </row>
    <row r="92" spans="1:11" x14ac:dyDescent="0.25">
      <c r="A92" s="55" t="s">
        <v>10350</v>
      </c>
      <c r="B92" s="57">
        <v>1</v>
      </c>
      <c r="C92" s="57"/>
      <c r="D92" s="57"/>
      <c r="E92" s="57"/>
      <c r="F92" s="57"/>
      <c r="G92" s="57"/>
      <c r="I92">
        <f t="shared" si="4"/>
        <v>1</v>
      </c>
      <c r="J92" s="58">
        <f t="shared" si="5"/>
        <v>0</v>
      </c>
      <c r="K92" s="104">
        <f t="shared" si="6"/>
        <v>0</v>
      </c>
    </row>
    <row r="93" spans="1:11" x14ac:dyDescent="0.25">
      <c r="A93" s="55" t="s">
        <v>10558</v>
      </c>
      <c r="B93" s="57"/>
      <c r="C93" s="57"/>
      <c r="D93" s="57">
        <v>6</v>
      </c>
      <c r="E93" s="57"/>
      <c r="F93" s="57">
        <v>1</v>
      </c>
      <c r="G93" s="57"/>
      <c r="I93">
        <f t="shared" si="4"/>
        <v>7</v>
      </c>
      <c r="J93" s="58">
        <f t="shared" si="5"/>
        <v>2.2857142857142856</v>
      </c>
      <c r="K93" s="104">
        <f t="shared" si="6"/>
        <v>1</v>
      </c>
    </row>
    <row r="94" spans="1:11" x14ac:dyDescent="0.25">
      <c r="A94" s="55" t="s">
        <v>11664</v>
      </c>
      <c r="B94" s="57"/>
      <c r="C94" s="57"/>
      <c r="D94" s="57"/>
      <c r="E94" s="57"/>
      <c r="F94" s="57"/>
      <c r="G94" s="57">
        <v>6</v>
      </c>
      <c r="I94">
        <f t="shared" si="4"/>
        <v>6</v>
      </c>
      <c r="J94" s="58" t="e">
        <f t="shared" si="5"/>
        <v>#DIV/0!</v>
      </c>
      <c r="K94" s="104">
        <f t="shared" si="6"/>
        <v>0</v>
      </c>
    </row>
    <row r="95" spans="1:11" x14ac:dyDescent="0.25">
      <c r="A95" s="55" t="s">
        <v>11693</v>
      </c>
      <c r="B95" s="57">
        <v>2</v>
      </c>
      <c r="C95" s="57"/>
      <c r="D95" s="57">
        <v>7</v>
      </c>
      <c r="E95" s="57"/>
      <c r="F95" s="57"/>
      <c r="G95" s="57">
        <v>27</v>
      </c>
      <c r="I95">
        <f t="shared" si="4"/>
        <v>36</v>
      </c>
      <c r="J95" s="58">
        <f t="shared" si="5"/>
        <v>1.5555555555555556</v>
      </c>
      <c r="K95" s="104">
        <f t="shared" si="6"/>
        <v>0.19444444444444445</v>
      </c>
    </row>
    <row r="96" spans="1:11" x14ac:dyDescent="0.25">
      <c r="A96" s="55" t="s">
        <v>12654</v>
      </c>
      <c r="B96" s="57"/>
      <c r="C96" s="57"/>
      <c r="D96" s="57"/>
      <c r="E96" s="57"/>
      <c r="F96" s="57"/>
      <c r="G96" s="57">
        <v>5</v>
      </c>
      <c r="I96">
        <f t="shared" si="4"/>
        <v>5</v>
      </c>
      <c r="J96" s="58" t="e">
        <f t="shared" si="5"/>
        <v>#DIV/0!</v>
      </c>
      <c r="K96" s="104">
        <f t="shared" si="6"/>
        <v>0</v>
      </c>
    </row>
    <row r="97" spans="1:37" x14ac:dyDescent="0.25">
      <c r="A97" s="55" t="s">
        <v>12907</v>
      </c>
      <c r="B97" s="57"/>
      <c r="C97" s="57">
        <v>1</v>
      </c>
      <c r="D97" s="57"/>
      <c r="E97" s="57"/>
      <c r="F97" s="57"/>
      <c r="G97" s="57">
        <v>7</v>
      </c>
      <c r="I97">
        <f t="shared" si="4"/>
        <v>8</v>
      </c>
      <c r="J97" s="58">
        <f t="shared" si="5"/>
        <v>1</v>
      </c>
      <c r="K97" s="104">
        <f t="shared" si="6"/>
        <v>0</v>
      </c>
    </row>
    <row r="98" spans="1:37" x14ac:dyDescent="0.25">
      <c r="A98" s="55" t="s">
        <v>13710</v>
      </c>
      <c r="B98" s="57">
        <v>1</v>
      </c>
      <c r="C98" s="57"/>
      <c r="D98" s="57">
        <v>5</v>
      </c>
      <c r="E98" s="57"/>
      <c r="F98" s="57">
        <v>2</v>
      </c>
      <c r="G98" s="57"/>
      <c r="I98">
        <f t="shared" si="4"/>
        <v>8</v>
      </c>
      <c r="J98" s="58">
        <f t="shared" si="5"/>
        <v>2.25</v>
      </c>
      <c r="K98" s="104">
        <f t="shared" si="6"/>
        <v>0.875</v>
      </c>
    </row>
    <row r="99" spans="1:37" x14ac:dyDescent="0.25">
      <c r="A99" s="55" t="s">
        <v>13783</v>
      </c>
      <c r="B99" s="57">
        <v>17</v>
      </c>
      <c r="C99" s="57"/>
      <c r="D99" s="57"/>
      <c r="E99" s="57"/>
      <c r="F99" s="57"/>
      <c r="G99" s="57"/>
      <c r="I99">
        <f t="shared" si="4"/>
        <v>17</v>
      </c>
      <c r="J99" s="58">
        <f t="shared" si="5"/>
        <v>0</v>
      </c>
      <c r="K99" s="104">
        <f t="shared" si="6"/>
        <v>0</v>
      </c>
    </row>
    <row r="100" spans="1:37" x14ac:dyDescent="0.25">
      <c r="A100" s="50" t="s">
        <v>14281</v>
      </c>
      <c r="B100" s="57">
        <v>24</v>
      </c>
      <c r="C100" s="57">
        <v>8</v>
      </c>
      <c r="D100" s="57">
        <v>70</v>
      </c>
      <c r="E100" s="57">
        <v>13</v>
      </c>
      <c r="F100" s="57">
        <v>17</v>
      </c>
      <c r="G100" s="57">
        <v>52</v>
      </c>
      <c r="I100">
        <f t="shared" si="4"/>
        <v>184</v>
      </c>
      <c r="J100" s="58">
        <f t="shared" si="5"/>
        <v>1.9318181818181819</v>
      </c>
      <c r="K100" s="104">
        <f t="shared" si="6"/>
        <v>0.54347826086956519</v>
      </c>
    </row>
    <row r="101" spans="1:37" x14ac:dyDescent="0.25">
      <c r="A101" s="50" t="s">
        <v>12970</v>
      </c>
      <c r="B101" s="57"/>
      <c r="C101" s="57"/>
      <c r="D101" s="57"/>
      <c r="E101" s="57"/>
      <c r="F101" s="57"/>
      <c r="G101" s="57"/>
      <c r="I101">
        <f t="shared" si="4"/>
        <v>0</v>
      </c>
      <c r="J101" s="58" t="e">
        <f t="shared" si="5"/>
        <v>#DIV/0!</v>
      </c>
      <c r="K101" s="104" t="e">
        <f t="shared" si="6"/>
        <v>#DIV/0!</v>
      </c>
    </row>
    <row r="102" spans="1:37" x14ac:dyDescent="0.25">
      <c r="A102" s="55" t="s">
        <v>12969</v>
      </c>
      <c r="B102" s="57"/>
      <c r="C102" s="57"/>
      <c r="D102" s="57"/>
      <c r="E102" s="57"/>
      <c r="F102" s="57"/>
      <c r="G102" s="57">
        <v>34</v>
      </c>
      <c r="I102">
        <f t="shared" si="4"/>
        <v>34</v>
      </c>
      <c r="J102" s="58" t="e">
        <f t="shared" si="5"/>
        <v>#DIV/0!</v>
      </c>
      <c r="K102" s="104">
        <f t="shared" si="6"/>
        <v>0</v>
      </c>
    </row>
    <row r="103" spans="1:37" x14ac:dyDescent="0.25">
      <c r="A103" s="50" t="s">
        <v>14282</v>
      </c>
      <c r="B103" s="57"/>
      <c r="C103" s="57"/>
      <c r="D103" s="57"/>
      <c r="E103" s="57"/>
      <c r="F103" s="57"/>
      <c r="G103" s="57">
        <v>34</v>
      </c>
      <c r="I103">
        <f t="shared" si="4"/>
        <v>34</v>
      </c>
      <c r="J103" s="58" t="e">
        <f t="shared" si="5"/>
        <v>#DIV/0!</v>
      </c>
      <c r="K103" s="104">
        <f t="shared" si="6"/>
        <v>0</v>
      </c>
    </row>
    <row r="104" spans="1:37" x14ac:dyDescent="0.25">
      <c r="A104" s="50" t="s">
        <v>14272</v>
      </c>
      <c r="B104" s="57">
        <v>69</v>
      </c>
      <c r="C104" s="57">
        <v>55</v>
      </c>
      <c r="D104" s="57">
        <v>552</v>
      </c>
      <c r="E104" s="57">
        <v>60</v>
      </c>
      <c r="F104" s="57">
        <v>89</v>
      </c>
      <c r="G104" s="57">
        <v>125</v>
      </c>
      <c r="I104">
        <f t="shared" si="4"/>
        <v>950</v>
      </c>
      <c r="J104" s="58">
        <f t="shared" si="5"/>
        <v>2.0545454545454547</v>
      </c>
      <c r="K104" s="104">
        <f t="shared" si="6"/>
        <v>0.73789473684210527</v>
      </c>
    </row>
    <row r="105" spans="1:37" x14ac:dyDescent="0.25">
      <c r="I105">
        <f t="shared" si="4"/>
        <v>0</v>
      </c>
      <c r="J105" s="58" t="e">
        <f t="shared" si="5"/>
        <v>#DIV/0!</v>
      </c>
      <c r="K105" s="104" t="e">
        <f t="shared" si="6"/>
        <v>#DIV/0!</v>
      </c>
    </row>
    <row r="108" spans="1:37" x14ac:dyDescent="0.25">
      <c r="A108" s="49" t="s">
        <v>14544</v>
      </c>
      <c r="B108" s="49" t="s">
        <v>14283</v>
      </c>
    </row>
    <row r="109" spans="1:37" x14ac:dyDescent="0.25">
      <c r="B109" t="s">
        <v>723</v>
      </c>
      <c r="E109" t="s">
        <v>336</v>
      </c>
      <c r="H109" t="s">
        <v>621</v>
      </c>
      <c r="K109" t="s">
        <v>14275</v>
      </c>
      <c r="Q109" s="431" t="str">
        <f>A108</f>
        <v>Count of Governance Marker – Analysis</v>
      </c>
      <c r="R109" s="431"/>
      <c r="S109" s="431"/>
      <c r="T109" s="431"/>
      <c r="U109" s="431"/>
      <c r="V109" s="431"/>
      <c r="W109" s="114"/>
      <c r="X109" s="114"/>
      <c r="Z109" s="431"/>
      <c r="AA109" s="431"/>
      <c r="AB109" s="431"/>
    </row>
    <row r="110" spans="1:37" x14ac:dyDescent="0.25">
      <c r="A110" s="49" t="s">
        <v>14283</v>
      </c>
      <c r="B110" t="s">
        <v>319</v>
      </c>
      <c r="C110" t="s">
        <v>320</v>
      </c>
      <c r="D110" t="s">
        <v>14275</v>
      </c>
      <c r="E110" t="s">
        <v>319</v>
      </c>
      <c r="F110" t="s">
        <v>320</v>
      </c>
      <c r="G110" t="s">
        <v>14275</v>
      </c>
      <c r="H110" t="s">
        <v>319</v>
      </c>
      <c r="I110" t="s">
        <v>320</v>
      </c>
      <c r="J110" t="s">
        <v>14275</v>
      </c>
      <c r="K110" t="s">
        <v>319</v>
      </c>
      <c r="L110" t="s">
        <v>320</v>
      </c>
      <c r="M110" t="s">
        <v>14275</v>
      </c>
      <c r="Q110" s="432" t="s">
        <v>14545</v>
      </c>
      <c r="R110" s="432"/>
      <c r="S110" s="432" t="s">
        <v>14546</v>
      </c>
      <c r="T110" s="432"/>
      <c r="U110" s="432" t="s">
        <v>14547</v>
      </c>
      <c r="V110" s="432"/>
      <c r="W110" s="115"/>
      <c r="X110" s="115"/>
      <c r="Y110" s="49"/>
      <c r="Z110" s="49" t="s">
        <v>14541</v>
      </c>
      <c r="AA110" s="49"/>
      <c r="AB110" s="49"/>
      <c r="AC110" s="49"/>
      <c r="AD110" s="49"/>
      <c r="AE110" s="49"/>
      <c r="AF110" s="49"/>
      <c r="AG110" s="49"/>
      <c r="AH110" s="49"/>
      <c r="AI110" s="49"/>
      <c r="AJ110" s="49"/>
      <c r="AK110" s="49"/>
    </row>
    <row r="111" spans="1:37" x14ac:dyDescent="0.25">
      <c r="A111" s="50" t="s">
        <v>1874</v>
      </c>
      <c r="B111" s="57"/>
      <c r="C111" s="57"/>
      <c r="D111" s="57"/>
      <c r="E111" s="57"/>
      <c r="F111" s="57"/>
      <c r="G111" s="57"/>
      <c r="H111" s="57"/>
      <c r="I111" s="57"/>
      <c r="J111" s="57"/>
      <c r="K111" s="57"/>
      <c r="L111" s="57"/>
      <c r="M111" s="57"/>
      <c r="Q111" s="114" t="s">
        <v>7463</v>
      </c>
      <c r="R111" s="114" t="s">
        <v>326</v>
      </c>
      <c r="S111" s="114" t="s">
        <v>7463</v>
      </c>
      <c r="T111" s="114" t="s">
        <v>326</v>
      </c>
      <c r="U111" s="114" t="s">
        <v>7463</v>
      </c>
      <c r="V111" s="114" t="s">
        <v>326</v>
      </c>
      <c r="W111" s="114"/>
      <c r="X111" s="114"/>
      <c r="Z111" s="114" t="str">
        <f>Q110</f>
        <v>Governance blind</v>
      </c>
      <c r="AA111" s="114" t="str">
        <f>S110</f>
        <v>Within existing structures</v>
      </c>
      <c r="AB111" s="114" t="str">
        <f>U110</f>
        <v>Challenged existing structures</v>
      </c>
    </row>
    <row r="112" spans="1:37" x14ac:dyDescent="0.25">
      <c r="A112" s="55" t="s">
        <v>1873</v>
      </c>
      <c r="B112" s="57">
        <v>1</v>
      </c>
      <c r="C112" s="57">
        <v>2</v>
      </c>
      <c r="D112" s="57"/>
      <c r="E112" s="57"/>
      <c r="F112" s="57">
        <v>8</v>
      </c>
      <c r="G112" s="57"/>
      <c r="H112" s="57"/>
      <c r="I112" s="57">
        <v>2</v>
      </c>
      <c r="J112" s="57"/>
      <c r="K112" s="57"/>
      <c r="L112" s="57"/>
      <c r="M112" s="57"/>
      <c r="Q112">
        <f t="shared" ref="Q112:Q143" si="7">B112</f>
        <v>1</v>
      </c>
      <c r="R112">
        <f t="shared" ref="R112:R143" si="8">C112</f>
        <v>2</v>
      </c>
      <c r="S112">
        <f t="shared" ref="S112:S143" si="9">E112</f>
        <v>0</v>
      </c>
      <c r="T112">
        <f t="shared" ref="T112:T143" si="10">F112</f>
        <v>8</v>
      </c>
      <c r="U112">
        <f t="shared" ref="U112:U143" si="11">H112</f>
        <v>0</v>
      </c>
      <c r="V112">
        <f t="shared" ref="V112:V143" si="12">I112</f>
        <v>2</v>
      </c>
      <c r="Y112" t="str">
        <f t="shared" ref="Y112:Y143" si="13">A112</f>
        <v>Burundi</v>
      </c>
      <c r="Z112" s="104">
        <f>IFERROR(R112/(SUM($Q112:$R112)),"")</f>
        <v>0.66666666666666663</v>
      </c>
      <c r="AA112" s="104">
        <f>IFERROR(T112/(SUM($S112:$T112)),"")</f>
        <v>1</v>
      </c>
      <c r="AB112" s="104">
        <f>IFERROR(V112/(SUM($U112:$V112)),"")</f>
        <v>1</v>
      </c>
    </row>
    <row r="113" spans="1:28" x14ac:dyDescent="0.25">
      <c r="A113" s="55" t="s">
        <v>3868</v>
      </c>
      <c r="B113" s="57"/>
      <c r="C113" s="57"/>
      <c r="D113" s="57"/>
      <c r="E113" s="57">
        <v>1</v>
      </c>
      <c r="F113" s="57">
        <v>27</v>
      </c>
      <c r="G113" s="57"/>
      <c r="H113" s="57"/>
      <c r="I113" s="57">
        <v>2</v>
      </c>
      <c r="J113" s="57"/>
      <c r="K113" s="57"/>
      <c r="L113" s="57"/>
      <c r="M113" s="57"/>
      <c r="Q113">
        <f t="shared" si="7"/>
        <v>0</v>
      </c>
      <c r="R113">
        <f t="shared" si="8"/>
        <v>0</v>
      </c>
      <c r="S113">
        <f t="shared" si="9"/>
        <v>1</v>
      </c>
      <c r="T113">
        <f t="shared" si="10"/>
        <v>27</v>
      </c>
      <c r="U113">
        <f t="shared" si="11"/>
        <v>0</v>
      </c>
      <c r="V113">
        <f t="shared" si="12"/>
        <v>2</v>
      </c>
      <c r="Y113" t="str">
        <f t="shared" si="13"/>
        <v>Ethiopia</v>
      </c>
      <c r="Z113" s="104" t="str">
        <f t="shared" ref="Z113:Z176" si="14">IFERROR(R113/(SUM($Q113:$R113)),"")</f>
        <v/>
      </c>
      <c r="AA113" s="104">
        <f t="shared" ref="AA113:AA176" si="15">IFERROR(T113/(SUM($S113:$T113)),"")</f>
        <v>0.9642857142857143</v>
      </c>
      <c r="AB113" s="104">
        <f t="shared" ref="AB113:AB176" si="16">IFERROR(V113/(SUM($U113:$V113)),"")</f>
        <v>1</v>
      </c>
    </row>
    <row r="114" spans="1:28" x14ac:dyDescent="0.25">
      <c r="A114" s="55" t="s">
        <v>6457</v>
      </c>
      <c r="B114" s="57"/>
      <c r="C114" s="57"/>
      <c r="D114" s="57"/>
      <c r="E114" s="57">
        <v>2</v>
      </c>
      <c r="F114" s="57">
        <v>20</v>
      </c>
      <c r="G114" s="57"/>
      <c r="H114" s="57"/>
      <c r="I114" s="57"/>
      <c r="J114" s="57"/>
      <c r="K114" s="57"/>
      <c r="L114" s="57"/>
      <c r="M114" s="57"/>
      <c r="Q114">
        <f t="shared" si="7"/>
        <v>0</v>
      </c>
      <c r="R114">
        <f t="shared" si="8"/>
        <v>0</v>
      </c>
      <c r="S114">
        <f t="shared" si="9"/>
        <v>2</v>
      </c>
      <c r="T114">
        <f t="shared" si="10"/>
        <v>20</v>
      </c>
      <c r="U114">
        <f t="shared" si="11"/>
        <v>0</v>
      </c>
      <c r="V114">
        <f t="shared" si="12"/>
        <v>0</v>
      </c>
      <c r="Y114" t="str">
        <f t="shared" si="13"/>
        <v>Kenya</v>
      </c>
      <c r="Z114" s="104" t="str">
        <f t="shared" si="14"/>
        <v/>
      </c>
      <c r="AA114" s="104">
        <f t="shared" si="15"/>
        <v>0.90909090909090906</v>
      </c>
      <c r="AB114" s="104" t="str">
        <f t="shared" si="16"/>
        <v/>
      </c>
    </row>
    <row r="115" spans="1:28" x14ac:dyDescent="0.25">
      <c r="A115" s="55" t="s">
        <v>10371</v>
      </c>
      <c r="B115" s="57"/>
      <c r="C115" s="57"/>
      <c r="D115" s="57"/>
      <c r="E115" s="57">
        <v>3</v>
      </c>
      <c r="F115" s="57">
        <v>2</v>
      </c>
      <c r="G115" s="57"/>
      <c r="H115" s="57"/>
      <c r="I115" s="57">
        <v>1</v>
      </c>
      <c r="J115" s="57"/>
      <c r="K115" s="57"/>
      <c r="L115" s="57"/>
      <c r="M115" s="57"/>
      <c r="Q115">
        <f t="shared" si="7"/>
        <v>0</v>
      </c>
      <c r="R115">
        <f t="shared" si="8"/>
        <v>0</v>
      </c>
      <c r="S115">
        <f t="shared" si="9"/>
        <v>3</v>
      </c>
      <c r="T115">
        <f t="shared" si="10"/>
        <v>2</v>
      </c>
      <c r="U115">
        <f t="shared" si="11"/>
        <v>0</v>
      </c>
      <c r="V115">
        <f t="shared" si="12"/>
        <v>1</v>
      </c>
      <c r="Y115" t="str">
        <f t="shared" si="13"/>
        <v>Rwanda</v>
      </c>
      <c r="Z115" s="104" t="str">
        <f t="shared" si="14"/>
        <v/>
      </c>
      <c r="AA115" s="104">
        <f t="shared" si="15"/>
        <v>0.4</v>
      </c>
      <c r="AB115" s="104">
        <f t="shared" si="16"/>
        <v>1</v>
      </c>
    </row>
    <row r="116" spans="1:28" x14ac:dyDescent="0.25">
      <c r="A116" s="55" t="s">
        <v>10685</v>
      </c>
      <c r="B116" s="57"/>
      <c r="C116" s="57"/>
      <c r="D116" s="57"/>
      <c r="E116" s="57"/>
      <c r="F116" s="57">
        <v>30</v>
      </c>
      <c r="G116" s="57"/>
      <c r="H116" s="57"/>
      <c r="I116" s="57">
        <v>4</v>
      </c>
      <c r="J116" s="57"/>
      <c r="K116" s="57"/>
      <c r="L116" s="57"/>
      <c r="M116" s="57"/>
      <c r="Q116">
        <f t="shared" si="7"/>
        <v>0</v>
      </c>
      <c r="R116">
        <f t="shared" si="8"/>
        <v>0</v>
      </c>
      <c r="S116">
        <f t="shared" si="9"/>
        <v>0</v>
      </c>
      <c r="T116">
        <f t="shared" si="10"/>
        <v>30</v>
      </c>
      <c r="U116">
        <f t="shared" si="11"/>
        <v>0</v>
      </c>
      <c r="V116">
        <f t="shared" si="12"/>
        <v>4</v>
      </c>
      <c r="Y116" t="str">
        <f t="shared" si="13"/>
        <v>Somalia</v>
      </c>
      <c r="Z116" s="104" t="str">
        <f t="shared" si="14"/>
        <v/>
      </c>
      <c r="AA116" s="104">
        <f t="shared" si="15"/>
        <v>1</v>
      </c>
      <c r="AB116" s="104">
        <f t="shared" si="16"/>
        <v>1</v>
      </c>
    </row>
    <row r="117" spans="1:28" x14ac:dyDescent="0.25">
      <c r="A117" s="55" t="s">
        <v>11104</v>
      </c>
      <c r="B117" s="57"/>
      <c r="C117" s="57"/>
      <c r="D117" s="57"/>
      <c r="E117" s="57"/>
      <c r="F117" s="57">
        <v>20</v>
      </c>
      <c r="G117" s="57"/>
      <c r="H117" s="57"/>
      <c r="I117" s="57">
        <v>1</v>
      </c>
      <c r="J117" s="57"/>
      <c r="K117" s="57"/>
      <c r="L117" s="57"/>
      <c r="M117" s="57"/>
      <c r="Q117">
        <f t="shared" si="7"/>
        <v>0</v>
      </c>
      <c r="R117">
        <f t="shared" si="8"/>
        <v>0</v>
      </c>
      <c r="S117">
        <f t="shared" si="9"/>
        <v>0</v>
      </c>
      <c r="T117">
        <f t="shared" si="10"/>
        <v>20</v>
      </c>
      <c r="U117">
        <f t="shared" si="11"/>
        <v>0</v>
      </c>
      <c r="V117">
        <f t="shared" si="12"/>
        <v>1</v>
      </c>
      <c r="Y117" t="str">
        <f t="shared" si="13"/>
        <v>South Sudan</v>
      </c>
      <c r="Z117" s="104" t="str">
        <f t="shared" si="14"/>
        <v/>
      </c>
      <c r="AA117" s="104">
        <f t="shared" si="15"/>
        <v>1</v>
      </c>
      <c r="AB117" s="104">
        <f t="shared" si="16"/>
        <v>1</v>
      </c>
    </row>
    <row r="118" spans="1:28" x14ac:dyDescent="0.25">
      <c r="A118" s="55" t="s">
        <v>11417</v>
      </c>
      <c r="B118" s="57"/>
      <c r="C118" s="57"/>
      <c r="D118" s="57"/>
      <c r="E118" s="57"/>
      <c r="F118" s="57">
        <v>14</v>
      </c>
      <c r="G118" s="57"/>
      <c r="H118" s="57"/>
      <c r="I118" s="57">
        <v>4</v>
      </c>
      <c r="J118" s="57"/>
      <c r="K118" s="57"/>
      <c r="L118" s="57"/>
      <c r="M118" s="57"/>
      <c r="Q118">
        <f t="shared" si="7"/>
        <v>0</v>
      </c>
      <c r="R118">
        <f t="shared" si="8"/>
        <v>0</v>
      </c>
      <c r="S118">
        <f t="shared" si="9"/>
        <v>0</v>
      </c>
      <c r="T118">
        <f t="shared" si="10"/>
        <v>14</v>
      </c>
      <c r="U118">
        <f t="shared" si="11"/>
        <v>0</v>
      </c>
      <c r="V118">
        <f t="shared" si="12"/>
        <v>4</v>
      </c>
      <c r="Y118" t="str">
        <f t="shared" si="13"/>
        <v>Sudan</v>
      </c>
      <c r="Z118" s="104" t="str">
        <f t="shared" si="14"/>
        <v/>
      </c>
      <c r="AA118" s="104">
        <f t="shared" si="15"/>
        <v>1</v>
      </c>
      <c r="AB118" s="104">
        <f t="shared" si="16"/>
        <v>1</v>
      </c>
    </row>
    <row r="119" spans="1:28" x14ac:dyDescent="0.25">
      <c r="A119" s="55" t="s">
        <v>12694</v>
      </c>
      <c r="B119" s="57"/>
      <c r="C119" s="57">
        <v>1</v>
      </c>
      <c r="D119" s="57"/>
      <c r="E119" s="57">
        <v>1</v>
      </c>
      <c r="F119" s="57">
        <v>8</v>
      </c>
      <c r="G119" s="57"/>
      <c r="H119" s="57"/>
      <c r="I119" s="57">
        <v>3</v>
      </c>
      <c r="J119" s="57"/>
      <c r="K119" s="57"/>
      <c r="L119" s="57"/>
      <c r="M119" s="57"/>
      <c r="Q119">
        <f t="shared" si="7"/>
        <v>0</v>
      </c>
      <c r="R119">
        <f t="shared" si="8"/>
        <v>1</v>
      </c>
      <c r="S119">
        <f t="shared" si="9"/>
        <v>1</v>
      </c>
      <c r="T119">
        <f t="shared" si="10"/>
        <v>8</v>
      </c>
      <c r="U119">
        <f t="shared" si="11"/>
        <v>0</v>
      </c>
      <c r="V119">
        <f t="shared" si="12"/>
        <v>3</v>
      </c>
      <c r="Y119" t="str">
        <f t="shared" si="13"/>
        <v>Uganda</v>
      </c>
      <c r="Z119" s="104">
        <f t="shared" si="14"/>
        <v>1</v>
      </c>
      <c r="AA119" s="104">
        <f t="shared" si="15"/>
        <v>0.88888888888888884</v>
      </c>
      <c r="AB119" s="104">
        <f t="shared" si="16"/>
        <v>1</v>
      </c>
    </row>
    <row r="120" spans="1:28" x14ac:dyDescent="0.25">
      <c r="A120" s="55" t="s">
        <v>14322</v>
      </c>
      <c r="B120" s="57"/>
      <c r="C120" s="57"/>
      <c r="D120" s="57"/>
      <c r="E120" s="57"/>
      <c r="F120" s="57">
        <v>4</v>
      </c>
      <c r="G120" s="57"/>
      <c r="H120" s="57"/>
      <c r="I120" s="57">
        <v>1</v>
      </c>
      <c r="J120" s="57"/>
      <c r="K120" s="57"/>
      <c r="L120" s="57"/>
      <c r="M120" s="57"/>
      <c r="Q120">
        <f t="shared" si="7"/>
        <v>0</v>
      </c>
      <c r="R120">
        <f t="shared" si="8"/>
        <v>0</v>
      </c>
      <c r="S120">
        <f t="shared" si="9"/>
        <v>0</v>
      </c>
      <c r="T120">
        <f t="shared" si="10"/>
        <v>4</v>
      </c>
      <c r="U120">
        <f t="shared" si="11"/>
        <v>0</v>
      </c>
      <c r="V120">
        <f t="shared" si="12"/>
        <v>1</v>
      </c>
      <c r="Y120" t="str">
        <f t="shared" si="13"/>
        <v>DRC</v>
      </c>
      <c r="Z120" s="104" t="str">
        <f t="shared" si="14"/>
        <v/>
      </c>
      <c r="AA120" s="104">
        <f t="shared" si="15"/>
        <v>1</v>
      </c>
      <c r="AB120" s="104">
        <f t="shared" si="16"/>
        <v>1</v>
      </c>
    </row>
    <row r="121" spans="1:28" x14ac:dyDescent="0.25">
      <c r="A121" s="50" t="s">
        <v>14276</v>
      </c>
      <c r="B121" s="57">
        <v>1</v>
      </c>
      <c r="C121" s="57">
        <v>3</v>
      </c>
      <c r="D121" s="57"/>
      <c r="E121" s="57">
        <v>7</v>
      </c>
      <c r="F121" s="57">
        <v>133</v>
      </c>
      <c r="G121" s="57"/>
      <c r="H121" s="57"/>
      <c r="I121" s="57">
        <v>18</v>
      </c>
      <c r="J121" s="57"/>
      <c r="K121" s="57"/>
      <c r="L121" s="57"/>
      <c r="M121" s="57"/>
      <c r="Q121">
        <f t="shared" si="7"/>
        <v>1</v>
      </c>
      <c r="R121">
        <f t="shared" si="8"/>
        <v>3</v>
      </c>
      <c r="S121">
        <f t="shared" si="9"/>
        <v>7</v>
      </c>
      <c r="T121">
        <f t="shared" si="10"/>
        <v>133</v>
      </c>
      <c r="U121">
        <f t="shared" si="11"/>
        <v>0</v>
      </c>
      <c r="V121">
        <f t="shared" si="12"/>
        <v>18</v>
      </c>
      <c r="Y121" t="str">
        <f t="shared" si="13"/>
        <v>Africa - East and Central Total</v>
      </c>
      <c r="Z121" s="104">
        <f t="shared" si="14"/>
        <v>0.75</v>
      </c>
      <c r="AA121" s="104">
        <f t="shared" si="15"/>
        <v>0.95</v>
      </c>
      <c r="AB121" s="104">
        <f t="shared" si="16"/>
        <v>1</v>
      </c>
    </row>
    <row r="122" spans="1:28" x14ac:dyDescent="0.25">
      <c r="A122" s="50" t="s">
        <v>7217</v>
      </c>
      <c r="B122" s="57"/>
      <c r="C122" s="57"/>
      <c r="D122" s="57"/>
      <c r="E122" s="57"/>
      <c r="F122" s="57"/>
      <c r="G122" s="57"/>
      <c r="H122" s="57"/>
      <c r="I122" s="57"/>
      <c r="J122" s="57"/>
      <c r="K122" s="57"/>
      <c r="L122" s="57"/>
      <c r="M122" s="57"/>
      <c r="Q122">
        <f t="shared" si="7"/>
        <v>0</v>
      </c>
      <c r="R122">
        <f t="shared" si="8"/>
        <v>0</v>
      </c>
      <c r="S122">
        <f t="shared" si="9"/>
        <v>0</v>
      </c>
      <c r="T122">
        <f t="shared" si="10"/>
        <v>0</v>
      </c>
      <c r="U122">
        <f t="shared" si="11"/>
        <v>0</v>
      </c>
      <c r="V122">
        <f t="shared" si="12"/>
        <v>0</v>
      </c>
      <c r="Y122" t="str">
        <f t="shared" si="13"/>
        <v>Africa - Southern</v>
      </c>
      <c r="Z122" s="104" t="str">
        <f t="shared" si="14"/>
        <v/>
      </c>
      <c r="AA122" s="104" t="str">
        <f t="shared" si="15"/>
        <v/>
      </c>
      <c r="AB122" s="104" t="str">
        <f t="shared" si="16"/>
        <v/>
      </c>
    </row>
    <row r="123" spans="1:28" x14ac:dyDescent="0.25">
      <c r="A123" s="55" t="s">
        <v>7216</v>
      </c>
      <c r="B123" s="57"/>
      <c r="C123" s="57"/>
      <c r="D123" s="57"/>
      <c r="E123" s="57">
        <v>1</v>
      </c>
      <c r="F123" s="57">
        <v>9</v>
      </c>
      <c r="G123" s="57"/>
      <c r="H123" s="57"/>
      <c r="I123" s="57"/>
      <c r="J123" s="57"/>
      <c r="K123" s="57"/>
      <c r="L123" s="57"/>
      <c r="M123" s="57"/>
      <c r="Q123">
        <f t="shared" si="7"/>
        <v>0</v>
      </c>
      <c r="R123">
        <f t="shared" si="8"/>
        <v>0</v>
      </c>
      <c r="S123">
        <f t="shared" si="9"/>
        <v>1</v>
      </c>
      <c r="T123">
        <f t="shared" si="10"/>
        <v>9</v>
      </c>
      <c r="U123">
        <f t="shared" si="11"/>
        <v>0</v>
      </c>
      <c r="V123">
        <f t="shared" si="12"/>
        <v>0</v>
      </c>
      <c r="Y123" t="str">
        <f t="shared" si="13"/>
        <v>Madagascar</v>
      </c>
      <c r="Z123" s="104" t="str">
        <f t="shared" si="14"/>
        <v/>
      </c>
      <c r="AA123" s="104">
        <f t="shared" si="15"/>
        <v>0.9</v>
      </c>
      <c r="AB123" s="104" t="str">
        <f t="shared" si="16"/>
        <v/>
      </c>
    </row>
    <row r="124" spans="1:28" x14ac:dyDescent="0.25">
      <c r="A124" s="55" t="s">
        <v>7451</v>
      </c>
      <c r="B124" s="57"/>
      <c r="C124" s="57"/>
      <c r="D124" s="57"/>
      <c r="E124" s="57">
        <v>5</v>
      </c>
      <c r="F124" s="57">
        <v>16</v>
      </c>
      <c r="G124" s="57"/>
      <c r="H124" s="57">
        <v>1</v>
      </c>
      <c r="I124" s="57">
        <v>1</v>
      </c>
      <c r="J124" s="57"/>
      <c r="K124" s="57"/>
      <c r="L124" s="57"/>
      <c r="M124" s="57"/>
      <c r="Q124">
        <f t="shared" si="7"/>
        <v>0</v>
      </c>
      <c r="R124">
        <f t="shared" si="8"/>
        <v>0</v>
      </c>
      <c r="S124">
        <f t="shared" si="9"/>
        <v>5</v>
      </c>
      <c r="T124">
        <f t="shared" si="10"/>
        <v>16</v>
      </c>
      <c r="U124">
        <f t="shared" si="11"/>
        <v>1</v>
      </c>
      <c r="V124">
        <f t="shared" si="12"/>
        <v>1</v>
      </c>
      <c r="Y124" t="str">
        <f t="shared" si="13"/>
        <v>Malawi</v>
      </c>
      <c r="Z124" s="104" t="str">
        <f t="shared" si="14"/>
        <v/>
      </c>
      <c r="AA124" s="104">
        <f t="shared" si="15"/>
        <v>0.76190476190476186</v>
      </c>
      <c r="AB124" s="104">
        <f t="shared" si="16"/>
        <v>0.5</v>
      </c>
    </row>
    <row r="125" spans="1:28" x14ac:dyDescent="0.25">
      <c r="A125" s="55" t="s">
        <v>8265</v>
      </c>
      <c r="B125" s="57"/>
      <c r="C125" s="57"/>
      <c r="D125" s="57"/>
      <c r="E125" s="57"/>
      <c r="F125" s="57">
        <v>7</v>
      </c>
      <c r="G125" s="57"/>
      <c r="H125" s="57">
        <v>1</v>
      </c>
      <c r="I125" s="57">
        <v>2</v>
      </c>
      <c r="J125" s="57"/>
      <c r="K125" s="57"/>
      <c r="L125" s="57"/>
      <c r="M125" s="57"/>
      <c r="Q125">
        <f t="shared" si="7"/>
        <v>0</v>
      </c>
      <c r="R125">
        <f t="shared" si="8"/>
        <v>0</v>
      </c>
      <c r="S125">
        <f t="shared" si="9"/>
        <v>0</v>
      </c>
      <c r="T125">
        <f t="shared" si="10"/>
        <v>7</v>
      </c>
      <c r="U125">
        <f t="shared" si="11"/>
        <v>1</v>
      </c>
      <c r="V125">
        <f t="shared" si="12"/>
        <v>2</v>
      </c>
      <c r="Y125" t="str">
        <f t="shared" si="13"/>
        <v>Mozambique</v>
      </c>
      <c r="Z125" s="104" t="str">
        <f t="shared" si="14"/>
        <v/>
      </c>
      <c r="AA125" s="104">
        <f t="shared" si="15"/>
        <v>1</v>
      </c>
      <c r="AB125" s="104">
        <f t="shared" si="16"/>
        <v>0.66666666666666663</v>
      </c>
    </row>
    <row r="126" spans="1:28" x14ac:dyDescent="0.25">
      <c r="A126" s="55" t="s">
        <v>11102</v>
      </c>
      <c r="B126" s="57"/>
      <c r="C126" s="57"/>
      <c r="D126" s="57"/>
      <c r="E126" s="57"/>
      <c r="F126" s="57"/>
      <c r="G126" s="57"/>
      <c r="H126" s="57"/>
      <c r="I126" s="57"/>
      <c r="J126" s="57"/>
      <c r="K126" s="57"/>
      <c r="L126" s="57"/>
      <c r="M126" s="57"/>
      <c r="Q126">
        <f t="shared" si="7"/>
        <v>0</v>
      </c>
      <c r="R126">
        <f t="shared" si="8"/>
        <v>0</v>
      </c>
      <c r="S126">
        <f t="shared" si="9"/>
        <v>0</v>
      </c>
      <c r="T126">
        <f t="shared" si="10"/>
        <v>0</v>
      </c>
      <c r="U126">
        <f t="shared" si="11"/>
        <v>0</v>
      </c>
      <c r="V126">
        <f t="shared" si="12"/>
        <v>0</v>
      </c>
      <c r="Y126" t="str">
        <f t="shared" si="13"/>
        <v>South Africa</v>
      </c>
      <c r="Z126" s="104" t="str">
        <f t="shared" si="14"/>
        <v/>
      </c>
      <c r="AA126" s="104" t="str">
        <f t="shared" si="15"/>
        <v/>
      </c>
      <c r="AB126" s="104" t="str">
        <f t="shared" si="16"/>
        <v/>
      </c>
    </row>
    <row r="127" spans="1:28" x14ac:dyDescent="0.25">
      <c r="A127" s="55" t="s">
        <v>12090</v>
      </c>
      <c r="B127" s="57"/>
      <c r="C127" s="57"/>
      <c r="D127" s="57"/>
      <c r="E127" s="57">
        <v>1</v>
      </c>
      <c r="F127" s="57">
        <v>7</v>
      </c>
      <c r="G127" s="57"/>
      <c r="H127" s="57"/>
      <c r="I127" s="57">
        <v>2</v>
      </c>
      <c r="J127" s="57"/>
      <c r="K127" s="57"/>
      <c r="L127" s="57"/>
      <c r="M127" s="57"/>
      <c r="Q127">
        <f t="shared" si="7"/>
        <v>0</v>
      </c>
      <c r="R127">
        <f t="shared" si="8"/>
        <v>0</v>
      </c>
      <c r="S127">
        <f t="shared" si="9"/>
        <v>1</v>
      </c>
      <c r="T127">
        <f t="shared" si="10"/>
        <v>7</v>
      </c>
      <c r="U127">
        <f t="shared" si="11"/>
        <v>0</v>
      </c>
      <c r="V127">
        <f t="shared" si="12"/>
        <v>2</v>
      </c>
      <c r="Y127" t="str">
        <f t="shared" si="13"/>
        <v>Tanzania</v>
      </c>
      <c r="Z127" s="104" t="str">
        <f t="shared" si="14"/>
        <v/>
      </c>
      <c r="AA127" s="104">
        <f t="shared" si="15"/>
        <v>0.875</v>
      </c>
      <c r="AB127" s="104">
        <f t="shared" si="16"/>
        <v>1</v>
      </c>
    </row>
    <row r="128" spans="1:28" x14ac:dyDescent="0.25">
      <c r="A128" s="55" t="s">
        <v>13917</v>
      </c>
      <c r="B128" s="57"/>
      <c r="C128" s="57"/>
      <c r="D128" s="57"/>
      <c r="E128" s="57"/>
      <c r="F128" s="57">
        <v>5</v>
      </c>
      <c r="G128" s="57"/>
      <c r="H128" s="57"/>
      <c r="I128" s="57"/>
      <c r="J128" s="57"/>
      <c r="K128" s="57"/>
      <c r="L128" s="57"/>
      <c r="M128" s="57"/>
      <c r="Q128">
        <f t="shared" si="7"/>
        <v>0</v>
      </c>
      <c r="R128">
        <f t="shared" si="8"/>
        <v>0</v>
      </c>
      <c r="S128">
        <f t="shared" si="9"/>
        <v>0</v>
      </c>
      <c r="T128">
        <f t="shared" si="10"/>
        <v>5</v>
      </c>
      <c r="U128">
        <f t="shared" si="11"/>
        <v>0</v>
      </c>
      <c r="V128">
        <f t="shared" si="12"/>
        <v>0</v>
      </c>
      <c r="Y128" t="str">
        <f t="shared" si="13"/>
        <v>Zambia</v>
      </c>
      <c r="Z128" s="104" t="str">
        <f t="shared" si="14"/>
        <v/>
      </c>
      <c r="AA128" s="104">
        <f t="shared" si="15"/>
        <v>1</v>
      </c>
      <c r="AB128" s="104" t="str">
        <f t="shared" si="16"/>
        <v/>
      </c>
    </row>
    <row r="129" spans="1:28" x14ac:dyDescent="0.25">
      <c r="A129" s="55" t="s">
        <v>14016</v>
      </c>
      <c r="B129" s="57"/>
      <c r="C129" s="57"/>
      <c r="D129" s="57"/>
      <c r="E129" s="57">
        <v>3</v>
      </c>
      <c r="F129" s="57">
        <v>9</v>
      </c>
      <c r="G129" s="57"/>
      <c r="H129" s="57"/>
      <c r="I129" s="57">
        <v>3</v>
      </c>
      <c r="J129" s="57"/>
      <c r="K129" s="57"/>
      <c r="L129" s="57"/>
      <c r="M129" s="57"/>
      <c r="Q129">
        <f t="shared" si="7"/>
        <v>0</v>
      </c>
      <c r="R129">
        <f t="shared" si="8"/>
        <v>0</v>
      </c>
      <c r="S129">
        <f t="shared" si="9"/>
        <v>3</v>
      </c>
      <c r="T129">
        <f t="shared" si="10"/>
        <v>9</v>
      </c>
      <c r="U129">
        <f t="shared" si="11"/>
        <v>0</v>
      </c>
      <c r="V129">
        <f t="shared" si="12"/>
        <v>3</v>
      </c>
      <c r="Y129" t="str">
        <f t="shared" si="13"/>
        <v>Zimbabwe</v>
      </c>
      <c r="Z129" s="104" t="str">
        <f t="shared" si="14"/>
        <v/>
      </c>
      <c r="AA129" s="104">
        <f t="shared" si="15"/>
        <v>0.75</v>
      </c>
      <c r="AB129" s="104">
        <f t="shared" si="16"/>
        <v>1</v>
      </c>
    </row>
    <row r="130" spans="1:28" x14ac:dyDescent="0.25">
      <c r="A130" s="50" t="s">
        <v>14277</v>
      </c>
      <c r="B130" s="57"/>
      <c r="C130" s="57"/>
      <c r="D130" s="57"/>
      <c r="E130" s="57">
        <v>10</v>
      </c>
      <c r="F130" s="57">
        <v>53</v>
      </c>
      <c r="G130" s="57"/>
      <c r="H130" s="57">
        <v>2</v>
      </c>
      <c r="I130" s="57">
        <v>8</v>
      </c>
      <c r="J130" s="57"/>
      <c r="K130" s="57"/>
      <c r="L130" s="57"/>
      <c r="M130" s="57"/>
      <c r="Q130">
        <f t="shared" si="7"/>
        <v>0</v>
      </c>
      <c r="R130">
        <f t="shared" si="8"/>
        <v>0</v>
      </c>
      <c r="S130">
        <f t="shared" si="9"/>
        <v>10</v>
      </c>
      <c r="T130">
        <f t="shared" si="10"/>
        <v>53</v>
      </c>
      <c r="U130">
        <f t="shared" si="11"/>
        <v>2</v>
      </c>
      <c r="V130">
        <f t="shared" si="12"/>
        <v>8</v>
      </c>
      <c r="Y130" t="str">
        <f t="shared" si="13"/>
        <v>Africa - Southern Total</v>
      </c>
      <c r="Z130" s="104" t="str">
        <f t="shared" si="14"/>
        <v/>
      </c>
      <c r="AA130" s="104">
        <f t="shared" si="15"/>
        <v>0.84126984126984128</v>
      </c>
      <c r="AB130" s="104">
        <f t="shared" si="16"/>
        <v>0.8</v>
      </c>
    </row>
    <row r="131" spans="1:28" x14ac:dyDescent="0.25">
      <c r="A131" s="50" t="s">
        <v>1596</v>
      </c>
      <c r="B131" s="57"/>
      <c r="C131" s="57"/>
      <c r="D131" s="57"/>
      <c r="E131" s="57"/>
      <c r="F131" s="57"/>
      <c r="G131" s="57"/>
      <c r="H131" s="57"/>
      <c r="I131" s="57"/>
      <c r="J131" s="57"/>
      <c r="K131" s="57"/>
      <c r="L131" s="57"/>
      <c r="M131" s="57"/>
      <c r="Q131">
        <f t="shared" si="7"/>
        <v>0</v>
      </c>
      <c r="R131">
        <f t="shared" si="8"/>
        <v>0</v>
      </c>
      <c r="S131">
        <f t="shared" si="9"/>
        <v>0</v>
      </c>
      <c r="T131">
        <f t="shared" si="10"/>
        <v>0</v>
      </c>
      <c r="U131">
        <f t="shared" si="11"/>
        <v>0</v>
      </c>
      <c r="V131">
        <f t="shared" si="12"/>
        <v>0</v>
      </c>
      <c r="Y131" t="str">
        <f t="shared" si="13"/>
        <v>Africa - Western</v>
      </c>
      <c r="Z131" s="104" t="str">
        <f t="shared" si="14"/>
        <v/>
      </c>
      <c r="AA131" s="104" t="str">
        <f t="shared" si="15"/>
        <v/>
      </c>
      <c r="AB131" s="104" t="str">
        <f t="shared" si="16"/>
        <v/>
      </c>
    </row>
    <row r="132" spans="1:28" x14ac:dyDescent="0.25">
      <c r="A132" s="55" t="s">
        <v>1595</v>
      </c>
      <c r="B132" s="57"/>
      <c r="C132" s="57">
        <v>1</v>
      </c>
      <c r="D132" s="57"/>
      <c r="E132" s="57">
        <v>1</v>
      </c>
      <c r="F132" s="57">
        <v>3</v>
      </c>
      <c r="G132" s="57"/>
      <c r="H132" s="57"/>
      <c r="I132" s="57">
        <v>1</v>
      </c>
      <c r="J132" s="57"/>
      <c r="K132" s="57"/>
      <c r="L132" s="57"/>
      <c r="M132" s="57"/>
      <c r="Q132">
        <f t="shared" si="7"/>
        <v>0</v>
      </c>
      <c r="R132">
        <f t="shared" si="8"/>
        <v>1</v>
      </c>
      <c r="S132">
        <f t="shared" si="9"/>
        <v>1</v>
      </c>
      <c r="T132">
        <f t="shared" si="10"/>
        <v>3</v>
      </c>
      <c r="U132">
        <f t="shared" si="11"/>
        <v>0</v>
      </c>
      <c r="V132">
        <f t="shared" si="12"/>
        <v>1</v>
      </c>
      <c r="Y132" t="str">
        <f t="shared" si="13"/>
        <v>Benin</v>
      </c>
      <c r="Z132" s="104">
        <f t="shared" si="14"/>
        <v>1</v>
      </c>
      <c r="AA132" s="104">
        <f t="shared" si="15"/>
        <v>0.75</v>
      </c>
      <c r="AB132" s="104">
        <f t="shared" si="16"/>
        <v>1</v>
      </c>
    </row>
    <row r="133" spans="1:28" x14ac:dyDescent="0.25">
      <c r="A133" s="55" t="s">
        <v>1827</v>
      </c>
      <c r="B133" s="57"/>
      <c r="C133" s="57"/>
      <c r="D133" s="57"/>
      <c r="E133" s="57"/>
      <c r="F133" s="57">
        <v>1</v>
      </c>
      <c r="G133" s="57"/>
      <c r="H133" s="57"/>
      <c r="I133" s="57">
        <v>1</v>
      </c>
      <c r="J133" s="57"/>
      <c r="K133" s="57"/>
      <c r="L133" s="57"/>
      <c r="M133" s="57"/>
      <c r="Q133">
        <f t="shared" si="7"/>
        <v>0</v>
      </c>
      <c r="R133">
        <f t="shared" si="8"/>
        <v>0</v>
      </c>
      <c r="S133">
        <f t="shared" si="9"/>
        <v>0</v>
      </c>
      <c r="T133">
        <f t="shared" si="10"/>
        <v>1</v>
      </c>
      <c r="U133">
        <f t="shared" si="11"/>
        <v>0</v>
      </c>
      <c r="V133">
        <f t="shared" si="12"/>
        <v>1</v>
      </c>
      <c r="Y133" t="str">
        <f t="shared" si="13"/>
        <v>Burkina Faso</v>
      </c>
      <c r="Z133" s="104" t="str">
        <f t="shared" si="14"/>
        <v/>
      </c>
      <c r="AA133" s="104">
        <f t="shared" si="15"/>
        <v>1</v>
      </c>
      <c r="AB133" s="104">
        <f t="shared" si="16"/>
        <v>1</v>
      </c>
    </row>
    <row r="134" spans="1:28" x14ac:dyDescent="0.25">
      <c r="A134" s="55" t="s">
        <v>2395</v>
      </c>
      <c r="B134" s="57"/>
      <c r="C134" s="57"/>
      <c r="D134" s="57"/>
      <c r="E134" s="57"/>
      <c r="F134" s="57">
        <v>6</v>
      </c>
      <c r="G134" s="57"/>
      <c r="H134" s="57"/>
      <c r="I134" s="57"/>
      <c r="J134" s="57"/>
      <c r="K134" s="57"/>
      <c r="L134" s="57"/>
      <c r="M134" s="57"/>
      <c r="Q134">
        <f t="shared" si="7"/>
        <v>0</v>
      </c>
      <c r="R134">
        <f t="shared" si="8"/>
        <v>0</v>
      </c>
      <c r="S134">
        <f t="shared" si="9"/>
        <v>0</v>
      </c>
      <c r="T134">
        <f t="shared" si="10"/>
        <v>6</v>
      </c>
      <c r="U134">
        <f t="shared" si="11"/>
        <v>0</v>
      </c>
      <c r="V134">
        <f t="shared" si="12"/>
        <v>0</v>
      </c>
      <c r="Y134" t="str">
        <f t="shared" si="13"/>
        <v>Cameroon</v>
      </c>
      <c r="Z134" s="104" t="str">
        <f t="shared" si="14"/>
        <v/>
      </c>
      <c r="AA134" s="104">
        <f t="shared" si="15"/>
        <v>1</v>
      </c>
      <c r="AB134" s="104" t="str">
        <f t="shared" si="16"/>
        <v/>
      </c>
    </row>
    <row r="135" spans="1:28" x14ac:dyDescent="0.25">
      <c r="A135" s="55" t="s">
        <v>2536</v>
      </c>
      <c r="B135" s="57">
        <v>1</v>
      </c>
      <c r="C135" s="57"/>
      <c r="D135" s="57"/>
      <c r="E135" s="57">
        <v>2</v>
      </c>
      <c r="F135" s="57">
        <v>10</v>
      </c>
      <c r="G135" s="57"/>
      <c r="H135" s="57"/>
      <c r="I135" s="57">
        <v>2</v>
      </c>
      <c r="J135" s="57"/>
      <c r="K135" s="57"/>
      <c r="L135" s="57"/>
      <c r="M135" s="57"/>
      <c r="Q135">
        <f t="shared" si="7"/>
        <v>1</v>
      </c>
      <c r="R135">
        <f t="shared" si="8"/>
        <v>0</v>
      </c>
      <c r="S135">
        <f t="shared" si="9"/>
        <v>2</v>
      </c>
      <c r="T135">
        <f t="shared" si="10"/>
        <v>10</v>
      </c>
      <c r="U135">
        <f t="shared" si="11"/>
        <v>0</v>
      </c>
      <c r="V135">
        <f t="shared" si="12"/>
        <v>2</v>
      </c>
      <c r="Y135" t="str">
        <f t="shared" si="13"/>
        <v>Chad</v>
      </c>
      <c r="Z135" s="104">
        <f t="shared" si="14"/>
        <v>0</v>
      </c>
      <c r="AA135" s="104">
        <f t="shared" si="15"/>
        <v>0.83333333333333337</v>
      </c>
      <c r="AB135" s="104">
        <f t="shared" si="16"/>
        <v>1</v>
      </c>
    </row>
    <row r="136" spans="1:28" x14ac:dyDescent="0.25">
      <c r="A136" s="55" t="s">
        <v>2956</v>
      </c>
      <c r="B136" s="57">
        <v>1</v>
      </c>
      <c r="C136" s="57"/>
      <c r="D136" s="57"/>
      <c r="E136" s="57"/>
      <c r="F136" s="57">
        <v>8</v>
      </c>
      <c r="G136" s="57"/>
      <c r="H136" s="57"/>
      <c r="I136" s="57"/>
      <c r="J136" s="57"/>
      <c r="K136" s="57"/>
      <c r="L136" s="57"/>
      <c r="M136" s="57"/>
      <c r="Q136">
        <f t="shared" si="7"/>
        <v>1</v>
      </c>
      <c r="R136">
        <f t="shared" si="8"/>
        <v>0</v>
      </c>
      <c r="S136">
        <f t="shared" si="9"/>
        <v>0</v>
      </c>
      <c r="T136">
        <f t="shared" si="10"/>
        <v>8</v>
      </c>
      <c r="U136">
        <f t="shared" si="11"/>
        <v>0</v>
      </c>
      <c r="V136">
        <f t="shared" si="12"/>
        <v>0</v>
      </c>
      <c r="Y136" t="str">
        <f t="shared" si="13"/>
        <v>Cote d'Ivoire</v>
      </c>
      <c r="Z136" s="104">
        <f t="shared" si="14"/>
        <v>0</v>
      </c>
      <c r="AA136" s="104">
        <f t="shared" si="15"/>
        <v>1</v>
      </c>
      <c r="AB136" s="104" t="str">
        <f t="shared" si="16"/>
        <v/>
      </c>
    </row>
    <row r="137" spans="1:28" x14ac:dyDescent="0.25">
      <c r="A137" s="55" t="s">
        <v>4471</v>
      </c>
      <c r="B137" s="57"/>
      <c r="C137" s="57"/>
      <c r="D137" s="57"/>
      <c r="E137" s="57">
        <v>1</v>
      </c>
      <c r="F137" s="57">
        <v>8</v>
      </c>
      <c r="G137" s="57"/>
      <c r="H137" s="57"/>
      <c r="I137" s="57">
        <v>3</v>
      </c>
      <c r="J137" s="57"/>
      <c r="K137" s="57"/>
      <c r="L137" s="57"/>
      <c r="M137" s="57"/>
      <c r="Q137">
        <f t="shared" si="7"/>
        <v>0</v>
      </c>
      <c r="R137">
        <f t="shared" si="8"/>
        <v>0</v>
      </c>
      <c r="S137">
        <f t="shared" si="9"/>
        <v>1</v>
      </c>
      <c r="T137">
        <f t="shared" si="10"/>
        <v>8</v>
      </c>
      <c r="U137">
        <f t="shared" si="11"/>
        <v>0</v>
      </c>
      <c r="V137">
        <f t="shared" si="12"/>
        <v>3</v>
      </c>
      <c r="Y137" t="str">
        <f t="shared" si="13"/>
        <v>Ghana</v>
      </c>
      <c r="Z137" s="104" t="str">
        <f t="shared" si="14"/>
        <v/>
      </c>
      <c r="AA137" s="104">
        <f t="shared" si="15"/>
        <v>0.88888888888888884</v>
      </c>
      <c r="AB137" s="104">
        <f t="shared" si="16"/>
        <v>1</v>
      </c>
    </row>
    <row r="138" spans="1:28" x14ac:dyDescent="0.25">
      <c r="A138" s="55" t="s">
        <v>7179</v>
      </c>
      <c r="B138" s="57">
        <v>1</v>
      </c>
      <c r="C138" s="57"/>
      <c r="D138" s="57"/>
      <c r="E138" s="57"/>
      <c r="F138" s="57"/>
      <c r="G138" s="57"/>
      <c r="H138" s="57"/>
      <c r="I138" s="57"/>
      <c r="J138" s="57"/>
      <c r="K138" s="57"/>
      <c r="L138" s="57"/>
      <c r="M138" s="57"/>
      <c r="Q138">
        <f t="shared" si="7"/>
        <v>1</v>
      </c>
      <c r="R138">
        <f t="shared" si="8"/>
        <v>0</v>
      </c>
      <c r="S138">
        <f t="shared" si="9"/>
        <v>0</v>
      </c>
      <c r="T138">
        <f t="shared" si="10"/>
        <v>0</v>
      </c>
      <c r="U138">
        <f t="shared" si="11"/>
        <v>0</v>
      </c>
      <c r="V138">
        <f t="shared" si="12"/>
        <v>0</v>
      </c>
      <c r="Y138" t="str">
        <f t="shared" si="13"/>
        <v>Liberia</v>
      </c>
      <c r="Z138" s="104">
        <f t="shared" si="14"/>
        <v>0</v>
      </c>
      <c r="AA138" s="104" t="str">
        <f t="shared" si="15"/>
        <v/>
      </c>
      <c r="AB138" s="104" t="str">
        <f t="shared" si="16"/>
        <v/>
      </c>
    </row>
    <row r="139" spans="1:28" x14ac:dyDescent="0.25">
      <c r="A139" s="55" t="s">
        <v>7835</v>
      </c>
      <c r="B139" s="57"/>
      <c r="C139" s="57"/>
      <c r="D139" s="57"/>
      <c r="E139" s="57">
        <v>5</v>
      </c>
      <c r="F139" s="57">
        <v>7</v>
      </c>
      <c r="G139" s="57"/>
      <c r="H139" s="57">
        <v>1</v>
      </c>
      <c r="I139" s="57">
        <v>3</v>
      </c>
      <c r="J139" s="57"/>
      <c r="K139" s="57"/>
      <c r="L139" s="57"/>
      <c r="M139" s="57"/>
      <c r="Q139">
        <f t="shared" si="7"/>
        <v>0</v>
      </c>
      <c r="R139">
        <f t="shared" si="8"/>
        <v>0</v>
      </c>
      <c r="S139">
        <f t="shared" si="9"/>
        <v>5</v>
      </c>
      <c r="T139">
        <f t="shared" si="10"/>
        <v>7</v>
      </c>
      <c r="U139">
        <f t="shared" si="11"/>
        <v>1</v>
      </c>
      <c r="V139">
        <f t="shared" si="12"/>
        <v>3</v>
      </c>
      <c r="Y139" t="str">
        <f t="shared" si="13"/>
        <v>Mali</v>
      </c>
      <c r="Z139" s="104" t="str">
        <f t="shared" si="14"/>
        <v/>
      </c>
      <c r="AA139" s="104">
        <f t="shared" si="15"/>
        <v>0.58333333333333337</v>
      </c>
      <c r="AB139" s="104">
        <f t="shared" si="16"/>
        <v>0.75</v>
      </c>
    </row>
    <row r="140" spans="1:28" x14ac:dyDescent="0.25">
      <c r="A140" s="55" t="s">
        <v>9043</v>
      </c>
      <c r="B140" s="57">
        <v>4</v>
      </c>
      <c r="C140" s="57">
        <v>3</v>
      </c>
      <c r="D140" s="57"/>
      <c r="E140" s="57">
        <v>2</v>
      </c>
      <c r="F140" s="57">
        <v>10</v>
      </c>
      <c r="G140" s="57"/>
      <c r="H140" s="57"/>
      <c r="I140" s="57">
        <v>2</v>
      </c>
      <c r="J140" s="57"/>
      <c r="K140" s="57"/>
      <c r="L140" s="57">
        <v>1</v>
      </c>
      <c r="M140" s="57"/>
      <c r="Q140">
        <f t="shared" si="7"/>
        <v>4</v>
      </c>
      <c r="R140">
        <f t="shared" si="8"/>
        <v>3</v>
      </c>
      <c r="S140">
        <f t="shared" si="9"/>
        <v>2</v>
      </c>
      <c r="T140">
        <f t="shared" si="10"/>
        <v>10</v>
      </c>
      <c r="U140">
        <f t="shared" si="11"/>
        <v>0</v>
      </c>
      <c r="V140">
        <f t="shared" si="12"/>
        <v>2</v>
      </c>
      <c r="Y140" t="str">
        <f t="shared" si="13"/>
        <v>Niger</v>
      </c>
      <c r="Z140" s="104">
        <f t="shared" si="14"/>
        <v>0.42857142857142855</v>
      </c>
      <c r="AA140" s="104">
        <f t="shared" si="15"/>
        <v>0.83333333333333337</v>
      </c>
      <c r="AB140" s="104">
        <f t="shared" si="16"/>
        <v>1</v>
      </c>
    </row>
    <row r="141" spans="1:28" x14ac:dyDescent="0.25">
      <c r="A141" s="55" t="s">
        <v>10594</v>
      </c>
      <c r="B141" s="57"/>
      <c r="C141" s="57">
        <v>1</v>
      </c>
      <c r="D141" s="57"/>
      <c r="E141" s="57">
        <v>1</v>
      </c>
      <c r="F141" s="57">
        <v>2</v>
      </c>
      <c r="G141" s="57"/>
      <c r="H141" s="57">
        <v>1</v>
      </c>
      <c r="I141" s="57"/>
      <c r="J141" s="57"/>
      <c r="K141" s="57"/>
      <c r="L141" s="57"/>
      <c r="M141" s="57"/>
      <c r="Q141">
        <f t="shared" si="7"/>
        <v>0</v>
      </c>
      <c r="R141">
        <f t="shared" si="8"/>
        <v>1</v>
      </c>
      <c r="S141">
        <f t="shared" si="9"/>
        <v>1</v>
      </c>
      <c r="T141">
        <f t="shared" si="10"/>
        <v>2</v>
      </c>
      <c r="U141">
        <f t="shared" si="11"/>
        <v>1</v>
      </c>
      <c r="V141">
        <f t="shared" si="12"/>
        <v>0</v>
      </c>
      <c r="Y141" t="str">
        <f t="shared" si="13"/>
        <v>Sierra Leone</v>
      </c>
      <c r="Z141" s="104">
        <f t="shared" si="14"/>
        <v>1</v>
      </c>
      <c r="AA141" s="104">
        <f t="shared" si="15"/>
        <v>0.66666666666666663</v>
      </c>
      <c r="AB141" s="104">
        <f t="shared" si="16"/>
        <v>0</v>
      </c>
    </row>
    <row r="142" spans="1:28" x14ac:dyDescent="0.25">
      <c r="A142" s="50" t="s">
        <v>14278</v>
      </c>
      <c r="B142" s="57">
        <v>7</v>
      </c>
      <c r="C142" s="57">
        <v>5</v>
      </c>
      <c r="D142" s="57"/>
      <c r="E142" s="57">
        <v>12</v>
      </c>
      <c r="F142" s="57">
        <v>55</v>
      </c>
      <c r="G142" s="57"/>
      <c r="H142" s="57">
        <v>2</v>
      </c>
      <c r="I142" s="57">
        <v>12</v>
      </c>
      <c r="J142" s="57"/>
      <c r="K142" s="57"/>
      <c r="L142" s="57">
        <v>1</v>
      </c>
      <c r="M142" s="57"/>
      <c r="Q142">
        <f t="shared" si="7"/>
        <v>7</v>
      </c>
      <c r="R142">
        <f t="shared" si="8"/>
        <v>5</v>
      </c>
      <c r="S142">
        <f t="shared" si="9"/>
        <v>12</v>
      </c>
      <c r="T142">
        <f t="shared" si="10"/>
        <v>55</v>
      </c>
      <c r="U142">
        <f t="shared" si="11"/>
        <v>2</v>
      </c>
      <c r="V142">
        <f t="shared" si="12"/>
        <v>12</v>
      </c>
      <c r="Y142" t="str">
        <f t="shared" si="13"/>
        <v>Africa - Western Total</v>
      </c>
      <c r="Z142" s="104">
        <f t="shared" si="14"/>
        <v>0.41666666666666669</v>
      </c>
      <c r="AA142" s="104">
        <f t="shared" si="15"/>
        <v>0.82089552238805974</v>
      </c>
      <c r="AB142" s="104">
        <f t="shared" si="16"/>
        <v>0.8571428571428571</v>
      </c>
    </row>
    <row r="143" spans="1:28" x14ac:dyDescent="0.25">
      <c r="A143" s="50" t="s">
        <v>306</v>
      </c>
      <c r="B143" s="57"/>
      <c r="C143" s="57"/>
      <c r="D143" s="57"/>
      <c r="E143" s="57"/>
      <c r="F143" s="57"/>
      <c r="G143" s="57"/>
      <c r="H143" s="57"/>
      <c r="I143" s="57"/>
      <c r="J143" s="57"/>
      <c r="K143" s="57"/>
      <c r="L143" s="57"/>
      <c r="M143" s="57"/>
      <c r="Q143">
        <f t="shared" si="7"/>
        <v>0</v>
      </c>
      <c r="R143">
        <f t="shared" si="8"/>
        <v>0</v>
      </c>
      <c r="S143">
        <f t="shared" si="9"/>
        <v>0</v>
      </c>
      <c r="T143">
        <f t="shared" si="10"/>
        <v>0</v>
      </c>
      <c r="U143">
        <f t="shared" si="11"/>
        <v>0</v>
      </c>
      <c r="V143">
        <f t="shared" si="12"/>
        <v>0</v>
      </c>
      <c r="Y143" t="str">
        <f t="shared" si="13"/>
        <v>Asia and the Pacific</v>
      </c>
      <c r="Z143" s="104" t="str">
        <f t="shared" si="14"/>
        <v/>
      </c>
      <c r="AA143" s="104" t="str">
        <f t="shared" si="15"/>
        <v/>
      </c>
      <c r="AB143" s="104" t="str">
        <f t="shared" si="16"/>
        <v/>
      </c>
    </row>
    <row r="144" spans="1:28" x14ac:dyDescent="0.25">
      <c r="A144" s="55" t="s">
        <v>305</v>
      </c>
      <c r="B144" s="57"/>
      <c r="C144" s="57"/>
      <c r="D144" s="57"/>
      <c r="E144" s="57"/>
      <c r="F144" s="57">
        <v>12</v>
      </c>
      <c r="G144" s="57"/>
      <c r="H144" s="57"/>
      <c r="I144" s="57"/>
      <c r="J144" s="57"/>
      <c r="K144" s="57"/>
      <c r="L144" s="57"/>
      <c r="M144" s="57"/>
      <c r="Q144">
        <f t="shared" ref="Q144:Q175" si="17">B144</f>
        <v>0</v>
      </c>
      <c r="R144">
        <f t="shared" ref="R144:R175" si="18">C144</f>
        <v>0</v>
      </c>
      <c r="S144">
        <f t="shared" ref="S144:S175" si="19">E144</f>
        <v>0</v>
      </c>
      <c r="T144">
        <f t="shared" ref="T144:T175" si="20">F144</f>
        <v>12</v>
      </c>
      <c r="U144">
        <f t="shared" ref="U144:U175" si="21">H144</f>
        <v>0</v>
      </c>
      <c r="V144">
        <f t="shared" ref="V144:V175" si="22">I144</f>
        <v>0</v>
      </c>
      <c r="Y144" t="str">
        <f t="shared" ref="Y144:Y175" si="23">A144</f>
        <v>Afghanistan</v>
      </c>
      <c r="Z144" s="104" t="str">
        <f t="shared" si="14"/>
        <v/>
      </c>
      <c r="AA144" s="104">
        <f t="shared" si="15"/>
        <v>1</v>
      </c>
      <c r="AB144" s="104" t="str">
        <f t="shared" si="16"/>
        <v/>
      </c>
    </row>
    <row r="145" spans="1:28" x14ac:dyDescent="0.25">
      <c r="A145" s="55" t="s">
        <v>652</v>
      </c>
      <c r="B145" s="57">
        <v>1</v>
      </c>
      <c r="C145" s="57"/>
      <c r="D145" s="57"/>
      <c r="E145" s="57">
        <v>5</v>
      </c>
      <c r="F145" s="57">
        <v>38</v>
      </c>
      <c r="G145" s="57"/>
      <c r="H145" s="57"/>
      <c r="I145" s="57">
        <v>3</v>
      </c>
      <c r="J145" s="57"/>
      <c r="K145" s="57"/>
      <c r="L145" s="57"/>
      <c r="M145" s="57"/>
      <c r="Q145">
        <f t="shared" si="17"/>
        <v>1</v>
      </c>
      <c r="R145">
        <f t="shared" si="18"/>
        <v>0</v>
      </c>
      <c r="S145">
        <f t="shared" si="19"/>
        <v>5</v>
      </c>
      <c r="T145">
        <f t="shared" si="20"/>
        <v>38</v>
      </c>
      <c r="U145">
        <f t="shared" si="21"/>
        <v>0</v>
      </c>
      <c r="V145">
        <f t="shared" si="22"/>
        <v>3</v>
      </c>
      <c r="Y145" t="str">
        <f t="shared" si="23"/>
        <v>Bangladesh</v>
      </c>
      <c r="Z145" s="104">
        <f t="shared" si="14"/>
        <v>0</v>
      </c>
      <c r="AA145" s="104">
        <f t="shared" si="15"/>
        <v>0.88372093023255816</v>
      </c>
      <c r="AB145" s="104">
        <f t="shared" si="16"/>
        <v>1</v>
      </c>
    </row>
    <row r="146" spans="1:28" x14ac:dyDescent="0.25">
      <c r="A146" s="55" t="s">
        <v>2092</v>
      </c>
      <c r="B146" s="57"/>
      <c r="C146" s="57"/>
      <c r="D146" s="57"/>
      <c r="E146" s="57"/>
      <c r="F146" s="57">
        <v>14</v>
      </c>
      <c r="G146" s="57"/>
      <c r="H146" s="57"/>
      <c r="I146" s="57">
        <v>3</v>
      </c>
      <c r="J146" s="57"/>
      <c r="K146" s="57"/>
      <c r="L146" s="57"/>
      <c r="M146" s="57"/>
      <c r="Q146">
        <f t="shared" si="17"/>
        <v>0</v>
      </c>
      <c r="R146">
        <f t="shared" si="18"/>
        <v>0</v>
      </c>
      <c r="S146">
        <f t="shared" si="19"/>
        <v>0</v>
      </c>
      <c r="T146">
        <f t="shared" si="20"/>
        <v>14</v>
      </c>
      <c r="U146">
        <f t="shared" si="21"/>
        <v>0</v>
      </c>
      <c r="V146">
        <f t="shared" si="22"/>
        <v>3</v>
      </c>
      <c r="Y146" t="str">
        <f t="shared" si="23"/>
        <v>Cambodia</v>
      </c>
      <c r="Z146" s="104" t="str">
        <f t="shared" si="14"/>
        <v/>
      </c>
      <c r="AA146" s="104">
        <f t="shared" si="15"/>
        <v>1</v>
      </c>
      <c r="AB146" s="104">
        <f t="shared" si="16"/>
        <v>1</v>
      </c>
    </row>
    <row r="147" spans="1:28" x14ac:dyDescent="0.25">
      <c r="A147" s="55" t="s">
        <v>4268</v>
      </c>
      <c r="B147" s="57"/>
      <c r="C147" s="57"/>
      <c r="D147" s="57"/>
      <c r="E147" s="57"/>
      <c r="F147" s="57">
        <v>1</v>
      </c>
      <c r="G147" s="57"/>
      <c r="H147" s="57"/>
      <c r="I147" s="57"/>
      <c r="J147" s="57"/>
      <c r="K147" s="57"/>
      <c r="L147" s="57"/>
      <c r="M147" s="57"/>
      <c r="Q147">
        <f t="shared" si="17"/>
        <v>0</v>
      </c>
      <c r="R147">
        <f t="shared" si="18"/>
        <v>0</v>
      </c>
      <c r="S147">
        <f t="shared" si="19"/>
        <v>0</v>
      </c>
      <c r="T147">
        <f t="shared" si="20"/>
        <v>1</v>
      </c>
      <c r="U147">
        <f t="shared" si="21"/>
        <v>0</v>
      </c>
      <c r="V147">
        <f t="shared" si="22"/>
        <v>0</v>
      </c>
      <c r="Y147" t="str">
        <f t="shared" si="23"/>
        <v>Fiji</v>
      </c>
      <c r="Z147" s="104" t="str">
        <f t="shared" si="14"/>
        <v/>
      </c>
      <c r="AA147" s="104">
        <f t="shared" si="15"/>
        <v>1</v>
      </c>
      <c r="AB147" s="104" t="str">
        <f t="shared" si="16"/>
        <v/>
      </c>
    </row>
    <row r="148" spans="1:28" x14ac:dyDescent="0.25">
      <c r="A148" s="55" t="s">
        <v>5300</v>
      </c>
      <c r="B148" s="57"/>
      <c r="C148" s="57">
        <v>1</v>
      </c>
      <c r="D148" s="57"/>
      <c r="E148" s="57">
        <v>2</v>
      </c>
      <c r="F148" s="57">
        <v>17</v>
      </c>
      <c r="G148" s="57"/>
      <c r="H148" s="57"/>
      <c r="I148" s="57">
        <v>13</v>
      </c>
      <c r="J148" s="57"/>
      <c r="K148" s="57"/>
      <c r="L148" s="57"/>
      <c r="M148" s="57"/>
      <c r="Q148">
        <f t="shared" si="17"/>
        <v>0</v>
      </c>
      <c r="R148">
        <f t="shared" si="18"/>
        <v>1</v>
      </c>
      <c r="S148">
        <f t="shared" si="19"/>
        <v>2</v>
      </c>
      <c r="T148">
        <f t="shared" si="20"/>
        <v>17</v>
      </c>
      <c r="U148">
        <f t="shared" si="21"/>
        <v>0</v>
      </c>
      <c r="V148">
        <f t="shared" si="22"/>
        <v>13</v>
      </c>
      <c r="Y148" t="str">
        <f t="shared" si="23"/>
        <v>India</v>
      </c>
      <c r="Z148" s="104">
        <f t="shared" si="14"/>
        <v>1</v>
      </c>
      <c r="AA148" s="104">
        <f t="shared" si="15"/>
        <v>0.89473684210526316</v>
      </c>
      <c r="AB148" s="104">
        <f t="shared" si="16"/>
        <v>1</v>
      </c>
    </row>
    <row r="149" spans="1:28" x14ac:dyDescent="0.25">
      <c r="A149" s="55" t="s">
        <v>5932</v>
      </c>
      <c r="B149" s="57"/>
      <c r="C149" s="57"/>
      <c r="D149" s="57"/>
      <c r="E149" s="57"/>
      <c r="F149" s="57">
        <v>7</v>
      </c>
      <c r="G149" s="57"/>
      <c r="H149" s="57"/>
      <c r="I149" s="57">
        <v>1</v>
      </c>
      <c r="J149" s="57"/>
      <c r="K149" s="57"/>
      <c r="L149" s="57"/>
      <c r="M149" s="57"/>
      <c r="Q149">
        <f t="shared" si="17"/>
        <v>0</v>
      </c>
      <c r="R149">
        <f t="shared" si="18"/>
        <v>0</v>
      </c>
      <c r="S149">
        <f t="shared" si="19"/>
        <v>0</v>
      </c>
      <c r="T149">
        <f t="shared" si="20"/>
        <v>7</v>
      </c>
      <c r="U149">
        <f t="shared" si="21"/>
        <v>0</v>
      </c>
      <c r="V149">
        <f t="shared" si="22"/>
        <v>1</v>
      </c>
      <c r="Y149" t="str">
        <f t="shared" si="23"/>
        <v>Indonesia</v>
      </c>
      <c r="Z149" s="104" t="str">
        <f t="shared" si="14"/>
        <v/>
      </c>
      <c r="AA149" s="104">
        <f t="shared" si="15"/>
        <v>1</v>
      </c>
      <c r="AB149" s="104">
        <f t="shared" si="16"/>
        <v>1</v>
      </c>
    </row>
    <row r="150" spans="1:28" x14ac:dyDescent="0.25">
      <c r="A150" s="55" t="s">
        <v>6850</v>
      </c>
      <c r="B150" s="57">
        <v>1</v>
      </c>
      <c r="C150" s="57"/>
      <c r="D150" s="57"/>
      <c r="E150" s="57"/>
      <c r="F150" s="57">
        <v>12</v>
      </c>
      <c r="G150" s="57"/>
      <c r="H150" s="57"/>
      <c r="I150" s="57">
        <v>1</v>
      </c>
      <c r="J150" s="57"/>
      <c r="K150" s="57"/>
      <c r="L150" s="57"/>
      <c r="M150" s="57"/>
      <c r="Q150">
        <f t="shared" si="17"/>
        <v>1</v>
      </c>
      <c r="R150">
        <f t="shared" si="18"/>
        <v>0</v>
      </c>
      <c r="S150">
        <f t="shared" si="19"/>
        <v>0</v>
      </c>
      <c r="T150">
        <f t="shared" si="20"/>
        <v>12</v>
      </c>
      <c r="U150">
        <f t="shared" si="21"/>
        <v>0</v>
      </c>
      <c r="V150">
        <f t="shared" si="22"/>
        <v>1</v>
      </c>
      <c r="Y150" t="str">
        <f t="shared" si="23"/>
        <v>Laos</v>
      </c>
      <c r="Z150" s="104">
        <f t="shared" si="14"/>
        <v>0</v>
      </c>
      <c r="AA150" s="104">
        <f t="shared" si="15"/>
        <v>1</v>
      </c>
      <c r="AB150" s="104">
        <f t="shared" si="16"/>
        <v>1</v>
      </c>
    </row>
    <row r="151" spans="1:28" x14ac:dyDescent="0.25">
      <c r="A151" s="55" t="s">
        <v>8444</v>
      </c>
      <c r="B151" s="57"/>
      <c r="C151" s="57"/>
      <c r="D151" s="57"/>
      <c r="E151" s="57">
        <v>4</v>
      </c>
      <c r="F151" s="57">
        <v>10</v>
      </c>
      <c r="G151" s="57"/>
      <c r="H151" s="57"/>
      <c r="I151" s="57">
        <v>2</v>
      </c>
      <c r="J151" s="57"/>
      <c r="K151" s="57"/>
      <c r="L151" s="57"/>
      <c r="M151" s="57"/>
      <c r="Q151">
        <f t="shared" si="17"/>
        <v>0</v>
      </c>
      <c r="R151">
        <f t="shared" si="18"/>
        <v>0</v>
      </c>
      <c r="S151">
        <f t="shared" si="19"/>
        <v>4</v>
      </c>
      <c r="T151">
        <f t="shared" si="20"/>
        <v>10</v>
      </c>
      <c r="U151">
        <f t="shared" si="21"/>
        <v>0</v>
      </c>
      <c r="V151">
        <f t="shared" si="22"/>
        <v>2</v>
      </c>
      <c r="Y151" t="str">
        <f t="shared" si="23"/>
        <v>Myanmar</v>
      </c>
      <c r="Z151" s="104" t="str">
        <f t="shared" si="14"/>
        <v/>
      </c>
      <c r="AA151" s="104">
        <f t="shared" si="15"/>
        <v>0.7142857142857143</v>
      </c>
      <c r="AB151" s="104">
        <f t="shared" si="16"/>
        <v>1</v>
      </c>
    </row>
    <row r="152" spans="1:28" x14ac:dyDescent="0.25">
      <c r="A152" s="55" t="s">
        <v>8647</v>
      </c>
      <c r="B152" s="57"/>
      <c r="C152" s="57"/>
      <c r="D152" s="57"/>
      <c r="E152" s="57">
        <v>1</v>
      </c>
      <c r="F152" s="57">
        <v>17</v>
      </c>
      <c r="G152" s="57"/>
      <c r="H152" s="57"/>
      <c r="I152" s="57">
        <v>6</v>
      </c>
      <c r="J152" s="57"/>
      <c r="K152" s="57"/>
      <c r="L152" s="57"/>
      <c r="M152" s="57"/>
      <c r="Q152">
        <f t="shared" si="17"/>
        <v>0</v>
      </c>
      <c r="R152">
        <f t="shared" si="18"/>
        <v>0</v>
      </c>
      <c r="S152">
        <f t="shared" si="19"/>
        <v>1</v>
      </c>
      <c r="T152">
        <f t="shared" si="20"/>
        <v>17</v>
      </c>
      <c r="U152">
        <f t="shared" si="21"/>
        <v>0</v>
      </c>
      <c r="V152">
        <f t="shared" si="22"/>
        <v>6</v>
      </c>
      <c r="Y152" t="str">
        <f t="shared" si="23"/>
        <v>Nepal</v>
      </c>
      <c r="Z152" s="104" t="str">
        <f t="shared" si="14"/>
        <v/>
      </c>
      <c r="AA152" s="104">
        <f t="shared" si="15"/>
        <v>0.94444444444444442</v>
      </c>
      <c r="AB152" s="104">
        <f t="shared" si="16"/>
        <v>1</v>
      </c>
    </row>
    <row r="153" spans="1:28" x14ac:dyDescent="0.25">
      <c r="A153" s="55" t="s">
        <v>9427</v>
      </c>
      <c r="B153" s="57"/>
      <c r="C153" s="57"/>
      <c r="D153" s="57"/>
      <c r="E153" s="57"/>
      <c r="F153" s="57">
        <v>3</v>
      </c>
      <c r="G153" s="57"/>
      <c r="H153" s="57"/>
      <c r="I153" s="57"/>
      <c r="J153" s="57"/>
      <c r="K153" s="57">
        <v>2</v>
      </c>
      <c r="L153" s="57"/>
      <c r="M153" s="57"/>
      <c r="Q153">
        <f t="shared" si="17"/>
        <v>0</v>
      </c>
      <c r="R153">
        <f t="shared" si="18"/>
        <v>0</v>
      </c>
      <c r="S153">
        <f t="shared" si="19"/>
        <v>0</v>
      </c>
      <c r="T153">
        <f t="shared" si="20"/>
        <v>3</v>
      </c>
      <c r="U153">
        <f t="shared" si="21"/>
        <v>0</v>
      </c>
      <c r="V153">
        <f t="shared" si="22"/>
        <v>0</v>
      </c>
      <c r="Y153" t="str">
        <f t="shared" si="23"/>
        <v>Pakistan</v>
      </c>
      <c r="Z153" s="104" t="str">
        <f t="shared" si="14"/>
        <v/>
      </c>
      <c r="AA153" s="104">
        <f t="shared" si="15"/>
        <v>1</v>
      </c>
      <c r="AB153" s="104" t="str">
        <f t="shared" si="16"/>
        <v/>
      </c>
    </row>
    <row r="154" spans="1:28" x14ac:dyDescent="0.25">
      <c r="A154" s="55" t="s">
        <v>9516</v>
      </c>
      <c r="B154" s="57">
        <v>1</v>
      </c>
      <c r="C154" s="57">
        <v>2</v>
      </c>
      <c r="D154" s="57"/>
      <c r="E154" s="57"/>
      <c r="F154" s="57">
        <v>6</v>
      </c>
      <c r="G154" s="57"/>
      <c r="H154" s="57">
        <v>2</v>
      </c>
      <c r="I154" s="57"/>
      <c r="J154" s="57"/>
      <c r="K154" s="57"/>
      <c r="L154" s="57"/>
      <c r="M154" s="57"/>
      <c r="Q154">
        <f t="shared" si="17"/>
        <v>1</v>
      </c>
      <c r="R154">
        <f t="shared" si="18"/>
        <v>2</v>
      </c>
      <c r="S154">
        <f t="shared" si="19"/>
        <v>0</v>
      </c>
      <c r="T154">
        <f t="shared" si="20"/>
        <v>6</v>
      </c>
      <c r="U154">
        <f t="shared" si="21"/>
        <v>2</v>
      </c>
      <c r="V154">
        <f t="shared" si="22"/>
        <v>0</v>
      </c>
      <c r="Y154" t="str">
        <f t="shared" si="23"/>
        <v>Papua New Guinea</v>
      </c>
      <c r="Z154" s="104">
        <f t="shared" si="14"/>
        <v>0.66666666666666663</v>
      </c>
      <c r="AA154" s="104">
        <f t="shared" si="15"/>
        <v>1</v>
      </c>
      <c r="AB154" s="104">
        <f t="shared" si="16"/>
        <v>0</v>
      </c>
    </row>
    <row r="155" spans="1:28" x14ac:dyDescent="0.25">
      <c r="A155" s="55" t="s">
        <v>10263</v>
      </c>
      <c r="B155" s="57"/>
      <c r="C155" s="57"/>
      <c r="D155" s="57"/>
      <c r="E155" s="57"/>
      <c r="F155" s="57">
        <v>2</v>
      </c>
      <c r="G155" s="57"/>
      <c r="H155" s="57"/>
      <c r="I155" s="57">
        <v>3</v>
      </c>
      <c r="J155" s="57"/>
      <c r="K155" s="57"/>
      <c r="L155" s="57"/>
      <c r="M155" s="57"/>
      <c r="Q155">
        <f t="shared" si="17"/>
        <v>0</v>
      </c>
      <c r="R155">
        <f t="shared" si="18"/>
        <v>0</v>
      </c>
      <c r="S155">
        <f t="shared" si="19"/>
        <v>0</v>
      </c>
      <c r="T155">
        <f t="shared" si="20"/>
        <v>2</v>
      </c>
      <c r="U155">
        <f t="shared" si="21"/>
        <v>0</v>
      </c>
      <c r="V155">
        <f t="shared" si="22"/>
        <v>3</v>
      </c>
      <c r="Y155" t="str">
        <f t="shared" si="23"/>
        <v>Philippines</v>
      </c>
      <c r="Z155" s="104" t="str">
        <f t="shared" si="14"/>
        <v/>
      </c>
      <c r="AA155" s="104">
        <f t="shared" si="15"/>
        <v>1</v>
      </c>
      <c r="AB155" s="104">
        <f t="shared" si="16"/>
        <v>1</v>
      </c>
    </row>
    <row r="156" spans="1:28" x14ac:dyDescent="0.25">
      <c r="A156" s="55" t="s">
        <v>11304</v>
      </c>
      <c r="B156" s="57"/>
      <c r="C156" s="57"/>
      <c r="D156" s="57"/>
      <c r="E156" s="57"/>
      <c r="F156" s="57">
        <v>6</v>
      </c>
      <c r="G156" s="57"/>
      <c r="H156" s="57"/>
      <c r="I156" s="57">
        <v>1</v>
      </c>
      <c r="J156" s="57"/>
      <c r="K156" s="57"/>
      <c r="L156" s="57"/>
      <c r="M156" s="57"/>
      <c r="Q156">
        <f t="shared" si="17"/>
        <v>0</v>
      </c>
      <c r="R156">
        <f t="shared" si="18"/>
        <v>0</v>
      </c>
      <c r="S156">
        <f t="shared" si="19"/>
        <v>0</v>
      </c>
      <c r="T156">
        <f t="shared" si="20"/>
        <v>6</v>
      </c>
      <c r="U156">
        <f t="shared" si="21"/>
        <v>0</v>
      </c>
      <c r="V156">
        <f t="shared" si="22"/>
        <v>1</v>
      </c>
      <c r="Y156" t="str">
        <f t="shared" si="23"/>
        <v>Sri Lanka</v>
      </c>
      <c r="Z156" s="104" t="str">
        <f t="shared" si="14"/>
        <v/>
      </c>
      <c r="AA156" s="104">
        <f t="shared" si="15"/>
        <v>1</v>
      </c>
      <c r="AB156" s="104">
        <f t="shared" si="16"/>
        <v>1</v>
      </c>
    </row>
    <row r="157" spans="1:28" x14ac:dyDescent="0.25">
      <c r="A157" s="55" t="s">
        <v>12294</v>
      </c>
      <c r="B157" s="57"/>
      <c r="C157" s="57"/>
      <c r="D157" s="57"/>
      <c r="E157" s="57">
        <v>2</v>
      </c>
      <c r="F157" s="57">
        <v>9</v>
      </c>
      <c r="G157" s="57"/>
      <c r="H157" s="57"/>
      <c r="I157" s="57">
        <v>11</v>
      </c>
      <c r="J157" s="57"/>
      <c r="K157" s="57"/>
      <c r="L157" s="57"/>
      <c r="M157" s="57"/>
      <c r="Q157">
        <f t="shared" si="17"/>
        <v>0</v>
      </c>
      <c r="R157">
        <f t="shared" si="18"/>
        <v>0</v>
      </c>
      <c r="S157">
        <f t="shared" si="19"/>
        <v>2</v>
      </c>
      <c r="T157">
        <f t="shared" si="20"/>
        <v>9</v>
      </c>
      <c r="U157">
        <f t="shared" si="21"/>
        <v>0</v>
      </c>
      <c r="V157">
        <f t="shared" si="22"/>
        <v>11</v>
      </c>
      <c r="Y157" t="str">
        <f t="shared" si="23"/>
        <v>Thailand</v>
      </c>
      <c r="Z157" s="104" t="str">
        <f t="shared" si="14"/>
        <v/>
      </c>
      <c r="AA157" s="104">
        <f t="shared" si="15"/>
        <v>0.81818181818181823</v>
      </c>
      <c r="AB157" s="104">
        <f t="shared" si="16"/>
        <v>1</v>
      </c>
    </row>
    <row r="158" spans="1:28" x14ac:dyDescent="0.25">
      <c r="A158" s="55" t="s">
        <v>12547</v>
      </c>
      <c r="B158" s="57"/>
      <c r="C158" s="57">
        <v>1</v>
      </c>
      <c r="D158" s="57"/>
      <c r="E158" s="57"/>
      <c r="F158" s="57">
        <v>5</v>
      </c>
      <c r="G158" s="57"/>
      <c r="H158" s="57"/>
      <c r="I158" s="57"/>
      <c r="J158" s="57"/>
      <c r="K158" s="57"/>
      <c r="L158" s="57"/>
      <c r="M158" s="57"/>
      <c r="Q158">
        <f t="shared" si="17"/>
        <v>0</v>
      </c>
      <c r="R158">
        <f t="shared" si="18"/>
        <v>1</v>
      </c>
      <c r="S158">
        <f t="shared" si="19"/>
        <v>0</v>
      </c>
      <c r="T158">
        <f t="shared" si="20"/>
        <v>5</v>
      </c>
      <c r="U158">
        <f t="shared" si="21"/>
        <v>0</v>
      </c>
      <c r="V158">
        <f t="shared" si="22"/>
        <v>0</v>
      </c>
      <c r="Y158" t="str">
        <f t="shared" si="23"/>
        <v>Timor-Leste</v>
      </c>
      <c r="Z158" s="104">
        <f t="shared" si="14"/>
        <v>1</v>
      </c>
      <c r="AA158" s="104">
        <f t="shared" si="15"/>
        <v>1</v>
      </c>
      <c r="AB158" s="104" t="str">
        <f t="shared" si="16"/>
        <v/>
      </c>
    </row>
    <row r="159" spans="1:28" x14ac:dyDescent="0.25">
      <c r="A159" s="55" t="s">
        <v>13272</v>
      </c>
      <c r="B159" s="57"/>
      <c r="C159" s="57"/>
      <c r="D159" s="57"/>
      <c r="E159" s="57">
        <v>1</v>
      </c>
      <c r="F159" s="57">
        <v>4</v>
      </c>
      <c r="G159" s="57"/>
      <c r="H159" s="57">
        <v>3</v>
      </c>
      <c r="I159" s="57"/>
      <c r="J159" s="57"/>
      <c r="K159" s="57"/>
      <c r="L159" s="57"/>
      <c r="M159" s="57"/>
      <c r="Q159">
        <f t="shared" si="17"/>
        <v>0</v>
      </c>
      <c r="R159">
        <f t="shared" si="18"/>
        <v>0</v>
      </c>
      <c r="S159">
        <f t="shared" si="19"/>
        <v>1</v>
      </c>
      <c r="T159">
        <f t="shared" si="20"/>
        <v>4</v>
      </c>
      <c r="U159">
        <f t="shared" si="21"/>
        <v>3</v>
      </c>
      <c r="V159">
        <f t="shared" si="22"/>
        <v>0</v>
      </c>
      <c r="Y159" t="str">
        <f t="shared" si="23"/>
        <v>Vanuatu</v>
      </c>
      <c r="Z159" s="104" t="str">
        <f t="shared" si="14"/>
        <v/>
      </c>
      <c r="AA159" s="104">
        <f t="shared" si="15"/>
        <v>0.8</v>
      </c>
      <c r="AB159" s="104">
        <f t="shared" si="16"/>
        <v>0</v>
      </c>
    </row>
    <row r="160" spans="1:28" x14ac:dyDescent="0.25">
      <c r="A160" s="55" t="s">
        <v>13409</v>
      </c>
      <c r="B160" s="57"/>
      <c r="C160" s="57"/>
      <c r="D160" s="57"/>
      <c r="E160" s="57">
        <v>4</v>
      </c>
      <c r="F160" s="57">
        <v>6</v>
      </c>
      <c r="G160" s="57"/>
      <c r="H160" s="57">
        <v>1</v>
      </c>
      <c r="I160" s="57">
        <v>6</v>
      </c>
      <c r="J160" s="57"/>
      <c r="K160" s="57"/>
      <c r="L160" s="57"/>
      <c r="M160" s="57"/>
      <c r="Q160">
        <f t="shared" si="17"/>
        <v>0</v>
      </c>
      <c r="R160">
        <f t="shared" si="18"/>
        <v>0</v>
      </c>
      <c r="S160">
        <f t="shared" si="19"/>
        <v>4</v>
      </c>
      <c r="T160">
        <f t="shared" si="20"/>
        <v>6</v>
      </c>
      <c r="U160">
        <f t="shared" si="21"/>
        <v>1</v>
      </c>
      <c r="V160">
        <f t="shared" si="22"/>
        <v>6</v>
      </c>
      <c r="Y160" t="str">
        <f t="shared" si="23"/>
        <v>Vietnam</v>
      </c>
      <c r="Z160" s="104" t="str">
        <f t="shared" si="14"/>
        <v/>
      </c>
      <c r="AA160" s="104">
        <f t="shared" si="15"/>
        <v>0.6</v>
      </c>
      <c r="AB160" s="104">
        <f t="shared" si="16"/>
        <v>0.8571428571428571</v>
      </c>
    </row>
    <row r="161" spans="1:28" x14ac:dyDescent="0.25">
      <c r="A161" s="50" t="s">
        <v>14279</v>
      </c>
      <c r="B161" s="57">
        <v>3</v>
      </c>
      <c r="C161" s="57">
        <v>4</v>
      </c>
      <c r="D161" s="57"/>
      <c r="E161" s="57">
        <v>19</v>
      </c>
      <c r="F161" s="57">
        <v>169</v>
      </c>
      <c r="G161" s="57"/>
      <c r="H161" s="57">
        <v>6</v>
      </c>
      <c r="I161" s="57">
        <v>50</v>
      </c>
      <c r="J161" s="57"/>
      <c r="K161" s="57">
        <v>2</v>
      </c>
      <c r="L161" s="57"/>
      <c r="M161" s="57"/>
      <c r="Q161">
        <f t="shared" si="17"/>
        <v>3</v>
      </c>
      <c r="R161">
        <f t="shared" si="18"/>
        <v>4</v>
      </c>
      <c r="S161">
        <f t="shared" si="19"/>
        <v>19</v>
      </c>
      <c r="T161">
        <f t="shared" si="20"/>
        <v>169</v>
      </c>
      <c r="U161">
        <f t="shared" si="21"/>
        <v>6</v>
      </c>
      <c r="V161">
        <f t="shared" si="22"/>
        <v>50</v>
      </c>
      <c r="Y161" t="str">
        <f t="shared" si="23"/>
        <v>Asia and the Pacific Total</v>
      </c>
      <c r="Z161" s="104">
        <f t="shared" si="14"/>
        <v>0.5714285714285714</v>
      </c>
      <c r="AA161" s="104">
        <f t="shared" si="15"/>
        <v>0.89893617021276595</v>
      </c>
      <c r="AB161" s="104">
        <f t="shared" si="16"/>
        <v>0.8928571428571429</v>
      </c>
    </row>
    <row r="162" spans="1:28" x14ac:dyDescent="0.25">
      <c r="A162" s="50" t="s">
        <v>2807</v>
      </c>
      <c r="B162" s="57"/>
      <c r="C162" s="57"/>
      <c r="D162" s="57"/>
      <c r="E162" s="57"/>
      <c r="F162" s="57"/>
      <c r="G162" s="57"/>
      <c r="H162" s="57"/>
      <c r="I162" s="57"/>
      <c r="J162" s="57"/>
      <c r="K162" s="57"/>
      <c r="L162" s="57"/>
      <c r="M162" s="57"/>
      <c r="Q162">
        <f t="shared" si="17"/>
        <v>0</v>
      </c>
      <c r="R162">
        <f t="shared" si="18"/>
        <v>0</v>
      </c>
      <c r="S162">
        <f t="shared" si="19"/>
        <v>0</v>
      </c>
      <c r="T162">
        <f t="shared" si="20"/>
        <v>0</v>
      </c>
      <c r="U162">
        <f t="shared" si="21"/>
        <v>0</v>
      </c>
      <c r="V162">
        <f t="shared" si="22"/>
        <v>0</v>
      </c>
      <c r="Y162" t="str">
        <f t="shared" si="23"/>
        <v>Latin America and the Caribbean</v>
      </c>
      <c r="Z162" s="104" t="str">
        <f t="shared" si="14"/>
        <v/>
      </c>
      <c r="AA162" s="104" t="str">
        <f t="shared" si="15"/>
        <v/>
      </c>
      <c r="AB162" s="104" t="str">
        <f t="shared" si="16"/>
        <v/>
      </c>
    </row>
    <row r="163" spans="1:28" x14ac:dyDescent="0.25">
      <c r="A163" s="55" t="s">
        <v>2806</v>
      </c>
      <c r="B163" s="57"/>
      <c r="C163" s="57"/>
      <c r="D163" s="57"/>
      <c r="E163" s="57"/>
      <c r="F163" s="57"/>
      <c r="G163" s="57"/>
      <c r="H163" s="57"/>
      <c r="I163" s="57">
        <v>1</v>
      </c>
      <c r="J163" s="57"/>
      <c r="K163" s="57"/>
      <c r="L163" s="57"/>
      <c r="M163" s="57"/>
      <c r="Q163">
        <f t="shared" si="17"/>
        <v>0</v>
      </c>
      <c r="R163">
        <f t="shared" si="18"/>
        <v>0</v>
      </c>
      <c r="S163">
        <f t="shared" si="19"/>
        <v>0</v>
      </c>
      <c r="T163">
        <f t="shared" si="20"/>
        <v>0</v>
      </c>
      <c r="U163">
        <f t="shared" si="21"/>
        <v>0</v>
      </c>
      <c r="V163">
        <f t="shared" si="22"/>
        <v>1</v>
      </c>
      <c r="Y163" t="str">
        <f t="shared" si="23"/>
        <v>Colombia</v>
      </c>
      <c r="Z163" s="104" t="str">
        <f t="shared" si="14"/>
        <v/>
      </c>
      <c r="AA163" s="104" t="str">
        <f t="shared" si="15"/>
        <v/>
      </c>
      <c r="AB163" s="104">
        <f t="shared" si="16"/>
        <v>1</v>
      </c>
    </row>
    <row r="164" spans="1:28" x14ac:dyDescent="0.25">
      <c r="A164" s="55" t="s">
        <v>2931</v>
      </c>
      <c r="B164" s="57"/>
      <c r="C164" s="57"/>
      <c r="D164" s="57"/>
      <c r="E164" s="57"/>
      <c r="F164" s="57">
        <v>1</v>
      </c>
      <c r="G164" s="57"/>
      <c r="H164" s="57"/>
      <c r="I164" s="57"/>
      <c r="J164" s="57"/>
      <c r="K164" s="57"/>
      <c r="L164" s="57"/>
      <c r="M164" s="57"/>
      <c r="Q164">
        <f t="shared" si="17"/>
        <v>0</v>
      </c>
      <c r="R164">
        <f t="shared" si="18"/>
        <v>0</v>
      </c>
      <c r="S164">
        <f t="shared" si="19"/>
        <v>0</v>
      </c>
      <c r="T164">
        <f t="shared" si="20"/>
        <v>1</v>
      </c>
      <c r="U164">
        <f t="shared" si="21"/>
        <v>0</v>
      </c>
      <c r="V164">
        <f t="shared" si="22"/>
        <v>0</v>
      </c>
      <c r="Y164" t="str">
        <f t="shared" si="23"/>
        <v>Costa Rica</v>
      </c>
      <c r="Z164" s="104" t="str">
        <f t="shared" si="14"/>
        <v/>
      </c>
      <c r="AA164" s="104">
        <f t="shared" si="15"/>
        <v>1</v>
      </c>
      <c r="AB164" s="104" t="str">
        <f t="shared" si="16"/>
        <v/>
      </c>
    </row>
    <row r="165" spans="1:28" x14ac:dyDescent="0.25">
      <c r="A165" s="55" t="s">
        <v>3148</v>
      </c>
      <c r="B165" s="57"/>
      <c r="C165" s="57"/>
      <c r="D165" s="57"/>
      <c r="E165" s="57">
        <v>1</v>
      </c>
      <c r="F165" s="57">
        <v>4</v>
      </c>
      <c r="G165" s="57"/>
      <c r="H165" s="57"/>
      <c r="I165" s="57"/>
      <c r="J165" s="57"/>
      <c r="K165" s="57"/>
      <c r="L165" s="57"/>
      <c r="M165" s="57"/>
      <c r="Q165">
        <f t="shared" si="17"/>
        <v>0</v>
      </c>
      <c r="R165">
        <f t="shared" si="18"/>
        <v>0</v>
      </c>
      <c r="S165">
        <f t="shared" si="19"/>
        <v>1</v>
      </c>
      <c r="T165">
        <f t="shared" si="20"/>
        <v>4</v>
      </c>
      <c r="U165">
        <f t="shared" si="21"/>
        <v>0</v>
      </c>
      <c r="V165">
        <f t="shared" si="22"/>
        <v>0</v>
      </c>
      <c r="Y165" t="str">
        <f t="shared" si="23"/>
        <v>Cuba</v>
      </c>
      <c r="Z165" s="104" t="str">
        <f t="shared" si="14"/>
        <v/>
      </c>
      <c r="AA165" s="104">
        <f t="shared" si="15"/>
        <v>0.8</v>
      </c>
      <c r="AB165" s="104" t="str">
        <f t="shared" si="16"/>
        <v/>
      </c>
    </row>
    <row r="166" spans="1:28" x14ac:dyDescent="0.25">
      <c r="A166" s="55" t="s">
        <v>3261</v>
      </c>
      <c r="B166" s="57"/>
      <c r="C166" s="57"/>
      <c r="D166" s="57"/>
      <c r="E166" s="57"/>
      <c r="F166" s="57"/>
      <c r="G166" s="57"/>
      <c r="H166" s="57"/>
      <c r="I166" s="57"/>
      <c r="J166" s="57"/>
      <c r="K166" s="57"/>
      <c r="L166" s="57"/>
      <c r="M166" s="57"/>
      <c r="Q166">
        <f t="shared" si="17"/>
        <v>0</v>
      </c>
      <c r="R166">
        <f t="shared" si="18"/>
        <v>0</v>
      </c>
      <c r="S166">
        <f t="shared" si="19"/>
        <v>0</v>
      </c>
      <c r="T166">
        <f t="shared" si="20"/>
        <v>0</v>
      </c>
      <c r="U166">
        <f t="shared" si="21"/>
        <v>0</v>
      </c>
      <c r="V166">
        <f t="shared" si="22"/>
        <v>0</v>
      </c>
      <c r="Y166" t="str">
        <f t="shared" si="23"/>
        <v>Dominican Republic</v>
      </c>
      <c r="Z166" s="104" t="str">
        <f t="shared" si="14"/>
        <v/>
      </c>
      <c r="AA166" s="104" t="str">
        <f t="shared" si="15"/>
        <v/>
      </c>
      <c r="AB166" s="104" t="str">
        <f t="shared" si="16"/>
        <v/>
      </c>
    </row>
    <row r="167" spans="1:28" x14ac:dyDescent="0.25">
      <c r="A167" s="55" t="s">
        <v>3272</v>
      </c>
      <c r="B167" s="57"/>
      <c r="C167" s="57"/>
      <c r="D167" s="57"/>
      <c r="E167" s="57">
        <v>2</v>
      </c>
      <c r="F167" s="57">
        <v>14</v>
      </c>
      <c r="G167" s="57"/>
      <c r="H167" s="57"/>
      <c r="I167" s="57">
        <v>2</v>
      </c>
      <c r="J167" s="57"/>
      <c r="K167" s="57"/>
      <c r="L167" s="57"/>
      <c r="M167" s="57"/>
      <c r="Q167">
        <f t="shared" si="17"/>
        <v>0</v>
      </c>
      <c r="R167">
        <f t="shared" si="18"/>
        <v>0</v>
      </c>
      <c r="S167">
        <f t="shared" si="19"/>
        <v>2</v>
      </c>
      <c r="T167">
        <f t="shared" si="20"/>
        <v>14</v>
      </c>
      <c r="U167">
        <f t="shared" si="21"/>
        <v>0</v>
      </c>
      <c r="V167">
        <f t="shared" si="22"/>
        <v>2</v>
      </c>
      <c r="Y167" t="str">
        <f t="shared" si="23"/>
        <v>Ecuador</v>
      </c>
      <c r="Z167" s="104" t="str">
        <f t="shared" si="14"/>
        <v/>
      </c>
      <c r="AA167" s="104">
        <f t="shared" si="15"/>
        <v>0.875</v>
      </c>
      <c r="AB167" s="104">
        <f t="shared" si="16"/>
        <v>1</v>
      </c>
    </row>
    <row r="168" spans="1:28" x14ac:dyDescent="0.25">
      <c r="A168" s="55" t="s">
        <v>4777</v>
      </c>
      <c r="B168" s="57"/>
      <c r="C168" s="57"/>
      <c r="D168" s="57"/>
      <c r="E168" s="57"/>
      <c r="F168" s="57">
        <v>6</v>
      </c>
      <c r="G168" s="57"/>
      <c r="H168" s="57">
        <v>3</v>
      </c>
      <c r="I168" s="57">
        <v>6</v>
      </c>
      <c r="J168" s="57"/>
      <c r="K168" s="57"/>
      <c r="L168" s="57"/>
      <c r="M168" s="57"/>
      <c r="Q168">
        <f t="shared" si="17"/>
        <v>0</v>
      </c>
      <c r="R168">
        <f t="shared" si="18"/>
        <v>0</v>
      </c>
      <c r="S168">
        <f t="shared" si="19"/>
        <v>0</v>
      </c>
      <c r="T168">
        <f t="shared" si="20"/>
        <v>6</v>
      </c>
      <c r="U168">
        <f t="shared" si="21"/>
        <v>3</v>
      </c>
      <c r="V168">
        <f t="shared" si="22"/>
        <v>6</v>
      </c>
      <c r="Y168" t="str">
        <f t="shared" si="23"/>
        <v>Guatemala</v>
      </c>
      <c r="Z168" s="104" t="str">
        <f t="shared" si="14"/>
        <v/>
      </c>
      <c r="AA168" s="104">
        <f t="shared" si="15"/>
        <v>1</v>
      </c>
      <c r="AB168" s="104">
        <f t="shared" si="16"/>
        <v>0.66666666666666663</v>
      </c>
    </row>
    <row r="169" spans="1:28" x14ac:dyDescent="0.25">
      <c r="A169" s="55" t="s">
        <v>5061</v>
      </c>
      <c r="B169" s="57"/>
      <c r="C169" s="57"/>
      <c r="D169" s="57"/>
      <c r="E169" s="57"/>
      <c r="F169" s="57">
        <v>8</v>
      </c>
      <c r="G169" s="57"/>
      <c r="H169" s="57"/>
      <c r="I169" s="57"/>
      <c r="J169" s="57"/>
      <c r="K169" s="57"/>
      <c r="L169" s="57"/>
      <c r="M169" s="57"/>
      <c r="Q169">
        <f t="shared" si="17"/>
        <v>0</v>
      </c>
      <c r="R169">
        <f t="shared" si="18"/>
        <v>0</v>
      </c>
      <c r="S169">
        <f t="shared" si="19"/>
        <v>0</v>
      </c>
      <c r="T169">
        <f t="shared" si="20"/>
        <v>8</v>
      </c>
      <c r="U169">
        <f t="shared" si="21"/>
        <v>0</v>
      </c>
      <c r="V169">
        <f t="shared" si="22"/>
        <v>0</v>
      </c>
      <c r="Y169" t="str">
        <f t="shared" si="23"/>
        <v>Haiti</v>
      </c>
      <c r="Z169" s="104" t="str">
        <f t="shared" si="14"/>
        <v/>
      </c>
      <c r="AA169" s="104">
        <f t="shared" si="15"/>
        <v>1</v>
      </c>
      <c r="AB169" s="104" t="str">
        <f t="shared" si="16"/>
        <v/>
      </c>
    </row>
    <row r="170" spans="1:28" x14ac:dyDescent="0.25">
      <c r="A170" s="55" t="s">
        <v>5190</v>
      </c>
      <c r="B170" s="57"/>
      <c r="C170" s="57"/>
      <c r="D170" s="57"/>
      <c r="E170" s="57"/>
      <c r="F170" s="57">
        <v>5</v>
      </c>
      <c r="G170" s="57"/>
      <c r="H170" s="57"/>
      <c r="I170" s="57">
        <v>2</v>
      </c>
      <c r="J170" s="57"/>
      <c r="K170" s="57"/>
      <c r="L170" s="57"/>
      <c r="M170" s="57"/>
      <c r="Q170">
        <f t="shared" si="17"/>
        <v>0</v>
      </c>
      <c r="R170">
        <f t="shared" si="18"/>
        <v>0</v>
      </c>
      <c r="S170">
        <f t="shared" si="19"/>
        <v>0</v>
      </c>
      <c r="T170">
        <f t="shared" si="20"/>
        <v>5</v>
      </c>
      <c r="U170">
        <f t="shared" si="21"/>
        <v>0</v>
      </c>
      <c r="V170">
        <f t="shared" si="22"/>
        <v>2</v>
      </c>
      <c r="Y170" t="str">
        <f t="shared" si="23"/>
        <v>Honduras</v>
      </c>
      <c r="Z170" s="104" t="str">
        <f t="shared" si="14"/>
        <v/>
      </c>
      <c r="AA170" s="104">
        <f t="shared" si="15"/>
        <v>1</v>
      </c>
      <c r="AB170" s="104">
        <f t="shared" si="16"/>
        <v>1</v>
      </c>
    </row>
    <row r="171" spans="1:28" x14ac:dyDescent="0.25">
      <c r="A171" s="55" t="s">
        <v>8138</v>
      </c>
      <c r="B171" s="57"/>
      <c r="C171" s="57"/>
      <c r="D171" s="57"/>
      <c r="E171" s="57"/>
      <c r="F171" s="57"/>
      <c r="G171" s="57"/>
      <c r="H171" s="57"/>
      <c r="I171" s="57">
        <v>1</v>
      </c>
      <c r="J171" s="57"/>
      <c r="K171" s="57"/>
      <c r="L171" s="57"/>
      <c r="M171" s="57"/>
      <c r="Q171">
        <f t="shared" si="17"/>
        <v>0</v>
      </c>
      <c r="R171">
        <f t="shared" si="18"/>
        <v>0</v>
      </c>
      <c r="S171">
        <f t="shared" si="19"/>
        <v>0</v>
      </c>
      <c r="T171">
        <f t="shared" si="20"/>
        <v>0</v>
      </c>
      <c r="U171">
        <f t="shared" si="21"/>
        <v>0</v>
      </c>
      <c r="V171">
        <f t="shared" si="22"/>
        <v>1</v>
      </c>
      <c r="Y171" t="str">
        <f t="shared" si="23"/>
        <v>Mexico</v>
      </c>
      <c r="Z171" s="104" t="str">
        <f t="shared" si="14"/>
        <v/>
      </c>
      <c r="AA171" s="104" t="str">
        <f t="shared" si="15"/>
        <v/>
      </c>
      <c r="AB171" s="104">
        <f t="shared" si="16"/>
        <v>1</v>
      </c>
    </row>
    <row r="172" spans="1:28" x14ac:dyDescent="0.25">
      <c r="A172" s="55" t="s">
        <v>9042</v>
      </c>
      <c r="B172" s="57"/>
      <c r="C172" s="57"/>
      <c r="D172" s="57"/>
      <c r="E172" s="57"/>
      <c r="F172" s="57">
        <v>1</v>
      </c>
      <c r="G172" s="57"/>
      <c r="H172" s="57"/>
      <c r="I172" s="57"/>
      <c r="J172" s="57"/>
      <c r="K172" s="57"/>
      <c r="L172" s="57"/>
      <c r="M172" s="57"/>
      <c r="Q172">
        <f t="shared" si="17"/>
        <v>0</v>
      </c>
      <c r="R172">
        <f t="shared" si="18"/>
        <v>0</v>
      </c>
      <c r="S172">
        <f t="shared" si="19"/>
        <v>0</v>
      </c>
      <c r="T172">
        <f t="shared" si="20"/>
        <v>1</v>
      </c>
      <c r="U172">
        <f t="shared" si="21"/>
        <v>0</v>
      </c>
      <c r="V172">
        <f t="shared" si="22"/>
        <v>0</v>
      </c>
      <c r="Y172" t="str">
        <f t="shared" si="23"/>
        <v>Nicaragua</v>
      </c>
      <c r="Z172" s="104" t="str">
        <f t="shared" si="14"/>
        <v/>
      </c>
      <c r="AA172" s="104">
        <f t="shared" si="15"/>
        <v>1</v>
      </c>
      <c r="AB172" s="104" t="str">
        <f t="shared" si="16"/>
        <v/>
      </c>
    </row>
    <row r="173" spans="1:28" x14ac:dyDescent="0.25">
      <c r="A173" s="55" t="s">
        <v>9514</v>
      </c>
      <c r="B173" s="57"/>
      <c r="C173" s="57"/>
      <c r="D173" s="57"/>
      <c r="E173" s="57"/>
      <c r="F173" s="57"/>
      <c r="G173" s="57"/>
      <c r="H173" s="57"/>
      <c r="I173" s="57"/>
      <c r="J173" s="57"/>
      <c r="K173" s="57"/>
      <c r="L173" s="57"/>
      <c r="M173" s="57"/>
      <c r="Q173">
        <f t="shared" si="17"/>
        <v>0</v>
      </c>
      <c r="R173">
        <f t="shared" si="18"/>
        <v>0</v>
      </c>
      <c r="S173">
        <f t="shared" si="19"/>
        <v>0</v>
      </c>
      <c r="T173">
        <f t="shared" si="20"/>
        <v>0</v>
      </c>
      <c r="U173">
        <f t="shared" si="21"/>
        <v>0</v>
      </c>
      <c r="V173">
        <f t="shared" si="22"/>
        <v>0</v>
      </c>
      <c r="Y173" t="str">
        <f t="shared" si="23"/>
        <v>Panama</v>
      </c>
      <c r="Z173" s="104" t="str">
        <f t="shared" si="14"/>
        <v/>
      </c>
      <c r="AA173" s="104" t="str">
        <f t="shared" si="15"/>
        <v/>
      </c>
      <c r="AB173" s="104" t="str">
        <f t="shared" si="16"/>
        <v/>
      </c>
    </row>
    <row r="174" spans="1:28" x14ac:dyDescent="0.25">
      <c r="A174" s="55" t="s">
        <v>9706</v>
      </c>
      <c r="B174" s="57"/>
      <c r="C174" s="57">
        <v>3</v>
      </c>
      <c r="D174" s="57"/>
      <c r="E174" s="57">
        <v>3</v>
      </c>
      <c r="F174" s="57">
        <v>24</v>
      </c>
      <c r="G174" s="57"/>
      <c r="H174" s="57"/>
      <c r="I174" s="57">
        <v>5</v>
      </c>
      <c r="J174" s="57"/>
      <c r="K174" s="57"/>
      <c r="L174" s="57"/>
      <c r="M174" s="57"/>
      <c r="Q174">
        <f t="shared" si="17"/>
        <v>0</v>
      </c>
      <c r="R174">
        <f t="shared" si="18"/>
        <v>3</v>
      </c>
      <c r="S174">
        <f t="shared" si="19"/>
        <v>3</v>
      </c>
      <c r="T174">
        <f t="shared" si="20"/>
        <v>24</v>
      </c>
      <c r="U174">
        <f t="shared" si="21"/>
        <v>0</v>
      </c>
      <c r="V174">
        <f t="shared" si="22"/>
        <v>5</v>
      </c>
      <c r="Y174" t="str">
        <f t="shared" si="23"/>
        <v>Peru</v>
      </c>
      <c r="Z174" s="104">
        <f t="shared" si="14"/>
        <v>1</v>
      </c>
      <c r="AA174" s="104">
        <f t="shared" si="15"/>
        <v>0.88888888888888884</v>
      </c>
      <c r="AB174" s="104">
        <f t="shared" si="16"/>
        <v>1</v>
      </c>
    </row>
    <row r="175" spans="1:28" x14ac:dyDescent="0.25">
      <c r="A175" s="50" t="s">
        <v>14280</v>
      </c>
      <c r="B175" s="57"/>
      <c r="C175" s="57">
        <v>3</v>
      </c>
      <c r="D175" s="57"/>
      <c r="E175" s="57">
        <v>6</v>
      </c>
      <c r="F175" s="57">
        <v>63</v>
      </c>
      <c r="G175" s="57"/>
      <c r="H175" s="57">
        <v>3</v>
      </c>
      <c r="I175" s="57">
        <v>17</v>
      </c>
      <c r="J175" s="57"/>
      <c r="K175" s="57"/>
      <c r="L175" s="57"/>
      <c r="M175" s="57"/>
      <c r="Q175">
        <f t="shared" si="17"/>
        <v>0</v>
      </c>
      <c r="R175">
        <f t="shared" si="18"/>
        <v>3</v>
      </c>
      <c r="S175">
        <f t="shared" si="19"/>
        <v>6</v>
      </c>
      <c r="T175">
        <f t="shared" si="20"/>
        <v>63</v>
      </c>
      <c r="U175">
        <f t="shared" si="21"/>
        <v>3</v>
      </c>
      <c r="V175">
        <f t="shared" si="22"/>
        <v>17</v>
      </c>
      <c r="Y175" t="str">
        <f t="shared" si="23"/>
        <v>Latin America and the Caribbean Total</v>
      </c>
      <c r="Z175" s="104">
        <f t="shared" si="14"/>
        <v>1</v>
      </c>
      <c r="AA175" s="104">
        <f t="shared" si="15"/>
        <v>0.91304347826086951</v>
      </c>
      <c r="AB175" s="104">
        <f t="shared" si="16"/>
        <v>0.85</v>
      </c>
    </row>
    <row r="176" spans="1:28" x14ac:dyDescent="0.25">
      <c r="A176" s="50" t="s">
        <v>602</v>
      </c>
      <c r="B176" s="57"/>
      <c r="C176" s="57"/>
      <c r="D176" s="57"/>
      <c r="E176" s="57"/>
      <c r="F176" s="57"/>
      <c r="G176" s="57"/>
      <c r="H176" s="57"/>
      <c r="I176" s="57"/>
      <c r="J176" s="57"/>
      <c r="K176" s="57"/>
      <c r="L176" s="57"/>
      <c r="M176" s="57"/>
      <c r="Q176">
        <f t="shared" ref="Q176:Q211" si="24">B176</f>
        <v>0</v>
      </c>
      <c r="R176">
        <f t="shared" ref="R176:R211" si="25">C176</f>
        <v>0</v>
      </c>
      <c r="S176">
        <f t="shared" ref="S176:S211" si="26">E176</f>
        <v>0</v>
      </c>
      <c r="T176">
        <f t="shared" ref="T176:T211" si="27">F176</f>
        <v>0</v>
      </c>
      <c r="U176">
        <f t="shared" ref="U176:U211" si="28">H176</f>
        <v>0</v>
      </c>
      <c r="V176">
        <f t="shared" ref="V176:V211" si="29">I176</f>
        <v>0</v>
      </c>
      <c r="Y176" t="str">
        <f t="shared" ref="Y176:Y211" si="30">A176</f>
        <v>Middle East, North Africa and Europe</v>
      </c>
      <c r="Z176" s="104" t="str">
        <f t="shared" si="14"/>
        <v/>
      </c>
      <c r="AA176" s="104" t="str">
        <f t="shared" si="15"/>
        <v/>
      </c>
      <c r="AB176" s="104" t="str">
        <f t="shared" si="16"/>
        <v/>
      </c>
    </row>
    <row r="177" spans="1:28" x14ac:dyDescent="0.25">
      <c r="A177" s="55" t="s">
        <v>601</v>
      </c>
      <c r="B177" s="57"/>
      <c r="C177" s="57"/>
      <c r="D177" s="57"/>
      <c r="E177" s="57"/>
      <c r="F177" s="57"/>
      <c r="G177" s="57"/>
      <c r="H177" s="57"/>
      <c r="I177" s="57">
        <v>1</v>
      </c>
      <c r="J177" s="57"/>
      <c r="K177" s="57"/>
      <c r="L177" s="57"/>
      <c r="M177" s="57"/>
      <c r="Q177">
        <f t="shared" si="24"/>
        <v>0</v>
      </c>
      <c r="R177">
        <f t="shared" si="25"/>
        <v>0</v>
      </c>
      <c r="S177">
        <f t="shared" si="26"/>
        <v>0</v>
      </c>
      <c r="T177">
        <f t="shared" si="27"/>
        <v>0</v>
      </c>
      <c r="U177">
        <f t="shared" si="28"/>
        <v>0</v>
      </c>
      <c r="V177">
        <f t="shared" si="29"/>
        <v>1</v>
      </c>
      <c r="Y177" t="str">
        <f t="shared" si="30"/>
        <v>Albania</v>
      </c>
      <c r="Z177" s="104" t="str">
        <f t="shared" ref="Z177:Z211" si="31">IFERROR(R177/(SUM($Q177:$R177)),"")</f>
        <v/>
      </c>
      <c r="AA177" s="104" t="str">
        <f t="shared" ref="AA177:AA211" si="32">IFERROR(T177/(SUM($S177:$T177)),"")</f>
        <v/>
      </c>
      <c r="AB177" s="104">
        <f t="shared" ref="AB177:AB211" si="33">IFERROR(V177/(SUM($U177:$V177)),"")</f>
        <v>1</v>
      </c>
    </row>
    <row r="178" spans="1:28" x14ac:dyDescent="0.25">
      <c r="A178" s="55" t="s">
        <v>635</v>
      </c>
      <c r="B178" s="57"/>
      <c r="C178" s="57"/>
      <c r="D178" s="57"/>
      <c r="E178" s="57"/>
      <c r="F178" s="57"/>
      <c r="G178" s="57"/>
      <c r="H178" s="57"/>
      <c r="I178" s="57"/>
      <c r="J178" s="57"/>
      <c r="K178" s="57"/>
      <c r="L178" s="57"/>
      <c r="M178" s="57"/>
      <c r="Q178">
        <f t="shared" si="24"/>
        <v>0</v>
      </c>
      <c r="R178">
        <f t="shared" si="25"/>
        <v>0</v>
      </c>
      <c r="S178">
        <f t="shared" si="26"/>
        <v>0</v>
      </c>
      <c r="T178">
        <f t="shared" si="27"/>
        <v>0</v>
      </c>
      <c r="U178">
        <f t="shared" si="28"/>
        <v>0</v>
      </c>
      <c r="V178">
        <f t="shared" si="29"/>
        <v>0</v>
      </c>
      <c r="Y178" t="str">
        <f t="shared" si="30"/>
        <v>Austria</v>
      </c>
      <c r="Z178" s="104" t="str">
        <f t="shared" si="31"/>
        <v/>
      </c>
      <c r="AA178" s="104" t="str">
        <f t="shared" si="32"/>
        <v/>
      </c>
      <c r="AB178" s="104" t="str">
        <f t="shared" si="33"/>
        <v/>
      </c>
    </row>
    <row r="179" spans="1:28" x14ac:dyDescent="0.25">
      <c r="A179" s="55" t="s">
        <v>1527</v>
      </c>
      <c r="B179" s="57"/>
      <c r="C179" s="57"/>
      <c r="D179" s="57"/>
      <c r="E179" s="57"/>
      <c r="F179" s="57"/>
      <c r="G179" s="57"/>
      <c r="H179" s="57"/>
      <c r="I179" s="57">
        <v>1</v>
      </c>
      <c r="J179" s="57"/>
      <c r="K179" s="57"/>
      <c r="L179" s="57"/>
      <c r="M179" s="57"/>
      <c r="Q179">
        <f t="shared" si="24"/>
        <v>0</v>
      </c>
      <c r="R179">
        <f t="shared" si="25"/>
        <v>0</v>
      </c>
      <c r="S179">
        <f t="shared" si="26"/>
        <v>0</v>
      </c>
      <c r="T179">
        <f t="shared" si="27"/>
        <v>0</v>
      </c>
      <c r="U179">
        <f t="shared" si="28"/>
        <v>0</v>
      </c>
      <c r="V179">
        <f t="shared" si="29"/>
        <v>1</v>
      </c>
      <c r="Y179" t="str">
        <f t="shared" si="30"/>
        <v>Belgium</v>
      </c>
      <c r="Z179" s="104" t="str">
        <f t="shared" si="31"/>
        <v/>
      </c>
      <c r="AA179" s="104" t="str">
        <f t="shared" si="32"/>
        <v/>
      </c>
      <c r="AB179" s="104">
        <f t="shared" si="33"/>
        <v>1</v>
      </c>
    </row>
    <row r="180" spans="1:28" x14ac:dyDescent="0.25">
      <c r="A180" s="55" t="s">
        <v>1735</v>
      </c>
      <c r="B180" s="57"/>
      <c r="C180" s="57"/>
      <c r="D180" s="57"/>
      <c r="E180" s="57"/>
      <c r="F180" s="57">
        <v>2</v>
      </c>
      <c r="G180" s="57"/>
      <c r="H180" s="57"/>
      <c r="I180" s="57">
        <v>3</v>
      </c>
      <c r="J180" s="57"/>
      <c r="K180" s="57"/>
      <c r="L180" s="57"/>
      <c r="M180" s="57"/>
      <c r="Q180">
        <f t="shared" si="24"/>
        <v>0</v>
      </c>
      <c r="R180">
        <f t="shared" si="25"/>
        <v>0</v>
      </c>
      <c r="S180">
        <f t="shared" si="26"/>
        <v>0</v>
      </c>
      <c r="T180">
        <f t="shared" si="27"/>
        <v>2</v>
      </c>
      <c r="U180">
        <f t="shared" si="28"/>
        <v>0</v>
      </c>
      <c r="V180">
        <f t="shared" si="29"/>
        <v>3</v>
      </c>
      <c r="Y180" t="str">
        <f t="shared" si="30"/>
        <v>Bosnia and Herzegovina</v>
      </c>
      <c r="Z180" s="104" t="str">
        <f t="shared" si="31"/>
        <v/>
      </c>
      <c r="AA180" s="104">
        <f t="shared" si="32"/>
        <v>1</v>
      </c>
      <c r="AB180" s="104">
        <f t="shared" si="33"/>
        <v>1</v>
      </c>
    </row>
    <row r="181" spans="1:28" x14ac:dyDescent="0.25">
      <c r="A181" s="55" t="s">
        <v>3140</v>
      </c>
      <c r="B181" s="57"/>
      <c r="C181" s="57"/>
      <c r="D181" s="57"/>
      <c r="E181" s="57"/>
      <c r="F181" s="57"/>
      <c r="G181" s="57"/>
      <c r="H181" s="57"/>
      <c r="I181" s="57">
        <v>1</v>
      </c>
      <c r="J181" s="57"/>
      <c r="K181" s="57"/>
      <c r="L181" s="57"/>
      <c r="M181" s="57"/>
      <c r="Q181">
        <f t="shared" si="24"/>
        <v>0</v>
      </c>
      <c r="R181">
        <f t="shared" si="25"/>
        <v>0</v>
      </c>
      <c r="S181">
        <f t="shared" si="26"/>
        <v>0</v>
      </c>
      <c r="T181">
        <f t="shared" si="27"/>
        <v>0</v>
      </c>
      <c r="U181">
        <f t="shared" si="28"/>
        <v>0</v>
      </c>
      <c r="V181">
        <f t="shared" si="29"/>
        <v>1</v>
      </c>
      <c r="Y181" t="str">
        <f t="shared" si="30"/>
        <v>Croatia</v>
      </c>
      <c r="Z181" s="104" t="str">
        <f t="shared" si="31"/>
        <v/>
      </c>
      <c r="AA181" s="104" t="str">
        <f t="shared" si="32"/>
        <v/>
      </c>
      <c r="AB181" s="104">
        <f t="shared" si="33"/>
        <v>1</v>
      </c>
    </row>
    <row r="182" spans="1:28" x14ac:dyDescent="0.25">
      <c r="A182" s="55" t="s">
        <v>3231</v>
      </c>
      <c r="B182" s="57"/>
      <c r="C182" s="57"/>
      <c r="D182" s="57"/>
      <c r="E182" s="57"/>
      <c r="F182" s="57"/>
      <c r="G182" s="57"/>
      <c r="H182" s="57"/>
      <c r="I182" s="57"/>
      <c r="J182" s="57"/>
      <c r="K182" s="57"/>
      <c r="L182" s="57"/>
      <c r="M182" s="57"/>
      <c r="Q182">
        <f t="shared" si="24"/>
        <v>0</v>
      </c>
      <c r="R182">
        <f t="shared" si="25"/>
        <v>0</v>
      </c>
      <c r="S182">
        <f t="shared" si="26"/>
        <v>0</v>
      </c>
      <c r="T182">
        <f t="shared" si="27"/>
        <v>0</v>
      </c>
      <c r="U182">
        <f t="shared" si="28"/>
        <v>0</v>
      </c>
      <c r="V182">
        <f t="shared" si="29"/>
        <v>0</v>
      </c>
      <c r="Y182" t="str">
        <f t="shared" si="30"/>
        <v>Czech Republic</v>
      </c>
      <c r="Z182" s="104" t="str">
        <f t="shared" si="31"/>
        <v/>
      </c>
      <c r="AA182" s="104" t="str">
        <f t="shared" si="32"/>
        <v/>
      </c>
      <c r="AB182" s="104" t="str">
        <f t="shared" si="33"/>
        <v/>
      </c>
    </row>
    <row r="183" spans="1:28" x14ac:dyDescent="0.25">
      <c r="A183" s="55" t="s">
        <v>3249</v>
      </c>
      <c r="B183" s="57"/>
      <c r="C183" s="57"/>
      <c r="D183" s="57"/>
      <c r="E183" s="57"/>
      <c r="F183" s="57"/>
      <c r="G183" s="57"/>
      <c r="H183" s="57"/>
      <c r="I183" s="57">
        <v>1</v>
      </c>
      <c r="J183" s="57"/>
      <c r="K183" s="57"/>
      <c r="L183" s="57"/>
      <c r="M183" s="57"/>
      <c r="Q183">
        <f t="shared" si="24"/>
        <v>0</v>
      </c>
      <c r="R183">
        <f t="shared" si="25"/>
        <v>0</v>
      </c>
      <c r="S183">
        <f t="shared" si="26"/>
        <v>0</v>
      </c>
      <c r="T183">
        <f t="shared" si="27"/>
        <v>0</v>
      </c>
      <c r="U183">
        <f t="shared" si="28"/>
        <v>0</v>
      </c>
      <c r="V183">
        <f t="shared" si="29"/>
        <v>1</v>
      </c>
      <c r="Y183" t="str">
        <f t="shared" si="30"/>
        <v>Denmark</v>
      </c>
      <c r="Z183" s="104" t="str">
        <f t="shared" si="31"/>
        <v/>
      </c>
      <c r="AA183" s="104" t="str">
        <f t="shared" si="32"/>
        <v/>
      </c>
      <c r="AB183" s="104">
        <f t="shared" si="33"/>
        <v>1</v>
      </c>
    </row>
    <row r="184" spans="1:28" x14ac:dyDescent="0.25">
      <c r="A184" s="55" t="s">
        <v>3546</v>
      </c>
      <c r="B184" s="57"/>
      <c r="C184" s="57"/>
      <c r="D184" s="57"/>
      <c r="E184" s="57"/>
      <c r="F184" s="57">
        <v>15</v>
      </c>
      <c r="G184" s="57"/>
      <c r="H184" s="57"/>
      <c r="I184" s="57">
        <v>4</v>
      </c>
      <c r="J184" s="57"/>
      <c r="K184" s="57"/>
      <c r="L184" s="57"/>
      <c r="M184" s="57"/>
      <c r="Q184">
        <f t="shared" si="24"/>
        <v>0</v>
      </c>
      <c r="R184">
        <f t="shared" si="25"/>
        <v>0</v>
      </c>
      <c r="S184">
        <f t="shared" si="26"/>
        <v>0</v>
      </c>
      <c r="T184">
        <f t="shared" si="27"/>
        <v>15</v>
      </c>
      <c r="U184">
        <f t="shared" si="28"/>
        <v>0</v>
      </c>
      <c r="V184">
        <f t="shared" si="29"/>
        <v>4</v>
      </c>
      <c r="Y184" t="str">
        <f t="shared" si="30"/>
        <v>Egypt</v>
      </c>
      <c r="Z184" s="104" t="str">
        <f t="shared" si="31"/>
        <v/>
      </c>
      <c r="AA184" s="104">
        <f t="shared" si="32"/>
        <v>1</v>
      </c>
      <c r="AB184" s="104">
        <f t="shared" si="33"/>
        <v>1</v>
      </c>
    </row>
    <row r="185" spans="1:28" x14ac:dyDescent="0.25">
      <c r="A185" s="55" t="s">
        <v>4293</v>
      </c>
      <c r="B185" s="57"/>
      <c r="C185" s="57"/>
      <c r="D185" s="57"/>
      <c r="E185" s="57">
        <v>1</v>
      </c>
      <c r="F185" s="57">
        <v>2</v>
      </c>
      <c r="G185" s="57"/>
      <c r="H185" s="57"/>
      <c r="I185" s="57"/>
      <c r="J185" s="57"/>
      <c r="K185" s="57"/>
      <c r="L185" s="57"/>
      <c r="M185" s="57"/>
      <c r="Q185">
        <f t="shared" si="24"/>
        <v>0</v>
      </c>
      <c r="R185">
        <f t="shared" si="25"/>
        <v>0</v>
      </c>
      <c r="S185">
        <f t="shared" si="26"/>
        <v>1</v>
      </c>
      <c r="T185">
        <f t="shared" si="27"/>
        <v>2</v>
      </c>
      <c r="U185">
        <f t="shared" si="28"/>
        <v>0</v>
      </c>
      <c r="V185">
        <f t="shared" si="29"/>
        <v>0</v>
      </c>
      <c r="Y185" t="str">
        <f t="shared" si="30"/>
        <v>France</v>
      </c>
      <c r="Z185" s="104" t="str">
        <f t="shared" si="31"/>
        <v/>
      </c>
      <c r="AA185" s="104">
        <f t="shared" si="32"/>
        <v>0.66666666666666663</v>
      </c>
      <c r="AB185" s="104" t="str">
        <f t="shared" si="33"/>
        <v/>
      </c>
    </row>
    <row r="186" spans="1:28" x14ac:dyDescent="0.25">
      <c r="A186" s="55" t="s">
        <v>4346</v>
      </c>
      <c r="B186" s="57"/>
      <c r="C186" s="57"/>
      <c r="D186" s="57"/>
      <c r="E186" s="57"/>
      <c r="F186" s="57">
        <v>1</v>
      </c>
      <c r="G186" s="57"/>
      <c r="H186" s="57"/>
      <c r="I186" s="57">
        <v>2</v>
      </c>
      <c r="J186" s="57"/>
      <c r="K186" s="57"/>
      <c r="L186" s="57"/>
      <c r="M186" s="57"/>
      <c r="Q186">
        <f t="shared" si="24"/>
        <v>0</v>
      </c>
      <c r="R186">
        <f t="shared" si="25"/>
        <v>0</v>
      </c>
      <c r="S186">
        <f t="shared" si="26"/>
        <v>0</v>
      </c>
      <c r="T186">
        <f t="shared" si="27"/>
        <v>1</v>
      </c>
      <c r="U186">
        <f t="shared" si="28"/>
        <v>0</v>
      </c>
      <c r="V186">
        <f t="shared" si="29"/>
        <v>2</v>
      </c>
      <c r="Y186" t="str">
        <f t="shared" si="30"/>
        <v>Georgia</v>
      </c>
      <c r="Z186" s="104" t="str">
        <f t="shared" si="31"/>
        <v/>
      </c>
      <c r="AA186" s="104">
        <f t="shared" si="32"/>
        <v>1</v>
      </c>
      <c r="AB186" s="104">
        <f t="shared" si="33"/>
        <v>1</v>
      </c>
    </row>
    <row r="187" spans="1:28" x14ac:dyDescent="0.25">
      <c r="A187" s="55" t="s">
        <v>4428</v>
      </c>
      <c r="B187" s="57"/>
      <c r="C187" s="57"/>
      <c r="D187" s="57"/>
      <c r="E187" s="57"/>
      <c r="F187" s="57"/>
      <c r="G187" s="57"/>
      <c r="H187" s="57"/>
      <c r="I187" s="57">
        <v>3</v>
      </c>
      <c r="J187" s="57"/>
      <c r="K187" s="57"/>
      <c r="L187" s="57"/>
      <c r="M187" s="57"/>
      <c r="Q187">
        <f t="shared" si="24"/>
        <v>0</v>
      </c>
      <c r="R187">
        <f t="shared" si="25"/>
        <v>0</v>
      </c>
      <c r="S187">
        <f t="shared" si="26"/>
        <v>0</v>
      </c>
      <c r="T187">
        <f t="shared" si="27"/>
        <v>0</v>
      </c>
      <c r="U187">
        <f t="shared" si="28"/>
        <v>0</v>
      </c>
      <c r="V187">
        <f t="shared" si="29"/>
        <v>3</v>
      </c>
      <c r="Y187" t="str">
        <f t="shared" si="30"/>
        <v>Germany</v>
      </c>
      <c r="Z187" s="104" t="str">
        <f t="shared" si="31"/>
        <v/>
      </c>
      <c r="AA187" s="104" t="str">
        <f t="shared" si="32"/>
        <v/>
      </c>
      <c r="AB187" s="104">
        <f t="shared" si="33"/>
        <v>1</v>
      </c>
    </row>
    <row r="188" spans="1:28" x14ac:dyDescent="0.25">
      <c r="A188" s="55" t="s">
        <v>4743</v>
      </c>
      <c r="B188" s="57"/>
      <c r="C188" s="57"/>
      <c r="D188" s="57"/>
      <c r="E188" s="57"/>
      <c r="F188" s="57">
        <v>1</v>
      </c>
      <c r="G188" s="57"/>
      <c r="H188" s="57"/>
      <c r="I188" s="57"/>
      <c r="J188" s="57"/>
      <c r="K188" s="57"/>
      <c r="L188" s="57"/>
      <c r="M188" s="57"/>
      <c r="Q188">
        <f t="shared" si="24"/>
        <v>0</v>
      </c>
      <c r="R188">
        <f t="shared" si="25"/>
        <v>0</v>
      </c>
      <c r="S188">
        <f t="shared" si="26"/>
        <v>0</v>
      </c>
      <c r="T188">
        <f t="shared" si="27"/>
        <v>1</v>
      </c>
      <c r="U188">
        <f t="shared" si="28"/>
        <v>0</v>
      </c>
      <c r="V188">
        <f t="shared" si="29"/>
        <v>0</v>
      </c>
      <c r="Y188" t="str">
        <f t="shared" si="30"/>
        <v>Greece</v>
      </c>
      <c r="Z188" s="104" t="str">
        <f t="shared" si="31"/>
        <v/>
      </c>
      <c r="AA188" s="104">
        <f t="shared" si="32"/>
        <v>1</v>
      </c>
      <c r="AB188" s="104" t="str">
        <f t="shared" si="33"/>
        <v/>
      </c>
    </row>
    <row r="189" spans="1:28" x14ac:dyDescent="0.25">
      <c r="A189" s="55" t="s">
        <v>6024</v>
      </c>
      <c r="B189" s="57">
        <v>1</v>
      </c>
      <c r="C189" s="57"/>
      <c r="D189" s="57"/>
      <c r="E189" s="57">
        <v>3</v>
      </c>
      <c r="F189" s="57">
        <v>3</v>
      </c>
      <c r="G189" s="57"/>
      <c r="H189" s="57"/>
      <c r="I189" s="57"/>
      <c r="J189" s="57"/>
      <c r="K189" s="57"/>
      <c r="L189" s="57"/>
      <c r="M189" s="57"/>
      <c r="Q189">
        <f t="shared" si="24"/>
        <v>1</v>
      </c>
      <c r="R189">
        <f t="shared" si="25"/>
        <v>0</v>
      </c>
      <c r="S189">
        <f t="shared" si="26"/>
        <v>3</v>
      </c>
      <c r="T189">
        <f t="shared" si="27"/>
        <v>3</v>
      </c>
      <c r="U189">
        <f t="shared" si="28"/>
        <v>0</v>
      </c>
      <c r="V189">
        <f t="shared" si="29"/>
        <v>0</v>
      </c>
      <c r="Y189" t="str">
        <f t="shared" si="30"/>
        <v>Iraq</v>
      </c>
      <c r="Z189" s="104">
        <f t="shared" si="31"/>
        <v>0</v>
      </c>
      <c r="AA189" s="104">
        <f t="shared" si="32"/>
        <v>0.5</v>
      </c>
      <c r="AB189" s="104" t="str">
        <f t="shared" si="33"/>
        <v/>
      </c>
    </row>
    <row r="190" spans="1:28" x14ac:dyDescent="0.25">
      <c r="A190" s="55" t="s">
        <v>6105</v>
      </c>
      <c r="B190" s="57"/>
      <c r="C190" s="57"/>
      <c r="D190" s="57"/>
      <c r="E190" s="57">
        <v>3</v>
      </c>
      <c r="F190" s="57">
        <v>11</v>
      </c>
      <c r="G190" s="57"/>
      <c r="H190" s="57">
        <v>3</v>
      </c>
      <c r="I190" s="57">
        <v>3</v>
      </c>
      <c r="J190" s="57"/>
      <c r="K190" s="57"/>
      <c r="L190" s="57"/>
      <c r="M190" s="57"/>
      <c r="Q190">
        <f t="shared" si="24"/>
        <v>0</v>
      </c>
      <c r="R190">
        <f t="shared" si="25"/>
        <v>0</v>
      </c>
      <c r="S190">
        <f t="shared" si="26"/>
        <v>3</v>
      </c>
      <c r="T190">
        <f t="shared" si="27"/>
        <v>11</v>
      </c>
      <c r="U190">
        <f t="shared" si="28"/>
        <v>3</v>
      </c>
      <c r="V190">
        <f t="shared" si="29"/>
        <v>3</v>
      </c>
      <c r="Y190" t="str">
        <f t="shared" si="30"/>
        <v>Jordan</v>
      </c>
      <c r="Z190" s="104" t="str">
        <f t="shared" si="31"/>
        <v/>
      </c>
      <c r="AA190" s="104">
        <f t="shared" si="32"/>
        <v>0.7857142857142857</v>
      </c>
      <c r="AB190" s="104">
        <f t="shared" si="33"/>
        <v>0.5</v>
      </c>
    </row>
    <row r="191" spans="1:28" x14ac:dyDescent="0.25">
      <c r="A191" s="55" t="s">
        <v>6805</v>
      </c>
      <c r="B191" s="57"/>
      <c r="C191" s="57"/>
      <c r="D191" s="57"/>
      <c r="E191" s="57"/>
      <c r="F191" s="57">
        <v>2</v>
      </c>
      <c r="G191" s="57"/>
      <c r="H191" s="57"/>
      <c r="I191" s="57">
        <v>1</v>
      </c>
      <c r="J191" s="57"/>
      <c r="K191" s="57"/>
      <c r="L191" s="57"/>
      <c r="M191" s="57"/>
      <c r="Q191">
        <f t="shared" si="24"/>
        <v>0</v>
      </c>
      <c r="R191">
        <f t="shared" si="25"/>
        <v>0</v>
      </c>
      <c r="S191">
        <f t="shared" si="26"/>
        <v>0</v>
      </c>
      <c r="T191">
        <f t="shared" si="27"/>
        <v>2</v>
      </c>
      <c r="U191">
        <f t="shared" si="28"/>
        <v>0</v>
      </c>
      <c r="V191">
        <f t="shared" si="29"/>
        <v>1</v>
      </c>
      <c r="Y191" t="str">
        <f t="shared" si="30"/>
        <v>Kosovo</v>
      </c>
      <c r="Z191" s="104" t="str">
        <f t="shared" si="31"/>
        <v/>
      </c>
      <c r="AA191" s="104">
        <f t="shared" si="32"/>
        <v>1</v>
      </c>
      <c r="AB191" s="104">
        <f t="shared" si="33"/>
        <v>1</v>
      </c>
    </row>
    <row r="192" spans="1:28" x14ac:dyDescent="0.25">
      <c r="A192" s="55" t="s">
        <v>7083</v>
      </c>
      <c r="B192" s="57"/>
      <c r="C192" s="57"/>
      <c r="D192" s="57"/>
      <c r="E192" s="57"/>
      <c r="F192" s="57">
        <v>6</v>
      </c>
      <c r="G192" s="57"/>
      <c r="H192" s="57"/>
      <c r="I192" s="57"/>
      <c r="J192" s="57"/>
      <c r="K192" s="57"/>
      <c r="L192" s="57"/>
      <c r="M192" s="57"/>
      <c r="Q192">
        <f t="shared" si="24"/>
        <v>0</v>
      </c>
      <c r="R192">
        <f t="shared" si="25"/>
        <v>0</v>
      </c>
      <c r="S192">
        <f t="shared" si="26"/>
        <v>0</v>
      </c>
      <c r="T192">
        <f t="shared" si="27"/>
        <v>6</v>
      </c>
      <c r="U192">
        <f t="shared" si="28"/>
        <v>0</v>
      </c>
      <c r="V192">
        <f t="shared" si="29"/>
        <v>0</v>
      </c>
      <c r="Y192" t="str">
        <f t="shared" si="30"/>
        <v>Lebanon</v>
      </c>
      <c r="Z192" s="104" t="str">
        <f t="shared" si="31"/>
        <v/>
      </c>
      <c r="AA192" s="104">
        <f t="shared" si="32"/>
        <v>1</v>
      </c>
      <c r="AB192" s="104" t="str">
        <f t="shared" si="33"/>
        <v/>
      </c>
    </row>
    <row r="193" spans="1:28" x14ac:dyDescent="0.25">
      <c r="A193" s="55" t="s">
        <v>7194</v>
      </c>
      <c r="B193" s="57"/>
      <c r="C193" s="57"/>
      <c r="D193" s="57"/>
      <c r="E193" s="57"/>
      <c r="F193" s="57"/>
      <c r="G193" s="57"/>
      <c r="H193" s="57"/>
      <c r="I193" s="57">
        <v>1</v>
      </c>
      <c r="J193" s="57"/>
      <c r="K193" s="57"/>
      <c r="L193" s="57"/>
      <c r="M193" s="57"/>
      <c r="Q193">
        <f t="shared" si="24"/>
        <v>0</v>
      </c>
      <c r="R193">
        <f t="shared" si="25"/>
        <v>0</v>
      </c>
      <c r="S193">
        <f t="shared" si="26"/>
        <v>0</v>
      </c>
      <c r="T193">
        <f t="shared" si="27"/>
        <v>0</v>
      </c>
      <c r="U193">
        <f t="shared" si="28"/>
        <v>0</v>
      </c>
      <c r="V193">
        <f t="shared" si="29"/>
        <v>1</v>
      </c>
      <c r="Y193" t="str">
        <f t="shared" si="30"/>
        <v>Macedonia</v>
      </c>
      <c r="Z193" s="104" t="str">
        <f t="shared" si="31"/>
        <v/>
      </c>
      <c r="AA193" s="104" t="str">
        <f t="shared" si="32"/>
        <v/>
      </c>
      <c r="AB193" s="104">
        <f t="shared" si="33"/>
        <v>1</v>
      </c>
    </row>
    <row r="194" spans="1:28" x14ac:dyDescent="0.25">
      <c r="A194" s="55" t="s">
        <v>8140</v>
      </c>
      <c r="B194" s="57"/>
      <c r="C194" s="57"/>
      <c r="D194" s="57"/>
      <c r="E194" s="57"/>
      <c r="F194" s="57">
        <v>3</v>
      </c>
      <c r="G194" s="57"/>
      <c r="H194" s="57"/>
      <c r="I194" s="57"/>
      <c r="J194" s="57"/>
      <c r="K194" s="57"/>
      <c r="L194" s="57"/>
      <c r="M194" s="57"/>
      <c r="Q194">
        <f t="shared" si="24"/>
        <v>0</v>
      </c>
      <c r="R194">
        <f t="shared" si="25"/>
        <v>0</v>
      </c>
      <c r="S194">
        <f t="shared" si="26"/>
        <v>0</v>
      </c>
      <c r="T194">
        <f t="shared" si="27"/>
        <v>3</v>
      </c>
      <c r="U194">
        <f t="shared" si="28"/>
        <v>0</v>
      </c>
      <c r="V194">
        <f t="shared" si="29"/>
        <v>0</v>
      </c>
      <c r="Y194" t="str">
        <f t="shared" si="30"/>
        <v>Montenegro</v>
      </c>
      <c r="Z194" s="104" t="str">
        <f t="shared" si="31"/>
        <v/>
      </c>
      <c r="AA194" s="104">
        <f t="shared" si="32"/>
        <v>1</v>
      </c>
      <c r="AB194" s="104" t="str">
        <f t="shared" si="33"/>
        <v/>
      </c>
    </row>
    <row r="195" spans="1:28" x14ac:dyDescent="0.25">
      <c r="A195" s="55" t="s">
        <v>8180</v>
      </c>
      <c r="B195" s="57"/>
      <c r="C195" s="57"/>
      <c r="D195" s="57"/>
      <c r="E195" s="57">
        <v>2</v>
      </c>
      <c r="F195" s="57">
        <v>3</v>
      </c>
      <c r="G195" s="57"/>
      <c r="H195" s="57"/>
      <c r="I195" s="57"/>
      <c r="J195" s="57"/>
      <c r="K195" s="57"/>
      <c r="L195" s="57"/>
      <c r="M195" s="57"/>
      <c r="Q195">
        <f t="shared" si="24"/>
        <v>0</v>
      </c>
      <c r="R195">
        <f t="shared" si="25"/>
        <v>0</v>
      </c>
      <c r="S195">
        <f t="shared" si="26"/>
        <v>2</v>
      </c>
      <c r="T195">
        <f t="shared" si="27"/>
        <v>3</v>
      </c>
      <c r="U195">
        <f t="shared" si="28"/>
        <v>0</v>
      </c>
      <c r="V195">
        <f t="shared" si="29"/>
        <v>0</v>
      </c>
      <c r="Y195" t="str">
        <f t="shared" si="30"/>
        <v>Morocco</v>
      </c>
      <c r="Z195" s="104" t="str">
        <f t="shared" si="31"/>
        <v/>
      </c>
      <c r="AA195" s="104">
        <f t="shared" si="32"/>
        <v>0.6</v>
      </c>
      <c r="AB195" s="104" t="str">
        <f t="shared" si="33"/>
        <v/>
      </c>
    </row>
    <row r="196" spans="1:28" x14ac:dyDescent="0.25">
      <c r="A196" s="55" t="s">
        <v>9020</v>
      </c>
      <c r="B196" s="57"/>
      <c r="C196" s="57"/>
      <c r="D196" s="57"/>
      <c r="E196" s="57"/>
      <c r="F196" s="57"/>
      <c r="G196" s="57"/>
      <c r="H196" s="57"/>
      <c r="I196" s="57"/>
      <c r="J196" s="57"/>
      <c r="K196" s="57"/>
      <c r="L196" s="57"/>
      <c r="M196" s="57"/>
      <c r="Q196">
        <f t="shared" si="24"/>
        <v>0</v>
      </c>
      <c r="R196">
        <f t="shared" si="25"/>
        <v>0</v>
      </c>
      <c r="S196">
        <f t="shared" si="26"/>
        <v>0</v>
      </c>
      <c r="T196">
        <f t="shared" si="27"/>
        <v>0</v>
      </c>
      <c r="U196">
        <f t="shared" si="28"/>
        <v>0</v>
      </c>
      <c r="V196">
        <f t="shared" si="29"/>
        <v>0</v>
      </c>
      <c r="Y196" t="str">
        <f t="shared" si="30"/>
        <v>Netherlands</v>
      </c>
      <c r="Z196" s="104" t="str">
        <f t="shared" si="31"/>
        <v/>
      </c>
      <c r="AA196" s="104" t="str">
        <f t="shared" si="32"/>
        <v/>
      </c>
      <c r="AB196" s="104" t="str">
        <f t="shared" si="33"/>
        <v/>
      </c>
    </row>
    <row r="197" spans="1:28" x14ac:dyDescent="0.25">
      <c r="A197" s="55" t="s">
        <v>9409</v>
      </c>
      <c r="B197" s="57"/>
      <c r="C197" s="57"/>
      <c r="D197" s="57"/>
      <c r="E197" s="57"/>
      <c r="F197" s="57"/>
      <c r="G197" s="57"/>
      <c r="H197" s="57"/>
      <c r="I197" s="57">
        <v>1</v>
      </c>
      <c r="J197" s="57"/>
      <c r="K197" s="57"/>
      <c r="L197" s="57"/>
      <c r="M197" s="57"/>
      <c r="Q197">
        <f t="shared" si="24"/>
        <v>0</v>
      </c>
      <c r="R197">
        <f t="shared" si="25"/>
        <v>0</v>
      </c>
      <c r="S197">
        <f t="shared" si="26"/>
        <v>0</v>
      </c>
      <c r="T197">
        <f t="shared" si="27"/>
        <v>0</v>
      </c>
      <c r="U197">
        <f t="shared" si="28"/>
        <v>0</v>
      </c>
      <c r="V197">
        <f t="shared" si="29"/>
        <v>1</v>
      </c>
      <c r="Y197" t="str">
        <f t="shared" si="30"/>
        <v>Norway</v>
      </c>
      <c r="Z197" s="104" t="str">
        <f t="shared" si="31"/>
        <v/>
      </c>
      <c r="AA197" s="104" t="str">
        <f t="shared" si="32"/>
        <v/>
      </c>
      <c r="AB197" s="104">
        <f t="shared" si="33"/>
        <v>1</v>
      </c>
    </row>
    <row r="198" spans="1:28" x14ac:dyDescent="0.25">
      <c r="A198" s="55" t="s">
        <v>10350</v>
      </c>
      <c r="B198" s="57"/>
      <c r="C198" s="57"/>
      <c r="D198" s="57"/>
      <c r="E198" s="57"/>
      <c r="F198" s="57"/>
      <c r="G198" s="57"/>
      <c r="H198" s="57"/>
      <c r="I198" s="57"/>
      <c r="J198" s="57"/>
      <c r="K198" s="57"/>
      <c r="L198" s="57"/>
      <c r="M198" s="57"/>
      <c r="Q198">
        <f t="shared" si="24"/>
        <v>0</v>
      </c>
      <c r="R198">
        <f t="shared" si="25"/>
        <v>0</v>
      </c>
      <c r="S198">
        <f t="shared" si="26"/>
        <v>0</v>
      </c>
      <c r="T198">
        <f t="shared" si="27"/>
        <v>0</v>
      </c>
      <c r="U198">
        <f t="shared" si="28"/>
        <v>0</v>
      </c>
      <c r="V198">
        <f t="shared" si="29"/>
        <v>0</v>
      </c>
      <c r="Y198" t="str">
        <f t="shared" si="30"/>
        <v>Romania</v>
      </c>
      <c r="Z198" s="104" t="str">
        <f t="shared" si="31"/>
        <v/>
      </c>
      <c r="AA198" s="104" t="str">
        <f t="shared" si="32"/>
        <v/>
      </c>
      <c r="AB198" s="104" t="str">
        <f t="shared" si="33"/>
        <v/>
      </c>
    </row>
    <row r="199" spans="1:28" x14ac:dyDescent="0.25">
      <c r="A199" s="55" t="s">
        <v>10558</v>
      </c>
      <c r="B199" s="57"/>
      <c r="C199" s="57"/>
      <c r="D199" s="57"/>
      <c r="E199" s="57"/>
      <c r="F199" s="57">
        <v>6</v>
      </c>
      <c r="G199" s="57"/>
      <c r="H199" s="57"/>
      <c r="I199" s="57">
        <v>1</v>
      </c>
      <c r="J199" s="57"/>
      <c r="K199" s="57"/>
      <c r="L199" s="57"/>
      <c r="M199" s="57"/>
      <c r="Q199">
        <f t="shared" si="24"/>
        <v>0</v>
      </c>
      <c r="R199">
        <f t="shared" si="25"/>
        <v>0</v>
      </c>
      <c r="S199">
        <f t="shared" si="26"/>
        <v>0</v>
      </c>
      <c r="T199">
        <f t="shared" si="27"/>
        <v>6</v>
      </c>
      <c r="U199">
        <f t="shared" si="28"/>
        <v>0</v>
      </c>
      <c r="V199">
        <f t="shared" si="29"/>
        <v>1</v>
      </c>
      <c r="Y199" t="str">
        <f t="shared" si="30"/>
        <v>Serbia</v>
      </c>
      <c r="Z199" s="104" t="str">
        <f t="shared" si="31"/>
        <v/>
      </c>
      <c r="AA199" s="104">
        <f t="shared" si="32"/>
        <v>1</v>
      </c>
      <c r="AB199" s="104">
        <f t="shared" si="33"/>
        <v>1</v>
      </c>
    </row>
    <row r="200" spans="1:28" x14ac:dyDescent="0.25">
      <c r="A200" s="55" t="s">
        <v>11664</v>
      </c>
      <c r="B200" s="57"/>
      <c r="C200" s="57"/>
      <c r="D200" s="57"/>
      <c r="E200" s="57"/>
      <c r="F200" s="57"/>
      <c r="G200" s="57"/>
      <c r="H200" s="57"/>
      <c r="I200" s="57"/>
      <c r="J200" s="57"/>
      <c r="K200" s="57"/>
      <c r="L200" s="57"/>
      <c r="M200" s="57"/>
      <c r="Q200">
        <f t="shared" si="24"/>
        <v>0</v>
      </c>
      <c r="R200">
        <f t="shared" si="25"/>
        <v>0</v>
      </c>
      <c r="S200">
        <f t="shared" si="26"/>
        <v>0</v>
      </c>
      <c r="T200">
        <f t="shared" si="27"/>
        <v>0</v>
      </c>
      <c r="U200">
        <f t="shared" si="28"/>
        <v>0</v>
      </c>
      <c r="V200">
        <f t="shared" si="29"/>
        <v>0</v>
      </c>
      <c r="Y200" t="str">
        <f t="shared" si="30"/>
        <v>Switzerland</v>
      </c>
      <c r="Z200" s="104" t="str">
        <f t="shared" si="31"/>
        <v/>
      </c>
      <c r="AA200" s="104" t="str">
        <f t="shared" si="32"/>
        <v/>
      </c>
      <c r="AB200" s="104" t="str">
        <f t="shared" si="33"/>
        <v/>
      </c>
    </row>
    <row r="201" spans="1:28" x14ac:dyDescent="0.25">
      <c r="A201" s="55" t="s">
        <v>11693</v>
      </c>
      <c r="B201" s="57">
        <v>1</v>
      </c>
      <c r="C201" s="57"/>
      <c r="D201" s="57"/>
      <c r="E201" s="57"/>
      <c r="F201" s="57">
        <v>7</v>
      </c>
      <c r="G201" s="57"/>
      <c r="H201" s="57"/>
      <c r="I201" s="57"/>
      <c r="J201" s="57"/>
      <c r="K201" s="57">
        <v>3</v>
      </c>
      <c r="L201" s="57"/>
      <c r="M201" s="57"/>
      <c r="Q201">
        <f t="shared" si="24"/>
        <v>1</v>
      </c>
      <c r="R201">
        <f t="shared" si="25"/>
        <v>0</v>
      </c>
      <c r="S201">
        <f t="shared" si="26"/>
        <v>0</v>
      </c>
      <c r="T201">
        <f t="shared" si="27"/>
        <v>7</v>
      </c>
      <c r="U201">
        <f t="shared" si="28"/>
        <v>0</v>
      </c>
      <c r="V201">
        <f t="shared" si="29"/>
        <v>0</v>
      </c>
      <c r="Y201" t="str">
        <f t="shared" si="30"/>
        <v>Syria</v>
      </c>
      <c r="Z201" s="104">
        <f t="shared" si="31"/>
        <v>0</v>
      </c>
      <c r="AA201" s="104">
        <f t="shared" si="32"/>
        <v>1</v>
      </c>
      <c r="AB201" s="104" t="str">
        <f t="shared" si="33"/>
        <v/>
      </c>
    </row>
    <row r="202" spans="1:28" x14ac:dyDescent="0.25">
      <c r="A202" s="55" t="s">
        <v>12654</v>
      </c>
      <c r="B202" s="57"/>
      <c r="C202" s="57"/>
      <c r="D202" s="57"/>
      <c r="E202" s="57"/>
      <c r="F202" s="57"/>
      <c r="G202" s="57"/>
      <c r="H202" s="57"/>
      <c r="I202" s="57"/>
      <c r="J202" s="57"/>
      <c r="K202" s="57"/>
      <c r="L202" s="57"/>
      <c r="M202" s="57"/>
      <c r="Q202">
        <f t="shared" si="24"/>
        <v>0</v>
      </c>
      <c r="R202">
        <f t="shared" si="25"/>
        <v>0</v>
      </c>
      <c r="S202">
        <f t="shared" si="26"/>
        <v>0</v>
      </c>
      <c r="T202">
        <f t="shared" si="27"/>
        <v>0</v>
      </c>
      <c r="U202">
        <f t="shared" si="28"/>
        <v>0</v>
      </c>
      <c r="V202">
        <f t="shared" si="29"/>
        <v>0</v>
      </c>
      <c r="Y202" t="str">
        <f t="shared" si="30"/>
        <v>Turkey</v>
      </c>
      <c r="Z202" s="104" t="str">
        <f t="shared" si="31"/>
        <v/>
      </c>
      <c r="AA202" s="104" t="str">
        <f t="shared" si="32"/>
        <v/>
      </c>
      <c r="AB202" s="104" t="str">
        <f t="shared" si="33"/>
        <v/>
      </c>
    </row>
    <row r="203" spans="1:28" x14ac:dyDescent="0.25">
      <c r="A203" s="55" t="s">
        <v>12907</v>
      </c>
      <c r="B203" s="57"/>
      <c r="C203" s="57"/>
      <c r="D203" s="57"/>
      <c r="E203" s="57"/>
      <c r="F203" s="57">
        <v>1</v>
      </c>
      <c r="G203" s="57"/>
      <c r="H203" s="57"/>
      <c r="I203" s="57"/>
      <c r="J203" s="57"/>
      <c r="K203" s="57"/>
      <c r="L203" s="57"/>
      <c r="M203" s="57"/>
      <c r="Q203">
        <f t="shared" si="24"/>
        <v>0</v>
      </c>
      <c r="R203">
        <f t="shared" si="25"/>
        <v>0</v>
      </c>
      <c r="S203">
        <f t="shared" si="26"/>
        <v>0</v>
      </c>
      <c r="T203">
        <f t="shared" si="27"/>
        <v>1</v>
      </c>
      <c r="U203">
        <f t="shared" si="28"/>
        <v>0</v>
      </c>
      <c r="V203">
        <f t="shared" si="29"/>
        <v>0</v>
      </c>
      <c r="Y203" t="str">
        <f t="shared" si="30"/>
        <v>United Kingdom</v>
      </c>
      <c r="Z203" s="104" t="str">
        <f t="shared" si="31"/>
        <v/>
      </c>
      <c r="AA203" s="104">
        <f t="shared" si="32"/>
        <v>1</v>
      </c>
      <c r="AB203" s="104" t="str">
        <f t="shared" si="33"/>
        <v/>
      </c>
    </row>
    <row r="204" spans="1:28" x14ac:dyDescent="0.25">
      <c r="A204" s="55" t="s">
        <v>13710</v>
      </c>
      <c r="B204" s="57"/>
      <c r="C204" s="57"/>
      <c r="D204" s="57"/>
      <c r="E204" s="57"/>
      <c r="F204" s="57">
        <v>5</v>
      </c>
      <c r="G204" s="57"/>
      <c r="H204" s="57"/>
      <c r="I204" s="57">
        <v>2</v>
      </c>
      <c r="J204" s="57"/>
      <c r="K204" s="57"/>
      <c r="L204" s="57"/>
      <c r="M204" s="57"/>
      <c r="Q204">
        <f t="shared" si="24"/>
        <v>0</v>
      </c>
      <c r="R204">
        <f t="shared" si="25"/>
        <v>0</v>
      </c>
      <c r="S204">
        <f t="shared" si="26"/>
        <v>0</v>
      </c>
      <c r="T204">
        <f t="shared" si="27"/>
        <v>5</v>
      </c>
      <c r="U204">
        <f t="shared" si="28"/>
        <v>0</v>
      </c>
      <c r="V204">
        <f t="shared" si="29"/>
        <v>2</v>
      </c>
      <c r="Y204" t="str">
        <f t="shared" si="30"/>
        <v>West Bank and Gaza</v>
      </c>
      <c r="Z204" s="104" t="str">
        <f t="shared" si="31"/>
        <v/>
      </c>
      <c r="AA204" s="104">
        <f t="shared" si="32"/>
        <v>1</v>
      </c>
      <c r="AB204" s="104">
        <f t="shared" si="33"/>
        <v>1</v>
      </c>
    </row>
    <row r="205" spans="1:28" x14ac:dyDescent="0.25">
      <c r="A205" s="55" t="s">
        <v>13783</v>
      </c>
      <c r="B205" s="57">
        <v>2</v>
      </c>
      <c r="C205" s="57">
        <v>15</v>
      </c>
      <c r="D205" s="57"/>
      <c r="E205" s="57"/>
      <c r="F205" s="57"/>
      <c r="G205" s="57"/>
      <c r="H205" s="57"/>
      <c r="I205" s="57"/>
      <c r="J205" s="57"/>
      <c r="K205" s="57"/>
      <c r="L205" s="57"/>
      <c r="M205" s="57"/>
      <c r="Q205">
        <f t="shared" si="24"/>
        <v>2</v>
      </c>
      <c r="R205">
        <f t="shared" si="25"/>
        <v>15</v>
      </c>
      <c r="S205">
        <f t="shared" si="26"/>
        <v>0</v>
      </c>
      <c r="T205">
        <f t="shared" si="27"/>
        <v>0</v>
      </c>
      <c r="U205">
        <f t="shared" si="28"/>
        <v>0</v>
      </c>
      <c r="V205">
        <f t="shared" si="29"/>
        <v>0</v>
      </c>
      <c r="Y205" t="str">
        <f t="shared" si="30"/>
        <v>Yemen</v>
      </c>
      <c r="Z205" s="104">
        <f t="shared" si="31"/>
        <v>0.88235294117647056</v>
      </c>
      <c r="AA205" s="104" t="str">
        <f t="shared" si="32"/>
        <v/>
      </c>
      <c r="AB205" s="104" t="str">
        <f t="shared" si="33"/>
        <v/>
      </c>
    </row>
    <row r="206" spans="1:28" x14ac:dyDescent="0.25">
      <c r="A206" s="50" t="s">
        <v>14281</v>
      </c>
      <c r="B206" s="57">
        <v>4</v>
      </c>
      <c r="C206" s="57">
        <v>15</v>
      </c>
      <c r="D206" s="57"/>
      <c r="E206" s="57">
        <v>9</v>
      </c>
      <c r="F206" s="57">
        <v>68</v>
      </c>
      <c r="G206" s="57"/>
      <c r="H206" s="57">
        <v>3</v>
      </c>
      <c r="I206" s="57">
        <v>25</v>
      </c>
      <c r="J206" s="57"/>
      <c r="K206" s="57">
        <v>3</v>
      </c>
      <c r="L206" s="57"/>
      <c r="M206" s="57"/>
      <c r="Q206">
        <f t="shared" si="24"/>
        <v>4</v>
      </c>
      <c r="R206">
        <f t="shared" si="25"/>
        <v>15</v>
      </c>
      <c r="S206">
        <f t="shared" si="26"/>
        <v>9</v>
      </c>
      <c r="T206">
        <f t="shared" si="27"/>
        <v>68</v>
      </c>
      <c r="U206">
        <f t="shared" si="28"/>
        <v>3</v>
      </c>
      <c r="V206">
        <f t="shared" si="29"/>
        <v>25</v>
      </c>
      <c r="Y206" t="str">
        <f t="shared" si="30"/>
        <v>Middle East, North Africa and Europe Total</v>
      </c>
      <c r="Z206" s="104">
        <f t="shared" si="31"/>
        <v>0.78947368421052633</v>
      </c>
      <c r="AA206" s="104">
        <f t="shared" si="32"/>
        <v>0.88311688311688308</v>
      </c>
      <c r="AB206" s="104">
        <f t="shared" si="33"/>
        <v>0.8928571428571429</v>
      </c>
    </row>
    <row r="207" spans="1:28" x14ac:dyDescent="0.25">
      <c r="A207" s="50" t="s">
        <v>12970</v>
      </c>
      <c r="B207" s="57"/>
      <c r="C207" s="57"/>
      <c r="D207" s="57"/>
      <c r="E207" s="57"/>
      <c r="F207" s="57"/>
      <c r="G207" s="57"/>
      <c r="H207" s="57"/>
      <c r="I207" s="57"/>
      <c r="J207" s="57"/>
      <c r="K207" s="57"/>
      <c r="L207" s="57"/>
      <c r="M207" s="57"/>
      <c r="Q207">
        <f t="shared" si="24"/>
        <v>0</v>
      </c>
      <c r="R207">
        <f t="shared" si="25"/>
        <v>0</v>
      </c>
      <c r="S207">
        <f t="shared" si="26"/>
        <v>0</v>
      </c>
      <c r="T207">
        <f t="shared" si="27"/>
        <v>0</v>
      </c>
      <c r="U207">
        <f t="shared" si="28"/>
        <v>0</v>
      </c>
      <c r="V207">
        <f t="shared" si="29"/>
        <v>0</v>
      </c>
      <c r="Y207" t="str">
        <f t="shared" si="30"/>
        <v>North America</v>
      </c>
      <c r="Z207" s="104" t="str">
        <f t="shared" si="31"/>
        <v/>
      </c>
      <c r="AA207" s="104" t="str">
        <f t="shared" si="32"/>
        <v/>
      </c>
      <c r="AB207" s="104" t="str">
        <f t="shared" si="33"/>
        <v/>
      </c>
    </row>
    <row r="208" spans="1:28" x14ac:dyDescent="0.25">
      <c r="A208" s="55" t="s">
        <v>12969</v>
      </c>
      <c r="B208" s="57"/>
      <c r="C208" s="57"/>
      <c r="D208" s="57"/>
      <c r="E208" s="57"/>
      <c r="F208" s="57"/>
      <c r="G208" s="57"/>
      <c r="H208" s="57"/>
      <c r="I208" s="57"/>
      <c r="J208" s="57"/>
      <c r="K208" s="57"/>
      <c r="L208" s="57"/>
      <c r="M208" s="57"/>
      <c r="Q208">
        <f t="shared" si="24"/>
        <v>0</v>
      </c>
      <c r="R208">
        <f t="shared" si="25"/>
        <v>0</v>
      </c>
      <c r="S208">
        <f t="shared" si="26"/>
        <v>0</v>
      </c>
      <c r="T208">
        <f t="shared" si="27"/>
        <v>0</v>
      </c>
      <c r="U208">
        <f t="shared" si="28"/>
        <v>0</v>
      </c>
      <c r="V208">
        <f t="shared" si="29"/>
        <v>0</v>
      </c>
      <c r="Y208" t="str">
        <f t="shared" si="30"/>
        <v>United States of America</v>
      </c>
      <c r="Z208" s="104" t="str">
        <f t="shared" si="31"/>
        <v/>
      </c>
      <c r="AA208" s="104" t="str">
        <f t="shared" si="32"/>
        <v/>
      </c>
      <c r="AB208" s="104" t="str">
        <f t="shared" si="33"/>
        <v/>
      </c>
    </row>
    <row r="209" spans="1:37" x14ac:dyDescent="0.25">
      <c r="A209" s="50" t="s">
        <v>14282</v>
      </c>
      <c r="B209" s="57"/>
      <c r="C209" s="57"/>
      <c r="D209" s="57"/>
      <c r="E209" s="57"/>
      <c r="F209" s="57"/>
      <c r="G209" s="57"/>
      <c r="H209" s="57"/>
      <c r="I209" s="57"/>
      <c r="J209" s="57"/>
      <c r="K209" s="57"/>
      <c r="L209" s="57"/>
      <c r="M209" s="57"/>
      <c r="Q209">
        <f t="shared" si="24"/>
        <v>0</v>
      </c>
      <c r="R209">
        <f t="shared" si="25"/>
        <v>0</v>
      </c>
      <c r="S209">
        <f t="shared" si="26"/>
        <v>0</v>
      </c>
      <c r="T209">
        <f t="shared" si="27"/>
        <v>0</v>
      </c>
      <c r="U209">
        <f t="shared" si="28"/>
        <v>0</v>
      </c>
      <c r="V209">
        <f t="shared" si="29"/>
        <v>0</v>
      </c>
      <c r="Y209" t="str">
        <f t="shared" si="30"/>
        <v>North America Total</v>
      </c>
      <c r="Z209" s="104" t="str">
        <f t="shared" si="31"/>
        <v/>
      </c>
      <c r="AA209" s="104" t="str">
        <f t="shared" si="32"/>
        <v/>
      </c>
      <c r="AB209" s="104" t="str">
        <f t="shared" si="33"/>
        <v/>
      </c>
    </row>
    <row r="210" spans="1:37" x14ac:dyDescent="0.25">
      <c r="A210" s="50" t="s">
        <v>14272</v>
      </c>
      <c r="B210" s="57">
        <v>15</v>
      </c>
      <c r="C210" s="57">
        <v>30</v>
      </c>
      <c r="D210" s="57"/>
      <c r="E210" s="57">
        <v>63</v>
      </c>
      <c r="F210" s="57">
        <v>541</v>
      </c>
      <c r="G210" s="57"/>
      <c r="H210" s="57">
        <v>16</v>
      </c>
      <c r="I210" s="57">
        <v>130</v>
      </c>
      <c r="J210" s="57"/>
      <c r="K210" s="57">
        <v>5</v>
      </c>
      <c r="L210" s="57">
        <v>1</v>
      </c>
      <c r="M210" s="57"/>
      <c r="Q210">
        <f t="shared" si="24"/>
        <v>15</v>
      </c>
      <c r="R210">
        <f t="shared" si="25"/>
        <v>30</v>
      </c>
      <c r="S210">
        <f t="shared" si="26"/>
        <v>63</v>
      </c>
      <c r="T210">
        <f t="shared" si="27"/>
        <v>541</v>
      </c>
      <c r="U210">
        <f t="shared" si="28"/>
        <v>16</v>
      </c>
      <c r="V210">
        <f t="shared" si="29"/>
        <v>130</v>
      </c>
      <c r="Y210" t="str">
        <f t="shared" si="30"/>
        <v>Grand Total</v>
      </c>
      <c r="Z210" s="104">
        <f t="shared" si="31"/>
        <v>0.66666666666666663</v>
      </c>
      <c r="AA210" s="104">
        <f t="shared" si="32"/>
        <v>0.89569536423841056</v>
      </c>
      <c r="AB210" s="104">
        <f t="shared" si="33"/>
        <v>0.8904109589041096</v>
      </c>
    </row>
    <row r="211" spans="1:37" x14ac:dyDescent="0.25">
      <c r="Q211">
        <f t="shared" si="24"/>
        <v>0</v>
      </c>
      <c r="R211">
        <f t="shared" si="25"/>
        <v>0</v>
      </c>
      <c r="S211">
        <f t="shared" si="26"/>
        <v>0</v>
      </c>
      <c r="T211">
        <f t="shared" si="27"/>
        <v>0</v>
      </c>
      <c r="U211">
        <f t="shared" si="28"/>
        <v>0</v>
      </c>
      <c r="V211">
        <f t="shared" si="29"/>
        <v>0</v>
      </c>
      <c r="Y211">
        <f t="shared" si="30"/>
        <v>0</v>
      </c>
      <c r="Z211" s="104" t="str">
        <f t="shared" si="31"/>
        <v/>
      </c>
      <c r="AA211" s="104" t="str">
        <f t="shared" si="32"/>
        <v/>
      </c>
      <c r="AB211" s="104" t="str">
        <f t="shared" si="33"/>
        <v/>
      </c>
    </row>
    <row r="214" spans="1:37" x14ac:dyDescent="0.25">
      <c r="A214" s="49" t="s">
        <v>14548</v>
      </c>
      <c r="B214" s="49" t="s">
        <v>14283</v>
      </c>
    </row>
    <row r="215" spans="1:37" x14ac:dyDescent="0.25">
      <c r="B215" t="s">
        <v>723</v>
      </c>
      <c r="E215" t="s">
        <v>336</v>
      </c>
      <c r="H215" t="s">
        <v>621</v>
      </c>
      <c r="K215" t="s">
        <v>14275</v>
      </c>
      <c r="Q215" s="431" t="str">
        <f>A214</f>
        <v>Count of Governance Marker – Activities</v>
      </c>
      <c r="R215" s="431"/>
      <c r="S215" s="431"/>
      <c r="T215" s="431"/>
      <c r="U215" s="431"/>
      <c r="V215" s="431"/>
      <c r="W215" s="114"/>
      <c r="X215" s="114"/>
      <c r="Z215" s="431"/>
      <c r="AA215" s="431"/>
      <c r="AB215" s="431"/>
    </row>
    <row r="216" spans="1:37" x14ac:dyDescent="0.25">
      <c r="A216" s="49" t="s">
        <v>14283</v>
      </c>
      <c r="B216" t="s">
        <v>319</v>
      </c>
      <c r="C216" t="s">
        <v>320</v>
      </c>
      <c r="D216" t="s">
        <v>14275</v>
      </c>
      <c r="E216" t="s">
        <v>319</v>
      </c>
      <c r="F216" t="s">
        <v>320</v>
      </c>
      <c r="G216" t="s">
        <v>14275</v>
      </c>
      <c r="H216" t="s">
        <v>319</v>
      </c>
      <c r="I216" t="s">
        <v>320</v>
      </c>
      <c r="J216" t="s">
        <v>14275</v>
      </c>
      <c r="K216" t="s">
        <v>319</v>
      </c>
      <c r="L216" t="s">
        <v>320</v>
      </c>
      <c r="M216" t="s">
        <v>14275</v>
      </c>
      <c r="Q216" s="431" t="s">
        <v>14545</v>
      </c>
      <c r="R216" s="431"/>
      <c r="S216" s="431" t="s">
        <v>14546</v>
      </c>
      <c r="T216" s="431"/>
      <c r="U216" s="431" t="s">
        <v>14547</v>
      </c>
      <c r="V216" s="431"/>
      <c r="W216" s="115"/>
      <c r="X216" s="115"/>
      <c r="Y216" s="49"/>
      <c r="Z216" s="49" t="s">
        <v>14541</v>
      </c>
      <c r="AA216" s="49"/>
      <c r="AB216" s="49"/>
      <c r="AC216" s="49"/>
      <c r="AD216" s="49"/>
      <c r="AE216" s="49"/>
      <c r="AF216" s="49"/>
      <c r="AG216" s="49"/>
      <c r="AH216" s="49"/>
      <c r="AI216" s="49"/>
      <c r="AJ216" s="49"/>
      <c r="AK216" s="49"/>
    </row>
    <row r="217" spans="1:37" x14ac:dyDescent="0.25">
      <c r="A217" s="50" t="s">
        <v>1874</v>
      </c>
      <c r="B217" s="57"/>
      <c r="C217" s="57"/>
      <c r="D217" s="57"/>
      <c r="E217" s="57"/>
      <c r="F217" s="57"/>
      <c r="G217" s="57"/>
      <c r="H217" s="57"/>
      <c r="I217" s="57"/>
      <c r="J217" s="57"/>
      <c r="K217" s="57"/>
      <c r="L217" s="57"/>
      <c r="M217" s="57"/>
      <c r="Q217" s="114" t="s">
        <v>7463</v>
      </c>
      <c r="R217" s="114" t="s">
        <v>326</v>
      </c>
      <c r="S217" s="114" t="s">
        <v>7463</v>
      </c>
      <c r="T217" s="114" t="s">
        <v>326</v>
      </c>
      <c r="U217" s="114" t="s">
        <v>7463</v>
      </c>
      <c r="V217" s="114" t="s">
        <v>326</v>
      </c>
      <c r="W217" s="114"/>
      <c r="X217" s="114"/>
      <c r="Z217" s="114" t="str">
        <f>Q216</f>
        <v>Governance blind</v>
      </c>
      <c r="AA217" s="114" t="str">
        <f>S216</f>
        <v>Within existing structures</v>
      </c>
      <c r="AB217" s="114" t="str">
        <f>U216</f>
        <v>Challenged existing structures</v>
      </c>
    </row>
    <row r="218" spans="1:37" x14ac:dyDescent="0.25">
      <c r="A218" s="55" t="s">
        <v>1873</v>
      </c>
      <c r="B218" s="57">
        <v>1</v>
      </c>
      <c r="C218" s="57">
        <v>2</v>
      </c>
      <c r="D218" s="57"/>
      <c r="E218" s="57">
        <v>6</v>
      </c>
      <c r="F218" s="57">
        <v>3</v>
      </c>
      <c r="G218" s="57"/>
      <c r="H218" s="57"/>
      <c r="I218" s="57">
        <v>2</v>
      </c>
      <c r="J218" s="57"/>
      <c r="K218" s="57"/>
      <c r="L218" s="57"/>
      <c r="M218" s="57"/>
      <c r="Q218">
        <f t="shared" ref="Q218:Q249" si="34">B218</f>
        <v>1</v>
      </c>
      <c r="R218">
        <f t="shared" ref="R218:R249" si="35">C218</f>
        <v>2</v>
      </c>
      <c r="S218">
        <f t="shared" ref="S218:S249" si="36">E218</f>
        <v>6</v>
      </c>
      <c r="T218">
        <f t="shared" ref="T218:T249" si="37">F218</f>
        <v>3</v>
      </c>
      <c r="U218">
        <f t="shared" ref="U218:U249" si="38">H218</f>
        <v>0</v>
      </c>
      <c r="V218">
        <f t="shared" ref="V218:V249" si="39">I218</f>
        <v>2</v>
      </c>
      <c r="Y218" t="str">
        <f t="shared" ref="Y218:Y249" si="40">A218</f>
        <v>Burundi</v>
      </c>
      <c r="Z218" s="104">
        <f>IFERROR(R218/(SUM($Q218:$R218)),"")</f>
        <v>0.66666666666666663</v>
      </c>
      <c r="AA218" s="104">
        <f>IFERROR(T218/(SUM($S218:$T218)),"")</f>
        <v>0.33333333333333331</v>
      </c>
      <c r="AB218" s="104">
        <f>IFERROR(V218/(SUM($U218:$V218)),"")</f>
        <v>1</v>
      </c>
    </row>
    <row r="219" spans="1:37" x14ac:dyDescent="0.25">
      <c r="A219" s="55" t="s">
        <v>3868</v>
      </c>
      <c r="B219" s="57"/>
      <c r="C219" s="57"/>
      <c r="D219" s="57"/>
      <c r="E219" s="57">
        <v>2</v>
      </c>
      <c r="F219" s="57">
        <v>25</v>
      </c>
      <c r="G219" s="57"/>
      <c r="H219" s="57"/>
      <c r="I219" s="57">
        <v>1</v>
      </c>
      <c r="J219" s="57"/>
      <c r="K219" s="57"/>
      <c r="L219" s="57"/>
      <c r="M219" s="57"/>
      <c r="Q219">
        <f t="shared" si="34"/>
        <v>0</v>
      </c>
      <c r="R219">
        <f t="shared" si="35"/>
        <v>0</v>
      </c>
      <c r="S219">
        <f t="shared" si="36"/>
        <v>2</v>
      </c>
      <c r="T219">
        <f t="shared" si="37"/>
        <v>25</v>
      </c>
      <c r="U219">
        <f t="shared" si="38"/>
        <v>0</v>
      </c>
      <c r="V219">
        <f t="shared" si="39"/>
        <v>1</v>
      </c>
      <c r="Y219" t="str">
        <f t="shared" si="40"/>
        <v>Ethiopia</v>
      </c>
      <c r="Z219" s="104" t="str">
        <f t="shared" ref="Z219:Z282" si="41">IFERROR(R219/(SUM($Q219:$R219)),"")</f>
        <v/>
      </c>
      <c r="AA219" s="104">
        <f t="shared" ref="AA219:AA282" si="42">IFERROR(T219/(SUM($S219:$T219)),"")</f>
        <v>0.92592592592592593</v>
      </c>
      <c r="AB219" s="104">
        <f t="shared" ref="AB219:AB282" si="43">IFERROR(V219/(SUM($U219:$V219)),"")</f>
        <v>1</v>
      </c>
    </row>
    <row r="220" spans="1:37" x14ac:dyDescent="0.25">
      <c r="A220" s="55" t="s">
        <v>6457</v>
      </c>
      <c r="B220" s="57"/>
      <c r="C220" s="57"/>
      <c r="D220" s="57"/>
      <c r="E220" s="57">
        <v>5</v>
      </c>
      <c r="F220" s="57">
        <v>17</v>
      </c>
      <c r="G220" s="57"/>
      <c r="H220" s="57"/>
      <c r="I220" s="57">
        <v>1</v>
      </c>
      <c r="J220" s="57"/>
      <c r="K220" s="57"/>
      <c r="L220" s="57"/>
      <c r="M220" s="57"/>
      <c r="Q220">
        <f t="shared" si="34"/>
        <v>0</v>
      </c>
      <c r="R220">
        <f t="shared" si="35"/>
        <v>0</v>
      </c>
      <c r="S220">
        <f t="shared" si="36"/>
        <v>5</v>
      </c>
      <c r="T220">
        <f t="shared" si="37"/>
        <v>17</v>
      </c>
      <c r="U220">
        <f t="shared" si="38"/>
        <v>0</v>
      </c>
      <c r="V220">
        <f t="shared" si="39"/>
        <v>1</v>
      </c>
      <c r="Y220" t="str">
        <f t="shared" si="40"/>
        <v>Kenya</v>
      </c>
      <c r="Z220" s="104" t="str">
        <f t="shared" si="41"/>
        <v/>
      </c>
      <c r="AA220" s="104">
        <f t="shared" si="42"/>
        <v>0.77272727272727271</v>
      </c>
      <c r="AB220" s="104">
        <f t="shared" si="43"/>
        <v>1</v>
      </c>
    </row>
    <row r="221" spans="1:37" x14ac:dyDescent="0.25">
      <c r="A221" s="55" t="s">
        <v>10371</v>
      </c>
      <c r="B221" s="57"/>
      <c r="C221" s="57"/>
      <c r="D221" s="57"/>
      <c r="E221" s="57"/>
      <c r="F221" s="57">
        <v>5</v>
      </c>
      <c r="G221" s="57"/>
      <c r="H221" s="57"/>
      <c r="I221" s="57">
        <v>2</v>
      </c>
      <c r="J221" s="57"/>
      <c r="K221" s="57"/>
      <c r="L221" s="57"/>
      <c r="M221" s="57"/>
      <c r="Q221">
        <f t="shared" si="34"/>
        <v>0</v>
      </c>
      <c r="R221">
        <f t="shared" si="35"/>
        <v>0</v>
      </c>
      <c r="S221">
        <f t="shared" si="36"/>
        <v>0</v>
      </c>
      <c r="T221">
        <f t="shared" si="37"/>
        <v>5</v>
      </c>
      <c r="U221">
        <f t="shared" si="38"/>
        <v>0</v>
      </c>
      <c r="V221">
        <f t="shared" si="39"/>
        <v>2</v>
      </c>
      <c r="Y221" t="str">
        <f t="shared" si="40"/>
        <v>Rwanda</v>
      </c>
      <c r="Z221" s="104" t="str">
        <f t="shared" si="41"/>
        <v/>
      </c>
      <c r="AA221" s="104">
        <f t="shared" si="42"/>
        <v>1</v>
      </c>
      <c r="AB221" s="104">
        <f t="shared" si="43"/>
        <v>1</v>
      </c>
    </row>
    <row r="222" spans="1:37" x14ac:dyDescent="0.25">
      <c r="A222" s="55" t="s">
        <v>10685</v>
      </c>
      <c r="B222" s="57"/>
      <c r="C222" s="57"/>
      <c r="D222" s="57"/>
      <c r="E222" s="57">
        <v>1</v>
      </c>
      <c r="F222" s="57">
        <v>27</v>
      </c>
      <c r="G222" s="57"/>
      <c r="H222" s="57">
        <v>2</v>
      </c>
      <c r="I222" s="57">
        <v>2</v>
      </c>
      <c r="J222" s="57"/>
      <c r="K222" s="57"/>
      <c r="L222" s="57"/>
      <c r="M222" s="57"/>
      <c r="Q222">
        <f t="shared" si="34"/>
        <v>0</v>
      </c>
      <c r="R222">
        <f t="shared" si="35"/>
        <v>0</v>
      </c>
      <c r="S222">
        <f t="shared" si="36"/>
        <v>1</v>
      </c>
      <c r="T222">
        <f t="shared" si="37"/>
        <v>27</v>
      </c>
      <c r="U222">
        <f t="shared" si="38"/>
        <v>2</v>
      </c>
      <c r="V222">
        <f t="shared" si="39"/>
        <v>2</v>
      </c>
      <c r="Y222" t="str">
        <f t="shared" si="40"/>
        <v>Somalia</v>
      </c>
      <c r="Z222" s="104" t="str">
        <f t="shared" si="41"/>
        <v/>
      </c>
      <c r="AA222" s="104">
        <f t="shared" si="42"/>
        <v>0.9642857142857143</v>
      </c>
      <c r="AB222" s="104">
        <f t="shared" si="43"/>
        <v>0.5</v>
      </c>
    </row>
    <row r="223" spans="1:37" x14ac:dyDescent="0.25">
      <c r="A223" s="55" t="s">
        <v>11104</v>
      </c>
      <c r="B223" s="57"/>
      <c r="C223" s="57"/>
      <c r="D223" s="57"/>
      <c r="E223" s="57">
        <v>6</v>
      </c>
      <c r="F223" s="57">
        <v>14</v>
      </c>
      <c r="G223" s="57"/>
      <c r="H223" s="57"/>
      <c r="I223" s="57">
        <v>1</v>
      </c>
      <c r="J223" s="57"/>
      <c r="K223" s="57"/>
      <c r="L223" s="57"/>
      <c r="M223" s="57"/>
      <c r="Q223">
        <f t="shared" si="34"/>
        <v>0</v>
      </c>
      <c r="R223">
        <f t="shared" si="35"/>
        <v>0</v>
      </c>
      <c r="S223">
        <f t="shared" si="36"/>
        <v>6</v>
      </c>
      <c r="T223">
        <f t="shared" si="37"/>
        <v>14</v>
      </c>
      <c r="U223">
        <f t="shared" si="38"/>
        <v>0</v>
      </c>
      <c r="V223">
        <f t="shared" si="39"/>
        <v>1</v>
      </c>
      <c r="Y223" t="str">
        <f t="shared" si="40"/>
        <v>South Sudan</v>
      </c>
      <c r="Z223" s="104" t="str">
        <f t="shared" si="41"/>
        <v/>
      </c>
      <c r="AA223" s="104">
        <f t="shared" si="42"/>
        <v>0.7</v>
      </c>
      <c r="AB223" s="104">
        <f t="shared" si="43"/>
        <v>1</v>
      </c>
    </row>
    <row r="224" spans="1:37" x14ac:dyDescent="0.25">
      <c r="A224" s="55" t="s">
        <v>11417</v>
      </c>
      <c r="B224" s="57"/>
      <c r="C224" s="57"/>
      <c r="D224" s="57"/>
      <c r="E224" s="57">
        <v>4</v>
      </c>
      <c r="F224" s="57">
        <v>10</v>
      </c>
      <c r="G224" s="57"/>
      <c r="H224" s="57"/>
      <c r="I224" s="57">
        <v>4</v>
      </c>
      <c r="J224" s="57"/>
      <c r="K224" s="57"/>
      <c r="L224" s="57"/>
      <c r="M224" s="57"/>
      <c r="Q224">
        <f t="shared" si="34"/>
        <v>0</v>
      </c>
      <c r="R224">
        <f t="shared" si="35"/>
        <v>0</v>
      </c>
      <c r="S224">
        <f t="shared" si="36"/>
        <v>4</v>
      </c>
      <c r="T224">
        <f t="shared" si="37"/>
        <v>10</v>
      </c>
      <c r="U224">
        <f t="shared" si="38"/>
        <v>0</v>
      </c>
      <c r="V224">
        <f t="shared" si="39"/>
        <v>4</v>
      </c>
      <c r="Y224" t="str">
        <f t="shared" si="40"/>
        <v>Sudan</v>
      </c>
      <c r="Z224" s="104" t="str">
        <f t="shared" si="41"/>
        <v/>
      </c>
      <c r="AA224" s="104">
        <f t="shared" si="42"/>
        <v>0.7142857142857143</v>
      </c>
      <c r="AB224" s="104">
        <f t="shared" si="43"/>
        <v>1</v>
      </c>
    </row>
    <row r="225" spans="1:28" x14ac:dyDescent="0.25">
      <c r="A225" s="55" t="s">
        <v>12694</v>
      </c>
      <c r="B225" s="57"/>
      <c r="C225" s="57">
        <v>1</v>
      </c>
      <c r="D225" s="57"/>
      <c r="E225" s="57"/>
      <c r="F225" s="57">
        <v>9</v>
      </c>
      <c r="G225" s="57"/>
      <c r="H225" s="57"/>
      <c r="I225" s="57">
        <v>3</v>
      </c>
      <c r="J225" s="57"/>
      <c r="K225" s="57"/>
      <c r="L225" s="57"/>
      <c r="M225" s="57"/>
      <c r="Q225">
        <f t="shared" si="34"/>
        <v>0</v>
      </c>
      <c r="R225">
        <f t="shared" si="35"/>
        <v>1</v>
      </c>
      <c r="S225">
        <f t="shared" si="36"/>
        <v>0</v>
      </c>
      <c r="T225">
        <f t="shared" si="37"/>
        <v>9</v>
      </c>
      <c r="U225">
        <f t="shared" si="38"/>
        <v>0</v>
      </c>
      <c r="V225">
        <f t="shared" si="39"/>
        <v>3</v>
      </c>
      <c r="Y225" t="str">
        <f t="shared" si="40"/>
        <v>Uganda</v>
      </c>
      <c r="Z225" s="104">
        <f t="shared" si="41"/>
        <v>1</v>
      </c>
      <c r="AA225" s="104">
        <f t="shared" si="42"/>
        <v>1</v>
      </c>
      <c r="AB225" s="104">
        <f t="shared" si="43"/>
        <v>1</v>
      </c>
    </row>
    <row r="226" spans="1:28" x14ac:dyDescent="0.25">
      <c r="A226" s="55" t="s">
        <v>14322</v>
      </c>
      <c r="B226" s="57"/>
      <c r="C226" s="57"/>
      <c r="D226" s="57"/>
      <c r="E226" s="57">
        <v>1</v>
      </c>
      <c r="F226" s="57">
        <v>3</v>
      </c>
      <c r="G226" s="57"/>
      <c r="H226" s="57"/>
      <c r="I226" s="57">
        <v>1</v>
      </c>
      <c r="J226" s="57"/>
      <c r="K226" s="57"/>
      <c r="L226" s="57"/>
      <c r="M226" s="57"/>
      <c r="Q226">
        <f t="shared" si="34"/>
        <v>0</v>
      </c>
      <c r="R226">
        <f t="shared" si="35"/>
        <v>0</v>
      </c>
      <c r="S226">
        <f t="shared" si="36"/>
        <v>1</v>
      </c>
      <c r="T226">
        <f t="shared" si="37"/>
        <v>3</v>
      </c>
      <c r="U226">
        <f t="shared" si="38"/>
        <v>0</v>
      </c>
      <c r="V226">
        <f t="shared" si="39"/>
        <v>1</v>
      </c>
      <c r="Y226" t="str">
        <f t="shared" si="40"/>
        <v>DRC</v>
      </c>
      <c r="Z226" s="104" t="str">
        <f t="shared" si="41"/>
        <v/>
      </c>
      <c r="AA226" s="104">
        <f t="shared" si="42"/>
        <v>0.75</v>
      </c>
      <c r="AB226" s="104">
        <f t="shared" si="43"/>
        <v>1</v>
      </c>
    </row>
    <row r="227" spans="1:28" x14ac:dyDescent="0.25">
      <c r="A227" s="50" t="s">
        <v>14276</v>
      </c>
      <c r="B227" s="57">
        <v>1</v>
      </c>
      <c r="C227" s="57">
        <v>3</v>
      </c>
      <c r="D227" s="57"/>
      <c r="E227" s="57">
        <v>25</v>
      </c>
      <c r="F227" s="57">
        <v>113</v>
      </c>
      <c r="G227" s="57"/>
      <c r="H227" s="57">
        <v>2</v>
      </c>
      <c r="I227" s="57">
        <v>17</v>
      </c>
      <c r="J227" s="57"/>
      <c r="K227" s="57"/>
      <c r="L227" s="57"/>
      <c r="M227" s="57"/>
      <c r="Q227">
        <f t="shared" si="34"/>
        <v>1</v>
      </c>
      <c r="R227">
        <f t="shared" si="35"/>
        <v>3</v>
      </c>
      <c r="S227">
        <f t="shared" si="36"/>
        <v>25</v>
      </c>
      <c r="T227">
        <f t="shared" si="37"/>
        <v>113</v>
      </c>
      <c r="U227">
        <f t="shared" si="38"/>
        <v>2</v>
      </c>
      <c r="V227">
        <f t="shared" si="39"/>
        <v>17</v>
      </c>
      <c r="Y227" t="str">
        <f t="shared" si="40"/>
        <v>Africa - East and Central Total</v>
      </c>
      <c r="Z227" s="104">
        <f t="shared" si="41"/>
        <v>0.75</v>
      </c>
      <c r="AA227" s="104">
        <f t="shared" si="42"/>
        <v>0.8188405797101449</v>
      </c>
      <c r="AB227" s="104">
        <f t="shared" si="43"/>
        <v>0.89473684210526316</v>
      </c>
    </row>
    <row r="228" spans="1:28" x14ac:dyDescent="0.25">
      <c r="A228" s="50" t="s">
        <v>7217</v>
      </c>
      <c r="B228" s="57"/>
      <c r="C228" s="57"/>
      <c r="D228" s="57"/>
      <c r="E228" s="57"/>
      <c r="F228" s="57"/>
      <c r="G228" s="57"/>
      <c r="H228" s="57"/>
      <c r="I228" s="57"/>
      <c r="J228" s="57"/>
      <c r="K228" s="57"/>
      <c r="L228" s="57"/>
      <c r="M228" s="57"/>
      <c r="Q228">
        <f t="shared" si="34"/>
        <v>0</v>
      </c>
      <c r="R228">
        <f t="shared" si="35"/>
        <v>0</v>
      </c>
      <c r="S228">
        <f t="shared" si="36"/>
        <v>0</v>
      </c>
      <c r="T228">
        <f t="shared" si="37"/>
        <v>0</v>
      </c>
      <c r="U228">
        <f t="shared" si="38"/>
        <v>0</v>
      </c>
      <c r="V228">
        <f t="shared" si="39"/>
        <v>0</v>
      </c>
      <c r="Y228" t="str">
        <f t="shared" si="40"/>
        <v>Africa - Southern</v>
      </c>
      <c r="Z228" s="104" t="str">
        <f t="shared" si="41"/>
        <v/>
      </c>
      <c r="AA228" s="104" t="str">
        <f t="shared" si="42"/>
        <v/>
      </c>
      <c r="AB228" s="104" t="str">
        <f t="shared" si="43"/>
        <v/>
      </c>
    </row>
    <row r="229" spans="1:28" x14ac:dyDescent="0.25">
      <c r="A229" s="55" t="s">
        <v>7216</v>
      </c>
      <c r="B229" s="57"/>
      <c r="C229" s="57"/>
      <c r="D229" s="57"/>
      <c r="E229" s="57"/>
      <c r="F229" s="57">
        <v>10</v>
      </c>
      <c r="G229" s="57"/>
      <c r="H229" s="57"/>
      <c r="I229" s="57"/>
      <c r="J229" s="57"/>
      <c r="K229" s="57"/>
      <c r="L229" s="57"/>
      <c r="M229" s="57"/>
      <c r="Q229">
        <f t="shared" si="34"/>
        <v>0</v>
      </c>
      <c r="R229">
        <f t="shared" si="35"/>
        <v>0</v>
      </c>
      <c r="S229">
        <f t="shared" si="36"/>
        <v>0</v>
      </c>
      <c r="T229">
        <f t="shared" si="37"/>
        <v>10</v>
      </c>
      <c r="U229">
        <f t="shared" si="38"/>
        <v>0</v>
      </c>
      <c r="V229">
        <f t="shared" si="39"/>
        <v>0</v>
      </c>
      <c r="Y229" t="str">
        <f t="shared" si="40"/>
        <v>Madagascar</v>
      </c>
      <c r="Z229" s="104" t="str">
        <f t="shared" si="41"/>
        <v/>
      </c>
      <c r="AA229" s="104">
        <f t="shared" si="42"/>
        <v>1</v>
      </c>
      <c r="AB229" s="104" t="str">
        <f t="shared" si="43"/>
        <v/>
      </c>
    </row>
    <row r="230" spans="1:28" x14ac:dyDescent="0.25">
      <c r="A230" s="55" t="s">
        <v>7451</v>
      </c>
      <c r="B230" s="57"/>
      <c r="C230" s="57"/>
      <c r="D230" s="57"/>
      <c r="E230" s="57">
        <v>5</v>
      </c>
      <c r="F230" s="57">
        <v>16</v>
      </c>
      <c r="G230" s="57"/>
      <c r="H230" s="57"/>
      <c r="I230" s="57">
        <v>2</v>
      </c>
      <c r="J230" s="57"/>
      <c r="K230" s="57"/>
      <c r="L230" s="57"/>
      <c r="M230" s="57"/>
      <c r="Q230">
        <f t="shared" si="34"/>
        <v>0</v>
      </c>
      <c r="R230">
        <f t="shared" si="35"/>
        <v>0</v>
      </c>
      <c r="S230">
        <f t="shared" si="36"/>
        <v>5</v>
      </c>
      <c r="T230">
        <f t="shared" si="37"/>
        <v>16</v>
      </c>
      <c r="U230">
        <f t="shared" si="38"/>
        <v>0</v>
      </c>
      <c r="V230">
        <f t="shared" si="39"/>
        <v>2</v>
      </c>
      <c r="Y230" t="str">
        <f t="shared" si="40"/>
        <v>Malawi</v>
      </c>
      <c r="Z230" s="104" t="str">
        <f t="shared" si="41"/>
        <v/>
      </c>
      <c r="AA230" s="104">
        <f t="shared" si="42"/>
        <v>0.76190476190476186</v>
      </c>
      <c r="AB230" s="104">
        <f t="shared" si="43"/>
        <v>1</v>
      </c>
    </row>
    <row r="231" spans="1:28" x14ac:dyDescent="0.25">
      <c r="A231" s="55" t="s">
        <v>8265</v>
      </c>
      <c r="B231" s="57"/>
      <c r="C231" s="57"/>
      <c r="D231" s="57"/>
      <c r="E231" s="57">
        <v>2</v>
      </c>
      <c r="F231" s="57">
        <v>5</v>
      </c>
      <c r="G231" s="57"/>
      <c r="H231" s="57"/>
      <c r="I231" s="57">
        <v>3</v>
      </c>
      <c r="J231" s="57"/>
      <c r="K231" s="57"/>
      <c r="L231" s="57"/>
      <c r="M231" s="57"/>
      <c r="Q231">
        <f t="shared" si="34"/>
        <v>0</v>
      </c>
      <c r="R231">
        <f t="shared" si="35"/>
        <v>0</v>
      </c>
      <c r="S231">
        <f t="shared" si="36"/>
        <v>2</v>
      </c>
      <c r="T231">
        <f t="shared" si="37"/>
        <v>5</v>
      </c>
      <c r="U231">
        <f t="shared" si="38"/>
        <v>0</v>
      </c>
      <c r="V231">
        <f t="shared" si="39"/>
        <v>3</v>
      </c>
      <c r="Y231" t="str">
        <f t="shared" si="40"/>
        <v>Mozambique</v>
      </c>
      <c r="Z231" s="104" t="str">
        <f t="shared" si="41"/>
        <v/>
      </c>
      <c r="AA231" s="104">
        <f t="shared" si="42"/>
        <v>0.7142857142857143</v>
      </c>
      <c r="AB231" s="104">
        <f t="shared" si="43"/>
        <v>1</v>
      </c>
    </row>
    <row r="232" spans="1:28" x14ac:dyDescent="0.25">
      <c r="A232" s="55" t="s">
        <v>11102</v>
      </c>
      <c r="B232" s="57"/>
      <c r="C232" s="57"/>
      <c r="D232" s="57"/>
      <c r="E232" s="57"/>
      <c r="F232" s="57"/>
      <c r="G232" s="57"/>
      <c r="H232" s="57"/>
      <c r="I232" s="57"/>
      <c r="J232" s="57"/>
      <c r="K232" s="57"/>
      <c r="L232" s="57"/>
      <c r="M232" s="57"/>
      <c r="Q232">
        <f t="shared" si="34"/>
        <v>0</v>
      </c>
      <c r="R232">
        <f t="shared" si="35"/>
        <v>0</v>
      </c>
      <c r="S232">
        <f t="shared" si="36"/>
        <v>0</v>
      </c>
      <c r="T232">
        <f t="shared" si="37"/>
        <v>0</v>
      </c>
      <c r="U232">
        <f t="shared" si="38"/>
        <v>0</v>
      </c>
      <c r="V232">
        <f t="shared" si="39"/>
        <v>0</v>
      </c>
      <c r="Y232" t="str">
        <f t="shared" si="40"/>
        <v>South Africa</v>
      </c>
      <c r="Z232" s="104" t="str">
        <f t="shared" si="41"/>
        <v/>
      </c>
      <c r="AA232" s="104" t="str">
        <f t="shared" si="42"/>
        <v/>
      </c>
      <c r="AB232" s="104" t="str">
        <f t="shared" si="43"/>
        <v/>
      </c>
    </row>
    <row r="233" spans="1:28" x14ac:dyDescent="0.25">
      <c r="A233" s="55" t="s">
        <v>12090</v>
      </c>
      <c r="B233" s="57"/>
      <c r="C233" s="57"/>
      <c r="D233" s="57"/>
      <c r="E233" s="57">
        <v>1</v>
      </c>
      <c r="F233" s="57">
        <v>7</v>
      </c>
      <c r="G233" s="57"/>
      <c r="H233" s="57"/>
      <c r="I233" s="57">
        <v>2</v>
      </c>
      <c r="J233" s="57"/>
      <c r="K233" s="57"/>
      <c r="L233" s="57"/>
      <c r="M233" s="57"/>
      <c r="Q233">
        <f t="shared" si="34"/>
        <v>0</v>
      </c>
      <c r="R233">
        <f t="shared" si="35"/>
        <v>0</v>
      </c>
      <c r="S233">
        <f t="shared" si="36"/>
        <v>1</v>
      </c>
      <c r="T233">
        <f t="shared" si="37"/>
        <v>7</v>
      </c>
      <c r="U233">
        <f t="shared" si="38"/>
        <v>0</v>
      </c>
      <c r="V233">
        <f t="shared" si="39"/>
        <v>2</v>
      </c>
      <c r="Y233" t="str">
        <f t="shared" si="40"/>
        <v>Tanzania</v>
      </c>
      <c r="Z233" s="104" t="str">
        <f t="shared" si="41"/>
        <v/>
      </c>
      <c r="AA233" s="104">
        <f t="shared" si="42"/>
        <v>0.875</v>
      </c>
      <c r="AB233" s="104">
        <f t="shared" si="43"/>
        <v>1</v>
      </c>
    </row>
    <row r="234" spans="1:28" x14ac:dyDescent="0.25">
      <c r="A234" s="55" t="s">
        <v>13917</v>
      </c>
      <c r="B234" s="57"/>
      <c r="C234" s="57"/>
      <c r="D234" s="57"/>
      <c r="E234" s="57">
        <v>2</v>
      </c>
      <c r="F234" s="57">
        <v>3</v>
      </c>
      <c r="G234" s="57"/>
      <c r="H234" s="57"/>
      <c r="I234" s="57"/>
      <c r="J234" s="57"/>
      <c r="K234" s="57"/>
      <c r="L234" s="57"/>
      <c r="M234" s="57"/>
      <c r="Q234">
        <f t="shared" si="34"/>
        <v>0</v>
      </c>
      <c r="R234">
        <f t="shared" si="35"/>
        <v>0</v>
      </c>
      <c r="S234">
        <f t="shared" si="36"/>
        <v>2</v>
      </c>
      <c r="T234">
        <f t="shared" si="37"/>
        <v>3</v>
      </c>
      <c r="U234">
        <f t="shared" si="38"/>
        <v>0</v>
      </c>
      <c r="V234">
        <f t="shared" si="39"/>
        <v>0</v>
      </c>
      <c r="Y234" t="str">
        <f t="shared" si="40"/>
        <v>Zambia</v>
      </c>
      <c r="Z234" s="104" t="str">
        <f t="shared" si="41"/>
        <v/>
      </c>
      <c r="AA234" s="104">
        <f t="shared" si="42"/>
        <v>0.6</v>
      </c>
      <c r="AB234" s="104" t="str">
        <f t="shared" si="43"/>
        <v/>
      </c>
    </row>
    <row r="235" spans="1:28" x14ac:dyDescent="0.25">
      <c r="A235" s="55" t="s">
        <v>14016</v>
      </c>
      <c r="B235" s="57"/>
      <c r="C235" s="57"/>
      <c r="D235" s="57"/>
      <c r="E235" s="57">
        <v>4</v>
      </c>
      <c r="F235" s="57">
        <v>8</v>
      </c>
      <c r="G235" s="57"/>
      <c r="H235" s="57"/>
      <c r="I235" s="57">
        <v>3</v>
      </c>
      <c r="J235" s="57"/>
      <c r="K235" s="57"/>
      <c r="L235" s="57"/>
      <c r="M235" s="57"/>
      <c r="Q235">
        <f t="shared" si="34"/>
        <v>0</v>
      </c>
      <c r="R235">
        <f t="shared" si="35"/>
        <v>0</v>
      </c>
      <c r="S235">
        <f t="shared" si="36"/>
        <v>4</v>
      </c>
      <c r="T235">
        <f t="shared" si="37"/>
        <v>8</v>
      </c>
      <c r="U235">
        <f t="shared" si="38"/>
        <v>0</v>
      </c>
      <c r="V235">
        <f t="shared" si="39"/>
        <v>3</v>
      </c>
      <c r="Y235" t="str">
        <f t="shared" si="40"/>
        <v>Zimbabwe</v>
      </c>
      <c r="Z235" s="104" t="str">
        <f t="shared" si="41"/>
        <v/>
      </c>
      <c r="AA235" s="104">
        <f t="shared" si="42"/>
        <v>0.66666666666666663</v>
      </c>
      <c r="AB235" s="104">
        <f t="shared" si="43"/>
        <v>1</v>
      </c>
    </row>
    <row r="236" spans="1:28" x14ac:dyDescent="0.25">
      <c r="A236" s="50" t="s">
        <v>14277</v>
      </c>
      <c r="B236" s="57"/>
      <c r="C236" s="57"/>
      <c r="D236" s="57"/>
      <c r="E236" s="57">
        <v>14</v>
      </c>
      <c r="F236" s="57">
        <v>49</v>
      </c>
      <c r="G236" s="57"/>
      <c r="H236" s="57"/>
      <c r="I236" s="57">
        <v>10</v>
      </c>
      <c r="J236" s="57"/>
      <c r="K236" s="57"/>
      <c r="L236" s="57"/>
      <c r="M236" s="57"/>
      <c r="Q236">
        <f t="shared" si="34"/>
        <v>0</v>
      </c>
      <c r="R236">
        <f t="shared" si="35"/>
        <v>0</v>
      </c>
      <c r="S236">
        <f t="shared" si="36"/>
        <v>14</v>
      </c>
      <c r="T236">
        <f t="shared" si="37"/>
        <v>49</v>
      </c>
      <c r="U236">
        <f t="shared" si="38"/>
        <v>0</v>
      </c>
      <c r="V236">
        <f t="shared" si="39"/>
        <v>10</v>
      </c>
      <c r="Y236" t="str">
        <f t="shared" si="40"/>
        <v>Africa - Southern Total</v>
      </c>
      <c r="Z236" s="104" t="str">
        <f t="shared" si="41"/>
        <v/>
      </c>
      <c r="AA236" s="104">
        <f t="shared" si="42"/>
        <v>0.77777777777777779</v>
      </c>
      <c r="AB236" s="104">
        <f t="shared" si="43"/>
        <v>1</v>
      </c>
    </row>
    <row r="237" spans="1:28" x14ac:dyDescent="0.25">
      <c r="A237" s="50" t="s">
        <v>1596</v>
      </c>
      <c r="B237" s="57"/>
      <c r="C237" s="57"/>
      <c r="D237" s="57"/>
      <c r="E237" s="57"/>
      <c r="F237" s="57"/>
      <c r="G237" s="57"/>
      <c r="H237" s="57"/>
      <c r="I237" s="57"/>
      <c r="J237" s="57"/>
      <c r="K237" s="57"/>
      <c r="L237" s="57"/>
      <c r="M237" s="57"/>
      <c r="Q237">
        <f t="shared" si="34"/>
        <v>0</v>
      </c>
      <c r="R237">
        <f t="shared" si="35"/>
        <v>0</v>
      </c>
      <c r="S237">
        <f t="shared" si="36"/>
        <v>0</v>
      </c>
      <c r="T237">
        <f t="shared" si="37"/>
        <v>0</v>
      </c>
      <c r="U237">
        <f t="shared" si="38"/>
        <v>0</v>
      </c>
      <c r="V237">
        <f t="shared" si="39"/>
        <v>0</v>
      </c>
      <c r="Y237" t="str">
        <f t="shared" si="40"/>
        <v>Africa - Western</v>
      </c>
      <c r="Z237" s="104" t="str">
        <f t="shared" si="41"/>
        <v/>
      </c>
      <c r="AA237" s="104" t="str">
        <f t="shared" si="42"/>
        <v/>
      </c>
      <c r="AB237" s="104" t="str">
        <f t="shared" si="43"/>
        <v/>
      </c>
    </row>
    <row r="238" spans="1:28" x14ac:dyDescent="0.25">
      <c r="A238" s="55" t="s">
        <v>1595</v>
      </c>
      <c r="B238" s="57"/>
      <c r="C238" s="57">
        <v>1</v>
      </c>
      <c r="D238" s="57"/>
      <c r="E238" s="57">
        <v>1</v>
      </c>
      <c r="F238" s="57">
        <v>4</v>
      </c>
      <c r="G238" s="57"/>
      <c r="H238" s="57">
        <v>1</v>
      </c>
      <c r="I238" s="57"/>
      <c r="J238" s="57"/>
      <c r="K238" s="57"/>
      <c r="L238" s="57"/>
      <c r="M238" s="57"/>
      <c r="Q238">
        <f t="shared" si="34"/>
        <v>0</v>
      </c>
      <c r="R238">
        <f t="shared" si="35"/>
        <v>1</v>
      </c>
      <c r="S238">
        <f t="shared" si="36"/>
        <v>1</v>
      </c>
      <c r="T238">
        <f t="shared" si="37"/>
        <v>4</v>
      </c>
      <c r="U238">
        <f t="shared" si="38"/>
        <v>1</v>
      </c>
      <c r="V238">
        <f t="shared" si="39"/>
        <v>0</v>
      </c>
      <c r="Y238" t="str">
        <f t="shared" si="40"/>
        <v>Benin</v>
      </c>
      <c r="Z238" s="104">
        <f t="shared" si="41"/>
        <v>1</v>
      </c>
      <c r="AA238" s="104">
        <f t="shared" si="42"/>
        <v>0.8</v>
      </c>
      <c r="AB238" s="104">
        <f t="shared" si="43"/>
        <v>0</v>
      </c>
    </row>
    <row r="239" spans="1:28" x14ac:dyDescent="0.25">
      <c r="A239" s="55" t="s">
        <v>1827</v>
      </c>
      <c r="B239" s="57"/>
      <c r="C239" s="57"/>
      <c r="D239" s="57"/>
      <c r="E239" s="57"/>
      <c r="F239" s="57">
        <v>1</v>
      </c>
      <c r="G239" s="57"/>
      <c r="H239" s="57"/>
      <c r="I239" s="57">
        <v>1</v>
      </c>
      <c r="J239" s="57"/>
      <c r="K239" s="57"/>
      <c r="L239" s="57"/>
      <c r="M239" s="57"/>
      <c r="Q239">
        <f t="shared" si="34"/>
        <v>0</v>
      </c>
      <c r="R239">
        <f t="shared" si="35"/>
        <v>0</v>
      </c>
      <c r="S239">
        <f t="shared" si="36"/>
        <v>0</v>
      </c>
      <c r="T239">
        <f t="shared" si="37"/>
        <v>1</v>
      </c>
      <c r="U239">
        <f t="shared" si="38"/>
        <v>0</v>
      </c>
      <c r="V239">
        <f t="shared" si="39"/>
        <v>1</v>
      </c>
      <c r="Y239" t="str">
        <f t="shared" si="40"/>
        <v>Burkina Faso</v>
      </c>
      <c r="Z239" s="104" t="str">
        <f t="shared" si="41"/>
        <v/>
      </c>
      <c r="AA239" s="104">
        <f t="shared" si="42"/>
        <v>1</v>
      </c>
      <c r="AB239" s="104">
        <f t="shared" si="43"/>
        <v>1</v>
      </c>
    </row>
    <row r="240" spans="1:28" x14ac:dyDescent="0.25">
      <c r="A240" s="55" t="s">
        <v>2395</v>
      </c>
      <c r="B240" s="57"/>
      <c r="C240" s="57"/>
      <c r="D240" s="57"/>
      <c r="E240" s="57"/>
      <c r="F240" s="57">
        <v>6</v>
      </c>
      <c r="G240" s="57"/>
      <c r="H240" s="57"/>
      <c r="I240" s="57"/>
      <c r="J240" s="57"/>
      <c r="K240" s="57"/>
      <c r="L240" s="57"/>
      <c r="M240" s="57"/>
      <c r="Q240">
        <f t="shared" si="34"/>
        <v>0</v>
      </c>
      <c r="R240">
        <f t="shared" si="35"/>
        <v>0</v>
      </c>
      <c r="S240">
        <f t="shared" si="36"/>
        <v>0</v>
      </c>
      <c r="T240">
        <f t="shared" si="37"/>
        <v>6</v>
      </c>
      <c r="U240">
        <f t="shared" si="38"/>
        <v>0</v>
      </c>
      <c r="V240">
        <f t="shared" si="39"/>
        <v>0</v>
      </c>
      <c r="Y240" t="str">
        <f t="shared" si="40"/>
        <v>Cameroon</v>
      </c>
      <c r="Z240" s="104" t="str">
        <f t="shared" si="41"/>
        <v/>
      </c>
      <c r="AA240" s="104">
        <f t="shared" si="42"/>
        <v>1</v>
      </c>
      <c r="AB240" s="104" t="str">
        <f t="shared" si="43"/>
        <v/>
      </c>
    </row>
    <row r="241" spans="1:28" x14ac:dyDescent="0.25">
      <c r="A241" s="55" t="s">
        <v>2536</v>
      </c>
      <c r="B241" s="57">
        <v>1</v>
      </c>
      <c r="C241" s="57"/>
      <c r="D241" s="57"/>
      <c r="E241" s="57">
        <v>4</v>
      </c>
      <c r="F241" s="57">
        <v>8</v>
      </c>
      <c r="G241" s="57"/>
      <c r="H241" s="57"/>
      <c r="I241" s="57">
        <v>2</v>
      </c>
      <c r="J241" s="57"/>
      <c r="K241" s="57"/>
      <c r="L241" s="57"/>
      <c r="M241" s="57"/>
      <c r="Q241">
        <f t="shared" si="34"/>
        <v>1</v>
      </c>
      <c r="R241">
        <f t="shared" si="35"/>
        <v>0</v>
      </c>
      <c r="S241">
        <f t="shared" si="36"/>
        <v>4</v>
      </c>
      <c r="T241">
        <f t="shared" si="37"/>
        <v>8</v>
      </c>
      <c r="U241">
        <f t="shared" si="38"/>
        <v>0</v>
      </c>
      <c r="V241">
        <f t="shared" si="39"/>
        <v>2</v>
      </c>
      <c r="Y241" t="str">
        <f t="shared" si="40"/>
        <v>Chad</v>
      </c>
      <c r="Z241" s="104">
        <f t="shared" si="41"/>
        <v>0</v>
      </c>
      <c r="AA241" s="104">
        <f t="shared" si="42"/>
        <v>0.66666666666666663</v>
      </c>
      <c r="AB241" s="104">
        <f t="shared" si="43"/>
        <v>1</v>
      </c>
    </row>
    <row r="242" spans="1:28" x14ac:dyDescent="0.25">
      <c r="A242" s="55" t="s">
        <v>2956</v>
      </c>
      <c r="B242" s="57">
        <v>1</v>
      </c>
      <c r="C242" s="57"/>
      <c r="D242" s="57"/>
      <c r="E242" s="57"/>
      <c r="F242" s="57">
        <v>8</v>
      </c>
      <c r="G242" s="57"/>
      <c r="H242" s="57"/>
      <c r="I242" s="57"/>
      <c r="J242" s="57"/>
      <c r="K242" s="57"/>
      <c r="L242" s="57"/>
      <c r="M242" s="57"/>
      <c r="Q242">
        <f t="shared" si="34"/>
        <v>1</v>
      </c>
      <c r="R242">
        <f t="shared" si="35"/>
        <v>0</v>
      </c>
      <c r="S242">
        <f t="shared" si="36"/>
        <v>0</v>
      </c>
      <c r="T242">
        <f t="shared" si="37"/>
        <v>8</v>
      </c>
      <c r="U242">
        <f t="shared" si="38"/>
        <v>0</v>
      </c>
      <c r="V242">
        <f t="shared" si="39"/>
        <v>0</v>
      </c>
      <c r="Y242" t="str">
        <f t="shared" si="40"/>
        <v>Cote d'Ivoire</v>
      </c>
      <c r="Z242" s="104">
        <f t="shared" si="41"/>
        <v>0</v>
      </c>
      <c r="AA242" s="104">
        <f t="shared" si="42"/>
        <v>1</v>
      </c>
      <c r="AB242" s="104" t="str">
        <f t="shared" si="43"/>
        <v/>
      </c>
    </row>
    <row r="243" spans="1:28" x14ac:dyDescent="0.25">
      <c r="A243" s="55" t="s">
        <v>4471</v>
      </c>
      <c r="B243" s="57"/>
      <c r="C243" s="57"/>
      <c r="D243" s="57"/>
      <c r="E243" s="57">
        <v>1</v>
      </c>
      <c r="F243" s="57">
        <v>8</v>
      </c>
      <c r="G243" s="57"/>
      <c r="H243" s="57"/>
      <c r="I243" s="57">
        <v>3</v>
      </c>
      <c r="J243" s="57"/>
      <c r="K243" s="57"/>
      <c r="L243" s="57"/>
      <c r="M243" s="57"/>
      <c r="Q243">
        <f t="shared" si="34"/>
        <v>0</v>
      </c>
      <c r="R243">
        <f t="shared" si="35"/>
        <v>0</v>
      </c>
      <c r="S243">
        <f t="shared" si="36"/>
        <v>1</v>
      </c>
      <c r="T243">
        <f t="shared" si="37"/>
        <v>8</v>
      </c>
      <c r="U243">
        <f t="shared" si="38"/>
        <v>0</v>
      </c>
      <c r="V243">
        <f t="shared" si="39"/>
        <v>3</v>
      </c>
      <c r="Y243" t="str">
        <f t="shared" si="40"/>
        <v>Ghana</v>
      </c>
      <c r="Z243" s="104" t="str">
        <f t="shared" si="41"/>
        <v/>
      </c>
      <c r="AA243" s="104">
        <f t="shared" si="42"/>
        <v>0.88888888888888884</v>
      </c>
      <c r="AB243" s="104">
        <f t="shared" si="43"/>
        <v>1</v>
      </c>
    </row>
    <row r="244" spans="1:28" x14ac:dyDescent="0.25">
      <c r="A244" s="55" t="s">
        <v>7179</v>
      </c>
      <c r="B244" s="57">
        <v>1</v>
      </c>
      <c r="C244" s="57"/>
      <c r="D244" s="57"/>
      <c r="E244" s="57"/>
      <c r="F244" s="57"/>
      <c r="G244" s="57"/>
      <c r="H244" s="57"/>
      <c r="I244" s="57"/>
      <c r="J244" s="57"/>
      <c r="K244" s="57"/>
      <c r="L244" s="57"/>
      <c r="M244" s="57"/>
      <c r="Q244">
        <f t="shared" si="34"/>
        <v>1</v>
      </c>
      <c r="R244">
        <f t="shared" si="35"/>
        <v>0</v>
      </c>
      <c r="S244">
        <f t="shared" si="36"/>
        <v>0</v>
      </c>
      <c r="T244">
        <f t="shared" si="37"/>
        <v>0</v>
      </c>
      <c r="U244">
        <f t="shared" si="38"/>
        <v>0</v>
      </c>
      <c r="V244">
        <f t="shared" si="39"/>
        <v>0</v>
      </c>
      <c r="Y244" t="str">
        <f t="shared" si="40"/>
        <v>Liberia</v>
      </c>
      <c r="Z244" s="104">
        <f t="shared" si="41"/>
        <v>0</v>
      </c>
      <c r="AA244" s="104" t="str">
        <f t="shared" si="42"/>
        <v/>
      </c>
      <c r="AB244" s="104" t="str">
        <f t="shared" si="43"/>
        <v/>
      </c>
    </row>
    <row r="245" spans="1:28" x14ac:dyDescent="0.25">
      <c r="A245" s="55" t="s">
        <v>7835</v>
      </c>
      <c r="B245" s="57"/>
      <c r="C245" s="57"/>
      <c r="D245" s="57"/>
      <c r="E245" s="57"/>
      <c r="F245" s="57">
        <v>12</v>
      </c>
      <c r="G245" s="57"/>
      <c r="H245" s="57">
        <v>1</v>
      </c>
      <c r="I245" s="57">
        <v>3</v>
      </c>
      <c r="J245" s="57"/>
      <c r="K245" s="57"/>
      <c r="L245" s="57"/>
      <c r="M245" s="57"/>
      <c r="Q245">
        <f t="shared" si="34"/>
        <v>0</v>
      </c>
      <c r="R245">
        <f t="shared" si="35"/>
        <v>0</v>
      </c>
      <c r="S245">
        <f t="shared" si="36"/>
        <v>0</v>
      </c>
      <c r="T245">
        <f t="shared" si="37"/>
        <v>12</v>
      </c>
      <c r="U245">
        <f t="shared" si="38"/>
        <v>1</v>
      </c>
      <c r="V245">
        <f t="shared" si="39"/>
        <v>3</v>
      </c>
      <c r="Y245" t="str">
        <f t="shared" si="40"/>
        <v>Mali</v>
      </c>
      <c r="Z245" s="104" t="str">
        <f t="shared" si="41"/>
        <v/>
      </c>
      <c r="AA245" s="104">
        <f t="shared" si="42"/>
        <v>1</v>
      </c>
      <c r="AB245" s="104">
        <f t="shared" si="43"/>
        <v>0.75</v>
      </c>
    </row>
    <row r="246" spans="1:28" x14ac:dyDescent="0.25">
      <c r="A246" s="55" t="s">
        <v>9043</v>
      </c>
      <c r="B246" s="57">
        <v>3</v>
      </c>
      <c r="C246" s="57">
        <v>4</v>
      </c>
      <c r="D246" s="57"/>
      <c r="E246" s="57">
        <v>2</v>
      </c>
      <c r="F246" s="57">
        <v>10</v>
      </c>
      <c r="G246" s="57"/>
      <c r="H246" s="57"/>
      <c r="I246" s="57">
        <v>2</v>
      </c>
      <c r="J246" s="57"/>
      <c r="K246" s="57"/>
      <c r="L246" s="57"/>
      <c r="M246" s="57"/>
      <c r="Q246">
        <f t="shared" si="34"/>
        <v>3</v>
      </c>
      <c r="R246">
        <f t="shared" si="35"/>
        <v>4</v>
      </c>
      <c r="S246">
        <f t="shared" si="36"/>
        <v>2</v>
      </c>
      <c r="T246">
        <f t="shared" si="37"/>
        <v>10</v>
      </c>
      <c r="U246">
        <f t="shared" si="38"/>
        <v>0</v>
      </c>
      <c r="V246">
        <f t="shared" si="39"/>
        <v>2</v>
      </c>
      <c r="Y246" t="str">
        <f t="shared" si="40"/>
        <v>Niger</v>
      </c>
      <c r="Z246" s="104">
        <f t="shared" si="41"/>
        <v>0.5714285714285714</v>
      </c>
      <c r="AA246" s="104">
        <f t="shared" si="42"/>
        <v>0.83333333333333337</v>
      </c>
      <c r="AB246" s="104">
        <f t="shared" si="43"/>
        <v>1</v>
      </c>
    </row>
    <row r="247" spans="1:28" x14ac:dyDescent="0.25">
      <c r="A247" s="55" t="s">
        <v>10594</v>
      </c>
      <c r="B247" s="57">
        <v>1</v>
      </c>
      <c r="C247" s="57"/>
      <c r="D247" s="57"/>
      <c r="E247" s="57"/>
      <c r="F247" s="57">
        <v>3</v>
      </c>
      <c r="G247" s="57"/>
      <c r="H247" s="57"/>
      <c r="I247" s="57">
        <v>1</v>
      </c>
      <c r="J247" s="57"/>
      <c r="K247" s="57"/>
      <c r="L247" s="57"/>
      <c r="M247" s="57"/>
      <c r="Q247">
        <f t="shared" si="34"/>
        <v>1</v>
      </c>
      <c r="R247">
        <f t="shared" si="35"/>
        <v>0</v>
      </c>
      <c r="S247">
        <f t="shared" si="36"/>
        <v>0</v>
      </c>
      <c r="T247">
        <f t="shared" si="37"/>
        <v>3</v>
      </c>
      <c r="U247">
        <f t="shared" si="38"/>
        <v>0</v>
      </c>
      <c r="V247">
        <f t="shared" si="39"/>
        <v>1</v>
      </c>
      <c r="Y247" t="str">
        <f t="shared" si="40"/>
        <v>Sierra Leone</v>
      </c>
      <c r="Z247" s="104">
        <f t="shared" si="41"/>
        <v>0</v>
      </c>
      <c r="AA247" s="104">
        <f t="shared" si="42"/>
        <v>1</v>
      </c>
      <c r="AB247" s="104">
        <f t="shared" si="43"/>
        <v>1</v>
      </c>
    </row>
    <row r="248" spans="1:28" x14ac:dyDescent="0.25">
      <c r="A248" s="50" t="s">
        <v>14278</v>
      </c>
      <c r="B248" s="57">
        <v>7</v>
      </c>
      <c r="C248" s="57">
        <v>5</v>
      </c>
      <c r="D248" s="57"/>
      <c r="E248" s="57">
        <v>8</v>
      </c>
      <c r="F248" s="57">
        <v>60</v>
      </c>
      <c r="G248" s="57"/>
      <c r="H248" s="57">
        <v>2</v>
      </c>
      <c r="I248" s="57">
        <v>12</v>
      </c>
      <c r="J248" s="57"/>
      <c r="K248" s="57"/>
      <c r="L248" s="57"/>
      <c r="M248" s="57"/>
      <c r="Q248">
        <f t="shared" si="34"/>
        <v>7</v>
      </c>
      <c r="R248">
        <f t="shared" si="35"/>
        <v>5</v>
      </c>
      <c r="S248">
        <f t="shared" si="36"/>
        <v>8</v>
      </c>
      <c r="T248">
        <f t="shared" si="37"/>
        <v>60</v>
      </c>
      <c r="U248">
        <f t="shared" si="38"/>
        <v>2</v>
      </c>
      <c r="V248">
        <f t="shared" si="39"/>
        <v>12</v>
      </c>
      <c r="Y248" t="str">
        <f t="shared" si="40"/>
        <v>Africa - Western Total</v>
      </c>
      <c r="Z248" s="104">
        <f t="shared" si="41"/>
        <v>0.41666666666666669</v>
      </c>
      <c r="AA248" s="104">
        <f t="shared" si="42"/>
        <v>0.88235294117647056</v>
      </c>
      <c r="AB248" s="104">
        <f t="shared" si="43"/>
        <v>0.8571428571428571</v>
      </c>
    </row>
    <row r="249" spans="1:28" x14ac:dyDescent="0.25">
      <c r="A249" s="50" t="s">
        <v>306</v>
      </c>
      <c r="B249" s="57"/>
      <c r="C249" s="57"/>
      <c r="D249" s="57"/>
      <c r="E249" s="57"/>
      <c r="F249" s="57"/>
      <c r="G249" s="57"/>
      <c r="H249" s="57"/>
      <c r="I249" s="57"/>
      <c r="J249" s="57"/>
      <c r="K249" s="57"/>
      <c r="L249" s="57"/>
      <c r="M249" s="57"/>
      <c r="Q249">
        <f t="shared" si="34"/>
        <v>0</v>
      </c>
      <c r="R249">
        <f t="shared" si="35"/>
        <v>0</v>
      </c>
      <c r="S249">
        <f t="shared" si="36"/>
        <v>0</v>
      </c>
      <c r="T249">
        <f t="shared" si="37"/>
        <v>0</v>
      </c>
      <c r="U249">
        <f t="shared" si="38"/>
        <v>0</v>
      </c>
      <c r="V249">
        <f t="shared" si="39"/>
        <v>0</v>
      </c>
      <c r="Y249" t="str">
        <f t="shared" si="40"/>
        <v>Asia and the Pacific</v>
      </c>
      <c r="Z249" s="104" t="str">
        <f t="shared" si="41"/>
        <v/>
      </c>
      <c r="AA249" s="104" t="str">
        <f t="shared" si="42"/>
        <v/>
      </c>
      <c r="AB249" s="104" t="str">
        <f t="shared" si="43"/>
        <v/>
      </c>
    </row>
    <row r="250" spans="1:28" x14ac:dyDescent="0.25">
      <c r="A250" s="55" t="s">
        <v>305</v>
      </c>
      <c r="B250" s="57"/>
      <c r="C250" s="57"/>
      <c r="D250" s="57"/>
      <c r="E250" s="57"/>
      <c r="F250" s="57">
        <v>12</v>
      </c>
      <c r="G250" s="57"/>
      <c r="H250" s="57"/>
      <c r="I250" s="57"/>
      <c r="J250" s="57"/>
      <c r="K250" s="57"/>
      <c r="L250" s="57"/>
      <c r="M250" s="57"/>
      <c r="Q250">
        <f t="shared" ref="Q250:Q281" si="44">B250</f>
        <v>0</v>
      </c>
      <c r="R250">
        <f t="shared" ref="R250:R281" si="45">C250</f>
        <v>0</v>
      </c>
      <c r="S250">
        <f t="shared" ref="S250:S281" si="46">E250</f>
        <v>0</v>
      </c>
      <c r="T250">
        <f t="shared" ref="T250:T281" si="47">F250</f>
        <v>12</v>
      </c>
      <c r="U250">
        <f t="shared" ref="U250:U281" si="48">H250</f>
        <v>0</v>
      </c>
      <c r="V250">
        <f t="shared" ref="V250:V281" si="49">I250</f>
        <v>0</v>
      </c>
      <c r="Y250" t="str">
        <f t="shared" ref="Y250:Y281" si="50">A250</f>
        <v>Afghanistan</v>
      </c>
      <c r="Z250" s="104" t="str">
        <f t="shared" si="41"/>
        <v/>
      </c>
      <c r="AA250" s="104">
        <f t="shared" si="42"/>
        <v>1</v>
      </c>
      <c r="AB250" s="104" t="str">
        <f t="shared" si="43"/>
        <v/>
      </c>
    </row>
    <row r="251" spans="1:28" x14ac:dyDescent="0.25">
      <c r="A251" s="55" t="s">
        <v>652</v>
      </c>
      <c r="B251" s="57">
        <v>1</v>
      </c>
      <c r="C251" s="57"/>
      <c r="D251" s="57"/>
      <c r="E251" s="57">
        <v>5</v>
      </c>
      <c r="F251" s="57">
        <v>38</v>
      </c>
      <c r="G251" s="57"/>
      <c r="H251" s="57"/>
      <c r="I251" s="57">
        <v>3</v>
      </c>
      <c r="J251" s="57"/>
      <c r="K251" s="57"/>
      <c r="L251" s="57"/>
      <c r="M251" s="57"/>
      <c r="Q251">
        <f t="shared" si="44"/>
        <v>1</v>
      </c>
      <c r="R251">
        <f t="shared" si="45"/>
        <v>0</v>
      </c>
      <c r="S251">
        <f t="shared" si="46"/>
        <v>5</v>
      </c>
      <c r="T251">
        <f t="shared" si="47"/>
        <v>38</v>
      </c>
      <c r="U251">
        <f t="shared" si="48"/>
        <v>0</v>
      </c>
      <c r="V251">
        <f t="shared" si="49"/>
        <v>3</v>
      </c>
      <c r="Y251" t="str">
        <f t="shared" si="50"/>
        <v>Bangladesh</v>
      </c>
      <c r="Z251" s="104">
        <f t="shared" si="41"/>
        <v>0</v>
      </c>
      <c r="AA251" s="104">
        <f t="shared" si="42"/>
        <v>0.88372093023255816</v>
      </c>
      <c r="AB251" s="104">
        <f t="shared" si="43"/>
        <v>1</v>
      </c>
    </row>
    <row r="252" spans="1:28" x14ac:dyDescent="0.25">
      <c r="A252" s="55" t="s">
        <v>2092</v>
      </c>
      <c r="B252" s="57"/>
      <c r="C252" s="57"/>
      <c r="D252" s="57"/>
      <c r="E252" s="57"/>
      <c r="F252" s="57">
        <v>14</v>
      </c>
      <c r="G252" s="57"/>
      <c r="H252" s="57"/>
      <c r="I252" s="57">
        <v>3</v>
      </c>
      <c r="J252" s="57"/>
      <c r="K252" s="57"/>
      <c r="L252" s="57"/>
      <c r="M252" s="57"/>
      <c r="Q252">
        <f t="shared" si="44"/>
        <v>0</v>
      </c>
      <c r="R252">
        <f t="shared" si="45"/>
        <v>0</v>
      </c>
      <c r="S252">
        <f t="shared" si="46"/>
        <v>0</v>
      </c>
      <c r="T252">
        <f t="shared" si="47"/>
        <v>14</v>
      </c>
      <c r="U252">
        <f t="shared" si="48"/>
        <v>0</v>
      </c>
      <c r="V252">
        <f t="shared" si="49"/>
        <v>3</v>
      </c>
      <c r="Y252" t="str">
        <f t="shared" si="50"/>
        <v>Cambodia</v>
      </c>
      <c r="Z252" s="104" t="str">
        <f t="shared" si="41"/>
        <v/>
      </c>
      <c r="AA252" s="104">
        <f t="shared" si="42"/>
        <v>1</v>
      </c>
      <c r="AB252" s="104">
        <f t="shared" si="43"/>
        <v>1</v>
      </c>
    </row>
    <row r="253" spans="1:28" x14ac:dyDescent="0.25">
      <c r="A253" s="55" t="s">
        <v>4268</v>
      </c>
      <c r="B253" s="57"/>
      <c r="C253" s="57"/>
      <c r="D253" s="57"/>
      <c r="E253" s="57"/>
      <c r="F253" s="57">
        <v>1</v>
      </c>
      <c r="G253" s="57"/>
      <c r="H253" s="57"/>
      <c r="I253" s="57"/>
      <c r="J253" s="57"/>
      <c r="K253" s="57"/>
      <c r="L253" s="57"/>
      <c r="M253" s="57"/>
      <c r="Q253">
        <f t="shared" si="44"/>
        <v>0</v>
      </c>
      <c r="R253">
        <f t="shared" si="45"/>
        <v>0</v>
      </c>
      <c r="S253">
        <f t="shared" si="46"/>
        <v>0</v>
      </c>
      <c r="T253">
        <f t="shared" si="47"/>
        <v>1</v>
      </c>
      <c r="U253">
        <f t="shared" si="48"/>
        <v>0</v>
      </c>
      <c r="V253">
        <f t="shared" si="49"/>
        <v>0</v>
      </c>
      <c r="Y253" t="str">
        <f t="shared" si="50"/>
        <v>Fiji</v>
      </c>
      <c r="Z253" s="104" t="str">
        <f t="shared" si="41"/>
        <v/>
      </c>
      <c r="AA253" s="104">
        <f t="shared" si="42"/>
        <v>1</v>
      </c>
      <c r="AB253" s="104" t="str">
        <f t="shared" si="43"/>
        <v/>
      </c>
    </row>
    <row r="254" spans="1:28" x14ac:dyDescent="0.25">
      <c r="A254" s="55" t="s">
        <v>5300</v>
      </c>
      <c r="B254" s="57"/>
      <c r="C254" s="57">
        <v>1</v>
      </c>
      <c r="D254" s="57"/>
      <c r="E254" s="57">
        <v>2</v>
      </c>
      <c r="F254" s="57">
        <v>19</v>
      </c>
      <c r="G254" s="57"/>
      <c r="H254" s="57">
        <v>2</v>
      </c>
      <c r="I254" s="57">
        <v>11</v>
      </c>
      <c r="J254" s="57"/>
      <c r="K254" s="57"/>
      <c r="L254" s="57"/>
      <c r="M254" s="57"/>
      <c r="Q254">
        <f t="shared" si="44"/>
        <v>0</v>
      </c>
      <c r="R254">
        <f t="shared" si="45"/>
        <v>1</v>
      </c>
      <c r="S254">
        <f t="shared" si="46"/>
        <v>2</v>
      </c>
      <c r="T254">
        <f t="shared" si="47"/>
        <v>19</v>
      </c>
      <c r="U254">
        <f t="shared" si="48"/>
        <v>2</v>
      </c>
      <c r="V254">
        <f t="shared" si="49"/>
        <v>11</v>
      </c>
      <c r="Y254" t="str">
        <f t="shared" si="50"/>
        <v>India</v>
      </c>
      <c r="Z254" s="104">
        <f t="shared" si="41"/>
        <v>1</v>
      </c>
      <c r="AA254" s="104">
        <f t="shared" si="42"/>
        <v>0.90476190476190477</v>
      </c>
      <c r="AB254" s="104">
        <f t="shared" si="43"/>
        <v>0.84615384615384615</v>
      </c>
    </row>
    <row r="255" spans="1:28" x14ac:dyDescent="0.25">
      <c r="A255" s="55" t="s">
        <v>5932</v>
      </c>
      <c r="B255" s="57"/>
      <c r="C255" s="57"/>
      <c r="D255" s="57"/>
      <c r="E255" s="57"/>
      <c r="F255" s="57">
        <v>7</v>
      </c>
      <c r="G255" s="57"/>
      <c r="H255" s="57"/>
      <c r="I255" s="57">
        <v>1</v>
      </c>
      <c r="J255" s="57"/>
      <c r="K255" s="57"/>
      <c r="L255" s="57"/>
      <c r="M255" s="57"/>
      <c r="Q255">
        <f t="shared" si="44"/>
        <v>0</v>
      </c>
      <c r="R255">
        <f t="shared" si="45"/>
        <v>0</v>
      </c>
      <c r="S255">
        <f t="shared" si="46"/>
        <v>0</v>
      </c>
      <c r="T255">
        <f t="shared" si="47"/>
        <v>7</v>
      </c>
      <c r="U255">
        <f t="shared" si="48"/>
        <v>0</v>
      </c>
      <c r="V255">
        <f t="shared" si="49"/>
        <v>1</v>
      </c>
      <c r="Y255" t="str">
        <f t="shared" si="50"/>
        <v>Indonesia</v>
      </c>
      <c r="Z255" s="104" t="str">
        <f t="shared" si="41"/>
        <v/>
      </c>
      <c r="AA255" s="104">
        <f t="shared" si="42"/>
        <v>1</v>
      </c>
      <c r="AB255" s="104">
        <f t="shared" si="43"/>
        <v>1</v>
      </c>
    </row>
    <row r="256" spans="1:28" x14ac:dyDescent="0.25">
      <c r="A256" s="55" t="s">
        <v>6850</v>
      </c>
      <c r="B256" s="57">
        <v>1</v>
      </c>
      <c r="C256" s="57"/>
      <c r="D256" s="57"/>
      <c r="E256" s="57">
        <v>1</v>
      </c>
      <c r="F256" s="57">
        <v>11</v>
      </c>
      <c r="G256" s="57"/>
      <c r="H256" s="57"/>
      <c r="I256" s="57">
        <v>1</v>
      </c>
      <c r="J256" s="57"/>
      <c r="K256" s="57"/>
      <c r="L256" s="57"/>
      <c r="M256" s="57"/>
      <c r="Q256">
        <f t="shared" si="44"/>
        <v>1</v>
      </c>
      <c r="R256">
        <f t="shared" si="45"/>
        <v>0</v>
      </c>
      <c r="S256">
        <f t="shared" si="46"/>
        <v>1</v>
      </c>
      <c r="T256">
        <f t="shared" si="47"/>
        <v>11</v>
      </c>
      <c r="U256">
        <f t="shared" si="48"/>
        <v>0</v>
      </c>
      <c r="V256">
        <f t="shared" si="49"/>
        <v>1</v>
      </c>
      <c r="Y256" t="str">
        <f t="shared" si="50"/>
        <v>Laos</v>
      </c>
      <c r="Z256" s="104">
        <f t="shared" si="41"/>
        <v>0</v>
      </c>
      <c r="AA256" s="104">
        <f t="shared" si="42"/>
        <v>0.91666666666666663</v>
      </c>
      <c r="AB256" s="104">
        <f t="shared" si="43"/>
        <v>1</v>
      </c>
    </row>
    <row r="257" spans="1:28" x14ac:dyDescent="0.25">
      <c r="A257" s="55" t="s">
        <v>8444</v>
      </c>
      <c r="B257" s="57"/>
      <c r="C257" s="57"/>
      <c r="D257" s="57"/>
      <c r="E257" s="57">
        <v>4</v>
      </c>
      <c r="F257" s="57">
        <v>10</v>
      </c>
      <c r="G257" s="57"/>
      <c r="H257" s="57"/>
      <c r="I257" s="57">
        <v>2</v>
      </c>
      <c r="J257" s="57"/>
      <c r="K257" s="57"/>
      <c r="L257" s="57"/>
      <c r="M257" s="57"/>
      <c r="Q257">
        <f t="shared" si="44"/>
        <v>0</v>
      </c>
      <c r="R257">
        <f t="shared" si="45"/>
        <v>0</v>
      </c>
      <c r="S257">
        <f t="shared" si="46"/>
        <v>4</v>
      </c>
      <c r="T257">
        <f t="shared" si="47"/>
        <v>10</v>
      </c>
      <c r="U257">
        <f t="shared" si="48"/>
        <v>0</v>
      </c>
      <c r="V257">
        <f t="shared" si="49"/>
        <v>2</v>
      </c>
      <c r="Y257" t="str">
        <f t="shared" si="50"/>
        <v>Myanmar</v>
      </c>
      <c r="Z257" s="104" t="str">
        <f t="shared" si="41"/>
        <v/>
      </c>
      <c r="AA257" s="104">
        <f t="shared" si="42"/>
        <v>0.7142857142857143</v>
      </c>
      <c r="AB257" s="104">
        <f t="shared" si="43"/>
        <v>1</v>
      </c>
    </row>
    <row r="258" spans="1:28" x14ac:dyDescent="0.25">
      <c r="A258" s="55" t="s">
        <v>8647</v>
      </c>
      <c r="B258" s="57"/>
      <c r="C258" s="57"/>
      <c r="D258" s="57"/>
      <c r="E258" s="57">
        <v>1</v>
      </c>
      <c r="F258" s="57">
        <v>17</v>
      </c>
      <c r="G258" s="57"/>
      <c r="H258" s="57">
        <v>1</v>
      </c>
      <c r="I258" s="57">
        <v>5</v>
      </c>
      <c r="J258" s="57"/>
      <c r="K258" s="57"/>
      <c r="L258" s="57"/>
      <c r="M258" s="57"/>
      <c r="Q258">
        <f t="shared" si="44"/>
        <v>0</v>
      </c>
      <c r="R258">
        <f t="shared" si="45"/>
        <v>0</v>
      </c>
      <c r="S258">
        <f t="shared" si="46"/>
        <v>1</v>
      </c>
      <c r="T258">
        <f t="shared" si="47"/>
        <v>17</v>
      </c>
      <c r="U258">
        <f t="shared" si="48"/>
        <v>1</v>
      </c>
      <c r="V258">
        <f t="shared" si="49"/>
        <v>5</v>
      </c>
      <c r="Y258" t="str">
        <f t="shared" si="50"/>
        <v>Nepal</v>
      </c>
      <c r="Z258" s="104" t="str">
        <f t="shared" si="41"/>
        <v/>
      </c>
      <c r="AA258" s="104">
        <f t="shared" si="42"/>
        <v>0.94444444444444442</v>
      </c>
      <c r="AB258" s="104">
        <f t="shared" si="43"/>
        <v>0.83333333333333337</v>
      </c>
    </row>
    <row r="259" spans="1:28" x14ac:dyDescent="0.25">
      <c r="A259" s="55" t="s">
        <v>9427</v>
      </c>
      <c r="B259" s="57"/>
      <c r="C259" s="57"/>
      <c r="D259" s="57"/>
      <c r="E259" s="57"/>
      <c r="F259" s="57">
        <v>3</v>
      </c>
      <c r="G259" s="57"/>
      <c r="H259" s="57"/>
      <c r="I259" s="57"/>
      <c r="J259" s="57"/>
      <c r="K259" s="57">
        <v>1</v>
      </c>
      <c r="L259" s="57">
        <v>1</v>
      </c>
      <c r="M259" s="57"/>
      <c r="Q259">
        <f t="shared" si="44"/>
        <v>0</v>
      </c>
      <c r="R259">
        <f t="shared" si="45"/>
        <v>0</v>
      </c>
      <c r="S259">
        <f t="shared" si="46"/>
        <v>0</v>
      </c>
      <c r="T259">
        <f t="shared" si="47"/>
        <v>3</v>
      </c>
      <c r="U259">
        <f t="shared" si="48"/>
        <v>0</v>
      </c>
      <c r="V259">
        <f t="shared" si="49"/>
        <v>0</v>
      </c>
      <c r="Y259" t="str">
        <f t="shared" si="50"/>
        <v>Pakistan</v>
      </c>
      <c r="Z259" s="104" t="str">
        <f t="shared" si="41"/>
        <v/>
      </c>
      <c r="AA259" s="104">
        <f t="shared" si="42"/>
        <v>1</v>
      </c>
      <c r="AB259" s="104" t="str">
        <f t="shared" si="43"/>
        <v/>
      </c>
    </row>
    <row r="260" spans="1:28" x14ac:dyDescent="0.25">
      <c r="A260" s="55" t="s">
        <v>9516</v>
      </c>
      <c r="B260" s="57">
        <v>1</v>
      </c>
      <c r="C260" s="57">
        <v>2</v>
      </c>
      <c r="D260" s="57"/>
      <c r="E260" s="57"/>
      <c r="F260" s="57">
        <v>6</v>
      </c>
      <c r="G260" s="57"/>
      <c r="H260" s="57"/>
      <c r="I260" s="57">
        <v>2</v>
      </c>
      <c r="J260" s="57"/>
      <c r="K260" s="57"/>
      <c r="L260" s="57"/>
      <c r="M260" s="57"/>
      <c r="Q260">
        <f t="shared" si="44"/>
        <v>1</v>
      </c>
      <c r="R260">
        <f t="shared" si="45"/>
        <v>2</v>
      </c>
      <c r="S260">
        <f t="shared" si="46"/>
        <v>0</v>
      </c>
      <c r="T260">
        <f t="shared" si="47"/>
        <v>6</v>
      </c>
      <c r="U260">
        <f t="shared" si="48"/>
        <v>0</v>
      </c>
      <c r="V260">
        <f t="shared" si="49"/>
        <v>2</v>
      </c>
      <c r="Y260" t="str">
        <f t="shared" si="50"/>
        <v>Papua New Guinea</v>
      </c>
      <c r="Z260" s="104">
        <f t="shared" si="41"/>
        <v>0.66666666666666663</v>
      </c>
      <c r="AA260" s="104">
        <f t="shared" si="42"/>
        <v>1</v>
      </c>
      <c r="AB260" s="104">
        <f t="shared" si="43"/>
        <v>1</v>
      </c>
    </row>
    <row r="261" spans="1:28" x14ac:dyDescent="0.25">
      <c r="A261" s="55" t="s">
        <v>10263</v>
      </c>
      <c r="B261" s="57"/>
      <c r="C261" s="57"/>
      <c r="D261" s="57"/>
      <c r="E261" s="57">
        <v>1</v>
      </c>
      <c r="F261" s="57">
        <v>1</v>
      </c>
      <c r="G261" s="57"/>
      <c r="H261" s="57"/>
      <c r="I261" s="57">
        <v>3</v>
      </c>
      <c r="J261" s="57"/>
      <c r="K261" s="57"/>
      <c r="L261" s="57"/>
      <c r="M261" s="57"/>
      <c r="Q261">
        <f t="shared" si="44"/>
        <v>0</v>
      </c>
      <c r="R261">
        <f t="shared" si="45"/>
        <v>0</v>
      </c>
      <c r="S261">
        <f t="shared" si="46"/>
        <v>1</v>
      </c>
      <c r="T261">
        <f t="shared" si="47"/>
        <v>1</v>
      </c>
      <c r="U261">
        <f t="shared" si="48"/>
        <v>0</v>
      </c>
      <c r="V261">
        <f t="shared" si="49"/>
        <v>3</v>
      </c>
      <c r="Y261" t="str">
        <f t="shared" si="50"/>
        <v>Philippines</v>
      </c>
      <c r="Z261" s="104" t="str">
        <f t="shared" si="41"/>
        <v/>
      </c>
      <c r="AA261" s="104">
        <f t="shared" si="42"/>
        <v>0.5</v>
      </c>
      <c r="AB261" s="104">
        <f t="shared" si="43"/>
        <v>1</v>
      </c>
    </row>
    <row r="262" spans="1:28" x14ac:dyDescent="0.25">
      <c r="A262" s="55" t="s">
        <v>11304</v>
      </c>
      <c r="B262" s="57"/>
      <c r="C262" s="57"/>
      <c r="D262" s="57"/>
      <c r="E262" s="57"/>
      <c r="F262" s="57">
        <v>6</v>
      </c>
      <c r="G262" s="57"/>
      <c r="H262" s="57">
        <v>1</v>
      </c>
      <c r="I262" s="57"/>
      <c r="J262" s="57"/>
      <c r="K262" s="57"/>
      <c r="L262" s="57"/>
      <c r="M262" s="57"/>
      <c r="Q262">
        <f t="shared" si="44"/>
        <v>0</v>
      </c>
      <c r="R262">
        <f t="shared" si="45"/>
        <v>0</v>
      </c>
      <c r="S262">
        <f t="shared" si="46"/>
        <v>0</v>
      </c>
      <c r="T262">
        <f t="shared" si="47"/>
        <v>6</v>
      </c>
      <c r="U262">
        <f t="shared" si="48"/>
        <v>1</v>
      </c>
      <c r="V262">
        <f t="shared" si="49"/>
        <v>0</v>
      </c>
      <c r="Y262" t="str">
        <f t="shared" si="50"/>
        <v>Sri Lanka</v>
      </c>
      <c r="Z262" s="104" t="str">
        <f t="shared" si="41"/>
        <v/>
      </c>
      <c r="AA262" s="104">
        <f t="shared" si="42"/>
        <v>1</v>
      </c>
      <c r="AB262" s="104">
        <f t="shared" si="43"/>
        <v>0</v>
      </c>
    </row>
    <row r="263" spans="1:28" x14ac:dyDescent="0.25">
      <c r="A263" s="55" t="s">
        <v>12294</v>
      </c>
      <c r="B263" s="57"/>
      <c r="C263" s="57"/>
      <c r="D263" s="57"/>
      <c r="E263" s="57"/>
      <c r="F263" s="57">
        <v>11</v>
      </c>
      <c r="G263" s="57"/>
      <c r="H263" s="57"/>
      <c r="I263" s="57">
        <v>11</v>
      </c>
      <c r="J263" s="57"/>
      <c r="K263" s="57"/>
      <c r="L263" s="57"/>
      <c r="M263" s="57"/>
      <c r="Q263">
        <f t="shared" si="44"/>
        <v>0</v>
      </c>
      <c r="R263">
        <f t="shared" si="45"/>
        <v>0</v>
      </c>
      <c r="S263">
        <f t="shared" si="46"/>
        <v>0</v>
      </c>
      <c r="T263">
        <f t="shared" si="47"/>
        <v>11</v>
      </c>
      <c r="U263">
        <f t="shared" si="48"/>
        <v>0</v>
      </c>
      <c r="V263">
        <f t="shared" si="49"/>
        <v>11</v>
      </c>
      <c r="Y263" t="str">
        <f t="shared" si="50"/>
        <v>Thailand</v>
      </c>
      <c r="Z263" s="104" t="str">
        <f t="shared" si="41"/>
        <v/>
      </c>
      <c r="AA263" s="104">
        <f t="shared" si="42"/>
        <v>1</v>
      </c>
      <c r="AB263" s="104">
        <f t="shared" si="43"/>
        <v>1</v>
      </c>
    </row>
    <row r="264" spans="1:28" x14ac:dyDescent="0.25">
      <c r="A264" s="55" t="s">
        <v>12547</v>
      </c>
      <c r="B264" s="57">
        <v>1</v>
      </c>
      <c r="C264" s="57"/>
      <c r="D264" s="57"/>
      <c r="E264" s="57">
        <v>3</v>
      </c>
      <c r="F264" s="57">
        <v>2</v>
      </c>
      <c r="G264" s="57"/>
      <c r="H264" s="57"/>
      <c r="I264" s="57"/>
      <c r="J264" s="57"/>
      <c r="K264" s="57"/>
      <c r="L264" s="57"/>
      <c r="M264" s="57"/>
      <c r="Q264">
        <f t="shared" si="44"/>
        <v>1</v>
      </c>
      <c r="R264">
        <f t="shared" si="45"/>
        <v>0</v>
      </c>
      <c r="S264">
        <f t="shared" si="46"/>
        <v>3</v>
      </c>
      <c r="T264">
        <f t="shared" si="47"/>
        <v>2</v>
      </c>
      <c r="U264">
        <f t="shared" si="48"/>
        <v>0</v>
      </c>
      <c r="V264">
        <f t="shared" si="49"/>
        <v>0</v>
      </c>
      <c r="Y264" t="str">
        <f t="shared" si="50"/>
        <v>Timor-Leste</v>
      </c>
      <c r="Z264" s="104">
        <f t="shared" si="41"/>
        <v>0</v>
      </c>
      <c r="AA264" s="104">
        <f t="shared" si="42"/>
        <v>0.4</v>
      </c>
      <c r="AB264" s="104" t="str">
        <f t="shared" si="43"/>
        <v/>
      </c>
    </row>
    <row r="265" spans="1:28" x14ac:dyDescent="0.25">
      <c r="A265" s="55" t="s">
        <v>13272</v>
      </c>
      <c r="B265" s="57"/>
      <c r="C265" s="57"/>
      <c r="D265" s="57"/>
      <c r="E265" s="57"/>
      <c r="F265" s="57">
        <v>5</v>
      </c>
      <c r="G265" s="57"/>
      <c r="H265" s="57"/>
      <c r="I265" s="57">
        <v>3</v>
      </c>
      <c r="J265" s="57"/>
      <c r="K265" s="57"/>
      <c r="L265" s="57"/>
      <c r="M265" s="57"/>
      <c r="Q265">
        <f t="shared" si="44"/>
        <v>0</v>
      </c>
      <c r="R265">
        <f t="shared" si="45"/>
        <v>0</v>
      </c>
      <c r="S265">
        <f t="shared" si="46"/>
        <v>0</v>
      </c>
      <c r="T265">
        <f t="shared" si="47"/>
        <v>5</v>
      </c>
      <c r="U265">
        <f t="shared" si="48"/>
        <v>0</v>
      </c>
      <c r="V265">
        <f t="shared" si="49"/>
        <v>3</v>
      </c>
      <c r="Y265" t="str">
        <f t="shared" si="50"/>
        <v>Vanuatu</v>
      </c>
      <c r="Z265" s="104" t="str">
        <f t="shared" si="41"/>
        <v/>
      </c>
      <c r="AA265" s="104">
        <f t="shared" si="42"/>
        <v>1</v>
      </c>
      <c r="AB265" s="104">
        <f t="shared" si="43"/>
        <v>1</v>
      </c>
    </row>
    <row r="266" spans="1:28" x14ac:dyDescent="0.25">
      <c r="A266" s="55" t="s">
        <v>13409</v>
      </c>
      <c r="B266" s="57"/>
      <c r="C266" s="57"/>
      <c r="D266" s="57"/>
      <c r="E266" s="57">
        <v>3</v>
      </c>
      <c r="F266" s="57">
        <v>7</v>
      </c>
      <c r="G266" s="57"/>
      <c r="H266" s="57"/>
      <c r="I266" s="57">
        <v>7</v>
      </c>
      <c r="J266" s="57"/>
      <c r="K266" s="57"/>
      <c r="L266" s="57"/>
      <c r="M266" s="57"/>
      <c r="Q266">
        <f t="shared" si="44"/>
        <v>0</v>
      </c>
      <c r="R266">
        <f t="shared" si="45"/>
        <v>0</v>
      </c>
      <c r="S266">
        <f t="shared" si="46"/>
        <v>3</v>
      </c>
      <c r="T266">
        <f t="shared" si="47"/>
        <v>7</v>
      </c>
      <c r="U266">
        <f t="shared" si="48"/>
        <v>0</v>
      </c>
      <c r="V266">
        <f t="shared" si="49"/>
        <v>7</v>
      </c>
      <c r="Y266" t="str">
        <f t="shared" si="50"/>
        <v>Vietnam</v>
      </c>
      <c r="Z266" s="104" t="str">
        <f t="shared" si="41"/>
        <v/>
      </c>
      <c r="AA266" s="104">
        <f t="shared" si="42"/>
        <v>0.7</v>
      </c>
      <c r="AB266" s="104">
        <f t="shared" si="43"/>
        <v>1</v>
      </c>
    </row>
    <row r="267" spans="1:28" x14ac:dyDescent="0.25">
      <c r="A267" s="50" t="s">
        <v>14279</v>
      </c>
      <c r="B267" s="57">
        <v>4</v>
      </c>
      <c r="C267" s="57">
        <v>3</v>
      </c>
      <c r="D267" s="57"/>
      <c r="E267" s="57">
        <v>20</v>
      </c>
      <c r="F267" s="57">
        <v>170</v>
      </c>
      <c r="G267" s="57"/>
      <c r="H267" s="57">
        <v>4</v>
      </c>
      <c r="I267" s="57">
        <v>52</v>
      </c>
      <c r="J267" s="57"/>
      <c r="K267" s="57">
        <v>1</v>
      </c>
      <c r="L267" s="57">
        <v>1</v>
      </c>
      <c r="M267" s="57"/>
      <c r="Q267">
        <f t="shared" si="44"/>
        <v>4</v>
      </c>
      <c r="R267">
        <f t="shared" si="45"/>
        <v>3</v>
      </c>
      <c r="S267">
        <f t="shared" si="46"/>
        <v>20</v>
      </c>
      <c r="T267">
        <f t="shared" si="47"/>
        <v>170</v>
      </c>
      <c r="U267">
        <f t="shared" si="48"/>
        <v>4</v>
      </c>
      <c r="V267">
        <f t="shared" si="49"/>
        <v>52</v>
      </c>
      <c r="Y267" t="str">
        <f t="shared" si="50"/>
        <v>Asia and the Pacific Total</v>
      </c>
      <c r="Z267" s="104">
        <f t="shared" si="41"/>
        <v>0.42857142857142855</v>
      </c>
      <c r="AA267" s="104">
        <f t="shared" si="42"/>
        <v>0.89473684210526316</v>
      </c>
      <c r="AB267" s="104">
        <f t="shared" si="43"/>
        <v>0.9285714285714286</v>
      </c>
    </row>
    <row r="268" spans="1:28" x14ac:dyDescent="0.25">
      <c r="A268" s="50" t="s">
        <v>2807</v>
      </c>
      <c r="B268" s="57"/>
      <c r="C268" s="57"/>
      <c r="D268" s="57"/>
      <c r="E268" s="57"/>
      <c r="F268" s="57"/>
      <c r="G268" s="57"/>
      <c r="H268" s="57"/>
      <c r="I268" s="57"/>
      <c r="J268" s="57"/>
      <c r="K268" s="57"/>
      <c r="L268" s="57"/>
      <c r="M268" s="57"/>
      <c r="Q268">
        <f t="shared" si="44"/>
        <v>0</v>
      </c>
      <c r="R268">
        <f t="shared" si="45"/>
        <v>0</v>
      </c>
      <c r="S268">
        <f t="shared" si="46"/>
        <v>0</v>
      </c>
      <c r="T268">
        <f t="shared" si="47"/>
        <v>0</v>
      </c>
      <c r="U268">
        <f t="shared" si="48"/>
        <v>0</v>
      </c>
      <c r="V268">
        <f t="shared" si="49"/>
        <v>0</v>
      </c>
      <c r="Y268" t="str">
        <f t="shared" si="50"/>
        <v>Latin America and the Caribbean</v>
      </c>
      <c r="Z268" s="104" t="str">
        <f t="shared" si="41"/>
        <v/>
      </c>
      <c r="AA268" s="104" t="str">
        <f t="shared" si="42"/>
        <v/>
      </c>
      <c r="AB268" s="104" t="str">
        <f t="shared" si="43"/>
        <v/>
      </c>
    </row>
    <row r="269" spans="1:28" x14ac:dyDescent="0.25">
      <c r="A269" s="55" t="s">
        <v>2806</v>
      </c>
      <c r="B269" s="57"/>
      <c r="C269" s="57"/>
      <c r="D269" s="57"/>
      <c r="E269" s="57"/>
      <c r="F269" s="57"/>
      <c r="G269" s="57"/>
      <c r="H269" s="57"/>
      <c r="I269" s="57">
        <v>1</v>
      </c>
      <c r="J269" s="57"/>
      <c r="K269" s="57"/>
      <c r="L269" s="57"/>
      <c r="M269" s="57"/>
      <c r="Q269">
        <f t="shared" si="44"/>
        <v>0</v>
      </c>
      <c r="R269">
        <f t="shared" si="45"/>
        <v>0</v>
      </c>
      <c r="S269">
        <f t="shared" si="46"/>
        <v>0</v>
      </c>
      <c r="T269">
        <f t="shared" si="47"/>
        <v>0</v>
      </c>
      <c r="U269">
        <f t="shared" si="48"/>
        <v>0</v>
      </c>
      <c r="V269">
        <f t="shared" si="49"/>
        <v>1</v>
      </c>
      <c r="Y269" t="str">
        <f t="shared" si="50"/>
        <v>Colombia</v>
      </c>
      <c r="Z269" s="104" t="str">
        <f t="shared" si="41"/>
        <v/>
      </c>
      <c r="AA269" s="104" t="str">
        <f t="shared" si="42"/>
        <v/>
      </c>
      <c r="AB269" s="104">
        <f t="shared" si="43"/>
        <v>1</v>
      </c>
    </row>
    <row r="270" spans="1:28" x14ac:dyDescent="0.25">
      <c r="A270" s="55" t="s">
        <v>2931</v>
      </c>
      <c r="B270" s="57"/>
      <c r="C270" s="57"/>
      <c r="D270" s="57"/>
      <c r="E270" s="57"/>
      <c r="F270" s="57">
        <v>1</v>
      </c>
      <c r="G270" s="57"/>
      <c r="H270" s="57"/>
      <c r="I270" s="57"/>
      <c r="J270" s="57"/>
      <c r="K270" s="57"/>
      <c r="L270" s="57"/>
      <c r="M270" s="57"/>
      <c r="Q270">
        <f t="shared" si="44"/>
        <v>0</v>
      </c>
      <c r="R270">
        <f t="shared" si="45"/>
        <v>0</v>
      </c>
      <c r="S270">
        <f t="shared" si="46"/>
        <v>0</v>
      </c>
      <c r="T270">
        <f t="shared" si="47"/>
        <v>1</v>
      </c>
      <c r="U270">
        <f t="shared" si="48"/>
        <v>0</v>
      </c>
      <c r="V270">
        <f t="shared" si="49"/>
        <v>0</v>
      </c>
      <c r="Y270" t="str">
        <f t="shared" si="50"/>
        <v>Costa Rica</v>
      </c>
      <c r="Z270" s="104" t="str">
        <f t="shared" si="41"/>
        <v/>
      </c>
      <c r="AA270" s="104">
        <f t="shared" si="42"/>
        <v>1</v>
      </c>
      <c r="AB270" s="104" t="str">
        <f t="shared" si="43"/>
        <v/>
      </c>
    </row>
    <row r="271" spans="1:28" x14ac:dyDescent="0.25">
      <c r="A271" s="55" t="s">
        <v>3148</v>
      </c>
      <c r="B271" s="57"/>
      <c r="C271" s="57"/>
      <c r="D271" s="57"/>
      <c r="E271" s="57">
        <v>1</v>
      </c>
      <c r="F271" s="57">
        <v>4</v>
      </c>
      <c r="G271" s="57"/>
      <c r="H271" s="57"/>
      <c r="I271" s="57"/>
      <c r="J271" s="57"/>
      <c r="K271" s="57"/>
      <c r="L271" s="57"/>
      <c r="M271" s="57"/>
      <c r="Q271">
        <f t="shared" si="44"/>
        <v>0</v>
      </c>
      <c r="R271">
        <f t="shared" si="45"/>
        <v>0</v>
      </c>
      <c r="S271">
        <f t="shared" si="46"/>
        <v>1</v>
      </c>
      <c r="T271">
        <f t="shared" si="47"/>
        <v>4</v>
      </c>
      <c r="U271">
        <f t="shared" si="48"/>
        <v>0</v>
      </c>
      <c r="V271">
        <f t="shared" si="49"/>
        <v>0</v>
      </c>
      <c r="Y271" t="str">
        <f t="shared" si="50"/>
        <v>Cuba</v>
      </c>
      <c r="Z271" s="104" t="str">
        <f t="shared" si="41"/>
        <v/>
      </c>
      <c r="AA271" s="104">
        <f t="shared" si="42"/>
        <v>0.8</v>
      </c>
      <c r="AB271" s="104" t="str">
        <f t="shared" si="43"/>
        <v/>
      </c>
    </row>
    <row r="272" spans="1:28" x14ac:dyDescent="0.25">
      <c r="A272" s="55" t="s">
        <v>3261</v>
      </c>
      <c r="B272" s="57"/>
      <c r="C272" s="57"/>
      <c r="D272" s="57"/>
      <c r="E272" s="57"/>
      <c r="F272" s="57"/>
      <c r="G272" s="57"/>
      <c r="H272" s="57"/>
      <c r="I272" s="57"/>
      <c r="J272" s="57"/>
      <c r="K272" s="57"/>
      <c r="L272" s="57"/>
      <c r="M272" s="57"/>
      <c r="Q272">
        <f t="shared" si="44"/>
        <v>0</v>
      </c>
      <c r="R272">
        <f t="shared" si="45"/>
        <v>0</v>
      </c>
      <c r="S272">
        <f t="shared" si="46"/>
        <v>0</v>
      </c>
      <c r="T272">
        <f t="shared" si="47"/>
        <v>0</v>
      </c>
      <c r="U272">
        <f t="shared" si="48"/>
        <v>0</v>
      </c>
      <c r="V272">
        <f t="shared" si="49"/>
        <v>0</v>
      </c>
      <c r="Y272" t="str">
        <f t="shared" si="50"/>
        <v>Dominican Republic</v>
      </c>
      <c r="Z272" s="104" t="str">
        <f t="shared" si="41"/>
        <v/>
      </c>
      <c r="AA272" s="104" t="str">
        <f t="shared" si="42"/>
        <v/>
      </c>
      <c r="AB272" s="104" t="str">
        <f t="shared" si="43"/>
        <v/>
      </c>
    </row>
    <row r="273" spans="1:28" x14ac:dyDescent="0.25">
      <c r="A273" s="55" t="s">
        <v>3272</v>
      </c>
      <c r="B273" s="57"/>
      <c r="C273" s="57"/>
      <c r="D273" s="57"/>
      <c r="E273" s="57"/>
      <c r="F273" s="57">
        <v>16</v>
      </c>
      <c r="G273" s="57"/>
      <c r="H273" s="57"/>
      <c r="I273" s="57">
        <v>2</v>
      </c>
      <c r="J273" s="57"/>
      <c r="K273" s="57"/>
      <c r="L273" s="57"/>
      <c r="M273" s="57"/>
      <c r="Q273">
        <f t="shared" si="44"/>
        <v>0</v>
      </c>
      <c r="R273">
        <f t="shared" si="45"/>
        <v>0</v>
      </c>
      <c r="S273">
        <f t="shared" si="46"/>
        <v>0</v>
      </c>
      <c r="T273">
        <f t="shared" si="47"/>
        <v>16</v>
      </c>
      <c r="U273">
        <f t="shared" si="48"/>
        <v>0</v>
      </c>
      <c r="V273">
        <f t="shared" si="49"/>
        <v>2</v>
      </c>
      <c r="Y273" t="str">
        <f t="shared" si="50"/>
        <v>Ecuador</v>
      </c>
      <c r="Z273" s="104" t="str">
        <f t="shared" si="41"/>
        <v/>
      </c>
      <c r="AA273" s="104">
        <f t="shared" si="42"/>
        <v>1</v>
      </c>
      <c r="AB273" s="104">
        <f t="shared" si="43"/>
        <v>1</v>
      </c>
    </row>
    <row r="274" spans="1:28" x14ac:dyDescent="0.25">
      <c r="A274" s="55" t="s">
        <v>4777</v>
      </c>
      <c r="B274" s="57"/>
      <c r="C274" s="57"/>
      <c r="D274" s="57"/>
      <c r="E274" s="57"/>
      <c r="F274" s="57">
        <v>6</v>
      </c>
      <c r="G274" s="57"/>
      <c r="H274" s="57"/>
      <c r="I274" s="57">
        <v>9</v>
      </c>
      <c r="J274" s="57"/>
      <c r="K274" s="57"/>
      <c r="L274" s="57"/>
      <c r="M274" s="57"/>
      <c r="Q274">
        <f t="shared" si="44"/>
        <v>0</v>
      </c>
      <c r="R274">
        <f t="shared" si="45"/>
        <v>0</v>
      </c>
      <c r="S274">
        <f t="shared" si="46"/>
        <v>0</v>
      </c>
      <c r="T274">
        <f t="shared" si="47"/>
        <v>6</v>
      </c>
      <c r="U274">
        <f t="shared" si="48"/>
        <v>0</v>
      </c>
      <c r="V274">
        <f t="shared" si="49"/>
        <v>9</v>
      </c>
      <c r="Y274" t="str">
        <f t="shared" si="50"/>
        <v>Guatemala</v>
      </c>
      <c r="Z274" s="104" t="str">
        <f t="shared" si="41"/>
        <v/>
      </c>
      <c r="AA274" s="104">
        <f t="shared" si="42"/>
        <v>1</v>
      </c>
      <c r="AB274" s="104">
        <f t="shared" si="43"/>
        <v>1</v>
      </c>
    </row>
    <row r="275" spans="1:28" x14ac:dyDescent="0.25">
      <c r="A275" s="55" t="s">
        <v>5061</v>
      </c>
      <c r="B275" s="57"/>
      <c r="C275" s="57"/>
      <c r="D275" s="57"/>
      <c r="E275" s="57"/>
      <c r="F275" s="57">
        <v>8</v>
      </c>
      <c r="G275" s="57"/>
      <c r="H275" s="57"/>
      <c r="I275" s="57"/>
      <c r="J275" s="57"/>
      <c r="K275" s="57"/>
      <c r="L275" s="57"/>
      <c r="M275" s="57"/>
      <c r="Q275">
        <f t="shared" si="44"/>
        <v>0</v>
      </c>
      <c r="R275">
        <f t="shared" si="45"/>
        <v>0</v>
      </c>
      <c r="S275">
        <f t="shared" si="46"/>
        <v>0</v>
      </c>
      <c r="T275">
        <f t="shared" si="47"/>
        <v>8</v>
      </c>
      <c r="U275">
        <f t="shared" si="48"/>
        <v>0</v>
      </c>
      <c r="V275">
        <f t="shared" si="49"/>
        <v>0</v>
      </c>
      <c r="Y275" t="str">
        <f t="shared" si="50"/>
        <v>Haiti</v>
      </c>
      <c r="Z275" s="104" t="str">
        <f t="shared" si="41"/>
        <v/>
      </c>
      <c r="AA275" s="104">
        <f t="shared" si="42"/>
        <v>1</v>
      </c>
      <c r="AB275" s="104" t="str">
        <f t="shared" si="43"/>
        <v/>
      </c>
    </row>
    <row r="276" spans="1:28" x14ac:dyDescent="0.25">
      <c r="A276" s="55" t="s">
        <v>5190</v>
      </c>
      <c r="B276" s="57"/>
      <c r="C276" s="57"/>
      <c r="D276" s="57"/>
      <c r="E276" s="57"/>
      <c r="F276" s="57">
        <v>5</v>
      </c>
      <c r="G276" s="57"/>
      <c r="H276" s="57"/>
      <c r="I276" s="57">
        <v>2</v>
      </c>
      <c r="J276" s="57"/>
      <c r="K276" s="57"/>
      <c r="L276" s="57"/>
      <c r="M276" s="57"/>
      <c r="Q276">
        <f t="shared" si="44"/>
        <v>0</v>
      </c>
      <c r="R276">
        <f t="shared" si="45"/>
        <v>0</v>
      </c>
      <c r="S276">
        <f t="shared" si="46"/>
        <v>0</v>
      </c>
      <c r="T276">
        <f t="shared" si="47"/>
        <v>5</v>
      </c>
      <c r="U276">
        <f t="shared" si="48"/>
        <v>0</v>
      </c>
      <c r="V276">
        <f t="shared" si="49"/>
        <v>2</v>
      </c>
      <c r="Y276" t="str">
        <f t="shared" si="50"/>
        <v>Honduras</v>
      </c>
      <c r="Z276" s="104" t="str">
        <f t="shared" si="41"/>
        <v/>
      </c>
      <c r="AA276" s="104">
        <f t="shared" si="42"/>
        <v>1</v>
      </c>
      <c r="AB276" s="104">
        <f t="shared" si="43"/>
        <v>1</v>
      </c>
    </row>
    <row r="277" spans="1:28" x14ac:dyDescent="0.25">
      <c r="A277" s="55" t="s">
        <v>8138</v>
      </c>
      <c r="B277" s="57"/>
      <c r="C277" s="57"/>
      <c r="D277" s="57"/>
      <c r="E277" s="57"/>
      <c r="F277" s="57"/>
      <c r="G277" s="57"/>
      <c r="H277" s="57"/>
      <c r="I277" s="57">
        <v>1</v>
      </c>
      <c r="J277" s="57"/>
      <c r="K277" s="57"/>
      <c r="L277" s="57"/>
      <c r="M277" s="57"/>
      <c r="Q277">
        <f t="shared" si="44"/>
        <v>0</v>
      </c>
      <c r="R277">
        <f t="shared" si="45"/>
        <v>0</v>
      </c>
      <c r="S277">
        <f t="shared" si="46"/>
        <v>0</v>
      </c>
      <c r="T277">
        <f t="shared" si="47"/>
        <v>0</v>
      </c>
      <c r="U277">
        <f t="shared" si="48"/>
        <v>0</v>
      </c>
      <c r="V277">
        <f t="shared" si="49"/>
        <v>1</v>
      </c>
      <c r="Y277" t="str">
        <f t="shared" si="50"/>
        <v>Mexico</v>
      </c>
      <c r="Z277" s="104" t="str">
        <f t="shared" si="41"/>
        <v/>
      </c>
      <c r="AA277" s="104" t="str">
        <f t="shared" si="42"/>
        <v/>
      </c>
      <c r="AB277" s="104">
        <f t="shared" si="43"/>
        <v>1</v>
      </c>
    </row>
    <row r="278" spans="1:28" x14ac:dyDescent="0.25">
      <c r="A278" s="55" t="s">
        <v>9042</v>
      </c>
      <c r="B278" s="57"/>
      <c r="C278" s="57"/>
      <c r="D278" s="57"/>
      <c r="E278" s="57"/>
      <c r="F278" s="57">
        <v>1</v>
      </c>
      <c r="G278" s="57"/>
      <c r="H278" s="57"/>
      <c r="I278" s="57"/>
      <c r="J278" s="57"/>
      <c r="K278" s="57"/>
      <c r="L278" s="57"/>
      <c r="M278" s="57"/>
      <c r="Q278">
        <f t="shared" si="44"/>
        <v>0</v>
      </c>
      <c r="R278">
        <f t="shared" si="45"/>
        <v>0</v>
      </c>
      <c r="S278">
        <f t="shared" si="46"/>
        <v>0</v>
      </c>
      <c r="T278">
        <f t="shared" si="47"/>
        <v>1</v>
      </c>
      <c r="U278">
        <f t="shared" si="48"/>
        <v>0</v>
      </c>
      <c r="V278">
        <f t="shared" si="49"/>
        <v>0</v>
      </c>
      <c r="Y278" t="str">
        <f t="shared" si="50"/>
        <v>Nicaragua</v>
      </c>
      <c r="Z278" s="104" t="str">
        <f t="shared" si="41"/>
        <v/>
      </c>
      <c r="AA278" s="104">
        <f t="shared" si="42"/>
        <v>1</v>
      </c>
      <c r="AB278" s="104" t="str">
        <f t="shared" si="43"/>
        <v/>
      </c>
    </row>
    <row r="279" spans="1:28" x14ac:dyDescent="0.25">
      <c r="A279" s="55" t="s">
        <v>9514</v>
      </c>
      <c r="B279" s="57"/>
      <c r="C279" s="57"/>
      <c r="D279" s="57"/>
      <c r="E279" s="57"/>
      <c r="F279" s="57"/>
      <c r="G279" s="57"/>
      <c r="H279" s="57"/>
      <c r="I279" s="57"/>
      <c r="J279" s="57"/>
      <c r="K279" s="57"/>
      <c r="L279" s="57"/>
      <c r="M279" s="57"/>
      <c r="Q279">
        <f t="shared" si="44"/>
        <v>0</v>
      </c>
      <c r="R279">
        <f t="shared" si="45"/>
        <v>0</v>
      </c>
      <c r="S279">
        <f t="shared" si="46"/>
        <v>0</v>
      </c>
      <c r="T279">
        <f t="shared" si="47"/>
        <v>0</v>
      </c>
      <c r="U279">
        <f t="shared" si="48"/>
        <v>0</v>
      </c>
      <c r="V279">
        <f t="shared" si="49"/>
        <v>0</v>
      </c>
      <c r="Y279" t="str">
        <f t="shared" si="50"/>
        <v>Panama</v>
      </c>
      <c r="Z279" s="104" t="str">
        <f t="shared" si="41"/>
        <v/>
      </c>
      <c r="AA279" s="104" t="str">
        <f t="shared" si="42"/>
        <v/>
      </c>
      <c r="AB279" s="104" t="str">
        <f t="shared" si="43"/>
        <v/>
      </c>
    </row>
    <row r="280" spans="1:28" x14ac:dyDescent="0.25">
      <c r="A280" s="55" t="s">
        <v>9706</v>
      </c>
      <c r="B280" s="57">
        <v>1</v>
      </c>
      <c r="C280" s="57">
        <v>2</v>
      </c>
      <c r="D280" s="57"/>
      <c r="E280" s="57">
        <v>8</v>
      </c>
      <c r="F280" s="57">
        <v>19</v>
      </c>
      <c r="G280" s="57"/>
      <c r="H280" s="57"/>
      <c r="I280" s="57">
        <v>5</v>
      </c>
      <c r="J280" s="57"/>
      <c r="K280" s="57"/>
      <c r="L280" s="57"/>
      <c r="M280" s="57"/>
      <c r="Q280">
        <f t="shared" si="44"/>
        <v>1</v>
      </c>
      <c r="R280">
        <f t="shared" si="45"/>
        <v>2</v>
      </c>
      <c r="S280">
        <f t="shared" si="46"/>
        <v>8</v>
      </c>
      <c r="T280">
        <f t="shared" si="47"/>
        <v>19</v>
      </c>
      <c r="U280">
        <f t="shared" si="48"/>
        <v>0</v>
      </c>
      <c r="V280">
        <f t="shared" si="49"/>
        <v>5</v>
      </c>
      <c r="Y280" t="str">
        <f t="shared" si="50"/>
        <v>Peru</v>
      </c>
      <c r="Z280" s="104">
        <f t="shared" si="41"/>
        <v>0.66666666666666663</v>
      </c>
      <c r="AA280" s="104">
        <f t="shared" si="42"/>
        <v>0.70370370370370372</v>
      </c>
      <c r="AB280" s="104">
        <f t="shared" si="43"/>
        <v>1</v>
      </c>
    </row>
    <row r="281" spans="1:28" x14ac:dyDescent="0.25">
      <c r="A281" s="50" t="s">
        <v>14280</v>
      </c>
      <c r="B281" s="57">
        <v>1</v>
      </c>
      <c r="C281" s="57">
        <v>2</v>
      </c>
      <c r="D281" s="57"/>
      <c r="E281" s="57">
        <v>9</v>
      </c>
      <c r="F281" s="57">
        <v>60</v>
      </c>
      <c r="G281" s="57"/>
      <c r="H281" s="57"/>
      <c r="I281" s="57">
        <v>20</v>
      </c>
      <c r="J281" s="57"/>
      <c r="K281" s="57"/>
      <c r="L281" s="57"/>
      <c r="M281" s="57"/>
      <c r="Q281">
        <f t="shared" si="44"/>
        <v>1</v>
      </c>
      <c r="R281">
        <f t="shared" si="45"/>
        <v>2</v>
      </c>
      <c r="S281">
        <f t="shared" si="46"/>
        <v>9</v>
      </c>
      <c r="T281">
        <f t="shared" si="47"/>
        <v>60</v>
      </c>
      <c r="U281">
        <f t="shared" si="48"/>
        <v>0</v>
      </c>
      <c r="V281">
        <f t="shared" si="49"/>
        <v>20</v>
      </c>
      <c r="Y281" t="str">
        <f t="shared" si="50"/>
        <v>Latin America and the Caribbean Total</v>
      </c>
      <c r="Z281" s="104">
        <f t="shared" si="41"/>
        <v>0.66666666666666663</v>
      </c>
      <c r="AA281" s="104">
        <f t="shared" si="42"/>
        <v>0.86956521739130432</v>
      </c>
      <c r="AB281" s="104">
        <f t="shared" si="43"/>
        <v>1</v>
      </c>
    </row>
    <row r="282" spans="1:28" x14ac:dyDescent="0.25">
      <c r="A282" s="50" t="s">
        <v>602</v>
      </c>
      <c r="B282" s="57"/>
      <c r="C282" s="57"/>
      <c r="D282" s="57"/>
      <c r="E282" s="57"/>
      <c r="F282" s="57"/>
      <c r="G282" s="57"/>
      <c r="H282" s="57"/>
      <c r="I282" s="57"/>
      <c r="J282" s="57"/>
      <c r="K282" s="57"/>
      <c r="L282" s="57"/>
      <c r="M282" s="57"/>
      <c r="Q282">
        <f t="shared" ref="Q282:Q317" si="51">B282</f>
        <v>0</v>
      </c>
      <c r="R282">
        <f t="shared" ref="R282:R317" si="52">C282</f>
        <v>0</v>
      </c>
      <c r="S282">
        <f t="shared" ref="S282:S317" si="53">E282</f>
        <v>0</v>
      </c>
      <c r="T282">
        <f t="shared" ref="T282:T317" si="54">F282</f>
        <v>0</v>
      </c>
      <c r="U282">
        <f t="shared" ref="U282:U317" si="55">H282</f>
        <v>0</v>
      </c>
      <c r="V282">
        <f t="shared" ref="V282:V317" si="56">I282</f>
        <v>0</v>
      </c>
      <c r="Y282" t="str">
        <f t="shared" ref="Y282:Y317" si="57">A282</f>
        <v>Middle East, North Africa and Europe</v>
      </c>
      <c r="Z282" s="104" t="str">
        <f t="shared" si="41"/>
        <v/>
      </c>
      <c r="AA282" s="104" t="str">
        <f t="shared" si="42"/>
        <v/>
      </c>
      <c r="AB282" s="104" t="str">
        <f t="shared" si="43"/>
        <v/>
      </c>
    </row>
    <row r="283" spans="1:28" x14ac:dyDescent="0.25">
      <c r="A283" s="55" t="s">
        <v>601</v>
      </c>
      <c r="B283" s="57"/>
      <c r="C283" s="57"/>
      <c r="D283" s="57"/>
      <c r="E283" s="57"/>
      <c r="F283" s="57"/>
      <c r="G283" s="57"/>
      <c r="H283" s="57"/>
      <c r="I283" s="57">
        <v>1</v>
      </c>
      <c r="J283" s="57"/>
      <c r="K283" s="57"/>
      <c r="L283" s="57"/>
      <c r="M283" s="57"/>
      <c r="Q283">
        <f t="shared" si="51"/>
        <v>0</v>
      </c>
      <c r="R283">
        <f t="shared" si="52"/>
        <v>0</v>
      </c>
      <c r="S283">
        <f t="shared" si="53"/>
        <v>0</v>
      </c>
      <c r="T283">
        <f t="shared" si="54"/>
        <v>0</v>
      </c>
      <c r="U283">
        <f t="shared" si="55"/>
        <v>0</v>
      </c>
      <c r="V283">
        <f t="shared" si="56"/>
        <v>1</v>
      </c>
      <c r="Y283" t="str">
        <f t="shared" si="57"/>
        <v>Albania</v>
      </c>
      <c r="Z283" s="104" t="str">
        <f t="shared" ref="Z283:Z317" si="58">IFERROR(R283/(SUM($Q283:$R283)),"")</f>
        <v/>
      </c>
      <c r="AA283" s="104" t="str">
        <f t="shared" ref="AA283:AA317" si="59">IFERROR(T283/(SUM($S283:$T283)),"")</f>
        <v/>
      </c>
      <c r="AB283" s="104">
        <f t="shared" ref="AB283:AB317" si="60">IFERROR(V283/(SUM($U283:$V283)),"")</f>
        <v>1</v>
      </c>
    </row>
    <row r="284" spans="1:28" x14ac:dyDescent="0.25">
      <c r="A284" s="55" t="s">
        <v>635</v>
      </c>
      <c r="B284" s="57"/>
      <c r="C284" s="57"/>
      <c r="D284" s="57"/>
      <c r="E284" s="57"/>
      <c r="F284" s="57"/>
      <c r="G284" s="57"/>
      <c r="H284" s="57"/>
      <c r="I284" s="57"/>
      <c r="J284" s="57"/>
      <c r="K284" s="57"/>
      <c r="L284" s="57"/>
      <c r="M284" s="57"/>
      <c r="Q284">
        <f t="shared" si="51"/>
        <v>0</v>
      </c>
      <c r="R284">
        <f t="shared" si="52"/>
        <v>0</v>
      </c>
      <c r="S284">
        <f t="shared" si="53"/>
        <v>0</v>
      </c>
      <c r="T284">
        <f t="shared" si="54"/>
        <v>0</v>
      </c>
      <c r="U284">
        <f t="shared" si="55"/>
        <v>0</v>
      </c>
      <c r="V284">
        <f t="shared" si="56"/>
        <v>0</v>
      </c>
      <c r="Y284" t="str">
        <f t="shared" si="57"/>
        <v>Austria</v>
      </c>
      <c r="Z284" s="104" t="str">
        <f t="shared" si="58"/>
        <v/>
      </c>
      <c r="AA284" s="104" t="str">
        <f t="shared" si="59"/>
        <v/>
      </c>
      <c r="AB284" s="104" t="str">
        <f t="shared" si="60"/>
        <v/>
      </c>
    </row>
    <row r="285" spans="1:28" x14ac:dyDescent="0.25">
      <c r="A285" s="55" t="s">
        <v>1527</v>
      </c>
      <c r="B285" s="57"/>
      <c r="C285" s="57"/>
      <c r="D285" s="57"/>
      <c r="E285" s="57"/>
      <c r="F285" s="57"/>
      <c r="G285" s="57"/>
      <c r="H285" s="57"/>
      <c r="I285" s="57">
        <v>4</v>
      </c>
      <c r="J285" s="57"/>
      <c r="K285" s="57"/>
      <c r="L285" s="57"/>
      <c r="M285" s="57"/>
      <c r="Q285">
        <f t="shared" si="51"/>
        <v>0</v>
      </c>
      <c r="R285">
        <f t="shared" si="52"/>
        <v>0</v>
      </c>
      <c r="S285">
        <f t="shared" si="53"/>
        <v>0</v>
      </c>
      <c r="T285">
        <f t="shared" si="54"/>
        <v>0</v>
      </c>
      <c r="U285">
        <f t="shared" si="55"/>
        <v>0</v>
      </c>
      <c r="V285">
        <f t="shared" si="56"/>
        <v>4</v>
      </c>
      <c r="Y285" t="str">
        <f t="shared" si="57"/>
        <v>Belgium</v>
      </c>
      <c r="Z285" s="104" t="str">
        <f t="shared" si="58"/>
        <v/>
      </c>
      <c r="AA285" s="104" t="str">
        <f t="shared" si="59"/>
        <v/>
      </c>
      <c r="AB285" s="104">
        <f t="shared" si="60"/>
        <v>1</v>
      </c>
    </row>
    <row r="286" spans="1:28" x14ac:dyDescent="0.25">
      <c r="A286" s="55" t="s">
        <v>1735</v>
      </c>
      <c r="B286" s="57"/>
      <c r="C286" s="57"/>
      <c r="D286" s="57"/>
      <c r="E286" s="57"/>
      <c r="F286" s="57">
        <v>2</v>
      </c>
      <c r="G286" s="57"/>
      <c r="H286" s="57">
        <v>1</v>
      </c>
      <c r="I286" s="57">
        <v>2</v>
      </c>
      <c r="J286" s="57"/>
      <c r="K286" s="57"/>
      <c r="L286" s="57"/>
      <c r="M286" s="57"/>
      <c r="Q286">
        <f t="shared" si="51"/>
        <v>0</v>
      </c>
      <c r="R286">
        <f t="shared" si="52"/>
        <v>0</v>
      </c>
      <c r="S286">
        <f t="shared" si="53"/>
        <v>0</v>
      </c>
      <c r="T286">
        <f t="shared" si="54"/>
        <v>2</v>
      </c>
      <c r="U286">
        <f t="shared" si="55"/>
        <v>1</v>
      </c>
      <c r="V286">
        <f t="shared" si="56"/>
        <v>2</v>
      </c>
      <c r="Y286" t="str">
        <f t="shared" si="57"/>
        <v>Bosnia and Herzegovina</v>
      </c>
      <c r="Z286" s="104" t="str">
        <f t="shared" si="58"/>
        <v/>
      </c>
      <c r="AA286" s="104">
        <f t="shared" si="59"/>
        <v>1</v>
      </c>
      <c r="AB286" s="104">
        <f t="shared" si="60"/>
        <v>0.66666666666666663</v>
      </c>
    </row>
    <row r="287" spans="1:28" x14ac:dyDescent="0.25">
      <c r="A287" s="55" t="s">
        <v>3140</v>
      </c>
      <c r="B287" s="57"/>
      <c r="C287" s="57"/>
      <c r="D287" s="57"/>
      <c r="E287" s="57"/>
      <c r="F287" s="57"/>
      <c r="G287" s="57"/>
      <c r="H287" s="57"/>
      <c r="I287" s="57">
        <v>1</v>
      </c>
      <c r="J287" s="57"/>
      <c r="K287" s="57"/>
      <c r="L287" s="57"/>
      <c r="M287" s="57"/>
      <c r="Q287">
        <f t="shared" si="51"/>
        <v>0</v>
      </c>
      <c r="R287">
        <f t="shared" si="52"/>
        <v>0</v>
      </c>
      <c r="S287">
        <f t="shared" si="53"/>
        <v>0</v>
      </c>
      <c r="T287">
        <f t="shared" si="54"/>
        <v>0</v>
      </c>
      <c r="U287">
        <f t="shared" si="55"/>
        <v>0</v>
      </c>
      <c r="V287">
        <f t="shared" si="56"/>
        <v>1</v>
      </c>
      <c r="Y287" t="str">
        <f t="shared" si="57"/>
        <v>Croatia</v>
      </c>
      <c r="Z287" s="104" t="str">
        <f t="shared" si="58"/>
        <v/>
      </c>
      <c r="AA287" s="104" t="str">
        <f t="shared" si="59"/>
        <v/>
      </c>
      <c r="AB287" s="104">
        <f t="shared" si="60"/>
        <v>1</v>
      </c>
    </row>
    <row r="288" spans="1:28" x14ac:dyDescent="0.25">
      <c r="A288" s="55" t="s">
        <v>3231</v>
      </c>
      <c r="B288" s="57"/>
      <c r="C288" s="57"/>
      <c r="D288" s="57"/>
      <c r="E288" s="57"/>
      <c r="F288" s="57"/>
      <c r="G288" s="57"/>
      <c r="H288" s="57"/>
      <c r="I288" s="57"/>
      <c r="J288" s="57"/>
      <c r="K288" s="57"/>
      <c r="L288" s="57"/>
      <c r="M288" s="57"/>
      <c r="Q288">
        <f t="shared" si="51"/>
        <v>0</v>
      </c>
      <c r="R288">
        <f t="shared" si="52"/>
        <v>0</v>
      </c>
      <c r="S288">
        <f t="shared" si="53"/>
        <v>0</v>
      </c>
      <c r="T288">
        <f t="shared" si="54"/>
        <v>0</v>
      </c>
      <c r="U288">
        <f t="shared" si="55"/>
        <v>0</v>
      </c>
      <c r="V288">
        <f t="shared" si="56"/>
        <v>0</v>
      </c>
      <c r="Y288" t="str">
        <f t="shared" si="57"/>
        <v>Czech Republic</v>
      </c>
      <c r="Z288" s="104" t="str">
        <f t="shared" si="58"/>
        <v/>
      </c>
      <c r="AA288" s="104" t="str">
        <f t="shared" si="59"/>
        <v/>
      </c>
      <c r="AB288" s="104" t="str">
        <f t="shared" si="60"/>
        <v/>
      </c>
    </row>
    <row r="289" spans="1:28" x14ac:dyDescent="0.25">
      <c r="A289" s="55" t="s">
        <v>3249</v>
      </c>
      <c r="B289" s="57"/>
      <c r="C289" s="57"/>
      <c r="D289" s="57"/>
      <c r="E289" s="57"/>
      <c r="F289" s="57"/>
      <c r="G289" s="57"/>
      <c r="H289" s="57"/>
      <c r="I289" s="57">
        <v>1</v>
      </c>
      <c r="J289" s="57"/>
      <c r="K289" s="57"/>
      <c r="L289" s="57"/>
      <c r="M289" s="57"/>
      <c r="Q289">
        <f t="shared" si="51"/>
        <v>0</v>
      </c>
      <c r="R289">
        <f t="shared" si="52"/>
        <v>0</v>
      </c>
      <c r="S289">
        <f t="shared" si="53"/>
        <v>0</v>
      </c>
      <c r="T289">
        <f t="shared" si="54"/>
        <v>0</v>
      </c>
      <c r="U289">
        <f t="shared" si="55"/>
        <v>0</v>
      </c>
      <c r="V289">
        <f t="shared" si="56"/>
        <v>1</v>
      </c>
      <c r="Y289" t="str">
        <f t="shared" si="57"/>
        <v>Denmark</v>
      </c>
      <c r="Z289" s="104" t="str">
        <f t="shared" si="58"/>
        <v/>
      </c>
      <c r="AA289" s="104" t="str">
        <f t="shared" si="59"/>
        <v/>
      </c>
      <c r="AB289" s="104">
        <f t="shared" si="60"/>
        <v>1</v>
      </c>
    </row>
    <row r="290" spans="1:28" x14ac:dyDescent="0.25">
      <c r="A290" s="55" t="s">
        <v>3546</v>
      </c>
      <c r="B290" s="57"/>
      <c r="C290" s="57"/>
      <c r="D290" s="57"/>
      <c r="E290" s="57">
        <v>3</v>
      </c>
      <c r="F290" s="57">
        <v>12</v>
      </c>
      <c r="G290" s="57"/>
      <c r="H290" s="57"/>
      <c r="I290" s="57">
        <v>4</v>
      </c>
      <c r="J290" s="57"/>
      <c r="K290" s="57"/>
      <c r="L290" s="57"/>
      <c r="M290" s="57"/>
      <c r="Q290">
        <f t="shared" si="51"/>
        <v>0</v>
      </c>
      <c r="R290">
        <f t="shared" si="52"/>
        <v>0</v>
      </c>
      <c r="S290">
        <f t="shared" si="53"/>
        <v>3</v>
      </c>
      <c r="T290">
        <f t="shared" si="54"/>
        <v>12</v>
      </c>
      <c r="U290">
        <f t="shared" si="55"/>
        <v>0</v>
      </c>
      <c r="V290">
        <f t="shared" si="56"/>
        <v>4</v>
      </c>
      <c r="Y290" t="str">
        <f t="shared" si="57"/>
        <v>Egypt</v>
      </c>
      <c r="Z290" s="104" t="str">
        <f t="shared" si="58"/>
        <v/>
      </c>
      <c r="AA290" s="104">
        <f t="shared" si="59"/>
        <v>0.8</v>
      </c>
      <c r="AB290" s="104">
        <f t="shared" si="60"/>
        <v>1</v>
      </c>
    </row>
    <row r="291" spans="1:28" x14ac:dyDescent="0.25">
      <c r="A291" s="55" t="s">
        <v>4293</v>
      </c>
      <c r="B291" s="57"/>
      <c r="C291" s="57"/>
      <c r="D291" s="57"/>
      <c r="E291" s="57">
        <v>1</v>
      </c>
      <c r="F291" s="57">
        <v>2</v>
      </c>
      <c r="G291" s="57"/>
      <c r="H291" s="57"/>
      <c r="I291" s="57"/>
      <c r="J291" s="57"/>
      <c r="K291" s="57"/>
      <c r="L291" s="57"/>
      <c r="M291" s="57"/>
      <c r="Q291">
        <f t="shared" si="51"/>
        <v>0</v>
      </c>
      <c r="R291">
        <f t="shared" si="52"/>
        <v>0</v>
      </c>
      <c r="S291">
        <f t="shared" si="53"/>
        <v>1</v>
      </c>
      <c r="T291">
        <f t="shared" si="54"/>
        <v>2</v>
      </c>
      <c r="U291">
        <f t="shared" si="55"/>
        <v>0</v>
      </c>
      <c r="V291">
        <f t="shared" si="56"/>
        <v>0</v>
      </c>
      <c r="Y291" t="str">
        <f t="shared" si="57"/>
        <v>France</v>
      </c>
      <c r="Z291" s="104" t="str">
        <f t="shared" si="58"/>
        <v/>
      </c>
      <c r="AA291" s="104">
        <f t="shared" si="59"/>
        <v>0.66666666666666663</v>
      </c>
      <c r="AB291" s="104" t="str">
        <f t="shared" si="60"/>
        <v/>
      </c>
    </row>
    <row r="292" spans="1:28" x14ac:dyDescent="0.25">
      <c r="A292" s="55" t="s">
        <v>4346</v>
      </c>
      <c r="B292" s="57"/>
      <c r="C292" s="57"/>
      <c r="D292" s="57"/>
      <c r="E292" s="57">
        <v>1</v>
      </c>
      <c r="F292" s="57"/>
      <c r="G292" s="57"/>
      <c r="H292" s="57"/>
      <c r="I292" s="57">
        <v>2</v>
      </c>
      <c r="J292" s="57"/>
      <c r="K292" s="57"/>
      <c r="L292" s="57"/>
      <c r="M292" s="57"/>
      <c r="Q292">
        <f t="shared" si="51"/>
        <v>0</v>
      </c>
      <c r="R292">
        <f t="shared" si="52"/>
        <v>0</v>
      </c>
      <c r="S292">
        <f t="shared" si="53"/>
        <v>1</v>
      </c>
      <c r="T292">
        <f t="shared" si="54"/>
        <v>0</v>
      </c>
      <c r="U292">
        <f t="shared" si="55"/>
        <v>0</v>
      </c>
      <c r="V292">
        <f t="shared" si="56"/>
        <v>2</v>
      </c>
      <c r="Y292" t="str">
        <f t="shared" si="57"/>
        <v>Georgia</v>
      </c>
      <c r="Z292" s="104" t="str">
        <f t="shared" si="58"/>
        <v/>
      </c>
      <c r="AA292" s="104">
        <f t="shared" si="59"/>
        <v>0</v>
      </c>
      <c r="AB292" s="104">
        <f t="shared" si="60"/>
        <v>1</v>
      </c>
    </row>
    <row r="293" spans="1:28" x14ac:dyDescent="0.25">
      <c r="A293" s="55" t="s">
        <v>4428</v>
      </c>
      <c r="B293" s="57"/>
      <c r="C293" s="57"/>
      <c r="D293" s="57"/>
      <c r="E293" s="57"/>
      <c r="F293" s="57"/>
      <c r="G293" s="57"/>
      <c r="H293" s="57">
        <v>3</v>
      </c>
      <c r="I293" s="57"/>
      <c r="J293" s="57"/>
      <c r="K293" s="57"/>
      <c r="L293" s="57"/>
      <c r="M293" s="57"/>
      <c r="Q293">
        <f t="shared" si="51"/>
        <v>0</v>
      </c>
      <c r="R293">
        <f t="shared" si="52"/>
        <v>0</v>
      </c>
      <c r="S293">
        <f t="shared" si="53"/>
        <v>0</v>
      </c>
      <c r="T293">
        <f t="shared" si="54"/>
        <v>0</v>
      </c>
      <c r="U293">
        <f t="shared" si="55"/>
        <v>3</v>
      </c>
      <c r="V293">
        <f t="shared" si="56"/>
        <v>0</v>
      </c>
      <c r="Y293" t="str">
        <f t="shared" si="57"/>
        <v>Germany</v>
      </c>
      <c r="Z293" s="104" t="str">
        <f t="shared" si="58"/>
        <v/>
      </c>
      <c r="AA293" s="104" t="str">
        <f t="shared" si="59"/>
        <v/>
      </c>
      <c r="AB293" s="104">
        <f t="shared" si="60"/>
        <v>0</v>
      </c>
    </row>
    <row r="294" spans="1:28" x14ac:dyDescent="0.25">
      <c r="A294" s="55" t="s">
        <v>4743</v>
      </c>
      <c r="B294" s="57"/>
      <c r="C294" s="57"/>
      <c r="D294" s="57"/>
      <c r="E294" s="57"/>
      <c r="F294" s="57">
        <v>1</v>
      </c>
      <c r="G294" s="57"/>
      <c r="H294" s="57"/>
      <c r="I294" s="57"/>
      <c r="J294" s="57"/>
      <c r="K294" s="57"/>
      <c r="L294" s="57"/>
      <c r="M294" s="57"/>
      <c r="Q294">
        <f t="shared" si="51"/>
        <v>0</v>
      </c>
      <c r="R294">
        <f t="shared" si="52"/>
        <v>0</v>
      </c>
      <c r="S294">
        <f t="shared" si="53"/>
        <v>0</v>
      </c>
      <c r="T294">
        <f t="shared" si="54"/>
        <v>1</v>
      </c>
      <c r="U294">
        <f t="shared" si="55"/>
        <v>0</v>
      </c>
      <c r="V294">
        <f t="shared" si="56"/>
        <v>0</v>
      </c>
      <c r="Y294" t="str">
        <f t="shared" si="57"/>
        <v>Greece</v>
      </c>
      <c r="Z294" s="104" t="str">
        <f t="shared" si="58"/>
        <v/>
      </c>
      <c r="AA294" s="104">
        <f t="shared" si="59"/>
        <v>1</v>
      </c>
      <c r="AB294" s="104" t="str">
        <f t="shared" si="60"/>
        <v/>
      </c>
    </row>
    <row r="295" spans="1:28" x14ac:dyDescent="0.25">
      <c r="A295" s="55" t="s">
        <v>6024</v>
      </c>
      <c r="B295" s="57">
        <v>1</v>
      </c>
      <c r="C295" s="57"/>
      <c r="D295" s="57"/>
      <c r="E295" s="57"/>
      <c r="F295" s="57">
        <v>6</v>
      </c>
      <c r="G295" s="57"/>
      <c r="H295" s="57"/>
      <c r="I295" s="57"/>
      <c r="J295" s="57"/>
      <c r="K295" s="57"/>
      <c r="L295" s="57"/>
      <c r="M295" s="57"/>
      <c r="Q295">
        <f t="shared" si="51"/>
        <v>1</v>
      </c>
      <c r="R295">
        <f t="shared" si="52"/>
        <v>0</v>
      </c>
      <c r="S295">
        <f t="shared" si="53"/>
        <v>0</v>
      </c>
      <c r="T295">
        <f t="shared" si="54"/>
        <v>6</v>
      </c>
      <c r="U295">
        <f t="shared" si="55"/>
        <v>0</v>
      </c>
      <c r="V295">
        <f t="shared" si="56"/>
        <v>0</v>
      </c>
      <c r="Y295" t="str">
        <f t="shared" si="57"/>
        <v>Iraq</v>
      </c>
      <c r="Z295" s="104">
        <f t="shared" si="58"/>
        <v>0</v>
      </c>
      <c r="AA295" s="104">
        <f t="shared" si="59"/>
        <v>1</v>
      </c>
      <c r="AB295" s="104" t="str">
        <f t="shared" si="60"/>
        <v/>
      </c>
    </row>
    <row r="296" spans="1:28" x14ac:dyDescent="0.25">
      <c r="A296" s="55" t="s">
        <v>6105</v>
      </c>
      <c r="B296" s="57"/>
      <c r="C296" s="57"/>
      <c r="D296" s="57"/>
      <c r="E296" s="57">
        <v>4</v>
      </c>
      <c r="F296" s="57">
        <v>9</v>
      </c>
      <c r="G296" s="57"/>
      <c r="H296" s="57"/>
      <c r="I296" s="57">
        <v>6</v>
      </c>
      <c r="J296" s="57"/>
      <c r="K296" s="57"/>
      <c r="L296" s="57"/>
      <c r="M296" s="57"/>
      <c r="Q296">
        <f t="shared" si="51"/>
        <v>0</v>
      </c>
      <c r="R296">
        <f t="shared" si="52"/>
        <v>0</v>
      </c>
      <c r="S296">
        <f t="shared" si="53"/>
        <v>4</v>
      </c>
      <c r="T296">
        <f t="shared" si="54"/>
        <v>9</v>
      </c>
      <c r="U296">
        <f t="shared" si="55"/>
        <v>0</v>
      </c>
      <c r="V296">
        <f t="shared" si="56"/>
        <v>6</v>
      </c>
      <c r="Y296" t="str">
        <f t="shared" si="57"/>
        <v>Jordan</v>
      </c>
      <c r="Z296" s="104" t="str">
        <f t="shared" si="58"/>
        <v/>
      </c>
      <c r="AA296" s="104">
        <f t="shared" si="59"/>
        <v>0.69230769230769229</v>
      </c>
      <c r="AB296" s="104">
        <f t="shared" si="60"/>
        <v>1</v>
      </c>
    </row>
    <row r="297" spans="1:28" x14ac:dyDescent="0.25">
      <c r="A297" s="55" t="s">
        <v>6805</v>
      </c>
      <c r="B297" s="57"/>
      <c r="C297" s="57"/>
      <c r="D297" s="57"/>
      <c r="E297" s="57"/>
      <c r="F297" s="57">
        <v>2</v>
      </c>
      <c r="G297" s="57"/>
      <c r="H297" s="57"/>
      <c r="I297" s="57">
        <v>1</v>
      </c>
      <c r="J297" s="57"/>
      <c r="K297" s="57"/>
      <c r="L297" s="57"/>
      <c r="M297" s="57"/>
      <c r="Q297">
        <f t="shared" si="51"/>
        <v>0</v>
      </c>
      <c r="R297">
        <f t="shared" si="52"/>
        <v>0</v>
      </c>
      <c r="S297">
        <f t="shared" si="53"/>
        <v>0</v>
      </c>
      <c r="T297">
        <f t="shared" si="54"/>
        <v>2</v>
      </c>
      <c r="U297">
        <f t="shared" si="55"/>
        <v>0</v>
      </c>
      <c r="V297">
        <f t="shared" si="56"/>
        <v>1</v>
      </c>
      <c r="Y297" t="str">
        <f t="shared" si="57"/>
        <v>Kosovo</v>
      </c>
      <c r="Z297" s="104" t="str">
        <f t="shared" si="58"/>
        <v/>
      </c>
      <c r="AA297" s="104">
        <f t="shared" si="59"/>
        <v>1</v>
      </c>
      <c r="AB297" s="104">
        <f t="shared" si="60"/>
        <v>1</v>
      </c>
    </row>
    <row r="298" spans="1:28" x14ac:dyDescent="0.25">
      <c r="A298" s="55" t="s">
        <v>7083</v>
      </c>
      <c r="B298" s="57"/>
      <c r="C298" s="57"/>
      <c r="D298" s="57"/>
      <c r="E298" s="57">
        <v>3</v>
      </c>
      <c r="F298" s="57">
        <v>3</v>
      </c>
      <c r="G298" s="57"/>
      <c r="H298" s="57"/>
      <c r="I298" s="57"/>
      <c r="J298" s="57"/>
      <c r="K298" s="57"/>
      <c r="L298" s="57"/>
      <c r="M298" s="57"/>
      <c r="Q298">
        <f t="shared" si="51"/>
        <v>0</v>
      </c>
      <c r="R298">
        <f t="shared" si="52"/>
        <v>0</v>
      </c>
      <c r="S298">
        <f t="shared" si="53"/>
        <v>3</v>
      </c>
      <c r="T298">
        <f t="shared" si="54"/>
        <v>3</v>
      </c>
      <c r="U298">
        <f t="shared" si="55"/>
        <v>0</v>
      </c>
      <c r="V298">
        <f t="shared" si="56"/>
        <v>0</v>
      </c>
      <c r="Y298" t="str">
        <f t="shared" si="57"/>
        <v>Lebanon</v>
      </c>
      <c r="Z298" s="104" t="str">
        <f t="shared" si="58"/>
        <v/>
      </c>
      <c r="AA298" s="104">
        <f t="shared" si="59"/>
        <v>0.5</v>
      </c>
      <c r="AB298" s="104" t="str">
        <f t="shared" si="60"/>
        <v/>
      </c>
    </row>
    <row r="299" spans="1:28" x14ac:dyDescent="0.25">
      <c r="A299" s="55" t="s">
        <v>7194</v>
      </c>
      <c r="B299" s="57"/>
      <c r="C299" s="57"/>
      <c r="D299" s="57"/>
      <c r="E299" s="57"/>
      <c r="F299" s="57"/>
      <c r="G299" s="57"/>
      <c r="H299" s="57"/>
      <c r="I299" s="57"/>
      <c r="J299" s="57"/>
      <c r="K299" s="57"/>
      <c r="L299" s="57"/>
      <c r="M299" s="57"/>
      <c r="Q299">
        <f t="shared" si="51"/>
        <v>0</v>
      </c>
      <c r="R299">
        <f t="shared" si="52"/>
        <v>0</v>
      </c>
      <c r="S299">
        <f t="shared" si="53"/>
        <v>0</v>
      </c>
      <c r="T299">
        <f t="shared" si="54"/>
        <v>0</v>
      </c>
      <c r="U299">
        <f t="shared" si="55"/>
        <v>0</v>
      </c>
      <c r="V299">
        <f t="shared" si="56"/>
        <v>0</v>
      </c>
      <c r="Y299" t="str">
        <f t="shared" si="57"/>
        <v>Macedonia</v>
      </c>
      <c r="Z299" s="104" t="str">
        <f t="shared" si="58"/>
        <v/>
      </c>
      <c r="AA299" s="104" t="str">
        <f t="shared" si="59"/>
        <v/>
      </c>
      <c r="AB299" s="104" t="str">
        <f t="shared" si="60"/>
        <v/>
      </c>
    </row>
    <row r="300" spans="1:28" x14ac:dyDescent="0.25">
      <c r="A300" s="55" t="s">
        <v>8140</v>
      </c>
      <c r="B300" s="57"/>
      <c r="C300" s="57"/>
      <c r="D300" s="57"/>
      <c r="E300" s="57">
        <v>1</v>
      </c>
      <c r="F300" s="57">
        <v>2</v>
      </c>
      <c r="G300" s="57"/>
      <c r="H300" s="57"/>
      <c r="I300" s="57"/>
      <c r="J300" s="57"/>
      <c r="K300" s="57"/>
      <c r="L300" s="57"/>
      <c r="M300" s="57"/>
      <c r="Q300">
        <f t="shared" si="51"/>
        <v>0</v>
      </c>
      <c r="R300">
        <f t="shared" si="52"/>
        <v>0</v>
      </c>
      <c r="S300">
        <f t="shared" si="53"/>
        <v>1</v>
      </c>
      <c r="T300">
        <f t="shared" si="54"/>
        <v>2</v>
      </c>
      <c r="U300">
        <f t="shared" si="55"/>
        <v>0</v>
      </c>
      <c r="V300">
        <f t="shared" si="56"/>
        <v>0</v>
      </c>
      <c r="Y300" t="str">
        <f t="shared" si="57"/>
        <v>Montenegro</v>
      </c>
      <c r="Z300" s="104" t="str">
        <f t="shared" si="58"/>
        <v/>
      </c>
      <c r="AA300" s="104">
        <f t="shared" si="59"/>
        <v>0.66666666666666663</v>
      </c>
      <c r="AB300" s="104" t="str">
        <f t="shared" si="60"/>
        <v/>
      </c>
    </row>
    <row r="301" spans="1:28" x14ac:dyDescent="0.25">
      <c r="A301" s="55" t="s">
        <v>8180</v>
      </c>
      <c r="B301" s="57"/>
      <c r="C301" s="57"/>
      <c r="D301" s="57"/>
      <c r="E301" s="57"/>
      <c r="F301" s="57">
        <v>5</v>
      </c>
      <c r="G301" s="57"/>
      <c r="H301" s="57"/>
      <c r="I301" s="57"/>
      <c r="J301" s="57"/>
      <c r="K301" s="57"/>
      <c r="L301" s="57"/>
      <c r="M301" s="57"/>
      <c r="Q301">
        <f t="shared" si="51"/>
        <v>0</v>
      </c>
      <c r="R301">
        <f t="shared" si="52"/>
        <v>0</v>
      </c>
      <c r="S301">
        <f t="shared" si="53"/>
        <v>0</v>
      </c>
      <c r="T301">
        <f t="shared" si="54"/>
        <v>5</v>
      </c>
      <c r="U301">
        <f t="shared" si="55"/>
        <v>0</v>
      </c>
      <c r="V301">
        <f t="shared" si="56"/>
        <v>0</v>
      </c>
      <c r="Y301" t="str">
        <f t="shared" si="57"/>
        <v>Morocco</v>
      </c>
      <c r="Z301" s="104" t="str">
        <f t="shared" si="58"/>
        <v/>
      </c>
      <c r="AA301" s="104">
        <f t="shared" si="59"/>
        <v>1</v>
      </c>
      <c r="AB301" s="104" t="str">
        <f t="shared" si="60"/>
        <v/>
      </c>
    </row>
    <row r="302" spans="1:28" x14ac:dyDescent="0.25">
      <c r="A302" s="55" t="s">
        <v>9020</v>
      </c>
      <c r="B302" s="57"/>
      <c r="C302" s="57"/>
      <c r="D302" s="57"/>
      <c r="E302" s="57"/>
      <c r="F302" s="57"/>
      <c r="G302" s="57"/>
      <c r="H302" s="57"/>
      <c r="I302" s="57"/>
      <c r="J302" s="57"/>
      <c r="K302" s="57"/>
      <c r="L302" s="57"/>
      <c r="M302" s="57"/>
      <c r="Q302">
        <f t="shared" si="51"/>
        <v>0</v>
      </c>
      <c r="R302">
        <f t="shared" si="52"/>
        <v>0</v>
      </c>
      <c r="S302">
        <f t="shared" si="53"/>
        <v>0</v>
      </c>
      <c r="T302">
        <f t="shared" si="54"/>
        <v>0</v>
      </c>
      <c r="U302">
        <f t="shared" si="55"/>
        <v>0</v>
      </c>
      <c r="V302">
        <f t="shared" si="56"/>
        <v>0</v>
      </c>
      <c r="Y302" t="str">
        <f t="shared" si="57"/>
        <v>Netherlands</v>
      </c>
      <c r="Z302" s="104" t="str">
        <f t="shared" si="58"/>
        <v/>
      </c>
      <c r="AA302" s="104" t="str">
        <f t="shared" si="59"/>
        <v/>
      </c>
      <c r="AB302" s="104" t="str">
        <f t="shared" si="60"/>
        <v/>
      </c>
    </row>
    <row r="303" spans="1:28" x14ac:dyDescent="0.25">
      <c r="A303" s="55" t="s">
        <v>9409</v>
      </c>
      <c r="B303" s="57"/>
      <c r="C303" s="57"/>
      <c r="D303" s="57"/>
      <c r="E303" s="57"/>
      <c r="F303" s="57"/>
      <c r="G303" s="57"/>
      <c r="H303" s="57">
        <v>1</v>
      </c>
      <c r="I303" s="57"/>
      <c r="J303" s="57"/>
      <c r="K303" s="57"/>
      <c r="L303" s="57"/>
      <c r="M303" s="57"/>
      <c r="Q303">
        <f t="shared" si="51"/>
        <v>0</v>
      </c>
      <c r="R303">
        <f t="shared" si="52"/>
        <v>0</v>
      </c>
      <c r="S303">
        <f t="shared" si="53"/>
        <v>0</v>
      </c>
      <c r="T303">
        <f t="shared" si="54"/>
        <v>0</v>
      </c>
      <c r="U303">
        <f t="shared" si="55"/>
        <v>1</v>
      </c>
      <c r="V303">
        <f t="shared" si="56"/>
        <v>0</v>
      </c>
      <c r="Y303" t="str">
        <f t="shared" si="57"/>
        <v>Norway</v>
      </c>
      <c r="Z303" s="104" t="str">
        <f t="shared" si="58"/>
        <v/>
      </c>
      <c r="AA303" s="104" t="str">
        <f t="shared" si="59"/>
        <v/>
      </c>
      <c r="AB303" s="104">
        <f t="shared" si="60"/>
        <v>0</v>
      </c>
    </row>
    <row r="304" spans="1:28" x14ac:dyDescent="0.25">
      <c r="A304" s="55" t="s">
        <v>10350</v>
      </c>
      <c r="B304" s="57"/>
      <c r="C304" s="57"/>
      <c r="D304" s="57"/>
      <c r="E304" s="57"/>
      <c r="F304" s="57"/>
      <c r="G304" s="57"/>
      <c r="H304" s="57"/>
      <c r="I304" s="57"/>
      <c r="J304" s="57"/>
      <c r="K304" s="57"/>
      <c r="L304" s="57"/>
      <c r="M304" s="57"/>
      <c r="Q304">
        <f t="shared" si="51"/>
        <v>0</v>
      </c>
      <c r="R304">
        <f t="shared" si="52"/>
        <v>0</v>
      </c>
      <c r="S304">
        <f t="shared" si="53"/>
        <v>0</v>
      </c>
      <c r="T304">
        <f t="shared" si="54"/>
        <v>0</v>
      </c>
      <c r="U304">
        <f t="shared" si="55"/>
        <v>0</v>
      </c>
      <c r="V304">
        <f t="shared" si="56"/>
        <v>0</v>
      </c>
      <c r="Y304" t="str">
        <f t="shared" si="57"/>
        <v>Romania</v>
      </c>
      <c r="Z304" s="104" t="str">
        <f t="shared" si="58"/>
        <v/>
      </c>
      <c r="AA304" s="104" t="str">
        <f t="shared" si="59"/>
        <v/>
      </c>
      <c r="AB304" s="104" t="str">
        <f t="shared" si="60"/>
        <v/>
      </c>
    </row>
    <row r="305" spans="1:28" x14ac:dyDescent="0.25">
      <c r="A305" s="55" t="s">
        <v>10558</v>
      </c>
      <c r="B305" s="57"/>
      <c r="C305" s="57"/>
      <c r="D305" s="57"/>
      <c r="E305" s="57"/>
      <c r="F305" s="57">
        <v>6</v>
      </c>
      <c r="G305" s="57"/>
      <c r="H305" s="57"/>
      <c r="I305" s="57">
        <v>1</v>
      </c>
      <c r="J305" s="57"/>
      <c r="K305" s="57"/>
      <c r="L305" s="57"/>
      <c r="M305" s="57"/>
      <c r="Q305">
        <f t="shared" si="51"/>
        <v>0</v>
      </c>
      <c r="R305">
        <f t="shared" si="52"/>
        <v>0</v>
      </c>
      <c r="S305">
        <f t="shared" si="53"/>
        <v>0</v>
      </c>
      <c r="T305">
        <f t="shared" si="54"/>
        <v>6</v>
      </c>
      <c r="U305">
        <f t="shared" si="55"/>
        <v>0</v>
      </c>
      <c r="V305">
        <f t="shared" si="56"/>
        <v>1</v>
      </c>
      <c r="Y305" t="str">
        <f t="shared" si="57"/>
        <v>Serbia</v>
      </c>
      <c r="Z305" s="104" t="str">
        <f t="shared" si="58"/>
        <v/>
      </c>
      <c r="AA305" s="104">
        <f t="shared" si="59"/>
        <v>1</v>
      </c>
      <c r="AB305" s="104">
        <f t="shared" si="60"/>
        <v>1</v>
      </c>
    </row>
    <row r="306" spans="1:28" x14ac:dyDescent="0.25">
      <c r="A306" s="55" t="s">
        <v>11664</v>
      </c>
      <c r="B306" s="57"/>
      <c r="C306" s="57"/>
      <c r="D306" s="57"/>
      <c r="E306" s="57"/>
      <c r="F306" s="57"/>
      <c r="G306" s="57"/>
      <c r="H306" s="57"/>
      <c r="I306" s="57"/>
      <c r="J306" s="57"/>
      <c r="K306" s="57"/>
      <c r="L306" s="57"/>
      <c r="M306" s="57"/>
      <c r="Q306">
        <f t="shared" si="51"/>
        <v>0</v>
      </c>
      <c r="R306">
        <f t="shared" si="52"/>
        <v>0</v>
      </c>
      <c r="S306">
        <f t="shared" si="53"/>
        <v>0</v>
      </c>
      <c r="T306">
        <f t="shared" si="54"/>
        <v>0</v>
      </c>
      <c r="U306">
        <f t="shared" si="55"/>
        <v>0</v>
      </c>
      <c r="V306">
        <f t="shared" si="56"/>
        <v>0</v>
      </c>
      <c r="Y306" t="str">
        <f t="shared" si="57"/>
        <v>Switzerland</v>
      </c>
      <c r="Z306" s="104" t="str">
        <f t="shared" si="58"/>
        <v/>
      </c>
      <c r="AA306" s="104" t="str">
        <f t="shared" si="59"/>
        <v/>
      </c>
      <c r="AB306" s="104" t="str">
        <f t="shared" si="60"/>
        <v/>
      </c>
    </row>
    <row r="307" spans="1:28" x14ac:dyDescent="0.25">
      <c r="A307" s="55" t="s">
        <v>11693</v>
      </c>
      <c r="B307" s="57">
        <v>1</v>
      </c>
      <c r="C307" s="57"/>
      <c r="D307" s="57"/>
      <c r="E307" s="57"/>
      <c r="F307" s="57">
        <v>7</v>
      </c>
      <c r="G307" s="57"/>
      <c r="H307" s="57"/>
      <c r="I307" s="57"/>
      <c r="J307" s="57"/>
      <c r="K307" s="57">
        <v>3</v>
      </c>
      <c r="L307" s="57"/>
      <c r="M307" s="57"/>
      <c r="Q307">
        <f t="shared" si="51"/>
        <v>1</v>
      </c>
      <c r="R307">
        <f t="shared" si="52"/>
        <v>0</v>
      </c>
      <c r="S307">
        <f t="shared" si="53"/>
        <v>0</v>
      </c>
      <c r="T307">
        <f t="shared" si="54"/>
        <v>7</v>
      </c>
      <c r="U307">
        <f t="shared" si="55"/>
        <v>0</v>
      </c>
      <c r="V307">
        <f t="shared" si="56"/>
        <v>0</v>
      </c>
      <c r="Y307" t="str">
        <f t="shared" si="57"/>
        <v>Syria</v>
      </c>
      <c r="Z307" s="104">
        <f t="shared" si="58"/>
        <v>0</v>
      </c>
      <c r="AA307" s="104">
        <f t="shared" si="59"/>
        <v>1</v>
      </c>
      <c r="AB307" s="104" t="str">
        <f t="shared" si="60"/>
        <v/>
      </c>
    </row>
    <row r="308" spans="1:28" x14ac:dyDescent="0.25">
      <c r="A308" s="55" t="s">
        <v>12654</v>
      </c>
      <c r="B308" s="57"/>
      <c r="C308" s="57"/>
      <c r="D308" s="57"/>
      <c r="E308" s="57"/>
      <c r="F308" s="57"/>
      <c r="G308" s="57"/>
      <c r="H308" s="57"/>
      <c r="I308" s="57"/>
      <c r="J308" s="57"/>
      <c r="K308" s="57"/>
      <c r="L308" s="57"/>
      <c r="M308" s="57"/>
      <c r="Q308">
        <f t="shared" si="51"/>
        <v>0</v>
      </c>
      <c r="R308">
        <f t="shared" si="52"/>
        <v>0</v>
      </c>
      <c r="S308">
        <f t="shared" si="53"/>
        <v>0</v>
      </c>
      <c r="T308">
        <f t="shared" si="54"/>
        <v>0</v>
      </c>
      <c r="U308">
        <f t="shared" si="55"/>
        <v>0</v>
      </c>
      <c r="V308">
        <f t="shared" si="56"/>
        <v>0</v>
      </c>
      <c r="Y308" t="str">
        <f t="shared" si="57"/>
        <v>Turkey</v>
      </c>
      <c r="Z308" s="104" t="str">
        <f t="shared" si="58"/>
        <v/>
      </c>
      <c r="AA308" s="104" t="str">
        <f t="shared" si="59"/>
        <v/>
      </c>
      <c r="AB308" s="104" t="str">
        <f t="shared" si="60"/>
        <v/>
      </c>
    </row>
    <row r="309" spans="1:28" x14ac:dyDescent="0.25">
      <c r="A309" s="55" t="s">
        <v>12907</v>
      </c>
      <c r="B309" s="57"/>
      <c r="C309" s="57"/>
      <c r="D309" s="57"/>
      <c r="E309" s="57"/>
      <c r="F309" s="57">
        <v>1</v>
      </c>
      <c r="G309" s="57"/>
      <c r="H309" s="57"/>
      <c r="I309" s="57"/>
      <c r="J309" s="57"/>
      <c r="K309" s="57"/>
      <c r="L309" s="57"/>
      <c r="M309" s="57"/>
      <c r="Q309">
        <f t="shared" si="51"/>
        <v>0</v>
      </c>
      <c r="R309">
        <f t="shared" si="52"/>
        <v>0</v>
      </c>
      <c r="S309">
        <f t="shared" si="53"/>
        <v>0</v>
      </c>
      <c r="T309">
        <f t="shared" si="54"/>
        <v>1</v>
      </c>
      <c r="U309">
        <f t="shared" si="55"/>
        <v>0</v>
      </c>
      <c r="V309">
        <f t="shared" si="56"/>
        <v>0</v>
      </c>
      <c r="Y309" t="str">
        <f t="shared" si="57"/>
        <v>United Kingdom</v>
      </c>
      <c r="Z309" s="104" t="str">
        <f t="shared" si="58"/>
        <v/>
      </c>
      <c r="AA309" s="104">
        <f t="shared" si="59"/>
        <v>1</v>
      </c>
      <c r="AB309" s="104" t="str">
        <f t="shared" si="60"/>
        <v/>
      </c>
    </row>
    <row r="310" spans="1:28" x14ac:dyDescent="0.25">
      <c r="A310" s="55" t="s">
        <v>13710</v>
      </c>
      <c r="B310" s="57"/>
      <c r="C310" s="57"/>
      <c r="D310" s="57"/>
      <c r="E310" s="57"/>
      <c r="F310" s="57">
        <v>5</v>
      </c>
      <c r="G310" s="57"/>
      <c r="H310" s="57"/>
      <c r="I310" s="57">
        <v>2</v>
      </c>
      <c r="J310" s="57"/>
      <c r="K310" s="57"/>
      <c r="L310" s="57"/>
      <c r="M310" s="57"/>
      <c r="Q310">
        <f t="shared" si="51"/>
        <v>0</v>
      </c>
      <c r="R310">
        <f t="shared" si="52"/>
        <v>0</v>
      </c>
      <c r="S310">
        <f t="shared" si="53"/>
        <v>0</v>
      </c>
      <c r="T310">
        <f t="shared" si="54"/>
        <v>5</v>
      </c>
      <c r="U310">
        <f t="shared" si="55"/>
        <v>0</v>
      </c>
      <c r="V310">
        <f t="shared" si="56"/>
        <v>2</v>
      </c>
      <c r="Y310" t="str">
        <f t="shared" si="57"/>
        <v>West Bank and Gaza</v>
      </c>
      <c r="Z310" s="104" t="str">
        <f t="shared" si="58"/>
        <v/>
      </c>
      <c r="AA310" s="104">
        <f t="shared" si="59"/>
        <v>1</v>
      </c>
      <c r="AB310" s="104">
        <f t="shared" si="60"/>
        <v>1</v>
      </c>
    </row>
    <row r="311" spans="1:28" x14ac:dyDescent="0.25">
      <c r="A311" s="55" t="s">
        <v>13783</v>
      </c>
      <c r="B311" s="57"/>
      <c r="C311" s="57">
        <v>17</v>
      </c>
      <c r="D311" s="57"/>
      <c r="E311" s="57"/>
      <c r="F311" s="57"/>
      <c r="G311" s="57"/>
      <c r="H311" s="57"/>
      <c r="I311" s="57"/>
      <c r="J311" s="57"/>
      <c r="K311" s="57"/>
      <c r="L311" s="57"/>
      <c r="M311" s="57"/>
      <c r="Q311">
        <f t="shared" si="51"/>
        <v>0</v>
      </c>
      <c r="R311">
        <f t="shared" si="52"/>
        <v>17</v>
      </c>
      <c r="S311">
        <f t="shared" si="53"/>
        <v>0</v>
      </c>
      <c r="T311">
        <f t="shared" si="54"/>
        <v>0</v>
      </c>
      <c r="U311">
        <f t="shared" si="55"/>
        <v>0</v>
      </c>
      <c r="V311">
        <f t="shared" si="56"/>
        <v>0</v>
      </c>
      <c r="Y311" t="str">
        <f t="shared" si="57"/>
        <v>Yemen</v>
      </c>
      <c r="Z311" s="104">
        <f t="shared" si="58"/>
        <v>1</v>
      </c>
      <c r="AA311" s="104" t="str">
        <f t="shared" si="59"/>
        <v/>
      </c>
      <c r="AB311" s="104" t="str">
        <f t="shared" si="60"/>
        <v/>
      </c>
    </row>
    <row r="312" spans="1:28" x14ac:dyDescent="0.25">
      <c r="A312" s="50" t="s">
        <v>14281</v>
      </c>
      <c r="B312" s="57">
        <v>2</v>
      </c>
      <c r="C312" s="57">
        <v>17</v>
      </c>
      <c r="D312" s="57"/>
      <c r="E312" s="57">
        <v>13</v>
      </c>
      <c r="F312" s="57">
        <v>63</v>
      </c>
      <c r="G312" s="57"/>
      <c r="H312" s="57">
        <v>5</v>
      </c>
      <c r="I312" s="57">
        <v>25</v>
      </c>
      <c r="J312" s="57"/>
      <c r="K312" s="57">
        <v>3</v>
      </c>
      <c r="L312" s="57"/>
      <c r="M312" s="57"/>
      <c r="Q312">
        <f t="shared" si="51"/>
        <v>2</v>
      </c>
      <c r="R312">
        <f t="shared" si="52"/>
        <v>17</v>
      </c>
      <c r="S312">
        <f t="shared" si="53"/>
        <v>13</v>
      </c>
      <c r="T312">
        <f t="shared" si="54"/>
        <v>63</v>
      </c>
      <c r="U312">
        <f t="shared" si="55"/>
        <v>5</v>
      </c>
      <c r="V312">
        <f t="shared" si="56"/>
        <v>25</v>
      </c>
      <c r="Y312" t="str">
        <f t="shared" si="57"/>
        <v>Middle East, North Africa and Europe Total</v>
      </c>
      <c r="Z312" s="104">
        <f t="shared" si="58"/>
        <v>0.89473684210526316</v>
      </c>
      <c r="AA312" s="104">
        <f t="shared" si="59"/>
        <v>0.82894736842105265</v>
      </c>
      <c r="AB312" s="104">
        <f t="shared" si="60"/>
        <v>0.83333333333333337</v>
      </c>
    </row>
    <row r="313" spans="1:28" x14ac:dyDescent="0.25">
      <c r="A313" s="50" t="s">
        <v>12970</v>
      </c>
      <c r="B313" s="57"/>
      <c r="C313" s="57"/>
      <c r="D313" s="57"/>
      <c r="E313" s="57"/>
      <c r="F313" s="57"/>
      <c r="G313" s="57"/>
      <c r="H313" s="57"/>
      <c r="I313" s="57"/>
      <c r="J313" s="57"/>
      <c r="K313" s="57"/>
      <c r="L313" s="57"/>
      <c r="M313" s="57"/>
      <c r="Q313">
        <f t="shared" si="51"/>
        <v>0</v>
      </c>
      <c r="R313">
        <f t="shared" si="52"/>
        <v>0</v>
      </c>
      <c r="S313">
        <f t="shared" si="53"/>
        <v>0</v>
      </c>
      <c r="T313">
        <f t="shared" si="54"/>
        <v>0</v>
      </c>
      <c r="U313">
        <f t="shared" si="55"/>
        <v>0</v>
      </c>
      <c r="V313">
        <f t="shared" si="56"/>
        <v>0</v>
      </c>
      <c r="Y313" t="str">
        <f t="shared" si="57"/>
        <v>North America</v>
      </c>
      <c r="Z313" s="104" t="str">
        <f t="shared" si="58"/>
        <v/>
      </c>
      <c r="AA313" s="104" t="str">
        <f t="shared" si="59"/>
        <v/>
      </c>
      <c r="AB313" s="104" t="str">
        <f t="shared" si="60"/>
        <v/>
      </c>
    </row>
    <row r="314" spans="1:28" x14ac:dyDescent="0.25">
      <c r="A314" s="55" t="s">
        <v>12969</v>
      </c>
      <c r="B314" s="57"/>
      <c r="C314" s="57"/>
      <c r="D314" s="57"/>
      <c r="E314" s="57"/>
      <c r="F314" s="57"/>
      <c r="G314" s="57"/>
      <c r="H314" s="57"/>
      <c r="I314" s="57"/>
      <c r="J314" s="57"/>
      <c r="K314" s="57"/>
      <c r="L314" s="57"/>
      <c r="M314" s="57"/>
      <c r="Q314">
        <f t="shared" si="51"/>
        <v>0</v>
      </c>
      <c r="R314">
        <f t="shared" si="52"/>
        <v>0</v>
      </c>
      <c r="S314">
        <f t="shared" si="53"/>
        <v>0</v>
      </c>
      <c r="T314">
        <f t="shared" si="54"/>
        <v>0</v>
      </c>
      <c r="U314">
        <f t="shared" si="55"/>
        <v>0</v>
      </c>
      <c r="V314">
        <f t="shared" si="56"/>
        <v>0</v>
      </c>
      <c r="Y314" t="str">
        <f t="shared" si="57"/>
        <v>United States of America</v>
      </c>
      <c r="Z314" s="104" t="str">
        <f t="shared" si="58"/>
        <v/>
      </c>
      <c r="AA314" s="104" t="str">
        <f t="shared" si="59"/>
        <v/>
      </c>
      <c r="AB314" s="104" t="str">
        <f t="shared" si="60"/>
        <v/>
      </c>
    </row>
    <row r="315" spans="1:28" x14ac:dyDescent="0.25">
      <c r="A315" s="50" t="s">
        <v>14282</v>
      </c>
      <c r="B315" s="57"/>
      <c r="C315" s="57"/>
      <c r="D315" s="57"/>
      <c r="E315" s="57"/>
      <c r="F315" s="57"/>
      <c r="G315" s="57"/>
      <c r="H315" s="57"/>
      <c r="I315" s="57"/>
      <c r="J315" s="57"/>
      <c r="K315" s="57"/>
      <c r="L315" s="57"/>
      <c r="M315" s="57"/>
      <c r="Q315">
        <f t="shared" si="51"/>
        <v>0</v>
      </c>
      <c r="R315">
        <f t="shared" si="52"/>
        <v>0</v>
      </c>
      <c r="S315">
        <f t="shared" si="53"/>
        <v>0</v>
      </c>
      <c r="T315">
        <f t="shared" si="54"/>
        <v>0</v>
      </c>
      <c r="U315">
        <f t="shared" si="55"/>
        <v>0</v>
      </c>
      <c r="V315">
        <f t="shared" si="56"/>
        <v>0</v>
      </c>
      <c r="Y315" t="str">
        <f t="shared" si="57"/>
        <v>North America Total</v>
      </c>
      <c r="Z315" s="104" t="str">
        <f t="shared" si="58"/>
        <v/>
      </c>
      <c r="AA315" s="104" t="str">
        <f t="shared" si="59"/>
        <v/>
      </c>
      <c r="AB315" s="104" t="str">
        <f t="shared" si="60"/>
        <v/>
      </c>
    </row>
    <row r="316" spans="1:28" x14ac:dyDescent="0.25">
      <c r="A316" s="50" t="s">
        <v>14272</v>
      </c>
      <c r="B316" s="57">
        <v>15</v>
      </c>
      <c r="C316" s="57">
        <v>30</v>
      </c>
      <c r="D316" s="57"/>
      <c r="E316" s="57">
        <v>89</v>
      </c>
      <c r="F316" s="57">
        <v>515</v>
      </c>
      <c r="G316" s="57"/>
      <c r="H316" s="57">
        <v>13</v>
      </c>
      <c r="I316" s="57">
        <v>136</v>
      </c>
      <c r="J316" s="57"/>
      <c r="K316" s="57">
        <v>4</v>
      </c>
      <c r="L316" s="57">
        <v>1</v>
      </c>
      <c r="M316" s="57"/>
      <c r="Q316">
        <f t="shared" si="51"/>
        <v>15</v>
      </c>
      <c r="R316">
        <f t="shared" si="52"/>
        <v>30</v>
      </c>
      <c r="S316">
        <f t="shared" si="53"/>
        <v>89</v>
      </c>
      <c r="T316">
        <f t="shared" si="54"/>
        <v>515</v>
      </c>
      <c r="U316">
        <f t="shared" si="55"/>
        <v>13</v>
      </c>
      <c r="V316">
        <f t="shared" si="56"/>
        <v>136</v>
      </c>
      <c r="Y316" t="str">
        <f t="shared" si="57"/>
        <v>Grand Total</v>
      </c>
      <c r="Z316" s="104">
        <f t="shared" si="58"/>
        <v>0.66666666666666663</v>
      </c>
      <c r="AA316" s="104">
        <f t="shared" si="59"/>
        <v>0.85264900662251653</v>
      </c>
      <c r="AB316" s="104">
        <f t="shared" si="60"/>
        <v>0.91275167785234901</v>
      </c>
    </row>
    <row r="317" spans="1:28" x14ac:dyDescent="0.25">
      <c r="Q317">
        <f t="shared" si="51"/>
        <v>0</v>
      </c>
      <c r="R317">
        <f t="shared" si="52"/>
        <v>0</v>
      </c>
      <c r="S317">
        <f t="shared" si="53"/>
        <v>0</v>
      </c>
      <c r="T317">
        <f t="shared" si="54"/>
        <v>0</v>
      </c>
      <c r="U317">
        <f t="shared" si="55"/>
        <v>0</v>
      </c>
      <c r="V317">
        <f t="shared" si="56"/>
        <v>0</v>
      </c>
      <c r="Y317">
        <f t="shared" si="57"/>
        <v>0</v>
      </c>
      <c r="Z317" s="104" t="str">
        <f t="shared" si="58"/>
        <v/>
      </c>
      <c r="AA317" s="104" t="str">
        <f t="shared" si="59"/>
        <v/>
      </c>
      <c r="AB317" s="104" t="str">
        <f t="shared" si="60"/>
        <v/>
      </c>
    </row>
    <row r="320" spans="1:28" x14ac:dyDescent="0.25">
      <c r="A320" s="49" t="s">
        <v>14549</v>
      </c>
      <c r="B320" s="49" t="s">
        <v>14283</v>
      </c>
    </row>
    <row r="321" spans="1:37" x14ac:dyDescent="0.25">
      <c r="B321" t="s">
        <v>723</v>
      </c>
      <c r="E321" t="s">
        <v>336</v>
      </c>
      <c r="H321" t="s">
        <v>621</v>
      </c>
      <c r="K321" t="s">
        <v>14275</v>
      </c>
      <c r="Q321" s="431" t="str">
        <f>A320</f>
        <v>Count of Governance Marker – Integration</v>
      </c>
      <c r="R321" s="431"/>
      <c r="S321" s="431"/>
      <c r="T321" s="431"/>
      <c r="U321" s="431"/>
      <c r="V321" s="431"/>
      <c r="W321" s="114"/>
      <c r="X321" s="114"/>
      <c r="Z321" s="431"/>
      <c r="AA321" s="431"/>
      <c r="AB321" s="431"/>
    </row>
    <row r="322" spans="1:37" x14ac:dyDescent="0.25">
      <c r="A322" s="49" t="s">
        <v>14283</v>
      </c>
      <c r="B322" t="s">
        <v>319</v>
      </c>
      <c r="C322" t="s">
        <v>320</v>
      </c>
      <c r="D322" t="s">
        <v>14275</v>
      </c>
      <c r="E322" t="s">
        <v>319</v>
      </c>
      <c r="F322" t="s">
        <v>320</v>
      </c>
      <c r="G322" t="s">
        <v>14275</v>
      </c>
      <c r="H322" t="s">
        <v>319</v>
      </c>
      <c r="I322" t="s">
        <v>320</v>
      </c>
      <c r="J322" t="s">
        <v>14275</v>
      </c>
      <c r="K322" t="s">
        <v>319</v>
      </c>
      <c r="L322" t="s">
        <v>320</v>
      </c>
      <c r="M322" t="s">
        <v>14275</v>
      </c>
      <c r="Q322" s="431" t="s">
        <v>14545</v>
      </c>
      <c r="R322" s="431"/>
      <c r="S322" s="431" t="s">
        <v>14546</v>
      </c>
      <c r="T322" s="431"/>
      <c r="U322" s="431" t="s">
        <v>14547</v>
      </c>
      <c r="V322" s="431"/>
      <c r="W322" s="115"/>
      <c r="X322" s="115"/>
      <c r="Y322" s="49"/>
      <c r="Z322" s="49" t="s">
        <v>14541</v>
      </c>
      <c r="AA322" s="49"/>
      <c r="AB322" s="49"/>
      <c r="AC322" s="49"/>
      <c r="AD322" s="49"/>
      <c r="AE322" s="49"/>
      <c r="AF322" s="49"/>
      <c r="AG322" s="49"/>
      <c r="AH322" s="49"/>
      <c r="AI322" s="49"/>
      <c r="AJ322" s="49"/>
      <c r="AK322" s="49"/>
    </row>
    <row r="323" spans="1:37" x14ac:dyDescent="0.25">
      <c r="A323" s="50" t="s">
        <v>1874</v>
      </c>
      <c r="B323" s="57"/>
      <c r="C323" s="57"/>
      <c r="D323" s="57"/>
      <c r="E323" s="57"/>
      <c r="F323" s="57"/>
      <c r="G323" s="57"/>
      <c r="H323" s="57"/>
      <c r="I323" s="57"/>
      <c r="J323" s="57"/>
      <c r="K323" s="57"/>
      <c r="L323" s="57"/>
      <c r="M323" s="57"/>
      <c r="Q323" s="114" t="s">
        <v>7463</v>
      </c>
      <c r="R323" s="114" t="s">
        <v>326</v>
      </c>
      <c r="S323" s="114" t="s">
        <v>7463</v>
      </c>
      <c r="T323" s="114" t="s">
        <v>326</v>
      </c>
      <c r="U323" s="114" t="s">
        <v>7463</v>
      </c>
      <c r="V323" s="114" t="s">
        <v>326</v>
      </c>
      <c r="W323" s="114"/>
      <c r="X323" s="114"/>
      <c r="Z323" s="114" t="str">
        <f>Q322</f>
        <v>Governance blind</v>
      </c>
      <c r="AA323" s="114" t="str">
        <f>S322</f>
        <v>Within existing structures</v>
      </c>
      <c r="AB323" s="114" t="str">
        <f>U322</f>
        <v>Challenged existing structures</v>
      </c>
    </row>
    <row r="324" spans="1:37" x14ac:dyDescent="0.25">
      <c r="A324" s="55" t="s">
        <v>1873</v>
      </c>
      <c r="B324" s="57">
        <v>1</v>
      </c>
      <c r="C324" s="57">
        <v>2</v>
      </c>
      <c r="D324" s="57"/>
      <c r="E324" s="57"/>
      <c r="F324" s="57">
        <v>8</v>
      </c>
      <c r="G324" s="57"/>
      <c r="H324" s="57"/>
      <c r="I324" s="57">
        <v>2</v>
      </c>
      <c r="J324" s="57"/>
      <c r="K324" s="57"/>
      <c r="L324" s="57"/>
      <c r="M324" s="57"/>
      <c r="Q324">
        <f t="shared" ref="Q324:Q355" si="61">B324</f>
        <v>1</v>
      </c>
      <c r="R324">
        <f t="shared" ref="R324:R355" si="62">C324</f>
        <v>2</v>
      </c>
      <c r="S324">
        <f t="shared" ref="S324:S355" si="63">E324</f>
        <v>0</v>
      </c>
      <c r="T324">
        <f t="shared" ref="T324:T355" si="64">F324</f>
        <v>8</v>
      </c>
      <c r="U324">
        <f t="shared" ref="U324:U355" si="65">H324</f>
        <v>0</v>
      </c>
      <c r="V324">
        <f t="shared" ref="V324:V355" si="66">I324</f>
        <v>2</v>
      </c>
      <c r="Y324" t="str">
        <f t="shared" ref="Y324:Y355" si="67">A324</f>
        <v>Burundi</v>
      </c>
      <c r="Z324" s="104">
        <f>IFERROR(R324/(SUM($Q324:$R324)),"")</f>
        <v>0.66666666666666663</v>
      </c>
      <c r="AA324" s="104">
        <f>IFERROR(T324/(SUM($S324:$T324)),"")</f>
        <v>1</v>
      </c>
      <c r="AB324" s="104">
        <f>IFERROR(V324/(SUM($U324:$V324)),"")</f>
        <v>1</v>
      </c>
    </row>
    <row r="325" spans="1:37" x14ac:dyDescent="0.25">
      <c r="A325" s="55" t="s">
        <v>3868</v>
      </c>
      <c r="B325" s="57"/>
      <c r="C325" s="57"/>
      <c r="D325" s="57"/>
      <c r="E325" s="57">
        <v>1</v>
      </c>
      <c r="F325" s="57">
        <v>27</v>
      </c>
      <c r="G325" s="57"/>
      <c r="H325" s="57"/>
      <c r="I325" s="57">
        <v>2</v>
      </c>
      <c r="J325" s="57"/>
      <c r="K325" s="57"/>
      <c r="L325" s="57"/>
      <c r="M325" s="57"/>
      <c r="Q325">
        <f t="shared" si="61"/>
        <v>0</v>
      </c>
      <c r="R325">
        <f t="shared" si="62"/>
        <v>0</v>
      </c>
      <c r="S325">
        <f t="shared" si="63"/>
        <v>1</v>
      </c>
      <c r="T325">
        <f t="shared" si="64"/>
        <v>27</v>
      </c>
      <c r="U325">
        <f t="shared" si="65"/>
        <v>0</v>
      </c>
      <c r="V325">
        <f t="shared" si="66"/>
        <v>2</v>
      </c>
      <c r="Y325" t="str">
        <f t="shared" si="67"/>
        <v>Ethiopia</v>
      </c>
      <c r="Z325" s="104" t="str">
        <f t="shared" ref="Z325:Z388" si="68">IFERROR(R325/(SUM($Q325:$R325)),"")</f>
        <v/>
      </c>
      <c r="AA325" s="104">
        <f t="shared" ref="AA325:AA388" si="69">IFERROR(T325/(SUM($S325:$T325)),"")</f>
        <v>0.9642857142857143</v>
      </c>
      <c r="AB325" s="104">
        <f t="shared" ref="AB325:AB388" si="70">IFERROR(V325/(SUM($U325:$V325)),"")</f>
        <v>1</v>
      </c>
    </row>
    <row r="326" spans="1:37" x14ac:dyDescent="0.25">
      <c r="A326" s="55" t="s">
        <v>6457</v>
      </c>
      <c r="B326" s="57"/>
      <c r="C326" s="57"/>
      <c r="D326" s="57"/>
      <c r="E326" s="57">
        <v>2</v>
      </c>
      <c r="F326" s="57">
        <v>20</v>
      </c>
      <c r="G326" s="57"/>
      <c r="H326" s="57"/>
      <c r="I326" s="57">
        <v>1</v>
      </c>
      <c r="J326" s="57"/>
      <c r="K326" s="57"/>
      <c r="L326" s="57"/>
      <c r="M326" s="57"/>
      <c r="Q326">
        <f t="shared" si="61"/>
        <v>0</v>
      </c>
      <c r="R326">
        <f t="shared" si="62"/>
        <v>0</v>
      </c>
      <c r="S326">
        <f t="shared" si="63"/>
        <v>2</v>
      </c>
      <c r="T326">
        <f t="shared" si="64"/>
        <v>20</v>
      </c>
      <c r="U326">
        <f t="shared" si="65"/>
        <v>0</v>
      </c>
      <c r="V326">
        <f t="shared" si="66"/>
        <v>1</v>
      </c>
      <c r="Y326" t="str">
        <f t="shared" si="67"/>
        <v>Kenya</v>
      </c>
      <c r="Z326" s="104" t="str">
        <f t="shared" si="68"/>
        <v/>
      </c>
      <c r="AA326" s="104">
        <f t="shared" si="69"/>
        <v>0.90909090909090906</v>
      </c>
      <c r="AB326" s="104">
        <f t="shared" si="70"/>
        <v>1</v>
      </c>
    </row>
    <row r="327" spans="1:37" x14ac:dyDescent="0.25">
      <c r="A327" s="55" t="s">
        <v>10371</v>
      </c>
      <c r="B327" s="57"/>
      <c r="C327" s="57"/>
      <c r="D327" s="57"/>
      <c r="E327" s="57"/>
      <c r="F327" s="57">
        <v>5</v>
      </c>
      <c r="G327" s="57"/>
      <c r="H327" s="57"/>
      <c r="I327" s="57">
        <v>2</v>
      </c>
      <c r="J327" s="57"/>
      <c r="K327" s="57"/>
      <c r="L327" s="57"/>
      <c r="M327" s="57"/>
      <c r="Q327">
        <f t="shared" si="61"/>
        <v>0</v>
      </c>
      <c r="R327">
        <f t="shared" si="62"/>
        <v>0</v>
      </c>
      <c r="S327">
        <f t="shared" si="63"/>
        <v>0</v>
      </c>
      <c r="T327">
        <f t="shared" si="64"/>
        <v>5</v>
      </c>
      <c r="U327">
        <f t="shared" si="65"/>
        <v>0</v>
      </c>
      <c r="V327">
        <f t="shared" si="66"/>
        <v>2</v>
      </c>
      <c r="Y327" t="str">
        <f t="shared" si="67"/>
        <v>Rwanda</v>
      </c>
      <c r="Z327" s="104" t="str">
        <f t="shared" si="68"/>
        <v/>
      </c>
      <c r="AA327" s="104">
        <f t="shared" si="69"/>
        <v>1</v>
      </c>
      <c r="AB327" s="104">
        <f t="shared" si="70"/>
        <v>1</v>
      </c>
    </row>
    <row r="328" spans="1:37" x14ac:dyDescent="0.25">
      <c r="A328" s="55" t="s">
        <v>10685</v>
      </c>
      <c r="B328" s="57"/>
      <c r="C328" s="57"/>
      <c r="D328" s="57"/>
      <c r="E328" s="57">
        <v>1</v>
      </c>
      <c r="F328" s="57">
        <v>29</v>
      </c>
      <c r="G328" s="57"/>
      <c r="H328" s="57"/>
      <c r="I328" s="57">
        <v>4</v>
      </c>
      <c r="J328" s="57"/>
      <c r="K328" s="57"/>
      <c r="L328" s="57"/>
      <c r="M328" s="57"/>
      <c r="Q328">
        <f t="shared" si="61"/>
        <v>0</v>
      </c>
      <c r="R328">
        <f t="shared" si="62"/>
        <v>0</v>
      </c>
      <c r="S328">
        <f t="shared" si="63"/>
        <v>1</v>
      </c>
      <c r="T328">
        <f t="shared" si="64"/>
        <v>29</v>
      </c>
      <c r="U328">
        <f t="shared" si="65"/>
        <v>0</v>
      </c>
      <c r="V328">
        <f t="shared" si="66"/>
        <v>4</v>
      </c>
      <c r="Y328" t="str">
        <f t="shared" si="67"/>
        <v>Somalia</v>
      </c>
      <c r="Z328" s="104" t="str">
        <f t="shared" si="68"/>
        <v/>
      </c>
      <c r="AA328" s="104">
        <f t="shared" si="69"/>
        <v>0.96666666666666667</v>
      </c>
      <c r="AB328" s="104">
        <f t="shared" si="70"/>
        <v>1</v>
      </c>
    </row>
    <row r="329" spans="1:37" x14ac:dyDescent="0.25">
      <c r="A329" s="55" t="s">
        <v>11104</v>
      </c>
      <c r="B329" s="57"/>
      <c r="C329" s="57"/>
      <c r="D329" s="57"/>
      <c r="E329" s="57"/>
      <c r="F329" s="57">
        <v>20</v>
      </c>
      <c r="G329" s="57"/>
      <c r="H329" s="57"/>
      <c r="I329" s="57">
        <v>1</v>
      </c>
      <c r="J329" s="57"/>
      <c r="K329" s="57"/>
      <c r="L329" s="57"/>
      <c r="M329" s="57"/>
      <c r="Q329">
        <f t="shared" si="61"/>
        <v>0</v>
      </c>
      <c r="R329">
        <f t="shared" si="62"/>
        <v>0</v>
      </c>
      <c r="S329">
        <f t="shared" si="63"/>
        <v>0</v>
      </c>
      <c r="T329">
        <f t="shared" si="64"/>
        <v>20</v>
      </c>
      <c r="U329">
        <f t="shared" si="65"/>
        <v>0</v>
      </c>
      <c r="V329">
        <f t="shared" si="66"/>
        <v>1</v>
      </c>
      <c r="Y329" t="str">
        <f t="shared" si="67"/>
        <v>South Sudan</v>
      </c>
      <c r="Z329" s="104" t="str">
        <f t="shared" si="68"/>
        <v/>
      </c>
      <c r="AA329" s="104">
        <f t="shared" si="69"/>
        <v>1</v>
      </c>
      <c r="AB329" s="104">
        <f t="shared" si="70"/>
        <v>1</v>
      </c>
    </row>
    <row r="330" spans="1:37" x14ac:dyDescent="0.25">
      <c r="A330" s="55" t="s">
        <v>11417</v>
      </c>
      <c r="B330" s="57"/>
      <c r="C330" s="57"/>
      <c r="D330" s="57"/>
      <c r="E330" s="57"/>
      <c r="F330" s="57">
        <v>14</v>
      </c>
      <c r="G330" s="57"/>
      <c r="H330" s="57">
        <v>1</v>
      </c>
      <c r="I330" s="57">
        <v>3</v>
      </c>
      <c r="J330" s="57"/>
      <c r="K330" s="57"/>
      <c r="L330" s="57"/>
      <c r="M330" s="57"/>
      <c r="Q330">
        <f t="shared" si="61"/>
        <v>0</v>
      </c>
      <c r="R330">
        <f t="shared" si="62"/>
        <v>0</v>
      </c>
      <c r="S330">
        <f t="shared" si="63"/>
        <v>0</v>
      </c>
      <c r="T330">
        <f t="shared" si="64"/>
        <v>14</v>
      </c>
      <c r="U330">
        <f t="shared" si="65"/>
        <v>1</v>
      </c>
      <c r="V330">
        <f t="shared" si="66"/>
        <v>3</v>
      </c>
      <c r="Y330" t="str">
        <f t="shared" si="67"/>
        <v>Sudan</v>
      </c>
      <c r="Z330" s="104" t="str">
        <f t="shared" si="68"/>
        <v/>
      </c>
      <c r="AA330" s="104">
        <f t="shared" si="69"/>
        <v>1</v>
      </c>
      <c r="AB330" s="104">
        <f t="shared" si="70"/>
        <v>0.75</v>
      </c>
    </row>
    <row r="331" spans="1:37" x14ac:dyDescent="0.25">
      <c r="A331" s="55" t="s">
        <v>12694</v>
      </c>
      <c r="B331" s="57"/>
      <c r="C331" s="57">
        <v>1</v>
      </c>
      <c r="D331" s="57"/>
      <c r="E331" s="57"/>
      <c r="F331" s="57">
        <v>9</v>
      </c>
      <c r="G331" s="57"/>
      <c r="H331" s="57"/>
      <c r="I331" s="57">
        <v>3</v>
      </c>
      <c r="J331" s="57"/>
      <c r="K331" s="57"/>
      <c r="L331" s="57"/>
      <c r="M331" s="57"/>
      <c r="Q331">
        <f t="shared" si="61"/>
        <v>0</v>
      </c>
      <c r="R331">
        <f t="shared" si="62"/>
        <v>1</v>
      </c>
      <c r="S331">
        <f t="shared" si="63"/>
        <v>0</v>
      </c>
      <c r="T331">
        <f t="shared" si="64"/>
        <v>9</v>
      </c>
      <c r="U331">
        <f t="shared" si="65"/>
        <v>0</v>
      </c>
      <c r="V331">
        <f t="shared" si="66"/>
        <v>3</v>
      </c>
      <c r="Y331" t="str">
        <f t="shared" si="67"/>
        <v>Uganda</v>
      </c>
      <c r="Z331" s="104">
        <f t="shared" si="68"/>
        <v>1</v>
      </c>
      <c r="AA331" s="104">
        <f t="shared" si="69"/>
        <v>1</v>
      </c>
      <c r="AB331" s="104">
        <f t="shared" si="70"/>
        <v>1</v>
      </c>
    </row>
    <row r="332" spans="1:37" x14ac:dyDescent="0.25">
      <c r="A332" s="55" t="s">
        <v>14322</v>
      </c>
      <c r="B332" s="57"/>
      <c r="C332" s="57"/>
      <c r="D332" s="57"/>
      <c r="E332" s="57"/>
      <c r="F332" s="57">
        <v>3</v>
      </c>
      <c r="G332" s="57"/>
      <c r="H332" s="57"/>
      <c r="I332" s="57">
        <v>1</v>
      </c>
      <c r="J332" s="57"/>
      <c r="K332" s="57"/>
      <c r="L332" s="57"/>
      <c r="M332" s="57"/>
      <c r="Q332">
        <f t="shared" si="61"/>
        <v>0</v>
      </c>
      <c r="R332">
        <f t="shared" si="62"/>
        <v>0</v>
      </c>
      <c r="S332">
        <f t="shared" si="63"/>
        <v>0</v>
      </c>
      <c r="T332">
        <f t="shared" si="64"/>
        <v>3</v>
      </c>
      <c r="U332">
        <f t="shared" si="65"/>
        <v>0</v>
      </c>
      <c r="V332">
        <f t="shared" si="66"/>
        <v>1</v>
      </c>
      <c r="Y332" t="str">
        <f t="shared" si="67"/>
        <v>DRC</v>
      </c>
      <c r="Z332" s="104" t="str">
        <f t="shared" si="68"/>
        <v/>
      </c>
      <c r="AA332" s="104">
        <f t="shared" si="69"/>
        <v>1</v>
      </c>
      <c r="AB332" s="104">
        <f t="shared" si="70"/>
        <v>1</v>
      </c>
    </row>
    <row r="333" spans="1:37" x14ac:dyDescent="0.25">
      <c r="A333" s="50" t="s">
        <v>14276</v>
      </c>
      <c r="B333" s="57">
        <v>1</v>
      </c>
      <c r="C333" s="57">
        <v>3</v>
      </c>
      <c r="D333" s="57"/>
      <c r="E333" s="57">
        <v>4</v>
      </c>
      <c r="F333" s="57">
        <v>135</v>
      </c>
      <c r="G333" s="57"/>
      <c r="H333" s="57">
        <v>1</v>
      </c>
      <c r="I333" s="57">
        <v>19</v>
      </c>
      <c r="J333" s="57"/>
      <c r="K333" s="57"/>
      <c r="L333" s="57"/>
      <c r="M333" s="57"/>
      <c r="Q333">
        <f t="shared" si="61"/>
        <v>1</v>
      </c>
      <c r="R333">
        <f t="shared" si="62"/>
        <v>3</v>
      </c>
      <c r="S333">
        <f t="shared" si="63"/>
        <v>4</v>
      </c>
      <c r="T333">
        <f t="shared" si="64"/>
        <v>135</v>
      </c>
      <c r="U333">
        <f t="shared" si="65"/>
        <v>1</v>
      </c>
      <c r="V333">
        <f t="shared" si="66"/>
        <v>19</v>
      </c>
      <c r="Y333" t="str">
        <f t="shared" si="67"/>
        <v>Africa - East and Central Total</v>
      </c>
      <c r="Z333" s="104">
        <f t="shared" si="68"/>
        <v>0.75</v>
      </c>
      <c r="AA333" s="104">
        <f t="shared" si="69"/>
        <v>0.97122302158273377</v>
      </c>
      <c r="AB333" s="104">
        <f t="shared" si="70"/>
        <v>0.95</v>
      </c>
    </row>
    <row r="334" spans="1:37" x14ac:dyDescent="0.25">
      <c r="A334" s="50" t="s">
        <v>7217</v>
      </c>
      <c r="B334" s="57"/>
      <c r="C334" s="57"/>
      <c r="D334" s="57"/>
      <c r="E334" s="57"/>
      <c r="F334" s="57"/>
      <c r="G334" s="57"/>
      <c r="H334" s="57"/>
      <c r="I334" s="57"/>
      <c r="J334" s="57"/>
      <c r="K334" s="57"/>
      <c r="L334" s="57"/>
      <c r="M334" s="57"/>
      <c r="Q334">
        <f t="shared" si="61"/>
        <v>0</v>
      </c>
      <c r="R334">
        <f t="shared" si="62"/>
        <v>0</v>
      </c>
      <c r="S334">
        <f t="shared" si="63"/>
        <v>0</v>
      </c>
      <c r="T334">
        <f t="shared" si="64"/>
        <v>0</v>
      </c>
      <c r="U334">
        <f t="shared" si="65"/>
        <v>0</v>
      </c>
      <c r="V334">
        <f t="shared" si="66"/>
        <v>0</v>
      </c>
      <c r="Y334" t="str">
        <f t="shared" si="67"/>
        <v>Africa - Southern</v>
      </c>
      <c r="Z334" s="104" t="str">
        <f t="shared" si="68"/>
        <v/>
      </c>
      <c r="AA334" s="104" t="str">
        <f t="shared" si="69"/>
        <v/>
      </c>
      <c r="AB334" s="104" t="str">
        <f t="shared" si="70"/>
        <v/>
      </c>
    </row>
    <row r="335" spans="1:37" x14ac:dyDescent="0.25">
      <c r="A335" s="55" t="s">
        <v>7216</v>
      </c>
      <c r="B335" s="57"/>
      <c r="C335" s="57"/>
      <c r="D335" s="57"/>
      <c r="E335" s="57">
        <v>1</v>
      </c>
      <c r="F335" s="57">
        <v>9</v>
      </c>
      <c r="G335" s="57"/>
      <c r="H335" s="57"/>
      <c r="I335" s="57"/>
      <c r="J335" s="57"/>
      <c r="K335" s="57"/>
      <c r="L335" s="57"/>
      <c r="M335" s="57"/>
      <c r="Q335">
        <f t="shared" si="61"/>
        <v>0</v>
      </c>
      <c r="R335">
        <f t="shared" si="62"/>
        <v>0</v>
      </c>
      <c r="S335">
        <f t="shared" si="63"/>
        <v>1</v>
      </c>
      <c r="T335">
        <f t="shared" si="64"/>
        <v>9</v>
      </c>
      <c r="U335">
        <f t="shared" si="65"/>
        <v>0</v>
      </c>
      <c r="V335">
        <f t="shared" si="66"/>
        <v>0</v>
      </c>
      <c r="Y335" t="str">
        <f t="shared" si="67"/>
        <v>Madagascar</v>
      </c>
      <c r="Z335" s="104" t="str">
        <f t="shared" si="68"/>
        <v/>
      </c>
      <c r="AA335" s="104">
        <f t="shared" si="69"/>
        <v>0.9</v>
      </c>
      <c r="AB335" s="104" t="str">
        <f t="shared" si="70"/>
        <v/>
      </c>
    </row>
    <row r="336" spans="1:37" x14ac:dyDescent="0.25">
      <c r="A336" s="55" t="s">
        <v>7451</v>
      </c>
      <c r="B336" s="57"/>
      <c r="C336" s="57"/>
      <c r="D336" s="57"/>
      <c r="E336" s="57">
        <v>1</v>
      </c>
      <c r="F336" s="57">
        <v>20</v>
      </c>
      <c r="G336" s="57"/>
      <c r="H336" s="57"/>
      <c r="I336" s="57">
        <v>2</v>
      </c>
      <c r="J336" s="57"/>
      <c r="K336" s="57"/>
      <c r="L336" s="57"/>
      <c r="M336" s="57"/>
      <c r="Q336">
        <f t="shared" si="61"/>
        <v>0</v>
      </c>
      <c r="R336">
        <f t="shared" si="62"/>
        <v>0</v>
      </c>
      <c r="S336">
        <f t="shared" si="63"/>
        <v>1</v>
      </c>
      <c r="T336">
        <f t="shared" si="64"/>
        <v>20</v>
      </c>
      <c r="U336">
        <f t="shared" si="65"/>
        <v>0</v>
      </c>
      <c r="V336">
        <f t="shared" si="66"/>
        <v>2</v>
      </c>
      <c r="Y336" t="str">
        <f t="shared" si="67"/>
        <v>Malawi</v>
      </c>
      <c r="Z336" s="104" t="str">
        <f t="shared" si="68"/>
        <v/>
      </c>
      <c r="AA336" s="104">
        <f t="shared" si="69"/>
        <v>0.95238095238095233</v>
      </c>
      <c r="AB336" s="104">
        <f t="shared" si="70"/>
        <v>1</v>
      </c>
    </row>
    <row r="337" spans="1:28" x14ac:dyDescent="0.25">
      <c r="A337" s="55" t="s">
        <v>8265</v>
      </c>
      <c r="B337" s="57"/>
      <c r="C337" s="57"/>
      <c r="D337" s="57"/>
      <c r="E337" s="57"/>
      <c r="F337" s="57">
        <v>7</v>
      </c>
      <c r="G337" s="57"/>
      <c r="H337" s="57"/>
      <c r="I337" s="57">
        <v>3</v>
      </c>
      <c r="J337" s="57"/>
      <c r="K337" s="57"/>
      <c r="L337" s="57"/>
      <c r="M337" s="57"/>
      <c r="Q337">
        <f t="shared" si="61"/>
        <v>0</v>
      </c>
      <c r="R337">
        <f t="shared" si="62"/>
        <v>0</v>
      </c>
      <c r="S337">
        <f t="shared" si="63"/>
        <v>0</v>
      </c>
      <c r="T337">
        <f t="shared" si="64"/>
        <v>7</v>
      </c>
      <c r="U337">
        <f t="shared" si="65"/>
        <v>0</v>
      </c>
      <c r="V337">
        <f t="shared" si="66"/>
        <v>3</v>
      </c>
      <c r="Y337" t="str">
        <f t="shared" si="67"/>
        <v>Mozambique</v>
      </c>
      <c r="Z337" s="104" t="str">
        <f t="shared" si="68"/>
        <v/>
      </c>
      <c r="AA337" s="104">
        <f t="shared" si="69"/>
        <v>1</v>
      </c>
      <c r="AB337" s="104">
        <f t="shared" si="70"/>
        <v>1</v>
      </c>
    </row>
    <row r="338" spans="1:28" x14ac:dyDescent="0.25">
      <c r="A338" s="55" t="s">
        <v>11102</v>
      </c>
      <c r="B338" s="57"/>
      <c r="C338" s="57"/>
      <c r="D338" s="57"/>
      <c r="E338" s="57"/>
      <c r="F338" s="57"/>
      <c r="G338" s="57"/>
      <c r="H338" s="57"/>
      <c r="I338" s="57"/>
      <c r="J338" s="57"/>
      <c r="K338" s="57"/>
      <c r="L338" s="57"/>
      <c r="M338" s="57"/>
      <c r="Q338">
        <f t="shared" si="61"/>
        <v>0</v>
      </c>
      <c r="R338">
        <f t="shared" si="62"/>
        <v>0</v>
      </c>
      <c r="S338">
        <f t="shared" si="63"/>
        <v>0</v>
      </c>
      <c r="T338">
        <f t="shared" si="64"/>
        <v>0</v>
      </c>
      <c r="U338">
        <f t="shared" si="65"/>
        <v>0</v>
      </c>
      <c r="V338">
        <f t="shared" si="66"/>
        <v>0</v>
      </c>
      <c r="Y338" t="str">
        <f t="shared" si="67"/>
        <v>South Africa</v>
      </c>
      <c r="Z338" s="104" t="str">
        <f t="shared" si="68"/>
        <v/>
      </c>
      <c r="AA338" s="104" t="str">
        <f t="shared" si="69"/>
        <v/>
      </c>
      <c r="AB338" s="104" t="str">
        <f t="shared" si="70"/>
        <v/>
      </c>
    </row>
    <row r="339" spans="1:28" x14ac:dyDescent="0.25">
      <c r="A339" s="55" t="s">
        <v>12090</v>
      </c>
      <c r="B339" s="57"/>
      <c r="C339" s="57"/>
      <c r="D339" s="57"/>
      <c r="E339" s="57">
        <v>1</v>
      </c>
      <c r="F339" s="57">
        <v>8</v>
      </c>
      <c r="G339" s="57"/>
      <c r="H339" s="57"/>
      <c r="I339" s="57">
        <v>2</v>
      </c>
      <c r="J339" s="57"/>
      <c r="K339" s="57"/>
      <c r="L339" s="57"/>
      <c r="M339" s="57"/>
      <c r="Q339">
        <f t="shared" si="61"/>
        <v>0</v>
      </c>
      <c r="R339">
        <f t="shared" si="62"/>
        <v>0</v>
      </c>
      <c r="S339">
        <f t="shared" si="63"/>
        <v>1</v>
      </c>
      <c r="T339">
        <f t="shared" si="64"/>
        <v>8</v>
      </c>
      <c r="U339">
        <f t="shared" si="65"/>
        <v>0</v>
      </c>
      <c r="V339">
        <f t="shared" si="66"/>
        <v>2</v>
      </c>
      <c r="Y339" t="str">
        <f t="shared" si="67"/>
        <v>Tanzania</v>
      </c>
      <c r="Z339" s="104" t="str">
        <f t="shared" si="68"/>
        <v/>
      </c>
      <c r="AA339" s="104">
        <f t="shared" si="69"/>
        <v>0.88888888888888884</v>
      </c>
      <c r="AB339" s="104">
        <f t="shared" si="70"/>
        <v>1</v>
      </c>
    </row>
    <row r="340" spans="1:28" x14ac:dyDescent="0.25">
      <c r="A340" s="55" t="s">
        <v>13917</v>
      </c>
      <c r="B340" s="57"/>
      <c r="C340" s="57"/>
      <c r="D340" s="57"/>
      <c r="E340" s="57"/>
      <c r="F340" s="57">
        <v>5</v>
      </c>
      <c r="G340" s="57"/>
      <c r="H340" s="57"/>
      <c r="I340" s="57"/>
      <c r="J340" s="57"/>
      <c r="K340" s="57"/>
      <c r="L340" s="57"/>
      <c r="M340" s="57"/>
      <c r="Q340">
        <f t="shared" si="61"/>
        <v>0</v>
      </c>
      <c r="R340">
        <f t="shared" si="62"/>
        <v>0</v>
      </c>
      <c r="S340">
        <f t="shared" si="63"/>
        <v>0</v>
      </c>
      <c r="T340">
        <f t="shared" si="64"/>
        <v>5</v>
      </c>
      <c r="U340">
        <f t="shared" si="65"/>
        <v>0</v>
      </c>
      <c r="V340">
        <f t="shared" si="66"/>
        <v>0</v>
      </c>
      <c r="Y340" t="str">
        <f t="shared" si="67"/>
        <v>Zambia</v>
      </c>
      <c r="Z340" s="104" t="str">
        <f t="shared" si="68"/>
        <v/>
      </c>
      <c r="AA340" s="104">
        <f t="shared" si="69"/>
        <v>1</v>
      </c>
      <c r="AB340" s="104" t="str">
        <f t="shared" si="70"/>
        <v/>
      </c>
    </row>
    <row r="341" spans="1:28" x14ac:dyDescent="0.25">
      <c r="A341" s="55" t="s">
        <v>14016</v>
      </c>
      <c r="B341" s="57"/>
      <c r="C341" s="57"/>
      <c r="D341" s="57"/>
      <c r="E341" s="57"/>
      <c r="F341" s="57">
        <v>12</v>
      </c>
      <c r="G341" s="57"/>
      <c r="H341" s="57"/>
      <c r="I341" s="57">
        <v>3</v>
      </c>
      <c r="J341" s="57"/>
      <c r="K341" s="57"/>
      <c r="L341" s="57"/>
      <c r="M341" s="57"/>
      <c r="Q341">
        <f t="shared" si="61"/>
        <v>0</v>
      </c>
      <c r="R341">
        <f t="shared" si="62"/>
        <v>0</v>
      </c>
      <c r="S341">
        <f t="shared" si="63"/>
        <v>0</v>
      </c>
      <c r="T341">
        <f t="shared" si="64"/>
        <v>12</v>
      </c>
      <c r="U341">
        <f t="shared" si="65"/>
        <v>0</v>
      </c>
      <c r="V341">
        <f t="shared" si="66"/>
        <v>3</v>
      </c>
      <c r="Y341" t="str">
        <f t="shared" si="67"/>
        <v>Zimbabwe</v>
      </c>
      <c r="Z341" s="104" t="str">
        <f t="shared" si="68"/>
        <v/>
      </c>
      <c r="AA341" s="104">
        <f t="shared" si="69"/>
        <v>1</v>
      </c>
      <c r="AB341" s="104">
        <f t="shared" si="70"/>
        <v>1</v>
      </c>
    </row>
    <row r="342" spans="1:28" x14ac:dyDescent="0.25">
      <c r="A342" s="50" t="s">
        <v>14277</v>
      </c>
      <c r="B342" s="57"/>
      <c r="C342" s="57"/>
      <c r="D342" s="57"/>
      <c r="E342" s="57">
        <v>3</v>
      </c>
      <c r="F342" s="57">
        <v>61</v>
      </c>
      <c r="G342" s="57"/>
      <c r="H342" s="57"/>
      <c r="I342" s="57">
        <v>10</v>
      </c>
      <c r="J342" s="57"/>
      <c r="K342" s="57"/>
      <c r="L342" s="57"/>
      <c r="M342" s="57"/>
      <c r="Q342">
        <f t="shared" si="61"/>
        <v>0</v>
      </c>
      <c r="R342">
        <f t="shared" si="62"/>
        <v>0</v>
      </c>
      <c r="S342">
        <f t="shared" si="63"/>
        <v>3</v>
      </c>
      <c r="T342">
        <f t="shared" si="64"/>
        <v>61</v>
      </c>
      <c r="U342">
        <f t="shared" si="65"/>
        <v>0</v>
      </c>
      <c r="V342">
        <f t="shared" si="66"/>
        <v>10</v>
      </c>
      <c r="Y342" t="str">
        <f t="shared" si="67"/>
        <v>Africa - Southern Total</v>
      </c>
      <c r="Z342" s="104" t="str">
        <f t="shared" si="68"/>
        <v/>
      </c>
      <c r="AA342" s="104">
        <f t="shared" si="69"/>
        <v>0.953125</v>
      </c>
      <c r="AB342" s="104">
        <f t="shared" si="70"/>
        <v>1</v>
      </c>
    </row>
    <row r="343" spans="1:28" x14ac:dyDescent="0.25">
      <c r="A343" s="50" t="s">
        <v>1596</v>
      </c>
      <c r="B343" s="57"/>
      <c r="C343" s="57"/>
      <c r="D343" s="57"/>
      <c r="E343" s="57"/>
      <c r="F343" s="57"/>
      <c r="G343" s="57"/>
      <c r="H343" s="57"/>
      <c r="I343" s="57"/>
      <c r="J343" s="57"/>
      <c r="K343" s="57"/>
      <c r="L343" s="57"/>
      <c r="M343" s="57"/>
      <c r="Q343">
        <f t="shared" si="61"/>
        <v>0</v>
      </c>
      <c r="R343">
        <f t="shared" si="62"/>
        <v>0</v>
      </c>
      <c r="S343">
        <f t="shared" si="63"/>
        <v>0</v>
      </c>
      <c r="T343">
        <f t="shared" si="64"/>
        <v>0</v>
      </c>
      <c r="U343">
        <f t="shared" si="65"/>
        <v>0</v>
      </c>
      <c r="V343">
        <f t="shared" si="66"/>
        <v>0</v>
      </c>
      <c r="Y343" t="str">
        <f t="shared" si="67"/>
        <v>Africa - Western</v>
      </c>
      <c r="Z343" s="104" t="str">
        <f t="shared" si="68"/>
        <v/>
      </c>
      <c r="AA343" s="104" t="str">
        <f t="shared" si="69"/>
        <v/>
      </c>
      <c r="AB343" s="104" t="str">
        <f t="shared" si="70"/>
        <v/>
      </c>
    </row>
    <row r="344" spans="1:28" x14ac:dyDescent="0.25">
      <c r="A344" s="55" t="s">
        <v>1595</v>
      </c>
      <c r="B344" s="57"/>
      <c r="C344" s="57">
        <v>1</v>
      </c>
      <c r="D344" s="57"/>
      <c r="E344" s="57"/>
      <c r="F344" s="57">
        <v>5</v>
      </c>
      <c r="G344" s="57"/>
      <c r="H344" s="57">
        <v>1</v>
      </c>
      <c r="I344" s="57"/>
      <c r="J344" s="57"/>
      <c r="K344" s="57"/>
      <c r="L344" s="57"/>
      <c r="M344" s="57"/>
      <c r="Q344">
        <f t="shared" si="61"/>
        <v>0</v>
      </c>
      <c r="R344">
        <f t="shared" si="62"/>
        <v>1</v>
      </c>
      <c r="S344">
        <f t="shared" si="63"/>
        <v>0</v>
      </c>
      <c r="T344">
        <f t="shared" si="64"/>
        <v>5</v>
      </c>
      <c r="U344">
        <f t="shared" si="65"/>
        <v>1</v>
      </c>
      <c r="V344">
        <f t="shared" si="66"/>
        <v>0</v>
      </c>
      <c r="Y344" t="str">
        <f t="shared" si="67"/>
        <v>Benin</v>
      </c>
      <c r="Z344" s="104">
        <f t="shared" si="68"/>
        <v>1</v>
      </c>
      <c r="AA344" s="104">
        <f t="shared" si="69"/>
        <v>1</v>
      </c>
      <c r="AB344" s="104">
        <f t="shared" si="70"/>
        <v>0</v>
      </c>
    </row>
    <row r="345" spans="1:28" x14ac:dyDescent="0.25">
      <c r="A345" s="55" t="s">
        <v>1827</v>
      </c>
      <c r="B345" s="57"/>
      <c r="C345" s="57"/>
      <c r="D345" s="57"/>
      <c r="E345" s="57"/>
      <c r="F345" s="57">
        <v>1</v>
      </c>
      <c r="G345" s="57"/>
      <c r="H345" s="57"/>
      <c r="I345" s="57">
        <v>1</v>
      </c>
      <c r="J345" s="57"/>
      <c r="K345" s="57"/>
      <c r="L345" s="57"/>
      <c r="M345" s="57"/>
      <c r="Q345">
        <f t="shared" si="61"/>
        <v>0</v>
      </c>
      <c r="R345">
        <f t="shared" si="62"/>
        <v>0</v>
      </c>
      <c r="S345">
        <f t="shared" si="63"/>
        <v>0</v>
      </c>
      <c r="T345">
        <f t="shared" si="64"/>
        <v>1</v>
      </c>
      <c r="U345">
        <f t="shared" si="65"/>
        <v>0</v>
      </c>
      <c r="V345">
        <f t="shared" si="66"/>
        <v>1</v>
      </c>
      <c r="Y345" t="str">
        <f t="shared" si="67"/>
        <v>Burkina Faso</v>
      </c>
      <c r="Z345" s="104" t="str">
        <f t="shared" si="68"/>
        <v/>
      </c>
      <c r="AA345" s="104">
        <f t="shared" si="69"/>
        <v>1</v>
      </c>
      <c r="AB345" s="104">
        <f t="shared" si="70"/>
        <v>1</v>
      </c>
    </row>
    <row r="346" spans="1:28" x14ac:dyDescent="0.25">
      <c r="A346" s="55" t="s">
        <v>2395</v>
      </c>
      <c r="B346" s="57"/>
      <c r="C346" s="57"/>
      <c r="D346" s="57"/>
      <c r="E346" s="57"/>
      <c r="F346" s="57">
        <v>6</v>
      </c>
      <c r="G346" s="57"/>
      <c r="H346" s="57"/>
      <c r="I346" s="57"/>
      <c r="J346" s="57"/>
      <c r="K346" s="57"/>
      <c r="L346" s="57"/>
      <c r="M346" s="57"/>
      <c r="Q346">
        <f t="shared" si="61"/>
        <v>0</v>
      </c>
      <c r="R346">
        <f t="shared" si="62"/>
        <v>0</v>
      </c>
      <c r="S346">
        <f t="shared" si="63"/>
        <v>0</v>
      </c>
      <c r="T346">
        <f t="shared" si="64"/>
        <v>6</v>
      </c>
      <c r="U346">
        <f t="shared" si="65"/>
        <v>0</v>
      </c>
      <c r="V346">
        <f t="shared" si="66"/>
        <v>0</v>
      </c>
      <c r="Y346" t="str">
        <f t="shared" si="67"/>
        <v>Cameroon</v>
      </c>
      <c r="Z346" s="104" t="str">
        <f t="shared" si="68"/>
        <v/>
      </c>
      <c r="AA346" s="104">
        <f t="shared" si="69"/>
        <v>1</v>
      </c>
      <c r="AB346" s="104" t="str">
        <f t="shared" si="70"/>
        <v/>
      </c>
    </row>
    <row r="347" spans="1:28" x14ac:dyDescent="0.25">
      <c r="A347" s="55" t="s">
        <v>2536</v>
      </c>
      <c r="B347" s="57">
        <v>1</v>
      </c>
      <c r="C347" s="57"/>
      <c r="D347" s="57"/>
      <c r="E347" s="57">
        <v>1</v>
      </c>
      <c r="F347" s="57">
        <v>11</v>
      </c>
      <c r="G347" s="57"/>
      <c r="H347" s="57"/>
      <c r="I347" s="57">
        <v>2</v>
      </c>
      <c r="J347" s="57"/>
      <c r="K347" s="57"/>
      <c r="L347" s="57"/>
      <c r="M347" s="57"/>
      <c r="Q347">
        <f t="shared" si="61"/>
        <v>1</v>
      </c>
      <c r="R347">
        <f t="shared" si="62"/>
        <v>0</v>
      </c>
      <c r="S347">
        <f t="shared" si="63"/>
        <v>1</v>
      </c>
      <c r="T347">
        <f t="shared" si="64"/>
        <v>11</v>
      </c>
      <c r="U347">
        <f t="shared" si="65"/>
        <v>0</v>
      </c>
      <c r="V347">
        <f t="shared" si="66"/>
        <v>2</v>
      </c>
      <c r="Y347" t="str">
        <f t="shared" si="67"/>
        <v>Chad</v>
      </c>
      <c r="Z347" s="104">
        <f t="shared" si="68"/>
        <v>0</v>
      </c>
      <c r="AA347" s="104">
        <f t="shared" si="69"/>
        <v>0.91666666666666663</v>
      </c>
      <c r="AB347" s="104">
        <f t="shared" si="70"/>
        <v>1</v>
      </c>
    </row>
    <row r="348" spans="1:28" x14ac:dyDescent="0.25">
      <c r="A348" s="55" t="s">
        <v>2956</v>
      </c>
      <c r="B348" s="57">
        <v>1</v>
      </c>
      <c r="C348" s="57"/>
      <c r="D348" s="57"/>
      <c r="E348" s="57"/>
      <c r="F348" s="57">
        <v>8</v>
      </c>
      <c r="G348" s="57"/>
      <c r="H348" s="57"/>
      <c r="I348" s="57"/>
      <c r="J348" s="57"/>
      <c r="K348" s="57"/>
      <c r="L348" s="57"/>
      <c r="M348" s="57"/>
      <c r="Q348">
        <f t="shared" si="61"/>
        <v>1</v>
      </c>
      <c r="R348">
        <f t="shared" si="62"/>
        <v>0</v>
      </c>
      <c r="S348">
        <f t="shared" si="63"/>
        <v>0</v>
      </c>
      <c r="T348">
        <f t="shared" si="64"/>
        <v>8</v>
      </c>
      <c r="U348">
        <f t="shared" si="65"/>
        <v>0</v>
      </c>
      <c r="V348">
        <f t="shared" si="66"/>
        <v>0</v>
      </c>
      <c r="Y348" t="str">
        <f t="shared" si="67"/>
        <v>Cote d'Ivoire</v>
      </c>
      <c r="Z348" s="104">
        <f t="shared" si="68"/>
        <v>0</v>
      </c>
      <c r="AA348" s="104">
        <f t="shared" si="69"/>
        <v>1</v>
      </c>
      <c r="AB348" s="104" t="str">
        <f t="shared" si="70"/>
        <v/>
      </c>
    </row>
    <row r="349" spans="1:28" x14ac:dyDescent="0.25">
      <c r="A349" s="55" t="s">
        <v>4471</v>
      </c>
      <c r="B349" s="57"/>
      <c r="C349" s="57"/>
      <c r="D349" s="57"/>
      <c r="E349" s="57">
        <v>1</v>
      </c>
      <c r="F349" s="57">
        <v>8</v>
      </c>
      <c r="G349" s="57"/>
      <c r="H349" s="57"/>
      <c r="I349" s="57">
        <v>3</v>
      </c>
      <c r="J349" s="57"/>
      <c r="K349" s="57"/>
      <c r="L349" s="57"/>
      <c r="M349" s="57"/>
      <c r="Q349">
        <f t="shared" si="61"/>
        <v>0</v>
      </c>
      <c r="R349">
        <f t="shared" si="62"/>
        <v>0</v>
      </c>
      <c r="S349">
        <f t="shared" si="63"/>
        <v>1</v>
      </c>
      <c r="T349">
        <f t="shared" si="64"/>
        <v>8</v>
      </c>
      <c r="U349">
        <f t="shared" si="65"/>
        <v>0</v>
      </c>
      <c r="V349">
        <f t="shared" si="66"/>
        <v>3</v>
      </c>
      <c r="Y349" t="str">
        <f t="shared" si="67"/>
        <v>Ghana</v>
      </c>
      <c r="Z349" s="104" t="str">
        <f t="shared" si="68"/>
        <v/>
      </c>
      <c r="AA349" s="104">
        <f t="shared" si="69"/>
        <v>0.88888888888888884</v>
      </c>
      <c r="AB349" s="104">
        <f t="shared" si="70"/>
        <v>1</v>
      </c>
    </row>
    <row r="350" spans="1:28" x14ac:dyDescent="0.25">
      <c r="A350" s="55" t="s">
        <v>7179</v>
      </c>
      <c r="B350" s="57">
        <v>1</v>
      </c>
      <c r="C350" s="57"/>
      <c r="D350" s="57"/>
      <c r="E350" s="57"/>
      <c r="F350" s="57"/>
      <c r="G350" s="57"/>
      <c r="H350" s="57"/>
      <c r="I350" s="57"/>
      <c r="J350" s="57"/>
      <c r="K350" s="57"/>
      <c r="L350" s="57"/>
      <c r="M350" s="57"/>
      <c r="Q350">
        <f t="shared" si="61"/>
        <v>1</v>
      </c>
      <c r="R350">
        <f t="shared" si="62"/>
        <v>0</v>
      </c>
      <c r="S350">
        <f t="shared" si="63"/>
        <v>0</v>
      </c>
      <c r="T350">
        <f t="shared" si="64"/>
        <v>0</v>
      </c>
      <c r="U350">
        <f t="shared" si="65"/>
        <v>0</v>
      </c>
      <c r="V350">
        <f t="shared" si="66"/>
        <v>0</v>
      </c>
      <c r="Y350" t="str">
        <f t="shared" si="67"/>
        <v>Liberia</v>
      </c>
      <c r="Z350" s="104">
        <f t="shared" si="68"/>
        <v>0</v>
      </c>
      <c r="AA350" s="104" t="str">
        <f t="shared" si="69"/>
        <v/>
      </c>
      <c r="AB350" s="104" t="str">
        <f t="shared" si="70"/>
        <v/>
      </c>
    </row>
    <row r="351" spans="1:28" x14ac:dyDescent="0.25">
      <c r="A351" s="55" t="s">
        <v>7835</v>
      </c>
      <c r="B351" s="57"/>
      <c r="C351" s="57"/>
      <c r="D351" s="57"/>
      <c r="E351" s="57">
        <v>2</v>
      </c>
      <c r="F351" s="57">
        <v>10</v>
      </c>
      <c r="G351" s="57"/>
      <c r="H351" s="57"/>
      <c r="I351" s="57">
        <v>4</v>
      </c>
      <c r="J351" s="57"/>
      <c r="K351" s="57"/>
      <c r="L351" s="57"/>
      <c r="M351" s="57"/>
      <c r="Q351">
        <f t="shared" si="61"/>
        <v>0</v>
      </c>
      <c r="R351">
        <f t="shared" si="62"/>
        <v>0</v>
      </c>
      <c r="S351">
        <f t="shared" si="63"/>
        <v>2</v>
      </c>
      <c r="T351">
        <f t="shared" si="64"/>
        <v>10</v>
      </c>
      <c r="U351">
        <f t="shared" si="65"/>
        <v>0</v>
      </c>
      <c r="V351">
        <f t="shared" si="66"/>
        <v>4</v>
      </c>
      <c r="Y351" t="str">
        <f t="shared" si="67"/>
        <v>Mali</v>
      </c>
      <c r="Z351" s="104" t="str">
        <f t="shared" si="68"/>
        <v/>
      </c>
      <c r="AA351" s="104">
        <f t="shared" si="69"/>
        <v>0.83333333333333337</v>
      </c>
      <c r="AB351" s="104">
        <f t="shared" si="70"/>
        <v>1</v>
      </c>
    </row>
    <row r="352" spans="1:28" x14ac:dyDescent="0.25">
      <c r="A352" s="55" t="s">
        <v>9043</v>
      </c>
      <c r="B352" s="57">
        <v>4</v>
      </c>
      <c r="C352" s="57">
        <v>3</v>
      </c>
      <c r="D352" s="57"/>
      <c r="E352" s="57">
        <v>2</v>
      </c>
      <c r="F352" s="57">
        <v>10</v>
      </c>
      <c r="G352" s="57"/>
      <c r="H352" s="57"/>
      <c r="I352" s="57">
        <v>2</v>
      </c>
      <c r="J352" s="57"/>
      <c r="K352" s="57"/>
      <c r="L352" s="57">
        <v>1</v>
      </c>
      <c r="M352" s="57"/>
      <c r="Q352">
        <f t="shared" si="61"/>
        <v>4</v>
      </c>
      <c r="R352">
        <f t="shared" si="62"/>
        <v>3</v>
      </c>
      <c r="S352">
        <f t="shared" si="63"/>
        <v>2</v>
      </c>
      <c r="T352">
        <f t="shared" si="64"/>
        <v>10</v>
      </c>
      <c r="U352">
        <f t="shared" si="65"/>
        <v>0</v>
      </c>
      <c r="V352">
        <f t="shared" si="66"/>
        <v>2</v>
      </c>
      <c r="Y352" t="str">
        <f t="shared" si="67"/>
        <v>Niger</v>
      </c>
      <c r="Z352" s="104">
        <f t="shared" si="68"/>
        <v>0.42857142857142855</v>
      </c>
      <c r="AA352" s="104">
        <f t="shared" si="69"/>
        <v>0.83333333333333337</v>
      </c>
      <c r="AB352" s="104">
        <f t="shared" si="70"/>
        <v>1</v>
      </c>
    </row>
    <row r="353" spans="1:28" x14ac:dyDescent="0.25">
      <c r="A353" s="55" t="s">
        <v>10594</v>
      </c>
      <c r="B353" s="57">
        <v>1</v>
      </c>
      <c r="C353" s="57"/>
      <c r="D353" s="57"/>
      <c r="E353" s="57"/>
      <c r="F353" s="57">
        <v>3</v>
      </c>
      <c r="G353" s="57"/>
      <c r="H353" s="57"/>
      <c r="I353" s="57">
        <v>1</v>
      </c>
      <c r="J353" s="57"/>
      <c r="K353" s="57"/>
      <c r="L353" s="57"/>
      <c r="M353" s="57"/>
      <c r="Q353">
        <f t="shared" si="61"/>
        <v>1</v>
      </c>
      <c r="R353">
        <f t="shared" si="62"/>
        <v>0</v>
      </c>
      <c r="S353">
        <f t="shared" si="63"/>
        <v>0</v>
      </c>
      <c r="T353">
        <f t="shared" si="64"/>
        <v>3</v>
      </c>
      <c r="U353">
        <f t="shared" si="65"/>
        <v>0</v>
      </c>
      <c r="V353">
        <f t="shared" si="66"/>
        <v>1</v>
      </c>
      <c r="Y353" t="str">
        <f t="shared" si="67"/>
        <v>Sierra Leone</v>
      </c>
      <c r="Z353" s="104">
        <f t="shared" si="68"/>
        <v>0</v>
      </c>
      <c r="AA353" s="104">
        <f t="shared" si="69"/>
        <v>1</v>
      </c>
      <c r="AB353" s="104">
        <f t="shared" si="70"/>
        <v>1</v>
      </c>
    </row>
    <row r="354" spans="1:28" x14ac:dyDescent="0.25">
      <c r="A354" s="50" t="s">
        <v>14278</v>
      </c>
      <c r="B354" s="57">
        <v>8</v>
      </c>
      <c r="C354" s="57">
        <v>4</v>
      </c>
      <c r="D354" s="57"/>
      <c r="E354" s="57">
        <v>6</v>
      </c>
      <c r="F354" s="57">
        <v>62</v>
      </c>
      <c r="G354" s="57"/>
      <c r="H354" s="57">
        <v>1</v>
      </c>
      <c r="I354" s="57">
        <v>13</v>
      </c>
      <c r="J354" s="57"/>
      <c r="K354" s="57"/>
      <c r="L354" s="57">
        <v>1</v>
      </c>
      <c r="M354" s="57"/>
      <c r="Q354">
        <f t="shared" si="61"/>
        <v>8</v>
      </c>
      <c r="R354">
        <f t="shared" si="62"/>
        <v>4</v>
      </c>
      <c r="S354">
        <f t="shared" si="63"/>
        <v>6</v>
      </c>
      <c r="T354">
        <f t="shared" si="64"/>
        <v>62</v>
      </c>
      <c r="U354">
        <f t="shared" si="65"/>
        <v>1</v>
      </c>
      <c r="V354">
        <f t="shared" si="66"/>
        <v>13</v>
      </c>
      <c r="Y354" t="str">
        <f t="shared" si="67"/>
        <v>Africa - Western Total</v>
      </c>
      <c r="Z354" s="104">
        <f t="shared" si="68"/>
        <v>0.33333333333333331</v>
      </c>
      <c r="AA354" s="104">
        <f t="shared" si="69"/>
        <v>0.91176470588235292</v>
      </c>
      <c r="AB354" s="104">
        <f t="shared" si="70"/>
        <v>0.9285714285714286</v>
      </c>
    </row>
    <row r="355" spans="1:28" x14ac:dyDescent="0.25">
      <c r="A355" s="50" t="s">
        <v>306</v>
      </c>
      <c r="B355" s="57"/>
      <c r="C355" s="57"/>
      <c r="D355" s="57"/>
      <c r="E355" s="57"/>
      <c r="F355" s="57"/>
      <c r="G355" s="57"/>
      <c r="H355" s="57"/>
      <c r="I355" s="57"/>
      <c r="J355" s="57"/>
      <c r="K355" s="57"/>
      <c r="L355" s="57"/>
      <c r="M355" s="57"/>
      <c r="Q355">
        <f t="shared" si="61"/>
        <v>0</v>
      </c>
      <c r="R355">
        <f t="shared" si="62"/>
        <v>0</v>
      </c>
      <c r="S355">
        <f t="shared" si="63"/>
        <v>0</v>
      </c>
      <c r="T355">
        <f t="shared" si="64"/>
        <v>0</v>
      </c>
      <c r="U355">
        <f t="shared" si="65"/>
        <v>0</v>
      </c>
      <c r="V355">
        <f t="shared" si="66"/>
        <v>0</v>
      </c>
      <c r="Y355" t="str">
        <f t="shared" si="67"/>
        <v>Asia and the Pacific</v>
      </c>
      <c r="Z355" s="104" t="str">
        <f t="shared" si="68"/>
        <v/>
      </c>
      <c r="AA355" s="104" t="str">
        <f t="shared" si="69"/>
        <v/>
      </c>
      <c r="AB355" s="104" t="str">
        <f t="shared" si="70"/>
        <v/>
      </c>
    </row>
    <row r="356" spans="1:28" x14ac:dyDescent="0.25">
      <c r="A356" s="55" t="s">
        <v>305</v>
      </c>
      <c r="B356" s="57"/>
      <c r="C356" s="57"/>
      <c r="D356" s="57"/>
      <c r="E356" s="57"/>
      <c r="F356" s="57">
        <v>12</v>
      </c>
      <c r="G356" s="57"/>
      <c r="H356" s="57"/>
      <c r="I356" s="57"/>
      <c r="J356" s="57"/>
      <c r="K356" s="57"/>
      <c r="L356" s="57"/>
      <c r="M356" s="57"/>
      <c r="Q356">
        <f t="shared" ref="Q356:Q387" si="71">B356</f>
        <v>0</v>
      </c>
      <c r="R356">
        <f t="shared" ref="R356:R387" si="72">C356</f>
        <v>0</v>
      </c>
      <c r="S356">
        <f t="shared" ref="S356:S387" si="73">E356</f>
        <v>0</v>
      </c>
      <c r="T356">
        <f t="shared" ref="T356:T387" si="74">F356</f>
        <v>12</v>
      </c>
      <c r="U356">
        <f t="shared" ref="U356:U387" si="75">H356</f>
        <v>0</v>
      </c>
      <c r="V356">
        <f t="shared" ref="V356:V387" si="76">I356</f>
        <v>0</v>
      </c>
      <c r="Y356" t="str">
        <f t="shared" ref="Y356:Y387" si="77">A356</f>
        <v>Afghanistan</v>
      </c>
      <c r="Z356" s="104" t="str">
        <f t="shared" si="68"/>
        <v/>
      </c>
      <c r="AA356" s="104">
        <f t="shared" si="69"/>
        <v>1</v>
      </c>
      <c r="AB356" s="104" t="str">
        <f t="shared" si="70"/>
        <v/>
      </c>
    </row>
    <row r="357" spans="1:28" x14ac:dyDescent="0.25">
      <c r="A357" s="55" t="s">
        <v>652</v>
      </c>
      <c r="B357" s="57">
        <v>1</v>
      </c>
      <c r="C357" s="57"/>
      <c r="D357" s="57"/>
      <c r="E357" s="57">
        <v>2</v>
      </c>
      <c r="F357" s="57">
        <v>41</v>
      </c>
      <c r="G357" s="57"/>
      <c r="H357" s="57"/>
      <c r="I357" s="57">
        <v>3</v>
      </c>
      <c r="J357" s="57"/>
      <c r="K357" s="57"/>
      <c r="L357" s="57"/>
      <c r="M357" s="57"/>
      <c r="Q357">
        <f t="shared" si="71"/>
        <v>1</v>
      </c>
      <c r="R357">
        <f t="shared" si="72"/>
        <v>0</v>
      </c>
      <c r="S357">
        <f t="shared" si="73"/>
        <v>2</v>
      </c>
      <c r="T357">
        <f t="shared" si="74"/>
        <v>41</v>
      </c>
      <c r="U357">
        <f t="shared" si="75"/>
        <v>0</v>
      </c>
      <c r="V357">
        <f t="shared" si="76"/>
        <v>3</v>
      </c>
      <c r="Y357" t="str">
        <f t="shared" si="77"/>
        <v>Bangladesh</v>
      </c>
      <c r="Z357" s="104">
        <f t="shared" si="68"/>
        <v>0</v>
      </c>
      <c r="AA357" s="104">
        <f t="shared" si="69"/>
        <v>0.95348837209302328</v>
      </c>
      <c r="AB357" s="104">
        <f t="shared" si="70"/>
        <v>1</v>
      </c>
    </row>
    <row r="358" spans="1:28" x14ac:dyDescent="0.25">
      <c r="A358" s="55" t="s">
        <v>2092</v>
      </c>
      <c r="B358" s="57"/>
      <c r="C358" s="57"/>
      <c r="D358" s="57"/>
      <c r="E358" s="57">
        <v>1</v>
      </c>
      <c r="F358" s="57">
        <v>13</v>
      </c>
      <c r="G358" s="57"/>
      <c r="H358" s="57"/>
      <c r="I358" s="57">
        <v>3</v>
      </c>
      <c r="J358" s="57"/>
      <c r="K358" s="57"/>
      <c r="L358" s="57"/>
      <c r="M358" s="57"/>
      <c r="Q358">
        <f t="shared" si="71"/>
        <v>0</v>
      </c>
      <c r="R358">
        <f t="shared" si="72"/>
        <v>0</v>
      </c>
      <c r="S358">
        <f t="shared" si="73"/>
        <v>1</v>
      </c>
      <c r="T358">
        <f t="shared" si="74"/>
        <v>13</v>
      </c>
      <c r="U358">
        <f t="shared" si="75"/>
        <v>0</v>
      </c>
      <c r="V358">
        <f t="shared" si="76"/>
        <v>3</v>
      </c>
      <c r="Y358" t="str">
        <f t="shared" si="77"/>
        <v>Cambodia</v>
      </c>
      <c r="Z358" s="104" t="str">
        <f t="shared" si="68"/>
        <v/>
      </c>
      <c r="AA358" s="104">
        <f t="shared" si="69"/>
        <v>0.9285714285714286</v>
      </c>
      <c r="AB358" s="104">
        <f t="shared" si="70"/>
        <v>1</v>
      </c>
    </row>
    <row r="359" spans="1:28" x14ac:dyDescent="0.25">
      <c r="A359" s="55" t="s">
        <v>4268</v>
      </c>
      <c r="B359" s="57"/>
      <c r="C359" s="57"/>
      <c r="D359" s="57"/>
      <c r="E359" s="57"/>
      <c r="F359" s="57">
        <v>1</v>
      </c>
      <c r="G359" s="57"/>
      <c r="H359" s="57"/>
      <c r="I359" s="57"/>
      <c r="J359" s="57"/>
      <c r="K359" s="57"/>
      <c r="L359" s="57"/>
      <c r="M359" s="57"/>
      <c r="Q359">
        <f t="shared" si="71"/>
        <v>0</v>
      </c>
      <c r="R359">
        <f t="shared" si="72"/>
        <v>0</v>
      </c>
      <c r="S359">
        <f t="shared" si="73"/>
        <v>0</v>
      </c>
      <c r="T359">
        <f t="shared" si="74"/>
        <v>1</v>
      </c>
      <c r="U359">
        <f t="shared" si="75"/>
        <v>0</v>
      </c>
      <c r="V359">
        <f t="shared" si="76"/>
        <v>0</v>
      </c>
      <c r="Y359" t="str">
        <f t="shared" si="77"/>
        <v>Fiji</v>
      </c>
      <c r="Z359" s="104" t="str">
        <f t="shared" si="68"/>
        <v/>
      </c>
      <c r="AA359" s="104">
        <f t="shared" si="69"/>
        <v>1</v>
      </c>
      <c r="AB359" s="104" t="str">
        <f t="shared" si="70"/>
        <v/>
      </c>
    </row>
    <row r="360" spans="1:28" x14ac:dyDescent="0.25">
      <c r="A360" s="55" t="s">
        <v>5300</v>
      </c>
      <c r="B360" s="57">
        <v>1</v>
      </c>
      <c r="C360" s="57"/>
      <c r="D360" s="57"/>
      <c r="E360" s="57">
        <v>2</v>
      </c>
      <c r="F360" s="57">
        <v>19</v>
      </c>
      <c r="G360" s="57"/>
      <c r="H360" s="57">
        <v>2</v>
      </c>
      <c r="I360" s="57">
        <v>11</v>
      </c>
      <c r="J360" s="57"/>
      <c r="K360" s="57"/>
      <c r="L360" s="57"/>
      <c r="M360" s="57"/>
      <c r="Q360">
        <f t="shared" si="71"/>
        <v>1</v>
      </c>
      <c r="R360">
        <f t="shared" si="72"/>
        <v>0</v>
      </c>
      <c r="S360">
        <f t="shared" si="73"/>
        <v>2</v>
      </c>
      <c r="T360">
        <f t="shared" si="74"/>
        <v>19</v>
      </c>
      <c r="U360">
        <f t="shared" si="75"/>
        <v>2</v>
      </c>
      <c r="V360">
        <f t="shared" si="76"/>
        <v>11</v>
      </c>
      <c r="Y360" t="str">
        <f t="shared" si="77"/>
        <v>India</v>
      </c>
      <c r="Z360" s="104">
        <f t="shared" si="68"/>
        <v>0</v>
      </c>
      <c r="AA360" s="104">
        <f t="shared" si="69"/>
        <v>0.90476190476190477</v>
      </c>
      <c r="AB360" s="104">
        <f t="shared" si="70"/>
        <v>0.84615384615384615</v>
      </c>
    </row>
    <row r="361" spans="1:28" x14ac:dyDescent="0.25">
      <c r="A361" s="55" t="s">
        <v>5932</v>
      </c>
      <c r="B361" s="57"/>
      <c r="C361" s="57"/>
      <c r="D361" s="57"/>
      <c r="E361" s="57"/>
      <c r="F361" s="57">
        <v>7</v>
      </c>
      <c r="G361" s="57"/>
      <c r="H361" s="57"/>
      <c r="I361" s="57">
        <v>1</v>
      </c>
      <c r="J361" s="57"/>
      <c r="K361" s="57"/>
      <c r="L361" s="57"/>
      <c r="M361" s="57"/>
      <c r="Q361">
        <f t="shared" si="71"/>
        <v>0</v>
      </c>
      <c r="R361">
        <f t="shared" si="72"/>
        <v>0</v>
      </c>
      <c r="S361">
        <f t="shared" si="73"/>
        <v>0</v>
      </c>
      <c r="T361">
        <f t="shared" si="74"/>
        <v>7</v>
      </c>
      <c r="U361">
        <f t="shared" si="75"/>
        <v>0</v>
      </c>
      <c r="V361">
        <f t="shared" si="76"/>
        <v>1</v>
      </c>
      <c r="Y361" t="str">
        <f t="shared" si="77"/>
        <v>Indonesia</v>
      </c>
      <c r="Z361" s="104" t="str">
        <f t="shared" si="68"/>
        <v/>
      </c>
      <c r="AA361" s="104">
        <f t="shared" si="69"/>
        <v>1</v>
      </c>
      <c r="AB361" s="104">
        <f t="shared" si="70"/>
        <v>1</v>
      </c>
    </row>
    <row r="362" spans="1:28" x14ac:dyDescent="0.25">
      <c r="A362" s="55" t="s">
        <v>6850</v>
      </c>
      <c r="B362" s="57">
        <v>1</v>
      </c>
      <c r="C362" s="57"/>
      <c r="D362" s="57"/>
      <c r="E362" s="57"/>
      <c r="F362" s="57">
        <v>12</v>
      </c>
      <c r="G362" s="57"/>
      <c r="H362" s="57"/>
      <c r="I362" s="57">
        <v>1</v>
      </c>
      <c r="J362" s="57"/>
      <c r="K362" s="57"/>
      <c r="L362" s="57"/>
      <c r="M362" s="57"/>
      <c r="Q362">
        <f t="shared" si="71"/>
        <v>1</v>
      </c>
      <c r="R362">
        <f t="shared" si="72"/>
        <v>0</v>
      </c>
      <c r="S362">
        <f t="shared" si="73"/>
        <v>0</v>
      </c>
      <c r="T362">
        <f t="shared" si="74"/>
        <v>12</v>
      </c>
      <c r="U362">
        <f t="shared" si="75"/>
        <v>0</v>
      </c>
      <c r="V362">
        <f t="shared" si="76"/>
        <v>1</v>
      </c>
      <c r="Y362" t="str">
        <f t="shared" si="77"/>
        <v>Laos</v>
      </c>
      <c r="Z362" s="104">
        <f t="shared" si="68"/>
        <v>0</v>
      </c>
      <c r="AA362" s="104">
        <f t="shared" si="69"/>
        <v>1</v>
      </c>
      <c r="AB362" s="104">
        <f t="shared" si="70"/>
        <v>1</v>
      </c>
    </row>
    <row r="363" spans="1:28" x14ac:dyDescent="0.25">
      <c r="A363" s="55" t="s">
        <v>8444</v>
      </c>
      <c r="B363" s="57"/>
      <c r="C363" s="57"/>
      <c r="D363" s="57"/>
      <c r="E363" s="57">
        <v>1</v>
      </c>
      <c r="F363" s="57">
        <v>13</v>
      </c>
      <c r="G363" s="57"/>
      <c r="H363" s="57"/>
      <c r="I363" s="57">
        <v>2</v>
      </c>
      <c r="J363" s="57"/>
      <c r="K363" s="57"/>
      <c r="L363" s="57"/>
      <c r="M363" s="57"/>
      <c r="Q363">
        <f t="shared" si="71"/>
        <v>0</v>
      </c>
      <c r="R363">
        <f t="shared" si="72"/>
        <v>0</v>
      </c>
      <c r="S363">
        <f t="shared" si="73"/>
        <v>1</v>
      </c>
      <c r="T363">
        <f t="shared" si="74"/>
        <v>13</v>
      </c>
      <c r="U363">
        <f t="shared" si="75"/>
        <v>0</v>
      </c>
      <c r="V363">
        <f t="shared" si="76"/>
        <v>2</v>
      </c>
      <c r="Y363" t="str">
        <f t="shared" si="77"/>
        <v>Myanmar</v>
      </c>
      <c r="Z363" s="104" t="str">
        <f t="shared" si="68"/>
        <v/>
      </c>
      <c r="AA363" s="104">
        <f t="shared" si="69"/>
        <v>0.9285714285714286</v>
      </c>
      <c r="AB363" s="104">
        <f t="shared" si="70"/>
        <v>1</v>
      </c>
    </row>
    <row r="364" spans="1:28" x14ac:dyDescent="0.25">
      <c r="A364" s="55" t="s">
        <v>8647</v>
      </c>
      <c r="B364" s="57"/>
      <c r="C364" s="57"/>
      <c r="D364" s="57"/>
      <c r="E364" s="57">
        <v>1</v>
      </c>
      <c r="F364" s="57">
        <v>17</v>
      </c>
      <c r="G364" s="57"/>
      <c r="H364" s="57"/>
      <c r="I364" s="57">
        <v>6</v>
      </c>
      <c r="J364" s="57"/>
      <c r="K364" s="57"/>
      <c r="L364" s="57"/>
      <c r="M364" s="57"/>
      <c r="Q364">
        <f t="shared" si="71"/>
        <v>0</v>
      </c>
      <c r="R364">
        <f t="shared" si="72"/>
        <v>0</v>
      </c>
      <c r="S364">
        <f t="shared" si="73"/>
        <v>1</v>
      </c>
      <c r="T364">
        <f t="shared" si="74"/>
        <v>17</v>
      </c>
      <c r="U364">
        <f t="shared" si="75"/>
        <v>0</v>
      </c>
      <c r="V364">
        <f t="shared" si="76"/>
        <v>6</v>
      </c>
      <c r="Y364" t="str">
        <f t="shared" si="77"/>
        <v>Nepal</v>
      </c>
      <c r="Z364" s="104" t="str">
        <f t="shared" si="68"/>
        <v/>
      </c>
      <c r="AA364" s="104">
        <f t="shared" si="69"/>
        <v>0.94444444444444442</v>
      </c>
      <c r="AB364" s="104">
        <f t="shared" si="70"/>
        <v>1</v>
      </c>
    </row>
    <row r="365" spans="1:28" x14ac:dyDescent="0.25">
      <c r="A365" s="55" t="s">
        <v>9427</v>
      </c>
      <c r="B365" s="57"/>
      <c r="C365" s="57"/>
      <c r="D365" s="57"/>
      <c r="E365" s="57"/>
      <c r="F365" s="57">
        <v>3</v>
      </c>
      <c r="G365" s="57"/>
      <c r="H365" s="57"/>
      <c r="I365" s="57"/>
      <c r="J365" s="57"/>
      <c r="K365" s="57">
        <v>2</v>
      </c>
      <c r="L365" s="57"/>
      <c r="M365" s="57"/>
      <c r="Q365">
        <f t="shared" si="71"/>
        <v>0</v>
      </c>
      <c r="R365">
        <f t="shared" si="72"/>
        <v>0</v>
      </c>
      <c r="S365">
        <f t="shared" si="73"/>
        <v>0</v>
      </c>
      <c r="T365">
        <f t="shared" si="74"/>
        <v>3</v>
      </c>
      <c r="U365">
        <f t="shared" si="75"/>
        <v>0</v>
      </c>
      <c r="V365">
        <f t="shared" si="76"/>
        <v>0</v>
      </c>
      <c r="Y365" t="str">
        <f t="shared" si="77"/>
        <v>Pakistan</v>
      </c>
      <c r="Z365" s="104" t="str">
        <f t="shared" si="68"/>
        <v/>
      </c>
      <c r="AA365" s="104">
        <f t="shared" si="69"/>
        <v>1</v>
      </c>
      <c r="AB365" s="104" t="str">
        <f t="shared" si="70"/>
        <v/>
      </c>
    </row>
    <row r="366" spans="1:28" x14ac:dyDescent="0.25">
      <c r="A366" s="55" t="s">
        <v>9516</v>
      </c>
      <c r="B366" s="57">
        <v>3</v>
      </c>
      <c r="C366" s="57"/>
      <c r="D366" s="57"/>
      <c r="E366" s="57">
        <v>1</v>
      </c>
      <c r="F366" s="57">
        <v>5</v>
      </c>
      <c r="G366" s="57"/>
      <c r="H366" s="57">
        <v>1</v>
      </c>
      <c r="I366" s="57">
        <v>1</v>
      </c>
      <c r="J366" s="57"/>
      <c r="K366" s="57"/>
      <c r="L366" s="57"/>
      <c r="M366" s="57"/>
      <c r="Q366">
        <f t="shared" si="71"/>
        <v>3</v>
      </c>
      <c r="R366">
        <f t="shared" si="72"/>
        <v>0</v>
      </c>
      <c r="S366">
        <f t="shared" si="73"/>
        <v>1</v>
      </c>
      <c r="T366">
        <f t="shared" si="74"/>
        <v>5</v>
      </c>
      <c r="U366">
        <f t="shared" si="75"/>
        <v>1</v>
      </c>
      <c r="V366">
        <f t="shared" si="76"/>
        <v>1</v>
      </c>
      <c r="Y366" t="str">
        <f t="shared" si="77"/>
        <v>Papua New Guinea</v>
      </c>
      <c r="Z366" s="104">
        <f t="shared" si="68"/>
        <v>0</v>
      </c>
      <c r="AA366" s="104">
        <f t="shared" si="69"/>
        <v>0.83333333333333337</v>
      </c>
      <c r="AB366" s="104">
        <f t="shared" si="70"/>
        <v>0.5</v>
      </c>
    </row>
    <row r="367" spans="1:28" x14ac:dyDescent="0.25">
      <c r="A367" s="55" t="s">
        <v>10263</v>
      </c>
      <c r="B367" s="57"/>
      <c r="C367" s="57"/>
      <c r="D367" s="57"/>
      <c r="E367" s="57">
        <v>1</v>
      </c>
      <c r="F367" s="57">
        <v>1</v>
      </c>
      <c r="G367" s="57"/>
      <c r="H367" s="57">
        <v>2</v>
      </c>
      <c r="I367" s="57">
        <v>1</v>
      </c>
      <c r="J367" s="57"/>
      <c r="K367" s="57"/>
      <c r="L367" s="57"/>
      <c r="M367" s="57"/>
      <c r="Q367">
        <f t="shared" si="71"/>
        <v>0</v>
      </c>
      <c r="R367">
        <f t="shared" si="72"/>
        <v>0</v>
      </c>
      <c r="S367">
        <f t="shared" si="73"/>
        <v>1</v>
      </c>
      <c r="T367">
        <f t="shared" si="74"/>
        <v>1</v>
      </c>
      <c r="U367">
        <f t="shared" si="75"/>
        <v>2</v>
      </c>
      <c r="V367">
        <f t="shared" si="76"/>
        <v>1</v>
      </c>
      <c r="Y367" t="str">
        <f t="shared" si="77"/>
        <v>Philippines</v>
      </c>
      <c r="Z367" s="104" t="str">
        <f t="shared" si="68"/>
        <v/>
      </c>
      <c r="AA367" s="104">
        <f t="shared" si="69"/>
        <v>0.5</v>
      </c>
      <c r="AB367" s="104">
        <f t="shared" si="70"/>
        <v>0.33333333333333331</v>
      </c>
    </row>
    <row r="368" spans="1:28" x14ac:dyDescent="0.25">
      <c r="A368" s="55" t="s">
        <v>11304</v>
      </c>
      <c r="B368" s="57"/>
      <c r="C368" s="57"/>
      <c r="D368" s="57"/>
      <c r="E368" s="57">
        <v>2</v>
      </c>
      <c r="F368" s="57">
        <v>4</v>
      </c>
      <c r="G368" s="57"/>
      <c r="H368" s="57"/>
      <c r="I368" s="57">
        <v>1</v>
      </c>
      <c r="J368" s="57"/>
      <c r="K368" s="57"/>
      <c r="L368" s="57"/>
      <c r="M368" s="57"/>
      <c r="Q368">
        <f t="shared" si="71"/>
        <v>0</v>
      </c>
      <c r="R368">
        <f t="shared" si="72"/>
        <v>0</v>
      </c>
      <c r="S368">
        <f t="shared" si="73"/>
        <v>2</v>
      </c>
      <c r="T368">
        <f t="shared" si="74"/>
        <v>4</v>
      </c>
      <c r="U368">
        <f t="shared" si="75"/>
        <v>0</v>
      </c>
      <c r="V368">
        <f t="shared" si="76"/>
        <v>1</v>
      </c>
      <c r="Y368" t="str">
        <f t="shared" si="77"/>
        <v>Sri Lanka</v>
      </c>
      <c r="Z368" s="104" t="str">
        <f t="shared" si="68"/>
        <v/>
      </c>
      <c r="AA368" s="104">
        <f t="shared" si="69"/>
        <v>0.66666666666666663</v>
      </c>
      <c r="AB368" s="104">
        <f t="shared" si="70"/>
        <v>1</v>
      </c>
    </row>
    <row r="369" spans="1:28" x14ac:dyDescent="0.25">
      <c r="A369" s="55" t="s">
        <v>12294</v>
      </c>
      <c r="B369" s="57"/>
      <c r="C369" s="57"/>
      <c r="D369" s="57"/>
      <c r="E369" s="57">
        <v>1</v>
      </c>
      <c r="F369" s="57">
        <v>10</v>
      </c>
      <c r="G369" s="57"/>
      <c r="H369" s="57"/>
      <c r="I369" s="57">
        <v>11</v>
      </c>
      <c r="J369" s="57"/>
      <c r="K369" s="57"/>
      <c r="L369" s="57"/>
      <c r="M369" s="57"/>
      <c r="Q369">
        <f t="shared" si="71"/>
        <v>0</v>
      </c>
      <c r="R369">
        <f t="shared" si="72"/>
        <v>0</v>
      </c>
      <c r="S369">
        <f t="shared" si="73"/>
        <v>1</v>
      </c>
      <c r="T369">
        <f t="shared" si="74"/>
        <v>10</v>
      </c>
      <c r="U369">
        <f t="shared" si="75"/>
        <v>0</v>
      </c>
      <c r="V369">
        <f t="shared" si="76"/>
        <v>11</v>
      </c>
      <c r="Y369" t="str">
        <f t="shared" si="77"/>
        <v>Thailand</v>
      </c>
      <c r="Z369" s="104" t="str">
        <f t="shared" si="68"/>
        <v/>
      </c>
      <c r="AA369" s="104">
        <f t="shared" si="69"/>
        <v>0.90909090909090906</v>
      </c>
      <c r="AB369" s="104">
        <f t="shared" si="70"/>
        <v>1</v>
      </c>
    </row>
    <row r="370" spans="1:28" x14ac:dyDescent="0.25">
      <c r="A370" s="55" t="s">
        <v>12547</v>
      </c>
      <c r="B370" s="57">
        <v>1</v>
      </c>
      <c r="C370" s="57"/>
      <c r="D370" s="57"/>
      <c r="E370" s="57"/>
      <c r="F370" s="57">
        <v>5</v>
      </c>
      <c r="G370" s="57"/>
      <c r="H370" s="57"/>
      <c r="I370" s="57"/>
      <c r="J370" s="57"/>
      <c r="K370" s="57"/>
      <c r="L370" s="57"/>
      <c r="M370" s="57"/>
      <c r="Q370">
        <f t="shared" si="71"/>
        <v>1</v>
      </c>
      <c r="R370">
        <f t="shared" si="72"/>
        <v>0</v>
      </c>
      <c r="S370">
        <f t="shared" si="73"/>
        <v>0</v>
      </c>
      <c r="T370">
        <f t="shared" si="74"/>
        <v>5</v>
      </c>
      <c r="U370">
        <f t="shared" si="75"/>
        <v>0</v>
      </c>
      <c r="V370">
        <f t="shared" si="76"/>
        <v>0</v>
      </c>
      <c r="Y370" t="str">
        <f t="shared" si="77"/>
        <v>Timor-Leste</v>
      </c>
      <c r="Z370" s="104">
        <f t="shared" si="68"/>
        <v>0</v>
      </c>
      <c r="AA370" s="104">
        <f t="shared" si="69"/>
        <v>1</v>
      </c>
      <c r="AB370" s="104" t="str">
        <f t="shared" si="70"/>
        <v/>
      </c>
    </row>
    <row r="371" spans="1:28" x14ac:dyDescent="0.25">
      <c r="A371" s="55" t="s">
        <v>13272</v>
      </c>
      <c r="B371" s="57"/>
      <c r="C371" s="57"/>
      <c r="D371" s="57"/>
      <c r="E371" s="57"/>
      <c r="F371" s="57">
        <v>5</v>
      </c>
      <c r="G371" s="57"/>
      <c r="H371" s="57"/>
      <c r="I371" s="57">
        <v>3</v>
      </c>
      <c r="J371" s="57"/>
      <c r="K371" s="57"/>
      <c r="L371" s="57"/>
      <c r="M371" s="57"/>
      <c r="Q371">
        <f t="shared" si="71"/>
        <v>0</v>
      </c>
      <c r="R371">
        <f t="shared" si="72"/>
        <v>0</v>
      </c>
      <c r="S371">
        <f t="shared" si="73"/>
        <v>0</v>
      </c>
      <c r="T371">
        <f t="shared" si="74"/>
        <v>5</v>
      </c>
      <c r="U371">
        <f t="shared" si="75"/>
        <v>0</v>
      </c>
      <c r="V371">
        <f t="shared" si="76"/>
        <v>3</v>
      </c>
      <c r="Y371" t="str">
        <f t="shared" si="77"/>
        <v>Vanuatu</v>
      </c>
      <c r="Z371" s="104" t="str">
        <f t="shared" si="68"/>
        <v/>
      </c>
      <c r="AA371" s="104">
        <f t="shared" si="69"/>
        <v>1</v>
      </c>
      <c r="AB371" s="104">
        <f t="shared" si="70"/>
        <v>1</v>
      </c>
    </row>
    <row r="372" spans="1:28" x14ac:dyDescent="0.25">
      <c r="A372" s="55" t="s">
        <v>13409</v>
      </c>
      <c r="B372" s="57"/>
      <c r="C372" s="57"/>
      <c r="D372" s="57"/>
      <c r="E372" s="57">
        <v>1</v>
      </c>
      <c r="F372" s="57">
        <v>9</v>
      </c>
      <c r="G372" s="57"/>
      <c r="H372" s="57"/>
      <c r="I372" s="57">
        <v>7</v>
      </c>
      <c r="J372" s="57"/>
      <c r="K372" s="57"/>
      <c r="L372" s="57"/>
      <c r="M372" s="57"/>
      <c r="Q372">
        <f t="shared" si="71"/>
        <v>0</v>
      </c>
      <c r="R372">
        <f t="shared" si="72"/>
        <v>0</v>
      </c>
      <c r="S372">
        <f t="shared" si="73"/>
        <v>1</v>
      </c>
      <c r="T372">
        <f t="shared" si="74"/>
        <v>9</v>
      </c>
      <c r="U372">
        <f t="shared" si="75"/>
        <v>0</v>
      </c>
      <c r="V372">
        <f t="shared" si="76"/>
        <v>7</v>
      </c>
      <c r="Y372" t="str">
        <f t="shared" si="77"/>
        <v>Vietnam</v>
      </c>
      <c r="Z372" s="104" t="str">
        <f t="shared" si="68"/>
        <v/>
      </c>
      <c r="AA372" s="104">
        <f t="shared" si="69"/>
        <v>0.9</v>
      </c>
      <c r="AB372" s="104">
        <f t="shared" si="70"/>
        <v>1</v>
      </c>
    </row>
    <row r="373" spans="1:28" x14ac:dyDescent="0.25">
      <c r="A373" s="50" t="s">
        <v>14279</v>
      </c>
      <c r="B373" s="57">
        <v>7</v>
      </c>
      <c r="C373" s="57"/>
      <c r="D373" s="57"/>
      <c r="E373" s="57">
        <v>13</v>
      </c>
      <c r="F373" s="57">
        <v>177</v>
      </c>
      <c r="G373" s="57"/>
      <c r="H373" s="57">
        <v>5</v>
      </c>
      <c r="I373" s="57">
        <v>51</v>
      </c>
      <c r="J373" s="57"/>
      <c r="K373" s="57">
        <v>2</v>
      </c>
      <c r="L373" s="57"/>
      <c r="M373" s="57"/>
      <c r="Q373">
        <f t="shared" si="71"/>
        <v>7</v>
      </c>
      <c r="R373">
        <f t="shared" si="72"/>
        <v>0</v>
      </c>
      <c r="S373">
        <f t="shared" si="73"/>
        <v>13</v>
      </c>
      <c r="T373">
        <f t="shared" si="74"/>
        <v>177</v>
      </c>
      <c r="U373">
        <f t="shared" si="75"/>
        <v>5</v>
      </c>
      <c r="V373">
        <f t="shared" si="76"/>
        <v>51</v>
      </c>
      <c r="Y373" t="str">
        <f t="shared" si="77"/>
        <v>Asia and the Pacific Total</v>
      </c>
      <c r="Z373" s="104">
        <f t="shared" si="68"/>
        <v>0</v>
      </c>
      <c r="AA373" s="104">
        <f t="shared" si="69"/>
        <v>0.93157894736842106</v>
      </c>
      <c r="AB373" s="104">
        <f t="shared" si="70"/>
        <v>0.9107142857142857</v>
      </c>
    </row>
    <row r="374" spans="1:28" x14ac:dyDescent="0.25">
      <c r="A374" s="50" t="s">
        <v>2807</v>
      </c>
      <c r="B374" s="57"/>
      <c r="C374" s="57"/>
      <c r="D374" s="57"/>
      <c r="E374" s="57"/>
      <c r="F374" s="57"/>
      <c r="G374" s="57"/>
      <c r="H374" s="57"/>
      <c r="I374" s="57"/>
      <c r="J374" s="57"/>
      <c r="K374" s="57"/>
      <c r="L374" s="57"/>
      <c r="M374" s="57"/>
      <c r="Q374">
        <f t="shared" si="71"/>
        <v>0</v>
      </c>
      <c r="R374">
        <f t="shared" si="72"/>
        <v>0</v>
      </c>
      <c r="S374">
        <f t="shared" si="73"/>
        <v>0</v>
      </c>
      <c r="T374">
        <f t="shared" si="74"/>
        <v>0</v>
      </c>
      <c r="U374">
        <f t="shared" si="75"/>
        <v>0</v>
      </c>
      <c r="V374">
        <f t="shared" si="76"/>
        <v>0</v>
      </c>
      <c r="Y374" t="str">
        <f t="shared" si="77"/>
        <v>Latin America and the Caribbean</v>
      </c>
      <c r="Z374" s="104" t="str">
        <f t="shared" si="68"/>
        <v/>
      </c>
      <c r="AA374" s="104" t="str">
        <f t="shared" si="69"/>
        <v/>
      </c>
      <c r="AB374" s="104" t="str">
        <f t="shared" si="70"/>
        <v/>
      </c>
    </row>
    <row r="375" spans="1:28" x14ac:dyDescent="0.25">
      <c r="A375" s="55" t="s">
        <v>2806</v>
      </c>
      <c r="B375" s="57"/>
      <c r="C375" s="57"/>
      <c r="D375" s="57"/>
      <c r="E375" s="57"/>
      <c r="F375" s="57"/>
      <c r="G375" s="57"/>
      <c r="H375" s="57"/>
      <c r="I375" s="57">
        <v>1</v>
      </c>
      <c r="J375" s="57"/>
      <c r="K375" s="57"/>
      <c r="L375" s="57"/>
      <c r="M375" s="57"/>
      <c r="Q375">
        <f t="shared" si="71"/>
        <v>0</v>
      </c>
      <c r="R375">
        <f t="shared" si="72"/>
        <v>0</v>
      </c>
      <c r="S375">
        <f t="shared" si="73"/>
        <v>0</v>
      </c>
      <c r="T375">
        <f t="shared" si="74"/>
        <v>0</v>
      </c>
      <c r="U375">
        <f t="shared" si="75"/>
        <v>0</v>
      </c>
      <c r="V375">
        <f t="shared" si="76"/>
        <v>1</v>
      </c>
      <c r="Y375" t="str">
        <f t="shared" si="77"/>
        <v>Colombia</v>
      </c>
      <c r="Z375" s="104" t="str">
        <f t="shared" si="68"/>
        <v/>
      </c>
      <c r="AA375" s="104" t="str">
        <f t="shared" si="69"/>
        <v/>
      </c>
      <c r="AB375" s="104">
        <f t="shared" si="70"/>
        <v>1</v>
      </c>
    </row>
    <row r="376" spans="1:28" x14ac:dyDescent="0.25">
      <c r="A376" s="55" t="s">
        <v>2931</v>
      </c>
      <c r="B376" s="57"/>
      <c r="C376" s="57"/>
      <c r="D376" s="57"/>
      <c r="E376" s="57"/>
      <c r="F376" s="57">
        <v>1</v>
      </c>
      <c r="G376" s="57"/>
      <c r="H376" s="57"/>
      <c r="I376" s="57"/>
      <c r="J376" s="57"/>
      <c r="K376" s="57"/>
      <c r="L376" s="57"/>
      <c r="M376" s="57"/>
      <c r="Q376">
        <f t="shared" si="71"/>
        <v>0</v>
      </c>
      <c r="R376">
        <f t="shared" si="72"/>
        <v>0</v>
      </c>
      <c r="S376">
        <f t="shared" si="73"/>
        <v>0</v>
      </c>
      <c r="T376">
        <f t="shared" si="74"/>
        <v>1</v>
      </c>
      <c r="U376">
        <f t="shared" si="75"/>
        <v>0</v>
      </c>
      <c r="V376">
        <f t="shared" si="76"/>
        <v>0</v>
      </c>
      <c r="Y376" t="str">
        <f t="shared" si="77"/>
        <v>Costa Rica</v>
      </c>
      <c r="Z376" s="104" t="str">
        <f t="shared" si="68"/>
        <v/>
      </c>
      <c r="AA376" s="104">
        <f t="shared" si="69"/>
        <v>1</v>
      </c>
      <c r="AB376" s="104" t="str">
        <f t="shared" si="70"/>
        <v/>
      </c>
    </row>
    <row r="377" spans="1:28" x14ac:dyDescent="0.25">
      <c r="A377" s="55" t="s">
        <v>3148</v>
      </c>
      <c r="B377" s="57"/>
      <c r="C377" s="57"/>
      <c r="D377" s="57"/>
      <c r="E377" s="57"/>
      <c r="F377" s="57">
        <v>5</v>
      </c>
      <c r="G377" s="57"/>
      <c r="H377" s="57"/>
      <c r="I377" s="57"/>
      <c r="J377" s="57"/>
      <c r="K377" s="57"/>
      <c r="L377" s="57"/>
      <c r="M377" s="57"/>
      <c r="Q377">
        <f t="shared" si="71"/>
        <v>0</v>
      </c>
      <c r="R377">
        <f t="shared" si="72"/>
        <v>0</v>
      </c>
      <c r="S377">
        <f t="shared" si="73"/>
        <v>0</v>
      </c>
      <c r="T377">
        <f t="shared" si="74"/>
        <v>5</v>
      </c>
      <c r="U377">
        <f t="shared" si="75"/>
        <v>0</v>
      </c>
      <c r="V377">
        <f t="shared" si="76"/>
        <v>0</v>
      </c>
      <c r="Y377" t="str">
        <f t="shared" si="77"/>
        <v>Cuba</v>
      </c>
      <c r="Z377" s="104" t="str">
        <f t="shared" si="68"/>
        <v/>
      </c>
      <c r="AA377" s="104">
        <f t="shared" si="69"/>
        <v>1</v>
      </c>
      <c r="AB377" s="104" t="str">
        <f t="shared" si="70"/>
        <v/>
      </c>
    </row>
    <row r="378" spans="1:28" x14ac:dyDescent="0.25">
      <c r="A378" s="55" t="s">
        <v>3261</v>
      </c>
      <c r="B378" s="57"/>
      <c r="C378" s="57"/>
      <c r="D378" s="57"/>
      <c r="E378" s="57"/>
      <c r="F378" s="57"/>
      <c r="G378" s="57"/>
      <c r="H378" s="57"/>
      <c r="I378" s="57"/>
      <c r="J378" s="57"/>
      <c r="K378" s="57"/>
      <c r="L378" s="57"/>
      <c r="M378" s="57"/>
      <c r="Q378">
        <f t="shared" si="71"/>
        <v>0</v>
      </c>
      <c r="R378">
        <f t="shared" si="72"/>
        <v>0</v>
      </c>
      <c r="S378">
        <f t="shared" si="73"/>
        <v>0</v>
      </c>
      <c r="T378">
        <f t="shared" si="74"/>
        <v>0</v>
      </c>
      <c r="U378">
        <f t="shared" si="75"/>
        <v>0</v>
      </c>
      <c r="V378">
        <f t="shared" si="76"/>
        <v>0</v>
      </c>
      <c r="Y378" t="str">
        <f t="shared" si="77"/>
        <v>Dominican Republic</v>
      </c>
      <c r="Z378" s="104" t="str">
        <f t="shared" si="68"/>
        <v/>
      </c>
      <c r="AA378" s="104" t="str">
        <f t="shared" si="69"/>
        <v/>
      </c>
      <c r="AB378" s="104" t="str">
        <f t="shared" si="70"/>
        <v/>
      </c>
    </row>
    <row r="379" spans="1:28" x14ac:dyDescent="0.25">
      <c r="A379" s="55" t="s">
        <v>3272</v>
      </c>
      <c r="B379" s="57"/>
      <c r="C379" s="57"/>
      <c r="D379" s="57"/>
      <c r="E379" s="57"/>
      <c r="F379" s="57">
        <v>16</v>
      </c>
      <c r="G379" s="57"/>
      <c r="H379" s="57"/>
      <c r="I379" s="57">
        <v>2</v>
      </c>
      <c r="J379" s="57"/>
      <c r="K379" s="57"/>
      <c r="L379" s="57"/>
      <c r="M379" s="57"/>
      <c r="Q379">
        <f t="shared" si="71"/>
        <v>0</v>
      </c>
      <c r="R379">
        <f t="shared" si="72"/>
        <v>0</v>
      </c>
      <c r="S379">
        <f t="shared" si="73"/>
        <v>0</v>
      </c>
      <c r="T379">
        <f t="shared" si="74"/>
        <v>16</v>
      </c>
      <c r="U379">
        <f t="shared" si="75"/>
        <v>0</v>
      </c>
      <c r="V379">
        <f t="shared" si="76"/>
        <v>2</v>
      </c>
      <c r="Y379" t="str">
        <f t="shared" si="77"/>
        <v>Ecuador</v>
      </c>
      <c r="Z379" s="104" t="str">
        <f t="shared" si="68"/>
        <v/>
      </c>
      <c r="AA379" s="104">
        <f t="shared" si="69"/>
        <v>1</v>
      </c>
      <c r="AB379" s="104">
        <f t="shared" si="70"/>
        <v>1</v>
      </c>
    </row>
    <row r="380" spans="1:28" x14ac:dyDescent="0.25">
      <c r="A380" s="55" t="s">
        <v>4777</v>
      </c>
      <c r="B380" s="57"/>
      <c r="C380" s="57"/>
      <c r="D380" s="57"/>
      <c r="E380" s="57"/>
      <c r="F380" s="57">
        <v>6</v>
      </c>
      <c r="G380" s="57"/>
      <c r="H380" s="57"/>
      <c r="I380" s="57">
        <v>9</v>
      </c>
      <c r="J380" s="57"/>
      <c r="K380" s="57"/>
      <c r="L380" s="57"/>
      <c r="M380" s="57"/>
      <c r="Q380">
        <f t="shared" si="71"/>
        <v>0</v>
      </c>
      <c r="R380">
        <f t="shared" si="72"/>
        <v>0</v>
      </c>
      <c r="S380">
        <f t="shared" si="73"/>
        <v>0</v>
      </c>
      <c r="T380">
        <f t="shared" si="74"/>
        <v>6</v>
      </c>
      <c r="U380">
        <f t="shared" si="75"/>
        <v>0</v>
      </c>
      <c r="V380">
        <f t="shared" si="76"/>
        <v>9</v>
      </c>
      <c r="Y380" t="str">
        <f t="shared" si="77"/>
        <v>Guatemala</v>
      </c>
      <c r="Z380" s="104" t="str">
        <f t="shared" si="68"/>
        <v/>
      </c>
      <c r="AA380" s="104">
        <f t="shared" si="69"/>
        <v>1</v>
      </c>
      <c r="AB380" s="104">
        <f t="shared" si="70"/>
        <v>1</v>
      </c>
    </row>
    <row r="381" spans="1:28" x14ac:dyDescent="0.25">
      <c r="A381" s="55" t="s">
        <v>5061</v>
      </c>
      <c r="B381" s="57"/>
      <c r="C381" s="57"/>
      <c r="D381" s="57"/>
      <c r="E381" s="57"/>
      <c r="F381" s="57">
        <v>8</v>
      </c>
      <c r="G381" s="57"/>
      <c r="H381" s="57"/>
      <c r="I381" s="57"/>
      <c r="J381" s="57"/>
      <c r="K381" s="57"/>
      <c r="L381" s="57"/>
      <c r="M381" s="57"/>
      <c r="Q381">
        <f t="shared" si="71"/>
        <v>0</v>
      </c>
      <c r="R381">
        <f t="shared" si="72"/>
        <v>0</v>
      </c>
      <c r="S381">
        <f t="shared" si="73"/>
        <v>0</v>
      </c>
      <c r="T381">
        <f t="shared" si="74"/>
        <v>8</v>
      </c>
      <c r="U381">
        <f t="shared" si="75"/>
        <v>0</v>
      </c>
      <c r="V381">
        <f t="shared" si="76"/>
        <v>0</v>
      </c>
      <c r="Y381" t="str">
        <f t="shared" si="77"/>
        <v>Haiti</v>
      </c>
      <c r="Z381" s="104" t="str">
        <f t="shared" si="68"/>
        <v/>
      </c>
      <c r="AA381" s="104">
        <f t="shared" si="69"/>
        <v>1</v>
      </c>
      <c r="AB381" s="104" t="str">
        <f t="shared" si="70"/>
        <v/>
      </c>
    </row>
    <row r="382" spans="1:28" x14ac:dyDescent="0.25">
      <c r="A382" s="55" t="s">
        <v>5190</v>
      </c>
      <c r="B382" s="57"/>
      <c r="C382" s="57"/>
      <c r="D382" s="57"/>
      <c r="E382" s="57"/>
      <c r="F382" s="57">
        <v>5</v>
      </c>
      <c r="G382" s="57"/>
      <c r="H382" s="57"/>
      <c r="I382" s="57">
        <v>2</v>
      </c>
      <c r="J382" s="57"/>
      <c r="K382" s="57"/>
      <c r="L382" s="57"/>
      <c r="M382" s="57"/>
      <c r="Q382">
        <f t="shared" si="71"/>
        <v>0</v>
      </c>
      <c r="R382">
        <f t="shared" si="72"/>
        <v>0</v>
      </c>
      <c r="S382">
        <f t="shared" si="73"/>
        <v>0</v>
      </c>
      <c r="T382">
        <f t="shared" si="74"/>
        <v>5</v>
      </c>
      <c r="U382">
        <f t="shared" si="75"/>
        <v>0</v>
      </c>
      <c r="V382">
        <f t="shared" si="76"/>
        <v>2</v>
      </c>
      <c r="Y382" t="str">
        <f t="shared" si="77"/>
        <v>Honduras</v>
      </c>
      <c r="Z382" s="104" t="str">
        <f t="shared" si="68"/>
        <v/>
      </c>
      <c r="AA382" s="104">
        <f t="shared" si="69"/>
        <v>1</v>
      </c>
      <c r="AB382" s="104">
        <f t="shared" si="70"/>
        <v>1</v>
      </c>
    </row>
    <row r="383" spans="1:28" x14ac:dyDescent="0.25">
      <c r="A383" s="55" t="s">
        <v>8138</v>
      </c>
      <c r="B383" s="57"/>
      <c r="C383" s="57"/>
      <c r="D383" s="57"/>
      <c r="E383" s="57"/>
      <c r="F383" s="57"/>
      <c r="G383" s="57"/>
      <c r="H383" s="57"/>
      <c r="I383" s="57">
        <v>1</v>
      </c>
      <c r="J383" s="57"/>
      <c r="K383" s="57"/>
      <c r="L383" s="57"/>
      <c r="M383" s="57"/>
      <c r="Q383">
        <f t="shared" si="71"/>
        <v>0</v>
      </c>
      <c r="R383">
        <f t="shared" si="72"/>
        <v>0</v>
      </c>
      <c r="S383">
        <f t="shared" si="73"/>
        <v>0</v>
      </c>
      <c r="T383">
        <f t="shared" si="74"/>
        <v>0</v>
      </c>
      <c r="U383">
        <f t="shared" si="75"/>
        <v>0</v>
      </c>
      <c r="V383">
        <f t="shared" si="76"/>
        <v>1</v>
      </c>
      <c r="Y383" t="str">
        <f t="shared" si="77"/>
        <v>Mexico</v>
      </c>
      <c r="Z383" s="104" t="str">
        <f t="shared" si="68"/>
        <v/>
      </c>
      <c r="AA383" s="104" t="str">
        <f t="shared" si="69"/>
        <v/>
      </c>
      <c r="AB383" s="104">
        <f t="shared" si="70"/>
        <v>1</v>
      </c>
    </row>
    <row r="384" spans="1:28" x14ac:dyDescent="0.25">
      <c r="A384" s="55" t="s">
        <v>9042</v>
      </c>
      <c r="B384" s="57"/>
      <c r="C384" s="57"/>
      <c r="D384" s="57"/>
      <c r="E384" s="57"/>
      <c r="F384" s="57">
        <v>1</v>
      </c>
      <c r="G384" s="57"/>
      <c r="H384" s="57"/>
      <c r="I384" s="57"/>
      <c r="J384" s="57"/>
      <c r="K384" s="57"/>
      <c r="L384" s="57"/>
      <c r="M384" s="57"/>
      <c r="Q384">
        <f t="shared" si="71"/>
        <v>0</v>
      </c>
      <c r="R384">
        <f t="shared" si="72"/>
        <v>0</v>
      </c>
      <c r="S384">
        <f t="shared" si="73"/>
        <v>0</v>
      </c>
      <c r="T384">
        <f t="shared" si="74"/>
        <v>1</v>
      </c>
      <c r="U384">
        <f t="shared" si="75"/>
        <v>0</v>
      </c>
      <c r="V384">
        <f t="shared" si="76"/>
        <v>0</v>
      </c>
      <c r="Y384" t="str">
        <f t="shared" si="77"/>
        <v>Nicaragua</v>
      </c>
      <c r="Z384" s="104" t="str">
        <f t="shared" si="68"/>
        <v/>
      </c>
      <c r="AA384" s="104">
        <f t="shared" si="69"/>
        <v>1</v>
      </c>
      <c r="AB384" s="104" t="str">
        <f t="shared" si="70"/>
        <v/>
      </c>
    </row>
    <row r="385" spans="1:28" x14ac:dyDescent="0.25">
      <c r="A385" s="55" t="s">
        <v>9514</v>
      </c>
      <c r="B385" s="57"/>
      <c r="C385" s="57"/>
      <c r="D385" s="57"/>
      <c r="E385" s="57"/>
      <c r="F385" s="57"/>
      <c r="G385" s="57"/>
      <c r="H385" s="57"/>
      <c r="I385" s="57"/>
      <c r="J385" s="57"/>
      <c r="K385" s="57"/>
      <c r="L385" s="57"/>
      <c r="M385" s="57"/>
      <c r="Q385">
        <f t="shared" si="71"/>
        <v>0</v>
      </c>
      <c r="R385">
        <f t="shared" si="72"/>
        <v>0</v>
      </c>
      <c r="S385">
        <f t="shared" si="73"/>
        <v>0</v>
      </c>
      <c r="T385">
        <f t="shared" si="74"/>
        <v>0</v>
      </c>
      <c r="U385">
        <f t="shared" si="75"/>
        <v>0</v>
      </c>
      <c r="V385">
        <f t="shared" si="76"/>
        <v>0</v>
      </c>
      <c r="Y385" t="str">
        <f t="shared" si="77"/>
        <v>Panama</v>
      </c>
      <c r="Z385" s="104" t="str">
        <f t="shared" si="68"/>
        <v/>
      </c>
      <c r="AA385" s="104" t="str">
        <f t="shared" si="69"/>
        <v/>
      </c>
      <c r="AB385" s="104" t="str">
        <f t="shared" si="70"/>
        <v/>
      </c>
    </row>
    <row r="386" spans="1:28" x14ac:dyDescent="0.25">
      <c r="A386" s="55" t="s">
        <v>9706</v>
      </c>
      <c r="B386" s="57">
        <v>2</v>
      </c>
      <c r="C386" s="57">
        <v>1</v>
      </c>
      <c r="D386" s="57"/>
      <c r="E386" s="57">
        <v>1</v>
      </c>
      <c r="F386" s="57">
        <v>25</v>
      </c>
      <c r="G386" s="57"/>
      <c r="H386" s="57"/>
      <c r="I386" s="57">
        <v>5</v>
      </c>
      <c r="J386" s="57"/>
      <c r="K386" s="57"/>
      <c r="L386" s="57"/>
      <c r="M386" s="57"/>
      <c r="Q386">
        <f t="shared" si="71"/>
        <v>2</v>
      </c>
      <c r="R386">
        <f t="shared" si="72"/>
        <v>1</v>
      </c>
      <c r="S386">
        <f t="shared" si="73"/>
        <v>1</v>
      </c>
      <c r="T386">
        <f t="shared" si="74"/>
        <v>25</v>
      </c>
      <c r="U386">
        <f t="shared" si="75"/>
        <v>0</v>
      </c>
      <c r="V386">
        <f t="shared" si="76"/>
        <v>5</v>
      </c>
      <c r="Y386" t="str">
        <f t="shared" si="77"/>
        <v>Peru</v>
      </c>
      <c r="Z386" s="104">
        <f t="shared" si="68"/>
        <v>0.33333333333333331</v>
      </c>
      <c r="AA386" s="104">
        <f t="shared" si="69"/>
        <v>0.96153846153846156</v>
      </c>
      <c r="AB386" s="104">
        <f t="shared" si="70"/>
        <v>1</v>
      </c>
    </row>
    <row r="387" spans="1:28" x14ac:dyDescent="0.25">
      <c r="A387" s="50" t="s">
        <v>14280</v>
      </c>
      <c r="B387" s="57">
        <v>2</v>
      </c>
      <c r="C387" s="57">
        <v>1</v>
      </c>
      <c r="D387" s="57"/>
      <c r="E387" s="57">
        <v>1</v>
      </c>
      <c r="F387" s="57">
        <v>67</v>
      </c>
      <c r="G387" s="57"/>
      <c r="H387" s="57"/>
      <c r="I387" s="57">
        <v>20</v>
      </c>
      <c r="J387" s="57"/>
      <c r="K387" s="57"/>
      <c r="L387" s="57"/>
      <c r="M387" s="57"/>
      <c r="Q387">
        <f t="shared" si="71"/>
        <v>2</v>
      </c>
      <c r="R387">
        <f t="shared" si="72"/>
        <v>1</v>
      </c>
      <c r="S387">
        <f t="shared" si="73"/>
        <v>1</v>
      </c>
      <c r="T387">
        <f t="shared" si="74"/>
        <v>67</v>
      </c>
      <c r="U387">
        <f t="shared" si="75"/>
        <v>0</v>
      </c>
      <c r="V387">
        <f t="shared" si="76"/>
        <v>20</v>
      </c>
      <c r="Y387" t="str">
        <f t="shared" si="77"/>
        <v>Latin America and the Caribbean Total</v>
      </c>
      <c r="Z387" s="104">
        <f t="shared" si="68"/>
        <v>0.33333333333333331</v>
      </c>
      <c r="AA387" s="104">
        <f t="shared" si="69"/>
        <v>0.98529411764705888</v>
      </c>
      <c r="AB387" s="104">
        <f t="shared" si="70"/>
        <v>1</v>
      </c>
    </row>
    <row r="388" spans="1:28" x14ac:dyDescent="0.25">
      <c r="A388" s="50" t="s">
        <v>602</v>
      </c>
      <c r="B388" s="57"/>
      <c r="C388" s="57"/>
      <c r="D388" s="57"/>
      <c r="E388" s="57"/>
      <c r="F388" s="57"/>
      <c r="G388" s="57"/>
      <c r="H388" s="57"/>
      <c r="I388" s="57"/>
      <c r="J388" s="57"/>
      <c r="K388" s="57"/>
      <c r="L388" s="57"/>
      <c r="M388" s="57"/>
      <c r="Q388">
        <f t="shared" ref="Q388:Q423" si="78">B388</f>
        <v>0</v>
      </c>
      <c r="R388">
        <f t="shared" ref="R388:R423" si="79">C388</f>
        <v>0</v>
      </c>
      <c r="S388">
        <f t="shared" ref="S388:S423" si="80">E388</f>
        <v>0</v>
      </c>
      <c r="T388">
        <f t="shared" ref="T388:T423" si="81">F388</f>
        <v>0</v>
      </c>
      <c r="U388">
        <f t="shared" ref="U388:U423" si="82">H388</f>
        <v>0</v>
      </c>
      <c r="V388">
        <f t="shared" ref="V388:V423" si="83">I388</f>
        <v>0</v>
      </c>
      <c r="Y388" t="str">
        <f t="shared" ref="Y388:Y423" si="84">A388</f>
        <v>Middle East, North Africa and Europe</v>
      </c>
      <c r="Z388" s="104" t="str">
        <f t="shared" si="68"/>
        <v/>
      </c>
      <c r="AA388" s="104" t="str">
        <f t="shared" si="69"/>
        <v/>
      </c>
      <c r="AB388" s="104" t="str">
        <f t="shared" si="70"/>
        <v/>
      </c>
    </row>
    <row r="389" spans="1:28" x14ac:dyDescent="0.25">
      <c r="A389" s="55" t="s">
        <v>601</v>
      </c>
      <c r="B389" s="57"/>
      <c r="C389" s="57"/>
      <c r="D389" s="57"/>
      <c r="E389" s="57"/>
      <c r="F389" s="57"/>
      <c r="G389" s="57"/>
      <c r="H389" s="57"/>
      <c r="I389" s="57">
        <v>1</v>
      </c>
      <c r="J389" s="57"/>
      <c r="K389" s="57"/>
      <c r="L389" s="57"/>
      <c r="M389" s="57"/>
      <c r="Q389">
        <f t="shared" si="78"/>
        <v>0</v>
      </c>
      <c r="R389">
        <f t="shared" si="79"/>
        <v>0</v>
      </c>
      <c r="S389">
        <f t="shared" si="80"/>
        <v>0</v>
      </c>
      <c r="T389">
        <f t="shared" si="81"/>
        <v>0</v>
      </c>
      <c r="U389">
        <f t="shared" si="82"/>
        <v>0</v>
      </c>
      <c r="V389">
        <f t="shared" si="83"/>
        <v>1</v>
      </c>
      <c r="Y389" t="str">
        <f t="shared" si="84"/>
        <v>Albania</v>
      </c>
      <c r="Z389" s="104" t="str">
        <f t="shared" ref="Z389:Z423" si="85">IFERROR(R389/(SUM($Q389:$R389)),"")</f>
        <v/>
      </c>
      <c r="AA389" s="104" t="str">
        <f t="shared" ref="AA389:AA423" si="86">IFERROR(T389/(SUM($S389:$T389)),"")</f>
        <v/>
      </c>
      <c r="AB389" s="104">
        <f t="shared" ref="AB389:AB423" si="87">IFERROR(V389/(SUM($U389:$V389)),"")</f>
        <v>1</v>
      </c>
    </row>
    <row r="390" spans="1:28" x14ac:dyDescent="0.25">
      <c r="A390" s="55" t="s">
        <v>635</v>
      </c>
      <c r="B390" s="57"/>
      <c r="C390" s="57"/>
      <c r="D390" s="57"/>
      <c r="E390" s="57"/>
      <c r="F390" s="57"/>
      <c r="G390" s="57"/>
      <c r="H390" s="57"/>
      <c r="I390" s="57"/>
      <c r="J390" s="57"/>
      <c r="K390" s="57"/>
      <c r="L390" s="57"/>
      <c r="M390" s="57"/>
      <c r="Q390">
        <f t="shared" si="78"/>
        <v>0</v>
      </c>
      <c r="R390">
        <f t="shared" si="79"/>
        <v>0</v>
      </c>
      <c r="S390">
        <f t="shared" si="80"/>
        <v>0</v>
      </c>
      <c r="T390">
        <f t="shared" si="81"/>
        <v>0</v>
      </c>
      <c r="U390">
        <f t="shared" si="82"/>
        <v>0</v>
      </c>
      <c r="V390">
        <f t="shared" si="83"/>
        <v>0</v>
      </c>
      <c r="Y390" t="str">
        <f t="shared" si="84"/>
        <v>Austria</v>
      </c>
      <c r="Z390" s="104" t="str">
        <f t="shared" si="85"/>
        <v/>
      </c>
      <c r="AA390" s="104" t="str">
        <f t="shared" si="86"/>
        <v/>
      </c>
      <c r="AB390" s="104" t="str">
        <f t="shared" si="87"/>
        <v/>
      </c>
    </row>
    <row r="391" spans="1:28" x14ac:dyDescent="0.25">
      <c r="A391" s="55" t="s">
        <v>1527</v>
      </c>
      <c r="B391" s="57"/>
      <c r="C391" s="57"/>
      <c r="D391" s="57"/>
      <c r="E391" s="57"/>
      <c r="F391" s="57">
        <v>1</v>
      </c>
      <c r="G391" s="57"/>
      <c r="H391" s="57"/>
      <c r="I391" s="57">
        <v>3</v>
      </c>
      <c r="J391" s="57"/>
      <c r="K391" s="57"/>
      <c r="L391" s="57"/>
      <c r="M391" s="57"/>
      <c r="Q391">
        <f t="shared" si="78"/>
        <v>0</v>
      </c>
      <c r="R391">
        <f t="shared" si="79"/>
        <v>0</v>
      </c>
      <c r="S391">
        <f t="shared" si="80"/>
        <v>0</v>
      </c>
      <c r="T391">
        <f t="shared" si="81"/>
        <v>1</v>
      </c>
      <c r="U391">
        <f t="shared" si="82"/>
        <v>0</v>
      </c>
      <c r="V391">
        <f t="shared" si="83"/>
        <v>3</v>
      </c>
      <c r="Y391" t="str">
        <f t="shared" si="84"/>
        <v>Belgium</v>
      </c>
      <c r="Z391" s="104" t="str">
        <f t="shared" si="85"/>
        <v/>
      </c>
      <c r="AA391" s="104">
        <f t="shared" si="86"/>
        <v>1</v>
      </c>
      <c r="AB391" s="104">
        <f t="shared" si="87"/>
        <v>1</v>
      </c>
    </row>
    <row r="392" spans="1:28" x14ac:dyDescent="0.25">
      <c r="A392" s="55" t="s">
        <v>1735</v>
      </c>
      <c r="B392" s="57"/>
      <c r="C392" s="57"/>
      <c r="D392" s="57"/>
      <c r="E392" s="57"/>
      <c r="F392" s="57">
        <v>2</v>
      </c>
      <c r="G392" s="57"/>
      <c r="H392" s="57"/>
      <c r="I392" s="57">
        <v>3</v>
      </c>
      <c r="J392" s="57"/>
      <c r="K392" s="57"/>
      <c r="L392" s="57"/>
      <c r="M392" s="57"/>
      <c r="Q392">
        <f t="shared" si="78"/>
        <v>0</v>
      </c>
      <c r="R392">
        <f t="shared" si="79"/>
        <v>0</v>
      </c>
      <c r="S392">
        <f t="shared" si="80"/>
        <v>0</v>
      </c>
      <c r="T392">
        <f t="shared" si="81"/>
        <v>2</v>
      </c>
      <c r="U392">
        <f t="shared" si="82"/>
        <v>0</v>
      </c>
      <c r="V392">
        <f t="shared" si="83"/>
        <v>3</v>
      </c>
      <c r="Y392" t="str">
        <f t="shared" si="84"/>
        <v>Bosnia and Herzegovina</v>
      </c>
      <c r="Z392" s="104" t="str">
        <f t="shared" si="85"/>
        <v/>
      </c>
      <c r="AA392" s="104">
        <f t="shared" si="86"/>
        <v>1</v>
      </c>
      <c r="AB392" s="104">
        <f t="shared" si="87"/>
        <v>1</v>
      </c>
    </row>
    <row r="393" spans="1:28" x14ac:dyDescent="0.25">
      <c r="A393" s="55" t="s">
        <v>3140</v>
      </c>
      <c r="B393" s="57"/>
      <c r="C393" s="57"/>
      <c r="D393" s="57"/>
      <c r="E393" s="57"/>
      <c r="F393" s="57"/>
      <c r="G393" s="57"/>
      <c r="H393" s="57"/>
      <c r="I393" s="57">
        <v>1</v>
      </c>
      <c r="J393" s="57"/>
      <c r="K393" s="57"/>
      <c r="L393" s="57"/>
      <c r="M393" s="57"/>
      <c r="Q393">
        <f t="shared" si="78"/>
        <v>0</v>
      </c>
      <c r="R393">
        <f t="shared" si="79"/>
        <v>0</v>
      </c>
      <c r="S393">
        <f t="shared" si="80"/>
        <v>0</v>
      </c>
      <c r="T393">
        <f t="shared" si="81"/>
        <v>0</v>
      </c>
      <c r="U393">
        <f t="shared" si="82"/>
        <v>0</v>
      </c>
      <c r="V393">
        <f t="shared" si="83"/>
        <v>1</v>
      </c>
      <c r="Y393" t="str">
        <f t="shared" si="84"/>
        <v>Croatia</v>
      </c>
      <c r="Z393" s="104" t="str">
        <f t="shared" si="85"/>
        <v/>
      </c>
      <c r="AA393" s="104" t="str">
        <f t="shared" si="86"/>
        <v/>
      </c>
      <c r="AB393" s="104">
        <f t="shared" si="87"/>
        <v>1</v>
      </c>
    </row>
    <row r="394" spans="1:28" x14ac:dyDescent="0.25">
      <c r="A394" s="55" t="s">
        <v>3231</v>
      </c>
      <c r="B394" s="57"/>
      <c r="C394" s="57"/>
      <c r="D394" s="57"/>
      <c r="E394" s="57"/>
      <c r="F394" s="57"/>
      <c r="G394" s="57"/>
      <c r="H394" s="57"/>
      <c r="I394" s="57"/>
      <c r="J394" s="57"/>
      <c r="K394" s="57"/>
      <c r="L394" s="57"/>
      <c r="M394" s="57"/>
      <c r="Q394">
        <f t="shared" si="78"/>
        <v>0</v>
      </c>
      <c r="R394">
        <f t="shared" si="79"/>
        <v>0</v>
      </c>
      <c r="S394">
        <f t="shared" si="80"/>
        <v>0</v>
      </c>
      <c r="T394">
        <f t="shared" si="81"/>
        <v>0</v>
      </c>
      <c r="U394">
        <f t="shared" si="82"/>
        <v>0</v>
      </c>
      <c r="V394">
        <f t="shared" si="83"/>
        <v>0</v>
      </c>
      <c r="Y394" t="str">
        <f t="shared" si="84"/>
        <v>Czech Republic</v>
      </c>
      <c r="Z394" s="104" t="str">
        <f t="shared" si="85"/>
        <v/>
      </c>
      <c r="AA394" s="104" t="str">
        <f t="shared" si="86"/>
        <v/>
      </c>
      <c r="AB394" s="104" t="str">
        <f t="shared" si="87"/>
        <v/>
      </c>
    </row>
    <row r="395" spans="1:28" x14ac:dyDescent="0.25">
      <c r="A395" s="55" t="s">
        <v>3249</v>
      </c>
      <c r="B395" s="57"/>
      <c r="C395" s="57"/>
      <c r="D395" s="57"/>
      <c r="E395" s="57"/>
      <c r="F395" s="57"/>
      <c r="G395" s="57"/>
      <c r="H395" s="57"/>
      <c r="I395" s="57">
        <v>1</v>
      </c>
      <c r="J395" s="57"/>
      <c r="K395" s="57"/>
      <c r="L395" s="57"/>
      <c r="M395" s="57"/>
      <c r="Q395">
        <f t="shared" si="78"/>
        <v>0</v>
      </c>
      <c r="R395">
        <f t="shared" si="79"/>
        <v>0</v>
      </c>
      <c r="S395">
        <f t="shared" si="80"/>
        <v>0</v>
      </c>
      <c r="T395">
        <f t="shared" si="81"/>
        <v>0</v>
      </c>
      <c r="U395">
        <f t="shared" si="82"/>
        <v>0</v>
      </c>
      <c r="V395">
        <f t="shared" si="83"/>
        <v>1</v>
      </c>
      <c r="Y395" t="str">
        <f t="shared" si="84"/>
        <v>Denmark</v>
      </c>
      <c r="Z395" s="104" t="str">
        <f t="shared" si="85"/>
        <v/>
      </c>
      <c r="AA395" s="104" t="str">
        <f t="shared" si="86"/>
        <v/>
      </c>
      <c r="AB395" s="104">
        <f t="shared" si="87"/>
        <v>1</v>
      </c>
    </row>
    <row r="396" spans="1:28" x14ac:dyDescent="0.25">
      <c r="A396" s="55" t="s">
        <v>3546</v>
      </c>
      <c r="B396" s="57"/>
      <c r="C396" s="57"/>
      <c r="D396" s="57"/>
      <c r="E396" s="57">
        <v>1</v>
      </c>
      <c r="F396" s="57">
        <v>13</v>
      </c>
      <c r="G396" s="57"/>
      <c r="H396" s="57"/>
      <c r="I396" s="57">
        <v>4</v>
      </c>
      <c r="J396" s="57"/>
      <c r="K396" s="57"/>
      <c r="L396" s="57"/>
      <c r="M396" s="57"/>
      <c r="Q396">
        <f t="shared" si="78"/>
        <v>0</v>
      </c>
      <c r="R396">
        <f t="shared" si="79"/>
        <v>0</v>
      </c>
      <c r="S396">
        <f t="shared" si="80"/>
        <v>1</v>
      </c>
      <c r="T396">
        <f t="shared" si="81"/>
        <v>13</v>
      </c>
      <c r="U396">
        <f t="shared" si="82"/>
        <v>0</v>
      </c>
      <c r="V396">
        <f t="shared" si="83"/>
        <v>4</v>
      </c>
      <c r="Y396" t="str">
        <f t="shared" si="84"/>
        <v>Egypt</v>
      </c>
      <c r="Z396" s="104" t="str">
        <f t="shared" si="85"/>
        <v/>
      </c>
      <c r="AA396" s="104">
        <f t="shared" si="86"/>
        <v>0.9285714285714286</v>
      </c>
      <c r="AB396" s="104">
        <f t="shared" si="87"/>
        <v>1</v>
      </c>
    </row>
    <row r="397" spans="1:28" x14ac:dyDescent="0.25">
      <c r="A397" s="55" t="s">
        <v>4293</v>
      </c>
      <c r="B397" s="57"/>
      <c r="C397" s="57"/>
      <c r="D397" s="57"/>
      <c r="E397" s="57">
        <v>1</v>
      </c>
      <c r="F397" s="57">
        <v>2</v>
      </c>
      <c r="G397" s="57"/>
      <c r="H397" s="57"/>
      <c r="I397" s="57"/>
      <c r="J397" s="57"/>
      <c r="K397" s="57"/>
      <c r="L397" s="57"/>
      <c r="M397" s="57"/>
      <c r="Q397">
        <f t="shared" si="78"/>
        <v>0</v>
      </c>
      <c r="R397">
        <f t="shared" si="79"/>
        <v>0</v>
      </c>
      <c r="S397">
        <f t="shared" si="80"/>
        <v>1</v>
      </c>
      <c r="T397">
        <f t="shared" si="81"/>
        <v>2</v>
      </c>
      <c r="U397">
        <f t="shared" si="82"/>
        <v>0</v>
      </c>
      <c r="V397">
        <f t="shared" si="83"/>
        <v>0</v>
      </c>
      <c r="Y397" t="str">
        <f t="shared" si="84"/>
        <v>France</v>
      </c>
      <c r="Z397" s="104" t="str">
        <f t="shared" si="85"/>
        <v/>
      </c>
      <c r="AA397" s="104">
        <f t="shared" si="86"/>
        <v>0.66666666666666663</v>
      </c>
      <c r="AB397" s="104" t="str">
        <f t="shared" si="87"/>
        <v/>
      </c>
    </row>
    <row r="398" spans="1:28" x14ac:dyDescent="0.25">
      <c r="A398" s="55" t="s">
        <v>4346</v>
      </c>
      <c r="B398" s="57"/>
      <c r="C398" s="57"/>
      <c r="D398" s="57"/>
      <c r="E398" s="57"/>
      <c r="F398" s="57">
        <v>1</v>
      </c>
      <c r="G398" s="57"/>
      <c r="H398" s="57"/>
      <c r="I398" s="57">
        <v>2</v>
      </c>
      <c r="J398" s="57"/>
      <c r="K398" s="57"/>
      <c r="L398" s="57"/>
      <c r="M398" s="57"/>
      <c r="Q398">
        <f t="shared" si="78"/>
        <v>0</v>
      </c>
      <c r="R398">
        <f t="shared" si="79"/>
        <v>0</v>
      </c>
      <c r="S398">
        <f t="shared" si="80"/>
        <v>0</v>
      </c>
      <c r="T398">
        <f t="shared" si="81"/>
        <v>1</v>
      </c>
      <c r="U398">
        <f t="shared" si="82"/>
        <v>0</v>
      </c>
      <c r="V398">
        <f t="shared" si="83"/>
        <v>2</v>
      </c>
      <c r="Y398" t="str">
        <f t="shared" si="84"/>
        <v>Georgia</v>
      </c>
      <c r="Z398" s="104" t="str">
        <f t="shared" si="85"/>
        <v/>
      </c>
      <c r="AA398" s="104">
        <f t="shared" si="86"/>
        <v>1</v>
      </c>
      <c r="AB398" s="104">
        <f t="shared" si="87"/>
        <v>1</v>
      </c>
    </row>
    <row r="399" spans="1:28" x14ac:dyDescent="0.25">
      <c r="A399" s="55" t="s">
        <v>4428</v>
      </c>
      <c r="B399" s="57"/>
      <c r="C399" s="57"/>
      <c r="D399" s="57"/>
      <c r="E399" s="57"/>
      <c r="F399" s="57"/>
      <c r="G399" s="57"/>
      <c r="H399" s="57"/>
      <c r="I399" s="57">
        <v>3</v>
      </c>
      <c r="J399" s="57"/>
      <c r="K399" s="57"/>
      <c r="L399" s="57"/>
      <c r="M399" s="57"/>
      <c r="Q399">
        <f t="shared" si="78"/>
        <v>0</v>
      </c>
      <c r="R399">
        <f t="shared" si="79"/>
        <v>0</v>
      </c>
      <c r="S399">
        <f t="shared" si="80"/>
        <v>0</v>
      </c>
      <c r="T399">
        <f t="shared" si="81"/>
        <v>0</v>
      </c>
      <c r="U399">
        <f t="shared" si="82"/>
        <v>0</v>
      </c>
      <c r="V399">
        <f t="shared" si="83"/>
        <v>3</v>
      </c>
      <c r="Y399" t="str">
        <f t="shared" si="84"/>
        <v>Germany</v>
      </c>
      <c r="Z399" s="104" t="str">
        <f t="shared" si="85"/>
        <v/>
      </c>
      <c r="AA399" s="104" t="str">
        <f t="shared" si="86"/>
        <v/>
      </c>
      <c r="AB399" s="104">
        <f t="shared" si="87"/>
        <v>1</v>
      </c>
    </row>
    <row r="400" spans="1:28" x14ac:dyDescent="0.25">
      <c r="A400" s="55" t="s">
        <v>4743</v>
      </c>
      <c r="B400" s="57"/>
      <c r="C400" s="57"/>
      <c r="D400" s="57"/>
      <c r="E400" s="57"/>
      <c r="F400" s="57">
        <v>1</v>
      </c>
      <c r="G400" s="57"/>
      <c r="H400" s="57"/>
      <c r="I400" s="57"/>
      <c r="J400" s="57"/>
      <c r="K400" s="57"/>
      <c r="L400" s="57"/>
      <c r="M400" s="57"/>
      <c r="Q400">
        <f t="shared" si="78"/>
        <v>0</v>
      </c>
      <c r="R400">
        <f t="shared" si="79"/>
        <v>0</v>
      </c>
      <c r="S400">
        <f t="shared" si="80"/>
        <v>0</v>
      </c>
      <c r="T400">
        <f t="shared" si="81"/>
        <v>1</v>
      </c>
      <c r="U400">
        <f t="shared" si="82"/>
        <v>0</v>
      </c>
      <c r="V400">
        <f t="shared" si="83"/>
        <v>0</v>
      </c>
      <c r="Y400" t="str">
        <f t="shared" si="84"/>
        <v>Greece</v>
      </c>
      <c r="Z400" s="104" t="str">
        <f t="shared" si="85"/>
        <v/>
      </c>
      <c r="AA400" s="104">
        <f t="shared" si="86"/>
        <v>1</v>
      </c>
      <c r="AB400" s="104" t="str">
        <f t="shared" si="87"/>
        <v/>
      </c>
    </row>
    <row r="401" spans="1:28" x14ac:dyDescent="0.25">
      <c r="A401" s="55" t="s">
        <v>6024</v>
      </c>
      <c r="B401" s="57">
        <v>1</v>
      </c>
      <c r="C401" s="57"/>
      <c r="D401" s="57"/>
      <c r="E401" s="57"/>
      <c r="F401" s="57">
        <v>6</v>
      </c>
      <c r="G401" s="57"/>
      <c r="H401" s="57"/>
      <c r="I401" s="57"/>
      <c r="J401" s="57"/>
      <c r="K401" s="57"/>
      <c r="L401" s="57"/>
      <c r="M401" s="57"/>
      <c r="Q401">
        <f t="shared" si="78"/>
        <v>1</v>
      </c>
      <c r="R401">
        <f t="shared" si="79"/>
        <v>0</v>
      </c>
      <c r="S401">
        <f t="shared" si="80"/>
        <v>0</v>
      </c>
      <c r="T401">
        <f t="shared" si="81"/>
        <v>6</v>
      </c>
      <c r="U401">
        <f t="shared" si="82"/>
        <v>0</v>
      </c>
      <c r="V401">
        <f t="shared" si="83"/>
        <v>0</v>
      </c>
      <c r="Y401" t="str">
        <f t="shared" si="84"/>
        <v>Iraq</v>
      </c>
      <c r="Z401" s="104">
        <f t="shared" si="85"/>
        <v>0</v>
      </c>
      <c r="AA401" s="104">
        <f t="shared" si="86"/>
        <v>1</v>
      </c>
      <c r="AB401" s="104" t="str">
        <f t="shared" si="87"/>
        <v/>
      </c>
    </row>
    <row r="402" spans="1:28" x14ac:dyDescent="0.25">
      <c r="A402" s="55" t="s">
        <v>6105</v>
      </c>
      <c r="B402" s="57"/>
      <c r="C402" s="57"/>
      <c r="D402" s="57"/>
      <c r="E402" s="57">
        <v>2</v>
      </c>
      <c r="F402" s="57">
        <v>12</v>
      </c>
      <c r="G402" s="57"/>
      <c r="H402" s="57"/>
      <c r="I402" s="57">
        <v>6</v>
      </c>
      <c r="J402" s="57"/>
      <c r="K402" s="57"/>
      <c r="L402" s="57"/>
      <c r="M402" s="57"/>
      <c r="Q402">
        <f t="shared" si="78"/>
        <v>0</v>
      </c>
      <c r="R402">
        <f t="shared" si="79"/>
        <v>0</v>
      </c>
      <c r="S402">
        <f t="shared" si="80"/>
        <v>2</v>
      </c>
      <c r="T402">
        <f t="shared" si="81"/>
        <v>12</v>
      </c>
      <c r="U402">
        <f t="shared" si="82"/>
        <v>0</v>
      </c>
      <c r="V402">
        <f t="shared" si="83"/>
        <v>6</v>
      </c>
      <c r="Y402" t="str">
        <f t="shared" si="84"/>
        <v>Jordan</v>
      </c>
      <c r="Z402" s="104" t="str">
        <f t="shared" si="85"/>
        <v/>
      </c>
      <c r="AA402" s="104">
        <f t="shared" si="86"/>
        <v>0.8571428571428571</v>
      </c>
      <c r="AB402" s="104">
        <f t="shared" si="87"/>
        <v>1</v>
      </c>
    </row>
    <row r="403" spans="1:28" x14ac:dyDescent="0.25">
      <c r="A403" s="55" t="s">
        <v>6805</v>
      </c>
      <c r="B403" s="57"/>
      <c r="C403" s="57"/>
      <c r="D403" s="57"/>
      <c r="E403" s="57"/>
      <c r="F403" s="57">
        <v>2</v>
      </c>
      <c r="G403" s="57"/>
      <c r="H403" s="57"/>
      <c r="I403" s="57">
        <v>1</v>
      </c>
      <c r="J403" s="57"/>
      <c r="K403" s="57"/>
      <c r="L403" s="57"/>
      <c r="M403" s="57"/>
      <c r="Q403">
        <f t="shared" si="78"/>
        <v>0</v>
      </c>
      <c r="R403">
        <f t="shared" si="79"/>
        <v>0</v>
      </c>
      <c r="S403">
        <f t="shared" si="80"/>
        <v>0</v>
      </c>
      <c r="T403">
        <f t="shared" si="81"/>
        <v>2</v>
      </c>
      <c r="U403">
        <f t="shared" si="82"/>
        <v>0</v>
      </c>
      <c r="V403">
        <f t="shared" si="83"/>
        <v>1</v>
      </c>
      <c r="Y403" t="str">
        <f t="shared" si="84"/>
        <v>Kosovo</v>
      </c>
      <c r="Z403" s="104" t="str">
        <f t="shared" si="85"/>
        <v/>
      </c>
      <c r="AA403" s="104">
        <f t="shared" si="86"/>
        <v>1</v>
      </c>
      <c r="AB403" s="104">
        <f t="shared" si="87"/>
        <v>1</v>
      </c>
    </row>
    <row r="404" spans="1:28" x14ac:dyDescent="0.25">
      <c r="A404" s="55" t="s">
        <v>7083</v>
      </c>
      <c r="B404" s="57"/>
      <c r="C404" s="57"/>
      <c r="D404" s="57"/>
      <c r="E404" s="57">
        <v>3</v>
      </c>
      <c r="F404" s="57">
        <v>3</v>
      </c>
      <c r="G404" s="57"/>
      <c r="H404" s="57"/>
      <c r="I404" s="57"/>
      <c r="J404" s="57"/>
      <c r="K404" s="57"/>
      <c r="L404" s="57"/>
      <c r="M404" s="57"/>
      <c r="Q404">
        <f t="shared" si="78"/>
        <v>0</v>
      </c>
      <c r="R404">
        <f t="shared" si="79"/>
        <v>0</v>
      </c>
      <c r="S404">
        <f t="shared" si="80"/>
        <v>3</v>
      </c>
      <c r="T404">
        <f t="shared" si="81"/>
        <v>3</v>
      </c>
      <c r="U404">
        <f t="shared" si="82"/>
        <v>0</v>
      </c>
      <c r="V404">
        <f t="shared" si="83"/>
        <v>0</v>
      </c>
      <c r="Y404" t="str">
        <f t="shared" si="84"/>
        <v>Lebanon</v>
      </c>
      <c r="Z404" s="104" t="str">
        <f t="shared" si="85"/>
        <v/>
      </c>
      <c r="AA404" s="104">
        <f t="shared" si="86"/>
        <v>0.5</v>
      </c>
      <c r="AB404" s="104" t="str">
        <f t="shared" si="87"/>
        <v/>
      </c>
    </row>
    <row r="405" spans="1:28" x14ac:dyDescent="0.25">
      <c r="A405" s="55" t="s">
        <v>7194</v>
      </c>
      <c r="B405" s="57"/>
      <c r="C405" s="57"/>
      <c r="D405" s="57"/>
      <c r="E405" s="57"/>
      <c r="F405" s="57"/>
      <c r="G405" s="57"/>
      <c r="H405" s="57"/>
      <c r="I405" s="57">
        <v>1</v>
      </c>
      <c r="J405" s="57"/>
      <c r="K405" s="57"/>
      <c r="L405" s="57"/>
      <c r="M405" s="57"/>
      <c r="Q405">
        <f t="shared" si="78"/>
        <v>0</v>
      </c>
      <c r="R405">
        <f t="shared" si="79"/>
        <v>0</v>
      </c>
      <c r="S405">
        <f t="shared" si="80"/>
        <v>0</v>
      </c>
      <c r="T405">
        <f t="shared" si="81"/>
        <v>0</v>
      </c>
      <c r="U405">
        <f t="shared" si="82"/>
        <v>0</v>
      </c>
      <c r="V405">
        <f t="shared" si="83"/>
        <v>1</v>
      </c>
      <c r="Y405" t="str">
        <f t="shared" si="84"/>
        <v>Macedonia</v>
      </c>
      <c r="Z405" s="104" t="str">
        <f t="shared" si="85"/>
        <v/>
      </c>
      <c r="AA405" s="104" t="str">
        <f t="shared" si="86"/>
        <v/>
      </c>
      <c r="AB405" s="104">
        <f t="shared" si="87"/>
        <v>1</v>
      </c>
    </row>
    <row r="406" spans="1:28" x14ac:dyDescent="0.25">
      <c r="A406" s="55" t="s">
        <v>8140</v>
      </c>
      <c r="B406" s="57"/>
      <c r="C406" s="57"/>
      <c r="D406" s="57"/>
      <c r="E406" s="57"/>
      <c r="F406" s="57">
        <v>3</v>
      </c>
      <c r="G406" s="57"/>
      <c r="H406" s="57"/>
      <c r="I406" s="57"/>
      <c r="J406" s="57"/>
      <c r="K406" s="57"/>
      <c r="L406" s="57"/>
      <c r="M406" s="57"/>
      <c r="Q406">
        <f t="shared" si="78"/>
        <v>0</v>
      </c>
      <c r="R406">
        <f t="shared" si="79"/>
        <v>0</v>
      </c>
      <c r="S406">
        <f t="shared" si="80"/>
        <v>0</v>
      </c>
      <c r="T406">
        <f t="shared" si="81"/>
        <v>3</v>
      </c>
      <c r="U406">
        <f t="shared" si="82"/>
        <v>0</v>
      </c>
      <c r="V406">
        <f t="shared" si="83"/>
        <v>0</v>
      </c>
      <c r="Y406" t="str">
        <f t="shared" si="84"/>
        <v>Montenegro</v>
      </c>
      <c r="Z406" s="104" t="str">
        <f t="shared" si="85"/>
        <v/>
      </c>
      <c r="AA406" s="104">
        <f t="shared" si="86"/>
        <v>1</v>
      </c>
      <c r="AB406" s="104" t="str">
        <f t="shared" si="87"/>
        <v/>
      </c>
    </row>
    <row r="407" spans="1:28" x14ac:dyDescent="0.25">
      <c r="A407" s="55" t="s">
        <v>8180</v>
      </c>
      <c r="B407" s="57"/>
      <c r="C407" s="57"/>
      <c r="D407" s="57"/>
      <c r="E407" s="57"/>
      <c r="F407" s="57">
        <v>5</v>
      </c>
      <c r="G407" s="57"/>
      <c r="H407" s="57"/>
      <c r="I407" s="57"/>
      <c r="J407" s="57"/>
      <c r="K407" s="57"/>
      <c r="L407" s="57"/>
      <c r="M407" s="57"/>
      <c r="Q407">
        <f t="shared" si="78"/>
        <v>0</v>
      </c>
      <c r="R407">
        <f t="shared" si="79"/>
        <v>0</v>
      </c>
      <c r="S407">
        <f t="shared" si="80"/>
        <v>0</v>
      </c>
      <c r="T407">
        <f t="shared" si="81"/>
        <v>5</v>
      </c>
      <c r="U407">
        <f t="shared" si="82"/>
        <v>0</v>
      </c>
      <c r="V407">
        <f t="shared" si="83"/>
        <v>0</v>
      </c>
      <c r="Y407" t="str">
        <f t="shared" si="84"/>
        <v>Morocco</v>
      </c>
      <c r="Z407" s="104" t="str">
        <f t="shared" si="85"/>
        <v/>
      </c>
      <c r="AA407" s="104">
        <f t="shared" si="86"/>
        <v>1</v>
      </c>
      <c r="AB407" s="104" t="str">
        <f t="shared" si="87"/>
        <v/>
      </c>
    </row>
    <row r="408" spans="1:28" x14ac:dyDescent="0.25">
      <c r="A408" s="55" t="s">
        <v>9020</v>
      </c>
      <c r="B408" s="57"/>
      <c r="C408" s="57"/>
      <c r="D408" s="57"/>
      <c r="E408" s="57"/>
      <c r="F408" s="57"/>
      <c r="G408" s="57"/>
      <c r="H408" s="57"/>
      <c r="I408" s="57"/>
      <c r="J408" s="57"/>
      <c r="K408" s="57"/>
      <c r="L408" s="57"/>
      <c r="M408" s="57"/>
      <c r="Q408">
        <f t="shared" si="78"/>
        <v>0</v>
      </c>
      <c r="R408">
        <f t="shared" si="79"/>
        <v>0</v>
      </c>
      <c r="S408">
        <f t="shared" si="80"/>
        <v>0</v>
      </c>
      <c r="T408">
        <f t="shared" si="81"/>
        <v>0</v>
      </c>
      <c r="U408">
        <f t="shared" si="82"/>
        <v>0</v>
      </c>
      <c r="V408">
        <f t="shared" si="83"/>
        <v>0</v>
      </c>
      <c r="Y408" t="str">
        <f t="shared" si="84"/>
        <v>Netherlands</v>
      </c>
      <c r="Z408" s="104" t="str">
        <f t="shared" si="85"/>
        <v/>
      </c>
      <c r="AA408" s="104" t="str">
        <f t="shared" si="86"/>
        <v/>
      </c>
      <c r="AB408" s="104" t="str">
        <f t="shared" si="87"/>
        <v/>
      </c>
    </row>
    <row r="409" spans="1:28" x14ac:dyDescent="0.25">
      <c r="A409" s="55" t="s">
        <v>9409</v>
      </c>
      <c r="B409" s="57"/>
      <c r="C409" s="57"/>
      <c r="D409" s="57"/>
      <c r="E409" s="57"/>
      <c r="F409" s="57"/>
      <c r="G409" s="57"/>
      <c r="H409" s="57"/>
      <c r="I409" s="57">
        <v>1</v>
      </c>
      <c r="J409" s="57"/>
      <c r="K409" s="57"/>
      <c r="L409" s="57"/>
      <c r="M409" s="57"/>
      <c r="Q409">
        <f t="shared" si="78"/>
        <v>0</v>
      </c>
      <c r="R409">
        <f t="shared" si="79"/>
        <v>0</v>
      </c>
      <c r="S409">
        <f t="shared" si="80"/>
        <v>0</v>
      </c>
      <c r="T409">
        <f t="shared" si="81"/>
        <v>0</v>
      </c>
      <c r="U409">
        <f t="shared" si="82"/>
        <v>0</v>
      </c>
      <c r="V409">
        <f t="shared" si="83"/>
        <v>1</v>
      </c>
      <c r="Y409" t="str">
        <f t="shared" si="84"/>
        <v>Norway</v>
      </c>
      <c r="Z409" s="104" t="str">
        <f t="shared" si="85"/>
        <v/>
      </c>
      <c r="AA409" s="104" t="str">
        <f t="shared" si="86"/>
        <v/>
      </c>
      <c r="AB409" s="104">
        <f t="shared" si="87"/>
        <v>1</v>
      </c>
    </row>
    <row r="410" spans="1:28" x14ac:dyDescent="0.25">
      <c r="A410" s="55" t="s">
        <v>10350</v>
      </c>
      <c r="B410" s="57"/>
      <c r="C410" s="57"/>
      <c r="D410" s="57"/>
      <c r="E410" s="57"/>
      <c r="F410" s="57"/>
      <c r="G410" s="57"/>
      <c r="H410" s="57"/>
      <c r="I410" s="57"/>
      <c r="J410" s="57"/>
      <c r="K410" s="57"/>
      <c r="L410" s="57"/>
      <c r="M410" s="57"/>
      <c r="Q410">
        <f t="shared" si="78"/>
        <v>0</v>
      </c>
      <c r="R410">
        <f t="shared" si="79"/>
        <v>0</v>
      </c>
      <c r="S410">
        <f t="shared" si="80"/>
        <v>0</v>
      </c>
      <c r="T410">
        <f t="shared" si="81"/>
        <v>0</v>
      </c>
      <c r="U410">
        <f t="shared" si="82"/>
        <v>0</v>
      </c>
      <c r="V410">
        <f t="shared" si="83"/>
        <v>0</v>
      </c>
      <c r="Y410" t="str">
        <f t="shared" si="84"/>
        <v>Romania</v>
      </c>
      <c r="Z410" s="104" t="str">
        <f t="shared" si="85"/>
        <v/>
      </c>
      <c r="AA410" s="104" t="str">
        <f t="shared" si="86"/>
        <v/>
      </c>
      <c r="AB410" s="104" t="str">
        <f t="shared" si="87"/>
        <v/>
      </c>
    </row>
    <row r="411" spans="1:28" x14ac:dyDescent="0.25">
      <c r="A411" s="55" t="s">
        <v>10558</v>
      </c>
      <c r="B411" s="57"/>
      <c r="C411" s="57"/>
      <c r="D411" s="57"/>
      <c r="E411" s="57"/>
      <c r="F411" s="57">
        <v>6</v>
      </c>
      <c r="G411" s="57"/>
      <c r="H411" s="57"/>
      <c r="I411" s="57">
        <v>1</v>
      </c>
      <c r="J411" s="57"/>
      <c r="K411" s="57"/>
      <c r="L411" s="57"/>
      <c r="M411" s="57"/>
      <c r="Q411">
        <f t="shared" si="78"/>
        <v>0</v>
      </c>
      <c r="R411">
        <f t="shared" si="79"/>
        <v>0</v>
      </c>
      <c r="S411">
        <f t="shared" si="80"/>
        <v>0</v>
      </c>
      <c r="T411">
        <f t="shared" si="81"/>
        <v>6</v>
      </c>
      <c r="U411">
        <f t="shared" si="82"/>
        <v>0</v>
      </c>
      <c r="V411">
        <f t="shared" si="83"/>
        <v>1</v>
      </c>
      <c r="Y411" t="str">
        <f t="shared" si="84"/>
        <v>Serbia</v>
      </c>
      <c r="Z411" s="104" t="str">
        <f t="shared" si="85"/>
        <v/>
      </c>
      <c r="AA411" s="104">
        <f t="shared" si="86"/>
        <v>1</v>
      </c>
      <c r="AB411" s="104">
        <f t="shared" si="87"/>
        <v>1</v>
      </c>
    </row>
    <row r="412" spans="1:28" x14ac:dyDescent="0.25">
      <c r="A412" s="55" t="s">
        <v>11664</v>
      </c>
      <c r="B412" s="57"/>
      <c r="C412" s="57"/>
      <c r="D412" s="57"/>
      <c r="E412" s="57"/>
      <c r="F412" s="57"/>
      <c r="G412" s="57"/>
      <c r="H412" s="57"/>
      <c r="I412" s="57"/>
      <c r="J412" s="57"/>
      <c r="K412" s="57"/>
      <c r="L412" s="57"/>
      <c r="M412" s="57"/>
      <c r="Q412">
        <f t="shared" si="78"/>
        <v>0</v>
      </c>
      <c r="R412">
        <f t="shared" si="79"/>
        <v>0</v>
      </c>
      <c r="S412">
        <f t="shared" si="80"/>
        <v>0</v>
      </c>
      <c r="T412">
        <f t="shared" si="81"/>
        <v>0</v>
      </c>
      <c r="U412">
        <f t="shared" si="82"/>
        <v>0</v>
      </c>
      <c r="V412">
        <f t="shared" si="83"/>
        <v>0</v>
      </c>
      <c r="Y412" t="str">
        <f t="shared" si="84"/>
        <v>Switzerland</v>
      </c>
      <c r="Z412" s="104" t="str">
        <f t="shared" si="85"/>
        <v/>
      </c>
      <c r="AA412" s="104" t="str">
        <f t="shared" si="86"/>
        <v/>
      </c>
      <c r="AB412" s="104" t="str">
        <f t="shared" si="87"/>
        <v/>
      </c>
    </row>
    <row r="413" spans="1:28" x14ac:dyDescent="0.25">
      <c r="A413" s="55" t="s">
        <v>11693</v>
      </c>
      <c r="B413" s="57">
        <v>1</v>
      </c>
      <c r="C413" s="57"/>
      <c r="D413" s="57"/>
      <c r="E413" s="57"/>
      <c r="F413" s="57">
        <v>7</v>
      </c>
      <c r="G413" s="57"/>
      <c r="H413" s="57"/>
      <c r="I413" s="57"/>
      <c r="J413" s="57"/>
      <c r="K413" s="57">
        <v>3</v>
      </c>
      <c r="L413" s="57"/>
      <c r="M413" s="57"/>
      <c r="Q413">
        <f t="shared" si="78"/>
        <v>1</v>
      </c>
      <c r="R413">
        <f t="shared" si="79"/>
        <v>0</v>
      </c>
      <c r="S413">
        <f t="shared" si="80"/>
        <v>0</v>
      </c>
      <c r="T413">
        <f t="shared" si="81"/>
        <v>7</v>
      </c>
      <c r="U413">
        <f t="shared" si="82"/>
        <v>0</v>
      </c>
      <c r="V413">
        <f t="shared" si="83"/>
        <v>0</v>
      </c>
      <c r="Y413" t="str">
        <f t="shared" si="84"/>
        <v>Syria</v>
      </c>
      <c r="Z413" s="104">
        <f t="shared" si="85"/>
        <v>0</v>
      </c>
      <c r="AA413" s="104">
        <f t="shared" si="86"/>
        <v>1</v>
      </c>
      <c r="AB413" s="104" t="str">
        <f t="shared" si="87"/>
        <v/>
      </c>
    </row>
    <row r="414" spans="1:28" x14ac:dyDescent="0.25">
      <c r="A414" s="55" t="s">
        <v>12654</v>
      </c>
      <c r="B414" s="57"/>
      <c r="C414" s="57"/>
      <c r="D414" s="57"/>
      <c r="E414" s="57"/>
      <c r="F414" s="57"/>
      <c r="G414" s="57"/>
      <c r="H414" s="57"/>
      <c r="I414" s="57"/>
      <c r="J414" s="57"/>
      <c r="K414" s="57"/>
      <c r="L414" s="57"/>
      <c r="M414" s="57"/>
      <c r="Q414">
        <f t="shared" si="78"/>
        <v>0</v>
      </c>
      <c r="R414">
        <f t="shared" si="79"/>
        <v>0</v>
      </c>
      <c r="S414">
        <f t="shared" si="80"/>
        <v>0</v>
      </c>
      <c r="T414">
        <f t="shared" si="81"/>
        <v>0</v>
      </c>
      <c r="U414">
        <f t="shared" si="82"/>
        <v>0</v>
      </c>
      <c r="V414">
        <f t="shared" si="83"/>
        <v>0</v>
      </c>
      <c r="Y414" t="str">
        <f t="shared" si="84"/>
        <v>Turkey</v>
      </c>
      <c r="Z414" s="104" t="str">
        <f t="shared" si="85"/>
        <v/>
      </c>
      <c r="AA414" s="104" t="str">
        <f t="shared" si="86"/>
        <v/>
      </c>
      <c r="AB414" s="104" t="str">
        <f t="shared" si="87"/>
        <v/>
      </c>
    </row>
    <row r="415" spans="1:28" x14ac:dyDescent="0.25">
      <c r="A415" s="55" t="s">
        <v>12907</v>
      </c>
      <c r="B415" s="57"/>
      <c r="C415" s="57"/>
      <c r="D415" s="57"/>
      <c r="E415" s="57">
        <v>1</v>
      </c>
      <c r="F415" s="57"/>
      <c r="G415" s="57"/>
      <c r="H415" s="57"/>
      <c r="I415" s="57"/>
      <c r="J415" s="57"/>
      <c r="K415" s="57"/>
      <c r="L415" s="57"/>
      <c r="M415" s="57"/>
      <c r="Q415">
        <f t="shared" si="78"/>
        <v>0</v>
      </c>
      <c r="R415">
        <f t="shared" si="79"/>
        <v>0</v>
      </c>
      <c r="S415">
        <f t="shared" si="80"/>
        <v>1</v>
      </c>
      <c r="T415">
        <f t="shared" si="81"/>
        <v>0</v>
      </c>
      <c r="U415">
        <f t="shared" si="82"/>
        <v>0</v>
      </c>
      <c r="V415">
        <f t="shared" si="83"/>
        <v>0</v>
      </c>
      <c r="Y415" t="str">
        <f t="shared" si="84"/>
        <v>United Kingdom</v>
      </c>
      <c r="Z415" s="104" t="str">
        <f t="shared" si="85"/>
        <v/>
      </c>
      <c r="AA415" s="104">
        <f t="shared" si="86"/>
        <v>0</v>
      </c>
      <c r="AB415" s="104" t="str">
        <f t="shared" si="87"/>
        <v/>
      </c>
    </row>
    <row r="416" spans="1:28" x14ac:dyDescent="0.25">
      <c r="A416" s="55" t="s">
        <v>13710</v>
      </c>
      <c r="B416" s="57"/>
      <c r="C416" s="57"/>
      <c r="D416" s="57"/>
      <c r="E416" s="57"/>
      <c r="F416" s="57">
        <v>5</v>
      </c>
      <c r="G416" s="57"/>
      <c r="H416" s="57"/>
      <c r="I416" s="57">
        <v>2</v>
      </c>
      <c r="J416" s="57"/>
      <c r="K416" s="57"/>
      <c r="L416" s="57"/>
      <c r="M416" s="57"/>
      <c r="Q416">
        <f t="shared" si="78"/>
        <v>0</v>
      </c>
      <c r="R416">
        <f t="shared" si="79"/>
        <v>0</v>
      </c>
      <c r="S416">
        <f t="shared" si="80"/>
        <v>0</v>
      </c>
      <c r="T416">
        <f t="shared" si="81"/>
        <v>5</v>
      </c>
      <c r="U416">
        <f t="shared" si="82"/>
        <v>0</v>
      </c>
      <c r="V416">
        <f t="shared" si="83"/>
        <v>2</v>
      </c>
      <c r="Y416" t="str">
        <f t="shared" si="84"/>
        <v>West Bank and Gaza</v>
      </c>
      <c r="Z416" s="104" t="str">
        <f t="shared" si="85"/>
        <v/>
      </c>
      <c r="AA416" s="104">
        <f t="shared" si="86"/>
        <v>1</v>
      </c>
      <c r="AB416" s="104">
        <f t="shared" si="87"/>
        <v>1</v>
      </c>
    </row>
    <row r="417" spans="1:37" x14ac:dyDescent="0.25">
      <c r="A417" s="55" t="s">
        <v>13783</v>
      </c>
      <c r="B417" s="57">
        <v>16</v>
      </c>
      <c r="C417" s="57">
        <v>1</v>
      </c>
      <c r="D417" s="57"/>
      <c r="E417" s="57"/>
      <c r="F417" s="57"/>
      <c r="G417" s="57"/>
      <c r="H417" s="57"/>
      <c r="I417" s="57"/>
      <c r="J417" s="57"/>
      <c r="K417" s="57"/>
      <c r="L417" s="57"/>
      <c r="M417" s="57"/>
      <c r="Q417">
        <f t="shared" si="78"/>
        <v>16</v>
      </c>
      <c r="R417">
        <f t="shared" si="79"/>
        <v>1</v>
      </c>
      <c r="S417">
        <f t="shared" si="80"/>
        <v>0</v>
      </c>
      <c r="T417">
        <f t="shared" si="81"/>
        <v>0</v>
      </c>
      <c r="U417">
        <f t="shared" si="82"/>
        <v>0</v>
      </c>
      <c r="V417">
        <f t="shared" si="83"/>
        <v>0</v>
      </c>
      <c r="Y417" t="str">
        <f t="shared" si="84"/>
        <v>Yemen</v>
      </c>
      <c r="Z417" s="104">
        <f t="shared" si="85"/>
        <v>5.8823529411764705E-2</v>
      </c>
      <c r="AA417" s="104" t="str">
        <f t="shared" si="86"/>
        <v/>
      </c>
      <c r="AB417" s="104" t="str">
        <f t="shared" si="87"/>
        <v/>
      </c>
    </row>
    <row r="418" spans="1:37" x14ac:dyDescent="0.25">
      <c r="A418" s="50" t="s">
        <v>14281</v>
      </c>
      <c r="B418" s="57">
        <v>18</v>
      </c>
      <c r="C418" s="57">
        <v>1</v>
      </c>
      <c r="D418" s="57"/>
      <c r="E418" s="57">
        <v>8</v>
      </c>
      <c r="F418" s="57">
        <v>69</v>
      </c>
      <c r="G418" s="57"/>
      <c r="H418" s="57"/>
      <c r="I418" s="57">
        <v>30</v>
      </c>
      <c r="J418" s="57"/>
      <c r="K418" s="57">
        <v>3</v>
      </c>
      <c r="L418" s="57"/>
      <c r="M418" s="57"/>
      <c r="Q418">
        <f t="shared" si="78"/>
        <v>18</v>
      </c>
      <c r="R418">
        <f t="shared" si="79"/>
        <v>1</v>
      </c>
      <c r="S418">
        <f t="shared" si="80"/>
        <v>8</v>
      </c>
      <c r="T418">
        <f t="shared" si="81"/>
        <v>69</v>
      </c>
      <c r="U418">
        <f t="shared" si="82"/>
        <v>0</v>
      </c>
      <c r="V418">
        <f t="shared" si="83"/>
        <v>30</v>
      </c>
      <c r="Y418" t="str">
        <f t="shared" si="84"/>
        <v>Middle East, North Africa and Europe Total</v>
      </c>
      <c r="Z418" s="104">
        <f t="shared" si="85"/>
        <v>5.2631578947368418E-2</v>
      </c>
      <c r="AA418" s="104">
        <f t="shared" si="86"/>
        <v>0.89610389610389607</v>
      </c>
      <c r="AB418" s="104">
        <f t="shared" si="87"/>
        <v>1</v>
      </c>
    </row>
    <row r="419" spans="1:37" x14ac:dyDescent="0.25">
      <c r="A419" s="50" t="s">
        <v>12970</v>
      </c>
      <c r="B419" s="57"/>
      <c r="C419" s="57"/>
      <c r="D419" s="57"/>
      <c r="E419" s="57"/>
      <c r="F419" s="57"/>
      <c r="G419" s="57"/>
      <c r="H419" s="57"/>
      <c r="I419" s="57"/>
      <c r="J419" s="57"/>
      <c r="K419" s="57"/>
      <c r="L419" s="57"/>
      <c r="M419" s="57"/>
      <c r="Q419">
        <f t="shared" si="78"/>
        <v>0</v>
      </c>
      <c r="R419">
        <f t="shared" si="79"/>
        <v>0</v>
      </c>
      <c r="S419">
        <f t="shared" si="80"/>
        <v>0</v>
      </c>
      <c r="T419">
        <f t="shared" si="81"/>
        <v>0</v>
      </c>
      <c r="U419">
        <f t="shared" si="82"/>
        <v>0</v>
      </c>
      <c r="V419">
        <f t="shared" si="83"/>
        <v>0</v>
      </c>
      <c r="Y419" t="str">
        <f t="shared" si="84"/>
        <v>North America</v>
      </c>
      <c r="Z419" s="104" t="str">
        <f t="shared" si="85"/>
        <v/>
      </c>
      <c r="AA419" s="104" t="str">
        <f t="shared" si="86"/>
        <v/>
      </c>
      <c r="AB419" s="104" t="str">
        <f t="shared" si="87"/>
        <v/>
      </c>
    </row>
    <row r="420" spans="1:37" x14ac:dyDescent="0.25">
      <c r="A420" s="55" t="s">
        <v>12969</v>
      </c>
      <c r="B420" s="57"/>
      <c r="C420" s="57"/>
      <c r="D420" s="57"/>
      <c r="E420" s="57"/>
      <c r="F420" s="57"/>
      <c r="G420" s="57"/>
      <c r="H420" s="57"/>
      <c r="I420" s="57"/>
      <c r="J420" s="57"/>
      <c r="K420" s="57"/>
      <c r="L420" s="57"/>
      <c r="M420" s="57"/>
      <c r="Q420">
        <f t="shared" si="78"/>
        <v>0</v>
      </c>
      <c r="R420">
        <f t="shared" si="79"/>
        <v>0</v>
      </c>
      <c r="S420">
        <f t="shared" si="80"/>
        <v>0</v>
      </c>
      <c r="T420">
        <f t="shared" si="81"/>
        <v>0</v>
      </c>
      <c r="U420">
        <f t="shared" si="82"/>
        <v>0</v>
      </c>
      <c r="V420">
        <f t="shared" si="83"/>
        <v>0</v>
      </c>
      <c r="Y420" t="str">
        <f t="shared" si="84"/>
        <v>United States of America</v>
      </c>
      <c r="Z420" s="104" t="str">
        <f t="shared" si="85"/>
        <v/>
      </c>
      <c r="AA420" s="104" t="str">
        <f t="shared" si="86"/>
        <v/>
      </c>
      <c r="AB420" s="104" t="str">
        <f t="shared" si="87"/>
        <v/>
      </c>
    </row>
    <row r="421" spans="1:37" x14ac:dyDescent="0.25">
      <c r="A421" s="50" t="s">
        <v>14282</v>
      </c>
      <c r="B421" s="57"/>
      <c r="C421" s="57"/>
      <c r="D421" s="57"/>
      <c r="E421" s="57"/>
      <c r="F421" s="57"/>
      <c r="G421" s="57"/>
      <c r="H421" s="57"/>
      <c r="I421" s="57"/>
      <c r="J421" s="57"/>
      <c r="K421" s="57"/>
      <c r="L421" s="57"/>
      <c r="M421" s="57"/>
      <c r="Q421">
        <f t="shared" si="78"/>
        <v>0</v>
      </c>
      <c r="R421">
        <f t="shared" si="79"/>
        <v>0</v>
      </c>
      <c r="S421">
        <f t="shared" si="80"/>
        <v>0</v>
      </c>
      <c r="T421">
        <f t="shared" si="81"/>
        <v>0</v>
      </c>
      <c r="U421">
        <f t="shared" si="82"/>
        <v>0</v>
      </c>
      <c r="V421">
        <f t="shared" si="83"/>
        <v>0</v>
      </c>
      <c r="Y421" t="str">
        <f t="shared" si="84"/>
        <v>North America Total</v>
      </c>
      <c r="Z421" s="104" t="str">
        <f t="shared" si="85"/>
        <v/>
      </c>
      <c r="AA421" s="104" t="str">
        <f t="shared" si="86"/>
        <v/>
      </c>
      <c r="AB421" s="104" t="str">
        <f t="shared" si="87"/>
        <v/>
      </c>
    </row>
    <row r="422" spans="1:37" x14ac:dyDescent="0.25">
      <c r="A422" s="50" t="s">
        <v>14272</v>
      </c>
      <c r="B422" s="57">
        <v>36</v>
      </c>
      <c r="C422" s="57">
        <v>9</v>
      </c>
      <c r="D422" s="57"/>
      <c r="E422" s="57">
        <v>35</v>
      </c>
      <c r="F422" s="57">
        <v>571</v>
      </c>
      <c r="G422" s="57"/>
      <c r="H422" s="57">
        <v>7</v>
      </c>
      <c r="I422" s="57">
        <v>143</v>
      </c>
      <c r="J422" s="57"/>
      <c r="K422" s="57">
        <v>5</v>
      </c>
      <c r="L422" s="57">
        <v>1</v>
      </c>
      <c r="M422" s="57"/>
      <c r="Q422">
        <f t="shared" si="78"/>
        <v>36</v>
      </c>
      <c r="R422">
        <f t="shared" si="79"/>
        <v>9</v>
      </c>
      <c r="S422">
        <f t="shared" si="80"/>
        <v>35</v>
      </c>
      <c r="T422">
        <f t="shared" si="81"/>
        <v>571</v>
      </c>
      <c r="U422">
        <f t="shared" si="82"/>
        <v>7</v>
      </c>
      <c r="V422">
        <f t="shared" si="83"/>
        <v>143</v>
      </c>
      <c r="Y422" t="str">
        <f t="shared" si="84"/>
        <v>Grand Total</v>
      </c>
      <c r="Z422" s="104">
        <f t="shared" si="85"/>
        <v>0.2</v>
      </c>
      <c r="AA422" s="104">
        <f t="shared" si="86"/>
        <v>0.94224422442244227</v>
      </c>
      <c r="AB422" s="104">
        <f t="shared" si="87"/>
        <v>0.95333333333333337</v>
      </c>
    </row>
    <row r="423" spans="1:37" x14ac:dyDescent="0.25">
      <c r="Q423">
        <f t="shared" si="78"/>
        <v>0</v>
      </c>
      <c r="R423">
        <f t="shared" si="79"/>
        <v>0</v>
      </c>
      <c r="S423">
        <f t="shared" si="80"/>
        <v>0</v>
      </c>
      <c r="T423">
        <f t="shared" si="81"/>
        <v>0</v>
      </c>
      <c r="U423">
        <f t="shared" si="82"/>
        <v>0</v>
      </c>
      <c r="V423">
        <f t="shared" si="83"/>
        <v>0</v>
      </c>
      <c r="Y423">
        <f t="shared" si="84"/>
        <v>0</v>
      </c>
      <c r="Z423" s="104" t="str">
        <f t="shared" si="85"/>
        <v/>
      </c>
      <c r="AA423" s="104" t="str">
        <f t="shared" si="86"/>
        <v/>
      </c>
      <c r="AB423" s="104" t="str">
        <f t="shared" si="87"/>
        <v/>
      </c>
    </row>
    <row r="426" spans="1:37" x14ac:dyDescent="0.25">
      <c r="A426" s="49" t="s">
        <v>14550</v>
      </c>
      <c r="B426" s="49" t="s">
        <v>14283</v>
      </c>
    </row>
    <row r="427" spans="1:37" x14ac:dyDescent="0.25">
      <c r="B427" t="s">
        <v>723</v>
      </c>
      <c r="E427" t="s">
        <v>336</v>
      </c>
      <c r="H427" t="s">
        <v>621</v>
      </c>
      <c r="K427" t="s">
        <v>14275</v>
      </c>
      <c r="Q427" s="431" t="str">
        <f>A426</f>
        <v>Count of Governance Marker – CARE’s own accountability</v>
      </c>
      <c r="R427" s="431"/>
      <c r="S427" s="431"/>
      <c r="T427" s="431"/>
      <c r="U427" s="431"/>
      <c r="V427" s="431"/>
      <c r="W427" s="114"/>
      <c r="X427" s="114"/>
      <c r="Z427" s="431"/>
      <c r="AA427" s="431"/>
      <c r="AB427" s="431"/>
    </row>
    <row r="428" spans="1:37" x14ac:dyDescent="0.25">
      <c r="A428" s="49" t="s">
        <v>14283</v>
      </c>
      <c r="B428" t="s">
        <v>319</v>
      </c>
      <c r="C428" t="s">
        <v>320</v>
      </c>
      <c r="D428" t="s">
        <v>14275</v>
      </c>
      <c r="E428" t="s">
        <v>319</v>
      </c>
      <c r="F428" t="s">
        <v>320</v>
      </c>
      <c r="G428" t="s">
        <v>14275</v>
      </c>
      <c r="H428" t="s">
        <v>319</v>
      </c>
      <c r="I428" t="s">
        <v>320</v>
      </c>
      <c r="J428" t="s">
        <v>14275</v>
      </c>
      <c r="K428" t="s">
        <v>319</v>
      </c>
      <c r="L428" t="s">
        <v>320</v>
      </c>
      <c r="M428" t="s">
        <v>14275</v>
      </c>
      <c r="Q428" s="431" t="s">
        <v>14545</v>
      </c>
      <c r="R428" s="431"/>
      <c r="S428" s="431" t="s">
        <v>14546</v>
      </c>
      <c r="T428" s="431"/>
      <c r="U428" s="431" t="s">
        <v>14547</v>
      </c>
      <c r="V428" s="431"/>
      <c r="W428" s="115"/>
      <c r="X428" s="115"/>
      <c r="Y428" s="49"/>
      <c r="Z428" s="49" t="s">
        <v>14541</v>
      </c>
      <c r="AA428" s="49"/>
      <c r="AB428" s="49"/>
      <c r="AC428" s="49"/>
      <c r="AD428" s="49"/>
      <c r="AE428" s="49"/>
      <c r="AF428" s="49"/>
      <c r="AG428" s="49"/>
      <c r="AH428" s="49"/>
      <c r="AI428" s="49"/>
      <c r="AJ428" s="49"/>
      <c r="AK428" s="49"/>
    </row>
    <row r="429" spans="1:37" x14ac:dyDescent="0.25">
      <c r="A429" s="50" t="s">
        <v>1874</v>
      </c>
      <c r="B429" s="57"/>
      <c r="C429" s="57"/>
      <c r="D429" s="57"/>
      <c r="E429" s="57"/>
      <c r="F429" s="57"/>
      <c r="G429" s="57"/>
      <c r="H429" s="57"/>
      <c r="I429" s="57"/>
      <c r="J429" s="57"/>
      <c r="K429" s="57"/>
      <c r="L429" s="57"/>
      <c r="M429" s="57"/>
      <c r="Q429" s="114" t="s">
        <v>7463</v>
      </c>
      <c r="R429" s="114" t="s">
        <v>326</v>
      </c>
      <c r="S429" s="114" t="s">
        <v>7463</v>
      </c>
      <c r="T429" s="114" t="s">
        <v>326</v>
      </c>
      <c r="U429" s="114" t="s">
        <v>7463</v>
      </c>
      <c r="V429" s="114" t="s">
        <v>326</v>
      </c>
      <c r="W429" s="114"/>
      <c r="X429" s="114"/>
      <c r="Z429" s="114" t="str">
        <f>Q428</f>
        <v>Governance blind</v>
      </c>
      <c r="AA429" s="114" t="str">
        <f>S428</f>
        <v>Within existing structures</v>
      </c>
      <c r="AB429" s="114" t="str">
        <f>U428</f>
        <v>Challenged existing structures</v>
      </c>
    </row>
    <row r="430" spans="1:37" x14ac:dyDescent="0.25">
      <c r="A430" s="55" t="s">
        <v>1873</v>
      </c>
      <c r="B430" s="57">
        <v>1</v>
      </c>
      <c r="C430" s="57">
        <v>2</v>
      </c>
      <c r="D430" s="57"/>
      <c r="E430" s="57">
        <v>6</v>
      </c>
      <c r="F430" s="57">
        <v>3</v>
      </c>
      <c r="G430" s="57"/>
      <c r="H430" s="57"/>
      <c r="I430" s="57">
        <v>2</v>
      </c>
      <c r="J430" s="57"/>
      <c r="K430" s="57"/>
      <c r="L430" s="57"/>
      <c r="M430" s="57"/>
      <c r="Q430">
        <f t="shared" ref="Q430:Q461" si="88">B430</f>
        <v>1</v>
      </c>
      <c r="R430">
        <f t="shared" ref="R430:R461" si="89">C430</f>
        <v>2</v>
      </c>
      <c r="S430">
        <f t="shared" ref="S430:S461" si="90">E430</f>
        <v>6</v>
      </c>
      <c r="T430">
        <f t="shared" ref="T430:T461" si="91">F430</f>
        <v>3</v>
      </c>
      <c r="U430">
        <f t="shared" ref="U430:U461" si="92">H430</f>
        <v>0</v>
      </c>
      <c r="V430">
        <f t="shared" ref="V430:V461" si="93">I430</f>
        <v>2</v>
      </c>
      <c r="Y430" t="str">
        <f t="shared" ref="Y430:Y461" si="94">A430</f>
        <v>Burundi</v>
      </c>
      <c r="Z430" s="104">
        <f>IFERROR(R430/(SUM($Q430:$R430)),"")</f>
        <v>0.66666666666666663</v>
      </c>
      <c r="AA430" s="104">
        <f>IFERROR(T430/(SUM($S430:$T430)),"")</f>
        <v>0.33333333333333331</v>
      </c>
      <c r="AB430" s="104">
        <f>IFERROR(V430/(SUM($U430:$V430)),"")</f>
        <v>1</v>
      </c>
    </row>
    <row r="431" spans="1:37" x14ac:dyDescent="0.25">
      <c r="A431" s="55" t="s">
        <v>3868</v>
      </c>
      <c r="B431" s="57"/>
      <c r="C431" s="57"/>
      <c r="D431" s="57"/>
      <c r="E431" s="57">
        <v>1</v>
      </c>
      <c r="F431" s="57">
        <v>26</v>
      </c>
      <c r="G431" s="57"/>
      <c r="H431" s="57"/>
      <c r="I431" s="57">
        <v>2</v>
      </c>
      <c r="J431" s="57"/>
      <c r="K431" s="57"/>
      <c r="L431" s="57"/>
      <c r="M431" s="57"/>
      <c r="Q431">
        <f t="shared" si="88"/>
        <v>0</v>
      </c>
      <c r="R431">
        <f t="shared" si="89"/>
        <v>0</v>
      </c>
      <c r="S431">
        <f t="shared" si="90"/>
        <v>1</v>
      </c>
      <c r="T431">
        <f t="shared" si="91"/>
        <v>26</v>
      </c>
      <c r="U431">
        <f t="shared" si="92"/>
        <v>0</v>
      </c>
      <c r="V431">
        <f t="shared" si="93"/>
        <v>2</v>
      </c>
      <c r="Y431" t="str">
        <f t="shared" si="94"/>
        <v>Ethiopia</v>
      </c>
      <c r="Z431" s="104" t="str">
        <f t="shared" ref="Z431:Z494" si="95">IFERROR(R431/(SUM($Q431:$R431)),"")</f>
        <v/>
      </c>
      <c r="AA431" s="104">
        <f t="shared" ref="AA431:AA494" si="96">IFERROR(T431/(SUM($S431:$T431)),"")</f>
        <v>0.96296296296296291</v>
      </c>
      <c r="AB431" s="104">
        <f t="shared" ref="AB431:AB494" si="97">IFERROR(V431/(SUM($U431:$V431)),"")</f>
        <v>1</v>
      </c>
    </row>
    <row r="432" spans="1:37" x14ac:dyDescent="0.25">
      <c r="A432" s="55" t="s">
        <v>6457</v>
      </c>
      <c r="B432" s="57"/>
      <c r="C432" s="57"/>
      <c r="D432" s="57"/>
      <c r="E432" s="57">
        <v>2</v>
      </c>
      <c r="F432" s="57">
        <v>20</v>
      </c>
      <c r="G432" s="57"/>
      <c r="H432" s="57"/>
      <c r="I432" s="57">
        <v>1</v>
      </c>
      <c r="J432" s="57"/>
      <c r="K432" s="57"/>
      <c r="L432" s="57"/>
      <c r="M432" s="57"/>
      <c r="Q432">
        <f t="shared" si="88"/>
        <v>0</v>
      </c>
      <c r="R432">
        <f t="shared" si="89"/>
        <v>0</v>
      </c>
      <c r="S432">
        <f t="shared" si="90"/>
        <v>2</v>
      </c>
      <c r="T432">
        <f t="shared" si="91"/>
        <v>20</v>
      </c>
      <c r="U432">
        <f t="shared" si="92"/>
        <v>0</v>
      </c>
      <c r="V432">
        <f t="shared" si="93"/>
        <v>1</v>
      </c>
      <c r="Y432" t="str">
        <f t="shared" si="94"/>
        <v>Kenya</v>
      </c>
      <c r="Z432" s="104" t="str">
        <f t="shared" si="95"/>
        <v/>
      </c>
      <c r="AA432" s="104">
        <f t="shared" si="96"/>
        <v>0.90909090909090906</v>
      </c>
      <c r="AB432" s="104">
        <f t="shared" si="97"/>
        <v>1</v>
      </c>
    </row>
    <row r="433" spans="1:28" x14ac:dyDescent="0.25">
      <c r="A433" s="55" t="s">
        <v>10371</v>
      </c>
      <c r="B433" s="57"/>
      <c r="C433" s="57"/>
      <c r="D433" s="57"/>
      <c r="E433" s="57"/>
      <c r="F433" s="57">
        <v>5</v>
      </c>
      <c r="G433" s="57"/>
      <c r="H433" s="57">
        <v>1</v>
      </c>
      <c r="I433" s="57">
        <v>1</v>
      </c>
      <c r="J433" s="57"/>
      <c r="K433" s="57"/>
      <c r="L433" s="57"/>
      <c r="M433" s="57"/>
      <c r="Q433">
        <f t="shared" si="88"/>
        <v>0</v>
      </c>
      <c r="R433">
        <f t="shared" si="89"/>
        <v>0</v>
      </c>
      <c r="S433">
        <f t="shared" si="90"/>
        <v>0</v>
      </c>
      <c r="T433">
        <f t="shared" si="91"/>
        <v>5</v>
      </c>
      <c r="U433">
        <f t="shared" si="92"/>
        <v>1</v>
      </c>
      <c r="V433">
        <f t="shared" si="93"/>
        <v>1</v>
      </c>
      <c r="Y433" t="str">
        <f t="shared" si="94"/>
        <v>Rwanda</v>
      </c>
      <c r="Z433" s="104" t="str">
        <f t="shared" si="95"/>
        <v/>
      </c>
      <c r="AA433" s="104">
        <f t="shared" si="96"/>
        <v>1</v>
      </c>
      <c r="AB433" s="104">
        <f t="shared" si="97"/>
        <v>0.5</v>
      </c>
    </row>
    <row r="434" spans="1:28" x14ac:dyDescent="0.25">
      <c r="A434" s="55" t="s">
        <v>10685</v>
      </c>
      <c r="B434" s="57"/>
      <c r="C434" s="57"/>
      <c r="D434" s="57"/>
      <c r="E434" s="57"/>
      <c r="F434" s="57">
        <v>28</v>
      </c>
      <c r="G434" s="57"/>
      <c r="H434" s="57"/>
      <c r="I434" s="57">
        <v>4</v>
      </c>
      <c r="J434" s="57"/>
      <c r="K434" s="57"/>
      <c r="L434" s="57"/>
      <c r="M434" s="57"/>
      <c r="Q434">
        <f t="shared" si="88"/>
        <v>0</v>
      </c>
      <c r="R434">
        <f t="shared" si="89"/>
        <v>0</v>
      </c>
      <c r="S434">
        <f t="shared" si="90"/>
        <v>0</v>
      </c>
      <c r="T434">
        <f t="shared" si="91"/>
        <v>28</v>
      </c>
      <c r="U434">
        <f t="shared" si="92"/>
        <v>0</v>
      </c>
      <c r="V434">
        <f t="shared" si="93"/>
        <v>4</v>
      </c>
      <c r="Y434" t="str">
        <f t="shared" si="94"/>
        <v>Somalia</v>
      </c>
      <c r="Z434" s="104" t="str">
        <f t="shared" si="95"/>
        <v/>
      </c>
      <c r="AA434" s="104">
        <f t="shared" si="96"/>
        <v>1</v>
      </c>
      <c r="AB434" s="104">
        <f t="shared" si="97"/>
        <v>1</v>
      </c>
    </row>
    <row r="435" spans="1:28" x14ac:dyDescent="0.25">
      <c r="A435" s="55" t="s">
        <v>11104</v>
      </c>
      <c r="B435" s="57"/>
      <c r="C435" s="57"/>
      <c r="D435" s="57"/>
      <c r="E435" s="57"/>
      <c r="F435" s="57">
        <v>20</v>
      </c>
      <c r="G435" s="57"/>
      <c r="H435" s="57"/>
      <c r="I435" s="57">
        <v>1</v>
      </c>
      <c r="J435" s="57"/>
      <c r="K435" s="57"/>
      <c r="L435" s="57"/>
      <c r="M435" s="57"/>
      <c r="Q435">
        <f t="shared" si="88"/>
        <v>0</v>
      </c>
      <c r="R435">
        <f t="shared" si="89"/>
        <v>0</v>
      </c>
      <c r="S435">
        <f t="shared" si="90"/>
        <v>0</v>
      </c>
      <c r="T435">
        <f t="shared" si="91"/>
        <v>20</v>
      </c>
      <c r="U435">
        <f t="shared" si="92"/>
        <v>0</v>
      </c>
      <c r="V435">
        <f t="shared" si="93"/>
        <v>1</v>
      </c>
      <c r="Y435" t="str">
        <f t="shared" si="94"/>
        <v>South Sudan</v>
      </c>
      <c r="Z435" s="104" t="str">
        <f t="shared" si="95"/>
        <v/>
      </c>
      <c r="AA435" s="104">
        <f t="shared" si="96"/>
        <v>1</v>
      </c>
      <c r="AB435" s="104">
        <f t="shared" si="97"/>
        <v>1</v>
      </c>
    </row>
    <row r="436" spans="1:28" x14ac:dyDescent="0.25">
      <c r="A436" s="55" t="s">
        <v>11417</v>
      </c>
      <c r="B436" s="57"/>
      <c r="C436" s="57"/>
      <c r="D436" s="57"/>
      <c r="E436" s="57">
        <v>1</v>
      </c>
      <c r="F436" s="57">
        <v>13</v>
      </c>
      <c r="G436" s="57"/>
      <c r="H436" s="57">
        <v>1</v>
      </c>
      <c r="I436" s="57">
        <v>3</v>
      </c>
      <c r="J436" s="57"/>
      <c r="K436" s="57"/>
      <c r="L436" s="57"/>
      <c r="M436" s="57"/>
      <c r="Q436">
        <f t="shared" si="88"/>
        <v>0</v>
      </c>
      <c r="R436">
        <f t="shared" si="89"/>
        <v>0</v>
      </c>
      <c r="S436">
        <f t="shared" si="90"/>
        <v>1</v>
      </c>
      <c r="T436">
        <f t="shared" si="91"/>
        <v>13</v>
      </c>
      <c r="U436">
        <f t="shared" si="92"/>
        <v>1</v>
      </c>
      <c r="V436">
        <f t="shared" si="93"/>
        <v>3</v>
      </c>
      <c r="Y436" t="str">
        <f t="shared" si="94"/>
        <v>Sudan</v>
      </c>
      <c r="Z436" s="104" t="str">
        <f t="shared" si="95"/>
        <v/>
      </c>
      <c r="AA436" s="104">
        <f t="shared" si="96"/>
        <v>0.9285714285714286</v>
      </c>
      <c r="AB436" s="104">
        <f t="shared" si="97"/>
        <v>0.75</v>
      </c>
    </row>
    <row r="437" spans="1:28" x14ac:dyDescent="0.25">
      <c r="A437" s="55" t="s">
        <v>12694</v>
      </c>
      <c r="B437" s="57"/>
      <c r="C437" s="57">
        <v>1</v>
      </c>
      <c r="D437" s="57"/>
      <c r="E437" s="57"/>
      <c r="F437" s="57">
        <v>9</v>
      </c>
      <c r="G437" s="57"/>
      <c r="H437" s="57"/>
      <c r="I437" s="57">
        <v>3</v>
      </c>
      <c r="J437" s="57"/>
      <c r="K437" s="57"/>
      <c r="L437" s="57"/>
      <c r="M437" s="57"/>
      <c r="Q437">
        <f t="shared" si="88"/>
        <v>0</v>
      </c>
      <c r="R437">
        <f t="shared" si="89"/>
        <v>1</v>
      </c>
      <c r="S437">
        <f t="shared" si="90"/>
        <v>0</v>
      </c>
      <c r="T437">
        <f t="shared" si="91"/>
        <v>9</v>
      </c>
      <c r="U437">
        <f t="shared" si="92"/>
        <v>0</v>
      </c>
      <c r="V437">
        <f t="shared" si="93"/>
        <v>3</v>
      </c>
      <c r="Y437" t="str">
        <f t="shared" si="94"/>
        <v>Uganda</v>
      </c>
      <c r="Z437" s="104">
        <f t="shared" si="95"/>
        <v>1</v>
      </c>
      <c r="AA437" s="104">
        <f t="shared" si="96"/>
        <v>1</v>
      </c>
      <c r="AB437" s="104">
        <f t="shared" si="97"/>
        <v>1</v>
      </c>
    </row>
    <row r="438" spans="1:28" x14ac:dyDescent="0.25">
      <c r="A438" s="55" t="s">
        <v>14322</v>
      </c>
      <c r="B438" s="57"/>
      <c r="C438" s="57"/>
      <c r="D438" s="57"/>
      <c r="E438" s="57"/>
      <c r="F438" s="57">
        <v>3</v>
      </c>
      <c r="G438" s="57"/>
      <c r="H438" s="57"/>
      <c r="I438" s="57">
        <v>1</v>
      </c>
      <c r="J438" s="57"/>
      <c r="K438" s="57"/>
      <c r="L438" s="57"/>
      <c r="M438" s="57"/>
      <c r="Q438">
        <f t="shared" si="88"/>
        <v>0</v>
      </c>
      <c r="R438">
        <f t="shared" si="89"/>
        <v>0</v>
      </c>
      <c r="S438">
        <f t="shared" si="90"/>
        <v>0</v>
      </c>
      <c r="T438">
        <f t="shared" si="91"/>
        <v>3</v>
      </c>
      <c r="U438">
        <f t="shared" si="92"/>
        <v>0</v>
      </c>
      <c r="V438">
        <f t="shared" si="93"/>
        <v>1</v>
      </c>
      <c r="Y438" t="str">
        <f t="shared" si="94"/>
        <v>DRC</v>
      </c>
      <c r="Z438" s="104" t="str">
        <f t="shared" si="95"/>
        <v/>
      </c>
      <c r="AA438" s="104">
        <f t="shared" si="96"/>
        <v>1</v>
      </c>
      <c r="AB438" s="104">
        <f t="shared" si="97"/>
        <v>1</v>
      </c>
    </row>
    <row r="439" spans="1:28" x14ac:dyDescent="0.25">
      <c r="A439" s="50" t="s">
        <v>14276</v>
      </c>
      <c r="B439" s="57">
        <v>1</v>
      </c>
      <c r="C439" s="57">
        <v>3</v>
      </c>
      <c r="D439" s="57"/>
      <c r="E439" s="57">
        <v>10</v>
      </c>
      <c r="F439" s="57">
        <v>127</v>
      </c>
      <c r="G439" s="57"/>
      <c r="H439" s="57">
        <v>2</v>
      </c>
      <c r="I439" s="57">
        <v>18</v>
      </c>
      <c r="J439" s="57"/>
      <c r="K439" s="57"/>
      <c r="L439" s="57"/>
      <c r="M439" s="57"/>
      <c r="Q439">
        <f t="shared" si="88"/>
        <v>1</v>
      </c>
      <c r="R439">
        <f t="shared" si="89"/>
        <v>3</v>
      </c>
      <c r="S439">
        <f t="shared" si="90"/>
        <v>10</v>
      </c>
      <c r="T439">
        <f t="shared" si="91"/>
        <v>127</v>
      </c>
      <c r="U439">
        <f t="shared" si="92"/>
        <v>2</v>
      </c>
      <c r="V439">
        <f t="shared" si="93"/>
        <v>18</v>
      </c>
      <c r="Y439" t="str">
        <f t="shared" si="94"/>
        <v>Africa - East and Central Total</v>
      </c>
      <c r="Z439" s="104">
        <f t="shared" si="95"/>
        <v>0.75</v>
      </c>
      <c r="AA439" s="104">
        <f t="shared" si="96"/>
        <v>0.92700729927007297</v>
      </c>
      <c r="AB439" s="104">
        <f t="shared" si="97"/>
        <v>0.9</v>
      </c>
    </row>
    <row r="440" spans="1:28" x14ac:dyDescent="0.25">
      <c r="A440" s="50" t="s">
        <v>7217</v>
      </c>
      <c r="B440" s="57"/>
      <c r="C440" s="57"/>
      <c r="D440" s="57"/>
      <c r="E440" s="57"/>
      <c r="F440" s="57"/>
      <c r="G440" s="57"/>
      <c r="H440" s="57"/>
      <c r="I440" s="57"/>
      <c r="J440" s="57"/>
      <c r="K440" s="57"/>
      <c r="L440" s="57"/>
      <c r="M440" s="57"/>
      <c r="Q440">
        <f t="shared" si="88"/>
        <v>0</v>
      </c>
      <c r="R440">
        <f t="shared" si="89"/>
        <v>0</v>
      </c>
      <c r="S440">
        <f t="shared" si="90"/>
        <v>0</v>
      </c>
      <c r="T440">
        <f t="shared" si="91"/>
        <v>0</v>
      </c>
      <c r="U440">
        <f t="shared" si="92"/>
        <v>0</v>
      </c>
      <c r="V440">
        <f t="shared" si="93"/>
        <v>0</v>
      </c>
      <c r="Y440" t="str">
        <f t="shared" si="94"/>
        <v>Africa - Southern</v>
      </c>
      <c r="Z440" s="104" t="str">
        <f t="shared" si="95"/>
        <v/>
      </c>
      <c r="AA440" s="104" t="str">
        <f t="shared" si="96"/>
        <v/>
      </c>
      <c r="AB440" s="104" t="str">
        <f t="shared" si="97"/>
        <v/>
      </c>
    </row>
    <row r="441" spans="1:28" x14ac:dyDescent="0.25">
      <c r="A441" s="55" t="s">
        <v>7216</v>
      </c>
      <c r="B441" s="57"/>
      <c r="C441" s="57"/>
      <c r="D441" s="57"/>
      <c r="E441" s="57"/>
      <c r="F441" s="57">
        <v>10</v>
      </c>
      <c r="G441" s="57"/>
      <c r="H441" s="57"/>
      <c r="I441" s="57"/>
      <c r="J441" s="57"/>
      <c r="K441" s="57"/>
      <c r="L441" s="57"/>
      <c r="M441" s="57"/>
      <c r="Q441">
        <f t="shared" si="88"/>
        <v>0</v>
      </c>
      <c r="R441">
        <f t="shared" si="89"/>
        <v>0</v>
      </c>
      <c r="S441">
        <f t="shared" si="90"/>
        <v>0</v>
      </c>
      <c r="T441">
        <f t="shared" si="91"/>
        <v>10</v>
      </c>
      <c r="U441">
        <f t="shared" si="92"/>
        <v>0</v>
      </c>
      <c r="V441">
        <f t="shared" si="93"/>
        <v>0</v>
      </c>
      <c r="Y441" t="str">
        <f t="shared" si="94"/>
        <v>Madagascar</v>
      </c>
      <c r="Z441" s="104" t="str">
        <f t="shared" si="95"/>
        <v/>
      </c>
      <c r="AA441" s="104">
        <f t="shared" si="96"/>
        <v>1</v>
      </c>
      <c r="AB441" s="104" t="str">
        <f t="shared" si="97"/>
        <v/>
      </c>
    </row>
    <row r="442" spans="1:28" x14ac:dyDescent="0.25">
      <c r="A442" s="55" t="s">
        <v>7451</v>
      </c>
      <c r="B442" s="57"/>
      <c r="C442" s="57"/>
      <c r="D442" s="57"/>
      <c r="E442" s="57">
        <v>5</v>
      </c>
      <c r="F442" s="57">
        <v>16</v>
      </c>
      <c r="G442" s="57"/>
      <c r="H442" s="57">
        <v>1</v>
      </c>
      <c r="I442" s="57">
        <v>1</v>
      </c>
      <c r="J442" s="57"/>
      <c r="K442" s="57"/>
      <c r="L442" s="57"/>
      <c r="M442" s="57"/>
      <c r="Q442">
        <f t="shared" si="88"/>
        <v>0</v>
      </c>
      <c r="R442">
        <f t="shared" si="89"/>
        <v>0</v>
      </c>
      <c r="S442">
        <f t="shared" si="90"/>
        <v>5</v>
      </c>
      <c r="T442">
        <f t="shared" si="91"/>
        <v>16</v>
      </c>
      <c r="U442">
        <f t="shared" si="92"/>
        <v>1</v>
      </c>
      <c r="V442">
        <f t="shared" si="93"/>
        <v>1</v>
      </c>
      <c r="Y442" t="str">
        <f t="shared" si="94"/>
        <v>Malawi</v>
      </c>
      <c r="Z442" s="104" t="str">
        <f t="shared" si="95"/>
        <v/>
      </c>
      <c r="AA442" s="104">
        <f t="shared" si="96"/>
        <v>0.76190476190476186</v>
      </c>
      <c r="AB442" s="104">
        <f t="shared" si="97"/>
        <v>0.5</v>
      </c>
    </row>
    <row r="443" spans="1:28" x14ac:dyDescent="0.25">
      <c r="A443" s="55" t="s">
        <v>8265</v>
      </c>
      <c r="B443" s="57"/>
      <c r="C443" s="57"/>
      <c r="D443" s="57"/>
      <c r="E443" s="57">
        <v>1</v>
      </c>
      <c r="F443" s="57">
        <v>6</v>
      </c>
      <c r="G443" s="57"/>
      <c r="H443" s="57">
        <v>1</v>
      </c>
      <c r="I443" s="57">
        <v>2</v>
      </c>
      <c r="J443" s="57"/>
      <c r="K443" s="57"/>
      <c r="L443" s="57"/>
      <c r="M443" s="57"/>
      <c r="Q443">
        <f t="shared" si="88"/>
        <v>0</v>
      </c>
      <c r="R443">
        <f t="shared" si="89"/>
        <v>0</v>
      </c>
      <c r="S443">
        <f t="shared" si="90"/>
        <v>1</v>
      </c>
      <c r="T443">
        <f t="shared" si="91"/>
        <v>6</v>
      </c>
      <c r="U443">
        <f t="shared" si="92"/>
        <v>1</v>
      </c>
      <c r="V443">
        <f t="shared" si="93"/>
        <v>2</v>
      </c>
      <c r="Y443" t="str">
        <f t="shared" si="94"/>
        <v>Mozambique</v>
      </c>
      <c r="Z443" s="104" t="str">
        <f t="shared" si="95"/>
        <v/>
      </c>
      <c r="AA443" s="104">
        <f t="shared" si="96"/>
        <v>0.8571428571428571</v>
      </c>
      <c r="AB443" s="104">
        <f t="shared" si="97"/>
        <v>0.66666666666666663</v>
      </c>
    </row>
    <row r="444" spans="1:28" x14ac:dyDescent="0.25">
      <c r="A444" s="55" t="s">
        <v>11102</v>
      </c>
      <c r="B444" s="57"/>
      <c r="C444" s="57"/>
      <c r="D444" s="57"/>
      <c r="E444" s="57"/>
      <c r="F444" s="57"/>
      <c r="G444" s="57"/>
      <c r="H444" s="57"/>
      <c r="I444" s="57"/>
      <c r="J444" s="57"/>
      <c r="K444" s="57"/>
      <c r="L444" s="57"/>
      <c r="M444" s="57"/>
      <c r="Q444">
        <f t="shared" si="88"/>
        <v>0</v>
      </c>
      <c r="R444">
        <f t="shared" si="89"/>
        <v>0</v>
      </c>
      <c r="S444">
        <f t="shared" si="90"/>
        <v>0</v>
      </c>
      <c r="T444">
        <f t="shared" si="91"/>
        <v>0</v>
      </c>
      <c r="U444">
        <f t="shared" si="92"/>
        <v>0</v>
      </c>
      <c r="V444">
        <f t="shared" si="93"/>
        <v>0</v>
      </c>
      <c r="Y444" t="str">
        <f t="shared" si="94"/>
        <v>South Africa</v>
      </c>
      <c r="Z444" s="104" t="str">
        <f t="shared" si="95"/>
        <v/>
      </c>
      <c r="AA444" s="104" t="str">
        <f t="shared" si="96"/>
        <v/>
      </c>
      <c r="AB444" s="104" t="str">
        <f t="shared" si="97"/>
        <v/>
      </c>
    </row>
    <row r="445" spans="1:28" x14ac:dyDescent="0.25">
      <c r="A445" s="55" t="s">
        <v>12090</v>
      </c>
      <c r="B445" s="57"/>
      <c r="C445" s="57"/>
      <c r="D445" s="57"/>
      <c r="E445" s="57">
        <v>1</v>
      </c>
      <c r="F445" s="57">
        <v>8</v>
      </c>
      <c r="G445" s="57"/>
      <c r="H445" s="57"/>
      <c r="I445" s="57">
        <v>2</v>
      </c>
      <c r="J445" s="57"/>
      <c r="K445" s="57"/>
      <c r="L445" s="57"/>
      <c r="M445" s="57"/>
      <c r="Q445">
        <f t="shared" si="88"/>
        <v>0</v>
      </c>
      <c r="R445">
        <f t="shared" si="89"/>
        <v>0</v>
      </c>
      <c r="S445">
        <f t="shared" si="90"/>
        <v>1</v>
      </c>
      <c r="T445">
        <f t="shared" si="91"/>
        <v>8</v>
      </c>
      <c r="U445">
        <f t="shared" si="92"/>
        <v>0</v>
      </c>
      <c r="V445">
        <f t="shared" si="93"/>
        <v>2</v>
      </c>
      <c r="Y445" t="str">
        <f t="shared" si="94"/>
        <v>Tanzania</v>
      </c>
      <c r="Z445" s="104" t="str">
        <f t="shared" si="95"/>
        <v/>
      </c>
      <c r="AA445" s="104">
        <f t="shared" si="96"/>
        <v>0.88888888888888884</v>
      </c>
      <c r="AB445" s="104">
        <f t="shared" si="97"/>
        <v>1</v>
      </c>
    </row>
    <row r="446" spans="1:28" x14ac:dyDescent="0.25">
      <c r="A446" s="55" t="s">
        <v>13917</v>
      </c>
      <c r="B446" s="57"/>
      <c r="C446" s="57"/>
      <c r="D446" s="57"/>
      <c r="E446" s="57">
        <v>1</v>
      </c>
      <c r="F446" s="57">
        <v>4</v>
      </c>
      <c r="G446" s="57"/>
      <c r="H446" s="57"/>
      <c r="I446" s="57"/>
      <c r="J446" s="57"/>
      <c r="K446" s="57"/>
      <c r="L446" s="57"/>
      <c r="M446" s="57"/>
      <c r="Q446">
        <f t="shared" si="88"/>
        <v>0</v>
      </c>
      <c r="R446">
        <f t="shared" si="89"/>
        <v>0</v>
      </c>
      <c r="S446">
        <f t="shared" si="90"/>
        <v>1</v>
      </c>
      <c r="T446">
        <f t="shared" si="91"/>
        <v>4</v>
      </c>
      <c r="U446">
        <f t="shared" si="92"/>
        <v>0</v>
      </c>
      <c r="V446">
        <f t="shared" si="93"/>
        <v>0</v>
      </c>
      <c r="Y446" t="str">
        <f t="shared" si="94"/>
        <v>Zambia</v>
      </c>
      <c r="Z446" s="104" t="str">
        <f t="shared" si="95"/>
        <v/>
      </c>
      <c r="AA446" s="104">
        <f t="shared" si="96"/>
        <v>0.8</v>
      </c>
      <c r="AB446" s="104" t="str">
        <f t="shared" si="97"/>
        <v/>
      </c>
    </row>
    <row r="447" spans="1:28" x14ac:dyDescent="0.25">
      <c r="A447" s="55" t="s">
        <v>14016</v>
      </c>
      <c r="B447" s="57"/>
      <c r="C447" s="57"/>
      <c r="D447" s="57"/>
      <c r="E447" s="57">
        <v>3</v>
      </c>
      <c r="F447" s="57">
        <v>9</v>
      </c>
      <c r="G447" s="57"/>
      <c r="H447" s="57"/>
      <c r="I447" s="57">
        <v>3</v>
      </c>
      <c r="J447" s="57"/>
      <c r="K447" s="57"/>
      <c r="L447" s="57"/>
      <c r="M447" s="57"/>
      <c r="Q447">
        <f t="shared" si="88"/>
        <v>0</v>
      </c>
      <c r="R447">
        <f t="shared" si="89"/>
        <v>0</v>
      </c>
      <c r="S447">
        <f t="shared" si="90"/>
        <v>3</v>
      </c>
      <c r="T447">
        <f t="shared" si="91"/>
        <v>9</v>
      </c>
      <c r="U447">
        <f t="shared" si="92"/>
        <v>0</v>
      </c>
      <c r="V447">
        <f t="shared" si="93"/>
        <v>3</v>
      </c>
      <c r="Y447" t="str">
        <f t="shared" si="94"/>
        <v>Zimbabwe</v>
      </c>
      <c r="Z447" s="104" t="str">
        <f t="shared" si="95"/>
        <v/>
      </c>
      <c r="AA447" s="104">
        <f t="shared" si="96"/>
        <v>0.75</v>
      </c>
      <c r="AB447" s="104">
        <f t="shared" si="97"/>
        <v>1</v>
      </c>
    </row>
    <row r="448" spans="1:28" x14ac:dyDescent="0.25">
      <c r="A448" s="50" t="s">
        <v>14277</v>
      </c>
      <c r="B448" s="57"/>
      <c r="C448" s="57"/>
      <c r="D448" s="57"/>
      <c r="E448" s="57">
        <v>11</v>
      </c>
      <c r="F448" s="57">
        <v>53</v>
      </c>
      <c r="G448" s="57"/>
      <c r="H448" s="57">
        <v>2</v>
      </c>
      <c r="I448" s="57">
        <v>8</v>
      </c>
      <c r="J448" s="57"/>
      <c r="K448" s="57"/>
      <c r="L448" s="57"/>
      <c r="M448" s="57"/>
      <c r="Q448">
        <f t="shared" si="88"/>
        <v>0</v>
      </c>
      <c r="R448">
        <f t="shared" si="89"/>
        <v>0</v>
      </c>
      <c r="S448">
        <f t="shared" si="90"/>
        <v>11</v>
      </c>
      <c r="T448">
        <f t="shared" si="91"/>
        <v>53</v>
      </c>
      <c r="U448">
        <f t="shared" si="92"/>
        <v>2</v>
      </c>
      <c r="V448">
        <f t="shared" si="93"/>
        <v>8</v>
      </c>
      <c r="Y448" t="str">
        <f t="shared" si="94"/>
        <v>Africa - Southern Total</v>
      </c>
      <c r="Z448" s="104" t="str">
        <f t="shared" si="95"/>
        <v/>
      </c>
      <c r="AA448" s="104">
        <f t="shared" si="96"/>
        <v>0.828125</v>
      </c>
      <c r="AB448" s="104">
        <f t="shared" si="97"/>
        <v>0.8</v>
      </c>
    </row>
    <row r="449" spans="1:28" x14ac:dyDescent="0.25">
      <c r="A449" s="50" t="s">
        <v>1596</v>
      </c>
      <c r="B449" s="57"/>
      <c r="C449" s="57"/>
      <c r="D449" s="57"/>
      <c r="E449" s="57"/>
      <c r="F449" s="57"/>
      <c r="G449" s="57"/>
      <c r="H449" s="57"/>
      <c r="I449" s="57"/>
      <c r="J449" s="57"/>
      <c r="K449" s="57"/>
      <c r="L449" s="57"/>
      <c r="M449" s="57"/>
      <c r="Q449">
        <f t="shared" si="88"/>
        <v>0</v>
      </c>
      <c r="R449">
        <f t="shared" si="89"/>
        <v>0</v>
      </c>
      <c r="S449">
        <f t="shared" si="90"/>
        <v>0</v>
      </c>
      <c r="T449">
        <f t="shared" si="91"/>
        <v>0</v>
      </c>
      <c r="U449">
        <f t="shared" si="92"/>
        <v>0</v>
      </c>
      <c r="V449">
        <f t="shared" si="93"/>
        <v>0</v>
      </c>
      <c r="Y449" t="str">
        <f t="shared" si="94"/>
        <v>Africa - Western</v>
      </c>
      <c r="Z449" s="104" t="str">
        <f t="shared" si="95"/>
        <v/>
      </c>
      <c r="AA449" s="104" t="str">
        <f t="shared" si="96"/>
        <v/>
      </c>
      <c r="AB449" s="104" t="str">
        <f t="shared" si="97"/>
        <v/>
      </c>
    </row>
    <row r="450" spans="1:28" x14ac:dyDescent="0.25">
      <c r="A450" s="55" t="s">
        <v>1595</v>
      </c>
      <c r="B450" s="57"/>
      <c r="C450" s="57">
        <v>1</v>
      </c>
      <c r="D450" s="57"/>
      <c r="E450" s="57"/>
      <c r="F450" s="57">
        <v>5</v>
      </c>
      <c r="G450" s="57"/>
      <c r="H450" s="57"/>
      <c r="I450" s="57">
        <v>1</v>
      </c>
      <c r="J450" s="57"/>
      <c r="K450" s="57"/>
      <c r="L450" s="57"/>
      <c r="M450" s="57"/>
      <c r="Q450">
        <f t="shared" si="88"/>
        <v>0</v>
      </c>
      <c r="R450">
        <f t="shared" si="89"/>
        <v>1</v>
      </c>
      <c r="S450">
        <f t="shared" si="90"/>
        <v>0</v>
      </c>
      <c r="T450">
        <f t="shared" si="91"/>
        <v>5</v>
      </c>
      <c r="U450">
        <f t="shared" si="92"/>
        <v>0</v>
      </c>
      <c r="V450">
        <f t="shared" si="93"/>
        <v>1</v>
      </c>
      <c r="Y450" t="str">
        <f t="shared" si="94"/>
        <v>Benin</v>
      </c>
      <c r="Z450" s="104">
        <f t="shared" si="95"/>
        <v>1</v>
      </c>
      <c r="AA450" s="104">
        <f t="shared" si="96"/>
        <v>1</v>
      </c>
      <c r="AB450" s="104">
        <f t="shared" si="97"/>
        <v>1</v>
      </c>
    </row>
    <row r="451" spans="1:28" x14ac:dyDescent="0.25">
      <c r="A451" s="55" t="s">
        <v>1827</v>
      </c>
      <c r="B451" s="57"/>
      <c r="C451" s="57"/>
      <c r="D451" s="57"/>
      <c r="E451" s="57"/>
      <c r="F451" s="57">
        <v>1</v>
      </c>
      <c r="G451" s="57"/>
      <c r="H451" s="57"/>
      <c r="I451" s="57">
        <v>1</v>
      </c>
      <c r="J451" s="57"/>
      <c r="K451" s="57"/>
      <c r="L451" s="57"/>
      <c r="M451" s="57"/>
      <c r="Q451">
        <f t="shared" si="88"/>
        <v>0</v>
      </c>
      <c r="R451">
        <f t="shared" si="89"/>
        <v>0</v>
      </c>
      <c r="S451">
        <f t="shared" si="90"/>
        <v>0</v>
      </c>
      <c r="T451">
        <f t="shared" si="91"/>
        <v>1</v>
      </c>
      <c r="U451">
        <f t="shared" si="92"/>
        <v>0</v>
      </c>
      <c r="V451">
        <f t="shared" si="93"/>
        <v>1</v>
      </c>
      <c r="Y451" t="str">
        <f t="shared" si="94"/>
        <v>Burkina Faso</v>
      </c>
      <c r="Z451" s="104" t="str">
        <f t="shared" si="95"/>
        <v/>
      </c>
      <c r="AA451" s="104">
        <f t="shared" si="96"/>
        <v>1</v>
      </c>
      <c r="AB451" s="104">
        <f t="shared" si="97"/>
        <v>1</v>
      </c>
    </row>
    <row r="452" spans="1:28" x14ac:dyDescent="0.25">
      <c r="A452" s="55" t="s">
        <v>2395</v>
      </c>
      <c r="B452" s="57"/>
      <c r="C452" s="57"/>
      <c r="D452" s="57"/>
      <c r="E452" s="57"/>
      <c r="F452" s="57">
        <v>6</v>
      </c>
      <c r="G452" s="57"/>
      <c r="H452" s="57"/>
      <c r="I452" s="57"/>
      <c r="J452" s="57"/>
      <c r="K452" s="57"/>
      <c r="L452" s="57"/>
      <c r="M452" s="57"/>
      <c r="Q452">
        <f t="shared" si="88"/>
        <v>0</v>
      </c>
      <c r="R452">
        <f t="shared" si="89"/>
        <v>0</v>
      </c>
      <c r="S452">
        <f t="shared" si="90"/>
        <v>0</v>
      </c>
      <c r="T452">
        <f t="shared" si="91"/>
        <v>6</v>
      </c>
      <c r="U452">
        <f t="shared" si="92"/>
        <v>0</v>
      </c>
      <c r="V452">
        <f t="shared" si="93"/>
        <v>0</v>
      </c>
      <c r="Y452" t="str">
        <f t="shared" si="94"/>
        <v>Cameroon</v>
      </c>
      <c r="Z452" s="104" t="str">
        <f t="shared" si="95"/>
        <v/>
      </c>
      <c r="AA452" s="104">
        <f t="shared" si="96"/>
        <v>1</v>
      </c>
      <c r="AB452" s="104" t="str">
        <f t="shared" si="97"/>
        <v/>
      </c>
    </row>
    <row r="453" spans="1:28" x14ac:dyDescent="0.25">
      <c r="A453" s="55" t="s">
        <v>2536</v>
      </c>
      <c r="B453" s="57">
        <v>1</v>
      </c>
      <c r="C453" s="57"/>
      <c r="D453" s="57"/>
      <c r="E453" s="57">
        <v>1</v>
      </c>
      <c r="F453" s="57">
        <v>11</v>
      </c>
      <c r="G453" s="57"/>
      <c r="H453" s="57"/>
      <c r="I453" s="57">
        <v>2</v>
      </c>
      <c r="J453" s="57"/>
      <c r="K453" s="57"/>
      <c r="L453" s="57"/>
      <c r="M453" s="57"/>
      <c r="Q453">
        <f t="shared" si="88"/>
        <v>1</v>
      </c>
      <c r="R453">
        <f t="shared" si="89"/>
        <v>0</v>
      </c>
      <c r="S453">
        <f t="shared" si="90"/>
        <v>1</v>
      </c>
      <c r="T453">
        <f t="shared" si="91"/>
        <v>11</v>
      </c>
      <c r="U453">
        <f t="shared" si="92"/>
        <v>0</v>
      </c>
      <c r="V453">
        <f t="shared" si="93"/>
        <v>2</v>
      </c>
      <c r="Y453" t="str">
        <f t="shared" si="94"/>
        <v>Chad</v>
      </c>
      <c r="Z453" s="104">
        <f t="shared" si="95"/>
        <v>0</v>
      </c>
      <c r="AA453" s="104">
        <f t="shared" si="96"/>
        <v>0.91666666666666663</v>
      </c>
      <c r="AB453" s="104">
        <f t="shared" si="97"/>
        <v>1</v>
      </c>
    </row>
    <row r="454" spans="1:28" x14ac:dyDescent="0.25">
      <c r="A454" s="55" t="s">
        <v>2956</v>
      </c>
      <c r="B454" s="57">
        <v>1</v>
      </c>
      <c r="C454" s="57"/>
      <c r="D454" s="57"/>
      <c r="E454" s="57"/>
      <c r="F454" s="57">
        <v>8</v>
      </c>
      <c r="G454" s="57"/>
      <c r="H454" s="57"/>
      <c r="I454" s="57"/>
      <c r="J454" s="57"/>
      <c r="K454" s="57"/>
      <c r="L454" s="57"/>
      <c r="M454" s="57"/>
      <c r="Q454">
        <f t="shared" si="88"/>
        <v>1</v>
      </c>
      <c r="R454">
        <f t="shared" si="89"/>
        <v>0</v>
      </c>
      <c r="S454">
        <f t="shared" si="90"/>
        <v>0</v>
      </c>
      <c r="T454">
        <f t="shared" si="91"/>
        <v>8</v>
      </c>
      <c r="U454">
        <f t="shared" si="92"/>
        <v>0</v>
      </c>
      <c r="V454">
        <f t="shared" si="93"/>
        <v>0</v>
      </c>
      <c r="Y454" t="str">
        <f t="shared" si="94"/>
        <v>Cote d'Ivoire</v>
      </c>
      <c r="Z454" s="104">
        <f t="shared" si="95"/>
        <v>0</v>
      </c>
      <c r="AA454" s="104">
        <f t="shared" si="96"/>
        <v>1</v>
      </c>
      <c r="AB454" s="104" t="str">
        <f t="shared" si="97"/>
        <v/>
      </c>
    </row>
    <row r="455" spans="1:28" x14ac:dyDescent="0.25">
      <c r="A455" s="55" t="s">
        <v>4471</v>
      </c>
      <c r="B455" s="57"/>
      <c r="C455" s="57"/>
      <c r="D455" s="57"/>
      <c r="E455" s="57">
        <v>1</v>
      </c>
      <c r="F455" s="57">
        <v>8</v>
      </c>
      <c r="G455" s="57"/>
      <c r="H455" s="57"/>
      <c r="I455" s="57">
        <v>3</v>
      </c>
      <c r="J455" s="57"/>
      <c r="K455" s="57"/>
      <c r="L455" s="57"/>
      <c r="M455" s="57"/>
      <c r="Q455">
        <f t="shared" si="88"/>
        <v>0</v>
      </c>
      <c r="R455">
        <f t="shared" si="89"/>
        <v>0</v>
      </c>
      <c r="S455">
        <f t="shared" si="90"/>
        <v>1</v>
      </c>
      <c r="T455">
        <f t="shared" si="91"/>
        <v>8</v>
      </c>
      <c r="U455">
        <f t="shared" si="92"/>
        <v>0</v>
      </c>
      <c r="V455">
        <f t="shared" si="93"/>
        <v>3</v>
      </c>
      <c r="Y455" t="str">
        <f t="shared" si="94"/>
        <v>Ghana</v>
      </c>
      <c r="Z455" s="104" t="str">
        <f t="shared" si="95"/>
        <v/>
      </c>
      <c r="AA455" s="104">
        <f t="shared" si="96"/>
        <v>0.88888888888888884</v>
      </c>
      <c r="AB455" s="104">
        <f t="shared" si="97"/>
        <v>1</v>
      </c>
    </row>
    <row r="456" spans="1:28" x14ac:dyDescent="0.25">
      <c r="A456" s="55" t="s">
        <v>7179</v>
      </c>
      <c r="B456" s="57">
        <v>1</v>
      </c>
      <c r="C456" s="57"/>
      <c r="D456" s="57"/>
      <c r="E456" s="57"/>
      <c r="F456" s="57"/>
      <c r="G456" s="57"/>
      <c r="H456" s="57"/>
      <c r="I456" s="57"/>
      <c r="J456" s="57"/>
      <c r="K456" s="57"/>
      <c r="L456" s="57"/>
      <c r="M456" s="57"/>
      <c r="Q456">
        <f t="shared" si="88"/>
        <v>1</v>
      </c>
      <c r="R456">
        <f t="shared" si="89"/>
        <v>0</v>
      </c>
      <c r="S456">
        <f t="shared" si="90"/>
        <v>0</v>
      </c>
      <c r="T456">
        <f t="shared" si="91"/>
        <v>0</v>
      </c>
      <c r="U456">
        <f t="shared" si="92"/>
        <v>0</v>
      </c>
      <c r="V456">
        <f t="shared" si="93"/>
        <v>0</v>
      </c>
      <c r="Y456" t="str">
        <f t="shared" si="94"/>
        <v>Liberia</v>
      </c>
      <c r="Z456" s="104">
        <f t="shared" si="95"/>
        <v>0</v>
      </c>
      <c r="AA456" s="104" t="str">
        <f t="shared" si="96"/>
        <v/>
      </c>
      <c r="AB456" s="104" t="str">
        <f t="shared" si="97"/>
        <v/>
      </c>
    </row>
    <row r="457" spans="1:28" x14ac:dyDescent="0.25">
      <c r="A457" s="55" t="s">
        <v>7835</v>
      </c>
      <c r="B457" s="57"/>
      <c r="C457" s="57"/>
      <c r="D457" s="57"/>
      <c r="E457" s="57">
        <v>1</v>
      </c>
      <c r="F457" s="57">
        <v>11</v>
      </c>
      <c r="G457" s="57"/>
      <c r="H457" s="57">
        <v>1</v>
      </c>
      <c r="I457" s="57">
        <v>3</v>
      </c>
      <c r="J457" s="57"/>
      <c r="K457" s="57"/>
      <c r="L457" s="57"/>
      <c r="M457" s="57"/>
      <c r="Q457">
        <f t="shared" si="88"/>
        <v>0</v>
      </c>
      <c r="R457">
        <f t="shared" si="89"/>
        <v>0</v>
      </c>
      <c r="S457">
        <f t="shared" si="90"/>
        <v>1</v>
      </c>
      <c r="T457">
        <f t="shared" si="91"/>
        <v>11</v>
      </c>
      <c r="U457">
        <f t="shared" si="92"/>
        <v>1</v>
      </c>
      <c r="V457">
        <f t="shared" si="93"/>
        <v>3</v>
      </c>
      <c r="Y457" t="str">
        <f t="shared" si="94"/>
        <v>Mali</v>
      </c>
      <c r="Z457" s="104" t="str">
        <f t="shared" si="95"/>
        <v/>
      </c>
      <c r="AA457" s="104">
        <f t="shared" si="96"/>
        <v>0.91666666666666663</v>
      </c>
      <c r="AB457" s="104">
        <f t="shared" si="97"/>
        <v>0.75</v>
      </c>
    </row>
    <row r="458" spans="1:28" x14ac:dyDescent="0.25">
      <c r="A458" s="55" t="s">
        <v>9043</v>
      </c>
      <c r="B458" s="57">
        <v>4</v>
      </c>
      <c r="C458" s="57">
        <v>3</v>
      </c>
      <c r="D458" s="57"/>
      <c r="E458" s="57">
        <v>1</v>
      </c>
      <c r="F458" s="57">
        <v>11</v>
      </c>
      <c r="G458" s="57"/>
      <c r="H458" s="57"/>
      <c r="I458" s="57">
        <v>2</v>
      </c>
      <c r="J458" s="57"/>
      <c r="K458" s="57"/>
      <c r="L458" s="57">
        <v>1</v>
      </c>
      <c r="M458" s="57"/>
      <c r="Q458">
        <f t="shared" si="88"/>
        <v>4</v>
      </c>
      <c r="R458">
        <f t="shared" si="89"/>
        <v>3</v>
      </c>
      <c r="S458">
        <f t="shared" si="90"/>
        <v>1</v>
      </c>
      <c r="T458">
        <f t="shared" si="91"/>
        <v>11</v>
      </c>
      <c r="U458">
        <f t="shared" si="92"/>
        <v>0</v>
      </c>
      <c r="V458">
        <f t="shared" si="93"/>
        <v>2</v>
      </c>
      <c r="Y458" t="str">
        <f t="shared" si="94"/>
        <v>Niger</v>
      </c>
      <c r="Z458" s="104">
        <f t="shared" si="95"/>
        <v>0.42857142857142855</v>
      </c>
      <c r="AA458" s="104">
        <f t="shared" si="96"/>
        <v>0.91666666666666663</v>
      </c>
      <c r="AB458" s="104">
        <f t="shared" si="97"/>
        <v>1</v>
      </c>
    </row>
    <row r="459" spans="1:28" x14ac:dyDescent="0.25">
      <c r="A459" s="55" t="s">
        <v>10594</v>
      </c>
      <c r="B459" s="57">
        <v>1</v>
      </c>
      <c r="C459" s="57"/>
      <c r="D459" s="57"/>
      <c r="E459" s="57"/>
      <c r="F459" s="57">
        <v>3</v>
      </c>
      <c r="G459" s="57"/>
      <c r="H459" s="57"/>
      <c r="I459" s="57">
        <v>1</v>
      </c>
      <c r="J459" s="57"/>
      <c r="K459" s="57"/>
      <c r="L459" s="57"/>
      <c r="M459" s="57"/>
      <c r="Q459">
        <f t="shared" si="88"/>
        <v>1</v>
      </c>
      <c r="R459">
        <f t="shared" si="89"/>
        <v>0</v>
      </c>
      <c r="S459">
        <f t="shared" si="90"/>
        <v>0</v>
      </c>
      <c r="T459">
        <f t="shared" si="91"/>
        <v>3</v>
      </c>
      <c r="U459">
        <f t="shared" si="92"/>
        <v>0</v>
      </c>
      <c r="V459">
        <f t="shared" si="93"/>
        <v>1</v>
      </c>
      <c r="Y459" t="str">
        <f t="shared" si="94"/>
        <v>Sierra Leone</v>
      </c>
      <c r="Z459" s="104">
        <f t="shared" si="95"/>
        <v>0</v>
      </c>
      <c r="AA459" s="104">
        <f t="shared" si="96"/>
        <v>1</v>
      </c>
      <c r="AB459" s="104">
        <f t="shared" si="97"/>
        <v>1</v>
      </c>
    </row>
    <row r="460" spans="1:28" x14ac:dyDescent="0.25">
      <c r="A460" s="50" t="s">
        <v>14278</v>
      </c>
      <c r="B460" s="57">
        <v>8</v>
      </c>
      <c r="C460" s="57">
        <v>4</v>
      </c>
      <c r="D460" s="57"/>
      <c r="E460" s="57">
        <v>4</v>
      </c>
      <c r="F460" s="57">
        <v>64</v>
      </c>
      <c r="G460" s="57"/>
      <c r="H460" s="57">
        <v>1</v>
      </c>
      <c r="I460" s="57">
        <v>13</v>
      </c>
      <c r="J460" s="57"/>
      <c r="K460" s="57"/>
      <c r="L460" s="57">
        <v>1</v>
      </c>
      <c r="M460" s="57"/>
      <c r="Q460">
        <f t="shared" si="88"/>
        <v>8</v>
      </c>
      <c r="R460">
        <f t="shared" si="89"/>
        <v>4</v>
      </c>
      <c r="S460">
        <f t="shared" si="90"/>
        <v>4</v>
      </c>
      <c r="T460">
        <f t="shared" si="91"/>
        <v>64</v>
      </c>
      <c r="U460">
        <f t="shared" si="92"/>
        <v>1</v>
      </c>
      <c r="V460">
        <f t="shared" si="93"/>
        <v>13</v>
      </c>
      <c r="Y460" t="str">
        <f t="shared" si="94"/>
        <v>Africa - Western Total</v>
      </c>
      <c r="Z460" s="104">
        <f t="shared" si="95"/>
        <v>0.33333333333333331</v>
      </c>
      <c r="AA460" s="104">
        <f t="shared" si="96"/>
        <v>0.94117647058823528</v>
      </c>
      <c r="AB460" s="104">
        <f t="shared" si="97"/>
        <v>0.9285714285714286</v>
      </c>
    </row>
    <row r="461" spans="1:28" x14ac:dyDescent="0.25">
      <c r="A461" s="50" t="s">
        <v>306</v>
      </c>
      <c r="B461" s="57"/>
      <c r="C461" s="57"/>
      <c r="D461" s="57"/>
      <c r="E461" s="57"/>
      <c r="F461" s="57"/>
      <c r="G461" s="57"/>
      <c r="H461" s="57"/>
      <c r="I461" s="57"/>
      <c r="J461" s="57"/>
      <c r="K461" s="57"/>
      <c r="L461" s="57"/>
      <c r="M461" s="57"/>
      <c r="Q461">
        <f t="shared" si="88"/>
        <v>0</v>
      </c>
      <c r="R461">
        <f t="shared" si="89"/>
        <v>0</v>
      </c>
      <c r="S461">
        <f t="shared" si="90"/>
        <v>0</v>
      </c>
      <c r="T461">
        <f t="shared" si="91"/>
        <v>0</v>
      </c>
      <c r="U461">
        <f t="shared" si="92"/>
        <v>0</v>
      </c>
      <c r="V461">
        <f t="shared" si="93"/>
        <v>0</v>
      </c>
      <c r="Y461" t="str">
        <f t="shared" si="94"/>
        <v>Asia and the Pacific</v>
      </c>
      <c r="Z461" s="104" t="str">
        <f t="shared" si="95"/>
        <v/>
      </c>
      <c r="AA461" s="104" t="str">
        <f t="shared" si="96"/>
        <v/>
      </c>
      <c r="AB461" s="104" t="str">
        <f t="shared" si="97"/>
        <v/>
      </c>
    </row>
    <row r="462" spans="1:28" x14ac:dyDescent="0.25">
      <c r="A462" s="55" t="s">
        <v>305</v>
      </c>
      <c r="B462" s="57"/>
      <c r="C462" s="57"/>
      <c r="D462" s="57"/>
      <c r="E462" s="57"/>
      <c r="F462" s="57">
        <v>12</v>
      </c>
      <c r="G462" s="57"/>
      <c r="H462" s="57"/>
      <c r="I462" s="57"/>
      <c r="J462" s="57"/>
      <c r="K462" s="57"/>
      <c r="L462" s="57"/>
      <c r="M462" s="57"/>
      <c r="Q462">
        <f t="shared" ref="Q462:Q493" si="98">B462</f>
        <v>0</v>
      </c>
      <c r="R462">
        <f t="shared" ref="R462:R493" si="99">C462</f>
        <v>0</v>
      </c>
      <c r="S462">
        <f t="shared" ref="S462:S493" si="100">E462</f>
        <v>0</v>
      </c>
      <c r="T462">
        <f t="shared" ref="T462:T493" si="101">F462</f>
        <v>12</v>
      </c>
      <c r="U462">
        <f t="shared" ref="U462:U493" si="102">H462</f>
        <v>0</v>
      </c>
      <c r="V462">
        <f t="shared" ref="V462:V493" si="103">I462</f>
        <v>0</v>
      </c>
      <c r="Y462" t="str">
        <f t="shared" ref="Y462:Y493" si="104">A462</f>
        <v>Afghanistan</v>
      </c>
      <c r="Z462" s="104" t="str">
        <f t="shared" si="95"/>
        <v/>
      </c>
      <c r="AA462" s="104">
        <f t="shared" si="96"/>
        <v>1</v>
      </c>
      <c r="AB462" s="104" t="str">
        <f t="shared" si="97"/>
        <v/>
      </c>
    </row>
    <row r="463" spans="1:28" x14ac:dyDescent="0.25">
      <c r="A463" s="55" t="s">
        <v>652</v>
      </c>
      <c r="B463" s="57">
        <v>1</v>
      </c>
      <c r="C463" s="57"/>
      <c r="D463" s="57"/>
      <c r="E463" s="57">
        <v>6</v>
      </c>
      <c r="F463" s="57">
        <v>37</v>
      </c>
      <c r="G463" s="57"/>
      <c r="H463" s="57"/>
      <c r="I463" s="57">
        <v>3</v>
      </c>
      <c r="J463" s="57"/>
      <c r="K463" s="57"/>
      <c r="L463" s="57"/>
      <c r="M463" s="57"/>
      <c r="Q463">
        <f t="shared" si="98"/>
        <v>1</v>
      </c>
      <c r="R463">
        <f t="shared" si="99"/>
        <v>0</v>
      </c>
      <c r="S463">
        <f t="shared" si="100"/>
        <v>6</v>
      </c>
      <c r="T463">
        <f t="shared" si="101"/>
        <v>37</v>
      </c>
      <c r="U463">
        <f t="shared" si="102"/>
        <v>0</v>
      </c>
      <c r="V463">
        <f t="shared" si="103"/>
        <v>3</v>
      </c>
      <c r="Y463" t="str">
        <f t="shared" si="104"/>
        <v>Bangladesh</v>
      </c>
      <c r="Z463" s="104">
        <f t="shared" si="95"/>
        <v>0</v>
      </c>
      <c r="AA463" s="104">
        <f t="shared" si="96"/>
        <v>0.86046511627906974</v>
      </c>
      <c r="AB463" s="104">
        <f t="shared" si="97"/>
        <v>1</v>
      </c>
    </row>
    <row r="464" spans="1:28" x14ac:dyDescent="0.25">
      <c r="A464" s="55" t="s">
        <v>2092</v>
      </c>
      <c r="B464" s="57"/>
      <c r="C464" s="57"/>
      <c r="D464" s="57"/>
      <c r="E464" s="57">
        <v>2</v>
      </c>
      <c r="F464" s="57">
        <v>12</v>
      </c>
      <c r="G464" s="57"/>
      <c r="H464" s="57"/>
      <c r="I464" s="57">
        <v>3</v>
      </c>
      <c r="J464" s="57"/>
      <c r="K464" s="57"/>
      <c r="L464" s="57"/>
      <c r="M464" s="57"/>
      <c r="Q464">
        <f t="shared" si="98"/>
        <v>0</v>
      </c>
      <c r="R464">
        <f t="shared" si="99"/>
        <v>0</v>
      </c>
      <c r="S464">
        <f t="shared" si="100"/>
        <v>2</v>
      </c>
      <c r="T464">
        <f t="shared" si="101"/>
        <v>12</v>
      </c>
      <c r="U464">
        <f t="shared" si="102"/>
        <v>0</v>
      </c>
      <c r="V464">
        <f t="shared" si="103"/>
        <v>3</v>
      </c>
      <c r="Y464" t="str">
        <f t="shared" si="104"/>
        <v>Cambodia</v>
      </c>
      <c r="Z464" s="104" t="str">
        <f t="shared" si="95"/>
        <v/>
      </c>
      <c r="AA464" s="104">
        <f t="shared" si="96"/>
        <v>0.8571428571428571</v>
      </c>
      <c r="AB464" s="104">
        <f t="shared" si="97"/>
        <v>1</v>
      </c>
    </row>
    <row r="465" spans="1:28" x14ac:dyDescent="0.25">
      <c r="A465" s="55" t="s">
        <v>4268</v>
      </c>
      <c r="B465" s="57"/>
      <c r="C465" s="57"/>
      <c r="D465" s="57"/>
      <c r="E465" s="57"/>
      <c r="F465" s="57">
        <v>1</v>
      </c>
      <c r="G465" s="57"/>
      <c r="H465" s="57"/>
      <c r="I465" s="57"/>
      <c r="J465" s="57"/>
      <c r="K465" s="57"/>
      <c r="L465" s="57"/>
      <c r="M465" s="57"/>
      <c r="Q465">
        <f t="shared" si="98"/>
        <v>0</v>
      </c>
      <c r="R465">
        <f t="shared" si="99"/>
        <v>0</v>
      </c>
      <c r="S465">
        <f t="shared" si="100"/>
        <v>0</v>
      </c>
      <c r="T465">
        <f t="shared" si="101"/>
        <v>1</v>
      </c>
      <c r="U465">
        <f t="shared" si="102"/>
        <v>0</v>
      </c>
      <c r="V465">
        <f t="shared" si="103"/>
        <v>0</v>
      </c>
      <c r="Y465" t="str">
        <f t="shared" si="104"/>
        <v>Fiji</v>
      </c>
      <c r="Z465" s="104" t="str">
        <f t="shared" si="95"/>
        <v/>
      </c>
      <c r="AA465" s="104">
        <f t="shared" si="96"/>
        <v>1</v>
      </c>
      <c r="AB465" s="104" t="str">
        <f t="shared" si="97"/>
        <v/>
      </c>
    </row>
    <row r="466" spans="1:28" x14ac:dyDescent="0.25">
      <c r="A466" s="55" t="s">
        <v>5300</v>
      </c>
      <c r="B466" s="57">
        <v>1</v>
      </c>
      <c r="C466" s="57"/>
      <c r="D466" s="57"/>
      <c r="E466" s="57">
        <v>4</v>
      </c>
      <c r="F466" s="57">
        <v>17</v>
      </c>
      <c r="G466" s="57"/>
      <c r="H466" s="57">
        <v>10</v>
      </c>
      <c r="I466" s="57">
        <v>3</v>
      </c>
      <c r="J466" s="57"/>
      <c r="K466" s="57"/>
      <c r="L466" s="57"/>
      <c r="M466" s="57"/>
      <c r="Q466">
        <f t="shared" si="98"/>
        <v>1</v>
      </c>
      <c r="R466">
        <f t="shared" si="99"/>
        <v>0</v>
      </c>
      <c r="S466">
        <f t="shared" si="100"/>
        <v>4</v>
      </c>
      <c r="T466">
        <f t="shared" si="101"/>
        <v>17</v>
      </c>
      <c r="U466">
        <f t="shared" si="102"/>
        <v>10</v>
      </c>
      <c r="V466">
        <f t="shared" si="103"/>
        <v>3</v>
      </c>
      <c r="Y466" t="str">
        <f t="shared" si="104"/>
        <v>India</v>
      </c>
      <c r="Z466" s="104">
        <f t="shared" si="95"/>
        <v>0</v>
      </c>
      <c r="AA466" s="104">
        <f t="shared" si="96"/>
        <v>0.80952380952380953</v>
      </c>
      <c r="AB466" s="104">
        <f t="shared" si="97"/>
        <v>0.23076923076923078</v>
      </c>
    </row>
    <row r="467" spans="1:28" x14ac:dyDescent="0.25">
      <c r="A467" s="55" t="s">
        <v>5932</v>
      </c>
      <c r="B467" s="57"/>
      <c r="C467" s="57"/>
      <c r="D467" s="57"/>
      <c r="E467" s="57">
        <v>1</v>
      </c>
      <c r="F467" s="57">
        <v>6</v>
      </c>
      <c r="G467" s="57"/>
      <c r="H467" s="57">
        <v>1</v>
      </c>
      <c r="I467" s="57"/>
      <c r="J467" s="57"/>
      <c r="K467" s="57"/>
      <c r="L467" s="57"/>
      <c r="M467" s="57"/>
      <c r="Q467">
        <f t="shared" si="98"/>
        <v>0</v>
      </c>
      <c r="R467">
        <f t="shared" si="99"/>
        <v>0</v>
      </c>
      <c r="S467">
        <f t="shared" si="100"/>
        <v>1</v>
      </c>
      <c r="T467">
        <f t="shared" si="101"/>
        <v>6</v>
      </c>
      <c r="U467">
        <f t="shared" si="102"/>
        <v>1</v>
      </c>
      <c r="V467">
        <f t="shared" si="103"/>
        <v>0</v>
      </c>
      <c r="Y467" t="str">
        <f t="shared" si="104"/>
        <v>Indonesia</v>
      </c>
      <c r="Z467" s="104" t="str">
        <f t="shared" si="95"/>
        <v/>
      </c>
      <c r="AA467" s="104">
        <f t="shared" si="96"/>
        <v>0.8571428571428571</v>
      </c>
      <c r="AB467" s="104">
        <f t="shared" si="97"/>
        <v>0</v>
      </c>
    </row>
    <row r="468" spans="1:28" x14ac:dyDescent="0.25">
      <c r="A468" s="55" t="s">
        <v>6850</v>
      </c>
      <c r="B468" s="57">
        <v>1</v>
      </c>
      <c r="C468" s="57"/>
      <c r="D468" s="57"/>
      <c r="E468" s="57"/>
      <c r="F468" s="57">
        <v>12</v>
      </c>
      <c r="G468" s="57"/>
      <c r="H468" s="57"/>
      <c r="I468" s="57">
        <v>1</v>
      </c>
      <c r="J468" s="57"/>
      <c r="K468" s="57"/>
      <c r="L468" s="57"/>
      <c r="M468" s="57"/>
      <c r="Q468">
        <f t="shared" si="98"/>
        <v>1</v>
      </c>
      <c r="R468">
        <f t="shared" si="99"/>
        <v>0</v>
      </c>
      <c r="S468">
        <f t="shared" si="100"/>
        <v>0</v>
      </c>
      <c r="T468">
        <f t="shared" si="101"/>
        <v>12</v>
      </c>
      <c r="U468">
        <f t="shared" si="102"/>
        <v>0</v>
      </c>
      <c r="V468">
        <f t="shared" si="103"/>
        <v>1</v>
      </c>
      <c r="Y468" t="str">
        <f t="shared" si="104"/>
        <v>Laos</v>
      </c>
      <c r="Z468" s="104">
        <f t="shared" si="95"/>
        <v>0</v>
      </c>
      <c r="AA468" s="104">
        <f t="shared" si="96"/>
        <v>1</v>
      </c>
      <c r="AB468" s="104">
        <f t="shared" si="97"/>
        <v>1</v>
      </c>
    </row>
    <row r="469" spans="1:28" x14ac:dyDescent="0.25">
      <c r="A469" s="55" t="s">
        <v>8444</v>
      </c>
      <c r="B469" s="57"/>
      <c r="C469" s="57"/>
      <c r="D469" s="57"/>
      <c r="E469" s="57">
        <v>6</v>
      </c>
      <c r="F469" s="57">
        <v>8</v>
      </c>
      <c r="G469" s="57"/>
      <c r="H469" s="57"/>
      <c r="I469" s="57">
        <v>2</v>
      </c>
      <c r="J469" s="57"/>
      <c r="K469" s="57"/>
      <c r="L469" s="57"/>
      <c r="M469" s="57"/>
      <c r="Q469">
        <f t="shared" si="98"/>
        <v>0</v>
      </c>
      <c r="R469">
        <f t="shared" si="99"/>
        <v>0</v>
      </c>
      <c r="S469">
        <f t="shared" si="100"/>
        <v>6</v>
      </c>
      <c r="T469">
        <f t="shared" si="101"/>
        <v>8</v>
      </c>
      <c r="U469">
        <f t="shared" si="102"/>
        <v>0</v>
      </c>
      <c r="V469">
        <f t="shared" si="103"/>
        <v>2</v>
      </c>
      <c r="Y469" t="str">
        <f t="shared" si="104"/>
        <v>Myanmar</v>
      </c>
      <c r="Z469" s="104" t="str">
        <f t="shared" si="95"/>
        <v/>
      </c>
      <c r="AA469" s="104">
        <f t="shared" si="96"/>
        <v>0.5714285714285714</v>
      </c>
      <c r="AB469" s="104">
        <f t="shared" si="97"/>
        <v>1</v>
      </c>
    </row>
    <row r="470" spans="1:28" x14ac:dyDescent="0.25">
      <c r="A470" s="55" t="s">
        <v>8647</v>
      </c>
      <c r="B470" s="57"/>
      <c r="C470" s="57"/>
      <c r="D470" s="57"/>
      <c r="E470" s="57"/>
      <c r="F470" s="57">
        <v>18</v>
      </c>
      <c r="G470" s="57"/>
      <c r="H470" s="57">
        <v>1</v>
      </c>
      <c r="I470" s="57">
        <v>5</v>
      </c>
      <c r="J470" s="57"/>
      <c r="K470" s="57"/>
      <c r="L470" s="57"/>
      <c r="M470" s="57"/>
      <c r="Q470">
        <f t="shared" si="98"/>
        <v>0</v>
      </c>
      <c r="R470">
        <f t="shared" si="99"/>
        <v>0</v>
      </c>
      <c r="S470">
        <f t="shared" si="100"/>
        <v>0</v>
      </c>
      <c r="T470">
        <f t="shared" si="101"/>
        <v>18</v>
      </c>
      <c r="U470">
        <f t="shared" si="102"/>
        <v>1</v>
      </c>
      <c r="V470">
        <f t="shared" si="103"/>
        <v>5</v>
      </c>
      <c r="Y470" t="str">
        <f t="shared" si="104"/>
        <v>Nepal</v>
      </c>
      <c r="Z470" s="104" t="str">
        <f t="shared" si="95"/>
        <v/>
      </c>
      <c r="AA470" s="104">
        <f t="shared" si="96"/>
        <v>1</v>
      </c>
      <c r="AB470" s="104">
        <f t="shared" si="97"/>
        <v>0.83333333333333337</v>
      </c>
    </row>
    <row r="471" spans="1:28" x14ac:dyDescent="0.25">
      <c r="A471" s="55" t="s">
        <v>9427</v>
      </c>
      <c r="B471" s="57"/>
      <c r="C471" s="57"/>
      <c r="D471" s="57"/>
      <c r="E471" s="57"/>
      <c r="F471" s="57">
        <v>3</v>
      </c>
      <c r="G471" s="57"/>
      <c r="H471" s="57"/>
      <c r="I471" s="57"/>
      <c r="J471" s="57"/>
      <c r="K471" s="57">
        <v>1</v>
      </c>
      <c r="L471" s="57">
        <v>1</v>
      </c>
      <c r="M471" s="57"/>
      <c r="Q471">
        <f t="shared" si="98"/>
        <v>0</v>
      </c>
      <c r="R471">
        <f t="shared" si="99"/>
        <v>0</v>
      </c>
      <c r="S471">
        <f t="shared" si="100"/>
        <v>0</v>
      </c>
      <c r="T471">
        <f t="shared" si="101"/>
        <v>3</v>
      </c>
      <c r="U471">
        <f t="shared" si="102"/>
        <v>0</v>
      </c>
      <c r="V471">
        <f t="shared" si="103"/>
        <v>0</v>
      </c>
      <c r="Y471" t="str">
        <f t="shared" si="104"/>
        <v>Pakistan</v>
      </c>
      <c r="Z471" s="104" t="str">
        <f t="shared" si="95"/>
        <v/>
      </c>
      <c r="AA471" s="104">
        <f t="shared" si="96"/>
        <v>1</v>
      </c>
      <c r="AB471" s="104" t="str">
        <f t="shared" si="97"/>
        <v/>
      </c>
    </row>
    <row r="472" spans="1:28" x14ac:dyDescent="0.25">
      <c r="A472" s="55" t="s">
        <v>9516</v>
      </c>
      <c r="B472" s="57">
        <v>1</v>
      </c>
      <c r="C472" s="57">
        <v>2</v>
      </c>
      <c r="D472" s="57"/>
      <c r="E472" s="57"/>
      <c r="F472" s="57">
        <v>6</v>
      </c>
      <c r="G472" s="57"/>
      <c r="H472" s="57">
        <v>1</v>
      </c>
      <c r="I472" s="57">
        <v>1</v>
      </c>
      <c r="J472" s="57"/>
      <c r="K472" s="57"/>
      <c r="L472" s="57"/>
      <c r="M472" s="57"/>
      <c r="Q472">
        <f t="shared" si="98"/>
        <v>1</v>
      </c>
      <c r="R472">
        <f t="shared" si="99"/>
        <v>2</v>
      </c>
      <c r="S472">
        <f t="shared" si="100"/>
        <v>0</v>
      </c>
      <c r="T472">
        <f t="shared" si="101"/>
        <v>6</v>
      </c>
      <c r="U472">
        <f t="shared" si="102"/>
        <v>1</v>
      </c>
      <c r="V472">
        <f t="shared" si="103"/>
        <v>1</v>
      </c>
      <c r="Y472" t="str">
        <f t="shared" si="104"/>
        <v>Papua New Guinea</v>
      </c>
      <c r="Z472" s="104">
        <f t="shared" si="95"/>
        <v>0.66666666666666663</v>
      </c>
      <c r="AA472" s="104">
        <f t="shared" si="96"/>
        <v>1</v>
      </c>
      <c r="AB472" s="104">
        <f t="shared" si="97"/>
        <v>0.5</v>
      </c>
    </row>
    <row r="473" spans="1:28" x14ac:dyDescent="0.25">
      <c r="A473" s="55" t="s">
        <v>10263</v>
      </c>
      <c r="B473" s="57"/>
      <c r="C473" s="57"/>
      <c r="D473" s="57"/>
      <c r="E473" s="57"/>
      <c r="F473" s="57">
        <v>2</v>
      </c>
      <c r="G473" s="57"/>
      <c r="H473" s="57">
        <v>1</v>
      </c>
      <c r="I473" s="57">
        <v>2</v>
      </c>
      <c r="J473" s="57"/>
      <c r="K473" s="57"/>
      <c r="L473" s="57"/>
      <c r="M473" s="57"/>
      <c r="Q473">
        <f t="shared" si="98"/>
        <v>0</v>
      </c>
      <c r="R473">
        <f t="shared" si="99"/>
        <v>0</v>
      </c>
      <c r="S473">
        <f t="shared" si="100"/>
        <v>0</v>
      </c>
      <c r="T473">
        <f t="shared" si="101"/>
        <v>2</v>
      </c>
      <c r="U473">
        <f t="shared" si="102"/>
        <v>1</v>
      </c>
      <c r="V473">
        <f t="shared" si="103"/>
        <v>2</v>
      </c>
      <c r="Y473" t="str">
        <f t="shared" si="104"/>
        <v>Philippines</v>
      </c>
      <c r="Z473" s="104" t="str">
        <f t="shared" si="95"/>
        <v/>
      </c>
      <c r="AA473" s="104">
        <f t="shared" si="96"/>
        <v>1</v>
      </c>
      <c r="AB473" s="104">
        <f t="shared" si="97"/>
        <v>0.66666666666666663</v>
      </c>
    </row>
    <row r="474" spans="1:28" x14ac:dyDescent="0.25">
      <c r="A474" s="55" t="s">
        <v>11304</v>
      </c>
      <c r="B474" s="57"/>
      <c r="C474" s="57"/>
      <c r="D474" s="57"/>
      <c r="E474" s="57"/>
      <c r="F474" s="57">
        <v>6</v>
      </c>
      <c r="G474" s="57"/>
      <c r="H474" s="57"/>
      <c r="I474" s="57">
        <v>1</v>
      </c>
      <c r="J474" s="57"/>
      <c r="K474" s="57"/>
      <c r="L474" s="57"/>
      <c r="M474" s="57"/>
      <c r="Q474">
        <f t="shared" si="98"/>
        <v>0</v>
      </c>
      <c r="R474">
        <f t="shared" si="99"/>
        <v>0</v>
      </c>
      <c r="S474">
        <f t="shared" si="100"/>
        <v>0</v>
      </c>
      <c r="T474">
        <f t="shared" si="101"/>
        <v>6</v>
      </c>
      <c r="U474">
        <f t="shared" si="102"/>
        <v>0</v>
      </c>
      <c r="V474">
        <f t="shared" si="103"/>
        <v>1</v>
      </c>
      <c r="Y474" t="str">
        <f t="shared" si="104"/>
        <v>Sri Lanka</v>
      </c>
      <c r="Z474" s="104" t="str">
        <f t="shared" si="95"/>
        <v/>
      </c>
      <c r="AA474" s="104">
        <f t="shared" si="96"/>
        <v>1</v>
      </c>
      <c r="AB474" s="104">
        <f t="shared" si="97"/>
        <v>1</v>
      </c>
    </row>
    <row r="475" spans="1:28" x14ac:dyDescent="0.25">
      <c r="A475" s="55" t="s">
        <v>12294</v>
      </c>
      <c r="B475" s="57"/>
      <c r="C475" s="57"/>
      <c r="D475" s="57"/>
      <c r="E475" s="57"/>
      <c r="F475" s="57">
        <v>11</v>
      </c>
      <c r="G475" s="57"/>
      <c r="H475" s="57"/>
      <c r="I475" s="57">
        <v>11</v>
      </c>
      <c r="J475" s="57"/>
      <c r="K475" s="57"/>
      <c r="L475" s="57"/>
      <c r="M475" s="57"/>
      <c r="Q475">
        <f t="shared" si="98"/>
        <v>0</v>
      </c>
      <c r="R475">
        <f t="shared" si="99"/>
        <v>0</v>
      </c>
      <c r="S475">
        <f t="shared" si="100"/>
        <v>0</v>
      </c>
      <c r="T475">
        <f t="shared" si="101"/>
        <v>11</v>
      </c>
      <c r="U475">
        <f t="shared" si="102"/>
        <v>0</v>
      </c>
      <c r="V475">
        <f t="shared" si="103"/>
        <v>11</v>
      </c>
      <c r="Y475" t="str">
        <f t="shared" si="104"/>
        <v>Thailand</v>
      </c>
      <c r="Z475" s="104" t="str">
        <f t="shared" si="95"/>
        <v/>
      </c>
      <c r="AA475" s="104">
        <f t="shared" si="96"/>
        <v>1</v>
      </c>
      <c r="AB475" s="104">
        <f t="shared" si="97"/>
        <v>1</v>
      </c>
    </row>
    <row r="476" spans="1:28" x14ac:dyDescent="0.25">
      <c r="A476" s="55" t="s">
        <v>12547</v>
      </c>
      <c r="B476" s="57">
        <v>1</v>
      </c>
      <c r="C476" s="57"/>
      <c r="D476" s="57"/>
      <c r="E476" s="57">
        <v>4</v>
      </c>
      <c r="F476" s="57">
        <v>1</v>
      </c>
      <c r="G476" s="57"/>
      <c r="H476" s="57"/>
      <c r="I476" s="57"/>
      <c r="J476" s="57"/>
      <c r="K476" s="57"/>
      <c r="L476" s="57"/>
      <c r="M476" s="57"/>
      <c r="Q476">
        <f t="shared" si="98"/>
        <v>1</v>
      </c>
      <c r="R476">
        <f t="shared" si="99"/>
        <v>0</v>
      </c>
      <c r="S476">
        <f t="shared" si="100"/>
        <v>4</v>
      </c>
      <c r="T476">
        <f t="shared" si="101"/>
        <v>1</v>
      </c>
      <c r="U476">
        <f t="shared" si="102"/>
        <v>0</v>
      </c>
      <c r="V476">
        <f t="shared" si="103"/>
        <v>0</v>
      </c>
      <c r="Y476" t="str">
        <f t="shared" si="104"/>
        <v>Timor-Leste</v>
      </c>
      <c r="Z476" s="104">
        <f t="shared" si="95"/>
        <v>0</v>
      </c>
      <c r="AA476" s="104">
        <f t="shared" si="96"/>
        <v>0.2</v>
      </c>
      <c r="AB476" s="104" t="str">
        <f t="shared" si="97"/>
        <v/>
      </c>
    </row>
    <row r="477" spans="1:28" x14ac:dyDescent="0.25">
      <c r="A477" s="55" t="s">
        <v>13272</v>
      </c>
      <c r="B477" s="57"/>
      <c r="C477" s="57"/>
      <c r="D477" s="57"/>
      <c r="E477" s="57"/>
      <c r="F477" s="57">
        <v>5</v>
      </c>
      <c r="G477" s="57"/>
      <c r="H477" s="57"/>
      <c r="I477" s="57">
        <v>3</v>
      </c>
      <c r="J477" s="57"/>
      <c r="K477" s="57"/>
      <c r="L477" s="57"/>
      <c r="M477" s="57"/>
      <c r="Q477">
        <f t="shared" si="98"/>
        <v>0</v>
      </c>
      <c r="R477">
        <f t="shared" si="99"/>
        <v>0</v>
      </c>
      <c r="S477">
        <f t="shared" si="100"/>
        <v>0</v>
      </c>
      <c r="T477">
        <f t="shared" si="101"/>
        <v>5</v>
      </c>
      <c r="U477">
        <f t="shared" si="102"/>
        <v>0</v>
      </c>
      <c r="V477">
        <f t="shared" si="103"/>
        <v>3</v>
      </c>
      <c r="Y477" t="str">
        <f t="shared" si="104"/>
        <v>Vanuatu</v>
      </c>
      <c r="Z477" s="104" t="str">
        <f t="shared" si="95"/>
        <v/>
      </c>
      <c r="AA477" s="104">
        <f t="shared" si="96"/>
        <v>1</v>
      </c>
      <c r="AB477" s="104">
        <f t="shared" si="97"/>
        <v>1</v>
      </c>
    </row>
    <row r="478" spans="1:28" x14ac:dyDescent="0.25">
      <c r="A478" s="55" t="s">
        <v>13409</v>
      </c>
      <c r="B478" s="57"/>
      <c r="C478" s="57"/>
      <c r="D478" s="57"/>
      <c r="E478" s="57">
        <v>4</v>
      </c>
      <c r="F478" s="57">
        <v>6</v>
      </c>
      <c r="G478" s="57"/>
      <c r="H478" s="57">
        <v>1</v>
      </c>
      <c r="I478" s="57">
        <v>6</v>
      </c>
      <c r="J478" s="57"/>
      <c r="K478" s="57"/>
      <c r="L478" s="57"/>
      <c r="M478" s="57"/>
      <c r="Q478">
        <f t="shared" si="98"/>
        <v>0</v>
      </c>
      <c r="R478">
        <f t="shared" si="99"/>
        <v>0</v>
      </c>
      <c r="S478">
        <f t="shared" si="100"/>
        <v>4</v>
      </c>
      <c r="T478">
        <f t="shared" si="101"/>
        <v>6</v>
      </c>
      <c r="U478">
        <f t="shared" si="102"/>
        <v>1</v>
      </c>
      <c r="V478">
        <f t="shared" si="103"/>
        <v>6</v>
      </c>
      <c r="Y478" t="str">
        <f t="shared" si="104"/>
        <v>Vietnam</v>
      </c>
      <c r="Z478" s="104" t="str">
        <f t="shared" si="95"/>
        <v/>
      </c>
      <c r="AA478" s="104">
        <f t="shared" si="96"/>
        <v>0.6</v>
      </c>
      <c r="AB478" s="104">
        <f t="shared" si="97"/>
        <v>0.8571428571428571</v>
      </c>
    </row>
    <row r="479" spans="1:28" x14ac:dyDescent="0.25">
      <c r="A479" s="50" t="s">
        <v>14279</v>
      </c>
      <c r="B479" s="57">
        <v>5</v>
      </c>
      <c r="C479" s="57">
        <v>2</v>
      </c>
      <c r="D479" s="57"/>
      <c r="E479" s="57">
        <v>27</v>
      </c>
      <c r="F479" s="57">
        <v>163</v>
      </c>
      <c r="G479" s="57"/>
      <c r="H479" s="57">
        <v>15</v>
      </c>
      <c r="I479" s="57">
        <v>41</v>
      </c>
      <c r="J479" s="57"/>
      <c r="K479" s="57">
        <v>1</v>
      </c>
      <c r="L479" s="57">
        <v>1</v>
      </c>
      <c r="M479" s="57"/>
      <c r="Q479">
        <f t="shared" si="98"/>
        <v>5</v>
      </c>
      <c r="R479">
        <f t="shared" si="99"/>
        <v>2</v>
      </c>
      <c r="S479">
        <f t="shared" si="100"/>
        <v>27</v>
      </c>
      <c r="T479">
        <f t="shared" si="101"/>
        <v>163</v>
      </c>
      <c r="U479">
        <f t="shared" si="102"/>
        <v>15</v>
      </c>
      <c r="V479">
        <f t="shared" si="103"/>
        <v>41</v>
      </c>
      <c r="Y479" t="str">
        <f t="shared" si="104"/>
        <v>Asia and the Pacific Total</v>
      </c>
      <c r="Z479" s="104">
        <f t="shared" si="95"/>
        <v>0.2857142857142857</v>
      </c>
      <c r="AA479" s="104">
        <f t="shared" si="96"/>
        <v>0.85789473684210527</v>
      </c>
      <c r="AB479" s="104">
        <f t="shared" si="97"/>
        <v>0.7321428571428571</v>
      </c>
    </row>
    <row r="480" spans="1:28" x14ac:dyDescent="0.25">
      <c r="A480" s="50" t="s">
        <v>2807</v>
      </c>
      <c r="B480" s="57"/>
      <c r="C480" s="57"/>
      <c r="D480" s="57"/>
      <c r="E480" s="57"/>
      <c r="F480" s="57"/>
      <c r="G480" s="57"/>
      <c r="H480" s="57"/>
      <c r="I480" s="57"/>
      <c r="J480" s="57"/>
      <c r="K480" s="57"/>
      <c r="L480" s="57"/>
      <c r="M480" s="57"/>
      <c r="Q480">
        <f t="shared" si="98"/>
        <v>0</v>
      </c>
      <c r="R480">
        <f t="shared" si="99"/>
        <v>0</v>
      </c>
      <c r="S480">
        <f t="shared" si="100"/>
        <v>0</v>
      </c>
      <c r="T480">
        <f t="shared" si="101"/>
        <v>0</v>
      </c>
      <c r="U480">
        <f t="shared" si="102"/>
        <v>0</v>
      </c>
      <c r="V480">
        <f t="shared" si="103"/>
        <v>0</v>
      </c>
      <c r="Y480" t="str">
        <f t="shared" si="104"/>
        <v>Latin America and the Caribbean</v>
      </c>
      <c r="Z480" s="104" t="str">
        <f t="shared" si="95"/>
        <v/>
      </c>
      <c r="AA480" s="104" t="str">
        <f t="shared" si="96"/>
        <v/>
      </c>
      <c r="AB480" s="104" t="str">
        <f t="shared" si="97"/>
        <v/>
      </c>
    </row>
    <row r="481" spans="1:28" x14ac:dyDescent="0.25">
      <c r="A481" s="55" t="s">
        <v>2806</v>
      </c>
      <c r="B481" s="57"/>
      <c r="C481" s="57"/>
      <c r="D481" s="57"/>
      <c r="E481" s="57"/>
      <c r="F481" s="57"/>
      <c r="G481" s="57"/>
      <c r="H481" s="57"/>
      <c r="I481" s="57">
        <v>1</v>
      </c>
      <c r="J481" s="57"/>
      <c r="K481" s="57"/>
      <c r="L481" s="57"/>
      <c r="M481" s="57"/>
      <c r="Q481">
        <f t="shared" si="98"/>
        <v>0</v>
      </c>
      <c r="R481">
        <f t="shared" si="99"/>
        <v>0</v>
      </c>
      <c r="S481">
        <f t="shared" si="100"/>
        <v>0</v>
      </c>
      <c r="T481">
        <f t="shared" si="101"/>
        <v>0</v>
      </c>
      <c r="U481">
        <f t="shared" si="102"/>
        <v>0</v>
      </c>
      <c r="V481">
        <f t="shared" si="103"/>
        <v>1</v>
      </c>
      <c r="Y481" t="str">
        <f t="shared" si="104"/>
        <v>Colombia</v>
      </c>
      <c r="Z481" s="104" t="str">
        <f t="shared" si="95"/>
        <v/>
      </c>
      <c r="AA481" s="104" t="str">
        <f t="shared" si="96"/>
        <v/>
      </c>
      <c r="AB481" s="104">
        <f t="shared" si="97"/>
        <v>1</v>
      </c>
    </row>
    <row r="482" spans="1:28" x14ac:dyDescent="0.25">
      <c r="A482" s="55" t="s">
        <v>2931</v>
      </c>
      <c r="B482" s="57"/>
      <c r="C482" s="57"/>
      <c r="D482" s="57"/>
      <c r="E482" s="57"/>
      <c r="F482" s="57">
        <v>1</v>
      </c>
      <c r="G482" s="57"/>
      <c r="H482" s="57"/>
      <c r="I482" s="57"/>
      <c r="J482" s="57"/>
      <c r="K482" s="57"/>
      <c r="L482" s="57"/>
      <c r="M482" s="57"/>
      <c r="Q482">
        <f t="shared" si="98"/>
        <v>0</v>
      </c>
      <c r="R482">
        <f t="shared" si="99"/>
        <v>0</v>
      </c>
      <c r="S482">
        <f t="shared" si="100"/>
        <v>0</v>
      </c>
      <c r="T482">
        <f t="shared" si="101"/>
        <v>1</v>
      </c>
      <c r="U482">
        <f t="shared" si="102"/>
        <v>0</v>
      </c>
      <c r="V482">
        <f t="shared" si="103"/>
        <v>0</v>
      </c>
      <c r="Y482" t="str">
        <f t="shared" si="104"/>
        <v>Costa Rica</v>
      </c>
      <c r="Z482" s="104" t="str">
        <f t="shared" si="95"/>
        <v/>
      </c>
      <c r="AA482" s="104">
        <f t="shared" si="96"/>
        <v>1</v>
      </c>
      <c r="AB482" s="104" t="str">
        <f t="shared" si="97"/>
        <v/>
      </c>
    </row>
    <row r="483" spans="1:28" x14ac:dyDescent="0.25">
      <c r="A483" s="55" t="s">
        <v>3148</v>
      </c>
      <c r="B483" s="57"/>
      <c r="C483" s="57"/>
      <c r="D483" s="57"/>
      <c r="E483" s="57"/>
      <c r="F483" s="57">
        <v>5</v>
      </c>
      <c r="G483" s="57"/>
      <c r="H483" s="57"/>
      <c r="I483" s="57"/>
      <c r="J483" s="57"/>
      <c r="K483" s="57"/>
      <c r="L483" s="57"/>
      <c r="M483" s="57"/>
      <c r="Q483">
        <f t="shared" si="98"/>
        <v>0</v>
      </c>
      <c r="R483">
        <f t="shared" si="99"/>
        <v>0</v>
      </c>
      <c r="S483">
        <f t="shared" si="100"/>
        <v>0</v>
      </c>
      <c r="T483">
        <f t="shared" si="101"/>
        <v>5</v>
      </c>
      <c r="U483">
        <f t="shared" si="102"/>
        <v>0</v>
      </c>
      <c r="V483">
        <f t="shared" si="103"/>
        <v>0</v>
      </c>
      <c r="Y483" t="str">
        <f t="shared" si="104"/>
        <v>Cuba</v>
      </c>
      <c r="Z483" s="104" t="str">
        <f t="shared" si="95"/>
        <v/>
      </c>
      <c r="AA483" s="104">
        <f t="shared" si="96"/>
        <v>1</v>
      </c>
      <c r="AB483" s="104" t="str">
        <f t="shared" si="97"/>
        <v/>
      </c>
    </row>
    <row r="484" spans="1:28" x14ac:dyDescent="0.25">
      <c r="A484" s="55" t="s">
        <v>3261</v>
      </c>
      <c r="B484" s="57"/>
      <c r="C484" s="57"/>
      <c r="D484" s="57"/>
      <c r="E484" s="57"/>
      <c r="F484" s="57"/>
      <c r="G484" s="57"/>
      <c r="H484" s="57"/>
      <c r="I484" s="57"/>
      <c r="J484" s="57"/>
      <c r="K484" s="57"/>
      <c r="L484" s="57"/>
      <c r="M484" s="57"/>
      <c r="Q484">
        <f t="shared" si="98"/>
        <v>0</v>
      </c>
      <c r="R484">
        <f t="shared" si="99"/>
        <v>0</v>
      </c>
      <c r="S484">
        <f t="shared" si="100"/>
        <v>0</v>
      </c>
      <c r="T484">
        <f t="shared" si="101"/>
        <v>0</v>
      </c>
      <c r="U484">
        <f t="shared" si="102"/>
        <v>0</v>
      </c>
      <c r="V484">
        <f t="shared" si="103"/>
        <v>0</v>
      </c>
      <c r="Y484" t="str">
        <f t="shared" si="104"/>
        <v>Dominican Republic</v>
      </c>
      <c r="Z484" s="104" t="str">
        <f t="shared" si="95"/>
        <v/>
      </c>
      <c r="AA484" s="104" t="str">
        <f t="shared" si="96"/>
        <v/>
      </c>
      <c r="AB484" s="104" t="str">
        <f t="shared" si="97"/>
        <v/>
      </c>
    </row>
    <row r="485" spans="1:28" x14ac:dyDescent="0.25">
      <c r="A485" s="55" t="s">
        <v>3272</v>
      </c>
      <c r="B485" s="57"/>
      <c r="C485" s="57"/>
      <c r="D485" s="57"/>
      <c r="E485" s="57">
        <v>6</v>
      </c>
      <c r="F485" s="57">
        <v>9</v>
      </c>
      <c r="G485" s="57"/>
      <c r="H485" s="57">
        <v>1</v>
      </c>
      <c r="I485" s="57">
        <v>1</v>
      </c>
      <c r="J485" s="57"/>
      <c r="K485" s="57"/>
      <c r="L485" s="57"/>
      <c r="M485" s="57"/>
      <c r="Q485">
        <f t="shared" si="98"/>
        <v>0</v>
      </c>
      <c r="R485">
        <f t="shared" si="99"/>
        <v>0</v>
      </c>
      <c r="S485">
        <f t="shared" si="100"/>
        <v>6</v>
      </c>
      <c r="T485">
        <f t="shared" si="101"/>
        <v>9</v>
      </c>
      <c r="U485">
        <f t="shared" si="102"/>
        <v>1</v>
      </c>
      <c r="V485">
        <f t="shared" si="103"/>
        <v>1</v>
      </c>
      <c r="Y485" t="str">
        <f t="shared" si="104"/>
        <v>Ecuador</v>
      </c>
      <c r="Z485" s="104" t="str">
        <f t="shared" si="95"/>
        <v/>
      </c>
      <c r="AA485" s="104">
        <f t="shared" si="96"/>
        <v>0.6</v>
      </c>
      <c r="AB485" s="104">
        <f t="shared" si="97"/>
        <v>0.5</v>
      </c>
    </row>
    <row r="486" spans="1:28" x14ac:dyDescent="0.25">
      <c r="A486" s="55" t="s">
        <v>4777</v>
      </c>
      <c r="B486" s="57"/>
      <c r="C486" s="57"/>
      <c r="D486" s="57"/>
      <c r="E486" s="57"/>
      <c r="F486" s="57">
        <v>6</v>
      </c>
      <c r="G486" s="57"/>
      <c r="H486" s="57">
        <v>4</v>
      </c>
      <c r="I486" s="57">
        <v>5</v>
      </c>
      <c r="J486" s="57"/>
      <c r="K486" s="57"/>
      <c r="L486" s="57"/>
      <c r="M486" s="57"/>
      <c r="Q486">
        <f t="shared" si="98"/>
        <v>0</v>
      </c>
      <c r="R486">
        <f t="shared" si="99"/>
        <v>0</v>
      </c>
      <c r="S486">
        <f t="shared" si="100"/>
        <v>0</v>
      </c>
      <c r="T486">
        <f t="shared" si="101"/>
        <v>6</v>
      </c>
      <c r="U486">
        <f t="shared" si="102"/>
        <v>4</v>
      </c>
      <c r="V486">
        <f t="shared" si="103"/>
        <v>5</v>
      </c>
      <c r="Y486" t="str">
        <f t="shared" si="104"/>
        <v>Guatemala</v>
      </c>
      <c r="Z486" s="104" t="str">
        <f t="shared" si="95"/>
        <v/>
      </c>
      <c r="AA486" s="104">
        <f t="shared" si="96"/>
        <v>1</v>
      </c>
      <c r="AB486" s="104">
        <f t="shared" si="97"/>
        <v>0.55555555555555558</v>
      </c>
    </row>
    <row r="487" spans="1:28" x14ac:dyDescent="0.25">
      <c r="A487" s="55" t="s">
        <v>5061</v>
      </c>
      <c r="B487" s="57"/>
      <c r="C487" s="57"/>
      <c r="D487" s="57"/>
      <c r="E487" s="57"/>
      <c r="F487" s="57">
        <v>8</v>
      </c>
      <c r="G487" s="57"/>
      <c r="H487" s="57"/>
      <c r="I487" s="57"/>
      <c r="J487" s="57"/>
      <c r="K487" s="57"/>
      <c r="L487" s="57"/>
      <c r="M487" s="57"/>
      <c r="Q487">
        <f t="shared" si="98"/>
        <v>0</v>
      </c>
      <c r="R487">
        <f t="shared" si="99"/>
        <v>0</v>
      </c>
      <c r="S487">
        <f t="shared" si="100"/>
        <v>0</v>
      </c>
      <c r="T487">
        <f t="shared" si="101"/>
        <v>8</v>
      </c>
      <c r="U487">
        <f t="shared" si="102"/>
        <v>0</v>
      </c>
      <c r="V487">
        <f t="shared" si="103"/>
        <v>0</v>
      </c>
      <c r="Y487" t="str">
        <f t="shared" si="104"/>
        <v>Haiti</v>
      </c>
      <c r="Z487" s="104" t="str">
        <f t="shared" si="95"/>
        <v/>
      </c>
      <c r="AA487" s="104">
        <f t="shared" si="96"/>
        <v>1</v>
      </c>
      <c r="AB487" s="104" t="str">
        <f t="shared" si="97"/>
        <v/>
      </c>
    </row>
    <row r="488" spans="1:28" x14ac:dyDescent="0.25">
      <c r="A488" s="55" t="s">
        <v>5190</v>
      </c>
      <c r="B488" s="57"/>
      <c r="C488" s="57"/>
      <c r="D488" s="57"/>
      <c r="E488" s="57"/>
      <c r="F488" s="57">
        <v>5</v>
      </c>
      <c r="G488" s="57"/>
      <c r="H488" s="57"/>
      <c r="I488" s="57">
        <v>2</v>
      </c>
      <c r="J488" s="57"/>
      <c r="K488" s="57"/>
      <c r="L488" s="57"/>
      <c r="M488" s="57"/>
      <c r="Q488">
        <f t="shared" si="98"/>
        <v>0</v>
      </c>
      <c r="R488">
        <f t="shared" si="99"/>
        <v>0</v>
      </c>
      <c r="S488">
        <f t="shared" si="100"/>
        <v>0</v>
      </c>
      <c r="T488">
        <f t="shared" si="101"/>
        <v>5</v>
      </c>
      <c r="U488">
        <f t="shared" si="102"/>
        <v>0</v>
      </c>
      <c r="V488">
        <f t="shared" si="103"/>
        <v>2</v>
      </c>
      <c r="Y488" t="str">
        <f t="shared" si="104"/>
        <v>Honduras</v>
      </c>
      <c r="Z488" s="104" t="str">
        <f t="shared" si="95"/>
        <v/>
      </c>
      <c r="AA488" s="104">
        <f t="shared" si="96"/>
        <v>1</v>
      </c>
      <c r="AB488" s="104">
        <f t="shared" si="97"/>
        <v>1</v>
      </c>
    </row>
    <row r="489" spans="1:28" x14ac:dyDescent="0.25">
      <c r="A489" s="55" t="s">
        <v>8138</v>
      </c>
      <c r="B489" s="57"/>
      <c r="C489" s="57"/>
      <c r="D489" s="57"/>
      <c r="E489" s="57"/>
      <c r="F489" s="57"/>
      <c r="G489" s="57"/>
      <c r="H489" s="57"/>
      <c r="I489" s="57">
        <v>1</v>
      </c>
      <c r="J489" s="57"/>
      <c r="K489" s="57"/>
      <c r="L489" s="57"/>
      <c r="M489" s="57"/>
      <c r="Q489">
        <f t="shared" si="98"/>
        <v>0</v>
      </c>
      <c r="R489">
        <f t="shared" si="99"/>
        <v>0</v>
      </c>
      <c r="S489">
        <f t="shared" si="100"/>
        <v>0</v>
      </c>
      <c r="T489">
        <f t="shared" si="101"/>
        <v>0</v>
      </c>
      <c r="U489">
        <f t="shared" si="102"/>
        <v>0</v>
      </c>
      <c r="V489">
        <f t="shared" si="103"/>
        <v>1</v>
      </c>
      <c r="Y489" t="str">
        <f t="shared" si="104"/>
        <v>Mexico</v>
      </c>
      <c r="Z489" s="104" t="str">
        <f t="shared" si="95"/>
        <v/>
      </c>
      <c r="AA489" s="104" t="str">
        <f t="shared" si="96"/>
        <v/>
      </c>
      <c r="AB489" s="104">
        <f t="shared" si="97"/>
        <v>1</v>
      </c>
    </row>
    <row r="490" spans="1:28" x14ac:dyDescent="0.25">
      <c r="A490" s="55" t="s">
        <v>9042</v>
      </c>
      <c r="B490" s="57"/>
      <c r="C490" s="57"/>
      <c r="D490" s="57"/>
      <c r="E490" s="57"/>
      <c r="F490" s="57">
        <v>1</v>
      </c>
      <c r="G490" s="57"/>
      <c r="H490" s="57"/>
      <c r="I490" s="57"/>
      <c r="J490" s="57"/>
      <c r="K490" s="57"/>
      <c r="L490" s="57"/>
      <c r="M490" s="57"/>
      <c r="Q490">
        <f t="shared" si="98"/>
        <v>0</v>
      </c>
      <c r="R490">
        <f t="shared" si="99"/>
        <v>0</v>
      </c>
      <c r="S490">
        <f t="shared" si="100"/>
        <v>0</v>
      </c>
      <c r="T490">
        <f t="shared" si="101"/>
        <v>1</v>
      </c>
      <c r="U490">
        <f t="shared" si="102"/>
        <v>0</v>
      </c>
      <c r="V490">
        <f t="shared" si="103"/>
        <v>0</v>
      </c>
      <c r="Y490" t="str">
        <f t="shared" si="104"/>
        <v>Nicaragua</v>
      </c>
      <c r="Z490" s="104" t="str">
        <f t="shared" si="95"/>
        <v/>
      </c>
      <c r="AA490" s="104">
        <f t="shared" si="96"/>
        <v>1</v>
      </c>
      <c r="AB490" s="104" t="str">
        <f t="shared" si="97"/>
        <v/>
      </c>
    </row>
    <row r="491" spans="1:28" x14ac:dyDescent="0.25">
      <c r="A491" s="55" t="s">
        <v>9514</v>
      </c>
      <c r="B491" s="57"/>
      <c r="C491" s="57"/>
      <c r="D491" s="57"/>
      <c r="E491" s="57"/>
      <c r="F491" s="57"/>
      <c r="G491" s="57"/>
      <c r="H491" s="57"/>
      <c r="I491" s="57"/>
      <c r="J491" s="57"/>
      <c r="K491" s="57"/>
      <c r="L491" s="57"/>
      <c r="M491" s="57"/>
      <c r="Q491">
        <f t="shared" si="98"/>
        <v>0</v>
      </c>
      <c r="R491">
        <f t="shared" si="99"/>
        <v>0</v>
      </c>
      <c r="S491">
        <f t="shared" si="100"/>
        <v>0</v>
      </c>
      <c r="T491">
        <f t="shared" si="101"/>
        <v>0</v>
      </c>
      <c r="U491">
        <f t="shared" si="102"/>
        <v>0</v>
      </c>
      <c r="V491">
        <f t="shared" si="103"/>
        <v>0</v>
      </c>
      <c r="Y491" t="str">
        <f t="shared" si="104"/>
        <v>Panama</v>
      </c>
      <c r="Z491" s="104" t="str">
        <f t="shared" si="95"/>
        <v/>
      </c>
      <c r="AA491" s="104" t="str">
        <f t="shared" si="96"/>
        <v/>
      </c>
      <c r="AB491" s="104" t="str">
        <f t="shared" si="97"/>
        <v/>
      </c>
    </row>
    <row r="492" spans="1:28" x14ac:dyDescent="0.25">
      <c r="A492" s="55" t="s">
        <v>9706</v>
      </c>
      <c r="B492" s="57"/>
      <c r="C492" s="57">
        <v>3</v>
      </c>
      <c r="D492" s="57"/>
      <c r="E492" s="57">
        <v>2</v>
      </c>
      <c r="F492" s="57">
        <v>25</v>
      </c>
      <c r="G492" s="57"/>
      <c r="H492" s="57">
        <v>1</v>
      </c>
      <c r="I492" s="57">
        <v>4</v>
      </c>
      <c r="J492" s="57"/>
      <c r="K492" s="57"/>
      <c r="L492" s="57"/>
      <c r="M492" s="57"/>
      <c r="Q492">
        <f t="shared" si="98"/>
        <v>0</v>
      </c>
      <c r="R492">
        <f t="shared" si="99"/>
        <v>3</v>
      </c>
      <c r="S492">
        <f t="shared" si="100"/>
        <v>2</v>
      </c>
      <c r="T492">
        <f t="shared" si="101"/>
        <v>25</v>
      </c>
      <c r="U492">
        <f t="shared" si="102"/>
        <v>1</v>
      </c>
      <c r="V492">
        <f t="shared" si="103"/>
        <v>4</v>
      </c>
      <c r="Y492" t="str">
        <f t="shared" si="104"/>
        <v>Peru</v>
      </c>
      <c r="Z492" s="104">
        <f t="shared" si="95"/>
        <v>1</v>
      </c>
      <c r="AA492" s="104">
        <f t="shared" si="96"/>
        <v>0.92592592592592593</v>
      </c>
      <c r="AB492" s="104">
        <f t="shared" si="97"/>
        <v>0.8</v>
      </c>
    </row>
    <row r="493" spans="1:28" x14ac:dyDescent="0.25">
      <c r="A493" s="50" t="s">
        <v>14280</v>
      </c>
      <c r="B493" s="57"/>
      <c r="C493" s="57">
        <v>3</v>
      </c>
      <c r="D493" s="57"/>
      <c r="E493" s="57">
        <v>8</v>
      </c>
      <c r="F493" s="57">
        <v>60</v>
      </c>
      <c r="G493" s="57"/>
      <c r="H493" s="57">
        <v>6</v>
      </c>
      <c r="I493" s="57">
        <v>14</v>
      </c>
      <c r="J493" s="57"/>
      <c r="K493" s="57"/>
      <c r="L493" s="57"/>
      <c r="M493" s="57"/>
      <c r="Q493">
        <f t="shared" si="98"/>
        <v>0</v>
      </c>
      <c r="R493">
        <f t="shared" si="99"/>
        <v>3</v>
      </c>
      <c r="S493">
        <f t="shared" si="100"/>
        <v>8</v>
      </c>
      <c r="T493">
        <f t="shared" si="101"/>
        <v>60</v>
      </c>
      <c r="U493">
        <f t="shared" si="102"/>
        <v>6</v>
      </c>
      <c r="V493">
        <f t="shared" si="103"/>
        <v>14</v>
      </c>
      <c r="Y493" t="str">
        <f t="shared" si="104"/>
        <v>Latin America and the Caribbean Total</v>
      </c>
      <c r="Z493" s="104">
        <f t="shared" si="95"/>
        <v>1</v>
      </c>
      <c r="AA493" s="104">
        <f t="shared" si="96"/>
        <v>0.88235294117647056</v>
      </c>
      <c r="AB493" s="104">
        <f t="shared" si="97"/>
        <v>0.7</v>
      </c>
    </row>
    <row r="494" spans="1:28" x14ac:dyDescent="0.25">
      <c r="A494" s="50" t="s">
        <v>602</v>
      </c>
      <c r="B494" s="57"/>
      <c r="C494" s="57"/>
      <c r="D494" s="57"/>
      <c r="E494" s="57"/>
      <c r="F494" s="57"/>
      <c r="G494" s="57"/>
      <c r="H494" s="57"/>
      <c r="I494" s="57"/>
      <c r="J494" s="57"/>
      <c r="K494" s="57"/>
      <c r="L494" s="57"/>
      <c r="M494" s="57"/>
      <c r="Q494">
        <f t="shared" ref="Q494:Q509" si="105">B494</f>
        <v>0</v>
      </c>
      <c r="R494">
        <f t="shared" ref="R494:R509" si="106">C494</f>
        <v>0</v>
      </c>
      <c r="S494">
        <f t="shared" ref="S494:S509" si="107">E494</f>
        <v>0</v>
      </c>
      <c r="T494">
        <f t="shared" ref="T494:T509" si="108">F494</f>
        <v>0</v>
      </c>
      <c r="U494">
        <f t="shared" ref="U494:U509" si="109">H494</f>
        <v>0</v>
      </c>
      <c r="V494">
        <f t="shared" ref="V494:V509" si="110">I494</f>
        <v>0</v>
      </c>
      <c r="Y494" t="str">
        <f t="shared" ref="Y494:Y529" si="111">A494</f>
        <v>Middle East, North Africa and Europe</v>
      </c>
      <c r="Z494" s="104" t="str">
        <f t="shared" si="95"/>
        <v/>
      </c>
      <c r="AA494" s="104" t="str">
        <f t="shared" si="96"/>
        <v/>
      </c>
      <c r="AB494" s="104" t="str">
        <f t="shared" si="97"/>
        <v/>
      </c>
    </row>
    <row r="495" spans="1:28" x14ac:dyDescent="0.25">
      <c r="A495" s="55" t="s">
        <v>601</v>
      </c>
      <c r="B495" s="57"/>
      <c r="C495" s="57"/>
      <c r="D495" s="57"/>
      <c r="E495" s="57"/>
      <c r="F495" s="57"/>
      <c r="G495" s="57"/>
      <c r="H495" s="57"/>
      <c r="I495" s="57">
        <v>1</v>
      </c>
      <c r="J495" s="57"/>
      <c r="K495" s="57"/>
      <c r="L495" s="57"/>
      <c r="M495" s="57"/>
      <c r="Q495">
        <f t="shared" si="105"/>
        <v>0</v>
      </c>
      <c r="R495">
        <f t="shared" si="106"/>
        <v>0</v>
      </c>
      <c r="S495">
        <f t="shared" si="107"/>
        <v>0</v>
      </c>
      <c r="T495">
        <f t="shared" si="108"/>
        <v>0</v>
      </c>
      <c r="U495">
        <f t="shared" si="109"/>
        <v>0</v>
      </c>
      <c r="V495">
        <f t="shared" si="110"/>
        <v>1</v>
      </c>
      <c r="Y495" t="str">
        <f t="shared" si="111"/>
        <v>Albania</v>
      </c>
      <c r="Z495" s="104" t="str">
        <f t="shared" ref="Z495:Z529" si="112">IFERROR(R495/(SUM($Q495:$R495)),"")</f>
        <v/>
      </c>
      <c r="AA495" s="104" t="str">
        <f t="shared" ref="AA495:AA529" si="113">IFERROR(T495/(SUM($S495:$T495)),"")</f>
        <v/>
      </c>
      <c r="AB495" s="104">
        <f t="shared" ref="AB495:AB529" si="114">IFERROR(V495/(SUM($U495:$V495)),"")</f>
        <v>1</v>
      </c>
    </row>
    <row r="496" spans="1:28" x14ac:dyDescent="0.25">
      <c r="A496" s="55" t="s">
        <v>635</v>
      </c>
      <c r="B496" s="57"/>
      <c r="C496" s="57"/>
      <c r="D496" s="57"/>
      <c r="E496" s="57"/>
      <c r="F496" s="57"/>
      <c r="G496" s="57"/>
      <c r="H496" s="57"/>
      <c r="I496" s="57"/>
      <c r="J496" s="57"/>
      <c r="K496" s="57"/>
      <c r="L496" s="57"/>
      <c r="M496" s="57"/>
      <c r="Q496">
        <f t="shared" si="105"/>
        <v>0</v>
      </c>
      <c r="R496">
        <f t="shared" si="106"/>
        <v>0</v>
      </c>
      <c r="S496">
        <f t="shared" si="107"/>
        <v>0</v>
      </c>
      <c r="T496">
        <f t="shared" si="108"/>
        <v>0</v>
      </c>
      <c r="U496">
        <f t="shared" si="109"/>
        <v>0</v>
      </c>
      <c r="V496">
        <f t="shared" si="110"/>
        <v>0</v>
      </c>
      <c r="Y496" t="str">
        <f t="shared" si="111"/>
        <v>Austria</v>
      </c>
      <c r="Z496" s="104" t="str">
        <f t="shared" si="112"/>
        <v/>
      </c>
      <c r="AA496" s="104" t="str">
        <f t="shared" si="113"/>
        <v/>
      </c>
      <c r="AB496" s="104" t="str">
        <f t="shared" si="114"/>
        <v/>
      </c>
    </row>
    <row r="497" spans="1:28" x14ac:dyDescent="0.25">
      <c r="A497" s="55" t="s">
        <v>1527</v>
      </c>
      <c r="B497" s="57"/>
      <c r="C497" s="57"/>
      <c r="D497" s="57"/>
      <c r="E497" s="57"/>
      <c r="F497" s="57"/>
      <c r="G497" s="57"/>
      <c r="H497" s="57"/>
      <c r="I497" s="57"/>
      <c r="J497" s="57"/>
      <c r="K497" s="57"/>
      <c r="L497" s="57"/>
      <c r="M497" s="57"/>
      <c r="Q497">
        <f t="shared" si="105"/>
        <v>0</v>
      </c>
      <c r="R497">
        <f t="shared" si="106"/>
        <v>0</v>
      </c>
      <c r="S497">
        <f t="shared" si="107"/>
        <v>0</v>
      </c>
      <c r="T497">
        <f t="shared" si="108"/>
        <v>0</v>
      </c>
      <c r="U497">
        <f t="shared" si="109"/>
        <v>0</v>
      </c>
      <c r="V497">
        <f t="shared" si="110"/>
        <v>0</v>
      </c>
      <c r="Y497" t="str">
        <f t="shared" si="111"/>
        <v>Belgium</v>
      </c>
      <c r="Z497" s="104" t="str">
        <f t="shared" si="112"/>
        <v/>
      </c>
      <c r="AA497" s="104" t="str">
        <f t="shared" si="113"/>
        <v/>
      </c>
      <c r="AB497" s="104" t="str">
        <f t="shared" si="114"/>
        <v/>
      </c>
    </row>
    <row r="498" spans="1:28" x14ac:dyDescent="0.25">
      <c r="A498" s="55" t="s">
        <v>1735</v>
      </c>
      <c r="B498" s="57"/>
      <c r="C498" s="57"/>
      <c r="D498" s="57"/>
      <c r="E498" s="57"/>
      <c r="F498" s="57">
        <v>2</v>
      </c>
      <c r="G498" s="57"/>
      <c r="H498" s="57">
        <v>1</v>
      </c>
      <c r="I498" s="57">
        <v>2</v>
      </c>
      <c r="J498" s="57"/>
      <c r="K498" s="57"/>
      <c r="L498" s="57"/>
      <c r="M498" s="57"/>
      <c r="Q498">
        <f t="shared" si="105"/>
        <v>0</v>
      </c>
      <c r="R498">
        <f t="shared" si="106"/>
        <v>0</v>
      </c>
      <c r="S498">
        <f t="shared" si="107"/>
        <v>0</v>
      </c>
      <c r="T498">
        <f t="shared" si="108"/>
        <v>2</v>
      </c>
      <c r="U498">
        <f t="shared" si="109"/>
        <v>1</v>
      </c>
      <c r="V498">
        <f t="shared" si="110"/>
        <v>2</v>
      </c>
      <c r="Y498" t="str">
        <f t="shared" si="111"/>
        <v>Bosnia and Herzegovina</v>
      </c>
      <c r="Z498" s="104" t="str">
        <f t="shared" si="112"/>
        <v/>
      </c>
      <c r="AA498" s="104">
        <f t="shared" si="113"/>
        <v>1</v>
      </c>
      <c r="AB498" s="104">
        <f t="shared" si="114"/>
        <v>0.66666666666666663</v>
      </c>
    </row>
    <row r="499" spans="1:28" x14ac:dyDescent="0.25">
      <c r="A499" s="55" t="s">
        <v>3140</v>
      </c>
      <c r="B499" s="57"/>
      <c r="C499" s="57"/>
      <c r="D499" s="57"/>
      <c r="E499" s="57"/>
      <c r="F499" s="57"/>
      <c r="G499" s="57"/>
      <c r="H499" s="57"/>
      <c r="I499" s="57">
        <v>1</v>
      </c>
      <c r="J499" s="57"/>
      <c r="K499" s="57"/>
      <c r="L499" s="57"/>
      <c r="M499" s="57"/>
      <c r="Q499">
        <f t="shared" si="105"/>
        <v>0</v>
      </c>
      <c r="R499">
        <f t="shared" si="106"/>
        <v>0</v>
      </c>
      <c r="S499">
        <f t="shared" si="107"/>
        <v>0</v>
      </c>
      <c r="T499">
        <f t="shared" si="108"/>
        <v>0</v>
      </c>
      <c r="U499">
        <f t="shared" si="109"/>
        <v>0</v>
      </c>
      <c r="V499">
        <f t="shared" si="110"/>
        <v>1</v>
      </c>
      <c r="Y499" t="str">
        <f t="shared" si="111"/>
        <v>Croatia</v>
      </c>
      <c r="Z499" s="104" t="str">
        <f t="shared" si="112"/>
        <v/>
      </c>
      <c r="AA499" s="104" t="str">
        <f t="shared" si="113"/>
        <v/>
      </c>
      <c r="AB499" s="104">
        <f t="shared" si="114"/>
        <v>1</v>
      </c>
    </row>
    <row r="500" spans="1:28" x14ac:dyDescent="0.25">
      <c r="A500" s="55" t="s">
        <v>3231</v>
      </c>
      <c r="B500" s="57"/>
      <c r="C500" s="57"/>
      <c r="D500" s="57"/>
      <c r="E500" s="57"/>
      <c r="F500" s="57"/>
      <c r="G500" s="57"/>
      <c r="H500" s="57"/>
      <c r="I500" s="57"/>
      <c r="J500" s="57"/>
      <c r="K500" s="57"/>
      <c r="L500" s="57"/>
      <c r="M500" s="57"/>
      <c r="Q500">
        <f t="shared" si="105"/>
        <v>0</v>
      </c>
      <c r="R500">
        <f t="shared" si="106"/>
        <v>0</v>
      </c>
      <c r="S500">
        <f t="shared" si="107"/>
        <v>0</v>
      </c>
      <c r="T500">
        <f t="shared" si="108"/>
        <v>0</v>
      </c>
      <c r="U500">
        <f t="shared" si="109"/>
        <v>0</v>
      </c>
      <c r="V500">
        <f t="shared" si="110"/>
        <v>0</v>
      </c>
      <c r="Y500" t="str">
        <f t="shared" si="111"/>
        <v>Czech Republic</v>
      </c>
      <c r="Z500" s="104" t="str">
        <f t="shared" si="112"/>
        <v/>
      </c>
      <c r="AA500" s="104" t="str">
        <f t="shared" si="113"/>
        <v/>
      </c>
      <c r="AB500" s="104" t="str">
        <f t="shared" si="114"/>
        <v/>
      </c>
    </row>
    <row r="501" spans="1:28" x14ac:dyDescent="0.25">
      <c r="A501" s="55" t="s">
        <v>3249</v>
      </c>
      <c r="B501" s="57"/>
      <c r="C501" s="57"/>
      <c r="D501" s="57"/>
      <c r="E501" s="57"/>
      <c r="F501" s="57"/>
      <c r="G501" s="57"/>
      <c r="H501" s="57">
        <v>1</v>
      </c>
      <c r="I501" s="57"/>
      <c r="J501" s="57"/>
      <c r="K501" s="57"/>
      <c r="L501" s="57"/>
      <c r="M501" s="57"/>
      <c r="Q501">
        <f t="shared" si="105"/>
        <v>0</v>
      </c>
      <c r="R501">
        <f t="shared" si="106"/>
        <v>0</v>
      </c>
      <c r="S501">
        <f t="shared" si="107"/>
        <v>0</v>
      </c>
      <c r="T501">
        <f t="shared" si="108"/>
        <v>0</v>
      </c>
      <c r="U501">
        <f t="shared" si="109"/>
        <v>1</v>
      </c>
      <c r="V501">
        <f t="shared" si="110"/>
        <v>0</v>
      </c>
      <c r="Y501" t="str">
        <f t="shared" si="111"/>
        <v>Denmark</v>
      </c>
      <c r="Z501" s="104" t="str">
        <f t="shared" si="112"/>
        <v/>
      </c>
      <c r="AA501" s="104" t="str">
        <f t="shared" si="113"/>
        <v/>
      </c>
      <c r="AB501" s="104">
        <f t="shared" si="114"/>
        <v>0</v>
      </c>
    </row>
    <row r="502" spans="1:28" x14ac:dyDescent="0.25">
      <c r="A502" s="55" t="s">
        <v>3546</v>
      </c>
      <c r="B502" s="57"/>
      <c r="C502" s="57"/>
      <c r="D502" s="57"/>
      <c r="E502" s="57">
        <v>5</v>
      </c>
      <c r="F502" s="57">
        <v>10</v>
      </c>
      <c r="G502" s="57"/>
      <c r="H502" s="57"/>
      <c r="I502" s="57">
        <v>4</v>
      </c>
      <c r="J502" s="57"/>
      <c r="K502" s="57"/>
      <c r="L502" s="57"/>
      <c r="M502" s="57"/>
      <c r="Q502">
        <f t="shared" si="105"/>
        <v>0</v>
      </c>
      <c r="R502">
        <f t="shared" si="106"/>
        <v>0</v>
      </c>
      <c r="S502">
        <f t="shared" si="107"/>
        <v>5</v>
      </c>
      <c r="T502">
        <f t="shared" si="108"/>
        <v>10</v>
      </c>
      <c r="U502">
        <f t="shared" si="109"/>
        <v>0</v>
      </c>
      <c r="V502">
        <f t="shared" si="110"/>
        <v>4</v>
      </c>
      <c r="Y502" t="str">
        <f t="shared" si="111"/>
        <v>Egypt</v>
      </c>
      <c r="Z502" s="104" t="str">
        <f t="shared" si="112"/>
        <v/>
      </c>
      <c r="AA502" s="104">
        <f t="shared" si="113"/>
        <v>0.66666666666666663</v>
      </c>
      <c r="AB502" s="104">
        <f t="shared" si="114"/>
        <v>1</v>
      </c>
    </row>
    <row r="503" spans="1:28" x14ac:dyDescent="0.25">
      <c r="A503" s="55" t="s">
        <v>4293</v>
      </c>
      <c r="B503" s="57"/>
      <c r="C503" s="57"/>
      <c r="D503" s="57"/>
      <c r="E503" s="57">
        <v>2</v>
      </c>
      <c r="F503" s="57">
        <v>1</v>
      </c>
      <c r="G503" s="57"/>
      <c r="H503" s="57"/>
      <c r="I503" s="57"/>
      <c r="J503" s="57"/>
      <c r="K503" s="57"/>
      <c r="L503" s="57"/>
      <c r="M503" s="57"/>
      <c r="Q503">
        <f t="shared" si="105"/>
        <v>0</v>
      </c>
      <c r="R503">
        <f t="shared" si="106"/>
        <v>0</v>
      </c>
      <c r="S503">
        <f t="shared" si="107"/>
        <v>2</v>
      </c>
      <c r="T503">
        <f t="shared" si="108"/>
        <v>1</v>
      </c>
      <c r="U503">
        <f t="shared" si="109"/>
        <v>0</v>
      </c>
      <c r="V503">
        <f t="shared" si="110"/>
        <v>0</v>
      </c>
      <c r="Y503" t="str">
        <f t="shared" si="111"/>
        <v>France</v>
      </c>
      <c r="Z503" s="104" t="str">
        <f t="shared" si="112"/>
        <v/>
      </c>
      <c r="AA503" s="104">
        <f t="shared" si="113"/>
        <v>0.33333333333333331</v>
      </c>
      <c r="AB503" s="104" t="str">
        <f t="shared" si="114"/>
        <v/>
      </c>
    </row>
    <row r="504" spans="1:28" x14ac:dyDescent="0.25">
      <c r="A504" s="55" t="s">
        <v>4346</v>
      </c>
      <c r="B504" s="57"/>
      <c r="C504" s="57"/>
      <c r="D504" s="57"/>
      <c r="E504" s="57"/>
      <c r="F504" s="57">
        <v>1</v>
      </c>
      <c r="G504" s="57"/>
      <c r="H504" s="57"/>
      <c r="I504" s="57">
        <v>2</v>
      </c>
      <c r="J504" s="57"/>
      <c r="K504" s="57"/>
      <c r="L504" s="57"/>
      <c r="M504" s="57"/>
      <c r="Q504">
        <f t="shared" si="105"/>
        <v>0</v>
      </c>
      <c r="R504">
        <f t="shared" si="106"/>
        <v>0</v>
      </c>
      <c r="S504">
        <f t="shared" si="107"/>
        <v>0</v>
      </c>
      <c r="T504">
        <f t="shared" si="108"/>
        <v>1</v>
      </c>
      <c r="U504">
        <f t="shared" si="109"/>
        <v>0</v>
      </c>
      <c r="V504">
        <f t="shared" si="110"/>
        <v>2</v>
      </c>
      <c r="Y504" t="str">
        <f t="shared" si="111"/>
        <v>Georgia</v>
      </c>
      <c r="Z504" s="104" t="str">
        <f t="shared" si="112"/>
        <v/>
      </c>
      <c r="AA504" s="104">
        <f t="shared" si="113"/>
        <v>1</v>
      </c>
      <c r="AB504" s="104">
        <f t="shared" si="114"/>
        <v>1</v>
      </c>
    </row>
    <row r="505" spans="1:28" x14ac:dyDescent="0.25">
      <c r="A505" s="55" t="s">
        <v>4428</v>
      </c>
      <c r="B505" s="57"/>
      <c r="C505" s="57"/>
      <c r="D505" s="57"/>
      <c r="E505" s="57"/>
      <c r="F505" s="57"/>
      <c r="G505" s="57"/>
      <c r="H505" s="57">
        <v>3</v>
      </c>
      <c r="I505" s="57"/>
      <c r="J505" s="57"/>
      <c r="K505" s="57"/>
      <c r="L505" s="57"/>
      <c r="M505" s="57"/>
      <c r="Q505">
        <f t="shared" si="105"/>
        <v>0</v>
      </c>
      <c r="R505">
        <f t="shared" si="106"/>
        <v>0</v>
      </c>
      <c r="S505">
        <f t="shared" si="107"/>
        <v>0</v>
      </c>
      <c r="T505">
        <f t="shared" si="108"/>
        <v>0</v>
      </c>
      <c r="U505">
        <f t="shared" si="109"/>
        <v>3</v>
      </c>
      <c r="V505">
        <f t="shared" si="110"/>
        <v>0</v>
      </c>
      <c r="Y505" t="str">
        <f t="shared" si="111"/>
        <v>Germany</v>
      </c>
      <c r="Z505" s="104" t="str">
        <f t="shared" si="112"/>
        <v/>
      </c>
      <c r="AA505" s="104" t="str">
        <f t="shared" si="113"/>
        <v/>
      </c>
      <c r="AB505" s="104">
        <f t="shared" si="114"/>
        <v>0</v>
      </c>
    </row>
    <row r="506" spans="1:28" x14ac:dyDescent="0.25">
      <c r="A506" s="55" t="s">
        <v>4743</v>
      </c>
      <c r="B506" s="57"/>
      <c r="C506" s="57"/>
      <c r="D506" s="57"/>
      <c r="E506" s="57"/>
      <c r="F506" s="57">
        <v>1</v>
      </c>
      <c r="G506" s="57"/>
      <c r="H506" s="57"/>
      <c r="I506" s="57"/>
      <c r="J506" s="57"/>
      <c r="K506" s="57"/>
      <c r="L506" s="57"/>
      <c r="M506" s="57"/>
      <c r="Q506">
        <f t="shared" si="105"/>
        <v>0</v>
      </c>
      <c r="R506">
        <f t="shared" si="106"/>
        <v>0</v>
      </c>
      <c r="S506">
        <f t="shared" si="107"/>
        <v>0</v>
      </c>
      <c r="T506">
        <f t="shared" si="108"/>
        <v>1</v>
      </c>
      <c r="U506">
        <f t="shared" si="109"/>
        <v>0</v>
      </c>
      <c r="V506">
        <f t="shared" si="110"/>
        <v>0</v>
      </c>
      <c r="Y506" t="str">
        <f t="shared" si="111"/>
        <v>Greece</v>
      </c>
      <c r="Z506" s="104" t="str">
        <f t="shared" si="112"/>
        <v/>
      </c>
      <c r="AA506" s="104">
        <f t="shared" si="113"/>
        <v>1</v>
      </c>
      <c r="AB506" s="104" t="str">
        <f t="shared" si="114"/>
        <v/>
      </c>
    </row>
    <row r="507" spans="1:28" x14ac:dyDescent="0.25">
      <c r="A507" s="55" t="s">
        <v>6024</v>
      </c>
      <c r="B507" s="57">
        <v>1</v>
      </c>
      <c r="C507" s="57"/>
      <c r="D507" s="57"/>
      <c r="E507" s="57"/>
      <c r="F507" s="57">
        <v>6</v>
      </c>
      <c r="G507" s="57"/>
      <c r="H507" s="57"/>
      <c r="I507" s="57"/>
      <c r="J507" s="57"/>
      <c r="K507" s="57"/>
      <c r="L507" s="57"/>
      <c r="M507" s="57"/>
      <c r="Q507">
        <f t="shared" si="105"/>
        <v>1</v>
      </c>
      <c r="R507">
        <f t="shared" si="106"/>
        <v>0</v>
      </c>
      <c r="S507">
        <f t="shared" si="107"/>
        <v>0</v>
      </c>
      <c r="T507">
        <f t="shared" si="108"/>
        <v>6</v>
      </c>
      <c r="U507">
        <f t="shared" si="109"/>
        <v>0</v>
      </c>
      <c r="V507">
        <f t="shared" si="110"/>
        <v>0</v>
      </c>
      <c r="Y507" t="str">
        <f t="shared" si="111"/>
        <v>Iraq</v>
      </c>
      <c r="Z507" s="104">
        <f t="shared" si="112"/>
        <v>0</v>
      </c>
      <c r="AA507" s="104">
        <f t="shared" si="113"/>
        <v>1</v>
      </c>
      <c r="AB507" s="104" t="str">
        <f t="shared" si="114"/>
        <v/>
      </c>
    </row>
    <row r="508" spans="1:28" x14ac:dyDescent="0.25">
      <c r="A508" s="55" t="s">
        <v>6105</v>
      </c>
      <c r="B508" s="57"/>
      <c r="C508" s="57"/>
      <c r="D508" s="57"/>
      <c r="E508" s="57"/>
      <c r="F508" s="57">
        <v>14</v>
      </c>
      <c r="G508" s="57"/>
      <c r="H508" s="57"/>
      <c r="I508" s="57">
        <v>6</v>
      </c>
      <c r="J508" s="57"/>
      <c r="K508" s="57"/>
      <c r="L508" s="57"/>
      <c r="M508" s="57"/>
      <c r="Q508">
        <f t="shared" si="105"/>
        <v>0</v>
      </c>
      <c r="R508">
        <f t="shared" si="106"/>
        <v>0</v>
      </c>
      <c r="S508">
        <f t="shared" si="107"/>
        <v>0</v>
      </c>
      <c r="T508">
        <f t="shared" si="108"/>
        <v>14</v>
      </c>
      <c r="U508">
        <f t="shared" si="109"/>
        <v>0</v>
      </c>
      <c r="V508">
        <f t="shared" si="110"/>
        <v>6</v>
      </c>
      <c r="Y508" t="str">
        <f t="shared" si="111"/>
        <v>Jordan</v>
      </c>
      <c r="Z508" s="104" t="str">
        <f t="shared" si="112"/>
        <v/>
      </c>
      <c r="AA508" s="104">
        <f t="shared" si="113"/>
        <v>1</v>
      </c>
      <c r="AB508" s="104">
        <f t="shared" si="114"/>
        <v>1</v>
      </c>
    </row>
    <row r="509" spans="1:28" x14ac:dyDescent="0.25">
      <c r="A509" s="55" t="s">
        <v>6805</v>
      </c>
      <c r="B509" s="57"/>
      <c r="C509" s="57"/>
      <c r="D509" s="57"/>
      <c r="E509" s="57">
        <v>1</v>
      </c>
      <c r="F509" s="57">
        <v>1</v>
      </c>
      <c r="G509" s="57"/>
      <c r="H509" s="57"/>
      <c r="I509" s="57">
        <v>1</v>
      </c>
      <c r="J509" s="57"/>
      <c r="K509" s="57"/>
      <c r="L509" s="57"/>
      <c r="M509" s="57"/>
      <c r="Q509">
        <f t="shared" si="105"/>
        <v>0</v>
      </c>
      <c r="R509">
        <f t="shared" si="106"/>
        <v>0</v>
      </c>
      <c r="S509">
        <f t="shared" si="107"/>
        <v>1</v>
      </c>
      <c r="T509">
        <f t="shared" si="108"/>
        <v>1</v>
      </c>
      <c r="U509">
        <f t="shared" si="109"/>
        <v>0</v>
      </c>
      <c r="V509">
        <f t="shared" si="110"/>
        <v>1</v>
      </c>
      <c r="Y509" t="str">
        <f t="shared" si="111"/>
        <v>Kosovo</v>
      </c>
      <c r="Z509" s="104" t="str">
        <f t="shared" si="112"/>
        <v/>
      </c>
      <c r="AA509" s="104">
        <f t="shared" si="113"/>
        <v>0.5</v>
      </c>
      <c r="AB509" s="104">
        <f t="shared" si="114"/>
        <v>1</v>
      </c>
    </row>
    <row r="510" spans="1:28" x14ac:dyDescent="0.25">
      <c r="A510" s="55" t="s">
        <v>7083</v>
      </c>
      <c r="B510" s="57"/>
      <c r="C510" s="57"/>
      <c r="D510" s="57"/>
      <c r="E510" s="57"/>
      <c r="F510" s="57">
        <v>6</v>
      </c>
      <c r="G510" s="57"/>
      <c r="H510" s="57"/>
      <c r="I510" s="57"/>
      <c r="J510" s="57"/>
      <c r="K510" s="57"/>
      <c r="L510" s="57"/>
      <c r="M510" s="57"/>
      <c r="Q510">
        <f t="shared" ref="Q510:R529" si="115">B510</f>
        <v>0</v>
      </c>
      <c r="R510">
        <f t="shared" si="115"/>
        <v>0</v>
      </c>
      <c r="S510">
        <f t="shared" ref="S510:T529" si="116">E510</f>
        <v>0</v>
      </c>
      <c r="T510">
        <f t="shared" si="116"/>
        <v>6</v>
      </c>
      <c r="U510">
        <f t="shared" ref="U510:V529" si="117">H510</f>
        <v>0</v>
      </c>
      <c r="V510">
        <f t="shared" si="117"/>
        <v>0</v>
      </c>
      <c r="Y510" t="str">
        <f t="shared" si="111"/>
        <v>Lebanon</v>
      </c>
      <c r="Z510" s="104" t="str">
        <f t="shared" si="112"/>
        <v/>
      </c>
      <c r="AA510" s="104">
        <f t="shared" si="113"/>
        <v>1</v>
      </c>
      <c r="AB510" s="104" t="str">
        <f t="shared" si="114"/>
        <v/>
      </c>
    </row>
    <row r="511" spans="1:28" x14ac:dyDescent="0.25">
      <c r="A511" s="55" t="s">
        <v>7194</v>
      </c>
      <c r="B511" s="57"/>
      <c r="C511" s="57"/>
      <c r="D511" s="57"/>
      <c r="E511" s="57"/>
      <c r="F511" s="57"/>
      <c r="G511" s="57"/>
      <c r="H511" s="57"/>
      <c r="I511" s="57">
        <v>1</v>
      </c>
      <c r="J511" s="57"/>
      <c r="K511" s="57"/>
      <c r="L511" s="57"/>
      <c r="M511" s="57"/>
      <c r="Q511">
        <f t="shared" si="115"/>
        <v>0</v>
      </c>
      <c r="R511">
        <f t="shared" si="115"/>
        <v>0</v>
      </c>
      <c r="S511">
        <f t="shared" si="116"/>
        <v>0</v>
      </c>
      <c r="T511">
        <f t="shared" si="116"/>
        <v>0</v>
      </c>
      <c r="U511">
        <f t="shared" si="117"/>
        <v>0</v>
      </c>
      <c r="V511">
        <f t="shared" si="117"/>
        <v>1</v>
      </c>
      <c r="Y511" t="str">
        <f t="shared" si="111"/>
        <v>Macedonia</v>
      </c>
      <c r="Z511" s="104" t="str">
        <f t="shared" si="112"/>
        <v/>
      </c>
      <c r="AA511" s="104" t="str">
        <f t="shared" si="113"/>
        <v/>
      </c>
      <c r="AB511" s="104">
        <f t="shared" si="114"/>
        <v>1</v>
      </c>
    </row>
    <row r="512" spans="1:28" x14ac:dyDescent="0.25">
      <c r="A512" s="55" t="s">
        <v>8140</v>
      </c>
      <c r="B512" s="57"/>
      <c r="C512" s="57"/>
      <c r="D512" s="57"/>
      <c r="E512" s="57">
        <v>1</v>
      </c>
      <c r="F512" s="57">
        <v>2</v>
      </c>
      <c r="G512" s="57"/>
      <c r="H512" s="57"/>
      <c r="I512" s="57"/>
      <c r="J512" s="57"/>
      <c r="K512" s="57"/>
      <c r="L512" s="57"/>
      <c r="M512" s="57"/>
      <c r="Q512">
        <f t="shared" si="115"/>
        <v>0</v>
      </c>
      <c r="R512">
        <f t="shared" si="115"/>
        <v>0</v>
      </c>
      <c r="S512">
        <f t="shared" si="116"/>
        <v>1</v>
      </c>
      <c r="T512">
        <f t="shared" si="116"/>
        <v>2</v>
      </c>
      <c r="U512">
        <f t="shared" si="117"/>
        <v>0</v>
      </c>
      <c r="V512">
        <f t="shared" si="117"/>
        <v>0</v>
      </c>
      <c r="Y512" t="str">
        <f t="shared" si="111"/>
        <v>Montenegro</v>
      </c>
      <c r="Z512" s="104" t="str">
        <f t="shared" si="112"/>
        <v/>
      </c>
      <c r="AA512" s="104">
        <f t="shared" si="113"/>
        <v>0.66666666666666663</v>
      </c>
      <c r="AB512" s="104" t="str">
        <f t="shared" si="114"/>
        <v/>
      </c>
    </row>
    <row r="513" spans="1:28" x14ac:dyDescent="0.25">
      <c r="A513" s="55" t="s">
        <v>8180</v>
      </c>
      <c r="B513" s="57"/>
      <c r="C513" s="57"/>
      <c r="D513" s="57"/>
      <c r="E513" s="57"/>
      <c r="F513" s="57">
        <v>5</v>
      </c>
      <c r="G513" s="57"/>
      <c r="H513" s="57"/>
      <c r="I513" s="57"/>
      <c r="J513" s="57"/>
      <c r="K513" s="57"/>
      <c r="L513" s="57"/>
      <c r="M513" s="57"/>
      <c r="Q513">
        <f t="shared" si="115"/>
        <v>0</v>
      </c>
      <c r="R513">
        <f t="shared" si="115"/>
        <v>0</v>
      </c>
      <c r="S513">
        <f t="shared" si="116"/>
        <v>0</v>
      </c>
      <c r="T513">
        <f t="shared" si="116"/>
        <v>5</v>
      </c>
      <c r="U513">
        <f t="shared" si="117"/>
        <v>0</v>
      </c>
      <c r="V513">
        <f t="shared" si="117"/>
        <v>0</v>
      </c>
      <c r="Y513" t="str">
        <f t="shared" si="111"/>
        <v>Morocco</v>
      </c>
      <c r="Z513" s="104" t="str">
        <f t="shared" si="112"/>
        <v/>
      </c>
      <c r="AA513" s="104">
        <f t="shared" si="113"/>
        <v>1</v>
      </c>
      <c r="AB513" s="104" t="str">
        <f t="shared" si="114"/>
        <v/>
      </c>
    </row>
    <row r="514" spans="1:28" x14ac:dyDescent="0.25">
      <c r="A514" s="55" t="s">
        <v>9020</v>
      </c>
      <c r="B514" s="57"/>
      <c r="C514" s="57"/>
      <c r="D514" s="57"/>
      <c r="E514" s="57"/>
      <c r="F514" s="57"/>
      <c r="G514" s="57"/>
      <c r="H514" s="57"/>
      <c r="I514" s="57"/>
      <c r="J514" s="57"/>
      <c r="K514" s="57"/>
      <c r="L514" s="57"/>
      <c r="M514" s="57"/>
      <c r="Q514">
        <f t="shared" si="115"/>
        <v>0</v>
      </c>
      <c r="R514">
        <f t="shared" si="115"/>
        <v>0</v>
      </c>
      <c r="S514">
        <f t="shared" si="116"/>
        <v>0</v>
      </c>
      <c r="T514">
        <f t="shared" si="116"/>
        <v>0</v>
      </c>
      <c r="U514">
        <f t="shared" si="117"/>
        <v>0</v>
      </c>
      <c r="V514">
        <f t="shared" si="117"/>
        <v>0</v>
      </c>
      <c r="Y514" t="str">
        <f t="shared" si="111"/>
        <v>Netherlands</v>
      </c>
      <c r="Z514" s="104" t="str">
        <f t="shared" si="112"/>
        <v/>
      </c>
      <c r="AA514" s="104" t="str">
        <f t="shared" si="113"/>
        <v/>
      </c>
      <c r="AB514" s="104" t="str">
        <f t="shared" si="114"/>
        <v/>
      </c>
    </row>
    <row r="515" spans="1:28" x14ac:dyDescent="0.25">
      <c r="A515" s="55" t="s">
        <v>9409</v>
      </c>
      <c r="B515" s="57"/>
      <c r="C515" s="57"/>
      <c r="D515" s="57"/>
      <c r="E515" s="57"/>
      <c r="F515" s="57"/>
      <c r="G515" s="57"/>
      <c r="H515" s="57">
        <v>1</v>
      </c>
      <c r="I515" s="57"/>
      <c r="J515" s="57"/>
      <c r="K515" s="57"/>
      <c r="L515" s="57"/>
      <c r="M515" s="57"/>
      <c r="Q515">
        <f t="shared" si="115"/>
        <v>0</v>
      </c>
      <c r="R515">
        <f t="shared" si="115"/>
        <v>0</v>
      </c>
      <c r="S515">
        <f t="shared" si="116"/>
        <v>0</v>
      </c>
      <c r="T515">
        <f t="shared" si="116"/>
        <v>0</v>
      </c>
      <c r="U515">
        <f t="shared" si="117"/>
        <v>1</v>
      </c>
      <c r="V515">
        <f t="shared" si="117"/>
        <v>0</v>
      </c>
      <c r="Y515" t="str">
        <f t="shared" si="111"/>
        <v>Norway</v>
      </c>
      <c r="Z515" s="104" t="str">
        <f t="shared" si="112"/>
        <v/>
      </c>
      <c r="AA515" s="104" t="str">
        <f t="shared" si="113"/>
        <v/>
      </c>
      <c r="AB515" s="104">
        <f t="shared" si="114"/>
        <v>0</v>
      </c>
    </row>
    <row r="516" spans="1:28" x14ac:dyDescent="0.25">
      <c r="A516" s="55" t="s">
        <v>10350</v>
      </c>
      <c r="B516" s="57"/>
      <c r="C516" s="57"/>
      <c r="D516" s="57"/>
      <c r="E516" s="57"/>
      <c r="F516" s="57"/>
      <c r="G516" s="57"/>
      <c r="H516" s="57"/>
      <c r="I516" s="57"/>
      <c r="J516" s="57"/>
      <c r="K516" s="57"/>
      <c r="L516" s="57"/>
      <c r="M516" s="57"/>
      <c r="Q516">
        <f t="shared" si="115"/>
        <v>0</v>
      </c>
      <c r="R516">
        <f t="shared" si="115"/>
        <v>0</v>
      </c>
      <c r="S516">
        <f t="shared" si="116"/>
        <v>0</v>
      </c>
      <c r="T516">
        <f t="shared" si="116"/>
        <v>0</v>
      </c>
      <c r="U516">
        <f t="shared" si="117"/>
        <v>0</v>
      </c>
      <c r="V516">
        <f t="shared" si="117"/>
        <v>0</v>
      </c>
      <c r="Y516" t="str">
        <f t="shared" si="111"/>
        <v>Romania</v>
      </c>
      <c r="Z516" s="104" t="str">
        <f t="shared" si="112"/>
        <v/>
      </c>
      <c r="AA516" s="104" t="str">
        <f t="shared" si="113"/>
        <v/>
      </c>
      <c r="AB516" s="104" t="str">
        <f t="shared" si="114"/>
        <v/>
      </c>
    </row>
    <row r="517" spans="1:28" x14ac:dyDescent="0.25">
      <c r="A517" s="55" t="s">
        <v>10558</v>
      </c>
      <c r="B517" s="57"/>
      <c r="C517" s="57"/>
      <c r="D517" s="57"/>
      <c r="E517" s="57"/>
      <c r="F517" s="57">
        <v>6</v>
      </c>
      <c r="G517" s="57"/>
      <c r="H517" s="57"/>
      <c r="I517" s="57">
        <v>1</v>
      </c>
      <c r="J517" s="57"/>
      <c r="K517" s="57"/>
      <c r="L517" s="57"/>
      <c r="M517" s="57"/>
      <c r="Q517">
        <f t="shared" si="115"/>
        <v>0</v>
      </c>
      <c r="R517">
        <f t="shared" si="115"/>
        <v>0</v>
      </c>
      <c r="S517">
        <f t="shared" si="116"/>
        <v>0</v>
      </c>
      <c r="T517">
        <f t="shared" si="116"/>
        <v>6</v>
      </c>
      <c r="U517">
        <f t="shared" si="117"/>
        <v>0</v>
      </c>
      <c r="V517">
        <f t="shared" si="117"/>
        <v>1</v>
      </c>
      <c r="Y517" t="str">
        <f t="shared" si="111"/>
        <v>Serbia</v>
      </c>
      <c r="Z517" s="104" t="str">
        <f t="shared" si="112"/>
        <v/>
      </c>
      <c r="AA517" s="104">
        <f t="shared" si="113"/>
        <v>1</v>
      </c>
      <c r="AB517" s="104">
        <f t="shared" si="114"/>
        <v>1</v>
      </c>
    </row>
    <row r="518" spans="1:28" x14ac:dyDescent="0.25">
      <c r="A518" s="55" t="s">
        <v>11664</v>
      </c>
      <c r="B518" s="57"/>
      <c r="C518" s="57"/>
      <c r="D518" s="57"/>
      <c r="E518" s="57"/>
      <c r="F518" s="57"/>
      <c r="G518" s="57"/>
      <c r="H518" s="57"/>
      <c r="I518" s="57"/>
      <c r="J518" s="57"/>
      <c r="K518" s="57"/>
      <c r="L518" s="57"/>
      <c r="M518" s="57"/>
      <c r="Q518">
        <f t="shared" si="115"/>
        <v>0</v>
      </c>
      <c r="R518">
        <f t="shared" si="115"/>
        <v>0</v>
      </c>
      <c r="S518">
        <f t="shared" si="116"/>
        <v>0</v>
      </c>
      <c r="T518">
        <f t="shared" si="116"/>
        <v>0</v>
      </c>
      <c r="U518">
        <f t="shared" si="117"/>
        <v>0</v>
      </c>
      <c r="V518">
        <f t="shared" si="117"/>
        <v>0</v>
      </c>
      <c r="Y518" t="str">
        <f t="shared" si="111"/>
        <v>Switzerland</v>
      </c>
      <c r="Z518" s="104" t="str">
        <f t="shared" si="112"/>
        <v/>
      </c>
      <c r="AA518" s="104" t="str">
        <f t="shared" si="113"/>
        <v/>
      </c>
      <c r="AB518" s="104" t="str">
        <f t="shared" si="114"/>
        <v/>
      </c>
    </row>
    <row r="519" spans="1:28" x14ac:dyDescent="0.25">
      <c r="A519" s="55" t="s">
        <v>11693</v>
      </c>
      <c r="B519" s="57">
        <v>1</v>
      </c>
      <c r="C519" s="57"/>
      <c r="D519" s="57"/>
      <c r="E519" s="57"/>
      <c r="F519" s="57">
        <v>7</v>
      </c>
      <c r="G519" s="57"/>
      <c r="H519" s="57"/>
      <c r="I519" s="57"/>
      <c r="J519" s="57"/>
      <c r="K519" s="57">
        <v>3</v>
      </c>
      <c r="L519" s="57"/>
      <c r="M519" s="57"/>
      <c r="Q519">
        <f t="shared" si="115"/>
        <v>1</v>
      </c>
      <c r="R519">
        <f t="shared" si="115"/>
        <v>0</v>
      </c>
      <c r="S519">
        <f t="shared" si="116"/>
        <v>0</v>
      </c>
      <c r="T519">
        <f t="shared" si="116"/>
        <v>7</v>
      </c>
      <c r="U519">
        <f t="shared" si="117"/>
        <v>0</v>
      </c>
      <c r="V519">
        <f t="shared" si="117"/>
        <v>0</v>
      </c>
      <c r="Y519" t="str">
        <f t="shared" si="111"/>
        <v>Syria</v>
      </c>
      <c r="Z519" s="104">
        <f t="shared" si="112"/>
        <v>0</v>
      </c>
      <c r="AA519" s="104">
        <f t="shared" si="113"/>
        <v>1</v>
      </c>
      <c r="AB519" s="104" t="str">
        <f t="shared" si="114"/>
        <v/>
      </c>
    </row>
    <row r="520" spans="1:28" x14ac:dyDescent="0.25">
      <c r="A520" s="55" t="s">
        <v>12654</v>
      </c>
      <c r="B520" s="57"/>
      <c r="C520" s="57"/>
      <c r="D520" s="57"/>
      <c r="E520" s="57"/>
      <c r="F520" s="57"/>
      <c r="G520" s="57"/>
      <c r="H520" s="57"/>
      <c r="I520" s="57"/>
      <c r="J520" s="57"/>
      <c r="K520" s="57"/>
      <c r="L520" s="57"/>
      <c r="M520" s="57"/>
      <c r="Q520">
        <f t="shared" si="115"/>
        <v>0</v>
      </c>
      <c r="R520">
        <f t="shared" si="115"/>
        <v>0</v>
      </c>
      <c r="S520">
        <f t="shared" si="116"/>
        <v>0</v>
      </c>
      <c r="T520">
        <f t="shared" si="116"/>
        <v>0</v>
      </c>
      <c r="U520">
        <f t="shared" si="117"/>
        <v>0</v>
      </c>
      <c r="V520">
        <f t="shared" si="117"/>
        <v>0</v>
      </c>
      <c r="Y520" t="str">
        <f t="shared" si="111"/>
        <v>Turkey</v>
      </c>
      <c r="Z520" s="104" t="str">
        <f t="shared" si="112"/>
        <v/>
      </c>
      <c r="AA520" s="104" t="str">
        <f t="shared" si="113"/>
        <v/>
      </c>
      <c r="AB520" s="104" t="str">
        <f t="shared" si="114"/>
        <v/>
      </c>
    </row>
    <row r="521" spans="1:28" x14ac:dyDescent="0.25">
      <c r="A521" s="55" t="s">
        <v>12907</v>
      </c>
      <c r="B521" s="57"/>
      <c r="C521" s="57"/>
      <c r="D521" s="57"/>
      <c r="E521" s="57">
        <v>1</v>
      </c>
      <c r="F521" s="57"/>
      <c r="G521" s="57"/>
      <c r="H521" s="57"/>
      <c r="I521" s="57"/>
      <c r="J521" s="57"/>
      <c r="K521" s="57"/>
      <c r="L521" s="57"/>
      <c r="M521" s="57"/>
      <c r="Q521">
        <f t="shared" si="115"/>
        <v>0</v>
      </c>
      <c r="R521">
        <f t="shared" si="115"/>
        <v>0</v>
      </c>
      <c r="S521">
        <f t="shared" si="116"/>
        <v>1</v>
      </c>
      <c r="T521">
        <f t="shared" si="116"/>
        <v>0</v>
      </c>
      <c r="U521">
        <f t="shared" si="117"/>
        <v>0</v>
      </c>
      <c r="V521">
        <f t="shared" si="117"/>
        <v>0</v>
      </c>
      <c r="Y521" t="str">
        <f t="shared" si="111"/>
        <v>United Kingdom</v>
      </c>
      <c r="Z521" s="104" t="str">
        <f t="shared" si="112"/>
        <v/>
      </c>
      <c r="AA521" s="104">
        <f t="shared" si="113"/>
        <v>0</v>
      </c>
      <c r="AB521" s="104" t="str">
        <f t="shared" si="114"/>
        <v/>
      </c>
    </row>
    <row r="522" spans="1:28" x14ac:dyDescent="0.25">
      <c r="A522" s="55" t="s">
        <v>13710</v>
      </c>
      <c r="B522" s="57"/>
      <c r="C522" s="57"/>
      <c r="D522" s="57"/>
      <c r="E522" s="57"/>
      <c r="F522" s="57">
        <v>5</v>
      </c>
      <c r="G522" s="57"/>
      <c r="H522" s="57"/>
      <c r="I522" s="57">
        <v>2</v>
      </c>
      <c r="J522" s="57"/>
      <c r="K522" s="57"/>
      <c r="L522" s="57"/>
      <c r="M522" s="57"/>
      <c r="Q522">
        <f t="shared" si="115"/>
        <v>0</v>
      </c>
      <c r="R522">
        <f t="shared" si="115"/>
        <v>0</v>
      </c>
      <c r="S522">
        <f t="shared" si="116"/>
        <v>0</v>
      </c>
      <c r="T522">
        <f t="shared" si="116"/>
        <v>5</v>
      </c>
      <c r="U522">
        <f t="shared" si="117"/>
        <v>0</v>
      </c>
      <c r="V522">
        <f t="shared" si="117"/>
        <v>2</v>
      </c>
      <c r="Y522" t="str">
        <f t="shared" si="111"/>
        <v>West Bank and Gaza</v>
      </c>
      <c r="Z522" s="104" t="str">
        <f t="shared" si="112"/>
        <v/>
      </c>
      <c r="AA522" s="104">
        <f t="shared" si="113"/>
        <v>1</v>
      </c>
      <c r="AB522" s="104">
        <f t="shared" si="114"/>
        <v>1</v>
      </c>
    </row>
    <row r="523" spans="1:28" x14ac:dyDescent="0.25">
      <c r="A523" s="55" t="s">
        <v>13783</v>
      </c>
      <c r="B523" s="57">
        <v>17</v>
      </c>
      <c r="C523" s="57"/>
      <c r="D523" s="57"/>
      <c r="E523" s="57"/>
      <c r="F523" s="57"/>
      <c r="G523" s="57"/>
      <c r="H523" s="57"/>
      <c r="I523" s="57"/>
      <c r="J523" s="57"/>
      <c r="K523" s="57"/>
      <c r="L523" s="57"/>
      <c r="M523" s="57"/>
      <c r="Q523">
        <f t="shared" si="115"/>
        <v>17</v>
      </c>
      <c r="R523">
        <f t="shared" si="115"/>
        <v>0</v>
      </c>
      <c r="S523">
        <f t="shared" si="116"/>
        <v>0</v>
      </c>
      <c r="T523">
        <f t="shared" si="116"/>
        <v>0</v>
      </c>
      <c r="U523">
        <f t="shared" si="117"/>
        <v>0</v>
      </c>
      <c r="V523">
        <f t="shared" si="117"/>
        <v>0</v>
      </c>
      <c r="Y523" t="str">
        <f t="shared" si="111"/>
        <v>Yemen</v>
      </c>
      <c r="Z523" s="104">
        <f t="shared" si="112"/>
        <v>0</v>
      </c>
      <c r="AA523" s="104" t="str">
        <f t="shared" si="113"/>
        <v/>
      </c>
      <c r="AB523" s="104" t="str">
        <f t="shared" si="114"/>
        <v/>
      </c>
    </row>
    <row r="524" spans="1:28" x14ac:dyDescent="0.25">
      <c r="A524" s="50" t="s">
        <v>14281</v>
      </c>
      <c r="B524" s="57">
        <v>19</v>
      </c>
      <c r="C524" s="57"/>
      <c r="D524" s="57"/>
      <c r="E524" s="57">
        <v>10</v>
      </c>
      <c r="F524" s="57">
        <v>67</v>
      </c>
      <c r="G524" s="57"/>
      <c r="H524" s="57">
        <v>6</v>
      </c>
      <c r="I524" s="57">
        <v>21</v>
      </c>
      <c r="J524" s="57"/>
      <c r="K524" s="57">
        <v>3</v>
      </c>
      <c r="L524" s="57"/>
      <c r="M524" s="57"/>
      <c r="Q524">
        <f t="shared" si="115"/>
        <v>19</v>
      </c>
      <c r="R524">
        <f t="shared" si="115"/>
        <v>0</v>
      </c>
      <c r="S524">
        <f t="shared" si="116"/>
        <v>10</v>
      </c>
      <c r="T524">
        <f t="shared" si="116"/>
        <v>67</v>
      </c>
      <c r="U524">
        <f t="shared" si="117"/>
        <v>6</v>
      </c>
      <c r="V524">
        <f t="shared" si="117"/>
        <v>21</v>
      </c>
      <c r="Y524" t="str">
        <f t="shared" si="111"/>
        <v>Middle East, North Africa and Europe Total</v>
      </c>
      <c r="Z524" s="104">
        <f t="shared" si="112"/>
        <v>0</v>
      </c>
      <c r="AA524" s="104">
        <f t="shared" si="113"/>
        <v>0.87012987012987009</v>
      </c>
      <c r="AB524" s="104">
        <f t="shared" si="114"/>
        <v>0.77777777777777779</v>
      </c>
    </row>
    <row r="525" spans="1:28" x14ac:dyDescent="0.25">
      <c r="A525" s="50" t="s">
        <v>12970</v>
      </c>
      <c r="B525" s="57"/>
      <c r="C525" s="57"/>
      <c r="D525" s="57"/>
      <c r="E525" s="57"/>
      <c r="F525" s="57"/>
      <c r="G525" s="57"/>
      <c r="H525" s="57"/>
      <c r="I525" s="57"/>
      <c r="J525" s="57"/>
      <c r="K525" s="57"/>
      <c r="L525" s="57"/>
      <c r="M525" s="57"/>
      <c r="Q525">
        <f t="shared" si="115"/>
        <v>0</v>
      </c>
      <c r="R525">
        <f t="shared" si="115"/>
        <v>0</v>
      </c>
      <c r="S525">
        <f t="shared" si="116"/>
        <v>0</v>
      </c>
      <c r="T525">
        <f t="shared" si="116"/>
        <v>0</v>
      </c>
      <c r="U525">
        <f t="shared" si="117"/>
        <v>0</v>
      </c>
      <c r="V525">
        <f t="shared" si="117"/>
        <v>0</v>
      </c>
      <c r="Y525" t="str">
        <f t="shared" si="111"/>
        <v>North America</v>
      </c>
      <c r="Z525" s="104" t="str">
        <f t="shared" si="112"/>
        <v/>
      </c>
      <c r="AA525" s="104" t="str">
        <f t="shared" si="113"/>
        <v/>
      </c>
      <c r="AB525" s="104" t="str">
        <f t="shared" si="114"/>
        <v/>
      </c>
    </row>
    <row r="526" spans="1:28" x14ac:dyDescent="0.25">
      <c r="A526" s="55" t="s">
        <v>12969</v>
      </c>
      <c r="B526" s="57"/>
      <c r="C526" s="57"/>
      <c r="D526" s="57"/>
      <c r="E526" s="57"/>
      <c r="F526" s="57"/>
      <c r="G526" s="57"/>
      <c r="H526" s="57"/>
      <c r="I526" s="57"/>
      <c r="J526" s="57"/>
      <c r="K526" s="57"/>
      <c r="L526" s="57"/>
      <c r="M526" s="57"/>
      <c r="Q526">
        <f t="shared" si="115"/>
        <v>0</v>
      </c>
      <c r="R526">
        <f t="shared" si="115"/>
        <v>0</v>
      </c>
      <c r="S526">
        <f t="shared" si="116"/>
        <v>0</v>
      </c>
      <c r="T526">
        <f t="shared" si="116"/>
        <v>0</v>
      </c>
      <c r="U526">
        <f t="shared" si="117"/>
        <v>0</v>
      </c>
      <c r="V526">
        <f t="shared" si="117"/>
        <v>0</v>
      </c>
      <c r="Y526" t="str">
        <f t="shared" si="111"/>
        <v>United States of America</v>
      </c>
      <c r="Z526" s="104" t="str">
        <f t="shared" si="112"/>
        <v/>
      </c>
      <c r="AA526" s="104" t="str">
        <f t="shared" si="113"/>
        <v/>
      </c>
      <c r="AB526" s="104" t="str">
        <f t="shared" si="114"/>
        <v/>
      </c>
    </row>
    <row r="527" spans="1:28" x14ac:dyDescent="0.25">
      <c r="A527" s="50" t="s">
        <v>14282</v>
      </c>
      <c r="B527" s="57"/>
      <c r="C527" s="57"/>
      <c r="D527" s="57"/>
      <c r="E527" s="57"/>
      <c r="F527" s="57"/>
      <c r="G527" s="57"/>
      <c r="H527" s="57"/>
      <c r="I527" s="57"/>
      <c r="J527" s="57"/>
      <c r="K527" s="57"/>
      <c r="L527" s="57"/>
      <c r="M527" s="57"/>
      <c r="Q527">
        <f t="shared" si="115"/>
        <v>0</v>
      </c>
      <c r="R527">
        <f t="shared" si="115"/>
        <v>0</v>
      </c>
      <c r="S527">
        <f t="shared" si="116"/>
        <v>0</v>
      </c>
      <c r="T527">
        <f t="shared" si="116"/>
        <v>0</v>
      </c>
      <c r="U527">
        <f t="shared" si="117"/>
        <v>0</v>
      </c>
      <c r="V527">
        <f t="shared" si="117"/>
        <v>0</v>
      </c>
      <c r="Y527" t="str">
        <f t="shared" si="111"/>
        <v>North America Total</v>
      </c>
      <c r="Z527" s="104" t="str">
        <f t="shared" si="112"/>
        <v/>
      </c>
      <c r="AA527" s="104" t="str">
        <f t="shared" si="113"/>
        <v/>
      </c>
      <c r="AB527" s="104" t="str">
        <f t="shared" si="114"/>
        <v/>
      </c>
    </row>
    <row r="528" spans="1:28" x14ac:dyDescent="0.25">
      <c r="A528" s="50" t="s">
        <v>14272</v>
      </c>
      <c r="B528" s="57">
        <v>33</v>
      </c>
      <c r="C528" s="57">
        <v>12</v>
      </c>
      <c r="D528" s="57"/>
      <c r="E528" s="57">
        <v>70</v>
      </c>
      <c r="F528" s="57">
        <v>534</v>
      </c>
      <c r="G528" s="57"/>
      <c r="H528" s="57">
        <v>32</v>
      </c>
      <c r="I528" s="57">
        <v>115</v>
      </c>
      <c r="J528" s="57"/>
      <c r="K528" s="57">
        <v>4</v>
      </c>
      <c r="L528" s="57">
        <v>2</v>
      </c>
      <c r="M528" s="57"/>
      <c r="Q528">
        <f t="shared" si="115"/>
        <v>33</v>
      </c>
      <c r="R528">
        <f t="shared" si="115"/>
        <v>12</v>
      </c>
      <c r="S528">
        <f t="shared" si="116"/>
        <v>70</v>
      </c>
      <c r="T528">
        <f t="shared" si="116"/>
        <v>534</v>
      </c>
      <c r="U528">
        <f t="shared" si="117"/>
        <v>32</v>
      </c>
      <c r="V528">
        <f t="shared" si="117"/>
        <v>115</v>
      </c>
      <c r="Y528" t="str">
        <f t="shared" si="111"/>
        <v>Grand Total</v>
      </c>
      <c r="Z528" s="104">
        <f t="shared" si="112"/>
        <v>0.26666666666666666</v>
      </c>
      <c r="AA528" s="104">
        <f t="shared" si="113"/>
        <v>0.88410596026490063</v>
      </c>
      <c r="AB528" s="104">
        <f t="shared" si="114"/>
        <v>0.78231292517006801</v>
      </c>
    </row>
    <row r="529" spans="17:28" x14ac:dyDescent="0.25">
      <c r="Q529">
        <f t="shared" si="115"/>
        <v>0</v>
      </c>
      <c r="R529">
        <f t="shared" si="115"/>
        <v>0</v>
      </c>
      <c r="S529">
        <f t="shared" si="116"/>
        <v>0</v>
      </c>
      <c r="T529">
        <f t="shared" si="116"/>
        <v>0</v>
      </c>
      <c r="U529">
        <f t="shared" si="117"/>
        <v>0</v>
      </c>
      <c r="V529">
        <f t="shared" si="117"/>
        <v>0</v>
      </c>
      <c r="Y529">
        <f t="shared" si="111"/>
        <v>0</v>
      </c>
      <c r="Z529" s="104" t="str">
        <f t="shared" si="112"/>
        <v/>
      </c>
      <c r="AA529" s="104" t="str">
        <f t="shared" si="113"/>
        <v/>
      </c>
      <c r="AB529" s="104" t="str">
        <f t="shared" si="114"/>
        <v/>
      </c>
    </row>
  </sheetData>
  <mergeCells count="22">
    <mergeCell ref="Q427:V427"/>
    <mergeCell ref="Z427:AB427"/>
    <mergeCell ref="Q428:R428"/>
    <mergeCell ref="S428:T428"/>
    <mergeCell ref="U428:V428"/>
    <mergeCell ref="Q321:V321"/>
    <mergeCell ref="Z321:AB321"/>
    <mergeCell ref="Q322:R322"/>
    <mergeCell ref="S322:T322"/>
    <mergeCell ref="U322:V322"/>
    <mergeCell ref="Q215:V215"/>
    <mergeCell ref="Z215:AB215"/>
    <mergeCell ref="Q216:R216"/>
    <mergeCell ref="S216:T216"/>
    <mergeCell ref="U216:V216"/>
    <mergeCell ref="J3:J4"/>
    <mergeCell ref="K3:K4"/>
    <mergeCell ref="Q109:V109"/>
    <mergeCell ref="Z109:AB109"/>
    <mergeCell ref="Q110:R110"/>
    <mergeCell ref="S110:T110"/>
    <mergeCell ref="U110:V110"/>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3:E104"/>
  <sheetViews>
    <sheetView topLeftCell="C1" workbookViewId="0">
      <selection activeCell="B46" sqref="B46:H48"/>
    </sheetView>
  </sheetViews>
  <sheetFormatPr defaultRowHeight="15" x14ac:dyDescent="0.25"/>
  <cols>
    <col min="1" max="1" width="99.7109375" bestFit="1" customWidth="1"/>
    <col min="2" max="2" width="35.5703125" bestFit="1" customWidth="1"/>
    <col min="3" max="3" width="64.42578125" bestFit="1" customWidth="1"/>
    <col min="4" max="4" width="70.28515625" bestFit="1" customWidth="1"/>
    <col min="5" max="5" width="7.28515625" bestFit="1" customWidth="1"/>
    <col min="6" max="6" width="10.7109375" customWidth="1"/>
  </cols>
  <sheetData>
    <row r="3" spans="1:5" x14ac:dyDescent="0.25">
      <c r="A3" s="49" t="s">
        <v>14286</v>
      </c>
      <c r="B3" s="49" t="s">
        <v>14283</v>
      </c>
    </row>
    <row r="4" spans="1:5" x14ac:dyDescent="0.25">
      <c r="A4" s="49" t="s">
        <v>14283</v>
      </c>
      <c r="B4" t="s">
        <v>363</v>
      </c>
      <c r="C4" t="s">
        <v>331</v>
      </c>
      <c r="D4" t="s">
        <v>394</v>
      </c>
      <c r="E4" t="s">
        <v>14275</v>
      </c>
    </row>
    <row r="5" spans="1:5" x14ac:dyDescent="0.25">
      <c r="A5" s="50" t="s">
        <v>1874</v>
      </c>
      <c r="B5" s="54"/>
      <c r="C5" s="54"/>
      <c r="D5" s="54"/>
      <c r="E5" s="54"/>
    </row>
    <row r="6" spans="1:5" x14ac:dyDescent="0.25">
      <c r="A6" s="55" t="s">
        <v>1873</v>
      </c>
      <c r="B6" s="54">
        <v>0.16666666666666666</v>
      </c>
      <c r="C6" s="54">
        <v>8.3333333333333329E-2</v>
      </c>
      <c r="D6" s="54">
        <v>0.75</v>
      </c>
      <c r="E6" s="54">
        <v>0</v>
      </c>
    </row>
    <row r="7" spans="1:5" x14ac:dyDescent="0.25">
      <c r="A7" s="55" t="s">
        <v>3868</v>
      </c>
      <c r="B7" s="54">
        <v>0.55172413793103448</v>
      </c>
      <c r="C7" s="54">
        <v>0.31034482758620691</v>
      </c>
      <c r="D7" s="54">
        <v>0.13793103448275862</v>
      </c>
      <c r="E7" s="54">
        <v>0</v>
      </c>
    </row>
    <row r="8" spans="1:5" x14ac:dyDescent="0.25">
      <c r="A8" s="55" t="s">
        <v>6457</v>
      </c>
      <c r="B8" s="54">
        <v>0.61538461538461542</v>
      </c>
      <c r="C8" s="54">
        <v>7.6923076923076927E-2</v>
      </c>
      <c r="D8" s="54">
        <v>0.30769230769230771</v>
      </c>
      <c r="E8" s="54">
        <v>0</v>
      </c>
    </row>
    <row r="9" spans="1:5" x14ac:dyDescent="0.25">
      <c r="A9" s="55" t="s">
        <v>10371</v>
      </c>
      <c r="B9" s="54">
        <v>0.3</v>
      </c>
      <c r="C9" s="54">
        <v>0.4</v>
      </c>
      <c r="D9" s="54">
        <v>0.3</v>
      </c>
      <c r="E9" s="54">
        <v>0</v>
      </c>
    </row>
    <row r="10" spans="1:5" x14ac:dyDescent="0.25">
      <c r="A10" s="55" t="s">
        <v>10685</v>
      </c>
      <c r="B10" s="54">
        <v>0.77777777777777779</v>
      </c>
      <c r="C10" s="54">
        <v>2.7777777777777776E-2</v>
      </c>
      <c r="D10" s="54">
        <v>0.19444444444444445</v>
      </c>
      <c r="E10" s="54">
        <v>0</v>
      </c>
    </row>
    <row r="11" spans="1:5" x14ac:dyDescent="0.25">
      <c r="A11" s="55" t="s">
        <v>11104</v>
      </c>
      <c r="B11" s="54">
        <v>0.66666666666666663</v>
      </c>
      <c r="C11" s="54">
        <v>9.5238095238095233E-2</v>
      </c>
      <c r="D11" s="54">
        <v>0.23809523809523808</v>
      </c>
      <c r="E11" s="54">
        <v>0</v>
      </c>
    </row>
    <row r="12" spans="1:5" x14ac:dyDescent="0.25">
      <c r="A12" s="55" t="s">
        <v>11417</v>
      </c>
      <c r="B12" s="54">
        <v>0.84210526315789469</v>
      </c>
      <c r="C12" s="54">
        <v>5.2631578947368418E-2</v>
      </c>
      <c r="D12" s="54">
        <v>0.10526315789473684</v>
      </c>
      <c r="E12" s="54">
        <v>0</v>
      </c>
    </row>
    <row r="13" spans="1:5" x14ac:dyDescent="0.25">
      <c r="A13" s="55" t="s">
        <v>12694</v>
      </c>
      <c r="B13" s="54">
        <v>0.30769230769230771</v>
      </c>
      <c r="C13" s="54">
        <v>0.38461538461538464</v>
      </c>
      <c r="D13" s="54">
        <v>0.30769230769230771</v>
      </c>
      <c r="E13" s="54">
        <v>0</v>
      </c>
    </row>
    <row r="14" spans="1:5" x14ac:dyDescent="0.25">
      <c r="A14" s="55" t="s">
        <v>14322</v>
      </c>
      <c r="B14" s="54">
        <v>0</v>
      </c>
      <c r="C14" s="54">
        <v>0.8</v>
      </c>
      <c r="D14" s="54">
        <v>0.2</v>
      </c>
      <c r="E14" s="54">
        <v>0</v>
      </c>
    </row>
    <row r="15" spans="1:5" x14ac:dyDescent="0.25">
      <c r="A15" s="50" t="s">
        <v>14276</v>
      </c>
      <c r="B15" s="54">
        <v>0.57894736842105265</v>
      </c>
      <c r="C15" s="54">
        <v>0.16959064327485379</v>
      </c>
      <c r="D15" s="54">
        <v>0.25146198830409355</v>
      </c>
      <c r="E15" s="54">
        <v>0</v>
      </c>
    </row>
    <row r="16" spans="1:5" x14ac:dyDescent="0.25">
      <c r="A16" s="50" t="s">
        <v>7217</v>
      </c>
      <c r="B16" s="54"/>
      <c r="C16" s="54"/>
      <c r="D16" s="54"/>
      <c r="E16" s="54"/>
    </row>
    <row r="17" spans="1:5" x14ac:dyDescent="0.25">
      <c r="A17" s="55" t="s">
        <v>7216</v>
      </c>
      <c r="B17" s="54">
        <v>0</v>
      </c>
      <c r="C17" s="54">
        <v>0.27272727272727271</v>
      </c>
      <c r="D17" s="54">
        <v>0.72727272727272729</v>
      </c>
      <c r="E17" s="54">
        <v>0</v>
      </c>
    </row>
    <row r="18" spans="1:5" x14ac:dyDescent="0.25">
      <c r="A18" s="55" t="s">
        <v>7451</v>
      </c>
      <c r="B18" s="54">
        <v>0.625</v>
      </c>
      <c r="C18" s="54">
        <v>0.125</v>
      </c>
      <c r="D18" s="54">
        <v>0.25</v>
      </c>
      <c r="E18" s="54">
        <v>0</v>
      </c>
    </row>
    <row r="19" spans="1:5" x14ac:dyDescent="0.25">
      <c r="A19" s="55" t="s">
        <v>8265</v>
      </c>
      <c r="B19" s="54">
        <v>0.4</v>
      </c>
      <c r="C19" s="54">
        <v>0.4</v>
      </c>
      <c r="D19" s="54">
        <v>0.2</v>
      </c>
      <c r="E19" s="54">
        <v>0</v>
      </c>
    </row>
    <row r="20" spans="1:5" x14ac:dyDescent="0.25">
      <c r="A20" s="55" t="s">
        <v>11102</v>
      </c>
      <c r="B20" s="54" t="e">
        <v>#DIV/0!</v>
      </c>
      <c r="C20" s="54" t="e">
        <v>#DIV/0!</v>
      </c>
      <c r="D20" s="54" t="e">
        <v>#DIV/0!</v>
      </c>
      <c r="E20" s="54" t="e">
        <v>#DIV/0!</v>
      </c>
    </row>
    <row r="21" spans="1:5" x14ac:dyDescent="0.25">
      <c r="A21" s="55" t="s">
        <v>12090</v>
      </c>
      <c r="B21" s="54">
        <v>0.375</v>
      </c>
      <c r="C21" s="54">
        <v>0.25</v>
      </c>
      <c r="D21" s="54">
        <v>0.375</v>
      </c>
      <c r="E21" s="54">
        <v>0</v>
      </c>
    </row>
    <row r="22" spans="1:5" x14ac:dyDescent="0.25">
      <c r="A22" s="55" t="s">
        <v>13917</v>
      </c>
      <c r="B22" s="54">
        <v>0.42857142857142855</v>
      </c>
      <c r="C22" s="54">
        <v>0.42857142857142855</v>
      </c>
      <c r="D22" s="54">
        <v>0.14285714285714285</v>
      </c>
      <c r="E22" s="54">
        <v>0</v>
      </c>
    </row>
    <row r="23" spans="1:5" x14ac:dyDescent="0.25">
      <c r="A23" s="55" t="s">
        <v>14016</v>
      </c>
      <c r="B23" s="54">
        <v>0.66666666666666663</v>
      </c>
      <c r="C23" s="54">
        <v>0</v>
      </c>
      <c r="D23" s="54">
        <v>0.33333333333333331</v>
      </c>
      <c r="E23" s="54">
        <v>0</v>
      </c>
    </row>
    <row r="24" spans="1:5" x14ac:dyDescent="0.25">
      <c r="A24" s="50" t="s">
        <v>14277</v>
      </c>
      <c r="B24" s="54">
        <v>0.47435897435897434</v>
      </c>
      <c r="C24" s="54">
        <v>0.19230769230769232</v>
      </c>
      <c r="D24" s="54">
        <v>0.33333333333333331</v>
      </c>
      <c r="E24" s="54">
        <v>0</v>
      </c>
    </row>
    <row r="25" spans="1:5" x14ac:dyDescent="0.25">
      <c r="A25" s="50" t="s">
        <v>1596</v>
      </c>
      <c r="B25" s="54"/>
      <c r="C25" s="54"/>
      <c r="D25" s="54"/>
      <c r="E25" s="54"/>
    </row>
    <row r="26" spans="1:5" x14ac:dyDescent="0.25">
      <c r="A26" s="55" t="s">
        <v>1595</v>
      </c>
      <c r="B26" s="54">
        <v>0.375</v>
      </c>
      <c r="C26" s="54">
        <v>0.125</v>
      </c>
      <c r="D26" s="54">
        <v>0.5</v>
      </c>
      <c r="E26" s="54">
        <v>0</v>
      </c>
    </row>
    <row r="27" spans="1:5" x14ac:dyDescent="0.25">
      <c r="A27" s="55" t="s">
        <v>1827</v>
      </c>
      <c r="B27" s="54">
        <v>0</v>
      </c>
      <c r="C27" s="54">
        <v>0</v>
      </c>
      <c r="D27" s="54">
        <v>1</v>
      </c>
      <c r="E27" s="54">
        <v>0</v>
      </c>
    </row>
    <row r="28" spans="1:5" x14ac:dyDescent="0.25">
      <c r="A28" s="55" t="s">
        <v>2395</v>
      </c>
      <c r="B28" s="54">
        <v>0</v>
      </c>
      <c r="C28" s="54">
        <v>0.5</v>
      </c>
      <c r="D28" s="54">
        <v>0.5</v>
      </c>
      <c r="E28" s="54">
        <v>0</v>
      </c>
    </row>
    <row r="29" spans="1:5" x14ac:dyDescent="0.25">
      <c r="A29" s="55" t="s">
        <v>2536</v>
      </c>
      <c r="B29" s="54">
        <v>6.6666666666666666E-2</v>
      </c>
      <c r="C29" s="54">
        <v>0.8</v>
      </c>
      <c r="D29" s="54">
        <v>0.13333333333333333</v>
      </c>
      <c r="E29" s="54">
        <v>0</v>
      </c>
    </row>
    <row r="30" spans="1:5" x14ac:dyDescent="0.25">
      <c r="A30" s="55" t="s">
        <v>2956</v>
      </c>
      <c r="B30" s="54">
        <v>0.33333333333333331</v>
      </c>
      <c r="C30" s="54">
        <v>0.22222222222222221</v>
      </c>
      <c r="D30" s="54">
        <v>0.44444444444444442</v>
      </c>
      <c r="E30" s="54">
        <v>0</v>
      </c>
    </row>
    <row r="31" spans="1:5" x14ac:dyDescent="0.25">
      <c r="A31" s="55" t="s">
        <v>4471</v>
      </c>
      <c r="B31" s="54">
        <v>0.23076923076923078</v>
      </c>
      <c r="C31" s="54">
        <v>0.38461538461538464</v>
      </c>
      <c r="D31" s="54">
        <v>0.38461538461538464</v>
      </c>
      <c r="E31" s="54">
        <v>0</v>
      </c>
    </row>
    <row r="32" spans="1:5" x14ac:dyDescent="0.25">
      <c r="A32" s="55" t="s">
        <v>7179</v>
      </c>
      <c r="B32" s="54">
        <v>0</v>
      </c>
      <c r="C32" s="54">
        <v>1</v>
      </c>
      <c r="D32" s="54">
        <v>0</v>
      </c>
      <c r="E32" s="54">
        <v>0</v>
      </c>
    </row>
    <row r="33" spans="1:5" x14ac:dyDescent="0.25">
      <c r="A33" s="55" t="s">
        <v>7835</v>
      </c>
      <c r="B33" s="54">
        <v>0.2</v>
      </c>
      <c r="C33" s="54">
        <v>0.26666666666666666</v>
      </c>
      <c r="D33" s="54">
        <v>0.53333333333333333</v>
      </c>
      <c r="E33" s="54">
        <v>0</v>
      </c>
    </row>
    <row r="34" spans="1:5" x14ac:dyDescent="0.25">
      <c r="A34" s="55" t="s">
        <v>9043</v>
      </c>
      <c r="B34" s="54">
        <v>0.41666666666666669</v>
      </c>
      <c r="C34" s="54">
        <v>0.20833333333333334</v>
      </c>
      <c r="D34" s="54">
        <v>0.375</v>
      </c>
      <c r="E34" s="54">
        <v>0</v>
      </c>
    </row>
    <row r="35" spans="1:5" x14ac:dyDescent="0.25">
      <c r="A35" s="55" t="s">
        <v>10594</v>
      </c>
      <c r="B35" s="54">
        <v>0.6</v>
      </c>
      <c r="C35" s="54">
        <v>0</v>
      </c>
      <c r="D35" s="54">
        <v>0.4</v>
      </c>
      <c r="E35" s="54">
        <v>0</v>
      </c>
    </row>
    <row r="36" spans="1:5" x14ac:dyDescent="0.25">
      <c r="A36" s="50" t="s">
        <v>14278</v>
      </c>
      <c r="B36" s="54">
        <v>0.26530612244897961</v>
      </c>
      <c r="C36" s="54">
        <v>0.33673469387755101</v>
      </c>
      <c r="D36" s="54">
        <v>0.39795918367346939</v>
      </c>
      <c r="E36" s="54">
        <v>0</v>
      </c>
    </row>
    <row r="37" spans="1:5" x14ac:dyDescent="0.25">
      <c r="A37" s="50" t="s">
        <v>306</v>
      </c>
      <c r="B37" s="54"/>
      <c r="C37" s="54"/>
      <c r="D37" s="54"/>
      <c r="E37" s="54"/>
    </row>
    <row r="38" spans="1:5" x14ac:dyDescent="0.25">
      <c r="A38" s="55" t="s">
        <v>305</v>
      </c>
      <c r="B38" s="54">
        <v>0.53333333333333333</v>
      </c>
      <c r="C38" s="54">
        <v>0.33333333333333331</v>
      </c>
      <c r="D38" s="54">
        <v>0.13333333333333333</v>
      </c>
      <c r="E38" s="54">
        <v>0</v>
      </c>
    </row>
    <row r="39" spans="1:5" x14ac:dyDescent="0.25">
      <c r="A39" s="55" t="s">
        <v>652</v>
      </c>
      <c r="B39" s="54">
        <v>0.38775510204081631</v>
      </c>
      <c r="C39" s="54">
        <v>0.2857142857142857</v>
      </c>
      <c r="D39" s="54">
        <v>0.32653061224489793</v>
      </c>
      <c r="E39" s="54">
        <v>0</v>
      </c>
    </row>
    <row r="40" spans="1:5" x14ac:dyDescent="0.25">
      <c r="A40" s="55" t="s">
        <v>2092</v>
      </c>
      <c r="B40" s="54">
        <v>0.33333333333333331</v>
      </c>
      <c r="C40" s="54">
        <v>0.27777777777777779</v>
      </c>
      <c r="D40" s="54">
        <v>0.3888888888888889</v>
      </c>
      <c r="E40" s="54">
        <v>0</v>
      </c>
    </row>
    <row r="41" spans="1:5" x14ac:dyDescent="0.25">
      <c r="A41" s="55" t="s">
        <v>4268</v>
      </c>
      <c r="B41" s="54">
        <v>0</v>
      </c>
      <c r="C41" s="54">
        <v>0</v>
      </c>
      <c r="D41" s="54">
        <v>1</v>
      </c>
      <c r="E41" s="54">
        <v>0</v>
      </c>
    </row>
    <row r="42" spans="1:5" x14ac:dyDescent="0.25">
      <c r="A42" s="55" t="s">
        <v>5300</v>
      </c>
      <c r="B42" s="54">
        <v>0.69444444444444442</v>
      </c>
      <c r="C42" s="54">
        <v>2.7777777777777776E-2</v>
      </c>
      <c r="D42" s="54">
        <v>0.27777777777777779</v>
      </c>
      <c r="E42" s="54">
        <v>0</v>
      </c>
    </row>
    <row r="43" spans="1:5" x14ac:dyDescent="0.25">
      <c r="A43" s="55" t="s">
        <v>5932</v>
      </c>
      <c r="B43" s="54">
        <v>0.875</v>
      </c>
      <c r="C43" s="54">
        <v>0.125</v>
      </c>
      <c r="D43" s="54">
        <v>0</v>
      </c>
      <c r="E43" s="54">
        <v>0</v>
      </c>
    </row>
    <row r="44" spans="1:5" x14ac:dyDescent="0.25">
      <c r="A44" s="55" t="s">
        <v>6850</v>
      </c>
      <c r="B44" s="54">
        <v>0.7142857142857143</v>
      </c>
      <c r="C44" s="54">
        <v>7.1428571428571425E-2</v>
      </c>
      <c r="D44" s="54">
        <v>0.21428571428571427</v>
      </c>
      <c r="E44" s="54">
        <v>0</v>
      </c>
    </row>
    <row r="45" spans="1:5" x14ac:dyDescent="0.25">
      <c r="A45" s="55" t="s">
        <v>8444</v>
      </c>
      <c r="B45" s="54">
        <v>0.5</v>
      </c>
      <c r="C45" s="54">
        <v>0.1875</v>
      </c>
      <c r="D45" s="54">
        <v>0.3125</v>
      </c>
      <c r="E45" s="54">
        <v>0</v>
      </c>
    </row>
    <row r="46" spans="1:5" x14ac:dyDescent="0.25">
      <c r="A46" s="55" t="s">
        <v>8647</v>
      </c>
      <c r="B46" s="54">
        <v>0.40909090909090912</v>
      </c>
      <c r="C46" s="54">
        <v>4.5454545454545456E-2</v>
      </c>
      <c r="D46" s="54">
        <v>0.54545454545454541</v>
      </c>
      <c r="E46" s="54">
        <v>0</v>
      </c>
    </row>
    <row r="47" spans="1:5" x14ac:dyDescent="0.25">
      <c r="A47" s="55" t="s">
        <v>9427</v>
      </c>
      <c r="B47" s="54">
        <v>0.25</v>
      </c>
      <c r="C47" s="54">
        <v>0.75</v>
      </c>
      <c r="D47" s="54">
        <v>0</v>
      </c>
      <c r="E47" s="54">
        <v>0</v>
      </c>
    </row>
    <row r="48" spans="1:5" x14ac:dyDescent="0.25">
      <c r="A48" s="55" t="s">
        <v>9516</v>
      </c>
      <c r="B48" s="54">
        <v>0.5</v>
      </c>
      <c r="C48" s="54">
        <v>8.3333333333333329E-2</v>
      </c>
      <c r="D48" s="54">
        <v>0.41666666666666669</v>
      </c>
      <c r="E48" s="54">
        <v>0</v>
      </c>
    </row>
    <row r="49" spans="1:5" x14ac:dyDescent="0.25">
      <c r="A49" s="55" t="s">
        <v>10263</v>
      </c>
      <c r="B49" s="54">
        <v>0.5</v>
      </c>
      <c r="C49" s="54">
        <v>0.33333333333333331</v>
      </c>
      <c r="D49" s="54">
        <v>0.16666666666666666</v>
      </c>
      <c r="E49" s="54">
        <v>0</v>
      </c>
    </row>
    <row r="50" spans="1:5" x14ac:dyDescent="0.25">
      <c r="A50" s="55" t="s">
        <v>11304</v>
      </c>
      <c r="B50" s="54">
        <v>0.7142857142857143</v>
      </c>
      <c r="C50" s="54">
        <v>0.2857142857142857</v>
      </c>
      <c r="D50" s="54">
        <v>0</v>
      </c>
      <c r="E50" s="54">
        <v>0</v>
      </c>
    </row>
    <row r="51" spans="1:5" x14ac:dyDescent="0.25">
      <c r="A51" s="55" t="s">
        <v>12294</v>
      </c>
      <c r="B51" s="54">
        <v>0.68181818181818177</v>
      </c>
      <c r="C51" s="54">
        <v>9.0909090909090912E-2</v>
      </c>
      <c r="D51" s="54">
        <v>0.22727272727272727</v>
      </c>
      <c r="E51" s="54">
        <v>0</v>
      </c>
    </row>
    <row r="52" spans="1:5" x14ac:dyDescent="0.25">
      <c r="A52" s="55" t="s">
        <v>12547</v>
      </c>
      <c r="B52" s="54">
        <v>0.66666666666666663</v>
      </c>
      <c r="C52" s="54">
        <v>0</v>
      </c>
      <c r="D52" s="54">
        <v>0.33333333333333331</v>
      </c>
      <c r="E52" s="54">
        <v>0</v>
      </c>
    </row>
    <row r="53" spans="1:5" x14ac:dyDescent="0.25">
      <c r="A53" s="55" t="s">
        <v>13272</v>
      </c>
      <c r="B53" s="54">
        <v>0.125</v>
      </c>
      <c r="C53" s="54">
        <v>0.875</v>
      </c>
      <c r="D53" s="54">
        <v>0</v>
      </c>
      <c r="E53" s="54">
        <v>0</v>
      </c>
    </row>
    <row r="54" spans="1:5" x14ac:dyDescent="0.25">
      <c r="A54" s="55" t="s">
        <v>13409</v>
      </c>
      <c r="B54" s="54">
        <v>0.22222222222222221</v>
      </c>
      <c r="C54" s="54">
        <v>0.22222222222222221</v>
      </c>
      <c r="D54" s="54">
        <v>0.55555555555555558</v>
      </c>
      <c r="E54" s="54">
        <v>0</v>
      </c>
    </row>
    <row r="55" spans="1:5" x14ac:dyDescent="0.25">
      <c r="A55" s="50" t="s">
        <v>14279</v>
      </c>
      <c r="B55" s="54">
        <v>0.5</v>
      </c>
      <c r="C55" s="54">
        <v>0.19847328244274809</v>
      </c>
      <c r="D55" s="54">
        <v>0.30152671755725191</v>
      </c>
      <c r="E55" s="54">
        <v>0</v>
      </c>
    </row>
    <row r="56" spans="1:5" x14ac:dyDescent="0.25">
      <c r="A56" s="50" t="s">
        <v>2807</v>
      </c>
      <c r="B56" s="54"/>
      <c r="C56" s="54"/>
      <c r="D56" s="54"/>
      <c r="E56" s="54"/>
    </row>
    <row r="57" spans="1:5" x14ac:dyDescent="0.25">
      <c r="A57" s="55" t="s">
        <v>2806</v>
      </c>
      <c r="B57" s="54">
        <v>0</v>
      </c>
      <c r="C57" s="54">
        <v>0</v>
      </c>
      <c r="D57" s="54">
        <v>1</v>
      </c>
      <c r="E57" s="54">
        <v>0</v>
      </c>
    </row>
    <row r="58" spans="1:5" x14ac:dyDescent="0.25">
      <c r="A58" s="55" t="s">
        <v>2931</v>
      </c>
      <c r="B58" s="54">
        <v>0</v>
      </c>
      <c r="C58" s="54">
        <v>1</v>
      </c>
      <c r="D58" s="54">
        <v>0</v>
      </c>
      <c r="E58" s="54">
        <v>0</v>
      </c>
    </row>
    <row r="59" spans="1:5" x14ac:dyDescent="0.25">
      <c r="A59" s="55" t="s">
        <v>3148</v>
      </c>
      <c r="B59" s="54">
        <v>0.2</v>
      </c>
      <c r="C59" s="54">
        <v>0.4</v>
      </c>
      <c r="D59" s="54">
        <v>0.4</v>
      </c>
      <c r="E59" s="54">
        <v>0</v>
      </c>
    </row>
    <row r="60" spans="1:5" x14ac:dyDescent="0.25">
      <c r="A60" s="55" t="s">
        <v>3261</v>
      </c>
      <c r="B60" s="54" t="e">
        <v>#DIV/0!</v>
      </c>
      <c r="C60" s="54" t="e">
        <v>#DIV/0!</v>
      </c>
      <c r="D60" s="54" t="e">
        <v>#DIV/0!</v>
      </c>
      <c r="E60" s="54" t="e">
        <v>#DIV/0!</v>
      </c>
    </row>
    <row r="61" spans="1:5" x14ac:dyDescent="0.25">
      <c r="A61" s="55" t="s">
        <v>3272</v>
      </c>
      <c r="B61" s="54">
        <v>0.52631578947368418</v>
      </c>
      <c r="C61" s="54">
        <v>0.10526315789473684</v>
      </c>
      <c r="D61" s="54">
        <v>0.36842105263157893</v>
      </c>
      <c r="E61" s="54">
        <v>0</v>
      </c>
    </row>
    <row r="62" spans="1:5" x14ac:dyDescent="0.25">
      <c r="A62" s="55" t="s">
        <v>4777</v>
      </c>
      <c r="B62" s="54">
        <v>0</v>
      </c>
      <c r="C62" s="54">
        <v>0.13333333333333333</v>
      </c>
      <c r="D62" s="54">
        <v>0.8666666666666667</v>
      </c>
      <c r="E62" s="54">
        <v>0</v>
      </c>
    </row>
    <row r="63" spans="1:5" x14ac:dyDescent="0.25">
      <c r="A63" s="55" t="s">
        <v>5061</v>
      </c>
      <c r="B63" s="54">
        <v>0.625</v>
      </c>
      <c r="C63" s="54">
        <v>0.125</v>
      </c>
      <c r="D63" s="54">
        <v>0.25</v>
      </c>
      <c r="E63" s="54">
        <v>0</v>
      </c>
    </row>
    <row r="64" spans="1:5" x14ac:dyDescent="0.25">
      <c r="A64" s="55" t="s">
        <v>5190</v>
      </c>
      <c r="B64" s="54">
        <v>0</v>
      </c>
      <c r="C64" s="54">
        <v>0.7142857142857143</v>
      </c>
      <c r="D64" s="54">
        <v>0.2857142857142857</v>
      </c>
      <c r="E64" s="54">
        <v>0</v>
      </c>
    </row>
    <row r="65" spans="1:5" x14ac:dyDescent="0.25">
      <c r="A65" s="55" t="s">
        <v>8138</v>
      </c>
      <c r="B65" s="54">
        <v>0</v>
      </c>
      <c r="C65" s="54">
        <v>0</v>
      </c>
      <c r="D65" s="54">
        <v>1</v>
      </c>
      <c r="E65" s="54">
        <v>0</v>
      </c>
    </row>
    <row r="66" spans="1:5" x14ac:dyDescent="0.25">
      <c r="A66" s="55" t="s">
        <v>9042</v>
      </c>
      <c r="B66" s="54">
        <v>0</v>
      </c>
      <c r="C66" s="54">
        <v>1</v>
      </c>
      <c r="D66" s="54">
        <v>0</v>
      </c>
      <c r="E66" s="54">
        <v>0</v>
      </c>
    </row>
    <row r="67" spans="1:5" x14ac:dyDescent="0.25">
      <c r="A67" s="55" t="s">
        <v>9514</v>
      </c>
      <c r="B67" s="54" t="e">
        <v>#DIV/0!</v>
      </c>
      <c r="C67" s="54" t="e">
        <v>#DIV/0!</v>
      </c>
      <c r="D67" s="54" t="e">
        <v>#DIV/0!</v>
      </c>
      <c r="E67" s="54" t="e">
        <v>#DIV/0!</v>
      </c>
    </row>
    <row r="68" spans="1:5" x14ac:dyDescent="0.25">
      <c r="A68" s="55" t="s">
        <v>9706</v>
      </c>
      <c r="B68" s="54">
        <v>0.25714285714285712</v>
      </c>
      <c r="C68" s="54">
        <v>0.17142857142857143</v>
      </c>
      <c r="D68" s="54">
        <v>0.5714285714285714</v>
      </c>
      <c r="E68" s="54">
        <v>0</v>
      </c>
    </row>
    <row r="69" spans="1:5" x14ac:dyDescent="0.25">
      <c r="A69" s="50" t="s">
        <v>14280</v>
      </c>
      <c r="B69" s="54">
        <v>0.26881720430107525</v>
      </c>
      <c r="C69" s="54">
        <v>0.21505376344086022</v>
      </c>
      <c r="D69" s="54">
        <v>0.5161290322580645</v>
      </c>
      <c r="E69" s="54">
        <v>0</v>
      </c>
    </row>
    <row r="70" spans="1:5" x14ac:dyDescent="0.25">
      <c r="A70" s="50" t="s">
        <v>602</v>
      </c>
      <c r="B70" s="54"/>
      <c r="C70" s="54"/>
      <c r="D70" s="54"/>
      <c r="E70" s="54"/>
    </row>
    <row r="71" spans="1:5" x14ac:dyDescent="0.25">
      <c r="A71" s="55" t="s">
        <v>601</v>
      </c>
      <c r="B71" s="54">
        <v>0</v>
      </c>
      <c r="C71" s="54">
        <v>0</v>
      </c>
      <c r="D71" s="54">
        <v>1</v>
      </c>
      <c r="E71" s="54">
        <v>0</v>
      </c>
    </row>
    <row r="72" spans="1:5" x14ac:dyDescent="0.25">
      <c r="A72" s="55" t="s">
        <v>635</v>
      </c>
      <c r="B72" s="54" t="e">
        <v>#DIV/0!</v>
      </c>
      <c r="C72" s="54" t="e">
        <v>#DIV/0!</v>
      </c>
      <c r="D72" s="54" t="e">
        <v>#DIV/0!</v>
      </c>
      <c r="E72" s="54" t="e">
        <v>#DIV/0!</v>
      </c>
    </row>
    <row r="73" spans="1:5" x14ac:dyDescent="0.25">
      <c r="A73" s="55" t="s">
        <v>1527</v>
      </c>
      <c r="B73" s="54">
        <v>1</v>
      </c>
      <c r="C73" s="54">
        <v>0</v>
      </c>
      <c r="D73" s="54">
        <v>0</v>
      </c>
      <c r="E73" s="54">
        <v>0</v>
      </c>
    </row>
    <row r="74" spans="1:5" x14ac:dyDescent="0.25">
      <c r="A74" s="55" t="s">
        <v>1735</v>
      </c>
      <c r="B74" s="54">
        <v>0</v>
      </c>
      <c r="C74" s="54">
        <v>0</v>
      </c>
      <c r="D74" s="54">
        <v>1</v>
      </c>
      <c r="E74" s="54">
        <v>0</v>
      </c>
    </row>
    <row r="75" spans="1:5" x14ac:dyDescent="0.25">
      <c r="A75" s="55" t="s">
        <v>3140</v>
      </c>
      <c r="B75" s="54">
        <v>0</v>
      </c>
      <c r="C75" s="54">
        <v>0</v>
      </c>
      <c r="D75" s="54">
        <v>1</v>
      </c>
      <c r="E75" s="54">
        <v>0</v>
      </c>
    </row>
    <row r="76" spans="1:5" x14ac:dyDescent="0.25">
      <c r="A76" s="55" t="s">
        <v>3231</v>
      </c>
      <c r="B76" s="54">
        <v>1</v>
      </c>
      <c r="C76" s="54">
        <v>0</v>
      </c>
      <c r="D76" s="54">
        <v>0</v>
      </c>
      <c r="E76" s="54">
        <v>0</v>
      </c>
    </row>
    <row r="77" spans="1:5" x14ac:dyDescent="0.25">
      <c r="A77" s="55" t="s">
        <v>3249</v>
      </c>
      <c r="B77" s="54" t="e">
        <v>#DIV/0!</v>
      </c>
      <c r="C77" s="54" t="e">
        <v>#DIV/0!</v>
      </c>
      <c r="D77" s="54" t="e">
        <v>#DIV/0!</v>
      </c>
      <c r="E77" s="54" t="e">
        <v>#DIV/0!</v>
      </c>
    </row>
    <row r="78" spans="1:5" x14ac:dyDescent="0.25">
      <c r="A78" s="55" t="s">
        <v>3546</v>
      </c>
      <c r="B78" s="54">
        <v>0.36842105263157893</v>
      </c>
      <c r="C78" s="54">
        <v>0.21052631578947367</v>
      </c>
      <c r="D78" s="54">
        <v>0.42105263157894735</v>
      </c>
      <c r="E78" s="54">
        <v>0</v>
      </c>
    </row>
    <row r="79" spans="1:5" x14ac:dyDescent="0.25">
      <c r="A79" s="55" t="s">
        <v>4293</v>
      </c>
      <c r="B79" s="54">
        <v>0.75</v>
      </c>
      <c r="C79" s="54">
        <v>0</v>
      </c>
      <c r="D79" s="54">
        <v>0.25</v>
      </c>
      <c r="E79" s="54">
        <v>0</v>
      </c>
    </row>
    <row r="80" spans="1:5" x14ac:dyDescent="0.25">
      <c r="A80" s="55" t="s">
        <v>4346</v>
      </c>
      <c r="B80" s="54">
        <v>0.25</v>
      </c>
      <c r="C80" s="54">
        <v>0.5</v>
      </c>
      <c r="D80" s="54">
        <v>0.25</v>
      </c>
      <c r="E80" s="54">
        <v>0</v>
      </c>
    </row>
    <row r="81" spans="1:5" x14ac:dyDescent="0.25">
      <c r="A81" s="55" t="s">
        <v>4428</v>
      </c>
      <c r="B81" s="54">
        <v>0</v>
      </c>
      <c r="C81" s="54">
        <v>0</v>
      </c>
      <c r="D81" s="54">
        <v>1</v>
      </c>
      <c r="E81" s="54">
        <v>0</v>
      </c>
    </row>
    <row r="82" spans="1:5" x14ac:dyDescent="0.25">
      <c r="A82" s="55" t="s">
        <v>4743</v>
      </c>
      <c r="B82" s="54">
        <v>1</v>
      </c>
      <c r="C82" s="54">
        <v>0</v>
      </c>
      <c r="D82" s="54">
        <v>0</v>
      </c>
      <c r="E82" s="54">
        <v>0</v>
      </c>
    </row>
    <row r="83" spans="1:5" x14ac:dyDescent="0.25">
      <c r="A83" s="55" t="s">
        <v>6024</v>
      </c>
      <c r="B83" s="54">
        <v>0.8571428571428571</v>
      </c>
      <c r="C83" s="54">
        <v>0</v>
      </c>
      <c r="D83" s="54">
        <v>0.14285714285714285</v>
      </c>
      <c r="E83" s="54">
        <v>0</v>
      </c>
    </row>
    <row r="84" spans="1:5" x14ac:dyDescent="0.25">
      <c r="A84" s="55" t="s">
        <v>6105</v>
      </c>
      <c r="B84" s="54">
        <v>0.25</v>
      </c>
      <c r="C84" s="54">
        <v>0.5</v>
      </c>
      <c r="D84" s="54">
        <v>0.25</v>
      </c>
      <c r="E84" s="54">
        <v>0</v>
      </c>
    </row>
    <row r="85" spans="1:5" x14ac:dyDescent="0.25">
      <c r="A85" s="55" t="s">
        <v>6805</v>
      </c>
      <c r="B85" s="54">
        <v>0.33333333333333331</v>
      </c>
      <c r="C85" s="54">
        <v>0</v>
      </c>
      <c r="D85" s="54">
        <v>0.66666666666666663</v>
      </c>
      <c r="E85" s="54">
        <v>0</v>
      </c>
    </row>
    <row r="86" spans="1:5" x14ac:dyDescent="0.25">
      <c r="A86" s="55" t="s">
        <v>7083</v>
      </c>
      <c r="B86" s="54">
        <v>0.66666666666666663</v>
      </c>
      <c r="C86" s="54">
        <v>0</v>
      </c>
      <c r="D86" s="54">
        <v>0.33333333333333331</v>
      </c>
      <c r="E86" s="54">
        <v>0</v>
      </c>
    </row>
    <row r="87" spans="1:5" x14ac:dyDescent="0.25">
      <c r="A87" s="55" t="s">
        <v>7194</v>
      </c>
      <c r="B87" s="54">
        <v>0</v>
      </c>
      <c r="C87" s="54">
        <v>0</v>
      </c>
      <c r="D87" s="54">
        <v>1</v>
      </c>
      <c r="E87" s="54">
        <v>0</v>
      </c>
    </row>
    <row r="88" spans="1:5" x14ac:dyDescent="0.25">
      <c r="A88" s="55" t="s">
        <v>8140</v>
      </c>
      <c r="B88" s="54">
        <v>0</v>
      </c>
      <c r="C88" s="54">
        <v>0</v>
      </c>
      <c r="D88" s="54">
        <v>1</v>
      </c>
      <c r="E88" s="54">
        <v>0</v>
      </c>
    </row>
    <row r="89" spans="1:5" x14ac:dyDescent="0.25">
      <c r="A89" s="55" t="s">
        <v>8180</v>
      </c>
      <c r="B89" s="54">
        <v>0</v>
      </c>
      <c r="C89" s="54">
        <v>0.4</v>
      </c>
      <c r="D89" s="54">
        <v>0.6</v>
      </c>
      <c r="E89" s="54">
        <v>0</v>
      </c>
    </row>
    <row r="90" spans="1:5" x14ac:dyDescent="0.25">
      <c r="A90" s="55" t="s">
        <v>9020</v>
      </c>
      <c r="B90" s="54">
        <v>1</v>
      </c>
      <c r="C90" s="54">
        <v>0</v>
      </c>
      <c r="D90" s="54">
        <v>0</v>
      </c>
      <c r="E90" s="54">
        <v>0</v>
      </c>
    </row>
    <row r="91" spans="1:5" x14ac:dyDescent="0.25">
      <c r="A91" s="55" t="s">
        <v>9409</v>
      </c>
      <c r="B91" s="54">
        <v>0</v>
      </c>
      <c r="C91" s="54">
        <v>0</v>
      </c>
      <c r="D91" s="54">
        <v>1</v>
      </c>
      <c r="E91" s="54">
        <v>0</v>
      </c>
    </row>
    <row r="92" spans="1:5" x14ac:dyDescent="0.25">
      <c r="A92" s="55" t="s">
        <v>10350</v>
      </c>
      <c r="B92" s="54">
        <v>0</v>
      </c>
      <c r="C92" s="54">
        <v>0</v>
      </c>
      <c r="D92" s="54">
        <v>1</v>
      </c>
      <c r="E92" s="54">
        <v>0</v>
      </c>
    </row>
    <row r="93" spans="1:5" x14ac:dyDescent="0.25">
      <c r="A93" s="55" t="s">
        <v>10558</v>
      </c>
      <c r="B93" s="54">
        <v>0.7142857142857143</v>
      </c>
      <c r="C93" s="54">
        <v>0</v>
      </c>
      <c r="D93" s="54">
        <v>0.2857142857142857</v>
      </c>
      <c r="E93" s="54">
        <v>0</v>
      </c>
    </row>
    <row r="94" spans="1:5" x14ac:dyDescent="0.25">
      <c r="A94" s="55" t="s">
        <v>11664</v>
      </c>
      <c r="B94" s="54">
        <v>0.66666666666666663</v>
      </c>
      <c r="C94" s="54">
        <v>0</v>
      </c>
      <c r="D94" s="54">
        <v>0.33333333333333331</v>
      </c>
      <c r="E94" s="54">
        <v>0</v>
      </c>
    </row>
    <row r="95" spans="1:5" x14ac:dyDescent="0.25">
      <c r="A95" s="55" t="s">
        <v>11693</v>
      </c>
      <c r="B95" s="54">
        <v>0.5757575757575758</v>
      </c>
      <c r="C95" s="54">
        <v>0.12121212121212122</v>
      </c>
      <c r="D95" s="54">
        <v>0.30303030303030304</v>
      </c>
      <c r="E95" s="54">
        <v>0</v>
      </c>
    </row>
    <row r="96" spans="1:5" x14ac:dyDescent="0.25">
      <c r="A96" s="55" t="s">
        <v>12654</v>
      </c>
      <c r="B96" s="54">
        <v>0</v>
      </c>
      <c r="C96" s="54">
        <v>0</v>
      </c>
      <c r="D96" s="54">
        <v>1</v>
      </c>
      <c r="E96" s="54">
        <v>0</v>
      </c>
    </row>
    <row r="97" spans="1:5" x14ac:dyDescent="0.25">
      <c r="A97" s="55" t="s">
        <v>12907</v>
      </c>
      <c r="B97" s="54">
        <v>0.875</v>
      </c>
      <c r="C97" s="54">
        <v>0.125</v>
      </c>
      <c r="D97" s="54">
        <v>0</v>
      </c>
      <c r="E97" s="54">
        <v>0</v>
      </c>
    </row>
    <row r="98" spans="1:5" x14ac:dyDescent="0.25">
      <c r="A98" s="55" t="s">
        <v>13710</v>
      </c>
      <c r="B98" s="54">
        <v>0.125</v>
      </c>
      <c r="C98" s="54">
        <v>0.5</v>
      </c>
      <c r="D98" s="54">
        <v>0.375</v>
      </c>
      <c r="E98" s="54">
        <v>0</v>
      </c>
    </row>
    <row r="99" spans="1:5" x14ac:dyDescent="0.25">
      <c r="A99" s="55" t="s">
        <v>13783</v>
      </c>
      <c r="B99" s="54">
        <v>1</v>
      </c>
      <c r="C99" s="54">
        <v>0</v>
      </c>
      <c r="D99" s="54">
        <v>0</v>
      </c>
      <c r="E99" s="54">
        <v>0</v>
      </c>
    </row>
    <row r="100" spans="1:5" x14ac:dyDescent="0.25">
      <c r="A100" s="50" t="s">
        <v>14281</v>
      </c>
      <c r="B100" s="54">
        <v>0.4913294797687861</v>
      </c>
      <c r="C100" s="54">
        <v>0.15606936416184972</v>
      </c>
      <c r="D100" s="54">
        <v>0.35260115606936415</v>
      </c>
      <c r="E100" s="54">
        <v>0</v>
      </c>
    </row>
    <row r="101" spans="1:5" x14ac:dyDescent="0.25">
      <c r="A101" s="50" t="s">
        <v>12970</v>
      </c>
      <c r="B101" s="54"/>
      <c r="C101" s="54"/>
      <c r="D101" s="54"/>
      <c r="E101" s="54"/>
    </row>
    <row r="102" spans="1:5" x14ac:dyDescent="0.25">
      <c r="A102" s="55" t="s">
        <v>12969</v>
      </c>
      <c r="B102" s="54" t="e">
        <v>#DIV/0!</v>
      </c>
      <c r="C102" s="54" t="e">
        <v>#DIV/0!</v>
      </c>
      <c r="D102" s="54" t="e">
        <v>#DIV/0!</v>
      </c>
      <c r="E102" s="54" t="e">
        <v>#DIV/0!</v>
      </c>
    </row>
    <row r="103" spans="1:5" x14ac:dyDescent="0.25">
      <c r="A103" s="50" t="s">
        <v>14282</v>
      </c>
      <c r="B103" s="54" t="e">
        <v>#DIV/0!</v>
      </c>
      <c r="C103" s="54" t="e">
        <v>#DIV/0!</v>
      </c>
      <c r="D103" s="54" t="e">
        <v>#DIV/0!</v>
      </c>
      <c r="E103" s="54" t="e">
        <v>#DIV/0!</v>
      </c>
    </row>
    <row r="104" spans="1:5" x14ac:dyDescent="0.25">
      <c r="A104" s="50" t="s">
        <v>14272</v>
      </c>
      <c r="B104" s="54">
        <v>0.46057142857142858</v>
      </c>
      <c r="C104" s="54">
        <v>0.20114285714285715</v>
      </c>
      <c r="D104" s="54">
        <v>0.3382857142857143</v>
      </c>
      <c r="E104" s="54">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3:F104"/>
  <sheetViews>
    <sheetView topLeftCell="C1" workbookViewId="0">
      <selection activeCell="B46" sqref="B46:H48"/>
    </sheetView>
  </sheetViews>
  <sheetFormatPr defaultRowHeight="15" x14ac:dyDescent="0.25"/>
  <cols>
    <col min="1" max="1" width="90.28515625" bestFit="1" customWidth="1"/>
    <col min="2" max="2" width="53.140625" bestFit="1" customWidth="1"/>
    <col min="3" max="3" width="34.140625" bestFit="1" customWidth="1"/>
    <col min="4" max="4" width="55.5703125" bestFit="1" customWidth="1"/>
    <col min="5" max="5" width="55.85546875" bestFit="1" customWidth="1"/>
    <col min="6" max="6" width="7.140625" customWidth="1"/>
  </cols>
  <sheetData>
    <row r="3" spans="1:6" x14ac:dyDescent="0.25">
      <c r="A3" s="49" t="s">
        <v>14290</v>
      </c>
      <c r="B3" s="49" t="s">
        <v>14283</v>
      </c>
    </row>
    <row r="4" spans="1:6" x14ac:dyDescent="0.25">
      <c r="A4" s="49" t="s">
        <v>14283</v>
      </c>
      <c r="B4" t="s">
        <v>457</v>
      </c>
      <c r="C4" t="s">
        <v>339</v>
      </c>
      <c r="D4" t="s">
        <v>527</v>
      </c>
      <c r="E4" t="s">
        <v>432</v>
      </c>
      <c r="F4" t="s">
        <v>14275</v>
      </c>
    </row>
    <row r="5" spans="1:6" x14ac:dyDescent="0.25">
      <c r="A5" s="50" t="s">
        <v>1874</v>
      </c>
      <c r="B5" s="54"/>
      <c r="C5" s="54"/>
      <c r="D5" s="54"/>
      <c r="E5" s="54"/>
      <c r="F5" s="54"/>
    </row>
    <row r="6" spans="1:6" x14ac:dyDescent="0.25">
      <c r="A6" s="55" t="s">
        <v>1873</v>
      </c>
      <c r="B6" s="54">
        <v>0.7857142857142857</v>
      </c>
      <c r="C6" s="54">
        <v>0.14285714285714285</v>
      </c>
      <c r="D6" s="54">
        <v>7.1428571428571425E-2</v>
      </c>
      <c r="E6" s="54">
        <v>0</v>
      </c>
      <c r="F6" s="54">
        <v>0</v>
      </c>
    </row>
    <row r="7" spans="1:6" x14ac:dyDescent="0.25">
      <c r="A7" s="55" t="s">
        <v>3868</v>
      </c>
      <c r="B7" s="54">
        <v>0.44827586206896552</v>
      </c>
      <c r="C7" s="54">
        <v>0</v>
      </c>
      <c r="D7" s="54">
        <v>0.27586206896551724</v>
      </c>
      <c r="E7" s="54">
        <v>0.27586206896551724</v>
      </c>
      <c r="F7" s="54">
        <v>0</v>
      </c>
    </row>
    <row r="8" spans="1:6" x14ac:dyDescent="0.25">
      <c r="A8" s="55" t="s">
        <v>6457</v>
      </c>
      <c r="B8" s="54">
        <v>0.21739130434782608</v>
      </c>
      <c r="C8" s="54">
        <v>0.43478260869565216</v>
      </c>
      <c r="D8" s="54">
        <v>0.13043478260869565</v>
      </c>
      <c r="E8" s="54">
        <v>0.21739130434782608</v>
      </c>
      <c r="F8" s="54">
        <v>0</v>
      </c>
    </row>
    <row r="9" spans="1:6" x14ac:dyDescent="0.25">
      <c r="A9" s="55" t="s">
        <v>10371</v>
      </c>
      <c r="B9" s="54">
        <v>0.8</v>
      </c>
      <c r="C9" s="54">
        <v>0.1</v>
      </c>
      <c r="D9" s="54">
        <v>0</v>
      </c>
      <c r="E9" s="54">
        <v>0.1</v>
      </c>
      <c r="F9" s="54">
        <v>0</v>
      </c>
    </row>
    <row r="10" spans="1:6" x14ac:dyDescent="0.25">
      <c r="A10" s="55" t="s">
        <v>10685</v>
      </c>
      <c r="B10" s="54">
        <v>0.11428571428571428</v>
      </c>
      <c r="C10" s="54">
        <v>0.42857142857142855</v>
      </c>
      <c r="D10" s="54">
        <v>5.7142857142857141E-2</v>
      </c>
      <c r="E10" s="54">
        <v>0.4</v>
      </c>
      <c r="F10" s="54">
        <v>0</v>
      </c>
    </row>
    <row r="11" spans="1:6" x14ac:dyDescent="0.25">
      <c r="A11" s="55" t="s">
        <v>11104</v>
      </c>
      <c r="B11" s="54">
        <v>0</v>
      </c>
      <c r="C11" s="54">
        <v>0.65</v>
      </c>
      <c r="D11" s="54">
        <v>0</v>
      </c>
      <c r="E11" s="54">
        <v>0.35</v>
      </c>
      <c r="F11" s="54">
        <v>0</v>
      </c>
    </row>
    <row r="12" spans="1:6" x14ac:dyDescent="0.25">
      <c r="A12" s="55" t="s">
        <v>11417</v>
      </c>
      <c r="B12" s="54">
        <v>0.31578947368421051</v>
      </c>
      <c r="C12" s="54">
        <v>0.15789473684210525</v>
      </c>
      <c r="D12" s="54">
        <v>0.31578947368421051</v>
      </c>
      <c r="E12" s="54">
        <v>0.21052631578947367</v>
      </c>
      <c r="F12" s="54">
        <v>0</v>
      </c>
    </row>
    <row r="13" spans="1:6" x14ac:dyDescent="0.25">
      <c r="A13" s="55" t="s">
        <v>12694</v>
      </c>
      <c r="B13" s="54">
        <v>0.53846153846153844</v>
      </c>
      <c r="C13" s="54">
        <v>7.6923076923076927E-2</v>
      </c>
      <c r="D13" s="54">
        <v>0.30769230769230771</v>
      </c>
      <c r="E13" s="54">
        <v>7.6923076923076927E-2</v>
      </c>
      <c r="F13" s="54">
        <v>0</v>
      </c>
    </row>
    <row r="14" spans="1:6" x14ac:dyDescent="0.25">
      <c r="A14" s="55" t="s">
        <v>14322</v>
      </c>
      <c r="B14" s="54">
        <v>0.4</v>
      </c>
      <c r="C14" s="54">
        <v>0</v>
      </c>
      <c r="D14" s="54">
        <v>0.6</v>
      </c>
      <c r="E14" s="54">
        <v>0</v>
      </c>
      <c r="F14" s="54">
        <v>0</v>
      </c>
    </row>
    <row r="15" spans="1:6" x14ac:dyDescent="0.25">
      <c r="A15" s="50" t="s">
        <v>14276</v>
      </c>
      <c r="B15" s="54">
        <v>0.33333333333333331</v>
      </c>
      <c r="C15" s="54">
        <v>0.26785714285714285</v>
      </c>
      <c r="D15" s="54">
        <v>0.16071428571428573</v>
      </c>
      <c r="E15" s="54">
        <v>0.23809523809523808</v>
      </c>
      <c r="F15" s="54">
        <v>0</v>
      </c>
    </row>
    <row r="16" spans="1:6" x14ac:dyDescent="0.25">
      <c r="A16" s="50" t="s">
        <v>7217</v>
      </c>
      <c r="B16" s="54"/>
      <c r="C16" s="54"/>
      <c r="D16" s="54"/>
      <c r="E16" s="54"/>
      <c r="F16" s="54"/>
    </row>
    <row r="17" spans="1:6" x14ac:dyDescent="0.25">
      <c r="A17" s="55" t="s">
        <v>7216</v>
      </c>
      <c r="B17" s="54">
        <v>0.18181818181818182</v>
      </c>
      <c r="C17" s="54">
        <v>9.0909090909090912E-2</v>
      </c>
      <c r="D17" s="54">
        <v>0.18181818181818182</v>
      </c>
      <c r="E17" s="54">
        <v>0.54545454545454541</v>
      </c>
      <c r="F17" s="54">
        <v>0</v>
      </c>
    </row>
    <row r="18" spans="1:6" x14ac:dyDescent="0.25">
      <c r="A18" s="55" t="s">
        <v>7451</v>
      </c>
      <c r="B18" s="54">
        <v>0.125</v>
      </c>
      <c r="C18" s="54">
        <v>0.33333333333333331</v>
      </c>
      <c r="D18" s="54">
        <v>0.125</v>
      </c>
      <c r="E18" s="54">
        <v>0.41666666666666669</v>
      </c>
      <c r="F18" s="54">
        <v>0</v>
      </c>
    </row>
    <row r="19" spans="1:6" x14ac:dyDescent="0.25">
      <c r="A19" s="55" t="s">
        <v>8265</v>
      </c>
      <c r="B19" s="54">
        <v>0.66666666666666663</v>
      </c>
      <c r="C19" s="54">
        <v>0</v>
      </c>
      <c r="D19" s="54">
        <v>0.33333333333333331</v>
      </c>
      <c r="E19" s="54">
        <v>0</v>
      </c>
      <c r="F19" s="54">
        <v>0</v>
      </c>
    </row>
    <row r="20" spans="1:6" x14ac:dyDescent="0.25">
      <c r="A20" s="55" t="s">
        <v>11102</v>
      </c>
      <c r="B20" s="54" t="e">
        <v>#DIV/0!</v>
      </c>
      <c r="C20" s="54" t="e">
        <v>#DIV/0!</v>
      </c>
      <c r="D20" s="54" t="e">
        <v>#DIV/0!</v>
      </c>
      <c r="E20" s="54" t="e">
        <v>#DIV/0!</v>
      </c>
      <c r="F20" s="54" t="e">
        <v>#DIV/0!</v>
      </c>
    </row>
    <row r="21" spans="1:6" x14ac:dyDescent="0.25">
      <c r="A21" s="55" t="s">
        <v>12090</v>
      </c>
      <c r="B21" s="54">
        <v>0.2</v>
      </c>
      <c r="C21" s="54">
        <v>0.1</v>
      </c>
      <c r="D21" s="54">
        <v>0.6</v>
      </c>
      <c r="E21" s="54">
        <v>0.1</v>
      </c>
      <c r="F21" s="54">
        <v>0</v>
      </c>
    </row>
    <row r="22" spans="1:6" x14ac:dyDescent="0.25">
      <c r="A22" s="55" t="s">
        <v>13917</v>
      </c>
      <c r="B22" s="54">
        <v>0.5714285714285714</v>
      </c>
      <c r="C22" s="54">
        <v>0</v>
      </c>
      <c r="D22" s="54">
        <v>0.42857142857142855</v>
      </c>
      <c r="E22" s="54">
        <v>0</v>
      </c>
      <c r="F22" s="54">
        <v>0</v>
      </c>
    </row>
    <row r="23" spans="1:6" x14ac:dyDescent="0.25">
      <c r="A23" s="55" t="s">
        <v>14016</v>
      </c>
      <c r="B23" s="54">
        <v>0.44444444444444442</v>
      </c>
      <c r="C23" s="54">
        <v>0.33333333333333331</v>
      </c>
      <c r="D23" s="54">
        <v>0</v>
      </c>
      <c r="E23" s="54">
        <v>0.22222222222222221</v>
      </c>
      <c r="F23" s="54">
        <v>0</v>
      </c>
    </row>
    <row r="24" spans="1:6" x14ac:dyDescent="0.25">
      <c r="A24" s="50" t="s">
        <v>14277</v>
      </c>
      <c r="B24" s="54">
        <v>0.31645569620253167</v>
      </c>
      <c r="C24" s="54">
        <v>0.20253164556962025</v>
      </c>
      <c r="D24" s="54">
        <v>0.21518987341772153</v>
      </c>
      <c r="E24" s="54">
        <v>0.26582278481012656</v>
      </c>
      <c r="F24" s="54">
        <v>0</v>
      </c>
    </row>
    <row r="25" spans="1:6" x14ac:dyDescent="0.25">
      <c r="A25" s="50" t="s">
        <v>1596</v>
      </c>
      <c r="B25" s="54"/>
      <c r="C25" s="54"/>
      <c r="D25" s="54"/>
      <c r="E25" s="54"/>
      <c r="F25" s="54"/>
    </row>
    <row r="26" spans="1:6" x14ac:dyDescent="0.25">
      <c r="A26" s="55" t="s">
        <v>1595</v>
      </c>
      <c r="B26" s="54">
        <v>0.5</v>
      </c>
      <c r="C26" s="54">
        <v>0</v>
      </c>
      <c r="D26" s="54">
        <v>0.5</v>
      </c>
      <c r="E26" s="54">
        <v>0</v>
      </c>
      <c r="F26" s="54">
        <v>0</v>
      </c>
    </row>
    <row r="27" spans="1:6" x14ac:dyDescent="0.25">
      <c r="A27" s="55" t="s">
        <v>1827</v>
      </c>
      <c r="B27" s="54">
        <v>0.5</v>
      </c>
      <c r="C27" s="54">
        <v>0</v>
      </c>
      <c r="D27" s="54">
        <v>0.5</v>
      </c>
      <c r="E27" s="54">
        <v>0</v>
      </c>
      <c r="F27" s="54">
        <v>0</v>
      </c>
    </row>
    <row r="28" spans="1:6" x14ac:dyDescent="0.25">
      <c r="A28" s="55" t="s">
        <v>2395</v>
      </c>
      <c r="B28" s="54">
        <v>0</v>
      </c>
      <c r="C28" s="54">
        <v>0</v>
      </c>
      <c r="D28" s="54">
        <v>1</v>
      </c>
      <c r="E28" s="54">
        <v>0</v>
      </c>
      <c r="F28" s="54">
        <v>0</v>
      </c>
    </row>
    <row r="29" spans="1:6" x14ac:dyDescent="0.25">
      <c r="A29" s="55" t="s">
        <v>2536</v>
      </c>
      <c r="B29" s="54">
        <v>0.42857142857142855</v>
      </c>
      <c r="C29" s="54">
        <v>0.2857142857142857</v>
      </c>
      <c r="D29" s="54">
        <v>0.14285714285714285</v>
      </c>
      <c r="E29" s="54">
        <v>0.14285714285714285</v>
      </c>
      <c r="F29" s="54">
        <v>0</v>
      </c>
    </row>
    <row r="30" spans="1:6" x14ac:dyDescent="0.25">
      <c r="A30" s="55" t="s">
        <v>2956</v>
      </c>
      <c r="B30" s="54">
        <v>0.1111111111111111</v>
      </c>
      <c r="C30" s="54">
        <v>0.22222222222222221</v>
      </c>
      <c r="D30" s="54">
        <v>0.55555555555555558</v>
      </c>
      <c r="E30" s="54">
        <v>0.1111111111111111</v>
      </c>
      <c r="F30" s="54">
        <v>0</v>
      </c>
    </row>
    <row r="31" spans="1:6" x14ac:dyDescent="0.25">
      <c r="A31" s="55" t="s">
        <v>4471</v>
      </c>
      <c r="B31" s="54">
        <v>0.61538461538461542</v>
      </c>
      <c r="C31" s="54">
        <v>0</v>
      </c>
      <c r="D31" s="54">
        <v>0.15384615384615385</v>
      </c>
      <c r="E31" s="54">
        <v>0.23076923076923078</v>
      </c>
      <c r="F31" s="54">
        <v>0</v>
      </c>
    </row>
    <row r="32" spans="1:6" x14ac:dyDescent="0.25">
      <c r="A32" s="55" t="s">
        <v>7179</v>
      </c>
      <c r="B32" s="54">
        <v>1</v>
      </c>
      <c r="C32" s="54">
        <v>0</v>
      </c>
      <c r="D32" s="54">
        <v>0</v>
      </c>
      <c r="E32" s="54">
        <v>0</v>
      </c>
      <c r="F32" s="54">
        <v>0</v>
      </c>
    </row>
    <row r="33" spans="1:6" x14ac:dyDescent="0.25">
      <c r="A33" s="55" t="s">
        <v>7835</v>
      </c>
      <c r="B33" s="54">
        <v>0.66666666666666663</v>
      </c>
      <c r="C33" s="54">
        <v>6.6666666666666666E-2</v>
      </c>
      <c r="D33" s="54">
        <v>0.26666666666666666</v>
      </c>
      <c r="E33" s="54">
        <v>0</v>
      </c>
      <c r="F33" s="54">
        <v>0</v>
      </c>
    </row>
    <row r="34" spans="1:6" x14ac:dyDescent="0.25">
      <c r="A34" s="55" t="s">
        <v>9043</v>
      </c>
      <c r="B34" s="54">
        <v>0.41666666666666669</v>
      </c>
      <c r="C34" s="54">
        <v>0.375</v>
      </c>
      <c r="D34" s="54">
        <v>0.16666666666666666</v>
      </c>
      <c r="E34" s="54">
        <v>4.1666666666666664E-2</v>
      </c>
      <c r="F34" s="54">
        <v>0</v>
      </c>
    </row>
    <row r="35" spans="1:6" x14ac:dyDescent="0.25">
      <c r="A35" s="55" t="s">
        <v>10594</v>
      </c>
      <c r="B35" s="54">
        <v>0.6</v>
      </c>
      <c r="C35" s="54">
        <v>0</v>
      </c>
      <c r="D35" s="54">
        <v>0.4</v>
      </c>
      <c r="E35" s="54">
        <v>0</v>
      </c>
      <c r="F35" s="54">
        <v>0</v>
      </c>
    </row>
    <row r="36" spans="1:6" x14ac:dyDescent="0.25">
      <c r="A36" s="50" t="s">
        <v>14278</v>
      </c>
      <c r="B36" s="54">
        <v>0.45263157894736844</v>
      </c>
      <c r="C36" s="54">
        <v>0.16842105263157894</v>
      </c>
      <c r="D36" s="54">
        <v>0.30526315789473685</v>
      </c>
      <c r="E36" s="54">
        <v>7.3684210526315783E-2</v>
      </c>
      <c r="F36" s="54">
        <v>0</v>
      </c>
    </row>
    <row r="37" spans="1:6" x14ac:dyDescent="0.25">
      <c r="A37" s="50" t="s">
        <v>306</v>
      </c>
      <c r="B37" s="54"/>
      <c r="C37" s="54"/>
      <c r="D37" s="54"/>
      <c r="E37" s="54"/>
      <c r="F37" s="54"/>
    </row>
    <row r="38" spans="1:6" x14ac:dyDescent="0.25">
      <c r="A38" s="55" t="s">
        <v>305</v>
      </c>
      <c r="B38" s="54">
        <v>6.6666666666666666E-2</v>
      </c>
      <c r="C38" s="54">
        <v>0.73333333333333328</v>
      </c>
      <c r="D38" s="54">
        <v>0.13333333333333333</v>
      </c>
      <c r="E38" s="54">
        <v>6.6666666666666666E-2</v>
      </c>
      <c r="F38" s="54">
        <v>0</v>
      </c>
    </row>
    <row r="39" spans="1:6" x14ac:dyDescent="0.25">
      <c r="A39" s="55" t="s">
        <v>652</v>
      </c>
      <c r="B39" s="54">
        <v>0.22916666666666666</v>
      </c>
      <c r="C39" s="54">
        <v>0.47916666666666669</v>
      </c>
      <c r="D39" s="54">
        <v>0.20833333333333334</v>
      </c>
      <c r="E39" s="54">
        <v>8.3333333333333329E-2</v>
      </c>
      <c r="F39" s="54">
        <v>0</v>
      </c>
    </row>
    <row r="40" spans="1:6" x14ac:dyDescent="0.25">
      <c r="A40" s="55" t="s">
        <v>2092</v>
      </c>
      <c r="B40" s="54">
        <v>0.16666666666666666</v>
      </c>
      <c r="C40" s="54">
        <v>0.27777777777777779</v>
      </c>
      <c r="D40" s="54">
        <v>0.27777777777777779</v>
      </c>
      <c r="E40" s="54">
        <v>0.27777777777777779</v>
      </c>
      <c r="F40" s="54">
        <v>0</v>
      </c>
    </row>
    <row r="41" spans="1:6" x14ac:dyDescent="0.25">
      <c r="A41" s="55" t="s">
        <v>4268</v>
      </c>
      <c r="B41" s="54">
        <v>1</v>
      </c>
      <c r="C41" s="54">
        <v>0</v>
      </c>
      <c r="D41" s="54">
        <v>0</v>
      </c>
      <c r="E41" s="54">
        <v>0</v>
      </c>
      <c r="F41" s="54">
        <v>0</v>
      </c>
    </row>
    <row r="42" spans="1:6" x14ac:dyDescent="0.25">
      <c r="A42" s="55" t="s">
        <v>5300</v>
      </c>
      <c r="B42" s="54">
        <v>0.19444444444444445</v>
      </c>
      <c r="C42" s="54">
        <v>0.41666666666666669</v>
      </c>
      <c r="D42" s="54">
        <v>0.22222222222222221</v>
      </c>
      <c r="E42" s="54">
        <v>0.16666666666666666</v>
      </c>
      <c r="F42" s="54">
        <v>0</v>
      </c>
    </row>
    <row r="43" spans="1:6" x14ac:dyDescent="0.25">
      <c r="A43" s="55" t="s">
        <v>5932</v>
      </c>
      <c r="B43" s="54">
        <v>0.25</v>
      </c>
      <c r="C43" s="54">
        <v>0</v>
      </c>
      <c r="D43" s="54">
        <v>0.25</v>
      </c>
      <c r="E43" s="54">
        <v>0.5</v>
      </c>
      <c r="F43" s="54">
        <v>0</v>
      </c>
    </row>
    <row r="44" spans="1:6" x14ac:dyDescent="0.25">
      <c r="A44" s="55" t="s">
        <v>6850</v>
      </c>
      <c r="B44" s="54">
        <v>0.21428571428571427</v>
      </c>
      <c r="C44" s="54">
        <v>0</v>
      </c>
      <c r="D44" s="54">
        <v>0.7142857142857143</v>
      </c>
      <c r="E44" s="54">
        <v>7.1428571428571425E-2</v>
      </c>
      <c r="F44" s="54">
        <v>0</v>
      </c>
    </row>
    <row r="45" spans="1:6" x14ac:dyDescent="0.25">
      <c r="A45" s="55" t="s">
        <v>8444</v>
      </c>
      <c r="B45" s="54">
        <v>0.1875</v>
      </c>
      <c r="C45" s="54">
        <v>0.4375</v>
      </c>
      <c r="D45" s="54">
        <v>0.25</v>
      </c>
      <c r="E45" s="54">
        <v>0.125</v>
      </c>
      <c r="F45" s="54">
        <v>0</v>
      </c>
    </row>
    <row r="46" spans="1:6" x14ac:dyDescent="0.25">
      <c r="A46" s="55" t="s">
        <v>8647</v>
      </c>
      <c r="B46" s="54">
        <v>0.5</v>
      </c>
      <c r="C46" s="54">
        <v>0</v>
      </c>
      <c r="D46" s="54">
        <v>0.45833333333333331</v>
      </c>
      <c r="E46" s="54">
        <v>4.1666666666666664E-2</v>
      </c>
      <c r="F46" s="54">
        <v>0</v>
      </c>
    </row>
    <row r="47" spans="1:6" x14ac:dyDescent="0.25">
      <c r="A47" s="55" t="s">
        <v>9427</v>
      </c>
      <c r="B47" s="54">
        <v>0.5</v>
      </c>
      <c r="C47" s="54">
        <v>0</v>
      </c>
      <c r="D47" s="54">
        <v>0.5</v>
      </c>
      <c r="E47" s="54">
        <v>0</v>
      </c>
      <c r="F47" s="54">
        <v>0</v>
      </c>
    </row>
    <row r="48" spans="1:6" x14ac:dyDescent="0.25">
      <c r="A48" s="55" t="s">
        <v>9516</v>
      </c>
      <c r="B48" s="54">
        <v>0.25</v>
      </c>
      <c r="C48" s="54">
        <v>8.3333333333333329E-2</v>
      </c>
      <c r="D48" s="54">
        <v>0.25</v>
      </c>
      <c r="E48" s="54">
        <v>0.41666666666666669</v>
      </c>
      <c r="F48" s="54">
        <v>0</v>
      </c>
    </row>
    <row r="49" spans="1:6" x14ac:dyDescent="0.25">
      <c r="A49" s="55" t="s">
        <v>10263</v>
      </c>
      <c r="B49" s="54">
        <v>1</v>
      </c>
      <c r="C49" s="54">
        <v>0</v>
      </c>
      <c r="D49" s="54">
        <v>0</v>
      </c>
      <c r="E49" s="54">
        <v>0</v>
      </c>
      <c r="F49" s="54">
        <v>0</v>
      </c>
    </row>
    <row r="50" spans="1:6" x14ac:dyDescent="0.25">
      <c r="A50" s="55" t="s">
        <v>11304</v>
      </c>
      <c r="B50" s="54">
        <v>0.14285714285714285</v>
      </c>
      <c r="C50" s="54">
        <v>0</v>
      </c>
      <c r="D50" s="54">
        <v>0.2857142857142857</v>
      </c>
      <c r="E50" s="54">
        <v>0.5714285714285714</v>
      </c>
      <c r="F50" s="54">
        <v>0</v>
      </c>
    </row>
    <row r="51" spans="1:6" x14ac:dyDescent="0.25">
      <c r="A51" s="55" t="s">
        <v>12294</v>
      </c>
      <c r="B51" s="54">
        <v>0</v>
      </c>
      <c r="C51" s="54">
        <v>0.68181818181818177</v>
      </c>
      <c r="D51" s="54">
        <v>0.22727272727272727</v>
      </c>
      <c r="E51" s="54">
        <v>9.0909090909090912E-2</v>
      </c>
      <c r="F51" s="54">
        <v>0</v>
      </c>
    </row>
    <row r="52" spans="1:6" x14ac:dyDescent="0.25">
      <c r="A52" s="55" t="s">
        <v>12547</v>
      </c>
      <c r="B52" s="54">
        <v>0</v>
      </c>
      <c r="C52" s="54">
        <v>0.16666666666666666</v>
      </c>
      <c r="D52" s="54">
        <v>0.16666666666666666</v>
      </c>
      <c r="E52" s="54">
        <v>0.66666666666666663</v>
      </c>
      <c r="F52" s="54">
        <v>0</v>
      </c>
    </row>
    <row r="53" spans="1:6" x14ac:dyDescent="0.25">
      <c r="A53" s="55" t="s">
        <v>13272</v>
      </c>
      <c r="B53" s="54">
        <v>0.125</v>
      </c>
      <c r="C53" s="54">
        <v>0.125</v>
      </c>
      <c r="D53" s="54">
        <v>0</v>
      </c>
      <c r="E53" s="54">
        <v>0.75</v>
      </c>
      <c r="F53" s="54">
        <v>0</v>
      </c>
    </row>
    <row r="54" spans="1:6" x14ac:dyDescent="0.25">
      <c r="A54" s="55" t="s">
        <v>13409</v>
      </c>
      <c r="B54" s="54">
        <v>0.44444444444444442</v>
      </c>
      <c r="C54" s="54">
        <v>0</v>
      </c>
      <c r="D54" s="54">
        <v>0.55555555555555558</v>
      </c>
      <c r="E54" s="54">
        <v>0</v>
      </c>
      <c r="F54" s="54">
        <v>0</v>
      </c>
    </row>
    <row r="55" spans="1:6" x14ac:dyDescent="0.25">
      <c r="A55" s="50" t="s">
        <v>14279</v>
      </c>
      <c r="B55" s="54">
        <v>0.24334600760456274</v>
      </c>
      <c r="C55" s="54">
        <v>0.30038022813688214</v>
      </c>
      <c r="D55" s="54">
        <v>0.28517110266159695</v>
      </c>
      <c r="E55" s="54">
        <v>0.17110266159695817</v>
      </c>
      <c r="F55" s="54">
        <v>0</v>
      </c>
    </row>
    <row r="56" spans="1:6" x14ac:dyDescent="0.25">
      <c r="A56" s="50" t="s">
        <v>2807</v>
      </c>
      <c r="B56" s="54"/>
      <c r="C56" s="54"/>
      <c r="D56" s="54"/>
      <c r="E56" s="54"/>
      <c r="F56" s="54"/>
    </row>
    <row r="57" spans="1:6" x14ac:dyDescent="0.25">
      <c r="A57" s="55" t="s">
        <v>2806</v>
      </c>
      <c r="B57" s="54">
        <v>1</v>
      </c>
      <c r="C57" s="54">
        <v>0</v>
      </c>
      <c r="D57" s="54">
        <v>0</v>
      </c>
      <c r="E57" s="54">
        <v>0</v>
      </c>
      <c r="F57" s="54">
        <v>0</v>
      </c>
    </row>
    <row r="58" spans="1:6" x14ac:dyDescent="0.25">
      <c r="A58" s="55" t="s">
        <v>2931</v>
      </c>
      <c r="B58" s="54">
        <v>1</v>
      </c>
      <c r="C58" s="54">
        <v>0</v>
      </c>
      <c r="D58" s="54">
        <v>0</v>
      </c>
      <c r="E58" s="54">
        <v>0</v>
      </c>
      <c r="F58" s="54">
        <v>0</v>
      </c>
    </row>
    <row r="59" spans="1:6" x14ac:dyDescent="0.25">
      <c r="A59" s="55" t="s">
        <v>3148</v>
      </c>
      <c r="B59" s="54">
        <v>0.8</v>
      </c>
      <c r="C59" s="54">
        <v>0</v>
      </c>
      <c r="D59" s="54">
        <v>0.2</v>
      </c>
      <c r="E59" s="54">
        <v>0</v>
      </c>
      <c r="F59" s="54">
        <v>0</v>
      </c>
    </row>
    <row r="60" spans="1:6" x14ac:dyDescent="0.25">
      <c r="A60" s="55" t="s">
        <v>3261</v>
      </c>
      <c r="B60" s="54" t="e">
        <v>#DIV/0!</v>
      </c>
      <c r="C60" s="54" t="e">
        <v>#DIV/0!</v>
      </c>
      <c r="D60" s="54" t="e">
        <v>#DIV/0!</v>
      </c>
      <c r="E60" s="54" t="e">
        <v>#DIV/0!</v>
      </c>
      <c r="F60" s="54" t="e">
        <v>#DIV/0!</v>
      </c>
    </row>
    <row r="61" spans="1:6" x14ac:dyDescent="0.25">
      <c r="A61" s="55" t="s">
        <v>3272</v>
      </c>
      <c r="B61" s="54">
        <v>0.21052631578947367</v>
      </c>
      <c r="C61" s="54">
        <v>5.2631578947368418E-2</v>
      </c>
      <c r="D61" s="54">
        <v>0.15789473684210525</v>
      </c>
      <c r="E61" s="54">
        <v>0.57894736842105265</v>
      </c>
      <c r="F61" s="54">
        <v>0</v>
      </c>
    </row>
    <row r="62" spans="1:6" x14ac:dyDescent="0.25">
      <c r="A62" s="55" t="s">
        <v>4777</v>
      </c>
      <c r="B62" s="54">
        <v>0.4</v>
      </c>
      <c r="C62" s="54">
        <v>0.13333333333333333</v>
      </c>
      <c r="D62" s="54">
        <v>0.26666666666666666</v>
      </c>
      <c r="E62" s="54">
        <v>0.2</v>
      </c>
      <c r="F62" s="54">
        <v>0</v>
      </c>
    </row>
    <row r="63" spans="1:6" x14ac:dyDescent="0.25">
      <c r="A63" s="55" t="s">
        <v>5061</v>
      </c>
      <c r="B63" s="54">
        <v>0.375</v>
      </c>
      <c r="C63" s="54">
        <v>0</v>
      </c>
      <c r="D63" s="54">
        <v>0.5</v>
      </c>
      <c r="E63" s="54">
        <v>0.125</v>
      </c>
      <c r="F63" s="54">
        <v>0</v>
      </c>
    </row>
    <row r="64" spans="1:6" x14ac:dyDescent="0.25">
      <c r="A64" s="55" t="s">
        <v>5190</v>
      </c>
      <c r="B64" s="54">
        <v>0.8571428571428571</v>
      </c>
      <c r="C64" s="54">
        <v>0</v>
      </c>
      <c r="D64" s="54">
        <v>0.14285714285714285</v>
      </c>
      <c r="E64" s="54">
        <v>0</v>
      </c>
      <c r="F64" s="54">
        <v>0</v>
      </c>
    </row>
    <row r="65" spans="1:6" x14ac:dyDescent="0.25">
      <c r="A65" s="55" t="s">
        <v>8138</v>
      </c>
      <c r="B65" s="54">
        <v>1</v>
      </c>
      <c r="C65" s="54">
        <v>0</v>
      </c>
      <c r="D65" s="54">
        <v>0</v>
      </c>
      <c r="E65" s="54">
        <v>0</v>
      </c>
      <c r="F65" s="54">
        <v>0</v>
      </c>
    </row>
    <row r="66" spans="1:6" x14ac:dyDescent="0.25">
      <c r="A66" s="55" t="s">
        <v>9042</v>
      </c>
      <c r="B66" s="54">
        <v>1</v>
      </c>
      <c r="C66" s="54">
        <v>0</v>
      </c>
      <c r="D66" s="54">
        <v>0</v>
      </c>
      <c r="E66" s="54">
        <v>0</v>
      </c>
      <c r="F66" s="54">
        <v>0</v>
      </c>
    </row>
    <row r="67" spans="1:6" x14ac:dyDescent="0.25">
      <c r="A67" s="55" t="s">
        <v>9514</v>
      </c>
      <c r="B67" s="54" t="e">
        <v>#DIV/0!</v>
      </c>
      <c r="C67" s="54" t="e">
        <v>#DIV/0!</v>
      </c>
      <c r="D67" s="54" t="e">
        <v>#DIV/0!</v>
      </c>
      <c r="E67" s="54" t="e">
        <v>#DIV/0!</v>
      </c>
      <c r="F67" s="54" t="e">
        <v>#DIV/0!</v>
      </c>
    </row>
    <row r="68" spans="1:6" x14ac:dyDescent="0.25">
      <c r="A68" s="55" t="s">
        <v>9706</v>
      </c>
      <c r="B68" s="54">
        <v>0.22857142857142856</v>
      </c>
      <c r="C68" s="54">
        <v>0.2857142857142857</v>
      </c>
      <c r="D68" s="54">
        <v>0.2857142857142857</v>
      </c>
      <c r="E68" s="54">
        <v>0.2</v>
      </c>
      <c r="F68" s="54">
        <v>0</v>
      </c>
    </row>
    <row r="69" spans="1:6" x14ac:dyDescent="0.25">
      <c r="A69" s="50" t="s">
        <v>14280</v>
      </c>
      <c r="B69" s="54">
        <v>0.37634408602150538</v>
      </c>
      <c r="C69" s="54">
        <v>0.13978494623655913</v>
      </c>
      <c r="D69" s="54">
        <v>0.24731182795698925</v>
      </c>
      <c r="E69" s="54">
        <v>0.23655913978494625</v>
      </c>
      <c r="F69" s="54">
        <v>0</v>
      </c>
    </row>
    <row r="70" spans="1:6" x14ac:dyDescent="0.25">
      <c r="A70" s="50" t="s">
        <v>602</v>
      </c>
      <c r="B70" s="54"/>
      <c r="C70" s="54"/>
      <c r="D70" s="54"/>
      <c r="E70" s="54"/>
      <c r="F70" s="54"/>
    </row>
    <row r="71" spans="1:6" x14ac:dyDescent="0.25">
      <c r="A71" s="55" t="s">
        <v>601</v>
      </c>
      <c r="B71" s="54">
        <v>0</v>
      </c>
      <c r="C71" s="54">
        <v>0</v>
      </c>
      <c r="D71" s="54">
        <v>1</v>
      </c>
      <c r="E71" s="54">
        <v>0</v>
      </c>
      <c r="F71" s="54">
        <v>0</v>
      </c>
    </row>
    <row r="72" spans="1:6" x14ac:dyDescent="0.25">
      <c r="A72" s="55" t="s">
        <v>635</v>
      </c>
      <c r="B72" s="54" t="e">
        <v>#DIV/0!</v>
      </c>
      <c r="C72" s="54" t="e">
        <v>#DIV/0!</v>
      </c>
      <c r="D72" s="54" t="e">
        <v>#DIV/0!</v>
      </c>
      <c r="E72" s="54" t="e">
        <v>#DIV/0!</v>
      </c>
      <c r="F72" s="54" t="e">
        <v>#DIV/0!</v>
      </c>
    </row>
    <row r="73" spans="1:6" x14ac:dyDescent="0.25">
      <c r="A73" s="55" t="s">
        <v>1527</v>
      </c>
      <c r="B73" s="54">
        <v>0</v>
      </c>
      <c r="C73" s="54">
        <v>0</v>
      </c>
      <c r="D73" s="54">
        <v>0.8</v>
      </c>
      <c r="E73" s="54">
        <v>0.2</v>
      </c>
      <c r="F73" s="54">
        <v>0</v>
      </c>
    </row>
    <row r="74" spans="1:6" x14ac:dyDescent="0.25">
      <c r="A74" s="55" t="s">
        <v>1735</v>
      </c>
      <c r="B74" s="54">
        <v>0.4</v>
      </c>
      <c r="C74" s="54">
        <v>0</v>
      </c>
      <c r="D74" s="54">
        <v>0.6</v>
      </c>
      <c r="E74" s="54">
        <v>0</v>
      </c>
      <c r="F74" s="54">
        <v>0</v>
      </c>
    </row>
    <row r="75" spans="1:6" x14ac:dyDescent="0.25">
      <c r="A75" s="55" t="s">
        <v>3140</v>
      </c>
      <c r="B75" s="54">
        <v>0</v>
      </c>
      <c r="C75" s="54">
        <v>0</v>
      </c>
      <c r="D75" s="54">
        <v>1</v>
      </c>
      <c r="E75" s="54">
        <v>0</v>
      </c>
      <c r="F75" s="54">
        <v>0</v>
      </c>
    </row>
    <row r="76" spans="1:6" x14ac:dyDescent="0.25">
      <c r="A76" s="55" t="s">
        <v>3231</v>
      </c>
      <c r="B76" s="54">
        <v>0</v>
      </c>
      <c r="C76" s="54">
        <v>0</v>
      </c>
      <c r="D76" s="54">
        <v>1</v>
      </c>
      <c r="E76" s="54">
        <v>0</v>
      </c>
      <c r="F76" s="54">
        <v>0</v>
      </c>
    </row>
    <row r="77" spans="1:6" x14ac:dyDescent="0.25">
      <c r="A77" s="55" t="s">
        <v>3249</v>
      </c>
      <c r="B77" s="54">
        <v>0</v>
      </c>
      <c r="C77" s="54">
        <v>1</v>
      </c>
      <c r="D77" s="54">
        <v>0</v>
      </c>
      <c r="E77" s="54">
        <v>0</v>
      </c>
      <c r="F77" s="54">
        <v>0</v>
      </c>
    </row>
    <row r="78" spans="1:6" x14ac:dyDescent="0.25">
      <c r="A78" s="55" t="s">
        <v>3546</v>
      </c>
      <c r="B78" s="54">
        <v>0.36842105263157893</v>
      </c>
      <c r="C78" s="54">
        <v>0.15789473684210525</v>
      </c>
      <c r="D78" s="54">
        <v>0.26315789473684209</v>
      </c>
      <c r="E78" s="54">
        <v>0.21052631578947367</v>
      </c>
      <c r="F78" s="54">
        <v>0</v>
      </c>
    </row>
    <row r="79" spans="1:6" x14ac:dyDescent="0.25">
      <c r="A79" s="55" t="s">
        <v>4293</v>
      </c>
      <c r="B79" s="54">
        <v>0.5</v>
      </c>
      <c r="C79" s="54">
        <v>0.25</v>
      </c>
      <c r="D79" s="54">
        <v>0.25</v>
      </c>
      <c r="E79" s="54">
        <v>0</v>
      </c>
      <c r="F79" s="54">
        <v>0</v>
      </c>
    </row>
    <row r="80" spans="1:6" x14ac:dyDescent="0.25">
      <c r="A80" s="55" t="s">
        <v>4346</v>
      </c>
      <c r="B80" s="54">
        <v>0.33333333333333331</v>
      </c>
      <c r="C80" s="54">
        <v>0.33333333333333331</v>
      </c>
      <c r="D80" s="54">
        <v>0</v>
      </c>
      <c r="E80" s="54">
        <v>0.33333333333333331</v>
      </c>
      <c r="F80" s="54">
        <v>0</v>
      </c>
    </row>
    <row r="81" spans="1:6" x14ac:dyDescent="0.25">
      <c r="A81" s="55" t="s">
        <v>4428</v>
      </c>
      <c r="B81" s="54">
        <v>1</v>
      </c>
      <c r="C81" s="54">
        <v>0</v>
      </c>
      <c r="D81" s="54">
        <v>0</v>
      </c>
      <c r="E81" s="54">
        <v>0</v>
      </c>
      <c r="F81" s="54">
        <v>0</v>
      </c>
    </row>
    <row r="82" spans="1:6" x14ac:dyDescent="0.25">
      <c r="A82" s="55" t="s">
        <v>4743</v>
      </c>
      <c r="B82" s="54">
        <v>0</v>
      </c>
      <c r="C82" s="54">
        <v>0</v>
      </c>
      <c r="D82" s="54">
        <v>0</v>
      </c>
      <c r="E82" s="54">
        <v>1</v>
      </c>
      <c r="F82" s="54">
        <v>0</v>
      </c>
    </row>
    <row r="83" spans="1:6" x14ac:dyDescent="0.25">
      <c r="A83" s="55" t="s">
        <v>6024</v>
      </c>
      <c r="B83" s="54">
        <v>1</v>
      </c>
      <c r="C83" s="54">
        <v>0</v>
      </c>
      <c r="D83" s="54">
        <v>0</v>
      </c>
      <c r="E83" s="54">
        <v>0</v>
      </c>
      <c r="F83" s="54">
        <v>0</v>
      </c>
    </row>
    <row r="84" spans="1:6" x14ac:dyDescent="0.25">
      <c r="A84" s="55" t="s">
        <v>6105</v>
      </c>
      <c r="B84" s="54">
        <v>0.1</v>
      </c>
      <c r="C84" s="54">
        <v>0.1</v>
      </c>
      <c r="D84" s="54">
        <v>0.2</v>
      </c>
      <c r="E84" s="54">
        <v>0.6</v>
      </c>
      <c r="F84" s="54">
        <v>0</v>
      </c>
    </row>
    <row r="85" spans="1:6" x14ac:dyDescent="0.25">
      <c r="A85" s="55" t="s">
        <v>6805</v>
      </c>
      <c r="B85" s="54">
        <v>0.33333333333333331</v>
      </c>
      <c r="C85" s="54">
        <v>0</v>
      </c>
      <c r="D85" s="54">
        <v>0.66666666666666663</v>
      </c>
      <c r="E85" s="54">
        <v>0</v>
      </c>
      <c r="F85" s="54">
        <v>0</v>
      </c>
    </row>
    <row r="86" spans="1:6" x14ac:dyDescent="0.25">
      <c r="A86" s="55" t="s">
        <v>7083</v>
      </c>
      <c r="B86" s="54">
        <v>0.16666666666666666</v>
      </c>
      <c r="C86" s="54">
        <v>0.33333333333333331</v>
      </c>
      <c r="D86" s="54">
        <v>0</v>
      </c>
      <c r="E86" s="54">
        <v>0.5</v>
      </c>
      <c r="F86" s="54">
        <v>0</v>
      </c>
    </row>
    <row r="87" spans="1:6" x14ac:dyDescent="0.25">
      <c r="A87" s="55" t="s">
        <v>7194</v>
      </c>
      <c r="B87" s="54">
        <v>1</v>
      </c>
      <c r="C87" s="54">
        <v>0</v>
      </c>
      <c r="D87" s="54">
        <v>0</v>
      </c>
      <c r="E87" s="54">
        <v>0</v>
      </c>
      <c r="F87" s="54">
        <v>0</v>
      </c>
    </row>
    <row r="88" spans="1:6" x14ac:dyDescent="0.25">
      <c r="A88" s="55" t="s">
        <v>8140</v>
      </c>
      <c r="B88" s="54">
        <v>0.66666666666666663</v>
      </c>
      <c r="C88" s="54">
        <v>0</v>
      </c>
      <c r="D88" s="54">
        <v>0.33333333333333331</v>
      </c>
      <c r="E88" s="54">
        <v>0</v>
      </c>
      <c r="F88" s="54">
        <v>0</v>
      </c>
    </row>
    <row r="89" spans="1:6" x14ac:dyDescent="0.25">
      <c r="A89" s="55" t="s">
        <v>8180</v>
      </c>
      <c r="B89" s="54">
        <v>0.2</v>
      </c>
      <c r="C89" s="54">
        <v>0</v>
      </c>
      <c r="D89" s="54">
        <v>0.8</v>
      </c>
      <c r="E89" s="54">
        <v>0</v>
      </c>
      <c r="F89" s="54">
        <v>0</v>
      </c>
    </row>
    <row r="90" spans="1:6" x14ac:dyDescent="0.25">
      <c r="A90" s="55" t="s">
        <v>9020</v>
      </c>
      <c r="B90" s="54" t="e">
        <v>#DIV/0!</v>
      </c>
      <c r="C90" s="54" t="e">
        <v>#DIV/0!</v>
      </c>
      <c r="D90" s="54" t="e">
        <v>#DIV/0!</v>
      </c>
      <c r="E90" s="54" t="e">
        <v>#DIV/0!</v>
      </c>
      <c r="F90" s="54" t="e">
        <v>#DIV/0!</v>
      </c>
    </row>
    <row r="91" spans="1:6" x14ac:dyDescent="0.25">
      <c r="A91" s="55" t="s">
        <v>9409</v>
      </c>
      <c r="B91" s="54">
        <v>0</v>
      </c>
      <c r="C91" s="54">
        <v>0</v>
      </c>
      <c r="D91" s="54">
        <v>1</v>
      </c>
      <c r="E91" s="54">
        <v>0</v>
      </c>
      <c r="F91" s="54">
        <v>0</v>
      </c>
    </row>
    <row r="92" spans="1:6" x14ac:dyDescent="0.25">
      <c r="A92" s="55" t="s">
        <v>10350</v>
      </c>
      <c r="B92" s="54">
        <v>1</v>
      </c>
      <c r="C92" s="54">
        <v>0</v>
      </c>
      <c r="D92" s="54">
        <v>0</v>
      </c>
      <c r="E92" s="54">
        <v>0</v>
      </c>
      <c r="F92" s="54">
        <v>0</v>
      </c>
    </row>
    <row r="93" spans="1:6" x14ac:dyDescent="0.25">
      <c r="A93" s="55" t="s">
        <v>10558</v>
      </c>
      <c r="B93" s="54">
        <v>0.7142857142857143</v>
      </c>
      <c r="C93" s="54">
        <v>0</v>
      </c>
      <c r="D93" s="54">
        <v>0.2857142857142857</v>
      </c>
      <c r="E93" s="54">
        <v>0</v>
      </c>
      <c r="F93" s="54">
        <v>0</v>
      </c>
    </row>
    <row r="94" spans="1:6" x14ac:dyDescent="0.25">
      <c r="A94" s="55" t="s">
        <v>11664</v>
      </c>
      <c r="B94" s="54" t="e">
        <v>#DIV/0!</v>
      </c>
      <c r="C94" s="54" t="e">
        <v>#DIV/0!</v>
      </c>
      <c r="D94" s="54" t="e">
        <v>#DIV/0!</v>
      </c>
      <c r="E94" s="54" t="e">
        <v>#DIV/0!</v>
      </c>
      <c r="F94" s="54" t="e">
        <v>#DIV/0!</v>
      </c>
    </row>
    <row r="95" spans="1:6" x14ac:dyDescent="0.25">
      <c r="A95" s="55" t="s">
        <v>11693</v>
      </c>
      <c r="B95" s="54">
        <v>0.96875</v>
      </c>
      <c r="C95" s="54">
        <v>0</v>
      </c>
      <c r="D95" s="54">
        <v>3.125E-2</v>
      </c>
      <c r="E95" s="54">
        <v>0</v>
      </c>
      <c r="F95" s="54">
        <v>0</v>
      </c>
    </row>
    <row r="96" spans="1:6" x14ac:dyDescent="0.25">
      <c r="A96" s="55" t="s">
        <v>12654</v>
      </c>
      <c r="B96" s="54">
        <v>0.2</v>
      </c>
      <c r="C96" s="54">
        <v>0.4</v>
      </c>
      <c r="D96" s="54">
        <v>0</v>
      </c>
      <c r="E96" s="54">
        <v>0.4</v>
      </c>
      <c r="F96" s="54">
        <v>0</v>
      </c>
    </row>
    <row r="97" spans="1:6" x14ac:dyDescent="0.25">
      <c r="A97" s="55" t="s">
        <v>12907</v>
      </c>
      <c r="B97" s="54">
        <v>0</v>
      </c>
      <c r="C97" s="54">
        <v>0</v>
      </c>
      <c r="D97" s="54">
        <v>0</v>
      </c>
      <c r="E97" s="54">
        <v>1</v>
      </c>
      <c r="F97" s="54">
        <v>0</v>
      </c>
    </row>
    <row r="98" spans="1:6" x14ac:dyDescent="0.25">
      <c r="A98" s="55" t="s">
        <v>13710</v>
      </c>
      <c r="B98" s="54">
        <v>0.875</v>
      </c>
      <c r="C98" s="54">
        <v>0</v>
      </c>
      <c r="D98" s="54">
        <v>0.125</v>
      </c>
      <c r="E98" s="54">
        <v>0</v>
      </c>
      <c r="F98" s="54">
        <v>0</v>
      </c>
    </row>
    <row r="99" spans="1:6" x14ac:dyDescent="0.25">
      <c r="A99" s="55" t="s">
        <v>13783</v>
      </c>
      <c r="B99" s="54">
        <v>0</v>
      </c>
      <c r="C99" s="54">
        <v>0.70588235294117652</v>
      </c>
      <c r="D99" s="54">
        <v>0</v>
      </c>
      <c r="E99" s="54">
        <v>0.29411764705882354</v>
      </c>
      <c r="F99" s="54">
        <v>0</v>
      </c>
    </row>
    <row r="100" spans="1:6" x14ac:dyDescent="0.25">
      <c r="A100" s="50" t="s">
        <v>14281</v>
      </c>
      <c r="B100" s="54">
        <v>0.46583850931677018</v>
      </c>
      <c r="C100" s="54">
        <v>0.14906832298136646</v>
      </c>
      <c r="D100" s="54">
        <v>0.19875776397515527</v>
      </c>
      <c r="E100" s="54">
        <v>0.18633540372670807</v>
      </c>
      <c r="F100" s="54">
        <v>0</v>
      </c>
    </row>
    <row r="101" spans="1:6" x14ac:dyDescent="0.25">
      <c r="A101" s="50" t="s">
        <v>12970</v>
      </c>
      <c r="B101" s="54"/>
      <c r="C101" s="54"/>
      <c r="D101" s="54"/>
      <c r="E101" s="54"/>
      <c r="F101" s="54"/>
    </row>
    <row r="102" spans="1:6" x14ac:dyDescent="0.25">
      <c r="A102" s="55" t="s">
        <v>12969</v>
      </c>
      <c r="B102" s="54">
        <v>9.6774193548387094E-2</v>
      </c>
      <c r="C102" s="54">
        <v>0</v>
      </c>
      <c r="D102" s="54">
        <v>0.90322580645161288</v>
      </c>
      <c r="E102" s="54">
        <v>0</v>
      </c>
      <c r="F102" s="54">
        <v>0</v>
      </c>
    </row>
    <row r="103" spans="1:6" x14ac:dyDescent="0.25">
      <c r="A103" s="50" t="s">
        <v>14282</v>
      </c>
      <c r="B103" s="54">
        <v>9.6774193548387094E-2</v>
      </c>
      <c r="C103" s="54">
        <v>0</v>
      </c>
      <c r="D103" s="54">
        <v>0.90322580645161288</v>
      </c>
      <c r="E103" s="54">
        <v>0</v>
      </c>
      <c r="F103" s="54">
        <v>0</v>
      </c>
    </row>
    <row r="104" spans="1:6" x14ac:dyDescent="0.25">
      <c r="A104" s="50" t="s">
        <v>14272</v>
      </c>
      <c r="B104" s="54">
        <v>0.33820224719101122</v>
      </c>
      <c r="C104" s="54">
        <v>0.21685393258426966</v>
      </c>
      <c r="D104" s="54">
        <v>0.25955056179775282</v>
      </c>
      <c r="E104" s="54">
        <v>0.1853932584269663</v>
      </c>
      <c r="F104" s="54">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AK423"/>
  <sheetViews>
    <sheetView topLeftCell="B1" workbookViewId="0">
      <selection activeCell="B46" sqref="B46:H48"/>
    </sheetView>
  </sheetViews>
  <sheetFormatPr defaultRowHeight="15" x14ac:dyDescent="0.25"/>
  <cols>
    <col min="1" max="1" width="37.140625" customWidth="1"/>
    <col min="2" max="2" width="81.140625" customWidth="1"/>
    <col min="3" max="3" width="3.7109375" customWidth="1"/>
    <col min="4" max="4" width="6.7109375" customWidth="1"/>
    <col min="5" max="5" width="88.42578125" customWidth="1"/>
    <col min="6" max="6" width="3.85546875" customWidth="1"/>
    <col min="7" max="7" width="6.7109375" customWidth="1"/>
    <col min="8" max="8" width="128.7109375" customWidth="1"/>
    <col min="9" max="9" width="3.85546875" customWidth="1"/>
    <col min="10" max="10" width="6.7109375" customWidth="1"/>
    <col min="11" max="11" width="8.5703125" customWidth="1"/>
    <col min="12" max="13" width="6.7109375" customWidth="1"/>
    <col min="14" max="14" width="8.5703125" customWidth="1"/>
    <col min="15" max="15" width="3.7109375" customWidth="1"/>
    <col min="16" max="16" width="6.7109375" customWidth="1"/>
    <col min="17" max="17" width="19.28515625" bestFit="1" customWidth="1"/>
    <col min="18" max="18" width="9.140625" bestFit="1" customWidth="1"/>
    <col min="19" max="19" width="10.140625" bestFit="1" customWidth="1"/>
    <col min="20" max="20" width="12.140625" bestFit="1" customWidth="1"/>
    <col min="21" max="21" width="15.7109375" bestFit="1" customWidth="1"/>
    <col min="22" max="22" width="7.85546875" bestFit="1" customWidth="1"/>
    <col min="23" max="23" width="22.28515625" bestFit="1" customWidth="1"/>
    <col min="24" max="24" width="9.5703125" bestFit="1" customWidth="1"/>
    <col min="25" max="25" width="9.140625" bestFit="1" customWidth="1"/>
    <col min="26" max="26" width="10.140625" bestFit="1" customWidth="1"/>
    <col min="27" max="27" width="12.140625" bestFit="1" customWidth="1"/>
    <col min="28" max="28" width="15.7109375" bestFit="1" customWidth="1"/>
    <col min="29" max="29" width="7.140625" bestFit="1" customWidth="1"/>
    <col min="30" max="30" width="11.42578125" bestFit="1" customWidth="1"/>
  </cols>
  <sheetData>
    <row r="3" spans="1:11" ht="105" x14ac:dyDescent="0.25">
      <c r="A3" s="49" t="s">
        <v>14302</v>
      </c>
      <c r="B3" s="49" t="s">
        <v>14283</v>
      </c>
      <c r="I3" s="103" t="s">
        <v>14500</v>
      </c>
      <c r="J3" s="433" t="s">
        <v>14499</v>
      </c>
      <c r="K3" s="433" t="s">
        <v>14501</v>
      </c>
    </row>
    <row r="4" spans="1:11" x14ac:dyDescent="0.25">
      <c r="A4" s="49" t="s">
        <v>14283</v>
      </c>
      <c r="B4" t="s">
        <v>14291</v>
      </c>
      <c r="C4" t="s">
        <v>14292</v>
      </c>
      <c r="D4" t="s">
        <v>14293</v>
      </c>
      <c r="E4" t="s">
        <v>14294</v>
      </c>
      <c r="F4" t="s">
        <v>14295</v>
      </c>
      <c r="G4" t="s">
        <v>14394</v>
      </c>
      <c r="J4" s="433"/>
      <c r="K4" s="433"/>
    </row>
    <row r="5" spans="1:11" x14ac:dyDescent="0.25">
      <c r="A5" s="50" t="s">
        <v>1874</v>
      </c>
      <c r="B5" s="57"/>
      <c r="C5" s="57"/>
      <c r="D5" s="57"/>
      <c r="E5" s="57"/>
      <c r="F5" s="57"/>
      <c r="G5" s="57"/>
      <c r="J5" s="102"/>
    </row>
    <row r="6" spans="1:11" x14ac:dyDescent="0.25">
      <c r="A6" s="55" t="s">
        <v>1873</v>
      </c>
      <c r="B6" s="57">
        <v>7</v>
      </c>
      <c r="C6" s="57">
        <v>3</v>
      </c>
      <c r="D6" s="57">
        <v>3</v>
      </c>
      <c r="E6" s="57"/>
      <c r="F6" s="57">
        <v>1</v>
      </c>
      <c r="G6" s="57"/>
      <c r="I6">
        <f>SUM(B6:G6)</f>
        <v>14</v>
      </c>
      <c r="J6" s="58">
        <f>(F6*4+E6*3+D6*2+C6*1)/SUM(B6:F6)</f>
        <v>0.9285714285714286</v>
      </c>
      <c r="K6" s="104">
        <f>SUM(D6:F6)/(SUM(B6:G6))</f>
        <v>0.2857142857142857</v>
      </c>
    </row>
    <row r="7" spans="1:11" x14ac:dyDescent="0.25">
      <c r="A7" s="55" t="s">
        <v>3868</v>
      </c>
      <c r="B7" s="57"/>
      <c r="C7" s="57"/>
      <c r="D7" s="57">
        <v>21</v>
      </c>
      <c r="E7" s="57">
        <v>2</v>
      </c>
      <c r="F7" s="57">
        <v>6</v>
      </c>
      <c r="G7" s="57">
        <v>1</v>
      </c>
      <c r="I7">
        <f t="shared" ref="I7:I37" si="0">SUM(B7:G7)</f>
        <v>30</v>
      </c>
      <c r="J7" s="58">
        <f t="shared" ref="J7:J70" si="1">(F7*4+E7*3+D7*2+C7*1)/SUM(B7:F7)</f>
        <v>2.4827586206896552</v>
      </c>
      <c r="K7" s="104">
        <f t="shared" ref="K7:K70" si="2">SUM(D7:F7)/(SUM(B7:G7))</f>
        <v>0.96666666666666667</v>
      </c>
    </row>
    <row r="8" spans="1:11" x14ac:dyDescent="0.25">
      <c r="A8" s="55" t="s">
        <v>6457</v>
      </c>
      <c r="B8" s="57">
        <v>1</v>
      </c>
      <c r="C8" s="57">
        <v>8</v>
      </c>
      <c r="D8" s="57">
        <v>8</v>
      </c>
      <c r="E8" s="57">
        <v>3</v>
      </c>
      <c r="F8" s="57">
        <v>2</v>
      </c>
      <c r="G8" s="57">
        <v>6</v>
      </c>
      <c r="I8">
        <f t="shared" si="0"/>
        <v>28</v>
      </c>
      <c r="J8" s="58">
        <f t="shared" si="1"/>
        <v>1.8636363636363635</v>
      </c>
      <c r="K8" s="104">
        <f t="shared" si="2"/>
        <v>0.4642857142857143</v>
      </c>
    </row>
    <row r="9" spans="1:11" x14ac:dyDescent="0.25">
      <c r="A9" s="55" t="s">
        <v>10371</v>
      </c>
      <c r="B9" s="57">
        <v>1</v>
      </c>
      <c r="C9" s="57">
        <v>1</v>
      </c>
      <c r="D9" s="57">
        <v>1</v>
      </c>
      <c r="E9" s="57">
        <v>5</v>
      </c>
      <c r="F9" s="57">
        <v>1</v>
      </c>
      <c r="G9" s="57">
        <v>1</v>
      </c>
      <c r="I9">
        <f t="shared" si="0"/>
        <v>10</v>
      </c>
      <c r="J9" s="58">
        <f t="shared" si="1"/>
        <v>2.4444444444444446</v>
      </c>
      <c r="K9" s="104">
        <f t="shared" si="2"/>
        <v>0.7</v>
      </c>
    </row>
    <row r="10" spans="1:11" x14ac:dyDescent="0.25">
      <c r="A10" s="55" t="s">
        <v>10685</v>
      </c>
      <c r="B10" s="57"/>
      <c r="C10" s="57">
        <v>20</v>
      </c>
      <c r="D10" s="57">
        <v>2</v>
      </c>
      <c r="E10" s="57">
        <v>1</v>
      </c>
      <c r="F10" s="57">
        <v>4</v>
      </c>
      <c r="G10" s="57">
        <v>9</v>
      </c>
      <c r="I10">
        <f t="shared" si="0"/>
        <v>36</v>
      </c>
      <c r="J10" s="58">
        <f t="shared" si="1"/>
        <v>1.5925925925925926</v>
      </c>
      <c r="K10" s="104">
        <f t="shared" si="2"/>
        <v>0.19444444444444445</v>
      </c>
    </row>
    <row r="11" spans="1:11" x14ac:dyDescent="0.25">
      <c r="A11" s="55" t="s">
        <v>11104</v>
      </c>
      <c r="B11" s="57">
        <v>4</v>
      </c>
      <c r="C11" s="57">
        <v>1</v>
      </c>
      <c r="D11" s="57">
        <v>1</v>
      </c>
      <c r="E11" s="57">
        <v>4</v>
      </c>
      <c r="F11" s="57">
        <v>11</v>
      </c>
      <c r="G11" s="57"/>
      <c r="I11">
        <f t="shared" si="0"/>
        <v>21</v>
      </c>
      <c r="J11" s="58">
        <f t="shared" si="1"/>
        <v>2.8095238095238093</v>
      </c>
      <c r="K11" s="104">
        <f t="shared" si="2"/>
        <v>0.76190476190476186</v>
      </c>
    </row>
    <row r="12" spans="1:11" x14ac:dyDescent="0.25">
      <c r="A12" s="55" t="s">
        <v>11417</v>
      </c>
      <c r="B12" s="57"/>
      <c r="C12" s="57">
        <v>8</v>
      </c>
      <c r="D12" s="57">
        <v>6</v>
      </c>
      <c r="E12" s="57">
        <v>1</v>
      </c>
      <c r="F12" s="57">
        <v>3</v>
      </c>
      <c r="G12" s="57">
        <v>2</v>
      </c>
      <c r="I12">
        <f t="shared" si="0"/>
        <v>20</v>
      </c>
      <c r="J12" s="58">
        <f t="shared" si="1"/>
        <v>1.9444444444444444</v>
      </c>
      <c r="K12" s="104">
        <f t="shared" si="2"/>
        <v>0.5</v>
      </c>
    </row>
    <row r="13" spans="1:11" x14ac:dyDescent="0.25">
      <c r="A13" s="55" t="s">
        <v>12694</v>
      </c>
      <c r="B13" s="57"/>
      <c r="C13" s="57"/>
      <c r="D13" s="57">
        <v>9</v>
      </c>
      <c r="E13" s="57">
        <v>1</v>
      </c>
      <c r="F13" s="57">
        <v>3</v>
      </c>
      <c r="G13" s="57"/>
      <c r="I13">
        <f t="shared" si="0"/>
        <v>13</v>
      </c>
      <c r="J13" s="58">
        <f t="shared" si="1"/>
        <v>2.5384615384615383</v>
      </c>
      <c r="K13" s="104">
        <f t="shared" si="2"/>
        <v>1</v>
      </c>
    </row>
    <row r="14" spans="1:11" x14ac:dyDescent="0.25">
      <c r="A14" s="55" t="s">
        <v>14322</v>
      </c>
      <c r="B14" s="57"/>
      <c r="C14" s="57">
        <v>2</v>
      </c>
      <c r="D14" s="57">
        <v>3</v>
      </c>
      <c r="E14" s="57"/>
      <c r="F14" s="57"/>
      <c r="G14" s="57"/>
      <c r="I14">
        <f t="shared" si="0"/>
        <v>5</v>
      </c>
      <c r="J14" s="58">
        <f t="shared" si="1"/>
        <v>1.6</v>
      </c>
      <c r="K14" s="104">
        <f t="shared" si="2"/>
        <v>0.6</v>
      </c>
    </row>
    <row r="15" spans="1:11" x14ac:dyDescent="0.25">
      <c r="A15" s="50" t="s">
        <v>14276</v>
      </c>
      <c r="B15" s="57">
        <v>13</v>
      </c>
      <c r="C15" s="57">
        <v>43</v>
      </c>
      <c r="D15" s="57">
        <v>54</v>
      </c>
      <c r="E15" s="57">
        <v>17</v>
      </c>
      <c r="F15" s="57">
        <v>31</v>
      </c>
      <c r="G15" s="57">
        <v>19</v>
      </c>
      <c r="I15">
        <f t="shared" si="0"/>
        <v>177</v>
      </c>
      <c r="J15" s="58">
        <f t="shared" si="1"/>
        <v>2.0632911392405062</v>
      </c>
      <c r="K15" s="104">
        <f t="shared" si="2"/>
        <v>0.57627118644067798</v>
      </c>
    </row>
    <row r="16" spans="1:11" x14ac:dyDescent="0.25">
      <c r="A16" s="50" t="s">
        <v>7217</v>
      </c>
      <c r="B16" s="57"/>
      <c r="C16" s="57"/>
      <c r="D16" s="57"/>
      <c r="E16" s="57"/>
      <c r="F16" s="57"/>
      <c r="G16" s="57"/>
      <c r="I16">
        <f t="shared" si="0"/>
        <v>0</v>
      </c>
      <c r="J16" s="58" t="e">
        <f t="shared" si="1"/>
        <v>#DIV/0!</v>
      </c>
      <c r="K16" s="104" t="e">
        <f t="shared" si="2"/>
        <v>#DIV/0!</v>
      </c>
    </row>
    <row r="17" spans="1:11" x14ac:dyDescent="0.25">
      <c r="A17" s="55" t="s">
        <v>7216</v>
      </c>
      <c r="B17" s="57"/>
      <c r="C17" s="57">
        <v>3</v>
      </c>
      <c r="D17" s="57">
        <v>5</v>
      </c>
      <c r="E17" s="57"/>
      <c r="F17" s="57">
        <v>2</v>
      </c>
      <c r="G17" s="57">
        <v>1</v>
      </c>
      <c r="I17">
        <f t="shared" si="0"/>
        <v>11</v>
      </c>
      <c r="J17" s="58">
        <f t="shared" si="1"/>
        <v>2.1</v>
      </c>
      <c r="K17" s="104">
        <f t="shared" si="2"/>
        <v>0.63636363636363635</v>
      </c>
    </row>
    <row r="18" spans="1:11" x14ac:dyDescent="0.25">
      <c r="A18" s="55" t="s">
        <v>7451</v>
      </c>
      <c r="B18" s="57">
        <v>8</v>
      </c>
      <c r="C18" s="57">
        <v>2</v>
      </c>
      <c r="D18" s="57">
        <v>9</v>
      </c>
      <c r="E18" s="57"/>
      <c r="F18" s="57">
        <v>5</v>
      </c>
      <c r="G18" s="57"/>
      <c r="I18">
        <f t="shared" si="0"/>
        <v>24</v>
      </c>
      <c r="J18" s="58">
        <f t="shared" si="1"/>
        <v>1.6666666666666667</v>
      </c>
      <c r="K18" s="104">
        <f t="shared" si="2"/>
        <v>0.58333333333333337</v>
      </c>
    </row>
    <row r="19" spans="1:11" x14ac:dyDescent="0.25">
      <c r="A19" s="55" t="s">
        <v>8265</v>
      </c>
      <c r="B19" s="57">
        <v>1</v>
      </c>
      <c r="C19" s="57">
        <v>3</v>
      </c>
      <c r="D19" s="57">
        <v>2</v>
      </c>
      <c r="E19" s="57">
        <v>1</v>
      </c>
      <c r="F19" s="57">
        <v>2</v>
      </c>
      <c r="G19" s="57">
        <v>1</v>
      </c>
      <c r="I19">
        <f t="shared" si="0"/>
        <v>10</v>
      </c>
      <c r="J19" s="58">
        <f t="shared" si="1"/>
        <v>2</v>
      </c>
      <c r="K19" s="104">
        <f t="shared" si="2"/>
        <v>0.5</v>
      </c>
    </row>
    <row r="20" spans="1:11" x14ac:dyDescent="0.25">
      <c r="A20" s="55" t="s">
        <v>11102</v>
      </c>
      <c r="B20" s="57"/>
      <c r="C20" s="57"/>
      <c r="D20" s="57"/>
      <c r="E20" s="57"/>
      <c r="F20" s="57"/>
      <c r="G20" s="57">
        <v>1</v>
      </c>
      <c r="I20">
        <f t="shared" si="0"/>
        <v>1</v>
      </c>
      <c r="J20" s="58" t="e">
        <f t="shared" si="1"/>
        <v>#DIV/0!</v>
      </c>
      <c r="K20" s="104">
        <f t="shared" si="2"/>
        <v>0</v>
      </c>
    </row>
    <row r="21" spans="1:11" x14ac:dyDescent="0.25">
      <c r="A21" s="55" t="s">
        <v>12090</v>
      </c>
      <c r="B21" s="57">
        <v>1</v>
      </c>
      <c r="C21" s="57">
        <v>6</v>
      </c>
      <c r="D21" s="57">
        <v>4</v>
      </c>
      <c r="E21" s="57"/>
      <c r="F21" s="57"/>
      <c r="G21" s="57"/>
      <c r="I21">
        <f t="shared" si="0"/>
        <v>11</v>
      </c>
      <c r="J21" s="58">
        <f t="shared" si="1"/>
        <v>1.2727272727272727</v>
      </c>
      <c r="K21" s="104">
        <f t="shared" si="2"/>
        <v>0.36363636363636365</v>
      </c>
    </row>
    <row r="22" spans="1:11" x14ac:dyDescent="0.25">
      <c r="A22" s="55" t="s">
        <v>13917</v>
      </c>
      <c r="B22" s="57">
        <v>1</v>
      </c>
      <c r="C22" s="57">
        <v>2</v>
      </c>
      <c r="D22" s="57">
        <v>1</v>
      </c>
      <c r="E22" s="57">
        <v>1</v>
      </c>
      <c r="F22" s="57"/>
      <c r="G22" s="57">
        <v>3</v>
      </c>
      <c r="I22">
        <f t="shared" si="0"/>
        <v>8</v>
      </c>
      <c r="J22" s="58">
        <f t="shared" si="1"/>
        <v>1.4</v>
      </c>
      <c r="K22" s="104">
        <f t="shared" si="2"/>
        <v>0.25</v>
      </c>
    </row>
    <row r="23" spans="1:11" x14ac:dyDescent="0.25">
      <c r="A23" s="55" t="s">
        <v>14016</v>
      </c>
      <c r="B23" s="57">
        <v>2</v>
      </c>
      <c r="C23" s="57">
        <v>7</v>
      </c>
      <c r="D23" s="57">
        <v>3</v>
      </c>
      <c r="E23" s="57">
        <v>1</v>
      </c>
      <c r="F23" s="57">
        <v>2</v>
      </c>
      <c r="G23" s="57">
        <v>4</v>
      </c>
      <c r="I23">
        <f t="shared" si="0"/>
        <v>19</v>
      </c>
      <c r="J23" s="58">
        <f t="shared" si="1"/>
        <v>1.6</v>
      </c>
      <c r="K23" s="104">
        <f t="shared" si="2"/>
        <v>0.31578947368421051</v>
      </c>
    </row>
    <row r="24" spans="1:11" x14ac:dyDescent="0.25">
      <c r="A24" s="50" t="s">
        <v>14277</v>
      </c>
      <c r="B24" s="57">
        <v>13</v>
      </c>
      <c r="C24" s="57">
        <v>23</v>
      </c>
      <c r="D24" s="57">
        <v>24</v>
      </c>
      <c r="E24" s="57">
        <v>3</v>
      </c>
      <c r="F24" s="57">
        <v>11</v>
      </c>
      <c r="G24" s="57">
        <v>10</v>
      </c>
      <c r="I24">
        <f t="shared" si="0"/>
        <v>84</v>
      </c>
      <c r="J24" s="58">
        <f t="shared" si="1"/>
        <v>1.6756756756756757</v>
      </c>
      <c r="K24" s="104">
        <f t="shared" si="2"/>
        <v>0.45238095238095238</v>
      </c>
    </row>
    <row r="25" spans="1:11" x14ac:dyDescent="0.25">
      <c r="A25" s="50" t="s">
        <v>1596</v>
      </c>
      <c r="B25" s="57"/>
      <c r="C25" s="57"/>
      <c r="D25" s="57"/>
      <c r="E25" s="57"/>
      <c r="F25" s="57"/>
      <c r="G25" s="57"/>
      <c r="I25">
        <f t="shared" si="0"/>
        <v>0</v>
      </c>
      <c r="J25" s="58" t="e">
        <f t="shared" si="1"/>
        <v>#DIV/0!</v>
      </c>
      <c r="K25" s="104" t="e">
        <f t="shared" si="2"/>
        <v>#DIV/0!</v>
      </c>
    </row>
    <row r="26" spans="1:11" x14ac:dyDescent="0.25">
      <c r="A26" s="55" t="s">
        <v>1595</v>
      </c>
      <c r="B26" s="57">
        <v>3</v>
      </c>
      <c r="C26" s="57">
        <v>2</v>
      </c>
      <c r="D26" s="57"/>
      <c r="E26" s="57"/>
      <c r="F26" s="57">
        <v>1</v>
      </c>
      <c r="G26" s="57">
        <v>2</v>
      </c>
      <c r="I26">
        <f t="shared" si="0"/>
        <v>8</v>
      </c>
      <c r="J26" s="58">
        <f t="shared" si="1"/>
        <v>1</v>
      </c>
      <c r="K26" s="104">
        <f t="shared" si="2"/>
        <v>0.125</v>
      </c>
    </row>
    <row r="27" spans="1:11" x14ac:dyDescent="0.25">
      <c r="A27" s="55" t="s">
        <v>1827</v>
      </c>
      <c r="B27" s="57"/>
      <c r="C27" s="57"/>
      <c r="D27" s="57">
        <v>2</v>
      </c>
      <c r="E27" s="57"/>
      <c r="F27" s="57"/>
      <c r="G27" s="57"/>
      <c r="I27">
        <f t="shared" si="0"/>
        <v>2</v>
      </c>
      <c r="J27" s="58">
        <f t="shared" si="1"/>
        <v>2</v>
      </c>
      <c r="K27" s="104">
        <f t="shared" si="2"/>
        <v>1</v>
      </c>
    </row>
    <row r="28" spans="1:11" x14ac:dyDescent="0.25">
      <c r="A28" s="55" t="s">
        <v>2395</v>
      </c>
      <c r="B28" s="57"/>
      <c r="C28" s="57"/>
      <c r="D28" s="57">
        <v>3</v>
      </c>
      <c r="E28" s="57">
        <v>1</v>
      </c>
      <c r="F28" s="57">
        <v>2</v>
      </c>
      <c r="G28" s="57"/>
      <c r="I28">
        <f t="shared" si="0"/>
        <v>6</v>
      </c>
      <c r="J28" s="58">
        <f t="shared" si="1"/>
        <v>2.8333333333333335</v>
      </c>
      <c r="K28" s="104">
        <f t="shared" si="2"/>
        <v>1</v>
      </c>
    </row>
    <row r="29" spans="1:11" x14ac:dyDescent="0.25">
      <c r="A29" s="55" t="s">
        <v>2536</v>
      </c>
      <c r="B29" s="57"/>
      <c r="C29" s="57">
        <v>4</v>
      </c>
      <c r="D29" s="57">
        <v>5</v>
      </c>
      <c r="E29" s="57">
        <v>2</v>
      </c>
      <c r="F29" s="57">
        <v>3</v>
      </c>
      <c r="G29" s="57">
        <v>1</v>
      </c>
      <c r="I29">
        <f t="shared" si="0"/>
        <v>15</v>
      </c>
      <c r="J29" s="58">
        <f t="shared" si="1"/>
        <v>2.2857142857142856</v>
      </c>
      <c r="K29" s="104">
        <f t="shared" si="2"/>
        <v>0.66666666666666663</v>
      </c>
    </row>
    <row r="30" spans="1:11" x14ac:dyDescent="0.25">
      <c r="A30" s="55" t="s">
        <v>2956</v>
      </c>
      <c r="B30" s="57">
        <v>3</v>
      </c>
      <c r="C30" s="57"/>
      <c r="D30" s="57">
        <v>5</v>
      </c>
      <c r="E30" s="57"/>
      <c r="F30" s="57">
        <v>1</v>
      </c>
      <c r="G30" s="57"/>
      <c r="I30">
        <f t="shared" si="0"/>
        <v>9</v>
      </c>
      <c r="J30" s="58">
        <f t="shared" si="1"/>
        <v>1.5555555555555556</v>
      </c>
      <c r="K30" s="104">
        <f t="shared" si="2"/>
        <v>0.66666666666666663</v>
      </c>
    </row>
    <row r="31" spans="1:11" x14ac:dyDescent="0.25">
      <c r="A31" s="55" t="s">
        <v>4471</v>
      </c>
      <c r="B31" s="57"/>
      <c r="C31" s="57">
        <v>1</v>
      </c>
      <c r="D31" s="57">
        <v>10</v>
      </c>
      <c r="E31" s="57"/>
      <c r="F31" s="57">
        <v>1</v>
      </c>
      <c r="G31" s="57">
        <v>1</v>
      </c>
      <c r="I31">
        <f t="shared" si="0"/>
        <v>13</v>
      </c>
      <c r="J31" s="58">
        <f t="shared" si="1"/>
        <v>2.0833333333333335</v>
      </c>
      <c r="K31" s="104">
        <f t="shared" si="2"/>
        <v>0.84615384615384615</v>
      </c>
    </row>
    <row r="32" spans="1:11" x14ac:dyDescent="0.25">
      <c r="A32" s="55" t="s">
        <v>7179</v>
      </c>
      <c r="B32" s="57"/>
      <c r="C32" s="57">
        <v>1</v>
      </c>
      <c r="D32" s="57"/>
      <c r="E32" s="57"/>
      <c r="F32" s="57"/>
      <c r="G32" s="57"/>
      <c r="I32">
        <f t="shared" si="0"/>
        <v>1</v>
      </c>
      <c r="J32" s="58">
        <f t="shared" si="1"/>
        <v>1</v>
      </c>
      <c r="K32" s="104">
        <f t="shared" si="2"/>
        <v>0</v>
      </c>
    </row>
    <row r="33" spans="1:11" x14ac:dyDescent="0.25">
      <c r="A33" s="55" t="s">
        <v>7835</v>
      </c>
      <c r="B33" s="57">
        <v>1</v>
      </c>
      <c r="C33" s="57">
        <v>3</v>
      </c>
      <c r="D33" s="57">
        <v>10</v>
      </c>
      <c r="E33" s="57"/>
      <c r="F33" s="57">
        <v>1</v>
      </c>
      <c r="G33" s="57">
        <v>1</v>
      </c>
      <c r="I33">
        <f t="shared" si="0"/>
        <v>16</v>
      </c>
      <c r="J33" s="58">
        <f t="shared" si="1"/>
        <v>1.8</v>
      </c>
      <c r="K33" s="104">
        <f t="shared" si="2"/>
        <v>0.6875</v>
      </c>
    </row>
    <row r="34" spans="1:11" x14ac:dyDescent="0.25">
      <c r="A34" s="55" t="s">
        <v>9043</v>
      </c>
      <c r="B34" s="57"/>
      <c r="C34" s="57">
        <v>9</v>
      </c>
      <c r="D34" s="57">
        <v>11</v>
      </c>
      <c r="E34" s="57">
        <v>1</v>
      </c>
      <c r="F34" s="57">
        <v>4</v>
      </c>
      <c r="G34" s="57">
        <v>3</v>
      </c>
      <c r="I34">
        <f t="shared" si="0"/>
        <v>28</v>
      </c>
      <c r="J34" s="58">
        <f t="shared" si="1"/>
        <v>2</v>
      </c>
      <c r="K34" s="104">
        <f t="shared" si="2"/>
        <v>0.5714285714285714</v>
      </c>
    </row>
    <row r="35" spans="1:11" x14ac:dyDescent="0.25">
      <c r="A35" s="55" t="s">
        <v>10594</v>
      </c>
      <c r="B35" s="57"/>
      <c r="C35" s="57">
        <v>1</v>
      </c>
      <c r="D35" s="57">
        <v>3</v>
      </c>
      <c r="E35" s="57">
        <v>1</v>
      </c>
      <c r="F35" s="57"/>
      <c r="G35" s="57"/>
      <c r="I35">
        <f t="shared" si="0"/>
        <v>5</v>
      </c>
      <c r="J35" s="58">
        <f t="shared" si="1"/>
        <v>2</v>
      </c>
      <c r="K35" s="104">
        <f t="shared" si="2"/>
        <v>0.8</v>
      </c>
    </row>
    <row r="36" spans="1:11" x14ac:dyDescent="0.25">
      <c r="A36" s="50" t="s">
        <v>14278</v>
      </c>
      <c r="B36" s="57">
        <v>7</v>
      </c>
      <c r="C36" s="57">
        <v>21</v>
      </c>
      <c r="D36" s="57">
        <v>49</v>
      </c>
      <c r="E36" s="57">
        <v>5</v>
      </c>
      <c r="F36" s="57">
        <v>13</v>
      </c>
      <c r="G36" s="57">
        <v>8</v>
      </c>
      <c r="I36">
        <f t="shared" si="0"/>
        <v>103</v>
      </c>
      <c r="J36" s="58">
        <f t="shared" si="1"/>
        <v>1.9578947368421054</v>
      </c>
      <c r="K36" s="104">
        <f t="shared" si="2"/>
        <v>0.65048543689320393</v>
      </c>
    </row>
    <row r="37" spans="1:11" x14ac:dyDescent="0.25">
      <c r="A37" s="50" t="s">
        <v>306</v>
      </c>
      <c r="B37" s="57"/>
      <c r="C37" s="57"/>
      <c r="D37" s="57"/>
      <c r="E37" s="57"/>
      <c r="F37" s="57"/>
      <c r="G37" s="57"/>
      <c r="I37">
        <f t="shared" si="0"/>
        <v>0</v>
      </c>
      <c r="J37" s="58" t="e">
        <f t="shared" si="1"/>
        <v>#DIV/0!</v>
      </c>
      <c r="K37" s="104" t="e">
        <f t="shared" si="2"/>
        <v>#DIV/0!</v>
      </c>
    </row>
    <row r="38" spans="1:11" x14ac:dyDescent="0.25">
      <c r="A38" s="55" t="s">
        <v>305</v>
      </c>
      <c r="B38" s="57">
        <v>2</v>
      </c>
      <c r="C38" s="57">
        <v>2</v>
      </c>
      <c r="D38" s="57">
        <v>6</v>
      </c>
      <c r="E38" s="57"/>
      <c r="F38" s="57"/>
      <c r="G38" s="57">
        <v>5</v>
      </c>
      <c r="I38">
        <f t="shared" ref="I38:I69" si="3">SUM(B38:G38)</f>
        <v>15</v>
      </c>
      <c r="J38" s="58">
        <f t="shared" si="1"/>
        <v>1.4</v>
      </c>
      <c r="K38" s="104">
        <f t="shared" si="2"/>
        <v>0.4</v>
      </c>
    </row>
    <row r="39" spans="1:11" x14ac:dyDescent="0.25">
      <c r="A39" s="55" t="s">
        <v>652</v>
      </c>
      <c r="B39" s="57"/>
      <c r="C39" s="57">
        <v>7</v>
      </c>
      <c r="D39" s="57">
        <v>14</v>
      </c>
      <c r="E39" s="57">
        <v>2</v>
      </c>
      <c r="F39" s="57">
        <v>8</v>
      </c>
      <c r="G39" s="57">
        <v>18</v>
      </c>
      <c r="I39">
        <f t="shared" si="3"/>
        <v>49</v>
      </c>
      <c r="J39" s="58">
        <f t="shared" si="1"/>
        <v>2.3548387096774195</v>
      </c>
      <c r="K39" s="104">
        <f t="shared" si="2"/>
        <v>0.48979591836734693</v>
      </c>
    </row>
    <row r="40" spans="1:11" x14ac:dyDescent="0.25">
      <c r="A40" s="55" t="s">
        <v>2092</v>
      </c>
      <c r="B40" s="57">
        <v>4</v>
      </c>
      <c r="C40" s="57">
        <v>9</v>
      </c>
      <c r="D40" s="57">
        <v>3</v>
      </c>
      <c r="E40" s="57">
        <v>1</v>
      </c>
      <c r="F40" s="57">
        <v>1</v>
      </c>
      <c r="G40" s="57"/>
      <c r="I40">
        <f t="shared" si="3"/>
        <v>18</v>
      </c>
      <c r="J40" s="58">
        <f t="shared" si="1"/>
        <v>1.2222222222222223</v>
      </c>
      <c r="K40" s="104">
        <f t="shared" si="2"/>
        <v>0.27777777777777779</v>
      </c>
    </row>
    <row r="41" spans="1:11" x14ac:dyDescent="0.25">
      <c r="A41" s="55" t="s">
        <v>4268</v>
      </c>
      <c r="B41" s="57"/>
      <c r="C41" s="57"/>
      <c r="D41" s="57">
        <v>1</v>
      </c>
      <c r="E41" s="57"/>
      <c r="F41" s="57"/>
      <c r="G41" s="57"/>
      <c r="I41">
        <f t="shared" si="3"/>
        <v>1</v>
      </c>
      <c r="J41" s="58">
        <f t="shared" si="1"/>
        <v>2</v>
      </c>
      <c r="K41" s="104">
        <f t="shared" si="2"/>
        <v>1</v>
      </c>
    </row>
    <row r="42" spans="1:11" x14ac:dyDescent="0.25">
      <c r="A42" s="55" t="s">
        <v>5300</v>
      </c>
      <c r="B42" s="57"/>
      <c r="C42" s="57">
        <v>5</v>
      </c>
      <c r="D42" s="57">
        <v>12</v>
      </c>
      <c r="E42" s="57">
        <v>13</v>
      </c>
      <c r="F42" s="57">
        <v>4</v>
      </c>
      <c r="G42" s="57">
        <v>6</v>
      </c>
      <c r="I42">
        <f t="shared" si="3"/>
        <v>40</v>
      </c>
      <c r="J42" s="58">
        <f t="shared" si="1"/>
        <v>2.4705882352941178</v>
      </c>
      <c r="K42" s="104">
        <f t="shared" si="2"/>
        <v>0.72499999999999998</v>
      </c>
    </row>
    <row r="43" spans="1:11" x14ac:dyDescent="0.25">
      <c r="A43" s="55" t="s">
        <v>5932</v>
      </c>
      <c r="B43" s="57"/>
      <c r="C43" s="57">
        <v>4</v>
      </c>
      <c r="D43" s="57">
        <v>3</v>
      </c>
      <c r="E43" s="57">
        <v>1</v>
      </c>
      <c r="F43" s="57"/>
      <c r="G43" s="57"/>
      <c r="I43">
        <f t="shared" si="3"/>
        <v>8</v>
      </c>
      <c r="J43" s="58">
        <f t="shared" si="1"/>
        <v>1.625</v>
      </c>
      <c r="K43" s="104">
        <f t="shared" si="2"/>
        <v>0.5</v>
      </c>
    </row>
    <row r="44" spans="1:11" x14ac:dyDescent="0.25">
      <c r="A44" s="55" t="s">
        <v>6850</v>
      </c>
      <c r="B44" s="57">
        <v>9</v>
      </c>
      <c r="C44" s="57">
        <v>2</v>
      </c>
      <c r="D44" s="57">
        <v>1</v>
      </c>
      <c r="E44" s="57"/>
      <c r="F44" s="57">
        <v>2</v>
      </c>
      <c r="G44" s="57"/>
      <c r="I44">
        <f t="shared" si="3"/>
        <v>14</v>
      </c>
      <c r="J44" s="58">
        <f t="shared" si="1"/>
        <v>0.8571428571428571</v>
      </c>
      <c r="K44" s="104">
        <f t="shared" si="2"/>
        <v>0.21428571428571427</v>
      </c>
    </row>
    <row r="45" spans="1:11" x14ac:dyDescent="0.25">
      <c r="A45" s="55" t="s">
        <v>8444</v>
      </c>
      <c r="B45" s="57">
        <v>7</v>
      </c>
      <c r="C45" s="57">
        <v>3</v>
      </c>
      <c r="D45" s="57">
        <v>3</v>
      </c>
      <c r="E45" s="57">
        <v>1</v>
      </c>
      <c r="F45" s="57">
        <v>2</v>
      </c>
      <c r="G45" s="57"/>
      <c r="I45">
        <f t="shared" si="3"/>
        <v>16</v>
      </c>
      <c r="J45" s="58">
        <f t="shared" si="1"/>
        <v>1.25</v>
      </c>
      <c r="K45" s="104">
        <f t="shared" si="2"/>
        <v>0.375</v>
      </c>
    </row>
    <row r="46" spans="1:11" x14ac:dyDescent="0.25">
      <c r="A46" s="55" t="s">
        <v>8647</v>
      </c>
      <c r="B46" s="57">
        <v>3</v>
      </c>
      <c r="C46" s="57">
        <v>2</v>
      </c>
      <c r="D46" s="57">
        <v>9</v>
      </c>
      <c r="E46" s="57">
        <v>1</v>
      </c>
      <c r="F46" s="57">
        <v>8</v>
      </c>
      <c r="G46" s="57">
        <v>2</v>
      </c>
      <c r="I46">
        <f t="shared" si="3"/>
        <v>25</v>
      </c>
      <c r="J46" s="58">
        <f t="shared" si="1"/>
        <v>2.3913043478260869</v>
      </c>
      <c r="K46" s="104">
        <f t="shared" si="2"/>
        <v>0.72</v>
      </c>
    </row>
    <row r="47" spans="1:11" x14ac:dyDescent="0.25">
      <c r="A47" s="55" t="s">
        <v>9427</v>
      </c>
      <c r="B47" s="57">
        <v>1</v>
      </c>
      <c r="C47" s="57"/>
      <c r="D47" s="57">
        <v>2</v>
      </c>
      <c r="E47" s="57"/>
      <c r="F47" s="57">
        <v>1</v>
      </c>
      <c r="G47" s="57">
        <v>2</v>
      </c>
      <c r="I47">
        <f t="shared" si="3"/>
        <v>6</v>
      </c>
      <c r="J47" s="58">
        <f t="shared" si="1"/>
        <v>2</v>
      </c>
      <c r="K47" s="104">
        <f t="shared" si="2"/>
        <v>0.5</v>
      </c>
    </row>
    <row r="48" spans="1:11" x14ac:dyDescent="0.25">
      <c r="A48" s="55" t="s">
        <v>9516</v>
      </c>
      <c r="B48" s="57">
        <v>3</v>
      </c>
      <c r="C48" s="57">
        <v>2</v>
      </c>
      <c r="D48" s="57">
        <v>3</v>
      </c>
      <c r="E48" s="57">
        <v>2</v>
      </c>
      <c r="F48" s="57">
        <v>1</v>
      </c>
      <c r="G48" s="57">
        <v>1</v>
      </c>
      <c r="I48">
        <f t="shared" si="3"/>
        <v>12</v>
      </c>
      <c r="J48" s="58">
        <f t="shared" si="1"/>
        <v>1.6363636363636365</v>
      </c>
      <c r="K48" s="104">
        <f t="shared" si="2"/>
        <v>0.5</v>
      </c>
    </row>
    <row r="49" spans="1:11" x14ac:dyDescent="0.25">
      <c r="A49" s="55" t="s">
        <v>10263</v>
      </c>
      <c r="B49" s="57">
        <v>1</v>
      </c>
      <c r="C49" s="57">
        <v>1</v>
      </c>
      <c r="D49" s="57"/>
      <c r="E49" s="57"/>
      <c r="F49" s="57">
        <v>4</v>
      </c>
      <c r="G49" s="57"/>
      <c r="I49">
        <f t="shared" si="3"/>
        <v>6</v>
      </c>
      <c r="J49" s="58">
        <f t="shared" si="1"/>
        <v>2.8333333333333335</v>
      </c>
      <c r="K49" s="104">
        <f t="shared" si="2"/>
        <v>0.66666666666666663</v>
      </c>
    </row>
    <row r="50" spans="1:11" x14ac:dyDescent="0.25">
      <c r="A50" s="55" t="s">
        <v>11304</v>
      </c>
      <c r="B50" s="57">
        <v>1</v>
      </c>
      <c r="C50" s="57">
        <v>2</v>
      </c>
      <c r="D50" s="57">
        <v>3</v>
      </c>
      <c r="E50" s="57"/>
      <c r="F50" s="57"/>
      <c r="G50" s="57">
        <v>1</v>
      </c>
      <c r="I50">
        <f t="shared" si="3"/>
        <v>7</v>
      </c>
      <c r="J50" s="58">
        <f t="shared" si="1"/>
        <v>1.3333333333333333</v>
      </c>
      <c r="K50" s="104">
        <f t="shared" si="2"/>
        <v>0.42857142857142855</v>
      </c>
    </row>
    <row r="51" spans="1:11" x14ac:dyDescent="0.25">
      <c r="A51" s="55" t="s">
        <v>12294</v>
      </c>
      <c r="B51" s="57">
        <v>1</v>
      </c>
      <c r="C51" s="57">
        <v>15</v>
      </c>
      <c r="D51" s="57">
        <v>3</v>
      </c>
      <c r="E51" s="57">
        <v>3</v>
      </c>
      <c r="F51" s="57"/>
      <c r="G51" s="57"/>
      <c r="I51">
        <f t="shared" si="3"/>
        <v>22</v>
      </c>
      <c r="J51" s="58">
        <f t="shared" si="1"/>
        <v>1.3636363636363635</v>
      </c>
      <c r="K51" s="104">
        <f t="shared" si="2"/>
        <v>0.27272727272727271</v>
      </c>
    </row>
    <row r="52" spans="1:11" x14ac:dyDescent="0.25">
      <c r="A52" s="55" t="s">
        <v>12547</v>
      </c>
      <c r="B52" s="57"/>
      <c r="C52" s="57">
        <v>3</v>
      </c>
      <c r="D52" s="57">
        <v>3</v>
      </c>
      <c r="E52" s="57"/>
      <c r="F52" s="57"/>
      <c r="G52" s="57"/>
      <c r="I52">
        <f t="shared" si="3"/>
        <v>6</v>
      </c>
      <c r="J52" s="58">
        <f t="shared" si="1"/>
        <v>1.5</v>
      </c>
      <c r="K52" s="104">
        <f t="shared" si="2"/>
        <v>0.5</v>
      </c>
    </row>
    <row r="53" spans="1:11" x14ac:dyDescent="0.25">
      <c r="A53" s="55" t="s">
        <v>13272</v>
      </c>
      <c r="B53" s="57"/>
      <c r="C53" s="57">
        <v>1</v>
      </c>
      <c r="D53" s="57"/>
      <c r="E53" s="57">
        <v>4</v>
      </c>
      <c r="F53" s="57">
        <v>3</v>
      </c>
      <c r="G53" s="57"/>
      <c r="I53">
        <f t="shared" si="3"/>
        <v>8</v>
      </c>
      <c r="J53" s="58">
        <f t="shared" si="1"/>
        <v>3.125</v>
      </c>
      <c r="K53" s="104">
        <f t="shared" si="2"/>
        <v>0.875</v>
      </c>
    </row>
    <row r="54" spans="1:11" x14ac:dyDescent="0.25">
      <c r="A54" s="55" t="s">
        <v>13409</v>
      </c>
      <c r="B54" s="57">
        <v>4</v>
      </c>
      <c r="C54" s="57">
        <v>5</v>
      </c>
      <c r="D54" s="57">
        <v>4</v>
      </c>
      <c r="E54" s="57"/>
      <c r="F54" s="57">
        <v>4</v>
      </c>
      <c r="G54" s="57">
        <v>1</v>
      </c>
      <c r="I54">
        <f t="shared" si="3"/>
        <v>18</v>
      </c>
      <c r="J54" s="58">
        <f t="shared" si="1"/>
        <v>1.7058823529411764</v>
      </c>
      <c r="K54" s="104">
        <f t="shared" si="2"/>
        <v>0.44444444444444442</v>
      </c>
    </row>
    <row r="55" spans="1:11" x14ac:dyDescent="0.25">
      <c r="A55" s="50" t="s">
        <v>14279</v>
      </c>
      <c r="B55" s="57">
        <v>36</v>
      </c>
      <c r="C55" s="57">
        <v>63</v>
      </c>
      <c r="D55" s="57">
        <v>70</v>
      </c>
      <c r="E55" s="57">
        <v>28</v>
      </c>
      <c r="F55" s="57">
        <v>38</v>
      </c>
      <c r="G55" s="57">
        <v>36</v>
      </c>
      <c r="I55">
        <f t="shared" si="3"/>
        <v>271</v>
      </c>
      <c r="J55" s="58">
        <f t="shared" si="1"/>
        <v>1.8680851063829786</v>
      </c>
      <c r="K55" s="104">
        <f t="shared" si="2"/>
        <v>0.50184501845018448</v>
      </c>
    </row>
    <row r="56" spans="1:11" x14ac:dyDescent="0.25">
      <c r="A56" s="50" t="s">
        <v>2807</v>
      </c>
      <c r="B56" s="57"/>
      <c r="C56" s="57"/>
      <c r="D56" s="57"/>
      <c r="E56" s="57"/>
      <c r="F56" s="57"/>
      <c r="G56" s="57"/>
      <c r="I56">
        <f t="shared" si="3"/>
        <v>0</v>
      </c>
      <c r="J56" s="58" t="e">
        <f t="shared" si="1"/>
        <v>#DIV/0!</v>
      </c>
      <c r="K56" s="104" t="e">
        <f t="shared" si="2"/>
        <v>#DIV/0!</v>
      </c>
    </row>
    <row r="57" spans="1:11" x14ac:dyDescent="0.25">
      <c r="A57" s="55" t="s">
        <v>2806</v>
      </c>
      <c r="B57" s="57"/>
      <c r="C57" s="57">
        <v>1</v>
      </c>
      <c r="D57" s="57"/>
      <c r="E57" s="57"/>
      <c r="F57" s="57"/>
      <c r="G57" s="57"/>
      <c r="I57">
        <f t="shared" si="3"/>
        <v>1</v>
      </c>
      <c r="J57" s="58">
        <f t="shared" si="1"/>
        <v>1</v>
      </c>
      <c r="K57" s="104">
        <f t="shared" si="2"/>
        <v>0</v>
      </c>
    </row>
    <row r="58" spans="1:11" x14ac:dyDescent="0.25">
      <c r="A58" s="55" t="s">
        <v>2931</v>
      </c>
      <c r="B58" s="57"/>
      <c r="C58" s="57"/>
      <c r="D58" s="57"/>
      <c r="E58" s="57">
        <v>1</v>
      </c>
      <c r="F58" s="57"/>
      <c r="G58" s="57"/>
      <c r="I58">
        <f t="shared" si="3"/>
        <v>1</v>
      </c>
      <c r="J58" s="58">
        <f t="shared" si="1"/>
        <v>3</v>
      </c>
      <c r="K58" s="104">
        <f t="shared" si="2"/>
        <v>1</v>
      </c>
    </row>
    <row r="59" spans="1:11" x14ac:dyDescent="0.25">
      <c r="A59" s="55" t="s">
        <v>3148</v>
      </c>
      <c r="B59" s="57"/>
      <c r="C59" s="57">
        <v>1</v>
      </c>
      <c r="D59" s="57">
        <v>3</v>
      </c>
      <c r="E59" s="57"/>
      <c r="F59" s="57">
        <v>1</v>
      </c>
      <c r="G59" s="57"/>
      <c r="I59">
        <f t="shared" si="3"/>
        <v>5</v>
      </c>
      <c r="J59" s="58">
        <f t="shared" si="1"/>
        <v>2.2000000000000002</v>
      </c>
      <c r="K59" s="104">
        <f t="shared" si="2"/>
        <v>0.8</v>
      </c>
    </row>
    <row r="60" spans="1:11" x14ac:dyDescent="0.25">
      <c r="A60" s="55" t="s">
        <v>3261</v>
      </c>
      <c r="B60" s="57"/>
      <c r="C60" s="57"/>
      <c r="D60" s="57"/>
      <c r="E60" s="57"/>
      <c r="F60" s="57"/>
      <c r="G60" s="57">
        <v>1</v>
      </c>
      <c r="I60">
        <f t="shared" si="3"/>
        <v>1</v>
      </c>
      <c r="J60" s="58" t="e">
        <f t="shared" si="1"/>
        <v>#DIV/0!</v>
      </c>
      <c r="K60" s="104">
        <f t="shared" si="2"/>
        <v>0</v>
      </c>
    </row>
    <row r="61" spans="1:11" x14ac:dyDescent="0.25">
      <c r="A61" s="55" t="s">
        <v>3272</v>
      </c>
      <c r="B61" s="57">
        <v>1</v>
      </c>
      <c r="C61" s="57">
        <v>4</v>
      </c>
      <c r="D61" s="57">
        <v>13</v>
      </c>
      <c r="E61" s="57"/>
      <c r="F61" s="57">
        <v>1</v>
      </c>
      <c r="G61" s="57"/>
      <c r="I61">
        <f t="shared" si="3"/>
        <v>19</v>
      </c>
      <c r="J61" s="58">
        <f t="shared" si="1"/>
        <v>1.7894736842105263</v>
      </c>
      <c r="K61" s="104">
        <f t="shared" si="2"/>
        <v>0.73684210526315785</v>
      </c>
    </row>
    <row r="62" spans="1:11" x14ac:dyDescent="0.25">
      <c r="A62" s="55" t="s">
        <v>4777</v>
      </c>
      <c r="B62" s="57"/>
      <c r="C62" s="57">
        <v>3</v>
      </c>
      <c r="D62" s="57">
        <v>4</v>
      </c>
      <c r="E62" s="57">
        <v>4</v>
      </c>
      <c r="F62" s="57">
        <v>4</v>
      </c>
      <c r="G62" s="57">
        <v>1</v>
      </c>
      <c r="I62">
        <f t="shared" si="3"/>
        <v>16</v>
      </c>
      <c r="J62" s="58">
        <f t="shared" si="1"/>
        <v>2.6</v>
      </c>
      <c r="K62" s="104">
        <f t="shared" si="2"/>
        <v>0.75</v>
      </c>
    </row>
    <row r="63" spans="1:11" x14ac:dyDescent="0.25">
      <c r="A63" s="55" t="s">
        <v>5061</v>
      </c>
      <c r="B63" s="57"/>
      <c r="C63" s="57">
        <v>2</v>
      </c>
      <c r="D63" s="57">
        <v>6</v>
      </c>
      <c r="E63" s="57"/>
      <c r="F63" s="57"/>
      <c r="G63" s="57"/>
      <c r="I63">
        <f t="shared" si="3"/>
        <v>8</v>
      </c>
      <c r="J63" s="58">
        <f t="shared" si="1"/>
        <v>1.75</v>
      </c>
      <c r="K63" s="104">
        <f t="shared" si="2"/>
        <v>0.75</v>
      </c>
    </row>
    <row r="64" spans="1:11" x14ac:dyDescent="0.25">
      <c r="A64" s="55" t="s">
        <v>5190</v>
      </c>
      <c r="B64" s="57"/>
      <c r="C64" s="57">
        <v>2</v>
      </c>
      <c r="D64" s="57">
        <v>1</v>
      </c>
      <c r="E64" s="57">
        <v>2</v>
      </c>
      <c r="F64" s="57">
        <v>2</v>
      </c>
      <c r="G64" s="57"/>
      <c r="I64">
        <f t="shared" si="3"/>
        <v>7</v>
      </c>
      <c r="J64" s="58">
        <f t="shared" si="1"/>
        <v>2.5714285714285716</v>
      </c>
      <c r="K64" s="104">
        <f t="shared" si="2"/>
        <v>0.7142857142857143</v>
      </c>
    </row>
    <row r="65" spans="1:11" x14ac:dyDescent="0.25">
      <c r="A65" s="55" t="s">
        <v>8138</v>
      </c>
      <c r="B65" s="57"/>
      <c r="C65" s="57">
        <v>1</v>
      </c>
      <c r="D65" s="57"/>
      <c r="E65" s="57"/>
      <c r="F65" s="57"/>
      <c r="G65" s="57"/>
      <c r="I65">
        <f t="shared" si="3"/>
        <v>1</v>
      </c>
      <c r="J65" s="58">
        <f t="shared" si="1"/>
        <v>1</v>
      </c>
      <c r="K65" s="104">
        <f t="shared" si="2"/>
        <v>0</v>
      </c>
    </row>
    <row r="66" spans="1:11" x14ac:dyDescent="0.25">
      <c r="A66" s="55" t="s">
        <v>9042</v>
      </c>
      <c r="B66" s="57"/>
      <c r="C66" s="57"/>
      <c r="D66" s="57"/>
      <c r="E66" s="57">
        <v>1</v>
      </c>
      <c r="F66" s="57"/>
      <c r="G66" s="57"/>
      <c r="I66">
        <f t="shared" si="3"/>
        <v>1</v>
      </c>
      <c r="J66" s="58">
        <f t="shared" si="1"/>
        <v>3</v>
      </c>
      <c r="K66" s="104">
        <f t="shared" si="2"/>
        <v>1</v>
      </c>
    </row>
    <row r="67" spans="1:11" x14ac:dyDescent="0.25">
      <c r="A67" s="55" t="s">
        <v>9514</v>
      </c>
      <c r="B67" s="57"/>
      <c r="C67" s="57"/>
      <c r="D67" s="57"/>
      <c r="E67" s="57"/>
      <c r="F67" s="57"/>
      <c r="G67" s="57">
        <v>1</v>
      </c>
      <c r="I67">
        <f t="shared" si="3"/>
        <v>1</v>
      </c>
      <c r="J67" s="58" t="e">
        <f t="shared" si="1"/>
        <v>#DIV/0!</v>
      </c>
      <c r="K67" s="104">
        <f t="shared" si="2"/>
        <v>0</v>
      </c>
    </row>
    <row r="68" spans="1:11" x14ac:dyDescent="0.25">
      <c r="A68" s="55" t="s">
        <v>9706</v>
      </c>
      <c r="B68" s="57">
        <v>3</v>
      </c>
      <c r="C68" s="57">
        <v>12</v>
      </c>
      <c r="D68" s="57">
        <v>13</v>
      </c>
      <c r="E68" s="57">
        <v>2</v>
      </c>
      <c r="F68" s="57">
        <v>5</v>
      </c>
      <c r="G68" s="57">
        <v>1</v>
      </c>
      <c r="I68">
        <f t="shared" si="3"/>
        <v>36</v>
      </c>
      <c r="J68" s="58">
        <f t="shared" si="1"/>
        <v>1.8285714285714285</v>
      </c>
      <c r="K68" s="104">
        <f t="shared" si="2"/>
        <v>0.55555555555555558</v>
      </c>
    </row>
    <row r="69" spans="1:11" x14ac:dyDescent="0.25">
      <c r="A69" s="50" t="s">
        <v>14280</v>
      </c>
      <c r="B69" s="57">
        <v>4</v>
      </c>
      <c r="C69" s="57">
        <v>26</v>
      </c>
      <c r="D69" s="57">
        <v>40</v>
      </c>
      <c r="E69" s="57">
        <v>10</v>
      </c>
      <c r="F69" s="57">
        <v>13</v>
      </c>
      <c r="G69" s="57">
        <v>4</v>
      </c>
      <c r="I69">
        <f t="shared" si="3"/>
        <v>97</v>
      </c>
      <c r="J69" s="58">
        <f t="shared" si="1"/>
        <v>2.021505376344086</v>
      </c>
      <c r="K69" s="104">
        <f t="shared" si="2"/>
        <v>0.64948453608247425</v>
      </c>
    </row>
    <row r="70" spans="1:11" x14ac:dyDescent="0.25">
      <c r="A70" s="50" t="s">
        <v>602</v>
      </c>
      <c r="B70" s="57"/>
      <c r="C70" s="57"/>
      <c r="D70" s="57"/>
      <c r="E70" s="57"/>
      <c r="F70" s="57"/>
      <c r="G70" s="57"/>
      <c r="I70">
        <f t="shared" ref="I70:I105" si="4">SUM(B70:G70)</f>
        <v>0</v>
      </c>
      <c r="J70" s="58" t="e">
        <f t="shared" si="1"/>
        <v>#DIV/0!</v>
      </c>
      <c r="K70" s="104" t="e">
        <f t="shared" si="2"/>
        <v>#DIV/0!</v>
      </c>
    </row>
    <row r="71" spans="1:11" x14ac:dyDescent="0.25">
      <c r="A71" s="55" t="s">
        <v>601</v>
      </c>
      <c r="B71" s="57"/>
      <c r="C71" s="57"/>
      <c r="D71" s="57"/>
      <c r="E71" s="57"/>
      <c r="F71" s="57">
        <v>1</v>
      </c>
      <c r="G71" s="57"/>
      <c r="I71">
        <f t="shared" si="4"/>
        <v>1</v>
      </c>
      <c r="J71" s="58">
        <f t="shared" ref="J71:J105" si="5">(F71*4+E71*3+D71*2+C71*1)/SUM(B71:F71)</f>
        <v>4</v>
      </c>
      <c r="K71" s="104">
        <f t="shared" ref="K71:K105" si="6">SUM(D71:F71)/(SUM(B71:G71))</f>
        <v>1</v>
      </c>
    </row>
    <row r="72" spans="1:11" x14ac:dyDescent="0.25">
      <c r="A72" s="55" t="s">
        <v>635</v>
      </c>
      <c r="B72" s="57"/>
      <c r="C72" s="57"/>
      <c r="D72" s="57"/>
      <c r="E72" s="57"/>
      <c r="F72" s="57"/>
      <c r="G72" s="57">
        <v>2</v>
      </c>
      <c r="I72">
        <f t="shared" si="4"/>
        <v>2</v>
      </c>
      <c r="J72" s="58" t="e">
        <f t="shared" si="5"/>
        <v>#DIV/0!</v>
      </c>
      <c r="K72" s="104">
        <f t="shared" si="6"/>
        <v>0</v>
      </c>
    </row>
    <row r="73" spans="1:11" x14ac:dyDescent="0.25">
      <c r="A73" s="55" t="s">
        <v>1527</v>
      </c>
      <c r="B73" s="57"/>
      <c r="C73" s="57"/>
      <c r="D73" s="57"/>
      <c r="E73" s="57">
        <v>1</v>
      </c>
      <c r="F73" s="57">
        <v>1</v>
      </c>
      <c r="G73" s="57">
        <v>3</v>
      </c>
      <c r="I73">
        <f t="shared" si="4"/>
        <v>5</v>
      </c>
      <c r="J73" s="58">
        <f t="shared" si="5"/>
        <v>3.5</v>
      </c>
      <c r="K73" s="104">
        <f t="shared" si="6"/>
        <v>0.4</v>
      </c>
    </row>
    <row r="74" spans="1:11" x14ac:dyDescent="0.25">
      <c r="A74" s="55" t="s">
        <v>1735</v>
      </c>
      <c r="B74" s="57"/>
      <c r="C74" s="57">
        <v>2</v>
      </c>
      <c r="D74" s="57">
        <v>1</v>
      </c>
      <c r="E74" s="57"/>
      <c r="F74" s="57">
        <v>2</v>
      </c>
      <c r="G74" s="57"/>
      <c r="I74">
        <f t="shared" si="4"/>
        <v>5</v>
      </c>
      <c r="J74" s="58">
        <f t="shared" si="5"/>
        <v>2.4</v>
      </c>
      <c r="K74" s="104">
        <f t="shared" si="6"/>
        <v>0.6</v>
      </c>
    </row>
    <row r="75" spans="1:11" x14ac:dyDescent="0.25">
      <c r="A75" s="55" t="s">
        <v>3140</v>
      </c>
      <c r="B75" s="57"/>
      <c r="C75" s="57"/>
      <c r="D75" s="57"/>
      <c r="E75" s="57"/>
      <c r="F75" s="57">
        <v>1</v>
      </c>
      <c r="G75" s="57"/>
      <c r="I75">
        <f t="shared" si="4"/>
        <v>1</v>
      </c>
      <c r="J75" s="58">
        <f t="shared" si="5"/>
        <v>4</v>
      </c>
      <c r="K75" s="104">
        <f t="shared" si="6"/>
        <v>1</v>
      </c>
    </row>
    <row r="76" spans="1:11" x14ac:dyDescent="0.25">
      <c r="A76" s="55" t="s">
        <v>3231</v>
      </c>
      <c r="B76" s="57">
        <v>1</v>
      </c>
      <c r="C76" s="57"/>
      <c r="D76" s="57"/>
      <c r="E76" s="57"/>
      <c r="F76" s="57"/>
      <c r="G76" s="57"/>
      <c r="I76">
        <f t="shared" si="4"/>
        <v>1</v>
      </c>
      <c r="J76" s="58">
        <f t="shared" si="5"/>
        <v>0</v>
      </c>
      <c r="K76" s="104">
        <f t="shared" si="6"/>
        <v>0</v>
      </c>
    </row>
    <row r="77" spans="1:11" x14ac:dyDescent="0.25">
      <c r="A77" s="55" t="s">
        <v>3249</v>
      </c>
      <c r="B77" s="57"/>
      <c r="C77" s="57"/>
      <c r="D77" s="57"/>
      <c r="E77" s="57">
        <v>1</v>
      </c>
      <c r="F77" s="57"/>
      <c r="G77" s="57"/>
      <c r="I77">
        <f t="shared" si="4"/>
        <v>1</v>
      </c>
      <c r="J77" s="58">
        <f t="shared" si="5"/>
        <v>3</v>
      </c>
      <c r="K77" s="104">
        <f t="shared" si="6"/>
        <v>1</v>
      </c>
    </row>
    <row r="78" spans="1:11" x14ac:dyDescent="0.25">
      <c r="A78" s="55" t="s">
        <v>3546</v>
      </c>
      <c r="B78" s="57">
        <v>3</v>
      </c>
      <c r="C78" s="57">
        <v>10</v>
      </c>
      <c r="D78" s="57">
        <v>5</v>
      </c>
      <c r="E78" s="57"/>
      <c r="F78" s="57"/>
      <c r="G78" s="57">
        <v>1</v>
      </c>
      <c r="I78">
        <f t="shared" si="4"/>
        <v>19</v>
      </c>
      <c r="J78" s="58">
        <f t="shared" si="5"/>
        <v>1.1111111111111112</v>
      </c>
      <c r="K78" s="104">
        <f t="shared" si="6"/>
        <v>0.26315789473684209</v>
      </c>
    </row>
    <row r="79" spans="1:11" x14ac:dyDescent="0.25">
      <c r="A79" s="55" t="s">
        <v>4293</v>
      </c>
      <c r="B79" s="57">
        <v>3</v>
      </c>
      <c r="C79" s="57"/>
      <c r="D79" s="57"/>
      <c r="E79" s="57">
        <v>1</v>
      </c>
      <c r="F79" s="57"/>
      <c r="G79" s="57"/>
      <c r="I79">
        <f t="shared" si="4"/>
        <v>4</v>
      </c>
      <c r="J79" s="58">
        <f t="shared" si="5"/>
        <v>0.75</v>
      </c>
      <c r="K79" s="104">
        <f t="shared" si="6"/>
        <v>0.25</v>
      </c>
    </row>
    <row r="80" spans="1:11" x14ac:dyDescent="0.25">
      <c r="A80" s="55" t="s">
        <v>4346</v>
      </c>
      <c r="B80" s="57"/>
      <c r="C80" s="57"/>
      <c r="D80" s="57"/>
      <c r="E80" s="57"/>
      <c r="F80" s="57">
        <v>3</v>
      </c>
      <c r="G80" s="57">
        <v>1</v>
      </c>
      <c r="I80">
        <f t="shared" si="4"/>
        <v>4</v>
      </c>
      <c r="J80" s="58">
        <f t="shared" si="5"/>
        <v>4</v>
      </c>
      <c r="K80" s="104">
        <f t="shared" si="6"/>
        <v>0.75</v>
      </c>
    </row>
    <row r="81" spans="1:11" x14ac:dyDescent="0.25">
      <c r="A81" s="55" t="s">
        <v>4428</v>
      </c>
      <c r="B81" s="57">
        <v>3</v>
      </c>
      <c r="C81" s="57"/>
      <c r="D81" s="57"/>
      <c r="E81" s="57"/>
      <c r="F81" s="57"/>
      <c r="G81" s="57"/>
      <c r="I81">
        <f t="shared" si="4"/>
        <v>3</v>
      </c>
      <c r="J81" s="58">
        <f t="shared" si="5"/>
        <v>0</v>
      </c>
      <c r="K81" s="104">
        <f t="shared" si="6"/>
        <v>0</v>
      </c>
    </row>
    <row r="82" spans="1:11" x14ac:dyDescent="0.25">
      <c r="A82" s="55" t="s">
        <v>4743</v>
      </c>
      <c r="B82" s="57">
        <v>1</v>
      </c>
      <c r="C82" s="57"/>
      <c r="D82" s="57"/>
      <c r="E82" s="57"/>
      <c r="F82" s="57"/>
      <c r="G82" s="57"/>
      <c r="I82">
        <f t="shared" si="4"/>
        <v>1</v>
      </c>
      <c r="J82" s="58">
        <f t="shared" si="5"/>
        <v>0</v>
      </c>
      <c r="K82" s="104">
        <f t="shared" si="6"/>
        <v>0</v>
      </c>
    </row>
    <row r="83" spans="1:11" x14ac:dyDescent="0.25">
      <c r="A83" s="55" t="s">
        <v>6024</v>
      </c>
      <c r="B83" s="57">
        <v>6</v>
      </c>
      <c r="C83" s="57"/>
      <c r="D83" s="57"/>
      <c r="E83" s="57">
        <v>1</v>
      </c>
      <c r="F83" s="57"/>
      <c r="G83" s="57"/>
      <c r="I83">
        <f t="shared" si="4"/>
        <v>7</v>
      </c>
      <c r="J83" s="58">
        <f t="shared" si="5"/>
        <v>0.42857142857142855</v>
      </c>
      <c r="K83" s="104">
        <f t="shared" si="6"/>
        <v>0.14285714285714285</v>
      </c>
    </row>
    <row r="84" spans="1:11" x14ac:dyDescent="0.25">
      <c r="A84" s="55" t="s">
        <v>6105</v>
      </c>
      <c r="B84" s="57"/>
      <c r="C84" s="57"/>
      <c r="D84" s="57">
        <v>5</v>
      </c>
      <c r="E84" s="57"/>
      <c r="F84" s="57">
        <v>15</v>
      </c>
      <c r="G84" s="57"/>
      <c r="I84">
        <f t="shared" si="4"/>
        <v>20</v>
      </c>
      <c r="J84" s="58">
        <f t="shared" si="5"/>
        <v>3.5</v>
      </c>
      <c r="K84" s="104">
        <f t="shared" si="6"/>
        <v>1</v>
      </c>
    </row>
    <row r="85" spans="1:11" x14ac:dyDescent="0.25">
      <c r="A85" s="55" t="s">
        <v>6805</v>
      </c>
      <c r="B85" s="57"/>
      <c r="C85" s="57">
        <v>2</v>
      </c>
      <c r="D85" s="57"/>
      <c r="E85" s="57"/>
      <c r="F85" s="57">
        <v>1</v>
      </c>
      <c r="G85" s="57"/>
      <c r="I85">
        <f t="shared" si="4"/>
        <v>3</v>
      </c>
      <c r="J85" s="58">
        <f t="shared" si="5"/>
        <v>2</v>
      </c>
      <c r="K85" s="104">
        <f t="shared" si="6"/>
        <v>0.33333333333333331</v>
      </c>
    </row>
    <row r="86" spans="1:11" x14ac:dyDescent="0.25">
      <c r="A86" s="55" t="s">
        <v>7083</v>
      </c>
      <c r="B86" s="57"/>
      <c r="C86" s="57">
        <v>3</v>
      </c>
      <c r="D86" s="57"/>
      <c r="E86" s="57">
        <v>2</v>
      </c>
      <c r="F86" s="57">
        <v>1</v>
      </c>
      <c r="G86" s="57"/>
      <c r="I86">
        <f t="shared" si="4"/>
        <v>6</v>
      </c>
      <c r="J86" s="58">
        <f t="shared" si="5"/>
        <v>2.1666666666666665</v>
      </c>
      <c r="K86" s="104">
        <f t="shared" si="6"/>
        <v>0.5</v>
      </c>
    </row>
    <row r="87" spans="1:11" x14ac:dyDescent="0.25">
      <c r="A87" s="55" t="s">
        <v>7194</v>
      </c>
      <c r="B87" s="57"/>
      <c r="C87" s="57">
        <v>1</v>
      </c>
      <c r="D87" s="57"/>
      <c r="E87" s="57"/>
      <c r="F87" s="57"/>
      <c r="G87" s="57"/>
      <c r="I87">
        <f t="shared" si="4"/>
        <v>1</v>
      </c>
      <c r="J87" s="58">
        <f t="shared" si="5"/>
        <v>1</v>
      </c>
      <c r="K87" s="104">
        <f t="shared" si="6"/>
        <v>0</v>
      </c>
    </row>
    <row r="88" spans="1:11" x14ac:dyDescent="0.25">
      <c r="A88" s="55" t="s">
        <v>8140</v>
      </c>
      <c r="B88" s="57"/>
      <c r="C88" s="57">
        <v>3</v>
      </c>
      <c r="D88" s="57"/>
      <c r="E88" s="57"/>
      <c r="F88" s="57"/>
      <c r="G88" s="57"/>
      <c r="I88">
        <f t="shared" si="4"/>
        <v>3</v>
      </c>
      <c r="J88" s="58">
        <f t="shared" si="5"/>
        <v>1</v>
      </c>
      <c r="K88" s="104">
        <f t="shared" si="6"/>
        <v>0</v>
      </c>
    </row>
    <row r="89" spans="1:11" x14ac:dyDescent="0.25">
      <c r="A89" s="55" t="s">
        <v>8180</v>
      </c>
      <c r="B89" s="57">
        <v>3</v>
      </c>
      <c r="C89" s="57"/>
      <c r="D89" s="57">
        <v>2</v>
      </c>
      <c r="E89" s="57"/>
      <c r="F89" s="57"/>
      <c r="G89" s="57"/>
      <c r="I89">
        <f t="shared" si="4"/>
        <v>5</v>
      </c>
      <c r="J89" s="58">
        <f t="shared" si="5"/>
        <v>0.8</v>
      </c>
      <c r="K89" s="104">
        <f t="shared" si="6"/>
        <v>0.4</v>
      </c>
    </row>
    <row r="90" spans="1:11" x14ac:dyDescent="0.25">
      <c r="A90" s="55" t="s">
        <v>9020</v>
      </c>
      <c r="B90" s="57"/>
      <c r="C90" s="57"/>
      <c r="D90" s="57"/>
      <c r="E90" s="57"/>
      <c r="F90" s="57"/>
      <c r="G90" s="57">
        <v>3</v>
      </c>
      <c r="I90">
        <f t="shared" si="4"/>
        <v>3</v>
      </c>
      <c r="J90" s="58" t="e">
        <f t="shared" si="5"/>
        <v>#DIV/0!</v>
      </c>
      <c r="K90" s="104">
        <f t="shared" si="6"/>
        <v>0</v>
      </c>
    </row>
    <row r="91" spans="1:11" x14ac:dyDescent="0.25">
      <c r="A91" s="55" t="s">
        <v>9409</v>
      </c>
      <c r="B91" s="57"/>
      <c r="C91" s="57">
        <v>1</v>
      </c>
      <c r="D91" s="57"/>
      <c r="E91" s="57"/>
      <c r="F91" s="57"/>
      <c r="G91" s="57"/>
      <c r="I91">
        <f t="shared" si="4"/>
        <v>1</v>
      </c>
      <c r="J91" s="58">
        <f t="shared" si="5"/>
        <v>1</v>
      </c>
      <c r="K91" s="104">
        <f t="shared" si="6"/>
        <v>0</v>
      </c>
    </row>
    <row r="92" spans="1:11" x14ac:dyDescent="0.25">
      <c r="A92" s="55" t="s">
        <v>10350</v>
      </c>
      <c r="B92" s="57">
        <v>1</v>
      </c>
      <c r="C92" s="57"/>
      <c r="D92" s="57"/>
      <c r="E92" s="57"/>
      <c r="F92" s="57"/>
      <c r="G92" s="57"/>
      <c r="I92">
        <f t="shared" si="4"/>
        <v>1</v>
      </c>
      <c r="J92" s="58">
        <f t="shared" si="5"/>
        <v>0</v>
      </c>
      <c r="K92" s="104">
        <f t="shared" si="6"/>
        <v>0</v>
      </c>
    </row>
    <row r="93" spans="1:11" x14ac:dyDescent="0.25">
      <c r="A93" s="55" t="s">
        <v>10558</v>
      </c>
      <c r="B93" s="57"/>
      <c r="C93" s="57">
        <v>6</v>
      </c>
      <c r="D93" s="57"/>
      <c r="E93" s="57"/>
      <c r="F93" s="57">
        <v>1</v>
      </c>
      <c r="G93" s="57"/>
      <c r="I93">
        <f t="shared" si="4"/>
        <v>7</v>
      </c>
      <c r="J93" s="58">
        <f t="shared" si="5"/>
        <v>1.4285714285714286</v>
      </c>
      <c r="K93" s="104">
        <f t="shared" si="6"/>
        <v>0.14285714285714285</v>
      </c>
    </row>
    <row r="94" spans="1:11" x14ac:dyDescent="0.25">
      <c r="A94" s="55" t="s">
        <v>11664</v>
      </c>
      <c r="B94" s="57"/>
      <c r="C94" s="57"/>
      <c r="D94" s="57"/>
      <c r="E94" s="57"/>
      <c r="F94" s="57"/>
      <c r="G94" s="57">
        <v>6</v>
      </c>
      <c r="I94">
        <f t="shared" si="4"/>
        <v>6</v>
      </c>
      <c r="J94" s="58" t="e">
        <f t="shared" si="5"/>
        <v>#DIV/0!</v>
      </c>
      <c r="K94" s="104">
        <f t="shared" si="6"/>
        <v>0</v>
      </c>
    </row>
    <row r="95" spans="1:11" x14ac:dyDescent="0.25">
      <c r="A95" s="55" t="s">
        <v>11693</v>
      </c>
      <c r="B95" s="57"/>
      <c r="C95" s="57">
        <v>2</v>
      </c>
      <c r="D95" s="57">
        <v>1</v>
      </c>
      <c r="E95" s="57"/>
      <c r="F95" s="57">
        <v>3</v>
      </c>
      <c r="G95" s="57">
        <v>30</v>
      </c>
      <c r="I95">
        <f t="shared" si="4"/>
        <v>36</v>
      </c>
      <c r="J95" s="58">
        <f t="shared" si="5"/>
        <v>2.6666666666666665</v>
      </c>
      <c r="K95" s="104">
        <f t="shared" si="6"/>
        <v>0.1111111111111111</v>
      </c>
    </row>
    <row r="96" spans="1:11" x14ac:dyDescent="0.25">
      <c r="A96" s="55" t="s">
        <v>12654</v>
      </c>
      <c r="B96" s="57"/>
      <c r="C96" s="57"/>
      <c r="D96" s="57"/>
      <c r="E96" s="57"/>
      <c r="F96" s="57"/>
      <c r="G96" s="57">
        <v>5</v>
      </c>
      <c r="I96">
        <f t="shared" si="4"/>
        <v>5</v>
      </c>
      <c r="J96" s="58" t="e">
        <f t="shared" si="5"/>
        <v>#DIV/0!</v>
      </c>
      <c r="K96" s="104">
        <f t="shared" si="6"/>
        <v>0</v>
      </c>
    </row>
    <row r="97" spans="1:37" x14ac:dyDescent="0.25">
      <c r="A97" s="55" t="s">
        <v>12907</v>
      </c>
      <c r="B97" s="57">
        <v>1</v>
      </c>
      <c r="C97" s="57"/>
      <c r="D97" s="57"/>
      <c r="E97" s="57"/>
      <c r="F97" s="57"/>
      <c r="G97" s="57">
        <v>7</v>
      </c>
      <c r="I97">
        <f t="shared" si="4"/>
        <v>8</v>
      </c>
      <c r="J97" s="58">
        <f t="shared" si="5"/>
        <v>0</v>
      </c>
      <c r="K97" s="104">
        <f t="shared" si="6"/>
        <v>0</v>
      </c>
    </row>
    <row r="98" spans="1:37" x14ac:dyDescent="0.25">
      <c r="A98" s="55" t="s">
        <v>13710</v>
      </c>
      <c r="B98" s="57">
        <v>1</v>
      </c>
      <c r="C98" s="57"/>
      <c r="D98" s="57">
        <v>2</v>
      </c>
      <c r="E98" s="57"/>
      <c r="F98" s="57">
        <v>5</v>
      </c>
      <c r="G98" s="57"/>
      <c r="I98">
        <f t="shared" si="4"/>
        <v>8</v>
      </c>
      <c r="J98" s="58">
        <f t="shared" si="5"/>
        <v>3</v>
      </c>
      <c r="K98" s="104">
        <f t="shared" si="6"/>
        <v>0.875</v>
      </c>
    </row>
    <row r="99" spans="1:37" x14ac:dyDescent="0.25">
      <c r="A99" s="55" t="s">
        <v>13783</v>
      </c>
      <c r="B99" s="57"/>
      <c r="C99" s="57">
        <v>16</v>
      </c>
      <c r="D99" s="57">
        <v>1</v>
      </c>
      <c r="E99" s="57"/>
      <c r="F99" s="57"/>
      <c r="G99" s="57"/>
      <c r="I99">
        <f t="shared" si="4"/>
        <v>17</v>
      </c>
      <c r="J99" s="58">
        <f t="shared" si="5"/>
        <v>1.0588235294117647</v>
      </c>
      <c r="K99" s="104">
        <f t="shared" si="6"/>
        <v>5.8823529411764705E-2</v>
      </c>
    </row>
    <row r="100" spans="1:37" x14ac:dyDescent="0.25">
      <c r="A100" s="50" t="s">
        <v>14281</v>
      </c>
      <c r="B100" s="57">
        <v>23</v>
      </c>
      <c r="C100" s="57">
        <v>46</v>
      </c>
      <c r="D100" s="57">
        <v>17</v>
      </c>
      <c r="E100" s="57">
        <v>6</v>
      </c>
      <c r="F100" s="57">
        <v>34</v>
      </c>
      <c r="G100" s="57">
        <v>58</v>
      </c>
      <c r="I100">
        <f t="shared" si="4"/>
        <v>184</v>
      </c>
      <c r="J100" s="58">
        <f t="shared" si="5"/>
        <v>1.8571428571428572</v>
      </c>
      <c r="K100" s="104">
        <f t="shared" si="6"/>
        <v>0.30978260869565216</v>
      </c>
    </row>
    <row r="101" spans="1:37" x14ac:dyDescent="0.25">
      <c r="A101" s="50" t="s">
        <v>12970</v>
      </c>
      <c r="B101" s="57"/>
      <c r="C101" s="57"/>
      <c r="D101" s="57"/>
      <c r="E101" s="57"/>
      <c r="F101" s="57"/>
      <c r="G101" s="57"/>
      <c r="I101">
        <f t="shared" si="4"/>
        <v>0</v>
      </c>
      <c r="J101" s="58" t="e">
        <f t="shared" si="5"/>
        <v>#DIV/0!</v>
      </c>
      <c r="K101" s="104" t="e">
        <f t="shared" si="6"/>
        <v>#DIV/0!</v>
      </c>
    </row>
    <row r="102" spans="1:37" x14ac:dyDescent="0.25">
      <c r="A102" s="55" t="s">
        <v>12969</v>
      </c>
      <c r="B102" s="57"/>
      <c r="C102" s="57"/>
      <c r="D102" s="57"/>
      <c r="E102" s="57"/>
      <c r="F102" s="57"/>
      <c r="G102" s="57">
        <v>34</v>
      </c>
      <c r="I102">
        <f t="shared" si="4"/>
        <v>34</v>
      </c>
      <c r="J102" s="58" t="e">
        <f t="shared" si="5"/>
        <v>#DIV/0!</v>
      </c>
      <c r="K102" s="104">
        <f t="shared" si="6"/>
        <v>0</v>
      </c>
    </row>
    <row r="103" spans="1:37" x14ac:dyDescent="0.25">
      <c r="A103" s="50" t="s">
        <v>14282</v>
      </c>
      <c r="B103" s="57"/>
      <c r="C103" s="57"/>
      <c r="D103" s="57"/>
      <c r="E103" s="57"/>
      <c r="F103" s="57"/>
      <c r="G103" s="57">
        <v>34</v>
      </c>
      <c r="I103">
        <f t="shared" si="4"/>
        <v>34</v>
      </c>
      <c r="J103" s="58" t="e">
        <f t="shared" si="5"/>
        <v>#DIV/0!</v>
      </c>
      <c r="K103" s="104">
        <f t="shared" si="6"/>
        <v>0</v>
      </c>
    </row>
    <row r="104" spans="1:37" x14ac:dyDescent="0.25">
      <c r="A104" s="50" t="s">
        <v>14272</v>
      </c>
      <c r="B104" s="57">
        <v>96</v>
      </c>
      <c r="C104" s="57">
        <v>222</v>
      </c>
      <c r="D104" s="57">
        <v>254</v>
      </c>
      <c r="E104" s="57">
        <v>69</v>
      </c>
      <c r="F104" s="57">
        <v>140</v>
      </c>
      <c r="G104" s="57">
        <v>169</v>
      </c>
      <c r="I104">
        <f t="shared" si="4"/>
        <v>950</v>
      </c>
      <c r="J104" s="58">
        <f t="shared" si="5"/>
        <v>1.9167733674775929</v>
      </c>
      <c r="K104" s="104">
        <f t="shared" si="6"/>
        <v>0.48736842105263156</v>
      </c>
    </row>
    <row r="105" spans="1:37" x14ac:dyDescent="0.25">
      <c r="I105">
        <f t="shared" si="4"/>
        <v>0</v>
      </c>
      <c r="J105" s="58" t="e">
        <f t="shared" si="5"/>
        <v>#DIV/0!</v>
      </c>
      <c r="K105" s="104" t="e">
        <f t="shared" si="6"/>
        <v>#DIV/0!</v>
      </c>
    </row>
    <row r="108" spans="1:37" x14ac:dyDescent="0.25">
      <c r="A108" s="49" t="s">
        <v>14551</v>
      </c>
      <c r="B108" s="49" t="s">
        <v>14283</v>
      </c>
    </row>
    <row r="109" spans="1:37" x14ac:dyDescent="0.25">
      <c r="B109" t="s">
        <v>456</v>
      </c>
      <c r="E109" t="s">
        <v>337</v>
      </c>
      <c r="H109" t="s">
        <v>622</v>
      </c>
      <c r="K109" t="s">
        <v>14275</v>
      </c>
      <c r="Q109" s="431" t="str">
        <f>A108</f>
        <v>Count of Resilience marker - Analysis</v>
      </c>
      <c r="R109" s="431"/>
      <c r="S109" s="431"/>
      <c r="T109" s="431"/>
      <c r="U109" s="431"/>
      <c r="V109" s="431"/>
      <c r="W109" s="121"/>
      <c r="X109" s="121"/>
      <c r="Z109" s="431"/>
      <c r="AA109" s="431"/>
      <c r="AB109" s="431"/>
    </row>
    <row r="110" spans="1:37" x14ac:dyDescent="0.25">
      <c r="A110" s="49" t="s">
        <v>14283</v>
      </c>
      <c r="B110" t="s">
        <v>319</v>
      </c>
      <c r="C110" t="s">
        <v>320</v>
      </c>
      <c r="D110" t="s">
        <v>14275</v>
      </c>
      <c r="E110" t="s">
        <v>319</v>
      </c>
      <c r="F110" t="s">
        <v>320</v>
      </c>
      <c r="G110" t="s">
        <v>14275</v>
      </c>
      <c r="H110" t="s">
        <v>319</v>
      </c>
      <c r="I110" t="s">
        <v>320</v>
      </c>
      <c r="J110" t="s">
        <v>14275</v>
      </c>
      <c r="K110" t="s">
        <v>319</v>
      </c>
      <c r="L110" t="s">
        <v>320</v>
      </c>
      <c r="M110" t="s">
        <v>14275</v>
      </c>
      <c r="Q110" s="432" t="s">
        <v>14552</v>
      </c>
      <c r="R110" s="432"/>
      <c r="S110" s="432" t="s">
        <v>14553</v>
      </c>
      <c r="T110" s="432"/>
      <c r="U110" s="432" t="s">
        <v>14554</v>
      </c>
      <c r="V110" s="432"/>
      <c r="W110" s="122"/>
      <c r="X110" s="122"/>
      <c r="Y110" s="49"/>
      <c r="Z110" s="49" t="s">
        <v>14541</v>
      </c>
      <c r="AA110" s="49"/>
      <c r="AB110" s="49"/>
      <c r="AC110" s="49"/>
      <c r="AD110" s="49"/>
      <c r="AE110" s="49"/>
      <c r="AF110" s="49"/>
      <c r="AG110" s="49"/>
      <c r="AH110" s="49"/>
      <c r="AI110" s="49"/>
      <c r="AJ110" s="49"/>
      <c r="AK110" s="49"/>
    </row>
    <row r="111" spans="1:37" x14ac:dyDescent="0.25">
      <c r="A111" s="50" t="s">
        <v>1874</v>
      </c>
      <c r="B111" s="57"/>
      <c r="C111" s="57"/>
      <c r="D111" s="57"/>
      <c r="E111" s="57"/>
      <c r="F111" s="57"/>
      <c r="G111" s="57"/>
      <c r="H111" s="57"/>
      <c r="I111" s="57"/>
      <c r="J111" s="57"/>
      <c r="K111" s="57"/>
      <c r="L111" s="57"/>
      <c r="M111" s="57"/>
      <c r="Q111" s="121" t="s">
        <v>7463</v>
      </c>
      <c r="R111" s="121" t="s">
        <v>326</v>
      </c>
      <c r="S111" s="121" t="s">
        <v>7463</v>
      </c>
      <c r="T111" s="121" t="s">
        <v>326</v>
      </c>
      <c r="U111" s="121" t="s">
        <v>7463</v>
      </c>
      <c r="V111" s="121" t="s">
        <v>326</v>
      </c>
      <c r="W111" s="121"/>
      <c r="X111" s="121"/>
      <c r="Z111" s="121" t="str">
        <f>Q110</f>
        <v>Did not address resilience</v>
      </c>
      <c r="AA111" s="121" t="str">
        <f>S110</f>
        <v>Addressed resilience</v>
      </c>
      <c r="AB111" s="121" t="str">
        <f>U110</f>
        <v>Addressed resilience AND underlying drivers</v>
      </c>
    </row>
    <row r="112" spans="1:37" x14ac:dyDescent="0.25">
      <c r="A112" s="55" t="s">
        <v>1873</v>
      </c>
      <c r="B112" s="57">
        <v>1</v>
      </c>
      <c r="C112" s="57">
        <v>5</v>
      </c>
      <c r="D112" s="57"/>
      <c r="E112" s="57">
        <v>2</v>
      </c>
      <c r="F112" s="57">
        <v>4</v>
      </c>
      <c r="G112" s="57"/>
      <c r="H112" s="57"/>
      <c r="I112" s="57">
        <v>1</v>
      </c>
      <c r="J112" s="57"/>
      <c r="K112" s="57"/>
      <c r="L112" s="57"/>
      <c r="M112" s="57"/>
      <c r="Q112">
        <f t="shared" ref="Q112:Q143" si="7">B112</f>
        <v>1</v>
      </c>
      <c r="R112">
        <f t="shared" ref="R112:R143" si="8">C112</f>
        <v>5</v>
      </c>
      <c r="S112">
        <f t="shared" ref="S112:S143" si="9">E112</f>
        <v>2</v>
      </c>
      <c r="T112">
        <f t="shared" ref="T112:T143" si="10">F112</f>
        <v>4</v>
      </c>
      <c r="U112">
        <f t="shared" ref="U112:U143" si="11">H112</f>
        <v>0</v>
      </c>
      <c r="V112">
        <f t="shared" ref="V112:V143" si="12">I112</f>
        <v>1</v>
      </c>
      <c r="Y112" t="str">
        <f t="shared" ref="Y112:Y143" si="13">A112</f>
        <v>Burundi</v>
      </c>
      <c r="Z112" s="104">
        <f>IFERROR(R112/(SUM($Q112:$R112)),"")</f>
        <v>0.83333333333333337</v>
      </c>
      <c r="AA112" s="104">
        <f>IFERROR(T112/(SUM($S112:$T112)),"")</f>
        <v>0.66666666666666663</v>
      </c>
      <c r="AB112" s="104">
        <f>IFERROR(V112/(SUM($U112:$V112)),"")</f>
        <v>1</v>
      </c>
    </row>
    <row r="113" spans="1:28" x14ac:dyDescent="0.25">
      <c r="A113" s="55" t="s">
        <v>3868</v>
      </c>
      <c r="B113" s="57"/>
      <c r="C113" s="57"/>
      <c r="D113" s="57"/>
      <c r="E113" s="57"/>
      <c r="F113" s="57">
        <v>21</v>
      </c>
      <c r="G113" s="57"/>
      <c r="H113" s="57"/>
      <c r="I113" s="57">
        <v>8</v>
      </c>
      <c r="J113" s="57"/>
      <c r="K113" s="57"/>
      <c r="L113" s="57"/>
      <c r="M113" s="57"/>
      <c r="Q113">
        <f t="shared" si="7"/>
        <v>0</v>
      </c>
      <c r="R113">
        <f t="shared" si="8"/>
        <v>0</v>
      </c>
      <c r="S113">
        <f t="shared" si="9"/>
        <v>0</v>
      </c>
      <c r="T113">
        <f t="shared" si="10"/>
        <v>21</v>
      </c>
      <c r="U113">
        <f t="shared" si="11"/>
        <v>0</v>
      </c>
      <c r="V113">
        <f t="shared" si="12"/>
        <v>8</v>
      </c>
      <c r="Y113" t="str">
        <f t="shared" si="13"/>
        <v>Ethiopia</v>
      </c>
      <c r="Z113" s="104" t="str">
        <f t="shared" ref="Z113:Z176" si="14">IFERROR(R113/(SUM($Q113:$R113)),"")</f>
        <v/>
      </c>
      <c r="AA113" s="104">
        <f t="shared" ref="AA113:AA176" si="15">IFERROR(T113/(SUM($S113:$T113)),"")</f>
        <v>1</v>
      </c>
      <c r="AB113" s="104">
        <f t="shared" ref="AB113:AB176" si="16">IFERROR(V113/(SUM($U113:$V113)),"")</f>
        <v>1</v>
      </c>
    </row>
    <row r="114" spans="1:28" x14ac:dyDescent="0.25">
      <c r="A114" s="55" t="s">
        <v>6457</v>
      </c>
      <c r="B114" s="57"/>
      <c r="C114" s="57">
        <v>1</v>
      </c>
      <c r="D114" s="57"/>
      <c r="E114" s="57">
        <v>3</v>
      </c>
      <c r="F114" s="57">
        <v>13</v>
      </c>
      <c r="G114" s="57"/>
      <c r="H114" s="57">
        <v>3</v>
      </c>
      <c r="I114" s="57">
        <v>2</v>
      </c>
      <c r="J114" s="57"/>
      <c r="K114" s="57"/>
      <c r="L114" s="57"/>
      <c r="M114" s="57"/>
      <c r="Q114">
        <f t="shared" si="7"/>
        <v>0</v>
      </c>
      <c r="R114">
        <f t="shared" si="8"/>
        <v>1</v>
      </c>
      <c r="S114">
        <f t="shared" si="9"/>
        <v>3</v>
      </c>
      <c r="T114">
        <f t="shared" si="10"/>
        <v>13</v>
      </c>
      <c r="U114">
        <f t="shared" si="11"/>
        <v>3</v>
      </c>
      <c r="V114">
        <f t="shared" si="12"/>
        <v>2</v>
      </c>
      <c r="Y114" t="str">
        <f t="shared" si="13"/>
        <v>Kenya</v>
      </c>
      <c r="Z114" s="104">
        <f t="shared" si="14"/>
        <v>1</v>
      </c>
      <c r="AA114" s="104">
        <f t="shared" si="15"/>
        <v>0.8125</v>
      </c>
      <c r="AB114" s="104">
        <f t="shared" si="16"/>
        <v>0.4</v>
      </c>
    </row>
    <row r="115" spans="1:28" x14ac:dyDescent="0.25">
      <c r="A115" s="55" t="s">
        <v>10371</v>
      </c>
      <c r="B115" s="57"/>
      <c r="C115" s="57"/>
      <c r="D115" s="57"/>
      <c r="E115" s="57">
        <v>1</v>
      </c>
      <c r="F115" s="57">
        <v>1</v>
      </c>
      <c r="G115" s="57"/>
      <c r="H115" s="57">
        <v>3</v>
      </c>
      <c r="I115" s="57">
        <v>1</v>
      </c>
      <c r="J115" s="57"/>
      <c r="K115" s="57"/>
      <c r="L115" s="57"/>
      <c r="M115" s="57"/>
      <c r="Q115">
        <f t="shared" si="7"/>
        <v>0</v>
      </c>
      <c r="R115">
        <f t="shared" si="8"/>
        <v>0</v>
      </c>
      <c r="S115">
        <f t="shared" si="9"/>
        <v>1</v>
      </c>
      <c r="T115">
        <f t="shared" si="10"/>
        <v>1</v>
      </c>
      <c r="U115">
        <f t="shared" si="11"/>
        <v>3</v>
      </c>
      <c r="V115">
        <f t="shared" si="12"/>
        <v>1</v>
      </c>
      <c r="Y115" t="str">
        <f t="shared" si="13"/>
        <v>Rwanda</v>
      </c>
      <c r="Z115" s="104" t="str">
        <f t="shared" si="14"/>
        <v/>
      </c>
      <c r="AA115" s="104">
        <f t="shared" si="15"/>
        <v>0.5</v>
      </c>
      <c r="AB115" s="104">
        <f t="shared" si="16"/>
        <v>0.25</v>
      </c>
    </row>
    <row r="116" spans="1:28" x14ac:dyDescent="0.25">
      <c r="A116" s="55" t="s">
        <v>10685</v>
      </c>
      <c r="B116" s="57"/>
      <c r="C116" s="57"/>
      <c r="D116" s="57"/>
      <c r="E116" s="57">
        <v>3</v>
      </c>
      <c r="F116" s="57">
        <v>19</v>
      </c>
      <c r="G116" s="57"/>
      <c r="H116" s="57"/>
      <c r="I116" s="57">
        <v>5</v>
      </c>
      <c r="J116" s="57"/>
      <c r="K116" s="57">
        <v>1</v>
      </c>
      <c r="L116" s="57">
        <v>3</v>
      </c>
      <c r="M116" s="57"/>
      <c r="Q116">
        <f t="shared" si="7"/>
        <v>0</v>
      </c>
      <c r="R116">
        <f t="shared" si="8"/>
        <v>0</v>
      </c>
      <c r="S116">
        <f t="shared" si="9"/>
        <v>3</v>
      </c>
      <c r="T116">
        <f t="shared" si="10"/>
        <v>19</v>
      </c>
      <c r="U116">
        <f t="shared" si="11"/>
        <v>0</v>
      </c>
      <c r="V116">
        <f t="shared" si="12"/>
        <v>5</v>
      </c>
      <c r="Y116" t="str">
        <f t="shared" si="13"/>
        <v>Somalia</v>
      </c>
      <c r="Z116" s="104" t="str">
        <f t="shared" si="14"/>
        <v/>
      </c>
      <c r="AA116" s="104">
        <f t="shared" si="15"/>
        <v>0.86363636363636365</v>
      </c>
      <c r="AB116" s="104">
        <f t="shared" si="16"/>
        <v>1</v>
      </c>
    </row>
    <row r="117" spans="1:28" x14ac:dyDescent="0.25">
      <c r="A117" s="55" t="s">
        <v>11104</v>
      </c>
      <c r="B117" s="57">
        <v>3</v>
      </c>
      <c r="C117" s="57">
        <v>1</v>
      </c>
      <c r="D117" s="57"/>
      <c r="E117" s="57">
        <v>1</v>
      </c>
      <c r="F117" s="57">
        <v>1</v>
      </c>
      <c r="G117" s="57"/>
      <c r="H117" s="57">
        <v>4</v>
      </c>
      <c r="I117" s="57">
        <v>11</v>
      </c>
      <c r="J117" s="57"/>
      <c r="K117" s="57"/>
      <c r="L117" s="57"/>
      <c r="M117" s="57"/>
      <c r="Q117">
        <f t="shared" si="7"/>
        <v>3</v>
      </c>
      <c r="R117">
        <f t="shared" si="8"/>
        <v>1</v>
      </c>
      <c r="S117">
        <f t="shared" si="9"/>
        <v>1</v>
      </c>
      <c r="T117">
        <f t="shared" si="10"/>
        <v>1</v>
      </c>
      <c r="U117">
        <f t="shared" si="11"/>
        <v>4</v>
      </c>
      <c r="V117">
        <f t="shared" si="12"/>
        <v>11</v>
      </c>
      <c r="Y117" t="str">
        <f t="shared" si="13"/>
        <v>South Sudan</v>
      </c>
      <c r="Z117" s="104">
        <f t="shared" si="14"/>
        <v>0.25</v>
      </c>
      <c r="AA117" s="104">
        <f t="shared" si="15"/>
        <v>0.5</v>
      </c>
      <c r="AB117" s="104">
        <f t="shared" si="16"/>
        <v>0.73333333333333328</v>
      </c>
    </row>
    <row r="118" spans="1:28" x14ac:dyDescent="0.25">
      <c r="A118" s="55" t="s">
        <v>11417</v>
      </c>
      <c r="B118" s="57"/>
      <c r="C118" s="57"/>
      <c r="D118" s="57"/>
      <c r="E118" s="57"/>
      <c r="F118" s="57">
        <v>14</v>
      </c>
      <c r="G118" s="57"/>
      <c r="H118" s="57">
        <v>1</v>
      </c>
      <c r="I118" s="57">
        <v>3</v>
      </c>
      <c r="J118" s="57"/>
      <c r="K118" s="57"/>
      <c r="L118" s="57"/>
      <c r="M118" s="57"/>
      <c r="Q118">
        <f t="shared" si="7"/>
        <v>0</v>
      </c>
      <c r="R118">
        <f t="shared" si="8"/>
        <v>0</v>
      </c>
      <c r="S118">
        <f t="shared" si="9"/>
        <v>0</v>
      </c>
      <c r="T118">
        <f t="shared" si="10"/>
        <v>14</v>
      </c>
      <c r="U118">
        <f t="shared" si="11"/>
        <v>1</v>
      </c>
      <c r="V118">
        <f t="shared" si="12"/>
        <v>3</v>
      </c>
      <c r="Y118" t="str">
        <f t="shared" si="13"/>
        <v>Sudan</v>
      </c>
      <c r="Z118" s="104" t="str">
        <f t="shared" si="14"/>
        <v/>
      </c>
      <c r="AA118" s="104">
        <f t="shared" si="15"/>
        <v>1</v>
      </c>
      <c r="AB118" s="104">
        <f t="shared" si="16"/>
        <v>0.75</v>
      </c>
    </row>
    <row r="119" spans="1:28" x14ac:dyDescent="0.25">
      <c r="A119" s="55" t="s">
        <v>12694</v>
      </c>
      <c r="B119" s="57"/>
      <c r="C119" s="57"/>
      <c r="D119" s="57"/>
      <c r="E119" s="57"/>
      <c r="F119" s="57">
        <v>9</v>
      </c>
      <c r="G119" s="57"/>
      <c r="H119" s="57">
        <v>1</v>
      </c>
      <c r="I119" s="57">
        <v>3</v>
      </c>
      <c r="J119" s="57"/>
      <c r="K119" s="57"/>
      <c r="L119" s="57"/>
      <c r="M119" s="57"/>
      <c r="Q119">
        <f t="shared" si="7"/>
        <v>0</v>
      </c>
      <c r="R119">
        <f t="shared" si="8"/>
        <v>0</v>
      </c>
      <c r="S119">
        <f t="shared" si="9"/>
        <v>0</v>
      </c>
      <c r="T119">
        <f t="shared" si="10"/>
        <v>9</v>
      </c>
      <c r="U119">
        <f t="shared" si="11"/>
        <v>1</v>
      </c>
      <c r="V119">
        <f t="shared" si="12"/>
        <v>3</v>
      </c>
      <c r="Y119" t="str">
        <f t="shared" si="13"/>
        <v>Uganda</v>
      </c>
      <c r="Z119" s="104" t="str">
        <f t="shared" si="14"/>
        <v/>
      </c>
      <c r="AA119" s="104">
        <f t="shared" si="15"/>
        <v>1</v>
      </c>
      <c r="AB119" s="104">
        <f t="shared" si="16"/>
        <v>0.75</v>
      </c>
    </row>
    <row r="120" spans="1:28" x14ac:dyDescent="0.25">
      <c r="A120" s="55" t="s">
        <v>14322</v>
      </c>
      <c r="B120" s="57"/>
      <c r="C120" s="57"/>
      <c r="D120" s="57"/>
      <c r="E120" s="57"/>
      <c r="F120" s="57">
        <v>5</v>
      </c>
      <c r="G120" s="57"/>
      <c r="H120" s="57"/>
      <c r="I120" s="57"/>
      <c r="J120" s="57"/>
      <c r="K120" s="57"/>
      <c r="L120" s="57"/>
      <c r="M120" s="57"/>
      <c r="Q120">
        <f t="shared" si="7"/>
        <v>0</v>
      </c>
      <c r="R120">
        <f t="shared" si="8"/>
        <v>0</v>
      </c>
      <c r="S120">
        <f t="shared" si="9"/>
        <v>0</v>
      </c>
      <c r="T120">
        <f t="shared" si="10"/>
        <v>5</v>
      </c>
      <c r="U120">
        <f t="shared" si="11"/>
        <v>0</v>
      </c>
      <c r="V120">
        <f t="shared" si="12"/>
        <v>0</v>
      </c>
      <c r="Y120" t="str">
        <f t="shared" si="13"/>
        <v>DRC</v>
      </c>
      <c r="Z120" s="104" t="str">
        <f t="shared" si="14"/>
        <v/>
      </c>
      <c r="AA120" s="104">
        <f t="shared" si="15"/>
        <v>1</v>
      </c>
      <c r="AB120" s="104" t="str">
        <f t="shared" si="16"/>
        <v/>
      </c>
    </row>
    <row r="121" spans="1:28" x14ac:dyDescent="0.25">
      <c r="A121" s="50" t="s">
        <v>14276</v>
      </c>
      <c r="B121" s="57">
        <v>4</v>
      </c>
      <c r="C121" s="57">
        <v>7</v>
      </c>
      <c r="D121" s="57"/>
      <c r="E121" s="57">
        <v>10</v>
      </c>
      <c r="F121" s="57">
        <v>87</v>
      </c>
      <c r="G121" s="57"/>
      <c r="H121" s="57">
        <v>12</v>
      </c>
      <c r="I121" s="57">
        <v>34</v>
      </c>
      <c r="J121" s="57"/>
      <c r="K121" s="57">
        <v>1</v>
      </c>
      <c r="L121" s="57">
        <v>3</v>
      </c>
      <c r="M121" s="57"/>
      <c r="Q121">
        <f t="shared" si="7"/>
        <v>4</v>
      </c>
      <c r="R121">
        <f t="shared" si="8"/>
        <v>7</v>
      </c>
      <c r="S121">
        <f t="shared" si="9"/>
        <v>10</v>
      </c>
      <c r="T121">
        <f t="shared" si="10"/>
        <v>87</v>
      </c>
      <c r="U121">
        <f t="shared" si="11"/>
        <v>12</v>
      </c>
      <c r="V121">
        <f t="shared" si="12"/>
        <v>34</v>
      </c>
      <c r="Y121" t="str">
        <f t="shared" si="13"/>
        <v>Africa - East and Central Total</v>
      </c>
      <c r="Z121" s="104">
        <f t="shared" si="14"/>
        <v>0.63636363636363635</v>
      </c>
      <c r="AA121" s="104">
        <f t="shared" si="15"/>
        <v>0.89690721649484539</v>
      </c>
      <c r="AB121" s="104">
        <f t="shared" si="16"/>
        <v>0.73913043478260865</v>
      </c>
    </row>
    <row r="122" spans="1:28" x14ac:dyDescent="0.25">
      <c r="A122" s="50" t="s">
        <v>7217</v>
      </c>
      <c r="B122" s="57"/>
      <c r="C122" s="57"/>
      <c r="D122" s="57"/>
      <c r="E122" s="57"/>
      <c r="F122" s="57"/>
      <c r="G122" s="57"/>
      <c r="H122" s="57"/>
      <c r="I122" s="57"/>
      <c r="J122" s="57"/>
      <c r="K122" s="57"/>
      <c r="L122" s="57"/>
      <c r="M122" s="57"/>
      <c r="Q122">
        <f t="shared" si="7"/>
        <v>0</v>
      </c>
      <c r="R122">
        <f t="shared" si="8"/>
        <v>0</v>
      </c>
      <c r="S122">
        <f t="shared" si="9"/>
        <v>0</v>
      </c>
      <c r="T122">
        <f t="shared" si="10"/>
        <v>0</v>
      </c>
      <c r="U122">
        <f t="shared" si="11"/>
        <v>0</v>
      </c>
      <c r="V122">
        <f t="shared" si="12"/>
        <v>0</v>
      </c>
      <c r="Y122" t="str">
        <f t="shared" si="13"/>
        <v>Africa - Southern</v>
      </c>
      <c r="Z122" s="104" t="str">
        <f t="shared" si="14"/>
        <v/>
      </c>
      <c r="AA122" s="104" t="str">
        <f t="shared" si="15"/>
        <v/>
      </c>
      <c r="AB122" s="104" t="str">
        <f t="shared" si="16"/>
        <v/>
      </c>
    </row>
    <row r="123" spans="1:28" x14ac:dyDescent="0.25">
      <c r="A123" s="55" t="s">
        <v>7216</v>
      </c>
      <c r="B123" s="57"/>
      <c r="C123" s="57"/>
      <c r="D123" s="57"/>
      <c r="E123" s="57">
        <v>1</v>
      </c>
      <c r="F123" s="57">
        <v>7</v>
      </c>
      <c r="G123" s="57"/>
      <c r="H123" s="57"/>
      <c r="I123" s="57">
        <v>2</v>
      </c>
      <c r="J123" s="57"/>
      <c r="K123" s="57"/>
      <c r="L123" s="57"/>
      <c r="M123" s="57"/>
      <c r="Q123">
        <f t="shared" si="7"/>
        <v>0</v>
      </c>
      <c r="R123">
        <f t="shared" si="8"/>
        <v>0</v>
      </c>
      <c r="S123">
        <f t="shared" si="9"/>
        <v>1</v>
      </c>
      <c r="T123">
        <f t="shared" si="10"/>
        <v>7</v>
      </c>
      <c r="U123">
        <f t="shared" si="11"/>
        <v>0</v>
      </c>
      <c r="V123">
        <f t="shared" si="12"/>
        <v>2</v>
      </c>
      <c r="Y123" t="str">
        <f t="shared" si="13"/>
        <v>Madagascar</v>
      </c>
      <c r="Z123" s="104" t="str">
        <f t="shared" si="14"/>
        <v/>
      </c>
      <c r="AA123" s="104">
        <f t="shared" si="15"/>
        <v>0.875</v>
      </c>
      <c r="AB123" s="104">
        <f t="shared" si="16"/>
        <v>1</v>
      </c>
    </row>
    <row r="124" spans="1:28" x14ac:dyDescent="0.25">
      <c r="A124" s="55" t="s">
        <v>7451</v>
      </c>
      <c r="B124" s="57">
        <v>2</v>
      </c>
      <c r="C124" s="57">
        <v>4</v>
      </c>
      <c r="D124" s="57"/>
      <c r="E124" s="57">
        <v>1</v>
      </c>
      <c r="F124" s="57">
        <v>10</v>
      </c>
      <c r="G124" s="57"/>
      <c r="H124" s="57"/>
      <c r="I124" s="57">
        <v>5</v>
      </c>
      <c r="J124" s="57"/>
      <c r="K124" s="57"/>
      <c r="L124" s="57"/>
      <c r="M124" s="57"/>
      <c r="Q124">
        <f t="shared" si="7"/>
        <v>2</v>
      </c>
      <c r="R124">
        <f t="shared" si="8"/>
        <v>4</v>
      </c>
      <c r="S124">
        <f t="shared" si="9"/>
        <v>1</v>
      </c>
      <c r="T124">
        <f t="shared" si="10"/>
        <v>10</v>
      </c>
      <c r="U124">
        <f t="shared" si="11"/>
        <v>0</v>
      </c>
      <c r="V124">
        <f t="shared" si="12"/>
        <v>5</v>
      </c>
      <c r="Y124" t="str">
        <f t="shared" si="13"/>
        <v>Malawi</v>
      </c>
      <c r="Z124" s="104">
        <f t="shared" si="14"/>
        <v>0.66666666666666663</v>
      </c>
      <c r="AA124" s="104">
        <f t="shared" si="15"/>
        <v>0.90909090909090906</v>
      </c>
      <c r="AB124" s="104">
        <f t="shared" si="16"/>
        <v>1</v>
      </c>
    </row>
    <row r="125" spans="1:28" x14ac:dyDescent="0.25">
      <c r="A125" s="55" t="s">
        <v>8265</v>
      </c>
      <c r="B125" s="57">
        <v>1</v>
      </c>
      <c r="C125" s="57"/>
      <c r="D125" s="57"/>
      <c r="E125" s="57">
        <v>1</v>
      </c>
      <c r="F125" s="57">
        <v>4</v>
      </c>
      <c r="G125" s="57"/>
      <c r="H125" s="57">
        <v>1</v>
      </c>
      <c r="I125" s="57">
        <v>2</v>
      </c>
      <c r="J125" s="57"/>
      <c r="K125" s="57"/>
      <c r="L125" s="57"/>
      <c r="M125" s="57"/>
      <c r="Q125">
        <f t="shared" si="7"/>
        <v>1</v>
      </c>
      <c r="R125">
        <f t="shared" si="8"/>
        <v>0</v>
      </c>
      <c r="S125">
        <f t="shared" si="9"/>
        <v>1</v>
      </c>
      <c r="T125">
        <f t="shared" si="10"/>
        <v>4</v>
      </c>
      <c r="U125">
        <f t="shared" si="11"/>
        <v>1</v>
      </c>
      <c r="V125">
        <f t="shared" si="12"/>
        <v>2</v>
      </c>
      <c r="Y125" t="str">
        <f t="shared" si="13"/>
        <v>Mozambique</v>
      </c>
      <c r="Z125" s="104">
        <f t="shared" si="14"/>
        <v>0</v>
      </c>
      <c r="AA125" s="104">
        <f t="shared" si="15"/>
        <v>0.8</v>
      </c>
      <c r="AB125" s="104">
        <f t="shared" si="16"/>
        <v>0.66666666666666663</v>
      </c>
    </row>
    <row r="126" spans="1:28" x14ac:dyDescent="0.25">
      <c r="A126" s="55" t="s">
        <v>11102</v>
      </c>
      <c r="B126" s="57"/>
      <c r="C126" s="57"/>
      <c r="D126" s="57"/>
      <c r="E126" s="57"/>
      <c r="F126" s="57"/>
      <c r="G126" s="57"/>
      <c r="H126" s="57"/>
      <c r="I126" s="57"/>
      <c r="J126" s="57"/>
      <c r="K126" s="57"/>
      <c r="L126" s="57"/>
      <c r="M126" s="57"/>
      <c r="Q126">
        <f t="shared" si="7"/>
        <v>0</v>
      </c>
      <c r="R126">
        <f t="shared" si="8"/>
        <v>0</v>
      </c>
      <c r="S126">
        <f t="shared" si="9"/>
        <v>0</v>
      </c>
      <c r="T126">
        <f t="shared" si="10"/>
        <v>0</v>
      </c>
      <c r="U126">
        <f t="shared" si="11"/>
        <v>0</v>
      </c>
      <c r="V126">
        <f t="shared" si="12"/>
        <v>0</v>
      </c>
      <c r="Y126" t="str">
        <f t="shared" si="13"/>
        <v>South Africa</v>
      </c>
      <c r="Z126" s="104" t="str">
        <f t="shared" si="14"/>
        <v/>
      </c>
      <c r="AA126" s="104" t="str">
        <f t="shared" si="15"/>
        <v/>
      </c>
      <c r="AB126" s="104" t="str">
        <f t="shared" si="16"/>
        <v/>
      </c>
    </row>
    <row r="127" spans="1:28" x14ac:dyDescent="0.25">
      <c r="A127" s="55" t="s">
        <v>12090</v>
      </c>
      <c r="B127" s="57"/>
      <c r="C127" s="57"/>
      <c r="D127" s="57"/>
      <c r="E127" s="57">
        <v>2</v>
      </c>
      <c r="F127" s="57">
        <v>8</v>
      </c>
      <c r="G127" s="57"/>
      <c r="H127" s="57"/>
      <c r="I127" s="57"/>
      <c r="J127" s="57"/>
      <c r="K127" s="57"/>
      <c r="L127" s="57"/>
      <c r="M127" s="57"/>
      <c r="Q127">
        <f t="shared" si="7"/>
        <v>0</v>
      </c>
      <c r="R127">
        <f t="shared" si="8"/>
        <v>0</v>
      </c>
      <c r="S127">
        <f t="shared" si="9"/>
        <v>2</v>
      </c>
      <c r="T127">
        <f t="shared" si="10"/>
        <v>8</v>
      </c>
      <c r="U127">
        <f t="shared" si="11"/>
        <v>0</v>
      </c>
      <c r="V127">
        <f t="shared" si="12"/>
        <v>0</v>
      </c>
      <c r="Y127" t="str">
        <f t="shared" si="13"/>
        <v>Tanzania</v>
      </c>
      <c r="Z127" s="104" t="str">
        <f t="shared" si="14"/>
        <v/>
      </c>
      <c r="AA127" s="104">
        <f t="shared" si="15"/>
        <v>0.8</v>
      </c>
      <c r="AB127" s="104" t="str">
        <f t="shared" si="16"/>
        <v/>
      </c>
    </row>
    <row r="128" spans="1:28" x14ac:dyDescent="0.25">
      <c r="A128" s="55" t="s">
        <v>13917</v>
      </c>
      <c r="B128" s="57"/>
      <c r="C128" s="57"/>
      <c r="D128" s="57"/>
      <c r="E128" s="57"/>
      <c r="F128" s="57">
        <v>3</v>
      </c>
      <c r="G128" s="57"/>
      <c r="H128" s="57"/>
      <c r="I128" s="57">
        <v>1</v>
      </c>
      <c r="J128" s="57"/>
      <c r="K128" s="57"/>
      <c r="L128" s="57"/>
      <c r="M128" s="57"/>
      <c r="Q128">
        <f t="shared" si="7"/>
        <v>0</v>
      </c>
      <c r="R128">
        <f t="shared" si="8"/>
        <v>0</v>
      </c>
      <c r="S128">
        <f t="shared" si="9"/>
        <v>0</v>
      </c>
      <c r="T128">
        <f t="shared" si="10"/>
        <v>3</v>
      </c>
      <c r="U128">
        <f t="shared" si="11"/>
        <v>0</v>
      </c>
      <c r="V128">
        <f t="shared" si="12"/>
        <v>1</v>
      </c>
      <c r="Y128" t="str">
        <f t="shared" si="13"/>
        <v>Zambia</v>
      </c>
      <c r="Z128" s="104" t="str">
        <f t="shared" si="14"/>
        <v/>
      </c>
      <c r="AA128" s="104">
        <f t="shared" si="15"/>
        <v>1</v>
      </c>
      <c r="AB128" s="104">
        <f t="shared" si="16"/>
        <v>1</v>
      </c>
    </row>
    <row r="129" spans="1:28" x14ac:dyDescent="0.25">
      <c r="A129" s="55" t="s">
        <v>14016</v>
      </c>
      <c r="B129" s="57">
        <v>1</v>
      </c>
      <c r="C129" s="57"/>
      <c r="D129" s="57"/>
      <c r="E129" s="57">
        <v>3</v>
      </c>
      <c r="F129" s="57">
        <v>7</v>
      </c>
      <c r="G129" s="57"/>
      <c r="H129" s="57"/>
      <c r="I129" s="57">
        <v>3</v>
      </c>
      <c r="J129" s="57"/>
      <c r="K129" s="57"/>
      <c r="L129" s="57"/>
      <c r="M129" s="57"/>
      <c r="Q129">
        <f t="shared" si="7"/>
        <v>1</v>
      </c>
      <c r="R129">
        <f t="shared" si="8"/>
        <v>0</v>
      </c>
      <c r="S129">
        <f t="shared" si="9"/>
        <v>3</v>
      </c>
      <c r="T129">
        <f t="shared" si="10"/>
        <v>7</v>
      </c>
      <c r="U129">
        <f t="shared" si="11"/>
        <v>0</v>
      </c>
      <c r="V129">
        <f t="shared" si="12"/>
        <v>3</v>
      </c>
      <c r="Y129" t="str">
        <f t="shared" si="13"/>
        <v>Zimbabwe</v>
      </c>
      <c r="Z129" s="104">
        <f t="shared" si="14"/>
        <v>0</v>
      </c>
      <c r="AA129" s="104">
        <f t="shared" si="15"/>
        <v>0.7</v>
      </c>
      <c r="AB129" s="104">
        <f t="shared" si="16"/>
        <v>1</v>
      </c>
    </row>
    <row r="130" spans="1:28" x14ac:dyDescent="0.25">
      <c r="A130" s="50" t="s">
        <v>14277</v>
      </c>
      <c r="B130" s="57">
        <v>4</v>
      </c>
      <c r="C130" s="57">
        <v>4</v>
      </c>
      <c r="D130" s="57"/>
      <c r="E130" s="57">
        <v>8</v>
      </c>
      <c r="F130" s="57">
        <v>39</v>
      </c>
      <c r="G130" s="57"/>
      <c r="H130" s="57">
        <v>1</v>
      </c>
      <c r="I130" s="57">
        <v>13</v>
      </c>
      <c r="J130" s="57"/>
      <c r="K130" s="57"/>
      <c r="L130" s="57"/>
      <c r="M130" s="57"/>
      <c r="Q130">
        <f t="shared" si="7"/>
        <v>4</v>
      </c>
      <c r="R130">
        <f t="shared" si="8"/>
        <v>4</v>
      </c>
      <c r="S130">
        <f t="shared" si="9"/>
        <v>8</v>
      </c>
      <c r="T130">
        <f t="shared" si="10"/>
        <v>39</v>
      </c>
      <c r="U130">
        <f t="shared" si="11"/>
        <v>1</v>
      </c>
      <c r="V130">
        <f t="shared" si="12"/>
        <v>13</v>
      </c>
      <c r="Y130" t="str">
        <f t="shared" si="13"/>
        <v>Africa - Southern Total</v>
      </c>
      <c r="Z130" s="104">
        <f t="shared" si="14"/>
        <v>0.5</v>
      </c>
      <c r="AA130" s="104">
        <f t="shared" si="15"/>
        <v>0.82978723404255317</v>
      </c>
      <c r="AB130" s="104">
        <f t="shared" si="16"/>
        <v>0.9285714285714286</v>
      </c>
    </row>
    <row r="131" spans="1:28" x14ac:dyDescent="0.25">
      <c r="A131" s="50" t="s">
        <v>1596</v>
      </c>
      <c r="B131" s="57"/>
      <c r="C131" s="57"/>
      <c r="D131" s="57"/>
      <c r="E131" s="57"/>
      <c r="F131" s="57"/>
      <c r="G131" s="57"/>
      <c r="H131" s="57"/>
      <c r="I131" s="57"/>
      <c r="J131" s="57"/>
      <c r="K131" s="57"/>
      <c r="L131" s="57"/>
      <c r="M131" s="57"/>
      <c r="Q131">
        <f t="shared" si="7"/>
        <v>0</v>
      </c>
      <c r="R131">
        <f t="shared" si="8"/>
        <v>0</v>
      </c>
      <c r="S131">
        <f t="shared" si="9"/>
        <v>0</v>
      </c>
      <c r="T131">
        <f t="shared" si="10"/>
        <v>0</v>
      </c>
      <c r="U131">
        <f t="shared" si="11"/>
        <v>0</v>
      </c>
      <c r="V131">
        <f t="shared" si="12"/>
        <v>0</v>
      </c>
      <c r="Y131" t="str">
        <f t="shared" si="13"/>
        <v>Africa - Western</v>
      </c>
      <c r="Z131" s="104" t="str">
        <f t="shared" si="14"/>
        <v/>
      </c>
      <c r="AA131" s="104" t="str">
        <f t="shared" si="15"/>
        <v/>
      </c>
      <c r="AB131" s="104" t="str">
        <f t="shared" si="16"/>
        <v/>
      </c>
    </row>
    <row r="132" spans="1:28" x14ac:dyDescent="0.25">
      <c r="A132" s="55" t="s">
        <v>1595</v>
      </c>
      <c r="B132" s="57">
        <v>1</v>
      </c>
      <c r="C132" s="57">
        <v>2</v>
      </c>
      <c r="D132" s="57"/>
      <c r="E132" s="57">
        <v>2</v>
      </c>
      <c r="F132" s="57"/>
      <c r="G132" s="57"/>
      <c r="H132" s="57"/>
      <c r="I132" s="57">
        <v>1</v>
      </c>
      <c r="J132" s="57"/>
      <c r="K132" s="57"/>
      <c r="L132" s="57"/>
      <c r="M132" s="57"/>
      <c r="Q132">
        <f t="shared" si="7"/>
        <v>1</v>
      </c>
      <c r="R132">
        <f t="shared" si="8"/>
        <v>2</v>
      </c>
      <c r="S132">
        <f t="shared" si="9"/>
        <v>2</v>
      </c>
      <c r="T132">
        <f t="shared" si="10"/>
        <v>0</v>
      </c>
      <c r="U132">
        <f t="shared" si="11"/>
        <v>0</v>
      </c>
      <c r="V132">
        <f t="shared" si="12"/>
        <v>1</v>
      </c>
      <c r="Y132" t="str">
        <f t="shared" si="13"/>
        <v>Benin</v>
      </c>
      <c r="Z132" s="104">
        <f t="shared" si="14"/>
        <v>0.66666666666666663</v>
      </c>
      <c r="AA132" s="104">
        <f t="shared" si="15"/>
        <v>0</v>
      </c>
      <c r="AB132" s="104">
        <f t="shared" si="16"/>
        <v>1</v>
      </c>
    </row>
    <row r="133" spans="1:28" x14ac:dyDescent="0.25">
      <c r="A133" s="55" t="s">
        <v>1827</v>
      </c>
      <c r="B133" s="57"/>
      <c r="C133" s="57"/>
      <c r="D133" s="57"/>
      <c r="E133" s="57"/>
      <c r="F133" s="57">
        <v>2</v>
      </c>
      <c r="G133" s="57"/>
      <c r="H133" s="57"/>
      <c r="I133" s="57"/>
      <c r="J133" s="57"/>
      <c r="K133" s="57"/>
      <c r="L133" s="57"/>
      <c r="M133" s="57"/>
      <c r="Q133">
        <f t="shared" si="7"/>
        <v>0</v>
      </c>
      <c r="R133">
        <f t="shared" si="8"/>
        <v>0</v>
      </c>
      <c r="S133">
        <f t="shared" si="9"/>
        <v>0</v>
      </c>
      <c r="T133">
        <f t="shared" si="10"/>
        <v>2</v>
      </c>
      <c r="U133">
        <f t="shared" si="11"/>
        <v>0</v>
      </c>
      <c r="V133">
        <f t="shared" si="12"/>
        <v>0</v>
      </c>
      <c r="Y133" t="str">
        <f t="shared" si="13"/>
        <v>Burkina Faso</v>
      </c>
      <c r="Z133" s="104" t="str">
        <f t="shared" si="14"/>
        <v/>
      </c>
      <c r="AA133" s="104">
        <f t="shared" si="15"/>
        <v>1</v>
      </c>
      <c r="AB133" s="104" t="str">
        <f t="shared" si="16"/>
        <v/>
      </c>
    </row>
    <row r="134" spans="1:28" x14ac:dyDescent="0.25">
      <c r="A134" s="55" t="s">
        <v>2395</v>
      </c>
      <c r="B134" s="57"/>
      <c r="C134" s="57"/>
      <c r="D134" s="57"/>
      <c r="E134" s="57"/>
      <c r="F134" s="57">
        <v>3</v>
      </c>
      <c r="G134" s="57"/>
      <c r="H134" s="57"/>
      <c r="I134" s="57">
        <v>3</v>
      </c>
      <c r="J134" s="57"/>
      <c r="K134" s="57"/>
      <c r="L134" s="57"/>
      <c r="M134" s="57"/>
      <c r="Q134">
        <f t="shared" si="7"/>
        <v>0</v>
      </c>
      <c r="R134">
        <f t="shared" si="8"/>
        <v>0</v>
      </c>
      <c r="S134">
        <f t="shared" si="9"/>
        <v>0</v>
      </c>
      <c r="T134">
        <f t="shared" si="10"/>
        <v>3</v>
      </c>
      <c r="U134">
        <f t="shared" si="11"/>
        <v>0</v>
      </c>
      <c r="V134">
        <f t="shared" si="12"/>
        <v>3</v>
      </c>
      <c r="Y134" t="str">
        <f t="shared" si="13"/>
        <v>Cameroon</v>
      </c>
      <c r="Z134" s="104" t="str">
        <f t="shared" si="14"/>
        <v/>
      </c>
      <c r="AA134" s="104">
        <f t="shared" si="15"/>
        <v>1</v>
      </c>
      <c r="AB134" s="104">
        <f t="shared" si="16"/>
        <v>1</v>
      </c>
    </row>
    <row r="135" spans="1:28" x14ac:dyDescent="0.25">
      <c r="A135" s="55" t="s">
        <v>2536</v>
      </c>
      <c r="B135" s="57"/>
      <c r="C135" s="57"/>
      <c r="D135" s="57"/>
      <c r="E135" s="57">
        <v>2</v>
      </c>
      <c r="F135" s="57">
        <v>7</v>
      </c>
      <c r="G135" s="57"/>
      <c r="H135" s="57">
        <v>2</v>
      </c>
      <c r="I135" s="57">
        <v>3</v>
      </c>
      <c r="J135" s="57"/>
      <c r="K135" s="57"/>
      <c r="L135" s="57"/>
      <c r="M135" s="57"/>
      <c r="Q135">
        <f t="shared" si="7"/>
        <v>0</v>
      </c>
      <c r="R135">
        <f t="shared" si="8"/>
        <v>0</v>
      </c>
      <c r="S135">
        <f t="shared" si="9"/>
        <v>2</v>
      </c>
      <c r="T135">
        <f t="shared" si="10"/>
        <v>7</v>
      </c>
      <c r="U135">
        <f t="shared" si="11"/>
        <v>2</v>
      </c>
      <c r="V135">
        <f t="shared" si="12"/>
        <v>3</v>
      </c>
      <c r="Y135" t="str">
        <f t="shared" si="13"/>
        <v>Chad</v>
      </c>
      <c r="Z135" s="104" t="str">
        <f t="shared" si="14"/>
        <v/>
      </c>
      <c r="AA135" s="104">
        <f t="shared" si="15"/>
        <v>0.77777777777777779</v>
      </c>
      <c r="AB135" s="104">
        <f t="shared" si="16"/>
        <v>0.6</v>
      </c>
    </row>
    <row r="136" spans="1:28" x14ac:dyDescent="0.25">
      <c r="A136" s="55" t="s">
        <v>2956</v>
      </c>
      <c r="B136" s="57">
        <v>1</v>
      </c>
      <c r="C136" s="57">
        <v>1</v>
      </c>
      <c r="D136" s="57"/>
      <c r="E136" s="57"/>
      <c r="F136" s="57">
        <v>5</v>
      </c>
      <c r="G136" s="57"/>
      <c r="H136" s="57"/>
      <c r="I136" s="57">
        <v>1</v>
      </c>
      <c r="J136" s="57"/>
      <c r="K136" s="57"/>
      <c r="L136" s="57"/>
      <c r="M136" s="57"/>
      <c r="Q136">
        <f t="shared" si="7"/>
        <v>1</v>
      </c>
      <c r="R136">
        <f t="shared" si="8"/>
        <v>1</v>
      </c>
      <c r="S136">
        <f t="shared" si="9"/>
        <v>0</v>
      </c>
      <c r="T136">
        <f t="shared" si="10"/>
        <v>5</v>
      </c>
      <c r="U136">
        <f t="shared" si="11"/>
        <v>0</v>
      </c>
      <c r="V136">
        <f t="shared" si="12"/>
        <v>1</v>
      </c>
      <c r="Y136" t="str">
        <f t="shared" si="13"/>
        <v>Cote d'Ivoire</v>
      </c>
      <c r="Z136" s="104">
        <f t="shared" si="14"/>
        <v>0.5</v>
      </c>
      <c r="AA136" s="104">
        <f t="shared" si="15"/>
        <v>1</v>
      </c>
      <c r="AB136" s="104">
        <f t="shared" si="16"/>
        <v>1</v>
      </c>
    </row>
    <row r="137" spans="1:28" x14ac:dyDescent="0.25">
      <c r="A137" s="55" t="s">
        <v>4471</v>
      </c>
      <c r="B137" s="57"/>
      <c r="C137" s="57"/>
      <c r="D137" s="57"/>
      <c r="E137" s="57">
        <v>1</v>
      </c>
      <c r="F137" s="57">
        <v>10</v>
      </c>
      <c r="G137" s="57"/>
      <c r="H137" s="57"/>
      <c r="I137" s="57">
        <v>1</v>
      </c>
      <c r="J137" s="57"/>
      <c r="K137" s="57"/>
      <c r="L137" s="57"/>
      <c r="M137" s="57"/>
      <c r="Q137">
        <f t="shared" si="7"/>
        <v>0</v>
      </c>
      <c r="R137">
        <f t="shared" si="8"/>
        <v>0</v>
      </c>
      <c r="S137">
        <f t="shared" si="9"/>
        <v>1</v>
      </c>
      <c r="T137">
        <f t="shared" si="10"/>
        <v>10</v>
      </c>
      <c r="U137">
        <f t="shared" si="11"/>
        <v>0</v>
      </c>
      <c r="V137">
        <f t="shared" si="12"/>
        <v>1</v>
      </c>
      <c r="Y137" t="str">
        <f t="shared" si="13"/>
        <v>Ghana</v>
      </c>
      <c r="Z137" s="104" t="str">
        <f t="shared" si="14"/>
        <v/>
      </c>
      <c r="AA137" s="104">
        <f t="shared" si="15"/>
        <v>0.90909090909090906</v>
      </c>
      <c r="AB137" s="104">
        <f t="shared" si="16"/>
        <v>1</v>
      </c>
    </row>
    <row r="138" spans="1:28" x14ac:dyDescent="0.25">
      <c r="A138" s="55" t="s">
        <v>7179</v>
      </c>
      <c r="B138" s="57"/>
      <c r="C138" s="57"/>
      <c r="D138" s="57"/>
      <c r="E138" s="57"/>
      <c r="F138" s="57">
        <v>1</v>
      </c>
      <c r="G138" s="57"/>
      <c r="H138" s="57"/>
      <c r="I138" s="57"/>
      <c r="J138" s="57"/>
      <c r="K138" s="57"/>
      <c r="L138" s="57"/>
      <c r="M138" s="57"/>
      <c r="Q138">
        <f t="shared" si="7"/>
        <v>0</v>
      </c>
      <c r="R138">
        <f t="shared" si="8"/>
        <v>0</v>
      </c>
      <c r="S138">
        <f t="shared" si="9"/>
        <v>0</v>
      </c>
      <c r="T138">
        <f t="shared" si="10"/>
        <v>1</v>
      </c>
      <c r="U138">
        <f t="shared" si="11"/>
        <v>0</v>
      </c>
      <c r="V138">
        <f t="shared" si="12"/>
        <v>0</v>
      </c>
      <c r="Y138" t="str">
        <f t="shared" si="13"/>
        <v>Liberia</v>
      </c>
      <c r="Z138" s="104" t="str">
        <f t="shared" si="14"/>
        <v/>
      </c>
      <c r="AA138" s="104">
        <f t="shared" si="15"/>
        <v>1</v>
      </c>
      <c r="AB138" s="104" t="str">
        <f t="shared" si="16"/>
        <v/>
      </c>
    </row>
    <row r="139" spans="1:28" x14ac:dyDescent="0.25">
      <c r="A139" s="55" t="s">
        <v>7835</v>
      </c>
      <c r="B139" s="57">
        <v>1</v>
      </c>
      <c r="C139" s="57"/>
      <c r="D139" s="57"/>
      <c r="E139" s="57">
        <v>1</v>
      </c>
      <c r="F139" s="57">
        <v>12</v>
      </c>
      <c r="G139" s="57"/>
      <c r="H139" s="57"/>
      <c r="I139" s="57">
        <v>1</v>
      </c>
      <c r="J139" s="57"/>
      <c r="K139" s="57"/>
      <c r="L139" s="57"/>
      <c r="M139" s="57"/>
      <c r="Q139">
        <f t="shared" si="7"/>
        <v>1</v>
      </c>
      <c r="R139">
        <f t="shared" si="8"/>
        <v>0</v>
      </c>
      <c r="S139">
        <f t="shared" si="9"/>
        <v>1</v>
      </c>
      <c r="T139">
        <f t="shared" si="10"/>
        <v>12</v>
      </c>
      <c r="U139">
        <f t="shared" si="11"/>
        <v>0</v>
      </c>
      <c r="V139">
        <f t="shared" si="12"/>
        <v>1</v>
      </c>
      <c r="Y139" t="str">
        <f t="shared" si="13"/>
        <v>Mali</v>
      </c>
      <c r="Z139" s="104">
        <f t="shared" si="14"/>
        <v>0</v>
      </c>
      <c r="AA139" s="104">
        <f t="shared" si="15"/>
        <v>0.92307692307692313</v>
      </c>
      <c r="AB139" s="104">
        <f t="shared" si="16"/>
        <v>1</v>
      </c>
    </row>
    <row r="140" spans="1:28" x14ac:dyDescent="0.25">
      <c r="A140" s="55" t="s">
        <v>9043</v>
      </c>
      <c r="B140" s="57"/>
      <c r="C140" s="57"/>
      <c r="D140" s="57"/>
      <c r="E140" s="57">
        <v>4</v>
      </c>
      <c r="F140" s="57">
        <v>16</v>
      </c>
      <c r="G140" s="57"/>
      <c r="H140" s="57"/>
      <c r="I140" s="57">
        <v>5</v>
      </c>
      <c r="J140" s="57"/>
      <c r="K140" s="57"/>
      <c r="L140" s="57"/>
      <c r="M140" s="57"/>
      <c r="Q140">
        <f t="shared" si="7"/>
        <v>0</v>
      </c>
      <c r="R140">
        <f t="shared" si="8"/>
        <v>0</v>
      </c>
      <c r="S140">
        <f t="shared" si="9"/>
        <v>4</v>
      </c>
      <c r="T140">
        <f t="shared" si="10"/>
        <v>16</v>
      </c>
      <c r="U140">
        <f t="shared" si="11"/>
        <v>0</v>
      </c>
      <c r="V140">
        <f t="shared" si="12"/>
        <v>5</v>
      </c>
      <c r="Y140" t="str">
        <f t="shared" si="13"/>
        <v>Niger</v>
      </c>
      <c r="Z140" s="104" t="str">
        <f t="shared" si="14"/>
        <v/>
      </c>
      <c r="AA140" s="104">
        <f t="shared" si="15"/>
        <v>0.8</v>
      </c>
      <c r="AB140" s="104">
        <f t="shared" si="16"/>
        <v>1</v>
      </c>
    </row>
    <row r="141" spans="1:28" x14ac:dyDescent="0.25">
      <c r="A141" s="55" t="s">
        <v>10594</v>
      </c>
      <c r="B141" s="57"/>
      <c r="C141" s="57"/>
      <c r="D141" s="57"/>
      <c r="E141" s="57"/>
      <c r="F141" s="57">
        <v>4</v>
      </c>
      <c r="G141" s="57"/>
      <c r="H141" s="57"/>
      <c r="I141" s="57">
        <v>1</v>
      </c>
      <c r="J141" s="57"/>
      <c r="K141" s="57"/>
      <c r="L141" s="57"/>
      <c r="M141" s="57"/>
      <c r="Q141">
        <f t="shared" si="7"/>
        <v>0</v>
      </c>
      <c r="R141">
        <f t="shared" si="8"/>
        <v>0</v>
      </c>
      <c r="S141">
        <f t="shared" si="9"/>
        <v>0</v>
      </c>
      <c r="T141">
        <f t="shared" si="10"/>
        <v>4</v>
      </c>
      <c r="U141">
        <f t="shared" si="11"/>
        <v>0</v>
      </c>
      <c r="V141">
        <f t="shared" si="12"/>
        <v>1</v>
      </c>
      <c r="Y141" t="str">
        <f t="shared" si="13"/>
        <v>Sierra Leone</v>
      </c>
      <c r="Z141" s="104" t="str">
        <f t="shared" si="14"/>
        <v/>
      </c>
      <c r="AA141" s="104">
        <f t="shared" si="15"/>
        <v>1</v>
      </c>
      <c r="AB141" s="104">
        <f t="shared" si="16"/>
        <v>1</v>
      </c>
    </row>
    <row r="142" spans="1:28" x14ac:dyDescent="0.25">
      <c r="A142" s="50" t="s">
        <v>14278</v>
      </c>
      <c r="B142" s="57">
        <v>3</v>
      </c>
      <c r="C142" s="57">
        <v>3</v>
      </c>
      <c r="D142" s="57"/>
      <c r="E142" s="57">
        <v>10</v>
      </c>
      <c r="F142" s="57">
        <v>60</v>
      </c>
      <c r="G142" s="57"/>
      <c r="H142" s="57">
        <v>2</v>
      </c>
      <c r="I142" s="57">
        <v>16</v>
      </c>
      <c r="J142" s="57"/>
      <c r="K142" s="57"/>
      <c r="L142" s="57"/>
      <c r="M142" s="57"/>
      <c r="Q142">
        <f t="shared" si="7"/>
        <v>3</v>
      </c>
      <c r="R142">
        <f t="shared" si="8"/>
        <v>3</v>
      </c>
      <c r="S142">
        <f t="shared" si="9"/>
        <v>10</v>
      </c>
      <c r="T142">
        <f t="shared" si="10"/>
        <v>60</v>
      </c>
      <c r="U142">
        <f t="shared" si="11"/>
        <v>2</v>
      </c>
      <c r="V142">
        <f t="shared" si="12"/>
        <v>16</v>
      </c>
      <c r="Y142" t="str">
        <f t="shared" si="13"/>
        <v>Africa - Western Total</v>
      </c>
      <c r="Z142" s="104">
        <f t="shared" si="14"/>
        <v>0.5</v>
      </c>
      <c r="AA142" s="104">
        <f t="shared" si="15"/>
        <v>0.8571428571428571</v>
      </c>
      <c r="AB142" s="104">
        <f t="shared" si="16"/>
        <v>0.88888888888888884</v>
      </c>
    </row>
    <row r="143" spans="1:28" x14ac:dyDescent="0.25">
      <c r="A143" s="50" t="s">
        <v>306</v>
      </c>
      <c r="B143" s="57"/>
      <c r="C143" s="57"/>
      <c r="D143" s="57"/>
      <c r="E143" s="57"/>
      <c r="F143" s="57"/>
      <c r="G143" s="57"/>
      <c r="H143" s="57"/>
      <c r="I143" s="57"/>
      <c r="J143" s="57"/>
      <c r="K143" s="57"/>
      <c r="L143" s="57"/>
      <c r="M143" s="57"/>
      <c r="Q143">
        <f t="shared" si="7"/>
        <v>0</v>
      </c>
      <c r="R143">
        <f t="shared" si="8"/>
        <v>0</v>
      </c>
      <c r="S143">
        <f t="shared" si="9"/>
        <v>0</v>
      </c>
      <c r="T143">
        <f t="shared" si="10"/>
        <v>0</v>
      </c>
      <c r="U143">
        <f t="shared" si="11"/>
        <v>0</v>
      </c>
      <c r="V143">
        <f t="shared" si="12"/>
        <v>0</v>
      </c>
      <c r="Y143" t="str">
        <f t="shared" si="13"/>
        <v>Asia and the Pacific</v>
      </c>
      <c r="Z143" s="104" t="str">
        <f t="shared" si="14"/>
        <v/>
      </c>
      <c r="AA143" s="104" t="str">
        <f t="shared" si="15"/>
        <v/>
      </c>
      <c r="AB143" s="104" t="str">
        <f t="shared" si="16"/>
        <v/>
      </c>
    </row>
    <row r="144" spans="1:28" x14ac:dyDescent="0.25">
      <c r="A144" s="55" t="s">
        <v>305</v>
      </c>
      <c r="B144" s="57"/>
      <c r="C144" s="57"/>
      <c r="D144" s="57"/>
      <c r="E144" s="57">
        <v>3</v>
      </c>
      <c r="F144" s="57">
        <v>6</v>
      </c>
      <c r="G144" s="57"/>
      <c r="H144" s="57"/>
      <c r="I144" s="57"/>
      <c r="J144" s="57"/>
      <c r="K144" s="57"/>
      <c r="L144" s="57"/>
      <c r="M144" s="57"/>
      <c r="Q144">
        <f t="shared" ref="Q144:Q175" si="17">B144</f>
        <v>0</v>
      </c>
      <c r="R144">
        <f t="shared" ref="R144:R175" si="18">C144</f>
        <v>0</v>
      </c>
      <c r="S144">
        <f t="shared" ref="S144:S175" si="19">E144</f>
        <v>3</v>
      </c>
      <c r="T144">
        <f t="shared" ref="T144:T175" si="20">F144</f>
        <v>6</v>
      </c>
      <c r="U144">
        <f t="shared" ref="U144:U175" si="21">H144</f>
        <v>0</v>
      </c>
      <c r="V144">
        <f t="shared" ref="V144:V175" si="22">I144</f>
        <v>0</v>
      </c>
      <c r="Y144" t="str">
        <f t="shared" ref="Y144:Y175" si="23">A144</f>
        <v>Afghanistan</v>
      </c>
      <c r="Z144" s="104" t="str">
        <f t="shared" si="14"/>
        <v/>
      </c>
      <c r="AA144" s="104">
        <f t="shared" si="15"/>
        <v>0.66666666666666663</v>
      </c>
      <c r="AB144" s="104" t="str">
        <f t="shared" si="16"/>
        <v/>
      </c>
    </row>
    <row r="145" spans="1:28" x14ac:dyDescent="0.25">
      <c r="A145" s="55" t="s">
        <v>652</v>
      </c>
      <c r="B145" s="57"/>
      <c r="C145" s="57"/>
      <c r="D145" s="57"/>
      <c r="E145" s="57">
        <v>1</v>
      </c>
      <c r="F145" s="57">
        <v>20</v>
      </c>
      <c r="G145" s="57"/>
      <c r="H145" s="57"/>
      <c r="I145" s="57">
        <v>10</v>
      </c>
      <c r="J145" s="57"/>
      <c r="K145" s="57"/>
      <c r="L145" s="57"/>
      <c r="M145" s="57"/>
      <c r="Q145">
        <f t="shared" si="17"/>
        <v>0</v>
      </c>
      <c r="R145">
        <f t="shared" si="18"/>
        <v>0</v>
      </c>
      <c r="S145">
        <f t="shared" si="19"/>
        <v>1</v>
      </c>
      <c r="T145">
        <f t="shared" si="20"/>
        <v>20</v>
      </c>
      <c r="U145">
        <f t="shared" si="21"/>
        <v>0</v>
      </c>
      <c r="V145">
        <f t="shared" si="22"/>
        <v>10</v>
      </c>
      <c r="Y145" t="str">
        <f t="shared" si="23"/>
        <v>Bangladesh</v>
      </c>
      <c r="Z145" s="104" t="str">
        <f t="shared" si="14"/>
        <v/>
      </c>
      <c r="AA145" s="104">
        <f t="shared" si="15"/>
        <v>0.95238095238095233</v>
      </c>
      <c r="AB145" s="104">
        <f t="shared" si="16"/>
        <v>1</v>
      </c>
    </row>
    <row r="146" spans="1:28" x14ac:dyDescent="0.25">
      <c r="A146" s="55" t="s">
        <v>2092</v>
      </c>
      <c r="B146" s="57"/>
      <c r="C146" s="57">
        <v>3</v>
      </c>
      <c r="D146" s="57"/>
      <c r="E146" s="57">
        <v>1</v>
      </c>
      <c r="F146" s="57">
        <v>11</v>
      </c>
      <c r="G146" s="57"/>
      <c r="H146" s="57">
        <v>1</v>
      </c>
      <c r="I146" s="57">
        <v>1</v>
      </c>
      <c r="J146" s="57"/>
      <c r="K146" s="57"/>
      <c r="L146" s="57"/>
      <c r="M146" s="57"/>
      <c r="Q146">
        <f t="shared" si="17"/>
        <v>0</v>
      </c>
      <c r="R146">
        <f t="shared" si="18"/>
        <v>3</v>
      </c>
      <c r="S146">
        <f t="shared" si="19"/>
        <v>1</v>
      </c>
      <c r="T146">
        <f t="shared" si="20"/>
        <v>11</v>
      </c>
      <c r="U146">
        <f t="shared" si="21"/>
        <v>1</v>
      </c>
      <c r="V146">
        <f t="shared" si="22"/>
        <v>1</v>
      </c>
      <c r="Y146" t="str">
        <f t="shared" si="23"/>
        <v>Cambodia</v>
      </c>
      <c r="Z146" s="104">
        <f t="shared" si="14"/>
        <v>1</v>
      </c>
      <c r="AA146" s="104">
        <f t="shared" si="15"/>
        <v>0.91666666666666663</v>
      </c>
      <c r="AB146" s="104">
        <f t="shared" si="16"/>
        <v>0.5</v>
      </c>
    </row>
    <row r="147" spans="1:28" x14ac:dyDescent="0.25">
      <c r="A147" s="55" t="s">
        <v>4268</v>
      </c>
      <c r="B147" s="57"/>
      <c r="C147" s="57"/>
      <c r="D147" s="57"/>
      <c r="E147" s="57"/>
      <c r="F147" s="57">
        <v>1</v>
      </c>
      <c r="G147" s="57"/>
      <c r="H147" s="57"/>
      <c r="I147" s="57"/>
      <c r="J147" s="57"/>
      <c r="K147" s="57"/>
      <c r="L147" s="57"/>
      <c r="M147" s="57"/>
      <c r="Q147">
        <f t="shared" si="17"/>
        <v>0</v>
      </c>
      <c r="R147">
        <f t="shared" si="18"/>
        <v>0</v>
      </c>
      <c r="S147">
        <f t="shared" si="19"/>
        <v>0</v>
      </c>
      <c r="T147">
        <f t="shared" si="20"/>
        <v>1</v>
      </c>
      <c r="U147">
        <f t="shared" si="21"/>
        <v>0</v>
      </c>
      <c r="V147">
        <f t="shared" si="22"/>
        <v>0</v>
      </c>
      <c r="Y147" t="str">
        <f t="shared" si="23"/>
        <v>Fiji</v>
      </c>
      <c r="Z147" s="104" t="str">
        <f t="shared" si="14"/>
        <v/>
      </c>
      <c r="AA147" s="104">
        <f t="shared" si="15"/>
        <v>1</v>
      </c>
      <c r="AB147" s="104" t="str">
        <f t="shared" si="16"/>
        <v/>
      </c>
    </row>
    <row r="148" spans="1:28" x14ac:dyDescent="0.25">
      <c r="A148" s="55" t="s">
        <v>5300</v>
      </c>
      <c r="B148" s="57"/>
      <c r="C148" s="57"/>
      <c r="D148" s="57"/>
      <c r="E148" s="57">
        <v>1</v>
      </c>
      <c r="F148" s="57">
        <v>16</v>
      </c>
      <c r="G148" s="57"/>
      <c r="H148" s="57">
        <v>10</v>
      </c>
      <c r="I148" s="57">
        <v>6</v>
      </c>
      <c r="J148" s="57"/>
      <c r="K148" s="57"/>
      <c r="L148" s="57"/>
      <c r="M148" s="57"/>
      <c r="Q148">
        <f t="shared" si="17"/>
        <v>0</v>
      </c>
      <c r="R148">
        <f t="shared" si="18"/>
        <v>0</v>
      </c>
      <c r="S148">
        <f t="shared" si="19"/>
        <v>1</v>
      </c>
      <c r="T148">
        <f t="shared" si="20"/>
        <v>16</v>
      </c>
      <c r="U148">
        <f t="shared" si="21"/>
        <v>10</v>
      </c>
      <c r="V148">
        <f t="shared" si="22"/>
        <v>6</v>
      </c>
      <c r="Y148" t="str">
        <f t="shared" si="23"/>
        <v>India</v>
      </c>
      <c r="Z148" s="104" t="str">
        <f t="shared" si="14"/>
        <v/>
      </c>
      <c r="AA148" s="104">
        <f t="shared" si="15"/>
        <v>0.94117647058823528</v>
      </c>
      <c r="AB148" s="104">
        <f t="shared" si="16"/>
        <v>0.375</v>
      </c>
    </row>
    <row r="149" spans="1:28" x14ac:dyDescent="0.25">
      <c r="A149" s="55" t="s">
        <v>5932</v>
      </c>
      <c r="B149" s="57"/>
      <c r="C149" s="57"/>
      <c r="D149" s="57"/>
      <c r="E149" s="57">
        <v>1</v>
      </c>
      <c r="F149" s="57">
        <v>6</v>
      </c>
      <c r="G149" s="57"/>
      <c r="H149" s="57"/>
      <c r="I149" s="57">
        <v>1</v>
      </c>
      <c r="J149" s="57"/>
      <c r="K149" s="57"/>
      <c r="L149" s="57"/>
      <c r="M149" s="57"/>
      <c r="Q149">
        <f t="shared" si="17"/>
        <v>0</v>
      </c>
      <c r="R149">
        <f t="shared" si="18"/>
        <v>0</v>
      </c>
      <c r="S149">
        <f t="shared" si="19"/>
        <v>1</v>
      </c>
      <c r="T149">
        <f t="shared" si="20"/>
        <v>6</v>
      </c>
      <c r="U149">
        <f t="shared" si="21"/>
        <v>0</v>
      </c>
      <c r="V149">
        <f t="shared" si="22"/>
        <v>1</v>
      </c>
      <c r="Y149" t="str">
        <f t="shared" si="23"/>
        <v>Indonesia</v>
      </c>
      <c r="Z149" s="104" t="str">
        <f t="shared" si="14"/>
        <v/>
      </c>
      <c r="AA149" s="104">
        <f t="shared" si="15"/>
        <v>0.8571428571428571</v>
      </c>
      <c r="AB149" s="104">
        <f t="shared" si="16"/>
        <v>1</v>
      </c>
    </row>
    <row r="150" spans="1:28" x14ac:dyDescent="0.25">
      <c r="A150" s="55" t="s">
        <v>6850</v>
      </c>
      <c r="B150" s="57">
        <v>5</v>
      </c>
      <c r="C150" s="57">
        <v>4</v>
      </c>
      <c r="D150" s="57"/>
      <c r="E150" s="57"/>
      <c r="F150" s="57">
        <v>3</v>
      </c>
      <c r="G150" s="57"/>
      <c r="H150" s="57"/>
      <c r="I150" s="57">
        <v>2</v>
      </c>
      <c r="J150" s="57"/>
      <c r="K150" s="57"/>
      <c r="L150" s="57"/>
      <c r="M150" s="57"/>
      <c r="Q150">
        <f t="shared" si="17"/>
        <v>5</v>
      </c>
      <c r="R150">
        <f t="shared" si="18"/>
        <v>4</v>
      </c>
      <c r="S150">
        <f t="shared" si="19"/>
        <v>0</v>
      </c>
      <c r="T150">
        <f t="shared" si="20"/>
        <v>3</v>
      </c>
      <c r="U150">
        <f t="shared" si="21"/>
        <v>0</v>
      </c>
      <c r="V150">
        <f t="shared" si="22"/>
        <v>2</v>
      </c>
      <c r="Y150" t="str">
        <f t="shared" si="23"/>
        <v>Laos</v>
      </c>
      <c r="Z150" s="104">
        <f t="shared" si="14"/>
        <v>0.44444444444444442</v>
      </c>
      <c r="AA150" s="104">
        <f t="shared" si="15"/>
        <v>1</v>
      </c>
      <c r="AB150" s="104">
        <f t="shared" si="16"/>
        <v>1</v>
      </c>
    </row>
    <row r="151" spans="1:28" x14ac:dyDescent="0.25">
      <c r="A151" s="55" t="s">
        <v>8444</v>
      </c>
      <c r="B151" s="57">
        <v>2</v>
      </c>
      <c r="C151" s="57">
        <v>5</v>
      </c>
      <c r="D151" s="57"/>
      <c r="E151" s="57">
        <v>3</v>
      </c>
      <c r="F151" s="57">
        <v>3</v>
      </c>
      <c r="G151" s="57"/>
      <c r="H151" s="57">
        <v>1</v>
      </c>
      <c r="I151" s="57">
        <v>2</v>
      </c>
      <c r="J151" s="57"/>
      <c r="K151" s="57"/>
      <c r="L151" s="57"/>
      <c r="M151" s="57"/>
      <c r="Q151">
        <f t="shared" si="17"/>
        <v>2</v>
      </c>
      <c r="R151">
        <f t="shared" si="18"/>
        <v>5</v>
      </c>
      <c r="S151">
        <f t="shared" si="19"/>
        <v>3</v>
      </c>
      <c r="T151">
        <f t="shared" si="20"/>
        <v>3</v>
      </c>
      <c r="U151">
        <f t="shared" si="21"/>
        <v>1</v>
      </c>
      <c r="V151">
        <f t="shared" si="22"/>
        <v>2</v>
      </c>
      <c r="Y151" t="str">
        <f t="shared" si="23"/>
        <v>Myanmar</v>
      </c>
      <c r="Z151" s="104">
        <f t="shared" si="14"/>
        <v>0.7142857142857143</v>
      </c>
      <c r="AA151" s="104">
        <f t="shared" si="15"/>
        <v>0.5</v>
      </c>
      <c r="AB151" s="104">
        <f t="shared" si="16"/>
        <v>0.66666666666666663</v>
      </c>
    </row>
    <row r="152" spans="1:28" x14ac:dyDescent="0.25">
      <c r="A152" s="55" t="s">
        <v>8647</v>
      </c>
      <c r="B152" s="57">
        <v>2</v>
      </c>
      <c r="C152" s="57">
        <v>1</v>
      </c>
      <c r="D152" s="57"/>
      <c r="E152" s="57">
        <v>1</v>
      </c>
      <c r="F152" s="57">
        <v>10</v>
      </c>
      <c r="G152" s="57"/>
      <c r="H152" s="57"/>
      <c r="I152" s="57">
        <v>9</v>
      </c>
      <c r="J152" s="57"/>
      <c r="K152" s="57"/>
      <c r="L152" s="57"/>
      <c r="M152" s="57"/>
      <c r="Q152">
        <f t="shared" si="17"/>
        <v>2</v>
      </c>
      <c r="R152">
        <f t="shared" si="18"/>
        <v>1</v>
      </c>
      <c r="S152">
        <f t="shared" si="19"/>
        <v>1</v>
      </c>
      <c r="T152">
        <f t="shared" si="20"/>
        <v>10</v>
      </c>
      <c r="U152">
        <f t="shared" si="21"/>
        <v>0</v>
      </c>
      <c r="V152">
        <f t="shared" si="22"/>
        <v>9</v>
      </c>
      <c r="Y152" t="str">
        <f t="shared" si="23"/>
        <v>Nepal</v>
      </c>
      <c r="Z152" s="104">
        <f t="shared" si="14"/>
        <v>0.33333333333333331</v>
      </c>
      <c r="AA152" s="104">
        <f t="shared" si="15"/>
        <v>0.90909090909090906</v>
      </c>
      <c r="AB152" s="104">
        <f t="shared" si="16"/>
        <v>1</v>
      </c>
    </row>
    <row r="153" spans="1:28" x14ac:dyDescent="0.25">
      <c r="A153" s="55" t="s">
        <v>9427</v>
      </c>
      <c r="B153" s="57"/>
      <c r="C153" s="57"/>
      <c r="D153" s="57"/>
      <c r="E153" s="57"/>
      <c r="F153" s="57">
        <v>2</v>
      </c>
      <c r="G153" s="57"/>
      <c r="H153" s="57"/>
      <c r="I153" s="57">
        <v>1</v>
      </c>
      <c r="J153" s="57"/>
      <c r="K153" s="57">
        <v>1</v>
      </c>
      <c r="L153" s="57"/>
      <c r="M153" s="57"/>
      <c r="Q153">
        <f t="shared" si="17"/>
        <v>0</v>
      </c>
      <c r="R153">
        <f t="shared" si="18"/>
        <v>0</v>
      </c>
      <c r="S153">
        <f t="shared" si="19"/>
        <v>0</v>
      </c>
      <c r="T153">
        <f t="shared" si="20"/>
        <v>2</v>
      </c>
      <c r="U153">
        <f t="shared" si="21"/>
        <v>0</v>
      </c>
      <c r="V153">
        <f t="shared" si="22"/>
        <v>1</v>
      </c>
      <c r="Y153" t="str">
        <f t="shared" si="23"/>
        <v>Pakistan</v>
      </c>
      <c r="Z153" s="104" t="str">
        <f t="shared" si="14"/>
        <v/>
      </c>
      <c r="AA153" s="104">
        <f t="shared" si="15"/>
        <v>1</v>
      </c>
      <c r="AB153" s="104">
        <f t="shared" si="16"/>
        <v>1</v>
      </c>
    </row>
    <row r="154" spans="1:28" x14ac:dyDescent="0.25">
      <c r="A154" s="55" t="s">
        <v>9516</v>
      </c>
      <c r="B154" s="57"/>
      <c r="C154" s="57">
        <v>3</v>
      </c>
      <c r="D154" s="57"/>
      <c r="E154" s="57">
        <v>1</v>
      </c>
      <c r="F154" s="57">
        <v>4</v>
      </c>
      <c r="G154" s="57"/>
      <c r="H154" s="57">
        <v>2</v>
      </c>
      <c r="I154" s="57">
        <v>1</v>
      </c>
      <c r="J154" s="57"/>
      <c r="K154" s="57"/>
      <c r="L154" s="57"/>
      <c r="M154" s="57"/>
      <c r="Q154">
        <f t="shared" si="17"/>
        <v>0</v>
      </c>
      <c r="R154">
        <f t="shared" si="18"/>
        <v>3</v>
      </c>
      <c r="S154">
        <f t="shared" si="19"/>
        <v>1</v>
      </c>
      <c r="T154">
        <f t="shared" si="20"/>
        <v>4</v>
      </c>
      <c r="U154">
        <f t="shared" si="21"/>
        <v>2</v>
      </c>
      <c r="V154">
        <f t="shared" si="22"/>
        <v>1</v>
      </c>
      <c r="Y154" t="str">
        <f t="shared" si="23"/>
        <v>Papua New Guinea</v>
      </c>
      <c r="Z154" s="104">
        <f t="shared" si="14"/>
        <v>1</v>
      </c>
      <c r="AA154" s="104">
        <f t="shared" si="15"/>
        <v>0.8</v>
      </c>
      <c r="AB154" s="104">
        <f t="shared" si="16"/>
        <v>0.33333333333333331</v>
      </c>
    </row>
    <row r="155" spans="1:28" x14ac:dyDescent="0.25">
      <c r="A155" s="55" t="s">
        <v>10263</v>
      </c>
      <c r="B155" s="57"/>
      <c r="C155" s="57"/>
      <c r="D155" s="57"/>
      <c r="E155" s="57"/>
      <c r="F155" s="57">
        <v>1</v>
      </c>
      <c r="G155" s="57"/>
      <c r="H155" s="57"/>
      <c r="I155" s="57">
        <v>4</v>
      </c>
      <c r="J155" s="57"/>
      <c r="K155" s="57"/>
      <c r="L155" s="57"/>
      <c r="M155" s="57"/>
      <c r="Q155">
        <f t="shared" si="17"/>
        <v>0</v>
      </c>
      <c r="R155">
        <f t="shared" si="18"/>
        <v>0</v>
      </c>
      <c r="S155">
        <f t="shared" si="19"/>
        <v>0</v>
      </c>
      <c r="T155">
        <f t="shared" si="20"/>
        <v>1</v>
      </c>
      <c r="U155">
        <f t="shared" si="21"/>
        <v>0</v>
      </c>
      <c r="V155">
        <f t="shared" si="22"/>
        <v>4</v>
      </c>
      <c r="Y155" t="str">
        <f t="shared" si="23"/>
        <v>Philippines</v>
      </c>
      <c r="Z155" s="104" t="str">
        <f t="shared" si="14"/>
        <v/>
      </c>
      <c r="AA155" s="104">
        <f t="shared" si="15"/>
        <v>1</v>
      </c>
      <c r="AB155" s="104">
        <f t="shared" si="16"/>
        <v>1</v>
      </c>
    </row>
    <row r="156" spans="1:28" x14ac:dyDescent="0.25">
      <c r="A156" s="55" t="s">
        <v>11304</v>
      </c>
      <c r="B156" s="57"/>
      <c r="C156" s="57">
        <v>1</v>
      </c>
      <c r="D156" s="57"/>
      <c r="E156" s="57"/>
      <c r="F156" s="57">
        <v>5</v>
      </c>
      <c r="G156" s="57"/>
      <c r="H156" s="57"/>
      <c r="I156" s="57"/>
      <c r="J156" s="57"/>
      <c r="K156" s="57"/>
      <c r="L156" s="57"/>
      <c r="M156" s="57"/>
      <c r="Q156">
        <f t="shared" si="17"/>
        <v>0</v>
      </c>
      <c r="R156">
        <f t="shared" si="18"/>
        <v>1</v>
      </c>
      <c r="S156">
        <f t="shared" si="19"/>
        <v>0</v>
      </c>
      <c r="T156">
        <f t="shared" si="20"/>
        <v>5</v>
      </c>
      <c r="U156">
        <f t="shared" si="21"/>
        <v>0</v>
      </c>
      <c r="V156">
        <f t="shared" si="22"/>
        <v>0</v>
      </c>
      <c r="Y156" t="str">
        <f t="shared" si="23"/>
        <v>Sri Lanka</v>
      </c>
      <c r="Z156" s="104">
        <f t="shared" si="14"/>
        <v>1</v>
      </c>
      <c r="AA156" s="104">
        <f t="shared" si="15"/>
        <v>1</v>
      </c>
      <c r="AB156" s="104" t="str">
        <f t="shared" si="16"/>
        <v/>
      </c>
    </row>
    <row r="157" spans="1:28" x14ac:dyDescent="0.25">
      <c r="A157" s="55" t="s">
        <v>12294</v>
      </c>
      <c r="B157" s="57"/>
      <c r="C157" s="57">
        <v>1</v>
      </c>
      <c r="D157" s="57"/>
      <c r="E157" s="57">
        <v>2</v>
      </c>
      <c r="F157" s="57">
        <v>16</v>
      </c>
      <c r="G157" s="57"/>
      <c r="H157" s="57"/>
      <c r="I157" s="57">
        <v>3</v>
      </c>
      <c r="J157" s="57"/>
      <c r="K157" s="57"/>
      <c r="L157" s="57"/>
      <c r="M157" s="57"/>
      <c r="Q157">
        <f t="shared" si="17"/>
        <v>0</v>
      </c>
      <c r="R157">
        <f t="shared" si="18"/>
        <v>1</v>
      </c>
      <c r="S157">
        <f t="shared" si="19"/>
        <v>2</v>
      </c>
      <c r="T157">
        <f t="shared" si="20"/>
        <v>16</v>
      </c>
      <c r="U157">
        <f t="shared" si="21"/>
        <v>0</v>
      </c>
      <c r="V157">
        <f t="shared" si="22"/>
        <v>3</v>
      </c>
      <c r="Y157" t="str">
        <f t="shared" si="23"/>
        <v>Thailand</v>
      </c>
      <c r="Z157" s="104">
        <f t="shared" si="14"/>
        <v>1</v>
      </c>
      <c r="AA157" s="104">
        <f t="shared" si="15"/>
        <v>0.88888888888888884</v>
      </c>
      <c r="AB157" s="104">
        <f t="shared" si="16"/>
        <v>1</v>
      </c>
    </row>
    <row r="158" spans="1:28" x14ac:dyDescent="0.25">
      <c r="A158" s="55" t="s">
        <v>12547</v>
      </c>
      <c r="B158" s="57"/>
      <c r="C158" s="57"/>
      <c r="D158" s="57"/>
      <c r="E158" s="57">
        <v>2</v>
      </c>
      <c r="F158" s="57">
        <v>4</v>
      </c>
      <c r="G158" s="57"/>
      <c r="H158" s="57"/>
      <c r="I158" s="57"/>
      <c r="J158" s="57"/>
      <c r="K158" s="57"/>
      <c r="L158" s="57"/>
      <c r="M158" s="57"/>
      <c r="Q158">
        <f t="shared" si="17"/>
        <v>0</v>
      </c>
      <c r="R158">
        <f t="shared" si="18"/>
        <v>0</v>
      </c>
      <c r="S158">
        <f t="shared" si="19"/>
        <v>2</v>
      </c>
      <c r="T158">
        <f t="shared" si="20"/>
        <v>4</v>
      </c>
      <c r="U158">
        <f t="shared" si="21"/>
        <v>0</v>
      </c>
      <c r="V158">
        <f t="shared" si="22"/>
        <v>0</v>
      </c>
      <c r="Y158" t="str">
        <f t="shared" si="23"/>
        <v>Timor-Leste</v>
      </c>
      <c r="Z158" s="104" t="str">
        <f t="shared" si="14"/>
        <v/>
      </c>
      <c r="AA158" s="104">
        <f t="shared" si="15"/>
        <v>0.66666666666666663</v>
      </c>
      <c r="AB158" s="104" t="str">
        <f t="shared" si="16"/>
        <v/>
      </c>
    </row>
    <row r="159" spans="1:28" x14ac:dyDescent="0.25">
      <c r="A159" s="55" t="s">
        <v>13272</v>
      </c>
      <c r="B159" s="57"/>
      <c r="C159" s="57"/>
      <c r="D159" s="57"/>
      <c r="E159" s="57"/>
      <c r="F159" s="57">
        <v>1</v>
      </c>
      <c r="G159" s="57"/>
      <c r="H159" s="57">
        <v>4</v>
      </c>
      <c r="I159" s="57">
        <v>3</v>
      </c>
      <c r="J159" s="57"/>
      <c r="K159" s="57"/>
      <c r="L159" s="57"/>
      <c r="M159" s="57"/>
      <c r="Q159">
        <f t="shared" si="17"/>
        <v>0</v>
      </c>
      <c r="R159">
        <f t="shared" si="18"/>
        <v>0</v>
      </c>
      <c r="S159">
        <f t="shared" si="19"/>
        <v>0</v>
      </c>
      <c r="T159">
        <f t="shared" si="20"/>
        <v>1</v>
      </c>
      <c r="U159">
        <f t="shared" si="21"/>
        <v>4</v>
      </c>
      <c r="V159">
        <f t="shared" si="22"/>
        <v>3</v>
      </c>
      <c r="Y159" t="str">
        <f t="shared" si="23"/>
        <v>Vanuatu</v>
      </c>
      <c r="Z159" s="104" t="str">
        <f t="shared" si="14"/>
        <v/>
      </c>
      <c r="AA159" s="104">
        <f t="shared" si="15"/>
        <v>1</v>
      </c>
      <c r="AB159" s="104">
        <f t="shared" si="16"/>
        <v>0.42857142857142855</v>
      </c>
    </row>
    <row r="160" spans="1:28" x14ac:dyDescent="0.25">
      <c r="A160" s="55" t="s">
        <v>13409</v>
      </c>
      <c r="B160" s="57">
        <v>2</v>
      </c>
      <c r="C160" s="57">
        <v>1</v>
      </c>
      <c r="D160" s="57"/>
      <c r="E160" s="57">
        <v>3</v>
      </c>
      <c r="F160" s="57">
        <v>6</v>
      </c>
      <c r="G160" s="57"/>
      <c r="H160" s="57"/>
      <c r="I160" s="57">
        <v>4</v>
      </c>
      <c r="J160" s="57"/>
      <c r="K160" s="57"/>
      <c r="L160" s="57"/>
      <c r="M160" s="57"/>
      <c r="Q160">
        <f t="shared" si="17"/>
        <v>2</v>
      </c>
      <c r="R160">
        <f t="shared" si="18"/>
        <v>1</v>
      </c>
      <c r="S160">
        <f t="shared" si="19"/>
        <v>3</v>
      </c>
      <c r="T160">
        <f t="shared" si="20"/>
        <v>6</v>
      </c>
      <c r="U160">
        <f t="shared" si="21"/>
        <v>0</v>
      </c>
      <c r="V160">
        <f t="shared" si="22"/>
        <v>4</v>
      </c>
      <c r="Y160" t="str">
        <f t="shared" si="23"/>
        <v>Vietnam</v>
      </c>
      <c r="Z160" s="104">
        <f t="shared" si="14"/>
        <v>0.33333333333333331</v>
      </c>
      <c r="AA160" s="104">
        <f t="shared" si="15"/>
        <v>0.66666666666666663</v>
      </c>
      <c r="AB160" s="104">
        <f t="shared" si="16"/>
        <v>1</v>
      </c>
    </row>
    <row r="161" spans="1:28" x14ac:dyDescent="0.25">
      <c r="A161" s="50" t="s">
        <v>14279</v>
      </c>
      <c r="B161" s="57">
        <v>11</v>
      </c>
      <c r="C161" s="57">
        <v>19</v>
      </c>
      <c r="D161" s="57"/>
      <c r="E161" s="57">
        <v>19</v>
      </c>
      <c r="F161" s="57">
        <v>115</v>
      </c>
      <c r="G161" s="57"/>
      <c r="H161" s="57">
        <v>18</v>
      </c>
      <c r="I161" s="57">
        <v>47</v>
      </c>
      <c r="J161" s="57"/>
      <c r="K161" s="57">
        <v>1</v>
      </c>
      <c r="L161" s="57"/>
      <c r="M161" s="57"/>
      <c r="Q161">
        <f t="shared" si="17"/>
        <v>11</v>
      </c>
      <c r="R161">
        <f t="shared" si="18"/>
        <v>19</v>
      </c>
      <c r="S161">
        <f t="shared" si="19"/>
        <v>19</v>
      </c>
      <c r="T161">
        <f t="shared" si="20"/>
        <v>115</v>
      </c>
      <c r="U161">
        <f t="shared" si="21"/>
        <v>18</v>
      </c>
      <c r="V161">
        <f t="shared" si="22"/>
        <v>47</v>
      </c>
      <c r="Y161" t="str">
        <f t="shared" si="23"/>
        <v>Asia and the Pacific Total</v>
      </c>
      <c r="Z161" s="104">
        <f t="shared" si="14"/>
        <v>0.6333333333333333</v>
      </c>
      <c r="AA161" s="104">
        <f t="shared" si="15"/>
        <v>0.85820895522388063</v>
      </c>
      <c r="AB161" s="104">
        <f t="shared" si="16"/>
        <v>0.72307692307692306</v>
      </c>
    </row>
    <row r="162" spans="1:28" x14ac:dyDescent="0.25">
      <c r="A162" s="50" t="s">
        <v>2807</v>
      </c>
      <c r="B162" s="57"/>
      <c r="C162" s="57"/>
      <c r="D162" s="57"/>
      <c r="E162" s="57"/>
      <c r="F162" s="57"/>
      <c r="G162" s="57"/>
      <c r="H162" s="57"/>
      <c r="I162" s="57"/>
      <c r="J162" s="57"/>
      <c r="K162" s="57"/>
      <c r="L162" s="57"/>
      <c r="M162" s="57"/>
      <c r="Q162">
        <f t="shared" si="17"/>
        <v>0</v>
      </c>
      <c r="R162">
        <f t="shared" si="18"/>
        <v>0</v>
      </c>
      <c r="S162">
        <f t="shared" si="19"/>
        <v>0</v>
      </c>
      <c r="T162">
        <f t="shared" si="20"/>
        <v>0</v>
      </c>
      <c r="U162">
        <f t="shared" si="21"/>
        <v>0</v>
      </c>
      <c r="V162">
        <f t="shared" si="22"/>
        <v>0</v>
      </c>
      <c r="Y162" t="str">
        <f t="shared" si="23"/>
        <v>Latin America and the Caribbean</v>
      </c>
      <c r="Z162" s="104" t="str">
        <f t="shared" si="14"/>
        <v/>
      </c>
      <c r="AA162" s="104" t="str">
        <f t="shared" si="15"/>
        <v/>
      </c>
      <c r="AB162" s="104" t="str">
        <f t="shared" si="16"/>
        <v/>
      </c>
    </row>
    <row r="163" spans="1:28" x14ac:dyDescent="0.25">
      <c r="A163" s="55" t="s">
        <v>2806</v>
      </c>
      <c r="B163" s="57"/>
      <c r="C163" s="57"/>
      <c r="D163" s="57"/>
      <c r="E163" s="57">
        <v>1</v>
      </c>
      <c r="F163" s="57"/>
      <c r="G163" s="57"/>
      <c r="H163" s="57"/>
      <c r="I163" s="57"/>
      <c r="J163" s="57"/>
      <c r="K163" s="57"/>
      <c r="L163" s="57"/>
      <c r="M163" s="57"/>
      <c r="Q163">
        <f t="shared" si="17"/>
        <v>0</v>
      </c>
      <c r="R163">
        <f t="shared" si="18"/>
        <v>0</v>
      </c>
      <c r="S163">
        <f t="shared" si="19"/>
        <v>1</v>
      </c>
      <c r="T163">
        <f t="shared" si="20"/>
        <v>0</v>
      </c>
      <c r="U163">
        <f t="shared" si="21"/>
        <v>0</v>
      </c>
      <c r="V163">
        <f t="shared" si="22"/>
        <v>0</v>
      </c>
      <c r="Y163" t="str">
        <f t="shared" si="23"/>
        <v>Colombia</v>
      </c>
      <c r="Z163" s="104" t="str">
        <f t="shared" si="14"/>
        <v/>
      </c>
      <c r="AA163" s="104">
        <f t="shared" si="15"/>
        <v>0</v>
      </c>
      <c r="AB163" s="104" t="str">
        <f t="shared" si="16"/>
        <v/>
      </c>
    </row>
    <row r="164" spans="1:28" x14ac:dyDescent="0.25">
      <c r="A164" s="55" t="s">
        <v>2931</v>
      </c>
      <c r="B164" s="57"/>
      <c r="C164" s="57"/>
      <c r="D164" s="57"/>
      <c r="E164" s="57"/>
      <c r="F164" s="57"/>
      <c r="G164" s="57"/>
      <c r="H164" s="57">
        <v>1</v>
      </c>
      <c r="I164" s="57"/>
      <c r="J164" s="57"/>
      <c r="K164" s="57"/>
      <c r="L164" s="57"/>
      <c r="M164" s="57"/>
      <c r="Q164">
        <f t="shared" si="17"/>
        <v>0</v>
      </c>
      <c r="R164">
        <f t="shared" si="18"/>
        <v>0</v>
      </c>
      <c r="S164">
        <f t="shared" si="19"/>
        <v>0</v>
      </c>
      <c r="T164">
        <f t="shared" si="20"/>
        <v>0</v>
      </c>
      <c r="U164">
        <f t="shared" si="21"/>
        <v>1</v>
      </c>
      <c r="V164">
        <f t="shared" si="22"/>
        <v>0</v>
      </c>
      <c r="Y164" t="str">
        <f t="shared" si="23"/>
        <v>Costa Rica</v>
      </c>
      <c r="Z164" s="104" t="str">
        <f t="shared" si="14"/>
        <v/>
      </c>
      <c r="AA164" s="104" t="str">
        <f t="shared" si="15"/>
        <v/>
      </c>
      <c r="AB164" s="104">
        <f t="shared" si="16"/>
        <v>0</v>
      </c>
    </row>
    <row r="165" spans="1:28" x14ac:dyDescent="0.25">
      <c r="A165" s="55" t="s">
        <v>3148</v>
      </c>
      <c r="B165" s="57"/>
      <c r="C165" s="57"/>
      <c r="D165" s="57"/>
      <c r="E165" s="57"/>
      <c r="F165" s="57">
        <v>4</v>
      </c>
      <c r="G165" s="57"/>
      <c r="H165" s="57"/>
      <c r="I165" s="57">
        <v>1</v>
      </c>
      <c r="J165" s="57"/>
      <c r="K165" s="57"/>
      <c r="L165" s="57"/>
      <c r="M165" s="57"/>
      <c r="Q165">
        <f t="shared" si="17"/>
        <v>0</v>
      </c>
      <c r="R165">
        <f t="shared" si="18"/>
        <v>0</v>
      </c>
      <c r="S165">
        <f t="shared" si="19"/>
        <v>0</v>
      </c>
      <c r="T165">
        <f t="shared" si="20"/>
        <v>4</v>
      </c>
      <c r="U165">
        <f t="shared" si="21"/>
        <v>0</v>
      </c>
      <c r="V165">
        <f t="shared" si="22"/>
        <v>1</v>
      </c>
      <c r="Y165" t="str">
        <f t="shared" si="23"/>
        <v>Cuba</v>
      </c>
      <c r="Z165" s="104" t="str">
        <f t="shared" si="14"/>
        <v/>
      </c>
      <c r="AA165" s="104">
        <f t="shared" si="15"/>
        <v>1</v>
      </c>
      <c r="AB165" s="104">
        <f t="shared" si="16"/>
        <v>1</v>
      </c>
    </row>
    <row r="166" spans="1:28" x14ac:dyDescent="0.25">
      <c r="A166" s="55" t="s">
        <v>3261</v>
      </c>
      <c r="B166" s="57"/>
      <c r="C166" s="57"/>
      <c r="D166" s="57"/>
      <c r="E166" s="57"/>
      <c r="F166" s="57"/>
      <c r="G166" s="57"/>
      <c r="H166" s="57"/>
      <c r="I166" s="57"/>
      <c r="J166" s="57"/>
      <c r="K166" s="57"/>
      <c r="L166" s="57"/>
      <c r="M166" s="57"/>
      <c r="Q166">
        <f t="shared" si="17"/>
        <v>0</v>
      </c>
      <c r="R166">
        <f t="shared" si="18"/>
        <v>0</v>
      </c>
      <c r="S166">
        <f t="shared" si="19"/>
        <v>0</v>
      </c>
      <c r="T166">
        <f t="shared" si="20"/>
        <v>0</v>
      </c>
      <c r="U166">
        <f t="shared" si="21"/>
        <v>0</v>
      </c>
      <c r="V166">
        <f t="shared" si="22"/>
        <v>0</v>
      </c>
      <c r="Y166" t="str">
        <f t="shared" si="23"/>
        <v>Dominican Republic</v>
      </c>
      <c r="Z166" s="104" t="str">
        <f t="shared" si="14"/>
        <v/>
      </c>
      <c r="AA166" s="104" t="str">
        <f t="shared" si="15"/>
        <v/>
      </c>
      <c r="AB166" s="104" t="str">
        <f t="shared" si="16"/>
        <v/>
      </c>
    </row>
    <row r="167" spans="1:28" x14ac:dyDescent="0.25">
      <c r="A167" s="55" t="s">
        <v>3272</v>
      </c>
      <c r="B167" s="57"/>
      <c r="C167" s="57"/>
      <c r="D167" s="57"/>
      <c r="E167" s="57">
        <v>1</v>
      </c>
      <c r="F167" s="57">
        <v>16</v>
      </c>
      <c r="G167" s="57"/>
      <c r="H167" s="57"/>
      <c r="I167" s="57">
        <v>1</v>
      </c>
      <c r="J167" s="57"/>
      <c r="K167" s="57"/>
      <c r="L167" s="57"/>
      <c r="M167" s="57"/>
      <c r="Q167">
        <f t="shared" si="17"/>
        <v>0</v>
      </c>
      <c r="R167">
        <f t="shared" si="18"/>
        <v>0</v>
      </c>
      <c r="S167">
        <f t="shared" si="19"/>
        <v>1</v>
      </c>
      <c r="T167">
        <f t="shared" si="20"/>
        <v>16</v>
      </c>
      <c r="U167">
        <f t="shared" si="21"/>
        <v>0</v>
      </c>
      <c r="V167">
        <f t="shared" si="22"/>
        <v>1</v>
      </c>
      <c r="Y167" t="str">
        <f t="shared" si="23"/>
        <v>Ecuador</v>
      </c>
      <c r="Z167" s="104" t="str">
        <f t="shared" si="14"/>
        <v/>
      </c>
      <c r="AA167" s="104">
        <f t="shared" si="15"/>
        <v>0.94117647058823528</v>
      </c>
      <c r="AB167" s="104">
        <f t="shared" si="16"/>
        <v>1</v>
      </c>
    </row>
    <row r="168" spans="1:28" x14ac:dyDescent="0.25">
      <c r="A168" s="55" t="s">
        <v>4777</v>
      </c>
      <c r="B168" s="57"/>
      <c r="C168" s="57"/>
      <c r="D168" s="57"/>
      <c r="E168" s="57">
        <v>3</v>
      </c>
      <c r="F168" s="57">
        <v>4</v>
      </c>
      <c r="G168" s="57"/>
      <c r="H168" s="57">
        <v>1</v>
      </c>
      <c r="I168" s="57">
        <v>7</v>
      </c>
      <c r="J168" s="57"/>
      <c r="K168" s="57"/>
      <c r="L168" s="57"/>
      <c r="M168" s="57"/>
      <c r="Q168">
        <f t="shared" si="17"/>
        <v>0</v>
      </c>
      <c r="R168">
        <f t="shared" si="18"/>
        <v>0</v>
      </c>
      <c r="S168">
        <f t="shared" si="19"/>
        <v>3</v>
      </c>
      <c r="T168">
        <f t="shared" si="20"/>
        <v>4</v>
      </c>
      <c r="U168">
        <f t="shared" si="21"/>
        <v>1</v>
      </c>
      <c r="V168">
        <f t="shared" si="22"/>
        <v>7</v>
      </c>
      <c r="Y168" t="str">
        <f t="shared" si="23"/>
        <v>Guatemala</v>
      </c>
      <c r="Z168" s="104" t="str">
        <f t="shared" si="14"/>
        <v/>
      </c>
      <c r="AA168" s="104">
        <f t="shared" si="15"/>
        <v>0.5714285714285714</v>
      </c>
      <c r="AB168" s="104">
        <f t="shared" si="16"/>
        <v>0.875</v>
      </c>
    </row>
    <row r="169" spans="1:28" x14ac:dyDescent="0.25">
      <c r="A169" s="55" t="s">
        <v>5061</v>
      </c>
      <c r="B169" s="57"/>
      <c r="C169" s="57"/>
      <c r="D169" s="57"/>
      <c r="E169" s="57"/>
      <c r="F169" s="57">
        <v>8</v>
      </c>
      <c r="G169" s="57"/>
      <c r="H169" s="57"/>
      <c r="I169" s="57"/>
      <c r="J169" s="57"/>
      <c r="K169" s="57"/>
      <c r="L169" s="57"/>
      <c r="M169" s="57"/>
      <c r="Q169">
        <f t="shared" si="17"/>
        <v>0</v>
      </c>
      <c r="R169">
        <f t="shared" si="18"/>
        <v>0</v>
      </c>
      <c r="S169">
        <f t="shared" si="19"/>
        <v>0</v>
      </c>
      <c r="T169">
        <f t="shared" si="20"/>
        <v>8</v>
      </c>
      <c r="U169">
        <f t="shared" si="21"/>
        <v>0</v>
      </c>
      <c r="V169">
        <f t="shared" si="22"/>
        <v>0</v>
      </c>
      <c r="Y169" t="str">
        <f t="shared" si="23"/>
        <v>Haiti</v>
      </c>
      <c r="Z169" s="104" t="str">
        <f t="shared" si="14"/>
        <v/>
      </c>
      <c r="AA169" s="104">
        <f t="shared" si="15"/>
        <v>1</v>
      </c>
      <c r="AB169" s="104" t="str">
        <f t="shared" si="16"/>
        <v/>
      </c>
    </row>
    <row r="170" spans="1:28" x14ac:dyDescent="0.25">
      <c r="A170" s="55" t="s">
        <v>5190</v>
      </c>
      <c r="B170" s="57"/>
      <c r="C170" s="57"/>
      <c r="D170" s="57"/>
      <c r="E170" s="57">
        <v>1</v>
      </c>
      <c r="F170" s="57">
        <v>2</v>
      </c>
      <c r="G170" s="57"/>
      <c r="H170" s="57">
        <v>1</v>
      </c>
      <c r="I170" s="57">
        <v>3</v>
      </c>
      <c r="J170" s="57"/>
      <c r="K170" s="57"/>
      <c r="L170" s="57"/>
      <c r="M170" s="57"/>
      <c r="Q170">
        <f t="shared" si="17"/>
        <v>0</v>
      </c>
      <c r="R170">
        <f t="shared" si="18"/>
        <v>0</v>
      </c>
      <c r="S170">
        <f t="shared" si="19"/>
        <v>1</v>
      </c>
      <c r="T170">
        <f t="shared" si="20"/>
        <v>2</v>
      </c>
      <c r="U170">
        <f t="shared" si="21"/>
        <v>1</v>
      </c>
      <c r="V170">
        <f t="shared" si="22"/>
        <v>3</v>
      </c>
      <c r="Y170" t="str">
        <f t="shared" si="23"/>
        <v>Honduras</v>
      </c>
      <c r="Z170" s="104" t="str">
        <f t="shared" si="14"/>
        <v/>
      </c>
      <c r="AA170" s="104">
        <f t="shared" si="15"/>
        <v>0.66666666666666663</v>
      </c>
      <c r="AB170" s="104">
        <f t="shared" si="16"/>
        <v>0.75</v>
      </c>
    </row>
    <row r="171" spans="1:28" x14ac:dyDescent="0.25">
      <c r="A171" s="55" t="s">
        <v>8138</v>
      </c>
      <c r="B171" s="57"/>
      <c r="C171" s="57"/>
      <c r="D171" s="57"/>
      <c r="E171" s="57">
        <v>1</v>
      </c>
      <c r="F171" s="57"/>
      <c r="G171" s="57"/>
      <c r="H171" s="57"/>
      <c r="I171" s="57"/>
      <c r="J171" s="57"/>
      <c r="K171" s="57"/>
      <c r="L171" s="57"/>
      <c r="M171" s="57"/>
      <c r="Q171">
        <f t="shared" si="17"/>
        <v>0</v>
      </c>
      <c r="R171">
        <f t="shared" si="18"/>
        <v>0</v>
      </c>
      <c r="S171">
        <f t="shared" si="19"/>
        <v>1</v>
      </c>
      <c r="T171">
        <f t="shared" si="20"/>
        <v>0</v>
      </c>
      <c r="U171">
        <f t="shared" si="21"/>
        <v>0</v>
      </c>
      <c r="V171">
        <f t="shared" si="22"/>
        <v>0</v>
      </c>
      <c r="Y171" t="str">
        <f t="shared" si="23"/>
        <v>Mexico</v>
      </c>
      <c r="Z171" s="104" t="str">
        <f t="shared" si="14"/>
        <v/>
      </c>
      <c r="AA171" s="104">
        <f t="shared" si="15"/>
        <v>0</v>
      </c>
      <c r="AB171" s="104" t="str">
        <f t="shared" si="16"/>
        <v/>
      </c>
    </row>
    <row r="172" spans="1:28" x14ac:dyDescent="0.25">
      <c r="A172" s="55" t="s">
        <v>9042</v>
      </c>
      <c r="B172" s="57"/>
      <c r="C172" s="57"/>
      <c r="D172" s="57"/>
      <c r="E172" s="57"/>
      <c r="F172" s="57"/>
      <c r="G172" s="57"/>
      <c r="H172" s="57">
        <v>1</v>
      </c>
      <c r="I172" s="57"/>
      <c r="J172" s="57"/>
      <c r="K172" s="57"/>
      <c r="L172" s="57"/>
      <c r="M172" s="57"/>
      <c r="Q172">
        <f t="shared" si="17"/>
        <v>0</v>
      </c>
      <c r="R172">
        <f t="shared" si="18"/>
        <v>0</v>
      </c>
      <c r="S172">
        <f t="shared" si="19"/>
        <v>0</v>
      </c>
      <c r="T172">
        <f t="shared" si="20"/>
        <v>0</v>
      </c>
      <c r="U172">
        <f t="shared" si="21"/>
        <v>1</v>
      </c>
      <c r="V172">
        <f t="shared" si="22"/>
        <v>0</v>
      </c>
      <c r="Y172" t="str">
        <f t="shared" si="23"/>
        <v>Nicaragua</v>
      </c>
      <c r="Z172" s="104" t="str">
        <f t="shared" si="14"/>
        <v/>
      </c>
      <c r="AA172" s="104" t="str">
        <f t="shared" si="15"/>
        <v/>
      </c>
      <c r="AB172" s="104">
        <f t="shared" si="16"/>
        <v>0</v>
      </c>
    </row>
    <row r="173" spans="1:28" x14ac:dyDescent="0.25">
      <c r="A173" s="55" t="s">
        <v>9514</v>
      </c>
      <c r="B173" s="57"/>
      <c r="C173" s="57"/>
      <c r="D173" s="57"/>
      <c r="E173" s="57"/>
      <c r="F173" s="57"/>
      <c r="G173" s="57"/>
      <c r="H173" s="57"/>
      <c r="I173" s="57"/>
      <c r="J173" s="57"/>
      <c r="K173" s="57"/>
      <c r="L173" s="57"/>
      <c r="M173" s="57"/>
      <c r="Q173">
        <f t="shared" si="17"/>
        <v>0</v>
      </c>
      <c r="R173">
        <f t="shared" si="18"/>
        <v>0</v>
      </c>
      <c r="S173">
        <f t="shared" si="19"/>
        <v>0</v>
      </c>
      <c r="T173">
        <f t="shared" si="20"/>
        <v>0</v>
      </c>
      <c r="U173">
        <f t="shared" si="21"/>
        <v>0</v>
      </c>
      <c r="V173">
        <f t="shared" si="22"/>
        <v>0</v>
      </c>
      <c r="Y173" t="str">
        <f t="shared" si="23"/>
        <v>Panama</v>
      </c>
      <c r="Z173" s="104" t="str">
        <f t="shared" si="14"/>
        <v/>
      </c>
      <c r="AA173" s="104" t="str">
        <f t="shared" si="15"/>
        <v/>
      </c>
      <c r="AB173" s="104" t="str">
        <f t="shared" si="16"/>
        <v/>
      </c>
    </row>
    <row r="174" spans="1:28" x14ac:dyDescent="0.25">
      <c r="A174" s="55" t="s">
        <v>9706</v>
      </c>
      <c r="B174" s="57"/>
      <c r="C174" s="57">
        <v>3</v>
      </c>
      <c r="D174" s="57"/>
      <c r="E174" s="57">
        <v>3</v>
      </c>
      <c r="F174" s="57">
        <v>22</v>
      </c>
      <c r="G174" s="57"/>
      <c r="H174" s="57"/>
      <c r="I174" s="57">
        <v>7</v>
      </c>
      <c r="J174" s="57"/>
      <c r="K174" s="57"/>
      <c r="L174" s="57"/>
      <c r="M174" s="57"/>
      <c r="Q174">
        <f t="shared" si="17"/>
        <v>0</v>
      </c>
      <c r="R174">
        <f t="shared" si="18"/>
        <v>3</v>
      </c>
      <c r="S174">
        <f t="shared" si="19"/>
        <v>3</v>
      </c>
      <c r="T174">
        <f t="shared" si="20"/>
        <v>22</v>
      </c>
      <c r="U174">
        <f t="shared" si="21"/>
        <v>0</v>
      </c>
      <c r="V174">
        <f t="shared" si="22"/>
        <v>7</v>
      </c>
      <c r="Y174" t="str">
        <f t="shared" si="23"/>
        <v>Peru</v>
      </c>
      <c r="Z174" s="104">
        <f t="shared" si="14"/>
        <v>1</v>
      </c>
      <c r="AA174" s="104">
        <f t="shared" si="15"/>
        <v>0.88</v>
      </c>
      <c r="AB174" s="104">
        <f t="shared" si="16"/>
        <v>1</v>
      </c>
    </row>
    <row r="175" spans="1:28" x14ac:dyDescent="0.25">
      <c r="A175" s="50" t="s">
        <v>14280</v>
      </c>
      <c r="B175" s="57"/>
      <c r="C175" s="57">
        <v>3</v>
      </c>
      <c r="D175" s="57"/>
      <c r="E175" s="57">
        <v>10</v>
      </c>
      <c r="F175" s="57">
        <v>56</v>
      </c>
      <c r="G175" s="57"/>
      <c r="H175" s="57">
        <v>4</v>
      </c>
      <c r="I175" s="57">
        <v>19</v>
      </c>
      <c r="J175" s="57"/>
      <c r="K175" s="57"/>
      <c r="L175" s="57"/>
      <c r="M175" s="57"/>
      <c r="Q175">
        <f t="shared" si="17"/>
        <v>0</v>
      </c>
      <c r="R175">
        <f t="shared" si="18"/>
        <v>3</v>
      </c>
      <c r="S175">
        <f t="shared" si="19"/>
        <v>10</v>
      </c>
      <c r="T175">
        <f t="shared" si="20"/>
        <v>56</v>
      </c>
      <c r="U175">
        <f t="shared" si="21"/>
        <v>4</v>
      </c>
      <c r="V175">
        <f t="shared" si="22"/>
        <v>19</v>
      </c>
      <c r="Y175" t="str">
        <f t="shared" si="23"/>
        <v>Latin America and the Caribbean Total</v>
      </c>
      <c r="Z175" s="104">
        <f t="shared" si="14"/>
        <v>1</v>
      </c>
      <c r="AA175" s="104">
        <f t="shared" si="15"/>
        <v>0.84848484848484851</v>
      </c>
      <c r="AB175" s="104">
        <f t="shared" si="16"/>
        <v>0.82608695652173914</v>
      </c>
    </row>
    <row r="176" spans="1:28" x14ac:dyDescent="0.25">
      <c r="A176" s="50" t="s">
        <v>602</v>
      </c>
      <c r="B176" s="57"/>
      <c r="C176" s="57"/>
      <c r="D176" s="57"/>
      <c r="E176" s="57"/>
      <c r="F176" s="57"/>
      <c r="G176" s="57"/>
      <c r="H176" s="57"/>
      <c r="I176" s="57"/>
      <c r="J176" s="57"/>
      <c r="K176" s="57"/>
      <c r="L176" s="57"/>
      <c r="M176" s="57"/>
      <c r="Q176">
        <f t="shared" ref="Q176:Q211" si="24">B176</f>
        <v>0</v>
      </c>
      <c r="R176">
        <f t="shared" ref="R176:R211" si="25">C176</f>
        <v>0</v>
      </c>
      <c r="S176">
        <f t="shared" ref="S176:S211" si="26">E176</f>
        <v>0</v>
      </c>
      <c r="T176">
        <f t="shared" ref="T176:T211" si="27">F176</f>
        <v>0</v>
      </c>
      <c r="U176">
        <f t="shared" ref="U176:U211" si="28">H176</f>
        <v>0</v>
      </c>
      <c r="V176">
        <f t="shared" ref="V176:V211" si="29">I176</f>
        <v>0</v>
      </c>
      <c r="Y176" t="str">
        <f t="shared" ref="Y176:Y211" si="30">A176</f>
        <v>Middle East, North Africa and Europe</v>
      </c>
      <c r="Z176" s="104" t="str">
        <f t="shared" si="14"/>
        <v/>
      </c>
      <c r="AA176" s="104" t="str">
        <f t="shared" si="15"/>
        <v/>
      </c>
      <c r="AB176" s="104" t="str">
        <f t="shared" si="16"/>
        <v/>
      </c>
    </row>
    <row r="177" spans="1:28" x14ac:dyDescent="0.25">
      <c r="A177" s="55" t="s">
        <v>601</v>
      </c>
      <c r="B177" s="57"/>
      <c r="C177" s="57"/>
      <c r="D177" s="57"/>
      <c r="E177" s="57"/>
      <c r="F177" s="57"/>
      <c r="G177" s="57"/>
      <c r="H177" s="57"/>
      <c r="I177" s="57">
        <v>1</v>
      </c>
      <c r="J177" s="57"/>
      <c r="K177" s="57"/>
      <c r="L177" s="57"/>
      <c r="M177" s="57"/>
      <c r="Q177">
        <f t="shared" si="24"/>
        <v>0</v>
      </c>
      <c r="R177">
        <f t="shared" si="25"/>
        <v>0</v>
      </c>
      <c r="S177">
        <f t="shared" si="26"/>
        <v>0</v>
      </c>
      <c r="T177">
        <f t="shared" si="27"/>
        <v>0</v>
      </c>
      <c r="U177">
        <f t="shared" si="28"/>
        <v>0</v>
      </c>
      <c r="V177">
        <f t="shared" si="29"/>
        <v>1</v>
      </c>
      <c r="Y177" t="str">
        <f t="shared" si="30"/>
        <v>Albania</v>
      </c>
      <c r="Z177" s="104" t="str">
        <f t="shared" ref="Z177:Z211" si="31">IFERROR(R177/(SUM($Q177:$R177)),"")</f>
        <v/>
      </c>
      <c r="AA177" s="104" t="str">
        <f t="shared" ref="AA177:AA211" si="32">IFERROR(T177/(SUM($S177:$T177)),"")</f>
        <v/>
      </c>
      <c r="AB177" s="104">
        <f t="shared" ref="AB177:AB211" si="33">IFERROR(V177/(SUM($U177:$V177)),"")</f>
        <v>1</v>
      </c>
    </row>
    <row r="178" spans="1:28" x14ac:dyDescent="0.25">
      <c r="A178" s="55" t="s">
        <v>635</v>
      </c>
      <c r="B178" s="57"/>
      <c r="C178" s="57"/>
      <c r="D178" s="57"/>
      <c r="E178" s="57"/>
      <c r="F178" s="57"/>
      <c r="G178" s="57"/>
      <c r="H178" s="57"/>
      <c r="I178" s="57"/>
      <c r="J178" s="57"/>
      <c r="K178" s="57"/>
      <c r="L178" s="57"/>
      <c r="M178" s="57"/>
      <c r="Q178">
        <f t="shared" si="24"/>
        <v>0</v>
      </c>
      <c r="R178">
        <f t="shared" si="25"/>
        <v>0</v>
      </c>
      <c r="S178">
        <f t="shared" si="26"/>
        <v>0</v>
      </c>
      <c r="T178">
        <f t="shared" si="27"/>
        <v>0</v>
      </c>
      <c r="U178">
        <f t="shared" si="28"/>
        <v>0</v>
      </c>
      <c r="V178">
        <f t="shared" si="29"/>
        <v>0</v>
      </c>
      <c r="Y178" t="str">
        <f t="shared" si="30"/>
        <v>Austria</v>
      </c>
      <c r="Z178" s="104" t="str">
        <f t="shared" si="31"/>
        <v/>
      </c>
      <c r="AA178" s="104" t="str">
        <f t="shared" si="32"/>
        <v/>
      </c>
      <c r="AB178" s="104" t="str">
        <f t="shared" si="33"/>
        <v/>
      </c>
    </row>
    <row r="179" spans="1:28" x14ac:dyDescent="0.25">
      <c r="A179" s="55" t="s">
        <v>1527</v>
      </c>
      <c r="B179" s="57"/>
      <c r="C179" s="57"/>
      <c r="D179" s="57"/>
      <c r="E179" s="57"/>
      <c r="F179" s="57"/>
      <c r="G179" s="57"/>
      <c r="H179" s="57"/>
      <c r="I179" s="57">
        <v>1</v>
      </c>
      <c r="J179" s="57"/>
      <c r="K179" s="57"/>
      <c r="L179" s="57"/>
      <c r="M179" s="57"/>
      <c r="Q179">
        <f t="shared" si="24"/>
        <v>0</v>
      </c>
      <c r="R179">
        <f t="shared" si="25"/>
        <v>0</v>
      </c>
      <c r="S179">
        <f t="shared" si="26"/>
        <v>0</v>
      </c>
      <c r="T179">
        <f t="shared" si="27"/>
        <v>0</v>
      </c>
      <c r="U179">
        <f t="shared" si="28"/>
        <v>0</v>
      </c>
      <c r="V179">
        <f t="shared" si="29"/>
        <v>1</v>
      </c>
      <c r="Y179" t="str">
        <f t="shared" si="30"/>
        <v>Belgium</v>
      </c>
      <c r="Z179" s="104" t="str">
        <f t="shared" si="31"/>
        <v/>
      </c>
      <c r="AA179" s="104" t="str">
        <f t="shared" si="32"/>
        <v/>
      </c>
      <c r="AB179" s="104">
        <f t="shared" si="33"/>
        <v>1</v>
      </c>
    </row>
    <row r="180" spans="1:28" x14ac:dyDescent="0.25">
      <c r="A180" s="55" t="s">
        <v>1735</v>
      </c>
      <c r="B180" s="57"/>
      <c r="C180" s="57"/>
      <c r="D180" s="57"/>
      <c r="E180" s="57">
        <v>1</v>
      </c>
      <c r="F180" s="57">
        <v>2</v>
      </c>
      <c r="G180" s="57"/>
      <c r="H180" s="57"/>
      <c r="I180" s="57">
        <v>2</v>
      </c>
      <c r="J180" s="57"/>
      <c r="K180" s="57"/>
      <c r="L180" s="57"/>
      <c r="M180" s="57"/>
      <c r="Q180">
        <f t="shared" si="24"/>
        <v>0</v>
      </c>
      <c r="R180">
        <f t="shared" si="25"/>
        <v>0</v>
      </c>
      <c r="S180">
        <f t="shared" si="26"/>
        <v>1</v>
      </c>
      <c r="T180">
        <f t="shared" si="27"/>
        <v>2</v>
      </c>
      <c r="U180">
        <f t="shared" si="28"/>
        <v>0</v>
      </c>
      <c r="V180">
        <f t="shared" si="29"/>
        <v>2</v>
      </c>
      <c r="Y180" t="str">
        <f t="shared" si="30"/>
        <v>Bosnia and Herzegovina</v>
      </c>
      <c r="Z180" s="104" t="str">
        <f t="shared" si="31"/>
        <v/>
      </c>
      <c r="AA180" s="104">
        <f t="shared" si="32"/>
        <v>0.66666666666666663</v>
      </c>
      <c r="AB180" s="104">
        <f t="shared" si="33"/>
        <v>1</v>
      </c>
    </row>
    <row r="181" spans="1:28" x14ac:dyDescent="0.25">
      <c r="A181" s="55" t="s">
        <v>3140</v>
      </c>
      <c r="B181" s="57"/>
      <c r="C181" s="57"/>
      <c r="D181" s="57"/>
      <c r="E181" s="57"/>
      <c r="F181" s="57"/>
      <c r="G181" s="57"/>
      <c r="H181" s="57"/>
      <c r="I181" s="57">
        <v>1</v>
      </c>
      <c r="J181" s="57"/>
      <c r="K181" s="57"/>
      <c r="L181" s="57"/>
      <c r="M181" s="57"/>
      <c r="Q181">
        <f t="shared" si="24"/>
        <v>0</v>
      </c>
      <c r="R181">
        <f t="shared" si="25"/>
        <v>0</v>
      </c>
      <c r="S181">
        <f t="shared" si="26"/>
        <v>0</v>
      </c>
      <c r="T181">
        <f t="shared" si="27"/>
        <v>0</v>
      </c>
      <c r="U181">
        <f t="shared" si="28"/>
        <v>0</v>
      </c>
      <c r="V181">
        <f t="shared" si="29"/>
        <v>1</v>
      </c>
      <c r="Y181" t="str">
        <f t="shared" si="30"/>
        <v>Croatia</v>
      </c>
      <c r="Z181" s="104" t="str">
        <f t="shared" si="31"/>
        <v/>
      </c>
      <c r="AA181" s="104" t="str">
        <f t="shared" si="32"/>
        <v/>
      </c>
      <c r="AB181" s="104">
        <f t="shared" si="33"/>
        <v>1</v>
      </c>
    </row>
    <row r="182" spans="1:28" x14ac:dyDescent="0.25">
      <c r="A182" s="55" t="s">
        <v>3231</v>
      </c>
      <c r="B182" s="57"/>
      <c r="C182" s="57"/>
      <c r="D182" s="57"/>
      <c r="E182" s="57"/>
      <c r="F182" s="57"/>
      <c r="G182" s="57"/>
      <c r="H182" s="57"/>
      <c r="I182" s="57"/>
      <c r="J182" s="57"/>
      <c r="K182" s="57"/>
      <c r="L182" s="57"/>
      <c r="M182" s="57"/>
      <c r="Q182">
        <f t="shared" si="24"/>
        <v>0</v>
      </c>
      <c r="R182">
        <f t="shared" si="25"/>
        <v>0</v>
      </c>
      <c r="S182">
        <f t="shared" si="26"/>
        <v>0</v>
      </c>
      <c r="T182">
        <f t="shared" si="27"/>
        <v>0</v>
      </c>
      <c r="U182">
        <f t="shared" si="28"/>
        <v>0</v>
      </c>
      <c r="V182">
        <f t="shared" si="29"/>
        <v>0</v>
      </c>
      <c r="Y182" t="str">
        <f t="shared" si="30"/>
        <v>Czech Republic</v>
      </c>
      <c r="Z182" s="104" t="str">
        <f t="shared" si="31"/>
        <v/>
      </c>
      <c r="AA182" s="104" t="str">
        <f t="shared" si="32"/>
        <v/>
      </c>
      <c r="AB182" s="104" t="str">
        <f t="shared" si="33"/>
        <v/>
      </c>
    </row>
    <row r="183" spans="1:28" x14ac:dyDescent="0.25">
      <c r="A183" s="55" t="s">
        <v>3249</v>
      </c>
      <c r="B183" s="57"/>
      <c r="C183" s="57"/>
      <c r="D183" s="57"/>
      <c r="E183" s="57"/>
      <c r="F183" s="57"/>
      <c r="G183" s="57"/>
      <c r="H183" s="57"/>
      <c r="I183" s="57">
        <v>1</v>
      </c>
      <c r="J183" s="57"/>
      <c r="K183" s="57"/>
      <c r="L183" s="57"/>
      <c r="M183" s="57"/>
      <c r="Q183">
        <f t="shared" si="24"/>
        <v>0</v>
      </c>
      <c r="R183">
        <f t="shared" si="25"/>
        <v>0</v>
      </c>
      <c r="S183">
        <f t="shared" si="26"/>
        <v>0</v>
      </c>
      <c r="T183">
        <f t="shared" si="27"/>
        <v>0</v>
      </c>
      <c r="U183">
        <f t="shared" si="28"/>
        <v>0</v>
      </c>
      <c r="V183">
        <f t="shared" si="29"/>
        <v>1</v>
      </c>
      <c r="Y183" t="str">
        <f t="shared" si="30"/>
        <v>Denmark</v>
      </c>
      <c r="Z183" s="104" t="str">
        <f t="shared" si="31"/>
        <v/>
      </c>
      <c r="AA183" s="104" t="str">
        <f t="shared" si="32"/>
        <v/>
      </c>
      <c r="AB183" s="104">
        <f t="shared" si="33"/>
        <v>1</v>
      </c>
    </row>
    <row r="184" spans="1:28" x14ac:dyDescent="0.25">
      <c r="A184" s="55" t="s">
        <v>3546</v>
      </c>
      <c r="B184" s="57">
        <v>3</v>
      </c>
      <c r="C184" s="57"/>
      <c r="D184" s="57"/>
      <c r="E184" s="57">
        <v>4</v>
      </c>
      <c r="F184" s="57">
        <v>11</v>
      </c>
      <c r="G184" s="57"/>
      <c r="H184" s="57"/>
      <c r="I184" s="57"/>
      <c r="J184" s="57"/>
      <c r="K184" s="57"/>
      <c r="L184" s="57"/>
      <c r="M184" s="57"/>
      <c r="Q184">
        <f t="shared" si="24"/>
        <v>3</v>
      </c>
      <c r="R184">
        <f t="shared" si="25"/>
        <v>0</v>
      </c>
      <c r="S184">
        <f t="shared" si="26"/>
        <v>4</v>
      </c>
      <c r="T184">
        <f t="shared" si="27"/>
        <v>11</v>
      </c>
      <c r="U184">
        <f t="shared" si="28"/>
        <v>0</v>
      </c>
      <c r="V184">
        <f t="shared" si="29"/>
        <v>0</v>
      </c>
      <c r="Y184" t="str">
        <f t="shared" si="30"/>
        <v>Egypt</v>
      </c>
      <c r="Z184" s="104">
        <f t="shared" si="31"/>
        <v>0</v>
      </c>
      <c r="AA184" s="104">
        <f t="shared" si="32"/>
        <v>0.73333333333333328</v>
      </c>
      <c r="AB184" s="104" t="str">
        <f t="shared" si="33"/>
        <v/>
      </c>
    </row>
    <row r="185" spans="1:28" x14ac:dyDescent="0.25">
      <c r="A185" s="55" t="s">
        <v>4293</v>
      </c>
      <c r="B185" s="57"/>
      <c r="C185" s="57"/>
      <c r="D185" s="57"/>
      <c r="E185" s="57">
        <v>1</v>
      </c>
      <c r="F185" s="57"/>
      <c r="G185" s="57"/>
      <c r="H185" s="57"/>
      <c r="I185" s="57">
        <v>1</v>
      </c>
      <c r="J185" s="57"/>
      <c r="K185" s="57"/>
      <c r="L185" s="57"/>
      <c r="M185" s="57"/>
      <c r="Q185">
        <f t="shared" si="24"/>
        <v>0</v>
      </c>
      <c r="R185">
        <f t="shared" si="25"/>
        <v>0</v>
      </c>
      <c r="S185">
        <f t="shared" si="26"/>
        <v>1</v>
      </c>
      <c r="T185">
        <f t="shared" si="27"/>
        <v>0</v>
      </c>
      <c r="U185">
        <f t="shared" si="28"/>
        <v>0</v>
      </c>
      <c r="V185">
        <f t="shared" si="29"/>
        <v>1</v>
      </c>
      <c r="Y185" t="str">
        <f t="shared" si="30"/>
        <v>France</v>
      </c>
      <c r="Z185" s="104" t="str">
        <f t="shared" si="31"/>
        <v/>
      </c>
      <c r="AA185" s="104">
        <f t="shared" si="32"/>
        <v>0</v>
      </c>
      <c r="AB185" s="104">
        <f t="shared" si="33"/>
        <v>1</v>
      </c>
    </row>
    <row r="186" spans="1:28" x14ac:dyDescent="0.25">
      <c r="A186" s="55" t="s">
        <v>4346</v>
      </c>
      <c r="B186" s="57"/>
      <c r="C186" s="57"/>
      <c r="D186" s="57"/>
      <c r="E186" s="57"/>
      <c r="F186" s="57"/>
      <c r="G186" s="57"/>
      <c r="H186" s="57"/>
      <c r="I186" s="57">
        <v>3</v>
      </c>
      <c r="J186" s="57"/>
      <c r="K186" s="57"/>
      <c r="L186" s="57"/>
      <c r="M186" s="57"/>
      <c r="Q186">
        <f t="shared" si="24"/>
        <v>0</v>
      </c>
      <c r="R186">
        <f t="shared" si="25"/>
        <v>0</v>
      </c>
      <c r="S186">
        <f t="shared" si="26"/>
        <v>0</v>
      </c>
      <c r="T186">
        <f t="shared" si="27"/>
        <v>0</v>
      </c>
      <c r="U186">
        <f t="shared" si="28"/>
        <v>0</v>
      </c>
      <c r="V186">
        <f t="shared" si="29"/>
        <v>3</v>
      </c>
      <c r="Y186" t="str">
        <f t="shared" si="30"/>
        <v>Georgia</v>
      </c>
      <c r="Z186" s="104" t="str">
        <f t="shared" si="31"/>
        <v/>
      </c>
      <c r="AA186" s="104" t="str">
        <f t="shared" si="32"/>
        <v/>
      </c>
      <c r="AB186" s="104">
        <f t="shared" si="33"/>
        <v>1</v>
      </c>
    </row>
    <row r="187" spans="1:28" x14ac:dyDescent="0.25">
      <c r="A187" s="55" t="s">
        <v>4428</v>
      </c>
      <c r="B187" s="57"/>
      <c r="C187" s="57">
        <v>3</v>
      </c>
      <c r="D187" s="57"/>
      <c r="E187" s="57"/>
      <c r="F187" s="57"/>
      <c r="G187" s="57"/>
      <c r="H187" s="57"/>
      <c r="I187" s="57"/>
      <c r="J187" s="57"/>
      <c r="K187" s="57"/>
      <c r="L187" s="57"/>
      <c r="M187" s="57"/>
      <c r="Q187">
        <f t="shared" si="24"/>
        <v>0</v>
      </c>
      <c r="R187">
        <f t="shared" si="25"/>
        <v>3</v>
      </c>
      <c r="S187">
        <f t="shared" si="26"/>
        <v>0</v>
      </c>
      <c r="T187">
        <f t="shared" si="27"/>
        <v>0</v>
      </c>
      <c r="U187">
        <f t="shared" si="28"/>
        <v>0</v>
      </c>
      <c r="V187">
        <f t="shared" si="29"/>
        <v>0</v>
      </c>
      <c r="Y187" t="str">
        <f t="shared" si="30"/>
        <v>Germany</v>
      </c>
      <c r="Z187" s="104">
        <f t="shared" si="31"/>
        <v>1</v>
      </c>
      <c r="AA187" s="104" t="str">
        <f t="shared" si="32"/>
        <v/>
      </c>
      <c r="AB187" s="104" t="str">
        <f t="shared" si="33"/>
        <v/>
      </c>
    </row>
    <row r="188" spans="1:28" x14ac:dyDescent="0.25">
      <c r="A188" s="55" t="s">
        <v>4743</v>
      </c>
      <c r="B188" s="57">
        <v>1</v>
      </c>
      <c r="C188" s="57"/>
      <c r="D188" s="57"/>
      <c r="E188" s="57"/>
      <c r="F188" s="57"/>
      <c r="G188" s="57"/>
      <c r="H188" s="57"/>
      <c r="I188" s="57"/>
      <c r="J188" s="57"/>
      <c r="K188" s="57"/>
      <c r="L188" s="57"/>
      <c r="M188" s="57"/>
      <c r="Q188">
        <f t="shared" si="24"/>
        <v>1</v>
      </c>
      <c r="R188">
        <f t="shared" si="25"/>
        <v>0</v>
      </c>
      <c r="S188">
        <f t="shared" si="26"/>
        <v>0</v>
      </c>
      <c r="T188">
        <f t="shared" si="27"/>
        <v>0</v>
      </c>
      <c r="U188">
        <f t="shared" si="28"/>
        <v>0</v>
      </c>
      <c r="V188">
        <f t="shared" si="29"/>
        <v>0</v>
      </c>
      <c r="Y188" t="str">
        <f t="shared" si="30"/>
        <v>Greece</v>
      </c>
      <c r="Z188" s="104">
        <f t="shared" si="31"/>
        <v>0</v>
      </c>
      <c r="AA188" s="104" t="str">
        <f t="shared" si="32"/>
        <v/>
      </c>
      <c r="AB188" s="104" t="str">
        <f t="shared" si="33"/>
        <v/>
      </c>
    </row>
    <row r="189" spans="1:28" x14ac:dyDescent="0.25">
      <c r="A189" s="55" t="s">
        <v>6024</v>
      </c>
      <c r="B189" s="57"/>
      <c r="C189" s="57">
        <v>6</v>
      </c>
      <c r="D189" s="57"/>
      <c r="E189" s="57"/>
      <c r="F189" s="57"/>
      <c r="G189" s="57"/>
      <c r="H189" s="57"/>
      <c r="I189" s="57">
        <v>1</v>
      </c>
      <c r="J189" s="57"/>
      <c r="K189" s="57"/>
      <c r="L189" s="57"/>
      <c r="M189" s="57"/>
      <c r="Q189">
        <f t="shared" si="24"/>
        <v>0</v>
      </c>
      <c r="R189">
        <f t="shared" si="25"/>
        <v>6</v>
      </c>
      <c r="S189">
        <f t="shared" si="26"/>
        <v>0</v>
      </c>
      <c r="T189">
        <f t="shared" si="27"/>
        <v>0</v>
      </c>
      <c r="U189">
        <f t="shared" si="28"/>
        <v>0</v>
      </c>
      <c r="V189">
        <f t="shared" si="29"/>
        <v>1</v>
      </c>
      <c r="Y189" t="str">
        <f t="shared" si="30"/>
        <v>Iraq</v>
      </c>
      <c r="Z189" s="104">
        <f t="shared" si="31"/>
        <v>1</v>
      </c>
      <c r="AA189" s="104" t="str">
        <f t="shared" si="32"/>
        <v/>
      </c>
      <c r="AB189" s="104">
        <f t="shared" si="33"/>
        <v>1</v>
      </c>
    </row>
    <row r="190" spans="1:28" x14ac:dyDescent="0.25">
      <c r="A190" s="55" t="s">
        <v>6105</v>
      </c>
      <c r="B190" s="57"/>
      <c r="C190" s="57"/>
      <c r="D190" s="57"/>
      <c r="E190" s="57"/>
      <c r="F190" s="57">
        <v>5</v>
      </c>
      <c r="G190" s="57"/>
      <c r="H190" s="57"/>
      <c r="I190" s="57">
        <v>15</v>
      </c>
      <c r="J190" s="57"/>
      <c r="K190" s="57"/>
      <c r="L190" s="57"/>
      <c r="M190" s="57"/>
      <c r="Q190">
        <f t="shared" si="24"/>
        <v>0</v>
      </c>
      <c r="R190">
        <f t="shared" si="25"/>
        <v>0</v>
      </c>
      <c r="S190">
        <f t="shared" si="26"/>
        <v>0</v>
      </c>
      <c r="T190">
        <f t="shared" si="27"/>
        <v>5</v>
      </c>
      <c r="U190">
        <f t="shared" si="28"/>
        <v>0</v>
      </c>
      <c r="V190">
        <f t="shared" si="29"/>
        <v>15</v>
      </c>
      <c r="Y190" t="str">
        <f t="shared" si="30"/>
        <v>Jordan</v>
      </c>
      <c r="Z190" s="104" t="str">
        <f t="shared" si="31"/>
        <v/>
      </c>
      <c r="AA190" s="104">
        <f t="shared" si="32"/>
        <v>1</v>
      </c>
      <c r="AB190" s="104">
        <f t="shared" si="33"/>
        <v>1</v>
      </c>
    </row>
    <row r="191" spans="1:28" x14ac:dyDescent="0.25">
      <c r="A191" s="55" t="s">
        <v>6805</v>
      </c>
      <c r="B191" s="57"/>
      <c r="C191" s="57"/>
      <c r="D191" s="57"/>
      <c r="E191" s="57"/>
      <c r="F191" s="57">
        <v>2</v>
      </c>
      <c r="G191" s="57"/>
      <c r="H191" s="57"/>
      <c r="I191" s="57">
        <v>1</v>
      </c>
      <c r="J191" s="57"/>
      <c r="K191" s="57"/>
      <c r="L191" s="57"/>
      <c r="M191" s="57"/>
      <c r="Q191">
        <f t="shared" si="24"/>
        <v>0</v>
      </c>
      <c r="R191">
        <f t="shared" si="25"/>
        <v>0</v>
      </c>
      <c r="S191">
        <f t="shared" si="26"/>
        <v>0</v>
      </c>
      <c r="T191">
        <f t="shared" si="27"/>
        <v>2</v>
      </c>
      <c r="U191">
        <f t="shared" si="28"/>
        <v>0</v>
      </c>
      <c r="V191">
        <f t="shared" si="29"/>
        <v>1</v>
      </c>
      <c r="Y191" t="str">
        <f t="shared" si="30"/>
        <v>Kosovo</v>
      </c>
      <c r="Z191" s="104" t="str">
        <f t="shared" si="31"/>
        <v/>
      </c>
      <c r="AA191" s="104">
        <f t="shared" si="32"/>
        <v>1</v>
      </c>
      <c r="AB191" s="104">
        <f t="shared" si="33"/>
        <v>1</v>
      </c>
    </row>
    <row r="192" spans="1:28" x14ac:dyDescent="0.25">
      <c r="A192" s="55" t="s">
        <v>7083</v>
      </c>
      <c r="B192" s="57"/>
      <c r="C192" s="57"/>
      <c r="D192" s="57"/>
      <c r="E192" s="57"/>
      <c r="F192" s="57">
        <v>3</v>
      </c>
      <c r="G192" s="57"/>
      <c r="H192" s="57">
        <v>1</v>
      </c>
      <c r="I192" s="57">
        <v>2</v>
      </c>
      <c r="J192" s="57"/>
      <c r="K192" s="57"/>
      <c r="L192" s="57"/>
      <c r="M192" s="57"/>
      <c r="Q192">
        <f t="shared" si="24"/>
        <v>0</v>
      </c>
      <c r="R192">
        <f t="shared" si="25"/>
        <v>0</v>
      </c>
      <c r="S192">
        <f t="shared" si="26"/>
        <v>0</v>
      </c>
      <c r="T192">
        <f t="shared" si="27"/>
        <v>3</v>
      </c>
      <c r="U192">
        <f t="shared" si="28"/>
        <v>1</v>
      </c>
      <c r="V192">
        <f t="shared" si="29"/>
        <v>2</v>
      </c>
      <c r="Y192" t="str">
        <f t="shared" si="30"/>
        <v>Lebanon</v>
      </c>
      <c r="Z192" s="104" t="str">
        <f t="shared" si="31"/>
        <v/>
      </c>
      <c r="AA192" s="104">
        <f t="shared" si="32"/>
        <v>1</v>
      </c>
      <c r="AB192" s="104">
        <f t="shared" si="33"/>
        <v>0.66666666666666663</v>
      </c>
    </row>
    <row r="193" spans="1:28" x14ac:dyDescent="0.25">
      <c r="A193" s="55" t="s">
        <v>7194</v>
      </c>
      <c r="B193" s="57"/>
      <c r="C193" s="57"/>
      <c r="D193" s="57"/>
      <c r="E193" s="57"/>
      <c r="F193" s="57">
        <v>1</v>
      </c>
      <c r="G193" s="57"/>
      <c r="H193" s="57"/>
      <c r="I193" s="57"/>
      <c r="J193" s="57"/>
      <c r="K193" s="57"/>
      <c r="L193" s="57"/>
      <c r="M193" s="57"/>
      <c r="Q193">
        <f t="shared" si="24"/>
        <v>0</v>
      </c>
      <c r="R193">
        <f t="shared" si="25"/>
        <v>0</v>
      </c>
      <c r="S193">
        <f t="shared" si="26"/>
        <v>0</v>
      </c>
      <c r="T193">
        <f t="shared" si="27"/>
        <v>1</v>
      </c>
      <c r="U193">
        <f t="shared" si="28"/>
        <v>0</v>
      </c>
      <c r="V193">
        <f t="shared" si="29"/>
        <v>0</v>
      </c>
      <c r="Y193" t="str">
        <f t="shared" si="30"/>
        <v>Macedonia</v>
      </c>
      <c r="Z193" s="104" t="str">
        <f t="shared" si="31"/>
        <v/>
      </c>
      <c r="AA193" s="104">
        <f t="shared" si="32"/>
        <v>1</v>
      </c>
      <c r="AB193" s="104" t="str">
        <f t="shared" si="33"/>
        <v/>
      </c>
    </row>
    <row r="194" spans="1:28" x14ac:dyDescent="0.25">
      <c r="A194" s="55" t="s">
        <v>8140</v>
      </c>
      <c r="B194" s="57"/>
      <c r="C194" s="57"/>
      <c r="D194" s="57"/>
      <c r="E194" s="57">
        <v>1</v>
      </c>
      <c r="F194" s="57">
        <v>2</v>
      </c>
      <c r="G194" s="57"/>
      <c r="H194" s="57"/>
      <c r="I194" s="57"/>
      <c r="J194" s="57"/>
      <c r="K194" s="57"/>
      <c r="L194" s="57"/>
      <c r="M194" s="57"/>
      <c r="Q194">
        <f t="shared" si="24"/>
        <v>0</v>
      </c>
      <c r="R194">
        <f t="shared" si="25"/>
        <v>0</v>
      </c>
      <c r="S194">
        <f t="shared" si="26"/>
        <v>1</v>
      </c>
      <c r="T194">
        <f t="shared" si="27"/>
        <v>2</v>
      </c>
      <c r="U194">
        <f t="shared" si="28"/>
        <v>0</v>
      </c>
      <c r="V194">
        <f t="shared" si="29"/>
        <v>0</v>
      </c>
      <c r="Y194" t="str">
        <f t="shared" si="30"/>
        <v>Montenegro</v>
      </c>
      <c r="Z194" s="104" t="str">
        <f t="shared" si="31"/>
        <v/>
      </c>
      <c r="AA194" s="104">
        <f t="shared" si="32"/>
        <v>0.66666666666666663</v>
      </c>
      <c r="AB194" s="104" t="str">
        <f t="shared" si="33"/>
        <v/>
      </c>
    </row>
    <row r="195" spans="1:28" x14ac:dyDescent="0.25">
      <c r="A195" s="55" t="s">
        <v>8180</v>
      </c>
      <c r="B195" s="57">
        <v>1</v>
      </c>
      <c r="C195" s="57">
        <v>2</v>
      </c>
      <c r="D195" s="57"/>
      <c r="E195" s="57"/>
      <c r="F195" s="57">
        <v>2</v>
      </c>
      <c r="G195" s="57"/>
      <c r="H195" s="57"/>
      <c r="I195" s="57"/>
      <c r="J195" s="57"/>
      <c r="K195" s="57"/>
      <c r="L195" s="57"/>
      <c r="M195" s="57"/>
      <c r="Q195">
        <f t="shared" si="24"/>
        <v>1</v>
      </c>
      <c r="R195">
        <f t="shared" si="25"/>
        <v>2</v>
      </c>
      <c r="S195">
        <f t="shared" si="26"/>
        <v>0</v>
      </c>
      <c r="T195">
        <f t="shared" si="27"/>
        <v>2</v>
      </c>
      <c r="U195">
        <f t="shared" si="28"/>
        <v>0</v>
      </c>
      <c r="V195">
        <f t="shared" si="29"/>
        <v>0</v>
      </c>
      <c r="Y195" t="str">
        <f t="shared" si="30"/>
        <v>Morocco</v>
      </c>
      <c r="Z195" s="104">
        <f t="shared" si="31"/>
        <v>0.66666666666666663</v>
      </c>
      <c r="AA195" s="104">
        <f t="shared" si="32"/>
        <v>1</v>
      </c>
      <c r="AB195" s="104" t="str">
        <f t="shared" si="33"/>
        <v/>
      </c>
    </row>
    <row r="196" spans="1:28" x14ac:dyDescent="0.25">
      <c r="A196" s="55" t="s">
        <v>9020</v>
      </c>
      <c r="B196" s="57"/>
      <c r="C196" s="57"/>
      <c r="D196" s="57"/>
      <c r="E196" s="57"/>
      <c r="F196" s="57"/>
      <c r="G196" s="57"/>
      <c r="H196" s="57"/>
      <c r="I196" s="57"/>
      <c r="J196" s="57"/>
      <c r="K196" s="57"/>
      <c r="L196" s="57"/>
      <c r="M196" s="57"/>
      <c r="Q196">
        <f t="shared" si="24"/>
        <v>0</v>
      </c>
      <c r="R196">
        <f t="shared" si="25"/>
        <v>0</v>
      </c>
      <c r="S196">
        <f t="shared" si="26"/>
        <v>0</v>
      </c>
      <c r="T196">
        <f t="shared" si="27"/>
        <v>0</v>
      </c>
      <c r="U196">
        <f t="shared" si="28"/>
        <v>0</v>
      </c>
      <c r="V196">
        <f t="shared" si="29"/>
        <v>0</v>
      </c>
      <c r="Y196" t="str">
        <f t="shared" si="30"/>
        <v>Netherlands</v>
      </c>
      <c r="Z196" s="104" t="str">
        <f t="shared" si="31"/>
        <v/>
      </c>
      <c r="AA196" s="104" t="str">
        <f t="shared" si="32"/>
        <v/>
      </c>
      <c r="AB196" s="104" t="str">
        <f t="shared" si="33"/>
        <v/>
      </c>
    </row>
    <row r="197" spans="1:28" x14ac:dyDescent="0.25">
      <c r="A197" s="55" t="s">
        <v>9409</v>
      </c>
      <c r="B197" s="57"/>
      <c r="C197" s="57"/>
      <c r="D197" s="57"/>
      <c r="E197" s="57">
        <v>1</v>
      </c>
      <c r="F197" s="57"/>
      <c r="G197" s="57"/>
      <c r="H197" s="57"/>
      <c r="I197" s="57"/>
      <c r="J197" s="57"/>
      <c r="K197" s="57"/>
      <c r="L197" s="57"/>
      <c r="M197" s="57"/>
      <c r="Q197">
        <f t="shared" si="24"/>
        <v>0</v>
      </c>
      <c r="R197">
        <f t="shared" si="25"/>
        <v>0</v>
      </c>
      <c r="S197">
        <f t="shared" si="26"/>
        <v>1</v>
      </c>
      <c r="T197">
        <f t="shared" si="27"/>
        <v>0</v>
      </c>
      <c r="U197">
        <f t="shared" si="28"/>
        <v>0</v>
      </c>
      <c r="V197">
        <f t="shared" si="29"/>
        <v>0</v>
      </c>
      <c r="Y197" t="str">
        <f t="shared" si="30"/>
        <v>Norway</v>
      </c>
      <c r="Z197" s="104" t="str">
        <f t="shared" si="31"/>
        <v/>
      </c>
      <c r="AA197" s="104">
        <f t="shared" si="32"/>
        <v>0</v>
      </c>
      <c r="AB197" s="104" t="str">
        <f t="shared" si="33"/>
        <v/>
      </c>
    </row>
    <row r="198" spans="1:28" x14ac:dyDescent="0.25">
      <c r="A198" s="55" t="s">
        <v>10350</v>
      </c>
      <c r="B198" s="57"/>
      <c r="C198" s="57"/>
      <c r="D198" s="57"/>
      <c r="E198" s="57"/>
      <c r="F198" s="57"/>
      <c r="G198" s="57"/>
      <c r="H198" s="57"/>
      <c r="I198" s="57"/>
      <c r="J198" s="57"/>
      <c r="K198" s="57"/>
      <c r="L198" s="57"/>
      <c r="M198" s="57"/>
      <c r="Q198">
        <f t="shared" si="24"/>
        <v>0</v>
      </c>
      <c r="R198">
        <f t="shared" si="25"/>
        <v>0</v>
      </c>
      <c r="S198">
        <f t="shared" si="26"/>
        <v>0</v>
      </c>
      <c r="T198">
        <f t="shared" si="27"/>
        <v>0</v>
      </c>
      <c r="U198">
        <f t="shared" si="28"/>
        <v>0</v>
      </c>
      <c r="V198">
        <f t="shared" si="29"/>
        <v>0</v>
      </c>
      <c r="Y198" t="str">
        <f t="shared" si="30"/>
        <v>Romania</v>
      </c>
      <c r="Z198" s="104" t="str">
        <f t="shared" si="31"/>
        <v/>
      </c>
      <c r="AA198" s="104" t="str">
        <f t="shared" si="32"/>
        <v/>
      </c>
      <c r="AB198" s="104" t="str">
        <f t="shared" si="33"/>
        <v/>
      </c>
    </row>
    <row r="199" spans="1:28" x14ac:dyDescent="0.25">
      <c r="A199" s="55" t="s">
        <v>10558</v>
      </c>
      <c r="B199" s="57"/>
      <c r="C199" s="57"/>
      <c r="D199" s="57"/>
      <c r="E199" s="57">
        <v>1</v>
      </c>
      <c r="F199" s="57">
        <v>5</v>
      </c>
      <c r="G199" s="57"/>
      <c r="H199" s="57"/>
      <c r="I199" s="57">
        <v>1</v>
      </c>
      <c r="J199" s="57"/>
      <c r="K199" s="57"/>
      <c r="L199" s="57"/>
      <c r="M199" s="57"/>
      <c r="Q199">
        <f t="shared" si="24"/>
        <v>0</v>
      </c>
      <c r="R199">
        <f t="shared" si="25"/>
        <v>0</v>
      </c>
      <c r="S199">
        <f t="shared" si="26"/>
        <v>1</v>
      </c>
      <c r="T199">
        <f t="shared" si="27"/>
        <v>5</v>
      </c>
      <c r="U199">
        <f t="shared" si="28"/>
        <v>0</v>
      </c>
      <c r="V199">
        <f t="shared" si="29"/>
        <v>1</v>
      </c>
      <c r="Y199" t="str">
        <f t="shared" si="30"/>
        <v>Serbia</v>
      </c>
      <c r="Z199" s="104" t="str">
        <f t="shared" si="31"/>
        <v/>
      </c>
      <c r="AA199" s="104">
        <f t="shared" si="32"/>
        <v>0.83333333333333337</v>
      </c>
      <c r="AB199" s="104">
        <f t="shared" si="33"/>
        <v>1</v>
      </c>
    </row>
    <row r="200" spans="1:28" x14ac:dyDescent="0.25">
      <c r="A200" s="55" t="s">
        <v>11664</v>
      </c>
      <c r="B200" s="57"/>
      <c r="C200" s="57"/>
      <c r="D200" s="57"/>
      <c r="E200" s="57"/>
      <c r="F200" s="57"/>
      <c r="G200" s="57"/>
      <c r="H200" s="57"/>
      <c r="I200" s="57"/>
      <c r="J200" s="57"/>
      <c r="K200" s="57"/>
      <c r="L200" s="57"/>
      <c r="M200" s="57"/>
      <c r="Q200">
        <f t="shared" si="24"/>
        <v>0</v>
      </c>
      <c r="R200">
        <f t="shared" si="25"/>
        <v>0</v>
      </c>
      <c r="S200">
        <f t="shared" si="26"/>
        <v>0</v>
      </c>
      <c r="T200">
        <f t="shared" si="27"/>
        <v>0</v>
      </c>
      <c r="U200">
        <f t="shared" si="28"/>
        <v>0</v>
      </c>
      <c r="V200">
        <f t="shared" si="29"/>
        <v>0</v>
      </c>
      <c r="Y200" t="str">
        <f t="shared" si="30"/>
        <v>Switzerland</v>
      </c>
      <c r="Z200" s="104" t="str">
        <f t="shared" si="31"/>
        <v/>
      </c>
      <c r="AA200" s="104" t="str">
        <f t="shared" si="32"/>
        <v/>
      </c>
      <c r="AB200" s="104" t="str">
        <f t="shared" si="33"/>
        <v/>
      </c>
    </row>
    <row r="201" spans="1:28" x14ac:dyDescent="0.25">
      <c r="A201" s="55" t="s">
        <v>11693</v>
      </c>
      <c r="B201" s="57"/>
      <c r="C201" s="57"/>
      <c r="D201" s="57"/>
      <c r="E201" s="57"/>
      <c r="F201" s="57">
        <v>3</v>
      </c>
      <c r="G201" s="57"/>
      <c r="H201" s="57"/>
      <c r="I201" s="57">
        <v>3</v>
      </c>
      <c r="J201" s="57"/>
      <c r="K201" s="57"/>
      <c r="L201" s="57"/>
      <c r="M201" s="57"/>
      <c r="Q201">
        <f t="shared" si="24"/>
        <v>0</v>
      </c>
      <c r="R201">
        <f t="shared" si="25"/>
        <v>0</v>
      </c>
      <c r="S201">
        <f t="shared" si="26"/>
        <v>0</v>
      </c>
      <c r="T201">
        <f t="shared" si="27"/>
        <v>3</v>
      </c>
      <c r="U201">
        <f t="shared" si="28"/>
        <v>0</v>
      </c>
      <c r="V201">
        <f t="shared" si="29"/>
        <v>3</v>
      </c>
      <c r="Y201" t="str">
        <f t="shared" si="30"/>
        <v>Syria</v>
      </c>
      <c r="Z201" s="104" t="str">
        <f t="shared" si="31"/>
        <v/>
      </c>
      <c r="AA201" s="104">
        <f t="shared" si="32"/>
        <v>1</v>
      </c>
      <c r="AB201" s="104">
        <f t="shared" si="33"/>
        <v>1</v>
      </c>
    </row>
    <row r="202" spans="1:28" x14ac:dyDescent="0.25">
      <c r="A202" s="55" t="s">
        <v>12654</v>
      </c>
      <c r="B202" s="57"/>
      <c r="C202" s="57"/>
      <c r="D202" s="57"/>
      <c r="E202" s="57"/>
      <c r="F202" s="57"/>
      <c r="G202" s="57"/>
      <c r="H202" s="57"/>
      <c r="I202" s="57"/>
      <c r="J202" s="57"/>
      <c r="K202" s="57"/>
      <c r="L202" s="57"/>
      <c r="M202" s="57"/>
      <c r="Q202">
        <f t="shared" si="24"/>
        <v>0</v>
      </c>
      <c r="R202">
        <f t="shared" si="25"/>
        <v>0</v>
      </c>
      <c r="S202">
        <f t="shared" si="26"/>
        <v>0</v>
      </c>
      <c r="T202">
        <f t="shared" si="27"/>
        <v>0</v>
      </c>
      <c r="U202">
        <f t="shared" si="28"/>
        <v>0</v>
      </c>
      <c r="V202">
        <f t="shared" si="29"/>
        <v>0</v>
      </c>
      <c r="Y202" t="str">
        <f t="shared" si="30"/>
        <v>Turkey</v>
      </c>
      <c r="Z202" s="104" t="str">
        <f t="shared" si="31"/>
        <v/>
      </c>
      <c r="AA202" s="104" t="str">
        <f t="shared" si="32"/>
        <v/>
      </c>
      <c r="AB202" s="104" t="str">
        <f t="shared" si="33"/>
        <v/>
      </c>
    </row>
    <row r="203" spans="1:28" x14ac:dyDescent="0.25">
      <c r="A203" s="55" t="s">
        <v>12907</v>
      </c>
      <c r="B203" s="57">
        <v>1</v>
      </c>
      <c r="C203" s="57"/>
      <c r="D203" s="57"/>
      <c r="E203" s="57"/>
      <c r="F203" s="57"/>
      <c r="G203" s="57"/>
      <c r="H203" s="57"/>
      <c r="I203" s="57"/>
      <c r="J203" s="57"/>
      <c r="K203" s="57"/>
      <c r="L203" s="57"/>
      <c r="M203" s="57"/>
      <c r="Q203">
        <f t="shared" si="24"/>
        <v>1</v>
      </c>
      <c r="R203">
        <f t="shared" si="25"/>
        <v>0</v>
      </c>
      <c r="S203">
        <f t="shared" si="26"/>
        <v>0</v>
      </c>
      <c r="T203">
        <f t="shared" si="27"/>
        <v>0</v>
      </c>
      <c r="U203">
        <f t="shared" si="28"/>
        <v>0</v>
      </c>
      <c r="V203">
        <f t="shared" si="29"/>
        <v>0</v>
      </c>
      <c r="Y203" t="str">
        <f t="shared" si="30"/>
        <v>United Kingdom</v>
      </c>
      <c r="Z203" s="104">
        <f t="shared" si="31"/>
        <v>0</v>
      </c>
      <c r="AA203" s="104" t="str">
        <f t="shared" si="32"/>
        <v/>
      </c>
      <c r="AB203" s="104" t="str">
        <f t="shared" si="33"/>
        <v/>
      </c>
    </row>
    <row r="204" spans="1:28" x14ac:dyDescent="0.25">
      <c r="A204" s="55" t="s">
        <v>13710</v>
      </c>
      <c r="B204" s="57"/>
      <c r="C204" s="57"/>
      <c r="D204" s="57"/>
      <c r="E204" s="57"/>
      <c r="F204" s="57">
        <v>2</v>
      </c>
      <c r="G204" s="57"/>
      <c r="H204" s="57"/>
      <c r="I204" s="57">
        <v>5</v>
      </c>
      <c r="J204" s="57"/>
      <c r="K204" s="57"/>
      <c r="L204" s="57"/>
      <c r="M204" s="57"/>
      <c r="Q204">
        <f t="shared" si="24"/>
        <v>0</v>
      </c>
      <c r="R204">
        <f t="shared" si="25"/>
        <v>0</v>
      </c>
      <c r="S204">
        <f t="shared" si="26"/>
        <v>0</v>
      </c>
      <c r="T204">
        <f t="shared" si="27"/>
        <v>2</v>
      </c>
      <c r="U204">
        <f t="shared" si="28"/>
        <v>0</v>
      </c>
      <c r="V204">
        <f t="shared" si="29"/>
        <v>5</v>
      </c>
      <c r="Y204" t="str">
        <f t="shared" si="30"/>
        <v>West Bank and Gaza</v>
      </c>
      <c r="Z204" s="104" t="str">
        <f t="shared" si="31"/>
        <v/>
      </c>
      <c r="AA204" s="104">
        <f t="shared" si="32"/>
        <v>1</v>
      </c>
      <c r="AB204" s="104">
        <f t="shared" si="33"/>
        <v>1</v>
      </c>
    </row>
    <row r="205" spans="1:28" x14ac:dyDescent="0.25">
      <c r="A205" s="55" t="s">
        <v>13783</v>
      </c>
      <c r="B205" s="57"/>
      <c r="C205" s="57"/>
      <c r="D205" s="57"/>
      <c r="E205" s="57"/>
      <c r="F205" s="57">
        <v>17</v>
      </c>
      <c r="G205" s="57"/>
      <c r="H205" s="57"/>
      <c r="I205" s="57"/>
      <c r="J205" s="57"/>
      <c r="K205" s="57"/>
      <c r="L205" s="57"/>
      <c r="M205" s="57"/>
      <c r="Q205">
        <f t="shared" si="24"/>
        <v>0</v>
      </c>
      <c r="R205">
        <f t="shared" si="25"/>
        <v>0</v>
      </c>
      <c r="S205">
        <f t="shared" si="26"/>
        <v>0</v>
      </c>
      <c r="T205">
        <f t="shared" si="27"/>
        <v>17</v>
      </c>
      <c r="U205">
        <f t="shared" si="28"/>
        <v>0</v>
      </c>
      <c r="V205">
        <f t="shared" si="29"/>
        <v>0</v>
      </c>
      <c r="Y205" t="str">
        <f t="shared" si="30"/>
        <v>Yemen</v>
      </c>
      <c r="Z205" s="104" t="str">
        <f t="shared" si="31"/>
        <v/>
      </c>
      <c r="AA205" s="104">
        <f t="shared" si="32"/>
        <v>1</v>
      </c>
      <c r="AB205" s="104" t="str">
        <f t="shared" si="33"/>
        <v/>
      </c>
    </row>
    <row r="206" spans="1:28" x14ac:dyDescent="0.25">
      <c r="A206" s="50" t="s">
        <v>14281</v>
      </c>
      <c r="B206" s="57">
        <v>6</v>
      </c>
      <c r="C206" s="57">
        <v>11</v>
      </c>
      <c r="D206" s="57"/>
      <c r="E206" s="57">
        <v>9</v>
      </c>
      <c r="F206" s="57">
        <v>55</v>
      </c>
      <c r="G206" s="57"/>
      <c r="H206" s="57">
        <v>1</v>
      </c>
      <c r="I206" s="57">
        <v>38</v>
      </c>
      <c r="J206" s="57"/>
      <c r="K206" s="57"/>
      <c r="L206" s="57"/>
      <c r="M206" s="57"/>
      <c r="Q206">
        <f t="shared" si="24"/>
        <v>6</v>
      </c>
      <c r="R206">
        <f t="shared" si="25"/>
        <v>11</v>
      </c>
      <c r="S206">
        <f t="shared" si="26"/>
        <v>9</v>
      </c>
      <c r="T206">
        <f t="shared" si="27"/>
        <v>55</v>
      </c>
      <c r="U206">
        <f t="shared" si="28"/>
        <v>1</v>
      </c>
      <c r="V206">
        <f t="shared" si="29"/>
        <v>38</v>
      </c>
      <c r="Y206" t="str">
        <f t="shared" si="30"/>
        <v>Middle East, North Africa and Europe Total</v>
      </c>
      <c r="Z206" s="104">
        <f t="shared" si="31"/>
        <v>0.6470588235294118</v>
      </c>
      <c r="AA206" s="104">
        <f t="shared" si="32"/>
        <v>0.859375</v>
      </c>
      <c r="AB206" s="104">
        <f t="shared" si="33"/>
        <v>0.97435897435897434</v>
      </c>
    </row>
    <row r="207" spans="1:28" x14ac:dyDescent="0.25">
      <c r="A207" s="50" t="s">
        <v>12970</v>
      </c>
      <c r="B207" s="57"/>
      <c r="C207" s="57"/>
      <c r="D207" s="57"/>
      <c r="E207" s="57"/>
      <c r="F207" s="57"/>
      <c r="G207" s="57"/>
      <c r="H207" s="57"/>
      <c r="I207" s="57"/>
      <c r="J207" s="57"/>
      <c r="K207" s="57"/>
      <c r="L207" s="57"/>
      <c r="M207" s="57"/>
      <c r="Q207">
        <f t="shared" si="24"/>
        <v>0</v>
      </c>
      <c r="R207">
        <f t="shared" si="25"/>
        <v>0</v>
      </c>
      <c r="S207">
        <f t="shared" si="26"/>
        <v>0</v>
      </c>
      <c r="T207">
        <f t="shared" si="27"/>
        <v>0</v>
      </c>
      <c r="U207">
        <f t="shared" si="28"/>
        <v>0</v>
      </c>
      <c r="V207">
        <f t="shared" si="29"/>
        <v>0</v>
      </c>
      <c r="Y207" t="str">
        <f t="shared" si="30"/>
        <v>North America</v>
      </c>
      <c r="Z207" s="104" t="str">
        <f t="shared" si="31"/>
        <v/>
      </c>
      <c r="AA207" s="104" t="str">
        <f t="shared" si="32"/>
        <v/>
      </c>
      <c r="AB207" s="104" t="str">
        <f t="shared" si="33"/>
        <v/>
      </c>
    </row>
    <row r="208" spans="1:28" x14ac:dyDescent="0.25">
      <c r="A208" s="55" t="s">
        <v>12969</v>
      </c>
      <c r="B208" s="57"/>
      <c r="C208" s="57"/>
      <c r="D208" s="57"/>
      <c r="E208" s="57"/>
      <c r="F208" s="57"/>
      <c r="G208" s="57"/>
      <c r="H208" s="57"/>
      <c r="I208" s="57"/>
      <c r="J208" s="57"/>
      <c r="K208" s="57"/>
      <c r="L208" s="57"/>
      <c r="M208" s="57"/>
      <c r="Q208">
        <f t="shared" si="24"/>
        <v>0</v>
      </c>
      <c r="R208">
        <f t="shared" si="25"/>
        <v>0</v>
      </c>
      <c r="S208">
        <f t="shared" si="26"/>
        <v>0</v>
      </c>
      <c r="T208">
        <f t="shared" si="27"/>
        <v>0</v>
      </c>
      <c r="U208">
        <f t="shared" si="28"/>
        <v>0</v>
      </c>
      <c r="V208">
        <f t="shared" si="29"/>
        <v>0</v>
      </c>
      <c r="Y208" t="str">
        <f t="shared" si="30"/>
        <v>United States of America</v>
      </c>
      <c r="Z208" s="104" t="str">
        <f t="shared" si="31"/>
        <v/>
      </c>
      <c r="AA208" s="104" t="str">
        <f t="shared" si="32"/>
        <v/>
      </c>
      <c r="AB208" s="104" t="str">
        <f t="shared" si="33"/>
        <v/>
      </c>
    </row>
    <row r="209" spans="1:37" x14ac:dyDescent="0.25">
      <c r="A209" s="50" t="s">
        <v>14282</v>
      </c>
      <c r="B209" s="57"/>
      <c r="C209" s="57"/>
      <c r="D209" s="57"/>
      <c r="E209" s="57"/>
      <c r="F209" s="57"/>
      <c r="G209" s="57"/>
      <c r="H209" s="57"/>
      <c r="I209" s="57"/>
      <c r="J209" s="57"/>
      <c r="K209" s="57"/>
      <c r="L209" s="57"/>
      <c r="M209" s="57"/>
      <c r="Q209">
        <f t="shared" si="24"/>
        <v>0</v>
      </c>
      <c r="R209">
        <f t="shared" si="25"/>
        <v>0</v>
      </c>
      <c r="S209">
        <f t="shared" si="26"/>
        <v>0</v>
      </c>
      <c r="T209">
        <f t="shared" si="27"/>
        <v>0</v>
      </c>
      <c r="U209">
        <f t="shared" si="28"/>
        <v>0</v>
      </c>
      <c r="V209">
        <f t="shared" si="29"/>
        <v>0</v>
      </c>
      <c r="Y209" t="str">
        <f t="shared" si="30"/>
        <v>North America Total</v>
      </c>
      <c r="Z209" s="104" t="str">
        <f t="shared" si="31"/>
        <v/>
      </c>
      <c r="AA209" s="104" t="str">
        <f t="shared" si="32"/>
        <v/>
      </c>
      <c r="AB209" s="104" t="str">
        <f t="shared" si="33"/>
        <v/>
      </c>
    </row>
    <row r="210" spans="1:37" x14ac:dyDescent="0.25">
      <c r="A210" s="50" t="s">
        <v>14272</v>
      </c>
      <c r="B210" s="57">
        <v>28</v>
      </c>
      <c r="C210" s="57">
        <v>47</v>
      </c>
      <c r="D210" s="57"/>
      <c r="E210" s="57">
        <v>66</v>
      </c>
      <c r="F210" s="57">
        <v>412</v>
      </c>
      <c r="G210" s="57"/>
      <c r="H210" s="57">
        <v>38</v>
      </c>
      <c r="I210" s="57">
        <v>167</v>
      </c>
      <c r="J210" s="57"/>
      <c r="K210" s="57">
        <v>2</v>
      </c>
      <c r="L210" s="57">
        <v>3</v>
      </c>
      <c r="M210" s="57"/>
      <c r="Q210">
        <f t="shared" si="24"/>
        <v>28</v>
      </c>
      <c r="R210">
        <f t="shared" si="25"/>
        <v>47</v>
      </c>
      <c r="S210">
        <f t="shared" si="26"/>
        <v>66</v>
      </c>
      <c r="T210">
        <f t="shared" si="27"/>
        <v>412</v>
      </c>
      <c r="U210">
        <f t="shared" si="28"/>
        <v>38</v>
      </c>
      <c r="V210">
        <f t="shared" si="29"/>
        <v>167</v>
      </c>
      <c r="Y210" t="str">
        <f t="shared" si="30"/>
        <v>Grand Total</v>
      </c>
      <c r="Z210" s="104">
        <f t="shared" si="31"/>
        <v>0.62666666666666671</v>
      </c>
      <c r="AA210" s="104">
        <f t="shared" si="32"/>
        <v>0.86192468619246865</v>
      </c>
      <c r="AB210" s="104">
        <f t="shared" si="33"/>
        <v>0.81463414634146336</v>
      </c>
    </row>
    <row r="211" spans="1:37" x14ac:dyDescent="0.25">
      <c r="Q211">
        <f t="shared" si="24"/>
        <v>0</v>
      </c>
      <c r="R211">
        <f t="shared" si="25"/>
        <v>0</v>
      </c>
      <c r="S211">
        <f t="shared" si="26"/>
        <v>0</v>
      </c>
      <c r="T211">
        <f t="shared" si="27"/>
        <v>0</v>
      </c>
      <c r="U211">
        <f t="shared" si="28"/>
        <v>0</v>
      </c>
      <c r="V211">
        <f t="shared" si="29"/>
        <v>0</v>
      </c>
      <c r="Y211">
        <f t="shared" si="30"/>
        <v>0</v>
      </c>
      <c r="Z211" s="104" t="str">
        <f t="shared" si="31"/>
        <v/>
      </c>
      <c r="AA211" s="104" t="str">
        <f t="shared" si="32"/>
        <v/>
      </c>
      <c r="AB211" s="104" t="str">
        <f t="shared" si="33"/>
        <v/>
      </c>
    </row>
    <row r="214" spans="1:37" x14ac:dyDescent="0.25">
      <c r="A214" s="49" t="s">
        <v>14555</v>
      </c>
      <c r="B214" s="49" t="s">
        <v>14283</v>
      </c>
    </row>
    <row r="215" spans="1:37" x14ac:dyDescent="0.25">
      <c r="B215" t="s">
        <v>456</v>
      </c>
      <c r="E215" t="s">
        <v>337</v>
      </c>
      <c r="H215" t="s">
        <v>622</v>
      </c>
      <c r="K215" t="s">
        <v>14275</v>
      </c>
      <c r="Q215" s="431" t="str">
        <f>A214</f>
        <v>Count of Resilience marker - Activities</v>
      </c>
      <c r="R215" s="431"/>
      <c r="S215" s="431"/>
      <c r="T215" s="431"/>
      <c r="U215" s="431"/>
      <c r="V215" s="431"/>
      <c r="W215" s="121"/>
      <c r="X215" s="121"/>
      <c r="Z215" s="431"/>
      <c r="AA215" s="431"/>
      <c r="AB215" s="431"/>
    </row>
    <row r="216" spans="1:37" x14ac:dyDescent="0.25">
      <c r="A216" s="49" t="s">
        <v>14283</v>
      </c>
      <c r="B216" t="s">
        <v>319</v>
      </c>
      <c r="C216" t="s">
        <v>320</v>
      </c>
      <c r="D216" t="s">
        <v>14275</v>
      </c>
      <c r="E216" t="s">
        <v>319</v>
      </c>
      <c r="F216" t="s">
        <v>320</v>
      </c>
      <c r="G216" t="s">
        <v>14275</v>
      </c>
      <c r="H216" t="s">
        <v>319</v>
      </c>
      <c r="I216" t="s">
        <v>320</v>
      </c>
      <c r="J216" t="s">
        <v>14275</v>
      </c>
      <c r="K216" t="s">
        <v>319</v>
      </c>
      <c r="L216" t="s">
        <v>14275</v>
      </c>
      <c r="Q216" s="431" t="s">
        <v>14552</v>
      </c>
      <c r="R216" s="431"/>
      <c r="S216" s="431" t="s">
        <v>14553</v>
      </c>
      <c r="T216" s="431"/>
      <c r="U216" s="431" t="s">
        <v>14554</v>
      </c>
      <c r="V216" s="431"/>
      <c r="W216" s="122"/>
      <c r="X216" s="122"/>
      <c r="Y216" s="49"/>
      <c r="Z216" s="49" t="s">
        <v>14541</v>
      </c>
      <c r="AA216" s="49"/>
      <c r="AB216" s="49"/>
      <c r="AC216" s="49"/>
      <c r="AD216" s="49"/>
      <c r="AE216" s="49"/>
      <c r="AF216" s="49"/>
      <c r="AG216" s="49"/>
      <c r="AH216" s="49"/>
      <c r="AI216" s="49"/>
      <c r="AJ216" s="49"/>
      <c r="AK216" s="49"/>
    </row>
    <row r="217" spans="1:37" x14ac:dyDescent="0.25">
      <c r="A217" s="50" t="s">
        <v>1874</v>
      </c>
      <c r="B217" s="57"/>
      <c r="C217" s="57"/>
      <c r="D217" s="57"/>
      <c r="E217" s="57"/>
      <c r="F217" s="57"/>
      <c r="G217" s="57"/>
      <c r="H217" s="57"/>
      <c r="I217" s="57"/>
      <c r="J217" s="57"/>
      <c r="K217" s="57"/>
      <c r="L217" s="57"/>
      <c r="Q217" s="121" t="s">
        <v>7463</v>
      </c>
      <c r="R217" s="121" t="s">
        <v>326</v>
      </c>
      <c r="S217" s="121" t="s">
        <v>7463</v>
      </c>
      <c r="T217" s="121" t="s">
        <v>326</v>
      </c>
      <c r="U217" s="121" t="s">
        <v>7463</v>
      </c>
      <c r="V217" s="121" t="s">
        <v>326</v>
      </c>
      <c r="W217" s="121"/>
      <c r="X217" s="121"/>
      <c r="Z217" s="121" t="str">
        <f>Q216</f>
        <v>Did not address resilience</v>
      </c>
      <c r="AA217" s="121" t="str">
        <f>S216</f>
        <v>Addressed resilience</v>
      </c>
      <c r="AB217" s="121" t="str">
        <f>U216</f>
        <v>Addressed resilience AND underlying drivers</v>
      </c>
    </row>
    <row r="218" spans="1:37" x14ac:dyDescent="0.25">
      <c r="A218" s="55" t="s">
        <v>1873</v>
      </c>
      <c r="B218" s="57">
        <v>1</v>
      </c>
      <c r="C218" s="57">
        <v>5</v>
      </c>
      <c r="D218" s="57"/>
      <c r="E218" s="57">
        <v>1</v>
      </c>
      <c r="F218" s="57">
        <v>5</v>
      </c>
      <c r="G218" s="57"/>
      <c r="H218" s="57"/>
      <c r="I218" s="57">
        <v>1</v>
      </c>
      <c r="J218" s="57"/>
      <c r="K218" s="57"/>
      <c r="L218" s="57"/>
      <c r="Q218">
        <f t="shared" ref="Q218:Q249" si="34">B218</f>
        <v>1</v>
      </c>
      <c r="R218">
        <f t="shared" ref="R218:R249" si="35">C218</f>
        <v>5</v>
      </c>
      <c r="S218">
        <f t="shared" ref="S218:S249" si="36">E218</f>
        <v>1</v>
      </c>
      <c r="T218">
        <f t="shared" ref="T218:T249" si="37">F218</f>
        <v>5</v>
      </c>
      <c r="U218">
        <f t="shared" ref="U218:U249" si="38">H218</f>
        <v>0</v>
      </c>
      <c r="V218">
        <f t="shared" ref="V218:V249" si="39">I218</f>
        <v>1</v>
      </c>
      <c r="Y218" t="str">
        <f t="shared" ref="Y218:Y249" si="40">A218</f>
        <v>Burundi</v>
      </c>
      <c r="Z218" s="104">
        <f>IFERROR(R218/(SUM($Q218:$R218)),"")</f>
        <v>0.83333333333333337</v>
      </c>
      <c r="AA218" s="104">
        <f>IFERROR(T218/(SUM($S218:$T218)),"")</f>
        <v>0.83333333333333337</v>
      </c>
      <c r="AB218" s="104">
        <f>IFERROR(V218/(SUM($U218:$V218)),"")</f>
        <v>1</v>
      </c>
    </row>
    <row r="219" spans="1:37" x14ac:dyDescent="0.25">
      <c r="A219" s="55" t="s">
        <v>3868</v>
      </c>
      <c r="B219" s="57"/>
      <c r="C219" s="57"/>
      <c r="D219" s="57"/>
      <c r="E219" s="57"/>
      <c r="F219" s="57">
        <v>21</v>
      </c>
      <c r="G219" s="57"/>
      <c r="H219" s="57">
        <v>1</v>
      </c>
      <c r="I219" s="57">
        <v>7</v>
      </c>
      <c r="J219" s="57"/>
      <c r="K219" s="57"/>
      <c r="L219" s="57"/>
      <c r="Q219">
        <f t="shared" si="34"/>
        <v>0</v>
      </c>
      <c r="R219">
        <f t="shared" si="35"/>
        <v>0</v>
      </c>
      <c r="S219">
        <f t="shared" si="36"/>
        <v>0</v>
      </c>
      <c r="T219">
        <f t="shared" si="37"/>
        <v>21</v>
      </c>
      <c r="U219">
        <f t="shared" si="38"/>
        <v>1</v>
      </c>
      <c r="V219">
        <f t="shared" si="39"/>
        <v>7</v>
      </c>
      <c r="Y219" t="str">
        <f t="shared" si="40"/>
        <v>Ethiopia</v>
      </c>
      <c r="Z219" s="104" t="str">
        <f t="shared" ref="Z219:Z282" si="41">IFERROR(R219/(SUM($Q219:$R219)),"")</f>
        <v/>
      </c>
      <c r="AA219" s="104">
        <f t="shared" ref="AA219:AA282" si="42">IFERROR(T219/(SUM($S219:$T219)),"")</f>
        <v>1</v>
      </c>
      <c r="AB219" s="104">
        <f t="shared" ref="AB219:AB282" si="43">IFERROR(V219/(SUM($U219:$V219)),"")</f>
        <v>0.875</v>
      </c>
    </row>
    <row r="220" spans="1:37" x14ac:dyDescent="0.25">
      <c r="A220" s="55" t="s">
        <v>6457</v>
      </c>
      <c r="B220" s="57">
        <v>1</v>
      </c>
      <c r="C220" s="57"/>
      <c r="D220" s="57"/>
      <c r="E220" s="57">
        <v>4</v>
      </c>
      <c r="F220" s="57">
        <v>12</v>
      </c>
      <c r="G220" s="57"/>
      <c r="H220" s="57"/>
      <c r="I220" s="57">
        <v>5</v>
      </c>
      <c r="J220" s="57"/>
      <c r="K220" s="57"/>
      <c r="L220" s="57"/>
      <c r="Q220">
        <f t="shared" si="34"/>
        <v>1</v>
      </c>
      <c r="R220">
        <f t="shared" si="35"/>
        <v>0</v>
      </c>
      <c r="S220">
        <f t="shared" si="36"/>
        <v>4</v>
      </c>
      <c r="T220">
        <f t="shared" si="37"/>
        <v>12</v>
      </c>
      <c r="U220">
        <f t="shared" si="38"/>
        <v>0</v>
      </c>
      <c r="V220">
        <f t="shared" si="39"/>
        <v>5</v>
      </c>
      <c r="Y220" t="str">
        <f t="shared" si="40"/>
        <v>Kenya</v>
      </c>
      <c r="Z220" s="104">
        <f t="shared" si="41"/>
        <v>0</v>
      </c>
      <c r="AA220" s="104">
        <f t="shared" si="42"/>
        <v>0.75</v>
      </c>
      <c r="AB220" s="104">
        <f t="shared" si="43"/>
        <v>1</v>
      </c>
    </row>
    <row r="221" spans="1:37" x14ac:dyDescent="0.25">
      <c r="A221" s="55" t="s">
        <v>10371</v>
      </c>
      <c r="B221" s="57"/>
      <c r="C221" s="57"/>
      <c r="D221" s="57"/>
      <c r="E221" s="57"/>
      <c r="F221" s="57">
        <v>2</v>
      </c>
      <c r="G221" s="57"/>
      <c r="H221" s="57">
        <v>1</v>
      </c>
      <c r="I221" s="57">
        <v>4</v>
      </c>
      <c r="J221" s="57"/>
      <c r="K221" s="57"/>
      <c r="L221" s="57"/>
      <c r="Q221">
        <f t="shared" si="34"/>
        <v>0</v>
      </c>
      <c r="R221">
        <f t="shared" si="35"/>
        <v>0</v>
      </c>
      <c r="S221">
        <f t="shared" si="36"/>
        <v>0</v>
      </c>
      <c r="T221">
        <f t="shared" si="37"/>
        <v>2</v>
      </c>
      <c r="U221">
        <f t="shared" si="38"/>
        <v>1</v>
      </c>
      <c r="V221">
        <f t="shared" si="39"/>
        <v>4</v>
      </c>
      <c r="Y221" t="str">
        <f t="shared" si="40"/>
        <v>Rwanda</v>
      </c>
      <c r="Z221" s="104" t="str">
        <f t="shared" si="41"/>
        <v/>
      </c>
      <c r="AA221" s="104">
        <f t="shared" si="42"/>
        <v>1</v>
      </c>
      <c r="AB221" s="104">
        <f t="shared" si="43"/>
        <v>0.8</v>
      </c>
    </row>
    <row r="222" spans="1:37" x14ac:dyDescent="0.25">
      <c r="A222" s="55" t="s">
        <v>10685</v>
      </c>
      <c r="B222" s="57"/>
      <c r="C222" s="57"/>
      <c r="D222" s="57"/>
      <c r="E222" s="57">
        <v>2</v>
      </c>
      <c r="F222" s="57">
        <v>6</v>
      </c>
      <c r="G222" s="57"/>
      <c r="H222" s="57"/>
      <c r="I222" s="57">
        <v>5</v>
      </c>
      <c r="J222" s="57"/>
      <c r="K222" s="57"/>
      <c r="L222" s="57"/>
      <c r="Q222">
        <f t="shared" si="34"/>
        <v>0</v>
      </c>
      <c r="R222">
        <f t="shared" si="35"/>
        <v>0</v>
      </c>
      <c r="S222">
        <f t="shared" si="36"/>
        <v>2</v>
      </c>
      <c r="T222">
        <f t="shared" si="37"/>
        <v>6</v>
      </c>
      <c r="U222">
        <f t="shared" si="38"/>
        <v>0</v>
      </c>
      <c r="V222">
        <f t="shared" si="39"/>
        <v>5</v>
      </c>
      <c r="Y222" t="str">
        <f t="shared" si="40"/>
        <v>Somalia</v>
      </c>
      <c r="Z222" s="104" t="str">
        <f t="shared" si="41"/>
        <v/>
      </c>
      <c r="AA222" s="104">
        <f t="shared" si="42"/>
        <v>0.75</v>
      </c>
      <c r="AB222" s="104">
        <f t="shared" si="43"/>
        <v>1</v>
      </c>
    </row>
    <row r="223" spans="1:37" x14ac:dyDescent="0.25">
      <c r="A223" s="55" t="s">
        <v>11104</v>
      </c>
      <c r="B223" s="57">
        <v>4</v>
      </c>
      <c r="C223" s="57"/>
      <c r="D223" s="57"/>
      <c r="E223" s="57"/>
      <c r="F223" s="57">
        <v>2</v>
      </c>
      <c r="G223" s="57"/>
      <c r="H223" s="57"/>
      <c r="I223" s="57">
        <v>15</v>
      </c>
      <c r="J223" s="57"/>
      <c r="K223" s="57"/>
      <c r="L223" s="57"/>
      <c r="Q223">
        <f t="shared" si="34"/>
        <v>4</v>
      </c>
      <c r="R223">
        <f t="shared" si="35"/>
        <v>0</v>
      </c>
      <c r="S223">
        <f t="shared" si="36"/>
        <v>0</v>
      </c>
      <c r="T223">
        <f t="shared" si="37"/>
        <v>2</v>
      </c>
      <c r="U223">
        <f t="shared" si="38"/>
        <v>0</v>
      </c>
      <c r="V223">
        <f t="shared" si="39"/>
        <v>15</v>
      </c>
      <c r="Y223" t="str">
        <f t="shared" si="40"/>
        <v>South Sudan</v>
      </c>
      <c r="Z223" s="104">
        <f t="shared" si="41"/>
        <v>0</v>
      </c>
      <c r="AA223" s="104">
        <f t="shared" si="42"/>
        <v>1</v>
      </c>
      <c r="AB223" s="104">
        <f t="shared" si="43"/>
        <v>1</v>
      </c>
    </row>
    <row r="224" spans="1:37" x14ac:dyDescent="0.25">
      <c r="A224" s="55" t="s">
        <v>11417</v>
      </c>
      <c r="B224" s="57"/>
      <c r="C224" s="57"/>
      <c r="D224" s="57"/>
      <c r="E224" s="57">
        <v>7</v>
      </c>
      <c r="F224" s="57">
        <v>7</v>
      </c>
      <c r="G224" s="57"/>
      <c r="H224" s="57"/>
      <c r="I224" s="57">
        <v>4</v>
      </c>
      <c r="J224" s="57"/>
      <c r="K224" s="57"/>
      <c r="L224" s="57"/>
      <c r="Q224">
        <f t="shared" si="34"/>
        <v>0</v>
      </c>
      <c r="R224">
        <f t="shared" si="35"/>
        <v>0</v>
      </c>
      <c r="S224">
        <f t="shared" si="36"/>
        <v>7</v>
      </c>
      <c r="T224">
        <f t="shared" si="37"/>
        <v>7</v>
      </c>
      <c r="U224">
        <f t="shared" si="38"/>
        <v>0</v>
      </c>
      <c r="V224">
        <f t="shared" si="39"/>
        <v>4</v>
      </c>
      <c r="Y224" t="str">
        <f t="shared" si="40"/>
        <v>Sudan</v>
      </c>
      <c r="Z224" s="104" t="str">
        <f t="shared" si="41"/>
        <v/>
      </c>
      <c r="AA224" s="104">
        <f t="shared" si="42"/>
        <v>0.5</v>
      </c>
      <c r="AB224" s="104">
        <f t="shared" si="43"/>
        <v>1</v>
      </c>
    </row>
    <row r="225" spans="1:28" x14ac:dyDescent="0.25">
      <c r="A225" s="55" t="s">
        <v>12694</v>
      </c>
      <c r="B225" s="57"/>
      <c r="C225" s="57"/>
      <c r="D225" s="57"/>
      <c r="E225" s="57"/>
      <c r="F225" s="57">
        <v>9</v>
      </c>
      <c r="G225" s="57"/>
      <c r="H225" s="57"/>
      <c r="I225" s="57">
        <v>4</v>
      </c>
      <c r="J225" s="57"/>
      <c r="K225" s="57"/>
      <c r="L225" s="57"/>
      <c r="Q225">
        <f t="shared" si="34"/>
        <v>0</v>
      </c>
      <c r="R225">
        <f t="shared" si="35"/>
        <v>0</v>
      </c>
      <c r="S225">
        <f t="shared" si="36"/>
        <v>0</v>
      </c>
      <c r="T225">
        <f t="shared" si="37"/>
        <v>9</v>
      </c>
      <c r="U225">
        <f t="shared" si="38"/>
        <v>0</v>
      </c>
      <c r="V225">
        <f t="shared" si="39"/>
        <v>4</v>
      </c>
      <c r="Y225" t="str">
        <f t="shared" si="40"/>
        <v>Uganda</v>
      </c>
      <c r="Z225" s="104" t="str">
        <f t="shared" si="41"/>
        <v/>
      </c>
      <c r="AA225" s="104">
        <f t="shared" si="42"/>
        <v>1</v>
      </c>
      <c r="AB225" s="104">
        <f t="shared" si="43"/>
        <v>1</v>
      </c>
    </row>
    <row r="226" spans="1:28" x14ac:dyDescent="0.25">
      <c r="A226" s="55" t="s">
        <v>14322</v>
      </c>
      <c r="B226" s="57"/>
      <c r="C226" s="57"/>
      <c r="D226" s="57"/>
      <c r="E226" s="57"/>
      <c r="F226" s="57">
        <v>4</v>
      </c>
      <c r="G226" s="57"/>
      <c r="H226" s="57"/>
      <c r="I226" s="57"/>
      <c r="J226" s="57"/>
      <c r="K226" s="57"/>
      <c r="L226" s="57"/>
      <c r="Q226">
        <f t="shared" si="34"/>
        <v>0</v>
      </c>
      <c r="R226">
        <f t="shared" si="35"/>
        <v>0</v>
      </c>
      <c r="S226">
        <f t="shared" si="36"/>
        <v>0</v>
      </c>
      <c r="T226">
        <f t="shared" si="37"/>
        <v>4</v>
      </c>
      <c r="U226">
        <f t="shared" si="38"/>
        <v>0</v>
      </c>
      <c r="V226">
        <f t="shared" si="39"/>
        <v>0</v>
      </c>
      <c r="Y226" t="str">
        <f t="shared" si="40"/>
        <v>DRC</v>
      </c>
      <c r="Z226" s="104" t="str">
        <f t="shared" si="41"/>
        <v/>
      </c>
      <c r="AA226" s="104">
        <f t="shared" si="42"/>
        <v>1</v>
      </c>
      <c r="AB226" s="104" t="str">
        <f t="shared" si="43"/>
        <v/>
      </c>
    </row>
    <row r="227" spans="1:28" x14ac:dyDescent="0.25">
      <c r="A227" s="50" t="s">
        <v>14276</v>
      </c>
      <c r="B227" s="57">
        <v>6</v>
      </c>
      <c r="C227" s="57">
        <v>5</v>
      </c>
      <c r="D227" s="57"/>
      <c r="E227" s="57">
        <v>14</v>
      </c>
      <c r="F227" s="57">
        <v>68</v>
      </c>
      <c r="G227" s="57"/>
      <c r="H227" s="57">
        <v>2</v>
      </c>
      <c r="I227" s="57">
        <v>45</v>
      </c>
      <c r="J227" s="57"/>
      <c r="K227" s="57"/>
      <c r="L227" s="57"/>
      <c r="Q227">
        <f t="shared" si="34"/>
        <v>6</v>
      </c>
      <c r="R227">
        <f t="shared" si="35"/>
        <v>5</v>
      </c>
      <c r="S227">
        <f t="shared" si="36"/>
        <v>14</v>
      </c>
      <c r="T227">
        <f t="shared" si="37"/>
        <v>68</v>
      </c>
      <c r="U227">
        <f t="shared" si="38"/>
        <v>2</v>
      </c>
      <c r="V227">
        <f t="shared" si="39"/>
        <v>45</v>
      </c>
      <c r="Y227" t="str">
        <f t="shared" si="40"/>
        <v>Africa - East and Central Total</v>
      </c>
      <c r="Z227" s="104">
        <f t="shared" si="41"/>
        <v>0.45454545454545453</v>
      </c>
      <c r="AA227" s="104">
        <f t="shared" si="42"/>
        <v>0.82926829268292679</v>
      </c>
      <c r="AB227" s="104">
        <f t="shared" si="43"/>
        <v>0.95744680851063835</v>
      </c>
    </row>
    <row r="228" spans="1:28" x14ac:dyDescent="0.25">
      <c r="A228" s="50" t="s">
        <v>7217</v>
      </c>
      <c r="B228" s="57"/>
      <c r="C228" s="57"/>
      <c r="D228" s="57"/>
      <c r="E228" s="57"/>
      <c r="F228" s="57"/>
      <c r="G228" s="57"/>
      <c r="H228" s="57"/>
      <c r="I228" s="57"/>
      <c r="J228" s="57"/>
      <c r="K228" s="57"/>
      <c r="L228" s="57"/>
      <c r="Q228">
        <f t="shared" si="34"/>
        <v>0</v>
      </c>
      <c r="R228">
        <f t="shared" si="35"/>
        <v>0</v>
      </c>
      <c r="S228">
        <f t="shared" si="36"/>
        <v>0</v>
      </c>
      <c r="T228">
        <f t="shared" si="37"/>
        <v>0</v>
      </c>
      <c r="U228">
        <f t="shared" si="38"/>
        <v>0</v>
      </c>
      <c r="V228">
        <f t="shared" si="39"/>
        <v>0</v>
      </c>
      <c r="Y228" t="str">
        <f t="shared" si="40"/>
        <v>Africa - Southern</v>
      </c>
      <c r="Z228" s="104" t="str">
        <f t="shared" si="41"/>
        <v/>
      </c>
      <c r="AA228" s="104" t="str">
        <f t="shared" si="42"/>
        <v/>
      </c>
      <c r="AB228" s="104" t="str">
        <f t="shared" si="43"/>
        <v/>
      </c>
    </row>
    <row r="229" spans="1:28" x14ac:dyDescent="0.25">
      <c r="A229" s="55" t="s">
        <v>7216</v>
      </c>
      <c r="B229" s="57"/>
      <c r="C229" s="57"/>
      <c r="D229" s="57"/>
      <c r="E229" s="57"/>
      <c r="F229" s="57">
        <v>8</v>
      </c>
      <c r="G229" s="57"/>
      <c r="H229" s="57"/>
      <c r="I229" s="57">
        <v>2</v>
      </c>
      <c r="J229" s="57"/>
      <c r="K229" s="57"/>
      <c r="L229" s="57"/>
      <c r="Q229">
        <f t="shared" si="34"/>
        <v>0</v>
      </c>
      <c r="R229">
        <f t="shared" si="35"/>
        <v>0</v>
      </c>
      <c r="S229">
        <f t="shared" si="36"/>
        <v>0</v>
      </c>
      <c r="T229">
        <f t="shared" si="37"/>
        <v>8</v>
      </c>
      <c r="U229">
        <f t="shared" si="38"/>
        <v>0</v>
      </c>
      <c r="V229">
        <f t="shared" si="39"/>
        <v>2</v>
      </c>
      <c r="Y229" t="str">
        <f t="shared" si="40"/>
        <v>Madagascar</v>
      </c>
      <c r="Z229" s="104" t="str">
        <f t="shared" si="41"/>
        <v/>
      </c>
      <c r="AA229" s="104">
        <f t="shared" si="42"/>
        <v>1</v>
      </c>
      <c r="AB229" s="104">
        <f t="shared" si="43"/>
        <v>1</v>
      </c>
    </row>
    <row r="230" spans="1:28" x14ac:dyDescent="0.25">
      <c r="A230" s="55" t="s">
        <v>7451</v>
      </c>
      <c r="B230" s="57">
        <v>4</v>
      </c>
      <c r="C230" s="57">
        <v>2</v>
      </c>
      <c r="D230" s="57"/>
      <c r="E230" s="57"/>
      <c r="F230" s="57">
        <v>11</v>
      </c>
      <c r="G230" s="57"/>
      <c r="H230" s="57"/>
      <c r="I230" s="57">
        <v>5</v>
      </c>
      <c r="J230" s="57"/>
      <c r="K230" s="57"/>
      <c r="L230" s="57"/>
      <c r="Q230">
        <f t="shared" si="34"/>
        <v>4</v>
      </c>
      <c r="R230">
        <f t="shared" si="35"/>
        <v>2</v>
      </c>
      <c r="S230">
        <f t="shared" si="36"/>
        <v>0</v>
      </c>
      <c r="T230">
        <f t="shared" si="37"/>
        <v>11</v>
      </c>
      <c r="U230">
        <f t="shared" si="38"/>
        <v>0</v>
      </c>
      <c r="V230">
        <f t="shared" si="39"/>
        <v>5</v>
      </c>
      <c r="Y230" t="str">
        <f t="shared" si="40"/>
        <v>Malawi</v>
      </c>
      <c r="Z230" s="104">
        <f t="shared" si="41"/>
        <v>0.33333333333333331</v>
      </c>
      <c r="AA230" s="104">
        <f t="shared" si="42"/>
        <v>1</v>
      </c>
      <c r="AB230" s="104">
        <f t="shared" si="43"/>
        <v>1</v>
      </c>
    </row>
    <row r="231" spans="1:28" x14ac:dyDescent="0.25">
      <c r="A231" s="55" t="s">
        <v>8265</v>
      </c>
      <c r="B231" s="57">
        <v>1</v>
      </c>
      <c r="C231" s="57"/>
      <c r="D231" s="57"/>
      <c r="E231" s="57"/>
      <c r="F231" s="57">
        <v>5</v>
      </c>
      <c r="G231" s="57"/>
      <c r="H231" s="57">
        <v>1</v>
      </c>
      <c r="I231" s="57">
        <v>2</v>
      </c>
      <c r="J231" s="57"/>
      <c r="K231" s="57"/>
      <c r="L231" s="57"/>
      <c r="Q231">
        <f t="shared" si="34"/>
        <v>1</v>
      </c>
      <c r="R231">
        <f t="shared" si="35"/>
        <v>0</v>
      </c>
      <c r="S231">
        <f t="shared" si="36"/>
        <v>0</v>
      </c>
      <c r="T231">
        <f t="shared" si="37"/>
        <v>5</v>
      </c>
      <c r="U231">
        <f t="shared" si="38"/>
        <v>1</v>
      </c>
      <c r="V231">
        <f t="shared" si="39"/>
        <v>2</v>
      </c>
      <c r="Y231" t="str">
        <f t="shared" si="40"/>
        <v>Mozambique</v>
      </c>
      <c r="Z231" s="104">
        <f t="shared" si="41"/>
        <v>0</v>
      </c>
      <c r="AA231" s="104">
        <f t="shared" si="42"/>
        <v>1</v>
      </c>
      <c r="AB231" s="104">
        <f t="shared" si="43"/>
        <v>0.66666666666666663</v>
      </c>
    </row>
    <row r="232" spans="1:28" x14ac:dyDescent="0.25">
      <c r="A232" s="55" t="s">
        <v>11102</v>
      </c>
      <c r="B232" s="57"/>
      <c r="C232" s="57"/>
      <c r="D232" s="57"/>
      <c r="E232" s="57"/>
      <c r="F232" s="57"/>
      <c r="G232" s="57"/>
      <c r="H232" s="57"/>
      <c r="I232" s="57"/>
      <c r="J232" s="57"/>
      <c r="K232" s="57"/>
      <c r="L232" s="57"/>
      <c r="Q232">
        <f t="shared" si="34"/>
        <v>0</v>
      </c>
      <c r="R232">
        <f t="shared" si="35"/>
        <v>0</v>
      </c>
      <c r="S232">
        <f t="shared" si="36"/>
        <v>0</v>
      </c>
      <c r="T232">
        <f t="shared" si="37"/>
        <v>0</v>
      </c>
      <c r="U232">
        <f t="shared" si="38"/>
        <v>0</v>
      </c>
      <c r="V232">
        <f t="shared" si="39"/>
        <v>0</v>
      </c>
      <c r="Y232" t="str">
        <f t="shared" si="40"/>
        <v>South Africa</v>
      </c>
      <c r="Z232" s="104" t="str">
        <f t="shared" si="41"/>
        <v/>
      </c>
      <c r="AA232" s="104" t="str">
        <f t="shared" si="42"/>
        <v/>
      </c>
      <c r="AB232" s="104" t="str">
        <f t="shared" si="43"/>
        <v/>
      </c>
    </row>
    <row r="233" spans="1:28" x14ac:dyDescent="0.25">
      <c r="A233" s="55" t="s">
        <v>12090</v>
      </c>
      <c r="B233" s="57"/>
      <c r="C233" s="57"/>
      <c r="D233" s="57"/>
      <c r="E233" s="57">
        <v>3</v>
      </c>
      <c r="F233" s="57">
        <v>7</v>
      </c>
      <c r="G233" s="57"/>
      <c r="H233" s="57"/>
      <c r="I233" s="57"/>
      <c r="J233" s="57"/>
      <c r="K233" s="57"/>
      <c r="L233" s="57"/>
      <c r="Q233">
        <f t="shared" si="34"/>
        <v>0</v>
      </c>
      <c r="R233">
        <f t="shared" si="35"/>
        <v>0</v>
      </c>
      <c r="S233">
        <f t="shared" si="36"/>
        <v>3</v>
      </c>
      <c r="T233">
        <f t="shared" si="37"/>
        <v>7</v>
      </c>
      <c r="U233">
        <f t="shared" si="38"/>
        <v>0</v>
      </c>
      <c r="V233">
        <f t="shared" si="39"/>
        <v>0</v>
      </c>
      <c r="Y233" t="str">
        <f t="shared" si="40"/>
        <v>Tanzania</v>
      </c>
      <c r="Z233" s="104" t="str">
        <f t="shared" si="41"/>
        <v/>
      </c>
      <c r="AA233" s="104">
        <f t="shared" si="42"/>
        <v>0.7</v>
      </c>
      <c r="AB233" s="104" t="str">
        <f t="shared" si="43"/>
        <v/>
      </c>
    </row>
    <row r="234" spans="1:28" x14ac:dyDescent="0.25">
      <c r="A234" s="55" t="s">
        <v>13917</v>
      </c>
      <c r="B234" s="57"/>
      <c r="C234" s="57"/>
      <c r="D234" s="57"/>
      <c r="E234" s="57"/>
      <c r="F234" s="57">
        <v>3</v>
      </c>
      <c r="G234" s="57"/>
      <c r="H234" s="57">
        <v>1</v>
      </c>
      <c r="I234" s="57"/>
      <c r="J234" s="57"/>
      <c r="K234" s="57"/>
      <c r="L234" s="57"/>
      <c r="Q234">
        <f t="shared" si="34"/>
        <v>0</v>
      </c>
      <c r="R234">
        <f t="shared" si="35"/>
        <v>0</v>
      </c>
      <c r="S234">
        <f t="shared" si="36"/>
        <v>0</v>
      </c>
      <c r="T234">
        <f t="shared" si="37"/>
        <v>3</v>
      </c>
      <c r="U234">
        <f t="shared" si="38"/>
        <v>1</v>
      </c>
      <c r="V234">
        <f t="shared" si="39"/>
        <v>0</v>
      </c>
      <c r="Y234" t="str">
        <f t="shared" si="40"/>
        <v>Zambia</v>
      </c>
      <c r="Z234" s="104" t="str">
        <f t="shared" si="41"/>
        <v/>
      </c>
      <c r="AA234" s="104">
        <f t="shared" si="42"/>
        <v>1</v>
      </c>
      <c r="AB234" s="104">
        <f t="shared" si="43"/>
        <v>0</v>
      </c>
    </row>
    <row r="235" spans="1:28" x14ac:dyDescent="0.25">
      <c r="A235" s="55" t="s">
        <v>14016</v>
      </c>
      <c r="B235" s="57">
        <v>1</v>
      </c>
      <c r="C235" s="57"/>
      <c r="D235" s="57"/>
      <c r="E235" s="57">
        <v>4</v>
      </c>
      <c r="F235" s="57">
        <v>6</v>
      </c>
      <c r="G235" s="57"/>
      <c r="H235" s="57"/>
      <c r="I235" s="57">
        <v>2</v>
      </c>
      <c r="J235" s="57"/>
      <c r="K235" s="57"/>
      <c r="L235" s="57"/>
      <c r="Q235">
        <f t="shared" si="34"/>
        <v>1</v>
      </c>
      <c r="R235">
        <f t="shared" si="35"/>
        <v>0</v>
      </c>
      <c r="S235">
        <f t="shared" si="36"/>
        <v>4</v>
      </c>
      <c r="T235">
        <f t="shared" si="37"/>
        <v>6</v>
      </c>
      <c r="U235">
        <f t="shared" si="38"/>
        <v>0</v>
      </c>
      <c r="V235">
        <f t="shared" si="39"/>
        <v>2</v>
      </c>
      <c r="Y235" t="str">
        <f t="shared" si="40"/>
        <v>Zimbabwe</v>
      </c>
      <c r="Z235" s="104">
        <f t="shared" si="41"/>
        <v>0</v>
      </c>
      <c r="AA235" s="104">
        <f t="shared" si="42"/>
        <v>0.6</v>
      </c>
      <c r="AB235" s="104">
        <f t="shared" si="43"/>
        <v>1</v>
      </c>
    </row>
    <row r="236" spans="1:28" x14ac:dyDescent="0.25">
      <c r="A236" s="50" t="s">
        <v>14277</v>
      </c>
      <c r="B236" s="57">
        <v>6</v>
      </c>
      <c r="C236" s="57">
        <v>2</v>
      </c>
      <c r="D236" s="57"/>
      <c r="E236" s="57">
        <v>7</v>
      </c>
      <c r="F236" s="57">
        <v>40</v>
      </c>
      <c r="G236" s="57"/>
      <c r="H236" s="57">
        <v>2</v>
      </c>
      <c r="I236" s="57">
        <v>11</v>
      </c>
      <c r="J236" s="57"/>
      <c r="K236" s="57"/>
      <c r="L236" s="57"/>
      <c r="Q236">
        <f t="shared" si="34"/>
        <v>6</v>
      </c>
      <c r="R236">
        <f t="shared" si="35"/>
        <v>2</v>
      </c>
      <c r="S236">
        <f t="shared" si="36"/>
        <v>7</v>
      </c>
      <c r="T236">
        <f t="shared" si="37"/>
        <v>40</v>
      </c>
      <c r="U236">
        <f t="shared" si="38"/>
        <v>2</v>
      </c>
      <c r="V236">
        <f t="shared" si="39"/>
        <v>11</v>
      </c>
      <c r="Y236" t="str">
        <f t="shared" si="40"/>
        <v>Africa - Southern Total</v>
      </c>
      <c r="Z236" s="104">
        <f t="shared" si="41"/>
        <v>0.25</v>
      </c>
      <c r="AA236" s="104">
        <f t="shared" si="42"/>
        <v>0.85106382978723405</v>
      </c>
      <c r="AB236" s="104">
        <f t="shared" si="43"/>
        <v>0.84615384615384615</v>
      </c>
    </row>
    <row r="237" spans="1:28" x14ac:dyDescent="0.25">
      <c r="A237" s="50" t="s">
        <v>1596</v>
      </c>
      <c r="B237" s="57"/>
      <c r="C237" s="57"/>
      <c r="D237" s="57"/>
      <c r="E237" s="57"/>
      <c r="F237" s="57"/>
      <c r="G237" s="57"/>
      <c r="H237" s="57"/>
      <c r="I237" s="57"/>
      <c r="J237" s="57"/>
      <c r="K237" s="57"/>
      <c r="L237" s="57"/>
      <c r="Q237">
        <f t="shared" si="34"/>
        <v>0</v>
      </c>
      <c r="R237">
        <f t="shared" si="35"/>
        <v>0</v>
      </c>
      <c r="S237">
        <f t="shared" si="36"/>
        <v>0</v>
      </c>
      <c r="T237">
        <f t="shared" si="37"/>
        <v>0</v>
      </c>
      <c r="U237">
        <f t="shared" si="38"/>
        <v>0</v>
      </c>
      <c r="V237">
        <f t="shared" si="39"/>
        <v>0</v>
      </c>
      <c r="Y237" t="str">
        <f t="shared" si="40"/>
        <v>Africa - Western</v>
      </c>
      <c r="Z237" s="104" t="str">
        <f t="shared" si="41"/>
        <v/>
      </c>
      <c r="AA237" s="104" t="str">
        <f t="shared" si="42"/>
        <v/>
      </c>
      <c r="AB237" s="104" t="str">
        <f t="shared" si="43"/>
        <v/>
      </c>
    </row>
    <row r="238" spans="1:28" x14ac:dyDescent="0.25">
      <c r="A238" s="55" t="s">
        <v>1595</v>
      </c>
      <c r="B238" s="57"/>
      <c r="C238" s="57">
        <v>2</v>
      </c>
      <c r="D238" s="57"/>
      <c r="E238" s="57"/>
      <c r="F238" s="57">
        <v>2</v>
      </c>
      <c r="G238" s="57"/>
      <c r="H238" s="57"/>
      <c r="I238" s="57">
        <v>1</v>
      </c>
      <c r="J238" s="57"/>
      <c r="K238" s="57"/>
      <c r="L238" s="57"/>
      <c r="Q238">
        <f t="shared" si="34"/>
        <v>0</v>
      </c>
      <c r="R238">
        <f t="shared" si="35"/>
        <v>2</v>
      </c>
      <c r="S238">
        <f t="shared" si="36"/>
        <v>0</v>
      </c>
      <c r="T238">
        <f t="shared" si="37"/>
        <v>2</v>
      </c>
      <c r="U238">
        <f t="shared" si="38"/>
        <v>0</v>
      </c>
      <c r="V238">
        <f t="shared" si="39"/>
        <v>1</v>
      </c>
      <c r="Y238" t="str">
        <f t="shared" si="40"/>
        <v>Benin</v>
      </c>
      <c r="Z238" s="104">
        <f t="shared" si="41"/>
        <v>1</v>
      </c>
      <c r="AA238" s="104">
        <f t="shared" si="42"/>
        <v>1</v>
      </c>
      <c r="AB238" s="104">
        <f t="shared" si="43"/>
        <v>1</v>
      </c>
    </row>
    <row r="239" spans="1:28" x14ac:dyDescent="0.25">
      <c r="A239" s="55" t="s">
        <v>1827</v>
      </c>
      <c r="B239" s="57"/>
      <c r="C239" s="57"/>
      <c r="D239" s="57"/>
      <c r="E239" s="57"/>
      <c r="F239" s="57">
        <v>2</v>
      </c>
      <c r="G239" s="57"/>
      <c r="H239" s="57"/>
      <c r="I239" s="57"/>
      <c r="J239" s="57"/>
      <c r="K239" s="57"/>
      <c r="L239" s="57"/>
      <c r="Q239">
        <f t="shared" si="34"/>
        <v>0</v>
      </c>
      <c r="R239">
        <f t="shared" si="35"/>
        <v>0</v>
      </c>
      <c r="S239">
        <f t="shared" si="36"/>
        <v>0</v>
      </c>
      <c r="T239">
        <f t="shared" si="37"/>
        <v>2</v>
      </c>
      <c r="U239">
        <f t="shared" si="38"/>
        <v>0</v>
      </c>
      <c r="V239">
        <f t="shared" si="39"/>
        <v>0</v>
      </c>
      <c r="Y239" t="str">
        <f t="shared" si="40"/>
        <v>Burkina Faso</v>
      </c>
      <c r="Z239" s="104" t="str">
        <f t="shared" si="41"/>
        <v/>
      </c>
      <c r="AA239" s="104">
        <f t="shared" si="42"/>
        <v>1</v>
      </c>
      <c r="AB239" s="104" t="str">
        <f t="shared" si="43"/>
        <v/>
      </c>
    </row>
    <row r="240" spans="1:28" x14ac:dyDescent="0.25">
      <c r="A240" s="55" t="s">
        <v>2395</v>
      </c>
      <c r="B240" s="57"/>
      <c r="C240" s="57"/>
      <c r="D240" s="57"/>
      <c r="E240" s="57"/>
      <c r="F240" s="57">
        <v>3</v>
      </c>
      <c r="G240" s="57"/>
      <c r="H240" s="57">
        <v>1</v>
      </c>
      <c r="I240" s="57">
        <v>2</v>
      </c>
      <c r="J240" s="57"/>
      <c r="K240" s="57"/>
      <c r="L240" s="57"/>
      <c r="Q240">
        <f t="shared" si="34"/>
        <v>0</v>
      </c>
      <c r="R240">
        <f t="shared" si="35"/>
        <v>0</v>
      </c>
      <c r="S240">
        <f t="shared" si="36"/>
        <v>0</v>
      </c>
      <c r="T240">
        <f t="shared" si="37"/>
        <v>3</v>
      </c>
      <c r="U240">
        <f t="shared" si="38"/>
        <v>1</v>
      </c>
      <c r="V240">
        <f t="shared" si="39"/>
        <v>2</v>
      </c>
      <c r="Y240" t="str">
        <f t="shared" si="40"/>
        <v>Cameroon</v>
      </c>
      <c r="Z240" s="104" t="str">
        <f t="shared" si="41"/>
        <v/>
      </c>
      <c r="AA240" s="104">
        <f t="shared" si="42"/>
        <v>1</v>
      </c>
      <c r="AB240" s="104">
        <f t="shared" si="43"/>
        <v>0.66666666666666663</v>
      </c>
    </row>
    <row r="241" spans="1:28" x14ac:dyDescent="0.25">
      <c r="A241" s="55" t="s">
        <v>2536</v>
      </c>
      <c r="B241" s="57"/>
      <c r="C241" s="57"/>
      <c r="D241" s="57"/>
      <c r="E241" s="57"/>
      <c r="F241" s="57">
        <v>9</v>
      </c>
      <c r="G241" s="57"/>
      <c r="H241" s="57">
        <v>1</v>
      </c>
      <c r="I241" s="57">
        <v>4</v>
      </c>
      <c r="J241" s="57"/>
      <c r="K241" s="57"/>
      <c r="L241" s="57"/>
      <c r="Q241">
        <f t="shared" si="34"/>
        <v>0</v>
      </c>
      <c r="R241">
        <f t="shared" si="35"/>
        <v>0</v>
      </c>
      <c r="S241">
        <f t="shared" si="36"/>
        <v>0</v>
      </c>
      <c r="T241">
        <f t="shared" si="37"/>
        <v>9</v>
      </c>
      <c r="U241">
        <f t="shared" si="38"/>
        <v>1</v>
      </c>
      <c r="V241">
        <f t="shared" si="39"/>
        <v>4</v>
      </c>
      <c r="Y241" t="str">
        <f t="shared" si="40"/>
        <v>Chad</v>
      </c>
      <c r="Z241" s="104" t="str">
        <f t="shared" si="41"/>
        <v/>
      </c>
      <c r="AA241" s="104">
        <f t="shared" si="42"/>
        <v>1</v>
      </c>
      <c r="AB241" s="104">
        <f t="shared" si="43"/>
        <v>0.8</v>
      </c>
    </row>
    <row r="242" spans="1:28" x14ac:dyDescent="0.25">
      <c r="A242" s="55" t="s">
        <v>2956</v>
      </c>
      <c r="B242" s="57">
        <v>1</v>
      </c>
      <c r="C242" s="57"/>
      <c r="D242" s="57"/>
      <c r="E242" s="57"/>
      <c r="F242" s="57">
        <v>5</v>
      </c>
      <c r="G242" s="57"/>
      <c r="H242" s="57"/>
      <c r="I242" s="57">
        <v>1</v>
      </c>
      <c r="J242" s="57"/>
      <c r="K242" s="57"/>
      <c r="L242" s="57"/>
      <c r="Q242">
        <f t="shared" si="34"/>
        <v>1</v>
      </c>
      <c r="R242">
        <f t="shared" si="35"/>
        <v>0</v>
      </c>
      <c r="S242">
        <f t="shared" si="36"/>
        <v>0</v>
      </c>
      <c r="T242">
        <f t="shared" si="37"/>
        <v>5</v>
      </c>
      <c r="U242">
        <f t="shared" si="38"/>
        <v>0</v>
      </c>
      <c r="V242">
        <f t="shared" si="39"/>
        <v>1</v>
      </c>
      <c r="Y242" t="str">
        <f t="shared" si="40"/>
        <v>Cote d'Ivoire</v>
      </c>
      <c r="Z242" s="104">
        <f t="shared" si="41"/>
        <v>0</v>
      </c>
      <c r="AA242" s="104">
        <f t="shared" si="42"/>
        <v>1</v>
      </c>
      <c r="AB242" s="104">
        <f t="shared" si="43"/>
        <v>1</v>
      </c>
    </row>
    <row r="243" spans="1:28" x14ac:dyDescent="0.25">
      <c r="A243" s="55" t="s">
        <v>4471</v>
      </c>
      <c r="B243" s="57"/>
      <c r="C243" s="57"/>
      <c r="D243" s="57"/>
      <c r="E243" s="57"/>
      <c r="F243" s="57">
        <v>11</v>
      </c>
      <c r="G243" s="57"/>
      <c r="H243" s="57"/>
      <c r="I243" s="57">
        <v>1</v>
      </c>
      <c r="J243" s="57"/>
      <c r="K243" s="57"/>
      <c r="L243" s="57"/>
      <c r="Q243">
        <f t="shared" si="34"/>
        <v>0</v>
      </c>
      <c r="R243">
        <f t="shared" si="35"/>
        <v>0</v>
      </c>
      <c r="S243">
        <f t="shared" si="36"/>
        <v>0</v>
      </c>
      <c r="T243">
        <f t="shared" si="37"/>
        <v>11</v>
      </c>
      <c r="U243">
        <f t="shared" si="38"/>
        <v>0</v>
      </c>
      <c r="V243">
        <f t="shared" si="39"/>
        <v>1</v>
      </c>
      <c r="Y243" t="str">
        <f t="shared" si="40"/>
        <v>Ghana</v>
      </c>
      <c r="Z243" s="104" t="str">
        <f t="shared" si="41"/>
        <v/>
      </c>
      <c r="AA243" s="104">
        <f t="shared" si="42"/>
        <v>1</v>
      </c>
      <c r="AB243" s="104">
        <f t="shared" si="43"/>
        <v>1</v>
      </c>
    </row>
    <row r="244" spans="1:28" x14ac:dyDescent="0.25">
      <c r="A244" s="55" t="s">
        <v>7179</v>
      </c>
      <c r="B244" s="57"/>
      <c r="C244" s="57"/>
      <c r="D244" s="57"/>
      <c r="E244" s="57"/>
      <c r="F244" s="57">
        <v>1</v>
      </c>
      <c r="G244" s="57"/>
      <c r="H244" s="57"/>
      <c r="I244" s="57"/>
      <c r="J244" s="57"/>
      <c r="K244" s="57"/>
      <c r="L244" s="57"/>
      <c r="Q244">
        <f t="shared" si="34"/>
        <v>0</v>
      </c>
      <c r="R244">
        <f t="shared" si="35"/>
        <v>0</v>
      </c>
      <c r="S244">
        <f t="shared" si="36"/>
        <v>0</v>
      </c>
      <c r="T244">
        <f t="shared" si="37"/>
        <v>1</v>
      </c>
      <c r="U244">
        <f t="shared" si="38"/>
        <v>0</v>
      </c>
      <c r="V244">
        <f t="shared" si="39"/>
        <v>0</v>
      </c>
      <c r="Y244" t="str">
        <f t="shared" si="40"/>
        <v>Liberia</v>
      </c>
      <c r="Z244" s="104" t="str">
        <f t="shared" si="41"/>
        <v/>
      </c>
      <c r="AA244" s="104">
        <f t="shared" si="42"/>
        <v>1</v>
      </c>
      <c r="AB244" s="104" t="str">
        <f t="shared" si="43"/>
        <v/>
      </c>
    </row>
    <row r="245" spans="1:28" x14ac:dyDescent="0.25">
      <c r="A245" s="55" t="s">
        <v>7835</v>
      </c>
      <c r="B245" s="57">
        <v>1</v>
      </c>
      <c r="C245" s="57"/>
      <c r="D245" s="57"/>
      <c r="E245" s="57">
        <v>3</v>
      </c>
      <c r="F245" s="57">
        <v>10</v>
      </c>
      <c r="G245" s="57"/>
      <c r="H245" s="57"/>
      <c r="I245" s="57">
        <v>1</v>
      </c>
      <c r="J245" s="57"/>
      <c r="K245" s="57"/>
      <c r="L245" s="57"/>
      <c r="Q245">
        <f t="shared" si="34"/>
        <v>1</v>
      </c>
      <c r="R245">
        <f t="shared" si="35"/>
        <v>0</v>
      </c>
      <c r="S245">
        <f t="shared" si="36"/>
        <v>3</v>
      </c>
      <c r="T245">
        <f t="shared" si="37"/>
        <v>10</v>
      </c>
      <c r="U245">
        <f t="shared" si="38"/>
        <v>0</v>
      </c>
      <c r="V245">
        <f t="shared" si="39"/>
        <v>1</v>
      </c>
      <c r="Y245" t="str">
        <f t="shared" si="40"/>
        <v>Mali</v>
      </c>
      <c r="Z245" s="104">
        <f t="shared" si="41"/>
        <v>0</v>
      </c>
      <c r="AA245" s="104">
        <f t="shared" si="42"/>
        <v>0.76923076923076927</v>
      </c>
      <c r="AB245" s="104">
        <f t="shared" si="43"/>
        <v>1</v>
      </c>
    </row>
    <row r="246" spans="1:28" x14ac:dyDescent="0.25">
      <c r="A246" s="55" t="s">
        <v>9043</v>
      </c>
      <c r="B246" s="57"/>
      <c r="C246" s="57"/>
      <c r="D246" s="57"/>
      <c r="E246" s="57">
        <v>6</v>
      </c>
      <c r="F246" s="57">
        <v>14</v>
      </c>
      <c r="G246" s="57"/>
      <c r="H246" s="57">
        <v>1</v>
      </c>
      <c r="I246" s="57">
        <v>4</v>
      </c>
      <c r="J246" s="57"/>
      <c r="K246" s="57"/>
      <c r="L246" s="57"/>
      <c r="Q246">
        <f t="shared" si="34"/>
        <v>0</v>
      </c>
      <c r="R246">
        <f t="shared" si="35"/>
        <v>0</v>
      </c>
      <c r="S246">
        <f t="shared" si="36"/>
        <v>6</v>
      </c>
      <c r="T246">
        <f t="shared" si="37"/>
        <v>14</v>
      </c>
      <c r="U246">
        <f t="shared" si="38"/>
        <v>1</v>
      </c>
      <c r="V246">
        <f t="shared" si="39"/>
        <v>4</v>
      </c>
      <c r="Y246" t="str">
        <f t="shared" si="40"/>
        <v>Niger</v>
      </c>
      <c r="Z246" s="104" t="str">
        <f t="shared" si="41"/>
        <v/>
      </c>
      <c r="AA246" s="104">
        <f t="shared" si="42"/>
        <v>0.7</v>
      </c>
      <c r="AB246" s="104">
        <f t="shared" si="43"/>
        <v>0.8</v>
      </c>
    </row>
    <row r="247" spans="1:28" x14ac:dyDescent="0.25">
      <c r="A247" s="55" t="s">
        <v>10594</v>
      </c>
      <c r="B247" s="57"/>
      <c r="C247" s="57"/>
      <c r="D247" s="57"/>
      <c r="E247" s="57">
        <v>1</v>
      </c>
      <c r="F247" s="57">
        <v>3</v>
      </c>
      <c r="G247" s="57"/>
      <c r="H247" s="57">
        <v>1</v>
      </c>
      <c r="I247" s="57"/>
      <c r="J247" s="57"/>
      <c r="K247" s="57"/>
      <c r="L247" s="57"/>
      <c r="Q247">
        <f t="shared" si="34"/>
        <v>0</v>
      </c>
      <c r="R247">
        <f t="shared" si="35"/>
        <v>0</v>
      </c>
      <c r="S247">
        <f t="shared" si="36"/>
        <v>1</v>
      </c>
      <c r="T247">
        <f t="shared" si="37"/>
        <v>3</v>
      </c>
      <c r="U247">
        <f t="shared" si="38"/>
        <v>1</v>
      </c>
      <c r="V247">
        <f t="shared" si="39"/>
        <v>0</v>
      </c>
      <c r="Y247" t="str">
        <f t="shared" si="40"/>
        <v>Sierra Leone</v>
      </c>
      <c r="Z247" s="104" t="str">
        <f t="shared" si="41"/>
        <v/>
      </c>
      <c r="AA247" s="104">
        <f t="shared" si="42"/>
        <v>0.75</v>
      </c>
      <c r="AB247" s="104">
        <f t="shared" si="43"/>
        <v>0</v>
      </c>
    </row>
    <row r="248" spans="1:28" x14ac:dyDescent="0.25">
      <c r="A248" s="50" t="s">
        <v>14278</v>
      </c>
      <c r="B248" s="57">
        <v>2</v>
      </c>
      <c r="C248" s="57">
        <v>2</v>
      </c>
      <c r="D248" s="57"/>
      <c r="E248" s="57">
        <v>10</v>
      </c>
      <c r="F248" s="57">
        <v>60</v>
      </c>
      <c r="G248" s="57"/>
      <c r="H248" s="57">
        <v>4</v>
      </c>
      <c r="I248" s="57">
        <v>14</v>
      </c>
      <c r="J248" s="57"/>
      <c r="K248" s="57"/>
      <c r="L248" s="57"/>
      <c r="Q248">
        <f t="shared" si="34"/>
        <v>2</v>
      </c>
      <c r="R248">
        <f t="shared" si="35"/>
        <v>2</v>
      </c>
      <c r="S248">
        <f t="shared" si="36"/>
        <v>10</v>
      </c>
      <c r="T248">
        <f t="shared" si="37"/>
        <v>60</v>
      </c>
      <c r="U248">
        <f t="shared" si="38"/>
        <v>4</v>
      </c>
      <c r="V248">
        <f t="shared" si="39"/>
        <v>14</v>
      </c>
      <c r="Y248" t="str">
        <f t="shared" si="40"/>
        <v>Africa - Western Total</v>
      </c>
      <c r="Z248" s="104">
        <f t="shared" si="41"/>
        <v>0.5</v>
      </c>
      <c r="AA248" s="104">
        <f t="shared" si="42"/>
        <v>0.8571428571428571</v>
      </c>
      <c r="AB248" s="104">
        <f t="shared" si="43"/>
        <v>0.77777777777777779</v>
      </c>
    </row>
    <row r="249" spans="1:28" x14ac:dyDescent="0.25">
      <c r="A249" s="50" t="s">
        <v>306</v>
      </c>
      <c r="B249" s="57"/>
      <c r="C249" s="57"/>
      <c r="D249" s="57"/>
      <c r="E249" s="57"/>
      <c r="F249" s="57"/>
      <c r="G249" s="57"/>
      <c r="H249" s="57"/>
      <c r="I249" s="57"/>
      <c r="J249" s="57"/>
      <c r="K249" s="57"/>
      <c r="L249" s="57"/>
      <c r="Q249">
        <f t="shared" si="34"/>
        <v>0</v>
      </c>
      <c r="R249">
        <f t="shared" si="35"/>
        <v>0</v>
      </c>
      <c r="S249">
        <f t="shared" si="36"/>
        <v>0</v>
      </c>
      <c r="T249">
        <f t="shared" si="37"/>
        <v>0</v>
      </c>
      <c r="U249">
        <f t="shared" si="38"/>
        <v>0</v>
      </c>
      <c r="V249">
        <f t="shared" si="39"/>
        <v>0</v>
      </c>
      <c r="Y249" t="str">
        <f t="shared" si="40"/>
        <v>Asia and the Pacific</v>
      </c>
      <c r="Z249" s="104" t="str">
        <f t="shared" si="41"/>
        <v/>
      </c>
      <c r="AA249" s="104" t="str">
        <f t="shared" si="42"/>
        <v/>
      </c>
      <c r="AB249" s="104" t="str">
        <f t="shared" si="43"/>
        <v/>
      </c>
    </row>
    <row r="250" spans="1:28" x14ac:dyDescent="0.25">
      <c r="A250" s="55" t="s">
        <v>305</v>
      </c>
      <c r="B250" s="57"/>
      <c r="C250" s="57">
        <v>1</v>
      </c>
      <c r="D250" s="57"/>
      <c r="E250" s="57">
        <v>1</v>
      </c>
      <c r="F250" s="57">
        <v>8</v>
      </c>
      <c r="G250" s="57"/>
      <c r="H250" s="57"/>
      <c r="I250" s="57"/>
      <c r="J250" s="57"/>
      <c r="K250" s="57"/>
      <c r="L250" s="57"/>
      <c r="Q250">
        <f t="shared" ref="Q250:Q281" si="44">B250</f>
        <v>0</v>
      </c>
      <c r="R250">
        <f t="shared" ref="R250:R281" si="45">C250</f>
        <v>1</v>
      </c>
      <c r="S250">
        <f t="shared" ref="S250:S281" si="46">E250</f>
        <v>1</v>
      </c>
      <c r="T250">
        <f t="shared" ref="T250:T281" si="47">F250</f>
        <v>8</v>
      </c>
      <c r="U250">
        <f t="shared" ref="U250:U281" si="48">H250</f>
        <v>0</v>
      </c>
      <c r="V250">
        <f t="shared" ref="V250:V281" si="49">I250</f>
        <v>0</v>
      </c>
      <c r="Y250" t="str">
        <f t="shared" ref="Y250:Y281" si="50">A250</f>
        <v>Afghanistan</v>
      </c>
      <c r="Z250" s="104">
        <f t="shared" si="41"/>
        <v>1</v>
      </c>
      <c r="AA250" s="104">
        <f t="shared" si="42"/>
        <v>0.88888888888888884</v>
      </c>
      <c r="AB250" s="104" t="str">
        <f t="shared" si="43"/>
        <v/>
      </c>
    </row>
    <row r="251" spans="1:28" x14ac:dyDescent="0.25">
      <c r="A251" s="55" t="s">
        <v>652</v>
      </c>
      <c r="B251" s="57"/>
      <c r="C251" s="57"/>
      <c r="D251" s="57"/>
      <c r="E251" s="57">
        <v>3</v>
      </c>
      <c r="F251" s="57">
        <v>18</v>
      </c>
      <c r="G251" s="57"/>
      <c r="H251" s="57">
        <v>1</v>
      </c>
      <c r="I251" s="57">
        <v>9</v>
      </c>
      <c r="J251" s="57"/>
      <c r="K251" s="57"/>
      <c r="L251" s="57"/>
      <c r="Q251">
        <f t="shared" si="44"/>
        <v>0</v>
      </c>
      <c r="R251">
        <f t="shared" si="45"/>
        <v>0</v>
      </c>
      <c r="S251">
        <f t="shared" si="46"/>
        <v>3</v>
      </c>
      <c r="T251">
        <f t="shared" si="47"/>
        <v>18</v>
      </c>
      <c r="U251">
        <f t="shared" si="48"/>
        <v>1</v>
      </c>
      <c r="V251">
        <f t="shared" si="49"/>
        <v>9</v>
      </c>
      <c r="Y251" t="str">
        <f t="shared" si="50"/>
        <v>Bangladesh</v>
      </c>
      <c r="Z251" s="104" t="str">
        <f t="shared" si="41"/>
        <v/>
      </c>
      <c r="AA251" s="104">
        <f t="shared" si="42"/>
        <v>0.8571428571428571</v>
      </c>
      <c r="AB251" s="104">
        <f t="shared" si="43"/>
        <v>0.9</v>
      </c>
    </row>
    <row r="252" spans="1:28" x14ac:dyDescent="0.25">
      <c r="A252" s="55" t="s">
        <v>2092</v>
      </c>
      <c r="B252" s="57">
        <v>1</v>
      </c>
      <c r="C252" s="57">
        <v>2</v>
      </c>
      <c r="D252" s="57"/>
      <c r="E252" s="57">
        <v>4</v>
      </c>
      <c r="F252" s="57">
        <v>8</v>
      </c>
      <c r="G252" s="57"/>
      <c r="H252" s="57"/>
      <c r="I252" s="57">
        <v>2</v>
      </c>
      <c r="J252" s="57"/>
      <c r="K252" s="57"/>
      <c r="L252" s="57"/>
      <c r="Q252">
        <f t="shared" si="44"/>
        <v>1</v>
      </c>
      <c r="R252">
        <f t="shared" si="45"/>
        <v>2</v>
      </c>
      <c r="S252">
        <f t="shared" si="46"/>
        <v>4</v>
      </c>
      <c r="T252">
        <f t="shared" si="47"/>
        <v>8</v>
      </c>
      <c r="U252">
        <f t="shared" si="48"/>
        <v>0</v>
      </c>
      <c r="V252">
        <f t="shared" si="49"/>
        <v>2</v>
      </c>
      <c r="Y252" t="str">
        <f t="shared" si="50"/>
        <v>Cambodia</v>
      </c>
      <c r="Z252" s="104">
        <f t="shared" si="41"/>
        <v>0.66666666666666663</v>
      </c>
      <c r="AA252" s="104">
        <f t="shared" si="42"/>
        <v>0.66666666666666663</v>
      </c>
      <c r="AB252" s="104">
        <f t="shared" si="43"/>
        <v>1</v>
      </c>
    </row>
    <row r="253" spans="1:28" x14ac:dyDescent="0.25">
      <c r="A253" s="55" t="s">
        <v>4268</v>
      </c>
      <c r="B253" s="57"/>
      <c r="C253" s="57"/>
      <c r="D253" s="57"/>
      <c r="E253" s="57"/>
      <c r="F253" s="57">
        <v>1</v>
      </c>
      <c r="G253" s="57"/>
      <c r="H253" s="57"/>
      <c r="I253" s="57"/>
      <c r="J253" s="57"/>
      <c r="K253" s="57"/>
      <c r="L253" s="57"/>
      <c r="Q253">
        <f t="shared" si="44"/>
        <v>0</v>
      </c>
      <c r="R253">
        <f t="shared" si="45"/>
        <v>0</v>
      </c>
      <c r="S253">
        <f t="shared" si="46"/>
        <v>0</v>
      </c>
      <c r="T253">
        <f t="shared" si="47"/>
        <v>1</v>
      </c>
      <c r="U253">
        <f t="shared" si="48"/>
        <v>0</v>
      </c>
      <c r="V253">
        <f t="shared" si="49"/>
        <v>0</v>
      </c>
      <c r="Y253" t="str">
        <f t="shared" si="50"/>
        <v>Fiji</v>
      </c>
      <c r="Z253" s="104" t="str">
        <f t="shared" si="41"/>
        <v/>
      </c>
      <c r="AA253" s="104">
        <f t="shared" si="42"/>
        <v>1</v>
      </c>
      <c r="AB253" s="104" t="str">
        <f t="shared" si="43"/>
        <v/>
      </c>
    </row>
    <row r="254" spans="1:28" x14ac:dyDescent="0.25">
      <c r="A254" s="55" t="s">
        <v>5300</v>
      </c>
      <c r="B254" s="57"/>
      <c r="C254" s="57"/>
      <c r="D254" s="57"/>
      <c r="E254" s="57">
        <v>2</v>
      </c>
      <c r="F254" s="57">
        <v>15</v>
      </c>
      <c r="G254" s="57"/>
      <c r="H254" s="57">
        <v>3</v>
      </c>
      <c r="I254" s="57">
        <v>14</v>
      </c>
      <c r="J254" s="57"/>
      <c r="K254" s="57"/>
      <c r="L254" s="57"/>
      <c r="Q254">
        <f t="shared" si="44"/>
        <v>0</v>
      </c>
      <c r="R254">
        <f t="shared" si="45"/>
        <v>0</v>
      </c>
      <c r="S254">
        <f t="shared" si="46"/>
        <v>2</v>
      </c>
      <c r="T254">
        <f t="shared" si="47"/>
        <v>15</v>
      </c>
      <c r="U254">
        <f t="shared" si="48"/>
        <v>3</v>
      </c>
      <c r="V254">
        <f t="shared" si="49"/>
        <v>14</v>
      </c>
      <c r="Y254" t="str">
        <f t="shared" si="50"/>
        <v>India</v>
      </c>
      <c r="Z254" s="104" t="str">
        <f t="shared" si="41"/>
        <v/>
      </c>
      <c r="AA254" s="104">
        <f t="shared" si="42"/>
        <v>0.88235294117647056</v>
      </c>
      <c r="AB254" s="104">
        <f t="shared" si="43"/>
        <v>0.82352941176470584</v>
      </c>
    </row>
    <row r="255" spans="1:28" x14ac:dyDescent="0.25">
      <c r="A255" s="55" t="s">
        <v>5932</v>
      </c>
      <c r="B255" s="57"/>
      <c r="C255" s="57"/>
      <c r="D255" s="57"/>
      <c r="E255" s="57">
        <v>1</v>
      </c>
      <c r="F255" s="57">
        <v>6</v>
      </c>
      <c r="G255" s="57"/>
      <c r="H255" s="57">
        <v>1</v>
      </c>
      <c r="I255" s="57"/>
      <c r="J255" s="57"/>
      <c r="K255" s="57"/>
      <c r="L255" s="57"/>
      <c r="Q255">
        <f t="shared" si="44"/>
        <v>0</v>
      </c>
      <c r="R255">
        <f t="shared" si="45"/>
        <v>0</v>
      </c>
      <c r="S255">
        <f t="shared" si="46"/>
        <v>1</v>
      </c>
      <c r="T255">
        <f t="shared" si="47"/>
        <v>6</v>
      </c>
      <c r="U255">
        <f t="shared" si="48"/>
        <v>1</v>
      </c>
      <c r="V255">
        <f t="shared" si="49"/>
        <v>0</v>
      </c>
      <c r="Y255" t="str">
        <f t="shared" si="50"/>
        <v>Indonesia</v>
      </c>
      <c r="Z255" s="104" t="str">
        <f t="shared" si="41"/>
        <v/>
      </c>
      <c r="AA255" s="104">
        <f t="shared" si="42"/>
        <v>0.8571428571428571</v>
      </c>
      <c r="AB255" s="104">
        <f t="shared" si="43"/>
        <v>0</v>
      </c>
    </row>
    <row r="256" spans="1:28" x14ac:dyDescent="0.25">
      <c r="A256" s="55" t="s">
        <v>6850</v>
      </c>
      <c r="B256" s="57">
        <v>5</v>
      </c>
      <c r="C256" s="57">
        <v>4</v>
      </c>
      <c r="D256" s="57"/>
      <c r="E256" s="57"/>
      <c r="F256" s="57">
        <v>3</v>
      </c>
      <c r="G256" s="57"/>
      <c r="H256" s="57"/>
      <c r="I256" s="57">
        <v>2</v>
      </c>
      <c r="J256" s="57"/>
      <c r="K256" s="57"/>
      <c r="L256" s="57"/>
      <c r="Q256">
        <f t="shared" si="44"/>
        <v>5</v>
      </c>
      <c r="R256">
        <f t="shared" si="45"/>
        <v>4</v>
      </c>
      <c r="S256">
        <f t="shared" si="46"/>
        <v>0</v>
      </c>
      <c r="T256">
        <f t="shared" si="47"/>
        <v>3</v>
      </c>
      <c r="U256">
        <f t="shared" si="48"/>
        <v>0</v>
      </c>
      <c r="V256">
        <f t="shared" si="49"/>
        <v>2</v>
      </c>
      <c r="Y256" t="str">
        <f t="shared" si="50"/>
        <v>Laos</v>
      </c>
      <c r="Z256" s="104">
        <f t="shared" si="41"/>
        <v>0.44444444444444442</v>
      </c>
      <c r="AA256" s="104">
        <f t="shared" si="42"/>
        <v>1</v>
      </c>
      <c r="AB256" s="104">
        <f t="shared" si="43"/>
        <v>1</v>
      </c>
    </row>
    <row r="257" spans="1:28" x14ac:dyDescent="0.25">
      <c r="A257" s="55" t="s">
        <v>8444</v>
      </c>
      <c r="B257" s="57">
        <v>2</v>
      </c>
      <c r="C257" s="57">
        <v>5</v>
      </c>
      <c r="D257" s="57"/>
      <c r="E257" s="57">
        <v>1</v>
      </c>
      <c r="F257" s="57">
        <v>5</v>
      </c>
      <c r="G257" s="57"/>
      <c r="H257" s="57"/>
      <c r="I257" s="57">
        <v>3</v>
      </c>
      <c r="J257" s="57"/>
      <c r="K257" s="57"/>
      <c r="L257" s="57"/>
      <c r="Q257">
        <f t="shared" si="44"/>
        <v>2</v>
      </c>
      <c r="R257">
        <f t="shared" si="45"/>
        <v>5</v>
      </c>
      <c r="S257">
        <f t="shared" si="46"/>
        <v>1</v>
      </c>
      <c r="T257">
        <f t="shared" si="47"/>
        <v>5</v>
      </c>
      <c r="U257">
        <f t="shared" si="48"/>
        <v>0</v>
      </c>
      <c r="V257">
        <f t="shared" si="49"/>
        <v>3</v>
      </c>
      <c r="Y257" t="str">
        <f t="shared" si="50"/>
        <v>Myanmar</v>
      </c>
      <c r="Z257" s="104">
        <f t="shared" si="41"/>
        <v>0.7142857142857143</v>
      </c>
      <c r="AA257" s="104">
        <f t="shared" si="42"/>
        <v>0.83333333333333337</v>
      </c>
      <c r="AB257" s="104">
        <f t="shared" si="43"/>
        <v>1</v>
      </c>
    </row>
    <row r="258" spans="1:28" x14ac:dyDescent="0.25">
      <c r="A258" s="55" t="s">
        <v>8647</v>
      </c>
      <c r="B258" s="57">
        <v>2</v>
      </c>
      <c r="C258" s="57">
        <v>1</v>
      </c>
      <c r="D258" s="57"/>
      <c r="E258" s="57">
        <v>1</v>
      </c>
      <c r="F258" s="57">
        <v>10</v>
      </c>
      <c r="G258" s="57"/>
      <c r="H258" s="57">
        <v>1</v>
      </c>
      <c r="I258" s="57">
        <v>8</v>
      </c>
      <c r="J258" s="57"/>
      <c r="K258" s="57"/>
      <c r="L258" s="57"/>
      <c r="Q258">
        <f t="shared" si="44"/>
        <v>2</v>
      </c>
      <c r="R258">
        <f t="shared" si="45"/>
        <v>1</v>
      </c>
      <c r="S258">
        <f t="shared" si="46"/>
        <v>1</v>
      </c>
      <c r="T258">
        <f t="shared" si="47"/>
        <v>10</v>
      </c>
      <c r="U258">
        <f t="shared" si="48"/>
        <v>1</v>
      </c>
      <c r="V258">
        <f t="shared" si="49"/>
        <v>8</v>
      </c>
      <c r="Y258" t="str">
        <f t="shared" si="50"/>
        <v>Nepal</v>
      </c>
      <c r="Z258" s="104">
        <f t="shared" si="41"/>
        <v>0.33333333333333331</v>
      </c>
      <c r="AA258" s="104">
        <f t="shared" si="42"/>
        <v>0.90909090909090906</v>
      </c>
      <c r="AB258" s="104">
        <f t="shared" si="43"/>
        <v>0.88888888888888884</v>
      </c>
    </row>
    <row r="259" spans="1:28" x14ac:dyDescent="0.25">
      <c r="A259" s="55" t="s">
        <v>9427</v>
      </c>
      <c r="B259" s="57"/>
      <c r="C259" s="57"/>
      <c r="D259" s="57"/>
      <c r="E259" s="57"/>
      <c r="F259" s="57">
        <v>2</v>
      </c>
      <c r="G259" s="57"/>
      <c r="H259" s="57"/>
      <c r="I259" s="57">
        <v>1</v>
      </c>
      <c r="J259" s="57"/>
      <c r="K259" s="57">
        <v>1</v>
      </c>
      <c r="L259" s="57"/>
      <c r="Q259">
        <f t="shared" si="44"/>
        <v>0</v>
      </c>
      <c r="R259">
        <f t="shared" si="45"/>
        <v>0</v>
      </c>
      <c r="S259">
        <f t="shared" si="46"/>
        <v>0</v>
      </c>
      <c r="T259">
        <f t="shared" si="47"/>
        <v>2</v>
      </c>
      <c r="U259">
        <f t="shared" si="48"/>
        <v>0</v>
      </c>
      <c r="V259">
        <f t="shared" si="49"/>
        <v>1</v>
      </c>
      <c r="Y259" t="str">
        <f t="shared" si="50"/>
        <v>Pakistan</v>
      </c>
      <c r="Z259" s="104" t="str">
        <f t="shared" si="41"/>
        <v/>
      </c>
      <c r="AA259" s="104">
        <f t="shared" si="42"/>
        <v>1</v>
      </c>
      <c r="AB259" s="104">
        <f t="shared" si="43"/>
        <v>1</v>
      </c>
    </row>
    <row r="260" spans="1:28" x14ac:dyDescent="0.25">
      <c r="A260" s="55" t="s">
        <v>9516</v>
      </c>
      <c r="B260" s="57"/>
      <c r="C260" s="57">
        <v>3</v>
      </c>
      <c r="D260" s="57"/>
      <c r="E260" s="57">
        <v>2</v>
      </c>
      <c r="F260" s="57">
        <v>3</v>
      </c>
      <c r="G260" s="57"/>
      <c r="H260" s="57">
        <v>2</v>
      </c>
      <c r="I260" s="57">
        <v>1</v>
      </c>
      <c r="J260" s="57"/>
      <c r="K260" s="57"/>
      <c r="L260" s="57"/>
      <c r="Q260">
        <f t="shared" si="44"/>
        <v>0</v>
      </c>
      <c r="R260">
        <f t="shared" si="45"/>
        <v>3</v>
      </c>
      <c r="S260">
        <f t="shared" si="46"/>
        <v>2</v>
      </c>
      <c r="T260">
        <f t="shared" si="47"/>
        <v>3</v>
      </c>
      <c r="U260">
        <f t="shared" si="48"/>
        <v>2</v>
      </c>
      <c r="V260">
        <f t="shared" si="49"/>
        <v>1</v>
      </c>
      <c r="Y260" t="str">
        <f t="shared" si="50"/>
        <v>Papua New Guinea</v>
      </c>
      <c r="Z260" s="104">
        <f t="shared" si="41"/>
        <v>1</v>
      </c>
      <c r="AA260" s="104">
        <f t="shared" si="42"/>
        <v>0.6</v>
      </c>
      <c r="AB260" s="104">
        <f t="shared" si="43"/>
        <v>0.33333333333333331</v>
      </c>
    </row>
    <row r="261" spans="1:28" x14ac:dyDescent="0.25">
      <c r="A261" s="55" t="s">
        <v>10263</v>
      </c>
      <c r="B261" s="57"/>
      <c r="C261" s="57"/>
      <c r="D261" s="57"/>
      <c r="E261" s="57">
        <v>1</v>
      </c>
      <c r="F261" s="57"/>
      <c r="G261" s="57"/>
      <c r="H261" s="57"/>
      <c r="I261" s="57">
        <v>4</v>
      </c>
      <c r="J261" s="57"/>
      <c r="K261" s="57"/>
      <c r="L261" s="57"/>
      <c r="Q261">
        <f t="shared" si="44"/>
        <v>0</v>
      </c>
      <c r="R261">
        <f t="shared" si="45"/>
        <v>0</v>
      </c>
      <c r="S261">
        <f t="shared" si="46"/>
        <v>1</v>
      </c>
      <c r="T261">
        <f t="shared" si="47"/>
        <v>0</v>
      </c>
      <c r="U261">
        <f t="shared" si="48"/>
        <v>0</v>
      </c>
      <c r="V261">
        <f t="shared" si="49"/>
        <v>4</v>
      </c>
      <c r="Y261" t="str">
        <f t="shared" si="50"/>
        <v>Philippines</v>
      </c>
      <c r="Z261" s="104" t="str">
        <f t="shared" si="41"/>
        <v/>
      </c>
      <c r="AA261" s="104">
        <f t="shared" si="42"/>
        <v>0</v>
      </c>
      <c r="AB261" s="104">
        <f t="shared" si="43"/>
        <v>1</v>
      </c>
    </row>
    <row r="262" spans="1:28" x14ac:dyDescent="0.25">
      <c r="A262" s="55" t="s">
        <v>11304</v>
      </c>
      <c r="B262" s="57"/>
      <c r="C262" s="57">
        <v>1</v>
      </c>
      <c r="D262" s="57"/>
      <c r="E262" s="57"/>
      <c r="F262" s="57">
        <v>5</v>
      </c>
      <c r="G262" s="57"/>
      <c r="H262" s="57"/>
      <c r="I262" s="57"/>
      <c r="J262" s="57"/>
      <c r="K262" s="57"/>
      <c r="L262" s="57"/>
      <c r="Q262">
        <f t="shared" si="44"/>
        <v>0</v>
      </c>
      <c r="R262">
        <f t="shared" si="45"/>
        <v>1</v>
      </c>
      <c r="S262">
        <f t="shared" si="46"/>
        <v>0</v>
      </c>
      <c r="T262">
        <f t="shared" si="47"/>
        <v>5</v>
      </c>
      <c r="U262">
        <f t="shared" si="48"/>
        <v>0</v>
      </c>
      <c r="V262">
        <f t="shared" si="49"/>
        <v>0</v>
      </c>
      <c r="Y262" t="str">
        <f t="shared" si="50"/>
        <v>Sri Lanka</v>
      </c>
      <c r="Z262" s="104">
        <f t="shared" si="41"/>
        <v>1</v>
      </c>
      <c r="AA262" s="104">
        <f t="shared" si="42"/>
        <v>1</v>
      </c>
      <c r="AB262" s="104" t="str">
        <f t="shared" si="43"/>
        <v/>
      </c>
    </row>
    <row r="263" spans="1:28" x14ac:dyDescent="0.25">
      <c r="A263" s="55" t="s">
        <v>12294</v>
      </c>
      <c r="B263" s="57">
        <v>1</v>
      </c>
      <c r="C263" s="57"/>
      <c r="D263" s="57"/>
      <c r="E263" s="57">
        <v>10</v>
      </c>
      <c r="F263" s="57">
        <v>8</v>
      </c>
      <c r="G263" s="57"/>
      <c r="H263" s="57">
        <v>2</v>
      </c>
      <c r="I263" s="57"/>
      <c r="J263" s="57"/>
      <c r="K263" s="57"/>
      <c r="L263" s="57"/>
      <c r="Q263">
        <f t="shared" si="44"/>
        <v>1</v>
      </c>
      <c r="R263">
        <f t="shared" si="45"/>
        <v>0</v>
      </c>
      <c r="S263">
        <f t="shared" si="46"/>
        <v>10</v>
      </c>
      <c r="T263">
        <f t="shared" si="47"/>
        <v>8</v>
      </c>
      <c r="U263">
        <f t="shared" si="48"/>
        <v>2</v>
      </c>
      <c r="V263">
        <f t="shared" si="49"/>
        <v>0</v>
      </c>
      <c r="Y263" t="str">
        <f t="shared" si="50"/>
        <v>Thailand</v>
      </c>
      <c r="Z263" s="104">
        <f t="shared" si="41"/>
        <v>0</v>
      </c>
      <c r="AA263" s="104">
        <f t="shared" si="42"/>
        <v>0.44444444444444442</v>
      </c>
      <c r="AB263" s="104">
        <f t="shared" si="43"/>
        <v>0</v>
      </c>
    </row>
    <row r="264" spans="1:28" x14ac:dyDescent="0.25">
      <c r="A264" s="55" t="s">
        <v>12547</v>
      </c>
      <c r="B264" s="57"/>
      <c r="C264" s="57"/>
      <c r="D264" s="57"/>
      <c r="E264" s="57"/>
      <c r="F264" s="57">
        <v>6</v>
      </c>
      <c r="G264" s="57"/>
      <c r="H264" s="57"/>
      <c r="I264" s="57"/>
      <c r="J264" s="57"/>
      <c r="K264" s="57"/>
      <c r="L264" s="57"/>
      <c r="Q264">
        <f t="shared" si="44"/>
        <v>0</v>
      </c>
      <c r="R264">
        <f t="shared" si="45"/>
        <v>0</v>
      </c>
      <c r="S264">
        <f t="shared" si="46"/>
        <v>0</v>
      </c>
      <c r="T264">
        <f t="shared" si="47"/>
        <v>6</v>
      </c>
      <c r="U264">
        <f t="shared" si="48"/>
        <v>0</v>
      </c>
      <c r="V264">
        <f t="shared" si="49"/>
        <v>0</v>
      </c>
      <c r="Y264" t="str">
        <f t="shared" si="50"/>
        <v>Timor-Leste</v>
      </c>
      <c r="Z264" s="104" t="str">
        <f t="shared" si="41"/>
        <v/>
      </c>
      <c r="AA264" s="104">
        <f t="shared" si="42"/>
        <v>1</v>
      </c>
      <c r="AB264" s="104" t="str">
        <f t="shared" si="43"/>
        <v/>
      </c>
    </row>
    <row r="265" spans="1:28" x14ac:dyDescent="0.25">
      <c r="A265" s="55" t="s">
        <v>13272</v>
      </c>
      <c r="B265" s="57"/>
      <c r="C265" s="57"/>
      <c r="D265" s="57"/>
      <c r="E265" s="57"/>
      <c r="F265" s="57">
        <v>1</v>
      </c>
      <c r="G265" s="57"/>
      <c r="H265" s="57"/>
      <c r="I265" s="57">
        <v>7</v>
      </c>
      <c r="J265" s="57"/>
      <c r="K265" s="57"/>
      <c r="L265" s="57"/>
      <c r="Q265">
        <f t="shared" si="44"/>
        <v>0</v>
      </c>
      <c r="R265">
        <f t="shared" si="45"/>
        <v>0</v>
      </c>
      <c r="S265">
        <f t="shared" si="46"/>
        <v>0</v>
      </c>
      <c r="T265">
        <f t="shared" si="47"/>
        <v>1</v>
      </c>
      <c r="U265">
        <f t="shared" si="48"/>
        <v>0</v>
      </c>
      <c r="V265">
        <f t="shared" si="49"/>
        <v>7</v>
      </c>
      <c r="Y265" t="str">
        <f t="shared" si="50"/>
        <v>Vanuatu</v>
      </c>
      <c r="Z265" s="104" t="str">
        <f t="shared" si="41"/>
        <v/>
      </c>
      <c r="AA265" s="104">
        <f t="shared" si="42"/>
        <v>1</v>
      </c>
      <c r="AB265" s="104">
        <f t="shared" si="43"/>
        <v>1</v>
      </c>
    </row>
    <row r="266" spans="1:28" x14ac:dyDescent="0.25">
      <c r="A266" s="55" t="s">
        <v>13409</v>
      </c>
      <c r="B266" s="57">
        <v>2</v>
      </c>
      <c r="C266" s="57">
        <v>1</v>
      </c>
      <c r="D266" s="57"/>
      <c r="E266" s="57">
        <v>3</v>
      </c>
      <c r="F266" s="57">
        <v>6</v>
      </c>
      <c r="G266" s="57"/>
      <c r="H266" s="57"/>
      <c r="I266" s="57">
        <v>4</v>
      </c>
      <c r="J266" s="57"/>
      <c r="K266" s="57"/>
      <c r="L266" s="57"/>
      <c r="Q266">
        <f t="shared" si="44"/>
        <v>2</v>
      </c>
      <c r="R266">
        <f t="shared" si="45"/>
        <v>1</v>
      </c>
      <c r="S266">
        <f t="shared" si="46"/>
        <v>3</v>
      </c>
      <c r="T266">
        <f t="shared" si="47"/>
        <v>6</v>
      </c>
      <c r="U266">
        <f t="shared" si="48"/>
        <v>0</v>
      </c>
      <c r="V266">
        <f t="shared" si="49"/>
        <v>4</v>
      </c>
      <c r="Y266" t="str">
        <f t="shared" si="50"/>
        <v>Vietnam</v>
      </c>
      <c r="Z266" s="104">
        <f t="shared" si="41"/>
        <v>0.33333333333333331</v>
      </c>
      <c r="AA266" s="104">
        <f t="shared" si="42"/>
        <v>0.66666666666666663</v>
      </c>
      <c r="AB266" s="104">
        <f t="shared" si="43"/>
        <v>1</v>
      </c>
    </row>
    <row r="267" spans="1:28" x14ac:dyDescent="0.25">
      <c r="A267" s="50" t="s">
        <v>14279</v>
      </c>
      <c r="B267" s="57">
        <v>13</v>
      </c>
      <c r="C267" s="57">
        <v>18</v>
      </c>
      <c r="D267" s="57"/>
      <c r="E267" s="57">
        <v>29</v>
      </c>
      <c r="F267" s="57">
        <v>105</v>
      </c>
      <c r="G267" s="57"/>
      <c r="H267" s="57">
        <v>10</v>
      </c>
      <c r="I267" s="57">
        <v>55</v>
      </c>
      <c r="J267" s="57"/>
      <c r="K267" s="57">
        <v>1</v>
      </c>
      <c r="L267" s="57"/>
      <c r="Q267">
        <f t="shared" si="44"/>
        <v>13</v>
      </c>
      <c r="R267">
        <f t="shared" si="45"/>
        <v>18</v>
      </c>
      <c r="S267">
        <f t="shared" si="46"/>
        <v>29</v>
      </c>
      <c r="T267">
        <f t="shared" si="47"/>
        <v>105</v>
      </c>
      <c r="U267">
        <f t="shared" si="48"/>
        <v>10</v>
      </c>
      <c r="V267">
        <f t="shared" si="49"/>
        <v>55</v>
      </c>
      <c r="Y267" t="str">
        <f t="shared" si="50"/>
        <v>Asia and the Pacific Total</v>
      </c>
      <c r="Z267" s="104">
        <f t="shared" si="41"/>
        <v>0.58064516129032262</v>
      </c>
      <c r="AA267" s="104">
        <f t="shared" si="42"/>
        <v>0.78358208955223885</v>
      </c>
      <c r="AB267" s="104">
        <f t="shared" si="43"/>
        <v>0.84615384615384615</v>
      </c>
    </row>
    <row r="268" spans="1:28" x14ac:dyDescent="0.25">
      <c r="A268" s="50" t="s">
        <v>2807</v>
      </c>
      <c r="B268" s="57"/>
      <c r="C268" s="57"/>
      <c r="D268" s="57"/>
      <c r="E268" s="57"/>
      <c r="F268" s="57"/>
      <c r="G268" s="57"/>
      <c r="H268" s="57"/>
      <c r="I268" s="57"/>
      <c r="J268" s="57"/>
      <c r="K268" s="57"/>
      <c r="L268" s="57"/>
      <c r="Q268">
        <f t="shared" si="44"/>
        <v>0</v>
      </c>
      <c r="R268">
        <f t="shared" si="45"/>
        <v>0</v>
      </c>
      <c r="S268">
        <f t="shared" si="46"/>
        <v>0</v>
      </c>
      <c r="T268">
        <f t="shared" si="47"/>
        <v>0</v>
      </c>
      <c r="U268">
        <f t="shared" si="48"/>
        <v>0</v>
      </c>
      <c r="V268">
        <f t="shared" si="49"/>
        <v>0</v>
      </c>
      <c r="Y268" t="str">
        <f t="shared" si="50"/>
        <v>Latin America and the Caribbean</v>
      </c>
      <c r="Z268" s="104" t="str">
        <f t="shared" si="41"/>
        <v/>
      </c>
      <c r="AA268" s="104" t="str">
        <f t="shared" si="42"/>
        <v/>
      </c>
      <c r="AB268" s="104" t="str">
        <f t="shared" si="43"/>
        <v/>
      </c>
    </row>
    <row r="269" spans="1:28" x14ac:dyDescent="0.25">
      <c r="A269" s="55" t="s">
        <v>2806</v>
      </c>
      <c r="B269" s="57"/>
      <c r="C269" s="57"/>
      <c r="D269" s="57"/>
      <c r="E269" s="57"/>
      <c r="F269" s="57">
        <v>1</v>
      </c>
      <c r="G269" s="57"/>
      <c r="H269" s="57"/>
      <c r="I269" s="57"/>
      <c r="J269" s="57"/>
      <c r="K269" s="57"/>
      <c r="L269" s="57"/>
      <c r="Q269">
        <f t="shared" si="44"/>
        <v>0</v>
      </c>
      <c r="R269">
        <f t="shared" si="45"/>
        <v>0</v>
      </c>
      <c r="S269">
        <f t="shared" si="46"/>
        <v>0</v>
      </c>
      <c r="T269">
        <f t="shared" si="47"/>
        <v>1</v>
      </c>
      <c r="U269">
        <f t="shared" si="48"/>
        <v>0</v>
      </c>
      <c r="V269">
        <f t="shared" si="49"/>
        <v>0</v>
      </c>
      <c r="Y269" t="str">
        <f t="shared" si="50"/>
        <v>Colombia</v>
      </c>
      <c r="Z269" s="104" t="str">
        <f t="shared" si="41"/>
        <v/>
      </c>
      <c r="AA269" s="104">
        <f t="shared" si="42"/>
        <v>1</v>
      </c>
      <c r="AB269" s="104" t="str">
        <f t="shared" si="43"/>
        <v/>
      </c>
    </row>
    <row r="270" spans="1:28" x14ac:dyDescent="0.25">
      <c r="A270" s="55" t="s">
        <v>2931</v>
      </c>
      <c r="B270" s="57"/>
      <c r="C270" s="57"/>
      <c r="D270" s="57"/>
      <c r="E270" s="57"/>
      <c r="F270" s="57"/>
      <c r="G270" s="57"/>
      <c r="H270" s="57"/>
      <c r="I270" s="57">
        <v>1</v>
      </c>
      <c r="J270" s="57"/>
      <c r="K270" s="57"/>
      <c r="L270" s="57"/>
      <c r="Q270">
        <f t="shared" si="44"/>
        <v>0</v>
      </c>
      <c r="R270">
        <f t="shared" si="45"/>
        <v>0</v>
      </c>
      <c r="S270">
        <f t="shared" si="46"/>
        <v>0</v>
      </c>
      <c r="T270">
        <f t="shared" si="47"/>
        <v>0</v>
      </c>
      <c r="U270">
        <f t="shared" si="48"/>
        <v>0</v>
      </c>
      <c r="V270">
        <f t="shared" si="49"/>
        <v>1</v>
      </c>
      <c r="Y270" t="str">
        <f t="shared" si="50"/>
        <v>Costa Rica</v>
      </c>
      <c r="Z270" s="104" t="str">
        <f t="shared" si="41"/>
        <v/>
      </c>
      <c r="AA270" s="104" t="str">
        <f t="shared" si="42"/>
        <v/>
      </c>
      <c r="AB270" s="104">
        <f t="shared" si="43"/>
        <v>1</v>
      </c>
    </row>
    <row r="271" spans="1:28" x14ac:dyDescent="0.25">
      <c r="A271" s="55" t="s">
        <v>3148</v>
      </c>
      <c r="B271" s="57"/>
      <c r="C271" s="57"/>
      <c r="D271" s="57"/>
      <c r="E271" s="57">
        <v>1</v>
      </c>
      <c r="F271" s="57">
        <v>3</v>
      </c>
      <c r="G271" s="57"/>
      <c r="H271" s="57"/>
      <c r="I271" s="57">
        <v>1</v>
      </c>
      <c r="J271" s="57"/>
      <c r="K271" s="57"/>
      <c r="L271" s="57"/>
      <c r="Q271">
        <f t="shared" si="44"/>
        <v>0</v>
      </c>
      <c r="R271">
        <f t="shared" si="45"/>
        <v>0</v>
      </c>
      <c r="S271">
        <f t="shared" si="46"/>
        <v>1</v>
      </c>
      <c r="T271">
        <f t="shared" si="47"/>
        <v>3</v>
      </c>
      <c r="U271">
        <f t="shared" si="48"/>
        <v>0</v>
      </c>
      <c r="V271">
        <f t="shared" si="49"/>
        <v>1</v>
      </c>
      <c r="Y271" t="str">
        <f t="shared" si="50"/>
        <v>Cuba</v>
      </c>
      <c r="Z271" s="104" t="str">
        <f t="shared" si="41"/>
        <v/>
      </c>
      <c r="AA271" s="104">
        <f t="shared" si="42"/>
        <v>0.75</v>
      </c>
      <c r="AB271" s="104">
        <f t="shared" si="43"/>
        <v>1</v>
      </c>
    </row>
    <row r="272" spans="1:28" x14ac:dyDescent="0.25">
      <c r="A272" s="55" t="s">
        <v>3261</v>
      </c>
      <c r="B272" s="57"/>
      <c r="C272" s="57"/>
      <c r="D272" s="57"/>
      <c r="E272" s="57"/>
      <c r="F272" s="57"/>
      <c r="G272" s="57"/>
      <c r="H272" s="57"/>
      <c r="I272" s="57"/>
      <c r="J272" s="57"/>
      <c r="K272" s="57"/>
      <c r="L272" s="57"/>
      <c r="Q272">
        <f t="shared" si="44"/>
        <v>0</v>
      </c>
      <c r="R272">
        <f t="shared" si="45"/>
        <v>0</v>
      </c>
      <c r="S272">
        <f t="shared" si="46"/>
        <v>0</v>
      </c>
      <c r="T272">
        <f t="shared" si="47"/>
        <v>0</v>
      </c>
      <c r="U272">
        <f t="shared" si="48"/>
        <v>0</v>
      </c>
      <c r="V272">
        <f t="shared" si="49"/>
        <v>0</v>
      </c>
      <c r="Y272" t="str">
        <f t="shared" si="50"/>
        <v>Dominican Republic</v>
      </c>
      <c r="Z272" s="104" t="str">
        <f t="shared" si="41"/>
        <v/>
      </c>
      <c r="AA272" s="104" t="str">
        <f t="shared" si="42"/>
        <v/>
      </c>
      <c r="AB272" s="104" t="str">
        <f t="shared" si="43"/>
        <v/>
      </c>
    </row>
    <row r="273" spans="1:28" x14ac:dyDescent="0.25">
      <c r="A273" s="55" t="s">
        <v>3272</v>
      </c>
      <c r="B273" s="57"/>
      <c r="C273" s="57"/>
      <c r="D273" s="57"/>
      <c r="E273" s="57"/>
      <c r="F273" s="57">
        <v>17</v>
      </c>
      <c r="G273" s="57"/>
      <c r="H273" s="57"/>
      <c r="I273" s="57">
        <v>1</v>
      </c>
      <c r="J273" s="57"/>
      <c r="K273" s="57"/>
      <c r="L273" s="57"/>
      <c r="Q273">
        <f t="shared" si="44"/>
        <v>0</v>
      </c>
      <c r="R273">
        <f t="shared" si="45"/>
        <v>0</v>
      </c>
      <c r="S273">
        <f t="shared" si="46"/>
        <v>0</v>
      </c>
      <c r="T273">
        <f t="shared" si="47"/>
        <v>17</v>
      </c>
      <c r="U273">
        <f t="shared" si="48"/>
        <v>0</v>
      </c>
      <c r="V273">
        <f t="shared" si="49"/>
        <v>1</v>
      </c>
      <c r="Y273" t="str">
        <f t="shared" si="50"/>
        <v>Ecuador</v>
      </c>
      <c r="Z273" s="104" t="str">
        <f t="shared" si="41"/>
        <v/>
      </c>
      <c r="AA273" s="104">
        <f t="shared" si="42"/>
        <v>1</v>
      </c>
      <c r="AB273" s="104">
        <f t="shared" si="43"/>
        <v>1</v>
      </c>
    </row>
    <row r="274" spans="1:28" x14ac:dyDescent="0.25">
      <c r="A274" s="55" t="s">
        <v>4777</v>
      </c>
      <c r="B274" s="57"/>
      <c r="C274" s="57"/>
      <c r="D274" s="57"/>
      <c r="E274" s="57"/>
      <c r="F274" s="57">
        <v>7</v>
      </c>
      <c r="G274" s="57"/>
      <c r="H274" s="57">
        <v>3</v>
      </c>
      <c r="I274" s="57">
        <v>5</v>
      </c>
      <c r="J274" s="57"/>
      <c r="K274" s="57"/>
      <c r="L274" s="57"/>
      <c r="Q274">
        <f t="shared" si="44"/>
        <v>0</v>
      </c>
      <c r="R274">
        <f t="shared" si="45"/>
        <v>0</v>
      </c>
      <c r="S274">
        <f t="shared" si="46"/>
        <v>0</v>
      </c>
      <c r="T274">
        <f t="shared" si="47"/>
        <v>7</v>
      </c>
      <c r="U274">
        <f t="shared" si="48"/>
        <v>3</v>
      </c>
      <c r="V274">
        <f t="shared" si="49"/>
        <v>5</v>
      </c>
      <c r="Y274" t="str">
        <f t="shared" si="50"/>
        <v>Guatemala</v>
      </c>
      <c r="Z274" s="104" t="str">
        <f t="shared" si="41"/>
        <v/>
      </c>
      <c r="AA274" s="104">
        <f t="shared" si="42"/>
        <v>1</v>
      </c>
      <c r="AB274" s="104">
        <f t="shared" si="43"/>
        <v>0.625</v>
      </c>
    </row>
    <row r="275" spans="1:28" x14ac:dyDescent="0.25">
      <c r="A275" s="55" t="s">
        <v>5061</v>
      </c>
      <c r="B275" s="57"/>
      <c r="C275" s="57"/>
      <c r="D275" s="57"/>
      <c r="E275" s="57">
        <v>2</v>
      </c>
      <c r="F275" s="57">
        <v>6</v>
      </c>
      <c r="G275" s="57"/>
      <c r="H275" s="57"/>
      <c r="I275" s="57"/>
      <c r="J275" s="57"/>
      <c r="K275" s="57"/>
      <c r="L275" s="57"/>
      <c r="Q275">
        <f t="shared" si="44"/>
        <v>0</v>
      </c>
      <c r="R275">
        <f t="shared" si="45"/>
        <v>0</v>
      </c>
      <c r="S275">
        <f t="shared" si="46"/>
        <v>2</v>
      </c>
      <c r="T275">
        <f t="shared" si="47"/>
        <v>6</v>
      </c>
      <c r="U275">
        <f t="shared" si="48"/>
        <v>0</v>
      </c>
      <c r="V275">
        <f t="shared" si="49"/>
        <v>0</v>
      </c>
      <c r="Y275" t="str">
        <f t="shared" si="50"/>
        <v>Haiti</v>
      </c>
      <c r="Z275" s="104" t="str">
        <f t="shared" si="41"/>
        <v/>
      </c>
      <c r="AA275" s="104">
        <f t="shared" si="42"/>
        <v>0.75</v>
      </c>
      <c r="AB275" s="104" t="str">
        <f t="shared" si="43"/>
        <v/>
      </c>
    </row>
    <row r="276" spans="1:28" x14ac:dyDescent="0.25">
      <c r="A276" s="55" t="s">
        <v>5190</v>
      </c>
      <c r="B276" s="57"/>
      <c r="C276" s="57"/>
      <c r="D276" s="57"/>
      <c r="E276" s="57"/>
      <c r="F276" s="57">
        <v>2</v>
      </c>
      <c r="G276" s="57"/>
      <c r="H276" s="57">
        <v>1</v>
      </c>
      <c r="I276" s="57">
        <v>3</v>
      </c>
      <c r="J276" s="57"/>
      <c r="K276" s="57"/>
      <c r="L276" s="57"/>
      <c r="Q276">
        <f t="shared" si="44"/>
        <v>0</v>
      </c>
      <c r="R276">
        <f t="shared" si="45"/>
        <v>0</v>
      </c>
      <c r="S276">
        <f t="shared" si="46"/>
        <v>0</v>
      </c>
      <c r="T276">
        <f t="shared" si="47"/>
        <v>2</v>
      </c>
      <c r="U276">
        <f t="shared" si="48"/>
        <v>1</v>
      </c>
      <c r="V276">
        <f t="shared" si="49"/>
        <v>3</v>
      </c>
      <c r="Y276" t="str">
        <f t="shared" si="50"/>
        <v>Honduras</v>
      </c>
      <c r="Z276" s="104" t="str">
        <f t="shared" si="41"/>
        <v/>
      </c>
      <c r="AA276" s="104">
        <f t="shared" si="42"/>
        <v>1</v>
      </c>
      <c r="AB276" s="104">
        <f t="shared" si="43"/>
        <v>0.75</v>
      </c>
    </row>
    <row r="277" spans="1:28" x14ac:dyDescent="0.25">
      <c r="A277" s="55" t="s">
        <v>8138</v>
      </c>
      <c r="B277" s="57"/>
      <c r="C277" s="57"/>
      <c r="D277" s="57"/>
      <c r="E277" s="57"/>
      <c r="F277" s="57">
        <v>1</v>
      </c>
      <c r="G277" s="57"/>
      <c r="H277" s="57"/>
      <c r="I277" s="57"/>
      <c r="J277" s="57"/>
      <c r="K277" s="57"/>
      <c r="L277" s="57"/>
      <c r="Q277">
        <f t="shared" si="44"/>
        <v>0</v>
      </c>
      <c r="R277">
        <f t="shared" si="45"/>
        <v>0</v>
      </c>
      <c r="S277">
        <f t="shared" si="46"/>
        <v>0</v>
      </c>
      <c r="T277">
        <f t="shared" si="47"/>
        <v>1</v>
      </c>
      <c r="U277">
        <f t="shared" si="48"/>
        <v>0</v>
      </c>
      <c r="V277">
        <f t="shared" si="49"/>
        <v>0</v>
      </c>
      <c r="Y277" t="str">
        <f t="shared" si="50"/>
        <v>Mexico</v>
      </c>
      <c r="Z277" s="104" t="str">
        <f t="shared" si="41"/>
        <v/>
      </c>
      <c r="AA277" s="104">
        <f t="shared" si="42"/>
        <v>1</v>
      </c>
      <c r="AB277" s="104" t="str">
        <f t="shared" si="43"/>
        <v/>
      </c>
    </row>
    <row r="278" spans="1:28" x14ac:dyDescent="0.25">
      <c r="A278" s="55" t="s">
        <v>9042</v>
      </c>
      <c r="B278" s="57"/>
      <c r="C278" s="57"/>
      <c r="D278" s="57"/>
      <c r="E278" s="57"/>
      <c r="F278" s="57"/>
      <c r="G278" s="57"/>
      <c r="H278" s="57"/>
      <c r="I278" s="57">
        <v>1</v>
      </c>
      <c r="J278" s="57"/>
      <c r="K278" s="57"/>
      <c r="L278" s="57"/>
      <c r="Q278">
        <f t="shared" si="44"/>
        <v>0</v>
      </c>
      <c r="R278">
        <f t="shared" si="45"/>
        <v>0</v>
      </c>
      <c r="S278">
        <f t="shared" si="46"/>
        <v>0</v>
      </c>
      <c r="T278">
        <f t="shared" si="47"/>
        <v>0</v>
      </c>
      <c r="U278">
        <f t="shared" si="48"/>
        <v>0</v>
      </c>
      <c r="V278">
        <f t="shared" si="49"/>
        <v>1</v>
      </c>
      <c r="Y278" t="str">
        <f t="shared" si="50"/>
        <v>Nicaragua</v>
      </c>
      <c r="Z278" s="104" t="str">
        <f t="shared" si="41"/>
        <v/>
      </c>
      <c r="AA278" s="104" t="str">
        <f t="shared" si="42"/>
        <v/>
      </c>
      <c r="AB278" s="104">
        <f t="shared" si="43"/>
        <v>1</v>
      </c>
    </row>
    <row r="279" spans="1:28" x14ac:dyDescent="0.25">
      <c r="A279" s="55" t="s">
        <v>9514</v>
      </c>
      <c r="B279" s="57"/>
      <c r="C279" s="57"/>
      <c r="D279" s="57"/>
      <c r="E279" s="57"/>
      <c r="F279" s="57"/>
      <c r="G279" s="57"/>
      <c r="H279" s="57"/>
      <c r="I279" s="57"/>
      <c r="J279" s="57"/>
      <c r="K279" s="57"/>
      <c r="L279" s="57"/>
      <c r="Q279">
        <f t="shared" si="44"/>
        <v>0</v>
      </c>
      <c r="R279">
        <f t="shared" si="45"/>
        <v>0</v>
      </c>
      <c r="S279">
        <f t="shared" si="46"/>
        <v>0</v>
      </c>
      <c r="T279">
        <f t="shared" si="47"/>
        <v>0</v>
      </c>
      <c r="U279">
        <f t="shared" si="48"/>
        <v>0</v>
      </c>
      <c r="V279">
        <f t="shared" si="49"/>
        <v>0</v>
      </c>
      <c r="Y279" t="str">
        <f t="shared" si="50"/>
        <v>Panama</v>
      </c>
      <c r="Z279" s="104" t="str">
        <f t="shared" si="41"/>
        <v/>
      </c>
      <c r="AA279" s="104" t="str">
        <f t="shared" si="42"/>
        <v/>
      </c>
      <c r="AB279" s="104" t="str">
        <f t="shared" si="43"/>
        <v/>
      </c>
    </row>
    <row r="280" spans="1:28" x14ac:dyDescent="0.25">
      <c r="A280" s="55" t="s">
        <v>9706</v>
      </c>
      <c r="B280" s="57">
        <v>2</v>
      </c>
      <c r="C280" s="57">
        <v>1</v>
      </c>
      <c r="D280" s="57"/>
      <c r="E280" s="57">
        <v>8</v>
      </c>
      <c r="F280" s="57">
        <v>16</v>
      </c>
      <c r="G280" s="57"/>
      <c r="H280" s="57">
        <v>2</v>
      </c>
      <c r="I280" s="57">
        <v>5</v>
      </c>
      <c r="J280" s="57"/>
      <c r="K280" s="57"/>
      <c r="L280" s="57"/>
      <c r="Q280">
        <f t="shared" si="44"/>
        <v>2</v>
      </c>
      <c r="R280">
        <f t="shared" si="45"/>
        <v>1</v>
      </c>
      <c r="S280">
        <f t="shared" si="46"/>
        <v>8</v>
      </c>
      <c r="T280">
        <f t="shared" si="47"/>
        <v>16</v>
      </c>
      <c r="U280">
        <f t="shared" si="48"/>
        <v>2</v>
      </c>
      <c r="V280">
        <f t="shared" si="49"/>
        <v>5</v>
      </c>
      <c r="Y280" t="str">
        <f t="shared" si="50"/>
        <v>Peru</v>
      </c>
      <c r="Z280" s="104">
        <f t="shared" si="41"/>
        <v>0.33333333333333331</v>
      </c>
      <c r="AA280" s="104">
        <f t="shared" si="42"/>
        <v>0.66666666666666663</v>
      </c>
      <c r="AB280" s="104">
        <f t="shared" si="43"/>
        <v>0.7142857142857143</v>
      </c>
    </row>
    <row r="281" spans="1:28" x14ac:dyDescent="0.25">
      <c r="A281" s="50" t="s">
        <v>14280</v>
      </c>
      <c r="B281" s="57">
        <v>2</v>
      </c>
      <c r="C281" s="57">
        <v>1</v>
      </c>
      <c r="D281" s="57"/>
      <c r="E281" s="57">
        <v>11</v>
      </c>
      <c r="F281" s="57">
        <v>53</v>
      </c>
      <c r="G281" s="57"/>
      <c r="H281" s="57">
        <v>6</v>
      </c>
      <c r="I281" s="57">
        <v>17</v>
      </c>
      <c r="J281" s="57"/>
      <c r="K281" s="57"/>
      <c r="L281" s="57"/>
      <c r="Q281">
        <f t="shared" si="44"/>
        <v>2</v>
      </c>
      <c r="R281">
        <f t="shared" si="45"/>
        <v>1</v>
      </c>
      <c r="S281">
        <f t="shared" si="46"/>
        <v>11</v>
      </c>
      <c r="T281">
        <f t="shared" si="47"/>
        <v>53</v>
      </c>
      <c r="U281">
        <f t="shared" si="48"/>
        <v>6</v>
      </c>
      <c r="V281">
        <f t="shared" si="49"/>
        <v>17</v>
      </c>
      <c r="Y281" t="str">
        <f t="shared" si="50"/>
        <v>Latin America and the Caribbean Total</v>
      </c>
      <c r="Z281" s="104">
        <f t="shared" si="41"/>
        <v>0.33333333333333331</v>
      </c>
      <c r="AA281" s="104">
        <f t="shared" si="42"/>
        <v>0.828125</v>
      </c>
      <c r="AB281" s="104">
        <f t="shared" si="43"/>
        <v>0.73913043478260865</v>
      </c>
    </row>
    <row r="282" spans="1:28" x14ac:dyDescent="0.25">
      <c r="A282" s="50" t="s">
        <v>602</v>
      </c>
      <c r="B282" s="57"/>
      <c r="C282" s="57"/>
      <c r="D282" s="57"/>
      <c r="E282" s="57"/>
      <c r="F282" s="57"/>
      <c r="G282" s="57"/>
      <c r="H282" s="57"/>
      <c r="I282" s="57"/>
      <c r="J282" s="57"/>
      <c r="K282" s="57"/>
      <c r="L282" s="57"/>
      <c r="Q282">
        <f t="shared" ref="Q282:Q317" si="51">B282</f>
        <v>0</v>
      </c>
      <c r="R282">
        <f t="shared" ref="R282:R317" si="52">C282</f>
        <v>0</v>
      </c>
      <c r="S282">
        <f t="shared" ref="S282:S317" si="53">E282</f>
        <v>0</v>
      </c>
      <c r="T282">
        <f t="shared" ref="T282:T317" si="54">F282</f>
        <v>0</v>
      </c>
      <c r="U282">
        <f t="shared" ref="U282:U317" si="55">H282</f>
        <v>0</v>
      </c>
      <c r="V282">
        <f t="shared" ref="V282:V317" si="56">I282</f>
        <v>0</v>
      </c>
      <c r="Y282" t="str">
        <f t="shared" ref="Y282:Y317" si="57">A282</f>
        <v>Middle East, North Africa and Europe</v>
      </c>
      <c r="Z282" s="104" t="str">
        <f t="shared" si="41"/>
        <v/>
      </c>
      <c r="AA282" s="104" t="str">
        <f t="shared" si="42"/>
        <v/>
      </c>
      <c r="AB282" s="104" t="str">
        <f t="shared" si="43"/>
        <v/>
      </c>
    </row>
    <row r="283" spans="1:28" x14ac:dyDescent="0.25">
      <c r="A283" s="55" t="s">
        <v>601</v>
      </c>
      <c r="B283" s="57"/>
      <c r="C283" s="57"/>
      <c r="D283" s="57"/>
      <c r="E283" s="57"/>
      <c r="F283" s="57"/>
      <c r="G283" s="57"/>
      <c r="H283" s="57"/>
      <c r="I283" s="57">
        <v>1</v>
      </c>
      <c r="J283" s="57"/>
      <c r="K283" s="57"/>
      <c r="L283" s="57"/>
      <c r="Q283">
        <f t="shared" si="51"/>
        <v>0</v>
      </c>
      <c r="R283">
        <f t="shared" si="52"/>
        <v>0</v>
      </c>
      <c r="S283">
        <f t="shared" si="53"/>
        <v>0</v>
      </c>
      <c r="T283">
        <f t="shared" si="54"/>
        <v>0</v>
      </c>
      <c r="U283">
        <f t="shared" si="55"/>
        <v>0</v>
      </c>
      <c r="V283">
        <f t="shared" si="56"/>
        <v>1</v>
      </c>
      <c r="Y283" t="str">
        <f t="shared" si="57"/>
        <v>Albania</v>
      </c>
      <c r="Z283" s="104" t="str">
        <f t="shared" ref="Z283:Z317" si="58">IFERROR(R283/(SUM($Q283:$R283)),"")</f>
        <v/>
      </c>
      <c r="AA283" s="104" t="str">
        <f t="shared" ref="AA283:AA317" si="59">IFERROR(T283/(SUM($S283:$T283)),"")</f>
        <v/>
      </c>
      <c r="AB283" s="104">
        <f t="shared" ref="AB283:AB317" si="60">IFERROR(V283/(SUM($U283:$V283)),"")</f>
        <v>1</v>
      </c>
    </row>
    <row r="284" spans="1:28" x14ac:dyDescent="0.25">
      <c r="A284" s="55" t="s">
        <v>635</v>
      </c>
      <c r="B284" s="57"/>
      <c r="C284" s="57"/>
      <c r="D284" s="57"/>
      <c r="E284" s="57"/>
      <c r="F284" s="57"/>
      <c r="G284" s="57"/>
      <c r="H284" s="57"/>
      <c r="I284" s="57"/>
      <c r="J284" s="57"/>
      <c r="K284" s="57"/>
      <c r="L284" s="57"/>
      <c r="Q284">
        <f t="shared" si="51"/>
        <v>0</v>
      </c>
      <c r="R284">
        <f t="shared" si="52"/>
        <v>0</v>
      </c>
      <c r="S284">
        <f t="shared" si="53"/>
        <v>0</v>
      </c>
      <c r="T284">
        <f t="shared" si="54"/>
        <v>0</v>
      </c>
      <c r="U284">
        <f t="shared" si="55"/>
        <v>0</v>
      </c>
      <c r="V284">
        <f t="shared" si="56"/>
        <v>0</v>
      </c>
      <c r="Y284" t="str">
        <f t="shared" si="57"/>
        <v>Austria</v>
      </c>
      <c r="Z284" s="104" t="str">
        <f t="shared" si="58"/>
        <v/>
      </c>
      <c r="AA284" s="104" t="str">
        <f t="shared" si="59"/>
        <v/>
      </c>
      <c r="AB284" s="104" t="str">
        <f t="shared" si="60"/>
        <v/>
      </c>
    </row>
    <row r="285" spans="1:28" x14ac:dyDescent="0.25">
      <c r="A285" s="55" t="s">
        <v>1527</v>
      </c>
      <c r="B285" s="57"/>
      <c r="C285" s="57"/>
      <c r="D285" s="57"/>
      <c r="E285" s="57"/>
      <c r="F285" s="57"/>
      <c r="G285" s="57"/>
      <c r="H285" s="57"/>
      <c r="I285" s="57">
        <v>1</v>
      </c>
      <c r="J285" s="57"/>
      <c r="K285" s="57"/>
      <c r="L285" s="57"/>
      <c r="Q285">
        <f t="shared" si="51"/>
        <v>0</v>
      </c>
      <c r="R285">
        <f t="shared" si="52"/>
        <v>0</v>
      </c>
      <c r="S285">
        <f t="shared" si="53"/>
        <v>0</v>
      </c>
      <c r="T285">
        <f t="shared" si="54"/>
        <v>0</v>
      </c>
      <c r="U285">
        <f t="shared" si="55"/>
        <v>0</v>
      </c>
      <c r="V285">
        <f t="shared" si="56"/>
        <v>1</v>
      </c>
      <c r="Y285" t="str">
        <f t="shared" si="57"/>
        <v>Belgium</v>
      </c>
      <c r="Z285" s="104" t="str">
        <f t="shared" si="58"/>
        <v/>
      </c>
      <c r="AA285" s="104" t="str">
        <f t="shared" si="59"/>
        <v/>
      </c>
      <c r="AB285" s="104">
        <f t="shared" si="60"/>
        <v>1</v>
      </c>
    </row>
    <row r="286" spans="1:28" x14ac:dyDescent="0.25">
      <c r="A286" s="55" t="s">
        <v>1735</v>
      </c>
      <c r="B286" s="57"/>
      <c r="C286" s="57"/>
      <c r="D286" s="57"/>
      <c r="E286" s="57">
        <v>1</v>
      </c>
      <c r="F286" s="57">
        <v>2</v>
      </c>
      <c r="G286" s="57"/>
      <c r="H286" s="57"/>
      <c r="I286" s="57">
        <v>2</v>
      </c>
      <c r="J286" s="57"/>
      <c r="K286" s="57"/>
      <c r="L286" s="57"/>
      <c r="Q286">
        <f t="shared" si="51"/>
        <v>0</v>
      </c>
      <c r="R286">
        <f t="shared" si="52"/>
        <v>0</v>
      </c>
      <c r="S286">
        <f t="shared" si="53"/>
        <v>1</v>
      </c>
      <c r="T286">
        <f t="shared" si="54"/>
        <v>2</v>
      </c>
      <c r="U286">
        <f t="shared" si="55"/>
        <v>0</v>
      </c>
      <c r="V286">
        <f t="shared" si="56"/>
        <v>2</v>
      </c>
      <c r="Y286" t="str">
        <f t="shared" si="57"/>
        <v>Bosnia and Herzegovina</v>
      </c>
      <c r="Z286" s="104" t="str">
        <f t="shared" si="58"/>
        <v/>
      </c>
      <c r="AA286" s="104">
        <f t="shared" si="59"/>
        <v>0.66666666666666663</v>
      </c>
      <c r="AB286" s="104">
        <f t="shared" si="60"/>
        <v>1</v>
      </c>
    </row>
    <row r="287" spans="1:28" x14ac:dyDescent="0.25">
      <c r="A287" s="55" t="s">
        <v>3140</v>
      </c>
      <c r="B287" s="57"/>
      <c r="C287" s="57"/>
      <c r="D287" s="57"/>
      <c r="E287" s="57"/>
      <c r="F287" s="57"/>
      <c r="G287" s="57"/>
      <c r="H287" s="57"/>
      <c r="I287" s="57">
        <v>1</v>
      </c>
      <c r="J287" s="57"/>
      <c r="K287" s="57"/>
      <c r="L287" s="57"/>
      <c r="Q287">
        <f t="shared" si="51"/>
        <v>0</v>
      </c>
      <c r="R287">
        <f t="shared" si="52"/>
        <v>0</v>
      </c>
      <c r="S287">
        <f t="shared" si="53"/>
        <v>0</v>
      </c>
      <c r="T287">
        <f t="shared" si="54"/>
        <v>0</v>
      </c>
      <c r="U287">
        <f t="shared" si="55"/>
        <v>0</v>
      </c>
      <c r="V287">
        <f t="shared" si="56"/>
        <v>1</v>
      </c>
      <c r="Y287" t="str">
        <f t="shared" si="57"/>
        <v>Croatia</v>
      </c>
      <c r="Z287" s="104" t="str">
        <f t="shared" si="58"/>
        <v/>
      </c>
      <c r="AA287" s="104" t="str">
        <f t="shared" si="59"/>
        <v/>
      </c>
      <c r="AB287" s="104">
        <f t="shared" si="60"/>
        <v>1</v>
      </c>
    </row>
    <row r="288" spans="1:28" x14ac:dyDescent="0.25">
      <c r="A288" s="55" t="s">
        <v>3231</v>
      </c>
      <c r="B288" s="57"/>
      <c r="C288" s="57"/>
      <c r="D288" s="57"/>
      <c r="E288" s="57"/>
      <c r="F288" s="57"/>
      <c r="G288" s="57"/>
      <c r="H288" s="57"/>
      <c r="I288" s="57"/>
      <c r="J288" s="57"/>
      <c r="K288" s="57"/>
      <c r="L288" s="57"/>
      <c r="Q288">
        <f t="shared" si="51"/>
        <v>0</v>
      </c>
      <c r="R288">
        <f t="shared" si="52"/>
        <v>0</v>
      </c>
      <c r="S288">
        <f t="shared" si="53"/>
        <v>0</v>
      </c>
      <c r="T288">
        <f t="shared" si="54"/>
        <v>0</v>
      </c>
      <c r="U288">
        <f t="shared" si="55"/>
        <v>0</v>
      </c>
      <c r="V288">
        <f t="shared" si="56"/>
        <v>0</v>
      </c>
      <c r="Y288" t="str">
        <f t="shared" si="57"/>
        <v>Czech Republic</v>
      </c>
      <c r="Z288" s="104" t="str">
        <f t="shared" si="58"/>
        <v/>
      </c>
      <c r="AA288" s="104" t="str">
        <f t="shared" si="59"/>
        <v/>
      </c>
      <c r="AB288" s="104" t="str">
        <f t="shared" si="60"/>
        <v/>
      </c>
    </row>
    <row r="289" spans="1:28" x14ac:dyDescent="0.25">
      <c r="A289" s="55" t="s">
        <v>3249</v>
      </c>
      <c r="B289" s="57"/>
      <c r="C289" s="57"/>
      <c r="D289" s="57"/>
      <c r="E289" s="57"/>
      <c r="F289" s="57"/>
      <c r="G289" s="57"/>
      <c r="H289" s="57">
        <v>1</v>
      </c>
      <c r="I289" s="57"/>
      <c r="J289" s="57"/>
      <c r="K289" s="57"/>
      <c r="L289" s="57"/>
      <c r="Q289">
        <f t="shared" si="51"/>
        <v>0</v>
      </c>
      <c r="R289">
        <f t="shared" si="52"/>
        <v>0</v>
      </c>
      <c r="S289">
        <f t="shared" si="53"/>
        <v>0</v>
      </c>
      <c r="T289">
        <f t="shared" si="54"/>
        <v>0</v>
      </c>
      <c r="U289">
        <f t="shared" si="55"/>
        <v>1</v>
      </c>
      <c r="V289">
        <f t="shared" si="56"/>
        <v>0</v>
      </c>
      <c r="Y289" t="str">
        <f t="shared" si="57"/>
        <v>Denmark</v>
      </c>
      <c r="Z289" s="104" t="str">
        <f t="shared" si="58"/>
        <v/>
      </c>
      <c r="AA289" s="104" t="str">
        <f t="shared" si="59"/>
        <v/>
      </c>
      <c r="AB289" s="104">
        <f t="shared" si="60"/>
        <v>0</v>
      </c>
    </row>
    <row r="290" spans="1:28" x14ac:dyDescent="0.25">
      <c r="A290" s="55" t="s">
        <v>3546</v>
      </c>
      <c r="B290" s="57"/>
      <c r="C290" s="57">
        <v>3</v>
      </c>
      <c r="D290" s="57"/>
      <c r="E290" s="57">
        <v>3</v>
      </c>
      <c r="F290" s="57">
        <v>12</v>
      </c>
      <c r="G290" s="57"/>
      <c r="H290" s="57"/>
      <c r="I290" s="57"/>
      <c r="J290" s="57"/>
      <c r="K290" s="57"/>
      <c r="L290" s="57"/>
      <c r="Q290">
        <f t="shared" si="51"/>
        <v>0</v>
      </c>
      <c r="R290">
        <f t="shared" si="52"/>
        <v>3</v>
      </c>
      <c r="S290">
        <f t="shared" si="53"/>
        <v>3</v>
      </c>
      <c r="T290">
        <f t="shared" si="54"/>
        <v>12</v>
      </c>
      <c r="U290">
        <f t="shared" si="55"/>
        <v>0</v>
      </c>
      <c r="V290">
        <f t="shared" si="56"/>
        <v>0</v>
      </c>
      <c r="Y290" t="str">
        <f t="shared" si="57"/>
        <v>Egypt</v>
      </c>
      <c r="Z290" s="104">
        <f t="shared" si="58"/>
        <v>1</v>
      </c>
      <c r="AA290" s="104">
        <f t="shared" si="59"/>
        <v>0.8</v>
      </c>
      <c r="AB290" s="104" t="str">
        <f t="shared" si="60"/>
        <v/>
      </c>
    </row>
    <row r="291" spans="1:28" x14ac:dyDescent="0.25">
      <c r="A291" s="55" t="s">
        <v>4293</v>
      </c>
      <c r="B291" s="57"/>
      <c r="C291" s="57"/>
      <c r="D291" s="57"/>
      <c r="E291" s="57">
        <v>1</v>
      </c>
      <c r="F291" s="57"/>
      <c r="G291" s="57"/>
      <c r="H291" s="57"/>
      <c r="I291" s="57">
        <v>1</v>
      </c>
      <c r="J291" s="57"/>
      <c r="K291" s="57"/>
      <c r="L291" s="57"/>
      <c r="Q291">
        <f t="shared" si="51"/>
        <v>0</v>
      </c>
      <c r="R291">
        <f t="shared" si="52"/>
        <v>0</v>
      </c>
      <c r="S291">
        <f t="shared" si="53"/>
        <v>1</v>
      </c>
      <c r="T291">
        <f t="shared" si="54"/>
        <v>0</v>
      </c>
      <c r="U291">
        <f t="shared" si="55"/>
        <v>0</v>
      </c>
      <c r="V291">
        <f t="shared" si="56"/>
        <v>1</v>
      </c>
      <c r="Y291" t="str">
        <f t="shared" si="57"/>
        <v>France</v>
      </c>
      <c r="Z291" s="104" t="str">
        <f t="shared" si="58"/>
        <v/>
      </c>
      <c r="AA291" s="104">
        <f t="shared" si="59"/>
        <v>0</v>
      </c>
      <c r="AB291" s="104">
        <f t="shared" si="60"/>
        <v>1</v>
      </c>
    </row>
    <row r="292" spans="1:28" x14ac:dyDescent="0.25">
      <c r="A292" s="55" t="s">
        <v>4346</v>
      </c>
      <c r="B292" s="57"/>
      <c r="C292" s="57"/>
      <c r="D292" s="57"/>
      <c r="E292" s="57"/>
      <c r="F292" s="57"/>
      <c r="G292" s="57"/>
      <c r="H292" s="57"/>
      <c r="I292" s="57">
        <v>3</v>
      </c>
      <c r="J292" s="57"/>
      <c r="K292" s="57"/>
      <c r="L292" s="57"/>
      <c r="Q292">
        <f t="shared" si="51"/>
        <v>0</v>
      </c>
      <c r="R292">
        <f t="shared" si="52"/>
        <v>0</v>
      </c>
      <c r="S292">
        <f t="shared" si="53"/>
        <v>0</v>
      </c>
      <c r="T292">
        <f t="shared" si="54"/>
        <v>0</v>
      </c>
      <c r="U292">
        <f t="shared" si="55"/>
        <v>0</v>
      </c>
      <c r="V292">
        <f t="shared" si="56"/>
        <v>3</v>
      </c>
      <c r="Y292" t="str">
        <f t="shared" si="57"/>
        <v>Georgia</v>
      </c>
      <c r="Z292" s="104" t="str">
        <f t="shared" si="58"/>
        <v/>
      </c>
      <c r="AA292" s="104" t="str">
        <f t="shared" si="59"/>
        <v/>
      </c>
      <c r="AB292" s="104">
        <f t="shared" si="60"/>
        <v>1</v>
      </c>
    </row>
    <row r="293" spans="1:28" x14ac:dyDescent="0.25">
      <c r="A293" s="55" t="s">
        <v>4428</v>
      </c>
      <c r="B293" s="57"/>
      <c r="C293" s="57">
        <v>3</v>
      </c>
      <c r="D293" s="57"/>
      <c r="E293" s="57"/>
      <c r="F293" s="57"/>
      <c r="G293" s="57"/>
      <c r="H293" s="57"/>
      <c r="I293" s="57"/>
      <c r="J293" s="57"/>
      <c r="K293" s="57"/>
      <c r="L293" s="57"/>
      <c r="Q293">
        <f t="shared" si="51"/>
        <v>0</v>
      </c>
      <c r="R293">
        <f t="shared" si="52"/>
        <v>3</v>
      </c>
      <c r="S293">
        <f t="shared" si="53"/>
        <v>0</v>
      </c>
      <c r="T293">
        <f t="shared" si="54"/>
        <v>0</v>
      </c>
      <c r="U293">
        <f t="shared" si="55"/>
        <v>0</v>
      </c>
      <c r="V293">
        <f t="shared" si="56"/>
        <v>0</v>
      </c>
      <c r="Y293" t="str">
        <f t="shared" si="57"/>
        <v>Germany</v>
      </c>
      <c r="Z293" s="104">
        <f t="shared" si="58"/>
        <v>1</v>
      </c>
      <c r="AA293" s="104" t="str">
        <f t="shared" si="59"/>
        <v/>
      </c>
      <c r="AB293" s="104" t="str">
        <f t="shared" si="60"/>
        <v/>
      </c>
    </row>
    <row r="294" spans="1:28" x14ac:dyDescent="0.25">
      <c r="A294" s="55" t="s">
        <v>4743</v>
      </c>
      <c r="B294" s="57"/>
      <c r="C294" s="57">
        <v>1</v>
      </c>
      <c r="D294" s="57"/>
      <c r="E294" s="57"/>
      <c r="F294" s="57"/>
      <c r="G294" s="57"/>
      <c r="H294" s="57"/>
      <c r="I294" s="57"/>
      <c r="J294" s="57"/>
      <c r="K294" s="57"/>
      <c r="L294" s="57"/>
      <c r="Q294">
        <f t="shared" si="51"/>
        <v>0</v>
      </c>
      <c r="R294">
        <f t="shared" si="52"/>
        <v>1</v>
      </c>
      <c r="S294">
        <f t="shared" si="53"/>
        <v>0</v>
      </c>
      <c r="T294">
        <f t="shared" si="54"/>
        <v>0</v>
      </c>
      <c r="U294">
        <f t="shared" si="55"/>
        <v>0</v>
      </c>
      <c r="V294">
        <f t="shared" si="56"/>
        <v>0</v>
      </c>
      <c r="Y294" t="str">
        <f t="shared" si="57"/>
        <v>Greece</v>
      </c>
      <c r="Z294" s="104">
        <f t="shared" si="58"/>
        <v>1</v>
      </c>
      <c r="AA294" s="104" t="str">
        <f t="shared" si="59"/>
        <v/>
      </c>
      <c r="AB294" s="104" t="str">
        <f t="shared" si="60"/>
        <v/>
      </c>
    </row>
    <row r="295" spans="1:28" x14ac:dyDescent="0.25">
      <c r="A295" s="55" t="s">
        <v>6024</v>
      </c>
      <c r="B295" s="57">
        <v>4</v>
      </c>
      <c r="C295" s="57">
        <v>2</v>
      </c>
      <c r="D295" s="57"/>
      <c r="E295" s="57"/>
      <c r="F295" s="57"/>
      <c r="G295" s="57"/>
      <c r="H295" s="57">
        <v>1</v>
      </c>
      <c r="I295" s="57"/>
      <c r="J295" s="57"/>
      <c r="K295" s="57"/>
      <c r="L295" s="57"/>
      <c r="Q295">
        <f t="shared" si="51"/>
        <v>4</v>
      </c>
      <c r="R295">
        <f t="shared" si="52"/>
        <v>2</v>
      </c>
      <c r="S295">
        <f t="shared" si="53"/>
        <v>0</v>
      </c>
      <c r="T295">
        <f t="shared" si="54"/>
        <v>0</v>
      </c>
      <c r="U295">
        <f t="shared" si="55"/>
        <v>1</v>
      </c>
      <c r="V295">
        <f t="shared" si="56"/>
        <v>0</v>
      </c>
      <c r="Y295" t="str">
        <f t="shared" si="57"/>
        <v>Iraq</v>
      </c>
      <c r="Z295" s="104">
        <f t="shared" si="58"/>
        <v>0.33333333333333331</v>
      </c>
      <c r="AA295" s="104" t="str">
        <f t="shared" si="59"/>
        <v/>
      </c>
      <c r="AB295" s="104">
        <f t="shared" si="60"/>
        <v>0</v>
      </c>
    </row>
    <row r="296" spans="1:28" x14ac:dyDescent="0.25">
      <c r="A296" s="55" t="s">
        <v>6105</v>
      </c>
      <c r="B296" s="57"/>
      <c r="C296" s="57"/>
      <c r="D296" s="57"/>
      <c r="E296" s="57"/>
      <c r="F296" s="57">
        <v>5</v>
      </c>
      <c r="G296" s="57"/>
      <c r="H296" s="57"/>
      <c r="I296" s="57">
        <v>15</v>
      </c>
      <c r="J296" s="57"/>
      <c r="K296" s="57"/>
      <c r="L296" s="57"/>
      <c r="Q296">
        <f t="shared" si="51"/>
        <v>0</v>
      </c>
      <c r="R296">
        <f t="shared" si="52"/>
        <v>0</v>
      </c>
      <c r="S296">
        <f t="shared" si="53"/>
        <v>0</v>
      </c>
      <c r="T296">
        <f t="shared" si="54"/>
        <v>5</v>
      </c>
      <c r="U296">
        <f t="shared" si="55"/>
        <v>0</v>
      </c>
      <c r="V296">
        <f t="shared" si="56"/>
        <v>15</v>
      </c>
      <c r="Y296" t="str">
        <f t="shared" si="57"/>
        <v>Jordan</v>
      </c>
      <c r="Z296" s="104" t="str">
        <f t="shared" si="58"/>
        <v/>
      </c>
      <c r="AA296" s="104">
        <f t="shared" si="59"/>
        <v>1</v>
      </c>
      <c r="AB296" s="104">
        <f t="shared" si="60"/>
        <v>1</v>
      </c>
    </row>
    <row r="297" spans="1:28" x14ac:dyDescent="0.25">
      <c r="A297" s="55" t="s">
        <v>6805</v>
      </c>
      <c r="B297" s="57"/>
      <c r="C297" s="57"/>
      <c r="D297" s="57"/>
      <c r="E297" s="57">
        <v>1</v>
      </c>
      <c r="F297" s="57"/>
      <c r="G297" s="57"/>
      <c r="H297" s="57"/>
      <c r="I297" s="57">
        <v>1</v>
      </c>
      <c r="J297" s="57"/>
      <c r="K297" s="57"/>
      <c r="L297" s="57"/>
      <c r="Q297">
        <f t="shared" si="51"/>
        <v>0</v>
      </c>
      <c r="R297">
        <f t="shared" si="52"/>
        <v>0</v>
      </c>
      <c r="S297">
        <f t="shared" si="53"/>
        <v>1</v>
      </c>
      <c r="T297">
        <f t="shared" si="54"/>
        <v>0</v>
      </c>
      <c r="U297">
        <f t="shared" si="55"/>
        <v>0</v>
      </c>
      <c r="V297">
        <f t="shared" si="56"/>
        <v>1</v>
      </c>
      <c r="Y297" t="str">
        <f t="shared" si="57"/>
        <v>Kosovo</v>
      </c>
      <c r="Z297" s="104" t="str">
        <f t="shared" si="58"/>
        <v/>
      </c>
      <c r="AA297" s="104">
        <f t="shared" si="59"/>
        <v>0</v>
      </c>
      <c r="AB297" s="104">
        <f t="shared" si="60"/>
        <v>1</v>
      </c>
    </row>
    <row r="298" spans="1:28" x14ac:dyDescent="0.25">
      <c r="A298" s="55" t="s">
        <v>7083</v>
      </c>
      <c r="B298" s="57"/>
      <c r="C298" s="57"/>
      <c r="D298" s="57"/>
      <c r="E298" s="57"/>
      <c r="F298" s="57">
        <v>3</v>
      </c>
      <c r="G298" s="57"/>
      <c r="H298" s="57"/>
      <c r="I298" s="57">
        <v>3</v>
      </c>
      <c r="J298" s="57"/>
      <c r="K298" s="57"/>
      <c r="L298" s="57"/>
      <c r="Q298">
        <f t="shared" si="51"/>
        <v>0</v>
      </c>
      <c r="R298">
        <f t="shared" si="52"/>
        <v>0</v>
      </c>
      <c r="S298">
        <f t="shared" si="53"/>
        <v>0</v>
      </c>
      <c r="T298">
        <f t="shared" si="54"/>
        <v>3</v>
      </c>
      <c r="U298">
        <f t="shared" si="55"/>
        <v>0</v>
      </c>
      <c r="V298">
        <f t="shared" si="56"/>
        <v>3</v>
      </c>
      <c r="Y298" t="str">
        <f t="shared" si="57"/>
        <v>Lebanon</v>
      </c>
      <c r="Z298" s="104" t="str">
        <f t="shared" si="58"/>
        <v/>
      </c>
      <c r="AA298" s="104">
        <f t="shared" si="59"/>
        <v>1</v>
      </c>
      <c r="AB298" s="104">
        <f t="shared" si="60"/>
        <v>1</v>
      </c>
    </row>
    <row r="299" spans="1:28" x14ac:dyDescent="0.25">
      <c r="A299" s="55" t="s">
        <v>7194</v>
      </c>
      <c r="B299" s="57"/>
      <c r="C299" s="57"/>
      <c r="D299" s="57"/>
      <c r="E299" s="57">
        <v>1</v>
      </c>
      <c r="F299" s="57"/>
      <c r="G299" s="57"/>
      <c r="H299" s="57"/>
      <c r="I299" s="57"/>
      <c r="J299" s="57"/>
      <c r="K299" s="57"/>
      <c r="L299" s="57"/>
      <c r="Q299">
        <f t="shared" si="51"/>
        <v>0</v>
      </c>
      <c r="R299">
        <f t="shared" si="52"/>
        <v>0</v>
      </c>
      <c r="S299">
        <f t="shared" si="53"/>
        <v>1</v>
      </c>
      <c r="T299">
        <f t="shared" si="54"/>
        <v>0</v>
      </c>
      <c r="U299">
        <f t="shared" si="55"/>
        <v>0</v>
      </c>
      <c r="V299">
        <f t="shared" si="56"/>
        <v>0</v>
      </c>
      <c r="Y299" t="str">
        <f t="shared" si="57"/>
        <v>Macedonia</v>
      </c>
      <c r="Z299" s="104" t="str">
        <f t="shared" si="58"/>
        <v/>
      </c>
      <c r="AA299" s="104">
        <f t="shared" si="59"/>
        <v>0</v>
      </c>
      <c r="AB299" s="104" t="str">
        <f t="shared" si="60"/>
        <v/>
      </c>
    </row>
    <row r="300" spans="1:28" x14ac:dyDescent="0.25">
      <c r="A300" s="55" t="s">
        <v>8140</v>
      </c>
      <c r="B300" s="57"/>
      <c r="C300" s="57"/>
      <c r="D300" s="57"/>
      <c r="E300" s="57">
        <v>2</v>
      </c>
      <c r="F300" s="57">
        <v>1</v>
      </c>
      <c r="G300" s="57"/>
      <c r="H300" s="57"/>
      <c r="I300" s="57"/>
      <c r="J300" s="57"/>
      <c r="K300" s="57"/>
      <c r="L300" s="57"/>
      <c r="Q300">
        <f t="shared" si="51"/>
        <v>0</v>
      </c>
      <c r="R300">
        <f t="shared" si="52"/>
        <v>0</v>
      </c>
      <c r="S300">
        <f t="shared" si="53"/>
        <v>2</v>
      </c>
      <c r="T300">
        <f t="shared" si="54"/>
        <v>1</v>
      </c>
      <c r="U300">
        <f t="shared" si="55"/>
        <v>0</v>
      </c>
      <c r="V300">
        <f t="shared" si="56"/>
        <v>0</v>
      </c>
      <c r="Y300" t="str">
        <f t="shared" si="57"/>
        <v>Montenegro</v>
      </c>
      <c r="Z300" s="104" t="str">
        <f t="shared" si="58"/>
        <v/>
      </c>
      <c r="AA300" s="104">
        <f t="shared" si="59"/>
        <v>0.33333333333333331</v>
      </c>
      <c r="AB300" s="104" t="str">
        <f t="shared" si="60"/>
        <v/>
      </c>
    </row>
    <row r="301" spans="1:28" x14ac:dyDescent="0.25">
      <c r="A301" s="55" t="s">
        <v>8180</v>
      </c>
      <c r="B301" s="57">
        <v>1</v>
      </c>
      <c r="C301" s="57">
        <v>2</v>
      </c>
      <c r="D301" s="57"/>
      <c r="E301" s="57"/>
      <c r="F301" s="57">
        <v>2</v>
      </c>
      <c r="G301" s="57"/>
      <c r="H301" s="57"/>
      <c r="I301" s="57"/>
      <c r="J301" s="57"/>
      <c r="K301" s="57"/>
      <c r="L301" s="57"/>
      <c r="Q301">
        <f t="shared" si="51"/>
        <v>1</v>
      </c>
      <c r="R301">
        <f t="shared" si="52"/>
        <v>2</v>
      </c>
      <c r="S301">
        <f t="shared" si="53"/>
        <v>0</v>
      </c>
      <c r="T301">
        <f t="shared" si="54"/>
        <v>2</v>
      </c>
      <c r="U301">
        <f t="shared" si="55"/>
        <v>0</v>
      </c>
      <c r="V301">
        <f t="shared" si="56"/>
        <v>0</v>
      </c>
      <c r="Y301" t="str">
        <f t="shared" si="57"/>
        <v>Morocco</v>
      </c>
      <c r="Z301" s="104">
        <f t="shared" si="58"/>
        <v>0.66666666666666663</v>
      </c>
      <c r="AA301" s="104">
        <f t="shared" si="59"/>
        <v>1</v>
      </c>
      <c r="AB301" s="104" t="str">
        <f t="shared" si="60"/>
        <v/>
      </c>
    </row>
    <row r="302" spans="1:28" x14ac:dyDescent="0.25">
      <c r="A302" s="55" t="s">
        <v>9020</v>
      </c>
      <c r="B302" s="57"/>
      <c r="C302" s="57"/>
      <c r="D302" s="57"/>
      <c r="E302" s="57"/>
      <c r="F302" s="57"/>
      <c r="G302" s="57"/>
      <c r="H302" s="57"/>
      <c r="I302" s="57"/>
      <c r="J302" s="57"/>
      <c r="K302" s="57"/>
      <c r="L302" s="57"/>
      <c r="Q302">
        <f t="shared" si="51"/>
        <v>0</v>
      </c>
      <c r="R302">
        <f t="shared" si="52"/>
        <v>0</v>
      </c>
      <c r="S302">
        <f t="shared" si="53"/>
        <v>0</v>
      </c>
      <c r="T302">
        <f t="shared" si="54"/>
        <v>0</v>
      </c>
      <c r="U302">
        <f t="shared" si="55"/>
        <v>0</v>
      </c>
      <c r="V302">
        <f t="shared" si="56"/>
        <v>0</v>
      </c>
      <c r="Y302" t="str">
        <f t="shared" si="57"/>
        <v>Netherlands</v>
      </c>
      <c r="Z302" s="104" t="str">
        <f t="shared" si="58"/>
        <v/>
      </c>
      <c r="AA302" s="104" t="str">
        <f t="shared" si="59"/>
        <v/>
      </c>
      <c r="AB302" s="104" t="str">
        <f t="shared" si="60"/>
        <v/>
      </c>
    </row>
    <row r="303" spans="1:28" x14ac:dyDescent="0.25">
      <c r="A303" s="55" t="s">
        <v>9409</v>
      </c>
      <c r="B303" s="57"/>
      <c r="C303" s="57"/>
      <c r="D303" s="57"/>
      <c r="E303" s="57"/>
      <c r="F303" s="57">
        <v>1</v>
      </c>
      <c r="G303" s="57"/>
      <c r="H303" s="57"/>
      <c r="I303" s="57"/>
      <c r="J303" s="57"/>
      <c r="K303" s="57"/>
      <c r="L303" s="57"/>
      <c r="Q303">
        <f t="shared" si="51"/>
        <v>0</v>
      </c>
      <c r="R303">
        <f t="shared" si="52"/>
        <v>0</v>
      </c>
      <c r="S303">
        <f t="shared" si="53"/>
        <v>0</v>
      </c>
      <c r="T303">
        <f t="shared" si="54"/>
        <v>1</v>
      </c>
      <c r="U303">
        <f t="shared" si="55"/>
        <v>0</v>
      </c>
      <c r="V303">
        <f t="shared" si="56"/>
        <v>0</v>
      </c>
      <c r="Y303" t="str">
        <f t="shared" si="57"/>
        <v>Norway</v>
      </c>
      <c r="Z303" s="104" t="str">
        <f t="shared" si="58"/>
        <v/>
      </c>
      <c r="AA303" s="104">
        <f t="shared" si="59"/>
        <v>1</v>
      </c>
      <c r="AB303" s="104" t="str">
        <f t="shared" si="60"/>
        <v/>
      </c>
    </row>
    <row r="304" spans="1:28" x14ac:dyDescent="0.25">
      <c r="A304" s="55" t="s">
        <v>10350</v>
      </c>
      <c r="B304" s="57"/>
      <c r="C304" s="57"/>
      <c r="D304" s="57"/>
      <c r="E304" s="57"/>
      <c r="F304" s="57"/>
      <c r="G304" s="57"/>
      <c r="H304" s="57"/>
      <c r="I304" s="57"/>
      <c r="J304" s="57"/>
      <c r="K304" s="57"/>
      <c r="L304" s="57"/>
      <c r="Q304">
        <f t="shared" si="51"/>
        <v>0</v>
      </c>
      <c r="R304">
        <f t="shared" si="52"/>
        <v>0</v>
      </c>
      <c r="S304">
        <f t="shared" si="53"/>
        <v>0</v>
      </c>
      <c r="T304">
        <f t="shared" si="54"/>
        <v>0</v>
      </c>
      <c r="U304">
        <f t="shared" si="55"/>
        <v>0</v>
      </c>
      <c r="V304">
        <f t="shared" si="56"/>
        <v>0</v>
      </c>
      <c r="Y304" t="str">
        <f t="shared" si="57"/>
        <v>Romania</v>
      </c>
      <c r="Z304" s="104" t="str">
        <f t="shared" si="58"/>
        <v/>
      </c>
      <c r="AA304" s="104" t="str">
        <f t="shared" si="59"/>
        <v/>
      </c>
      <c r="AB304" s="104" t="str">
        <f t="shared" si="60"/>
        <v/>
      </c>
    </row>
    <row r="305" spans="1:28" x14ac:dyDescent="0.25">
      <c r="A305" s="55" t="s">
        <v>10558</v>
      </c>
      <c r="B305" s="57"/>
      <c r="C305" s="57"/>
      <c r="D305" s="57"/>
      <c r="E305" s="57">
        <v>5</v>
      </c>
      <c r="F305" s="57">
        <v>1</v>
      </c>
      <c r="G305" s="57"/>
      <c r="H305" s="57"/>
      <c r="I305" s="57">
        <v>1</v>
      </c>
      <c r="J305" s="57"/>
      <c r="K305" s="57"/>
      <c r="L305" s="57"/>
      <c r="Q305">
        <f t="shared" si="51"/>
        <v>0</v>
      </c>
      <c r="R305">
        <f t="shared" si="52"/>
        <v>0</v>
      </c>
      <c r="S305">
        <f t="shared" si="53"/>
        <v>5</v>
      </c>
      <c r="T305">
        <f t="shared" si="54"/>
        <v>1</v>
      </c>
      <c r="U305">
        <f t="shared" si="55"/>
        <v>0</v>
      </c>
      <c r="V305">
        <f t="shared" si="56"/>
        <v>1</v>
      </c>
      <c r="Y305" t="str">
        <f t="shared" si="57"/>
        <v>Serbia</v>
      </c>
      <c r="Z305" s="104" t="str">
        <f t="shared" si="58"/>
        <v/>
      </c>
      <c r="AA305" s="104">
        <f t="shared" si="59"/>
        <v>0.16666666666666666</v>
      </c>
      <c r="AB305" s="104">
        <f t="shared" si="60"/>
        <v>1</v>
      </c>
    </row>
    <row r="306" spans="1:28" x14ac:dyDescent="0.25">
      <c r="A306" s="55" t="s">
        <v>11664</v>
      </c>
      <c r="B306" s="57"/>
      <c r="C306" s="57"/>
      <c r="D306" s="57"/>
      <c r="E306" s="57"/>
      <c r="F306" s="57"/>
      <c r="G306" s="57"/>
      <c r="H306" s="57"/>
      <c r="I306" s="57"/>
      <c r="J306" s="57"/>
      <c r="K306" s="57"/>
      <c r="L306" s="57"/>
      <c r="Q306">
        <f t="shared" si="51"/>
        <v>0</v>
      </c>
      <c r="R306">
        <f t="shared" si="52"/>
        <v>0</v>
      </c>
      <c r="S306">
        <f t="shared" si="53"/>
        <v>0</v>
      </c>
      <c r="T306">
        <f t="shared" si="54"/>
        <v>0</v>
      </c>
      <c r="U306">
        <f t="shared" si="55"/>
        <v>0</v>
      </c>
      <c r="V306">
        <f t="shared" si="56"/>
        <v>0</v>
      </c>
      <c r="Y306" t="str">
        <f t="shared" si="57"/>
        <v>Switzerland</v>
      </c>
      <c r="Z306" s="104" t="str">
        <f t="shared" si="58"/>
        <v/>
      </c>
      <c r="AA306" s="104" t="str">
        <f t="shared" si="59"/>
        <v/>
      </c>
      <c r="AB306" s="104" t="str">
        <f t="shared" si="60"/>
        <v/>
      </c>
    </row>
    <row r="307" spans="1:28" x14ac:dyDescent="0.25">
      <c r="A307" s="55" t="s">
        <v>11693</v>
      </c>
      <c r="B307" s="57"/>
      <c r="C307" s="57"/>
      <c r="D307" s="57"/>
      <c r="E307" s="57">
        <v>2</v>
      </c>
      <c r="F307" s="57">
        <v>1</v>
      </c>
      <c r="G307" s="57"/>
      <c r="H307" s="57"/>
      <c r="I307" s="57">
        <v>3</v>
      </c>
      <c r="J307" s="57"/>
      <c r="K307" s="57"/>
      <c r="L307" s="57"/>
      <c r="Q307">
        <f t="shared" si="51"/>
        <v>0</v>
      </c>
      <c r="R307">
        <f t="shared" si="52"/>
        <v>0</v>
      </c>
      <c r="S307">
        <f t="shared" si="53"/>
        <v>2</v>
      </c>
      <c r="T307">
        <f t="shared" si="54"/>
        <v>1</v>
      </c>
      <c r="U307">
        <f t="shared" si="55"/>
        <v>0</v>
      </c>
      <c r="V307">
        <f t="shared" si="56"/>
        <v>3</v>
      </c>
      <c r="Y307" t="str">
        <f t="shared" si="57"/>
        <v>Syria</v>
      </c>
      <c r="Z307" s="104" t="str">
        <f t="shared" si="58"/>
        <v/>
      </c>
      <c r="AA307" s="104">
        <f t="shared" si="59"/>
        <v>0.33333333333333331</v>
      </c>
      <c r="AB307" s="104">
        <f t="shared" si="60"/>
        <v>1</v>
      </c>
    </row>
    <row r="308" spans="1:28" x14ac:dyDescent="0.25">
      <c r="A308" s="55" t="s">
        <v>12654</v>
      </c>
      <c r="B308" s="57"/>
      <c r="C308" s="57"/>
      <c r="D308" s="57"/>
      <c r="E308" s="57"/>
      <c r="F308" s="57"/>
      <c r="G308" s="57"/>
      <c r="H308" s="57"/>
      <c r="I308" s="57"/>
      <c r="J308" s="57"/>
      <c r="K308" s="57"/>
      <c r="L308" s="57"/>
      <c r="Q308">
        <f t="shared" si="51"/>
        <v>0</v>
      </c>
      <c r="R308">
        <f t="shared" si="52"/>
        <v>0</v>
      </c>
      <c r="S308">
        <f t="shared" si="53"/>
        <v>0</v>
      </c>
      <c r="T308">
        <f t="shared" si="54"/>
        <v>0</v>
      </c>
      <c r="U308">
        <f t="shared" si="55"/>
        <v>0</v>
      </c>
      <c r="V308">
        <f t="shared" si="56"/>
        <v>0</v>
      </c>
      <c r="Y308" t="str">
        <f t="shared" si="57"/>
        <v>Turkey</v>
      </c>
      <c r="Z308" s="104" t="str">
        <f t="shared" si="58"/>
        <v/>
      </c>
      <c r="AA308" s="104" t="str">
        <f t="shared" si="59"/>
        <v/>
      </c>
      <c r="AB308" s="104" t="str">
        <f t="shared" si="60"/>
        <v/>
      </c>
    </row>
    <row r="309" spans="1:28" x14ac:dyDescent="0.25">
      <c r="A309" s="55" t="s">
        <v>12907</v>
      </c>
      <c r="B309" s="57">
        <v>1</v>
      </c>
      <c r="C309" s="57"/>
      <c r="D309" s="57"/>
      <c r="E309" s="57"/>
      <c r="F309" s="57"/>
      <c r="G309" s="57"/>
      <c r="H309" s="57"/>
      <c r="I309" s="57"/>
      <c r="J309" s="57"/>
      <c r="K309" s="57"/>
      <c r="L309" s="57"/>
      <c r="Q309">
        <f t="shared" si="51"/>
        <v>1</v>
      </c>
      <c r="R309">
        <f t="shared" si="52"/>
        <v>0</v>
      </c>
      <c r="S309">
        <f t="shared" si="53"/>
        <v>0</v>
      </c>
      <c r="T309">
        <f t="shared" si="54"/>
        <v>0</v>
      </c>
      <c r="U309">
        <f t="shared" si="55"/>
        <v>0</v>
      </c>
      <c r="V309">
        <f t="shared" si="56"/>
        <v>0</v>
      </c>
      <c r="Y309" t="str">
        <f t="shared" si="57"/>
        <v>United Kingdom</v>
      </c>
      <c r="Z309" s="104">
        <f t="shared" si="58"/>
        <v>0</v>
      </c>
      <c r="AA309" s="104" t="str">
        <f t="shared" si="59"/>
        <v/>
      </c>
      <c r="AB309" s="104" t="str">
        <f t="shared" si="60"/>
        <v/>
      </c>
    </row>
    <row r="310" spans="1:28" x14ac:dyDescent="0.25">
      <c r="A310" s="55" t="s">
        <v>13710</v>
      </c>
      <c r="B310" s="57"/>
      <c r="C310" s="57"/>
      <c r="D310" s="57"/>
      <c r="E310" s="57"/>
      <c r="F310" s="57">
        <v>2</v>
      </c>
      <c r="G310" s="57"/>
      <c r="H310" s="57"/>
      <c r="I310" s="57">
        <v>5</v>
      </c>
      <c r="J310" s="57"/>
      <c r="K310" s="57"/>
      <c r="L310" s="57"/>
      <c r="Q310">
        <f t="shared" si="51"/>
        <v>0</v>
      </c>
      <c r="R310">
        <f t="shared" si="52"/>
        <v>0</v>
      </c>
      <c r="S310">
        <f t="shared" si="53"/>
        <v>0</v>
      </c>
      <c r="T310">
        <f t="shared" si="54"/>
        <v>2</v>
      </c>
      <c r="U310">
        <f t="shared" si="55"/>
        <v>0</v>
      </c>
      <c r="V310">
        <f t="shared" si="56"/>
        <v>5</v>
      </c>
      <c r="Y310" t="str">
        <f t="shared" si="57"/>
        <v>West Bank and Gaza</v>
      </c>
      <c r="Z310" s="104" t="str">
        <f t="shared" si="58"/>
        <v/>
      </c>
      <c r="AA310" s="104">
        <f t="shared" si="59"/>
        <v>1</v>
      </c>
      <c r="AB310" s="104">
        <f t="shared" si="60"/>
        <v>1</v>
      </c>
    </row>
    <row r="311" spans="1:28" x14ac:dyDescent="0.25">
      <c r="A311" s="55" t="s">
        <v>13783</v>
      </c>
      <c r="B311" s="57"/>
      <c r="C311" s="57"/>
      <c r="D311" s="57"/>
      <c r="E311" s="57"/>
      <c r="F311" s="57">
        <v>17</v>
      </c>
      <c r="G311" s="57"/>
      <c r="H311" s="57"/>
      <c r="I311" s="57"/>
      <c r="J311" s="57"/>
      <c r="K311" s="57"/>
      <c r="L311" s="57"/>
      <c r="Q311">
        <f t="shared" si="51"/>
        <v>0</v>
      </c>
      <c r="R311">
        <f t="shared" si="52"/>
        <v>0</v>
      </c>
      <c r="S311">
        <f t="shared" si="53"/>
        <v>0</v>
      </c>
      <c r="T311">
        <f t="shared" si="54"/>
        <v>17</v>
      </c>
      <c r="U311">
        <f t="shared" si="55"/>
        <v>0</v>
      </c>
      <c r="V311">
        <f t="shared" si="56"/>
        <v>0</v>
      </c>
      <c r="Y311" t="str">
        <f t="shared" si="57"/>
        <v>Yemen</v>
      </c>
      <c r="Z311" s="104" t="str">
        <f t="shared" si="58"/>
        <v/>
      </c>
      <c r="AA311" s="104">
        <f t="shared" si="59"/>
        <v>1</v>
      </c>
      <c r="AB311" s="104" t="str">
        <f t="shared" si="60"/>
        <v/>
      </c>
    </row>
    <row r="312" spans="1:28" x14ac:dyDescent="0.25">
      <c r="A312" s="50" t="s">
        <v>14281</v>
      </c>
      <c r="B312" s="57">
        <v>6</v>
      </c>
      <c r="C312" s="57">
        <v>11</v>
      </c>
      <c r="D312" s="57"/>
      <c r="E312" s="57">
        <v>16</v>
      </c>
      <c r="F312" s="57">
        <v>47</v>
      </c>
      <c r="G312" s="57"/>
      <c r="H312" s="57">
        <v>2</v>
      </c>
      <c r="I312" s="57">
        <v>37</v>
      </c>
      <c r="J312" s="57"/>
      <c r="K312" s="57"/>
      <c r="L312" s="57"/>
      <c r="Q312">
        <f t="shared" si="51"/>
        <v>6</v>
      </c>
      <c r="R312">
        <f t="shared" si="52"/>
        <v>11</v>
      </c>
      <c r="S312">
        <f t="shared" si="53"/>
        <v>16</v>
      </c>
      <c r="T312">
        <f t="shared" si="54"/>
        <v>47</v>
      </c>
      <c r="U312">
        <f t="shared" si="55"/>
        <v>2</v>
      </c>
      <c r="V312">
        <f t="shared" si="56"/>
        <v>37</v>
      </c>
      <c r="Y312" t="str">
        <f t="shared" si="57"/>
        <v>Middle East, North Africa and Europe Total</v>
      </c>
      <c r="Z312" s="104">
        <f t="shared" si="58"/>
        <v>0.6470588235294118</v>
      </c>
      <c r="AA312" s="104">
        <f t="shared" si="59"/>
        <v>0.74603174603174605</v>
      </c>
      <c r="AB312" s="104">
        <f t="shared" si="60"/>
        <v>0.94871794871794868</v>
      </c>
    </row>
    <row r="313" spans="1:28" x14ac:dyDescent="0.25">
      <c r="A313" s="50" t="s">
        <v>12970</v>
      </c>
      <c r="B313" s="57"/>
      <c r="C313" s="57"/>
      <c r="D313" s="57"/>
      <c r="E313" s="57"/>
      <c r="F313" s="57"/>
      <c r="G313" s="57"/>
      <c r="H313" s="57"/>
      <c r="I313" s="57"/>
      <c r="J313" s="57"/>
      <c r="K313" s="57"/>
      <c r="L313" s="57"/>
      <c r="Q313">
        <f t="shared" si="51"/>
        <v>0</v>
      </c>
      <c r="R313">
        <f t="shared" si="52"/>
        <v>0</v>
      </c>
      <c r="S313">
        <f t="shared" si="53"/>
        <v>0</v>
      </c>
      <c r="T313">
        <f t="shared" si="54"/>
        <v>0</v>
      </c>
      <c r="U313">
        <f t="shared" si="55"/>
        <v>0</v>
      </c>
      <c r="V313">
        <f t="shared" si="56"/>
        <v>0</v>
      </c>
      <c r="Y313" t="str">
        <f t="shared" si="57"/>
        <v>North America</v>
      </c>
      <c r="Z313" s="104" t="str">
        <f t="shared" si="58"/>
        <v/>
      </c>
      <c r="AA313" s="104" t="str">
        <f t="shared" si="59"/>
        <v/>
      </c>
      <c r="AB313" s="104" t="str">
        <f t="shared" si="60"/>
        <v/>
      </c>
    </row>
    <row r="314" spans="1:28" x14ac:dyDescent="0.25">
      <c r="A314" s="55" t="s">
        <v>12969</v>
      </c>
      <c r="B314" s="57"/>
      <c r="C314" s="57"/>
      <c r="D314" s="57"/>
      <c r="E314" s="57"/>
      <c r="F314" s="57"/>
      <c r="G314" s="57"/>
      <c r="H314" s="57"/>
      <c r="I314" s="57"/>
      <c r="J314" s="57"/>
      <c r="K314" s="57"/>
      <c r="L314" s="57"/>
      <c r="Q314">
        <f t="shared" si="51"/>
        <v>0</v>
      </c>
      <c r="R314">
        <f t="shared" si="52"/>
        <v>0</v>
      </c>
      <c r="S314">
        <f t="shared" si="53"/>
        <v>0</v>
      </c>
      <c r="T314">
        <f t="shared" si="54"/>
        <v>0</v>
      </c>
      <c r="U314">
        <f t="shared" si="55"/>
        <v>0</v>
      </c>
      <c r="V314">
        <f t="shared" si="56"/>
        <v>0</v>
      </c>
      <c r="Y314" t="str">
        <f t="shared" si="57"/>
        <v>United States of America</v>
      </c>
      <c r="Z314" s="104" t="str">
        <f t="shared" si="58"/>
        <v/>
      </c>
      <c r="AA314" s="104" t="str">
        <f t="shared" si="59"/>
        <v/>
      </c>
      <c r="AB314" s="104" t="str">
        <f t="shared" si="60"/>
        <v/>
      </c>
    </row>
    <row r="315" spans="1:28" x14ac:dyDescent="0.25">
      <c r="A315" s="50" t="s">
        <v>14282</v>
      </c>
      <c r="B315" s="57"/>
      <c r="C315" s="57"/>
      <c r="D315" s="57"/>
      <c r="E315" s="57"/>
      <c r="F315" s="57"/>
      <c r="G315" s="57"/>
      <c r="H315" s="57"/>
      <c r="I315" s="57"/>
      <c r="J315" s="57"/>
      <c r="K315" s="57"/>
      <c r="L315" s="57"/>
      <c r="Q315">
        <f t="shared" si="51"/>
        <v>0</v>
      </c>
      <c r="R315">
        <f t="shared" si="52"/>
        <v>0</v>
      </c>
      <c r="S315">
        <f t="shared" si="53"/>
        <v>0</v>
      </c>
      <c r="T315">
        <f t="shared" si="54"/>
        <v>0</v>
      </c>
      <c r="U315">
        <f t="shared" si="55"/>
        <v>0</v>
      </c>
      <c r="V315">
        <f t="shared" si="56"/>
        <v>0</v>
      </c>
      <c r="Y315" t="str">
        <f t="shared" si="57"/>
        <v>North America Total</v>
      </c>
      <c r="Z315" s="104" t="str">
        <f t="shared" si="58"/>
        <v/>
      </c>
      <c r="AA315" s="104" t="str">
        <f t="shared" si="59"/>
        <v/>
      </c>
      <c r="AB315" s="104" t="str">
        <f t="shared" si="60"/>
        <v/>
      </c>
    </row>
    <row r="316" spans="1:28" x14ac:dyDescent="0.25">
      <c r="A316" s="50" t="s">
        <v>14272</v>
      </c>
      <c r="B316" s="57">
        <v>35</v>
      </c>
      <c r="C316" s="57">
        <v>39</v>
      </c>
      <c r="D316" s="57"/>
      <c r="E316" s="57">
        <v>87</v>
      </c>
      <c r="F316" s="57">
        <v>373</v>
      </c>
      <c r="G316" s="57"/>
      <c r="H316" s="57">
        <v>26</v>
      </c>
      <c r="I316" s="57">
        <v>179</v>
      </c>
      <c r="J316" s="57"/>
      <c r="K316" s="57">
        <v>1</v>
      </c>
      <c r="L316" s="57"/>
      <c r="Q316">
        <f t="shared" si="51"/>
        <v>35</v>
      </c>
      <c r="R316">
        <f t="shared" si="52"/>
        <v>39</v>
      </c>
      <c r="S316">
        <f t="shared" si="53"/>
        <v>87</v>
      </c>
      <c r="T316">
        <f t="shared" si="54"/>
        <v>373</v>
      </c>
      <c r="U316">
        <f t="shared" si="55"/>
        <v>26</v>
      </c>
      <c r="V316">
        <f t="shared" si="56"/>
        <v>179</v>
      </c>
      <c r="Y316" t="str">
        <f t="shared" si="57"/>
        <v>Grand Total</v>
      </c>
      <c r="Z316" s="104">
        <f t="shared" si="58"/>
        <v>0.52702702702702697</v>
      </c>
      <c r="AA316" s="104">
        <f t="shared" si="59"/>
        <v>0.81086956521739129</v>
      </c>
      <c r="AB316" s="104">
        <f t="shared" si="60"/>
        <v>0.87317073170731707</v>
      </c>
    </row>
    <row r="317" spans="1:28" x14ac:dyDescent="0.25">
      <c r="Q317">
        <f t="shared" si="51"/>
        <v>0</v>
      </c>
      <c r="R317">
        <f t="shared" si="52"/>
        <v>0</v>
      </c>
      <c r="S317">
        <f t="shared" si="53"/>
        <v>0</v>
      </c>
      <c r="T317">
        <f t="shared" si="54"/>
        <v>0</v>
      </c>
      <c r="U317">
        <f t="shared" si="55"/>
        <v>0</v>
      </c>
      <c r="V317">
        <f t="shared" si="56"/>
        <v>0</v>
      </c>
      <c r="Y317">
        <f t="shared" si="57"/>
        <v>0</v>
      </c>
      <c r="Z317" s="104" t="str">
        <f t="shared" si="58"/>
        <v/>
      </c>
      <c r="AA317" s="104" t="str">
        <f t="shared" si="59"/>
        <v/>
      </c>
      <c r="AB317" s="104" t="str">
        <f t="shared" si="60"/>
        <v/>
      </c>
    </row>
    <row r="320" spans="1:28" x14ac:dyDescent="0.25">
      <c r="A320" s="49" t="s">
        <v>14556</v>
      </c>
      <c r="B320" s="49" t="s">
        <v>14283</v>
      </c>
    </row>
    <row r="321" spans="1:37" x14ac:dyDescent="0.25">
      <c r="B321" t="s">
        <v>456</v>
      </c>
      <c r="E321" t="s">
        <v>337</v>
      </c>
      <c r="H321" t="s">
        <v>622</v>
      </c>
      <c r="K321" t="s">
        <v>14275</v>
      </c>
      <c r="Q321" s="431" t="str">
        <f>A320</f>
        <v>Count of Resilience marker - Risk Landscape</v>
      </c>
      <c r="R321" s="431"/>
      <c r="S321" s="431"/>
      <c r="T321" s="431"/>
      <c r="U321" s="431"/>
      <c r="V321" s="431"/>
      <c r="W321" s="121"/>
      <c r="X321" s="121"/>
      <c r="Z321" s="431"/>
      <c r="AA321" s="431"/>
      <c r="AB321" s="431"/>
    </row>
    <row r="322" spans="1:37" x14ac:dyDescent="0.25">
      <c r="A322" s="49" t="s">
        <v>14283</v>
      </c>
      <c r="B322" t="s">
        <v>319</v>
      </c>
      <c r="C322" t="s">
        <v>320</v>
      </c>
      <c r="D322" t="s">
        <v>14275</v>
      </c>
      <c r="E322" t="s">
        <v>319</v>
      </c>
      <c r="F322" t="s">
        <v>320</v>
      </c>
      <c r="G322" t="s">
        <v>14275</v>
      </c>
      <c r="H322" t="s">
        <v>319</v>
      </c>
      <c r="I322" t="s">
        <v>320</v>
      </c>
      <c r="J322" t="s">
        <v>14275</v>
      </c>
      <c r="K322" t="s">
        <v>319</v>
      </c>
      <c r="L322" t="s">
        <v>320</v>
      </c>
      <c r="M322" t="s">
        <v>14275</v>
      </c>
      <c r="Q322" s="431" t="s">
        <v>14552</v>
      </c>
      <c r="R322" s="431"/>
      <c r="S322" s="431" t="s">
        <v>14553</v>
      </c>
      <c r="T322" s="431"/>
      <c r="U322" s="431" t="s">
        <v>14554</v>
      </c>
      <c r="V322" s="431"/>
      <c r="W322" s="122"/>
      <c r="X322" s="122"/>
      <c r="Y322" s="49"/>
      <c r="Z322" s="49" t="s">
        <v>14541</v>
      </c>
      <c r="AA322" s="49"/>
      <c r="AB322" s="49"/>
      <c r="AC322" s="49"/>
      <c r="AD322" s="49"/>
      <c r="AE322" s="49"/>
      <c r="AF322" s="49"/>
      <c r="AG322" s="49"/>
      <c r="AH322" s="49"/>
      <c r="AI322" s="49"/>
      <c r="AJ322" s="49"/>
      <c r="AK322" s="49"/>
    </row>
    <row r="323" spans="1:37" x14ac:dyDescent="0.25">
      <c r="A323" s="50" t="s">
        <v>1874</v>
      </c>
      <c r="B323" s="57"/>
      <c r="C323" s="57"/>
      <c r="D323" s="57"/>
      <c r="E323" s="57"/>
      <c r="F323" s="57"/>
      <c r="G323" s="57"/>
      <c r="H323" s="57"/>
      <c r="I323" s="57"/>
      <c r="J323" s="57"/>
      <c r="K323" s="57"/>
      <c r="L323" s="57"/>
      <c r="M323" s="57"/>
      <c r="Q323" s="121" t="s">
        <v>7463</v>
      </c>
      <c r="R323" s="121" t="s">
        <v>326</v>
      </c>
      <c r="S323" s="121" t="s">
        <v>7463</v>
      </c>
      <c r="T323" s="121" t="s">
        <v>326</v>
      </c>
      <c r="U323" s="121" t="s">
        <v>7463</v>
      </c>
      <c r="V323" s="121" t="s">
        <v>326</v>
      </c>
      <c r="W323" s="121"/>
      <c r="X323" s="121"/>
      <c r="Z323" s="121" t="str">
        <f>Q322</f>
        <v>Did not address resilience</v>
      </c>
      <c r="AA323" s="121" t="str">
        <f>S322</f>
        <v>Addressed resilience</v>
      </c>
      <c r="AB323" s="121" t="str">
        <f>U322</f>
        <v>Addressed resilience AND underlying drivers</v>
      </c>
    </row>
    <row r="324" spans="1:37" x14ac:dyDescent="0.25">
      <c r="A324" s="55" t="s">
        <v>1873</v>
      </c>
      <c r="B324" s="57">
        <v>1</v>
      </c>
      <c r="C324" s="57">
        <v>5</v>
      </c>
      <c r="D324" s="57"/>
      <c r="E324" s="57">
        <v>3</v>
      </c>
      <c r="F324" s="57">
        <v>3</v>
      </c>
      <c r="G324" s="57"/>
      <c r="H324" s="57"/>
      <c r="I324" s="57">
        <v>1</v>
      </c>
      <c r="J324" s="57"/>
      <c r="K324" s="57"/>
      <c r="L324" s="57"/>
      <c r="M324" s="57"/>
      <c r="Q324">
        <f t="shared" ref="Q324:Q355" si="61">B324</f>
        <v>1</v>
      </c>
      <c r="R324">
        <f t="shared" ref="R324:R355" si="62">C324</f>
        <v>5</v>
      </c>
      <c r="S324">
        <f t="shared" ref="S324:S355" si="63">E324</f>
        <v>3</v>
      </c>
      <c r="T324">
        <f t="shared" ref="T324:T355" si="64">F324</f>
        <v>3</v>
      </c>
      <c r="U324">
        <f t="shared" ref="U324:U355" si="65">H324</f>
        <v>0</v>
      </c>
      <c r="V324">
        <f t="shared" ref="V324:V355" si="66">I324</f>
        <v>1</v>
      </c>
      <c r="Y324" t="str">
        <f t="shared" ref="Y324:Y355" si="67">A324</f>
        <v>Burundi</v>
      </c>
      <c r="Z324" s="104">
        <f>IFERROR(R324/(SUM($Q324:$R324)),"")</f>
        <v>0.83333333333333337</v>
      </c>
      <c r="AA324" s="104">
        <f>IFERROR(T324/(SUM($S324:$T324)),"")</f>
        <v>0.5</v>
      </c>
      <c r="AB324" s="104">
        <f>IFERROR(V324/(SUM($U324:$V324)),"")</f>
        <v>1</v>
      </c>
    </row>
    <row r="325" spans="1:37" x14ac:dyDescent="0.25">
      <c r="A325" s="55" t="s">
        <v>3868</v>
      </c>
      <c r="B325" s="57"/>
      <c r="C325" s="57"/>
      <c r="D325" s="57"/>
      <c r="E325" s="57"/>
      <c r="F325" s="57">
        <v>21</v>
      </c>
      <c r="G325" s="57"/>
      <c r="H325" s="57"/>
      <c r="I325" s="57">
        <v>7</v>
      </c>
      <c r="J325" s="57"/>
      <c r="K325" s="57"/>
      <c r="L325" s="57"/>
      <c r="M325" s="57"/>
      <c r="Q325">
        <f t="shared" si="61"/>
        <v>0</v>
      </c>
      <c r="R325">
        <f t="shared" si="62"/>
        <v>0</v>
      </c>
      <c r="S325">
        <f t="shared" si="63"/>
        <v>0</v>
      </c>
      <c r="T325">
        <f t="shared" si="64"/>
        <v>21</v>
      </c>
      <c r="U325">
        <f t="shared" si="65"/>
        <v>0</v>
      </c>
      <c r="V325">
        <f t="shared" si="66"/>
        <v>7</v>
      </c>
      <c r="Y325" t="str">
        <f t="shared" si="67"/>
        <v>Ethiopia</v>
      </c>
      <c r="Z325" s="104" t="str">
        <f t="shared" ref="Z325:Z388" si="68">IFERROR(R325/(SUM($Q325:$R325)),"")</f>
        <v/>
      </c>
      <c r="AA325" s="104">
        <f t="shared" ref="AA325:AA388" si="69">IFERROR(T325/(SUM($S325:$T325)),"")</f>
        <v>1</v>
      </c>
      <c r="AB325" s="104">
        <f t="shared" ref="AB325:AB388" si="70">IFERROR(V325/(SUM($U325:$V325)),"")</f>
        <v>1</v>
      </c>
    </row>
    <row r="326" spans="1:37" x14ac:dyDescent="0.25">
      <c r="A326" s="55" t="s">
        <v>6457</v>
      </c>
      <c r="B326" s="57">
        <v>1</v>
      </c>
      <c r="C326" s="57"/>
      <c r="D326" s="57"/>
      <c r="E326" s="57">
        <v>5</v>
      </c>
      <c r="F326" s="57">
        <v>11</v>
      </c>
      <c r="G326" s="57"/>
      <c r="H326" s="57"/>
      <c r="I326" s="57">
        <v>5</v>
      </c>
      <c r="J326" s="57"/>
      <c r="K326" s="57"/>
      <c r="L326" s="57"/>
      <c r="M326" s="57"/>
      <c r="Q326">
        <f t="shared" si="61"/>
        <v>1</v>
      </c>
      <c r="R326">
        <f t="shared" si="62"/>
        <v>0</v>
      </c>
      <c r="S326">
        <f t="shared" si="63"/>
        <v>5</v>
      </c>
      <c r="T326">
        <f t="shared" si="64"/>
        <v>11</v>
      </c>
      <c r="U326">
        <f t="shared" si="65"/>
        <v>0</v>
      </c>
      <c r="V326">
        <f t="shared" si="66"/>
        <v>5</v>
      </c>
      <c r="Y326" t="str">
        <f t="shared" si="67"/>
        <v>Kenya</v>
      </c>
      <c r="Z326" s="104">
        <f t="shared" si="68"/>
        <v>0</v>
      </c>
      <c r="AA326" s="104">
        <f t="shared" si="69"/>
        <v>0.6875</v>
      </c>
      <c r="AB326" s="104">
        <f t="shared" si="70"/>
        <v>1</v>
      </c>
    </row>
    <row r="327" spans="1:37" x14ac:dyDescent="0.25">
      <c r="A327" s="55" t="s">
        <v>10371</v>
      </c>
      <c r="B327" s="57"/>
      <c r="C327" s="57"/>
      <c r="D327" s="57"/>
      <c r="E327" s="57">
        <v>1</v>
      </c>
      <c r="F327" s="57">
        <v>1</v>
      </c>
      <c r="G327" s="57"/>
      <c r="H327" s="57"/>
      <c r="I327" s="57">
        <v>6</v>
      </c>
      <c r="J327" s="57"/>
      <c r="K327" s="57"/>
      <c r="L327" s="57"/>
      <c r="M327" s="57"/>
      <c r="Q327">
        <f t="shared" si="61"/>
        <v>0</v>
      </c>
      <c r="R327">
        <f t="shared" si="62"/>
        <v>0</v>
      </c>
      <c r="S327">
        <f t="shared" si="63"/>
        <v>1</v>
      </c>
      <c r="T327">
        <f t="shared" si="64"/>
        <v>1</v>
      </c>
      <c r="U327">
        <f t="shared" si="65"/>
        <v>0</v>
      </c>
      <c r="V327">
        <f t="shared" si="66"/>
        <v>6</v>
      </c>
      <c r="Y327" t="str">
        <f t="shared" si="67"/>
        <v>Rwanda</v>
      </c>
      <c r="Z327" s="104" t="str">
        <f t="shared" si="68"/>
        <v/>
      </c>
      <c r="AA327" s="104">
        <f t="shared" si="69"/>
        <v>0.5</v>
      </c>
      <c r="AB327" s="104">
        <f t="shared" si="70"/>
        <v>1</v>
      </c>
    </row>
    <row r="328" spans="1:37" x14ac:dyDescent="0.25">
      <c r="A328" s="55" t="s">
        <v>10685</v>
      </c>
      <c r="B328" s="57"/>
      <c r="C328" s="57"/>
      <c r="D328" s="57"/>
      <c r="E328" s="57">
        <v>3</v>
      </c>
      <c r="F328" s="57">
        <v>13</v>
      </c>
      <c r="G328" s="57"/>
      <c r="H328" s="57">
        <v>1</v>
      </c>
      <c r="I328" s="57">
        <v>4</v>
      </c>
      <c r="J328" s="57"/>
      <c r="K328" s="57"/>
      <c r="L328" s="57">
        <v>1</v>
      </c>
      <c r="M328" s="57"/>
      <c r="Q328">
        <f t="shared" si="61"/>
        <v>0</v>
      </c>
      <c r="R328">
        <f t="shared" si="62"/>
        <v>0</v>
      </c>
      <c r="S328">
        <f t="shared" si="63"/>
        <v>3</v>
      </c>
      <c r="T328">
        <f t="shared" si="64"/>
        <v>13</v>
      </c>
      <c r="U328">
        <f t="shared" si="65"/>
        <v>1</v>
      </c>
      <c r="V328">
        <f t="shared" si="66"/>
        <v>4</v>
      </c>
      <c r="Y328" t="str">
        <f t="shared" si="67"/>
        <v>Somalia</v>
      </c>
      <c r="Z328" s="104" t="str">
        <f t="shared" si="68"/>
        <v/>
      </c>
      <c r="AA328" s="104">
        <f t="shared" si="69"/>
        <v>0.8125</v>
      </c>
      <c r="AB328" s="104">
        <f t="shared" si="70"/>
        <v>0.8</v>
      </c>
    </row>
    <row r="329" spans="1:37" x14ac:dyDescent="0.25">
      <c r="A329" s="55" t="s">
        <v>11104</v>
      </c>
      <c r="B329" s="57">
        <v>4</v>
      </c>
      <c r="C329" s="57"/>
      <c r="D329" s="57"/>
      <c r="E329" s="57"/>
      <c r="F329" s="57">
        <v>2</v>
      </c>
      <c r="G329" s="57"/>
      <c r="H329" s="57"/>
      <c r="I329" s="57">
        <v>15</v>
      </c>
      <c r="J329" s="57"/>
      <c r="K329" s="57"/>
      <c r="L329" s="57"/>
      <c r="M329" s="57"/>
      <c r="Q329">
        <f t="shared" si="61"/>
        <v>4</v>
      </c>
      <c r="R329">
        <f t="shared" si="62"/>
        <v>0</v>
      </c>
      <c r="S329">
        <f t="shared" si="63"/>
        <v>0</v>
      </c>
      <c r="T329">
        <f t="shared" si="64"/>
        <v>2</v>
      </c>
      <c r="U329">
        <f t="shared" si="65"/>
        <v>0</v>
      </c>
      <c r="V329">
        <f t="shared" si="66"/>
        <v>15</v>
      </c>
      <c r="Y329" t="str">
        <f t="shared" si="67"/>
        <v>South Sudan</v>
      </c>
      <c r="Z329" s="104">
        <f t="shared" si="68"/>
        <v>0</v>
      </c>
      <c r="AA329" s="104">
        <f t="shared" si="69"/>
        <v>1</v>
      </c>
      <c r="AB329" s="104">
        <f t="shared" si="70"/>
        <v>1</v>
      </c>
    </row>
    <row r="330" spans="1:37" x14ac:dyDescent="0.25">
      <c r="A330" s="55" t="s">
        <v>11417</v>
      </c>
      <c r="B330" s="57"/>
      <c r="C330" s="57"/>
      <c r="D330" s="57"/>
      <c r="E330" s="57">
        <v>2</v>
      </c>
      <c r="F330" s="57">
        <v>12</v>
      </c>
      <c r="G330" s="57"/>
      <c r="H330" s="57"/>
      <c r="I330" s="57">
        <v>4</v>
      </c>
      <c r="J330" s="57"/>
      <c r="K330" s="57"/>
      <c r="L330" s="57"/>
      <c r="M330" s="57"/>
      <c r="Q330">
        <f t="shared" si="61"/>
        <v>0</v>
      </c>
      <c r="R330">
        <f t="shared" si="62"/>
        <v>0</v>
      </c>
      <c r="S330">
        <f t="shared" si="63"/>
        <v>2</v>
      </c>
      <c r="T330">
        <f t="shared" si="64"/>
        <v>12</v>
      </c>
      <c r="U330">
        <f t="shared" si="65"/>
        <v>0</v>
      </c>
      <c r="V330">
        <f t="shared" si="66"/>
        <v>4</v>
      </c>
      <c r="Y330" t="str">
        <f t="shared" si="67"/>
        <v>Sudan</v>
      </c>
      <c r="Z330" s="104" t="str">
        <f t="shared" si="68"/>
        <v/>
      </c>
      <c r="AA330" s="104">
        <f t="shared" si="69"/>
        <v>0.8571428571428571</v>
      </c>
      <c r="AB330" s="104">
        <f t="shared" si="70"/>
        <v>1</v>
      </c>
    </row>
    <row r="331" spans="1:37" x14ac:dyDescent="0.25">
      <c r="A331" s="55" t="s">
        <v>12694</v>
      </c>
      <c r="B331" s="57"/>
      <c r="C331" s="57"/>
      <c r="D331" s="57"/>
      <c r="E331" s="57"/>
      <c r="F331" s="57">
        <v>9</v>
      </c>
      <c r="G331" s="57"/>
      <c r="H331" s="57">
        <v>1</v>
      </c>
      <c r="I331" s="57">
        <v>3</v>
      </c>
      <c r="J331" s="57"/>
      <c r="K331" s="57"/>
      <c r="L331" s="57"/>
      <c r="M331" s="57"/>
      <c r="Q331">
        <f t="shared" si="61"/>
        <v>0</v>
      </c>
      <c r="R331">
        <f t="shared" si="62"/>
        <v>0</v>
      </c>
      <c r="S331">
        <f t="shared" si="63"/>
        <v>0</v>
      </c>
      <c r="T331">
        <f t="shared" si="64"/>
        <v>9</v>
      </c>
      <c r="U331">
        <f t="shared" si="65"/>
        <v>1</v>
      </c>
      <c r="V331">
        <f t="shared" si="66"/>
        <v>3</v>
      </c>
      <c r="Y331" t="str">
        <f t="shared" si="67"/>
        <v>Uganda</v>
      </c>
      <c r="Z331" s="104" t="str">
        <f t="shared" si="68"/>
        <v/>
      </c>
      <c r="AA331" s="104">
        <f t="shared" si="69"/>
        <v>1</v>
      </c>
      <c r="AB331" s="104">
        <f t="shared" si="70"/>
        <v>0.75</v>
      </c>
    </row>
    <row r="332" spans="1:37" x14ac:dyDescent="0.25">
      <c r="A332" s="55" t="s">
        <v>14322</v>
      </c>
      <c r="B332" s="57"/>
      <c r="C332" s="57"/>
      <c r="D332" s="57"/>
      <c r="E332" s="57">
        <v>1</v>
      </c>
      <c r="F332" s="57">
        <v>4</v>
      </c>
      <c r="G332" s="57"/>
      <c r="H332" s="57"/>
      <c r="I332" s="57"/>
      <c r="J332" s="57"/>
      <c r="K332" s="57"/>
      <c r="L332" s="57"/>
      <c r="M332" s="57"/>
      <c r="Q332">
        <f t="shared" si="61"/>
        <v>0</v>
      </c>
      <c r="R332">
        <f t="shared" si="62"/>
        <v>0</v>
      </c>
      <c r="S332">
        <f t="shared" si="63"/>
        <v>1</v>
      </c>
      <c r="T332">
        <f t="shared" si="64"/>
        <v>4</v>
      </c>
      <c r="U332">
        <f t="shared" si="65"/>
        <v>0</v>
      </c>
      <c r="V332">
        <f t="shared" si="66"/>
        <v>0</v>
      </c>
      <c r="Y332" t="str">
        <f t="shared" si="67"/>
        <v>DRC</v>
      </c>
      <c r="Z332" s="104" t="str">
        <f t="shared" si="68"/>
        <v/>
      </c>
      <c r="AA332" s="104">
        <f t="shared" si="69"/>
        <v>0.8</v>
      </c>
      <c r="AB332" s="104" t="str">
        <f t="shared" si="70"/>
        <v/>
      </c>
    </row>
    <row r="333" spans="1:37" x14ac:dyDescent="0.25">
      <c r="A333" s="50" t="s">
        <v>14276</v>
      </c>
      <c r="B333" s="57">
        <v>6</v>
      </c>
      <c r="C333" s="57">
        <v>5</v>
      </c>
      <c r="D333" s="57"/>
      <c r="E333" s="57">
        <v>15</v>
      </c>
      <c r="F333" s="57">
        <v>76</v>
      </c>
      <c r="G333" s="57"/>
      <c r="H333" s="57">
        <v>2</v>
      </c>
      <c r="I333" s="57">
        <v>45</v>
      </c>
      <c r="J333" s="57"/>
      <c r="K333" s="57"/>
      <c r="L333" s="57">
        <v>1</v>
      </c>
      <c r="M333" s="57"/>
      <c r="Q333">
        <f t="shared" si="61"/>
        <v>6</v>
      </c>
      <c r="R333">
        <f t="shared" si="62"/>
        <v>5</v>
      </c>
      <c r="S333">
        <f t="shared" si="63"/>
        <v>15</v>
      </c>
      <c r="T333">
        <f t="shared" si="64"/>
        <v>76</v>
      </c>
      <c r="U333">
        <f t="shared" si="65"/>
        <v>2</v>
      </c>
      <c r="V333">
        <f t="shared" si="66"/>
        <v>45</v>
      </c>
      <c r="Y333" t="str">
        <f t="shared" si="67"/>
        <v>Africa - East and Central Total</v>
      </c>
      <c r="Z333" s="104">
        <f t="shared" si="68"/>
        <v>0.45454545454545453</v>
      </c>
      <c r="AA333" s="104">
        <f t="shared" si="69"/>
        <v>0.8351648351648352</v>
      </c>
      <c r="AB333" s="104">
        <f t="shared" si="70"/>
        <v>0.95744680851063835</v>
      </c>
    </row>
    <row r="334" spans="1:37" x14ac:dyDescent="0.25">
      <c r="A334" s="50" t="s">
        <v>7217</v>
      </c>
      <c r="B334" s="57"/>
      <c r="C334" s="57"/>
      <c r="D334" s="57"/>
      <c r="E334" s="57"/>
      <c r="F334" s="57"/>
      <c r="G334" s="57"/>
      <c r="H334" s="57"/>
      <c r="I334" s="57"/>
      <c r="J334" s="57"/>
      <c r="K334" s="57"/>
      <c r="L334" s="57"/>
      <c r="M334" s="57"/>
      <c r="Q334">
        <f t="shared" si="61"/>
        <v>0</v>
      </c>
      <c r="R334">
        <f t="shared" si="62"/>
        <v>0</v>
      </c>
      <c r="S334">
        <f t="shared" si="63"/>
        <v>0</v>
      </c>
      <c r="T334">
        <f t="shared" si="64"/>
        <v>0</v>
      </c>
      <c r="U334">
        <f t="shared" si="65"/>
        <v>0</v>
      </c>
      <c r="V334">
        <f t="shared" si="66"/>
        <v>0</v>
      </c>
      <c r="Y334" t="str">
        <f t="shared" si="67"/>
        <v>Africa - Southern</v>
      </c>
      <c r="Z334" s="104" t="str">
        <f t="shared" si="68"/>
        <v/>
      </c>
      <c r="AA334" s="104" t="str">
        <f t="shared" si="69"/>
        <v/>
      </c>
      <c r="AB334" s="104" t="str">
        <f t="shared" si="70"/>
        <v/>
      </c>
    </row>
    <row r="335" spans="1:37" x14ac:dyDescent="0.25">
      <c r="A335" s="55" t="s">
        <v>7216</v>
      </c>
      <c r="B335" s="57"/>
      <c r="C335" s="57"/>
      <c r="D335" s="57"/>
      <c r="E335" s="57">
        <v>2</v>
      </c>
      <c r="F335" s="57">
        <v>6</v>
      </c>
      <c r="G335" s="57"/>
      <c r="H335" s="57"/>
      <c r="I335" s="57">
        <v>2</v>
      </c>
      <c r="J335" s="57"/>
      <c r="K335" s="57"/>
      <c r="L335" s="57"/>
      <c r="M335" s="57"/>
      <c r="Q335">
        <f t="shared" si="61"/>
        <v>0</v>
      </c>
      <c r="R335">
        <f t="shared" si="62"/>
        <v>0</v>
      </c>
      <c r="S335">
        <f t="shared" si="63"/>
        <v>2</v>
      </c>
      <c r="T335">
        <f t="shared" si="64"/>
        <v>6</v>
      </c>
      <c r="U335">
        <f t="shared" si="65"/>
        <v>0</v>
      </c>
      <c r="V335">
        <f t="shared" si="66"/>
        <v>2</v>
      </c>
      <c r="Y335" t="str">
        <f t="shared" si="67"/>
        <v>Madagascar</v>
      </c>
      <c r="Z335" s="104" t="str">
        <f t="shared" si="68"/>
        <v/>
      </c>
      <c r="AA335" s="104">
        <f t="shared" si="69"/>
        <v>0.75</v>
      </c>
      <c r="AB335" s="104">
        <f t="shared" si="70"/>
        <v>1</v>
      </c>
    </row>
    <row r="336" spans="1:37" x14ac:dyDescent="0.25">
      <c r="A336" s="55" t="s">
        <v>7451</v>
      </c>
      <c r="B336" s="57">
        <v>2</v>
      </c>
      <c r="C336" s="57">
        <v>4</v>
      </c>
      <c r="D336" s="57"/>
      <c r="E336" s="57">
        <v>2</v>
      </c>
      <c r="F336" s="57">
        <v>9</v>
      </c>
      <c r="G336" s="57"/>
      <c r="H336" s="57"/>
      <c r="I336" s="57">
        <v>5</v>
      </c>
      <c r="J336" s="57"/>
      <c r="K336" s="57"/>
      <c r="L336" s="57"/>
      <c r="M336" s="57"/>
      <c r="Q336">
        <f t="shared" si="61"/>
        <v>2</v>
      </c>
      <c r="R336">
        <f t="shared" si="62"/>
        <v>4</v>
      </c>
      <c r="S336">
        <f t="shared" si="63"/>
        <v>2</v>
      </c>
      <c r="T336">
        <f t="shared" si="64"/>
        <v>9</v>
      </c>
      <c r="U336">
        <f t="shared" si="65"/>
        <v>0</v>
      </c>
      <c r="V336">
        <f t="shared" si="66"/>
        <v>5</v>
      </c>
      <c r="Y336" t="str">
        <f t="shared" si="67"/>
        <v>Malawi</v>
      </c>
      <c r="Z336" s="104">
        <f t="shared" si="68"/>
        <v>0.66666666666666663</v>
      </c>
      <c r="AA336" s="104">
        <f t="shared" si="69"/>
        <v>0.81818181818181823</v>
      </c>
      <c r="AB336" s="104">
        <f t="shared" si="70"/>
        <v>1</v>
      </c>
    </row>
    <row r="337" spans="1:28" x14ac:dyDescent="0.25">
      <c r="A337" s="55" t="s">
        <v>8265</v>
      </c>
      <c r="B337" s="57">
        <v>1</v>
      </c>
      <c r="C337" s="57"/>
      <c r="D337" s="57"/>
      <c r="E337" s="57">
        <v>2</v>
      </c>
      <c r="F337" s="57">
        <v>3</v>
      </c>
      <c r="G337" s="57"/>
      <c r="H337" s="57"/>
      <c r="I337" s="57">
        <v>3</v>
      </c>
      <c r="J337" s="57"/>
      <c r="K337" s="57"/>
      <c r="L337" s="57"/>
      <c r="M337" s="57"/>
      <c r="Q337">
        <f t="shared" si="61"/>
        <v>1</v>
      </c>
      <c r="R337">
        <f t="shared" si="62"/>
        <v>0</v>
      </c>
      <c r="S337">
        <f t="shared" si="63"/>
        <v>2</v>
      </c>
      <c r="T337">
        <f t="shared" si="64"/>
        <v>3</v>
      </c>
      <c r="U337">
        <f t="shared" si="65"/>
        <v>0</v>
      </c>
      <c r="V337">
        <f t="shared" si="66"/>
        <v>3</v>
      </c>
      <c r="Y337" t="str">
        <f t="shared" si="67"/>
        <v>Mozambique</v>
      </c>
      <c r="Z337" s="104">
        <f t="shared" si="68"/>
        <v>0</v>
      </c>
      <c r="AA337" s="104">
        <f t="shared" si="69"/>
        <v>0.6</v>
      </c>
      <c r="AB337" s="104">
        <f t="shared" si="70"/>
        <v>1</v>
      </c>
    </row>
    <row r="338" spans="1:28" x14ac:dyDescent="0.25">
      <c r="A338" s="55" t="s">
        <v>11102</v>
      </c>
      <c r="B338" s="57"/>
      <c r="C338" s="57"/>
      <c r="D338" s="57"/>
      <c r="E338" s="57"/>
      <c r="F338" s="57"/>
      <c r="G338" s="57"/>
      <c r="H338" s="57"/>
      <c r="I338" s="57"/>
      <c r="J338" s="57"/>
      <c r="K338" s="57"/>
      <c r="L338" s="57"/>
      <c r="M338" s="57"/>
      <c r="Q338">
        <f t="shared" si="61"/>
        <v>0</v>
      </c>
      <c r="R338">
        <f t="shared" si="62"/>
        <v>0</v>
      </c>
      <c r="S338">
        <f t="shared" si="63"/>
        <v>0</v>
      </c>
      <c r="T338">
        <f t="shared" si="64"/>
        <v>0</v>
      </c>
      <c r="U338">
        <f t="shared" si="65"/>
        <v>0</v>
      </c>
      <c r="V338">
        <f t="shared" si="66"/>
        <v>0</v>
      </c>
      <c r="Y338" t="str">
        <f t="shared" si="67"/>
        <v>South Africa</v>
      </c>
      <c r="Z338" s="104" t="str">
        <f t="shared" si="68"/>
        <v/>
      </c>
      <c r="AA338" s="104" t="str">
        <f t="shared" si="69"/>
        <v/>
      </c>
      <c r="AB338" s="104" t="str">
        <f t="shared" si="70"/>
        <v/>
      </c>
    </row>
    <row r="339" spans="1:28" x14ac:dyDescent="0.25">
      <c r="A339" s="55" t="s">
        <v>12090</v>
      </c>
      <c r="B339" s="57"/>
      <c r="C339" s="57"/>
      <c r="D339" s="57"/>
      <c r="E339" s="57">
        <v>5</v>
      </c>
      <c r="F339" s="57">
        <v>5</v>
      </c>
      <c r="G339" s="57"/>
      <c r="H339" s="57"/>
      <c r="I339" s="57"/>
      <c r="J339" s="57"/>
      <c r="K339" s="57"/>
      <c r="L339" s="57"/>
      <c r="M339" s="57"/>
      <c r="Q339">
        <f t="shared" si="61"/>
        <v>0</v>
      </c>
      <c r="R339">
        <f t="shared" si="62"/>
        <v>0</v>
      </c>
      <c r="S339">
        <f t="shared" si="63"/>
        <v>5</v>
      </c>
      <c r="T339">
        <f t="shared" si="64"/>
        <v>5</v>
      </c>
      <c r="U339">
        <f t="shared" si="65"/>
        <v>0</v>
      </c>
      <c r="V339">
        <f t="shared" si="66"/>
        <v>0</v>
      </c>
      <c r="Y339" t="str">
        <f t="shared" si="67"/>
        <v>Tanzania</v>
      </c>
      <c r="Z339" s="104" t="str">
        <f t="shared" si="68"/>
        <v/>
      </c>
      <c r="AA339" s="104">
        <f t="shared" si="69"/>
        <v>0.5</v>
      </c>
      <c r="AB339" s="104" t="str">
        <f t="shared" si="70"/>
        <v/>
      </c>
    </row>
    <row r="340" spans="1:28" x14ac:dyDescent="0.25">
      <c r="A340" s="55" t="s">
        <v>13917</v>
      </c>
      <c r="B340" s="57"/>
      <c r="C340" s="57"/>
      <c r="D340" s="57"/>
      <c r="E340" s="57">
        <v>2</v>
      </c>
      <c r="F340" s="57">
        <v>1</v>
      </c>
      <c r="G340" s="57"/>
      <c r="H340" s="57"/>
      <c r="I340" s="57">
        <v>1</v>
      </c>
      <c r="J340" s="57"/>
      <c r="K340" s="57"/>
      <c r="L340" s="57"/>
      <c r="M340" s="57"/>
      <c r="Q340">
        <f t="shared" si="61"/>
        <v>0</v>
      </c>
      <c r="R340">
        <f t="shared" si="62"/>
        <v>0</v>
      </c>
      <c r="S340">
        <f t="shared" si="63"/>
        <v>2</v>
      </c>
      <c r="T340">
        <f t="shared" si="64"/>
        <v>1</v>
      </c>
      <c r="U340">
        <f t="shared" si="65"/>
        <v>0</v>
      </c>
      <c r="V340">
        <f t="shared" si="66"/>
        <v>1</v>
      </c>
      <c r="Y340" t="str">
        <f t="shared" si="67"/>
        <v>Zambia</v>
      </c>
      <c r="Z340" s="104" t="str">
        <f t="shared" si="68"/>
        <v/>
      </c>
      <c r="AA340" s="104">
        <f t="shared" si="69"/>
        <v>0.33333333333333331</v>
      </c>
      <c r="AB340" s="104">
        <f t="shared" si="70"/>
        <v>1</v>
      </c>
    </row>
    <row r="341" spans="1:28" x14ac:dyDescent="0.25">
      <c r="A341" s="55" t="s">
        <v>14016</v>
      </c>
      <c r="B341" s="57"/>
      <c r="C341" s="57">
        <v>1</v>
      </c>
      <c r="D341" s="57"/>
      <c r="E341" s="57">
        <v>2</v>
      </c>
      <c r="F341" s="57">
        <v>8</v>
      </c>
      <c r="G341" s="57"/>
      <c r="H341" s="57"/>
      <c r="I341" s="57">
        <v>3</v>
      </c>
      <c r="J341" s="57"/>
      <c r="K341" s="57"/>
      <c r="L341" s="57"/>
      <c r="M341" s="57"/>
      <c r="Q341">
        <f t="shared" si="61"/>
        <v>0</v>
      </c>
      <c r="R341">
        <f t="shared" si="62"/>
        <v>1</v>
      </c>
      <c r="S341">
        <f t="shared" si="63"/>
        <v>2</v>
      </c>
      <c r="T341">
        <f t="shared" si="64"/>
        <v>8</v>
      </c>
      <c r="U341">
        <f t="shared" si="65"/>
        <v>0</v>
      </c>
      <c r="V341">
        <f t="shared" si="66"/>
        <v>3</v>
      </c>
      <c r="Y341" t="str">
        <f t="shared" si="67"/>
        <v>Zimbabwe</v>
      </c>
      <c r="Z341" s="104">
        <f t="shared" si="68"/>
        <v>1</v>
      </c>
      <c r="AA341" s="104">
        <f t="shared" si="69"/>
        <v>0.8</v>
      </c>
      <c r="AB341" s="104">
        <f t="shared" si="70"/>
        <v>1</v>
      </c>
    </row>
    <row r="342" spans="1:28" x14ac:dyDescent="0.25">
      <c r="A342" s="50" t="s">
        <v>14277</v>
      </c>
      <c r="B342" s="57">
        <v>3</v>
      </c>
      <c r="C342" s="57">
        <v>5</v>
      </c>
      <c r="D342" s="57"/>
      <c r="E342" s="57">
        <v>15</v>
      </c>
      <c r="F342" s="57">
        <v>32</v>
      </c>
      <c r="G342" s="57"/>
      <c r="H342" s="57"/>
      <c r="I342" s="57">
        <v>14</v>
      </c>
      <c r="J342" s="57"/>
      <c r="K342" s="57"/>
      <c r="L342" s="57"/>
      <c r="M342" s="57"/>
      <c r="Q342">
        <f t="shared" si="61"/>
        <v>3</v>
      </c>
      <c r="R342">
        <f t="shared" si="62"/>
        <v>5</v>
      </c>
      <c r="S342">
        <f t="shared" si="63"/>
        <v>15</v>
      </c>
      <c r="T342">
        <f t="shared" si="64"/>
        <v>32</v>
      </c>
      <c r="U342">
        <f t="shared" si="65"/>
        <v>0</v>
      </c>
      <c r="V342">
        <f t="shared" si="66"/>
        <v>14</v>
      </c>
      <c r="Y342" t="str">
        <f t="shared" si="67"/>
        <v>Africa - Southern Total</v>
      </c>
      <c r="Z342" s="104">
        <f t="shared" si="68"/>
        <v>0.625</v>
      </c>
      <c r="AA342" s="104">
        <f t="shared" si="69"/>
        <v>0.68085106382978722</v>
      </c>
      <c r="AB342" s="104">
        <f t="shared" si="70"/>
        <v>1</v>
      </c>
    </row>
    <row r="343" spans="1:28" x14ac:dyDescent="0.25">
      <c r="A343" s="50" t="s">
        <v>1596</v>
      </c>
      <c r="B343" s="57"/>
      <c r="C343" s="57"/>
      <c r="D343" s="57"/>
      <c r="E343" s="57"/>
      <c r="F343" s="57"/>
      <c r="G343" s="57"/>
      <c r="H343" s="57"/>
      <c r="I343" s="57"/>
      <c r="J343" s="57"/>
      <c r="K343" s="57"/>
      <c r="L343" s="57"/>
      <c r="M343" s="57"/>
      <c r="Q343">
        <f t="shared" si="61"/>
        <v>0</v>
      </c>
      <c r="R343">
        <f t="shared" si="62"/>
        <v>0</v>
      </c>
      <c r="S343">
        <f t="shared" si="63"/>
        <v>0</v>
      </c>
      <c r="T343">
        <f t="shared" si="64"/>
        <v>0</v>
      </c>
      <c r="U343">
        <f t="shared" si="65"/>
        <v>0</v>
      </c>
      <c r="V343">
        <f t="shared" si="66"/>
        <v>0</v>
      </c>
      <c r="Y343" t="str">
        <f t="shared" si="67"/>
        <v>Africa - Western</v>
      </c>
      <c r="Z343" s="104" t="str">
        <f t="shared" si="68"/>
        <v/>
      </c>
      <c r="AA343" s="104" t="str">
        <f t="shared" si="69"/>
        <v/>
      </c>
      <c r="AB343" s="104" t="str">
        <f t="shared" si="70"/>
        <v/>
      </c>
    </row>
    <row r="344" spans="1:28" x14ac:dyDescent="0.25">
      <c r="A344" s="55" t="s">
        <v>1595</v>
      </c>
      <c r="B344" s="57">
        <v>2</v>
      </c>
      <c r="C344" s="57"/>
      <c r="D344" s="57"/>
      <c r="E344" s="57">
        <v>2</v>
      </c>
      <c r="F344" s="57"/>
      <c r="G344" s="57"/>
      <c r="H344" s="57"/>
      <c r="I344" s="57">
        <v>1</v>
      </c>
      <c r="J344" s="57"/>
      <c r="K344" s="57"/>
      <c r="L344" s="57"/>
      <c r="M344" s="57"/>
      <c r="Q344">
        <f t="shared" si="61"/>
        <v>2</v>
      </c>
      <c r="R344">
        <f t="shared" si="62"/>
        <v>0</v>
      </c>
      <c r="S344">
        <f t="shared" si="63"/>
        <v>2</v>
      </c>
      <c r="T344">
        <f t="shared" si="64"/>
        <v>0</v>
      </c>
      <c r="U344">
        <f t="shared" si="65"/>
        <v>0</v>
      </c>
      <c r="V344">
        <f t="shared" si="66"/>
        <v>1</v>
      </c>
      <c r="Y344" t="str">
        <f t="shared" si="67"/>
        <v>Benin</v>
      </c>
      <c r="Z344" s="104">
        <f t="shared" si="68"/>
        <v>0</v>
      </c>
      <c r="AA344" s="104">
        <f t="shared" si="69"/>
        <v>0</v>
      </c>
      <c r="AB344" s="104">
        <f t="shared" si="70"/>
        <v>1</v>
      </c>
    </row>
    <row r="345" spans="1:28" x14ac:dyDescent="0.25">
      <c r="A345" s="55" t="s">
        <v>1827</v>
      </c>
      <c r="B345" s="57"/>
      <c r="C345" s="57"/>
      <c r="D345" s="57"/>
      <c r="E345" s="57"/>
      <c r="F345" s="57">
        <v>2</v>
      </c>
      <c r="G345" s="57"/>
      <c r="H345" s="57"/>
      <c r="I345" s="57"/>
      <c r="J345" s="57"/>
      <c r="K345" s="57"/>
      <c r="L345" s="57"/>
      <c r="M345" s="57"/>
      <c r="Q345">
        <f t="shared" si="61"/>
        <v>0</v>
      </c>
      <c r="R345">
        <f t="shared" si="62"/>
        <v>0</v>
      </c>
      <c r="S345">
        <f t="shared" si="63"/>
        <v>0</v>
      </c>
      <c r="T345">
        <f t="shared" si="64"/>
        <v>2</v>
      </c>
      <c r="U345">
        <f t="shared" si="65"/>
        <v>0</v>
      </c>
      <c r="V345">
        <f t="shared" si="66"/>
        <v>0</v>
      </c>
      <c r="Y345" t="str">
        <f t="shared" si="67"/>
        <v>Burkina Faso</v>
      </c>
      <c r="Z345" s="104" t="str">
        <f t="shared" si="68"/>
        <v/>
      </c>
      <c r="AA345" s="104">
        <f t="shared" si="69"/>
        <v>1</v>
      </c>
      <c r="AB345" s="104" t="str">
        <f t="shared" si="70"/>
        <v/>
      </c>
    </row>
    <row r="346" spans="1:28" x14ac:dyDescent="0.25">
      <c r="A346" s="55" t="s">
        <v>2395</v>
      </c>
      <c r="B346" s="57"/>
      <c r="C346" s="57"/>
      <c r="D346" s="57"/>
      <c r="E346" s="57"/>
      <c r="F346" s="57">
        <v>3</v>
      </c>
      <c r="G346" s="57"/>
      <c r="H346" s="57"/>
      <c r="I346" s="57">
        <v>3</v>
      </c>
      <c r="J346" s="57"/>
      <c r="K346" s="57"/>
      <c r="L346" s="57"/>
      <c r="M346" s="57"/>
      <c r="Q346">
        <f t="shared" si="61"/>
        <v>0</v>
      </c>
      <c r="R346">
        <f t="shared" si="62"/>
        <v>0</v>
      </c>
      <c r="S346">
        <f t="shared" si="63"/>
        <v>0</v>
      </c>
      <c r="T346">
        <f t="shared" si="64"/>
        <v>3</v>
      </c>
      <c r="U346">
        <f t="shared" si="65"/>
        <v>0</v>
      </c>
      <c r="V346">
        <f t="shared" si="66"/>
        <v>3</v>
      </c>
      <c r="Y346" t="str">
        <f t="shared" si="67"/>
        <v>Cameroon</v>
      </c>
      <c r="Z346" s="104" t="str">
        <f t="shared" si="68"/>
        <v/>
      </c>
      <c r="AA346" s="104">
        <f t="shared" si="69"/>
        <v>1</v>
      </c>
      <c r="AB346" s="104">
        <f t="shared" si="70"/>
        <v>1</v>
      </c>
    </row>
    <row r="347" spans="1:28" x14ac:dyDescent="0.25">
      <c r="A347" s="55" t="s">
        <v>2536</v>
      </c>
      <c r="B347" s="57"/>
      <c r="C347" s="57"/>
      <c r="D347" s="57"/>
      <c r="E347" s="57">
        <v>3</v>
      </c>
      <c r="F347" s="57">
        <v>6</v>
      </c>
      <c r="G347" s="57"/>
      <c r="H347" s="57">
        <v>1</v>
      </c>
      <c r="I347" s="57">
        <v>4</v>
      </c>
      <c r="J347" s="57"/>
      <c r="K347" s="57"/>
      <c r="L347" s="57"/>
      <c r="M347" s="57"/>
      <c r="Q347">
        <f t="shared" si="61"/>
        <v>0</v>
      </c>
      <c r="R347">
        <f t="shared" si="62"/>
        <v>0</v>
      </c>
      <c r="S347">
        <f t="shared" si="63"/>
        <v>3</v>
      </c>
      <c r="T347">
        <f t="shared" si="64"/>
        <v>6</v>
      </c>
      <c r="U347">
        <f t="shared" si="65"/>
        <v>1</v>
      </c>
      <c r="V347">
        <f t="shared" si="66"/>
        <v>4</v>
      </c>
      <c r="Y347" t="str">
        <f t="shared" si="67"/>
        <v>Chad</v>
      </c>
      <c r="Z347" s="104" t="str">
        <f t="shared" si="68"/>
        <v/>
      </c>
      <c r="AA347" s="104">
        <f t="shared" si="69"/>
        <v>0.66666666666666663</v>
      </c>
      <c r="AB347" s="104">
        <f t="shared" si="70"/>
        <v>0.8</v>
      </c>
    </row>
    <row r="348" spans="1:28" x14ac:dyDescent="0.25">
      <c r="A348" s="55" t="s">
        <v>2956</v>
      </c>
      <c r="B348" s="57">
        <v>1</v>
      </c>
      <c r="C348" s="57">
        <v>1</v>
      </c>
      <c r="D348" s="57"/>
      <c r="E348" s="57"/>
      <c r="F348" s="57">
        <v>5</v>
      </c>
      <c r="G348" s="57"/>
      <c r="H348" s="57"/>
      <c r="I348" s="57">
        <v>1</v>
      </c>
      <c r="J348" s="57"/>
      <c r="K348" s="57"/>
      <c r="L348" s="57"/>
      <c r="M348" s="57"/>
      <c r="Q348">
        <f t="shared" si="61"/>
        <v>1</v>
      </c>
      <c r="R348">
        <f t="shared" si="62"/>
        <v>1</v>
      </c>
      <c r="S348">
        <f t="shared" si="63"/>
        <v>0</v>
      </c>
      <c r="T348">
        <f t="shared" si="64"/>
        <v>5</v>
      </c>
      <c r="U348">
        <f t="shared" si="65"/>
        <v>0</v>
      </c>
      <c r="V348">
        <f t="shared" si="66"/>
        <v>1</v>
      </c>
      <c r="Y348" t="str">
        <f t="shared" si="67"/>
        <v>Cote d'Ivoire</v>
      </c>
      <c r="Z348" s="104">
        <f t="shared" si="68"/>
        <v>0.5</v>
      </c>
      <c r="AA348" s="104">
        <f t="shared" si="69"/>
        <v>1</v>
      </c>
      <c r="AB348" s="104">
        <f t="shared" si="70"/>
        <v>1</v>
      </c>
    </row>
    <row r="349" spans="1:28" x14ac:dyDescent="0.25">
      <c r="A349" s="55" t="s">
        <v>4471</v>
      </c>
      <c r="B349" s="57"/>
      <c r="C349" s="57"/>
      <c r="D349" s="57"/>
      <c r="E349" s="57">
        <v>1</v>
      </c>
      <c r="F349" s="57">
        <v>10</v>
      </c>
      <c r="G349" s="57"/>
      <c r="H349" s="57"/>
      <c r="I349" s="57">
        <v>1</v>
      </c>
      <c r="J349" s="57"/>
      <c r="K349" s="57"/>
      <c r="L349" s="57"/>
      <c r="M349" s="57"/>
      <c r="Q349">
        <f t="shared" si="61"/>
        <v>0</v>
      </c>
      <c r="R349">
        <f t="shared" si="62"/>
        <v>0</v>
      </c>
      <c r="S349">
        <f t="shared" si="63"/>
        <v>1</v>
      </c>
      <c r="T349">
        <f t="shared" si="64"/>
        <v>10</v>
      </c>
      <c r="U349">
        <f t="shared" si="65"/>
        <v>0</v>
      </c>
      <c r="V349">
        <f t="shared" si="66"/>
        <v>1</v>
      </c>
      <c r="Y349" t="str">
        <f t="shared" si="67"/>
        <v>Ghana</v>
      </c>
      <c r="Z349" s="104" t="str">
        <f t="shared" si="68"/>
        <v/>
      </c>
      <c r="AA349" s="104">
        <f t="shared" si="69"/>
        <v>0.90909090909090906</v>
      </c>
      <c r="AB349" s="104">
        <f t="shared" si="70"/>
        <v>1</v>
      </c>
    </row>
    <row r="350" spans="1:28" x14ac:dyDescent="0.25">
      <c r="A350" s="55" t="s">
        <v>7179</v>
      </c>
      <c r="B350" s="57"/>
      <c r="C350" s="57"/>
      <c r="D350" s="57"/>
      <c r="E350" s="57">
        <v>1</v>
      </c>
      <c r="F350" s="57"/>
      <c r="G350" s="57"/>
      <c r="H350" s="57"/>
      <c r="I350" s="57"/>
      <c r="J350" s="57"/>
      <c r="K350" s="57"/>
      <c r="L350" s="57"/>
      <c r="M350" s="57"/>
      <c r="Q350">
        <f t="shared" si="61"/>
        <v>0</v>
      </c>
      <c r="R350">
        <f t="shared" si="62"/>
        <v>0</v>
      </c>
      <c r="S350">
        <f t="shared" si="63"/>
        <v>1</v>
      </c>
      <c r="T350">
        <f t="shared" si="64"/>
        <v>0</v>
      </c>
      <c r="U350">
        <f t="shared" si="65"/>
        <v>0</v>
      </c>
      <c r="V350">
        <f t="shared" si="66"/>
        <v>0</v>
      </c>
      <c r="Y350" t="str">
        <f t="shared" si="67"/>
        <v>Liberia</v>
      </c>
      <c r="Z350" s="104" t="str">
        <f t="shared" si="68"/>
        <v/>
      </c>
      <c r="AA350" s="104">
        <f t="shared" si="69"/>
        <v>0</v>
      </c>
      <c r="AB350" s="104" t="str">
        <f t="shared" si="70"/>
        <v/>
      </c>
    </row>
    <row r="351" spans="1:28" x14ac:dyDescent="0.25">
      <c r="A351" s="55" t="s">
        <v>7835</v>
      </c>
      <c r="B351" s="57">
        <v>1</v>
      </c>
      <c r="C351" s="57"/>
      <c r="D351" s="57"/>
      <c r="E351" s="57">
        <v>2</v>
      </c>
      <c r="F351" s="57">
        <v>11</v>
      </c>
      <c r="G351" s="57"/>
      <c r="H351" s="57"/>
      <c r="I351" s="57">
        <v>1</v>
      </c>
      <c r="J351" s="57"/>
      <c r="K351" s="57"/>
      <c r="L351" s="57"/>
      <c r="M351" s="57"/>
      <c r="Q351">
        <f t="shared" si="61"/>
        <v>1</v>
      </c>
      <c r="R351">
        <f t="shared" si="62"/>
        <v>0</v>
      </c>
      <c r="S351">
        <f t="shared" si="63"/>
        <v>2</v>
      </c>
      <c r="T351">
        <f t="shared" si="64"/>
        <v>11</v>
      </c>
      <c r="U351">
        <f t="shared" si="65"/>
        <v>0</v>
      </c>
      <c r="V351">
        <f t="shared" si="66"/>
        <v>1</v>
      </c>
      <c r="Y351" t="str">
        <f t="shared" si="67"/>
        <v>Mali</v>
      </c>
      <c r="Z351" s="104">
        <f t="shared" si="68"/>
        <v>0</v>
      </c>
      <c r="AA351" s="104">
        <f t="shared" si="69"/>
        <v>0.84615384615384615</v>
      </c>
      <c r="AB351" s="104">
        <f t="shared" si="70"/>
        <v>1</v>
      </c>
    </row>
    <row r="352" spans="1:28" x14ac:dyDescent="0.25">
      <c r="A352" s="55" t="s">
        <v>9043</v>
      </c>
      <c r="B352" s="57"/>
      <c r="C352" s="57"/>
      <c r="D352" s="57"/>
      <c r="E352" s="57">
        <v>5</v>
      </c>
      <c r="F352" s="57">
        <v>15</v>
      </c>
      <c r="G352" s="57"/>
      <c r="H352" s="57"/>
      <c r="I352" s="57">
        <v>5</v>
      </c>
      <c r="J352" s="57"/>
      <c r="K352" s="57"/>
      <c r="L352" s="57"/>
      <c r="M352" s="57"/>
      <c r="Q352">
        <f t="shared" si="61"/>
        <v>0</v>
      </c>
      <c r="R352">
        <f t="shared" si="62"/>
        <v>0</v>
      </c>
      <c r="S352">
        <f t="shared" si="63"/>
        <v>5</v>
      </c>
      <c r="T352">
        <f t="shared" si="64"/>
        <v>15</v>
      </c>
      <c r="U352">
        <f t="shared" si="65"/>
        <v>0</v>
      </c>
      <c r="V352">
        <f t="shared" si="66"/>
        <v>5</v>
      </c>
      <c r="Y352" t="str">
        <f t="shared" si="67"/>
        <v>Niger</v>
      </c>
      <c r="Z352" s="104" t="str">
        <f t="shared" si="68"/>
        <v/>
      </c>
      <c r="AA352" s="104">
        <f t="shared" si="69"/>
        <v>0.75</v>
      </c>
      <c r="AB352" s="104">
        <f t="shared" si="70"/>
        <v>1</v>
      </c>
    </row>
    <row r="353" spans="1:28" x14ac:dyDescent="0.25">
      <c r="A353" s="55" t="s">
        <v>10594</v>
      </c>
      <c r="B353" s="57"/>
      <c r="C353" s="57"/>
      <c r="D353" s="57"/>
      <c r="E353" s="57"/>
      <c r="F353" s="57">
        <v>4</v>
      </c>
      <c r="G353" s="57"/>
      <c r="H353" s="57"/>
      <c r="I353" s="57">
        <v>1</v>
      </c>
      <c r="J353" s="57"/>
      <c r="K353" s="57"/>
      <c r="L353" s="57"/>
      <c r="M353" s="57"/>
      <c r="Q353">
        <f t="shared" si="61"/>
        <v>0</v>
      </c>
      <c r="R353">
        <f t="shared" si="62"/>
        <v>0</v>
      </c>
      <c r="S353">
        <f t="shared" si="63"/>
        <v>0</v>
      </c>
      <c r="T353">
        <f t="shared" si="64"/>
        <v>4</v>
      </c>
      <c r="U353">
        <f t="shared" si="65"/>
        <v>0</v>
      </c>
      <c r="V353">
        <f t="shared" si="66"/>
        <v>1</v>
      </c>
      <c r="Y353" t="str">
        <f t="shared" si="67"/>
        <v>Sierra Leone</v>
      </c>
      <c r="Z353" s="104" t="str">
        <f t="shared" si="68"/>
        <v/>
      </c>
      <c r="AA353" s="104">
        <f t="shared" si="69"/>
        <v>1</v>
      </c>
      <c r="AB353" s="104">
        <f t="shared" si="70"/>
        <v>1</v>
      </c>
    </row>
    <row r="354" spans="1:28" x14ac:dyDescent="0.25">
      <c r="A354" s="50" t="s">
        <v>14278</v>
      </c>
      <c r="B354" s="57">
        <v>4</v>
      </c>
      <c r="C354" s="57">
        <v>1</v>
      </c>
      <c r="D354" s="57"/>
      <c r="E354" s="57">
        <v>14</v>
      </c>
      <c r="F354" s="57">
        <v>56</v>
      </c>
      <c r="G354" s="57"/>
      <c r="H354" s="57">
        <v>1</v>
      </c>
      <c r="I354" s="57">
        <v>17</v>
      </c>
      <c r="J354" s="57"/>
      <c r="K354" s="57"/>
      <c r="L354" s="57"/>
      <c r="M354" s="57"/>
      <c r="Q354">
        <f t="shared" si="61"/>
        <v>4</v>
      </c>
      <c r="R354">
        <f t="shared" si="62"/>
        <v>1</v>
      </c>
      <c r="S354">
        <f t="shared" si="63"/>
        <v>14</v>
      </c>
      <c r="T354">
        <f t="shared" si="64"/>
        <v>56</v>
      </c>
      <c r="U354">
        <f t="shared" si="65"/>
        <v>1</v>
      </c>
      <c r="V354">
        <f t="shared" si="66"/>
        <v>17</v>
      </c>
      <c r="Y354" t="str">
        <f t="shared" si="67"/>
        <v>Africa - Western Total</v>
      </c>
      <c r="Z354" s="104">
        <f t="shared" si="68"/>
        <v>0.2</v>
      </c>
      <c r="AA354" s="104">
        <f t="shared" si="69"/>
        <v>0.8</v>
      </c>
      <c r="AB354" s="104">
        <f t="shared" si="70"/>
        <v>0.94444444444444442</v>
      </c>
    </row>
    <row r="355" spans="1:28" x14ac:dyDescent="0.25">
      <c r="A355" s="50" t="s">
        <v>306</v>
      </c>
      <c r="B355" s="57"/>
      <c r="C355" s="57"/>
      <c r="D355" s="57"/>
      <c r="E355" s="57"/>
      <c r="F355" s="57"/>
      <c r="G355" s="57"/>
      <c r="H355" s="57"/>
      <c r="I355" s="57"/>
      <c r="J355" s="57"/>
      <c r="K355" s="57"/>
      <c r="L355" s="57"/>
      <c r="M355" s="57"/>
      <c r="Q355">
        <f t="shared" si="61"/>
        <v>0</v>
      </c>
      <c r="R355">
        <f t="shared" si="62"/>
        <v>0</v>
      </c>
      <c r="S355">
        <f t="shared" si="63"/>
        <v>0</v>
      </c>
      <c r="T355">
        <f t="shared" si="64"/>
        <v>0</v>
      </c>
      <c r="U355">
        <f t="shared" si="65"/>
        <v>0</v>
      </c>
      <c r="V355">
        <f t="shared" si="66"/>
        <v>0</v>
      </c>
      <c r="Y355" t="str">
        <f t="shared" si="67"/>
        <v>Asia and the Pacific</v>
      </c>
      <c r="Z355" s="104" t="str">
        <f t="shared" si="68"/>
        <v/>
      </c>
      <c r="AA355" s="104" t="str">
        <f t="shared" si="69"/>
        <v/>
      </c>
      <c r="AB355" s="104" t="str">
        <f t="shared" si="70"/>
        <v/>
      </c>
    </row>
    <row r="356" spans="1:28" x14ac:dyDescent="0.25">
      <c r="A356" s="55" t="s">
        <v>305</v>
      </c>
      <c r="B356" s="57"/>
      <c r="C356" s="57"/>
      <c r="D356" s="57"/>
      <c r="E356" s="57">
        <v>1</v>
      </c>
      <c r="F356" s="57">
        <v>8</v>
      </c>
      <c r="G356" s="57"/>
      <c r="H356" s="57"/>
      <c r="I356" s="57"/>
      <c r="J356" s="57"/>
      <c r="K356" s="57"/>
      <c r="L356" s="57"/>
      <c r="M356" s="57"/>
      <c r="Q356">
        <f t="shared" ref="Q356:Q387" si="71">B356</f>
        <v>0</v>
      </c>
      <c r="R356">
        <f t="shared" ref="R356:R387" si="72">C356</f>
        <v>0</v>
      </c>
      <c r="S356">
        <f t="shared" ref="S356:S387" si="73">E356</f>
        <v>1</v>
      </c>
      <c r="T356">
        <f t="shared" ref="T356:T387" si="74">F356</f>
        <v>8</v>
      </c>
      <c r="U356">
        <f t="shared" ref="U356:U387" si="75">H356</f>
        <v>0</v>
      </c>
      <c r="V356">
        <f t="shared" ref="V356:V387" si="76">I356</f>
        <v>0</v>
      </c>
      <c r="Y356" t="str">
        <f t="shared" ref="Y356:Y387" si="77">A356</f>
        <v>Afghanistan</v>
      </c>
      <c r="Z356" s="104" t="str">
        <f t="shared" si="68"/>
        <v/>
      </c>
      <c r="AA356" s="104">
        <f t="shared" si="69"/>
        <v>0.88888888888888884</v>
      </c>
      <c r="AB356" s="104" t="str">
        <f t="shared" si="70"/>
        <v/>
      </c>
    </row>
    <row r="357" spans="1:28" x14ac:dyDescent="0.25">
      <c r="A357" s="55" t="s">
        <v>652</v>
      </c>
      <c r="B357" s="57"/>
      <c r="C357" s="57"/>
      <c r="D357" s="57"/>
      <c r="E357" s="57">
        <v>6</v>
      </c>
      <c r="F357" s="57">
        <v>15</v>
      </c>
      <c r="G357" s="57"/>
      <c r="H357" s="57">
        <v>1</v>
      </c>
      <c r="I357" s="57">
        <v>9</v>
      </c>
      <c r="J357" s="57"/>
      <c r="K357" s="57"/>
      <c r="L357" s="57"/>
      <c r="M357" s="57"/>
      <c r="Q357">
        <f t="shared" si="71"/>
        <v>0</v>
      </c>
      <c r="R357">
        <f t="shared" si="72"/>
        <v>0</v>
      </c>
      <c r="S357">
        <f t="shared" si="73"/>
        <v>6</v>
      </c>
      <c r="T357">
        <f t="shared" si="74"/>
        <v>15</v>
      </c>
      <c r="U357">
        <f t="shared" si="75"/>
        <v>1</v>
      </c>
      <c r="V357">
        <f t="shared" si="76"/>
        <v>9</v>
      </c>
      <c r="Y357" t="str">
        <f t="shared" si="77"/>
        <v>Bangladesh</v>
      </c>
      <c r="Z357" s="104" t="str">
        <f t="shared" si="68"/>
        <v/>
      </c>
      <c r="AA357" s="104">
        <f t="shared" si="69"/>
        <v>0.7142857142857143</v>
      </c>
      <c r="AB357" s="104">
        <f t="shared" si="70"/>
        <v>0.9</v>
      </c>
    </row>
    <row r="358" spans="1:28" x14ac:dyDescent="0.25">
      <c r="A358" s="55" t="s">
        <v>2092</v>
      </c>
      <c r="B358" s="57">
        <v>1</v>
      </c>
      <c r="C358" s="57">
        <v>2</v>
      </c>
      <c r="D358" s="57"/>
      <c r="E358" s="57">
        <v>4</v>
      </c>
      <c r="F358" s="57">
        <v>8</v>
      </c>
      <c r="G358" s="57"/>
      <c r="H358" s="57"/>
      <c r="I358" s="57">
        <v>2</v>
      </c>
      <c r="J358" s="57"/>
      <c r="K358" s="57"/>
      <c r="L358" s="57"/>
      <c r="M358" s="57"/>
      <c r="Q358">
        <f t="shared" si="71"/>
        <v>1</v>
      </c>
      <c r="R358">
        <f t="shared" si="72"/>
        <v>2</v>
      </c>
      <c r="S358">
        <f t="shared" si="73"/>
        <v>4</v>
      </c>
      <c r="T358">
        <f t="shared" si="74"/>
        <v>8</v>
      </c>
      <c r="U358">
        <f t="shared" si="75"/>
        <v>0</v>
      </c>
      <c r="V358">
        <f t="shared" si="76"/>
        <v>2</v>
      </c>
      <c r="Y358" t="str">
        <f t="shared" si="77"/>
        <v>Cambodia</v>
      </c>
      <c r="Z358" s="104">
        <f t="shared" si="68"/>
        <v>0.66666666666666663</v>
      </c>
      <c r="AA358" s="104">
        <f t="shared" si="69"/>
        <v>0.66666666666666663</v>
      </c>
      <c r="AB358" s="104">
        <f t="shared" si="70"/>
        <v>1</v>
      </c>
    </row>
    <row r="359" spans="1:28" x14ac:dyDescent="0.25">
      <c r="A359" s="55" t="s">
        <v>4268</v>
      </c>
      <c r="B359" s="57"/>
      <c r="C359" s="57"/>
      <c r="D359" s="57"/>
      <c r="E359" s="57"/>
      <c r="F359" s="57">
        <v>1</v>
      </c>
      <c r="G359" s="57"/>
      <c r="H359" s="57"/>
      <c r="I359" s="57"/>
      <c r="J359" s="57"/>
      <c r="K359" s="57"/>
      <c r="L359" s="57"/>
      <c r="M359" s="57"/>
      <c r="Q359">
        <f t="shared" si="71"/>
        <v>0</v>
      </c>
      <c r="R359">
        <f t="shared" si="72"/>
        <v>0</v>
      </c>
      <c r="S359">
        <f t="shared" si="73"/>
        <v>0</v>
      </c>
      <c r="T359">
        <f t="shared" si="74"/>
        <v>1</v>
      </c>
      <c r="U359">
        <f t="shared" si="75"/>
        <v>0</v>
      </c>
      <c r="V359">
        <f t="shared" si="76"/>
        <v>0</v>
      </c>
      <c r="Y359" t="str">
        <f t="shared" si="77"/>
        <v>Fiji</v>
      </c>
      <c r="Z359" s="104" t="str">
        <f t="shared" si="68"/>
        <v/>
      </c>
      <c r="AA359" s="104">
        <f t="shared" si="69"/>
        <v>1</v>
      </c>
      <c r="AB359" s="104" t="str">
        <f t="shared" si="70"/>
        <v/>
      </c>
    </row>
    <row r="360" spans="1:28" x14ac:dyDescent="0.25">
      <c r="A360" s="55" t="s">
        <v>5300</v>
      </c>
      <c r="B360" s="57"/>
      <c r="C360" s="57"/>
      <c r="D360" s="57"/>
      <c r="E360" s="57">
        <v>3</v>
      </c>
      <c r="F360" s="57">
        <v>14</v>
      </c>
      <c r="G360" s="57"/>
      <c r="H360" s="57">
        <v>1</v>
      </c>
      <c r="I360" s="57">
        <v>16</v>
      </c>
      <c r="J360" s="57"/>
      <c r="K360" s="57"/>
      <c r="L360" s="57"/>
      <c r="M360" s="57"/>
      <c r="Q360">
        <f t="shared" si="71"/>
        <v>0</v>
      </c>
      <c r="R360">
        <f t="shared" si="72"/>
        <v>0</v>
      </c>
      <c r="S360">
        <f t="shared" si="73"/>
        <v>3</v>
      </c>
      <c r="T360">
        <f t="shared" si="74"/>
        <v>14</v>
      </c>
      <c r="U360">
        <f t="shared" si="75"/>
        <v>1</v>
      </c>
      <c r="V360">
        <f t="shared" si="76"/>
        <v>16</v>
      </c>
      <c r="Y360" t="str">
        <f t="shared" si="77"/>
        <v>India</v>
      </c>
      <c r="Z360" s="104" t="str">
        <f t="shared" si="68"/>
        <v/>
      </c>
      <c r="AA360" s="104">
        <f t="shared" si="69"/>
        <v>0.82352941176470584</v>
      </c>
      <c r="AB360" s="104">
        <f t="shared" si="70"/>
        <v>0.94117647058823528</v>
      </c>
    </row>
    <row r="361" spans="1:28" x14ac:dyDescent="0.25">
      <c r="A361" s="55" t="s">
        <v>5932</v>
      </c>
      <c r="B361" s="57"/>
      <c r="C361" s="57"/>
      <c r="D361" s="57"/>
      <c r="E361" s="57">
        <v>4</v>
      </c>
      <c r="F361" s="57">
        <v>3</v>
      </c>
      <c r="G361" s="57"/>
      <c r="H361" s="57"/>
      <c r="I361" s="57">
        <v>1</v>
      </c>
      <c r="J361" s="57"/>
      <c r="K361" s="57"/>
      <c r="L361" s="57"/>
      <c r="M361" s="57"/>
      <c r="Q361">
        <f t="shared" si="71"/>
        <v>0</v>
      </c>
      <c r="R361">
        <f t="shared" si="72"/>
        <v>0</v>
      </c>
      <c r="S361">
        <f t="shared" si="73"/>
        <v>4</v>
      </c>
      <c r="T361">
        <f t="shared" si="74"/>
        <v>3</v>
      </c>
      <c r="U361">
        <f t="shared" si="75"/>
        <v>0</v>
      </c>
      <c r="V361">
        <f t="shared" si="76"/>
        <v>1</v>
      </c>
      <c r="Y361" t="str">
        <f t="shared" si="77"/>
        <v>Indonesia</v>
      </c>
      <c r="Z361" s="104" t="str">
        <f t="shared" si="68"/>
        <v/>
      </c>
      <c r="AA361" s="104">
        <f t="shared" si="69"/>
        <v>0.42857142857142855</v>
      </c>
      <c r="AB361" s="104">
        <f t="shared" si="70"/>
        <v>1</v>
      </c>
    </row>
    <row r="362" spans="1:28" x14ac:dyDescent="0.25">
      <c r="A362" s="55" t="s">
        <v>6850</v>
      </c>
      <c r="B362" s="57">
        <v>6</v>
      </c>
      <c r="C362" s="57">
        <v>2</v>
      </c>
      <c r="D362" s="57"/>
      <c r="E362" s="57">
        <v>2</v>
      </c>
      <c r="F362" s="57">
        <v>1</v>
      </c>
      <c r="G362" s="57"/>
      <c r="H362" s="57"/>
      <c r="I362" s="57">
        <v>2</v>
      </c>
      <c r="J362" s="57"/>
      <c r="K362" s="57"/>
      <c r="L362" s="57"/>
      <c r="M362" s="57"/>
      <c r="Q362">
        <f t="shared" si="71"/>
        <v>6</v>
      </c>
      <c r="R362">
        <f t="shared" si="72"/>
        <v>2</v>
      </c>
      <c r="S362">
        <f t="shared" si="73"/>
        <v>2</v>
      </c>
      <c r="T362">
        <f t="shared" si="74"/>
        <v>1</v>
      </c>
      <c r="U362">
        <f t="shared" si="75"/>
        <v>0</v>
      </c>
      <c r="V362">
        <f t="shared" si="76"/>
        <v>2</v>
      </c>
      <c r="Y362" t="str">
        <f t="shared" si="77"/>
        <v>Laos</v>
      </c>
      <c r="Z362" s="104">
        <f t="shared" si="68"/>
        <v>0.25</v>
      </c>
      <c r="AA362" s="104">
        <f t="shared" si="69"/>
        <v>0.33333333333333331</v>
      </c>
      <c r="AB362" s="104">
        <f t="shared" si="70"/>
        <v>1</v>
      </c>
    </row>
    <row r="363" spans="1:28" x14ac:dyDescent="0.25">
      <c r="A363" s="55" t="s">
        <v>8444</v>
      </c>
      <c r="B363" s="57">
        <v>2</v>
      </c>
      <c r="C363" s="57">
        <v>5</v>
      </c>
      <c r="D363" s="57"/>
      <c r="E363" s="57"/>
      <c r="F363" s="57">
        <v>6</v>
      </c>
      <c r="G363" s="57"/>
      <c r="H363" s="57"/>
      <c r="I363" s="57">
        <v>3</v>
      </c>
      <c r="J363" s="57"/>
      <c r="K363" s="57"/>
      <c r="L363" s="57"/>
      <c r="M363" s="57"/>
      <c r="Q363">
        <f t="shared" si="71"/>
        <v>2</v>
      </c>
      <c r="R363">
        <f t="shared" si="72"/>
        <v>5</v>
      </c>
      <c r="S363">
        <f t="shared" si="73"/>
        <v>0</v>
      </c>
      <c r="T363">
        <f t="shared" si="74"/>
        <v>6</v>
      </c>
      <c r="U363">
        <f t="shared" si="75"/>
        <v>0</v>
      </c>
      <c r="V363">
        <f t="shared" si="76"/>
        <v>3</v>
      </c>
      <c r="Y363" t="str">
        <f t="shared" si="77"/>
        <v>Myanmar</v>
      </c>
      <c r="Z363" s="104">
        <f t="shared" si="68"/>
        <v>0.7142857142857143</v>
      </c>
      <c r="AA363" s="104">
        <f t="shared" si="69"/>
        <v>1</v>
      </c>
      <c r="AB363" s="104">
        <f t="shared" si="70"/>
        <v>1</v>
      </c>
    </row>
    <row r="364" spans="1:28" x14ac:dyDescent="0.25">
      <c r="A364" s="55" t="s">
        <v>8647</v>
      </c>
      <c r="B364" s="57">
        <v>2</v>
      </c>
      <c r="C364" s="57">
        <v>1</v>
      </c>
      <c r="D364" s="57"/>
      <c r="E364" s="57"/>
      <c r="F364" s="57">
        <v>11</v>
      </c>
      <c r="G364" s="57"/>
      <c r="H364" s="57"/>
      <c r="I364" s="57">
        <v>9</v>
      </c>
      <c r="J364" s="57"/>
      <c r="K364" s="57"/>
      <c r="L364" s="57"/>
      <c r="M364" s="57"/>
      <c r="Q364">
        <f t="shared" si="71"/>
        <v>2</v>
      </c>
      <c r="R364">
        <f t="shared" si="72"/>
        <v>1</v>
      </c>
      <c r="S364">
        <f t="shared" si="73"/>
        <v>0</v>
      </c>
      <c r="T364">
        <f t="shared" si="74"/>
        <v>11</v>
      </c>
      <c r="U364">
        <f t="shared" si="75"/>
        <v>0</v>
      </c>
      <c r="V364">
        <f t="shared" si="76"/>
        <v>9</v>
      </c>
      <c r="Y364" t="str">
        <f t="shared" si="77"/>
        <v>Nepal</v>
      </c>
      <c r="Z364" s="104">
        <f t="shared" si="68"/>
        <v>0.33333333333333331</v>
      </c>
      <c r="AA364" s="104">
        <f t="shared" si="69"/>
        <v>1</v>
      </c>
      <c r="AB364" s="104">
        <f t="shared" si="70"/>
        <v>1</v>
      </c>
    </row>
    <row r="365" spans="1:28" x14ac:dyDescent="0.25">
      <c r="A365" s="55" t="s">
        <v>9427</v>
      </c>
      <c r="B365" s="57"/>
      <c r="C365" s="57"/>
      <c r="D365" s="57"/>
      <c r="E365" s="57"/>
      <c r="F365" s="57">
        <v>2</v>
      </c>
      <c r="G365" s="57"/>
      <c r="H365" s="57"/>
      <c r="I365" s="57">
        <v>1</v>
      </c>
      <c r="J365" s="57"/>
      <c r="K365" s="57">
        <v>1</v>
      </c>
      <c r="L365" s="57"/>
      <c r="M365" s="57"/>
      <c r="Q365">
        <f t="shared" si="71"/>
        <v>0</v>
      </c>
      <c r="R365">
        <f t="shared" si="72"/>
        <v>0</v>
      </c>
      <c r="S365">
        <f t="shared" si="73"/>
        <v>0</v>
      </c>
      <c r="T365">
        <f t="shared" si="74"/>
        <v>2</v>
      </c>
      <c r="U365">
        <f t="shared" si="75"/>
        <v>0</v>
      </c>
      <c r="V365">
        <f t="shared" si="76"/>
        <v>1</v>
      </c>
      <c r="Y365" t="str">
        <f t="shared" si="77"/>
        <v>Pakistan</v>
      </c>
      <c r="Z365" s="104" t="str">
        <f t="shared" si="68"/>
        <v/>
      </c>
      <c r="AA365" s="104">
        <f t="shared" si="69"/>
        <v>1</v>
      </c>
      <c r="AB365" s="104">
        <f t="shared" si="70"/>
        <v>1</v>
      </c>
    </row>
    <row r="366" spans="1:28" x14ac:dyDescent="0.25">
      <c r="A366" s="55" t="s">
        <v>9516</v>
      </c>
      <c r="B366" s="57"/>
      <c r="C366" s="57">
        <v>3</v>
      </c>
      <c r="D366" s="57"/>
      <c r="E366" s="57"/>
      <c r="F366" s="57">
        <v>5</v>
      </c>
      <c r="G366" s="57"/>
      <c r="H366" s="57"/>
      <c r="I366" s="57">
        <v>3</v>
      </c>
      <c r="J366" s="57"/>
      <c r="K366" s="57"/>
      <c r="L366" s="57"/>
      <c r="M366" s="57"/>
      <c r="Q366">
        <f t="shared" si="71"/>
        <v>0</v>
      </c>
      <c r="R366">
        <f t="shared" si="72"/>
        <v>3</v>
      </c>
      <c r="S366">
        <f t="shared" si="73"/>
        <v>0</v>
      </c>
      <c r="T366">
        <f t="shared" si="74"/>
        <v>5</v>
      </c>
      <c r="U366">
        <f t="shared" si="75"/>
        <v>0</v>
      </c>
      <c r="V366">
        <f t="shared" si="76"/>
        <v>3</v>
      </c>
      <c r="Y366" t="str">
        <f t="shared" si="77"/>
        <v>Papua New Guinea</v>
      </c>
      <c r="Z366" s="104">
        <f t="shared" si="68"/>
        <v>1</v>
      </c>
      <c r="AA366" s="104">
        <f t="shared" si="69"/>
        <v>1</v>
      </c>
      <c r="AB366" s="104">
        <f t="shared" si="70"/>
        <v>1</v>
      </c>
    </row>
    <row r="367" spans="1:28" x14ac:dyDescent="0.25">
      <c r="A367" s="55" t="s">
        <v>10263</v>
      </c>
      <c r="B367" s="57"/>
      <c r="C367" s="57"/>
      <c r="D367" s="57"/>
      <c r="E367" s="57"/>
      <c r="F367" s="57">
        <v>1</v>
      </c>
      <c r="G367" s="57"/>
      <c r="H367" s="57"/>
      <c r="I367" s="57">
        <v>4</v>
      </c>
      <c r="J367" s="57"/>
      <c r="K367" s="57"/>
      <c r="L367" s="57"/>
      <c r="M367" s="57"/>
      <c r="Q367">
        <f t="shared" si="71"/>
        <v>0</v>
      </c>
      <c r="R367">
        <f t="shared" si="72"/>
        <v>0</v>
      </c>
      <c r="S367">
        <f t="shared" si="73"/>
        <v>0</v>
      </c>
      <c r="T367">
        <f t="shared" si="74"/>
        <v>1</v>
      </c>
      <c r="U367">
        <f t="shared" si="75"/>
        <v>0</v>
      </c>
      <c r="V367">
        <f t="shared" si="76"/>
        <v>4</v>
      </c>
      <c r="Y367" t="str">
        <f t="shared" si="77"/>
        <v>Philippines</v>
      </c>
      <c r="Z367" s="104" t="str">
        <f t="shared" si="68"/>
        <v/>
      </c>
      <c r="AA367" s="104">
        <f t="shared" si="69"/>
        <v>1</v>
      </c>
      <c r="AB367" s="104">
        <f t="shared" si="70"/>
        <v>1</v>
      </c>
    </row>
    <row r="368" spans="1:28" x14ac:dyDescent="0.25">
      <c r="A368" s="55" t="s">
        <v>11304</v>
      </c>
      <c r="B368" s="57"/>
      <c r="C368" s="57">
        <v>1</v>
      </c>
      <c r="D368" s="57"/>
      <c r="E368" s="57"/>
      <c r="F368" s="57">
        <v>3</v>
      </c>
      <c r="G368" s="57"/>
      <c r="H368" s="57"/>
      <c r="I368" s="57"/>
      <c r="J368" s="57"/>
      <c r="K368" s="57"/>
      <c r="L368" s="57"/>
      <c r="M368" s="57"/>
      <c r="Q368">
        <f t="shared" si="71"/>
        <v>0</v>
      </c>
      <c r="R368">
        <f t="shared" si="72"/>
        <v>1</v>
      </c>
      <c r="S368">
        <f t="shared" si="73"/>
        <v>0</v>
      </c>
      <c r="T368">
        <f t="shared" si="74"/>
        <v>3</v>
      </c>
      <c r="U368">
        <f t="shared" si="75"/>
        <v>0</v>
      </c>
      <c r="V368">
        <f t="shared" si="76"/>
        <v>0</v>
      </c>
      <c r="Y368" t="str">
        <f t="shared" si="77"/>
        <v>Sri Lanka</v>
      </c>
      <c r="Z368" s="104">
        <f t="shared" si="68"/>
        <v>1</v>
      </c>
      <c r="AA368" s="104">
        <f t="shared" si="69"/>
        <v>1</v>
      </c>
      <c r="AB368" s="104" t="str">
        <f t="shared" si="70"/>
        <v/>
      </c>
    </row>
    <row r="369" spans="1:28" x14ac:dyDescent="0.25">
      <c r="A369" s="55" t="s">
        <v>12294</v>
      </c>
      <c r="B369" s="57">
        <v>1</v>
      </c>
      <c r="C369" s="57"/>
      <c r="D369" s="57"/>
      <c r="E369" s="57">
        <v>13</v>
      </c>
      <c r="F369" s="57">
        <v>5</v>
      </c>
      <c r="G369" s="57"/>
      <c r="H369" s="57"/>
      <c r="I369" s="57">
        <v>3</v>
      </c>
      <c r="J369" s="57"/>
      <c r="K369" s="57"/>
      <c r="L369" s="57"/>
      <c r="M369" s="57"/>
      <c r="Q369">
        <f t="shared" si="71"/>
        <v>1</v>
      </c>
      <c r="R369">
        <f t="shared" si="72"/>
        <v>0</v>
      </c>
      <c r="S369">
        <f t="shared" si="73"/>
        <v>13</v>
      </c>
      <c r="T369">
        <f t="shared" si="74"/>
        <v>5</v>
      </c>
      <c r="U369">
        <f t="shared" si="75"/>
        <v>0</v>
      </c>
      <c r="V369">
        <f t="shared" si="76"/>
        <v>3</v>
      </c>
      <c r="Y369" t="str">
        <f t="shared" si="77"/>
        <v>Thailand</v>
      </c>
      <c r="Z369" s="104">
        <f t="shared" si="68"/>
        <v>0</v>
      </c>
      <c r="AA369" s="104">
        <f t="shared" si="69"/>
        <v>0.27777777777777779</v>
      </c>
      <c r="AB369" s="104">
        <f t="shared" si="70"/>
        <v>1</v>
      </c>
    </row>
    <row r="370" spans="1:28" x14ac:dyDescent="0.25">
      <c r="A370" s="55" t="s">
        <v>12547</v>
      </c>
      <c r="B370" s="57"/>
      <c r="C370" s="57"/>
      <c r="D370" s="57"/>
      <c r="E370" s="57">
        <v>1</v>
      </c>
      <c r="F370" s="57">
        <v>5</v>
      </c>
      <c r="G370" s="57"/>
      <c r="H370" s="57"/>
      <c r="I370" s="57"/>
      <c r="J370" s="57"/>
      <c r="K370" s="57"/>
      <c r="L370" s="57"/>
      <c r="M370" s="57"/>
      <c r="Q370">
        <f t="shared" si="71"/>
        <v>0</v>
      </c>
      <c r="R370">
        <f t="shared" si="72"/>
        <v>0</v>
      </c>
      <c r="S370">
        <f t="shared" si="73"/>
        <v>1</v>
      </c>
      <c r="T370">
        <f t="shared" si="74"/>
        <v>5</v>
      </c>
      <c r="U370">
        <f t="shared" si="75"/>
        <v>0</v>
      </c>
      <c r="V370">
        <f t="shared" si="76"/>
        <v>0</v>
      </c>
      <c r="Y370" t="str">
        <f t="shared" si="77"/>
        <v>Timor-Leste</v>
      </c>
      <c r="Z370" s="104" t="str">
        <f t="shared" si="68"/>
        <v/>
      </c>
      <c r="AA370" s="104">
        <f t="shared" si="69"/>
        <v>0.83333333333333337</v>
      </c>
      <c r="AB370" s="104" t="str">
        <f t="shared" si="70"/>
        <v/>
      </c>
    </row>
    <row r="371" spans="1:28" x14ac:dyDescent="0.25">
      <c r="A371" s="55" t="s">
        <v>13272</v>
      </c>
      <c r="B371" s="57"/>
      <c r="C371" s="57"/>
      <c r="D371" s="57"/>
      <c r="E371" s="57">
        <v>1</v>
      </c>
      <c r="F371" s="57"/>
      <c r="G371" s="57"/>
      <c r="H371" s="57"/>
      <c r="I371" s="57">
        <v>7</v>
      </c>
      <c r="J371" s="57"/>
      <c r="K371" s="57"/>
      <c r="L371" s="57"/>
      <c r="M371" s="57"/>
      <c r="Q371">
        <f t="shared" si="71"/>
        <v>0</v>
      </c>
      <c r="R371">
        <f t="shared" si="72"/>
        <v>0</v>
      </c>
      <c r="S371">
        <f t="shared" si="73"/>
        <v>1</v>
      </c>
      <c r="T371">
        <f t="shared" si="74"/>
        <v>0</v>
      </c>
      <c r="U371">
        <f t="shared" si="75"/>
        <v>0</v>
      </c>
      <c r="V371">
        <f t="shared" si="76"/>
        <v>7</v>
      </c>
      <c r="Y371" t="str">
        <f t="shared" si="77"/>
        <v>Vanuatu</v>
      </c>
      <c r="Z371" s="104" t="str">
        <f t="shared" si="68"/>
        <v/>
      </c>
      <c r="AA371" s="104">
        <f t="shared" si="69"/>
        <v>0</v>
      </c>
      <c r="AB371" s="104">
        <f t="shared" si="70"/>
        <v>1</v>
      </c>
    </row>
    <row r="372" spans="1:28" x14ac:dyDescent="0.25">
      <c r="A372" s="55" t="s">
        <v>13409</v>
      </c>
      <c r="B372" s="57">
        <v>2</v>
      </c>
      <c r="C372" s="57">
        <v>1</v>
      </c>
      <c r="D372" s="57"/>
      <c r="E372" s="57">
        <v>2</v>
      </c>
      <c r="F372" s="57">
        <v>7</v>
      </c>
      <c r="G372" s="57"/>
      <c r="H372" s="57"/>
      <c r="I372" s="57">
        <v>4</v>
      </c>
      <c r="J372" s="57"/>
      <c r="K372" s="57"/>
      <c r="L372" s="57"/>
      <c r="M372" s="57"/>
      <c r="Q372">
        <f t="shared" si="71"/>
        <v>2</v>
      </c>
      <c r="R372">
        <f t="shared" si="72"/>
        <v>1</v>
      </c>
      <c r="S372">
        <f t="shared" si="73"/>
        <v>2</v>
      </c>
      <c r="T372">
        <f t="shared" si="74"/>
        <v>7</v>
      </c>
      <c r="U372">
        <f t="shared" si="75"/>
        <v>0</v>
      </c>
      <c r="V372">
        <f t="shared" si="76"/>
        <v>4</v>
      </c>
      <c r="Y372" t="str">
        <f t="shared" si="77"/>
        <v>Vietnam</v>
      </c>
      <c r="Z372" s="104">
        <f t="shared" si="68"/>
        <v>0.33333333333333331</v>
      </c>
      <c r="AA372" s="104">
        <f t="shared" si="69"/>
        <v>0.77777777777777779</v>
      </c>
      <c r="AB372" s="104">
        <f t="shared" si="70"/>
        <v>1</v>
      </c>
    </row>
    <row r="373" spans="1:28" x14ac:dyDescent="0.25">
      <c r="A373" s="50" t="s">
        <v>14279</v>
      </c>
      <c r="B373" s="57">
        <v>14</v>
      </c>
      <c r="C373" s="57">
        <v>15</v>
      </c>
      <c r="D373" s="57"/>
      <c r="E373" s="57">
        <v>37</v>
      </c>
      <c r="F373" s="57">
        <v>95</v>
      </c>
      <c r="G373" s="57"/>
      <c r="H373" s="57">
        <v>2</v>
      </c>
      <c r="I373" s="57">
        <v>64</v>
      </c>
      <c r="J373" s="57"/>
      <c r="K373" s="57">
        <v>1</v>
      </c>
      <c r="L373" s="57"/>
      <c r="M373" s="57"/>
      <c r="Q373">
        <f t="shared" si="71"/>
        <v>14</v>
      </c>
      <c r="R373">
        <f t="shared" si="72"/>
        <v>15</v>
      </c>
      <c r="S373">
        <f t="shared" si="73"/>
        <v>37</v>
      </c>
      <c r="T373">
        <f t="shared" si="74"/>
        <v>95</v>
      </c>
      <c r="U373">
        <f t="shared" si="75"/>
        <v>2</v>
      </c>
      <c r="V373">
        <f t="shared" si="76"/>
        <v>64</v>
      </c>
      <c r="Y373" t="str">
        <f t="shared" si="77"/>
        <v>Asia and the Pacific Total</v>
      </c>
      <c r="Z373" s="104">
        <f t="shared" si="68"/>
        <v>0.51724137931034486</v>
      </c>
      <c r="AA373" s="104">
        <f t="shared" si="69"/>
        <v>0.71969696969696972</v>
      </c>
      <c r="AB373" s="104">
        <f t="shared" si="70"/>
        <v>0.96969696969696972</v>
      </c>
    </row>
    <row r="374" spans="1:28" x14ac:dyDescent="0.25">
      <c r="A374" s="50" t="s">
        <v>2807</v>
      </c>
      <c r="B374" s="57"/>
      <c r="C374" s="57"/>
      <c r="D374" s="57"/>
      <c r="E374" s="57"/>
      <c r="F374" s="57"/>
      <c r="G374" s="57"/>
      <c r="H374" s="57"/>
      <c r="I374" s="57"/>
      <c r="J374" s="57"/>
      <c r="K374" s="57"/>
      <c r="L374" s="57"/>
      <c r="M374" s="57"/>
      <c r="Q374">
        <f t="shared" si="71"/>
        <v>0</v>
      </c>
      <c r="R374">
        <f t="shared" si="72"/>
        <v>0</v>
      </c>
      <c r="S374">
        <f t="shared" si="73"/>
        <v>0</v>
      </c>
      <c r="T374">
        <f t="shared" si="74"/>
        <v>0</v>
      </c>
      <c r="U374">
        <f t="shared" si="75"/>
        <v>0</v>
      </c>
      <c r="V374">
        <f t="shared" si="76"/>
        <v>0</v>
      </c>
      <c r="Y374" t="str">
        <f t="shared" si="77"/>
        <v>Latin America and the Caribbean</v>
      </c>
      <c r="Z374" s="104" t="str">
        <f t="shared" si="68"/>
        <v/>
      </c>
      <c r="AA374" s="104" t="str">
        <f t="shared" si="69"/>
        <v/>
      </c>
      <c r="AB374" s="104" t="str">
        <f t="shared" si="70"/>
        <v/>
      </c>
    </row>
    <row r="375" spans="1:28" x14ac:dyDescent="0.25">
      <c r="A375" s="55" t="s">
        <v>2806</v>
      </c>
      <c r="B375" s="57"/>
      <c r="C375" s="57"/>
      <c r="D375" s="57"/>
      <c r="E375" s="57">
        <v>1</v>
      </c>
      <c r="F375" s="57"/>
      <c r="G375" s="57"/>
      <c r="H375" s="57"/>
      <c r="I375" s="57"/>
      <c r="J375" s="57"/>
      <c r="K375" s="57"/>
      <c r="L375" s="57"/>
      <c r="M375" s="57"/>
      <c r="Q375">
        <f t="shared" si="71"/>
        <v>0</v>
      </c>
      <c r="R375">
        <f t="shared" si="72"/>
        <v>0</v>
      </c>
      <c r="S375">
        <f t="shared" si="73"/>
        <v>1</v>
      </c>
      <c r="T375">
        <f t="shared" si="74"/>
        <v>0</v>
      </c>
      <c r="U375">
        <f t="shared" si="75"/>
        <v>0</v>
      </c>
      <c r="V375">
        <f t="shared" si="76"/>
        <v>0</v>
      </c>
      <c r="Y375" t="str">
        <f t="shared" si="77"/>
        <v>Colombia</v>
      </c>
      <c r="Z375" s="104" t="str">
        <f t="shared" si="68"/>
        <v/>
      </c>
      <c r="AA375" s="104">
        <f t="shared" si="69"/>
        <v>0</v>
      </c>
      <c r="AB375" s="104" t="str">
        <f t="shared" si="70"/>
        <v/>
      </c>
    </row>
    <row r="376" spans="1:28" x14ac:dyDescent="0.25">
      <c r="A376" s="55" t="s">
        <v>2931</v>
      </c>
      <c r="B376" s="57"/>
      <c r="C376" s="57"/>
      <c r="D376" s="57"/>
      <c r="E376" s="57"/>
      <c r="F376" s="57"/>
      <c r="G376" s="57"/>
      <c r="H376" s="57"/>
      <c r="I376" s="57">
        <v>1</v>
      </c>
      <c r="J376" s="57"/>
      <c r="K376" s="57"/>
      <c r="L376" s="57"/>
      <c r="M376" s="57"/>
      <c r="Q376">
        <f t="shared" si="71"/>
        <v>0</v>
      </c>
      <c r="R376">
        <f t="shared" si="72"/>
        <v>0</v>
      </c>
      <c r="S376">
        <f t="shared" si="73"/>
        <v>0</v>
      </c>
      <c r="T376">
        <f t="shared" si="74"/>
        <v>0</v>
      </c>
      <c r="U376">
        <f t="shared" si="75"/>
        <v>0</v>
      </c>
      <c r="V376">
        <f t="shared" si="76"/>
        <v>1</v>
      </c>
      <c r="Y376" t="str">
        <f t="shared" si="77"/>
        <v>Costa Rica</v>
      </c>
      <c r="Z376" s="104" t="str">
        <f t="shared" si="68"/>
        <v/>
      </c>
      <c r="AA376" s="104" t="str">
        <f t="shared" si="69"/>
        <v/>
      </c>
      <c r="AB376" s="104">
        <f t="shared" si="70"/>
        <v>1</v>
      </c>
    </row>
    <row r="377" spans="1:28" x14ac:dyDescent="0.25">
      <c r="A377" s="55" t="s">
        <v>3148</v>
      </c>
      <c r="B377" s="57"/>
      <c r="C377" s="57"/>
      <c r="D377" s="57"/>
      <c r="E377" s="57"/>
      <c r="F377" s="57">
        <v>4</v>
      </c>
      <c r="G377" s="57"/>
      <c r="H377" s="57"/>
      <c r="I377" s="57">
        <v>1</v>
      </c>
      <c r="J377" s="57"/>
      <c r="K377" s="57"/>
      <c r="L377" s="57"/>
      <c r="M377" s="57"/>
      <c r="Q377">
        <f t="shared" si="71"/>
        <v>0</v>
      </c>
      <c r="R377">
        <f t="shared" si="72"/>
        <v>0</v>
      </c>
      <c r="S377">
        <f t="shared" si="73"/>
        <v>0</v>
      </c>
      <c r="T377">
        <f t="shared" si="74"/>
        <v>4</v>
      </c>
      <c r="U377">
        <f t="shared" si="75"/>
        <v>0</v>
      </c>
      <c r="V377">
        <f t="shared" si="76"/>
        <v>1</v>
      </c>
      <c r="Y377" t="str">
        <f t="shared" si="77"/>
        <v>Cuba</v>
      </c>
      <c r="Z377" s="104" t="str">
        <f t="shared" si="68"/>
        <v/>
      </c>
      <c r="AA377" s="104">
        <f t="shared" si="69"/>
        <v>1</v>
      </c>
      <c r="AB377" s="104">
        <f t="shared" si="70"/>
        <v>1</v>
      </c>
    </row>
    <row r="378" spans="1:28" x14ac:dyDescent="0.25">
      <c r="A378" s="55" t="s">
        <v>3261</v>
      </c>
      <c r="B378" s="57"/>
      <c r="C378" s="57"/>
      <c r="D378" s="57"/>
      <c r="E378" s="57"/>
      <c r="F378" s="57"/>
      <c r="G378" s="57"/>
      <c r="H378" s="57"/>
      <c r="I378" s="57"/>
      <c r="J378" s="57"/>
      <c r="K378" s="57"/>
      <c r="L378" s="57"/>
      <c r="M378" s="57"/>
      <c r="Q378">
        <f t="shared" si="71"/>
        <v>0</v>
      </c>
      <c r="R378">
        <f t="shared" si="72"/>
        <v>0</v>
      </c>
      <c r="S378">
        <f t="shared" si="73"/>
        <v>0</v>
      </c>
      <c r="T378">
        <f t="shared" si="74"/>
        <v>0</v>
      </c>
      <c r="U378">
        <f t="shared" si="75"/>
        <v>0</v>
      </c>
      <c r="V378">
        <f t="shared" si="76"/>
        <v>0</v>
      </c>
      <c r="Y378" t="str">
        <f t="shared" si="77"/>
        <v>Dominican Republic</v>
      </c>
      <c r="Z378" s="104" t="str">
        <f t="shared" si="68"/>
        <v/>
      </c>
      <c r="AA378" s="104" t="str">
        <f t="shared" si="69"/>
        <v/>
      </c>
      <c r="AB378" s="104" t="str">
        <f t="shared" si="70"/>
        <v/>
      </c>
    </row>
    <row r="379" spans="1:28" x14ac:dyDescent="0.25">
      <c r="A379" s="55" t="s">
        <v>3272</v>
      </c>
      <c r="B379" s="57"/>
      <c r="C379" s="57"/>
      <c r="D379" s="57"/>
      <c r="E379" s="57">
        <v>4</v>
      </c>
      <c r="F379" s="57">
        <v>13</v>
      </c>
      <c r="G379" s="57"/>
      <c r="H379" s="57"/>
      <c r="I379" s="57">
        <v>1</v>
      </c>
      <c r="J379" s="57"/>
      <c r="K379" s="57"/>
      <c r="L379" s="57"/>
      <c r="M379" s="57"/>
      <c r="Q379">
        <f t="shared" si="71"/>
        <v>0</v>
      </c>
      <c r="R379">
        <f t="shared" si="72"/>
        <v>0</v>
      </c>
      <c r="S379">
        <f t="shared" si="73"/>
        <v>4</v>
      </c>
      <c r="T379">
        <f t="shared" si="74"/>
        <v>13</v>
      </c>
      <c r="U379">
        <f t="shared" si="75"/>
        <v>0</v>
      </c>
      <c r="V379">
        <f t="shared" si="76"/>
        <v>1</v>
      </c>
      <c r="Y379" t="str">
        <f t="shared" si="77"/>
        <v>Ecuador</v>
      </c>
      <c r="Z379" s="104" t="str">
        <f t="shared" si="68"/>
        <v/>
      </c>
      <c r="AA379" s="104">
        <f t="shared" si="69"/>
        <v>0.76470588235294112</v>
      </c>
      <c r="AB379" s="104">
        <f t="shared" si="70"/>
        <v>1</v>
      </c>
    </row>
    <row r="380" spans="1:28" x14ac:dyDescent="0.25">
      <c r="A380" s="55" t="s">
        <v>4777</v>
      </c>
      <c r="B380" s="57"/>
      <c r="C380" s="57"/>
      <c r="D380" s="57"/>
      <c r="E380" s="57">
        <v>1</v>
      </c>
      <c r="F380" s="57">
        <v>6</v>
      </c>
      <c r="G380" s="57"/>
      <c r="H380" s="57"/>
      <c r="I380" s="57">
        <v>8</v>
      </c>
      <c r="J380" s="57"/>
      <c r="K380" s="57"/>
      <c r="L380" s="57"/>
      <c r="M380" s="57"/>
      <c r="Q380">
        <f t="shared" si="71"/>
        <v>0</v>
      </c>
      <c r="R380">
        <f t="shared" si="72"/>
        <v>0</v>
      </c>
      <c r="S380">
        <f t="shared" si="73"/>
        <v>1</v>
      </c>
      <c r="T380">
        <f t="shared" si="74"/>
        <v>6</v>
      </c>
      <c r="U380">
        <f t="shared" si="75"/>
        <v>0</v>
      </c>
      <c r="V380">
        <f t="shared" si="76"/>
        <v>8</v>
      </c>
      <c r="Y380" t="str">
        <f t="shared" si="77"/>
        <v>Guatemala</v>
      </c>
      <c r="Z380" s="104" t="str">
        <f t="shared" si="68"/>
        <v/>
      </c>
      <c r="AA380" s="104">
        <f t="shared" si="69"/>
        <v>0.8571428571428571</v>
      </c>
      <c r="AB380" s="104">
        <f t="shared" si="70"/>
        <v>1</v>
      </c>
    </row>
    <row r="381" spans="1:28" x14ac:dyDescent="0.25">
      <c r="A381" s="55" t="s">
        <v>5061</v>
      </c>
      <c r="B381" s="57"/>
      <c r="C381" s="57"/>
      <c r="D381" s="57"/>
      <c r="E381" s="57"/>
      <c r="F381" s="57">
        <v>7</v>
      </c>
      <c r="G381" s="57"/>
      <c r="H381" s="57"/>
      <c r="I381" s="57"/>
      <c r="J381" s="57"/>
      <c r="K381" s="57"/>
      <c r="L381" s="57"/>
      <c r="M381" s="57"/>
      <c r="Q381">
        <f t="shared" si="71"/>
        <v>0</v>
      </c>
      <c r="R381">
        <f t="shared" si="72"/>
        <v>0</v>
      </c>
      <c r="S381">
        <f t="shared" si="73"/>
        <v>0</v>
      </c>
      <c r="T381">
        <f t="shared" si="74"/>
        <v>7</v>
      </c>
      <c r="U381">
        <f t="shared" si="75"/>
        <v>0</v>
      </c>
      <c r="V381">
        <f t="shared" si="76"/>
        <v>0</v>
      </c>
      <c r="Y381" t="str">
        <f t="shared" si="77"/>
        <v>Haiti</v>
      </c>
      <c r="Z381" s="104" t="str">
        <f t="shared" si="68"/>
        <v/>
      </c>
      <c r="AA381" s="104">
        <f t="shared" si="69"/>
        <v>1</v>
      </c>
      <c r="AB381" s="104" t="str">
        <f t="shared" si="70"/>
        <v/>
      </c>
    </row>
    <row r="382" spans="1:28" x14ac:dyDescent="0.25">
      <c r="A382" s="55" t="s">
        <v>5190</v>
      </c>
      <c r="B382" s="57"/>
      <c r="C382" s="57"/>
      <c r="D382" s="57"/>
      <c r="E382" s="57">
        <v>1</v>
      </c>
      <c r="F382" s="57">
        <v>2</v>
      </c>
      <c r="G382" s="57"/>
      <c r="H382" s="57">
        <v>1</v>
      </c>
      <c r="I382" s="57">
        <v>3</v>
      </c>
      <c r="J382" s="57"/>
      <c r="K382" s="57"/>
      <c r="L382" s="57"/>
      <c r="M382" s="57"/>
      <c r="Q382">
        <f t="shared" si="71"/>
        <v>0</v>
      </c>
      <c r="R382">
        <f t="shared" si="72"/>
        <v>0</v>
      </c>
      <c r="S382">
        <f t="shared" si="73"/>
        <v>1</v>
      </c>
      <c r="T382">
        <f t="shared" si="74"/>
        <v>2</v>
      </c>
      <c r="U382">
        <f t="shared" si="75"/>
        <v>1</v>
      </c>
      <c r="V382">
        <f t="shared" si="76"/>
        <v>3</v>
      </c>
      <c r="Y382" t="str">
        <f t="shared" si="77"/>
        <v>Honduras</v>
      </c>
      <c r="Z382" s="104" t="str">
        <f t="shared" si="68"/>
        <v/>
      </c>
      <c r="AA382" s="104">
        <f t="shared" si="69"/>
        <v>0.66666666666666663</v>
      </c>
      <c r="AB382" s="104">
        <f t="shared" si="70"/>
        <v>0.75</v>
      </c>
    </row>
    <row r="383" spans="1:28" x14ac:dyDescent="0.25">
      <c r="A383" s="55" t="s">
        <v>8138</v>
      </c>
      <c r="B383" s="57"/>
      <c r="C383" s="57"/>
      <c r="D383" s="57"/>
      <c r="E383" s="57">
        <v>1</v>
      </c>
      <c r="F383" s="57"/>
      <c r="G383" s="57"/>
      <c r="H383" s="57"/>
      <c r="I383" s="57"/>
      <c r="J383" s="57"/>
      <c r="K383" s="57"/>
      <c r="L383" s="57"/>
      <c r="M383" s="57"/>
      <c r="Q383">
        <f t="shared" si="71"/>
        <v>0</v>
      </c>
      <c r="R383">
        <f t="shared" si="72"/>
        <v>0</v>
      </c>
      <c r="S383">
        <f t="shared" si="73"/>
        <v>1</v>
      </c>
      <c r="T383">
        <f t="shared" si="74"/>
        <v>0</v>
      </c>
      <c r="U383">
        <f t="shared" si="75"/>
        <v>0</v>
      </c>
      <c r="V383">
        <f t="shared" si="76"/>
        <v>0</v>
      </c>
      <c r="Y383" t="str">
        <f t="shared" si="77"/>
        <v>Mexico</v>
      </c>
      <c r="Z383" s="104" t="str">
        <f t="shared" si="68"/>
        <v/>
      </c>
      <c r="AA383" s="104">
        <f t="shared" si="69"/>
        <v>0</v>
      </c>
      <c r="AB383" s="104" t="str">
        <f t="shared" si="70"/>
        <v/>
      </c>
    </row>
    <row r="384" spans="1:28" x14ac:dyDescent="0.25">
      <c r="A384" s="55" t="s">
        <v>9042</v>
      </c>
      <c r="B384" s="57"/>
      <c r="C384" s="57"/>
      <c r="D384" s="57"/>
      <c r="E384" s="57"/>
      <c r="F384" s="57"/>
      <c r="G384" s="57"/>
      <c r="H384" s="57"/>
      <c r="I384" s="57">
        <v>1</v>
      </c>
      <c r="J384" s="57"/>
      <c r="K384" s="57"/>
      <c r="L384" s="57"/>
      <c r="M384" s="57"/>
      <c r="Q384">
        <f t="shared" si="71"/>
        <v>0</v>
      </c>
      <c r="R384">
        <f t="shared" si="72"/>
        <v>0</v>
      </c>
      <c r="S384">
        <f t="shared" si="73"/>
        <v>0</v>
      </c>
      <c r="T384">
        <f t="shared" si="74"/>
        <v>0</v>
      </c>
      <c r="U384">
        <f t="shared" si="75"/>
        <v>0</v>
      </c>
      <c r="V384">
        <f t="shared" si="76"/>
        <v>1</v>
      </c>
      <c r="Y384" t="str">
        <f t="shared" si="77"/>
        <v>Nicaragua</v>
      </c>
      <c r="Z384" s="104" t="str">
        <f t="shared" si="68"/>
        <v/>
      </c>
      <c r="AA384" s="104" t="str">
        <f t="shared" si="69"/>
        <v/>
      </c>
      <c r="AB384" s="104">
        <f t="shared" si="70"/>
        <v>1</v>
      </c>
    </row>
    <row r="385" spans="1:28" x14ac:dyDescent="0.25">
      <c r="A385" s="55" t="s">
        <v>9514</v>
      </c>
      <c r="B385" s="57"/>
      <c r="C385" s="57"/>
      <c r="D385" s="57"/>
      <c r="E385" s="57"/>
      <c r="F385" s="57"/>
      <c r="G385" s="57"/>
      <c r="H385" s="57"/>
      <c r="I385" s="57"/>
      <c r="J385" s="57"/>
      <c r="K385" s="57"/>
      <c r="L385" s="57"/>
      <c r="M385" s="57"/>
      <c r="Q385">
        <f t="shared" si="71"/>
        <v>0</v>
      </c>
      <c r="R385">
        <f t="shared" si="72"/>
        <v>0</v>
      </c>
      <c r="S385">
        <f t="shared" si="73"/>
        <v>0</v>
      </c>
      <c r="T385">
        <f t="shared" si="74"/>
        <v>0</v>
      </c>
      <c r="U385">
        <f t="shared" si="75"/>
        <v>0</v>
      </c>
      <c r="V385">
        <f t="shared" si="76"/>
        <v>0</v>
      </c>
      <c r="Y385" t="str">
        <f t="shared" si="77"/>
        <v>Panama</v>
      </c>
      <c r="Z385" s="104" t="str">
        <f t="shared" si="68"/>
        <v/>
      </c>
      <c r="AA385" s="104" t="str">
        <f t="shared" si="69"/>
        <v/>
      </c>
      <c r="AB385" s="104" t="str">
        <f t="shared" si="70"/>
        <v/>
      </c>
    </row>
    <row r="386" spans="1:28" x14ac:dyDescent="0.25">
      <c r="A386" s="55" t="s">
        <v>9706</v>
      </c>
      <c r="B386" s="57">
        <v>2</v>
      </c>
      <c r="C386" s="57">
        <v>1</v>
      </c>
      <c r="D386" s="57"/>
      <c r="E386" s="57">
        <v>7</v>
      </c>
      <c r="F386" s="57">
        <v>18</v>
      </c>
      <c r="G386" s="57"/>
      <c r="H386" s="57">
        <v>1</v>
      </c>
      <c r="I386" s="57">
        <v>6</v>
      </c>
      <c r="J386" s="57"/>
      <c r="K386" s="57"/>
      <c r="L386" s="57"/>
      <c r="M386" s="57"/>
      <c r="Q386">
        <f t="shared" si="71"/>
        <v>2</v>
      </c>
      <c r="R386">
        <f t="shared" si="72"/>
        <v>1</v>
      </c>
      <c r="S386">
        <f t="shared" si="73"/>
        <v>7</v>
      </c>
      <c r="T386">
        <f t="shared" si="74"/>
        <v>18</v>
      </c>
      <c r="U386">
        <f t="shared" si="75"/>
        <v>1</v>
      </c>
      <c r="V386">
        <f t="shared" si="76"/>
        <v>6</v>
      </c>
      <c r="Y386" t="str">
        <f t="shared" si="77"/>
        <v>Peru</v>
      </c>
      <c r="Z386" s="104">
        <f t="shared" si="68"/>
        <v>0.33333333333333331</v>
      </c>
      <c r="AA386" s="104">
        <f t="shared" si="69"/>
        <v>0.72</v>
      </c>
      <c r="AB386" s="104">
        <f t="shared" si="70"/>
        <v>0.8571428571428571</v>
      </c>
    </row>
    <row r="387" spans="1:28" x14ac:dyDescent="0.25">
      <c r="A387" s="50" t="s">
        <v>14280</v>
      </c>
      <c r="B387" s="57">
        <v>2</v>
      </c>
      <c r="C387" s="57">
        <v>1</v>
      </c>
      <c r="D387" s="57"/>
      <c r="E387" s="57">
        <v>15</v>
      </c>
      <c r="F387" s="57">
        <v>50</v>
      </c>
      <c r="G387" s="57"/>
      <c r="H387" s="57">
        <v>2</v>
      </c>
      <c r="I387" s="57">
        <v>21</v>
      </c>
      <c r="J387" s="57"/>
      <c r="K387" s="57"/>
      <c r="L387" s="57"/>
      <c r="M387" s="57"/>
      <c r="Q387">
        <f t="shared" si="71"/>
        <v>2</v>
      </c>
      <c r="R387">
        <f t="shared" si="72"/>
        <v>1</v>
      </c>
      <c r="S387">
        <f t="shared" si="73"/>
        <v>15</v>
      </c>
      <c r="T387">
        <f t="shared" si="74"/>
        <v>50</v>
      </c>
      <c r="U387">
        <f t="shared" si="75"/>
        <v>2</v>
      </c>
      <c r="V387">
        <f t="shared" si="76"/>
        <v>21</v>
      </c>
      <c r="Y387" t="str">
        <f t="shared" si="77"/>
        <v>Latin America and the Caribbean Total</v>
      </c>
      <c r="Z387" s="104">
        <f t="shared" si="68"/>
        <v>0.33333333333333331</v>
      </c>
      <c r="AA387" s="104">
        <f t="shared" si="69"/>
        <v>0.76923076923076927</v>
      </c>
      <c r="AB387" s="104">
        <f t="shared" si="70"/>
        <v>0.91304347826086951</v>
      </c>
    </row>
    <row r="388" spans="1:28" x14ac:dyDescent="0.25">
      <c r="A388" s="50" t="s">
        <v>602</v>
      </c>
      <c r="B388" s="57"/>
      <c r="C388" s="57"/>
      <c r="D388" s="57"/>
      <c r="E388" s="57"/>
      <c r="F388" s="57"/>
      <c r="G388" s="57"/>
      <c r="H388" s="57"/>
      <c r="I388" s="57"/>
      <c r="J388" s="57"/>
      <c r="K388" s="57"/>
      <c r="L388" s="57"/>
      <c r="M388" s="57"/>
      <c r="Q388">
        <f t="shared" ref="Q388:Q423" si="78">B388</f>
        <v>0</v>
      </c>
      <c r="R388">
        <f t="shared" ref="R388:R423" si="79">C388</f>
        <v>0</v>
      </c>
      <c r="S388">
        <f t="shared" ref="S388:S423" si="80">E388</f>
        <v>0</v>
      </c>
      <c r="T388">
        <f t="shared" ref="T388:T423" si="81">F388</f>
        <v>0</v>
      </c>
      <c r="U388">
        <f t="shared" ref="U388:U423" si="82">H388</f>
        <v>0</v>
      </c>
      <c r="V388">
        <f t="shared" ref="V388:V423" si="83">I388</f>
        <v>0</v>
      </c>
      <c r="Y388" t="str">
        <f t="shared" ref="Y388:Y423" si="84">A388</f>
        <v>Middle East, North Africa and Europe</v>
      </c>
      <c r="Z388" s="104" t="str">
        <f t="shared" si="68"/>
        <v/>
      </c>
      <c r="AA388" s="104" t="str">
        <f t="shared" si="69"/>
        <v/>
      </c>
      <c r="AB388" s="104" t="str">
        <f t="shared" si="70"/>
        <v/>
      </c>
    </row>
    <row r="389" spans="1:28" x14ac:dyDescent="0.25">
      <c r="A389" s="55" t="s">
        <v>601</v>
      </c>
      <c r="B389" s="57"/>
      <c r="C389" s="57"/>
      <c r="D389" s="57"/>
      <c r="E389" s="57"/>
      <c r="F389" s="57"/>
      <c r="G389" s="57"/>
      <c r="H389" s="57"/>
      <c r="I389" s="57">
        <v>1</v>
      </c>
      <c r="J389" s="57"/>
      <c r="K389" s="57"/>
      <c r="L389" s="57"/>
      <c r="M389" s="57"/>
      <c r="Q389">
        <f t="shared" si="78"/>
        <v>0</v>
      </c>
      <c r="R389">
        <f t="shared" si="79"/>
        <v>0</v>
      </c>
      <c r="S389">
        <f t="shared" si="80"/>
        <v>0</v>
      </c>
      <c r="T389">
        <f t="shared" si="81"/>
        <v>0</v>
      </c>
      <c r="U389">
        <f t="shared" si="82"/>
        <v>0</v>
      </c>
      <c r="V389">
        <f t="shared" si="83"/>
        <v>1</v>
      </c>
      <c r="Y389" t="str">
        <f t="shared" si="84"/>
        <v>Albania</v>
      </c>
      <c r="Z389" s="104" t="str">
        <f t="shared" ref="Z389:Z423" si="85">IFERROR(R389/(SUM($Q389:$R389)),"")</f>
        <v/>
      </c>
      <c r="AA389" s="104" t="str">
        <f t="shared" ref="AA389:AA423" si="86">IFERROR(T389/(SUM($S389:$T389)),"")</f>
        <v/>
      </c>
      <c r="AB389" s="104">
        <f t="shared" ref="AB389:AB423" si="87">IFERROR(V389/(SUM($U389:$V389)),"")</f>
        <v>1</v>
      </c>
    </row>
    <row r="390" spans="1:28" x14ac:dyDescent="0.25">
      <c r="A390" s="55" t="s">
        <v>635</v>
      </c>
      <c r="B390" s="57"/>
      <c r="C390" s="57"/>
      <c r="D390" s="57"/>
      <c r="E390" s="57"/>
      <c r="F390" s="57"/>
      <c r="G390" s="57"/>
      <c r="H390" s="57"/>
      <c r="I390" s="57"/>
      <c r="J390" s="57"/>
      <c r="K390" s="57"/>
      <c r="L390" s="57"/>
      <c r="M390" s="57"/>
      <c r="Q390">
        <f t="shared" si="78"/>
        <v>0</v>
      </c>
      <c r="R390">
        <f t="shared" si="79"/>
        <v>0</v>
      </c>
      <c r="S390">
        <f t="shared" si="80"/>
        <v>0</v>
      </c>
      <c r="T390">
        <f t="shared" si="81"/>
        <v>0</v>
      </c>
      <c r="U390">
        <f t="shared" si="82"/>
        <v>0</v>
      </c>
      <c r="V390">
        <f t="shared" si="83"/>
        <v>0</v>
      </c>
      <c r="Y390" t="str">
        <f t="shared" si="84"/>
        <v>Austria</v>
      </c>
      <c r="Z390" s="104" t="str">
        <f t="shared" si="85"/>
        <v/>
      </c>
      <c r="AA390" s="104" t="str">
        <f t="shared" si="86"/>
        <v/>
      </c>
      <c r="AB390" s="104" t="str">
        <f t="shared" si="87"/>
        <v/>
      </c>
    </row>
    <row r="391" spans="1:28" x14ac:dyDescent="0.25">
      <c r="A391" s="55" t="s">
        <v>1527</v>
      </c>
      <c r="B391" s="57"/>
      <c r="C391" s="57"/>
      <c r="D391" s="57"/>
      <c r="E391" s="57"/>
      <c r="F391" s="57"/>
      <c r="G391" s="57"/>
      <c r="H391" s="57"/>
      <c r="I391" s="57">
        <v>2</v>
      </c>
      <c r="J391" s="57"/>
      <c r="K391" s="57"/>
      <c r="L391" s="57"/>
      <c r="M391" s="57"/>
      <c r="Q391">
        <f t="shared" si="78"/>
        <v>0</v>
      </c>
      <c r="R391">
        <f t="shared" si="79"/>
        <v>0</v>
      </c>
      <c r="S391">
        <f t="shared" si="80"/>
        <v>0</v>
      </c>
      <c r="T391">
        <f t="shared" si="81"/>
        <v>0</v>
      </c>
      <c r="U391">
        <f t="shared" si="82"/>
        <v>0</v>
      </c>
      <c r="V391">
        <f t="shared" si="83"/>
        <v>2</v>
      </c>
      <c r="Y391" t="str">
        <f t="shared" si="84"/>
        <v>Belgium</v>
      </c>
      <c r="Z391" s="104" t="str">
        <f t="shared" si="85"/>
        <v/>
      </c>
      <c r="AA391" s="104" t="str">
        <f t="shared" si="86"/>
        <v/>
      </c>
      <c r="AB391" s="104">
        <f t="shared" si="87"/>
        <v>1</v>
      </c>
    </row>
    <row r="392" spans="1:28" x14ac:dyDescent="0.25">
      <c r="A392" s="55" t="s">
        <v>1735</v>
      </c>
      <c r="B392" s="57"/>
      <c r="C392" s="57"/>
      <c r="D392" s="57"/>
      <c r="E392" s="57">
        <v>1</v>
      </c>
      <c r="F392" s="57">
        <v>2</v>
      </c>
      <c r="G392" s="57"/>
      <c r="H392" s="57"/>
      <c r="I392" s="57">
        <v>2</v>
      </c>
      <c r="J392" s="57"/>
      <c r="K392" s="57"/>
      <c r="L392" s="57"/>
      <c r="M392" s="57"/>
      <c r="Q392">
        <f t="shared" si="78"/>
        <v>0</v>
      </c>
      <c r="R392">
        <f t="shared" si="79"/>
        <v>0</v>
      </c>
      <c r="S392">
        <f t="shared" si="80"/>
        <v>1</v>
      </c>
      <c r="T392">
        <f t="shared" si="81"/>
        <v>2</v>
      </c>
      <c r="U392">
        <f t="shared" si="82"/>
        <v>0</v>
      </c>
      <c r="V392">
        <f t="shared" si="83"/>
        <v>2</v>
      </c>
      <c r="Y392" t="str">
        <f t="shared" si="84"/>
        <v>Bosnia and Herzegovina</v>
      </c>
      <c r="Z392" s="104" t="str">
        <f t="shared" si="85"/>
        <v/>
      </c>
      <c r="AA392" s="104">
        <f t="shared" si="86"/>
        <v>0.66666666666666663</v>
      </c>
      <c r="AB392" s="104">
        <f t="shared" si="87"/>
        <v>1</v>
      </c>
    </row>
    <row r="393" spans="1:28" x14ac:dyDescent="0.25">
      <c r="A393" s="55" t="s">
        <v>3140</v>
      </c>
      <c r="B393" s="57"/>
      <c r="C393" s="57"/>
      <c r="D393" s="57"/>
      <c r="E393" s="57"/>
      <c r="F393" s="57"/>
      <c r="G393" s="57"/>
      <c r="H393" s="57"/>
      <c r="I393" s="57">
        <v>1</v>
      </c>
      <c r="J393" s="57"/>
      <c r="K393" s="57"/>
      <c r="L393" s="57"/>
      <c r="M393" s="57"/>
      <c r="Q393">
        <f t="shared" si="78"/>
        <v>0</v>
      </c>
      <c r="R393">
        <f t="shared" si="79"/>
        <v>0</v>
      </c>
      <c r="S393">
        <f t="shared" si="80"/>
        <v>0</v>
      </c>
      <c r="T393">
        <f t="shared" si="81"/>
        <v>0</v>
      </c>
      <c r="U393">
        <f t="shared" si="82"/>
        <v>0</v>
      </c>
      <c r="V393">
        <f t="shared" si="83"/>
        <v>1</v>
      </c>
      <c r="Y393" t="str">
        <f t="shared" si="84"/>
        <v>Croatia</v>
      </c>
      <c r="Z393" s="104" t="str">
        <f t="shared" si="85"/>
        <v/>
      </c>
      <c r="AA393" s="104" t="str">
        <f t="shared" si="86"/>
        <v/>
      </c>
      <c r="AB393" s="104">
        <f t="shared" si="87"/>
        <v>1</v>
      </c>
    </row>
    <row r="394" spans="1:28" x14ac:dyDescent="0.25">
      <c r="A394" s="55" t="s">
        <v>3231</v>
      </c>
      <c r="B394" s="57"/>
      <c r="C394" s="57"/>
      <c r="D394" s="57"/>
      <c r="E394" s="57"/>
      <c r="F394" s="57"/>
      <c r="G394" s="57"/>
      <c r="H394" s="57"/>
      <c r="I394" s="57"/>
      <c r="J394" s="57"/>
      <c r="K394" s="57"/>
      <c r="L394" s="57"/>
      <c r="M394" s="57"/>
      <c r="Q394">
        <f t="shared" si="78"/>
        <v>0</v>
      </c>
      <c r="R394">
        <f t="shared" si="79"/>
        <v>0</v>
      </c>
      <c r="S394">
        <f t="shared" si="80"/>
        <v>0</v>
      </c>
      <c r="T394">
        <f t="shared" si="81"/>
        <v>0</v>
      </c>
      <c r="U394">
        <f t="shared" si="82"/>
        <v>0</v>
      </c>
      <c r="V394">
        <f t="shared" si="83"/>
        <v>0</v>
      </c>
      <c r="Y394" t="str">
        <f t="shared" si="84"/>
        <v>Czech Republic</v>
      </c>
      <c r="Z394" s="104" t="str">
        <f t="shared" si="85"/>
        <v/>
      </c>
      <c r="AA394" s="104" t="str">
        <f t="shared" si="86"/>
        <v/>
      </c>
      <c r="AB394" s="104" t="str">
        <f t="shared" si="87"/>
        <v/>
      </c>
    </row>
    <row r="395" spans="1:28" x14ac:dyDescent="0.25">
      <c r="A395" s="55" t="s">
        <v>3249</v>
      </c>
      <c r="B395" s="57"/>
      <c r="C395" s="57"/>
      <c r="D395" s="57"/>
      <c r="E395" s="57"/>
      <c r="F395" s="57"/>
      <c r="G395" s="57"/>
      <c r="H395" s="57"/>
      <c r="I395" s="57">
        <v>1</v>
      </c>
      <c r="J395" s="57"/>
      <c r="K395" s="57"/>
      <c r="L395" s="57"/>
      <c r="M395" s="57"/>
      <c r="Q395">
        <f t="shared" si="78"/>
        <v>0</v>
      </c>
      <c r="R395">
        <f t="shared" si="79"/>
        <v>0</v>
      </c>
      <c r="S395">
        <f t="shared" si="80"/>
        <v>0</v>
      </c>
      <c r="T395">
        <f t="shared" si="81"/>
        <v>0</v>
      </c>
      <c r="U395">
        <f t="shared" si="82"/>
        <v>0</v>
      </c>
      <c r="V395">
        <f t="shared" si="83"/>
        <v>1</v>
      </c>
      <c r="Y395" t="str">
        <f t="shared" si="84"/>
        <v>Denmark</v>
      </c>
      <c r="Z395" s="104" t="str">
        <f t="shared" si="85"/>
        <v/>
      </c>
      <c r="AA395" s="104" t="str">
        <f t="shared" si="86"/>
        <v/>
      </c>
      <c r="AB395" s="104">
        <f t="shared" si="87"/>
        <v>1</v>
      </c>
    </row>
    <row r="396" spans="1:28" x14ac:dyDescent="0.25">
      <c r="A396" s="55" t="s">
        <v>3546</v>
      </c>
      <c r="B396" s="57"/>
      <c r="C396" s="57">
        <v>3</v>
      </c>
      <c r="D396" s="57"/>
      <c r="E396" s="57">
        <v>4</v>
      </c>
      <c r="F396" s="57">
        <v>11</v>
      </c>
      <c r="G396" s="57"/>
      <c r="H396" s="57"/>
      <c r="I396" s="57"/>
      <c r="J396" s="57"/>
      <c r="K396" s="57"/>
      <c r="L396" s="57"/>
      <c r="M396" s="57"/>
      <c r="Q396">
        <f t="shared" si="78"/>
        <v>0</v>
      </c>
      <c r="R396">
        <f t="shared" si="79"/>
        <v>3</v>
      </c>
      <c r="S396">
        <f t="shared" si="80"/>
        <v>4</v>
      </c>
      <c r="T396">
        <f t="shared" si="81"/>
        <v>11</v>
      </c>
      <c r="U396">
        <f t="shared" si="82"/>
        <v>0</v>
      </c>
      <c r="V396">
        <f t="shared" si="83"/>
        <v>0</v>
      </c>
      <c r="Y396" t="str">
        <f t="shared" si="84"/>
        <v>Egypt</v>
      </c>
      <c r="Z396" s="104">
        <f t="shared" si="85"/>
        <v>1</v>
      </c>
      <c r="AA396" s="104">
        <f t="shared" si="86"/>
        <v>0.73333333333333328</v>
      </c>
      <c r="AB396" s="104" t="str">
        <f t="shared" si="87"/>
        <v/>
      </c>
    </row>
    <row r="397" spans="1:28" x14ac:dyDescent="0.25">
      <c r="A397" s="55" t="s">
        <v>4293</v>
      </c>
      <c r="B397" s="57"/>
      <c r="C397" s="57"/>
      <c r="D397" s="57"/>
      <c r="E397" s="57">
        <v>1</v>
      </c>
      <c r="F397" s="57"/>
      <c r="G397" s="57"/>
      <c r="H397" s="57">
        <v>1</v>
      </c>
      <c r="I397" s="57"/>
      <c r="J397" s="57"/>
      <c r="K397" s="57"/>
      <c r="L397" s="57"/>
      <c r="M397" s="57"/>
      <c r="Q397">
        <f t="shared" si="78"/>
        <v>0</v>
      </c>
      <c r="R397">
        <f t="shared" si="79"/>
        <v>0</v>
      </c>
      <c r="S397">
        <f t="shared" si="80"/>
        <v>1</v>
      </c>
      <c r="T397">
        <f t="shared" si="81"/>
        <v>0</v>
      </c>
      <c r="U397">
        <f t="shared" si="82"/>
        <v>1</v>
      </c>
      <c r="V397">
        <f t="shared" si="83"/>
        <v>0</v>
      </c>
      <c r="Y397" t="str">
        <f t="shared" si="84"/>
        <v>France</v>
      </c>
      <c r="Z397" s="104" t="str">
        <f t="shared" si="85"/>
        <v/>
      </c>
      <c r="AA397" s="104">
        <f t="shared" si="86"/>
        <v>0</v>
      </c>
      <c r="AB397" s="104">
        <f t="shared" si="87"/>
        <v>0</v>
      </c>
    </row>
    <row r="398" spans="1:28" x14ac:dyDescent="0.25">
      <c r="A398" s="55" t="s">
        <v>4346</v>
      </c>
      <c r="B398" s="57"/>
      <c r="C398" s="57"/>
      <c r="D398" s="57"/>
      <c r="E398" s="57"/>
      <c r="F398" s="57"/>
      <c r="G398" s="57"/>
      <c r="H398" s="57"/>
      <c r="I398" s="57">
        <v>3</v>
      </c>
      <c r="J398" s="57"/>
      <c r="K398" s="57"/>
      <c r="L398" s="57"/>
      <c r="M398" s="57"/>
      <c r="Q398">
        <f t="shared" si="78"/>
        <v>0</v>
      </c>
      <c r="R398">
        <f t="shared" si="79"/>
        <v>0</v>
      </c>
      <c r="S398">
        <f t="shared" si="80"/>
        <v>0</v>
      </c>
      <c r="T398">
        <f t="shared" si="81"/>
        <v>0</v>
      </c>
      <c r="U398">
        <f t="shared" si="82"/>
        <v>0</v>
      </c>
      <c r="V398">
        <f t="shared" si="83"/>
        <v>3</v>
      </c>
      <c r="Y398" t="str">
        <f t="shared" si="84"/>
        <v>Georgia</v>
      </c>
      <c r="Z398" s="104" t="str">
        <f t="shared" si="85"/>
        <v/>
      </c>
      <c r="AA398" s="104" t="str">
        <f t="shared" si="86"/>
        <v/>
      </c>
      <c r="AB398" s="104">
        <f t="shared" si="87"/>
        <v>1</v>
      </c>
    </row>
    <row r="399" spans="1:28" x14ac:dyDescent="0.25">
      <c r="A399" s="55" t="s">
        <v>4428</v>
      </c>
      <c r="B399" s="57"/>
      <c r="C399" s="57">
        <v>3</v>
      </c>
      <c r="D399" s="57"/>
      <c r="E399" s="57"/>
      <c r="F399" s="57"/>
      <c r="G399" s="57"/>
      <c r="H399" s="57"/>
      <c r="I399" s="57"/>
      <c r="J399" s="57"/>
      <c r="K399" s="57"/>
      <c r="L399" s="57"/>
      <c r="M399" s="57"/>
      <c r="Q399">
        <f t="shared" si="78"/>
        <v>0</v>
      </c>
      <c r="R399">
        <f t="shared" si="79"/>
        <v>3</v>
      </c>
      <c r="S399">
        <f t="shared" si="80"/>
        <v>0</v>
      </c>
      <c r="T399">
        <f t="shared" si="81"/>
        <v>0</v>
      </c>
      <c r="U399">
        <f t="shared" si="82"/>
        <v>0</v>
      </c>
      <c r="V399">
        <f t="shared" si="83"/>
        <v>0</v>
      </c>
      <c r="Y399" t="str">
        <f t="shared" si="84"/>
        <v>Germany</v>
      </c>
      <c r="Z399" s="104">
        <f t="shared" si="85"/>
        <v>1</v>
      </c>
      <c r="AA399" s="104" t="str">
        <f t="shared" si="86"/>
        <v/>
      </c>
      <c r="AB399" s="104" t="str">
        <f t="shared" si="87"/>
        <v/>
      </c>
    </row>
    <row r="400" spans="1:28" x14ac:dyDescent="0.25">
      <c r="A400" s="55" t="s">
        <v>4743</v>
      </c>
      <c r="B400" s="57">
        <v>1</v>
      </c>
      <c r="C400" s="57"/>
      <c r="D400" s="57"/>
      <c r="E400" s="57"/>
      <c r="F400" s="57"/>
      <c r="G400" s="57"/>
      <c r="H400" s="57"/>
      <c r="I400" s="57"/>
      <c r="J400" s="57"/>
      <c r="K400" s="57"/>
      <c r="L400" s="57"/>
      <c r="M400" s="57"/>
      <c r="Q400">
        <f t="shared" si="78"/>
        <v>1</v>
      </c>
      <c r="R400">
        <f t="shared" si="79"/>
        <v>0</v>
      </c>
      <c r="S400">
        <f t="shared" si="80"/>
        <v>0</v>
      </c>
      <c r="T400">
        <f t="shared" si="81"/>
        <v>0</v>
      </c>
      <c r="U400">
        <f t="shared" si="82"/>
        <v>0</v>
      </c>
      <c r="V400">
        <f t="shared" si="83"/>
        <v>0</v>
      </c>
      <c r="Y400" t="str">
        <f t="shared" si="84"/>
        <v>Greece</v>
      </c>
      <c r="Z400" s="104">
        <f t="shared" si="85"/>
        <v>0</v>
      </c>
      <c r="AA400" s="104" t="str">
        <f t="shared" si="86"/>
        <v/>
      </c>
      <c r="AB400" s="104" t="str">
        <f t="shared" si="87"/>
        <v/>
      </c>
    </row>
    <row r="401" spans="1:28" x14ac:dyDescent="0.25">
      <c r="A401" s="55" t="s">
        <v>6024</v>
      </c>
      <c r="B401" s="57">
        <v>5</v>
      </c>
      <c r="C401" s="57">
        <v>1</v>
      </c>
      <c r="D401" s="57"/>
      <c r="E401" s="57"/>
      <c r="F401" s="57"/>
      <c r="G401" s="57"/>
      <c r="H401" s="57"/>
      <c r="I401" s="57">
        <v>1</v>
      </c>
      <c r="J401" s="57"/>
      <c r="K401" s="57"/>
      <c r="L401" s="57"/>
      <c r="M401" s="57"/>
      <c r="Q401">
        <f t="shared" si="78"/>
        <v>5</v>
      </c>
      <c r="R401">
        <f t="shared" si="79"/>
        <v>1</v>
      </c>
      <c r="S401">
        <f t="shared" si="80"/>
        <v>0</v>
      </c>
      <c r="T401">
        <f t="shared" si="81"/>
        <v>0</v>
      </c>
      <c r="U401">
        <f t="shared" si="82"/>
        <v>0</v>
      </c>
      <c r="V401">
        <f t="shared" si="83"/>
        <v>1</v>
      </c>
      <c r="Y401" t="str">
        <f t="shared" si="84"/>
        <v>Iraq</v>
      </c>
      <c r="Z401" s="104">
        <f t="shared" si="85"/>
        <v>0.16666666666666666</v>
      </c>
      <c r="AA401" s="104" t="str">
        <f t="shared" si="86"/>
        <v/>
      </c>
      <c r="AB401" s="104">
        <f t="shared" si="87"/>
        <v>1</v>
      </c>
    </row>
    <row r="402" spans="1:28" x14ac:dyDescent="0.25">
      <c r="A402" s="55" t="s">
        <v>6105</v>
      </c>
      <c r="B402" s="57"/>
      <c r="C402" s="57"/>
      <c r="D402" s="57"/>
      <c r="E402" s="57"/>
      <c r="F402" s="57">
        <v>5</v>
      </c>
      <c r="G402" s="57"/>
      <c r="H402" s="57"/>
      <c r="I402" s="57">
        <v>15</v>
      </c>
      <c r="J402" s="57"/>
      <c r="K402" s="57"/>
      <c r="L402" s="57"/>
      <c r="M402" s="57"/>
      <c r="Q402">
        <f t="shared" si="78"/>
        <v>0</v>
      </c>
      <c r="R402">
        <f t="shared" si="79"/>
        <v>0</v>
      </c>
      <c r="S402">
        <f t="shared" si="80"/>
        <v>0</v>
      </c>
      <c r="T402">
        <f t="shared" si="81"/>
        <v>5</v>
      </c>
      <c r="U402">
        <f t="shared" si="82"/>
        <v>0</v>
      </c>
      <c r="V402">
        <f t="shared" si="83"/>
        <v>15</v>
      </c>
      <c r="Y402" t="str">
        <f t="shared" si="84"/>
        <v>Jordan</v>
      </c>
      <c r="Z402" s="104" t="str">
        <f t="shared" si="85"/>
        <v/>
      </c>
      <c r="AA402" s="104">
        <f t="shared" si="86"/>
        <v>1</v>
      </c>
      <c r="AB402" s="104">
        <f t="shared" si="87"/>
        <v>1</v>
      </c>
    </row>
    <row r="403" spans="1:28" x14ac:dyDescent="0.25">
      <c r="A403" s="55" t="s">
        <v>6805</v>
      </c>
      <c r="B403" s="57"/>
      <c r="C403" s="57"/>
      <c r="D403" s="57"/>
      <c r="E403" s="57"/>
      <c r="F403" s="57">
        <v>1</v>
      </c>
      <c r="G403" s="57"/>
      <c r="H403" s="57"/>
      <c r="I403" s="57">
        <v>1</v>
      </c>
      <c r="J403" s="57"/>
      <c r="K403" s="57"/>
      <c r="L403" s="57"/>
      <c r="M403" s="57"/>
      <c r="Q403">
        <f t="shared" si="78"/>
        <v>0</v>
      </c>
      <c r="R403">
        <f t="shared" si="79"/>
        <v>0</v>
      </c>
      <c r="S403">
        <f t="shared" si="80"/>
        <v>0</v>
      </c>
      <c r="T403">
        <f t="shared" si="81"/>
        <v>1</v>
      </c>
      <c r="U403">
        <f t="shared" si="82"/>
        <v>0</v>
      </c>
      <c r="V403">
        <f t="shared" si="83"/>
        <v>1</v>
      </c>
      <c r="Y403" t="str">
        <f t="shared" si="84"/>
        <v>Kosovo</v>
      </c>
      <c r="Z403" s="104" t="str">
        <f t="shared" si="85"/>
        <v/>
      </c>
      <c r="AA403" s="104">
        <f t="shared" si="86"/>
        <v>1</v>
      </c>
      <c r="AB403" s="104">
        <f t="shared" si="87"/>
        <v>1</v>
      </c>
    </row>
    <row r="404" spans="1:28" x14ac:dyDescent="0.25">
      <c r="A404" s="55" t="s">
        <v>7083</v>
      </c>
      <c r="B404" s="57"/>
      <c r="C404" s="57"/>
      <c r="D404" s="57"/>
      <c r="E404" s="57">
        <v>3</v>
      </c>
      <c r="F404" s="57"/>
      <c r="G404" s="57"/>
      <c r="H404" s="57">
        <v>1</v>
      </c>
      <c r="I404" s="57">
        <v>2</v>
      </c>
      <c r="J404" s="57"/>
      <c r="K404" s="57"/>
      <c r="L404" s="57"/>
      <c r="M404" s="57"/>
      <c r="Q404">
        <f t="shared" si="78"/>
        <v>0</v>
      </c>
      <c r="R404">
        <f t="shared" si="79"/>
        <v>0</v>
      </c>
      <c r="S404">
        <f t="shared" si="80"/>
        <v>3</v>
      </c>
      <c r="T404">
        <f t="shared" si="81"/>
        <v>0</v>
      </c>
      <c r="U404">
        <f t="shared" si="82"/>
        <v>1</v>
      </c>
      <c r="V404">
        <f t="shared" si="83"/>
        <v>2</v>
      </c>
      <c r="Y404" t="str">
        <f t="shared" si="84"/>
        <v>Lebanon</v>
      </c>
      <c r="Z404" s="104" t="str">
        <f t="shared" si="85"/>
        <v/>
      </c>
      <c r="AA404" s="104">
        <f t="shared" si="86"/>
        <v>0</v>
      </c>
      <c r="AB404" s="104">
        <f t="shared" si="87"/>
        <v>0.66666666666666663</v>
      </c>
    </row>
    <row r="405" spans="1:28" x14ac:dyDescent="0.25">
      <c r="A405" s="55" t="s">
        <v>7194</v>
      </c>
      <c r="B405" s="57"/>
      <c r="C405" s="57"/>
      <c r="D405" s="57"/>
      <c r="E405" s="57"/>
      <c r="F405" s="57">
        <v>1</v>
      </c>
      <c r="G405" s="57"/>
      <c r="H405" s="57"/>
      <c r="I405" s="57"/>
      <c r="J405" s="57"/>
      <c r="K405" s="57"/>
      <c r="L405" s="57"/>
      <c r="M405" s="57"/>
      <c r="Q405">
        <f t="shared" si="78"/>
        <v>0</v>
      </c>
      <c r="R405">
        <f t="shared" si="79"/>
        <v>0</v>
      </c>
      <c r="S405">
        <f t="shared" si="80"/>
        <v>0</v>
      </c>
      <c r="T405">
        <f t="shared" si="81"/>
        <v>1</v>
      </c>
      <c r="U405">
        <f t="shared" si="82"/>
        <v>0</v>
      </c>
      <c r="V405">
        <f t="shared" si="83"/>
        <v>0</v>
      </c>
      <c r="Y405" t="str">
        <f t="shared" si="84"/>
        <v>Macedonia</v>
      </c>
      <c r="Z405" s="104" t="str">
        <f t="shared" si="85"/>
        <v/>
      </c>
      <c r="AA405" s="104">
        <f t="shared" si="86"/>
        <v>1</v>
      </c>
      <c r="AB405" s="104" t="str">
        <f t="shared" si="87"/>
        <v/>
      </c>
    </row>
    <row r="406" spans="1:28" x14ac:dyDescent="0.25">
      <c r="A406" s="55" t="s">
        <v>8140</v>
      </c>
      <c r="B406" s="57"/>
      <c r="C406" s="57"/>
      <c r="D406" s="57"/>
      <c r="E406" s="57">
        <v>1</v>
      </c>
      <c r="F406" s="57">
        <v>2</v>
      </c>
      <c r="G406" s="57"/>
      <c r="H406" s="57"/>
      <c r="I406" s="57"/>
      <c r="J406" s="57"/>
      <c r="K406" s="57"/>
      <c r="L406" s="57"/>
      <c r="M406" s="57"/>
      <c r="Q406">
        <f t="shared" si="78"/>
        <v>0</v>
      </c>
      <c r="R406">
        <f t="shared" si="79"/>
        <v>0</v>
      </c>
      <c r="S406">
        <f t="shared" si="80"/>
        <v>1</v>
      </c>
      <c r="T406">
        <f t="shared" si="81"/>
        <v>2</v>
      </c>
      <c r="U406">
        <f t="shared" si="82"/>
        <v>0</v>
      </c>
      <c r="V406">
        <f t="shared" si="83"/>
        <v>0</v>
      </c>
      <c r="Y406" t="str">
        <f t="shared" si="84"/>
        <v>Montenegro</v>
      </c>
      <c r="Z406" s="104" t="str">
        <f t="shared" si="85"/>
        <v/>
      </c>
      <c r="AA406" s="104">
        <f t="shared" si="86"/>
        <v>0.66666666666666663</v>
      </c>
      <c r="AB406" s="104" t="str">
        <f t="shared" si="87"/>
        <v/>
      </c>
    </row>
    <row r="407" spans="1:28" x14ac:dyDescent="0.25">
      <c r="A407" s="55" t="s">
        <v>8180</v>
      </c>
      <c r="B407" s="57"/>
      <c r="C407" s="57">
        <v>3</v>
      </c>
      <c r="D407" s="57"/>
      <c r="E407" s="57"/>
      <c r="F407" s="57">
        <v>2</v>
      </c>
      <c r="G407" s="57"/>
      <c r="H407" s="57"/>
      <c r="I407" s="57"/>
      <c r="J407" s="57"/>
      <c r="K407" s="57"/>
      <c r="L407" s="57"/>
      <c r="M407" s="57"/>
      <c r="Q407">
        <f t="shared" si="78"/>
        <v>0</v>
      </c>
      <c r="R407">
        <f t="shared" si="79"/>
        <v>3</v>
      </c>
      <c r="S407">
        <f t="shared" si="80"/>
        <v>0</v>
      </c>
      <c r="T407">
        <f t="shared" si="81"/>
        <v>2</v>
      </c>
      <c r="U407">
        <f t="shared" si="82"/>
        <v>0</v>
      </c>
      <c r="V407">
        <f t="shared" si="83"/>
        <v>0</v>
      </c>
      <c r="Y407" t="str">
        <f t="shared" si="84"/>
        <v>Morocco</v>
      </c>
      <c r="Z407" s="104">
        <f t="shared" si="85"/>
        <v>1</v>
      </c>
      <c r="AA407" s="104">
        <f t="shared" si="86"/>
        <v>1</v>
      </c>
      <c r="AB407" s="104" t="str">
        <f t="shared" si="87"/>
        <v/>
      </c>
    </row>
    <row r="408" spans="1:28" x14ac:dyDescent="0.25">
      <c r="A408" s="55" t="s">
        <v>9020</v>
      </c>
      <c r="B408" s="57"/>
      <c r="C408" s="57"/>
      <c r="D408" s="57"/>
      <c r="E408" s="57"/>
      <c r="F408" s="57"/>
      <c r="G408" s="57"/>
      <c r="H408" s="57"/>
      <c r="I408" s="57"/>
      <c r="J408" s="57"/>
      <c r="K408" s="57"/>
      <c r="L408" s="57"/>
      <c r="M408" s="57"/>
      <c r="Q408">
        <f t="shared" si="78"/>
        <v>0</v>
      </c>
      <c r="R408">
        <f t="shared" si="79"/>
        <v>0</v>
      </c>
      <c r="S408">
        <f t="shared" si="80"/>
        <v>0</v>
      </c>
      <c r="T408">
        <f t="shared" si="81"/>
        <v>0</v>
      </c>
      <c r="U408">
        <f t="shared" si="82"/>
        <v>0</v>
      </c>
      <c r="V408">
        <f t="shared" si="83"/>
        <v>0</v>
      </c>
      <c r="Y408" t="str">
        <f t="shared" si="84"/>
        <v>Netherlands</v>
      </c>
      <c r="Z408" s="104" t="str">
        <f t="shared" si="85"/>
        <v/>
      </c>
      <c r="AA408" s="104" t="str">
        <f t="shared" si="86"/>
        <v/>
      </c>
      <c r="AB408" s="104" t="str">
        <f t="shared" si="87"/>
        <v/>
      </c>
    </row>
    <row r="409" spans="1:28" x14ac:dyDescent="0.25">
      <c r="A409" s="55" t="s">
        <v>9409</v>
      </c>
      <c r="B409" s="57"/>
      <c r="C409" s="57"/>
      <c r="D409" s="57"/>
      <c r="E409" s="57"/>
      <c r="F409" s="57">
        <v>1</v>
      </c>
      <c r="G409" s="57"/>
      <c r="H409" s="57"/>
      <c r="I409" s="57"/>
      <c r="J409" s="57"/>
      <c r="K409" s="57"/>
      <c r="L409" s="57"/>
      <c r="M409" s="57"/>
      <c r="Q409">
        <f t="shared" si="78"/>
        <v>0</v>
      </c>
      <c r="R409">
        <f t="shared" si="79"/>
        <v>0</v>
      </c>
      <c r="S409">
        <f t="shared" si="80"/>
        <v>0</v>
      </c>
      <c r="T409">
        <f t="shared" si="81"/>
        <v>1</v>
      </c>
      <c r="U409">
        <f t="shared" si="82"/>
        <v>0</v>
      </c>
      <c r="V409">
        <f t="shared" si="83"/>
        <v>0</v>
      </c>
      <c r="Y409" t="str">
        <f t="shared" si="84"/>
        <v>Norway</v>
      </c>
      <c r="Z409" s="104" t="str">
        <f t="shared" si="85"/>
        <v/>
      </c>
      <c r="AA409" s="104">
        <f t="shared" si="86"/>
        <v>1</v>
      </c>
      <c r="AB409" s="104" t="str">
        <f t="shared" si="87"/>
        <v/>
      </c>
    </row>
    <row r="410" spans="1:28" x14ac:dyDescent="0.25">
      <c r="A410" s="55" t="s">
        <v>10350</v>
      </c>
      <c r="B410" s="57"/>
      <c r="C410" s="57"/>
      <c r="D410" s="57"/>
      <c r="E410" s="57"/>
      <c r="F410" s="57"/>
      <c r="G410" s="57"/>
      <c r="H410" s="57"/>
      <c r="I410" s="57"/>
      <c r="J410" s="57"/>
      <c r="K410" s="57"/>
      <c r="L410" s="57"/>
      <c r="M410" s="57"/>
      <c r="Q410">
        <f t="shared" si="78"/>
        <v>0</v>
      </c>
      <c r="R410">
        <f t="shared" si="79"/>
        <v>0</v>
      </c>
      <c r="S410">
        <f t="shared" si="80"/>
        <v>0</v>
      </c>
      <c r="T410">
        <f t="shared" si="81"/>
        <v>0</v>
      </c>
      <c r="U410">
        <f t="shared" si="82"/>
        <v>0</v>
      </c>
      <c r="V410">
        <f t="shared" si="83"/>
        <v>0</v>
      </c>
      <c r="Y410" t="str">
        <f t="shared" si="84"/>
        <v>Romania</v>
      </c>
      <c r="Z410" s="104" t="str">
        <f t="shared" si="85"/>
        <v/>
      </c>
      <c r="AA410" s="104" t="str">
        <f t="shared" si="86"/>
        <v/>
      </c>
      <c r="AB410" s="104" t="str">
        <f t="shared" si="87"/>
        <v/>
      </c>
    </row>
    <row r="411" spans="1:28" x14ac:dyDescent="0.25">
      <c r="A411" s="55" t="s">
        <v>10558</v>
      </c>
      <c r="B411" s="57"/>
      <c r="C411" s="57"/>
      <c r="D411" s="57"/>
      <c r="E411" s="57">
        <v>1</v>
      </c>
      <c r="F411" s="57">
        <v>5</v>
      </c>
      <c r="G411" s="57"/>
      <c r="H411" s="57"/>
      <c r="I411" s="57">
        <v>1</v>
      </c>
      <c r="J411" s="57"/>
      <c r="K411" s="57"/>
      <c r="L411" s="57"/>
      <c r="M411" s="57"/>
      <c r="Q411">
        <f t="shared" si="78"/>
        <v>0</v>
      </c>
      <c r="R411">
        <f t="shared" si="79"/>
        <v>0</v>
      </c>
      <c r="S411">
        <f t="shared" si="80"/>
        <v>1</v>
      </c>
      <c r="T411">
        <f t="shared" si="81"/>
        <v>5</v>
      </c>
      <c r="U411">
        <f t="shared" si="82"/>
        <v>0</v>
      </c>
      <c r="V411">
        <f t="shared" si="83"/>
        <v>1</v>
      </c>
      <c r="Y411" t="str">
        <f t="shared" si="84"/>
        <v>Serbia</v>
      </c>
      <c r="Z411" s="104" t="str">
        <f t="shared" si="85"/>
        <v/>
      </c>
      <c r="AA411" s="104">
        <f t="shared" si="86"/>
        <v>0.83333333333333337</v>
      </c>
      <c r="AB411" s="104">
        <f t="shared" si="87"/>
        <v>1</v>
      </c>
    </row>
    <row r="412" spans="1:28" x14ac:dyDescent="0.25">
      <c r="A412" s="55" t="s">
        <v>11664</v>
      </c>
      <c r="B412" s="57"/>
      <c r="C412" s="57"/>
      <c r="D412" s="57"/>
      <c r="E412" s="57"/>
      <c r="F412" s="57"/>
      <c r="G412" s="57"/>
      <c r="H412" s="57"/>
      <c r="I412" s="57"/>
      <c r="J412" s="57"/>
      <c r="K412" s="57"/>
      <c r="L412" s="57"/>
      <c r="M412" s="57"/>
      <c r="Q412">
        <f t="shared" si="78"/>
        <v>0</v>
      </c>
      <c r="R412">
        <f t="shared" si="79"/>
        <v>0</v>
      </c>
      <c r="S412">
        <f t="shared" si="80"/>
        <v>0</v>
      </c>
      <c r="T412">
        <f t="shared" si="81"/>
        <v>0</v>
      </c>
      <c r="U412">
        <f t="shared" si="82"/>
        <v>0</v>
      </c>
      <c r="V412">
        <f t="shared" si="83"/>
        <v>0</v>
      </c>
      <c r="Y412" t="str">
        <f t="shared" si="84"/>
        <v>Switzerland</v>
      </c>
      <c r="Z412" s="104" t="str">
        <f t="shared" si="85"/>
        <v/>
      </c>
      <c r="AA412" s="104" t="str">
        <f t="shared" si="86"/>
        <v/>
      </c>
      <c r="AB412" s="104" t="str">
        <f t="shared" si="87"/>
        <v/>
      </c>
    </row>
    <row r="413" spans="1:28" x14ac:dyDescent="0.25">
      <c r="A413" s="55" t="s">
        <v>11693</v>
      </c>
      <c r="B413" s="57"/>
      <c r="C413" s="57"/>
      <c r="D413" s="57"/>
      <c r="E413" s="57">
        <v>2</v>
      </c>
      <c r="F413" s="57">
        <v>1</v>
      </c>
      <c r="G413" s="57"/>
      <c r="H413" s="57"/>
      <c r="I413" s="57">
        <v>3</v>
      </c>
      <c r="J413" s="57"/>
      <c r="K413" s="57"/>
      <c r="L413" s="57"/>
      <c r="M413" s="57"/>
      <c r="Q413">
        <f t="shared" si="78"/>
        <v>0</v>
      </c>
      <c r="R413">
        <f t="shared" si="79"/>
        <v>0</v>
      </c>
      <c r="S413">
        <f t="shared" si="80"/>
        <v>2</v>
      </c>
      <c r="T413">
        <f t="shared" si="81"/>
        <v>1</v>
      </c>
      <c r="U413">
        <f t="shared" si="82"/>
        <v>0</v>
      </c>
      <c r="V413">
        <f t="shared" si="83"/>
        <v>3</v>
      </c>
      <c r="Y413" t="str">
        <f t="shared" si="84"/>
        <v>Syria</v>
      </c>
      <c r="Z413" s="104" t="str">
        <f t="shared" si="85"/>
        <v/>
      </c>
      <c r="AA413" s="104">
        <f t="shared" si="86"/>
        <v>0.33333333333333331</v>
      </c>
      <c r="AB413" s="104">
        <f t="shared" si="87"/>
        <v>1</v>
      </c>
    </row>
    <row r="414" spans="1:28" x14ac:dyDescent="0.25">
      <c r="A414" s="55" t="s">
        <v>12654</v>
      </c>
      <c r="B414" s="57"/>
      <c r="C414" s="57"/>
      <c r="D414" s="57"/>
      <c r="E414" s="57"/>
      <c r="F414" s="57"/>
      <c r="G414" s="57"/>
      <c r="H414" s="57"/>
      <c r="I414" s="57"/>
      <c r="J414" s="57"/>
      <c r="K414" s="57"/>
      <c r="L414" s="57"/>
      <c r="M414" s="57"/>
      <c r="Q414">
        <f t="shared" si="78"/>
        <v>0</v>
      </c>
      <c r="R414">
        <f t="shared" si="79"/>
        <v>0</v>
      </c>
      <c r="S414">
        <f t="shared" si="80"/>
        <v>0</v>
      </c>
      <c r="T414">
        <f t="shared" si="81"/>
        <v>0</v>
      </c>
      <c r="U414">
        <f t="shared" si="82"/>
        <v>0</v>
      </c>
      <c r="V414">
        <f t="shared" si="83"/>
        <v>0</v>
      </c>
      <c r="Y414" t="str">
        <f t="shared" si="84"/>
        <v>Turkey</v>
      </c>
      <c r="Z414" s="104" t="str">
        <f t="shared" si="85"/>
        <v/>
      </c>
      <c r="AA414" s="104" t="str">
        <f t="shared" si="86"/>
        <v/>
      </c>
      <c r="AB414" s="104" t="str">
        <f t="shared" si="87"/>
        <v/>
      </c>
    </row>
    <row r="415" spans="1:28" x14ac:dyDescent="0.25">
      <c r="A415" s="55" t="s">
        <v>12907</v>
      </c>
      <c r="B415" s="57">
        <v>1</v>
      </c>
      <c r="C415" s="57"/>
      <c r="D415" s="57"/>
      <c r="E415" s="57"/>
      <c r="F415" s="57"/>
      <c r="G415" s="57"/>
      <c r="H415" s="57"/>
      <c r="I415" s="57"/>
      <c r="J415" s="57"/>
      <c r="K415" s="57"/>
      <c r="L415" s="57"/>
      <c r="M415" s="57"/>
      <c r="Q415">
        <f t="shared" si="78"/>
        <v>1</v>
      </c>
      <c r="R415">
        <f t="shared" si="79"/>
        <v>0</v>
      </c>
      <c r="S415">
        <f t="shared" si="80"/>
        <v>0</v>
      </c>
      <c r="T415">
        <f t="shared" si="81"/>
        <v>0</v>
      </c>
      <c r="U415">
        <f t="shared" si="82"/>
        <v>0</v>
      </c>
      <c r="V415">
        <f t="shared" si="83"/>
        <v>0</v>
      </c>
      <c r="Y415" t="str">
        <f t="shared" si="84"/>
        <v>United Kingdom</v>
      </c>
      <c r="Z415" s="104">
        <f t="shared" si="85"/>
        <v>0</v>
      </c>
      <c r="AA415" s="104" t="str">
        <f t="shared" si="86"/>
        <v/>
      </c>
      <c r="AB415" s="104" t="str">
        <f t="shared" si="87"/>
        <v/>
      </c>
    </row>
    <row r="416" spans="1:28" x14ac:dyDescent="0.25">
      <c r="A416" s="55" t="s">
        <v>13710</v>
      </c>
      <c r="B416" s="57"/>
      <c r="C416" s="57"/>
      <c r="D416" s="57"/>
      <c r="E416" s="57"/>
      <c r="F416" s="57">
        <v>2</v>
      </c>
      <c r="G416" s="57"/>
      <c r="H416" s="57"/>
      <c r="I416" s="57">
        <v>5</v>
      </c>
      <c r="J416" s="57"/>
      <c r="K416" s="57"/>
      <c r="L416" s="57"/>
      <c r="M416" s="57"/>
      <c r="Q416">
        <f t="shared" si="78"/>
        <v>0</v>
      </c>
      <c r="R416">
        <f t="shared" si="79"/>
        <v>0</v>
      </c>
      <c r="S416">
        <f t="shared" si="80"/>
        <v>0</v>
      </c>
      <c r="T416">
        <f t="shared" si="81"/>
        <v>2</v>
      </c>
      <c r="U416">
        <f t="shared" si="82"/>
        <v>0</v>
      </c>
      <c r="V416">
        <f t="shared" si="83"/>
        <v>5</v>
      </c>
      <c r="Y416" t="str">
        <f t="shared" si="84"/>
        <v>West Bank and Gaza</v>
      </c>
      <c r="Z416" s="104" t="str">
        <f t="shared" si="85"/>
        <v/>
      </c>
      <c r="AA416" s="104">
        <f t="shared" si="86"/>
        <v>1</v>
      </c>
      <c r="AB416" s="104">
        <f t="shared" si="87"/>
        <v>1</v>
      </c>
    </row>
    <row r="417" spans="1:28" x14ac:dyDescent="0.25">
      <c r="A417" s="55" t="s">
        <v>13783</v>
      </c>
      <c r="B417" s="57"/>
      <c r="C417" s="57"/>
      <c r="D417" s="57"/>
      <c r="E417" s="57">
        <v>16</v>
      </c>
      <c r="F417" s="57">
        <v>1</v>
      </c>
      <c r="G417" s="57"/>
      <c r="H417" s="57"/>
      <c r="I417" s="57"/>
      <c r="J417" s="57"/>
      <c r="K417" s="57"/>
      <c r="L417" s="57"/>
      <c r="M417" s="57"/>
      <c r="Q417">
        <f t="shared" si="78"/>
        <v>0</v>
      </c>
      <c r="R417">
        <f t="shared" si="79"/>
        <v>0</v>
      </c>
      <c r="S417">
        <f t="shared" si="80"/>
        <v>16</v>
      </c>
      <c r="T417">
        <f t="shared" si="81"/>
        <v>1</v>
      </c>
      <c r="U417">
        <f t="shared" si="82"/>
        <v>0</v>
      </c>
      <c r="V417">
        <f t="shared" si="83"/>
        <v>0</v>
      </c>
      <c r="Y417" t="str">
        <f t="shared" si="84"/>
        <v>Yemen</v>
      </c>
      <c r="Z417" s="104" t="str">
        <f t="shared" si="85"/>
        <v/>
      </c>
      <c r="AA417" s="104">
        <f t="shared" si="86"/>
        <v>5.8823529411764705E-2</v>
      </c>
      <c r="AB417" s="104" t="str">
        <f t="shared" si="87"/>
        <v/>
      </c>
    </row>
    <row r="418" spans="1:28" x14ac:dyDescent="0.25">
      <c r="A418" s="50" t="s">
        <v>14281</v>
      </c>
      <c r="B418" s="57">
        <v>7</v>
      </c>
      <c r="C418" s="57">
        <v>10</v>
      </c>
      <c r="D418" s="57"/>
      <c r="E418" s="57">
        <v>29</v>
      </c>
      <c r="F418" s="57">
        <v>34</v>
      </c>
      <c r="G418" s="57"/>
      <c r="H418" s="57">
        <v>2</v>
      </c>
      <c r="I418" s="57">
        <v>38</v>
      </c>
      <c r="J418" s="57"/>
      <c r="K418" s="57"/>
      <c r="L418" s="57"/>
      <c r="M418" s="57"/>
      <c r="Q418">
        <f t="shared" si="78"/>
        <v>7</v>
      </c>
      <c r="R418">
        <f t="shared" si="79"/>
        <v>10</v>
      </c>
      <c r="S418">
        <f t="shared" si="80"/>
        <v>29</v>
      </c>
      <c r="T418">
        <f t="shared" si="81"/>
        <v>34</v>
      </c>
      <c r="U418">
        <f t="shared" si="82"/>
        <v>2</v>
      </c>
      <c r="V418">
        <f t="shared" si="83"/>
        <v>38</v>
      </c>
      <c r="Y418" t="str">
        <f t="shared" si="84"/>
        <v>Middle East, North Africa and Europe Total</v>
      </c>
      <c r="Z418" s="104">
        <f t="shared" si="85"/>
        <v>0.58823529411764708</v>
      </c>
      <c r="AA418" s="104">
        <f t="shared" si="86"/>
        <v>0.53968253968253965</v>
      </c>
      <c r="AB418" s="104">
        <f t="shared" si="87"/>
        <v>0.95</v>
      </c>
    </row>
    <row r="419" spans="1:28" x14ac:dyDescent="0.25">
      <c r="A419" s="50" t="s">
        <v>12970</v>
      </c>
      <c r="B419" s="57"/>
      <c r="C419" s="57"/>
      <c r="D419" s="57"/>
      <c r="E419" s="57"/>
      <c r="F419" s="57"/>
      <c r="G419" s="57"/>
      <c r="H419" s="57"/>
      <c r="I419" s="57"/>
      <c r="J419" s="57"/>
      <c r="K419" s="57"/>
      <c r="L419" s="57"/>
      <c r="M419" s="57"/>
      <c r="Q419">
        <f t="shared" si="78"/>
        <v>0</v>
      </c>
      <c r="R419">
        <f t="shared" si="79"/>
        <v>0</v>
      </c>
      <c r="S419">
        <f t="shared" si="80"/>
        <v>0</v>
      </c>
      <c r="T419">
        <f t="shared" si="81"/>
        <v>0</v>
      </c>
      <c r="U419">
        <f t="shared" si="82"/>
        <v>0</v>
      </c>
      <c r="V419">
        <f t="shared" si="83"/>
        <v>0</v>
      </c>
      <c r="Y419" t="str">
        <f t="shared" si="84"/>
        <v>North America</v>
      </c>
      <c r="Z419" s="104" t="str">
        <f t="shared" si="85"/>
        <v/>
      </c>
      <c r="AA419" s="104" t="str">
        <f t="shared" si="86"/>
        <v/>
      </c>
      <c r="AB419" s="104" t="str">
        <f t="shared" si="87"/>
        <v/>
      </c>
    </row>
    <row r="420" spans="1:28" x14ac:dyDescent="0.25">
      <c r="A420" s="55" t="s">
        <v>12969</v>
      </c>
      <c r="B420" s="57"/>
      <c r="C420" s="57"/>
      <c r="D420" s="57"/>
      <c r="E420" s="57"/>
      <c r="F420" s="57"/>
      <c r="G420" s="57"/>
      <c r="H420" s="57"/>
      <c r="I420" s="57"/>
      <c r="J420" s="57"/>
      <c r="K420" s="57"/>
      <c r="L420" s="57"/>
      <c r="M420" s="57"/>
      <c r="Q420">
        <f t="shared" si="78"/>
        <v>0</v>
      </c>
      <c r="R420">
        <f t="shared" si="79"/>
        <v>0</v>
      </c>
      <c r="S420">
        <f t="shared" si="80"/>
        <v>0</v>
      </c>
      <c r="T420">
        <f t="shared" si="81"/>
        <v>0</v>
      </c>
      <c r="U420">
        <f t="shared" si="82"/>
        <v>0</v>
      </c>
      <c r="V420">
        <f t="shared" si="83"/>
        <v>0</v>
      </c>
      <c r="Y420" t="str">
        <f t="shared" si="84"/>
        <v>United States of America</v>
      </c>
      <c r="Z420" s="104" t="str">
        <f t="shared" si="85"/>
        <v/>
      </c>
      <c r="AA420" s="104" t="str">
        <f t="shared" si="86"/>
        <v/>
      </c>
      <c r="AB420" s="104" t="str">
        <f t="shared" si="87"/>
        <v/>
      </c>
    </row>
    <row r="421" spans="1:28" x14ac:dyDescent="0.25">
      <c r="A421" s="50" t="s">
        <v>14282</v>
      </c>
      <c r="B421" s="57"/>
      <c r="C421" s="57"/>
      <c r="D421" s="57"/>
      <c r="E421" s="57"/>
      <c r="F421" s="57"/>
      <c r="G421" s="57"/>
      <c r="H421" s="57"/>
      <c r="I421" s="57"/>
      <c r="J421" s="57"/>
      <c r="K421" s="57"/>
      <c r="L421" s="57"/>
      <c r="M421" s="57"/>
      <c r="Q421">
        <f t="shared" si="78"/>
        <v>0</v>
      </c>
      <c r="R421">
        <f t="shared" si="79"/>
        <v>0</v>
      </c>
      <c r="S421">
        <f t="shared" si="80"/>
        <v>0</v>
      </c>
      <c r="T421">
        <f t="shared" si="81"/>
        <v>0</v>
      </c>
      <c r="U421">
        <f t="shared" si="82"/>
        <v>0</v>
      </c>
      <c r="V421">
        <f t="shared" si="83"/>
        <v>0</v>
      </c>
      <c r="Y421" t="str">
        <f t="shared" si="84"/>
        <v>North America Total</v>
      </c>
      <c r="Z421" s="104" t="str">
        <f t="shared" si="85"/>
        <v/>
      </c>
      <c r="AA421" s="104" t="str">
        <f t="shared" si="86"/>
        <v/>
      </c>
      <c r="AB421" s="104" t="str">
        <f t="shared" si="87"/>
        <v/>
      </c>
    </row>
    <row r="422" spans="1:28" x14ac:dyDescent="0.25">
      <c r="A422" s="50" t="s">
        <v>14272</v>
      </c>
      <c r="B422" s="57">
        <v>36</v>
      </c>
      <c r="C422" s="57">
        <v>37</v>
      </c>
      <c r="D422" s="57"/>
      <c r="E422" s="57">
        <v>125</v>
      </c>
      <c r="F422" s="57">
        <v>343</v>
      </c>
      <c r="G422" s="57"/>
      <c r="H422" s="57">
        <v>9</v>
      </c>
      <c r="I422" s="57">
        <v>199</v>
      </c>
      <c r="J422" s="57"/>
      <c r="K422" s="57">
        <v>1</v>
      </c>
      <c r="L422" s="57">
        <v>1</v>
      </c>
      <c r="M422" s="57"/>
      <c r="Q422">
        <f t="shared" si="78"/>
        <v>36</v>
      </c>
      <c r="R422">
        <f t="shared" si="79"/>
        <v>37</v>
      </c>
      <c r="S422">
        <f t="shared" si="80"/>
        <v>125</v>
      </c>
      <c r="T422">
        <f t="shared" si="81"/>
        <v>343</v>
      </c>
      <c r="U422">
        <f t="shared" si="82"/>
        <v>9</v>
      </c>
      <c r="V422">
        <f t="shared" si="83"/>
        <v>199</v>
      </c>
      <c r="Y422" t="str">
        <f t="shared" si="84"/>
        <v>Grand Total</v>
      </c>
      <c r="Z422" s="104">
        <f t="shared" si="85"/>
        <v>0.50684931506849318</v>
      </c>
      <c r="AA422" s="104">
        <f t="shared" si="86"/>
        <v>0.73290598290598286</v>
      </c>
      <c r="AB422" s="104">
        <f t="shared" si="87"/>
        <v>0.95673076923076927</v>
      </c>
    </row>
    <row r="423" spans="1:28" x14ac:dyDescent="0.25">
      <c r="Q423">
        <f t="shared" si="78"/>
        <v>0</v>
      </c>
      <c r="R423">
        <f t="shared" si="79"/>
        <v>0</v>
      </c>
      <c r="S423">
        <f t="shared" si="80"/>
        <v>0</v>
      </c>
      <c r="T423">
        <f t="shared" si="81"/>
        <v>0</v>
      </c>
      <c r="U423">
        <f t="shared" si="82"/>
        <v>0</v>
      </c>
      <c r="V423">
        <f t="shared" si="83"/>
        <v>0</v>
      </c>
      <c r="Y423">
        <f t="shared" si="84"/>
        <v>0</v>
      </c>
      <c r="Z423" s="104" t="str">
        <f t="shared" si="85"/>
        <v/>
      </c>
      <c r="AA423" s="104" t="str">
        <f t="shared" si="86"/>
        <v/>
      </c>
      <c r="AB423" s="104" t="str">
        <f t="shared" si="87"/>
        <v/>
      </c>
    </row>
  </sheetData>
  <mergeCells count="17">
    <mergeCell ref="J3:J4"/>
    <mergeCell ref="K3:K4"/>
    <mergeCell ref="Q109:V109"/>
    <mergeCell ref="Z109:AB109"/>
    <mergeCell ref="Q110:R110"/>
    <mergeCell ref="S110:T110"/>
    <mergeCell ref="U110:V110"/>
    <mergeCell ref="Q215:V215"/>
    <mergeCell ref="Z215:AB215"/>
    <mergeCell ref="Q216:R216"/>
    <mergeCell ref="S216:T216"/>
    <mergeCell ref="U216:V216"/>
    <mergeCell ref="Q321:V321"/>
    <mergeCell ref="Z321:AB321"/>
    <mergeCell ref="Q322:R322"/>
    <mergeCell ref="S322:T322"/>
    <mergeCell ref="U322:V32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E104"/>
  <sheetViews>
    <sheetView topLeftCell="C1" workbookViewId="0">
      <selection activeCell="B46" sqref="B46:H48"/>
    </sheetView>
  </sheetViews>
  <sheetFormatPr defaultRowHeight="15" x14ac:dyDescent="0.25"/>
  <cols>
    <col min="1" max="1" width="133.28515625" bestFit="1" customWidth="1"/>
    <col min="2" max="2" width="34" bestFit="1" customWidth="1"/>
    <col min="3" max="3" width="88.85546875" bestFit="1" customWidth="1"/>
    <col min="4" max="4" width="36.85546875" bestFit="1" customWidth="1"/>
    <col min="5" max="5" width="7.140625" customWidth="1"/>
    <col min="6" max="6" width="10.7109375" customWidth="1"/>
  </cols>
  <sheetData>
    <row r="3" spans="1:5" x14ac:dyDescent="0.25">
      <c r="A3" s="49" t="s">
        <v>14288</v>
      </c>
      <c r="B3" s="49" t="s">
        <v>14283</v>
      </c>
    </row>
    <row r="4" spans="1:5" x14ac:dyDescent="0.25">
      <c r="A4" s="49" t="s">
        <v>14283</v>
      </c>
      <c r="B4" t="s">
        <v>333</v>
      </c>
      <c r="C4" t="s">
        <v>396</v>
      </c>
      <c r="D4" t="s">
        <v>667</v>
      </c>
      <c r="E4" t="s">
        <v>14275</v>
      </c>
    </row>
    <row r="5" spans="1:5" x14ac:dyDescent="0.25">
      <c r="A5" s="50" t="s">
        <v>1874</v>
      </c>
      <c r="B5" s="54"/>
      <c r="C5" s="54"/>
      <c r="D5" s="54"/>
      <c r="E5" s="54"/>
    </row>
    <row r="6" spans="1:5" x14ac:dyDescent="0.25">
      <c r="A6" s="55" t="s">
        <v>1873</v>
      </c>
      <c r="B6" s="54">
        <v>0.25</v>
      </c>
      <c r="C6" s="54">
        <v>0.75</v>
      </c>
      <c r="D6" s="54">
        <v>0</v>
      </c>
      <c r="E6" s="54">
        <v>0</v>
      </c>
    </row>
    <row r="7" spans="1:5" x14ac:dyDescent="0.25">
      <c r="A7" s="55" t="s">
        <v>3868</v>
      </c>
      <c r="B7" s="54">
        <v>0.48275862068965519</v>
      </c>
      <c r="C7" s="54">
        <v>0.34482758620689657</v>
      </c>
      <c r="D7" s="54">
        <v>0.17241379310344829</v>
      </c>
      <c r="E7" s="54">
        <v>0</v>
      </c>
    </row>
    <row r="8" spans="1:5" x14ac:dyDescent="0.25">
      <c r="A8" s="55" t="s">
        <v>6457</v>
      </c>
      <c r="B8" s="54">
        <v>0.5357142857142857</v>
      </c>
      <c r="C8" s="54">
        <v>0.42857142857142855</v>
      </c>
      <c r="D8" s="54">
        <v>3.5714285714285712E-2</v>
      </c>
      <c r="E8" s="54">
        <v>0</v>
      </c>
    </row>
    <row r="9" spans="1:5" x14ac:dyDescent="0.25">
      <c r="A9" s="55" t="s">
        <v>10371</v>
      </c>
      <c r="B9" s="54">
        <v>0.2</v>
      </c>
      <c r="C9" s="54">
        <v>0.7</v>
      </c>
      <c r="D9" s="54">
        <v>0.1</v>
      </c>
      <c r="E9" s="54">
        <v>0</v>
      </c>
    </row>
    <row r="10" spans="1:5" x14ac:dyDescent="0.25">
      <c r="A10" s="55" t="s">
        <v>10685</v>
      </c>
      <c r="B10" s="54">
        <v>2.9411764705882353E-2</v>
      </c>
      <c r="C10" s="54">
        <v>0.14705882352941177</v>
      </c>
      <c r="D10" s="54">
        <v>0.82352941176470584</v>
      </c>
      <c r="E10" s="54">
        <v>0</v>
      </c>
    </row>
    <row r="11" spans="1:5" x14ac:dyDescent="0.25">
      <c r="A11" s="55" t="s">
        <v>11104</v>
      </c>
      <c r="B11" s="54">
        <v>0.47619047619047616</v>
      </c>
      <c r="C11" s="54">
        <v>4.7619047619047616E-2</v>
      </c>
      <c r="D11" s="54">
        <v>0.47619047619047616</v>
      </c>
      <c r="E11" s="54">
        <v>0</v>
      </c>
    </row>
    <row r="12" spans="1:5" x14ac:dyDescent="0.25">
      <c r="A12" s="55" t="s">
        <v>11417</v>
      </c>
      <c r="B12" s="54">
        <v>0.84210526315789469</v>
      </c>
      <c r="C12" s="54">
        <v>0.15789473684210525</v>
      </c>
      <c r="D12" s="54">
        <v>0</v>
      </c>
      <c r="E12" s="54">
        <v>0</v>
      </c>
    </row>
    <row r="13" spans="1:5" x14ac:dyDescent="0.25">
      <c r="A13" s="55" t="s">
        <v>12694</v>
      </c>
      <c r="B13" s="54">
        <v>7.6923076923076927E-2</v>
      </c>
      <c r="C13" s="54">
        <v>0.92307692307692313</v>
      </c>
      <c r="D13" s="54">
        <v>0</v>
      </c>
      <c r="E13" s="54">
        <v>0</v>
      </c>
    </row>
    <row r="14" spans="1:5" x14ac:dyDescent="0.25">
      <c r="A14" s="55" t="s">
        <v>14322</v>
      </c>
      <c r="B14" s="54">
        <v>0</v>
      </c>
      <c r="C14" s="54">
        <v>1</v>
      </c>
      <c r="D14" s="54">
        <v>0</v>
      </c>
      <c r="E14" s="54">
        <v>0</v>
      </c>
    </row>
    <row r="15" spans="1:5" x14ac:dyDescent="0.25">
      <c r="A15" s="50" t="s">
        <v>14276</v>
      </c>
      <c r="B15" s="54">
        <v>0.36257309941520466</v>
      </c>
      <c r="C15" s="54">
        <v>0.3742690058479532</v>
      </c>
      <c r="D15" s="54">
        <v>0.26315789473684209</v>
      </c>
      <c r="E15" s="54">
        <v>0</v>
      </c>
    </row>
    <row r="16" spans="1:5" x14ac:dyDescent="0.25">
      <c r="A16" s="50" t="s">
        <v>7217</v>
      </c>
      <c r="B16" s="54"/>
      <c r="C16" s="54"/>
      <c r="D16" s="54"/>
      <c r="E16" s="54"/>
    </row>
    <row r="17" spans="1:5" x14ac:dyDescent="0.25">
      <c r="A17" s="55" t="s">
        <v>7216</v>
      </c>
      <c r="B17" s="54">
        <v>0</v>
      </c>
      <c r="C17" s="54">
        <v>0.63636363636363635</v>
      </c>
      <c r="D17" s="54">
        <v>0.36363636363636365</v>
      </c>
      <c r="E17" s="54">
        <v>0</v>
      </c>
    </row>
    <row r="18" spans="1:5" x14ac:dyDescent="0.25">
      <c r="A18" s="55" t="s">
        <v>7451</v>
      </c>
      <c r="B18" s="54">
        <v>0.625</v>
      </c>
      <c r="C18" s="54">
        <v>0.375</v>
      </c>
      <c r="D18" s="54">
        <v>0</v>
      </c>
      <c r="E18" s="54">
        <v>0</v>
      </c>
    </row>
    <row r="19" spans="1:5" x14ac:dyDescent="0.25">
      <c r="A19" s="55" t="s">
        <v>8265</v>
      </c>
      <c r="B19" s="54">
        <v>0.6</v>
      </c>
      <c r="C19" s="54">
        <v>0.4</v>
      </c>
      <c r="D19" s="54">
        <v>0</v>
      </c>
      <c r="E19" s="54">
        <v>0</v>
      </c>
    </row>
    <row r="20" spans="1:5" x14ac:dyDescent="0.25">
      <c r="A20" s="55" t="s">
        <v>11102</v>
      </c>
      <c r="B20" s="54" t="e">
        <v>#DIV/0!</v>
      </c>
      <c r="C20" s="54" t="e">
        <v>#DIV/0!</v>
      </c>
      <c r="D20" s="54" t="e">
        <v>#DIV/0!</v>
      </c>
      <c r="E20" s="54" t="e">
        <v>#DIV/0!</v>
      </c>
    </row>
    <row r="21" spans="1:5" x14ac:dyDescent="0.25">
      <c r="A21" s="55" t="s">
        <v>12090</v>
      </c>
      <c r="B21" s="54">
        <v>0</v>
      </c>
      <c r="C21" s="54">
        <v>0.8571428571428571</v>
      </c>
      <c r="D21" s="54">
        <v>0.14285714285714285</v>
      </c>
      <c r="E21" s="54">
        <v>0</v>
      </c>
    </row>
    <row r="22" spans="1:5" x14ac:dyDescent="0.25">
      <c r="A22" s="55" t="s">
        <v>13917</v>
      </c>
      <c r="B22" s="54">
        <v>0.2857142857142857</v>
      </c>
      <c r="C22" s="54">
        <v>0.7142857142857143</v>
      </c>
      <c r="D22" s="54">
        <v>0</v>
      </c>
      <c r="E22" s="54">
        <v>0</v>
      </c>
    </row>
    <row r="23" spans="1:5" x14ac:dyDescent="0.25">
      <c r="A23" s="55" t="s">
        <v>14016</v>
      </c>
      <c r="B23" s="54">
        <v>0.8125</v>
      </c>
      <c r="C23" s="54">
        <v>0.1875</v>
      </c>
      <c r="D23" s="54">
        <v>0</v>
      </c>
      <c r="E23" s="54">
        <v>0</v>
      </c>
    </row>
    <row r="24" spans="1:5" x14ac:dyDescent="0.25">
      <c r="A24" s="50" t="s">
        <v>14277</v>
      </c>
      <c r="B24" s="54">
        <v>0.48</v>
      </c>
      <c r="C24" s="54">
        <v>0.45333333333333331</v>
      </c>
      <c r="D24" s="54">
        <v>6.6666666666666666E-2</v>
      </c>
      <c r="E24" s="54">
        <v>0</v>
      </c>
    </row>
    <row r="25" spans="1:5" x14ac:dyDescent="0.25">
      <c r="A25" s="50" t="s">
        <v>1596</v>
      </c>
      <c r="B25" s="54"/>
      <c r="C25" s="54"/>
      <c r="D25" s="54"/>
      <c r="E25" s="54"/>
    </row>
    <row r="26" spans="1:5" x14ac:dyDescent="0.25">
      <c r="A26" s="55" t="s">
        <v>1595</v>
      </c>
      <c r="B26" s="54">
        <v>0.33333333333333331</v>
      </c>
      <c r="C26" s="54">
        <v>0.5</v>
      </c>
      <c r="D26" s="54">
        <v>0.16666666666666666</v>
      </c>
      <c r="E26" s="54">
        <v>0</v>
      </c>
    </row>
    <row r="27" spans="1:5" x14ac:dyDescent="0.25">
      <c r="A27" s="55" t="s">
        <v>1827</v>
      </c>
      <c r="B27" s="54">
        <v>0</v>
      </c>
      <c r="C27" s="54">
        <v>1</v>
      </c>
      <c r="D27" s="54">
        <v>0</v>
      </c>
      <c r="E27" s="54">
        <v>0</v>
      </c>
    </row>
    <row r="28" spans="1:5" x14ac:dyDescent="0.25">
      <c r="A28" s="55" t="s">
        <v>2395</v>
      </c>
      <c r="B28" s="54">
        <v>0</v>
      </c>
      <c r="C28" s="54">
        <v>1</v>
      </c>
      <c r="D28" s="54">
        <v>0</v>
      </c>
      <c r="E28" s="54">
        <v>0</v>
      </c>
    </row>
    <row r="29" spans="1:5" x14ac:dyDescent="0.25">
      <c r="A29" s="55" t="s">
        <v>2536</v>
      </c>
      <c r="B29" s="54">
        <v>6.6666666666666666E-2</v>
      </c>
      <c r="C29" s="54">
        <v>0.93333333333333335</v>
      </c>
      <c r="D29" s="54">
        <v>0</v>
      </c>
      <c r="E29" s="54">
        <v>0</v>
      </c>
    </row>
    <row r="30" spans="1:5" x14ac:dyDescent="0.25">
      <c r="A30" s="55" t="s">
        <v>2956</v>
      </c>
      <c r="B30" s="54">
        <v>0.44444444444444442</v>
      </c>
      <c r="C30" s="54">
        <v>0.55555555555555558</v>
      </c>
      <c r="D30" s="54">
        <v>0</v>
      </c>
      <c r="E30" s="54">
        <v>0</v>
      </c>
    </row>
    <row r="31" spans="1:5" x14ac:dyDescent="0.25">
      <c r="A31" s="55" t="s">
        <v>4471</v>
      </c>
      <c r="B31" s="54">
        <v>7.6923076923076927E-2</v>
      </c>
      <c r="C31" s="54">
        <v>0.92307692307692313</v>
      </c>
      <c r="D31" s="54">
        <v>0</v>
      </c>
      <c r="E31" s="54">
        <v>0</v>
      </c>
    </row>
    <row r="32" spans="1:5" x14ac:dyDescent="0.25">
      <c r="A32" s="55" t="s">
        <v>7179</v>
      </c>
      <c r="B32" s="54">
        <v>0</v>
      </c>
      <c r="C32" s="54">
        <v>1</v>
      </c>
      <c r="D32" s="54">
        <v>0</v>
      </c>
      <c r="E32" s="54">
        <v>0</v>
      </c>
    </row>
    <row r="33" spans="1:5" x14ac:dyDescent="0.25">
      <c r="A33" s="55" t="s">
        <v>7835</v>
      </c>
      <c r="B33" s="54">
        <v>0.125</v>
      </c>
      <c r="C33" s="54">
        <v>0.8125</v>
      </c>
      <c r="D33" s="54">
        <v>6.25E-2</v>
      </c>
      <c r="E33" s="54">
        <v>0</v>
      </c>
    </row>
    <row r="34" spans="1:5" x14ac:dyDescent="0.25">
      <c r="A34" s="55" t="s">
        <v>9043</v>
      </c>
      <c r="B34" s="54">
        <v>0.44</v>
      </c>
      <c r="C34" s="54">
        <v>0.56000000000000005</v>
      </c>
      <c r="D34" s="54">
        <v>0</v>
      </c>
      <c r="E34" s="54">
        <v>0</v>
      </c>
    </row>
    <row r="35" spans="1:5" x14ac:dyDescent="0.25">
      <c r="A35" s="55" t="s">
        <v>10594</v>
      </c>
      <c r="B35" s="54">
        <v>0.2</v>
      </c>
      <c r="C35" s="54">
        <v>0.8</v>
      </c>
      <c r="D35" s="54">
        <v>0</v>
      </c>
      <c r="E35" s="54">
        <v>0</v>
      </c>
    </row>
    <row r="36" spans="1:5" x14ac:dyDescent="0.25">
      <c r="A36" s="50" t="s">
        <v>14278</v>
      </c>
      <c r="B36" s="54">
        <v>0.22448979591836735</v>
      </c>
      <c r="C36" s="54">
        <v>0.75510204081632648</v>
      </c>
      <c r="D36" s="54">
        <v>2.0408163265306121E-2</v>
      </c>
      <c r="E36" s="54">
        <v>0</v>
      </c>
    </row>
    <row r="37" spans="1:5" x14ac:dyDescent="0.25">
      <c r="A37" s="50" t="s">
        <v>306</v>
      </c>
      <c r="B37" s="54"/>
      <c r="C37" s="54"/>
      <c r="D37" s="54"/>
      <c r="E37" s="54"/>
    </row>
    <row r="38" spans="1:5" x14ac:dyDescent="0.25">
      <c r="A38" s="55" t="s">
        <v>305</v>
      </c>
      <c r="B38" s="54">
        <v>0.53333333333333333</v>
      </c>
      <c r="C38" s="54">
        <v>0.46666666666666667</v>
      </c>
      <c r="D38" s="54">
        <v>0</v>
      </c>
      <c r="E38" s="54">
        <v>0</v>
      </c>
    </row>
    <row r="39" spans="1:5" x14ac:dyDescent="0.25">
      <c r="A39" s="55" t="s">
        <v>652</v>
      </c>
      <c r="B39" s="54">
        <v>0.35416666666666669</v>
      </c>
      <c r="C39" s="54">
        <v>0.52083333333333337</v>
      </c>
      <c r="D39" s="54">
        <v>0.125</v>
      </c>
      <c r="E39" s="54">
        <v>0</v>
      </c>
    </row>
    <row r="40" spans="1:5" x14ac:dyDescent="0.25">
      <c r="A40" s="55" t="s">
        <v>2092</v>
      </c>
      <c r="B40" s="54">
        <v>0.27777777777777779</v>
      </c>
      <c r="C40" s="54">
        <v>0.61111111111111116</v>
      </c>
      <c r="D40" s="54">
        <v>0.1111111111111111</v>
      </c>
      <c r="E40" s="54">
        <v>0</v>
      </c>
    </row>
    <row r="41" spans="1:5" x14ac:dyDescent="0.25">
      <c r="A41" s="55" t="s">
        <v>4268</v>
      </c>
      <c r="B41" s="54">
        <v>1</v>
      </c>
      <c r="C41" s="54">
        <v>0</v>
      </c>
      <c r="D41" s="54">
        <v>0</v>
      </c>
      <c r="E41" s="54">
        <v>0</v>
      </c>
    </row>
    <row r="42" spans="1:5" x14ac:dyDescent="0.25">
      <c r="A42" s="55" t="s">
        <v>5300</v>
      </c>
      <c r="B42" s="54">
        <v>0.52777777777777779</v>
      </c>
      <c r="C42" s="54">
        <v>0.3888888888888889</v>
      </c>
      <c r="D42" s="54">
        <v>8.3333333333333329E-2</v>
      </c>
      <c r="E42" s="54">
        <v>0</v>
      </c>
    </row>
    <row r="43" spans="1:5" x14ac:dyDescent="0.25">
      <c r="A43" s="55" t="s">
        <v>5932</v>
      </c>
      <c r="B43" s="54">
        <v>0.75</v>
      </c>
      <c r="C43" s="54">
        <v>0.25</v>
      </c>
      <c r="D43" s="54">
        <v>0</v>
      </c>
      <c r="E43" s="54">
        <v>0</v>
      </c>
    </row>
    <row r="44" spans="1:5" x14ac:dyDescent="0.25">
      <c r="A44" s="55" t="s">
        <v>6850</v>
      </c>
      <c r="B44" s="54">
        <v>0.8571428571428571</v>
      </c>
      <c r="C44" s="54">
        <v>7.1428571428571425E-2</v>
      </c>
      <c r="D44" s="54">
        <v>7.1428571428571425E-2</v>
      </c>
      <c r="E44" s="54">
        <v>0</v>
      </c>
    </row>
    <row r="45" spans="1:5" x14ac:dyDescent="0.25">
      <c r="A45" s="55" t="s">
        <v>8444</v>
      </c>
      <c r="B45" s="54">
        <v>0.375</v>
      </c>
      <c r="C45" s="54">
        <v>0.3125</v>
      </c>
      <c r="D45" s="54">
        <v>0.3125</v>
      </c>
      <c r="E45" s="54">
        <v>0</v>
      </c>
    </row>
    <row r="46" spans="1:5" x14ac:dyDescent="0.25">
      <c r="A46" s="55" t="s">
        <v>8647</v>
      </c>
      <c r="B46" s="54">
        <v>0.42105263157894735</v>
      </c>
      <c r="C46" s="54">
        <v>0.47368421052631576</v>
      </c>
      <c r="D46" s="54">
        <v>0.10526315789473684</v>
      </c>
      <c r="E46" s="54">
        <v>0</v>
      </c>
    </row>
    <row r="47" spans="1:5" x14ac:dyDescent="0.25">
      <c r="A47" s="55" t="s">
        <v>9427</v>
      </c>
      <c r="B47" s="54">
        <v>0.2</v>
      </c>
      <c r="C47" s="54">
        <v>0.8</v>
      </c>
      <c r="D47" s="54">
        <v>0</v>
      </c>
      <c r="E47" s="54">
        <v>0</v>
      </c>
    </row>
    <row r="48" spans="1:5" x14ac:dyDescent="0.25">
      <c r="A48" s="55" t="s">
        <v>9516</v>
      </c>
      <c r="B48" s="54">
        <v>0.8</v>
      </c>
      <c r="C48" s="54">
        <v>0.2</v>
      </c>
      <c r="D48" s="54">
        <v>0</v>
      </c>
      <c r="E48" s="54">
        <v>0</v>
      </c>
    </row>
    <row r="49" spans="1:5" x14ac:dyDescent="0.25">
      <c r="A49" s="55" t="s">
        <v>10263</v>
      </c>
      <c r="B49" s="54">
        <v>0.33333333333333331</v>
      </c>
      <c r="C49" s="54">
        <v>0.66666666666666663</v>
      </c>
      <c r="D49" s="54">
        <v>0</v>
      </c>
      <c r="E49" s="54">
        <v>0</v>
      </c>
    </row>
    <row r="50" spans="1:5" x14ac:dyDescent="0.25">
      <c r="A50" s="55" t="s">
        <v>11304</v>
      </c>
      <c r="B50" s="54">
        <v>0.7142857142857143</v>
      </c>
      <c r="C50" s="54">
        <v>0.2857142857142857</v>
      </c>
      <c r="D50" s="54">
        <v>0</v>
      </c>
      <c r="E50" s="54">
        <v>0</v>
      </c>
    </row>
    <row r="51" spans="1:5" x14ac:dyDescent="0.25">
      <c r="A51" s="55" t="s">
        <v>12294</v>
      </c>
      <c r="B51" s="54">
        <v>0.36363636363636365</v>
      </c>
      <c r="C51" s="54">
        <v>0.45454545454545453</v>
      </c>
      <c r="D51" s="54">
        <v>0.18181818181818182</v>
      </c>
      <c r="E51" s="54">
        <v>0</v>
      </c>
    </row>
    <row r="52" spans="1:5" x14ac:dyDescent="0.25">
      <c r="A52" s="55" t="s">
        <v>12547</v>
      </c>
      <c r="B52" s="54">
        <v>0.6</v>
      </c>
      <c r="C52" s="54">
        <v>0.2</v>
      </c>
      <c r="D52" s="54">
        <v>0.2</v>
      </c>
      <c r="E52" s="54">
        <v>0</v>
      </c>
    </row>
    <row r="53" spans="1:5" x14ac:dyDescent="0.25">
      <c r="A53" s="55" t="s">
        <v>13272</v>
      </c>
      <c r="B53" s="54">
        <v>0.375</v>
      </c>
      <c r="C53" s="54">
        <v>0.5</v>
      </c>
      <c r="D53" s="54">
        <v>0.125</v>
      </c>
      <c r="E53" s="54">
        <v>0</v>
      </c>
    </row>
    <row r="54" spans="1:5" x14ac:dyDescent="0.25">
      <c r="A54" s="55" t="s">
        <v>13409</v>
      </c>
      <c r="B54" s="54">
        <v>0.16666666666666666</v>
      </c>
      <c r="C54" s="54">
        <v>0.83333333333333337</v>
      </c>
      <c r="D54" s="54">
        <v>0</v>
      </c>
      <c r="E54" s="54">
        <v>0</v>
      </c>
    </row>
    <row r="55" spans="1:5" x14ac:dyDescent="0.25">
      <c r="A55" s="50" t="s">
        <v>14279</v>
      </c>
      <c r="B55" s="54">
        <v>0.44921875</v>
      </c>
      <c r="C55" s="54">
        <v>0.453125</v>
      </c>
      <c r="D55" s="54">
        <v>9.765625E-2</v>
      </c>
      <c r="E55" s="54">
        <v>0</v>
      </c>
    </row>
    <row r="56" spans="1:5" x14ac:dyDescent="0.25">
      <c r="A56" s="50" t="s">
        <v>2807</v>
      </c>
      <c r="B56" s="54"/>
      <c r="C56" s="54"/>
      <c r="D56" s="54"/>
      <c r="E56" s="54"/>
    </row>
    <row r="57" spans="1:5" x14ac:dyDescent="0.25">
      <c r="A57" s="55" t="s">
        <v>2806</v>
      </c>
      <c r="B57" s="54">
        <v>0</v>
      </c>
      <c r="C57" s="54">
        <v>1</v>
      </c>
      <c r="D57" s="54">
        <v>0</v>
      </c>
      <c r="E57" s="54">
        <v>0</v>
      </c>
    </row>
    <row r="58" spans="1:5" x14ac:dyDescent="0.25">
      <c r="A58" s="55" t="s">
        <v>2931</v>
      </c>
      <c r="B58" s="54">
        <v>0</v>
      </c>
      <c r="C58" s="54">
        <v>1</v>
      </c>
      <c r="D58" s="54">
        <v>0</v>
      </c>
      <c r="E58" s="54">
        <v>0</v>
      </c>
    </row>
    <row r="59" spans="1:5" x14ac:dyDescent="0.25">
      <c r="A59" s="55" t="s">
        <v>3148</v>
      </c>
      <c r="B59" s="54">
        <v>0.4</v>
      </c>
      <c r="C59" s="54">
        <v>0.6</v>
      </c>
      <c r="D59" s="54">
        <v>0</v>
      </c>
      <c r="E59" s="54">
        <v>0</v>
      </c>
    </row>
    <row r="60" spans="1:5" x14ac:dyDescent="0.25">
      <c r="A60" s="55" t="s">
        <v>3261</v>
      </c>
      <c r="B60" s="54" t="e">
        <v>#DIV/0!</v>
      </c>
      <c r="C60" s="54" t="e">
        <v>#DIV/0!</v>
      </c>
      <c r="D60" s="54" t="e">
        <v>#DIV/0!</v>
      </c>
      <c r="E60" s="54" t="e">
        <v>#DIV/0!</v>
      </c>
    </row>
    <row r="61" spans="1:5" x14ac:dyDescent="0.25">
      <c r="A61" s="55" t="s">
        <v>3272</v>
      </c>
      <c r="B61" s="54">
        <v>5.2631578947368418E-2</v>
      </c>
      <c r="C61" s="54">
        <v>0.94736842105263153</v>
      </c>
      <c r="D61" s="54">
        <v>0</v>
      </c>
      <c r="E61" s="54">
        <v>0</v>
      </c>
    </row>
    <row r="62" spans="1:5" x14ac:dyDescent="0.25">
      <c r="A62" s="55" t="s">
        <v>4777</v>
      </c>
      <c r="B62" s="54">
        <v>0</v>
      </c>
      <c r="C62" s="54">
        <v>0.8</v>
      </c>
      <c r="D62" s="54">
        <v>0.2</v>
      </c>
      <c r="E62" s="54">
        <v>0</v>
      </c>
    </row>
    <row r="63" spans="1:5" x14ac:dyDescent="0.25">
      <c r="A63" s="55" t="s">
        <v>5061</v>
      </c>
      <c r="B63" s="54">
        <v>0.25</v>
      </c>
      <c r="C63" s="54">
        <v>0.75</v>
      </c>
      <c r="D63" s="54">
        <v>0</v>
      </c>
      <c r="E63" s="54">
        <v>0</v>
      </c>
    </row>
    <row r="64" spans="1:5" x14ac:dyDescent="0.25">
      <c r="A64" s="55" t="s">
        <v>5190</v>
      </c>
      <c r="B64" s="54">
        <v>0</v>
      </c>
      <c r="C64" s="54">
        <v>1</v>
      </c>
      <c r="D64" s="54">
        <v>0</v>
      </c>
      <c r="E64" s="54">
        <v>0</v>
      </c>
    </row>
    <row r="65" spans="1:5" x14ac:dyDescent="0.25">
      <c r="A65" s="55" t="s">
        <v>8138</v>
      </c>
      <c r="B65" s="54">
        <v>0</v>
      </c>
      <c r="C65" s="54">
        <v>1</v>
      </c>
      <c r="D65" s="54">
        <v>0</v>
      </c>
      <c r="E65" s="54">
        <v>0</v>
      </c>
    </row>
    <row r="66" spans="1:5" x14ac:dyDescent="0.25">
      <c r="A66" s="55" t="s">
        <v>9042</v>
      </c>
      <c r="B66" s="54">
        <v>0</v>
      </c>
      <c r="C66" s="54">
        <v>1</v>
      </c>
      <c r="D66" s="54">
        <v>0</v>
      </c>
      <c r="E66" s="54">
        <v>0</v>
      </c>
    </row>
    <row r="67" spans="1:5" x14ac:dyDescent="0.25">
      <c r="A67" s="55" t="s">
        <v>9514</v>
      </c>
      <c r="B67" s="54" t="e">
        <v>#DIV/0!</v>
      </c>
      <c r="C67" s="54" t="e">
        <v>#DIV/0!</v>
      </c>
      <c r="D67" s="54" t="e">
        <v>#DIV/0!</v>
      </c>
      <c r="E67" s="54" t="e">
        <v>#DIV/0!</v>
      </c>
    </row>
    <row r="68" spans="1:5" x14ac:dyDescent="0.25">
      <c r="A68" s="55" t="s">
        <v>9706</v>
      </c>
      <c r="B68" s="54">
        <v>0.51428571428571423</v>
      </c>
      <c r="C68" s="54">
        <v>0.42857142857142855</v>
      </c>
      <c r="D68" s="54">
        <v>5.7142857142857141E-2</v>
      </c>
      <c r="E68" s="54">
        <v>0</v>
      </c>
    </row>
    <row r="69" spans="1:5" x14ac:dyDescent="0.25">
      <c r="A69" s="50" t="s">
        <v>14280</v>
      </c>
      <c r="B69" s="54">
        <v>0.24731182795698925</v>
      </c>
      <c r="C69" s="54">
        <v>0.69892473118279574</v>
      </c>
      <c r="D69" s="54">
        <v>5.3763440860215055E-2</v>
      </c>
      <c r="E69" s="54">
        <v>0</v>
      </c>
    </row>
    <row r="70" spans="1:5" x14ac:dyDescent="0.25">
      <c r="A70" s="50" t="s">
        <v>602</v>
      </c>
      <c r="B70" s="54"/>
      <c r="C70" s="54"/>
      <c r="D70" s="54"/>
      <c r="E70" s="54"/>
    </row>
    <row r="71" spans="1:5" x14ac:dyDescent="0.25">
      <c r="A71" s="55" t="s">
        <v>601</v>
      </c>
      <c r="B71" s="54">
        <v>0</v>
      </c>
      <c r="C71" s="54">
        <v>1</v>
      </c>
      <c r="D71" s="54">
        <v>0</v>
      </c>
      <c r="E71" s="54">
        <v>0</v>
      </c>
    </row>
    <row r="72" spans="1:5" x14ac:dyDescent="0.25">
      <c r="A72" s="55" t="s">
        <v>635</v>
      </c>
      <c r="B72" s="54" t="e">
        <v>#DIV/0!</v>
      </c>
      <c r="C72" s="54" t="e">
        <v>#DIV/0!</v>
      </c>
      <c r="D72" s="54" t="e">
        <v>#DIV/0!</v>
      </c>
      <c r="E72" s="54" t="e">
        <v>#DIV/0!</v>
      </c>
    </row>
    <row r="73" spans="1:5" x14ac:dyDescent="0.25">
      <c r="A73" s="55" t="s">
        <v>1527</v>
      </c>
      <c r="B73" s="54" t="e">
        <v>#DIV/0!</v>
      </c>
      <c r="C73" s="54" t="e">
        <v>#DIV/0!</v>
      </c>
      <c r="D73" s="54" t="e">
        <v>#DIV/0!</v>
      </c>
      <c r="E73" s="54" t="e">
        <v>#DIV/0!</v>
      </c>
    </row>
    <row r="74" spans="1:5" x14ac:dyDescent="0.25">
      <c r="A74" s="55" t="s">
        <v>1735</v>
      </c>
      <c r="B74" s="54">
        <v>0</v>
      </c>
      <c r="C74" s="54">
        <v>0.8</v>
      </c>
      <c r="D74" s="54">
        <v>0.2</v>
      </c>
      <c r="E74" s="54">
        <v>0</v>
      </c>
    </row>
    <row r="75" spans="1:5" x14ac:dyDescent="0.25">
      <c r="A75" s="55" t="s">
        <v>3140</v>
      </c>
      <c r="B75" s="54">
        <v>0</v>
      </c>
      <c r="C75" s="54">
        <v>1</v>
      </c>
      <c r="D75" s="54">
        <v>0</v>
      </c>
      <c r="E75" s="54">
        <v>0</v>
      </c>
    </row>
    <row r="76" spans="1:5" x14ac:dyDescent="0.25">
      <c r="A76" s="55" t="s">
        <v>3231</v>
      </c>
      <c r="B76" s="54">
        <v>0</v>
      </c>
      <c r="C76" s="54">
        <v>0</v>
      </c>
      <c r="D76" s="54">
        <v>1</v>
      </c>
      <c r="E76" s="54">
        <v>0</v>
      </c>
    </row>
    <row r="77" spans="1:5" x14ac:dyDescent="0.25">
      <c r="A77" s="55" t="s">
        <v>3249</v>
      </c>
      <c r="B77" s="54" t="e">
        <v>#DIV/0!</v>
      </c>
      <c r="C77" s="54" t="e">
        <v>#DIV/0!</v>
      </c>
      <c r="D77" s="54" t="e">
        <v>#DIV/0!</v>
      </c>
      <c r="E77" s="54" t="e">
        <v>#DIV/0!</v>
      </c>
    </row>
    <row r="78" spans="1:5" x14ac:dyDescent="0.25">
      <c r="A78" s="55" t="s">
        <v>3546</v>
      </c>
      <c r="B78" s="54">
        <v>0.36842105263157893</v>
      </c>
      <c r="C78" s="54">
        <v>0.47368421052631576</v>
      </c>
      <c r="D78" s="54">
        <v>0.15789473684210525</v>
      </c>
      <c r="E78" s="54">
        <v>0</v>
      </c>
    </row>
    <row r="79" spans="1:5" x14ac:dyDescent="0.25">
      <c r="A79" s="55" t="s">
        <v>4293</v>
      </c>
      <c r="B79" s="54">
        <v>0.5</v>
      </c>
      <c r="C79" s="54">
        <v>0.25</v>
      </c>
      <c r="D79" s="54">
        <v>0.25</v>
      </c>
      <c r="E79" s="54">
        <v>0</v>
      </c>
    </row>
    <row r="80" spans="1:5" x14ac:dyDescent="0.25">
      <c r="A80" s="55" t="s">
        <v>4346</v>
      </c>
      <c r="B80" s="54">
        <v>0.25</v>
      </c>
      <c r="C80" s="54">
        <v>0.5</v>
      </c>
      <c r="D80" s="54">
        <v>0.25</v>
      </c>
      <c r="E80" s="54">
        <v>0</v>
      </c>
    </row>
    <row r="81" spans="1:5" x14ac:dyDescent="0.25">
      <c r="A81" s="55" t="s">
        <v>4428</v>
      </c>
      <c r="B81" s="54">
        <v>1</v>
      </c>
      <c r="C81" s="54">
        <v>0</v>
      </c>
      <c r="D81" s="54">
        <v>0</v>
      </c>
      <c r="E81" s="54">
        <v>0</v>
      </c>
    </row>
    <row r="82" spans="1:5" x14ac:dyDescent="0.25">
      <c r="A82" s="55" t="s">
        <v>4743</v>
      </c>
      <c r="B82" s="54">
        <v>1</v>
      </c>
      <c r="C82" s="54">
        <v>0</v>
      </c>
      <c r="D82" s="54">
        <v>0</v>
      </c>
      <c r="E82" s="54">
        <v>0</v>
      </c>
    </row>
    <row r="83" spans="1:5" x14ac:dyDescent="0.25">
      <c r="A83" s="55" t="s">
        <v>6024</v>
      </c>
      <c r="B83" s="54">
        <v>0</v>
      </c>
      <c r="C83" s="54">
        <v>0.5714285714285714</v>
      </c>
      <c r="D83" s="54">
        <v>0.42857142857142855</v>
      </c>
      <c r="E83" s="54">
        <v>0</v>
      </c>
    </row>
    <row r="84" spans="1:5" x14ac:dyDescent="0.25">
      <c r="A84" s="55" t="s">
        <v>6105</v>
      </c>
      <c r="B84" s="54">
        <v>0.1</v>
      </c>
      <c r="C84" s="54">
        <v>0.8</v>
      </c>
      <c r="D84" s="54">
        <v>0.1</v>
      </c>
      <c r="E84" s="54">
        <v>0</v>
      </c>
    </row>
    <row r="85" spans="1:5" x14ac:dyDescent="0.25">
      <c r="A85" s="55" t="s">
        <v>6805</v>
      </c>
      <c r="B85" s="54">
        <v>0.33333333333333331</v>
      </c>
      <c r="C85" s="54">
        <v>0.33333333333333331</v>
      </c>
      <c r="D85" s="54">
        <v>0.33333333333333331</v>
      </c>
      <c r="E85" s="54">
        <v>0</v>
      </c>
    </row>
    <row r="86" spans="1:5" x14ac:dyDescent="0.25">
      <c r="A86" s="55" t="s">
        <v>7083</v>
      </c>
      <c r="B86" s="54">
        <v>0.33333333333333331</v>
      </c>
      <c r="C86" s="54">
        <v>0.66666666666666663</v>
      </c>
      <c r="D86" s="54">
        <v>0</v>
      </c>
      <c r="E86" s="54">
        <v>0</v>
      </c>
    </row>
    <row r="87" spans="1:5" x14ac:dyDescent="0.25">
      <c r="A87" s="55" t="s">
        <v>7194</v>
      </c>
      <c r="B87" s="54">
        <v>1</v>
      </c>
      <c r="C87" s="54">
        <v>0</v>
      </c>
      <c r="D87" s="54">
        <v>0</v>
      </c>
      <c r="E87" s="54">
        <v>0</v>
      </c>
    </row>
    <row r="88" spans="1:5" x14ac:dyDescent="0.25">
      <c r="A88" s="55" t="s">
        <v>8140</v>
      </c>
      <c r="B88" s="54">
        <v>0.33333333333333331</v>
      </c>
      <c r="C88" s="54">
        <v>0</v>
      </c>
      <c r="D88" s="54">
        <v>0.66666666666666663</v>
      </c>
      <c r="E88" s="54">
        <v>0</v>
      </c>
    </row>
    <row r="89" spans="1:5" x14ac:dyDescent="0.25">
      <c r="A89" s="55" t="s">
        <v>8180</v>
      </c>
      <c r="B89" s="54">
        <v>0</v>
      </c>
      <c r="C89" s="54">
        <v>1</v>
      </c>
      <c r="D89" s="54">
        <v>0</v>
      </c>
      <c r="E89" s="54">
        <v>0</v>
      </c>
    </row>
    <row r="90" spans="1:5" x14ac:dyDescent="0.25">
      <c r="A90" s="55" t="s">
        <v>9020</v>
      </c>
      <c r="B90" s="54">
        <v>0</v>
      </c>
      <c r="C90" s="54">
        <v>1</v>
      </c>
      <c r="D90" s="54">
        <v>0</v>
      </c>
      <c r="E90" s="54">
        <v>0</v>
      </c>
    </row>
    <row r="91" spans="1:5" x14ac:dyDescent="0.25">
      <c r="A91" s="55" t="s">
        <v>9409</v>
      </c>
      <c r="B91" s="54">
        <v>1</v>
      </c>
      <c r="C91" s="54">
        <v>0</v>
      </c>
      <c r="D91" s="54">
        <v>0</v>
      </c>
      <c r="E91" s="54">
        <v>0</v>
      </c>
    </row>
    <row r="92" spans="1:5" x14ac:dyDescent="0.25">
      <c r="A92" s="55" t="s">
        <v>10350</v>
      </c>
      <c r="B92" s="54">
        <v>0</v>
      </c>
      <c r="C92" s="54">
        <v>1</v>
      </c>
      <c r="D92" s="54">
        <v>0</v>
      </c>
      <c r="E92" s="54">
        <v>0</v>
      </c>
    </row>
    <row r="93" spans="1:5" x14ac:dyDescent="0.25">
      <c r="A93" s="55" t="s">
        <v>10558</v>
      </c>
      <c r="B93" s="54">
        <v>0</v>
      </c>
      <c r="C93" s="54">
        <v>0.8571428571428571</v>
      </c>
      <c r="D93" s="54">
        <v>0.14285714285714285</v>
      </c>
      <c r="E93" s="54">
        <v>0</v>
      </c>
    </row>
    <row r="94" spans="1:5" x14ac:dyDescent="0.25">
      <c r="A94" s="55" t="s">
        <v>11664</v>
      </c>
      <c r="B94" s="54" t="e">
        <v>#DIV/0!</v>
      </c>
      <c r="C94" s="54" t="e">
        <v>#DIV/0!</v>
      </c>
      <c r="D94" s="54" t="e">
        <v>#DIV/0!</v>
      </c>
      <c r="E94" s="54" t="e">
        <v>#DIV/0!</v>
      </c>
    </row>
    <row r="95" spans="1:5" x14ac:dyDescent="0.25">
      <c r="A95" s="55" t="s">
        <v>11693</v>
      </c>
      <c r="B95" s="54">
        <v>0.25</v>
      </c>
      <c r="C95" s="54">
        <v>0.375</v>
      </c>
      <c r="D95" s="54">
        <v>0.375</v>
      </c>
      <c r="E95" s="54">
        <v>0</v>
      </c>
    </row>
    <row r="96" spans="1:5" x14ac:dyDescent="0.25">
      <c r="A96" s="55" t="s">
        <v>12654</v>
      </c>
      <c r="B96" s="54">
        <v>1</v>
      </c>
      <c r="C96" s="54">
        <v>0</v>
      </c>
      <c r="D96" s="54">
        <v>0</v>
      </c>
      <c r="E96" s="54">
        <v>0</v>
      </c>
    </row>
    <row r="97" spans="1:5" x14ac:dyDescent="0.25">
      <c r="A97" s="55" t="s">
        <v>12907</v>
      </c>
      <c r="B97" s="54">
        <v>0.875</v>
      </c>
      <c r="C97" s="54">
        <v>0.125</v>
      </c>
      <c r="D97" s="54">
        <v>0</v>
      </c>
      <c r="E97" s="54">
        <v>0</v>
      </c>
    </row>
    <row r="98" spans="1:5" x14ac:dyDescent="0.25">
      <c r="A98" s="55" t="s">
        <v>13710</v>
      </c>
      <c r="B98" s="54">
        <v>0.125</v>
      </c>
      <c r="C98" s="54">
        <v>0.625</v>
      </c>
      <c r="D98" s="54">
        <v>0.25</v>
      </c>
      <c r="E98" s="54">
        <v>0</v>
      </c>
    </row>
    <row r="99" spans="1:5" x14ac:dyDescent="0.25">
      <c r="A99" s="55" t="s">
        <v>13783</v>
      </c>
      <c r="B99" s="54">
        <v>1</v>
      </c>
      <c r="C99" s="54">
        <v>0</v>
      </c>
      <c r="D99" s="54">
        <v>0</v>
      </c>
      <c r="E99" s="54">
        <v>0</v>
      </c>
    </row>
    <row r="100" spans="1:5" x14ac:dyDescent="0.25">
      <c r="A100" s="50" t="s">
        <v>14281</v>
      </c>
      <c r="B100" s="54">
        <v>0.36585365853658536</v>
      </c>
      <c r="C100" s="54">
        <v>0.45121951219512196</v>
      </c>
      <c r="D100" s="54">
        <v>0.18292682926829268</v>
      </c>
      <c r="E100" s="54">
        <v>0</v>
      </c>
    </row>
    <row r="101" spans="1:5" x14ac:dyDescent="0.25">
      <c r="A101" s="50" t="s">
        <v>12970</v>
      </c>
      <c r="B101" s="54"/>
      <c r="C101" s="54"/>
      <c r="D101" s="54"/>
      <c r="E101" s="54"/>
    </row>
    <row r="102" spans="1:5" x14ac:dyDescent="0.25">
      <c r="A102" s="55" t="s">
        <v>12969</v>
      </c>
      <c r="B102" s="54">
        <v>0</v>
      </c>
      <c r="C102" s="54">
        <v>1</v>
      </c>
      <c r="D102" s="54">
        <v>0</v>
      </c>
      <c r="E102" s="54">
        <v>0</v>
      </c>
    </row>
    <row r="103" spans="1:5" x14ac:dyDescent="0.25">
      <c r="A103" s="50" t="s">
        <v>14282</v>
      </c>
      <c r="B103" s="54">
        <v>0</v>
      </c>
      <c r="C103" s="54">
        <v>1</v>
      </c>
      <c r="D103" s="54">
        <v>0</v>
      </c>
      <c r="E103" s="54">
        <v>0</v>
      </c>
    </row>
    <row r="104" spans="1:5" x14ac:dyDescent="0.25">
      <c r="A104" s="50" t="s">
        <v>14272</v>
      </c>
      <c r="B104" s="54">
        <v>0.37062937062937062</v>
      </c>
      <c r="C104" s="54">
        <v>0.49883449883449882</v>
      </c>
      <c r="D104" s="54">
        <v>0.13053613053613053</v>
      </c>
      <c r="E104" s="54">
        <v>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Y311"/>
  <sheetViews>
    <sheetView topLeftCell="A98" workbookViewId="0">
      <selection activeCell="A106" sqref="A106"/>
    </sheetView>
  </sheetViews>
  <sheetFormatPr defaultColWidth="13" defaultRowHeight="15" x14ac:dyDescent="0.25"/>
  <cols>
    <col min="1" max="1" width="36.28515625" style="84" customWidth="1"/>
    <col min="2" max="2" width="8.5703125" style="84" customWidth="1"/>
    <col min="3" max="3" width="12" style="84" customWidth="1"/>
    <col min="4" max="4" width="12.5703125" style="84" customWidth="1"/>
    <col min="5" max="5" width="12.5703125" style="85" customWidth="1"/>
    <col min="6" max="6" width="12.5703125" style="84" customWidth="1"/>
    <col min="7" max="7" width="8.5703125" style="85" customWidth="1"/>
    <col min="8" max="8" width="13.140625" style="85" customWidth="1"/>
    <col min="9" max="9" width="14.5703125" style="84" customWidth="1"/>
    <col min="10" max="10" width="12.28515625" style="84" customWidth="1"/>
    <col min="11" max="12" width="13.7109375" style="85" customWidth="1"/>
    <col min="13" max="13" width="12.140625" style="84" customWidth="1"/>
    <col min="14" max="15" width="12.5703125" style="85" customWidth="1"/>
    <col min="16" max="16" width="13.140625" style="84" customWidth="1"/>
    <col min="17" max="18" width="13.7109375" style="85" customWidth="1"/>
    <col min="19" max="19" width="9.7109375" style="84" customWidth="1"/>
    <col min="20" max="20" width="12.7109375" style="85" customWidth="1"/>
    <col min="21" max="21" width="13.140625" style="85" customWidth="1"/>
    <col min="22" max="22" width="16.7109375" style="84" customWidth="1"/>
    <col min="23" max="23" width="22.28515625" style="84" customWidth="1"/>
    <col min="24" max="25" width="102.140625" style="84" customWidth="1"/>
    <col min="26" max="16384" width="13" style="84"/>
  </cols>
  <sheetData>
    <row r="3" spans="1:25" s="86" customFormat="1" ht="120" x14ac:dyDescent="0.25">
      <c r="A3" s="86" t="s">
        <v>14472</v>
      </c>
      <c r="B3" s="86" t="s">
        <v>14473</v>
      </c>
      <c r="C3" s="86" t="s">
        <v>14303</v>
      </c>
      <c r="D3" s="86" t="s">
        <v>14475</v>
      </c>
      <c r="E3" s="87" t="s">
        <v>14304</v>
      </c>
      <c r="F3" s="88" t="s">
        <v>14476</v>
      </c>
      <c r="G3" s="86" t="s">
        <v>14477</v>
      </c>
      <c r="H3" s="87" t="s">
        <v>14478</v>
      </c>
      <c r="I3" s="87" t="s">
        <v>14479</v>
      </c>
      <c r="J3" s="86" t="s">
        <v>14480</v>
      </c>
      <c r="K3" s="87" t="s">
        <v>14481</v>
      </c>
      <c r="L3" s="87" t="s">
        <v>14482</v>
      </c>
      <c r="M3" s="86" t="s">
        <v>14483</v>
      </c>
      <c r="N3" s="87" t="s">
        <v>14484</v>
      </c>
      <c r="O3" s="87" t="s">
        <v>14485</v>
      </c>
      <c r="P3" s="86" t="s">
        <v>14486</v>
      </c>
      <c r="Q3" s="87" t="s">
        <v>14487</v>
      </c>
      <c r="R3" s="87" t="s">
        <v>14488</v>
      </c>
      <c r="S3" s="86" t="s">
        <v>14489</v>
      </c>
      <c r="T3" s="87" t="s">
        <v>14490</v>
      </c>
      <c r="U3" s="87" t="s">
        <v>14491</v>
      </c>
      <c r="V3" s="84" t="s">
        <v>14492</v>
      </c>
      <c r="W3" s="84" t="s">
        <v>14493</v>
      </c>
      <c r="X3" s="84"/>
      <c r="Y3" s="84"/>
    </row>
    <row r="4" spans="1:25" x14ac:dyDescent="0.25">
      <c r="A4" s="89" t="s">
        <v>14494</v>
      </c>
      <c r="B4" s="90">
        <v>329</v>
      </c>
      <c r="C4" s="90">
        <v>56738386</v>
      </c>
      <c r="D4" s="91">
        <v>0.61864802823615272</v>
      </c>
      <c r="E4" s="90">
        <v>171258679</v>
      </c>
      <c r="F4" s="91">
        <v>0.57351556409181614</v>
      </c>
      <c r="G4" s="84">
        <v>92</v>
      </c>
      <c r="H4" s="90">
        <v>1990230</v>
      </c>
      <c r="I4" s="90">
        <v>11761485</v>
      </c>
      <c r="J4" s="84">
        <v>69</v>
      </c>
      <c r="K4" s="90">
        <v>47161498</v>
      </c>
      <c r="L4" s="90">
        <v>51996334</v>
      </c>
      <c r="M4" s="84">
        <v>68</v>
      </c>
      <c r="N4" s="90">
        <v>495445</v>
      </c>
      <c r="O4" s="90">
        <v>1443706</v>
      </c>
      <c r="P4" s="84">
        <v>165</v>
      </c>
      <c r="Q4" s="90">
        <v>19146750</v>
      </c>
      <c r="R4" s="90">
        <v>6539104</v>
      </c>
      <c r="S4" s="84">
        <v>102</v>
      </c>
      <c r="T4" s="90">
        <v>331759.04179872334</v>
      </c>
      <c r="U4" s="90">
        <v>1218338.871932822</v>
      </c>
      <c r="V4" s="84">
        <v>270</v>
      </c>
      <c r="W4" s="84">
        <v>94061078</v>
      </c>
    </row>
    <row r="5" spans="1:25" x14ac:dyDescent="0.25">
      <c r="A5" s="92" t="s">
        <v>305</v>
      </c>
      <c r="B5" s="90">
        <v>28</v>
      </c>
      <c r="C5" s="90">
        <v>567542</v>
      </c>
      <c r="D5" s="91">
        <v>0.7688183120626354</v>
      </c>
      <c r="E5" s="90">
        <v>417085</v>
      </c>
      <c r="F5" s="91">
        <v>0.66869349887291207</v>
      </c>
      <c r="G5" s="84">
        <v>13</v>
      </c>
      <c r="H5" s="90">
        <v>532020</v>
      </c>
      <c r="I5" s="90">
        <v>216356</v>
      </c>
      <c r="J5" s="84">
        <v>1</v>
      </c>
      <c r="K5" s="90">
        <v>7000</v>
      </c>
      <c r="L5" s="90">
        <v>21000</v>
      </c>
      <c r="M5" s="84">
        <v>4</v>
      </c>
      <c r="N5" s="90">
        <v>32217</v>
      </c>
      <c r="O5" s="90">
        <v>199176</v>
      </c>
      <c r="P5" s="84">
        <v>16</v>
      </c>
      <c r="Q5" s="90">
        <v>264695</v>
      </c>
      <c r="R5" s="90">
        <v>274725</v>
      </c>
      <c r="S5" s="84">
        <v>11</v>
      </c>
      <c r="T5" s="90">
        <v>32757.392121741737</v>
      </c>
      <c r="U5" s="90">
        <v>191444.54489938155</v>
      </c>
      <c r="V5" s="84">
        <v>19</v>
      </c>
      <c r="W5" s="84">
        <v>551259</v>
      </c>
    </row>
    <row r="6" spans="1:25" x14ac:dyDescent="0.25">
      <c r="A6" s="92" t="s">
        <v>14345</v>
      </c>
      <c r="B6" s="90">
        <v>1</v>
      </c>
      <c r="C6" s="90">
        <v>50</v>
      </c>
      <c r="D6" s="91">
        <v>0.6</v>
      </c>
      <c r="E6" s="90">
        <v>0</v>
      </c>
      <c r="F6" s="91" t="e">
        <v>#DIV/0!</v>
      </c>
      <c r="G6" s="84">
        <v>1</v>
      </c>
      <c r="H6" s="90">
        <v>0</v>
      </c>
      <c r="I6" s="90">
        <v>0</v>
      </c>
      <c r="J6" s="84">
        <v>1</v>
      </c>
      <c r="K6" s="90">
        <v>50</v>
      </c>
      <c r="L6" s="90">
        <v>0</v>
      </c>
      <c r="M6" s="84">
        <v>1</v>
      </c>
      <c r="N6" s="90">
        <v>50</v>
      </c>
      <c r="O6" s="90">
        <v>0</v>
      </c>
      <c r="P6" s="84">
        <v>0</v>
      </c>
      <c r="Q6" s="90">
        <v>0</v>
      </c>
      <c r="R6" s="90">
        <v>0</v>
      </c>
      <c r="S6" s="84">
        <v>0</v>
      </c>
      <c r="T6" s="90">
        <v>0</v>
      </c>
      <c r="U6" s="90">
        <v>0</v>
      </c>
      <c r="V6" s="84">
        <v>1</v>
      </c>
      <c r="W6" s="84">
        <v>0</v>
      </c>
    </row>
    <row r="7" spans="1:25" x14ac:dyDescent="0.25">
      <c r="A7" s="92" t="s">
        <v>652</v>
      </c>
      <c r="B7" s="90">
        <v>44</v>
      </c>
      <c r="C7" s="90">
        <v>13068519</v>
      </c>
      <c r="D7" s="91">
        <v>0.5812310903779031</v>
      </c>
      <c r="E7" s="90">
        <v>37619839</v>
      </c>
      <c r="F7" s="91">
        <v>0.51851272219835087</v>
      </c>
      <c r="G7" s="84">
        <v>12</v>
      </c>
      <c r="H7" s="90">
        <v>412001</v>
      </c>
      <c r="I7" s="90">
        <v>201017</v>
      </c>
      <c r="J7" s="84">
        <v>13</v>
      </c>
      <c r="K7" s="90">
        <v>7556549</v>
      </c>
      <c r="L7" s="90">
        <v>19606749</v>
      </c>
      <c r="M7" s="84">
        <v>15</v>
      </c>
      <c r="N7" s="90">
        <v>151883</v>
      </c>
      <c r="O7" s="90">
        <v>551114</v>
      </c>
      <c r="P7" s="84">
        <v>29</v>
      </c>
      <c r="Q7" s="90">
        <v>3575401</v>
      </c>
      <c r="R7" s="90">
        <v>1334064</v>
      </c>
      <c r="S7" s="84">
        <v>20</v>
      </c>
      <c r="T7" s="90">
        <v>173328.82300884955</v>
      </c>
      <c r="U7" s="90">
        <v>568493.00594883994</v>
      </c>
      <c r="V7" s="84">
        <v>40</v>
      </c>
      <c r="W7" s="84">
        <v>46267127</v>
      </c>
    </row>
    <row r="8" spans="1:25" x14ac:dyDescent="0.25">
      <c r="A8" s="92" t="s">
        <v>2092</v>
      </c>
      <c r="B8" s="90">
        <v>31</v>
      </c>
      <c r="C8" s="90">
        <v>148874</v>
      </c>
      <c r="D8" s="91">
        <v>0.57830030780677344</v>
      </c>
      <c r="E8" s="90">
        <v>370891</v>
      </c>
      <c r="F8" s="91">
        <v>0.57566531600708426</v>
      </c>
      <c r="G8" s="84">
        <v>1</v>
      </c>
      <c r="H8" s="90">
        <v>880</v>
      </c>
      <c r="I8" s="90">
        <v>3960</v>
      </c>
      <c r="J8" s="84">
        <v>8</v>
      </c>
      <c r="K8" s="90">
        <v>50443</v>
      </c>
      <c r="L8" s="90">
        <v>137371</v>
      </c>
      <c r="M8" s="84">
        <v>6</v>
      </c>
      <c r="N8" s="90">
        <v>47874</v>
      </c>
      <c r="O8" s="90">
        <v>27768</v>
      </c>
      <c r="P8" s="84">
        <v>10</v>
      </c>
      <c r="Q8" s="90">
        <v>10865</v>
      </c>
      <c r="R8" s="90">
        <v>14237</v>
      </c>
      <c r="S8" s="84">
        <v>9</v>
      </c>
      <c r="T8" s="90">
        <v>41809</v>
      </c>
      <c r="U8" s="90">
        <v>57125</v>
      </c>
      <c r="V8" s="84">
        <v>23</v>
      </c>
      <c r="W8" s="84">
        <v>323163</v>
      </c>
    </row>
    <row r="9" spans="1:25" x14ac:dyDescent="0.25">
      <c r="A9" s="92" t="s">
        <v>4268</v>
      </c>
      <c r="B9" s="90">
        <v>2</v>
      </c>
      <c r="C9" s="90">
        <v>28872</v>
      </c>
      <c r="D9" s="91">
        <v>0.47821262917277813</v>
      </c>
      <c r="E9" s="90">
        <v>0</v>
      </c>
      <c r="F9" s="91" t="e">
        <v>#DIV/0!</v>
      </c>
      <c r="G9" s="84">
        <v>2</v>
      </c>
      <c r="H9" s="90">
        <v>28872</v>
      </c>
      <c r="I9" s="90">
        <v>0</v>
      </c>
      <c r="J9" s="84">
        <v>0</v>
      </c>
      <c r="K9" s="90">
        <v>0</v>
      </c>
      <c r="L9" s="90">
        <v>0</v>
      </c>
      <c r="M9" s="84">
        <v>0</v>
      </c>
      <c r="N9" s="90">
        <v>0</v>
      </c>
      <c r="O9" s="90">
        <v>0</v>
      </c>
      <c r="P9" s="84">
        <v>1</v>
      </c>
      <c r="Q9" s="90">
        <v>18804</v>
      </c>
      <c r="R9" s="90">
        <v>0</v>
      </c>
      <c r="S9" s="84">
        <v>0</v>
      </c>
      <c r="T9" s="90">
        <v>0</v>
      </c>
      <c r="U9" s="90">
        <v>0</v>
      </c>
      <c r="V9" s="84">
        <v>2</v>
      </c>
      <c r="W9" s="84">
        <v>28872</v>
      </c>
    </row>
    <row r="10" spans="1:25" x14ac:dyDescent="0.25">
      <c r="A10" s="92" t="s">
        <v>5300</v>
      </c>
      <c r="B10" s="90">
        <v>48</v>
      </c>
      <c r="C10" s="90">
        <v>39847921</v>
      </c>
      <c r="D10" s="91">
        <v>0.67723623699410862</v>
      </c>
      <c r="E10" s="90">
        <v>116539369</v>
      </c>
      <c r="F10" s="91">
        <v>0.57158029786638231</v>
      </c>
      <c r="G10" s="84">
        <v>10</v>
      </c>
      <c r="H10" s="90">
        <v>61369</v>
      </c>
      <c r="I10" s="90">
        <v>9614678</v>
      </c>
      <c r="J10" s="84">
        <v>11</v>
      </c>
      <c r="K10" s="90">
        <v>39273609</v>
      </c>
      <c r="L10" s="90">
        <v>31558026</v>
      </c>
      <c r="M10" s="84">
        <v>4</v>
      </c>
      <c r="N10" s="90">
        <v>14574</v>
      </c>
      <c r="O10" s="90">
        <v>52000</v>
      </c>
      <c r="P10" s="84">
        <v>20</v>
      </c>
      <c r="Q10" s="90">
        <v>14619266</v>
      </c>
      <c r="R10" s="90">
        <v>3344375</v>
      </c>
      <c r="S10" s="84">
        <v>10</v>
      </c>
      <c r="T10" s="90">
        <v>34393</v>
      </c>
      <c r="U10" s="90">
        <v>153149.33333333331</v>
      </c>
      <c r="V10" s="84">
        <v>36</v>
      </c>
      <c r="W10" s="84">
        <v>42172916</v>
      </c>
    </row>
    <row r="11" spans="1:25" x14ac:dyDescent="0.25">
      <c r="A11" s="92" t="s">
        <v>5932</v>
      </c>
      <c r="B11" s="90">
        <v>10</v>
      </c>
      <c r="C11" s="90">
        <v>39230</v>
      </c>
      <c r="D11" s="91">
        <v>0.64905990305761863</v>
      </c>
      <c r="E11" s="90">
        <v>150467</v>
      </c>
      <c r="F11" s="91">
        <v>0.53975464293439634</v>
      </c>
      <c r="G11" s="84">
        <v>2</v>
      </c>
      <c r="H11" s="90">
        <v>48</v>
      </c>
      <c r="I11" s="90">
        <v>0</v>
      </c>
      <c r="J11" s="84">
        <v>2</v>
      </c>
      <c r="K11" s="90">
        <v>25</v>
      </c>
      <c r="L11" s="90">
        <v>24</v>
      </c>
      <c r="M11" s="84">
        <v>2</v>
      </c>
      <c r="N11" s="90">
        <v>25</v>
      </c>
      <c r="O11" s="90">
        <v>24</v>
      </c>
      <c r="P11" s="84">
        <v>10</v>
      </c>
      <c r="Q11" s="90">
        <v>725</v>
      </c>
      <c r="R11" s="90">
        <v>86904</v>
      </c>
      <c r="S11" s="84">
        <v>7</v>
      </c>
      <c r="T11" s="90">
        <v>2445</v>
      </c>
      <c r="U11" s="90">
        <v>49602.129045002701</v>
      </c>
      <c r="V11" s="84">
        <v>10</v>
      </c>
      <c r="W11" s="84">
        <v>41437</v>
      </c>
    </row>
    <row r="12" spans="1:25" x14ac:dyDescent="0.25">
      <c r="A12" s="92" t="s">
        <v>14402</v>
      </c>
      <c r="B12" s="90">
        <v>1</v>
      </c>
      <c r="C12" s="90">
        <v>0</v>
      </c>
      <c r="D12" s="91" t="e">
        <v>#DIV/0!</v>
      </c>
      <c r="E12" s="90">
        <v>0</v>
      </c>
      <c r="F12" s="91" t="e">
        <v>#DIV/0!</v>
      </c>
      <c r="G12" s="84">
        <v>1</v>
      </c>
      <c r="H12" s="90">
        <v>0</v>
      </c>
      <c r="I12" s="90">
        <v>0</v>
      </c>
      <c r="J12" s="84">
        <v>0</v>
      </c>
      <c r="K12" s="90">
        <v>0</v>
      </c>
      <c r="L12" s="90">
        <v>0</v>
      </c>
      <c r="M12" s="84">
        <v>1</v>
      </c>
      <c r="N12" s="90">
        <v>0</v>
      </c>
      <c r="O12" s="90">
        <v>0</v>
      </c>
      <c r="P12" s="84">
        <v>0</v>
      </c>
      <c r="Q12" s="90">
        <v>0</v>
      </c>
      <c r="R12" s="90">
        <v>0</v>
      </c>
      <c r="S12" s="84">
        <v>0</v>
      </c>
      <c r="T12" s="90">
        <v>0</v>
      </c>
      <c r="U12" s="90">
        <v>0</v>
      </c>
      <c r="V12" s="84">
        <v>1</v>
      </c>
      <c r="W12" s="84">
        <v>0</v>
      </c>
    </row>
    <row r="13" spans="1:25" x14ac:dyDescent="0.25">
      <c r="A13" s="92" t="s">
        <v>6850</v>
      </c>
      <c r="B13" s="90">
        <v>15</v>
      </c>
      <c r="C13" s="90">
        <v>27024</v>
      </c>
      <c r="D13" s="91">
        <v>0.59418922533865492</v>
      </c>
      <c r="E13" s="90">
        <v>109943</v>
      </c>
      <c r="F13" s="91">
        <v>0.61362717568236058</v>
      </c>
      <c r="G13" s="84">
        <v>0</v>
      </c>
      <c r="H13" s="90">
        <v>0</v>
      </c>
      <c r="I13" s="90">
        <v>0</v>
      </c>
      <c r="J13" s="84">
        <v>4</v>
      </c>
      <c r="K13" s="90">
        <v>7454</v>
      </c>
      <c r="L13" s="90">
        <v>27757</v>
      </c>
      <c r="M13" s="84">
        <v>3</v>
      </c>
      <c r="N13" s="90">
        <v>4138</v>
      </c>
      <c r="O13" s="90">
        <v>13476</v>
      </c>
      <c r="P13" s="84">
        <v>10</v>
      </c>
      <c r="Q13" s="90">
        <v>17980</v>
      </c>
      <c r="R13" s="90">
        <v>73844</v>
      </c>
      <c r="S13" s="84">
        <v>6</v>
      </c>
      <c r="T13" s="90">
        <v>8136</v>
      </c>
      <c r="U13" s="90">
        <v>21949</v>
      </c>
      <c r="V13" s="84">
        <v>14</v>
      </c>
      <c r="W13" s="84">
        <v>75059</v>
      </c>
    </row>
    <row r="14" spans="1:25" x14ac:dyDescent="0.25">
      <c r="A14" s="92" t="s">
        <v>8444</v>
      </c>
      <c r="B14" s="90">
        <v>12</v>
      </c>
      <c r="C14" s="90">
        <v>160351</v>
      </c>
      <c r="D14" s="91">
        <v>0.6561834637573607</v>
      </c>
      <c r="E14" s="90">
        <v>362369</v>
      </c>
      <c r="F14" s="91">
        <v>0.82229545352267108</v>
      </c>
      <c r="G14" s="84">
        <v>0</v>
      </c>
      <c r="H14" s="90">
        <v>0</v>
      </c>
      <c r="I14" s="90">
        <v>0</v>
      </c>
      <c r="J14" s="84">
        <v>3</v>
      </c>
      <c r="K14" s="90">
        <v>40456</v>
      </c>
      <c r="L14" s="90">
        <v>6328</v>
      </c>
      <c r="M14" s="84">
        <v>4</v>
      </c>
      <c r="N14" s="90">
        <v>77045</v>
      </c>
      <c r="O14" s="90">
        <v>163598</v>
      </c>
      <c r="P14" s="84">
        <v>7</v>
      </c>
      <c r="Q14" s="90">
        <v>39681</v>
      </c>
      <c r="R14" s="90">
        <v>0</v>
      </c>
      <c r="S14" s="84">
        <v>5</v>
      </c>
      <c r="T14" s="90">
        <v>6206.3407609810783</v>
      </c>
      <c r="U14" s="90">
        <v>0</v>
      </c>
      <c r="V14" s="84">
        <v>11</v>
      </c>
      <c r="W14" s="84">
        <v>308597</v>
      </c>
    </row>
    <row r="15" spans="1:25" x14ac:dyDescent="0.25">
      <c r="A15" s="92" t="s">
        <v>8647</v>
      </c>
      <c r="B15" s="90">
        <v>41</v>
      </c>
      <c r="C15" s="90">
        <v>997355</v>
      </c>
      <c r="D15" s="91">
        <v>0.61158729328208616</v>
      </c>
      <c r="E15" s="90">
        <v>388948</v>
      </c>
      <c r="F15" s="91">
        <v>0.66408487293546237</v>
      </c>
      <c r="G15" s="84">
        <v>22</v>
      </c>
      <c r="H15" s="90">
        <v>630510</v>
      </c>
      <c r="I15" s="90">
        <v>77066</v>
      </c>
      <c r="J15" s="84">
        <v>8</v>
      </c>
      <c r="K15" s="90">
        <v>121636</v>
      </c>
      <c r="L15" s="90">
        <v>51001</v>
      </c>
      <c r="M15" s="84">
        <v>14</v>
      </c>
      <c r="N15" s="90">
        <v>79364</v>
      </c>
      <c r="O15" s="90">
        <v>974</v>
      </c>
      <c r="P15" s="84">
        <v>15</v>
      </c>
      <c r="Q15" s="90">
        <v>286598</v>
      </c>
      <c r="R15" s="90">
        <v>173694</v>
      </c>
      <c r="S15" s="84">
        <v>8</v>
      </c>
      <c r="T15" s="90">
        <v>7978.3806123297036</v>
      </c>
      <c r="U15" s="90">
        <v>655.69965104685946</v>
      </c>
      <c r="V15" s="84">
        <v>39</v>
      </c>
      <c r="W15" s="84">
        <v>2864883</v>
      </c>
    </row>
    <row r="16" spans="1:25" x14ac:dyDescent="0.25">
      <c r="A16" s="92" t="s">
        <v>9427</v>
      </c>
      <c r="B16" s="90">
        <v>14</v>
      </c>
      <c r="C16" s="90">
        <v>148191</v>
      </c>
      <c r="D16" s="91">
        <v>0.63844931974160646</v>
      </c>
      <c r="E16" s="90">
        <v>1015378</v>
      </c>
      <c r="F16" s="91">
        <v>0.62429695294889465</v>
      </c>
      <c r="G16" s="84">
        <v>5</v>
      </c>
      <c r="H16" s="90">
        <v>113921</v>
      </c>
      <c r="I16" s="90">
        <v>876498</v>
      </c>
      <c r="J16" s="84">
        <v>5</v>
      </c>
      <c r="K16" s="90">
        <v>82292</v>
      </c>
      <c r="L16" s="90">
        <v>554592</v>
      </c>
      <c r="M16" s="84">
        <v>0</v>
      </c>
      <c r="N16" s="90">
        <v>0</v>
      </c>
      <c r="O16" s="90">
        <v>0</v>
      </c>
      <c r="P16" s="84">
        <v>3</v>
      </c>
      <c r="Q16" s="90">
        <v>11257</v>
      </c>
      <c r="R16" s="90">
        <v>157850</v>
      </c>
      <c r="S16" s="84">
        <v>3</v>
      </c>
      <c r="T16" s="90">
        <v>975</v>
      </c>
      <c r="U16" s="90">
        <v>8462</v>
      </c>
      <c r="V16" s="84">
        <v>11</v>
      </c>
      <c r="W16" s="84">
        <v>190787</v>
      </c>
    </row>
    <row r="17" spans="1:23" x14ac:dyDescent="0.25">
      <c r="A17" s="92" t="s">
        <v>9516</v>
      </c>
      <c r="B17" s="90">
        <v>15</v>
      </c>
      <c r="C17" s="90">
        <v>345898</v>
      </c>
      <c r="D17" s="91">
        <v>0.47220774690922673</v>
      </c>
      <c r="E17" s="90">
        <v>1043965</v>
      </c>
      <c r="F17" s="91">
        <v>0.49425807529698901</v>
      </c>
      <c r="G17" s="84">
        <v>6</v>
      </c>
      <c r="H17" s="90">
        <v>149610</v>
      </c>
      <c r="I17" s="90">
        <v>683400</v>
      </c>
      <c r="J17" s="84">
        <v>4</v>
      </c>
      <c r="K17" s="90">
        <v>11376</v>
      </c>
      <c r="L17" s="90">
        <v>8726</v>
      </c>
      <c r="M17" s="84">
        <v>3</v>
      </c>
      <c r="N17" s="90">
        <v>213</v>
      </c>
      <c r="O17" s="90">
        <v>0</v>
      </c>
      <c r="P17" s="84">
        <v>10</v>
      </c>
      <c r="Q17" s="90">
        <v>98723</v>
      </c>
      <c r="R17" s="90">
        <v>376142</v>
      </c>
      <c r="S17" s="84">
        <v>3</v>
      </c>
      <c r="T17" s="90">
        <v>1996</v>
      </c>
      <c r="U17" s="90">
        <v>60000</v>
      </c>
      <c r="V17" s="84">
        <v>14</v>
      </c>
      <c r="W17" s="84">
        <v>355575</v>
      </c>
    </row>
    <row r="18" spans="1:23" x14ac:dyDescent="0.25">
      <c r="A18" s="92" t="s">
        <v>10263</v>
      </c>
      <c r="B18" s="90">
        <v>5</v>
      </c>
      <c r="C18" s="90">
        <v>104825</v>
      </c>
      <c r="D18" s="91">
        <v>0.48709077128504985</v>
      </c>
      <c r="E18" s="90">
        <v>413402</v>
      </c>
      <c r="F18" s="91">
        <v>0.48628372855937546</v>
      </c>
      <c r="G18" s="84">
        <v>3</v>
      </c>
      <c r="H18" s="90">
        <v>10555</v>
      </c>
      <c r="I18" s="90">
        <v>51030</v>
      </c>
      <c r="J18" s="84">
        <v>0</v>
      </c>
      <c r="K18" s="90">
        <v>0</v>
      </c>
      <c r="L18" s="90">
        <v>0</v>
      </c>
      <c r="M18" s="84">
        <v>0</v>
      </c>
      <c r="N18" s="90">
        <v>0</v>
      </c>
      <c r="O18" s="90">
        <v>0</v>
      </c>
      <c r="P18" s="84">
        <v>5</v>
      </c>
      <c r="Q18" s="90">
        <v>75265</v>
      </c>
      <c r="R18" s="90">
        <v>248387</v>
      </c>
      <c r="S18" s="84">
        <v>4</v>
      </c>
      <c r="T18" s="90">
        <v>18105.035564234895</v>
      </c>
      <c r="U18" s="90">
        <v>96311.159055217737</v>
      </c>
      <c r="V18" s="84">
        <v>5</v>
      </c>
      <c r="W18" s="84">
        <v>406546</v>
      </c>
    </row>
    <row r="19" spans="1:23" x14ac:dyDescent="0.25">
      <c r="A19" s="92" t="s">
        <v>11304</v>
      </c>
      <c r="B19" s="90">
        <v>13</v>
      </c>
      <c r="C19" s="90">
        <v>26061</v>
      </c>
      <c r="D19" s="91">
        <v>0.61987507512978324</v>
      </c>
      <c r="E19" s="90">
        <v>11103520</v>
      </c>
      <c r="F19" s="91">
        <v>0.57069461281259937</v>
      </c>
      <c r="G19" s="84">
        <v>3</v>
      </c>
      <c r="H19" s="90">
        <v>17937</v>
      </c>
      <c r="I19" s="90">
        <v>28369</v>
      </c>
      <c r="J19" s="84">
        <v>0</v>
      </c>
      <c r="K19" s="90">
        <v>0</v>
      </c>
      <c r="L19" s="90">
        <v>0</v>
      </c>
      <c r="M19" s="84">
        <v>4</v>
      </c>
      <c r="N19" s="90">
        <v>200</v>
      </c>
      <c r="O19" s="90">
        <v>23000</v>
      </c>
      <c r="P19" s="84">
        <v>8</v>
      </c>
      <c r="Q19" s="90">
        <v>4722</v>
      </c>
      <c r="R19" s="90">
        <v>12142</v>
      </c>
      <c r="S19" s="84">
        <v>5</v>
      </c>
      <c r="T19" s="90">
        <v>521.06973058637084</v>
      </c>
      <c r="U19" s="90">
        <v>1700</v>
      </c>
      <c r="V19" s="84">
        <v>10</v>
      </c>
      <c r="W19" s="84">
        <v>93149</v>
      </c>
    </row>
    <row r="20" spans="1:23" x14ac:dyDescent="0.25">
      <c r="A20" s="92" t="s">
        <v>12294</v>
      </c>
      <c r="B20" s="90">
        <v>17</v>
      </c>
      <c r="C20" s="90">
        <v>331614</v>
      </c>
      <c r="D20" s="91">
        <v>0.54273386684113023</v>
      </c>
      <c r="E20" s="90">
        <v>301082</v>
      </c>
      <c r="F20" s="91">
        <v>0.522680942799577</v>
      </c>
      <c r="G20" s="84">
        <v>0</v>
      </c>
      <c r="H20" s="90">
        <v>0</v>
      </c>
      <c r="I20" s="90">
        <v>0</v>
      </c>
      <c r="J20" s="84">
        <v>5</v>
      </c>
      <c r="K20" s="90">
        <v>1800</v>
      </c>
      <c r="L20" s="90">
        <v>2300</v>
      </c>
      <c r="M20" s="84">
        <v>1</v>
      </c>
      <c r="N20" s="90">
        <v>400</v>
      </c>
      <c r="O20" s="90">
        <v>700</v>
      </c>
      <c r="P20" s="84">
        <v>2</v>
      </c>
      <c r="Q20" s="90">
        <v>35</v>
      </c>
      <c r="R20" s="90">
        <v>0</v>
      </c>
      <c r="S20" s="84">
        <v>1</v>
      </c>
      <c r="T20" s="90">
        <v>0</v>
      </c>
      <c r="U20" s="90">
        <v>0</v>
      </c>
      <c r="V20" s="84">
        <v>7</v>
      </c>
      <c r="W20" s="84">
        <v>12233</v>
      </c>
    </row>
    <row r="21" spans="1:23" x14ac:dyDescent="0.25">
      <c r="A21" s="92" t="s">
        <v>12547</v>
      </c>
      <c r="B21" s="90">
        <v>9</v>
      </c>
      <c r="C21" s="90">
        <v>815322</v>
      </c>
      <c r="D21" s="91">
        <v>0.50506259634459605</v>
      </c>
      <c r="E21" s="90">
        <v>1259949</v>
      </c>
      <c r="F21" s="91">
        <v>0.48984844850254916</v>
      </c>
      <c r="G21" s="84">
        <v>4</v>
      </c>
      <c r="H21" s="90">
        <v>13225</v>
      </c>
      <c r="I21" s="90">
        <v>4132</v>
      </c>
      <c r="J21" s="84">
        <v>3</v>
      </c>
      <c r="K21" s="90">
        <v>8461</v>
      </c>
      <c r="L21" s="90">
        <v>21766</v>
      </c>
      <c r="M21" s="84">
        <v>1</v>
      </c>
      <c r="N21" s="90">
        <v>85000</v>
      </c>
      <c r="O21" s="90">
        <v>408000</v>
      </c>
      <c r="P21" s="84">
        <v>6</v>
      </c>
      <c r="Q21" s="90">
        <v>95163</v>
      </c>
      <c r="R21" s="90">
        <v>429766</v>
      </c>
      <c r="S21" s="84">
        <v>2</v>
      </c>
      <c r="T21" s="90">
        <v>0</v>
      </c>
      <c r="U21" s="90">
        <v>0</v>
      </c>
      <c r="V21" s="84">
        <v>6</v>
      </c>
      <c r="W21" s="84">
        <v>267107</v>
      </c>
    </row>
    <row r="22" spans="1:23" x14ac:dyDescent="0.25">
      <c r="A22" s="92" t="s">
        <v>13272</v>
      </c>
      <c r="B22" s="90">
        <v>7</v>
      </c>
      <c r="C22" s="90">
        <v>24117</v>
      </c>
      <c r="D22" s="91">
        <v>0.53434130715295947</v>
      </c>
      <c r="E22" s="90">
        <v>54783</v>
      </c>
      <c r="F22" s="91">
        <v>0.54433585452718969</v>
      </c>
      <c r="G22" s="84">
        <v>5</v>
      </c>
      <c r="H22" s="90">
        <v>14551</v>
      </c>
      <c r="I22" s="90">
        <v>4979</v>
      </c>
      <c r="J22" s="84">
        <v>0</v>
      </c>
      <c r="K22" s="90">
        <v>0</v>
      </c>
      <c r="L22" s="90">
        <v>0</v>
      </c>
      <c r="M22" s="84">
        <v>1</v>
      </c>
      <c r="N22" s="90">
        <v>455</v>
      </c>
      <c r="O22" s="90">
        <v>0</v>
      </c>
      <c r="P22" s="84">
        <v>4</v>
      </c>
      <c r="Q22" s="90">
        <v>15392</v>
      </c>
      <c r="R22" s="90">
        <v>50</v>
      </c>
      <c r="S22" s="84">
        <v>1</v>
      </c>
      <c r="T22" s="90">
        <v>0</v>
      </c>
      <c r="U22" s="90">
        <v>0</v>
      </c>
      <c r="V22" s="84">
        <v>7</v>
      </c>
      <c r="W22" s="84">
        <v>37348</v>
      </c>
    </row>
    <row r="23" spans="1:23" x14ac:dyDescent="0.25">
      <c r="A23" s="92" t="s">
        <v>13409</v>
      </c>
      <c r="B23" s="90">
        <v>16</v>
      </c>
      <c r="C23" s="90">
        <v>56620</v>
      </c>
      <c r="D23" s="91">
        <v>0.70899508728214322</v>
      </c>
      <c r="E23" s="90">
        <v>107689</v>
      </c>
      <c r="F23" s="91">
        <v>0.50718326373691058</v>
      </c>
      <c r="G23" s="84">
        <v>2</v>
      </c>
      <c r="H23" s="90">
        <v>4731</v>
      </c>
      <c r="I23" s="90">
        <v>0</v>
      </c>
      <c r="J23" s="84">
        <v>1</v>
      </c>
      <c r="K23" s="90">
        <v>347</v>
      </c>
      <c r="L23" s="90">
        <v>694</v>
      </c>
      <c r="M23" s="84">
        <v>4</v>
      </c>
      <c r="N23" s="90">
        <v>2007</v>
      </c>
      <c r="O23" s="90">
        <v>3876</v>
      </c>
      <c r="P23" s="84">
        <v>9</v>
      </c>
      <c r="Q23" s="90">
        <v>12178</v>
      </c>
      <c r="R23" s="90">
        <v>12924</v>
      </c>
      <c r="S23" s="84">
        <v>7</v>
      </c>
      <c r="T23" s="90">
        <v>3108</v>
      </c>
      <c r="U23" s="90">
        <v>9447</v>
      </c>
      <c r="V23" s="84">
        <v>14</v>
      </c>
      <c r="W23" s="84">
        <v>65020</v>
      </c>
    </row>
    <row r="24" spans="1:23" x14ac:dyDescent="0.25">
      <c r="A24" s="89" t="s">
        <v>1874</v>
      </c>
      <c r="B24" s="90">
        <v>200</v>
      </c>
      <c r="C24" s="90">
        <v>9086533</v>
      </c>
      <c r="D24" s="91">
        <v>0.64040981751409332</v>
      </c>
      <c r="E24" s="90">
        <v>31237244</v>
      </c>
      <c r="F24" s="91">
        <v>0.61838858040956624</v>
      </c>
      <c r="G24" s="84">
        <v>73</v>
      </c>
      <c r="H24" s="90">
        <v>3643292</v>
      </c>
      <c r="I24" s="90">
        <v>2975799</v>
      </c>
      <c r="J24" s="84">
        <v>32</v>
      </c>
      <c r="K24" s="90">
        <v>626957</v>
      </c>
      <c r="L24" s="90">
        <v>2608228</v>
      </c>
      <c r="M24" s="84">
        <v>45</v>
      </c>
      <c r="N24" s="90">
        <v>411225</v>
      </c>
      <c r="O24" s="90">
        <v>4273838</v>
      </c>
      <c r="P24" s="84">
        <v>125</v>
      </c>
      <c r="Q24" s="90">
        <v>2704295</v>
      </c>
      <c r="R24" s="90">
        <v>13010167</v>
      </c>
      <c r="S24" s="84">
        <v>90</v>
      </c>
      <c r="T24" s="90">
        <v>1670049.990650909</v>
      </c>
      <c r="U24" s="90">
        <v>9478600.4665517006</v>
      </c>
      <c r="V24" s="84">
        <v>190</v>
      </c>
      <c r="W24" s="84">
        <v>15064323</v>
      </c>
    </row>
    <row r="25" spans="1:23" x14ac:dyDescent="0.25">
      <c r="A25" s="92" t="s">
        <v>1873</v>
      </c>
      <c r="B25" s="90">
        <v>13</v>
      </c>
      <c r="C25" s="90">
        <v>1803278</v>
      </c>
      <c r="D25" s="91">
        <v>0.68342286501087146</v>
      </c>
      <c r="E25" s="90">
        <v>4208650</v>
      </c>
      <c r="F25" s="91">
        <v>0.68158061964368732</v>
      </c>
      <c r="G25" s="84">
        <v>1</v>
      </c>
      <c r="H25" s="90">
        <v>1240</v>
      </c>
      <c r="I25" s="90">
        <v>7937</v>
      </c>
      <c r="J25" s="84">
        <v>5</v>
      </c>
      <c r="K25" s="90">
        <v>351066</v>
      </c>
      <c r="L25" s="90">
        <v>1797982</v>
      </c>
      <c r="M25" s="84">
        <v>9</v>
      </c>
      <c r="N25" s="90">
        <v>193241</v>
      </c>
      <c r="O25" s="90">
        <v>1126767</v>
      </c>
      <c r="P25" s="84">
        <v>5</v>
      </c>
      <c r="Q25" s="90">
        <v>301545</v>
      </c>
      <c r="R25" s="90">
        <v>302112</v>
      </c>
      <c r="S25" s="84">
        <v>10</v>
      </c>
      <c r="T25" s="90">
        <v>403656</v>
      </c>
      <c r="U25" s="90">
        <v>2106533</v>
      </c>
      <c r="V25" s="84">
        <v>13</v>
      </c>
      <c r="W25" s="84">
        <v>0</v>
      </c>
    </row>
    <row r="26" spans="1:23" x14ac:dyDescent="0.25">
      <c r="A26" s="92" t="s">
        <v>14322</v>
      </c>
      <c r="B26" s="90">
        <v>15</v>
      </c>
      <c r="C26" s="90">
        <v>237408</v>
      </c>
      <c r="D26" s="91">
        <v>0.6708295989639711</v>
      </c>
      <c r="E26" s="90">
        <v>2724226</v>
      </c>
      <c r="F26" s="91">
        <v>0.63199145206110607</v>
      </c>
      <c r="G26" s="84">
        <v>1</v>
      </c>
      <c r="H26" s="90">
        <v>48678</v>
      </c>
      <c r="I26" s="90">
        <v>130878</v>
      </c>
      <c r="J26" s="84">
        <v>5</v>
      </c>
      <c r="K26" s="90">
        <v>26239</v>
      </c>
      <c r="L26" s="90">
        <v>126569</v>
      </c>
      <c r="M26" s="84">
        <v>5</v>
      </c>
      <c r="N26" s="90">
        <v>3115</v>
      </c>
      <c r="O26" s="90">
        <v>13298</v>
      </c>
      <c r="P26" s="84">
        <v>6</v>
      </c>
      <c r="Q26" s="90">
        <v>37914</v>
      </c>
      <c r="R26" s="90">
        <v>8117</v>
      </c>
      <c r="S26" s="84">
        <v>8</v>
      </c>
      <c r="T26" s="90">
        <v>9981.1746411483255</v>
      </c>
      <c r="U26" s="90">
        <v>39580</v>
      </c>
      <c r="V26" s="84">
        <v>14</v>
      </c>
      <c r="W26" s="84">
        <v>453283</v>
      </c>
    </row>
    <row r="27" spans="1:23" x14ac:dyDescent="0.25">
      <c r="A27" s="92" t="s">
        <v>3868</v>
      </c>
      <c r="B27" s="90">
        <v>34</v>
      </c>
      <c r="C27" s="90">
        <v>1603857</v>
      </c>
      <c r="D27" s="91">
        <v>0.62299358381465664</v>
      </c>
      <c r="E27" s="90">
        <v>1975497</v>
      </c>
      <c r="F27" s="91">
        <v>0.58984443479795567</v>
      </c>
      <c r="G27" s="84">
        <v>16</v>
      </c>
      <c r="H27" s="90">
        <v>1182521</v>
      </c>
      <c r="I27" s="90">
        <v>982308</v>
      </c>
      <c r="J27" s="84">
        <v>4</v>
      </c>
      <c r="K27" s="90">
        <v>10154</v>
      </c>
      <c r="L27" s="90">
        <v>0</v>
      </c>
      <c r="M27" s="84">
        <v>2</v>
      </c>
      <c r="N27" s="90">
        <v>1693</v>
      </c>
      <c r="O27" s="90">
        <v>0</v>
      </c>
      <c r="P27" s="84">
        <v>28</v>
      </c>
      <c r="Q27" s="90">
        <v>1167826</v>
      </c>
      <c r="R27" s="90">
        <v>1350718</v>
      </c>
      <c r="S27" s="84">
        <v>12</v>
      </c>
      <c r="T27" s="90">
        <v>108132.37390547369</v>
      </c>
      <c r="U27" s="90">
        <v>316505</v>
      </c>
      <c r="V27" s="84">
        <v>34</v>
      </c>
      <c r="W27" s="84">
        <v>4955059</v>
      </c>
    </row>
    <row r="28" spans="1:23" x14ac:dyDescent="0.25">
      <c r="A28" s="92" t="s">
        <v>6457</v>
      </c>
      <c r="B28" s="90">
        <v>37</v>
      </c>
      <c r="C28" s="90">
        <v>1870808</v>
      </c>
      <c r="D28" s="91">
        <v>0.69592304186527365</v>
      </c>
      <c r="E28" s="90">
        <v>11638509</v>
      </c>
      <c r="F28" s="91">
        <v>0.57687026712515732</v>
      </c>
      <c r="G28" s="84">
        <v>15</v>
      </c>
      <c r="H28" s="90">
        <v>813138</v>
      </c>
      <c r="I28" s="90">
        <v>335466</v>
      </c>
      <c r="J28" s="84">
        <v>6</v>
      </c>
      <c r="K28" s="90">
        <v>197782</v>
      </c>
      <c r="L28" s="90">
        <v>538578</v>
      </c>
      <c r="M28" s="84">
        <v>8</v>
      </c>
      <c r="N28" s="90">
        <v>117248</v>
      </c>
      <c r="O28" s="90">
        <v>411010</v>
      </c>
      <c r="P28" s="84">
        <v>25</v>
      </c>
      <c r="Q28" s="90">
        <v>647450</v>
      </c>
      <c r="R28" s="90">
        <v>10524226</v>
      </c>
      <c r="S28" s="84">
        <v>15</v>
      </c>
      <c r="T28" s="90">
        <v>339011.44210428686</v>
      </c>
      <c r="U28" s="90">
        <v>760718.46655170014</v>
      </c>
      <c r="V28" s="84">
        <v>35</v>
      </c>
      <c r="W28" s="84">
        <v>5301875</v>
      </c>
    </row>
    <row r="29" spans="1:23" x14ac:dyDescent="0.25">
      <c r="A29" s="92" t="s">
        <v>10371</v>
      </c>
      <c r="B29" s="90">
        <v>20</v>
      </c>
      <c r="C29" s="90">
        <v>675860</v>
      </c>
      <c r="D29" s="91">
        <v>0.78968791465112687</v>
      </c>
      <c r="E29" s="90">
        <v>2379845</v>
      </c>
      <c r="F29" s="91">
        <v>0.70405730029804736</v>
      </c>
      <c r="G29" s="84">
        <v>2</v>
      </c>
      <c r="H29" s="90">
        <v>9653</v>
      </c>
      <c r="I29" s="90">
        <v>227</v>
      </c>
      <c r="J29" s="84">
        <v>4</v>
      </c>
      <c r="K29" s="90">
        <v>507</v>
      </c>
      <c r="L29" s="90">
        <v>6249</v>
      </c>
      <c r="M29" s="84">
        <v>9</v>
      </c>
      <c r="N29" s="90">
        <v>24351</v>
      </c>
      <c r="O29" s="90">
        <v>138661</v>
      </c>
      <c r="P29" s="84">
        <v>7</v>
      </c>
      <c r="Q29" s="90">
        <v>21430</v>
      </c>
      <c r="R29" s="90">
        <v>33723</v>
      </c>
      <c r="S29" s="84">
        <v>13</v>
      </c>
      <c r="T29" s="90">
        <v>574528</v>
      </c>
      <c r="U29" s="90">
        <v>1997414</v>
      </c>
      <c r="V29" s="84">
        <v>19</v>
      </c>
      <c r="W29" s="84">
        <v>1273208</v>
      </c>
    </row>
    <row r="30" spans="1:23" x14ac:dyDescent="0.25">
      <c r="A30" s="92" t="s">
        <v>10685</v>
      </c>
      <c r="B30" s="90">
        <v>26</v>
      </c>
      <c r="C30" s="90">
        <v>570944</v>
      </c>
      <c r="D30" s="91">
        <v>0.55161425746045134</v>
      </c>
      <c r="E30" s="90">
        <v>774996</v>
      </c>
      <c r="F30" s="91">
        <v>0.53270121790546532</v>
      </c>
      <c r="G30" s="84">
        <v>13</v>
      </c>
      <c r="H30" s="90">
        <v>280878</v>
      </c>
      <c r="I30" s="90">
        <v>5988</v>
      </c>
      <c r="J30" s="84">
        <v>0</v>
      </c>
      <c r="K30" s="90">
        <v>0</v>
      </c>
      <c r="L30" s="90">
        <v>0</v>
      </c>
      <c r="M30" s="84">
        <v>2</v>
      </c>
      <c r="N30" s="90">
        <v>900</v>
      </c>
      <c r="O30" s="90">
        <v>5400</v>
      </c>
      <c r="P30" s="84">
        <v>18</v>
      </c>
      <c r="Q30" s="90">
        <v>105823</v>
      </c>
      <c r="R30" s="90">
        <v>155424</v>
      </c>
      <c r="S30" s="84">
        <v>6</v>
      </c>
      <c r="T30" s="90">
        <v>28362</v>
      </c>
      <c r="U30" s="90">
        <v>289566</v>
      </c>
      <c r="V30" s="84">
        <v>21</v>
      </c>
      <c r="W30" s="84">
        <v>680917</v>
      </c>
    </row>
    <row r="31" spans="1:23" x14ac:dyDescent="0.25">
      <c r="A31" s="92" t="s">
        <v>11104</v>
      </c>
      <c r="B31" s="90">
        <v>11</v>
      </c>
      <c r="C31" s="90">
        <v>155560</v>
      </c>
      <c r="D31" s="91">
        <v>0.63726085489832041</v>
      </c>
      <c r="E31" s="90">
        <v>322543</v>
      </c>
      <c r="F31" s="91">
        <v>0.61861878956897143</v>
      </c>
      <c r="G31" s="84">
        <v>7</v>
      </c>
      <c r="H31" s="90">
        <v>142548</v>
      </c>
      <c r="I31" s="90">
        <v>322543</v>
      </c>
      <c r="J31" s="84">
        <v>2</v>
      </c>
      <c r="K31" s="90">
        <v>8498</v>
      </c>
      <c r="L31" s="90">
        <v>0</v>
      </c>
      <c r="M31" s="84">
        <v>2</v>
      </c>
      <c r="N31" s="90">
        <v>2740</v>
      </c>
      <c r="O31" s="90">
        <v>0</v>
      </c>
      <c r="P31" s="84">
        <v>9</v>
      </c>
      <c r="Q31" s="90">
        <v>144915</v>
      </c>
      <c r="R31" s="90">
        <v>205551</v>
      </c>
      <c r="S31" s="84">
        <v>2</v>
      </c>
      <c r="T31" s="90">
        <v>360</v>
      </c>
      <c r="U31" s="90">
        <v>0</v>
      </c>
      <c r="V31" s="84">
        <v>11</v>
      </c>
      <c r="W31" s="84">
        <v>163525</v>
      </c>
    </row>
    <row r="32" spans="1:23" x14ac:dyDescent="0.25">
      <c r="A32" s="92" t="s">
        <v>11417</v>
      </c>
      <c r="B32" s="90">
        <v>20</v>
      </c>
      <c r="C32" s="90">
        <v>1404052</v>
      </c>
      <c r="D32" s="91">
        <v>0.56391051282422899</v>
      </c>
      <c r="E32" s="90">
        <v>1862373</v>
      </c>
      <c r="F32" s="91">
        <v>0.54575421982169336</v>
      </c>
      <c r="G32" s="84">
        <v>14</v>
      </c>
      <c r="H32" s="90">
        <v>1108952</v>
      </c>
      <c r="I32" s="90">
        <v>1155355</v>
      </c>
      <c r="J32" s="84">
        <v>1</v>
      </c>
      <c r="K32" s="90">
        <v>3574</v>
      </c>
      <c r="L32" s="90">
        <v>71480</v>
      </c>
      <c r="M32" s="84">
        <v>0</v>
      </c>
      <c r="N32" s="90">
        <v>0</v>
      </c>
      <c r="O32" s="90">
        <v>0</v>
      </c>
      <c r="P32" s="84">
        <v>13</v>
      </c>
      <c r="Q32" s="90">
        <v>128027</v>
      </c>
      <c r="R32" s="90">
        <v>383510</v>
      </c>
      <c r="S32" s="84">
        <v>7</v>
      </c>
      <c r="T32" s="90">
        <v>12180</v>
      </c>
      <c r="U32" s="90">
        <v>112655</v>
      </c>
      <c r="V32" s="84">
        <v>19</v>
      </c>
      <c r="W32" s="84">
        <v>1173207</v>
      </c>
    </row>
    <row r="33" spans="1:23" x14ac:dyDescent="0.25">
      <c r="A33" s="92" t="s">
        <v>12090</v>
      </c>
      <c r="B33" s="90">
        <v>8</v>
      </c>
      <c r="C33" s="90">
        <v>414698</v>
      </c>
      <c r="D33" s="91">
        <v>0.60583582296037974</v>
      </c>
      <c r="E33" s="90">
        <v>1673292</v>
      </c>
      <c r="F33" s="91">
        <v>0.69743372021709937</v>
      </c>
      <c r="G33" s="84">
        <v>1</v>
      </c>
      <c r="H33" s="90">
        <v>243</v>
      </c>
      <c r="I33" s="90">
        <v>15000</v>
      </c>
      <c r="J33" s="84">
        <v>0</v>
      </c>
      <c r="K33" s="90">
        <v>0</v>
      </c>
      <c r="L33" s="90">
        <v>0</v>
      </c>
      <c r="M33" s="84">
        <v>3</v>
      </c>
      <c r="N33" s="90">
        <v>18293</v>
      </c>
      <c r="O33" s="90">
        <v>76045</v>
      </c>
      <c r="P33" s="84">
        <v>5</v>
      </c>
      <c r="Q33" s="90">
        <v>8002</v>
      </c>
      <c r="R33" s="90">
        <v>46036</v>
      </c>
      <c r="S33" s="84">
        <v>8</v>
      </c>
      <c r="T33" s="90">
        <v>97446</v>
      </c>
      <c r="U33" s="90">
        <v>389051</v>
      </c>
      <c r="V33" s="84">
        <v>8</v>
      </c>
      <c r="W33" s="84">
        <v>516504</v>
      </c>
    </row>
    <row r="34" spans="1:23" x14ac:dyDescent="0.25">
      <c r="A34" s="92" t="s">
        <v>12694</v>
      </c>
      <c r="B34" s="90">
        <v>16</v>
      </c>
      <c r="C34" s="90">
        <v>350068</v>
      </c>
      <c r="D34" s="91">
        <v>0.61291487059812921</v>
      </c>
      <c r="E34" s="90">
        <v>3677313</v>
      </c>
      <c r="F34" s="91">
        <v>0.64712199782610924</v>
      </c>
      <c r="G34" s="84">
        <v>3</v>
      </c>
      <c r="H34" s="90">
        <v>55441</v>
      </c>
      <c r="I34" s="90">
        <v>20097</v>
      </c>
      <c r="J34" s="84">
        <v>5</v>
      </c>
      <c r="K34" s="90">
        <v>29137</v>
      </c>
      <c r="L34" s="90">
        <v>67370</v>
      </c>
      <c r="M34" s="84">
        <v>5</v>
      </c>
      <c r="N34" s="90">
        <v>49644</v>
      </c>
      <c r="O34" s="90">
        <v>2502657</v>
      </c>
      <c r="P34" s="84">
        <v>9</v>
      </c>
      <c r="Q34" s="90">
        <v>141363</v>
      </c>
      <c r="R34" s="90">
        <v>750</v>
      </c>
      <c r="S34" s="84">
        <v>9</v>
      </c>
      <c r="T34" s="90">
        <v>96393</v>
      </c>
      <c r="U34" s="90">
        <v>3466578</v>
      </c>
      <c r="V34" s="84">
        <v>16</v>
      </c>
      <c r="W34" s="84">
        <v>546745</v>
      </c>
    </row>
    <row r="35" spans="1:23" x14ac:dyDescent="0.25">
      <c r="A35" s="89" t="s">
        <v>2807</v>
      </c>
      <c r="B35" s="90">
        <v>93</v>
      </c>
      <c r="C35" s="90">
        <v>965705</v>
      </c>
      <c r="D35" s="91">
        <v>0.54386514136253505</v>
      </c>
      <c r="E35" s="90">
        <v>8449818</v>
      </c>
      <c r="F35" s="91">
        <v>0.50569315771584855</v>
      </c>
      <c r="G35" s="84">
        <v>21</v>
      </c>
      <c r="H35" s="90">
        <v>402654</v>
      </c>
      <c r="I35" s="90">
        <v>3189639</v>
      </c>
      <c r="J35" s="84">
        <v>11</v>
      </c>
      <c r="K35" s="90">
        <v>8854</v>
      </c>
      <c r="L35" s="90">
        <v>47758</v>
      </c>
      <c r="M35" s="84">
        <v>17</v>
      </c>
      <c r="N35" s="90">
        <v>38226</v>
      </c>
      <c r="O35" s="90">
        <v>128932</v>
      </c>
      <c r="P35" s="84">
        <v>68</v>
      </c>
      <c r="Q35" s="90">
        <v>598923</v>
      </c>
      <c r="R35" s="90">
        <v>3009859</v>
      </c>
      <c r="S35" s="84">
        <v>35</v>
      </c>
      <c r="T35" s="90">
        <v>68959.031085453127</v>
      </c>
      <c r="U35" s="90">
        <v>339410.78947368421</v>
      </c>
      <c r="V35" s="84">
        <v>88</v>
      </c>
      <c r="W35" s="84">
        <v>6953801</v>
      </c>
    </row>
    <row r="36" spans="1:23" x14ac:dyDescent="0.25">
      <c r="A36" s="92" t="s">
        <v>14361</v>
      </c>
      <c r="B36" s="90">
        <v>4</v>
      </c>
      <c r="C36" s="90">
        <v>4816</v>
      </c>
      <c r="D36" s="91">
        <v>0.55130041488255843</v>
      </c>
      <c r="E36" s="90">
        <v>18075</v>
      </c>
      <c r="F36" s="91">
        <v>0.58397257110693368</v>
      </c>
      <c r="G36" s="84">
        <v>1</v>
      </c>
      <c r="H36" s="90">
        <v>2808</v>
      </c>
      <c r="I36" s="90">
        <v>11232</v>
      </c>
      <c r="J36" s="84">
        <v>0</v>
      </c>
      <c r="K36" s="90">
        <v>0</v>
      </c>
      <c r="L36" s="90">
        <v>0</v>
      </c>
      <c r="M36" s="84">
        <v>1</v>
      </c>
      <c r="N36" s="90">
        <v>397</v>
      </c>
      <c r="O36" s="90">
        <v>0</v>
      </c>
      <c r="P36" s="84">
        <v>3</v>
      </c>
      <c r="Q36" s="90">
        <v>2755</v>
      </c>
      <c r="R36" s="90">
        <v>5652</v>
      </c>
      <c r="S36" s="84">
        <v>2</v>
      </c>
      <c r="T36" s="90">
        <v>1594</v>
      </c>
      <c r="U36" s="90">
        <v>3132</v>
      </c>
      <c r="V36" s="84">
        <v>4</v>
      </c>
      <c r="W36" s="84">
        <v>24714</v>
      </c>
    </row>
    <row r="37" spans="1:23" x14ac:dyDescent="0.25">
      <c r="A37" s="92" t="s">
        <v>14363</v>
      </c>
      <c r="B37" s="90">
        <v>1</v>
      </c>
      <c r="C37" s="90">
        <v>0</v>
      </c>
      <c r="D37" s="91" t="e">
        <v>#DIV/0!</v>
      </c>
      <c r="E37" s="90">
        <v>0</v>
      </c>
      <c r="F37" s="91" t="e">
        <v>#DIV/0!</v>
      </c>
      <c r="G37" s="84">
        <v>0</v>
      </c>
      <c r="H37" s="90">
        <v>0</v>
      </c>
      <c r="I37" s="90">
        <v>0</v>
      </c>
      <c r="J37" s="84">
        <v>0</v>
      </c>
      <c r="K37" s="90">
        <v>0</v>
      </c>
      <c r="L37" s="90">
        <v>0</v>
      </c>
      <c r="M37" s="84">
        <v>0</v>
      </c>
      <c r="N37" s="90">
        <v>0</v>
      </c>
      <c r="O37" s="90">
        <v>0</v>
      </c>
      <c r="P37" s="84">
        <v>1</v>
      </c>
      <c r="Q37" s="90">
        <v>0</v>
      </c>
      <c r="R37" s="90">
        <v>0</v>
      </c>
      <c r="S37" s="84">
        <v>0</v>
      </c>
      <c r="T37" s="90">
        <v>0</v>
      </c>
      <c r="U37" s="90">
        <v>0</v>
      </c>
      <c r="V37" s="84">
        <v>1</v>
      </c>
      <c r="W37" s="84">
        <v>0</v>
      </c>
    </row>
    <row r="38" spans="1:23" x14ac:dyDescent="0.25">
      <c r="A38" s="92" t="s">
        <v>3148</v>
      </c>
      <c r="B38" s="90">
        <v>3</v>
      </c>
      <c r="C38" s="90">
        <v>81205</v>
      </c>
      <c r="D38" s="91">
        <v>0.52201585551892438</v>
      </c>
      <c r="E38" s="90">
        <v>1810968</v>
      </c>
      <c r="F38" s="91">
        <v>0.27268447734771062</v>
      </c>
      <c r="G38" s="84">
        <v>2</v>
      </c>
      <c r="H38" s="90">
        <v>80341</v>
      </c>
      <c r="I38" s="90">
        <v>1562428</v>
      </c>
      <c r="J38" s="84">
        <v>1</v>
      </c>
      <c r="K38" s="90">
        <v>15</v>
      </c>
      <c r="L38" s="90">
        <v>0</v>
      </c>
      <c r="M38" s="84">
        <v>1</v>
      </c>
      <c r="N38" s="90">
        <v>15</v>
      </c>
      <c r="O38" s="90">
        <v>0</v>
      </c>
      <c r="P38" s="84">
        <v>3</v>
      </c>
      <c r="Q38" s="90">
        <v>81205</v>
      </c>
      <c r="R38" s="90">
        <v>1809928</v>
      </c>
      <c r="S38" s="84">
        <v>1</v>
      </c>
      <c r="T38" s="90">
        <v>394.02197802197799</v>
      </c>
      <c r="U38" s="90">
        <v>76000</v>
      </c>
      <c r="V38" s="84">
        <v>3</v>
      </c>
      <c r="W38" s="84">
        <v>81185</v>
      </c>
    </row>
    <row r="39" spans="1:23" x14ac:dyDescent="0.25">
      <c r="A39" s="92" t="s">
        <v>3261</v>
      </c>
      <c r="B39" s="90">
        <v>1</v>
      </c>
      <c r="C39" s="90">
        <v>375</v>
      </c>
      <c r="D39" s="91" t="e">
        <v>#DIV/0!</v>
      </c>
      <c r="E39" s="90">
        <v>1250</v>
      </c>
      <c r="F39" s="91" t="e">
        <v>#DIV/0!</v>
      </c>
      <c r="G39" s="84">
        <v>0</v>
      </c>
      <c r="H39" s="90">
        <v>0</v>
      </c>
      <c r="I39" s="90">
        <v>0</v>
      </c>
      <c r="J39" s="84">
        <v>0</v>
      </c>
      <c r="K39" s="90">
        <v>0</v>
      </c>
      <c r="L39" s="90">
        <v>0</v>
      </c>
      <c r="M39" s="84">
        <v>0</v>
      </c>
      <c r="N39" s="90">
        <v>0</v>
      </c>
      <c r="O39" s="90">
        <v>0</v>
      </c>
      <c r="P39" s="84">
        <v>1</v>
      </c>
      <c r="Q39" s="90">
        <v>375</v>
      </c>
      <c r="R39" s="90">
        <v>1250</v>
      </c>
      <c r="S39" s="84">
        <v>0</v>
      </c>
      <c r="T39" s="90">
        <v>0</v>
      </c>
      <c r="U39" s="90">
        <v>0</v>
      </c>
      <c r="V39" s="84">
        <v>1</v>
      </c>
      <c r="W39" s="84">
        <v>375</v>
      </c>
    </row>
    <row r="40" spans="1:23" x14ac:dyDescent="0.25">
      <c r="A40" s="92" t="s">
        <v>3272</v>
      </c>
      <c r="B40" s="90">
        <v>14</v>
      </c>
      <c r="C40" s="90">
        <v>55034</v>
      </c>
      <c r="D40" s="91">
        <v>0.53112618841806747</v>
      </c>
      <c r="E40" s="90">
        <v>80109</v>
      </c>
      <c r="F40" s="91">
        <v>0.51521403484673178</v>
      </c>
      <c r="G40" s="84">
        <v>6</v>
      </c>
      <c r="H40" s="90">
        <v>36701</v>
      </c>
      <c r="I40" s="90">
        <v>0</v>
      </c>
      <c r="J40" s="84">
        <v>0</v>
      </c>
      <c r="K40" s="90">
        <v>0</v>
      </c>
      <c r="L40" s="90">
        <v>0</v>
      </c>
      <c r="M40" s="84">
        <v>2</v>
      </c>
      <c r="N40" s="90">
        <v>13530</v>
      </c>
      <c r="O40" s="90">
        <v>51097</v>
      </c>
      <c r="P40" s="84">
        <v>4</v>
      </c>
      <c r="Q40" s="90">
        <v>1100</v>
      </c>
      <c r="R40" s="90">
        <v>400</v>
      </c>
      <c r="S40" s="84">
        <v>2</v>
      </c>
      <c r="T40" s="90">
        <v>1553</v>
      </c>
      <c r="U40" s="90">
        <v>1812</v>
      </c>
      <c r="V40" s="84">
        <v>13</v>
      </c>
      <c r="W40" s="84">
        <v>57072</v>
      </c>
    </row>
    <row r="41" spans="1:23" x14ac:dyDescent="0.25">
      <c r="A41" s="92" t="s">
        <v>4777</v>
      </c>
      <c r="B41" s="90">
        <v>14</v>
      </c>
      <c r="C41" s="90">
        <v>45432</v>
      </c>
      <c r="D41" s="91">
        <v>0.65873929791629715</v>
      </c>
      <c r="E41" s="90">
        <v>501511</v>
      </c>
      <c r="F41" s="91">
        <v>0.59030959854686338</v>
      </c>
      <c r="G41" s="84">
        <v>1</v>
      </c>
      <c r="H41" s="90">
        <v>4086</v>
      </c>
      <c r="I41" s="90">
        <v>29283</v>
      </c>
      <c r="J41" s="84">
        <v>3</v>
      </c>
      <c r="K41" s="90">
        <v>3430</v>
      </c>
      <c r="L41" s="90">
        <v>32998</v>
      </c>
      <c r="M41" s="84">
        <v>4</v>
      </c>
      <c r="N41" s="90">
        <v>3503</v>
      </c>
      <c r="O41" s="90">
        <v>9394</v>
      </c>
      <c r="P41" s="84">
        <v>12</v>
      </c>
      <c r="Q41" s="90">
        <v>39966</v>
      </c>
      <c r="R41" s="90">
        <v>448920</v>
      </c>
      <c r="S41" s="84">
        <v>5</v>
      </c>
      <c r="T41" s="90">
        <v>4805</v>
      </c>
      <c r="U41" s="90">
        <v>20637</v>
      </c>
      <c r="V41" s="84">
        <v>14</v>
      </c>
      <c r="W41" s="84">
        <v>55284</v>
      </c>
    </row>
    <row r="42" spans="1:23" x14ac:dyDescent="0.25">
      <c r="A42" s="92" t="s">
        <v>5061</v>
      </c>
      <c r="B42" s="90">
        <v>9</v>
      </c>
      <c r="C42" s="90">
        <v>289917</v>
      </c>
      <c r="D42" s="91">
        <v>0.60556809985020255</v>
      </c>
      <c r="E42" s="90">
        <v>935686</v>
      </c>
      <c r="F42" s="91">
        <v>0.44416083162790354</v>
      </c>
      <c r="G42" s="84">
        <v>3</v>
      </c>
      <c r="H42" s="90">
        <v>167724</v>
      </c>
      <c r="I42" s="90">
        <v>817456</v>
      </c>
      <c r="J42" s="84">
        <v>0</v>
      </c>
      <c r="K42" s="90">
        <v>0</v>
      </c>
      <c r="L42" s="90">
        <v>0</v>
      </c>
      <c r="M42" s="84">
        <v>2</v>
      </c>
      <c r="N42" s="90">
        <v>5159</v>
      </c>
      <c r="O42" s="90">
        <v>66641</v>
      </c>
      <c r="P42" s="84">
        <v>8</v>
      </c>
      <c r="Q42" s="90">
        <v>156613</v>
      </c>
      <c r="R42" s="90">
        <v>638297</v>
      </c>
      <c r="S42" s="84">
        <v>6</v>
      </c>
      <c r="T42" s="90">
        <v>45859</v>
      </c>
      <c r="U42" s="90">
        <v>217654</v>
      </c>
      <c r="V42" s="84">
        <v>9</v>
      </c>
      <c r="W42" s="84">
        <v>616917</v>
      </c>
    </row>
    <row r="43" spans="1:23" x14ac:dyDescent="0.25">
      <c r="A43" s="92" t="s">
        <v>5190</v>
      </c>
      <c r="B43" s="90">
        <v>12</v>
      </c>
      <c r="C43" s="90">
        <v>65864</v>
      </c>
      <c r="D43" s="91">
        <v>0.46926661068356923</v>
      </c>
      <c r="E43" s="90">
        <v>249889</v>
      </c>
      <c r="F43" s="91">
        <v>0.52100879359900143</v>
      </c>
      <c r="G43" s="84">
        <v>4</v>
      </c>
      <c r="H43" s="90">
        <v>8284</v>
      </c>
      <c r="I43" s="90">
        <v>39240</v>
      </c>
      <c r="J43" s="84">
        <v>2</v>
      </c>
      <c r="K43" s="90">
        <v>2782</v>
      </c>
      <c r="L43" s="90">
        <v>14760</v>
      </c>
      <c r="M43" s="84">
        <v>2</v>
      </c>
      <c r="N43" s="90">
        <v>622</v>
      </c>
      <c r="O43" s="90">
        <v>1800</v>
      </c>
      <c r="P43" s="84">
        <v>9</v>
      </c>
      <c r="Q43" s="90">
        <v>20716</v>
      </c>
      <c r="R43" s="90">
        <v>104827</v>
      </c>
      <c r="S43" s="84">
        <v>5</v>
      </c>
      <c r="T43" s="90">
        <v>5545.0091074311549</v>
      </c>
      <c r="U43" s="90">
        <v>20175.78947368421</v>
      </c>
      <c r="V43" s="84">
        <v>11</v>
      </c>
      <c r="W43" s="84">
        <v>63587</v>
      </c>
    </row>
    <row r="44" spans="1:23" x14ac:dyDescent="0.25">
      <c r="A44" s="92" t="s">
        <v>8138</v>
      </c>
      <c r="B44" s="90">
        <v>1</v>
      </c>
      <c r="C44" s="90">
        <v>0</v>
      </c>
      <c r="D44" s="91" t="e">
        <v>#DIV/0!</v>
      </c>
      <c r="E44" s="90">
        <v>0</v>
      </c>
      <c r="F44" s="91" t="e">
        <v>#DIV/0!</v>
      </c>
      <c r="G44" s="84">
        <v>0</v>
      </c>
      <c r="H44" s="90">
        <v>0</v>
      </c>
      <c r="I44" s="90">
        <v>0</v>
      </c>
      <c r="J44" s="84">
        <v>0</v>
      </c>
      <c r="K44" s="90">
        <v>0</v>
      </c>
      <c r="L44" s="90">
        <v>0</v>
      </c>
      <c r="M44" s="84">
        <v>0</v>
      </c>
      <c r="N44" s="90">
        <v>0</v>
      </c>
      <c r="O44" s="90">
        <v>0</v>
      </c>
      <c r="P44" s="84">
        <v>1</v>
      </c>
      <c r="Q44" s="90">
        <v>0</v>
      </c>
      <c r="R44" s="90">
        <v>0</v>
      </c>
      <c r="S44" s="84">
        <v>0</v>
      </c>
      <c r="T44" s="90">
        <v>0</v>
      </c>
      <c r="U44" s="90">
        <v>0</v>
      </c>
      <c r="V44" s="84">
        <v>1</v>
      </c>
      <c r="W44" s="84">
        <v>0</v>
      </c>
    </row>
    <row r="45" spans="1:23" x14ac:dyDescent="0.25">
      <c r="A45" s="92" t="s">
        <v>9042</v>
      </c>
      <c r="B45" s="90">
        <v>1</v>
      </c>
      <c r="C45" s="90">
        <v>5973</v>
      </c>
      <c r="D45" s="91">
        <v>0.5578436296668341</v>
      </c>
      <c r="E45" s="90">
        <v>0</v>
      </c>
      <c r="F45" s="91" t="e">
        <v>#DIV/0!</v>
      </c>
      <c r="G45" s="84">
        <v>0</v>
      </c>
      <c r="H45" s="90">
        <v>0</v>
      </c>
      <c r="I45" s="90">
        <v>0</v>
      </c>
      <c r="J45" s="84">
        <v>0</v>
      </c>
      <c r="K45" s="90">
        <v>0</v>
      </c>
      <c r="L45" s="90">
        <v>0</v>
      </c>
      <c r="M45" s="84">
        <v>0</v>
      </c>
      <c r="N45" s="90">
        <v>0</v>
      </c>
      <c r="O45" s="90">
        <v>0</v>
      </c>
      <c r="P45" s="84">
        <v>1</v>
      </c>
      <c r="Q45" s="90">
        <v>5598</v>
      </c>
      <c r="R45" s="90">
        <v>0</v>
      </c>
      <c r="S45" s="84">
        <v>1</v>
      </c>
      <c r="T45" s="90">
        <v>80</v>
      </c>
      <c r="U45" s="90">
        <v>0</v>
      </c>
      <c r="V45" s="84">
        <v>1</v>
      </c>
      <c r="W45" s="84">
        <v>45280</v>
      </c>
    </row>
    <row r="46" spans="1:23" x14ac:dyDescent="0.25">
      <c r="A46" s="92" t="s">
        <v>9514</v>
      </c>
      <c r="B46" s="90">
        <v>1</v>
      </c>
      <c r="C46" s="90">
        <v>375</v>
      </c>
      <c r="D46" s="91" t="e">
        <v>#DIV/0!</v>
      </c>
      <c r="E46" s="90">
        <v>585</v>
      </c>
      <c r="F46" s="91" t="e">
        <v>#DIV/0!</v>
      </c>
      <c r="G46" s="84">
        <v>0</v>
      </c>
      <c r="H46" s="90">
        <v>0</v>
      </c>
      <c r="I46" s="90">
        <v>0</v>
      </c>
      <c r="J46" s="84">
        <v>0</v>
      </c>
      <c r="K46" s="90">
        <v>0</v>
      </c>
      <c r="L46" s="90">
        <v>0</v>
      </c>
      <c r="M46" s="84">
        <v>0</v>
      </c>
      <c r="N46" s="90">
        <v>0</v>
      </c>
      <c r="O46" s="90">
        <v>0</v>
      </c>
      <c r="P46" s="84">
        <v>1</v>
      </c>
      <c r="Q46" s="90">
        <v>375</v>
      </c>
      <c r="R46" s="90">
        <v>585</v>
      </c>
      <c r="S46" s="84">
        <v>0</v>
      </c>
      <c r="T46" s="90">
        <v>0</v>
      </c>
      <c r="U46" s="90">
        <v>0</v>
      </c>
      <c r="V46" s="84">
        <v>1</v>
      </c>
      <c r="W46" s="84">
        <v>375</v>
      </c>
    </row>
    <row r="47" spans="1:23" x14ac:dyDescent="0.25">
      <c r="A47" s="92" t="s">
        <v>9706</v>
      </c>
      <c r="B47" s="90">
        <v>32</v>
      </c>
      <c r="C47" s="90">
        <v>416714</v>
      </c>
      <c r="D47" s="91">
        <v>0.51473895104270206</v>
      </c>
      <c r="E47" s="90">
        <v>4851745</v>
      </c>
      <c r="F47" s="91">
        <v>0.45843927697331455</v>
      </c>
      <c r="G47" s="84">
        <v>4</v>
      </c>
      <c r="H47" s="90">
        <v>102710</v>
      </c>
      <c r="I47" s="90">
        <v>730000</v>
      </c>
      <c r="J47" s="84">
        <v>5</v>
      </c>
      <c r="K47" s="90">
        <v>2627</v>
      </c>
      <c r="L47" s="90">
        <v>0</v>
      </c>
      <c r="M47" s="84">
        <v>5</v>
      </c>
      <c r="N47" s="90">
        <v>15000</v>
      </c>
      <c r="O47" s="90">
        <v>0</v>
      </c>
      <c r="P47" s="84">
        <v>24</v>
      </c>
      <c r="Q47" s="90">
        <v>290220</v>
      </c>
      <c r="R47" s="90">
        <v>0</v>
      </c>
      <c r="S47" s="84">
        <v>13</v>
      </c>
      <c r="T47" s="90">
        <v>9129</v>
      </c>
      <c r="U47" s="90">
        <v>0</v>
      </c>
      <c r="V47" s="84">
        <v>29</v>
      </c>
      <c r="W47" s="84">
        <v>6009012</v>
      </c>
    </row>
    <row r="48" spans="1:23" x14ac:dyDescent="0.25">
      <c r="A48" s="89" t="s">
        <v>602</v>
      </c>
      <c r="B48" s="90">
        <v>194</v>
      </c>
      <c r="C48" s="90">
        <v>3616754</v>
      </c>
      <c r="D48" s="91">
        <v>0.50792554268587053</v>
      </c>
      <c r="E48" s="90">
        <v>5133376</v>
      </c>
      <c r="F48" s="91">
        <v>0.51102386877395134</v>
      </c>
      <c r="G48" s="84">
        <v>113</v>
      </c>
      <c r="H48" s="90">
        <v>3368550</v>
      </c>
      <c r="I48" s="90">
        <v>1347688</v>
      </c>
      <c r="J48" s="84">
        <v>17</v>
      </c>
      <c r="K48" s="90">
        <v>28764</v>
      </c>
      <c r="L48" s="90">
        <v>34327</v>
      </c>
      <c r="M48" s="84">
        <v>43</v>
      </c>
      <c r="N48" s="90">
        <v>54952</v>
      </c>
      <c r="O48" s="90">
        <v>263624</v>
      </c>
      <c r="P48" s="84">
        <v>95</v>
      </c>
      <c r="Q48" s="90">
        <v>1626476</v>
      </c>
      <c r="R48" s="90">
        <v>491796</v>
      </c>
      <c r="S48" s="84">
        <v>43</v>
      </c>
      <c r="T48" s="90">
        <v>30541.009470603884</v>
      </c>
      <c r="U48" s="90">
        <v>37438.51282051282</v>
      </c>
      <c r="V48" s="84">
        <v>161</v>
      </c>
      <c r="W48" s="84">
        <v>4214846</v>
      </c>
    </row>
    <row r="49" spans="1:23" x14ac:dyDescent="0.25">
      <c r="A49" s="92" t="s">
        <v>601</v>
      </c>
      <c r="B49" s="90">
        <v>1</v>
      </c>
      <c r="C49" s="90">
        <v>972</v>
      </c>
      <c r="D49" s="91">
        <v>0.23353909465020575</v>
      </c>
      <c r="E49" s="90">
        <v>994</v>
      </c>
      <c r="F49" s="91">
        <v>0.40442655935613681</v>
      </c>
      <c r="G49" s="84">
        <v>0</v>
      </c>
      <c r="H49" s="90">
        <v>0</v>
      </c>
      <c r="I49" s="90">
        <v>0</v>
      </c>
      <c r="J49" s="84">
        <v>0</v>
      </c>
      <c r="K49" s="90">
        <v>0</v>
      </c>
      <c r="L49" s="90">
        <v>0</v>
      </c>
      <c r="M49" s="84">
        <v>1</v>
      </c>
      <c r="N49" s="90">
        <v>600</v>
      </c>
      <c r="O49" s="90">
        <v>694</v>
      </c>
      <c r="P49" s="84">
        <v>0</v>
      </c>
      <c r="Q49" s="90">
        <v>0</v>
      </c>
      <c r="R49" s="90">
        <v>0</v>
      </c>
      <c r="S49" s="84">
        <v>0</v>
      </c>
      <c r="T49" s="90">
        <v>0</v>
      </c>
      <c r="U49" s="90">
        <v>0</v>
      </c>
      <c r="V49" s="84">
        <v>1</v>
      </c>
      <c r="W49" s="84">
        <v>154</v>
      </c>
    </row>
    <row r="50" spans="1:23" x14ac:dyDescent="0.25">
      <c r="A50" s="92" t="s">
        <v>14342</v>
      </c>
      <c r="B50" s="90">
        <v>1</v>
      </c>
      <c r="C50" s="90">
        <v>0</v>
      </c>
      <c r="D50" s="91" t="e">
        <v>#DIV/0!</v>
      </c>
      <c r="E50" s="90">
        <v>0</v>
      </c>
      <c r="F50" s="91" t="e">
        <v>#DIV/0!</v>
      </c>
      <c r="G50" s="84">
        <v>0</v>
      </c>
      <c r="H50" s="90">
        <v>0</v>
      </c>
      <c r="I50" s="90">
        <v>0</v>
      </c>
      <c r="J50" s="84">
        <v>0</v>
      </c>
      <c r="K50" s="90">
        <v>0</v>
      </c>
      <c r="L50" s="90">
        <v>0</v>
      </c>
      <c r="M50" s="84">
        <v>0</v>
      </c>
      <c r="N50" s="90">
        <v>0</v>
      </c>
      <c r="O50" s="90">
        <v>0</v>
      </c>
      <c r="P50" s="84">
        <v>0</v>
      </c>
      <c r="Q50" s="90">
        <v>0</v>
      </c>
      <c r="R50" s="90">
        <v>0</v>
      </c>
      <c r="S50" s="84">
        <v>1</v>
      </c>
      <c r="T50" s="90">
        <v>0</v>
      </c>
      <c r="U50" s="90">
        <v>0</v>
      </c>
      <c r="V50" s="84">
        <v>1</v>
      </c>
      <c r="W50" s="84">
        <v>0</v>
      </c>
    </row>
    <row r="51" spans="1:23" x14ac:dyDescent="0.25">
      <c r="A51" s="92" t="s">
        <v>635</v>
      </c>
      <c r="B51" s="90">
        <v>2</v>
      </c>
      <c r="C51" s="90">
        <v>75</v>
      </c>
      <c r="D51" s="91">
        <v>0.21399594320486814</v>
      </c>
      <c r="E51" s="90">
        <v>19</v>
      </c>
      <c r="F51" s="91">
        <v>0.68421052631578949</v>
      </c>
      <c r="G51" s="84">
        <v>0</v>
      </c>
      <c r="H51" s="90">
        <v>0</v>
      </c>
      <c r="I51" s="90">
        <v>0</v>
      </c>
      <c r="J51" s="84">
        <v>0</v>
      </c>
      <c r="K51" s="90">
        <v>0</v>
      </c>
      <c r="L51" s="90">
        <v>0</v>
      </c>
      <c r="M51" s="84">
        <v>0</v>
      </c>
      <c r="N51" s="90">
        <v>0</v>
      </c>
      <c r="O51" s="90">
        <v>0</v>
      </c>
      <c r="P51" s="84">
        <v>0</v>
      </c>
      <c r="Q51" s="90">
        <v>0</v>
      </c>
      <c r="R51" s="90">
        <v>0</v>
      </c>
      <c r="S51" s="84">
        <v>0</v>
      </c>
      <c r="T51" s="90">
        <v>0</v>
      </c>
      <c r="U51" s="90">
        <v>0</v>
      </c>
      <c r="V51" s="84">
        <v>0</v>
      </c>
      <c r="W51" s="84">
        <v>0</v>
      </c>
    </row>
    <row r="52" spans="1:23" x14ac:dyDescent="0.25">
      <c r="A52" s="92" t="s">
        <v>14353</v>
      </c>
      <c r="B52" s="90">
        <v>1</v>
      </c>
      <c r="C52" s="90">
        <v>0</v>
      </c>
      <c r="D52" s="91" t="e">
        <v>#DIV/0!</v>
      </c>
      <c r="E52" s="90">
        <v>0</v>
      </c>
      <c r="F52" s="91" t="e">
        <v>#DIV/0!</v>
      </c>
      <c r="G52" s="84">
        <v>0</v>
      </c>
      <c r="H52" s="90">
        <v>0</v>
      </c>
      <c r="I52" s="90">
        <v>0</v>
      </c>
      <c r="J52" s="84">
        <v>0</v>
      </c>
      <c r="K52" s="90">
        <v>0</v>
      </c>
      <c r="L52" s="90">
        <v>0</v>
      </c>
      <c r="M52" s="84">
        <v>0</v>
      </c>
      <c r="N52" s="90">
        <v>0</v>
      </c>
      <c r="O52" s="90">
        <v>0</v>
      </c>
      <c r="P52" s="84">
        <v>0</v>
      </c>
      <c r="Q52" s="90">
        <v>0</v>
      </c>
      <c r="R52" s="90">
        <v>0</v>
      </c>
      <c r="S52" s="84">
        <v>1</v>
      </c>
      <c r="T52" s="90">
        <v>0</v>
      </c>
      <c r="U52" s="90">
        <v>0</v>
      </c>
      <c r="V52" s="84">
        <v>1</v>
      </c>
      <c r="W52" s="84">
        <v>0</v>
      </c>
    </row>
    <row r="53" spans="1:23" x14ac:dyDescent="0.25">
      <c r="A53" s="92" t="s">
        <v>1735</v>
      </c>
      <c r="B53" s="90">
        <v>7</v>
      </c>
      <c r="C53" s="90">
        <v>26467</v>
      </c>
      <c r="D53" s="91">
        <v>0.47883731906730531</v>
      </c>
      <c r="E53" s="90">
        <v>372718</v>
      </c>
      <c r="F53" s="91">
        <v>0.51971169176269139</v>
      </c>
      <c r="G53" s="84">
        <v>0</v>
      </c>
      <c r="H53" s="90">
        <v>0</v>
      </c>
      <c r="I53" s="90">
        <v>0</v>
      </c>
      <c r="J53" s="84">
        <v>2</v>
      </c>
      <c r="K53" s="90">
        <v>2047</v>
      </c>
      <c r="L53" s="90">
        <v>4680</v>
      </c>
      <c r="M53" s="84">
        <v>5</v>
      </c>
      <c r="N53" s="90">
        <v>11025</v>
      </c>
      <c r="O53" s="90">
        <v>207060</v>
      </c>
      <c r="P53" s="84">
        <v>2</v>
      </c>
      <c r="Q53" s="90">
        <v>310</v>
      </c>
      <c r="R53" s="90">
        <v>5350</v>
      </c>
      <c r="S53" s="84">
        <v>2</v>
      </c>
      <c r="T53" s="90">
        <v>93.333333333333329</v>
      </c>
      <c r="U53" s="90">
        <v>603.84615384615381</v>
      </c>
      <c r="V53" s="84">
        <v>6</v>
      </c>
      <c r="W53" s="84">
        <v>17904</v>
      </c>
    </row>
    <row r="54" spans="1:23" x14ac:dyDescent="0.25">
      <c r="A54" s="92" t="s">
        <v>3140</v>
      </c>
      <c r="B54" s="90">
        <v>4</v>
      </c>
      <c r="C54" s="90">
        <v>26129</v>
      </c>
      <c r="D54" s="91">
        <v>0.44021316261213084</v>
      </c>
      <c r="E54" s="90">
        <v>41238</v>
      </c>
      <c r="F54" s="91">
        <v>0.42276422764227645</v>
      </c>
      <c r="G54" s="84">
        <v>3</v>
      </c>
      <c r="H54" s="90">
        <v>26008</v>
      </c>
      <c r="I54" s="90">
        <v>39598</v>
      </c>
      <c r="J54" s="84">
        <v>0</v>
      </c>
      <c r="K54" s="90">
        <v>0</v>
      </c>
      <c r="L54" s="90">
        <v>0</v>
      </c>
      <c r="M54" s="84">
        <v>1</v>
      </c>
      <c r="N54" s="90">
        <v>71</v>
      </c>
      <c r="O54" s="90">
        <v>1000</v>
      </c>
      <c r="P54" s="84">
        <v>3</v>
      </c>
      <c r="Q54" s="90">
        <v>3879</v>
      </c>
      <c r="R54" s="90">
        <v>0</v>
      </c>
      <c r="S54" s="84">
        <v>0</v>
      </c>
      <c r="T54" s="90">
        <v>0</v>
      </c>
      <c r="U54" s="90">
        <v>0</v>
      </c>
      <c r="V54" s="84">
        <v>4</v>
      </c>
      <c r="W54" s="84">
        <v>11364</v>
      </c>
    </row>
    <row r="55" spans="1:23" x14ac:dyDescent="0.25">
      <c r="A55" s="92" t="s">
        <v>3231</v>
      </c>
      <c r="B55" s="90">
        <v>1</v>
      </c>
      <c r="C55" s="90">
        <v>0</v>
      </c>
      <c r="D55" s="91" t="e">
        <v>#DIV/0!</v>
      </c>
      <c r="E55" s="90">
        <v>700</v>
      </c>
      <c r="F55" s="91">
        <v>0.5</v>
      </c>
      <c r="G55" s="84">
        <v>0</v>
      </c>
      <c r="H55" s="90">
        <v>0</v>
      </c>
      <c r="I55" s="90">
        <v>0</v>
      </c>
      <c r="J55" s="84">
        <v>0</v>
      </c>
      <c r="K55" s="90">
        <v>0</v>
      </c>
      <c r="L55" s="90">
        <v>0</v>
      </c>
      <c r="M55" s="84">
        <v>0</v>
      </c>
      <c r="N55" s="90">
        <v>0</v>
      </c>
      <c r="O55" s="90">
        <v>0</v>
      </c>
      <c r="P55" s="84">
        <v>0</v>
      </c>
      <c r="Q55" s="90">
        <v>0</v>
      </c>
      <c r="R55" s="90">
        <v>0</v>
      </c>
      <c r="S55" s="84">
        <v>0</v>
      </c>
      <c r="T55" s="90">
        <v>0</v>
      </c>
      <c r="U55" s="90">
        <v>0</v>
      </c>
      <c r="V55" s="84">
        <v>0</v>
      </c>
      <c r="W55" s="84">
        <v>0</v>
      </c>
    </row>
    <row r="56" spans="1:23" x14ac:dyDescent="0.25">
      <c r="A56" s="92" t="s">
        <v>3249</v>
      </c>
      <c r="B56" s="90">
        <v>5</v>
      </c>
      <c r="C56" s="90">
        <v>150</v>
      </c>
      <c r="D56" s="91" t="e">
        <v>#DIV/0!</v>
      </c>
      <c r="E56" s="90">
        <v>100000</v>
      </c>
      <c r="F56" s="91">
        <v>0.5</v>
      </c>
      <c r="G56" s="84">
        <v>3</v>
      </c>
      <c r="H56" s="90">
        <v>0</v>
      </c>
      <c r="I56" s="90">
        <v>0</v>
      </c>
      <c r="J56" s="84">
        <v>0</v>
      </c>
      <c r="K56" s="90">
        <v>0</v>
      </c>
      <c r="L56" s="90">
        <v>0</v>
      </c>
      <c r="M56" s="84">
        <v>0</v>
      </c>
      <c r="N56" s="90">
        <v>0</v>
      </c>
      <c r="O56" s="90">
        <v>0</v>
      </c>
      <c r="P56" s="84">
        <v>5</v>
      </c>
      <c r="Q56" s="90">
        <v>0</v>
      </c>
      <c r="R56" s="90">
        <v>0</v>
      </c>
      <c r="S56" s="84">
        <v>0</v>
      </c>
      <c r="T56" s="90">
        <v>0</v>
      </c>
      <c r="U56" s="90">
        <v>0</v>
      </c>
      <c r="V56" s="84">
        <v>5</v>
      </c>
      <c r="W56" s="84">
        <v>0</v>
      </c>
    </row>
    <row r="57" spans="1:23" x14ac:dyDescent="0.25">
      <c r="A57" s="92" t="s">
        <v>3546</v>
      </c>
      <c r="B57" s="90">
        <v>23</v>
      </c>
      <c r="C57" s="90">
        <v>107319</v>
      </c>
      <c r="D57" s="91">
        <v>0.4901738237845506</v>
      </c>
      <c r="E57" s="90">
        <v>359348</v>
      </c>
      <c r="F57" s="91">
        <v>0.48866807647335908</v>
      </c>
      <c r="G57" s="84">
        <v>4</v>
      </c>
      <c r="H57" s="90">
        <v>17965</v>
      </c>
      <c r="I57" s="90">
        <v>56817</v>
      </c>
      <c r="J57" s="84">
        <v>0</v>
      </c>
      <c r="K57" s="90">
        <v>0</v>
      </c>
      <c r="L57" s="90">
        <v>0</v>
      </c>
      <c r="M57" s="84">
        <v>5</v>
      </c>
      <c r="N57" s="90">
        <v>20763</v>
      </c>
      <c r="O57" s="90">
        <v>27195</v>
      </c>
      <c r="P57" s="84">
        <v>8</v>
      </c>
      <c r="Q57" s="90">
        <v>26935</v>
      </c>
      <c r="R57" s="90">
        <v>59400</v>
      </c>
      <c r="S57" s="84">
        <v>6</v>
      </c>
      <c r="T57" s="90">
        <v>3052.8189944134078</v>
      </c>
      <c r="U57" s="90">
        <v>0</v>
      </c>
      <c r="V57" s="84">
        <v>13</v>
      </c>
      <c r="W57" s="84">
        <v>134555</v>
      </c>
    </row>
    <row r="58" spans="1:23" x14ac:dyDescent="0.25">
      <c r="A58" s="92" t="s">
        <v>4293</v>
      </c>
      <c r="B58" s="90">
        <v>3</v>
      </c>
      <c r="C58" s="90">
        <v>2681</v>
      </c>
      <c r="D58" s="91">
        <v>0.46428571428571425</v>
      </c>
      <c r="E58" s="90">
        <v>150612</v>
      </c>
      <c r="F58" s="91">
        <v>0.4464285714285714</v>
      </c>
      <c r="G58" s="84">
        <v>0</v>
      </c>
      <c r="H58" s="90">
        <v>0</v>
      </c>
      <c r="I58" s="90">
        <v>0</v>
      </c>
      <c r="J58" s="84">
        <v>0</v>
      </c>
      <c r="K58" s="90">
        <v>0</v>
      </c>
      <c r="L58" s="90">
        <v>0</v>
      </c>
      <c r="M58" s="84">
        <v>0</v>
      </c>
      <c r="N58" s="90">
        <v>0</v>
      </c>
      <c r="O58" s="90">
        <v>0</v>
      </c>
      <c r="P58" s="84">
        <v>2</v>
      </c>
      <c r="Q58" s="90">
        <v>2625</v>
      </c>
      <c r="R58" s="90">
        <v>150500</v>
      </c>
      <c r="S58" s="84">
        <v>0</v>
      </c>
      <c r="T58" s="90">
        <v>0</v>
      </c>
      <c r="U58" s="90">
        <v>0</v>
      </c>
      <c r="V58" s="84">
        <v>2</v>
      </c>
      <c r="W58" s="84">
        <v>0</v>
      </c>
    </row>
    <row r="59" spans="1:23" x14ac:dyDescent="0.25">
      <c r="A59" s="92" t="s">
        <v>4346</v>
      </c>
      <c r="B59" s="90">
        <v>5</v>
      </c>
      <c r="C59" s="90">
        <v>3051</v>
      </c>
      <c r="D59" s="91">
        <v>0.53563030605922446</v>
      </c>
      <c r="E59" s="90">
        <v>2420896</v>
      </c>
      <c r="F59" s="91">
        <v>0.51692959966663943</v>
      </c>
      <c r="G59" s="84">
        <v>0</v>
      </c>
      <c r="H59" s="90">
        <v>0</v>
      </c>
      <c r="I59" s="90">
        <v>0</v>
      </c>
      <c r="J59" s="84">
        <v>1</v>
      </c>
      <c r="K59" s="90">
        <v>0</v>
      </c>
      <c r="L59" s="90">
        <v>0</v>
      </c>
      <c r="M59" s="84">
        <v>1</v>
      </c>
      <c r="N59" s="90">
        <v>0</v>
      </c>
      <c r="O59" s="90">
        <v>0</v>
      </c>
      <c r="P59" s="84">
        <v>2</v>
      </c>
      <c r="Q59" s="90">
        <v>1829</v>
      </c>
      <c r="R59" s="90">
        <v>14407</v>
      </c>
      <c r="S59" s="84">
        <v>5</v>
      </c>
      <c r="T59" s="90">
        <v>648</v>
      </c>
      <c r="U59" s="90">
        <v>2945</v>
      </c>
      <c r="V59" s="84">
        <v>5</v>
      </c>
      <c r="W59" s="84">
        <v>5980</v>
      </c>
    </row>
    <row r="60" spans="1:23" x14ac:dyDescent="0.25">
      <c r="A60" s="92" t="s">
        <v>4428</v>
      </c>
      <c r="B60" s="90">
        <v>1</v>
      </c>
      <c r="C60" s="90">
        <v>1158</v>
      </c>
      <c r="D60" s="91">
        <v>0.39652317880794702</v>
      </c>
      <c r="E60" s="90">
        <v>0</v>
      </c>
      <c r="F60" s="91" t="e">
        <v>#DIV/0!</v>
      </c>
      <c r="G60" s="84">
        <v>0</v>
      </c>
      <c r="H60" s="90">
        <v>0</v>
      </c>
      <c r="I60" s="90">
        <v>0</v>
      </c>
      <c r="J60" s="84">
        <v>0</v>
      </c>
      <c r="K60" s="90">
        <v>0</v>
      </c>
      <c r="L60" s="90">
        <v>0</v>
      </c>
      <c r="M60" s="84">
        <v>0</v>
      </c>
      <c r="N60" s="90">
        <v>0</v>
      </c>
      <c r="O60" s="90">
        <v>0</v>
      </c>
      <c r="P60" s="84">
        <v>0</v>
      </c>
      <c r="Q60" s="90">
        <v>0</v>
      </c>
      <c r="R60" s="90">
        <v>0</v>
      </c>
      <c r="S60" s="84">
        <v>0</v>
      </c>
      <c r="T60" s="90">
        <v>0</v>
      </c>
      <c r="U60" s="90">
        <v>0</v>
      </c>
      <c r="V60" s="84">
        <v>0</v>
      </c>
      <c r="W60" s="84">
        <v>0</v>
      </c>
    </row>
    <row r="61" spans="1:23" x14ac:dyDescent="0.25">
      <c r="A61" s="92" t="s">
        <v>6024</v>
      </c>
      <c r="B61" s="90">
        <v>8</v>
      </c>
      <c r="C61" s="90">
        <v>121679</v>
      </c>
      <c r="D61" s="91">
        <v>0.49633369790654047</v>
      </c>
      <c r="E61" s="90">
        <v>0</v>
      </c>
      <c r="F61" s="91" t="e">
        <v>#DIV/0!</v>
      </c>
      <c r="G61" s="84">
        <v>8</v>
      </c>
      <c r="H61" s="90">
        <v>121679</v>
      </c>
      <c r="I61" s="90">
        <v>0</v>
      </c>
      <c r="J61" s="84">
        <v>1</v>
      </c>
      <c r="K61" s="90">
        <v>0</v>
      </c>
      <c r="L61" s="90">
        <v>0</v>
      </c>
      <c r="M61" s="84">
        <v>0</v>
      </c>
      <c r="N61" s="90">
        <v>0</v>
      </c>
      <c r="O61" s="90">
        <v>0</v>
      </c>
      <c r="P61" s="84">
        <v>0</v>
      </c>
      <c r="Q61" s="90">
        <v>0</v>
      </c>
      <c r="R61" s="90">
        <v>0</v>
      </c>
      <c r="S61" s="84">
        <v>0</v>
      </c>
      <c r="T61" s="90">
        <v>0</v>
      </c>
      <c r="U61" s="90">
        <v>0</v>
      </c>
      <c r="V61" s="84">
        <v>8</v>
      </c>
      <c r="W61" s="84">
        <v>151628</v>
      </c>
    </row>
    <row r="62" spans="1:23" x14ac:dyDescent="0.25">
      <c r="A62" s="92" t="s">
        <v>6105</v>
      </c>
      <c r="B62" s="90">
        <v>25</v>
      </c>
      <c r="C62" s="90">
        <v>195814</v>
      </c>
      <c r="D62" s="91">
        <v>0.55102730287596269</v>
      </c>
      <c r="E62" s="90">
        <v>949539</v>
      </c>
      <c r="F62" s="91">
        <v>0.53979352600580266</v>
      </c>
      <c r="G62" s="84">
        <v>20</v>
      </c>
      <c r="H62" s="90">
        <v>162437</v>
      </c>
      <c r="I62" s="90">
        <v>809696</v>
      </c>
      <c r="J62" s="84">
        <v>2</v>
      </c>
      <c r="K62" s="90">
        <v>946</v>
      </c>
      <c r="L62" s="90">
        <v>3512</v>
      </c>
      <c r="M62" s="84">
        <v>11</v>
      </c>
      <c r="N62" s="90">
        <v>5733</v>
      </c>
      <c r="O62" s="90">
        <v>21500</v>
      </c>
      <c r="P62" s="84">
        <v>8</v>
      </c>
      <c r="Q62" s="90">
        <v>7164</v>
      </c>
      <c r="R62" s="90">
        <v>34408</v>
      </c>
      <c r="S62" s="84">
        <v>8</v>
      </c>
      <c r="T62" s="90">
        <v>1985</v>
      </c>
      <c r="U62" s="90">
        <v>8822</v>
      </c>
      <c r="V62" s="84">
        <v>18</v>
      </c>
      <c r="W62" s="84">
        <v>164097</v>
      </c>
    </row>
    <row r="63" spans="1:23" x14ac:dyDescent="0.25">
      <c r="A63" s="92" t="s">
        <v>6805</v>
      </c>
      <c r="B63" s="90">
        <v>2</v>
      </c>
      <c r="C63" s="90">
        <v>926</v>
      </c>
      <c r="D63" s="91">
        <v>0.30369543650793651</v>
      </c>
      <c r="E63" s="90">
        <v>5381</v>
      </c>
      <c r="F63" s="91">
        <v>0.45634231941069847</v>
      </c>
      <c r="G63" s="84">
        <v>0</v>
      </c>
      <c r="H63" s="90">
        <v>0</v>
      </c>
      <c r="I63" s="90">
        <v>0</v>
      </c>
      <c r="J63" s="84">
        <v>0</v>
      </c>
      <c r="K63" s="90">
        <v>0</v>
      </c>
      <c r="L63" s="90">
        <v>0</v>
      </c>
      <c r="M63" s="84">
        <v>1</v>
      </c>
      <c r="N63" s="90">
        <v>300</v>
      </c>
      <c r="O63" s="90">
        <v>1881</v>
      </c>
      <c r="P63" s="84">
        <v>1</v>
      </c>
      <c r="Q63" s="90">
        <v>100</v>
      </c>
      <c r="R63" s="90">
        <v>1500</v>
      </c>
      <c r="S63" s="84">
        <v>1</v>
      </c>
      <c r="T63" s="90">
        <v>42.857142857142854</v>
      </c>
      <c r="U63" s="90">
        <v>666.66666666666663</v>
      </c>
      <c r="V63" s="84">
        <v>2</v>
      </c>
      <c r="W63" s="84">
        <v>504</v>
      </c>
    </row>
    <row r="64" spans="1:23" x14ac:dyDescent="0.25">
      <c r="A64" s="92" t="s">
        <v>7083</v>
      </c>
      <c r="B64" s="90">
        <v>7</v>
      </c>
      <c r="C64" s="90">
        <v>32031</v>
      </c>
      <c r="D64" s="91">
        <v>0.70332500785191965</v>
      </c>
      <c r="E64" s="90">
        <v>13085</v>
      </c>
      <c r="F64" s="91">
        <v>0.50460563802669067</v>
      </c>
      <c r="G64" s="84">
        <v>6</v>
      </c>
      <c r="H64" s="90">
        <v>32031</v>
      </c>
      <c r="I64" s="90">
        <v>13085</v>
      </c>
      <c r="J64" s="84">
        <v>1</v>
      </c>
      <c r="K64" s="90">
        <v>0</v>
      </c>
      <c r="L64" s="90">
        <v>0</v>
      </c>
      <c r="M64" s="84">
        <v>1</v>
      </c>
      <c r="N64" s="90">
        <v>0</v>
      </c>
      <c r="O64" s="90">
        <v>0</v>
      </c>
      <c r="P64" s="84">
        <v>4</v>
      </c>
      <c r="Q64" s="90">
        <v>12372</v>
      </c>
      <c r="R64" s="90">
        <v>260</v>
      </c>
      <c r="S64" s="84">
        <v>1</v>
      </c>
      <c r="T64" s="90">
        <v>0</v>
      </c>
      <c r="U64" s="90">
        <v>0</v>
      </c>
      <c r="V64" s="84">
        <v>7</v>
      </c>
      <c r="W64" s="84">
        <v>224512</v>
      </c>
    </row>
    <row r="65" spans="1:23" x14ac:dyDescent="0.25">
      <c r="A65" s="92" t="s">
        <v>7194</v>
      </c>
      <c r="B65" s="90">
        <v>1</v>
      </c>
      <c r="C65" s="90">
        <v>250</v>
      </c>
      <c r="D65" s="91">
        <v>1</v>
      </c>
      <c r="E65" s="90">
        <v>1200</v>
      </c>
      <c r="F65" s="91">
        <v>1</v>
      </c>
      <c r="G65" s="84">
        <v>0</v>
      </c>
      <c r="H65" s="90">
        <v>0</v>
      </c>
      <c r="I65" s="90">
        <v>0</v>
      </c>
      <c r="J65" s="84">
        <v>0</v>
      </c>
      <c r="K65" s="90">
        <v>0</v>
      </c>
      <c r="L65" s="90">
        <v>0</v>
      </c>
      <c r="M65" s="84">
        <v>0</v>
      </c>
      <c r="N65" s="90">
        <v>0</v>
      </c>
      <c r="O65" s="90">
        <v>0</v>
      </c>
      <c r="P65" s="84">
        <v>1</v>
      </c>
      <c r="Q65" s="90">
        <v>0</v>
      </c>
      <c r="R65" s="90">
        <v>0</v>
      </c>
      <c r="S65" s="84">
        <v>1</v>
      </c>
      <c r="T65" s="90">
        <v>0</v>
      </c>
      <c r="U65" s="90">
        <v>0</v>
      </c>
      <c r="V65" s="84">
        <v>1</v>
      </c>
      <c r="W65" s="84">
        <v>250</v>
      </c>
    </row>
    <row r="66" spans="1:23" x14ac:dyDescent="0.25">
      <c r="A66" s="92" t="s">
        <v>8140</v>
      </c>
      <c r="B66" s="90">
        <v>3</v>
      </c>
      <c r="C66" s="90">
        <v>1112</v>
      </c>
      <c r="D66" s="91">
        <v>0.58583064392193018</v>
      </c>
      <c r="E66" s="90">
        <v>3270</v>
      </c>
      <c r="F66" s="91">
        <v>0.61419753086419748</v>
      </c>
      <c r="G66" s="84">
        <v>0</v>
      </c>
      <c r="H66" s="90">
        <v>0</v>
      </c>
      <c r="I66" s="90">
        <v>0</v>
      </c>
      <c r="J66" s="84">
        <v>1</v>
      </c>
      <c r="K66" s="90">
        <v>24</v>
      </c>
      <c r="L66" s="90">
        <v>100</v>
      </c>
      <c r="M66" s="84">
        <v>2</v>
      </c>
      <c r="N66" s="90">
        <v>305</v>
      </c>
      <c r="O66" s="90">
        <v>1120</v>
      </c>
      <c r="P66" s="84">
        <v>2</v>
      </c>
      <c r="Q66" s="90">
        <v>380</v>
      </c>
      <c r="R66" s="90">
        <v>400</v>
      </c>
      <c r="S66" s="84">
        <v>2</v>
      </c>
      <c r="T66" s="90">
        <v>240</v>
      </c>
      <c r="U66" s="90">
        <v>820</v>
      </c>
      <c r="V66" s="84">
        <v>3</v>
      </c>
      <c r="W66" s="84">
        <v>7800</v>
      </c>
    </row>
    <row r="67" spans="1:23" x14ac:dyDescent="0.25">
      <c r="A67" s="92" t="s">
        <v>8180</v>
      </c>
      <c r="B67" s="90">
        <v>5</v>
      </c>
      <c r="C67" s="90">
        <v>12415</v>
      </c>
      <c r="D67" s="91">
        <v>0.41122994652406419</v>
      </c>
      <c r="E67" s="90">
        <v>80624</v>
      </c>
      <c r="F67" s="91">
        <v>0.46215983465380639</v>
      </c>
      <c r="G67" s="84">
        <v>0</v>
      </c>
      <c r="H67" s="90">
        <v>0</v>
      </c>
      <c r="I67" s="90">
        <v>0</v>
      </c>
      <c r="J67" s="84">
        <v>0</v>
      </c>
      <c r="K67" s="90">
        <v>0</v>
      </c>
      <c r="L67" s="90">
        <v>0</v>
      </c>
      <c r="M67" s="84">
        <v>0</v>
      </c>
      <c r="N67" s="90">
        <v>0</v>
      </c>
      <c r="O67" s="90">
        <v>0</v>
      </c>
      <c r="P67" s="84">
        <v>0</v>
      </c>
      <c r="Q67" s="90">
        <v>0</v>
      </c>
      <c r="R67" s="90">
        <v>0</v>
      </c>
      <c r="S67" s="84">
        <v>2</v>
      </c>
      <c r="T67" s="90">
        <v>4000</v>
      </c>
      <c r="U67" s="90">
        <v>20000</v>
      </c>
      <c r="V67" s="84">
        <v>2</v>
      </c>
      <c r="W67" s="84">
        <v>5000</v>
      </c>
    </row>
    <row r="68" spans="1:23" x14ac:dyDescent="0.25">
      <c r="A68" s="92" t="s">
        <v>9409</v>
      </c>
      <c r="B68" s="90">
        <v>5</v>
      </c>
      <c r="C68" s="90">
        <v>0</v>
      </c>
      <c r="D68" s="91" t="e">
        <v>#DIV/0!</v>
      </c>
      <c r="E68" s="90">
        <v>0</v>
      </c>
      <c r="F68" s="91" t="e">
        <v>#DIV/0!</v>
      </c>
      <c r="G68" s="84">
        <v>2</v>
      </c>
      <c r="H68" s="90">
        <v>0</v>
      </c>
      <c r="I68" s="90">
        <v>0</v>
      </c>
      <c r="J68" s="84">
        <v>0</v>
      </c>
      <c r="K68" s="90">
        <v>0</v>
      </c>
      <c r="L68" s="90">
        <v>0</v>
      </c>
      <c r="M68" s="84">
        <v>4</v>
      </c>
      <c r="N68" s="90">
        <v>15</v>
      </c>
      <c r="O68" s="90">
        <v>0</v>
      </c>
      <c r="P68" s="84">
        <v>1</v>
      </c>
      <c r="Q68" s="90">
        <v>0</v>
      </c>
      <c r="R68" s="90">
        <v>0</v>
      </c>
      <c r="S68" s="84">
        <v>2</v>
      </c>
      <c r="T68" s="90">
        <v>0</v>
      </c>
      <c r="U68" s="90">
        <v>0</v>
      </c>
      <c r="V68" s="84">
        <v>5</v>
      </c>
      <c r="W68" s="84">
        <v>0</v>
      </c>
    </row>
    <row r="69" spans="1:23" x14ac:dyDescent="0.25">
      <c r="A69" s="92" t="s">
        <v>10350</v>
      </c>
      <c r="B69" s="90">
        <v>1</v>
      </c>
      <c r="C69" s="90">
        <v>5270</v>
      </c>
      <c r="D69" s="91">
        <v>0.72296015180265649</v>
      </c>
      <c r="E69" s="90">
        <v>17500</v>
      </c>
      <c r="F69" s="91" t="e">
        <v>#DIV/0!</v>
      </c>
      <c r="G69" s="84">
        <v>0</v>
      </c>
      <c r="H69" s="90">
        <v>0</v>
      </c>
      <c r="I69" s="90">
        <v>0</v>
      </c>
      <c r="J69" s="84">
        <v>1</v>
      </c>
      <c r="K69" s="90">
        <v>1600</v>
      </c>
      <c r="L69" s="90">
        <v>8000</v>
      </c>
      <c r="M69" s="84">
        <v>0</v>
      </c>
      <c r="N69" s="90">
        <v>0</v>
      </c>
      <c r="O69" s="90">
        <v>0</v>
      </c>
      <c r="P69" s="84">
        <v>0</v>
      </c>
      <c r="Q69" s="90">
        <v>0</v>
      </c>
      <c r="R69" s="90">
        <v>0</v>
      </c>
      <c r="S69" s="84">
        <v>0</v>
      </c>
      <c r="T69" s="90">
        <v>0</v>
      </c>
      <c r="U69" s="90">
        <v>0</v>
      </c>
      <c r="V69" s="84">
        <v>1</v>
      </c>
      <c r="W69" s="84">
        <v>0</v>
      </c>
    </row>
    <row r="70" spans="1:23" x14ac:dyDescent="0.25">
      <c r="A70" s="92" t="s">
        <v>10558</v>
      </c>
      <c r="B70" s="90">
        <v>11</v>
      </c>
      <c r="C70" s="90">
        <v>279665</v>
      </c>
      <c r="D70" s="91">
        <v>0.41263147393278338</v>
      </c>
      <c r="E70" s="90">
        <v>234504</v>
      </c>
      <c r="F70" s="91">
        <v>0.40598160101860115</v>
      </c>
      <c r="G70" s="84">
        <v>8</v>
      </c>
      <c r="H70" s="90">
        <v>274367</v>
      </c>
      <c r="I70" s="90">
        <v>216450</v>
      </c>
      <c r="J70" s="84">
        <v>1</v>
      </c>
      <c r="K70" s="90">
        <v>29</v>
      </c>
      <c r="L70" s="90">
        <v>130</v>
      </c>
      <c r="M70" s="84">
        <v>2</v>
      </c>
      <c r="N70" s="90">
        <v>540</v>
      </c>
      <c r="O70" s="90">
        <v>3174</v>
      </c>
      <c r="P70" s="84">
        <v>8</v>
      </c>
      <c r="Q70" s="90">
        <v>113224</v>
      </c>
      <c r="R70" s="90">
        <v>0</v>
      </c>
      <c r="S70" s="84">
        <v>0</v>
      </c>
      <c r="T70" s="90">
        <v>0</v>
      </c>
      <c r="U70" s="90">
        <v>0</v>
      </c>
      <c r="V70" s="84">
        <v>10</v>
      </c>
      <c r="W70" s="84">
        <v>81984</v>
      </c>
    </row>
    <row r="71" spans="1:23" x14ac:dyDescent="0.25">
      <c r="A71" s="92" t="s">
        <v>11664</v>
      </c>
      <c r="B71" s="90">
        <v>1</v>
      </c>
      <c r="C71" s="90">
        <v>0</v>
      </c>
      <c r="D71" s="91" t="e">
        <v>#DIV/0!</v>
      </c>
      <c r="E71" s="90">
        <v>0</v>
      </c>
      <c r="F71" s="91" t="e">
        <v>#DIV/0!</v>
      </c>
      <c r="G71" s="84">
        <v>1</v>
      </c>
      <c r="H71" s="90">
        <v>0</v>
      </c>
      <c r="I71" s="90">
        <v>0</v>
      </c>
      <c r="J71" s="84">
        <v>1</v>
      </c>
      <c r="K71" s="90">
        <v>0</v>
      </c>
      <c r="L71" s="90">
        <v>0</v>
      </c>
      <c r="M71" s="84">
        <v>1</v>
      </c>
      <c r="N71" s="90">
        <v>0</v>
      </c>
      <c r="O71" s="90">
        <v>0</v>
      </c>
      <c r="P71" s="84">
        <v>1</v>
      </c>
      <c r="Q71" s="90">
        <v>0</v>
      </c>
      <c r="R71" s="90">
        <v>0</v>
      </c>
      <c r="S71" s="84">
        <v>0</v>
      </c>
      <c r="T71" s="90">
        <v>0</v>
      </c>
      <c r="U71" s="90">
        <v>0</v>
      </c>
      <c r="V71" s="84">
        <v>1</v>
      </c>
      <c r="W71" s="84">
        <v>0</v>
      </c>
    </row>
    <row r="72" spans="1:23" x14ac:dyDescent="0.25">
      <c r="A72" s="92" t="s">
        <v>11693</v>
      </c>
      <c r="B72" s="90">
        <v>32</v>
      </c>
      <c r="C72" s="90">
        <v>1267300</v>
      </c>
      <c r="D72" s="91">
        <v>0.54590776196145352</v>
      </c>
      <c r="E72" s="90">
        <v>98454</v>
      </c>
      <c r="F72" s="91">
        <v>0.55588098164432853</v>
      </c>
      <c r="G72" s="84">
        <v>32</v>
      </c>
      <c r="H72" s="90">
        <v>1267300</v>
      </c>
      <c r="I72" s="90">
        <v>98454</v>
      </c>
      <c r="J72" s="84">
        <v>2</v>
      </c>
      <c r="K72" s="90">
        <v>6412</v>
      </c>
      <c r="L72" s="90">
        <v>0</v>
      </c>
      <c r="M72" s="84">
        <v>0</v>
      </c>
      <c r="N72" s="90">
        <v>0</v>
      </c>
      <c r="O72" s="90">
        <v>0</v>
      </c>
      <c r="P72" s="84">
        <v>19</v>
      </c>
      <c r="Q72" s="90">
        <v>193708</v>
      </c>
      <c r="R72" s="90">
        <v>98632</v>
      </c>
      <c r="S72" s="84">
        <v>0</v>
      </c>
      <c r="T72" s="90">
        <v>0</v>
      </c>
      <c r="U72" s="90">
        <v>0</v>
      </c>
      <c r="V72" s="84">
        <v>29</v>
      </c>
      <c r="W72" s="84">
        <v>1055375</v>
      </c>
    </row>
    <row r="73" spans="1:23" x14ac:dyDescent="0.25">
      <c r="A73" s="92" t="s">
        <v>12654</v>
      </c>
      <c r="B73" s="90">
        <v>5</v>
      </c>
      <c r="C73" s="90">
        <v>67212</v>
      </c>
      <c r="D73" s="91">
        <v>0.52123392722120643</v>
      </c>
      <c r="E73" s="90">
        <v>585</v>
      </c>
      <c r="F73" s="91">
        <v>0.52991452991452992</v>
      </c>
      <c r="G73" s="84">
        <v>5</v>
      </c>
      <c r="H73" s="90">
        <v>67212</v>
      </c>
      <c r="I73" s="90">
        <v>585</v>
      </c>
      <c r="J73" s="84">
        <v>1</v>
      </c>
      <c r="K73" s="90">
        <v>6697</v>
      </c>
      <c r="L73" s="90">
        <v>0</v>
      </c>
      <c r="M73" s="84">
        <v>3</v>
      </c>
      <c r="N73" s="90">
        <v>0</v>
      </c>
      <c r="O73" s="90">
        <v>0</v>
      </c>
      <c r="P73" s="84">
        <v>3</v>
      </c>
      <c r="Q73" s="90">
        <v>16534</v>
      </c>
      <c r="R73" s="90">
        <v>0</v>
      </c>
      <c r="S73" s="84">
        <v>0</v>
      </c>
      <c r="T73" s="90">
        <v>0</v>
      </c>
      <c r="U73" s="90">
        <v>0</v>
      </c>
      <c r="V73" s="84">
        <v>5</v>
      </c>
      <c r="W73" s="84">
        <v>86040</v>
      </c>
    </row>
    <row r="74" spans="1:23" x14ac:dyDescent="0.25">
      <c r="A74" s="92" t="s">
        <v>12907</v>
      </c>
      <c r="B74" s="90">
        <v>5</v>
      </c>
      <c r="C74" s="90">
        <v>0</v>
      </c>
      <c r="D74" s="91" t="e">
        <v>#DIV/0!</v>
      </c>
      <c r="E74" s="90">
        <v>0</v>
      </c>
      <c r="F74" s="91" t="e">
        <v>#DIV/0!</v>
      </c>
      <c r="G74" s="84">
        <v>0</v>
      </c>
      <c r="H74" s="90">
        <v>0</v>
      </c>
      <c r="I74" s="90">
        <v>0</v>
      </c>
      <c r="J74" s="84">
        <v>0</v>
      </c>
      <c r="K74" s="90">
        <v>0</v>
      </c>
      <c r="L74" s="90">
        <v>0</v>
      </c>
      <c r="M74" s="84">
        <v>0</v>
      </c>
      <c r="N74" s="90">
        <v>0</v>
      </c>
      <c r="O74" s="90">
        <v>0</v>
      </c>
      <c r="P74" s="84">
        <v>2</v>
      </c>
      <c r="Q74" s="90">
        <v>0</v>
      </c>
      <c r="R74" s="90">
        <v>0</v>
      </c>
      <c r="S74" s="84">
        <v>2</v>
      </c>
      <c r="T74" s="90">
        <v>0</v>
      </c>
      <c r="U74" s="90">
        <v>0</v>
      </c>
      <c r="V74" s="84">
        <v>2</v>
      </c>
      <c r="W74" s="84">
        <v>0</v>
      </c>
    </row>
    <row r="75" spans="1:23" x14ac:dyDescent="0.25">
      <c r="A75" s="92" t="s">
        <v>13710</v>
      </c>
      <c r="B75" s="90">
        <v>11</v>
      </c>
      <c r="C75" s="90">
        <v>141277</v>
      </c>
      <c r="D75" s="91">
        <v>0.51777777777777778</v>
      </c>
      <c r="E75" s="90">
        <v>209749</v>
      </c>
      <c r="F75" s="91">
        <v>0.55015197568389052</v>
      </c>
      <c r="G75" s="84">
        <v>5</v>
      </c>
      <c r="H75" s="90">
        <v>77194</v>
      </c>
      <c r="I75" s="90">
        <v>45229</v>
      </c>
      <c r="J75" s="84">
        <v>2</v>
      </c>
      <c r="K75" s="90">
        <v>9900</v>
      </c>
      <c r="L75" s="90">
        <v>17905</v>
      </c>
      <c r="M75" s="84">
        <v>5</v>
      </c>
      <c r="N75" s="90">
        <v>15600</v>
      </c>
      <c r="O75" s="90">
        <v>0</v>
      </c>
      <c r="P75" s="84">
        <v>8</v>
      </c>
      <c r="Q75" s="90">
        <v>121977</v>
      </c>
      <c r="R75" s="90">
        <v>126939</v>
      </c>
      <c r="S75" s="84">
        <v>7</v>
      </c>
      <c r="T75" s="90">
        <v>20479</v>
      </c>
      <c r="U75" s="90">
        <v>3581</v>
      </c>
      <c r="V75" s="84">
        <v>11</v>
      </c>
      <c r="W75" s="84">
        <v>356274</v>
      </c>
    </row>
    <row r="76" spans="1:23" x14ac:dyDescent="0.25">
      <c r="A76" s="92" t="s">
        <v>13783</v>
      </c>
      <c r="B76" s="90">
        <v>18</v>
      </c>
      <c r="C76" s="90">
        <v>1323801</v>
      </c>
      <c r="D76" s="91">
        <v>0.50125087871161256</v>
      </c>
      <c r="E76" s="90">
        <v>72960</v>
      </c>
      <c r="F76" s="91">
        <v>0.54052378955848024</v>
      </c>
      <c r="G76" s="84">
        <v>16</v>
      </c>
      <c r="H76" s="90">
        <v>1322357</v>
      </c>
      <c r="I76" s="90">
        <v>67774</v>
      </c>
      <c r="J76" s="84">
        <v>1</v>
      </c>
      <c r="K76" s="90">
        <v>1109</v>
      </c>
      <c r="L76" s="90">
        <v>0</v>
      </c>
      <c r="M76" s="84">
        <v>0</v>
      </c>
      <c r="N76" s="90">
        <v>0</v>
      </c>
      <c r="O76" s="90">
        <v>0</v>
      </c>
      <c r="P76" s="84">
        <v>15</v>
      </c>
      <c r="Q76" s="90">
        <v>1125439</v>
      </c>
      <c r="R76" s="90">
        <v>0</v>
      </c>
      <c r="S76" s="84">
        <v>2</v>
      </c>
      <c r="T76" s="90">
        <v>0</v>
      </c>
      <c r="U76" s="90">
        <v>0</v>
      </c>
      <c r="V76" s="84">
        <v>18</v>
      </c>
      <c r="W76" s="84">
        <v>1911425</v>
      </c>
    </row>
    <row r="77" spans="1:23" x14ac:dyDescent="0.25">
      <c r="A77" s="89" t="s">
        <v>12970</v>
      </c>
      <c r="B77" s="90">
        <v>11</v>
      </c>
      <c r="C77" s="90">
        <v>21</v>
      </c>
      <c r="D77" s="91">
        <v>0.5714285714285714</v>
      </c>
      <c r="E77" s="90">
        <v>0</v>
      </c>
      <c r="F77" s="91" t="e">
        <v>#DIV/0!</v>
      </c>
      <c r="G77" s="84">
        <v>4</v>
      </c>
      <c r="H77" s="90">
        <v>2</v>
      </c>
      <c r="I77" s="90">
        <v>0</v>
      </c>
      <c r="J77" s="84">
        <v>4</v>
      </c>
      <c r="K77" s="90">
        <v>0</v>
      </c>
      <c r="L77" s="90">
        <v>0</v>
      </c>
      <c r="M77" s="84">
        <v>4</v>
      </c>
      <c r="N77" s="90">
        <v>2</v>
      </c>
      <c r="O77" s="90">
        <v>0</v>
      </c>
      <c r="P77" s="84">
        <v>5</v>
      </c>
      <c r="Q77" s="90">
        <v>0</v>
      </c>
      <c r="R77" s="90">
        <v>0</v>
      </c>
      <c r="S77" s="84">
        <v>4</v>
      </c>
      <c r="T77" s="90">
        <v>0</v>
      </c>
      <c r="U77" s="90">
        <v>0</v>
      </c>
      <c r="V77" s="84">
        <v>10</v>
      </c>
      <c r="W77" s="84">
        <v>0</v>
      </c>
    </row>
    <row r="78" spans="1:23" x14ac:dyDescent="0.25">
      <c r="A78" s="92" t="s">
        <v>7496</v>
      </c>
      <c r="B78" s="90">
        <v>4</v>
      </c>
      <c r="C78" s="90">
        <v>0</v>
      </c>
      <c r="D78" s="91" t="e">
        <v>#DIV/0!</v>
      </c>
      <c r="E78" s="90">
        <v>0</v>
      </c>
      <c r="F78" s="91" t="e">
        <v>#DIV/0!</v>
      </c>
      <c r="G78" s="84">
        <v>1</v>
      </c>
      <c r="H78" s="90">
        <v>0</v>
      </c>
      <c r="I78" s="90">
        <v>0</v>
      </c>
      <c r="J78" s="84">
        <v>1</v>
      </c>
      <c r="K78" s="90">
        <v>0</v>
      </c>
      <c r="L78" s="90">
        <v>0</v>
      </c>
      <c r="M78" s="84">
        <v>0</v>
      </c>
      <c r="N78" s="90">
        <v>0</v>
      </c>
      <c r="O78" s="90">
        <v>0</v>
      </c>
      <c r="P78" s="84">
        <v>3</v>
      </c>
      <c r="Q78" s="90">
        <v>0</v>
      </c>
      <c r="R78" s="90">
        <v>0</v>
      </c>
      <c r="S78" s="84">
        <v>2</v>
      </c>
      <c r="T78" s="90">
        <v>0</v>
      </c>
      <c r="U78" s="90">
        <v>0</v>
      </c>
      <c r="V78" s="84">
        <v>3</v>
      </c>
      <c r="W78" s="84">
        <v>0</v>
      </c>
    </row>
    <row r="79" spans="1:23" x14ac:dyDescent="0.25">
      <c r="A79" s="92" t="s">
        <v>12969</v>
      </c>
      <c r="B79" s="90">
        <v>7</v>
      </c>
      <c r="C79" s="90">
        <v>21</v>
      </c>
      <c r="D79" s="91">
        <v>0.5714285714285714</v>
      </c>
      <c r="E79" s="90">
        <v>0</v>
      </c>
      <c r="F79" s="91" t="e">
        <v>#DIV/0!</v>
      </c>
      <c r="G79" s="84">
        <v>3</v>
      </c>
      <c r="H79" s="90">
        <v>2</v>
      </c>
      <c r="I79" s="90">
        <v>0</v>
      </c>
      <c r="J79" s="84">
        <v>3</v>
      </c>
      <c r="K79" s="90">
        <v>0</v>
      </c>
      <c r="L79" s="90">
        <v>0</v>
      </c>
      <c r="M79" s="84">
        <v>4</v>
      </c>
      <c r="N79" s="90">
        <v>2</v>
      </c>
      <c r="O79" s="90">
        <v>0</v>
      </c>
      <c r="P79" s="84">
        <v>2</v>
      </c>
      <c r="Q79" s="90">
        <v>0</v>
      </c>
      <c r="R79" s="90">
        <v>0</v>
      </c>
      <c r="S79" s="84">
        <v>2</v>
      </c>
      <c r="T79" s="90">
        <v>0</v>
      </c>
      <c r="U79" s="90">
        <v>0</v>
      </c>
      <c r="V79" s="84">
        <v>7</v>
      </c>
      <c r="W79" s="84">
        <v>0</v>
      </c>
    </row>
    <row r="80" spans="1:23" x14ac:dyDescent="0.25">
      <c r="A80" s="89" t="s">
        <v>7217</v>
      </c>
      <c r="B80" s="90">
        <v>80</v>
      </c>
      <c r="C80" s="90">
        <v>4640456</v>
      </c>
      <c r="D80" s="91">
        <v>0.62054306892431466</v>
      </c>
      <c r="E80" s="90">
        <v>7079169</v>
      </c>
      <c r="F80" s="91">
        <v>0.5504744549186118</v>
      </c>
      <c r="G80" s="84">
        <v>21</v>
      </c>
      <c r="H80" s="90">
        <v>935590</v>
      </c>
      <c r="I80" s="90">
        <v>426005</v>
      </c>
      <c r="J80" s="84">
        <v>15</v>
      </c>
      <c r="K80" s="90">
        <v>1985119</v>
      </c>
      <c r="L80" s="90">
        <v>4548265</v>
      </c>
      <c r="M80" s="84">
        <v>19</v>
      </c>
      <c r="N80" s="90">
        <v>332046</v>
      </c>
      <c r="O80" s="90">
        <v>375048</v>
      </c>
      <c r="P80" s="84">
        <v>62</v>
      </c>
      <c r="Q80" s="90">
        <v>2047075</v>
      </c>
      <c r="R80" s="90">
        <v>1340341</v>
      </c>
      <c r="S80" s="84">
        <v>42</v>
      </c>
      <c r="T80" s="90">
        <v>206680.94742460028</v>
      </c>
      <c r="U80" s="90">
        <v>697082.15735023329</v>
      </c>
      <c r="V80" s="84">
        <v>77</v>
      </c>
      <c r="W80" s="84">
        <v>6019176</v>
      </c>
    </row>
    <row r="81" spans="1:23" x14ac:dyDescent="0.25">
      <c r="A81" s="92" t="s">
        <v>7216</v>
      </c>
      <c r="B81" s="90">
        <v>11</v>
      </c>
      <c r="C81" s="90">
        <v>326076</v>
      </c>
      <c r="D81" s="91">
        <v>0.55243353508778381</v>
      </c>
      <c r="E81" s="90">
        <v>850869</v>
      </c>
      <c r="F81" s="91">
        <v>0.49653473303455342</v>
      </c>
      <c r="G81" s="84">
        <v>3</v>
      </c>
      <c r="H81" s="90">
        <v>56030</v>
      </c>
      <c r="I81" s="90">
        <v>122313</v>
      </c>
      <c r="J81" s="84">
        <v>1</v>
      </c>
      <c r="K81" s="90">
        <v>13334</v>
      </c>
      <c r="L81" s="90">
        <v>0</v>
      </c>
      <c r="M81" s="84">
        <v>0</v>
      </c>
      <c r="N81" s="90">
        <v>0</v>
      </c>
      <c r="O81" s="90">
        <v>0</v>
      </c>
      <c r="P81" s="84">
        <v>11</v>
      </c>
      <c r="Q81" s="90">
        <v>254876</v>
      </c>
      <c r="R81" s="90">
        <v>757184</v>
      </c>
      <c r="S81" s="84">
        <v>8</v>
      </c>
      <c r="T81" s="90">
        <v>34267.117810117808</v>
      </c>
      <c r="U81" s="90">
        <v>154364.92049550693</v>
      </c>
      <c r="V81" s="84">
        <v>11</v>
      </c>
      <c r="W81" s="84">
        <v>744160</v>
      </c>
    </row>
    <row r="82" spans="1:23" x14ac:dyDescent="0.25">
      <c r="A82" s="92" t="s">
        <v>7451</v>
      </c>
      <c r="B82" s="90">
        <v>26</v>
      </c>
      <c r="C82" s="90">
        <v>1562597</v>
      </c>
      <c r="D82" s="91">
        <v>0.66346904397023498</v>
      </c>
      <c r="E82" s="90">
        <v>2361823</v>
      </c>
      <c r="F82" s="91">
        <v>0.59339428774159686</v>
      </c>
      <c r="G82" s="84">
        <v>6</v>
      </c>
      <c r="H82" s="90">
        <v>220785</v>
      </c>
      <c r="I82" s="90">
        <v>35051</v>
      </c>
      <c r="J82" s="84">
        <v>6</v>
      </c>
      <c r="K82" s="90">
        <v>1062277</v>
      </c>
      <c r="L82" s="90">
        <v>1775424</v>
      </c>
      <c r="M82" s="84">
        <v>11</v>
      </c>
      <c r="N82" s="90">
        <v>240852</v>
      </c>
      <c r="O82" s="90">
        <v>207243</v>
      </c>
      <c r="P82" s="84">
        <v>14</v>
      </c>
      <c r="Q82" s="90">
        <v>451767</v>
      </c>
      <c r="R82" s="90">
        <v>295753</v>
      </c>
      <c r="S82" s="84">
        <v>11</v>
      </c>
      <c r="T82" s="90">
        <v>90047.829614482471</v>
      </c>
      <c r="U82" s="90">
        <v>281636.37934619386</v>
      </c>
      <c r="V82" s="84">
        <v>23</v>
      </c>
      <c r="W82" s="84">
        <v>945409</v>
      </c>
    </row>
    <row r="83" spans="1:23" x14ac:dyDescent="0.25">
      <c r="A83" s="92" t="s">
        <v>8265</v>
      </c>
      <c r="B83" s="90">
        <v>13</v>
      </c>
      <c r="C83" s="90">
        <v>105466</v>
      </c>
      <c r="D83" s="91">
        <v>0.54419313046314211</v>
      </c>
      <c r="E83" s="90">
        <v>309092</v>
      </c>
      <c r="F83" s="91">
        <v>0.54328992460124126</v>
      </c>
      <c r="G83" s="84">
        <v>7</v>
      </c>
      <c r="H83" s="90">
        <v>79543</v>
      </c>
      <c r="I83" s="90">
        <v>268641</v>
      </c>
      <c r="J83" s="84">
        <v>1</v>
      </c>
      <c r="K83" s="90">
        <v>3691</v>
      </c>
      <c r="L83" s="90">
        <v>0</v>
      </c>
      <c r="M83" s="84">
        <v>3</v>
      </c>
      <c r="N83" s="90">
        <v>8810</v>
      </c>
      <c r="O83" s="90">
        <v>2149</v>
      </c>
      <c r="P83" s="84">
        <v>13</v>
      </c>
      <c r="Q83" s="90">
        <v>169309</v>
      </c>
      <c r="R83" s="90">
        <v>105003</v>
      </c>
      <c r="S83" s="84">
        <v>6</v>
      </c>
      <c r="T83" s="90">
        <v>10925</v>
      </c>
      <c r="U83" s="90">
        <v>34728</v>
      </c>
      <c r="V83" s="84">
        <v>13</v>
      </c>
      <c r="W83" s="84">
        <v>382334</v>
      </c>
    </row>
    <row r="84" spans="1:23" x14ac:dyDescent="0.25">
      <c r="A84" s="92" t="s">
        <v>13917</v>
      </c>
      <c r="B84" s="90">
        <v>16</v>
      </c>
      <c r="C84" s="90">
        <v>1682181</v>
      </c>
      <c r="D84" s="91">
        <v>0.66192456124114707</v>
      </c>
      <c r="E84" s="90">
        <v>3255877</v>
      </c>
      <c r="F84" s="91">
        <v>0.49527722632700649</v>
      </c>
      <c r="G84" s="84">
        <v>0</v>
      </c>
      <c r="H84" s="90">
        <v>0</v>
      </c>
      <c r="I84" s="90">
        <v>0</v>
      </c>
      <c r="J84" s="84">
        <v>5</v>
      </c>
      <c r="K84" s="90">
        <v>846169</v>
      </c>
      <c r="L84" s="90">
        <v>2671393</v>
      </c>
      <c r="M84" s="84">
        <v>2</v>
      </c>
      <c r="N84" s="90">
        <v>9954</v>
      </c>
      <c r="O84" s="90">
        <v>59538</v>
      </c>
      <c r="P84" s="84">
        <v>11</v>
      </c>
      <c r="Q84" s="90">
        <v>291439</v>
      </c>
      <c r="R84" s="90">
        <v>96534</v>
      </c>
      <c r="S84" s="84">
        <v>10</v>
      </c>
      <c r="T84" s="90">
        <v>44524</v>
      </c>
      <c r="U84" s="90">
        <v>118264</v>
      </c>
      <c r="V84" s="84">
        <v>16</v>
      </c>
      <c r="W84" s="84">
        <v>2658913</v>
      </c>
    </row>
    <row r="85" spans="1:23" x14ac:dyDescent="0.25">
      <c r="A85" s="92" t="s">
        <v>14016</v>
      </c>
      <c r="B85" s="90">
        <v>14</v>
      </c>
      <c r="C85" s="90">
        <v>964136</v>
      </c>
      <c r="D85" s="91">
        <v>0.57451291279145311</v>
      </c>
      <c r="E85" s="90">
        <v>301508</v>
      </c>
      <c r="F85" s="91">
        <v>0.64687719427117207</v>
      </c>
      <c r="G85" s="84">
        <v>5</v>
      </c>
      <c r="H85" s="90">
        <v>579232</v>
      </c>
      <c r="I85" s="90">
        <v>0</v>
      </c>
      <c r="J85" s="84">
        <v>2</v>
      </c>
      <c r="K85" s="90">
        <v>59648</v>
      </c>
      <c r="L85" s="90">
        <v>101448</v>
      </c>
      <c r="M85" s="84">
        <v>3</v>
      </c>
      <c r="N85" s="90">
        <v>72430</v>
      </c>
      <c r="O85" s="90">
        <v>106118</v>
      </c>
      <c r="P85" s="84">
        <v>13</v>
      </c>
      <c r="Q85" s="90">
        <v>879684</v>
      </c>
      <c r="R85" s="90">
        <v>85867</v>
      </c>
      <c r="S85" s="84">
        <v>7</v>
      </c>
      <c r="T85" s="90">
        <v>26917</v>
      </c>
      <c r="U85" s="90">
        <v>108088.85750853243</v>
      </c>
      <c r="V85" s="84">
        <v>14</v>
      </c>
      <c r="W85" s="84">
        <v>1288360</v>
      </c>
    </row>
    <row r="86" spans="1:23" x14ac:dyDescent="0.25">
      <c r="A86" s="89" t="s">
        <v>1596</v>
      </c>
      <c r="B86" s="90">
        <v>137</v>
      </c>
      <c r="C86" s="90">
        <v>5072468</v>
      </c>
      <c r="D86" s="91">
        <v>0.64634630653284042</v>
      </c>
      <c r="E86" s="90">
        <v>32796451</v>
      </c>
      <c r="F86" s="91">
        <v>0.56366813723084175</v>
      </c>
      <c r="G86" s="84">
        <v>47</v>
      </c>
      <c r="H86" s="90">
        <v>1292370</v>
      </c>
      <c r="I86" s="90">
        <v>9017979</v>
      </c>
      <c r="J86" s="84">
        <v>26</v>
      </c>
      <c r="K86" s="90">
        <v>286658</v>
      </c>
      <c r="L86" s="90">
        <v>280303</v>
      </c>
      <c r="M86" s="84">
        <v>33</v>
      </c>
      <c r="N86" s="90">
        <v>296234</v>
      </c>
      <c r="O86" s="90">
        <v>1753092</v>
      </c>
      <c r="P86" s="84">
        <v>99</v>
      </c>
      <c r="Q86" s="90">
        <v>2538905</v>
      </c>
      <c r="R86" s="90">
        <v>9240611</v>
      </c>
      <c r="S86" s="84">
        <v>69</v>
      </c>
      <c r="T86" s="90">
        <v>387224.63622626651</v>
      </c>
      <c r="U86" s="90">
        <v>2480908.4182763733</v>
      </c>
      <c r="V86" s="84">
        <v>127</v>
      </c>
      <c r="W86" s="84">
        <v>8738867</v>
      </c>
    </row>
    <row r="87" spans="1:23" x14ac:dyDescent="0.25">
      <c r="A87" s="92" t="s">
        <v>1595</v>
      </c>
      <c r="B87" s="90">
        <v>11</v>
      </c>
      <c r="C87" s="90">
        <v>164468</v>
      </c>
      <c r="D87" s="91">
        <v>0.67959003844784838</v>
      </c>
      <c r="E87" s="90">
        <v>134584</v>
      </c>
      <c r="F87" s="91">
        <v>0.65966224738846613</v>
      </c>
      <c r="G87" s="84">
        <v>1</v>
      </c>
      <c r="H87" s="90">
        <v>2325</v>
      </c>
      <c r="I87" s="90">
        <v>12133</v>
      </c>
      <c r="J87" s="84">
        <v>5</v>
      </c>
      <c r="K87" s="90">
        <v>83078</v>
      </c>
      <c r="L87" s="90">
        <v>15885</v>
      </c>
      <c r="M87" s="84">
        <v>4</v>
      </c>
      <c r="N87" s="90">
        <v>14613</v>
      </c>
      <c r="O87" s="90">
        <v>460</v>
      </c>
      <c r="P87" s="84">
        <v>6</v>
      </c>
      <c r="Q87" s="90">
        <v>67004</v>
      </c>
      <c r="R87" s="90">
        <v>111747</v>
      </c>
      <c r="S87" s="84">
        <v>4</v>
      </c>
      <c r="T87" s="90">
        <v>35671.717057271453</v>
      </c>
      <c r="U87" s="90">
        <v>61420.216167410239</v>
      </c>
      <c r="V87" s="84">
        <v>11</v>
      </c>
      <c r="W87" s="84">
        <v>660874</v>
      </c>
    </row>
    <row r="88" spans="1:23" x14ac:dyDescent="0.25">
      <c r="A88" s="92" t="s">
        <v>1827</v>
      </c>
      <c r="B88" s="90">
        <v>1</v>
      </c>
      <c r="C88" s="90">
        <v>0</v>
      </c>
      <c r="D88" s="91" t="e">
        <v>#DIV/0!</v>
      </c>
      <c r="E88" s="90">
        <v>0</v>
      </c>
      <c r="F88" s="91" t="e">
        <v>#DIV/0!</v>
      </c>
      <c r="G88" s="84">
        <v>0</v>
      </c>
      <c r="H88" s="90">
        <v>0</v>
      </c>
      <c r="I88" s="90">
        <v>0</v>
      </c>
      <c r="J88" s="84">
        <v>0</v>
      </c>
      <c r="K88" s="90">
        <v>0</v>
      </c>
      <c r="L88" s="90">
        <v>0</v>
      </c>
      <c r="M88" s="84">
        <v>0</v>
      </c>
      <c r="N88" s="90">
        <v>0</v>
      </c>
      <c r="O88" s="90">
        <v>0</v>
      </c>
      <c r="P88" s="84">
        <v>0</v>
      </c>
      <c r="Q88" s="90">
        <v>0</v>
      </c>
      <c r="R88" s="90">
        <v>0</v>
      </c>
      <c r="S88" s="84">
        <v>0</v>
      </c>
      <c r="T88" s="90">
        <v>0</v>
      </c>
      <c r="U88" s="90">
        <v>0</v>
      </c>
      <c r="V88" s="84">
        <v>0</v>
      </c>
      <c r="W88" s="84">
        <v>0</v>
      </c>
    </row>
    <row r="89" spans="1:23" x14ac:dyDescent="0.25">
      <c r="A89" s="92" t="s">
        <v>2395</v>
      </c>
      <c r="B89" s="90">
        <v>13</v>
      </c>
      <c r="C89" s="90">
        <v>182610</v>
      </c>
      <c r="D89" s="91">
        <v>0.60407505934309025</v>
      </c>
      <c r="E89" s="90">
        <v>495255</v>
      </c>
      <c r="F89" s="91">
        <v>0.47407523790869688</v>
      </c>
      <c r="G89" s="84">
        <v>5</v>
      </c>
      <c r="H89" s="90">
        <v>64521</v>
      </c>
      <c r="I89" s="90">
        <v>421951</v>
      </c>
      <c r="J89" s="84">
        <v>2</v>
      </c>
      <c r="K89" s="90">
        <v>88075</v>
      </c>
      <c r="L89" s="90">
        <v>9577</v>
      </c>
      <c r="M89" s="84">
        <v>4</v>
      </c>
      <c r="N89" s="90">
        <v>6639</v>
      </c>
      <c r="O89" s="90">
        <v>208204</v>
      </c>
      <c r="P89" s="84">
        <v>6</v>
      </c>
      <c r="Q89" s="90">
        <v>5487</v>
      </c>
      <c r="R89" s="90">
        <v>31692</v>
      </c>
      <c r="S89" s="84">
        <v>5</v>
      </c>
      <c r="T89" s="90">
        <v>1071.4657276995306</v>
      </c>
      <c r="U89" s="90">
        <v>6835.2021089630925</v>
      </c>
      <c r="V89" s="84">
        <v>12</v>
      </c>
      <c r="W89" s="84">
        <v>1814311</v>
      </c>
    </row>
    <row r="90" spans="1:23" x14ac:dyDescent="0.25">
      <c r="A90" s="92" t="s">
        <v>2536</v>
      </c>
      <c r="B90" s="90">
        <v>25</v>
      </c>
      <c r="C90" s="90">
        <v>341121</v>
      </c>
      <c r="D90" s="91">
        <v>0.74124659707074803</v>
      </c>
      <c r="E90" s="90">
        <v>2604928</v>
      </c>
      <c r="F90" s="91">
        <v>0.6151817150955935</v>
      </c>
      <c r="G90" s="84">
        <v>17</v>
      </c>
      <c r="H90" s="90">
        <v>298362</v>
      </c>
      <c r="I90" s="90">
        <v>2330351</v>
      </c>
      <c r="J90" s="84">
        <v>5</v>
      </c>
      <c r="K90" s="90">
        <v>32200</v>
      </c>
      <c r="L90" s="90">
        <v>3646</v>
      </c>
      <c r="M90" s="84">
        <v>10</v>
      </c>
      <c r="N90" s="90">
        <v>156255</v>
      </c>
      <c r="O90" s="90">
        <v>844471</v>
      </c>
      <c r="P90" s="84">
        <v>18</v>
      </c>
      <c r="Q90" s="90">
        <v>120366</v>
      </c>
      <c r="R90" s="90">
        <v>480417</v>
      </c>
      <c r="S90" s="84">
        <v>8</v>
      </c>
      <c r="T90" s="90">
        <v>15864</v>
      </c>
      <c r="U90" s="90">
        <v>106405</v>
      </c>
      <c r="V90" s="84">
        <v>25</v>
      </c>
      <c r="W90" s="84">
        <v>1100971</v>
      </c>
    </row>
    <row r="91" spans="1:23" x14ac:dyDescent="0.25">
      <c r="A91" s="92" t="s">
        <v>2956</v>
      </c>
      <c r="B91" s="90">
        <v>10</v>
      </c>
      <c r="C91" s="90">
        <v>148789</v>
      </c>
      <c r="D91" s="91">
        <v>0.67054050213711269</v>
      </c>
      <c r="E91" s="90">
        <v>1411746</v>
      </c>
      <c r="F91" s="91">
        <v>0.64866106520498212</v>
      </c>
      <c r="G91" s="84">
        <v>0</v>
      </c>
      <c r="H91" s="90">
        <v>0</v>
      </c>
      <c r="I91" s="90">
        <v>0</v>
      </c>
      <c r="J91" s="84">
        <v>1</v>
      </c>
      <c r="K91" s="90">
        <v>7507</v>
      </c>
      <c r="L91" s="90">
        <v>2963</v>
      </c>
      <c r="M91" s="84">
        <v>0</v>
      </c>
      <c r="N91" s="90">
        <v>0</v>
      </c>
      <c r="O91" s="90">
        <v>0</v>
      </c>
      <c r="P91" s="84">
        <v>7</v>
      </c>
      <c r="Q91" s="90">
        <v>35231</v>
      </c>
      <c r="R91" s="90">
        <v>112730</v>
      </c>
      <c r="S91" s="84">
        <v>8</v>
      </c>
      <c r="T91" s="90">
        <v>45290</v>
      </c>
      <c r="U91" s="90">
        <v>336777</v>
      </c>
      <c r="V91" s="84">
        <v>10</v>
      </c>
      <c r="W91" s="84">
        <v>199161</v>
      </c>
    </row>
    <row r="92" spans="1:23" x14ac:dyDescent="0.25">
      <c r="A92" s="92" t="s">
        <v>4471</v>
      </c>
      <c r="B92" s="90">
        <v>18</v>
      </c>
      <c r="C92" s="90">
        <v>1523458</v>
      </c>
      <c r="D92" s="91">
        <v>0.67977662190590415</v>
      </c>
      <c r="E92" s="90">
        <v>4181947</v>
      </c>
      <c r="F92" s="91">
        <v>0.57470838387823164</v>
      </c>
      <c r="G92" s="84">
        <v>0</v>
      </c>
      <c r="H92" s="90">
        <v>0</v>
      </c>
      <c r="I92" s="90">
        <v>0</v>
      </c>
      <c r="J92" s="84">
        <v>1</v>
      </c>
      <c r="K92" s="90">
        <v>2500</v>
      </c>
      <c r="L92" s="90">
        <v>5000</v>
      </c>
      <c r="M92" s="84">
        <v>0</v>
      </c>
      <c r="N92" s="90">
        <v>0</v>
      </c>
      <c r="O92" s="90">
        <v>0</v>
      </c>
      <c r="P92" s="84">
        <v>14</v>
      </c>
      <c r="Q92" s="90">
        <v>1406917</v>
      </c>
      <c r="R92" s="90">
        <v>3646299</v>
      </c>
      <c r="S92" s="84">
        <v>10</v>
      </c>
      <c r="T92" s="90">
        <v>107827</v>
      </c>
      <c r="U92" s="90">
        <v>562237</v>
      </c>
      <c r="V92" s="84">
        <v>15</v>
      </c>
      <c r="W92" s="84">
        <v>196388</v>
      </c>
    </row>
    <row r="93" spans="1:23" x14ac:dyDescent="0.25">
      <c r="A93" s="92" t="s">
        <v>14390</v>
      </c>
      <c r="B93" s="90">
        <v>1</v>
      </c>
      <c r="C93" s="90">
        <v>0</v>
      </c>
      <c r="D93" s="91" t="e">
        <v>#DIV/0!</v>
      </c>
      <c r="E93" s="90">
        <v>0</v>
      </c>
      <c r="F93" s="91" t="e">
        <v>#DIV/0!</v>
      </c>
      <c r="G93" s="84">
        <v>0</v>
      </c>
      <c r="H93" s="90">
        <v>0</v>
      </c>
      <c r="I93" s="90">
        <v>0</v>
      </c>
      <c r="J93" s="84">
        <v>0</v>
      </c>
      <c r="K93" s="90">
        <v>0</v>
      </c>
      <c r="L93" s="90">
        <v>0</v>
      </c>
      <c r="M93" s="84">
        <v>0</v>
      </c>
      <c r="N93" s="90">
        <v>0</v>
      </c>
      <c r="O93" s="90">
        <v>0</v>
      </c>
      <c r="P93" s="84">
        <v>1</v>
      </c>
      <c r="Q93" s="90">
        <v>0</v>
      </c>
      <c r="R93" s="90">
        <v>0</v>
      </c>
      <c r="S93" s="84">
        <v>1</v>
      </c>
      <c r="T93" s="90">
        <v>0</v>
      </c>
      <c r="U93" s="90">
        <v>0</v>
      </c>
      <c r="V93" s="84">
        <v>1</v>
      </c>
      <c r="W93" s="84">
        <v>0</v>
      </c>
    </row>
    <row r="94" spans="1:23" x14ac:dyDescent="0.25">
      <c r="A94" s="92" t="s">
        <v>7835</v>
      </c>
      <c r="B94" s="90">
        <v>20</v>
      </c>
      <c r="C94" s="90">
        <v>1467426</v>
      </c>
      <c r="D94" s="91">
        <v>0.61302994744569006</v>
      </c>
      <c r="E94" s="90">
        <v>10270754</v>
      </c>
      <c r="F94" s="91">
        <v>0.50496848024805985</v>
      </c>
      <c r="G94" s="84">
        <v>8</v>
      </c>
      <c r="H94" s="90">
        <v>117845</v>
      </c>
      <c r="I94" s="90">
        <v>2956399</v>
      </c>
      <c r="J94" s="84">
        <v>6</v>
      </c>
      <c r="K94" s="90">
        <v>67591</v>
      </c>
      <c r="L94" s="90">
        <v>211001</v>
      </c>
      <c r="M94" s="84">
        <v>7</v>
      </c>
      <c r="N94" s="90">
        <v>113270</v>
      </c>
      <c r="O94" s="90">
        <v>675727</v>
      </c>
      <c r="P94" s="84">
        <v>17</v>
      </c>
      <c r="Q94" s="90">
        <v>604201</v>
      </c>
      <c r="R94" s="90">
        <v>1224524</v>
      </c>
      <c r="S94" s="84">
        <v>12</v>
      </c>
      <c r="T94" s="90">
        <v>99965</v>
      </c>
      <c r="U94" s="90">
        <v>877543</v>
      </c>
      <c r="V94" s="84">
        <v>19</v>
      </c>
      <c r="W94" s="84">
        <v>2215838</v>
      </c>
    </row>
    <row r="95" spans="1:23" x14ac:dyDescent="0.25">
      <c r="A95" s="92" t="s">
        <v>9043</v>
      </c>
      <c r="B95" s="90">
        <v>27</v>
      </c>
      <c r="C95" s="90">
        <v>552691</v>
      </c>
      <c r="D95" s="91">
        <v>0.55762794369051505</v>
      </c>
      <c r="E95" s="90">
        <v>10690417</v>
      </c>
      <c r="F95" s="91">
        <v>0.52098212431438784</v>
      </c>
      <c r="G95" s="84">
        <v>11</v>
      </c>
      <c r="H95" s="90">
        <v>141749</v>
      </c>
      <c r="I95" s="90">
        <v>402865</v>
      </c>
      <c r="J95" s="84">
        <v>4</v>
      </c>
      <c r="K95" s="90">
        <v>4331</v>
      </c>
      <c r="L95" s="90">
        <v>5019</v>
      </c>
      <c r="M95" s="84">
        <v>6</v>
      </c>
      <c r="N95" s="90">
        <v>4141</v>
      </c>
      <c r="O95" s="90">
        <v>9866</v>
      </c>
      <c r="P95" s="84">
        <v>22</v>
      </c>
      <c r="Q95" s="90">
        <v>229450</v>
      </c>
      <c r="R95" s="90">
        <v>2875166</v>
      </c>
      <c r="S95" s="84">
        <v>15</v>
      </c>
      <c r="T95" s="90">
        <v>66438</v>
      </c>
      <c r="U95" s="90">
        <v>447769</v>
      </c>
      <c r="V95" s="84">
        <v>25</v>
      </c>
      <c r="W95" s="84">
        <v>2216774</v>
      </c>
    </row>
    <row r="96" spans="1:23" x14ac:dyDescent="0.25">
      <c r="A96" s="92" t="s">
        <v>14446</v>
      </c>
      <c r="B96" s="90">
        <v>1</v>
      </c>
      <c r="C96" s="90">
        <v>0</v>
      </c>
      <c r="D96" s="91" t="e">
        <v>#DIV/0!</v>
      </c>
      <c r="E96" s="90">
        <v>0</v>
      </c>
      <c r="F96" s="91" t="e">
        <v>#DIV/0!</v>
      </c>
      <c r="G96" s="84">
        <v>0</v>
      </c>
      <c r="H96" s="90">
        <v>0</v>
      </c>
      <c r="I96" s="90">
        <v>0</v>
      </c>
      <c r="J96" s="84">
        <v>0</v>
      </c>
      <c r="K96" s="90">
        <v>0</v>
      </c>
      <c r="L96" s="90">
        <v>0</v>
      </c>
      <c r="M96" s="84">
        <v>0</v>
      </c>
      <c r="N96" s="90">
        <v>0</v>
      </c>
      <c r="O96" s="90">
        <v>0</v>
      </c>
      <c r="P96" s="84">
        <v>1</v>
      </c>
      <c r="Q96" s="90">
        <v>0</v>
      </c>
      <c r="R96" s="90">
        <v>0</v>
      </c>
      <c r="S96" s="84">
        <v>1</v>
      </c>
      <c r="T96" s="90">
        <v>0</v>
      </c>
      <c r="U96" s="90">
        <v>0</v>
      </c>
      <c r="V96" s="84">
        <v>1</v>
      </c>
      <c r="W96" s="84">
        <v>0</v>
      </c>
    </row>
    <row r="97" spans="1:23" x14ac:dyDescent="0.25">
      <c r="A97" s="92" t="s">
        <v>10594</v>
      </c>
      <c r="B97" s="90">
        <v>9</v>
      </c>
      <c r="C97" s="90">
        <v>686912</v>
      </c>
      <c r="D97" s="91">
        <v>0.60080763420171879</v>
      </c>
      <c r="E97" s="90">
        <v>2986848</v>
      </c>
      <c r="F97" s="91">
        <v>0.55968518217093177</v>
      </c>
      <c r="G97" s="84">
        <v>5</v>
      </c>
      <c r="H97" s="90">
        <v>667568</v>
      </c>
      <c r="I97" s="90">
        <v>2894280</v>
      </c>
      <c r="J97" s="84">
        <v>2</v>
      </c>
      <c r="K97" s="90">
        <v>1376</v>
      </c>
      <c r="L97" s="90">
        <v>27212</v>
      </c>
      <c r="M97" s="84">
        <v>1</v>
      </c>
      <c r="N97" s="90">
        <v>1295</v>
      </c>
      <c r="O97" s="90">
        <v>14259</v>
      </c>
      <c r="P97" s="84">
        <v>6</v>
      </c>
      <c r="Q97" s="90">
        <v>65256</v>
      </c>
      <c r="R97" s="90">
        <v>738064</v>
      </c>
      <c r="S97" s="84">
        <v>4</v>
      </c>
      <c r="T97" s="90">
        <v>10104.453441295547</v>
      </c>
      <c r="U97" s="90">
        <v>61950</v>
      </c>
      <c r="V97" s="84">
        <v>7</v>
      </c>
      <c r="W97" s="84">
        <v>144000</v>
      </c>
    </row>
    <row r="98" spans="1:23" x14ac:dyDescent="0.25">
      <c r="A98" s="92" t="s">
        <v>14459</v>
      </c>
      <c r="B98" s="90">
        <v>1</v>
      </c>
      <c r="C98" s="90">
        <v>4993</v>
      </c>
      <c r="D98" s="91">
        <v>0.8948527939114761</v>
      </c>
      <c r="E98" s="90">
        <v>19972</v>
      </c>
      <c r="F98" s="91">
        <v>0.8948527939114761</v>
      </c>
      <c r="G98" s="84">
        <v>0</v>
      </c>
      <c r="H98" s="90">
        <v>0</v>
      </c>
      <c r="I98" s="90">
        <v>0</v>
      </c>
      <c r="J98" s="84">
        <v>0</v>
      </c>
      <c r="K98" s="90">
        <v>0</v>
      </c>
      <c r="L98" s="90">
        <v>0</v>
      </c>
      <c r="M98" s="84">
        <v>1</v>
      </c>
      <c r="N98" s="90">
        <v>21</v>
      </c>
      <c r="O98" s="90">
        <v>105</v>
      </c>
      <c r="P98" s="84">
        <v>1</v>
      </c>
      <c r="Q98" s="90">
        <v>4993</v>
      </c>
      <c r="R98" s="90">
        <v>19972</v>
      </c>
      <c r="S98" s="84">
        <v>1</v>
      </c>
      <c r="T98" s="90">
        <v>4993</v>
      </c>
      <c r="U98" s="90">
        <v>19972</v>
      </c>
      <c r="V98" s="84">
        <v>1</v>
      </c>
      <c r="W98" s="84">
        <v>190550</v>
      </c>
    </row>
    <row r="99" spans="1:23" x14ac:dyDescent="0.25">
      <c r="A99" s="89" t="s">
        <v>14272</v>
      </c>
      <c r="B99" s="90">
        <v>1044</v>
      </c>
      <c r="C99" s="90">
        <v>80120323</v>
      </c>
      <c r="D99" s="91">
        <v>0.60135859719555307</v>
      </c>
      <c r="E99" s="90">
        <v>255954737</v>
      </c>
      <c r="F99" s="91">
        <v>0.56338872153903408</v>
      </c>
      <c r="G99" s="84">
        <v>371</v>
      </c>
      <c r="H99" s="90">
        <v>11632688</v>
      </c>
      <c r="I99" s="90">
        <v>28718595</v>
      </c>
      <c r="J99" s="84">
        <v>174</v>
      </c>
      <c r="K99" s="90">
        <v>50097850</v>
      </c>
      <c r="L99" s="90">
        <v>59515215</v>
      </c>
      <c r="M99" s="84">
        <v>229</v>
      </c>
      <c r="N99" s="90">
        <v>1628130</v>
      </c>
      <c r="O99" s="90">
        <v>8238240</v>
      </c>
      <c r="P99" s="84">
        <v>619</v>
      </c>
      <c r="Q99" s="90">
        <v>28662424</v>
      </c>
      <c r="R99" s="90">
        <v>33631878</v>
      </c>
      <c r="S99" s="84">
        <v>385</v>
      </c>
      <c r="T99" s="90">
        <v>2695214.6566565563</v>
      </c>
      <c r="U99" s="90">
        <v>14251779.216405325</v>
      </c>
      <c r="V99" s="84">
        <v>923</v>
      </c>
      <c r="W99" s="84">
        <v>135052091</v>
      </c>
    </row>
    <row r="104" spans="1:23" ht="75" x14ac:dyDescent="0.25">
      <c r="A104" s="93" t="s">
        <v>14472</v>
      </c>
      <c r="B104" s="93" t="s">
        <v>14473</v>
      </c>
      <c r="C104" s="93" t="s">
        <v>14303</v>
      </c>
      <c r="D104" s="93" t="s">
        <v>14475</v>
      </c>
      <c r="E104" s="94" t="s">
        <v>14304</v>
      </c>
      <c r="F104" s="95" t="s">
        <v>14476</v>
      </c>
      <c r="G104" s="85" t="s">
        <v>14495</v>
      </c>
    </row>
    <row r="105" spans="1:23" x14ac:dyDescent="0.25">
      <c r="A105" s="96" t="s">
        <v>306</v>
      </c>
      <c r="B105" s="61">
        <v>329</v>
      </c>
      <c r="C105" s="61">
        <v>56738386</v>
      </c>
      <c r="D105" s="97">
        <v>0.61864802823615272</v>
      </c>
      <c r="E105" s="61">
        <v>171258679</v>
      </c>
      <c r="F105" s="97">
        <v>0.57351556409181614</v>
      </c>
      <c r="G105" s="98">
        <v>3.0183917991604483</v>
      </c>
    </row>
    <row r="106" spans="1:23" x14ac:dyDescent="0.25">
      <c r="A106" s="92" t="s">
        <v>305</v>
      </c>
      <c r="B106" s="90">
        <v>28</v>
      </c>
      <c r="C106" s="90">
        <v>567542</v>
      </c>
      <c r="D106" s="91">
        <v>0.7688183120626354</v>
      </c>
      <c r="E106" s="90">
        <v>417085</v>
      </c>
      <c r="F106" s="91">
        <v>0.66869349887291207</v>
      </c>
      <c r="G106" s="98">
        <v>0.73489715298603453</v>
      </c>
    </row>
    <row r="107" spans="1:23" x14ac:dyDescent="0.25">
      <c r="A107" s="92" t="s">
        <v>14345</v>
      </c>
      <c r="B107" s="90">
        <v>1</v>
      </c>
      <c r="C107" s="90">
        <v>50</v>
      </c>
      <c r="D107" s="91">
        <v>0.6</v>
      </c>
      <c r="E107" s="90">
        <v>0</v>
      </c>
      <c r="F107" s="91"/>
      <c r="G107" s="98">
        <v>0</v>
      </c>
    </row>
    <row r="108" spans="1:23" x14ac:dyDescent="0.25">
      <c r="A108" s="92" t="s">
        <v>652</v>
      </c>
      <c r="B108" s="90">
        <v>44</v>
      </c>
      <c r="C108" s="90">
        <v>13068519</v>
      </c>
      <c r="D108" s="91">
        <v>0.5812310903779031</v>
      </c>
      <c r="E108" s="90">
        <v>37619839</v>
      </c>
      <c r="F108" s="91">
        <v>0.51851272219835087</v>
      </c>
      <c r="G108" s="98">
        <v>2.8786612316208133</v>
      </c>
    </row>
    <row r="109" spans="1:23" x14ac:dyDescent="0.25">
      <c r="A109" s="92" t="s">
        <v>2092</v>
      </c>
      <c r="B109" s="90">
        <v>31</v>
      </c>
      <c r="C109" s="90">
        <v>148874</v>
      </c>
      <c r="D109" s="91">
        <v>0.57830030780677344</v>
      </c>
      <c r="E109" s="90">
        <v>370891</v>
      </c>
      <c r="F109" s="91">
        <v>0.57566531600708426</v>
      </c>
      <c r="G109" s="98">
        <v>2.4913080860324839</v>
      </c>
    </row>
    <row r="110" spans="1:23" x14ac:dyDescent="0.25">
      <c r="A110" s="92" t="s">
        <v>4268</v>
      </c>
      <c r="B110" s="90">
        <v>2</v>
      </c>
      <c r="C110" s="90">
        <v>28872</v>
      </c>
      <c r="D110" s="91">
        <v>0.47821262917277813</v>
      </c>
      <c r="E110" s="90">
        <v>0</v>
      </c>
      <c r="F110" s="91"/>
      <c r="G110" s="98">
        <v>0</v>
      </c>
    </row>
    <row r="111" spans="1:23" x14ac:dyDescent="0.25">
      <c r="A111" s="92" t="s">
        <v>5300</v>
      </c>
      <c r="B111" s="90">
        <v>48</v>
      </c>
      <c r="C111" s="90">
        <v>39847921</v>
      </c>
      <c r="D111" s="91">
        <v>0.67723623699410862</v>
      </c>
      <c r="E111" s="90">
        <v>116539369</v>
      </c>
      <c r="F111" s="91">
        <v>0.57158029786638231</v>
      </c>
      <c r="G111" s="98">
        <v>2.9246034943705093</v>
      </c>
    </row>
    <row r="112" spans="1:23" x14ac:dyDescent="0.25">
      <c r="A112" s="92" t="s">
        <v>5932</v>
      </c>
      <c r="B112" s="90">
        <v>10</v>
      </c>
      <c r="C112" s="90">
        <v>39230</v>
      </c>
      <c r="D112" s="91">
        <v>0.64905990305761863</v>
      </c>
      <c r="E112" s="90">
        <v>150467</v>
      </c>
      <c r="F112" s="91">
        <v>0.53975464293439634</v>
      </c>
      <c r="G112" s="98">
        <v>3.8355085393831252</v>
      </c>
    </row>
    <row r="113" spans="1:7" x14ac:dyDescent="0.25">
      <c r="A113" s="92" t="s">
        <v>14402</v>
      </c>
      <c r="B113" s="90">
        <v>1</v>
      </c>
      <c r="C113" s="90">
        <v>0</v>
      </c>
      <c r="D113" s="91"/>
      <c r="E113" s="90">
        <v>0</v>
      </c>
      <c r="F113" s="91"/>
      <c r="G113" s="98"/>
    </row>
    <row r="114" spans="1:7" x14ac:dyDescent="0.25">
      <c r="A114" s="92" t="s">
        <v>6850</v>
      </c>
      <c r="B114" s="90">
        <v>15</v>
      </c>
      <c r="C114" s="90">
        <v>27024</v>
      </c>
      <c r="D114" s="91">
        <v>0.59418922533865492</v>
      </c>
      <c r="E114" s="90">
        <v>109943</v>
      </c>
      <c r="F114" s="91">
        <v>0.61362717568236058</v>
      </c>
      <c r="G114" s="98">
        <v>4.0683466548253406</v>
      </c>
    </row>
    <row r="115" spans="1:7" x14ac:dyDescent="0.25">
      <c r="A115" s="92" t="s">
        <v>8444</v>
      </c>
      <c r="B115" s="90">
        <v>12</v>
      </c>
      <c r="C115" s="90">
        <v>160351</v>
      </c>
      <c r="D115" s="91">
        <v>0.6561834637573607</v>
      </c>
      <c r="E115" s="90">
        <v>362369</v>
      </c>
      <c r="F115" s="91">
        <v>0.82229545352267108</v>
      </c>
      <c r="G115" s="98">
        <v>2.2598487068992399</v>
      </c>
    </row>
    <row r="116" spans="1:7" x14ac:dyDescent="0.25">
      <c r="A116" s="92" t="s">
        <v>8647</v>
      </c>
      <c r="B116" s="90">
        <v>41</v>
      </c>
      <c r="C116" s="90">
        <v>997355</v>
      </c>
      <c r="D116" s="91">
        <v>0.61158729328208616</v>
      </c>
      <c r="E116" s="90">
        <v>388948</v>
      </c>
      <c r="F116" s="91">
        <v>0.66408487293546237</v>
      </c>
      <c r="G116" s="98">
        <v>0.38997949576630186</v>
      </c>
    </row>
    <row r="117" spans="1:7" x14ac:dyDescent="0.25">
      <c r="A117" s="92" t="s">
        <v>9427</v>
      </c>
      <c r="B117" s="90">
        <v>14</v>
      </c>
      <c r="C117" s="90">
        <v>148191</v>
      </c>
      <c r="D117" s="91">
        <v>0.63844931974160646</v>
      </c>
      <c r="E117" s="90">
        <v>1015378</v>
      </c>
      <c r="F117" s="91">
        <v>0.62429695294889465</v>
      </c>
      <c r="G117" s="98">
        <v>6.8518196111774667</v>
      </c>
    </row>
    <row r="118" spans="1:7" x14ac:dyDescent="0.25">
      <c r="A118" s="92" t="s">
        <v>9516</v>
      </c>
      <c r="B118" s="90">
        <v>15</v>
      </c>
      <c r="C118" s="90">
        <v>345898</v>
      </c>
      <c r="D118" s="91">
        <v>0.47220774690922673</v>
      </c>
      <c r="E118" s="90">
        <v>1043965</v>
      </c>
      <c r="F118" s="91">
        <v>0.49425807529698901</v>
      </c>
      <c r="G118" s="98">
        <v>3.0181296220273031</v>
      </c>
    </row>
    <row r="119" spans="1:7" x14ac:dyDescent="0.25">
      <c r="A119" s="92" t="s">
        <v>10263</v>
      </c>
      <c r="B119" s="90">
        <v>5</v>
      </c>
      <c r="C119" s="90">
        <v>104825</v>
      </c>
      <c r="D119" s="91">
        <v>0.48709077128504985</v>
      </c>
      <c r="E119" s="90">
        <v>413402</v>
      </c>
      <c r="F119" s="91">
        <v>0.48628372855937546</v>
      </c>
      <c r="G119" s="98">
        <v>3.9437347960887195</v>
      </c>
    </row>
    <row r="120" spans="1:7" x14ac:dyDescent="0.25">
      <c r="A120" s="92" t="s">
        <v>11304</v>
      </c>
      <c r="B120" s="90">
        <v>13</v>
      </c>
      <c r="C120" s="90">
        <v>26061</v>
      </c>
      <c r="D120" s="91">
        <v>0.61987507512978324</v>
      </c>
      <c r="E120" s="90">
        <v>11103520</v>
      </c>
      <c r="F120" s="91">
        <v>0.57069461281259937</v>
      </c>
      <c r="G120" s="98">
        <v>426.05886190092474</v>
      </c>
    </row>
    <row r="121" spans="1:7" x14ac:dyDescent="0.25">
      <c r="A121" s="92" t="s">
        <v>12294</v>
      </c>
      <c r="B121" s="90">
        <v>17</v>
      </c>
      <c r="C121" s="90">
        <v>331614</v>
      </c>
      <c r="D121" s="91">
        <v>0.54273386684113023</v>
      </c>
      <c r="E121" s="90">
        <v>301082</v>
      </c>
      <c r="F121" s="91">
        <v>0.522680942799577</v>
      </c>
      <c r="G121" s="98">
        <v>0.9079290982889745</v>
      </c>
    </row>
    <row r="122" spans="1:7" x14ac:dyDescent="0.25">
      <c r="A122" s="92" t="s">
        <v>12547</v>
      </c>
      <c r="B122" s="90">
        <v>9</v>
      </c>
      <c r="C122" s="90">
        <v>815322</v>
      </c>
      <c r="D122" s="91">
        <v>0.50506259634459605</v>
      </c>
      <c r="E122" s="90">
        <v>1259949</v>
      </c>
      <c r="F122" s="91">
        <v>0.48984844850254916</v>
      </c>
      <c r="G122" s="98">
        <v>1.5453391420812881</v>
      </c>
    </row>
    <row r="123" spans="1:7" x14ac:dyDescent="0.25">
      <c r="A123" s="92" t="s">
        <v>13272</v>
      </c>
      <c r="B123" s="90">
        <v>7</v>
      </c>
      <c r="C123" s="90">
        <v>24117</v>
      </c>
      <c r="D123" s="91">
        <v>0.53434130715295947</v>
      </c>
      <c r="E123" s="90">
        <v>54783</v>
      </c>
      <c r="F123" s="91">
        <v>0.54433585452718969</v>
      </c>
      <c r="G123" s="98">
        <v>2.2715511879587011</v>
      </c>
    </row>
    <row r="124" spans="1:7" x14ac:dyDescent="0.25">
      <c r="A124" s="92" t="s">
        <v>13409</v>
      </c>
      <c r="B124" s="90">
        <v>16</v>
      </c>
      <c r="C124" s="90">
        <v>56620</v>
      </c>
      <c r="D124" s="91">
        <v>0.70899508728214322</v>
      </c>
      <c r="E124" s="90">
        <v>107689</v>
      </c>
      <c r="F124" s="91">
        <v>0.50718326373691058</v>
      </c>
      <c r="G124" s="98">
        <v>1.901960438007771</v>
      </c>
    </row>
    <row r="125" spans="1:7" x14ac:dyDescent="0.25">
      <c r="A125" s="96" t="s">
        <v>1874</v>
      </c>
      <c r="B125" s="61">
        <v>200</v>
      </c>
      <c r="C125" s="61">
        <v>9086533</v>
      </c>
      <c r="D125" s="97">
        <v>0.64040981751409332</v>
      </c>
      <c r="E125" s="61">
        <v>31237244</v>
      </c>
      <c r="F125" s="97">
        <v>0.61838858040956624</v>
      </c>
      <c r="G125" s="98">
        <v>3.4377516705216391</v>
      </c>
    </row>
    <row r="126" spans="1:7" x14ac:dyDescent="0.25">
      <c r="A126" s="92" t="s">
        <v>1873</v>
      </c>
      <c r="B126" s="90">
        <v>13</v>
      </c>
      <c r="C126" s="90">
        <v>1803278</v>
      </c>
      <c r="D126" s="91">
        <v>0.68342286501087146</v>
      </c>
      <c r="E126" s="90">
        <v>4208650</v>
      </c>
      <c r="F126" s="91">
        <v>0.68158061964368732</v>
      </c>
      <c r="G126" s="98">
        <v>2.3338886183938361</v>
      </c>
    </row>
    <row r="127" spans="1:7" x14ac:dyDescent="0.25">
      <c r="A127" s="92" t="s">
        <v>14322</v>
      </c>
      <c r="B127" s="90">
        <v>15</v>
      </c>
      <c r="C127" s="90">
        <v>237408</v>
      </c>
      <c r="D127" s="91">
        <v>0.6708295989639711</v>
      </c>
      <c r="E127" s="90">
        <v>2724226</v>
      </c>
      <c r="F127" s="91">
        <v>0.63199145206110607</v>
      </c>
      <c r="G127" s="98">
        <v>11.474870265534438</v>
      </c>
    </row>
    <row r="128" spans="1:7" x14ac:dyDescent="0.25">
      <c r="A128" s="92" t="s">
        <v>3868</v>
      </c>
      <c r="B128" s="90">
        <v>34</v>
      </c>
      <c r="C128" s="90">
        <v>1603857</v>
      </c>
      <c r="D128" s="91">
        <v>0.62299358381465664</v>
      </c>
      <c r="E128" s="90">
        <v>1975497</v>
      </c>
      <c r="F128" s="91">
        <v>0.58984443479795567</v>
      </c>
      <c r="G128" s="98">
        <v>1.2317164186083922</v>
      </c>
    </row>
    <row r="129" spans="1:7" x14ac:dyDescent="0.25">
      <c r="A129" s="92" t="s">
        <v>6457</v>
      </c>
      <c r="B129" s="90">
        <v>37</v>
      </c>
      <c r="C129" s="90">
        <v>1870808</v>
      </c>
      <c r="D129" s="91">
        <v>0.69592304186527365</v>
      </c>
      <c r="E129" s="90">
        <v>11638509</v>
      </c>
      <c r="F129" s="91">
        <v>0.57687026712515732</v>
      </c>
      <c r="G129" s="98">
        <v>6.2211135509362796</v>
      </c>
    </row>
    <row r="130" spans="1:7" x14ac:dyDescent="0.25">
      <c r="A130" s="92" t="s">
        <v>10371</v>
      </c>
      <c r="B130" s="90">
        <v>20</v>
      </c>
      <c r="C130" s="90">
        <v>675860</v>
      </c>
      <c r="D130" s="91">
        <v>0.78968791465112687</v>
      </c>
      <c r="E130" s="90">
        <v>2379845</v>
      </c>
      <c r="F130" s="91">
        <v>0.70405730029804736</v>
      </c>
      <c r="G130" s="98">
        <v>3.5212100139082056</v>
      </c>
    </row>
    <row r="131" spans="1:7" x14ac:dyDescent="0.25">
      <c r="A131" s="92" t="s">
        <v>10685</v>
      </c>
      <c r="B131" s="90">
        <v>26</v>
      </c>
      <c r="C131" s="90">
        <v>570944</v>
      </c>
      <c r="D131" s="91">
        <v>0.55161425746045134</v>
      </c>
      <c r="E131" s="90">
        <v>774996</v>
      </c>
      <c r="F131" s="91">
        <v>0.53270121790546532</v>
      </c>
      <c r="G131" s="98">
        <v>1.3573940701715055</v>
      </c>
    </row>
    <row r="132" spans="1:7" x14ac:dyDescent="0.25">
      <c r="A132" s="92" t="s">
        <v>11104</v>
      </c>
      <c r="B132" s="90">
        <v>11</v>
      </c>
      <c r="C132" s="90">
        <v>155560</v>
      </c>
      <c r="D132" s="91">
        <v>0.63726085489832041</v>
      </c>
      <c r="E132" s="90">
        <v>322543</v>
      </c>
      <c r="F132" s="91">
        <v>0.61861878956897143</v>
      </c>
      <c r="G132" s="98">
        <v>2.0734314733864747</v>
      </c>
    </row>
    <row r="133" spans="1:7" x14ac:dyDescent="0.25">
      <c r="A133" s="92" t="s">
        <v>11417</v>
      </c>
      <c r="B133" s="90">
        <v>20</v>
      </c>
      <c r="C133" s="90">
        <v>1404052</v>
      </c>
      <c r="D133" s="91">
        <v>0.56391051282422899</v>
      </c>
      <c r="E133" s="90">
        <v>1862373</v>
      </c>
      <c r="F133" s="91">
        <v>0.54575421982169336</v>
      </c>
      <c r="G133" s="98">
        <v>1.326427368786911</v>
      </c>
    </row>
    <row r="134" spans="1:7" x14ac:dyDescent="0.25">
      <c r="A134" s="92" t="s">
        <v>12090</v>
      </c>
      <c r="B134" s="90">
        <v>8</v>
      </c>
      <c r="C134" s="90">
        <v>414698</v>
      </c>
      <c r="D134" s="91">
        <v>0.60583582296037974</v>
      </c>
      <c r="E134" s="90">
        <v>1673292</v>
      </c>
      <c r="F134" s="91">
        <v>0.69743372021709937</v>
      </c>
      <c r="G134" s="98">
        <v>4.0349652035939405</v>
      </c>
    </row>
    <row r="135" spans="1:7" x14ac:dyDescent="0.25">
      <c r="A135" s="92" t="s">
        <v>12694</v>
      </c>
      <c r="B135" s="90">
        <v>16</v>
      </c>
      <c r="C135" s="90">
        <v>350068</v>
      </c>
      <c r="D135" s="91">
        <v>0.61291487059812921</v>
      </c>
      <c r="E135" s="90">
        <v>3677313</v>
      </c>
      <c r="F135" s="91">
        <v>0.64712199782610924</v>
      </c>
      <c r="G135" s="98">
        <v>10.504567683992825</v>
      </c>
    </row>
    <row r="136" spans="1:7" x14ac:dyDescent="0.25">
      <c r="A136" s="96" t="s">
        <v>2807</v>
      </c>
      <c r="B136" s="61">
        <v>93</v>
      </c>
      <c r="C136" s="61">
        <v>965705</v>
      </c>
      <c r="D136" s="97">
        <v>0.54386514136253505</v>
      </c>
      <c r="E136" s="61">
        <v>8449818</v>
      </c>
      <c r="F136" s="97">
        <v>0.50569315771584855</v>
      </c>
      <c r="G136" s="98">
        <v>8.7498956720737695</v>
      </c>
    </row>
    <row r="137" spans="1:7" x14ac:dyDescent="0.25">
      <c r="A137" s="92" t="s">
        <v>14361</v>
      </c>
      <c r="B137" s="90">
        <v>4</v>
      </c>
      <c r="C137" s="90">
        <v>4816</v>
      </c>
      <c r="D137" s="91">
        <v>0.55130041488255843</v>
      </c>
      <c r="E137" s="90">
        <v>18075</v>
      </c>
      <c r="F137" s="91">
        <v>0.58397257110693368</v>
      </c>
      <c r="G137" s="98">
        <v>3.7531146179401995</v>
      </c>
    </row>
    <row r="138" spans="1:7" x14ac:dyDescent="0.25">
      <c r="A138" s="92" t="s">
        <v>14363</v>
      </c>
      <c r="B138" s="90">
        <v>1</v>
      </c>
      <c r="C138" s="90">
        <v>0</v>
      </c>
      <c r="D138" s="91"/>
      <c r="E138" s="90">
        <v>0</v>
      </c>
      <c r="F138" s="91"/>
      <c r="G138" s="98"/>
    </row>
    <row r="139" spans="1:7" x14ac:dyDescent="0.25">
      <c r="A139" s="92" t="s">
        <v>3148</v>
      </c>
      <c r="B139" s="90">
        <v>3</v>
      </c>
      <c r="C139" s="90">
        <v>81205</v>
      </c>
      <c r="D139" s="91">
        <v>0.52201585551892438</v>
      </c>
      <c r="E139" s="90">
        <v>1810968</v>
      </c>
      <c r="F139" s="91">
        <v>0.27268447734771062</v>
      </c>
      <c r="G139" s="98">
        <v>22.30118835047103</v>
      </c>
    </row>
    <row r="140" spans="1:7" x14ac:dyDescent="0.25">
      <c r="A140" s="92" t="s">
        <v>3261</v>
      </c>
      <c r="B140" s="90">
        <v>1</v>
      </c>
      <c r="C140" s="90">
        <v>375</v>
      </c>
      <c r="D140" s="91"/>
      <c r="E140" s="90">
        <v>1250</v>
      </c>
      <c r="F140" s="91"/>
      <c r="G140" s="98">
        <v>3.3333333333333335</v>
      </c>
    </row>
    <row r="141" spans="1:7" x14ac:dyDescent="0.25">
      <c r="A141" s="92" t="s">
        <v>3272</v>
      </c>
      <c r="B141" s="90">
        <v>14</v>
      </c>
      <c r="C141" s="90">
        <v>55034</v>
      </c>
      <c r="D141" s="91">
        <v>0.53112618841806747</v>
      </c>
      <c r="E141" s="90">
        <v>80109</v>
      </c>
      <c r="F141" s="91">
        <v>0.51521403484673178</v>
      </c>
      <c r="G141" s="98">
        <v>1.4556274303158048</v>
      </c>
    </row>
    <row r="142" spans="1:7" x14ac:dyDescent="0.25">
      <c r="A142" s="92" t="s">
        <v>4777</v>
      </c>
      <c r="B142" s="90">
        <v>14</v>
      </c>
      <c r="C142" s="90">
        <v>45432</v>
      </c>
      <c r="D142" s="91">
        <v>0.65873929791629715</v>
      </c>
      <c r="E142" s="90">
        <v>501511</v>
      </c>
      <c r="F142" s="91">
        <v>0.59030959854686338</v>
      </c>
      <c r="G142" s="98">
        <v>11.038717203733052</v>
      </c>
    </row>
    <row r="143" spans="1:7" x14ac:dyDescent="0.25">
      <c r="A143" s="92" t="s">
        <v>5061</v>
      </c>
      <c r="B143" s="90">
        <v>9</v>
      </c>
      <c r="C143" s="90">
        <v>289917</v>
      </c>
      <c r="D143" s="91">
        <v>0.60556809985020255</v>
      </c>
      <c r="E143" s="90">
        <v>935686</v>
      </c>
      <c r="F143" s="91">
        <v>0.44416083162790354</v>
      </c>
      <c r="G143" s="98">
        <v>3.2274271601872262</v>
      </c>
    </row>
    <row r="144" spans="1:7" x14ac:dyDescent="0.25">
      <c r="A144" s="92" t="s">
        <v>5190</v>
      </c>
      <c r="B144" s="90">
        <v>12</v>
      </c>
      <c r="C144" s="90">
        <v>65864</v>
      </c>
      <c r="D144" s="91">
        <v>0.46926661068356923</v>
      </c>
      <c r="E144" s="90">
        <v>249889</v>
      </c>
      <c r="F144" s="91">
        <v>0.52100879359900143</v>
      </c>
      <c r="G144" s="98">
        <v>3.7940149398761083</v>
      </c>
    </row>
    <row r="145" spans="1:7" x14ac:dyDescent="0.25">
      <c r="A145" s="92" t="s">
        <v>8138</v>
      </c>
      <c r="B145" s="90">
        <v>1</v>
      </c>
      <c r="C145" s="90">
        <v>0</v>
      </c>
      <c r="D145" s="91"/>
      <c r="E145" s="90">
        <v>0</v>
      </c>
      <c r="F145" s="91"/>
      <c r="G145" s="98"/>
    </row>
    <row r="146" spans="1:7" x14ac:dyDescent="0.25">
      <c r="A146" s="92" t="s">
        <v>9042</v>
      </c>
      <c r="B146" s="90">
        <v>1</v>
      </c>
      <c r="C146" s="90">
        <v>5973</v>
      </c>
      <c r="D146" s="91">
        <v>0.5578436296668341</v>
      </c>
      <c r="E146" s="90">
        <v>0</v>
      </c>
      <c r="F146" s="91"/>
      <c r="G146" s="98">
        <v>0</v>
      </c>
    </row>
    <row r="147" spans="1:7" x14ac:dyDescent="0.25">
      <c r="A147" s="92" t="s">
        <v>9514</v>
      </c>
      <c r="B147" s="90">
        <v>1</v>
      </c>
      <c r="C147" s="90">
        <v>375</v>
      </c>
      <c r="D147" s="91"/>
      <c r="E147" s="90">
        <v>585</v>
      </c>
      <c r="F147" s="91"/>
      <c r="G147" s="98">
        <v>1.56</v>
      </c>
    </row>
    <row r="148" spans="1:7" x14ac:dyDescent="0.25">
      <c r="A148" s="92" t="s">
        <v>9706</v>
      </c>
      <c r="B148" s="90">
        <v>32</v>
      </c>
      <c r="C148" s="90">
        <v>416714</v>
      </c>
      <c r="D148" s="91">
        <v>0.51473895104270206</v>
      </c>
      <c r="E148" s="90">
        <v>4851745</v>
      </c>
      <c r="F148" s="91">
        <v>0.45843927697331455</v>
      </c>
      <c r="G148" s="98">
        <v>11.642865370493912</v>
      </c>
    </row>
    <row r="149" spans="1:7" x14ac:dyDescent="0.25">
      <c r="A149" s="96" t="s">
        <v>602</v>
      </c>
      <c r="B149" s="61">
        <v>194</v>
      </c>
      <c r="C149" s="61">
        <v>3616754</v>
      </c>
      <c r="D149" s="97">
        <v>0.50792554268587053</v>
      </c>
      <c r="E149" s="61">
        <v>5133376</v>
      </c>
      <c r="F149" s="97">
        <v>0.51102386877395134</v>
      </c>
      <c r="G149" s="98">
        <v>1.4193323626655283</v>
      </c>
    </row>
    <row r="150" spans="1:7" x14ac:dyDescent="0.25">
      <c r="A150" s="92" t="s">
        <v>601</v>
      </c>
      <c r="B150" s="90">
        <v>1</v>
      </c>
      <c r="C150" s="90">
        <v>972</v>
      </c>
      <c r="D150" s="91">
        <v>0.23353909465020575</v>
      </c>
      <c r="E150" s="90">
        <v>994</v>
      </c>
      <c r="F150" s="91">
        <v>0.40442655935613681</v>
      </c>
      <c r="G150" s="98">
        <v>1.022633744855967</v>
      </c>
    </row>
    <row r="151" spans="1:7" x14ac:dyDescent="0.25">
      <c r="A151" s="92" t="s">
        <v>14342</v>
      </c>
      <c r="B151" s="90">
        <v>1</v>
      </c>
      <c r="C151" s="90">
        <v>0</v>
      </c>
      <c r="D151" s="91"/>
      <c r="E151" s="90">
        <v>0</v>
      </c>
      <c r="F151" s="91"/>
      <c r="G151" s="98"/>
    </row>
    <row r="152" spans="1:7" x14ac:dyDescent="0.25">
      <c r="A152" s="92" t="s">
        <v>635</v>
      </c>
      <c r="B152" s="90">
        <v>2</v>
      </c>
      <c r="C152" s="90">
        <v>75</v>
      </c>
      <c r="D152" s="91">
        <v>0.21399594320486814</v>
      </c>
      <c r="E152" s="90">
        <v>19</v>
      </c>
      <c r="F152" s="91">
        <v>0.68421052631578949</v>
      </c>
      <c r="G152" s="98">
        <v>0.25333333333333335</v>
      </c>
    </row>
    <row r="153" spans="1:7" x14ac:dyDescent="0.25">
      <c r="A153" s="92" t="s">
        <v>14353</v>
      </c>
      <c r="B153" s="90">
        <v>1</v>
      </c>
      <c r="C153" s="90">
        <v>0</v>
      </c>
      <c r="D153" s="91"/>
      <c r="E153" s="90">
        <v>0</v>
      </c>
      <c r="F153" s="91"/>
      <c r="G153" s="98"/>
    </row>
    <row r="154" spans="1:7" x14ac:dyDescent="0.25">
      <c r="A154" s="92" t="s">
        <v>1735</v>
      </c>
      <c r="B154" s="90">
        <v>7</v>
      </c>
      <c r="C154" s="90">
        <v>26467</v>
      </c>
      <c r="D154" s="91">
        <v>0.47883731906730531</v>
      </c>
      <c r="E154" s="90">
        <v>372718</v>
      </c>
      <c r="F154" s="91">
        <v>0.51971169176269139</v>
      </c>
      <c r="G154" s="98">
        <v>14.082366720822156</v>
      </c>
    </row>
    <row r="155" spans="1:7" x14ac:dyDescent="0.25">
      <c r="A155" s="92" t="s">
        <v>3140</v>
      </c>
      <c r="B155" s="90">
        <v>4</v>
      </c>
      <c r="C155" s="90">
        <v>26129</v>
      </c>
      <c r="D155" s="91">
        <v>0.44021316261213084</v>
      </c>
      <c r="E155" s="90">
        <v>41238</v>
      </c>
      <c r="F155" s="91">
        <v>0.42276422764227645</v>
      </c>
      <c r="G155" s="98">
        <v>1.5782463928967814</v>
      </c>
    </row>
    <row r="156" spans="1:7" x14ac:dyDescent="0.25">
      <c r="A156" s="92" t="s">
        <v>3231</v>
      </c>
      <c r="B156" s="90">
        <v>1</v>
      </c>
      <c r="C156" s="90">
        <v>0</v>
      </c>
      <c r="D156" s="91"/>
      <c r="E156" s="90">
        <v>700</v>
      </c>
      <c r="F156" s="91">
        <v>0.5</v>
      </c>
      <c r="G156" s="98"/>
    </row>
    <row r="157" spans="1:7" x14ac:dyDescent="0.25">
      <c r="A157" s="92" t="s">
        <v>3249</v>
      </c>
      <c r="B157" s="90">
        <v>5</v>
      </c>
      <c r="C157" s="90">
        <v>150</v>
      </c>
      <c r="D157" s="91"/>
      <c r="E157" s="90">
        <v>100000</v>
      </c>
      <c r="F157" s="91">
        <v>0.5</v>
      </c>
      <c r="G157" s="98">
        <v>666.66666666666663</v>
      </c>
    </row>
    <row r="158" spans="1:7" x14ac:dyDescent="0.25">
      <c r="A158" s="92" t="s">
        <v>3546</v>
      </c>
      <c r="B158" s="90">
        <v>23</v>
      </c>
      <c r="C158" s="90">
        <v>107319</v>
      </c>
      <c r="D158" s="91">
        <v>0.4901738237845506</v>
      </c>
      <c r="E158" s="90">
        <v>359348</v>
      </c>
      <c r="F158" s="91">
        <v>0.48866807647335908</v>
      </c>
      <c r="G158" s="98">
        <v>3.3484098808225942</v>
      </c>
    </row>
    <row r="159" spans="1:7" x14ac:dyDescent="0.25">
      <c r="A159" s="92" t="s">
        <v>4293</v>
      </c>
      <c r="B159" s="90">
        <v>3</v>
      </c>
      <c r="C159" s="90">
        <v>2681</v>
      </c>
      <c r="D159" s="91">
        <v>0.46428571428571425</v>
      </c>
      <c r="E159" s="90">
        <v>150612</v>
      </c>
      <c r="F159" s="91">
        <v>0.4464285714285714</v>
      </c>
      <c r="G159" s="98">
        <v>56.177545691906005</v>
      </c>
    </row>
    <row r="160" spans="1:7" x14ac:dyDescent="0.25">
      <c r="A160" s="92" t="s">
        <v>4346</v>
      </c>
      <c r="B160" s="90">
        <v>5</v>
      </c>
      <c r="C160" s="90">
        <v>3051</v>
      </c>
      <c r="D160" s="91">
        <v>0.53563030605922446</v>
      </c>
      <c r="E160" s="90">
        <v>2420896</v>
      </c>
      <c r="F160" s="91">
        <v>0.51692959966663943</v>
      </c>
      <c r="G160" s="98">
        <v>793.47623729924612</v>
      </c>
    </row>
    <row r="161" spans="1:7" x14ac:dyDescent="0.25">
      <c r="A161" s="92" t="s">
        <v>4428</v>
      </c>
      <c r="B161" s="90">
        <v>1</v>
      </c>
      <c r="C161" s="90">
        <v>1158</v>
      </c>
      <c r="D161" s="91">
        <v>0.39652317880794702</v>
      </c>
      <c r="E161" s="90">
        <v>0</v>
      </c>
      <c r="F161" s="91"/>
      <c r="G161" s="98">
        <v>0</v>
      </c>
    </row>
    <row r="162" spans="1:7" x14ac:dyDescent="0.25">
      <c r="A162" s="92" t="s">
        <v>6024</v>
      </c>
      <c r="B162" s="90">
        <v>8</v>
      </c>
      <c r="C162" s="90">
        <v>121679</v>
      </c>
      <c r="D162" s="91">
        <v>0.49633369790654047</v>
      </c>
      <c r="E162" s="90">
        <v>0</v>
      </c>
      <c r="F162" s="91"/>
      <c r="G162" s="98">
        <v>0</v>
      </c>
    </row>
    <row r="163" spans="1:7" x14ac:dyDescent="0.25">
      <c r="A163" s="92" t="s">
        <v>6105</v>
      </c>
      <c r="B163" s="90">
        <v>25</v>
      </c>
      <c r="C163" s="90">
        <v>195814</v>
      </c>
      <c r="D163" s="91">
        <v>0.55102730287596269</v>
      </c>
      <c r="E163" s="90">
        <v>949539</v>
      </c>
      <c r="F163" s="91">
        <v>0.53979352600580266</v>
      </c>
      <c r="G163" s="98">
        <v>4.8491885156321812</v>
      </c>
    </row>
    <row r="164" spans="1:7" x14ac:dyDescent="0.25">
      <c r="A164" s="92" t="s">
        <v>6805</v>
      </c>
      <c r="B164" s="90">
        <v>2</v>
      </c>
      <c r="C164" s="90">
        <v>926</v>
      </c>
      <c r="D164" s="91">
        <v>0.30369543650793651</v>
      </c>
      <c r="E164" s="90">
        <v>5381</v>
      </c>
      <c r="F164" s="91">
        <v>0.45634231941069847</v>
      </c>
      <c r="G164" s="98">
        <v>5.8110151187904968</v>
      </c>
    </row>
    <row r="165" spans="1:7" x14ac:dyDescent="0.25">
      <c r="A165" s="92" t="s">
        <v>7083</v>
      </c>
      <c r="B165" s="90">
        <v>7</v>
      </c>
      <c r="C165" s="90">
        <v>32031</v>
      </c>
      <c r="D165" s="91">
        <v>0.70332500785191965</v>
      </c>
      <c r="E165" s="90">
        <v>13085</v>
      </c>
      <c r="F165" s="91">
        <v>0.50460563802669067</v>
      </c>
      <c r="G165" s="98">
        <v>0.40851050544784739</v>
      </c>
    </row>
    <row r="166" spans="1:7" x14ac:dyDescent="0.25">
      <c r="A166" s="92" t="s">
        <v>7194</v>
      </c>
      <c r="B166" s="90">
        <v>1</v>
      </c>
      <c r="C166" s="90">
        <v>250</v>
      </c>
      <c r="D166" s="91">
        <v>1</v>
      </c>
      <c r="E166" s="90">
        <v>1200</v>
      </c>
      <c r="F166" s="91">
        <v>1</v>
      </c>
      <c r="G166" s="98">
        <v>4.8</v>
      </c>
    </row>
    <row r="167" spans="1:7" x14ac:dyDescent="0.25">
      <c r="A167" s="92" t="s">
        <v>8140</v>
      </c>
      <c r="B167" s="90">
        <v>3</v>
      </c>
      <c r="C167" s="90">
        <v>1112</v>
      </c>
      <c r="D167" s="91">
        <v>0.58583064392193018</v>
      </c>
      <c r="E167" s="90">
        <v>3270</v>
      </c>
      <c r="F167" s="91">
        <v>0.61419753086419748</v>
      </c>
      <c r="G167" s="98">
        <v>2.9406474820143886</v>
      </c>
    </row>
    <row r="168" spans="1:7" x14ac:dyDescent="0.25">
      <c r="A168" s="92" t="s">
        <v>8180</v>
      </c>
      <c r="B168" s="90">
        <v>5</v>
      </c>
      <c r="C168" s="90">
        <v>12415</v>
      </c>
      <c r="D168" s="91">
        <v>0.41122994652406419</v>
      </c>
      <c r="E168" s="90">
        <v>80624</v>
      </c>
      <c r="F168" s="91">
        <v>0.46215983465380639</v>
      </c>
      <c r="G168" s="98">
        <v>6.4940797422472816</v>
      </c>
    </row>
    <row r="169" spans="1:7" x14ac:dyDescent="0.25">
      <c r="A169" s="92" t="s">
        <v>9409</v>
      </c>
      <c r="B169" s="90">
        <v>5</v>
      </c>
      <c r="C169" s="90">
        <v>0</v>
      </c>
      <c r="D169" s="91"/>
      <c r="E169" s="90">
        <v>0</v>
      </c>
      <c r="F169" s="91"/>
      <c r="G169" s="98"/>
    </row>
    <row r="170" spans="1:7" x14ac:dyDescent="0.25">
      <c r="A170" s="92" t="s">
        <v>10350</v>
      </c>
      <c r="B170" s="90">
        <v>1</v>
      </c>
      <c r="C170" s="90">
        <v>5270</v>
      </c>
      <c r="D170" s="91">
        <v>0.72296015180265649</v>
      </c>
      <c r="E170" s="90">
        <v>17500</v>
      </c>
      <c r="F170" s="91"/>
      <c r="G170" s="98">
        <v>3.3206831119544593</v>
      </c>
    </row>
    <row r="171" spans="1:7" x14ac:dyDescent="0.25">
      <c r="A171" s="92" t="s">
        <v>10558</v>
      </c>
      <c r="B171" s="90">
        <v>11</v>
      </c>
      <c r="C171" s="90">
        <v>279665</v>
      </c>
      <c r="D171" s="91">
        <v>0.41263147393278338</v>
      </c>
      <c r="E171" s="90">
        <v>234504</v>
      </c>
      <c r="F171" s="91">
        <v>0.40598160101860115</v>
      </c>
      <c r="G171" s="98">
        <v>0.83851751202331359</v>
      </c>
    </row>
    <row r="172" spans="1:7" x14ac:dyDescent="0.25">
      <c r="A172" s="92" t="s">
        <v>11664</v>
      </c>
      <c r="B172" s="90">
        <v>1</v>
      </c>
      <c r="C172" s="90">
        <v>0</v>
      </c>
      <c r="D172" s="91"/>
      <c r="E172" s="90">
        <v>0</v>
      </c>
      <c r="F172" s="91"/>
      <c r="G172" s="98"/>
    </row>
    <row r="173" spans="1:7" x14ac:dyDescent="0.25">
      <c r="A173" s="92" t="s">
        <v>11693</v>
      </c>
      <c r="B173" s="90">
        <v>32</v>
      </c>
      <c r="C173" s="90">
        <v>1267300</v>
      </c>
      <c r="D173" s="91">
        <v>0.54590776196145352</v>
      </c>
      <c r="E173" s="90">
        <v>98454</v>
      </c>
      <c r="F173" s="91">
        <v>0.55588098164432853</v>
      </c>
      <c r="G173" s="98">
        <v>7.7687998106210049E-2</v>
      </c>
    </row>
    <row r="174" spans="1:7" x14ac:dyDescent="0.25">
      <c r="A174" s="92" t="s">
        <v>12654</v>
      </c>
      <c r="B174" s="90">
        <v>5</v>
      </c>
      <c r="C174" s="90">
        <v>67212</v>
      </c>
      <c r="D174" s="91">
        <v>0.52123392722120643</v>
      </c>
      <c r="E174" s="90">
        <v>585</v>
      </c>
      <c r="F174" s="91">
        <v>0.52991452991452992</v>
      </c>
      <c r="G174" s="98">
        <v>8.7038028923406528E-3</v>
      </c>
    </row>
    <row r="175" spans="1:7" x14ac:dyDescent="0.25">
      <c r="A175" s="92" t="s">
        <v>12907</v>
      </c>
      <c r="B175" s="90">
        <v>5</v>
      </c>
      <c r="C175" s="90">
        <v>0</v>
      </c>
      <c r="D175" s="91"/>
      <c r="E175" s="90">
        <v>0</v>
      </c>
      <c r="F175" s="91"/>
      <c r="G175" s="98"/>
    </row>
    <row r="176" spans="1:7" x14ac:dyDescent="0.25">
      <c r="A176" s="92" t="s">
        <v>13710</v>
      </c>
      <c r="B176" s="90">
        <v>11</v>
      </c>
      <c r="C176" s="90">
        <v>141277</v>
      </c>
      <c r="D176" s="91">
        <v>0.51777777777777778</v>
      </c>
      <c r="E176" s="90">
        <v>209749</v>
      </c>
      <c r="F176" s="91">
        <v>0.55015197568389052</v>
      </c>
      <c r="G176" s="98">
        <v>1.484664878217969</v>
      </c>
    </row>
    <row r="177" spans="1:7" x14ac:dyDescent="0.25">
      <c r="A177" s="92" t="s">
        <v>13783</v>
      </c>
      <c r="B177" s="90">
        <v>18</v>
      </c>
      <c r="C177" s="90">
        <v>1323801</v>
      </c>
      <c r="D177" s="91">
        <v>0.50125087871161256</v>
      </c>
      <c r="E177" s="90">
        <v>72960</v>
      </c>
      <c r="F177" s="91">
        <v>0.54052378955848024</v>
      </c>
      <c r="G177" s="98">
        <v>5.5114023935621745E-2</v>
      </c>
    </row>
    <row r="178" spans="1:7" x14ac:dyDescent="0.25">
      <c r="A178" s="96" t="s">
        <v>12970</v>
      </c>
      <c r="B178" s="61">
        <v>11</v>
      </c>
      <c r="C178" s="61">
        <v>21</v>
      </c>
      <c r="D178" s="97">
        <v>0.5714285714285714</v>
      </c>
      <c r="E178" s="61">
        <v>0</v>
      </c>
      <c r="F178" s="97"/>
      <c r="G178" s="98">
        <v>0</v>
      </c>
    </row>
    <row r="179" spans="1:7" x14ac:dyDescent="0.25">
      <c r="A179" s="92" t="s">
        <v>7496</v>
      </c>
      <c r="B179" s="90">
        <v>4</v>
      </c>
      <c r="C179" s="90">
        <v>0</v>
      </c>
      <c r="D179" s="91"/>
      <c r="E179" s="90">
        <v>0</v>
      </c>
      <c r="F179" s="91"/>
      <c r="G179" s="98"/>
    </row>
    <row r="180" spans="1:7" x14ac:dyDescent="0.25">
      <c r="A180" s="92" t="s">
        <v>12969</v>
      </c>
      <c r="B180" s="90">
        <v>7</v>
      </c>
      <c r="C180" s="90">
        <v>21</v>
      </c>
      <c r="D180" s="91">
        <v>0.5714285714285714</v>
      </c>
      <c r="E180" s="90">
        <v>0</v>
      </c>
      <c r="F180" s="91"/>
      <c r="G180" s="98">
        <v>0</v>
      </c>
    </row>
    <row r="181" spans="1:7" x14ac:dyDescent="0.25">
      <c r="A181" s="96" t="s">
        <v>7217</v>
      </c>
      <c r="B181" s="61">
        <v>80</v>
      </c>
      <c r="C181" s="61">
        <v>4640456</v>
      </c>
      <c r="D181" s="97">
        <v>0.62054306892431466</v>
      </c>
      <c r="E181" s="61">
        <v>7079169</v>
      </c>
      <c r="F181" s="97">
        <v>0.5504744549186118</v>
      </c>
      <c r="G181" s="98">
        <v>1.5255330510622231</v>
      </c>
    </row>
    <row r="182" spans="1:7" x14ac:dyDescent="0.25">
      <c r="A182" s="92" t="s">
        <v>7216</v>
      </c>
      <c r="B182" s="90">
        <v>11</v>
      </c>
      <c r="C182" s="90">
        <v>326076</v>
      </c>
      <c r="D182" s="91">
        <v>0.55243353508778381</v>
      </c>
      <c r="E182" s="90">
        <v>850869</v>
      </c>
      <c r="F182" s="91">
        <v>0.49653473303455342</v>
      </c>
      <c r="G182" s="98">
        <v>2.60941927648769</v>
      </c>
    </row>
    <row r="183" spans="1:7" x14ac:dyDescent="0.25">
      <c r="A183" s="92" t="s">
        <v>7451</v>
      </c>
      <c r="B183" s="90">
        <v>26</v>
      </c>
      <c r="C183" s="90">
        <v>1562597</v>
      </c>
      <c r="D183" s="91">
        <v>0.66346904397023498</v>
      </c>
      <c r="E183" s="90">
        <v>2361823</v>
      </c>
      <c r="F183" s="91">
        <v>0.59339428774159686</v>
      </c>
      <c r="G183" s="98">
        <v>1.5114728877631276</v>
      </c>
    </row>
    <row r="184" spans="1:7" x14ac:dyDescent="0.25">
      <c r="A184" s="92" t="s">
        <v>8265</v>
      </c>
      <c r="B184" s="90">
        <v>13</v>
      </c>
      <c r="C184" s="90">
        <v>105466</v>
      </c>
      <c r="D184" s="91">
        <v>0.54419313046314211</v>
      </c>
      <c r="E184" s="90">
        <v>309092</v>
      </c>
      <c r="F184" s="91">
        <v>0.54328992460124126</v>
      </c>
      <c r="G184" s="98">
        <v>2.9307264900536665</v>
      </c>
    </row>
    <row r="185" spans="1:7" x14ac:dyDescent="0.25">
      <c r="A185" s="92" t="s">
        <v>13917</v>
      </c>
      <c r="B185" s="90">
        <v>16</v>
      </c>
      <c r="C185" s="90">
        <v>1682181</v>
      </c>
      <c r="D185" s="91">
        <v>0.66192456124114707</v>
      </c>
      <c r="E185" s="90">
        <v>3255877</v>
      </c>
      <c r="F185" s="91">
        <v>0.49527722632700649</v>
      </c>
      <c r="G185" s="98">
        <v>1.9355093179628113</v>
      </c>
    </row>
    <row r="186" spans="1:7" x14ac:dyDescent="0.25">
      <c r="A186" s="92" t="s">
        <v>14016</v>
      </c>
      <c r="B186" s="90">
        <v>14</v>
      </c>
      <c r="C186" s="90">
        <v>964136</v>
      </c>
      <c r="D186" s="91">
        <v>0.57451291279145311</v>
      </c>
      <c r="E186" s="90">
        <v>301508</v>
      </c>
      <c r="F186" s="91">
        <v>0.64687719427117207</v>
      </c>
      <c r="G186" s="98">
        <v>0.31272351618443872</v>
      </c>
    </row>
    <row r="187" spans="1:7" x14ac:dyDescent="0.25">
      <c r="A187" s="96" t="s">
        <v>1596</v>
      </c>
      <c r="B187" s="61">
        <v>137</v>
      </c>
      <c r="C187" s="61">
        <v>5072468</v>
      </c>
      <c r="D187" s="97">
        <v>0.64634630653284042</v>
      </c>
      <c r="E187" s="61">
        <v>32796451</v>
      </c>
      <c r="F187" s="97">
        <v>0.56366813723084175</v>
      </c>
      <c r="G187" s="98">
        <v>6.465580660144135</v>
      </c>
    </row>
    <row r="188" spans="1:7" x14ac:dyDescent="0.25">
      <c r="A188" s="92" t="s">
        <v>1595</v>
      </c>
      <c r="B188" s="90">
        <v>11</v>
      </c>
      <c r="C188" s="90">
        <v>164468</v>
      </c>
      <c r="D188" s="91">
        <v>0.67959003844784838</v>
      </c>
      <c r="E188" s="90">
        <v>134584</v>
      </c>
      <c r="F188" s="91">
        <v>0.65966224738846613</v>
      </c>
      <c r="G188" s="98">
        <v>0.81829900041345427</v>
      </c>
    </row>
    <row r="189" spans="1:7" x14ac:dyDescent="0.25">
      <c r="A189" s="92" t="s">
        <v>1827</v>
      </c>
      <c r="B189" s="90">
        <v>1</v>
      </c>
      <c r="C189" s="90">
        <v>0</v>
      </c>
      <c r="D189" s="91"/>
      <c r="E189" s="90">
        <v>0</v>
      </c>
      <c r="F189" s="91"/>
      <c r="G189" s="98"/>
    </row>
    <row r="190" spans="1:7" x14ac:dyDescent="0.25">
      <c r="A190" s="92" t="s">
        <v>2395</v>
      </c>
      <c r="B190" s="90">
        <v>13</v>
      </c>
      <c r="C190" s="90">
        <v>182610</v>
      </c>
      <c r="D190" s="91">
        <v>0.60407505934309025</v>
      </c>
      <c r="E190" s="90">
        <v>495255</v>
      </c>
      <c r="F190" s="91">
        <v>0.47407523790869688</v>
      </c>
      <c r="G190" s="98">
        <v>2.7120913422046984</v>
      </c>
    </row>
    <row r="191" spans="1:7" x14ac:dyDescent="0.25">
      <c r="A191" s="92" t="s">
        <v>2536</v>
      </c>
      <c r="B191" s="90">
        <v>25</v>
      </c>
      <c r="C191" s="90">
        <v>341121</v>
      </c>
      <c r="D191" s="91">
        <v>0.74124659707074803</v>
      </c>
      <c r="E191" s="90">
        <v>2604928</v>
      </c>
      <c r="F191" s="91">
        <v>0.6151817150955935</v>
      </c>
      <c r="G191" s="98">
        <v>7.6363753624080601</v>
      </c>
    </row>
    <row r="192" spans="1:7" x14ac:dyDescent="0.25">
      <c r="A192" s="92" t="s">
        <v>2956</v>
      </c>
      <c r="B192" s="90">
        <v>10</v>
      </c>
      <c r="C192" s="90">
        <v>148789</v>
      </c>
      <c r="D192" s="91">
        <v>0.67054050213711269</v>
      </c>
      <c r="E192" s="90">
        <v>1411746</v>
      </c>
      <c r="F192" s="91">
        <v>0.64866106520498212</v>
      </c>
      <c r="G192" s="98">
        <v>9.4882417383005464</v>
      </c>
    </row>
    <row r="193" spans="1:21" x14ac:dyDescent="0.25">
      <c r="A193" s="92" t="s">
        <v>4471</v>
      </c>
      <c r="B193" s="90">
        <v>18</v>
      </c>
      <c r="C193" s="90">
        <v>1523458</v>
      </c>
      <c r="D193" s="91">
        <v>0.67977662190590415</v>
      </c>
      <c r="E193" s="90">
        <v>4181947</v>
      </c>
      <c r="F193" s="91">
        <v>0.57470838387823164</v>
      </c>
      <c r="G193" s="98">
        <v>2.7450359642339994</v>
      </c>
    </row>
    <row r="194" spans="1:21" x14ac:dyDescent="0.25">
      <c r="A194" s="92" t="s">
        <v>14390</v>
      </c>
      <c r="B194" s="90">
        <v>1</v>
      </c>
      <c r="C194" s="90">
        <v>0</v>
      </c>
      <c r="D194" s="91"/>
      <c r="E194" s="90">
        <v>0</v>
      </c>
      <c r="F194" s="91"/>
      <c r="G194" s="98"/>
    </row>
    <row r="195" spans="1:21" x14ac:dyDescent="0.25">
      <c r="A195" s="92" t="s">
        <v>7835</v>
      </c>
      <c r="B195" s="90">
        <v>20</v>
      </c>
      <c r="C195" s="90">
        <v>1467426</v>
      </c>
      <c r="D195" s="91">
        <v>0.61302994744569006</v>
      </c>
      <c r="E195" s="90">
        <v>10270754</v>
      </c>
      <c r="F195" s="91">
        <v>0.50496848024805985</v>
      </c>
      <c r="G195" s="98">
        <v>6.9991631605273454</v>
      </c>
    </row>
    <row r="196" spans="1:21" x14ac:dyDescent="0.25">
      <c r="A196" s="92" t="s">
        <v>9043</v>
      </c>
      <c r="B196" s="90">
        <v>27</v>
      </c>
      <c r="C196" s="90">
        <v>552691</v>
      </c>
      <c r="D196" s="91">
        <v>0.55762794369051505</v>
      </c>
      <c r="E196" s="90">
        <v>10690417</v>
      </c>
      <c r="F196" s="91">
        <v>0.52098212431438784</v>
      </c>
      <c r="G196" s="98">
        <v>19.342484317638608</v>
      </c>
    </row>
    <row r="197" spans="1:21" x14ac:dyDescent="0.25">
      <c r="A197" s="92" t="s">
        <v>14446</v>
      </c>
      <c r="B197" s="90">
        <v>1</v>
      </c>
      <c r="C197" s="90">
        <v>0</v>
      </c>
      <c r="D197" s="91"/>
      <c r="E197" s="90">
        <v>0</v>
      </c>
      <c r="F197" s="91"/>
      <c r="G197" s="98"/>
    </row>
    <row r="198" spans="1:21" x14ac:dyDescent="0.25">
      <c r="A198" s="92" t="s">
        <v>10594</v>
      </c>
      <c r="B198" s="90">
        <v>9</v>
      </c>
      <c r="C198" s="90">
        <v>686912</v>
      </c>
      <c r="D198" s="91">
        <v>0.60080763420171879</v>
      </c>
      <c r="E198" s="90">
        <v>2986848</v>
      </c>
      <c r="F198" s="91">
        <v>0.55968518217093177</v>
      </c>
      <c r="G198" s="98">
        <v>4.3482251001583903</v>
      </c>
    </row>
    <row r="199" spans="1:21" x14ac:dyDescent="0.25">
      <c r="A199" s="92" t="s">
        <v>14459</v>
      </c>
      <c r="B199" s="90">
        <v>1</v>
      </c>
      <c r="C199" s="90">
        <v>4993</v>
      </c>
      <c r="D199" s="91">
        <v>0.8948527939114761</v>
      </c>
      <c r="E199" s="90">
        <v>19972</v>
      </c>
      <c r="F199" s="91">
        <v>0.8948527939114761</v>
      </c>
      <c r="G199" s="98">
        <v>4</v>
      </c>
    </row>
    <row r="200" spans="1:21" x14ac:dyDescent="0.25">
      <c r="A200" s="99" t="s">
        <v>14272</v>
      </c>
      <c r="B200" s="62">
        <v>1044</v>
      </c>
      <c r="C200" s="62">
        <v>80120323</v>
      </c>
      <c r="D200" s="100">
        <v>0.60135859719555307</v>
      </c>
      <c r="E200" s="62">
        <v>255954737</v>
      </c>
      <c r="F200" s="100">
        <v>0.56338872153903408</v>
      </c>
      <c r="G200" s="98">
        <v>3.1946293701287249</v>
      </c>
    </row>
    <row r="205" spans="1:21" ht="150" x14ac:dyDescent="0.25">
      <c r="A205" s="93" t="s">
        <v>14472</v>
      </c>
      <c r="B205" s="93" t="s">
        <v>14477</v>
      </c>
      <c r="C205" s="94" t="s">
        <v>14478</v>
      </c>
      <c r="D205" s="94" t="s">
        <v>14479</v>
      </c>
      <c r="E205" s="93" t="s">
        <v>14480</v>
      </c>
      <c r="F205" s="94" t="s">
        <v>14481</v>
      </c>
      <c r="G205" s="94" t="s">
        <v>14482</v>
      </c>
      <c r="H205" s="93" t="s">
        <v>14483</v>
      </c>
      <c r="I205" s="94" t="s">
        <v>14484</v>
      </c>
      <c r="J205" s="94" t="s">
        <v>14485</v>
      </c>
      <c r="K205" s="93" t="s">
        <v>14486</v>
      </c>
      <c r="L205" s="94" t="s">
        <v>14487</v>
      </c>
      <c r="M205" s="94" t="s">
        <v>14488</v>
      </c>
      <c r="N205" s="93" t="s">
        <v>14489</v>
      </c>
      <c r="O205" s="94" t="s">
        <v>14490</v>
      </c>
      <c r="P205" s="94" t="s">
        <v>14491</v>
      </c>
      <c r="Q205" s="84"/>
      <c r="R205" s="84"/>
      <c r="T205" s="84"/>
      <c r="U205" s="84"/>
    </row>
    <row r="206" spans="1:21" x14ac:dyDescent="0.25">
      <c r="A206" s="96" t="s">
        <v>14494</v>
      </c>
      <c r="B206" s="56">
        <v>92</v>
      </c>
      <c r="C206" s="61">
        <v>1990230</v>
      </c>
      <c r="D206" s="61">
        <v>11761485</v>
      </c>
      <c r="E206" s="56">
        <v>69</v>
      </c>
      <c r="F206" s="61">
        <v>47161498</v>
      </c>
      <c r="G206" s="61">
        <v>51996334</v>
      </c>
      <c r="H206" s="56">
        <v>68</v>
      </c>
      <c r="I206" s="61">
        <v>495445</v>
      </c>
      <c r="J206" s="61">
        <v>1443706</v>
      </c>
      <c r="K206" s="56">
        <v>165</v>
      </c>
      <c r="L206" s="61">
        <v>19146750</v>
      </c>
      <c r="M206" s="61">
        <v>6539104</v>
      </c>
      <c r="N206" s="56">
        <v>102</v>
      </c>
      <c r="O206" s="61">
        <v>331759.04179872334</v>
      </c>
      <c r="P206" s="61">
        <v>1218338.871932822</v>
      </c>
      <c r="Q206" s="84"/>
      <c r="R206" s="84"/>
      <c r="T206" s="84"/>
      <c r="U206" s="84"/>
    </row>
    <row r="207" spans="1:21" x14ac:dyDescent="0.25">
      <c r="A207" s="92" t="s">
        <v>305</v>
      </c>
      <c r="B207" s="84">
        <v>13</v>
      </c>
      <c r="C207" s="90">
        <v>532020</v>
      </c>
      <c r="D207" s="90">
        <v>216356</v>
      </c>
      <c r="E207" s="84">
        <v>1</v>
      </c>
      <c r="F207" s="90">
        <v>7000</v>
      </c>
      <c r="G207" s="90">
        <v>21000</v>
      </c>
      <c r="H207" s="84">
        <v>4</v>
      </c>
      <c r="I207" s="90">
        <v>32217</v>
      </c>
      <c r="J207" s="90">
        <v>199176</v>
      </c>
      <c r="K207" s="84">
        <v>16</v>
      </c>
      <c r="L207" s="90">
        <v>264695</v>
      </c>
      <c r="M207" s="90">
        <v>274725</v>
      </c>
      <c r="N207" s="84">
        <v>11</v>
      </c>
      <c r="O207" s="90">
        <v>32757.392121741737</v>
      </c>
      <c r="P207" s="90">
        <v>191444.54489938155</v>
      </c>
      <c r="Q207" s="84"/>
      <c r="R207" s="84"/>
      <c r="T207" s="84"/>
      <c r="U207" s="84"/>
    </row>
    <row r="208" spans="1:21" x14ac:dyDescent="0.25">
      <c r="A208" s="92" t="s">
        <v>14345</v>
      </c>
      <c r="B208" s="84">
        <v>1</v>
      </c>
      <c r="C208" s="90">
        <v>0</v>
      </c>
      <c r="D208" s="90">
        <v>0</v>
      </c>
      <c r="E208" s="84">
        <v>1</v>
      </c>
      <c r="F208" s="90">
        <v>50</v>
      </c>
      <c r="G208" s="90">
        <v>0</v>
      </c>
      <c r="H208" s="84">
        <v>1</v>
      </c>
      <c r="I208" s="90">
        <v>50</v>
      </c>
      <c r="J208" s="90">
        <v>0</v>
      </c>
      <c r="K208" s="84">
        <v>0</v>
      </c>
      <c r="L208" s="90">
        <v>0</v>
      </c>
      <c r="M208" s="90">
        <v>0</v>
      </c>
      <c r="N208" s="84">
        <v>0</v>
      </c>
      <c r="O208" s="90">
        <v>0</v>
      </c>
      <c r="P208" s="90">
        <v>0</v>
      </c>
      <c r="Q208" s="84"/>
      <c r="R208" s="84"/>
      <c r="T208" s="84"/>
      <c r="U208" s="84"/>
    </row>
    <row r="209" spans="1:21" x14ac:dyDescent="0.25">
      <c r="A209" s="92" t="s">
        <v>652</v>
      </c>
      <c r="B209" s="84">
        <v>12</v>
      </c>
      <c r="C209" s="90">
        <v>412001</v>
      </c>
      <c r="D209" s="90">
        <v>201017</v>
      </c>
      <c r="E209" s="84">
        <v>13</v>
      </c>
      <c r="F209" s="90">
        <v>7556549</v>
      </c>
      <c r="G209" s="90">
        <v>19606749</v>
      </c>
      <c r="H209" s="84">
        <v>15</v>
      </c>
      <c r="I209" s="90">
        <v>151883</v>
      </c>
      <c r="J209" s="90">
        <v>551114</v>
      </c>
      <c r="K209" s="84">
        <v>29</v>
      </c>
      <c r="L209" s="90">
        <v>3575401</v>
      </c>
      <c r="M209" s="90">
        <v>1334064</v>
      </c>
      <c r="N209" s="84">
        <v>20</v>
      </c>
      <c r="O209" s="90">
        <v>173328.82300884955</v>
      </c>
      <c r="P209" s="90">
        <v>568493.00594883994</v>
      </c>
      <c r="Q209" s="84"/>
      <c r="R209" s="84"/>
      <c r="T209" s="84"/>
      <c r="U209" s="84"/>
    </row>
    <row r="210" spans="1:21" x14ac:dyDescent="0.25">
      <c r="A210" s="92" t="s">
        <v>2092</v>
      </c>
      <c r="B210" s="84">
        <v>1</v>
      </c>
      <c r="C210" s="90">
        <v>880</v>
      </c>
      <c r="D210" s="90">
        <v>3960</v>
      </c>
      <c r="E210" s="84">
        <v>8</v>
      </c>
      <c r="F210" s="90">
        <v>50443</v>
      </c>
      <c r="G210" s="90">
        <v>137371</v>
      </c>
      <c r="H210" s="84">
        <v>6</v>
      </c>
      <c r="I210" s="90">
        <v>47874</v>
      </c>
      <c r="J210" s="90">
        <v>27768</v>
      </c>
      <c r="K210" s="84">
        <v>10</v>
      </c>
      <c r="L210" s="90">
        <v>10865</v>
      </c>
      <c r="M210" s="90">
        <v>14237</v>
      </c>
      <c r="N210" s="84">
        <v>9</v>
      </c>
      <c r="O210" s="90">
        <v>41809</v>
      </c>
      <c r="P210" s="90">
        <v>57125</v>
      </c>
      <c r="Q210" s="84"/>
      <c r="R210" s="84"/>
      <c r="T210" s="84"/>
      <c r="U210" s="84"/>
    </row>
    <row r="211" spans="1:21" x14ac:dyDescent="0.25">
      <c r="A211" s="92" t="s">
        <v>4268</v>
      </c>
      <c r="B211" s="84">
        <v>2</v>
      </c>
      <c r="C211" s="90">
        <v>28872</v>
      </c>
      <c r="D211" s="90">
        <v>0</v>
      </c>
      <c r="E211" s="84">
        <v>0</v>
      </c>
      <c r="F211" s="90">
        <v>0</v>
      </c>
      <c r="G211" s="90">
        <v>0</v>
      </c>
      <c r="H211" s="84">
        <v>0</v>
      </c>
      <c r="I211" s="90">
        <v>0</v>
      </c>
      <c r="J211" s="90">
        <v>0</v>
      </c>
      <c r="K211" s="84">
        <v>1</v>
      </c>
      <c r="L211" s="90">
        <v>18804</v>
      </c>
      <c r="M211" s="90">
        <v>0</v>
      </c>
      <c r="N211" s="84">
        <v>0</v>
      </c>
      <c r="O211" s="90">
        <v>0</v>
      </c>
      <c r="P211" s="90">
        <v>0</v>
      </c>
      <c r="Q211" s="84"/>
      <c r="R211" s="84"/>
      <c r="T211" s="84"/>
      <c r="U211" s="84"/>
    </row>
    <row r="212" spans="1:21" x14ac:dyDescent="0.25">
      <c r="A212" s="92" t="s">
        <v>5300</v>
      </c>
      <c r="B212" s="84">
        <v>10</v>
      </c>
      <c r="C212" s="90">
        <v>61369</v>
      </c>
      <c r="D212" s="90">
        <v>9614678</v>
      </c>
      <c r="E212" s="84">
        <v>11</v>
      </c>
      <c r="F212" s="90">
        <v>39273609</v>
      </c>
      <c r="G212" s="90">
        <v>31558026</v>
      </c>
      <c r="H212" s="84">
        <v>4</v>
      </c>
      <c r="I212" s="90">
        <v>14574</v>
      </c>
      <c r="J212" s="90">
        <v>52000</v>
      </c>
      <c r="K212" s="84">
        <v>20</v>
      </c>
      <c r="L212" s="90">
        <v>14619266</v>
      </c>
      <c r="M212" s="90">
        <v>3344375</v>
      </c>
      <c r="N212" s="84">
        <v>10</v>
      </c>
      <c r="O212" s="90">
        <v>34393</v>
      </c>
      <c r="P212" s="90">
        <v>153149.33333333331</v>
      </c>
      <c r="Q212" s="84"/>
      <c r="R212" s="84"/>
      <c r="T212" s="84"/>
      <c r="U212" s="84"/>
    </row>
    <row r="213" spans="1:21" x14ac:dyDescent="0.25">
      <c r="A213" s="92" t="s">
        <v>5932</v>
      </c>
      <c r="B213" s="84">
        <v>2</v>
      </c>
      <c r="C213" s="90">
        <v>48</v>
      </c>
      <c r="D213" s="90">
        <v>0</v>
      </c>
      <c r="E213" s="84">
        <v>2</v>
      </c>
      <c r="F213" s="90">
        <v>25</v>
      </c>
      <c r="G213" s="90">
        <v>24</v>
      </c>
      <c r="H213" s="84">
        <v>2</v>
      </c>
      <c r="I213" s="90">
        <v>25</v>
      </c>
      <c r="J213" s="90">
        <v>24</v>
      </c>
      <c r="K213" s="84">
        <v>10</v>
      </c>
      <c r="L213" s="90">
        <v>725</v>
      </c>
      <c r="M213" s="90">
        <v>86904</v>
      </c>
      <c r="N213" s="84">
        <v>7</v>
      </c>
      <c r="O213" s="90">
        <v>2445</v>
      </c>
      <c r="P213" s="90">
        <v>49602.129045002701</v>
      </c>
      <c r="Q213" s="84"/>
      <c r="R213" s="84"/>
      <c r="T213" s="84"/>
      <c r="U213" s="84"/>
    </row>
    <row r="214" spans="1:21" x14ac:dyDescent="0.25">
      <c r="A214" s="92" t="s">
        <v>14402</v>
      </c>
      <c r="B214" s="84">
        <v>1</v>
      </c>
      <c r="C214" s="90">
        <v>0</v>
      </c>
      <c r="D214" s="90">
        <v>0</v>
      </c>
      <c r="E214" s="84">
        <v>0</v>
      </c>
      <c r="F214" s="90">
        <v>0</v>
      </c>
      <c r="G214" s="90">
        <v>0</v>
      </c>
      <c r="H214" s="84">
        <v>1</v>
      </c>
      <c r="I214" s="90">
        <v>0</v>
      </c>
      <c r="J214" s="90">
        <v>0</v>
      </c>
      <c r="K214" s="84">
        <v>0</v>
      </c>
      <c r="L214" s="90">
        <v>0</v>
      </c>
      <c r="M214" s="90">
        <v>0</v>
      </c>
      <c r="N214" s="84">
        <v>0</v>
      </c>
      <c r="O214" s="90">
        <v>0</v>
      </c>
      <c r="P214" s="90">
        <v>0</v>
      </c>
      <c r="Q214" s="84"/>
      <c r="R214" s="84"/>
      <c r="T214" s="84"/>
      <c r="U214" s="84"/>
    </row>
    <row r="215" spans="1:21" x14ac:dyDescent="0.25">
      <c r="A215" s="92" t="s">
        <v>6850</v>
      </c>
      <c r="B215" s="84">
        <v>0</v>
      </c>
      <c r="C215" s="90">
        <v>0</v>
      </c>
      <c r="D215" s="90">
        <v>0</v>
      </c>
      <c r="E215" s="84">
        <v>4</v>
      </c>
      <c r="F215" s="90">
        <v>7454</v>
      </c>
      <c r="G215" s="90">
        <v>27757</v>
      </c>
      <c r="H215" s="84">
        <v>3</v>
      </c>
      <c r="I215" s="90">
        <v>4138</v>
      </c>
      <c r="J215" s="90">
        <v>13476</v>
      </c>
      <c r="K215" s="84">
        <v>10</v>
      </c>
      <c r="L215" s="90">
        <v>17980</v>
      </c>
      <c r="M215" s="90">
        <v>73844</v>
      </c>
      <c r="N215" s="84">
        <v>6</v>
      </c>
      <c r="O215" s="90">
        <v>8136</v>
      </c>
      <c r="P215" s="90">
        <v>21949</v>
      </c>
      <c r="Q215" s="84"/>
      <c r="R215" s="84"/>
      <c r="T215" s="84"/>
      <c r="U215" s="84"/>
    </row>
    <row r="216" spans="1:21" x14ac:dyDescent="0.25">
      <c r="A216" s="92" t="s">
        <v>8444</v>
      </c>
      <c r="B216" s="84">
        <v>0</v>
      </c>
      <c r="C216" s="90">
        <v>0</v>
      </c>
      <c r="D216" s="90">
        <v>0</v>
      </c>
      <c r="E216" s="84">
        <v>3</v>
      </c>
      <c r="F216" s="90">
        <v>40456</v>
      </c>
      <c r="G216" s="90">
        <v>6328</v>
      </c>
      <c r="H216" s="84">
        <v>4</v>
      </c>
      <c r="I216" s="90">
        <v>77045</v>
      </c>
      <c r="J216" s="90">
        <v>163598</v>
      </c>
      <c r="K216" s="84">
        <v>7</v>
      </c>
      <c r="L216" s="90">
        <v>39681</v>
      </c>
      <c r="M216" s="90">
        <v>0</v>
      </c>
      <c r="N216" s="84">
        <v>5</v>
      </c>
      <c r="O216" s="90">
        <v>6206.3407609810783</v>
      </c>
      <c r="P216" s="90">
        <v>0</v>
      </c>
      <c r="Q216" s="84"/>
      <c r="R216" s="84"/>
      <c r="T216" s="84"/>
      <c r="U216" s="84"/>
    </row>
    <row r="217" spans="1:21" x14ac:dyDescent="0.25">
      <c r="A217" s="92" t="s">
        <v>8647</v>
      </c>
      <c r="B217" s="84">
        <v>22</v>
      </c>
      <c r="C217" s="90">
        <v>630510</v>
      </c>
      <c r="D217" s="90">
        <v>77066</v>
      </c>
      <c r="E217" s="84">
        <v>8</v>
      </c>
      <c r="F217" s="90">
        <v>121636</v>
      </c>
      <c r="G217" s="90">
        <v>51001</v>
      </c>
      <c r="H217" s="84">
        <v>14</v>
      </c>
      <c r="I217" s="90">
        <v>79364</v>
      </c>
      <c r="J217" s="90">
        <v>974</v>
      </c>
      <c r="K217" s="84">
        <v>15</v>
      </c>
      <c r="L217" s="90">
        <v>286598</v>
      </c>
      <c r="M217" s="90">
        <v>173694</v>
      </c>
      <c r="N217" s="84">
        <v>8</v>
      </c>
      <c r="O217" s="90">
        <v>7978.3806123297036</v>
      </c>
      <c r="P217" s="90">
        <v>655.69965104685946</v>
      </c>
      <c r="Q217" s="84"/>
      <c r="R217" s="84"/>
      <c r="T217" s="84"/>
      <c r="U217" s="84"/>
    </row>
    <row r="218" spans="1:21" x14ac:dyDescent="0.25">
      <c r="A218" s="92" t="s">
        <v>9427</v>
      </c>
      <c r="B218" s="84">
        <v>5</v>
      </c>
      <c r="C218" s="90">
        <v>113921</v>
      </c>
      <c r="D218" s="90">
        <v>876498</v>
      </c>
      <c r="E218" s="84">
        <v>5</v>
      </c>
      <c r="F218" s="90">
        <v>82292</v>
      </c>
      <c r="G218" s="90">
        <v>554592</v>
      </c>
      <c r="H218" s="84">
        <v>0</v>
      </c>
      <c r="I218" s="90">
        <v>0</v>
      </c>
      <c r="J218" s="90">
        <v>0</v>
      </c>
      <c r="K218" s="84">
        <v>3</v>
      </c>
      <c r="L218" s="90">
        <v>11257</v>
      </c>
      <c r="M218" s="90">
        <v>157850</v>
      </c>
      <c r="N218" s="84">
        <v>3</v>
      </c>
      <c r="O218" s="90">
        <v>975</v>
      </c>
      <c r="P218" s="90">
        <v>8462</v>
      </c>
      <c r="Q218" s="84"/>
      <c r="R218" s="84"/>
      <c r="T218" s="84"/>
      <c r="U218" s="84"/>
    </row>
    <row r="219" spans="1:21" x14ac:dyDescent="0.25">
      <c r="A219" s="92" t="s">
        <v>9516</v>
      </c>
      <c r="B219" s="84">
        <v>6</v>
      </c>
      <c r="C219" s="90">
        <v>149610</v>
      </c>
      <c r="D219" s="90">
        <v>683400</v>
      </c>
      <c r="E219" s="84">
        <v>4</v>
      </c>
      <c r="F219" s="90">
        <v>11376</v>
      </c>
      <c r="G219" s="90">
        <v>8726</v>
      </c>
      <c r="H219" s="84">
        <v>3</v>
      </c>
      <c r="I219" s="90">
        <v>213</v>
      </c>
      <c r="J219" s="90">
        <v>0</v>
      </c>
      <c r="K219" s="84">
        <v>10</v>
      </c>
      <c r="L219" s="90">
        <v>98723</v>
      </c>
      <c r="M219" s="90">
        <v>376142</v>
      </c>
      <c r="N219" s="84">
        <v>3</v>
      </c>
      <c r="O219" s="90">
        <v>1996</v>
      </c>
      <c r="P219" s="90">
        <v>60000</v>
      </c>
      <c r="Q219" s="84"/>
      <c r="R219" s="84"/>
      <c r="T219" s="84"/>
      <c r="U219" s="84"/>
    </row>
    <row r="220" spans="1:21" x14ac:dyDescent="0.25">
      <c r="A220" s="92" t="s">
        <v>10263</v>
      </c>
      <c r="B220" s="84">
        <v>3</v>
      </c>
      <c r="C220" s="90">
        <v>10555</v>
      </c>
      <c r="D220" s="90">
        <v>51030</v>
      </c>
      <c r="E220" s="84">
        <v>0</v>
      </c>
      <c r="F220" s="90">
        <v>0</v>
      </c>
      <c r="G220" s="90">
        <v>0</v>
      </c>
      <c r="H220" s="84">
        <v>0</v>
      </c>
      <c r="I220" s="90">
        <v>0</v>
      </c>
      <c r="J220" s="90">
        <v>0</v>
      </c>
      <c r="K220" s="84">
        <v>5</v>
      </c>
      <c r="L220" s="90">
        <v>75265</v>
      </c>
      <c r="M220" s="90">
        <v>248387</v>
      </c>
      <c r="N220" s="84">
        <v>4</v>
      </c>
      <c r="O220" s="90">
        <v>18105.035564234895</v>
      </c>
      <c r="P220" s="90">
        <v>96311.159055217737</v>
      </c>
      <c r="Q220" s="84"/>
      <c r="R220" s="84"/>
      <c r="T220" s="84"/>
      <c r="U220" s="84"/>
    </row>
    <row r="221" spans="1:21" x14ac:dyDescent="0.25">
      <c r="A221" s="92" t="s">
        <v>11304</v>
      </c>
      <c r="B221" s="84">
        <v>3</v>
      </c>
      <c r="C221" s="90">
        <v>17937</v>
      </c>
      <c r="D221" s="90">
        <v>28369</v>
      </c>
      <c r="E221" s="84">
        <v>0</v>
      </c>
      <c r="F221" s="90">
        <v>0</v>
      </c>
      <c r="G221" s="90">
        <v>0</v>
      </c>
      <c r="H221" s="84">
        <v>4</v>
      </c>
      <c r="I221" s="90">
        <v>200</v>
      </c>
      <c r="J221" s="90">
        <v>23000</v>
      </c>
      <c r="K221" s="84">
        <v>8</v>
      </c>
      <c r="L221" s="90">
        <v>4722</v>
      </c>
      <c r="M221" s="90">
        <v>12142</v>
      </c>
      <c r="N221" s="84">
        <v>5</v>
      </c>
      <c r="O221" s="90">
        <v>521.06973058637084</v>
      </c>
      <c r="P221" s="90">
        <v>1700</v>
      </c>
      <c r="Q221" s="84"/>
      <c r="R221" s="84"/>
      <c r="T221" s="84"/>
      <c r="U221" s="84"/>
    </row>
    <row r="222" spans="1:21" x14ac:dyDescent="0.25">
      <c r="A222" s="92" t="s">
        <v>12294</v>
      </c>
      <c r="B222" s="84">
        <v>0</v>
      </c>
      <c r="C222" s="90">
        <v>0</v>
      </c>
      <c r="D222" s="90">
        <v>0</v>
      </c>
      <c r="E222" s="84">
        <v>5</v>
      </c>
      <c r="F222" s="90">
        <v>1800</v>
      </c>
      <c r="G222" s="90">
        <v>2300</v>
      </c>
      <c r="H222" s="84">
        <v>1</v>
      </c>
      <c r="I222" s="90">
        <v>400</v>
      </c>
      <c r="J222" s="90">
        <v>700</v>
      </c>
      <c r="K222" s="84">
        <v>2</v>
      </c>
      <c r="L222" s="90">
        <v>35</v>
      </c>
      <c r="M222" s="90">
        <v>0</v>
      </c>
      <c r="N222" s="84">
        <v>1</v>
      </c>
      <c r="O222" s="90">
        <v>0</v>
      </c>
      <c r="P222" s="90">
        <v>0</v>
      </c>
      <c r="Q222" s="84"/>
      <c r="R222" s="84"/>
      <c r="T222" s="84"/>
      <c r="U222" s="84"/>
    </row>
    <row r="223" spans="1:21" x14ac:dyDescent="0.25">
      <c r="A223" s="92" t="s">
        <v>12547</v>
      </c>
      <c r="B223" s="84">
        <v>4</v>
      </c>
      <c r="C223" s="90">
        <v>13225</v>
      </c>
      <c r="D223" s="90">
        <v>4132</v>
      </c>
      <c r="E223" s="84">
        <v>3</v>
      </c>
      <c r="F223" s="90">
        <v>8461</v>
      </c>
      <c r="G223" s="90">
        <v>21766</v>
      </c>
      <c r="H223" s="84">
        <v>1</v>
      </c>
      <c r="I223" s="90">
        <v>85000</v>
      </c>
      <c r="J223" s="90">
        <v>408000</v>
      </c>
      <c r="K223" s="84">
        <v>6</v>
      </c>
      <c r="L223" s="90">
        <v>95163</v>
      </c>
      <c r="M223" s="90">
        <v>429766</v>
      </c>
      <c r="N223" s="84">
        <v>2</v>
      </c>
      <c r="O223" s="90">
        <v>0</v>
      </c>
      <c r="P223" s="90">
        <v>0</v>
      </c>
      <c r="Q223" s="84"/>
      <c r="R223" s="84"/>
      <c r="T223" s="84"/>
      <c r="U223" s="84"/>
    </row>
    <row r="224" spans="1:21" x14ac:dyDescent="0.25">
      <c r="A224" s="92" t="s">
        <v>13272</v>
      </c>
      <c r="B224" s="84">
        <v>5</v>
      </c>
      <c r="C224" s="90">
        <v>14551</v>
      </c>
      <c r="D224" s="90">
        <v>4979</v>
      </c>
      <c r="E224" s="84">
        <v>0</v>
      </c>
      <c r="F224" s="90">
        <v>0</v>
      </c>
      <c r="G224" s="90">
        <v>0</v>
      </c>
      <c r="H224" s="84">
        <v>1</v>
      </c>
      <c r="I224" s="90">
        <v>455</v>
      </c>
      <c r="J224" s="90">
        <v>0</v>
      </c>
      <c r="K224" s="84">
        <v>4</v>
      </c>
      <c r="L224" s="90">
        <v>15392</v>
      </c>
      <c r="M224" s="90">
        <v>50</v>
      </c>
      <c r="N224" s="84">
        <v>1</v>
      </c>
      <c r="O224" s="90">
        <v>0</v>
      </c>
      <c r="P224" s="90">
        <v>0</v>
      </c>
      <c r="Q224" s="84"/>
      <c r="R224" s="84"/>
      <c r="T224" s="84"/>
      <c r="U224" s="84"/>
    </row>
    <row r="225" spans="1:21" x14ac:dyDescent="0.25">
      <c r="A225" s="92" t="s">
        <v>13409</v>
      </c>
      <c r="B225" s="84">
        <v>2</v>
      </c>
      <c r="C225" s="90">
        <v>4731</v>
      </c>
      <c r="D225" s="90">
        <v>0</v>
      </c>
      <c r="E225" s="84">
        <v>1</v>
      </c>
      <c r="F225" s="90">
        <v>347</v>
      </c>
      <c r="G225" s="90">
        <v>694</v>
      </c>
      <c r="H225" s="84">
        <v>4</v>
      </c>
      <c r="I225" s="90">
        <v>2007</v>
      </c>
      <c r="J225" s="90">
        <v>3876</v>
      </c>
      <c r="K225" s="84">
        <v>9</v>
      </c>
      <c r="L225" s="90">
        <v>12178</v>
      </c>
      <c r="M225" s="90">
        <v>12924</v>
      </c>
      <c r="N225" s="84">
        <v>7</v>
      </c>
      <c r="O225" s="90">
        <v>3108</v>
      </c>
      <c r="P225" s="90">
        <v>9447</v>
      </c>
      <c r="Q225" s="84"/>
      <c r="R225" s="84"/>
      <c r="T225" s="84"/>
      <c r="U225" s="84"/>
    </row>
    <row r="226" spans="1:21" x14ac:dyDescent="0.25">
      <c r="A226" s="96" t="s">
        <v>1874</v>
      </c>
      <c r="B226" s="56">
        <v>73</v>
      </c>
      <c r="C226" s="61">
        <v>3643292</v>
      </c>
      <c r="D226" s="61">
        <v>2975799</v>
      </c>
      <c r="E226" s="56">
        <v>32</v>
      </c>
      <c r="F226" s="61">
        <v>626957</v>
      </c>
      <c r="G226" s="61">
        <v>2608228</v>
      </c>
      <c r="H226" s="56">
        <v>45</v>
      </c>
      <c r="I226" s="61">
        <v>411225</v>
      </c>
      <c r="J226" s="61">
        <v>4273838</v>
      </c>
      <c r="K226" s="56">
        <v>125</v>
      </c>
      <c r="L226" s="61">
        <v>2704295</v>
      </c>
      <c r="M226" s="61">
        <v>13010167</v>
      </c>
      <c r="N226" s="56">
        <v>90</v>
      </c>
      <c r="O226" s="61">
        <v>1670049.990650909</v>
      </c>
      <c r="P226" s="61">
        <v>9478600.4665517006</v>
      </c>
      <c r="Q226" s="84"/>
      <c r="R226" s="84"/>
      <c r="T226" s="84"/>
      <c r="U226" s="84"/>
    </row>
    <row r="227" spans="1:21" x14ac:dyDescent="0.25">
      <c r="A227" s="92" t="s">
        <v>1873</v>
      </c>
      <c r="B227" s="84">
        <v>1</v>
      </c>
      <c r="C227" s="90">
        <v>1240</v>
      </c>
      <c r="D227" s="90">
        <v>7937</v>
      </c>
      <c r="E227" s="84">
        <v>5</v>
      </c>
      <c r="F227" s="90">
        <v>351066</v>
      </c>
      <c r="G227" s="90">
        <v>1797982</v>
      </c>
      <c r="H227" s="84">
        <v>9</v>
      </c>
      <c r="I227" s="90">
        <v>193241</v>
      </c>
      <c r="J227" s="90">
        <v>1126767</v>
      </c>
      <c r="K227" s="84">
        <v>5</v>
      </c>
      <c r="L227" s="90">
        <v>301545</v>
      </c>
      <c r="M227" s="90">
        <v>302112</v>
      </c>
      <c r="N227" s="84">
        <v>10</v>
      </c>
      <c r="O227" s="90">
        <v>403656</v>
      </c>
      <c r="P227" s="90">
        <v>2106533</v>
      </c>
      <c r="Q227" s="84"/>
      <c r="R227" s="84"/>
      <c r="T227" s="84"/>
      <c r="U227" s="84"/>
    </row>
    <row r="228" spans="1:21" x14ac:dyDescent="0.25">
      <c r="A228" s="92" t="s">
        <v>14322</v>
      </c>
      <c r="B228" s="84">
        <v>1</v>
      </c>
      <c r="C228" s="90">
        <v>48678</v>
      </c>
      <c r="D228" s="90">
        <v>130878</v>
      </c>
      <c r="E228" s="84">
        <v>5</v>
      </c>
      <c r="F228" s="90">
        <v>26239</v>
      </c>
      <c r="G228" s="90">
        <v>126569</v>
      </c>
      <c r="H228" s="84">
        <v>5</v>
      </c>
      <c r="I228" s="90">
        <v>3115</v>
      </c>
      <c r="J228" s="90">
        <v>13298</v>
      </c>
      <c r="K228" s="84">
        <v>6</v>
      </c>
      <c r="L228" s="90">
        <v>37914</v>
      </c>
      <c r="M228" s="90">
        <v>8117</v>
      </c>
      <c r="N228" s="84">
        <v>8</v>
      </c>
      <c r="O228" s="90">
        <v>9981.1746411483255</v>
      </c>
      <c r="P228" s="90">
        <v>39580</v>
      </c>
      <c r="Q228" s="84"/>
      <c r="R228" s="84"/>
      <c r="T228" s="84"/>
      <c r="U228" s="84"/>
    </row>
    <row r="229" spans="1:21" x14ac:dyDescent="0.25">
      <c r="A229" s="92" t="s">
        <v>3868</v>
      </c>
      <c r="B229" s="84">
        <v>16</v>
      </c>
      <c r="C229" s="90">
        <v>1182521</v>
      </c>
      <c r="D229" s="90">
        <v>982308</v>
      </c>
      <c r="E229" s="84">
        <v>4</v>
      </c>
      <c r="F229" s="90">
        <v>10154</v>
      </c>
      <c r="G229" s="90">
        <v>0</v>
      </c>
      <c r="H229" s="84">
        <v>2</v>
      </c>
      <c r="I229" s="90">
        <v>1693</v>
      </c>
      <c r="J229" s="90">
        <v>0</v>
      </c>
      <c r="K229" s="84">
        <v>28</v>
      </c>
      <c r="L229" s="90">
        <v>1167826</v>
      </c>
      <c r="M229" s="90">
        <v>1350718</v>
      </c>
      <c r="N229" s="84">
        <v>12</v>
      </c>
      <c r="O229" s="90">
        <v>108132.37390547369</v>
      </c>
      <c r="P229" s="90">
        <v>316505</v>
      </c>
      <c r="Q229" s="84"/>
      <c r="R229" s="84"/>
      <c r="T229" s="84"/>
      <c r="U229" s="84"/>
    </row>
    <row r="230" spans="1:21" x14ac:dyDescent="0.25">
      <c r="A230" s="92" t="s">
        <v>6457</v>
      </c>
      <c r="B230" s="84">
        <v>15</v>
      </c>
      <c r="C230" s="90">
        <v>813138</v>
      </c>
      <c r="D230" s="90">
        <v>335466</v>
      </c>
      <c r="E230" s="84">
        <v>6</v>
      </c>
      <c r="F230" s="90">
        <v>197782</v>
      </c>
      <c r="G230" s="90">
        <v>538578</v>
      </c>
      <c r="H230" s="84">
        <v>8</v>
      </c>
      <c r="I230" s="90">
        <v>117248</v>
      </c>
      <c r="J230" s="90">
        <v>411010</v>
      </c>
      <c r="K230" s="84">
        <v>25</v>
      </c>
      <c r="L230" s="90">
        <v>647450</v>
      </c>
      <c r="M230" s="90">
        <v>10524226</v>
      </c>
      <c r="N230" s="84">
        <v>15</v>
      </c>
      <c r="O230" s="90">
        <v>339011.44210428686</v>
      </c>
      <c r="P230" s="90">
        <v>760718.46655170014</v>
      </c>
      <c r="Q230" s="84"/>
      <c r="R230" s="84"/>
      <c r="T230" s="84"/>
      <c r="U230" s="84"/>
    </row>
    <row r="231" spans="1:21" x14ac:dyDescent="0.25">
      <c r="A231" s="92" t="s">
        <v>10371</v>
      </c>
      <c r="B231" s="84">
        <v>2</v>
      </c>
      <c r="C231" s="90">
        <v>9653</v>
      </c>
      <c r="D231" s="90">
        <v>227</v>
      </c>
      <c r="E231" s="84">
        <v>4</v>
      </c>
      <c r="F231" s="90">
        <v>507</v>
      </c>
      <c r="G231" s="90">
        <v>6249</v>
      </c>
      <c r="H231" s="84">
        <v>9</v>
      </c>
      <c r="I231" s="90">
        <v>24351</v>
      </c>
      <c r="J231" s="90">
        <v>138661</v>
      </c>
      <c r="K231" s="84">
        <v>7</v>
      </c>
      <c r="L231" s="90">
        <v>21430</v>
      </c>
      <c r="M231" s="90">
        <v>33723</v>
      </c>
      <c r="N231" s="84">
        <v>13</v>
      </c>
      <c r="O231" s="90">
        <v>574528</v>
      </c>
      <c r="P231" s="90">
        <v>1997414</v>
      </c>
      <c r="Q231" s="84"/>
      <c r="R231" s="84"/>
      <c r="T231" s="84"/>
      <c r="U231" s="84"/>
    </row>
    <row r="232" spans="1:21" x14ac:dyDescent="0.25">
      <c r="A232" s="92" t="s">
        <v>10685</v>
      </c>
      <c r="B232" s="84">
        <v>13</v>
      </c>
      <c r="C232" s="90">
        <v>280878</v>
      </c>
      <c r="D232" s="90">
        <v>5988</v>
      </c>
      <c r="E232" s="84">
        <v>0</v>
      </c>
      <c r="F232" s="90">
        <v>0</v>
      </c>
      <c r="G232" s="90">
        <v>0</v>
      </c>
      <c r="H232" s="84">
        <v>2</v>
      </c>
      <c r="I232" s="90">
        <v>900</v>
      </c>
      <c r="J232" s="90">
        <v>5400</v>
      </c>
      <c r="K232" s="84">
        <v>18</v>
      </c>
      <c r="L232" s="90">
        <v>105823</v>
      </c>
      <c r="M232" s="90">
        <v>155424</v>
      </c>
      <c r="N232" s="84">
        <v>6</v>
      </c>
      <c r="O232" s="90">
        <v>28362</v>
      </c>
      <c r="P232" s="90">
        <v>289566</v>
      </c>
      <c r="Q232" s="84"/>
      <c r="R232" s="84"/>
      <c r="T232" s="84"/>
      <c r="U232" s="84"/>
    </row>
    <row r="233" spans="1:21" x14ac:dyDescent="0.25">
      <c r="A233" s="92" t="s">
        <v>11104</v>
      </c>
      <c r="B233" s="84">
        <v>7</v>
      </c>
      <c r="C233" s="90">
        <v>142548</v>
      </c>
      <c r="D233" s="90">
        <v>322543</v>
      </c>
      <c r="E233" s="84">
        <v>2</v>
      </c>
      <c r="F233" s="90">
        <v>8498</v>
      </c>
      <c r="G233" s="90">
        <v>0</v>
      </c>
      <c r="H233" s="84">
        <v>2</v>
      </c>
      <c r="I233" s="90">
        <v>2740</v>
      </c>
      <c r="J233" s="90">
        <v>0</v>
      </c>
      <c r="K233" s="84">
        <v>9</v>
      </c>
      <c r="L233" s="90">
        <v>144915</v>
      </c>
      <c r="M233" s="90">
        <v>205551</v>
      </c>
      <c r="N233" s="84">
        <v>2</v>
      </c>
      <c r="O233" s="90">
        <v>360</v>
      </c>
      <c r="P233" s="90">
        <v>0</v>
      </c>
      <c r="Q233" s="84"/>
      <c r="R233" s="84"/>
      <c r="T233" s="84"/>
      <c r="U233" s="84"/>
    </row>
    <row r="234" spans="1:21" x14ac:dyDescent="0.25">
      <c r="A234" s="92" t="s">
        <v>11417</v>
      </c>
      <c r="B234" s="84">
        <v>14</v>
      </c>
      <c r="C234" s="90">
        <v>1108952</v>
      </c>
      <c r="D234" s="90">
        <v>1155355</v>
      </c>
      <c r="E234" s="84">
        <v>1</v>
      </c>
      <c r="F234" s="90">
        <v>3574</v>
      </c>
      <c r="G234" s="90">
        <v>71480</v>
      </c>
      <c r="H234" s="84">
        <v>0</v>
      </c>
      <c r="I234" s="90">
        <v>0</v>
      </c>
      <c r="J234" s="90">
        <v>0</v>
      </c>
      <c r="K234" s="84">
        <v>13</v>
      </c>
      <c r="L234" s="90">
        <v>128027</v>
      </c>
      <c r="M234" s="90">
        <v>383510</v>
      </c>
      <c r="N234" s="84">
        <v>7</v>
      </c>
      <c r="O234" s="90">
        <v>12180</v>
      </c>
      <c r="P234" s="90">
        <v>112655</v>
      </c>
      <c r="Q234" s="84"/>
      <c r="R234" s="84"/>
      <c r="T234" s="84"/>
      <c r="U234" s="84"/>
    </row>
    <row r="235" spans="1:21" x14ac:dyDescent="0.25">
      <c r="A235" s="92" t="s">
        <v>12090</v>
      </c>
      <c r="B235" s="84">
        <v>1</v>
      </c>
      <c r="C235" s="90">
        <v>243</v>
      </c>
      <c r="D235" s="90">
        <v>15000</v>
      </c>
      <c r="E235" s="84">
        <v>0</v>
      </c>
      <c r="F235" s="90">
        <v>0</v>
      </c>
      <c r="G235" s="90">
        <v>0</v>
      </c>
      <c r="H235" s="84">
        <v>3</v>
      </c>
      <c r="I235" s="90">
        <v>18293</v>
      </c>
      <c r="J235" s="90">
        <v>76045</v>
      </c>
      <c r="K235" s="84">
        <v>5</v>
      </c>
      <c r="L235" s="90">
        <v>8002</v>
      </c>
      <c r="M235" s="90">
        <v>46036</v>
      </c>
      <c r="N235" s="84">
        <v>8</v>
      </c>
      <c r="O235" s="90">
        <v>97446</v>
      </c>
      <c r="P235" s="90">
        <v>389051</v>
      </c>
      <c r="Q235" s="84"/>
      <c r="R235" s="84"/>
      <c r="T235" s="84"/>
      <c r="U235" s="84"/>
    </row>
    <row r="236" spans="1:21" x14ac:dyDescent="0.25">
      <c r="A236" s="92" t="s">
        <v>12694</v>
      </c>
      <c r="B236" s="84">
        <v>3</v>
      </c>
      <c r="C236" s="90">
        <v>55441</v>
      </c>
      <c r="D236" s="90">
        <v>20097</v>
      </c>
      <c r="E236" s="84">
        <v>5</v>
      </c>
      <c r="F236" s="90">
        <v>29137</v>
      </c>
      <c r="G236" s="90">
        <v>67370</v>
      </c>
      <c r="H236" s="84">
        <v>5</v>
      </c>
      <c r="I236" s="90">
        <v>49644</v>
      </c>
      <c r="J236" s="90">
        <v>2502657</v>
      </c>
      <c r="K236" s="84">
        <v>9</v>
      </c>
      <c r="L236" s="90">
        <v>141363</v>
      </c>
      <c r="M236" s="90">
        <v>750</v>
      </c>
      <c r="N236" s="84">
        <v>9</v>
      </c>
      <c r="O236" s="90">
        <v>96393</v>
      </c>
      <c r="P236" s="90">
        <v>3466578</v>
      </c>
      <c r="Q236" s="84"/>
      <c r="R236" s="84"/>
      <c r="T236" s="84"/>
      <c r="U236" s="84"/>
    </row>
    <row r="237" spans="1:21" x14ac:dyDescent="0.25">
      <c r="A237" s="96" t="s">
        <v>2807</v>
      </c>
      <c r="B237" s="56">
        <v>21</v>
      </c>
      <c r="C237" s="61">
        <v>402654</v>
      </c>
      <c r="D237" s="61">
        <v>3189639</v>
      </c>
      <c r="E237" s="56">
        <v>11</v>
      </c>
      <c r="F237" s="61">
        <v>8854</v>
      </c>
      <c r="G237" s="61">
        <v>47758</v>
      </c>
      <c r="H237" s="56">
        <v>17</v>
      </c>
      <c r="I237" s="61">
        <v>38226</v>
      </c>
      <c r="J237" s="61">
        <v>128932</v>
      </c>
      <c r="K237" s="56">
        <v>68</v>
      </c>
      <c r="L237" s="61">
        <v>598923</v>
      </c>
      <c r="M237" s="61">
        <v>3009859</v>
      </c>
      <c r="N237" s="56">
        <v>35</v>
      </c>
      <c r="O237" s="61">
        <v>68959.031085453127</v>
      </c>
      <c r="P237" s="61">
        <v>339410.78947368421</v>
      </c>
      <c r="Q237" s="84"/>
      <c r="R237" s="84"/>
      <c r="T237" s="84"/>
      <c r="U237" s="84"/>
    </row>
    <row r="238" spans="1:21" x14ac:dyDescent="0.25">
      <c r="A238" s="92" t="s">
        <v>14361</v>
      </c>
      <c r="B238" s="84">
        <v>1</v>
      </c>
      <c r="C238" s="90">
        <v>2808</v>
      </c>
      <c r="D238" s="90">
        <v>11232</v>
      </c>
      <c r="E238" s="84">
        <v>0</v>
      </c>
      <c r="F238" s="90">
        <v>0</v>
      </c>
      <c r="G238" s="90">
        <v>0</v>
      </c>
      <c r="H238" s="84">
        <v>1</v>
      </c>
      <c r="I238" s="90">
        <v>397</v>
      </c>
      <c r="J238" s="90">
        <v>0</v>
      </c>
      <c r="K238" s="84">
        <v>3</v>
      </c>
      <c r="L238" s="90">
        <v>2755</v>
      </c>
      <c r="M238" s="90">
        <v>5652</v>
      </c>
      <c r="N238" s="84">
        <v>2</v>
      </c>
      <c r="O238" s="90">
        <v>1594</v>
      </c>
      <c r="P238" s="90">
        <v>3132</v>
      </c>
      <c r="Q238" s="84"/>
      <c r="R238" s="84"/>
      <c r="T238" s="84"/>
      <c r="U238" s="84"/>
    </row>
    <row r="239" spans="1:21" x14ac:dyDescent="0.25">
      <c r="A239" s="92" t="s">
        <v>14363</v>
      </c>
      <c r="B239" s="84">
        <v>0</v>
      </c>
      <c r="C239" s="90">
        <v>0</v>
      </c>
      <c r="D239" s="90">
        <v>0</v>
      </c>
      <c r="E239" s="84">
        <v>0</v>
      </c>
      <c r="F239" s="90">
        <v>0</v>
      </c>
      <c r="G239" s="90">
        <v>0</v>
      </c>
      <c r="H239" s="84">
        <v>0</v>
      </c>
      <c r="I239" s="90">
        <v>0</v>
      </c>
      <c r="J239" s="90">
        <v>0</v>
      </c>
      <c r="K239" s="84">
        <v>1</v>
      </c>
      <c r="L239" s="90">
        <v>0</v>
      </c>
      <c r="M239" s="90">
        <v>0</v>
      </c>
      <c r="N239" s="84">
        <v>0</v>
      </c>
      <c r="O239" s="90">
        <v>0</v>
      </c>
      <c r="P239" s="90">
        <v>0</v>
      </c>
      <c r="Q239" s="84"/>
      <c r="R239" s="84"/>
      <c r="T239" s="84"/>
      <c r="U239" s="84"/>
    </row>
    <row r="240" spans="1:21" x14ac:dyDescent="0.25">
      <c r="A240" s="92" t="s">
        <v>3148</v>
      </c>
      <c r="B240" s="84">
        <v>2</v>
      </c>
      <c r="C240" s="90">
        <v>80341</v>
      </c>
      <c r="D240" s="90">
        <v>1562428</v>
      </c>
      <c r="E240" s="84">
        <v>1</v>
      </c>
      <c r="F240" s="90">
        <v>15</v>
      </c>
      <c r="G240" s="90">
        <v>0</v>
      </c>
      <c r="H240" s="84">
        <v>1</v>
      </c>
      <c r="I240" s="90">
        <v>15</v>
      </c>
      <c r="J240" s="90">
        <v>0</v>
      </c>
      <c r="K240" s="84">
        <v>3</v>
      </c>
      <c r="L240" s="90">
        <v>81205</v>
      </c>
      <c r="M240" s="90">
        <v>1809928</v>
      </c>
      <c r="N240" s="84">
        <v>1</v>
      </c>
      <c r="O240" s="90">
        <v>394.02197802197799</v>
      </c>
      <c r="P240" s="90">
        <v>76000</v>
      </c>
      <c r="Q240" s="84"/>
      <c r="R240" s="84"/>
      <c r="T240" s="84"/>
      <c r="U240" s="84"/>
    </row>
    <row r="241" spans="1:21" x14ac:dyDescent="0.25">
      <c r="A241" s="92" t="s">
        <v>3261</v>
      </c>
      <c r="B241" s="84">
        <v>0</v>
      </c>
      <c r="C241" s="90">
        <v>0</v>
      </c>
      <c r="D241" s="90">
        <v>0</v>
      </c>
      <c r="E241" s="84">
        <v>0</v>
      </c>
      <c r="F241" s="90">
        <v>0</v>
      </c>
      <c r="G241" s="90">
        <v>0</v>
      </c>
      <c r="H241" s="84">
        <v>0</v>
      </c>
      <c r="I241" s="90">
        <v>0</v>
      </c>
      <c r="J241" s="90">
        <v>0</v>
      </c>
      <c r="K241" s="84">
        <v>1</v>
      </c>
      <c r="L241" s="90">
        <v>375</v>
      </c>
      <c r="M241" s="90">
        <v>1250</v>
      </c>
      <c r="N241" s="84">
        <v>0</v>
      </c>
      <c r="O241" s="90">
        <v>0</v>
      </c>
      <c r="P241" s="90">
        <v>0</v>
      </c>
      <c r="Q241" s="84"/>
      <c r="R241" s="84"/>
      <c r="T241" s="84"/>
      <c r="U241" s="84"/>
    </row>
    <row r="242" spans="1:21" x14ac:dyDescent="0.25">
      <c r="A242" s="92" t="s">
        <v>3272</v>
      </c>
      <c r="B242" s="84">
        <v>6</v>
      </c>
      <c r="C242" s="90">
        <v>36701</v>
      </c>
      <c r="D242" s="90">
        <v>0</v>
      </c>
      <c r="E242" s="84">
        <v>0</v>
      </c>
      <c r="F242" s="90">
        <v>0</v>
      </c>
      <c r="G242" s="90">
        <v>0</v>
      </c>
      <c r="H242" s="84">
        <v>2</v>
      </c>
      <c r="I242" s="90">
        <v>13530</v>
      </c>
      <c r="J242" s="90">
        <v>51097</v>
      </c>
      <c r="K242" s="84">
        <v>4</v>
      </c>
      <c r="L242" s="90">
        <v>1100</v>
      </c>
      <c r="M242" s="90">
        <v>400</v>
      </c>
      <c r="N242" s="84">
        <v>2</v>
      </c>
      <c r="O242" s="90">
        <v>1553</v>
      </c>
      <c r="P242" s="90">
        <v>1812</v>
      </c>
      <c r="Q242" s="84"/>
      <c r="R242" s="84"/>
      <c r="T242" s="84"/>
      <c r="U242" s="84"/>
    </row>
    <row r="243" spans="1:21" x14ac:dyDescent="0.25">
      <c r="A243" s="92" t="s">
        <v>4777</v>
      </c>
      <c r="B243" s="84">
        <v>1</v>
      </c>
      <c r="C243" s="90">
        <v>4086</v>
      </c>
      <c r="D243" s="90">
        <v>29283</v>
      </c>
      <c r="E243" s="84">
        <v>3</v>
      </c>
      <c r="F243" s="90">
        <v>3430</v>
      </c>
      <c r="G243" s="90">
        <v>32998</v>
      </c>
      <c r="H243" s="84">
        <v>4</v>
      </c>
      <c r="I243" s="90">
        <v>3503</v>
      </c>
      <c r="J243" s="90">
        <v>9394</v>
      </c>
      <c r="K243" s="84">
        <v>12</v>
      </c>
      <c r="L243" s="90">
        <v>39966</v>
      </c>
      <c r="M243" s="90">
        <v>448920</v>
      </c>
      <c r="N243" s="84">
        <v>5</v>
      </c>
      <c r="O243" s="90">
        <v>4805</v>
      </c>
      <c r="P243" s="90">
        <v>20637</v>
      </c>
      <c r="Q243" s="84"/>
      <c r="R243" s="84"/>
      <c r="T243" s="84"/>
      <c r="U243" s="84"/>
    </row>
    <row r="244" spans="1:21" x14ac:dyDescent="0.25">
      <c r="A244" s="92" t="s">
        <v>5061</v>
      </c>
      <c r="B244" s="84">
        <v>3</v>
      </c>
      <c r="C244" s="90">
        <v>167724</v>
      </c>
      <c r="D244" s="90">
        <v>817456</v>
      </c>
      <c r="E244" s="84">
        <v>0</v>
      </c>
      <c r="F244" s="90">
        <v>0</v>
      </c>
      <c r="G244" s="90">
        <v>0</v>
      </c>
      <c r="H244" s="84">
        <v>2</v>
      </c>
      <c r="I244" s="90">
        <v>5159</v>
      </c>
      <c r="J244" s="90">
        <v>66641</v>
      </c>
      <c r="K244" s="84">
        <v>8</v>
      </c>
      <c r="L244" s="90">
        <v>156613</v>
      </c>
      <c r="M244" s="90">
        <v>638297</v>
      </c>
      <c r="N244" s="84">
        <v>6</v>
      </c>
      <c r="O244" s="90">
        <v>45859</v>
      </c>
      <c r="P244" s="90">
        <v>217654</v>
      </c>
      <c r="Q244" s="84"/>
      <c r="R244" s="84"/>
      <c r="T244" s="84"/>
      <c r="U244" s="84"/>
    </row>
    <row r="245" spans="1:21" x14ac:dyDescent="0.25">
      <c r="A245" s="92" t="s">
        <v>5190</v>
      </c>
      <c r="B245" s="84">
        <v>4</v>
      </c>
      <c r="C245" s="90">
        <v>8284</v>
      </c>
      <c r="D245" s="90">
        <v>39240</v>
      </c>
      <c r="E245" s="84">
        <v>2</v>
      </c>
      <c r="F245" s="90">
        <v>2782</v>
      </c>
      <c r="G245" s="90">
        <v>14760</v>
      </c>
      <c r="H245" s="84">
        <v>2</v>
      </c>
      <c r="I245" s="90">
        <v>622</v>
      </c>
      <c r="J245" s="90">
        <v>1800</v>
      </c>
      <c r="K245" s="84">
        <v>9</v>
      </c>
      <c r="L245" s="90">
        <v>20716</v>
      </c>
      <c r="M245" s="90">
        <v>104827</v>
      </c>
      <c r="N245" s="84">
        <v>5</v>
      </c>
      <c r="O245" s="90">
        <v>5545.0091074311549</v>
      </c>
      <c r="P245" s="90">
        <v>20175.78947368421</v>
      </c>
      <c r="Q245" s="84"/>
      <c r="R245" s="84"/>
      <c r="T245" s="84"/>
      <c r="U245" s="84"/>
    </row>
    <row r="246" spans="1:21" x14ac:dyDescent="0.25">
      <c r="A246" s="92" t="s">
        <v>8138</v>
      </c>
      <c r="B246" s="84">
        <v>0</v>
      </c>
      <c r="C246" s="90">
        <v>0</v>
      </c>
      <c r="D246" s="90">
        <v>0</v>
      </c>
      <c r="E246" s="84">
        <v>0</v>
      </c>
      <c r="F246" s="90">
        <v>0</v>
      </c>
      <c r="G246" s="90">
        <v>0</v>
      </c>
      <c r="H246" s="84">
        <v>0</v>
      </c>
      <c r="I246" s="90">
        <v>0</v>
      </c>
      <c r="J246" s="90">
        <v>0</v>
      </c>
      <c r="K246" s="84">
        <v>1</v>
      </c>
      <c r="L246" s="90">
        <v>0</v>
      </c>
      <c r="M246" s="90">
        <v>0</v>
      </c>
      <c r="N246" s="84">
        <v>0</v>
      </c>
      <c r="O246" s="90">
        <v>0</v>
      </c>
      <c r="P246" s="90">
        <v>0</v>
      </c>
      <c r="Q246" s="84"/>
      <c r="R246" s="84"/>
      <c r="T246" s="84"/>
      <c r="U246" s="84"/>
    </row>
    <row r="247" spans="1:21" x14ac:dyDescent="0.25">
      <c r="A247" s="92" t="s">
        <v>9042</v>
      </c>
      <c r="B247" s="84">
        <v>0</v>
      </c>
      <c r="C247" s="90">
        <v>0</v>
      </c>
      <c r="D247" s="90">
        <v>0</v>
      </c>
      <c r="E247" s="84">
        <v>0</v>
      </c>
      <c r="F247" s="90">
        <v>0</v>
      </c>
      <c r="G247" s="90">
        <v>0</v>
      </c>
      <c r="H247" s="84">
        <v>0</v>
      </c>
      <c r="I247" s="90">
        <v>0</v>
      </c>
      <c r="J247" s="90">
        <v>0</v>
      </c>
      <c r="K247" s="84">
        <v>1</v>
      </c>
      <c r="L247" s="90">
        <v>5598</v>
      </c>
      <c r="M247" s="90">
        <v>0</v>
      </c>
      <c r="N247" s="84">
        <v>1</v>
      </c>
      <c r="O247" s="90">
        <v>80</v>
      </c>
      <c r="P247" s="90">
        <v>0</v>
      </c>
      <c r="Q247" s="84"/>
      <c r="R247" s="84"/>
      <c r="T247" s="84"/>
      <c r="U247" s="84"/>
    </row>
    <row r="248" spans="1:21" x14ac:dyDescent="0.25">
      <c r="A248" s="92" t="s">
        <v>9514</v>
      </c>
      <c r="B248" s="84">
        <v>0</v>
      </c>
      <c r="C248" s="90">
        <v>0</v>
      </c>
      <c r="D248" s="90">
        <v>0</v>
      </c>
      <c r="E248" s="84">
        <v>0</v>
      </c>
      <c r="F248" s="90">
        <v>0</v>
      </c>
      <c r="G248" s="90">
        <v>0</v>
      </c>
      <c r="H248" s="84">
        <v>0</v>
      </c>
      <c r="I248" s="90">
        <v>0</v>
      </c>
      <c r="J248" s="90">
        <v>0</v>
      </c>
      <c r="K248" s="84">
        <v>1</v>
      </c>
      <c r="L248" s="90">
        <v>375</v>
      </c>
      <c r="M248" s="90">
        <v>585</v>
      </c>
      <c r="N248" s="84">
        <v>0</v>
      </c>
      <c r="O248" s="90">
        <v>0</v>
      </c>
      <c r="P248" s="90">
        <v>0</v>
      </c>
      <c r="Q248" s="84"/>
      <c r="R248" s="84"/>
      <c r="T248" s="84"/>
      <c r="U248" s="84"/>
    </row>
    <row r="249" spans="1:21" x14ac:dyDescent="0.25">
      <c r="A249" s="92" t="s">
        <v>9706</v>
      </c>
      <c r="B249" s="84">
        <v>4</v>
      </c>
      <c r="C249" s="90">
        <v>102710</v>
      </c>
      <c r="D249" s="90">
        <v>730000</v>
      </c>
      <c r="E249" s="84">
        <v>5</v>
      </c>
      <c r="F249" s="90">
        <v>2627</v>
      </c>
      <c r="G249" s="90">
        <v>0</v>
      </c>
      <c r="H249" s="84">
        <v>5</v>
      </c>
      <c r="I249" s="90">
        <v>15000</v>
      </c>
      <c r="J249" s="90">
        <v>0</v>
      </c>
      <c r="K249" s="84">
        <v>24</v>
      </c>
      <c r="L249" s="90">
        <v>290220</v>
      </c>
      <c r="M249" s="90">
        <v>0</v>
      </c>
      <c r="N249" s="84">
        <v>13</v>
      </c>
      <c r="O249" s="90">
        <v>9129</v>
      </c>
      <c r="P249" s="90">
        <v>0</v>
      </c>
      <c r="Q249" s="84"/>
      <c r="R249" s="84"/>
      <c r="T249" s="84"/>
      <c r="U249" s="84"/>
    </row>
    <row r="250" spans="1:21" x14ac:dyDescent="0.25">
      <c r="A250" s="96" t="s">
        <v>602</v>
      </c>
      <c r="B250" s="56">
        <v>113</v>
      </c>
      <c r="C250" s="61">
        <v>3368550</v>
      </c>
      <c r="D250" s="61">
        <v>1347688</v>
      </c>
      <c r="E250" s="56">
        <v>17</v>
      </c>
      <c r="F250" s="61">
        <v>28764</v>
      </c>
      <c r="G250" s="61">
        <v>34327</v>
      </c>
      <c r="H250" s="56">
        <v>43</v>
      </c>
      <c r="I250" s="61">
        <v>54952</v>
      </c>
      <c r="J250" s="61">
        <v>263624</v>
      </c>
      <c r="K250" s="56">
        <v>95</v>
      </c>
      <c r="L250" s="61">
        <v>1626476</v>
      </c>
      <c r="M250" s="61">
        <v>491796</v>
      </c>
      <c r="N250" s="56">
        <v>43</v>
      </c>
      <c r="O250" s="61">
        <v>30541.009470603884</v>
      </c>
      <c r="P250" s="61">
        <v>37438.51282051282</v>
      </c>
      <c r="Q250" s="84"/>
      <c r="R250" s="84"/>
      <c r="T250" s="84"/>
      <c r="U250" s="84"/>
    </row>
    <row r="251" spans="1:21" x14ac:dyDescent="0.25">
      <c r="A251" s="92" t="s">
        <v>601</v>
      </c>
      <c r="B251" s="84">
        <v>0</v>
      </c>
      <c r="C251" s="90">
        <v>0</v>
      </c>
      <c r="D251" s="90">
        <v>0</v>
      </c>
      <c r="E251" s="84">
        <v>0</v>
      </c>
      <c r="F251" s="90">
        <v>0</v>
      </c>
      <c r="G251" s="90">
        <v>0</v>
      </c>
      <c r="H251" s="84">
        <v>1</v>
      </c>
      <c r="I251" s="90">
        <v>600</v>
      </c>
      <c r="J251" s="90">
        <v>694</v>
      </c>
      <c r="K251" s="84">
        <v>0</v>
      </c>
      <c r="L251" s="90">
        <v>0</v>
      </c>
      <c r="M251" s="90">
        <v>0</v>
      </c>
      <c r="N251" s="84">
        <v>0</v>
      </c>
      <c r="O251" s="90">
        <v>0</v>
      </c>
      <c r="P251" s="90">
        <v>0</v>
      </c>
      <c r="Q251" s="84"/>
      <c r="R251" s="84"/>
      <c r="T251" s="84"/>
      <c r="U251" s="84"/>
    </row>
    <row r="252" spans="1:21" x14ac:dyDescent="0.25">
      <c r="A252" s="92" t="s">
        <v>14342</v>
      </c>
      <c r="B252" s="84">
        <v>0</v>
      </c>
      <c r="C252" s="90">
        <v>0</v>
      </c>
      <c r="D252" s="90">
        <v>0</v>
      </c>
      <c r="E252" s="84">
        <v>0</v>
      </c>
      <c r="F252" s="90">
        <v>0</v>
      </c>
      <c r="G252" s="90">
        <v>0</v>
      </c>
      <c r="H252" s="84">
        <v>0</v>
      </c>
      <c r="I252" s="90">
        <v>0</v>
      </c>
      <c r="J252" s="90">
        <v>0</v>
      </c>
      <c r="K252" s="84">
        <v>0</v>
      </c>
      <c r="L252" s="90">
        <v>0</v>
      </c>
      <c r="M252" s="90">
        <v>0</v>
      </c>
      <c r="N252" s="84">
        <v>1</v>
      </c>
      <c r="O252" s="90">
        <v>0</v>
      </c>
      <c r="P252" s="90">
        <v>0</v>
      </c>
      <c r="Q252" s="84"/>
      <c r="R252" s="84"/>
      <c r="T252" s="84"/>
      <c r="U252" s="84"/>
    </row>
    <row r="253" spans="1:21" x14ac:dyDescent="0.25">
      <c r="A253" s="92" t="s">
        <v>635</v>
      </c>
      <c r="B253" s="84">
        <v>0</v>
      </c>
      <c r="C253" s="90">
        <v>0</v>
      </c>
      <c r="D253" s="90">
        <v>0</v>
      </c>
      <c r="E253" s="84">
        <v>0</v>
      </c>
      <c r="F253" s="90">
        <v>0</v>
      </c>
      <c r="G253" s="90">
        <v>0</v>
      </c>
      <c r="H253" s="84">
        <v>0</v>
      </c>
      <c r="I253" s="90">
        <v>0</v>
      </c>
      <c r="J253" s="90">
        <v>0</v>
      </c>
      <c r="K253" s="84">
        <v>0</v>
      </c>
      <c r="L253" s="90">
        <v>0</v>
      </c>
      <c r="M253" s="90">
        <v>0</v>
      </c>
      <c r="N253" s="84">
        <v>0</v>
      </c>
      <c r="O253" s="90">
        <v>0</v>
      </c>
      <c r="P253" s="90">
        <v>0</v>
      </c>
      <c r="Q253" s="84"/>
      <c r="R253" s="84"/>
      <c r="T253" s="84"/>
      <c r="U253" s="84"/>
    </row>
    <row r="254" spans="1:21" x14ac:dyDescent="0.25">
      <c r="A254" s="92" t="s">
        <v>14353</v>
      </c>
      <c r="B254" s="84">
        <v>0</v>
      </c>
      <c r="C254" s="90">
        <v>0</v>
      </c>
      <c r="D254" s="90">
        <v>0</v>
      </c>
      <c r="E254" s="84">
        <v>0</v>
      </c>
      <c r="F254" s="90">
        <v>0</v>
      </c>
      <c r="G254" s="90">
        <v>0</v>
      </c>
      <c r="H254" s="84">
        <v>0</v>
      </c>
      <c r="I254" s="90">
        <v>0</v>
      </c>
      <c r="J254" s="90">
        <v>0</v>
      </c>
      <c r="K254" s="84">
        <v>0</v>
      </c>
      <c r="L254" s="90">
        <v>0</v>
      </c>
      <c r="M254" s="90">
        <v>0</v>
      </c>
      <c r="N254" s="84">
        <v>1</v>
      </c>
      <c r="O254" s="90">
        <v>0</v>
      </c>
      <c r="P254" s="90">
        <v>0</v>
      </c>
      <c r="Q254" s="84"/>
      <c r="R254" s="84"/>
      <c r="T254" s="84"/>
      <c r="U254" s="84"/>
    </row>
    <row r="255" spans="1:21" x14ac:dyDescent="0.25">
      <c r="A255" s="92" t="s">
        <v>1735</v>
      </c>
      <c r="B255" s="84">
        <v>0</v>
      </c>
      <c r="C255" s="90">
        <v>0</v>
      </c>
      <c r="D255" s="90">
        <v>0</v>
      </c>
      <c r="E255" s="84">
        <v>2</v>
      </c>
      <c r="F255" s="90">
        <v>2047</v>
      </c>
      <c r="G255" s="90">
        <v>4680</v>
      </c>
      <c r="H255" s="84">
        <v>5</v>
      </c>
      <c r="I255" s="90">
        <v>11025</v>
      </c>
      <c r="J255" s="90">
        <v>207060</v>
      </c>
      <c r="K255" s="84">
        <v>2</v>
      </c>
      <c r="L255" s="90">
        <v>310</v>
      </c>
      <c r="M255" s="90">
        <v>5350</v>
      </c>
      <c r="N255" s="84">
        <v>2</v>
      </c>
      <c r="O255" s="90">
        <v>93.333333333333329</v>
      </c>
      <c r="P255" s="90">
        <v>603.84615384615381</v>
      </c>
      <c r="Q255" s="84"/>
      <c r="R255" s="84"/>
      <c r="T255" s="84"/>
      <c r="U255" s="84"/>
    </row>
    <row r="256" spans="1:21" x14ac:dyDescent="0.25">
      <c r="A256" s="92" t="s">
        <v>3140</v>
      </c>
      <c r="B256" s="84">
        <v>3</v>
      </c>
      <c r="C256" s="90">
        <v>26008</v>
      </c>
      <c r="D256" s="90">
        <v>39598</v>
      </c>
      <c r="E256" s="84">
        <v>0</v>
      </c>
      <c r="F256" s="90">
        <v>0</v>
      </c>
      <c r="G256" s="90">
        <v>0</v>
      </c>
      <c r="H256" s="84">
        <v>1</v>
      </c>
      <c r="I256" s="90">
        <v>71</v>
      </c>
      <c r="J256" s="90">
        <v>1000</v>
      </c>
      <c r="K256" s="84">
        <v>3</v>
      </c>
      <c r="L256" s="90">
        <v>3879</v>
      </c>
      <c r="M256" s="90">
        <v>0</v>
      </c>
      <c r="N256" s="84">
        <v>0</v>
      </c>
      <c r="O256" s="90">
        <v>0</v>
      </c>
      <c r="P256" s="90">
        <v>0</v>
      </c>
      <c r="Q256" s="84"/>
      <c r="R256" s="84"/>
      <c r="T256" s="84"/>
      <c r="U256" s="84"/>
    </row>
    <row r="257" spans="1:21" x14ac:dyDescent="0.25">
      <c r="A257" s="92" t="s">
        <v>3231</v>
      </c>
      <c r="B257" s="84">
        <v>0</v>
      </c>
      <c r="C257" s="90">
        <v>0</v>
      </c>
      <c r="D257" s="90">
        <v>0</v>
      </c>
      <c r="E257" s="84">
        <v>0</v>
      </c>
      <c r="F257" s="90">
        <v>0</v>
      </c>
      <c r="G257" s="90">
        <v>0</v>
      </c>
      <c r="H257" s="84">
        <v>0</v>
      </c>
      <c r="I257" s="90">
        <v>0</v>
      </c>
      <c r="J257" s="90">
        <v>0</v>
      </c>
      <c r="K257" s="84">
        <v>0</v>
      </c>
      <c r="L257" s="90">
        <v>0</v>
      </c>
      <c r="M257" s="90">
        <v>0</v>
      </c>
      <c r="N257" s="84">
        <v>0</v>
      </c>
      <c r="O257" s="90">
        <v>0</v>
      </c>
      <c r="P257" s="90">
        <v>0</v>
      </c>
      <c r="Q257" s="84"/>
      <c r="R257" s="84"/>
      <c r="T257" s="84"/>
      <c r="U257" s="84"/>
    </row>
    <row r="258" spans="1:21" x14ac:dyDescent="0.25">
      <c r="A258" s="92" t="s">
        <v>3249</v>
      </c>
      <c r="B258" s="84">
        <v>3</v>
      </c>
      <c r="C258" s="90">
        <v>0</v>
      </c>
      <c r="D258" s="90">
        <v>0</v>
      </c>
      <c r="E258" s="84">
        <v>0</v>
      </c>
      <c r="F258" s="90">
        <v>0</v>
      </c>
      <c r="G258" s="90">
        <v>0</v>
      </c>
      <c r="H258" s="84">
        <v>0</v>
      </c>
      <c r="I258" s="90">
        <v>0</v>
      </c>
      <c r="J258" s="90">
        <v>0</v>
      </c>
      <c r="K258" s="84">
        <v>5</v>
      </c>
      <c r="L258" s="90">
        <v>0</v>
      </c>
      <c r="M258" s="90">
        <v>0</v>
      </c>
      <c r="N258" s="84">
        <v>0</v>
      </c>
      <c r="O258" s="90">
        <v>0</v>
      </c>
      <c r="P258" s="90">
        <v>0</v>
      </c>
      <c r="Q258" s="84"/>
      <c r="R258" s="84"/>
      <c r="T258" s="84"/>
      <c r="U258" s="84"/>
    </row>
    <row r="259" spans="1:21" x14ac:dyDescent="0.25">
      <c r="A259" s="92" t="s">
        <v>3546</v>
      </c>
      <c r="B259" s="84">
        <v>4</v>
      </c>
      <c r="C259" s="90">
        <v>17965</v>
      </c>
      <c r="D259" s="90">
        <v>56817</v>
      </c>
      <c r="E259" s="84">
        <v>0</v>
      </c>
      <c r="F259" s="90">
        <v>0</v>
      </c>
      <c r="G259" s="90">
        <v>0</v>
      </c>
      <c r="H259" s="84">
        <v>5</v>
      </c>
      <c r="I259" s="90">
        <v>20763</v>
      </c>
      <c r="J259" s="90">
        <v>27195</v>
      </c>
      <c r="K259" s="84">
        <v>8</v>
      </c>
      <c r="L259" s="90">
        <v>26935</v>
      </c>
      <c r="M259" s="90">
        <v>59400</v>
      </c>
      <c r="N259" s="84">
        <v>6</v>
      </c>
      <c r="O259" s="90">
        <v>3052.8189944134078</v>
      </c>
      <c r="P259" s="90">
        <v>0</v>
      </c>
      <c r="Q259" s="84"/>
      <c r="R259" s="84"/>
      <c r="T259" s="84"/>
      <c r="U259" s="84"/>
    </row>
    <row r="260" spans="1:21" x14ac:dyDescent="0.25">
      <c r="A260" s="92" t="s">
        <v>4293</v>
      </c>
      <c r="B260" s="84">
        <v>0</v>
      </c>
      <c r="C260" s="90">
        <v>0</v>
      </c>
      <c r="D260" s="90">
        <v>0</v>
      </c>
      <c r="E260" s="84">
        <v>0</v>
      </c>
      <c r="F260" s="90">
        <v>0</v>
      </c>
      <c r="G260" s="90">
        <v>0</v>
      </c>
      <c r="H260" s="84">
        <v>0</v>
      </c>
      <c r="I260" s="90">
        <v>0</v>
      </c>
      <c r="J260" s="90">
        <v>0</v>
      </c>
      <c r="K260" s="84">
        <v>2</v>
      </c>
      <c r="L260" s="90">
        <v>2625</v>
      </c>
      <c r="M260" s="90">
        <v>150500</v>
      </c>
      <c r="N260" s="84">
        <v>0</v>
      </c>
      <c r="O260" s="90">
        <v>0</v>
      </c>
      <c r="P260" s="90">
        <v>0</v>
      </c>
      <c r="Q260" s="84"/>
      <c r="R260" s="84"/>
      <c r="T260" s="84"/>
      <c r="U260" s="84"/>
    </row>
    <row r="261" spans="1:21" x14ac:dyDescent="0.25">
      <c r="A261" s="92" t="s">
        <v>4346</v>
      </c>
      <c r="B261" s="84">
        <v>0</v>
      </c>
      <c r="C261" s="90">
        <v>0</v>
      </c>
      <c r="D261" s="90">
        <v>0</v>
      </c>
      <c r="E261" s="84">
        <v>1</v>
      </c>
      <c r="F261" s="90">
        <v>0</v>
      </c>
      <c r="G261" s="90">
        <v>0</v>
      </c>
      <c r="H261" s="84">
        <v>1</v>
      </c>
      <c r="I261" s="90">
        <v>0</v>
      </c>
      <c r="J261" s="90">
        <v>0</v>
      </c>
      <c r="K261" s="84">
        <v>2</v>
      </c>
      <c r="L261" s="90">
        <v>1829</v>
      </c>
      <c r="M261" s="90">
        <v>14407</v>
      </c>
      <c r="N261" s="84">
        <v>5</v>
      </c>
      <c r="O261" s="90">
        <v>648</v>
      </c>
      <c r="P261" s="90">
        <v>2945</v>
      </c>
      <c r="Q261" s="84"/>
      <c r="R261" s="84"/>
      <c r="T261" s="84"/>
      <c r="U261" s="84"/>
    </row>
    <row r="262" spans="1:21" x14ac:dyDescent="0.25">
      <c r="A262" s="92" t="s">
        <v>4428</v>
      </c>
      <c r="B262" s="84">
        <v>0</v>
      </c>
      <c r="C262" s="90">
        <v>0</v>
      </c>
      <c r="D262" s="90">
        <v>0</v>
      </c>
      <c r="E262" s="84">
        <v>0</v>
      </c>
      <c r="F262" s="90">
        <v>0</v>
      </c>
      <c r="G262" s="90">
        <v>0</v>
      </c>
      <c r="H262" s="84">
        <v>0</v>
      </c>
      <c r="I262" s="90">
        <v>0</v>
      </c>
      <c r="J262" s="90">
        <v>0</v>
      </c>
      <c r="K262" s="84">
        <v>0</v>
      </c>
      <c r="L262" s="90">
        <v>0</v>
      </c>
      <c r="M262" s="90">
        <v>0</v>
      </c>
      <c r="N262" s="84">
        <v>0</v>
      </c>
      <c r="O262" s="90">
        <v>0</v>
      </c>
      <c r="P262" s="90">
        <v>0</v>
      </c>
      <c r="Q262" s="84"/>
      <c r="R262" s="84"/>
      <c r="T262" s="84"/>
      <c r="U262" s="84"/>
    </row>
    <row r="263" spans="1:21" x14ac:dyDescent="0.25">
      <c r="A263" s="92" t="s">
        <v>6024</v>
      </c>
      <c r="B263" s="84">
        <v>8</v>
      </c>
      <c r="C263" s="90">
        <v>121679</v>
      </c>
      <c r="D263" s="90">
        <v>0</v>
      </c>
      <c r="E263" s="84">
        <v>1</v>
      </c>
      <c r="F263" s="90">
        <v>0</v>
      </c>
      <c r="G263" s="90">
        <v>0</v>
      </c>
      <c r="H263" s="84">
        <v>0</v>
      </c>
      <c r="I263" s="90">
        <v>0</v>
      </c>
      <c r="J263" s="90">
        <v>0</v>
      </c>
      <c r="K263" s="84">
        <v>0</v>
      </c>
      <c r="L263" s="90">
        <v>0</v>
      </c>
      <c r="M263" s="90">
        <v>0</v>
      </c>
      <c r="N263" s="84">
        <v>0</v>
      </c>
      <c r="O263" s="90">
        <v>0</v>
      </c>
      <c r="P263" s="90">
        <v>0</v>
      </c>
      <c r="Q263" s="84"/>
      <c r="R263" s="84"/>
      <c r="T263" s="84"/>
      <c r="U263" s="84"/>
    </row>
    <row r="264" spans="1:21" x14ac:dyDescent="0.25">
      <c r="A264" s="92" t="s">
        <v>6105</v>
      </c>
      <c r="B264" s="84">
        <v>20</v>
      </c>
      <c r="C264" s="90">
        <v>162437</v>
      </c>
      <c r="D264" s="90">
        <v>809696</v>
      </c>
      <c r="E264" s="84">
        <v>2</v>
      </c>
      <c r="F264" s="90">
        <v>946</v>
      </c>
      <c r="G264" s="90">
        <v>3512</v>
      </c>
      <c r="H264" s="84">
        <v>11</v>
      </c>
      <c r="I264" s="90">
        <v>5733</v>
      </c>
      <c r="J264" s="90">
        <v>21500</v>
      </c>
      <c r="K264" s="84">
        <v>8</v>
      </c>
      <c r="L264" s="90">
        <v>7164</v>
      </c>
      <c r="M264" s="90">
        <v>34408</v>
      </c>
      <c r="N264" s="84">
        <v>8</v>
      </c>
      <c r="O264" s="90">
        <v>1985</v>
      </c>
      <c r="P264" s="90">
        <v>8822</v>
      </c>
      <c r="Q264" s="84"/>
      <c r="R264" s="84"/>
      <c r="T264" s="84"/>
      <c r="U264" s="84"/>
    </row>
    <row r="265" spans="1:21" x14ac:dyDescent="0.25">
      <c r="A265" s="92" t="s">
        <v>6805</v>
      </c>
      <c r="B265" s="84">
        <v>0</v>
      </c>
      <c r="C265" s="90">
        <v>0</v>
      </c>
      <c r="D265" s="90">
        <v>0</v>
      </c>
      <c r="E265" s="84">
        <v>0</v>
      </c>
      <c r="F265" s="90">
        <v>0</v>
      </c>
      <c r="G265" s="90">
        <v>0</v>
      </c>
      <c r="H265" s="84">
        <v>1</v>
      </c>
      <c r="I265" s="90">
        <v>300</v>
      </c>
      <c r="J265" s="90">
        <v>1881</v>
      </c>
      <c r="K265" s="84">
        <v>1</v>
      </c>
      <c r="L265" s="90">
        <v>100</v>
      </c>
      <c r="M265" s="90">
        <v>1500</v>
      </c>
      <c r="N265" s="84">
        <v>1</v>
      </c>
      <c r="O265" s="90">
        <v>42.857142857142854</v>
      </c>
      <c r="P265" s="90">
        <v>666.66666666666663</v>
      </c>
      <c r="Q265" s="84"/>
      <c r="R265" s="84"/>
      <c r="T265" s="84"/>
      <c r="U265" s="84"/>
    </row>
    <row r="266" spans="1:21" x14ac:dyDescent="0.25">
      <c r="A266" s="92" t="s">
        <v>7083</v>
      </c>
      <c r="B266" s="84">
        <v>6</v>
      </c>
      <c r="C266" s="90">
        <v>32031</v>
      </c>
      <c r="D266" s="90">
        <v>13085</v>
      </c>
      <c r="E266" s="84">
        <v>1</v>
      </c>
      <c r="F266" s="90">
        <v>0</v>
      </c>
      <c r="G266" s="90">
        <v>0</v>
      </c>
      <c r="H266" s="84">
        <v>1</v>
      </c>
      <c r="I266" s="90">
        <v>0</v>
      </c>
      <c r="J266" s="90">
        <v>0</v>
      </c>
      <c r="K266" s="84">
        <v>4</v>
      </c>
      <c r="L266" s="90">
        <v>12372</v>
      </c>
      <c r="M266" s="90">
        <v>260</v>
      </c>
      <c r="N266" s="84">
        <v>1</v>
      </c>
      <c r="O266" s="90">
        <v>0</v>
      </c>
      <c r="P266" s="90">
        <v>0</v>
      </c>
      <c r="Q266" s="84"/>
      <c r="R266" s="84"/>
      <c r="T266" s="84"/>
      <c r="U266" s="84"/>
    </row>
    <row r="267" spans="1:21" x14ac:dyDescent="0.25">
      <c r="A267" s="92" t="s">
        <v>7194</v>
      </c>
      <c r="B267" s="84">
        <v>0</v>
      </c>
      <c r="C267" s="90">
        <v>0</v>
      </c>
      <c r="D267" s="90">
        <v>0</v>
      </c>
      <c r="E267" s="84">
        <v>0</v>
      </c>
      <c r="F267" s="90">
        <v>0</v>
      </c>
      <c r="G267" s="90">
        <v>0</v>
      </c>
      <c r="H267" s="84">
        <v>0</v>
      </c>
      <c r="I267" s="90">
        <v>0</v>
      </c>
      <c r="J267" s="90">
        <v>0</v>
      </c>
      <c r="K267" s="84">
        <v>1</v>
      </c>
      <c r="L267" s="90">
        <v>0</v>
      </c>
      <c r="M267" s="90">
        <v>0</v>
      </c>
      <c r="N267" s="84">
        <v>1</v>
      </c>
      <c r="O267" s="90">
        <v>0</v>
      </c>
      <c r="P267" s="90">
        <v>0</v>
      </c>
      <c r="Q267" s="84"/>
      <c r="R267" s="84"/>
      <c r="T267" s="84"/>
      <c r="U267" s="84"/>
    </row>
    <row r="268" spans="1:21" x14ac:dyDescent="0.25">
      <c r="A268" s="92" t="s">
        <v>8140</v>
      </c>
      <c r="B268" s="84">
        <v>0</v>
      </c>
      <c r="C268" s="90">
        <v>0</v>
      </c>
      <c r="D268" s="90">
        <v>0</v>
      </c>
      <c r="E268" s="84">
        <v>1</v>
      </c>
      <c r="F268" s="90">
        <v>24</v>
      </c>
      <c r="G268" s="90">
        <v>100</v>
      </c>
      <c r="H268" s="84">
        <v>2</v>
      </c>
      <c r="I268" s="90">
        <v>305</v>
      </c>
      <c r="J268" s="90">
        <v>1120</v>
      </c>
      <c r="K268" s="84">
        <v>2</v>
      </c>
      <c r="L268" s="90">
        <v>380</v>
      </c>
      <c r="M268" s="90">
        <v>400</v>
      </c>
      <c r="N268" s="84">
        <v>2</v>
      </c>
      <c r="O268" s="90">
        <v>240</v>
      </c>
      <c r="P268" s="90">
        <v>820</v>
      </c>
      <c r="Q268" s="84"/>
      <c r="R268" s="84"/>
      <c r="T268" s="84"/>
      <c r="U268" s="84"/>
    </row>
    <row r="269" spans="1:21" x14ac:dyDescent="0.25">
      <c r="A269" s="92" t="s">
        <v>8180</v>
      </c>
      <c r="B269" s="84">
        <v>0</v>
      </c>
      <c r="C269" s="90">
        <v>0</v>
      </c>
      <c r="D269" s="90">
        <v>0</v>
      </c>
      <c r="E269" s="84">
        <v>0</v>
      </c>
      <c r="F269" s="90">
        <v>0</v>
      </c>
      <c r="G269" s="90">
        <v>0</v>
      </c>
      <c r="H269" s="84">
        <v>0</v>
      </c>
      <c r="I269" s="90">
        <v>0</v>
      </c>
      <c r="J269" s="90">
        <v>0</v>
      </c>
      <c r="K269" s="84">
        <v>0</v>
      </c>
      <c r="L269" s="90">
        <v>0</v>
      </c>
      <c r="M269" s="90">
        <v>0</v>
      </c>
      <c r="N269" s="84">
        <v>2</v>
      </c>
      <c r="O269" s="90">
        <v>4000</v>
      </c>
      <c r="P269" s="90">
        <v>20000</v>
      </c>
      <c r="Q269" s="84"/>
      <c r="R269" s="84"/>
      <c r="T269" s="84"/>
      <c r="U269" s="84"/>
    </row>
    <row r="270" spans="1:21" x14ac:dyDescent="0.25">
      <c r="A270" s="92" t="s">
        <v>9409</v>
      </c>
      <c r="B270" s="84">
        <v>2</v>
      </c>
      <c r="C270" s="90">
        <v>0</v>
      </c>
      <c r="D270" s="90">
        <v>0</v>
      </c>
      <c r="E270" s="84">
        <v>0</v>
      </c>
      <c r="F270" s="90">
        <v>0</v>
      </c>
      <c r="G270" s="90">
        <v>0</v>
      </c>
      <c r="H270" s="84">
        <v>4</v>
      </c>
      <c r="I270" s="90">
        <v>15</v>
      </c>
      <c r="J270" s="90">
        <v>0</v>
      </c>
      <c r="K270" s="84">
        <v>1</v>
      </c>
      <c r="L270" s="90">
        <v>0</v>
      </c>
      <c r="M270" s="90">
        <v>0</v>
      </c>
      <c r="N270" s="84">
        <v>2</v>
      </c>
      <c r="O270" s="90">
        <v>0</v>
      </c>
      <c r="P270" s="90">
        <v>0</v>
      </c>
      <c r="Q270" s="84"/>
      <c r="R270" s="84"/>
      <c r="T270" s="84"/>
      <c r="U270" s="84"/>
    </row>
    <row r="271" spans="1:21" x14ac:dyDescent="0.25">
      <c r="A271" s="92" t="s">
        <v>10350</v>
      </c>
      <c r="B271" s="84">
        <v>0</v>
      </c>
      <c r="C271" s="90">
        <v>0</v>
      </c>
      <c r="D271" s="90">
        <v>0</v>
      </c>
      <c r="E271" s="84">
        <v>1</v>
      </c>
      <c r="F271" s="90">
        <v>1600</v>
      </c>
      <c r="G271" s="90">
        <v>8000</v>
      </c>
      <c r="H271" s="84">
        <v>0</v>
      </c>
      <c r="I271" s="90">
        <v>0</v>
      </c>
      <c r="J271" s="90">
        <v>0</v>
      </c>
      <c r="K271" s="84">
        <v>0</v>
      </c>
      <c r="L271" s="90">
        <v>0</v>
      </c>
      <c r="M271" s="90">
        <v>0</v>
      </c>
      <c r="N271" s="84">
        <v>0</v>
      </c>
      <c r="O271" s="90">
        <v>0</v>
      </c>
      <c r="P271" s="90">
        <v>0</v>
      </c>
      <c r="Q271" s="84"/>
      <c r="R271" s="84"/>
      <c r="T271" s="84"/>
      <c r="U271" s="84"/>
    </row>
    <row r="272" spans="1:21" x14ac:dyDescent="0.25">
      <c r="A272" s="92" t="s">
        <v>10558</v>
      </c>
      <c r="B272" s="84">
        <v>8</v>
      </c>
      <c r="C272" s="90">
        <v>274367</v>
      </c>
      <c r="D272" s="90">
        <v>216450</v>
      </c>
      <c r="E272" s="84">
        <v>1</v>
      </c>
      <c r="F272" s="90">
        <v>29</v>
      </c>
      <c r="G272" s="90">
        <v>130</v>
      </c>
      <c r="H272" s="84">
        <v>2</v>
      </c>
      <c r="I272" s="90">
        <v>540</v>
      </c>
      <c r="J272" s="90">
        <v>3174</v>
      </c>
      <c r="K272" s="84">
        <v>8</v>
      </c>
      <c r="L272" s="90">
        <v>113224</v>
      </c>
      <c r="M272" s="90">
        <v>0</v>
      </c>
      <c r="N272" s="84">
        <v>0</v>
      </c>
      <c r="O272" s="90">
        <v>0</v>
      </c>
      <c r="P272" s="90">
        <v>0</v>
      </c>
      <c r="Q272" s="84"/>
      <c r="R272" s="84"/>
      <c r="T272" s="84"/>
      <c r="U272" s="84"/>
    </row>
    <row r="273" spans="1:21" x14ac:dyDescent="0.25">
      <c r="A273" s="92" t="s">
        <v>11664</v>
      </c>
      <c r="B273" s="84">
        <v>1</v>
      </c>
      <c r="C273" s="90">
        <v>0</v>
      </c>
      <c r="D273" s="90">
        <v>0</v>
      </c>
      <c r="E273" s="84">
        <v>1</v>
      </c>
      <c r="F273" s="90">
        <v>0</v>
      </c>
      <c r="G273" s="90">
        <v>0</v>
      </c>
      <c r="H273" s="84">
        <v>1</v>
      </c>
      <c r="I273" s="90">
        <v>0</v>
      </c>
      <c r="J273" s="90">
        <v>0</v>
      </c>
      <c r="K273" s="84">
        <v>1</v>
      </c>
      <c r="L273" s="90">
        <v>0</v>
      </c>
      <c r="M273" s="90">
        <v>0</v>
      </c>
      <c r="N273" s="84">
        <v>0</v>
      </c>
      <c r="O273" s="90">
        <v>0</v>
      </c>
      <c r="P273" s="90">
        <v>0</v>
      </c>
      <c r="Q273" s="84"/>
      <c r="R273" s="84"/>
      <c r="T273" s="84"/>
      <c r="U273" s="84"/>
    </row>
    <row r="274" spans="1:21" x14ac:dyDescent="0.25">
      <c r="A274" s="92" t="s">
        <v>11693</v>
      </c>
      <c r="B274" s="84">
        <v>32</v>
      </c>
      <c r="C274" s="90">
        <v>1267300</v>
      </c>
      <c r="D274" s="90">
        <v>98454</v>
      </c>
      <c r="E274" s="84">
        <v>2</v>
      </c>
      <c r="F274" s="90">
        <v>6412</v>
      </c>
      <c r="G274" s="90">
        <v>0</v>
      </c>
      <c r="H274" s="84">
        <v>0</v>
      </c>
      <c r="I274" s="90">
        <v>0</v>
      </c>
      <c r="J274" s="90">
        <v>0</v>
      </c>
      <c r="K274" s="84">
        <v>19</v>
      </c>
      <c r="L274" s="90">
        <v>193708</v>
      </c>
      <c r="M274" s="90">
        <v>98632</v>
      </c>
      <c r="N274" s="84">
        <v>0</v>
      </c>
      <c r="O274" s="90">
        <v>0</v>
      </c>
      <c r="P274" s="90">
        <v>0</v>
      </c>
      <c r="Q274" s="84"/>
      <c r="R274" s="84"/>
      <c r="T274" s="84"/>
      <c r="U274" s="84"/>
    </row>
    <row r="275" spans="1:21" x14ac:dyDescent="0.25">
      <c r="A275" s="92" t="s">
        <v>12654</v>
      </c>
      <c r="B275" s="84">
        <v>5</v>
      </c>
      <c r="C275" s="90">
        <v>67212</v>
      </c>
      <c r="D275" s="90">
        <v>585</v>
      </c>
      <c r="E275" s="84">
        <v>1</v>
      </c>
      <c r="F275" s="90">
        <v>6697</v>
      </c>
      <c r="G275" s="90">
        <v>0</v>
      </c>
      <c r="H275" s="84">
        <v>3</v>
      </c>
      <c r="I275" s="90">
        <v>0</v>
      </c>
      <c r="J275" s="90">
        <v>0</v>
      </c>
      <c r="K275" s="84">
        <v>3</v>
      </c>
      <c r="L275" s="90">
        <v>16534</v>
      </c>
      <c r="M275" s="90">
        <v>0</v>
      </c>
      <c r="N275" s="84">
        <v>0</v>
      </c>
      <c r="O275" s="90">
        <v>0</v>
      </c>
      <c r="P275" s="90">
        <v>0</v>
      </c>
      <c r="Q275" s="84"/>
      <c r="R275" s="84"/>
      <c r="T275" s="84"/>
      <c r="U275" s="84"/>
    </row>
    <row r="276" spans="1:21" x14ac:dyDescent="0.25">
      <c r="A276" s="92" t="s">
        <v>12907</v>
      </c>
      <c r="B276" s="84">
        <v>0</v>
      </c>
      <c r="C276" s="90">
        <v>0</v>
      </c>
      <c r="D276" s="90">
        <v>0</v>
      </c>
      <c r="E276" s="84">
        <v>0</v>
      </c>
      <c r="F276" s="90">
        <v>0</v>
      </c>
      <c r="G276" s="90">
        <v>0</v>
      </c>
      <c r="H276" s="84">
        <v>0</v>
      </c>
      <c r="I276" s="90">
        <v>0</v>
      </c>
      <c r="J276" s="90">
        <v>0</v>
      </c>
      <c r="K276" s="84">
        <v>2</v>
      </c>
      <c r="L276" s="90">
        <v>0</v>
      </c>
      <c r="M276" s="90">
        <v>0</v>
      </c>
      <c r="N276" s="84">
        <v>2</v>
      </c>
      <c r="O276" s="90">
        <v>0</v>
      </c>
      <c r="P276" s="90">
        <v>0</v>
      </c>
      <c r="Q276" s="84"/>
      <c r="R276" s="84"/>
      <c r="T276" s="84"/>
      <c r="U276" s="84"/>
    </row>
    <row r="277" spans="1:21" x14ac:dyDescent="0.25">
      <c r="A277" s="92" t="s">
        <v>13710</v>
      </c>
      <c r="B277" s="84">
        <v>5</v>
      </c>
      <c r="C277" s="90">
        <v>77194</v>
      </c>
      <c r="D277" s="90">
        <v>45229</v>
      </c>
      <c r="E277" s="84">
        <v>2</v>
      </c>
      <c r="F277" s="90">
        <v>9900</v>
      </c>
      <c r="G277" s="90">
        <v>17905</v>
      </c>
      <c r="H277" s="84">
        <v>5</v>
      </c>
      <c r="I277" s="90">
        <v>15600</v>
      </c>
      <c r="J277" s="90">
        <v>0</v>
      </c>
      <c r="K277" s="84">
        <v>8</v>
      </c>
      <c r="L277" s="90">
        <v>121977</v>
      </c>
      <c r="M277" s="90">
        <v>126939</v>
      </c>
      <c r="N277" s="84">
        <v>7</v>
      </c>
      <c r="O277" s="90">
        <v>20479</v>
      </c>
      <c r="P277" s="90">
        <v>3581</v>
      </c>
      <c r="Q277" s="84"/>
      <c r="R277" s="84"/>
      <c r="T277" s="84"/>
      <c r="U277" s="84"/>
    </row>
    <row r="278" spans="1:21" x14ac:dyDescent="0.25">
      <c r="A278" s="92" t="s">
        <v>13783</v>
      </c>
      <c r="B278" s="84">
        <v>16</v>
      </c>
      <c r="C278" s="90">
        <v>1322357</v>
      </c>
      <c r="D278" s="90">
        <v>67774</v>
      </c>
      <c r="E278" s="84">
        <v>1</v>
      </c>
      <c r="F278" s="90">
        <v>1109</v>
      </c>
      <c r="G278" s="90">
        <v>0</v>
      </c>
      <c r="H278" s="84">
        <v>0</v>
      </c>
      <c r="I278" s="90">
        <v>0</v>
      </c>
      <c r="J278" s="90">
        <v>0</v>
      </c>
      <c r="K278" s="84">
        <v>15</v>
      </c>
      <c r="L278" s="90">
        <v>1125439</v>
      </c>
      <c r="M278" s="90">
        <v>0</v>
      </c>
      <c r="N278" s="84">
        <v>2</v>
      </c>
      <c r="O278" s="90">
        <v>0</v>
      </c>
      <c r="P278" s="90">
        <v>0</v>
      </c>
      <c r="Q278" s="84"/>
      <c r="R278" s="84"/>
      <c r="T278" s="84"/>
      <c r="U278" s="84"/>
    </row>
    <row r="279" spans="1:21" x14ac:dyDescent="0.25">
      <c r="A279" s="96" t="s">
        <v>12970</v>
      </c>
      <c r="B279" s="56">
        <v>4</v>
      </c>
      <c r="C279" s="61">
        <v>2</v>
      </c>
      <c r="D279" s="61">
        <v>0</v>
      </c>
      <c r="E279" s="56">
        <v>4</v>
      </c>
      <c r="F279" s="61">
        <v>0</v>
      </c>
      <c r="G279" s="61">
        <v>0</v>
      </c>
      <c r="H279" s="56">
        <v>4</v>
      </c>
      <c r="I279" s="61">
        <v>2</v>
      </c>
      <c r="J279" s="61">
        <v>0</v>
      </c>
      <c r="K279" s="56">
        <v>5</v>
      </c>
      <c r="L279" s="61">
        <v>0</v>
      </c>
      <c r="M279" s="61">
        <v>0</v>
      </c>
      <c r="N279" s="56">
        <v>4</v>
      </c>
      <c r="O279" s="61">
        <v>0</v>
      </c>
      <c r="P279" s="61">
        <v>0</v>
      </c>
      <c r="Q279" s="84"/>
      <c r="R279" s="84"/>
      <c r="T279" s="84"/>
      <c r="U279" s="84"/>
    </row>
    <row r="280" spans="1:21" x14ac:dyDescent="0.25">
      <c r="A280" s="92" t="s">
        <v>7496</v>
      </c>
      <c r="B280" s="84">
        <v>1</v>
      </c>
      <c r="C280" s="90">
        <v>0</v>
      </c>
      <c r="D280" s="90">
        <v>0</v>
      </c>
      <c r="E280" s="84">
        <v>1</v>
      </c>
      <c r="F280" s="90">
        <v>0</v>
      </c>
      <c r="G280" s="90">
        <v>0</v>
      </c>
      <c r="H280" s="84">
        <v>0</v>
      </c>
      <c r="I280" s="90">
        <v>0</v>
      </c>
      <c r="J280" s="90">
        <v>0</v>
      </c>
      <c r="K280" s="84">
        <v>3</v>
      </c>
      <c r="L280" s="90">
        <v>0</v>
      </c>
      <c r="M280" s="90">
        <v>0</v>
      </c>
      <c r="N280" s="84">
        <v>2</v>
      </c>
      <c r="O280" s="90">
        <v>0</v>
      </c>
      <c r="P280" s="90">
        <v>0</v>
      </c>
      <c r="Q280" s="84"/>
      <c r="R280" s="84"/>
      <c r="T280" s="84"/>
      <c r="U280" s="84"/>
    </row>
    <row r="281" spans="1:21" x14ac:dyDescent="0.25">
      <c r="A281" s="92" t="s">
        <v>12969</v>
      </c>
      <c r="B281" s="84">
        <v>3</v>
      </c>
      <c r="C281" s="90">
        <v>2</v>
      </c>
      <c r="D281" s="90">
        <v>0</v>
      </c>
      <c r="E281" s="84">
        <v>3</v>
      </c>
      <c r="F281" s="90">
        <v>0</v>
      </c>
      <c r="G281" s="90">
        <v>0</v>
      </c>
      <c r="H281" s="84">
        <v>4</v>
      </c>
      <c r="I281" s="90">
        <v>2</v>
      </c>
      <c r="J281" s="90">
        <v>0</v>
      </c>
      <c r="K281" s="84">
        <v>2</v>
      </c>
      <c r="L281" s="90">
        <v>0</v>
      </c>
      <c r="M281" s="90">
        <v>0</v>
      </c>
      <c r="N281" s="84">
        <v>2</v>
      </c>
      <c r="O281" s="90">
        <v>0</v>
      </c>
      <c r="P281" s="90">
        <v>0</v>
      </c>
      <c r="Q281" s="84"/>
      <c r="R281" s="84"/>
      <c r="T281" s="84"/>
      <c r="U281" s="84"/>
    </row>
    <row r="282" spans="1:21" x14ac:dyDescent="0.25">
      <c r="A282" s="96" t="s">
        <v>7217</v>
      </c>
      <c r="B282" s="56">
        <v>21</v>
      </c>
      <c r="C282" s="61">
        <v>935590</v>
      </c>
      <c r="D282" s="61">
        <v>426005</v>
      </c>
      <c r="E282" s="56">
        <v>15</v>
      </c>
      <c r="F282" s="61">
        <v>1985119</v>
      </c>
      <c r="G282" s="61">
        <v>4548265</v>
      </c>
      <c r="H282" s="56">
        <v>19</v>
      </c>
      <c r="I282" s="61">
        <v>332046</v>
      </c>
      <c r="J282" s="61">
        <v>375048</v>
      </c>
      <c r="K282" s="56">
        <v>62</v>
      </c>
      <c r="L282" s="61">
        <v>2047075</v>
      </c>
      <c r="M282" s="61">
        <v>1340341</v>
      </c>
      <c r="N282" s="56">
        <v>42</v>
      </c>
      <c r="O282" s="61">
        <v>206680.94742460028</v>
      </c>
      <c r="P282" s="61">
        <v>697082.15735023329</v>
      </c>
      <c r="Q282" s="84"/>
      <c r="R282" s="84"/>
      <c r="T282" s="84"/>
      <c r="U282" s="84"/>
    </row>
    <row r="283" spans="1:21" x14ac:dyDescent="0.25">
      <c r="A283" s="92" t="s">
        <v>7216</v>
      </c>
      <c r="B283" s="84">
        <v>3</v>
      </c>
      <c r="C283" s="90">
        <v>56030</v>
      </c>
      <c r="D283" s="90">
        <v>122313</v>
      </c>
      <c r="E283" s="84">
        <v>1</v>
      </c>
      <c r="F283" s="90">
        <v>13334</v>
      </c>
      <c r="G283" s="90">
        <v>0</v>
      </c>
      <c r="H283" s="84">
        <v>0</v>
      </c>
      <c r="I283" s="90">
        <v>0</v>
      </c>
      <c r="J283" s="90">
        <v>0</v>
      </c>
      <c r="K283" s="84">
        <v>11</v>
      </c>
      <c r="L283" s="90">
        <v>254876</v>
      </c>
      <c r="M283" s="90">
        <v>757184</v>
      </c>
      <c r="N283" s="84">
        <v>8</v>
      </c>
      <c r="O283" s="90">
        <v>34267.117810117808</v>
      </c>
      <c r="P283" s="90">
        <v>154364.92049550693</v>
      </c>
      <c r="Q283" s="84"/>
      <c r="R283" s="84"/>
      <c r="T283" s="84"/>
      <c r="U283" s="84"/>
    </row>
    <row r="284" spans="1:21" x14ac:dyDescent="0.25">
      <c r="A284" s="92" t="s">
        <v>7451</v>
      </c>
      <c r="B284" s="84">
        <v>6</v>
      </c>
      <c r="C284" s="90">
        <v>220785</v>
      </c>
      <c r="D284" s="90">
        <v>35051</v>
      </c>
      <c r="E284" s="84">
        <v>6</v>
      </c>
      <c r="F284" s="90">
        <v>1062277</v>
      </c>
      <c r="G284" s="90">
        <v>1775424</v>
      </c>
      <c r="H284" s="84">
        <v>11</v>
      </c>
      <c r="I284" s="90">
        <v>240852</v>
      </c>
      <c r="J284" s="90">
        <v>207243</v>
      </c>
      <c r="K284" s="84">
        <v>14</v>
      </c>
      <c r="L284" s="90">
        <v>451767</v>
      </c>
      <c r="M284" s="90">
        <v>295753</v>
      </c>
      <c r="N284" s="84">
        <v>11</v>
      </c>
      <c r="O284" s="90">
        <v>90047.829614482471</v>
      </c>
      <c r="P284" s="90">
        <v>281636.37934619386</v>
      </c>
      <c r="Q284" s="84"/>
      <c r="R284" s="84"/>
      <c r="T284" s="84"/>
      <c r="U284" s="84"/>
    </row>
    <row r="285" spans="1:21" x14ac:dyDescent="0.25">
      <c r="A285" s="92" t="s">
        <v>8265</v>
      </c>
      <c r="B285" s="84">
        <v>7</v>
      </c>
      <c r="C285" s="90">
        <v>79543</v>
      </c>
      <c r="D285" s="90">
        <v>268641</v>
      </c>
      <c r="E285" s="84">
        <v>1</v>
      </c>
      <c r="F285" s="90">
        <v>3691</v>
      </c>
      <c r="G285" s="90">
        <v>0</v>
      </c>
      <c r="H285" s="84">
        <v>3</v>
      </c>
      <c r="I285" s="90">
        <v>8810</v>
      </c>
      <c r="J285" s="90">
        <v>2149</v>
      </c>
      <c r="K285" s="84">
        <v>13</v>
      </c>
      <c r="L285" s="90">
        <v>169309</v>
      </c>
      <c r="M285" s="90">
        <v>105003</v>
      </c>
      <c r="N285" s="84">
        <v>6</v>
      </c>
      <c r="O285" s="90">
        <v>10925</v>
      </c>
      <c r="P285" s="90">
        <v>34728</v>
      </c>
      <c r="Q285" s="84"/>
      <c r="R285" s="84"/>
      <c r="T285" s="84"/>
      <c r="U285" s="84"/>
    </row>
    <row r="286" spans="1:21" x14ac:dyDescent="0.25">
      <c r="A286" s="92" t="s">
        <v>13917</v>
      </c>
      <c r="B286" s="84">
        <v>0</v>
      </c>
      <c r="C286" s="90">
        <v>0</v>
      </c>
      <c r="D286" s="90">
        <v>0</v>
      </c>
      <c r="E286" s="84">
        <v>5</v>
      </c>
      <c r="F286" s="90">
        <v>846169</v>
      </c>
      <c r="G286" s="90">
        <v>2671393</v>
      </c>
      <c r="H286" s="84">
        <v>2</v>
      </c>
      <c r="I286" s="90">
        <v>9954</v>
      </c>
      <c r="J286" s="90">
        <v>59538</v>
      </c>
      <c r="K286" s="84">
        <v>11</v>
      </c>
      <c r="L286" s="90">
        <v>291439</v>
      </c>
      <c r="M286" s="90">
        <v>96534</v>
      </c>
      <c r="N286" s="84">
        <v>10</v>
      </c>
      <c r="O286" s="90">
        <v>44524</v>
      </c>
      <c r="P286" s="90">
        <v>118264</v>
      </c>
      <c r="Q286" s="84"/>
      <c r="R286" s="84"/>
      <c r="T286" s="84"/>
      <c r="U286" s="84"/>
    </row>
    <row r="287" spans="1:21" x14ac:dyDescent="0.25">
      <c r="A287" s="92" t="s">
        <v>14016</v>
      </c>
      <c r="B287" s="84">
        <v>5</v>
      </c>
      <c r="C287" s="90">
        <v>579232</v>
      </c>
      <c r="D287" s="90">
        <v>0</v>
      </c>
      <c r="E287" s="84">
        <v>2</v>
      </c>
      <c r="F287" s="90">
        <v>59648</v>
      </c>
      <c r="G287" s="90">
        <v>101448</v>
      </c>
      <c r="H287" s="84">
        <v>3</v>
      </c>
      <c r="I287" s="90">
        <v>72430</v>
      </c>
      <c r="J287" s="90">
        <v>106118</v>
      </c>
      <c r="K287" s="84">
        <v>13</v>
      </c>
      <c r="L287" s="90">
        <v>879684</v>
      </c>
      <c r="M287" s="90">
        <v>85867</v>
      </c>
      <c r="N287" s="84">
        <v>7</v>
      </c>
      <c r="O287" s="90">
        <v>26917</v>
      </c>
      <c r="P287" s="90">
        <v>108088.85750853243</v>
      </c>
      <c r="Q287" s="84"/>
      <c r="R287" s="84"/>
      <c r="T287" s="84"/>
      <c r="U287" s="84"/>
    </row>
    <row r="288" spans="1:21" x14ac:dyDescent="0.25">
      <c r="A288" s="96" t="s">
        <v>1596</v>
      </c>
      <c r="B288" s="56">
        <v>47</v>
      </c>
      <c r="C288" s="61">
        <v>1292370</v>
      </c>
      <c r="D288" s="61">
        <v>9017979</v>
      </c>
      <c r="E288" s="56">
        <v>26</v>
      </c>
      <c r="F288" s="61">
        <v>286658</v>
      </c>
      <c r="G288" s="61">
        <v>280303</v>
      </c>
      <c r="H288" s="56">
        <v>33</v>
      </c>
      <c r="I288" s="61">
        <v>296234</v>
      </c>
      <c r="J288" s="61">
        <v>1753092</v>
      </c>
      <c r="K288" s="56">
        <v>99</v>
      </c>
      <c r="L288" s="61">
        <v>2538905</v>
      </c>
      <c r="M288" s="61">
        <v>9240611</v>
      </c>
      <c r="N288" s="56">
        <v>69</v>
      </c>
      <c r="O288" s="61">
        <v>387224.63622626651</v>
      </c>
      <c r="P288" s="61">
        <v>2480908.4182763733</v>
      </c>
      <c r="Q288" s="84"/>
      <c r="R288" s="84"/>
      <c r="T288" s="84"/>
      <c r="U288" s="84"/>
    </row>
    <row r="289" spans="1:21" x14ac:dyDescent="0.25">
      <c r="A289" s="92" t="s">
        <v>1595</v>
      </c>
      <c r="B289" s="84">
        <v>1</v>
      </c>
      <c r="C289" s="90">
        <v>2325</v>
      </c>
      <c r="D289" s="90">
        <v>12133</v>
      </c>
      <c r="E289" s="84">
        <v>5</v>
      </c>
      <c r="F289" s="90">
        <v>83078</v>
      </c>
      <c r="G289" s="90">
        <v>15885</v>
      </c>
      <c r="H289" s="84">
        <v>4</v>
      </c>
      <c r="I289" s="90">
        <v>14613</v>
      </c>
      <c r="J289" s="90">
        <v>460</v>
      </c>
      <c r="K289" s="84">
        <v>6</v>
      </c>
      <c r="L289" s="90">
        <v>67004</v>
      </c>
      <c r="M289" s="90">
        <v>111747</v>
      </c>
      <c r="N289" s="84">
        <v>4</v>
      </c>
      <c r="O289" s="90">
        <v>35671.717057271453</v>
      </c>
      <c r="P289" s="90">
        <v>61420.216167410239</v>
      </c>
      <c r="Q289" s="84"/>
      <c r="R289" s="84"/>
      <c r="T289" s="84"/>
      <c r="U289" s="84"/>
    </row>
    <row r="290" spans="1:21" x14ac:dyDescent="0.25">
      <c r="A290" s="92" t="s">
        <v>1827</v>
      </c>
      <c r="B290" s="84">
        <v>0</v>
      </c>
      <c r="C290" s="90">
        <v>0</v>
      </c>
      <c r="D290" s="90">
        <v>0</v>
      </c>
      <c r="E290" s="84">
        <v>0</v>
      </c>
      <c r="F290" s="90">
        <v>0</v>
      </c>
      <c r="G290" s="90">
        <v>0</v>
      </c>
      <c r="H290" s="84">
        <v>0</v>
      </c>
      <c r="I290" s="90">
        <v>0</v>
      </c>
      <c r="J290" s="90">
        <v>0</v>
      </c>
      <c r="K290" s="84">
        <v>0</v>
      </c>
      <c r="L290" s="90">
        <v>0</v>
      </c>
      <c r="M290" s="90">
        <v>0</v>
      </c>
      <c r="N290" s="84">
        <v>0</v>
      </c>
      <c r="O290" s="90">
        <v>0</v>
      </c>
      <c r="P290" s="90">
        <v>0</v>
      </c>
      <c r="Q290" s="84"/>
      <c r="R290" s="84"/>
      <c r="T290" s="84"/>
      <c r="U290" s="84"/>
    </row>
    <row r="291" spans="1:21" x14ac:dyDescent="0.25">
      <c r="A291" s="92" t="s">
        <v>2395</v>
      </c>
      <c r="B291" s="84">
        <v>5</v>
      </c>
      <c r="C291" s="90">
        <v>64521</v>
      </c>
      <c r="D291" s="90">
        <v>421951</v>
      </c>
      <c r="E291" s="84">
        <v>2</v>
      </c>
      <c r="F291" s="90">
        <v>88075</v>
      </c>
      <c r="G291" s="90">
        <v>9577</v>
      </c>
      <c r="H291" s="84">
        <v>4</v>
      </c>
      <c r="I291" s="90">
        <v>6639</v>
      </c>
      <c r="J291" s="90">
        <v>208204</v>
      </c>
      <c r="K291" s="84">
        <v>6</v>
      </c>
      <c r="L291" s="90">
        <v>5487</v>
      </c>
      <c r="M291" s="90">
        <v>31692</v>
      </c>
      <c r="N291" s="84">
        <v>5</v>
      </c>
      <c r="O291" s="90">
        <v>1071.4657276995306</v>
      </c>
      <c r="P291" s="90">
        <v>6835.2021089630925</v>
      </c>
      <c r="Q291" s="84"/>
      <c r="R291" s="84"/>
      <c r="T291" s="84"/>
      <c r="U291" s="84"/>
    </row>
    <row r="292" spans="1:21" x14ac:dyDescent="0.25">
      <c r="A292" s="92" t="s">
        <v>2536</v>
      </c>
      <c r="B292" s="84">
        <v>17</v>
      </c>
      <c r="C292" s="90">
        <v>298362</v>
      </c>
      <c r="D292" s="90">
        <v>2330351</v>
      </c>
      <c r="E292" s="84">
        <v>5</v>
      </c>
      <c r="F292" s="90">
        <v>32200</v>
      </c>
      <c r="G292" s="90">
        <v>3646</v>
      </c>
      <c r="H292" s="84">
        <v>10</v>
      </c>
      <c r="I292" s="90">
        <v>156255</v>
      </c>
      <c r="J292" s="90">
        <v>844471</v>
      </c>
      <c r="K292" s="84">
        <v>18</v>
      </c>
      <c r="L292" s="90">
        <v>120366</v>
      </c>
      <c r="M292" s="90">
        <v>480417</v>
      </c>
      <c r="N292" s="84">
        <v>8</v>
      </c>
      <c r="O292" s="90">
        <v>15864</v>
      </c>
      <c r="P292" s="90">
        <v>106405</v>
      </c>
      <c r="Q292" s="84"/>
      <c r="R292" s="84"/>
      <c r="T292" s="84"/>
      <c r="U292" s="84"/>
    </row>
    <row r="293" spans="1:21" x14ac:dyDescent="0.25">
      <c r="A293" s="92" t="s">
        <v>2956</v>
      </c>
      <c r="B293" s="84">
        <v>0</v>
      </c>
      <c r="C293" s="90">
        <v>0</v>
      </c>
      <c r="D293" s="90">
        <v>0</v>
      </c>
      <c r="E293" s="84">
        <v>1</v>
      </c>
      <c r="F293" s="90">
        <v>7507</v>
      </c>
      <c r="G293" s="90">
        <v>2963</v>
      </c>
      <c r="H293" s="84">
        <v>0</v>
      </c>
      <c r="I293" s="90">
        <v>0</v>
      </c>
      <c r="J293" s="90">
        <v>0</v>
      </c>
      <c r="K293" s="84">
        <v>7</v>
      </c>
      <c r="L293" s="90">
        <v>35231</v>
      </c>
      <c r="M293" s="90">
        <v>112730</v>
      </c>
      <c r="N293" s="84">
        <v>8</v>
      </c>
      <c r="O293" s="90">
        <v>45290</v>
      </c>
      <c r="P293" s="90">
        <v>336777</v>
      </c>
      <c r="Q293" s="84"/>
      <c r="R293" s="84"/>
      <c r="T293" s="84"/>
      <c r="U293" s="84"/>
    </row>
    <row r="294" spans="1:21" x14ac:dyDescent="0.25">
      <c r="A294" s="92" t="s">
        <v>4471</v>
      </c>
      <c r="B294" s="84">
        <v>0</v>
      </c>
      <c r="C294" s="90">
        <v>0</v>
      </c>
      <c r="D294" s="90">
        <v>0</v>
      </c>
      <c r="E294" s="84">
        <v>1</v>
      </c>
      <c r="F294" s="90">
        <v>2500</v>
      </c>
      <c r="G294" s="90">
        <v>5000</v>
      </c>
      <c r="H294" s="84">
        <v>0</v>
      </c>
      <c r="I294" s="90">
        <v>0</v>
      </c>
      <c r="J294" s="90">
        <v>0</v>
      </c>
      <c r="K294" s="84">
        <v>14</v>
      </c>
      <c r="L294" s="90">
        <v>1406917</v>
      </c>
      <c r="M294" s="90">
        <v>3646299</v>
      </c>
      <c r="N294" s="84">
        <v>10</v>
      </c>
      <c r="O294" s="90">
        <v>107827</v>
      </c>
      <c r="P294" s="90">
        <v>562237</v>
      </c>
      <c r="Q294" s="84"/>
      <c r="R294" s="84"/>
      <c r="T294" s="84"/>
      <c r="U294" s="84"/>
    </row>
    <row r="295" spans="1:21" x14ac:dyDescent="0.25">
      <c r="A295" s="92" t="s">
        <v>14390</v>
      </c>
      <c r="B295" s="84">
        <v>0</v>
      </c>
      <c r="C295" s="90">
        <v>0</v>
      </c>
      <c r="D295" s="90">
        <v>0</v>
      </c>
      <c r="E295" s="84">
        <v>0</v>
      </c>
      <c r="F295" s="90">
        <v>0</v>
      </c>
      <c r="G295" s="90">
        <v>0</v>
      </c>
      <c r="H295" s="84">
        <v>0</v>
      </c>
      <c r="I295" s="90">
        <v>0</v>
      </c>
      <c r="J295" s="90">
        <v>0</v>
      </c>
      <c r="K295" s="84">
        <v>1</v>
      </c>
      <c r="L295" s="90">
        <v>0</v>
      </c>
      <c r="M295" s="90">
        <v>0</v>
      </c>
      <c r="N295" s="84">
        <v>1</v>
      </c>
      <c r="O295" s="90">
        <v>0</v>
      </c>
      <c r="P295" s="90">
        <v>0</v>
      </c>
      <c r="Q295" s="84"/>
      <c r="R295" s="84"/>
      <c r="T295" s="84"/>
      <c r="U295" s="84"/>
    </row>
    <row r="296" spans="1:21" x14ac:dyDescent="0.25">
      <c r="A296" s="92" t="s">
        <v>7835</v>
      </c>
      <c r="B296" s="84">
        <v>8</v>
      </c>
      <c r="C296" s="90">
        <v>117845</v>
      </c>
      <c r="D296" s="90">
        <v>2956399</v>
      </c>
      <c r="E296" s="84">
        <v>6</v>
      </c>
      <c r="F296" s="90">
        <v>67591</v>
      </c>
      <c r="G296" s="90">
        <v>211001</v>
      </c>
      <c r="H296" s="84">
        <v>7</v>
      </c>
      <c r="I296" s="90">
        <v>113270</v>
      </c>
      <c r="J296" s="90">
        <v>675727</v>
      </c>
      <c r="K296" s="84">
        <v>17</v>
      </c>
      <c r="L296" s="90">
        <v>604201</v>
      </c>
      <c r="M296" s="90">
        <v>1224524</v>
      </c>
      <c r="N296" s="84">
        <v>12</v>
      </c>
      <c r="O296" s="90">
        <v>99965</v>
      </c>
      <c r="P296" s="90">
        <v>877543</v>
      </c>
      <c r="Q296" s="84"/>
      <c r="R296" s="84"/>
      <c r="T296" s="84"/>
      <c r="U296" s="84"/>
    </row>
    <row r="297" spans="1:21" x14ac:dyDescent="0.25">
      <c r="A297" s="92" t="s">
        <v>9043</v>
      </c>
      <c r="B297" s="84">
        <v>11</v>
      </c>
      <c r="C297" s="90">
        <v>141749</v>
      </c>
      <c r="D297" s="90">
        <v>402865</v>
      </c>
      <c r="E297" s="84">
        <v>4</v>
      </c>
      <c r="F297" s="90">
        <v>4331</v>
      </c>
      <c r="G297" s="90">
        <v>5019</v>
      </c>
      <c r="H297" s="84">
        <v>6</v>
      </c>
      <c r="I297" s="90">
        <v>4141</v>
      </c>
      <c r="J297" s="90">
        <v>9866</v>
      </c>
      <c r="K297" s="84">
        <v>22</v>
      </c>
      <c r="L297" s="90">
        <v>229450</v>
      </c>
      <c r="M297" s="90">
        <v>2875166</v>
      </c>
      <c r="N297" s="84">
        <v>15</v>
      </c>
      <c r="O297" s="90">
        <v>66438</v>
      </c>
      <c r="P297" s="90">
        <v>447769</v>
      </c>
      <c r="Q297" s="84"/>
      <c r="R297" s="84"/>
      <c r="T297" s="84"/>
      <c r="U297" s="84"/>
    </row>
    <row r="298" spans="1:21" x14ac:dyDescent="0.25">
      <c r="A298" s="92" t="s">
        <v>14446</v>
      </c>
      <c r="B298" s="84">
        <v>0</v>
      </c>
      <c r="C298" s="90">
        <v>0</v>
      </c>
      <c r="D298" s="90">
        <v>0</v>
      </c>
      <c r="E298" s="84">
        <v>0</v>
      </c>
      <c r="F298" s="90">
        <v>0</v>
      </c>
      <c r="G298" s="90">
        <v>0</v>
      </c>
      <c r="H298" s="84">
        <v>0</v>
      </c>
      <c r="I298" s="90">
        <v>0</v>
      </c>
      <c r="J298" s="90">
        <v>0</v>
      </c>
      <c r="K298" s="84">
        <v>1</v>
      </c>
      <c r="L298" s="90">
        <v>0</v>
      </c>
      <c r="M298" s="90">
        <v>0</v>
      </c>
      <c r="N298" s="84">
        <v>1</v>
      </c>
      <c r="O298" s="90">
        <v>0</v>
      </c>
      <c r="P298" s="90">
        <v>0</v>
      </c>
      <c r="Q298" s="84"/>
      <c r="R298" s="84"/>
      <c r="T298" s="84"/>
      <c r="U298" s="84"/>
    </row>
    <row r="299" spans="1:21" x14ac:dyDescent="0.25">
      <c r="A299" s="92" t="s">
        <v>10594</v>
      </c>
      <c r="B299" s="84">
        <v>5</v>
      </c>
      <c r="C299" s="90">
        <v>667568</v>
      </c>
      <c r="D299" s="90">
        <v>2894280</v>
      </c>
      <c r="E299" s="84">
        <v>2</v>
      </c>
      <c r="F299" s="90">
        <v>1376</v>
      </c>
      <c r="G299" s="90">
        <v>27212</v>
      </c>
      <c r="H299" s="84">
        <v>1</v>
      </c>
      <c r="I299" s="90">
        <v>1295</v>
      </c>
      <c r="J299" s="90">
        <v>14259</v>
      </c>
      <c r="K299" s="84">
        <v>6</v>
      </c>
      <c r="L299" s="90">
        <v>65256</v>
      </c>
      <c r="M299" s="90">
        <v>738064</v>
      </c>
      <c r="N299" s="84">
        <v>4</v>
      </c>
      <c r="O299" s="90">
        <v>10104.453441295547</v>
      </c>
      <c r="P299" s="90">
        <v>61950</v>
      </c>
      <c r="Q299" s="84"/>
      <c r="R299" s="84"/>
      <c r="T299" s="84"/>
      <c r="U299" s="84"/>
    </row>
    <row r="300" spans="1:21" x14ac:dyDescent="0.25">
      <c r="A300" s="92" t="s">
        <v>14459</v>
      </c>
      <c r="B300" s="84">
        <v>0</v>
      </c>
      <c r="C300" s="90">
        <v>0</v>
      </c>
      <c r="D300" s="90">
        <v>0</v>
      </c>
      <c r="E300" s="84">
        <v>0</v>
      </c>
      <c r="F300" s="90">
        <v>0</v>
      </c>
      <c r="G300" s="90">
        <v>0</v>
      </c>
      <c r="H300" s="84">
        <v>1</v>
      </c>
      <c r="I300" s="90">
        <v>21</v>
      </c>
      <c r="J300" s="90">
        <v>105</v>
      </c>
      <c r="K300" s="84">
        <v>1</v>
      </c>
      <c r="L300" s="90">
        <v>4993</v>
      </c>
      <c r="M300" s="90">
        <v>19972</v>
      </c>
      <c r="N300" s="84">
        <v>1</v>
      </c>
      <c r="O300" s="90">
        <v>4993</v>
      </c>
      <c r="P300" s="90">
        <v>19972</v>
      </c>
      <c r="Q300" s="84"/>
      <c r="R300" s="84"/>
      <c r="T300" s="84"/>
      <c r="U300" s="84"/>
    </row>
    <row r="301" spans="1:21" x14ac:dyDescent="0.25">
      <c r="B301" s="85"/>
      <c r="C301" s="85"/>
      <c r="E301" s="84"/>
      <c r="F301" s="85"/>
      <c r="H301" s="84"/>
      <c r="I301" s="85"/>
      <c r="J301" s="85"/>
      <c r="K301" s="84"/>
      <c r="M301" s="85"/>
      <c r="N301" s="84"/>
      <c r="P301" s="85"/>
      <c r="Q301" s="84"/>
      <c r="R301" s="84"/>
      <c r="T301" s="84"/>
      <c r="U301" s="84"/>
    </row>
    <row r="302" spans="1:21" x14ac:dyDescent="0.25">
      <c r="B302" s="85"/>
      <c r="C302" s="85"/>
      <c r="E302" s="84"/>
      <c r="F302" s="85"/>
      <c r="H302" s="84"/>
      <c r="I302" s="85"/>
      <c r="J302" s="85"/>
      <c r="K302" s="84"/>
      <c r="M302" s="85"/>
      <c r="N302" s="84"/>
      <c r="P302" s="85"/>
      <c r="Q302" s="84"/>
      <c r="R302" s="84"/>
      <c r="T302" s="84"/>
      <c r="U302" s="84"/>
    </row>
    <row r="303" spans="1:21" x14ac:dyDescent="0.25">
      <c r="B303" s="85"/>
      <c r="C303" s="85"/>
      <c r="E303" s="84"/>
      <c r="F303" s="85"/>
      <c r="H303" s="84"/>
      <c r="I303" s="85"/>
      <c r="J303" s="85"/>
      <c r="K303" s="84"/>
      <c r="M303" s="85"/>
      <c r="N303" s="84"/>
      <c r="P303" s="85"/>
      <c r="Q303" s="84"/>
      <c r="R303" s="84"/>
      <c r="T303" s="84"/>
      <c r="U303" s="84"/>
    </row>
    <row r="304" spans="1:21" x14ac:dyDescent="0.25">
      <c r="B304" s="85"/>
      <c r="C304" s="85"/>
      <c r="E304" s="84"/>
      <c r="F304" s="85"/>
      <c r="H304" s="84"/>
      <c r="I304" s="85"/>
      <c r="J304" s="85"/>
      <c r="K304" s="84"/>
      <c r="M304" s="85"/>
      <c r="N304" s="84"/>
      <c r="P304" s="85"/>
      <c r="Q304" s="84"/>
      <c r="R304" s="84"/>
      <c r="T304" s="84"/>
      <c r="U304" s="84"/>
    </row>
    <row r="305" spans="2:21" x14ac:dyDescent="0.25">
      <c r="B305" s="85"/>
      <c r="C305" s="85"/>
      <c r="E305" s="84"/>
      <c r="F305" s="85"/>
      <c r="H305" s="84"/>
      <c r="I305" s="85"/>
      <c r="J305" s="85"/>
      <c r="K305" s="84"/>
      <c r="M305" s="85"/>
      <c r="N305" s="84"/>
      <c r="P305" s="85"/>
      <c r="Q305" s="84"/>
      <c r="R305" s="84"/>
      <c r="T305" s="84"/>
      <c r="U305" s="84"/>
    </row>
    <row r="306" spans="2:21" x14ac:dyDescent="0.25">
      <c r="B306" s="85"/>
      <c r="C306" s="85"/>
      <c r="E306" s="84"/>
      <c r="F306" s="85"/>
      <c r="H306" s="84"/>
      <c r="I306" s="85"/>
      <c r="J306" s="85"/>
      <c r="K306" s="84"/>
      <c r="M306" s="85"/>
      <c r="N306" s="84"/>
      <c r="P306" s="85"/>
      <c r="Q306" s="84"/>
      <c r="R306" s="84"/>
      <c r="T306" s="84"/>
      <c r="U306" s="84"/>
    </row>
    <row r="307" spans="2:21" x14ac:dyDescent="0.25">
      <c r="B307" s="85"/>
      <c r="C307" s="85"/>
      <c r="E307" s="84"/>
      <c r="F307" s="85"/>
      <c r="H307" s="84"/>
      <c r="I307" s="85"/>
      <c r="J307" s="85"/>
      <c r="K307" s="84"/>
      <c r="M307" s="85"/>
      <c r="N307" s="84"/>
      <c r="P307" s="85"/>
      <c r="Q307" s="84"/>
      <c r="R307" s="84"/>
      <c r="T307" s="84"/>
      <c r="U307" s="84"/>
    </row>
    <row r="308" spans="2:21" x14ac:dyDescent="0.25">
      <c r="B308" s="85"/>
      <c r="C308" s="85"/>
      <c r="E308" s="84"/>
      <c r="F308" s="85"/>
      <c r="H308" s="84"/>
      <c r="I308" s="85"/>
      <c r="J308" s="85"/>
      <c r="K308" s="84"/>
      <c r="M308" s="85"/>
      <c r="N308" s="84"/>
      <c r="P308" s="85"/>
      <c r="Q308" s="84"/>
      <c r="R308" s="84"/>
      <c r="T308" s="84"/>
      <c r="U308" s="84"/>
    </row>
    <row r="309" spans="2:21" x14ac:dyDescent="0.25">
      <c r="B309" s="85"/>
      <c r="C309" s="85"/>
      <c r="E309" s="84"/>
      <c r="F309" s="85"/>
      <c r="H309" s="84"/>
      <c r="I309" s="85"/>
      <c r="J309" s="85"/>
      <c r="K309" s="84"/>
      <c r="M309" s="85"/>
      <c r="N309" s="84"/>
      <c r="P309" s="85"/>
      <c r="Q309" s="84"/>
      <c r="R309" s="84"/>
      <c r="T309" s="84"/>
      <c r="U309" s="84"/>
    </row>
    <row r="310" spans="2:21" x14ac:dyDescent="0.25">
      <c r="B310" s="85"/>
      <c r="C310" s="85"/>
      <c r="E310" s="84"/>
      <c r="F310" s="85"/>
      <c r="H310" s="84"/>
      <c r="I310" s="85"/>
      <c r="J310" s="85"/>
      <c r="K310" s="84"/>
      <c r="M310" s="85"/>
      <c r="N310" s="84"/>
      <c r="P310" s="85"/>
      <c r="Q310" s="84"/>
      <c r="R310" s="84"/>
      <c r="T310" s="84"/>
      <c r="U310" s="84"/>
    </row>
    <row r="311" spans="2:21" x14ac:dyDescent="0.25">
      <c r="B311" s="85"/>
      <c r="C311" s="85"/>
      <c r="E311" s="84"/>
      <c r="F311" s="85"/>
      <c r="H311" s="84"/>
      <c r="I311" s="85"/>
      <c r="J311" s="85"/>
      <c r="K311" s="84"/>
      <c r="M311" s="85"/>
      <c r="N311" s="84"/>
      <c r="P311" s="85"/>
      <c r="Q311" s="84"/>
      <c r="R311" s="84"/>
      <c r="T311" s="84"/>
      <c r="U311" s="84"/>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90"/>
  <sheetViews>
    <sheetView topLeftCell="A79" workbookViewId="0">
      <selection activeCell="D85" sqref="D85"/>
    </sheetView>
  </sheetViews>
  <sheetFormatPr defaultRowHeight="15" x14ac:dyDescent="0.25"/>
  <cols>
    <col min="1" max="1" width="32.140625" customWidth="1"/>
    <col min="2" max="2" width="14.5703125" style="82" customWidth="1"/>
    <col min="3" max="3" width="45.85546875" style="82" customWidth="1"/>
    <col min="4" max="4" width="47.5703125" style="82" customWidth="1"/>
  </cols>
  <sheetData>
    <row r="3" spans="1:4" x14ac:dyDescent="0.25">
      <c r="A3" t="s">
        <v>14472</v>
      </c>
      <c r="B3" s="83" t="s">
        <v>14473</v>
      </c>
      <c r="C3" s="83" t="s">
        <v>14303</v>
      </c>
      <c r="D3" s="83" t="s">
        <v>14304</v>
      </c>
    </row>
    <row r="4" spans="1:4" x14ac:dyDescent="0.25">
      <c r="A4" s="50" t="s">
        <v>305</v>
      </c>
      <c r="B4" s="83">
        <v>37</v>
      </c>
      <c r="C4" s="83">
        <v>167715</v>
      </c>
      <c r="D4" s="83">
        <v>823995</v>
      </c>
    </row>
    <row r="5" spans="1:4" x14ac:dyDescent="0.25">
      <c r="A5" s="50" t="s">
        <v>601</v>
      </c>
      <c r="B5" s="83">
        <v>1</v>
      </c>
      <c r="C5" s="83">
        <v>606</v>
      </c>
      <c r="D5" s="83">
        <v>1071</v>
      </c>
    </row>
    <row r="6" spans="1:4" x14ac:dyDescent="0.25">
      <c r="A6" s="50" t="s">
        <v>14342</v>
      </c>
      <c r="B6" s="83">
        <v>2</v>
      </c>
      <c r="C6" s="83">
        <v>460</v>
      </c>
      <c r="D6" s="83">
        <v>2300</v>
      </c>
    </row>
    <row r="7" spans="1:4" x14ac:dyDescent="0.25">
      <c r="A7" s="50" t="s">
        <v>14345</v>
      </c>
      <c r="B7" s="83">
        <v>1</v>
      </c>
      <c r="C7" s="83">
        <v>0</v>
      </c>
      <c r="D7" s="83">
        <v>0</v>
      </c>
    </row>
    <row r="8" spans="1:4" x14ac:dyDescent="0.25">
      <c r="A8" s="50" t="s">
        <v>635</v>
      </c>
      <c r="B8" s="83">
        <v>2</v>
      </c>
      <c r="C8" s="83">
        <v>193</v>
      </c>
      <c r="D8" s="83">
        <v>19</v>
      </c>
    </row>
    <row r="9" spans="1:4" x14ac:dyDescent="0.25">
      <c r="A9" s="50" t="s">
        <v>14353</v>
      </c>
      <c r="B9" s="83">
        <v>1</v>
      </c>
      <c r="C9" s="83">
        <v>0</v>
      </c>
      <c r="D9" s="83">
        <v>0</v>
      </c>
    </row>
    <row r="10" spans="1:4" x14ac:dyDescent="0.25">
      <c r="A10" s="50" t="s">
        <v>652</v>
      </c>
      <c r="B10" s="83">
        <v>46</v>
      </c>
      <c r="C10" s="83">
        <v>10235254</v>
      </c>
      <c r="D10" s="83">
        <v>35888846</v>
      </c>
    </row>
    <row r="11" spans="1:4" x14ac:dyDescent="0.25">
      <c r="A11" s="50" t="s">
        <v>1595</v>
      </c>
      <c r="B11" s="83">
        <v>12</v>
      </c>
      <c r="C11" s="83">
        <v>59216</v>
      </c>
      <c r="D11" s="83">
        <v>172784</v>
      </c>
    </row>
    <row r="12" spans="1:4" x14ac:dyDescent="0.25">
      <c r="A12" s="50" t="s">
        <v>14361</v>
      </c>
      <c r="B12" s="83">
        <v>9</v>
      </c>
      <c r="C12" s="83">
        <v>4970</v>
      </c>
      <c r="D12" s="83">
        <v>5179</v>
      </c>
    </row>
    <row r="13" spans="1:4" x14ac:dyDescent="0.25">
      <c r="A13" s="50" t="s">
        <v>1735</v>
      </c>
      <c r="B13" s="83">
        <v>6</v>
      </c>
      <c r="C13" s="83">
        <v>17506</v>
      </c>
      <c r="D13" s="83">
        <v>76694</v>
      </c>
    </row>
    <row r="14" spans="1:4" x14ac:dyDescent="0.25">
      <c r="A14" s="50" t="s">
        <v>1873</v>
      </c>
      <c r="B14" s="83">
        <v>10</v>
      </c>
      <c r="C14" s="83">
        <v>389124</v>
      </c>
      <c r="D14" s="83">
        <v>2168241</v>
      </c>
    </row>
    <row r="15" spans="1:4" x14ac:dyDescent="0.25">
      <c r="A15" s="50" t="s">
        <v>2092</v>
      </c>
      <c r="B15" s="83">
        <v>25</v>
      </c>
      <c r="C15" s="83">
        <v>137552</v>
      </c>
      <c r="D15" s="83">
        <v>502479</v>
      </c>
    </row>
    <row r="16" spans="1:4" x14ac:dyDescent="0.25">
      <c r="A16" s="50" t="s">
        <v>2395</v>
      </c>
      <c r="B16" s="83">
        <v>11</v>
      </c>
      <c r="C16" s="83">
        <v>1241321</v>
      </c>
      <c r="D16" s="83">
        <v>361083</v>
      </c>
    </row>
    <row r="17" spans="1:4" x14ac:dyDescent="0.25">
      <c r="A17" s="50" t="s">
        <v>7496</v>
      </c>
      <c r="B17" s="83">
        <v>2</v>
      </c>
      <c r="C17" s="83">
        <v>0</v>
      </c>
      <c r="D17" s="83">
        <v>0</v>
      </c>
    </row>
    <row r="18" spans="1:4" x14ac:dyDescent="0.25">
      <c r="A18" s="50" t="s">
        <v>14370</v>
      </c>
      <c r="B18" s="83">
        <v>1</v>
      </c>
      <c r="C18" s="83">
        <v>0</v>
      </c>
      <c r="D18" s="83">
        <v>0</v>
      </c>
    </row>
    <row r="19" spans="1:4" x14ac:dyDescent="0.25">
      <c r="A19" s="50" t="s">
        <v>2536</v>
      </c>
      <c r="B19" s="83">
        <v>13</v>
      </c>
      <c r="C19" s="83">
        <v>167500</v>
      </c>
      <c r="D19" s="83">
        <v>200711</v>
      </c>
    </row>
    <row r="20" spans="1:4" x14ac:dyDescent="0.25">
      <c r="A20" s="50" t="s">
        <v>14322</v>
      </c>
      <c r="B20" s="83">
        <v>9</v>
      </c>
      <c r="C20" s="83">
        <v>41113</v>
      </c>
      <c r="D20" s="83">
        <v>1243810</v>
      </c>
    </row>
    <row r="21" spans="1:4" x14ac:dyDescent="0.25">
      <c r="A21" s="50" t="s">
        <v>2956</v>
      </c>
      <c r="B21" s="83">
        <v>9</v>
      </c>
      <c r="C21" s="83">
        <v>3344839</v>
      </c>
      <c r="D21" s="83">
        <v>1463061</v>
      </c>
    </row>
    <row r="22" spans="1:4" x14ac:dyDescent="0.25">
      <c r="A22" s="50" t="s">
        <v>3140</v>
      </c>
      <c r="B22" s="83">
        <v>1</v>
      </c>
      <c r="C22" s="83">
        <v>0</v>
      </c>
      <c r="D22" s="83">
        <v>0</v>
      </c>
    </row>
    <row r="23" spans="1:4" x14ac:dyDescent="0.25">
      <c r="A23" s="50" t="s">
        <v>3148</v>
      </c>
      <c r="B23" s="83">
        <v>9</v>
      </c>
      <c r="C23" s="83">
        <v>21002</v>
      </c>
      <c r="D23" s="83">
        <v>931941</v>
      </c>
    </row>
    <row r="24" spans="1:4" x14ac:dyDescent="0.25">
      <c r="A24" s="50" t="s">
        <v>3272</v>
      </c>
      <c r="B24" s="83">
        <v>7</v>
      </c>
      <c r="C24" s="83">
        <v>17380</v>
      </c>
      <c r="D24" s="83">
        <v>94313</v>
      </c>
    </row>
    <row r="25" spans="1:4" x14ac:dyDescent="0.25">
      <c r="A25" s="50" t="s">
        <v>3546</v>
      </c>
      <c r="B25" s="83">
        <v>23</v>
      </c>
      <c r="C25" s="83">
        <v>92420</v>
      </c>
      <c r="D25" s="83">
        <v>271211</v>
      </c>
    </row>
    <row r="26" spans="1:4" x14ac:dyDescent="0.25">
      <c r="A26" s="50" t="s">
        <v>3868</v>
      </c>
      <c r="B26" s="83">
        <v>19</v>
      </c>
      <c r="C26" s="83">
        <v>1384643</v>
      </c>
      <c r="D26" s="83">
        <v>839208</v>
      </c>
    </row>
    <row r="27" spans="1:4" x14ac:dyDescent="0.25">
      <c r="A27" s="50" t="s">
        <v>4293</v>
      </c>
      <c r="B27" s="83">
        <v>4</v>
      </c>
      <c r="C27" s="83">
        <v>4</v>
      </c>
      <c r="D27" s="83">
        <v>0</v>
      </c>
    </row>
    <row r="28" spans="1:4" x14ac:dyDescent="0.25">
      <c r="A28" s="50" t="s">
        <v>4346</v>
      </c>
      <c r="B28" s="83">
        <v>4</v>
      </c>
      <c r="C28" s="83">
        <v>2988</v>
      </c>
      <c r="D28" s="83">
        <v>32799</v>
      </c>
    </row>
    <row r="29" spans="1:4" x14ac:dyDescent="0.25">
      <c r="A29" s="50" t="s">
        <v>4428</v>
      </c>
      <c r="B29" s="83">
        <v>1</v>
      </c>
      <c r="C29" s="83">
        <v>27</v>
      </c>
      <c r="D29" s="83">
        <v>0</v>
      </c>
    </row>
    <row r="30" spans="1:4" x14ac:dyDescent="0.25">
      <c r="A30" s="50" t="s">
        <v>4471</v>
      </c>
      <c r="B30" s="83">
        <v>11</v>
      </c>
      <c r="C30" s="83">
        <v>110774</v>
      </c>
      <c r="D30" s="83">
        <v>253209</v>
      </c>
    </row>
    <row r="31" spans="1:4" x14ac:dyDescent="0.25">
      <c r="A31" s="50" t="s">
        <v>4777</v>
      </c>
      <c r="B31" s="83">
        <v>10</v>
      </c>
      <c r="C31" s="83">
        <v>40159</v>
      </c>
      <c r="D31" s="83">
        <v>236634</v>
      </c>
    </row>
    <row r="32" spans="1:4" x14ac:dyDescent="0.25">
      <c r="A32" s="50" t="s">
        <v>14390</v>
      </c>
      <c r="B32" s="83">
        <v>1</v>
      </c>
      <c r="C32" s="83">
        <v>0</v>
      </c>
      <c r="D32" s="83">
        <v>0</v>
      </c>
    </row>
    <row r="33" spans="1:4" x14ac:dyDescent="0.25">
      <c r="A33" s="50" t="s">
        <v>5061</v>
      </c>
      <c r="B33" s="83">
        <v>14</v>
      </c>
      <c r="C33" s="83">
        <v>429524</v>
      </c>
      <c r="D33" s="83">
        <v>2046590</v>
      </c>
    </row>
    <row r="34" spans="1:4" x14ac:dyDescent="0.25">
      <c r="A34" s="50" t="s">
        <v>5190</v>
      </c>
      <c r="B34" s="83">
        <v>13</v>
      </c>
      <c r="C34" s="83">
        <v>34119</v>
      </c>
      <c r="D34" s="83">
        <v>184734</v>
      </c>
    </row>
    <row r="35" spans="1:4" x14ac:dyDescent="0.25">
      <c r="A35" s="50" t="s">
        <v>5300</v>
      </c>
      <c r="B35" s="83">
        <v>48</v>
      </c>
      <c r="C35" s="83">
        <v>30400916</v>
      </c>
      <c r="D35" s="83">
        <v>135277628</v>
      </c>
    </row>
    <row r="36" spans="1:4" x14ac:dyDescent="0.25">
      <c r="A36" s="50" t="s">
        <v>5932</v>
      </c>
      <c r="B36" s="83">
        <v>6</v>
      </c>
      <c r="C36" s="83">
        <v>0</v>
      </c>
      <c r="D36" s="83">
        <v>256</v>
      </c>
    </row>
    <row r="37" spans="1:4" x14ac:dyDescent="0.25">
      <c r="A37" s="50" t="s">
        <v>6024</v>
      </c>
      <c r="B37" s="83">
        <v>5</v>
      </c>
      <c r="C37" s="83">
        <v>46753</v>
      </c>
      <c r="D37" s="83">
        <v>0</v>
      </c>
    </row>
    <row r="38" spans="1:4" x14ac:dyDescent="0.25">
      <c r="A38" s="50" t="s">
        <v>6105</v>
      </c>
      <c r="B38" s="83">
        <v>29</v>
      </c>
      <c r="C38" s="83">
        <v>308394</v>
      </c>
      <c r="D38" s="83">
        <v>696789</v>
      </c>
    </row>
    <row r="39" spans="1:4" x14ac:dyDescent="0.25">
      <c r="A39" s="50" t="s">
        <v>6457</v>
      </c>
      <c r="B39" s="83">
        <v>36</v>
      </c>
      <c r="C39" s="83">
        <v>2587417</v>
      </c>
      <c r="D39" s="83">
        <v>2938140</v>
      </c>
    </row>
    <row r="40" spans="1:4" x14ac:dyDescent="0.25">
      <c r="A40" s="50" t="s">
        <v>6805</v>
      </c>
      <c r="B40" s="83">
        <v>3</v>
      </c>
      <c r="C40" s="83">
        <v>1298</v>
      </c>
      <c r="D40" s="83">
        <v>92359</v>
      </c>
    </row>
    <row r="41" spans="1:4" x14ac:dyDescent="0.25">
      <c r="A41" s="50" t="s">
        <v>6850</v>
      </c>
      <c r="B41" s="83">
        <v>17</v>
      </c>
      <c r="C41" s="83">
        <v>26997</v>
      </c>
      <c r="D41" s="83">
        <v>39689</v>
      </c>
    </row>
    <row r="42" spans="1:4" x14ac:dyDescent="0.25">
      <c r="A42" s="50" t="s">
        <v>7083</v>
      </c>
      <c r="B42" s="83">
        <v>7</v>
      </c>
      <c r="C42" s="83">
        <v>123219</v>
      </c>
      <c r="D42" s="83">
        <v>57427</v>
      </c>
    </row>
    <row r="43" spans="1:4" x14ac:dyDescent="0.25">
      <c r="A43" s="50" t="s">
        <v>7179</v>
      </c>
      <c r="B43" s="83">
        <v>5</v>
      </c>
      <c r="C43" s="83">
        <v>16367</v>
      </c>
      <c r="D43" s="83">
        <v>466023</v>
      </c>
    </row>
    <row r="44" spans="1:4" x14ac:dyDescent="0.25">
      <c r="A44" s="50" t="s">
        <v>7216</v>
      </c>
      <c r="B44" s="83">
        <v>11</v>
      </c>
      <c r="C44" s="83">
        <v>692001</v>
      </c>
      <c r="D44" s="83">
        <v>580901</v>
      </c>
    </row>
    <row r="45" spans="1:4" x14ac:dyDescent="0.25">
      <c r="A45" s="50" t="s">
        <v>7451</v>
      </c>
      <c r="B45" s="83">
        <v>23</v>
      </c>
      <c r="C45" s="83">
        <v>207508</v>
      </c>
      <c r="D45" s="83">
        <v>2575537</v>
      </c>
    </row>
    <row r="46" spans="1:4" x14ac:dyDescent="0.25">
      <c r="A46" s="50" t="s">
        <v>7835</v>
      </c>
      <c r="B46" s="83">
        <v>13</v>
      </c>
      <c r="C46" s="83">
        <v>721469</v>
      </c>
      <c r="D46" s="83">
        <v>2228412</v>
      </c>
    </row>
    <row r="47" spans="1:4" x14ac:dyDescent="0.25">
      <c r="A47" s="50" t="s">
        <v>8140</v>
      </c>
      <c r="B47" s="83">
        <v>1</v>
      </c>
      <c r="C47" s="83">
        <v>1491</v>
      </c>
      <c r="D47" s="83">
        <v>4100</v>
      </c>
    </row>
    <row r="48" spans="1:4" x14ac:dyDescent="0.25">
      <c r="A48" s="50" t="s">
        <v>8180</v>
      </c>
      <c r="B48" s="83">
        <v>4</v>
      </c>
      <c r="C48" s="83">
        <v>4428</v>
      </c>
      <c r="D48" s="83">
        <v>23577</v>
      </c>
    </row>
    <row r="49" spans="1:4" x14ac:dyDescent="0.25">
      <c r="A49" s="50" t="s">
        <v>8265</v>
      </c>
      <c r="B49" s="83">
        <v>11</v>
      </c>
      <c r="C49" s="83">
        <v>86015</v>
      </c>
      <c r="D49" s="83">
        <v>91528</v>
      </c>
    </row>
    <row r="50" spans="1:4" x14ac:dyDescent="0.25">
      <c r="A50" s="50" t="s">
        <v>8444</v>
      </c>
      <c r="B50" s="83">
        <v>16</v>
      </c>
      <c r="C50" s="83">
        <v>831389</v>
      </c>
      <c r="D50" s="83">
        <v>42109</v>
      </c>
    </row>
    <row r="51" spans="1:4" x14ac:dyDescent="0.25">
      <c r="A51" s="50" t="s">
        <v>8647</v>
      </c>
      <c r="B51" s="83">
        <v>23</v>
      </c>
      <c r="C51" s="83">
        <v>1032734</v>
      </c>
      <c r="D51" s="83">
        <v>1304609</v>
      </c>
    </row>
    <row r="52" spans="1:4" x14ac:dyDescent="0.25">
      <c r="A52" s="50" t="s">
        <v>9042</v>
      </c>
      <c r="B52" s="83">
        <v>4</v>
      </c>
      <c r="C52" s="83">
        <v>20309</v>
      </c>
      <c r="D52" s="83">
        <v>14441</v>
      </c>
    </row>
    <row r="53" spans="1:4" x14ac:dyDescent="0.25">
      <c r="A53" s="50" t="s">
        <v>9043</v>
      </c>
      <c r="B53" s="83">
        <v>28</v>
      </c>
      <c r="C53" s="83">
        <v>380910</v>
      </c>
      <c r="D53" s="83">
        <v>999713</v>
      </c>
    </row>
    <row r="54" spans="1:4" x14ac:dyDescent="0.25">
      <c r="A54" s="50" t="s">
        <v>9409</v>
      </c>
      <c r="B54" s="83">
        <v>5</v>
      </c>
      <c r="C54" s="83">
        <v>0</v>
      </c>
      <c r="D54" s="83">
        <v>0</v>
      </c>
    </row>
    <row r="55" spans="1:4" x14ac:dyDescent="0.25">
      <c r="A55" s="50" t="s">
        <v>9427</v>
      </c>
      <c r="B55" s="83">
        <v>8</v>
      </c>
      <c r="C55" s="83">
        <v>63929</v>
      </c>
      <c r="D55" s="83">
        <v>2518643</v>
      </c>
    </row>
    <row r="56" spans="1:4" x14ac:dyDescent="0.25">
      <c r="A56" s="50" t="s">
        <v>9516</v>
      </c>
      <c r="B56" s="83">
        <v>9</v>
      </c>
      <c r="C56" s="83">
        <v>36894</v>
      </c>
      <c r="D56" s="83">
        <v>126027</v>
      </c>
    </row>
    <row r="57" spans="1:4" x14ac:dyDescent="0.25">
      <c r="A57" s="50" t="s">
        <v>9706</v>
      </c>
      <c r="B57" s="83">
        <v>26</v>
      </c>
      <c r="C57" s="83">
        <v>64694</v>
      </c>
      <c r="D57" s="83">
        <v>4527786</v>
      </c>
    </row>
    <row r="58" spans="1:4" x14ac:dyDescent="0.25">
      <c r="A58" s="50" t="s">
        <v>10263</v>
      </c>
      <c r="B58" s="83">
        <v>6</v>
      </c>
      <c r="C58" s="83">
        <v>330432</v>
      </c>
      <c r="D58" s="83">
        <v>325388</v>
      </c>
    </row>
    <row r="59" spans="1:4" x14ac:dyDescent="0.25">
      <c r="A59" s="50" t="s">
        <v>10350</v>
      </c>
      <c r="B59" s="83">
        <v>1</v>
      </c>
      <c r="C59" s="83">
        <v>3530</v>
      </c>
      <c r="D59" s="83">
        <v>20000</v>
      </c>
    </row>
    <row r="60" spans="1:4" x14ac:dyDescent="0.25">
      <c r="A60" s="50" t="s">
        <v>10371</v>
      </c>
      <c r="B60" s="83">
        <v>14</v>
      </c>
      <c r="C60" s="83">
        <v>2044912</v>
      </c>
      <c r="D60" s="83">
        <v>1290920</v>
      </c>
    </row>
    <row r="61" spans="1:4" x14ac:dyDescent="0.25">
      <c r="A61" s="50" t="s">
        <v>10558</v>
      </c>
      <c r="B61" s="83">
        <v>2</v>
      </c>
      <c r="C61" s="83">
        <v>5458</v>
      </c>
      <c r="D61" s="83">
        <v>19906</v>
      </c>
    </row>
    <row r="62" spans="1:4" x14ac:dyDescent="0.25">
      <c r="A62" s="50" t="s">
        <v>10594</v>
      </c>
      <c r="B62" s="83">
        <v>10</v>
      </c>
      <c r="C62" s="83">
        <v>1838294</v>
      </c>
      <c r="D62" s="83">
        <v>1564750</v>
      </c>
    </row>
    <row r="63" spans="1:4" x14ac:dyDescent="0.25">
      <c r="A63" s="50" t="s">
        <v>10685</v>
      </c>
      <c r="B63" s="83">
        <v>19</v>
      </c>
      <c r="C63" s="83">
        <v>962680</v>
      </c>
      <c r="D63" s="83">
        <v>1100881</v>
      </c>
    </row>
    <row r="64" spans="1:4" x14ac:dyDescent="0.25">
      <c r="A64" s="50" t="s">
        <v>11104</v>
      </c>
      <c r="B64" s="83">
        <v>6</v>
      </c>
      <c r="C64" s="83">
        <v>115969</v>
      </c>
      <c r="D64" s="83">
        <v>0</v>
      </c>
    </row>
    <row r="65" spans="1:4" x14ac:dyDescent="0.25">
      <c r="A65" s="50" t="s">
        <v>11304</v>
      </c>
      <c r="B65" s="83">
        <v>23</v>
      </c>
      <c r="C65" s="83">
        <v>267577</v>
      </c>
      <c r="D65" s="83">
        <v>928345</v>
      </c>
    </row>
    <row r="66" spans="1:4" x14ac:dyDescent="0.25">
      <c r="A66" s="50" t="s">
        <v>11417</v>
      </c>
      <c r="B66" s="83">
        <v>10</v>
      </c>
      <c r="C66" s="83">
        <v>932866</v>
      </c>
      <c r="D66" s="83">
        <v>464032</v>
      </c>
    </row>
    <row r="67" spans="1:4" x14ac:dyDescent="0.25">
      <c r="A67" s="50" t="s">
        <v>12090</v>
      </c>
      <c r="B67" s="83">
        <v>19</v>
      </c>
      <c r="C67" s="83">
        <v>532381</v>
      </c>
      <c r="D67" s="83">
        <v>1211997</v>
      </c>
    </row>
    <row r="68" spans="1:4" x14ac:dyDescent="0.25">
      <c r="A68" s="50" t="s">
        <v>12294</v>
      </c>
      <c r="B68" s="83">
        <v>18</v>
      </c>
      <c r="C68" s="83">
        <v>107173</v>
      </c>
      <c r="D68" s="83">
        <v>43387</v>
      </c>
    </row>
    <row r="69" spans="1:4" x14ac:dyDescent="0.25">
      <c r="A69" s="50" t="s">
        <v>12547</v>
      </c>
      <c r="B69" s="83">
        <v>6</v>
      </c>
      <c r="C69" s="83">
        <v>218693</v>
      </c>
      <c r="D69" s="83">
        <v>751607</v>
      </c>
    </row>
    <row r="70" spans="1:4" x14ac:dyDescent="0.25">
      <c r="A70" s="50" t="s">
        <v>14459</v>
      </c>
      <c r="B70" s="83">
        <v>1</v>
      </c>
      <c r="C70" s="83">
        <v>1940</v>
      </c>
      <c r="D70" s="83">
        <v>8482</v>
      </c>
    </row>
    <row r="71" spans="1:4" x14ac:dyDescent="0.25">
      <c r="A71" s="50" t="s">
        <v>14462</v>
      </c>
      <c r="B71" s="83">
        <v>1</v>
      </c>
      <c r="C71" s="83">
        <v>155</v>
      </c>
      <c r="D71" s="83">
        <v>0</v>
      </c>
    </row>
    <row r="72" spans="1:4" x14ac:dyDescent="0.25">
      <c r="A72" s="50" t="s">
        <v>12654</v>
      </c>
      <c r="B72" s="83">
        <v>9</v>
      </c>
      <c r="C72" s="83">
        <v>399190</v>
      </c>
      <c r="D72" s="83">
        <v>77810</v>
      </c>
    </row>
    <row r="73" spans="1:4" x14ac:dyDescent="0.25">
      <c r="A73" s="50" t="s">
        <v>12694</v>
      </c>
      <c r="B73" s="83">
        <v>10</v>
      </c>
      <c r="C73" s="83">
        <v>223632</v>
      </c>
      <c r="D73" s="83">
        <v>593663</v>
      </c>
    </row>
    <row r="74" spans="1:4" x14ac:dyDescent="0.25">
      <c r="A74" s="50" t="s">
        <v>12969</v>
      </c>
      <c r="B74" s="83">
        <v>1</v>
      </c>
      <c r="C74" s="83">
        <v>0</v>
      </c>
      <c r="D74" s="83">
        <v>0</v>
      </c>
    </row>
    <row r="75" spans="1:4" x14ac:dyDescent="0.25">
      <c r="A75" s="50" t="s">
        <v>13272</v>
      </c>
      <c r="B75" s="83">
        <v>12</v>
      </c>
      <c r="C75" s="83">
        <v>78783</v>
      </c>
      <c r="D75" s="83">
        <v>118308</v>
      </c>
    </row>
    <row r="76" spans="1:4" x14ac:dyDescent="0.25">
      <c r="A76" s="50" t="s">
        <v>13409</v>
      </c>
      <c r="B76" s="83">
        <v>14</v>
      </c>
      <c r="C76" s="83">
        <v>56777</v>
      </c>
      <c r="D76" s="83">
        <v>220134</v>
      </c>
    </row>
    <row r="77" spans="1:4" x14ac:dyDescent="0.25">
      <c r="A77" s="50" t="s">
        <v>14474</v>
      </c>
      <c r="B77" s="83">
        <v>17</v>
      </c>
      <c r="C77" s="83">
        <v>369162</v>
      </c>
      <c r="D77" s="83">
        <v>238528</v>
      </c>
    </row>
    <row r="78" spans="1:4" x14ac:dyDescent="0.25">
      <c r="A78" s="50" t="s">
        <v>13783</v>
      </c>
      <c r="B78" s="83">
        <v>15</v>
      </c>
      <c r="C78" s="83">
        <v>311122</v>
      </c>
      <c r="D78" s="83">
        <v>93730</v>
      </c>
    </row>
    <row r="79" spans="1:4" x14ac:dyDescent="0.25">
      <c r="A79" s="50" t="s">
        <v>13917</v>
      </c>
      <c r="B79" s="83">
        <v>15</v>
      </c>
      <c r="C79" s="83">
        <v>500339</v>
      </c>
      <c r="D79" s="83">
        <v>1431344</v>
      </c>
    </row>
    <row r="80" spans="1:4" x14ac:dyDescent="0.25">
      <c r="A80" s="50" t="s">
        <v>14016</v>
      </c>
      <c r="B80" s="83">
        <v>9</v>
      </c>
      <c r="C80" s="83">
        <v>439671</v>
      </c>
      <c r="D80" s="83">
        <v>232360</v>
      </c>
    </row>
    <row r="81" spans="1:4" x14ac:dyDescent="0.25">
      <c r="A81" s="50" t="s">
        <v>14272</v>
      </c>
      <c r="B81" s="83">
        <v>890</v>
      </c>
      <c r="C81" s="83">
        <v>65336277</v>
      </c>
      <c r="D81" s="83">
        <v>213142178</v>
      </c>
    </row>
    <row r="84" spans="1:4" x14ac:dyDescent="0.25">
      <c r="A84" s="50" t="s">
        <v>14788</v>
      </c>
      <c r="B84" s="83"/>
      <c r="C84" s="83"/>
      <c r="D84" s="83"/>
    </row>
    <row r="85" spans="1:4" x14ac:dyDescent="0.25">
      <c r="A85" s="50" t="s">
        <v>306</v>
      </c>
      <c r="B85" s="83">
        <v>315</v>
      </c>
      <c r="C85" s="83">
        <v>43992815</v>
      </c>
      <c r="D85" s="83">
        <v>178911450</v>
      </c>
    </row>
    <row r="86" spans="1:4" x14ac:dyDescent="0.25">
      <c r="A86" s="50" t="s">
        <v>1874</v>
      </c>
      <c r="B86" s="83">
        <v>153</v>
      </c>
      <c r="C86" s="83">
        <v>9214737</v>
      </c>
      <c r="D86" s="83">
        <v>11850892</v>
      </c>
    </row>
    <row r="87" spans="1:4" x14ac:dyDescent="0.25">
      <c r="A87" s="50" t="s">
        <v>7217</v>
      </c>
      <c r="B87" s="83">
        <v>69</v>
      </c>
      <c r="C87" s="83">
        <v>1925534</v>
      </c>
      <c r="D87" s="83">
        <v>4911670</v>
      </c>
    </row>
    <row r="88" spans="1:4" x14ac:dyDescent="0.25">
      <c r="A88" s="50" t="s">
        <v>1596</v>
      </c>
      <c r="B88" s="83">
        <v>114</v>
      </c>
      <c r="C88" s="83">
        <v>7882630</v>
      </c>
      <c r="D88" s="83">
        <v>7718228</v>
      </c>
    </row>
    <row r="89" spans="1:4" x14ac:dyDescent="0.25">
      <c r="A89" s="50" t="s">
        <v>14789</v>
      </c>
      <c r="B89" s="83">
        <v>92</v>
      </c>
      <c r="C89" s="83">
        <v>632157</v>
      </c>
      <c r="D89" s="83">
        <v>8041618</v>
      </c>
    </row>
    <row r="90" spans="1:4" x14ac:dyDescent="0.25">
      <c r="A90" s="50" t="s">
        <v>602</v>
      </c>
      <c r="B90" s="83">
        <v>144</v>
      </c>
      <c r="C90" s="83">
        <v>1688404</v>
      </c>
      <c r="D90" s="83">
        <v>1708320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74"/>
  <sheetViews>
    <sheetView tabSelected="1" zoomScale="70" zoomScaleNormal="70" zoomScalePageLayoutView="60" workbookViewId="0">
      <selection activeCell="D1" sqref="D1"/>
    </sheetView>
  </sheetViews>
  <sheetFormatPr defaultColWidth="9.140625" defaultRowHeight="12.75" x14ac:dyDescent="0.25"/>
  <cols>
    <col min="1" max="1" width="24.7109375" style="67" customWidth="1"/>
    <col min="2" max="2" width="18.140625" style="67" customWidth="1"/>
    <col min="3" max="3" width="12.42578125" style="67" customWidth="1"/>
    <col min="4" max="4" width="16.140625" style="67" customWidth="1"/>
    <col min="5" max="5" width="14.5703125" style="67" customWidth="1"/>
    <col min="6" max="6" width="17.7109375" style="67" customWidth="1"/>
    <col min="7" max="7" width="3.85546875" style="67" customWidth="1"/>
    <col min="8" max="8" width="21.42578125" style="67" customWidth="1"/>
    <col min="9" max="9" width="5.85546875" style="67" customWidth="1"/>
    <col min="10" max="10" width="16.140625" style="67" customWidth="1"/>
    <col min="11" max="11" width="6.85546875" style="67" customWidth="1"/>
    <col min="12" max="12" width="14.140625" style="67" customWidth="1"/>
    <col min="13" max="13" width="3.85546875" style="67" customWidth="1"/>
    <col min="14" max="14" width="9.140625" style="67"/>
    <col min="15" max="15" width="6" style="67" customWidth="1"/>
    <col min="16" max="17" width="10" style="67" customWidth="1"/>
    <col min="18" max="18" width="6" style="67" customWidth="1"/>
    <col min="19" max="20" width="9.7109375" style="67" customWidth="1"/>
    <col min="21" max="24" width="6" style="67" customWidth="1"/>
    <col min="25" max="26" width="9.140625" style="255"/>
    <col min="27" max="27" width="9.140625" style="256"/>
    <col min="28" max="28" width="9.140625" style="256" customWidth="1"/>
    <col min="29" max="29" width="29.5703125" style="255" customWidth="1"/>
    <col min="30" max="30" width="9.140625" style="251"/>
    <col min="31" max="16384" width="9.140625" style="67"/>
  </cols>
  <sheetData>
    <row r="1" spans="1:32" s="63" customFormat="1" x14ac:dyDescent="0.25">
      <c r="A1" s="320" t="s">
        <v>14323</v>
      </c>
      <c r="B1" s="321"/>
      <c r="C1" s="322"/>
      <c r="D1" s="323" t="s">
        <v>652</v>
      </c>
      <c r="E1" s="123" t="s">
        <v>1</v>
      </c>
      <c r="F1" s="124" t="str">
        <f>_xlfn.IFNA(VLOOKUP(D1,'PIIRS FY17 Reach'!A:B,2,FALSE),"")</f>
        <v>Asia and the Pacific</v>
      </c>
      <c r="G1" s="125"/>
      <c r="H1" s="126"/>
      <c r="I1" s="126"/>
      <c r="J1" s="126"/>
      <c r="K1" s="126"/>
      <c r="L1" s="126"/>
      <c r="M1" s="126"/>
      <c r="N1" s="126"/>
      <c r="O1" s="126"/>
      <c r="P1" s="126"/>
      <c r="Q1" s="126"/>
      <c r="R1" s="126"/>
      <c r="S1" s="126"/>
      <c r="T1" s="126"/>
      <c r="U1" s="126"/>
      <c r="V1" s="126"/>
      <c r="W1" s="126"/>
      <c r="X1" s="126"/>
      <c r="Y1" s="255"/>
      <c r="Z1" s="255"/>
      <c r="AA1" s="256"/>
      <c r="AB1" s="256"/>
      <c r="AC1" s="255" t="s">
        <v>0</v>
      </c>
      <c r="AD1" s="255"/>
    </row>
    <row r="2" spans="1:32" ht="13.5" thickBot="1" x14ac:dyDescent="0.3">
      <c r="A2" s="124"/>
      <c r="B2" s="124"/>
      <c r="C2" s="124"/>
      <c r="D2" s="124"/>
      <c r="E2" s="124"/>
      <c r="F2" s="124"/>
      <c r="G2" s="124"/>
      <c r="H2" s="124"/>
      <c r="I2" s="124"/>
      <c r="J2" s="124"/>
      <c r="K2" s="124"/>
      <c r="L2" s="124"/>
      <c r="M2" s="124"/>
      <c r="N2" s="124"/>
      <c r="O2" s="124"/>
      <c r="P2" s="124"/>
      <c r="Q2" s="124"/>
      <c r="R2" s="124"/>
      <c r="S2" s="124"/>
      <c r="T2" s="124"/>
      <c r="U2" s="124"/>
      <c r="V2" s="124"/>
      <c r="W2" s="124"/>
      <c r="X2" s="124"/>
      <c r="Y2" s="252"/>
      <c r="Z2" s="252"/>
      <c r="AA2" s="253"/>
      <c r="AB2" s="253"/>
      <c r="AC2" s="252" t="s">
        <v>14324</v>
      </c>
      <c r="AD2" s="249"/>
      <c r="AE2" s="65"/>
      <c r="AF2" s="65"/>
    </row>
    <row r="3" spans="1:32" ht="23.25" x14ac:dyDescent="0.25">
      <c r="A3" s="374" t="str">
        <f>UPPER("CARE "&amp;D1&amp;" REPORT")</f>
        <v>CARE BANGLADESH REPORT</v>
      </c>
      <c r="B3" s="375"/>
      <c r="C3" s="375"/>
      <c r="D3" s="375"/>
      <c r="E3" s="375"/>
      <c r="F3" s="375"/>
      <c r="G3" s="375"/>
      <c r="H3" s="375"/>
      <c r="I3" s="375"/>
      <c r="J3" s="375"/>
      <c r="K3" s="375"/>
      <c r="L3" s="375"/>
      <c r="M3" s="375"/>
      <c r="N3" s="375"/>
      <c r="O3" s="375"/>
      <c r="P3" s="375"/>
      <c r="Q3" s="375"/>
      <c r="R3" s="375"/>
      <c r="S3" s="375"/>
      <c r="T3" s="375"/>
      <c r="U3" s="375"/>
      <c r="V3" s="375"/>
      <c r="W3" s="375"/>
      <c r="X3" s="376"/>
      <c r="Y3" s="252"/>
      <c r="Z3" s="252"/>
      <c r="AA3" s="253"/>
      <c r="AB3" s="253"/>
      <c r="AC3" s="252" t="s">
        <v>305</v>
      </c>
      <c r="AD3" s="249"/>
      <c r="AE3" s="65"/>
      <c r="AF3" s="65"/>
    </row>
    <row r="4" spans="1:32" ht="24" thickBot="1" x14ac:dyDescent="0.3">
      <c r="A4" s="377" t="str">
        <f>UPPER("Program Information &amp; Impact Reporting System (PIIRS) - FY 2017")</f>
        <v>PROGRAM INFORMATION &amp; IMPACT REPORTING SYSTEM (PIIRS) - FY 2017</v>
      </c>
      <c r="B4" s="378"/>
      <c r="C4" s="378"/>
      <c r="D4" s="378"/>
      <c r="E4" s="378"/>
      <c r="F4" s="378"/>
      <c r="G4" s="378"/>
      <c r="H4" s="378"/>
      <c r="I4" s="378"/>
      <c r="J4" s="378"/>
      <c r="K4" s="378"/>
      <c r="L4" s="378"/>
      <c r="M4" s="378"/>
      <c r="N4" s="378"/>
      <c r="O4" s="378"/>
      <c r="P4" s="378"/>
      <c r="Q4" s="378"/>
      <c r="R4" s="378"/>
      <c r="S4" s="378"/>
      <c r="T4" s="378"/>
      <c r="U4" s="378"/>
      <c r="V4" s="378"/>
      <c r="W4" s="378"/>
      <c r="X4" s="379"/>
      <c r="Y4" s="252"/>
      <c r="Z4" s="252"/>
      <c r="AA4" s="253"/>
      <c r="AB4" s="253"/>
      <c r="AC4" s="252" t="s">
        <v>601</v>
      </c>
      <c r="AD4" s="249"/>
      <c r="AE4" s="65"/>
      <c r="AF4" s="65"/>
    </row>
    <row r="5" spans="1:32" x14ac:dyDescent="0.25">
      <c r="A5" s="127"/>
      <c r="B5" s="124"/>
      <c r="C5" s="124"/>
      <c r="D5" s="124"/>
      <c r="E5" s="124"/>
      <c r="F5" s="124"/>
      <c r="G5" s="124"/>
      <c r="H5" s="124"/>
      <c r="I5" s="124"/>
      <c r="J5" s="124"/>
      <c r="K5" s="124"/>
      <c r="L5" s="124"/>
      <c r="M5" s="124"/>
      <c r="N5" s="124"/>
      <c r="O5" s="124"/>
      <c r="P5" s="124"/>
      <c r="Q5" s="124"/>
      <c r="R5" s="124"/>
      <c r="S5" s="124"/>
      <c r="T5" s="124"/>
      <c r="U5" s="124"/>
      <c r="V5" s="124"/>
      <c r="W5" s="124"/>
      <c r="X5" s="128"/>
      <c r="Y5" s="252"/>
      <c r="Z5" s="252"/>
      <c r="AA5" s="253"/>
      <c r="AB5" s="253"/>
      <c r="AC5" s="252" t="s">
        <v>635</v>
      </c>
      <c r="AD5" s="249"/>
      <c r="AE5" s="65"/>
      <c r="AF5" s="65"/>
    </row>
    <row r="6" spans="1:32" ht="13.5" thickBot="1" x14ac:dyDescent="0.3">
      <c r="A6" s="127"/>
      <c r="B6" s="124"/>
      <c r="C6" s="124"/>
      <c r="D6" s="124"/>
      <c r="E6" s="124"/>
      <c r="F6" s="124"/>
      <c r="G6" s="129"/>
      <c r="H6" s="124"/>
      <c r="I6" s="124"/>
      <c r="J6" s="124"/>
      <c r="K6" s="124"/>
      <c r="L6" s="124"/>
      <c r="M6" s="129"/>
      <c r="N6" s="130"/>
      <c r="O6" s="130"/>
      <c r="P6" s="130"/>
      <c r="Q6" s="130"/>
      <c r="R6" s="130"/>
      <c r="S6" s="130"/>
      <c r="T6" s="130"/>
      <c r="U6" s="130"/>
      <c r="V6" s="130"/>
      <c r="W6" s="130"/>
      <c r="X6" s="131"/>
      <c r="Y6" s="252"/>
      <c r="Z6" s="252"/>
      <c r="AA6" s="253"/>
      <c r="AB6" s="253"/>
      <c r="AC6" s="252" t="s">
        <v>652</v>
      </c>
      <c r="AD6" s="249"/>
      <c r="AE6" s="65"/>
      <c r="AF6" s="65"/>
    </row>
    <row r="7" spans="1:32" s="107" customFormat="1" ht="18.95" customHeight="1" x14ac:dyDescent="0.25">
      <c r="A7" s="380" t="str">
        <f>UPPER("Contribution to CARE International")</f>
        <v>CONTRIBUTION TO CARE INTERNATIONAL</v>
      </c>
      <c r="B7" s="381"/>
      <c r="C7" s="381"/>
      <c r="D7" s="381"/>
      <c r="E7" s="381"/>
      <c r="F7" s="382"/>
      <c r="G7" s="129"/>
      <c r="H7" s="380" t="str">
        <f>UPPER("% WOMEN REACHED")</f>
        <v>% WOMEN REACHED</v>
      </c>
      <c r="I7" s="381"/>
      <c r="J7" s="381"/>
      <c r="K7" s="381"/>
      <c r="L7" s="382"/>
      <c r="M7" s="129"/>
      <c r="N7" s="132"/>
      <c r="O7" s="132"/>
      <c r="P7" s="132"/>
      <c r="Q7" s="132"/>
      <c r="R7" s="132"/>
      <c r="S7" s="132"/>
      <c r="T7" s="132"/>
      <c r="U7" s="132"/>
      <c r="V7" s="132"/>
      <c r="W7" s="132"/>
      <c r="X7" s="133"/>
      <c r="Y7" s="257"/>
      <c r="Z7" s="257"/>
      <c r="AA7" s="258"/>
      <c r="AB7" s="258"/>
      <c r="AC7" s="252" t="s">
        <v>1527</v>
      </c>
      <c r="AD7" s="259"/>
      <c r="AE7" s="105"/>
      <c r="AF7" s="105"/>
    </row>
    <row r="8" spans="1:32" x14ac:dyDescent="0.25">
      <c r="A8" s="134"/>
      <c r="B8" s="135"/>
      <c r="C8" s="135"/>
      <c r="D8" s="135"/>
      <c r="E8" s="135"/>
      <c r="F8" s="136"/>
      <c r="G8" s="124"/>
      <c r="H8" s="127"/>
      <c r="I8" s="124"/>
      <c r="J8" s="124"/>
      <c r="K8" s="124"/>
      <c r="L8" s="128"/>
      <c r="M8" s="137"/>
      <c r="N8" s="137"/>
      <c r="O8" s="137"/>
      <c r="P8" s="137"/>
      <c r="Q8" s="137"/>
      <c r="R8" s="137"/>
      <c r="S8" s="137"/>
      <c r="T8" s="137"/>
      <c r="U8" s="137"/>
      <c r="V8" s="137"/>
      <c r="W8" s="137"/>
      <c r="X8" s="138"/>
      <c r="Y8" s="260"/>
      <c r="Z8" s="252"/>
      <c r="AA8" s="253"/>
      <c r="AB8" s="253"/>
      <c r="AC8" s="261" t="s">
        <v>1595</v>
      </c>
      <c r="AD8" s="249"/>
      <c r="AE8" s="65"/>
      <c r="AF8" s="65"/>
    </row>
    <row r="9" spans="1:32" s="70" customFormat="1" ht="36.6" customHeight="1" x14ac:dyDescent="0.25">
      <c r="A9" s="416" t="s">
        <v>14329</v>
      </c>
      <c r="B9" s="417"/>
      <c r="C9" s="417" t="s">
        <v>14330</v>
      </c>
      <c r="D9" s="417"/>
      <c r="E9" s="417" t="s">
        <v>14331</v>
      </c>
      <c r="F9" s="418"/>
      <c r="G9" s="129"/>
      <c r="H9" s="139">
        <f>IFERROR(VLOOKUP($D$1,Reach!$A$3:$U$105,5,FALSE)/VLOOKUP($D$1,Reach!$A$3:$U$105,2,FALSE),"")</f>
        <v>0.82673740755982061</v>
      </c>
      <c r="I9" s="140"/>
      <c r="J9" s="141">
        <f>IFERROR(VLOOKUP($F$1&amp;" Total",Reach!$A$3:$U$105,5,FALSE)/VLOOKUP($F$1&amp;" Total",Reach!$A$3:$U$105,2,FALSE),"")</f>
        <v>0.83580958421546059</v>
      </c>
      <c r="K9" s="142"/>
      <c r="L9" s="143">
        <f>Reach!E103/Reach!B103</f>
        <v>0.72652491170251154</v>
      </c>
      <c r="M9" s="144"/>
      <c r="N9" s="144"/>
      <c r="O9" s="145" t="s">
        <v>14332</v>
      </c>
      <c r="P9" s="144" t="s">
        <v>14333</v>
      </c>
      <c r="Q9" s="145" t="s">
        <v>14334</v>
      </c>
      <c r="R9" s="145" t="s">
        <v>1557</v>
      </c>
      <c r="S9" s="145" t="s">
        <v>14335</v>
      </c>
      <c r="T9" s="145" t="s">
        <v>14336</v>
      </c>
      <c r="U9" s="145" t="s">
        <v>14337</v>
      </c>
      <c r="V9" s="145" t="s">
        <v>14338</v>
      </c>
      <c r="W9" s="145" t="s">
        <v>14339</v>
      </c>
      <c r="X9" s="146" t="s">
        <v>14340</v>
      </c>
      <c r="Y9" s="262"/>
      <c r="Z9" s="261"/>
      <c r="AA9" s="263"/>
      <c r="AB9" s="263"/>
      <c r="AC9" s="261" t="s">
        <v>1735</v>
      </c>
      <c r="AD9" s="264"/>
      <c r="AE9" s="69"/>
      <c r="AF9" s="69"/>
    </row>
    <row r="10" spans="1:32" s="110" customFormat="1" ht="25.5" customHeight="1" x14ac:dyDescent="0.25">
      <c r="A10" s="147">
        <f>Reach!D103</f>
        <v>950</v>
      </c>
      <c r="B10" s="148">
        <f>_xlfn.IFNA(VLOOKUP($D$1,Reach!$A$3:$U$105,4,FALSE),"")</f>
        <v>49</v>
      </c>
      <c r="C10" s="149">
        <f>Reach!B103/1000000</f>
        <v>62.931999500000003</v>
      </c>
      <c r="D10" s="149">
        <f>_xlfn.IFNA(ROUND(VLOOKUP($D$1,Reach!$A$3:$U$105,2,FALSE)/1000,1),"")</f>
        <v>11350.7</v>
      </c>
      <c r="E10" s="149">
        <f>Reach!C103/1000000</f>
        <v>216.04235640000002</v>
      </c>
      <c r="F10" s="150">
        <f>_xlfn.IFNA(ROUND(VLOOKUP($D$1,Reach!$A$3:$U$105,3,FALSE)/1000,1),"")</f>
        <v>38231.4</v>
      </c>
      <c r="G10" s="151"/>
      <c r="H10" s="386" t="s">
        <v>14330</v>
      </c>
      <c r="I10" s="387"/>
      <c r="J10" s="387"/>
      <c r="K10" s="387"/>
      <c r="L10" s="388"/>
      <c r="M10" s="137"/>
      <c r="N10" s="137" t="str">
        <f>D1</f>
        <v>Bangladesh</v>
      </c>
      <c r="O10" s="152">
        <f>IFERROR(VLOOKUP($D$1,'Gender marker'!$A$5:$J$120,10,FALSE),"")</f>
        <v>2.4166666666666665</v>
      </c>
      <c r="P10" s="153">
        <f>_xlfn.IFNA(VLOOKUP($D$1,GBV!$A$2:$E$105,3,FALSE)+VLOOKUP($D$1,GBV!$A$2:$E$105,4,FALSE),"")</f>
        <v>0.58333333333333326</v>
      </c>
      <c r="Q10" s="152">
        <f>IFERROR(VLOOKUP($D$1,'Governance marker'!$A$5:$J$119,10,FALSE),"")</f>
        <v>1.9583333333333333</v>
      </c>
      <c r="R10" s="153">
        <f>_xlfn.IFNA(VLOOKUP($D$1,Advocacy!$A$2:$E$105,2,FALSE)+VLOOKUP($D$1,Advocacy!$A$2:$E$105,4,FALSE),"")</f>
        <v>0.5714285714285714</v>
      </c>
      <c r="S10" s="153">
        <f>_xlfn.IFNA(VLOOKUP($D$1,Partnership!$A$2:$E$105,2,FALSE)+VLOOKUP($D$1,Partnership!$A$2:$E$105,4,FALSE),"")</f>
        <v>0.4375</v>
      </c>
      <c r="T10" s="153">
        <f>_xlfn.IFNA(VLOOKUP($D$1,'Civ soc'!$A$2:$E$105,2,FALSE)+VLOOKUP($D$1,'Civ soc'!$A$2:$E$105,3,FALSE),"")</f>
        <v>0.5</v>
      </c>
      <c r="U10" s="152">
        <f>IFERROR(VLOOKUP($D$1,'Resilience marker'!$A$5:$J$120,10,FALSE),"")</f>
        <v>2.3548387096774195</v>
      </c>
      <c r="V10" s="153">
        <f>_xlfn.IFNA(VLOOKUP($D$1,Climate!$A$2:$E$105,3,FALSE)+VLOOKUP($D$1,Climate!$A$2:$E$105,4,FALSE),"")</f>
        <v>0.45833333333333331</v>
      </c>
      <c r="W10" s="153">
        <f>_xlfn.IFNA(VLOOKUP($D$1,Innovation!$A$2:$E$105,3,FALSE)+VLOOKUP($D$1,Innovation!$A$2:$E$105,4,FALSE),"")</f>
        <v>0.61224489795918369</v>
      </c>
      <c r="X10" s="154">
        <f>_xlfn.IFNA(VLOOKUP($D$1,Scaling!$A$2:$E$105,3,FALSE)+VLOOKUP($D$1,Scaling!$A$2:$E$105,4,FALSE),"")</f>
        <v>0.64583333333333337</v>
      </c>
      <c r="Y10" s="260"/>
      <c r="Z10" s="265"/>
      <c r="AA10" s="266"/>
      <c r="AB10" s="266"/>
      <c r="AC10" s="252" t="s">
        <v>1827</v>
      </c>
      <c r="AD10" s="267"/>
      <c r="AE10" s="109"/>
      <c r="AF10" s="109"/>
    </row>
    <row r="11" spans="1:32" s="339" customFormat="1" ht="32.1" customHeight="1" x14ac:dyDescent="0.25">
      <c r="A11" s="424" t="s">
        <v>14561</v>
      </c>
      <c r="B11" s="425"/>
      <c r="C11" s="326" t="s">
        <v>14343</v>
      </c>
      <c r="D11" s="326" t="s">
        <v>14470</v>
      </c>
      <c r="E11" s="326" t="s">
        <v>14343</v>
      </c>
      <c r="F11" s="327" t="s">
        <v>14470</v>
      </c>
      <c r="G11" s="198"/>
      <c r="H11" s="275" t="str">
        <f>$D$1</f>
        <v>Bangladesh</v>
      </c>
      <c r="I11" s="198"/>
      <c r="J11" s="276" t="s">
        <v>1</v>
      </c>
      <c r="K11" s="198"/>
      <c r="L11" s="328" t="s">
        <v>849</v>
      </c>
      <c r="M11" s="329"/>
      <c r="N11" s="329" t="s">
        <v>1</v>
      </c>
      <c r="O11" s="330">
        <f>IFERROR(VLOOKUP($F$1&amp;" Total",'Gender marker'!$A$5:$J$120,10,FALSE),"")</f>
        <v>2.445736434108527</v>
      </c>
      <c r="P11" s="331">
        <f>_xlfn.IFNA(VLOOKUP($F$1&amp;" Total",GBV!$A$2:$E$105,3,FALSE)+VLOOKUP($F$1&amp;" Total",GBV!$A$2:$E$105,4,FALSE),"")</f>
        <v>0.49416342412451364</v>
      </c>
      <c r="Q11" s="330">
        <f>IFERROR(VLOOKUP($F$1&amp;" Total",'Governance marker'!$A$5:$J$119,10,FALSE),"")</f>
        <v>2.1782945736434107</v>
      </c>
      <c r="R11" s="331">
        <f>_xlfn.IFNA(VLOOKUP($F$1&amp;" Total",Advocacy!$A$2:$E$105,2,FALSE)+VLOOKUP($F$1&amp;" Total",Advocacy!$A$2:$E$105,4,FALSE),"")</f>
        <v>0.59695817490494296</v>
      </c>
      <c r="S11" s="331">
        <f>_xlfn.IFNA(VLOOKUP($F$1&amp;" Total",Partnership!$A$2:$E$105,2,FALSE)+VLOOKUP($F$1&amp;" Total",Partnership!$A$2:$E$105,4,FALSE),"")</f>
        <v>0.52851711026615966</v>
      </c>
      <c r="T11" s="331">
        <f>_xlfn.IFNA(VLOOKUP($F$1&amp;" Total",'Civ soc'!$A$2:$E$105,2,FALSE)+VLOOKUP($F$1&amp;" Total",'Civ soc'!$A$2:$E$105,3,FALSE),"")</f>
        <v>0.58778625954198471</v>
      </c>
      <c r="U11" s="330">
        <f>IFERROR(VLOOKUP($F$1&amp;" Total",'Resilience marker'!$A$5:$J$120,10,FALSE),"")</f>
        <v>1.8680851063829786</v>
      </c>
      <c r="V11" s="331">
        <f>_xlfn.IFNA(VLOOKUP($F$1&amp;" Total",Climate!$A$2:$E$105,3,FALSE)+VLOOKUP($F$1&amp;" Total",Climate!$A$2:$E$105,4,FALSE),"")</f>
        <v>0.41176470588235298</v>
      </c>
      <c r="W11" s="331">
        <f>_xlfn.IFNA(VLOOKUP($F$1&amp;" Total",Innovation!$A$2:$E$105,3,FALSE)+VLOOKUP($F$1&amp;" Total",Innovation!$A$2:$E$105,4,FALSE),"")</f>
        <v>0.5</v>
      </c>
      <c r="X11" s="332">
        <f>_xlfn.IFNA(VLOOKUP($F$1&amp;" Total",Scaling!$A$2:$E$105,3,FALSE)+VLOOKUP($F$1&amp;" Total",Scaling!$A$2:$E$105,4,FALSE),"")</f>
        <v>0.55078125</v>
      </c>
      <c r="Y11" s="333"/>
      <c r="Z11" s="334"/>
      <c r="AA11" s="335"/>
      <c r="AB11" s="335"/>
      <c r="AC11" s="336" t="s">
        <v>1873</v>
      </c>
      <c r="AD11" s="337"/>
      <c r="AE11" s="338"/>
      <c r="AF11" s="338"/>
    </row>
    <row r="12" spans="1:32" s="339" customFormat="1" ht="32.1" customHeight="1" x14ac:dyDescent="0.25">
      <c r="A12" s="341" t="s">
        <v>849</v>
      </c>
      <c r="B12" s="274" t="str">
        <f>$D$1</f>
        <v>Bangladesh</v>
      </c>
      <c r="C12" s="274" t="s">
        <v>849</v>
      </c>
      <c r="D12" s="274" t="str">
        <f>$D$1</f>
        <v>Bangladesh</v>
      </c>
      <c r="E12" s="274" t="s">
        <v>849</v>
      </c>
      <c r="F12" s="340" t="str">
        <f>$D$1</f>
        <v>Bangladesh</v>
      </c>
      <c r="G12" s="198"/>
      <c r="H12" s="419" t="s">
        <v>14331</v>
      </c>
      <c r="I12" s="420"/>
      <c r="J12" s="420"/>
      <c r="K12" s="420"/>
      <c r="L12" s="421"/>
      <c r="M12" s="329"/>
      <c r="N12" s="329" t="s">
        <v>849</v>
      </c>
      <c r="O12" s="330">
        <f>IFERROR(VLOOKUP("Grand Total",'Gender marker'!$A$5:$J$120,10,FALSE),"")</f>
        <v>2.2875436554132711</v>
      </c>
      <c r="P12" s="331">
        <f>_xlfn.IFNA(VLOOKUP("Grand Total",GBV!$A$2:$E$105,3,FALSE)+VLOOKUP("Grand Total",GBV!$A$2:$E$105,4,FALSE),"")</f>
        <v>0.57126436781609191</v>
      </c>
      <c r="Q12" s="330">
        <f>IFERROR(VLOOKUP("Grand Total",'Governance marker'!$A$5:$J$119,10,FALSE),"")</f>
        <v>2.0545454545454547</v>
      </c>
      <c r="R12" s="331">
        <f>_xlfn.IFNA(VLOOKUP("Grand Total",Advocacy!$A$2:$E$105,2,FALSE)+VLOOKUP("Grand Total",Advocacy!$A$2:$E$105,4,FALSE),"")</f>
        <v>0.62197802197802199</v>
      </c>
      <c r="S12" s="331">
        <f>_xlfn.IFNA(VLOOKUP("Grand Total",Partnership!$A$2:$E$105,2,FALSE)+VLOOKUP("Grand Total",Partnership!$A$2:$E$105,4,FALSE),"")</f>
        <v>0.59775280898876404</v>
      </c>
      <c r="T12" s="331">
        <f>_xlfn.IFNA(VLOOKUP("Grand Total",'Civ soc'!$A$2:$E$105,2,FALSE)+VLOOKUP("Grand Total",'Civ soc'!$A$2:$E$105,3,FALSE),"")</f>
        <v>0.61059907834101379</v>
      </c>
      <c r="U12" s="330">
        <f>IFERROR(VLOOKUP("Grand Total",'Resilience marker'!$A$5:$J$120,10,FALSE),"")</f>
        <v>1.9167733674775929</v>
      </c>
      <c r="V12" s="331">
        <f>_xlfn.IFNA(VLOOKUP("Grand Total",Climate!$A$2:$E$105,3,FALSE)+VLOOKUP("Grand Total",Climate!$A$2:$E$105,4,FALSE),"")</f>
        <v>0.45636792452830188</v>
      </c>
      <c r="W12" s="331">
        <f>_xlfn.IFNA(VLOOKUP("Grand Total",Innovation!$A$2:$E$105,3,FALSE)+VLOOKUP("Grand Total",Innovation!$A$2:$E$105,4,FALSE),"")</f>
        <v>0.53942857142857148</v>
      </c>
      <c r="X12" s="332">
        <f>_xlfn.IFNA(VLOOKUP("Grand Total",Scaling!$A$2:$E$105,3,FALSE)+VLOOKUP("Grand Total",Scaling!$A$2:$E$105,4,FALSE),"")</f>
        <v>0.62937062937062938</v>
      </c>
      <c r="Y12" s="333"/>
      <c r="Z12" s="334"/>
      <c r="AA12" s="335"/>
      <c r="AB12" s="335"/>
      <c r="AC12" s="336" t="s">
        <v>2092</v>
      </c>
      <c r="AD12" s="337"/>
      <c r="AE12" s="338"/>
      <c r="AF12" s="338"/>
    </row>
    <row r="13" spans="1:32" s="112" customFormat="1" ht="33.6" customHeight="1" x14ac:dyDescent="0.25">
      <c r="A13" s="160"/>
      <c r="B13" s="161" t="str">
        <f>IFERROR(ROUND(B10/A10*100,2)&amp;"% of all CARE","")</f>
        <v>5.16% of all CARE</v>
      </c>
      <c r="C13" s="140"/>
      <c r="D13" s="162" t="str">
        <f>IFERROR(ROUND(D10*1000/(C10*1000000)*100,2)&amp;"% of all CARE","")</f>
        <v>18.04% of all CARE</v>
      </c>
      <c r="E13" s="140"/>
      <c r="F13" s="163" t="str">
        <f>IFERROR(ROUND(F10*1000/(E10*1000000)*100,2)&amp;"% of all CARE","")</f>
        <v>17.7% of all CARE</v>
      </c>
      <c r="G13" s="140"/>
      <c r="H13" s="139">
        <f>IFERROR(VLOOKUP($D$1,Reach!$A$3:$U$105,6,FALSE)/VLOOKUP($D$1,Reach!$A$3:$U$105,3,FALSE),"")</f>
        <v>0.83070567329481926</v>
      </c>
      <c r="I13" s="140"/>
      <c r="J13" s="141">
        <f>IFERROR(VLOOKUP($F$1&amp;" Total",Reach!$A$3:$U$105,6,FALSE)/VLOOKUP($F$1&amp;" Total",Reach!$A$3:$U$105,3,FALSE),"")</f>
        <v>0.56280021502911837</v>
      </c>
      <c r="K13" s="142"/>
      <c r="L13" s="143">
        <f>Reach!F103/Reach!C103</f>
        <v>0.54529617887467186</v>
      </c>
      <c r="M13" s="144"/>
      <c r="N13" s="144"/>
      <c r="O13" s="144" t="s">
        <v>14346</v>
      </c>
      <c r="P13" s="144" t="s">
        <v>14347</v>
      </c>
      <c r="Q13" s="144" t="s">
        <v>14348</v>
      </c>
      <c r="R13" s="144" t="s">
        <v>14349</v>
      </c>
      <c r="S13" s="144" t="s">
        <v>14350</v>
      </c>
      <c r="T13" s="144" t="s">
        <v>14336</v>
      </c>
      <c r="U13" s="144" t="s">
        <v>14351</v>
      </c>
      <c r="V13" s="144" t="s">
        <v>14352</v>
      </c>
      <c r="W13" s="144" t="s">
        <v>14339</v>
      </c>
      <c r="X13" s="164" t="s">
        <v>14340</v>
      </c>
      <c r="Y13" s="262"/>
      <c r="Z13" s="268"/>
      <c r="AA13" s="269"/>
      <c r="AB13" s="269"/>
      <c r="AC13" s="261" t="s">
        <v>2395</v>
      </c>
      <c r="AD13" s="270"/>
      <c r="AE13" s="111"/>
      <c r="AF13" s="111"/>
    </row>
    <row r="14" spans="1:32" ht="13.5" thickBot="1" x14ac:dyDescent="0.3">
      <c r="A14" s="165"/>
      <c r="B14" s="130"/>
      <c r="C14" s="130"/>
      <c r="D14" s="130"/>
      <c r="E14" s="130"/>
      <c r="F14" s="131"/>
      <c r="G14" s="124"/>
      <c r="H14" s="166"/>
      <c r="I14" s="130"/>
      <c r="J14" s="167"/>
      <c r="K14" s="168"/>
      <c r="L14" s="169"/>
      <c r="M14" s="124"/>
      <c r="N14" s="124"/>
      <c r="O14" s="144"/>
      <c r="P14" s="144"/>
      <c r="Q14" s="144"/>
      <c r="R14" s="144"/>
      <c r="S14" s="144"/>
      <c r="T14" s="144"/>
      <c r="U14" s="144"/>
      <c r="V14" s="144"/>
      <c r="W14" s="144"/>
      <c r="X14" s="164"/>
      <c r="Y14" s="252"/>
      <c r="Z14" s="252"/>
      <c r="AA14" s="253"/>
      <c r="AB14" s="253"/>
      <c r="AC14" s="261" t="s">
        <v>2536</v>
      </c>
      <c r="AD14" s="249"/>
      <c r="AE14" s="65"/>
      <c r="AF14" s="65"/>
    </row>
    <row r="15" spans="1:32" x14ac:dyDescent="0.25">
      <c r="A15" s="127"/>
      <c r="B15" s="124"/>
      <c r="C15" s="124"/>
      <c r="D15" s="124"/>
      <c r="E15" s="124"/>
      <c r="F15" s="124"/>
      <c r="G15" s="124"/>
      <c r="H15" s="170"/>
      <c r="I15" s="124"/>
      <c r="J15" s="170"/>
      <c r="K15" s="171"/>
      <c r="L15" s="172"/>
      <c r="M15" s="124"/>
      <c r="N15" s="124"/>
      <c r="O15" s="144"/>
      <c r="P15" s="144"/>
      <c r="Q15" s="144"/>
      <c r="R15" s="144"/>
      <c r="S15" s="144"/>
      <c r="T15" s="144"/>
      <c r="U15" s="144"/>
      <c r="V15" s="144"/>
      <c r="W15" s="144"/>
      <c r="X15" s="164"/>
      <c r="Y15" s="252"/>
      <c r="Z15" s="252"/>
      <c r="AA15" s="253"/>
      <c r="AB15" s="253"/>
      <c r="AC15" s="252" t="s">
        <v>2806</v>
      </c>
      <c r="AD15" s="249"/>
      <c r="AE15" s="65"/>
      <c r="AF15" s="65"/>
    </row>
    <row r="16" spans="1:32" ht="13.5" thickBot="1" x14ac:dyDescent="0.3">
      <c r="A16" s="127"/>
      <c r="B16" s="124"/>
      <c r="C16" s="124"/>
      <c r="D16" s="124"/>
      <c r="E16" s="124"/>
      <c r="F16" s="124"/>
      <c r="G16" s="124"/>
      <c r="H16" s="170"/>
      <c r="I16" s="124"/>
      <c r="J16" s="170"/>
      <c r="K16" s="171"/>
      <c r="L16" s="172"/>
      <c r="M16" s="124"/>
      <c r="N16" s="124"/>
      <c r="O16" s="144"/>
      <c r="P16" s="144"/>
      <c r="Q16" s="144"/>
      <c r="R16" s="144"/>
      <c r="S16" s="144"/>
      <c r="T16" s="144"/>
      <c r="U16" s="144"/>
      <c r="V16" s="144"/>
      <c r="W16" s="144"/>
      <c r="X16" s="164"/>
      <c r="Y16" s="252"/>
      <c r="Z16" s="252"/>
      <c r="AA16" s="253"/>
      <c r="AB16" s="253"/>
      <c r="AC16" s="261" t="s">
        <v>2931</v>
      </c>
      <c r="AD16" s="249"/>
      <c r="AE16" s="65"/>
      <c r="AF16" s="65"/>
    </row>
    <row r="17" spans="1:32" s="107" customFormat="1" ht="20.25" x14ac:dyDescent="0.25">
      <c r="A17" s="404" t="str">
        <f>UPPER("CARE "&amp;$D$1&amp;"'s reach over last 3 years")</f>
        <v>CARE BANGLADESH'S REACH OVER LAST 3 YEARS</v>
      </c>
      <c r="B17" s="405"/>
      <c r="C17" s="405"/>
      <c r="D17" s="405"/>
      <c r="E17" s="405"/>
      <c r="F17" s="405"/>
      <c r="G17" s="405"/>
      <c r="H17" s="406"/>
      <c r="I17" s="132"/>
      <c r="J17" s="132"/>
      <c r="K17" s="132"/>
      <c r="L17" s="132"/>
      <c r="M17" s="132"/>
      <c r="N17" s="132"/>
      <c r="O17" s="132"/>
      <c r="P17" s="132"/>
      <c r="Q17" s="132"/>
      <c r="R17" s="132"/>
      <c r="S17" s="132"/>
      <c r="T17" s="132"/>
      <c r="U17" s="132"/>
      <c r="V17" s="132"/>
      <c r="W17" s="132"/>
      <c r="X17" s="133"/>
      <c r="Y17" s="257"/>
      <c r="Z17" s="257"/>
      <c r="AA17" s="258"/>
      <c r="AB17" s="258"/>
      <c r="AC17" s="252" t="s">
        <v>2956</v>
      </c>
      <c r="AD17" s="259"/>
      <c r="AE17" s="105"/>
      <c r="AF17" s="105"/>
    </row>
    <row r="18" spans="1:32" x14ac:dyDescent="0.25">
      <c r="A18" s="173"/>
      <c r="B18" s="174"/>
      <c r="C18" s="174"/>
      <c r="D18" s="174"/>
      <c r="E18" s="174"/>
      <c r="F18" s="174"/>
      <c r="G18" s="124"/>
      <c r="H18" s="128"/>
      <c r="I18" s="124"/>
      <c r="J18" s="124"/>
      <c r="K18" s="124"/>
      <c r="L18" s="124"/>
      <c r="M18" s="124"/>
      <c r="N18" s="124"/>
      <c r="O18" s="124"/>
      <c r="P18" s="124"/>
      <c r="Q18" s="124"/>
      <c r="R18" s="124"/>
      <c r="S18" s="124"/>
      <c r="T18" s="124"/>
      <c r="U18" s="124"/>
      <c r="V18" s="124"/>
      <c r="W18" s="124"/>
      <c r="X18" s="128"/>
      <c r="Y18" s="252"/>
      <c r="Z18" s="252"/>
      <c r="AA18" s="253"/>
      <c r="AB18" s="253"/>
      <c r="AC18" s="252" t="s">
        <v>3140</v>
      </c>
      <c r="AD18" s="249"/>
      <c r="AE18" s="65"/>
      <c r="AF18" s="65"/>
    </row>
    <row r="19" spans="1:32" s="72" customFormat="1" ht="26.25" customHeight="1" x14ac:dyDescent="0.25">
      <c r="A19" s="175"/>
      <c r="B19" s="158" t="s">
        <v>14357</v>
      </c>
      <c r="C19" s="176"/>
      <c r="D19" s="158" t="s">
        <v>14358</v>
      </c>
      <c r="E19" s="176"/>
      <c r="F19" s="158" t="s">
        <v>14496</v>
      </c>
      <c r="G19" s="422" t="s">
        <v>14497</v>
      </c>
      <c r="H19" s="423"/>
      <c r="I19" s="177"/>
      <c r="J19" s="177"/>
      <c r="K19" s="177"/>
      <c r="L19" s="177"/>
      <c r="M19" s="177"/>
      <c r="N19" s="177"/>
      <c r="O19" s="177"/>
      <c r="P19" s="177"/>
      <c r="Q19" s="177"/>
      <c r="R19" s="177"/>
      <c r="S19" s="177"/>
      <c r="T19" s="177"/>
      <c r="U19" s="177"/>
      <c r="V19" s="177"/>
      <c r="W19" s="177"/>
      <c r="X19" s="178"/>
      <c r="Y19" s="261"/>
      <c r="Z19" s="261"/>
      <c r="AA19" s="263"/>
      <c r="AB19" s="263"/>
      <c r="AC19" s="252" t="s">
        <v>3148</v>
      </c>
      <c r="AD19" s="249"/>
      <c r="AE19" s="65"/>
      <c r="AF19" s="65"/>
    </row>
    <row r="20" spans="1:32" ht="18" x14ac:dyDescent="0.25">
      <c r="A20" s="179" t="s">
        <v>14562</v>
      </c>
      <c r="B20" s="180">
        <f>_xlfn.IFNA(ROUND(VLOOKUP($D$1,'FY15 summary'!$A$4:$D$84,3,FALSE)/1000,1),"")</f>
        <v>10235.299999999999</v>
      </c>
      <c r="C20" s="126"/>
      <c r="D20" s="180">
        <f>_xlfn.IFNA(ROUND(VLOOKUP($D$1,'FY16 summary'!$A$4:$Q$99,3,FALSE)/1000,1),"")</f>
        <v>13068.5</v>
      </c>
      <c r="E20" s="126"/>
      <c r="F20" s="180">
        <f>D10</f>
        <v>11350.7</v>
      </c>
      <c r="G20" s="413">
        <f>IFERROR((F20-B20)/B20,"")</f>
        <v>0.10897579943919587</v>
      </c>
      <c r="H20" s="414"/>
      <c r="I20" s="124"/>
      <c r="J20" s="124"/>
      <c r="K20" s="124"/>
      <c r="L20" s="124"/>
      <c r="M20" s="124"/>
      <c r="N20" s="124"/>
      <c r="O20" s="124"/>
      <c r="P20" s="124"/>
      <c r="Q20" s="124"/>
      <c r="R20" s="124"/>
      <c r="S20" s="124"/>
      <c r="T20" s="124"/>
      <c r="U20" s="124"/>
      <c r="V20" s="124"/>
      <c r="W20" s="124"/>
      <c r="X20" s="128"/>
      <c r="Y20" s="252"/>
      <c r="Z20" s="252"/>
      <c r="AA20" s="253"/>
      <c r="AB20" s="253"/>
      <c r="AC20" s="252" t="s">
        <v>3231</v>
      </c>
      <c r="AD20" s="264"/>
      <c r="AE20" s="71"/>
      <c r="AF20" s="71"/>
    </row>
    <row r="21" spans="1:32" s="72" customFormat="1" ht="24.75" customHeight="1" x14ac:dyDescent="0.25">
      <c r="A21" s="181"/>
      <c r="B21" s="176"/>
      <c r="C21" s="176"/>
      <c r="D21" s="176"/>
      <c r="E21" s="176"/>
      <c r="F21" s="176"/>
      <c r="G21" s="126"/>
      <c r="H21" s="182"/>
      <c r="I21" s="177"/>
      <c r="J21" s="177"/>
      <c r="K21" s="177"/>
      <c r="L21" s="177"/>
      <c r="M21" s="177"/>
      <c r="N21" s="176"/>
      <c r="O21" s="176"/>
      <c r="P21" s="176"/>
      <c r="Q21" s="176"/>
      <c r="R21" s="176"/>
      <c r="S21" s="176"/>
      <c r="T21" s="176"/>
      <c r="U21" s="176"/>
      <c r="V21" s="176"/>
      <c r="W21" s="176"/>
      <c r="X21" s="183"/>
      <c r="Y21" s="261"/>
      <c r="Z21" s="261"/>
      <c r="AA21" s="263"/>
      <c r="AB21" s="263"/>
      <c r="AC21" s="252" t="s">
        <v>3249</v>
      </c>
      <c r="AD21" s="249"/>
      <c r="AE21" s="65"/>
      <c r="AF21" s="65"/>
    </row>
    <row r="22" spans="1:32" ht="18" x14ac:dyDescent="0.25">
      <c r="A22" s="179" t="s">
        <v>14471</v>
      </c>
      <c r="B22" s="180">
        <f>_xlfn.IFNA(ROUND(VLOOKUP($D$1,'FY15 summary'!$A$4:$D$84,4,FALSE)/1000,1),"")</f>
        <v>35888.800000000003</v>
      </c>
      <c r="C22" s="126"/>
      <c r="D22" s="180">
        <f>_xlfn.IFNA(ROUND(VLOOKUP($D$1,'FY16 summary'!$A$4:$Q$99,5,FALSE)/1000,1),"")</f>
        <v>37619.800000000003</v>
      </c>
      <c r="E22" s="126"/>
      <c r="F22" s="180">
        <f>F10</f>
        <v>38231.4</v>
      </c>
      <c r="G22" s="413">
        <f>IFERROR((F22-B22)/B22,"")</f>
        <v>6.5273845879494391E-2</v>
      </c>
      <c r="H22" s="414"/>
      <c r="I22" s="124"/>
      <c r="J22" s="124"/>
      <c r="K22" s="124"/>
      <c r="L22" s="124"/>
      <c r="M22" s="124"/>
      <c r="N22" s="126"/>
      <c r="O22" s="126"/>
      <c r="P22" s="126"/>
      <c r="Q22" s="126"/>
      <c r="R22" s="126"/>
      <c r="S22" s="126"/>
      <c r="T22" s="126"/>
      <c r="U22" s="126"/>
      <c r="V22" s="126"/>
      <c r="W22" s="126"/>
      <c r="X22" s="184"/>
      <c r="Y22" s="252"/>
      <c r="Z22" s="252"/>
      <c r="AA22" s="253"/>
      <c r="AB22" s="253"/>
      <c r="AC22" s="252" t="s">
        <v>3261</v>
      </c>
      <c r="AD22" s="264"/>
      <c r="AE22" s="71"/>
      <c r="AF22" s="71"/>
    </row>
    <row r="23" spans="1:32" ht="18" x14ac:dyDescent="0.25">
      <c r="A23" s="175"/>
      <c r="B23" s="151"/>
      <c r="C23" s="126"/>
      <c r="D23" s="151"/>
      <c r="E23" s="126"/>
      <c r="F23" s="151"/>
      <c r="G23" s="126"/>
      <c r="H23" s="182"/>
      <c r="I23" s="124"/>
      <c r="J23" s="124"/>
      <c r="K23" s="124"/>
      <c r="L23" s="124"/>
      <c r="M23" s="124"/>
      <c r="N23" s="126"/>
      <c r="O23" s="126"/>
      <c r="P23" s="126"/>
      <c r="Q23" s="126"/>
      <c r="R23" s="126"/>
      <c r="S23" s="126"/>
      <c r="T23" s="126"/>
      <c r="U23" s="126"/>
      <c r="V23" s="126"/>
      <c r="W23" s="126"/>
      <c r="X23" s="184"/>
      <c r="Y23" s="252"/>
      <c r="Z23" s="252"/>
      <c r="AA23" s="253"/>
      <c r="AB23" s="253"/>
      <c r="AC23" s="261" t="s">
        <v>14322</v>
      </c>
      <c r="AD23" s="249"/>
      <c r="AE23" s="65"/>
      <c r="AF23" s="65"/>
    </row>
    <row r="24" spans="1:32" s="74" customFormat="1" ht="21.95" customHeight="1" x14ac:dyDescent="0.25">
      <c r="A24" s="179" t="s">
        <v>14532</v>
      </c>
      <c r="B24" s="185">
        <f>IFERROR(B22/B20,"")</f>
        <v>3.5063749963362096</v>
      </c>
      <c r="C24" s="186"/>
      <c r="D24" s="185">
        <f>IFERROR(D22/D20,"")</f>
        <v>2.8786624325668595</v>
      </c>
      <c r="E24" s="186"/>
      <c r="F24" s="185">
        <f>IFERROR(F22/F20,"")</f>
        <v>3.3681975560978619</v>
      </c>
      <c r="G24" s="413">
        <f>IFERROR((F24-B24)/B24,"")</f>
        <v>-3.9407490751197052E-2</v>
      </c>
      <c r="H24" s="414"/>
      <c r="I24" s="187"/>
      <c r="J24" s="187"/>
      <c r="K24" s="187"/>
      <c r="L24" s="187"/>
      <c r="M24" s="187"/>
      <c r="N24" s="186"/>
      <c r="O24" s="186"/>
      <c r="P24" s="186"/>
      <c r="Q24" s="186"/>
      <c r="R24" s="186"/>
      <c r="S24" s="186"/>
      <c r="T24" s="186"/>
      <c r="U24" s="186"/>
      <c r="V24" s="186"/>
      <c r="W24" s="186"/>
      <c r="X24" s="188"/>
      <c r="Y24" s="252"/>
      <c r="Z24" s="252"/>
      <c r="AA24" s="253"/>
      <c r="AB24" s="253"/>
      <c r="AC24" s="252" t="s">
        <v>3272</v>
      </c>
      <c r="AD24" s="249"/>
      <c r="AE24" s="65"/>
      <c r="AF24" s="65"/>
    </row>
    <row r="25" spans="1:32" ht="18.75" thickBot="1" x14ac:dyDescent="0.3">
      <c r="A25" s="189"/>
      <c r="B25" s="190"/>
      <c r="C25" s="191"/>
      <c r="D25" s="190"/>
      <c r="E25" s="191"/>
      <c r="F25" s="190"/>
      <c r="G25" s="190"/>
      <c r="H25" s="192"/>
      <c r="I25" s="124"/>
      <c r="J25" s="124"/>
      <c r="K25" s="124"/>
      <c r="L25" s="124"/>
      <c r="M25" s="124"/>
      <c r="N25" s="126"/>
      <c r="O25" s="126"/>
      <c r="P25" s="126"/>
      <c r="Q25" s="126"/>
      <c r="R25" s="126"/>
      <c r="S25" s="126"/>
      <c r="T25" s="126"/>
      <c r="U25" s="126"/>
      <c r="V25" s="126"/>
      <c r="W25" s="126"/>
      <c r="X25" s="184"/>
      <c r="Y25" s="252"/>
      <c r="Z25" s="252"/>
      <c r="AA25" s="253"/>
      <c r="AB25" s="253"/>
      <c r="AC25" s="252" t="s">
        <v>3546</v>
      </c>
      <c r="AD25" s="249"/>
      <c r="AE25" s="73"/>
      <c r="AF25" s="73"/>
    </row>
    <row r="26" spans="1:32" x14ac:dyDescent="0.25">
      <c r="A26" s="127"/>
      <c r="B26" s="124"/>
      <c r="C26" s="124"/>
      <c r="D26" s="124"/>
      <c r="E26" s="124"/>
      <c r="F26" s="124"/>
      <c r="G26" s="124"/>
      <c r="H26" s="124"/>
      <c r="I26" s="124"/>
      <c r="J26" s="124"/>
      <c r="K26" s="124"/>
      <c r="L26" s="124"/>
      <c r="M26" s="124"/>
      <c r="N26" s="126"/>
      <c r="O26" s="126"/>
      <c r="P26" s="126"/>
      <c r="Q26" s="126"/>
      <c r="R26" s="126"/>
      <c r="S26" s="126"/>
      <c r="T26" s="126"/>
      <c r="U26" s="126"/>
      <c r="V26" s="126"/>
      <c r="W26" s="126"/>
      <c r="X26" s="184"/>
      <c r="Y26" s="252"/>
      <c r="Z26" s="252"/>
      <c r="AA26" s="253"/>
      <c r="AB26" s="253"/>
      <c r="AC26" s="252" t="s">
        <v>3868</v>
      </c>
      <c r="AD26" s="249"/>
      <c r="AE26" s="65"/>
      <c r="AF26" s="65"/>
    </row>
    <row r="27" spans="1:32" ht="15" customHeight="1" thickBot="1" x14ac:dyDescent="0.3">
      <c r="A27" s="127"/>
      <c r="B27" s="124"/>
      <c r="C27" s="124"/>
      <c r="D27" s="124"/>
      <c r="E27" s="124"/>
      <c r="F27" s="124"/>
      <c r="G27" s="124"/>
      <c r="H27" s="124"/>
      <c r="I27" s="124"/>
      <c r="J27" s="124"/>
      <c r="K27" s="124"/>
      <c r="L27" s="124"/>
      <c r="M27" s="124"/>
      <c r="N27" s="126"/>
      <c r="O27" s="126"/>
      <c r="P27" s="126"/>
      <c r="Q27" s="126"/>
      <c r="R27" s="126"/>
      <c r="S27" s="126"/>
      <c r="T27" s="126"/>
      <c r="U27" s="126"/>
      <c r="V27" s="126"/>
      <c r="W27" s="126"/>
      <c r="X27" s="184"/>
      <c r="Y27" s="252"/>
      <c r="Z27" s="252"/>
      <c r="AA27" s="253"/>
      <c r="AB27" s="253"/>
      <c r="AC27" s="252" t="s">
        <v>4268</v>
      </c>
      <c r="AD27" s="249"/>
      <c r="AE27" s="65"/>
      <c r="AF27" s="65"/>
    </row>
    <row r="28" spans="1:32" ht="24.95" customHeight="1" x14ac:dyDescent="0.25">
      <c r="A28" s="404" t="str">
        <f>UPPER("contributions to program strategy outcome areas")</f>
        <v>CONTRIBUTIONS TO PROGRAM STRATEGY OUTCOME AREAS</v>
      </c>
      <c r="B28" s="405"/>
      <c r="C28" s="405"/>
      <c r="D28" s="405"/>
      <c r="E28" s="405"/>
      <c r="F28" s="405"/>
      <c r="G28" s="405"/>
      <c r="H28" s="406"/>
      <c r="I28" s="124"/>
      <c r="J28" s="124"/>
      <c r="K28" s="124"/>
      <c r="L28" s="124"/>
      <c r="M28" s="124"/>
      <c r="N28" s="126"/>
      <c r="O28" s="126"/>
      <c r="P28" s="126"/>
      <c r="Q28" s="126"/>
      <c r="R28" s="126"/>
      <c r="S28" s="126"/>
      <c r="T28" s="126"/>
      <c r="U28" s="126"/>
      <c r="V28" s="126"/>
      <c r="W28" s="126"/>
      <c r="X28" s="184"/>
      <c r="Y28" s="252"/>
      <c r="Z28" s="252"/>
      <c r="AA28" s="253"/>
      <c r="AB28" s="253"/>
      <c r="AC28" s="252" t="s">
        <v>4293</v>
      </c>
      <c r="AD28" s="249"/>
      <c r="AE28" s="65"/>
      <c r="AF28" s="65"/>
    </row>
    <row r="29" spans="1:32" ht="15" customHeight="1" x14ac:dyDescent="0.25">
      <c r="A29" s="127"/>
      <c r="B29" s="124"/>
      <c r="C29" s="124"/>
      <c r="D29" s="124"/>
      <c r="E29" s="124"/>
      <c r="F29" s="124"/>
      <c r="G29" s="124"/>
      <c r="H29" s="128"/>
      <c r="I29" s="124"/>
      <c r="J29" s="124"/>
      <c r="K29" s="124"/>
      <c r="L29" s="124"/>
      <c r="M29" s="124"/>
      <c r="N29" s="126"/>
      <c r="O29" s="126"/>
      <c r="P29" s="126"/>
      <c r="Q29" s="126"/>
      <c r="R29" s="126"/>
      <c r="S29" s="126"/>
      <c r="T29" s="126"/>
      <c r="U29" s="126"/>
      <c r="V29" s="126"/>
      <c r="W29" s="126"/>
      <c r="X29" s="184"/>
      <c r="Y29" s="252"/>
      <c r="Z29" s="252"/>
      <c r="AA29" s="253"/>
      <c r="AB29" s="253"/>
      <c r="AC29" s="252" t="s">
        <v>4346</v>
      </c>
      <c r="AD29" s="249"/>
      <c r="AE29" s="65"/>
      <c r="AF29" s="65"/>
    </row>
    <row r="30" spans="1:32" ht="15" customHeight="1" x14ac:dyDescent="0.25">
      <c r="A30" s="412">
        <f>IFERROR(AA30*1000,"")</f>
        <v>32083</v>
      </c>
      <c r="B30" s="393" t="str">
        <f>IFERROR(IF(Z30=0,"No projects working on Humanitarian Assistance",IF(AA30*1000&gt;1000000,"Reached "&amp;TEXT(ROUND(AA30/1000,1),"#,##0.0_);(#,##0.0)")&amp;"million disaster/crisis-affected people with life-saving humanitarian assistance","Reached "&amp;TEXT(ROUND(AA30,0),"#,##0_);(#,##0)")&amp;"thousand disaster/crisis-affected people with life-saving humanitarian assistance")&amp;IF(AB30*1000&gt;1000000,", indirectly benefiting a further "&amp;TEXT(ROUND(AB30/1000,1),"#,##0.0_);(#,##0)")&amp;"million ("&amp;ROUND(Z30,0)&amp;" projects/initiatives)",", indirectly benefiting a further "&amp;TEXT(ROUND(AB30,0),"#,##0_);(#,##0)")&amp;"thousand ("&amp;ROUND(Z30,0)&amp;" projects/initiatives)")),"")</f>
        <v>Reached 32 thousand disaster/crisis-affected people with life-saving humanitarian assistance, indirectly benefiting a further 20 thousand (9 projects/initiatives)</v>
      </c>
      <c r="C30" s="393"/>
      <c r="D30" s="393"/>
      <c r="E30" s="393"/>
      <c r="F30" s="393"/>
      <c r="G30" s="393"/>
      <c r="H30" s="394"/>
      <c r="I30" s="124"/>
      <c r="J30" s="124"/>
      <c r="K30" s="124"/>
      <c r="L30" s="124"/>
      <c r="M30" s="124"/>
      <c r="N30" s="126"/>
      <c r="O30" s="126"/>
      <c r="P30" s="126"/>
      <c r="Q30" s="126"/>
      <c r="R30" s="126"/>
      <c r="S30" s="126"/>
      <c r="T30" s="126"/>
      <c r="U30" s="126"/>
      <c r="V30" s="126"/>
      <c r="W30" s="126"/>
      <c r="X30" s="184"/>
      <c r="Y30" s="252" t="s">
        <v>14366</v>
      </c>
      <c r="Z30" s="271">
        <f>_xlfn.IFNA(VLOOKUP($D$1,Reach!$A$3:$U$105,9,FALSE),"")</f>
        <v>9</v>
      </c>
      <c r="AA30" s="272">
        <f>_xlfn.IFNA(VLOOKUP($D$1,Reach!$A$3:$U$105,7,FALSE)/1000,"")</f>
        <v>32.082999999999998</v>
      </c>
      <c r="AB30" s="272">
        <f>_xlfn.IFNA(VLOOKUP($D$1,Reach!$A$3:$U$105,8,FALSE)/1000,"")</f>
        <v>19.763999999999999</v>
      </c>
      <c r="AC30" s="252" t="s">
        <v>4428</v>
      </c>
      <c r="AD30" s="249"/>
      <c r="AE30" s="65"/>
      <c r="AF30" s="65"/>
    </row>
    <row r="31" spans="1:32" ht="21" customHeight="1" x14ac:dyDescent="0.25">
      <c r="A31" s="412"/>
      <c r="B31" s="393"/>
      <c r="C31" s="393"/>
      <c r="D31" s="393"/>
      <c r="E31" s="393"/>
      <c r="F31" s="393"/>
      <c r="G31" s="393"/>
      <c r="H31" s="394"/>
      <c r="I31" s="124"/>
      <c r="J31" s="124"/>
      <c r="K31" s="124"/>
      <c r="L31" s="124"/>
      <c r="M31" s="124"/>
      <c r="N31" s="126"/>
      <c r="O31" s="126"/>
      <c r="P31" s="126"/>
      <c r="Q31" s="126"/>
      <c r="R31" s="126"/>
      <c r="S31" s="126"/>
      <c r="T31" s="126"/>
      <c r="U31" s="126"/>
      <c r="V31" s="126"/>
      <c r="W31" s="126"/>
      <c r="X31" s="184"/>
      <c r="Y31" s="252"/>
      <c r="Z31" s="273"/>
      <c r="AA31" s="253"/>
      <c r="AB31" s="253"/>
      <c r="AC31" s="252" t="s">
        <v>4471</v>
      </c>
      <c r="AD31" s="249"/>
      <c r="AE31" s="65"/>
      <c r="AF31" s="65"/>
    </row>
    <row r="32" spans="1:32" ht="15" customHeight="1" x14ac:dyDescent="0.25">
      <c r="A32" s="412"/>
      <c r="B32" s="393"/>
      <c r="C32" s="393"/>
      <c r="D32" s="393"/>
      <c r="E32" s="393"/>
      <c r="F32" s="393"/>
      <c r="G32" s="393"/>
      <c r="H32" s="394"/>
      <c r="I32" s="124"/>
      <c r="J32" s="124"/>
      <c r="K32" s="124"/>
      <c r="L32" s="124"/>
      <c r="M32" s="124"/>
      <c r="N32" s="126"/>
      <c r="O32" s="126"/>
      <c r="P32" s="126"/>
      <c r="Q32" s="126"/>
      <c r="R32" s="126"/>
      <c r="S32" s="126"/>
      <c r="T32" s="126"/>
      <c r="U32" s="126"/>
      <c r="V32" s="126"/>
      <c r="W32" s="126"/>
      <c r="X32" s="184"/>
      <c r="Y32" s="252"/>
      <c r="Z32" s="273"/>
      <c r="AA32" s="253"/>
      <c r="AB32" s="253"/>
      <c r="AC32" s="252" t="s">
        <v>4743</v>
      </c>
      <c r="AD32" s="249"/>
      <c r="AE32" s="65"/>
      <c r="AF32" s="65"/>
    </row>
    <row r="33" spans="1:32" ht="15" customHeight="1" x14ac:dyDescent="0.25">
      <c r="A33" s="412"/>
      <c r="B33" s="124"/>
      <c r="C33" s="124"/>
      <c r="D33" s="124"/>
      <c r="E33" s="124"/>
      <c r="F33" s="124"/>
      <c r="G33" s="124"/>
      <c r="H33" s="128"/>
      <c r="I33" s="124"/>
      <c r="J33" s="124"/>
      <c r="K33" s="124"/>
      <c r="L33" s="124"/>
      <c r="M33" s="124"/>
      <c r="N33" s="126"/>
      <c r="O33" s="126"/>
      <c r="P33" s="126"/>
      <c r="Q33" s="126"/>
      <c r="R33" s="126"/>
      <c r="S33" s="126"/>
      <c r="T33" s="126"/>
      <c r="U33" s="126"/>
      <c r="V33" s="126"/>
      <c r="W33" s="126"/>
      <c r="X33" s="184"/>
      <c r="Y33" s="252"/>
      <c r="Z33" s="252"/>
      <c r="AA33" s="253"/>
      <c r="AB33" s="253"/>
      <c r="AC33" s="252" t="s">
        <v>4777</v>
      </c>
      <c r="AD33" s="249"/>
      <c r="AE33" s="65"/>
      <c r="AF33" s="65"/>
    </row>
    <row r="34" spans="1:32" ht="15" customHeight="1" x14ac:dyDescent="0.25">
      <c r="A34" s="412">
        <f>IFERROR(AA34*1000,"")</f>
        <v>6033019</v>
      </c>
      <c r="B34" s="393" t="str">
        <f>IFERROR(IF(Z34=0,"No projects working on Sexual, Reproductive &amp; Maternal Health rights",IF(AA34*1000&gt;1000000,"Reached "&amp;TEXT(ROUND(AA34/1000,1),"#,##0.0_);(#,##0.0)")&amp;"million people to support women's rights to sexual, reproductive and maternal health","Reached "&amp;TEXT(ROUND(AA34,0),"#,##0_);(#,##0)")&amp;"thousand people to support women's rights to sexual, reproductive and maternal health")&amp;IF(AB34*1000&gt;1000000,", indirectly benefiting a further "&amp;TEXT(ROUND(AB34/1000,1),"#,##0.0_);(#,##0)")&amp;"million ("&amp;ROUND(Z34,0)&amp;" projects/initiatives)",", indirectly benefiting a further "&amp;TEXT(ROUND(AB34,0),"#,##0_);(#,##0)")&amp;"thousand ("&amp;ROUND(Z34,0)&amp;" projects/initiatives)")),"")</f>
        <v>Reached 6.0 million people to support women's rights to sexual, reproductive and maternal health, indirectly benefiting a further 21.1 million (12 projects/initiatives)</v>
      </c>
      <c r="C34" s="393"/>
      <c r="D34" s="393"/>
      <c r="E34" s="393"/>
      <c r="F34" s="393"/>
      <c r="G34" s="393"/>
      <c r="H34" s="394"/>
      <c r="I34" s="124"/>
      <c r="J34" s="124"/>
      <c r="K34" s="124"/>
      <c r="L34" s="124"/>
      <c r="M34" s="124"/>
      <c r="N34" s="126"/>
      <c r="O34" s="126"/>
      <c r="P34" s="126"/>
      <c r="Q34" s="126"/>
      <c r="R34" s="126"/>
      <c r="S34" s="126"/>
      <c r="T34" s="126"/>
      <c r="U34" s="126"/>
      <c r="V34" s="126"/>
      <c r="W34" s="126"/>
      <c r="X34" s="184"/>
      <c r="Y34" s="252" t="s">
        <v>14368</v>
      </c>
      <c r="Z34" s="271">
        <f>_xlfn.IFNA(VLOOKUP($D$1,Reach!$A$3:$U$105,12,FALSE),"")</f>
        <v>12</v>
      </c>
      <c r="AA34" s="272">
        <f>_xlfn.IFNA(VLOOKUP($D$1,Reach!$A$3:$U$105,10,FALSE)/1000,"")</f>
        <v>6033.0190000000002</v>
      </c>
      <c r="AB34" s="272">
        <f>_xlfn.IFNA(VLOOKUP($D$1,Reach!$A$3:$U$105,11,FALSE)/1000,"")</f>
        <v>21144.507000000001</v>
      </c>
      <c r="AC34" s="252" t="s">
        <v>5061</v>
      </c>
      <c r="AD34" s="249"/>
      <c r="AE34" s="65"/>
      <c r="AF34" s="65"/>
    </row>
    <row r="35" spans="1:32" ht="20.100000000000001" customHeight="1" x14ac:dyDescent="0.25">
      <c r="A35" s="412"/>
      <c r="B35" s="393"/>
      <c r="C35" s="393"/>
      <c r="D35" s="393"/>
      <c r="E35" s="393"/>
      <c r="F35" s="393"/>
      <c r="G35" s="393"/>
      <c r="H35" s="394"/>
      <c r="I35" s="124"/>
      <c r="J35" s="124"/>
      <c r="K35" s="124"/>
      <c r="L35" s="124"/>
      <c r="M35" s="124"/>
      <c r="N35" s="126"/>
      <c r="O35" s="126"/>
      <c r="P35" s="126"/>
      <c r="Q35" s="126"/>
      <c r="R35" s="126"/>
      <c r="S35" s="126"/>
      <c r="T35" s="126"/>
      <c r="U35" s="126"/>
      <c r="V35" s="126"/>
      <c r="W35" s="126"/>
      <c r="X35" s="184"/>
      <c r="Y35" s="252"/>
      <c r="Z35" s="273"/>
      <c r="AA35" s="253"/>
      <c r="AB35" s="253"/>
      <c r="AC35" s="252" t="s">
        <v>5190</v>
      </c>
      <c r="AD35" s="249"/>
      <c r="AE35" s="65"/>
      <c r="AF35" s="65"/>
    </row>
    <row r="36" spans="1:32" ht="15" customHeight="1" x14ac:dyDescent="0.25">
      <c r="A36" s="412"/>
      <c r="B36" s="393"/>
      <c r="C36" s="393"/>
      <c r="D36" s="393"/>
      <c r="E36" s="393"/>
      <c r="F36" s="393"/>
      <c r="G36" s="393"/>
      <c r="H36" s="394"/>
      <c r="I36" s="124"/>
      <c r="J36" s="124"/>
      <c r="K36" s="124"/>
      <c r="L36" s="124"/>
      <c r="M36" s="124"/>
      <c r="N36" s="126"/>
      <c r="O36" s="126"/>
      <c r="P36" s="126"/>
      <c r="Q36" s="126"/>
      <c r="R36" s="126"/>
      <c r="S36" s="126"/>
      <c r="T36" s="126"/>
      <c r="U36" s="126"/>
      <c r="V36" s="126"/>
      <c r="W36" s="126"/>
      <c r="X36" s="184"/>
      <c r="Y36" s="252"/>
      <c r="Z36" s="273"/>
      <c r="AA36" s="253"/>
      <c r="AB36" s="253"/>
      <c r="AC36" s="252" t="s">
        <v>5300</v>
      </c>
      <c r="AD36" s="249"/>
      <c r="AE36" s="65"/>
      <c r="AF36" s="65"/>
    </row>
    <row r="37" spans="1:32" ht="15" customHeight="1" x14ac:dyDescent="0.25">
      <c r="A37" s="412"/>
      <c r="B37" s="151"/>
      <c r="C37" s="151"/>
      <c r="D37" s="151"/>
      <c r="E37" s="151"/>
      <c r="F37" s="151"/>
      <c r="G37" s="124"/>
      <c r="H37" s="128"/>
      <c r="I37" s="124"/>
      <c r="J37" s="124"/>
      <c r="K37" s="124"/>
      <c r="L37" s="124"/>
      <c r="M37" s="124"/>
      <c r="N37" s="126"/>
      <c r="O37" s="126"/>
      <c r="P37" s="126"/>
      <c r="Q37" s="126"/>
      <c r="R37" s="126"/>
      <c r="S37" s="126"/>
      <c r="T37" s="126"/>
      <c r="U37" s="126"/>
      <c r="V37" s="126"/>
      <c r="W37" s="126"/>
      <c r="X37" s="184"/>
      <c r="Y37" s="252"/>
      <c r="Z37" s="252"/>
      <c r="AA37" s="253"/>
      <c r="AB37" s="253"/>
      <c r="AC37" s="252" t="s">
        <v>5932</v>
      </c>
      <c r="AD37" s="249"/>
      <c r="AE37" s="65"/>
      <c r="AF37" s="65"/>
    </row>
    <row r="38" spans="1:32" ht="15" customHeight="1" x14ac:dyDescent="0.25">
      <c r="A38" s="412">
        <f t="shared" ref="A38" si="0">IFERROR(AA38*1000,"")</f>
        <v>144056</v>
      </c>
      <c r="B38" s="393" t="str">
        <f>IFERROR(IF(Z38=0,"No projects working on the right to a Life Free From Violence",IF(AA38*1000&gt;1000000,"Reached "&amp;TEXT(ROUND(AA38/1000,1),"#,##0.0_);(#,##0.0)")&amp;"million people to support women and girls' rights to a life free from violence","Reached "&amp;TEXT(ROUND(AA38,0),"#,##0_);(#,##0)")&amp;"thousand people to support women and girls' rights to a life free from violence")&amp;IF(AB38*1000&gt;1000000,", indirectly benefiting a further "&amp;TEXT(ROUND(AB38/1000,1),"#,##0.0_);(#,##0)")&amp;"million ("&amp;ROUND(Z38,0)&amp;" projects/initiatives)",", indirectly benefiting a further "&amp;TEXT(ROUND(AB38,0),"#,##0_);(#,##0)")&amp;"thousand ("&amp;ROUND(Z38,0)&amp;" projects/initiatives)")),"")</f>
        <v>Reached 144 thousand people to support women and girls' rights to a life free from violence, indirectly benefiting a further 300 thousand (12 projects/initiatives)</v>
      </c>
      <c r="C38" s="393"/>
      <c r="D38" s="393"/>
      <c r="E38" s="393"/>
      <c r="F38" s="393"/>
      <c r="G38" s="393"/>
      <c r="H38" s="394"/>
      <c r="I38" s="124"/>
      <c r="J38" s="124"/>
      <c r="K38" s="124"/>
      <c r="L38" s="124"/>
      <c r="M38" s="124"/>
      <c r="N38" s="126"/>
      <c r="O38" s="126"/>
      <c r="P38" s="126"/>
      <c r="Q38" s="126"/>
      <c r="R38" s="126"/>
      <c r="S38" s="126"/>
      <c r="T38" s="126"/>
      <c r="U38" s="126"/>
      <c r="V38" s="126"/>
      <c r="W38" s="126"/>
      <c r="X38" s="184"/>
      <c r="Y38" s="252" t="s">
        <v>14371</v>
      </c>
      <c r="Z38" s="271">
        <f>_xlfn.IFNA(VLOOKUP($D$1,Reach!$A$3:$U$105,18,FALSE),"")</f>
        <v>12</v>
      </c>
      <c r="AA38" s="272">
        <f>_xlfn.IFNA(VLOOKUP($D$1,Reach!$A$3:$U$105,16,FALSE)/1000,"")</f>
        <v>144.05600000000001</v>
      </c>
      <c r="AB38" s="272">
        <f>_xlfn.IFNA(VLOOKUP($D$1,Reach!$A$3:$U$105,17,FALSE)/1000,"")</f>
        <v>300.01799999999997</v>
      </c>
      <c r="AC38" s="252" t="s">
        <v>6024</v>
      </c>
      <c r="AD38" s="249"/>
      <c r="AE38" s="65"/>
      <c r="AF38" s="65"/>
    </row>
    <row r="39" spans="1:32" ht="21" customHeight="1" x14ac:dyDescent="0.25">
      <c r="A39" s="412"/>
      <c r="B39" s="393"/>
      <c r="C39" s="393"/>
      <c r="D39" s="393"/>
      <c r="E39" s="393"/>
      <c r="F39" s="393"/>
      <c r="G39" s="393"/>
      <c r="H39" s="394"/>
      <c r="I39" s="124"/>
      <c r="J39" s="124"/>
      <c r="K39" s="124"/>
      <c r="L39" s="124"/>
      <c r="M39" s="124"/>
      <c r="N39" s="126"/>
      <c r="O39" s="126"/>
      <c r="P39" s="126"/>
      <c r="Q39" s="126"/>
      <c r="R39" s="126"/>
      <c r="S39" s="126"/>
      <c r="T39" s="126"/>
      <c r="U39" s="126"/>
      <c r="V39" s="126"/>
      <c r="W39" s="126"/>
      <c r="X39" s="184"/>
      <c r="Y39" s="252"/>
      <c r="Z39" s="273"/>
      <c r="AA39" s="253"/>
      <c r="AB39" s="253"/>
      <c r="AC39" s="252" t="s">
        <v>6105</v>
      </c>
      <c r="AD39" s="249"/>
      <c r="AE39" s="65"/>
      <c r="AF39" s="65"/>
    </row>
    <row r="40" spans="1:32" ht="15" customHeight="1" x14ac:dyDescent="0.25">
      <c r="A40" s="412"/>
      <c r="B40" s="393"/>
      <c r="C40" s="393"/>
      <c r="D40" s="393"/>
      <c r="E40" s="393"/>
      <c r="F40" s="393"/>
      <c r="G40" s="393"/>
      <c r="H40" s="394"/>
      <c r="I40" s="124"/>
      <c r="J40" s="124"/>
      <c r="K40" s="124"/>
      <c r="L40" s="124"/>
      <c r="M40" s="124"/>
      <c r="N40" s="126"/>
      <c r="O40" s="126"/>
      <c r="P40" s="126"/>
      <c r="Q40" s="126"/>
      <c r="R40" s="126"/>
      <c r="S40" s="126"/>
      <c r="T40" s="126"/>
      <c r="U40" s="126"/>
      <c r="V40" s="126"/>
      <c r="W40" s="126"/>
      <c r="X40" s="184"/>
      <c r="Y40" s="252"/>
      <c r="Z40" s="273"/>
      <c r="AA40" s="253"/>
      <c r="AB40" s="253"/>
      <c r="AC40" s="252" t="s">
        <v>6457</v>
      </c>
      <c r="AD40" s="249"/>
      <c r="AE40" s="65"/>
      <c r="AF40" s="65"/>
    </row>
    <row r="41" spans="1:32" ht="15" customHeight="1" x14ac:dyDescent="0.25">
      <c r="A41" s="412"/>
      <c r="B41" s="151"/>
      <c r="C41" s="151"/>
      <c r="D41" s="151"/>
      <c r="E41" s="151"/>
      <c r="F41" s="151"/>
      <c r="G41" s="124"/>
      <c r="H41" s="128"/>
      <c r="I41" s="124"/>
      <c r="J41" s="124"/>
      <c r="K41" s="124"/>
      <c r="L41" s="124"/>
      <c r="M41" s="124"/>
      <c r="N41" s="126"/>
      <c r="O41" s="126"/>
      <c r="P41" s="126"/>
      <c r="Q41" s="126"/>
      <c r="R41" s="126"/>
      <c r="S41" s="126"/>
      <c r="T41" s="126"/>
      <c r="U41" s="126"/>
      <c r="V41" s="126"/>
      <c r="W41" s="126"/>
      <c r="X41" s="184"/>
      <c r="Y41" s="252"/>
      <c r="Z41" s="252"/>
      <c r="AA41" s="253"/>
      <c r="AB41" s="253"/>
      <c r="AC41" s="252" t="s">
        <v>6805</v>
      </c>
      <c r="AD41" s="249"/>
      <c r="AE41" s="65"/>
      <c r="AF41" s="65"/>
    </row>
    <row r="42" spans="1:32" ht="15" customHeight="1" x14ac:dyDescent="0.25">
      <c r="A42" s="412">
        <f t="shared" ref="A42" si="1">IFERROR(AA42*1000,"")</f>
        <v>687735</v>
      </c>
      <c r="B42" s="393" t="str">
        <f>IFERROR(IF(Z42=0,"No projects working on Food &amp; Nutrition Security &amp; Climate Change Resilience",IF(AA42*1000&gt;1000000,"Reached "&amp;TEXT(ROUND(AA42/1000,1),"#,##0.0_);(#,##0.0)")&amp;"million people to support their food and nutrition security and resilience to climate change","Reached "&amp;TEXT(ROUND(AA42,0),"#,##0_);(#,##0)")&amp;"thousand people to support their food and nutrition security and resilience to climate change")&amp;IF(AB42*1000&gt;1000000,", indirectly benefiting a further "&amp;TEXT(ROUND(AB42/1000,1),"#,##0.0_);(#,##0)")&amp;"million ("&amp;ROUND(Z42,0)&amp;" projects/initiatives)",", indirectly benefiting a further "&amp;TEXT(ROUND(AB42,0),"#,##0_);(#,##0)")&amp;"thousand ("&amp;ROUND(Z42,0)&amp;" projects/initiatives)")),"")</f>
        <v>Reached 688 thousand people to support their food and nutrition security and resilience to climate change, indirectly benefiting a further 1.3 million (22 projects/initiatives)</v>
      </c>
      <c r="C42" s="393"/>
      <c r="D42" s="393"/>
      <c r="E42" s="393"/>
      <c r="F42" s="393"/>
      <c r="G42" s="393"/>
      <c r="H42" s="394"/>
      <c r="I42" s="124"/>
      <c r="J42" s="124"/>
      <c r="K42" s="124"/>
      <c r="L42" s="124"/>
      <c r="M42" s="124"/>
      <c r="N42" s="126"/>
      <c r="O42" s="126"/>
      <c r="P42" s="126"/>
      <c r="Q42" s="126"/>
      <c r="R42" s="126"/>
      <c r="S42" s="126"/>
      <c r="T42" s="126"/>
      <c r="U42" s="126"/>
      <c r="V42" s="126"/>
      <c r="W42" s="126"/>
      <c r="X42" s="184"/>
      <c r="Y42" s="252" t="s">
        <v>14375</v>
      </c>
      <c r="Z42" s="271">
        <f>_xlfn.IFNA(VLOOKUP($D$1,Reach!$A$3:$U$105,15,FALSE),"")</f>
        <v>22</v>
      </c>
      <c r="AA42" s="272">
        <f>_xlfn.IFNA(VLOOKUP($D$1,Reach!$A$3:$U$105,13,FALSE)/1000,"")</f>
        <v>687.73500000000001</v>
      </c>
      <c r="AB42" s="272">
        <f>_xlfn.IFNA(VLOOKUP($D$1,Reach!$A$3:$U$105,14,FALSE)/1000,"")</f>
        <v>1332.741</v>
      </c>
      <c r="AC42" s="252" t="s">
        <v>6850</v>
      </c>
      <c r="AD42" s="249"/>
      <c r="AE42" s="65"/>
      <c r="AF42" s="65"/>
    </row>
    <row r="43" spans="1:32" ht="23.45" customHeight="1" x14ac:dyDescent="0.25">
      <c r="A43" s="412"/>
      <c r="B43" s="393"/>
      <c r="C43" s="393"/>
      <c r="D43" s="393"/>
      <c r="E43" s="393"/>
      <c r="F43" s="393"/>
      <c r="G43" s="393"/>
      <c r="H43" s="394"/>
      <c r="I43" s="124"/>
      <c r="J43" s="124"/>
      <c r="K43" s="124"/>
      <c r="L43" s="124"/>
      <c r="M43" s="124"/>
      <c r="N43" s="126"/>
      <c r="O43" s="126"/>
      <c r="P43" s="126"/>
      <c r="Q43" s="126"/>
      <c r="R43" s="126"/>
      <c r="S43" s="126"/>
      <c r="T43" s="126"/>
      <c r="U43" s="126"/>
      <c r="V43" s="126"/>
      <c r="W43" s="126"/>
      <c r="X43" s="184"/>
      <c r="Y43" s="252"/>
      <c r="Z43" s="273"/>
      <c r="AA43" s="253"/>
      <c r="AB43" s="253"/>
      <c r="AC43" s="252" t="s">
        <v>7083</v>
      </c>
      <c r="AD43" s="249"/>
      <c r="AE43" s="65"/>
      <c r="AF43" s="65"/>
    </row>
    <row r="44" spans="1:32" ht="15" customHeight="1" x14ac:dyDescent="0.25">
      <c r="A44" s="412"/>
      <c r="B44" s="393"/>
      <c r="C44" s="393"/>
      <c r="D44" s="393"/>
      <c r="E44" s="393"/>
      <c r="F44" s="393"/>
      <c r="G44" s="393"/>
      <c r="H44" s="394"/>
      <c r="I44" s="124"/>
      <c r="J44" s="124"/>
      <c r="K44" s="124"/>
      <c r="L44" s="124"/>
      <c r="M44" s="124"/>
      <c r="N44" s="126"/>
      <c r="O44" s="126"/>
      <c r="P44" s="126"/>
      <c r="Q44" s="126"/>
      <c r="R44" s="126"/>
      <c r="S44" s="126"/>
      <c r="T44" s="126"/>
      <c r="U44" s="126"/>
      <c r="V44" s="126"/>
      <c r="W44" s="126"/>
      <c r="X44" s="184"/>
      <c r="Y44" s="252"/>
      <c r="Z44" s="273"/>
      <c r="AA44" s="253"/>
      <c r="AB44" s="253"/>
      <c r="AC44" s="252" t="s">
        <v>7179</v>
      </c>
      <c r="AD44" s="249"/>
      <c r="AE44" s="65"/>
      <c r="AF44" s="65"/>
    </row>
    <row r="45" spans="1:32" ht="15" customHeight="1" x14ac:dyDescent="0.25">
      <c r="A45" s="412"/>
      <c r="B45" s="151"/>
      <c r="C45" s="151"/>
      <c r="D45" s="151"/>
      <c r="E45" s="151"/>
      <c r="F45" s="151"/>
      <c r="G45" s="124"/>
      <c r="H45" s="128"/>
      <c r="I45" s="124"/>
      <c r="J45" s="124"/>
      <c r="K45" s="124"/>
      <c r="L45" s="124"/>
      <c r="M45" s="124"/>
      <c r="N45" s="126"/>
      <c r="O45" s="126"/>
      <c r="P45" s="126"/>
      <c r="Q45" s="126"/>
      <c r="R45" s="126"/>
      <c r="S45" s="126"/>
      <c r="T45" s="126"/>
      <c r="U45" s="126"/>
      <c r="V45" s="126"/>
      <c r="W45" s="126"/>
      <c r="X45" s="184"/>
      <c r="Y45" s="252"/>
      <c r="Z45" s="252"/>
      <c r="AA45" s="253"/>
      <c r="AB45" s="253"/>
      <c r="AC45" s="252" t="s">
        <v>7194</v>
      </c>
      <c r="AD45" s="249"/>
      <c r="AE45" s="65"/>
      <c r="AF45" s="65"/>
    </row>
    <row r="46" spans="1:32" ht="15" customHeight="1" x14ac:dyDescent="0.25">
      <c r="A46" s="412">
        <f t="shared" ref="A46" si="2">IFERROR(AA46*1000,"")</f>
        <v>176293.7</v>
      </c>
      <c r="B46" s="393" t="str">
        <f>IFERROR(IF(Z46=0,"No projects working on Women's Economic Empowerment",IF(AA46*1000&gt;1000000,"Reached "&amp;TEXT(ROUND(AA46/1000,1),"#,##0.0_);(#,##0.0)")&amp;"million women and girls to promote their access to and control of economic resources","Reached "&amp;TEXT(ROUND(AA46,0),"#,##0_);(#,##0)")&amp;"thousand women and girls to promote their access to and control of economic resources")&amp;IF(AB46*1000&gt;1000000,", indirectly benefiting a further "&amp;TEXT(ROUND(AB46/1000,1),"#,##0.0_);(#,##0)")&amp;"million ("&amp;ROUND(Z46,0)&amp;" projects/initiatives)",", indirectly benefiting a further "&amp;TEXT(ROUND(AB46,0),"#,##0_);(#,##0)")&amp;"thousand ("&amp;ROUND(Z46,0)&amp;" projects/initiatives)")),"")</f>
        <v>Reached 176 thousand women and girls to promote their access to and control of economic resources, indirectly benefiting a further 643 thousand (21 projects/initiatives)</v>
      </c>
      <c r="C46" s="393"/>
      <c r="D46" s="393"/>
      <c r="E46" s="393"/>
      <c r="F46" s="393"/>
      <c r="G46" s="393"/>
      <c r="H46" s="394"/>
      <c r="I46" s="124"/>
      <c r="J46" s="124"/>
      <c r="K46" s="124"/>
      <c r="L46" s="124"/>
      <c r="M46" s="124"/>
      <c r="N46" s="126"/>
      <c r="O46" s="126"/>
      <c r="P46" s="126"/>
      <c r="Q46" s="126"/>
      <c r="R46" s="126"/>
      <c r="S46" s="126"/>
      <c r="T46" s="126"/>
      <c r="U46" s="126"/>
      <c r="V46" s="126"/>
      <c r="W46" s="126"/>
      <c r="X46" s="184"/>
      <c r="Y46" s="252" t="s">
        <v>14377</v>
      </c>
      <c r="Z46" s="271">
        <f>_xlfn.IFNA(VLOOKUP($D$1,Reach!$A$3:$U$105,21,FALSE),"")</f>
        <v>21</v>
      </c>
      <c r="AA46" s="272">
        <f>_xlfn.IFNA(VLOOKUP($D$1,Reach!$A$3:$U$105,19,FALSE)/1000,"")</f>
        <v>176.2937</v>
      </c>
      <c r="AB46" s="272">
        <f>_xlfn.IFNA(VLOOKUP($D$1,Reach!$A$3:$U$105,20,FALSE)/1000,"")</f>
        <v>643.13324999999998</v>
      </c>
      <c r="AC46" s="252" t="s">
        <v>7216</v>
      </c>
      <c r="AD46" s="249"/>
      <c r="AE46" s="65"/>
      <c r="AF46" s="65"/>
    </row>
    <row r="47" spans="1:32" ht="21.6" customHeight="1" x14ac:dyDescent="0.25">
      <c r="A47" s="412"/>
      <c r="B47" s="393"/>
      <c r="C47" s="393"/>
      <c r="D47" s="393"/>
      <c r="E47" s="393"/>
      <c r="F47" s="393"/>
      <c r="G47" s="393"/>
      <c r="H47" s="394"/>
      <c r="I47" s="124"/>
      <c r="J47" s="124"/>
      <c r="K47" s="124"/>
      <c r="L47" s="124"/>
      <c r="M47" s="124"/>
      <c r="N47" s="126"/>
      <c r="O47" s="126"/>
      <c r="P47" s="126"/>
      <c r="Q47" s="126"/>
      <c r="R47" s="126"/>
      <c r="S47" s="126"/>
      <c r="T47" s="126"/>
      <c r="U47" s="126"/>
      <c r="V47" s="126"/>
      <c r="W47" s="126"/>
      <c r="X47" s="184"/>
      <c r="Y47" s="252"/>
      <c r="Z47" s="252"/>
      <c r="AA47" s="253"/>
      <c r="AB47" s="253"/>
      <c r="AC47" s="252" t="s">
        <v>7451</v>
      </c>
      <c r="AD47" s="249"/>
      <c r="AE47" s="65"/>
      <c r="AF47" s="65"/>
    </row>
    <row r="48" spans="1:32" ht="15" customHeight="1" x14ac:dyDescent="0.25">
      <c r="A48" s="412"/>
      <c r="B48" s="393"/>
      <c r="C48" s="393"/>
      <c r="D48" s="393"/>
      <c r="E48" s="393"/>
      <c r="F48" s="393"/>
      <c r="G48" s="393"/>
      <c r="H48" s="394"/>
      <c r="I48" s="124"/>
      <c r="J48" s="124"/>
      <c r="K48" s="124"/>
      <c r="L48" s="124"/>
      <c r="M48" s="124"/>
      <c r="N48" s="126"/>
      <c r="O48" s="126"/>
      <c r="P48" s="126"/>
      <c r="Q48" s="126"/>
      <c r="R48" s="126"/>
      <c r="S48" s="126"/>
      <c r="T48" s="126"/>
      <c r="U48" s="126"/>
      <c r="V48" s="126"/>
      <c r="W48" s="126"/>
      <c r="X48" s="184"/>
      <c r="Y48" s="252"/>
      <c r="Z48" s="252"/>
      <c r="AA48" s="253"/>
      <c r="AB48" s="253"/>
      <c r="AC48" s="252" t="s">
        <v>7835</v>
      </c>
      <c r="AD48" s="249"/>
      <c r="AE48" s="65"/>
      <c r="AF48" s="65"/>
    </row>
    <row r="49" spans="1:32" ht="15" customHeight="1" x14ac:dyDescent="0.25">
      <c r="A49" s="412"/>
      <c r="B49" s="151"/>
      <c r="C49" s="151"/>
      <c r="D49" s="151"/>
      <c r="E49" s="151"/>
      <c r="F49" s="151"/>
      <c r="G49" s="124"/>
      <c r="H49" s="128"/>
      <c r="I49" s="124"/>
      <c r="J49" s="124"/>
      <c r="K49" s="124"/>
      <c r="L49" s="124"/>
      <c r="M49" s="124"/>
      <c r="N49" s="126"/>
      <c r="O49" s="126"/>
      <c r="P49" s="126"/>
      <c r="Q49" s="126"/>
      <c r="R49" s="126"/>
      <c r="S49" s="126"/>
      <c r="T49" s="126"/>
      <c r="U49" s="126"/>
      <c r="V49" s="126"/>
      <c r="W49" s="126"/>
      <c r="X49" s="184"/>
      <c r="Y49" s="252"/>
      <c r="Z49" s="252"/>
      <c r="AA49" s="253"/>
      <c r="AB49" s="253"/>
      <c r="AC49" s="252" t="s">
        <v>8138</v>
      </c>
      <c r="AD49" s="249"/>
      <c r="AE49" s="65"/>
      <c r="AF49" s="65"/>
    </row>
    <row r="50" spans="1:32" ht="14.45" customHeight="1" x14ac:dyDescent="0.25">
      <c r="A50" s="127"/>
      <c r="B50" s="124"/>
      <c r="C50" s="124"/>
      <c r="D50" s="124"/>
      <c r="E50" s="124"/>
      <c r="F50" s="124"/>
      <c r="G50" s="124"/>
      <c r="H50" s="128"/>
      <c r="I50" s="124"/>
      <c r="J50" s="124"/>
      <c r="K50" s="124"/>
      <c r="L50" s="124"/>
      <c r="M50" s="124"/>
      <c r="N50" s="124"/>
      <c r="O50" s="124"/>
      <c r="P50" s="124"/>
      <c r="Q50" s="124"/>
      <c r="R50" s="124"/>
      <c r="S50" s="124"/>
      <c r="T50" s="124"/>
      <c r="U50" s="124"/>
      <c r="V50" s="124"/>
      <c r="W50" s="124"/>
      <c r="X50" s="128"/>
      <c r="Y50" s="252"/>
      <c r="Z50" s="252"/>
      <c r="AA50" s="253"/>
      <c r="AB50" s="253"/>
      <c r="AC50" s="252" t="s">
        <v>8140</v>
      </c>
      <c r="AD50" s="249"/>
      <c r="AE50" s="65"/>
      <c r="AF50" s="65"/>
    </row>
    <row r="51" spans="1:32" ht="15" customHeight="1" thickBot="1" x14ac:dyDescent="0.3">
      <c r="A51" s="193"/>
      <c r="B51" s="130"/>
      <c r="C51" s="130"/>
      <c r="D51" s="130"/>
      <c r="E51" s="130"/>
      <c r="F51" s="130"/>
      <c r="G51" s="130"/>
      <c r="H51" s="131"/>
      <c r="I51" s="130"/>
      <c r="J51" s="130"/>
      <c r="K51" s="130"/>
      <c r="L51" s="130"/>
      <c r="M51" s="130"/>
      <c r="N51" s="130"/>
      <c r="O51" s="130"/>
      <c r="P51" s="130"/>
      <c r="Q51" s="130"/>
      <c r="R51" s="130"/>
      <c r="S51" s="130"/>
      <c r="T51" s="130"/>
      <c r="U51" s="130"/>
      <c r="V51" s="130"/>
      <c r="W51" s="130"/>
      <c r="X51" s="131"/>
      <c r="Y51" s="252"/>
      <c r="Z51" s="252"/>
      <c r="AA51" s="253"/>
      <c r="AB51" s="253"/>
      <c r="AC51" s="252" t="s">
        <v>8180</v>
      </c>
      <c r="AD51" s="249"/>
      <c r="AE51" s="65"/>
      <c r="AF51" s="65"/>
    </row>
    <row r="52" spans="1:32" x14ac:dyDescent="0.25">
      <c r="A52" s="124"/>
      <c r="B52" s="124"/>
      <c r="C52" s="124"/>
      <c r="D52" s="124"/>
      <c r="E52" s="124"/>
      <c r="F52" s="124"/>
      <c r="G52" s="124"/>
      <c r="H52" s="124"/>
      <c r="I52" s="124"/>
      <c r="J52" s="124"/>
      <c r="K52" s="124"/>
      <c r="L52" s="124"/>
      <c r="M52" s="124"/>
      <c r="N52" s="124"/>
      <c r="O52" s="124"/>
      <c r="P52" s="124"/>
      <c r="Q52" s="124"/>
      <c r="R52" s="124"/>
      <c r="S52" s="124"/>
      <c r="T52" s="124"/>
      <c r="U52" s="124"/>
      <c r="V52" s="124"/>
      <c r="W52" s="124"/>
      <c r="X52" s="124"/>
      <c r="Y52" s="252"/>
      <c r="Z52" s="252"/>
      <c r="AA52" s="253"/>
      <c r="AB52" s="253"/>
      <c r="AC52" s="252" t="s">
        <v>8265</v>
      </c>
      <c r="AD52" s="249"/>
      <c r="AE52" s="65"/>
      <c r="AF52" s="65"/>
    </row>
    <row r="53" spans="1:32" x14ac:dyDescent="0.25">
      <c r="A53" s="124"/>
      <c r="B53" s="124"/>
      <c r="C53" s="124"/>
      <c r="D53" s="124"/>
      <c r="E53" s="124"/>
      <c r="F53" s="124"/>
      <c r="G53" s="124"/>
      <c r="H53" s="124"/>
      <c r="I53" s="124"/>
      <c r="J53" s="124"/>
      <c r="K53" s="124"/>
      <c r="L53" s="124"/>
      <c r="M53" s="124"/>
      <c r="N53" s="124"/>
      <c r="O53" s="124"/>
      <c r="P53" s="124"/>
      <c r="Q53" s="124"/>
      <c r="R53" s="124"/>
      <c r="S53" s="124"/>
      <c r="T53" s="124"/>
      <c r="U53" s="124"/>
      <c r="V53" s="124"/>
      <c r="W53" s="124"/>
      <c r="X53" s="124"/>
      <c r="Y53" s="252"/>
      <c r="Z53" s="252"/>
      <c r="AA53" s="253"/>
      <c r="AB53" s="253"/>
      <c r="AC53" s="252" t="s">
        <v>8444</v>
      </c>
      <c r="AD53" s="249"/>
      <c r="AE53" s="65"/>
      <c r="AF53" s="65"/>
    </row>
    <row r="54" spans="1:32" x14ac:dyDescent="0.25">
      <c r="A54" s="124"/>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252"/>
      <c r="Z54" s="252"/>
      <c r="AA54" s="253"/>
      <c r="AB54" s="253"/>
      <c r="AC54" s="252" t="s">
        <v>8647</v>
      </c>
      <c r="AD54" s="249"/>
      <c r="AE54" s="65"/>
      <c r="AF54" s="65"/>
    </row>
    <row r="55" spans="1:32" x14ac:dyDescent="0.25">
      <c r="A55" s="124"/>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252"/>
      <c r="Z55" s="252"/>
      <c r="AA55" s="253"/>
      <c r="AB55" s="253"/>
      <c r="AC55" s="252" t="s">
        <v>9020</v>
      </c>
      <c r="AD55" s="249"/>
      <c r="AE55" s="65"/>
      <c r="AF55" s="65"/>
    </row>
    <row r="56" spans="1:32" x14ac:dyDescent="0.25">
      <c r="A56" s="124"/>
      <c r="B56" s="124"/>
      <c r="C56" s="124"/>
      <c r="D56" s="124"/>
      <c r="E56" s="124"/>
      <c r="F56" s="124"/>
      <c r="G56" s="124"/>
      <c r="H56" s="124"/>
      <c r="I56" s="124"/>
      <c r="J56" s="124"/>
      <c r="K56" s="124"/>
      <c r="L56" s="124"/>
      <c r="M56" s="124"/>
      <c r="N56" s="124"/>
      <c r="O56" s="124"/>
      <c r="P56" s="124"/>
      <c r="Q56" s="124"/>
      <c r="R56" s="124"/>
      <c r="S56" s="124"/>
      <c r="T56" s="124"/>
      <c r="U56" s="124"/>
      <c r="V56" s="124"/>
      <c r="W56" s="124"/>
      <c r="X56" s="124"/>
      <c r="Y56" s="252"/>
      <c r="Z56" s="252"/>
      <c r="AA56" s="253"/>
      <c r="AB56" s="253"/>
      <c r="AC56" s="252" t="s">
        <v>9042</v>
      </c>
      <c r="AD56" s="249"/>
      <c r="AE56" s="65"/>
      <c r="AF56" s="65"/>
    </row>
    <row r="57" spans="1:32" ht="17.45" customHeight="1" x14ac:dyDescent="0.25">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252"/>
      <c r="Z57" s="252"/>
      <c r="AA57" s="253"/>
      <c r="AB57" s="253"/>
      <c r="AC57" s="252" t="s">
        <v>9043</v>
      </c>
      <c r="AD57" s="249"/>
      <c r="AE57" s="65"/>
      <c r="AF57" s="65"/>
    </row>
    <row r="58" spans="1:32" x14ac:dyDescent="0.25">
      <c r="A58" s="124"/>
      <c r="B58" s="124"/>
      <c r="C58" s="124"/>
      <c r="D58" s="124"/>
      <c r="E58" s="124"/>
      <c r="F58" s="124"/>
      <c r="G58" s="124"/>
      <c r="H58" s="124"/>
      <c r="I58" s="124"/>
      <c r="J58" s="124"/>
      <c r="K58" s="124"/>
      <c r="L58" s="124"/>
      <c r="M58" s="124"/>
      <c r="N58" s="124"/>
      <c r="O58" s="124"/>
      <c r="P58" s="124"/>
      <c r="Q58" s="124"/>
      <c r="R58" s="124"/>
      <c r="S58" s="124"/>
      <c r="T58" s="124"/>
      <c r="U58" s="124"/>
      <c r="V58" s="124"/>
      <c r="W58" s="124"/>
      <c r="X58" s="124"/>
      <c r="Y58" s="252"/>
      <c r="Z58" s="252"/>
      <c r="AA58" s="253"/>
      <c r="AB58" s="253"/>
      <c r="AC58" s="252" t="s">
        <v>9409</v>
      </c>
      <c r="AD58" s="249"/>
      <c r="AE58" s="65"/>
      <c r="AF58" s="65"/>
    </row>
    <row r="59" spans="1:32" x14ac:dyDescent="0.25">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252"/>
      <c r="Z59" s="252"/>
      <c r="AA59" s="253"/>
      <c r="AB59" s="253"/>
      <c r="AC59" s="252" t="s">
        <v>9427</v>
      </c>
      <c r="AD59" s="249"/>
      <c r="AE59" s="65"/>
      <c r="AF59" s="65"/>
    </row>
    <row r="60" spans="1:32" x14ac:dyDescent="0.25">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252"/>
      <c r="Z60" s="252"/>
      <c r="AA60" s="253"/>
      <c r="AB60" s="253"/>
      <c r="AC60" s="252" t="s">
        <v>9514</v>
      </c>
      <c r="AD60" s="249"/>
      <c r="AE60" s="65"/>
      <c r="AF60" s="65"/>
    </row>
    <row r="61" spans="1:32" x14ac:dyDescent="0.25">
      <c r="A61" s="124"/>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252"/>
      <c r="Z61" s="252"/>
      <c r="AA61" s="253"/>
      <c r="AB61" s="253"/>
      <c r="AC61" s="252" t="s">
        <v>9516</v>
      </c>
      <c r="AD61" s="249"/>
      <c r="AE61" s="65"/>
      <c r="AF61" s="65"/>
    </row>
    <row r="62" spans="1:32" x14ac:dyDescent="0.25">
      <c r="A62" s="124"/>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252"/>
      <c r="Z62" s="252"/>
      <c r="AA62" s="253"/>
      <c r="AB62" s="253"/>
      <c r="AC62" s="252" t="s">
        <v>9706</v>
      </c>
      <c r="AD62" s="249"/>
      <c r="AE62" s="65"/>
      <c r="AF62" s="65"/>
    </row>
    <row r="63" spans="1:32" x14ac:dyDescent="0.25">
      <c r="A63" s="124"/>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252"/>
      <c r="Z63" s="252"/>
      <c r="AA63" s="253"/>
      <c r="AB63" s="253"/>
      <c r="AC63" s="252" t="s">
        <v>10263</v>
      </c>
      <c r="AD63" s="249"/>
      <c r="AE63" s="65"/>
      <c r="AF63" s="65"/>
    </row>
    <row r="64" spans="1:32" x14ac:dyDescent="0.25">
      <c r="A64" s="124"/>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252"/>
      <c r="Z64" s="252"/>
      <c r="AA64" s="253"/>
      <c r="AB64" s="253"/>
      <c r="AC64" s="252" t="s">
        <v>10350</v>
      </c>
      <c r="AD64" s="249"/>
      <c r="AE64" s="65"/>
      <c r="AF64" s="65"/>
    </row>
    <row r="65" spans="1:32" x14ac:dyDescent="0.25">
      <c r="A65" s="124"/>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252"/>
      <c r="Z65" s="252"/>
      <c r="AA65" s="253"/>
      <c r="AB65" s="253"/>
      <c r="AC65" s="252" t="s">
        <v>10371</v>
      </c>
      <c r="AD65" s="249"/>
      <c r="AE65" s="65"/>
      <c r="AF65" s="65"/>
    </row>
    <row r="66" spans="1:32" x14ac:dyDescent="0.25">
      <c r="A66" s="124"/>
      <c r="B66" s="124"/>
      <c r="C66" s="124"/>
      <c r="D66" s="124"/>
      <c r="E66" s="124"/>
      <c r="F66" s="124"/>
      <c r="G66" s="124"/>
      <c r="H66" s="124"/>
      <c r="I66" s="124"/>
      <c r="J66" s="124"/>
      <c r="K66" s="124"/>
      <c r="L66" s="124"/>
      <c r="M66" s="124"/>
      <c r="N66" s="124"/>
      <c r="O66" s="124"/>
      <c r="P66" s="124"/>
      <c r="Q66" s="124"/>
      <c r="R66" s="124"/>
      <c r="S66" s="124"/>
      <c r="T66" s="124"/>
      <c r="U66" s="124"/>
      <c r="V66" s="124"/>
      <c r="W66" s="124"/>
      <c r="X66" s="124"/>
      <c r="Y66" s="252"/>
      <c r="Z66" s="252"/>
      <c r="AA66" s="253"/>
      <c r="AB66" s="253"/>
      <c r="AC66" s="252" t="s">
        <v>10558</v>
      </c>
      <c r="AD66" s="249"/>
      <c r="AE66" s="65"/>
      <c r="AF66" s="65"/>
    </row>
    <row r="67" spans="1:32" x14ac:dyDescent="0.25">
      <c r="A67" s="124"/>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252"/>
      <c r="Z67" s="252"/>
      <c r="AA67" s="253"/>
      <c r="AB67" s="253"/>
      <c r="AC67" s="252" t="s">
        <v>10594</v>
      </c>
      <c r="AD67" s="249"/>
      <c r="AE67" s="65"/>
      <c r="AF67" s="65"/>
    </row>
    <row r="68" spans="1:32" x14ac:dyDescent="0.25">
      <c r="A68" s="124"/>
      <c r="B68" s="124"/>
      <c r="C68" s="124"/>
      <c r="D68" s="124"/>
      <c r="E68" s="124"/>
      <c r="F68" s="124"/>
      <c r="G68" s="124"/>
      <c r="H68" s="124"/>
      <c r="I68" s="124"/>
      <c r="J68" s="124"/>
      <c r="K68" s="124"/>
      <c r="L68" s="124"/>
      <c r="M68" s="124"/>
      <c r="N68" s="124"/>
      <c r="O68" s="124"/>
      <c r="P68" s="124"/>
      <c r="Q68" s="124"/>
      <c r="R68" s="124"/>
      <c r="S68" s="124"/>
      <c r="T68" s="124"/>
      <c r="U68" s="124"/>
      <c r="V68" s="124"/>
      <c r="W68" s="124"/>
      <c r="X68" s="124"/>
      <c r="Y68" s="252"/>
      <c r="Z68" s="252"/>
      <c r="AA68" s="253"/>
      <c r="AB68" s="253"/>
      <c r="AC68" s="252" t="s">
        <v>10685</v>
      </c>
      <c r="AD68" s="249"/>
      <c r="AE68" s="65"/>
      <c r="AF68" s="65"/>
    </row>
    <row r="69" spans="1:32" ht="13.5" thickBot="1" x14ac:dyDescent="0.3">
      <c r="A69" s="124"/>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252"/>
      <c r="Z69" s="252"/>
      <c r="AA69" s="253"/>
      <c r="AB69" s="253"/>
      <c r="AC69" s="252" t="s">
        <v>11102</v>
      </c>
      <c r="AD69" s="249"/>
      <c r="AE69" s="65"/>
      <c r="AF69" s="65"/>
    </row>
    <row r="70" spans="1:32" ht="14.45" customHeight="1" x14ac:dyDescent="0.25">
      <c r="A70" s="194"/>
      <c r="B70" s="195"/>
      <c r="C70" s="195"/>
      <c r="D70" s="195"/>
      <c r="E70" s="196"/>
      <c r="F70" s="194"/>
      <c r="G70" s="195"/>
      <c r="H70" s="195"/>
      <c r="I70" s="195"/>
      <c r="J70" s="195"/>
      <c r="K70" s="195"/>
      <c r="L70" s="196"/>
      <c r="M70" s="194"/>
      <c r="N70" s="195"/>
      <c r="O70" s="195"/>
      <c r="P70" s="195"/>
      <c r="Q70" s="195"/>
      <c r="R70" s="195"/>
      <c r="S70" s="195"/>
      <c r="T70" s="195"/>
      <c r="U70" s="195"/>
      <c r="V70" s="195"/>
      <c r="W70" s="195"/>
      <c r="X70" s="196"/>
      <c r="Y70" s="252"/>
      <c r="Z70" s="252"/>
      <c r="AA70" s="253"/>
      <c r="AB70" s="253"/>
      <c r="AC70" s="252" t="s">
        <v>11104</v>
      </c>
      <c r="AD70" s="249"/>
      <c r="AE70" s="65"/>
      <c r="AF70" s="65"/>
    </row>
    <row r="71" spans="1:32" ht="12.6" customHeight="1" x14ac:dyDescent="0.25">
      <c r="A71" s="408" t="str">
        <f>IFERROR(ROUND(C117*100,0)&amp;"% of projects responded to the different needs and constraints of individuals based on their gender, but did little to change larger contextual issues that lie at the root of gender inequality. Only "&amp;ROUND(C115*100,0)&amp;"% of projects are gender transformative","")</f>
        <v>45% of projects responded to the different needs and constraints of individuals based on their gender, but did little to change larger contextual issues that lie at the root of gender inequality. Only 20% of projects are gender transformative</v>
      </c>
      <c r="B71" s="409"/>
      <c r="C71" s="409"/>
      <c r="D71" s="409"/>
      <c r="E71" s="197"/>
      <c r="F71" s="408" t="str">
        <f>IFERROR(ROUND(C124*100,0)&amp;"% of projects worked to make existing institutions and power relations more inclusive, but without significantly challenging and changing power dynamics. Only "&amp;ROUND(C122*100,0)&amp;"% of projects are transformational in terms of inclusive governance","")</f>
        <v>80% of projects worked to make existing institutions and power relations more inclusive, but without significantly challenging and changing power dynamics. Only 6% of projects are transformational in terms of inclusive governance</v>
      </c>
      <c r="G71" s="409"/>
      <c r="H71" s="409"/>
      <c r="I71" s="409"/>
      <c r="J71" s="409"/>
      <c r="K71" s="409"/>
      <c r="L71" s="197"/>
      <c r="M71" s="408" t="str">
        <f>IFERROR(ROUND(SUM(C131)*100,0)&amp;"% of projects addressed the resilience of individuals and communities, but without tackling the underlying causes of the risks they face. Only "&amp;ROUND(C129*100,0)&amp;"% of projects are transformative in terms of resilience","")</f>
        <v>29% of projects addressed the resilience of individuals and communities, but without tackling the underlying causes of the risks they face. Only 16% of projects are transformative in terms of resilience</v>
      </c>
      <c r="N71" s="409"/>
      <c r="O71" s="409"/>
      <c r="P71" s="409"/>
      <c r="Q71" s="409"/>
      <c r="R71" s="409"/>
      <c r="S71" s="409"/>
      <c r="T71" s="409"/>
      <c r="U71" s="409"/>
      <c r="V71" s="409"/>
      <c r="W71" s="198"/>
      <c r="X71" s="184"/>
      <c r="Y71" s="252"/>
      <c r="Z71" s="252"/>
      <c r="AA71" s="253"/>
      <c r="AB71" s="253"/>
      <c r="AC71" s="252" t="s">
        <v>11304</v>
      </c>
      <c r="AD71" s="249"/>
      <c r="AE71" s="65"/>
      <c r="AF71" s="65"/>
    </row>
    <row r="72" spans="1:32" ht="26.1" customHeight="1" x14ac:dyDescent="0.25">
      <c r="A72" s="408"/>
      <c r="B72" s="409"/>
      <c r="C72" s="409"/>
      <c r="D72" s="409"/>
      <c r="E72" s="197"/>
      <c r="F72" s="408"/>
      <c r="G72" s="409"/>
      <c r="H72" s="409"/>
      <c r="I72" s="409"/>
      <c r="J72" s="409"/>
      <c r="K72" s="409"/>
      <c r="L72" s="197"/>
      <c r="M72" s="408"/>
      <c r="N72" s="409"/>
      <c r="O72" s="409"/>
      <c r="P72" s="409"/>
      <c r="Q72" s="409"/>
      <c r="R72" s="409"/>
      <c r="S72" s="409"/>
      <c r="T72" s="409"/>
      <c r="U72" s="409"/>
      <c r="V72" s="409"/>
      <c r="W72" s="198"/>
      <c r="X72" s="184"/>
      <c r="Y72" s="252"/>
      <c r="Z72" s="252"/>
      <c r="AA72" s="253"/>
      <c r="AB72" s="253"/>
      <c r="AC72" s="252" t="s">
        <v>11417</v>
      </c>
      <c r="AD72" s="249"/>
      <c r="AE72" s="65"/>
      <c r="AF72" s="65"/>
    </row>
    <row r="73" spans="1:32" ht="42.6" customHeight="1" x14ac:dyDescent="0.25">
      <c r="A73" s="408"/>
      <c r="B73" s="409"/>
      <c r="C73" s="409"/>
      <c r="D73" s="409"/>
      <c r="E73" s="197"/>
      <c r="F73" s="408"/>
      <c r="G73" s="409"/>
      <c r="H73" s="409"/>
      <c r="I73" s="409"/>
      <c r="J73" s="409"/>
      <c r="K73" s="409"/>
      <c r="L73" s="197"/>
      <c r="M73" s="408"/>
      <c r="N73" s="409"/>
      <c r="O73" s="409"/>
      <c r="P73" s="409"/>
      <c r="Q73" s="409"/>
      <c r="R73" s="409"/>
      <c r="S73" s="409"/>
      <c r="T73" s="409"/>
      <c r="U73" s="409"/>
      <c r="V73" s="409"/>
      <c r="W73" s="198"/>
      <c r="X73" s="184"/>
      <c r="Y73" s="252"/>
      <c r="Z73" s="252"/>
      <c r="AA73" s="253"/>
      <c r="AB73" s="253"/>
      <c r="AC73" s="252" t="s">
        <v>11664</v>
      </c>
      <c r="AD73" s="249"/>
      <c r="AE73" s="65"/>
      <c r="AF73" s="65"/>
    </row>
    <row r="74" spans="1:32" ht="12.6" customHeight="1" thickBot="1" x14ac:dyDescent="0.3">
      <c r="A74" s="410"/>
      <c r="B74" s="411"/>
      <c r="C74" s="411"/>
      <c r="D74" s="411"/>
      <c r="E74" s="199"/>
      <c r="F74" s="410"/>
      <c r="G74" s="411"/>
      <c r="H74" s="411"/>
      <c r="I74" s="411"/>
      <c r="J74" s="411"/>
      <c r="K74" s="411"/>
      <c r="L74" s="131"/>
      <c r="M74" s="410"/>
      <c r="N74" s="411"/>
      <c r="O74" s="411"/>
      <c r="P74" s="411"/>
      <c r="Q74" s="411"/>
      <c r="R74" s="411"/>
      <c r="S74" s="411"/>
      <c r="T74" s="411"/>
      <c r="U74" s="411"/>
      <c r="V74" s="411"/>
      <c r="W74" s="200"/>
      <c r="X74" s="201"/>
      <c r="Y74" s="252"/>
      <c r="Z74" s="252"/>
      <c r="AA74" s="253"/>
      <c r="AB74" s="253"/>
      <c r="AC74" s="252" t="s">
        <v>11693</v>
      </c>
      <c r="AD74" s="249"/>
      <c r="AE74" s="65"/>
      <c r="AF74" s="65"/>
    </row>
    <row r="75" spans="1:32" ht="12.6" customHeight="1" x14ac:dyDescent="0.25">
      <c r="A75" s="124"/>
      <c r="B75" s="124"/>
      <c r="C75" s="124"/>
      <c r="D75" s="124"/>
      <c r="E75" s="124"/>
      <c r="F75" s="124"/>
      <c r="G75" s="124"/>
      <c r="H75" s="124"/>
      <c r="I75" s="124"/>
      <c r="J75" s="124"/>
      <c r="K75" s="124"/>
      <c r="L75" s="124"/>
      <c r="M75" s="124"/>
      <c r="N75" s="124"/>
      <c r="O75" s="126"/>
      <c r="P75" s="126"/>
      <c r="Q75" s="126"/>
      <c r="R75" s="126"/>
      <c r="S75" s="126"/>
      <c r="T75" s="126"/>
      <c r="U75" s="126"/>
      <c r="V75" s="126"/>
      <c r="W75" s="126"/>
      <c r="X75" s="126"/>
      <c r="Y75" s="252"/>
      <c r="Z75" s="252"/>
      <c r="AA75" s="253"/>
      <c r="AB75" s="253"/>
      <c r="AC75" s="252" t="s">
        <v>12090</v>
      </c>
      <c r="AD75" s="249"/>
      <c r="AE75" s="65"/>
      <c r="AF75" s="65"/>
    </row>
    <row r="76" spans="1:32" ht="17.45" customHeight="1" x14ac:dyDescent="0.25">
      <c r="A76" s="124"/>
      <c r="B76" s="124"/>
      <c r="C76" s="124"/>
      <c r="D76" s="124"/>
      <c r="E76" s="124"/>
      <c r="F76" s="124"/>
      <c r="G76" s="124"/>
      <c r="H76" s="124"/>
      <c r="I76" s="124"/>
      <c r="J76" s="124"/>
      <c r="K76" s="124"/>
      <c r="L76" s="124"/>
      <c r="M76" s="124"/>
      <c r="N76" s="124"/>
      <c r="O76" s="126"/>
      <c r="P76" s="126"/>
      <c r="Q76" s="126"/>
      <c r="R76" s="126"/>
      <c r="S76" s="126"/>
      <c r="T76" s="126"/>
      <c r="U76" s="126"/>
      <c r="V76" s="126"/>
      <c r="W76" s="126"/>
      <c r="X76" s="126"/>
      <c r="Y76" s="252"/>
      <c r="Z76" s="252"/>
      <c r="AA76" s="253"/>
      <c r="AB76" s="253"/>
      <c r="AC76" s="252" t="s">
        <v>12294</v>
      </c>
      <c r="AD76" s="249"/>
      <c r="AE76" s="65"/>
      <c r="AF76" s="65"/>
    </row>
    <row r="77" spans="1:32" ht="17.45" customHeight="1" x14ac:dyDescent="0.25">
      <c r="A77" s="126"/>
      <c r="B77" s="126"/>
      <c r="C77" s="126"/>
      <c r="D77" s="126"/>
      <c r="E77" s="126"/>
      <c r="F77" s="126"/>
      <c r="G77" s="126"/>
      <c r="H77" s="126"/>
      <c r="I77" s="126"/>
      <c r="J77" s="126"/>
      <c r="K77" s="126"/>
      <c r="L77" s="126"/>
      <c r="M77" s="126"/>
      <c r="N77" s="126"/>
      <c r="O77" s="126"/>
      <c r="P77" s="126"/>
      <c r="Q77" s="126"/>
      <c r="R77" s="126"/>
      <c r="S77" s="126"/>
      <c r="T77" s="126"/>
      <c r="U77" s="126"/>
      <c r="V77" s="126"/>
      <c r="W77" s="126"/>
      <c r="X77" s="126"/>
      <c r="Y77" s="252"/>
      <c r="Z77" s="252"/>
      <c r="AA77" s="253"/>
      <c r="AB77" s="253"/>
      <c r="AC77" s="252" t="s">
        <v>12547</v>
      </c>
      <c r="AD77" s="249"/>
      <c r="AE77" s="65"/>
      <c r="AF77" s="65"/>
    </row>
    <row r="78" spans="1:32" x14ac:dyDescent="0.25">
      <c r="A78" s="126"/>
      <c r="B78" s="126"/>
      <c r="C78" s="126"/>
      <c r="D78" s="126"/>
      <c r="E78" s="126"/>
      <c r="F78" s="126"/>
      <c r="G78" s="126"/>
      <c r="H78" s="126"/>
      <c r="I78" s="126"/>
      <c r="J78" s="126"/>
      <c r="K78" s="126"/>
      <c r="L78" s="126"/>
      <c r="M78" s="126"/>
      <c r="N78" s="126"/>
      <c r="O78" s="126"/>
      <c r="P78" s="126"/>
      <c r="Q78" s="126"/>
      <c r="R78" s="126"/>
      <c r="S78" s="126"/>
      <c r="T78" s="126"/>
      <c r="U78" s="126"/>
      <c r="V78" s="126"/>
      <c r="W78" s="126"/>
      <c r="X78" s="126"/>
      <c r="Y78" s="252"/>
      <c r="Z78" s="252"/>
      <c r="AA78" s="253"/>
      <c r="AB78" s="253"/>
      <c r="AC78" s="252" t="s">
        <v>12654</v>
      </c>
      <c r="AD78" s="249"/>
      <c r="AE78" s="65"/>
      <c r="AF78" s="65"/>
    </row>
    <row r="79" spans="1:32" ht="18.600000000000001" customHeight="1" x14ac:dyDescent="0.25">
      <c r="A79" s="126"/>
      <c r="B79" s="126"/>
      <c r="C79" s="126"/>
      <c r="D79" s="126"/>
      <c r="E79" s="126"/>
      <c r="F79" s="126"/>
      <c r="G79" s="126"/>
      <c r="H79" s="126"/>
      <c r="I79" s="126"/>
      <c r="J79" s="126"/>
      <c r="K79" s="126"/>
      <c r="L79" s="126"/>
      <c r="M79" s="126"/>
      <c r="N79" s="126"/>
      <c r="O79" s="126"/>
      <c r="P79" s="126"/>
      <c r="Q79" s="126"/>
      <c r="R79" s="126"/>
      <c r="S79" s="126"/>
      <c r="T79" s="126"/>
      <c r="U79" s="126"/>
      <c r="V79" s="126"/>
      <c r="W79" s="126"/>
      <c r="X79" s="126"/>
      <c r="Y79" s="252"/>
      <c r="Z79" s="252"/>
      <c r="AA79" s="253"/>
      <c r="AB79" s="253"/>
      <c r="AC79" s="252" t="s">
        <v>12694</v>
      </c>
      <c r="AD79" s="249"/>
      <c r="AE79" s="65"/>
      <c r="AF79" s="65"/>
    </row>
    <row r="80" spans="1:32" ht="12.6" customHeight="1" x14ac:dyDescent="0.25">
      <c r="A80" s="126"/>
      <c r="B80" s="126"/>
      <c r="C80" s="126"/>
      <c r="D80" s="126"/>
      <c r="E80" s="126"/>
      <c r="F80" s="126"/>
      <c r="G80" s="126"/>
      <c r="H80" s="126"/>
      <c r="I80" s="126"/>
      <c r="J80" s="126"/>
      <c r="K80" s="126"/>
      <c r="L80" s="126"/>
      <c r="M80" s="126"/>
      <c r="N80" s="126"/>
      <c r="O80" s="126"/>
      <c r="P80" s="126"/>
      <c r="Q80" s="126"/>
      <c r="R80" s="126"/>
      <c r="S80" s="126"/>
      <c r="T80" s="126"/>
      <c r="U80" s="126"/>
      <c r="V80" s="126"/>
      <c r="W80" s="126"/>
      <c r="X80" s="126"/>
      <c r="Y80" s="252"/>
      <c r="Z80" s="252"/>
      <c r="AA80" s="253"/>
      <c r="AB80" s="253"/>
      <c r="AC80" s="252" t="s">
        <v>12907</v>
      </c>
      <c r="AD80" s="249"/>
      <c r="AE80" s="65"/>
      <c r="AF80" s="65"/>
    </row>
    <row r="81" spans="1:32" ht="23.45" customHeight="1" x14ac:dyDescent="0.25">
      <c r="A81" s="126"/>
      <c r="B81" s="126"/>
      <c r="C81" s="126"/>
      <c r="D81" s="126"/>
      <c r="E81" s="126"/>
      <c r="F81" s="126"/>
      <c r="G81" s="126"/>
      <c r="H81" s="126"/>
      <c r="I81" s="126"/>
      <c r="J81" s="126"/>
      <c r="K81" s="126"/>
      <c r="L81" s="126"/>
      <c r="M81" s="126"/>
      <c r="N81" s="126"/>
      <c r="O81" s="126"/>
      <c r="P81" s="126"/>
      <c r="Q81" s="126"/>
      <c r="R81" s="126"/>
      <c r="S81" s="126"/>
      <c r="T81" s="126"/>
      <c r="U81" s="126"/>
      <c r="V81" s="126"/>
      <c r="W81" s="126"/>
      <c r="X81" s="126"/>
      <c r="Y81" s="252"/>
      <c r="Z81" s="252"/>
      <c r="AA81" s="253"/>
      <c r="AB81" s="253"/>
      <c r="AC81" s="252" t="s">
        <v>12969</v>
      </c>
      <c r="AD81" s="249"/>
      <c r="AE81" s="65"/>
      <c r="AF81" s="65"/>
    </row>
    <row r="82" spans="1:32" ht="17.45" customHeight="1" x14ac:dyDescent="0.25">
      <c r="A82" s="126"/>
      <c r="B82" s="126"/>
      <c r="C82" s="126"/>
      <c r="D82" s="126"/>
      <c r="E82" s="126"/>
      <c r="F82" s="126"/>
      <c r="G82" s="126"/>
      <c r="H82" s="126"/>
      <c r="I82" s="126"/>
      <c r="J82" s="126"/>
      <c r="K82" s="126"/>
      <c r="L82" s="126"/>
      <c r="M82" s="126"/>
      <c r="N82" s="126"/>
      <c r="O82" s="126"/>
      <c r="P82" s="126"/>
      <c r="Q82" s="126"/>
      <c r="R82" s="126"/>
      <c r="S82" s="126"/>
      <c r="T82" s="126"/>
      <c r="U82" s="126"/>
      <c r="V82" s="126"/>
      <c r="W82" s="126"/>
      <c r="X82" s="126"/>
      <c r="Y82" s="252"/>
      <c r="Z82" s="252"/>
      <c r="AA82" s="253"/>
      <c r="AB82" s="253"/>
      <c r="AC82" s="252" t="s">
        <v>13272</v>
      </c>
      <c r="AD82" s="249"/>
      <c r="AE82" s="65"/>
      <c r="AF82" s="65"/>
    </row>
    <row r="83" spans="1:32" ht="12.6" customHeight="1" x14ac:dyDescent="0.25">
      <c r="A83" s="126"/>
      <c r="B83" s="126"/>
      <c r="C83" s="126"/>
      <c r="D83" s="126"/>
      <c r="E83" s="126"/>
      <c r="F83" s="126"/>
      <c r="G83" s="126"/>
      <c r="H83" s="126"/>
      <c r="I83" s="126"/>
      <c r="J83" s="126"/>
      <c r="K83" s="126"/>
      <c r="L83" s="126"/>
      <c r="M83" s="126"/>
      <c r="N83" s="126"/>
      <c r="O83" s="126"/>
      <c r="P83" s="126"/>
      <c r="Q83" s="126"/>
      <c r="R83" s="126"/>
      <c r="S83" s="126"/>
      <c r="T83" s="126"/>
      <c r="U83" s="126"/>
      <c r="V83" s="126"/>
      <c r="W83" s="126"/>
      <c r="X83" s="126"/>
      <c r="Y83" s="252"/>
      <c r="Z83" s="252"/>
      <c r="AA83" s="253"/>
      <c r="AB83" s="253"/>
      <c r="AC83" s="252" t="s">
        <v>13409</v>
      </c>
      <c r="AD83" s="249"/>
      <c r="AE83" s="65"/>
      <c r="AF83" s="65"/>
    </row>
    <row r="84" spans="1:32" ht="17.45" customHeight="1" x14ac:dyDescent="0.25">
      <c r="A84" s="126"/>
      <c r="B84" s="126"/>
      <c r="C84" s="126"/>
      <c r="D84" s="126"/>
      <c r="E84" s="126"/>
      <c r="F84" s="126"/>
      <c r="G84" s="126"/>
      <c r="H84" s="126"/>
      <c r="I84" s="126"/>
      <c r="J84" s="126"/>
      <c r="K84" s="126"/>
      <c r="L84" s="126"/>
      <c r="M84" s="126"/>
      <c r="N84" s="126"/>
      <c r="O84" s="126"/>
      <c r="P84" s="126"/>
      <c r="Q84" s="126"/>
      <c r="R84" s="126"/>
      <c r="S84" s="126"/>
      <c r="T84" s="126"/>
      <c r="U84" s="126"/>
      <c r="V84" s="126"/>
      <c r="W84" s="126"/>
      <c r="X84" s="126"/>
      <c r="Y84" s="252"/>
      <c r="Z84" s="252"/>
      <c r="AA84" s="253"/>
      <c r="AB84" s="253"/>
      <c r="AC84" s="252" t="s">
        <v>13710</v>
      </c>
      <c r="AD84" s="249"/>
      <c r="AE84" s="65"/>
      <c r="AF84" s="65"/>
    </row>
    <row r="85" spans="1:32" ht="12.6" customHeight="1" x14ac:dyDescent="0.25">
      <c r="A85" s="126"/>
      <c r="B85" s="126"/>
      <c r="C85" s="126"/>
      <c r="D85" s="126"/>
      <c r="E85" s="126"/>
      <c r="F85" s="126"/>
      <c r="G85" s="126"/>
      <c r="H85" s="126"/>
      <c r="I85" s="126"/>
      <c r="J85" s="126"/>
      <c r="K85" s="126"/>
      <c r="L85" s="126"/>
      <c r="M85" s="126"/>
      <c r="N85" s="126"/>
      <c r="O85" s="126"/>
      <c r="P85" s="126"/>
      <c r="Q85" s="126"/>
      <c r="R85" s="126"/>
      <c r="S85" s="126"/>
      <c r="T85" s="126"/>
      <c r="U85" s="126"/>
      <c r="V85" s="126"/>
      <c r="W85" s="126"/>
      <c r="X85" s="126"/>
      <c r="Y85" s="252"/>
      <c r="Z85" s="252"/>
      <c r="AA85" s="253"/>
      <c r="AB85" s="253"/>
      <c r="AC85" s="252" t="s">
        <v>13783</v>
      </c>
      <c r="AD85" s="249"/>
      <c r="AE85" s="65"/>
      <c r="AF85" s="65"/>
    </row>
    <row r="86" spans="1:32" ht="18.600000000000001" customHeight="1" x14ac:dyDescent="0.25">
      <c r="A86" s="126"/>
      <c r="B86" s="126"/>
      <c r="C86" s="126"/>
      <c r="D86" s="126"/>
      <c r="E86" s="126"/>
      <c r="F86" s="126"/>
      <c r="G86" s="126"/>
      <c r="H86" s="126"/>
      <c r="I86" s="126"/>
      <c r="J86" s="126"/>
      <c r="K86" s="126"/>
      <c r="L86" s="126"/>
      <c r="M86" s="126"/>
      <c r="N86" s="126"/>
      <c r="O86" s="126"/>
      <c r="P86" s="126"/>
      <c r="Q86" s="126"/>
      <c r="R86" s="126"/>
      <c r="S86" s="126"/>
      <c r="T86" s="126"/>
      <c r="U86" s="126"/>
      <c r="V86" s="126"/>
      <c r="W86" s="126"/>
      <c r="X86" s="126"/>
      <c r="Y86" s="252"/>
      <c r="Z86" s="252"/>
      <c r="AA86" s="253"/>
      <c r="AB86" s="253"/>
      <c r="AC86" s="252" t="s">
        <v>13917</v>
      </c>
      <c r="AD86" s="249"/>
      <c r="AE86" s="65"/>
      <c r="AF86" s="65"/>
    </row>
    <row r="87" spans="1:32" ht="17.45" customHeight="1" x14ac:dyDescent="0.25">
      <c r="A87" s="126"/>
      <c r="B87" s="126"/>
      <c r="C87" s="126"/>
      <c r="D87" s="126"/>
      <c r="E87" s="126"/>
      <c r="F87" s="126"/>
      <c r="G87" s="126"/>
      <c r="H87" s="126"/>
      <c r="I87" s="126"/>
      <c r="J87" s="126"/>
      <c r="K87" s="126"/>
      <c r="L87" s="126"/>
      <c r="M87" s="126"/>
      <c r="N87" s="126"/>
      <c r="O87" s="126"/>
      <c r="P87" s="126"/>
      <c r="Q87" s="126"/>
      <c r="R87" s="126"/>
      <c r="S87" s="126"/>
      <c r="T87" s="126"/>
      <c r="U87" s="126"/>
      <c r="V87" s="126"/>
      <c r="W87" s="126"/>
      <c r="X87" s="126"/>
      <c r="Y87" s="252"/>
      <c r="Z87" s="252"/>
      <c r="AA87" s="253"/>
      <c r="AB87" s="253"/>
      <c r="AC87" s="252" t="s">
        <v>14016</v>
      </c>
      <c r="AD87" s="249"/>
      <c r="AE87" s="65"/>
      <c r="AF87" s="65"/>
    </row>
    <row r="88" spans="1:32" x14ac:dyDescent="0.25">
      <c r="A88" s="126"/>
      <c r="B88" s="126"/>
      <c r="C88" s="126"/>
      <c r="D88" s="126"/>
      <c r="E88" s="126"/>
      <c r="F88" s="126"/>
      <c r="G88" s="126"/>
      <c r="H88" s="126"/>
      <c r="I88" s="126"/>
      <c r="J88" s="126"/>
      <c r="K88" s="126"/>
      <c r="L88" s="126"/>
      <c r="M88" s="126"/>
      <c r="N88" s="126"/>
      <c r="O88" s="126"/>
      <c r="P88" s="126"/>
      <c r="Q88" s="126"/>
      <c r="R88" s="126"/>
      <c r="S88" s="126"/>
      <c r="T88" s="126"/>
      <c r="U88" s="126"/>
      <c r="V88" s="126"/>
      <c r="W88" s="126"/>
      <c r="X88" s="126"/>
      <c r="Y88" s="252"/>
      <c r="Z88" s="252"/>
      <c r="AA88" s="253"/>
      <c r="AB88" s="253"/>
      <c r="AC88" s="252"/>
      <c r="AD88" s="249"/>
      <c r="AE88" s="65"/>
      <c r="AF88" s="65"/>
    </row>
    <row r="89" spans="1:32" x14ac:dyDescent="0.25">
      <c r="A89" s="126"/>
      <c r="B89" s="126"/>
      <c r="C89" s="126"/>
      <c r="D89" s="126"/>
      <c r="E89" s="126"/>
      <c r="F89" s="126"/>
      <c r="G89" s="126"/>
      <c r="H89" s="126"/>
      <c r="I89" s="126"/>
      <c r="J89" s="126"/>
      <c r="K89" s="126"/>
      <c r="L89" s="126"/>
      <c r="M89" s="126"/>
      <c r="N89" s="126"/>
      <c r="O89" s="126"/>
      <c r="P89" s="126"/>
      <c r="Q89" s="126"/>
      <c r="R89" s="126"/>
      <c r="S89" s="126"/>
      <c r="T89" s="126"/>
      <c r="U89" s="126"/>
      <c r="V89" s="126"/>
      <c r="W89" s="126"/>
      <c r="X89" s="126"/>
      <c r="Y89" s="252"/>
      <c r="Z89" s="252"/>
      <c r="AA89" s="253"/>
      <c r="AB89" s="253"/>
      <c r="AC89" s="252"/>
      <c r="AD89" s="249"/>
      <c r="AE89" s="65"/>
      <c r="AF89" s="65"/>
    </row>
    <row r="90" spans="1:32" x14ac:dyDescent="0.25">
      <c r="A90" s="126"/>
      <c r="B90" s="126"/>
      <c r="C90" s="126"/>
      <c r="D90" s="126"/>
      <c r="E90" s="126"/>
      <c r="F90" s="126"/>
      <c r="G90" s="126"/>
      <c r="H90" s="126"/>
      <c r="I90" s="126"/>
      <c r="J90" s="126"/>
      <c r="K90" s="126"/>
      <c r="L90" s="126"/>
      <c r="M90" s="126"/>
      <c r="N90" s="126"/>
      <c r="O90" s="126"/>
      <c r="P90" s="126"/>
      <c r="Q90" s="126"/>
      <c r="R90" s="126"/>
      <c r="S90" s="126"/>
      <c r="T90" s="126"/>
      <c r="U90" s="126"/>
      <c r="V90" s="126"/>
      <c r="W90" s="126"/>
      <c r="X90" s="126"/>
      <c r="Y90" s="252"/>
      <c r="Z90" s="252"/>
      <c r="AA90" s="253"/>
      <c r="AB90" s="253"/>
      <c r="AC90" s="252"/>
      <c r="AD90" s="249"/>
      <c r="AE90" s="65"/>
      <c r="AF90" s="65"/>
    </row>
    <row r="91" spans="1:32" ht="17.45" customHeight="1" x14ac:dyDescent="0.25">
      <c r="A91" s="126"/>
      <c r="B91" s="126"/>
      <c r="C91" s="126"/>
      <c r="D91" s="126"/>
      <c r="E91" s="126"/>
      <c r="F91" s="126"/>
      <c r="G91" s="126"/>
      <c r="H91" s="126"/>
      <c r="I91" s="126"/>
      <c r="J91" s="126"/>
      <c r="K91" s="126"/>
      <c r="L91" s="126"/>
      <c r="M91" s="126"/>
      <c r="N91" s="126"/>
      <c r="O91" s="126"/>
      <c r="P91" s="126"/>
      <c r="Q91" s="126"/>
      <c r="R91" s="126"/>
      <c r="S91" s="126"/>
      <c r="T91" s="126"/>
      <c r="U91" s="198"/>
      <c r="V91" s="198"/>
      <c r="W91" s="198"/>
      <c r="X91" s="198"/>
      <c r="Y91" s="252"/>
      <c r="Z91" s="252"/>
      <c r="AA91" s="253"/>
      <c r="AB91" s="253"/>
      <c r="AC91" s="252"/>
      <c r="AD91" s="249"/>
      <c r="AE91" s="65"/>
      <c r="AF91" s="65"/>
    </row>
    <row r="92" spans="1:32" x14ac:dyDescent="0.25">
      <c r="A92" s="124"/>
      <c r="B92" s="124"/>
      <c r="C92" s="124"/>
      <c r="D92" s="124"/>
      <c r="E92" s="124"/>
      <c r="F92" s="124"/>
      <c r="G92" s="124"/>
      <c r="H92" s="124"/>
      <c r="I92" s="124"/>
      <c r="J92" s="124"/>
      <c r="K92" s="124"/>
      <c r="L92" s="124"/>
      <c r="M92" s="124"/>
      <c r="N92" s="126"/>
      <c r="O92" s="126"/>
      <c r="P92" s="126"/>
      <c r="Q92" s="126"/>
      <c r="R92" s="126"/>
      <c r="S92" s="126"/>
      <c r="T92" s="126"/>
      <c r="U92" s="126"/>
      <c r="V92" s="126"/>
      <c r="W92" s="126"/>
      <c r="X92" s="126"/>
      <c r="Y92" s="252"/>
      <c r="Z92" s="252"/>
      <c r="AA92" s="253"/>
      <c r="AB92" s="253"/>
      <c r="AC92" s="252"/>
      <c r="AD92" s="249"/>
      <c r="AE92" s="65"/>
      <c r="AF92" s="65"/>
    </row>
    <row r="93" spans="1:32" ht="12.6" customHeight="1" thickBot="1" x14ac:dyDescent="0.3">
      <c r="A93" s="124"/>
      <c r="B93" s="124"/>
      <c r="C93" s="124"/>
      <c r="D93" s="124"/>
      <c r="E93" s="124"/>
      <c r="F93" s="124"/>
      <c r="G93" s="124"/>
      <c r="H93" s="124"/>
      <c r="I93" s="124"/>
      <c r="J93" s="124"/>
      <c r="K93" s="124"/>
      <c r="L93" s="124"/>
      <c r="M93" s="124"/>
      <c r="N93" s="124"/>
      <c r="O93" s="126"/>
      <c r="P93" s="198"/>
      <c r="Q93" s="198"/>
      <c r="R93" s="198"/>
      <c r="S93" s="198"/>
      <c r="T93" s="198"/>
      <c r="U93" s="198"/>
      <c r="V93" s="198"/>
      <c r="W93" s="198"/>
      <c r="X93" s="198"/>
      <c r="Y93" s="252"/>
      <c r="Z93" s="252"/>
      <c r="AA93" s="253"/>
      <c r="AB93" s="253"/>
      <c r="AC93" s="252"/>
      <c r="AD93" s="249"/>
      <c r="AE93" s="65"/>
      <c r="AF93" s="65"/>
    </row>
    <row r="94" spans="1:32" ht="12.6" customHeight="1" x14ac:dyDescent="0.25">
      <c r="A94" s="194"/>
      <c r="B94" s="195"/>
      <c r="C94" s="195"/>
      <c r="D94" s="195"/>
      <c r="E94" s="196"/>
      <c r="F94" s="194"/>
      <c r="G94" s="195"/>
      <c r="H94" s="195"/>
      <c r="I94" s="195"/>
      <c r="J94" s="195"/>
      <c r="K94" s="195"/>
      <c r="L94" s="196"/>
      <c r="M94" s="194"/>
      <c r="N94" s="195"/>
      <c r="O94" s="202"/>
      <c r="P94" s="202"/>
      <c r="Q94" s="202"/>
      <c r="R94" s="202"/>
      <c r="S94" s="202"/>
      <c r="T94" s="202"/>
      <c r="U94" s="202"/>
      <c r="V94" s="202"/>
      <c r="W94" s="202"/>
      <c r="X94" s="203"/>
      <c r="Y94" s="252"/>
      <c r="Z94" s="252"/>
      <c r="AA94" s="253"/>
      <c r="AB94" s="253"/>
      <c r="AC94" s="252"/>
      <c r="AD94" s="249"/>
      <c r="AE94" s="65"/>
      <c r="AF94" s="65"/>
    </row>
    <row r="95" spans="1:32" ht="17.45" customHeight="1" x14ac:dyDescent="0.25">
      <c r="A95" s="408" t="str">
        <f>_xlfn.IFNA(ROUND(VLOOKUP($D$1,GBV!A2:D105,4,FALSE)*100,0)&amp;"% of projects were fully focused on addressing SGBV, while a further "&amp;ROUND(VLOOKUP($D$1,GBV!A2:D105,3,FALSE)*100,0)&amp;"% mainstreamed SGBV in other actions/thematic areas","")</f>
        <v>4% of projects were fully focused on addressing SGBV, while a further 54% mainstreamed SGBV in other actions/thematic areas</v>
      </c>
      <c r="B95" s="409"/>
      <c r="C95" s="409"/>
      <c r="D95" s="409"/>
      <c r="E95" s="184"/>
      <c r="F95" s="408" t="str">
        <f>IFERROR("Civil society strengthening activities were included in "&amp;ROUND(T10*100,0)&amp;"% of projects, but was an explicit objective in "&amp;ROUND(VLOOKUP($D$1,'Civ soc'!A2:C105,3,FALSE)*100,0)&amp;"% of projects","")</f>
        <v>Civil society strengthening activities were included in 50% of projects, but was an explicit objective in 27% of projects</v>
      </c>
      <c r="G95" s="409"/>
      <c r="H95" s="409"/>
      <c r="I95" s="409"/>
      <c r="J95" s="409"/>
      <c r="K95" s="409"/>
      <c r="L95" s="128"/>
      <c r="M95" s="408" t="str">
        <f>_xlfn.IFNA(ROUND(VLOOKUP($D$1,Climate!A2:C105,3,FALSE)*100,0)&amp;"% of projects fully addressed vulnerability caused by climate change. "&amp;ROUND(VLOOKUP($D$1,Climate!A2:C105,2,FALSE)*100,0)&amp;"% of projects had no strategy to address climate change vulnerability ","")</f>
        <v xml:space="preserve">13% of projects fully addressed vulnerability caused by climate change. 54% of projects had no strategy to address climate change vulnerability </v>
      </c>
      <c r="N95" s="409"/>
      <c r="O95" s="409"/>
      <c r="P95" s="409"/>
      <c r="Q95" s="409"/>
      <c r="R95" s="409"/>
      <c r="S95" s="409"/>
      <c r="T95" s="409"/>
      <c r="U95" s="409"/>
      <c r="V95" s="409"/>
      <c r="W95" s="126"/>
      <c r="X95" s="184"/>
      <c r="Y95" s="252"/>
      <c r="Z95" s="252"/>
      <c r="AA95" s="253"/>
      <c r="AB95" s="253"/>
      <c r="AC95" s="252"/>
      <c r="AD95" s="249"/>
      <c r="AE95" s="65"/>
      <c r="AF95" s="65"/>
    </row>
    <row r="96" spans="1:32" ht="18" x14ac:dyDescent="0.25">
      <c r="A96" s="408"/>
      <c r="B96" s="409"/>
      <c r="C96" s="409"/>
      <c r="D96" s="409"/>
      <c r="E96" s="184"/>
      <c r="F96" s="408"/>
      <c r="G96" s="409"/>
      <c r="H96" s="409"/>
      <c r="I96" s="409"/>
      <c r="J96" s="409"/>
      <c r="K96" s="409"/>
      <c r="L96" s="128"/>
      <c r="M96" s="408"/>
      <c r="N96" s="409"/>
      <c r="O96" s="409"/>
      <c r="P96" s="409"/>
      <c r="Q96" s="409"/>
      <c r="R96" s="409"/>
      <c r="S96" s="409"/>
      <c r="T96" s="409"/>
      <c r="U96" s="409"/>
      <c r="V96" s="409"/>
      <c r="W96" s="198"/>
      <c r="X96" s="197"/>
      <c r="Y96" s="252"/>
      <c r="Z96" s="252"/>
      <c r="AA96" s="253"/>
      <c r="AB96" s="253"/>
      <c r="AC96" s="252"/>
      <c r="AD96" s="249"/>
      <c r="AE96" s="65"/>
      <c r="AF96" s="65"/>
    </row>
    <row r="97" spans="1:32" ht="16.5" customHeight="1" x14ac:dyDescent="0.25">
      <c r="A97" s="408"/>
      <c r="B97" s="409"/>
      <c r="C97" s="409"/>
      <c r="D97" s="409"/>
      <c r="E97" s="184"/>
      <c r="F97" s="408"/>
      <c r="G97" s="409"/>
      <c r="H97" s="409"/>
      <c r="I97" s="409"/>
      <c r="J97" s="409"/>
      <c r="K97" s="409"/>
      <c r="L97" s="128"/>
      <c r="M97" s="408"/>
      <c r="N97" s="409"/>
      <c r="O97" s="409"/>
      <c r="P97" s="409"/>
      <c r="Q97" s="409"/>
      <c r="R97" s="409"/>
      <c r="S97" s="409"/>
      <c r="T97" s="409"/>
      <c r="U97" s="409"/>
      <c r="V97" s="409"/>
      <c r="W97" s="126"/>
      <c r="X97" s="184"/>
      <c r="Y97" s="252"/>
      <c r="Z97" s="252"/>
      <c r="AA97" s="253"/>
      <c r="AB97" s="253"/>
      <c r="AC97" s="252"/>
      <c r="AD97" s="249"/>
      <c r="AE97" s="65"/>
      <c r="AF97" s="65"/>
    </row>
    <row r="98" spans="1:32" ht="12.6" customHeight="1" thickBot="1" x14ac:dyDescent="0.3">
      <c r="A98" s="165"/>
      <c r="B98" s="130"/>
      <c r="C98" s="130"/>
      <c r="D98" s="130"/>
      <c r="E98" s="131"/>
      <c r="F98" s="165"/>
      <c r="G98" s="130"/>
      <c r="H98" s="130"/>
      <c r="I98" s="130"/>
      <c r="J98" s="130"/>
      <c r="K98" s="130"/>
      <c r="L98" s="131"/>
      <c r="M98" s="165"/>
      <c r="N98" s="130"/>
      <c r="O98" s="191"/>
      <c r="P98" s="191"/>
      <c r="Q98" s="191"/>
      <c r="R98" s="191"/>
      <c r="S98" s="191"/>
      <c r="T98" s="191"/>
      <c r="U98" s="191"/>
      <c r="V98" s="191"/>
      <c r="W98" s="191"/>
      <c r="X98" s="201"/>
      <c r="Y98" s="252"/>
      <c r="Z98" s="252"/>
      <c r="AA98" s="253"/>
      <c r="AB98" s="253"/>
      <c r="AC98" s="252"/>
      <c r="AD98" s="249"/>
      <c r="AE98" s="65"/>
      <c r="AF98" s="65"/>
    </row>
    <row r="99" spans="1:32" ht="17.45" customHeight="1" thickBot="1" x14ac:dyDescent="0.3">
      <c r="A99" s="124"/>
      <c r="B99" s="124"/>
      <c r="C99" s="124"/>
      <c r="D99" s="124"/>
      <c r="E99" s="124"/>
      <c r="F99" s="124"/>
      <c r="G99" s="124"/>
      <c r="H99" s="124"/>
      <c r="I99" s="124"/>
      <c r="J99" s="124"/>
      <c r="K99" s="124"/>
      <c r="L99" s="124"/>
      <c r="M99" s="124"/>
      <c r="N99" s="124"/>
      <c r="O99" s="126"/>
      <c r="P99" s="126"/>
      <c r="Q99" s="126"/>
      <c r="R99" s="126"/>
      <c r="S99" s="126"/>
      <c r="T99" s="126"/>
      <c r="U99" s="126"/>
      <c r="V99" s="126"/>
      <c r="W99" s="126"/>
      <c r="X99" s="126"/>
      <c r="Y99" s="252"/>
      <c r="Z99" s="252"/>
      <c r="AA99" s="253"/>
      <c r="AB99" s="253"/>
      <c r="AC99" s="252"/>
      <c r="AD99" s="249"/>
      <c r="AE99" s="65"/>
      <c r="AF99" s="65"/>
    </row>
    <row r="100" spans="1:32" ht="14.45" customHeight="1" x14ac:dyDescent="0.25">
      <c r="A100" s="194"/>
      <c r="B100" s="195"/>
      <c r="C100" s="195"/>
      <c r="D100" s="195"/>
      <c r="E100" s="195"/>
      <c r="F100" s="195"/>
      <c r="G100" s="195"/>
      <c r="H100" s="196"/>
      <c r="I100" s="194"/>
      <c r="J100" s="195"/>
      <c r="K100" s="195"/>
      <c r="L100" s="195"/>
      <c r="M100" s="195"/>
      <c r="N100" s="195"/>
      <c r="O100" s="204"/>
      <c r="P100" s="204"/>
      <c r="Q100" s="204"/>
      <c r="R100" s="204"/>
      <c r="S100" s="204"/>
      <c r="T100" s="204"/>
      <c r="U100" s="204"/>
      <c r="V100" s="204"/>
      <c r="W100" s="204"/>
      <c r="X100" s="205"/>
      <c r="Y100" s="252"/>
      <c r="Z100" s="252"/>
      <c r="AA100" s="253"/>
      <c r="AB100" s="253"/>
      <c r="AC100" s="252"/>
      <c r="AD100" s="249"/>
      <c r="AE100" s="65"/>
      <c r="AF100" s="65"/>
    </row>
    <row r="101" spans="1:32" ht="12.6" customHeight="1" x14ac:dyDescent="0.25">
      <c r="A101" s="408" t="str">
        <f>IFERROR("Partners implemented all activities in "&amp;ROUND(VLOOKUP($D$1,Partnership!A2:F122,2,FALSE)*100,0)&amp;"% of projects, most activities in "&amp;ROUND(VLOOKUP($D$1,Partnership!A2:F122,4,FALSE)*100,0)&amp;"% of projects, and some activities in "&amp;ROUND(VLOOKUP($D$1,Partnership!A2:F122,5,FALSE)*100,0)&amp;"% of projects","")</f>
        <v>Partners implemented all activities in 23% of projects, most activities in 21% of projects, and some activities in 8% of projects</v>
      </c>
      <c r="B101" s="409"/>
      <c r="C101" s="409"/>
      <c r="D101" s="409"/>
      <c r="E101" s="409"/>
      <c r="F101" s="409"/>
      <c r="G101" s="409"/>
      <c r="H101" s="197"/>
      <c r="I101" s="408" t="str">
        <f>_xlfn.IFNA(ROUND(VLOOKUP($D$1,Advocacy!A2:E105,2,FALSE)*100,0)&amp;"% of projects had an intensive advocacy focus, and a further "&amp;ROUND(VLOOKUP($D$1,Advocacy!A2:E105,4,FALSE)*100,0)&amp;"% had a moderate advocacy focus","")</f>
        <v>14% of projects had an intensive advocacy focus, and a further 43% had a moderate advocacy focus</v>
      </c>
      <c r="J101" s="409"/>
      <c r="K101" s="409"/>
      <c r="L101" s="409"/>
      <c r="M101" s="409"/>
      <c r="N101" s="409"/>
      <c r="O101" s="409"/>
      <c r="P101" s="409"/>
      <c r="Q101" s="409"/>
      <c r="R101" s="409"/>
      <c r="S101" s="409"/>
      <c r="T101" s="409"/>
      <c r="U101" s="409"/>
      <c r="V101" s="409"/>
      <c r="W101" s="198"/>
      <c r="X101" s="197"/>
      <c r="Y101" s="252"/>
      <c r="Z101" s="252"/>
      <c r="AA101" s="253"/>
      <c r="AB101" s="253"/>
      <c r="AC101" s="252"/>
      <c r="AD101" s="249"/>
      <c r="AE101" s="65"/>
      <c r="AF101" s="65"/>
    </row>
    <row r="102" spans="1:32" ht="17.45" customHeight="1" x14ac:dyDescent="0.25">
      <c r="A102" s="408"/>
      <c r="B102" s="409"/>
      <c r="C102" s="409"/>
      <c r="D102" s="409"/>
      <c r="E102" s="409"/>
      <c r="F102" s="409"/>
      <c r="G102" s="409"/>
      <c r="H102" s="197"/>
      <c r="I102" s="408"/>
      <c r="J102" s="409"/>
      <c r="K102" s="409"/>
      <c r="L102" s="409"/>
      <c r="M102" s="409"/>
      <c r="N102" s="409"/>
      <c r="O102" s="409"/>
      <c r="P102" s="409"/>
      <c r="Q102" s="409"/>
      <c r="R102" s="409"/>
      <c r="S102" s="409"/>
      <c r="T102" s="409"/>
      <c r="U102" s="409"/>
      <c r="V102" s="409"/>
      <c r="W102" s="126"/>
      <c r="X102" s="184"/>
      <c r="Y102" s="252"/>
      <c r="Z102" s="252"/>
      <c r="AA102" s="253"/>
      <c r="AB102" s="253"/>
      <c r="AC102" s="252"/>
      <c r="AD102" s="249"/>
      <c r="AE102" s="65"/>
      <c r="AF102" s="65"/>
    </row>
    <row r="103" spans="1:32" ht="17.45" customHeight="1" x14ac:dyDescent="0.25">
      <c r="A103" s="408"/>
      <c r="B103" s="409"/>
      <c r="C103" s="409"/>
      <c r="D103" s="409"/>
      <c r="E103" s="409"/>
      <c r="F103" s="409"/>
      <c r="G103" s="409"/>
      <c r="H103" s="197"/>
      <c r="I103" s="408"/>
      <c r="J103" s="409"/>
      <c r="K103" s="409"/>
      <c r="L103" s="409"/>
      <c r="M103" s="409"/>
      <c r="N103" s="409"/>
      <c r="O103" s="409"/>
      <c r="P103" s="409"/>
      <c r="Q103" s="409"/>
      <c r="R103" s="409"/>
      <c r="S103" s="409"/>
      <c r="T103" s="409"/>
      <c r="U103" s="409"/>
      <c r="V103" s="409"/>
      <c r="W103" s="126"/>
      <c r="X103" s="184"/>
      <c r="Y103" s="252"/>
      <c r="Z103" s="252"/>
      <c r="AA103" s="253"/>
      <c r="AB103" s="253"/>
      <c r="AC103" s="252"/>
      <c r="AD103" s="249"/>
      <c r="AE103" s="65"/>
      <c r="AF103" s="65"/>
    </row>
    <row r="104" spans="1:32" ht="12.95" customHeight="1" thickBot="1" x14ac:dyDescent="0.3">
      <c r="A104" s="165"/>
      <c r="B104" s="130"/>
      <c r="C104" s="130"/>
      <c r="D104" s="130"/>
      <c r="E104" s="130"/>
      <c r="F104" s="130"/>
      <c r="G104" s="130"/>
      <c r="H104" s="131"/>
      <c r="I104" s="165"/>
      <c r="J104" s="130"/>
      <c r="K104" s="130"/>
      <c r="L104" s="130"/>
      <c r="M104" s="130"/>
      <c r="N104" s="130"/>
      <c r="O104" s="191"/>
      <c r="P104" s="191"/>
      <c r="Q104" s="191"/>
      <c r="R104" s="191"/>
      <c r="S104" s="191"/>
      <c r="T104" s="191"/>
      <c r="U104" s="191"/>
      <c r="V104" s="191"/>
      <c r="W104" s="191"/>
      <c r="X104" s="201"/>
      <c r="Y104" s="252"/>
      <c r="Z104" s="252"/>
      <c r="AA104" s="253"/>
      <c r="AB104" s="253"/>
      <c r="AC104" s="252"/>
      <c r="AD104" s="249"/>
      <c r="AE104" s="65"/>
      <c r="AF104" s="65"/>
    </row>
    <row r="105" spans="1:32" ht="12.6" customHeight="1" thickBot="1" x14ac:dyDescent="0.3">
      <c r="A105" s="124"/>
      <c r="B105" s="124"/>
      <c r="C105" s="124"/>
      <c r="D105" s="124"/>
      <c r="E105" s="124"/>
      <c r="F105" s="124"/>
      <c r="G105" s="124"/>
      <c r="H105" s="124"/>
      <c r="I105" s="124"/>
      <c r="J105" s="124"/>
      <c r="K105" s="124"/>
      <c r="L105" s="124"/>
      <c r="M105" s="124"/>
      <c r="N105" s="124"/>
      <c r="O105" s="126"/>
      <c r="P105" s="126"/>
      <c r="Q105" s="126"/>
      <c r="R105" s="126"/>
      <c r="S105" s="126"/>
      <c r="T105" s="126"/>
      <c r="U105" s="126"/>
      <c r="V105" s="126"/>
      <c r="W105" s="126"/>
      <c r="X105" s="126"/>
      <c r="Y105" s="252"/>
      <c r="Z105" s="252"/>
      <c r="AA105" s="253"/>
      <c r="AB105" s="253"/>
      <c r="AC105" s="252"/>
      <c r="AD105" s="249"/>
      <c r="AE105" s="65"/>
      <c r="AF105" s="65"/>
    </row>
    <row r="106" spans="1:32" ht="21" customHeight="1" x14ac:dyDescent="0.25">
      <c r="A106" s="206"/>
      <c r="B106" s="204"/>
      <c r="C106" s="204"/>
      <c r="D106" s="204"/>
      <c r="E106" s="204"/>
      <c r="F106" s="204"/>
      <c r="G106" s="204"/>
      <c r="H106" s="205"/>
      <c r="I106" s="206"/>
      <c r="J106" s="204"/>
      <c r="K106" s="204"/>
      <c r="L106" s="204"/>
      <c r="M106" s="204"/>
      <c r="N106" s="204"/>
      <c r="O106" s="204"/>
      <c r="P106" s="204"/>
      <c r="Q106" s="204"/>
      <c r="R106" s="204"/>
      <c r="S106" s="204"/>
      <c r="T106" s="204"/>
      <c r="U106" s="204"/>
      <c r="V106" s="204"/>
      <c r="W106" s="204"/>
      <c r="X106" s="205"/>
      <c r="Y106" s="252"/>
      <c r="Z106" s="252"/>
      <c r="AA106" s="253"/>
      <c r="AB106" s="253"/>
      <c r="AC106" s="252"/>
      <c r="AD106" s="249"/>
      <c r="AE106" s="65"/>
      <c r="AF106" s="65"/>
    </row>
    <row r="107" spans="1:32" ht="14.45" customHeight="1" x14ac:dyDescent="0.25">
      <c r="A107" s="408" t="str">
        <f>IFERROR("While "&amp;ROUND(R10*100,0)&amp;"% of projects promoted innovative solutions to poverty and social injustice, only "&amp;ROUND(VLOOKUP($D$1,Innovation!A2:C122,3,FALSE)*100,0)&amp;"% measured the impact of these innovations","")</f>
        <v>While 57% of projects promoted innovative solutions to poverty and social injustice, only 29% measured the impact of these innovations</v>
      </c>
      <c r="B107" s="409"/>
      <c r="C107" s="409"/>
      <c r="D107" s="409"/>
      <c r="E107" s="409"/>
      <c r="F107" s="409"/>
      <c r="G107" s="409"/>
      <c r="H107" s="197"/>
      <c r="I107" s="408" t="str">
        <f>_xlfn.IFNA(ROUND(VLOOKUP($D$1,Scaling!A2:D105,3,FALSE)*100,0)&amp;"% of projects linked and worked with others to scale up proven solutions, and a further "&amp;ROUND(VLOOKUP($D$1,Scaling!A2:D105,4,FALSE)*100,0)&amp;"% took solutions to scale by ourselves","")</f>
        <v>52% of projects linked and worked with others to scale up proven solutions, and a further 13% took solutions to scale by ourselves</v>
      </c>
      <c r="J107" s="409"/>
      <c r="K107" s="409"/>
      <c r="L107" s="409"/>
      <c r="M107" s="409"/>
      <c r="N107" s="409"/>
      <c r="O107" s="409"/>
      <c r="P107" s="409"/>
      <c r="Q107" s="409"/>
      <c r="R107" s="409"/>
      <c r="S107" s="409"/>
      <c r="T107" s="409"/>
      <c r="U107" s="409"/>
      <c r="V107" s="409"/>
      <c r="W107" s="126"/>
      <c r="X107" s="184"/>
      <c r="Y107" s="252"/>
      <c r="Z107" s="252"/>
      <c r="AA107" s="253"/>
      <c r="AB107" s="253"/>
      <c r="AC107" s="252"/>
      <c r="AD107" s="249"/>
      <c r="AE107" s="65"/>
      <c r="AF107" s="65"/>
    </row>
    <row r="108" spans="1:32" ht="18" x14ac:dyDescent="0.25">
      <c r="A108" s="408"/>
      <c r="B108" s="409"/>
      <c r="C108" s="409"/>
      <c r="D108" s="409"/>
      <c r="E108" s="409"/>
      <c r="F108" s="409"/>
      <c r="G108" s="409"/>
      <c r="H108" s="197"/>
      <c r="I108" s="408"/>
      <c r="J108" s="409"/>
      <c r="K108" s="409"/>
      <c r="L108" s="409"/>
      <c r="M108" s="409"/>
      <c r="N108" s="409"/>
      <c r="O108" s="409"/>
      <c r="P108" s="409"/>
      <c r="Q108" s="409"/>
      <c r="R108" s="409"/>
      <c r="S108" s="409"/>
      <c r="T108" s="409"/>
      <c r="U108" s="409"/>
      <c r="V108" s="409"/>
      <c r="W108" s="126"/>
      <c r="X108" s="184"/>
      <c r="Y108" s="252"/>
      <c r="Z108" s="252"/>
      <c r="AA108" s="253"/>
      <c r="AB108" s="253"/>
      <c r="AC108" s="252"/>
      <c r="AD108" s="249"/>
      <c r="AE108" s="65"/>
      <c r="AF108" s="65"/>
    </row>
    <row r="109" spans="1:32" ht="18" x14ac:dyDescent="0.25">
      <c r="A109" s="408"/>
      <c r="B109" s="409"/>
      <c r="C109" s="409"/>
      <c r="D109" s="409"/>
      <c r="E109" s="409"/>
      <c r="F109" s="409"/>
      <c r="G109" s="409"/>
      <c r="H109" s="197"/>
      <c r="I109" s="408"/>
      <c r="J109" s="409"/>
      <c r="K109" s="409"/>
      <c r="L109" s="409"/>
      <c r="M109" s="409"/>
      <c r="N109" s="409"/>
      <c r="O109" s="409"/>
      <c r="P109" s="409"/>
      <c r="Q109" s="409"/>
      <c r="R109" s="409"/>
      <c r="S109" s="409"/>
      <c r="T109" s="409"/>
      <c r="U109" s="409"/>
      <c r="V109" s="409"/>
      <c r="W109" s="126"/>
      <c r="X109" s="184"/>
      <c r="Y109" s="252"/>
      <c r="Z109" s="252"/>
      <c r="AA109" s="253"/>
      <c r="AB109" s="253"/>
      <c r="AC109" s="252"/>
      <c r="AD109" s="249"/>
      <c r="AE109" s="65"/>
      <c r="AF109" s="65"/>
    </row>
    <row r="110" spans="1:32" s="80" customFormat="1" ht="13.5" thickBot="1" x14ac:dyDescent="0.3">
      <c r="A110" s="165"/>
      <c r="B110" s="130"/>
      <c r="C110" s="130"/>
      <c r="D110" s="130"/>
      <c r="E110" s="130"/>
      <c r="F110" s="130"/>
      <c r="G110" s="130"/>
      <c r="H110" s="131"/>
      <c r="I110" s="165"/>
      <c r="J110" s="130"/>
      <c r="K110" s="130"/>
      <c r="L110" s="130"/>
      <c r="M110" s="130"/>
      <c r="N110" s="191"/>
      <c r="O110" s="191"/>
      <c r="P110" s="191"/>
      <c r="Q110" s="191"/>
      <c r="R110" s="191"/>
      <c r="S110" s="191"/>
      <c r="T110" s="191"/>
      <c r="U110" s="191"/>
      <c r="V110" s="191"/>
      <c r="W110" s="191"/>
      <c r="X110" s="201"/>
      <c r="Y110" s="252"/>
      <c r="Z110" s="252"/>
      <c r="AA110" s="253"/>
      <c r="AB110" s="253"/>
      <c r="AC110" s="252"/>
      <c r="AD110" s="249"/>
      <c r="AE110" s="79"/>
      <c r="AF110" s="79"/>
    </row>
    <row r="111" spans="1:32" s="80" customFormat="1" x14ac:dyDescent="0.25">
      <c r="A111" s="65"/>
      <c r="B111" s="65"/>
      <c r="C111" s="65"/>
      <c r="D111" s="65"/>
      <c r="E111" s="65"/>
      <c r="F111" s="65"/>
      <c r="G111" s="65"/>
      <c r="H111" s="65"/>
      <c r="I111" s="65"/>
      <c r="J111" s="65"/>
      <c r="K111" s="65"/>
      <c r="L111" s="65"/>
      <c r="M111" s="65"/>
      <c r="N111" s="67"/>
      <c r="O111" s="67"/>
      <c r="P111" s="67"/>
      <c r="Q111" s="67"/>
      <c r="R111" s="67"/>
      <c r="S111" s="67"/>
      <c r="T111" s="67"/>
      <c r="U111" s="67"/>
      <c r="V111" s="67"/>
      <c r="W111" s="67"/>
      <c r="X111" s="67"/>
      <c r="Y111" s="252"/>
      <c r="Z111" s="252"/>
      <c r="AA111" s="253"/>
      <c r="AB111" s="253"/>
      <c r="AC111" s="252"/>
      <c r="AD111" s="249"/>
      <c r="AE111" s="79"/>
      <c r="AF111" s="79"/>
    </row>
    <row r="112" spans="1:32" s="80" customFormat="1" x14ac:dyDescent="0.25">
      <c r="A112" s="79"/>
      <c r="B112" s="79"/>
      <c r="C112" s="79"/>
      <c r="D112" s="79"/>
      <c r="E112" s="79"/>
      <c r="F112" s="79"/>
      <c r="G112" s="79"/>
      <c r="H112" s="79"/>
      <c r="I112" s="79"/>
      <c r="J112" s="79"/>
      <c r="K112" s="79"/>
      <c r="L112" s="79"/>
      <c r="M112" s="79"/>
      <c r="Y112" s="252"/>
      <c r="Z112" s="252"/>
      <c r="AA112" s="253"/>
      <c r="AB112" s="253"/>
      <c r="AC112" s="252"/>
      <c r="AD112" s="249"/>
      <c r="AE112" s="79"/>
      <c r="AF112" s="79"/>
    </row>
    <row r="113" spans="1:32" s="251" customFormat="1" x14ac:dyDescent="0.25">
      <c r="A113" s="249"/>
      <c r="B113" s="249"/>
      <c r="C113" s="249"/>
      <c r="D113" s="249"/>
      <c r="E113" s="249"/>
      <c r="F113" s="249"/>
      <c r="G113" s="249"/>
      <c r="H113" s="249"/>
      <c r="I113" s="249"/>
      <c r="J113" s="249"/>
      <c r="K113" s="249"/>
      <c r="L113" s="249"/>
      <c r="M113" s="249"/>
      <c r="Y113" s="252"/>
      <c r="Z113" s="252"/>
      <c r="AA113" s="253"/>
      <c r="AB113" s="253"/>
      <c r="AC113" s="252"/>
      <c r="AD113" s="249"/>
      <c r="AE113" s="249"/>
      <c r="AF113" s="249"/>
    </row>
    <row r="114" spans="1:32" s="251" customFormat="1" x14ac:dyDescent="0.25">
      <c r="A114" s="249"/>
      <c r="B114" s="249"/>
      <c r="C114" s="249" t="str">
        <f>$D$1</f>
        <v>Bangladesh</v>
      </c>
      <c r="D114" s="249" t="str">
        <f>$F$1</f>
        <v>Asia and the Pacific</v>
      </c>
      <c r="E114" s="249" t="s">
        <v>849</v>
      </c>
      <c r="F114" s="249"/>
      <c r="G114" s="249"/>
      <c r="H114" s="249"/>
      <c r="I114" s="249"/>
      <c r="J114" s="249"/>
      <c r="K114" s="249"/>
      <c r="L114" s="249"/>
      <c r="M114" s="249"/>
      <c r="Y114" s="252"/>
      <c r="Z114" s="252"/>
      <c r="AA114" s="253"/>
      <c r="AB114" s="253"/>
      <c r="AC114" s="252"/>
      <c r="AD114" s="249"/>
      <c r="AE114" s="249"/>
      <c r="AF114" s="249"/>
    </row>
    <row r="115" spans="1:32" s="251" customFormat="1" x14ac:dyDescent="0.25">
      <c r="A115" s="415" t="s">
        <v>14332</v>
      </c>
      <c r="B115" s="249" t="s">
        <v>14295</v>
      </c>
      <c r="C115" s="254">
        <f>IFERROR(VLOOKUP($D$1,'Gender marker'!$A$5:$J$120,6,FALSE)/VLOOKUP($D$1,'Gender marker'!$A$5:$J$120,9,FALSE),"")</f>
        <v>0.20408163265306123</v>
      </c>
      <c r="D115" s="254">
        <f>IFERROR(VLOOKUP($F$1&amp;" Total",'Gender marker'!$A$5:$J$120,6,FALSE)/VLOOKUP($F$1&amp;" Total",'Gender marker'!$A$5:$J$120,9,FALSE),"")</f>
        <v>0.2140221402214022</v>
      </c>
      <c r="E115" s="254">
        <f>IFERROR(VLOOKUP("Grand Total",'Gender marker'!$A$5:$J$120,6,FALSE)/VLOOKUP("Grand Total",'Gender marker'!$A$5:$J$120,9,FALSE),"")</f>
        <v>0.16842105263157894</v>
      </c>
      <c r="F115" s="249"/>
      <c r="G115" s="249"/>
      <c r="H115" s="249"/>
      <c r="I115" s="249"/>
      <c r="J115" s="249"/>
      <c r="K115" s="249"/>
      <c r="L115" s="249"/>
      <c r="M115" s="249"/>
      <c r="Y115" s="252"/>
      <c r="Z115" s="252"/>
      <c r="AA115" s="253"/>
      <c r="AB115" s="253"/>
      <c r="AC115" s="252"/>
      <c r="AD115" s="249"/>
      <c r="AE115" s="249"/>
      <c r="AF115" s="249"/>
    </row>
    <row r="116" spans="1:32" s="251" customFormat="1" x14ac:dyDescent="0.25">
      <c r="A116" s="415"/>
      <c r="B116" s="249" t="s">
        <v>14294</v>
      </c>
      <c r="C116" s="254">
        <f>IFERROR(VLOOKUP($D$1,'Gender marker'!$A$5:$J$120,5,FALSE)/VLOOKUP($D$1,'Gender marker'!$A$5:$J$120,9,FALSE),"")</f>
        <v>0.16326530612244897</v>
      </c>
      <c r="D116" s="254">
        <f>IFERROR(VLOOKUP($F$1&amp;" Total",'Gender marker'!$A$5:$J$120,5,FALSE)/VLOOKUP($F$1&amp;" Total",'Gender marker'!$A$5:$J$120,9,FALSE),"")</f>
        <v>0.16605166051660517</v>
      </c>
      <c r="E116" s="254">
        <f>IFERROR(VLOOKUP("Grand Total",'Gender marker'!$A$5:$J$120,5,FALSE)/VLOOKUP("Grand Total",'Gender marker'!$A$5:$J$120,9,FALSE),"")</f>
        <v>0.12</v>
      </c>
      <c r="F116" s="249"/>
      <c r="G116" s="249"/>
      <c r="H116" s="249"/>
      <c r="I116" s="249"/>
      <c r="J116" s="249"/>
      <c r="K116" s="249"/>
      <c r="L116" s="249"/>
      <c r="M116" s="249"/>
      <c r="Y116" s="252"/>
      <c r="Z116" s="252"/>
      <c r="AA116" s="253"/>
      <c r="AB116" s="253"/>
      <c r="AC116" s="252"/>
      <c r="AD116" s="249"/>
      <c r="AE116" s="249"/>
      <c r="AF116" s="249"/>
    </row>
    <row r="117" spans="1:32" s="251" customFormat="1" x14ac:dyDescent="0.25">
      <c r="A117" s="415"/>
      <c r="B117" s="249" t="s">
        <v>14293</v>
      </c>
      <c r="C117" s="254">
        <f>IFERROR(VLOOKUP($D$1,'Gender marker'!$A$5:$J$120,4,FALSE)/VLOOKUP($D$1,'Gender marker'!$A$5:$J$120,9,FALSE),"")</f>
        <v>0.44897959183673469</v>
      </c>
      <c r="D117" s="254">
        <f>IFERROR(VLOOKUP($F$1&amp;" Total",'Gender marker'!$A$5:$J$120,4,FALSE)/VLOOKUP($F$1&amp;" Total",'Gender marker'!$A$5:$J$120,9,FALSE),"")</f>
        <v>0.42435424354243545</v>
      </c>
      <c r="E117" s="254">
        <f>IFERROR(VLOOKUP("Grand Total",'Gender marker'!$A$5:$J$120,4,FALSE)/VLOOKUP("Grand Total",'Gender marker'!$A$5:$J$120,9,FALSE),"")</f>
        <v>0.44631578947368422</v>
      </c>
      <c r="F117" s="249"/>
      <c r="G117" s="249"/>
      <c r="H117" s="249"/>
      <c r="I117" s="249"/>
      <c r="J117" s="249"/>
      <c r="K117" s="249"/>
      <c r="L117" s="249"/>
      <c r="M117" s="249"/>
      <c r="Y117" s="252"/>
      <c r="Z117" s="252"/>
      <c r="AA117" s="253"/>
      <c r="AB117" s="253"/>
      <c r="AC117" s="252"/>
      <c r="AD117" s="249"/>
      <c r="AE117" s="249"/>
      <c r="AF117" s="249"/>
    </row>
    <row r="118" spans="1:32" s="251" customFormat="1" x14ac:dyDescent="0.25">
      <c r="A118" s="415"/>
      <c r="B118" s="249" t="s">
        <v>14292</v>
      </c>
      <c r="C118" s="254">
        <f>IFERROR(VLOOKUP($D$1,'Gender marker'!$A$5:$J$120,3,FALSE)/VLOOKUP($D$1,'Gender marker'!$A$5:$J$120,9,FALSE),"")</f>
        <v>0.16326530612244897</v>
      </c>
      <c r="D118" s="254">
        <f>IFERROR(VLOOKUP($F$1&amp;" Total",'Gender marker'!$A$5:$J$120,3,FALSE)/VLOOKUP($F$1&amp;" Total",'Gender marker'!$A$5:$J$120,9,FALSE),"")</f>
        <v>0.12546125461254612</v>
      </c>
      <c r="E118" s="254">
        <f>IFERROR(VLOOKUP("Grand Total",'Gender marker'!$A$5:$J$120,3,FALSE)/VLOOKUP("Grand Total",'Gender marker'!$A$5:$J$120,9,FALSE),"")</f>
        <v>0.14210526315789473</v>
      </c>
      <c r="F118" s="249"/>
      <c r="G118" s="249"/>
      <c r="H118" s="249"/>
      <c r="I118" s="249"/>
      <c r="J118" s="249"/>
      <c r="K118" s="249"/>
      <c r="L118" s="249"/>
      <c r="M118" s="249"/>
      <c r="Y118" s="252"/>
      <c r="Z118" s="252"/>
      <c r="AA118" s="253"/>
      <c r="AB118" s="253"/>
      <c r="AC118" s="252"/>
      <c r="AD118" s="249"/>
      <c r="AE118" s="249"/>
      <c r="AF118" s="249"/>
    </row>
    <row r="119" spans="1:32" s="251" customFormat="1" x14ac:dyDescent="0.25">
      <c r="A119" s="415"/>
      <c r="B119" s="249" t="s">
        <v>14393</v>
      </c>
      <c r="C119" s="254">
        <f>IFERROR(VLOOKUP($D$1,'Gender marker'!$A$5:$J$120,2,FALSE)/VLOOKUP($D$1,'Gender marker'!$A$5:$J$120,9,FALSE),"")</f>
        <v>0</v>
      </c>
      <c r="D119" s="254">
        <f>IFERROR(VLOOKUP($F$1&amp;" Total",'Gender marker'!$A$5:$J$120,2,FALSE)/VLOOKUP($F$1&amp;" Total",'Gender marker'!$A$5:$J$120,9,FALSE),"")</f>
        <v>2.2140221402214021E-2</v>
      </c>
      <c r="E119" s="254">
        <f>IFERROR(VLOOKUP("Grand Total",'Gender marker'!$A$5:$J$120,2,FALSE)/VLOOKUP("Grand Total",'Gender marker'!$A$5:$J$120,9,FALSE),"")</f>
        <v>2.736842105263158E-2</v>
      </c>
      <c r="F119" s="249"/>
      <c r="G119" s="249"/>
      <c r="H119" s="249"/>
      <c r="I119" s="249"/>
      <c r="J119" s="249"/>
      <c r="K119" s="249"/>
      <c r="L119" s="249"/>
      <c r="M119" s="249"/>
      <c r="Y119" s="252"/>
      <c r="Z119" s="252"/>
      <c r="AA119" s="253"/>
      <c r="AB119" s="253"/>
      <c r="AC119" s="252"/>
      <c r="AD119" s="249"/>
      <c r="AE119" s="249"/>
      <c r="AF119" s="249"/>
    </row>
    <row r="120" spans="1:32" s="251" customFormat="1" x14ac:dyDescent="0.25">
      <c r="A120" s="249"/>
      <c r="B120" s="249" t="s">
        <v>14394</v>
      </c>
      <c r="C120" s="254">
        <f>IFERROR(VLOOKUP($D$1,'Gender marker'!$A$5:$J$120,7,FALSE)/VLOOKUP($D$1,'Gender marker'!$A$5:$J$120,9,FALSE),"")</f>
        <v>2.0408163265306121E-2</v>
      </c>
      <c r="D120" s="254">
        <f>IFERROR(VLOOKUP($F$1&amp;" Total",'Gender marker'!$A$5:$J$120,7,FALSE)/VLOOKUP($F$1&amp;" Total",'Gender marker'!$A$5:$J$120,9,FALSE),"")</f>
        <v>4.797047970479705E-2</v>
      </c>
      <c r="E120" s="254">
        <f>IFERROR(VLOOKUP("Grand Total",'Gender marker'!$A$5:$J$120,7,FALSE)/VLOOKUP("Grand Total",'Gender marker'!$A$5:$J$120,9,FALSE),"")</f>
        <v>9.5789473684210522E-2</v>
      </c>
      <c r="F120" s="249"/>
      <c r="G120" s="249"/>
      <c r="H120" s="249"/>
      <c r="I120" s="249"/>
      <c r="J120" s="249"/>
      <c r="K120" s="249"/>
      <c r="L120" s="249"/>
      <c r="M120" s="249"/>
      <c r="Y120" s="252"/>
      <c r="Z120" s="252"/>
      <c r="AA120" s="253"/>
      <c r="AB120" s="253"/>
      <c r="AC120" s="252"/>
      <c r="AD120" s="249"/>
      <c r="AE120" s="249"/>
      <c r="AF120" s="249"/>
    </row>
    <row r="121" spans="1:32" s="251" customFormat="1" x14ac:dyDescent="0.25">
      <c r="A121" s="249"/>
      <c r="B121" s="249"/>
      <c r="C121" s="254" t="str">
        <f>C114</f>
        <v>Bangladesh</v>
      </c>
      <c r="D121" s="254" t="str">
        <f>D114</f>
        <v>Asia and the Pacific</v>
      </c>
      <c r="E121" s="254" t="str">
        <f>E114</f>
        <v>Global</v>
      </c>
      <c r="F121" s="249"/>
      <c r="G121" s="249"/>
      <c r="H121" s="249"/>
      <c r="I121" s="249"/>
      <c r="J121" s="249"/>
      <c r="K121" s="249"/>
      <c r="L121" s="249"/>
      <c r="M121" s="249"/>
      <c r="Y121" s="252"/>
      <c r="Z121" s="252"/>
      <c r="AA121" s="253"/>
      <c r="AB121" s="253"/>
      <c r="AC121" s="252"/>
      <c r="AD121" s="249"/>
      <c r="AE121" s="249"/>
      <c r="AF121" s="249"/>
    </row>
    <row r="122" spans="1:32" s="251" customFormat="1" x14ac:dyDescent="0.25">
      <c r="A122" s="415" t="s">
        <v>14334</v>
      </c>
      <c r="B122" s="249" t="s">
        <v>14300</v>
      </c>
      <c r="C122" s="254">
        <f>IFERROR(VLOOKUP($D$1,'Governance marker'!$A$5:$J$119,6,FALSE)/VLOOKUP($D$1,'Governance marker'!$A$5:$J$119,9,FALSE),"")</f>
        <v>6.1224489795918366E-2</v>
      </c>
      <c r="D122" s="254">
        <f>IFERROR(VLOOKUP($F$1&amp;" Total",'Governance marker'!$A$5:$J$119,6,FALSE)/VLOOKUP($F$1&amp;" Total",'Governance marker'!$A$5:$J$119,9,FALSE),"")</f>
        <v>0.11808118081180811</v>
      </c>
      <c r="E122" s="254">
        <f>IFERROR(VLOOKUP("Grand Total",'Governance marker'!$A$5:$J$119,6,FALSE)/VLOOKUP("Grand Total",'Governance marker'!$A$5:$J$119,9,FALSE),"")</f>
        <v>9.3684210526315786E-2</v>
      </c>
      <c r="F122" s="249"/>
      <c r="G122" s="249"/>
      <c r="H122" s="249"/>
      <c r="I122" s="249"/>
      <c r="J122" s="249"/>
      <c r="K122" s="249"/>
      <c r="L122" s="249"/>
      <c r="M122" s="249"/>
      <c r="Y122" s="252"/>
      <c r="Z122" s="252"/>
      <c r="AA122" s="253"/>
      <c r="AB122" s="253"/>
      <c r="AC122" s="252"/>
      <c r="AD122" s="249"/>
      <c r="AE122" s="249"/>
      <c r="AF122" s="249"/>
    </row>
    <row r="123" spans="1:32" s="251" customFormat="1" x14ac:dyDescent="0.25">
      <c r="A123" s="415"/>
      <c r="B123" s="249" t="s">
        <v>14294</v>
      </c>
      <c r="C123" s="254">
        <f>IFERROR(VLOOKUP($D$1,'Governance marker'!$A$5:$J$119,5,FALSE)/VLOOKUP($D$1,'Governance marker'!$A$5:$J$119,9,FALSE),"")</f>
        <v>0</v>
      </c>
      <c r="D123" s="254">
        <f>IFERROR(VLOOKUP($F$1&amp;" Total",'Governance marker'!$A$5:$J$119,5,FALSE)/VLOOKUP($F$1&amp;" Total",'Governance marker'!$A$5:$J$119,9,FALSE),"")</f>
        <v>8.8560885608856083E-2</v>
      </c>
      <c r="E123" s="254">
        <f>IFERROR(VLOOKUP("Grand Total",'Governance marker'!$A$5:$J$119,5,FALSE)/VLOOKUP("Grand Total",'Governance marker'!$A$5:$J$119,9,FALSE),"")</f>
        <v>6.3157894736842107E-2</v>
      </c>
      <c r="F123" s="249"/>
      <c r="G123" s="249"/>
      <c r="H123" s="249"/>
      <c r="I123" s="249"/>
      <c r="J123" s="249"/>
      <c r="K123" s="249"/>
      <c r="L123" s="249"/>
      <c r="M123" s="249"/>
      <c r="Y123" s="252"/>
      <c r="Z123" s="252"/>
      <c r="AA123" s="253"/>
      <c r="AB123" s="253"/>
      <c r="AC123" s="252"/>
      <c r="AD123" s="249"/>
      <c r="AE123" s="249"/>
      <c r="AF123" s="249"/>
    </row>
    <row r="124" spans="1:32" s="251" customFormat="1" x14ac:dyDescent="0.25">
      <c r="A124" s="415"/>
      <c r="B124" s="249" t="s">
        <v>14299</v>
      </c>
      <c r="C124" s="254">
        <f>IFERROR(VLOOKUP($D$1,'Governance marker'!$A$5:$J$119,4,FALSE)/VLOOKUP($D$1,'Governance marker'!$A$5:$J$119,9,FALSE),"")</f>
        <v>0.79591836734693877</v>
      </c>
      <c r="D124" s="254">
        <f>IFERROR(VLOOKUP($F$1&amp;" Total",'Governance marker'!$A$5:$J$119,4,FALSE)/VLOOKUP($F$1&amp;" Total",'Governance marker'!$A$5:$J$119,9,FALSE),"")</f>
        <v>0.63468634686346859</v>
      </c>
      <c r="E124" s="254">
        <f>IFERROR(VLOOKUP("Grand Total",'Governance marker'!$A$5:$J$119,4,FALSE)/VLOOKUP("Grand Total",'Governance marker'!$A$5:$J$119,9,FALSE),"")</f>
        <v>0.58105263157894738</v>
      </c>
      <c r="F124" s="249"/>
      <c r="G124" s="249"/>
      <c r="H124" s="249"/>
      <c r="I124" s="249"/>
      <c r="J124" s="249"/>
      <c r="K124" s="249"/>
      <c r="L124" s="249"/>
      <c r="M124" s="249"/>
      <c r="Y124" s="252"/>
      <c r="Z124" s="252"/>
      <c r="AA124" s="253"/>
      <c r="AB124" s="253"/>
      <c r="AC124" s="252"/>
      <c r="AD124" s="249"/>
      <c r="AE124" s="249"/>
      <c r="AF124" s="249"/>
    </row>
    <row r="125" spans="1:32" s="251" customFormat="1" x14ac:dyDescent="0.25">
      <c r="A125" s="415"/>
      <c r="B125" s="249" t="s">
        <v>14298</v>
      </c>
      <c r="C125" s="254">
        <f>IFERROR(VLOOKUP($D$1,'Governance marker'!$A$5:$J$119,3,FALSE)/VLOOKUP($D$1,'Governance marker'!$A$5:$J$119,9,FALSE),"")</f>
        <v>8.1632653061224483E-2</v>
      </c>
      <c r="D125" s="254">
        <f>IFERROR(VLOOKUP($F$1&amp;" Total",'Governance marker'!$A$5:$J$119,3,FALSE)/VLOOKUP($F$1&amp;" Total",'Governance marker'!$A$5:$J$119,9,FALSE),"")</f>
        <v>6.6420664206642069E-2</v>
      </c>
      <c r="E125" s="254">
        <f>IFERROR(VLOOKUP("Grand Total",'Governance marker'!$A$5:$J$119,3,FALSE)/VLOOKUP("Grand Total",'Governance marker'!$A$5:$J$119,9,FALSE),"")</f>
        <v>5.7894736842105263E-2</v>
      </c>
      <c r="F125" s="249"/>
      <c r="G125" s="249"/>
      <c r="H125" s="249"/>
      <c r="I125" s="249"/>
      <c r="J125" s="249"/>
      <c r="K125" s="249"/>
      <c r="L125" s="249"/>
      <c r="M125" s="249"/>
      <c r="Y125" s="252"/>
      <c r="Z125" s="252"/>
      <c r="AA125" s="253"/>
      <c r="AB125" s="253"/>
      <c r="AC125" s="252"/>
      <c r="AD125" s="249"/>
      <c r="AE125" s="249"/>
      <c r="AF125" s="249"/>
    </row>
    <row r="126" spans="1:32" s="251" customFormat="1" x14ac:dyDescent="0.25">
      <c r="A126" s="415"/>
      <c r="B126" s="249" t="s">
        <v>14400</v>
      </c>
      <c r="C126" s="254">
        <f>IFERROR(VLOOKUP($D$1,'Governance marker'!$A$5:$J$119,2,FALSE)/VLOOKUP($D$1,'Governance marker'!$A$5:$J$119,9,FALSE),"")</f>
        <v>4.0816326530612242E-2</v>
      </c>
      <c r="D126" s="254">
        <f>IFERROR(VLOOKUP($F$1&amp;" Total",'Governance marker'!$A$5:$J$119,2,FALSE)/VLOOKUP($F$1&amp;" Total",'Governance marker'!$A$5:$J$119,9,FALSE),"")</f>
        <v>4.4280442804428041E-2</v>
      </c>
      <c r="E126" s="254">
        <f>IFERROR(VLOOKUP("Grand Total",'Governance marker'!$A$5:$J$119,2,FALSE)/VLOOKUP("Grand Total",'Governance marker'!$A$5:$J$119,9,FALSE),"")</f>
        <v>7.2631578947368422E-2</v>
      </c>
      <c r="F126" s="249"/>
      <c r="G126" s="249"/>
      <c r="H126" s="249"/>
      <c r="I126" s="249"/>
      <c r="J126" s="249"/>
      <c r="K126" s="249"/>
      <c r="L126" s="249"/>
      <c r="M126" s="249"/>
      <c r="Y126" s="252"/>
      <c r="Z126" s="252"/>
      <c r="AA126" s="253"/>
      <c r="AB126" s="253"/>
      <c r="AC126" s="252"/>
      <c r="AD126" s="249"/>
      <c r="AE126" s="249"/>
      <c r="AF126" s="249"/>
    </row>
    <row r="127" spans="1:32" s="251" customFormat="1" x14ac:dyDescent="0.25">
      <c r="A127" s="415"/>
      <c r="B127" s="249" t="s">
        <v>14394</v>
      </c>
      <c r="C127" s="254">
        <f>IFERROR(VLOOKUP($D$1,'Governance marker'!$A$5:$J$119,7,FALSE)/VLOOKUP($D$1,'Governance marker'!$A$5:$J$119,9,FALSE),"")</f>
        <v>2.0408163265306121E-2</v>
      </c>
      <c r="D127" s="254">
        <f>IFERROR(VLOOKUP($F$1&amp;" Total",'Governance marker'!$A$5:$J$119,7,FALSE)/VLOOKUP($F$1&amp;" Total",'Governance marker'!$A$5:$J$119,9,FALSE),"")</f>
        <v>4.797047970479705E-2</v>
      </c>
      <c r="E127" s="254">
        <f>IFERROR(VLOOKUP("Grand Total",'Governance marker'!$A$5:$J$119,7,FALSE)/VLOOKUP("Grand Total",'Governance marker'!$A$5:$J$119,9,FALSE),"")</f>
        <v>0.13157894736842105</v>
      </c>
      <c r="F127" s="249"/>
      <c r="G127" s="249"/>
      <c r="H127" s="249"/>
      <c r="I127" s="249"/>
      <c r="J127" s="249"/>
      <c r="K127" s="249"/>
      <c r="L127" s="249"/>
      <c r="M127" s="249"/>
      <c r="Y127" s="252"/>
      <c r="Z127" s="252"/>
      <c r="AA127" s="253"/>
      <c r="AB127" s="253"/>
      <c r="AC127" s="252"/>
      <c r="AD127" s="249"/>
      <c r="AE127" s="249"/>
      <c r="AF127" s="249"/>
    </row>
    <row r="128" spans="1:32" s="251" customFormat="1" x14ac:dyDescent="0.25">
      <c r="A128" s="249"/>
      <c r="B128" s="249"/>
      <c r="C128" s="254" t="str">
        <f>C121</f>
        <v>Bangladesh</v>
      </c>
      <c r="D128" s="254" t="str">
        <f>D121</f>
        <v>Asia and the Pacific</v>
      </c>
      <c r="E128" s="254" t="str">
        <f>E121</f>
        <v>Global</v>
      </c>
      <c r="F128" s="249"/>
      <c r="G128" s="249"/>
      <c r="H128" s="249"/>
      <c r="I128" s="249"/>
      <c r="J128" s="249"/>
      <c r="K128" s="249"/>
      <c r="L128" s="249"/>
      <c r="M128" s="249"/>
      <c r="Y128" s="252"/>
      <c r="Z128" s="252"/>
      <c r="AA128" s="253"/>
      <c r="AB128" s="253"/>
      <c r="AC128" s="252"/>
      <c r="AD128" s="249"/>
      <c r="AE128" s="249"/>
      <c r="AF128" s="249"/>
    </row>
    <row r="129" spans="1:32" s="251" customFormat="1" x14ac:dyDescent="0.25">
      <c r="A129" s="415" t="s">
        <v>14337</v>
      </c>
      <c r="B129" s="249" t="s">
        <v>14295</v>
      </c>
      <c r="C129" s="254">
        <f>IFERROR(VLOOKUP($D$1,'Resilience marker'!$A$5:$J$120,6,FALSE)/VLOOKUP($D$1,'Resilience marker'!$A$5:$J$120,9,FALSE),"")</f>
        <v>0.16326530612244897</v>
      </c>
      <c r="D129" s="254">
        <f>IFERROR(VLOOKUP($F$1&amp;" Total",'Resilience marker'!$A$5:$J$120,6,FALSE)/VLOOKUP($F$1&amp;" Total",'Resilience marker'!$A$5:$J$120,9,FALSE),"")</f>
        <v>0.14022140221402213</v>
      </c>
      <c r="E129" s="254">
        <f>IFERROR(VLOOKUP("Grand Total",'Resilience marker'!$A$5:$J$120,6,FALSE)/VLOOKUP("Grand Total",'Resilience marker'!$A$5:$J$120,9,FALSE),"")</f>
        <v>0.14736842105263157</v>
      </c>
      <c r="F129" s="249"/>
      <c r="G129" s="249"/>
      <c r="H129" s="249"/>
      <c r="I129" s="249"/>
      <c r="J129" s="249"/>
      <c r="K129" s="249"/>
      <c r="L129" s="249"/>
      <c r="M129" s="249"/>
      <c r="Y129" s="252"/>
      <c r="Z129" s="252"/>
      <c r="AA129" s="253"/>
      <c r="AB129" s="253"/>
      <c r="AC129" s="252"/>
      <c r="AD129" s="249"/>
      <c r="AE129" s="249"/>
      <c r="AF129" s="249"/>
    </row>
    <row r="130" spans="1:32" s="251" customFormat="1" x14ac:dyDescent="0.25">
      <c r="A130" s="415"/>
      <c r="B130" s="249" t="s">
        <v>14294</v>
      </c>
      <c r="C130" s="254">
        <f>IFERROR(VLOOKUP($D$1,'Resilience marker'!$A$5:$J$120,5,FALSE)/VLOOKUP($D$1,'Resilience marker'!$A$5:$J$120,9,FALSE),"")</f>
        <v>4.0816326530612242E-2</v>
      </c>
      <c r="D130" s="254">
        <f>IFERROR(VLOOKUP($F$1&amp;" Total",'Resilience marker'!$A$5:$J$120,5,FALSE)/VLOOKUP($F$1&amp;" Total",'Resilience marker'!$A$5:$J$120,9,FALSE),"")</f>
        <v>0.10332103321033211</v>
      </c>
      <c r="E130" s="254">
        <f>IFERROR(VLOOKUP("Grand Total",'Resilience marker'!$A$5:$J$120,5,FALSE)/VLOOKUP("Grand Total",'Resilience marker'!$A$5:$J$120,9,FALSE),"")</f>
        <v>7.2631578947368422E-2</v>
      </c>
      <c r="F130" s="249"/>
      <c r="G130" s="249"/>
      <c r="H130" s="249"/>
      <c r="I130" s="249"/>
      <c r="J130" s="249"/>
      <c r="K130" s="249"/>
      <c r="L130" s="249"/>
      <c r="M130" s="249"/>
      <c r="Y130" s="252"/>
      <c r="Z130" s="252"/>
      <c r="AA130" s="253"/>
      <c r="AB130" s="253"/>
      <c r="AC130" s="252"/>
      <c r="AD130" s="249"/>
      <c r="AE130" s="249"/>
      <c r="AF130" s="249"/>
    </row>
    <row r="131" spans="1:32" s="251" customFormat="1" x14ac:dyDescent="0.25">
      <c r="A131" s="415"/>
      <c r="B131" s="249" t="s">
        <v>14293</v>
      </c>
      <c r="C131" s="254">
        <f>IFERROR(VLOOKUP($D$1,'Resilience marker'!$A$5:$J$120,4,FALSE)/VLOOKUP($D$1,'Resilience marker'!$A$5:$J$120,9,FALSE),"")</f>
        <v>0.2857142857142857</v>
      </c>
      <c r="D131" s="254">
        <f>IFERROR(VLOOKUP($F$1&amp;" Total",'Resilience marker'!$A$5:$J$120,4,FALSE)/VLOOKUP($F$1&amp;" Total",'Resilience marker'!$A$5:$J$120,9,FALSE),"")</f>
        <v>0.25830258302583026</v>
      </c>
      <c r="E131" s="254">
        <f>IFERROR(VLOOKUP("Grand Total",'Resilience marker'!$A$5:$J$120,4,FALSE)/VLOOKUP("Grand Total",'Resilience marker'!$A$5:$J$120,9,FALSE),"")</f>
        <v>0.26736842105263159</v>
      </c>
      <c r="F131" s="249"/>
      <c r="G131" s="249"/>
      <c r="H131" s="249"/>
      <c r="I131" s="249"/>
      <c r="J131" s="249"/>
      <c r="K131" s="249"/>
      <c r="L131" s="249"/>
      <c r="M131" s="249"/>
      <c r="Y131" s="252"/>
      <c r="Z131" s="252"/>
      <c r="AA131" s="253"/>
      <c r="AB131" s="253"/>
      <c r="AC131" s="252"/>
      <c r="AD131" s="249"/>
      <c r="AE131" s="249"/>
      <c r="AF131" s="249"/>
    </row>
    <row r="132" spans="1:32" s="251" customFormat="1" x14ac:dyDescent="0.25">
      <c r="A132" s="415"/>
      <c r="B132" s="249" t="s">
        <v>14292</v>
      </c>
      <c r="C132" s="254">
        <f>IFERROR(VLOOKUP($D$1,'Resilience marker'!$A$5:$J$120,3,FALSE)/VLOOKUP($D$1,'Resilience marker'!$A$5:$J$120,9,FALSE),"")</f>
        <v>0.14285714285714285</v>
      </c>
      <c r="D132" s="254">
        <f>IFERROR(VLOOKUP($F$1&amp;" Total",'Resilience marker'!$A$5:$J$120,3,FALSE)/VLOOKUP($F$1&amp;" Total",'Resilience marker'!$A$5:$J$120,9,FALSE),"")</f>
        <v>0.23247232472324722</v>
      </c>
      <c r="E132" s="254">
        <f>IFERROR(VLOOKUP("Grand Total",'Resilience marker'!$A$5:$J$120,3,FALSE)/VLOOKUP("Grand Total",'Resilience marker'!$A$5:$J$120,9,FALSE),"")</f>
        <v>0.2336842105263158</v>
      </c>
      <c r="F132" s="249"/>
      <c r="G132" s="249"/>
      <c r="H132" s="249"/>
      <c r="I132" s="249"/>
      <c r="J132" s="249"/>
      <c r="K132" s="249"/>
      <c r="L132" s="249"/>
      <c r="M132" s="249"/>
      <c r="Y132" s="252"/>
      <c r="Z132" s="252"/>
      <c r="AA132" s="253"/>
      <c r="AB132" s="253"/>
      <c r="AC132" s="252"/>
      <c r="AD132" s="249"/>
      <c r="AE132" s="249"/>
      <c r="AF132" s="249"/>
    </row>
    <row r="133" spans="1:32" s="251" customFormat="1" x14ac:dyDescent="0.25">
      <c r="A133" s="415"/>
      <c r="B133" s="249" t="s">
        <v>14393</v>
      </c>
      <c r="C133" s="254">
        <f>IFERROR(VLOOKUP($D$1,'Resilience marker'!$A$5:$J$120,2,FALSE)/VLOOKUP($D$1,'Resilience marker'!$A$5:$J$120,9,FALSE),"")</f>
        <v>0</v>
      </c>
      <c r="D133" s="254">
        <f>IFERROR(VLOOKUP($F$1&amp;" Total",'Resilience marker'!$A$5:$J$120,2,FALSE)/VLOOKUP($F$1&amp;" Total",'Resilience marker'!$A$5:$J$120,9,FALSE),"")</f>
        <v>0.13284132841328414</v>
      </c>
      <c r="E133" s="254">
        <f>IFERROR(VLOOKUP("Grand Total",'Resilience marker'!$A$5:$J$120,2,FALSE)/VLOOKUP("Grand Total",'Resilience marker'!$A$5:$J$120,9,FALSE),"")</f>
        <v>0.10105263157894737</v>
      </c>
      <c r="F133" s="249"/>
      <c r="G133" s="249"/>
      <c r="H133" s="249"/>
      <c r="I133" s="249"/>
      <c r="J133" s="249"/>
      <c r="K133" s="249"/>
      <c r="L133" s="249"/>
      <c r="M133" s="249"/>
      <c r="N133" s="249"/>
      <c r="O133" s="249"/>
      <c r="P133" s="249"/>
      <c r="Q133" s="249"/>
      <c r="R133" s="249"/>
      <c r="S133" s="249"/>
      <c r="T133" s="249"/>
      <c r="U133" s="249"/>
      <c r="V133" s="249"/>
      <c r="W133" s="249"/>
      <c r="X133" s="249"/>
      <c r="Y133" s="252"/>
      <c r="Z133" s="252"/>
      <c r="AA133" s="253"/>
      <c r="AB133" s="253"/>
      <c r="AC133" s="252"/>
      <c r="AD133" s="249"/>
      <c r="AE133" s="249"/>
      <c r="AF133" s="249"/>
    </row>
    <row r="134" spans="1:32" s="251" customFormat="1" x14ac:dyDescent="0.25">
      <c r="A134" s="415"/>
      <c r="B134" s="249" t="s">
        <v>14394</v>
      </c>
      <c r="C134" s="254">
        <f>IFERROR(VLOOKUP($D$1,'Resilience marker'!$A$5:$J$120,7,FALSE)/VLOOKUP($D$1,'Resilience marker'!$A$5:$J$120,9,FALSE),"")</f>
        <v>0.36734693877551022</v>
      </c>
      <c r="D134" s="254">
        <f>IFERROR(VLOOKUP($F$1&amp;" Total",'Resilience marker'!$A$5:$J$120,7,FALSE)/VLOOKUP($F$1&amp;" Total",'Resilience marker'!$A$5:$J$120,9,FALSE),"")</f>
        <v>0.13284132841328414</v>
      </c>
      <c r="E134" s="254">
        <f>IFERROR(VLOOKUP("Grand Total",'Resilience marker'!$A$5:$J$120,7,FALSE)/VLOOKUP("Grand Total",'Resilience marker'!$A$5:$J$120,9,FALSE),"")</f>
        <v>0.17789473684210527</v>
      </c>
      <c r="F134" s="249"/>
      <c r="G134" s="249"/>
      <c r="H134" s="249"/>
      <c r="I134" s="249"/>
      <c r="J134" s="249"/>
      <c r="K134" s="249"/>
      <c r="L134" s="249"/>
      <c r="M134" s="249"/>
      <c r="N134" s="249"/>
      <c r="O134" s="249"/>
      <c r="P134" s="249"/>
      <c r="Q134" s="249"/>
      <c r="R134" s="249"/>
      <c r="S134" s="249"/>
      <c r="T134" s="249"/>
      <c r="U134" s="249"/>
      <c r="V134" s="249"/>
      <c r="W134" s="249"/>
      <c r="X134" s="249"/>
      <c r="Y134" s="252"/>
      <c r="Z134" s="252"/>
      <c r="AA134" s="253"/>
      <c r="AB134" s="253"/>
      <c r="AC134" s="252"/>
      <c r="AD134" s="249"/>
      <c r="AE134" s="249"/>
      <c r="AF134" s="249"/>
    </row>
    <row r="135" spans="1:32" s="251" customFormat="1" x14ac:dyDescent="0.25">
      <c r="A135" s="249"/>
      <c r="B135" s="249"/>
      <c r="C135" s="249"/>
      <c r="D135" s="249"/>
      <c r="E135" s="249"/>
      <c r="F135" s="249"/>
      <c r="G135" s="249"/>
      <c r="H135" s="249"/>
      <c r="I135" s="249"/>
      <c r="J135" s="249"/>
      <c r="K135" s="249"/>
      <c r="L135" s="249"/>
      <c r="M135" s="249"/>
      <c r="N135" s="249"/>
      <c r="O135" s="249"/>
      <c r="P135" s="249"/>
      <c r="Q135" s="249"/>
      <c r="R135" s="249"/>
      <c r="S135" s="249"/>
      <c r="T135" s="249"/>
      <c r="U135" s="249"/>
      <c r="V135" s="249"/>
      <c r="W135" s="249"/>
      <c r="X135" s="249"/>
      <c r="Y135" s="252"/>
      <c r="Z135" s="252"/>
      <c r="AA135" s="253"/>
      <c r="AB135" s="253"/>
      <c r="AC135" s="252"/>
      <c r="AD135" s="249"/>
      <c r="AE135" s="249"/>
      <c r="AF135" s="249"/>
    </row>
    <row r="136" spans="1:32" s="251" customFormat="1" x14ac:dyDescent="0.25">
      <c r="A136" s="249"/>
      <c r="B136" s="249"/>
      <c r="C136" s="249"/>
      <c r="D136" s="249"/>
      <c r="E136" s="249"/>
      <c r="F136" s="249"/>
      <c r="G136" s="249"/>
      <c r="H136" s="249"/>
      <c r="I136" s="249"/>
      <c r="J136" s="249"/>
      <c r="K136" s="249"/>
      <c r="L136" s="249"/>
      <c r="M136" s="249"/>
      <c r="N136" s="249"/>
      <c r="O136" s="249"/>
      <c r="P136" s="249"/>
      <c r="Q136" s="249"/>
      <c r="R136" s="249"/>
      <c r="S136" s="249"/>
      <c r="T136" s="249"/>
      <c r="U136" s="249"/>
      <c r="V136" s="249"/>
      <c r="W136" s="249"/>
      <c r="X136" s="249"/>
      <c r="Y136" s="252"/>
      <c r="Z136" s="252"/>
      <c r="AA136" s="253"/>
      <c r="AB136" s="253"/>
      <c r="AC136" s="252"/>
      <c r="AD136" s="249"/>
      <c r="AE136" s="249"/>
      <c r="AF136" s="249"/>
    </row>
    <row r="137" spans="1:32" s="251" customFormat="1" ht="15" x14ac:dyDescent="0.25">
      <c r="A137" s="249"/>
      <c r="B137" s="250" t="str">
        <f>$C$128</f>
        <v>Bangladesh</v>
      </c>
      <c r="C137" s="246" t="s">
        <v>14541</v>
      </c>
      <c r="D137" s="246"/>
      <c r="E137" s="246"/>
      <c r="F137" s="246"/>
      <c r="G137" s="246"/>
      <c r="H137" s="249"/>
      <c r="I137" s="249"/>
      <c r="J137" s="249"/>
      <c r="K137" s="249"/>
      <c r="L137" s="249"/>
      <c r="M137" s="249"/>
      <c r="N137" s="249"/>
      <c r="O137" s="249"/>
      <c r="P137" s="249"/>
      <c r="Q137" s="249"/>
      <c r="R137" s="249"/>
      <c r="S137" s="249"/>
      <c r="T137" s="249"/>
      <c r="U137" s="249"/>
      <c r="V137" s="249"/>
      <c r="W137" s="249"/>
      <c r="X137" s="249"/>
      <c r="Y137" s="252"/>
      <c r="Z137" s="252"/>
      <c r="AA137" s="253"/>
      <c r="AB137" s="253"/>
      <c r="AC137" s="252"/>
      <c r="AD137" s="249"/>
      <c r="AE137" s="249"/>
      <c r="AF137" s="249"/>
    </row>
    <row r="138" spans="1:32" ht="15" x14ac:dyDescent="0.25">
      <c r="A138" s="65"/>
      <c r="B138" s="246"/>
      <c r="C138" s="247" t="str">
        <f>IFERROR("Did not work on gender"&amp;CHAR(10)&amp;"(n="&amp;(VLOOKUP($D$1,'Gender marker'!A108:V211,17,FALSE)+VLOOKUP($D$1,'Gender marker'!A108:V211,18,FALSE))&amp;")","")</f>
        <v>Did not work on gender
(n=0)</v>
      </c>
      <c r="D138" s="247" t="str">
        <f>IFERROR("Worked within existing gender roles"&amp;CHAR(10)&amp;"(n="&amp;(VLOOKUP($D$1,'Gender marker'!$A$108:$V$211,19,FALSE)+VLOOKUP($D$1,'Gender marker'!$A$108:$V$211,20,FALSE))&amp;")","")</f>
        <v>Worked within existing gender roles
(n=30)</v>
      </c>
      <c r="E138" s="247" t="str">
        <f>IFERROR("Challenged existing gender roles"&amp;CHAR(10)&amp;"(n="&amp;(VLOOKUP($D$1,'Gender marker'!$A$108:$V$211,21,FALSE)+VLOOKUP($D$1,'Gender marker'!$A$108:$V$211,22,FALSE))&amp;")","")</f>
        <v>Challenged existing gender roles
(n=18)</v>
      </c>
      <c r="F138" s="246"/>
      <c r="G138"/>
      <c r="H138" s="65"/>
      <c r="I138" s="65"/>
      <c r="J138" s="65"/>
      <c r="K138" s="65"/>
      <c r="L138" s="65"/>
      <c r="M138" s="65"/>
      <c r="N138" s="65"/>
      <c r="O138" s="65"/>
      <c r="P138" s="65"/>
      <c r="Q138" s="65"/>
      <c r="R138" s="65"/>
      <c r="S138" s="65"/>
      <c r="T138" s="65"/>
      <c r="U138" s="65"/>
      <c r="V138" s="65"/>
      <c r="W138" s="65"/>
      <c r="X138" s="65"/>
      <c r="Y138" s="252"/>
      <c r="Z138" s="252"/>
      <c r="AA138" s="253"/>
      <c r="AB138" s="253"/>
      <c r="AC138" s="252"/>
      <c r="AD138" s="249"/>
      <c r="AE138" s="65"/>
      <c r="AF138" s="65"/>
    </row>
    <row r="139" spans="1:32" ht="15" x14ac:dyDescent="0.25">
      <c r="A139" s="65"/>
      <c r="B139" s="246" t="s">
        <v>14538</v>
      </c>
      <c r="C139" s="248" t="str">
        <f>_xlfn.IFNA(VLOOKUP($D$1,'Gender marker'!$Y$112:$AB$211,2,FALSE),"")</f>
        <v/>
      </c>
      <c r="D139" s="248">
        <f>_xlfn.IFNA(VLOOKUP($D$1,'Gender marker'!$Y$112:$AB$211,3,FALSE),"")</f>
        <v>1</v>
      </c>
      <c r="E139" s="248">
        <f>_xlfn.IFNA(VLOOKUP($D$1,'Gender marker'!$Y$112:$AB$211,4,FALSE),"")</f>
        <v>0.88888888888888884</v>
      </c>
      <c r="F139" s="246"/>
      <c r="G139"/>
      <c r="H139" s="65"/>
      <c r="I139" s="65"/>
      <c r="J139" s="65"/>
      <c r="K139" s="65"/>
      <c r="L139" s="65"/>
      <c r="M139" s="65"/>
      <c r="N139" s="65"/>
      <c r="O139" s="65"/>
      <c r="P139" s="65"/>
      <c r="Q139" s="65"/>
      <c r="R139" s="65"/>
      <c r="S139" s="65"/>
      <c r="T139" s="65"/>
      <c r="U139" s="65"/>
      <c r="V139" s="65"/>
      <c r="W139" s="65"/>
      <c r="X139" s="65"/>
      <c r="Y139" s="252"/>
      <c r="Z139" s="252"/>
      <c r="AA139" s="253"/>
      <c r="AB139" s="253"/>
      <c r="AC139" s="252"/>
      <c r="AD139" s="249"/>
      <c r="AE139" s="65"/>
      <c r="AF139" s="65"/>
    </row>
    <row r="140" spans="1:32" ht="15" x14ac:dyDescent="0.25">
      <c r="A140" s="65"/>
      <c r="B140" s="246" t="s">
        <v>14542</v>
      </c>
      <c r="C140" s="248" t="str">
        <f>_xlfn.IFNA(VLOOKUP($D$1,'Gender marker'!$Y$218:$AB$317,2,FALSE),"")</f>
        <v/>
      </c>
      <c r="D140" s="248">
        <f>_xlfn.IFNA(VLOOKUP($D$1,'Gender marker'!$Y$218:$AB$317,3,FALSE),"")</f>
        <v>1</v>
      </c>
      <c r="E140" s="248">
        <f>_xlfn.IFNA(VLOOKUP($D$1,'Gender marker'!$Y$218:$AB$317,4,FALSE),"")</f>
        <v>0.88888888888888884</v>
      </c>
      <c r="F140" s="246"/>
      <c r="G140"/>
      <c r="H140" s="65"/>
      <c r="I140" s="65"/>
      <c r="J140" s="65"/>
      <c r="K140" s="65"/>
      <c r="L140" s="65"/>
      <c r="M140" s="65"/>
      <c r="N140" s="65"/>
      <c r="O140" s="65"/>
      <c r="P140" s="65"/>
      <c r="Q140" s="65"/>
      <c r="R140" s="65"/>
      <c r="S140" s="65"/>
      <c r="T140" s="65"/>
      <c r="U140" s="65"/>
      <c r="V140" s="65"/>
      <c r="W140" s="65"/>
      <c r="X140" s="65"/>
      <c r="Y140" s="252"/>
      <c r="Z140" s="252"/>
      <c r="AA140" s="253"/>
      <c r="AB140" s="253"/>
      <c r="AC140" s="252"/>
      <c r="AD140" s="249"/>
      <c r="AE140" s="65"/>
      <c r="AF140" s="65"/>
    </row>
    <row r="141" spans="1:32" ht="15" x14ac:dyDescent="0.25">
      <c r="A141" s="65"/>
      <c r="B141" s="246" t="s">
        <v>14527</v>
      </c>
      <c r="C141" s="248" t="str">
        <f>_xlfn.IFNA(VLOOKUP($D$1,'Gender marker'!$Y$320:$AB$423,2,FALSE),"")</f>
        <v/>
      </c>
      <c r="D141" s="248">
        <f>_xlfn.IFNA(VLOOKUP($D$1,'Gender marker'!$Y$320:$AB$423,3,FALSE),"")</f>
        <v>1</v>
      </c>
      <c r="E141" s="248">
        <f>_xlfn.IFNA(VLOOKUP($D$1,'Gender marker'!$Y$320:$AB$423,4,FALSE),"")</f>
        <v>0.83333333333333337</v>
      </c>
      <c r="F141" s="246"/>
      <c r="G141"/>
      <c r="H141" s="65"/>
      <c r="I141" s="65"/>
      <c r="J141" s="65"/>
      <c r="K141" s="65"/>
      <c r="L141" s="65"/>
      <c r="M141" s="65"/>
      <c r="N141" s="65"/>
      <c r="O141" s="65"/>
      <c r="P141" s="65"/>
      <c r="Q141" s="65"/>
      <c r="R141" s="65"/>
      <c r="S141" s="65"/>
      <c r="T141" s="65"/>
      <c r="U141" s="65"/>
      <c r="V141" s="65"/>
      <c r="W141" s="65"/>
      <c r="X141" s="65"/>
      <c r="Y141" s="252"/>
      <c r="Z141" s="252"/>
      <c r="AA141" s="253"/>
      <c r="AB141" s="253"/>
      <c r="AC141" s="252"/>
      <c r="AD141" s="249"/>
      <c r="AE141" s="65"/>
      <c r="AF141" s="65"/>
    </row>
    <row r="142" spans="1:32" ht="15" x14ac:dyDescent="0.25">
      <c r="A142" s="65"/>
      <c r="B142" s="246" t="s">
        <v>14543</v>
      </c>
      <c r="C142" s="248" t="str">
        <f>_xlfn.IFNA(VLOOKUP($D$1,'Gender marker'!$Y$426:$AB$529,2,FALSE),"")</f>
        <v/>
      </c>
      <c r="D142" s="248">
        <f>_xlfn.IFNA(VLOOKUP($D$1,'Gender marker'!$Y$426:$AB$529,3,FALSE),"")</f>
        <v>0.83333333333333337</v>
      </c>
      <c r="E142" s="248">
        <f>_xlfn.IFNA(VLOOKUP($D$1,'Gender marker'!$Y$426:$AB$529,4,FALSE),"")</f>
        <v>0.66666666666666663</v>
      </c>
      <c r="F142" s="246"/>
      <c r="G142"/>
      <c r="H142" s="65"/>
      <c r="I142" s="65"/>
      <c r="J142" s="65"/>
      <c r="K142" s="65"/>
      <c r="L142" s="65"/>
      <c r="M142" s="65"/>
      <c r="N142" s="65"/>
      <c r="O142" s="65"/>
      <c r="P142" s="65"/>
      <c r="Q142" s="65"/>
      <c r="R142" s="65"/>
      <c r="S142" s="65"/>
      <c r="T142" s="65"/>
      <c r="U142" s="65"/>
      <c r="V142" s="65"/>
      <c r="W142" s="65"/>
      <c r="X142" s="65"/>
      <c r="Y142" s="252"/>
      <c r="Z142" s="252"/>
      <c r="AA142" s="253"/>
      <c r="AB142" s="253"/>
      <c r="AC142" s="252"/>
      <c r="AD142" s="249"/>
      <c r="AE142" s="65"/>
      <c r="AF142" s="65"/>
    </row>
    <row r="143" spans="1:32" x14ac:dyDescent="0.25">
      <c r="A143" s="65"/>
      <c r="B143" s="249"/>
      <c r="C143" s="249"/>
      <c r="D143" s="249"/>
      <c r="E143" s="249"/>
      <c r="F143" s="249"/>
      <c r="G143" s="65"/>
      <c r="H143" s="65"/>
      <c r="I143" s="65"/>
      <c r="J143" s="65"/>
      <c r="K143" s="65"/>
      <c r="L143" s="65"/>
      <c r="M143" s="65"/>
      <c r="N143" s="65"/>
      <c r="O143" s="65"/>
      <c r="P143" s="65"/>
      <c r="Q143" s="65"/>
      <c r="R143" s="65"/>
      <c r="S143" s="65"/>
      <c r="T143" s="65"/>
      <c r="U143" s="65"/>
      <c r="V143" s="65"/>
      <c r="W143" s="65"/>
      <c r="X143" s="65"/>
      <c r="Y143" s="252"/>
      <c r="Z143" s="252"/>
      <c r="AA143" s="253"/>
      <c r="AB143" s="253"/>
      <c r="AC143" s="252"/>
      <c r="AD143" s="249"/>
      <c r="AE143" s="65"/>
      <c r="AF143" s="65"/>
    </row>
    <row r="144" spans="1:32" ht="15" x14ac:dyDescent="0.25">
      <c r="A144" s="65"/>
      <c r="B144" s="250" t="str">
        <f>$C$128</f>
        <v>Bangladesh</v>
      </c>
      <c r="C144" s="246" t="s">
        <v>14541</v>
      </c>
      <c r="D144" s="246"/>
      <c r="E144" s="246"/>
      <c r="F144" s="249"/>
      <c r="G144" s="65"/>
      <c r="H144" s="65"/>
      <c r="I144" s="65"/>
      <c r="J144" s="65"/>
      <c r="K144" s="65"/>
      <c r="L144" s="65"/>
      <c r="M144" s="65"/>
      <c r="N144" s="65"/>
      <c r="O144" s="65"/>
      <c r="P144" s="65"/>
      <c r="Q144" s="65"/>
      <c r="R144" s="65"/>
      <c r="S144" s="65"/>
      <c r="T144" s="65"/>
      <c r="U144" s="65"/>
      <c r="V144" s="65"/>
      <c r="W144" s="65"/>
      <c r="X144" s="65"/>
      <c r="Y144" s="252"/>
      <c r="Z144" s="252"/>
      <c r="AA144" s="253"/>
      <c r="AB144" s="253"/>
      <c r="AC144" s="252"/>
      <c r="AD144" s="249"/>
      <c r="AE144" s="65"/>
      <c r="AF144" s="65"/>
    </row>
    <row r="145" spans="1:32" ht="15" x14ac:dyDescent="0.25">
      <c r="A145" s="65"/>
      <c r="B145" s="246"/>
      <c r="C145" s="247" t="str">
        <f>IFERROR("Did not consider governance"&amp;CHAR(10)&amp;"(n="&amp;(VLOOKUP($D$1,'Governance marker'!A115:V218,17,FALSE)+VLOOKUP($D$1,'Governance marker'!A115:V218,18,FALSE))&amp;")","")</f>
        <v>Did not consider governance
(n=1)</v>
      </c>
      <c r="D145" s="247" t="str">
        <f>IFERROR("Worked within existing structures"&amp;CHAR(10)&amp;"(n="&amp;(VLOOKUP($D$1,'Governance marker'!$A$108:$V$211,19,FALSE)+VLOOKUP($D$1,'Governance marker'!$A$108:$V$211,20,FALSE))&amp;")","")</f>
        <v>Worked within existing structures
(n=43)</v>
      </c>
      <c r="E145" s="247" t="str">
        <f>IFERROR("Challenged existing structures"&amp;CHAR(10)&amp;"(n="&amp;(VLOOKUP($D$1,'Governance marker'!$A$108:$V$211,21,FALSE)+VLOOKUP($D$1,'Governance marker'!$A$108:$V$211,22,FALSE))&amp;")","")</f>
        <v>Challenged existing structures
(n=3)</v>
      </c>
      <c r="F145" s="249"/>
      <c r="G145" s="65"/>
      <c r="H145" s="65"/>
      <c r="I145" s="65"/>
      <c r="J145" s="65"/>
      <c r="K145" s="65"/>
      <c r="L145" s="65"/>
      <c r="M145" s="65"/>
      <c r="N145" s="65"/>
      <c r="O145" s="65"/>
      <c r="P145" s="65"/>
      <c r="Q145" s="65"/>
      <c r="R145" s="65"/>
      <c r="S145" s="65"/>
      <c r="T145" s="65"/>
      <c r="U145" s="65"/>
      <c r="V145" s="65"/>
      <c r="W145" s="65"/>
      <c r="X145" s="65"/>
      <c r="Y145" s="252"/>
      <c r="Z145" s="252"/>
      <c r="AA145" s="253"/>
      <c r="AB145" s="253"/>
      <c r="AC145" s="252"/>
      <c r="AD145" s="249"/>
      <c r="AE145" s="65"/>
      <c r="AF145" s="65"/>
    </row>
    <row r="146" spans="1:32" ht="15" x14ac:dyDescent="0.25">
      <c r="A146" s="65"/>
      <c r="B146" s="246" t="s">
        <v>14538</v>
      </c>
      <c r="C146" s="248">
        <f>_xlfn.IFNA(VLOOKUP($D$1,'Governance marker'!$Y$112:$AB$211,2,FALSE),"")</f>
        <v>0</v>
      </c>
      <c r="D146" s="248">
        <f>_xlfn.IFNA(VLOOKUP($D$1,'Governance marker'!$Y$112:$AB$211,3,FALSE),"")</f>
        <v>0.88372093023255816</v>
      </c>
      <c r="E146" s="248">
        <f>_xlfn.IFNA(VLOOKUP($D$1,'Governance marker'!$Y$112:$AB$211,4,FALSE),"")</f>
        <v>1</v>
      </c>
      <c r="F146" s="249"/>
      <c r="G146" s="65"/>
      <c r="H146" s="65"/>
      <c r="I146" s="65"/>
      <c r="J146" s="65"/>
      <c r="K146" s="65"/>
      <c r="L146" s="65"/>
      <c r="M146" s="65"/>
      <c r="N146" s="65"/>
      <c r="O146" s="65"/>
      <c r="P146" s="65"/>
      <c r="Q146" s="65"/>
      <c r="R146" s="65"/>
      <c r="S146" s="65"/>
      <c r="T146" s="65"/>
      <c r="U146" s="65"/>
      <c r="V146" s="65"/>
      <c r="W146" s="65"/>
      <c r="X146" s="65"/>
      <c r="Y146" s="252"/>
      <c r="Z146" s="252"/>
      <c r="AA146" s="253"/>
      <c r="AB146" s="253"/>
      <c r="AC146" s="252"/>
      <c r="AD146" s="249"/>
      <c r="AE146" s="65"/>
      <c r="AF146" s="65"/>
    </row>
    <row r="147" spans="1:32" ht="15" x14ac:dyDescent="0.25">
      <c r="A147" s="65"/>
      <c r="B147" s="246" t="s">
        <v>14542</v>
      </c>
      <c r="C147" s="248">
        <f>_xlfn.IFNA(VLOOKUP($D$1,'Governance marker'!$Y$218:$AB$317,2,FALSE),"")</f>
        <v>0</v>
      </c>
      <c r="D147" s="248">
        <f>_xlfn.IFNA(VLOOKUP($D$1,'Governance marker'!$Y$218:$AB$317,3,FALSE),"")</f>
        <v>0.88372093023255816</v>
      </c>
      <c r="E147" s="248">
        <f>_xlfn.IFNA(VLOOKUP($D$1,'Governance marker'!$Y$218:$AB$317,4,FALSE),"")</f>
        <v>1</v>
      </c>
      <c r="F147" s="249"/>
      <c r="G147" s="65"/>
      <c r="H147" s="65"/>
      <c r="I147" s="65"/>
      <c r="J147" s="65"/>
      <c r="K147" s="65"/>
      <c r="L147" s="65"/>
      <c r="M147" s="65"/>
      <c r="N147" s="65"/>
      <c r="O147" s="65"/>
      <c r="P147" s="65"/>
      <c r="Q147" s="65"/>
      <c r="R147" s="65"/>
      <c r="S147" s="65"/>
      <c r="T147" s="65"/>
      <c r="U147" s="65"/>
      <c r="V147" s="65"/>
      <c r="W147" s="65"/>
      <c r="X147" s="65"/>
      <c r="Y147" s="252"/>
      <c r="Z147" s="252"/>
      <c r="AA147" s="253"/>
      <c r="AB147" s="253"/>
      <c r="AC147" s="252"/>
      <c r="AD147" s="249"/>
      <c r="AE147" s="65"/>
      <c r="AF147" s="65"/>
    </row>
    <row r="148" spans="1:32" ht="15" x14ac:dyDescent="0.25">
      <c r="A148" s="65"/>
      <c r="B148" s="246" t="s">
        <v>14557</v>
      </c>
      <c r="C148" s="248">
        <f>_xlfn.IFNA(VLOOKUP($D$1,'Governance marker'!$Y$320:$AB$423,2,FALSE),"")</f>
        <v>0</v>
      </c>
      <c r="D148" s="248">
        <f>_xlfn.IFNA(VLOOKUP($D$1,'Governance marker'!$Y$320:$AB$423,3,FALSE),"")</f>
        <v>0.95348837209302328</v>
      </c>
      <c r="E148" s="248">
        <f>_xlfn.IFNA(VLOOKUP($D$1,'Governance marker'!$Y$320:$AB$423,4,FALSE),"")</f>
        <v>1</v>
      </c>
      <c r="F148" s="249"/>
      <c r="G148" s="65"/>
      <c r="H148" s="65"/>
      <c r="I148" s="65"/>
      <c r="J148" s="65"/>
      <c r="K148" s="65"/>
      <c r="L148" s="65"/>
      <c r="M148" s="65"/>
      <c r="N148" s="65"/>
      <c r="O148" s="65"/>
      <c r="P148" s="65"/>
      <c r="Q148" s="65"/>
      <c r="R148" s="65"/>
      <c r="S148" s="65"/>
      <c r="T148" s="65"/>
      <c r="U148" s="65"/>
      <c r="V148" s="65"/>
      <c r="W148" s="65"/>
      <c r="X148" s="65"/>
      <c r="Y148" s="252"/>
      <c r="Z148" s="252"/>
      <c r="AA148" s="253"/>
      <c r="AB148" s="253"/>
      <c r="AC148" s="252"/>
      <c r="AD148" s="249"/>
      <c r="AE148" s="65"/>
      <c r="AF148" s="65"/>
    </row>
    <row r="149" spans="1:32" ht="15" x14ac:dyDescent="0.25">
      <c r="A149" s="65"/>
      <c r="B149" s="246" t="s">
        <v>14558</v>
      </c>
      <c r="C149" s="248">
        <f>_xlfn.IFNA(VLOOKUP($D$1,'Governance marker'!$Y$426:$AB$529,2,FALSE),"")</f>
        <v>0</v>
      </c>
      <c r="D149" s="248">
        <f>_xlfn.IFNA(VLOOKUP($D$1,'Governance marker'!$Y$426:$AB$529,3,FALSE),"")</f>
        <v>0.86046511627906974</v>
      </c>
      <c r="E149" s="248">
        <f>_xlfn.IFNA(VLOOKUP($D$1,'Governance marker'!$Y$426:$AB$529,4,FALSE),"")</f>
        <v>1</v>
      </c>
      <c r="F149" s="249"/>
      <c r="G149" s="65"/>
      <c r="H149" s="65"/>
      <c r="I149" s="65"/>
      <c r="J149" s="65"/>
      <c r="K149" s="65"/>
      <c r="L149" s="65"/>
      <c r="M149" s="65"/>
      <c r="N149" s="65"/>
      <c r="O149" s="65"/>
      <c r="P149" s="65"/>
      <c r="Q149" s="65"/>
      <c r="R149" s="65"/>
      <c r="S149" s="65"/>
      <c r="T149" s="65"/>
      <c r="U149" s="65"/>
      <c r="V149" s="65"/>
      <c r="W149" s="65"/>
      <c r="X149" s="65"/>
      <c r="Y149" s="252"/>
      <c r="Z149" s="252"/>
      <c r="AA149" s="253"/>
      <c r="AB149" s="253"/>
      <c r="AC149" s="252"/>
      <c r="AD149" s="249"/>
      <c r="AE149" s="65"/>
      <c r="AF149" s="65"/>
    </row>
    <row r="150" spans="1:32" x14ac:dyDescent="0.25">
      <c r="A150" s="65"/>
      <c r="B150" s="249"/>
      <c r="C150" s="249"/>
      <c r="D150" s="249"/>
      <c r="E150" s="249"/>
      <c r="F150" s="249"/>
      <c r="G150" s="65"/>
      <c r="H150" s="65"/>
      <c r="I150" s="65"/>
      <c r="J150" s="65"/>
      <c r="K150" s="65"/>
      <c r="L150" s="65"/>
      <c r="M150" s="65"/>
      <c r="N150" s="65"/>
      <c r="O150" s="65"/>
      <c r="P150" s="65"/>
      <c r="Q150" s="65"/>
      <c r="R150" s="65"/>
      <c r="S150" s="65"/>
      <c r="T150" s="65"/>
      <c r="U150" s="65"/>
      <c r="V150" s="65"/>
      <c r="W150" s="65"/>
      <c r="X150" s="65"/>
      <c r="Y150" s="252"/>
      <c r="Z150" s="252"/>
      <c r="AA150" s="253"/>
      <c r="AB150" s="253"/>
      <c r="AC150" s="252"/>
      <c r="AD150" s="249"/>
      <c r="AE150" s="65"/>
      <c r="AF150" s="65"/>
    </row>
    <row r="151" spans="1:32" ht="15" x14ac:dyDescent="0.25">
      <c r="A151" s="65"/>
      <c r="B151" s="250" t="str">
        <f>$C$128</f>
        <v>Bangladesh</v>
      </c>
      <c r="C151" s="246" t="s">
        <v>14541</v>
      </c>
      <c r="D151" s="246"/>
      <c r="E151" s="246"/>
      <c r="F151" s="249"/>
      <c r="G151" s="65"/>
      <c r="H151" s="65"/>
      <c r="I151" s="65"/>
      <c r="J151" s="65"/>
      <c r="K151" s="65"/>
      <c r="L151" s="65"/>
      <c r="M151" s="65"/>
      <c r="N151" s="65"/>
      <c r="O151" s="65"/>
      <c r="P151" s="65"/>
      <c r="Q151" s="65"/>
      <c r="R151" s="65"/>
      <c r="S151" s="65"/>
      <c r="T151" s="65"/>
      <c r="U151" s="65"/>
      <c r="V151" s="65"/>
      <c r="W151" s="65"/>
      <c r="X151" s="65"/>
      <c r="Y151" s="252"/>
      <c r="Z151" s="252"/>
      <c r="AA151" s="253"/>
      <c r="AB151" s="253"/>
      <c r="AC151" s="252"/>
      <c r="AD151" s="249"/>
      <c r="AE151" s="65"/>
      <c r="AF151" s="65"/>
    </row>
    <row r="152" spans="1:32" ht="15" x14ac:dyDescent="0.25">
      <c r="A152" s="65"/>
      <c r="B152" s="246"/>
      <c r="C152" s="247" t="str">
        <f>IFERROR("Did not address resilience"&amp;CHAR(10)&amp;"(n="&amp;(VLOOKUP($D$1,'Resilience marker'!A122:V225,17,FALSE)+VLOOKUP($D$1,'Resilience marker'!A122:V225,18,FALSE))&amp;")","")</f>
        <v>Did not address resilience
(n=0)</v>
      </c>
      <c r="D152" s="247" t="str">
        <f>IFERROR("Addressed resilience"&amp;CHAR(10)&amp;"(n="&amp;(VLOOKUP($D$1,'Resilience marker'!$A$108:$V$211,19,FALSE)+VLOOKUP($D$1,'Resilience marker'!$A$108:$V$211,20,FALSE))&amp;")","")</f>
        <v>Addressed resilience
(n=21)</v>
      </c>
      <c r="E152" s="247" t="str">
        <f>IFERROR("Addressed resilience AND underlying drivers"&amp;CHAR(10)&amp;"(n="&amp;(VLOOKUP($D$1,'Resilience marker'!$A$108:$V$211,21,FALSE)+VLOOKUP($D$1,'Resilience marker'!$A$108:$V$211,22,FALSE))&amp;")","")</f>
        <v>Addressed resilience AND underlying drivers
(n=10)</v>
      </c>
      <c r="F152" s="249"/>
      <c r="G152" s="65"/>
      <c r="H152" s="65"/>
      <c r="I152" s="65"/>
      <c r="J152" s="65"/>
      <c r="K152" s="65"/>
      <c r="L152" s="65"/>
      <c r="M152" s="65"/>
      <c r="N152" s="65"/>
      <c r="O152" s="65"/>
      <c r="P152" s="65"/>
      <c r="Q152" s="65"/>
      <c r="R152" s="65"/>
      <c r="S152" s="65"/>
      <c r="T152" s="65"/>
      <c r="U152" s="65"/>
      <c r="V152" s="65"/>
      <c r="W152" s="65"/>
      <c r="X152" s="65"/>
      <c r="Y152" s="252"/>
      <c r="Z152" s="252"/>
      <c r="AA152" s="253"/>
      <c r="AB152" s="253"/>
      <c r="AC152" s="252"/>
      <c r="AD152" s="249"/>
      <c r="AE152" s="65"/>
      <c r="AF152" s="65"/>
    </row>
    <row r="153" spans="1:32" ht="15" x14ac:dyDescent="0.25">
      <c r="A153" s="65"/>
      <c r="B153" s="246" t="s">
        <v>14538</v>
      </c>
      <c r="C153" s="248" t="str">
        <f>_xlfn.IFNA(VLOOKUP($D$1,'Resilience marker'!$Y$112:$AB$211,2,FALSE),"")</f>
        <v/>
      </c>
      <c r="D153" s="248">
        <f>_xlfn.IFNA(VLOOKUP($D$1,'Resilience marker'!$Y$112:$AB$211,3,FALSE),"")</f>
        <v>0.95238095238095233</v>
      </c>
      <c r="E153" s="248">
        <f>_xlfn.IFNA(VLOOKUP($D$1,'Resilience marker'!$Y$112:$AB$211,4,FALSE),"")</f>
        <v>1</v>
      </c>
      <c r="F153" s="249"/>
      <c r="G153" s="65"/>
      <c r="H153" s="65"/>
      <c r="I153" s="65"/>
      <c r="J153" s="65"/>
      <c r="K153" s="65"/>
      <c r="L153" s="65"/>
      <c r="M153" s="65"/>
      <c r="N153" s="65"/>
      <c r="O153" s="65"/>
      <c r="P153" s="65"/>
      <c r="Q153" s="65"/>
      <c r="R153" s="65"/>
      <c r="S153" s="65"/>
      <c r="T153" s="65"/>
      <c r="U153" s="65"/>
      <c r="V153" s="65"/>
      <c r="W153" s="65"/>
      <c r="X153" s="65"/>
      <c r="Y153" s="252"/>
      <c r="Z153" s="252"/>
      <c r="AA153" s="253"/>
      <c r="AB153" s="253"/>
      <c r="AC153" s="252"/>
      <c r="AD153" s="249"/>
      <c r="AE153" s="65"/>
      <c r="AF153" s="65"/>
    </row>
    <row r="154" spans="1:32" ht="15" x14ac:dyDescent="0.25">
      <c r="A154" s="65"/>
      <c r="B154" s="246" t="s">
        <v>14542</v>
      </c>
      <c r="C154" s="248" t="str">
        <f>_xlfn.IFNA(VLOOKUP($D$1,'Resilience marker'!$Y$218:$AB$317,2,FALSE),"")</f>
        <v/>
      </c>
      <c r="D154" s="248">
        <f>_xlfn.IFNA(VLOOKUP($D$1,'Resilience marker'!$Y$218:$AB$317,3,FALSE),"")</f>
        <v>0.8571428571428571</v>
      </c>
      <c r="E154" s="248">
        <f>_xlfn.IFNA(VLOOKUP($D$1,'Resilience marker'!$Y$218:$AB$317,4,FALSE),"")</f>
        <v>0.9</v>
      </c>
      <c r="F154" s="249"/>
      <c r="G154" s="65"/>
      <c r="H154" s="65"/>
      <c r="I154" s="65"/>
      <c r="J154" s="65"/>
      <c r="K154" s="65"/>
      <c r="L154" s="65"/>
      <c r="M154" s="65"/>
      <c r="N154" s="65"/>
      <c r="O154" s="65"/>
      <c r="P154" s="65"/>
      <c r="Q154" s="65"/>
      <c r="R154" s="65"/>
      <c r="S154" s="65"/>
      <c r="T154" s="65"/>
      <c r="U154" s="65"/>
      <c r="V154" s="65"/>
      <c r="W154" s="65"/>
      <c r="X154" s="65"/>
      <c r="Y154" s="252"/>
      <c r="Z154" s="252"/>
      <c r="AA154" s="253"/>
      <c r="AB154" s="253"/>
      <c r="AC154" s="252"/>
      <c r="AD154" s="249"/>
      <c r="AE154" s="65"/>
      <c r="AF154" s="65"/>
    </row>
    <row r="155" spans="1:32" ht="15" x14ac:dyDescent="0.25">
      <c r="A155" s="65"/>
      <c r="B155" s="246" t="s">
        <v>14559</v>
      </c>
      <c r="C155" s="248" t="str">
        <f>_xlfn.IFNA(VLOOKUP($D$1,'Resilience marker'!$Y$320:$AB$423,2,FALSE),"")</f>
        <v/>
      </c>
      <c r="D155" s="248">
        <f>_xlfn.IFNA(VLOOKUP($D$1,'Resilience marker'!$Y$320:$AB$423,3,FALSE),"")</f>
        <v>0.7142857142857143</v>
      </c>
      <c r="E155" s="248">
        <f>_xlfn.IFNA(VLOOKUP($D$1,'Resilience marker'!$Y$320:$AB$423,4,FALSE),"")</f>
        <v>0.9</v>
      </c>
      <c r="F155" s="249"/>
      <c r="G155" s="65"/>
      <c r="H155" s="65"/>
      <c r="I155" s="65"/>
      <c r="J155" s="65"/>
      <c r="K155" s="65"/>
      <c r="L155" s="65"/>
      <c r="M155" s="65"/>
      <c r="N155" s="65"/>
      <c r="O155" s="65"/>
      <c r="P155" s="65"/>
      <c r="Q155" s="65"/>
      <c r="R155" s="65"/>
      <c r="S155" s="65"/>
      <c r="T155" s="65"/>
      <c r="U155" s="65"/>
      <c r="V155" s="65"/>
      <c r="W155" s="65"/>
      <c r="X155" s="65"/>
      <c r="Y155" s="252"/>
      <c r="Z155" s="252"/>
      <c r="AA155" s="253"/>
      <c r="AB155" s="253"/>
      <c r="AC155" s="252"/>
      <c r="AD155" s="249"/>
      <c r="AE155" s="65"/>
      <c r="AF155" s="65"/>
    </row>
    <row r="156" spans="1:32" ht="15" x14ac:dyDescent="0.25">
      <c r="A156" s="65"/>
      <c r="B156"/>
      <c r="C156" s="248"/>
      <c r="D156" s="248"/>
      <c r="E156" s="248"/>
      <c r="F156" s="65"/>
      <c r="G156" s="65"/>
      <c r="H156" s="65"/>
      <c r="I156" s="65"/>
      <c r="J156" s="65"/>
      <c r="K156" s="65"/>
      <c r="L156" s="65"/>
      <c r="M156" s="65"/>
      <c r="N156" s="65"/>
      <c r="O156" s="65"/>
      <c r="P156" s="65"/>
      <c r="Q156" s="65"/>
      <c r="R156" s="65"/>
      <c r="S156" s="65"/>
      <c r="T156" s="65"/>
      <c r="U156" s="65"/>
      <c r="V156" s="65"/>
      <c r="W156" s="65"/>
      <c r="X156" s="65"/>
      <c r="Y156" s="252"/>
      <c r="Z156" s="252"/>
      <c r="AA156" s="253"/>
      <c r="AB156" s="253"/>
      <c r="AC156" s="252"/>
      <c r="AD156" s="249"/>
      <c r="AE156" s="65"/>
      <c r="AF156" s="65"/>
    </row>
    <row r="157" spans="1:32" x14ac:dyDescent="0.25">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252"/>
      <c r="Z157" s="252"/>
      <c r="AA157" s="253"/>
      <c r="AB157" s="253"/>
      <c r="AC157" s="252"/>
      <c r="AD157" s="249"/>
      <c r="AE157" s="65"/>
      <c r="AF157" s="65"/>
    </row>
    <row r="158" spans="1:32" x14ac:dyDescent="0.25">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252"/>
      <c r="Z158" s="252"/>
      <c r="AA158" s="253"/>
      <c r="AB158" s="253"/>
      <c r="AC158" s="252"/>
      <c r="AD158" s="249"/>
      <c r="AE158" s="65"/>
      <c r="AF158" s="65"/>
    </row>
    <row r="159" spans="1:32" x14ac:dyDescent="0.25">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252"/>
      <c r="Z159" s="252"/>
      <c r="AA159" s="253"/>
      <c r="AB159" s="253"/>
      <c r="AC159" s="252"/>
      <c r="AD159" s="249"/>
      <c r="AE159" s="65"/>
      <c r="AF159" s="65"/>
    </row>
    <row r="160" spans="1:32" x14ac:dyDescent="0.25">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252"/>
      <c r="Z160" s="252"/>
      <c r="AA160" s="253"/>
      <c r="AB160" s="253"/>
      <c r="AC160" s="252"/>
      <c r="AD160" s="249"/>
      <c r="AE160" s="65"/>
      <c r="AF160" s="65"/>
    </row>
    <row r="161" spans="1:32" x14ac:dyDescent="0.25">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252"/>
      <c r="Z161" s="252"/>
      <c r="AA161" s="253"/>
      <c r="AB161" s="253"/>
      <c r="AC161" s="252"/>
      <c r="AD161" s="249"/>
      <c r="AE161" s="65"/>
      <c r="AF161" s="65"/>
    </row>
    <row r="162" spans="1:32" x14ac:dyDescent="0.25">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252"/>
      <c r="Z162" s="252"/>
      <c r="AA162" s="253"/>
      <c r="AB162" s="253"/>
      <c r="AC162" s="252"/>
      <c r="AD162" s="249"/>
      <c r="AE162" s="65"/>
      <c r="AF162" s="65"/>
    </row>
    <row r="163" spans="1:32" x14ac:dyDescent="0.25">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252"/>
      <c r="Z163" s="252"/>
      <c r="AA163" s="253"/>
      <c r="AB163" s="253"/>
      <c r="AC163" s="252"/>
      <c r="AD163" s="249"/>
      <c r="AE163" s="65"/>
      <c r="AF163" s="65"/>
    </row>
    <row r="164" spans="1:32" x14ac:dyDescent="0.25">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252"/>
      <c r="Z164" s="252"/>
      <c r="AA164" s="253"/>
      <c r="AB164" s="253"/>
      <c r="AC164" s="252"/>
      <c r="AD164" s="249"/>
      <c r="AE164" s="65"/>
      <c r="AF164" s="65"/>
    </row>
    <row r="165" spans="1:32" x14ac:dyDescent="0.25">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252"/>
      <c r="Z165" s="252"/>
      <c r="AA165" s="253"/>
      <c r="AB165" s="253"/>
      <c r="AC165" s="252"/>
      <c r="AD165" s="249"/>
      <c r="AE165" s="65"/>
      <c r="AF165" s="65"/>
    </row>
    <row r="166" spans="1:32" x14ac:dyDescent="0.25">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252"/>
      <c r="Z166" s="252"/>
      <c r="AA166" s="253"/>
      <c r="AB166" s="253"/>
      <c r="AC166" s="252"/>
      <c r="AD166" s="249"/>
      <c r="AE166" s="65"/>
      <c r="AF166" s="65"/>
    </row>
    <row r="167" spans="1:32" x14ac:dyDescent="0.25">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252"/>
      <c r="Z167" s="252"/>
      <c r="AA167" s="253"/>
      <c r="AB167" s="253"/>
      <c r="AC167" s="252"/>
      <c r="AD167" s="249"/>
      <c r="AE167" s="65"/>
      <c r="AF167" s="65"/>
    </row>
    <row r="168" spans="1:32" x14ac:dyDescent="0.25">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252"/>
      <c r="Z168" s="252"/>
      <c r="AA168" s="253"/>
      <c r="AB168" s="253"/>
      <c r="AC168" s="252"/>
      <c r="AD168" s="249"/>
      <c r="AE168" s="65"/>
      <c r="AF168" s="65"/>
    </row>
    <row r="169" spans="1:32" x14ac:dyDescent="0.25">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252"/>
      <c r="Z169" s="252"/>
      <c r="AA169" s="253"/>
      <c r="AB169" s="253"/>
      <c r="AC169" s="252"/>
      <c r="AD169" s="249"/>
      <c r="AE169" s="65"/>
      <c r="AF169" s="65"/>
    </row>
    <row r="170" spans="1:32" x14ac:dyDescent="0.25">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252"/>
      <c r="Z170" s="252"/>
      <c r="AA170" s="253"/>
      <c r="AB170" s="253"/>
      <c r="AC170" s="252"/>
      <c r="AD170" s="249"/>
      <c r="AE170" s="65"/>
      <c r="AF170" s="65"/>
    </row>
    <row r="171" spans="1:32" x14ac:dyDescent="0.25">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252"/>
      <c r="Z171" s="252"/>
      <c r="AA171" s="253"/>
      <c r="AB171" s="253"/>
      <c r="AC171" s="252"/>
      <c r="AD171" s="249"/>
      <c r="AE171" s="65"/>
      <c r="AF171" s="65"/>
    </row>
    <row r="172" spans="1:32" x14ac:dyDescent="0.25">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252"/>
      <c r="Z172" s="252"/>
      <c r="AA172" s="253"/>
      <c r="AB172" s="253"/>
      <c r="AC172" s="252"/>
      <c r="AD172" s="249"/>
      <c r="AE172" s="65"/>
      <c r="AF172" s="65"/>
    </row>
    <row r="173" spans="1:32" x14ac:dyDescent="0.25">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252"/>
      <c r="Z173" s="252"/>
      <c r="AA173" s="253"/>
      <c r="AB173" s="253"/>
      <c r="AC173" s="252"/>
      <c r="AD173" s="249"/>
      <c r="AE173" s="65"/>
      <c r="AF173" s="65"/>
    </row>
    <row r="174" spans="1:32" x14ac:dyDescent="0.25">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252"/>
      <c r="Z174" s="252"/>
      <c r="AA174" s="253"/>
      <c r="AB174" s="253"/>
      <c r="AC174" s="252"/>
      <c r="AD174" s="249"/>
      <c r="AE174" s="65"/>
      <c r="AF174" s="65"/>
    </row>
    <row r="175" spans="1:32" x14ac:dyDescent="0.25">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252"/>
      <c r="Z175" s="252"/>
      <c r="AA175" s="253"/>
      <c r="AB175" s="253"/>
      <c r="AC175" s="252"/>
      <c r="AD175" s="249"/>
      <c r="AE175" s="65"/>
      <c r="AF175" s="65"/>
    </row>
    <row r="176" spans="1:32" x14ac:dyDescent="0.25">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252"/>
      <c r="Z176" s="252"/>
      <c r="AA176" s="253"/>
      <c r="AB176" s="253"/>
      <c r="AC176" s="252"/>
      <c r="AD176" s="249"/>
      <c r="AE176" s="65"/>
      <c r="AF176" s="65"/>
    </row>
    <row r="177" spans="1:32" x14ac:dyDescent="0.25">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252"/>
      <c r="Z177" s="252"/>
      <c r="AA177" s="253"/>
      <c r="AB177" s="253"/>
      <c r="AC177" s="252"/>
      <c r="AD177" s="249"/>
      <c r="AE177" s="65"/>
      <c r="AF177" s="65"/>
    </row>
    <row r="178" spans="1:32" x14ac:dyDescent="0.25">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252"/>
      <c r="Z178" s="252"/>
      <c r="AA178" s="253"/>
      <c r="AB178" s="253"/>
      <c r="AC178" s="252"/>
      <c r="AD178" s="249"/>
      <c r="AE178" s="65"/>
      <c r="AF178" s="65"/>
    </row>
    <row r="179" spans="1:32" x14ac:dyDescent="0.25">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252"/>
      <c r="Z179" s="252"/>
      <c r="AA179" s="253"/>
      <c r="AB179" s="253"/>
      <c r="AC179" s="252"/>
      <c r="AD179" s="249"/>
      <c r="AE179" s="65"/>
      <c r="AF179" s="65"/>
    </row>
    <row r="180" spans="1:32" x14ac:dyDescent="0.25">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252"/>
      <c r="Z180" s="252"/>
      <c r="AA180" s="253"/>
      <c r="AB180" s="253"/>
      <c r="AC180" s="252"/>
      <c r="AD180" s="249"/>
      <c r="AE180" s="65"/>
      <c r="AF180" s="65"/>
    </row>
    <row r="181" spans="1:32" x14ac:dyDescent="0.25">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252"/>
      <c r="Z181" s="252"/>
      <c r="AA181" s="253"/>
      <c r="AB181" s="253"/>
      <c r="AC181" s="252"/>
      <c r="AD181" s="249"/>
      <c r="AE181" s="65"/>
      <c r="AF181" s="65"/>
    </row>
    <row r="182" spans="1:32" x14ac:dyDescent="0.25">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252"/>
      <c r="Z182" s="252"/>
      <c r="AA182" s="253"/>
      <c r="AB182" s="253"/>
      <c r="AC182" s="252"/>
      <c r="AD182" s="249"/>
      <c r="AE182" s="65"/>
      <c r="AF182" s="65"/>
    </row>
    <row r="183" spans="1:32" x14ac:dyDescent="0.25">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252"/>
      <c r="Z183" s="252"/>
      <c r="AA183" s="253"/>
      <c r="AB183" s="253"/>
      <c r="AC183" s="252"/>
      <c r="AD183" s="249"/>
      <c r="AE183" s="65"/>
      <c r="AF183" s="65"/>
    </row>
    <row r="184" spans="1:32" x14ac:dyDescent="0.25">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252"/>
      <c r="Z184" s="252"/>
      <c r="AA184" s="253"/>
      <c r="AB184" s="253"/>
      <c r="AC184" s="252"/>
      <c r="AD184" s="249"/>
      <c r="AE184" s="65"/>
      <c r="AF184" s="65"/>
    </row>
    <row r="185" spans="1:32" x14ac:dyDescent="0.25">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252"/>
      <c r="Z185" s="252"/>
      <c r="AA185" s="253"/>
      <c r="AB185" s="253"/>
      <c r="AC185" s="252"/>
      <c r="AD185" s="249"/>
      <c r="AE185" s="65"/>
      <c r="AF185" s="65"/>
    </row>
    <row r="186" spans="1:32" x14ac:dyDescent="0.25">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252"/>
      <c r="Z186" s="252"/>
      <c r="AA186" s="253"/>
      <c r="AB186" s="253"/>
      <c r="AC186" s="252"/>
      <c r="AD186" s="249"/>
      <c r="AE186" s="65"/>
      <c r="AF186" s="65"/>
    </row>
    <row r="187" spans="1:32" x14ac:dyDescent="0.25">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252"/>
      <c r="Z187" s="252"/>
      <c r="AA187" s="253"/>
      <c r="AB187" s="253"/>
      <c r="AC187" s="252"/>
      <c r="AD187" s="249"/>
      <c r="AE187" s="65"/>
      <c r="AF187" s="65"/>
    </row>
    <row r="188" spans="1:32" x14ac:dyDescent="0.25">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252"/>
      <c r="Z188" s="252"/>
      <c r="AA188" s="253"/>
      <c r="AB188" s="253"/>
      <c r="AC188" s="252"/>
      <c r="AD188" s="249"/>
      <c r="AE188" s="65"/>
      <c r="AF188" s="65"/>
    </row>
    <row r="189" spans="1:32" x14ac:dyDescent="0.25">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252"/>
      <c r="Z189" s="252"/>
      <c r="AA189" s="253"/>
      <c r="AB189" s="253"/>
      <c r="AC189" s="252"/>
      <c r="AD189" s="249"/>
      <c r="AE189" s="65"/>
      <c r="AF189" s="65"/>
    </row>
    <row r="190" spans="1:32" x14ac:dyDescent="0.25">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252"/>
      <c r="Z190" s="252"/>
      <c r="AA190" s="253"/>
      <c r="AB190" s="253"/>
      <c r="AC190" s="252"/>
      <c r="AD190" s="249"/>
      <c r="AE190" s="65"/>
      <c r="AF190" s="65"/>
    </row>
    <row r="191" spans="1:32" x14ac:dyDescent="0.25">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252"/>
      <c r="Z191" s="252"/>
      <c r="AA191" s="253"/>
      <c r="AB191" s="253"/>
      <c r="AC191" s="252"/>
      <c r="AD191" s="249"/>
      <c r="AE191" s="65"/>
      <c r="AF191" s="65"/>
    </row>
    <row r="192" spans="1:32" x14ac:dyDescent="0.25">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252"/>
      <c r="Z192" s="252"/>
      <c r="AA192" s="253"/>
      <c r="AB192" s="253"/>
      <c r="AC192" s="252"/>
      <c r="AD192" s="249"/>
      <c r="AE192" s="65"/>
      <c r="AF192" s="65"/>
    </row>
    <row r="193" spans="1:32" x14ac:dyDescent="0.25">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252"/>
      <c r="Z193" s="252"/>
      <c r="AA193" s="253"/>
      <c r="AB193" s="253"/>
      <c r="AC193" s="252"/>
      <c r="AD193" s="249"/>
      <c r="AE193" s="65"/>
      <c r="AF193" s="65"/>
    </row>
    <row r="194" spans="1:32" x14ac:dyDescent="0.25">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252"/>
      <c r="Z194" s="252"/>
      <c r="AA194" s="253"/>
      <c r="AB194" s="253"/>
      <c r="AC194" s="252"/>
      <c r="AD194" s="249"/>
      <c r="AE194" s="65"/>
      <c r="AF194" s="65"/>
    </row>
    <row r="195" spans="1:32" x14ac:dyDescent="0.25">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252"/>
      <c r="Z195" s="252"/>
      <c r="AA195" s="253"/>
      <c r="AB195" s="253"/>
      <c r="AC195" s="252"/>
      <c r="AD195" s="249"/>
      <c r="AE195" s="65"/>
      <c r="AF195" s="65"/>
    </row>
    <row r="196" spans="1:32" x14ac:dyDescent="0.25">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252"/>
      <c r="Z196" s="252"/>
      <c r="AA196" s="253"/>
      <c r="AB196" s="253"/>
      <c r="AC196" s="252"/>
      <c r="AD196" s="249"/>
      <c r="AE196" s="65"/>
      <c r="AF196" s="65"/>
    </row>
    <row r="197" spans="1:32" x14ac:dyDescent="0.25">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252"/>
      <c r="Z197" s="252"/>
      <c r="AA197" s="253"/>
      <c r="AB197" s="253"/>
      <c r="AC197" s="252"/>
      <c r="AD197" s="249"/>
      <c r="AE197" s="65"/>
      <c r="AF197" s="65"/>
    </row>
    <row r="198" spans="1:32" x14ac:dyDescent="0.25">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252"/>
      <c r="Z198" s="252"/>
      <c r="AA198" s="253"/>
      <c r="AB198" s="253"/>
      <c r="AC198" s="252"/>
      <c r="AD198" s="249"/>
      <c r="AE198" s="65"/>
      <c r="AF198" s="65"/>
    </row>
    <row r="199" spans="1:32" x14ac:dyDescent="0.25">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252"/>
      <c r="Z199" s="252"/>
      <c r="AA199" s="253"/>
      <c r="AB199" s="253"/>
      <c r="AC199" s="252"/>
      <c r="AD199" s="249"/>
      <c r="AE199" s="65"/>
      <c r="AF199" s="65"/>
    </row>
    <row r="200" spans="1:32" x14ac:dyDescent="0.25">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252"/>
      <c r="Z200" s="252"/>
      <c r="AA200" s="253"/>
      <c r="AB200" s="253"/>
      <c r="AC200" s="252"/>
      <c r="AD200" s="249"/>
      <c r="AE200" s="65"/>
      <c r="AF200" s="65"/>
    </row>
    <row r="201" spans="1:32" x14ac:dyDescent="0.25">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252"/>
      <c r="Z201" s="252"/>
      <c r="AA201" s="253"/>
      <c r="AB201" s="253"/>
      <c r="AC201" s="252"/>
      <c r="AD201" s="249"/>
      <c r="AE201" s="65"/>
      <c r="AF201" s="65"/>
    </row>
    <row r="202" spans="1:32" x14ac:dyDescent="0.25">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252"/>
      <c r="Z202" s="252"/>
      <c r="AA202" s="253"/>
      <c r="AB202" s="253"/>
      <c r="AC202" s="252"/>
      <c r="AD202" s="249"/>
      <c r="AE202" s="65"/>
      <c r="AF202" s="65"/>
    </row>
    <row r="203" spans="1:32" x14ac:dyDescent="0.25">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252"/>
      <c r="Z203" s="252"/>
      <c r="AA203" s="253"/>
      <c r="AB203" s="253"/>
      <c r="AC203" s="252"/>
      <c r="AD203" s="249"/>
      <c r="AE203" s="65"/>
      <c r="AF203" s="65"/>
    </row>
    <row r="204" spans="1:32" x14ac:dyDescent="0.25">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252"/>
      <c r="Z204" s="252"/>
      <c r="AA204" s="253"/>
      <c r="AB204" s="253"/>
      <c r="AC204" s="252"/>
      <c r="AD204" s="249"/>
      <c r="AE204" s="65"/>
      <c r="AF204" s="65"/>
    </row>
    <row r="205" spans="1:32" x14ac:dyDescent="0.25">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252"/>
      <c r="Z205" s="252"/>
      <c r="AA205" s="253"/>
      <c r="AB205" s="253"/>
      <c r="AC205" s="252"/>
      <c r="AD205" s="249"/>
      <c r="AE205" s="65"/>
      <c r="AF205" s="65"/>
    </row>
    <row r="206" spans="1:32" x14ac:dyDescent="0.25">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252"/>
      <c r="Z206" s="252"/>
      <c r="AA206" s="253"/>
      <c r="AB206" s="253"/>
      <c r="AC206" s="252"/>
      <c r="AD206" s="249"/>
      <c r="AE206" s="65"/>
      <c r="AF206" s="65"/>
    </row>
    <row r="207" spans="1:32" x14ac:dyDescent="0.25">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252"/>
      <c r="Z207" s="252"/>
      <c r="AA207" s="253"/>
      <c r="AB207" s="253"/>
      <c r="AC207" s="252"/>
      <c r="AD207" s="249"/>
      <c r="AE207" s="65"/>
      <c r="AF207" s="65"/>
    </row>
    <row r="208" spans="1:32" x14ac:dyDescent="0.25">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252"/>
      <c r="Z208" s="252"/>
      <c r="AA208" s="253"/>
      <c r="AB208" s="253"/>
      <c r="AC208" s="252"/>
      <c r="AD208" s="249"/>
      <c r="AE208" s="65"/>
      <c r="AF208" s="65"/>
    </row>
    <row r="209" spans="1:32" x14ac:dyDescent="0.25">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252"/>
      <c r="Z209" s="252"/>
      <c r="AA209" s="253"/>
      <c r="AB209" s="253"/>
      <c r="AC209" s="252"/>
      <c r="AD209" s="249"/>
      <c r="AE209" s="65"/>
      <c r="AF209" s="65"/>
    </row>
    <row r="210" spans="1:32" x14ac:dyDescent="0.25">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252"/>
      <c r="Z210" s="252"/>
      <c r="AA210" s="253"/>
      <c r="AB210" s="253"/>
      <c r="AC210" s="252"/>
      <c r="AD210" s="249"/>
      <c r="AE210" s="65"/>
      <c r="AF210" s="65"/>
    </row>
    <row r="211" spans="1:32" x14ac:dyDescent="0.25">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252"/>
      <c r="Z211" s="252"/>
      <c r="AA211" s="253"/>
      <c r="AB211" s="253"/>
      <c r="AC211" s="252"/>
      <c r="AD211" s="249"/>
      <c r="AE211" s="65"/>
      <c r="AF211" s="65"/>
    </row>
    <row r="212" spans="1:32" x14ac:dyDescent="0.25">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252"/>
      <c r="Z212" s="252"/>
      <c r="AA212" s="253"/>
      <c r="AB212" s="253"/>
      <c r="AC212" s="252"/>
      <c r="AD212" s="249"/>
      <c r="AE212" s="65"/>
      <c r="AF212" s="65"/>
    </row>
    <row r="213" spans="1:32" x14ac:dyDescent="0.25">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252"/>
      <c r="Z213" s="252"/>
      <c r="AA213" s="253"/>
      <c r="AB213" s="253"/>
      <c r="AC213" s="252"/>
      <c r="AD213" s="249"/>
      <c r="AE213" s="65"/>
      <c r="AF213" s="65"/>
    </row>
    <row r="214" spans="1:32" x14ac:dyDescent="0.25">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252"/>
      <c r="Z214" s="252"/>
      <c r="AA214" s="253"/>
      <c r="AB214" s="253"/>
      <c r="AC214" s="252"/>
      <c r="AD214" s="249"/>
      <c r="AE214" s="65"/>
      <c r="AF214" s="65"/>
    </row>
    <row r="215" spans="1:32" x14ac:dyDescent="0.25">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252"/>
      <c r="Z215" s="252"/>
      <c r="AA215" s="253"/>
      <c r="AB215" s="253"/>
      <c r="AC215" s="252"/>
      <c r="AD215" s="249"/>
      <c r="AE215" s="65"/>
      <c r="AF215" s="65"/>
    </row>
    <row r="216" spans="1:32" x14ac:dyDescent="0.25">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252"/>
      <c r="Z216" s="252"/>
      <c r="AA216" s="253"/>
      <c r="AB216" s="253"/>
      <c r="AC216" s="252"/>
      <c r="AD216" s="249"/>
      <c r="AE216" s="65"/>
      <c r="AF216" s="65"/>
    </row>
    <row r="217" spans="1:32" x14ac:dyDescent="0.25">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252"/>
      <c r="Z217" s="252"/>
      <c r="AA217" s="253"/>
      <c r="AB217" s="253"/>
      <c r="AC217" s="252"/>
      <c r="AD217" s="249"/>
      <c r="AE217" s="65"/>
      <c r="AF217" s="65"/>
    </row>
    <row r="218" spans="1:32" x14ac:dyDescent="0.25">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252"/>
      <c r="Z218" s="252"/>
      <c r="AA218" s="253"/>
      <c r="AB218" s="253"/>
      <c r="AC218" s="252"/>
      <c r="AD218" s="249"/>
      <c r="AE218" s="65"/>
      <c r="AF218" s="65"/>
    </row>
    <row r="219" spans="1:32" x14ac:dyDescent="0.25">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252"/>
      <c r="Z219" s="252"/>
      <c r="AA219" s="253"/>
      <c r="AB219" s="253"/>
      <c r="AC219" s="252"/>
      <c r="AD219" s="249"/>
      <c r="AE219" s="65"/>
      <c r="AF219" s="65"/>
    </row>
    <row r="220" spans="1:32" x14ac:dyDescent="0.25">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252"/>
      <c r="Z220" s="252"/>
      <c r="AA220" s="253"/>
      <c r="AB220" s="253"/>
      <c r="AC220" s="252"/>
      <c r="AD220" s="249"/>
      <c r="AE220" s="65"/>
      <c r="AF220" s="65"/>
    </row>
    <row r="221" spans="1:32" x14ac:dyDescent="0.25">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252"/>
      <c r="Z221" s="252"/>
      <c r="AA221" s="253"/>
      <c r="AB221" s="253"/>
      <c r="AC221" s="252"/>
      <c r="AD221" s="249"/>
      <c r="AE221" s="65"/>
      <c r="AF221" s="65"/>
    </row>
    <row r="222" spans="1:32" x14ac:dyDescent="0.25">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252"/>
      <c r="Z222" s="252"/>
      <c r="AA222" s="253"/>
      <c r="AB222" s="253"/>
      <c r="AC222" s="252"/>
      <c r="AD222" s="249"/>
      <c r="AE222" s="65"/>
      <c r="AF222" s="65"/>
    </row>
    <row r="223" spans="1:32" x14ac:dyDescent="0.25">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252"/>
      <c r="Z223" s="252"/>
      <c r="AA223" s="253"/>
      <c r="AB223" s="253"/>
      <c r="AC223" s="252"/>
      <c r="AD223" s="249"/>
      <c r="AE223" s="65"/>
      <c r="AF223" s="65"/>
    </row>
    <row r="224" spans="1:32" x14ac:dyDescent="0.25">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252"/>
      <c r="Z224" s="252"/>
      <c r="AA224" s="253"/>
      <c r="AB224" s="253"/>
      <c r="AC224" s="252"/>
      <c r="AD224" s="249"/>
      <c r="AE224" s="65"/>
      <c r="AF224" s="65"/>
    </row>
    <row r="225" spans="1:32" x14ac:dyDescent="0.25">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252"/>
      <c r="Z225" s="252"/>
      <c r="AA225" s="253"/>
      <c r="AB225" s="253"/>
      <c r="AC225" s="252"/>
      <c r="AD225" s="249"/>
      <c r="AE225" s="65"/>
      <c r="AF225" s="65"/>
    </row>
    <row r="226" spans="1:32" x14ac:dyDescent="0.25">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252"/>
      <c r="Z226" s="252"/>
      <c r="AA226" s="253"/>
      <c r="AB226" s="253"/>
      <c r="AC226" s="252"/>
      <c r="AD226" s="249"/>
      <c r="AE226" s="65"/>
      <c r="AF226" s="65"/>
    </row>
    <row r="227" spans="1:32" x14ac:dyDescent="0.25">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252"/>
      <c r="Z227" s="252"/>
      <c r="AA227" s="253"/>
      <c r="AB227" s="253"/>
      <c r="AC227" s="252"/>
      <c r="AD227" s="249"/>
      <c r="AE227" s="65"/>
      <c r="AF227" s="65"/>
    </row>
    <row r="228" spans="1:32" x14ac:dyDescent="0.25">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252"/>
      <c r="Z228" s="252"/>
      <c r="AA228" s="253"/>
      <c r="AB228" s="253"/>
      <c r="AC228" s="252"/>
      <c r="AD228" s="249"/>
      <c r="AE228" s="65"/>
      <c r="AF228" s="65"/>
    </row>
    <row r="229" spans="1:32" x14ac:dyDescent="0.25">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252"/>
      <c r="Z229" s="252"/>
      <c r="AA229" s="253"/>
      <c r="AB229" s="253"/>
      <c r="AC229" s="252"/>
      <c r="AD229" s="249"/>
      <c r="AE229" s="65"/>
      <c r="AF229" s="65"/>
    </row>
    <row r="230" spans="1:32" x14ac:dyDescent="0.25">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252"/>
      <c r="Z230" s="252"/>
      <c r="AA230" s="253"/>
      <c r="AB230" s="253"/>
      <c r="AD230" s="249"/>
      <c r="AE230" s="65"/>
      <c r="AF230" s="65"/>
    </row>
    <row r="231" spans="1:32" x14ac:dyDescent="0.25">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252"/>
      <c r="Z231" s="252"/>
      <c r="AA231" s="253"/>
      <c r="AB231" s="253"/>
      <c r="AD231" s="249"/>
      <c r="AE231" s="65"/>
      <c r="AF231" s="65"/>
    </row>
    <row r="232" spans="1:32" x14ac:dyDescent="0.25">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252"/>
      <c r="Z232" s="252"/>
      <c r="AA232" s="253"/>
      <c r="AB232" s="253"/>
      <c r="AD232" s="249"/>
      <c r="AE232" s="65"/>
      <c r="AF232" s="65"/>
    </row>
    <row r="233" spans="1:32" x14ac:dyDescent="0.25">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252"/>
      <c r="Z233" s="252"/>
      <c r="AA233" s="253"/>
      <c r="AB233" s="253"/>
      <c r="AD233" s="249"/>
      <c r="AE233" s="65"/>
      <c r="AF233" s="65"/>
    </row>
    <row r="234" spans="1:32" x14ac:dyDescent="0.25">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252"/>
      <c r="Z234" s="252"/>
      <c r="AA234" s="253"/>
      <c r="AB234" s="253"/>
      <c r="AD234" s="249"/>
      <c r="AE234" s="65"/>
      <c r="AF234" s="65"/>
    </row>
    <row r="235" spans="1:32" x14ac:dyDescent="0.25">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252"/>
      <c r="Z235" s="252"/>
      <c r="AA235" s="253"/>
      <c r="AB235" s="253"/>
      <c r="AD235" s="249"/>
      <c r="AE235" s="65"/>
      <c r="AF235" s="65"/>
    </row>
    <row r="236" spans="1:32" x14ac:dyDescent="0.25">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252"/>
      <c r="Z236" s="252"/>
      <c r="AA236" s="253"/>
      <c r="AB236" s="253"/>
      <c r="AD236" s="249"/>
      <c r="AE236" s="65"/>
      <c r="AF236" s="65"/>
    </row>
    <row r="237" spans="1:32" x14ac:dyDescent="0.25">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252"/>
      <c r="Z237" s="252"/>
      <c r="AA237" s="253"/>
      <c r="AB237" s="253"/>
      <c r="AD237" s="249"/>
      <c r="AE237" s="65"/>
      <c r="AF237" s="65"/>
    </row>
    <row r="238" spans="1:32" x14ac:dyDescent="0.25">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252"/>
      <c r="Z238" s="252"/>
      <c r="AA238" s="253"/>
      <c r="AB238" s="253"/>
      <c r="AD238" s="249"/>
      <c r="AE238" s="65"/>
      <c r="AF238" s="65"/>
    </row>
    <row r="239" spans="1:32" x14ac:dyDescent="0.25">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252"/>
      <c r="Z239" s="252"/>
      <c r="AA239" s="253"/>
      <c r="AB239" s="253"/>
      <c r="AD239" s="249"/>
      <c r="AE239" s="65"/>
      <c r="AF239" s="65"/>
    </row>
    <row r="240" spans="1:32" x14ac:dyDescent="0.25">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252"/>
      <c r="Z240" s="252"/>
      <c r="AA240" s="253"/>
      <c r="AB240" s="253"/>
      <c r="AD240" s="249"/>
      <c r="AE240" s="65"/>
      <c r="AF240" s="65"/>
    </row>
    <row r="241" spans="1:32" x14ac:dyDescent="0.25">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252"/>
      <c r="Z241" s="252"/>
      <c r="AA241" s="253"/>
      <c r="AB241" s="253"/>
      <c r="AD241" s="249"/>
      <c r="AE241" s="65"/>
      <c r="AF241" s="65"/>
    </row>
    <row r="242" spans="1:32" x14ac:dyDescent="0.25">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252"/>
      <c r="Z242" s="252"/>
      <c r="AA242" s="253"/>
      <c r="AB242" s="253"/>
      <c r="AD242" s="249"/>
      <c r="AE242" s="65"/>
      <c r="AF242" s="65"/>
    </row>
    <row r="243" spans="1:32" x14ac:dyDescent="0.25">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252"/>
      <c r="Z243" s="252"/>
      <c r="AA243" s="253"/>
      <c r="AB243" s="253"/>
      <c r="AD243" s="249"/>
      <c r="AE243" s="65"/>
      <c r="AF243" s="65"/>
    </row>
    <row r="244" spans="1:32" x14ac:dyDescent="0.25">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252"/>
      <c r="Z244" s="252"/>
      <c r="AA244" s="253"/>
      <c r="AB244" s="253"/>
      <c r="AD244" s="249"/>
      <c r="AE244" s="65"/>
      <c r="AF244" s="65"/>
    </row>
    <row r="245" spans="1:32" x14ac:dyDescent="0.25">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252"/>
      <c r="Z245" s="252"/>
      <c r="AA245" s="253"/>
      <c r="AB245" s="253"/>
      <c r="AD245" s="249"/>
      <c r="AE245" s="65"/>
      <c r="AF245" s="65"/>
    </row>
    <row r="246" spans="1:32" x14ac:dyDescent="0.25">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252"/>
      <c r="Z246" s="252"/>
      <c r="AA246" s="253"/>
      <c r="AB246" s="253"/>
      <c r="AD246" s="249"/>
      <c r="AE246" s="65"/>
      <c r="AF246" s="65"/>
    </row>
    <row r="247" spans="1:32" x14ac:dyDescent="0.25">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252"/>
      <c r="Z247" s="252"/>
      <c r="AA247" s="253"/>
      <c r="AB247" s="253"/>
      <c r="AD247" s="249"/>
      <c r="AE247" s="65"/>
      <c r="AF247" s="65"/>
    </row>
    <row r="248" spans="1:32" x14ac:dyDescent="0.25">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252"/>
      <c r="Z248" s="252"/>
      <c r="AA248" s="253"/>
      <c r="AB248" s="253"/>
      <c r="AD248" s="249"/>
      <c r="AE248" s="65"/>
      <c r="AF248" s="65"/>
    </row>
    <row r="249" spans="1:32" x14ac:dyDescent="0.25">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252"/>
      <c r="Z249" s="252"/>
      <c r="AA249" s="253"/>
      <c r="AB249" s="253"/>
      <c r="AD249" s="249"/>
      <c r="AE249" s="65"/>
      <c r="AF249" s="65"/>
    </row>
    <row r="250" spans="1:32" x14ac:dyDescent="0.25">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252"/>
      <c r="Z250" s="252"/>
      <c r="AA250" s="253"/>
      <c r="AB250" s="253"/>
      <c r="AD250" s="249"/>
      <c r="AE250" s="65"/>
      <c r="AF250" s="65"/>
    </row>
    <row r="251" spans="1:32" x14ac:dyDescent="0.25">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252"/>
      <c r="Z251" s="252"/>
      <c r="AA251" s="253"/>
      <c r="AB251" s="253"/>
      <c r="AD251" s="249"/>
      <c r="AE251" s="65"/>
      <c r="AF251" s="65"/>
    </row>
    <row r="252" spans="1:32" x14ac:dyDescent="0.25">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252"/>
      <c r="Z252" s="252"/>
      <c r="AA252" s="253"/>
      <c r="AB252" s="253"/>
      <c r="AD252" s="249"/>
      <c r="AE252" s="65"/>
      <c r="AF252" s="65"/>
    </row>
    <row r="253" spans="1:32" x14ac:dyDescent="0.25">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252"/>
      <c r="Z253" s="252"/>
      <c r="AA253" s="253"/>
      <c r="AB253" s="253"/>
      <c r="AD253" s="249"/>
      <c r="AE253" s="65"/>
      <c r="AF253" s="65"/>
    </row>
    <row r="254" spans="1:32" x14ac:dyDescent="0.25">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252"/>
      <c r="Z254" s="252"/>
      <c r="AA254" s="253"/>
      <c r="AB254" s="253"/>
      <c r="AD254" s="249"/>
      <c r="AE254" s="65"/>
      <c r="AF254" s="65"/>
    </row>
    <row r="255" spans="1:32" x14ac:dyDescent="0.25">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252"/>
      <c r="Z255" s="252"/>
      <c r="AA255" s="253"/>
      <c r="AB255" s="253"/>
      <c r="AD255" s="249"/>
      <c r="AE255" s="65"/>
      <c r="AF255" s="65"/>
    </row>
    <row r="256" spans="1:32" x14ac:dyDescent="0.25">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252"/>
      <c r="Z256" s="252"/>
      <c r="AA256" s="253"/>
      <c r="AB256" s="253"/>
      <c r="AD256" s="249"/>
      <c r="AE256" s="65"/>
      <c r="AF256" s="65"/>
    </row>
    <row r="257" spans="1:32" x14ac:dyDescent="0.25">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252"/>
      <c r="Z257" s="252"/>
      <c r="AA257" s="253"/>
      <c r="AB257" s="253"/>
      <c r="AD257" s="249"/>
      <c r="AE257" s="65"/>
      <c r="AF257" s="65"/>
    </row>
    <row r="258" spans="1:32" x14ac:dyDescent="0.25">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252"/>
      <c r="Z258" s="252"/>
      <c r="AA258" s="253"/>
      <c r="AB258" s="253"/>
      <c r="AD258" s="249"/>
      <c r="AE258" s="65"/>
      <c r="AF258" s="65"/>
    </row>
    <row r="259" spans="1:32" x14ac:dyDescent="0.25">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252"/>
      <c r="Z259" s="252"/>
      <c r="AA259" s="253"/>
      <c r="AB259" s="253"/>
      <c r="AD259" s="249"/>
      <c r="AE259" s="65"/>
      <c r="AF259" s="65"/>
    </row>
    <row r="260" spans="1:32" x14ac:dyDescent="0.25">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252"/>
      <c r="Z260" s="252"/>
      <c r="AA260" s="253"/>
      <c r="AB260" s="253"/>
      <c r="AD260" s="249"/>
      <c r="AE260" s="65"/>
      <c r="AF260" s="65"/>
    </row>
    <row r="261" spans="1:32" x14ac:dyDescent="0.25">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252"/>
      <c r="Z261" s="252"/>
      <c r="AA261" s="253"/>
      <c r="AB261" s="253"/>
      <c r="AD261" s="249"/>
      <c r="AE261" s="65"/>
      <c r="AF261" s="65"/>
    </row>
    <row r="262" spans="1:32" x14ac:dyDescent="0.25">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252"/>
      <c r="Z262" s="252"/>
      <c r="AA262" s="253"/>
      <c r="AB262" s="253"/>
      <c r="AD262" s="249"/>
      <c r="AE262" s="65"/>
      <c r="AF262" s="65"/>
    </row>
    <row r="263" spans="1:32" x14ac:dyDescent="0.25">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252"/>
      <c r="Z263" s="252"/>
      <c r="AA263" s="253"/>
      <c r="AB263" s="253"/>
      <c r="AD263" s="249"/>
      <c r="AE263" s="65"/>
      <c r="AF263" s="65"/>
    </row>
    <row r="264" spans="1:32" x14ac:dyDescent="0.25">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252"/>
      <c r="Z264" s="252"/>
      <c r="AA264" s="253"/>
      <c r="AB264" s="253"/>
      <c r="AD264" s="249"/>
      <c r="AE264" s="65"/>
      <c r="AF264" s="65"/>
    </row>
    <row r="265" spans="1:32" x14ac:dyDescent="0.25">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252"/>
      <c r="Z265" s="252"/>
      <c r="AA265" s="253"/>
      <c r="AB265" s="253"/>
      <c r="AD265" s="249"/>
      <c r="AE265" s="65"/>
      <c r="AF265" s="65"/>
    </row>
    <row r="266" spans="1:32" x14ac:dyDescent="0.25">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252"/>
      <c r="Z266" s="252"/>
      <c r="AA266" s="253"/>
      <c r="AB266" s="253"/>
      <c r="AD266" s="249"/>
      <c r="AE266" s="65"/>
      <c r="AF266" s="65"/>
    </row>
    <row r="267" spans="1:32" x14ac:dyDescent="0.25">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252"/>
      <c r="Z267" s="252"/>
      <c r="AA267" s="253"/>
      <c r="AB267" s="253"/>
      <c r="AD267" s="249"/>
      <c r="AE267" s="65"/>
      <c r="AF267" s="65"/>
    </row>
    <row r="268" spans="1:32" x14ac:dyDescent="0.25">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252"/>
      <c r="Z268" s="252"/>
      <c r="AA268" s="253"/>
      <c r="AB268" s="253"/>
      <c r="AD268" s="249"/>
      <c r="AE268" s="65"/>
      <c r="AF268" s="65"/>
    </row>
    <row r="269" spans="1:32" x14ac:dyDescent="0.25">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252"/>
      <c r="Z269" s="252"/>
      <c r="AA269" s="253"/>
      <c r="AB269" s="253"/>
      <c r="AD269" s="249"/>
      <c r="AE269" s="65"/>
      <c r="AF269" s="65"/>
    </row>
    <row r="270" spans="1:32" x14ac:dyDescent="0.25">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252"/>
      <c r="Z270" s="252"/>
      <c r="AA270" s="253"/>
      <c r="AB270" s="253"/>
      <c r="AD270" s="249"/>
      <c r="AE270" s="65"/>
      <c r="AF270" s="65"/>
    </row>
    <row r="271" spans="1:32" x14ac:dyDescent="0.25">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252"/>
      <c r="Z271" s="252"/>
      <c r="AA271" s="253"/>
      <c r="AB271" s="253"/>
      <c r="AD271" s="249"/>
      <c r="AE271" s="65"/>
      <c r="AF271" s="65"/>
    </row>
    <row r="272" spans="1:32" x14ac:dyDescent="0.25">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252"/>
      <c r="Z272" s="252"/>
      <c r="AA272" s="253"/>
      <c r="AB272" s="253"/>
      <c r="AD272" s="249"/>
      <c r="AE272" s="65"/>
      <c r="AF272" s="65"/>
    </row>
    <row r="273" spans="1:24" x14ac:dyDescent="0.25">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row>
    <row r="274" spans="1:24" x14ac:dyDescent="0.25">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row>
  </sheetData>
  <sortState ref="AC3:AC87">
    <sortCondition ref="AC3"/>
  </sortState>
  <mergeCells count="39">
    <mergeCell ref="H10:L10"/>
    <mergeCell ref="H12:L12"/>
    <mergeCell ref="G20:H20"/>
    <mergeCell ref="G19:H19"/>
    <mergeCell ref="A11:B11"/>
    <mergeCell ref="A3:X3"/>
    <mergeCell ref="A4:X4"/>
    <mergeCell ref="A7:F7"/>
    <mergeCell ref="H7:L7"/>
    <mergeCell ref="A9:B9"/>
    <mergeCell ref="C9:D9"/>
    <mergeCell ref="E9:F9"/>
    <mergeCell ref="A115:A119"/>
    <mergeCell ref="A122:A127"/>
    <mergeCell ref="A129:A134"/>
    <mergeCell ref="A38:A41"/>
    <mergeCell ref="A42:A45"/>
    <mergeCell ref="A46:A49"/>
    <mergeCell ref="F71:K74"/>
    <mergeCell ref="M71:V74"/>
    <mergeCell ref="F95:K97"/>
    <mergeCell ref="A17:H17"/>
    <mergeCell ref="A28:H28"/>
    <mergeCell ref="B30:H32"/>
    <mergeCell ref="B34:H36"/>
    <mergeCell ref="B38:H40"/>
    <mergeCell ref="B42:H44"/>
    <mergeCell ref="B46:H48"/>
    <mergeCell ref="A71:D74"/>
    <mergeCell ref="M95:V97"/>
    <mergeCell ref="A30:A33"/>
    <mergeCell ref="A34:A37"/>
    <mergeCell ref="G24:H24"/>
    <mergeCell ref="G22:H22"/>
    <mergeCell ref="I101:V103"/>
    <mergeCell ref="A101:G103"/>
    <mergeCell ref="A95:D97"/>
    <mergeCell ref="A107:G109"/>
    <mergeCell ref="I107:V109"/>
  </mergeCells>
  <conditionalFormatting sqref="G20">
    <cfRule type="cellIs" dxfId="46" priority="13" operator="between">
      <formula>-0.2</formula>
      <formula>0.2</formula>
    </cfRule>
    <cfRule type="cellIs" dxfId="45" priority="14" operator="greaterThan">
      <formula>0.2</formula>
    </cfRule>
    <cfRule type="cellIs" dxfId="44" priority="15" operator="lessThan">
      <formula>-0.2</formula>
    </cfRule>
  </conditionalFormatting>
  <conditionalFormatting sqref="G22">
    <cfRule type="cellIs" dxfId="43" priority="10" operator="between">
      <formula>-0.2</formula>
      <formula>0.2</formula>
    </cfRule>
    <cfRule type="cellIs" dxfId="42" priority="11" operator="greaterThan">
      <formula>0.2</formula>
    </cfRule>
    <cfRule type="cellIs" dxfId="41" priority="12" operator="lessThan">
      <formula>-0.2</formula>
    </cfRule>
  </conditionalFormatting>
  <conditionalFormatting sqref="H23">
    <cfRule type="cellIs" dxfId="40" priority="7" operator="between">
      <formula>-0.2</formula>
      <formula>0.2</formula>
    </cfRule>
    <cfRule type="cellIs" dxfId="39" priority="8" operator="greaterThan">
      <formula>0.2</formula>
    </cfRule>
    <cfRule type="cellIs" dxfId="38" priority="9" operator="lessThan">
      <formula>-0.2</formula>
    </cfRule>
  </conditionalFormatting>
  <conditionalFormatting sqref="G24">
    <cfRule type="cellIs" dxfId="37" priority="4" operator="between">
      <formula>-0.2</formula>
      <formula>0.2</formula>
    </cfRule>
    <cfRule type="cellIs" dxfId="36" priority="5" operator="greaterThan">
      <formula>0.2</formula>
    </cfRule>
    <cfRule type="cellIs" dxfId="35" priority="6" operator="lessThan">
      <formula>-0.2</formula>
    </cfRule>
  </conditionalFormatting>
  <conditionalFormatting sqref="H21">
    <cfRule type="cellIs" dxfId="34" priority="1" operator="between">
      <formula>-0.2</formula>
      <formula>0.2</formula>
    </cfRule>
    <cfRule type="cellIs" dxfId="33" priority="2" operator="greaterThan">
      <formula>0.2</formula>
    </cfRule>
    <cfRule type="cellIs" dxfId="32" priority="3" operator="lessThan">
      <formula>-0.2</formula>
    </cfRule>
  </conditionalFormatting>
  <dataValidations count="1">
    <dataValidation type="list" allowBlank="1" showInputMessage="1" showErrorMessage="1" sqref="D1">
      <formula1>$AC$2:$AC$263</formula1>
    </dataValidation>
  </dataValidations>
  <pageMargins left="0.23622047244094491" right="0.23622047244094491" top="0.74803149606299213" bottom="0.74803149606299213" header="0.31496062992125984" footer="0.31496062992125984"/>
  <pageSetup paperSize="9" scale="54" fitToHeight="2" orientation="landscape" r:id="rId1"/>
  <rowBreaks count="1" manualBreakCount="1">
    <brk id="51" max="2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360"/>
  <sheetViews>
    <sheetView view="pageBreakPreview" zoomScale="60" zoomScaleNormal="70" zoomScalePageLayoutView="60" workbookViewId="0">
      <selection activeCell="R1" sqref="R1"/>
    </sheetView>
  </sheetViews>
  <sheetFormatPr defaultColWidth="9.140625" defaultRowHeight="12.75" x14ac:dyDescent="0.25"/>
  <cols>
    <col min="1" max="1" width="25.42578125" style="67" customWidth="1"/>
    <col min="2" max="2" width="18.140625" style="67" customWidth="1"/>
    <col min="3" max="3" width="12.42578125" style="67" customWidth="1"/>
    <col min="4" max="4" width="16.140625" style="67" customWidth="1"/>
    <col min="5" max="5" width="14.5703125" style="67" customWidth="1"/>
    <col min="6" max="6" width="17.7109375" style="67" customWidth="1"/>
    <col min="7" max="7" width="5.140625" style="67" customWidth="1"/>
    <col min="8" max="8" width="21.42578125" style="67" customWidth="1"/>
    <col min="9" max="9" width="5.85546875" style="67" customWidth="1"/>
    <col min="10" max="10" width="16.140625" style="67" customWidth="1"/>
    <col min="11" max="11" width="6.85546875" style="67" customWidth="1"/>
    <col min="12" max="12" width="14.140625" style="67" customWidth="1"/>
    <col min="13" max="13" width="3.85546875" style="67" customWidth="1"/>
    <col min="14" max="14" width="9.140625" style="67"/>
    <col min="15" max="15" width="6" style="67" customWidth="1"/>
    <col min="16" max="17" width="10" style="67" customWidth="1"/>
    <col min="18" max="18" width="6" style="67" customWidth="1"/>
    <col min="19" max="20" width="9.7109375" style="67" customWidth="1"/>
    <col min="21" max="24" width="6" style="67" customWidth="1"/>
    <col min="25" max="26" width="9.140625" style="255"/>
    <col min="27" max="27" width="9.140625" style="256"/>
    <col min="28" max="28" width="9.140625" style="256" customWidth="1"/>
    <col min="29" max="29" width="9.140625" style="251"/>
    <col min="30" max="30" width="9.140625" style="354"/>
    <col min="31" max="16384" width="9.140625" style="67"/>
  </cols>
  <sheetData>
    <row r="1" spans="1:31" s="63" customFormat="1" x14ac:dyDescent="0.25">
      <c r="A1" s="320" t="s">
        <v>14787</v>
      </c>
      <c r="B1" s="321"/>
      <c r="C1" s="322"/>
      <c r="D1" s="323" t="s">
        <v>306</v>
      </c>
      <c r="E1" s="123"/>
      <c r="F1" s="124"/>
      <c r="G1" s="125"/>
      <c r="H1" s="126"/>
      <c r="I1" s="126"/>
      <c r="J1" s="126"/>
      <c r="K1" s="126"/>
      <c r="L1" s="126"/>
      <c r="M1" s="126"/>
      <c r="N1" s="126"/>
      <c r="O1" s="126"/>
      <c r="P1" s="126"/>
      <c r="Q1" s="126"/>
      <c r="R1" s="126"/>
      <c r="S1" s="126"/>
      <c r="T1" s="126"/>
      <c r="U1" s="126"/>
      <c r="V1" s="126"/>
      <c r="W1" s="126"/>
      <c r="X1" s="126"/>
      <c r="Y1" s="255"/>
      <c r="Z1" s="255"/>
      <c r="AA1" s="256"/>
      <c r="AB1" s="256"/>
      <c r="AC1" s="255"/>
      <c r="AD1" s="350"/>
    </row>
    <row r="2" spans="1:31" ht="13.5" thickBot="1" x14ac:dyDescent="0.3">
      <c r="A2" s="124"/>
      <c r="B2" s="124"/>
      <c r="C2" s="124"/>
      <c r="D2" s="124"/>
      <c r="E2" s="124"/>
      <c r="F2" s="124"/>
      <c r="G2" s="124"/>
      <c r="H2" s="124"/>
      <c r="I2" s="124"/>
      <c r="J2" s="124"/>
      <c r="K2" s="124"/>
      <c r="L2" s="124"/>
      <c r="M2" s="124"/>
      <c r="N2" s="124"/>
      <c r="O2" s="124"/>
      <c r="P2" s="124"/>
      <c r="Q2" s="124"/>
      <c r="R2" s="124"/>
      <c r="S2" s="124"/>
      <c r="T2" s="124"/>
      <c r="U2" s="124"/>
      <c r="V2" s="124"/>
      <c r="W2" s="124"/>
      <c r="X2" s="124"/>
      <c r="Y2" s="252"/>
      <c r="Z2" s="252"/>
      <c r="AA2" s="253"/>
      <c r="AB2" s="253"/>
      <c r="AC2" s="249"/>
      <c r="AD2" s="351"/>
      <c r="AE2" s="65"/>
    </row>
    <row r="3" spans="1:31" ht="23.25" x14ac:dyDescent="0.25">
      <c r="A3" s="374" t="str">
        <f>UPPER(D1&amp;" REPORT")</f>
        <v>ASIA AND THE PACIFIC REPORT</v>
      </c>
      <c r="B3" s="375"/>
      <c r="C3" s="375"/>
      <c r="D3" s="375"/>
      <c r="E3" s="375"/>
      <c r="F3" s="375"/>
      <c r="G3" s="375"/>
      <c r="H3" s="375"/>
      <c r="I3" s="375"/>
      <c r="J3" s="375"/>
      <c r="K3" s="375"/>
      <c r="L3" s="375"/>
      <c r="M3" s="375"/>
      <c r="N3" s="375"/>
      <c r="O3" s="375"/>
      <c r="P3" s="375"/>
      <c r="Q3" s="375"/>
      <c r="R3" s="375"/>
      <c r="S3" s="375"/>
      <c r="T3" s="375"/>
      <c r="U3" s="375"/>
      <c r="V3" s="375"/>
      <c r="W3" s="375"/>
      <c r="X3" s="376"/>
      <c r="Y3" s="252"/>
      <c r="Z3" s="252"/>
      <c r="AA3" s="253"/>
      <c r="AB3" s="253"/>
      <c r="AC3" s="249"/>
      <c r="AD3" s="351" t="s">
        <v>1874</v>
      </c>
      <c r="AE3" s="65"/>
    </row>
    <row r="4" spans="1:31" ht="24" thickBot="1" x14ac:dyDescent="0.3">
      <c r="A4" s="377" t="str">
        <f>UPPER("Program Information &amp; Impact Reporting System (PIIRS) - FY 2017")</f>
        <v>PROGRAM INFORMATION &amp; IMPACT REPORTING SYSTEM (PIIRS) - FY 2017</v>
      </c>
      <c r="B4" s="378"/>
      <c r="C4" s="378"/>
      <c r="D4" s="378"/>
      <c r="E4" s="378"/>
      <c r="F4" s="378"/>
      <c r="G4" s="378"/>
      <c r="H4" s="378"/>
      <c r="I4" s="378"/>
      <c r="J4" s="378"/>
      <c r="K4" s="378"/>
      <c r="L4" s="378"/>
      <c r="M4" s="378"/>
      <c r="N4" s="378"/>
      <c r="O4" s="378"/>
      <c r="P4" s="378"/>
      <c r="Q4" s="378"/>
      <c r="R4" s="378"/>
      <c r="S4" s="378"/>
      <c r="T4" s="378"/>
      <c r="U4" s="378"/>
      <c r="V4" s="378"/>
      <c r="W4" s="378"/>
      <c r="X4" s="379"/>
      <c r="Y4" s="252"/>
      <c r="Z4" s="252"/>
      <c r="AA4" s="253"/>
      <c r="AB4" s="253"/>
      <c r="AC4" s="249"/>
      <c r="AD4" s="351" t="s">
        <v>7217</v>
      </c>
      <c r="AE4" s="65"/>
    </row>
    <row r="5" spans="1:31" x14ac:dyDescent="0.25">
      <c r="A5" s="127"/>
      <c r="B5" s="124"/>
      <c r="C5" s="124"/>
      <c r="D5" s="124"/>
      <c r="E5" s="124"/>
      <c r="F5" s="124"/>
      <c r="G5" s="124"/>
      <c r="H5" s="124"/>
      <c r="I5" s="124"/>
      <c r="J5" s="124"/>
      <c r="K5" s="124"/>
      <c r="L5" s="124"/>
      <c r="M5" s="124"/>
      <c r="N5" s="124"/>
      <c r="O5" s="124"/>
      <c r="P5" s="124"/>
      <c r="Q5" s="124"/>
      <c r="R5" s="124"/>
      <c r="S5" s="124"/>
      <c r="T5" s="124"/>
      <c r="U5" s="124"/>
      <c r="V5" s="124"/>
      <c r="W5" s="124"/>
      <c r="X5" s="128"/>
      <c r="Y5" s="252"/>
      <c r="Z5" s="252"/>
      <c r="AA5" s="253"/>
      <c r="AB5" s="253"/>
      <c r="AC5" s="249"/>
      <c r="AD5" s="351" t="s">
        <v>1596</v>
      </c>
      <c r="AE5" s="65"/>
    </row>
    <row r="6" spans="1:31" ht="13.5" thickBot="1" x14ac:dyDescent="0.3">
      <c r="A6" s="127"/>
      <c r="B6" s="124"/>
      <c r="C6" s="124"/>
      <c r="D6" s="124"/>
      <c r="E6" s="124"/>
      <c r="F6" s="124"/>
      <c r="G6" s="129"/>
      <c r="H6" s="124"/>
      <c r="I6" s="124"/>
      <c r="J6" s="124"/>
      <c r="K6" s="124"/>
      <c r="L6" s="124"/>
      <c r="M6" s="129"/>
      <c r="N6" s="130"/>
      <c r="O6" s="130"/>
      <c r="P6" s="130"/>
      <c r="Q6" s="130"/>
      <c r="R6" s="130"/>
      <c r="S6" s="130"/>
      <c r="T6" s="130"/>
      <c r="U6" s="130"/>
      <c r="V6" s="130"/>
      <c r="W6" s="130"/>
      <c r="X6" s="131"/>
      <c r="Y6" s="252"/>
      <c r="Z6" s="252"/>
      <c r="AA6" s="253"/>
      <c r="AB6" s="253"/>
      <c r="AC6" s="249"/>
      <c r="AD6" s="351" t="s">
        <v>306</v>
      </c>
      <c r="AE6" s="65"/>
    </row>
    <row r="7" spans="1:31" s="107" customFormat="1" ht="18.95" customHeight="1" x14ac:dyDescent="0.25">
      <c r="A7" s="380" t="str">
        <f>UPPER("Contribution to CARE International")</f>
        <v>CONTRIBUTION TO CARE INTERNATIONAL</v>
      </c>
      <c r="B7" s="381"/>
      <c r="C7" s="381"/>
      <c r="D7" s="381"/>
      <c r="E7" s="381"/>
      <c r="F7" s="382"/>
      <c r="G7" s="129"/>
      <c r="H7" s="380" t="str">
        <f>UPPER("% WOMEN REACHED")</f>
        <v>% WOMEN REACHED</v>
      </c>
      <c r="I7" s="381"/>
      <c r="J7" s="381"/>
      <c r="K7" s="381"/>
      <c r="L7" s="382"/>
      <c r="M7" s="129"/>
      <c r="N7" s="132"/>
      <c r="O7" s="132"/>
      <c r="P7" s="132"/>
      <c r="Q7" s="132"/>
      <c r="R7" s="132"/>
      <c r="S7" s="132"/>
      <c r="T7" s="132"/>
      <c r="U7" s="132"/>
      <c r="V7" s="132"/>
      <c r="W7" s="132"/>
      <c r="X7" s="133"/>
      <c r="Y7" s="257"/>
      <c r="Z7" s="257"/>
      <c r="AA7" s="258"/>
      <c r="AB7" s="258"/>
      <c r="AC7" s="259"/>
      <c r="AD7" s="351" t="s">
        <v>2807</v>
      </c>
      <c r="AE7" s="105"/>
    </row>
    <row r="8" spans="1:31" x14ac:dyDescent="0.25">
      <c r="A8" s="134"/>
      <c r="B8" s="135"/>
      <c r="C8" s="135"/>
      <c r="D8" s="135"/>
      <c r="E8" s="135"/>
      <c r="F8" s="136"/>
      <c r="G8" s="124"/>
      <c r="H8" s="127"/>
      <c r="I8" s="124"/>
      <c r="J8" s="124"/>
      <c r="K8" s="124"/>
      <c r="L8" s="128"/>
      <c r="M8" s="137"/>
      <c r="N8" s="137"/>
      <c r="O8" s="137"/>
      <c r="P8" s="137"/>
      <c r="Q8" s="137"/>
      <c r="R8" s="137"/>
      <c r="S8" s="137"/>
      <c r="T8" s="137"/>
      <c r="U8" s="137"/>
      <c r="V8" s="137"/>
      <c r="W8" s="137"/>
      <c r="X8" s="138"/>
      <c r="Y8" s="260"/>
      <c r="Z8" s="252"/>
      <c r="AA8" s="253"/>
      <c r="AB8" s="253"/>
      <c r="AC8" s="249"/>
      <c r="AD8" s="351" t="s">
        <v>602</v>
      </c>
      <c r="AE8" s="65"/>
    </row>
    <row r="9" spans="1:31" s="70" customFormat="1" ht="36.6" customHeight="1" x14ac:dyDescent="0.25">
      <c r="A9" s="416" t="s">
        <v>14329</v>
      </c>
      <c r="B9" s="417"/>
      <c r="C9" s="417" t="s">
        <v>14330</v>
      </c>
      <c r="D9" s="417"/>
      <c r="E9" s="417" t="s">
        <v>14331</v>
      </c>
      <c r="F9" s="418"/>
      <c r="G9" s="129"/>
      <c r="H9" s="139">
        <f>IFERROR(VLOOKUP($D$1&amp;" Total",Reach!$A$3:$U$105,5,FALSE)/VLOOKUP($D$1&amp;" Total",Reach!$A$3:$U$105,2,FALSE),"")</f>
        <v>0.83580958421546059</v>
      </c>
      <c r="I9" s="140"/>
      <c r="J9" s="141" t="str">
        <f>IFERROR(VLOOKUP($F$1&amp;" Total",Reach!$A$3:$U$105,5,FALSE)/VLOOKUP($F$1&amp;" Total",Reach!$A$3:$U$105,2,FALSE),"")</f>
        <v/>
      </c>
      <c r="K9" s="142"/>
      <c r="L9" s="143">
        <f>Reach!E103/Reach!B103</f>
        <v>0.72652491170251154</v>
      </c>
      <c r="M9" s="144"/>
      <c r="N9" s="144"/>
      <c r="O9" s="145" t="s">
        <v>14332</v>
      </c>
      <c r="P9" s="144" t="s">
        <v>14333</v>
      </c>
      <c r="Q9" s="145" t="s">
        <v>14334</v>
      </c>
      <c r="R9" s="145" t="s">
        <v>1557</v>
      </c>
      <c r="S9" s="145" t="s">
        <v>14335</v>
      </c>
      <c r="T9" s="145" t="s">
        <v>14336</v>
      </c>
      <c r="U9" s="145" t="s">
        <v>14337</v>
      </c>
      <c r="V9" s="145" t="s">
        <v>14338</v>
      </c>
      <c r="W9" s="145" t="s">
        <v>14339</v>
      </c>
      <c r="X9" s="146" t="s">
        <v>14340</v>
      </c>
      <c r="Y9" s="262"/>
      <c r="Z9" s="261"/>
      <c r="AA9" s="263"/>
      <c r="AB9" s="263"/>
      <c r="AC9" s="264"/>
      <c r="AD9" s="351" t="s">
        <v>12970</v>
      </c>
      <c r="AE9" s="69"/>
    </row>
    <row r="10" spans="1:31" s="110" customFormat="1" ht="25.5" customHeight="1" x14ac:dyDescent="0.25">
      <c r="A10" s="147">
        <f>Reach!D103</f>
        <v>950</v>
      </c>
      <c r="B10" s="148">
        <f>_xlfn.IFNA(VLOOKUP($D$1&amp;" Total",Reach!$A$3:$U$105,4,FALSE),"")</f>
        <v>271</v>
      </c>
      <c r="C10" s="149">
        <f>Reach!B103/1000000</f>
        <v>62.931999500000003</v>
      </c>
      <c r="D10" s="149">
        <f>_xlfn.IFNA(ROUND(VLOOKUP($D$1&amp;" Total",Reach!$A$3:$U$105,2,FALSE)/1000000,1),"")</f>
        <v>40</v>
      </c>
      <c r="E10" s="149">
        <f>Reach!C103/1000000</f>
        <v>216.04235640000002</v>
      </c>
      <c r="F10" s="150">
        <f>_xlfn.IFNA(ROUND(VLOOKUP($D$1&amp;" Total",Reach!$A$3:$U$105,3,FALSE)/1000000,1),"")</f>
        <v>148.5</v>
      </c>
      <c r="G10" s="151"/>
      <c r="H10" s="386" t="s">
        <v>14330</v>
      </c>
      <c r="I10" s="387"/>
      <c r="J10" s="387"/>
      <c r="K10" s="387"/>
      <c r="L10" s="388"/>
      <c r="M10" s="137"/>
      <c r="N10" s="137" t="str">
        <f>D1</f>
        <v>Asia and the Pacific</v>
      </c>
      <c r="O10" s="152">
        <f>IFERROR(VLOOKUP($D$1&amp;" Total",'Gender marker'!$A$5:$J$105,10,FALSE),"")</f>
        <v>2.445736434108527</v>
      </c>
      <c r="P10" s="153">
        <f>_xlfn.IFNA(VLOOKUP($D$1&amp;" Total",GBV!$A$2:$E$105,3,FALSE)+VLOOKUP($D$1&amp;" Total",GBV!$A$2:$E$105,4,FALSE),"")</f>
        <v>0.49416342412451364</v>
      </c>
      <c r="Q10" s="152">
        <f>IFERROR(VLOOKUP($D$1&amp;" Total",'Governance marker'!$A$5:$J$119,10,FALSE),"")</f>
        <v>2.1782945736434107</v>
      </c>
      <c r="R10" s="153">
        <f>_xlfn.IFNA(VLOOKUP($D$1&amp;" Total",Advocacy!$A$2:$E$105,2,FALSE)+VLOOKUP($D$1&amp;" Total",Advocacy!$A$2:$E$105,4,FALSE),"")</f>
        <v>0.59695817490494296</v>
      </c>
      <c r="S10" s="153">
        <f>_xlfn.IFNA(VLOOKUP($D$1&amp;" Total",Partnership!$A$2:$E$105,2,FALSE)+VLOOKUP($D$1&amp;" Total",Partnership!$A$2:$E$105,4,FALSE),"")</f>
        <v>0.52851711026615966</v>
      </c>
      <c r="T10" s="153">
        <f>_xlfn.IFNA(VLOOKUP($D$1&amp;" Total",'Civ soc'!$A$2:$E$105,2,FALSE)+VLOOKUP($D$1&amp;" Total",'Civ soc'!$A$2:$E$105,3,FALSE),"")</f>
        <v>0.58778625954198471</v>
      </c>
      <c r="U10" s="152">
        <f>IFERROR(VLOOKUP($D$1&amp;" Total",'Resilience marker'!$A$5:$J$120,10,FALSE),"")</f>
        <v>1.8680851063829786</v>
      </c>
      <c r="V10" s="153">
        <f>_xlfn.IFNA(VLOOKUP($D$1&amp;" Total",Climate!$A$2:$E$105,3,FALSE)+VLOOKUP($D$1&amp;" Total",Climate!$A$2:$E$105,4,FALSE),"")</f>
        <v>0.41176470588235298</v>
      </c>
      <c r="W10" s="153">
        <f>_xlfn.IFNA(VLOOKUP($D$1&amp;" Total",Innovation!$A$2:$E$105,3,FALSE)+VLOOKUP($D$1&amp;" Total",Innovation!$A$2:$E$105,4,FALSE),"")</f>
        <v>0.5</v>
      </c>
      <c r="X10" s="154">
        <f>_xlfn.IFNA(VLOOKUP($D$1&amp;" Total",Scaling!$A$2:$E$105,3,FALSE)+VLOOKUP($D$1&amp;" Total",Scaling!$A$2:$E$105,4,FALSE),"")</f>
        <v>0.55078125</v>
      </c>
      <c r="Y10" s="260"/>
      <c r="Z10" s="265"/>
      <c r="AA10" s="266"/>
      <c r="AB10" s="266"/>
      <c r="AC10" s="267"/>
      <c r="AD10" s="351"/>
      <c r="AE10" s="109"/>
    </row>
    <row r="11" spans="1:31" s="339" customFormat="1" ht="36" customHeight="1" x14ac:dyDescent="0.25">
      <c r="A11" s="424" t="s">
        <v>14561</v>
      </c>
      <c r="B11" s="425"/>
      <c r="C11" s="346" t="s">
        <v>14343</v>
      </c>
      <c r="D11" s="346" t="s">
        <v>14343</v>
      </c>
      <c r="E11" s="346" t="s">
        <v>14343</v>
      </c>
      <c r="F11" s="340" t="s">
        <v>14343</v>
      </c>
      <c r="G11" s="198"/>
      <c r="H11" s="358" t="s">
        <v>1</v>
      </c>
      <c r="I11" s="198"/>
      <c r="J11" s="347"/>
      <c r="K11" s="198"/>
      <c r="L11" s="328" t="s">
        <v>849</v>
      </c>
      <c r="M11" s="329"/>
      <c r="N11" s="329"/>
      <c r="O11" s="330"/>
      <c r="P11" s="331"/>
      <c r="Q11" s="330"/>
      <c r="R11" s="331"/>
      <c r="S11" s="331"/>
      <c r="T11" s="331"/>
      <c r="U11" s="330"/>
      <c r="V11" s="331"/>
      <c r="W11" s="331"/>
      <c r="X11" s="332"/>
      <c r="Y11" s="333"/>
      <c r="Z11" s="334"/>
      <c r="AA11" s="335"/>
      <c r="AB11" s="335"/>
      <c r="AC11" s="337"/>
      <c r="AD11" s="353"/>
      <c r="AE11" s="338"/>
    </row>
    <row r="12" spans="1:31" s="339" customFormat="1" ht="32.1" customHeight="1" x14ac:dyDescent="0.25">
      <c r="A12" s="341" t="s">
        <v>849</v>
      </c>
      <c r="B12" s="343" t="s">
        <v>1</v>
      </c>
      <c r="C12" s="343" t="s">
        <v>849</v>
      </c>
      <c r="D12" s="343" t="s">
        <v>1</v>
      </c>
      <c r="E12" s="343" t="s">
        <v>849</v>
      </c>
      <c r="F12" s="340" t="s">
        <v>1</v>
      </c>
      <c r="G12" s="198"/>
      <c r="H12" s="419" t="s">
        <v>14331</v>
      </c>
      <c r="I12" s="420"/>
      <c r="J12" s="420"/>
      <c r="K12" s="420"/>
      <c r="L12" s="421"/>
      <c r="M12" s="329"/>
      <c r="N12" s="329" t="s">
        <v>849</v>
      </c>
      <c r="O12" s="330">
        <f>IFERROR(VLOOKUP("Grand Total",'Gender marker'!$A$5:$J$120,10,FALSE),"")</f>
        <v>2.2875436554132711</v>
      </c>
      <c r="P12" s="331">
        <f>_xlfn.IFNA(VLOOKUP("Grand Total",GBV!$A$2:$E$105,3,FALSE)+VLOOKUP("Grand Total",GBV!$A$2:$E$105,4,FALSE),"")</f>
        <v>0.57126436781609191</v>
      </c>
      <c r="Q12" s="330">
        <f>IFERROR(VLOOKUP("Grand Total",'Governance marker'!$A$5:$J$119,10,FALSE),"")</f>
        <v>2.0545454545454547</v>
      </c>
      <c r="R12" s="331">
        <f>_xlfn.IFNA(VLOOKUP("Grand Total",Advocacy!$A$2:$E$105,2,FALSE)+VLOOKUP("Grand Total",Advocacy!$A$2:$E$105,4,FALSE),"")</f>
        <v>0.62197802197802199</v>
      </c>
      <c r="S12" s="331">
        <f>_xlfn.IFNA(VLOOKUP("Grand Total",Partnership!$A$2:$E$105,2,FALSE)+VLOOKUP("Grand Total",Partnership!$A$2:$E$105,4,FALSE),"")</f>
        <v>0.59775280898876404</v>
      </c>
      <c r="T12" s="331">
        <f>_xlfn.IFNA(VLOOKUP("Grand Total",'Civ soc'!$A$2:$E$105,2,FALSE)+VLOOKUP("Grand Total",'Civ soc'!$A$2:$E$105,3,FALSE),"")</f>
        <v>0.61059907834101379</v>
      </c>
      <c r="U12" s="330">
        <f>IFERROR(VLOOKUP("Grand Total",'Resilience marker'!$A$5:$J$120,10,FALSE),"")</f>
        <v>1.9167733674775929</v>
      </c>
      <c r="V12" s="331">
        <f>_xlfn.IFNA(VLOOKUP("Grand Total",Climate!$A$2:$E$105,3,FALSE)+VLOOKUP("Grand Total",Climate!$A$2:$E$105,4,FALSE),"")</f>
        <v>0.45636792452830188</v>
      </c>
      <c r="W12" s="331">
        <f>_xlfn.IFNA(VLOOKUP("Grand Total",Innovation!$A$2:$E$105,3,FALSE)+VLOOKUP("Grand Total",Innovation!$A$2:$E$105,4,FALSE),"")</f>
        <v>0.53942857142857148</v>
      </c>
      <c r="X12" s="332">
        <f>_xlfn.IFNA(VLOOKUP("Grand Total",Scaling!$A$2:$E$105,3,FALSE)+VLOOKUP("Grand Total",Scaling!$A$2:$E$105,4,FALSE),"")</f>
        <v>0.62937062937062938</v>
      </c>
      <c r="Y12" s="333"/>
      <c r="Z12" s="334"/>
      <c r="AA12" s="335"/>
      <c r="AB12" s="335"/>
      <c r="AC12" s="337"/>
      <c r="AD12" s="353"/>
      <c r="AE12" s="338"/>
    </row>
    <row r="13" spans="1:31" s="112" customFormat="1" ht="33.6" customHeight="1" x14ac:dyDescent="0.25">
      <c r="A13" s="160"/>
      <c r="B13" s="161" t="str">
        <f>IFERROR(ROUND(B10/A10*100,2)&amp;"% of all CARE","")</f>
        <v>28.53% of all CARE</v>
      </c>
      <c r="C13" s="140"/>
      <c r="D13" s="162" t="str">
        <f>IFERROR(ROUND(D10/C10*100,2)&amp;"% of all CARE","")</f>
        <v>63.56% of all CARE</v>
      </c>
      <c r="E13" s="140"/>
      <c r="F13" s="163" t="str">
        <f>IFERROR(ROUND(F10/E10*100,2)&amp;"% of all CARE","")</f>
        <v>68.74% of all CARE</v>
      </c>
      <c r="G13" s="140"/>
      <c r="H13" s="139">
        <f>IFERROR(VLOOKUP($D$1&amp;" Total",Reach!$A$3:$U$105,6,FALSE)/VLOOKUP($D$1&amp;" Total",Reach!$A$3:$U$105,3,FALSE),"")</f>
        <v>0.56280021502911837</v>
      </c>
      <c r="I13" s="140"/>
      <c r="J13" s="141" t="str">
        <f>IFERROR(VLOOKUP($F$1&amp;" Total",Reach!$A$3:$U$105,6,FALSE)/VLOOKUP($F$1&amp;" Total",Reach!$A$3:$U$105,3,FALSE),"")</f>
        <v/>
      </c>
      <c r="K13" s="142"/>
      <c r="L13" s="143">
        <f>Reach!F103/Reach!C103</f>
        <v>0.54529617887467186</v>
      </c>
      <c r="M13" s="144"/>
      <c r="N13" s="144"/>
      <c r="O13" s="144" t="s">
        <v>14346</v>
      </c>
      <c r="P13" s="144" t="s">
        <v>14347</v>
      </c>
      <c r="Q13" s="144" t="s">
        <v>14348</v>
      </c>
      <c r="R13" s="144" t="s">
        <v>14349</v>
      </c>
      <c r="S13" s="144" t="s">
        <v>14350</v>
      </c>
      <c r="T13" s="144" t="s">
        <v>14336</v>
      </c>
      <c r="U13" s="144" t="s">
        <v>14351</v>
      </c>
      <c r="V13" s="144" t="s">
        <v>14352</v>
      </c>
      <c r="W13" s="144" t="s">
        <v>14339</v>
      </c>
      <c r="X13" s="164" t="s">
        <v>14340</v>
      </c>
      <c r="Y13" s="262"/>
      <c r="Z13" s="268"/>
      <c r="AA13" s="269"/>
      <c r="AB13" s="269"/>
      <c r="AC13" s="270"/>
      <c r="AD13" s="352"/>
      <c r="AE13" s="111"/>
    </row>
    <row r="14" spans="1:31" ht="13.5" thickBot="1" x14ac:dyDescent="0.3">
      <c r="A14" s="165"/>
      <c r="B14" s="130"/>
      <c r="C14" s="130"/>
      <c r="D14" s="130"/>
      <c r="E14" s="130"/>
      <c r="F14" s="131"/>
      <c r="G14" s="124"/>
      <c r="H14" s="166"/>
      <c r="I14" s="130"/>
      <c r="J14" s="167"/>
      <c r="K14" s="168"/>
      <c r="L14" s="169"/>
      <c r="M14" s="124"/>
      <c r="N14" s="124"/>
      <c r="O14" s="144"/>
      <c r="P14" s="144"/>
      <c r="Q14" s="144"/>
      <c r="R14" s="144"/>
      <c r="S14" s="144"/>
      <c r="T14" s="144"/>
      <c r="U14" s="144"/>
      <c r="V14" s="144"/>
      <c r="W14" s="144"/>
      <c r="X14" s="164"/>
      <c r="Y14" s="252"/>
      <c r="Z14" s="252"/>
      <c r="AA14" s="253"/>
      <c r="AB14" s="253"/>
      <c r="AC14" s="249"/>
      <c r="AD14" s="351"/>
      <c r="AE14" s="65"/>
    </row>
    <row r="15" spans="1:31" x14ac:dyDescent="0.25">
      <c r="A15" s="127"/>
      <c r="B15" s="124"/>
      <c r="C15" s="124"/>
      <c r="D15" s="124"/>
      <c r="E15" s="124"/>
      <c r="F15" s="124"/>
      <c r="G15" s="124"/>
      <c r="H15" s="170"/>
      <c r="I15" s="124"/>
      <c r="J15" s="170"/>
      <c r="K15" s="171"/>
      <c r="L15" s="172"/>
      <c r="M15" s="124"/>
      <c r="N15" s="124"/>
      <c r="O15" s="144"/>
      <c r="P15" s="144"/>
      <c r="Q15" s="144"/>
      <c r="R15" s="144"/>
      <c r="S15" s="144"/>
      <c r="T15" s="144"/>
      <c r="U15" s="144"/>
      <c r="V15" s="144"/>
      <c r="W15" s="144"/>
      <c r="X15" s="164"/>
      <c r="Y15" s="252"/>
      <c r="Z15" s="252"/>
      <c r="AA15" s="253"/>
      <c r="AB15" s="253"/>
      <c r="AC15" s="249"/>
      <c r="AE15" s="65"/>
    </row>
    <row r="16" spans="1:31" ht="13.5" thickBot="1" x14ac:dyDescent="0.3">
      <c r="A16" s="127"/>
      <c r="B16" s="124"/>
      <c r="C16" s="124"/>
      <c r="D16" s="124"/>
      <c r="E16" s="124"/>
      <c r="F16" s="124"/>
      <c r="G16" s="124"/>
      <c r="H16" s="170"/>
      <c r="I16" s="124"/>
      <c r="J16" s="170"/>
      <c r="K16" s="171"/>
      <c r="L16" s="172"/>
      <c r="M16" s="124"/>
      <c r="N16" s="124"/>
      <c r="O16" s="144"/>
      <c r="P16" s="144"/>
      <c r="Q16" s="144"/>
      <c r="R16" s="144"/>
      <c r="S16" s="144"/>
      <c r="T16" s="144"/>
      <c r="U16" s="144"/>
      <c r="V16" s="144"/>
      <c r="W16" s="144"/>
      <c r="X16" s="164"/>
      <c r="Y16" s="252"/>
      <c r="Z16" s="252"/>
      <c r="AA16" s="253"/>
      <c r="AB16" s="253"/>
      <c r="AC16" s="249"/>
      <c r="AD16" s="351"/>
      <c r="AE16" s="65"/>
    </row>
    <row r="17" spans="1:31" s="107" customFormat="1" ht="20.25" x14ac:dyDescent="0.25">
      <c r="A17" s="404" t="str">
        <f>UPPER($D$1&amp;"'s reach over last 3 years")</f>
        <v>ASIA AND THE PACIFIC'S REACH OVER LAST 3 YEARS</v>
      </c>
      <c r="B17" s="405"/>
      <c r="C17" s="405"/>
      <c r="D17" s="405"/>
      <c r="E17" s="405"/>
      <c r="F17" s="405"/>
      <c r="G17" s="405"/>
      <c r="H17" s="406"/>
      <c r="I17" s="132"/>
      <c r="J17" s="132"/>
      <c r="K17" s="132"/>
      <c r="L17" s="132"/>
      <c r="M17" s="132"/>
      <c r="N17" s="132"/>
      <c r="O17" s="132"/>
      <c r="P17" s="132"/>
      <c r="Q17" s="132"/>
      <c r="R17" s="132"/>
      <c r="S17" s="132"/>
      <c r="T17" s="132"/>
      <c r="U17" s="132"/>
      <c r="V17" s="132"/>
      <c r="W17" s="132"/>
      <c r="X17" s="133"/>
      <c r="Y17" s="257"/>
      <c r="Z17" s="257"/>
      <c r="AA17" s="258"/>
      <c r="AB17" s="258"/>
      <c r="AC17" s="259"/>
      <c r="AD17" s="351"/>
      <c r="AE17" s="105"/>
    </row>
    <row r="18" spans="1:31" x14ac:dyDescent="0.25">
      <c r="A18" s="173"/>
      <c r="B18" s="174"/>
      <c r="C18" s="174"/>
      <c r="D18" s="174"/>
      <c r="E18" s="174"/>
      <c r="F18" s="174"/>
      <c r="G18" s="124"/>
      <c r="H18" s="128"/>
      <c r="I18" s="124"/>
      <c r="J18" s="124"/>
      <c r="K18" s="124"/>
      <c r="L18" s="124"/>
      <c r="M18" s="124"/>
      <c r="N18" s="124"/>
      <c r="O18" s="124"/>
      <c r="P18" s="124"/>
      <c r="Q18" s="124"/>
      <c r="R18" s="124"/>
      <c r="S18" s="124"/>
      <c r="T18" s="124"/>
      <c r="U18" s="124"/>
      <c r="V18" s="124"/>
      <c r="W18" s="124"/>
      <c r="X18" s="128"/>
      <c r="Y18" s="252"/>
      <c r="Z18" s="252"/>
      <c r="AA18" s="253"/>
      <c r="AB18" s="253"/>
      <c r="AC18" s="249"/>
      <c r="AD18" s="351"/>
      <c r="AE18" s="65"/>
    </row>
    <row r="19" spans="1:31" s="72" customFormat="1" ht="26.25" customHeight="1" x14ac:dyDescent="0.25">
      <c r="A19" s="175"/>
      <c r="B19" s="345" t="s">
        <v>14357</v>
      </c>
      <c r="C19" s="176"/>
      <c r="D19" s="345" t="s">
        <v>14358</v>
      </c>
      <c r="E19" s="176"/>
      <c r="F19" s="345" t="s">
        <v>14496</v>
      </c>
      <c r="G19" s="422" t="s">
        <v>14497</v>
      </c>
      <c r="H19" s="423"/>
      <c r="I19" s="177"/>
      <c r="J19" s="177"/>
      <c r="K19" s="177"/>
      <c r="L19" s="177"/>
      <c r="M19" s="177"/>
      <c r="N19" s="177"/>
      <c r="O19" s="177"/>
      <c r="P19" s="177"/>
      <c r="Q19" s="177"/>
      <c r="R19" s="177"/>
      <c r="S19" s="177"/>
      <c r="T19" s="177"/>
      <c r="U19" s="177"/>
      <c r="V19" s="177"/>
      <c r="W19" s="177"/>
      <c r="X19" s="178"/>
      <c r="Y19" s="261"/>
      <c r="Z19" s="261"/>
      <c r="AA19" s="263"/>
      <c r="AB19" s="263"/>
      <c r="AC19" s="249"/>
      <c r="AD19" s="351"/>
      <c r="AE19" s="65"/>
    </row>
    <row r="20" spans="1:31" ht="18" x14ac:dyDescent="0.25">
      <c r="A20" s="179" t="s">
        <v>14790</v>
      </c>
      <c r="B20" s="180">
        <f>_xlfn.IFNA(ROUND(VLOOKUP($D$1,'FY15 summary'!$A$4:$D$94,3,FALSE)/1000000,1),"")</f>
        <v>44</v>
      </c>
      <c r="C20" s="355"/>
      <c r="D20" s="180">
        <f>_xlfn.IFNA(ROUND(VLOOKUP($D$1,'FY16 summary'!$A$104:$Q$199,3,FALSE)/1000000,1),"")</f>
        <v>56.7</v>
      </c>
      <c r="E20" s="355"/>
      <c r="F20" s="180">
        <f>D10</f>
        <v>40</v>
      </c>
      <c r="G20" s="413">
        <f>IFERROR((F20-B20)/B20,"")</f>
        <v>-9.0909090909090912E-2</v>
      </c>
      <c r="H20" s="414"/>
      <c r="I20" s="124"/>
      <c r="J20" s="124"/>
      <c r="K20" s="124"/>
      <c r="L20" s="124"/>
      <c r="M20" s="124"/>
      <c r="N20" s="124"/>
      <c r="O20" s="124"/>
      <c r="P20" s="124"/>
      <c r="Q20" s="124"/>
      <c r="R20" s="124"/>
      <c r="S20" s="124"/>
      <c r="T20" s="124"/>
      <c r="U20" s="124"/>
      <c r="V20" s="124"/>
      <c r="W20" s="124"/>
      <c r="X20" s="128"/>
      <c r="Y20" s="252"/>
      <c r="Z20" s="252"/>
      <c r="AA20" s="253"/>
      <c r="AB20" s="253"/>
      <c r="AC20" s="264"/>
      <c r="AD20" s="352"/>
      <c r="AE20" s="71"/>
    </row>
    <row r="21" spans="1:31" s="72" customFormat="1" ht="24.75" customHeight="1" x14ac:dyDescent="0.25">
      <c r="A21" s="181"/>
      <c r="B21" s="356"/>
      <c r="C21" s="356"/>
      <c r="D21" s="356"/>
      <c r="E21" s="356"/>
      <c r="F21" s="356"/>
      <c r="G21" s="126"/>
      <c r="H21" s="344"/>
      <c r="I21" s="177"/>
      <c r="J21" s="177"/>
      <c r="K21" s="177"/>
      <c r="L21" s="177"/>
      <c r="M21" s="177"/>
      <c r="N21" s="176"/>
      <c r="O21" s="176"/>
      <c r="P21" s="176"/>
      <c r="Q21" s="176"/>
      <c r="R21" s="176"/>
      <c r="S21" s="176"/>
      <c r="T21" s="176"/>
      <c r="U21" s="176"/>
      <c r="V21" s="176"/>
      <c r="W21" s="176"/>
      <c r="X21" s="183"/>
      <c r="Y21" s="261"/>
      <c r="Z21" s="261"/>
      <c r="AA21" s="263"/>
      <c r="AB21" s="263"/>
      <c r="AC21" s="249"/>
      <c r="AD21" s="351"/>
      <c r="AE21" s="65"/>
    </row>
    <row r="22" spans="1:31" ht="18" x14ac:dyDescent="0.25">
      <c r="A22" s="179" t="s">
        <v>14791</v>
      </c>
      <c r="B22" s="180">
        <f>_xlfn.IFNA(ROUND(VLOOKUP($D$1,'FY15 summary'!$A$4:$D$94,4,FALSE)/1000000,1),"")</f>
        <v>178.9</v>
      </c>
      <c r="C22" s="355"/>
      <c r="D22" s="180">
        <f>_xlfn.IFNA(ROUND(VLOOKUP($D$1,'FY16 summary'!$A$104:$Q$199,5,FALSE)/1000000,1),"")</f>
        <v>171.3</v>
      </c>
      <c r="E22" s="355"/>
      <c r="F22" s="180">
        <f>F10</f>
        <v>148.5</v>
      </c>
      <c r="G22" s="413">
        <f>IFERROR((F22-B22)/B22,"")</f>
        <v>-0.16992733370598101</v>
      </c>
      <c r="H22" s="414"/>
      <c r="I22" s="124"/>
      <c r="J22" s="124"/>
      <c r="K22" s="124"/>
      <c r="L22" s="124"/>
      <c r="M22" s="124"/>
      <c r="N22" s="126"/>
      <c r="O22" s="126"/>
      <c r="P22" s="126"/>
      <c r="Q22" s="126"/>
      <c r="R22" s="126"/>
      <c r="S22" s="126"/>
      <c r="T22" s="126"/>
      <c r="U22" s="126"/>
      <c r="V22" s="126"/>
      <c r="W22" s="126"/>
      <c r="X22" s="184"/>
      <c r="Y22" s="252"/>
      <c r="Z22" s="252"/>
      <c r="AA22" s="253"/>
      <c r="AB22" s="253"/>
      <c r="AC22" s="264"/>
      <c r="AD22" s="352"/>
      <c r="AE22" s="71"/>
    </row>
    <row r="23" spans="1:31" ht="18" x14ac:dyDescent="0.25">
      <c r="A23" s="175"/>
      <c r="B23" s="357"/>
      <c r="C23" s="355"/>
      <c r="D23" s="357"/>
      <c r="E23" s="355"/>
      <c r="F23" s="357"/>
      <c r="G23" s="126"/>
      <c r="H23" s="344"/>
      <c r="I23" s="124"/>
      <c r="J23" s="124"/>
      <c r="K23" s="124"/>
      <c r="L23" s="124"/>
      <c r="M23" s="124"/>
      <c r="N23" s="126"/>
      <c r="O23" s="126"/>
      <c r="P23" s="126"/>
      <c r="Q23" s="126"/>
      <c r="R23" s="126"/>
      <c r="S23" s="126"/>
      <c r="T23" s="126"/>
      <c r="U23" s="126"/>
      <c r="V23" s="126"/>
      <c r="W23" s="126"/>
      <c r="X23" s="184"/>
      <c r="Y23" s="252"/>
      <c r="Z23" s="252"/>
      <c r="AA23" s="253"/>
      <c r="AB23" s="253"/>
      <c r="AC23" s="249"/>
      <c r="AD23" s="351"/>
      <c r="AE23" s="65"/>
    </row>
    <row r="24" spans="1:31" s="74" customFormat="1" ht="21.95" customHeight="1" x14ac:dyDescent="0.25">
      <c r="A24" s="179" t="s">
        <v>14532</v>
      </c>
      <c r="B24" s="185">
        <f>IFERROR(B22/B20,"")</f>
        <v>4.0659090909090914</v>
      </c>
      <c r="C24" s="186"/>
      <c r="D24" s="185">
        <f>IFERROR(D22/D20,"")</f>
        <v>3.0211640211640214</v>
      </c>
      <c r="E24" s="186"/>
      <c r="F24" s="185">
        <f>IFERROR(F22/F20,"")</f>
        <v>3.7124999999999999</v>
      </c>
      <c r="G24" s="413">
        <f>IFERROR((F24-B24)/B24,"")</f>
        <v>-8.6920067076579219E-2</v>
      </c>
      <c r="H24" s="414"/>
      <c r="I24" s="187"/>
      <c r="J24" s="187"/>
      <c r="K24" s="187"/>
      <c r="L24" s="187"/>
      <c r="M24" s="187"/>
      <c r="N24" s="186"/>
      <c r="O24" s="186"/>
      <c r="P24" s="186"/>
      <c r="Q24" s="186"/>
      <c r="R24" s="186"/>
      <c r="S24" s="186"/>
      <c r="T24" s="186"/>
      <c r="U24" s="186"/>
      <c r="V24" s="186"/>
      <c r="W24" s="186"/>
      <c r="X24" s="188"/>
      <c r="Y24" s="252"/>
      <c r="Z24" s="252"/>
      <c r="AA24" s="253"/>
      <c r="AB24" s="253"/>
      <c r="AC24" s="249"/>
      <c r="AD24" s="351"/>
      <c r="AE24" s="65"/>
    </row>
    <row r="25" spans="1:31" ht="18.75" thickBot="1" x14ac:dyDescent="0.3">
      <c r="A25" s="189"/>
      <c r="B25" s="190"/>
      <c r="C25" s="191"/>
      <c r="D25" s="190"/>
      <c r="E25" s="191"/>
      <c r="F25" s="190"/>
      <c r="G25" s="190"/>
      <c r="H25" s="192"/>
      <c r="I25" s="124"/>
      <c r="J25" s="124"/>
      <c r="K25" s="124"/>
      <c r="L25" s="124"/>
      <c r="M25" s="124"/>
      <c r="N25" s="126"/>
      <c r="O25" s="126"/>
      <c r="P25" s="126"/>
      <c r="Q25" s="126"/>
      <c r="R25" s="126"/>
      <c r="S25" s="126"/>
      <c r="T25" s="126"/>
      <c r="U25" s="126"/>
      <c r="V25" s="126"/>
      <c r="W25" s="126"/>
      <c r="X25" s="184"/>
      <c r="Y25" s="252"/>
      <c r="Z25" s="252"/>
      <c r="AA25" s="253"/>
      <c r="AB25" s="253"/>
      <c r="AC25" s="249"/>
      <c r="AD25" s="351"/>
      <c r="AE25" s="73"/>
    </row>
    <row r="26" spans="1:31" x14ac:dyDescent="0.25">
      <c r="A26" s="127"/>
      <c r="B26" s="124"/>
      <c r="C26" s="124"/>
      <c r="D26" s="124"/>
      <c r="E26" s="124"/>
      <c r="F26" s="124"/>
      <c r="G26" s="124"/>
      <c r="H26" s="124"/>
      <c r="I26" s="124"/>
      <c r="J26" s="124"/>
      <c r="K26" s="124"/>
      <c r="L26" s="124"/>
      <c r="M26" s="124"/>
      <c r="N26" s="126"/>
      <c r="O26" s="126"/>
      <c r="P26" s="126"/>
      <c r="Q26" s="126"/>
      <c r="R26" s="126"/>
      <c r="S26" s="126"/>
      <c r="T26" s="126"/>
      <c r="U26" s="126"/>
      <c r="V26" s="126"/>
      <c r="W26" s="126"/>
      <c r="X26" s="184"/>
      <c r="Y26" s="252"/>
      <c r="Z26" s="252"/>
      <c r="AA26" s="253"/>
      <c r="AB26" s="253"/>
      <c r="AC26" s="249"/>
      <c r="AD26" s="351"/>
      <c r="AE26" s="65"/>
    </row>
    <row r="27" spans="1:31" ht="15" customHeight="1" thickBot="1" x14ac:dyDescent="0.3">
      <c r="A27" s="127"/>
      <c r="B27" s="124"/>
      <c r="C27" s="124"/>
      <c r="D27" s="124"/>
      <c r="E27" s="124"/>
      <c r="F27" s="124"/>
      <c r="G27" s="124"/>
      <c r="H27" s="124"/>
      <c r="I27" s="124"/>
      <c r="J27" s="124"/>
      <c r="K27" s="124"/>
      <c r="L27" s="124"/>
      <c r="M27" s="124"/>
      <c r="N27" s="126"/>
      <c r="O27" s="126"/>
      <c r="P27" s="126"/>
      <c r="Q27" s="126"/>
      <c r="R27" s="126"/>
      <c r="S27" s="126"/>
      <c r="T27" s="126"/>
      <c r="U27" s="126"/>
      <c r="V27" s="126"/>
      <c r="W27" s="126"/>
      <c r="X27" s="184"/>
      <c r="Y27" s="252"/>
      <c r="Z27" s="252"/>
      <c r="AA27" s="253"/>
      <c r="AB27" s="253"/>
      <c r="AC27" s="249"/>
      <c r="AD27" s="351"/>
      <c r="AE27" s="65"/>
    </row>
    <row r="28" spans="1:31" ht="24.95" customHeight="1" x14ac:dyDescent="0.25">
      <c r="A28" s="404" t="str">
        <f>UPPER("contributions to program strategy outcome areas")</f>
        <v>CONTRIBUTIONS TO PROGRAM STRATEGY OUTCOME AREAS</v>
      </c>
      <c r="B28" s="405"/>
      <c r="C28" s="405"/>
      <c r="D28" s="405"/>
      <c r="E28" s="405"/>
      <c r="F28" s="405"/>
      <c r="G28" s="405"/>
      <c r="H28" s="406"/>
      <c r="I28" s="124"/>
      <c r="J28" s="124"/>
      <c r="K28" s="124"/>
      <c r="L28" s="124"/>
      <c r="M28" s="124"/>
      <c r="N28" s="126"/>
      <c r="O28" s="126"/>
      <c r="P28" s="126"/>
      <c r="Q28" s="126"/>
      <c r="R28" s="126"/>
      <c r="S28" s="126"/>
      <c r="T28" s="126"/>
      <c r="U28" s="126"/>
      <c r="V28" s="126"/>
      <c r="W28" s="126"/>
      <c r="X28" s="184"/>
      <c r="Y28" s="252"/>
      <c r="Z28" s="252"/>
      <c r="AA28" s="253"/>
      <c r="AB28" s="253"/>
      <c r="AC28" s="249"/>
      <c r="AD28" s="351"/>
      <c r="AE28" s="65"/>
    </row>
    <row r="29" spans="1:31" ht="15" customHeight="1" x14ac:dyDescent="0.25">
      <c r="A29" s="127"/>
      <c r="B29" s="124"/>
      <c r="C29" s="124"/>
      <c r="D29" s="124"/>
      <c r="E29" s="124"/>
      <c r="F29" s="124"/>
      <c r="G29" s="124"/>
      <c r="H29" s="128"/>
      <c r="I29" s="124"/>
      <c r="J29" s="124"/>
      <c r="K29" s="124"/>
      <c r="L29" s="124"/>
      <c r="M29" s="124"/>
      <c r="N29" s="126"/>
      <c r="O29" s="126"/>
      <c r="P29" s="126"/>
      <c r="Q29" s="126"/>
      <c r="R29" s="126"/>
      <c r="S29" s="126"/>
      <c r="T29" s="126"/>
      <c r="U29" s="126"/>
      <c r="V29" s="126"/>
      <c r="W29" s="126"/>
      <c r="X29" s="184"/>
      <c r="Y29" s="252"/>
      <c r="Z29" s="252"/>
      <c r="AA29" s="253"/>
      <c r="AB29" s="253"/>
      <c r="AC29" s="249"/>
      <c r="AD29" s="351"/>
      <c r="AE29" s="65"/>
    </row>
    <row r="30" spans="1:31" ht="15" customHeight="1" x14ac:dyDescent="0.25">
      <c r="A30" s="412">
        <f>IFERROR(AA30*1000,"")</f>
        <v>1816997</v>
      </c>
      <c r="B30" s="393" t="str">
        <f>IFERROR(IF(Z30=0,"No projects working on Humanitarian Assistance",IF(AA30*1000&gt;1000000,"Reached "&amp;TEXT(ROUND(AA30/1000,1),"#,##0.0_);(#,##0.0)")&amp;"million disaster/crisis-affected people with life-saving humanitarian assistance","Reached "&amp;TEXT(ROUND(AA30,0),"#,##0_);(#,##0)")&amp;"thousand disaster/crisis-affected people with life-saving humanitarian assistance")&amp;IF(AB30*1000&gt;1000000,", indirectly benefiting a further "&amp;TEXT(ROUND(AB30/1000,1),"#,##0.0_);(#,##0)")&amp;"million ("&amp;ROUND(Z30,0)&amp;" projects/initiatives)",", indirectly benefiting a further "&amp;TEXT(ROUND(AB30,0),"#,##0_);(#,##0)")&amp;"thousand ("&amp;ROUND(Z30,0)&amp;" projects/initiatives)")),"")</f>
        <v>Reached 1.8 million disaster/crisis-affected people with life-saving humanitarian assistance, indirectly benefiting a further 2.3 million (56 projects/initiatives)</v>
      </c>
      <c r="C30" s="393"/>
      <c r="D30" s="393"/>
      <c r="E30" s="393"/>
      <c r="F30" s="393"/>
      <c r="G30" s="393"/>
      <c r="H30" s="394"/>
      <c r="I30" s="124"/>
      <c r="J30" s="124"/>
      <c r="K30" s="124"/>
      <c r="L30" s="124"/>
      <c r="M30" s="124"/>
      <c r="N30" s="126"/>
      <c r="O30" s="126"/>
      <c r="P30" s="126"/>
      <c r="Q30" s="126"/>
      <c r="R30" s="126"/>
      <c r="S30" s="126"/>
      <c r="T30" s="126"/>
      <c r="U30" s="126"/>
      <c r="V30" s="126"/>
      <c r="W30" s="126"/>
      <c r="X30" s="184"/>
      <c r="Y30" s="252" t="s">
        <v>14366</v>
      </c>
      <c r="Z30" s="271">
        <f>_xlfn.IFNA(VLOOKUP($D$1&amp;" Total",Reach!$A$3:$U$105,9,FALSE),"")</f>
        <v>56</v>
      </c>
      <c r="AA30" s="272">
        <f>_xlfn.IFNA(VLOOKUP($D$1&amp;" Total",Reach!$A$3:$U$105,7,FALSE)/1000,"")</f>
        <v>1816.9970000000001</v>
      </c>
      <c r="AB30" s="272">
        <f>_xlfn.IFNA(VLOOKUP($D$1&amp;" Total",Reach!$A$3:$U$105,8,FALSE)/1000,"")</f>
        <v>2342.1469999999999</v>
      </c>
      <c r="AC30" s="249"/>
      <c r="AD30" s="351"/>
      <c r="AE30" s="65"/>
    </row>
    <row r="31" spans="1:31" ht="21" customHeight="1" x14ac:dyDescent="0.25">
      <c r="A31" s="412"/>
      <c r="B31" s="393"/>
      <c r="C31" s="393"/>
      <c r="D31" s="393"/>
      <c r="E31" s="393"/>
      <c r="F31" s="393"/>
      <c r="G31" s="393"/>
      <c r="H31" s="394"/>
      <c r="I31" s="124"/>
      <c r="J31" s="124"/>
      <c r="K31" s="124"/>
      <c r="L31" s="124"/>
      <c r="M31" s="124"/>
      <c r="N31" s="126"/>
      <c r="O31" s="126"/>
      <c r="P31" s="126"/>
      <c r="Q31" s="126"/>
      <c r="R31" s="126"/>
      <c r="S31" s="126"/>
      <c r="T31" s="126"/>
      <c r="U31" s="126"/>
      <c r="V31" s="126"/>
      <c r="W31" s="126"/>
      <c r="X31" s="184"/>
      <c r="Y31" s="252"/>
      <c r="Z31" s="273"/>
      <c r="AA31" s="253"/>
      <c r="AB31" s="253"/>
      <c r="AC31" s="249"/>
      <c r="AD31" s="351"/>
      <c r="AE31" s="65"/>
    </row>
    <row r="32" spans="1:31" ht="15" customHeight="1" x14ac:dyDescent="0.25">
      <c r="A32" s="412"/>
      <c r="B32" s="393"/>
      <c r="C32" s="393"/>
      <c r="D32" s="393"/>
      <c r="E32" s="393"/>
      <c r="F32" s="393"/>
      <c r="G32" s="393"/>
      <c r="H32" s="394"/>
      <c r="I32" s="124"/>
      <c r="J32" s="124"/>
      <c r="K32" s="124"/>
      <c r="L32" s="124"/>
      <c r="M32" s="124"/>
      <c r="N32" s="126"/>
      <c r="O32" s="126"/>
      <c r="P32" s="126"/>
      <c r="Q32" s="126"/>
      <c r="R32" s="126"/>
      <c r="S32" s="126"/>
      <c r="T32" s="126"/>
      <c r="U32" s="126"/>
      <c r="V32" s="126"/>
      <c r="W32" s="126"/>
      <c r="X32" s="184"/>
      <c r="Y32" s="252"/>
      <c r="Z32" s="273"/>
      <c r="AA32" s="253"/>
      <c r="AB32" s="253"/>
      <c r="AC32" s="249"/>
      <c r="AD32" s="351"/>
      <c r="AE32" s="65"/>
    </row>
    <row r="33" spans="1:31" ht="15" customHeight="1" x14ac:dyDescent="0.25">
      <c r="A33" s="412"/>
      <c r="B33" s="124"/>
      <c r="C33" s="124"/>
      <c r="D33" s="124"/>
      <c r="E33" s="124"/>
      <c r="F33" s="124"/>
      <c r="G33" s="124"/>
      <c r="H33" s="128"/>
      <c r="I33" s="124"/>
      <c r="J33" s="124"/>
      <c r="K33" s="124"/>
      <c r="L33" s="124"/>
      <c r="M33" s="124"/>
      <c r="N33" s="126"/>
      <c r="O33" s="126"/>
      <c r="P33" s="126"/>
      <c r="Q33" s="126"/>
      <c r="R33" s="126"/>
      <c r="S33" s="126"/>
      <c r="T33" s="126"/>
      <c r="U33" s="126"/>
      <c r="V33" s="126"/>
      <c r="W33" s="126"/>
      <c r="X33" s="184"/>
      <c r="Y33" s="252"/>
      <c r="Z33" s="252"/>
      <c r="AA33" s="253"/>
      <c r="AB33" s="253"/>
      <c r="AC33" s="249"/>
      <c r="AD33" s="351"/>
      <c r="AE33" s="65"/>
    </row>
    <row r="34" spans="1:31" ht="15" customHeight="1" x14ac:dyDescent="0.25">
      <c r="A34" s="412">
        <f>IFERROR(AA34*1000,"")</f>
        <v>30856591</v>
      </c>
      <c r="B34" s="393" t="str">
        <f>IFERROR(IF(Z34=0,"No projects working on Sexual, Reproductive &amp; Maternal Health rights",IF(AA34*1000&gt;1000000,"Reached "&amp;TEXT(ROUND(AA34/1000,1),"#,##0.0_);(#,##0.0)")&amp;"million people to support women's rights to sexual, reproductive and maternal health","Reached "&amp;TEXT(ROUND(AA34,0),"#,##0_);(#,##0)")&amp;"thousand people to support women's rights to sexual, reproductive and maternal health")&amp;IF(AB34*1000&gt;1000000,", indirectly benefiting a further "&amp;TEXT(ROUND(AB34/1000,1),"#,##0.0_);(#,##0)")&amp;"million ("&amp;ROUND(Z34,0)&amp;" projects/initiatives)",", indirectly benefiting a further "&amp;TEXT(ROUND(AB34,0),"#,##0_);(#,##0)")&amp;"thousand ("&amp;ROUND(Z34,0)&amp;" projects/initiatives)")),"")</f>
        <v>Reached 30.9 million people to support women's rights to sexual, reproductive and maternal health, indirectly benefiting a further 107.1 million (51 projects/initiatives)</v>
      </c>
      <c r="C34" s="393"/>
      <c r="D34" s="393"/>
      <c r="E34" s="393"/>
      <c r="F34" s="393"/>
      <c r="G34" s="393"/>
      <c r="H34" s="394"/>
      <c r="I34" s="124"/>
      <c r="J34" s="124"/>
      <c r="K34" s="124"/>
      <c r="L34" s="124"/>
      <c r="M34" s="124"/>
      <c r="N34" s="126"/>
      <c r="O34" s="126"/>
      <c r="P34" s="126"/>
      <c r="Q34" s="126"/>
      <c r="R34" s="126"/>
      <c r="S34" s="126"/>
      <c r="T34" s="126"/>
      <c r="U34" s="126"/>
      <c r="V34" s="126"/>
      <c r="W34" s="126"/>
      <c r="X34" s="184"/>
      <c r="Y34" s="252" t="s">
        <v>14368</v>
      </c>
      <c r="Z34" s="271">
        <f>_xlfn.IFNA(VLOOKUP($D$1&amp;" Total",Reach!$A$3:$U$105,12,FALSE),"")</f>
        <v>51</v>
      </c>
      <c r="AA34" s="272">
        <f>_xlfn.IFNA(VLOOKUP($D$1&amp;" Total",Reach!$A$3:$U$105,10,FALSE)/1000,"")</f>
        <v>30856.591</v>
      </c>
      <c r="AB34" s="272">
        <f>_xlfn.IFNA(VLOOKUP($D$1&amp;" Total",Reach!$A$3:$U$105,11,FALSE)/1000,"")</f>
        <v>107065.382</v>
      </c>
      <c r="AC34" s="249"/>
      <c r="AD34" s="351"/>
      <c r="AE34" s="65"/>
    </row>
    <row r="35" spans="1:31" ht="20.100000000000001" customHeight="1" x14ac:dyDescent="0.25">
      <c r="A35" s="412"/>
      <c r="B35" s="393"/>
      <c r="C35" s="393"/>
      <c r="D35" s="393"/>
      <c r="E35" s="393"/>
      <c r="F35" s="393"/>
      <c r="G35" s="393"/>
      <c r="H35" s="394"/>
      <c r="I35" s="124"/>
      <c r="J35" s="124"/>
      <c r="K35" s="124"/>
      <c r="L35" s="124"/>
      <c r="M35" s="124"/>
      <c r="N35" s="126"/>
      <c r="O35" s="126"/>
      <c r="P35" s="126"/>
      <c r="Q35" s="126"/>
      <c r="R35" s="126"/>
      <c r="S35" s="126"/>
      <c r="T35" s="126"/>
      <c r="U35" s="126"/>
      <c r="V35" s="126"/>
      <c r="W35" s="126"/>
      <c r="X35" s="184"/>
      <c r="Y35" s="252"/>
      <c r="Z35" s="273"/>
      <c r="AA35" s="253"/>
      <c r="AB35" s="253"/>
      <c r="AC35" s="249"/>
      <c r="AD35" s="351"/>
      <c r="AE35" s="65"/>
    </row>
    <row r="36" spans="1:31" ht="15" customHeight="1" x14ac:dyDescent="0.25">
      <c r="A36" s="412"/>
      <c r="B36" s="393"/>
      <c r="C36" s="393"/>
      <c r="D36" s="393"/>
      <c r="E36" s="393"/>
      <c r="F36" s="393"/>
      <c r="G36" s="393"/>
      <c r="H36" s="394"/>
      <c r="I36" s="124"/>
      <c r="J36" s="124"/>
      <c r="K36" s="124"/>
      <c r="L36" s="124"/>
      <c r="M36" s="124"/>
      <c r="N36" s="126"/>
      <c r="O36" s="126"/>
      <c r="P36" s="126"/>
      <c r="Q36" s="126"/>
      <c r="R36" s="126"/>
      <c r="S36" s="126"/>
      <c r="T36" s="126"/>
      <c r="U36" s="126"/>
      <c r="V36" s="126"/>
      <c r="W36" s="126"/>
      <c r="X36" s="184"/>
      <c r="Y36" s="252"/>
      <c r="Z36" s="273"/>
      <c r="AA36" s="253"/>
      <c r="AB36" s="253"/>
      <c r="AC36" s="249"/>
      <c r="AD36" s="351"/>
      <c r="AE36" s="65"/>
    </row>
    <row r="37" spans="1:31" ht="15" customHeight="1" x14ac:dyDescent="0.25">
      <c r="A37" s="412"/>
      <c r="B37" s="151"/>
      <c r="C37" s="151"/>
      <c r="D37" s="151"/>
      <c r="E37" s="151"/>
      <c r="F37" s="151"/>
      <c r="G37" s="124"/>
      <c r="H37" s="128"/>
      <c r="I37" s="124"/>
      <c r="J37" s="124"/>
      <c r="K37" s="124"/>
      <c r="L37" s="124"/>
      <c r="M37" s="124"/>
      <c r="N37" s="126"/>
      <c r="O37" s="126"/>
      <c r="P37" s="126"/>
      <c r="Q37" s="126"/>
      <c r="R37" s="126"/>
      <c r="S37" s="126"/>
      <c r="T37" s="126"/>
      <c r="U37" s="126"/>
      <c r="V37" s="126"/>
      <c r="W37" s="126"/>
      <c r="X37" s="184"/>
      <c r="Y37" s="252"/>
      <c r="Z37" s="252"/>
      <c r="AA37" s="253"/>
      <c r="AB37" s="253"/>
      <c r="AC37" s="249"/>
      <c r="AD37" s="351"/>
      <c r="AE37" s="65"/>
    </row>
    <row r="38" spans="1:31" ht="15" customHeight="1" x14ac:dyDescent="0.25">
      <c r="A38" s="412">
        <f t="shared" ref="A38" si="0">IFERROR(AA38*1000,"")</f>
        <v>357365</v>
      </c>
      <c r="B38" s="393" t="str">
        <f>IFERROR(IF(Z38=0,"No projects working on the right to a Life Free From Violence",IF(AA38*1000&gt;1000000,"Reached "&amp;TEXT(ROUND(AA38/1000,1),"#,##0.0_);(#,##0.0)")&amp;"million people to support women and girls' rights to a life free from violence","Reached "&amp;TEXT(ROUND(AA38,0),"#,##0_);(#,##0)")&amp;"thousand people to support women and girls' rights to a life free from violence")&amp;IF(AB38*1000&gt;1000000,", indirectly benefiting a further "&amp;TEXT(ROUND(AB38/1000,1),"#,##0.0_);(#,##0)")&amp;"million ("&amp;ROUND(Z38,0)&amp;" projects/initiatives)",", indirectly benefiting a further "&amp;TEXT(ROUND(AB38,0),"#,##0_);(#,##0)")&amp;"thousand ("&amp;ROUND(Z38,0)&amp;" projects/initiatives)")),"")</f>
        <v>Reached 357 thousand people to support women and girls' rights to a life free from violence, indirectly benefiting a further 3.0 million (45 projects/initiatives)</v>
      </c>
      <c r="C38" s="393"/>
      <c r="D38" s="393"/>
      <c r="E38" s="393"/>
      <c r="F38" s="393"/>
      <c r="G38" s="393"/>
      <c r="H38" s="394"/>
      <c r="I38" s="124"/>
      <c r="J38" s="124"/>
      <c r="K38" s="124"/>
      <c r="L38" s="124"/>
      <c r="M38" s="124"/>
      <c r="N38" s="126"/>
      <c r="O38" s="126"/>
      <c r="P38" s="126"/>
      <c r="Q38" s="126"/>
      <c r="R38" s="126"/>
      <c r="S38" s="126"/>
      <c r="T38" s="126"/>
      <c r="U38" s="126"/>
      <c r="V38" s="126"/>
      <c r="W38" s="126"/>
      <c r="X38" s="184"/>
      <c r="Y38" s="252" t="s">
        <v>14371</v>
      </c>
      <c r="Z38" s="271">
        <f>_xlfn.IFNA(VLOOKUP($D$1&amp;" Total",Reach!$A$3:$U$105,18,FALSE),"")</f>
        <v>45</v>
      </c>
      <c r="AA38" s="272">
        <f>_xlfn.IFNA(VLOOKUP($D$1&amp;" Total",Reach!$A$3:$U$105,16,FALSE)/1000,"")</f>
        <v>357.36500000000001</v>
      </c>
      <c r="AB38" s="272">
        <f>_xlfn.IFNA(VLOOKUP($D$1&amp;" Total",Reach!$A$3:$U$105,17,FALSE)/1000,"")</f>
        <v>3018.9385000000002</v>
      </c>
      <c r="AC38" s="249"/>
      <c r="AD38" s="351"/>
      <c r="AE38" s="65"/>
    </row>
    <row r="39" spans="1:31" ht="21" customHeight="1" x14ac:dyDescent="0.25">
      <c r="A39" s="412"/>
      <c r="B39" s="393"/>
      <c r="C39" s="393"/>
      <c r="D39" s="393"/>
      <c r="E39" s="393"/>
      <c r="F39" s="393"/>
      <c r="G39" s="393"/>
      <c r="H39" s="394"/>
      <c r="I39" s="124"/>
      <c r="J39" s="124"/>
      <c r="K39" s="124"/>
      <c r="L39" s="124"/>
      <c r="M39" s="124"/>
      <c r="N39" s="126"/>
      <c r="O39" s="126"/>
      <c r="P39" s="126"/>
      <c r="Q39" s="126"/>
      <c r="R39" s="126"/>
      <c r="S39" s="126"/>
      <c r="T39" s="126"/>
      <c r="U39" s="126"/>
      <c r="V39" s="126"/>
      <c r="W39" s="126"/>
      <c r="X39" s="184"/>
      <c r="Y39" s="252"/>
      <c r="Z39" s="273"/>
      <c r="AA39" s="253"/>
      <c r="AB39" s="253"/>
      <c r="AC39" s="249"/>
      <c r="AD39" s="351"/>
      <c r="AE39" s="65"/>
    </row>
    <row r="40" spans="1:31" ht="15" customHeight="1" x14ac:dyDescent="0.25">
      <c r="A40" s="412"/>
      <c r="B40" s="393"/>
      <c r="C40" s="393"/>
      <c r="D40" s="393"/>
      <c r="E40" s="393"/>
      <c r="F40" s="393"/>
      <c r="G40" s="393"/>
      <c r="H40" s="394"/>
      <c r="I40" s="124"/>
      <c r="J40" s="124"/>
      <c r="K40" s="124"/>
      <c r="L40" s="124"/>
      <c r="M40" s="124"/>
      <c r="N40" s="126"/>
      <c r="O40" s="126"/>
      <c r="P40" s="126"/>
      <c r="Q40" s="126"/>
      <c r="R40" s="126"/>
      <c r="S40" s="126"/>
      <c r="T40" s="126"/>
      <c r="U40" s="126"/>
      <c r="V40" s="126"/>
      <c r="W40" s="126"/>
      <c r="X40" s="184"/>
      <c r="Y40" s="252"/>
      <c r="Z40" s="273"/>
      <c r="AA40" s="253"/>
      <c r="AB40" s="253"/>
      <c r="AC40" s="249"/>
      <c r="AD40" s="351"/>
      <c r="AE40" s="65"/>
    </row>
    <row r="41" spans="1:31" ht="15" customHeight="1" x14ac:dyDescent="0.25">
      <c r="A41" s="412"/>
      <c r="B41" s="151"/>
      <c r="C41" s="151"/>
      <c r="D41" s="151"/>
      <c r="E41" s="151"/>
      <c r="F41" s="151"/>
      <c r="G41" s="124"/>
      <c r="H41" s="128"/>
      <c r="I41" s="124"/>
      <c r="J41" s="124"/>
      <c r="K41" s="124"/>
      <c r="L41" s="124"/>
      <c r="M41" s="124"/>
      <c r="N41" s="126"/>
      <c r="O41" s="126"/>
      <c r="P41" s="126"/>
      <c r="Q41" s="126"/>
      <c r="R41" s="126"/>
      <c r="S41" s="126"/>
      <c r="T41" s="126"/>
      <c r="U41" s="126"/>
      <c r="V41" s="126"/>
      <c r="W41" s="126"/>
      <c r="X41" s="184"/>
      <c r="Y41" s="252"/>
      <c r="Z41" s="252"/>
      <c r="AA41" s="253"/>
      <c r="AB41" s="253"/>
      <c r="AC41" s="249"/>
      <c r="AD41" s="351"/>
      <c r="AE41" s="65"/>
    </row>
    <row r="42" spans="1:31" ht="15" customHeight="1" x14ac:dyDescent="0.25">
      <c r="A42" s="412">
        <f t="shared" ref="A42" si="1">IFERROR(AA42*1000,"")</f>
        <v>6632147</v>
      </c>
      <c r="B42" s="393" t="str">
        <f>IFERROR(IF(Z42=0,"No projects working on Food &amp; Nutrition Security &amp; Climate Change Resilience",IF(AA42*1000&gt;1000000,"Reached "&amp;TEXT(ROUND(AA42/1000,1),"#,##0.0_);(#,##0.0)")&amp;"million people to support their food and nutrition security and resilience to climate change","Reached "&amp;TEXT(ROUND(AA42,0),"#,##0_);(#,##0)")&amp;"thousand people to support their food and nutrition security and resilience to climate change")&amp;IF(AB42*1000&gt;1000000,", indirectly benefiting a further "&amp;TEXT(ROUND(AB42/1000,1),"#,##0.0_);(#,##0)")&amp;"million ("&amp;ROUND(Z42,0)&amp;" projects/initiatives)",", indirectly benefiting a further "&amp;TEXT(ROUND(AB42,0),"#,##0_);(#,##0)")&amp;"thousand ("&amp;ROUND(Z42,0)&amp;" projects/initiatives)")),"")</f>
        <v>Reached 6.6 million people to support their food and nutrition security and resilience to climate change, indirectly benefiting a further 5.2 million (129 projects/initiatives)</v>
      </c>
      <c r="C42" s="393"/>
      <c r="D42" s="393"/>
      <c r="E42" s="393"/>
      <c r="F42" s="393"/>
      <c r="G42" s="393"/>
      <c r="H42" s="394"/>
      <c r="I42" s="124"/>
      <c r="J42" s="124"/>
      <c r="K42" s="124"/>
      <c r="L42" s="124"/>
      <c r="M42" s="124"/>
      <c r="N42" s="126"/>
      <c r="O42" s="126"/>
      <c r="P42" s="126"/>
      <c r="Q42" s="126"/>
      <c r="R42" s="126"/>
      <c r="S42" s="126"/>
      <c r="T42" s="126"/>
      <c r="U42" s="126"/>
      <c r="V42" s="126"/>
      <c r="W42" s="126"/>
      <c r="X42" s="184"/>
      <c r="Y42" s="252" t="s">
        <v>14375</v>
      </c>
      <c r="Z42" s="271">
        <f>_xlfn.IFNA(VLOOKUP($D$1&amp;" Total",Reach!$A$3:$U$105,15,FALSE),"")</f>
        <v>129</v>
      </c>
      <c r="AA42" s="272">
        <f>_xlfn.IFNA(VLOOKUP($D$1&amp;" Total",Reach!$A$3:$U$105,13,FALSE)/1000,"")</f>
        <v>6632.1469999999999</v>
      </c>
      <c r="AB42" s="272">
        <f>_xlfn.IFNA(VLOOKUP($D$1&amp;" Total",Reach!$A$3:$U$105,14,FALSE)/1000,"")</f>
        <v>5241.1025</v>
      </c>
      <c r="AC42" s="249"/>
      <c r="AD42" s="351"/>
      <c r="AE42" s="65"/>
    </row>
    <row r="43" spans="1:31" ht="23.45" customHeight="1" x14ac:dyDescent="0.25">
      <c r="A43" s="412"/>
      <c r="B43" s="393"/>
      <c r="C43" s="393"/>
      <c r="D43" s="393"/>
      <c r="E43" s="393"/>
      <c r="F43" s="393"/>
      <c r="G43" s="393"/>
      <c r="H43" s="394"/>
      <c r="I43" s="124"/>
      <c r="J43" s="124"/>
      <c r="K43" s="124"/>
      <c r="L43" s="124"/>
      <c r="M43" s="124"/>
      <c r="N43" s="126"/>
      <c r="O43" s="126"/>
      <c r="P43" s="126"/>
      <c r="Q43" s="126"/>
      <c r="R43" s="126"/>
      <c r="S43" s="126"/>
      <c r="T43" s="126"/>
      <c r="U43" s="126"/>
      <c r="V43" s="126"/>
      <c r="W43" s="126"/>
      <c r="X43" s="184"/>
      <c r="Y43" s="252"/>
      <c r="Z43" s="273"/>
      <c r="AA43" s="253"/>
      <c r="AB43" s="253"/>
      <c r="AC43" s="249"/>
      <c r="AD43" s="351"/>
      <c r="AE43" s="65"/>
    </row>
    <row r="44" spans="1:31" ht="15" customHeight="1" x14ac:dyDescent="0.25">
      <c r="A44" s="412"/>
      <c r="B44" s="393"/>
      <c r="C44" s="393"/>
      <c r="D44" s="393"/>
      <c r="E44" s="393"/>
      <c r="F44" s="393"/>
      <c r="G44" s="393"/>
      <c r="H44" s="394"/>
      <c r="I44" s="124"/>
      <c r="J44" s="124"/>
      <c r="K44" s="124"/>
      <c r="L44" s="124"/>
      <c r="M44" s="124"/>
      <c r="N44" s="126"/>
      <c r="O44" s="126"/>
      <c r="P44" s="126"/>
      <c r="Q44" s="126"/>
      <c r="R44" s="126"/>
      <c r="S44" s="126"/>
      <c r="T44" s="126"/>
      <c r="U44" s="126"/>
      <c r="V44" s="126"/>
      <c r="W44" s="126"/>
      <c r="X44" s="184"/>
      <c r="Y44" s="252"/>
      <c r="Z44" s="273"/>
      <c r="AA44" s="253"/>
      <c r="AB44" s="253"/>
      <c r="AC44" s="249"/>
      <c r="AD44" s="351"/>
      <c r="AE44" s="65"/>
    </row>
    <row r="45" spans="1:31" ht="15" customHeight="1" x14ac:dyDescent="0.25">
      <c r="A45" s="412"/>
      <c r="B45" s="151"/>
      <c r="C45" s="151"/>
      <c r="D45" s="151"/>
      <c r="E45" s="151"/>
      <c r="F45" s="151"/>
      <c r="G45" s="124"/>
      <c r="H45" s="128"/>
      <c r="I45" s="124"/>
      <c r="J45" s="124"/>
      <c r="K45" s="124"/>
      <c r="L45" s="124"/>
      <c r="M45" s="124"/>
      <c r="N45" s="126"/>
      <c r="O45" s="126"/>
      <c r="P45" s="126"/>
      <c r="Q45" s="126"/>
      <c r="R45" s="126"/>
      <c r="S45" s="126"/>
      <c r="T45" s="126"/>
      <c r="U45" s="126"/>
      <c r="V45" s="126"/>
      <c r="W45" s="126"/>
      <c r="X45" s="184"/>
      <c r="Y45" s="252"/>
      <c r="Z45" s="252"/>
      <c r="AA45" s="253"/>
      <c r="AB45" s="253"/>
      <c r="AC45" s="249"/>
      <c r="AD45" s="351"/>
      <c r="AE45" s="65"/>
    </row>
    <row r="46" spans="1:31" ht="15" customHeight="1" x14ac:dyDescent="0.25">
      <c r="A46" s="412">
        <f t="shared" ref="A46" si="2">IFERROR(AA46*1000,"")</f>
        <v>407657.11</v>
      </c>
      <c r="B46" s="393" t="str">
        <f>IFERROR(IF(Z46=0,"No projects working on Women's Economic Empowerment",IF(AA46*1000&gt;1000000,"Reached "&amp;TEXT(ROUND(AA46/1000,1),"#,##0.0_);(#,##0.0)")&amp;"million women and girls to promote their access to and control of economic resources","Reached "&amp;TEXT(ROUND(AA46,0),"#,##0_);(#,##0)")&amp;"thousand women and girls to promote their access to and control of economic resources")&amp;IF(AB46*1000&gt;1000000,", indirectly benefiting a further "&amp;TEXT(ROUND(AB46/1000,1),"#,##0.0_);(#,##0)")&amp;"million ("&amp;ROUND(Z46,0)&amp;" projects/initiatives)",", indirectly benefiting a further "&amp;TEXT(ROUND(AB46,0),"#,##0_);(#,##0)")&amp;"thousand ("&amp;ROUND(Z46,0)&amp;" projects/initiatives)")),"")</f>
        <v>Reached 408 thousand women and girls to promote their access to and control of economic resources, indirectly benefiting a further 1.4 million (96 projects/initiatives)</v>
      </c>
      <c r="C46" s="393"/>
      <c r="D46" s="393"/>
      <c r="E46" s="393"/>
      <c r="F46" s="393"/>
      <c r="G46" s="393"/>
      <c r="H46" s="394"/>
      <c r="I46" s="124"/>
      <c r="J46" s="124"/>
      <c r="K46" s="124"/>
      <c r="L46" s="124"/>
      <c r="M46" s="124"/>
      <c r="N46" s="126"/>
      <c r="O46" s="126"/>
      <c r="P46" s="126"/>
      <c r="Q46" s="126"/>
      <c r="R46" s="126"/>
      <c r="S46" s="126"/>
      <c r="T46" s="126"/>
      <c r="U46" s="126"/>
      <c r="V46" s="126"/>
      <c r="W46" s="126"/>
      <c r="X46" s="184"/>
      <c r="Y46" s="252" t="s">
        <v>14377</v>
      </c>
      <c r="Z46" s="271">
        <f>_xlfn.IFNA(VLOOKUP($D$1&amp;" Total",Reach!$A$3:$U$105,21,FALSE),"")</f>
        <v>96</v>
      </c>
      <c r="AA46" s="272">
        <f>_xlfn.IFNA(VLOOKUP($D$1&amp;" Total",Reach!$A$3:$U$105,19,FALSE)/1000,"")</f>
        <v>407.65710999999999</v>
      </c>
      <c r="AB46" s="272">
        <f>_xlfn.IFNA(VLOOKUP($D$1&amp;" Total",Reach!$A$3:$U$105,20,FALSE)/1000,"")</f>
        <v>1395.2634599999999</v>
      </c>
      <c r="AC46" s="249"/>
      <c r="AD46" s="351"/>
      <c r="AE46" s="65"/>
    </row>
    <row r="47" spans="1:31" ht="21.6" customHeight="1" x14ac:dyDescent="0.25">
      <c r="A47" s="412"/>
      <c r="B47" s="393"/>
      <c r="C47" s="393"/>
      <c r="D47" s="393"/>
      <c r="E47" s="393"/>
      <c r="F47" s="393"/>
      <c r="G47" s="393"/>
      <c r="H47" s="394"/>
      <c r="I47" s="124"/>
      <c r="J47" s="124"/>
      <c r="K47" s="124"/>
      <c r="L47" s="124"/>
      <c r="M47" s="124"/>
      <c r="N47" s="126"/>
      <c r="O47" s="126"/>
      <c r="P47" s="126"/>
      <c r="Q47" s="126"/>
      <c r="R47" s="126"/>
      <c r="S47" s="126"/>
      <c r="T47" s="126"/>
      <c r="U47" s="126"/>
      <c r="V47" s="126"/>
      <c r="W47" s="126"/>
      <c r="X47" s="184"/>
      <c r="Y47" s="252"/>
      <c r="Z47" s="252"/>
      <c r="AA47" s="253"/>
      <c r="AB47" s="253"/>
      <c r="AC47" s="249"/>
      <c r="AD47" s="351"/>
      <c r="AE47" s="65"/>
    </row>
    <row r="48" spans="1:31" ht="15" customHeight="1" x14ac:dyDescent="0.25">
      <c r="A48" s="412"/>
      <c r="B48" s="393"/>
      <c r="C48" s="393"/>
      <c r="D48" s="393"/>
      <c r="E48" s="393"/>
      <c r="F48" s="393"/>
      <c r="G48" s="393"/>
      <c r="H48" s="394"/>
      <c r="I48" s="124"/>
      <c r="J48" s="124"/>
      <c r="K48" s="124"/>
      <c r="L48" s="124"/>
      <c r="M48" s="124"/>
      <c r="N48" s="126"/>
      <c r="O48" s="126"/>
      <c r="P48" s="126"/>
      <c r="Q48" s="126"/>
      <c r="R48" s="126"/>
      <c r="S48" s="126"/>
      <c r="T48" s="126"/>
      <c r="U48" s="126"/>
      <c r="V48" s="126"/>
      <c r="W48" s="126"/>
      <c r="X48" s="184"/>
      <c r="Y48" s="252"/>
      <c r="Z48" s="252"/>
      <c r="AA48" s="253"/>
      <c r="AB48" s="253"/>
      <c r="AC48" s="249"/>
      <c r="AD48" s="351"/>
      <c r="AE48" s="65"/>
    </row>
    <row r="49" spans="1:31" ht="15" customHeight="1" x14ac:dyDescent="0.25">
      <c r="A49" s="412"/>
      <c r="B49" s="151"/>
      <c r="C49" s="151"/>
      <c r="D49" s="151"/>
      <c r="E49" s="151"/>
      <c r="F49" s="151"/>
      <c r="G49" s="124"/>
      <c r="H49" s="128"/>
      <c r="I49" s="124"/>
      <c r="J49" s="124"/>
      <c r="K49" s="124"/>
      <c r="L49" s="124"/>
      <c r="M49" s="124"/>
      <c r="N49" s="126"/>
      <c r="O49" s="126"/>
      <c r="P49" s="126"/>
      <c r="Q49" s="126"/>
      <c r="R49" s="126"/>
      <c r="S49" s="126"/>
      <c r="T49" s="126"/>
      <c r="U49" s="126"/>
      <c r="V49" s="126"/>
      <c r="W49" s="126"/>
      <c r="X49" s="184"/>
      <c r="Y49" s="252"/>
      <c r="Z49" s="252"/>
      <c r="AA49" s="253"/>
      <c r="AB49" s="253"/>
      <c r="AC49" s="249"/>
      <c r="AD49" s="351"/>
      <c r="AE49" s="65"/>
    </row>
    <row r="50" spans="1:31" ht="15" customHeight="1" thickBot="1" x14ac:dyDescent="0.3">
      <c r="A50" s="193"/>
      <c r="B50" s="130"/>
      <c r="C50" s="130"/>
      <c r="D50" s="130"/>
      <c r="E50" s="130"/>
      <c r="F50" s="130"/>
      <c r="G50" s="130"/>
      <c r="H50" s="131"/>
      <c r="I50" s="130"/>
      <c r="J50" s="130"/>
      <c r="K50" s="130"/>
      <c r="L50" s="130"/>
      <c r="M50" s="130"/>
      <c r="N50" s="130"/>
      <c r="O50" s="130"/>
      <c r="P50" s="130"/>
      <c r="Q50" s="130"/>
      <c r="R50" s="130"/>
      <c r="S50" s="130"/>
      <c r="T50" s="130"/>
      <c r="U50" s="130"/>
      <c r="V50" s="130"/>
      <c r="W50" s="130"/>
      <c r="X50" s="131"/>
      <c r="Y50" s="252"/>
      <c r="Z50" s="252"/>
      <c r="AA50" s="253"/>
      <c r="AB50" s="253"/>
      <c r="AC50" s="249"/>
      <c r="AD50" s="351"/>
      <c r="AE50" s="65"/>
    </row>
    <row r="51" spans="1:31" ht="15" customHeight="1" x14ac:dyDescent="0.25">
      <c r="A51" s="171"/>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252"/>
      <c r="Z51" s="252"/>
      <c r="AA51" s="253"/>
      <c r="AB51" s="253"/>
      <c r="AC51" s="249"/>
      <c r="AD51" s="351"/>
      <c r="AE51" s="65"/>
    </row>
    <row r="52" spans="1:31" ht="15" customHeight="1" x14ac:dyDescent="0.25">
      <c r="A52" s="359"/>
      <c r="B52" s="124" t="s">
        <v>1874</v>
      </c>
      <c r="C52" s="124" t="s">
        <v>7217</v>
      </c>
      <c r="D52" s="124" t="s">
        <v>1596</v>
      </c>
      <c r="E52" s="124" t="s">
        <v>306</v>
      </c>
      <c r="F52" s="124" t="s">
        <v>2807</v>
      </c>
      <c r="G52" s="124" t="s">
        <v>602</v>
      </c>
      <c r="H52" s="124" t="s">
        <v>12970</v>
      </c>
      <c r="I52" s="124"/>
      <c r="J52" s="124"/>
      <c r="K52" s="124"/>
      <c r="L52" s="359" t="s">
        <v>1874</v>
      </c>
      <c r="M52" s="359" t="s">
        <v>7217</v>
      </c>
      <c r="N52" s="359" t="s">
        <v>1596</v>
      </c>
      <c r="O52" s="359" t="s">
        <v>306</v>
      </c>
      <c r="P52" s="359" t="s">
        <v>2807</v>
      </c>
      <c r="Q52" s="359" t="s">
        <v>602</v>
      </c>
      <c r="R52" s="124"/>
      <c r="S52" s="124"/>
      <c r="T52" s="124"/>
      <c r="U52" s="124"/>
      <c r="V52" s="124"/>
      <c r="W52" s="124"/>
      <c r="X52" s="124"/>
      <c r="Y52" s="252"/>
      <c r="Z52" s="252"/>
      <c r="AA52" s="253"/>
      <c r="AB52" s="253"/>
      <c r="AC52" s="249"/>
      <c r="AD52" s="351"/>
      <c r="AE52" s="65"/>
    </row>
    <row r="53" spans="1:31" ht="15" customHeight="1" x14ac:dyDescent="0.25">
      <c r="A53" s="359" t="s">
        <v>14792</v>
      </c>
      <c r="B53" s="124">
        <f>VLOOKUP(B$52&amp;" Total",Reach!$A$3:$U$103,4,FALSE)</f>
        <v>177</v>
      </c>
      <c r="C53" s="124">
        <f>VLOOKUP(C52&amp;" Total",Reach!$A$3:$U$103,4,FALSE)</f>
        <v>84</v>
      </c>
      <c r="D53" s="124">
        <f>VLOOKUP(D52&amp;" Total",Reach!$A$3:$U$103,4,FALSE)</f>
        <v>103</v>
      </c>
      <c r="E53" s="124">
        <f>VLOOKUP(E52&amp;" Total",Reach!$A$3:$U$103,4,FALSE)</f>
        <v>271</v>
      </c>
      <c r="F53" s="124">
        <f>VLOOKUP(F52&amp;" Total",Reach!$A$3:$U$103,4,FALSE)</f>
        <v>97</v>
      </c>
      <c r="G53" s="124">
        <f>VLOOKUP(G52&amp;" Total",Reach!$A$3:$U$103,4,FALSE)</f>
        <v>184</v>
      </c>
      <c r="H53" s="124">
        <f>VLOOKUP(H52&amp;" Total",Reach!$A$3:$U$103,4,FALSE)</f>
        <v>34</v>
      </c>
      <c r="I53" s="124"/>
      <c r="J53" s="426" t="s">
        <v>14797</v>
      </c>
      <c r="K53" s="124" t="s">
        <v>14505</v>
      </c>
      <c r="L53" s="361">
        <f>VLOOKUP(L$52,Reach!$A$105:$U$111,7,FALSE)</f>
        <v>0.35655744740534356</v>
      </c>
      <c r="M53" s="361">
        <f>VLOOKUP(M$52,Reach!$A$105:$U$111,7,FALSE)</f>
        <v>8.2936304162204877E-2</v>
      </c>
      <c r="N53" s="361">
        <f>VLOOKUP(N$52,Reach!$A$105:$U$111,7,FALSE)</f>
        <v>7.7440045656840997E-2</v>
      </c>
      <c r="O53" s="361">
        <f>VLOOKUP(O$52,Reach!$A$105:$U$111,7,FALSE)</f>
        <v>0.12942826873341942</v>
      </c>
      <c r="P53" s="361">
        <f>VLOOKUP(P$52,Reach!$A$105:$U$111,7,FALSE)</f>
        <v>7.9290865832383636E-2</v>
      </c>
      <c r="Q53" s="361">
        <f>VLOOKUP(Q$52,Reach!$A$105:$U$111,7,FALSE)</f>
        <v>0.27434706820980748</v>
      </c>
      <c r="R53" s="361"/>
      <c r="S53" s="361"/>
      <c r="T53" s="124"/>
      <c r="U53" s="124"/>
      <c r="V53" s="124"/>
      <c r="W53" s="124"/>
      <c r="X53" s="124"/>
      <c r="Y53" s="252"/>
      <c r="Z53" s="252"/>
      <c r="AA53" s="253"/>
      <c r="AB53" s="253"/>
      <c r="AC53" s="249"/>
      <c r="AD53" s="351"/>
      <c r="AE53" s="65"/>
    </row>
    <row r="54" spans="1:31" ht="15" customHeight="1" x14ac:dyDescent="0.25">
      <c r="A54" s="359" t="s">
        <v>14793</v>
      </c>
      <c r="B54" s="360">
        <f>VLOOKUP(B$52&amp;" Total",Reach!$A$3:$U$103,2,FALSE)</f>
        <v>9261899</v>
      </c>
      <c r="C54" s="360">
        <f>VLOOKUP(C$52&amp;" Total",Reach!$A$3:$U$103,2,FALSE)</f>
        <v>3762457.5</v>
      </c>
      <c r="D54" s="360">
        <f>VLOOKUP(D$52&amp;" Total",Reach!$A$3:$U$103,2,FALSE)</f>
        <v>4349699</v>
      </c>
      <c r="E54" s="360">
        <f>VLOOKUP(E$52&amp;" Total",Reach!$A$3:$U$103,2,FALSE)</f>
        <v>40033908</v>
      </c>
      <c r="F54" s="360">
        <f>VLOOKUP(F$52&amp;" Total",Reach!$A$3:$U$103,2,FALSE)</f>
        <v>1490829</v>
      </c>
      <c r="G54" s="360">
        <f>VLOOKUP(G$52&amp;" Total",Reach!$A$3:$U$103,2,FALSE)</f>
        <v>4033207</v>
      </c>
      <c r="H54" s="360">
        <f>VLOOKUP(H$52&amp;" Total",Reach!$A$3:$U$103,2,FALSE)</f>
        <v>0</v>
      </c>
      <c r="I54" s="124"/>
      <c r="J54" s="426"/>
      <c r="K54" s="124" t="s">
        <v>14506</v>
      </c>
      <c r="L54" s="361">
        <f>VLOOKUP(L$52,Reach!$A$105:$U$111,8,FALSE)</f>
        <v>0.223517025922744</v>
      </c>
      <c r="M54" s="361">
        <f>VLOOKUP(M$52,Reach!$A$105:$U$111,8,FALSE)</f>
        <v>2.9535764100093426E-2</v>
      </c>
      <c r="N54" s="361">
        <f>VLOOKUP(N$52,Reach!$A$105:$U$111,8,FALSE)</f>
        <v>0.21856287485302364</v>
      </c>
      <c r="O54" s="361">
        <f>VLOOKUP(O$52,Reach!$A$105:$U$111,8,FALSE)</f>
        <v>0.13444586136947248</v>
      </c>
      <c r="P54" s="361">
        <f>VLOOKUP(P$52,Reach!$A$105:$U$111,8,FALSE)</f>
        <v>0.29318474305159575</v>
      </c>
      <c r="Q54" s="361">
        <f>VLOOKUP(Q$52,Reach!$A$105:$U$111,8,FALSE)</f>
        <v>0.1007537307030707</v>
      </c>
      <c r="R54" s="361"/>
      <c r="S54" s="361"/>
      <c r="T54" s="124"/>
      <c r="U54" s="124"/>
      <c r="V54" s="124"/>
      <c r="W54" s="124"/>
      <c r="X54" s="124"/>
      <c r="Y54" s="252"/>
      <c r="Z54" s="252"/>
      <c r="AA54" s="253"/>
      <c r="AB54" s="253"/>
      <c r="AC54" s="249"/>
      <c r="AD54" s="351"/>
      <c r="AE54" s="65"/>
    </row>
    <row r="55" spans="1:31" ht="15" customHeight="1" x14ac:dyDescent="0.25">
      <c r="A55" s="359" t="s">
        <v>14795</v>
      </c>
      <c r="B55" s="360">
        <f>VLOOKUP(B$52&amp;" Total",Reach!$A$3:$U$103,5,FALSE)</f>
        <v>5309054.4800000004</v>
      </c>
      <c r="C55" s="360">
        <f>VLOOKUP(C$52&amp;" Total",Reach!$A$3:$U$103,5,FALSE)</f>
        <v>2022046.5</v>
      </c>
      <c r="D55" s="360">
        <f>VLOOKUP(D$52&amp;" Total",Reach!$A$3:$U$103,5,FALSE)</f>
        <v>2441932</v>
      </c>
      <c r="E55" s="360">
        <f>VLOOKUP(E$52&amp;" Total",Reach!$A$3:$U$103,5,FALSE)</f>
        <v>33460724</v>
      </c>
      <c r="F55" s="360">
        <f>VLOOKUP(F$52&amp;" Total",Reach!$A$3:$U$103,5,FALSE)</f>
        <v>509334</v>
      </c>
      <c r="G55" s="360">
        <f>VLOOKUP(G$52&amp;" Total",Reach!$A$3:$U$103,5,FALSE)</f>
        <v>1978574.4</v>
      </c>
      <c r="H55" s="360">
        <f>VLOOKUP(H$52&amp;" Total",Reach!$A$3:$U$103,5,FALSE)</f>
        <v>0</v>
      </c>
      <c r="I55" s="124"/>
      <c r="J55" s="426" t="s">
        <v>14368</v>
      </c>
      <c r="K55" s="124" t="s">
        <v>14505</v>
      </c>
      <c r="L55" s="361">
        <f>VLOOKUP(L$52,Reach!$A$105:$U$111,10,FALSE)</f>
        <v>4.195476815329937E-2</v>
      </c>
      <c r="M55" s="361">
        <f>VLOOKUP(M$52,Reach!$A$105:$U$111,10,FALSE)</f>
        <v>2.9440705546750396E-2</v>
      </c>
      <c r="N55" s="361">
        <f>VLOOKUP(N$52,Reach!$A$105:$U$111,10,FALSE)</f>
        <v>4.7604037426880836E-3</v>
      </c>
      <c r="O55" s="361">
        <f>VLOOKUP(O$52,Reach!$A$105:$U$111,10,FALSE)</f>
        <v>0.9172416607843954</v>
      </c>
      <c r="P55" s="361">
        <f>VLOOKUP(P$52,Reach!$A$105:$U$111,10,FALSE)</f>
        <v>2.753307205803553E-3</v>
      </c>
      <c r="Q55" s="361">
        <f>VLOOKUP(Q$52,Reach!$A$105:$U$111,10,FALSE)</f>
        <v>3.8491545670631534E-3</v>
      </c>
      <c r="R55" s="361"/>
      <c r="S55" s="361"/>
      <c r="T55" s="124"/>
      <c r="U55" s="124"/>
      <c r="V55" s="124"/>
      <c r="W55" s="124"/>
      <c r="X55" s="124"/>
      <c r="Y55" s="252"/>
      <c r="Z55" s="252"/>
      <c r="AA55" s="253"/>
      <c r="AB55" s="253"/>
      <c r="AC55" s="249"/>
      <c r="AD55" s="351"/>
      <c r="AE55" s="65"/>
    </row>
    <row r="56" spans="1:31" ht="15" customHeight="1" x14ac:dyDescent="0.25">
      <c r="A56" s="359" t="s">
        <v>14794</v>
      </c>
      <c r="B56" s="360">
        <f>VLOOKUP(B$52&amp;" Total",Reach!$A$3:$U$103,3,FALSE)</f>
        <v>21002107</v>
      </c>
      <c r="C56" s="360">
        <f>VLOOKUP(C$52&amp;" Total",Reach!$A$3:$U$103,3,FALSE)</f>
        <v>4827866</v>
      </c>
      <c r="D56" s="360">
        <f>VLOOKUP(D$52&amp;" Total",Reach!$A$3:$U$103,3,FALSE)</f>
        <v>20021191</v>
      </c>
      <c r="E56" s="360">
        <f>VLOOKUP(E$52&amp;" Total",Reach!$A$3:$U$103,3,FALSE)</f>
        <v>148507700.90000001</v>
      </c>
      <c r="F56" s="360">
        <f>VLOOKUP(F$52&amp;" Total",Reach!$A$3:$U$103,3,FALSE)</f>
        <v>15103394.5</v>
      </c>
      <c r="G56" s="360">
        <f>VLOOKUP(G$52&amp;" Total",Reach!$A$3:$U$103,3,FALSE)</f>
        <v>6580097</v>
      </c>
      <c r="H56" s="360">
        <f>VLOOKUP(H$52&amp;" Total",Reach!$A$3:$U$103,3,FALSE)</f>
        <v>0</v>
      </c>
      <c r="I56" s="124"/>
      <c r="J56" s="426"/>
      <c r="K56" s="124" t="s">
        <v>14506</v>
      </c>
      <c r="L56" s="361">
        <f>VLOOKUP(L$52,Reach!$A$105:$U$111,11,FALSE)</f>
        <v>4.9047768877358136E-2</v>
      </c>
      <c r="M56" s="361">
        <f>VLOOKUP(M$52,Reach!$A$105:$U$111,11,FALSE)</f>
        <v>7.8910257356132694E-3</v>
      </c>
      <c r="N56" s="361">
        <f>VLOOKUP(N$52,Reach!$A$105:$U$111,11,FALSE)</f>
        <v>6.3152177315838392E-3</v>
      </c>
      <c r="O56" s="361">
        <f>VLOOKUP(O$52,Reach!$A$105:$U$111,11,FALSE)</f>
        <v>0.93259825939189256</v>
      </c>
      <c r="P56" s="361">
        <f>VLOOKUP(P$52,Reach!$A$105:$U$111,11,FALSE)</f>
        <v>1.0454662263007955E-3</v>
      </c>
      <c r="Q56" s="361">
        <f>VLOOKUP(Q$52,Reach!$A$105:$U$111,11,FALSE)</f>
        <v>3.1022620372514295E-3</v>
      </c>
      <c r="R56" s="361"/>
      <c r="S56" s="361"/>
      <c r="T56" s="124"/>
      <c r="U56" s="124"/>
      <c r="V56" s="124"/>
      <c r="W56" s="124"/>
      <c r="X56" s="124"/>
      <c r="Y56" s="252"/>
      <c r="Z56" s="252"/>
      <c r="AA56" s="253"/>
      <c r="AB56" s="253"/>
      <c r="AC56" s="249"/>
      <c r="AD56" s="351"/>
      <c r="AE56" s="65"/>
    </row>
    <row r="57" spans="1:31" ht="15" customHeight="1" x14ac:dyDescent="0.25">
      <c r="A57" s="359" t="s">
        <v>14796</v>
      </c>
      <c r="B57" s="360">
        <f>VLOOKUP(B$52&amp;" Total",Reach!$A$3:$U$103,6,FALSE)</f>
        <v>11404152.92</v>
      </c>
      <c r="C57" s="360">
        <f>VLOOKUP(C$52&amp;" Total",Reach!$A$3:$U$103,6,FALSE)</f>
        <v>2722694.75</v>
      </c>
      <c r="D57" s="360">
        <f>VLOOKUP(D$52&amp;" Total",Reach!$A$3:$U$103,6,FALSE)</f>
        <v>10658954.25</v>
      </c>
      <c r="E57" s="360">
        <f>VLOOKUP(E$52&amp;" Total",Reach!$A$3:$U$103,6,FALSE)</f>
        <v>83580166</v>
      </c>
      <c r="F57" s="360">
        <f>VLOOKUP(F$52&amp;" Total",Reach!$A$3:$U$103,6,FALSE)</f>
        <v>6172002.5</v>
      </c>
      <c r="G57" s="360">
        <f>VLOOKUP(G$52&amp;" Total",Reach!$A$3:$U$103,6,FALSE)</f>
        <v>3269101</v>
      </c>
      <c r="H57" s="360">
        <f>VLOOKUP(H$52&amp;" Total",Reach!$A$3:$U$103,6,FALSE)</f>
        <v>0</v>
      </c>
      <c r="I57" s="124"/>
      <c r="J57" s="426" t="s">
        <v>14371</v>
      </c>
      <c r="K57" s="124" t="s">
        <v>14505</v>
      </c>
      <c r="L57" s="361">
        <f>VLOOKUP(L$52,Reach!$A$105:$U$111,16,FALSE)</f>
        <v>0.21982997384845251</v>
      </c>
      <c r="M57" s="361">
        <f>VLOOKUP(M$52,Reach!$A$105:$U$111,16,FALSE)</f>
        <v>0.28347636416235328</v>
      </c>
      <c r="N57" s="361">
        <f>VLOOKUP(N$52,Reach!$A$105:$U$111,16,FALSE)</f>
        <v>0.13214010391582851</v>
      </c>
      <c r="O57" s="361">
        <f>VLOOKUP(O$52,Reach!$A$105:$U$111,16,FALSE)</f>
        <v>0.2937035752502149</v>
      </c>
      <c r="P57" s="361">
        <f>VLOOKUP(P$52,Reach!$A$105:$U$111,16,FALSE)</f>
        <v>2.5834309975557919E-2</v>
      </c>
      <c r="Q57" s="361">
        <f>VLOOKUP(Q$52,Reach!$A$105:$U$111,16,FALSE)</f>
        <v>4.5015672847592857E-2</v>
      </c>
      <c r="R57" s="361"/>
      <c r="S57" s="361"/>
      <c r="T57" s="124"/>
      <c r="U57" s="124"/>
      <c r="V57" s="124"/>
      <c r="W57" s="124"/>
      <c r="X57" s="124"/>
      <c r="Y57" s="252"/>
      <c r="Z57" s="252"/>
      <c r="AA57" s="253"/>
      <c r="AB57" s="253"/>
      <c r="AC57" s="249"/>
      <c r="AD57" s="351"/>
      <c r="AE57" s="65"/>
    </row>
    <row r="58" spans="1:31" ht="15" customHeight="1" x14ac:dyDescent="0.25">
      <c r="A58" s="171"/>
      <c r="B58" s="124"/>
      <c r="C58" s="124"/>
      <c r="D58" s="124"/>
      <c r="E58" s="124"/>
      <c r="F58" s="124"/>
      <c r="G58" s="124"/>
      <c r="H58" s="124"/>
      <c r="I58" s="124"/>
      <c r="J58" s="426"/>
      <c r="K58" s="124" t="s">
        <v>14506</v>
      </c>
      <c r="L58" s="361">
        <f>VLOOKUP(L$52,Reach!$A$105:$U$111,17,FALSE)</f>
        <v>0.24912173942284535</v>
      </c>
      <c r="M58" s="361">
        <f>VLOOKUP(M$52,Reach!$A$105:$U$111,17,FALSE)</f>
        <v>5.1793581412955869E-2</v>
      </c>
      <c r="N58" s="361">
        <f>VLOOKUP(N$52,Reach!$A$105:$U$111,17,FALSE)</f>
        <v>6.2064244686101035E-2</v>
      </c>
      <c r="O58" s="361">
        <f>VLOOKUP(O$52,Reach!$A$105:$U$111,17,FALSE)</f>
        <v>0.2573345791456122</v>
      </c>
      <c r="P58" s="361">
        <f>VLOOKUP(P$52,Reach!$A$105:$U$111,17,FALSE)</f>
        <v>0.31859488195505298</v>
      </c>
      <c r="Q58" s="361">
        <f>VLOOKUP(Q$52,Reach!$A$105:$U$111,17,FALSE)</f>
        <v>6.1090973377432578E-2</v>
      </c>
      <c r="R58" s="361"/>
      <c r="S58" s="361"/>
      <c r="T58" s="124"/>
      <c r="U58" s="124"/>
      <c r="V58" s="124"/>
      <c r="W58" s="124"/>
      <c r="X58" s="124"/>
      <c r="Y58" s="252"/>
      <c r="Z58" s="252"/>
      <c r="AA58" s="253"/>
      <c r="AB58" s="253"/>
      <c r="AC58" s="249"/>
      <c r="AD58" s="351"/>
      <c r="AE58" s="65"/>
    </row>
    <row r="59" spans="1:31" ht="15" customHeight="1" x14ac:dyDescent="0.25">
      <c r="A59" s="171"/>
      <c r="B59" s="124"/>
      <c r="C59" s="124"/>
      <c r="D59" s="124"/>
      <c r="E59" s="124"/>
      <c r="F59" s="124"/>
      <c r="G59" s="124"/>
      <c r="H59" s="124"/>
      <c r="I59" s="124"/>
      <c r="J59" s="426" t="s">
        <v>14798</v>
      </c>
      <c r="K59" s="124" t="s">
        <v>14505</v>
      </c>
      <c r="L59" s="361">
        <f>VLOOKUP(L$52,Reach!$A$105:$U$111,13,FALSE)</f>
        <v>0.22045248423971875</v>
      </c>
      <c r="M59" s="361">
        <f>VLOOKUP(M$52,Reach!$A$105:$U$111,13,FALSE)</f>
        <v>0.16007523124362069</v>
      </c>
      <c r="N59" s="361">
        <f>VLOOKUP(N$52,Reach!$A$105:$U$111,13,FALSE)</f>
        <v>0.15311133487862413</v>
      </c>
      <c r="O59" s="361">
        <f>VLOOKUP(O$52,Reach!$A$105:$U$111,13,FALSE)</f>
        <v>0.35587049348463434</v>
      </c>
      <c r="P59" s="361">
        <f>VLOOKUP(P$52,Reach!$A$105:$U$111,13,FALSE)</f>
        <v>4.8491109283624753E-2</v>
      </c>
      <c r="Q59" s="361">
        <f>VLOOKUP(Q$52,Reach!$A$105:$U$111,13,FALSE)</f>
        <v>6.1999346869777358E-2</v>
      </c>
      <c r="R59" s="361"/>
      <c r="S59" s="361"/>
      <c r="T59" s="124"/>
      <c r="U59" s="124"/>
      <c r="V59" s="124"/>
      <c r="W59" s="124"/>
      <c r="X59" s="124"/>
      <c r="Y59" s="252"/>
      <c r="Z59" s="252"/>
      <c r="AA59" s="253"/>
      <c r="AB59" s="253"/>
      <c r="AC59" s="249"/>
      <c r="AD59" s="351"/>
      <c r="AE59" s="65"/>
    </row>
    <row r="60" spans="1:31" ht="15" customHeight="1" x14ac:dyDescent="0.25">
      <c r="A60" s="171"/>
      <c r="B60" s="124"/>
      <c r="C60" s="124"/>
      <c r="D60" s="124"/>
      <c r="E60" s="124"/>
      <c r="F60" s="124"/>
      <c r="G60" s="124"/>
      <c r="H60" s="124"/>
      <c r="I60" s="124"/>
      <c r="J60" s="426"/>
      <c r="K60" s="124" t="s">
        <v>14506</v>
      </c>
      <c r="L60" s="361">
        <f>VLOOKUP(L$52,Reach!$A$105:$U$111,14,FALSE)</f>
        <v>0.1103390481183925</v>
      </c>
      <c r="M60" s="361">
        <f>VLOOKUP(M$52,Reach!$A$105:$U$111,14,FALSE)</f>
        <v>8.6475677228991202E-2</v>
      </c>
      <c r="N60" s="361">
        <f>VLOOKUP(N$52,Reach!$A$105:$U$111,14,FALSE)</f>
        <v>0.31918039801283782</v>
      </c>
      <c r="O60" s="361">
        <f>VLOOKUP(O$52,Reach!$A$105:$U$111,14,FALSE)</f>
        <v>0.13277800313059632</v>
      </c>
      <c r="P60" s="361">
        <f>VLOOKUP(P$52,Reach!$A$105:$U$111,14,FALSE)</f>
        <v>0.29123303701397563</v>
      </c>
      <c r="Q60" s="361">
        <f>VLOOKUP(Q$52,Reach!$A$105:$U$111,14,FALSE)</f>
        <v>5.9993836495206565E-2</v>
      </c>
      <c r="R60" s="361"/>
      <c r="S60" s="361"/>
      <c r="T60" s="124"/>
      <c r="U60" s="124"/>
      <c r="V60" s="124"/>
      <c r="W60" s="124"/>
      <c r="X60" s="124"/>
      <c r="Y60" s="252"/>
      <c r="Z60" s="252"/>
      <c r="AA60" s="253"/>
      <c r="AB60" s="253"/>
      <c r="AC60" s="249"/>
      <c r="AD60" s="351"/>
      <c r="AE60" s="65"/>
    </row>
    <row r="61" spans="1:31" ht="15" customHeight="1" x14ac:dyDescent="0.25">
      <c r="A61" s="171"/>
      <c r="B61" s="124"/>
      <c r="C61" s="124"/>
      <c r="D61" s="124"/>
      <c r="E61" s="124"/>
      <c r="F61" s="124"/>
      <c r="G61" s="124"/>
      <c r="H61" s="124"/>
      <c r="I61" s="124"/>
      <c r="J61" s="426" t="s">
        <v>14377</v>
      </c>
      <c r="K61" s="124" t="s">
        <v>14505</v>
      </c>
      <c r="L61" s="361">
        <f>VLOOKUP(L$52,Reach!$A$105:$U$111,19,FALSE)</f>
        <v>0.54896703726144502</v>
      </c>
      <c r="M61" s="361">
        <f>VLOOKUP(M$52,Reach!$A$105:$U$111,19,FALSE)</f>
        <v>9.1921499604388127E-2</v>
      </c>
      <c r="N61" s="361">
        <f>VLOOKUP(N$52,Reach!$A$105:$U$111,19,FALSE)</f>
        <v>0.14869699379433043</v>
      </c>
      <c r="O61" s="361">
        <f>VLOOKUP(O$52,Reach!$A$105:$U$111,19,FALSE)</f>
        <v>0.15612755705403711</v>
      </c>
      <c r="P61" s="361">
        <f>VLOOKUP(P$52,Reach!$A$105:$U$111,19,FALSE)</f>
        <v>3.3397294598589401E-2</v>
      </c>
      <c r="Q61" s="361">
        <f>VLOOKUP(Q$52,Reach!$A$105:$U$111,19,FALSE)</f>
        <v>2.088961768721017E-2</v>
      </c>
      <c r="R61" s="361"/>
      <c r="S61" s="361"/>
      <c r="T61" s="124"/>
      <c r="U61" s="124"/>
      <c r="V61" s="124"/>
      <c r="W61" s="124"/>
      <c r="X61" s="124"/>
      <c r="Y61" s="252"/>
      <c r="Z61" s="252"/>
      <c r="AA61" s="253"/>
      <c r="AB61" s="253"/>
      <c r="AC61" s="249"/>
      <c r="AD61" s="351"/>
      <c r="AE61" s="65"/>
    </row>
    <row r="62" spans="1:31" ht="15" customHeight="1" x14ac:dyDescent="0.25">
      <c r="A62" s="171"/>
      <c r="B62" s="124"/>
      <c r="C62" s="124"/>
      <c r="D62" s="124"/>
      <c r="E62" s="124"/>
      <c r="F62" s="124"/>
      <c r="G62" s="124"/>
      <c r="H62" s="124"/>
      <c r="I62" s="124"/>
      <c r="J62" s="426"/>
      <c r="K62" s="124" t="s">
        <v>14506</v>
      </c>
      <c r="L62" s="361">
        <f>VLOOKUP(L$52,Reach!$A$105:$U$111,20,FALSE)</f>
        <v>0.47758969063534568</v>
      </c>
      <c r="M62" s="361">
        <f>VLOOKUP(M$52,Reach!$A$105:$U$111,20,FALSE)</f>
        <v>5.7548175006013599E-2</v>
      </c>
      <c r="N62" s="361">
        <f>VLOOKUP(N$52,Reach!$A$105:$U$111,20,FALSE)</f>
        <v>0.16940460532009913</v>
      </c>
      <c r="O62" s="361">
        <f>VLOOKUP(O$52,Reach!$A$105:$U$111,20,FALSE)</f>
        <v>7.7865559972355322E-2</v>
      </c>
      <c r="P62" s="361">
        <f>VLOOKUP(P$52,Reach!$A$105:$U$111,20,FALSE)</f>
        <v>0.18778895329400244</v>
      </c>
      <c r="Q62" s="361">
        <f>VLOOKUP(Q$52,Reach!$A$105:$U$111,20,FALSE)</f>
        <v>2.9803015772184516E-2</v>
      </c>
      <c r="R62" s="361"/>
      <c r="S62" s="361"/>
      <c r="T62" s="124"/>
      <c r="U62" s="124"/>
      <c r="V62" s="124"/>
      <c r="W62" s="124"/>
      <c r="X62" s="124"/>
      <c r="Y62" s="252"/>
      <c r="Z62" s="252"/>
      <c r="AA62" s="253"/>
      <c r="AB62" s="253"/>
      <c r="AC62" s="249"/>
      <c r="AD62" s="351"/>
      <c r="AE62" s="65"/>
    </row>
    <row r="63" spans="1:31" ht="15" customHeight="1" x14ac:dyDescent="0.25">
      <c r="A63" s="171"/>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252"/>
      <c r="Z63" s="252"/>
      <c r="AA63" s="253"/>
      <c r="AB63" s="253"/>
      <c r="AC63" s="249"/>
      <c r="AD63" s="351"/>
      <c r="AE63" s="65"/>
    </row>
    <row r="64" spans="1:31" ht="15" customHeight="1" x14ac:dyDescent="0.25">
      <c r="A64" s="171"/>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252"/>
      <c r="Z64" s="252"/>
      <c r="AA64" s="253"/>
      <c r="AB64" s="253"/>
      <c r="AC64" s="249"/>
      <c r="AD64" s="351"/>
      <c r="AE64" s="65"/>
    </row>
    <row r="65" spans="1:31" ht="15" customHeight="1" x14ac:dyDescent="0.25">
      <c r="A65" s="171"/>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252"/>
      <c r="Z65" s="252"/>
      <c r="AA65" s="253"/>
      <c r="AB65" s="253"/>
      <c r="AC65" s="249"/>
      <c r="AD65" s="351"/>
      <c r="AE65" s="65"/>
    </row>
    <row r="66" spans="1:31" ht="15" customHeight="1" x14ac:dyDescent="0.25">
      <c r="A66" s="171"/>
      <c r="B66" s="124"/>
      <c r="C66" s="124"/>
      <c r="D66" s="124"/>
      <c r="E66" s="124"/>
      <c r="F66" s="124"/>
      <c r="G66" s="124"/>
      <c r="H66" s="124"/>
      <c r="I66" s="124"/>
      <c r="J66" s="124"/>
      <c r="K66" s="124"/>
      <c r="L66" s="124"/>
      <c r="M66" s="124"/>
      <c r="N66" s="124"/>
      <c r="O66" s="124"/>
      <c r="P66" s="124"/>
      <c r="Q66" s="124"/>
      <c r="R66" s="124"/>
      <c r="S66" s="124"/>
      <c r="T66" s="124"/>
      <c r="U66" s="124"/>
      <c r="V66" s="124"/>
      <c r="W66" s="124"/>
      <c r="X66" s="124"/>
      <c r="Y66" s="252"/>
      <c r="Z66" s="252"/>
      <c r="AA66" s="253"/>
      <c r="AB66" s="253"/>
      <c r="AC66" s="249"/>
      <c r="AD66" s="351"/>
      <c r="AE66" s="65"/>
    </row>
    <row r="67" spans="1:31" ht="15" customHeight="1" x14ac:dyDescent="0.25">
      <c r="A67" s="171"/>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252"/>
      <c r="Z67" s="252"/>
      <c r="AA67" s="253"/>
      <c r="AB67" s="253"/>
      <c r="AC67" s="249"/>
      <c r="AD67" s="351"/>
      <c r="AE67" s="65"/>
    </row>
    <row r="68" spans="1:31" ht="15" customHeight="1" x14ac:dyDescent="0.25">
      <c r="A68" s="171"/>
      <c r="B68" s="124"/>
      <c r="C68" s="124"/>
      <c r="D68" s="124"/>
      <c r="E68" s="124"/>
      <c r="F68" s="124"/>
      <c r="G68" s="124"/>
      <c r="H68" s="124"/>
      <c r="I68" s="124"/>
      <c r="J68" s="124"/>
      <c r="K68" s="124"/>
      <c r="L68" s="124"/>
      <c r="M68" s="124"/>
      <c r="N68" s="124"/>
      <c r="O68" s="124"/>
      <c r="P68" s="124"/>
      <c r="Q68" s="124"/>
      <c r="R68" s="124"/>
      <c r="S68" s="124"/>
      <c r="T68" s="124"/>
      <c r="U68" s="124"/>
      <c r="V68" s="124"/>
      <c r="W68" s="124"/>
      <c r="X68" s="124"/>
      <c r="Y68" s="252"/>
      <c r="Z68" s="252"/>
      <c r="AA68" s="253"/>
      <c r="AB68" s="253"/>
      <c r="AC68" s="249"/>
      <c r="AD68" s="351"/>
      <c r="AE68" s="65"/>
    </row>
    <row r="69" spans="1:31" ht="15" customHeight="1" x14ac:dyDescent="0.25">
      <c r="A69" s="171"/>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252"/>
      <c r="Z69" s="252"/>
      <c r="AA69" s="253"/>
      <c r="AB69" s="253"/>
      <c r="AC69" s="249"/>
      <c r="AD69" s="351"/>
      <c r="AE69" s="65"/>
    </row>
    <row r="70" spans="1:31" ht="15" customHeight="1" x14ac:dyDescent="0.25">
      <c r="A70" s="171"/>
      <c r="B70" s="124"/>
      <c r="C70" s="124"/>
      <c r="D70" s="124"/>
      <c r="E70" s="124"/>
      <c r="F70" s="124"/>
      <c r="G70" s="124"/>
      <c r="H70" s="124"/>
      <c r="I70" s="124"/>
      <c r="J70" s="124"/>
      <c r="K70" s="124"/>
      <c r="L70" s="124"/>
      <c r="M70" s="124"/>
      <c r="N70" s="124"/>
      <c r="O70" s="124"/>
      <c r="P70" s="124"/>
      <c r="Q70" s="124"/>
      <c r="R70" s="124"/>
      <c r="S70" s="124"/>
      <c r="T70" s="124"/>
      <c r="U70" s="124"/>
      <c r="V70" s="124"/>
      <c r="W70" s="124"/>
      <c r="X70" s="124"/>
      <c r="Y70" s="252"/>
      <c r="Z70" s="252"/>
      <c r="AA70" s="253"/>
      <c r="AB70" s="253"/>
      <c r="AC70" s="249"/>
      <c r="AD70" s="351"/>
      <c r="AE70" s="65"/>
    </row>
    <row r="71" spans="1:31" x14ac:dyDescent="0.25">
      <c r="A71" s="124"/>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252"/>
      <c r="Z71" s="252"/>
      <c r="AA71" s="253"/>
      <c r="AB71" s="253"/>
      <c r="AC71" s="249"/>
      <c r="AD71" s="351"/>
      <c r="AE71" s="65"/>
    </row>
    <row r="72" spans="1:31" x14ac:dyDescent="0.25">
      <c r="A72" s="124"/>
      <c r="B72" s="124"/>
      <c r="C72" s="124"/>
      <c r="D72" s="124"/>
      <c r="E72" s="124"/>
      <c r="F72" s="124"/>
      <c r="G72" s="124"/>
      <c r="H72" s="124"/>
      <c r="I72" s="124"/>
      <c r="J72" s="124"/>
      <c r="K72" s="124"/>
      <c r="L72" s="124"/>
      <c r="M72" s="124"/>
      <c r="N72" s="124"/>
      <c r="O72" s="124"/>
      <c r="P72" s="124"/>
      <c r="Q72" s="124"/>
      <c r="R72" s="124"/>
      <c r="S72" s="124"/>
      <c r="T72" s="124"/>
      <c r="U72" s="124"/>
      <c r="V72" s="124"/>
      <c r="W72" s="124"/>
      <c r="X72" s="124"/>
      <c r="Y72" s="252"/>
      <c r="Z72" s="252"/>
      <c r="AA72" s="253"/>
      <c r="AB72" s="253"/>
      <c r="AC72" s="249"/>
      <c r="AD72" s="351"/>
      <c r="AE72" s="65"/>
    </row>
    <row r="73" spans="1:31" x14ac:dyDescent="0.25">
      <c r="A73" s="124"/>
      <c r="B73" s="124"/>
      <c r="C73" s="124"/>
      <c r="D73" s="124"/>
      <c r="E73" s="124"/>
      <c r="F73" s="124"/>
      <c r="G73" s="124"/>
      <c r="H73" s="124"/>
      <c r="I73" s="124"/>
      <c r="J73" s="124"/>
      <c r="K73" s="124"/>
      <c r="L73" s="124"/>
      <c r="M73" s="124"/>
      <c r="N73" s="124"/>
      <c r="O73" s="124"/>
      <c r="P73" s="124"/>
      <c r="Q73" s="124"/>
      <c r="R73" s="124"/>
      <c r="S73" s="124"/>
      <c r="T73" s="124"/>
      <c r="U73" s="124"/>
      <c r="V73" s="124"/>
      <c r="W73" s="124"/>
      <c r="X73" s="124"/>
      <c r="Y73" s="252"/>
      <c r="Z73" s="252"/>
      <c r="AA73" s="253"/>
      <c r="AB73" s="253"/>
      <c r="AC73" s="249"/>
      <c r="AD73" s="351"/>
      <c r="AE73" s="65"/>
    </row>
    <row r="74" spans="1:31" x14ac:dyDescent="0.25">
      <c r="A74" s="124"/>
      <c r="B74" s="124"/>
      <c r="C74" s="124"/>
      <c r="D74" s="124"/>
      <c r="E74" s="124"/>
      <c r="F74" s="124"/>
      <c r="G74" s="124"/>
      <c r="H74" s="124"/>
      <c r="I74" s="124"/>
      <c r="J74" s="124"/>
      <c r="K74" s="124"/>
      <c r="L74" s="124"/>
      <c r="M74" s="124"/>
      <c r="N74" s="124"/>
      <c r="O74" s="124"/>
      <c r="P74" s="124"/>
      <c r="Q74" s="124"/>
      <c r="R74" s="124"/>
      <c r="S74" s="124"/>
      <c r="T74" s="124"/>
      <c r="U74" s="124"/>
      <c r="V74" s="124"/>
      <c r="W74" s="124"/>
      <c r="X74" s="124"/>
      <c r="Y74" s="252"/>
      <c r="Z74" s="252"/>
      <c r="AA74" s="253"/>
      <c r="AB74" s="253"/>
      <c r="AC74" s="249"/>
      <c r="AD74" s="351"/>
      <c r="AE74" s="65"/>
    </row>
    <row r="75" spans="1:31" x14ac:dyDescent="0.25">
      <c r="A75" s="124"/>
      <c r="B75" s="124"/>
      <c r="C75" s="124"/>
      <c r="D75" s="124"/>
      <c r="E75" s="124"/>
      <c r="F75" s="124"/>
      <c r="G75" s="124"/>
      <c r="H75" s="124"/>
      <c r="I75" s="124"/>
      <c r="J75" s="124"/>
      <c r="K75" s="124"/>
      <c r="L75" s="124"/>
      <c r="M75" s="124"/>
      <c r="N75" s="124"/>
      <c r="O75" s="124"/>
      <c r="P75" s="124"/>
      <c r="Q75" s="124"/>
      <c r="R75" s="124"/>
      <c r="S75" s="124"/>
      <c r="T75" s="124"/>
      <c r="U75" s="124"/>
      <c r="V75" s="124"/>
      <c r="W75" s="124"/>
      <c r="X75" s="124"/>
      <c r="Y75" s="252"/>
      <c r="Z75" s="252"/>
      <c r="AA75" s="253"/>
      <c r="AB75" s="253"/>
      <c r="AC75" s="249"/>
      <c r="AD75" s="351"/>
      <c r="AE75" s="65"/>
    </row>
    <row r="76" spans="1:31" ht="17.45" customHeight="1" x14ac:dyDescent="0.25">
      <c r="A76" s="124"/>
      <c r="B76" s="124"/>
      <c r="C76" s="124"/>
      <c r="D76" s="124"/>
      <c r="E76" s="124"/>
      <c r="F76" s="124"/>
      <c r="G76" s="124"/>
      <c r="H76" s="124"/>
      <c r="I76" s="124"/>
      <c r="J76" s="124"/>
      <c r="K76" s="124"/>
      <c r="L76" s="124"/>
      <c r="M76" s="124"/>
      <c r="N76" s="124"/>
      <c r="O76" s="124"/>
      <c r="P76" s="124"/>
      <c r="Q76" s="124"/>
      <c r="R76" s="124"/>
      <c r="S76" s="124"/>
      <c r="T76" s="124"/>
      <c r="U76" s="124"/>
      <c r="V76" s="124"/>
      <c r="W76" s="124"/>
      <c r="X76" s="124"/>
      <c r="Y76" s="252"/>
      <c r="Z76" s="252"/>
      <c r="AA76" s="253"/>
      <c r="AB76" s="253"/>
      <c r="AC76" s="249"/>
      <c r="AD76" s="351"/>
      <c r="AE76" s="65"/>
    </row>
    <row r="77" spans="1:31" x14ac:dyDescent="0.25">
      <c r="A77" s="124"/>
      <c r="B77" s="124"/>
      <c r="C77" s="124"/>
      <c r="D77" s="124"/>
      <c r="E77" s="124"/>
      <c r="F77" s="124"/>
      <c r="G77" s="124"/>
      <c r="H77" s="124"/>
      <c r="I77" s="124"/>
      <c r="J77" s="124"/>
      <c r="K77" s="124"/>
      <c r="L77" s="124"/>
      <c r="M77" s="124"/>
      <c r="N77" s="124"/>
      <c r="O77" s="124"/>
      <c r="P77" s="124"/>
      <c r="Q77" s="124"/>
      <c r="R77" s="124"/>
      <c r="S77" s="124"/>
      <c r="T77" s="124"/>
      <c r="U77" s="124"/>
      <c r="V77" s="124"/>
      <c r="W77" s="124"/>
      <c r="X77" s="124"/>
      <c r="Y77" s="252"/>
      <c r="Z77" s="252"/>
      <c r="AA77" s="253"/>
      <c r="AB77" s="253"/>
      <c r="AC77" s="249"/>
      <c r="AD77" s="351"/>
      <c r="AE77" s="65"/>
    </row>
    <row r="78" spans="1:31" x14ac:dyDescent="0.25">
      <c r="A78" s="124"/>
      <c r="B78" s="124"/>
      <c r="C78" s="124"/>
      <c r="D78" s="124"/>
      <c r="E78" s="124"/>
      <c r="F78" s="124"/>
      <c r="G78" s="124"/>
      <c r="H78" s="124"/>
      <c r="I78" s="124"/>
      <c r="J78" s="124"/>
      <c r="K78" s="124"/>
      <c r="L78" s="124"/>
      <c r="M78" s="124"/>
      <c r="N78" s="124"/>
      <c r="O78" s="124"/>
      <c r="P78" s="124"/>
      <c r="Q78" s="124"/>
      <c r="R78" s="124"/>
      <c r="S78" s="124"/>
      <c r="T78" s="124"/>
      <c r="U78" s="124"/>
      <c r="V78" s="124"/>
      <c r="W78" s="124"/>
      <c r="X78" s="124"/>
      <c r="Y78" s="252"/>
      <c r="Z78" s="252"/>
      <c r="AA78" s="253"/>
      <c r="AB78" s="253"/>
      <c r="AC78" s="249"/>
      <c r="AD78" s="351"/>
      <c r="AE78" s="65"/>
    </row>
    <row r="79" spans="1:31" ht="51.6" customHeight="1" x14ac:dyDescent="0.25">
      <c r="A79" s="124"/>
      <c r="B79" s="124"/>
      <c r="C79" s="124"/>
      <c r="D79" s="124"/>
      <c r="E79" s="124"/>
      <c r="F79" s="124"/>
      <c r="G79" s="124"/>
      <c r="H79" s="124"/>
      <c r="I79" s="124"/>
      <c r="J79" s="124"/>
      <c r="K79" s="124"/>
      <c r="L79" s="124"/>
      <c r="M79" s="124"/>
      <c r="N79" s="124"/>
      <c r="O79" s="126"/>
      <c r="P79" s="126"/>
      <c r="Q79" s="126"/>
      <c r="R79" s="126"/>
      <c r="S79" s="126"/>
      <c r="T79" s="126"/>
      <c r="U79" s="126"/>
      <c r="V79" s="126"/>
      <c r="W79" s="126"/>
      <c r="X79" s="126"/>
      <c r="Y79" s="252"/>
      <c r="Z79" s="252"/>
      <c r="AA79" s="253"/>
      <c r="AB79" s="253"/>
      <c r="AC79" s="249"/>
      <c r="AD79" s="351"/>
      <c r="AE79" s="65"/>
    </row>
    <row r="80" spans="1:31" x14ac:dyDescent="0.25">
      <c r="A80" s="124"/>
      <c r="B80" s="124"/>
      <c r="C80" s="124"/>
      <c r="D80" s="124"/>
      <c r="E80" s="124"/>
      <c r="F80" s="124"/>
      <c r="G80" s="124"/>
      <c r="H80" s="124"/>
      <c r="I80" s="124"/>
      <c r="J80" s="124"/>
      <c r="K80" s="124"/>
      <c r="L80" s="124"/>
      <c r="M80" s="124"/>
      <c r="N80" s="124"/>
      <c r="O80" s="124"/>
      <c r="P80" s="124"/>
      <c r="Q80" s="124"/>
      <c r="R80" s="124"/>
      <c r="S80" s="124"/>
      <c r="T80" s="124"/>
      <c r="U80" s="124"/>
      <c r="V80" s="124"/>
      <c r="W80" s="124"/>
      <c r="X80" s="124"/>
      <c r="Y80" s="252"/>
      <c r="Z80" s="252"/>
      <c r="AA80" s="253"/>
      <c r="AB80" s="253"/>
      <c r="AC80" s="249"/>
      <c r="AD80" s="351"/>
      <c r="AE80" s="65"/>
    </row>
    <row r="81" spans="1:31" x14ac:dyDescent="0.25">
      <c r="A81" s="124"/>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252"/>
      <c r="Z81" s="252"/>
      <c r="AA81" s="253"/>
      <c r="AB81" s="253"/>
      <c r="AC81" s="249"/>
      <c r="AD81" s="351"/>
      <c r="AE81" s="65"/>
    </row>
    <row r="82" spans="1:31" x14ac:dyDescent="0.25">
      <c r="A82" s="124"/>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252"/>
      <c r="Z82" s="252"/>
      <c r="AA82" s="253"/>
      <c r="AB82" s="253"/>
      <c r="AC82" s="249"/>
      <c r="AD82" s="351"/>
      <c r="AE82" s="65"/>
    </row>
    <row r="83" spans="1:31" x14ac:dyDescent="0.25">
      <c r="A83" s="124"/>
      <c r="B83" s="124"/>
      <c r="C83" s="124"/>
      <c r="D83" s="124"/>
      <c r="E83" s="124"/>
      <c r="F83" s="124"/>
      <c r="G83" s="124"/>
      <c r="H83" s="124"/>
      <c r="I83" s="124"/>
      <c r="J83" s="124"/>
      <c r="K83" s="124"/>
      <c r="L83" s="124"/>
      <c r="M83" s="124"/>
      <c r="N83" s="124"/>
      <c r="O83" s="124"/>
      <c r="P83" s="124"/>
      <c r="Q83" s="124"/>
      <c r="R83" s="124"/>
      <c r="S83" s="124"/>
      <c r="T83" s="124"/>
      <c r="U83" s="124"/>
      <c r="V83" s="124"/>
      <c r="W83" s="124"/>
      <c r="X83" s="124"/>
      <c r="Y83" s="252"/>
      <c r="Z83" s="252"/>
      <c r="AA83" s="253"/>
      <c r="AB83" s="253"/>
      <c r="AC83" s="249"/>
      <c r="AD83" s="351"/>
      <c r="AE83" s="65"/>
    </row>
    <row r="84" spans="1:31" x14ac:dyDescent="0.25">
      <c r="A84" s="124"/>
      <c r="B84" s="124"/>
      <c r="C84" s="124"/>
      <c r="D84" s="124"/>
      <c r="E84" s="124"/>
      <c r="F84" s="124"/>
      <c r="G84" s="124"/>
      <c r="H84" s="124"/>
      <c r="I84" s="124"/>
      <c r="J84" s="124"/>
      <c r="K84" s="124"/>
      <c r="L84" s="124"/>
      <c r="M84" s="124"/>
      <c r="N84" s="124"/>
      <c r="O84" s="124"/>
      <c r="P84" s="124"/>
      <c r="Q84" s="124"/>
      <c r="R84" s="124"/>
      <c r="S84" s="124"/>
      <c r="T84" s="124"/>
      <c r="U84" s="124"/>
      <c r="V84" s="124"/>
      <c r="W84" s="124"/>
      <c r="X84" s="124"/>
      <c r="Y84" s="252"/>
      <c r="Z84" s="252"/>
      <c r="AA84" s="253"/>
      <c r="AB84" s="253"/>
      <c r="AC84" s="249"/>
      <c r="AD84" s="351"/>
      <c r="AE84" s="65"/>
    </row>
    <row r="85" spans="1:31" x14ac:dyDescent="0.25">
      <c r="A85" s="124"/>
      <c r="B85" s="124"/>
      <c r="C85" s="124"/>
      <c r="D85" s="124"/>
      <c r="E85" s="124"/>
      <c r="F85" s="124"/>
      <c r="G85" s="124"/>
      <c r="H85" s="124"/>
      <c r="I85" s="124"/>
      <c r="J85" s="124"/>
      <c r="K85" s="124"/>
      <c r="L85" s="124"/>
      <c r="M85" s="124"/>
      <c r="N85" s="124"/>
      <c r="O85" s="124"/>
      <c r="P85" s="124"/>
      <c r="Q85" s="124"/>
      <c r="R85" s="124"/>
      <c r="S85" s="124"/>
      <c r="T85" s="124"/>
      <c r="U85" s="124"/>
      <c r="V85" s="124"/>
      <c r="W85" s="124"/>
      <c r="X85" s="124"/>
      <c r="Y85" s="252"/>
      <c r="Z85" s="252"/>
      <c r="AA85" s="253"/>
      <c r="AB85" s="253"/>
      <c r="AC85" s="249"/>
      <c r="AD85" s="351"/>
      <c r="AE85" s="65"/>
    </row>
    <row r="86" spans="1:31" x14ac:dyDescent="0.25">
      <c r="A86" s="124"/>
      <c r="B86" s="124"/>
      <c r="C86" s="124"/>
      <c r="D86" s="124"/>
      <c r="E86" s="124"/>
      <c r="F86" s="124"/>
      <c r="G86" s="124"/>
      <c r="H86" s="124"/>
      <c r="I86" s="124"/>
      <c r="J86" s="124"/>
      <c r="K86" s="124"/>
      <c r="L86" s="124"/>
      <c r="M86" s="124"/>
      <c r="N86" s="124"/>
      <c r="O86" s="124"/>
      <c r="P86" s="124"/>
      <c r="Q86" s="124"/>
      <c r="R86" s="124"/>
      <c r="S86" s="124"/>
      <c r="T86" s="124"/>
      <c r="U86" s="124"/>
      <c r="V86" s="124"/>
      <c r="W86" s="124"/>
      <c r="X86" s="124"/>
      <c r="Y86" s="252"/>
      <c r="Z86" s="252"/>
      <c r="AA86" s="253"/>
      <c r="AB86" s="253"/>
      <c r="AC86" s="249"/>
      <c r="AD86" s="351"/>
      <c r="AE86" s="65"/>
    </row>
    <row r="87" spans="1:31" x14ac:dyDescent="0.25">
      <c r="A87" s="124"/>
      <c r="B87" s="124"/>
      <c r="C87" s="124"/>
      <c r="D87" s="124"/>
      <c r="E87" s="124"/>
      <c r="F87" s="124"/>
      <c r="G87" s="124"/>
      <c r="H87" s="124"/>
      <c r="I87" s="124"/>
      <c r="J87" s="124"/>
      <c r="K87" s="124"/>
      <c r="L87" s="124"/>
      <c r="M87" s="124"/>
      <c r="N87" s="124"/>
      <c r="O87" s="124"/>
      <c r="P87" s="124"/>
      <c r="Q87" s="124"/>
      <c r="R87" s="124"/>
      <c r="S87" s="124"/>
      <c r="T87" s="124"/>
      <c r="U87" s="124"/>
      <c r="V87" s="124"/>
      <c r="W87" s="124"/>
      <c r="X87" s="124"/>
      <c r="Y87" s="252"/>
      <c r="Z87" s="252"/>
      <c r="AA87" s="253"/>
      <c r="AB87" s="253"/>
      <c r="AC87" s="249"/>
      <c r="AD87" s="351"/>
      <c r="AE87" s="65"/>
    </row>
    <row r="88" spans="1:31" x14ac:dyDescent="0.25">
      <c r="A88" s="124"/>
      <c r="B88" s="124"/>
      <c r="C88" s="124"/>
      <c r="D88" s="124"/>
      <c r="E88" s="124"/>
      <c r="F88" s="124"/>
      <c r="G88" s="124"/>
      <c r="H88" s="124"/>
      <c r="I88" s="124"/>
      <c r="J88" s="124"/>
      <c r="K88" s="124"/>
      <c r="L88" s="124"/>
      <c r="M88" s="124"/>
      <c r="N88" s="124"/>
      <c r="O88" s="124"/>
      <c r="P88" s="124"/>
      <c r="Q88" s="124"/>
      <c r="R88" s="124"/>
      <c r="S88" s="124"/>
      <c r="T88" s="124"/>
      <c r="U88" s="124"/>
      <c r="V88" s="124"/>
      <c r="W88" s="124"/>
      <c r="X88" s="124"/>
      <c r="Y88" s="252"/>
      <c r="Z88" s="252"/>
      <c r="AA88" s="253"/>
      <c r="AB88" s="253"/>
      <c r="AC88" s="249"/>
      <c r="AD88" s="351"/>
      <c r="AE88" s="65"/>
    </row>
    <row r="89" spans="1:31" x14ac:dyDescent="0.25">
      <c r="A89" s="124"/>
      <c r="B89" s="124"/>
      <c r="C89" s="124"/>
      <c r="D89" s="124"/>
      <c r="E89" s="124"/>
      <c r="F89" s="124"/>
      <c r="G89" s="124"/>
      <c r="H89" s="124"/>
      <c r="I89" s="124"/>
      <c r="J89" s="124"/>
      <c r="K89" s="124"/>
      <c r="L89" s="124"/>
      <c r="M89" s="124"/>
      <c r="N89" s="124"/>
      <c r="O89" s="124"/>
      <c r="P89" s="124"/>
      <c r="Q89" s="124"/>
      <c r="R89" s="124"/>
      <c r="S89" s="124"/>
      <c r="T89" s="124"/>
      <c r="U89" s="124"/>
      <c r="V89" s="124"/>
      <c r="W89" s="124"/>
      <c r="X89" s="124"/>
      <c r="Y89" s="252"/>
      <c r="Z89" s="252"/>
      <c r="AA89" s="253"/>
      <c r="AB89" s="253"/>
      <c r="AC89" s="249"/>
      <c r="AD89" s="351"/>
      <c r="AE89" s="65"/>
    </row>
    <row r="90" spans="1:31" ht="12.6" customHeight="1" x14ac:dyDescent="0.25">
      <c r="A90" s="124"/>
      <c r="B90" s="124"/>
      <c r="C90" s="124"/>
      <c r="D90" s="124"/>
      <c r="E90" s="124"/>
      <c r="F90" s="124"/>
      <c r="G90" s="124"/>
      <c r="H90" s="124"/>
      <c r="I90" s="124"/>
      <c r="J90" s="124"/>
      <c r="K90" s="124"/>
      <c r="L90" s="124"/>
      <c r="M90" s="124"/>
      <c r="N90" s="124"/>
      <c r="O90" s="126"/>
      <c r="P90" s="126"/>
      <c r="Q90" s="126"/>
      <c r="R90" s="126"/>
      <c r="S90" s="126"/>
      <c r="T90" s="126"/>
      <c r="U90" s="126"/>
      <c r="V90" s="126"/>
      <c r="W90" s="126"/>
      <c r="X90" s="126"/>
      <c r="Y90" s="252"/>
      <c r="Z90" s="252"/>
      <c r="AA90" s="253"/>
      <c r="AB90" s="253"/>
      <c r="AC90" s="249"/>
      <c r="AD90" s="351"/>
      <c r="AE90" s="65"/>
    </row>
    <row r="91" spans="1:31" ht="12.6" customHeight="1" x14ac:dyDescent="0.25">
      <c r="A91" s="124"/>
      <c r="B91" s="124"/>
      <c r="C91" s="124"/>
      <c r="D91" s="124"/>
      <c r="E91" s="124"/>
      <c r="F91" s="124"/>
      <c r="G91" s="124"/>
      <c r="H91" s="124"/>
      <c r="I91" s="124"/>
      <c r="J91" s="124"/>
      <c r="K91" s="124"/>
      <c r="L91" s="124"/>
      <c r="M91" s="124"/>
      <c r="N91" s="124"/>
      <c r="O91" s="126"/>
      <c r="P91" s="126"/>
      <c r="Q91" s="126"/>
      <c r="R91" s="126"/>
      <c r="S91" s="126"/>
      <c r="T91" s="126"/>
      <c r="U91" s="126"/>
      <c r="V91" s="126"/>
      <c r="W91" s="126"/>
      <c r="X91" s="126"/>
      <c r="Y91" s="252"/>
      <c r="Z91" s="252"/>
      <c r="AA91" s="253"/>
      <c r="AB91" s="253"/>
      <c r="AC91" s="249"/>
      <c r="AD91" s="351"/>
      <c r="AE91" s="65"/>
    </row>
    <row r="92" spans="1:31" ht="12.6" customHeight="1" x14ac:dyDescent="0.25">
      <c r="A92" s="124"/>
      <c r="B92" s="124"/>
      <c r="C92" s="124"/>
      <c r="D92" s="124"/>
      <c r="E92" s="124"/>
      <c r="F92" s="124"/>
      <c r="G92" s="124"/>
      <c r="H92" s="124"/>
      <c r="I92" s="124"/>
      <c r="J92" s="124"/>
      <c r="K92" s="124"/>
      <c r="L92" s="124"/>
      <c r="M92" s="124"/>
      <c r="N92" s="124"/>
      <c r="O92" s="126"/>
      <c r="P92" s="126"/>
      <c r="Q92" s="126"/>
      <c r="R92" s="126"/>
      <c r="S92" s="126"/>
      <c r="T92" s="126"/>
      <c r="U92" s="126"/>
      <c r="V92" s="126"/>
      <c r="W92" s="126"/>
      <c r="X92" s="126"/>
      <c r="Y92" s="252"/>
      <c r="Z92" s="252"/>
      <c r="AA92" s="253"/>
      <c r="AB92" s="253"/>
      <c r="AC92" s="249"/>
      <c r="AD92" s="351"/>
      <c r="AE92" s="65"/>
    </row>
    <row r="93" spans="1:31" ht="12.6" customHeight="1" x14ac:dyDescent="0.25">
      <c r="A93" s="124"/>
      <c r="B93" s="124"/>
      <c r="C93" s="124"/>
      <c r="D93" s="124"/>
      <c r="E93" s="124"/>
      <c r="F93" s="124"/>
      <c r="G93" s="124"/>
      <c r="H93" s="124"/>
      <c r="I93" s="124"/>
      <c r="J93" s="124"/>
      <c r="K93" s="124"/>
      <c r="L93" s="124"/>
      <c r="M93" s="124"/>
      <c r="N93" s="124"/>
      <c r="O93" s="126"/>
      <c r="P93" s="126"/>
      <c r="Q93" s="126"/>
      <c r="R93" s="126"/>
      <c r="S93" s="126"/>
      <c r="T93" s="126"/>
      <c r="U93" s="126"/>
      <c r="V93" s="126"/>
      <c r="W93" s="126"/>
      <c r="X93" s="126"/>
      <c r="Y93" s="252"/>
      <c r="Z93" s="252"/>
      <c r="AA93" s="253"/>
      <c r="AB93" s="253"/>
      <c r="AC93" s="249"/>
      <c r="AD93" s="351"/>
      <c r="AE93" s="65"/>
    </row>
    <row r="94" spans="1:31" ht="12.6" customHeight="1" x14ac:dyDescent="0.25">
      <c r="A94" s="124"/>
      <c r="B94" s="124"/>
      <c r="C94" s="124"/>
      <c r="D94" s="124"/>
      <c r="E94" s="124"/>
      <c r="F94" s="124"/>
      <c r="G94" s="124"/>
      <c r="H94" s="124"/>
      <c r="I94" s="124"/>
      <c r="J94" s="124"/>
      <c r="K94" s="124"/>
      <c r="L94" s="124"/>
      <c r="M94" s="124"/>
      <c r="N94" s="124"/>
      <c r="O94" s="126"/>
      <c r="P94" s="126"/>
      <c r="Q94" s="126"/>
      <c r="R94" s="126"/>
      <c r="S94" s="126"/>
      <c r="T94" s="126"/>
      <c r="U94" s="126"/>
      <c r="V94" s="126"/>
      <c r="W94" s="126"/>
      <c r="X94" s="126"/>
      <c r="Y94" s="252"/>
      <c r="Z94" s="252"/>
      <c r="AA94" s="253"/>
      <c r="AB94" s="253"/>
      <c r="AC94" s="249"/>
      <c r="AD94" s="351"/>
      <c r="AE94" s="65"/>
    </row>
    <row r="95" spans="1:31" ht="12.6" customHeight="1" x14ac:dyDescent="0.25">
      <c r="A95" s="124"/>
      <c r="B95" s="124"/>
      <c r="C95" s="124"/>
      <c r="D95" s="124"/>
      <c r="E95" s="124"/>
      <c r="F95" s="124"/>
      <c r="G95" s="124"/>
      <c r="H95" s="124"/>
      <c r="I95" s="124"/>
      <c r="J95" s="124"/>
      <c r="K95" s="124"/>
      <c r="L95" s="124"/>
      <c r="M95" s="124"/>
      <c r="N95" s="124"/>
      <c r="O95" s="126"/>
      <c r="P95" s="126"/>
      <c r="Q95" s="126"/>
      <c r="R95" s="126"/>
      <c r="S95" s="126"/>
      <c r="T95" s="126"/>
      <c r="U95" s="126"/>
      <c r="V95" s="126"/>
      <c r="W95" s="126"/>
      <c r="X95" s="126"/>
      <c r="Y95" s="252"/>
      <c r="Z95" s="252"/>
      <c r="AA95" s="253"/>
      <c r="AB95" s="253"/>
      <c r="AC95" s="249"/>
      <c r="AD95" s="351"/>
      <c r="AE95" s="65"/>
    </row>
    <row r="96" spans="1:31" ht="12.6" customHeight="1" x14ac:dyDescent="0.25">
      <c r="A96" s="124"/>
      <c r="B96" s="124"/>
      <c r="C96" s="124"/>
      <c r="D96" s="124"/>
      <c r="E96" s="124"/>
      <c r="F96" s="124"/>
      <c r="G96" s="124"/>
      <c r="H96" s="124"/>
      <c r="I96" s="124"/>
      <c r="J96" s="124"/>
      <c r="K96" s="124"/>
      <c r="L96" s="124"/>
      <c r="M96" s="124"/>
      <c r="N96" s="124"/>
      <c r="O96" s="126"/>
      <c r="P96" s="126"/>
      <c r="Q96" s="126"/>
      <c r="R96" s="126"/>
      <c r="S96" s="126"/>
      <c r="T96" s="126"/>
      <c r="U96" s="126"/>
      <c r="V96" s="126"/>
      <c r="W96" s="126"/>
      <c r="X96" s="126"/>
      <c r="Y96" s="252"/>
      <c r="Z96" s="252"/>
      <c r="AA96" s="253"/>
      <c r="AB96" s="253"/>
      <c r="AC96" s="249"/>
      <c r="AD96" s="351"/>
      <c r="AE96" s="65"/>
    </row>
    <row r="97" spans="1:38" ht="12.6" customHeight="1" x14ac:dyDescent="0.25">
      <c r="A97" s="124"/>
      <c r="B97" s="124"/>
      <c r="C97" s="124"/>
      <c r="D97" s="124"/>
      <c r="E97" s="124"/>
      <c r="F97" s="124"/>
      <c r="G97" s="124"/>
      <c r="H97" s="124"/>
      <c r="I97" s="124"/>
      <c r="J97" s="124"/>
      <c r="K97" s="124"/>
      <c r="L97" s="124"/>
      <c r="M97" s="124"/>
      <c r="N97" s="124"/>
      <c r="O97" s="126"/>
      <c r="P97" s="126"/>
      <c r="Q97" s="126"/>
      <c r="R97" s="126"/>
      <c r="S97" s="126"/>
      <c r="T97" s="126"/>
      <c r="U97" s="126"/>
      <c r="V97" s="126"/>
      <c r="W97" s="126"/>
      <c r="X97" s="126"/>
      <c r="Y97" s="252"/>
      <c r="Z97" s="252"/>
      <c r="AA97" s="253"/>
      <c r="AB97" s="253"/>
      <c r="AC97" s="249"/>
      <c r="AD97" s="351"/>
      <c r="AE97" s="65"/>
    </row>
    <row r="98" spans="1:38" ht="51.6" customHeight="1" x14ac:dyDescent="0.25">
      <c r="A98" s="124"/>
      <c r="B98" s="124"/>
      <c r="C98" s="124"/>
      <c r="D98" s="124"/>
      <c r="E98" s="124"/>
      <c r="F98" s="124"/>
      <c r="G98" s="124"/>
      <c r="H98" s="124"/>
      <c r="I98" s="124"/>
      <c r="J98" s="124"/>
      <c r="K98" s="124"/>
      <c r="L98" s="124"/>
      <c r="M98" s="124"/>
      <c r="N98" s="124"/>
      <c r="O98" s="126"/>
      <c r="P98" s="126"/>
      <c r="Q98" s="126"/>
      <c r="R98" s="126"/>
      <c r="S98" s="126"/>
      <c r="T98" s="126"/>
      <c r="U98" s="126"/>
      <c r="V98" s="126"/>
      <c r="W98" s="126"/>
      <c r="X98" s="126"/>
      <c r="Y98" s="252"/>
      <c r="Z98" s="252"/>
      <c r="AA98" s="253"/>
      <c r="AB98" s="253"/>
      <c r="AC98" s="249"/>
      <c r="AD98" s="351"/>
      <c r="AE98" s="65"/>
    </row>
    <row r="99" spans="1:38" ht="12.6" customHeight="1" x14ac:dyDescent="0.25">
      <c r="A99" s="124"/>
      <c r="B99" s="124"/>
      <c r="C99" s="124"/>
      <c r="D99" s="124"/>
      <c r="E99" s="124"/>
      <c r="F99" s="124"/>
      <c r="G99" s="124"/>
      <c r="H99" s="124"/>
      <c r="I99" s="124"/>
      <c r="J99" s="124"/>
      <c r="K99" s="124"/>
      <c r="L99" s="124"/>
      <c r="M99" s="124"/>
      <c r="N99" s="124"/>
      <c r="O99" s="126"/>
      <c r="P99" s="126"/>
      <c r="Q99" s="126"/>
      <c r="R99" s="126"/>
      <c r="S99" s="126"/>
      <c r="T99" s="126"/>
      <c r="U99" s="126"/>
      <c r="V99" s="126"/>
      <c r="W99" s="126"/>
      <c r="X99" s="126"/>
      <c r="Y99" s="252"/>
      <c r="Z99" s="252"/>
      <c r="AA99" s="253"/>
      <c r="AB99" s="253"/>
      <c r="AC99" s="249"/>
      <c r="AD99" s="351"/>
      <c r="AE99" s="65"/>
    </row>
    <row r="100" spans="1:38" ht="12.6" customHeight="1" x14ac:dyDescent="0.25">
      <c r="A100" s="124"/>
      <c r="B100" s="124"/>
      <c r="C100" s="124"/>
      <c r="D100" s="124"/>
      <c r="E100" s="124"/>
      <c r="F100" s="124"/>
      <c r="G100" s="124"/>
      <c r="H100" s="124"/>
      <c r="I100" s="124"/>
      <c r="J100" s="124"/>
      <c r="K100" s="124"/>
      <c r="L100" s="124"/>
      <c r="M100" s="124"/>
      <c r="N100" s="124"/>
      <c r="O100" s="126"/>
      <c r="P100" s="126"/>
      <c r="Q100" s="126"/>
      <c r="R100" s="126"/>
      <c r="S100" s="126"/>
      <c r="T100" s="126"/>
      <c r="U100" s="126"/>
      <c r="V100" s="126"/>
      <c r="W100" s="126"/>
      <c r="X100" s="126"/>
      <c r="Y100" s="252"/>
      <c r="Z100" s="252"/>
      <c r="AA100" s="253"/>
      <c r="AB100" s="253"/>
      <c r="AC100" s="249"/>
      <c r="AD100" s="351"/>
      <c r="AE100" s="65"/>
    </row>
    <row r="101" spans="1:38" ht="12.6" customHeight="1" x14ac:dyDescent="0.25">
      <c r="A101" s="124"/>
      <c r="B101" s="124"/>
      <c r="C101" s="124"/>
      <c r="D101" s="124"/>
      <c r="E101" s="124"/>
      <c r="F101" s="124"/>
      <c r="G101" s="124"/>
      <c r="H101" s="124"/>
      <c r="I101" s="124"/>
      <c r="J101" s="124"/>
      <c r="K101" s="124"/>
      <c r="L101" s="124"/>
      <c r="M101" s="124"/>
      <c r="N101" s="124"/>
      <c r="O101" s="126"/>
      <c r="P101" s="126"/>
      <c r="Q101" s="126"/>
      <c r="R101" s="126"/>
      <c r="S101" s="126"/>
      <c r="T101" s="126"/>
      <c r="U101" s="126"/>
      <c r="V101" s="126"/>
      <c r="W101" s="126"/>
      <c r="X101" s="126"/>
      <c r="Y101" s="252"/>
      <c r="Z101" s="252"/>
      <c r="AA101" s="253"/>
      <c r="AB101" s="253"/>
      <c r="AC101" s="249"/>
      <c r="AD101" s="351"/>
      <c r="AE101" s="65"/>
    </row>
    <row r="102" spans="1:38" ht="12.6" customHeight="1" x14ac:dyDescent="0.25">
      <c r="A102" s="124"/>
      <c r="B102" s="124"/>
      <c r="C102" s="124"/>
      <c r="D102" s="124"/>
      <c r="E102" s="124"/>
      <c r="F102" s="124"/>
      <c r="G102" s="124"/>
      <c r="H102" s="124"/>
      <c r="I102" s="124"/>
      <c r="J102" s="124"/>
      <c r="K102" s="124"/>
      <c r="L102" s="124"/>
      <c r="M102" s="124"/>
      <c r="N102" s="124"/>
      <c r="O102" s="126"/>
      <c r="P102" s="126"/>
      <c r="Q102" s="126"/>
      <c r="R102" s="126"/>
      <c r="S102" s="126"/>
      <c r="T102" s="126"/>
      <c r="U102" s="126"/>
      <c r="V102" s="126"/>
      <c r="W102" s="126"/>
      <c r="X102" s="126"/>
      <c r="Y102" s="252"/>
      <c r="Z102" s="252"/>
      <c r="AA102" s="253"/>
      <c r="AB102" s="253"/>
      <c r="AC102" s="249"/>
      <c r="AD102" s="351"/>
      <c r="AE102" s="65"/>
    </row>
    <row r="103" spans="1:38" ht="12.6" customHeight="1" x14ac:dyDescent="0.25">
      <c r="A103" s="124"/>
      <c r="B103" s="124"/>
      <c r="C103" s="124"/>
      <c r="D103" s="124"/>
      <c r="E103" s="124"/>
      <c r="F103" s="124"/>
      <c r="G103" s="124"/>
      <c r="H103" s="124"/>
      <c r="I103" s="124"/>
      <c r="J103" s="124"/>
      <c r="K103" s="124"/>
      <c r="L103" s="124"/>
      <c r="M103" s="124"/>
      <c r="N103" s="124"/>
      <c r="O103" s="126"/>
      <c r="P103" s="126"/>
      <c r="Q103" s="126"/>
      <c r="R103" s="126"/>
      <c r="S103" s="126"/>
      <c r="T103" s="126"/>
      <c r="U103" s="126"/>
      <c r="V103" s="126"/>
      <c r="W103" s="126"/>
      <c r="X103" s="126"/>
      <c r="Y103" s="252"/>
      <c r="Z103" s="252"/>
      <c r="AA103" s="253"/>
      <c r="AB103" s="253"/>
      <c r="AC103" s="249"/>
      <c r="AD103" s="351"/>
      <c r="AE103" s="65"/>
    </row>
    <row r="104" spans="1:38" ht="12.6" customHeight="1" x14ac:dyDescent="0.25">
      <c r="A104" s="124"/>
      <c r="B104" s="124"/>
      <c r="C104" s="124"/>
      <c r="D104" s="124"/>
      <c r="E104" s="124"/>
      <c r="F104" s="124"/>
      <c r="G104" s="124"/>
      <c r="H104" s="124"/>
      <c r="I104" s="124"/>
      <c r="J104" s="124"/>
      <c r="K104" s="124"/>
      <c r="L104" s="124"/>
      <c r="M104" s="124"/>
      <c r="N104" s="124"/>
      <c r="O104" s="126"/>
      <c r="P104" s="126"/>
      <c r="Q104" s="126"/>
      <c r="R104" s="126"/>
      <c r="S104" s="126"/>
      <c r="T104" s="126"/>
      <c r="U104" s="126"/>
      <c r="V104" s="126"/>
      <c r="W104" s="126"/>
      <c r="X104" s="126"/>
      <c r="Y104" s="252"/>
      <c r="Z104" s="252"/>
      <c r="AA104" s="253"/>
      <c r="AB104" s="253"/>
      <c r="AC104" s="249"/>
      <c r="AD104" s="351"/>
      <c r="AE104" s="65"/>
    </row>
    <row r="105" spans="1:38" ht="12.6" customHeight="1" x14ac:dyDescent="0.25">
      <c r="A105" s="124"/>
      <c r="B105" s="124"/>
      <c r="C105" s="124"/>
      <c r="D105" s="124"/>
      <c r="E105" s="124"/>
      <c r="F105" s="124"/>
      <c r="G105" s="124"/>
      <c r="H105" s="124"/>
      <c r="I105" s="124"/>
      <c r="J105" s="124"/>
      <c r="K105" s="124"/>
      <c r="L105" s="124"/>
      <c r="M105" s="124"/>
      <c r="N105" s="124"/>
      <c r="O105" s="126"/>
      <c r="P105" s="126"/>
      <c r="Q105" s="126"/>
      <c r="R105" s="126"/>
      <c r="S105" s="126"/>
      <c r="T105" s="126"/>
      <c r="U105" s="126"/>
      <c r="V105" s="126"/>
      <c r="W105" s="126"/>
      <c r="X105" s="126"/>
      <c r="Y105" s="252"/>
      <c r="Z105" s="252"/>
      <c r="AA105" s="253"/>
      <c r="AB105" s="253"/>
      <c r="AC105" s="249"/>
      <c r="AD105" s="351"/>
      <c r="AE105" s="65"/>
    </row>
    <row r="106" spans="1:38" ht="12.6" customHeight="1" x14ac:dyDescent="0.25">
      <c r="A106" s="124"/>
      <c r="B106" s="124"/>
      <c r="C106" s="124"/>
      <c r="D106" s="124"/>
      <c r="E106" s="124"/>
      <c r="F106" s="124"/>
      <c r="G106" s="124"/>
      <c r="H106" s="124"/>
      <c r="I106" s="124"/>
      <c r="J106" s="124"/>
      <c r="K106" s="124"/>
      <c r="L106" s="124"/>
      <c r="M106" s="124"/>
      <c r="N106" s="124"/>
      <c r="O106" s="126"/>
      <c r="P106" s="126"/>
      <c r="Q106" s="126"/>
      <c r="R106" s="126"/>
      <c r="S106" s="126"/>
      <c r="T106" s="126"/>
      <c r="U106" s="126"/>
      <c r="V106" s="126"/>
      <c r="W106" s="126"/>
      <c r="X106" s="126"/>
      <c r="Y106" s="252"/>
      <c r="Z106" s="252"/>
      <c r="AA106" s="253"/>
      <c r="AB106" s="253"/>
      <c r="AC106" s="249"/>
      <c r="AD106" s="351"/>
      <c r="AE106" s="65"/>
    </row>
    <row r="107" spans="1:38" ht="12.6" customHeight="1" x14ac:dyDescent="0.25">
      <c r="A107" s="124"/>
      <c r="B107" s="124"/>
      <c r="C107" s="124"/>
      <c r="D107" s="124"/>
      <c r="E107" s="124"/>
      <c r="F107" s="124"/>
      <c r="G107" s="124"/>
      <c r="H107" s="124"/>
      <c r="I107" s="124"/>
      <c r="J107" s="124"/>
      <c r="K107" s="124"/>
      <c r="L107" s="124"/>
      <c r="M107" s="124"/>
      <c r="N107" s="124"/>
      <c r="O107" s="126"/>
      <c r="P107" s="126"/>
      <c r="Q107" s="126"/>
      <c r="R107" s="126"/>
      <c r="S107" s="126"/>
      <c r="T107" s="126"/>
      <c r="U107" s="126"/>
      <c r="V107" s="126"/>
      <c r="W107" s="126"/>
      <c r="X107" s="126"/>
      <c r="Y107" s="252"/>
      <c r="Z107" s="252"/>
      <c r="AA107" s="253"/>
      <c r="AB107" s="253"/>
      <c r="AC107" s="249"/>
      <c r="AD107" s="351"/>
      <c r="AE107" s="65"/>
    </row>
    <row r="108" spans="1:38" ht="12.6" customHeight="1" x14ac:dyDescent="0.25">
      <c r="A108" s="124"/>
      <c r="B108" s="124"/>
      <c r="C108" s="124"/>
      <c r="D108" s="124"/>
      <c r="E108" s="124"/>
      <c r="F108" s="124"/>
      <c r="G108" s="124"/>
      <c r="H108" s="124"/>
      <c r="I108" s="124"/>
      <c r="J108" s="124"/>
      <c r="K108" s="124"/>
      <c r="L108" s="124"/>
      <c r="M108" s="124"/>
      <c r="N108" s="124"/>
      <c r="O108" s="126"/>
      <c r="P108" s="126"/>
      <c r="Q108" s="126"/>
      <c r="R108" s="126"/>
      <c r="S108" s="126"/>
      <c r="T108" s="126"/>
      <c r="U108" s="126"/>
      <c r="V108" s="126"/>
      <c r="W108" s="126"/>
      <c r="X108" s="126"/>
      <c r="Y108" s="252"/>
      <c r="Z108" s="252"/>
      <c r="AA108" s="253"/>
      <c r="AB108" s="253"/>
      <c r="AC108" s="249"/>
      <c r="AD108" s="351"/>
      <c r="AE108" s="65"/>
    </row>
    <row r="109" spans="1:38" ht="22.5" customHeight="1" thickBot="1" x14ac:dyDescent="0.3">
      <c r="A109" s="124"/>
      <c r="B109" s="124"/>
      <c r="C109" s="124"/>
      <c r="D109" s="124"/>
      <c r="E109" s="124"/>
      <c r="F109" s="124"/>
      <c r="G109" s="124"/>
      <c r="H109" s="124"/>
      <c r="I109" s="124"/>
      <c r="J109" s="124"/>
      <c r="K109" s="124"/>
      <c r="L109" s="124"/>
      <c r="M109" s="124"/>
      <c r="N109" s="124"/>
      <c r="O109" s="126"/>
      <c r="P109" s="126"/>
      <c r="Q109" s="126"/>
      <c r="R109" s="126"/>
      <c r="S109" s="126"/>
      <c r="T109" s="126"/>
      <c r="U109" s="126"/>
      <c r="V109" s="126"/>
      <c r="W109" s="126"/>
      <c r="X109" s="126"/>
      <c r="Y109" s="252"/>
      <c r="Z109" s="252"/>
      <c r="AA109" s="253"/>
      <c r="AB109" s="253"/>
      <c r="AC109" s="249"/>
      <c r="AD109" s="351"/>
      <c r="AE109" s="65"/>
    </row>
    <row r="110" spans="1:38" ht="14.45" customHeight="1" x14ac:dyDescent="0.25">
      <c r="A110" s="194"/>
      <c r="B110" s="195"/>
      <c r="C110" s="195"/>
      <c r="D110" s="195"/>
      <c r="E110" s="195"/>
      <c r="F110" s="195"/>
      <c r="G110" s="195"/>
      <c r="H110" s="196"/>
      <c r="I110" s="194"/>
      <c r="J110" s="195"/>
      <c r="K110" s="195"/>
      <c r="L110" s="195"/>
      <c r="M110" s="195"/>
      <c r="N110" s="195"/>
      <c r="O110" s="195"/>
      <c r="P110" s="195"/>
      <c r="Q110" s="195"/>
      <c r="R110" s="195"/>
      <c r="S110" s="195"/>
      <c r="T110" s="195"/>
      <c r="U110" s="195"/>
      <c r="V110" s="195"/>
      <c r="W110" s="195"/>
      <c r="X110" s="196"/>
      <c r="Y110" s="252"/>
      <c r="Z110" s="252"/>
      <c r="AA110" s="253"/>
      <c r="AB110" s="253"/>
      <c r="AC110" s="249"/>
      <c r="AD110" s="351"/>
      <c r="AE110" s="65"/>
    </row>
    <row r="111" spans="1:38" ht="17.45" customHeight="1" x14ac:dyDescent="0.25">
      <c r="A111" s="124"/>
      <c r="B111" s="124"/>
      <c r="C111" s="124"/>
      <c r="D111" s="124"/>
      <c r="E111" s="124"/>
      <c r="F111" s="124"/>
      <c r="G111" s="124"/>
      <c r="H111" s="124"/>
      <c r="I111" s="124"/>
      <c r="J111" s="124"/>
      <c r="K111" s="124"/>
      <c r="L111" s="124"/>
      <c r="M111" s="124"/>
      <c r="N111" s="124"/>
      <c r="O111" s="126"/>
      <c r="P111" s="126"/>
      <c r="Q111" s="126"/>
      <c r="R111" s="126"/>
      <c r="S111" s="126"/>
      <c r="T111" s="126"/>
      <c r="U111" s="126"/>
      <c r="V111" s="126"/>
      <c r="W111" s="126"/>
      <c r="X111" s="126"/>
      <c r="Y111" s="252"/>
      <c r="Z111" s="252"/>
      <c r="AA111" s="253"/>
      <c r="AB111" s="253"/>
      <c r="AC111" s="249"/>
      <c r="AD111" s="351"/>
      <c r="AE111" s="65"/>
    </row>
    <row r="112" spans="1:38" ht="17.45" customHeight="1" x14ac:dyDescent="0.25">
      <c r="A112" s="126"/>
      <c r="B112" s="126"/>
      <c r="C112" s="126"/>
      <c r="D112" s="126"/>
      <c r="E112" s="126"/>
      <c r="F112" s="126"/>
      <c r="G112" s="126"/>
      <c r="H112" s="126"/>
      <c r="I112" s="126"/>
      <c r="J112" s="126"/>
      <c r="K112" s="126"/>
      <c r="L112" s="126"/>
      <c r="M112" s="126"/>
      <c r="N112" s="126"/>
      <c r="O112" s="126"/>
      <c r="P112" s="126"/>
      <c r="Q112" s="126"/>
      <c r="R112" s="126"/>
      <c r="S112" s="126"/>
      <c r="T112" s="126"/>
      <c r="U112" s="126"/>
      <c r="V112" s="126"/>
      <c r="W112" s="126"/>
      <c r="X112" s="126"/>
      <c r="Y112" s="252"/>
      <c r="Z112" s="252"/>
      <c r="AA112" s="408"/>
      <c r="AB112" s="409"/>
      <c r="AC112" s="409"/>
      <c r="AD112" s="409"/>
      <c r="AE112" s="409"/>
      <c r="AF112" s="409"/>
      <c r="AG112" s="409"/>
      <c r="AH112" s="409"/>
      <c r="AI112" s="409"/>
      <c r="AJ112" s="409"/>
      <c r="AK112" s="198"/>
      <c r="AL112" s="184"/>
    </row>
    <row r="113" spans="1:38" ht="18" x14ac:dyDescent="0.25">
      <c r="A113" s="126"/>
      <c r="B113" s="126"/>
      <c r="C113" s="126"/>
      <c r="D113" s="126"/>
      <c r="E113" s="126"/>
      <c r="F113" s="126"/>
      <c r="G113" s="126"/>
      <c r="H113" s="126"/>
      <c r="I113" s="126"/>
      <c r="J113" s="126"/>
      <c r="K113" s="126"/>
      <c r="L113" s="126"/>
      <c r="M113" s="126"/>
      <c r="N113" s="126"/>
      <c r="O113" s="126"/>
      <c r="P113" s="126"/>
      <c r="Q113" s="126"/>
      <c r="R113" s="126"/>
      <c r="S113" s="126"/>
      <c r="T113" s="126"/>
      <c r="U113" s="126"/>
      <c r="V113" s="126"/>
      <c r="W113" s="126"/>
      <c r="X113" s="126"/>
      <c r="Y113" s="252"/>
      <c r="Z113" s="252"/>
      <c r="AA113" s="408"/>
      <c r="AB113" s="409"/>
      <c r="AC113" s="409"/>
      <c r="AD113" s="409"/>
      <c r="AE113" s="409"/>
      <c r="AF113" s="409"/>
      <c r="AG113" s="409"/>
      <c r="AH113" s="409"/>
      <c r="AI113" s="409"/>
      <c r="AJ113" s="409"/>
      <c r="AK113" s="198"/>
      <c r="AL113" s="184"/>
    </row>
    <row r="114" spans="1:38" ht="18.600000000000001" customHeight="1" x14ac:dyDescent="0.25">
      <c r="A114" s="126"/>
      <c r="B114" s="126"/>
      <c r="C114" s="126"/>
      <c r="D114" s="126"/>
      <c r="E114" s="126"/>
      <c r="F114" s="126"/>
      <c r="G114" s="126"/>
      <c r="H114" s="126"/>
      <c r="I114" s="126"/>
      <c r="J114" s="126"/>
      <c r="K114" s="126"/>
      <c r="L114" s="126"/>
      <c r="M114" s="126"/>
      <c r="N114" s="126"/>
      <c r="O114" s="126"/>
      <c r="P114" s="126"/>
      <c r="Q114" s="126"/>
      <c r="R114" s="126"/>
      <c r="S114" s="126"/>
      <c r="T114" s="126"/>
      <c r="U114" s="126"/>
      <c r="V114" s="126"/>
      <c r="W114" s="126"/>
      <c r="X114" s="126"/>
      <c r="Y114" s="252"/>
      <c r="Z114" s="252"/>
      <c r="AA114" s="408"/>
      <c r="AB114" s="409"/>
      <c r="AC114" s="409"/>
      <c r="AD114" s="409"/>
      <c r="AE114" s="409"/>
      <c r="AF114" s="409"/>
      <c r="AG114" s="409"/>
      <c r="AH114" s="409"/>
      <c r="AI114" s="409"/>
      <c r="AJ114" s="409"/>
      <c r="AK114" s="198"/>
      <c r="AL114" s="184"/>
    </row>
    <row r="115" spans="1:38" ht="12.6" customHeight="1" thickBot="1" x14ac:dyDescent="0.3">
      <c r="A115" s="126"/>
      <c r="B115" s="126"/>
      <c r="C115" s="126"/>
      <c r="D115" s="126"/>
      <c r="E115" s="126"/>
      <c r="F115" s="126"/>
      <c r="G115" s="126"/>
      <c r="H115" s="126"/>
      <c r="I115" s="126"/>
      <c r="J115" s="126"/>
      <c r="K115" s="126"/>
      <c r="L115" s="126"/>
      <c r="M115" s="126"/>
      <c r="N115" s="126"/>
      <c r="O115" s="126"/>
      <c r="P115" s="126"/>
      <c r="Q115" s="126"/>
      <c r="R115" s="126"/>
      <c r="S115" s="126"/>
      <c r="T115" s="126"/>
      <c r="U115" s="126"/>
      <c r="V115" s="126"/>
      <c r="W115" s="126"/>
      <c r="X115" s="126"/>
      <c r="Y115" s="252"/>
      <c r="Z115" s="252"/>
      <c r="AA115" s="410"/>
      <c r="AB115" s="411"/>
      <c r="AC115" s="411"/>
      <c r="AD115" s="411"/>
      <c r="AE115" s="411"/>
      <c r="AF115" s="411"/>
      <c r="AG115" s="411"/>
      <c r="AH115" s="411"/>
      <c r="AI115" s="411"/>
      <c r="AJ115" s="411"/>
      <c r="AK115" s="200"/>
      <c r="AL115" s="201"/>
    </row>
    <row r="116" spans="1:38" ht="23.45" customHeight="1" x14ac:dyDescent="0.25">
      <c r="A116" s="126"/>
      <c r="B116" s="126"/>
      <c r="C116" s="126"/>
      <c r="D116" s="126"/>
      <c r="E116" s="126"/>
      <c r="F116" s="126"/>
      <c r="G116" s="126"/>
      <c r="H116" s="126"/>
      <c r="I116" s="126"/>
      <c r="J116" s="126"/>
      <c r="K116" s="126"/>
      <c r="L116" s="126"/>
      <c r="M116" s="126"/>
      <c r="N116" s="126"/>
      <c r="O116" s="126"/>
      <c r="P116" s="126"/>
      <c r="Q116" s="126"/>
      <c r="R116" s="126"/>
      <c r="S116" s="126"/>
      <c r="T116" s="126"/>
      <c r="U116" s="126"/>
      <c r="V116" s="126"/>
      <c r="W116" s="126"/>
      <c r="X116" s="126"/>
      <c r="Y116" s="252"/>
      <c r="Z116" s="252"/>
      <c r="AA116" s="253"/>
      <c r="AB116" s="253"/>
      <c r="AC116" s="249"/>
      <c r="AD116" s="351"/>
      <c r="AE116" s="65"/>
    </row>
    <row r="117" spans="1:38" ht="17.45" customHeight="1" x14ac:dyDescent="0.25">
      <c r="A117" s="126"/>
      <c r="B117" s="126"/>
      <c r="C117" s="126"/>
      <c r="D117" s="126"/>
      <c r="E117" s="126"/>
      <c r="F117" s="126"/>
      <c r="G117" s="126"/>
      <c r="H117" s="126"/>
      <c r="I117" s="126"/>
      <c r="J117" s="126"/>
      <c r="K117" s="126"/>
      <c r="L117" s="126"/>
      <c r="M117" s="126"/>
      <c r="N117" s="126"/>
      <c r="O117" s="126"/>
      <c r="P117" s="126"/>
      <c r="Q117" s="126"/>
      <c r="R117" s="126"/>
      <c r="S117" s="126"/>
      <c r="T117" s="126"/>
      <c r="U117" s="126"/>
      <c r="V117" s="126"/>
      <c r="W117" s="126"/>
      <c r="X117" s="126"/>
      <c r="Y117" s="252"/>
      <c r="Z117" s="252"/>
      <c r="AA117" s="253"/>
      <c r="AB117" s="253"/>
      <c r="AC117" s="249"/>
      <c r="AD117" s="351"/>
      <c r="AE117" s="65"/>
    </row>
    <row r="118" spans="1:38" ht="12.6" customHeight="1" x14ac:dyDescent="0.25">
      <c r="A118" s="126"/>
      <c r="B118" s="126"/>
      <c r="C118" s="126"/>
      <c r="D118" s="126"/>
      <c r="E118" s="126"/>
      <c r="F118" s="126"/>
      <c r="G118" s="126"/>
      <c r="H118" s="126"/>
      <c r="I118" s="126"/>
      <c r="J118" s="126"/>
      <c r="K118" s="126"/>
      <c r="L118" s="126"/>
      <c r="M118" s="126"/>
      <c r="N118" s="126"/>
      <c r="O118" s="126"/>
      <c r="P118" s="126"/>
      <c r="Q118" s="126"/>
      <c r="R118" s="126"/>
      <c r="S118" s="126"/>
      <c r="T118" s="126"/>
      <c r="U118" s="126"/>
      <c r="V118" s="126"/>
      <c r="W118" s="126"/>
      <c r="X118" s="126"/>
      <c r="Y118" s="252"/>
      <c r="Z118" s="252"/>
      <c r="AA118" s="253"/>
      <c r="AB118" s="253"/>
      <c r="AC118" s="249"/>
      <c r="AD118" s="351"/>
      <c r="AE118" s="65"/>
    </row>
    <row r="119" spans="1:38" ht="17.45" customHeight="1" x14ac:dyDescent="0.25">
      <c r="A119" s="126"/>
      <c r="B119" s="126"/>
      <c r="C119" s="126"/>
      <c r="D119" s="126"/>
      <c r="E119" s="126"/>
      <c r="F119" s="126"/>
      <c r="G119" s="126"/>
      <c r="H119" s="126"/>
      <c r="I119" s="126"/>
      <c r="J119" s="126"/>
      <c r="K119" s="126"/>
      <c r="L119" s="126"/>
      <c r="M119" s="126"/>
      <c r="N119" s="126"/>
      <c r="O119" s="126"/>
      <c r="P119" s="126"/>
      <c r="Q119" s="126"/>
      <c r="R119" s="126"/>
      <c r="S119" s="126"/>
      <c r="T119" s="126"/>
      <c r="U119" s="126"/>
      <c r="V119" s="126"/>
      <c r="W119" s="126"/>
      <c r="X119" s="126"/>
      <c r="Y119" s="252"/>
      <c r="Z119" s="252"/>
      <c r="AA119" s="253"/>
      <c r="AB119" s="253"/>
      <c r="AC119" s="249"/>
      <c r="AD119" s="351"/>
      <c r="AE119" s="65"/>
    </row>
    <row r="120" spans="1:38" ht="12.6" customHeight="1" x14ac:dyDescent="0.25">
      <c r="A120" s="126"/>
      <c r="B120" s="126"/>
      <c r="C120" s="126"/>
      <c r="D120" s="126"/>
      <c r="E120" s="126"/>
      <c r="F120" s="126"/>
      <c r="G120" s="126"/>
      <c r="H120" s="126"/>
      <c r="I120" s="126"/>
      <c r="J120" s="126"/>
      <c r="K120" s="126"/>
      <c r="L120" s="126"/>
      <c r="M120" s="126"/>
      <c r="N120" s="126"/>
      <c r="O120" s="126"/>
      <c r="P120" s="126"/>
      <c r="Q120" s="126"/>
      <c r="R120" s="126"/>
      <c r="S120" s="126"/>
      <c r="T120" s="126"/>
      <c r="U120" s="126"/>
      <c r="V120" s="126"/>
      <c r="W120" s="126"/>
      <c r="X120" s="126"/>
      <c r="Y120" s="252"/>
      <c r="Z120" s="252"/>
      <c r="AA120" s="253"/>
      <c r="AB120" s="253"/>
      <c r="AC120" s="249"/>
      <c r="AD120" s="351"/>
      <c r="AE120" s="65"/>
    </row>
    <row r="121" spans="1:38" ht="18.600000000000001" customHeight="1" x14ac:dyDescent="0.25">
      <c r="A121" s="126"/>
      <c r="B121" s="126"/>
      <c r="C121" s="126"/>
      <c r="D121" s="126"/>
      <c r="E121" s="126"/>
      <c r="F121" s="126"/>
      <c r="G121" s="126"/>
      <c r="H121" s="126"/>
      <c r="I121" s="126"/>
      <c r="J121" s="126"/>
      <c r="K121" s="126"/>
      <c r="L121" s="126"/>
      <c r="M121" s="126"/>
      <c r="N121" s="126"/>
      <c r="O121" s="126"/>
      <c r="P121" s="126"/>
      <c r="Q121" s="126"/>
      <c r="R121" s="126"/>
      <c r="S121" s="126"/>
      <c r="T121" s="126"/>
      <c r="U121" s="126"/>
      <c r="V121" s="126"/>
      <c r="W121" s="126"/>
      <c r="X121" s="126"/>
      <c r="Y121" s="252"/>
      <c r="Z121" s="252"/>
      <c r="AA121" s="253"/>
      <c r="AB121" s="253"/>
      <c r="AC121" s="249"/>
      <c r="AD121" s="351"/>
      <c r="AE121" s="65"/>
    </row>
    <row r="122" spans="1:38" ht="17.45" customHeight="1" x14ac:dyDescent="0.25">
      <c r="A122" s="126"/>
      <c r="B122" s="126"/>
      <c r="C122" s="126"/>
      <c r="D122" s="126"/>
      <c r="E122" s="126"/>
      <c r="F122" s="126"/>
      <c r="G122" s="126"/>
      <c r="H122" s="126"/>
      <c r="I122" s="126"/>
      <c r="J122" s="126"/>
      <c r="K122" s="126"/>
      <c r="L122" s="126"/>
      <c r="M122" s="126"/>
      <c r="N122" s="126"/>
      <c r="O122" s="126"/>
      <c r="P122" s="126"/>
      <c r="Q122" s="126"/>
      <c r="R122" s="126"/>
      <c r="S122" s="126"/>
      <c r="T122" s="126"/>
      <c r="U122" s="126"/>
      <c r="V122" s="126"/>
      <c r="W122" s="126"/>
      <c r="X122" s="126"/>
      <c r="Y122" s="252"/>
      <c r="Z122" s="252"/>
      <c r="AA122" s="253"/>
      <c r="AB122" s="253"/>
      <c r="AC122" s="249"/>
      <c r="AD122" s="351"/>
      <c r="AE122" s="65"/>
    </row>
    <row r="123" spans="1:38" x14ac:dyDescent="0.25">
      <c r="A123" s="126"/>
      <c r="B123" s="126"/>
      <c r="C123" s="126"/>
      <c r="D123" s="126"/>
      <c r="E123" s="126"/>
      <c r="F123" s="126"/>
      <c r="G123" s="126"/>
      <c r="H123" s="126"/>
      <c r="I123" s="126"/>
      <c r="J123" s="126"/>
      <c r="K123" s="126"/>
      <c r="L123" s="126"/>
      <c r="M123" s="126"/>
      <c r="N123" s="126"/>
      <c r="O123" s="126"/>
      <c r="P123" s="126"/>
      <c r="Q123" s="126"/>
      <c r="R123" s="126"/>
      <c r="S123" s="126"/>
      <c r="T123" s="126"/>
      <c r="U123" s="126"/>
      <c r="V123" s="126"/>
      <c r="W123" s="126"/>
      <c r="X123" s="126"/>
      <c r="Y123" s="252"/>
      <c r="Z123" s="252"/>
      <c r="AA123" s="253"/>
      <c r="AB123" s="253"/>
      <c r="AC123" s="249"/>
      <c r="AD123" s="351"/>
      <c r="AE123" s="65"/>
    </row>
    <row r="124" spans="1:38" x14ac:dyDescent="0.25">
      <c r="A124" s="126"/>
      <c r="B124" s="126"/>
      <c r="C124" s="126"/>
      <c r="D124" s="126"/>
      <c r="E124" s="126"/>
      <c r="F124" s="126"/>
      <c r="G124" s="126"/>
      <c r="H124" s="126"/>
      <c r="I124" s="126"/>
      <c r="J124" s="126"/>
      <c r="K124" s="126"/>
      <c r="L124" s="126"/>
      <c r="M124" s="126"/>
      <c r="N124" s="126"/>
      <c r="O124" s="126"/>
      <c r="P124" s="126"/>
      <c r="Q124" s="126"/>
      <c r="R124" s="126"/>
      <c r="S124" s="126"/>
      <c r="T124" s="126"/>
      <c r="U124" s="126"/>
      <c r="V124" s="126"/>
      <c r="W124" s="126"/>
      <c r="X124" s="126"/>
      <c r="Y124" s="252"/>
      <c r="Z124" s="252"/>
      <c r="AA124" s="253"/>
      <c r="AB124" s="253"/>
      <c r="AC124" s="249"/>
      <c r="AD124" s="351"/>
      <c r="AE124" s="65"/>
    </row>
    <row r="125" spans="1:38" x14ac:dyDescent="0.25">
      <c r="A125" s="126"/>
      <c r="B125" s="126"/>
      <c r="C125" s="126"/>
      <c r="D125" s="126"/>
      <c r="E125" s="126"/>
      <c r="F125" s="126"/>
      <c r="G125" s="126"/>
      <c r="H125" s="126"/>
      <c r="I125" s="126"/>
      <c r="J125" s="126"/>
      <c r="K125" s="126"/>
      <c r="L125" s="126"/>
      <c r="M125" s="126"/>
      <c r="N125" s="126"/>
      <c r="O125" s="126"/>
      <c r="P125" s="126"/>
      <c r="Q125" s="126"/>
      <c r="R125" s="126"/>
      <c r="S125" s="126"/>
      <c r="T125" s="126"/>
      <c r="U125" s="126"/>
      <c r="V125" s="126"/>
      <c r="W125" s="126"/>
      <c r="X125" s="126"/>
      <c r="Y125" s="252"/>
      <c r="Z125" s="252"/>
      <c r="AA125" s="253"/>
      <c r="AB125" s="253"/>
      <c r="AC125" s="249"/>
      <c r="AD125" s="351"/>
      <c r="AE125" s="65"/>
    </row>
    <row r="126" spans="1:38" ht="17.45" customHeight="1" thickBot="1" x14ac:dyDescent="0.3">
      <c r="A126" s="126"/>
      <c r="B126" s="126"/>
      <c r="C126" s="126"/>
      <c r="D126" s="126"/>
      <c r="E126" s="126"/>
      <c r="F126" s="126"/>
      <c r="G126" s="126"/>
      <c r="H126" s="126"/>
      <c r="I126" s="126"/>
      <c r="J126" s="126"/>
      <c r="K126" s="126"/>
      <c r="L126" s="126"/>
      <c r="M126" s="126"/>
      <c r="N126" s="126"/>
      <c r="O126" s="126"/>
      <c r="P126" s="126"/>
      <c r="Q126" s="126"/>
      <c r="R126" s="126"/>
      <c r="S126" s="126"/>
      <c r="T126" s="126"/>
      <c r="U126" s="198"/>
      <c r="V126" s="198"/>
      <c r="W126" s="198"/>
      <c r="X126" s="198"/>
      <c r="Y126" s="252"/>
      <c r="Z126" s="252"/>
      <c r="AA126" s="253"/>
      <c r="AB126" s="253"/>
      <c r="AC126" s="249"/>
      <c r="AD126" s="351"/>
      <c r="AE126" s="65"/>
    </row>
    <row r="127" spans="1:38" ht="14.45" customHeight="1" x14ac:dyDescent="0.25">
      <c r="A127" s="194"/>
      <c r="B127" s="195"/>
      <c r="C127" s="195"/>
      <c r="D127" s="195"/>
      <c r="E127" s="195"/>
      <c r="F127" s="195"/>
      <c r="G127" s="195"/>
      <c r="H127" s="196"/>
      <c r="I127" s="194"/>
      <c r="J127" s="195"/>
      <c r="K127" s="195"/>
      <c r="L127" s="195"/>
      <c r="M127" s="195"/>
      <c r="N127" s="195"/>
      <c r="O127" s="195"/>
      <c r="P127" s="195"/>
      <c r="Q127" s="195"/>
      <c r="R127" s="195"/>
      <c r="S127" s="195"/>
      <c r="T127" s="195"/>
      <c r="U127" s="195"/>
      <c r="V127" s="195"/>
      <c r="W127" s="195"/>
      <c r="X127" s="196"/>
      <c r="Y127" s="252"/>
      <c r="Z127" s="252"/>
      <c r="AA127" s="253"/>
      <c r="AB127" s="253"/>
      <c r="AC127" s="249"/>
      <c r="AD127" s="351"/>
      <c r="AE127" s="65"/>
    </row>
    <row r="128" spans="1:38" ht="12.6" customHeight="1" x14ac:dyDescent="0.25">
      <c r="A128" s="427" t="str">
        <f>IFERROR(ROUND(C203*100,0)&amp;"% of projects in "&amp;$D$1&amp;" responded to the different needs and constraints of individuals based on their gender, but did little to change larger contextual issues that lie at the root of gender inequality. Only "&amp;ROUND(C201*100,0)&amp;"% of projects are gender transformative","")</f>
        <v>42% of projects in Asia and the Pacific responded to the different needs and constraints of individuals based on their gender, but did little to change larger contextual issues that lie at the root of gender inequality. Only 21% of projects are gender transformative</v>
      </c>
      <c r="B128" s="428"/>
      <c r="C128" s="428"/>
      <c r="D128" s="428"/>
      <c r="E128" s="428"/>
      <c r="F128" s="428"/>
      <c r="G128" s="428"/>
      <c r="H128" s="184"/>
      <c r="I128" s="427" t="str">
        <f>IFERROR(ROUND(C210*100,0)&amp;"% of projects in "&amp;$D$1&amp;" worked to make existing institutions and power relations more inclusive, but without significantly challenging and changing power dynamics. Only "&amp;ROUND(C208*100,0)&amp;"% of projects are transformational in terms of inclusive governance","")</f>
        <v>63% of projects in Asia and the Pacific worked to make existing institutions and power relations more inclusive, but without significantly challenging and changing power dynamics. Only 12% of projects are transformational in terms of inclusive governance</v>
      </c>
      <c r="J128" s="428"/>
      <c r="K128" s="428"/>
      <c r="L128" s="428"/>
      <c r="M128" s="428"/>
      <c r="N128" s="428"/>
      <c r="O128" s="428"/>
      <c r="P128" s="428"/>
      <c r="Q128" s="428"/>
      <c r="R128" s="428"/>
      <c r="S128" s="428"/>
      <c r="T128" s="428"/>
      <c r="U128" s="428"/>
      <c r="V128" s="126"/>
      <c r="W128" s="126"/>
      <c r="X128" s="184"/>
      <c r="Y128" s="252"/>
      <c r="Z128" s="252"/>
      <c r="AA128" s="253"/>
      <c r="AB128" s="253"/>
      <c r="AC128" s="249"/>
      <c r="AD128" s="351"/>
      <c r="AE128" s="65"/>
    </row>
    <row r="129" spans="1:36" ht="17.100000000000001" customHeight="1" x14ac:dyDescent="0.25">
      <c r="A129" s="427"/>
      <c r="B129" s="428"/>
      <c r="C129" s="428"/>
      <c r="D129" s="428"/>
      <c r="E129" s="428"/>
      <c r="F129" s="428"/>
      <c r="G129" s="428"/>
      <c r="H129" s="184"/>
      <c r="I129" s="427"/>
      <c r="J129" s="428"/>
      <c r="K129" s="428"/>
      <c r="L129" s="428"/>
      <c r="M129" s="428"/>
      <c r="N129" s="428"/>
      <c r="O129" s="428"/>
      <c r="P129" s="428"/>
      <c r="Q129" s="428"/>
      <c r="R129" s="428"/>
      <c r="S129" s="428"/>
      <c r="T129" s="428"/>
      <c r="U129" s="428"/>
      <c r="V129" s="126"/>
      <c r="W129" s="126"/>
      <c r="X129" s="184"/>
      <c r="Y129" s="252"/>
      <c r="Z129" s="252"/>
      <c r="AA129" s="253"/>
      <c r="AB129" s="253"/>
      <c r="AC129" s="249"/>
      <c r="AD129" s="351"/>
      <c r="AE129" s="65"/>
    </row>
    <row r="130" spans="1:36" ht="17.45" customHeight="1" x14ac:dyDescent="0.25">
      <c r="A130" s="427"/>
      <c r="B130" s="428"/>
      <c r="C130" s="428"/>
      <c r="D130" s="428"/>
      <c r="E130" s="428"/>
      <c r="F130" s="428"/>
      <c r="G130" s="428"/>
      <c r="H130" s="184"/>
      <c r="I130" s="427"/>
      <c r="J130" s="428"/>
      <c r="K130" s="428"/>
      <c r="L130" s="428"/>
      <c r="M130" s="428"/>
      <c r="N130" s="428"/>
      <c r="O130" s="428"/>
      <c r="P130" s="428"/>
      <c r="Q130" s="428"/>
      <c r="R130" s="428"/>
      <c r="S130" s="428"/>
      <c r="T130" s="428"/>
      <c r="U130" s="428"/>
      <c r="V130" s="126"/>
      <c r="W130" s="126"/>
      <c r="X130" s="184"/>
      <c r="Y130" s="252"/>
      <c r="Z130" s="252"/>
      <c r="AA130" s="253"/>
      <c r="AB130" s="253"/>
      <c r="AC130" s="249"/>
      <c r="AD130" s="351"/>
      <c r="AE130" s="65"/>
    </row>
    <row r="131" spans="1:36" ht="12.6" customHeight="1" x14ac:dyDescent="0.25">
      <c r="A131" s="427"/>
      <c r="B131" s="428"/>
      <c r="C131" s="428"/>
      <c r="D131" s="428"/>
      <c r="E131" s="428"/>
      <c r="F131" s="428"/>
      <c r="G131" s="428"/>
      <c r="H131" s="184"/>
      <c r="I131" s="348"/>
      <c r="J131" s="349"/>
      <c r="K131" s="349"/>
      <c r="L131" s="349"/>
      <c r="M131" s="349"/>
      <c r="N131" s="349"/>
      <c r="O131" s="124"/>
      <c r="P131" s="126"/>
      <c r="Q131" s="126"/>
      <c r="R131" s="126"/>
      <c r="S131" s="126"/>
      <c r="T131" s="126"/>
      <c r="U131" s="126"/>
      <c r="V131" s="126"/>
      <c r="W131" s="126"/>
      <c r="X131" s="184"/>
      <c r="Y131" s="252"/>
      <c r="Z131" s="252"/>
      <c r="AA131" s="253"/>
      <c r="AB131" s="253"/>
      <c r="AC131" s="249"/>
      <c r="AD131" s="351"/>
      <c r="AE131" s="65"/>
    </row>
    <row r="132" spans="1:36" ht="12.6" customHeight="1" thickBot="1" x14ac:dyDescent="0.3">
      <c r="A132" s="165"/>
      <c r="B132" s="130"/>
      <c r="C132" s="130"/>
      <c r="D132" s="130"/>
      <c r="E132" s="130"/>
      <c r="F132" s="130"/>
      <c r="G132" s="130"/>
      <c r="H132" s="131"/>
      <c r="I132" s="165"/>
      <c r="J132" s="130"/>
      <c r="K132" s="130"/>
      <c r="L132" s="130"/>
      <c r="M132" s="130"/>
      <c r="N132" s="130"/>
      <c r="O132" s="191"/>
      <c r="P132" s="191"/>
      <c r="Q132" s="191"/>
      <c r="R132" s="191"/>
      <c r="S132" s="191"/>
      <c r="T132" s="191"/>
      <c r="U132" s="191"/>
      <c r="V132" s="191"/>
      <c r="W132" s="191"/>
      <c r="X132" s="201"/>
      <c r="Y132" s="252"/>
      <c r="Z132" s="252"/>
      <c r="AA132" s="253"/>
      <c r="AB132" s="253"/>
      <c r="AC132" s="249"/>
      <c r="AD132" s="351"/>
      <c r="AE132" s="65"/>
    </row>
    <row r="133" spans="1:36" ht="12.6" customHeight="1" x14ac:dyDescent="0.25">
      <c r="A133" s="427" t="str">
        <f>IFERROR(ROUND(SUM(C217)*100,0)&amp;"% of projects in "&amp;$D$1&amp;" addressed the resilience of individuals and communities, but without tackling the underlying causes of the risks they face. Only "&amp;ROUND(C215*100,0)&amp;"% of projects are transformative in terms of resilience","")</f>
        <v>26% of projects in Asia and the Pacific addressed the resilience of individuals and communities, but without tackling the underlying causes of the risks they face. Only 14% of projects are transformative in terms of resilience</v>
      </c>
      <c r="B133" s="428"/>
      <c r="C133" s="428"/>
      <c r="D133" s="428"/>
      <c r="E133" s="428"/>
      <c r="F133" s="428"/>
      <c r="G133" s="428"/>
      <c r="H133" s="184"/>
      <c r="I133" s="429" t="str">
        <f>_xlfn.IFNA(ROUND(VLOOKUP($D$1&amp;" Total",Climate!A2:C105,3,FALSE)*100,0)&amp;"% of projects in "&amp;$D$1&amp;" fully addressed vulnerability caused by climate change. "&amp;ROUND(VLOOKUP($D$1&amp;" Total",Climate!A2:C105,2,FALSE)*100,0)&amp;"% of projects had no strategy to address climate change vulnerability ","")</f>
        <v xml:space="preserve">11% of projects in Asia and the Pacific fully addressed vulnerability caused by climate change. 59% of projects had no strategy to address climate change vulnerability </v>
      </c>
      <c r="J133" s="430"/>
      <c r="K133" s="430"/>
      <c r="L133" s="430"/>
      <c r="M133" s="430"/>
      <c r="N133" s="430"/>
      <c r="O133" s="430"/>
      <c r="P133" s="430"/>
      <c r="Q133" s="430"/>
      <c r="R133" s="430"/>
      <c r="S133" s="430"/>
      <c r="T133" s="430"/>
      <c r="U133" s="430"/>
      <c r="V133" s="126"/>
      <c r="W133" s="126"/>
      <c r="X133" s="184"/>
      <c r="Y133" s="194"/>
      <c r="Z133" s="195"/>
      <c r="AA133" s="202"/>
      <c r="AB133" s="202"/>
      <c r="AC133" s="202"/>
      <c r="AD133" s="202"/>
      <c r="AE133" s="202"/>
      <c r="AF133" s="202"/>
      <c r="AG133" s="202"/>
      <c r="AH133" s="202"/>
      <c r="AI133" s="202"/>
      <c r="AJ133" s="203"/>
    </row>
    <row r="134" spans="1:36" ht="17.100000000000001" customHeight="1" x14ac:dyDescent="0.25">
      <c r="A134" s="427"/>
      <c r="B134" s="428"/>
      <c r="C134" s="428"/>
      <c r="D134" s="428"/>
      <c r="E134" s="428"/>
      <c r="F134" s="428"/>
      <c r="G134" s="428"/>
      <c r="H134" s="184"/>
      <c r="I134" s="429"/>
      <c r="J134" s="430"/>
      <c r="K134" s="430"/>
      <c r="L134" s="430"/>
      <c r="M134" s="430"/>
      <c r="N134" s="430"/>
      <c r="O134" s="430"/>
      <c r="P134" s="430"/>
      <c r="Q134" s="430"/>
      <c r="R134" s="430"/>
      <c r="S134" s="430"/>
      <c r="T134" s="430"/>
      <c r="U134" s="430"/>
      <c r="V134" s="126"/>
      <c r="W134" s="126"/>
      <c r="X134" s="184"/>
      <c r="Y134" s="408"/>
      <c r="Z134" s="409"/>
      <c r="AA134" s="409"/>
      <c r="AB134" s="409"/>
      <c r="AC134" s="409"/>
      <c r="AD134" s="409"/>
      <c r="AE134" s="409"/>
      <c r="AF134" s="409"/>
      <c r="AG134" s="409"/>
      <c r="AH134" s="409"/>
      <c r="AI134" s="126"/>
      <c r="AJ134" s="184"/>
    </row>
    <row r="135" spans="1:36" ht="17.45" customHeight="1" x14ac:dyDescent="0.25">
      <c r="A135" s="427"/>
      <c r="B135" s="428"/>
      <c r="C135" s="428"/>
      <c r="D135" s="428"/>
      <c r="E135" s="428"/>
      <c r="F135" s="428"/>
      <c r="G135" s="428"/>
      <c r="H135" s="184"/>
      <c r="I135" s="429"/>
      <c r="J135" s="430"/>
      <c r="K135" s="430"/>
      <c r="L135" s="430"/>
      <c r="M135" s="430"/>
      <c r="N135" s="430"/>
      <c r="O135" s="430"/>
      <c r="P135" s="430"/>
      <c r="Q135" s="430"/>
      <c r="R135" s="430"/>
      <c r="S135" s="430"/>
      <c r="T135" s="430"/>
      <c r="U135" s="430"/>
      <c r="V135" s="126"/>
      <c r="W135" s="126"/>
      <c r="X135" s="184"/>
      <c r="Y135" s="408"/>
      <c r="Z135" s="409"/>
      <c r="AA135" s="409"/>
      <c r="AB135" s="409"/>
      <c r="AC135" s="409"/>
      <c r="AD135" s="409"/>
      <c r="AE135" s="409"/>
      <c r="AF135" s="409"/>
      <c r="AG135" s="409"/>
      <c r="AH135" s="409"/>
      <c r="AI135" s="198"/>
      <c r="AJ135" s="197"/>
    </row>
    <row r="136" spans="1:36" ht="12.6" customHeight="1" x14ac:dyDescent="0.25">
      <c r="A136" s="427"/>
      <c r="B136" s="428"/>
      <c r="C136" s="428"/>
      <c r="D136" s="428"/>
      <c r="E136" s="428"/>
      <c r="F136" s="428"/>
      <c r="G136" s="428"/>
      <c r="H136" s="184"/>
      <c r="I136" s="348"/>
      <c r="J136" s="349"/>
      <c r="K136" s="349"/>
      <c r="L136" s="349"/>
      <c r="M136" s="349"/>
      <c r="N136" s="349"/>
      <c r="O136" s="124"/>
      <c r="P136" s="126"/>
      <c r="Q136" s="126"/>
      <c r="R136" s="126"/>
      <c r="S136" s="126"/>
      <c r="T136" s="126"/>
      <c r="U136" s="126"/>
      <c r="V136" s="126"/>
      <c r="W136" s="126"/>
      <c r="X136" s="184"/>
      <c r="Y136" s="408"/>
      <c r="Z136" s="409"/>
      <c r="AA136" s="409"/>
      <c r="AB136" s="409"/>
      <c r="AC136" s="409"/>
      <c r="AD136" s="409"/>
      <c r="AE136" s="409"/>
      <c r="AF136" s="409"/>
      <c r="AG136" s="409"/>
      <c r="AH136" s="409"/>
      <c r="AI136" s="126"/>
      <c r="AJ136" s="184"/>
    </row>
    <row r="137" spans="1:36" ht="12.6" customHeight="1" thickBot="1" x14ac:dyDescent="0.3">
      <c r="A137" s="165"/>
      <c r="B137" s="130"/>
      <c r="C137" s="130"/>
      <c r="D137" s="130"/>
      <c r="E137" s="130"/>
      <c r="F137" s="130"/>
      <c r="G137" s="130"/>
      <c r="H137" s="131"/>
      <c r="I137" s="165"/>
      <c r="J137" s="130"/>
      <c r="K137" s="130"/>
      <c r="L137" s="130"/>
      <c r="M137" s="130"/>
      <c r="N137" s="130"/>
      <c r="O137" s="191"/>
      <c r="P137" s="191"/>
      <c r="Q137" s="191"/>
      <c r="R137" s="191"/>
      <c r="S137" s="191"/>
      <c r="T137" s="191"/>
      <c r="U137" s="191"/>
      <c r="V137" s="191"/>
      <c r="W137" s="191"/>
      <c r="X137" s="201"/>
      <c r="Y137" s="165"/>
      <c r="Z137" s="130"/>
      <c r="AA137" s="191"/>
      <c r="AB137" s="191"/>
      <c r="AC137" s="191"/>
      <c r="AD137" s="191"/>
      <c r="AE137" s="191"/>
      <c r="AF137" s="191"/>
      <c r="AG137" s="191"/>
      <c r="AH137" s="191"/>
      <c r="AI137" s="191"/>
      <c r="AJ137" s="201"/>
    </row>
    <row r="138" spans="1:36" x14ac:dyDescent="0.25">
      <c r="A138" s="124"/>
      <c r="B138" s="124"/>
      <c r="C138" s="124"/>
      <c r="D138" s="124"/>
      <c r="E138" s="124"/>
      <c r="F138" s="124"/>
      <c r="G138" s="124"/>
      <c r="H138" s="124"/>
      <c r="I138" s="124"/>
      <c r="J138" s="124"/>
      <c r="K138" s="124"/>
      <c r="L138" s="124"/>
      <c r="M138" s="124"/>
      <c r="N138" s="126"/>
      <c r="O138" s="126"/>
      <c r="P138" s="126"/>
      <c r="Q138" s="126"/>
      <c r="R138" s="126"/>
      <c r="S138" s="126"/>
      <c r="T138" s="126"/>
      <c r="U138" s="126"/>
      <c r="V138" s="126"/>
      <c r="W138" s="126"/>
      <c r="X138" s="126"/>
      <c r="Y138" s="252"/>
      <c r="Z138" s="252"/>
      <c r="AA138" s="253"/>
      <c r="AB138" s="253"/>
      <c r="AC138" s="249"/>
      <c r="AD138" s="351"/>
      <c r="AE138" s="65"/>
    </row>
    <row r="139" spans="1:36" ht="12.6" customHeight="1" thickBot="1" x14ac:dyDescent="0.3">
      <c r="A139" s="124"/>
      <c r="B139" s="124"/>
      <c r="C139" s="124"/>
      <c r="D139" s="124"/>
      <c r="E139" s="124"/>
      <c r="F139" s="124"/>
      <c r="G139" s="124"/>
      <c r="H139" s="124"/>
      <c r="I139" s="124"/>
      <c r="J139" s="124"/>
      <c r="K139" s="124"/>
      <c r="L139" s="124"/>
      <c r="M139" s="124"/>
      <c r="N139" s="124"/>
      <c r="O139" s="126"/>
      <c r="P139" s="198"/>
      <c r="Q139" s="198"/>
      <c r="R139" s="198"/>
      <c r="S139" s="198"/>
      <c r="T139" s="198"/>
      <c r="U139" s="198"/>
      <c r="V139" s="198"/>
      <c r="W139" s="198"/>
      <c r="X139" s="198"/>
      <c r="Y139" s="252"/>
      <c r="Z139" s="252"/>
      <c r="AA139" s="253"/>
      <c r="AB139" s="253"/>
      <c r="AC139" s="249"/>
      <c r="AD139" s="351"/>
      <c r="AE139" s="65"/>
    </row>
    <row r="140" spans="1:36" ht="14.45" customHeight="1" x14ac:dyDescent="0.25">
      <c r="A140" s="194"/>
      <c r="B140" s="195"/>
      <c r="C140" s="195"/>
      <c r="D140" s="195"/>
      <c r="E140" s="195"/>
      <c r="F140" s="195"/>
      <c r="G140" s="195"/>
      <c r="H140" s="196"/>
      <c r="I140" s="194"/>
      <c r="J140" s="195"/>
      <c r="K140" s="195"/>
      <c r="L140" s="195"/>
      <c r="M140" s="195"/>
      <c r="N140" s="195"/>
      <c r="O140" s="204"/>
      <c r="P140" s="204"/>
      <c r="Q140" s="204"/>
      <c r="R140" s="204"/>
      <c r="S140" s="204"/>
      <c r="T140" s="204"/>
      <c r="U140" s="204"/>
      <c r="V140" s="204"/>
      <c r="W140" s="204"/>
      <c r="X140" s="205"/>
      <c r="Y140" s="252"/>
      <c r="Z140" s="252"/>
      <c r="AA140" s="253"/>
      <c r="AB140" s="253"/>
      <c r="AC140" s="249"/>
      <c r="AD140" s="351"/>
      <c r="AE140" s="65"/>
    </row>
    <row r="141" spans="1:36" ht="12.6" customHeight="1" x14ac:dyDescent="0.25">
      <c r="A141" s="408" t="str">
        <f>_xlfn.IFNA(ROUND(VLOOKUP($D$1&amp;" Total",GBV!A2:D105,4,FALSE)*100,0)&amp;"% of projects were fully focused on addressing SGBV, while a further "&amp;ROUND(VLOOKUP($D$1&amp;" Total",GBV!A2:D105,3,FALSE)*100,0)&amp;"% mainstreamed SGBV in other actions/thematic areas","")</f>
        <v>9% of projects were fully focused on addressing SGBV, while a further 41% mainstreamed SGBV in other actions/thematic areas</v>
      </c>
      <c r="B141" s="409"/>
      <c r="C141" s="409"/>
      <c r="D141" s="409"/>
      <c r="E141" s="409"/>
      <c r="F141" s="409"/>
      <c r="G141" s="409"/>
      <c r="H141" s="197"/>
      <c r="I141" s="408" t="str">
        <f>IFERROR("Civil society strengthening activities were included in "&amp;ROUND(T10*100,0)&amp;"% of projects, but was an explicit objective in "&amp;ROUND(VLOOKUP($D$1&amp;" Total",'Civ soc'!A2:C105,3,FALSE)*100,0)&amp;"% of projects","")</f>
        <v>Civil society strengthening activities were included in 59% of projects, but was an explicit objective in 35% of projects</v>
      </c>
      <c r="J141" s="409"/>
      <c r="K141" s="409"/>
      <c r="L141" s="409"/>
      <c r="M141" s="409"/>
      <c r="N141" s="409"/>
      <c r="O141" s="409"/>
      <c r="P141" s="409"/>
      <c r="Q141" s="409"/>
      <c r="R141" s="409"/>
      <c r="S141" s="409"/>
      <c r="T141" s="409"/>
      <c r="U141" s="409"/>
      <c r="V141" s="409"/>
      <c r="W141" s="198"/>
      <c r="X141" s="197"/>
      <c r="Y141" s="252"/>
      <c r="Z141" s="252"/>
      <c r="AA141" s="253"/>
      <c r="AB141" s="253"/>
      <c r="AC141" s="249"/>
      <c r="AD141" s="351"/>
      <c r="AE141" s="65"/>
    </row>
    <row r="142" spans="1:36" ht="17.45" customHeight="1" x14ac:dyDescent="0.25">
      <c r="A142" s="408"/>
      <c r="B142" s="409"/>
      <c r="C142" s="409"/>
      <c r="D142" s="409"/>
      <c r="E142" s="409"/>
      <c r="F142" s="409"/>
      <c r="G142" s="409"/>
      <c r="H142" s="197"/>
      <c r="I142" s="408"/>
      <c r="J142" s="409"/>
      <c r="K142" s="409"/>
      <c r="L142" s="409"/>
      <c r="M142" s="409"/>
      <c r="N142" s="409"/>
      <c r="O142" s="409"/>
      <c r="P142" s="409"/>
      <c r="Q142" s="409"/>
      <c r="R142" s="409"/>
      <c r="S142" s="409"/>
      <c r="T142" s="409"/>
      <c r="U142" s="409"/>
      <c r="V142" s="409"/>
      <c r="W142" s="126"/>
      <c r="X142" s="184"/>
      <c r="Y142" s="252"/>
      <c r="Z142" s="252"/>
      <c r="AA142" s="253"/>
      <c r="AB142" s="253"/>
      <c r="AC142" s="249"/>
      <c r="AD142" s="351"/>
      <c r="AE142" s="65"/>
    </row>
    <row r="143" spans="1:36" ht="17.45" customHeight="1" thickBot="1" x14ac:dyDescent="0.3">
      <c r="A143" s="408"/>
      <c r="B143" s="409"/>
      <c r="C143" s="409"/>
      <c r="D143" s="409"/>
      <c r="E143" s="409"/>
      <c r="F143" s="409"/>
      <c r="G143" s="409"/>
      <c r="H143" s="197"/>
      <c r="I143" s="408"/>
      <c r="J143" s="409"/>
      <c r="K143" s="409"/>
      <c r="L143" s="409"/>
      <c r="M143" s="409"/>
      <c r="N143" s="409"/>
      <c r="O143" s="409"/>
      <c r="P143" s="409"/>
      <c r="Q143" s="409"/>
      <c r="R143" s="409"/>
      <c r="S143" s="409"/>
      <c r="T143" s="409"/>
      <c r="U143" s="409"/>
      <c r="V143" s="409"/>
      <c r="W143" s="126"/>
      <c r="X143" s="184"/>
      <c r="Y143" s="252"/>
      <c r="Z143" s="252"/>
      <c r="AA143" s="253"/>
      <c r="AB143" s="253"/>
      <c r="AC143" s="249"/>
      <c r="AD143" s="351"/>
      <c r="AE143" s="65"/>
    </row>
    <row r="144" spans="1:36" ht="14.45" customHeight="1" x14ac:dyDescent="0.25">
      <c r="A144" s="194"/>
      <c r="B144" s="195"/>
      <c r="C144" s="195"/>
      <c r="D144" s="195"/>
      <c r="E144" s="195"/>
      <c r="F144" s="195"/>
      <c r="G144" s="195"/>
      <c r="H144" s="196"/>
      <c r="I144" s="194"/>
      <c r="J144" s="195"/>
      <c r="K144" s="195"/>
      <c r="L144" s="195"/>
      <c r="M144" s="195"/>
      <c r="N144" s="195"/>
      <c r="O144" s="204"/>
      <c r="P144" s="204"/>
      <c r="Q144" s="204"/>
      <c r="R144" s="204"/>
      <c r="S144" s="204"/>
      <c r="T144" s="204"/>
      <c r="U144" s="204"/>
      <c r="V144" s="204"/>
      <c r="W144" s="204"/>
      <c r="X144" s="205"/>
      <c r="Y144" s="252"/>
      <c r="Z144" s="252"/>
      <c r="AA144" s="253"/>
      <c r="AB144" s="253"/>
      <c r="AC144" s="249"/>
      <c r="AD144" s="351"/>
      <c r="AE144" s="65"/>
    </row>
    <row r="145" spans="1:31" ht="17.45" customHeight="1" thickBot="1" x14ac:dyDescent="0.3">
      <c r="A145" s="124"/>
      <c r="B145" s="124"/>
      <c r="C145" s="124"/>
      <c r="D145" s="124"/>
      <c r="E145" s="124"/>
      <c r="F145" s="124"/>
      <c r="G145" s="124"/>
      <c r="H145" s="124"/>
      <c r="I145" s="124"/>
      <c r="J145" s="124"/>
      <c r="K145" s="124"/>
      <c r="L145" s="124"/>
      <c r="M145" s="124"/>
      <c r="N145" s="124"/>
      <c r="O145" s="126"/>
      <c r="P145" s="126"/>
      <c r="Q145" s="126"/>
      <c r="R145" s="126"/>
      <c r="S145" s="126"/>
      <c r="T145" s="126"/>
      <c r="U145" s="126"/>
      <c r="V145" s="126"/>
      <c r="W145" s="126"/>
      <c r="X145" s="126"/>
      <c r="Y145" s="252"/>
      <c r="Z145" s="252"/>
      <c r="AA145" s="253"/>
      <c r="AB145" s="253"/>
      <c r="AC145" s="249"/>
      <c r="AD145" s="351"/>
      <c r="AE145" s="65"/>
    </row>
    <row r="146" spans="1:31" ht="14.45" customHeight="1" x14ac:dyDescent="0.25">
      <c r="A146" s="194"/>
      <c r="B146" s="195"/>
      <c r="C146" s="195"/>
      <c r="D146" s="195"/>
      <c r="E146" s="195"/>
      <c r="F146" s="195"/>
      <c r="G146" s="195"/>
      <c r="H146" s="196"/>
      <c r="I146" s="194"/>
      <c r="J146" s="195"/>
      <c r="K146" s="195"/>
      <c r="L146" s="195"/>
      <c r="M146" s="195"/>
      <c r="N146" s="195"/>
      <c r="O146" s="204"/>
      <c r="P146" s="204"/>
      <c r="Q146" s="204"/>
      <c r="R146" s="204"/>
      <c r="S146" s="204"/>
      <c r="T146" s="204"/>
      <c r="U146" s="204"/>
      <c r="V146" s="204"/>
      <c r="W146" s="204"/>
      <c r="X146" s="205"/>
      <c r="Y146" s="252"/>
      <c r="Z146" s="252"/>
      <c r="AA146" s="253"/>
      <c r="AB146" s="253"/>
      <c r="AC146" s="249"/>
      <c r="AD146" s="351"/>
      <c r="AE146" s="65"/>
    </row>
    <row r="147" spans="1:31" ht="12.6" customHeight="1" x14ac:dyDescent="0.25">
      <c r="A147" s="408" t="str">
        <f>IFERROR("Partners implemented all activities in "&amp;ROUND(VLOOKUP($D$1&amp;" Total",Partnership!A2:F122,2,FALSE)*100,0)&amp;"% of projects, most activities in "&amp;ROUND(VLOOKUP($D$1&amp;" Total",Partnership!A2:F122,4,FALSE)*100,0)&amp;"% of projects, and some activities in "&amp;ROUND(VLOOKUP($D$1&amp;" Total",Partnership!A2:F122,5,FALSE)*100,0)&amp;"% of projects","")</f>
        <v>Partners implemented all activities in 24% of projects, most activities in 29% of projects, and some activities in 17% of projects</v>
      </c>
      <c r="B147" s="409"/>
      <c r="C147" s="409"/>
      <c r="D147" s="409"/>
      <c r="E147" s="409"/>
      <c r="F147" s="409"/>
      <c r="G147" s="409"/>
      <c r="H147" s="197"/>
      <c r="I147" s="408" t="str">
        <f>_xlfn.IFNA(ROUND(VLOOKUP($D$1&amp;" Total",Advocacy!A2:E105,2,FALSE)*100,0)&amp;"% of projects had an intensive advocacy focus, and a further "&amp;ROUND(VLOOKUP($D$1&amp;" Total",Advocacy!A2:E105,4,FALSE)*100,0)&amp;"% had a moderate advocacy focus","")</f>
        <v>14% of projects had an intensive advocacy focus, and a further 46% had a moderate advocacy focus</v>
      </c>
      <c r="J147" s="409"/>
      <c r="K147" s="409"/>
      <c r="L147" s="409"/>
      <c r="M147" s="409"/>
      <c r="N147" s="409"/>
      <c r="O147" s="409"/>
      <c r="P147" s="409"/>
      <c r="Q147" s="409"/>
      <c r="R147" s="409"/>
      <c r="S147" s="409"/>
      <c r="T147" s="409"/>
      <c r="U147" s="409"/>
      <c r="V147" s="409"/>
      <c r="W147" s="198"/>
      <c r="X147" s="197"/>
      <c r="Y147" s="252"/>
      <c r="Z147" s="252"/>
      <c r="AA147" s="253"/>
      <c r="AB147" s="253"/>
      <c r="AC147" s="249"/>
      <c r="AD147" s="351"/>
      <c r="AE147" s="65"/>
    </row>
    <row r="148" spans="1:31" ht="17.45" customHeight="1" x14ac:dyDescent="0.25">
      <c r="A148" s="408"/>
      <c r="B148" s="409"/>
      <c r="C148" s="409"/>
      <c r="D148" s="409"/>
      <c r="E148" s="409"/>
      <c r="F148" s="409"/>
      <c r="G148" s="409"/>
      <c r="H148" s="197"/>
      <c r="I148" s="408"/>
      <c r="J148" s="409"/>
      <c r="K148" s="409"/>
      <c r="L148" s="409"/>
      <c r="M148" s="409"/>
      <c r="N148" s="409"/>
      <c r="O148" s="409"/>
      <c r="P148" s="409"/>
      <c r="Q148" s="409"/>
      <c r="R148" s="409"/>
      <c r="S148" s="409"/>
      <c r="T148" s="409"/>
      <c r="U148" s="409"/>
      <c r="V148" s="409"/>
      <c r="W148" s="126"/>
      <c r="X148" s="184"/>
      <c r="Y148" s="252"/>
      <c r="Z148" s="252"/>
      <c r="AA148" s="253"/>
      <c r="AB148" s="253"/>
      <c r="AC148" s="249"/>
      <c r="AD148" s="351"/>
      <c r="AE148" s="65"/>
    </row>
    <row r="149" spans="1:31" ht="17.45" customHeight="1" x14ac:dyDescent="0.25">
      <c r="A149" s="408"/>
      <c r="B149" s="409"/>
      <c r="C149" s="409"/>
      <c r="D149" s="409"/>
      <c r="E149" s="409"/>
      <c r="F149" s="409"/>
      <c r="G149" s="409"/>
      <c r="H149" s="197"/>
      <c r="I149" s="408"/>
      <c r="J149" s="409"/>
      <c r="K149" s="409"/>
      <c r="L149" s="409"/>
      <c r="M149" s="409"/>
      <c r="N149" s="409"/>
      <c r="O149" s="409"/>
      <c r="P149" s="409"/>
      <c r="Q149" s="409"/>
      <c r="R149" s="409"/>
      <c r="S149" s="409"/>
      <c r="T149" s="409"/>
      <c r="U149" s="409"/>
      <c r="V149" s="409"/>
      <c r="W149" s="126"/>
      <c r="X149" s="184"/>
      <c r="Y149" s="252"/>
      <c r="Z149" s="252"/>
      <c r="AA149" s="253"/>
      <c r="AB149" s="253"/>
      <c r="AC149" s="249"/>
      <c r="AD149" s="351"/>
      <c r="AE149" s="65"/>
    </row>
    <row r="150" spans="1:31" ht="12.95" customHeight="1" thickBot="1" x14ac:dyDescent="0.3">
      <c r="A150" s="165"/>
      <c r="B150" s="130"/>
      <c r="C150" s="130"/>
      <c r="D150" s="130"/>
      <c r="E150" s="130"/>
      <c r="F150" s="130"/>
      <c r="G150" s="130"/>
      <c r="H150" s="131"/>
      <c r="I150" s="165"/>
      <c r="J150" s="130"/>
      <c r="K150" s="130"/>
      <c r="L150" s="130"/>
      <c r="M150" s="130"/>
      <c r="N150" s="130"/>
      <c r="O150" s="191"/>
      <c r="P150" s="191"/>
      <c r="Q150" s="191"/>
      <c r="R150" s="191"/>
      <c r="S150" s="191"/>
      <c r="T150" s="191"/>
      <c r="U150" s="191"/>
      <c r="V150" s="191"/>
      <c r="W150" s="191"/>
      <c r="X150" s="201"/>
      <c r="Y150" s="252"/>
      <c r="Z150" s="252"/>
      <c r="AA150" s="253"/>
      <c r="AB150" s="253"/>
      <c r="AC150" s="249"/>
      <c r="AD150" s="351"/>
      <c r="AE150" s="65"/>
    </row>
    <row r="151" spans="1:31" ht="12.95" customHeight="1" x14ac:dyDescent="0.25">
      <c r="A151" s="124"/>
      <c r="B151" s="124"/>
      <c r="C151" s="124"/>
      <c r="D151" s="124"/>
      <c r="E151" s="124"/>
      <c r="F151" s="124"/>
      <c r="G151" s="124"/>
      <c r="H151" s="124"/>
      <c r="I151" s="124"/>
      <c r="J151" s="124"/>
      <c r="K151" s="124"/>
      <c r="L151" s="124"/>
      <c r="M151" s="124"/>
      <c r="N151" s="124"/>
      <c r="O151" s="126"/>
      <c r="P151" s="126"/>
      <c r="Q151" s="126"/>
      <c r="R151" s="126"/>
      <c r="S151" s="126"/>
      <c r="T151" s="126"/>
      <c r="U151" s="126"/>
      <c r="V151" s="126"/>
      <c r="W151" s="126"/>
      <c r="X151" s="126"/>
      <c r="Y151" s="252"/>
      <c r="Z151" s="252"/>
      <c r="AA151" s="253"/>
      <c r="AB151" s="253"/>
      <c r="AC151" s="249"/>
      <c r="AD151" s="351"/>
      <c r="AE151" s="65"/>
    </row>
    <row r="152" spans="1:31" ht="12.6" customHeight="1" thickBot="1" x14ac:dyDescent="0.3">
      <c r="A152" s="124"/>
      <c r="B152" s="124"/>
      <c r="C152" s="124"/>
      <c r="D152" s="124"/>
      <c r="E152" s="124"/>
      <c r="F152" s="124"/>
      <c r="G152" s="124"/>
      <c r="H152" s="124"/>
      <c r="I152" s="124"/>
      <c r="J152" s="124"/>
      <c r="K152" s="124"/>
      <c r="L152" s="124"/>
      <c r="M152" s="124"/>
      <c r="N152" s="124"/>
      <c r="O152" s="126"/>
      <c r="P152" s="126"/>
      <c r="Q152" s="126"/>
      <c r="R152" s="126"/>
      <c r="S152" s="126"/>
      <c r="T152" s="126"/>
      <c r="U152" s="126"/>
      <c r="V152" s="126"/>
      <c r="W152" s="126"/>
      <c r="X152" s="126"/>
      <c r="Y152" s="252"/>
      <c r="Z152" s="252"/>
      <c r="AA152" s="253"/>
      <c r="AB152" s="253"/>
      <c r="AC152" s="249"/>
      <c r="AD152" s="351"/>
      <c r="AE152" s="65"/>
    </row>
    <row r="153" spans="1:31" ht="21" customHeight="1" x14ac:dyDescent="0.25">
      <c r="A153" s="206"/>
      <c r="B153" s="204"/>
      <c r="C153" s="204"/>
      <c r="D153" s="204"/>
      <c r="E153" s="204"/>
      <c r="F153" s="204"/>
      <c r="G153" s="204"/>
      <c r="H153" s="205"/>
      <c r="I153" s="206"/>
      <c r="J153" s="204"/>
      <c r="K153" s="204"/>
      <c r="L153" s="204"/>
      <c r="M153" s="204"/>
      <c r="N153" s="204"/>
      <c r="O153" s="204"/>
      <c r="P153" s="204"/>
      <c r="Q153" s="204"/>
      <c r="R153" s="204"/>
      <c r="S153" s="204"/>
      <c r="T153" s="204"/>
      <c r="U153" s="204"/>
      <c r="V153" s="204"/>
      <c r="W153" s="204"/>
      <c r="X153" s="205"/>
      <c r="Y153" s="252"/>
      <c r="Z153" s="252"/>
      <c r="AA153" s="253"/>
      <c r="AB153" s="253"/>
      <c r="AC153" s="249"/>
      <c r="AD153" s="351"/>
      <c r="AE153" s="65"/>
    </row>
    <row r="154" spans="1:31" ht="14.45" customHeight="1" x14ac:dyDescent="0.25">
      <c r="A154" s="408" t="str">
        <f>IFERROR("While "&amp;ROUND(R10*100,0)&amp;"% of projects promoted innovative solutions to poverty and social injustice, only "&amp;ROUND(VLOOKUP($D$1&amp;" Total",Innovation!A2:C122,3,FALSE)*100,0)&amp;"% measured the impact of these innovations","")</f>
        <v>While 60% of projects promoted innovative solutions to poverty and social injustice, only 20% measured the impact of these innovations</v>
      </c>
      <c r="B154" s="409"/>
      <c r="C154" s="409"/>
      <c r="D154" s="409"/>
      <c r="E154" s="409"/>
      <c r="F154" s="409"/>
      <c r="G154" s="409"/>
      <c r="H154" s="197"/>
      <c r="I154" s="408" t="str">
        <f>_xlfn.IFNA(ROUND(VLOOKUP($D$1&amp;" Total",Scaling!A2:D105,3,FALSE)*100,0)&amp;"% of projects linked and worked with others to scale up proven solutions, and a further "&amp;ROUND(VLOOKUP($D$1&amp;" Total",Scaling!A2:D105,4,FALSE)*100,0)&amp;"% took solutions to scale by ourselves","")</f>
        <v>45% of projects linked and worked with others to scale up proven solutions, and a further 10% took solutions to scale by ourselves</v>
      </c>
      <c r="J154" s="409"/>
      <c r="K154" s="409"/>
      <c r="L154" s="409"/>
      <c r="M154" s="409"/>
      <c r="N154" s="409"/>
      <c r="O154" s="409"/>
      <c r="P154" s="409"/>
      <c r="Q154" s="409"/>
      <c r="R154" s="409"/>
      <c r="S154" s="409"/>
      <c r="T154" s="409"/>
      <c r="U154" s="409"/>
      <c r="V154" s="409"/>
      <c r="W154" s="126"/>
      <c r="X154" s="184"/>
      <c r="Y154" s="252"/>
      <c r="Z154" s="252"/>
      <c r="AA154" s="253"/>
      <c r="AB154" s="253"/>
      <c r="AC154" s="249"/>
      <c r="AD154" s="351"/>
      <c r="AE154" s="65"/>
    </row>
    <row r="155" spans="1:31" ht="18" x14ac:dyDescent="0.25">
      <c r="A155" s="408"/>
      <c r="B155" s="409"/>
      <c r="C155" s="409"/>
      <c r="D155" s="409"/>
      <c r="E155" s="409"/>
      <c r="F155" s="409"/>
      <c r="G155" s="409"/>
      <c r="H155" s="197"/>
      <c r="I155" s="408"/>
      <c r="J155" s="409"/>
      <c r="K155" s="409"/>
      <c r="L155" s="409"/>
      <c r="M155" s="409"/>
      <c r="N155" s="409"/>
      <c r="O155" s="409"/>
      <c r="P155" s="409"/>
      <c r="Q155" s="409"/>
      <c r="R155" s="409"/>
      <c r="S155" s="409"/>
      <c r="T155" s="409"/>
      <c r="U155" s="409"/>
      <c r="V155" s="409"/>
      <c r="W155" s="126"/>
      <c r="X155" s="184"/>
      <c r="Y155" s="252"/>
      <c r="Z155" s="252"/>
      <c r="AA155" s="253"/>
      <c r="AB155" s="253"/>
      <c r="AC155" s="249"/>
      <c r="AD155" s="351"/>
      <c r="AE155" s="65"/>
    </row>
    <row r="156" spans="1:31" ht="18" x14ac:dyDescent="0.25">
      <c r="A156" s="408"/>
      <c r="B156" s="409"/>
      <c r="C156" s="409"/>
      <c r="D156" s="409"/>
      <c r="E156" s="409"/>
      <c r="F156" s="409"/>
      <c r="G156" s="409"/>
      <c r="H156" s="197"/>
      <c r="I156" s="408"/>
      <c r="J156" s="409"/>
      <c r="K156" s="409"/>
      <c r="L156" s="409"/>
      <c r="M156" s="409"/>
      <c r="N156" s="409"/>
      <c r="O156" s="409"/>
      <c r="P156" s="409"/>
      <c r="Q156" s="409"/>
      <c r="R156" s="409"/>
      <c r="S156" s="409"/>
      <c r="T156" s="409"/>
      <c r="U156" s="409"/>
      <c r="V156" s="409"/>
      <c r="W156" s="126"/>
      <c r="X156" s="184"/>
      <c r="Y156" s="252"/>
      <c r="Z156" s="252"/>
      <c r="AA156" s="253"/>
      <c r="AB156" s="253"/>
      <c r="AC156" s="249"/>
      <c r="AD156" s="351"/>
      <c r="AE156" s="65"/>
    </row>
    <row r="157" spans="1:31" s="80" customFormat="1" ht="13.5" thickBot="1" x14ac:dyDescent="0.3">
      <c r="A157" s="165"/>
      <c r="B157" s="130"/>
      <c r="C157" s="130"/>
      <c r="D157" s="130"/>
      <c r="E157" s="130"/>
      <c r="F157" s="130"/>
      <c r="G157" s="130"/>
      <c r="H157" s="131"/>
      <c r="I157" s="165"/>
      <c r="J157" s="130"/>
      <c r="K157" s="130"/>
      <c r="L157" s="130"/>
      <c r="M157" s="130"/>
      <c r="N157" s="191"/>
      <c r="O157" s="191"/>
      <c r="P157" s="191"/>
      <c r="Q157" s="191"/>
      <c r="R157" s="191"/>
      <c r="S157" s="191"/>
      <c r="T157" s="191"/>
      <c r="U157" s="191"/>
      <c r="V157" s="191"/>
      <c r="W157" s="191"/>
      <c r="X157" s="201"/>
      <c r="Y157" s="252"/>
      <c r="Z157" s="252"/>
      <c r="AA157" s="253"/>
      <c r="AB157" s="253"/>
      <c r="AC157" s="249"/>
      <c r="AD157" s="351"/>
      <c r="AE157" s="79"/>
    </row>
    <row r="158" spans="1:31" ht="15" customHeight="1" x14ac:dyDescent="0.25">
      <c r="A158" s="171"/>
      <c r="B158" s="124"/>
      <c r="C158" s="124"/>
      <c r="D158" s="124"/>
      <c r="E158" s="124"/>
      <c r="F158" s="124"/>
      <c r="G158" s="124"/>
      <c r="H158" s="124"/>
      <c r="I158" s="124"/>
      <c r="J158" s="124"/>
      <c r="K158" s="124"/>
      <c r="L158" s="124"/>
      <c r="M158" s="124"/>
      <c r="N158" s="124"/>
      <c r="O158" s="124"/>
      <c r="P158" s="124"/>
      <c r="Q158" s="124"/>
      <c r="R158" s="124"/>
      <c r="S158" s="124"/>
      <c r="T158" s="124"/>
      <c r="U158" s="124"/>
      <c r="V158" s="124"/>
      <c r="W158" s="124"/>
      <c r="X158" s="124"/>
      <c r="Y158" s="252"/>
      <c r="Z158" s="252"/>
      <c r="AA158" s="253"/>
      <c r="AB158" s="253"/>
      <c r="AC158" s="249"/>
      <c r="AD158" s="351"/>
      <c r="AE158" s="65"/>
    </row>
    <row r="159" spans="1:31" ht="15" customHeight="1" x14ac:dyDescent="0.25">
      <c r="A159" s="171"/>
      <c r="B159" s="124"/>
      <c r="C159" s="124"/>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252"/>
      <c r="Z159" s="252"/>
      <c r="AA159" s="253"/>
      <c r="AB159" s="253"/>
      <c r="AC159" s="249"/>
      <c r="AD159" s="351"/>
      <c r="AE159" s="65"/>
    </row>
    <row r="160" spans="1:31" ht="15" customHeight="1" x14ac:dyDescent="0.25">
      <c r="A160" s="171"/>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252"/>
      <c r="Z160" s="252"/>
      <c r="AA160" s="253"/>
      <c r="AB160" s="253"/>
      <c r="AC160" s="249"/>
      <c r="AD160" s="351"/>
      <c r="AE160" s="65"/>
    </row>
    <row r="161" spans="1:31" ht="15" customHeight="1" x14ac:dyDescent="0.25">
      <c r="A161" s="171"/>
      <c r="B161" s="124"/>
      <c r="C161" s="124"/>
      <c r="D161" s="124"/>
      <c r="E161" s="124"/>
      <c r="F161" s="124"/>
      <c r="G161" s="124"/>
      <c r="H161" s="124"/>
      <c r="I161" s="124"/>
      <c r="J161" s="124"/>
      <c r="K161" s="124"/>
      <c r="L161" s="124"/>
      <c r="M161" s="124"/>
      <c r="N161" s="124"/>
      <c r="O161" s="124"/>
      <c r="P161" s="124"/>
      <c r="Q161" s="124"/>
      <c r="R161" s="124"/>
      <c r="S161" s="124"/>
      <c r="T161" s="124"/>
      <c r="U161" s="124"/>
      <c r="V161" s="124"/>
      <c r="W161" s="124"/>
      <c r="X161" s="124"/>
      <c r="Y161" s="252"/>
      <c r="Z161" s="252"/>
      <c r="AA161" s="253"/>
      <c r="AB161" s="253"/>
      <c r="AC161" s="249"/>
      <c r="AD161" s="351"/>
      <c r="AE161" s="65"/>
    </row>
    <row r="162" spans="1:31" ht="15" customHeight="1" x14ac:dyDescent="0.25">
      <c r="A162" s="171" t="s">
        <v>14799</v>
      </c>
      <c r="B162" s="67" t="s">
        <v>14800</v>
      </c>
      <c r="C162" t="s">
        <v>1874</v>
      </c>
      <c r="D162" t="s">
        <v>7217</v>
      </c>
      <c r="E162" t="s">
        <v>1596</v>
      </c>
      <c r="F162" t="s">
        <v>306</v>
      </c>
      <c r="G162" t="s">
        <v>2807</v>
      </c>
      <c r="H162" t="s">
        <v>602</v>
      </c>
      <c r="I162" s="124"/>
      <c r="J162" s="124"/>
      <c r="K162" s="124"/>
      <c r="L162" s="124"/>
      <c r="M162" s="124"/>
      <c r="N162" s="124"/>
      <c r="O162" s="124"/>
      <c r="P162" s="124"/>
      <c r="Q162" s="124"/>
      <c r="R162" s="124"/>
      <c r="S162" s="124"/>
      <c r="T162" s="124"/>
      <c r="U162" s="124"/>
      <c r="V162" s="124"/>
      <c r="W162" s="124"/>
      <c r="X162" s="124"/>
      <c r="Y162" s="252"/>
      <c r="Z162" s="252"/>
      <c r="AA162" s="253"/>
      <c r="AB162" s="253"/>
      <c r="AC162" s="249"/>
      <c r="AD162" s="351"/>
      <c r="AE162" s="65"/>
    </row>
    <row r="163" spans="1:31" ht="15" customHeight="1" x14ac:dyDescent="0.25">
      <c r="A163" s="171" t="s">
        <v>14295</v>
      </c>
      <c r="B163" s="362">
        <f>IFERROR(VLOOKUP("Grand Total",'Gender marker'!$A$5:$J$120,6,FALSE)/VLOOKUP("Grand Total",'Gender marker'!$A$5:$J$120,9,FALSE),"")</f>
        <v>0.16842105263157894</v>
      </c>
      <c r="C163" s="362">
        <f>IFERROR(VLOOKUP(C$162&amp;" Total",'Gender marker'!$A$5:$J$120,6,FALSE)/VLOOKUP(C$162&amp;" Total",'Gender marker'!$A$5:$J$120,9,FALSE),"")</f>
        <v>0.16384180790960451</v>
      </c>
      <c r="D163" s="362">
        <f>IFERROR(VLOOKUP(D$162&amp;" Total",'Gender marker'!$A$5:$J$120,6,FALSE)/VLOOKUP(D$162&amp;" Total",'Gender marker'!$A$5:$J$120,9,FALSE),"")</f>
        <v>0.16666666666666666</v>
      </c>
      <c r="E163" s="362">
        <f>IFERROR(VLOOKUP(E$162&amp;" Total",'Gender marker'!$A$5:$J$120,6,FALSE)/VLOOKUP(E$162&amp;" Total",'Gender marker'!$A$5:$J$120,9,FALSE),"")</f>
        <v>0.13592233009708737</v>
      </c>
      <c r="F163" s="362">
        <f>IFERROR(VLOOKUP(F$162&amp;" Total",'Gender marker'!$A$5:$J$120,6,FALSE)/VLOOKUP(F$162&amp;" Total",'Gender marker'!$A$5:$J$120,9,FALSE),"")</f>
        <v>0.2140221402214022</v>
      </c>
      <c r="G163" s="362">
        <f>IFERROR(VLOOKUP(G$162&amp;" Total",'Gender marker'!$A$5:$J$120,6,FALSE)/VLOOKUP(G$162&amp;" Total",'Gender marker'!$A$5:$J$120,9,FALSE),"")</f>
        <v>9.2783505154639179E-2</v>
      </c>
      <c r="H163" s="362">
        <f>IFERROR(VLOOKUP(H$162&amp;" Total",'Gender marker'!$A$5:$J$120,6,FALSE)/VLOOKUP(H$162&amp;" Total",'Gender marker'!$A$5:$J$120,9,FALSE),"")</f>
        <v>0.19565217391304349</v>
      </c>
      <c r="I163" s="124"/>
      <c r="J163" s="124"/>
      <c r="K163" s="124"/>
      <c r="L163" s="124"/>
      <c r="M163" s="124"/>
      <c r="N163" s="124"/>
      <c r="O163" s="124"/>
      <c r="P163" s="124"/>
      <c r="Q163" s="124"/>
      <c r="R163" s="124"/>
      <c r="S163" s="124"/>
      <c r="T163" s="124"/>
      <c r="U163" s="124"/>
      <c r="V163" s="124"/>
      <c r="W163" s="124"/>
      <c r="X163" s="124"/>
      <c r="Y163" s="252"/>
      <c r="Z163" s="252"/>
      <c r="AA163" s="253"/>
      <c r="AB163" s="253"/>
      <c r="AC163" s="249"/>
      <c r="AD163" s="351"/>
      <c r="AE163" s="65"/>
    </row>
    <row r="164" spans="1:31" ht="15" customHeight="1" x14ac:dyDescent="0.25">
      <c r="A164" s="171" t="s">
        <v>14294</v>
      </c>
      <c r="B164" s="362">
        <f>IFERROR(VLOOKUP("Grand Total",'Gender marker'!$A$5:$J$120,5,FALSE)/VLOOKUP("Grand Total",'Gender marker'!$A$5:$J$120,9,FALSE),"")</f>
        <v>0.12</v>
      </c>
      <c r="C164" s="362">
        <f>IFERROR(VLOOKUP(C$162&amp;" Total",'Gender marker'!$A$5:$J$120,5,FALSE)/VLOOKUP(C$162&amp;" Total",'Gender marker'!$A$5:$J$120,9,FALSE),"")</f>
        <v>8.4745762711864403E-2</v>
      </c>
      <c r="D164" s="362">
        <f>IFERROR(VLOOKUP(D$162&amp;" Total",'Gender marker'!$A$5:$J$120,5,FALSE)/VLOOKUP(D$162&amp;" Total",'Gender marker'!$A$5:$J$120,9,FALSE),"")</f>
        <v>0.11904761904761904</v>
      </c>
      <c r="E164" s="362">
        <f>IFERROR(VLOOKUP(E$162&amp;" Total",'Gender marker'!$A$5:$J$120,5,FALSE)/VLOOKUP(E$162&amp;" Total",'Gender marker'!$A$5:$J$120,9,FALSE),"")</f>
        <v>0.10679611650485436</v>
      </c>
      <c r="F164" s="362">
        <f>IFERROR(VLOOKUP(F$162&amp;" Total",'Gender marker'!$A$5:$J$120,5,FALSE)/VLOOKUP(F$162&amp;" Total",'Gender marker'!$A$5:$J$120,9,FALSE),"")</f>
        <v>0.16605166051660517</v>
      </c>
      <c r="G164" s="362">
        <f>IFERROR(VLOOKUP(G$162&amp;" Total",'Gender marker'!$A$5:$J$120,5,FALSE)/VLOOKUP(G$162&amp;" Total",'Gender marker'!$A$5:$J$120,9,FALSE),"")</f>
        <v>0.13402061855670103</v>
      </c>
      <c r="H164" s="362">
        <f>IFERROR(VLOOKUP(H$162&amp;" Total",'Gender marker'!$A$5:$J$120,5,FALSE)/VLOOKUP(H$162&amp;" Total",'Gender marker'!$A$5:$J$120,9,FALSE),"")</f>
        <v>0.10869565217391304</v>
      </c>
      <c r="I164" s="124"/>
      <c r="J164" s="124"/>
      <c r="K164" s="124"/>
      <c r="L164" s="124"/>
      <c r="M164" s="124"/>
      <c r="N164" s="124"/>
      <c r="O164" s="124"/>
      <c r="P164" s="124"/>
      <c r="Q164" s="124"/>
      <c r="R164" s="124"/>
      <c r="S164" s="124"/>
      <c r="T164" s="124"/>
      <c r="U164" s="124"/>
      <c r="V164" s="124"/>
      <c r="W164" s="124"/>
      <c r="X164" s="124"/>
      <c r="Y164" s="252"/>
      <c r="Z164" s="252"/>
      <c r="AA164" s="253"/>
      <c r="AB164" s="253"/>
      <c r="AC164" s="249"/>
      <c r="AD164" s="351"/>
      <c r="AE164" s="65"/>
    </row>
    <row r="165" spans="1:31" ht="15" customHeight="1" x14ac:dyDescent="0.25">
      <c r="A165" s="171" t="s">
        <v>14293</v>
      </c>
      <c r="B165" s="362">
        <f>IFERROR(VLOOKUP("Grand Total",'Gender marker'!$A$5:$J$120,4,FALSE)/VLOOKUP("Grand Total",'Gender marker'!$A$5:$J$120,9,FALSE),"")</f>
        <v>0.44631578947368422</v>
      </c>
      <c r="C165" s="362">
        <f>IFERROR(VLOOKUP(C$162&amp;" Total",'Gender marker'!$A$5:$J$120,4,FALSE)/VLOOKUP(C$162&amp;" Total",'Gender marker'!$A$5:$J$120,9,FALSE),"")</f>
        <v>0.59887005649717517</v>
      </c>
      <c r="D165" s="362">
        <f>IFERROR(VLOOKUP(D$162&amp;" Total",'Gender marker'!$A$5:$J$120,4,FALSE)/VLOOKUP(D$162&amp;" Total",'Gender marker'!$A$5:$J$120,9,FALSE),"")</f>
        <v>0.39285714285714285</v>
      </c>
      <c r="E165" s="362">
        <f>IFERROR(VLOOKUP(E$162&amp;" Total",'Gender marker'!$A$5:$J$120,4,FALSE)/VLOOKUP(E$162&amp;" Total",'Gender marker'!$A$5:$J$120,9,FALSE),"")</f>
        <v>0.59223300970873782</v>
      </c>
      <c r="F165" s="362">
        <f>IFERROR(VLOOKUP(F$162&amp;" Total",'Gender marker'!$A$5:$J$120,4,FALSE)/VLOOKUP(F$162&amp;" Total",'Gender marker'!$A$5:$J$120,9,FALSE),"")</f>
        <v>0.42435424354243545</v>
      </c>
      <c r="G165" s="362">
        <f>IFERROR(VLOOKUP(G$162&amp;" Total",'Gender marker'!$A$5:$J$120,4,FALSE)/VLOOKUP(G$162&amp;" Total",'Gender marker'!$A$5:$J$120,9,FALSE),"")</f>
        <v>0.4329896907216495</v>
      </c>
      <c r="H165" s="362">
        <f>IFERROR(VLOOKUP(H$162&amp;" Total",'Gender marker'!$A$5:$J$120,4,FALSE)/VLOOKUP(H$162&amp;" Total",'Gender marker'!$A$5:$J$120,9,FALSE),"")</f>
        <v>0.3641304347826087</v>
      </c>
      <c r="I165" s="124"/>
      <c r="J165" s="124"/>
      <c r="K165" s="124"/>
      <c r="L165" s="124"/>
      <c r="M165" s="124"/>
      <c r="N165" s="124"/>
      <c r="O165" s="124"/>
      <c r="P165" s="124"/>
      <c r="Q165" s="124"/>
      <c r="R165" s="124"/>
      <c r="S165" s="124"/>
      <c r="T165" s="124"/>
      <c r="U165" s="124"/>
      <c r="V165" s="124"/>
      <c r="W165" s="124"/>
      <c r="X165" s="124"/>
      <c r="Y165" s="252"/>
      <c r="Z165" s="252"/>
      <c r="AA165" s="253"/>
      <c r="AB165" s="253"/>
      <c r="AC165" s="249"/>
      <c r="AD165" s="351"/>
      <c r="AE165" s="65"/>
    </row>
    <row r="166" spans="1:31" ht="15" customHeight="1" x14ac:dyDescent="0.25">
      <c r="A166" s="171" t="s">
        <v>14292</v>
      </c>
      <c r="B166" s="362">
        <f>IFERROR(VLOOKUP("Grand Total",'Gender marker'!$A$5:$J$120,3,FALSE)/VLOOKUP("Grand Total",'Gender marker'!$A$5:$J$120,9,FALSE),"")</f>
        <v>0.14210526315789473</v>
      </c>
      <c r="C166" s="362">
        <f>IFERROR(VLOOKUP(C$162&amp;" Total",'Gender marker'!$A$5:$J$120,3,FALSE)/VLOOKUP(C$162&amp;" Total",'Gender marker'!$A$5:$J$120,9,FALSE),"")</f>
        <v>9.03954802259887E-2</v>
      </c>
      <c r="D166" s="362">
        <f>IFERROR(VLOOKUP(D$162&amp;" Total",'Gender marker'!$A$5:$J$120,3,FALSE)/VLOOKUP(D$162&amp;" Total",'Gender marker'!$A$5:$J$120,9,FALSE),"")</f>
        <v>0.20238095238095238</v>
      </c>
      <c r="E166" s="362">
        <f>IFERROR(VLOOKUP(E$162&amp;" Total",'Gender marker'!$A$5:$J$120,3,FALSE)/VLOOKUP(E$162&amp;" Total",'Gender marker'!$A$5:$J$120,9,FALSE),"")</f>
        <v>0.11650485436893204</v>
      </c>
      <c r="F166" s="362">
        <f>IFERROR(VLOOKUP(F$162&amp;" Total",'Gender marker'!$A$5:$J$120,3,FALSE)/VLOOKUP(F$162&amp;" Total",'Gender marker'!$A$5:$J$120,9,FALSE),"")</f>
        <v>0.12546125461254612</v>
      </c>
      <c r="G166" s="362">
        <f>IFERROR(VLOOKUP(G$162&amp;" Total",'Gender marker'!$A$5:$J$120,3,FALSE)/VLOOKUP(G$162&amp;" Total",'Gender marker'!$A$5:$J$120,9,FALSE),"")</f>
        <v>0.27835051546391754</v>
      </c>
      <c r="H166" s="362">
        <f>IFERROR(VLOOKUP(H$162&amp;" Total",'Gender marker'!$A$5:$J$120,3,FALSE)/VLOOKUP(H$162&amp;" Total",'Gender marker'!$A$5:$J$120,9,FALSE),"")</f>
        <v>0.15760869565217392</v>
      </c>
      <c r="I166" s="124"/>
      <c r="J166" s="124"/>
      <c r="K166" s="124"/>
      <c r="L166" s="124"/>
      <c r="M166" s="124"/>
      <c r="N166" s="124"/>
      <c r="O166" s="124"/>
      <c r="P166" s="124"/>
      <c r="Q166" s="124"/>
      <c r="R166" s="124"/>
      <c r="S166" s="124"/>
      <c r="T166" s="124"/>
      <c r="U166" s="124"/>
      <c r="V166" s="124"/>
      <c r="W166" s="124"/>
      <c r="X166" s="124"/>
      <c r="Y166" s="252"/>
      <c r="Z166" s="252"/>
      <c r="AA166" s="253"/>
      <c r="AB166" s="253"/>
      <c r="AC166" s="249"/>
      <c r="AD166" s="351"/>
      <c r="AE166" s="65"/>
    </row>
    <row r="167" spans="1:31" ht="15" customHeight="1" x14ac:dyDescent="0.25">
      <c r="A167" s="171" t="s">
        <v>14393</v>
      </c>
      <c r="B167" s="362">
        <f>IFERROR(VLOOKUP("Grand Total",'Gender marker'!$A$5:$J$120,2,FALSE)/VLOOKUP("Grand Total",'Gender marker'!$A$5:$J$120,9,FALSE),"")</f>
        <v>2.736842105263158E-2</v>
      </c>
      <c r="C167" s="362">
        <f>IFERROR(VLOOKUP(C$162&amp;" Total",'Gender marker'!$A$5:$J$120,2,FALSE)/VLOOKUP(C$162&amp;" Total",'Gender marker'!$A$5:$J$120,9,FALSE),"")</f>
        <v>2.2598870056497175E-2</v>
      </c>
      <c r="D167" s="362">
        <f>IFERROR(VLOOKUP(D$162&amp;" Total",'Gender marker'!$A$5:$J$120,2,FALSE)/VLOOKUP(D$162&amp;" Total",'Gender marker'!$A$5:$J$120,9,FALSE),"")</f>
        <v>4.7619047619047616E-2</v>
      </c>
      <c r="E167" s="362">
        <f>IFERROR(VLOOKUP(E$162&amp;" Total",'Gender marker'!$A$5:$J$120,2,FALSE)/VLOOKUP(E$162&amp;" Total",'Gender marker'!$A$5:$J$120,9,FALSE),"")</f>
        <v>9.7087378640776691E-3</v>
      </c>
      <c r="F167" s="362">
        <f>IFERROR(VLOOKUP(F$162&amp;" Total",'Gender marker'!$A$5:$J$120,2,FALSE)/VLOOKUP(F$162&amp;" Total",'Gender marker'!$A$5:$J$120,9,FALSE),"")</f>
        <v>2.2140221402214021E-2</v>
      </c>
      <c r="G167" s="362">
        <f>IFERROR(VLOOKUP(G$162&amp;" Total",'Gender marker'!$A$5:$J$120,2,FALSE)/VLOOKUP(G$162&amp;" Total",'Gender marker'!$A$5:$J$120,9,FALSE),"")</f>
        <v>2.0618556701030927E-2</v>
      </c>
      <c r="H167" s="362">
        <f>IFERROR(VLOOKUP(H$162&amp;" Total",'Gender marker'!$A$5:$J$120,2,FALSE)/VLOOKUP(H$162&amp;" Total",'Gender marker'!$A$5:$J$120,9,FALSE),"")</f>
        <v>4.8913043478260872E-2</v>
      </c>
      <c r="I167" s="124"/>
      <c r="J167" s="124"/>
      <c r="K167" s="124"/>
      <c r="L167" s="124"/>
      <c r="M167" s="124"/>
      <c r="N167" s="124"/>
      <c r="O167" s="124"/>
      <c r="P167" s="124"/>
      <c r="Q167" s="124"/>
      <c r="R167" s="124"/>
      <c r="S167" s="124"/>
      <c r="T167" s="124"/>
      <c r="U167" s="124"/>
      <c r="V167" s="124"/>
      <c r="W167" s="124"/>
      <c r="X167" s="124"/>
      <c r="Y167" s="252"/>
      <c r="Z167" s="252"/>
      <c r="AA167" s="253"/>
      <c r="AB167" s="253"/>
      <c r="AC167" s="249"/>
      <c r="AD167" s="351"/>
      <c r="AE167" s="65"/>
    </row>
    <row r="168" spans="1:31" ht="15" customHeight="1" x14ac:dyDescent="0.25">
      <c r="A168" s="171" t="s">
        <v>14394</v>
      </c>
      <c r="B168" s="362">
        <f>IFERROR(VLOOKUP("Grand Total",'Gender marker'!$A$5:$J$120,7,FALSE)/VLOOKUP("Grand Total",'Gender marker'!$A$5:$J$120,9,FALSE),"")</f>
        <v>9.5789473684210522E-2</v>
      </c>
      <c r="C168" s="362">
        <f>IFERROR(VLOOKUP(C$162&amp;" Total",'Gender marker'!$A$5:$J$120,7,FALSE)/VLOOKUP(C$162&amp;" Total",'Gender marker'!$A$5:$J$120,9,FALSE),"")</f>
        <v>3.954802259887006E-2</v>
      </c>
      <c r="D168" s="362">
        <f>IFERROR(VLOOKUP(D$162&amp;" Total",'Gender marker'!$A$5:$J$120,7,FALSE)/VLOOKUP(D$162&amp;" Total",'Gender marker'!$A$5:$J$120,9,FALSE),"")</f>
        <v>7.1428571428571425E-2</v>
      </c>
      <c r="E168" s="362">
        <f>IFERROR(VLOOKUP(E$162&amp;" Total",'Gender marker'!$A$5:$J$120,7,FALSE)/VLOOKUP(E$162&amp;" Total",'Gender marker'!$A$5:$J$120,9,FALSE),"")</f>
        <v>3.8834951456310676E-2</v>
      </c>
      <c r="F168" s="362">
        <f>IFERROR(VLOOKUP(F$162&amp;" Total",'Gender marker'!$A$5:$J$120,7,FALSE)/VLOOKUP(F$162&amp;" Total",'Gender marker'!$A$5:$J$120,9,FALSE),"")</f>
        <v>4.797047970479705E-2</v>
      </c>
      <c r="G168" s="362">
        <f>IFERROR(VLOOKUP(G$162&amp;" Total",'Gender marker'!$A$5:$J$120,7,FALSE)/VLOOKUP(G$162&amp;" Total",'Gender marker'!$A$5:$J$120,9,FALSE),"")</f>
        <v>4.1237113402061855E-2</v>
      </c>
      <c r="H168" s="362">
        <f>IFERROR(VLOOKUP(H$162&amp;" Total",'Gender marker'!$A$5:$J$120,7,FALSE)/VLOOKUP(H$162&amp;" Total",'Gender marker'!$A$5:$J$120,9,FALSE),"")</f>
        <v>0.125</v>
      </c>
      <c r="I168" s="124"/>
      <c r="J168" s="124"/>
      <c r="K168" s="124"/>
      <c r="L168" s="124"/>
      <c r="M168" s="124"/>
      <c r="N168" s="124"/>
      <c r="O168" s="124"/>
      <c r="P168" s="124"/>
      <c r="Q168" s="124"/>
      <c r="R168" s="124"/>
      <c r="S168" s="124"/>
      <c r="T168" s="124"/>
      <c r="U168" s="124"/>
      <c r="V168" s="124"/>
      <c r="W168" s="124"/>
      <c r="X168" s="124"/>
      <c r="Y168" s="252"/>
      <c r="Z168" s="252"/>
      <c r="AA168" s="253"/>
      <c r="AB168" s="253"/>
      <c r="AC168" s="249"/>
      <c r="AD168" s="351"/>
      <c r="AE168" s="65"/>
    </row>
    <row r="169" spans="1:31" ht="15" customHeight="1" x14ac:dyDescent="0.25">
      <c r="A169" s="171" t="s">
        <v>14801</v>
      </c>
      <c r="B169" s="67" t="s">
        <v>14800</v>
      </c>
      <c r="C169" t="s">
        <v>1874</v>
      </c>
      <c r="D169" t="s">
        <v>7217</v>
      </c>
      <c r="E169" t="s">
        <v>1596</v>
      </c>
      <c r="F169" t="s">
        <v>306</v>
      </c>
      <c r="G169" t="s">
        <v>2807</v>
      </c>
      <c r="H169" t="s">
        <v>602</v>
      </c>
      <c r="I169" s="124"/>
      <c r="J169" s="124"/>
      <c r="K169" s="124"/>
      <c r="L169" s="124"/>
      <c r="M169" s="124"/>
      <c r="N169" s="124"/>
      <c r="O169" s="124"/>
      <c r="P169" s="124"/>
      <c r="Q169" s="124"/>
      <c r="R169" s="124"/>
      <c r="S169" s="124"/>
      <c r="T169" s="124"/>
      <c r="U169" s="124"/>
      <c r="V169" s="124"/>
      <c r="W169" s="124"/>
      <c r="X169" s="124"/>
      <c r="Y169" s="252"/>
      <c r="Z169" s="252"/>
      <c r="AA169" s="253"/>
      <c r="AB169" s="253"/>
      <c r="AC169" s="249"/>
      <c r="AD169" s="351"/>
      <c r="AE169" s="65"/>
    </row>
    <row r="170" spans="1:31" ht="15" customHeight="1" x14ac:dyDescent="0.25">
      <c r="A170" s="171" t="s">
        <v>14300</v>
      </c>
      <c r="B170" s="362">
        <f>IFERROR(VLOOKUP("Grand Total",'Governance marker'!$A$5:$J$119,6,FALSE)/VLOOKUP("Grand Total",'Governance marker'!$A$5:$J$119,9,FALSE),"")</f>
        <v>9.3684210526315786E-2</v>
      </c>
      <c r="C170" s="362">
        <f>IFERROR(VLOOKUP(C$169&amp;" Total",'Governance marker'!$A$5:$J$119,6,FALSE)/VLOOKUP(C$169&amp;" Total",'Governance marker'!$A$5:$J$119,9,FALSE),"")</f>
        <v>6.7796610169491525E-2</v>
      </c>
      <c r="D170" s="362">
        <f>IFERROR(VLOOKUP(D$169&amp;" Total",'Governance marker'!$A$5:$J$119,6,FALSE)/VLOOKUP(D$169&amp;" Total",'Governance marker'!$A$5:$J$119,9,FALSE),"")</f>
        <v>7.1428571428571425E-2</v>
      </c>
      <c r="E170" s="362">
        <f>IFERROR(VLOOKUP(E$169&amp;" Total",'Governance marker'!$A$5:$J$119,6,FALSE)/VLOOKUP(E$169&amp;" Total",'Governance marker'!$A$5:$J$119,9,FALSE),"")</f>
        <v>0.10679611650485436</v>
      </c>
      <c r="F170" s="362">
        <f>IFERROR(VLOOKUP(F$169&amp;" Total",'Governance marker'!$A$5:$J$119,6,FALSE)/VLOOKUP(F$169&amp;" Total",'Governance marker'!$A$5:$J$119,9,FALSE),"")</f>
        <v>0.11808118081180811</v>
      </c>
      <c r="G170" s="362">
        <f>IFERROR(VLOOKUP(G$169&amp;" Total",'Governance marker'!$A$5:$J$119,6,FALSE)/VLOOKUP(G$169&amp;" Total",'Governance marker'!$A$5:$J$119,9,FALSE),"")</f>
        <v>0.1134020618556701</v>
      </c>
      <c r="H170" s="362">
        <f>IFERROR(VLOOKUP(H$169&amp;" Total",'Governance marker'!$A$5:$J$119,6,FALSE)/VLOOKUP(H$169&amp;" Total",'Governance marker'!$A$5:$J$119,9,FALSE),"")</f>
        <v>9.2391304347826081E-2</v>
      </c>
      <c r="I170" s="124"/>
      <c r="J170" s="124"/>
      <c r="K170" s="124"/>
      <c r="L170" s="124"/>
      <c r="M170" s="124"/>
      <c r="N170" s="124"/>
      <c r="O170" s="124"/>
      <c r="P170" s="124"/>
      <c r="Q170" s="124"/>
      <c r="R170" s="124"/>
      <c r="S170" s="124"/>
      <c r="T170" s="124"/>
      <c r="U170" s="124"/>
      <c r="V170" s="124"/>
      <c r="W170" s="124"/>
      <c r="X170" s="124"/>
      <c r="Y170" s="252"/>
      <c r="Z170" s="252"/>
      <c r="AA170" s="253"/>
      <c r="AB170" s="253"/>
      <c r="AC170" s="249"/>
      <c r="AD170" s="351"/>
      <c r="AE170" s="65"/>
    </row>
    <row r="171" spans="1:31" ht="15" customHeight="1" x14ac:dyDescent="0.25">
      <c r="A171" s="171" t="s">
        <v>14294</v>
      </c>
      <c r="B171" s="362">
        <f>IFERROR(VLOOKUP("Grand Total",'Governance marker'!$A$5:$J$119,5,FALSE)/VLOOKUP("Grand Total",'Governance marker'!$A$5:$J$119,9,FALSE),"")</f>
        <v>6.3157894736842107E-2</v>
      </c>
      <c r="C171" s="362">
        <f>IFERROR(VLOOKUP(C$169&amp;" Total",'Governance marker'!$A$5:$J$119,5,FALSE)/VLOOKUP(C$169&amp;" Total",'Governance marker'!$A$5:$J$119,9,FALSE),"")</f>
        <v>4.519774011299435E-2</v>
      </c>
      <c r="D171" s="362">
        <f>IFERROR(VLOOKUP(D$169&amp;" Total",'Governance marker'!$A$5:$J$119,5,FALSE)/VLOOKUP(D$169&amp;" Total",'Governance marker'!$A$5:$J$119,9,FALSE),"")</f>
        <v>4.7619047619047616E-2</v>
      </c>
      <c r="E171" s="362">
        <f>IFERROR(VLOOKUP(E$169&amp;" Total",'Governance marker'!$A$5:$J$119,5,FALSE)/VLOOKUP(E$169&amp;" Total",'Governance marker'!$A$5:$J$119,9,FALSE),"")</f>
        <v>1.9417475728155338E-2</v>
      </c>
      <c r="F171" s="362">
        <f>IFERROR(VLOOKUP(F$169&amp;" Total",'Governance marker'!$A$5:$J$119,5,FALSE)/VLOOKUP(F$169&amp;" Total",'Governance marker'!$A$5:$J$119,9,FALSE),"")</f>
        <v>8.8560885608856083E-2</v>
      </c>
      <c r="G171" s="362">
        <f>IFERROR(VLOOKUP(G$169&amp;" Total",'Governance marker'!$A$5:$J$119,5,FALSE)/VLOOKUP(G$169&amp;" Total",'Governance marker'!$A$5:$J$119,9,FALSE),"")</f>
        <v>9.2783505154639179E-2</v>
      </c>
      <c r="H171" s="362">
        <f>IFERROR(VLOOKUP(H$169&amp;" Total",'Governance marker'!$A$5:$J$119,5,FALSE)/VLOOKUP(H$169&amp;" Total",'Governance marker'!$A$5:$J$119,9,FALSE),"")</f>
        <v>7.0652173913043473E-2</v>
      </c>
      <c r="I171" s="124"/>
      <c r="J171" s="124"/>
      <c r="K171" s="124"/>
      <c r="L171" s="124"/>
      <c r="M171" s="124"/>
      <c r="N171" s="124"/>
      <c r="O171" s="124"/>
      <c r="P171" s="124"/>
      <c r="Q171" s="124"/>
      <c r="R171" s="124"/>
      <c r="S171" s="124"/>
      <c r="T171" s="124"/>
      <c r="U171" s="124"/>
      <c r="V171" s="124"/>
      <c r="W171" s="124"/>
      <c r="X171" s="124"/>
      <c r="Y171" s="252"/>
      <c r="Z171" s="252"/>
      <c r="AA171" s="253"/>
      <c r="AB171" s="253"/>
      <c r="AC171" s="249"/>
      <c r="AD171" s="351"/>
      <c r="AE171" s="65"/>
    </row>
    <row r="172" spans="1:31" ht="15" customHeight="1" x14ac:dyDescent="0.25">
      <c r="A172" s="171" t="s">
        <v>14299</v>
      </c>
      <c r="B172" s="362">
        <f>IFERROR(VLOOKUP("Grand Total",'Governance marker'!$A$5:$J$119,4,FALSE)/VLOOKUP("Grand Total",'Governance marker'!$A$5:$J$119,9,FALSE),"")</f>
        <v>0.58105263157894738</v>
      </c>
      <c r="C172" s="362">
        <f>IFERROR(VLOOKUP(C$169&amp;" Total",'Governance marker'!$A$5:$J$119,4,FALSE)/VLOOKUP(C$169&amp;" Total",'Governance marker'!$A$5:$J$119,9,FALSE),"")</f>
        <v>0.7344632768361582</v>
      </c>
      <c r="D172" s="362">
        <f>IFERROR(VLOOKUP(D$169&amp;" Total",'Governance marker'!$A$5:$J$119,4,FALSE)/VLOOKUP(D$169&amp;" Total",'Governance marker'!$A$5:$J$119,9,FALSE),"")</f>
        <v>0.63095238095238093</v>
      </c>
      <c r="E172" s="362">
        <f>IFERROR(VLOOKUP(E$169&amp;" Total",'Governance marker'!$A$5:$J$119,4,FALSE)/VLOOKUP(E$169&amp;" Total",'Governance marker'!$A$5:$J$119,9,FALSE),"")</f>
        <v>0.59223300970873782</v>
      </c>
      <c r="F172" s="362">
        <f>IFERROR(VLOOKUP(F$169&amp;" Total",'Governance marker'!$A$5:$J$119,4,FALSE)/VLOOKUP(F$169&amp;" Total",'Governance marker'!$A$5:$J$119,9,FALSE),"")</f>
        <v>0.63468634686346859</v>
      </c>
      <c r="G172" s="362">
        <f>IFERROR(VLOOKUP(G$169&amp;" Total",'Governance marker'!$A$5:$J$119,4,FALSE)/VLOOKUP(G$169&amp;" Total",'Governance marker'!$A$5:$J$119,9,FALSE),"")</f>
        <v>0.68041237113402064</v>
      </c>
      <c r="H172" s="362">
        <f>IFERROR(VLOOKUP(H$169&amp;" Total",'Governance marker'!$A$5:$J$119,4,FALSE)/VLOOKUP(H$169&amp;" Total",'Governance marker'!$A$5:$J$119,9,FALSE),"")</f>
        <v>0.38043478260869568</v>
      </c>
      <c r="I172" s="124"/>
      <c r="J172" s="124"/>
      <c r="K172" s="124"/>
      <c r="L172" s="124"/>
      <c r="M172" s="124"/>
      <c r="N172" s="124"/>
      <c r="O172" s="124"/>
      <c r="P172" s="124"/>
      <c r="Q172" s="124"/>
      <c r="R172" s="124"/>
      <c r="S172" s="124"/>
      <c r="T172" s="124"/>
      <c r="U172" s="124"/>
      <c r="V172" s="124"/>
      <c r="W172" s="124"/>
      <c r="X172" s="124"/>
      <c r="Y172" s="252"/>
      <c r="Z172" s="252"/>
      <c r="AA172" s="253"/>
      <c r="AB172" s="253"/>
      <c r="AC172" s="249"/>
      <c r="AD172" s="351"/>
      <c r="AE172" s="65"/>
    </row>
    <row r="173" spans="1:31" ht="15" customHeight="1" x14ac:dyDescent="0.25">
      <c r="A173" s="171" t="s">
        <v>14298</v>
      </c>
      <c r="B173" s="362">
        <f>IFERROR(VLOOKUP("Grand Total",'Governance marker'!$A$5:$J$119,3,FALSE)/VLOOKUP("Grand Total",'Governance marker'!$A$5:$J$119,9,FALSE),"")</f>
        <v>5.7894736842105263E-2</v>
      </c>
      <c r="C173" s="362">
        <f>IFERROR(VLOOKUP(C$169&amp;" Total",'Governance marker'!$A$5:$J$119,3,FALSE)/VLOOKUP(C$169&amp;" Total",'Governance marker'!$A$5:$J$119,9,FALSE),"")</f>
        <v>5.6497175141242938E-2</v>
      </c>
      <c r="D173" s="362">
        <f>IFERROR(VLOOKUP(D$169&amp;" Total",'Governance marker'!$A$5:$J$119,3,FALSE)/VLOOKUP(D$169&amp;" Total",'Governance marker'!$A$5:$J$119,9,FALSE),"")</f>
        <v>0.13095238095238096</v>
      </c>
      <c r="E173" s="362">
        <f>IFERROR(VLOOKUP(E$169&amp;" Total",'Governance marker'!$A$5:$J$119,3,FALSE)/VLOOKUP(E$169&amp;" Total",'Governance marker'!$A$5:$J$119,9,FALSE),"")</f>
        <v>4.8543689320388349E-2</v>
      </c>
      <c r="F173" s="362">
        <f>IFERROR(VLOOKUP(F$169&amp;" Total",'Governance marker'!$A$5:$J$119,3,FALSE)/VLOOKUP(F$169&amp;" Total",'Governance marker'!$A$5:$J$119,9,FALSE),"")</f>
        <v>6.6420664206642069E-2</v>
      </c>
      <c r="G173" s="362">
        <f>IFERROR(VLOOKUP(G$169&amp;" Total",'Governance marker'!$A$5:$J$119,3,FALSE)/VLOOKUP(G$169&amp;" Total",'Governance marker'!$A$5:$J$119,9,FALSE),"")</f>
        <v>3.0927835051546393E-2</v>
      </c>
      <c r="H173" s="362">
        <f>IFERROR(VLOOKUP(H$169&amp;" Total",'Governance marker'!$A$5:$J$119,3,FALSE)/VLOOKUP(H$169&amp;" Total",'Governance marker'!$A$5:$J$119,9,FALSE),"")</f>
        <v>4.3478260869565216E-2</v>
      </c>
      <c r="I173" s="124"/>
      <c r="J173" s="124"/>
      <c r="K173" s="124"/>
      <c r="L173" s="124"/>
      <c r="M173" s="124"/>
      <c r="N173" s="124"/>
      <c r="O173" s="124"/>
      <c r="P173" s="124"/>
      <c r="Q173" s="124"/>
      <c r="R173" s="124"/>
      <c r="S173" s="124"/>
      <c r="T173" s="124"/>
      <c r="U173" s="124"/>
      <c r="V173" s="124"/>
      <c r="W173" s="124"/>
      <c r="X173" s="124"/>
      <c r="Y173" s="252"/>
      <c r="Z173" s="252"/>
      <c r="AA173" s="253"/>
      <c r="AB173" s="253"/>
      <c r="AC173" s="249"/>
      <c r="AD173" s="351"/>
      <c r="AE173" s="65"/>
    </row>
    <row r="174" spans="1:31" ht="15" customHeight="1" x14ac:dyDescent="0.25">
      <c r="A174" s="171" t="s">
        <v>14400</v>
      </c>
      <c r="B174" s="362">
        <f>IFERROR(VLOOKUP("Grand Total",'Governance marker'!$A$5:$J$119,2,FALSE)/VLOOKUP("Grand Total",'Governance marker'!$A$5:$J$119,9,FALSE),"")</f>
        <v>7.2631578947368422E-2</v>
      </c>
      <c r="C174" s="362">
        <f>IFERROR(VLOOKUP(C$169&amp;" Total",'Governance marker'!$A$5:$J$119,2,FALSE)/VLOOKUP(C$169&amp;" Total",'Governance marker'!$A$5:$J$119,9,FALSE),"")</f>
        <v>3.954802259887006E-2</v>
      </c>
      <c r="D174" s="362">
        <f>IFERROR(VLOOKUP(D$169&amp;" Total",'Governance marker'!$A$5:$J$119,2,FALSE)/VLOOKUP(D$169&amp;" Total",'Governance marker'!$A$5:$J$119,9,FALSE),"")</f>
        <v>3.5714285714285712E-2</v>
      </c>
      <c r="E174" s="362">
        <f>IFERROR(VLOOKUP(E$169&amp;" Total",'Governance marker'!$A$5:$J$119,2,FALSE)/VLOOKUP(E$169&amp;" Total",'Governance marker'!$A$5:$J$119,9,FALSE),"")</f>
        <v>0.18446601941747573</v>
      </c>
      <c r="F174" s="362">
        <f>IFERROR(VLOOKUP(F$169&amp;" Total",'Governance marker'!$A$5:$J$119,2,FALSE)/VLOOKUP(F$169&amp;" Total",'Governance marker'!$A$5:$J$119,9,FALSE),"")</f>
        <v>4.4280442804428041E-2</v>
      </c>
      <c r="G174" s="362">
        <f>IFERROR(VLOOKUP(G$169&amp;" Total",'Governance marker'!$A$5:$J$119,2,FALSE)/VLOOKUP(G$169&amp;" Total",'Governance marker'!$A$5:$J$119,9,FALSE),"")</f>
        <v>4.1237113402061855E-2</v>
      </c>
      <c r="H174" s="362">
        <f>IFERROR(VLOOKUP(H$169&amp;" Total",'Governance marker'!$A$5:$J$119,2,FALSE)/VLOOKUP(H$169&amp;" Total",'Governance marker'!$A$5:$J$119,9,FALSE),"")</f>
        <v>0.13043478260869565</v>
      </c>
      <c r="I174" s="124"/>
      <c r="J174" s="124"/>
      <c r="K174" s="124"/>
      <c r="L174" s="124"/>
      <c r="M174" s="124"/>
      <c r="N174" s="124"/>
      <c r="O174" s="124"/>
      <c r="P174" s="124"/>
      <c r="Q174" s="124"/>
      <c r="R174" s="124"/>
      <c r="S174" s="124"/>
      <c r="T174" s="124"/>
      <c r="U174" s="124"/>
      <c r="V174" s="124"/>
      <c r="W174" s="124"/>
      <c r="X174" s="124"/>
      <c r="Y174" s="252"/>
      <c r="Z174" s="252"/>
      <c r="AA174" s="253"/>
      <c r="AB174" s="253"/>
      <c r="AC174" s="249"/>
      <c r="AD174" s="351"/>
      <c r="AE174" s="65"/>
    </row>
    <row r="175" spans="1:31" ht="15" customHeight="1" x14ac:dyDescent="0.25">
      <c r="A175" s="171" t="s">
        <v>14394</v>
      </c>
      <c r="B175" s="362">
        <f>IFERROR(VLOOKUP("Grand Total",'Governance marker'!$A$5:$J$119,7,FALSE)/VLOOKUP("Grand Total",'Governance marker'!$A$5:$J$119,9,FALSE),"")</f>
        <v>0.13157894736842105</v>
      </c>
      <c r="C175" s="362">
        <f>IFERROR(VLOOKUP(C$169&amp;" Total",'Governance marker'!$A$5:$J$119,7,FALSE)/VLOOKUP(C$169&amp;" Total",'Governance marker'!$A$5:$J$119,9,FALSE),"")</f>
        <v>5.6497175141242938E-2</v>
      </c>
      <c r="D175" s="362">
        <f>IFERROR(VLOOKUP(D$169&amp;" Total",'Governance marker'!$A$5:$J$119,7,FALSE)/VLOOKUP(D$169&amp;" Total",'Governance marker'!$A$5:$J$119,9,FALSE),"")</f>
        <v>8.3333333333333329E-2</v>
      </c>
      <c r="E175" s="362">
        <f>IFERROR(VLOOKUP(E$169&amp;" Total",'Governance marker'!$A$5:$J$119,7,FALSE)/VLOOKUP(E$169&amp;" Total",'Governance marker'!$A$5:$J$119,9,FALSE),"")</f>
        <v>4.8543689320388349E-2</v>
      </c>
      <c r="F175" s="362">
        <f>IFERROR(VLOOKUP(F$169&amp;" Total",'Governance marker'!$A$5:$J$119,7,FALSE)/VLOOKUP(F$169&amp;" Total",'Governance marker'!$A$5:$J$119,9,FALSE),"")</f>
        <v>4.797047970479705E-2</v>
      </c>
      <c r="G175" s="362">
        <f>IFERROR(VLOOKUP(G$169&amp;" Total",'Governance marker'!$A$5:$J$119,7,FALSE)/VLOOKUP(G$169&amp;" Total",'Governance marker'!$A$5:$J$119,9,FALSE),"")</f>
        <v>4.1237113402061855E-2</v>
      </c>
      <c r="H175" s="362">
        <f>IFERROR(VLOOKUP(H$169&amp;" Total",'Governance marker'!$A$5:$J$119,7,FALSE)/VLOOKUP(H$169&amp;" Total",'Governance marker'!$A$5:$J$119,9,FALSE),"")</f>
        <v>0.28260869565217389</v>
      </c>
      <c r="I175" s="124"/>
      <c r="J175" s="124"/>
      <c r="K175" s="124"/>
      <c r="L175" s="124"/>
      <c r="M175" s="124"/>
      <c r="N175" s="124"/>
      <c r="O175" s="124"/>
      <c r="P175" s="124"/>
      <c r="Q175" s="124"/>
      <c r="R175" s="124"/>
      <c r="S175" s="124"/>
      <c r="T175" s="124"/>
      <c r="U175" s="124"/>
      <c r="V175" s="124"/>
      <c r="W175" s="124"/>
      <c r="X175" s="124"/>
      <c r="Y175" s="252"/>
      <c r="Z175" s="252"/>
      <c r="AA175" s="253"/>
      <c r="AB175" s="253"/>
      <c r="AC175" s="249"/>
      <c r="AD175" s="351"/>
      <c r="AE175" s="65"/>
    </row>
    <row r="176" spans="1:31" ht="15" customHeight="1" x14ac:dyDescent="0.25">
      <c r="A176" s="171" t="s">
        <v>14802</v>
      </c>
      <c r="B176" s="67" t="s">
        <v>14800</v>
      </c>
      <c r="C176" t="s">
        <v>1874</v>
      </c>
      <c r="D176" t="s">
        <v>7217</v>
      </c>
      <c r="E176" t="s">
        <v>1596</v>
      </c>
      <c r="F176" t="s">
        <v>306</v>
      </c>
      <c r="G176" t="s">
        <v>2807</v>
      </c>
      <c r="H176" t="s">
        <v>602</v>
      </c>
      <c r="I176" s="124"/>
      <c r="J176" s="124"/>
      <c r="K176" s="124"/>
      <c r="L176" s="124"/>
      <c r="M176" s="124"/>
      <c r="N176" s="124"/>
      <c r="O176" s="124"/>
      <c r="P176" s="124"/>
      <c r="Q176" s="124"/>
      <c r="R176" s="124"/>
      <c r="S176" s="124"/>
      <c r="T176" s="124"/>
      <c r="U176" s="124"/>
      <c r="V176" s="124"/>
      <c r="W176" s="124"/>
      <c r="X176" s="124"/>
      <c r="Y176" s="252"/>
      <c r="Z176" s="252"/>
      <c r="AA176" s="253"/>
      <c r="AB176" s="253"/>
      <c r="AC176" s="249"/>
      <c r="AD176" s="351"/>
      <c r="AE176" s="65"/>
    </row>
    <row r="177" spans="1:31" ht="15" customHeight="1" x14ac:dyDescent="0.25">
      <c r="A177" s="171" t="s">
        <v>14295</v>
      </c>
      <c r="B177" s="362">
        <f>IFERROR(VLOOKUP("Grand Total",'Resilience marker'!$A$5:$J$120,6,FALSE)/VLOOKUP("Grand Total",'Resilience marker'!$A$5:$J$120,9,FALSE),"")</f>
        <v>0.14736842105263157</v>
      </c>
      <c r="C177" s="362">
        <f>IFERROR(VLOOKUP(C$176&amp;" Total",'Resilience marker'!$A$5:$J$120,6,FALSE)/VLOOKUP(C$176&amp;" Total",'Resilience marker'!$A$5:$J$120,9,FALSE),"")</f>
        <v>0.1751412429378531</v>
      </c>
      <c r="D177" s="362">
        <f>IFERROR(VLOOKUP(D$176&amp;" Total",'Resilience marker'!$A$5:$J$120,6,FALSE)/VLOOKUP(D$176&amp;" Total",'Resilience marker'!$A$5:$J$120,9,FALSE),"")</f>
        <v>0.13095238095238096</v>
      </c>
      <c r="E177" s="362">
        <f>IFERROR(VLOOKUP(E$176&amp;" Total",'Resilience marker'!$A$5:$J$120,6,FALSE)/VLOOKUP(E$176&amp;" Total",'Resilience marker'!$A$5:$J$120,9,FALSE),"")</f>
        <v>0.12621359223300971</v>
      </c>
      <c r="F177" s="362">
        <f>IFERROR(VLOOKUP(F$176&amp;" Total",'Resilience marker'!$A$5:$J$120,6,FALSE)/VLOOKUP(F$176&amp;" Total",'Resilience marker'!$A$5:$J$120,9,FALSE),"")</f>
        <v>0.14022140221402213</v>
      </c>
      <c r="G177" s="362">
        <f>IFERROR(VLOOKUP(G$176&amp;" Total",'Resilience marker'!$A$5:$J$120,6,FALSE)/VLOOKUP(G$176&amp;" Total",'Resilience marker'!$A$5:$J$120,9,FALSE),"")</f>
        <v>0.13402061855670103</v>
      </c>
      <c r="H177" s="362">
        <f>IFERROR(VLOOKUP(H$176&amp;" Total",'Resilience marker'!$A$5:$J$120,6,FALSE)/VLOOKUP(H$176&amp;" Total",'Resilience marker'!$A$5:$J$120,9,FALSE),"")</f>
        <v>0.18478260869565216</v>
      </c>
      <c r="I177" s="124"/>
      <c r="J177" s="124"/>
      <c r="K177" s="124"/>
      <c r="L177" s="124"/>
      <c r="M177" s="124"/>
      <c r="N177" s="124"/>
      <c r="O177" s="124"/>
      <c r="P177" s="124"/>
      <c r="Q177" s="124"/>
      <c r="R177" s="124"/>
      <c r="S177" s="124"/>
      <c r="T177" s="124"/>
      <c r="U177" s="124"/>
      <c r="V177" s="124"/>
      <c r="W177" s="124"/>
      <c r="X177" s="124"/>
      <c r="Y177" s="252"/>
      <c r="Z177" s="252"/>
      <c r="AA177" s="253"/>
      <c r="AB177" s="253"/>
      <c r="AC177" s="249"/>
      <c r="AD177" s="351"/>
      <c r="AE177" s="65"/>
    </row>
    <row r="178" spans="1:31" ht="15" customHeight="1" x14ac:dyDescent="0.25">
      <c r="A178" s="171" t="s">
        <v>14294</v>
      </c>
      <c r="B178" s="362">
        <f>IFERROR(VLOOKUP("Grand Total",'Resilience marker'!$A$5:$J$120,5,FALSE)/VLOOKUP("Grand Total",'Resilience marker'!$A$5:$J$120,9,FALSE),"")</f>
        <v>7.2631578947368422E-2</v>
      </c>
      <c r="C178" s="362">
        <f>IFERROR(VLOOKUP(C$176&amp;" Total",'Resilience marker'!$A$5:$J$120,5,FALSE)/VLOOKUP(C$176&amp;" Total",'Resilience marker'!$A$5:$J$120,9,FALSE),"")</f>
        <v>9.6045197740112997E-2</v>
      </c>
      <c r="D178" s="362">
        <f>IFERROR(VLOOKUP(D$176&amp;" Total",'Resilience marker'!$A$5:$J$120,5,FALSE)/VLOOKUP(D$176&amp;" Total",'Resilience marker'!$A$5:$J$120,9,FALSE),"")</f>
        <v>3.5714285714285712E-2</v>
      </c>
      <c r="E178" s="362">
        <f>IFERROR(VLOOKUP(E$176&amp;" Total",'Resilience marker'!$A$5:$J$120,5,FALSE)/VLOOKUP(E$176&amp;" Total",'Resilience marker'!$A$5:$J$120,9,FALSE),"")</f>
        <v>4.8543689320388349E-2</v>
      </c>
      <c r="F178" s="362">
        <f>IFERROR(VLOOKUP(F$176&amp;" Total",'Resilience marker'!$A$5:$J$120,5,FALSE)/VLOOKUP(F$176&amp;" Total",'Resilience marker'!$A$5:$J$120,9,FALSE),"")</f>
        <v>0.10332103321033211</v>
      </c>
      <c r="G178" s="362">
        <f>IFERROR(VLOOKUP(G$176&amp;" Total",'Resilience marker'!$A$5:$J$120,5,FALSE)/VLOOKUP(G$176&amp;" Total",'Resilience marker'!$A$5:$J$120,9,FALSE),"")</f>
        <v>0.10309278350515463</v>
      </c>
      <c r="H178" s="362">
        <f>IFERROR(VLOOKUP(H$176&amp;" Total",'Resilience marker'!$A$5:$J$120,5,FALSE)/VLOOKUP(H$176&amp;" Total",'Resilience marker'!$A$5:$J$120,9,FALSE),"")</f>
        <v>3.2608695652173912E-2</v>
      </c>
      <c r="I178" s="124"/>
      <c r="J178" s="124"/>
      <c r="K178" s="124"/>
      <c r="L178" s="124"/>
      <c r="M178" s="124"/>
      <c r="N178" s="124"/>
      <c r="O178" s="124"/>
      <c r="P178" s="124"/>
      <c r="Q178" s="124"/>
      <c r="R178" s="124"/>
      <c r="S178" s="124"/>
      <c r="T178" s="124"/>
      <c r="U178" s="124"/>
      <c r="V178" s="124"/>
      <c r="W178" s="124"/>
      <c r="X178" s="124"/>
      <c r="Y178" s="252"/>
      <c r="Z178" s="252"/>
      <c r="AA178" s="253"/>
      <c r="AB178" s="253"/>
      <c r="AC178" s="249"/>
      <c r="AD178" s="351"/>
      <c r="AE178" s="65"/>
    </row>
    <row r="179" spans="1:31" ht="15" customHeight="1" x14ac:dyDescent="0.25">
      <c r="A179" s="171" t="s">
        <v>14293</v>
      </c>
      <c r="B179" s="362">
        <f>IFERROR(VLOOKUP("Grand Total",'Resilience marker'!$A$5:$J$120,4,FALSE)/VLOOKUP("Grand Total",'Resilience marker'!$A$5:$J$120,9,FALSE),"")</f>
        <v>0.26736842105263159</v>
      </c>
      <c r="C179" s="362">
        <f>IFERROR(VLOOKUP(C$176&amp;" Total",'Resilience marker'!$A$5:$J$120,4,FALSE)/VLOOKUP(C$176&amp;" Total",'Resilience marker'!$A$5:$J$120,9,FALSE),"")</f>
        <v>0.30508474576271188</v>
      </c>
      <c r="D179" s="362">
        <f>IFERROR(VLOOKUP(D$176&amp;" Total",'Resilience marker'!$A$5:$J$120,4,FALSE)/VLOOKUP(D$176&amp;" Total",'Resilience marker'!$A$5:$J$120,9,FALSE),"")</f>
        <v>0.2857142857142857</v>
      </c>
      <c r="E179" s="362">
        <f>IFERROR(VLOOKUP(E$176&amp;" Total",'Resilience marker'!$A$5:$J$120,4,FALSE)/VLOOKUP(E$176&amp;" Total",'Resilience marker'!$A$5:$J$120,9,FALSE),"")</f>
        <v>0.47572815533980584</v>
      </c>
      <c r="F179" s="362">
        <f>IFERROR(VLOOKUP(F$176&amp;" Total",'Resilience marker'!$A$5:$J$120,4,FALSE)/VLOOKUP(F$176&amp;" Total",'Resilience marker'!$A$5:$J$120,9,FALSE),"")</f>
        <v>0.25830258302583026</v>
      </c>
      <c r="G179" s="362">
        <f>IFERROR(VLOOKUP(G$176&amp;" Total",'Resilience marker'!$A$5:$J$120,4,FALSE)/VLOOKUP(G$176&amp;" Total",'Resilience marker'!$A$5:$J$120,9,FALSE),"")</f>
        <v>0.41237113402061853</v>
      </c>
      <c r="H179" s="362">
        <f>IFERROR(VLOOKUP(H$176&amp;" Total",'Resilience marker'!$A$5:$J$120,4,FALSE)/VLOOKUP(H$176&amp;" Total",'Resilience marker'!$A$5:$J$120,9,FALSE),"")</f>
        <v>9.2391304347826081E-2</v>
      </c>
      <c r="I179" s="124"/>
      <c r="J179" s="124"/>
      <c r="K179" s="124"/>
      <c r="L179" s="124"/>
      <c r="M179" s="124"/>
      <c r="N179" s="124"/>
      <c r="O179" s="124"/>
      <c r="P179" s="124"/>
      <c r="Q179" s="124"/>
      <c r="R179" s="124"/>
      <c r="S179" s="124"/>
      <c r="T179" s="124"/>
      <c r="U179" s="124"/>
      <c r="V179" s="124"/>
      <c r="W179" s="124"/>
      <c r="X179" s="124"/>
      <c r="Y179" s="252"/>
      <c r="Z179" s="252"/>
      <c r="AA179" s="253"/>
      <c r="AB179" s="253"/>
      <c r="AC179" s="249"/>
      <c r="AD179" s="351"/>
      <c r="AE179" s="65"/>
    </row>
    <row r="180" spans="1:31" ht="15" customHeight="1" x14ac:dyDescent="0.25">
      <c r="A180" s="171" t="s">
        <v>14292</v>
      </c>
      <c r="B180" s="362">
        <f>IFERROR(VLOOKUP("Grand Total",'Resilience marker'!$A$5:$J$120,3,FALSE)/VLOOKUP("Grand Total",'Resilience marker'!$A$5:$J$120,9,FALSE),"")</f>
        <v>0.2336842105263158</v>
      </c>
      <c r="C180" s="362">
        <f>IFERROR(VLOOKUP(C$176&amp;" Total",'Resilience marker'!$A$5:$J$120,3,FALSE)/VLOOKUP(C$176&amp;" Total",'Resilience marker'!$A$5:$J$120,9,FALSE),"")</f>
        <v>0.24293785310734464</v>
      </c>
      <c r="D180" s="362">
        <f>IFERROR(VLOOKUP(D$176&amp;" Total",'Resilience marker'!$A$5:$J$120,3,FALSE)/VLOOKUP(D$176&amp;" Total",'Resilience marker'!$A$5:$J$120,9,FALSE),"")</f>
        <v>0.27380952380952384</v>
      </c>
      <c r="E180" s="362">
        <f>IFERROR(VLOOKUP(E$176&amp;" Total",'Resilience marker'!$A$5:$J$120,3,FALSE)/VLOOKUP(E$176&amp;" Total",'Resilience marker'!$A$5:$J$120,9,FALSE),"")</f>
        <v>0.20388349514563106</v>
      </c>
      <c r="F180" s="362">
        <f>IFERROR(VLOOKUP(F$176&amp;" Total",'Resilience marker'!$A$5:$J$120,3,FALSE)/VLOOKUP(F$176&amp;" Total",'Resilience marker'!$A$5:$J$120,9,FALSE),"")</f>
        <v>0.23247232472324722</v>
      </c>
      <c r="G180" s="362">
        <f>IFERROR(VLOOKUP(G$176&amp;" Total",'Resilience marker'!$A$5:$J$120,3,FALSE)/VLOOKUP(G$176&amp;" Total",'Resilience marker'!$A$5:$J$120,9,FALSE),"")</f>
        <v>0.26804123711340205</v>
      </c>
      <c r="H180" s="362">
        <f>IFERROR(VLOOKUP(H$176&amp;" Total",'Resilience marker'!$A$5:$J$120,3,FALSE)/VLOOKUP(H$176&amp;" Total",'Resilience marker'!$A$5:$J$120,9,FALSE),"")</f>
        <v>0.25</v>
      </c>
      <c r="I180" s="124"/>
      <c r="J180" s="124"/>
      <c r="K180" s="124"/>
      <c r="L180" s="124"/>
      <c r="M180" s="124"/>
      <c r="N180" s="124"/>
      <c r="O180" s="124"/>
      <c r="P180" s="124"/>
      <c r="Q180" s="124"/>
      <c r="R180" s="124"/>
      <c r="S180" s="124"/>
      <c r="T180" s="124"/>
      <c r="U180" s="124"/>
      <c r="V180" s="124"/>
      <c r="W180" s="124"/>
      <c r="X180" s="124"/>
      <c r="Y180" s="252"/>
      <c r="Z180" s="252"/>
      <c r="AA180" s="253"/>
      <c r="AB180" s="253"/>
      <c r="AC180" s="249"/>
      <c r="AD180" s="351"/>
      <c r="AE180" s="65"/>
    </row>
    <row r="181" spans="1:31" ht="15" customHeight="1" x14ac:dyDescent="0.25">
      <c r="A181" s="171" t="s">
        <v>14393</v>
      </c>
      <c r="B181" s="362">
        <f>IFERROR(VLOOKUP("Grand Total",'Resilience marker'!$A$5:$J$120,2,FALSE)/VLOOKUP("Grand Total",'Resilience marker'!$A$5:$J$120,9,FALSE),"")</f>
        <v>0.10105263157894737</v>
      </c>
      <c r="C181" s="362">
        <f>IFERROR(VLOOKUP(C$176&amp;" Total",'Resilience marker'!$A$5:$J$120,2,FALSE)/VLOOKUP(C$176&amp;" Total",'Resilience marker'!$A$5:$J$120,9,FALSE),"")</f>
        <v>7.3446327683615822E-2</v>
      </c>
      <c r="D181" s="362">
        <f>IFERROR(VLOOKUP(D$176&amp;" Total",'Resilience marker'!$A$5:$J$120,2,FALSE)/VLOOKUP(D$176&amp;" Total",'Resilience marker'!$A$5:$J$120,9,FALSE),"")</f>
        <v>0.15476190476190477</v>
      </c>
      <c r="E181" s="362">
        <f>IFERROR(VLOOKUP(E$176&amp;" Total",'Resilience marker'!$A$5:$J$120,2,FALSE)/VLOOKUP(E$176&amp;" Total",'Resilience marker'!$A$5:$J$120,9,FALSE),"")</f>
        <v>6.7961165048543687E-2</v>
      </c>
      <c r="F181" s="362">
        <f>IFERROR(VLOOKUP(F$176&amp;" Total",'Resilience marker'!$A$5:$J$120,2,FALSE)/VLOOKUP(F$176&amp;" Total",'Resilience marker'!$A$5:$J$120,9,FALSE),"")</f>
        <v>0.13284132841328414</v>
      </c>
      <c r="G181" s="362">
        <f>IFERROR(VLOOKUP(G$176&amp;" Total",'Resilience marker'!$A$5:$J$120,2,FALSE)/VLOOKUP(G$176&amp;" Total",'Resilience marker'!$A$5:$J$120,9,FALSE),"")</f>
        <v>4.1237113402061855E-2</v>
      </c>
      <c r="H181" s="362">
        <f>IFERROR(VLOOKUP(H$176&amp;" Total",'Resilience marker'!$A$5:$J$120,2,FALSE)/VLOOKUP(H$176&amp;" Total",'Resilience marker'!$A$5:$J$120,9,FALSE),"")</f>
        <v>0.125</v>
      </c>
      <c r="I181" s="124"/>
      <c r="J181" s="124"/>
      <c r="K181" s="124"/>
      <c r="L181" s="124"/>
      <c r="M181" s="124"/>
      <c r="N181" s="124"/>
      <c r="O181" s="124"/>
      <c r="P181" s="124"/>
      <c r="Q181" s="124"/>
      <c r="R181" s="124"/>
      <c r="S181" s="124"/>
      <c r="T181" s="124"/>
      <c r="U181" s="124"/>
      <c r="V181" s="124"/>
      <c r="W181" s="124"/>
      <c r="X181" s="124"/>
      <c r="Y181" s="252"/>
      <c r="Z181" s="252"/>
      <c r="AA181" s="253"/>
      <c r="AB181" s="253"/>
      <c r="AC181" s="249"/>
      <c r="AD181" s="351"/>
      <c r="AE181" s="65"/>
    </row>
    <row r="182" spans="1:31" ht="15" customHeight="1" x14ac:dyDescent="0.25">
      <c r="A182" s="171" t="s">
        <v>14394</v>
      </c>
      <c r="B182" s="362">
        <f>IFERROR(VLOOKUP("Grand Total",'Resilience marker'!$A$5:$J$120,7,FALSE)/VLOOKUP("Grand Total",'Resilience marker'!$A$5:$J$120,9,FALSE),"")</f>
        <v>0.17789473684210527</v>
      </c>
      <c r="C182" s="362">
        <f>IFERROR(VLOOKUP(C$176&amp;" Total",'Resilience marker'!$A$5:$J$120,7,FALSE)/VLOOKUP(C$176&amp;" Total",'Resilience marker'!$A$5:$J$120,9,FALSE),"")</f>
        <v>0.10734463276836158</v>
      </c>
      <c r="D182" s="362">
        <f>IFERROR(VLOOKUP(D$176&amp;" Total",'Resilience marker'!$A$5:$J$120,7,FALSE)/VLOOKUP(D$176&amp;" Total",'Resilience marker'!$A$5:$J$120,9,FALSE),"")</f>
        <v>0.11904761904761904</v>
      </c>
      <c r="E182" s="362">
        <f>IFERROR(VLOOKUP(E$176&amp;" Total",'Resilience marker'!$A$5:$J$120,7,FALSE)/VLOOKUP(E$176&amp;" Total",'Resilience marker'!$A$5:$J$120,9,FALSE),"")</f>
        <v>7.7669902912621352E-2</v>
      </c>
      <c r="F182" s="362">
        <f>IFERROR(VLOOKUP(F$176&amp;" Total",'Resilience marker'!$A$5:$J$120,7,FALSE)/VLOOKUP(F$176&amp;" Total",'Resilience marker'!$A$5:$J$120,9,FALSE),"")</f>
        <v>0.13284132841328414</v>
      </c>
      <c r="G182" s="362">
        <f>IFERROR(VLOOKUP(G$176&amp;" Total",'Resilience marker'!$A$5:$J$120,7,FALSE)/VLOOKUP(G$176&amp;" Total",'Resilience marker'!$A$5:$J$120,9,FALSE),"")</f>
        <v>4.1237113402061855E-2</v>
      </c>
      <c r="H182" s="362">
        <f>IFERROR(VLOOKUP(H$176&amp;" Total",'Resilience marker'!$A$5:$J$120,7,FALSE)/VLOOKUP(H$176&amp;" Total",'Resilience marker'!$A$5:$J$120,9,FALSE),"")</f>
        <v>0.31521739130434784</v>
      </c>
      <c r="I182" s="124"/>
      <c r="J182" s="124"/>
      <c r="K182" s="124"/>
      <c r="L182" s="124"/>
      <c r="M182" s="124"/>
      <c r="N182" s="124"/>
      <c r="O182" s="124"/>
      <c r="P182" s="124"/>
      <c r="Q182" s="124"/>
      <c r="R182" s="124"/>
      <c r="S182" s="124"/>
      <c r="T182" s="124"/>
      <c r="U182" s="124"/>
      <c r="V182" s="124"/>
      <c r="W182" s="124"/>
      <c r="X182" s="124"/>
      <c r="Y182" s="252"/>
      <c r="Z182" s="252"/>
      <c r="AA182" s="253"/>
      <c r="AB182" s="253"/>
      <c r="AC182" s="249"/>
      <c r="AD182" s="351"/>
      <c r="AE182" s="65"/>
    </row>
    <row r="183" spans="1:31" ht="15" customHeight="1" x14ac:dyDescent="0.25">
      <c r="A183" s="171"/>
      <c r="B183" s="124"/>
      <c r="C183" s="124"/>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252"/>
      <c r="Z183" s="252"/>
      <c r="AA183" s="253"/>
      <c r="AB183" s="253"/>
      <c r="AC183" s="249"/>
      <c r="AD183" s="351"/>
      <c r="AE183" s="65"/>
    </row>
    <row r="184" spans="1:31" ht="15" customHeight="1" x14ac:dyDescent="0.25">
      <c r="A184" s="171" t="s">
        <v>14521</v>
      </c>
      <c r="B184" s="67" t="s">
        <v>14800</v>
      </c>
      <c r="C184" t="s">
        <v>1874</v>
      </c>
      <c r="D184" t="s">
        <v>7217</v>
      </c>
      <c r="E184" t="s">
        <v>1596</v>
      </c>
      <c r="F184" t="s">
        <v>306</v>
      </c>
      <c r="G184" t="s">
        <v>2807</v>
      </c>
      <c r="H184" t="s">
        <v>602</v>
      </c>
      <c r="I184" s="124"/>
      <c r="J184" s="124"/>
      <c r="K184" s="124"/>
      <c r="L184" s="124"/>
      <c r="M184" s="124"/>
      <c r="N184" s="124"/>
      <c r="O184" s="124"/>
      <c r="P184" s="124"/>
      <c r="Q184" s="124"/>
      <c r="R184" s="124"/>
      <c r="S184" s="124"/>
      <c r="T184" s="124"/>
      <c r="U184" s="124"/>
      <c r="V184" s="124"/>
      <c r="W184" s="124"/>
      <c r="X184" s="124"/>
      <c r="Y184" s="252"/>
      <c r="Z184" s="252"/>
      <c r="AA184" s="253"/>
      <c r="AB184" s="253"/>
      <c r="AC184" s="249"/>
      <c r="AD184" s="351"/>
      <c r="AE184" s="65"/>
    </row>
    <row r="185" spans="1:31" ht="15" customHeight="1" x14ac:dyDescent="0.25">
      <c r="A185" s="171" t="s">
        <v>758</v>
      </c>
      <c r="B185" s="362">
        <f>IFERROR(VLOOKUP("Grand Total",Climate!$A$5:$J$120,3,FALSE),"")</f>
        <v>0.11084905660377359</v>
      </c>
      <c r="C185" s="362">
        <f>IFERROR(VLOOKUP(C$184&amp;" Total",Climate!$A$5:$J$120,3,FALSE),"")</f>
        <v>6.6265060240963861E-2</v>
      </c>
      <c r="D185" s="362">
        <f>IFERROR(VLOOKUP(D$184&amp;" Total",Climate!$A$5:$J$120,3,FALSE),"")</f>
        <v>0.21518987341772153</v>
      </c>
      <c r="E185" s="362">
        <f>IFERROR(VLOOKUP(E$184&amp;" Total",Climate!$A$5:$J$120,3,FALSE),"")</f>
        <v>0.16666666666666666</v>
      </c>
      <c r="F185" s="362">
        <f>IFERROR(VLOOKUP(F$184&amp;" Total",Climate!$A$5:$J$120,3,FALSE),"")</f>
        <v>0.10588235294117647</v>
      </c>
      <c r="G185" s="362">
        <f>IFERROR(VLOOKUP(G$184&amp;" Total",Climate!$A$5:$J$120,3,FALSE),"")</f>
        <v>0.20430107526881722</v>
      </c>
      <c r="H185" s="362">
        <f>IFERROR(VLOOKUP(H$184&amp;" Total",Climate!$A$5:$J$120,3,FALSE),"")</f>
        <v>2.5157232704402517E-2</v>
      </c>
      <c r="I185" s="124"/>
      <c r="J185" s="124"/>
      <c r="K185" s="124"/>
      <c r="L185" s="124"/>
      <c r="M185" s="124"/>
      <c r="N185" s="124"/>
      <c r="O185" s="124"/>
      <c r="P185" s="124"/>
      <c r="Q185" s="124"/>
      <c r="R185" s="124"/>
      <c r="S185" s="124"/>
      <c r="T185" s="124"/>
      <c r="U185" s="124"/>
      <c r="V185" s="124"/>
      <c r="W185" s="124"/>
      <c r="X185" s="124"/>
      <c r="Y185" s="252"/>
      <c r="Z185" s="252"/>
      <c r="AA185" s="253"/>
      <c r="AB185" s="253"/>
      <c r="AC185" s="249"/>
      <c r="AD185" s="351"/>
      <c r="AE185" s="65"/>
    </row>
    <row r="186" spans="1:31" ht="15" customHeight="1" x14ac:dyDescent="0.25">
      <c r="A186" s="171" t="s">
        <v>419</v>
      </c>
      <c r="B186" s="362">
        <f>IFERROR(VLOOKUP("Grand Total",Climate!$A$5:$J$120,4,FALSE),"")</f>
        <v>0.34551886792452829</v>
      </c>
      <c r="C186" s="362">
        <f>IFERROR(VLOOKUP(C$184&amp;" Total",Climate!$A$5:$J$120,4,FALSE),"")</f>
        <v>0.43373493975903615</v>
      </c>
      <c r="D186" s="362">
        <f>IFERROR(VLOOKUP(D$184&amp;" Total",Climate!$A$5:$J$120,4,FALSE),"")</f>
        <v>0.36708860759493672</v>
      </c>
      <c r="E186" s="362">
        <f>IFERROR(VLOOKUP(E$184&amp;" Total",Climate!$A$5:$J$120,4,FALSE),"")</f>
        <v>0.41666666666666669</v>
      </c>
      <c r="F186" s="362">
        <f>IFERROR(VLOOKUP(F$184&amp;" Total",Climate!$A$5:$J$120,4,FALSE),"")</f>
        <v>0.30588235294117649</v>
      </c>
      <c r="G186" s="362">
        <f>IFERROR(VLOOKUP(G$184&amp;" Total",Climate!$A$5:$J$120,4,FALSE),"")</f>
        <v>0.44086021505376344</v>
      </c>
      <c r="H186" s="362">
        <f>IFERROR(VLOOKUP(H$184&amp;" Total",Climate!$A$5:$J$120,4,FALSE),"")</f>
        <v>0.20754716981132076</v>
      </c>
      <c r="I186" s="124"/>
      <c r="J186" s="124"/>
      <c r="K186" s="124"/>
      <c r="L186" s="124"/>
      <c r="M186" s="124"/>
      <c r="N186" s="124"/>
      <c r="O186" s="124"/>
      <c r="P186" s="124"/>
      <c r="Q186" s="124"/>
      <c r="R186" s="124"/>
      <c r="S186" s="124"/>
      <c r="T186" s="124"/>
      <c r="U186" s="124"/>
      <c r="V186" s="124"/>
      <c r="W186" s="124"/>
      <c r="X186" s="124"/>
      <c r="Y186" s="252"/>
      <c r="Z186" s="252"/>
      <c r="AA186" s="253"/>
      <c r="AB186" s="253"/>
      <c r="AC186" s="249"/>
      <c r="AD186" s="351"/>
      <c r="AE186" s="65"/>
    </row>
    <row r="187" spans="1:31" ht="15" customHeight="1" x14ac:dyDescent="0.25">
      <c r="A187" s="171" t="s">
        <v>338</v>
      </c>
      <c r="B187" s="362">
        <f>IFERROR(VLOOKUP("Grand Total",Climate!$A$5:$J$120,2,FALSE),"")</f>
        <v>0.54363207547169812</v>
      </c>
      <c r="C187" s="362">
        <f>IFERROR(VLOOKUP(C$184&amp;" Total",Climate!$A$5:$J$120,2,FALSE),"")</f>
        <v>0.5</v>
      </c>
      <c r="D187" s="362">
        <f>IFERROR(VLOOKUP(D$184&amp;" Total",Climate!$A$5:$J$120,2,FALSE),"")</f>
        <v>0.41772151898734178</v>
      </c>
      <c r="E187" s="362">
        <f>IFERROR(VLOOKUP(E$184&amp;" Total",Climate!$A$5:$J$120,2,FALSE),"")</f>
        <v>0.41666666666666669</v>
      </c>
      <c r="F187" s="362">
        <f>IFERROR(VLOOKUP(F$184&amp;" Total",Climate!$A$5:$J$120,2,FALSE),"")</f>
        <v>0.58823529411764708</v>
      </c>
      <c r="G187" s="362">
        <f>IFERROR(VLOOKUP(G$184&amp;" Total",Climate!$A$5:$J$120,2,FALSE),"")</f>
        <v>0.35483870967741937</v>
      </c>
      <c r="H187" s="362">
        <f>IFERROR(VLOOKUP(H$184&amp;" Total",Climate!$A$5:$J$120,2,FALSE),"")</f>
        <v>0.76729559748427678</v>
      </c>
      <c r="I187" s="124"/>
      <c r="J187" s="124"/>
      <c r="K187" s="124"/>
      <c r="L187" s="124"/>
      <c r="M187" s="124"/>
      <c r="N187" s="124"/>
      <c r="O187" s="124"/>
      <c r="P187" s="124"/>
      <c r="Q187" s="124"/>
      <c r="R187" s="124"/>
      <c r="S187" s="124"/>
      <c r="T187" s="124"/>
      <c r="U187" s="124"/>
      <c r="V187" s="124"/>
      <c r="W187" s="124"/>
      <c r="X187" s="124"/>
      <c r="Y187" s="252"/>
      <c r="Z187" s="252"/>
      <c r="AA187" s="253"/>
      <c r="AB187" s="253"/>
      <c r="AC187" s="249"/>
      <c r="AD187" s="351"/>
      <c r="AE187" s="65"/>
    </row>
    <row r="188" spans="1:31" ht="15" customHeight="1" x14ac:dyDescent="0.25">
      <c r="B188" s="362"/>
      <c r="C188" s="362"/>
      <c r="D188" s="362"/>
      <c r="E188" s="362"/>
      <c r="F188" s="362"/>
      <c r="G188" s="362"/>
      <c r="H188" s="362"/>
      <c r="I188" s="124"/>
      <c r="J188" s="124"/>
      <c r="K188" s="124"/>
      <c r="L188" s="124"/>
      <c r="M188" s="124"/>
      <c r="N188" s="124"/>
      <c r="O188" s="124"/>
      <c r="P188" s="124"/>
      <c r="Q188" s="124"/>
      <c r="R188" s="124"/>
      <c r="S188" s="124"/>
      <c r="T188" s="124"/>
      <c r="U188" s="124"/>
      <c r="V188" s="124"/>
      <c r="W188" s="124"/>
      <c r="X188" s="124"/>
      <c r="Y188" s="252"/>
      <c r="Z188" s="252"/>
      <c r="AA188" s="253"/>
      <c r="AB188" s="253"/>
      <c r="AC188" s="249"/>
      <c r="AD188" s="351"/>
      <c r="AE188" s="65"/>
    </row>
    <row r="189" spans="1:31" ht="15" customHeight="1" x14ac:dyDescent="0.25">
      <c r="A189" s="171"/>
      <c r="B189" s="362"/>
      <c r="C189" s="362"/>
      <c r="D189" s="362"/>
      <c r="E189" s="362"/>
      <c r="F189" s="362"/>
      <c r="G189" s="362"/>
      <c r="H189" s="362"/>
      <c r="I189" s="124"/>
      <c r="J189" s="124"/>
      <c r="K189" s="124"/>
      <c r="L189" s="124"/>
      <c r="M189" s="124"/>
      <c r="N189" s="124"/>
      <c r="O189" s="124"/>
      <c r="P189" s="124"/>
      <c r="Q189" s="124"/>
      <c r="R189" s="124"/>
      <c r="S189" s="124"/>
      <c r="T189" s="124"/>
      <c r="U189" s="124"/>
      <c r="V189" s="124"/>
      <c r="W189" s="124"/>
      <c r="X189" s="124"/>
      <c r="Y189" s="252"/>
      <c r="Z189" s="252"/>
      <c r="AA189" s="253"/>
      <c r="AB189" s="253"/>
      <c r="AC189" s="249"/>
      <c r="AD189" s="351"/>
      <c r="AE189" s="65"/>
    </row>
    <row r="190" spans="1:31" ht="15" customHeight="1" x14ac:dyDescent="0.25">
      <c r="A190" s="171"/>
      <c r="B190" s="362"/>
      <c r="C190" s="362"/>
      <c r="D190" s="362"/>
      <c r="E190" s="362"/>
      <c r="F190" s="362"/>
      <c r="G190" s="362"/>
      <c r="H190" s="362"/>
      <c r="I190" s="124"/>
      <c r="J190" s="124"/>
      <c r="K190" s="124"/>
      <c r="L190" s="124"/>
      <c r="M190" s="124"/>
      <c r="N190" s="124"/>
      <c r="O190" s="124"/>
      <c r="P190" s="124"/>
      <c r="Q190" s="124"/>
      <c r="R190" s="124"/>
      <c r="S190" s="124"/>
      <c r="T190" s="124"/>
      <c r="U190" s="124"/>
      <c r="V190" s="124"/>
      <c r="W190" s="124"/>
      <c r="X190" s="124"/>
      <c r="Y190" s="252"/>
      <c r="Z190" s="252"/>
      <c r="AA190" s="253"/>
      <c r="AB190" s="253"/>
      <c r="AC190" s="249"/>
      <c r="AD190" s="351"/>
      <c r="AE190" s="65"/>
    </row>
    <row r="191" spans="1:31" ht="15" customHeight="1" x14ac:dyDescent="0.25">
      <c r="A191" s="171"/>
      <c r="B191" s="124"/>
      <c r="C191" s="124"/>
      <c r="D191" s="124"/>
      <c r="E191" s="124"/>
      <c r="F191" s="124"/>
      <c r="G191" s="124"/>
      <c r="H191" s="124"/>
      <c r="I191" s="124"/>
      <c r="J191" s="124"/>
      <c r="K191" s="124"/>
      <c r="L191" s="124"/>
      <c r="M191" s="124"/>
      <c r="N191" s="124"/>
      <c r="O191" s="124"/>
      <c r="P191" s="124"/>
      <c r="Q191" s="124"/>
      <c r="R191" s="124"/>
      <c r="S191" s="124"/>
      <c r="T191" s="124"/>
      <c r="U191" s="124"/>
      <c r="V191" s="124"/>
      <c r="W191" s="124"/>
      <c r="X191" s="124"/>
      <c r="Y191" s="252"/>
      <c r="Z191" s="252"/>
      <c r="AA191" s="253"/>
      <c r="AB191" s="253"/>
      <c r="AC191" s="249"/>
      <c r="AD191" s="351"/>
      <c r="AE191" s="65"/>
    </row>
    <row r="192" spans="1:31" ht="15" customHeight="1" x14ac:dyDescent="0.25">
      <c r="A192" s="171"/>
      <c r="B192" s="124"/>
      <c r="C192" s="124"/>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252"/>
      <c r="Z192" s="252"/>
      <c r="AA192" s="253"/>
      <c r="AB192" s="253"/>
      <c r="AC192" s="249"/>
      <c r="AD192" s="351"/>
      <c r="AE192" s="65"/>
    </row>
    <row r="193" spans="1:31" ht="15" customHeight="1" x14ac:dyDescent="0.25">
      <c r="A193" s="171"/>
      <c r="B193" s="124"/>
      <c r="C193" s="124"/>
      <c r="D193" s="124"/>
      <c r="E193" s="124"/>
      <c r="F193" s="124"/>
      <c r="G193" s="124"/>
      <c r="H193" s="124"/>
      <c r="I193" s="124"/>
      <c r="J193" s="124"/>
      <c r="K193" s="124"/>
      <c r="L193" s="124"/>
      <c r="M193" s="124"/>
      <c r="N193" s="124"/>
      <c r="O193" s="124"/>
      <c r="P193" s="124"/>
      <c r="Q193" s="124"/>
      <c r="R193" s="124"/>
      <c r="S193" s="124"/>
      <c r="T193" s="124"/>
      <c r="U193" s="124"/>
      <c r="V193" s="124"/>
      <c r="W193" s="124"/>
      <c r="X193" s="124"/>
      <c r="Y193" s="252"/>
      <c r="Z193" s="252"/>
      <c r="AA193" s="253"/>
      <c r="AB193" s="253"/>
      <c r="AC193" s="249"/>
      <c r="AD193" s="351"/>
      <c r="AE193" s="65"/>
    </row>
    <row r="194" spans="1:31" ht="15" customHeight="1" x14ac:dyDescent="0.25">
      <c r="A194" s="171"/>
      <c r="B194" s="124"/>
      <c r="C194" s="124"/>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252"/>
      <c r="Z194" s="252"/>
      <c r="AA194" s="253"/>
      <c r="AB194" s="253"/>
      <c r="AC194" s="249"/>
      <c r="AD194" s="351"/>
      <c r="AE194" s="65"/>
    </row>
    <row r="195" spans="1:31" ht="15" customHeight="1" x14ac:dyDescent="0.25">
      <c r="A195" s="171"/>
      <c r="B195" s="124"/>
      <c r="C195" s="124"/>
      <c r="D195" s="124"/>
      <c r="E195" s="124"/>
      <c r="F195" s="124"/>
      <c r="G195" s="124"/>
      <c r="H195" s="124"/>
      <c r="I195" s="124"/>
      <c r="J195" s="124"/>
      <c r="K195" s="124"/>
      <c r="L195" s="124"/>
      <c r="M195" s="124"/>
      <c r="N195" s="124"/>
      <c r="O195" s="124"/>
      <c r="P195" s="124"/>
      <c r="Q195" s="124"/>
      <c r="R195" s="124"/>
      <c r="S195" s="124"/>
      <c r="T195" s="124"/>
      <c r="U195" s="124"/>
      <c r="V195" s="124"/>
      <c r="W195" s="124"/>
      <c r="X195" s="124"/>
      <c r="Y195" s="252"/>
      <c r="Z195" s="252"/>
      <c r="AA195" s="253"/>
      <c r="AB195" s="253"/>
      <c r="AC195" s="249"/>
      <c r="AD195" s="351"/>
      <c r="AE195" s="65"/>
    </row>
    <row r="196" spans="1:31" ht="15" customHeight="1" x14ac:dyDescent="0.25">
      <c r="A196" s="171"/>
      <c r="B196" s="124"/>
      <c r="C196" s="124"/>
      <c r="D196" s="124"/>
      <c r="E196" s="124"/>
      <c r="F196" s="124"/>
      <c r="G196" s="124"/>
      <c r="H196" s="124"/>
      <c r="I196" s="124"/>
      <c r="J196" s="124"/>
      <c r="K196" s="124"/>
      <c r="L196" s="124"/>
      <c r="M196" s="124"/>
      <c r="N196" s="124"/>
      <c r="O196" s="124"/>
      <c r="P196" s="124"/>
      <c r="Q196" s="124"/>
      <c r="R196" s="124"/>
      <c r="S196" s="124"/>
      <c r="T196" s="124"/>
      <c r="U196" s="124"/>
      <c r="V196" s="124"/>
      <c r="W196" s="124"/>
      <c r="X196" s="124"/>
      <c r="Y196" s="252"/>
      <c r="Z196" s="252"/>
      <c r="AA196" s="253"/>
      <c r="AB196" s="253"/>
      <c r="AC196" s="249"/>
      <c r="AD196" s="351"/>
      <c r="AE196" s="65"/>
    </row>
    <row r="197" spans="1:31" s="80" customFormat="1" x14ac:dyDescent="0.25">
      <c r="A197" s="65"/>
      <c r="B197" s="65"/>
      <c r="C197" s="65"/>
      <c r="D197" s="65"/>
      <c r="E197" s="65"/>
      <c r="F197" s="65"/>
      <c r="G197" s="65"/>
      <c r="H197" s="65"/>
      <c r="I197" s="65"/>
      <c r="J197" s="65"/>
      <c r="K197" s="65"/>
      <c r="L197" s="65"/>
      <c r="M197" s="65"/>
      <c r="N197" s="67"/>
      <c r="O197" s="67"/>
      <c r="P197" s="67"/>
      <c r="Q197" s="67"/>
      <c r="R197" s="67"/>
      <c r="S197" s="67"/>
      <c r="T197" s="67"/>
      <c r="U197" s="67"/>
      <c r="V197" s="67"/>
      <c r="W197" s="67"/>
      <c r="X197" s="67"/>
      <c r="Y197" s="252"/>
      <c r="Z197" s="252"/>
      <c r="AA197" s="253"/>
      <c r="AB197" s="253"/>
      <c r="AC197" s="249"/>
      <c r="AD197" s="351"/>
      <c r="AE197" s="79"/>
    </row>
    <row r="198" spans="1:31" s="80" customFormat="1" x14ac:dyDescent="0.25">
      <c r="A198" s="79"/>
      <c r="B198" s="79"/>
      <c r="C198" s="79"/>
      <c r="D198" s="79"/>
      <c r="E198" s="79"/>
      <c r="F198" s="79"/>
      <c r="G198" s="79"/>
      <c r="H198" s="79"/>
      <c r="I198" s="79"/>
      <c r="J198" s="79"/>
      <c r="K198" s="79"/>
      <c r="L198" s="79"/>
      <c r="M198" s="79"/>
      <c r="Y198" s="252"/>
      <c r="Z198" s="252"/>
      <c r="AA198" s="253"/>
      <c r="AB198" s="253"/>
      <c r="AC198" s="249"/>
      <c r="AD198" s="351"/>
      <c r="AE198" s="79"/>
    </row>
    <row r="199" spans="1:31" s="251" customFormat="1" x14ac:dyDescent="0.25">
      <c r="A199" s="249"/>
      <c r="B199" s="249"/>
      <c r="C199" s="249"/>
      <c r="D199" s="249"/>
      <c r="E199" s="249"/>
      <c r="F199" s="249"/>
      <c r="G199" s="249"/>
      <c r="H199" s="249"/>
      <c r="I199" s="249"/>
      <c r="J199" s="249"/>
      <c r="K199" s="249"/>
      <c r="L199" s="249"/>
      <c r="M199" s="249"/>
      <c r="Y199" s="252"/>
      <c r="Z199" s="252"/>
      <c r="AA199" s="253"/>
      <c r="AB199" s="253"/>
      <c r="AC199" s="249"/>
      <c r="AD199" s="351"/>
      <c r="AE199" s="249"/>
    </row>
    <row r="200" spans="1:31" s="251" customFormat="1" x14ac:dyDescent="0.25">
      <c r="A200" s="249"/>
      <c r="B200" s="249"/>
      <c r="C200" s="249" t="str">
        <f>$D$1&amp;" Total"</f>
        <v>Asia and the Pacific Total</v>
      </c>
      <c r="D200" s="249">
        <f>$F$1</f>
        <v>0</v>
      </c>
      <c r="E200" s="249" t="s">
        <v>849</v>
      </c>
      <c r="F200" s="249"/>
      <c r="G200" s="249"/>
      <c r="H200" s="249"/>
      <c r="I200" s="249"/>
      <c r="J200" s="249"/>
      <c r="K200" s="249"/>
      <c r="L200" s="249"/>
      <c r="M200" s="249"/>
      <c r="Y200" s="252"/>
      <c r="Z200" s="252"/>
      <c r="AA200" s="253"/>
      <c r="AB200" s="253"/>
      <c r="AC200" s="249"/>
      <c r="AD200" s="351"/>
      <c r="AE200" s="249"/>
    </row>
    <row r="201" spans="1:31" s="251" customFormat="1" x14ac:dyDescent="0.25">
      <c r="A201" s="415" t="s">
        <v>14332</v>
      </c>
      <c r="B201" s="249" t="s">
        <v>14295</v>
      </c>
      <c r="C201" s="254">
        <f>IFERROR(VLOOKUP($D$1&amp;" Total",'Gender marker'!$A$5:$J$120,6,FALSE)/VLOOKUP($D$1&amp;" Total",'Gender marker'!$A$5:$J$120,9,FALSE),"")</f>
        <v>0.2140221402214022</v>
      </c>
      <c r="D201" s="254" t="str">
        <f>IFERROR(VLOOKUP($F$1&amp;" Total",'Gender marker'!$A$5:$J$120,6,FALSE)/VLOOKUP($F$1&amp;" Total",'Gender marker'!$A$5:$J$120,9,FALSE),"")</f>
        <v/>
      </c>
      <c r="E201" s="254">
        <f>IFERROR(VLOOKUP("Grand Total",'Gender marker'!$A$5:$J$120,6,FALSE)/VLOOKUP("Grand Total",'Gender marker'!$A$5:$J$120,9,FALSE),"")</f>
        <v>0.16842105263157894</v>
      </c>
      <c r="F201" s="249"/>
      <c r="G201" s="249"/>
      <c r="H201" s="249"/>
      <c r="I201" s="249"/>
      <c r="J201" s="249"/>
      <c r="K201" s="249"/>
      <c r="L201" s="249"/>
      <c r="M201" s="249"/>
      <c r="Y201" s="252"/>
      <c r="Z201" s="252"/>
      <c r="AA201" s="253"/>
      <c r="AB201" s="253"/>
      <c r="AC201" s="249"/>
      <c r="AD201" s="351"/>
      <c r="AE201" s="249"/>
    </row>
    <row r="202" spans="1:31" s="251" customFormat="1" x14ac:dyDescent="0.25">
      <c r="A202" s="415"/>
      <c r="B202" s="249" t="s">
        <v>14294</v>
      </c>
      <c r="C202" s="254">
        <f>IFERROR(VLOOKUP($D$1&amp;" Total",'Gender marker'!$A$5:$J$120,5,FALSE)/VLOOKUP($D$1&amp;" Total",'Gender marker'!$A$5:$J$120,9,FALSE),"")</f>
        <v>0.16605166051660517</v>
      </c>
      <c r="D202" s="254" t="str">
        <f>IFERROR(VLOOKUP($F$1&amp;" Total",'Gender marker'!$A$5:$J$120,5,FALSE)/VLOOKUP($F$1&amp;" Total",'Gender marker'!$A$5:$J$120,9,FALSE),"")</f>
        <v/>
      </c>
      <c r="E202" s="254">
        <f>IFERROR(VLOOKUP("Grand Total",'Gender marker'!$A$5:$J$120,5,FALSE)/VLOOKUP("Grand Total",'Gender marker'!$A$5:$J$120,9,FALSE),"")</f>
        <v>0.12</v>
      </c>
      <c r="F202" s="249"/>
      <c r="G202" s="249"/>
      <c r="H202" s="249"/>
      <c r="I202" s="249"/>
      <c r="J202" s="249"/>
      <c r="K202" s="249"/>
      <c r="L202" s="249"/>
      <c r="M202" s="249"/>
      <c r="Y202" s="252"/>
      <c r="Z202" s="252"/>
      <c r="AA202" s="253"/>
      <c r="AB202" s="253"/>
      <c r="AC202" s="249"/>
      <c r="AD202" s="351"/>
      <c r="AE202" s="249"/>
    </row>
    <row r="203" spans="1:31" s="251" customFormat="1" x14ac:dyDescent="0.25">
      <c r="A203" s="415"/>
      <c r="B203" s="249" t="s">
        <v>14293</v>
      </c>
      <c r="C203" s="254">
        <f>IFERROR(VLOOKUP($D$1&amp;" Total",'Gender marker'!$A$5:$J$120,4,FALSE)/VLOOKUP($D$1&amp;" Total",'Gender marker'!$A$5:$J$120,9,FALSE),"")</f>
        <v>0.42435424354243545</v>
      </c>
      <c r="D203" s="254" t="str">
        <f>IFERROR(VLOOKUP($F$1&amp;" Total",'Gender marker'!$A$5:$J$120,4,FALSE)/VLOOKUP($F$1&amp;" Total",'Gender marker'!$A$5:$J$120,9,FALSE),"")</f>
        <v/>
      </c>
      <c r="E203" s="254">
        <f>IFERROR(VLOOKUP("Grand Total",'Gender marker'!$A$5:$J$120,4,FALSE)/VLOOKUP("Grand Total",'Gender marker'!$A$5:$J$120,9,FALSE),"")</f>
        <v>0.44631578947368422</v>
      </c>
      <c r="F203" s="249"/>
      <c r="G203" s="249"/>
      <c r="H203" s="249"/>
      <c r="I203" s="249"/>
      <c r="J203" s="249"/>
      <c r="K203" s="249"/>
      <c r="L203" s="249"/>
      <c r="M203" s="249"/>
      <c r="Y203" s="252"/>
      <c r="Z203" s="252"/>
      <c r="AA203" s="253"/>
      <c r="AB203" s="253"/>
      <c r="AC203" s="249"/>
      <c r="AD203" s="351"/>
      <c r="AE203" s="249"/>
    </row>
    <row r="204" spans="1:31" s="251" customFormat="1" x14ac:dyDescent="0.25">
      <c r="A204" s="415"/>
      <c r="B204" s="249" t="s">
        <v>14292</v>
      </c>
      <c r="C204" s="254">
        <f>IFERROR(VLOOKUP($D$1&amp;" Total",'Gender marker'!$A$5:$J$120,3,FALSE)/VLOOKUP($D$1&amp;" Total",'Gender marker'!$A$5:$J$120,9,FALSE),"")</f>
        <v>0.12546125461254612</v>
      </c>
      <c r="D204" s="254" t="str">
        <f>IFERROR(VLOOKUP($F$1&amp;" Total",'Gender marker'!$A$5:$J$120,3,FALSE)/VLOOKUP($F$1&amp;" Total",'Gender marker'!$A$5:$J$120,9,FALSE),"")</f>
        <v/>
      </c>
      <c r="E204" s="254">
        <f>IFERROR(VLOOKUP("Grand Total",'Gender marker'!$A$5:$J$120,3,FALSE)/VLOOKUP("Grand Total",'Gender marker'!$A$5:$J$120,9,FALSE),"")</f>
        <v>0.14210526315789473</v>
      </c>
      <c r="F204" s="249"/>
      <c r="G204" s="249"/>
      <c r="H204" s="249"/>
      <c r="I204" s="249"/>
      <c r="J204" s="249"/>
      <c r="K204" s="249"/>
      <c r="L204" s="249"/>
      <c r="M204" s="249"/>
      <c r="Y204" s="252"/>
      <c r="Z204" s="252"/>
      <c r="AA204" s="253"/>
      <c r="AB204" s="253"/>
      <c r="AC204" s="249"/>
      <c r="AD204" s="351"/>
      <c r="AE204" s="249"/>
    </row>
    <row r="205" spans="1:31" s="251" customFormat="1" x14ac:dyDescent="0.25">
      <c r="A205" s="415"/>
      <c r="B205" s="249" t="s">
        <v>14393</v>
      </c>
      <c r="C205" s="254">
        <f>IFERROR(VLOOKUP($D$1&amp;" Total",'Gender marker'!$A$5:$J$120,2,FALSE)/VLOOKUP($D$1&amp;" Total",'Gender marker'!$A$5:$J$120,9,FALSE),"")</f>
        <v>2.2140221402214021E-2</v>
      </c>
      <c r="D205" s="254" t="str">
        <f>IFERROR(VLOOKUP($F$1&amp;" Total",'Gender marker'!$A$5:$J$120,2,FALSE)/VLOOKUP($F$1&amp;" Total",'Gender marker'!$A$5:$J$120,9,FALSE),"")</f>
        <v/>
      </c>
      <c r="E205" s="254">
        <f>IFERROR(VLOOKUP("Grand Total",'Gender marker'!$A$5:$J$120,2,FALSE)/VLOOKUP("Grand Total",'Gender marker'!$A$5:$J$120,9,FALSE),"")</f>
        <v>2.736842105263158E-2</v>
      </c>
      <c r="F205" s="249"/>
      <c r="G205" s="249"/>
      <c r="H205" s="249"/>
      <c r="I205" s="249"/>
      <c r="J205" s="249"/>
      <c r="K205" s="249"/>
      <c r="L205" s="249"/>
      <c r="M205" s="249"/>
      <c r="Y205" s="252"/>
      <c r="Z205" s="252"/>
      <c r="AA205" s="253"/>
      <c r="AB205" s="253"/>
      <c r="AC205" s="249"/>
      <c r="AD205" s="351"/>
      <c r="AE205" s="249"/>
    </row>
    <row r="206" spans="1:31" s="251" customFormat="1" x14ac:dyDescent="0.25">
      <c r="A206" s="249"/>
      <c r="B206" s="249" t="s">
        <v>14394</v>
      </c>
      <c r="C206" s="254">
        <f>IFERROR(VLOOKUP($D$1&amp;" Total",'Gender marker'!$A$5:$J$120,7,FALSE)/VLOOKUP($D$1&amp;" Total",'Gender marker'!$A$5:$J$120,9,FALSE),"")</f>
        <v>4.797047970479705E-2</v>
      </c>
      <c r="D206" s="254" t="str">
        <f>IFERROR(VLOOKUP($F$1&amp;" Total",'Gender marker'!$A$5:$J$120,7,FALSE)/VLOOKUP($F$1&amp;" Total",'Gender marker'!$A$5:$J$120,9,FALSE),"")</f>
        <v/>
      </c>
      <c r="E206" s="254">
        <f>IFERROR(VLOOKUP("Grand Total",'Gender marker'!$A$5:$J$120,7,FALSE)/VLOOKUP("Grand Total",'Gender marker'!$A$5:$J$120,9,FALSE),"")</f>
        <v>9.5789473684210522E-2</v>
      </c>
      <c r="F206" s="249"/>
      <c r="G206" s="249"/>
      <c r="H206" s="249"/>
      <c r="I206" s="249"/>
      <c r="J206" s="249"/>
      <c r="K206" s="249"/>
      <c r="L206" s="249"/>
      <c r="M206" s="249"/>
      <c r="Y206" s="252"/>
      <c r="Z206" s="252"/>
      <c r="AA206" s="253"/>
      <c r="AB206" s="253"/>
      <c r="AC206" s="249"/>
      <c r="AD206" s="351"/>
      <c r="AE206" s="249"/>
    </row>
    <row r="207" spans="1:31" s="251" customFormat="1" x14ac:dyDescent="0.25">
      <c r="A207" s="249"/>
      <c r="B207" s="249"/>
      <c r="C207" s="254" t="str">
        <f>C200</f>
        <v>Asia and the Pacific Total</v>
      </c>
      <c r="D207" s="254">
        <f>D200</f>
        <v>0</v>
      </c>
      <c r="E207" s="254" t="str">
        <f>E200</f>
        <v>Global</v>
      </c>
      <c r="F207" s="249"/>
      <c r="G207" s="249"/>
      <c r="H207" s="249"/>
      <c r="I207" s="249"/>
      <c r="J207" s="249"/>
      <c r="K207" s="249"/>
      <c r="L207" s="249"/>
      <c r="M207" s="249"/>
      <c r="Y207" s="252"/>
      <c r="Z207" s="252"/>
      <c r="AA207" s="253"/>
      <c r="AB207" s="253"/>
      <c r="AC207" s="249"/>
      <c r="AD207" s="351"/>
      <c r="AE207" s="249"/>
    </row>
    <row r="208" spans="1:31" s="251" customFormat="1" x14ac:dyDescent="0.25">
      <c r="A208" s="415" t="s">
        <v>14334</v>
      </c>
      <c r="B208" s="249" t="s">
        <v>14300</v>
      </c>
      <c r="C208" s="254">
        <f>IFERROR(VLOOKUP($D$1&amp;" Total",'Governance marker'!$A$5:$J$119,6,FALSE)/VLOOKUP($D$1&amp;" Total",'Governance marker'!$A$5:$J$119,9,FALSE),"")</f>
        <v>0.11808118081180811</v>
      </c>
      <c r="D208" s="254" t="str">
        <f>IFERROR(VLOOKUP($F$1&amp;" Total",'Governance marker'!$A$5:$J$119,6,FALSE)/VLOOKUP($F$1&amp;" Total",'Governance marker'!$A$5:$J$119,9,FALSE),"")</f>
        <v/>
      </c>
      <c r="E208" s="254">
        <f>IFERROR(VLOOKUP("Grand Total",'Governance marker'!$A$5:$J$119,6,FALSE)/VLOOKUP("Grand Total",'Governance marker'!$A$5:$J$119,9,FALSE),"")</f>
        <v>9.3684210526315786E-2</v>
      </c>
      <c r="F208" s="249"/>
      <c r="G208" s="249"/>
      <c r="H208" s="249"/>
      <c r="I208" s="249"/>
      <c r="J208" s="249"/>
      <c r="K208" s="249"/>
      <c r="L208" s="249"/>
      <c r="M208" s="249"/>
      <c r="Y208" s="252"/>
      <c r="Z208" s="252"/>
      <c r="AA208" s="253"/>
      <c r="AB208" s="253"/>
      <c r="AC208" s="249"/>
      <c r="AD208" s="351"/>
      <c r="AE208" s="249"/>
    </row>
    <row r="209" spans="1:31" s="251" customFormat="1" x14ac:dyDescent="0.25">
      <c r="A209" s="415"/>
      <c r="B209" s="249" t="s">
        <v>14294</v>
      </c>
      <c r="C209" s="254">
        <f>IFERROR(VLOOKUP($D$1&amp;" Total",'Governance marker'!$A$5:$J$119,5,FALSE)/VLOOKUP($D$1&amp;" Total",'Governance marker'!$A$5:$J$119,9,FALSE),"")</f>
        <v>8.8560885608856083E-2</v>
      </c>
      <c r="D209" s="254" t="str">
        <f>IFERROR(VLOOKUP($F$1&amp;" Total",'Governance marker'!$A$5:$J$119,5,FALSE)/VLOOKUP($F$1&amp;" Total",'Governance marker'!$A$5:$J$119,9,FALSE),"")</f>
        <v/>
      </c>
      <c r="E209" s="254">
        <f>IFERROR(VLOOKUP("Grand Total",'Governance marker'!$A$5:$J$119,5,FALSE)/VLOOKUP("Grand Total",'Governance marker'!$A$5:$J$119,9,FALSE),"")</f>
        <v>6.3157894736842107E-2</v>
      </c>
      <c r="F209" s="249"/>
      <c r="G209" s="249"/>
      <c r="H209" s="249"/>
      <c r="I209" s="249"/>
      <c r="J209" s="249"/>
      <c r="K209" s="249"/>
      <c r="L209" s="249"/>
      <c r="M209" s="249"/>
      <c r="Y209" s="252"/>
      <c r="Z209" s="252"/>
      <c r="AA209" s="253"/>
      <c r="AB209" s="253"/>
      <c r="AC209" s="249"/>
      <c r="AD209" s="351"/>
      <c r="AE209" s="249"/>
    </row>
    <row r="210" spans="1:31" s="251" customFormat="1" x14ac:dyDescent="0.25">
      <c r="A210" s="415"/>
      <c r="B210" s="249" t="s">
        <v>14299</v>
      </c>
      <c r="C210" s="254">
        <f>IFERROR(VLOOKUP($D$1&amp;" Total",'Governance marker'!$A$5:$J$119,4,FALSE)/VLOOKUP($D$1&amp;" Total",'Governance marker'!$A$5:$J$119,9,FALSE),"")</f>
        <v>0.63468634686346859</v>
      </c>
      <c r="D210" s="254" t="str">
        <f>IFERROR(VLOOKUP($F$1&amp;" Total",'Governance marker'!$A$5:$J$119,4,FALSE)/VLOOKUP($F$1&amp;" Total",'Governance marker'!$A$5:$J$119,9,FALSE),"")</f>
        <v/>
      </c>
      <c r="E210" s="254">
        <f>IFERROR(VLOOKUP("Grand Total",'Governance marker'!$A$5:$J$119,4,FALSE)/VLOOKUP("Grand Total",'Governance marker'!$A$5:$J$119,9,FALSE),"")</f>
        <v>0.58105263157894738</v>
      </c>
      <c r="F210" s="249"/>
      <c r="G210" s="249"/>
      <c r="H210" s="249"/>
      <c r="I210" s="249"/>
      <c r="J210" s="249"/>
      <c r="K210" s="249"/>
      <c r="L210" s="249"/>
      <c r="M210" s="249"/>
      <c r="Y210" s="252"/>
      <c r="Z210" s="252"/>
      <c r="AA210" s="253"/>
      <c r="AB210" s="253"/>
      <c r="AC210" s="249"/>
      <c r="AD210" s="351"/>
      <c r="AE210" s="249"/>
    </row>
    <row r="211" spans="1:31" s="251" customFormat="1" x14ac:dyDescent="0.25">
      <c r="A211" s="415"/>
      <c r="B211" s="249" t="s">
        <v>14298</v>
      </c>
      <c r="C211" s="254">
        <f>IFERROR(VLOOKUP($D$1&amp;" Total",'Governance marker'!$A$5:$J$119,3,FALSE)/VLOOKUP($D$1&amp;" Total",'Governance marker'!$A$5:$J$119,9,FALSE),"")</f>
        <v>6.6420664206642069E-2</v>
      </c>
      <c r="D211" s="254" t="str">
        <f>IFERROR(VLOOKUP($F$1&amp;" Total",'Governance marker'!$A$5:$J$119,3,FALSE)/VLOOKUP($F$1&amp;" Total",'Governance marker'!$A$5:$J$119,9,FALSE),"")</f>
        <v/>
      </c>
      <c r="E211" s="254">
        <f>IFERROR(VLOOKUP("Grand Total",'Governance marker'!$A$5:$J$119,3,FALSE)/VLOOKUP("Grand Total",'Governance marker'!$A$5:$J$119,9,FALSE),"")</f>
        <v>5.7894736842105263E-2</v>
      </c>
      <c r="F211" s="249"/>
      <c r="G211" s="249"/>
      <c r="H211" s="249"/>
      <c r="I211" s="249"/>
      <c r="J211" s="249"/>
      <c r="K211" s="249"/>
      <c r="L211" s="249"/>
      <c r="M211" s="249"/>
      <c r="Y211" s="252"/>
      <c r="Z211" s="252"/>
      <c r="AA211" s="253"/>
      <c r="AB211" s="253"/>
      <c r="AC211" s="249"/>
      <c r="AD211" s="351"/>
      <c r="AE211" s="249"/>
    </row>
    <row r="212" spans="1:31" s="251" customFormat="1" x14ac:dyDescent="0.25">
      <c r="A212" s="415"/>
      <c r="B212" s="249" t="s">
        <v>14400</v>
      </c>
      <c r="C212" s="254">
        <f>IFERROR(VLOOKUP($D$1&amp;" Total",'Governance marker'!$A$5:$J$119,2,FALSE)/VLOOKUP($D$1&amp;" Total",'Governance marker'!$A$5:$J$119,9,FALSE),"")</f>
        <v>4.4280442804428041E-2</v>
      </c>
      <c r="D212" s="254" t="str">
        <f>IFERROR(VLOOKUP($F$1&amp;" Total",'Governance marker'!$A$5:$J$119,2,FALSE)/VLOOKUP($F$1&amp;" Total",'Governance marker'!$A$5:$J$119,9,FALSE),"")</f>
        <v/>
      </c>
      <c r="E212" s="254">
        <f>IFERROR(VLOOKUP("Grand Total",'Governance marker'!$A$5:$J$119,2,FALSE)/VLOOKUP("Grand Total",'Governance marker'!$A$5:$J$119,9,FALSE),"")</f>
        <v>7.2631578947368422E-2</v>
      </c>
      <c r="F212" s="249"/>
      <c r="G212" s="249"/>
      <c r="H212" s="249"/>
      <c r="I212" s="249"/>
      <c r="J212" s="249"/>
      <c r="K212" s="249"/>
      <c r="L212" s="249"/>
      <c r="M212" s="249"/>
      <c r="Y212" s="252"/>
      <c r="Z212" s="252"/>
      <c r="AA212" s="253"/>
      <c r="AB212" s="253"/>
      <c r="AC212" s="249"/>
      <c r="AD212" s="351"/>
      <c r="AE212" s="249"/>
    </row>
    <row r="213" spans="1:31" s="251" customFormat="1" x14ac:dyDescent="0.25">
      <c r="A213" s="415"/>
      <c r="B213" s="249" t="s">
        <v>14394</v>
      </c>
      <c r="C213" s="254">
        <f>IFERROR(VLOOKUP($D$1&amp;" Total",'Governance marker'!$A$5:$J$119,7,FALSE)/VLOOKUP($D$1&amp;" Total",'Governance marker'!$A$5:$J$119,9,FALSE),"")</f>
        <v>4.797047970479705E-2</v>
      </c>
      <c r="D213" s="254" t="str">
        <f>IFERROR(VLOOKUP($F$1&amp;" Total",'Governance marker'!$A$5:$J$119,7,FALSE)/VLOOKUP($F$1&amp;" Total",'Governance marker'!$A$5:$J$119,9,FALSE),"")</f>
        <v/>
      </c>
      <c r="E213" s="254">
        <f>IFERROR(VLOOKUP("Grand Total",'Governance marker'!$A$5:$J$119,7,FALSE)/VLOOKUP("Grand Total",'Governance marker'!$A$5:$J$119,9,FALSE),"")</f>
        <v>0.13157894736842105</v>
      </c>
      <c r="F213" s="249"/>
      <c r="G213" s="249"/>
      <c r="H213" s="249"/>
      <c r="I213" s="249"/>
      <c r="J213" s="249"/>
      <c r="K213" s="249"/>
      <c r="L213" s="249"/>
      <c r="M213" s="249"/>
      <c r="Y213" s="252"/>
      <c r="Z213" s="252"/>
      <c r="AA213" s="253"/>
      <c r="AB213" s="253"/>
      <c r="AC213" s="249"/>
      <c r="AD213" s="351"/>
      <c r="AE213" s="249"/>
    </row>
    <row r="214" spans="1:31" s="251" customFormat="1" x14ac:dyDescent="0.25">
      <c r="A214" s="249"/>
      <c r="B214" s="249"/>
      <c r="C214" s="254" t="str">
        <f>C207</f>
        <v>Asia and the Pacific Total</v>
      </c>
      <c r="D214" s="254">
        <f>D207</f>
        <v>0</v>
      </c>
      <c r="E214" s="254" t="str">
        <f>E207</f>
        <v>Global</v>
      </c>
      <c r="F214" s="249"/>
      <c r="G214" s="249"/>
      <c r="H214" s="249"/>
      <c r="I214" s="249"/>
      <c r="J214" s="249"/>
      <c r="K214" s="249"/>
      <c r="L214" s="249"/>
      <c r="M214" s="249"/>
      <c r="Y214" s="252"/>
      <c r="Z214" s="252"/>
      <c r="AA214" s="253"/>
      <c r="AB214" s="253"/>
      <c r="AC214" s="249"/>
      <c r="AD214" s="351"/>
      <c r="AE214" s="249"/>
    </row>
    <row r="215" spans="1:31" s="251" customFormat="1" x14ac:dyDescent="0.25">
      <c r="A215" s="415" t="s">
        <v>14337</v>
      </c>
      <c r="B215" s="249" t="s">
        <v>14295</v>
      </c>
      <c r="C215" s="254">
        <f>IFERROR(VLOOKUP($D$1&amp;" Total",'Resilience marker'!$A$5:$J$120,6,FALSE)/VLOOKUP($D$1&amp;" Total",'Resilience marker'!$A$5:$J$120,9,FALSE),"")</f>
        <v>0.14022140221402213</v>
      </c>
      <c r="D215" s="254" t="str">
        <f>IFERROR(VLOOKUP($F$1&amp;" Total",'Resilience marker'!$A$5:$J$120,6,FALSE)/VLOOKUP($F$1&amp;" Total",'Resilience marker'!$A$5:$J$120,9,FALSE),"")</f>
        <v/>
      </c>
      <c r="E215" s="254">
        <f>IFERROR(VLOOKUP("Grand Total",'Resilience marker'!$A$5:$J$120,6,FALSE)/VLOOKUP("Grand Total",'Resilience marker'!$A$5:$J$120,9,FALSE),"")</f>
        <v>0.14736842105263157</v>
      </c>
      <c r="F215" s="249"/>
      <c r="G215" s="249"/>
      <c r="H215" s="249"/>
      <c r="I215" s="249"/>
      <c r="J215" s="249"/>
      <c r="K215" s="249"/>
      <c r="L215" s="249"/>
      <c r="M215" s="249"/>
      <c r="Y215" s="252"/>
      <c r="Z215" s="252"/>
      <c r="AA215" s="253"/>
      <c r="AB215" s="253"/>
      <c r="AC215" s="249"/>
      <c r="AD215" s="351"/>
      <c r="AE215" s="249"/>
    </row>
    <row r="216" spans="1:31" s="251" customFormat="1" x14ac:dyDescent="0.25">
      <c r="A216" s="415"/>
      <c r="B216" s="249" t="s">
        <v>14294</v>
      </c>
      <c r="C216" s="254">
        <f>IFERROR(VLOOKUP($D$1&amp;" Total",'Resilience marker'!$A$5:$J$120,5,FALSE)/VLOOKUP($D$1&amp;" Total",'Resilience marker'!$A$5:$J$120,9,FALSE),"")</f>
        <v>0.10332103321033211</v>
      </c>
      <c r="D216" s="254" t="str">
        <f>IFERROR(VLOOKUP($F$1&amp;" Total",'Resilience marker'!$A$5:$J$120,5,FALSE)/VLOOKUP($F$1&amp;" Total",'Resilience marker'!$A$5:$J$120,9,FALSE),"")</f>
        <v/>
      </c>
      <c r="E216" s="254">
        <f>IFERROR(VLOOKUP("Grand Total",'Resilience marker'!$A$5:$J$120,5,FALSE)/VLOOKUP("Grand Total",'Resilience marker'!$A$5:$J$120,9,FALSE),"")</f>
        <v>7.2631578947368422E-2</v>
      </c>
      <c r="F216" s="249"/>
      <c r="G216" s="249"/>
      <c r="H216" s="249"/>
      <c r="I216" s="249"/>
      <c r="J216" s="249"/>
      <c r="K216" s="249"/>
      <c r="L216" s="249"/>
      <c r="M216" s="249"/>
      <c r="Y216" s="252"/>
      <c r="Z216" s="252"/>
      <c r="AA216" s="253"/>
      <c r="AB216" s="253"/>
      <c r="AC216" s="249"/>
      <c r="AD216" s="351"/>
      <c r="AE216" s="249"/>
    </row>
    <row r="217" spans="1:31" s="251" customFormat="1" x14ac:dyDescent="0.25">
      <c r="A217" s="415"/>
      <c r="B217" s="249" t="s">
        <v>14293</v>
      </c>
      <c r="C217" s="254">
        <f>IFERROR(VLOOKUP($D$1&amp;" Total",'Resilience marker'!$A$5:$J$120,4,FALSE)/VLOOKUP($D$1&amp;" Total",'Resilience marker'!$A$5:$J$120,9,FALSE),"")</f>
        <v>0.25830258302583026</v>
      </c>
      <c r="D217" s="254" t="str">
        <f>IFERROR(VLOOKUP($F$1&amp;" Total",'Resilience marker'!$A$5:$J$120,4,FALSE)/VLOOKUP($F$1&amp;" Total",'Resilience marker'!$A$5:$J$120,9,FALSE),"")</f>
        <v/>
      </c>
      <c r="E217" s="254">
        <f>IFERROR(VLOOKUP("Grand Total",'Resilience marker'!$A$5:$J$120,4,FALSE)/VLOOKUP("Grand Total",'Resilience marker'!$A$5:$J$120,9,FALSE),"")</f>
        <v>0.26736842105263159</v>
      </c>
      <c r="F217" s="249"/>
      <c r="G217" s="249"/>
      <c r="H217" s="249"/>
      <c r="I217" s="249"/>
      <c r="J217" s="249"/>
      <c r="K217" s="249"/>
      <c r="L217" s="249"/>
      <c r="M217" s="249"/>
      <c r="Y217" s="252"/>
      <c r="Z217" s="252"/>
      <c r="AA217" s="253"/>
      <c r="AB217" s="253"/>
      <c r="AC217" s="249"/>
      <c r="AD217" s="351"/>
      <c r="AE217" s="249"/>
    </row>
    <row r="218" spans="1:31" s="251" customFormat="1" x14ac:dyDescent="0.25">
      <c r="A218" s="415"/>
      <c r="B218" s="249" t="s">
        <v>14292</v>
      </c>
      <c r="C218" s="254">
        <f>IFERROR(VLOOKUP($D$1&amp;" Total",'Resilience marker'!$A$5:$J$120,3,FALSE)/VLOOKUP($D$1&amp;" Total",'Resilience marker'!$A$5:$J$120,9,FALSE),"")</f>
        <v>0.23247232472324722</v>
      </c>
      <c r="D218" s="254" t="str">
        <f>IFERROR(VLOOKUP($F$1&amp;" Total",'Resilience marker'!$A$5:$J$120,3,FALSE)/VLOOKUP($F$1&amp;" Total",'Resilience marker'!$A$5:$J$120,9,FALSE),"")</f>
        <v/>
      </c>
      <c r="E218" s="254">
        <f>IFERROR(VLOOKUP("Grand Total",'Resilience marker'!$A$5:$J$120,3,FALSE)/VLOOKUP("Grand Total",'Resilience marker'!$A$5:$J$120,9,FALSE),"")</f>
        <v>0.2336842105263158</v>
      </c>
      <c r="F218" s="249"/>
      <c r="G218" s="249"/>
      <c r="H218" s="249"/>
      <c r="I218" s="249"/>
      <c r="J218" s="249"/>
      <c r="K218" s="249"/>
      <c r="L218" s="249"/>
      <c r="M218" s="249"/>
      <c r="Y218" s="252"/>
      <c r="Z218" s="252"/>
      <c r="AA218" s="253"/>
      <c r="AB218" s="253"/>
      <c r="AC218" s="249"/>
      <c r="AD218" s="351"/>
      <c r="AE218" s="249"/>
    </row>
    <row r="219" spans="1:31" s="251" customFormat="1" x14ac:dyDescent="0.25">
      <c r="A219" s="415"/>
      <c r="B219" s="249" t="s">
        <v>14393</v>
      </c>
      <c r="C219" s="254">
        <f>IFERROR(VLOOKUP($D$1&amp;" Total",'Resilience marker'!$A$5:$J$120,2,FALSE)/VLOOKUP($D$1&amp;" Total",'Resilience marker'!$A$5:$J$120,9,FALSE),"")</f>
        <v>0.13284132841328414</v>
      </c>
      <c r="D219" s="254" t="str">
        <f>IFERROR(VLOOKUP($F$1&amp;" Total",'Resilience marker'!$A$5:$J$120,2,FALSE)/VLOOKUP($F$1&amp;" Total",'Resilience marker'!$A$5:$J$120,9,FALSE),"")</f>
        <v/>
      </c>
      <c r="E219" s="254">
        <f>IFERROR(VLOOKUP("Grand Total",'Resilience marker'!$A$5:$J$120,2,FALSE)/VLOOKUP("Grand Total",'Resilience marker'!$A$5:$J$120,9,FALSE),"")</f>
        <v>0.10105263157894737</v>
      </c>
      <c r="F219" s="249"/>
      <c r="G219" s="249"/>
      <c r="H219" s="249"/>
      <c r="I219" s="249"/>
      <c r="J219" s="249"/>
      <c r="K219" s="249"/>
      <c r="L219" s="249"/>
      <c r="M219" s="249"/>
      <c r="N219" s="249"/>
      <c r="O219" s="249"/>
      <c r="P219" s="249"/>
      <c r="Q219" s="249"/>
      <c r="R219" s="249"/>
      <c r="S219" s="249"/>
      <c r="T219" s="249"/>
      <c r="U219" s="249"/>
      <c r="V219" s="249"/>
      <c r="W219" s="249"/>
      <c r="X219" s="249"/>
      <c r="Y219" s="252"/>
      <c r="Z219" s="252"/>
      <c r="AA219" s="253"/>
      <c r="AB219" s="253"/>
      <c r="AC219" s="249"/>
      <c r="AD219" s="351"/>
      <c r="AE219" s="249"/>
    </row>
    <row r="220" spans="1:31" s="251" customFormat="1" x14ac:dyDescent="0.25">
      <c r="A220" s="415"/>
      <c r="B220" s="249" t="s">
        <v>14394</v>
      </c>
      <c r="C220" s="254">
        <f>IFERROR(VLOOKUP($D$1&amp;" Total",'Resilience marker'!$A$5:$J$120,7,FALSE)/VLOOKUP($D$1&amp;" Total",'Resilience marker'!$A$5:$J$120,9,FALSE),"")</f>
        <v>0.13284132841328414</v>
      </c>
      <c r="D220" s="254" t="str">
        <f>IFERROR(VLOOKUP($F$1&amp;" Total",'Resilience marker'!$A$5:$J$120,7,FALSE)/VLOOKUP($F$1&amp;" Total",'Resilience marker'!$A$5:$J$120,9,FALSE),"")</f>
        <v/>
      </c>
      <c r="E220" s="254">
        <f>IFERROR(VLOOKUP("Grand Total",'Resilience marker'!$A$5:$J$120,7,FALSE)/VLOOKUP("Grand Total",'Resilience marker'!$A$5:$J$120,9,FALSE),"")</f>
        <v>0.17789473684210527</v>
      </c>
      <c r="F220" s="249"/>
      <c r="G220" s="249"/>
      <c r="H220" s="249"/>
      <c r="I220" s="249"/>
      <c r="J220" s="249"/>
      <c r="K220" s="249"/>
      <c r="L220" s="249"/>
      <c r="M220" s="249"/>
      <c r="N220" s="249"/>
      <c r="O220" s="249"/>
      <c r="P220" s="249"/>
      <c r="Q220" s="249"/>
      <c r="R220" s="249"/>
      <c r="S220" s="249"/>
      <c r="T220" s="249"/>
      <c r="U220" s="249"/>
      <c r="V220" s="249"/>
      <c r="W220" s="249"/>
      <c r="X220" s="249"/>
      <c r="Y220" s="252"/>
      <c r="Z220" s="252"/>
      <c r="AA220" s="253"/>
      <c r="AB220" s="253"/>
      <c r="AC220" s="249"/>
      <c r="AD220" s="351"/>
      <c r="AE220" s="249"/>
    </row>
    <row r="221" spans="1:31" s="251" customFormat="1" x14ac:dyDescent="0.25">
      <c r="A221" s="249"/>
      <c r="B221" s="249"/>
      <c r="C221" s="249"/>
      <c r="D221" s="249"/>
      <c r="E221" s="249"/>
      <c r="F221" s="249"/>
      <c r="G221" s="249"/>
      <c r="H221" s="249"/>
      <c r="I221" s="249"/>
      <c r="J221" s="249"/>
      <c r="K221" s="249"/>
      <c r="L221" s="249"/>
      <c r="M221" s="249"/>
      <c r="N221" s="249"/>
      <c r="O221" s="249"/>
      <c r="P221" s="249"/>
      <c r="Q221" s="249"/>
      <c r="R221" s="249"/>
      <c r="S221" s="249"/>
      <c r="T221" s="249"/>
      <c r="U221" s="249"/>
      <c r="V221" s="249"/>
      <c r="W221" s="249"/>
      <c r="X221" s="249"/>
      <c r="Y221" s="252"/>
      <c r="Z221" s="252"/>
      <c r="AA221" s="253"/>
      <c r="AB221" s="253"/>
      <c r="AC221" s="249"/>
      <c r="AD221" s="351"/>
      <c r="AE221" s="249"/>
    </row>
    <row r="222" spans="1:31" s="251" customFormat="1" x14ac:dyDescent="0.25">
      <c r="A222" s="249"/>
      <c r="B222" s="249"/>
      <c r="C222" s="249"/>
      <c r="D222" s="249"/>
      <c r="E222" s="249"/>
      <c r="F222" s="249"/>
      <c r="G222" s="249"/>
      <c r="H222" s="249"/>
      <c r="I222" s="249"/>
      <c r="J222" s="249"/>
      <c r="K222" s="249"/>
      <c r="L222" s="249"/>
      <c r="M222" s="249"/>
      <c r="N222" s="249"/>
      <c r="O222" s="249"/>
      <c r="P222" s="249"/>
      <c r="Q222" s="249"/>
      <c r="R222" s="249"/>
      <c r="S222" s="249"/>
      <c r="T222" s="249"/>
      <c r="U222" s="249"/>
      <c r="V222" s="249"/>
      <c r="W222" s="249"/>
      <c r="X222" s="249"/>
      <c r="Y222" s="252"/>
      <c r="Z222" s="252"/>
      <c r="AA222" s="253"/>
      <c r="AB222" s="253"/>
      <c r="AC222" s="249"/>
      <c r="AD222" s="351"/>
      <c r="AE222" s="249"/>
    </row>
    <row r="223" spans="1:31" s="251" customFormat="1" ht="15" x14ac:dyDescent="0.25">
      <c r="A223" s="249"/>
      <c r="B223" s="250" t="str">
        <f>$C$214</f>
        <v>Asia and the Pacific Total</v>
      </c>
      <c r="C223" s="246" t="s">
        <v>14541</v>
      </c>
      <c r="D223" s="246"/>
      <c r="E223" s="246"/>
      <c r="F223" s="246"/>
      <c r="G223" s="246"/>
      <c r="H223" s="249"/>
      <c r="I223" s="249"/>
      <c r="J223" s="249"/>
      <c r="K223" s="249"/>
      <c r="L223" s="249"/>
      <c r="M223" s="249"/>
      <c r="N223" s="249"/>
      <c r="O223" s="249"/>
      <c r="P223" s="249"/>
      <c r="Q223" s="249"/>
      <c r="R223" s="249"/>
      <c r="S223" s="249"/>
      <c r="T223" s="249"/>
      <c r="U223" s="249"/>
      <c r="V223" s="249"/>
      <c r="W223" s="249"/>
      <c r="X223" s="249"/>
      <c r="Y223" s="252"/>
      <c r="Z223" s="252"/>
      <c r="AA223" s="253"/>
      <c r="AB223" s="253"/>
      <c r="AC223" s="249"/>
      <c r="AD223" s="351"/>
      <c r="AE223" s="249"/>
    </row>
    <row r="224" spans="1:31" ht="15" x14ac:dyDescent="0.25">
      <c r="A224" s="65"/>
      <c r="B224" s="246"/>
      <c r="C224" s="247" t="str">
        <f>IFERROR("Did not work on gender"&amp;CHAR(10)&amp;"(n="&amp;(VLOOKUP($D$1&amp;" Total",'Gender marker'!A107:V210,17,FALSE)+VLOOKUP($D$1&amp;" Total",'Gender marker'!A107:V210,18,FALSE))&amp;")","")</f>
        <v>Did not work on gender
(n=0)</v>
      </c>
      <c r="D224" s="247" t="str">
        <f>IFERROR("Worked within existing gender roles"&amp;CHAR(10)&amp;"(n="&amp;(VLOOKUP($D$1&amp;" Total",'Gender marker'!$A$108:$V$211,19,FALSE)+VLOOKUP($D$1&amp;" Total",'Gender marker'!$A$108:$V$211,20,FALSE))&amp;")","")</f>
        <v>Worked within existing gender roles
(n=151)</v>
      </c>
      <c r="E224" s="247" t="str">
        <f>IFERROR("Challenged existing gender roles"&amp;CHAR(10)&amp;"(n="&amp;(VLOOKUP($D$1&amp;" Total",'Gender marker'!$A$108:$V$211,21,FALSE)+VLOOKUP($D$1&amp;" Total",'Gender marker'!$A$108:$V$211,22,FALSE))&amp;")","")</f>
        <v>Challenged existing gender roles
(n=105)</v>
      </c>
      <c r="F224" s="246"/>
      <c r="G224"/>
      <c r="H224" s="65"/>
      <c r="I224" s="65"/>
      <c r="J224" s="65"/>
      <c r="K224" s="65"/>
      <c r="L224" s="65"/>
      <c r="M224" s="65"/>
      <c r="N224" s="65"/>
      <c r="O224" s="65"/>
      <c r="P224" s="65"/>
      <c r="Q224" s="65"/>
      <c r="R224" s="65"/>
      <c r="S224" s="65"/>
      <c r="T224" s="65"/>
      <c r="U224" s="65"/>
      <c r="V224" s="65"/>
      <c r="W224" s="65"/>
      <c r="X224" s="65"/>
      <c r="Y224" s="252"/>
      <c r="Z224" s="252"/>
      <c r="AA224" s="253"/>
      <c r="AB224" s="253"/>
      <c r="AC224" s="249"/>
      <c r="AD224" s="351"/>
      <c r="AE224" s="65"/>
    </row>
    <row r="225" spans="1:31" ht="15" x14ac:dyDescent="0.25">
      <c r="A225" s="65"/>
      <c r="B225" s="246" t="s">
        <v>14538</v>
      </c>
      <c r="C225" s="248" t="str">
        <f>_xlfn.IFNA(VLOOKUP($D$1&amp;" Total",'Gender marker'!$Y$112:$AB$211,2,FALSE),"")</f>
        <v/>
      </c>
      <c r="D225" s="248">
        <f>_xlfn.IFNA(VLOOKUP($D$1&amp;" Total",'Gender marker'!$Y$112:$AB$211,3,FALSE),"")</f>
        <v>0.92715231788079466</v>
      </c>
      <c r="E225" s="248">
        <f>_xlfn.IFNA(VLOOKUP($D$1&amp;" Total",'Gender marker'!$Y$112:$AB$211,4,FALSE),"")</f>
        <v>0.92380952380952386</v>
      </c>
      <c r="F225" s="246"/>
      <c r="G225"/>
      <c r="H225" s="65"/>
      <c r="I225" s="65"/>
      <c r="J225" s="65"/>
      <c r="K225" s="65"/>
      <c r="L225" s="65"/>
      <c r="M225" s="65"/>
      <c r="N225" s="65"/>
      <c r="O225" s="65"/>
      <c r="P225" s="65"/>
      <c r="Q225" s="65"/>
      <c r="R225" s="65"/>
      <c r="S225" s="65"/>
      <c r="T225" s="65"/>
      <c r="U225" s="65"/>
      <c r="V225" s="65"/>
      <c r="W225" s="65"/>
      <c r="X225" s="65"/>
      <c r="Y225" s="252"/>
      <c r="Z225" s="252"/>
      <c r="AA225" s="253"/>
      <c r="AB225" s="253"/>
      <c r="AC225" s="249"/>
      <c r="AD225" s="351"/>
      <c r="AE225" s="65"/>
    </row>
    <row r="226" spans="1:31" ht="15" x14ac:dyDescent="0.25">
      <c r="A226" s="65"/>
      <c r="B226" s="246" t="s">
        <v>14542</v>
      </c>
      <c r="C226" s="248" t="str">
        <f>_xlfn.IFNA(VLOOKUP($D$1&amp;" Total",'Gender marker'!$Y$218:$AB$317,2,FALSE),"")</f>
        <v/>
      </c>
      <c r="D226" s="248">
        <f>_xlfn.IFNA(VLOOKUP($D$1&amp;" Total",'Gender marker'!$Y$218:$AB$317,3,FALSE),"")</f>
        <v>0.92715231788079466</v>
      </c>
      <c r="E226" s="248">
        <f>_xlfn.IFNA(VLOOKUP($D$1&amp;" Total",'Gender marker'!$Y$218:$AB$317,4,FALSE),"")</f>
        <v>0.92380952380952386</v>
      </c>
      <c r="F226" s="246"/>
      <c r="G226"/>
      <c r="H226" s="65"/>
      <c r="I226" s="65"/>
      <c r="J226" s="65"/>
      <c r="K226" s="65"/>
      <c r="L226" s="65"/>
      <c r="M226" s="65"/>
      <c r="N226" s="65"/>
      <c r="O226" s="65"/>
      <c r="P226" s="65"/>
      <c r="Q226" s="65"/>
      <c r="R226" s="65"/>
      <c r="S226" s="65"/>
      <c r="T226" s="65"/>
      <c r="U226" s="65"/>
      <c r="V226" s="65"/>
      <c r="W226" s="65"/>
      <c r="X226" s="65"/>
      <c r="Y226" s="252"/>
      <c r="Z226" s="252"/>
      <c r="AA226" s="253"/>
      <c r="AB226" s="253"/>
      <c r="AC226" s="249"/>
      <c r="AD226" s="351"/>
      <c r="AE226" s="65"/>
    </row>
    <row r="227" spans="1:31" ht="15" x14ac:dyDescent="0.25">
      <c r="A227" s="65"/>
      <c r="B227" s="246" t="s">
        <v>14527</v>
      </c>
      <c r="C227" s="248" t="str">
        <f>_xlfn.IFNA(VLOOKUP($D$1&amp;" Total",'Gender marker'!$Y$320:$AB$423,2,FALSE),"")</f>
        <v/>
      </c>
      <c r="D227" s="248">
        <f>_xlfn.IFNA(VLOOKUP($D$1&amp;" Total",'Gender marker'!$Y$320:$AB$423,3,FALSE),"")</f>
        <v>0.9668874172185431</v>
      </c>
      <c r="E227" s="248">
        <f>_xlfn.IFNA(VLOOKUP($D$1&amp;" Total",'Gender marker'!$Y$320:$AB$423,4,FALSE),"")</f>
        <v>0.83809523809523812</v>
      </c>
      <c r="F227" s="246"/>
      <c r="G227"/>
      <c r="H227" s="65"/>
      <c r="I227" s="65"/>
      <c r="J227" s="65"/>
      <c r="K227" s="65"/>
      <c r="L227" s="65"/>
      <c r="M227" s="65"/>
      <c r="N227" s="65"/>
      <c r="O227" s="65"/>
      <c r="P227" s="65"/>
      <c r="Q227" s="65"/>
      <c r="R227" s="65"/>
      <c r="S227" s="65"/>
      <c r="T227" s="65"/>
      <c r="U227" s="65"/>
      <c r="V227" s="65"/>
      <c r="W227" s="65"/>
      <c r="X227" s="65"/>
      <c r="Y227" s="252"/>
      <c r="Z227" s="252"/>
      <c r="AA227" s="253"/>
      <c r="AB227" s="253"/>
      <c r="AC227" s="249"/>
      <c r="AD227" s="351"/>
      <c r="AE227" s="65"/>
    </row>
    <row r="228" spans="1:31" ht="15" x14ac:dyDescent="0.25">
      <c r="A228" s="65"/>
      <c r="B228" s="246" t="s">
        <v>14543</v>
      </c>
      <c r="C228" s="248" t="str">
        <f>_xlfn.IFNA(VLOOKUP($D$1&amp;" Total",'Gender marker'!$Y$426:$AB$529,2,FALSE),"")</f>
        <v/>
      </c>
      <c r="D228" s="248">
        <f>_xlfn.IFNA(VLOOKUP($D$1&amp;" Total",'Gender marker'!$Y$426:$AB$529,3,FALSE),"")</f>
        <v>0.84666666666666668</v>
      </c>
      <c r="E228" s="248">
        <f>_xlfn.IFNA(VLOOKUP($D$1&amp;" Total",'Gender marker'!$Y$426:$AB$529,4,FALSE),"")</f>
        <v>0.74285714285714288</v>
      </c>
      <c r="F228" s="246"/>
      <c r="G228"/>
      <c r="H228" s="65"/>
      <c r="I228" s="65"/>
      <c r="J228" s="65"/>
      <c r="K228" s="65"/>
      <c r="L228" s="65"/>
      <c r="M228" s="65"/>
      <c r="N228" s="65"/>
      <c r="O228" s="65"/>
      <c r="P228" s="65"/>
      <c r="Q228" s="65"/>
      <c r="R228" s="65"/>
      <c r="S228" s="65"/>
      <c r="T228" s="65"/>
      <c r="U228" s="65"/>
      <c r="V228" s="65"/>
      <c r="W228" s="65"/>
      <c r="X228" s="65"/>
      <c r="Y228" s="252"/>
      <c r="Z228" s="252"/>
      <c r="AA228" s="253"/>
      <c r="AB228" s="253"/>
      <c r="AC228" s="249"/>
      <c r="AD228" s="351"/>
      <c r="AE228" s="65"/>
    </row>
    <row r="229" spans="1:31" x14ac:dyDescent="0.25">
      <c r="A229" s="65"/>
      <c r="B229" s="249"/>
      <c r="C229" s="249"/>
      <c r="D229" s="249"/>
      <c r="E229" s="249"/>
      <c r="F229" s="249"/>
      <c r="G229" s="65"/>
      <c r="H229" s="65"/>
      <c r="I229" s="65"/>
      <c r="J229" s="65"/>
      <c r="K229" s="65"/>
      <c r="L229" s="65"/>
      <c r="M229" s="65"/>
      <c r="N229" s="65"/>
      <c r="O229" s="65"/>
      <c r="P229" s="65"/>
      <c r="Q229" s="65"/>
      <c r="R229" s="65"/>
      <c r="S229" s="65"/>
      <c r="T229" s="65"/>
      <c r="U229" s="65"/>
      <c r="V229" s="65"/>
      <c r="W229" s="65"/>
      <c r="X229" s="65"/>
      <c r="Y229" s="252"/>
      <c r="Z229" s="252"/>
      <c r="AA229" s="253"/>
      <c r="AB229" s="253"/>
      <c r="AC229" s="249"/>
      <c r="AD229" s="351"/>
      <c r="AE229" s="65"/>
    </row>
    <row r="230" spans="1:31" ht="15" x14ac:dyDescent="0.25">
      <c r="A230" s="65"/>
      <c r="B230" s="250" t="str">
        <f>$C$214</f>
        <v>Asia and the Pacific Total</v>
      </c>
      <c r="C230" s="246" t="s">
        <v>14541</v>
      </c>
      <c r="D230" s="246"/>
      <c r="E230" s="246"/>
      <c r="F230" s="249"/>
      <c r="G230" s="65"/>
      <c r="H230" s="65"/>
      <c r="I230" s="65"/>
      <c r="J230" s="65"/>
      <c r="K230" s="65"/>
      <c r="L230" s="65"/>
      <c r="M230" s="65"/>
      <c r="N230" s="65"/>
      <c r="O230" s="65"/>
      <c r="P230" s="65"/>
      <c r="Q230" s="65"/>
      <c r="R230" s="65"/>
      <c r="S230" s="65"/>
      <c r="T230" s="65"/>
      <c r="U230" s="65"/>
      <c r="V230" s="65"/>
      <c r="W230" s="65"/>
      <c r="X230" s="65"/>
      <c r="Y230" s="252"/>
      <c r="Z230" s="252"/>
      <c r="AA230" s="253"/>
      <c r="AB230" s="253"/>
      <c r="AC230" s="249"/>
      <c r="AD230" s="351"/>
      <c r="AE230" s="65"/>
    </row>
    <row r="231" spans="1:31" ht="15" x14ac:dyDescent="0.25">
      <c r="A231" s="65"/>
      <c r="B231" s="246"/>
      <c r="C231" s="247" t="str">
        <f>IFERROR("Did not consider governance"&amp;CHAR(10)&amp;"(n="&amp;(VLOOKUP($D$1&amp;" Total",'Governance marker'!A114:V217,17,FALSE)+VLOOKUP($D$1&amp;" Total",'Governance marker'!A114:V217,18,FALSE))&amp;")","")</f>
        <v>Did not consider governance
(n=7)</v>
      </c>
      <c r="D231" s="247" t="str">
        <f>IFERROR("Worked within existing structures"&amp;CHAR(10)&amp;"(n="&amp;(VLOOKUP($D$1&amp;" Total",'Governance marker'!$A$108:$V$211,19,FALSE)+VLOOKUP($D$1&amp;" Total",'Governance marker'!$A$108:$V$211,20,FALSE))&amp;")","")</f>
        <v>Worked within existing structures
(n=188)</v>
      </c>
      <c r="E231" s="247" t="str">
        <f>IFERROR("Challenged existing structures"&amp;CHAR(10)&amp;"(n="&amp;(VLOOKUP($D$1&amp;" Total",'Governance marker'!$A$108:$V$211,21,FALSE)+VLOOKUP($D$1&amp;" Total",'Governance marker'!$A$108:$V$211,22,FALSE))&amp;")","")</f>
        <v>Challenged existing structures
(n=56)</v>
      </c>
      <c r="F231" s="249"/>
      <c r="G231" s="65"/>
      <c r="H231" s="65"/>
      <c r="I231" s="65"/>
      <c r="J231" s="65"/>
      <c r="K231" s="65"/>
      <c r="L231" s="65"/>
      <c r="M231" s="65"/>
      <c r="N231" s="65"/>
      <c r="O231" s="65"/>
      <c r="P231" s="65"/>
      <c r="Q231" s="65"/>
      <c r="R231" s="65"/>
      <c r="S231" s="65"/>
      <c r="T231" s="65"/>
      <c r="U231" s="65"/>
      <c r="V231" s="65"/>
      <c r="W231" s="65"/>
      <c r="X231" s="65"/>
      <c r="Y231" s="252"/>
      <c r="Z231" s="252"/>
      <c r="AA231" s="253"/>
      <c r="AB231" s="253"/>
      <c r="AC231" s="249"/>
      <c r="AD231" s="351"/>
      <c r="AE231" s="65"/>
    </row>
    <row r="232" spans="1:31" ht="15" x14ac:dyDescent="0.25">
      <c r="A232" s="65"/>
      <c r="B232" s="246" t="s">
        <v>14538</v>
      </c>
      <c r="C232" s="248">
        <f>_xlfn.IFNA(VLOOKUP($D$1&amp;" Total",'Governance marker'!$Y$112:$AB$211,2,FALSE),"")</f>
        <v>0.5714285714285714</v>
      </c>
      <c r="D232" s="248">
        <f>_xlfn.IFNA(VLOOKUP($D$1&amp;" Total",'Governance marker'!$Y$112:$AB$211,3,FALSE),"")</f>
        <v>0.89893617021276595</v>
      </c>
      <c r="E232" s="248">
        <f>_xlfn.IFNA(VLOOKUP($D$1&amp;" Total",'Governance marker'!$Y$112:$AB$211,4,FALSE),"")</f>
        <v>0.8928571428571429</v>
      </c>
      <c r="F232" s="249"/>
      <c r="G232" s="65"/>
      <c r="H232" s="65"/>
      <c r="I232" s="65"/>
      <c r="J232" s="65"/>
      <c r="K232" s="65"/>
      <c r="L232" s="65"/>
      <c r="M232" s="65"/>
      <c r="N232" s="65"/>
      <c r="O232" s="65"/>
      <c r="P232" s="65"/>
      <c r="Q232" s="65"/>
      <c r="R232" s="65"/>
      <c r="S232" s="65"/>
      <c r="T232" s="65"/>
      <c r="U232" s="65"/>
      <c r="V232" s="65"/>
      <c r="W232" s="65"/>
      <c r="X232" s="65"/>
      <c r="Y232" s="252"/>
      <c r="Z232" s="252"/>
      <c r="AA232" s="253"/>
      <c r="AB232" s="253"/>
      <c r="AC232" s="249"/>
      <c r="AD232" s="351"/>
      <c r="AE232" s="65"/>
    </row>
    <row r="233" spans="1:31" ht="15" x14ac:dyDescent="0.25">
      <c r="A233" s="65"/>
      <c r="B233" s="246" t="s">
        <v>14542</v>
      </c>
      <c r="C233" s="248">
        <f>_xlfn.IFNA(VLOOKUP($D$1&amp;" Total",'Governance marker'!$Y$218:$AB$317,2,FALSE),"")</f>
        <v>0.42857142857142855</v>
      </c>
      <c r="D233" s="248">
        <f>_xlfn.IFNA(VLOOKUP($D$1&amp;" Total",'Governance marker'!$Y$218:$AB$317,3,FALSE),"")</f>
        <v>0.89473684210526316</v>
      </c>
      <c r="E233" s="248">
        <f>_xlfn.IFNA(VLOOKUP($D$1&amp;" Total",'Governance marker'!$Y$218:$AB$317,4,FALSE),"")</f>
        <v>0.9285714285714286</v>
      </c>
      <c r="F233" s="249"/>
      <c r="G233" s="65"/>
      <c r="H233" s="65"/>
      <c r="I233" s="65"/>
      <c r="J233" s="65"/>
      <c r="K233" s="65"/>
      <c r="L233" s="65"/>
      <c r="M233" s="65"/>
      <c r="N233" s="65"/>
      <c r="O233" s="65"/>
      <c r="P233" s="65"/>
      <c r="Q233" s="65"/>
      <c r="R233" s="65"/>
      <c r="S233" s="65"/>
      <c r="T233" s="65"/>
      <c r="U233" s="65"/>
      <c r="V233" s="65"/>
      <c r="W233" s="65"/>
      <c r="X233" s="65"/>
      <c r="Y233" s="252"/>
      <c r="Z233" s="252"/>
      <c r="AA233" s="253"/>
      <c r="AB233" s="253"/>
      <c r="AC233" s="249"/>
      <c r="AD233" s="351"/>
      <c r="AE233" s="65"/>
    </row>
    <row r="234" spans="1:31" ht="15" x14ac:dyDescent="0.25">
      <c r="A234" s="65"/>
      <c r="B234" s="246" t="s">
        <v>14557</v>
      </c>
      <c r="C234" s="248">
        <f>_xlfn.IFNA(VLOOKUP($D$1&amp;" Total",'Governance marker'!$Y$320:$AB$423,2,FALSE),"")</f>
        <v>0</v>
      </c>
      <c r="D234" s="248">
        <f>_xlfn.IFNA(VLOOKUP($D$1&amp;" Total",'Governance marker'!$Y$320:$AB$423,3,FALSE),"")</f>
        <v>0.93157894736842106</v>
      </c>
      <c r="E234" s="248">
        <f>_xlfn.IFNA(VLOOKUP($D$1&amp;" Total",'Governance marker'!$Y$320:$AB$423,4,FALSE),"")</f>
        <v>0.9107142857142857</v>
      </c>
      <c r="F234" s="249"/>
      <c r="G234" s="65"/>
      <c r="H234" s="65"/>
      <c r="I234" s="65"/>
      <c r="J234" s="65"/>
      <c r="K234" s="65"/>
      <c r="L234" s="65"/>
      <c r="M234" s="65"/>
      <c r="N234" s="65"/>
      <c r="O234" s="65"/>
      <c r="P234" s="65"/>
      <c r="Q234" s="65"/>
      <c r="R234" s="65"/>
      <c r="S234" s="65"/>
      <c r="T234" s="65"/>
      <c r="U234" s="65"/>
      <c r="V234" s="65"/>
      <c r="W234" s="65"/>
      <c r="X234" s="65"/>
      <c r="Y234" s="252"/>
      <c r="Z234" s="252"/>
      <c r="AA234" s="253"/>
      <c r="AB234" s="253"/>
      <c r="AC234" s="249"/>
      <c r="AD234" s="351"/>
      <c r="AE234" s="65"/>
    </row>
    <row r="235" spans="1:31" ht="15" x14ac:dyDescent="0.25">
      <c r="A235" s="65"/>
      <c r="B235" s="246" t="s">
        <v>14558</v>
      </c>
      <c r="C235" s="248">
        <f>_xlfn.IFNA(VLOOKUP($D$1&amp;" Total",'Governance marker'!$Y$426:$AB$529,2,FALSE),"")</f>
        <v>0.2857142857142857</v>
      </c>
      <c r="D235" s="248">
        <f>_xlfn.IFNA(VLOOKUP($D$1&amp;" Total",'Governance marker'!$Y$426:$AB$529,3,FALSE),"")</f>
        <v>0.85789473684210527</v>
      </c>
      <c r="E235" s="248">
        <f>_xlfn.IFNA(VLOOKUP($D$1&amp;" Total",'Governance marker'!$Y$426:$AB$529,4,FALSE),"")</f>
        <v>0.7321428571428571</v>
      </c>
      <c r="F235" s="249"/>
      <c r="G235" s="65"/>
      <c r="H235" s="65"/>
      <c r="I235" s="65"/>
      <c r="J235" s="65"/>
      <c r="K235" s="65"/>
      <c r="L235" s="65"/>
      <c r="M235" s="65"/>
      <c r="N235" s="65"/>
      <c r="O235" s="65"/>
      <c r="P235" s="65"/>
      <c r="Q235" s="65"/>
      <c r="R235" s="65"/>
      <c r="S235" s="65"/>
      <c r="T235" s="65"/>
      <c r="U235" s="65"/>
      <c r="V235" s="65"/>
      <c r="W235" s="65"/>
      <c r="X235" s="65"/>
      <c r="Y235" s="252"/>
      <c r="Z235" s="252"/>
      <c r="AA235" s="253"/>
      <c r="AB235" s="253"/>
      <c r="AC235" s="249"/>
      <c r="AD235" s="351"/>
      <c r="AE235" s="65"/>
    </row>
    <row r="236" spans="1:31" x14ac:dyDescent="0.25">
      <c r="A236" s="65"/>
      <c r="B236" s="249"/>
      <c r="C236" s="249"/>
      <c r="D236" s="249"/>
      <c r="E236" s="249"/>
      <c r="F236" s="249"/>
      <c r="G236" s="65"/>
      <c r="H236" s="65"/>
      <c r="I236" s="65"/>
      <c r="J236" s="65"/>
      <c r="K236" s="65"/>
      <c r="L236" s="65"/>
      <c r="M236" s="65"/>
      <c r="N236" s="65"/>
      <c r="O236" s="65"/>
      <c r="P236" s="65"/>
      <c r="Q236" s="65"/>
      <c r="R236" s="65"/>
      <c r="S236" s="65"/>
      <c r="T236" s="65"/>
      <c r="U236" s="65"/>
      <c r="V236" s="65"/>
      <c r="W236" s="65"/>
      <c r="X236" s="65"/>
      <c r="Y236" s="252"/>
      <c r="Z236" s="252"/>
      <c r="AA236" s="253"/>
      <c r="AB236" s="253"/>
      <c r="AC236" s="249"/>
      <c r="AD236" s="351"/>
      <c r="AE236" s="65"/>
    </row>
    <row r="237" spans="1:31" ht="15" x14ac:dyDescent="0.25">
      <c r="A237" s="65"/>
      <c r="B237" s="250" t="str">
        <f>$C$214</f>
        <v>Asia and the Pacific Total</v>
      </c>
      <c r="C237" s="246" t="s">
        <v>14541</v>
      </c>
      <c r="D237" s="246"/>
      <c r="E237" s="246"/>
      <c r="F237" s="249"/>
      <c r="G237" s="65"/>
      <c r="H237" s="65"/>
      <c r="I237" s="65"/>
      <c r="J237" s="65"/>
      <c r="K237" s="65"/>
      <c r="L237" s="65"/>
      <c r="M237" s="65"/>
      <c r="N237" s="65"/>
      <c r="O237" s="65"/>
      <c r="P237" s="65"/>
      <c r="Q237" s="65"/>
      <c r="R237" s="65"/>
      <c r="S237" s="65"/>
      <c r="T237" s="65"/>
      <c r="U237" s="65"/>
      <c r="V237" s="65"/>
      <c r="W237" s="65"/>
      <c r="X237" s="65"/>
      <c r="Y237" s="252"/>
      <c r="Z237" s="252"/>
      <c r="AA237" s="253"/>
      <c r="AB237" s="253"/>
      <c r="AC237" s="249"/>
      <c r="AD237" s="351"/>
      <c r="AE237" s="65"/>
    </row>
    <row r="238" spans="1:31" ht="15" x14ac:dyDescent="0.25">
      <c r="A238" s="65"/>
      <c r="B238" s="246"/>
      <c r="C238" s="247" t="str">
        <f>IFERROR("Did not address resilience"&amp;CHAR(10)&amp;"(n="&amp;(VLOOKUP($D$1&amp;" Total",'Resilience marker'!A121:V224,17,FALSE)+VLOOKUP($D$1&amp;" Total",'Resilience marker'!A121:V224,18,FALSE))&amp;")","")</f>
        <v>Did not address resilience
(n=30)</v>
      </c>
      <c r="D238" s="247" t="str">
        <f>IFERROR("Addressed resilience"&amp;CHAR(10)&amp;"(n="&amp;(VLOOKUP($D$1&amp;" Total",'Resilience marker'!$A$108:$V$211,19,FALSE)+VLOOKUP($D$1&amp;" Total",'Resilience marker'!$A$108:$V$211,20,FALSE))&amp;")","")</f>
        <v>Addressed resilience
(n=134)</v>
      </c>
      <c r="E238" s="247" t="str">
        <f>IFERROR("Addressed resilience AND underlying drivers"&amp;CHAR(10)&amp;"(n="&amp;(VLOOKUP($D$1&amp;" Total",'Resilience marker'!$A$108:$V$211,21,FALSE)+VLOOKUP($D$1&amp;" Total",'Resilience marker'!$A$108:$V$211,22,FALSE))&amp;")","")</f>
        <v>Addressed resilience AND underlying drivers
(n=65)</v>
      </c>
      <c r="F238" s="249"/>
      <c r="G238" s="65"/>
      <c r="H238" s="65"/>
      <c r="I238" s="65"/>
      <c r="J238" s="65"/>
      <c r="K238" s="65"/>
      <c r="L238" s="65"/>
      <c r="M238" s="65"/>
      <c r="N238" s="65"/>
      <c r="O238" s="65"/>
      <c r="P238" s="65"/>
      <c r="Q238" s="65"/>
      <c r="R238" s="65"/>
      <c r="S238" s="65"/>
      <c r="T238" s="65"/>
      <c r="U238" s="65"/>
      <c r="V238" s="65"/>
      <c r="W238" s="65"/>
      <c r="X238" s="65"/>
      <c r="Y238" s="252"/>
      <c r="Z238" s="252"/>
      <c r="AA238" s="253"/>
      <c r="AB238" s="253"/>
      <c r="AC238" s="249"/>
      <c r="AD238" s="351"/>
      <c r="AE238" s="65"/>
    </row>
    <row r="239" spans="1:31" ht="15" x14ac:dyDescent="0.25">
      <c r="A239" s="65"/>
      <c r="B239" s="246" t="s">
        <v>14538</v>
      </c>
      <c r="C239" s="248">
        <f>_xlfn.IFNA(VLOOKUP($D$1&amp;" Total",'Resilience marker'!$Y$112:$AB$211,2,FALSE),"")</f>
        <v>0.6333333333333333</v>
      </c>
      <c r="D239" s="248">
        <f>_xlfn.IFNA(VLOOKUP($D$1&amp;" Total",'Resilience marker'!$Y$112:$AB$211,3,FALSE),"")</f>
        <v>0.85820895522388063</v>
      </c>
      <c r="E239" s="248">
        <f>_xlfn.IFNA(VLOOKUP($D$1&amp;" Total",'Resilience marker'!$Y$112:$AB$211,4,FALSE),"")</f>
        <v>0.72307692307692306</v>
      </c>
      <c r="F239" s="249"/>
      <c r="G239" s="65"/>
      <c r="H239" s="65"/>
      <c r="I239" s="65"/>
      <c r="J239" s="65"/>
      <c r="K239" s="65"/>
      <c r="L239" s="65"/>
      <c r="M239" s="65"/>
      <c r="N239" s="65"/>
      <c r="O239" s="65"/>
      <c r="P239" s="65"/>
      <c r="Q239" s="65"/>
      <c r="R239" s="65"/>
      <c r="S239" s="65"/>
      <c r="T239" s="65"/>
      <c r="U239" s="65"/>
      <c r="V239" s="65"/>
      <c r="W239" s="65"/>
      <c r="X239" s="65"/>
      <c r="Y239" s="252"/>
      <c r="Z239" s="252"/>
      <c r="AA239" s="253"/>
      <c r="AB239" s="253"/>
      <c r="AC239" s="249"/>
      <c r="AD239" s="351"/>
      <c r="AE239" s="65"/>
    </row>
    <row r="240" spans="1:31" ht="15" x14ac:dyDescent="0.25">
      <c r="A240" s="65"/>
      <c r="B240" s="246" t="s">
        <v>14542</v>
      </c>
      <c r="C240" s="248">
        <f>_xlfn.IFNA(VLOOKUP($D$1&amp;" Total",'Resilience marker'!$Y$218:$AB$317,2,FALSE),"")</f>
        <v>0.58064516129032262</v>
      </c>
      <c r="D240" s="248">
        <f>_xlfn.IFNA(VLOOKUP($D$1&amp;" Total",'Resilience marker'!$Y$218:$AB$317,3,FALSE),"")</f>
        <v>0.78358208955223885</v>
      </c>
      <c r="E240" s="248">
        <f>_xlfn.IFNA(VLOOKUP($D$1&amp;" Total",'Resilience marker'!$Y$218:$AB$317,4,FALSE),"")</f>
        <v>0.84615384615384615</v>
      </c>
      <c r="F240" s="249"/>
      <c r="G240" s="65"/>
      <c r="H240" s="65"/>
      <c r="I240" s="65"/>
      <c r="J240" s="65"/>
      <c r="K240" s="65"/>
      <c r="L240" s="65"/>
      <c r="M240" s="65"/>
      <c r="N240" s="65"/>
      <c r="O240" s="65"/>
      <c r="P240" s="65"/>
      <c r="Q240" s="65"/>
      <c r="R240" s="65"/>
      <c r="S240" s="65"/>
      <c r="T240" s="65"/>
      <c r="U240" s="65"/>
      <c r="V240" s="65"/>
      <c r="W240" s="65"/>
      <c r="X240" s="65"/>
      <c r="Y240" s="252"/>
      <c r="Z240" s="252"/>
      <c r="AA240" s="253"/>
      <c r="AB240" s="253"/>
      <c r="AC240" s="249"/>
      <c r="AD240" s="351"/>
      <c r="AE240" s="65"/>
    </row>
    <row r="241" spans="1:31" ht="15" x14ac:dyDescent="0.25">
      <c r="A241" s="65"/>
      <c r="B241" s="246" t="s">
        <v>14559</v>
      </c>
      <c r="C241" s="248">
        <f>_xlfn.IFNA(VLOOKUP($D$1&amp;" Total",'Resilience marker'!$Y$320:$AB$423,2,FALSE),"")</f>
        <v>0.51724137931034486</v>
      </c>
      <c r="D241" s="248">
        <f>_xlfn.IFNA(VLOOKUP($D$1&amp;" Total",'Resilience marker'!$Y$320:$AB$423,3,FALSE),"")</f>
        <v>0.71969696969696972</v>
      </c>
      <c r="E241" s="248">
        <f>_xlfn.IFNA(VLOOKUP($D$1&amp;" Total",'Resilience marker'!$Y$320:$AB$423,4,FALSE),"")</f>
        <v>0.96969696969696972</v>
      </c>
      <c r="F241" s="249"/>
      <c r="G241" s="65"/>
      <c r="H241" s="65"/>
      <c r="I241" s="65"/>
      <c r="J241" s="65"/>
      <c r="K241" s="65"/>
      <c r="L241" s="65"/>
      <c r="M241" s="65"/>
      <c r="N241" s="65"/>
      <c r="O241" s="65"/>
      <c r="P241" s="65"/>
      <c r="Q241" s="65"/>
      <c r="R241" s="65"/>
      <c r="S241" s="65"/>
      <c r="T241" s="65"/>
      <c r="U241" s="65"/>
      <c r="V241" s="65"/>
      <c r="W241" s="65"/>
      <c r="X241" s="65"/>
      <c r="Y241" s="252"/>
      <c r="Z241" s="252"/>
      <c r="AA241" s="253"/>
      <c r="AB241" s="253"/>
      <c r="AC241" s="249"/>
      <c r="AD241" s="351"/>
      <c r="AE241" s="65"/>
    </row>
    <row r="242" spans="1:31" ht="15" x14ac:dyDescent="0.25">
      <c r="A242" s="65"/>
      <c r="B242"/>
      <c r="C242" s="248"/>
      <c r="D242" s="248"/>
      <c r="E242" s="248"/>
      <c r="F242" s="65"/>
      <c r="G242" s="65"/>
      <c r="H242" s="65"/>
      <c r="I242" s="65"/>
      <c r="J242" s="65"/>
      <c r="K242" s="65"/>
      <c r="L242" s="65"/>
      <c r="M242" s="65"/>
      <c r="N242" s="65"/>
      <c r="O242" s="65"/>
      <c r="P242" s="65"/>
      <c r="Q242" s="65"/>
      <c r="R242" s="65"/>
      <c r="S242" s="65"/>
      <c r="T242" s="65"/>
      <c r="U242" s="65"/>
      <c r="V242" s="65"/>
      <c r="W242" s="65"/>
      <c r="X242" s="65"/>
      <c r="Y242" s="252"/>
      <c r="Z242" s="252"/>
      <c r="AA242" s="253"/>
      <c r="AB242" s="253"/>
      <c r="AC242" s="249"/>
      <c r="AD242" s="351"/>
      <c r="AE242" s="65"/>
    </row>
    <row r="243" spans="1:31" x14ac:dyDescent="0.25">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252"/>
      <c r="Z243" s="252"/>
      <c r="AA243" s="253"/>
      <c r="AB243" s="253"/>
      <c r="AC243" s="249"/>
      <c r="AD243" s="351"/>
      <c r="AE243" s="65"/>
    </row>
    <row r="244" spans="1:31" x14ac:dyDescent="0.25">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252"/>
      <c r="Z244" s="252"/>
      <c r="AA244" s="253"/>
      <c r="AB244" s="253"/>
      <c r="AC244" s="249"/>
      <c r="AD244" s="351"/>
      <c r="AE244" s="65"/>
    </row>
    <row r="245" spans="1:31" x14ac:dyDescent="0.25">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252"/>
      <c r="Z245" s="252"/>
      <c r="AA245" s="253"/>
      <c r="AB245" s="253"/>
      <c r="AC245" s="249"/>
      <c r="AD245" s="351"/>
      <c r="AE245" s="65"/>
    </row>
    <row r="246" spans="1:31" x14ac:dyDescent="0.25">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252"/>
      <c r="Z246" s="252"/>
      <c r="AA246" s="253"/>
      <c r="AB246" s="253"/>
      <c r="AC246" s="249"/>
      <c r="AD246" s="351"/>
      <c r="AE246" s="65"/>
    </row>
    <row r="247" spans="1:31" x14ac:dyDescent="0.25">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252"/>
      <c r="Z247" s="252"/>
      <c r="AA247" s="253"/>
      <c r="AB247" s="253"/>
      <c r="AC247" s="249"/>
      <c r="AD247" s="351"/>
      <c r="AE247" s="65"/>
    </row>
    <row r="248" spans="1:31" x14ac:dyDescent="0.25">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252"/>
      <c r="Z248" s="252"/>
      <c r="AA248" s="253"/>
      <c r="AB248" s="253"/>
      <c r="AC248" s="249"/>
      <c r="AD248" s="351"/>
      <c r="AE248" s="65"/>
    </row>
    <row r="249" spans="1:31" x14ac:dyDescent="0.25">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252"/>
      <c r="Z249" s="252"/>
      <c r="AA249" s="253"/>
      <c r="AB249" s="253"/>
      <c r="AC249" s="249"/>
      <c r="AD249" s="351"/>
      <c r="AE249" s="65"/>
    </row>
    <row r="250" spans="1:31" x14ac:dyDescent="0.25">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252"/>
      <c r="Z250" s="252"/>
      <c r="AA250" s="253"/>
      <c r="AB250" s="253"/>
      <c r="AC250" s="249"/>
      <c r="AD250" s="351"/>
      <c r="AE250" s="65"/>
    </row>
    <row r="251" spans="1:31" x14ac:dyDescent="0.25">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252"/>
      <c r="Z251" s="252"/>
      <c r="AA251" s="253"/>
      <c r="AB251" s="253"/>
      <c r="AC251" s="249"/>
      <c r="AD251" s="351"/>
      <c r="AE251" s="65"/>
    </row>
    <row r="252" spans="1:31" x14ac:dyDescent="0.25">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252"/>
      <c r="Z252" s="252"/>
      <c r="AA252" s="253"/>
      <c r="AB252" s="253"/>
      <c r="AC252" s="249"/>
      <c r="AD252" s="351"/>
      <c r="AE252" s="65"/>
    </row>
    <row r="253" spans="1:31" x14ac:dyDescent="0.25">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252"/>
      <c r="Z253" s="252"/>
      <c r="AA253" s="253"/>
      <c r="AB253" s="253"/>
      <c r="AC253" s="249"/>
      <c r="AD253" s="351"/>
      <c r="AE253" s="65"/>
    </row>
    <row r="254" spans="1:31" x14ac:dyDescent="0.25">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252"/>
      <c r="Z254" s="252"/>
      <c r="AA254" s="253"/>
      <c r="AB254" s="253"/>
      <c r="AC254" s="249"/>
      <c r="AD254" s="351"/>
      <c r="AE254" s="65"/>
    </row>
    <row r="255" spans="1:31" x14ac:dyDescent="0.25">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252"/>
      <c r="Z255" s="252"/>
      <c r="AA255" s="253"/>
      <c r="AB255" s="253"/>
      <c r="AC255" s="249"/>
      <c r="AD255" s="351"/>
      <c r="AE255" s="65"/>
    </row>
    <row r="256" spans="1:31" x14ac:dyDescent="0.25">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252"/>
      <c r="Z256" s="252"/>
      <c r="AA256" s="253"/>
      <c r="AB256" s="253"/>
      <c r="AC256" s="249"/>
      <c r="AD256" s="351"/>
      <c r="AE256" s="65"/>
    </row>
    <row r="257" spans="1:31" x14ac:dyDescent="0.25">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252"/>
      <c r="Z257" s="252"/>
      <c r="AA257" s="253"/>
      <c r="AB257" s="253"/>
      <c r="AC257" s="249"/>
      <c r="AD257" s="351"/>
      <c r="AE257" s="65"/>
    </row>
    <row r="258" spans="1:31" x14ac:dyDescent="0.25">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252"/>
      <c r="Z258" s="252"/>
      <c r="AA258" s="253"/>
      <c r="AB258" s="253"/>
      <c r="AC258" s="249"/>
      <c r="AD258" s="351"/>
      <c r="AE258" s="65"/>
    </row>
    <row r="259" spans="1:31" x14ac:dyDescent="0.25">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252"/>
      <c r="Z259" s="252"/>
      <c r="AA259" s="253"/>
      <c r="AB259" s="253"/>
      <c r="AC259" s="249"/>
      <c r="AD259" s="351"/>
      <c r="AE259" s="65"/>
    </row>
    <row r="260" spans="1:31" x14ac:dyDescent="0.25">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252"/>
      <c r="Z260" s="252"/>
      <c r="AA260" s="253"/>
      <c r="AB260" s="253"/>
      <c r="AC260" s="249"/>
      <c r="AD260" s="351"/>
      <c r="AE260" s="65"/>
    </row>
    <row r="261" spans="1:31" x14ac:dyDescent="0.25">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252"/>
      <c r="Z261" s="252"/>
      <c r="AA261" s="253"/>
      <c r="AB261" s="253"/>
      <c r="AC261" s="249"/>
      <c r="AD261" s="351"/>
      <c r="AE261" s="65"/>
    </row>
    <row r="262" spans="1:31" x14ac:dyDescent="0.25">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252"/>
      <c r="Z262" s="252"/>
      <c r="AA262" s="253"/>
      <c r="AB262" s="253"/>
      <c r="AC262" s="249"/>
      <c r="AD262" s="351"/>
      <c r="AE262" s="65"/>
    </row>
    <row r="263" spans="1:31" x14ac:dyDescent="0.25">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252"/>
      <c r="Z263" s="252"/>
      <c r="AA263" s="253"/>
      <c r="AB263" s="253"/>
      <c r="AC263" s="249"/>
      <c r="AD263" s="351"/>
      <c r="AE263" s="65"/>
    </row>
    <row r="264" spans="1:31" x14ac:dyDescent="0.25">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252"/>
      <c r="Z264" s="252"/>
      <c r="AA264" s="253"/>
      <c r="AB264" s="253"/>
      <c r="AC264" s="249"/>
      <c r="AD264" s="351"/>
      <c r="AE264" s="65"/>
    </row>
    <row r="265" spans="1:31" x14ac:dyDescent="0.25">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252"/>
      <c r="Z265" s="252"/>
      <c r="AA265" s="253"/>
      <c r="AB265" s="253"/>
      <c r="AC265" s="249"/>
      <c r="AD265" s="351"/>
      <c r="AE265" s="65"/>
    </row>
    <row r="266" spans="1:31" x14ac:dyDescent="0.25">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252"/>
      <c r="Z266" s="252"/>
      <c r="AA266" s="253"/>
      <c r="AB266" s="253"/>
      <c r="AC266" s="249"/>
      <c r="AD266" s="351"/>
      <c r="AE266" s="65"/>
    </row>
    <row r="267" spans="1:31" x14ac:dyDescent="0.25">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252"/>
      <c r="Z267" s="252"/>
      <c r="AA267" s="253"/>
      <c r="AB267" s="253"/>
      <c r="AC267" s="249"/>
      <c r="AD267" s="351"/>
      <c r="AE267" s="65"/>
    </row>
    <row r="268" spans="1:31" x14ac:dyDescent="0.25">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252"/>
      <c r="Z268" s="252"/>
      <c r="AA268" s="253"/>
      <c r="AB268" s="253"/>
      <c r="AC268" s="249"/>
      <c r="AD268" s="351"/>
      <c r="AE268" s="65"/>
    </row>
    <row r="269" spans="1:31" x14ac:dyDescent="0.25">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252"/>
      <c r="Z269" s="252"/>
      <c r="AA269" s="253"/>
      <c r="AB269" s="253"/>
      <c r="AC269" s="249"/>
      <c r="AD269" s="351"/>
      <c r="AE269" s="65"/>
    </row>
    <row r="270" spans="1:31" x14ac:dyDescent="0.25">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252"/>
      <c r="Z270" s="252"/>
      <c r="AA270" s="253"/>
      <c r="AB270" s="253"/>
      <c r="AC270" s="249"/>
      <c r="AD270" s="351"/>
      <c r="AE270" s="65"/>
    </row>
    <row r="271" spans="1:31" x14ac:dyDescent="0.25">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252"/>
      <c r="Z271" s="252"/>
      <c r="AA271" s="253"/>
      <c r="AB271" s="253"/>
      <c r="AC271" s="249"/>
      <c r="AD271" s="351"/>
      <c r="AE271" s="65"/>
    </row>
    <row r="272" spans="1:31" x14ac:dyDescent="0.25">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252"/>
      <c r="Z272" s="252"/>
      <c r="AA272" s="253"/>
      <c r="AB272" s="253"/>
      <c r="AC272" s="249"/>
      <c r="AD272" s="351"/>
      <c r="AE272" s="65"/>
    </row>
    <row r="273" spans="1:31" x14ac:dyDescent="0.25">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252"/>
      <c r="Z273" s="252"/>
      <c r="AA273" s="253"/>
      <c r="AB273" s="253"/>
      <c r="AC273" s="249"/>
      <c r="AD273" s="351"/>
      <c r="AE273" s="65"/>
    </row>
    <row r="274" spans="1:31" x14ac:dyDescent="0.25">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252"/>
      <c r="Z274" s="252"/>
      <c r="AA274" s="253"/>
      <c r="AB274" s="253"/>
      <c r="AC274" s="249"/>
      <c r="AD274" s="351"/>
      <c r="AE274" s="65"/>
    </row>
    <row r="275" spans="1:31" x14ac:dyDescent="0.25">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252"/>
      <c r="Z275" s="252"/>
      <c r="AA275" s="253"/>
      <c r="AB275" s="253"/>
      <c r="AC275" s="249"/>
      <c r="AD275" s="351"/>
      <c r="AE275" s="65"/>
    </row>
    <row r="276" spans="1:31" x14ac:dyDescent="0.25">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252"/>
      <c r="Z276" s="252"/>
      <c r="AA276" s="253"/>
      <c r="AB276" s="253"/>
      <c r="AC276" s="249"/>
      <c r="AD276" s="351"/>
      <c r="AE276" s="65"/>
    </row>
    <row r="277" spans="1:31" x14ac:dyDescent="0.25">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252"/>
      <c r="Z277" s="252"/>
      <c r="AA277" s="253"/>
      <c r="AB277" s="253"/>
      <c r="AC277" s="249"/>
      <c r="AD277" s="351"/>
      <c r="AE277" s="65"/>
    </row>
    <row r="278" spans="1:31" x14ac:dyDescent="0.25">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252"/>
      <c r="Z278" s="252"/>
      <c r="AA278" s="253"/>
      <c r="AB278" s="253"/>
      <c r="AC278" s="249"/>
      <c r="AD278" s="351"/>
      <c r="AE278" s="65"/>
    </row>
    <row r="279" spans="1:31" x14ac:dyDescent="0.25">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252"/>
      <c r="Z279" s="252"/>
      <c r="AA279" s="253"/>
      <c r="AB279" s="253"/>
      <c r="AC279" s="249"/>
      <c r="AD279" s="351"/>
      <c r="AE279" s="65"/>
    </row>
    <row r="280" spans="1:31" x14ac:dyDescent="0.25">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252"/>
      <c r="Z280" s="252"/>
      <c r="AA280" s="253"/>
      <c r="AB280" s="253"/>
      <c r="AC280" s="249"/>
      <c r="AD280" s="351"/>
      <c r="AE280" s="65"/>
    </row>
    <row r="281" spans="1:31" x14ac:dyDescent="0.25">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252"/>
      <c r="Z281" s="252"/>
      <c r="AA281" s="253"/>
      <c r="AB281" s="253"/>
      <c r="AC281" s="249"/>
      <c r="AD281" s="351"/>
      <c r="AE281" s="65"/>
    </row>
    <row r="282" spans="1:31" x14ac:dyDescent="0.25">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252"/>
      <c r="Z282" s="252"/>
      <c r="AA282" s="253"/>
      <c r="AB282" s="253"/>
      <c r="AC282" s="249"/>
      <c r="AD282" s="351"/>
      <c r="AE282" s="65"/>
    </row>
    <row r="283" spans="1:31" x14ac:dyDescent="0.25">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252"/>
      <c r="Z283" s="252"/>
      <c r="AA283" s="253"/>
      <c r="AB283" s="253"/>
      <c r="AC283" s="249"/>
      <c r="AD283" s="351"/>
      <c r="AE283" s="65"/>
    </row>
    <row r="284" spans="1:31" x14ac:dyDescent="0.25">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252"/>
      <c r="Z284" s="252"/>
      <c r="AA284" s="253"/>
      <c r="AB284" s="253"/>
      <c r="AC284" s="249"/>
      <c r="AD284" s="351"/>
      <c r="AE284" s="65"/>
    </row>
    <row r="285" spans="1:31" x14ac:dyDescent="0.25">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252"/>
      <c r="Z285" s="252"/>
      <c r="AA285" s="253"/>
      <c r="AB285" s="253"/>
      <c r="AC285" s="249"/>
      <c r="AD285" s="351"/>
      <c r="AE285" s="65"/>
    </row>
    <row r="286" spans="1:31" x14ac:dyDescent="0.25">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252"/>
      <c r="Z286" s="252"/>
      <c r="AA286" s="253"/>
      <c r="AB286" s="253"/>
      <c r="AC286" s="249"/>
      <c r="AD286" s="351"/>
      <c r="AE286" s="65"/>
    </row>
    <row r="287" spans="1:31" x14ac:dyDescent="0.25">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252"/>
      <c r="Z287" s="252"/>
      <c r="AA287" s="253"/>
      <c r="AB287" s="253"/>
      <c r="AC287" s="249"/>
      <c r="AD287" s="351"/>
      <c r="AE287" s="65"/>
    </row>
    <row r="288" spans="1:31" x14ac:dyDescent="0.25">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252"/>
      <c r="Z288" s="252"/>
      <c r="AA288" s="253"/>
      <c r="AB288" s="253"/>
      <c r="AC288" s="249"/>
      <c r="AD288" s="351"/>
      <c r="AE288" s="65"/>
    </row>
    <row r="289" spans="1:31" x14ac:dyDescent="0.25">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252"/>
      <c r="Z289" s="252"/>
      <c r="AA289" s="253"/>
      <c r="AB289" s="253"/>
      <c r="AC289" s="249"/>
      <c r="AD289" s="351"/>
      <c r="AE289" s="65"/>
    </row>
    <row r="290" spans="1:31" x14ac:dyDescent="0.25">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252"/>
      <c r="Z290" s="252"/>
      <c r="AA290" s="253"/>
      <c r="AB290" s="253"/>
      <c r="AC290" s="249"/>
      <c r="AD290" s="351"/>
      <c r="AE290" s="65"/>
    </row>
    <row r="291" spans="1:31" x14ac:dyDescent="0.25">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252"/>
      <c r="Z291" s="252"/>
      <c r="AA291" s="253"/>
      <c r="AB291" s="253"/>
      <c r="AC291" s="249"/>
      <c r="AD291" s="351"/>
      <c r="AE291" s="65"/>
    </row>
    <row r="292" spans="1:31" x14ac:dyDescent="0.25">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252"/>
      <c r="Z292" s="252"/>
      <c r="AA292" s="253"/>
      <c r="AB292" s="253"/>
      <c r="AC292" s="249"/>
      <c r="AD292" s="351"/>
      <c r="AE292" s="65"/>
    </row>
    <row r="293" spans="1:31" x14ac:dyDescent="0.25">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252"/>
      <c r="Z293" s="252"/>
      <c r="AA293" s="253"/>
      <c r="AB293" s="253"/>
      <c r="AC293" s="249"/>
      <c r="AD293" s="351"/>
      <c r="AE293" s="65"/>
    </row>
    <row r="294" spans="1:31" x14ac:dyDescent="0.25">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252"/>
      <c r="Z294" s="252"/>
      <c r="AA294" s="253"/>
      <c r="AB294" s="253"/>
      <c r="AC294" s="249"/>
      <c r="AD294" s="351"/>
      <c r="AE294" s="65"/>
    </row>
    <row r="295" spans="1:31" x14ac:dyDescent="0.25">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252"/>
      <c r="Z295" s="252"/>
      <c r="AA295" s="253"/>
      <c r="AB295" s="253"/>
      <c r="AC295" s="249"/>
      <c r="AD295" s="351"/>
      <c r="AE295" s="65"/>
    </row>
    <row r="296" spans="1:31" x14ac:dyDescent="0.25">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252"/>
      <c r="Z296" s="252"/>
      <c r="AA296" s="253"/>
      <c r="AB296" s="253"/>
      <c r="AC296" s="249"/>
      <c r="AD296" s="351"/>
      <c r="AE296" s="65"/>
    </row>
    <row r="297" spans="1:31" x14ac:dyDescent="0.25">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252"/>
      <c r="Z297" s="252"/>
      <c r="AA297" s="253"/>
      <c r="AB297" s="253"/>
      <c r="AC297" s="249"/>
      <c r="AD297" s="351"/>
      <c r="AE297" s="65"/>
    </row>
    <row r="298" spans="1:31" x14ac:dyDescent="0.25">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252"/>
      <c r="Z298" s="252"/>
      <c r="AA298" s="253"/>
      <c r="AB298" s="253"/>
      <c r="AC298" s="249"/>
      <c r="AD298" s="351"/>
      <c r="AE298" s="65"/>
    </row>
    <row r="299" spans="1:31" x14ac:dyDescent="0.25">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252"/>
      <c r="Z299" s="252"/>
      <c r="AA299" s="253"/>
      <c r="AB299" s="253"/>
      <c r="AC299" s="249"/>
      <c r="AD299" s="351"/>
      <c r="AE299" s="65"/>
    </row>
    <row r="300" spans="1:31" x14ac:dyDescent="0.25">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252"/>
      <c r="Z300" s="252"/>
      <c r="AA300" s="253"/>
      <c r="AB300" s="253"/>
      <c r="AC300" s="249"/>
      <c r="AD300" s="351"/>
      <c r="AE300" s="65"/>
    </row>
    <row r="301" spans="1:31" x14ac:dyDescent="0.25">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252"/>
      <c r="Z301" s="252"/>
      <c r="AA301" s="253"/>
      <c r="AB301" s="253"/>
      <c r="AC301" s="249"/>
      <c r="AD301" s="351"/>
      <c r="AE301" s="65"/>
    </row>
    <row r="302" spans="1:31" x14ac:dyDescent="0.25">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252"/>
      <c r="Z302" s="252"/>
      <c r="AA302" s="253"/>
      <c r="AB302" s="253"/>
      <c r="AC302" s="249"/>
      <c r="AD302" s="351"/>
      <c r="AE302" s="65"/>
    </row>
    <row r="303" spans="1:31" x14ac:dyDescent="0.25">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252"/>
      <c r="Z303" s="252"/>
      <c r="AA303" s="253"/>
      <c r="AB303" s="253"/>
      <c r="AC303" s="249"/>
      <c r="AD303" s="351"/>
      <c r="AE303" s="65"/>
    </row>
    <row r="304" spans="1:31" x14ac:dyDescent="0.25">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252"/>
      <c r="Z304" s="252"/>
      <c r="AA304" s="253"/>
      <c r="AB304" s="253"/>
      <c r="AC304" s="249"/>
      <c r="AD304" s="351"/>
      <c r="AE304" s="65"/>
    </row>
    <row r="305" spans="1:31" x14ac:dyDescent="0.25">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252"/>
      <c r="Z305" s="252"/>
      <c r="AA305" s="253"/>
      <c r="AB305" s="253"/>
      <c r="AC305" s="249"/>
      <c r="AD305" s="351"/>
      <c r="AE305" s="65"/>
    </row>
    <row r="306" spans="1:31" x14ac:dyDescent="0.25">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252"/>
      <c r="Z306" s="252"/>
      <c r="AA306" s="253"/>
      <c r="AB306" s="253"/>
      <c r="AC306" s="249"/>
      <c r="AD306" s="351"/>
      <c r="AE306" s="65"/>
    </row>
    <row r="307" spans="1:31" x14ac:dyDescent="0.25">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252"/>
      <c r="Z307" s="252"/>
      <c r="AA307" s="253"/>
      <c r="AB307" s="253"/>
      <c r="AC307" s="249"/>
      <c r="AD307" s="351"/>
      <c r="AE307" s="65"/>
    </row>
    <row r="308" spans="1:31" x14ac:dyDescent="0.25">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252"/>
      <c r="Z308" s="252"/>
      <c r="AA308" s="253"/>
      <c r="AB308" s="253"/>
      <c r="AC308" s="249"/>
      <c r="AD308" s="351"/>
      <c r="AE308" s="65"/>
    </row>
    <row r="309" spans="1:31" x14ac:dyDescent="0.25">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252"/>
      <c r="Z309" s="252"/>
      <c r="AA309" s="253"/>
      <c r="AB309" s="253"/>
      <c r="AC309" s="249"/>
      <c r="AD309" s="351"/>
      <c r="AE309" s="65"/>
    </row>
    <row r="310" spans="1:31" x14ac:dyDescent="0.25">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252"/>
      <c r="Z310" s="252"/>
      <c r="AA310" s="253"/>
      <c r="AB310" s="253"/>
      <c r="AC310" s="249"/>
      <c r="AD310" s="351"/>
      <c r="AE310" s="65"/>
    </row>
    <row r="311" spans="1:31" x14ac:dyDescent="0.25">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252"/>
      <c r="Z311" s="252"/>
      <c r="AA311" s="253"/>
      <c r="AB311" s="253"/>
      <c r="AC311" s="249"/>
      <c r="AD311" s="351"/>
      <c r="AE311" s="65"/>
    </row>
    <row r="312" spans="1:31" x14ac:dyDescent="0.25">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252"/>
      <c r="Z312" s="252"/>
      <c r="AA312" s="253"/>
      <c r="AB312" s="253"/>
      <c r="AC312" s="249"/>
      <c r="AD312" s="351"/>
      <c r="AE312" s="65"/>
    </row>
    <row r="313" spans="1:31" x14ac:dyDescent="0.25">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252"/>
      <c r="Z313" s="252"/>
      <c r="AA313" s="253"/>
      <c r="AB313" s="253"/>
      <c r="AC313" s="249"/>
      <c r="AD313" s="351"/>
      <c r="AE313" s="65"/>
    </row>
    <row r="314" spans="1:31" x14ac:dyDescent="0.25">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252"/>
      <c r="Z314" s="252"/>
      <c r="AA314" s="253"/>
      <c r="AB314" s="253"/>
      <c r="AC314" s="249"/>
      <c r="AD314" s="351"/>
      <c r="AE314" s="65"/>
    </row>
    <row r="315" spans="1:31" x14ac:dyDescent="0.25">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252"/>
      <c r="Z315" s="252"/>
      <c r="AA315" s="253"/>
      <c r="AB315" s="253"/>
      <c r="AC315" s="249"/>
      <c r="AD315" s="351"/>
      <c r="AE315" s="65"/>
    </row>
    <row r="316" spans="1:31" x14ac:dyDescent="0.25">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252"/>
      <c r="Z316" s="252"/>
      <c r="AA316" s="253"/>
      <c r="AB316" s="253"/>
      <c r="AC316" s="249"/>
      <c r="AD316" s="351"/>
      <c r="AE316" s="65"/>
    </row>
    <row r="317" spans="1:31" x14ac:dyDescent="0.25">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252"/>
      <c r="Z317" s="252"/>
      <c r="AA317" s="253"/>
      <c r="AB317" s="253"/>
      <c r="AC317" s="249"/>
      <c r="AD317" s="351"/>
      <c r="AE317" s="65"/>
    </row>
    <row r="318" spans="1:31" x14ac:dyDescent="0.25">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252"/>
      <c r="Z318" s="252"/>
      <c r="AA318" s="253"/>
      <c r="AB318" s="253"/>
      <c r="AC318" s="249"/>
      <c r="AD318" s="351"/>
      <c r="AE318" s="65"/>
    </row>
    <row r="319" spans="1:31" x14ac:dyDescent="0.25">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252"/>
      <c r="Z319" s="252"/>
      <c r="AA319" s="253"/>
      <c r="AB319" s="253"/>
      <c r="AC319" s="249"/>
      <c r="AD319" s="351"/>
      <c r="AE319" s="65"/>
    </row>
    <row r="320" spans="1:31" x14ac:dyDescent="0.25">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252"/>
      <c r="Z320" s="252"/>
      <c r="AA320" s="253"/>
      <c r="AB320" s="253"/>
      <c r="AC320" s="249"/>
      <c r="AD320" s="351"/>
      <c r="AE320" s="65"/>
    </row>
    <row r="321" spans="1:31" x14ac:dyDescent="0.25">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252"/>
      <c r="Z321" s="252"/>
      <c r="AA321" s="253"/>
      <c r="AB321" s="253"/>
      <c r="AC321" s="249"/>
      <c r="AD321" s="351"/>
      <c r="AE321" s="65"/>
    </row>
    <row r="322" spans="1:31" x14ac:dyDescent="0.25">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252"/>
      <c r="Z322" s="252"/>
      <c r="AA322" s="253"/>
      <c r="AB322" s="253"/>
      <c r="AC322" s="249"/>
      <c r="AD322" s="351"/>
      <c r="AE322" s="65"/>
    </row>
    <row r="323" spans="1:31" x14ac:dyDescent="0.25">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252"/>
      <c r="Z323" s="252"/>
      <c r="AA323" s="253"/>
      <c r="AB323" s="253"/>
      <c r="AC323" s="249"/>
      <c r="AD323" s="351"/>
      <c r="AE323" s="65"/>
    </row>
    <row r="324" spans="1:31" x14ac:dyDescent="0.25">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252"/>
      <c r="Z324" s="252"/>
      <c r="AA324" s="253"/>
      <c r="AB324" s="253"/>
      <c r="AC324" s="249"/>
      <c r="AD324" s="351"/>
      <c r="AE324" s="65"/>
    </row>
    <row r="325" spans="1:31" x14ac:dyDescent="0.25">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252"/>
      <c r="Z325" s="252"/>
      <c r="AA325" s="253"/>
      <c r="AB325" s="253"/>
      <c r="AC325" s="249"/>
      <c r="AD325" s="351"/>
      <c r="AE325" s="65"/>
    </row>
    <row r="326" spans="1:31" x14ac:dyDescent="0.25">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252"/>
      <c r="Z326" s="252"/>
      <c r="AA326" s="253"/>
      <c r="AB326" s="253"/>
      <c r="AC326" s="249"/>
      <c r="AD326" s="351"/>
      <c r="AE326" s="65"/>
    </row>
    <row r="327" spans="1:31" x14ac:dyDescent="0.25">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252"/>
      <c r="Z327" s="252"/>
      <c r="AA327" s="253"/>
      <c r="AB327" s="253"/>
      <c r="AC327" s="249"/>
      <c r="AD327" s="351"/>
      <c r="AE327" s="65"/>
    </row>
    <row r="328" spans="1:31" x14ac:dyDescent="0.25">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252"/>
      <c r="Z328" s="252"/>
      <c r="AA328" s="253"/>
      <c r="AB328" s="253"/>
      <c r="AC328" s="249"/>
      <c r="AD328" s="351"/>
      <c r="AE328" s="65"/>
    </row>
    <row r="329" spans="1:31" x14ac:dyDescent="0.25">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252"/>
      <c r="Z329" s="252"/>
      <c r="AA329" s="253"/>
      <c r="AB329" s="253"/>
      <c r="AC329" s="249"/>
      <c r="AD329" s="351"/>
      <c r="AE329" s="65"/>
    </row>
    <row r="330" spans="1:31" x14ac:dyDescent="0.25">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252"/>
      <c r="Z330" s="252"/>
      <c r="AA330" s="253"/>
      <c r="AB330" s="253"/>
      <c r="AC330" s="249"/>
      <c r="AD330" s="351"/>
      <c r="AE330" s="65"/>
    </row>
    <row r="331" spans="1:31" x14ac:dyDescent="0.25">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252"/>
      <c r="Z331" s="252"/>
      <c r="AA331" s="253"/>
      <c r="AB331" s="253"/>
      <c r="AC331" s="249"/>
      <c r="AD331" s="351"/>
      <c r="AE331" s="65"/>
    </row>
    <row r="332" spans="1:31" x14ac:dyDescent="0.25">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252"/>
      <c r="Z332" s="252"/>
      <c r="AA332" s="253"/>
      <c r="AB332" s="253"/>
      <c r="AC332" s="249"/>
      <c r="AD332" s="351"/>
      <c r="AE332" s="65"/>
    </row>
    <row r="333" spans="1:31" x14ac:dyDescent="0.25">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252"/>
      <c r="Z333" s="252"/>
      <c r="AA333" s="253"/>
      <c r="AB333" s="253"/>
      <c r="AC333" s="249"/>
      <c r="AD333" s="351"/>
      <c r="AE333" s="65"/>
    </row>
    <row r="334" spans="1:31" x14ac:dyDescent="0.25">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252"/>
      <c r="Z334" s="252"/>
      <c r="AA334" s="253"/>
      <c r="AB334" s="253"/>
      <c r="AC334" s="249"/>
      <c r="AD334" s="351"/>
      <c r="AE334" s="65"/>
    </row>
    <row r="335" spans="1:31" x14ac:dyDescent="0.25">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252"/>
      <c r="Z335" s="252"/>
      <c r="AA335" s="253"/>
      <c r="AB335" s="253"/>
      <c r="AC335" s="249"/>
      <c r="AD335" s="351"/>
      <c r="AE335" s="65"/>
    </row>
    <row r="336" spans="1:31" x14ac:dyDescent="0.25">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252"/>
      <c r="Z336" s="252"/>
      <c r="AA336" s="253"/>
      <c r="AB336" s="253"/>
      <c r="AC336" s="249"/>
      <c r="AD336" s="351"/>
      <c r="AE336" s="65"/>
    </row>
    <row r="337" spans="1:31" x14ac:dyDescent="0.25">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252"/>
      <c r="Z337" s="252"/>
      <c r="AA337" s="253"/>
      <c r="AB337" s="253"/>
      <c r="AC337" s="249"/>
      <c r="AD337" s="351"/>
      <c r="AE337" s="65"/>
    </row>
    <row r="338" spans="1:31" x14ac:dyDescent="0.25">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252"/>
      <c r="Z338" s="252"/>
      <c r="AA338" s="253"/>
      <c r="AB338" s="253"/>
      <c r="AC338" s="249"/>
      <c r="AD338" s="351"/>
      <c r="AE338" s="65"/>
    </row>
    <row r="339" spans="1:31" x14ac:dyDescent="0.25">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252"/>
      <c r="Z339" s="252"/>
      <c r="AA339" s="253"/>
      <c r="AB339" s="253"/>
      <c r="AC339" s="249"/>
      <c r="AD339" s="351"/>
      <c r="AE339" s="65"/>
    </row>
    <row r="340" spans="1:31" x14ac:dyDescent="0.25">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252"/>
      <c r="Z340" s="252"/>
      <c r="AA340" s="253"/>
      <c r="AB340" s="253"/>
      <c r="AC340" s="249"/>
      <c r="AD340" s="351"/>
      <c r="AE340" s="65"/>
    </row>
    <row r="341" spans="1:31" x14ac:dyDescent="0.25">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252"/>
      <c r="Z341" s="252"/>
      <c r="AA341" s="253"/>
      <c r="AB341" s="253"/>
      <c r="AC341" s="249"/>
      <c r="AD341" s="351"/>
      <c r="AE341" s="65"/>
    </row>
    <row r="342" spans="1:31" x14ac:dyDescent="0.25">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252"/>
      <c r="Z342" s="252"/>
      <c r="AA342" s="253"/>
      <c r="AB342" s="253"/>
      <c r="AC342" s="249"/>
      <c r="AD342" s="351"/>
      <c r="AE342" s="65"/>
    </row>
    <row r="343" spans="1:31" x14ac:dyDescent="0.25">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252"/>
      <c r="Z343" s="252"/>
      <c r="AA343" s="253"/>
      <c r="AB343" s="253"/>
      <c r="AC343" s="249"/>
      <c r="AD343" s="351"/>
      <c r="AE343" s="65"/>
    </row>
    <row r="344" spans="1:31" x14ac:dyDescent="0.25">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252"/>
      <c r="Z344" s="252"/>
      <c r="AA344" s="253"/>
      <c r="AB344" s="253"/>
      <c r="AC344" s="249"/>
      <c r="AD344" s="351"/>
      <c r="AE344" s="65"/>
    </row>
    <row r="345" spans="1:31" x14ac:dyDescent="0.25">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252"/>
      <c r="Z345" s="252"/>
      <c r="AA345" s="253"/>
      <c r="AB345" s="253"/>
      <c r="AC345" s="249"/>
      <c r="AD345" s="351"/>
      <c r="AE345" s="65"/>
    </row>
    <row r="346" spans="1:31" x14ac:dyDescent="0.25">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252"/>
      <c r="Z346" s="252"/>
      <c r="AA346" s="253"/>
      <c r="AB346" s="253"/>
      <c r="AC346" s="249"/>
      <c r="AD346" s="351"/>
      <c r="AE346" s="65"/>
    </row>
    <row r="347" spans="1:31" x14ac:dyDescent="0.25">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252"/>
      <c r="Z347" s="252"/>
      <c r="AA347" s="253"/>
      <c r="AB347" s="253"/>
      <c r="AC347" s="249"/>
      <c r="AD347" s="351"/>
      <c r="AE347" s="65"/>
    </row>
    <row r="348" spans="1:31" x14ac:dyDescent="0.25">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252"/>
      <c r="Z348" s="252"/>
      <c r="AA348" s="253"/>
      <c r="AB348" s="253"/>
      <c r="AC348" s="249"/>
      <c r="AD348" s="351"/>
      <c r="AE348" s="65"/>
    </row>
    <row r="349" spans="1:31" x14ac:dyDescent="0.25">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252"/>
      <c r="Z349" s="252"/>
      <c r="AA349" s="253"/>
      <c r="AB349" s="253"/>
      <c r="AC349" s="249"/>
      <c r="AD349" s="351"/>
      <c r="AE349" s="65"/>
    </row>
    <row r="350" spans="1:31" x14ac:dyDescent="0.25">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252"/>
      <c r="Z350" s="252"/>
      <c r="AA350" s="253"/>
      <c r="AB350" s="253"/>
      <c r="AC350" s="249"/>
      <c r="AD350" s="351"/>
      <c r="AE350" s="65"/>
    </row>
    <row r="351" spans="1:31" x14ac:dyDescent="0.25">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252"/>
      <c r="Z351" s="252"/>
      <c r="AA351" s="253"/>
      <c r="AB351" s="253"/>
      <c r="AC351" s="249"/>
      <c r="AD351" s="351"/>
      <c r="AE351" s="65"/>
    </row>
    <row r="352" spans="1:31" x14ac:dyDescent="0.25">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252"/>
      <c r="Z352" s="252"/>
      <c r="AA352" s="253"/>
      <c r="AB352" s="253"/>
      <c r="AC352" s="249"/>
      <c r="AD352" s="351"/>
      <c r="AE352" s="65"/>
    </row>
    <row r="353" spans="1:31" x14ac:dyDescent="0.25">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252"/>
      <c r="Z353" s="252"/>
      <c r="AA353" s="253"/>
      <c r="AB353" s="253"/>
      <c r="AC353" s="249"/>
      <c r="AD353" s="351"/>
      <c r="AE353" s="65"/>
    </row>
    <row r="354" spans="1:31" x14ac:dyDescent="0.25">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252"/>
      <c r="Z354" s="252"/>
      <c r="AA354" s="253"/>
      <c r="AB354" s="253"/>
      <c r="AC354" s="249"/>
      <c r="AD354" s="351"/>
      <c r="AE354" s="65"/>
    </row>
    <row r="355" spans="1:31" x14ac:dyDescent="0.25">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252"/>
      <c r="Z355" s="252"/>
      <c r="AA355" s="253"/>
      <c r="AB355" s="253"/>
      <c r="AC355" s="249"/>
      <c r="AD355" s="351"/>
      <c r="AE355" s="65"/>
    </row>
    <row r="356" spans="1:31" x14ac:dyDescent="0.25">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252"/>
      <c r="Z356" s="252"/>
      <c r="AA356" s="253"/>
      <c r="AB356" s="253"/>
      <c r="AC356" s="249"/>
      <c r="AD356" s="351"/>
      <c r="AE356" s="65"/>
    </row>
    <row r="357" spans="1:31" x14ac:dyDescent="0.25">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252"/>
      <c r="Z357" s="252"/>
      <c r="AA357" s="253"/>
      <c r="AB357" s="253"/>
      <c r="AC357" s="249"/>
      <c r="AD357" s="351"/>
      <c r="AE357" s="65"/>
    </row>
    <row r="358" spans="1:31" x14ac:dyDescent="0.25">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252"/>
      <c r="Z358" s="252"/>
      <c r="AA358" s="253"/>
      <c r="AB358" s="253"/>
      <c r="AC358" s="249"/>
      <c r="AD358" s="351"/>
      <c r="AE358" s="65"/>
    </row>
    <row r="359" spans="1:31" x14ac:dyDescent="0.25">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row>
    <row r="360" spans="1:31" x14ac:dyDescent="0.25">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row>
  </sheetData>
  <mergeCells count="46">
    <mergeCell ref="A141:G143"/>
    <mergeCell ref="I141:V143"/>
    <mergeCell ref="A215:A220"/>
    <mergeCell ref="A147:G149"/>
    <mergeCell ref="I147:V149"/>
    <mergeCell ref="A154:G156"/>
    <mergeCell ref="I154:V156"/>
    <mergeCell ref="A201:A205"/>
    <mergeCell ref="A208:A213"/>
    <mergeCell ref="AA112:AJ115"/>
    <mergeCell ref="Y134:AH136"/>
    <mergeCell ref="A128:G131"/>
    <mergeCell ref="I128:U130"/>
    <mergeCell ref="A133:G136"/>
    <mergeCell ref="I133:U135"/>
    <mergeCell ref="A38:A41"/>
    <mergeCell ref="B38:H40"/>
    <mergeCell ref="A42:A45"/>
    <mergeCell ref="B42:H44"/>
    <mergeCell ref="A46:A49"/>
    <mergeCell ref="B46:H48"/>
    <mergeCell ref="A34:A37"/>
    <mergeCell ref="B34:H36"/>
    <mergeCell ref="H10:L10"/>
    <mergeCell ref="A11:B11"/>
    <mergeCell ref="H12:L12"/>
    <mergeCell ref="A17:H17"/>
    <mergeCell ref="G19:H19"/>
    <mergeCell ref="G20:H20"/>
    <mergeCell ref="G22:H22"/>
    <mergeCell ref="G24:H24"/>
    <mergeCell ref="A28:H28"/>
    <mergeCell ref="A30:A33"/>
    <mergeCell ref="B30:H32"/>
    <mergeCell ref="A3:X3"/>
    <mergeCell ref="A4:X4"/>
    <mergeCell ref="A7:F7"/>
    <mergeCell ref="H7:L7"/>
    <mergeCell ref="A9:B9"/>
    <mergeCell ref="C9:D9"/>
    <mergeCell ref="E9:F9"/>
    <mergeCell ref="J53:J54"/>
    <mergeCell ref="J55:J56"/>
    <mergeCell ref="J57:J58"/>
    <mergeCell ref="J59:J60"/>
    <mergeCell ref="J61:J62"/>
  </mergeCells>
  <conditionalFormatting sqref="G20">
    <cfRule type="cellIs" dxfId="31" priority="16" operator="between">
      <formula>-0.2</formula>
      <formula>0.2</formula>
    </cfRule>
    <cfRule type="cellIs" dxfId="30" priority="17" operator="greaterThan">
      <formula>0.2</formula>
    </cfRule>
    <cfRule type="cellIs" dxfId="29" priority="18" operator="lessThan">
      <formula>-0.2</formula>
    </cfRule>
  </conditionalFormatting>
  <conditionalFormatting sqref="G22">
    <cfRule type="cellIs" dxfId="28" priority="13" operator="between">
      <formula>-0.2</formula>
      <formula>0.2</formula>
    </cfRule>
    <cfRule type="cellIs" dxfId="27" priority="14" operator="greaterThan">
      <formula>0.2</formula>
    </cfRule>
    <cfRule type="cellIs" dxfId="26" priority="15" operator="lessThan">
      <formula>-0.2</formula>
    </cfRule>
  </conditionalFormatting>
  <conditionalFormatting sqref="H23">
    <cfRule type="cellIs" dxfId="25" priority="10" operator="between">
      <formula>-0.2</formula>
      <formula>0.2</formula>
    </cfRule>
    <cfRule type="cellIs" dxfId="24" priority="11" operator="greaterThan">
      <formula>0.2</formula>
    </cfRule>
    <cfRule type="cellIs" dxfId="23" priority="12" operator="lessThan">
      <formula>-0.2</formula>
    </cfRule>
  </conditionalFormatting>
  <conditionalFormatting sqref="H21">
    <cfRule type="cellIs" dxfId="22" priority="4" operator="between">
      <formula>-0.2</formula>
      <formula>0.2</formula>
    </cfRule>
    <cfRule type="cellIs" dxfId="21" priority="5" operator="greaterThan">
      <formula>0.2</formula>
    </cfRule>
    <cfRule type="cellIs" dxfId="20" priority="6" operator="lessThan">
      <formula>-0.2</formula>
    </cfRule>
  </conditionalFormatting>
  <conditionalFormatting sqref="G24">
    <cfRule type="cellIs" dxfId="19" priority="1" operator="between">
      <formula>-0.2</formula>
      <formula>0.2</formula>
    </cfRule>
    <cfRule type="cellIs" dxfId="18" priority="2" stopIfTrue="1" operator="greaterThan">
      <formula>0.2</formula>
    </cfRule>
    <cfRule type="cellIs" dxfId="17" priority="3" operator="lessThan">
      <formula>-0.2</formula>
    </cfRule>
  </conditionalFormatting>
  <dataValidations count="1">
    <dataValidation type="list" allowBlank="1" showInputMessage="1" showErrorMessage="1" sqref="D1">
      <formula1>$AD$3:$AD$9</formula1>
    </dataValidation>
  </dataValidations>
  <pageMargins left="0.23622047244094491" right="0.23622047244094491" top="0.74803149606299213" bottom="0.74803149606299213" header="0.31496062992125984" footer="0.31496062992125984"/>
  <pageSetup paperSize="9" scale="54" fitToHeight="3" orientation="landscape" r:id="rId1"/>
  <rowBreaks count="2" manualBreakCount="2">
    <brk id="50" max="23" man="1"/>
    <brk id="133" max="2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KZ954"/>
  <sheetViews>
    <sheetView zoomScale="60" zoomScaleNormal="60" workbookViewId="0">
      <pane xSplit="7" ySplit="1" topLeftCell="FO298" activePane="bottomRight" state="frozen"/>
      <selection activeCell="B46" sqref="B46:H48"/>
      <selection pane="topRight" activeCell="B46" sqref="B46:H48"/>
      <selection pane="bottomLeft" activeCell="B46" sqref="B46:H48"/>
      <selection pane="bottomRight" activeCell="FO319" sqref="FO319"/>
    </sheetView>
  </sheetViews>
  <sheetFormatPr defaultColWidth="11.42578125" defaultRowHeight="16.5" x14ac:dyDescent="0.3"/>
  <cols>
    <col min="1" max="1" width="13.7109375" style="11" customWidth="1"/>
    <col min="2" max="2" width="13.140625" style="11" customWidth="1"/>
    <col min="3" max="3" width="17.28515625" style="11" customWidth="1"/>
    <col min="4" max="4" width="28.5703125" style="11" customWidth="1"/>
    <col min="5" max="5" width="11.85546875" style="24" customWidth="1"/>
    <col min="6" max="6" width="24" style="11" customWidth="1"/>
    <col min="7" max="7" width="26.28515625" style="11" customWidth="1"/>
    <col min="8" max="8" width="23.7109375" style="11" customWidth="1"/>
    <col min="9" max="9" width="41.42578125" style="11" customWidth="1"/>
    <col min="10" max="10" width="38.5703125" style="11" customWidth="1"/>
    <col min="11" max="11" width="23.85546875" style="11" customWidth="1"/>
    <col min="12" max="12" width="19.85546875" style="11" customWidth="1"/>
    <col min="13" max="13" width="29.28515625" style="11" customWidth="1"/>
    <col min="14" max="14" width="47.42578125" style="11" customWidth="1"/>
    <col min="15" max="17" width="11.42578125" style="11" customWidth="1"/>
    <col min="18" max="18" width="23.28515625" style="11" customWidth="1"/>
    <col min="19" max="19" width="46.85546875" style="11" customWidth="1"/>
    <col min="20" max="22" width="11.42578125" style="11" customWidth="1"/>
    <col min="23" max="23" width="37.140625" style="11" customWidth="1"/>
    <col min="24" max="27" width="11.42578125" style="11" customWidth="1"/>
    <col min="28" max="28" width="25" style="11" customWidth="1"/>
    <col min="29" max="32" width="11.42578125" style="11" customWidth="1"/>
    <col min="33" max="33" width="24.28515625" style="11" customWidth="1"/>
    <col min="34" max="55" width="11.42578125" style="11" customWidth="1"/>
    <col min="56" max="56" width="19" style="23" customWidth="1"/>
    <col min="57" max="57" width="19.140625" style="23" customWidth="1"/>
    <col min="58" max="58" width="17.28515625" style="23" customWidth="1"/>
    <col min="59" max="59" width="11.42578125" style="11" customWidth="1"/>
    <col min="60" max="60" width="26.28515625" style="22" customWidth="1"/>
    <col min="61" max="66" width="11.42578125" style="11" customWidth="1"/>
    <col min="67" max="67" width="24.140625" style="11" customWidth="1"/>
    <col min="68" max="68" width="24.5703125" style="11" customWidth="1"/>
    <col min="69" max="69" width="22.5703125" style="11" customWidth="1"/>
    <col min="70" max="70" width="33.5703125" style="11" customWidth="1"/>
    <col min="71" max="71" width="20.28515625" style="11" customWidth="1"/>
    <col min="72" max="72" width="101.5703125" style="11" customWidth="1"/>
    <col min="73" max="73" width="20.28515625" style="11" customWidth="1"/>
    <col min="74" max="79" width="20.28515625" style="22" customWidth="1"/>
    <col min="80" max="80" width="20.28515625" style="15" customWidth="1"/>
    <col min="81" max="81" width="11.42578125" style="15" customWidth="1"/>
    <col min="82" max="84" width="20.42578125" style="22" customWidth="1"/>
    <col min="85" max="87" width="20.28515625" style="22" customWidth="1"/>
    <col min="88" max="88" width="35.7109375" style="11" customWidth="1"/>
    <col min="89" max="89" width="35.7109375" style="22" customWidth="1"/>
    <col min="90" max="90" width="35.7109375" style="15" customWidth="1"/>
    <col min="91" max="91" width="35.7109375" style="22" customWidth="1"/>
    <col min="92" max="92" width="35.7109375" style="11" customWidth="1"/>
    <col min="93" max="93" width="35.7109375" style="22" customWidth="1"/>
    <col min="94" max="94" width="35.7109375" style="15" customWidth="1"/>
    <col min="95" max="95" width="35.7109375" style="22" customWidth="1"/>
    <col min="96" max="96" width="35.7109375" style="11" customWidth="1"/>
    <col min="97" max="97" width="35.7109375" style="22" customWidth="1"/>
    <col min="98" max="98" width="35.7109375" style="15" customWidth="1"/>
    <col min="99" max="99" width="35.7109375" style="22" customWidth="1"/>
    <col min="100" max="100" width="35.7109375" style="11" customWidth="1"/>
    <col min="101" max="101" width="35.7109375" style="22" customWidth="1"/>
    <col min="102" max="102" width="35.7109375" style="15" customWidth="1"/>
    <col min="103" max="103" width="35.7109375" style="22" customWidth="1"/>
    <col min="104" max="104" width="35.7109375" style="11" customWidth="1"/>
    <col min="105" max="105" width="35.7109375" style="22" customWidth="1"/>
    <col min="106" max="106" width="35.7109375" style="15" customWidth="1"/>
    <col min="107" max="107" width="35.7109375" style="22" customWidth="1"/>
    <col min="108" max="108" width="35.7109375" style="11" customWidth="1"/>
    <col min="109" max="109" width="35.7109375" style="22" customWidth="1"/>
    <col min="110" max="110" width="35.7109375" style="15" customWidth="1"/>
    <col min="111" max="111" width="35.7109375" style="22" customWidth="1"/>
    <col min="112" max="112" width="35.7109375" style="11" customWidth="1"/>
    <col min="113" max="113" width="35.7109375" style="22" customWidth="1"/>
    <col min="114" max="114" width="35.7109375" style="15" customWidth="1"/>
    <col min="115" max="115" width="35.7109375" style="22" customWidth="1"/>
    <col min="116" max="116" width="35.7109375" style="11" customWidth="1"/>
    <col min="117" max="117" width="35.7109375" style="22" customWidth="1"/>
    <col min="118" max="118" width="35.7109375" style="15" customWidth="1"/>
    <col min="119" max="119" width="35.7109375" style="22" customWidth="1"/>
    <col min="120" max="120" width="35.7109375" style="11" customWidth="1"/>
    <col min="121" max="121" width="35.7109375" style="22" customWidth="1"/>
    <col min="122" max="122" width="35.7109375" style="15" customWidth="1"/>
    <col min="123" max="123" width="35.7109375" style="22" customWidth="1"/>
    <col min="124" max="124" width="35.7109375" style="11" customWidth="1"/>
    <col min="125" max="125" width="35.7109375" style="22" customWidth="1"/>
    <col min="126" max="126" width="35.7109375" style="15" customWidth="1"/>
    <col min="127" max="127" width="35.7109375" style="22" customWidth="1"/>
    <col min="128" max="128" width="35.7109375" style="11" customWidth="1"/>
    <col min="129" max="129" width="35.7109375" style="22" customWidth="1"/>
    <col min="130" max="130" width="35.7109375" style="15" customWidth="1"/>
    <col min="131" max="131" width="35.7109375" style="22" customWidth="1"/>
    <col min="132" max="132" width="35.7109375" style="11" customWidth="1"/>
    <col min="133" max="133" width="35.7109375" style="22" customWidth="1"/>
    <col min="134" max="134" width="35.7109375" style="15" customWidth="1"/>
    <col min="135" max="135" width="35.7109375" style="22" customWidth="1"/>
    <col min="136" max="137" width="35.7109375" style="15" customWidth="1"/>
    <col min="138" max="138" width="35.7109375" style="22" customWidth="1"/>
    <col min="139" max="139" width="35.7109375" style="15" customWidth="1"/>
    <col min="140" max="140" width="35.7109375" style="22" customWidth="1"/>
    <col min="141" max="143" width="26.85546875" style="22" customWidth="1"/>
    <col min="144" max="146" width="21.140625" style="22" customWidth="1"/>
    <col min="147" max="147" width="14" style="11" customWidth="1"/>
    <col min="148" max="148" width="35.7109375" style="22" customWidth="1"/>
    <col min="149" max="149" width="35.7109375" style="15" customWidth="1"/>
    <col min="150" max="150" width="35.7109375" style="22" customWidth="1"/>
    <col min="151" max="151" width="35.7109375" style="11" customWidth="1"/>
    <col min="152" max="152" width="35.7109375" style="22" customWidth="1"/>
    <col min="153" max="153" width="35.7109375" style="15" customWidth="1"/>
    <col min="154" max="154" width="35.7109375" style="22" customWidth="1"/>
    <col min="155" max="155" width="35.7109375" style="11" customWidth="1"/>
    <col min="156" max="156" width="35.7109375" style="22" customWidth="1"/>
    <col min="157" max="157" width="35.7109375" style="15" customWidth="1"/>
    <col min="158" max="158" width="35.7109375" style="22" customWidth="1"/>
    <col min="159" max="159" width="35.7109375" style="11" customWidth="1"/>
    <col min="160" max="160" width="35.7109375" style="22" customWidth="1"/>
    <col min="161" max="161" width="35.7109375" style="11" customWidth="1"/>
    <col min="162" max="162" width="35.7109375" style="22" customWidth="1"/>
    <col min="163" max="163" width="35.7109375" style="11" customWidth="1"/>
    <col min="164" max="164" width="35.7109375" style="22" customWidth="1"/>
    <col min="165" max="165" width="35.7109375" style="15" customWidth="1"/>
    <col min="166" max="166" width="35.7109375" style="22" customWidth="1"/>
    <col min="167" max="167" width="35.7109375" style="11" customWidth="1"/>
    <col min="168" max="168" width="35.7109375" style="22" customWidth="1"/>
    <col min="169" max="169" width="35.7109375" style="15" customWidth="1"/>
    <col min="170" max="170" width="35.7109375" style="22" customWidth="1"/>
    <col min="171" max="171" width="35.7109375" style="11" customWidth="1"/>
    <col min="172" max="172" width="35.7109375" style="22" customWidth="1"/>
    <col min="173" max="173" width="35.7109375" style="15" customWidth="1"/>
    <col min="174" max="174" width="35.7109375" style="22" customWidth="1"/>
    <col min="175" max="175" width="35.7109375" style="11" customWidth="1"/>
    <col min="176" max="176" width="35.7109375" style="22" customWidth="1"/>
    <col min="177" max="177" width="35.7109375" style="15" customWidth="1"/>
    <col min="178" max="178" width="35.7109375" style="22" customWidth="1"/>
    <col min="179" max="179" width="35.7109375" style="11" customWidth="1"/>
    <col min="180" max="180" width="35.7109375" style="22" customWidth="1"/>
    <col min="181" max="181" width="35.7109375" style="15" customWidth="1"/>
    <col min="182" max="182" width="35.7109375" style="22" customWidth="1"/>
    <col min="183" max="183" width="35.7109375" style="11" customWidth="1"/>
    <col min="184" max="184" width="35.7109375" style="22" customWidth="1"/>
    <col min="185" max="185" width="35.7109375" style="15" customWidth="1"/>
    <col min="186" max="186" width="35.7109375" style="22" customWidth="1"/>
    <col min="187" max="187" width="35.7109375" style="11" customWidth="1"/>
    <col min="188" max="188" width="35.7109375" style="22" customWidth="1"/>
    <col min="189" max="189" width="35.7109375" style="15" customWidth="1"/>
    <col min="190" max="190" width="35.7109375" style="22" customWidth="1"/>
    <col min="191" max="191" width="35.7109375" style="11" customWidth="1"/>
    <col min="192" max="192" width="35.7109375" style="22" customWidth="1"/>
    <col min="193" max="193" width="35.7109375" style="15" customWidth="1"/>
    <col min="194" max="194" width="35.7109375" style="22" customWidth="1"/>
    <col min="195" max="195" width="35.7109375" style="11" customWidth="1"/>
    <col min="196" max="196" width="35.7109375" style="22" customWidth="1"/>
    <col min="197" max="197" width="35.7109375" style="15" customWidth="1"/>
    <col min="198" max="198" width="35.7109375" style="22" customWidth="1"/>
    <col min="199" max="199" width="35.7109375" style="11" customWidth="1"/>
    <col min="200" max="200" width="35.7109375" style="22" customWidth="1"/>
    <col min="201" max="201" width="35.7109375" style="15" customWidth="1"/>
    <col min="202" max="202" width="35.7109375" style="22" customWidth="1"/>
    <col min="203" max="203" width="35.7109375" style="11" customWidth="1"/>
    <col min="204" max="204" width="35.7109375" style="22" customWidth="1"/>
    <col min="205" max="205" width="35.7109375" style="15" customWidth="1"/>
    <col min="206" max="206" width="35.7109375" style="22" customWidth="1"/>
    <col min="207" max="207" width="35.7109375" style="11" customWidth="1"/>
    <col min="208" max="208" width="35.7109375" style="22" customWidth="1"/>
    <col min="209" max="209" width="35.7109375" style="15" customWidth="1"/>
    <col min="210" max="210" width="35.7109375" style="22" customWidth="1"/>
    <col min="211" max="212" width="35.7109375" style="11" customWidth="1"/>
    <col min="213" max="213" width="35.7109375" style="22" customWidth="1"/>
    <col min="214" max="214" width="35.7109375" style="15" customWidth="1"/>
    <col min="215" max="215" width="35.7109375" style="22" customWidth="1"/>
    <col min="216" max="223" width="11.42578125" style="11" customWidth="1"/>
    <col min="224" max="224" width="21.140625" style="11" customWidth="1"/>
    <col min="225" max="233" width="11.42578125" style="11" customWidth="1"/>
    <col min="234" max="234" width="15.85546875" style="11" customWidth="1"/>
    <col min="235" max="235" width="20.7109375" style="11" customWidth="1"/>
    <col min="236" max="236" width="32.5703125" style="11" customWidth="1"/>
    <col min="237" max="237" width="16.28515625" style="11" customWidth="1"/>
    <col min="238" max="238" width="42.42578125" style="11" customWidth="1"/>
    <col min="239" max="239" width="22.42578125" style="11" customWidth="1"/>
    <col min="240" max="245" width="11.42578125" style="11" customWidth="1"/>
    <col min="246" max="246" width="22.85546875" style="11" customWidth="1"/>
    <col min="247" max="258" width="11.42578125" style="11" customWidth="1"/>
    <col min="259" max="259" width="40.5703125" style="11" customWidth="1"/>
    <col min="260" max="260" width="87.140625" style="11" customWidth="1"/>
    <col min="261" max="261" width="11.42578125" style="11" customWidth="1"/>
    <col min="262" max="262" width="63.42578125" style="11" customWidth="1"/>
    <col min="263" max="263" width="68.7109375" style="11" customWidth="1"/>
    <col min="264" max="264" width="63.42578125" style="11" customWidth="1"/>
    <col min="265" max="265" width="115" style="11" customWidth="1"/>
    <col min="266" max="266" width="61.42578125" style="11" customWidth="1"/>
    <col min="267" max="267" width="51.140625" style="11" customWidth="1"/>
    <col min="268" max="268" width="46.140625" style="11" customWidth="1"/>
    <col min="269" max="269" width="58.85546875" style="11" customWidth="1"/>
    <col min="270" max="270" width="46.7109375" style="11" customWidth="1"/>
    <col min="271" max="271" width="35.42578125" style="11" customWidth="1"/>
    <col min="272" max="272" width="45" style="11" customWidth="1"/>
    <col min="273" max="273" width="31" style="11" customWidth="1"/>
    <col min="274" max="274" width="27.7109375" style="11" customWidth="1"/>
    <col min="275" max="275" width="24" style="11" customWidth="1"/>
    <col min="276" max="276" width="21.85546875" style="22" customWidth="1"/>
    <col min="277" max="277" width="25" style="22" customWidth="1"/>
    <col min="278" max="278" width="22.7109375" style="19" customWidth="1"/>
    <col min="279" max="279" width="25.42578125" style="15" customWidth="1"/>
    <col min="280" max="280" width="24.140625" style="15" customWidth="1"/>
    <col min="281" max="281" width="25.42578125" style="15" customWidth="1"/>
    <col min="282" max="282" width="24.140625" style="15" customWidth="1"/>
    <col min="283" max="283" width="16.42578125" style="319" customWidth="1"/>
    <col min="284" max="286" width="11.42578125" style="11" customWidth="1"/>
    <col min="287" max="287" width="9" style="52" customWidth="1"/>
    <col min="288" max="288" width="11.42578125" style="11" customWidth="1"/>
    <col min="289" max="289" width="25.7109375" style="11" customWidth="1"/>
    <col min="290" max="290" width="26.140625" style="11" customWidth="1"/>
    <col min="291" max="291" width="9" style="52" customWidth="1"/>
    <col min="292" max="292" width="11.42578125" style="11" customWidth="1"/>
    <col min="293" max="293" width="25" style="11" customWidth="1"/>
    <col min="294" max="294" width="11.42578125" style="11" customWidth="1"/>
    <col min="295" max="295" width="9" style="52" customWidth="1"/>
    <col min="296" max="298" width="11.42578125" style="11" customWidth="1"/>
    <col min="299" max="299" width="9" style="52" customWidth="1"/>
    <col min="300" max="300" width="13.28515625" style="11" customWidth="1"/>
    <col min="301" max="301" width="15.28515625" style="11" customWidth="1"/>
    <col min="302" max="305" width="11.42578125" style="11"/>
    <col min="306" max="308" width="39" style="11" customWidth="1"/>
    <col min="309" max="16384" width="11.42578125" style="11"/>
  </cols>
  <sheetData>
    <row r="1" spans="1:312" s="1" customFormat="1" ht="183.75" customHeight="1" x14ac:dyDescent="0.35">
      <c r="A1" s="1" t="s">
        <v>0</v>
      </c>
      <c r="B1" s="1" t="s">
        <v>1</v>
      </c>
      <c r="C1" s="2" t="s">
        <v>2</v>
      </c>
      <c r="D1" s="2" t="s">
        <v>3</v>
      </c>
      <c r="E1" s="324" t="str">
        <f t="shared" ref="E1:E64" si="0">A1</f>
        <v>Country</v>
      </c>
      <c r="F1" s="1" t="s">
        <v>4</v>
      </c>
      <c r="G1" s="2" t="s">
        <v>5</v>
      </c>
      <c r="H1" s="2" t="s">
        <v>6</v>
      </c>
      <c r="I1" s="2" t="s">
        <v>7</v>
      </c>
      <c r="J1" s="1" t="s">
        <v>8</v>
      </c>
      <c r="K1" s="1" t="s">
        <v>9</v>
      </c>
      <c r="L1" s="1" t="s">
        <v>10</v>
      </c>
      <c r="M1" s="2" t="s">
        <v>11</v>
      </c>
      <c r="N1" s="2" t="s">
        <v>12</v>
      </c>
      <c r="O1" s="1" t="s">
        <v>13</v>
      </c>
      <c r="P1" s="1" t="s">
        <v>14</v>
      </c>
      <c r="Q1" s="1" t="s">
        <v>15</v>
      </c>
      <c r="R1" s="2" t="s">
        <v>16</v>
      </c>
      <c r="S1" s="2" t="s">
        <v>17</v>
      </c>
      <c r="T1" s="1" t="s">
        <v>18</v>
      </c>
      <c r="U1" s="1" t="s">
        <v>19</v>
      </c>
      <c r="V1" s="1" t="s">
        <v>20</v>
      </c>
      <c r="W1" s="2" t="s">
        <v>21</v>
      </c>
      <c r="X1" s="2" t="s">
        <v>22</v>
      </c>
      <c r="Y1" s="1" t="s">
        <v>23</v>
      </c>
      <c r="Z1" s="1" t="s">
        <v>24</v>
      </c>
      <c r="AA1" s="1" t="s">
        <v>25</v>
      </c>
      <c r="AB1" s="2" t="s">
        <v>26</v>
      </c>
      <c r="AC1" s="2" t="s">
        <v>27</v>
      </c>
      <c r="AD1" s="1" t="s">
        <v>28</v>
      </c>
      <c r="AE1" s="1" t="s">
        <v>29</v>
      </c>
      <c r="AF1" s="1" t="s">
        <v>30</v>
      </c>
      <c r="AG1" s="2" t="s">
        <v>31</v>
      </c>
      <c r="AH1" s="2" t="s">
        <v>32</v>
      </c>
      <c r="AI1" s="1" t="s">
        <v>33</v>
      </c>
      <c r="AJ1" s="1" t="s">
        <v>34</v>
      </c>
      <c r="AK1" s="1" t="s">
        <v>35</v>
      </c>
      <c r="AL1" s="2" t="s">
        <v>36</v>
      </c>
      <c r="AM1" s="2" t="s">
        <v>37</v>
      </c>
      <c r="AN1" s="1" t="s">
        <v>38</v>
      </c>
      <c r="AO1" s="1" t="s">
        <v>39</v>
      </c>
      <c r="AP1" s="1" t="s">
        <v>40</v>
      </c>
      <c r="AQ1" s="2" t="s">
        <v>41</v>
      </c>
      <c r="AR1" s="2" t="s">
        <v>42</v>
      </c>
      <c r="AS1" s="1" t="s">
        <v>43</v>
      </c>
      <c r="AT1" s="1" t="s">
        <v>44</v>
      </c>
      <c r="AU1" s="1" t="s">
        <v>45</v>
      </c>
      <c r="AV1" s="2" t="s">
        <v>46</v>
      </c>
      <c r="AW1" s="2" t="s">
        <v>47</v>
      </c>
      <c r="AX1" s="1" t="s">
        <v>48</v>
      </c>
      <c r="AY1" s="1" t="s">
        <v>49</v>
      </c>
      <c r="AZ1" s="1" t="s">
        <v>50</v>
      </c>
      <c r="BA1" s="2" t="s">
        <v>51</v>
      </c>
      <c r="BB1" s="2" t="s">
        <v>52</v>
      </c>
      <c r="BC1" s="1" t="s">
        <v>53</v>
      </c>
      <c r="BD1" s="3" t="s">
        <v>54</v>
      </c>
      <c r="BE1" s="3" t="s">
        <v>55</v>
      </c>
      <c r="BF1" s="3" t="s">
        <v>56</v>
      </c>
      <c r="BG1" s="1" t="s">
        <v>57</v>
      </c>
      <c r="BH1" s="4" t="s">
        <v>58</v>
      </c>
      <c r="BI1" s="1" t="s">
        <v>59</v>
      </c>
      <c r="BJ1" s="1" t="s">
        <v>60</v>
      </c>
      <c r="BK1" s="1" t="s">
        <v>61</v>
      </c>
      <c r="BL1" s="1" t="s">
        <v>62</v>
      </c>
      <c r="BM1" s="1" t="s">
        <v>63</v>
      </c>
      <c r="BN1" s="1" t="s">
        <v>64</v>
      </c>
      <c r="BO1" s="5" t="s">
        <v>65</v>
      </c>
      <c r="BP1" s="5" t="s">
        <v>66</v>
      </c>
      <c r="BQ1" s="5" t="s">
        <v>67</v>
      </c>
      <c r="BR1" s="1" t="s">
        <v>68</v>
      </c>
      <c r="BS1" s="6" t="s">
        <v>69</v>
      </c>
      <c r="BT1" s="1" t="s">
        <v>70</v>
      </c>
      <c r="BU1" s="1" t="s">
        <v>71</v>
      </c>
      <c r="BV1" s="7" t="s">
        <v>72</v>
      </c>
      <c r="BW1" s="7" t="s">
        <v>73</v>
      </c>
      <c r="BX1" s="7" t="s">
        <v>74</v>
      </c>
      <c r="BY1" s="7" t="s">
        <v>75</v>
      </c>
      <c r="BZ1" s="7" t="s">
        <v>76</v>
      </c>
      <c r="CA1" s="7" t="s">
        <v>77</v>
      </c>
      <c r="CB1" s="8" t="s">
        <v>78</v>
      </c>
      <c r="CC1" s="8" t="s">
        <v>79</v>
      </c>
      <c r="CD1" s="7" t="s">
        <v>80</v>
      </c>
      <c r="CE1" s="7" t="s">
        <v>81</v>
      </c>
      <c r="CF1" s="7" t="s">
        <v>82</v>
      </c>
      <c r="CG1" s="7" t="s">
        <v>83</v>
      </c>
      <c r="CH1" s="7" t="s">
        <v>84</v>
      </c>
      <c r="CI1" s="7" t="s">
        <v>85</v>
      </c>
      <c r="CJ1" s="1" t="s">
        <v>86</v>
      </c>
      <c r="CK1" s="4" t="s">
        <v>87</v>
      </c>
      <c r="CL1" s="8" t="s">
        <v>88</v>
      </c>
      <c r="CM1" s="4" t="s">
        <v>89</v>
      </c>
      <c r="CN1" s="1" t="s">
        <v>90</v>
      </c>
      <c r="CO1" s="4" t="s">
        <v>91</v>
      </c>
      <c r="CP1" s="8" t="s">
        <v>92</v>
      </c>
      <c r="CQ1" s="4" t="s">
        <v>93</v>
      </c>
      <c r="CR1" s="1" t="s">
        <v>94</v>
      </c>
      <c r="CS1" s="4" t="s">
        <v>95</v>
      </c>
      <c r="CT1" s="8" t="s">
        <v>96</v>
      </c>
      <c r="CU1" s="4" t="s">
        <v>97</v>
      </c>
      <c r="CV1" s="1" t="s">
        <v>98</v>
      </c>
      <c r="CW1" s="4" t="s">
        <v>99</v>
      </c>
      <c r="CX1" s="8" t="s">
        <v>100</v>
      </c>
      <c r="CY1" s="4" t="s">
        <v>101</v>
      </c>
      <c r="CZ1" s="1" t="s">
        <v>102</v>
      </c>
      <c r="DA1" s="4" t="s">
        <v>103</v>
      </c>
      <c r="DB1" s="8" t="s">
        <v>104</v>
      </c>
      <c r="DC1" s="4" t="s">
        <v>105</v>
      </c>
      <c r="DD1" s="1" t="s">
        <v>106</v>
      </c>
      <c r="DE1" s="4" t="s">
        <v>107</v>
      </c>
      <c r="DF1" s="8" t="s">
        <v>108</v>
      </c>
      <c r="DG1" s="4" t="s">
        <v>109</v>
      </c>
      <c r="DH1" s="1" t="s">
        <v>110</v>
      </c>
      <c r="DI1" s="4" t="s">
        <v>111</v>
      </c>
      <c r="DJ1" s="8" t="s">
        <v>112</v>
      </c>
      <c r="DK1" s="4" t="s">
        <v>113</v>
      </c>
      <c r="DL1" s="1" t="s">
        <v>114</v>
      </c>
      <c r="DM1" s="4" t="s">
        <v>115</v>
      </c>
      <c r="DN1" s="8" t="s">
        <v>116</v>
      </c>
      <c r="DO1" s="4" t="s">
        <v>117</v>
      </c>
      <c r="DP1" s="1" t="s">
        <v>118</v>
      </c>
      <c r="DQ1" s="4" t="s">
        <v>119</v>
      </c>
      <c r="DR1" s="8" t="s">
        <v>120</v>
      </c>
      <c r="DS1" s="4" t="s">
        <v>121</v>
      </c>
      <c r="DT1" s="1" t="s">
        <v>122</v>
      </c>
      <c r="DU1" s="4" t="s">
        <v>123</v>
      </c>
      <c r="DV1" s="8" t="s">
        <v>124</v>
      </c>
      <c r="DW1" s="4" t="s">
        <v>125</v>
      </c>
      <c r="DX1" s="1" t="s">
        <v>126</v>
      </c>
      <c r="DY1" s="4" t="s">
        <v>127</v>
      </c>
      <c r="DZ1" s="8" t="s">
        <v>128</v>
      </c>
      <c r="EA1" s="4" t="s">
        <v>129</v>
      </c>
      <c r="EB1" s="1" t="s">
        <v>130</v>
      </c>
      <c r="EC1" s="4" t="s">
        <v>131</v>
      </c>
      <c r="ED1" s="8" t="s">
        <v>132</v>
      </c>
      <c r="EE1" s="4" t="s">
        <v>133</v>
      </c>
      <c r="EF1" s="1" t="s">
        <v>134</v>
      </c>
      <c r="EG1" s="1" t="s">
        <v>135</v>
      </c>
      <c r="EH1" s="4" t="s">
        <v>136</v>
      </c>
      <c r="EI1" s="8" t="s">
        <v>137</v>
      </c>
      <c r="EJ1" s="4" t="s">
        <v>138</v>
      </c>
      <c r="EK1" s="7" t="s">
        <v>139</v>
      </c>
      <c r="EL1" s="7" t="s">
        <v>140</v>
      </c>
      <c r="EM1" s="7" t="s">
        <v>141</v>
      </c>
      <c r="EN1" s="7" t="s">
        <v>142</v>
      </c>
      <c r="EO1" s="7" t="s">
        <v>143</v>
      </c>
      <c r="EP1" s="7" t="s">
        <v>144</v>
      </c>
      <c r="EQ1" s="1" t="s">
        <v>145</v>
      </c>
      <c r="ER1" s="4" t="s">
        <v>146</v>
      </c>
      <c r="ES1" s="8" t="s">
        <v>147</v>
      </c>
      <c r="ET1" s="4" t="s">
        <v>148</v>
      </c>
      <c r="EU1" s="1" t="s">
        <v>149</v>
      </c>
      <c r="EV1" s="4" t="s">
        <v>150</v>
      </c>
      <c r="EW1" s="8" t="s">
        <v>151</v>
      </c>
      <c r="EX1" s="4" t="s">
        <v>152</v>
      </c>
      <c r="EY1" s="1" t="s">
        <v>153</v>
      </c>
      <c r="EZ1" s="4" t="s">
        <v>154</v>
      </c>
      <c r="FA1" s="8" t="s">
        <v>155</v>
      </c>
      <c r="FB1" s="4" t="s">
        <v>156</v>
      </c>
      <c r="FC1" s="1" t="s">
        <v>157</v>
      </c>
      <c r="FD1" s="4" t="s">
        <v>158</v>
      </c>
      <c r="FE1" s="1" t="s">
        <v>159</v>
      </c>
      <c r="FF1" s="4" t="s">
        <v>160</v>
      </c>
      <c r="FG1" s="1" t="s">
        <v>161</v>
      </c>
      <c r="FH1" s="4" t="s">
        <v>162</v>
      </c>
      <c r="FI1" s="8" t="s">
        <v>163</v>
      </c>
      <c r="FJ1" s="4" t="s">
        <v>164</v>
      </c>
      <c r="FK1" s="1" t="s">
        <v>165</v>
      </c>
      <c r="FL1" s="4" t="s">
        <v>166</v>
      </c>
      <c r="FM1" s="8" t="s">
        <v>167</v>
      </c>
      <c r="FN1" s="4" t="s">
        <v>168</v>
      </c>
      <c r="FO1" s="1" t="s">
        <v>169</v>
      </c>
      <c r="FP1" s="4" t="s">
        <v>170</v>
      </c>
      <c r="FQ1" s="8" t="s">
        <v>171</v>
      </c>
      <c r="FR1" s="4" t="s">
        <v>172</v>
      </c>
      <c r="FS1" s="1" t="s">
        <v>173</v>
      </c>
      <c r="FT1" s="4" t="s">
        <v>174</v>
      </c>
      <c r="FU1" s="8" t="s">
        <v>175</v>
      </c>
      <c r="FV1" s="4" t="s">
        <v>176</v>
      </c>
      <c r="FW1" s="1" t="s">
        <v>177</v>
      </c>
      <c r="FX1" s="4" t="s">
        <v>178</v>
      </c>
      <c r="FY1" s="8" t="s">
        <v>179</v>
      </c>
      <c r="FZ1" s="4" t="s">
        <v>180</v>
      </c>
      <c r="GA1" s="1" t="s">
        <v>181</v>
      </c>
      <c r="GB1" s="4" t="s">
        <v>182</v>
      </c>
      <c r="GC1" s="8" t="s">
        <v>183</v>
      </c>
      <c r="GD1" s="4" t="s">
        <v>184</v>
      </c>
      <c r="GE1" s="1" t="s">
        <v>185</v>
      </c>
      <c r="GF1" s="4" t="s">
        <v>186</v>
      </c>
      <c r="GG1" s="8" t="s">
        <v>187</v>
      </c>
      <c r="GH1" s="4" t="s">
        <v>188</v>
      </c>
      <c r="GI1" s="1" t="s">
        <v>189</v>
      </c>
      <c r="GJ1" s="4" t="s">
        <v>190</v>
      </c>
      <c r="GK1" s="8" t="s">
        <v>191</v>
      </c>
      <c r="GL1" s="4" t="s">
        <v>192</v>
      </c>
      <c r="GM1" s="1" t="s">
        <v>193</v>
      </c>
      <c r="GN1" s="4" t="s">
        <v>194</v>
      </c>
      <c r="GO1" s="8" t="s">
        <v>195</v>
      </c>
      <c r="GP1" s="4" t="s">
        <v>196</v>
      </c>
      <c r="GQ1" s="1" t="s">
        <v>197</v>
      </c>
      <c r="GR1" s="4" t="s">
        <v>198</v>
      </c>
      <c r="GS1" s="8" t="s">
        <v>199</v>
      </c>
      <c r="GT1" s="4" t="s">
        <v>200</v>
      </c>
      <c r="GU1" s="1" t="s">
        <v>201</v>
      </c>
      <c r="GV1" s="4" t="s">
        <v>202</v>
      </c>
      <c r="GW1" s="8" t="s">
        <v>203</v>
      </c>
      <c r="GX1" s="4" t="s">
        <v>204</v>
      </c>
      <c r="GY1" s="1" t="s">
        <v>205</v>
      </c>
      <c r="GZ1" s="4" t="s">
        <v>206</v>
      </c>
      <c r="HA1" s="8" t="s">
        <v>207</v>
      </c>
      <c r="HB1" s="4" t="s">
        <v>208</v>
      </c>
      <c r="HC1" s="1" t="s">
        <v>209</v>
      </c>
      <c r="HD1" s="1" t="s">
        <v>210</v>
      </c>
      <c r="HE1" s="4" t="s">
        <v>211</v>
      </c>
      <c r="HF1" s="8" t="s">
        <v>212</v>
      </c>
      <c r="HG1" s="4" t="s">
        <v>213</v>
      </c>
      <c r="HH1" s="1" t="s">
        <v>214</v>
      </c>
      <c r="HI1" s="1" t="s">
        <v>215</v>
      </c>
      <c r="HJ1" s="1" t="s">
        <v>216</v>
      </c>
      <c r="HK1" s="9" t="s">
        <v>217</v>
      </c>
      <c r="HL1" s="1" t="s">
        <v>218</v>
      </c>
      <c r="HM1" s="1" t="s">
        <v>219</v>
      </c>
      <c r="HN1" s="1" t="s">
        <v>220</v>
      </c>
      <c r="HO1" s="1" t="s">
        <v>221</v>
      </c>
      <c r="HP1" s="1" t="s">
        <v>222</v>
      </c>
      <c r="HQ1" s="1" t="s">
        <v>223</v>
      </c>
      <c r="HR1" s="1" t="s">
        <v>224</v>
      </c>
      <c r="HS1" s="1" t="s">
        <v>225</v>
      </c>
      <c r="HT1" s="1" t="s">
        <v>226</v>
      </c>
      <c r="HU1" s="1" t="s">
        <v>227</v>
      </c>
      <c r="HV1" s="1" t="s">
        <v>228</v>
      </c>
      <c r="HW1" s="1" t="s">
        <v>229</v>
      </c>
      <c r="HX1" s="1" t="s">
        <v>230</v>
      </c>
      <c r="HY1" s="1" t="s">
        <v>231</v>
      </c>
      <c r="HZ1" s="2" t="s">
        <v>232</v>
      </c>
      <c r="IA1" s="2" t="s">
        <v>233</v>
      </c>
      <c r="IB1" s="2" t="s">
        <v>234</v>
      </c>
      <c r="IC1" s="2" t="s">
        <v>235</v>
      </c>
      <c r="ID1" s="2" t="s">
        <v>236</v>
      </c>
      <c r="IE1" s="2" t="s">
        <v>237</v>
      </c>
      <c r="IF1" s="2" t="s">
        <v>238</v>
      </c>
      <c r="IG1" s="2" t="s">
        <v>239</v>
      </c>
      <c r="IH1" s="2" t="s">
        <v>240</v>
      </c>
      <c r="II1" s="2" t="s">
        <v>241</v>
      </c>
      <c r="IJ1" s="2" t="s">
        <v>242</v>
      </c>
      <c r="IK1" s="2" t="s">
        <v>243</v>
      </c>
      <c r="IL1" s="2" t="s">
        <v>244</v>
      </c>
      <c r="IM1" s="2" t="s">
        <v>245</v>
      </c>
      <c r="IN1" s="2" t="s">
        <v>246</v>
      </c>
      <c r="IO1" s="2" t="s">
        <v>247</v>
      </c>
      <c r="IP1" s="2" t="s">
        <v>248</v>
      </c>
      <c r="IQ1" s="2" t="s">
        <v>249</v>
      </c>
      <c r="IR1" s="2" t="s">
        <v>250</v>
      </c>
      <c r="IS1" s="2" t="s">
        <v>251</v>
      </c>
      <c r="IT1" s="2" t="s">
        <v>252</v>
      </c>
      <c r="IU1" s="2" t="s">
        <v>253</v>
      </c>
      <c r="IV1" s="2" t="s">
        <v>254</v>
      </c>
      <c r="IW1" s="2" t="s">
        <v>255</v>
      </c>
      <c r="IX1" s="2" t="s">
        <v>256</v>
      </c>
      <c r="IY1" s="2" t="s">
        <v>257</v>
      </c>
      <c r="IZ1" s="2" t="s">
        <v>258</v>
      </c>
      <c r="JA1" s="1" t="s">
        <v>259</v>
      </c>
      <c r="JB1" s="2" t="s">
        <v>260</v>
      </c>
      <c r="JC1" s="2" t="s">
        <v>261</v>
      </c>
      <c r="JD1" s="2" t="s">
        <v>262</v>
      </c>
      <c r="JE1" s="2" t="s">
        <v>263</v>
      </c>
      <c r="JF1" s="2" t="s">
        <v>264</v>
      </c>
      <c r="JG1" s="2" t="s">
        <v>265</v>
      </c>
      <c r="JH1" s="2" t="s">
        <v>266</v>
      </c>
      <c r="JI1" s="2" t="s">
        <v>267</v>
      </c>
      <c r="JJ1" s="2" t="s">
        <v>268</v>
      </c>
      <c r="JK1" s="2" t="s">
        <v>269</v>
      </c>
      <c r="JL1" s="2" t="s">
        <v>270</v>
      </c>
      <c r="JM1" s="2" t="s">
        <v>271</v>
      </c>
      <c r="JN1" s="2" t="s">
        <v>272</v>
      </c>
      <c r="JO1" s="2" t="s">
        <v>273</v>
      </c>
      <c r="JP1" s="4" t="s">
        <v>274</v>
      </c>
      <c r="JQ1" s="4" t="s">
        <v>275</v>
      </c>
      <c r="JR1" s="10" t="s">
        <v>276</v>
      </c>
      <c r="JS1" s="8" t="s">
        <v>277</v>
      </c>
      <c r="JT1" s="8" t="s">
        <v>278</v>
      </c>
      <c r="JU1" s="8" t="s">
        <v>14273</v>
      </c>
      <c r="JV1" s="8" t="s">
        <v>14274</v>
      </c>
      <c r="JW1" s="318" t="s">
        <v>279</v>
      </c>
      <c r="JX1" s="1" t="s">
        <v>280</v>
      </c>
      <c r="JY1" s="1" t="s">
        <v>281</v>
      </c>
      <c r="JZ1" s="1" t="s">
        <v>282</v>
      </c>
      <c r="KA1" s="51" t="s">
        <v>283</v>
      </c>
      <c r="KB1" s="1" t="s">
        <v>284</v>
      </c>
      <c r="KC1" s="1" t="s">
        <v>285</v>
      </c>
      <c r="KD1" s="1" t="s">
        <v>286</v>
      </c>
      <c r="KE1" s="51" t="s">
        <v>287</v>
      </c>
      <c r="KF1" s="1" t="s">
        <v>288</v>
      </c>
      <c r="KG1" s="1" t="s">
        <v>289</v>
      </c>
      <c r="KH1" s="1" t="s">
        <v>290</v>
      </c>
      <c r="KI1" s="51" t="s">
        <v>291</v>
      </c>
      <c r="KJ1" s="1" t="s">
        <v>292</v>
      </c>
      <c r="KK1" s="1" t="s">
        <v>293</v>
      </c>
      <c r="KL1" s="1" t="s">
        <v>294</v>
      </c>
      <c r="KM1" s="51" t="s">
        <v>295</v>
      </c>
      <c r="KN1" s="1" t="s">
        <v>296</v>
      </c>
      <c r="KO1" s="1" t="s">
        <v>297</v>
      </c>
      <c r="KP1" s="1" t="s">
        <v>298</v>
      </c>
      <c r="KQ1" s="1" t="s">
        <v>299</v>
      </c>
      <c r="KR1" s="1" t="s">
        <v>300</v>
      </c>
      <c r="KS1" s="1" t="s">
        <v>301</v>
      </c>
      <c r="KT1" s="1" t="s">
        <v>302</v>
      </c>
      <c r="KU1" s="1" t="s">
        <v>303</v>
      </c>
      <c r="KV1" s="1" t="s">
        <v>304</v>
      </c>
      <c r="KW1" s="1" t="s">
        <v>14531</v>
      </c>
      <c r="KZ1" s="1" t="s">
        <v>14786</v>
      </c>
    </row>
    <row r="2" spans="1:312" x14ac:dyDescent="0.3">
      <c r="A2" s="12" t="s">
        <v>305</v>
      </c>
      <c r="B2" s="12" t="s">
        <v>306</v>
      </c>
      <c r="C2" s="12"/>
      <c r="D2" s="12" t="s">
        <v>423</v>
      </c>
      <c r="E2" s="277" t="str">
        <f t="shared" si="0"/>
        <v>Afghanistan</v>
      </c>
      <c r="F2" s="12" t="s">
        <v>424</v>
      </c>
      <c r="G2" s="12" t="s">
        <v>425</v>
      </c>
      <c r="H2" s="12" t="s">
        <v>310</v>
      </c>
      <c r="I2" s="12" t="s">
        <v>426</v>
      </c>
      <c r="J2" s="278" t="s">
        <v>14563</v>
      </c>
      <c r="K2" s="12"/>
      <c r="L2" s="12"/>
      <c r="M2" s="12"/>
      <c r="N2" s="12"/>
      <c r="O2" s="12"/>
      <c r="P2" s="12"/>
      <c r="Q2" s="12"/>
      <c r="R2" s="12"/>
      <c r="S2" s="12"/>
      <c r="T2" s="12"/>
      <c r="U2" s="12"/>
      <c r="V2" s="12"/>
      <c r="W2" s="12"/>
      <c r="X2" s="12"/>
      <c r="Y2" s="12"/>
      <c r="Z2" s="12"/>
      <c r="AA2" s="12"/>
      <c r="AB2" s="12"/>
      <c r="AC2" s="12"/>
      <c r="AD2" s="12"/>
      <c r="BD2" s="13">
        <v>42705</v>
      </c>
      <c r="BE2" s="13">
        <v>42886</v>
      </c>
      <c r="BF2" s="12"/>
      <c r="BG2" s="12" t="s">
        <v>407</v>
      </c>
      <c r="BH2" s="14">
        <v>495186</v>
      </c>
      <c r="BI2" s="12" t="s">
        <v>351</v>
      </c>
      <c r="BJ2" s="12" t="s">
        <v>314</v>
      </c>
      <c r="BK2" s="12" t="s">
        <v>352</v>
      </c>
      <c r="BL2" s="12" t="s">
        <v>408</v>
      </c>
      <c r="BM2" s="12" t="s">
        <v>409</v>
      </c>
      <c r="BN2" s="12" t="s">
        <v>410</v>
      </c>
      <c r="BO2" s="12" t="s">
        <v>320</v>
      </c>
      <c r="BP2" s="12" t="s">
        <v>319</v>
      </c>
      <c r="BQ2" s="12" t="s">
        <v>319</v>
      </c>
      <c r="BR2" s="12" t="s">
        <v>427</v>
      </c>
      <c r="BS2" s="12" t="s">
        <v>357</v>
      </c>
      <c r="BT2" s="12" t="s">
        <v>428</v>
      </c>
      <c r="BU2" s="12" t="s">
        <v>429</v>
      </c>
      <c r="BV2" s="14">
        <v>617</v>
      </c>
      <c r="BW2" s="14">
        <v>593</v>
      </c>
      <c r="BX2" s="14">
        <v>1210</v>
      </c>
      <c r="BY2" s="14">
        <v>4319</v>
      </c>
      <c r="BZ2" s="14">
        <v>4151</v>
      </c>
      <c r="CA2" s="14">
        <v>8470</v>
      </c>
      <c r="CB2" s="12" t="s">
        <v>430</v>
      </c>
      <c r="CD2" s="14">
        <v>691</v>
      </c>
      <c r="CE2" s="14">
        <v>1009</v>
      </c>
      <c r="CF2" s="14">
        <v>1700</v>
      </c>
      <c r="CG2" s="14">
        <v>6039</v>
      </c>
      <c r="CH2" s="14">
        <v>5963</v>
      </c>
      <c r="CI2" s="14">
        <v>12002</v>
      </c>
      <c r="CJ2" s="12"/>
      <c r="CK2" s="14"/>
      <c r="CL2" s="16"/>
      <c r="CM2" s="14"/>
      <c r="CN2" s="12" t="s">
        <v>320</v>
      </c>
      <c r="CO2" s="14">
        <v>1060</v>
      </c>
      <c r="CP2" s="16">
        <v>0.33</v>
      </c>
      <c r="CQ2" s="14">
        <v>7345</v>
      </c>
      <c r="CR2" s="12"/>
      <c r="CS2" s="14"/>
      <c r="CT2" s="16"/>
      <c r="CU2" s="14"/>
      <c r="CV2" s="12"/>
      <c r="CW2" s="14"/>
      <c r="CX2" s="16"/>
      <c r="CY2" s="14"/>
      <c r="CZ2" s="12"/>
      <c r="DA2" s="14"/>
      <c r="DB2" s="16"/>
      <c r="DC2" s="14"/>
      <c r="DD2" s="11" t="s">
        <v>320</v>
      </c>
      <c r="DE2" s="14">
        <v>1060</v>
      </c>
      <c r="DF2" s="16">
        <v>0.33</v>
      </c>
      <c r="DG2" s="14">
        <v>7345</v>
      </c>
      <c r="DH2" s="12"/>
      <c r="DI2" s="14"/>
      <c r="DJ2" s="16"/>
      <c r="DK2" s="14"/>
      <c r="DL2" s="12"/>
      <c r="DM2" s="14"/>
      <c r="DN2" s="16"/>
      <c r="DO2" s="14"/>
      <c r="DP2" s="12"/>
      <c r="DQ2" s="14"/>
      <c r="DR2" s="16"/>
      <c r="DS2" s="14"/>
      <c r="DT2" s="12"/>
      <c r="DU2" s="14"/>
      <c r="DV2" s="16"/>
      <c r="DW2" s="14"/>
      <c r="DX2" s="12" t="s">
        <v>320</v>
      </c>
      <c r="DY2" s="14">
        <v>300</v>
      </c>
      <c r="DZ2" s="16">
        <v>0.49</v>
      </c>
      <c r="EA2" s="14">
        <v>2040</v>
      </c>
      <c r="EB2" s="11" t="s">
        <v>320</v>
      </c>
      <c r="EC2" s="14">
        <v>1400</v>
      </c>
      <c r="ED2" s="16">
        <v>0.47</v>
      </c>
      <c r="EE2" s="14">
        <v>9962</v>
      </c>
      <c r="EF2" s="12"/>
      <c r="EG2" s="12"/>
      <c r="EH2" s="14"/>
      <c r="EI2" s="16"/>
      <c r="EJ2" s="14"/>
      <c r="EK2" s="14"/>
      <c r="EL2" s="14"/>
      <c r="EM2" s="14">
        <v>0</v>
      </c>
      <c r="EN2" s="14">
        <v>0</v>
      </c>
      <c r="EO2" s="14">
        <v>0</v>
      </c>
      <c r="EP2" s="14">
        <v>0</v>
      </c>
      <c r="EQ2" s="12"/>
      <c r="ER2" s="14"/>
      <c r="ES2" s="16"/>
      <c r="ET2" s="14"/>
      <c r="EU2" s="12"/>
      <c r="EV2" s="14"/>
      <c r="EW2" s="16"/>
      <c r="EX2" s="14"/>
      <c r="EY2" s="12"/>
      <c r="EZ2" s="14"/>
      <c r="FA2" s="16"/>
      <c r="FB2" s="14"/>
      <c r="FC2" s="12"/>
      <c r="FD2" s="14"/>
      <c r="FE2" s="16"/>
      <c r="FF2" s="14"/>
      <c r="FG2" s="12"/>
      <c r="FH2" s="14"/>
      <c r="FI2" s="16"/>
      <c r="FJ2" s="14"/>
      <c r="FK2" s="12"/>
      <c r="FL2" s="14"/>
      <c r="FM2" s="16"/>
      <c r="FN2" s="14"/>
      <c r="FO2" s="12"/>
      <c r="FP2" s="14"/>
      <c r="FQ2" s="16"/>
      <c r="FR2" s="14"/>
      <c r="FS2" s="12"/>
      <c r="FT2" s="14"/>
      <c r="FU2" s="16"/>
      <c r="FV2" s="14"/>
      <c r="FW2" s="12"/>
      <c r="FX2" s="14"/>
      <c r="FY2" s="16"/>
      <c r="FZ2" s="14"/>
      <c r="GA2" s="12"/>
      <c r="GB2" s="14"/>
      <c r="GC2" s="16"/>
      <c r="GD2" s="14"/>
      <c r="GE2" s="12"/>
      <c r="GF2" s="14"/>
      <c r="GG2" s="16"/>
      <c r="GH2" s="14"/>
      <c r="GI2" s="12"/>
      <c r="GJ2" s="14"/>
      <c r="GK2" s="16"/>
      <c r="GL2" s="14"/>
      <c r="GM2" s="12"/>
      <c r="GN2" s="14"/>
      <c r="GO2" s="16"/>
      <c r="GP2" s="14"/>
      <c r="GQ2" s="12"/>
      <c r="GR2" s="14"/>
      <c r="GS2" s="16"/>
      <c r="GT2" s="14"/>
      <c r="GU2" s="12"/>
      <c r="GV2" s="14"/>
      <c r="GW2" s="16"/>
      <c r="GX2" s="14"/>
      <c r="GY2" s="12"/>
      <c r="GZ2" s="14"/>
      <c r="HA2" s="16"/>
      <c r="HB2" s="14"/>
      <c r="HC2" s="12"/>
      <c r="HD2" s="12"/>
      <c r="HE2" s="14"/>
      <c r="HF2" s="16"/>
      <c r="HG2" s="14"/>
      <c r="HH2" s="12" t="s">
        <v>320</v>
      </c>
      <c r="HI2" s="12" t="s">
        <v>431</v>
      </c>
      <c r="HJ2" s="12">
        <v>2017</v>
      </c>
      <c r="HK2" s="12" t="s">
        <v>320</v>
      </c>
      <c r="HL2" s="12" t="s">
        <v>320</v>
      </c>
      <c r="HM2" s="12" t="s">
        <v>415</v>
      </c>
      <c r="HN2" s="12">
        <v>2017</v>
      </c>
      <c r="HO2" s="12"/>
      <c r="HP2" s="12" t="s">
        <v>418</v>
      </c>
      <c r="HQ2" s="12"/>
      <c r="HR2" s="12"/>
      <c r="HS2" s="12"/>
      <c r="HT2" s="12"/>
      <c r="HU2" s="12"/>
      <c r="HV2" s="12"/>
      <c r="HW2" s="12"/>
      <c r="HX2" s="12"/>
      <c r="HY2" s="12"/>
      <c r="HZ2" s="12" t="s">
        <v>363</v>
      </c>
      <c r="IA2" s="12"/>
      <c r="IB2" s="12" t="s">
        <v>333</v>
      </c>
      <c r="IC2" s="12"/>
      <c r="ID2" s="12" t="s">
        <v>364</v>
      </c>
      <c r="IE2" s="12" t="s">
        <v>335</v>
      </c>
      <c r="IF2" s="12" t="s">
        <v>320</v>
      </c>
      <c r="IG2" s="12" t="s">
        <v>320</v>
      </c>
      <c r="IH2" s="12" t="s">
        <v>320</v>
      </c>
      <c r="II2" s="12" t="s">
        <v>320</v>
      </c>
      <c r="IJ2" s="12" t="str">
        <f t="shared" ref="IJ2:IJ65" si="1">IF(IE2="","No marker score",IF(ISNUMBER(SEARCH("select",IE2)),"",IF(ISNUMBER(SEARCH("Did NOT",IE2)),"0. Harmful",IF(ISNUMBER(SEARCH("CHALLENGED",IE2)),IF(IK2=4,"4. Transformative",IF(IK2&gt;1,"3. Responsive",IF(IK2&lt;=1,"No marker score",""))),IF(ISNUMBER(SEARCH("WORKED WITH",IE2)),IF(IK2=4,"2. Sensitive",IF(IK2&gt;1,"1. Neutral","0. Harmful")))))))</f>
        <v>2. Sensitive</v>
      </c>
      <c r="IK2" s="12">
        <f t="shared" ref="IK2:IK65" si="2">COUNTIF(IF2:II2,"=YES")</f>
        <v>4</v>
      </c>
      <c r="IL2" s="12"/>
      <c r="IM2" s="12"/>
      <c r="IN2" s="12"/>
      <c r="IO2" s="12"/>
      <c r="IP2" s="12"/>
      <c r="IQ2" s="12" t="str">
        <f t="shared" ref="IQ2:IQ65" si="3">IF(IL2="","No marker score",IF(ISNUMBER(SEARCH("select",IL2)),"",IF(ISNUMBER(SEARCH("Did NOT",IL2)),"0. Unaware",IF(ISNUMBER(SEARCH("CHALLENGED",IL2)),IF(IR2=4,"4. Transformational",IF(IR2&gt;1,"3. Responsive",IF(IR2&lt;=1,"No marker score",""))),IF(ISNUMBER(SEARCH("WORKED WITH",IL2)),IF(IR2&gt;=3,"2. Accommodating",IF(IR2&gt;=1,"1. Tokenistic","0. Unaware")))))))</f>
        <v>No marker score</v>
      </c>
      <c r="IR2" s="12">
        <f t="shared" ref="IR2:IR65" si="4">COUNTIF(IM2:IP2,"=YES")</f>
        <v>0</v>
      </c>
      <c r="IS2" s="12"/>
      <c r="IT2" s="12"/>
      <c r="IU2" s="12"/>
      <c r="IV2" s="12"/>
      <c r="IW2" s="11" t="str">
        <f t="shared" ref="IW2:IW65" si="5">IF(IS2="","No marker score",IF(ISNUMBER(SEARCH("select",IS2)),"",IF(ISNUMBER(SEARCH("Did NOT",IS2)),"0. Harmful",IF(ISNUMBER(SEARCH("well",IS2)),IF(IX2=3,"4. Transformative",IF(IX2&gt;=1,"3. Responsive",IF(IX2=0,"No marker score",""))),IF(ISNUMBER(SEARCH(".",IS2)),IF(IX2&gt;=3,"2. Sensitive",IF(IX2&gt;=1,"1. Neutral","0. Harmful")))))))</f>
        <v>No marker score</v>
      </c>
      <c r="IX2" s="12">
        <f t="shared" ref="IX2:IX65" si="6">COUNTIF(IT2:IV2,"=YES")</f>
        <v>0</v>
      </c>
      <c r="IY2" s="12" t="s">
        <v>419</v>
      </c>
      <c r="IZ2" s="12" t="s">
        <v>432</v>
      </c>
      <c r="JA2" s="12">
        <v>1</v>
      </c>
      <c r="JB2" s="12" t="s">
        <v>433</v>
      </c>
      <c r="JC2" s="12"/>
      <c r="JD2" s="12"/>
      <c r="JE2" s="12" t="s">
        <v>340</v>
      </c>
      <c r="JF2" s="12" t="s">
        <v>434</v>
      </c>
      <c r="JG2" s="12" t="s">
        <v>435</v>
      </c>
      <c r="JH2" s="12"/>
      <c r="JI2" s="12"/>
      <c r="JJ2" s="12"/>
      <c r="JK2" s="12" t="s">
        <v>436</v>
      </c>
      <c r="JL2" s="12" t="s">
        <v>437</v>
      </c>
      <c r="JM2" s="12" t="s">
        <v>438</v>
      </c>
      <c r="JN2" s="12" t="s">
        <v>439</v>
      </c>
      <c r="JO2" s="12" t="s">
        <v>440</v>
      </c>
      <c r="JP2" s="15">
        <f t="shared" ref="JP2:JP65" si="7">MAX(CF2,EM2)</f>
        <v>1700</v>
      </c>
      <c r="JQ2" s="15">
        <f t="shared" ref="JQ2:JQ65" si="8">MAX(CI2,EP2)</f>
        <v>12002</v>
      </c>
      <c r="JR2" s="279">
        <f t="shared" ref="JR2:JR65" si="9">IFERROR(JQ2/JP2,"")</f>
        <v>7.06</v>
      </c>
      <c r="JS2" s="17">
        <f t="shared" ref="JS2:JS65" si="10">IFERROR(MAX(CD2,EK2)/JP2,"")</f>
        <v>0.40647058823529414</v>
      </c>
      <c r="JT2" s="18">
        <f t="shared" ref="JT2:JT65" si="11">IFERROR(MAX(CG2,EN2)/JQ2,"")</f>
        <v>0.50316613897683715</v>
      </c>
      <c r="JU2" s="280">
        <f t="shared" ref="JU2:JU65" si="12">IFERROR(MAX(CD2,EK2),"")</f>
        <v>691</v>
      </c>
      <c r="JV2" s="280">
        <f t="shared" ref="JV2:JV65" si="13">IFERROR(MAX(CG2,EN2),"")</f>
        <v>6039</v>
      </c>
      <c r="JW2" s="319">
        <f t="shared" ref="JW2:JW65" si="14">IF(BO2="yes",1,"")</f>
        <v>1</v>
      </c>
      <c r="JX2" s="15">
        <f t="shared" ref="JX2:JX65" si="15">CF2</f>
        <v>1700</v>
      </c>
      <c r="JY2" s="15">
        <f t="shared" ref="JY2:JY65" si="16">CI2</f>
        <v>12002</v>
      </c>
      <c r="JZ2" s="19">
        <f t="shared" ref="JZ2:JZ65" si="17">IFERROR(JY2/JX2,"")</f>
        <v>7.06</v>
      </c>
      <c r="KA2" s="52" t="str">
        <f t="shared" ref="KA2:KA65" si="18">IF((OR(CV2="yes", DL2="yes", EQ2="yes", EU2="yes", FC2="yes", FG2="yes", FO2="yes", GI2="yes", GU2="yes")), 1, "")</f>
        <v/>
      </c>
      <c r="KB2" s="15">
        <f t="shared" ref="KB2:KB65" si="19">MAX(CW2,DM2,ER2,EV2,FD2,FH2,FP2,GJ2,GV2)</f>
        <v>0</v>
      </c>
      <c r="KC2" s="15">
        <f t="shared" ref="KC2:KC65" si="20">MAX(CY2,DO2,ET2,EX2,FF2,FJ2,FR2,GL2,GX2)</f>
        <v>0</v>
      </c>
      <c r="KD2" s="20" t="str">
        <f t="shared" ref="KD2:KD65" si="21">IFERROR(KC2/KB2,"")</f>
        <v/>
      </c>
      <c r="KE2" s="52" t="str">
        <f t="shared" ref="KE2:KE65" si="22">IF((OR(DT2="yes", GQ2="yes")), 1, "")</f>
        <v/>
      </c>
      <c r="KF2" s="15">
        <f t="shared" ref="KF2:KF65" si="23">MAX(DU2,GR2)</f>
        <v>0</v>
      </c>
      <c r="KG2" s="15">
        <f t="shared" ref="KG2:KG65" si="24">MAX(DW2,GT2)</f>
        <v>0</v>
      </c>
      <c r="KH2" s="21" t="str">
        <f t="shared" ref="KH2:KH65" si="25">IFERROR(KG2/KF2,"")</f>
        <v/>
      </c>
      <c r="KI2" s="52" t="str">
        <f t="shared" ref="KI2:KI65" si="26">IF((OR(CZ2="yes", FS2="yes")), 1, "")</f>
        <v/>
      </c>
      <c r="KJ2" s="15">
        <f t="shared" ref="KJ2:KJ65" si="27">MAX(DA2,FT2)</f>
        <v>0</v>
      </c>
      <c r="KK2" s="15">
        <f t="shared" ref="KK2:KK65" si="28">MAX(DC2,FV2)</f>
        <v>0</v>
      </c>
      <c r="KL2" s="19" t="str">
        <f t="shared" ref="KL2:KL65" si="29">IFERROR(KK2/KJ2,"")</f>
        <v/>
      </c>
      <c r="KM2" s="52" t="str">
        <f t="shared" ref="KM2:KM65" si="30">IF((OR(FG2="yes", GY2="yes")), 1, "")</f>
        <v/>
      </c>
      <c r="KN2" s="22">
        <f t="shared" ref="KN2:KN65" si="31">IFERROR(MAX((FH2*FI2),GZ2),"")</f>
        <v>0</v>
      </c>
      <c r="KO2" s="22">
        <f t="shared" ref="KO2:KO65" si="32">IFERROR(MAX((FJ2*FI2),HB2),"")</f>
        <v>0</v>
      </c>
      <c r="KP2" s="19" t="str">
        <f t="shared" ref="KP2:KP65" si="33">IFERROR(KO2/KN2,"")</f>
        <v/>
      </c>
      <c r="KQ2" s="11" t="str">
        <f t="shared" ref="KQ2:KQ65" si="34">IJ2</f>
        <v>2. Sensitive</v>
      </c>
      <c r="KR2" s="11" t="str">
        <f t="shared" ref="KR2:KR65" si="35">IQ2</f>
        <v>No marker score</v>
      </c>
      <c r="KS2" s="11" t="str">
        <f t="shared" ref="KS2:KS65" si="36">IW2</f>
        <v>No marker score</v>
      </c>
      <c r="KT2" s="11" t="str">
        <f t="shared" ref="KT2:KT65" si="37">HZ2</f>
        <v>It did not develop any specific innovation</v>
      </c>
      <c r="KU2" s="11" t="str">
        <f t="shared" ref="KU2:KU65" si="38">HP2</f>
        <v>Little or no advocacy</v>
      </c>
      <c r="KV2" s="11" t="str">
        <f t="shared" ref="KV2:KV65" si="39">IB2</f>
        <v>It did not take tested solutions to scale</v>
      </c>
      <c r="KW2" s="11" t="str">
        <f t="shared" ref="KW2:KW65" si="40">A2&amp;" - "&amp;D2</f>
        <v>Afghanistan - Afghanistan Joint Response (AFJR)</v>
      </c>
      <c r="KX2" s="11" t="str">
        <f t="shared" ref="KX2:KX65" si="41">D2</f>
        <v>Afghanistan Joint Response (AFJR)</v>
      </c>
      <c r="KY2" s="11" t="str">
        <f t="shared" ref="KY2:KY65" si="42">A2</f>
        <v>Afghanistan</v>
      </c>
      <c r="KZ2" s="12">
        <v>2</v>
      </c>
    </row>
    <row r="3" spans="1:312" x14ac:dyDescent="0.3">
      <c r="A3" s="12" t="s">
        <v>305</v>
      </c>
      <c r="B3" s="12" t="s">
        <v>306</v>
      </c>
      <c r="C3" s="12">
        <v>3516</v>
      </c>
      <c r="D3" s="12" t="s">
        <v>374</v>
      </c>
      <c r="E3" s="277" t="str">
        <f t="shared" si="0"/>
        <v>Afghanistan</v>
      </c>
      <c r="F3" s="12" t="s">
        <v>375</v>
      </c>
      <c r="G3" s="12" t="s">
        <v>376</v>
      </c>
      <c r="H3" s="12" t="s">
        <v>310</v>
      </c>
      <c r="I3" s="12" t="s">
        <v>377</v>
      </c>
      <c r="J3" s="278" t="s">
        <v>14564</v>
      </c>
      <c r="K3" s="12" t="s">
        <v>378</v>
      </c>
      <c r="L3" s="12" t="s">
        <v>379</v>
      </c>
      <c r="M3" s="12" t="s">
        <v>380</v>
      </c>
      <c r="N3" s="12" t="s">
        <v>381</v>
      </c>
      <c r="O3" s="281" t="s">
        <v>8430</v>
      </c>
      <c r="P3" s="12" t="s">
        <v>382</v>
      </c>
      <c r="Q3" s="12" t="s">
        <v>379</v>
      </c>
      <c r="R3" s="12" t="s">
        <v>383</v>
      </c>
      <c r="S3" s="12" t="s">
        <v>384</v>
      </c>
      <c r="T3" s="12" t="s">
        <v>385</v>
      </c>
      <c r="U3" s="12"/>
      <c r="V3" s="12"/>
      <c r="W3" s="12"/>
      <c r="X3" s="12"/>
      <c r="Y3" s="12"/>
      <c r="Z3" s="12"/>
      <c r="AA3" s="12"/>
      <c r="AB3" s="12"/>
      <c r="AC3" s="12"/>
      <c r="AD3" s="12"/>
      <c r="BD3" s="13">
        <v>41730</v>
      </c>
      <c r="BE3" s="13">
        <v>43555</v>
      </c>
      <c r="BF3" s="12"/>
      <c r="BG3" s="12" t="s">
        <v>312</v>
      </c>
      <c r="BH3" s="14">
        <v>4249906.41</v>
      </c>
      <c r="BI3" s="12" t="s">
        <v>313</v>
      </c>
      <c r="BJ3" s="12" t="s">
        <v>386</v>
      </c>
      <c r="BK3" s="12" t="s">
        <v>315</v>
      </c>
      <c r="BL3" s="12" t="s">
        <v>387</v>
      </c>
      <c r="BM3" s="12" t="s">
        <v>354</v>
      </c>
      <c r="BN3" s="12" t="s">
        <v>388</v>
      </c>
      <c r="BO3" s="12" t="s">
        <v>319</v>
      </c>
      <c r="BP3" s="12" t="s">
        <v>320</v>
      </c>
      <c r="BQ3" s="12" t="s">
        <v>319</v>
      </c>
      <c r="BR3" s="12" t="s">
        <v>389</v>
      </c>
      <c r="BS3" s="12" t="s">
        <v>322</v>
      </c>
      <c r="BT3" s="12" t="s">
        <v>390</v>
      </c>
      <c r="BU3" s="12" t="s">
        <v>391</v>
      </c>
      <c r="BV3" s="14">
        <v>2144</v>
      </c>
      <c r="BW3" s="14">
        <v>1969</v>
      </c>
      <c r="BX3" s="14">
        <v>4113</v>
      </c>
      <c r="BY3" s="14">
        <v>14108</v>
      </c>
      <c r="BZ3" s="14">
        <v>14683</v>
      </c>
      <c r="CA3" s="14">
        <v>28791</v>
      </c>
      <c r="CB3" s="12" t="s">
        <v>392</v>
      </c>
      <c r="CD3" s="14"/>
      <c r="CE3" s="14"/>
      <c r="CF3" s="14">
        <v>0</v>
      </c>
      <c r="CG3" s="14"/>
      <c r="CH3" s="14"/>
      <c r="CI3" s="14">
        <v>0</v>
      </c>
      <c r="CJ3" s="12"/>
      <c r="CK3" s="14"/>
      <c r="CL3" s="16"/>
      <c r="CM3" s="14"/>
      <c r="CN3" s="12"/>
      <c r="CO3" s="14"/>
      <c r="CP3" s="16"/>
      <c r="CQ3" s="14"/>
      <c r="CR3" s="12"/>
      <c r="CS3" s="14"/>
      <c r="CT3" s="16"/>
      <c r="CU3" s="14"/>
      <c r="CV3" s="12"/>
      <c r="CW3" s="14"/>
      <c r="CX3" s="16"/>
      <c r="CY3" s="14"/>
      <c r="CZ3" s="12"/>
      <c r="DA3" s="14"/>
      <c r="DB3" s="16"/>
      <c r="DC3" s="14"/>
      <c r="DD3" s="12"/>
      <c r="DE3" s="14"/>
      <c r="DF3" s="16"/>
      <c r="DG3" s="14"/>
      <c r="DH3" s="12"/>
      <c r="DI3" s="14"/>
      <c r="DJ3" s="16"/>
      <c r="DK3" s="14"/>
      <c r="DL3" s="12"/>
      <c r="DM3" s="14"/>
      <c r="DN3" s="16"/>
      <c r="DO3" s="14"/>
      <c r="DP3" s="12"/>
      <c r="DQ3" s="14"/>
      <c r="DR3" s="16"/>
      <c r="DS3" s="14"/>
      <c r="DT3" s="12"/>
      <c r="DU3" s="14"/>
      <c r="DV3" s="16"/>
      <c r="DW3" s="14"/>
      <c r="DX3" s="12"/>
      <c r="DY3" s="14"/>
      <c r="DZ3" s="16"/>
      <c r="EA3" s="14"/>
      <c r="EB3" s="12"/>
      <c r="EC3" s="14"/>
      <c r="ED3" s="16"/>
      <c r="EE3" s="14"/>
      <c r="EF3" s="12"/>
      <c r="EG3" s="12"/>
      <c r="EH3" s="14"/>
      <c r="EI3" s="16"/>
      <c r="EJ3" s="14"/>
      <c r="EK3" s="14">
        <v>2270</v>
      </c>
      <c r="EL3" s="14">
        <v>1544</v>
      </c>
      <c r="EM3" s="14">
        <v>3814</v>
      </c>
      <c r="EN3" s="14">
        <v>13082</v>
      </c>
      <c r="EO3" s="14">
        <v>13616</v>
      </c>
      <c r="EP3" s="14">
        <v>26698</v>
      </c>
      <c r="EQ3" s="12"/>
      <c r="ER3" s="14"/>
      <c r="ES3" s="16"/>
      <c r="ET3" s="14"/>
      <c r="EU3" s="12"/>
      <c r="EV3" s="14"/>
      <c r="EW3" s="16"/>
      <c r="EX3" s="14"/>
      <c r="EY3" s="12" t="s">
        <v>320</v>
      </c>
      <c r="EZ3" s="14">
        <v>112</v>
      </c>
      <c r="FA3" s="16">
        <v>0.46</v>
      </c>
      <c r="FB3" s="14">
        <v>784</v>
      </c>
      <c r="FC3" s="12"/>
      <c r="FD3" s="14"/>
      <c r="FE3" s="16"/>
      <c r="FF3" s="14"/>
      <c r="FG3" s="12" t="s">
        <v>320</v>
      </c>
      <c r="FH3" s="14">
        <v>109</v>
      </c>
      <c r="FI3" s="16">
        <v>0.22</v>
      </c>
      <c r="FJ3" s="14">
        <v>763</v>
      </c>
      <c r="FK3" s="12" t="s">
        <v>320</v>
      </c>
      <c r="FL3" s="14">
        <v>3814</v>
      </c>
      <c r="FM3" s="16">
        <v>0.59517566858940696</v>
      </c>
      <c r="FN3" s="14">
        <v>26698</v>
      </c>
      <c r="FO3" s="12"/>
      <c r="FP3" s="14"/>
      <c r="FQ3" s="16"/>
      <c r="FR3" s="14"/>
      <c r="FS3" s="12"/>
      <c r="FT3" s="14"/>
      <c r="FU3" s="16"/>
      <c r="FV3" s="14"/>
      <c r="FW3" s="11" t="s">
        <v>320</v>
      </c>
      <c r="FX3" s="14">
        <v>158</v>
      </c>
      <c r="FY3" s="16">
        <v>0.41</v>
      </c>
      <c r="FZ3" s="14">
        <v>1106</v>
      </c>
      <c r="GA3" s="12"/>
      <c r="GB3" s="14"/>
      <c r="GC3" s="16"/>
      <c r="GD3" s="14"/>
      <c r="GE3" s="12"/>
      <c r="GF3" s="14"/>
      <c r="GG3" s="16"/>
      <c r="GH3" s="14"/>
      <c r="GI3" s="12"/>
      <c r="GJ3" s="14"/>
      <c r="GK3" s="16"/>
      <c r="GL3" s="14"/>
      <c r="GM3" s="11" t="s">
        <v>320</v>
      </c>
      <c r="GN3" s="14">
        <v>426</v>
      </c>
      <c r="GO3" s="16">
        <v>0.35</v>
      </c>
      <c r="GP3" s="14">
        <v>2982</v>
      </c>
      <c r="GQ3" s="12"/>
      <c r="GR3" s="14"/>
      <c r="GS3" s="16"/>
      <c r="GT3" s="14"/>
      <c r="GU3" s="12" t="s">
        <v>320</v>
      </c>
      <c r="GV3" s="14">
        <v>109</v>
      </c>
      <c r="GW3" s="16">
        <v>0.22</v>
      </c>
      <c r="GX3" s="14">
        <v>763</v>
      </c>
      <c r="GY3" s="11" t="s">
        <v>320</v>
      </c>
      <c r="GZ3" s="14">
        <v>24</v>
      </c>
      <c r="HA3" s="16">
        <v>1</v>
      </c>
      <c r="HB3" s="14">
        <v>168</v>
      </c>
      <c r="HC3" s="12"/>
      <c r="HD3" s="12"/>
      <c r="HE3" s="14"/>
      <c r="HF3" s="16"/>
      <c r="HG3" s="14"/>
      <c r="HH3" s="12" t="s">
        <v>319</v>
      </c>
      <c r="HI3" s="12"/>
      <c r="HJ3" s="12"/>
      <c r="HK3" s="12"/>
      <c r="HL3" s="12" t="s">
        <v>319</v>
      </c>
      <c r="HM3" s="12"/>
      <c r="HN3" s="12"/>
      <c r="HO3" s="12" t="s">
        <v>393</v>
      </c>
      <c r="HP3" s="12" t="s">
        <v>330</v>
      </c>
      <c r="HQ3" s="12" t="s">
        <v>319</v>
      </c>
      <c r="HR3" s="12" t="s">
        <v>319</v>
      </c>
      <c r="HS3" s="12" t="s">
        <v>320</v>
      </c>
      <c r="HT3" s="12" t="s">
        <v>320</v>
      </c>
      <c r="HU3" s="12" t="s">
        <v>320</v>
      </c>
      <c r="HV3" s="12" t="s">
        <v>320</v>
      </c>
      <c r="HW3" s="12" t="s">
        <v>319</v>
      </c>
      <c r="HX3" s="12"/>
      <c r="HY3" s="12"/>
      <c r="HZ3" s="12" t="s">
        <v>394</v>
      </c>
      <c r="IA3" s="12" t="s">
        <v>395</v>
      </c>
      <c r="IB3" s="12" t="s">
        <v>396</v>
      </c>
      <c r="IC3" s="12" t="s">
        <v>397</v>
      </c>
      <c r="ID3" s="12" t="s">
        <v>364</v>
      </c>
      <c r="IE3" s="12" t="s">
        <v>335</v>
      </c>
      <c r="IF3" s="12" t="s">
        <v>326</v>
      </c>
      <c r="IG3" s="12" t="s">
        <v>320</v>
      </c>
      <c r="IH3" s="12" t="s">
        <v>320</v>
      </c>
      <c r="II3" s="12" t="s">
        <v>320</v>
      </c>
      <c r="IJ3" s="12" t="str">
        <f t="shared" si="1"/>
        <v>2. Sensitive</v>
      </c>
      <c r="IK3" s="12">
        <f t="shared" si="2"/>
        <v>4</v>
      </c>
      <c r="IL3" s="12" t="s">
        <v>336</v>
      </c>
      <c r="IM3" s="12" t="s">
        <v>320</v>
      </c>
      <c r="IN3" s="12" t="s">
        <v>320</v>
      </c>
      <c r="IO3" s="12" t="s">
        <v>320</v>
      </c>
      <c r="IP3" s="12" t="s">
        <v>320</v>
      </c>
      <c r="IQ3" s="12" t="str">
        <f t="shared" si="3"/>
        <v>2. Accommodating</v>
      </c>
      <c r="IR3" s="12">
        <f t="shared" si="4"/>
        <v>4</v>
      </c>
      <c r="IS3" s="12"/>
      <c r="IT3" s="12"/>
      <c r="IU3" s="12"/>
      <c r="IV3" s="12"/>
      <c r="IW3" s="11" t="str">
        <f t="shared" si="5"/>
        <v>No marker score</v>
      </c>
      <c r="IX3" s="12">
        <f t="shared" si="6"/>
        <v>0</v>
      </c>
      <c r="IY3" s="12"/>
      <c r="IZ3" s="12" t="s">
        <v>339</v>
      </c>
      <c r="JA3" s="12"/>
      <c r="JB3" s="12"/>
      <c r="JC3" s="12"/>
      <c r="JD3" s="12"/>
      <c r="JE3" s="12" t="s">
        <v>340</v>
      </c>
      <c r="JF3" s="12" t="s">
        <v>398</v>
      </c>
      <c r="JG3" s="12"/>
      <c r="JH3" s="12" t="s">
        <v>399</v>
      </c>
      <c r="JI3" s="12" t="s">
        <v>400</v>
      </c>
      <c r="JJ3" s="12" t="s">
        <v>401</v>
      </c>
      <c r="JK3" s="12" t="s">
        <v>402</v>
      </c>
      <c r="JL3" s="12" t="s">
        <v>403</v>
      </c>
      <c r="JM3" s="12"/>
      <c r="JN3" s="12"/>
      <c r="JO3" s="12" t="s">
        <v>404</v>
      </c>
      <c r="JP3" s="15">
        <f t="shared" si="7"/>
        <v>3814</v>
      </c>
      <c r="JQ3" s="15">
        <f t="shared" si="8"/>
        <v>26698</v>
      </c>
      <c r="JR3" s="279">
        <f t="shared" si="9"/>
        <v>7</v>
      </c>
      <c r="JS3" s="17">
        <f t="shared" si="10"/>
        <v>0.5951756685894074</v>
      </c>
      <c r="JT3" s="18">
        <f t="shared" si="11"/>
        <v>0.48999925088021573</v>
      </c>
      <c r="JU3" s="280">
        <f t="shared" si="12"/>
        <v>2270</v>
      </c>
      <c r="JV3" s="280">
        <f t="shared" si="13"/>
        <v>13082</v>
      </c>
      <c r="JW3" s="319" t="str">
        <f t="shared" si="14"/>
        <v/>
      </c>
      <c r="JX3" s="15">
        <f t="shared" si="15"/>
        <v>0</v>
      </c>
      <c r="JY3" s="15">
        <f t="shared" si="16"/>
        <v>0</v>
      </c>
      <c r="JZ3" s="19" t="str">
        <f t="shared" si="17"/>
        <v/>
      </c>
      <c r="KA3" s="52">
        <f t="shared" si="18"/>
        <v>1</v>
      </c>
      <c r="KB3" s="15">
        <f t="shared" si="19"/>
        <v>109</v>
      </c>
      <c r="KC3" s="15">
        <f t="shared" si="20"/>
        <v>763</v>
      </c>
      <c r="KD3" s="20">
        <f t="shared" si="21"/>
        <v>7</v>
      </c>
      <c r="KE3" s="52" t="str">
        <f t="shared" si="22"/>
        <v/>
      </c>
      <c r="KF3" s="15">
        <f t="shared" si="23"/>
        <v>0</v>
      </c>
      <c r="KG3" s="15">
        <f t="shared" si="24"/>
        <v>0</v>
      </c>
      <c r="KH3" s="21" t="str">
        <f t="shared" si="25"/>
        <v/>
      </c>
      <c r="KI3" s="52" t="str">
        <f t="shared" si="26"/>
        <v/>
      </c>
      <c r="KJ3" s="15">
        <f t="shared" si="27"/>
        <v>0</v>
      </c>
      <c r="KK3" s="15">
        <f t="shared" si="28"/>
        <v>0</v>
      </c>
      <c r="KL3" s="19" t="str">
        <f t="shared" si="29"/>
        <v/>
      </c>
      <c r="KM3" s="52">
        <f t="shared" si="30"/>
        <v>1</v>
      </c>
      <c r="KN3" s="22">
        <f t="shared" si="31"/>
        <v>24</v>
      </c>
      <c r="KO3" s="22">
        <f t="shared" si="32"/>
        <v>168</v>
      </c>
      <c r="KP3" s="19">
        <f t="shared" si="33"/>
        <v>7</v>
      </c>
      <c r="KQ3" s="11" t="str">
        <f t="shared" si="34"/>
        <v>2. Sensitive</v>
      </c>
      <c r="KR3" s="11" t="str">
        <f t="shared" si="35"/>
        <v>2. Accommodating</v>
      </c>
      <c r="KS3" s="11" t="str">
        <f t="shared" si="36"/>
        <v>No marker score</v>
      </c>
      <c r="KT3" s="11" t="str">
        <f t="shared" si="37"/>
        <v>It tested new ways for fighting poverty, but did not measure results of innovation</v>
      </c>
      <c r="KU3" s="11" t="str">
        <f t="shared" si="38"/>
        <v>Moderate advocacy</v>
      </c>
      <c r="KV3" s="11" t="str">
        <f t="shared" si="39"/>
        <v>It linked and worked with strategic alliances and partners to take tested and effective solutions to scale</v>
      </c>
      <c r="KW3" s="11" t="str">
        <f t="shared" si="40"/>
        <v>Afghanistan - Community Based Education Enrichment Program in Afghanistan</v>
      </c>
      <c r="KX3" s="11" t="str">
        <f t="shared" si="41"/>
        <v>Community Based Education Enrichment Program in Afghanistan</v>
      </c>
      <c r="KY3" s="11" t="str">
        <f t="shared" si="42"/>
        <v>Afghanistan</v>
      </c>
      <c r="KZ3" s="12">
        <v>3</v>
      </c>
    </row>
    <row r="4" spans="1:312" x14ac:dyDescent="0.3">
      <c r="A4" s="12" t="s">
        <v>305</v>
      </c>
      <c r="B4" s="12" t="s">
        <v>306</v>
      </c>
      <c r="C4" s="12">
        <v>3526</v>
      </c>
      <c r="D4" s="12" t="s">
        <v>405</v>
      </c>
      <c r="E4" s="277" t="str">
        <f t="shared" si="0"/>
        <v>Afghanistan</v>
      </c>
      <c r="F4" s="12" t="s">
        <v>406</v>
      </c>
      <c r="G4" s="12" t="s">
        <v>376</v>
      </c>
      <c r="H4" s="12" t="s">
        <v>310</v>
      </c>
      <c r="I4" s="12" t="s">
        <v>377</v>
      </c>
      <c r="J4" s="278" t="s">
        <v>14564</v>
      </c>
      <c r="K4" s="12"/>
      <c r="L4" s="12"/>
      <c r="M4" s="12"/>
      <c r="N4" s="12"/>
      <c r="O4" s="12"/>
      <c r="P4" s="12"/>
      <c r="Q4" s="12"/>
      <c r="R4" s="12"/>
      <c r="S4" s="12"/>
      <c r="T4" s="12"/>
      <c r="U4" s="12"/>
      <c r="V4" s="12"/>
      <c r="W4" s="12"/>
      <c r="X4" s="12"/>
      <c r="Y4" s="12"/>
      <c r="Z4" s="12"/>
      <c r="AA4" s="12"/>
      <c r="AB4" s="12"/>
      <c r="AC4" s="12"/>
      <c r="AD4" s="12"/>
      <c r="BD4" s="13">
        <v>42445</v>
      </c>
      <c r="BE4" s="13">
        <v>43008</v>
      </c>
      <c r="BF4" s="13">
        <v>43220</v>
      </c>
      <c r="BG4" s="12" t="s">
        <v>407</v>
      </c>
      <c r="BH4" s="14">
        <v>1814205</v>
      </c>
      <c r="BI4" s="12" t="s">
        <v>351</v>
      </c>
      <c r="BJ4" s="12" t="s">
        <v>314</v>
      </c>
      <c r="BK4" s="12" t="s">
        <v>352</v>
      </c>
      <c r="BL4" s="12" t="s">
        <v>408</v>
      </c>
      <c r="BM4" s="12" t="s">
        <v>409</v>
      </c>
      <c r="BN4" s="12" t="s">
        <v>410</v>
      </c>
      <c r="BO4" s="12" t="s">
        <v>320</v>
      </c>
      <c r="BP4" s="12" t="s">
        <v>319</v>
      </c>
      <c r="BQ4" s="12" t="s">
        <v>319</v>
      </c>
      <c r="BR4" s="12" t="s">
        <v>411</v>
      </c>
      <c r="BS4" s="12" t="s">
        <v>357</v>
      </c>
      <c r="BT4" s="12" t="s">
        <v>412</v>
      </c>
      <c r="BU4" s="12" t="s">
        <v>413</v>
      </c>
      <c r="BV4" s="14">
        <v>2775</v>
      </c>
      <c r="BW4" s="14">
        <v>2775</v>
      </c>
      <c r="BX4" s="14">
        <v>5550</v>
      </c>
      <c r="BY4" s="14">
        <v>16650</v>
      </c>
      <c r="BZ4" s="14">
        <v>16650</v>
      </c>
      <c r="CA4" s="14">
        <v>33300</v>
      </c>
      <c r="CB4" s="12" t="s">
        <v>414</v>
      </c>
      <c r="CD4" s="14">
        <v>2681</v>
      </c>
      <c r="CE4" s="14">
        <v>2678</v>
      </c>
      <c r="CF4" s="14">
        <v>5359</v>
      </c>
      <c r="CG4" s="14">
        <v>18767</v>
      </c>
      <c r="CH4" s="14">
        <v>18746</v>
      </c>
      <c r="CI4" s="14">
        <v>37513</v>
      </c>
      <c r="CJ4" s="12"/>
      <c r="CK4" s="14"/>
      <c r="CL4" s="16"/>
      <c r="CM4" s="14"/>
      <c r="CN4" s="12" t="s">
        <v>320</v>
      </c>
      <c r="CO4" s="14">
        <v>1199</v>
      </c>
      <c r="CP4" s="16">
        <v>0.38</v>
      </c>
      <c r="CQ4" s="14">
        <v>8721</v>
      </c>
      <c r="CR4" s="12"/>
      <c r="CS4" s="14"/>
      <c r="CT4" s="16"/>
      <c r="CU4" s="14"/>
      <c r="CV4" s="12"/>
      <c r="CW4" s="14"/>
      <c r="CX4" s="16"/>
      <c r="CY4" s="14"/>
      <c r="CZ4" s="12"/>
      <c r="DA4" s="14"/>
      <c r="DB4" s="16"/>
      <c r="DC4" s="14"/>
      <c r="DD4" s="11" t="s">
        <v>320</v>
      </c>
      <c r="DE4" s="14">
        <v>1199</v>
      </c>
      <c r="DF4" s="16">
        <v>0.38</v>
      </c>
      <c r="DG4" s="14">
        <v>8721</v>
      </c>
      <c r="DH4" s="12"/>
      <c r="DI4" s="14"/>
      <c r="DJ4" s="16"/>
      <c r="DK4" s="14"/>
      <c r="DL4" s="12"/>
      <c r="DM4" s="14"/>
      <c r="DN4" s="16"/>
      <c r="DO4" s="14"/>
      <c r="DP4" s="12"/>
      <c r="DQ4" s="14"/>
      <c r="DR4" s="16"/>
      <c r="DS4" s="14"/>
      <c r="DT4" s="12"/>
      <c r="DU4" s="14"/>
      <c r="DV4" s="16"/>
      <c r="DW4" s="14"/>
      <c r="DX4" s="12" t="s">
        <v>320</v>
      </c>
      <c r="DY4" s="14">
        <v>1778</v>
      </c>
      <c r="DZ4" s="16">
        <v>0.49</v>
      </c>
      <c r="EA4" s="14">
        <v>11840</v>
      </c>
      <c r="EB4" s="11" t="s">
        <v>320</v>
      </c>
      <c r="EC4" s="14">
        <v>2400</v>
      </c>
      <c r="ED4" s="16">
        <v>0.72</v>
      </c>
      <c r="EE4" s="14">
        <v>16952</v>
      </c>
      <c r="EF4" s="12"/>
      <c r="EG4" s="12"/>
      <c r="EH4" s="14"/>
      <c r="EI4" s="16"/>
      <c r="EJ4" s="14"/>
      <c r="EK4" s="14"/>
      <c r="EL4" s="14"/>
      <c r="EM4" s="14">
        <v>0</v>
      </c>
      <c r="EN4" s="14"/>
      <c r="EO4" s="14"/>
      <c r="EP4" s="14">
        <v>0</v>
      </c>
      <c r="EQ4" s="12"/>
      <c r="ER4" s="14"/>
      <c r="ES4" s="16"/>
      <c r="ET4" s="14"/>
      <c r="EU4" s="12"/>
      <c r="EV4" s="14"/>
      <c r="EW4" s="16"/>
      <c r="EX4" s="14"/>
      <c r="EY4" s="12"/>
      <c r="EZ4" s="14"/>
      <c r="FA4" s="16"/>
      <c r="FB4" s="14"/>
      <c r="FC4" s="12"/>
      <c r="FD4" s="14"/>
      <c r="FE4" s="16"/>
      <c r="FF4" s="14"/>
      <c r="FG4" s="12"/>
      <c r="FH4" s="14"/>
      <c r="FI4" s="16"/>
      <c r="FJ4" s="14"/>
      <c r="FK4" s="12"/>
      <c r="FL4" s="14"/>
      <c r="FM4" s="16"/>
      <c r="FN4" s="14"/>
      <c r="FO4" s="12"/>
      <c r="FP4" s="14"/>
      <c r="FQ4" s="16"/>
      <c r="FR4" s="14"/>
      <c r="FS4" s="12"/>
      <c r="FT4" s="14"/>
      <c r="FU4" s="16"/>
      <c r="FV4" s="14"/>
      <c r="FW4" s="12"/>
      <c r="FX4" s="14"/>
      <c r="FY4" s="16"/>
      <c r="FZ4" s="14"/>
      <c r="GA4" s="12"/>
      <c r="GB4" s="14"/>
      <c r="GC4" s="16"/>
      <c r="GD4" s="14"/>
      <c r="GE4" s="12"/>
      <c r="GF4" s="14"/>
      <c r="GG4" s="16"/>
      <c r="GH4" s="14"/>
      <c r="GI4" s="12"/>
      <c r="GJ4" s="14"/>
      <c r="GK4" s="16"/>
      <c r="GL4" s="14"/>
      <c r="GM4" s="12"/>
      <c r="GN4" s="14"/>
      <c r="GO4" s="16"/>
      <c r="GP4" s="14"/>
      <c r="GQ4" s="12"/>
      <c r="GR4" s="14"/>
      <c r="GS4" s="16"/>
      <c r="GT4" s="14"/>
      <c r="GU4" s="12"/>
      <c r="GV4" s="14"/>
      <c r="GW4" s="16"/>
      <c r="GX4" s="14"/>
      <c r="GY4" s="12"/>
      <c r="GZ4" s="14"/>
      <c r="HA4" s="16"/>
      <c r="HB4" s="14"/>
      <c r="HC4" s="12"/>
      <c r="HD4" s="12"/>
      <c r="HE4" s="14"/>
      <c r="HF4" s="16"/>
      <c r="HG4" s="14"/>
      <c r="HH4" s="12" t="s">
        <v>320</v>
      </c>
      <c r="HI4" s="12" t="s">
        <v>415</v>
      </c>
      <c r="HJ4" s="12">
        <v>2016</v>
      </c>
      <c r="HK4" s="12" t="s">
        <v>320</v>
      </c>
      <c r="HL4" s="12" t="s">
        <v>320</v>
      </c>
      <c r="HM4" s="12" t="s">
        <v>416</v>
      </c>
      <c r="HN4" s="12">
        <v>2018</v>
      </c>
      <c r="HO4" s="12" t="s">
        <v>417</v>
      </c>
      <c r="HP4" s="12" t="s">
        <v>418</v>
      </c>
      <c r="HQ4" s="12"/>
      <c r="HR4" s="12"/>
      <c r="HS4" s="12"/>
      <c r="HT4" s="12"/>
      <c r="HU4" s="12"/>
      <c r="HV4" s="12"/>
      <c r="HW4" s="12"/>
      <c r="HX4" s="12"/>
      <c r="HY4" s="12"/>
      <c r="HZ4" s="12" t="s">
        <v>363</v>
      </c>
      <c r="IA4" s="12"/>
      <c r="IB4" s="12" t="s">
        <v>333</v>
      </c>
      <c r="IC4" s="12"/>
      <c r="ID4" s="12" t="s">
        <v>364</v>
      </c>
      <c r="IE4" s="12" t="s">
        <v>335</v>
      </c>
      <c r="IF4" s="12" t="s">
        <v>320</v>
      </c>
      <c r="IG4" s="12" t="s">
        <v>320</v>
      </c>
      <c r="IH4" s="12" t="s">
        <v>320</v>
      </c>
      <c r="II4" s="12" t="s">
        <v>320</v>
      </c>
      <c r="IJ4" s="12" t="str">
        <f t="shared" si="1"/>
        <v>2. Sensitive</v>
      </c>
      <c r="IK4" s="12">
        <f t="shared" si="2"/>
        <v>4</v>
      </c>
      <c r="IL4" s="12"/>
      <c r="IM4" s="12"/>
      <c r="IN4" s="12"/>
      <c r="IO4" s="12"/>
      <c r="IP4" s="12"/>
      <c r="IQ4" s="12" t="str">
        <f t="shared" si="3"/>
        <v>No marker score</v>
      </c>
      <c r="IR4" s="12">
        <f t="shared" si="4"/>
        <v>0</v>
      </c>
      <c r="IS4" s="12"/>
      <c r="IT4" s="12"/>
      <c r="IU4" s="12"/>
      <c r="IV4" s="12"/>
      <c r="IW4" s="11" t="str">
        <f t="shared" si="5"/>
        <v>No marker score</v>
      </c>
      <c r="IX4" s="12">
        <f t="shared" si="6"/>
        <v>0</v>
      </c>
      <c r="IY4" s="12" t="s">
        <v>419</v>
      </c>
      <c r="IZ4" s="12" t="s">
        <v>339</v>
      </c>
      <c r="JA4" s="12"/>
      <c r="JB4" s="12"/>
      <c r="JC4" s="12"/>
      <c r="JD4" s="12"/>
      <c r="JE4" s="12" t="s">
        <v>420</v>
      </c>
      <c r="JF4" s="12"/>
      <c r="JG4" s="12" t="s">
        <v>421</v>
      </c>
      <c r="JH4" s="12"/>
      <c r="JI4" s="12"/>
      <c r="JJ4" s="12"/>
      <c r="JK4" s="12"/>
      <c r="JL4" s="12"/>
      <c r="JM4" s="12"/>
      <c r="JN4" s="12"/>
      <c r="JO4" s="12" t="s">
        <v>422</v>
      </c>
      <c r="JP4" s="15">
        <f t="shared" si="7"/>
        <v>5359</v>
      </c>
      <c r="JQ4" s="15">
        <f t="shared" si="8"/>
        <v>37513</v>
      </c>
      <c r="JR4" s="279">
        <f t="shared" si="9"/>
        <v>7</v>
      </c>
      <c r="JS4" s="17">
        <f t="shared" si="10"/>
        <v>0.50027990296697145</v>
      </c>
      <c r="JT4" s="18">
        <f t="shared" si="11"/>
        <v>0.50027990296697145</v>
      </c>
      <c r="JU4" s="280">
        <f t="shared" si="12"/>
        <v>2681</v>
      </c>
      <c r="JV4" s="280">
        <f t="shared" si="13"/>
        <v>18767</v>
      </c>
      <c r="JW4" s="319">
        <f t="shared" si="14"/>
        <v>1</v>
      </c>
      <c r="JX4" s="15">
        <f t="shared" si="15"/>
        <v>5359</v>
      </c>
      <c r="JY4" s="15">
        <f t="shared" si="16"/>
        <v>37513</v>
      </c>
      <c r="JZ4" s="19">
        <f t="shared" si="17"/>
        <v>7</v>
      </c>
      <c r="KA4" s="52" t="str">
        <f t="shared" si="18"/>
        <v/>
      </c>
      <c r="KB4" s="15">
        <f t="shared" si="19"/>
        <v>0</v>
      </c>
      <c r="KC4" s="15">
        <f t="shared" si="20"/>
        <v>0</v>
      </c>
      <c r="KD4" s="20" t="str">
        <f t="shared" si="21"/>
        <v/>
      </c>
      <c r="KE4" s="52" t="str">
        <f t="shared" si="22"/>
        <v/>
      </c>
      <c r="KF4" s="15">
        <f t="shared" si="23"/>
        <v>0</v>
      </c>
      <c r="KG4" s="15">
        <f t="shared" si="24"/>
        <v>0</v>
      </c>
      <c r="KH4" s="21" t="str">
        <f t="shared" si="25"/>
        <v/>
      </c>
      <c r="KI4" s="52" t="str">
        <f t="shared" si="26"/>
        <v/>
      </c>
      <c r="KJ4" s="15">
        <f t="shared" si="27"/>
        <v>0</v>
      </c>
      <c r="KK4" s="15">
        <f t="shared" si="28"/>
        <v>0</v>
      </c>
      <c r="KL4" s="19" t="str">
        <f t="shared" si="29"/>
        <v/>
      </c>
      <c r="KM4" s="52" t="str">
        <f t="shared" si="30"/>
        <v/>
      </c>
      <c r="KN4" s="22">
        <f t="shared" si="31"/>
        <v>0</v>
      </c>
      <c r="KO4" s="22">
        <f t="shared" si="32"/>
        <v>0</v>
      </c>
      <c r="KP4" s="19" t="str">
        <f t="shared" si="33"/>
        <v/>
      </c>
      <c r="KQ4" s="11" t="str">
        <f t="shared" si="34"/>
        <v>2. Sensitive</v>
      </c>
      <c r="KR4" s="11" t="str">
        <f t="shared" si="35"/>
        <v>No marker score</v>
      </c>
      <c r="KS4" s="11" t="str">
        <f t="shared" si="36"/>
        <v>No marker score</v>
      </c>
      <c r="KT4" s="11" t="str">
        <f t="shared" si="37"/>
        <v>It did not develop any specific innovation</v>
      </c>
      <c r="KU4" s="11" t="str">
        <f t="shared" si="38"/>
        <v>Little or no advocacy</v>
      </c>
      <c r="KV4" s="11" t="str">
        <f t="shared" si="39"/>
        <v>It did not take tested solutions to scale</v>
      </c>
      <c r="KW4" s="11" t="str">
        <f t="shared" si="40"/>
        <v>Afghanistan - Emergency WASH NFI &amp; Shelter and Livelihood Assistance for Disaster and Conflict Affected Households 2016</v>
      </c>
      <c r="KX4" s="11" t="str">
        <f t="shared" si="41"/>
        <v>Emergency WASH NFI &amp; Shelter and Livelihood Assistance for Disaster and Conflict Affected Households 2016</v>
      </c>
      <c r="KY4" s="11" t="str">
        <f t="shared" si="42"/>
        <v>Afghanistan</v>
      </c>
      <c r="KZ4" s="12">
        <v>4</v>
      </c>
    </row>
    <row r="5" spans="1:312" x14ac:dyDescent="0.3">
      <c r="A5" s="12" t="s">
        <v>305</v>
      </c>
      <c r="B5" s="12" t="s">
        <v>306</v>
      </c>
      <c r="C5" s="12">
        <v>3521</v>
      </c>
      <c r="D5" s="12" t="s">
        <v>307</v>
      </c>
      <c r="E5" s="277" t="str">
        <f t="shared" si="0"/>
        <v>Afghanistan</v>
      </c>
      <c r="F5" s="12" t="s">
        <v>308</v>
      </c>
      <c r="G5" s="12" t="s">
        <v>309</v>
      </c>
      <c r="H5" s="12" t="s">
        <v>310</v>
      </c>
      <c r="I5" s="12" t="s">
        <v>311</v>
      </c>
      <c r="J5" s="281" t="s">
        <v>14565</v>
      </c>
      <c r="K5" s="12"/>
      <c r="L5" s="12"/>
      <c r="M5" s="12"/>
      <c r="N5" s="12"/>
      <c r="O5" s="12"/>
      <c r="P5" s="12"/>
      <c r="Q5" s="12"/>
      <c r="R5" s="12"/>
      <c r="S5" s="12"/>
      <c r="T5" s="12"/>
      <c r="U5" s="12"/>
      <c r="V5" s="12"/>
      <c r="W5" s="12"/>
      <c r="X5" s="12"/>
      <c r="Y5" s="12"/>
      <c r="Z5" s="12"/>
      <c r="AA5" s="12"/>
      <c r="AB5" s="12"/>
      <c r="AC5" s="12"/>
      <c r="AD5" s="12"/>
      <c r="BD5" s="13">
        <v>40673</v>
      </c>
      <c r="BE5" s="13">
        <v>42916</v>
      </c>
      <c r="BF5" s="13">
        <v>43100</v>
      </c>
      <c r="BG5" s="12" t="s">
        <v>312</v>
      </c>
      <c r="BH5" s="38">
        <v>3318209</v>
      </c>
      <c r="BI5" s="12" t="s">
        <v>313</v>
      </c>
      <c r="BJ5" s="12" t="s">
        <v>314</v>
      </c>
      <c r="BK5" s="12" t="s">
        <v>315</v>
      </c>
      <c r="BL5" s="12" t="s">
        <v>316</v>
      </c>
      <c r="BM5" s="12" t="s">
        <v>317</v>
      </c>
      <c r="BN5" s="12" t="s">
        <v>318</v>
      </c>
      <c r="BO5" s="12" t="s">
        <v>319</v>
      </c>
      <c r="BP5" s="12" t="s">
        <v>320</v>
      </c>
      <c r="BQ5" s="12" t="s">
        <v>319</v>
      </c>
      <c r="BR5" s="12" t="s">
        <v>321</v>
      </c>
      <c r="BS5" s="12" t="s">
        <v>322</v>
      </c>
      <c r="BT5" s="12" t="s">
        <v>323</v>
      </c>
      <c r="BU5" s="12" t="s">
        <v>324</v>
      </c>
      <c r="BV5" s="14">
        <v>20102</v>
      </c>
      <c r="BW5" s="14">
        <v>6966</v>
      </c>
      <c r="BX5" s="14">
        <v>27068</v>
      </c>
      <c r="BY5" s="14">
        <v>92843</v>
      </c>
      <c r="BZ5" s="14">
        <v>96633</v>
      </c>
      <c r="CA5" s="14">
        <v>189476</v>
      </c>
      <c r="CB5" s="12" t="s">
        <v>325</v>
      </c>
      <c r="CD5" s="14"/>
      <c r="CE5" s="14"/>
      <c r="CF5" s="14">
        <v>0</v>
      </c>
      <c r="CG5" s="14"/>
      <c r="CH5" s="14"/>
      <c r="CI5" s="14">
        <v>0</v>
      </c>
      <c r="CJ5" s="12"/>
      <c r="CK5" s="14"/>
      <c r="CL5" s="16"/>
      <c r="CM5" s="14"/>
      <c r="CN5" s="12"/>
      <c r="CO5" s="14"/>
      <c r="CP5" s="16"/>
      <c r="CQ5" s="14"/>
      <c r="CR5" s="12"/>
      <c r="CS5" s="14"/>
      <c r="CT5" s="16"/>
      <c r="CU5" s="14"/>
      <c r="CV5" s="12"/>
      <c r="CW5" s="14"/>
      <c r="CX5" s="16"/>
      <c r="CY5" s="14"/>
      <c r="CZ5" s="12"/>
      <c r="DA5" s="14"/>
      <c r="DB5" s="16"/>
      <c r="DC5" s="14"/>
      <c r="DD5" s="12"/>
      <c r="DE5" s="14"/>
      <c r="DF5" s="16"/>
      <c r="DG5" s="14"/>
      <c r="DH5" s="12"/>
      <c r="DI5" s="14"/>
      <c r="DJ5" s="16"/>
      <c r="DK5" s="14"/>
      <c r="DL5" s="12"/>
      <c r="DM5" s="14"/>
      <c r="DN5" s="16"/>
      <c r="DO5" s="14"/>
      <c r="DP5" s="12"/>
      <c r="DQ5" s="14"/>
      <c r="DR5" s="16"/>
      <c r="DS5" s="14"/>
      <c r="DT5" s="12"/>
      <c r="DU5" s="14"/>
      <c r="DV5" s="16"/>
      <c r="DW5" s="14"/>
      <c r="DX5" s="12"/>
      <c r="DY5" s="14"/>
      <c r="DZ5" s="16"/>
      <c r="EA5" s="14"/>
      <c r="EB5" s="12"/>
      <c r="EC5" s="14"/>
      <c r="ED5" s="16"/>
      <c r="EE5" s="14"/>
      <c r="EF5" s="12"/>
      <c r="EG5" s="12"/>
      <c r="EH5" s="14"/>
      <c r="EI5" s="16"/>
      <c r="EJ5" s="14"/>
      <c r="EK5" s="14">
        <v>4201</v>
      </c>
      <c r="EL5" s="14">
        <v>1919</v>
      </c>
      <c r="EM5" s="14">
        <v>6120</v>
      </c>
      <c r="EN5" s="14">
        <v>20991</v>
      </c>
      <c r="EO5" s="14">
        <v>21849</v>
      </c>
      <c r="EP5" s="14">
        <v>42840</v>
      </c>
      <c r="EQ5" s="12"/>
      <c r="ER5" s="14"/>
      <c r="ES5" s="16"/>
      <c r="ET5" s="14"/>
      <c r="EU5" s="12"/>
      <c r="EV5" s="14"/>
      <c r="EW5" s="16"/>
      <c r="EX5" s="14"/>
      <c r="EY5" s="12" t="s">
        <v>320</v>
      </c>
      <c r="EZ5" s="14">
        <v>507</v>
      </c>
      <c r="FA5" s="16">
        <v>0.4</v>
      </c>
      <c r="FB5" s="14">
        <v>3549</v>
      </c>
      <c r="FC5" s="12" t="s">
        <v>320</v>
      </c>
      <c r="FD5" s="14">
        <v>507</v>
      </c>
      <c r="FE5" s="16">
        <v>0.4</v>
      </c>
      <c r="FF5" s="14">
        <v>3549</v>
      </c>
      <c r="FG5" s="12" t="s">
        <v>320</v>
      </c>
      <c r="FH5" s="14">
        <v>246</v>
      </c>
      <c r="FI5" s="16">
        <v>0.35</v>
      </c>
      <c r="FJ5" s="14">
        <v>1722</v>
      </c>
      <c r="FK5" s="12" t="s">
        <v>320</v>
      </c>
      <c r="FL5" s="14">
        <v>6120</v>
      </c>
      <c r="FM5" s="16">
        <v>0.69</v>
      </c>
      <c r="FN5" s="14">
        <v>42840</v>
      </c>
      <c r="FO5" s="12"/>
      <c r="FP5" s="14"/>
      <c r="FQ5" s="16"/>
      <c r="FR5" s="14"/>
      <c r="FS5" s="12" t="s">
        <v>320</v>
      </c>
      <c r="FT5" s="14">
        <v>507</v>
      </c>
      <c r="FU5" s="16">
        <v>0.4</v>
      </c>
      <c r="FV5" s="14">
        <v>3549</v>
      </c>
      <c r="FW5" s="11" t="s">
        <v>320</v>
      </c>
      <c r="FX5" s="14">
        <v>6120</v>
      </c>
      <c r="FY5" s="16">
        <v>0.69</v>
      </c>
      <c r="FZ5" s="14">
        <v>42840</v>
      </c>
      <c r="GA5" s="11" t="s">
        <v>320</v>
      </c>
      <c r="GB5" s="14">
        <v>6120</v>
      </c>
      <c r="GC5" s="16">
        <v>0.69</v>
      </c>
      <c r="GD5" s="14">
        <v>42840</v>
      </c>
      <c r="GE5" s="12" t="s">
        <v>320</v>
      </c>
      <c r="GF5" s="14">
        <v>4412</v>
      </c>
      <c r="GG5" s="16">
        <v>0.72</v>
      </c>
      <c r="GH5" s="14">
        <v>30884</v>
      </c>
      <c r="GI5" s="12"/>
      <c r="GJ5" s="14"/>
      <c r="GK5" s="16"/>
      <c r="GL5" s="14"/>
      <c r="GM5" s="11" t="s">
        <v>320</v>
      </c>
      <c r="GN5" s="14">
        <v>507</v>
      </c>
      <c r="GO5" s="16">
        <v>0.4</v>
      </c>
      <c r="GP5" s="14">
        <v>3549</v>
      </c>
      <c r="GQ5" s="12"/>
      <c r="GR5" s="14"/>
      <c r="GS5" s="16"/>
      <c r="GT5" s="14"/>
      <c r="GU5" s="12"/>
      <c r="GV5" s="14"/>
      <c r="GW5" s="16"/>
      <c r="GX5" s="14"/>
      <c r="GY5" s="11" t="s">
        <v>320</v>
      </c>
      <c r="GZ5" s="14">
        <v>87</v>
      </c>
      <c r="HA5" s="16">
        <v>1</v>
      </c>
      <c r="HB5" s="14">
        <v>609</v>
      </c>
      <c r="HC5" s="12"/>
      <c r="HD5" s="12"/>
      <c r="HE5" s="14"/>
      <c r="HF5" s="16"/>
      <c r="HG5" s="14"/>
      <c r="HH5" s="12" t="s">
        <v>320</v>
      </c>
      <c r="HI5" s="12" t="s">
        <v>327</v>
      </c>
      <c r="HJ5" s="12">
        <v>2016</v>
      </c>
      <c r="HK5" s="12" t="s">
        <v>320</v>
      </c>
      <c r="HL5" s="12" t="s">
        <v>320</v>
      </c>
      <c r="HM5" s="12" t="s">
        <v>328</v>
      </c>
      <c r="HN5" s="12">
        <v>2017</v>
      </c>
      <c r="HO5" s="12" t="s">
        <v>329</v>
      </c>
      <c r="HP5" s="12" t="s">
        <v>330</v>
      </c>
      <c r="HQ5" s="12" t="s">
        <v>320</v>
      </c>
      <c r="HR5" s="12" t="s">
        <v>319</v>
      </c>
      <c r="HS5" s="12" t="s">
        <v>320</v>
      </c>
      <c r="HT5" s="12" t="s">
        <v>320</v>
      </c>
      <c r="HU5" s="12" t="s">
        <v>320</v>
      </c>
      <c r="HV5" s="12" t="s">
        <v>320</v>
      </c>
      <c r="HW5" s="12" t="s">
        <v>319</v>
      </c>
      <c r="HX5" s="12"/>
      <c r="HY5" s="12"/>
      <c r="HZ5" s="12" t="s">
        <v>331</v>
      </c>
      <c r="IA5" s="12" t="s">
        <v>332</v>
      </c>
      <c r="IB5" s="12" t="s">
        <v>333</v>
      </c>
      <c r="IC5" s="12"/>
      <c r="ID5" s="12" t="s">
        <v>334</v>
      </c>
      <c r="IE5" s="12" t="s">
        <v>335</v>
      </c>
      <c r="IF5" s="12" t="s">
        <v>320</v>
      </c>
      <c r="IG5" s="12" t="s">
        <v>320</v>
      </c>
      <c r="IH5" s="12" t="s">
        <v>320</v>
      </c>
      <c r="II5" s="12" t="s">
        <v>320</v>
      </c>
      <c r="IJ5" s="12" t="str">
        <f t="shared" si="1"/>
        <v>2. Sensitive</v>
      </c>
      <c r="IK5" s="12">
        <f t="shared" si="2"/>
        <v>4</v>
      </c>
      <c r="IL5" s="12" t="s">
        <v>336</v>
      </c>
      <c r="IM5" s="12" t="s">
        <v>320</v>
      </c>
      <c r="IN5" s="12" t="s">
        <v>320</v>
      </c>
      <c r="IO5" s="12" t="s">
        <v>320</v>
      </c>
      <c r="IP5" s="12" t="s">
        <v>320</v>
      </c>
      <c r="IQ5" s="12" t="str">
        <f t="shared" si="3"/>
        <v>2. Accommodating</v>
      </c>
      <c r="IR5" s="12">
        <f t="shared" si="4"/>
        <v>4</v>
      </c>
      <c r="IS5" s="12" t="s">
        <v>337</v>
      </c>
      <c r="IT5" s="12" t="s">
        <v>320</v>
      </c>
      <c r="IU5" s="12" t="s">
        <v>320</v>
      </c>
      <c r="IV5" s="12" t="s">
        <v>320</v>
      </c>
      <c r="IW5" s="11" t="str">
        <f t="shared" si="5"/>
        <v>2. Sensitive</v>
      </c>
      <c r="IX5" s="12">
        <f t="shared" si="6"/>
        <v>3</v>
      </c>
      <c r="IY5" s="12" t="s">
        <v>338</v>
      </c>
      <c r="IZ5" s="12" t="s">
        <v>339</v>
      </c>
      <c r="JA5" s="12"/>
      <c r="JB5" s="12"/>
      <c r="JC5" s="12"/>
      <c r="JD5" s="12"/>
      <c r="JE5" s="12" t="s">
        <v>340</v>
      </c>
      <c r="JF5" s="12" t="s">
        <v>341</v>
      </c>
      <c r="JG5" s="12" t="s">
        <v>342</v>
      </c>
      <c r="JH5" s="12" t="s">
        <v>343</v>
      </c>
      <c r="JI5" s="12" t="s">
        <v>344</v>
      </c>
      <c r="JJ5" s="12"/>
      <c r="JK5" s="12" t="s">
        <v>345</v>
      </c>
      <c r="JL5" s="12" t="s">
        <v>346</v>
      </c>
      <c r="JM5" s="12"/>
      <c r="JN5" s="12"/>
      <c r="JO5" s="12" t="s">
        <v>347</v>
      </c>
      <c r="JP5" s="15">
        <f t="shared" si="7"/>
        <v>6120</v>
      </c>
      <c r="JQ5" s="15">
        <f t="shared" si="8"/>
        <v>42840</v>
      </c>
      <c r="JR5" s="279">
        <f t="shared" si="9"/>
        <v>7</v>
      </c>
      <c r="JS5" s="17">
        <f t="shared" si="10"/>
        <v>0.68643790849673203</v>
      </c>
      <c r="JT5" s="18">
        <f t="shared" si="11"/>
        <v>0.48998599439775908</v>
      </c>
      <c r="JU5" s="280">
        <f t="shared" si="12"/>
        <v>4201</v>
      </c>
      <c r="JV5" s="280">
        <f t="shared" si="13"/>
        <v>20991</v>
      </c>
      <c r="JW5" s="319" t="str">
        <f t="shared" si="14"/>
        <v/>
      </c>
      <c r="JX5" s="15">
        <f t="shared" si="15"/>
        <v>0</v>
      </c>
      <c r="JY5" s="15">
        <f t="shared" si="16"/>
        <v>0</v>
      </c>
      <c r="JZ5" s="19" t="str">
        <f t="shared" si="17"/>
        <v/>
      </c>
      <c r="KA5" s="52">
        <f t="shared" si="18"/>
        <v>1</v>
      </c>
      <c r="KB5" s="15">
        <f t="shared" si="19"/>
        <v>507</v>
      </c>
      <c r="KC5" s="15">
        <f t="shared" si="20"/>
        <v>3549</v>
      </c>
      <c r="KD5" s="20">
        <f t="shared" si="21"/>
        <v>7</v>
      </c>
      <c r="KE5" s="52" t="str">
        <f t="shared" si="22"/>
        <v/>
      </c>
      <c r="KF5" s="15">
        <f t="shared" si="23"/>
        <v>0</v>
      </c>
      <c r="KG5" s="15">
        <f t="shared" si="24"/>
        <v>0</v>
      </c>
      <c r="KH5" s="21" t="str">
        <f t="shared" si="25"/>
        <v/>
      </c>
      <c r="KI5" s="52">
        <f t="shared" si="26"/>
        <v>1</v>
      </c>
      <c r="KJ5" s="15">
        <f t="shared" si="27"/>
        <v>507</v>
      </c>
      <c r="KK5" s="15">
        <f t="shared" si="28"/>
        <v>3549</v>
      </c>
      <c r="KL5" s="19">
        <f t="shared" si="29"/>
        <v>7</v>
      </c>
      <c r="KM5" s="52">
        <f t="shared" si="30"/>
        <v>1</v>
      </c>
      <c r="KN5" s="22">
        <f t="shared" si="31"/>
        <v>87</v>
      </c>
      <c r="KO5" s="22">
        <f t="shared" si="32"/>
        <v>609</v>
      </c>
      <c r="KP5" s="19">
        <f t="shared" si="33"/>
        <v>7</v>
      </c>
      <c r="KQ5" s="11" t="str">
        <f t="shared" si="34"/>
        <v>2. Sensitive</v>
      </c>
      <c r="KR5" s="11" t="str">
        <f t="shared" si="35"/>
        <v>2. Accommodating</v>
      </c>
      <c r="KS5" s="11" t="str">
        <f t="shared" si="36"/>
        <v>2. Sensitive</v>
      </c>
      <c r="KT5" s="11" t="str">
        <f t="shared" si="37"/>
        <v>It tested new ways for fighting poverty and measured results of innovation</v>
      </c>
      <c r="KU5" s="11" t="str">
        <f t="shared" si="38"/>
        <v>Moderate advocacy</v>
      </c>
      <c r="KV5" s="11" t="str">
        <f t="shared" si="39"/>
        <v>It did not take tested solutions to scale</v>
      </c>
      <c r="KW5" s="11" t="str">
        <f t="shared" si="40"/>
        <v>Afghanistan - Empowerment Through Education in Afghanistan</v>
      </c>
      <c r="KX5" s="11" t="str">
        <f t="shared" si="41"/>
        <v>Empowerment Through Education in Afghanistan</v>
      </c>
      <c r="KY5" s="11" t="str">
        <f t="shared" si="42"/>
        <v>Afghanistan</v>
      </c>
      <c r="KZ5" s="12">
        <v>5</v>
      </c>
    </row>
    <row r="6" spans="1:312" x14ac:dyDescent="0.3">
      <c r="A6" s="12" t="s">
        <v>305</v>
      </c>
      <c r="B6" s="12" t="s">
        <v>306</v>
      </c>
      <c r="C6" s="12">
        <v>3514</v>
      </c>
      <c r="D6" s="12" t="s">
        <v>441</v>
      </c>
      <c r="E6" s="277" t="str">
        <f t="shared" si="0"/>
        <v>Afghanistan</v>
      </c>
      <c r="F6" s="12" t="s">
        <v>442</v>
      </c>
      <c r="G6" s="12" t="s">
        <v>425</v>
      </c>
      <c r="H6" s="12" t="s">
        <v>310</v>
      </c>
      <c r="I6" s="12" t="s">
        <v>426</v>
      </c>
      <c r="J6" s="278" t="s">
        <v>14563</v>
      </c>
      <c r="K6" s="12"/>
      <c r="L6" s="12"/>
      <c r="M6" s="12"/>
      <c r="N6" s="12"/>
      <c r="O6" s="12"/>
      <c r="P6" s="12"/>
      <c r="Q6" s="12"/>
      <c r="R6" s="12"/>
      <c r="S6" s="12"/>
      <c r="T6" s="12"/>
      <c r="U6" s="12"/>
      <c r="V6" s="12"/>
      <c r="W6" s="12"/>
      <c r="X6" s="12"/>
      <c r="Y6" s="12"/>
      <c r="Z6" s="12"/>
      <c r="AA6" s="12"/>
      <c r="AB6" s="12"/>
      <c r="AC6" s="12"/>
      <c r="AD6" s="12"/>
      <c r="BD6" s="13">
        <v>42370</v>
      </c>
      <c r="BE6" s="13">
        <v>44196</v>
      </c>
      <c r="BF6" s="12"/>
      <c r="BG6" s="12" t="s">
        <v>312</v>
      </c>
      <c r="BH6" s="14">
        <v>2603830</v>
      </c>
      <c r="BI6" s="12" t="s">
        <v>443</v>
      </c>
      <c r="BJ6" s="12" t="s">
        <v>444</v>
      </c>
      <c r="BK6" s="12" t="s">
        <v>445</v>
      </c>
      <c r="BL6" s="12" t="s">
        <v>351</v>
      </c>
      <c r="BM6" s="12" t="s">
        <v>446</v>
      </c>
      <c r="BN6" s="12" t="s">
        <v>352</v>
      </c>
      <c r="BO6" s="12" t="s">
        <v>319</v>
      </c>
      <c r="BP6" s="12" t="s">
        <v>320</v>
      </c>
      <c r="BQ6" s="12" t="s">
        <v>319</v>
      </c>
      <c r="BR6" s="12" t="s">
        <v>447</v>
      </c>
      <c r="BS6" s="12" t="s">
        <v>357</v>
      </c>
      <c r="BT6" s="12" t="s">
        <v>448</v>
      </c>
      <c r="BU6" s="12" t="s">
        <v>449</v>
      </c>
      <c r="BV6" s="14">
        <v>1412</v>
      </c>
      <c r="BW6" s="14">
        <v>2058</v>
      </c>
      <c r="BX6" s="14">
        <v>3470</v>
      </c>
      <c r="BY6" s="14">
        <v>11902</v>
      </c>
      <c r="BZ6" s="14">
        <v>12388</v>
      </c>
      <c r="CA6" s="14">
        <v>24290</v>
      </c>
      <c r="CB6" s="12" t="s">
        <v>450</v>
      </c>
      <c r="CD6" s="14"/>
      <c r="CE6" s="14"/>
      <c r="CF6" s="14"/>
      <c r="CG6" s="14"/>
      <c r="CH6" s="14"/>
      <c r="CI6" s="14"/>
      <c r="CJ6" s="12"/>
      <c r="CK6" s="14"/>
      <c r="CL6" s="16"/>
      <c r="CM6" s="14"/>
      <c r="CN6" s="12"/>
      <c r="CO6" s="14"/>
      <c r="CP6" s="16"/>
      <c r="CQ6" s="14"/>
      <c r="CR6" s="12"/>
      <c r="CS6" s="14"/>
      <c r="CT6" s="16"/>
      <c r="CU6" s="14"/>
      <c r="CV6" s="12"/>
      <c r="CW6" s="14"/>
      <c r="CX6" s="16"/>
      <c r="CY6" s="14"/>
      <c r="CZ6" s="12"/>
      <c r="DA6" s="14"/>
      <c r="DB6" s="16"/>
      <c r="DC6" s="14"/>
      <c r="DD6" s="12"/>
      <c r="DE6" s="14"/>
      <c r="DF6" s="16"/>
      <c r="DG6" s="14"/>
      <c r="DH6" s="12"/>
      <c r="DI6" s="14"/>
      <c r="DJ6" s="16"/>
      <c r="DK6" s="14"/>
      <c r="DL6" s="12"/>
      <c r="DM6" s="14"/>
      <c r="DN6" s="16"/>
      <c r="DO6" s="14"/>
      <c r="DP6" s="12"/>
      <c r="DQ6" s="14"/>
      <c r="DR6" s="16"/>
      <c r="DS6" s="14"/>
      <c r="DT6" s="12"/>
      <c r="DU6" s="14"/>
      <c r="DV6" s="16"/>
      <c r="DW6" s="14"/>
      <c r="DX6" s="12"/>
      <c r="DY6" s="14"/>
      <c r="DZ6" s="16"/>
      <c r="EA6" s="14"/>
      <c r="EB6" s="12"/>
      <c r="EC6" s="14"/>
      <c r="ED6" s="16"/>
      <c r="EE6" s="14"/>
      <c r="EF6" s="12"/>
      <c r="EG6" s="12"/>
      <c r="EH6" s="14"/>
      <c r="EI6" s="16"/>
      <c r="EJ6" s="14"/>
      <c r="EK6" s="14">
        <v>1407</v>
      </c>
      <c r="EL6" s="14">
        <v>997</v>
      </c>
      <c r="EM6" s="14">
        <v>2404</v>
      </c>
      <c r="EN6" s="14">
        <v>8246</v>
      </c>
      <c r="EO6" s="14">
        <v>8582</v>
      </c>
      <c r="EP6" s="14">
        <v>16828</v>
      </c>
      <c r="EQ6" s="12"/>
      <c r="ER6" s="14"/>
      <c r="ES6" s="16"/>
      <c r="ET6" s="14"/>
      <c r="EU6" s="12"/>
      <c r="EV6" s="14"/>
      <c r="EW6" s="16"/>
      <c r="EX6" s="14"/>
      <c r="EY6" s="12"/>
      <c r="EZ6" s="14"/>
      <c r="FA6" s="16"/>
      <c r="FB6" s="14"/>
      <c r="FC6" s="12"/>
      <c r="FD6" s="14"/>
      <c r="FE6" s="16"/>
      <c r="FF6" s="14"/>
      <c r="FG6" s="12"/>
      <c r="FH6" s="14"/>
      <c r="FI6" s="16"/>
      <c r="FJ6" s="14"/>
      <c r="FK6" s="12"/>
      <c r="FL6" s="14"/>
      <c r="FM6" s="16"/>
      <c r="FN6" s="14"/>
      <c r="FO6" s="12"/>
      <c r="FP6" s="14"/>
      <c r="FQ6" s="16"/>
      <c r="FR6" s="14"/>
      <c r="FS6" s="12"/>
      <c r="FT6" s="14"/>
      <c r="FU6" s="16"/>
      <c r="FV6" s="14"/>
      <c r="FW6" s="11" t="s">
        <v>320</v>
      </c>
      <c r="FX6" s="14">
        <v>2288</v>
      </c>
      <c r="FY6" s="16">
        <v>0.54</v>
      </c>
      <c r="FZ6" s="14">
        <v>16016</v>
      </c>
      <c r="GA6" s="12"/>
      <c r="GB6" s="14"/>
      <c r="GC6" s="16"/>
      <c r="GD6" s="14"/>
      <c r="GE6" s="12"/>
      <c r="GF6" s="14"/>
      <c r="GG6" s="16"/>
      <c r="GH6" s="14"/>
      <c r="GI6" s="12"/>
      <c r="GJ6" s="14"/>
      <c r="GK6" s="16"/>
      <c r="GL6" s="14"/>
      <c r="GM6" s="11" t="s">
        <v>320</v>
      </c>
      <c r="GN6" s="14">
        <v>2404</v>
      </c>
      <c r="GO6" s="16">
        <v>0.58527454242928401</v>
      </c>
      <c r="GP6" s="14">
        <v>16828</v>
      </c>
      <c r="GQ6" s="12"/>
      <c r="GR6" s="14"/>
      <c r="GS6" s="16"/>
      <c r="GT6" s="14"/>
      <c r="GU6" s="12"/>
      <c r="GV6" s="14"/>
      <c r="GW6" s="16"/>
      <c r="GX6" s="14"/>
      <c r="GY6" s="12"/>
      <c r="GZ6" s="14"/>
      <c r="HA6" s="16"/>
      <c r="HB6" s="14"/>
      <c r="HC6" s="12"/>
      <c r="HD6" s="12"/>
      <c r="HE6" s="14"/>
      <c r="HF6" s="16"/>
      <c r="HG6" s="14"/>
      <c r="HH6" s="12" t="s">
        <v>320</v>
      </c>
      <c r="HI6" s="12" t="s">
        <v>327</v>
      </c>
      <c r="HJ6" s="12">
        <v>2016</v>
      </c>
      <c r="HK6" s="12" t="s">
        <v>320</v>
      </c>
      <c r="HL6" s="12" t="s">
        <v>320</v>
      </c>
      <c r="HM6" s="12" t="s">
        <v>451</v>
      </c>
      <c r="HN6" s="12">
        <v>2018</v>
      </c>
      <c r="HO6" s="12" t="s">
        <v>452</v>
      </c>
      <c r="HP6" s="12" t="s">
        <v>453</v>
      </c>
      <c r="HQ6" s="12" t="s">
        <v>319</v>
      </c>
      <c r="HR6" s="12" t="s">
        <v>320</v>
      </c>
      <c r="HS6" s="12" t="s">
        <v>320</v>
      </c>
      <c r="HT6" s="12" t="s">
        <v>320</v>
      </c>
      <c r="HU6" s="12" t="s">
        <v>320</v>
      </c>
      <c r="HV6" s="12" t="s">
        <v>320</v>
      </c>
      <c r="HW6" s="12" t="s">
        <v>319</v>
      </c>
      <c r="HX6" s="12" t="s">
        <v>320</v>
      </c>
      <c r="HY6" s="12"/>
      <c r="HZ6" s="12" t="s">
        <v>331</v>
      </c>
      <c r="IA6" s="12" t="s">
        <v>454</v>
      </c>
      <c r="IB6" s="12" t="s">
        <v>396</v>
      </c>
      <c r="IC6" s="12" t="s">
        <v>455</v>
      </c>
      <c r="ID6" s="12" t="s">
        <v>334</v>
      </c>
      <c r="IE6" s="12" t="s">
        <v>335</v>
      </c>
      <c r="IF6" s="12" t="s">
        <v>320</v>
      </c>
      <c r="IG6" s="12" t="s">
        <v>320</v>
      </c>
      <c r="IH6" s="12" t="s">
        <v>320</v>
      </c>
      <c r="II6" s="12" t="s">
        <v>320</v>
      </c>
      <c r="IJ6" s="12" t="str">
        <f t="shared" si="1"/>
        <v>2. Sensitive</v>
      </c>
      <c r="IK6" s="12">
        <f t="shared" si="2"/>
        <v>4</v>
      </c>
      <c r="IL6" s="12" t="s">
        <v>336</v>
      </c>
      <c r="IM6" s="12" t="s">
        <v>320</v>
      </c>
      <c r="IN6" s="12" t="s">
        <v>320</v>
      </c>
      <c r="IO6" s="12" t="s">
        <v>320</v>
      </c>
      <c r="IP6" s="12" t="s">
        <v>320</v>
      </c>
      <c r="IQ6" s="12" t="str">
        <f t="shared" si="3"/>
        <v>2. Accommodating</v>
      </c>
      <c r="IR6" s="12">
        <f t="shared" si="4"/>
        <v>4</v>
      </c>
      <c r="IS6" s="12" t="s">
        <v>456</v>
      </c>
      <c r="IT6" s="12"/>
      <c r="IU6" s="12" t="s">
        <v>320</v>
      </c>
      <c r="IV6" s="12"/>
      <c r="IW6" s="11" t="str">
        <f t="shared" si="5"/>
        <v>0. Harmful</v>
      </c>
      <c r="IX6" s="12">
        <f t="shared" si="6"/>
        <v>1</v>
      </c>
      <c r="IY6" s="12" t="s">
        <v>338</v>
      </c>
      <c r="IZ6" s="12" t="s">
        <v>457</v>
      </c>
      <c r="JA6" s="12">
        <v>3</v>
      </c>
      <c r="JB6" s="12" t="s">
        <v>433</v>
      </c>
      <c r="JC6" s="12"/>
      <c r="JD6" s="12"/>
      <c r="JE6" s="12" t="s">
        <v>340</v>
      </c>
      <c r="JF6" s="12" t="s">
        <v>458</v>
      </c>
      <c r="JG6" s="12"/>
      <c r="JH6" s="12" t="s">
        <v>459</v>
      </c>
      <c r="JI6" s="12" t="s">
        <v>460</v>
      </c>
      <c r="JJ6" s="12" t="s">
        <v>461</v>
      </c>
      <c r="JK6" s="12" t="s">
        <v>462</v>
      </c>
      <c r="JL6" s="12" t="s">
        <v>463</v>
      </c>
      <c r="JM6" s="12" t="s">
        <v>464</v>
      </c>
      <c r="JN6" s="12"/>
      <c r="JO6" s="12" t="s">
        <v>347</v>
      </c>
      <c r="JP6" s="15">
        <f t="shared" si="7"/>
        <v>2404</v>
      </c>
      <c r="JQ6" s="15">
        <f t="shared" si="8"/>
        <v>16828</v>
      </c>
      <c r="JR6" s="279">
        <f t="shared" si="9"/>
        <v>7</v>
      </c>
      <c r="JS6" s="17">
        <f t="shared" si="10"/>
        <v>0.58527454242928456</v>
      </c>
      <c r="JT6" s="18">
        <f t="shared" si="11"/>
        <v>0.49001663893510816</v>
      </c>
      <c r="JU6" s="280">
        <f t="shared" si="12"/>
        <v>1407</v>
      </c>
      <c r="JV6" s="280">
        <f t="shared" si="13"/>
        <v>8246</v>
      </c>
      <c r="JW6" s="319" t="str">
        <f t="shared" si="14"/>
        <v/>
      </c>
      <c r="JX6" s="15">
        <f t="shared" si="15"/>
        <v>0</v>
      </c>
      <c r="JY6" s="15">
        <f t="shared" si="16"/>
        <v>0</v>
      </c>
      <c r="JZ6" s="19" t="str">
        <f t="shared" si="17"/>
        <v/>
      </c>
      <c r="KA6" s="52" t="str">
        <f t="shared" si="18"/>
        <v/>
      </c>
      <c r="KB6" s="15">
        <f t="shared" si="19"/>
        <v>0</v>
      </c>
      <c r="KC6" s="15">
        <f t="shared" si="20"/>
        <v>0</v>
      </c>
      <c r="KD6" s="20" t="str">
        <f t="shared" si="21"/>
        <v/>
      </c>
      <c r="KE6" s="52" t="str">
        <f t="shared" si="22"/>
        <v/>
      </c>
      <c r="KF6" s="15">
        <f t="shared" si="23"/>
        <v>0</v>
      </c>
      <c r="KG6" s="15">
        <f t="shared" si="24"/>
        <v>0</v>
      </c>
      <c r="KH6" s="21" t="str">
        <f t="shared" si="25"/>
        <v/>
      </c>
      <c r="KI6" s="52" t="str">
        <f t="shared" si="26"/>
        <v/>
      </c>
      <c r="KJ6" s="15">
        <f t="shared" si="27"/>
        <v>0</v>
      </c>
      <c r="KK6" s="15">
        <f t="shared" si="28"/>
        <v>0</v>
      </c>
      <c r="KL6" s="19" t="str">
        <f t="shared" si="29"/>
        <v/>
      </c>
      <c r="KM6" s="52" t="str">
        <f t="shared" si="30"/>
        <v/>
      </c>
      <c r="KN6" s="22">
        <f t="shared" si="31"/>
        <v>0</v>
      </c>
      <c r="KO6" s="22">
        <f t="shared" si="32"/>
        <v>0</v>
      </c>
      <c r="KP6" s="19" t="str">
        <f t="shared" si="33"/>
        <v/>
      </c>
      <c r="KQ6" s="11" t="str">
        <f t="shared" si="34"/>
        <v>2. Sensitive</v>
      </c>
      <c r="KR6" s="11" t="str">
        <f t="shared" si="35"/>
        <v>2. Accommodating</v>
      </c>
      <c r="KS6" s="11" t="str">
        <f t="shared" si="36"/>
        <v>0. Harmful</v>
      </c>
      <c r="KT6" s="11" t="str">
        <f t="shared" si="37"/>
        <v>It tested new ways for fighting poverty and measured results of innovation</v>
      </c>
      <c r="KU6" s="11" t="str">
        <f t="shared" si="38"/>
        <v>Intensive advocacy</v>
      </c>
      <c r="KV6" s="11" t="str">
        <f t="shared" si="39"/>
        <v>It linked and worked with strategic alliances and partners to take tested and effective solutions to scale</v>
      </c>
      <c r="KW6" s="11" t="str">
        <f t="shared" si="40"/>
        <v>Afghanistan - Every Voice Counts (EVC)</v>
      </c>
      <c r="KX6" s="11" t="str">
        <f t="shared" si="41"/>
        <v>Every Voice Counts (EVC)</v>
      </c>
      <c r="KY6" s="11" t="str">
        <f t="shared" si="42"/>
        <v>Afghanistan</v>
      </c>
      <c r="KZ6" s="12">
        <v>6</v>
      </c>
    </row>
    <row r="7" spans="1:312" x14ac:dyDescent="0.3">
      <c r="A7" s="12" t="s">
        <v>305</v>
      </c>
      <c r="B7" s="12" t="s">
        <v>306</v>
      </c>
      <c r="C7" s="12">
        <v>3528</v>
      </c>
      <c r="D7" s="12" t="s">
        <v>486</v>
      </c>
      <c r="E7" s="277" t="str">
        <f t="shared" si="0"/>
        <v>Afghanistan</v>
      </c>
      <c r="F7" s="12" t="s">
        <v>487</v>
      </c>
      <c r="G7" s="12" t="s">
        <v>488</v>
      </c>
      <c r="H7" s="12" t="s">
        <v>489</v>
      </c>
      <c r="I7" s="12" t="s">
        <v>384</v>
      </c>
      <c r="J7" s="281" t="s">
        <v>2248</v>
      </c>
      <c r="K7" s="12"/>
      <c r="L7" s="12"/>
      <c r="M7" s="12"/>
      <c r="N7" s="12"/>
      <c r="O7" s="12"/>
      <c r="P7" s="12"/>
      <c r="Q7" s="12"/>
      <c r="R7" s="12"/>
      <c r="S7" s="12"/>
      <c r="T7" s="12"/>
      <c r="U7" s="12"/>
      <c r="V7" s="12"/>
      <c r="W7" s="12"/>
      <c r="X7" s="12"/>
      <c r="Y7" s="12"/>
      <c r="Z7" s="12"/>
      <c r="AA7" s="12"/>
      <c r="AB7" s="12"/>
      <c r="AC7" s="12"/>
      <c r="AD7" s="12"/>
      <c r="BD7" s="13">
        <v>42095</v>
      </c>
      <c r="BE7" s="13">
        <v>43190</v>
      </c>
      <c r="BF7" s="12"/>
      <c r="BG7" s="12" t="s">
        <v>490</v>
      </c>
      <c r="BH7" s="14">
        <v>801870.32</v>
      </c>
      <c r="BI7" s="12" t="s">
        <v>313</v>
      </c>
      <c r="BJ7" s="12" t="s">
        <v>314</v>
      </c>
      <c r="BK7" s="12" t="s">
        <v>315</v>
      </c>
      <c r="BL7" s="12" t="s">
        <v>491</v>
      </c>
      <c r="BM7" s="12" t="s">
        <v>470</v>
      </c>
      <c r="BN7" s="12" t="s">
        <v>492</v>
      </c>
      <c r="BO7" s="12" t="s">
        <v>319</v>
      </c>
      <c r="BP7" s="12" t="s">
        <v>320</v>
      </c>
      <c r="BQ7" s="12" t="s">
        <v>319</v>
      </c>
      <c r="BR7" s="12" t="s">
        <v>493</v>
      </c>
      <c r="BS7" s="12" t="s">
        <v>322</v>
      </c>
      <c r="BT7" s="12" t="s">
        <v>494</v>
      </c>
      <c r="BU7" s="12" t="s">
        <v>495</v>
      </c>
      <c r="BV7" s="14">
        <v>5000</v>
      </c>
      <c r="BW7" s="14">
        <v>2000</v>
      </c>
      <c r="BX7" s="14">
        <v>7000</v>
      </c>
      <c r="BY7" s="14">
        <v>24010</v>
      </c>
      <c r="BZ7" s="14">
        <v>24990</v>
      </c>
      <c r="CA7" s="14">
        <v>49000</v>
      </c>
      <c r="CB7" s="12" t="s">
        <v>496</v>
      </c>
      <c r="CD7" s="14"/>
      <c r="CE7" s="14"/>
      <c r="CF7" s="14">
        <v>0</v>
      </c>
      <c r="CG7" s="14"/>
      <c r="CH7" s="14"/>
      <c r="CI7" s="14">
        <v>0</v>
      </c>
      <c r="CJ7" s="12"/>
      <c r="CK7" s="14"/>
      <c r="CL7" s="16"/>
      <c r="CM7" s="14"/>
      <c r="CN7" s="12"/>
      <c r="CO7" s="14"/>
      <c r="CP7" s="16"/>
      <c r="CQ7" s="14"/>
      <c r="CR7" s="12"/>
      <c r="CS7" s="14"/>
      <c r="CT7" s="16"/>
      <c r="CU7" s="14"/>
      <c r="CV7" s="12"/>
      <c r="CW7" s="14"/>
      <c r="CX7" s="16"/>
      <c r="CY7" s="14"/>
      <c r="CZ7" s="12"/>
      <c r="DA7" s="14"/>
      <c r="DB7" s="16"/>
      <c r="DC7" s="14"/>
      <c r="DD7" s="12"/>
      <c r="DE7" s="14"/>
      <c r="DF7" s="16"/>
      <c r="DG7" s="14"/>
      <c r="DH7" s="12"/>
      <c r="DI7" s="14"/>
      <c r="DJ7" s="16"/>
      <c r="DK7" s="14"/>
      <c r="DL7" s="12"/>
      <c r="DM7" s="14"/>
      <c r="DN7" s="16"/>
      <c r="DO7" s="14"/>
      <c r="DP7" s="12"/>
      <c r="DQ7" s="14"/>
      <c r="DR7" s="16"/>
      <c r="DS7" s="14"/>
      <c r="DT7" s="12"/>
      <c r="DU7" s="14"/>
      <c r="DV7" s="16"/>
      <c r="DW7" s="14"/>
      <c r="DX7" s="12"/>
      <c r="DY7" s="14"/>
      <c r="DZ7" s="16"/>
      <c r="EA7" s="14"/>
      <c r="EB7" s="12"/>
      <c r="EC7" s="14"/>
      <c r="ED7" s="16"/>
      <c r="EE7" s="14"/>
      <c r="EF7" s="12"/>
      <c r="EG7" s="12"/>
      <c r="EH7" s="14"/>
      <c r="EI7" s="16"/>
      <c r="EJ7" s="14"/>
      <c r="EK7" s="14">
        <v>4628</v>
      </c>
      <c r="EL7" s="14">
        <v>1105</v>
      </c>
      <c r="EM7" s="14">
        <v>5733</v>
      </c>
      <c r="EN7" s="14">
        <v>19664</v>
      </c>
      <c r="EO7" s="14">
        <v>20467</v>
      </c>
      <c r="EP7" s="14">
        <v>40131</v>
      </c>
      <c r="EQ7" s="12"/>
      <c r="ER7" s="14"/>
      <c r="ES7" s="16"/>
      <c r="ET7" s="14"/>
      <c r="EU7" s="12"/>
      <c r="EV7" s="14"/>
      <c r="EW7" s="16"/>
      <c r="EX7" s="14"/>
      <c r="EY7" s="12"/>
      <c r="EZ7" s="14"/>
      <c r="FA7" s="16"/>
      <c r="FB7" s="14"/>
      <c r="FC7" s="12"/>
      <c r="FD7" s="14"/>
      <c r="FE7" s="16"/>
      <c r="FF7" s="14"/>
      <c r="FG7" s="12"/>
      <c r="FH7" s="14"/>
      <c r="FI7" s="16"/>
      <c r="FJ7" s="14"/>
      <c r="FK7" s="12"/>
      <c r="FL7" s="14"/>
      <c r="FM7" s="16"/>
      <c r="FN7" s="14"/>
      <c r="FO7" s="12"/>
      <c r="FP7" s="14"/>
      <c r="FQ7" s="16"/>
      <c r="FR7" s="14"/>
      <c r="FS7" s="12" t="s">
        <v>320</v>
      </c>
      <c r="FT7" s="14">
        <v>3523</v>
      </c>
      <c r="FU7" s="16">
        <v>1</v>
      </c>
      <c r="FV7" s="14">
        <v>24661</v>
      </c>
      <c r="FW7" s="12"/>
      <c r="FX7" s="14"/>
      <c r="FY7" s="16"/>
      <c r="FZ7" s="14"/>
      <c r="GA7" s="11" t="s">
        <v>320</v>
      </c>
      <c r="GB7" s="14">
        <v>627</v>
      </c>
      <c r="GC7" s="16">
        <v>0.6</v>
      </c>
      <c r="GD7" s="14">
        <v>4389</v>
      </c>
      <c r="GE7" s="12"/>
      <c r="GF7" s="14"/>
      <c r="GG7" s="16"/>
      <c r="GH7" s="14"/>
      <c r="GI7" s="12"/>
      <c r="GJ7" s="14"/>
      <c r="GK7" s="16"/>
      <c r="GL7" s="14"/>
      <c r="GM7" s="11" t="s">
        <v>320</v>
      </c>
      <c r="GN7" s="14">
        <v>409</v>
      </c>
      <c r="GO7" s="16">
        <v>0.8</v>
      </c>
      <c r="GP7" s="14">
        <v>20355</v>
      </c>
      <c r="GQ7" s="12" t="s">
        <v>320</v>
      </c>
      <c r="GR7" s="14">
        <v>3523</v>
      </c>
      <c r="GS7" s="16">
        <v>1</v>
      </c>
      <c r="GT7" s="14">
        <v>24661</v>
      </c>
      <c r="GU7" s="12"/>
      <c r="GV7" s="14"/>
      <c r="GW7" s="16"/>
      <c r="GX7" s="14"/>
      <c r="GY7" s="12"/>
      <c r="GZ7" s="14"/>
      <c r="HA7" s="16"/>
      <c r="HB7" s="14"/>
      <c r="HC7" s="12"/>
      <c r="HD7" s="12"/>
      <c r="HE7" s="14"/>
      <c r="HF7" s="16"/>
      <c r="HG7" s="14"/>
      <c r="HH7" s="12" t="s">
        <v>319</v>
      </c>
      <c r="HI7" s="12"/>
      <c r="HJ7" s="12"/>
      <c r="HK7" s="12"/>
      <c r="HL7" s="12" t="s">
        <v>320</v>
      </c>
      <c r="HM7" s="12" t="s">
        <v>416</v>
      </c>
      <c r="HN7" s="12">
        <v>2018</v>
      </c>
      <c r="HO7" s="12" t="s">
        <v>497</v>
      </c>
      <c r="HP7" s="12" t="s">
        <v>330</v>
      </c>
      <c r="HQ7" s="12" t="s">
        <v>320</v>
      </c>
      <c r="HR7" s="12" t="s">
        <v>319</v>
      </c>
      <c r="HS7" s="12" t="s">
        <v>320</v>
      </c>
      <c r="HT7" s="12" t="s">
        <v>320</v>
      </c>
      <c r="HU7" s="12" t="s">
        <v>320</v>
      </c>
      <c r="HV7" s="12" t="s">
        <v>320</v>
      </c>
      <c r="HW7" s="12" t="s">
        <v>320</v>
      </c>
      <c r="HX7" s="12"/>
      <c r="HY7" s="12"/>
      <c r="HZ7" s="12" t="s">
        <v>331</v>
      </c>
      <c r="IA7" s="12" t="s">
        <v>498</v>
      </c>
      <c r="IB7" s="12" t="s">
        <v>396</v>
      </c>
      <c r="IC7" s="12" t="s">
        <v>499</v>
      </c>
      <c r="ID7" s="12" t="s">
        <v>334</v>
      </c>
      <c r="IE7" s="12" t="s">
        <v>335</v>
      </c>
      <c r="IF7" s="12" t="s">
        <v>320</v>
      </c>
      <c r="IG7" s="12" t="s">
        <v>320</v>
      </c>
      <c r="IH7" s="12" t="s">
        <v>320</v>
      </c>
      <c r="II7" s="12" t="s">
        <v>320</v>
      </c>
      <c r="IJ7" s="12" t="str">
        <f t="shared" si="1"/>
        <v>2. Sensitive</v>
      </c>
      <c r="IK7" s="12">
        <f t="shared" si="2"/>
        <v>4</v>
      </c>
      <c r="IL7" s="12" t="s">
        <v>336</v>
      </c>
      <c r="IM7" s="12" t="s">
        <v>320</v>
      </c>
      <c r="IN7" s="12" t="s">
        <v>320</v>
      </c>
      <c r="IO7" s="12" t="s">
        <v>320</v>
      </c>
      <c r="IP7" s="12" t="s">
        <v>320</v>
      </c>
      <c r="IQ7" s="12" t="str">
        <f t="shared" si="3"/>
        <v>2. Accommodating</v>
      </c>
      <c r="IR7" s="12">
        <f t="shared" si="4"/>
        <v>4</v>
      </c>
      <c r="IS7" s="12" t="s">
        <v>337</v>
      </c>
      <c r="IT7" s="12" t="s">
        <v>319</v>
      </c>
      <c r="IU7" s="12" t="s">
        <v>319</v>
      </c>
      <c r="IV7" s="12" t="s">
        <v>319</v>
      </c>
      <c r="IW7" s="11" t="str">
        <f t="shared" si="5"/>
        <v>0. Harmful</v>
      </c>
      <c r="IX7" s="12">
        <f t="shared" si="6"/>
        <v>0</v>
      </c>
      <c r="IY7" s="12" t="s">
        <v>338</v>
      </c>
      <c r="IZ7" s="12" t="s">
        <v>339</v>
      </c>
      <c r="JA7" s="12"/>
      <c r="JB7" s="12"/>
      <c r="JC7" s="12"/>
      <c r="JD7" s="12"/>
      <c r="JE7" s="12" t="s">
        <v>365</v>
      </c>
      <c r="JF7" s="12"/>
      <c r="JG7" s="12"/>
      <c r="JH7" s="12" t="s">
        <v>500</v>
      </c>
      <c r="JI7" s="12" t="s">
        <v>501</v>
      </c>
      <c r="JJ7" s="12" t="s">
        <v>502</v>
      </c>
      <c r="JK7" s="12" t="s">
        <v>500</v>
      </c>
      <c r="JL7" s="12" t="s">
        <v>501</v>
      </c>
      <c r="JM7" s="12" t="s">
        <v>502</v>
      </c>
      <c r="JN7" s="12" t="s">
        <v>503</v>
      </c>
      <c r="JO7" s="12" t="s">
        <v>347</v>
      </c>
      <c r="JP7" s="15">
        <f t="shared" si="7"/>
        <v>5733</v>
      </c>
      <c r="JQ7" s="15">
        <f t="shared" si="8"/>
        <v>40131</v>
      </c>
      <c r="JR7" s="279">
        <f t="shared" si="9"/>
        <v>7</v>
      </c>
      <c r="JS7" s="17">
        <f t="shared" si="10"/>
        <v>0.80725623582766437</v>
      </c>
      <c r="JT7" s="18">
        <f t="shared" si="11"/>
        <v>0.48999526550546957</v>
      </c>
      <c r="JU7" s="280">
        <f t="shared" si="12"/>
        <v>4628</v>
      </c>
      <c r="JV7" s="280">
        <f t="shared" si="13"/>
        <v>19664</v>
      </c>
      <c r="JW7" s="319" t="str">
        <f t="shared" si="14"/>
        <v/>
      </c>
      <c r="JX7" s="15">
        <f t="shared" si="15"/>
        <v>0</v>
      </c>
      <c r="JY7" s="15">
        <f t="shared" si="16"/>
        <v>0</v>
      </c>
      <c r="JZ7" s="19" t="str">
        <f t="shared" si="17"/>
        <v/>
      </c>
      <c r="KA7" s="52" t="str">
        <f t="shared" si="18"/>
        <v/>
      </c>
      <c r="KB7" s="15">
        <f t="shared" si="19"/>
        <v>0</v>
      </c>
      <c r="KC7" s="15">
        <f t="shared" si="20"/>
        <v>0</v>
      </c>
      <c r="KD7" s="20" t="str">
        <f t="shared" si="21"/>
        <v/>
      </c>
      <c r="KE7" s="52">
        <f t="shared" si="22"/>
        <v>1</v>
      </c>
      <c r="KF7" s="15">
        <f t="shared" si="23"/>
        <v>3523</v>
      </c>
      <c r="KG7" s="15">
        <f t="shared" si="24"/>
        <v>24661</v>
      </c>
      <c r="KH7" s="21">
        <f t="shared" si="25"/>
        <v>7</v>
      </c>
      <c r="KI7" s="52">
        <f t="shared" si="26"/>
        <v>1</v>
      </c>
      <c r="KJ7" s="15">
        <f t="shared" si="27"/>
        <v>3523</v>
      </c>
      <c r="KK7" s="15">
        <f t="shared" si="28"/>
        <v>24661</v>
      </c>
      <c r="KL7" s="19">
        <f t="shared" si="29"/>
        <v>7</v>
      </c>
      <c r="KM7" s="52" t="str">
        <f t="shared" si="30"/>
        <v/>
      </c>
      <c r="KN7" s="22">
        <f t="shared" si="31"/>
        <v>0</v>
      </c>
      <c r="KO7" s="22">
        <f t="shared" si="32"/>
        <v>0</v>
      </c>
      <c r="KP7" s="19" t="str">
        <f t="shared" si="33"/>
        <v/>
      </c>
      <c r="KQ7" s="11" t="str">
        <f t="shared" si="34"/>
        <v>2. Sensitive</v>
      </c>
      <c r="KR7" s="11" t="str">
        <f t="shared" si="35"/>
        <v>2. Accommodating</v>
      </c>
      <c r="KS7" s="11" t="str">
        <f t="shared" si="36"/>
        <v>0. Harmful</v>
      </c>
      <c r="KT7" s="11" t="str">
        <f t="shared" si="37"/>
        <v>It tested new ways for fighting poverty and measured results of innovation</v>
      </c>
      <c r="KU7" s="11" t="str">
        <f t="shared" si="38"/>
        <v>Moderate advocacy</v>
      </c>
      <c r="KV7" s="11" t="str">
        <f t="shared" si="39"/>
        <v>It linked and worked with strategic alliances and partners to take tested and effective solutions to scale</v>
      </c>
      <c r="KW7" s="11" t="str">
        <f t="shared" si="40"/>
        <v>Afghanistan - GSK 20% Reinvestment-ACCESS (OMID)</v>
      </c>
      <c r="KX7" s="11" t="str">
        <f t="shared" si="41"/>
        <v>GSK 20% Reinvestment-ACCESS (OMID)</v>
      </c>
      <c r="KY7" s="11" t="str">
        <f t="shared" si="42"/>
        <v>Afghanistan</v>
      </c>
      <c r="KZ7" s="12">
        <v>7</v>
      </c>
    </row>
    <row r="8" spans="1:312" x14ac:dyDescent="0.3">
      <c r="A8" s="12" t="s">
        <v>305</v>
      </c>
      <c r="B8" s="12" t="s">
        <v>306</v>
      </c>
      <c r="C8" s="12">
        <v>3518</v>
      </c>
      <c r="D8" s="12" t="s">
        <v>552</v>
      </c>
      <c r="E8" s="277" t="str">
        <f t="shared" si="0"/>
        <v>Afghanistan</v>
      </c>
      <c r="F8" s="12" t="s">
        <v>553</v>
      </c>
      <c r="G8" s="12" t="s">
        <v>379</v>
      </c>
      <c r="H8" s="12" t="s">
        <v>554</v>
      </c>
      <c r="I8" s="12" t="s">
        <v>384</v>
      </c>
      <c r="J8" s="281" t="s">
        <v>555</v>
      </c>
      <c r="K8" s="12"/>
      <c r="L8" s="12"/>
      <c r="M8" s="12"/>
      <c r="N8" s="12"/>
      <c r="O8" s="12"/>
      <c r="P8" s="12"/>
      <c r="Q8" s="12"/>
      <c r="R8" s="12"/>
      <c r="S8" s="12"/>
      <c r="T8" s="12"/>
      <c r="U8" s="12"/>
      <c r="V8" s="12"/>
      <c r="W8" s="12"/>
      <c r="X8" s="12"/>
      <c r="Y8" s="12"/>
      <c r="Z8" s="12"/>
      <c r="AA8" s="12"/>
      <c r="AB8" s="12"/>
      <c r="AC8" s="12"/>
      <c r="AD8" s="12"/>
      <c r="BD8" s="13">
        <v>42826</v>
      </c>
      <c r="BE8" s="13">
        <v>43190</v>
      </c>
      <c r="BF8" s="12"/>
      <c r="BG8" s="12" t="s">
        <v>312</v>
      </c>
      <c r="BH8" s="14">
        <v>358207</v>
      </c>
      <c r="BI8" s="12" t="s">
        <v>313</v>
      </c>
      <c r="BJ8" s="12" t="s">
        <v>314</v>
      </c>
      <c r="BK8" s="12" t="s">
        <v>315</v>
      </c>
      <c r="BL8" s="12" t="s">
        <v>316</v>
      </c>
      <c r="BM8" s="12" t="s">
        <v>317</v>
      </c>
      <c r="BN8" s="12" t="s">
        <v>318</v>
      </c>
      <c r="BO8" s="12" t="s">
        <v>319</v>
      </c>
      <c r="BP8" s="12" t="s">
        <v>320</v>
      </c>
      <c r="BQ8" s="12" t="s">
        <v>319</v>
      </c>
      <c r="BR8" s="12" t="s">
        <v>556</v>
      </c>
      <c r="BS8" s="12" t="s">
        <v>357</v>
      </c>
      <c r="BT8" s="12" t="s">
        <v>557</v>
      </c>
      <c r="BU8" s="12" t="s">
        <v>558</v>
      </c>
      <c r="BV8" s="14">
        <v>1062</v>
      </c>
      <c r="BW8" s="14">
        <v>78</v>
      </c>
      <c r="BX8" s="14">
        <v>1140</v>
      </c>
      <c r="BY8" s="14">
        <v>3911</v>
      </c>
      <c r="BZ8" s="14">
        <v>4069</v>
      </c>
      <c r="CA8" s="14">
        <v>7980</v>
      </c>
      <c r="CB8" s="12" t="s">
        <v>559</v>
      </c>
      <c r="CD8" s="14"/>
      <c r="CE8" s="14"/>
      <c r="CF8" s="14">
        <v>0</v>
      </c>
      <c r="CG8" s="14"/>
      <c r="CH8" s="14"/>
      <c r="CI8" s="14">
        <v>0</v>
      </c>
      <c r="CJ8" s="12"/>
      <c r="CK8" s="14"/>
      <c r="CL8" s="16"/>
      <c r="CM8" s="14"/>
      <c r="CN8" s="12"/>
      <c r="CO8" s="14"/>
      <c r="CP8" s="16"/>
      <c r="CQ8" s="14"/>
      <c r="CR8" s="12"/>
      <c r="CS8" s="14"/>
      <c r="CT8" s="16"/>
      <c r="CU8" s="14"/>
      <c r="CV8" s="12"/>
      <c r="CW8" s="14"/>
      <c r="CX8" s="16"/>
      <c r="CY8" s="14"/>
      <c r="CZ8" s="12"/>
      <c r="DA8" s="14"/>
      <c r="DB8" s="16"/>
      <c r="DC8" s="14"/>
      <c r="DD8" s="12"/>
      <c r="DE8" s="14"/>
      <c r="DF8" s="16"/>
      <c r="DG8" s="14"/>
      <c r="DH8" s="12"/>
      <c r="DI8" s="14"/>
      <c r="DJ8" s="16"/>
      <c r="DK8" s="14"/>
      <c r="DL8" s="12"/>
      <c r="DM8" s="14"/>
      <c r="DN8" s="16"/>
      <c r="DO8" s="14"/>
      <c r="DP8" s="12"/>
      <c r="DQ8" s="14"/>
      <c r="DR8" s="16"/>
      <c r="DS8" s="14"/>
      <c r="DT8" s="12"/>
      <c r="DU8" s="14"/>
      <c r="DV8" s="16"/>
      <c r="DW8" s="14"/>
      <c r="DX8" s="12"/>
      <c r="DY8" s="14"/>
      <c r="DZ8" s="16"/>
      <c r="EA8" s="14"/>
      <c r="EB8" s="12"/>
      <c r="EC8" s="14"/>
      <c r="ED8" s="16"/>
      <c r="EE8" s="14"/>
      <c r="EF8" s="12"/>
      <c r="EG8" s="12"/>
      <c r="EH8" s="14"/>
      <c r="EI8" s="16"/>
      <c r="EJ8" s="14"/>
      <c r="EK8" s="14">
        <v>1062</v>
      </c>
      <c r="EL8" s="14">
        <v>78</v>
      </c>
      <c r="EM8" s="14">
        <v>1140</v>
      </c>
      <c r="EN8" s="14">
        <v>3911</v>
      </c>
      <c r="EO8" s="14">
        <v>4069</v>
      </c>
      <c r="EP8" s="14">
        <v>7980</v>
      </c>
      <c r="EQ8" s="12"/>
      <c r="ER8" s="14"/>
      <c r="ES8" s="16"/>
      <c r="ET8" s="14"/>
      <c r="EU8" s="12"/>
      <c r="EV8" s="14"/>
      <c r="EW8" s="16"/>
      <c r="EX8" s="14"/>
      <c r="EY8" s="12" t="s">
        <v>320</v>
      </c>
      <c r="EZ8" s="14">
        <v>120</v>
      </c>
      <c r="FA8" s="16">
        <v>1</v>
      </c>
      <c r="FB8" s="14">
        <v>840</v>
      </c>
      <c r="FC8" s="12" t="s">
        <v>320</v>
      </c>
      <c r="FD8" s="14">
        <v>120</v>
      </c>
      <c r="FE8" s="16">
        <v>1</v>
      </c>
      <c r="FF8" s="14">
        <v>840</v>
      </c>
      <c r="FG8" s="12" t="s">
        <v>320</v>
      </c>
      <c r="FH8" s="14">
        <v>120</v>
      </c>
      <c r="FI8" s="16">
        <v>0.35</v>
      </c>
      <c r="FJ8" s="14">
        <v>840</v>
      </c>
      <c r="FK8" s="12" t="s">
        <v>320</v>
      </c>
      <c r="FL8" s="14">
        <v>1140</v>
      </c>
      <c r="FM8" s="16">
        <v>0.93</v>
      </c>
      <c r="FN8" s="14">
        <v>7980</v>
      </c>
      <c r="FO8" s="12"/>
      <c r="FP8" s="14"/>
      <c r="FQ8" s="16"/>
      <c r="FR8" s="14"/>
      <c r="FS8" s="12" t="s">
        <v>320</v>
      </c>
      <c r="FT8" s="14">
        <v>120</v>
      </c>
      <c r="FU8" s="16">
        <v>1</v>
      </c>
      <c r="FV8" s="14">
        <v>840</v>
      </c>
      <c r="FW8" s="11" t="s">
        <v>320</v>
      </c>
      <c r="FX8" s="14">
        <v>1140</v>
      </c>
      <c r="FY8" s="16">
        <v>0.93</v>
      </c>
      <c r="FZ8" s="14">
        <v>7980</v>
      </c>
      <c r="GA8" s="11" t="s">
        <v>320</v>
      </c>
      <c r="GB8" s="14">
        <v>900</v>
      </c>
      <c r="GC8" s="16">
        <v>1</v>
      </c>
      <c r="GD8" s="14">
        <v>6300</v>
      </c>
      <c r="GE8" s="12"/>
      <c r="GF8" s="14"/>
      <c r="GG8" s="16"/>
      <c r="GH8" s="14"/>
      <c r="GI8" s="12"/>
      <c r="GJ8" s="14"/>
      <c r="GK8" s="16"/>
      <c r="GL8" s="14"/>
      <c r="GM8" s="11" t="s">
        <v>320</v>
      </c>
      <c r="GN8" s="14">
        <v>120</v>
      </c>
      <c r="GO8" s="16">
        <v>1</v>
      </c>
      <c r="GP8" s="14">
        <v>840</v>
      </c>
      <c r="GQ8" s="12"/>
      <c r="GR8" s="14"/>
      <c r="GS8" s="16"/>
      <c r="GT8" s="14"/>
      <c r="GU8" s="12" t="s">
        <v>320</v>
      </c>
      <c r="GV8" s="14">
        <v>72</v>
      </c>
      <c r="GW8" s="16">
        <v>0.22</v>
      </c>
      <c r="GX8" s="14">
        <v>504</v>
      </c>
      <c r="GY8" s="11" t="s">
        <v>320</v>
      </c>
      <c r="GZ8" s="14">
        <v>42</v>
      </c>
      <c r="HA8" s="16">
        <v>1</v>
      </c>
      <c r="HB8" s="14">
        <v>294</v>
      </c>
      <c r="HC8" s="12"/>
      <c r="HD8" s="12"/>
      <c r="HE8" s="14"/>
      <c r="HF8" s="16"/>
      <c r="HG8" s="14"/>
      <c r="HH8" s="12" t="s">
        <v>320</v>
      </c>
      <c r="HI8" s="12" t="s">
        <v>560</v>
      </c>
      <c r="HJ8" s="12">
        <v>2017</v>
      </c>
      <c r="HK8" s="12" t="s">
        <v>320</v>
      </c>
      <c r="HL8" s="12" t="s">
        <v>320</v>
      </c>
      <c r="HM8" s="12" t="s">
        <v>560</v>
      </c>
      <c r="HN8" s="12">
        <v>2018</v>
      </c>
      <c r="HO8" s="12" t="s">
        <v>561</v>
      </c>
      <c r="HP8" s="12" t="s">
        <v>330</v>
      </c>
      <c r="HQ8" s="12" t="s">
        <v>320</v>
      </c>
      <c r="HR8" s="12" t="s">
        <v>319</v>
      </c>
      <c r="HS8" s="12" t="s">
        <v>320</v>
      </c>
      <c r="HT8" s="12" t="s">
        <v>320</v>
      </c>
      <c r="HU8" s="12" t="s">
        <v>320</v>
      </c>
      <c r="HV8" s="12" t="s">
        <v>320</v>
      </c>
      <c r="HW8" s="12" t="s">
        <v>319</v>
      </c>
      <c r="HX8" s="12"/>
      <c r="HY8" s="12"/>
      <c r="HZ8" s="12" t="s">
        <v>394</v>
      </c>
      <c r="IA8" s="12" t="s">
        <v>332</v>
      </c>
      <c r="IB8" s="12" t="s">
        <v>333</v>
      </c>
      <c r="IC8" s="12"/>
      <c r="ID8" s="12" t="s">
        <v>334</v>
      </c>
      <c r="IE8" s="12" t="s">
        <v>335</v>
      </c>
      <c r="IF8" s="12" t="s">
        <v>320</v>
      </c>
      <c r="IG8" s="12" t="s">
        <v>320</v>
      </c>
      <c r="IH8" s="12" t="s">
        <v>320</v>
      </c>
      <c r="II8" s="12" t="s">
        <v>320</v>
      </c>
      <c r="IJ8" s="12" t="str">
        <f t="shared" si="1"/>
        <v>2. Sensitive</v>
      </c>
      <c r="IK8" s="12">
        <f t="shared" si="2"/>
        <v>4</v>
      </c>
      <c r="IL8" s="12" t="s">
        <v>336</v>
      </c>
      <c r="IM8" s="12" t="s">
        <v>320</v>
      </c>
      <c r="IN8" s="12" t="s">
        <v>320</v>
      </c>
      <c r="IO8" s="12" t="s">
        <v>320</v>
      </c>
      <c r="IP8" s="12" t="s">
        <v>320</v>
      </c>
      <c r="IQ8" s="12" t="str">
        <f t="shared" si="3"/>
        <v>2. Accommodating</v>
      </c>
      <c r="IR8" s="12">
        <f t="shared" si="4"/>
        <v>4</v>
      </c>
      <c r="IS8" s="12" t="s">
        <v>337</v>
      </c>
      <c r="IT8" s="12" t="s">
        <v>320</v>
      </c>
      <c r="IU8" s="12" t="s">
        <v>320</v>
      </c>
      <c r="IV8" s="12" t="s">
        <v>320</v>
      </c>
      <c r="IW8" s="11" t="str">
        <f t="shared" si="5"/>
        <v>2. Sensitive</v>
      </c>
      <c r="IX8" s="12">
        <f t="shared" si="6"/>
        <v>3</v>
      </c>
      <c r="IY8" s="12" t="s">
        <v>338</v>
      </c>
      <c r="IZ8" s="12" t="s">
        <v>339</v>
      </c>
      <c r="JA8" s="12"/>
      <c r="JB8" s="12"/>
      <c r="JC8" s="12"/>
      <c r="JD8" s="12"/>
      <c r="JE8" s="12" t="s">
        <v>340</v>
      </c>
      <c r="JF8" s="12" t="s">
        <v>341</v>
      </c>
      <c r="JG8" s="12" t="s">
        <v>342</v>
      </c>
      <c r="JH8" s="12" t="s">
        <v>343</v>
      </c>
      <c r="JI8" s="12" t="s">
        <v>344</v>
      </c>
      <c r="JJ8" s="12"/>
      <c r="JK8" s="12" t="s">
        <v>562</v>
      </c>
      <c r="JL8" s="12"/>
      <c r="JM8" s="12"/>
      <c r="JN8" s="12"/>
      <c r="JO8" s="12" t="s">
        <v>563</v>
      </c>
      <c r="JP8" s="15">
        <f t="shared" si="7"/>
        <v>1140</v>
      </c>
      <c r="JQ8" s="15">
        <f t="shared" si="8"/>
        <v>7980</v>
      </c>
      <c r="JR8" s="279">
        <f t="shared" si="9"/>
        <v>7</v>
      </c>
      <c r="JS8" s="17">
        <f t="shared" si="10"/>
        <v>0.93157894736842106</v>
      </c>
      <c r="JT8" s="18">
        <f t="shared" si="11"/>
        <v>0.49010025062656642</v>
      </c>
      <c r="JU8" s="280">
        <f t="shared" si="12"/>
        <v>1062</v>
      </c>
      <c r="JV8" s="280">
        <f t="shared" si="13"/>
        <v>3911</v>
      </c>
      <c r="JW8" s="319" t="str">
        <f t="shared" si="14"/>
        <v/>
      </c>
      <c r="JX8" s="15">
        <f t="shared" si="15"/>
        <v>0</v>
      </c>
      <c r="JY8" s="15">
        <f t="shared" si="16"/>
        <v>0</v>
      </c>
      <c r="JZ8" s="19" t="str">
        <f t="shared" si="17"/>
        <v/>
      </c>
      <c r="KA8" s="52">
        <f t="shared" si="18"/>
        <v>1</v>
      </c>
      <c r="KB8" s="15">
        <f t="shared" si="19"/>
        <v>120</v>
      </c>
      <c r="KC8" s="15">
        <f t="shared" si="20"/>
        <v>840</v>
      </c>
      <c r="KD8" s="20">
        <f t="shared" si="21"/>
        <v>7</v>
      </c>
      <c r="KE8" s="52" t="str">
        <f t="shared" si="22"/>
        <v/>
      </c>
      <c r="KF8" s="15">
        <f t="shared" si="23"/>
        <v>0</v>
      </c>
      <c r="KG8" s="15">
        <f t="shared" si="24"/>
        <v>0</v>
      </c>
      <c r="KH8" s="21" t="str">
        <f t="shared" si="25"/>
        <v/>
      </c>
      <c r="KI8" s="52">
        <f t="shared" si="26"/>
        <v>1</v>
      </c>
      <c r="KJ8" s="15">
        <f t="shared" si="27"/>
        <v>120</v>
      </c>
      <c r="KK8" s="15">
        <f t="shared" si="28"/>
        <v>840</v>
      </c>
      <c r="KL8" s="19">
        <f t="shared" si="29"/>
        <v>7</v>
      </c>
      <c r="KM8" s="52">
        <f t="shared" si="30"/>
        <v>1</v>
      </c>
      <c r="KN8" s="22">
        <f t="shared" si="31"/>
        <v>42</v>
      </c>
      <c r="KO8" s="22">
        <f t="shared" si="32"/>
        <v>294</v>
      </c>
      <c r="KP8" s="19">
        <f t="shared" si="33"/>
        <v>7</v>
      </c>
      <c r="KQ8" s="11" t="str">
        <f t="shared" si="34"/>
        <v>2. Sensitive</v>
      </c>
      <c r="KR8" s="11" t="str">
        <f t="shared" si="35"/>
        <v>2. Accommodating</v>
      </c>
      <c r="KS8" s="11" t="str">
        <f t="shared" si="36"/>
        <v>2. Sensitive</v>
      </c>
      <c r="KT8" s="11" t="str">
        <f t="shared" si="37"/>
        <v>It tested new ways for fighting poverty, but did not measure results of innovation</v>
      </c>
      <c r="KU8" s="11" t="str">
        <f t="shared" si="38"/>
        <v>Moderate advocacy</v>
      </c>
      <c r="KV8" s="11" t="str">
        <f t="shared" si="39"/>
        <v>It did not take tested solutions to scale</v>
      </c>
      <c r="KW8" s="11" t="str">
        <f t="shared" si="40"/>
        <v>Afghanistan - Lower Secondary Community-Based Education (LSCBE)</v>
      </c>
      <c r="KX8" s="11" t="str">
        <f t="shared" si="41"/>
        <v>Lower Secondary Community-Based Education (LSCBE)</v>
      </c>
      <c r="KY8" s="11" t="str">
        <f t="shared" si="42"/>
        <v>Afghanistan</v>
      </c>
      <c r="KZ8" s="12">
        <v>8</v>
      </c>
    </row>
    <row r="9" spans="1:312" x14ac:dyDescent="0.3">
      <c r="A9" s="12" t="s">
        <v>305</v>
      </c>
      <c r="B9" s="12" t="s">
        <v>306</v>
      </c>
      <c r="C9" s="12">
        <v>3529</v>
      </c>
      <c r="D9" s="12" t="s">
        <v>564</v>
      </c>
      <c r="E9" s="277" t="str">
        <f t="shared" si="0"/>
        <v>Afghanistan</v>
      </c>
      <c r="F9" s="12" t="s">
        <v>565</v>
      </c>
      <c r="G9" s="12" t="s">
        <v>379</v>
      </c>
      <c r="H9" s="12" t="s">
        <v>310</v>
      </c>
      <c r="I9" s="12" t="s">
        <v>384</v>
      </c>
      <c r="J9" s="281" t="s">
        <v>14566</v>
      </c>
      <c r="K9" s="12"/>
      <c r="L9" s="12"/>
      <c r="M9" s="12"/>
      <c r="N9" s="12"/>
      <c r="O9" s="12"/>
      <c r="P9" s="12"/>
      <c r="Q9" s="12"/>
      <c r="R9" s="12"/>
      <c r="S9" s="12"/>
      <c r="T9" s="12"/>
      <c r="U9" s="12"/>
      <c r="V9" s="12"/>
      <c r="W9" s="12"/>
      <c r="X9" s="12"/>
      <c r="Y9" s="12"/>
      <c r="Z9" s="12"/>
      <c r="AA9" s="12"/>
      <c r="AB9" s="12"/>
      <c r="AC9" s="12"/>
      <c r="AD9" s="12"/>
      <c r="BD9" s="13">
        <v>42278</v>
      </c>
      <c r="BE9" s="13">
        <v>42643</v>
      </c>
      <c r="BF9" s="12"/>
      <c r="BG9" s="12" t="s">
        <v>312</v>
      </c>
      <c r="BH9" s="14">
        <v>3366665.6</v>
      </c>
      <c r="BI9" s="12" t="s">
        <v>351</v>
      </c>
      <c r="BJ9" s="12" t="s">
        <v>314</v>
      </c>
      <c r="BK9" s="12" t="s">
        <v>352</v>
      </c>
      <c r="BL9" s="12" t="s">
        <v>566</v>
      </c>
      <c r="BM9" s="12" t="s">
        <v>444</v>
      </c>
      <c r="BN9" s="12" t="s">
        <v>567</v>
      </c>
      <c r="BO9" s="11" t="s">
        <v>319</v>
      </c>
      <c r="BP9" s="11" t="s">
        <v>320</v>
      </c>
      <c r="BQ9" s="11" t="s">
        <v>319</v>
      </c>
      <c r="BR9" s="12" t="s">
        <v>568</v>
      </c>
      <c r="BS9" s="12" t="s">
        <v>357</v>
      </c>
      <c r="BT9" s="12" t="s">
        <v>569</v>
      </c>
      <c r="BU9" s="12" t="s">
        <v>570</v>
      </c>
      <c r="BV9" s="14">
        <v>2076</v>
      </c>
      <c r="BW9" s="14">
        <v>2076</v>
      </c>
      <c r="BX9" s="14">
        <v>4152</v>
      </c>
      <c r="BY9" s="14">
        <v>72660</v>
      </c>
      <c r="BZ9" s="14">
        <v>72660</v>
      </c>
      <c r="CA9" s="14">
        <v>145320</v>
      </c>
      <c r="CB9" s="12" t="s">
        <v>571</v>
      </c>
      <c r="CD9" s="14"/>
      <c r="CE9" s="14"/>
      <c r="CF9" s="14">
        <v>0</v>
      </c>
      <c r="CG9" s="14"/>
      <c r="CH9" s="14"/>
      <c r="CI9" s="14">
        <v>0</v>
      </c>
      <c r="CJ9" s="12"/>
      <c r="CK9" s="14"/>
      <c r="CL9" s="16"/>
      <c r="CM9" s="14"/>
      <c r="CN9" s="12"/>
      <c r="CO9" s="14"/>
      <c r="CP9" s="16"/>
      <c r="CQ9" s="14"/>
      <c r="CR9" s="12"/>
      <c r="CS9" s="14"/>
      <c r="CT9" s="16"/>
      <c r="CU9" s="14"/>
      <c r="CV9" s="12"/>
      <c r="CW9" s="14"/>
      <c r="CX9" s="16"/>
      <c r="CY9" s="14"/>
      <c r="CZ9" s="12"/>
      <c r="DA9" s="14"/>
      <c r="DB9" s="16"/>
      <c r="DC9" s="14"/>
      <c r="DD9" s="12"/>
      <c r="DE9" s="14"/>
      <c r="DF9" s="16"/>
      <c r="DG9" s="14"/>
      <c r="DH9" s="12"/>
      <c r="DI9" s="14"/>
      <c r="DJ9" s="16"/>
      <c r="DK9" s="14"/>
      <c r="DL9" s="12"/>
      <c r="DM9" s="14"/>
      <c r="DN9" s="16"/>
      <c r="DO9" s="14"/>
      <c r="DP9" s="12"/>
      <c r="DQ9" s="14"/>
      <c r="DR9" s="16"/>
      <c r="DS9" s="14"/>
      <c r="DT9" s="12"/>
      <c r="DU9" s="14"/>
      <c r="DV9" s="16"/>
      <c r="DW9" s="14"/>
      <c r="DX9" s="12"/>
      <c r="DY9" s="14"/>
      <c r="DZ9" s="16"/>
      <c r="EA9" s="14"/>
      <c r="EB9" s="12"/>
      <c r="EC9" s="14"/>
      <c r="ED9" s="16"/>
      <c r="EE9" s="14"/>
      <c r="EF9" s="12"/>
      <c r="EG9" s="12"/>
      <c r="EH9" s="14"/>
      <c r="EI9" s="16"/>
      <c r="EJ9" s="14"/>
      <c r="EK9" s="14">
        <v>74113</v>
      </c>
      <c r="EL9" s="14">
        <v>71207</v>
      </c>
      <c r="EM9" s="14">
        <v>145320</v>
      </c>
      <c r="EN9" s="14">
        <v>0</v>
      </c>
      <c r="EO9" s="14">
        <v>0</v>
      </c>
      <c r="EP9" s="14">
        <v>0</v>
      </c>
      <c r="EQ9" s="12"/>
      <c r="ER9" s="14"/>
      <c r="ES9" s="16"/>
      <c r="ET9" s="14"/>
      <c r="EU9" s="12"/>
      <c r="EV9" s="14"/>
      <c r="EW9" s="16"/>
      <c r="EX9" s="14"/>
      <c r="EY9" s="12"/>
      <c r="EZ9" s="14"/>
      <c r="FA9" s="16"/>
      <c r="FB9" s="14"/>
      <c r="FC9" s="12"/>
      <c r="FD9" s="14"/>
      <c r="FE9" s="16"/>
      <c r="FF9" s="14"/>
      <c r="FG9" s="12"/>
      <c r="FH9" s="14"/>
      <c r="FI9" s="16"/>
      <c r="FJ9" s="14"/>
      <c r="FK9" s="12"/>
      <c r="FL9" s="14"/>
      <c r="FM9" s="16"/>
      <c r="FN9" s="14"/>
      <c r="FO9" s="12"/>
      <c r="FP9" s="14"/>
      <c r="FQ9" s="16"/>
      <c r="FR9" s="14"/>
      <c r="FS9" s="12"/>
      <c r="FT9" s="14"/>
      <c r="FU9" s="16"/>
      <c r="FV9" s="14"/>
      <c r="FW9" s="12"/>
      <c r="FX9" s="14"/>
      <c r="FY9" s="16"/>
      <c r="FZ9" s="14"/>
      <c r="GA9" s="12"/>
      <c r="GB9" s="14"/>
      <c r="GC9" s="16"/>
      <c r="GD9" s="14"/>
      <c r="GE9" s="12" t="s">
        <v>320</v>
      </c>
      <c r="GF9" s="14">
        <v>145320</v>
      </c>
      <c r="GG9" s="16">
        <v>0.49</v>
      </c>
      <c r="GH9" s="14"/>
      <c r="GI9" s="12"/>
      <c r="GJ9" s="14"/>
      <c r="GK9" s="16"/>
      <c r="GL9" s="14"/>
      <c r="GM9" s="11" t="s">
        <v>320</v>
      </c>
      <c r="GN9" s="14">
        <v>145320</v>
      </c>
      <c r="GO9" s="16">
        <v>0.49</v>
      </c>
      <c r="GP9" s="14"/>
      <c r="GQ9" s="12"/>
      <c r="GR9" s="14"/>
      <c r="GS9" s="16"/>
      <c r="GT9" s="14"/>
      <c r="GU9" s="12"/>
      <c r="GV9" s="14"/>
      <c r="GW9" s="16"/>
      <c r="GX9" s="14"/>
      <c r="GY9" s="12"/>
      <c r="GZ9" s="14"/>
      <c r="HA9" s="16"/>
      <c r="HB9" s="14"/>
      <c r="HC9" s="12"/>
      <c r="HD9" s="12"/>
      <c r="HE9" s="14"/>
      <c r="HF9" s="16"/>
      <c r="HG9" s="14"/>
      <c r="HH9" s="12" t="s">
        <v>319</v>
      </c>
      <c r="HI9" s="12"/>
      <c r="HJ9" s="12"/>
      <c r="HK9" s="12"/>
      <c r="HL9" s="12" t="s">
        <v>319</v>
      </c>
      <c r="HM9" s="12"/>
      <c r="HN9" s="12"/>
      <c r="HO9" s="12"/>
      <c r="HP9" s="12" t="s">
        <v>330</v>
      </c>
      <c r="HQ9" s="12" t="s">
        <v>320</v>
      </c>
      <c r="HR9" s="12" t="s">
        <v>320</v>
      </c>
      <c r="HS9" s="12" t="s">
        <v>320</v>
      </c>
      <c r="HT9" s="12" t="s">
        <v>320</v>
      </c>
      <c r="HU9" s="12" t="s">
        <v>320</v>
      </c>
      <c r="HV9" s="12" t="s">
        <v>320</v>
      </c>
      <c r="HW9" s="12" t="s">
        <v>319</v>
      </c>
      <c r="HX9" s="12"/>
      <c r="HY9" s="12"/>
      <c r="HZ9" s="12" t="s">
        <v>363</v>
      </c>
      <c r="IA9" s="12"/>
      <c r="IB9" s="12" t="s">
        <v>333</v>
      </c>
      <c r="IC9" s="12"/>
      <c r="ID9" s="12" t="s">
        <v>334</v>
      </c>
      <c r="IE9" s="12" t="s">
        <v>335</v>
      </c>
      <c r="IF9" s="12" t="s">
        <v>320</v>
      </c>
      <c r="IG9" s="12" t="s">
        <v>320</v>
      </c>
      <c r="IH9" s="12" t="s">
        <v>320</v>
      </c>
      <c r="II9" s="12" t="s">
        <v>320</v>
      </c>
      <c r="IJ9" s="12" t="str">
        <f t="shared" si="1"/>
        <v>2. Sensitive</v>
      </c>
      <c r="IK9" s="12">
        <f t="shared" si="2"/>
        <v>4</v>
      </c>
      <c r="IL9" s="12" t="s">
        <v>336</v>
      </c>
      <c r="IM9" s="12" t="s">
        <v>320</v>
      </c>
      <c r="IN9" s="12" t="s">
        <v>320</v>
      </c>
      <c r="IO9" s="12" t="s">
        <v>320</v>
      </c>
      <c r="IP9" s="12" t="s">
        <v>320</v>
      </c>
      <c r="IQ9" s="12" t="str">
        <f t="shared" si="3"/>
        <v>2. Accommodating</v>
      </c>
      <c r="IR9" s="12">
        <f t="shared" si="4"/>
        <v>4</v>
      </c>
      <c r="IS9" s="12"/>
      <c r="IT9" s="12"/>
      <c r="IU9" s="12"/>
      <c r="IV9" s="12"/>
      <c r="IW9" s="11" t="str">
        <f t="shared" si="5"/>
        <v>No marker score</v>
      </c>
      <c r="IX9" s="12">
        <f t="shared" si="6"/>
        <v>0</v>
      </c>
      <c r="IY9" s="12" t="s">
        <v>338</v>
      </c>
      <c r="IZ9" s="12" t="s">
        <v>339</v>
      </c>
      <c r="JA9" s="12"/>
      <c r="JB9" s="12"/>
      <c r="JC9" s="12"/>
      <c r="JD9" s="12"/>
      <c r="JE9" s="12" t="s">
        <v>420</v>
      </c>
      <c r="JF9" s="12"/>
      <c r="JG9" s="12" t="s">
        <v>572</v>
      </c>
      <c r="JH9" s="12"/>
      <c r="JI9" s="12"/>
      <c r="JJ9" s="12"/>
      <c r="JK9" s="12" t="s">
        <v>573</v>
      </c>
      <c r="JL9" s="12" t="s">
        <v>574</v>
      </c>
      <c r="JM9" s="12" t="s">
        <v>575</v>
      </c>
      <c r="JN9" s="12"/>
      <c r="JO9" s="12" t="s">
        <v>347</v>
      </c>
      <c r="JP9" s="15">
        <f t="shared" si="7"/>
        <v>145320</v>
      </c>
      <c r="JQ9" s="15">
        <f t="shared" si="8"/>
        <v>0</v>
      </c>
      <c r="JR9" s="279">
        <f t="shared" si="9"/>
        <v>0</v>
      </c>
      <c r="JS9" s="17">
        <f t="shared" si="10"/>
        <v>0.50999862372694738</v>
      </c>
      <c r="JT9" s="18" t="str">
        <f t="shared" si="11"/>
        <v/>
      </c>
      <c r="JU9" s="280">
        <f t="shared" si="12"/>
        <v>74113</v>
      </c>
      <c r="JV9" s="280">
        <f t="shared" si="13"/>
        <v>0</v>
      </c>
      <c r="JW9" s="319" t="str">
        <f t="shared" si="14"/>
        <v/>
      </c>
      <c r="JX9" s="15">
        <f t="shared" si="15"/>
        <v>0</v>
      </c>
      <c r="JY9" s="15">
        <f t="shared" si="16"/>
        <v>0</v>
      </c>
      <c r="JZ9" s="19" t="str">
        <f t="shared" si="17"/>
        <v/>
      </c>
      <c r="KA9" s="52" t="str">
        <f t="shared" si="18"/>
        <v/>
      </c>
      <c r="KB9" s="15">
        <f t="shared" si="19"/>
        <v>0</v>
      </c>
      <c r="KC9" s="15">
        <f t="shared" si="20"/>
        <v>0</v>
      </c>
      <c r="KD9" s="20" t="str">
        <f t="shared" si="21"/>
        <v/>
      </c>
      <c r="KE9" s="52" t="str">
        <f t="shared" si="22"/>
        <v/>
      </c>
      <c r="KF9" s="15">
        <f t="shared" si="23"/>
        <v>0</v>
      </c>
      <c r="KG9" s="15">
        <f t="shared" si="24"/>
        <v>0</v>
      </c>
      <c r="KH9" s="21" t="str">
        <f t="shared" si="25"/>
        <v/>
      </c>
      <c r="KI9" s="52" t="str">
        <f t="shared" si="26"/>
        <v/>
      </c>
      <c r="KJ9" s="15">
        <f t="shared" si="27"/>
        <v>0</v>
      </c>
      <c r="KK9" s="15">
        <f t="shared" si="28"/>
        <v>0</v>
      </c>
      <c r="KL9" s="19" t="str">
        <f t="shared" si="29"/>
        <v/>
      </c>
      <c r="KM9" s="52" t="str">
        <f t="shared" si="30"/>
        <v/>
      </c>
      <c r="KN9" s="22">
        <f t="shared" si="31"/>
        <v>0</v>
      </c>
      <c r="KO9" s="22">
        <f t="shared" si="32"/>
        <v>0</v>
      </c>
      <c r="KP9" s="19" t="str">
        <f t="shared" si="33"/>
        <v/>
      </c>
      <c r="KQ9" s="11" t="str">
        <f t="shared" si="34"/>
        <v>2. Sensitive</v>
      </c>
      <c r="KR9" s="11" t="str">
        <f t="shared" si="35"/>
        <v>2. Accommodating</v>
      </c>
      <c r="KS9" s="11" t="str">
        <f t="shared" si="36"/>
        <v>No marker score</v>
      </c>
      <c r="KT9" s="11" t="str">
        <f t="shared" si="37"/>
        <v>It did not develop any specific innovation</v>
      </c>
      <c r="KU9" s="11" t="str">
        <f t="shared" si="38"/>
        <v>Moderate advocacy</v>
      </c>
      <c r="KV9" s="11" t="str">
        <f t="shared" si="39"/>
        <v>It did not take tested solutions to scale</v>
      </c>
      <c r="KW9" s="11" t="str">
        <f t="shared" si="40"/>
        <v>Afghanistan - National Solidarity Program Phase Three (NSP III)</v>
      </c>
      <c r="KX9" s="11" t="str">
        <f t="shared" si="41"/>
        <v>National Solidarity Program Phase Three (NSP III)</v>
      </c>
      <c r="KY9" s="11" t="str">
        <f t="shared" si="42"/>
        <v>Afghanistan</v>
      </c>
      <c r="KZ9" s="12">
        <v>9</v>
      </c>
    </row>
    <row r="10" spans="1:312" x14ac:dyDescent="0.3">
      <c r="A10" s="12" t="s">
        <v>305</v>
      </c>
      <c r="B10" s="12" t="s">
        <v>306</v>
      </c>
      <c r="C10" s="12"/>
      <c r="D10" s="12" t="s">
        <v>504</v>
      </c>
      <c r="E10" s="277" t="str">
        <f t="shared" si="0"/>
        <v>Afghanistan</v>
      </c>
      <c r="F10" s="12" t="s">
        <v>505</v>
      </c>
      <c r="G10" s="12" t="s">
        <v>488</v>
      </c>
      <c r="H10" s="12" t="s">
        <v>310</v>
      </c>
      <c r="I10" s="12" t="s">
        <v>506</v>
      </c>
      <c r="J10" s="281" t="s">
        <v>14567</v>
      </c>
      <c r="K10" s="12"/>
      <c r="L10" s="12"/>
      <c r="M10" s="12"/>
      <c r="N10" s="12"/>
      <c r="O10" s="12"/>
      <c r="P10" s="12"/>
      <c r="Q10" s="12"/>
      <c r="R10" s="12"/>
      <c r="S10" s="12"/>
      <c r="T10" s="12"/>
      <c r="U10" s="12"/>
      <c r="V10" s="12"/>
      <c r="W10" s="12"/>
      <c r="X10" s="12"/>
      <c r="Y10" s="12"/>
      <c r="Z10" s="12"/>
      <c r="AA10" s="12"/>
      <c r="AB10" s="12"/>
      <c r="AC10" s="12"/>
      <c r="AD10" s="12"/>
      <c r="BD10" s="13">
        <v>42657</v>
      </c>
      <c r="BE10" s="13">
        <v>42701</v>
      </c>
      <c r="BF10" s="12"/>
      <c r="BG10" s="12" t="s">
        <v>407</v>
      </c>
      <c r="BH10" s="14">
        <v>121181</v>
      </c>
      <c r="BI10" s="12" t="s">
        <v>351</v>
      </c>
      <c r="BJ10" s="12" t="s">
        <v>314</v>
      </c>
      <c r="BK10" s="12" t="s">
        <v>352</v>
      </c>
      <c r="BL10" s="12" t="s">
        <v>408</v>
      </c>
      <c r="BM10" s="12" t="s">
        <v>409</v>
      </c>
      <c r="BN10" s="12" t="s">
        <v>410</v>
      </c>
      <c r="BO10" s="12" t="s">
        <v>320</v>
      </c>
      <c r="BP10" s="12" t="s">
        <v>319</v>
      </c>
      <c r="BQ10" s="12" t="s">
        <v>319</v>
      </c>
      <c r="BR10" s="12" t="s">
        <v>507</v>
      </c>
      <c r="BS10" s="12" t="s">
        <v>357</v>
      </c>
      <c r="BT10" s="12" t="s">
        <v>508</v>
      </c>
      <c r="BU10" s="12" t="s">
        <v>509</v>
      </c>
      <c r="BV10" s="14">
        <v>300</v>
      </c>
      <c r="BW10" s="14">
        <v>300</v>
      </c>
      <c r="BX10" s="14">
        <v>600</v>
      </c>
      <c r="BY10" s="14">
        <v>2132</v>
      </c>
      <c r="BZ10" s="14">
        <v>2068</v>
      </c>
      <c r="CA10" s="14">
        <v>4200</v>
      </c>
      <c r="CB10" s="12" t="s">
        <v>510</v>
      </c>
      <c r="CD10" s="14">
        <v>300</v>
      </c>
      <c r="CE10" s="14">
        <v>300</v>
      </c>
      <c r="CF10" s="14">
        <v>600</v>
      </c>
      <c r="CG10" s="14">
        <v>1824</v>
      </c>
      <c r="CH10" s="14">
        <v>1764</v>
      </c>
      <c r="CI10" s="14">
        <v>3588</v>
      </c>
      <c r="CJ10" s="12"/>
      <c r="CK10" s="14"/>
      <c r="CL10" s="16"/>
      <c r="CM10" s="14"/>
      <c r="CN10" s="12" t="s">
        <v>320</v>
      </c>
      <c r="CO10" s="14">
        <v>300</v>
      </c>
      <c r="CP10" s="16">
        <v>0.51</v>
      </c>
      <c r="CQ10" s="14">
        <v>1822</v>
      </c>
      <c r="CR10" s="12"/>
      <c r="CS10" s="14"/>
      <c r="CT10" s="16"/>
      <c r="CU10" s="14"/>
      <c r="CV10" s="12"/>
      <c r="CW10" s="14"/>
      <c r="CX10" s="16"/>
      <c r="CY10" s="14"/>
      <c r="CZ10" s="12"/>
      <c r="DA10" s="14"/>
      <c r="DB10" s="16"/>
      <c r="DC10" s="14"/>
      <c r="DD10" s="11" t="s">
        <v>320</v>
      </c>
      <c r="DE10" s="14">
        <v>300</v>
      </c>
      <c r="DF10" s="16">
        <v>0.51</v>
      </c>
      <c r="DG10" s="14">
        <v>1822</v>
      </c>
      <c r="DH10" s="12"/>
      <c r="DI10" s="14"/>
      <c r="DJ10" s="16"/>
      <c r="DK10" s="14"/>
      <c r="DL10" s="12"/>
      <c r="DM10" s="14"/>
      <c r="DN10" s="16"/>
      <c r="DO10" s="14"/>
      <c r="DP10" s="12"/>
      <c r="DQ10" s="14"/>
      <c r="DR10" s="16"/>
      <c r="DS10" s="14"/>
      <c r="DT10" s="12"/>
      <c r="DU10" s="14"/>
      <c r="DV10" s="16"/>
      <c r="DW10" s="14"/>
      <c r="DX10" s="12" t="s">
        <v>320</v>
      </c>
      <c r="DY10" s="14">
        <v>300</v>
      </c>
      <c r="DZ10" s="16">
        <v>0.51</v>
      </c>
      <c r="EA10" s="14">
        <v>1766</v>
      </c>
      <c r="EB10" s="11" t="s">
        <v>320</v>
      </c>
      <c r="EC10" s="14">
        <v>300</v>
      </c>
      <c r="ED10" s="16">
        <v>0.51</v>
      </c>
      <c r="EE10" s="14">
        <v>1766</v>
      </c>
      <c r="EF10" s="12"/>
      <c r="EG10" s="12"/>
      <c r="EH10" s="14"/>
      <c r="EI10" s="16"/>
      <c r="EJ10" s="14"/>
      <c r="EK10" s="14"/>
      <c r="EL10" s="14"/>
      <c r="EM10" s="14">
        <v>0</v>
      </c>
      <c r="EN10" s="14">
        <v>0</v>
      </c>
      <c r="EO10" s="14">
        <v>0</v>
      </c>
      <c r="EP10" s="14">
        <v>0</v>
      </c>
      <c r="EQ10" s="12"/>
      <c r="ER10" s="14"/>
      <c r="ES10" s="16"/>
      <c r="ET10" s="14"/>
      <c r="EU10" s="12"/>
      <c r="EV10" s="14"/>
      <c r="EW10" s="16"/>
      <c r="EX10" s="14"/>
      <c r="EY10" s="12"/>
      <c r="EZ10" s="14"/>
      <c r="FA10" s="16"/>
      <c r="FB10" s="14"/>
      <c r="FC10" s="12"/>
      <c r="FD10" s="14"/>
      <c r="FE10" s="16"/>
      <c r="FF10" s="14"/>
      <c r="FG10" s="12"/>
      <c r="FH10" s="14"/>
      <c r="FI10" s="16"/>
      <c r="FJ10" s="14"/>
      <c r="FK10" s="12"/>
      <c r="FL10" s="14"/>
      <c r="FM10" s="16"/>
      <c r="FN10" s="14"/>
      <c r="FO10" s="12"/>
      <c r="FP10" s="14"/>
      <c r="FQ10" s="16"/>
      <c r="FR10" s="14"/>
      <c r="FS10" s="12"/>
      <c r="FT10" s="14"/>
      <c r="FU10" s="16"/>
      <c r="FV10" s="14"/>
      <c r="FW10" s="12"/>
      <c r="FX10" s="14"/>
      <c r="FY10" s="16"/>
      <c r="FZ10" s="14"/>
      <c r="GA10" s="12"/>
      <c r="GB10" s="14"/>
      <c r="GC10" s="16"/>
      <c r="GD10" s="14"/>
      <c r="GE10" s="12"/>
      <c r="GF10" s="14"/>
      <c r="GG10" s="16"/>
      <c r="GH10" s="14"/>
      <c r="GI10" s="12"/>
      <c r="GJ10" s="14"/>
      <c r="GK10" s="16"/>
      <c r="GL10" s="14"/>
      <c r="GM10" s="12"/>
      <c r="GN10" s="14"/>
      <c r="GO10" s="16"/>
      <c r="GP10" s="14"/>
      <c r="GQ10" s="12"/>
      <c r="GR10" s="14"/>
      <c r="GS10" s="16"/>
      <c r="GT10" s="14"/>
      <c r="GU10" s="12"/>
      <c r="GV10" s="14"/>
      <c r="GW10" s="16"/>
      <c r="GX10" s="14"/>
      <c r="GY10" s="12"/>
      <c r="GZ10" s="14"/>
      <c r="HA10" s="16"/>
      <c r="HB10" s="14"/>
      <c r="HC10" s="12"/>
      <c r="HD10" s="12"/>
      <c r="HE10" s="14"/>
      <c r="HF10" s="16"/>
      <c r="HG10" s="14"/>
      <c r="HH10" s="12" t="s">
        <v>320</v>
      </c>
      <c r="HI10" s="12" t="s">
        <v>328</v>
      </c>
      <c r="HJ10" s="12">
        <v>2016</v>
      </c>
      <c r="HK10" s="12" t="s">
        <v>320</v>
      </c>
      <c r="HL10" s="12" t="s">
        <v>319</v>
      </c>
      <c r="HM10" s="12"/>
      <c r="HN10" s="12"/>
      <c r="HO10" s="12" t="s">
        <v>511</v>
      </c>
      <c r="HP10" s="12" t="s">
        <v>418</v>
      </c>
      <c r="HQ10" s="12"/>
      <c r="HR10" s="12"/>
      <c r="HS10" s="12"/>
      <c r="HT10" s="12"/>
      <c r="HU10" s="12"/>
      <c r="HV10" s="12"/>
      <c r="HW10" s="12"/>
      <c r="HX10" s="12"/>
      <c r="HY10" s="12"/>
      <c r="HZ10" s="12" t="s">
        <v>363</v>
      </c>
      <c r="IA10" s="12"/>
      <c r="IB10" s="12" t="s">
        <v>333</v>
      </c>
      <c r="IC10" s="12"/>
      <c r="ID10" s="12" t="s">
        <v>364</v>
      </c>
      <c r="IE10" s="12" t="s">
        <v>335</v>
      </c>
      <c r="IF10" s="12" t="s">
        <v>320</v>
      </c>
      <c r="IG10" s="12" t="s">
        <v>320</v>
      </c>
      <c r="IH10" s="12" t="s">
        <v>320</v>
      </c>
      <c r="II10" s="12" t="s">
        <v>320</v>
      </c>
      <c r="IJ10" s="12" t="str">
        <f t="shared" si="1"/>
        <v>2. Sensitive</v>
      </c>
      <c r="IK10" s="12">
        <f t="shared" si="2"/>
        <v>4</v>
      </c>
      <c r="IL10" s="12"/>
      <c r="IM10" s="12"/>
      <c r="IN10" s="12"/>
      <c r="IO10" s="12"/>
      <c r="IP10" s="12"/>
      <c r="IQ10" s="12" t="str">
        <f t="shared" si="3"/>
        <v>No marker score</v>
      </c>
      <c r="IR10" s="12">
        <f t="shared" si="4"/>
        <v>0</v>
      </c>
      <c r="IS10" s="12"/>
      <c r="IT10" s="12"/>
      <c r="IU10" s="12"/>
      <c r="IV10" s="12"/>
      <c r="IW10" s="11" t="str">
        <f t="shared" si="5"/>
        <v>No marker score</v>
      </c>
      <c r="IX10" s="12">
        <f t="shared" si="6"/>
        <v>0</v>
      </c>
      <c r="IY10" s="12" t="s">
        <v>419</v>
      </c>
      <c r="IZ10" s="12" t="s">
        <v>339</v>
      </c>
      <c r="JA10" s="12"/>
      <c r="JB10" s="12"/>
      <c r="JC10" s="12"/>
      <c r="JD10" s="12"/>
      <c r="JE10" s="12" t="s">
        <v>420</v>
      </c>
      <c r="JF10" s="12"/>
      <c r="JG10" s="12" t="s">
        <v>512</v>
      </c>
      <c r="JH10" s="12"/>
      <c r="JI10" s="12"/>
      <c r="JJ10" s="12"/>
      <c r="JK10" s="12" t="s">
        <v>437</v>
      </c>
      <c r="JL10" s="12" t="s">
        <v>513</v>
      </c>
      <c r="JM10" s="12"/>
      <c r="JN10" s="12" t="s">
        <v>514</v>
      </c>
      <c r="JO10" s="12" t="s">
        <v>440</v>
      </c>
      <c r="JP10" s="15">
        <f t="shared" si="7"/>
        <v>600</v>
      </c>
      <c r="JQ10" s="15">
        <f t="shared" si="8"/>
        <v>3588</v>
      </c>
      <c r="JR10" s="279">
        <f t="shared" si="9"/>
        <v>5.98</v>
      </c>
      <c r="JS10" s="17">
        <f t="shared" si="10"/>
        <v>0.5</v>
      </c>
      <c r="JT10" s="18">
        <f t="shared" si="11"/>
        <v>0.50836120401337792</v>
      </c>
      <c r="JU10" s="280">
        <f t="shared" si="12"/>
        <v>300</v>
      </c>
      <c r="JV10" s="280">
        <f t="shared" si="13"/>
        <v>1824</v>
      </c>
      <c r="JW10" s="319">
        <f t="shared" si="14"/>
        <v>1</v>
      </c>
      <c r="JX10" s="15">
        <f t="shared" si="15"/>
        <v>600</v>
      </c>
      <c r="JY10" s="15">
        <f t="shared" si="16"/>
        <v>3588</v>
      </c>
      <c r="JZ10" s="19">
        <f t="shared" si="17"/>
        <v>5.98</v>
      </c>
      <c r="KA10" s="52" t="str">
        <f t="shared" si="18"/>
        <v/>
      </c>
      <c r="KB10" s="15">
        <f t="shared" si="19"/>
        <v>0</v>
      </c>
      <c r="KC10" s="15">
        <f t="shared" si="20"/>
        <v>0</v>
      </c>
      <c r="KD10" s="20" t="str">
        <f t="shared" si="21"/>
        <v/>
      </c>
      <c r="KE10" s="52" t="str">
        <f t="shared" si="22"/>
        <v/>
      </c>
      <c r="KF10" s="15">
        <f t="shared" si="23"/>
        <v>0</v>
      </c>
      <c r="KG10" s="15">
        <f t="shared" si="24"/>
        <v>0</v>
      </c>
      <c r="KH10" s="21" t="str">
        <f t="shared" si="25"/>
        <v/>
      </c>
      <c r="KI10" s="52" t="str">
        <f t="shared" si="26"/>
        <v/>
      </c>
      <c r="KJ10" s="15">
        <f t="shared" si="27"/>
        <v>0</v>
      </c>
      <c r="KK10" s="15">
        <f t="shared" si="28"/>
        <v>0</v>
      </c>
      <c r="KL10" s="19" t="str">
        <f t="shared" si="29"/>
        <v/>
      </c>
      <c r="KM10" s="52" t="str">
        <f t="shared" si="30"/>
        <v/>
      </c>
      <c r="KN10" s="22">
        <f t="shared" si="31"/>
        <v>0</v>
      </c>
      <c r="KO10" s="22">
        <f t="shared" si="32"/>
        <v>0</v>
      </c>
      <c r="KP10" s="19" t="str">
        <f t="shared" si="33"/>
        <v/>
      </c>
      <c r="KQ10" s="11" t="str">
        <f t="shared" si="34"/>
        <v>2. Sensitive</v>
      </c>
      <c r="KR10" s="11" t="str">
        <f t="shared" si="35"/>
        <v>No marker score</v>
      </c>
      <c r="KS10" s="11" t="str">
        <f t="shared" si="36"/>
        <v>No marker score</v>
      </c>
      <c r="KT10" s="11" t="str">
        <f t="shared" si="37"/>
        <v>It did not develop any specific innovation</v>
      </c>
      <c r="KU10" s="11" t="str">
        <f t="shared" si="38"/>
        <v>Little or no advocacy</v>
      </c>
      <c r="KV10" s="11" t="str">
        <f t="shared" si="39"/>
        <v>It did not take tested solutions to scale</v>
      </c>
      <c r="KW10" s="11" t="str">
        <f t="shared" si="40"/>
        <v>Afghanistan - Provision of Assistance to Kunduz IDPs</v>
      </c>
      <c r="KX10" s="11" t="str">
        <f t="shared" si="41"/>
        <v>Provision of Assistance to Kunduz IDPs</v>
      </c>
      <c r="KY10" s="11" t="str">
        <f t="shared" si="42"/>
        <v>Afghanistan</v>
      </c>
      <c r="KZ10" s="12">
        <v>10</v>
      </c>
    </row>
    <row r="11" spans="1:312" x14ac:dyDescent="0.3">
      <c r="A11" s="12" t="s">
        <v>305</v>
      </c>
      <c r="B11" s="12" t="s">
        <v>306</v>
      </c>
      <c r="C11" s="12">
        <v>3530</v>
      </c>
      <c r="D11" s="12" t="s">
        <v>348</v>
      </c>
      <c r="E11" s="277" t="str">
        <f t="shared" si="0"/>
        <v>Afghanistan</v>
      </c>
      <c r="F11" s="12" t="s">
        <v>349</v>
      </c>
      <c r="G11" s="12" t="s">
        <v>309</v>
      </c>
      <c r="H11" s="12" t="s">
        <v>310</v>
      </c>
      <c r="I11" s="12" t="s">
        <v>311</v>
      </c>
      <c r="J11" s="281" t="s">
        <v>14565</v>
      </c>
      <c r="K11" s="12"/>
      <c r="L11" s="12"/>
      <c r="M11" s="12"/>
      <c r="N11" s="12"/>
      <c r="O11" s="12"/>
      <c r="P11" s="12"/>
      <c r="Q11" s="12"/>
      <c r="R11" s="12"/>
      <c r="S11" s="12"/>
      <c r="T11" s="12"/>
      <c r="U11" s="12"/>
      <c r="V11" s="12"/>
      <c r="W11" s="12"/>
      <c r="X11" s="12"/>
      <c r="Y11" s="12"/>
      <c r="Z11" s="12"/>
      <c r="AA11" s="12"/>
      <c r="AB11" s="12"/>
      <c r="AC11" s="12"/>
      <c r="AD11" s="12"/>
      <c r="BD11" s="13">
        <v>42005</v>
      </c>
      <c r="BE11" s="13">
        <v>43100</v>
      </c>
      <c r="BF11" s="12"/>
      <c r="BG11" s="12" t="s">
        <v>350</v>
      </c>
      <c r="BH11" s="14">
        <v>1704269</v>
      </c>
      <c r="BI11" s="12" t="s">
        <v>351</v>
      </c>
      <c r="BJ11" s="12" t="s">
        <v>314</v>
      </c>
      <c r="BK11" s="12" t="s">
        <v>352</v>
      </c>
      <c r="BL11" s="12" t="s">
        <v>353</v>
      </c>
      <c r="BM11" s="12" t="s">
        <v>354</v>
      </c>
      <c r="BN11" s="12" t="s">
        <v>355</v>
      </c>
      <c r="BO11" s="12" t="s">
        <v>320</v>
      </c>
      <c r="BP11" s="12" t="s">
        <v>320</v>
      </c>
      <c r="BQ11" s="12" t="s">
        <v>320</v>
      </c>
      <c r="BR11" s="12" t="s">
        <v>356</v>
      </c>
      <c r="BS11" s="12" t="s">
        <v>357</v>
      </c>
      <c r="BT11" s="12" t="s">
        <v>358</v>
      </c>
      <c r="BU11" s="12" t="s">
        <v>359</v>
      </c>
      <c r="BV11" s="14">
        <v>510</v>
      </c>
      <c r="BW11" s="14">
        <v>940</v>
      </c>
      <c r="BX11" s="14">
        <v>1450</v>
      </c>
      <c r="BY11" s="14">
        <v>5684</v>
      </c>
      <c r="BZ11" s="14">
        <v>5916</v>
      </c>
      <c r="CA11" s="14">
        <v>11600</v>
      </c>
      <c r="CB11" s="12" t="s">
        <v>360</v>
      </c>
      <c r="CD11" s="14"/>
      <c r="CE11" s="14"/>
      <c r="CF11" s="14">
        <v>0</v>
      </c>
      <c r="CG11" s="14"/>
      <c r="CH11" s="14"/>
      <c r="CI11" s="14">
        <v>0</v>
      </c>
      <c r="CJ11" s="12"/>
      <c r="CK11" s="14"/>
      <c r="CL11" s="16"/>
      <c r="CM11" s="14"/>
      <c r="CN11" s="12"/>
      <c r="CO11" s="14"/>
      <c r="CP11" s="16"/>
      <c r="CQ11" s="14"/>
      <c r="CR11" s="12"/>
      <c r="CS11" s="14"/>
      <c r="CT11" s="16"/>
      <c r="CU11" s="14"/>
      <c r="CV11" s="12" t="s">
        <v>320</v>
      </c>
      <c r="CW11" s="14"/>
      <c r="CX11" s="16"/>
      <c r="CY11" s="14"/>
      <c r="CZ11" s="12"/>
      <c r="DA11" s="14"/>
      <c r="DB11" s="16"/>
      <c r="DC11" s="14"/>
      <c r="DD11" s="12"/>
      <c r="DE11" s="14"/>
      <c r="DF11" s="16"/>
      <c r="DG11" s="14"/>
      <c r="DH11" s="12"/>
      <c r="DI11" s="14"/>
      <c r="DJ11" s="16"/>
      <c r="DK11" s="14"/>
      <c r="DL11" s="12" t="s">
        <v>326</v>
      </c>
      <c r="DM11" s="14"/>
      <c r="DN11" s="16"/>
      <c r="DO11" s="14"/>
      <c r="DP11" s="12"/>
      <c r="DQ11" s="14"/>
      <c r="DR11" s="16"/>
      <c r="DS11" s="14"/>
      <c r="DT11" s="12"/>
      <c r="DU11" s="14"/>
      <c r="DV11" s="16"/>
      <c r="DW11" s="14"/>
      <c r="DX11" s="12"/>
      <c r="DY11" s="14"/>
      <c r="DZ11" s="16"/>
      <c r="EA11" s="14"/>
      <c r="EB11" s="12"/>
      <c r="EC11" s="14"/>
      <c r="ED11" s="16"/>
      <c r="EE11" s="14"/>
      <c r="EF11" s="12"/>
      <c r="EG11" s="12"/>
      <c r="EH11" s="14"/>
      <c r="EI11" s="16"/>
      <c r="EJ11" s="14"/>
      <c r="EK11" s="14">
        <v>674</v>
      </c>
      <c r="EL11" s="14">
        <v>2337</v>
      </c>
      <c r="EM11" s="14">
        <v>3011</v>
      </c>
      <c r="EN11" s="14">
        <v>11803</v>
      </c>
      <c r="EO11" s="14">
        <v>12285</v>
      </c>
      <c r="EP11" s="14">
        <v>24088</v>
      </c>
      <c r="EQ11" s="12" t="s">
        <v>320</v>
      </c>
      <c r="ER11" s="14">
        <v>239</v>
      </c>
      <c r="ES11" s="16">
        <v>0</v>
      </c>
      <c r="ET11" s="14">
        <v>1912</v>
      </c>
      <c r="EU11" s="12"/>
      <c r="EV11" s="14"/>
      <c r="EW11" s="16"/>
      <c r="EX11" s="14"/>
      <c r="EY11" s="12"/>
      <c r="EZ11" s="14"/>
      <c r="FA11" s="16"/>
      <c r="FB11" s="14"/>
      <c r="FC11" s="12"/>
      <c r="FD11" s="14"/>
      <c r="FE11" s="16"/>
      <c r="FF11" s="14"/>
      <c r="FG11" s="12"/>
      <c r="FH11" s="14"/>
      <c r="FI11" s="16"/>
      <c r="FJ11" s="14"/>
      <c r="FK11" s="12"/>
      <c r="FL11" s="14"/>
      <c r="FM11" s="16"/>
      <c r="FN11" s="14"/>
      <c r="FO11" s="12" t="s">
        <v>320</v>
      </c>
      <c r="FP11" s="14">
        <v>50</v>
      </c>
      <c r="FQ11" s="16">
        <v>1</v>
      </c>
      <c r="FR11" s="14">
        <v>400</v>
      </c>
      <c r="FS11" s="12"/>
      <c r="FT11" s="14"/>
      <c r="FU11" s="16"/>
      <c r="FV11" s="14"/>
      <c r="FW11" s="12"/>
      <c r="FX11" s="14"/>
      <c r="FY11" s="16"/>
      <c r="FZ11" s="14"/>
      <c r="GA11" s="12"/>
      <c r="GB11" s="14"/>
      <c r="GC11" s="16"/>
      <c r="GD11" s="14"/>
      <c r="GE11" s="12" t="s">
        <v>320</v>
      </c>
      <c r="GF11" s="14">
        <v>1850</v>
      </c>
      <c r="GG11" s="16">
        <v>0</v>
      </c>
      <c r="GH11" s="14">
        <v>14800</v>
      </c>
      <c r="GI11" s="12"/>
      <c r="GJ11" s="14"/>
      <c r="GK11" s="16"/>
      <c r="GL11" s="14"/>
      <c r="GM11" s="11" t="s">
        <v>320</v>
      </c>
      <c r="GN11" s="14">
        <v>780</v>
      </c>
      <c r="GO11" s="16">
        <v>0.68</v>
      </c>
      <c r="GP11" s="14">
        <v>6240</v>
      </c>
      <c r="GQ11" s="12"/>
      <c r="GR11" s="14"/>
      <c r="GS11" s="16"/>
      <c r="GT11" s="14"/>
      <c r="GU11" s="12"/>
      <c r="GV11" s="14"/>
      <c r="GW11" s="16"/>
      <c r="GX11" s="14"/>
      <c r="GY11" s="11" t="s">
        <v>320</v>
      </c>
      <c r="GZ11" s="14">
        <v>92</v>
      </c>
      <c r="HA11" s="16">
        <v>1</v>
      </c>
      <c r="HB11" s="14">
        <v>736</v>
      </c>
      <c r="HC11" s="12"/>
      <c r="HD11" s="12"/>
      <c r="HE11" s="14"/>
      <c r="HF11" s="16"/>
      <c r="HG11" s="14"/>
      <c r="HH11" s="12" t="s">
        <v>319</v>
      </c>
      <c r="HI11" s="12"/>
      <c r="HJ11" s="12"/>
      <c r="HK11" s="12"/>
      <c r="HL11" s="12" t="s">
        <v>320</v>
      </c>
      <c r="HM11" s="12" t="s">
        <v>361</v>
      </c>
      <c r="HN11" s="12">
        <v>2017</v>
      </c>
      <c r="HO11" s="12" t="s">
        <v>362</v>
      </c>
      <c r="HP11" s="12" t="s">
        <v>330</v>
      </c>
      <c r="HQ11" s="12" t="s">
        <v>319</v>
      </c>
      <c r="HR11" s="12" t="s">
        <v>320</v>
      </c>
      <c r="HS11" s="12" t="s">
        <v>320</v>
      </c>
      <c r="HT11" s="12" t="s">
        <v>320</v>
      </c>
      <c r="HU11" s="12" t="s">
        <v>319</v>
      </c>
      <c r="HV11" s="12" t="s">
        <v>319</v>
      </c>
      <c r="HW11" s="12" t="s">
        <v>319</v>
      </c>
      <c r="HX11" s="12"/>
      <c r="HY11" s="12"/>
      <c r="HZ11" s="12" t="s">
        <v>363</v>
      </c>
      <c r="IA11" s="12"/>
      <c r="IB11" s="12" t="s">
        <v>333</v>
      </c>
      <c r="IC11" s="12"/>
      <c r="ID11" s="12" t="s">
        <v>364</v>
      </c>
      <c r="IE11" s="12" t="s">
        <v>335</v>
      </c>
      <c r="IF11" s="12" t="s">
        <v>320</v>
      </c>
      <c r="IG11" s="12" t="s">
        <v>320</v>
      </c>
      <c r="IH11" s="12" t="s">
        <v>320</v>
      </c>
      <c r="II11" s="12" t="s">
        <v>320</v>
      </c>
      <c r="IJ11" s="12" t="str">
        <f t="shared" si="1"/>
        <v>2. Sensitive</v>
      </c>
      <c r="IK11" s="12">
        <f t="shared" si="2"/>
        <v>4</v>
      </c>
      <c r="IL11" s="12" t="s">
        <v>336</v>
      </c>
      <c r="IM11" s="12" t="s">
        <v>320</v>
      </c>
      <c r="IN11" s="12" t="s">
        <v>320</v>
      </c>
      <c r="IO11" s="12" t="s">
        <v>320</v>
      </c>
      <c r="IP11" s="12" t="s">
        <v>320</v>
      </c>
      <c r="IQ11" s="12" t="str">
        <f t="shared" si="3"/>
        <v>2. Accommodating</v>
      </c>
      <c r="IR11" s="12">
        <f t="shared" si="4"/>
        <v>4</v>
      </c>
      <c r="IS11" s="12" t="s">
        <v>337</v>
      </c>
      <c r="IT11" s="12" t="s">
        <v>320</v>
      </c>
      <c r="IU11" s="12" t="s">
        <v>320</v>
      </c>
      <c r="IV11" s="12" t="s">
        <v>320</v>
      </c>
      <c r="IW11" s="11" t="str">
        <f t="shared" si="5"/>
        <v>2. Sensitive</v>
      </c>
      <c r="IX11" s="12">
        <f t="shared" si="6"/>
        <v>3</v>
      </c>
      <c r="IY11" s="12" t="s">
        <v>338</v>
      </c>
      <c r="IZ11" s="12" t="s">
        <v>339</v>
      </c>
      <c r="JA11" s="12"/>
      <c r="JB11" s="12"/>
      <c r="JC11" s="12"/>
      <c r="JD11" s="12"/>
      <c r="JE11" s="12" t="s">
        <v>365</v>
      </c>
      <c r="JF11" s="12" t="s">
        <v>366</v>
      </c>
      <c r="JG11" s="12" t="s">
        <v>367</v>
      </c>
      <c r="JH11" s="12" t="s">
        <v>368</v>
      </c>
      <c r="JI11" s="12" t="s">
        <v>369</v>
      </c>
      <c r="JJ11" s="12" t="s">
        <v>370</v>
      </c>
      <c r="JK11" s="12" t="s">
        <v>371</v>
      </c>
      <c r="JL11" s="12" t="s">
        <v>372</v>
      </c>
      <c r="JM11" s="12"/>
      <c r="JN11" s="12"/>
      <c r="JO11" s="12" t="s">
        <v>373</v>
      </c>
      <c r="JP11" s="15">
        <f t="shared" si="7"/>
        <v>3011</v>
      </c>
      <c r="JQ11" s="15">
        <f t="shared" si="8"/>
        <v>24088</v>
      </c>
      <c r="JR11" s="279">
        <f t="shared" si="9"/>
        <v>8</v>
      </c>
      <c r="JS11" s="17">
        <f t="shared" si="10"/>
        <v>0.22384589837263369</v>
      </c>
      <c r="JT11" s="18">
        <f t="shared" si="11"/>
        <v>0.48999501826635672</v>
      </c>
      <c r="JU11" s="280">
        <f t="shared" si="12"/>
        <v>674</v>
      </c>
      <c r="JV11" s="280">
        <f t="shared" si="13"/>
        <v>11803</v>
      </c>
      <c r="JW11" s="319">
        <f t="shared" si="14"/>
        <v>1</v>
      </c>
      <c r="JX11" s="15">
        <f t="shared" si="15"/>
        <v>0</v>
      </c>
      <c r="JY11" s="15">
        <f t="shared" si="16"/>
        <v>0</v>
      </c>
      <c r="JZ11" s="19" t="str">
        <f t="shared" si="17"/>
        <v/>
      </c>
      <c r="KA11" s="52">
        <f t="shared" si="18"/>
        <v>1</v>
      </c>
      <c r="KB11" s="15">
        <f t="shared" si="19"/>
        <v>239</v>
      </c>
      <c r="KC11" s="15">
        <f t="shared" si="20"/>
        <v>1912</v>
      </c>
      <c r="KD11" s="20">
        <f t="shared" si="21"/>
        <v>8</v>
      </c>
      <c r="KE11" s="52" t="str">
        <f t="shared" si="22"/>
        <v/>
      </c>
      <c r="KF11" s="15">
        <f t="shared" si="23"/>
        <v>0</v>
      </c>
      <c r="KG11" s="15">
        <f t="shared" si="24"/>
        <v>0</v>
      </c>
      <c r="KH11" s="21" t="str">
        <f t="shared" si="25"/>
        <v/>
      </c>
      <c r="KI11" s="52" t="str">
        <f t="shared" si="26"/>
        <v/>
      </c>
      <c r="KJ11" s="15">
        <f t="shared" si="27"/>
        <v>0</v>
      </c>
      <c r="KK11" s="15">
        <f t="shared" si="28"/>
        <v>0</v>
      </c>
      <c r="KL11" s="19" t="str">
        <f t="shared" si="29"/>
        <v/>
      </c>
      <c r="KM11" s="52">
        <f t="shared" si="30"/>
        <v>1</v>
      </c>
      <c r="KN11" s="22">
        <f t="shared" si="31"/>
        <v>92</v>
      </c>
      <c r="KO11" s="22">
        <f t="shared" si="32"/>
        <v>736</v>
      </c>
      <c r="KP11" s="19">
        <f t="shared" si="33"/>
        <v>8</v>
      </c>
      <c r="KQ11" s="11" t="str">
        <f t="shared" si="34"/>
        <v>2. Sensitive</v>
      </c>
      <c r="KR11" s="11" t="str">
        <f t="shared" si="35"/>
        <v>2. Accommodating</v>
      </c>
      <c r="KS11" s="11" t="str">
        <f t="shared" si="36"/>
        <v>2. Sensitive</v>
      </c>
      <c r="KT11" s="11" t="str">
        <f t="shared" si="37"/>
        <v>It did not develop any specific innovation</v>
      </c>
      <c r="KU11" s="11" t="str">
        <f t="shared" si="38"/>
        <v>Moderate advocacy</v>
      </c>
      <c r="KV11" s="11" t="str">
        <f t="shared" si="39"/>
        <v>It did not take tested solutions to scale</v>
      </c>
      <c r="KW11" s="11" t="str">
        <f t="shared" si="40"/>
        <v>Afghanistan - Resilient Livelihoods Project for Vulnerable Rural Communities in Balkh Province, Afghanistan</v>
      </c>
      <c r="KX11" s="11" t="str">
        <f t="shared" si="41"/>
        <v>Resilient Livelihoods Project for Vulnerable Rural Communities in Balkh Province, Afghanistan</v>
      </c>
      <c r="KY11" s="11" t="str">
        <f t="shared" si="42"/>
        <v>Afghanistan</v>
      </c>
      <c r="KZ11" s="12">
        <v>11</v>
      </c>
    </row>
    <row r="12" spans="1:312" x14ac:dyDescent="0.3">
      <c r="A12" s="12" t="s">
        <v>305</v>
      </c>
      <c r="B12" s="12" t="s">
        <v>306</v>
      </c>
      <c r="C12" s="12">
        <v>3515</v>
      </c>
      <c r="D12" s="12" t="s">
        <v>515</v>
      </c>
      <c r="E12" s="277" t="str">
        <f t="shared" si="0"/>
        <v>Afghanistan</v>
      </c>
      <c r="F12" s="12" t="s">
        <v>516</v>
      </c>
      <c r="G12" s="12" t="s">
        <v>488</v>
      </c>
      <c r="H12" s="12" t="s">
        <v>384</v>
      </c>
      <c r="I12" s="12" t="s">
        <v>517</v>
      </c>
      <c r="J12" s="281" t="s">
        <v>14568</v>
      </c>
      <c r="K12" s="12"/>
      <c r="L12" s="12"/>
      <c r="M12" s="12"/>
      <c r="N12" s="12"/>
      <c r="O12" s="12"/>
      <c r="P12" s="12"/>
      <c r="Q12" s="12"/>
      <c r="R12" s="12"/>
      <c r="S12" s="12"/>
      <c r="T12" s="12"/>
      <c r="U12" s="12"/>
      <c r="V12" s="12"/>
      <c r="W12" s="12"/>
      <c r="X12" s="12"/>
      <c r="Y12" s="12"/>
      <c r="Z12" s="12"/>
      <c r="AA12" s="12"/>
      <c r="AB12" s="12"/>
      <c r="AC12" s="12"/>
      <c r="AD12" s="12"/>
      <c r="BD12" s="13">
        <v>42370</v>
      </c>
      <c r="BE12" s="13">
        <v>43465</v>
      </c>
      <c r="BF12" s="12"/>
      <c r="BG12" s="12" t="s">
        <v>312</v>
      </c>
      <c r="BH12" s="14">
        <v>516358</v>
      </c>
      <c r="BI12" s="12" t="s">
        <v>443</v>
      </c>
      <c r="BJ12" s="12" t="s">
        <v>444</v>
      </c>
      <c r="BK12" s="12" t="s">
        <v>445</v>
      </c>
      <c r="BL12" s="12" t="s">
        <v>351</v>
      </c>
      <c r="BM12" s="12" t="s">
        <v>446</v>
      </c>
      <c r="BN12" s="12" t="s">
        <v>352</v>
      </c>
      <c r="BO12" s="12" t="s">
        <v>319</v>
      </c>
      <c r="BP12" s="12" t="s">
        <v>320</v>
      </c>
      <c r="BQ12" s="12" t="s">
        <v>319</v>
      </c>
      <c r="BR12" s="12" t="s">
        <v>518</v>
      </c>
      <c r="BS12" s="12" t="s">
        <v>357</v>
      </c>
      <c r="BT12" s="12" t="s">
        <v>519</v>
      </c>
      <c r="BU12" s="12" t="s">
        <v>520</v>
      </c>
      <c r="BV12" s="14">
        <v>350</v>
      </c>
      <c r="BW12" s="14">
        <v>510</v>
      </c>
      <c r="BX12" s="14">
        <v>860</v>
      </c>
      <c r="BY12" s="14">
        <v>13720</v>
      </c>
      <c r="BZ12" s="14">
        <v>14280</v>
      </c>
      <c r="CA12" s="14">
        <v>28000</v>
      </c>
      <c r="CB12" s="12" t="s">
        <v>521</v>
      </c>
      <c r="CD12" s="14"/>
      <c r="CE12" s="14"/>
      <c r="CF12" s="14">
        <v>0</v>
      </c>
      <c r="CG12" s="14"/>
      <c r="CH12" s="14"/>
      <c r="CI12" s="14">
        <v>0</v>
      </c>
      <c r="CJ12" s="12"/>
      <c r="CK12" s="14"/>
      <c r="CL12" s="16"/>
      <c r="CM12" s="14"/>
      <c r="CN12" s="12"/>
      <c r="CO12" s="14"/>
      <c r="CP12" s="16"/>
      <c r="CQ12" s="14"/>
      <c r="CR12" s="12"/>
      <c r="CS12" s="14"/>
      <c r="CT12" s="16"/>
      <c r="CU12" s="14"/>
      <c r="CV12" s="12"/>
      <c r="CW12" s="14"/>
      <c r="CX12" s="16"/>
      <c r="CY12" s="14"/>
      <c r="CZ12" s="12"/>
      <c r="DA12" s="14"/>
      <c r="DB12" s="16"/>
      <c r="DC12" s="14"/>
      <c r="DD12" s="12"/>
      <c r="DE12" s="14"/>
      <c r="DF12" s="16"/>
      <c r="DG12" s="14"/>
      <c r="DH12" s="12"/>
      <c r="DI12" s="14"/>
      <c r="DJ12" s="16"/>
      <c r="DK12" s="14"/>
      <c r="DL12" s="12"/>
      <c r="DM12" s="14"/>
      <c r="DN12" s="16"/>
      <c r="DO12" s="14"/>
      <c r="DP12" s="12"/>
      <c r="DQ12" s="14"/>
      <c r="DR12" s="16"/>
      <c r="DS12" s="14"/>
      <c r="DT12" s="12"/>
      <c r="DU12" s="14"/>
      <c r="DV12" s="16"/>
      <c r="DW12" s="14"/>
      <c r="DX12" s="12"/>
      <c r="DY12" s="14"/>
      <c r="DZ12" s="16"/>
      <c r="EA12" s="14"/>
      <c r="EB12" s="12"/>
      <c r="EC12" s="14"/>
      <c r="ED12" s="16"/>
      <c r="EE12" s="14"/>
      <c r="EF12" s="12"/>
      <c r="EG12" s="12"/>
      <c r="EH12" s="14"/>
      <c r="EI12" s="16"/>
      <c r="EJ12" s="14"/>
      <c r="EK12" s="14">
        <v>336</v>
      </c>
      <c r="EL12" s="14">
        <v>487</v>
      </c>
      <c r="EM12" s="14">
        <v>823</v>
      </c>
      <c r="EN12" s="14">
        <v>13132</v>
      </c>
      <c r="EO12" s="14">
        <v>13667</v>
      </c>
      <c r="EP12" s="14">
        <v>26799</v>
      </c>
      <c r="EQ12" s="12"/>
      <c r="ER12" s="14"/>
      <c r="ES12" s="16"/>
      <c r="ET12" s="14"/>
      <c r="EU12" s="12"/>
      <c r="EV12" s="14"/>
      <c r="EW12" s="16"/>
      <c r="EX12" s="14"/>
      <c r="EY12" s="12"/>
      <c r="EZ12" s="14"/>
      <c r="FA12" s="16"/>
      <c r="FB12" s="14"/>
      <c r="FC12" s="12"/>
      <c r="FD12" s="14"/>
      <c r="FE12" s="16"/>
      <c r="FF12" s="14"/>
      <c r="FG12" s="12"/>
      <c r="FH12" s="14"/>
      <c r="FI12" s="16"/>
      <c r="FJ12" s="14"/>
      <c r="FK12" s="12"/>
      <c r="FL12" s="14"/>
      <c r="FM12" s="16"/>
      <c r="FN12" s="14"/>
      <c r="FO12" s="12"/>
      <c r="FP12" s="14"/>
      <c r="FQ12" s="16"/>
      <c r="FR12" s="14"/>
      <c r="FS12" s="12"/>
      <c r="FT12" s="14"/>
      <c r="FU12" s="16"/>
      <c r="FV12" s="14"/>
      <c r="FW12" s="11" t="s">
        <v>320</v>
      </c>
      <c r="FX12" s="14">
        <v>752</v>
      </c>
      <c r="FY12" s="16">
        <v>0.43</v>
      </c>
      <c r="FZ12" s="14">
        <v>24440</v>
      </c>
      <c r="GA12" s="12"/>
      <c r="GB12" s="14"/>
      <c r="GC12" s="16"/>
      <c r="GD12" s="14"/>
      <c r="GE12" s="12"/>
      <c r="GF12" s="14"/>
      <c r="GG12" s="16"/>
      <c r="GH12" s="14"/>
      <c r="GI12" s="12"/>
      <c r="GJ12" s="14"/>
      <c r="GK12" s="16"/>
      <c r="GL12" s="14"/>
      <c r="GM12" s="11" t="s">
        <v>320</v>
      </c>
      <c r="GN12" s="14">
        <v>823</v>
      </c>
      <c r="GO12" s="16">
        <v>0.40826245443499298</v>
      </c>
      <c r="GP12" s="14">
        <v>26799</v>
      </c>
      <c r="GQ12" s="12"/>
      <c r="GR12" s="14"/>
      <c r="GS12" s="16"/>
      <c r="GT12" s="14"/>
      <c r="GU12" s="12"/>
      <c r="GV12" s="14"/>
      <c r="GW12" s="16"/>
      <c r="GX12" s="14"/>
      <c r="GY12" s="12"/>
      <c r="GZ12" s="14"/>
      <c r="HA12" s="16"/>
      <c r="HB12" s="14"/>
      <c r="HC12" s="12"/>
      <c r="HD12" s="12"/>
      <c r="HE12" s="14"/>
      <c r="HF12" s="16"/>
      <c r="HG12" s="14"/>
      <c r="HH12" s="12" t="s">
        <v>320</v>
      </c>
      <c r="HI12" s="12" t="s">
        <v>522</v>
      </c>
      <c r="HJ12" s="12">
        <v>2016</v>
      </c>
      <c r="HK12" s="12" t="s">
        <v>320</v>
      </c>
      <c r="HL12" s="12" t="s">
        <v>320</v>
      </c>
      <c r="HM12" s="12" t="s">
        <v>451</v>
      </c>
      <c r="HN12" s="12">
        <v>2018</v>
      </c>
      <c r="HO12" s="12" t="s">
        <v>523</v>
      </c>
      <c r="HP12" s="12" t="s">
        <v>330</v>
      </c>
      <c r="HQ12" s="12" t="s">
        <v>319</v>
      </c>
      <c r="HR12" s="12" t="s">
        <v>319</v>
      </c>
      <c r="HS12" s="12" t="s">
        <v>319</v>
      </c>
      <c r="HT12" s="12" t="s">
        <v>320</v>
      </c>
      <c r="HU12" s="12" t="s">
        <v>320</v>
      </c>
      <c r="HV12" s="12" t="s">
        <v>320</v>
      </c>
      <c r="HW12" s="12" t="s">
        <v>319</v>
      </c>
      <c r="HX12" s="12" t="s">
        <v>320</v>
      </c>
      <c r="HY12" s="12" t="s">
        <v>524</v>
      </c>
      <c r="HZ12" s="12" t="s">
        <v>331</v>
      </c>
      <c r="IA12" s="12" t="s">
        <v>525</v>
      </c>
      <c r="IB12" s="12" t="s">
        <v>396</v>
      </c>
      <c r="IC12" s="12" t="s">
        <v>526</v>
      </c>
      <c r="ID12" s="12" t="s">
        <v>364</v>
      </c>
      <c r="IE12" s="12" t="s">
        <v>335</v>
      </c>
      <c r="IF12" s="12" t="s">
        <v>320</v>
      </c>
      <c r="IG12" s="12" t="s">
        <v>320</v>
      </c>
      <c r="IH12" s="12" t="s">
        <v>320</v>
      </c>
      <c r="II12" s="12" t="s">
        <v>319</v>
      </c>
      <c r="IJ12" s="12" t="str">
        <f t="shared" si="1"/>
        <v>1. Neutral</v>
      </c>
      <c r="IK12" s="12">
        <f t="shared" si="2"/>
        <v>3</v>
      </c>
      <c r="IL12" s="12" t="s">
        <v>336</v>
      </c>
      <c r="IM12" s="12" t="s">
        <v>320</v>
      </c>
      <c r="IN12" s="12" t="s">
        <v>320</v>
      </c>
      <c r="IO12" s="12" t="s">
        <v>320</v>
      </c>
      <c r="IP12" s="12" t="s">
        <v>320</v>
      </c>
      <c r="IQ12" s="12" t="str">
        <f t="shared" si="3"/>
        <v>2. Accommodating</v>
      </c>
      <c r="IR12" s="12">
        <f t="shared" si="4"/>
        <v>4</v>
      </c>
      <c r="IS12" s="12" t="s">
        <v>337</v>
      </c>
      <c r="IT12" s="12" t="s">
        <v>319</v>
      </c>
      <c r="IU12" s="12" t="s">
        <v>320</v>
      </c>
      <c r="IV12" s="12" t="s">
        <v>320</v>
      </c>
      <c r="IW12" s="11" t="str">
        <f t="shared" si="5"/>
        <v>1. Neutral</v>
      </c>
      <c r="IX12" s="12">
        <f t="shared" si="6"/>
        <v>2</v>
      </c>
      <c r="IY12" s="12" t="s">
        <v>338</v>
      </c>
      <c r="IZ12" s="12" t="s">
        <v>527</v>
      </c>
      <c r="JA12" s="12">
        <v>1</v>
      </c>
      <c r="JB12" s="12" t="s">
        <v>433</v>
      </c>
      <c r="JC12" s="12"/>
      <c r="JD12" s="12"/>
      <c r="JE12" s="12" t="s">
        <v>340</v>
      </c>
      <c r="JF12" s="12" t="s">
        <v>528</v>
      </c>
      <c r="JG12" s="12"/>
      <c r="JH12" s="12" t="s">
        <v>529</v>
      </c>
      <c r="JI12" s="12" t="s">
        <v>530</v>
      </c>
      <c r="JJ12" s="12" t="s">
        <v>531</v>
      </c>
      <c r="JK12" s="12" t="s">
        <v>532</v>
      </c>
      <c r="JL12" s="12" t="s">
        <v>533</v>
      </c>
      <c r="JM12" s="12"/>
      <c r="JN12" s="12" t="s">
        <v>534</v>
      </c>
      <c r="JO12" s="12" t="s">
        <v>535</v>
      </c>
      <c r="JP12" s="15">
        <f t="shared" si="7"/>
        <v>823</v>
      </c>
      <c r="JQ12" s="15">
        <f t="shared" si="8"/>
        <v>26799</v>
      </c>
      <c r="JR12" s="279">
        <f t="shared" si="9"/>
        <v>32.562575941676791</v>
      </c>
      <c r="JS12" s="17">
        <f t="shared" si="10"/>
        <v>0.40826245443499393</v>
      </c>
      <c r="JT12" s="18">
        <f t="shared" si="11"/>
        <v>0.49001828426433824</v>
      </c>
      <c r="JU12" s="280">
        <f t="shared" si="12"/>
        <v>336</v>
      </c>
      <c r="JV12" s="280">
        <f t="shared" si="13"/>
        <v>13132</v>
      </c>
      <c r="JW12" s="319" t="str">
        <f t="shared" si="14"/>
        <v/>
      </c>
      <c r="JX12" s="15">
        <f t="shared" si="15"/>
        <v>0</v>
      </c>
      <c r="JY12" s="15">
        <f t="shared" si="16"/>
        <v>0</v>
      </c>
      <c r="JZ12" s="19" t="str">
        <f t="shared" si="17"/>
        <v/>
      </c>
      <c r="KA12" s="52" t="str">
        <f t="shared" si="18"/>
        <v/>
      </c>
      <c r="KB12" s="15">
        <f t="shared" si="19"/>
        <v>0</v>
      </c>
      <c r="KC12" s="15">
        <f t="shared" si="20"/>
        <v>0</v>
      </c>
      <c r="KD12" s="20" t="str">
        <f t="shared" si="21"/>
        <v/>
      </c>
      <c r="KE12" s="52" t="str">
        <f t="shared" si="22"/>
        <v/>
      </c>
      <c r="KF12" s="15">
        <f t="shared" si="23"/>
        <v>0</v>
      </c>
      <c r="KG12" s="15">
        <f t="shared" si="24"/>
        <v>0</v>
      </c>
      <c r="KH12" s="21" t="str">
        <f t="shared" si="25"/>
        <v/>
      </c>
      <c r="KI12" s="52" t="str">
        <f t="shared" si="26"/>
        <v/>
      </c>
      <c r="KJ12" s="15">
        <f t="shared" si="27"/>
        <v>0</v>
      </c>
      <c r="KK12" s="15">
        <f t="shared" si="28"/>
        <v>0</v>
      </c>
      <c r="KL12" s="19" t="str">
        <f t="shared" si="29"/>
        <v/>
      </c>
      <c r="KM12" s="52" t="str">
        <f t="shared" si="30"/>
        <v/>
      </c>
      <c r="KN12" s="22">
        <f t="shared" si="31"/>
        <v>0</v>
      </c>
      <c r="KO12" s="22">
        <f t="shared" si="32"/>
        <v>0</v>
      </c>
      <c r="KP12" s="19" t="str">
        <f t="shared" si="33"/>
        <v/>
      </c>
      <c r="KQ12" s="11" t="str">
        <f t="shared" si="34"/>
        <v>1. Neutral</v>
      </c>
      <c r="KR12" s="11" t="str">
        <f t="shared" si="35"/>
        <v>2. Accommodating</v>
      </c>
      <c r="KS12" s="11" t="str">
        <f t="shared" si="36"/>
        <v>1. Neutral</v>
      </c>
      <c r="KT12" s="11" t="str">
        <f t="shared" si="37"/>
        <v>It tested new ways for fighting poverty and measured results of innovation</v>
      </c>
      <c r="KU12" s="11" t="str">
        <f t="shared" si="38"/>
        <v>Moderate advocacy</v>
      </c>
      <c r="KV12" s="11" t="str">
        <f t="shared" si="39"/>
        <v>It linked and worked with strategic alliances and partners to take tested and effective solutions to scale</v>
      </c>
      <c r="KW12" s="11" t="str">
        <f t="shared" si="40"/>
        <v>Afghanistan - Responsive and Accountable Processes for Inclusive Development(RAPID)</v>
      </c>
      <c r="KX12" s="11" t="str">
        <f t="shared" si="41"/>
        <v>Responsive and Accountable Processes for Inclusive Development(RAPID)</v>
      </c>
      <c r="KY12" s="11" t="str">
        <f t="shared" si="42"/>
        <v>Afghanistan</v>
      </c>
      <c r="KZ12" s="12">
        <v>12</v>
      </c>
    </row>
    <row r="13" spans="1:312" x14ac:dyDescent="0.3">
      <c r="A13" s="12" t="s">
        <v>305</v>
      </c>
      <c r="B13" s="12" t="s">
        <v>306</v>
      </c>
      <c r="C13" s="12">
        <v>3522</v>
      </c>
      <c r="D13" s="12" t="s">
        <v>536</v>
      </c>
      <c r="E13" s="277" t="str">
        <f t="shared" si="0"/>
        <v>Afghanistan</v>
      </c>
      <c r="F13" s="12" t="s">
        <v>537</v>
      </c>
      <c r="G13" s="12" t="s">
        <v>488</v>
      </c>
      <c r="H13" s="12" t="s">
        <v>310</v>
      </c>
      <c r="I13" s="12" t="s">
        <v>506</v>
      </c>
      <c r="J13" s="281" t="s">
        <v>9230</v>
      </c>
      <c r="K13" s="12"/>
      <c r="L13" s="12"/>
      <c r="M13" s="12"/>
      <c r="N13" s="12"/>
      <c r="O13" s="12"/>
      <c r="P13" s="12"/>
      <c r="Q13" s="12"/>
      <c r="R13" s="12"/>
      <c r="S13" s="12"/>
      <c r="T13" s="12"/>
      <c r="U13" s="12"/>
      <c r="V13" s="12"/>
      <c r="W13" s="12"/>
      <c r="X13" s="12"/>
      <c r="Y13" s="12"/>
      <c r="Z13" s="12"/>
      <c r="AA13" s="12"/>
      <c r="AB13" s="12"/>
      <c r="AC13" s="12"/>
      <c r="AD13" s="12"/>
      <c r="BD13" s="13">
        <v>41452</v>
      </c>
      <c r="BE13" s="13">
        <v>42735</v>
      </c>
      <c r="BF13" s="13">
        <v>44286</v>
      </c>
      <c r="BG13" s="12" t="s">
        <v>312</v>
      </c>
      <c r="BH13" s="14">
        <v>13372972.529999999</v>
      </c>
      <c r="BI13" s="12" t="s">
        <v>313</v>
      </c>
      <c r="BJ13" s="12" t="s">
        <v>314</v>
      </c>
      <c r="BK13" s="12" t="s">
        <v>315</v>
      </c>
      <c r="BL13" s="12" t="s">
        <v>538</v>
      </c>
      <c r="BM13" s="12" t="s">
        <v>354</v>
      </c>
      <c r="BN13" s="12" t="s">
        <v>539</v>
      </c>
      <c r="BO13" s="12" t="s">
        <v>319</v>
      </c>
      <c r="BP13" s="12" t="s">
        <v>320</v>
      </c>
      <c r="BQ13" s="12" t="s">
        <v>319</v>
      </c>
      <c r="BR13" s="12" t="s">
        <v>540</v>
      </c>
      <c r="BS13" s="12" t="s">
        <v>322</v>
      </c>
      <c r="BT13" s="12" t="s">
        <v>541</v>
      </c>
      <c r="BU13" s="12" t="s">
        <v>542</v>
      </c>
      <c r="BV13" s="14">
        <v>8042</v>
      </c>
      <c r="BW13" s="14">
        <v>2549</v>
      </c>
      <c r="BX13" s="14">
        <v>10591</v>
      </c>
      <c r="BY13" s="14">
        <v>36327</v>
      </c>
      <c r="BZ13" s="14">
        <v>37810</v>
      </c>
      <c r="CA13" s="14">
        <v>74137</v>
      </c>
      <c r="CB13" s="12" t="s">
        <v>543</v>
      </c>
      <c r="CD13" s="14"/>
      <c r="CE13" s="14"/>
      <c r="CF13" s="14">
        <v>0</v>
      </c>
      <c r="CG13" s="14"/>
      <c r="CH13" s="14"/>
      <c r="CI13" s="14">
        <v>0</v>
      </c>
      <c r="CJ13" s="12"/>
      <c r="CK13" s="14"/>
      <c r="CL13" s="16"/>
      <c r="CM13" s="14"/>
      <c r="CN13" s="12"/>
      <c r="CO13" s="14"/>
      <c r="CP13" s="16"/>
      <c r="CQ13" s="14"/>
      <c r="CR13" s="12"/>
      <c r="CS13" s="14"/>
      <c r="CT13" s="16"/>
      <c r="CU13" s="14"/>
      <c r="CV13" s="12"/>
      <c r="CW13" s="14"/>
      <c r="CX13" s="16"/>
      <c r="CY13" s="14"/>
      <c r="CZ13" s="12"/>
      <c r="DA13" s="14"/>
      <c r="DB13" s="16"/>
      <c r="DC13" s="14"/>
      <c r="DD13" s="12"/>
      <c r="DE13" s="14"/>
      <c r="DF13" s="16"/>
      <c r="DG13" s="14"/>
      <c r="DH13" s="12"/>
      <c r="DI13" s="14"/>
      <c r="DJ13" s="16"/>
      <c r="DK13" s="14"/>
      <c r="DL13" s="12"/>
      <c r="DM13" s="14"/>
      <c r="DN13" s="16"/>
      <c r="DO13" s="14"/>
      <c r="DP13" s="12"/>
      <c r="DQ13" s="14"/>
      <c r="DR13" s="16"/>
      <c r="DS13" s="14"/>
      <c r="DT13" s="12"/>
      <c r="DU13" s="14"/>
      <c r="DV13" s="16"/>
      <c r="DW13" s="14"/>
      <c r="DX13" s="12"/>
      <c r="DY13" s="14"/>
      <c r="DZ13" s="16"/>
      <c r="EA13" s="14"/>
      <c r="EB13" s="12"/>
      <c r="EC13" s="14"/>
      <c r="ED13" s="16"/>
      <c r="EE13" s="14"/>
      <c r="EF13" s="12"/>
      <c r="EG13" s="12"/>
      <c r="EH13" s="14"/>
      <c r="EI13" s="16"/>
      <c r="EJ13" s="14"/>
      <c r="EK13" s="14">
        <v>6832</v>
      </c>
      <c r="EL13" s="14">
        <v>2677</v>
      </c>
      <c r="EM13" s="14">
        <v>9509</v>
      </c>
      <c r="EN13" s="14">
        <v>32616</v>
      </c>
      <c r="EO13" s="14">
        <v>33947</v>
      </c>
      <c r="EP13" s="14">
        <v>66563</v>
      </c>
      <c r="EQ13" s="12"/>
      <c r="ER13" s="14"/>
      <c r="ES13" s="16"/>
      <c r="ET13" s="14"/>
      <c r="EU13" s="12"/>
      <c r="EV13" s="14"/>
      <c r="EW13" s="16"/>
      <c r="EX13" s="14"/>
      <c r="EY13" s="12" t="s">
        <v>320</v>
      </c>
      <c r="EZ13" s="14">
        <v>807</v>
      </c>
      <c r="FA13" s="16">
        <v>0.37</v>
      </c>
      <c r="FB13" s="14">
        <v>5649</v>
      </c>
      <c r="FC13" s="12"/>
      <c r="FD13" s="14"/>
      <c r="FE13" s="16"/>
      <c r="FF13" s="14"/>
      <c r="FG13" s="12" t="s">
        <v>320</v>
      </c>
      <c r="FH13" s="14">
        <v>287</v>
      </c>
      <c r="FI13" s="16">
        <v>0.28000000000000003</v>
      </c>
      <c r="FJ13" s="14">
        <v>2009</v>
      </c>
      <c r="FK13" s="12" t="s">
        <v>320</v>
      </c>
      <c r="FL13" s="14">
        <v>9125</v>
      </c>
      <c r="FM13" s="16">
        <v>0.75</v>
      </c>
      <c r="FN13" s="14">
        <v>63875</v>
      </c>
      <c r="FO13" s="12"/>
      <c r="FP13" s="14"/>
      <c r="FQ13" s="16"/>
      <c r="FR13" s="14"/>
      <c r="FS13" s="12" t="s">
        <v>320</v>
      </c>
      <c r="FT13" s="14">
        <v>1094</v>
      </c>
      <c r="FU13" s="16">
        <v>0.34</v>
      </c>
      <c r="FV13" s="14">
        <v>7658</v>
      </c>
      <c r="FW13" s="11" t="s">
        <v>320</v>
      </c>
      <c r="FX13" s="14">
        <v>1094</v>
      </c>
      <c r="FY13" s="16">
        <v>0.34</v>
      </c>
      <c r="FZ13" s="14">
        <v>7658</v>
      </c>
      <c r="GA13" s="12"/>
      <c r="GB13" s="14"/>
      <c r="GC13" s="16"/>
      <c r="GD13" s="14"/>
      <c r="GE13" s="12"/>
      <c r="GF13" s="14"/>
      <c r="GG13" s="16"/>
      <c r="GH13" s="14"/>
      <c r="GI13" s="12"/>
      <c r="GJ13" s="14"/>
      <c r="GK13" s="16"/>
      <c r="GL13" s="14"/>
      <c r="GM13" s="11" t="s">
        <v>320</v>
      </c>
      <c r="GN13" s="14">
        <v>807</v>
      </c>
      <c r="GO13" s="16">
        <v>0.37</v>
      </c>
      <c r="GP13" s="14">
        <v>5649</v>
      </c>
      <c r="GQ13" s="12"/>
      <c r="GR13" s="14"/>
      <c r="GS13" s="16"/>
      <c r="GT13" s="14"/>
      <c r="GU13" s="12"/>
      <c r="GV13" s="14"/>
      <c r="GW13" s="16"/>
      <c r="GX13" s="14"/>
      <c r="GY13" s="11" t="s">
        <v>320</v>
      </c>
      <c r="GZ13" s="14">
        <v>80</v>
      </c>
      <c r="HA13" s="16">
        <v>1</v>
      </c>
      <c r="HB13" s="14">
        <v>560</v>
      </c>
      <c r="HC13" s="12"/>
      <c r="HD13" s="12"/>
      <c r="HE13" s="14"/>
      <c r="HF13" s="16"/>
      <c r="HG13" s="14"/>
      <c r="HH13" s="12" t="s">
        <v>320</v>
      </c>
      <c r="HI13" s="12" t="s">
        <v>544</v>
      </c>
      <c r="HJ13" s="12">
        <v>2017</v>
      </c>
      <c r="HK13" s="12" t="s">
        <v>319</v>
      </c>
      <c r="HL13" s="12" t="s">
        <v>326</v>
      </c>
      <c r="HM13" s="12" t="s">
        <v>327</v>
      </c>
      <c r="HN13" s="12">
        <v>2017</v>
      </c>
      <c r="HO13" s="12" t="s">
        <v>545</v>
      </c>
      <c r="HP13" s="12" t="s">
        <v>330</v>
      </c>
      <c r="HQ13" s="12" t="s">
        <v>319</v>
      </c>
      <c r="HR13" s="12" t="s">
        <v>320</v>
      </c>
      <c r="HS13" s="12" t="s">
        <v>320</v>
      </c>
      <c r="HT13" s="12" t="s">
        <v>320</v>
      </c>
      <c r="HU13" s="12" t="s">
        <v>320</v>
      </c>
      <c r="HV13" s="12" t="s">
        <v>320</v>
      </c>
      <c r="HW13" s="12" t="s">
        <v>320</v>
      </c>
      <c r="HX13" s="12"/>
      <c r="HY13" s="12"/>
      <c r="HZ13" s="12" t="s">
        <v>363</v>
      </c>
      <c r="IA13" s="12"/>
      <c r="IB13" s="12" t="s">
        <v>396</v>
      </c>
      <c r="IC13" s="12" t="s">
        <v>546</v>
      </c>
      <c r="ID13" s="12" t="s">
        <v>334</v>
      </c>
      <c r="IE13" s="12" t="s">
        <v>335</v>
      </c>
      <c r="IF13" s="12" t="s">
        <v>320</v>
      </c>
      <c r="IG13" s="12" t="s">
        <v>320</v>
      </c>
      <c r="IH13" s="12" t="s">
        <v>320</v>
      </c>
      <c r="II13" s="12" t="s">
        <v>320</v>
      </c>
      <c r="IJ13" s="12" t="str">
        <f t="shared" si="1"/>
        <v>2. Sensitive</v>
      </c>
      <c r="IK13" s="12">
        <f t="shared" si="2"/>
        <v>4</v>
      </c>
      <c r="IL13" s="12" t="s">
        <v>336</v>
      </c>
      <c r="IM13" s="12" t="s">
        <v>320</v>
      </c>
      <c r="IN13" s="12" t="s">
        <v>320</v>
      </c>
      <c r="IO13" s="12" t="s">
        <v>320</v>
      </c>
      <c r="IP13" s="12" t="s">
        <v>320</v>
      </c>
      <c r="IQ13" s="12" t="str">
        <f t="shared" si="3"/>
        <v>2. Accommodating</v>
      </c>
      <c r="IR13" s="12">
        <f t="shared" si="4"/>
        <v>4</v>
      </c>
      <c r="IS13" s="12" t="s">
        <v>337</v>
      </c>
      <c r="IT13" s="12" t="s">
        <v>320</v>
      </c>
      <c r="IU13" s="12" t="s">
        <v>320</v>
      </c>
      <c r="IV13" s="12" t="s">
        <v>320</v>
      </c>
      <c r="IW13" s="11" t="str">
        <f t="shared" si="5"/>
        <v>2. Sensitive</v>
      </c>
      <c r="IX13" s="12">
        <f t="shared" si="6"/>
        <v>3</v>
      </c>
      <c r="IY13" s="12" t="s">
        <v>338</v>
      </c>
      <c r="IZ13" s="12" t="s">
        <v>339</v>
      </c>
      <c r="JA13" s="12"/>
      <c r="JB13" s="12"/>
      <c r="JC13" s="12"/>
      <c r="JD13" s="12"/>
      <c r="JE13" s="12" t="s">
        <v>340</v>
      </c>
      <c r="JF13" s="12" t="s">
        <v>547</v>
      </c>
      <c r="JG13" s="12"/>
      <c r="JH13" s="12"/>
      <c r="JI13" s="12"/>
      <c r="JJ13" s="12"/>
      <c r="JK13" s="12" t="s">
        <v>548</v>
      </c>
      <c r="JL13" s="12" t="s">
        <v>549</v>
      </c>
      <c r="JM13" s="12" t="s">
        <v>550</v>
      </c>
      <c r="JN13" s="12"/>
      <c r="JO13" s="12" t="s">
        <v>551</v>
      </c>
      <c r="JP13" s="15">
        <f t="shared" si="7"/>
        <v>9509</v>
      </c>
      <c r="JQ13" s="15">
        <f t="shared" si="8"/>
        <v>66563</v>
      </c>
      <c r="JR13" s="279">
        <f t="shared" si="9"/>
        <v>7</v>
      </c>
      <c r="JS13" s="17">
        <f t="shared" si="10"/>
        <v>0.71847723209590919</v>
      </c>
      <c r="JT13" s="18">
        <f t="shared" si="11"/>
        <v>0.49000195303697247</v>
      </c>
      <c r="JU13" s="280">
        <f t="shared" si="12"/>
        <v>6832</v>
      </c>
      <c r="JV13" s="280">
        <f t="shared" si="13"/>
        <v>32616</v>
      </c>
      <c r="JW13" s="319" t="str">
        <f t="shared" si="14"/>
        <v/>
      </c>
      <c r="JX13" s="15">
        <f t="shared" si="15"/>
        <v>0</v>
      </c>
      <c r="JY13" s="15">
        <f t="shared" si="16"/>
        <v>0</v>
      </c>
      <c r="JZ13" s="19" t="str">
        <f t="shared" si="17"/>
        <v/>
      </c>
      <c r="KA13" s="52">
        <f t="shared" si="18"/>
        <v>1</v>
      </c>
      <c r="KB13" s="15">
        <f t="shared" si="19"/>
        <v>287</v>
      </c>
      <c r="KC13" s="15">
        <f t="shared" si="20"/>
        <v>2009</v>
      </c>
      <c r="KD13" s="20">
        <f t="shared" si="21"/>
        <v>7</v>
      </c>
      <c r="KE13" s="52" t="str">
        <f t="shared" si="22"/>
        <v/>
      </c>
      <c r="KF13" s="15">
        <f t="shared" si="23"/>
        <v>0</v>
      </c>
      <c r="KG13" s="15">
        <f t="shared" si="24"/>
        <v>0</v>
      </c>
      <c r="KH13" s="21" t="str">
        <f t="shared" si="25"/>
        <v/>
      </c>
      <c r="KI13" s="52">
        <f t="shared" si="26"/>
        <v>1</v>
      </c>
      <c r="KJ13" s="15">
        <f t="shared" si="27"/>
        <v>1094</v>
      </c>
      <c r="KK13" s="15">
        <f t="shared" si="28"/>
        <v>7658</v>
      </c>
      <c r="KL13" s="19">
        <f t="shared" si="29"/>
        <v>7</v>
      </c>
      <c r="KM13" s="52">
        <f t="shared" si="30"/>
        <v>1</v>
      </c>
      <c r="KN13" s="22">
        <f t="shared" si="31"/>
        <v>80.360000000000014</v>
      </c>
      <c r="KO13" s="22">
        <f t="shared" si="32"/>
        <v>562.5200000000001</v>
      </c>
      <c r="KP13" s="19">
        <f t="shared" si="33"/>
        <v>7</v>
      </c>
      <c r="KQ13" s="11" t="str">
        <f t="shared" si="34"/>
        <v>2. Sensitive</v>
      </c>
      <c r="KR13" s="11" t="str">
        <f t="shared" si="35"/>
        <v>2. Accommodating</v>
      </c>
      <c r="KS13" s="11" t="str">
        <f t="shared" si="36"/>
        <v>2. Sensitive</v>
      </c>
      <c r="KT13" s="11" t="str">
        <f t="shared" si="37"/>
        <v>It did not develop any specific innovation</v>
      </c>
      <c r="KU13" s="11" t="str">
        <f t="shared" si="38"/>
        <v>Moderate advocacy</v>
      </c>
      <c r="KV13" s="11" t="str">
        <f t="shared" si="39"/>
        <v>It linked and worked with strategic alliances and partners to take tested and effective solutions to scale</v>
      </c>
      <c r="KW13" s="11" t="str">
        <f t="shared" si="40"/>
        <v>Afghanistan - Steps Towards Afghan Girls' Educational Success (STAGES)</v>
      </c>
      <c r="KX13" s="11" t="str">
        <f t="shared" si="41"/>
        <v>Steps Towards Afghan Girls' Educational Success (STAGES)</v>
      </c>
      <c r="KY13" s="11" t="str">
        <f t="shared" si="42"/>
        <v>Afghanistan</v>
      </c>
      <c r="KZ13" s="12">
        <v>13</v>
      </c>
    </row>
    <row r="14" spans="1:312" x14ac:dyDescent="0.3">
      <c r="A14" s="12" t="s">
        <v>305</v>
      </c>
      <c r="B14" s="12" t="s">
        <v>306</v>
      </c>
      <c r="C14" s="12">
        <v>3531</v>
      </c>
      <c r="D14" s="12" t="s">
        <v>465</v>
      </c>
      <c r="E14" s="277" t="str">
        <f t="shared" si="0"/>
        <v>Afghanistan</v>
      </c>
      <c r="F14" s="12" t="s">
        <v>466</v>
      </c>
      <c r="G14" s="12" t="s">
        <v>467</v>
      </c>
      <c r="H14" s="12" t="s">
        <v>310</v>
      </c>
      <c r="I14" s="12" t="s">
        <v>468</v>
      </c>
      <c r="J14" s="281" t="s">
        <v>9212</v>
      </c>
      <c r="K14" s="12"/>
      <c r="L14" s="12"/>
      <c r="M14" s="12"/>
      <c r="N14" s="12"/>
      <c r="O14" s="12"/>
      <c r="P14" s="12"/>
      <c r="Q14" s="12"/>
      <c r="R14" s="12"/>
      <c r="S14" s="12"/>
      <c r="T14" s="12"/>
      <c r="U14" s="12"/>
      <c r="V14" s="12"/>
      <c r="W14" s="12"/>
      <c r="X14" s="12"/>
      <c r="Y14" s="12"/>
      <c r="Z14" s="12"/>
      <c r="AA14" s="12"/>
      <c r="AB14" s="12"/>
      <c r="AC14" s="12"/>
      <c r="AD14" s="12"/>
      <c r="BD14" s="13">
        <v>42346</v>
      </c>
      <c r="BE14" s="13">
        <v>42735</v>
      </c>
      <c r="BF14" s="13">
        <v>43100</v>
      </c>
      <c r="BG14" s="12" t="s">
        <v>312</v>
      </c>
      <c r="BH14" s="14">
        <v>1459512</v>
      </c>
      <c r="BI14" s="12" t="s">
        <v>313</v>
      </c>
      <c r="BJ14" s="12" t="s">
        <v>314</v>
      </c>
      <c r="BK14" s="12" t="s">
        <v>315</v>
      </c>
      <c r="BL14" s="12" t="s">
        <v>469</v>
      </c>
      <c r="BM14" s="12" t="s">
        <v>470</v>
      </c>
      <c r="BN14" s="12" t="s">
        <v>471</v>
      </c>
      <c r="BO14" s="11" t="s">
        <v>319</v>
      </c>
      <c r="BP14" s="11" t="s">
        <v>320</v>
      </c>
      <c r="BQ14" s="11" t="s">
        <v>319</v>
      </c>
      <c r="BR14" s="12" t="s">
        <v>472</v>
      </c>
      <c r="BS14" s="12" t="s">
        <v>357</v>
      </c>
      <c r="BT14" s="12" t="s">
        <v>473</v>
      </c>
      <c r="BU14" s="12" t="s">
        <v>474</v>
      </c>
      <c r="BV14" s="14">
        <v>10824</v>
      </c>
      <c r="BW14" s="14">
        <v>302400</v>
      </c>
      <c r="BX14" s="14">
        <v>313224</v>
      </c>
      <c r="BY14" s="14">
        <v>37126</v>
      </c>
      <c r="BZ14" s="14">
        <v>38642</v>
      </c>
      <c r="CA14" s="14">
        <v>75768</v>
      </c>
      <c r="CB14" s="12" t="s">
        <v>475</v>
      </c>
      <c r="CD14" s="14"/>
      <c r="CE14" s="14"/>
      <c r="CF14" s="14">
        <v>0</v>
      </c>
      <c r="CG14" s="14"/>
      <c r="CH14" s="14"/>
      <c r="CI14" s="14">
        <v>0</v>
      </c>
      <c r="CJ14" s="12"/>
      <c r="CK14" s="14"/>
      <c r="CL14" s="16"/>
      <c r="CM14" s="14"/>
      <c r="CN14" s="12"/>
      <c r="CO14" s="14"/>
      <c r="CP14" s="16"/>
      <c r="CQ14" s="14"/>
      <c r="CR14" s="12"/>
      <c r="CS14" s="14"/>
      <c r="CT14" s="16"/>
      <c r="CU14" s="14"/>
      <c r="CV14" s="12"/>
      <c r="CW14" s="14"/>
      <c r="CX14" s="16"/>
      <c r="CY14" s="14"/>
      <c r="CZ14" s="12"/>
      <c r="DA14" s="14"/>
      <c r="DB14" s="16"/>
      <c r="DC14" s="14"/>
      <c r="DD14" s="12"/>
      <c r="DE14" s="14"/>
      <c r="DF14" s="16"/>
      <c r="DG14" s="14"/>
      <c r="DH14" s="12"/>
      <c r="DI14" s="14"/>
      <c r="DJ14" s="16"/>
      <c r="DK14" s="14"/>
      <c r="DL14" s="12"/>
      <c r="DM14" s="14"/>
      <c r="DN14" s="16"/>
      <c r="DO14" s="14"/>
      <c r="DP14" s="12"/>
      <c r="DQ14" s="14"/>
      <c r="DR14" s="16"/>
      <c r="DS14" s="14"/>
      <c r="DT14" s="12"/>
      <c r="DU14" s="14"/>
      <c r="DV14" s="16"/>
      <c r="DW14" s="14"/>
      <c r="DX14" s="12"/>
      <c r="DY14" s="14"/>
      <c r="DZ14" s="16"/>
      <c r="EA14" s="14"/>
      <c r="EB14" s="12"/>
      <c r="EC14" s="14"/>
      <c r="ED14" s="16"/>
      <c r="EE14" s="14"/>
      <c r="EF14" s="12"/>
      <c r="EG14" s="12"/>
      <c r="EH14" s="14"/>
      <c r="EI14" s="16"/>
      <c r="EJ14" s="14"/>
      <c r="EK14" s="14">
        <v>2842</v>
      </c>
      <c r="EL14" s="14">
        <v>302400</v>
      </c>
      <c r="EM14" s="14">
        <v>305242</v>
      </c>
      <c r="EN14" s="14">
        <v>9748</v>
      </c>
      <c r="EO14" s="14">
        <v>1089714</v>
      </c>
      <c r="EP14" s="14">
        <v>1099462</v>
      </c>
      <c r="EQ14" s="12"/>
      <c r="ER14" s="14"/>
      <c r="ES14" s="16"/>
      <c r="ET14" s="14"/>
      <c r="EU14" s="12"/>
      <c r="EV14" s="14"/>
      <c r="EW14" s="16"/>
      <c r="EX14" s="14"/>
      <c r="EY14" s="12"/>
      <c r="EZ14" s="14"/>
      <c r="FA14" s="16"/>
      <c r="FB14" s="14"/>
      <c r="FC14" s="12"/>
      <c r="FD14" s="14"/>
      <c r="FE14" s="16"/>
      <c r="FF14" s="14"/>
      <c r="FG14" s="12" t="s">
        <v>320</v>
      </c>
      <c r="FH14" s="14">
        <v>2247</v>
      </c>
      <c r="FI14" s="16">
        <v>1</v>
      </c>
      <c r="FJ14" s="14">
        <v>15729</v>
      </c>
      <c r="FK14" s="12"/>
      <c r="FL14" s="14"/>
      <c r="FM14" s="16"/>
      <c r="FN14" s="14"/>
      <c r="FO14" s="12"/>
      <c r="FP14" s="14"/>
      <c r="FQ14" s="16"/>
      <c r="FR14" s="14"/>
      <c r="FS14" s="12" t="s">
        <v>320</v>
      </c>
      <c r="FT14" s="14">
        <v>2842</v>
      </c>
      <c r="FU14" s="16">
        <v>1</v>
      </c>
      <c r="FV14" s="14">
        <v>19894</v>
      </c>
      <c r="FW14" s="11" t="s">
        <v>320</v>
      </c>
      <c r="FX14" s="14">
        <v>305242</v>
      </c>
      <c r="FY14" s="16">
        <v>7.0000000000000007E-2</v>
      </c>
      <c r="FZ14" s="14">
        <v>1099462</v>
      </c>
      <c r="GA14" s="12"/>
      <c r="GB14" s="14"/>
      <c r="GC14" s="16"/>
      <c r="GD14" s="14"/>
      <c r="GE14" s="12"/>
      <c r="GF14" s="14"/>
      <c r="GG14" s="16"/>
      <c r="GH14" s="14"/>
      <c r="GI14" s="12"/>
      <c r="GJ14" s="14"/>
      <c r="GK14" s="16"/>
      <c r="GL14" s="14"/>
      <c r="GM14" s="11" t="s">
        <v>320</v>
      </c>
      <c r="GN14" s="14">
        <v>38</v>
      </c>
      <c r="GO14" s="16">
        <v>1</v>
      </c>
      <c r="GP14" s="14">
        <v>266</v>
      </c>
      <c r="GQ14" s="12"/>
      <c r="GR14" s="14"/>
      <c r="GS14" s="16"/>
      <c r="GT14" s="14"/>
      <c r="GU14" s="12"/>
      <c r="GV14" s="14"/>
      <c r="GW14" s="16"/>
      <c r="GX14" s="14"/>
      <c r="GY14" s="11" t="s">
        <v>320</v>
      </c>
      <c r="GZ14" s="14">
        <v>2247</v>
      </c>
      <c r="HA14" s="16">
        <v>1</v>
      </c>
      <c r="HB14" s="14">
        <v>15729</v>
      </c>
      <c r="HC14" s="12"/>
      <c r="HD14" s="12"/>
      <c r="HE14" s="14"/>
      <c r="HF14" s="16"/>
      <c r="HG14" s="14"/>
      <c r="HH14" s="12" t="s">
        <v>320</v>
      </c>
      <c r="HI14" s="12" t="s">
        <v>327</v>
      </c>
      <c r="HJ14" s="12">
        <v>2016</v>
      </c>
      <c r="HK14" s="12" t="s">
        <v>319</v>
      </c>
      <c r="HL14" s="12" t="s">
        <v>320</v>
      </c>
      <c r="HM14" s="12" t="s">
        <v>361</v>
      </c>
      <c r="HN14" s="12">
        <v>2017</v>
      </c>
      <c r="HO14" s="12"/>
      <c r="HP14" s="12" t="s">
        <v>453</v>
      </c>
      <c r="HQ14" s="12" t="s">
        <v>319</v>
      </c>
      <c r="HR14" s="12" t="s">
        <v>320</v>
      </c>
      <c r="HS14" s="12" t="s">
        <v>320</v>
      </c>
      <c r="HT14" s="12" t="s">
        <v>320</v>
      </c>
      <c r="HU14" s="12" t="s">
        <v>320</v>
      </c>
      <c r="HV14" s="12" t="s">
        <v>326</v>
      </c>
      <c r="HW14" s="12" t="s">
        <v>320</v>
      </c>
      <c r="HX14" s="12"/>
      <c r="HY14" s="12"/>
      <c r="HZ14" s="12" t="s">
        <v>363</v>
      </c>
      <c r="IA14" s="12"/>
      <c r="IB14" s="12" t="s">
        <v>396</v>
      </c>
      <c r="IC14" s="12" t="s">
        <v>476</v>
      </c>
      <c r="ID14" s="12" t="s">
        <v>477</v>
      </c>
      <c r="IE14" s="12" t="s">
        <v>478</v>
      </c>
      <c r="IF14" s="12" t="s">
        <v>320</v>
      </c>
      <c r="IG14" s="12" t="s">
        <v>320</v>
      </c>
      <c r="IH14" s="12" t="s">
        <v>320</v>
      </c>
      <c r="II14" s="12" t="s">
        <v>320</v>
      </c>
      <c r="IJ14" s="12" t="str">
        <f t="shared" si="1"/>
        <v>4. Transformative</v>
      </c>
      <c r="IK14" s="12">
        <f t="shared" si="2"/>
        <v>4</v>
      </c>
      <c r="IL14" s="12" t="s">
        <v>336</v>
      </c>
      <c r="IM14" s="12" t="s">
        <v>320</v>
      </c>
      <c r="IN14" s="12" t="s">
        <v>320</v>
      </c>
      <c r="IO14" s="12" t="s">
        <v>320</v>
      </c>
      <c r="IP14" s="12" t="s">
        <v>320</v>
      </c>
      <c r="IQ14" s="12" t="str">
        <f t="shared" si="3"/>
        <v>2. Accommodating</v>
      </c>
      <c r="IR14" s="12">
        <f t="shared" si="4"/>
        <v>4</v>
      </c>
      <c r="IS14" s="12" t="s">
        <v>337</v>
      </c>
      <c r="IT14" s="12" t="s">
        <v>320</v>
      </c>
      <c r="IU14" s="12" t="s">
        <v>320</v>
      </c>
      <c r="IV14" s="12" t="s">
        <v>320</v>
      </c>
      <c r="IW14" s="11" t="str">
        <f t="shared" si="5"/>
        <v>2. Sensitive</v>
      </c>
      <c r="IX14" s="12">
        <f t="shared" si="6"/>
        <v>3</v>
      </c>
      <c r="IY14" s="12" t="s">
        <v>338</v>
      </c>
      <c r="IZ14" s="12" t="s">
        <v>339</v>
      </c>
      <c r="JA14" s="12"/>
      <c r="JB14" s="12"/>
      <c r="JC14" s="12"/>
      <c r="JD14" s="12"/>
      <c r="JE14" s="12" t="s">
        <v>340</v>
      </c>
      <c r="JF14" s="12" t="s">
        <v>479</v>
      </c>
      <c r="JG14" s="12"/>
      <c r="JH14" s="12" t="s">
        <v>480</v>
      </c>
      <c r="JI14" s="12" t="s">
        <v>481</v>
      </c>
      <c r="JJ14" s="12"/>
      <c r="JK14" s="12" t="s">
        <v>482</v>
      </c>
      <c r="JL14" s="12" t="s">
        <v>483</v>
      </c>
      <c r="JM14" s="12"/>
      <c r="JN14" s="12" t="s">
        <v>484</v>
      </c>
      <c r="JO14" s="12" t="s">
        <v>485</v>
      </c>
      <c r="JP14" s="15">
        <f t="shared" si="7"/>
        <v>305242</v>
      </c>
      <c r="JQ14" s="15">
        <f t="shared" si="8"/>
        <v>1099462</v>
      </c>
      <c r="JR14" s="279">
        <f t="shared" si="9"/>
        <v>3.6019355134614504</v>
      </c>
      <c r="JS14" s="17">
        <f t="shared" si="10"/>
        <v>9.3106453240379763E-3</v>
      </c>
      <c r="JT14" s="18">
        <f t="shared" si="11"/>
        <v>8.8661545374010206E-3</v>
      </c>
      <c r="JU14" s="280">
        <f t="shared" si="12"/>
        <v>2842</v>
      </c>
      <c r="JV14" s="280">
        <f t="shared" si="13"/>
        <v>9748</v>
      </c>
      <c r="JW14" s="319" t="str">
        <f t="shared" si="14"/>
        <v/>
      </c>
      <c r="JX14" s="15">
        <f t="shared" si="15"/>
        <v>0</v>
      </c>
      <c r="JY14" s="15">
        <f t="shared" si="16"/>
        <v>0</v>
      </c>
      <c r="JZ14" s="19" t="str">
        <f t="shared" si="17"/>
        <v/>
      </c>
      <c r="KA14" s="52">
        <f t="shared" si="18"/>
        <v>1</v>
      </c>
      <c r="KB14" s="15">
        <f t="shared" si="19"/>
        <v>2247</v>
      </c>
      <c r="KC14" s="15">
        <f t="shared" si="20"/>
        <v>15729</v>
      </c>
      <c r="KD14" s="20">
        <f t="shared" si="21"/>
        <v>7</v>
      </c>
      <c r="KE14" s="52" t="str">
        <f t="shared" si="22"/>
        <v/>
      </c>
      <c r="KF14" s="15">
        <f t="shared" si="23"/>
        <v>0</v>
      </c>
      <c r="KG14" s="15">
        <f t="shared" si="24"/>
        <v>0</v>
      </c>
      <c r="KH14" s="21" t="str">
        <f t="shared" si="25"/>
        <v/>
      </c>
      <c r="KI14" s="52">
        <f t="shared" si="26"/>
        <v>1</v>
      </c>
      <c r="KJ14" s="15">
        <f t="shared" si="27"/>
        <v>2842</v>
      </c>
      <c r="KK14" s="15">
        <f t="shared" si="28"/>
        <v>19894</v>
      </c>
      <c r="KL14" s="19">
        <f t="shared" si="29"/>
        <v>7</v>
      </c>
      <c r="KM14" s="52">
        <f t="shared" si="30"/>
        <v>1</v>
      </c>
      <c r="KN14" s="22">
        <f t="shared" si="31"/>
        <v>2247</v>
      </c>
      <c r="KO14" s="22">
        <f t="shared" si="32"/>
        <v>15729</v>
      </c>
      <c r="KP14" s="19">
        <f t="shared" si="33"/>
        <v>7</v>
      </c>
      <c r="KQ14" s="11" t="str">
        <f t="shared" si="34"/>
        <v>4. Transformative</v>
      </c>
      <c r="KR14" s="11" t="str">
        <f t="shared" si="35"/>
        <v>2. Accommodating</v>
      </c>
      <c r="KS14" s="11" t="str">
        <f t="shared" si="36"/>
        <v>2. Sensitive</v>
      </c>
      <c r="KT14" s="11" t="str">
        <f t="shared" si="37"/>
        <v>It did not develop any specific innovation</v>
      </c>
      <c r="KU14" s="11" t="str">
        <f t="shared" si="38"/>
        <v>Intensive advocacy</v>
      </c>
      <c r="KV14" s="11" t="str">
        <f t="shared" si="39"/>
        <v>It linked and worked with strategic alliances and partners to take tested and effective solutions to scale</v>
      </c>
      <c r="KW14" s="11" t="str">
        <f t="shared" si="40"/>
        <v>Afghanistan - Strengthening the Widows Association for Advocacy in Afghanistan</v>
      </c>
      <c r="KX14" s="11" t="str">
        <f t="shared" si="41"/>
        <v>Strengthening the Widows Association for Advocacy in Afghanistan</v>
      </c>
      <c r="KY14" s="11" t="str">
        <f t="shared" si="42"/>
        <v>Afghanistan</v>
      </c>
      <c r="KZ14" s="12">
        <v>14</v>
      </c>
    </row>
    <row r="15" spans="1:312" x14ac:dyDescent="0.3">
      <c r="A15" s="12" t="s">
        <v>305</v>
      </c>
      <c r="B15" s="12" t="s">
        <v>306</v>
      </c>
      <c r="C15" s="12">
        <v>3517</v>
      </c>
      <c r="D15" s="12" t="s">
        <v>576</v>
      </c>
      <c r="E15" s="277" t="str">
        <f t="shared" si="0"/>
        <v>Afghanistan</v>
      </c>
      <c r="F15" s="12" t="s">
        <v>577</v>
      </c>
      <c r="G15" s="12" t="s">
        <v>379</v>
      </c>
      <c r="H15" s="12" t="s">
        <v>554</v>
      </c>
      <c r="I15" s="12" t="s">
        <v>384</v>
      </c>
      <c r="J15" s="281" t="s">
        <v>555</v>
      </c>
      <c r="K15" s="12"/>
      <c r="L15" s="12"/>
      <c r="M15" s="12"/>
      <c r="N15" s="12"/>
      <c r="O15" s="12"/>
      <c r="P15" s="12"/>
      <c r="Q15" s="12"/>
      <c r="R15" s="12"/>
      <c r="S15" s="12"/>
      <c r="T15" s="12"/>
      <c r="U15" s="12"/>
      <c r="V15" s="12"/>
      <c r="W15" s="12"/>
      <c r="X15" s="12"/>
      <c r="Y15" s="12"/>
      <c r="Z15" s="12"/>
      <c r="AA15" s="12"/>
      <c r="AB15" s="12"/>
      <c r="AC15" s="12"/>
      <c r="AD15" s="12"/>
      <c r="BD15" s="13">
        <v>42826</v>
      </c>
      <c r="BE15" s="13">
        <v>43190</v>
      </c>
      <c r="BF15" s="12"/>
      <c r="BG15" s="12" t="s">
        <v>312</v>
      </c>
      <c r="BH15" s="14">
        <v>148664</v>
      </c>
      <c r="BI15" s="12" t="s">
        <v>313</v>
      </c>
      <c r="BJ15" s="12" t="s">
        <v>314</v>
      </c>
      <c r="BK15" s="12" t="s">
        <v>315</v>
      </c>
      <c r="BL15" s="12" t="s">
        <v>316</v>
      </c>
      <c r="BM15" s="12" t="s">
        <v>317</v>
      </c>
      <c r="BN15" s="12" t="s">
        <v>318</v>
      </c>
      <c r="BO15" s="12" t="s">
        <v>319</v>
      </c>
      <c r="BP15" s="12" t="s">
        <v>320</v>
      </c>
      <c r="BQ15" s="12" t="s">
        <v>319</v>
      </c>
      <c r="BR15" s="12" t="s">
        <v>578</v>
      </c>
      <c r="BS15" s="12" t="s">
        <v>357</v>
      </c>
      <c r="BT15" s="12" t="s">
        <v>579</v>
      </c>
      <c r="BU15" s="12" t="s">
        <v>580</v>
      </c>
      <c r="BV15" s="14">
        <v>97</v>
      </c>
      <c r="BW15" s="14">
        <v>0</v>
      </c>
      <c r="BX15" s="14">
        <v>97</v>
      </c>
      <c r="BY15" s="14">
        <v>333</v>
      </c>
      <c r="BZ15" s="14">
        <v>346</v>
      </c>
      <c r="CA15" s="14">
        <v>679</v>
      </c>
      <c r="CB15" s="12" t="s">
        <v>581</v>
      </c>
      <c r="CD15" s="14"/>
      <c r="CE15" s="14"/>
      <c r="CF15" s="14">
        <v>0</v>
      </c>
      <c r="CG15" s="14"/>
      <c r="CH15" s="14"/>
      <c r="CI15" s="14">
        <v>0</v>
      </c>
      <c r="CJ15" s="12"/>
      <c r="CK15" s="14"/>
      <c r="CL15" s="16"/>
      <c r="CM15" s="14"/>
      <c r="CN15" s="12"/>
      <c r="CO15" s="14"/>
      <c r="CP15" s="16"/>
      <c r="CQ15" s="14"/>
      <c r="CR15" s="12"/>
      <c r="CS15" s="14"/>
      <c r="CT15" s="16"/>
      <c r="CU15" s="14"/>
      <c r="CV15" s="12"/>
      <c r="CW15" s="14"/>
      <c r="CX15" s="16"/>
      <c r="CY15" s="14"/>
      <c r="CZ15" s="12"/>
      <c r="DA15" s="14"/>
      <c r="DB15" s="16"/>
      <c r="DC15" s="14"/>
      <c r="DD15" s="12"/>
      <c r="DE15" s="14"/>
      <c r="DF15" s="16"/>
      <c r="DG15" s="14"/>
      <c r="DH15" s="12"/>
      <c r="DI15" s="14"/>
      <c r="DJ15" s="16"/>
      <c r="DK15" s="14"/>
      <c r="DL15" s="12"/>
      <c r="DM15" s="14"/>
      <c r="DN15" s="16"/>
      <c r="DO15" s="14"/>
      <c r="DP15" s="12"/>
      <c r="DQ15" s="14"/>
      <c r="DR15" s="16"/>
      <c r="DS15" s="14"/>
      <c r="DT15" s="12"/>
      <c r="DU15" s="14"/>
      <c r="DV15" s="16"/>
      <c r="DW15" s="14"/>
      <c r="DX15" s="12"/>
      <c r="DY15" s="14"/>
      <c r="DZ15" s="16"/>
      <c r="EA15" s="14"/>
      <c r="EB15" s="12"/>
      <c r="EC15" s="14"/>
      <c r="ED15" s="16"/>
      <c r="EE15" s="14"/>
      <c r="EF15" s="12"/>
      <c r="EG15" s="12"/>
      <c r="EH15" s="14"/>
      <c r="EI15" s="16"/>
      <c r="EJ15" s="14"/>
      <c r="EK15" s="14">
        <v>97</v>
      </c>
      <c r="EL15" s="14">
        <v>0</v>
      </c>
      <c r="EM15" s="14">
        <v>97</v>
      </c>
      <c r="EN15" s="14">
        <v>333</v>
      </c>
      <c r="EO15" s="14">
        <v>346</v>
      </c>
      <c r="EP15" s="14">
        <v>679</v>
      </c>
      <c r="EQ15" s="12"/>
      <c r="ER15" s="14"/>
      <c r="ES15" s="16"/>
      <c r="ET15" s="14"/>
      <c r="EU15" s="12"/>
      <c r="EV15" s="14"/>
      <c r="EW15" s="16"/>
      <c r="EX15" s="14"/>
      <c r="EY15" s="12"/>
      <c r="EZ15" s="14"/>
      <c r="FA15" s="16"/>
      <c r="FB15" s="14"/>
      <c r="FC15" s="12"/>
      <c r="FD15" s="14"/>
      <c r="FE15" s="16"/>
      <c r="FF15" s="14"/>
      <c r="FG15" s="12" t="s">
        <v>320</v>
      </c>
      <c r="FH15" s="14">
        <v>97</v>
      </c>
      <c r="FI15" s="16">
        <v>1</v>
      </c>
      <c r="FJ15" s="14">
        <v>679</v>
      </c>
      <c r="FK15" s="12" t="s">
        <v>320</v>
      </c>
      <c r="FL15" s="14">
        <v>97</v>
      </c>
      <c r="FM15" s="16">
        <v>1</v>
      </c>
      <c r="FN15" s="14">
        <v>679</v>
      </c>
      <c r="FO15" s="12"/>
      <c r="FP15" s="14"/>
      <c r="FQ15" s="16"/>
      <c r="FR15" s="14"/>
      <c r="FS15" s="12"/>
      <c r="FT15" s="14"/>
      <c r="FU15" s="16"/>
      <c r="FV15" s="14"/>
      <c r="FW15" s="11" t="s">
        <v>320</v>
      </c>
      <c r="FX15" s="14">
        <v>97</v>
      </c>
      <c r="FY15" s="16">
        <v>1</v>
      </c>
      <c r="FZ15" s="14">
        <v>679</v>
      </c>
      <c r="GA15" s="12"/>
      <c r="GB15" s="14"/>
      <c r="GC15" s="16"/>
      <c r="GD15" s="14"/>
      <c r="GE15" s="12"/>
      <c r="GF15" s="14"/>
      <c r="GG15" s="16"/>
      <c r="GH15" s="14"/>
      <c r="GI15" s="12"/>
      <c r="GJ15" s="14"/>
      <c r="GK15" s="16"/>
      <c r="GL15" s="14"/>
      <c r="GM15" s="11" t="s">
        <v>320</v>
      </c>
      <c r="GN15" s="14">
        <v>97</v>
      </c>
      <c r="GO15" s="16">
        <v>1</v>
      </c>
      <c r="GP15" s="14">
        <v>679</v>
      </c>
      <c r="GQ15" s="12"/>
      <c r="GR15" s="14"/>
      <c r="GS15" s="16"/>
      <c r="GT15" s="14"/>
      <c r="GU15" s="12"/>
      <c r="GV15" s="14"/>
      <c r="GW15" s="16"/>
      <c r="GX15" s="14"/>
      <c r="GY15" s="11" t="s">
        <v>320</v>
      </c>
      <c r="GZ15" s="14">
        <v>97</v>
      </c>
      <c r="HA15" s="16">
        <v>1</v>
      </c>
      <c r="HB15" s="14">
        <v>679</v>
      </c>
      <c r="HC15" s="12"/>
      <c r="HD15" s="12"/>
      <c r="HE15" s="14"/>
      <c r="HF15" s="16"/>
      <c r="HG15" s="14"/>
      <c r="HH15" s="12" t="s">
        <v>320</v>
      </c>
      <c r="HI15" s="12" t="s">
        <v>451</v>
      </c>
      <c r="HJ15" s="12">
        <v>2017</v>
      </c>
      <c r="HK15" s="12" t="s">
        <v>320</v>
      </c>
      <c r="HL15" s="12" t="s">
        <v>320</v>
      </c>
      <c r="HM15" s="12" t="s">
        <v>451</v>
      </c>
      <c r="HN15" s="12">
        <v>2018</v>
      </c>
      <c r="HO15" s="12" t="s">
        <v>582</v>
      </c>
      <c r="HP15" s="12" t="s">
        <v>330</v>
      </c>
      <c r="HQ15" s="12" t="s">
        <v>320</v>
      </c>
      <c r="HR15" s="12" t="s">
        <v>319</v>
      </c>
      <c r="HS15" s="12" t="s">
        <v>320</v>
      </c>
      <c r="HT15" s="12" t="s">
        <v>320</v>
      </c>
      <c r="HU15" s="12" t="s">
        <v>320</v>
      </c>
      <c r="HV15" s="12" t="s">
        <v>320</v>
      </c>
      <c r="HW15" s="12" t="s">
        <v>319</v>
      </c>
      <c r="HX15" s="12"/>
      <c r="HY15" s="12"/>
      <c r="HZ15" s="12" t="s">
        <v>331</v>
      </c>
      <c r="IA15" s="12" t="s">
        <v>583</v>
      </c>
      <c r="IB15" s="12" t="s">
        <v>396</v>
      </c>
      <c r="IC15" s="12" t="s">
        <v>584</v>
      </c>
      <c r="ID15" s="12" t="s">
        <v>334</v>
      </c>
      <c r="IE15" s="12" t="s">
        <v>335</v>
      </c>
      <c r="IF15" s="12" t="s">
        <v>320</v>
      </c>
      <c r="IG15" s="12" t="s">
        <v>320</v>
      </c>
      <c r="IH15" s="12" t="s">
        <v>319</v>
      </c>
      <c r="II15" s="12" t="s">
        <v>320</v>
      </c>
      <c r="IJ15" s="12" t="str">
        <f t="shared" si="1"/>
        <v>1. Neutral</v>
      </c>
      <c r="IK15" s="12">
        <f t="shared" si="2"/>
        <v>3</v>
      </c>
      <c r="IL15" s="12" t="s">
        <v>336</v>
      </c>
      <c r="IM15" s="12" t="s">
        <v>320</v>
      </c>
      <c r="IN15" s="12" t="s">
        <v>320</v>
      </c>
      <c r="IO15" s="12" t="s">
        <v>320</v>
      </c>
      <c r="IP15" s="12" t="s">
        <v>320</v>
      </c>
      <c r="IQ15" s="12" t="str">
        <f t="shared" si="3"/>
        <v>2. Accommodating</v>
      </c>
      <c r="IR15" s="12">
        <f t="shared" si="4"/>
        <v>4</v>
      </c>
      <c r="IS15" s="12" t="s">
        <v>337</v>
      </c>
      <c r="IT15" s="12" t="s">
        <v>320</v>
      </c>
      <c r="IU15" s="12" t="s">
        <v>320</v>
      </c>
      <c r="IV15" s="12" t="s">
        <v>320</v>
      </c>
      <c r="IW15" s="11" t="str">
        <f t="shared" si="5"/>
        <v>2. Sensitive</v>
      </c>
      <c r="IX15" s="12">
        <f t="shared" si="6"/>
        <v>3</v>
      </c>
      <c r="IY15" s="12" t="s">
        <v>338</v>
      </c>
      <c r="IZ15" s="12" t="s">
        <v>527</v>
      </c>
      <c r="JA15" s="12">
        <v>3</v>
      </c>
      <c r="JB15" s="12" t="s">
        <v>585</v>
      </c>
      <c r="JC15" s="12"/>
      <c r="JD15" s="12"/>
      <c r="JE15" s="12" t="s">
        <v>340</v>
      </c>
      <c r="JF15" s="12" t="s">
        <v>586</v>
      </c>
      <c r="JG15" s="12" t="s">
        <v>587</v>
      </c>
      <c r="JH15" s="12"/>
      <c r="JI15" s="12"/>
      <c r="JJ15" s="12"/>
      <c r="JK15" s="12" t="s">
        <v>588</v>
      </c>
      <c r="JL15" s="12"/>
      <c r="JM15" s="12"/>
      <c r="JN15" s="12"/>
      <c r="JO15" s="12" t="s">
        <v>589</v>
      </c>
      <c r="JP15" s="15">
        <f t="shared" si="7"/>
        <v>97</v>
      </c>
      <c r="JQ15" s="15">
        <f t="shared" si="8"/>
        <v>679</v>
      </c>
      <c r="JR15" s="279">
        <f t="shared" si="9"/>
        <v>7</v>
      </c>
      <c r="JS15" s="17">
        <f t="shared" si="10"/>
        <v>1</v>
      </c>
      <c r="JT15" s="18">
        <f t="shared" si="11"/>
        <v>0.49042709867452133</v>
      </c>
      <c r="JU15" s="280">
        <f t="shared" si="12"/>
        <v>97</v>
      </c>
      <c r="JV15" s="280">
        <f t="shared" si="13"/>
        <v>333</v>
      </c>
      <c r="JW15" s="319" t="str">
        <f t="shared" si="14"/>
        <v/>
      </c>
      <c r="JX15" s="15">
        <f t="shared" si="15"/>
        <v>0</v>
      </c>
      <c r="JY15" s="15">
        <f t="shared" si="16"/>
        <v>0</v>
      </c>
      <c r="JZ15" s="19" t="str">
        <f t="shared" si="17"/>
        <v/>
      </c>
      <c r="KA15" s="52">
        <f t="shared" si="18"/>
        <v>1</v>
      </c>
      <c r="KB15" s="15">
        <f t="shared" si="19"/>
        <v>97</v>
      </c>
      <c r="KC15" s="15">
        <f t="shared" si="20"/>
        <v>679</v>
      </c>
      <c r="KD15" s="20">
        <f t="shared" si="21"/>
        <v>7</v>
      </c>
      <c r="KE15" s="52" t="str">
        <f t="shared" si="22"/>
        <v/>
      </c>
      <c r="KF15" s="15">
        <f t="shared" si="23"/>
        <v>0</v>
      </c>
      <c r="KG15" s="15">
        <f t="shared" si="24"/>
        <v>0</v>
      </c>
      <c r="KH15" s="21" t="str">
        <f t="shared" si="25"/>
        <v/>
      </c>
      <c r="KI15" s="52" t="str">
        <f t="shared" si="26"/>
        <v/>
      </c>
      <c r="KJ15" s="15">
        <f t="shared" si="27"/>
        <v>0</v>
      </c>
      <c r="KK15" s="15">
        <f t="shared" si="28"/>
        <v>0</v>
      </c>
      <c r="KL15" s="19" t="str">
        <f t="shared" si="29"/>
        <v/>
      </c>
      <c r="KM15" s="52">
        <f t="shared" si="30"/>
        <v>1</v>
      </c>
      <c r="KN15" s="22">
        <f t="shared" si="31"/>
        <v>97</v>
      </c>
      <c r="KO15" s="22">
        <f t="shared" si="32"/>
        <v>679</v>
      </c>
      <c r="KP15" s="19">
        <f t="shared" si="33"/>
        <v>7</v>
      </c>
      <c r="KQ15" s="11" t="str">
        <f t="shared" si="34"/>
        <v>1. Neutral</v>
      </c>
      <c r="KR15" s="11" t="str">
        <f t="shared" si="35"/>
        <v>2. Accommodating</v>
      </c>
      <c r="KS15" s="11" t="str">
        <f t="shared" si="36"/>
        <v>2. Sensitive</v>
      </c>
      <c r="KT15" s="11" t="str">
        <f t="shared" si="37"/>
        <v>It tested new ways for fighting poverty and measured results of innovation</v>
      </c>
      <c r="KU15" s="11" t="str">
        <f t="shared" si="38"/>
        <v>Moderate advocacy</v>
      </c>
      <c r="KV15" s="11" t="str">
        <f t="shared" si="39"/>
        <v>It linked and worked with strategic alliances and partners to take tested and effective solutions to scale</v>
      </c>
      <c r="KW15" s="11" t="str">
        <f t="shared" si="40"/>
        <v>Afghanistan - University Scholarship Fund for LSCBE Students</v>
      </c>
      <c r="KX15" s="11" t="str">
        <f t="shared" si="41"/>
        <v>University Scholarship Fund for LSCBE Students</v>
      </c>
      <c r="KY15" s="11" t="str">
        <f t="shared" si="42"/>
        <v>Afghanistan</v>
      </c>
      <c r="KZ15" s="12">
        <v>15</v>
      </c>
    </row>
    <row r="16" spans="1:312" x14ac:dyDescent="0.3">
      <c r="A16" s="12" t="s">
        <v>305</v>
      </c>
      <c r="B16" s="12" t="s">
        <v>306</v>
      </c>
      <c r="C16" s="12">
        <v>3536</v>
      </c>
      <c r="D16" s="12" t="s">
        <v>590</v>
      </c>
      <c r="E16" s="277" t="str">
        <f t="shared" si="0"/>
        <v>Afghanistan</v>
      </c>
      <c r="F16" s="12" t="s">
        <v>591</v>
      </c>
      <c r="G16" s="12" t="s">
        <v>379</v>
      </c>
      <c r="H16" s="12" t="s">
        <v>383</v>
      </c>
      <c r="I16" s="12" t="s">
        <v>384</v>
      </c>
      <c r="J16" s="281" t="s">
        <v>592</v>
      </c>
      <c r="K16" s="12"/>
      <c r="L16" s="12"/>
      <c r="M16" s="12"/>
      <c r="N16" s="12"/>
      <c r="O16" s="12"/>
      <c r="P16" s="12"/>
      <c r="Q16" s="12"/>
      <c r="R16" s="12"/>
      <c r="S16" s="12"/>
      <c r="T16" s="12"/>
      <c r="U16" s="12"/>
      <c r="V16" s="12"/>
      <c r="W16" s="12"/>
      <c r="X16" s="12"/>
      <c r="Y16" s="12"/>
      <c r="Z16" s="12"/>
      <c r="AA16" s="12"/>
      <c r="AB16" s="12"/>
      <c r="AC16" s="12"/>
      <c r="AD16" s="12"/>
      <c r="BD16" s="13">
        <v>41487</v>
      </c>
      <c r="BE16" s="13">
        <v>42643</v>
      </c>
      <c r="BF16" s="12"/>
      <c r="BG16" s="12" t="s">
        <v>350</v>
      </c>
      <c r="BH16" s="14">
        <v>150000</v>
      </c>
      <c r="BI16" s="12" t="s">
        <v>351</v>
      </c>
      <c r="BJ16" s="12" t="s">
        <v>314</v>
      </c>
      <c r="BK16" s="12" t="s">
        <v>352</v>
      </c>
      <c r="BL16" s="12" t="s">
        <v>469</v>
      </c>
      <c r="BM16" s="12" t="s">
        <v>470</v>
      </c>
      <c r="BN16" s="12" t="s">
        <v>471</v>
      </c>
      <c r="BO16" s="12" t="s">
        <v>320</v>
      </c>
      <c r="BP16" s="12" t="s">
        <v>320</v>
      </c>
      <c r="BQ16" s="12" t="s">
        <v>320</v>
      </c>
      <c r="BR16" s="12" t="s">
        <v>593</v>
      </c>
      <c r="BS16" s="12" t="s">
        <v>357</v>
      </c>
      <c r="BT16" s="12" t="s">
        <v>594</v>
      </c>
      <c r="BU16" s="12" t="s">
        <v>595</v>
      </c>
      <c r="BV16" s="14">
        <v>200</v>
      </c>
      <c r="BW16" s="14">
        <v>200</v>
      </c>
      <c r="BX16" s="14">
        <v>400</v>
      </c>
      <c r="BY16" s="14">
        <v>1372</v>
      </c>
      <c r="BZ16" s="14">
        <v>1428</v>
      </c>
      <c r="CA16" s="14">
        <v>2800</v>
      </c>
      <c r="CB16" s="12" t="s">
        <v>596</v>
      </c>
      <c r="CD16" s="14"/>
      <c r="CE16" s="14"/>
      <c r="CF16" s="14">
        <v>0</v>
      </c>
      <c r="CG16" s="14"/>
      <c r="CH16" s="14"/>
      <c r="CI16" s="14">
        <v>0</v>
      </c>
      <c r="CJ16" s="12"/>
      <c r="CK16" s="14"/>
      <c r="CL16" s="16"/>
      <c r="CM16" s="14"/>
      <c r="CN16" s="12"/>
      <c r="CO16" s="14"/>
      <c r="CP16" s="16"/>
      <c r="CQ16" s="14"/>
      <c r="CR16" s="12"/>
      <c r="CS16" s="14"/>
      <c r="CT16" s="16"/>
      <c r="CU16" s="14"/>
      <c r="CV16" s="12" t="s">
        <v>320</v>
      </c>
      <c r="CW16" s="14"/>
      <c r="CX16" s="16"/>
      <c r="CY16" s="14"/>
      <c r="CZ16" s="12"/>
      <c r="DA16" s="14"/>
      <c r="DB16" s="16"/>
      <c r="DC16" s="14"/>
      <c r="DD16" s="12"/>
      <c r="DE16" s="14"/>
      <c r="DF16" s="16"/>
      <c r="DG16" s="14"/>
      <c r="DH16" s="12"/>
      <c r="DI16" s="14"/>
      <c r="DJ16" s="16"/>
      <c r="DK16" s="14"/>
      <c r="DL16" s="12" t="s">
        <v>326</v>
      </c>
      <c r="DM16" s="14"/>
      <c r="DN16" s="16"/>
      <c r="DO16" s="14"/>
      <c r="DP16" s="12"/>
      <c r="DQ16" s="14"/>
      <c r="DR16" s="16"/>
      <c r="DS16" s="14"/>
      <c r="DT16" s="12"/>
      <c r="DU16" s="14"/>
      <c r="DV16" s="16"/>
      <c r="DW16" s="14"/>
      <c r="DX16" s="12"/>
      <c r="DY16" s="14"/>
      <c r="DZ16" s="16"/>
      <c r="EA16" s="14"/>
      <c r="EB16" s="12"/>
      <c r="EC16" s="14"/>
      <c r="ED16" s="16"/>
      <c r="EE16" s="14"/>
      <c r="EF16" s="12"/>
      <c r="EG16" s="12"/>
      <c r="EH16" s="14"/>
      <c r="EI16" s="16"/>
      <c r="EJ16" s="14"/>
      <c r="EK16" s="14">
        <v>200</v>
      </c>
      <c r="EL16" s="14">
        <v>200</v>
      </c>
      <c r="EM16" s="14">
        <v>400</v>
      </c>
      <c r="EN16" s="14">
        <v>1372</v>
      </c>
      <c r="EO16" s="14">
        <v>1428</v>
      </c>
      <c r="EP16" s="14">
        <v>2800</v>
      </c>
      <c r="EQ16" s="12"/>
      <c r="ER16" s="14"/>
      <c r="ES16" s="16"/>
      <c r="ET16" s="14"/>
      <c r="EU16" s="12"/>
      <c r="EV16" s="14"/>
      <c r="EW16" s="16"/>
      <c r="EX16" s="14"/>
      <c r="EY16" s="12"/>
      <c r="EZ16" s="14"/>
      <c r="FA16" s="16"/>
      <c r="FB16" s="14"/>
      <c r="FC16" s="12"/>
      <c r="FD16" s="14"/>
      <c r="FE16" s="16"/>
      <c r="FF16" s="14"/>
      <c r="FG16" s="12" t="s">
        <v>320</v>
      </c>
      <c r="FH16" s="14">
        <v>200</v>
      </c>
      <c r="FI16" s="16">
        <v>0</v>
      </c>
      <c r="FJ16" s="14">
        <v>1400</v>
      </c>
      <c r="FK16" s="12" t="s">
        <v>320</v>
      </c>
      <c r="FL16" s="14">
        <v>200</v>
      </c>
      <c r="FM16" s="16">
        <v>1</v>
      </c>
      <c r="FN16" s="14">
        <v>1400</v>
      </c>
      <c r="FO16" s="12"/>
      <c r="FP16" s="14"/>
      <c r="FQ16" s="16"/>
      <c r="FR16" s="14"/>
      <c r="FS16" s="12"/>
      <c r="FT16" s="14"/>
      <c r="FU16" s="16"/>
      <c r="FV16" s="14"/>
      <c r="FW16" s="12"/>
      <c r="FX16" s="14"/>
      <c r="FY16" s="16"/>
      <c r="FZ16" s="14"/>
      <c r="GA16" s="12"/>
      <c r="GB16" s="14"/>
      <c r="GC16" s="16"/>
      <c r="GD16" s="14"/>
      <c r="GE16" s="12"/>
      <c r="GF16" s="14"/>
      <c r="GG16" s="16"/>
      <c r="GH16" s="14"/>
      <c r="GI16" s="12"/>
      <c r="GJ16" s="14"/>
      <c r="GK16" s="16"/>
      <c r="GL16" s="14"/>
      <c r="GM16" s="12"/>
      <c r="GN16" s="14"/>
      <c r="GO16" s="16"/>
      <c r="GP16" s="14"/>
      <c r="GQ16" s="12"/>
      <c r="GR16" s="14"/>
      <c r="GS16" s="16"/>
      <c r="GT16" s="14"/>
      <c r="GU16" s="12"/>
      <c r="GV16" s="14"/>
      <c r="GW16" s="16"/>
      <c r="GX16" s="14"/>
      <c r="GY16" s="11" t="s">
        <v>320</v>
      </c>
      <c r="GZ16" s="14">
        <v>200</v>
      </c>
      <c r="HA16" s="16">
        <v>1</v>
      </c>
      <c r="HB16" s="14">
        <v>1400</v>
      </c>
      <c r="HC16" s="12"/>
      <c r="HD16" s="12"/>
      <c r="HE16" s="14"/>
      <c r="HF16" s="16"/>
      <c r="HG16" s="14"/>
      <c r="HH16" s="12" t="s">
        <v>319</v>
      </c>
      <c r="HI16" s="12"/>
      <c r="HJ16" s="12"/>
      <c r="HK16" s="12"/>
      <c r="HL16" s="12" t="s">
        <v>319</v>
      </c>
      <c r="HM16" s="12"/>
      <c r="HN16" s="12"/>
      <c r="HO16" s="12"/>
      <c r="HP16" s="12" t="s">
        <v>330</v>
      </c>
      <c r="HQ16" s="12" t="s">
        <v>319</v>
      </c>
      <c r="HR16" s="12" t="s">
        <v>319</v>
      </c>
      <c r="HS16" s="12" t="s">
        <v>320</v>
      </c>
      <c r="HT16" s="12" t="s">
        <v>320</v>
      </c>
      <c r="HU16" s="12" t="s">
        <v>319</v>
      </c>
      <c r="HV16" s="12" t="s">
        <v>319</v>
      </c>
      <c r="HW16" s="12" t="s">
        <v>319</v>
      </c>
      <c r="HX16" s="12"/>
      <c r="HY16" s="12"/>
      <c r="HZ16" s="12" t="s">
        <v>363</v>
      </c>
      <c r="IA16" s="12"/>
      <c r="IB16" s="12" t="s">
        <v>333</v>
      </c>
      <c r="IC16" s="12"/>
      <c r="ID16" s="12" t="s">
        <v>364</v>
      </c>
      <c r="IE16" s="12" t="s">
        <v>335</v>
      </c>
      <c r="IF16" s="12" t="s">
        <v>320</v>
      </c>
      <c r="IG16" s="12" t="s">
        <v>319</v>
      </c>
      <c r="IH16" s="12" t="s">
        <v>319</v>
      </c>
      <c r="II16" s="12" t="s">
        <v>320</v>
      </c>
      <c r="IJ16" s="12" t="str">
        <f t="shared" si="1"/>
        <v>1. Neutral</v>
      </c>
      <c r="IK16" s="12">
        <f t="shared" si="2"/>
        <v>2</v>
      </c>
      <c r="IL16" s="12" t="s">
        <v>336</v>
      </c>
      <c r="IM16" s="12" t="s">
        <v>320</v>
      </c>
      <c r="IN16" s="12" t="s">
        <v>320</v>
      </c>
      <c r="IO16" s="12" t="s">
        <v>320</v>
      </c>
      <c r="IP16" s="12" t="s">
        <v>320</v>
      </c>
      <c r="IQ16" s="12" t="str">
        <f t="shared" si="3"/>
        <v>2. Accommodating</v>
      </c>
      <c r="IR16" s="12">
        <f t="shared" si="4"/>
        <v>4</v>
      </c>
      <c r="IS16" s="12" t="s">
        <v>337</v>
      </c>
      <c r="IT16" s="12" t="s">
        <v>319</v>
      </c>
      <c r="IU16" s="12" t="s">
        <v>320</v>
      </c>
      <c r="IV16" s="12" t="s">
        <v>320</v>
      </c>
      <c r="IW16" s="11" t="str">
        <f t="shared" si="5"/>
        <v>1. Neutral</v>
      </c>
      <c r="IX16" s="12">
        <f t="shared" si="6"/>
        <v>2</v>
      </c>
      <c r="IY16" s="12" t="s">
        <v>338</v>
      </c>
      <c r="IZ16" s="12" t="s">
        <v>339</v>
      </c>
      <c r="JA16" s="12"/>
      <c r="JB16" s="12"/>
      <c r="JC16" s="12"/>
      <c r="JD16" s="12"/>
      <c r="JE16" s="12" t="s">
        <v>420</v>
      </c>
      <c r="JF16" s="12"/>
      <c r="JG16" s="12"/>
      <c r="JH16" s="12" t="s">
        <v>597</v>
      </c>
      <c r="JI16" s="12"/>
      <c r="JJ16" s="12"/>
      <c r="JK16" s="12" t="s">
        <v>598</v>
      </c>
      <c r="JL16" s="12" t="s">
        <v>599</v>
      </c>
      <c r="JM16" s="12"/>
      <c r="JN16" s="12"/>
      <c r="JO16" s="12" t="s">
        <v>600</v>
      </c>
      <c r="JP16" s="15">
        <f t="shared" si="7"/>
        <v>400</v>
      </c>
      <c r="JQ16" s="15">
        <f t="shared" si="8"/>
        <v>2800</v>
      </c>
      <c r="JR16" s="279">
        <f t="shared" si="9"/>
        <v>7</v>
      </c>
      <c r="JS16" s="17">
        <f t="shared" si="10"/>
        <v>0.5</v>
      </c>
      <c r="JT16" s="18">
        <f t="shared" si="11"/>
        <v>0.49</v>
      </c>
      <c r="JU16" s="280">
        <f t="shared" si="12"/>
        <v>200</v>
      </c>
      <c r="JV16" s="280">
        <f t="shared" si="13"/>
        <v>1372</v>
      </c>
      <c r="JW16" s="319">
        <f t="shared" si="14"/>
        <v>1</v>
      </c>
      <c r="JX16" s="15">
        <f t="shared" si="15"/>
        <v>0</v>
      </c>
      <c r="JY16" s="15">
        <f t="shared" si="16"/>
        <v>0</v>
      </c>
      <c r="JZ16" s="19" t="str">
        <f t="shared" si="17"/>
        <v/>
      </c>
      <c r="KA16" s="52">
        <f t="shared" si="18"/>
        <v>1</v>
      </c>
      <c r="KB16" s="15">
        <f t="shared" si="19"/>
        <v>200</v>
      </c>
      <c r="KC16" s="15">
        <f t="shared" si="20"/>
        <v>1400</v>
      </c>
      <c r="KD16" s="20">
        <f t="shared" si="21"/>
        <v>7</v>
      </c>
      <c r="KE16" s="52" t="str">
        <f t="shared" si="22"/>
        <v/>
      </c>
      <c r="KF16" s="15">
        <f t="shared" si="23"/>
        <v>0</v>
      </c>
      <c r="KG16" s="15">
        <f t="shared" si="24"/>
        <v>0</v>
      </c>
      <c r="KH16" s="21" t="str">
        <f t="shared" si="25"/>
        <v/>
      </c>
      <c r="KI16" s="52" t="str">
        <f t="shared" si="26"/>
        <v/>
      </c>
      <c r="KJ16" s="15">
        <f t="shared" si="27"/>
        <v>0</v>
      </c>
      <c r="KK16" s="15">
        <f t="shared" si="28"/>
        <v>0</v>
      </c>
      <c r="KL16" s="19" t="str">
        <f t="shared" si="29"/>
        <v/>
      </c>
      <c r="KM16" s="52">
        <f t="shared" si="30"/>
        <v>1</v>
      </c>
      <c r="KN16" s="22">
        <f t="shared" si="31"/>
        <v>200</v>
      </c>
      <c r="KO16" s="22">
        <f t="shared" si="32"/>
        <v>1400</v>
      </c>
      <c r="KP16" s="19">
        <f t="shared" si="33"/>
        <v>7</v>
      </c>
      <c r="KQ16" s="11" t="str">
        <f t="shared" si="34"/>
        <v>1. Neutral</v>
      </c>
      <c r="KR16" s="11" t="str">
        <f t="shared" si="35"/>
        <v>2. Accommodating</v>
      </c>
      <c r="KS16" s="11" t="str">
        <f t="shared" si="36"/>
        <v>1. Neutral</v>
      </c>
      <c r="KT16" s="11" t="str">
        <f t="shared" si="37"/>
        <v>It did not develop any specific innovation</v>
      </c>
      <c r="KU16" s="11" t="str">
        <f t="shared" si="38"/>
        <v>Moderate advocacy</v>
      </c>
      <c r="KV16" s="11" t="str">
        <f t="shared" si="39"/>
        <v>It did not take tested solutions to scale</v>
      </c>
      <c r="KW16" s="11" t="str">
        <f t="shared" si="40"/>
        <v>Afghanistan - Womens Income Generation through Livelihood Development</v>
      </c>
      <c r="KX16" s="11" t="str">
        <f t="shared" si="41"/>
        <v>Womens Income Generation through Livelihood Development</v>
      </c>
      <c r="KY16" s="11" t="str">
        <f t="shared" si="42"/>
        <v>Afghanistan</v>
      </c>
      <c r="KZ16" s="12">
        <v>16</v>
      </c>
    </row>
    <row r="17" spans="1:312" x14ac:dyDescent="0.3">
      <c r="A17" s="11" t="s">
        <v>601</v>
      </c>
      <c r="B17" s="11" t="s">
        <v>602</v>
      </c>
      <c r="C17" s="11">
        <v>2806</v>
      </c>
      <c r="D17" s="11" t="s">
        <v>603</v>
      </c>
      <c r="E17" s="24" t="str">
        <f t="shared" si="0"/>
        <v>Albania</v>
      </c>
      <c r="F17" s="11" t="s">
        <v>604</v>
      </c>
      <c r="G17" s="11" t="s">
        <v>605</v>
      </c>
      <c r="H17" s="11" t="s">
        <v>310</v>
      </c>
      <c r="I17" s="11" t="s">
        <v>606</v>
      </c>
      <c r="J17" s="278" t="s">
        <v>792</v>
      </c>
      <c r="K17" s="11" t="s">
        <v>607</v>
      </c>
      <c r="L17" s="11" t="s">
        <v>608</v>
      </c>
      <c r="M17" s="11" t="s">
        <v>383</v>
      </c>
      <c r="N17" s="11" t="s">
        <v>384</v>
      </c>
      <c r="O17" s="278" t="s">
        <v>8164</v>
      </c>
      <c r="BD17" s="23">
        <v>41609</v>
      </c>
      <c r="BE17" s="23">
        <v>42704</v>
      </c>
      <c r="BG17" s="11" t="s">
        <v>609</v>
      </c>
      <c r="BH17" s="22">
        <v>1471221</v>
      </c>
      <c r="BI17" s="11" t="s">
        <v>610</v>
      </c>
      <c r="BJ17" s="11" t="s">
        <v>611</v>
      </c>
      <c r="BK17" s="11" t="s">
        <v>612</v>
      </c>
      <c r="BL17" s="11" t="s">
        <v>612</v>
      </c>
      <c r="BM17" s="11" t="s">
        <v>354</v>
      </c>
      <c r="BN17" s="11" t="s">
        <v>613</v>
      </c>
      <c r="BO17" s="12" t="s">
        <v>319</v>
      </c>
      <c r="BP17" s="12" t="s">
        <v>320</v>
      </c>
      <c r="BQ17" s="12" t="s">
        <v>319</v>
      </c>
      <c r="BR17" s="11" t="s">
        <v>614</v>
      </c>
      <c r="BS17" s="11" t="s">
        <v>615</v>
      </c>
      <c r="BT17" s="11" t="s">
        <v>616</v>
      </c>
      <c r="BU17" s="11" t="s">
        <v>617</v>
      </c>
      <c r="BV17" s="22">
        <v>31</v>
      </c>
      <c r="BW17" s="22">
        <v>123</v>
      </c>
      <c r="BX17" s="22">
        <v>154</v>
      </c>
      <c r="BY17" s="22">
        <v>1000</v>
      </c>
      <c r="BZ17" s="22">
        <v>4400</v>
      </c>
      <c r="CA17" s="22">
        <v>5400</v>
      </c>
      <c r="CB17" s="15" t="s">
        <v>618</v>
      </c>
      <c r="CC17" s="15">
        <v>17</v>
      </c>
      <c r="CL17" s="18"/>
      <c r="CP17" s="18"/>
      <c r="CT17" s="18"/>
      <c r="CX17" s="18"/>
      <c r="DB17" s="18"/>
      <c r="DF17" s="18"/>
      <c r="DJ17" s="18"/>
      <c r="DN17" s="18"/>
      <c r="DR17" s="18"/>
      <c r="DV17" s="18"/>
      <c r="DZ17" s="18"/>
      <c r="ED17" s="18"/>
      <c r="EI17" s="18"/>
      <c r="EK17" s="22">
        <v>298</v>
      </c>
      <c r="EL17" s="22">
        <v>788</v>
      </c>
      <c r="EM17" s="22">
        <v>1086</v>
      </c>
      <c r="EN17" s="22">
        <v>640</v>
      </c>
      <c r="EO17" s="22">
        <v>1238</v>
      </c>
      <c r="EP17" s="22">
        <v>1878</v>
      </c>
      <c r="ES17" s="18"/>
      <c r="EW17" s="18"/>
      <c r="FA17" s="18"/>
      <c r="FE17" s="18"/>
      <c r="FI17" s="18"/>
      <c r="FK17" s="12" t="s">
        <v>320</v>
      </c>
      <c r="FL17" s="22">
        <v>1086</v>
      </c>
      <c r="FM17" s="18">
        <v>0.27</v>
      </c>
      <c r="FQ17" s="18"/>
      <c r="FS17" s="12" t="s">
        <v>320</v>
      </c>
      <c r="FT17" s="22">
        <v>1878</v>
      </c>
      <c r="FU17" s="18">
        <v>0.34</v>
      </c>
      <c r="FW17" s="11" t="s">
        <v>320</v>
      </c>
      <c r="FX17" s="22">
        <v>1878</v>
      </c>
      <c r="FY17" s="18">
        <v>0.34</v>
      </c>
      <c r="GC17" s="18"/>
      <c r="GG17" s="18"/>
      <c r="GK17" s="18"/>
      <c r="GO17" s="18"/>
      <c r="GQ17" s="12" t="s">
        <v>320</v>
      </c>
      <c r="GR17" s="22">
        <v>1086</v>
      </c>
      <c r="GS17" s="18">
        <v>0.27</v>
      </c>
      <c r="GW17" s="18"/>
      <c r="HA17" s="18"/>
      <c r="HF17" s="18"/>
      <c r="HH17" s="11" t="s">
        <v>319</v>
      </c>
      <c r="HK17" s="11" t="s">
        <v>320</v>
      </c>
      <c r="HL17" s="11" t="s">
        <v>319</v>
      </c>
      <c r="HM17" s="11" t="s">
        <v>619</v>
      </c>
      <c r="HO17" s="11" t="s">
        <v>620</v>
      </c>
      <c r="HP17" s="11" t="s">
        <v>453</v>
      </c>
      <c r="HZ17" s="11" t="s">
        <v>394</v>
      </c>
      <c r="IB17" s="11" t="s">
        <v>396</v>
      </c>
      <c r="ID17" s="11" t="s">
        <v>477</v>
      </c>
      <c r="IE17" s="11" t="s">
        <v>478</v>
      </c>
      <c r="IF17" s="11" t="s">
        <v>320</v>
      </c>
      <c r="IG17" s="11" t="s">
        <v>320</v>
      </c>
      <c r="IH17" s="11" t="s">
        <v>320</v>
      </c>
      <c r="II17" s="11" t="s">
        <v>320</v>
      </c>
      <c r="IJ17" s="12" t="str">
        <f t="shared" si="1"/>
        <v>4. Transformative</v>
      </c>
      <c r="IK17" s="12">
        <f t="shared" si="2"/>
        <v>4</v>
      </c>
      <c r="IL17" s="11" t="s">
        <v>621</v>
      </c>
      <c r="IM17" s="11" t="s">
        <v>320</v>
      </c>
      <c r="IN17" s="11" t="s">
        <v>320</v>
      </c>
      <c r="IO17" s="11" t="s">
        <v>320</v>
      </c>
      <c r="IP17" s="11" t="s">
        <v>320</v>
      </c>
      <c r="IQ17" s="12" t="str">
        <f t="shared" si="3"/>
        <v>4. Transformational</v>
      </c>
      <c r="IR17" s="12">
        <f t="shared" si="4"/>
        <v>4</v>
      </c>
      <c r="IS17" s="11" t="s">
        <v>622</v>
      </c>
      <c r="IT17" s="11" t="s">
        <v>320</v>
      </c>
      <c r="IU17" s="11" t="s">
        <v>320</v>
      </c>
      <c r="IV17" s="11" t="s">
        <v>320</v>
      </c>
      <c r="IW17" s="11" t="str">
        <f t="shared" si="5"/>
        <v>4. Transformative</v>
      </c>
      <c r="IX17" s="12">
        <f t="shared" si="6"/>
        <v>3</v>
      </c>
      <c r="IY17" s="11" t="s">
        <v>338</v>
      </c>
      <c r="IZ17" s="11" t="s">
        <v>527</v>
      </c>
      <c r="JA17" s="11">
        <v>1</v>
      </c>
      <c r="JB17" s="11" t="s">
        <v>433</v>
      </c>
      <c r="JC17" s="11" t="s">
        <v>623</v>
      </c>
      <c r="JD17" s="11" t="s">
        <v>624</v>
      </c>
      <c r="JE17" s="11" t="s">
        <v>340</v>
      </c>
      <c r="JF17" s="11" t="s">
        <v>625</v>
      </c>
      <c r="JG17" s="11" t="s">
        <v>626</v>
      </c>
      <c r="JH17" s="11" t="s">
        <v>627</v>
      </c>
      <c r="JI17" s="11" t="s">
        <v>628</v>
      </c>
      <c r="JJ17" s="11" t="s">
        <v>629</v>
      </c>
      <c r="JK17" s="11" t="s">
        <v>630</v>
      </c>
      <c r="JL17" s="11" t="s">
        <v>631</v>
      </c>
      <c r="JM17" s="11" t="s">
        <v>632</v>
      </c>
      <c r="JN17" s="11" t="s">
        <v>633</v>
      </c>
      <c r="JO17" s="11" t="s">
        <v>634</v>
      </c>
      <c r="JP17" s="15">
        <f t="shared" si="7"/>
        <v>1086</v>
      </c>
      <c r="JQ17" s="15">
        <f t="shared" si="8"/>
        <v>1878</v>
      </c>
      <c r="JR17" s="279">
        <f t="shared" si="9"/>
        <v>1.729281767955801</v>
      </c>
      <c r="JS17" s="17">
        <f t="shared" si="10"/>
        <v>0.27440147329650094</v>
      </c>
      <c r="JT17" s="18">
        <f t="shared" si="11"/>
        <v>0.34078807241746539</v>
      </c>
      <c r="JU17" s="280">
        <f t="shared" si="12"/>
        <v>298</v>
      </c>
      <c r="JV17" s="280">
        <f t="shared" si="13"/>
        <v>640</v>
      </c>
      <c r="JW17" s="319" t="str">
        <f t="shared" si="14"/>
        <v/>
      </c>
      <c r="JX17" s="15">
        <f t="shared" si="15"/>
        <v>0</v>
      </c>
      <c r="JY17" s="15">
        <f t="shared" si="16"/>
        <v>0</v>
      </c>
      <c r="JZ17" s="19" t="str">
        <f t="shared" si="17"/>
        <v/>
      </c>
      <c r="KA17" s="52" t="str">
        <f t="shared" si="18"/>
        <v/>
      </c>
      <c r="KB17" s="15">
        <f t="shared" si="19"/>
        <v>0</v>
      </c>
      <c r="KC17" s="15">
        <f t="shared" si="20"/>
        <v>0</v>
      </c>
      <c r="KD17" s="20" t="str">
        <f t="shared" si="21"/>
        <v/>
      </c>
      <c r="KE17" s="52">
        <f t="shared" si="22"/>
        <v>1</v>
      </c>
      <c r="KF17" s="15">
        <f t="shared" si="23"/>
        <v>1086</v>
      </c>
      <c r="KG17" s="15">
        <f t="shared" si="24"/>
        <v>0</v>
      </c>
      <c r="KH17" s="21">
        <f t="shared" si="25"/>
        <v>0</v>
      </c>
      <c r="KI17" s="52">
        <f t="shared" si="26"/>
        <v>1</v>
      </c>
      <c r="KJ17" s="15">
        <f t="shared" si="27"/>
        <v>1878</v>
      </c>
      <c r="KK17" s="15">
        <f t="shared" si="28"/>
        <v>0</v>
      </c>
      <c r="KL17" s="19">
        <f t="shared" si="29"/>
        <v>0</v>
      </c>
      <c r="KM17" s="52" t="str">
        <f t="shared" si="30"/>
        <v/>
      </c>
      <c r="KN17" s="22">
        <f t="shared" si="31"/>
        <v>0</v>
      </c>
      <c r="KO17" s="22">
        <f t="shared" si="32"/>
        <v>0</v>
      </c>
      <c r="KP17" s="19" t="str">
        <f t="shared" si="33"/>
        <v/>
      </c>
      <c r="KQ17" s="11" t="str">
        <f t="shared" si="34"/>
        <v>4. Transformative</v>
      </c>
      <c r="KR17" s="11" t="str">
        <f t="shared" si="35"/>
        <v>4. Transformational</v>
      </c>
      <c r="KS17" s="11" t="str">
        <f t="shared" si="36"/>
        <v>4. Transformative</v>
      </c>
      <c r="KT17" s="11" t="str">
        <f t="shared" si="37"/>
        <v>It tested new ways for fighting poverty, but did not measure results of innovation</v>
      </c>
      <c r="KU17" s="11" t="str">
        <f t="shared" si="38"/>
        <v>Intensive advocacy</v>
      </c>
      <c r="KV17" s="11" t="str">
        <f t="shared" si="39"/>
        <v>It linked and worked with strategic alliances and partners to take tested and effective solutions to scale</v>
      </c>
      <c r="KW17" s="11" t="str">
        <f t="shared" si="40"/>
        <v>Albania - The Boys and Men as Allies in Violence Prevention and Gender Transformation in the Western Balkans</v>
      </c>
      <c r="KX17" s="11" t="str">
        <f t="shared" si="41"/>
        <v>The Boys and Men as Allies in Violence Prevention and Gender Transformation in the Western Balkans</v>
      </c>
      <c r="KY17" s="11" t="str">
        <f t="shared" si="42"/>
        <v>Albania</v>
      </c>
      <c r="KZ17" s="12">
        <v>17</v>
      </c>
    </row>
    <row r="18" spans="1:312" x14ac:dyDescent="0.3">
      <c r="A18" s="11" t="s">
        <v>635</v>
      </c>
      <c r="B18" s="11" t="s">
        <v>602</v>
      </c>
      <c r="D18" s="11" t="s">
        <v>636</v>
      </c>
      <c r="E18" s="24" t="str">
        <f t="shared" si="0"/>
        <v>Austria</v>
      </c>
      <c r="F18" s="11" t="s">
        <v>637</v>
      </c>
      <c r="G18" s="11" t="s">
        <v>605</v>
      </c>
      <c r="H18" s="11" t="s">
        <v>310</v>
      </c>
      <c r="I18" s="11" t="s">
        <v>606</v>
      </c>
      <c r="J18" s="278" t="s">
        <v>792</v>
      </c>
      <c r="BD18" s="23">
        <v>42461</v>
      </c>
      <c r="BE18" s="23">
        <v>43525</v>
      </c>
      <c r="BG18" s="11" t="s">
        <v>609</v>
      </c>
      <c r="BH18" s="22">
        <v>25000</v>
      </c>
      <c r="BI18" s="11" t="s">
        <v>638</v>
      </c>
      <c r="BJ18" s="11" t="s">
        <v>639</v>
      </c>
      <c r="BK18" s="11" t="s">
        <v>640</v>
      </c>
      <c r="BO18" s="12" t="s">
        <v>319</v>
      </c>
      <c r="BP18" s="12" t="s">
        <v>320</v>
      </c>
      <c r="BQ18" s="12" t="s">
        <v>319</v>
      </c>
      <c r="BR18" s="11" t="s">
        <v>641</v>
      </c>
      <c r="BS18" s="11" t="s">
        <v>322</v>
      </c>
      <c r="BT18" s="11" t="s">
        <v>642</v>
      </c>
      <c r="CL18" s="18"/>
      <c r="CP18" s="18"/>
      <c r="CT18" s="18"/>
      <c r="CX18" s="18"/>
      <c r="DB18" s="18"/>
      <c r="DF18" s="18"/>
      <c r="DJ18" s="18"/>
      <c r="DN18" s="18"/>
      <c r="DR18" s="18"/>
      <c r="DV18" s="18"/>
      <c r="DZ18" s="18"/>
      <c r="ED18" s="18"/>
      <c r="EI18" s="18"/>
      <c r="EK18" s="22">
        <v>15</v>
      </c>
      <c r="EL18" s="22">
        <v>10</v>
      </c>
      <c r="EM18" s="22">
        <v>25</v>
      </c>
      <c r="EN18" s="22">
        <v>140</v>
      </c>
      <c r="EO18" s="22">
        <v>60</v>
      </c>
      <c r="EP18" s="22">
        <v>200</v>
      </c>
      <c r="ES18" s="18"/>
      <c r="EW18" s="18"/>
      <c r="EY18" s="11" t="s">
        <v>320</v>
      </c>
      <c r="FA18" s="18"/>
      <c r="FE18" s="18"/>
      <c r="FI18" s="18"/>
      <c r="FM18" s="18"/>
      <c r="FQ18" s="18"/>
      <c r="FS18" s="11" t="s">
        <v>320</v>
      </c>
      <c r="FU18" s="18"/>
      <c r="FW18" s="12" t="s">
        <v>320</v>
      </c>
      <c r="FY18" s="18"/>
      <c r="GC18" s="18"/>
      <c r="GG18" s="18"/>
      <c r="GK18" s="18"/>
      <c r="GO18" s="18"/>
      <c r="GS18" s="18"/>
      <c r="GW18" s="18"/>
      <c r="HA18" s="18"/>
      <c r="HF18" s="18"/>
      <c r="HP18" s="11" t="s">
        <v>330</v>
      </c>
      <c r="HT18" s="11" t="s">
        <v>320</v>
      </c>
      <c r="HU18" s="11" t="s">
        <v>320</v>
      </c>
      <c r="ID18" s="11" t="s">
        <v>334</v>
      </c>
      <c r="IE18" s="11" t="s">
        <v>478</v>
      </c>
      <c r="IF18" s="11" t="s">
        <v>320</v>
      </c>
      <c r="IG18" s="11" t="s">
        <v>320</v>
      </c>
      <c r="IH18" s="11" t="s">
        <v>320</v>
      </c>
      <c r="II18" s="11" t="s">
        <v>320</v>
      </c>
      <c r="IJ18" s="12" t="str">
        <f t="shared" si="1"/>
        <v>4. Transformative</v>
      </c>
      <c r="IK18" s="12">
        <f t="shared" si="2"/>
        <v>4</v>
      </c>
      <c r="IQ18" s="12" t="str">
        <f t="shared" si="3"/>
        <v>No marker score</v>
      </c>
      <c r="IR18" s="12">
        <f t="shared" si="4"/>
        <v>0</v>
      </c>
      <c r="IW18" s="11" t="str">
        <f t="shared" si="5"/>
        <v>No marker score</v>
      </c>
      <c r="IX18" s="12">
        <f t="shared" si="6"/>
        <v>0</v>
      </c>
      <c r="JO18" s="11" t="s">
        <v>643</v>
      </c>
      <c r="JP18" s="15">
        <f t="shared" si="7"/>
        <v>25</v>
      </c>
      <c r="JQ18" s="15">
        <f t="shared" si="8"/>
        <v>200</v>
      </c>
      <c r="JR18" s="279">
        <f t="shared" si="9"/>
        <v>8</v>
      </c>
      <c r="JS18" s="17">
        <f t="shared" si="10"/>
        <v>0.6</v>
      </c>
      <c r="JT18" s="18">
        <f t="shared" si="11"/>
        <v>0.7</v>
      </c>
      <c r="JU18" s="280">
        <f t="shared" si="12"/>
        <v>15</v>
      </c>
      <c r="JV18" s="280">
        <f t="shared" si="13"/>
        <v>140</v>
      </c>
      <c r="JW18" s="319" t="str">
        <f t="shared" si="14"/>
        <v/>
      </c>
      <c r="JX18" s="15">
        <f t="shared" si="15"/>
        <v>0</v>
      </c>
      <c r="JY18" s="15">
        <f t="shared" si="16"/>
        <v>0</v>
      </c>
      <c r="JZ18" s="19" t="str">
        <f t="shared" si="17"/>
        <v/>
      </c>
      <c r="KA18" s="52" t="str">
        <f t="shared" si="18"/>
        <v/>
      </c>
      <c r="KB18" s="15">
        <f t="shared" si="19"/>
        <v>0</v>
      </c>
      <c r="KC18" s="15">
        <f t="shared" si="20"/>
        <v>0</v>
      </c>
      <c r="KD18" s="20" t="str">
        <f t="shared" si="21"/>
        <v/>
      </c>
      <c r="KE18" s="52" t="str">
        <f t="shared" si="22"/>
        <v/>
      </c>
      <c r="KF18" s="15">
        <f t="shared" si="23"/>
        <v>0</v>
      </c>
      <c r="KG18" s="15">
        <f t="shared" si="24"/>
        <v>0</v>
      </c>
      <c r="KH18" s="21" t="str">
        <f t="shared" si="25"/>
        <v/>
      </c>
      <c r="KI18" s="52">
        <f t="shared" si="26"/>
        <v>1</v>
      </c>
      <c r="KJ18" s="15">
        <f t="shared" si="27"/>
        <v>0</v>
      </c>
      <c r="KK18" s="15">
        <f t="shared" si="28"/>
        <v>0</v>
      </c>
      <c r="KL18" s="19" t="str">
        <f t="shared" si="29"/>
        <v/>
      </c>
      <c r="KM18" s="52" t="str">
        <f t="shared" si="30"/>
        <v/>
      </c>
      <c r="KN18" s="22">
        <f t="shared" si="31"/>
        <v>0</v>
      </c>
      <c r="KO18" s="22">
        <f t="shared" si="32"/>
        <v>0</v>
      </c>
      <c r="KP18" s="19" t="str">
        <f t="shared" si="33"/>
        <v/>
      </c>
      <c r="KQ18" s="11" t="str">
        <f t="shared" si="34"/>
        <v>4. Transformative</v>
      </c>
      <c r="KR18" s="11" t="str">
        <f t="shared" si="35"/>
        <v>No marker score</v>
      </c>
      <c r="KS18" s="11" t="str">
        <f t="shared" si="36"/>
        <v>No marker score</v>
      </c>
      <c r="KT18" s="11">
        <f t="shared" si="37"/>
        <v>0</v>
      </c>
      <c r="KU18" s="11" t="str">
        <f t="shared" si="38"/>
        <v>Moderate advocacy</v>
      </c>
      <c r="KV18" s="11">
        <f t="shared" si="39"/>
        <v>0</v>
      </c>
      <c r="KW18" s="11" t="str">
        <f t="shared" si="40"/>
        <v>Austria - Learning for Change - Strengthening Women's Voices in East Africa</v>
      </c>
      <c r="KX18" s="11" t="str">
        <f t="shared" si="41"/>
        <v>Learning for Change - Strengthening Women's Voices in East Africa</v>
      </c>
      <c r="KY18" s="11" t="str">
        <f t="shared" si="42"/>
        <v>Austria</v>
      </c>
      <c r="KZ18" s="12">
        <v>18</v>
      </c>
    </row>
    <row r="19" spans="1:312" x14ac:dyDescent="0.3">
      <c r="A19" s="11" t="s">
        <v>635</v>
      </c>
      <c r="B19" s="11" t="s">
        <v>602</v>
      </c>
      <c r="D19" s="11" t="s">
        <v>644</v>
      </c>
      <c r="E19" s="24" t="str">
        <f t="shared" si="0"/>
        <v>Austria</v>
      </c>
      <c r="G19" s="11" t="s">
        <v>605</v>
      </c>
      <c r="J19" s="278" t="s">
        <v>792</v>
      </c>
      <c r="BD19" s="23">
        <v>42662</v>
      </c>
      <c r="BE19" s="23">
        <v>42802</v>
      </c>
      <c r="BG19" s="11" t="s">
        <v>312</v>
      </c>
      <c r="BI19" s="11" t="s">
        <v>645</v>
      </c>
      <c r="BJ19" s="11" t="s">
        <v>646</v>
      </c>
      <c r="BK19" s="11" t="s">
        <v>647</v>
      </c>
      <c r="BO19" s="11" t="s">
        <v>320</v>
      </c>
      <c r="BP19" s="11" t="s">
        <v>320</v>
      </c>
      <c r="BQ19" s="12" t="s">
        <v>320</v>
      </c>
      <c r="BR19" s="11" t="s">
        <v>648</v>
      </c>
      <c r="BS19" s="11" t="s">
        <v>322</v>
      </c>
      <c r="BT19" s="11" t="s">
        <v>649</v>
      </c>
      <c r="CL19" s="18"/>
      <c r="CP19" s="18"/>
      <c r="CT19" s="18"/>
      <c r="CX19" s="18"/>
      <c r="DB19" s="18"/>
      <c r="DF19" s="18"/>
      <c r="DJ19" s="18"/>
      <c r="DN19" s="18"/>
      <c r="DR19" s="18"/>
      <c r="DV19" s="18"/>
      <c r="DZ19" s="18"/>
      <c r="ED19" s="18"/>
      <c r="EI19" s="18"/>
      <c r="EK19" s="22">
        <v>0</v>
      </c>
      <c r="EL19" s="22">
        <v>10</v>
      </c>
      <c r="EM19" s="22">
        <v>10</v>
      </c>
      <c r="EN19" s="22">
        <v>10</v>
      </c>
      <c r="EO19" s="22">
        <v>30</v>
      </c>
      <c r="EP19" s="22">
        <v>40</v>
      </c>
      <c r="ES19" s="18"/>
      <c r="EW19" s="18"/>
      <c r="EY19" s="11" t="s">
        <v>320</v>
      </c>
      <c r="FA19" s="18"/>
      <c r="FE19" s="18"/>
      <c r="FI19" s="18"/>
      <c r="FM19" s="18"/>
      <c r="FQ19" s="18"/>
      <c r="FU19" s="18"/>
      <c r="FY19" s="18"/>
      <c r="GC19" s="18"/>
      <c r="GG19" s="18"/>
      <c r="GK19" s="18"/>
      <c r="GO19" s="18"/>
      <c r="GS19" s="18"/>
      <c r="GW19" s="18"/>
      <c r="HA19" s="18"/>
      <c r="HC19" s="11" t="s">
        <v>650</v>
      </c>
      <c r="HD19" s="12" t="s">
        <v>320</v>
      </c>
      <c r="HF19" s="18"/>
      <c r="HP19" s="11" t="s">
        <v>330</v>
      </c>
      <c r="HR19" s="11" t="s">
        <v>320</v>
      </c>
      <c r="HU19" s="11" t="s">
        <v>320</v>
      </c>
      <c r="IE19" s="11" t="s">
        <v>478</v>
      </c>
      <c r="IJ19" s="12" t="str">
        <f t="shared" si="1"/>
        <v>No marker score</v>
      </c>
      <c r="IK19" s="12">
        <f t="shared" si="2"/>
        <v>0</v>
      </c>
      <c r="IQ19" s="12" t="str">
        <f t="shared" si="3"/>
        <v>No marker score</v>
      </c>
      <c r="IR19" s="12">
        <f t="shared" si="4"/>
        <v>0</v>
      </c>
      <c r="IW19" s="11" t="str">
        <f t="shared" si="5"/>
        <v>No marker score</v>
      </c>
      <c r="IX19" s="12">
        <f t="shared" si="6"/>
        <v>0</v>
      </c>
      <c r="JA19" s="11">
        <v>34</v>
      </c>
      <c r="JB19" s="12" t="s">
        <v>651</v>
      </c>
      <c r="JP19" s="15">
        <f t="shared" si="7"/>
        <v>10</v>
      </c>
      <c r="JQ19" s="15">
        <f t="shared" si="8"/>
        <v>40</v>
      </c>
      <c r="JR19" s="279">
        <f t="shared" si="9"/>
        <v>4</v>
      </c>
      <c r="JS19" s="17">
        <f t="shared" si="10"/>
        <v>0</v>
      </c>
      <c r="JT19" s="18">
        <f t="shared" si="11"/>
        <v>0.25</v>
      </c>
      <c r="JU19" s="280">
        <f t="shared" si="12"/>
        <v>0</v>
      </c>
      <c r="JV19" s="280">
        <f t="shared" si="13"/>
        <v>10</v>
      </c>
      <c r="JW19" s="319">
        <f t="shared" si="14"/>
        <v>1</v>
      </c>
      <c r="JX19" s="15">
        <f t="shared" si="15"/>
        <v>0</v>
      </c>
      <c r="JY19" s="15">
        <f t="shared" si="16"/>
        <v>0</v>
      </c>
      <c r="JZ19" s="19" t="str">
        <f t="shared" si="17"/>
        <v/>
      </c>
      <c r="KA19" s="52" t="str">
        <f t="shared" si="18"/>
        <v/>
      </c>
      <c r="KB19" s="15">
        <f t="shared" si="19"/>
        <v>0</v>
      </c>
      <c r="KC19" s="15">
        <f t="shared" si="20"/>
        <v>0</v>
      </c>
      <c r="KD19" s="20" t="str">
        <f t="shared" si="21"/>
        <v/>
      </c>
      <c r="KE19" s="52" t="str">
        <f t="shared" si="22"/>
        <v/>
      </c>
      <c r="KF19" s="15">
        <f t="shared" si="23"/>
        <v>0</v>
      </c>
      <c r="KG19" s="15">
        <f t="shared" si="24"/>
        <v>0</v>
      </c>
      <c r="KH19" s="21" t="str">
        <f t="shared" si="25"/>
        <v/>
      </c>
      <c r="KI19" s="52" t="str">
        <f t="shared" si="26"/>
        <v/>
      </c>
      <c r="KJ19" s="15">
        <f t="shared" si="27"/>
        <v>0</v>
      </c>
      <c r="KK19" s="15">
        <f t="shared" si="28"/>
        <v>0</v>
      </c>
      <c r="KL19" s="19" t="str">
        <f t="shared" si="29"/>
        <v/>
      </c>
      <c r="KM19" s="52" t="str">
        <f t="shared" si="30"/>
        <v/>
      </c>
      <c r="KN19" s="22">
        <f t="shared" si="31"/>
        <v>0</v>
      </c>
      <c r="KO19" s="22">
        <f t="shared" si="32"/>
        <v>0</v>
      </c>
      <c r="KP19" s="19" t="str">
        <f t="shared" si="33"/>
        <v/>
      </c>
      <c r="KQ19" s="11" t="str">
        <f t="shared" si="34"/>
        <v>No marker score</v>
      </c>
      <c r="KR19" s="11" t="str">
        <f t="shared" si="35"/>
        <v>No marker score</v>
      </c>
      <c r="KS19" s="11" t="str">
        <f t="shared" si="36"/>
        <v>No marker score</v>
      </c>
      <c r="KT19" s="11">
        <f t="shared" si="37"/>
        <v>0</v>
      </c>
      <c r="KU19" s="11" t="str">
        <f t="shared" si="38"/>
        <v>Moderate advocacy</v>
      </c>
      <c r="KV19" s="11">
        <f t="shared" si="39"/>
        <v>0</v>
      </c>
      <c r="KW19" s="11" t="str">
        <f t="shared" si="40"/>
        <v>Austria - Letters to the Government regarding Migration</v>
      </c>
      <c r="KX19" s="11" t="str">
        <f t="shared" si="41"/>
        <v>Letters to the Government regarding Migration</v>
      </c>
      <c r="KY19" s="11" t="str">
        <f t="shared" si="42"/>
        <v>Austria</v>
      </c>
      <c r="KZ19" s="12">
        <v>19</v>
      </c>
    </row>
    <row r="20" spans="1:312" x14ac:dyDescent="0.3">
      <c r="A20" s="11" t="s">
        <v>652</v>
      </c>
      <c r="B20" s="11" t="s">
        <v>306</v>
      </c>
      <c r="C20" s="11">
        <v>2750</v>
      </c>
      <c r="D20" s="11" t="s">
        <v>989</v>
      </c>
      <c r="E20" s="24" t="str">
        <f t="shared" si="0"/>
        <v>Bangladesh</v>
      </c>
      <c r="F20" s="11" t="s">
        <v>990</v>
      </c>
      <c r="G20" s="11" t="s">
        <v>379</v>
      </c>
      <c r="H20" s="11" t="s">
        <v>380</v>
      </c>
      <c r="I20" s="11" t="s">
        <v>381</v>
      </c>
      <c r="J20" s="278" t="s">
        <v>8430</v>
      </c>
      <c r="BD20" s="23">
        <v>42217</v>
      </c>
      <c r="BE20" s="23">
        <v>42978</v>
      </c>
      <c r="BG20" s="11" t="s">
        <v>609</v>
      </c>
      <c r="BH20" s="22">
        <v>579558</v>
      </c>
      <c r="BI20" s="11" t="s">
        <v>845</v>
      </c>
      <c r="BJ20" s="11" t="s">
        <v>991</v>
      </c>
      <c r="BK20" s="11" t="s">
        <v>847</v>
      </c>
      <c r="BL20" s="11" t="s">
        <v>992</v>
      </c>
      <c r="BM20" s="11" t="s">
        <v>751</v>
      </c>
      <c r="BN20" s="11" t="s">
        <v>993</v>
      </c>
      <c r="BO20" s="12" t="s">
        <v>319</v>
      </c>
      <c r="BP20" s="12" t="s">
        <v>320</v>
      </c>
      <c r="BQ20" s="12" t="s">
        <v>319</v>
      </c>
      <c r="BR20" s="11" t="s">
        <v>994</v>
      </c>
      <c r="BS20" s="11" t="s">
        <v>357</v>
      </c>
      <c r="BT20" s="11" t="s">
        <v>995</v>
      </c>
      <c r="BU20" s="11" t="s">
        <v>996</v>
      </c>
      <c r="BV20" s="22">
        <v>30041</v>
      </c>
      <c r="BW20" s="22">
        <v>20028</v>
      </c>
      <c r="BX20" s="22">
        <v>50069</v>
      </c>
      <c r="BY20" s="22">
        <v>33865</v>
      </c>
      <c r="BZ20" s="22">
        <v>22576</v>
      </c>
      <c r="CA20" s="22">
        <v>56441</v>
      </c>
      <c r="CB20" s="15" t="s">
        <v>997</v>
      </c>
      <c r="CL20" s="18"/>
      <c r="CP20" s="18"/>
      <c r="CT20" s="18"/>
      <c r="CX20" s="18"/>
      <c r="DB20" s="18"/>
      <c r="DF20" s="18"/>
      <c r="DJ20" s="18"/>
      <c r="DN20" s="18"/>
      <c r="DR20" s="18"/>
      <c r="DV20" s="18"/>
      <c r="DZ20" s="18"/>
      <c r="ED20" s="18"/>
      <c r="EI20" s="18"/>
      <c r="EK20" s="22">
        <v>30041</v>
      </c>
      <c r="EL20" s="22">
        <v>20028</v>
      </c>
      <c r="EM20" s="22">
        <v>50069</v>
      </c>
      <c r="EN20" s="22">
        <v>33865</v>
      </c>
      <c r="EO20" s="22">
        <v>22576</v>
      </c>
      <c r="EP20" s="22">
        <v>56441</v>
      </c>
      <c r="EQ20" s="12" t="s">
        <v>319</v>
      </c>
      <c r="ES20" s="18"/>
      <c r="EU20" s="11" t="s">
        <v>319</v>
      </c>
      <c r="EW20" s="18"/>
      <c r="EY20" s="12" t="s">
        <v>319</v>
      </c>
      <c r="FA20" s="18"/>
      <c r="FC20" s="12" t="s">
        <v>319</v>
      </c>
      <c r="FE20" s="18"/>
      <c r="FG20" s="12" t="s">
        <v>319</v>
      </c>
      <c r="FI20" s="18"/>
      <c r="FK20" s="11" t="s">
        <v>319</v>
      </c>
      <c r="FM20" s="18"/>
      <c r="FO20" s="11" t="s">
        <v>319</v>
      </c>
      <c r="FQ20" s="18"/>
      <c r="FS20" s="12" t="s">
        <v>320</v>
      </c>
      <c r="FT20" s="22">
        <v>30942</v>
      </c>
      <c r="FU20" s="18">
        <v>0.63</v>
      </c>
      <c r="FV20" s="22">
        <v>31320</v>
      </c>
      <c r="FW20" s="11" t="s">
        <v>319</v>
      </c>
      <c r="FY20" s="18"/>
      <c r="GA20" s="11" t="s">
        <v>320</v>
      </c>
      <c r="GB20" s="22">
        <v>30942</v>
      </c>
      <c r="GC20" s="18">
        <v>0.63</v>
      </c>
      <c r="GD20" s="22">
        <v>31320</v>
      </c>
      <c r="GE20" s="12" t="s">
        <v>320</v>
      </c>
      <c r="GF20" s="22">
        <v>25122</v>
      </c>
      <c r="GG20" s="18">
        <v>0.52</v>
      </c>
      <c r="GI20" s="11" t="s">
        <v>319</v>
      </c>
      <c r="GK20" s="18"/>
      <c r="GM20" s="11" t="s">
        <v>319</v>
      </c>
      <c r="GO20" s="18"/>
      <c r="GQ20" s="12" t="s">
        <v>320</v>
      </c>
      <c r="GR20" s="22">
        <v>20763</v>
      </c>
      <c r="GS20" s="18">
        <v>1</v>
      </c>
      <c r="GT20" s="22">
        <v>23100</v>
      </c>
      <c r="GU20" s="12" t="s">
        <v>320</v>
      </c>
      <c r="GV20" s="22">
        <v>25122</v>
      </c>
      <c r="GW20" s="18">
        <v>1</v>
      </c>
      <c r="GX20" s="22">
        <v>0</v>
      </c>
      <c r="GY20" s="11" t="s">
        <v>320</v>
      </c>
      <c r="GZ20" s="22">
        <v>30</v>
      </c>
      <c r="HA20" s="18">
        <v>1</v>
      </c>
      <c r="HB20" s="22">
        <v>135</v>
      </c>
      <c r="HF20" s="18"/>
      <c r="HH20" s="11" t="s">
        <v>320</v>
      </c>
      <c r="HI20" s="11" t="s">
        <v>522</v>
      </c>
      <c r="HJ20" s="11">
        <v>2017</v>
      </c>
      <c r="HK20" s="11" t="s">
        <v>320</v>
      </c>
      <c r="HL20" s="11" t="s">
        <v>319</v>
      </c>
      <c r="HP20" s="11" t="s">
        <v>418</v>
      </c>
      <c r="HQ20" s="11" t="s">
        <v>319</v>
      </c>
      <c r="HR20" s="11" t="s">
        <v>319</v>
      </c>
      <c r="HS20" s="11" t="s">
        <v>320</v>
      </c>
      <c r="HT20" s="11" t="s">
        <v>319</v>
      </c>
      <c r="HU20" s="11" t="s">
        <v>319</v>
      </c>
      <c r="HV20" s="11" t="s">
        <v>319</v>
      </c>
      <c r="HW20" s="11" t="s">
        <v>319</v>
      </c>
      <c r="HX20" s="11" t="s">
        <v>319</v>
      </c>
      <c r="HZ20" s="11" t="s">
        <v>331</v>
      </c>
      <c r="IA20" s="11" t="s">
        <v>998</v>
      </c>
      <c r="IB20" s="11" t="s">
        <v>396</v>
      </c>
      <c r="IC20" s="11" t="s">
        <v>999</v>
      </c>
      <c r="ID20" s="11" t="s">
        <v>334</v>
      </c>
      <c r="IE20" s="11" t="s">
        <v>335</v>
      </c>
      <c r="IF20" s="11" t="s">
        <v>320</v>
      </c>
      <c r="IG20" s="11" t="s">
        <v>320</v>
      </c>
      <c r="IH20" s="11" t="s">
        <v>320</v>
      </c>
      <c r="II20" s="11" t="s">
        <v>320</v>
      </c>
      <c r="IJ20" s="12" t="str">
        <f t="shared" si="1"/>
        <v>2. Sensitive</v>
      </c>
      <c r="IK20" s="12">
        <f t="shared" si="2"/>
        <v>4</v>
      </c>
      <c r="IL20" s="11" t="s">
        <v>336</v>
      </c>
      <c r="IM20" s="11" t="s">
        <v>320</v>
      </c>
      <c r="IN20" s="11" t="s">
        <v>320</v>
      </c>
      <c r="IO20" s="11" t="s">
        <v>320</v>
      </c>
      <c r="IP20" s="11" t="s">
        <v>320</v>
      </c>
      <c r="IQ20" s="12" t="str">
        <f t="shared" si="3"/>
        <v>2. Accommodating</v>
      </c>
      <c r="IR20" s="12">
        <f t="shared" si="4"/>
        <v>4</v>
      </c>
      <c r="IS20" s="11" t="s">
        <v>337</v>
      </c>
      <c r="IT20" s="11" t="s">
        <v>320</v>
      </c>
      <c r="IU20" s="11" t="s">
        <v>320</v>
      </c>
      <c r="IV20" s="11" t="s">
        <v>320</v>
      </c>
      <c r="IW20" s="11" t="str">
        <f t="shared" si="5"/>
        <v>2. Sensitive</v>
      </c>
      <c r="IX20" s="12">
        <f t="shared" si="6"/>
        <v>3</v>
      </c>
      <c r="IY20" s="11" t="s">
        <v>338</v>
      </c>
      <c r="IZ20" s="11" t="s">
        <v>339</v>
      </c>
      <c r="JE20" s="11" t="s">
        <v>420</v>
      </c>
      <c r="JG20" s="11" t="s">
        <v>1000</v>
      </c>
      <c r="JH20" s="11" t="s">
        <v>1001</v>
      </c>
      <c r="JI20" s="11" t="s">
        <v>1002</v>
      </c>
      <c r="JJ20" s="11" t="s">
        <v>1003</v>
      </c>
      <c r="JK20" s="11" t="s">
        <v>1004</v>
      </c>
      <c r="JL20" s="11" t="s">
        <v>1005</v>
      </c>
      <c r="JM20" s="11" t="s">
        <v>1006</v>
      </c>
      <c r="JN20" s="11" t="s">
        <v>1007</v>
      </c>
      <c r="JO20" s="11" t="s">
        <v>1008</v>
      </c>
      <c r="JP20" s="15">
        <f t="shared" si="7"/>
        <v>50069</v>
      </c>
      <c r="JQ20" s="15">
        <f t="shared" si="8"/>
        <v>56441</v>
      </c>
      <c r="JR20" s="279">
        <f t="shared" si="9"/>
        <v>1.127264375162276</v>
      </c>
      <c r="JS20" s="17">
        <f t="shared" si="10"/>
        <v>0.59999201102478583</v>
      </c>
      <c r="JT20" s="18">
        <f t="shared" si="11"/>
        <v>0.60000708704665051</v>
      </c>
      <c r="JU20" s="280">
        <f t="shared" si="12"/>
        <v>30041</v>
      </c>
      <c r="JV20" s="280">
        <f t="shared" si="13"/>
        <v>33865</v>
      </c>
      <c r="JW20" s="319" t="str">
        <f t="shared" si="14"/>
        <v/>
      </c>
      <c r="JX20" s="15">
        <f t="shared" si="15"/>
        <v>0</v>
      </c>
      <c r="JY20" s="15">
        <f t="shared" si="16"/>
        <v>0</v>
      </c>
      <c r="JZ20" s="19" t="str">
        <f t="shared" si="17"/>
        <v/>
      </c>
      <c r="KA20" s="52">
        <f t="shared" si="18"/>
        <v>1</v>
      </c>
      <c r="KB20" s="15">
        <f t="shared" si="19"/>
        <v>25122</v>
      </c>
      <c r="KC20" s="15">
        <f t="shared" si="20"/>
        <v>0</v>
      </c>
      <c r="KD20" s="20">
        <f t="shared" si="21"/>
        <v>0</v>
      </c>
      <c r="KE20" s="52">
        <f t="shared" si="22"/>
        <v>1</v>
      </c>
      <c r="KF20" s="15">
        <f t="shared" si="23"/>
        <v>20763</v>
      </c>
      <c r="KG20" s="15">
        <f t="shared" si="24"/>
        <v>23100</v>
      </c>
      <c r="KH20" s="21">
        <f t="shared" si="25"/>
        <v>1.1125559890189278</v>
      </c>
      <c r="KI20" s="52">
        <f t="shared" si="26"/>
        <v>1</v>
      </c>
      <c r="KJ20" s="15">
        <f t="shared" si="27"/>
        <v>30942</v>
      </c>
      <c r="KK20" s="15">
        <f t="shared" si="28"/>
        <v>31320</v>
      </c>
      <c r="KL20" s="19">
        <f t="shared" si="29"/>
        <v>1.0122164048865621</v>
      </c>
      <c r="KM20" s="52">
        <f t="shared" si="30"/>
        <v>1</v>
      </c>
      <c r="KN20" s="22">
        <f t="shared" si="31"/>
        <v>30</v>
      </c>
      <c r="KO20" s="22">
        <f t="shared" si="32"/>
        <v>135</v>
      </c>
      <c r="KP20" s="19">
        <f t="shared" si="33"/>
        <v>4.5</v>
      </c>
      <c r="KQ20" s="11" t="str">
        <f t="shared" si="34"/>
        <v>2. Sensitive</v>
      </c>
      <c r="KR20" s="11" t="str">
        <f t="shared" si="35"/>
        <v>2. Accommodating</v>
      </c>
      <c r="KS20" s="11" t="str">
        <f t="shared" si="36"/>
        <v>2. Sensitive</v>
      </c>
      <c r="KT20" s="11" t="str">
        <f t="shared" si="37"/>
        <v>It tested new ways for fighting poverty and measured results of innovation</v>
      </c>
      <c r="KU20" s="11" t="str">
        <f t="shared" si="38"/>
        <v>Little or no advocacy</v>
      </c>
      <c r="KV20" s="11" t="str">
        <f t="shared" si="39"/>
        <v>It linked and worked with strategic alliances and partners to take tested and effective solutions to scale</v>
      </c>
      <c r="KW20" s="11" t="str">
        <f t="shared" si="40"/>
        <v>Bangladesh - Accelerating Actions towards Ending Child Marriage (AECM)</v>
      </c>
      <c r="KX20" s="11" t="str">
        <f t="shared" si="41"/>
        <v>Accelerating Actions towards Ending Child Marriage (AECM)</v>
      </c>
      <c r="KY20" s="11" t="str">
        <f t="shared" si="42"/>
        <v>Bangladesh</v>
      </c>
      <c r="KZ20" s="12">
        <v>20</v>
      </c>
    </row>
    <row r="21" spans="1:312" x14ac:dyDescent="0.3">
      <c r="A21" s="11" t="s">
        <v>652</v>
      </c>
      <c r="B21" s="11" t="s">
        <v>306</v>
      </c>
      <c r="C21" s="11">
        <v>3709</v>
      </c>
      <c r="D21" s="11" t="s">
        <v>815</v>
      </c>
      <c r="E21" s="24" t="str">
        <f t="shared" si="0"/>
        <v>Bangladesh</v>
      </c>
      <c r="F21" s="11" t="s">
        <v>816</v>
      </c>
      <c r="G21" s="11" t="s">
        <v>488</v>
      </c>
      <c r="H21" s="11" t="s">
        <v>380</v>
      </c>
      <c r="I21" s="11" t="s">
        <v>506</v>
      </c>
      <c r="J21" s="278" t="s">
        <v>9230</v>
      </c>
      <c r="BD21" s="23">
        <v>42125</v>
      </c>
      <c r="BE21" s="23">
        <v>42824</v>
      </c>
      <c r="BG21" s="11" t="s">
        <v>817</v>
      </c>
      <c r="BH21" s="22">
        <v>58462.6</v>
      </c>
      <c r="BI21" s="11" t="s">
        <v>818</v>
      </c>
      <c r="BJ21" s="11" t="s">
        <v>819</v>
      </c>
      <c r="BK21" s="11" t="s">
        <v>701</v>
      </c>
      <c r="BL21" s="11" t="s">
        <v>820</v>
      </c>
      <c r="BM21" s="11" t="s">
        <v>821</v>
      </c>
      <c r="BN21" s="11" t="s">
        <v>822</v>
      </c>
      <c r="BO21" s="11" t="s">
        <v>320</v>
      </c>
      <c r="BP21" s="11" t="s">
        <v>319</v>
      </c>
      <c r="BQ21" s="11" t="s">
        <v>319</v>
      </c>
      <c r="BR21" s="11" t="s">
        <v>823</v>
      </c>
      <c r="BS21" s="11" t="s">
        <v>322</v>
      </c>
      <c r="BT21" s="11" t="s">
        <v>824</v>
      </c>
      <c r="BU21" s="11" t="s">
        <v>825</v>
      </c>
      <c r="BV21" s="22">
        <v>0</v>
      </c>
      <c r="BW21" s="22">
        <v>0</v>
      </c>
      <c r="BX21" s="22">
        <v>0</v>
      </c>
      <c r="BY21" s="22">
        <v>0</v>
      </c>
      <c r="BZ21" s="22">
        <v>0</v>
      </c>
      <c r="CA21" s="22">
        <v>0</v>
      </c>
      <c r="CB21" s="15" t="s">
        <v>826</v>
      </c>
      <c r="CD21" s="22">
        <v>0</v>
      </c>
      <c r="CE21" s="22">
        <v>0</v>
      </c>
      <c r="CF21" s="22">
        <v>0</v>
      </c>
      <c r="CG21" s="22">
        <v>0</v>
      </c>
      <c r="CH21" s="22">
        <v>0</v>
      </c>
      <c r="CI21" s="22">
        <v>0</v>
      </c>
      <c r="CJ21" s="11" t="s">
        <v>319</v>
      </c>
      <c r="CL21" s="18"/>
      <c r="CN21" s="12" t="s">
        <v>319</v>
      </c>
      <c r="CP21" s="18"/>
      <c r="CR21" s="11" t="s">
        <v>319</v>
      </c>
      <c r="CT21" s="18"/>
      <c r="CV21" s="11" t="s">
        <v>319</v>
      </c>
      <c r="CX21" s="18"/>
      <c r="CZ21" s="11" t="s">
        <v>319</v>
      </c>
      <c r="DB21" s="18"/>
      <c r="DD21" s="12" t="s">
        <v>319</v>
      </c>
      <c r="DF21" s="18"/>
      <c r="DH21" s="11" t="s">
        <v>319</v>
      </c>
      <c r="DJ21" s="18"/>
      <c r="DL21" s="11" t="s">
        <v>319</v>
      </c>
      <c r="DN21" s="18"/>
      <c r="DP21" s="11" t="s">
        <v>319</v>
      </c>
      <c r="DR21" s="18"/>
      <c r="DT21" s="11" t="s">
        <v>319</v>
      </c>
      <c r="DV21" s="18"/>
      <c r="DX21" s="11" t="s">
        <v>319</v>
      </c>
      <c r="DZ21" s="18"/>
      <c r="EB21" s="11" t="s">
        <v>319</v>
      </c>
      <c r="ED21" s="18"/>
      <c r="EF21" s="15" t="s">
        <v>827</v>
      </c>
      <c r="EG21" s="12" t="s">
        <v>320</v>
      </c>
      <c r="EI21" s="18"/>
      <c r="ES21" s="18"/>
      <c r="EW21" s="18"/>
      <c r="FA21" s="18"/>
      <c r="FE21" s="18"/>
      <c r="FI21" s="18"/>
      <c r="FM21" s="18"/>
      <c r="FQ21" s="18"/>
      <c r="FU21" s="18"/>
      <c r="FY21" s="18"/>
      <c r="GC21" s="18"/>
      <c r="GG21" s="18"/>
      <c r="GK21" s="18"/>
      <c r="GO21" s="18"/>
      <c r="GS21" s="18"/>
      <c r="GW21" s="18"/>
      <c r="HA21" s="18"/>
      <c r="HF21" s="18"/>
      <c r="HH21" s="11" t="s">
        <v>319</v>
      </c>
      <c r="HK21" s="11" t="s">
        <v>319</v>
      </c>
      <c r="HL21" s="11" t="s">
        <v>319</v>
      </c>
      <c r="HO21" s="11" t="s">
        <v>828</v>
      </c>
      <c r="HP21" s="11" t="s">
        <v>330</v>
      </c>
      <c r="HQ21" s="11" t="s">
        <v>319</v>
      </c>
      <c r="HR21" s="11" t="s">
        <v>319</v>
      </c>
      <c r="HS21" s="11" t="s">
        <v>319</v>
      </c>
      <c r="HT21" s="11" t="s">
        <v>319</v>
      </c>
      <c r="HU21" s="11" t="s">
        <v>320</v>
      </c>
      <c r="HV21" s="11" t="s">
        <v>319</v>
      </c>
      <c r="HW21" s="11" t="s">
        <v>319</v>
      </c>
      <c r="HX21" s="11" t="s">
        <v>319</v>
      </c>
      <c r="HZ21" s="11" t="s">
        <v>394</v>
      </c>
      <c r="IA21" s="11" t="s">
        <v>829</v>
      </c>
      <c r="IB21" s="11" t="s">
        <v>396</v>
      </c>
      <c r="IC21" s="11" t="s">
        <v>830</v>
      </c>
      <c r="ID21" s="11" t="s">
        <v>334</v>
      </c>
      <c r="IE21" s="11" t="s">
        <v>335</v>
      </c>
      <c r="IF21" s="11" t="s">
        <v>320</v>
      </c>
      <c r="IG21" s="11" t="s">
        <v>320</v>
      </c>
      <c r="IH21" s="11" t="s">
        <v>320</v>
      </c>
      <c r="II21" s="11" t="s">
        <v>319</v>
      </c>
      <c r="IJ21" s="12" t="str">
        <f t="shared" si="1"/>
        <v>1. Neutral</v>
      </c>
      <c r="IK21" s="12">
        <f t="shared" si="2"/>
        <v>3</v>
      </c>
      <c r="IL21" s="11" t="s">
        <v>336</v>
      </c>
      <c r="IM21" s="11" t="s">
        <v>320</v>
      </c>
      <c r="IN21" s="11" t="s">
        <v>320</v>
      </c>
      <c r="IO21" s="11" t="s">
        <v>320</v>
      </c>
      <c r="IP21" s="11" t="s">
        <v>320</v>
      </c>
      <c r="IQ21" s="12" t="str">
        <f t="shared" si="3"/>
        <v>2. Accommodating</v>
      </c>
      <c r="IR21" s="12">
        <f t="shared" si="4"/>
        <v>4</v>
      </c>
      <c r="IS21" s="11" t="s">
        <v>622</v>
      </c>
      <c r="IT21" s="11" t="s">
        <v>320</v>
      </c>
      <c r="IU21" s="11" t="s">
        <v>320</v>
      </c>
      <c r="IV21" s="11" t="s">
        <v>320</v>
      </c>
      <c r="IW21" s="11" t="str">
        <f t="shared" si="5"/>
        <v>4. Transformative</v>
      </c>
      <c r="IX21" s="12">
        <f t="shared" si="6"/>
        <v>3</v>
      </c>
      <c r="IY21" s="11" t="s">
        <v>758</v>
      </c>
      <c r="IZ21" s="11" t="s">
        <v>457</v>
      </c>
      <c r="JA21" s="11">
        <v>3</v>
      </c>
      <c r="JB21" s="11" t="s">
        <v>831</v>
      </c>
      <c r="JC21" s="11" t="s">
        <v>832</v>
      </c>
      <c r="JD21" s="11" t="s">
        <v>623</v>
      </c>
      <c r="JE21" s="11" t="s">
        <v>340</v>
      </c>
      <c r="JF21" s="11" t="s">
        <v>833</v>
      </c>
      <c r="JH21" s="11" t="s">
        <v>834</v>
      </c>
      <c r="JI21" s="11" t="s">
        <v>835</v>
      </c>
      <c r="JJ21" s="11" t="s">
        <v>836</v>
      </c>
      <c r="JK21" s="11" t="s">
        <v>837</v>
      </c>
      <c r="JL21" s="11" t="s">
        <v>838</v>
      </c>
      <c r="JM21" s="11" t="s">
        <v>839</v>
      </c>
      <c r="JP21" s="15">
        <f t="shared" si="7"/>
        <v>0</v>
      </c>
      <c r="JQ21" s="15">
        <f t="shared" si="8"/>
        <v>0</v>
      </c>
      <c r="JR21" s="279" t="str">
        <f t="shared" si="9"/>
        <v/>
      </c>
      <c r="JS21" s="17" t="str">
        <f t="shared" si="10"/>
        <v/>
      </c>
      <c r="JT21" s="18" t="str">
        <f t="shared" si="11"/>
        <v/>
      </c>
      <c r="JU21" s="280">
        <f t="shared" si="12"/>
        <v>0</v>
      </c>
      <c r="JV21" s="280">
        <f t="shared" si="13"/>
        <v>0</v>
      </c>
      <c r="JW21" s="319">
        <f t="shared" si="14"/>
        <v>1</v>
      </c>
      <c r="JX21" s="15">
        <f t="shared" si="15"/>
        <v>0</v>
      </c>
      <c r="JY21" s="15">
        <f t="shared" si="16"/>
        <v>0</v>
      </c>
      <c r="JZ21" s="19" t="str">
        <f t="shared" si="17"/>
        <v/>
      </c>
      <c r="KA21" s="52" t="str">
        <f t="shared" si="18"/>
        <v/>
      </c>
      <c r="KB21" s="15">
        <f t="shared" si="19"/>
        <v>0</v>
      </c>
      <c r="KC21" s="15">
        <f t="shared" si="20"/>
        <v>0</v>
      </c>
      <c r="KD21" s="20" t="str">
        <f t="shared" si="21"/>
        <v/>
      </c>
      <c r="KE21" s="52" t="str">
        <f t="shared" si="22"/>
        <v/>
      </c>
      <c r="KF21" s="15">
        <f t="shared" si="23"/>
        <v>0</v>
      </c>
      <c r="KG21" s="15">
        <f t="shared" si="24"/>
        <v>0</v>
      </c>
      <c r="KH21" s="21" t="str">
        <f t="shared" si="25"/>
        <v/>
      </c>
      <c r="KI21" s="52" t="str">
        <f t="shared" si="26"/>
        <v/>
      </c>
      <c r="KJ21" s="15">
        <f t="shared" si="27"/>
        <v>0</v>
      </c>
      <c r="KK21" s="15">
        <f t="shared" si="28"/>
        <v>0</v>
      </c>
      <c r="KL21" s="19" t="str">
        <f t="shared" si="29"/>
        <v/>
      </c>
      <c r="KM21" s="52" t="str">
        <f t="shared" si="30"/>
        <v/>
      </c>
      <c r="KN21" s="22">
        <f t="shared" si="31"/>
        <v>0</v>
      </c>
      <c r="KO21" s="22">
        <f t="shared" si="32"/>
        <v>0</v>
      </c>
      <c r="KP21" s="19" t="str">
        <f t="shared" si="33"/>
        <v/>
      </c>
      <c r="KQ21" s="11" t="str">
        <f t="shared" si="34"/>
        <v>1. Neutral</v>
      </c>
      <c r="KR21" s="11" t="str">
        <f t="shared" si="35"/>
        <v>2. Accommodating</v>
      </c>
      <c r="KS21" s="11" t="str">
        <f t="shared" si="36"/>
        <v>4. Transformative</v>
      </c>
      <c r="KT21" s="11" t="str">
        <f t="shared" si="37"/>
        <v>It tested new ways for fighting poverty, but did not measure results of innovation</v>
      </c>
      <c r="KU21" s="11" t="str">
        <f t="shared" si="38"/>
        <v>Moderate advocacy</v>
      </c>
      <c r="KV21" s="11" t="str">
        <f t="shared" si="39"/>
        <v>It linked and worked with strategic alliances and partners to take tested and effective solutions to scale</v>
      </c>
      <c r="KW21" s="11" t="str">
        <f t="shared" si="40"/>
        <v>Bangladesh - BANGLADESH NEEDS ASSESSMENT SUPPORT PROJECT – CONSULTATION Phase</v>
      </c>
      <c r="KX21" s="11" t="str">
        <f t="shared" si="41"/>
        <v>BANGLADESH NEEDS ASSESSMENT SUPPORT PROJECT – CONSULTATION Phase</v>
      </c>
      <c r="KY21" s="11" t="str">
        <f t="shared" si="42"/>
        <v>Bangladesh</v>
      </c>
      <c r="KZ21" s="12">
        <v>21</v>
      </c>
    </row>
    <row r="22" spans="1:312" x14ac:dyDescent="0.3">
      <c r="A22" s="11" t="s">
        <v>652</v>
      </c>
      <c r="B22" s="11" t="s">
        <v>306</v>
      </c>
      <c r="C22" s="11">
        <v>2752</v>
      </c>
      <c r="D22" s="11" t="s">
        <v>1009</v>
      </c>
      <c r="E22" s="24" t="str">
        <f t="shared" si="0"/>
        <v>Bangladesh</v>
      </c>
      <c r="F22" s="11" t="s">
        <v>1010</v>
      </c>
      <c r="G22" s="11" t="s">
        <v>379</v>
      </c>
      <c r="H22" s="11" t="s">
        <v>383</v>
      </c>
      <c r="I22" s="11" t="s">
        <v>384</v>
      </c>
      <c r="J22" s="278" t="s">
        <v>1011</v>
      </c>
      <c r="K22" s="11" t="s">
        <v>1010</v>
      </c>
      <c r="L22" s="11" t="s">
        <v>379</v>
      </c>
      <c r="M22" s="11" t="s">
        <v>554</v>
      </c>
      <c r="N22" s="11" t="s">
        <v>384</v>
      </c>
      <c r="O22" s="11" t="s">
        <v>1012</v>
      </c>
      <c r="BD22" s="23">
        <v>41642</v>
      </c>
      <c r="BE22" s="23">
        <v>43039</v>
      </c>
      <c r="BG22" s="11" t="s">
        <v>312</v>
      </c>
      <c r="BH22" s="22">
        <v>1380359</v>
      </c>
      <c r="BI22" s="11" t="s">
        <v>769</v>
      </c>
      <c r="BJ22" s="11" t="s">
        <v>1013</v>
      </c>
      <c r="BK22" s="11" t="s">
        <v>771</v>
      </c>
      <c r="BL22" s="11" t="s">
        <v>1014</v>
      </c>
      <c r="BM22" s="11" t="s">
        <v>1015</v>
      </c>
      <c r="BN22" s="11" t="s">
        <v>1016</v>
      </c>
      <c r="BO22" s="11" t="s">
        <v>320</v>
      </c>
      <c r="BP22" s="11" t="s">
        <v>320</v>
      </c>
      <c r="BQ22" s="11" t="s">
        <v>320</v>
      </c>
      <c r="BR22" s="11" t="s">
        <v>1017</v>
      </c>
      <c r="BS22" s="11" t="s">
        <v>357</v>
      </c>
      <c r="BT22" s="11" t="s">
        <v>1018</v>
      </c>
      <c r="BU22" s="11" t="s">
        <v>1019</v>
      </c>
      <c r="BV22" s="22">
        <v>1100</v>
      </c>
      <c r="BW22" s="22">
        <v>900</v>
      </c>
      <c r="BX22" s="22">
        <v>2000</v>
      </c>
      <c r="BY22" s="22">
        <v>3000</v>
      </c>
      <c r="BZ22" s="22">
        <v>3000</v>
      </c>
      <c r="CA22" s="22">
        <v>6000</v>
      </c>
      <c r="CB22" s="15" t="s">
        <v>1020</v>
      </c>
      <c r="CD22" s="22">
        <v>10</v>
      </c>
      <c r="CF22" s="22">
        <v>10</v>
      </c>
      <c r="CG22" s="22">
        <v>166</v>
      </c>
      <c r="CH22" s="22">
        <v>164</v>
      </c>
      <c r="CI22" s="22">
        <v>330</v>
      </c>
      <c r="CJ22" s="11" t="s">
        <v>319</v>
      </c>
      <c r="CL22" s="18"/>
      <c r="CN22" s="12" t="s">
        <v>319</v>
      </c>
      <c r="CP22" s="18"/>
      <c r="CR22" s="11" t="s">
        <v>319</v>
      </c>
      <c r="CT22" s="18"/>
      <c r="CV22" s="11" t="s">
        <v>319</v>
      </c>
      <c r="CX22" s="18"/>
      <c r="CZ22" s="11" t="s">
        <v>319</v>
      </c>
      <c r="DB22" s="18"/>
      <c r="DD22" s="12" t="s">
        <v>319</v>
      </c>
      <c r="DF22" s="18"/>
      <c r="DH22" s="11" t="s">
        <v>319</v>
      </c>
      <c r="DJ22" s="18"/>
      <c r="DL22" s="11" t="s">
        <v>320</v>
      </c>
      <c r="DM22" s="22">
        <v>10</v>
      </c>
      <c r="DN22" s="18">
        <v>1</v>
      </c>
      <c r="DO22" s="22">
        <v>27</v>
      </c>
      <c r="DP22" s="11" t="s">
        <v>319</v>
      </c>
      <c r="DR22" s="18"/>
      <c r="DT22" s="11" t="s">
        <v>319</v>
      </c>
      <c r="DV22" s="18"/>
      <c r="DX22" s="11" t="s">
        <v>319</v>
      </c>
      <c r="DZ22" s="18"/>
      <c r="EB22" s="11" t="s">
        <v>319</v>
      </c>
      <c r="ED22" s="18"/>
      <c r="EF22" s="15" t="s">
        <v>1021</v>
      </c>
      <c r="EG22" s="12" t="s">
        <v>320</v>
      </c>
      <c r="EI22" s="18"/>
      <c r="EJ22" s="22">
        <v>330</v>
      </c>
      <c r="EK22" s="22">
        <v>1269</v>
      </c>
      <c r="EL22" s="22">
        <v>927</v>
      </c>
      <c r="EM22" s="22">
        <v>2196</v>
      </c>
      <c r="EN22" s="22">
        <v>7600</v>
      </c>
      <c r="EO22" s="22">
        <v>6475</v>
      </c>
      <c r="EP22" s="22">
        <v>14075</v>
      </c>
      <c r="EQ22" s="12" t="s">
        <v>319</v>
      </c>
      <c r="ES22" s="18"/>
      <c r="EU22" s="11" t="s">
        <v>320</v>
      </c>
      <c r="EV22" s="22">
        <v>1030</v>
      </c>
      <c r="EW22" s="18">
        <v>0.72470000000000001</v>
      </c>
      <c r="EX22" s="22">
        <v>5512</v>
      </c>
      <c r="EY22" s="12" t="s">
        <v>319</v>
      </c>
      <c r="FA22" s="18"/>
      <c r="FC22" s="12" t="s">
        <v>320</v>
      </c>
      <c r="FD22" s="22">
        <v>1439</v>
      </c>
      <c r="FE22" s="18">
        <v>0.53</v>
      </c>
      <c r="FF22" s="22">
        <v>12669</v>
      </c>
      <c r="FG22" s="12" t="s">
        <v>319</v>
      </c>
      <c r="FI22" s="18"/>
      <c r="FK22" s="11" t="s">
        <v>319</v>
      </c>
      <c r="FM22" s="18"/>
      <c r="FO22" s="11" t="s">
        <v>319</v>
      </c>
      <c r="FQ22" s="18"/>
      <c r="FS22" s="12" t="s">
        <v>320</v>
      </c>
      <c r="FT22" s="22">
        <v>823</v>
      </c>
      <c r="FU22" s="18">
        <v>0.76</v>
      </c>
      <c r="FV22" s="22">
        <v>7903</v>
      </c>
      <c r="FW22" s="11" t="s">
        <v>320</v>
      </c>
      <c r="FX22" s="22">
        <v>1672</v>
      </c>
      <c r="FY22" s="18">
        <v>0.65</v>
      </c>
      <c r="FZ22" s="22">
        <v>14075</v>
      </c>
      <c r="GA22" s="11" t="s">
        <v>319</v>
      </c>
      <c r="GC22" s="18"/>
      <c r="GE22" s="12" t="s">
        <v>320</v>
      </c>
      <c r="GF22" s="22">
        <v>65</v>
      </c>
      <c r="GG22" s="18">
        <v>0.51</v>
      </c>
      <c r="GH22" s="22">
        <v>14075</v>
      </c>
      <c r="GI22" s="11" t="s">
        <v>319</v>
      </c>
      <c r="GK22" s="18"/>
      <c r="GM22" s="11" t="s">
        <v>320</v>
      </c>
      <c r="GN22" s="22">
        <v>1575</v>
      </c>
      <c r="GO22" s="18">
        <v>0.25</v>
      </c>
      <c r="GP22" s="22">
        <v>3888</v>
      </c>
      <c r="GQ22" s="11" t="s">
        <v>319</v>
      </c>
      <c r="GS22" s="18"/>
      <c r="GU22" s="12" t="s">
        <v>320</v>
      </c>
      <c r="GV22" s="22">
        <v>1131</v>
      </c>
      <c r="GW22" s="18">
        <v>0.61</v>
      </c>
      <c r="GX22" s="22">
        <v>13389</v>
      </c>
      <c r="GY22" s="11" t="s">
        <v>320</v>
      </c>
      <c r="GZ22" s="22">
        <v>300</v>
      </c>
      <c r="HA22" s="18">
        <v>1</v>
      </c>
      <c r="HB22" s="22">
        <v>985</v>
      </c>
      <c r="HF22" s="18"/>
      <c r="HH22" s="11" t="s">
        <v>319</v>
      </c>
      <c r="HK22" s="11" t="s">
        <v>319</v>
      </c>
      <c r="HL22" s="11" t="s">
        <v>320</v>
      </c>
      <c r="HM22" s="11" t="s">
        <v>327</v>
      </c>
      <c r="HN22" s="11">
        <v>2017</v>
      </c>
      <c r="HO22" s="11" t="s">
        <v>1022</v>
      </c>
      <c r="HP22" s="11" t="s">
        <v>330</v>
      </c>
      <c r="HQ22" s="11" t="s">
        <v>319</v>
      </c>
      <c r="HR22" s="11" t="s">
        <v>319</v>
      </c>
      <c r="HS22" s="11" t="s">
        <v>320</v>
      </c>
      <c r="HT22" s="11" t="s">
        <v>320</v>
      </c>
      <c r="HU22" s="11" t="s">
        <v>319</v>
      </c>
      <c r="HV22" s="11" t="s">
        <v>319</v>
      </c>
      <c r="HW22" s="11" t="s">
        <v>320</v>
      </c>
      <c r="HZ22" s="11" t="s">
        <v>394</v>
      </c>
      <c r="IA22" s="11" t="s">
        <v>1023</v>
      </c>
      <c r="IB22" s="11" t="s">
        <v>396</v>
      </c>
      <c r="IC22" s="11" t="s">
        <v>1024</v>
      </c>
      <c r="ID22" s="11" t="s">
        <v>334</v>
      </c>
      <c r="IE22" s="11" t="s">
        <v>478</v>
      </c>
      <c r="IF22" s="11" t="s">
        <v>320</v>
      </c>
      <c r="IG22" s="11" t="s">
        <v>320</v>
      </c>
      <c r="IH22" s="11" t="s">
        <v>320</v>
      </c>
      <c r="II22" s="11" t="s">
        <v>320</v>
      </c>
      <c r="IJ22" s="12" t="str">
        <f t="shared" si="1"/>
        <v>4. Transformative</v>
      </c>
      <c r="IK22" s="12">
        <f t="shared" si="2"/>
        <v>4</v>
      </c>
      <c r="IL22" s="11" t="s">
        <v>336</v>
      </c>
      <c r="IM22" s="11" t="s">
        <v>320</v>
      </c>
      <c r="IN22" s="11" t="s">
        <v>320</v>
      </c>
      <c r="IO22" s="11" t="s">
        <v>320</v>
      </c>
      <c r="IP22" s="11" t="s">
        <v>320</v>
      </c>
      <c r="IQ22" s="12" t="str">
        <f t="shared" si="3"/>
        <v>2. Accommodating</v>
      </c>
      <c r="IR22" s="12">
        <f t="shared" si="4"/>
        <v>4</v>
      </c>
      <c r="IS22" s="11" t="s">
        <v>622</v>
      </c>
      <c r="IT22" s="11" t="s">
        <v>320</v>
      </c>
      <c r="IU22" s="11" t="s">
        <v>320</v>
      </c>
      <c r="IV22" s="11" t="s">
        <v>320</v>
      </c>
      <c r="IW22" s="11" t="str">
        <f t="shared" si="5"/>
        <v>4. Transformative</v>
      </c>
      <c r="IX22" s="12">
        <f t="shared" si="6"/>
        <v>3</v>
      </c>
      <c r="IY22" s="11" t="s">
        <v>419</v>
      </c>
      <c r="IZ22" s="11" t="s">
        <v>457</v>
      </c>
      <c r="JA22" s="11">
        <v>5</v>
      </c>
      <c r="JB22" s="11" t="s">
        <v>433</v>
      </c>
      <c r="JC22" s="12" t="s">
        <v>651</v>
      </c>
      <c r="JD22" s="11" t="s">
        <v>384</v>
      </c>
      <c r="JE22" s="11" t="s">
        <v>365</v>
      </c>
      <c r="JF22" s="11" t="s">
        <v>1025</v>
      </c>
      <c r="JH22" s="11" t="s">
        <v>1026</v>
      </c>
      <c r="JI22" s="11" t="s">
        <v>1027</v>
      </c>
      <c r="JJ22" s="11" t="s">
        <v>1028</v>
      </c>
      <c r="JK22" s="11" t="s">
        <v>1029</v>
      </c>
      <c r="JL22" s="11" t="s">
        <v>1030</v>
      </c>
      <c r="JM22" s="11" t="s">
        <v>1031</v>
      </c>
      <c r="JP22" s="15">
        <f t="shared" si="7"/>
        <v>2196</v>
      </c>
      <c r="JQ22" s="15">
        <f t="shared" si="8"/>
        <v>14075</v>
      </c>
      <c r="JR22" s="279">
        <f t="shared" si="9"/>
        <v>6.4093806921675771</v>
      </c>
      <c r="JS22" s="17">
        <f t="shared" si="10"/>
        <v>0.57786885245901642</v>
      </c>
      <c r="JT22" s="18">
        <f t="shared" si="11"/>
        <v>0.53996447602131437</v>
      </c>
      <c r="JU22" s="280">
        <f t="shared" si="12"/>
        <v>1269</v>
      </c>
      <c r="JV22" s="280">
        <f t="shared" si="13"/>
        <v>7600</v>
      </c>
      <c r="JW22" s="319">
        <f t="shared" si="14"/>
        <v>1</v>
      </c>
      <c r="JX22" s="15">
        <f t="shared" si="15"/>
        <v>10</v>
      </c>
      <c r="JY22" s="15">
        <f t="shared" si="16"/>
        <v>330</v>
      </c>
      <c r="JZ22" s="19">
        <f t="shared" si="17"/>
        <v>33</v>
      </c>
      <c r="KA22" s="52">
        <f t="shared" si="18"/>
        <v>1</v>
      </c>
      <c r="KB22" s="15">
        <f t="shared" si="19"/>
        <v>1439</v>
      </c>
      <c r="KC22" s="15">
        <f t="shared" si="20"/>
        <v>13389</v>
      </c>
      <c r="KD22" s="20">
        <f t="shared" si="21"/>
        <v>9.3043780403057674</v>
      </c>
      <c r="KE22" s="52" t="str">
        <f t="shared" si="22"/>
        <v/>
      </c>
      <c r="KF22" s="15">
        <f t="shared" si="23"/>
        <v>0</v>
      </c>
      <c r="KG22" s="15">
        <f t="shared" si="24"/>
        <v>0</v>
      </c>
      <c r="KH22" s="21" t="str">
        <f t="shared" si="25"/>
        <v/>
      </c>
      <c r="KI22" s="52">
        <f t="shared" si="26"/>
        <v>1</v>
      </c>
      <c r="KJ22" s="15">
        <f t="shared" si="27"/>
        <v>823</v>
      </c>
      <c r="KK22" s="15">
        <f t="shared" si="28"/>
        <v>7903</v>
      </c>
      <c r="KL22" s="19">
        <f t="shared" si="29"/>
        <v>9.6026731470230864</v>
      </c>
      <c r="KM22" s="52">
        <f t="shared" si="30"/>
        <v>1</v>
      </c>
      <c r="KN22" s="22">
        <f t="shared" si="31"/>
        <v>300</v>
      </c>
      <c r="KO22" s="22">
        <f t="shared" si="32"/>
        <v>985</v>
      </c>
      <c r="KP22" s="19">
        <f t="shared" si="33"/>
        <v>3.2833333333333332</v>
      </c>
      <c r="KQ22" s="11" t="str">
        <f t="shared" si="34"/>
        <v>4. Transformative</v>
      </c>
      <c r="KR22" s="11" t="str">
        <f t="shared" si="35"/>
        <v>2. Accommodating</v>
      </c>
      <c r="KS22" s="11" t="str">
        <f t="shared" si="36"/>
        <v>4. Transformative</v>
      </c>
      <c r="KT22" s="11" t="str">
        <f t="shared" si="37"/>
        <v>It tested new ways for fighting poverty, but did not measure results of innovation</v>
      </c>
      <c r="KU22" s="11" t="str">
        <f t="shared" si="38"/>
        <v>Moderate advocacy</v>
      </c>
      <c r="KV22" s="11" t="str">
        <f t="shared" si="39"/>
        <v>It linked and worked with strategic alliances and partners to take tested and effective solutions to scale</v>
      </c>
      <c r="KW22" s="11" t="str">
        <f t="shared" si="40"/>
        <v>Bangladesh - Building Resilience of the Urban Poor (BRUP) project</v>
      </c>
      <c r="KX22" s="11" t="str">
        <f t="shared" si="41"/>
        <v>Building Resilience of the Urban Poor (BRUP) project</v>
      </c>
      <c r="KY22" s="11" t="str">
        <f t="shared" si="42"/>
        <v>Bangladesh</v>
      </c>
      <c r="KZ22" s="12">
        <v>22</v>
      </c>
    </row>
    <row r="23" spans="1:312" x14ac:dyDescent="0.3">
      <c r="A23" s="11" t="s">
        <v>652</v>
      </c>
      <c r="B23" s="11" t="s">
        <v>306</v>
      </c>
      <c r="D23" s="11" t="s">
        <v>840</v>
      </c>
      <c r="E23" s="24" t="str">
        <f t="shared" si="0"/>
        <v>Bangladesh</v>
      </c>
      <c r="F23" s="11" t="s">
        <v>841</v>
      </c>
      <c r="G23" s="11" t="s">
        <v>488</v>
      </c>
      <c r="H23" s="11" t="s">
        <v>310</v>
      </c>
      <c r="I23" s="11" t="s">
        <v>506</v>
      </c>
      <c r="J23" s="278" t="s">
        <v>9230</v>
      </c>
      <c r="BD23" s="23">
        <v>42705</v>
      </c>
      <c r="BE23" s="23">
        <v>43070</v>
      </c>
      <c r="BG23" s="11" t="s">
        <v>312</v>
      </c>
      <c r="BH23" s="22">
        <v>74539.406846197293</v>
      </c>
      <c r="BI23" s="11" t="s">
        <v>842</v>
      </c>
      <c r="BJ23" s="11" t="s">
        <v>843</v>
      </c>
      <c r="BK23" s="11" t="s">
        <v>844</v>
      </c>
      <c r="BL23" s="11" t="s">
        <v>845</v>
      </c>
      <c r="BM23" s="11" t="s">
        <v>846</v>
      </c>
      <c r="BN23" s="11" t="s">
        <v>847</v>
      </c>
      <c r="BO23" s="11" t="s">
        <v>320</v>
      </c>
      <c r="BP23" s="11" t="s">
        <v>320</v>
      </c>
      <c r="BQ23" s="12" t="s">
        <v>320</v>
      </c>
      <c r="BR23" s="11" t="s">
        <v>848</v>
      </c>
      <c r="BS23" s="11" t="s">
        <v>849</v>
      </c>
      <c r="BT23" s="11" t="s">
        <v>850</v>
      </c>
      <c r="BU23" s="11" t="s">
        <v>851</v>
      </c>
      <c r="BV23" s="22">
        <v>0</v>
      </c>
      <c r="BW23" s="22">
        <v>0</v>
      </c>
      <c r="BX23" s="22">
        <v>0</v>
      </c>
      <c r="BY23" s="22">
        <v>0</v>
      </c>
      <c r="BZ23" s="22">
        <v>0</v>
      </c>
      <c r="CA23" s="22">
        <v>0</v>
      </c>
      <c r="CB23" s="15" t="s">
        <v>852</v>
      </c>
      <c r="CL23" s="18"/>
      <c r="CP23" s="18"/>
      <c r="CT23" s="18"/>
      <c r="CX23" s="18"/>
      <c r="DB23" s="18"/>
      <c r="DF23" s="18"/>
      <c r="DJ23" s="18"/>
      <c r="DN23" s="18"/>
      <c r="DR23" s="18"/>
      <c r="DV23" s="18"/>
      <c r="DZ23" s="18"/>
      <c r="ED23" s="18"/>
      <c r="EI23" s="18"/>
      <c r="EK23" s="22">
        <v>0</v>
      </c>
      <c r="EL23" s="22">
        <v>0</v>
      </c>
      <c r="EM23" s="22">
        <v>0</v>
      </c>
      <c r="EN23" s="22">
        <v>0</v>
      </c>
      <c r="EO23" s="22">
        <v>0</v>
      </c>
      <c r="EP23" s="22">
        <v>0</v>
      </c>
      <c r="EQ23" s="12" t="s">
        <v>319</v>
      </c>
      <c r="ES23" s="18"/>
      <c r="EU23" s="11" t="s">
        <v>319</v>
      </c>
      <c r="EW23" s="18"/>
      <c r="EY23" s="12" t="s">
        <v>319</v>
      </c>
      <c r="FA23" s="18"/>
      <c r="FC23" s="12" t="s">
        <v>319</v>
      </c>
      <c r="FE23" s="18"/>
      <c r="FG23" s="12" t="s">
        <v>319</v>
      </c>
      <c r="FI23" s="18"/>
      <c r="FK23" s="11" t="s">
        <v>319</v>
      </c>
      <c r="FM23" s="18"/>
      <c r="FO23" s="11" t="s">
        <v>319</v>
      </c>
      <c r="FQ23" s="18"/>
      <c r="FS23" s="11" t="s">
        <v>319</v>
      </c>
      <c r="FU23" s="18"/>
      <c r="FW23" s="11" t="s">
        <v>319</v>
      </c>
      <c r="FY23" s="18"/>
      <c r="GA23" s="11" t="s">
        <v>319</v>
      </c>
      <c r="GC23" s="18"/>
      <c r="GE23" s="11" t="s">
        <v>319</v>
      </c>
      <c r="GG23" s="18"/>
      <c r="GI23" s="11" t="s">
        <v>319</v>
      </c>
      <c r="GK23" s="18"/>
      <c r="GM23" s="11" t="s">
        <v>319</v>
      </c>
      <c r="GO23" s="18"/>
      <c r="GQ23" s="11" t="s">
        <v>319</v>
      </c>
      <c r="GS23" s="18"/>
      <c r="GU23" s="11" t="s">
        <v>319</v>
      </c>
      <c r="GW23" s="18"/>
      <c r="GY23" s="11" t="s">
        <v>319</v>
      </c>
      <c r="HA23" s="18"/>
      <c r="HF23" s="18"/>
      <c r="HH23" s="11" t="s">
        <v>319</v>
      </c>
      <c r="HK23" s="11" t="s">
        <v>319</v>
      </c>
      <c r="HL23" s="11" t="s">
        <v>319</v>
      </c>
      <c r="HP23" s="11" t="s">
        <v>330</v>
      </c>
      <c r="HQ23" s="11" t="s">
        <v>319</v>
      </c>
      <c r="HR23" s="11" t="s">
        <v>319</v>
      </c>
      <c r="HS23" s="11" t="s">
        <v>320</v>
      </c>
      <c r="HT23" s="11" t="s">
        <v>320</v>
      </c>
      <c r="HU23" s="11" t="s">
        <v>320</v>
      </c>
      <c r="HV23" s="11" t="s">
        <v>320</v>
      </c>
      <c r="HW23" s="11" t="s">
        <v>319</v>
      </c>
      <c r="HX23" s="11" t="s">
        <v>319</v>
      </c>
      <c r="HZ23" s="11" t="s">
        <v>363</v>
      </c>
      <c r="IB23" s="11" t="s">
        <v>333</v>
      </c>
      <c r="IE23" s="11" t="s">
        <v>335</v>
      </c>
      <c r="IF23" s="11" t="s">
        <v>320</v>
      </c>
      <c r="IG23" s="11" t="s">
        <v>320</v>
      </c>
      <c r="IH23" s="11" t="s">
        <v>320</v>
      </c>
      <c r="II23" s="11" t="s">
        <v>319</v>
      </c>
      <c r="IJ23" s="12" t="str">
        <f t="shared" si="1"/>
        <v>1. Neutral</v>
      </c>
      <c r="IK23" s="12">
        <f t="shared" si="2"/>
        <v>3</v>
      </c>
      <c r="IL23" s="11" t="s">
        <v>621</v>
      </c>
      <c r="IM23" s="11" t="s">
        <v>320</v>
      </c>
      <c r="IN23" s="11" t="s">
        <v>320</v>
      </c>
      <c r="IO23" s="11" t="s">
        <v>320</v>
      </c>
      <c r="IP23" s="11" t="s">
        <v>320</v>
      </c>
      <c r="IQ23" s="12" t="str">
        <f t="shared" si="3"/>
        <v>4. Transformational</v>
      </c>
      <c r="IR23" s="12">
        <f t="shared" si="4"/>
        <v>4</v>
      </c>
      <c r="IW23" s="11" t="str">
        <f t="shared" si="5"/>
        <v>No marker score</v>
      </c>
      <c r="IX23" s="12">
        <f t="shared" si="6"/>
        <v>0</v>
      </c>
      <c r="IY23" s="11" t="s">
        <v>338</v>
      </c>
      <c r="IZ23" s="11" t="s">
        <v>339</v>
      </c>
      <c r="JE23" s="11" t="s">
        <v>340</v>
      </c>
      <c r="JG23" s="11" t="s">
        <v>853</v>
      </c>
      <c r="JH23" s="11" t="s">
        <v>854</v>
      </c>
      <c r="JI23" s="11" t="s">
        <v>855</v>
      </c>
      <c r="JJ23" s="11" t="s">
        <v>856</v>
      </c>
      <c r="JP23" s="15">
        <f t="shared" si="7"/>
        <v>0</v>
      </c>
      <c r="JQ23" s="15">
        <f t="shared" si="8"/>
        <v>0</v>
      </c>
      <c r="JR23" s="279" t="str">
        <f t="shared" si="9"/>
        <v/>
      </c>
      <c r="JS23" s="17" t="str">
        <f t="shared" si="10"/>
        <v/>
      </c>
      <c r="JT23" s="18" t="str">
        <f t="shared" si="11"/>
        <v/>
      </c>
      <c r="JU23" s="280">
        <f t="shared" si="12"/>
        <v>0</v>
      </c>
      <c r="JV23" s="280">
        <f t="shared" si="13"/>
        <v>0</v>
      </c>
      <c r="JW23" s="319">
        <f t="shared" si="14"/>
        <v>1</v>
      </c>
      <c r="JX23" s="15">
        <f t="shared" si="15"/>
        <v>0</v>
      </c>
      <c r="JY23" s="15">
        <f t="shared" si="16"/>
        <v>0</v>
      </c>
      <c r="JZ23" s="19" t="str">
        <f t="shared" si="17"/>
        <v/>
      </c>
      <c r="KA23" s="52" t="str">
        <f t="shared" si="18"/>
        <v/>
      </c>
      <c r="KB23" s="15">
        <f t="shared" si="19"/>
        <v>0</v>
      </c>
      <c r="KC23" s="15">
        <f t="shared" si="20"/>
        <v>0</v>
      </c>
      <c r="KD23" s="20" t="str">
        <f t="shared" si="21"/>
        <v/>
      </c>
      <c r="KE23" s="52" t="str">
        <f t="shared" si="22"/>
        <v/>
      </c>
      <c r="KF23" s="15">
        <f t="shared" si="23"/>
        <v>0</v>
      </c>
      <c r="KG23" s="15">
        <f t="shared" si="24"/>
        <v>0</v>
      </c>
      <c r="KH23" s="21" t="str">
        <f t="shared" si="25"/>
        <v/>
      </c>
      <c r="KI23" s="52" t="str">
        <f t="shared" si="26"/>
        <v/>
      </c>
      <c r="KJ23" s="15">
        <f t="shared" si="27"/>
        <v>0</v>
      </c>
      <c r="KK23" s="15">
        <f t="shared" si="28"/>
        <v>0</v>
      </c>
      <c r="KL23" s="19" t="str">
        <f t="shared" si="29"/>
        <v/>
      </c>
      <c r="KM23" s="52" t="str">
        <f t="shared" si="30"/>
        <v/>
      </c>
      <c r="KN23" s="22">
        <f t="shared" si="31"/>
        <v>0</v>
      </c>
      <c r="KO23" s="22">
        <f t="shared" si="32"/>
        <v>0</v>
      </c>
      <c r="KP23" s="19" t="str">
        <f t="shared" si="33"/>
        <v/>
      </c>
      <c r="KQ23" s="11" t="str">
        <f t="shared" si="34"/>
        <v>1. Neutral</v>
      </c>
      <c r="KR23" s="11" t="str">
        <f t="shared" si="35"/>
        <v>4. Transformational</v>
      </c>
      <c r="KS23" s="11" t="str">
        <f t="shared" si="36"/>
        <v>No marker score</v>
      </c>
      <c r="KT23" s="11" t="str">
        <f t="shared" si="37"/>
        <v>It did not develop any specific innovation</v>
      </c>
      <c r="KU23" s="11" t="str">
        <f t="shared" si="38"/>
        <v>Moderate advocacy</v>
      </c>
      <c r="KV23" s="11" t="str">
        <f t="shared" si="39"/>
        <v>It did not take tested solutions to scale</v>
      </c>
      <c r="KW23" s="11" t="str">
        <f t="shared" si="40"/>
        <v>Bangladesh - Capturing the Effects of Inclusive Governance</v>
      </c>
      <c r="KX23" s="11" t="str">
        <f t="shared" si="41"/>
        <v>Capturing the Effects of Inclusive Governance</v>
      </c>
      <c r="KY23" s="11" t="str">
        <f t="shared" si="42"/>
        <v>Bangladesh</v>
      </c>
      <c r="KZ23" s="12">
        <v>23</v>
      </c>
    </row>
    <row r="24" spans="1:312" x14ac:dyDescent="0.3">
      <c r="A24" s="11" t="s">
        <v>652</v>
      </c>
      <c r="B24" s="11" t="s">
        <v>306</v>
      </c>
      <c r="C24" s="11">
        <v>2756</v>
      </c>
      <c r="D24" s="11" t="s">
        <v>857</v>
      </c>
      <c r="E24" s="24" t="str">
        <f t="shared" si="0"/>
        <v>Bangladesh</v>
      </c>
      <c r="F24" s="11" t="s">
        <v>858</v>
      </c>
      <c r="G24" s="11" t="s">
        <v>488</v>
      </c>
      <c r="H24" s="11" t="s">
        <v>489</v>
      </c>
      <c r="I24" s="11" t="s">
        <v>384</v>
      </c>
      <c r="J24" s="278" t="s">
        <v>2248</v>
      </c>
      <c r="BD24" s="23">
        <v>41244</v>
      </c>
      <c r="BE24" s="23">
        <v>43434</v>
      </c>
      <c r="BG24" s="23" t="s">
        <v>490</v>
      </c>
      <c r="BH24" s="22">
        <v>7259437</v>
      </c>
      <c r="BI24" s="11" t="s">
        <v>656</v>
      </c>
      <c r="BJ24" s="11" t="s">
        <v>859</v>
      </c>
      <c r="BK24" s="11" t="s">
        <v>860</v>
      </c>
      <c r="BL24" s="11" t="s">
        <v>861</v>
      </c>
      <c r="BM24" s="11" t="s">
        <v>862</v>
      </c>
      <c r="BN24" s="11" t="s">
        <v>863</v>
      </c>
      <c r="BO24" s="11" t="s">
        <v>319</v>
      </c>
      <c r="BP24" s="11" t="s">
        <v>320</v>
      </c>
      <c r="BQ24" s="11" t="s">
        <v>319</v>
      </c>
      <c r="BR24" s="11" t="s">
        <v>864</v>
      </c>
      <c r="BS24" s="11" t="s">
        <v>357</v>
      </c>
      <c r="BT24" s="11" t="s">
        <v>865</v>
      </c>
      <c r="BU24" s="11" t="s">
        <v>866</v>
      </c>
      <c r="BV24" s="22">
        <v>316663</v>
      </c>
      <c r="BW24" s="22">
        <v>88480</v>
      </c>
      <c r="BX24" s="22">
        <v>405143</v>
      </c>
      <c r="BY24" s="22">
        <v>578311</v>
      </c>
      <c r="BZ24" s="22">
        <v>343024</v>
      </c>
      <c r="CA24" s="22">
        <v>921335</v>
      </c>
      <c r="CB24" s="15" t="s">
        <v>867</v>
      </c>
      <c r="CL24" s="18"/>
      <c r="CP24" s="18"/>
      <c r="CT24" s="18"/>
      <c r="CX24" s="18"/>
      <c r="DB24" s="18"/>
      <c r="DF24" s="18"/>
      <c r="DJ24" s="18"/>
      <c r="DN24" s="18"/>
      <c r="DR24" s="18"/>
      <c r="DV24" s="18"/>
      <c r="DZ24" s="18"/>
      <c r="ED24" s="18"/>
      <c r="EI24" s="18"/>
      <c r="EK24" s="22">
        <v>120361</v>
      </c>
      <c r="EL24" s="22">
        <v>39844</v>
      </c>
      <c r="EM24" s="22">
        <v>160205</v>
      </c>
      <c r="EN24" s="22">
        <v>669182</v>
      </c>
      <c r="EO24" s="22">
        <v>446121</v>
      </c>
      <c r="EP24" s="22">
        <v>1115303</v>
      </c>
      <c r="EQ24" s="12" t="s">
        <v>319</v>
      </c>
      <c r="ES24" s="18"/>
      <c r="EU24" s="11" t="s">
        <v>319</v>
      </c>
      <c r="EW24" s="18"/>
      <c r="EY24" s="12" t="s">
        <v>319</v>
      </c>
      <c r="FA24" s="18"/>
      <c r="FC24" s="12" t="s">
        <v>319</v>
      </c>
      <c r="FE24" s="18"/>
      <c r="FG24" s="12" t="s">
        <v>319</v>
      </c>
      <c r="FI24" s="18"/>
      <c r="FK24" s="11" t="s">
        <v>319</v>
      </c>
      <c r="FM24" s="18"/>
      <c r="FO24" s="11" t="s">
        <v>319</v>
      </c>
      <c r="FQ24" s="18"/>
      <c r="FS24" s="12" t="s">
        <v>320</v>
      </c>
      <c r="FT24" s="22">
        <v>8978</v>
      </c>
      <c r="FU24" s="18">
        <v>0.41</v>
      </c>
      <c r="FV24" s="22">
        <v>26934</v>
      </c>
      <c r="FW24" s="11" t="s">
        <v>320</v>
      </c>
      <c r="FX24" s="22">
        <v>16754</v>
      </c>
      <c r="FY24" s="18">
        <v>0.22</v>
      </c>
      <c r="FZ24" s="22">
        <v>50272</v>
      </c>
      <c r="GA24" s="11" t="s">
        <v>320</v>
      </c>
      <c r="GB24" s="22">
        <v>41113</v>
      </c>
      <c r="GC24" s="18">
        <v>0.5</v>
      </c>
      <c r="GD24" s="22">
        <v>82226</v>
      </c>
      <c r="GE24" s="11" t="s">
        <v>319</v>
      </c>
      <c r="GG24" s="18"/>
      <c r="GI24" s="11" t="s">
        <v>319</v>
      </c>
      <c r="GK24" s="18"/>
      <c r="GM24" s="11" t="s">
        <v>320</v>
      </c>
      <c r="GN24" s="22">
        <v>9550</v>
      </c>
      <c r="GO24" s="18">
        <v>0.33</v>
      </c>
      <c r="GP24" s="22">
        <v>28650</v>
      </c>
      <c r="GQ24" s="12" t="s">
        <v>320</v>
      </c>
      <c r="GR24" s="22">
        <v>160204</v>
      </c>
      <c r="GS24" s="18">
        <v>7.0000000000000007E-2</v>
      </c>
      <c r="GT24" s="22">
        <v>1115303</v>
      </c>
      <c r="GU24" s="11" t="s">
        <v>319</v>
      </c>
      <c r="GW24" s="18"/>
      <c r="GY24" s="11" t="s">
        <v>320</v>
      </c>
      <c r="GZ24" s="22">
        <v>300</v>
      </c>
      <c r="HA24" s="18">
        <v>1</v>
      </c>
      <c r="HB24" s="22">
        <v>900</v>
      </c>
      <c r="HF24" s="18"/>
      <c r="HH24" s="11" t="s">
        <v>319</v>
      </c>
      <c r="HK24" s="11" t="s">
        <v>319</v>
      </c>
      <c r="HL24" s="11" t="s">
        <v>319</v>
      </c>
      <c r="HP24" s="11" t="s">
        <v>330</v>
      </c>
      <c r="HQ24" s="11" t="s">
        <v>319</v>
      </c>
      <c r="HR24" s="11" t="s">
        <v>319</v>
      </c>
      <c r="HS24" s="11" t="s">
        <v>320</v>
      </c>
      <c r="HT24" s="11" t="s">
        <v>320</v>
      </c>
      <c r="HU24" s="11" t="s">
        <v>320</v>
      </c>
      <c r="HV24" s="11" t="s">
        <v>320</v>
      </c>
      <c r="HW24" s="11" t="s">
        <v>319</v>
      </c>
      <c r="HX24" s="11" t="s">
        <v>319</v>
      </c>
      <c r="HZ24" s="11" t="s">
        <v>394</v>
      </c>
      <c r="IA24" s="11" t="s">
        <v>868</v>
      </c>
      <c r="IB24" s="11" t="s">
        <v>396</v>
      </c>
      <c r="IC24" s="11" t="s">
        <v>869</v>
      </c>
      <c r="ID24" s="11" t="s">
        <v>334</v>
      </c>
      <c r="IE24" s="11" t="s">
        <v>478</v>
      </c>
      <c r="IF24" s="11" t="s">
        <v>320</v>
      </c>
      <c r="IG24" s="11" t="s">
        <v>320</v>
      </c>
      <c r="IH24" s="11" t="s">
        <v>320</v>
      </c>
      <c r="II24" s="11" t="s">
        <v>320</v>
      </c>
      <c r="IJ24" s="12" t="str">
        <f t="shared" si="1"/>
        <v>4. Transformative</v>
      </c>
      <c r="IK24" s="12">
        <f t="shared" si="2"/>
        <v>4</v>
      </c>
      <c r="IL24" s="11" t="s">
        <v>621</v>
      </c>
      <c r="IM24" s="11" t="s">
        <v>320</v>
      </c>
      <c r="IN24" s="11" t="s">
        <v>320</v>
      </c>
      <c r="IO24" s="11" t="s">
        <v>320</v>
      </c>
      <c r="IP24" s="11" t="s">
        <v>320</v>
      </c>
      <c r="IQ24" s="12" t="str">
        <f t="shared" si="3"/>
        <v>4. Transformational</v>
      </c>
      <c r="IR24" s="12">
        <f t="shared" si="4"/>
        <v>4</v>
      </c>
      <c r="IS24" s="11" t="s">
        <v>337</v>
      </c>
      <c r="IT24" s="11" t="s">
        <v>320</v>
      </c>
      <c r="IU24" s="11" t="s">
        <v>320</v>
      </c>
      <c r="IV24" s="11" t="s">
        <v>320</v>
      </c>
      <c r="IW24" s="11" t="str">
        <f t="shared" si="5"/>
        <v>2. Sensitive</v>
      </c>
      <c r="IX24" s="12">
        <f t="shared" si="6"/>
        <v>3</v>
      </c>
      <c r="IY24" s="11" t="s">
        <v>338</v>
      </c>
      <c r="IZ24" s="11" t="s">
        <v>527</v>
      </c>
      <c r="JA24" s="11">
        <v>4</v>
      </c>
      <c r="JB24" s="11" t="s">
        <v>623</v>
      </c>
      <c r="JC24" s="11" t="s">
        <v>585</v>
      </c>
      <c r="JD24" s="11" t="s">
        <v>687</v>
      </c>
      <c r="JE24" s="11" t="s">
        <v>365</v>
      </c>
      <c r="JG24" s="11" t="s">
        <v>870</v>
      </c>
      <c r="JH24" s="11" t="s">
        <v>871</v>
      </c>
      <c r="JI24" s="11" t="s">
        <v>872</v>
      </c>
      <c r="JJ24" s="11" t="s">
        <v>873</v>
      </c>
      <c r="JK24" s="11" t="s">
        <v>874</v>
      </c>
      <c r="JL24" s="11" t="s">
        <v>875</v>
      </c>
      <c r="JM24" s="11" t="s">
        <v>876</v>
      </c>
      <c r="JO24" s="11" t="s">
        <v>877</v>
      </c>
      <c r="JP24" s="15">
        <f t="shared" si="7"/>
        <v>160205</v>
      </c>
      <c r="JQ24" s="15">
        <f t="shared" si="8"/>
        <v>1115303</v>
      </c>
      <c r="JR24" s="279">
        <f t="shared" si="9"/>
        <v>6.961724041072376</v>
      </c>
      <c r="JS24" s="17">
        <f t="shared" si="10"/>
        <v>0.7512936550045255</v>
      </c>
      <c r="JT24" s="18">
        <f t="shared" si="11"/>
        <v>0.60000017932346639</v>
      </c>
      <c r="JU24" s="280">
        <f t="shared" si="12"/>
        <v>120361</v>
      </c>
      <c r="JV24" s="280">
        <f t="shared" si="13"/>
        <v>669182</v>
      </c>
      <c r="JW24" s="319" t="str">
        <f t="shared" si="14"/>
        <v/>
      </c>
      <c r="JX24" s="15">
        <f t="shared" si="15"/>
        <v>0</v>
      </c>
      <c r="JY24" s="15">
        <f t="shared" si="16"/>
        <v>0</v>
      </c>
      <c r="JZ24" s="19" t="str">
        <f t="shared" si="17"/>
        <v/>
      </c>
      <c r="KA24" s="52" t="str">
        <f t="shared" si="18"/>
        <v/>
      </c>
      <c r="KB24" s="15">
        <f t="shared" si="19"/>
        <v>0</v>
      </c>
      <c r="KC24" s="15">
        <f t="shared" si="20"/>
        <v>0</v>
      </c>
      <c r="KD24" s="20" t="str">
        <f t="shared" si="21"/>
        <v/>
      </c>
      <c r="KE24" s="52">
        <f t="shared" si="22"/>
        <v>1</v>
      </c>
      <c r="KF24" s="15">
        <f t="shared" si="23"/>
        <v>160204</v>
      </c>
      <c r="KG24" s="15">
        <f t="shared" si="24"/>
        <v>1115303</v>
      </c>
      <c r="KH24" s="21">
        <f t="shared" si="25"/>
        <v>6.961767496442036</v>
      </c>
      <c r="KI24" s="52">
        <f t="shared" si="26"/>
        <v>1</v>
      </c>
      <c r="KJ24" s="15">
        <f t="shared" si="27"/>
        <v>8978</v>
      </c>
      <c r="KK24" s="15">
        <f t="shared" si="28"/>
        <v>26934</v>
      </c>
      <c r="KL24" s="19">
        <f t="shared" si="29"/>
        <v>3</v>
      </c>
      <c r="KM24" s="52">
        <f t="shared" si="30"/>
        <v>1</v>
      </c>
      <c r="KN24" s="22">
        <f t="shared" si="31"/>
        <v>300</v>
      </c>
      <c r="KO24" s="22">
        <f t="shared" si="32"/>
        <v>900</v>
      </c>
      <c r="KP24" s="19">
        <f t="shared" si="33"/>
        <v>3</v>
      </c>
      <c r="KQ24" s="11" t="str">
        <f t="shared" si="34"/>
        <v>4. Transformative</v>
      </c>
      <c r="KR24" s="11" t="str">
        <f t="shared" si="35"/>
        <v>4. Transformational</v>
      </c>
      <c r="KS24" s="11" t="str">
        <f t="shared" si="36"/>
        <v>2. Sensitive</v>
      </c>
      <c r="KT24" s="11" t="str">
        <f t="shared" si="37"/>
        <v>It tested new ways for fighting poverty, but did not measure results of innovation</v>
      </c>
      <c r="KU24" s="11" t="str">
        <f t="shared" si="38"/>
        <v>Moderate advocacy</v>
      </c>
      <c r="KV24" s="11" t="str">
        <f t="shared" si="39"/>
        <v>It linked and worked with strategic alliances and partners to take tested and effective solutions to scale</v>
      </c>
      <c r="KW24" s="11" t="str">
        <f t="shared" si="40"/>
        <v>Bangladesh - CARE - GlaxoSmithKline Community Health Worker Initiaitve</v>
      </c>
      <c r="KX24" s="11" t="str">
        <f t="shared" si="41"/>
        <v>CARE - GlaxoSmithKline Community Health Worker Initiaitve</v>
      </c>
      <c r="KY24" s="11" t="str">
        <f t="shared" si="42"/>
        <v>Bangladesh</v>
      </c>
      <c r="KZ24" s="12">
        <v>24</v>
      </c>
    </row>
    <row r="25" spans="1:312" x14ac:dyDescent="0.3">
      <c r="A25" s="11" t="s">
        <v>652</v>
      </c>
      <c r="B25" s="11" t="s">
        <v>306</v>
      </c>
      <c r="C25" s="11">
        <v>2755</v>
      </c>
      <c r="D25" s="11" t="s">
        <v>878</v>
      </c>
      <c r="E25" s="24" t="str">
        <f t="shared" si="0"/>
        <v>Bangladesh</v>
      </c>
      <c r="F25" s="11" t="s">
        <v>879</v>
      </c>
      <c r="G25" s="11" t="s">
        <v>488</v>
      </c>
      <c r="H25" s="11" t="s">
        <v>489</v>
      </c>
      <c r="I25" s="11" t="s">
        <v>384</v>
      </c>
      <c r="J25" s="278" t="s">
        <v>2248</v>
      </c>
      <c r="BD25" s="23">
        <v>42278</v>
      </c>
      <c r="BE25" s="23">
        <v>43373</v>
      </c>
      <c r="BG25" s="11" t="s">
        <v>490</v>
      </c>
      <c r="BH25" s="22">
        <v>650095</v>
      </c>
      <c r="BI25" s="11" t="s">
        <v>679</v>
      </c>
      <c r="BJ25" s="11" t="s">
        <v>680</v>
      </c>
      <c r="BK25" s="11" t="s">
        <v>681</v>
      </c>
      <c r="BL25" s="11" t="s">
        <v>656</v>
      </c>
      <c r="BM25" s="11" t="s">
        <v>682</v>
      </c>
      <c r="BN25" s="11" t="s">
        <v>658</v>
      </c>
      <c r="BO25" s="11" t="s">
        <v>319</v>
      </c>
      <c r="BP25" s="11" t="s">
        <v>320</v>
      </c>
      <c r="BQ25" s="11" t="s">
        <v>319</v>
      </c>
      <c r="BR25" s="11" t="s">
        <v>880</v>
      </c>
      <c r="BS25" s="11" t="s">
        <v>357</v>
      </c>
      <c r="BT25" s="11" t="s">
        <v>881</v>
      </c>
      <c r="BU25" s="11" t="s">
        <v>882</v>
      </c>
      <c r="BV25" s="22">
        <v>30000</v>
      </c>
      <c r="BW25" s="22">
        <v>20000</v>
      </c>
      <c r="BX25" s="22">
        <v>50000</v>
      </c>
      <c r="BY25" s="22">
        <v>70000</v>
      </c>
      <c r="BZ25" s="22">
        <v>30000</v>
      </c>
      <c r="CA25" s="22">
        <v>100000</v>
      </c>
      <c r="CB25" s="15" t="s">
        <v>883</v>
      </c>
      <c r="CL25" s="18"/>
      <c r="CP25" s="18"/>
      <c r="CT25" s="18"/>
      <c r="CX25" s="18"/>
      <c r="DB25" s="18"/>
      <c r="DF25" s="18"/>
      <c r="DJ25" s="18"/>
      <c r="DN25" s="18"/>
      <c r="DR25" s="18"/>
      <c r="DV25" s="18"/>
      <c r="DZ25" s="18"/>
      <c r="ED25" s="18"/>
      <c r="EI25" s="18"/>
      <c r="EK25" s="22">
        <v>24734</v>
      </c>
      <c r="EL25" s="22">
        <v>20000</v>
      </c>
      <c r="EM25" s="22">
        <v>44734</v>
      </c>
      <c r="EN25" s="22">
        <v>40000</v>
      </c>
      <c r="EO25" s="22">
        <v>20000</v>
      </c>
      <c r="EP25" s="22">
        <v>60000</v>
      </c>
      <c r="EQ25" s="12" t="s">
        <v>319</v>
      </c>
      <c r="ES25" s="18"/>
      <c r="EU25" s="11" t="s">
        <v>319</v>
      </c>
      <c r="EW25" s="18"/>
      <c r="EY25" s="12" t="s">
        <v>319</v>
      </c>
      <c r="FA25" s="18"/>
      <c r="FC25" s="12" t="s">
        <v>319</v>
      </c>
      <c r="FE25" s="18"/>
      <c r="FG25" s="12" t="s">
        <v>320</v>
      </c>
      <c r="FH25" s="22">
        <v>44734</v>
      </c>
      <c r="FI25" s="18">
        <v>0.55000000000000004</v>
      </c>
      <c r="FJ25" s="22">
        <v>60000</v>
      </c>
      <c r="FK25" s="11" t="s">
        <v>319</v>
      </c>
      <c r="FM25" s="18"/>
      <c r="FO25" s="11" t="s">
        <v>319</v>
      </c>
      <c r="FQ25" s="18"/>
      <c r="FS25" s="12" t="s">
        <v>320</v>
      </c>
      <c r="FT25" s="22">
        <v>44734</v>
      </c>
      <c r="FU25" s="18">
        <v>0.55000000000000004</v>
      </c>
      <c r="FV25" s="22">
        <v>60000</v>
      </c>
      <c r="FW25" s="11" t="s">
        <v>319</v>
      </c>
      <c r="FY25" s="18"/>
      <c r="GA25" s="11" t="s">
        <v>319</v>
      </c>
      <c r="GC25" s="18"/>
      <c r="GE25" s="11" t="s">
        <v>319</v>
      </c>
      <c r="GG25" s="18"/>
      <c r="GI25" s="11" t="s">
        <v>319</v>
      </c>
      <c r="GK25" s="18"/>
      <c r="GM25" s="11" t="s">
        <v>319</v>
      </c>
      <c r="GO25" s="18"/>
      <c r="GQ25" s="12" t="s">
        <v>320</v>
      </c>
      <c r="GR25" s="22">
        <v>44734</v>
      </c>
      <c r="GS25" s="18">
        <v>0.55000000000000004</v>
      </c>
      <c r="GT25" s="22">
        <v>60000</v>
      </c>
      <c r="GU25" s="11" t="s">
        <v>319</v>
      </c>
      <c r="GW25" s="18"/>
      <c r="GY25" s="11" t="s">
        <v>319</v>
      </c>
      <c r="HA25" s="18"/>
      <c r="HD25" s="11" t="s">
        <v>319</v>
      </c>
      <c r="HF25" s="18"/>
      <c r="HH25" s="11" t="s">
        <v>319</v>
      </c>
      <c r="HK25" s="11" t="s">
        <v>319</v>
      </c>
      <c r="HL25" s="11" t="s">
        <v>319</v>
      </c>
      <c r="HP25" s="11" t="s">
        <v>418</v>
      </c>
      <c r="HQ25" s="11" t="s">
        <v>319</v>
      </c>
      <c r="HR25" s="11" t="s">
        <v>319</v>
      </c>
      <c r="HS25" s="11" t="s">
        <v>319</v>
      </c>
      <c r="HT25" s="11" t="s">
        <v>319</v>
      </c>
      <c r="HU25" s="11" t="s">
        <v>319</v>
      </c>
      <c r="HV25" s="11" t="s">
        <v>319</v>
      </c>
      <c r="HW25" s="11" t="s">
        <v>319</v>
      </c>
      <c r="HX25" s="11" t="s">
        <v>319</v>
      </c>
      <c r="HZ25" s="11" t="s">
        <v>331</v>
      </c>
      <c r="IB25" s="11" t="s">
        <v>396</v>
      </c>
      <c r="ID25" s="11" t="s">
        <v>334</v>
      </c>
      <c r="IE25" s="11" t="s">
        <v>335</v>
      </c>
      <c r="IF25" s="11" t="s">
        <v>320</v>
      </c>
      <c r="IG25" s="11" t="s">
        <v>320</v>
      </c>
      <c r="IH25" s="11" t="s">
        <v>320</v>
      </c>
      <c r="II25" s="11" t="s">
        <v>320</v>
      </c>
      <c r="IJ25" s="12" t="str">
        <f t="shared" si="1"/>
        <v>2. Sensitive</v>
      </c>
      <c r="IK25" s="12">
        <f t="shared" si="2"/>
        <v>4</v>
      </c>
      <c r="IL25" s="11" t="s">
        <v>336</v>
      </c>
      <c r="IM25" s="11" t="s">
        <v>320</v>
      </c>
      <c r="IN25" s="11" t="s">
        <v>320</v>
      </c>
      <c r="IO25" s="11" t="s">
        <v>320</v>
      </c>
      <c r="IP25" s="11" t="s">
        <v>320</v>
      </c>
      <c r="IQ25" s="12" t="str">
        <f t="shared" si="3"/>
        <v>2. Accommodating</v>
      </c>
      <c r="IR25" s="12">
        <f t="shared" si="4"/>
        <v>4</v>
      </c>
      <c r="IS25" s="11" t="s">
        <v>337</v>
      </c>
      <c r="IT25" s="11" t="s">
        <v>320</v>
      </c>
      <c r="IU25" s="11" t="s">
        <v>320</v>
      </c>
      <c r="IV25" s="11" t="s">
        <v>320</v>
      </c>
      <c r="IW25" s="11" t="str">
        <f t="shared" si="5"/>
        <v>2. Sensitive</v>
      </c>
      <c r="IX25" s="12">
        <f t="shared" si="6"/>
        <v>3</v>
      </c>
      <c r="IY25" s="11" t="s">
        <v>419</v>
      </c>
      <c r="IZ25" s="11" t="s">
        <v>339</v>
      </c>
      <c r="JE25" s="11" t="s">
        <v>420</v>
      </c>
      <c r="JH25" s="11" t="s">
        <v>884</v>
      </c>
      <c r="JI25" s="11" t="s">
        <v>885</v>
      </c>
      <c r="JJ25" s="11" t="s">
        <v>886</v>
      </c>
      <c r="JK25" s="11" t="s">
        <v>887</v>
      </c>
      <c r="JL25" s="11" t="s">
        <v>888</v>
      </c>
      <c r="JM25" s="11" t="s">
        <v>889</v>
      </c>
      <c r="JO25" s="11" t="s">
        <v>890</v>
      </c>
      <c r="JP25" s="15">
        <f t="shared" si="7"/>
        <v>44734</v>
      </c>
      <c r="JQ25" s="15">
        <f t="shared" si="8"/>
        <v>60000</v>
      </c>
      <c r="JR25" s="279">
        <f t="shared" si="9"/>
        <v>1.341261680153798</v>
      </c>
      <c r="JS25" s="17">
        <f t="shared" si="10"/>
        <v>0.55291277328206734</v>
      </c>
      <c r="JT25" s="18">
        <f t="shared" si="11"/>
        <v>0.66666666666666663</v>
      </c>
      <c r="JU25" s="280">
        <f t="shared" si="12"/>
        <v>24734</v>
      </c>
      <c r="JV25" s="280">
        <f t="shared" si="13"/>
        <v>40000</v>
      </c>
      <c r="JW25" s="319" t="str">
        <f t="shared" si="14"/>
        <v/>
      </c>
      <c r="JX25" s="15">
        <f t="shared" si="15"/>
        <v>0</v>
      </c>
      <c r="JY25" s="15">
        <f t="shared" si="16"/>
        <v>0</v>
      </c>
      <c r="JZ25" s="19" t="str">
        <f t="shared" si="17"/>
        <v/>
      </c>
      <c r="KA25" s="52">
        <f t="shared" si="18"/>
        <v>1</v>
      </c>
      <c r="KB25" s="15">
        <f t="shared" si="19"/>
        <v>44734</v>
      </c>
      <c r="KC25" s="15">
        <f t="shared" si="20"/>
        <v>60000</v>
      </c>
      <c r="KD25" s="20">
        <f t="shared" si="21"/>
        <v>1.341261680153798</v>
      </c>
      <c r="KE25" s="52">
        <f t="shared" si="22"/>
        <v>1</v>
      </c>
      <c r="KF25" s="15">
        <f t="shared" si="23"/>
        <v>44734</v>
      </c>
      <c r="KG25" s="15">
        <f t="shared" si="24"/>
        <v>60000</v>
      </c>
      <c r="KH25" s="21">
        <f t="shared" si="25"/>
        <v>1.341261680153798</v>
      </c>
      <c r="KI25" s="52">
        <f t="shared" si="26"/>
        <v>1</v>
      </c>
      <c r="KJ25" s="15">
        <f t="shared" si="27"/>
        <v>44734</v>
      </c>
      <c r="KK25" s="15">
        <f t="shared" si="28"/>
        <v>60000</v>
      </c>
      <c r="KL25" s="19">
        <f t="shared" si="29"/>
        <v>1.341261680153798</v>
      </c>
      <c r="KM25" s="52">
        <f t="shared" si="30"/>
        <v>1</v>
      </c>
      <c r="KN25" s="22">
        <f t="shared" si="31"/>
        <v>24603.7</v>
      </c>
      <c r="KO25" s="22">
        <f t="shared" si="32"/>
        <v>33000</v>
      </c>
      <c r="KP25" s="19">
        <f t="shared" si="33"/>
        <v>1.341261680153798</v>
      </c>
      <c r="KQ25" s="11" t="str">
        <f t="shared" si="34"/>
        <v>2. Sensitive</v>
      </c>
      <c r="KR25" s="11" t="str">
        <f t="shared" si="35"/>
        <v>2. Accommodating</v>
      </c>
      <c r="KS25" s="11" t="str">
        <f t="shared" si="36"/>
        <v>2. Sensitive</v>
      </c>
      <c r="KT25" s="11" t="str">
        <f t="shared" si="37"/>
        <v>It tested new ways for fighting poverty and measured results of innovation</v>
      </c>
      <c r="KU25" s="11" t="str">
        <f t="shared" si="38"/>
        <v>Little or no advocacy</v>
      </c>
      <c r="KV25" s="11" t="str">
        <f t="shared" si="39"/>
        <v>It linked and worked with strategic alliances and partners to take tested and effective solutions to scale</v>
      </c>
      <c r="KW25" s="11" t="str">
        <f t="shared" si="40"/>
        <v>Bangladesh - CARE-GSK RMG Workers Health Initiative</v>
      </c>
      <c r="KX25" s="11" t="str">
        <f t="shared" si="41"/>
        <v>CARE-GSK RMG Workers Health Initiative</v>
      </c>
      <c r="KY25" s="11" t="str">
        <f t="shared" si="42"/>
        <v>Bangladesh</v>
      </c>
      <c r="KZ25" s="12">
        <v>25</v>
      </c>
    </row>
    <row r="26" spans="1:312" x14ac:dyDescent="0.3">
      <c r="A26" s="11" t="s">
        <v>652</v>
      </c>
      <c r="B26" s="11" t="s">
        <v>306</v>
      </c>
      <c r="D26" s="11" t="s">
        <v>1032</v>
      </c>
      <c r="E26" s="24" t="str">
        <f t="shared" si="0"/>
        <v>Bangladesh</v>
      </c>
      <c r="F26" s="11" t="s">
        <v>1033</v>
      </c>
      <c r="G26" s="11" t="s">
        <v>379</v>
      </c>
      <c r="H26" s="11" t="s">
        <v>380</v>
      </c>
      <c r="I26" s="11" t="s">
        <v>384</v>
      </c>
      <c r="J26" s="278" t="s">
        <v>14569</v>
      </c>
      <c r="BD26" s="23">
        <v>42644</v>
      </c>
      <c r="BE26" s="23">
        <v>43465</v>
      </c>
      <c r="BG26" s="11" t="s">
        <v>490</v>
      </c>
      <c r="BH26" s="22">
        <v>1772681.42</v>
      </c>
      <c r="BI26" s="11" t="s">
        <v>1034</v>
      </c>
      <c r="BJ26" s="11" t="s">
        <v>751</v>
      </c>
      <c r="BK26" s="11" t="s">
        <v>1035</v>
      </c>
      <c r="BO26" s="11" t="s">
        <v>319</v>
      </c>
      <c r="BP26" s="11" t="s">
        <v>320</v>
      </c>
      <c r="BQ26" s="11" t="s">
        <v>319</v>
      </c>
      <c r="BR26" s="11" t="s">
        <v>1036</v>
      </c>
      <c r="BS26" s="11" t="s">
        <v>357</v>
      </c>
      <c r="BT26" s="11" t="s">
        <v>1037</v>
      </c>
      <c r="BU26" s="11" t="s">
        <v>1038</v>
      </c>
      <c r="BV26" s="22">
        <v>891127</v>
      </c>
      <c r="BW26" s="22">
        <v>166773</v>
      </c>
      <c r="BX26" s="22">
        <v>1057900</v>
      </c>
      <c r="BY26" s="22">
        <v>243000</v>
      </c>
      <c r="BZ26" s="22">
        <v>1013645</v>
      </c>
      <c r="CA26" s="22">
        <v>1256645</v>
      </c>
      <c r="CB26" s="15" t="s">
        <v>1039</v>
      </c>
      <c r="CL26" s="18"/>
      <c r="CP26" s="18"/>
      <c r="CT26" s="18"/>
      <c r="CX26" s="18"/>
      <c r="DB26" s="18"/>
      <c r="DF26" s="18"/>
      <c r="DJ26" s="18"/>
      <c r="DN26" s="18"/>
      <c r="DR26" s="18"/>
      <c r="DV26" s="18"/>
      <c r="DZ26" s="18"/>
      <c r="ED26" s="18"/>
      <c r="EI26" s="18"/>
      <c r="EK26" s="22">
        <v>120166</v>
      </c>
      <c r="EL26" s="22">
        <v>89739</v>
      </c>
      <c r="EM26" s="22">
        <v>209905</v>
      </c>
      <c r="EN26" s="22">
        <v>25612</v>
      </c>
      <c r="EO26" s="22">
        <v>26657</v>
      </c>
      <c r="EP26" s="22">
        <v>52269</v>
      </c>
      <c r="EQ26" s="12" t="s">
        <v>319</v>
      </c>
      <c r="ES26" s="18"/>
      <c r="EU26" s="11" t="s">
        <v>319</v>
      </c>
      <c r="EW26" s="18"/>
      <c r="EY26" s="12" t="s">
        <v>319</v>
      </c>
      <c r="FA26" s="18"/>
      <c r="FC26" s="12" t="s">
        <v>319</v>
      </c>
      <c r="FE26" s="18"/>
      <c r="FG26" s="12" t="s">
        <v>319</v>
      </c>
      <c r="FI26" s="18"/>
      <c r="FK26" s="11" t="s">
        <v>319</v>
      </c>
      <c r="FM26" s="18"/>
      <c r="FO26" s="11" t="s">
        <v>319</v>
      </c>
      <c r="FQ26" s="18"/>
      <c r="FS26" s="11" t="s">
        <v>319</v>
      </c>
      <c r="FU26" s="18"/>
      <c r="FW26" s="11" t="s">
        <v>319</v>
      </c>
      <c r="FY26" s="18"/>
      <c r="GA26" s="11" t="s">
        <v>320</v>
      </c>
      <c r="GB26" s="22">
        <v>209905</v>
      </c>
      <c r="GC26" s="18">
        <v>0.57240000000000002</v>
      </c>
      <c r="GD26" s="22">
        <v>52269</v>
      </c>
      <c r="GE26" s="11" t="s">
        <v>319</v>
      </c>
      <c r="GG26" s="18"/>
      <c r="GI26" s="11" t="s">
        <v>319</v>
      </c>
      <c r="GK26" s="18"/>
      <c r="GM26" s="11" t="s">
        <v>319</v>
      </c>
      <c r="GO26" s="18"/>
      <c r="GQ26" s="12" t="s">
        <v>320</v>
      </c>
      <c r="GR26" s="22">
        <v>209905</v>
      </c>
      <c r="GS26" s="18">
        <v>0.57240000000000002</v>
      </c>
      <c r="GT26" s="22">
        <v>52269</v>
      </c>
      <c r="GU26" s="11" t="s">
        <v>319</v>
      </c>
      <c r="GW26" s="18"/>
      <c r="GY26" s="11" t="s">
        <v>319</v>
      </c>
      <c r="HA26" s="18"/>
      <c r="HF26" s="18"/>
      <c r="HH26" s="11" t="s">
        <v>319</v>
      </c>
      <c r="HK26" s="11" t="s">
        <v>319</v>
      </c>
      <c r="HL26" s="11" t="s">
        <v>319</v>
      </c>
      <c r="HP26" s="11" t="s">
        <v>330</v>
      </c>
      <c r="HQ26" s="11" t="s">
        <v>319</v>
      </c>
      <c r="HR26" s="11" t="s">
        <v>319</v>
      </c>
      <c r="HS26" s="11" t="s">
        <v>320</v>
      </c>
      <c r="HT26" s="11" t="s">
        <v>320</v>
      </c>
      <c r="HU26" s="11" t="s">
        <v>320</v>
      </c>
      <c r="HV26" s="11" t="s">
        <v>320</v>
      </c>
      <c r="HW26" s="11" t="s">
        <v>320</v>
      </c>
      <c r="HX26" s="11" t="s">
        <v>319</v>
      </c>
      <c r="HZ26" s="11" t="s">
        <v>394</v>
      </c>
      <c r="IA26" s="11" t="s">
        <v>1040</v>
      </c>
      <c r="IB26" s="11" t="s">
        <v>396</v>
      </c>
      <c r="IC26" s="11" t="s">
        <v>1041</v>
      </c>
      <c r="ID26" s="11" t="s">
        <v>334</v>
      </c>
      <c r="IE26" s="11" t="s">
        <v>335</v>
      </c>
      <c r="IF26" s="11" t="s">
        <v>320</v>
      </c>
      <c r="IG26" s="11" t="s">
        <v>320</v>
      </c>
      <c r="IH26" s="11" t="s">
        <v>320</v>
      </c>
      <c r="II26" s="11" t="s">
        <v>320</v>
      </c>
      <c r="IJ26" s="12" t="str">
        <f t="shared" si="1"/>
        <v>2. Sensitive</v>
      </c>
      <c r="IK26" s="12">
        <f t="shared" si="2"/>
        <v>4</v>
      </c>
      <c r="IL26" s="11" t="s">
        <v>336</v>
      </c>
      <c r="IM26" s="11" t="s">
        <v>320</v>
      </c>
      <c r="IN26" s="11" t="s">
        <v>320</v>
      </c>
      <c r="IO26" s="11" t="s">
        <v>320</v>
      </c>
      <c r="IP26" s="11" t="s">
        <v>320</v>
      </c>
      <c r="IQ26" s="12" t="str">
        <f t="shared" si="3"/>
        <v>2. Accommodating</v>
      </c>
      <c r="IR26" s="12">
        <f t="shared" si="4"/>
        <v>4</v>
      </c>
      <c r="IS26" s="11" t="s">
        <v>337</v>
      </c>
      <c r="IT26" s="11" t="s">
        <v>320</v>
      </c>
      <c r="IU26" s="11" t="s">
        <v>320</v>
      </c>
      <c r="IV26" s="11" t="s">
        <v>320</v>
      </c>
      <c r="IW26" s="11" t="str">
        <f t="shared" si="5"/>
        <v>2. Sensitive</v>
      </c>
      <c r="IX26" s="12">
        <f t="shared" si="6"/>
        <v>3</v>
      </c>
      <c r="IY26" s="11" t="s">
        <v>338</v>
      </c>
      <c r="IZ26" s="11" t="s">
        <v>339</v>
      </c>
      <c r="JE26" s="11" t="s">
        <v>420</v>
      </c>
      <c r="JH26" s="11" t="s">
        <v>1042</v>
      </c>
      <c r="JI26" s="11" t="s">
        <v>1043</v>
      </c>
      <c r="JJ26" s="11" t="s">
        <v>1044</v>
      </c>
      <c r="JK26" s="11" t="s">
        <v>1045</v>
      </c>
      <c r="JL26" s="11" t="s">
        <v>1046</v>
      </c>
      <c r="JM26" s="11" t="s">
        <v>1047</v>
      </c>
      <c r="JO26" s="11" t="s">
        <v>1048</v>
      </c>
      <c r="JP26" s="15">
        <f t="shared" si="7"/>
        <v>209905</v>
      </c>
      <c r="JQ26" s="15">
        <f t="shared" si="8"/>
        <v>52269</v>
      </c>
      <c r="JR26" s="279">
        <f t="shared" si="9"/>
        <v>0.24901264857911912</v>
      </c>
      <c r="JS26" s="17">
        <f t="shared" si="10"/>
        <v>0.57247802577356421</v>
      </c>
      <c r="JT26" s="18">
        <f t="shared" si="11"/>
        <v>0.490003635041803</v>
      </c>
      <c r="JU26" s="280">
        <f t="shared" si="12"/>
        <v>120166</v>
      </c>
      <c r="JV26" s="280">
        <f t="shared" si="13"/>
        <v>25612</v>
      </c>
      <c r="JW26" s="319" t="str">
        <f t="shared" si="14"/>
        <v/>
      </c>
      <c r="JX26" s="15">
        <f t="shared" si="15"/>
        <v>0</v>
      </c>
      <c r="JY26" s="15">
        <f t="shared" si="16"/>
        <v>0</v>
      </c>
      <c r="JZ26" s="19" t="str">
        <f t="shared" si="17"/>
        <v/>
      </c>
      <c r="KA26" s="52" t="str">
        <f t="shared" si="18"/>
        <v/>
      </c>
      <c r="KB26" s="15">
        <f t="shared" si="19"/>
        <v>0</v>
      </c>
      <c r="KC26" s="15">
        <f t="shared" si="20"/>
        <v>0</v>
      </c>
      <c r="KD26" s="20" t="str">
        <f t="shared" si="21"/>
        <v/>
      </c>
      <c r="KE26" s="52">
        <f t="shared" si="22"/>
        <v>1</v>
      </c>
      <c r="KF26" s="15">
        <f t="shared" si="23"/>
        <v>209905</v>
      </c>
      <c r="KG26" s="15">
        <f t="shared" si="24"/>
        <v>52269</v>
      </c>
      <c r="KH26" s="21">
        <f t="shared" si="25"/>
        <v>0.24901264857911912</v>
      </c>
      <c r="KI26" s="52" t="str">
        <f t="shared" si="26"/>
        <v/>
      </c>
      <c r="KJ26" s="15">
        <f t="shared" si="27"/>
        <v>0</v>
      </c>
      <c r="KK26" s="15">
        <f t="shared" si="28"/>
        <v>0</v>
      </c>
      <c r="KL26" s="19" t="str">
        <f t="shared" si="29"/>
        <v/>
      </c>
      <c r="KM26" s="52" t="str">
        <f t="shared" si="30"/>
        <v/>
      </c>
      <c r="KN26" s="22">
        <f t="shared" si="31"/>
        <v>0</v>
      </c>
      <c r="KO26" s="22">
        <f t="shared" si="32"/>
        <v>0</v>
      </c>
      <c r="KP26" s="19" t="str">
        <f t="shared" si="33"/>
        <v/>
      </c>
      <c r="KQ26" s="11" t="str">
        <f t="shared" si="34"/>
        <v>2. Sensitive</v>
      </c>
      <c r="KR26" s="11" t="str">
        <f t="shared" si="35"/>
        <v>2. Accommodating</v>
      </c>
      <c r="KS26" s="11" t="str">
        <f t="shared" si="36"/>
        <v>2. Sensitive</v>
      </c>
      <c r="KT26" s="11" t="str">
        <f t="shared" si="37"/>
        <v>It tested new ways for fighting poverty, but did not measure results of innovation</v>
      </c>
      <c r="KU26" s="11" t="str">
        <f t="shared" si="38"/>
        <v>Moderate advocacy</v>
      </c>
      <c r="KV26" s="11" t="str">
        <f t="shared" si="39"/>
        <v>It linked and worked with strategic alliances and partners to take tested and effective solutions to scale</v>
      </c>
      <c r="KW26" s="11" t="str">
        <f t="shared" si="40"/>
        <v>Bangladesh - Community based Interventions to Improve Effective Coverage of Maternal, New-born and Child Health services (IECMNCH)</v>
      </c>
      <c r="KX26" s="11" t="str">
        <f t="shared" si="41"/>
        <v>Community based Interventions to Improve Effective Coverage of Maternal, New-born and Child Health services (IECMNCH)</v>
      </c>
      <c r="KY26" s="11" t="str">
        <f t="shared" si="42"/>
        <v>Bangladesh</v>
      </c>
      <c r="KZ26" s="12">
        <v>26</v>
      </c>
    </row>
    <row r="27" spans="1:312" x14ac:dyDescent="0.3">
      <c r="A27" s="12" t="s">
        <v>652</v>
      </c>
      <c r="B27" s="12" t="s">
        <v>306</v>
      </c>
      <c r="C27" s="12"/>
      <c r="D27" s="12" t="s">
        <v>891</v>
      </c>
      <c r="E27" s="24" t="str">
        <f t="shared" si="0"/>
        <v>Bangladesh</v>
      </c>
      <c r="F27" s="12" t="s">
        <v>892</v>
      </c>
      <c r="G27" s="12" t="s">
        <v>488</v>
      </c>
      <c r="H27" s="12" t="s">
        <v>380</v>
      </c>
      <c r="I27" s="12" t="s">
        <v>384</v>
      </c>
      <c r="J27" s="281" t="s">
        <v>14570</v>
      </c>
      <c r="K27" s="12"/>
      <c r="L27" s="12"/>
      <c r="M27" s="12"/>
      <c r="N27" s="12"/>
      <c r="O27" s="12"/>
      <c r="P27" s="12"/>
      <c r="Q27" s="12"/>
      <c r="R27" s="12"/>
      <c r="S27" s="12"/>
      <c r="T27" s="12"/>
      <c r="U27" s="12"/>
      <c r="V27" s="12"/>
      <c r="W27" s="12"/>
      <c r="X27" s="12"/>
      <c r="Y27" s="12"/>
      <c r="Z27" s="12"/>
      <c r="AA27" s="12"/>
      <c r="AB27" s="12"/>
      <c r="AC27" s="12"/>
      <c r="AD27" s="12"/>
      <c r="BD27" s="13">
        <v>42587</v>
      </c>
      <c r="BE27" s="13">
        <v>42632</v>
      </c>
      <c r="BF27" s="12"/>
      <c r="BG27" s="12" t="s">
        <v>817</v>
      </c>
      <c r="BH27" s="14">
        <v>70737</v>
      </c>
      <c r="BI27" s="12" t="s">
        <v>893</v>
      </c>
      <c r="BJ27" s="12" t="s">
        <v>821</v>
      </c>
      <c r="BK27" s="12" t="s">
        <v>822</v>
      </c>
      <c r="BL27" s="12" t="s">
        <v>699</v>
      </c>
      <c r="BM27" s="12" t="s">
        <v>819</v>
      </c>
      <c r="BN27" s="12" t="s">
        <v>701</v>
      </c>
      <c r="BO27" s="12" t="s">
        <v>320</v>
      </c>
      <c r="BP27" s="12" t="s">
        <v>319</v>
      </c>
      <c r="BQ27" s="12" t="s">
        <v>319</v>
      </c>
      <c r="BR27" s="12" t="s">
        <v>894</v>
      </c>
      <c r="BS27" s="12" t="s">
        <v>357</v>
      </c>
      <c r="BT27" s="12" t="s">
        <v>895</v>
      </c>
      <c r="BU27" s="12" t="s">
        <v>896</v>
      </c>
      <c r="BV27" s="14">
        <v>6155</v>
      </c>
      <c r="BW27" s="14">
        <v>6345</v>
      </c>
      <c r="BX27" s="14">
        <v>12500</v>
      </c>
      <c r="BY27" s="14"/>
      <c r="BZ27" s="14">
        <v>0</v>
      </c>
      <c r="CA27" s="14">
        <v>0</v>
      </c>
      <c r="CB27" s="12" t="s">
        <v>897</v>
      </c>
      <c r="CD27" s="14">
        <v>6155</v>
      </c>
      <c r="CE27" s="14">
        <v>6345</v>
      </c>
      <c r="CF27" s="14">
        <v>12500</v>
      </c>
      <c r="CG27" s="14"/>
      <c r="CH27" s="14"/>
      <c r="CI27" s="14"/>
      <c r="CJ27" s="11" t="s">
        <v>319</v>
      </c>
      <c r="CK27" s="14"/>
      <c r="CL27" s="16"/>
      <c r="CM27" s="14"/>
      <c r="CN27" s="12" t="s">
        <v>319</v>
      </c>
      <c r="CO27" s="14"/>
      <c r="CP27" s="16"/>
      <c r="CQ27" s="14"/>
      <c r="CR27" s="12" t="s">
        <v>319</v>
      </c>
      <c r="CS27" s="14"/>
      <c r="CT27" s="16"/>
      <c r="CU27" s="14"/>
      <c r="CV27" s="12" t="s">
        <v>320</v>
      </c>
      <c r="CW27" s="14">
        <v>12500</v>
      </c>
      <c r="CX27" s="16">
        <v>0.49</v>
      </c>
      <c r="CY27" s="14">
        <v>0</v>
      </c>
      <c r="CZ27" s="12" t="s">
        <v>319</v>
      </c>
      <c r="DA27" s="14"/>
      <c r="DB27" s="16"/>
      <c r="DC27" s="14"/>
      <c r="DD27" s="12" t="s">
        <v>319</v>
      </c>
      <c r="DE27" s="14"/>
      <c r="DF27" s="16"/>
      <c r="DG27" s="14"/>
      <c r="DH27" s="12" t="s">
        <v>319</v>
      </c>
      <c r="DI27" s="14"/>
      <c r="DJ27" s="16"/>
      <c r="DK27" s="14"/>
      <c r="DL27" s="12" t="s">
        <v>319</v>
      </c>
      <c r="DM27" s="14"/>
      <c r="DN27" s="16"/>
      <c r="DO27" s="14"/>
      <c r="DP27" s="12" t="s">
        <v>319</v>
      </c>
      <c r="DQ27" s="14"/>
      <c r="DR27" s="16"/>
      <c r="DS27" s="14"/>
      <c r="DT27" s="12" t="s">
        <v>319</v>
      </c>
      <c r="DU27" s="14"/>
      <c r="DV27" s="16"/>
      <c r="DW27" s="14"/>
      <c r="DX27" s="12" t="s">
        <v>320</v>
      </c>
      <c r="DY27" s="14">
        <v>12500</v>
      </c>
      <c r="DZ27" s="16">
        <v>0.49</v>
      </c>
      <c r="EA27" s="14">
        <v>0</v>
      </c>
      <c r="EB27" s="12" t="s">
        <v>319</v>
      </c>
      <c r="EC27" s="14"/>
      <c r="ED27" s="16"/>
      <c r="EE27" s="14"/>
      <c r="EF27" s="12"/>
      <c r="EG27" s="12"/>
      <c r="EH27" s="14"/>
      <c r="EI27" s="16"/>
      <c r="EJ27" s="14"/>
      <c r="EK27" s="14"/>
      <c r="EL27" s="14"/>
      <c r="EM27" s="14"/>
      <c r="EN27" s="14"/>
      <c r="EO27" s="14"/>
      <c r="EP27" s="14"/>
      <c r="EQ27" s="12"/>
      <c r="ER27" s="14"/>
      <c r="ES27" s="16"/>
      <c r="ET27" s="14"/>
      <c r="EU27" s="12"/>
      <c r="EV27" s="14"/>
      <c r="EW27" s="16"/>
      <c r="EX27" s="14"/>
      <c r="EY27" s="12"/>
      <c r="EZ27" s="14"/>
      <c r="FA27" s="16"/>
      <c r="FB27" s="14"/>
      <c r="FC27" s="12"/>
      <c r="FD27" s="14"/>
      <c r="FE27" s="16"/>
      <c r="FF27" s="14"/>
      <c r="FG27" s="12"/>
      <c r="FH27" s="14"/>
      <c r="FI27" s="16"/>
      <c r="FJ27" s="14"/>
      <c r="FK27" s="12"/>
      <c r="FL27" s="14"/>
      <c r="FM27" s="16"/>
      <c r="FN27" s="14"/>
      <c r="FO27" s="12"/>
      <c r="FP27" s="14"/>
      <c r="FQ27" s="16"/>
      <c r="FR27" s="14"/>
      <c r="FS27" s="12"/>
      <c r="FT27" s="14"/>
      <c r="FU27" s="16"/>
      <c r="FV27" s="14"/>
      <c r="FW27" s="12"/>
      <c r="FX27" s="14"/>
      <c r="FY27" s="16"/>
      <c r="FZ27" s="14"/>
      <c r="GA27" s="12"/>
      <c r="GB27" s="14"/>
      <c r="GC27" s="16"/>
      <c r="GD27" s="14"/>
      <c r="GE27" s="12"/>
      <c r="GF27" s="14"/>
      <c r="GG27" s="16"/>
      <c r="GH27" s="14"/>
      <c r="GI27" s="12"/>
      <c r="GJ27" s="14"/>
      <c r="GK27" s="16"/>
      <c r="GL27" s="14"/>
      <c r="GM27" s="12"/>
      <c r="GN27" s="14"/>
      <c r="GO27" s="16"/>
      <c r="GP27" s="14"/>
      <c r="GQ27" s="12"/>
      <c r="GR27" s="14"/>
      <c r="GS27" s="16"/>
      <c r="GT27" s="14"/>
      <c r="GU27" s="12"/>
      <c r="GV27" s="14"/>
      <c r="GW27" s="16"/>
      <c r="GX27" s="14"/>
      <c r="GY27" s="12"/>
      <c r="GZ27" s="14"/>
      <c r="HA27" s="16"/>
      <c r="HB27" s="14"/>
      <c r="HC27" s="12"/>
      <c r="HD27" s="12"/>
      <c r="HE27" s="14"/>
      <c r="HF27" s="16"/>
      <c r="HG27" s="14"/>
      <c r="HH27" s="12" t="s">
        <v>319</v>
      </c>
      <c r="HI27" s="12"/>
      <c r="HJ27" s="12"/>
      <c r="HK27" s="12" t="s">
        <v>320</v>
      </c>
      <c r="HL27" s="12" t="s">
        <v>319</v>
      </c>
      <c r="HM27" s="12"/>
      <c r="HN27" s="12"/>
      <c r="HO27" s="12" t="s">
        <v>898</v>
      </c>
      <c r="HP27" s="12" t="s">
        <v>418</v>
      </c>
      <c r="HQ27" s="12" t="s">
        <v>319</v>
      </c>
      <c r="HR27" s="12" t="s">
        <v>319</v>
      </c>
      <c r="HS27" s="12" t="s">
        <v>319</v>
      </c>
      <c r="HT27" s="12" t="s">
        <v>319</v>
      </c>
      <c r="HU27" s="12" t="s">
        <v>319</v>
      </c>
      <c r="HV27" s="12" t="s">
        <v>319</v>
      </c>
      <c r="HW27" s="12" t="s">
        <v>319</v>
      </c>
      <c r="HX27" s="12" t="s">
        <v>319</v>
      </c>
      <c r="HY27" s="12"/>
      <c r="HZ27" s="12" t="s">
        <v>363</v>
      </c>
      <c r="IA27" s="12"/>
      <c r="IB27" s="12" t="s">
        <v>333</v>
      </c>
      <c r="IC27" s="12"/>
      <c r="ID27" s="12" t="s">
        <v>334</v>
      </c>
      <c r="IE27" s="12" t="s">
        <v>335</v>
      </c>
      <c r="IF27" s="12" t="s">
        <v>320</v>
      </c>
      <c r="IG27" s="12" t="s">
        <v>320</v>
      </c>
      <c r="IH27" s="12" t="s">
        <v>320</v>
      </c>
      <c r="II27" s="12" t="s">
        <v>320</v>
      </c>
      <c r="IJ27" s="12" t="str">
        <f t="shared" si="1"/>
        <v>2. Sensitive</v>
      </c>
      <c r="IK27" s="12">
        <f t="shared" si="2"/>
        <v>4</v>
      </c>
      <c r="IL27" s="12" t="s">
        <v>336</v>
      </c>
      <c r="IM27" s="12" t="s">
        <v>320</v>
      </c>
      <c r="IN27" s="12" t="s">
        <v>320</v>
      </c>
      <c r="IO27" s="12" t="s">
        <v>320</v>
      </c>
      <c r="IP27" s="12" t="s">
        <v>320</v>
      </c>
      <c r="IQ27" s="12" t="str">
        <f t="shared" si="3"/>
        <v>2. Accommodating</v>
      </c>
      <c r="IR27" s="12">
        <f t="shared" si="4"/>
        <v>4</v>
      </c>
      <c r="IS27" s="12" t="s">
        <v>337</v>
      </c>
      <c r="IT27" s="12" t="s">
        <v>320</v>
      </c>
      <c r="IU27" s="12" t="s">
        <v>320</v>
      </c>
      <c r="IV27" s="12" t="s">
        <v>319</v>
      </c>
      <c r="IW27" s="11" t="str">
        <f t="shared" si="5"/>
        <v>1. Neutral</v>
      </c>
      <c r="IX27" s="12">
        <f t="shared" si="6"/>
        <v>2</v>
      </c>
      <c r="IY27" s="12" t="s">
        <v>419</v>
      </c>
      <c r="IZ27" s="12" t="s">
        <v>457</v>
      </c>
      <c r="JA27" s="12">
        <v>3</v>
      </c>
      <c r="JB27" s="12" t="s">
        <v>433</v>
      </c>
      <c r="JC27" s="12" t="s">
        <v>687</v>
      </c>
      <c r="JD27" s="12"/>
      <c r="JE27" s="12" t="s">
        <v>420</v>
      </c>
      <c r="JF27" s="12"/>
      <c r="JG27" s="12"/>
      <c r="JH27" s="12" t="s">
        <v>899</v>
      </c>
      <c r="JI27" s="12" t="s">
        <v>900</v>
      </c>
      <c r="JJ27" s="12"/>
      <c r="JK27" s="12" t="s">
        <v>901</v>
      </c>
      <c r="JL27" s="12" t="s">
        <v>902</v>
      </c>
      <c r="JM27" s="12" t="s">
        <v>903</v>
      </c>
      <c r="JN27" s="12"/>
      <c r="JO27" s="12" t="s">
        <v>904</v>
      </c>
      <c r="JP27" s="15">
        <f t="shared" si="7"/>
        <v>12500</v>
      </c>
      <c r="JQ27" s="15">
        <f t="shared" si="8"/>
        <v>0</v>
      </c>
      <c r="JR27" s="279">
        <f t="shared" si="9"/>
        <v>0</v>
      </c>
      <c r="JS27" s="17">
        <f t="shared" si="10"/>
        <v>0.4924</v>
      </c>
      <c r="JT27" s="18" t="str">
        <f t="shared" si="11"/>
        <v/>
      </c>
      <c r="JU27" s="280">
        <f t="shared" si="12"/>
        <v>6155</v>
      </c>
      <c r="JV27" s="280">
        <f t="shared" si="13"/>
        <v>0</v>
      </c>
      <c r="JW27" s="319">
        <f t="shared" si="14"/>
        <v>1</v>
      </c>
      <c r="JX27" s="15">
        <f t="shared" si="15"/>
        <v>12500</v>
      </c>
      <c r="JY27" s="15">
        <f t="shared" si="16"/>
        <v>0</v>
      </c>
      <c r="JZ27" s="19">
        <f t="shared" si="17"/>
        <v>0</v>
      </c>
      <c r="KA27" s="52">
        <f t="shared" si="18"/>
        <v>1</v>
      </c>
      <c r="KB27" s="15">
        <f t="shared" si="19"/>
        <v>12500</v>
      </c>
      <c r="KC27" s="15">
        <f t="shared" si="20"/>
        <v>0</v>
      </c>
      <c r="KD27" s="20">
        <f t="shared" si="21"/>
        <v>0</v>
      </c>
      <c r="KE27" s="52" t="str">
        <f t="shared" si="22"/>
        <v/>
      </c>
      <c r="KF27" s="15">
        <f t="shared" si="23"/>
        <v>0</v>
      </c>
      <c r="KG27" s="15">
        <f t="shared" si="24"/>
        <v>0</v>
      </c>
      <c r="KH27" s="21" t="str">
        <f t="shared" si="25"/>
        <v/>
      </c>
      <c r="KI27" s="52" t="str">
        <f t="shared" si="26"/>
        <v/>
      </c>
      <c r="KJ27" s="15">
        <f t="shared" si="27"/>
        <v>0</v>
      </c>
      <c r="KK27" s="15">
        <f t="shared" si="28"/>
        <v>0</v>
      </c>
      <c r="KL27" s="19" t="str">
        <f t="shared" si="29"/>
        <v/>
      </c>
      <c r="KM27" s="52" t="str">
        <f t="shared" si="30"/>
        <v/>
      </c>
      <c r="KN27" s="22">
        <f t="shared" si="31"/>
        <v>0</v>
      </c>
      <c r="KO27" s="22">
        <f t="shared" si="32"/>
        <v>0</v>
      </c>
      <c r="KP27" s="19" t="str">
        <f t="shared" si="33"/>
        <v/>
      </c>
      <c r="KQ27" s="11" t="str">
        <f t="shared" si="34"/>
        <v>2. Sensitive</v>
      </c>
      <c r="KR27" s="11" t="str">
        <f t="shared" si="35"/>
        <v>2. Accommodating</v>
      </c>
      <c r="KS27" s="11" t="str">
        <f t="shared" si="36"/>
        <v>1. Neutral</v>
      </c>
      <c r="KT27" s="11" t="str">
        <f t="shared" si="37"/>
        <v>It did not develop any specific innovation</v>
      </c>
      <c r="KU27" s="11" t="str">
        <f t="shared" si="38"/>
        <v>Little or no advocacy</v>
      </c>
      <c r="KV27" s="11" t="str">
        <f t="shared" si="39"/>
        <v>It did not take tested solutions to scale</v>
      </c>
      <c r="KW27" s="11" t="str">
        <f t="shared" si="40"/>
        <v>Bangladesh - Emergency Response to Monsoon Flooding in Northern Bangladesh</v>
      </c>
      <c r="KX27" s="11" t="str">
        <f t="shared" si="41"/>
        <v>Emergency Response to Monsoon Flooding in Northern Bangladesh</v>
      </c>
      <c r="KY27" s="11" t="str">
        <f t="shared" si="42"/>
        <v>Bangladesh</v>
      </c>
      <c r="KZ27" s="12">
        <v>27</v>
      </c>
    </row>
    <row r="28" spans="1:312" x14ac:dyDescent="0.3">
      <c r="A28" s="11" t="s">
        <v>652</v>
      </c>
      <c r="B28" s="11" t="s">
        <v>306</v>
      </c>
      <c r="C28" s="11">
        <v>2786</v>
      </c>
      <c r="D28" s="11" t="s">
        <v>1049</v>
      </c>
      <c r="E28" s="24" t="str">
        <f t="shared" si="0"/>
        <v>Bangladesh</v>
      </c>
      <c r="F28" s="11" t="s">
        <v>748</v>
      </c>
      <c r="G28" s="11" t="s">
        <v>379</v>
      </c>
      <c r="H28" s="11" t="s">
        <v>489</v>
      </c>
      <c r="I28" s="11" t="s">
        <v>384</v>
      </c>
      <c r="J28" s="278" t="s">
        <v>1050</v>
      </c>
      <c r="BD28" s="23">
        <v>42005</v>
      </c>
      <c r="BE28" s="23">
        <v>42643</v>
      </c>
      <c r="BF28" s="23">
        <v>42794</v>
      </c>
      <c r="BG28" s="11" t="s">
        <v>350</v>
      </c>
      <c r="BH28" s="22">
        <v>250000</v>
      </c>
      <c r="BI28" s="11" t="s">
        <v>1051</v>
      </c>
      <c r="BJ28" s="11" t="s">
        <v>1052</v>
      </c>
      <c r="BK28" s="11" t="s">
        <v>798</v>
      </c>
      <c r="BL28" s="11" t="s">
        <v>1053</v>
      </c>
      <c r="BM28" s="11" t="s">
        <v>1054</v>
      </c>
      <c r="BN28" s="11" t="s">
        <v>1055</v>
      </c>
      <c r="BO28" s="12" t="s">
        <v>319</v>
      </c>
      <c r="BP28" s="12" t="s">
        <v>320</v>
      </c>
      <c r="BQ28" s="12" t="s">
        <v>319</v>
      </c>
      <c r="BR28" s="11" t="s">
        <v>1056</v>
      </c>
      <c r="BS28" s="11" t="s">
        <v>357</v>
      </c>
      <c r="BT28" s="11" t="s">
        <v>1057</v>
      </c>
      <c r="BU28" s="11" t="s">
        <v>1058</v>
      </c>
      <c r="BV28" s="22">
        <v>800</v>
      </c>
      <c r="BW28" s="22">
        <v>200</v>
      </c>
      <c r="BX28" s="22">
        <v>1000</v>
      </c>
      <c r="BY28" s="22">
        <v>4800</v>
      </c>
      <c r="BZ28" s="22">
        <v>1200</v>
      </c>
      <c r="CA28" s="22">
        <v>6000</v>
      </c>
      <c r="CB28" s="15" t="s">
        <v>1059</v>
      </c>
      <c r="CL28" s="18"/>
      <c r="CP28" s="18"/>
      <c r="CT28" s="18"/>
      <c r="CX28" s="18"/>
      <c r="DB28" s="18"/>
      <c r="DF28" s="18"/>
      <c r="DJ28" s="18"/>
      <c r="DN28" s="18"/>
      <c r="DR28" s="18"/>
      <c r="DV28" s="18"/>
      <c r="DZ28" s="18"/>
      <c r="ED28" s="18"/>
      <c r="EI28" s="18"/>
      <c r="EK28" s="22">
        <v>803</v>
      </c>
      <c r="EL28" s="22">
        <v>200</v>
      </c>
      <c r="EM28" s="22">
        <v>1003</v>
      </c>
      <c r="EN28" s="22">
        <v>4818</v>
      </c>
      <c r="EO28" s="22">
        <v>1200</v>
      </c>
      <c r="EP28" s="22">
        <v>6018</v>
      </c>
      <c r="EQ28" s="12" t="s">
        <v>319</v>
      </c>
      <c r="ES28" s="18"/>
      <c r="EU28" s="11" t="s">
        <v>319</v>
      </c>
      <c r="EW28" s="18"/>
      <c r="EY28" s="12" t="s">
        <v>319</v>
      </c>
      <c r="FA28" s="18"/>
      <c r="FC28" s="12" t="s">
        <v>319</v>
      </c>
      <c r="FE28" s="18"/>
      <c r="FG28" s="12" t="s">
        <v>319</v>
      </c>
      <c r="FI28" s="18"/>
      <c r="FK28" s="11" t="s">
        <v>319</v>
      </c>
      <c r="FM28" s="18"/>
      <c r="FO28" s="11" t="s">
        <v>319</v>
      </c>
      <c r="FQ28" s="18"/>
      <c r="FS28" s="11" t="s">
        <v>319</v>
      </c>
      <c r="FU28" s="18"/>
      <c r="FW28" s="11" t="s">
        <v>319</v>
      </c>
      <c r="FY28" s="18"/>
      <c r="GA28" s="11" t="s">
        <v>319</v>
      </c>
      <c r="GC28" s="18"/>
      <c r="GE28" s="11" t="s">
        <v>319</v>
      </c>
      <c r="GG28" s="18"/>
      <c r="GI28" s="11" t="s">
        <v>319</v>
      </c>
      <c r="GK28" s="18"/>
      <c r="GM28" s="11" t="s">
        <v>319</v>
      </c>
      <c r="GO28" s="18"/>
      <c r="GQ28" s="11" t="s">
        <v>319</v>
      </c>
      <c r="GS28" s="18"/>
      <c r="GU28" s="11" t="s">
        <v>319</v>
      </c>
      <c r="GW28" s="18"/>
      <c r="GY28" s="11" t="s">
        <v>320</v>
      </c>
      <c r="GZ28" s="22">
        <v>1003</v>
      </c>
      <c r="HA28" s="18">
        <v>0.80049999999999999</v>
      </c>
      <c r="HB28" s="22">
        <v>6018</v>
      </c>
      <c r="HF28" s="18"/>
      <c r="HH28" s="11" t="s">
        <v>319</v>
      </c>
      <c r="HK28" s="11" t="s">
        <v>320</v>
      </c>
      <c r="HL28" s="11" t="s">
        <v>320</v>
      </c>
      <c r="HM28" s="11" t="s">
        <v>619</v>
      </c>
      <c r="HN28" s="11">
        <v>2017</v>
      </c>
      <c r="HO28" s="11" t="s">
        <v>1060</v>
      </c>
      <c r="HP28" s="11" t="s">
        <v>330</v>
      </c>
      <c r="HQ28" s="11" t="s">
        <v>319</v>
      </c>
      <c r="HR28" s="11" t="s">
        <v>319</v>
      </c>
      <c r="HS28" s="11" t="s">
        <v>320</v>
      </c>
      <c r="HT28" s="11" t="s">
        <v>320</v>
      </c>
      <c r="HU28" s="11" t="s">
        <v>320</v>
      </c>
      <c r="HV28" s="11" t="s">
        <v>320</v>
      </c>
      <c r="HW28" s="11" t="s">
        <v>319</v>
      </c>
      <c r="HZ28" s="11" t="s">
        <v>331</v>
      </c>
      <c r="IA28" s="11" t="s">
        <v>1061</v>
      </c>
      <c r="IB28" s="11" t="s">
        <v>667</v>
      </c>
      <c r="IC28" s="11" t="s">
        <v>1062</v>
      </c>
      <c r="ID28" s="11" t="s">
        <v>334</v>
      </c>
      <c r="IE28" s="11" t="s">
        <v>478</v>
      </c>
      <c r="IF28" s="11" t="s">
        <v>320</v>
      </c>
      <c r="IG28" s="11" t="s">
        <v>320</v>
      </c>
      <c r="IH28" s="11" t="s">
        <v>320</v>
      </c>
      <c r="II28" s="11" t="s">
        <v>320</v>
      </c>
      <c r="IJ28" s="12" t="str">
        <f t="shared" si="1"/>
        <v>4. Transformative</v>
      </c>
      <c r="IK28" s="12">
        <f t="shared" si="2"/>
        <v>4</v>
      </c>
      <c r="IL28" s="11" t="s">
        <v>336</v>
      </c>
      <c r="IM28" s="11" t="s">
        <v>320</v>
      </c>
      <c r="IN28" s="11" t="s">
        <v>320</v>
      </c>
      <c r="IO28" s="11" t="s">
        <v>320</v>
      </c>
      <c r="IP28" s="11" t="s">
        <v>320</v>
      </c>
      <c r="IQ28" s="12" t="str">
        <f t="shared" si="3"/>
        <v>2. Accommodating</v>
      </c>
      <c r="IR28" s="12">
        <f t="shared" si="4"/>
        <v>4</v>
      </c>
      <c r="IW28" s="11" t="str">
        <f t="shared" si="5"/>
        <v>No marker score</v>
      </c>
      <c r="IX28" s="12">
        <f t="shared" si="6"/>
        <v>0</v>
      </c>
      <c r="IY28" s="11" t="s">
        <v>338</v>
      </c>
      <c r="IZ28" s="11" t="s">
        <v>339</v>
      </c>
      <c r="JE28" s="11" t="s">
        <v>365</v>
      </c>
      <c r="JF28" s="11" t="s">
        <v>1063</v>
      </c>
      <c r="JG28" s="11" t="s">
        <v>1064</v>
      </c>
      <c r="JH28" s="11" t="s">
        <v>1065</v>
      </c>
      <c r="JI28" s="11" t="s">
        <v>1066</v>
      </c>
      <c r="JJ28" s="11" t="s">
        <v>1067</v>
      </c>
      <c r="JK28" s="11" t="s">
        <v>1068</v>
      </c>
      <c r="JL28" s="11" t="s">
        <v>1069</v>
      </c>
      <c r="JM28" s="11" t="s">
        <v>1070</v>
      </c>
      <c r="JO28" s="11" t="s">
        <v>1071</v>
      </c>
      <c r="JP28" s="15">
        <f t="shared" si="7"/>
        <v>1003</v>
      </c>
      <c r="JQ28" s="15">
        <f t="shared" si="8"/>
        <v>6018</v>
      </c>
      <c r="JR28" s="279">
        <f t="shared" si="9"/>
        <v>6</v>
      </c>
      <c r="JS28" s="17">
        <f t="shared" si="10"/>
        <v>0.8005982053838484</v>
      </c>
      <c r="JT28" s="18">
        <f t="shared" si="11"/>
        <v>0.8005982053838484</v>
      </c>
      <c r="JU28" s="280">
        <f t="shared" si="12"/>
        <v>803</v>
      </c>
      <c r="JV28" s="280">
        <f t="shared" si="13"/>
        <v>4818</v>
      </c>
      <c r="JW28" s="319" t="str">
        <f t="shared" si="14"/>
        <v/>
      </c>
      <c r="JX28" s="15">
        <f t="shared" si="15"/>
        <v>0</v>
      </c>
      <c r="JY28" s="15">
        <f t="shared" si="16"/>
        <v>0</v>
      </c>
      <c r="JZ28" s="19" t="str">
        <f t="shared" si="17"/>
        <v/>
      </c>
      <c r="KA28" s="52" t="str">
        <f t="shared" si="18"/>
        <v/>
      </c>
      <c r="KB28" s="15">
        <f t="shared" si="19"/>
        <v>0</v>
      </c>
      <c r="KC28" s="15">
        <f t="shared" si="20"/>
        <v>0</v>
      </c>
      <c r="KD28" s="20" t="str">
        <f t="shared" si="21"/>
        <v/>
      </c>
      <c r="KE28" s="52" t="str">
        <f t="shared" si="22"/>
        <v/>
      </c>
      <c r="KF28" s="15">
        <f t="shared" si="23"/>
        <v>0</v>
      </c>
      <c r="KG28" s="15">
        <f t="shared" si="24"/>
        <v>0</v>
      </c>
      <c r="KH28" s="21" t="str">
        <f t="shared" si="25"/>
        <v/>
      </c>
      <c r="KI28" s="52" t="str">
        <f t="shared" si="26"/>
        <v/>
      </c>
      <c r="KJ28" s="15">
        <f t="shared" si="27"/>
        <v>0</v>
      </c>
      <c r="KK28" s="15">
        <f t="shared" si="28"/>
        <v>0</v>
      </c>
      <c r="KL28" s="19" t="str">
        <f t="shared" si="29"/>
        <v/>
      </c>
      <c r="KM28" s="52">
        <f t="shared" si="30"/>
        <v>1</v>
      </c>
      <c r="KN28" s="22">
        <f t="shared" si="31"/>
        <v>1003</v>
      </c>
      <c r="KO28" s="22">
        <f t="shared" si="32"/>
        <v>6018</v>
      </c>
      <c r="KP28" s="19">
        <f t="shared" si="33"/>
        <v>6</v>
      </c>
      <c r="KQ28" s="11" t="str">
        <f t="shared" si="34"/>
        <v>4. Transformative</v>
      </c>
      <c r="KR28" s="11" t="str">
        <f t="shared" si="35"/>
        <v>2. Accommodating</v>
      </c>
      <c r="KS28" s="11" t="str">
        <f t="shared" si="36"/>
        <v>No marker score</v>
      </c>
      <c r="KT28" s="11" t="str">
        <f t="shared" si="37"/>
        <v>It tested new ways for fighting poverty and measured results of innovation</v>
      </c>
      <c r="KU28" s="11" t="str">
        <f t="shared" si="38"/>
        <v>Moderate advocacy</v>
      </c>
      <c r="KV28" s="11" t="str">
        <f t="shared" si="39"/>
        <v>It took tested solutions to scale on its own</v>
      </c>
      <c r="KW28" s="11" t="str">
        <f t="shared" si="40"/>
        <v>Bangladesh - Empowering Marginalized Women Garment Workers and Women Financial Services Agents in Bangladesh(VISA)</v>
      </c>
      <c r="KX28" s="11" t="str">
        <f t="shared" si="41"/>
        <v>Empowering Marginalized Women Garment Workers and Women Financial Services Agents in Bangladesh(VISA)</v>
      </c>
      <c r="KY28" s="11" t="str">
        <f t="shared" si="42"/>
        <v>Bangladesh</v>
      </c>
      <c r="KZ28" s="12">
        <v>28</v>
      </c>
    </row>
    <row r="29" spans="1:312" x14ac:dyDescent="0.3">
      <c r="A29" s="282" t="s">
        <v>652</v>
      </c>
      <c r="B29" s="282" t="s">
        <v>306</v>
      </c>
      <c r="C29" s="282">
        <v>2754</v>
      </c>
      <c r="D29" s="282" t="s">
        <v>905</v>
      </c>
      <c r="E29" s="24" t="str">
        <f t="shared" si="0"/>
        <v>Bangladesh</v>
      </c>
      <c r="F29" s="282" t="s">
        <v>906</v>
      </c>
      <c r="G29" s="282" t="s">
        <v>488</v>
      </c>
      <c r="H29" s="282" t="s">
        <v>380</v>
      </c>
      <c r="I29" s="282" t="s">
        <v>907</v>
      </c>
      <c r="J29" s="278" t="s">
        <v>5183</v>
      </c>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82"/>
      <c r="BD29" s="283">
        <v>42007</v>
      </c>
      <c r="BE29" s="283">
        <v>42613</v>
      </c>
      <c r="BF29" s="283">
        <v>42674</v>
      </c>
      <c r="BG29" s="283" t="s">
        <v>908</v>
      </c>
      <c r="BH29" s="284">
        <v>225796</v>
      </c>
      <c r="BI29" s="282" t="s">
        <v>909</v>
      </c>
      <c r="BJ29" s="282" t="s">
        <v>910</v>
      </c>
      <c r="BK29" s="282" t="s">
        <v>771</v>
      </c>
      <c r="BL29" s="282" t="s">
        <v>911</v>
      </c>
      <c r="BM29" s="282" t="s">
        <v>912</v>
      </c>
      <c r="BN29" s="282" t="s">
        <v>913</v>
      </c>
      <c r="BO29" s="282" t="s">
        <v>320</v>
      </c>
      <c r="BP29" s="282" t="s">
        <v>320</v>
      </c>
      <c r="BQ29" s="282" t="s">
        <v>320</v>
      </c>
      <c r="BR29" s="282" t="s">
        <v>914</v>
      </c>
      <c r="BS29" s="282" t="s">
        <v>357</v>
      </c>
      <c r="BT29" s="282" t="s">
        <v>915</v>
      </c>
      <c r="BU29" s="282" t="s">
        <v>916</v>
      </c>
      <c r="BV29" s="284">
        <v>4589</v>
      </c>
      <c r="BW29" s="284">
        <v>5341</v>
      </c>
      <c r="BX29" s="284">
        <v>9930</v>
      </c>
      <c r="BY29" s="284">
        <v>133663</v>
      </c>
      <c r="BZ29" s="284">
        <v>141690</v>
      </c>
      <c r="CA29" s="284">
        <v>275353</v>
      </c>
      <c r="CB29" s="285" t="s">
        <v>917</v>
      </c>
      <c r="CC29" s="285"/>
      <c r="CD29" s="284">
        <v>0</v>
      </c>
      <c r="CE29" s="284">
        <v>0</v>
      </c>
      <c r="CF29" s="284">
        <v>0</v>
      </c>
      <c r="CG29" s="284">
        <v>0</v>
      </c>
      <c r="CH29" s="284">
        <v>0</v>
      </c>
      <c r="CI29" s="284">
        <v>0</v>
      </c>
      <c r="CJ29" s="282" t="s">
        <v>319</v>
      </c>
      <c r="CK29" s="284"/>
      <c r="CL29" s="286"/>
      <c r="CM29" s="284"/>
      <c r="CN29" s="287" t="s">
        <v>319</v>
      </c>
      <c r="CO29" s="284"/>
      <c r="CP29" s="286"/>
      <c r="CQ29" s="284"/>
      <c r="CR29" s="282" t="s">
        <v>319</v>
      </c>
      <c r="CS29" s="284"/>
      <c r="CT29" s="286"/>
      <c r="CU29" s="284"/>
      <c r="CV29" s="282" t="s">
        <v>319</v>
      </c>
      <c r="CW29" s="284"/>
      <c r="CX29" s="286"/>
      <c r="CY29" s="284"/>
      <c r="CZ29" s="282" t="s">
        <v>319</v>
      </c>
      <c r="DA29" s="284"/>
      <c r="DB29" s="286"/>
      <c r="DC29" s="284"/>
      <c r="DD29" s="287" t="s">
        <v>319</v>
      </c>
      <c r="DE29" s="284"/>
      <c r="DF29" s="286"/>
      <c r="DG29" s="284"/>
      <c r="DH29" s="282" t="s">
        <v>319</v>
      </c>
      <c r="DI29" s="284"/>
      <c r="DJ29" s="286"/>
      <c r="DK29" s="284"/>
      <c r="DL29" s="282" t="s">
        <v>319</v>
      </c>
      <c r="DM29" s="284"/>
      <c r="DN29" s="286"/>
      <c r="DO29" s="284"/>
      <c r="DP29" s="282" t="s">
        <v>319</v>
      </c>
      <c r="DQ29" s="284"/>
      <c r="DR29" s="286"/>
      <c r="DS29" s="284"/>
      <c r="DT29" s="282" t="s">
        <v>319</v>
      </c>
      <c r="DU29" s="284"/>
      <c r="DV29" s="286"/>
      <c r="DW29" s="284"/>
      <c r="DX29" s="282" t="s">
        <v>319</v>
      </c>
      <c r="DY29" s="284"/>
      <c r="DZ29" s="286"/>
      <c r="EA29" s="284"/>
      <c r="EB29" s="282" t="s">
        <v>319</v>
      </c>
      <c r="EC29" s="284"/>
      <c r="ED29" s="286"/>
      <c r="EE29" s="284"/>
      <c r="EF29" s="285"/>
      <c r="EG29" s="287"/>
      <c r="EH29" s="284"/>
      <c r="EI29" s="286"/>
      <c r="EJ29" s="284"/>
      <c r="EK29" s="284">
        <v>0</v>
      </c>
      <c r="EL29" s="284">
        <v>0</v>
      </c>
      <c r="EM29" s="284">
        <v>0</v>
      </c>
      <c r="EN29" s="284">
        <v>0</v>
      </c>
      <c r="EO29" s="284">
        <v>0</v>
      </c>
      <c r="EP29" s="284">
        <v>0</v>
      </c>
      <c r="EQ29" s="282" t="s">
        <v>319</v>
      </c>
      <c r="ER29" s="284"/>
      <c r="ES29" s="286"/>
      <c r="ET29" s="284"/>
      <c r="EU29" s="282" t="s">
        <v>319</v>
      </c>
      <c r="EV29" s="284"/>
      <c r="EW29" s="286"/>
      <c r="EX29" s="284"/>
      <c r="EY29" s="282" t="s">
        <v>319</v>
      </c>
      <c r="EZ29" s="284"/>
      <c r="FA29" s="286"/>
      <c r="FB29" s="284"/>
      <c r="FC29" s="282" t="s">
        <v>319</v>
      </c>
      <c r="FD29" s="284"/>
      <c r="FE29" s="286"/>
      <c r="FF29" s="284"/>
      <c r="FG29" s="282" t="s">
        <v>319</v>
      </c>
      <c r="FH29" s="284"/>
      <c r="FI29" s="286"/>
      <c r="FJ29" s="284"/>
      <c r="FK29" s="282" t="s">
        <v>319</v>
      </c>
      <c r="FL29" s="284"/>
      <c r="FM29" s="286"/>
      <c r="FN29" s="284"/>
      <c r="FO29" s="282" t="s">
        <v>319</v>
      </c>
      <c r="FP29" s="284"/>
      <c r="FQ29" s="286"/>
      <c r="FR29" s="284"/>
      <c r="FS29" s="282" t="s">
        <v>319</v>
      </c>
      <c r="FT29" s="284"/>
      <c r="FU29" s="286"/>
      <c r="FV29" s="284"/>
      <c r="FW29" s="282" t="s">
        <v>319</v>
      </c>
      <c r="FX29" s="284"/>
      <c r="FY29" s="286"/>
      <c r="FZ29" s="284"/>
      <c r="GA29" s="282" t="s">
        <v>319</v>
      </c>
      <c r="GB29" s="284"/>
      <c r="GC29" s="286"/>
      <c r="GD29" s="284"/>
      <c r="GE29" s="282" t="s">
        <v>319</v>
      </c>
      <c r="GF29" s="284"/>
      <c r="GG29" s="286"/>
      <c r="GH29" s="284"/>
      <c r="GI29" s="282" t="s">
        <v>319</v>
      </c>
      <c r="GJ29" s="284"/>
      <c r="GK29" s="286"/>
      <c r="GL29" s="284"/>
      <c r="GM29" s="282" t="s">
        <v>319</v>
      </c>
      <c r="GN29" s="284"/>
      <c r="GO29" s="286"/>
      <c r="GP29" s="284"/>
      <c r="GQ29" s="282" t="s">
        <v>319</v>
      </c>
      <c r="GR29" s="284"/>
      <c r="GS29" s="286"/>
      <c r="GT29" s="284"/>
      <c r="GU29" s="282" t="s">
        <v>319</v>
      </c>
      <c r="GV29" s="284"/>
      <c r="GW29" s="286"/>
      <c r="GX29" s="284"/>
      <c r="GY29" s="282" t="s">
        <v>319</v>
      </c>
      <c r="GZ29" s="284"/>
      <c r="HA29" s="286"/>
      <c r="HB29" s="284"/>
      <c r="HC29" s="282"/>
      <c r="HD29" s="282"/>
      <c r="HE29" s="284"/>
      <c r="HF29" s="286"/>
      <c r="HG29" s="284"/>
      <c r="HH29" s="282" t="s">
        <v>319</v>
      </c>
      <c r="HI29" s="282"/>
      <c r="HJ29" s="282"/>
      <c r="HK29" s="282" t="s">
        <v>319</v>
      </c>
      <c r="HL29" s="282" t="s">
        <v>319</v>
      </c>
      <c r="HM29" s="282"/>
      <c r="HN29" s="282"/>
      <c r="HO29" s="282" t="s">
        <v>918</v>
      </c>
      <c r="HP29" s="282" t="s">
        <v>330</v>
      </c>
      <c r="HQ29" s="282" t="s">
        <v>319</v>
      </c>
      <c r="HR29" s="282" t="s">
        <v>319</v>
      </c>
      <c r="HS29" s="282" t="s">
        <v>319</v>
      </c>
      <c r="HT29" s="282" t="s">
        <v>320</v>
      </c>
      <c r="HU29" s="282" t="s">
        <v>320</v>
      </c>
      <c r="HV29" s="282" t="s">
        <v>319</v>
      </c>
      <c r="HW29" s="282" t="s">
        <v>319</v>
      </c>
      <c r="HX29" s="282" t="s">
        <v>319</v>
      </c>
      <c r="HY29" s="282"/>
      <c r="HZ29" s="282" t="s">
        <v>331</v>
      </c>
      <c r="IA29" s="282" t="s">
        <v>396</v>
      </c>
      <c r="IB29" s="282" t="s">
        <v>333</v>
      </c>
      <c r="IC29" s="282"/>
      <c r="ID29" s="282" t="s">
        <v>364</v>
      </c>
      <c r="IE29" s="282" t="s">
        <v>335</v>
      </c>
      <c r="IF29" s="282" t="s">
        <v>320</v>
      </c>
      <c r="IG29" s="282" t="s">
        <v>320</v>
      </c>
      <c r="IH29" s="282" t="s">
        <v>320</v>
      </c>
      <c r="II29" s="282" t="s">
        <v>320</v>
      </c>
      <c r="IJ29" s="12" t="str">
        <f t="shared" si="1"/>
        <v>2. Sensitive</v>
      </c>
      <c r="IK29" s="287">
        <f t="shared" si="2"/>
        <v>4</v>
      </c>
      <c r="IL29" s="282" t="s">
        <v>336</v>
      </c>
      <c r="IM29" s="282" t="s">
        <v>320</v>
      </c>
      <c r="IN29" s="282" t="s">
        <v>320</v>
      </c>
      <c r="IO29" s="282" t="s">
        <v>320</v>
      </c>
      <c r="IP29" s="282" t="s">
        <v>320</v>
      </c>
      <c r="IQ29" s="287" t="str">
        <f t="shared" si="3"/>
        <v>2. Accommodating</v>
      </c>
      <c r="IR29" s="287">
        <f t="shared" si="4"/>
        <v>4</v>
      </c>
      <c r="IS29" s="282" t="s">
        <v>622</v>
      </c>
      <c r="IT29" s="282" t="s">
        <v>320</v>
      </c>
      <c r="IU29" s="282" t="s">
        <v>320</v>
      </c>
      <c r="IV29" s="282" t="s">
        <v>320</v>
      </c>
      <c r="IW29" s="11" t="str">
        <f t="shared" si="5"/>
        <v>4. Transformative</v>
      </c>
      <c r="IX29" s="287">
        <f t="shared" si="6"/>
        <v>3</v>
      </c>
      <c r="IY29" s="282" t="s">
        <v>758</v>
      </c>
      <c r="IZ29" s="282" t="s">
        <v>339</v>
      </c>
      <c r="JA29" s="282"/>
      <c r="JB29" s="282"/>
      <c r="JC29" s="282"/>
      <c r="JD29" s="282"/>
      <c r="JE29" s="282" t="s">
        <v>340</v>
      </c>
      <c r="JF29" s="282" t="s">
        <v>919</v>
      </c>
      <c r="JG29" s="282" t="s">
        <v>920</v>
      </c>
      <c r="JH29" s="282" t="s">
        <v>921</v>
      </c>
      <c r="JI29" s="282" t="s">
        <v>922</v>
      </c>
      <c r="JJ29" s="282" t="s">
        <v>923</v>
      </c>
      <c r="JK29" s="282" t="s">
        <v>924</v>
      </c>
      <c r="JL29" s="282" t="s">
        <v>925</v>
      </c>
      <c r="JM29" s="282" t="s">
        <v>926</v>
      </c>
      <c r="JN29" s="282" t="s">
        <v>927</v>
      </c>
      <c r="JO29" s="282" t="s">
        <v>928</v>
      </c>
      <c r="JP29" s="15">
        <f t="shared" si="7"/>
        <v>0</v>
      </c>
      <c r="JQ29" s="15">
        <f t="shared" si="8"/>
        <v>0</v>
      </c>
      <c r="JR29" s="279" t="str">
        <f t="shared" si="9"/>
        <v/>
      </c>
      <c r="JS29" s="17" t="str">
        <f t="shared" si="10"/>
        <v/>
      </c>
      <c r="JT29" s="18" t="str">
        <f t="shared" si="11"/>
        <v/>
      </c>
      <c r="JU29" s="280">
        <f t="shared" si="12"/>
        <v>0</v>
      </c>
      <c r="JV29" s="280">
        <f t="shared" si="13"/>
        <v>0</v>
      </c>
      <c r="JW29" s="319">
        <f t="shared" si="14"/>
        <v>1</v>
      </c>
      <c r="JX29" s="15">
        <f t="shared" si="15"/>
        <v>0</v>
      </c>
      <c r="JY29" s="15">
        <f t="shared" si="16"/>
        <v>0</v>
      </c>
      <c r="JZ29" s="19" t="str">
        <f t="shared" si="17"/>
        <v/>
      </c>
      <c r="KA29" s="52" t="str">
        <f t="shared" si="18"/>
        <v/>
      </c>
      <c r="KB29" s="15">
        <f t="shared" si="19"/>
        <v>0</v>
      </c>
      <c r="KC29" s="15">
        <f t="shared" si="20"/>
        <v>0</v>
      </c>
      <c r="KD29" s="20" t="str">
        <f t="shared" si="21"/>
        <v/>
      </c>
      <c r="KE29" s="52" t="str">
        <f t="shared" si="22"/>
        <v/>
      </c>
      <c r="KF29" s="15">
        <f t="shared" si="23"/>
        <v>0</v>
      </c>
      <c r="KG29" s="15">
        <f t="shared" si="24"/>
        <v>0</v>
      </c>
      <c r="KH29" s="21" t="str">
        <f t="shared" si="25"/>
        <v/>
      </c>
      <c r="KI29" s="52" t="str">
        <f t="shared" si="26"/>
        <v/>
      </c>
      <c r="KJ29" s="15">
        <f t="shared" si="27"/>
        <v>0</v>
      </c>
      <c r="KK29" s="15">
        <f t="shared" si="28"/>
        <v>0</v>
      </c>
      <c r="KL29" s="19" t="str">
        <f t="shared" si="29"/>
        <v/>
      </c>
      <c r="KM29" s="52" t="str">
        <f t="shared" si="30"/>
        <v/>
      </c>
      <c r="KN29" s="22">
        <f t="shared" si="31"/>
        <v>0</v>
      </c>
      <c r="KO29" s="22">
        <f t="shared" si="32"/>
        <v>0</v>
      </c>
      <c r="KP29" s="19" t="str">
        <f t="shared" si="33"/>
        <v/>
      </c>
      <c r="KQ29" s="11" t="str">
        <f t="shared" si="34"/>
        <v>2. Sensitive</v>
      </c>
      <c r="KR29" s="11" t="str">
        <f t="shared" si="35"/>
        <v>2. Accommodating</v>
      </c>
      <c r="KS29" s="11" t="str">
        <f t="shared" si="36"/>
        <v>4. Transformative</v>
      </c>
      <c r="KT29" s="11" t="str">
        <f t="shared" si="37"/>
        <v>It tested new ways for fighting poverty and measured results of innovation</v>
      </c>
      <c r="KU29" s="11" t="str">
        <f t="shared" si="38"/>
        <v>Moderate advocacy</v>
      </c>
      <c r="KV29" s="11" t="str">
        <f t="shared" si="39"/>
        <v>It did not take tested solutions to scale</v>
      </c>
      <c r="KW29" s="11" t="str">
        <f t="shared" si="40"/>
        <v>Bangladesh - Enhancing Inclusive Disaster Resilience in Bangladesh</v>
      </c>
      <c r="KX29" s="11" t="str">
        <f t="shared" si="41"/>
        <v>Enhancing Inclusive Disaster Resilience in Bangladesh</v>
      </c>
      <c r="KY29" s="11" t="str">
        <f t="shared" si="42"/>
        <v>Bangladesh</v>
      </c>
      <c r="KZ29" s="12">
        <v>29</v>
      </c>
    </row>
    <row r="30" spans="1:312" x14ac:dyDescent="0.3">
      <c r="A30" s="282" t="s">
        <v>652</v>
      </c>
      <c r="B30" s="282" t="s">
        <v>306</v>
      </c>
      <c r="C30" s="282"/>
      <c r="D30" s="282" t="s">
        <v>929</v>
      </c>
      <c r="E30" s="24" t="str">
        <f t="shared" si="0"/>
        <v>Bangladesh</v>
      </c>
      <c r="F30" s="282" t="s">
        <v>930</v>
      </c>
      <c r="G30" s="282" t="s">
        <v>488</v>
      </c>
      <c r="H30" s="282" t="s">
        <v>310</v>
      </c>
      <c r="I30" s="282" t="s">
        <v>506</v>
      </c>
      <c r="J30" s="278" t="s">
        <v>9230</v>
      </c>
      <c r="K30" s="282"/>
      <c r="L30" s="282"/>
      <c r="M30" s="282"/>
      <c r="N30" s="282"/>
      <c r="O30" s="282"/>
      <c r="P30" s="282"/>
      <c r="Q30" s="282"/>
      <c r="R30" s="282"/>
      <c r="S30" s="282"/>
      <c r="T30" s="282"/>
      <c r="U30" s="282"/>
      <c r="V30" s="282"/>
      <c r="W30" s="282"/>
      <c r="X30" s="282"/>
      <c r="Y30" s="282"/>
      <c r="Z30" s="282"/>
      <c r="AA30" s="282"/>
      <c r="AB30" s="282"/>
      <c r="AC30" s="282"/>
      <c r="AD30" s="282"/>
      <c r="AE30" s="282"/>
      <c r="AF30" s="282"/>
      <c r="AG30" s="282"/>
      <c r="AH30" s="282"/>
      <c r="AI30" s="282"/>
      <c r="AJ30" s="282"/>
      <c r="AK30" s="282"/>
      <c r="AL30" s="282"/>
      <c r="AM30" s="282"/>
      <c r="AN30" s="282"/>
      <c r="AO30" s="282"/>
      <c r="AP30" s="282"/>
      <c r="AQ30" s="282"/>
      <c r="AR30" s="282"/>
      <c r="AS30" s="282"/>
      <c r="AT30" s="282"/>
      <c r="AU30" s="282"/>
      <c r="AV30" s="282"/>
      <c r="AW30" s="282"/>
      <c r="AX30" s="282"/>
      <c r="AY30" s="282"/>
      <c r="AZ30" s="282"/>
      <c r="BA30" s="282"/>
      <c r="BB30" s="282"/>
      <c r="BC30" s="282"/>
      <c r="BD30" s="283">
        <v>42552</v>
      </c>
      <c r="BE30" s="283">
        <v>42735</v>
      </c>
      <c r="BF30" s="283"/>
      <c r="BG30" s="283" t="s">
        <v>817</v>
      </c>
      <c r="BH30" s="284">
        <v>6190</v>
      </c>
      <c r="BI30" s="282" t="s">
        <v>769</v>
      </c>
      <c r="BJ30" s="282" t="s">
        <v>770</v>
      </c>
      <c r="BK30" s="282" t="s">
        <v>771</v>
      </c>
      <c r="BL30" s="282" t="s">
        <v>931</v>
      </c>
      <c r="BM30" s="282" t="s">
        <v>932</v>
      </c>
      <c r="BN30" s="282" t="s">
        <v>933</v>
      </c>
      <c r="BO30" s="282" t="s">
        <v>320</v>
      </c>
      <c r="BP30" s="282" t="s">
        <v>319</v>
      </c>
      <c r="BQ30" s="282" t="s">
        <v>319</v>
      </c>
      <c r="BR30" s="282" t="s">
        <v>934</v>
      </c>
      <c r="BS30" s="282" t="s">
        <v>357</v>
      </c>
      <c r="BT30" s="282" t="s">
        <v>935</v>
      </c>
      <c r="BU30" s="282" t="s">
        <v>936</v>
      </c>
      <c r="BV30" s="284">
        <v>0</v>
      </c>
      <c r="BW30" s="284">
        <v>0</v>
      </c>
      <c r="BX30" s="284">
        <v>0</v>
      </c>
      <c r="BY30" s="284">
        <v>0</v>
      </c>
      <c r="BZ30" s="284">
        <v>0</v>
      </c>
      <c r="CA30" s="284">
        <v>0</v>
      </c>
      <c r="CB30" s="285" t="s">
        <v>393</v>
      </c>
      <c r="CC30" s="285"/>
      <c r="CD30" s="284"/>
      <c r="CE30" s="284"/>
      <c r="CF30" s="284">
        <v>139</v>
      </c>
      <c r="CG30" s="284"/>
      <c r="CH30" s="284"/>
      <c r="CI30" s="284"/>
      <c r="CJ30" s="282" t="s">
        <v>319</v>
      </c>
      <c r="CK30" s="284"/>
      <c r="CL30" s="286"/>
      <c r="CM30" s="284"/>
      <c r="CN30" s="287" t="s">
        <v>319</v>
      </c>
      <c r="CO30" s="284"/>
      <c r="CP30" s="286"/>
      <c r="CQ30" s="284"/>
      <c r="CR30" s="282" t="s">
        <v>319</v>
      </c>
      <c r="CS30" s="284"/>
      <c r="CT30" s="286"/>
      <c r="CU30" s="284"/>
      <c r="CV30" s="282" t="s">
        <v>320</v>
      </c>
      <c r="CW30" s="284">
        <v>139</v>
      </c>
      <c r="CX30" s="286"/>
      <c r="CY30" s="284"/>
      <c r="CZ30" s="282" t="s">
        <v>319</v>
      </c>
      <c r="DA30" s="284"/>
      <c r="DB30" s="286"/>
      <c r="DC30" s="284"/>
      <c r="DD30" s="287" t="s">
        <v>319</v>
      </c>
      <c r="DE30" s="284"/>
      <c r="DF30" s="286"/>
      <c r="DG30" s="284"/>
      <c r="DH30" s="282" t="s">
        <v>319</v>
      </c>
      <c r="DI30" s="284"/>
      <c r="DJ30" s="286"/>
      <c r="DK30" s="284"/>
      <c r="DL30" s="282" t="s">
        <v>319</v>
      </c>
      <c r="DM30" s="284"/>
      <c r="DN30" s="286"/>
      <c r="DO30" s="284"/>
      <c r="DP30" s="282" t="s">
        <v>319</v>
      </c>
      <c r="DQ30" s="284"/>
      <c r="DR30" s="286"/>
      <c r="DS30" s="284"/>
      <c r="DT30" s="282" t="s">
        <v>319</v>
      </c>
      <c r="DU30" s="284"/>
      <c r="DV30" s="286"/>
      <c r="DW30" s="284"/>
      <c r="DX30" s="282" t="s">
        <v>319</v>
      </c>
      <c r="DY30" s="284"/>
      <c r="DZ30" s="286"/>
      <c r="EA30" s="284"/>
      <c r="EB30" s="282" t="s">
        <v>319</v>
      </c>
      <c r="EC30" s="284"/>
      <c r="ED30" s="286"/>
      <c r="EE30" s="284"/>
      <c r="EF30" s="285" t="s">
        <v>937</v>
      </c>
      <c r="EG30" s="287" t="s">
        <v>320</v>
      </c>
      <c r="EH30" s="284">
        <v>139</v>
      </c>
      <c r="EI30" s="286">
        <v>0.3</v>
      </c>
      <c r="EJ30" s="284"/>
      <c r="EK30" s="284"/>
      <c r="EL30" s="284"/>
      <c r="EM30" s="284"/>
      <c r="EN30" s="284"/>
      <c r="EO30" s="284"/>
      <c r="EP30" s="284"/>
      <c r="EQ30" s="282"/>
      <c r="ER30" s="284"/>
      <c r="ES30" s="286"/>
      <c r="ET30" s="284"/>
      <c r="EU30" s="282"/>
      <c r="EV30" s="284"/>
      <c r="EW30" s="286"/>
      <c r="EX30" s="284"/>
      <c r="EY30" s="282"/>
      <c r="EZ30" s="284"/>
      <c r="FA30" s="286"/>
      <c r="FB30" s="284"/>
      <c r="FC30" s="282"/>
      <c r="FD30" s="284"/>
      <c r="FE30" s="286"/>
      <c r="FF30" s="284"/>
      <c r="FG30" s="282"/>
      <c r="FH30" s="284"/>
      <c r="FI30" s="286"/>
      <c r="FJ30" s="284"/>
      <c r="FK30" s="282"/>
      <c r="FL30" s="284"/>
      <c r="FM30" s="286"/>
      <c r="FN30" s="284"/>
      <c r="FO30" s="282"/>
      <c r="FP30" s="284"/>
      <c r="FQ30" s="286"/>
      <c r="FR30" s="284"/>
      <c r="FS30" s="282"/>
      <c r="FT30" s="284"/>
      <c r="FU30" s="286"/>
      <c r="FV30" s="284"/>
      <c r="FW30" s="282"/>
      <c r="FX30" s="284"/>
      <c r="FY30" s="286"/>
      <c r="FZ30" s="284"/>
      <c r="GA30" s="282"/>
      <c r="GB30" s="284"/>
      <c r="GC30" s="286"/>
      <c r="GD30" s="284"/>
      <c r="GE30" s="282"/>
      <c r="GF30" s="284"/>
      <c r="GG30" s="286"/>
      <c r="GH30" s="284"/>
      <c r="GI30" s="282"/>
      <c r="GJ30" s="284"/>
      <c r="GK30" s="286"/>
      <c r="GL30" s="284"/>
      <c r="GM30" s="282"/>
      <c r="GN30" s="284"/>
      <c r="GO30" s="286"/>
      <c r="GP30" s="284"/>
      <c r="GQ30" s="282"/>
      <c r="GR30" s="284"/>
      <c r="GS30" s="286"/>
      <c r="GT30" s="284"/>
      <c r="GU30" s="282"/>
      <c r="GV30" s="284"/>
      <c r="GW30" s="286"/>
      <c r="GX30" s="284"/>
      <c r="GY30" s="282"/>
      <c r="GZ30" s="284"/>
      <c r="HA30" s="286"/>
      <c r="HB30" s="284"/>
      <c r="HC30" s="282"/>
      <c r="HD30" s="282"/>
      <c r="HE30" s="284"/>
      <c r="HF30" s="286"/>
      <c r="HG30" s="284"/>
      <c r="HH30" s="282" t="s">
        <v>319</v>
      </c>
      <c r="HI30" s="282"/>
      <c r="HJ30" s="282"/>
      <c r="HK30" s="282" t="s">
        <v>319</v>
      </c>
      <c r="HL30" s="282" t="s">
        <v>319</v>
      </c>
      <c r="HM30" s="282"/>
      <c r="HN30" s="282"/>
      <c r="HO30" s="282"/>
      <c r="HP30" s="282" t="s">
        <v>453</v>
      </c>
      <c r="HQ30" s="282" t="s">
        <v>320</v>
      </c>
      <c r="HR30" s="282" t="s">
        <v>319</v>
      </c>
      <c r="HS30" s="282" t="s">
        <v>320</v>
      </c>
      <c r="HT30" s="282" t="s">
        <v>319</v>
      </c>
      <c r="HU30" s="282" t="s">
        <v>320</v>
      </c>
      <c r="HV30" s="282" t="s">
        <v>320</v>
      </c>
      <c r="HW30" s="282" t="s">
        <v>320</v>
      </c>
      <c r="HX30" s="282" t="s">
        <v>319</v>
      </c>
      <c r="HY30" s="282"/>
      <c r="HZ30" s="282" t="s">
        <v>331</v>
      </c>
      <c r="IA30" s="282" t="s">
        <v>938</v>
      </c>
      <c r="IB30" s="282" t="s">
        <v>396</v>
      </c>
      <c r="IC30" s="282" t="s">
        <v>939</v>
      </c>
      <c r="ID30" s="282" t="s">
        <v>364</v>
      </c>
      <c r="IE30" s="282" t="s">
        <v>335</v>
      </c>
      <c r="IF30" s="282" t="s">
        <v>320</v>
      </c>
      <c r="IG30" s="282" t="s">
        <v>320</v>
      </c>
      <c r="IH30" s="282" t="s">
        <v>320</v>
      </c>
      <c r="II30" s="282" t="s">
        <v>319</v>
      </c>
      <c r="IJ30" s="12" t="str">
        <f t="shared" si="1"/>
        <v>1. Neutral</v>
      </c>
      <c r="IK30" s="287">
        <f t="shared" si="2"/>
        <v>3</v>
      </c>
      <c r="IL30" s="282" t="s">
        <v>336</v>
      </c>
      <c r="IM30" s="282" t="s">
        <v>320</v>
      </c>
      <c r="IN30" s="282" t="s">
        <v>320</v>
      </c>
      <c r="IO30" s="282" t="s">
        <v>320</v>
      </c>
      <c r="IP30" s="282" t="s">
        <v>320</v>
      </c>
      <c r="IQ30" s="287" t="str">
        <f t="shared" si="3"/>
        <v>2. Accommodating</v>
      </c>
      <c r="IR30" s="287">
        <f t="shared" si="4"/>
        <v>4</v>
      </c>
      <c r="IS30" s="282" t="s">
        <v>622</v>
      </c>
      <c r="IT30" s="282" t="s">
        <v>320</v>
      </c>
      <c r="IU30" s="282" t="s">
        <v>320</v>
      </c>
      <c r="IV30" s="282" t="s">
        <v>320</v>
      </c>
      <c r="IW30" s="11" t="str">
        <f t="shared" si="5"/>
        <v>4. Transformative</v>
      </c>
      <c r="IX30" s="287">
        <f t="shared" si="6"/>
        <v>3</v>
      </c>
      <c r="IY30" s="282" t="s">
        <v>758</v>
      </c>
      <c r="IZ30" s="282" t="s">
        <v>527</v>
      </c>
      <c r="JA30" s="282">
        <v>2</v>
      </c>
      <c r="JB30" s="282" t="s">
        <v>831</v>
      </c>
      <c r="JC30" s="282" t="s">
        <v>687</v>
      </c>
      <c r="JD30" s="282"/>
      <c r="JE30" s="282" t="s">
        <v>340</v>
      </c>
      <c r="JF30" s="282" t="s">
        <v>940</v>
      </c>
      <c r="JG30" s="282"/>
      <c r="JH30" s="282" t="s">
        <v>941</v>
      </c>
      <c r="JI30" s="282" t="s">
        <v>942</v>
      </c>
      <c r="JJ30" s="282"/>
      <c r="JK30" s="282" t="s">
        <v>943</v>
      </c>
      <c r="JL30" s="282"/>
      <c r="JM30" s="282"/>
      <c r="JN30" s="282"/>
      <c r="JO30" s="282"/>
      <c r="JP30" s="15">
        <f t="shared" si="7"/>
        <v>139</v>
      </c>
      <c r="JQ30" s="15">
        <f t="shared" si="8"/>
        <v>0</v>
      </c>
      <c r="JR30" s="279">
        <f t="shared" si="9"/>
        <v>0</v>
      </c>
      <c r="JS30" s="17">
        <f t="shared" si="10"/>
        <v>0</v>
      </c>
      <c r="JT30" s="18" t="str">
        <f t="shared" si="11"/>
        <v/>
      </c>
      <c r="JU30" s="280">
        <f t="shared" si="12"/>
        <v>0</v>
      </c>
      <c r="JV30" s="280">
        <f t="shared" si="13"/>
        <v>0</v>
      </c>
      <c r="JW30" s="319">
        <f t="shared" si="14"/>
        <v>1</v>
      </c>
      <c r="JX30" s="15">
        <f t="shared" si="15"/>
        <v>139</v>
      </c>
      <c r="JY30" s="15">
        <f t="shared" si="16"/>
        <v>0</v>
      </c>
      <c r="JZ30" s="19">
        <f t="shared" si="17"/>
        <v>0</v>
      </c>
      <c r="KA30" s="52">
        <f t="shared" si="18"/>
        <v>1</v>
      </c>
      <c r="KB30" s="15">
        <f t="shared" si="19"/>
        <v>139</v>
      </c>
      <c r="KC30" s="15">
        <f t="shared" si="20"/>
        <v>0</v>
      </c>
      <c r="KD30" s="20">
        <f t="shared" si="21"/>
        <v>0</v>
      </c>
      <c r="KE30" s="52" t="str">
        <f t="shared" si="22"/>
        <v/>
      </c>
      <c r="KF30" s="15">
        <f t="shared" si="23"/>
        <v>0</v>
      </c>
      <c r="KG30" s="15">
        <f t="shared" si="24"/>
        <v>0</v>
      </c>
      <c r="KH30" s="21" t="str">
        <f t="shared" si="25"/>
        <v/>
      </c>
      <c r="KI30" s="52" t="str">
        <f t="shared" si="26"/>
        <v/>
      </c>
      <c r="KJ30" s="15">
        <f t="shared" si="27"/>
        <v>0</v>
      </c>
      <c r="KK30" s="15">
        <f t="shared" si="28"/>
        <v>0</v>
      </c>
      <c r="KL30" s="19" t="str">
        <f t="shared" si="29"/>
        <v/>
      </c>
      <c r="KM30" s="52" t="str">
        <f t="shared" si="30"/>
        <v/>
      </c>
      <c r="KN30" s="22">
        <f t="shared" si="31"/>
        <v>0</v>
      </c>
      <c r="KO30" s="22">
        <f t="shared" si="32"/>
        <v>0</v>
      </c>
      <c r="KP30" s="19" t="str">
        <f t="shared" si="33"/>
        <v/>
      </c>
      <c r="KQ30" s="11" t="str">
        <f t="shared" si="34"/>
        <v>1. Neutral</v>
      </c>
      <c r="KR30" s="11" t="str">
        <f t="shared" si="35"/>
        <v>2. Accommodating</v>
      </c>
      <c r="KS30" s="11" t="str">
        <f t="shared" si="36"/>
        <v>4. Transformative</v>
      </c>
      <c r="KT30" s="11" t="str">
        <f t="shared" si="37"/>
        <v>It tested new ways for fighting poverty and measured results of innovation</v>
      </c>
      <c r="KU30" s="11" t="str">
        <f t="shared" si="38"/>
        <v>Intensive advocacy</v>
      </c>
      <c r="KV30" s="11" t="str">
        <f t="shared" si="39"/>
        <v>It linked and worked with strategic alliances and partners to take tested and effective solutions to scale</v>
      </c>
      <c r="KW30" s="11" t="str">
        <f t="shared" si="40"/>
        <v>Bangladesh - Establishing National Mechanism on Loss and Damage in Bangladesh</v>
      </c>
      <c r="KX30" s="11" t="str">
        <f t="shared" si="41"/>
        <v>Establishing National Mechanism on Loss and Damage in Bangladesh</v>
      </c>
      <c r="KY30" s="11" t="str">
        <f t="shared" si="42"/>
        <v>Bangladesh</v>
      </c>
      <c r="KZ30" s="12">
        <v>30</v>
      </c>
    </row>
    <row r="31" spans="1:312" x14ac:dyDescent="0.3">
      <c r="A31" s="11" t="s">
        <v>652</v>
      </c>
      <c r="B31" s="11" t="s">
        <v>306</v>
      </c>
      <c r="D31" s="11" t="s">
        <v>14571</v>
      </c>
      <c r="E31" s="24" t="str">
        <f t="shared" si="0"/>
        <v>Bangladesh</v>
      </c>
      <c r="F31" s="11" t="s">
        <v>713</v>
      </c>
      <c r="G31" s="11" t="s">
        <v>714</v>
      </c>
      <c r="H31" s="11" t="s">
        <v>489</v>
      </c>
      <c r="I31" s="11" t="s">
        <v>384</v>
      </c>
      <c r="J31" s="278" t="s">
        <v>14572</v>
      </c>
      <c r="BD31" s="23">
        <v>42005</v>
      </c>
      <c r="BE31" s="23">
        <v>43100</v>
      </c>
      <c r="BG31" s="11" t="s">
        <v>350</v>
      </c>
      <c r="BH31" s="22">
        <v>104938</v>
      </c>
      <c r="BI31" s="11" t="s">
        <v>715</v>
      </c>
      <c r="BJ31" s="11" t="s">
        <v>716</v>
      </c>
      <c r="BK31" s="11" t="s">
        <v>717</v>
      </c>
      <c r="BO31" s="12" t="s">
        <v>319</v>
      </c>
      <c r="BP31" s="12" t="s">
        <v>320</v>
      </c>
      <c r="BQ31" s="12" t="s">
        <v>319</v>
      </c>
      <c r="BR31" s="11" t="s">
        <v>718</v>
      </c>
      <c r="BS31" s="11" t="s">
        <v>357</v>
      </c>
      <c r="BT31" s="11" t="s">
        <v>719</v>
      </c>
      <c r="BU31" s="11" t="s">
        <v>720</v>
      </c>
      <c r="BV31" s="22">
        <v>202</v>
      </c>
      <c r="BW31" s="22">
        <v>8</v>
      </c>
      <c r="BX31" s="22">
        <v>210</v>
      </c>
      <c r="BY31" s="22">
        <v>350</v>
      </c>
      <c r="BZ31" s="22">
        <v>50</v>
      </c>
      <c r="CA31" s="22">
        <v>400</v>
      </c>
      <c r="CB31" s="15" t="s">
        <v>721</v>
      </c>
      <c r="CL31" s="18"/>
      <c r="CP31" s="18"/>
      <c r="CT31" s="18"/>
      <c r="CX31" s="18"/>
      <c r="DB31" s="18"/>
      <c r="DF31" s="18"/>
      <c r="DJ31" s="18"/>
      <c r="DN31" s="18"/>
      <c r="DR31" s="18"/>
      <c r="DV31" s="18"/>
      <c r="DZ31" s="18"/>
      <c r="ED31" s="18"/>
      <c r="EI31" s="18"/>
      <c r="EK31" s="22">
        <v>202</v>
      </c>
      <c r="EL31" s="22">
        <v>8</v>
      </c>
      <c r="EM31" s="22">
        <v>210</v>
      </c>
      <c r="EN31" s="22">
        <v>350</v>
      </c>
      <c r="EO31" s="22">
        <v>50</v>
      </c>
      <c r="EP31" s="22">
        <v>400</v>
      </c>
      <c r="EQ31" s="12" t="s">
        <v>320</v>
      </c>
      <c r="ER31" s="22">
        <v>210</v>
      </c>
      <c r="ES31" s="18">
        <v>0.96</v>
      </c>
      <c r="ET31" s="22">
        <v>400</v>
      </c>
      <c r="EU31" s="11" t="s">
        <v>319</v>
      </c>
      <c r="EW31" s="18"/>
      <c r="EY31" s="12" t="s">
        <v>319</v>
      </c>
      <c r="FA31" s="18"/>
      <c r="FC31" s="12" t="s">
        <v>319</v>
      </c>
      <c r="FE31" s="18"/>
      <c r="FG31" s="12" t="s">
        <v>320</v>
      </c>
      <c r="FH31" s="22">
        <v>210</v>
      </c>
      <c r="FI31" s="18">
        <v>0.96</v>
      </c>
      <c r="FJ31" s="22">
        <v>350</v>
      </c>
      <c r="FK31" s="11" t="s">
        <v>319</v>
      </c>
      <c r="FM31" s="18"/>
      <c r="FO31" s="11" t="s">
        <v>319</v>
      </c>
      <c r="FQ31" s="18"/>
      <c r="FS31" s="11" t="s">
        <v>319</v>
      </c>
      <c r="FU31" s="18"/>
      <c r="FW31" s="11" t="s">
        <v>319</v>
      </c>
      <c r="FY31" s="18"/>
      <c r="GA31" s="11" t="s">
        <v>319</v>
      </c>
      <c r="GC31" s="18"/>
      <c r="GE31" s="11" t="s">
        <v>319</v>
      </c>
      <c r="GG31" s="18"/>
      <c r="GI31" s="11" t="s">
        <v>319</v>
      </c>
      <c r="GK31" s="18"/>
      <c r="GM31" s="11" t="s">
        <v>319</v>
      </c>
      <c r="GO31" s="18"/>
      <c r="GQ31" s="11" t="s">
        <v>319</v>
      </c>
      <c r="GS31" s="18"/>
      <c r="GU31" s="11" t="s">
        <v>319</v>
      </c>
      <c r="GW31" s="18"/>
      <c r="GY31" s="11" t="s">
        <v>320</v>
      </c>
      <c r="GZ31" s="22">
        <v>202</v>
      </c>
      <c r="HA31" s="18">
        <v>0.96</v>
      </c>
      <c r="HB31" s="22">
        <v>202</v>
      </c>
      <c r="HF31" s="18"/>
      <c r="HH31" s="11" t="s">
        <v>319</v>
      </c>
      <c r="HK31" s="11" t="s">
        <v>319</v>
      </c>
      <c r="HL31" s="11" t="s">
        <v>320</v>
      </c>
      <c r="HM31" s="11" t="s">
        <v>544</v>
      </c>
      <c r="HN31" s="11">
        <v>2017</v>
      </c>
      <c r="HP31" s="11" t="s">
        <v>418</v>
      </c>
      <c r="HQ31" s="11" t="s">
        <v>319</v>
      </c>
      <c r="HR31" s="11" t="s">
        <v>319</v>
      </c>
      <c r="HS31" s="11" t="s">
        <v>319</v>
      </c>
      <c r="HT31" s="11" t="s">
        <v>319</v>
      </c>
      <c r="HU31" s="11" t="s">
        <v>319</v>
      </c>
      <c r="HV31" s="11" t="s">
        <v>319</v>
      </c>
      <c r="HW31" s="11" t="s">
        <v>319</v>
      </c>
      <c r="HX31" s="11" t="s">
        <v>319</v>
      </c>
      <c r="HZ31" s="11" t="s">
        <v>363</v>
      </c>
      <c r="IB31" s="11" t="s">
        <v>396</v>
      </c>
      <c r="IC31" s="11" t="s">
        <v>722</v>
      </c>
      <c r="ID31" s="11" t="s">
        <v>364</v>
      </c>
      <c r="IE31" s="11" t="s">
        <v>335</v>
      </c>
      <c r="IF31" s="11" t="s">
        <v>320</v>
      </c>
      <c r="IG31" s="11" t="s">
        <v>320</v>
      </c>
      <c r="IH31" s="11" t="s">
        <v>320</v>
      </c>
      <c r="II31" s="11" t="s">
        <v>320</v>
      </c>
      <c r="IJ31" s="12" t="str">
        <f t="shared" si="1"/>
        <v>2. Sensitive</v>
      </c>
      <c r="IK31" s="12">
        <f t="shared" si="2"/>
        <v>4</v>
      </c>
      <c r="IL31" s="11" t="s">
        <v>723</v>
      </c>
      <c r="IM31" s="11" t="s">
        <v>319</v>
      </c>
      <c r="IN31" s="11" t="s">
        <v>319</v>
      </c>
      <c r="IO31" s="11" t="s">
        <v>319</v>
      </c>
      <c r="IP31" s="11" t="s">
        <v>319</v>
      </c>
      <c r="IQ31" s="12" t="str">
        <f t="shared" si="3"/>
        <v>0. Unaware</v>
      </c>
      <c r="IR31" s="12">
        <f t="shared" si="4"/>
        <v>0</v>
      </c>
      <c r="IW31" s="11" t="str">
        <f t="shared" si="5"/>
        <v>No marker score</v>
      </c>
      <c r="IX31" s="12">
        <f t="shared" si="6"/>
        <v>0</v>
      </c>
      <c r="IY31" s="11" t="s">
        <v>419</v>
      </c>
      <c r="IZ31" s="11" t="s">
        <v>432</v>
      </c>
      <c r="JA31" s="11">
        <v>4</v>
      </c>
      <c r="JB31" s="11" t="s">
        <v>433</v>
      </c>
      <c r="JC31" s="11" t="s">
        <v>724</v>
      </c>
      <c r="JD31" s="11" t="s">
        <v>725</v>
      </c>
      <c r="JE31" s="11" t="s">
        <v>420</v>
      </c>
      <c r="JH31" s="11" t="s">
        <v>726</v>
      </c>
      <c r="JI31" s="11" t="s">
        <v>727</v>
      </c>
      <c r="JK31" s="11" t="s">
        <v>728</v>
      </c>
      <c r="JL31" s="11" t="s">
        <v>729</v>
      </c>
      <c r="JM31" s="11" t="s">
        <v>730</v>
      </c>
      <c r="JO31" s="11" t="s">
        <v>731</v>
      </c>
      <c r="JP31" s="15">
        <f t="shared" si="7"/>
        <v>210</v>
      </c>
      <c r="JQ31" s="15">
        <f t="shared" si="8"/>
        <v>400</v>
      </c>
      <c r="JR31" s="279">
        <f t="shared" si="9"/>
        <v>1.9047619047619047</v>
      </c>
      <c r="JS31" s="17">
        <f t="shared" si="10"/>
        <v>0.96190476190476193</v>
      </c>
      <c r="JT31" s="18">
        <f t="shared" si="11"/>
        <v>0.875</v>
      </c>
      <c r="JU31" s="280">
        <f t="shared" si="12"/>
        <v>202</v>
      </c>
      <c r="JV31" s="280">
        <f t="shared" si="13"/>
        <v>350</v>
      </c>
      <c r="JW31" s="319" t="str">
        <f t="shared" si="14"/>
        <v/>
      </c>
      <c r="JX31" s="15">
        <f t="shared" si="15"/>
        <v>0</v>
      </c>
      <c r="JY31" s="15">
        <f t="shared" si="16"/>
        <v>0</v>
      </c>
      <c r="JZ31" s="19" t="str">
        <f t="shared" si="17"/>
        <v/>
      </c>
      <c r="KA31" s="52">
        <f t="shared" si="18"/>
        <v>1</v>
      </c>
      <c r="KB31" s="15">
        <f t="shared" si="19"/>
        <v>210</v>
      </c>
      <c r="KC31" s="15">
        <f t="shared" si="20"/>
        <v>400</v>
      </c>
      <c r="KD31" s="20">
        <f t="shared" si="21"/>
        <v>1.9047619047619047</v>
      </c>
      <c r="KE31" s="52" t="str">
        <f t="shared" si="22"/>
        <v/>
      </c>
      <c r="KF31" s="15">
        <f t="shared" si="23"/>
        <v>0</v>
      </c>
      <c r="KG31" s="15">
        <f t="shared" si="24"/>
        <v>0</v>
      </c>
      <c r="KH31" s="21" t="str">
        <f t="shared" si="25"/>
        <v/>
      </c>
      <c r="KI31" s="52" t="str">
        <f t="shared" si="26"/>
        <v/>
      </c>
      <c r="KJ31" s="15">
        <f t="shared" si="27"/>
        <v>0</v>
      </c>
      <c r="KK31" s="15">
        <f t="shared" si="28"/>
        <v>0</v>
      </c>
      <c r="KL31" s="19" t="str">
        <f t="shared" si="29"/>
        <v/>
      </c>
      <c r="KM31" s="52">
        <f t="shared" si="30"/>
        <v>1</v>
      </c>
      <c r="KN31" s="22">
        <f t="shared" si="31"/>
        <v>202</v>
      </c>
      <c r="KO31" s="22">
        <f t="shared" si="32"/>
        <v>336</v>
      </c>
      <c r="KP31" s="19">
        <f t="shared" si="33"/>
        <v>1.6633663366336633</v>
      </c>
      <c r="KQ31" s="11" t="str">
        <f t="shared" si="34"/>
        <v>2. Sensitive</v>
      </c>
      <c r="KR31" s="11" t="str">
        <f t="shared" si="35"/>
        <v>0. Unaware</v>
      </c>
      <c r="KS31" s="11" t="str">
        <f t="shared" si="36"/>
        <v>No marker score</v>
      </c>
      <c r="KT31" s="11" t="str">
        <f t="shared" si="37"/>
        <v>It did not develop any specific innovation</v>
      </c>
      <c r="KU31" s="11" t="str">
        <f t="shared" si="38"/>
        <v>Little or no advocacy</v>
      </c>
      <c r="KV31" s="11" t="str">
        <f t="shared" si="39"/>
        <v>It linked and worked with strategic alliances and partners to take tested and effective solutions to scale</v>
      </c>
      <c r="KW31" s="11" t="str">
        <f t="shared" si="40"/>
        <v>Bangladesh - GL- Jute valu chain sub project</v>
      </c>
      <c r="KX31" s="11" t="str">
        <f t="shared" si="41"/>
        <v>GL- Jute valu chain sub project</v>
      </c>
      <c r="KY31" s="11" t="str">
        <f t="shared" si="42"/>
        <v>Bangladesh</v>
      </c>
      <c r="KZ31" s="12">
        <v>31</v>
      </c>
    </row>
    <row r="32" spans="1:312" x14ac:dyDescent="0.3">
      <c r="A32" s="11" t="s">
        <v>652</v>
      </c>
      <c r="B32" s="11" t="s">
        <v>306</v>
      </c>
      <c r="C32" s="11">
        <v>2753</v>
      </c>
      <c r="D32" s="11" t="s">
        <v>1072</v>
      </c>
      <c r="E32" s="24" t="str">
        <f t="shared" si="0"/>
        <v>Bangladesh</v>
      </c>
      <c r="F32" s="11" t="s">
        <v>1073</v>
      </c>
      <c r="G32" s="11" t="s">
        <v>379</v>
      </c>
      <c r="H32" s="11" t="s">
        <v>380</v>
      </c>
      <c r="I32" s="11" t="s">
        <v>381</v>
      </c>
      <c r="J32" s="278" t="s">
        <v>8430</v>
      </c>
      <c r="BD32" s="23">
        <v>41927</v>
      </c>
      <c r="BE32" s="23">
        <v>42643</v>
      </c>
      <c r="BG32" s="11" t="s">
        <v>312</v>
      </c>
      <c r="BH32" s="22">
        <v>1381875.4741944999</v>
      </c>
      <c r="BI32" s="11" t="s">
        <v>845</v>
      </c>
      <c r="BJ32" s="11" t="s">
        <v>991</v>
      </c>
      <c r="BK32" s="11" t="s">
        <v>847</v>
      </c>
      <c r="BL32" s="11" t="s">
        <v>1074</v>
      </c>
      <c r="BM32" s="11" t="s">
        <v>751</v>
      </c>
      <c r="BN32" s="11" t="s">
        <v>1075</v>
      </c>
      <c r="BO32" s="11" t="s">
        <v>319</v>
      </c>
      <c r="BP32" s="11" t="s">
        <v>320</v>
      </c>
      <c r="BQ32" s="11" t="s">
        <v>319</v>
      </c>
      <c r="BR32" s="11" t="s">
        <v>1076</v>
      </c>
      <c r="BS32" s="11" t="s">
        <v>357</v>
      </c>
      <c r="BT32" s="11" t="s">
        <v>1077</v>
      </c>
      <c r="BU32" s="11" t="s">
        <v>1078</v>
      </c>
      <c r="BV32" s="22">
        <v>166267</v>
      </c>
      <c r="BW32" s="22">
        <v>166733</v>
      </c>
      <c r="BX32" s="22">
        <v>333000</v>
      </c>
      <c r="CB32" s="15" t="s">
        <v>1079</v>
      </c>
      <c r="CL32" s="18"/>
      <c r="CP32" s="18"/>
      <c r="CT32" s="18"/>
      <c r="CX32" s="18"/>
      <c r="DB32" s="18"/>
      <c r="DF32" s="18"/>
      <c r="DJ32" s="18"/>
      <c r="DN32" s="18"/>
      <c r="DR32" s="18"/>
      <c r="DV32" s="18"/>
      <c r="DZ32" s="18"/>
      <c r="ED32" s="18"/>
      <c r="EI32" s="18"/>
      <c r="EK32" s="22">
        <v>166267</v>
      </c>
      <c r="EL32" s="22">
        <v>166733</v>
      </c>
      <c r="EM32" s="22">
        <v>333000</v>
      </c>
      <c r="EN32" s="22">
        <v>0</v>
      </c>
      <c r="EO32" s="22">
        <v>0</v>
      </c>
      <c r="EP32" s="22">
        <v>0</v>
      </c>
      <c r="EQ32" s="12" t="s">
        <v>319</v>
      </c>
      <c r="ES32" s="18"/>
      <c r="EU32" s="11" t="s">
        <v>319</v>
      </c>
      <c r="EW32" s="18"/>
      <c r="EY32" s="12" t="s">
        <v>319</v>
      </c>
      <c r="FA32" s="18"/>
      <c r="FC32" s="12" t="s">
        <v>319</v>
      </c>
      <c r="FE32" s="18"/>
      <c r="FG32" s="12" t="s">
        <v>319</v>
      </c>
      <c r="FI32" s="18"/>
      <c r="FK32" s="11" t="s">
        <v>319</v>
      </c>
      <c r="FM32" s="18"/>
      <c r="FO32" s="11" t="s">
        <v>319</v>
      </c>
      <c r="FQ32" s="18"/>
      <c r="FS32" s="11" t="s">
        <v>319</v>
      </c>
      <c r="FU32" s="18"/>
      <c r="FW32" s="11" t="s">
        <v>319</v>
      </c>
      <c r="FY32" s="18"/>
      <c r="GA32" s="11" t="s">
        <v>319</v>
      </c>
      <c r="GC32" s="18"/>
      <c r="GE32" s="11" t="s">
        <v>319</v>
      </c>
      <c r="GG32" s="18"/>
      <c r="GI32" s="11" t="s">
        <v>319</v>
      </c>
      <c r="GK32" s="18"/>
      <c r="GM32" s="11" t="s">
        <v>319</v>
      </c>
      <c r="GO32" s="18"/>
      <c r="GQ32" s="11" t="s">
        <v>319</v>
      </c>
      <c r="GS32" s="18"/>
      <c r="GU32" s="12" t="s">
        <v>320</v>
      </c>
      <c r="GV32" s="22">
        <v>333000</v>
      </c>
      <c r="GW32" s="18">
        <v>0.5</v>
      </c>
      <c r="GX32" s="22">
        <v>0</v>
      </c>
      <c r="GY32" s="11" t="s">
        <v>319</v>
      </c>
      <c r="HA32" s="18"/>
      <c r="HF32" s="18"/>
      <c r="HH32" s="11" t="s">
        <v>320</v>
      </c>
      <c r="HI32" s="11" t="s">
        <v>416</v>
      </c>
      <c r="HJ32" s="11">
        <v>2017</v>
      </c>
      <c r="HK32" s="11" t="s">
        <v>319</v>
      </c>
      <c r="HL32" s="11" t="s">
        <v>319</v>
      </c>
      <c r="HO32" s="11" t="s">
        <v>1080</v>
      </c>
      <c r="HP32" s="11" t="s">
        <v>330</v>
      </c>
      <c r="HQ32" s="11" t="s">
        <v>319</v>
      </c>
      <c r="HR32" s="11" t="s">
        <v>319</v>
      </c>
      <c r="HS32" s="11" t="s">
        <v>320</v>
      </c>
      <c r="HT32" s="11" t="s">
        <v>320</v>
      </c>
      <c r="HU32" s="11" t="s">
        <v>320</v>
      </c>
      <c r="HV32" s="11" t="s">
        <v>319</v>
      </c>
      <c r="HW32" s="11" t="s">
        <v>320</v>
      </c>
      <c r="HX32" s="11" t="s">
        <v>319</v>
      </c>
      <c r="HZ32" s="11" t="s">
        <v>363</v>
      </c>
      <c r="IB32" s="11" t="s">
        <v>396</v>
      </c>
      <c r="IC32" s="11" t="s">
        <v>1081</v>
      </c>
      <c r="ID32" s="11" t="s">
        <v>364</v>
      </c>
      <c r="IE32" s="11" t="s">
        <v>335</v>
      </c>
      <c r="IF32" s="11" t="s">
        <v>320</v>
      </c>
      <c r="IG32" s="11" t="s">
        <v>320</v>
      </c>
      <c r="IH32" s="11" t="s">
        <v>320</v>
      </c>
      <c r="II32" s="11" t="s">
        <v>320</v>
      </c>
      <c r="IJ32" s="12" t="str">
        <f t="shared" si="1"/>
        <v>2. Sensitive</v>
      </c>
      <c r="IK32" s="12">
        <f t="shared" si="2"/>
        <v>4</v>
      </c>
      <c r="IL32" s="11" t="s">
        <v>336</v>
      </c>
      <c r="IM32" s="11" t="s">
        <v>320</v>
      </c>
      <c r="IN32" s="11" t="s">
        <v>320</v>
      </c>
      <c r="IO32" s="11" t="s">
        <v>320</v>
      </c>
      <c r="IP32" s="11" t="s">
        <v>320</v>
      </c>
      <c r="IQ32" s="12" t="str">
        <f t="shared" si="3"/>
        <v>2. Accommodating</v>
      </c>
      <c r="IR32" s="12">
        <f t="shared" si="4"/>
        <v>4</v>
      </c>
      <c r="IS32" s="11" t="s">
        <v>337</v>
      </c>
      <c r="IT32" s="11" t="s">
        <v>320</v>
      </c>
      <c r="IU32" s="11" t="s">
        <v>320</v>
      </c>
      <c r="IV32" s="11" t="s">
        <v>320</v>
      </c>
      <c r="IW32" s="11" t="str">
        <f t="shared" si="5"/>
        <v>2. Sensitive</v>
      </c>
      <c r="IX32" s="12">
        <f t="shared" si="6"/>
        <v>3</v>
      </c>
      <c r="IY32" s="11" t="s">
        <v>419</v>
      </c>
      <c r="IZ32" s="11" t="s">
        <v>339</v>
      </c>
      <c r="JE32" s="11" t="s">
        <v>420</v>
      </c>
      <c r="JH32" s="11" t="s">
        <v>1082</v>
      </c>
      <c r="JI32" s="11" t="s">
        <v>1083</v>
      </c>
      <c r="JJ32" s="11" t="s">
        <v>1084</v>
      </c>
      <c r="JK32" s="11" t="s">
        <v>1085</v>
      </c>
      <c r="JL32" s="11" t="s">
        <v>1086</v>
      </c>
      <c r="JM32" s="11" t="s">
        <v>1087</v>
      </c>
      <c r="JP32" s="15">
        <f t="shared" si="7"/>
        <v>333000</v>
      </c>
      <c r="JQ32" s="15">
        <f t="shared" si="8"/>
        <v>0</v>
      </c>
      <c r="JR32" s="279">
        <f t="shared" si="9"/>
        <v>0</v>
      </c>
      <c r="JS32" s="17">
        <f t="shared" si="10"/>
        <v>0.49930030030030031</v>
      </c>
      <c r="JT32" s="18" t="str">
        <f t="shared" si="11"/>
        <v/>
      </c>
      <c r="JU32" s="280">
        <f t="shared" si="12"/>
        <v>166267</v>
      </c>
      <c r="JV32" s="280">
        <f t="shared" si="13"/>
        <v>0</v>
      </c>
      <c r="JW32" s="319" t="str">
        <f t="shared" si="14"/>
        <v/>
      </c>
      <c r="JX32" s="15">
        <f t="shared" si="15"/>
        <v>0</v>
      </c>
      <c r="JY32" s="15">
        <f t="shared" si="16"/>
        <v>0</v>
      </c>
      <c r="JZ32" s="19" t="str">
        <f t="shared" si="17"/>
        <v/>
      </c>
      <c r="KA32" s="52">
        <f t="shared" si="18"/>
        <v>1</v>
      </c>
      <c r="KB32" s="15">
        <f t="shared" si="19"/>
        <v>333000</v>
      </c>
      <c r="KC32" s="15">
        <f t="shared" si="20"/>
        <v>0</v>
      </c>
      <c r="KD32" s="20">
        <f t="shared" si="21"/>
        <v>0</v>
      </c>
      <c r="KE32" s="52" t="str">
        <f t="shared" si="22"/>
        <v/>
      </c>
      <c r="KF32" s="15">
        <f t="shared" si="23"/>
        <v>0</v>
      </c>
      <c r="KG32" s="15">
        <f t="shared" si="24"/>
        <v>0</v>
      </c>
      <c r="KH32" s="21" t="str">
        <f t="shared" si="25"/>
        <v/>
      </c>
      <c r="KI32" s="52" t="str">
        <f t="shared" si="26"/>
        <v/>
      </c>
      <c r="KJ32" s="15">
        <f t="shared" si="27"/>
        <v>0</v>
      </c>
      <c r="KK32" s="15">
        <f t="shared" si="28"/>
        <v>0</v>
      </c>
      <c r="KL32" s="19" t="str">
        <f t="shared" si="29"/>
        <v/>
      </c>
      <c r="KM32" s="52" t="str">
        <f t="shared" si="30"/>
        <v/>
      </c>
      <c r="KN32" s="22">
        <f t="shared" si="31"/>
        <v>0</v>
      </c>
      <c r="KO32" s="22">
        <f t="shared" si="32"/>
        <v>0</v>
      </c>
      <c r="KP32" s="19" t="str">
        <f t="shared" si="33"/>
        <v/>
      </c>
      <c r="KQ32" s="11" t="str">
        <f t="shared" si="34"/>
        <v>2. Sensitive</v>
      </c>
      <c r="KR32" s="11" t="str">
        <f t="shared" si="35"/>
        <v>2. Accommodating</v>
      </c>
      <c r="KS32" s="11" t="str">
        <f t="shared" si="36"/>
        <v>2. Sensitive</v>
      </c>
      <c r="KT32" s="11" t="str">
        <f t="shared" si="37"/>
        <v>It did not develop any specific innovation</v>
      </c>
      <c r="KU32" s="11" t="str">
        <f t="shared" si="38"/>
        <v>Moderate advocacy</v>
      </c>
      <c r="KV32" s="11" t="str">
        <f t="shared" si="39"/>
        <v>It linked and worked with strategic alliances and partners to take tested and effective solutions to scale</v>
      </c>
      <c r="KW32" s="11" t="str">
        <f t="shared" si="40"/>
        <v>Bangladesh - GoB-UNICEF CATS (Communty  Approaches to Total Sanitation) Project</v>
      </c>
      <c r="KX32" s="11" t="str">
        <f t="shared" si="41"/>
        <v>GoB-UNICEF CATS (Communty  Approaches to Total Sanitation) Project</v>
      </c>
      <c r="KY32" s="11" t="str">
        <f t="shared" si="42"/>
        <v>Bangladesh</v>
      </c>
      <c r="KZ32" s="287">
        <v>32</v>
      </c>
    </row>
    <row r="33" spans="1:312" x14ac:dyDescent="0.3">
      <c r="A33" s="11" t="s">
        <v>652</v>
      </c>
      <c r="B33" s="11" t="s">
        <v>306</v>
      </c>
      <c r="D33" s="11" t="s">
        <v>944</v>
      </c>
      <c r="E33" s="24" t="str">
        <f t="shared" si="0"/>
        <v>Bangladesh</v>
      </c>
      <c r="F33" s="11" t="s">
        <v>945</v>
      </c>
      <c r="G33" s="11" t="s">
        <v>488</v>
      </c>
      <c r="H33" s="11" t="s">
        <v>384</v>
      </c>
      <c r="I33" s="11" t="s">
        <v>384</v>
      </c>
      <c r="J33" s="278" t="s">
        <v>946</v>
      </c>
      <c r="BD33" s="23">
        <v>42767</v>
      </c>
      <c r="BE33" s="23">
        <v>43861</v>
      </c>
      <c r="BG33" s="11" t="s">
        <v>947</v>
      </c>
      <c r="BH33" s="22">
        <v>1282530</v>
      </c>
      <c r="BI33" s="11" t="s">
        <v>656</v>
      </c>
      <c r="BJ33" s="11" t="s">
        <v>682</v>
      </c>
      <c r="BK33" s="11" t="s">
        <v>658</v>
      </c>
      <c r="BL33" s="11" t="s">
        <v>679</v>
      </c>
      <c r="BM33" s="11" t="s">
        <v>680</v>
      </c>
      <c r="BN33" s="11" t="s">
        <v>681</v>
      </c>
      <c r="BO33" s="11" t="s">
        <v>319</v>
      </c>
      <c r="BP33" s="11" t="s">
        <v>320</v>
      </c>
      <c r="BQ33" s="11" t="s">
        <v>319</v>
      </c>
      <c r="BR33" s="11" t="s">
        <v>948</v>
      </c>
      <c r="BS33" s="11" t="s">
        <v>357</v>
      </c>
      <c r="BT33" s="11" t="s">
        <v>881</v>
      </c>
      <c r="BU33" s="11" t="s">
        <v>882</v>
      </c>
      <c r="BV33" s="22">
        <v>30000</v>
      </c>
      <c r="BW33" s="22">
        <v>20000</v>
      </c>
      <c r="BX33" s="22">
        <v>50000</v>
      </c>
      <c r="BY33" s="22">
        <v>1500000</v>
      </c>
      <c r="BZ33" s="22">
        <v>1000000</v>
      </c>
      <c r="CA33" s="22">
        <v>2500000</v>
      </c>
      <c r="CB33" s="15" t="s">
        <v>883</v>
      </c>
      <c r="CL33" s="18"/>
      <c r="CP33" s="18"/>
      <c r="CT33" s="18"/>
      <c r="CX33" s="18"/>
      <c r="DB33" s="18"/>
      <c r="DF33" s="18"/>
      <c r="DJ33" s="18"/>
      <c r="DN33" s="18"/>
      <c r="DR33" s="18"/>
      <c r="DV33" s="18"/>
      <c r="DZ33" s="18"/>
      <c r="ED33" s="18"/>
      <c r="EI33" s="18"/>
      <c r="EK33" s="22">
        <v>0</v>
      </c>
      <c r="EL33" s="22">
        <v>0</v>
      </c>
      <c r="EM33" s="22">
        <v>0</v>
      </c>
      <c r="EN33" s="22">
        <v>0</v>
      </c>
      <c r="EO33" s="22">
        <v>0</v>
      </c>
      <c r="EP33" s="22">
        <v>0</v>
      </c>
      <c r="EQ33" s="12" t="s">
        <v>319</v>
      </c>
      <c r="ES33" s="18"/>
      <c r="EU33" s="11" t="s">
        <v>319</v>
      </c>
      <c r="EW33" s="18"/>
      <c r="EY33" s="12" t="s">
        <v>319</v>
      </c>
      <c r="FA33" s="18"/>
      <c r="FC33" s="12" t="s">
        <v>319</v>
      </c>
      <c r="FE33" s="18"/>
      <c r="FG33" s="12" t="s">
        <v>319</v>
      </c>
      <c r="FI33" s="18"/>
      <c r="FK33" s="11" t="s">
        <v>319</v>
      </c>
      <c r="FM33" s="18"/>
      <c r="FO33" s="11" t="s">
        <v>319</v>
      </c>
      <c r="FQ33" s="18"/>
      <c r="FS33" s="11" t="s">
        <v>319</v>
      </c>
      <c r="FU33" s="18"/>
      <c r="FW33" s="11" t="s">
        <v>319</v>
      </c>
      <c r="FY33" s="18"/>
      <c r="GA33" s="11" t="s">
        <v>319</v>
      </c>
      <c r="GC33" s="18"/>
      <c r="GE33" s="11" t="s">
        <v>319</v>
      </c>
      <c r="GG33" s="18"/>
      <c r="GI33" s="11" t="s">
        <v>319</v>
      </c>
      <c r="GK33" s="18"/>
      <c r="GM33" s="11" t="s">
        <v>319</v>
      </c>
      <c r="GO33" s="18"/>
      <c r="GQ33" s="11" t="s">
        <v>319</v>
      </c>
      <c r="GS33" s="18"/>
      <c r="GU33" s="11" t="s">
        <v>319</v>
      </c>
      <c r="GW33" s="18"/>
      <c r="GY33" s="11" t="s">
        <v>319</v>
      </c>
      <c r="HA33" s="18"/>
      <c r="HF33" s="18"/>
      <c r="HH33" s="11" t="s">
        <v>319</v>
      </c>
      <c r="HK33" s="11" t="s">
        <v>319</v>
      </c>
      <c r="HL33" s="11" t="s">
        <v>320</v>
      </c>
      <c r="HM33" s="11" t="s">
        <v>544</v>
      </c>
      <c r="HN33" s="11">
        <v>2018</v>
      </c>
      <c r="HP33" s="11" t="s">
        <v>418</v>
      </c>
      <c r="HQ33" s="11" t="s">
        <v>319</v>
      </c>
      <c r="HR33" s="11" t="s">
        <v>319</v>
      </c>
      <c r="HS33" s="11" t="s">
        <v>319</v>
      </c>
      <c r="HT33" s="11" t="s">
        <v>319</v>
      </c>
      <c r="HU33" s="11" t="s">
        <v>319</v>
      </c>
      <c r="HV33" s="11" t="s">
        <v>319</v>
      </c>
      <c r="HW33" s="11" t="s">
        <v>319</v>
      </c>
      <c r="HX33" s="11" t="s">
        <v>319</v>
      </c>
      <c r="HZ33" s="11" t="s">
        <v>363</v>
      </c>
      <c r="IB33" s="11" t="s">
        <v>333</v>
      </c>
      <c r="ID33" s="11" t="s">
        <v>364</v>
      </c>
      <c r="IE33" s="11" t="s">
        <v>335</v>
      </c>
      <c r="IF33" s="11" t="s">
        <v>320</v>
      </c>
      <c r="IG33" s="11" t="s">
        <v>320</v>
      </c>
      <c r="IH33" s="11" t="s">
        <v>320</v>
      </c>
      <c r="II33" s="11" t="s">
        <v>320</v>
      </c>
      <c r="IJ33" s="12" t="str">
        <f t="shared" si="1"/>
        <v>2. Sensitive</v>
      </c>
      <c r="IK33" s="12">
        <f t="shared" si="2"/>
        <v>4</v>
      </c>
      <c r="IL33" s="11" t="s">
        <v>336</v>
      </c>
      <c r="IM33" s="11" t="s">
        <v>320</v>
      </c>
      <c r="IN33" s="11" t="s">
        <v>320</v>
      </c>
      <c r="IO33" s="11" t="s">
        <v>320</v>
      </c>
      <c r="IP33" s="11" t="s">
        <v>320</v>
      </c>
      <c r="IQ33" s="12" t="str">
        <f t="shared" si="3"/>
        <v>2. Accommodating</v>
      </c>
      <c r="IR33" s="12">
        <f t="shared" si="4"/>
        <v>4</v>
      </c>
      <c r="IW33" s="11" t="str">
        <f t="shared" si="5"/>
        <v>No marker score</v>
      </c>
      <c r="IX33" s="12">
        <f t="shared" si="6"/>
        <v>0</v>
      </c>
      <c r="IY33" s="11" t="s">
        <v>338</v>
      </c>
      <c r="IZ33" s="11" t="s">
        <v>339</v>
      </c>
      <c r="JE33" s="11" t="s">
        <v>420</v>
      </c>
      <c r="JH33" s="11" t="s">
        <v>884</v>
      </c>
      <c r="JI33" s="11" t="s">
        <v>949</v>
      </c>
      <c r="JJ33" s="11" t="s">
        <v>886</v>
      </c>
      <c r="JP33" s="15">
        <f t="shared" si="7"/>
        <v>0</v>
      </c>
      <c r="JQ33" s="15">
        <f t="shared" si="8"/>
        <v>0</v>
      </c>
      <c r="JR33" s="279" t="str">
        <f t="shared" si="9"/>
        <v/>
      </c>
      <c r="JS33" s="17" t="str">
        <f t="shared" si="10"/>
        <v/>
      </c>
      <c r="JT33" s="18" t="str">
        <f t="shared" si="11"/>
        <v/>
      </c>
      <c r="JU33" s="280">
        <f t="shared" si="12"/>
        <v>0</v>
      </c>
      <c r="JV33" s="280">
        <f t="shared" si="13"/>
        <v>0</v>
      </c>
      <c r="JW33" s="319" t="str">
        <f t="shared" si="14"/>
        <v/>
      </c>
      <c r="JX33" s="15">
        <f t="shared" si="15"/>
        <v>0</v>
      </c>
      <c r="JY33" s="15">
        <f t="shared" si="16"/>
        <v>0</v>
      </c>
      <c r="JZ33" s="19" t="str">
        <f t="shared" si="17"/>
        <v/>
      </c>
      <c r="KA33" s="52" t="str">
        <f t="shared" si="18"/>
        <v/>
      </c>
      <c r="KB33" s="15">
        <f t="shared" si="19"/>
        <v>0</v>
      </c>
      <c r="KC33" s="15">
        <f t="shared" si="20"/>
        <v>0</v>
      </c>
      <c r="KD33" s="20" t="str">
        <f t="shared" si="21"/>
        <v/>
      </c>
      <c r="KE33" s="52" t="str">
        <f t="shared" si="22"/>
        <v/>
      </c>
      <c r="KF33" s="15">
        <f t="shared" si="23"/>
        <v>0</v>
      </c>
      <c r="KG33" s="15">
        <f t="shared" si="24"/>
        <v>0</v>
      </c>
      <c r="KH33" s="21" t="str">
        <f t="shared" si="25"/>
        <v/>
      </c>
      <c r="KI33" s="52" t="str">
        <f t="shared" si="26"/>
        <v/>
      </c>
      <c r="KJ33" s="15">
        <f t="shared" si="27"/>
        <v>0</v>
      </c>
      <c r="KK33" s="15">
        <f t="shared" si="28"/>
        <v>0</v>
      </c>
      <c r="KL33" s="19" t="str">
        <f t="shared" si="29"/>
        <v/>
      </c>
      <c r="KM33" s="52" t="str">
        <f t="shared" si="30"/>
        <v/>
      </c>
      <c r="KN33" s="22">
        <f t="shared" si="31"/>
        <v>0</v>
      </c>
      <c r="KO33" s="22">
        <f t="shared" si="32"/>
        <v>0</v>
      </c>
      <c r="KP33" s="19" t="str">
        <f t="shared" si="33"/>
        <v/>
      </c>
      <c r="KQ33" s="11" t="str">
        <f t="shared" si="34"/>
        <v>2. Sensitive</v>
      </c>
      <c r="KR33" s="11" t="str">
        <f t="shared" si="35"/>
        <v>2. Accommodating</v>
      </c>
      <c r="KS33" s="11" t="str">
        <f t="shared" si="36"/>
        <v>No marker score</v>
      </c>
      <c r="KT33" s="11" t="str">
        <f t="shared" si="37"/>
        <v>It did not develop any specific innovation</v>
      </c>
      <c r="KU33" s="11" t="str">
        <f t="shared" si="38"/>
        <v>Little or no advocacy</v>
      </c>
      <c r="KV33" s="11" t="str">
        <f t="shared" si="39"/>
        <v>It did not take tested solutions to scale</v>
      </c>
      <c r="KW33" s="11" t="str">
        <f t="shared" si="40"/>
        <v>Bangladesh - 'HALOW+ (Health Access and Linkage Opportunities for Workers)</v>
      </c>
      <c r="KX33" s="11" t="str">
        <f t="shared" si="41"/>
        <v>'HALOW+ (Health Access and Linkage Opportunities for Workers)</v>
      </c>
      <c r="KY33" s="11" t="str">
        <f t="shared" si="42"/>
        <v>Bangladesh</v>
      </c>
      <c r="KZ33" s="287">
        <v>33</v>
      </c>
    </row>
    <row r="34" spans="1:312" x14ac:dyDescent="0.3">
      <c r="A34" s="11" t="s">
        <v>652</v>
      </c>
      <c r="B34" s="11" t="s">
        <v>306</v>
      </c>
      <c r="C34" s="11">
        <v>2776</v>
      </c>
      <c r="D34" s="11" t="s">
        <v>1470</v>
      </c>
      <c r="E34" s="24" t="str">
        <f t="shared" si="0"/>
        <v>Bangladesh</v>
      </c>
      <c r="F34" s="11" t="s">
        <v>1471</v>
      </c>
      <c r="G34" s="11" t="s">
        <v>608</v>
      </c>
      <c r="H34" s="11" t="s">
        <v>384</v>
      </c>
      <c r="I34" s="11" t="s">
        <v>1472</v>
      </c>
      <c r="J34" s="278" t="s">
        <v>8559</v>
      </c>
      <c r="BD34" s="23">
        <v>42339</v>
      </c>
      <c r="BE34" s="23">
        <v>43069</v>
      </c>
      <c r="BG34" s="11" t="s">
        <v>312</v>
      </c>
      <c r="BH34" s="22">
        <v>1090027</v>
      </c>
      <c r="BI34" s="11" t="s">
        <v>1473</v>
      </c>
      <c r="BJ34" s="11" t="s">
        <v>751</v>
      </c>
      <c r="BK34" s="25" t="s">
        <v>1474</v>
      </c>
      <c r="BL34" s="11" t="s">
        <v>1475</v>
      </c>
      <c r="BM34" s="11" t="s">
        <v>1476</v>
      </c>
      <c r="BN34" s="11" t="s">
        <v>1477</v>
      </c>
      <c r="BO34" s="12" t="s">
        <v>319</v>
      </c>
      <c r="BP34" s="12" t="s">
        <v>320</v>
      </c>
      <c r="BQ34" s="12" t="s">
        <v>319</v>
      </c>
      <c r="BR34" s="11" t="s">
        <v>1478</v>
      </c>
      <c r="BS34" s="11" t="s">
        <v>357</v>
      </c>
      <c r="BT34" s="11" t="s">
        <v>1479</v>
      </c>
      <c r="BU34" s="11" t="s">
        <v>1480</v>
      </c>
      <c r="BV34" s="22">
        <v>324</v>
      </c>
      <c r="BW34" s="22">
        <v>8426</v>
      </c>
      <c r="BX34" s="22">
        <v>8750</v>
      </c>
      <c r="BY34" s="22">
        <v>179</v>
      </c>
      <c r="BZ34" s="22">
        <v>4909</v>
      </c>
      <c r="CA34" s="22">
        <v>5088</v>
      </c>
      <c r="CB34" s="15" t="s">
        <v>1481</v>
      </c>
      <c r="CL34" s="18"/>
      <c r="CP34" s="18"/>
      <c r="CT34" s="18"/>
      <c r="CX34" s="18"/>
      <c r="DB34" s="18"/>
      <c r="DF34" s="18"/>
      <c r="DJ34" s="18"/>
      <c r="DN34" s="18"/>
      <c r="DR34" s="18"/>
      <c r="DV34" s="18"/>
      <c r="DZ34" s="18"/>
      <c r="ED34" s="18"/>
      <c r="EI34" s="18"/>
      <c r="EK34" s="22">
        <v>326</v>
      </c>
      <c r="EL34" s="22">
        <v>8856</v>
      </c>
      <c r="EM34" s="22">
        <v>9182</v>
      </c>
      <c r="EN34" s="22">
        <v>179</v>
      </c>
      <c r="EO34" s="22">
        <v>4909</v>
      </c>
      <c r="EP34" s="22">
        <v>5088</v>
      </c>
      <c r="EQ34" s="12" t="s">
        <v>319</v>
      </c>
      <c r="ES34" s="18"/>
      <c r="EU34" s="11" t="s">
        <v>319</v>
      </c>
      <c r="EW34" s="18"/>
      <c r="EY34" s="12" t="s">
        <v>319</v>
      </c>
      <c r="FA34" s="18"/>
      <c r="FC34" s="12" t="s">
        <v>319</v>
      </c>
      <c r="FE34" s="18"/>
      <c r="FG34" s="12" t="s">
        <v>319</v>
      </c>
      <c r="FI34" s="18"/>
      <c r="FK34" s="12" t="s">
        <v>320</v>
      </c>
      <c r="FL34" s="22">
        <v>8995</v>
      </c>
      <c r="FM34" s="18">
        <v>0.03</v>
      </c>
      <c r="FN34" s="22">
        <v>1840</v>
      </c>
      <c r="FO34" s="12" t="s">
        <v>320</v>
      </c>
      <c r="FP34" s="22">
        <v>209</v>
      </c>
      <c r="FQ34" s="18">
        <v>7.0000000000000007E-2</v>
      </c>
      <c r="FR34" s="22">
        <v>209</v>
      </c>
      <c r="FS34" s="12" t="s">
        <v>320</v>
      </c>
      <c r="FT34" s="22">
        <v>1840</v>
      </c>
      <c r="FU34" s="18">
        <v>0.03</v>
      </c>
      <c r="FV34" s="22">
        <v>1840</v>
      </c>
      <c r="FW34" s="11" t="s">
        <v>319</v>
      </c>
      <c r="FY34" s="18"/>
      <c r="GA34" s="11" t="s">
        <v>320</v>
      </c>
      <c r="GB34" s="22">
        <v>8995</v>
      </c>
      <c r="GC34" s="18">
        <v>0.03</v>
      </c>
      <c r="GD34" s="22">
        <v>1840</v>
      </c>
      <c r="GE34" s="11" t="s">
        <v>319</v>
      </c>
      <c r="GG34" s="18"/>
      <c r="GI34" s="11" t="s">
        <v>319</v>
      </c>
      <c r="GK34" s="18"/>
      <c r="GM34" s="11" t="s">
        <v>319</v>
      </c>
      <c r="GO34" s="18"/>
      <c r="GQ34" s="12" t="s">
        <v>320</v>
      </c>
      <c r="GR34" s="22">
        <v>2794</v>
      </c>
      <c r="GS34" s="18">
        <v>0.3</v>
      </c>
      <c r="GT34" s="22">
        <v>2996</v>
      </c>
      <c r="GU34" s="11" t="s">
        <v>319</v>
      </c>
      <c r="GW34" s="18"/>
      <c r="GY34" s="11" t="s">
        <v>319</v>
      </c>
      <c r="HA34" s="18"/>
      <c r="HF34" s="18"/>
      <c r="HH34" s="11" t="s">
        <v>319</v>
      </c>
      <c r="HK34" s="11" t="s">
        <v>319</v>
      </c>
      <c r="HL34" s="11" t="s">
        <v>319</v>
      </c>
      <c r="HP34" s="11" t="s">
        <v>330</v>
      </c>
      <c r="HQ34" s="11" t="s">
        <v>319</v>
      </c>
      <c r="HR34" s="11" t="s">
        <v>319</v>
      </c>
      <c r="HS34" s="11" t="s">
        <v>319</v>
      </c>
      <c r="HT34" s="11" t="s">
        <v>319</v>
      </c>
      <c r="HU34" s="11" t="s">
        <v>319</v>
      </c>
      <c r="HV34" s="11" t="s">
        <v>320</v>
      </c>
      <c r="HW34" s="11" t="s">
        <v>319</v>
      </c>
      <c r="HZ34" s="11" t="s">
        <v>363</v>
      </c>
      <c r="IB34" s="11" t="s">
        <v>333</v>
      </c>
      <c r="ID34" s="11" t="s">
        <v>334</v>
      </c>
      <c r="IE34" s="11" t="s">
        <v>335</v>
      </c>
      <c r="IF34" s="11" t="s">
        <v>319</v>
      </c>
      <c r="IG34" s="11" t="s">
        <v>320</v>
      </c>
      <c r="IH34" s="11" t="s">
        <v>320</v>
      </c>
      <c r="II34" s="11" t="s">
        <v>320</v>
      </c>
      <c r="IJ34" s="12" t="str">
        <f t="shared" si="1"/>
        <v>1. Neutral</v>
      </c>
      <c r="IK34" s="12">
        <f t="shared" si="2"/>
        <v>3</v>
      </c>
      <c r="IL34" s="11" t="s">
        <v>336</v>
      </c>
      <c r="IM34" s="11" t="s">
        <v>320</v>
      </c>
      <c r="IN34" s="11" t="s">
        <v>320</v>
      </c>
      <c r="IO34" s="11" t="s">
        <v>320</v>
      </c>
      <c r="IP34" s="11" t="s">
        <v>320</v>
      </c>
      <c r="IQ34" s="12" t="str">
        <f t="shared" si="3"/>
        <v>2. Accommodating</v>
      </c>
      <c r="IR34" s="12">
        <f t="shared" si="4"/>
        <v>4</v>
      </c>
      <c r="IS34" s="11" t="s">
        <v>337</v>
      </c>
      <c r="IT34" s="11" t="s">
        <v>319</v>
      </c>
      <c r="IU34" s="11" t="s">
        <v>320</v>
      </c>
      <c r="IV34" s="11" t="s">
        <v>320</v>
      </c>
      <c r="IW34" s="11" t="str">
        <f t="shared" si="5"/>
        <v>1. Neutral</v>
      </c>
      <c r="IX34" s="12">
        <f t="shared" si="6"/>
        <v>2</v>
      </c>
      <c r="IY34" s="11" t="s">
        <v>338</v>
      </c>
      <c r="IZ34" s="11" t="s">
        <v>527</v>
      </c>
      <c r="JA34" s="11">
        <v>3</v>
      </c>
      <c r="JB34" s="11" t="s">
        <v>433</v>
      </c>
      <c r="JC34" s="12" t="s">
        <v>651</v>
      </c>
      <c r="JD34" s="11" t="s">
        <v>384</v>
      </c>
      <c r="JE34" s="11" t="s">
        <v>340</v>
      </c>
      <c r="JF34" s="11" t="s">
        <v>1482</v>
      </c>
      <c r="JG34" s="11" t="s">
        <v>1483</v>
      </c>
      <c r="JH34" s="11" t="s">
        <v>1484</v>
      </c>
      <c r="JK34" s="11" t="s">
        <v>1485</v>
      </c>
      <c r="JL34" s="11" t="s">
        <v>1486</v>
      </c>
      <c r="JM34" s="11" t="s">
        <v>1487</v>
      </c>
      <c r="JO34" s="11" t="s">
        <v>1488</v>
      </c>
      <c r="JP34" s="15">
        <f t="shared" si="7"/>
        <v>9182</v>
      </c>
      <c r="JQ34" s="15">
        <f t="shared" si="8"/>
        <v>5088</v>
      </c>
      <c r="JR34" s="279">
        <f t="shared" si="9"/>
        <v>0.55412764103681111</v>
      </c>
      <c r="JS34" s="17">
        <f t="shared" si="10"/>
        <v>3.5504247440644739E-2</v>
      </c>
      <c r="JT34" s="18">
        <f t="shared" si="11"/>
        <v>3.5180817610062892E-2</v>
      </c>
      <c r="JU34" s="280">
        <f t="shared" si="12"/>
        <v>326</v>
      </c>
      <c r="JV34" s="280">
        <f t="shared" si="13"/>
        <v>179</v>
      </c>
      <c r="JW34" s="319" t="str">
        <f t="shared" si="14"/>
        <v/>
      </c>
      <c r="JX34" s="15">
        <f t="shared" si="15"/>
        <v>0</v>
      </c>
      <c r="JY34" s="15">
        <f t="shared" si="16"/>
        <v>0</v>
      </c>
      <c r="JZ34" s="19" t="str">
        <f t="shared" si="17"/>
        <v/>
      </c>
      <c r="KA34" s="52">
        <f t="shared" si="18"/>
        <v>1</v>
      </c>
      <c r="KB34" s="15">
        <f t="shared" si="19"/>
        <v>209</v>
      </c>
      <c r="KC34" s="15">
        <f t="shared" si="20"/>
        <v>209</v>
      </c>
      <c r="KD34" s="20">
        <f t="shared" si="21"/>
        <v>1</v>
      </c>
      <c r="KE34" s="52">
        <f t="shared" si="22"/>
        <v>1</v>
      </c>
      <c r="KF34" s="15">
        <f t="shared" si="23"/>
        <v>2794</v>
      </c>
      <c r="KG34" s="15">
        <f t="shared" si="24"/>
        <v>2996</v>
      </c>
      <c r="KH34" s="21">
        <f t="shared" si="25"/>
        <v>1.0722977809591983</v>
      </c>
      <c r="KI34" s="52">
        <f t="shared" si="26"/>
        <v>1</v>
      </c>
      <c r="KJ34" s="15">
        <f t="shared" si="27"/>
        <v>1840</v>
      </c>
      <c r="KK34" s="15">
        <f t="shared" si="28"/>
        <v>1840</v>
      </c>
      <c r="KL34" s="19">
        <f t="shared" si="29"/>
        <v>1</v>
      </c>
      <c r="KM34" s="52" t="str">
        <f t="shared" si="30"/>
        <v/>
      </c>
      <c r="KN34" s="22">
        <f t="shared" si="31"/>
        <v>0</v>
      </c>
      <c r="KO34" s="22">
        <f t="shared" si="32"/>
        <v>0</v>
      </c>
      <c r="KP34" s="19" t="str">
        <f t="shared" si="33"/>
        <v/>
      </c>
      <c r="KQ34" s="11" t="str">
        <f t="shared" si="34"/>
        <v>1. Neutral</v>
      </c>
      <c r="KR34" s="11" t="str">
        <f t="shared" si="35"/>
        <v>2. Accommodating</v>
      </c>
      <c r="KS34" s="11" t="str">
        <f t="shared" si="36"/>
        <v>1. Neutral</v>
      </c>
      <c r="KT34" s="11" t="str">
        <f t="shared" si="37"/>
        <v>It did not develop any specific innovation</v>
      </c>
      <c r="KU34" s="11" t="str">
        <f t="shared" si="38"/>
        <v>Moderate advocacy</v>
      </c>
      <c r="KV34" s="11" t="str">
        <f t="shared" si="39"/>
        <v>It did not take tested solutions to scale</v>
      </c>
      <c r="KW34" s="11" t="str">
        <f t="shared" si="40"/>
        <v>Bangladesh - HIV Prevention Program for People Who Inject Drugs (PWID) and Their Partners</v>
      </c>
      <c r="KX34" s="11" t="str">
        <f t="shared" si="41"/>
        <v>HIV Prevention Program for People Who Inject Drugs (PWID) and Their Partners</v>
      </c>
      <c r="KY34" s="11" t="str">
        <f t="shared" si="42"/>
        <v>Bangladesh</v>
      </c>
      <c r="KZ34" s="12">
        <v>34</v>
      </c>
    </row>
    <row r="35" spans="1:312" x14ac:dyDescent="0.3">
      <c r="A35" s="11" t="s">
        <v>652</v>
      </c>
      <c r="B35" s="11" t="s">
        <v>306</v>
      </c>
      <c r="D35" s="11" t="s">
        <v>1088</v>
      </c>
      <c r="E35" s="24" t="str">
        <f t="shared" si="0"/>
        <v>Bangladesh</v>
      </c>
      <c r="F35" s="11" t="s">
        <v>1089</v>
      </c>
      <c r="G35" s="11" t="s">
        <v>379</v>
      </c>
      <c r="H35" s="11" t="s">
        <v>380</v>
      </c>
      <c r="I35" s="11" t="s">
        <v>381</v>
      </c>
      <c r="J35" s="278" t="s">
        <v>14573</v>
      </c>
      <c r="BD35" s="23">
        <v>42527</v>
      </c>
      <c r="BE35" s="23">
        <v>43464</v>
      </c>
      <c r="BG35" s="11" t="s">
        <v>350</v>
      </c>
      <c r="BH35" s="22">
        <v>262883</v>
      </c>
      <c r="BI35" s="11" t="s">
        <v>1051</v>
      </c>
      <c r="BJ35" s="11" t="s">
        <v>1090</v>
      </c>
      <c r="BK35" s="11" t="s">
        <v>798</v>
      </c>
      <c r="BL35" s="11" t="s">
        <v>1091</v>
      </c>
      <c r="BM35" s="11" t="s">
        <v>444</v>
      </c>
      <c r="BN35" s="11" t="s">
        <v>1092</v>
      </c>
      <c r="BO35" s="11" t="s">
        <v>319</v>
      </c>
      <c r="BP35" s="11" t="s">
        <v>320</v>
      </c>
      <c r="BQ35" s="11" t="s">
        <v>319</v>
      </c>
      <c r="BR35" s="11" t="s">
        <v>1093</v>
      </c>
      <c r="BS35" s="11" t="s">
        <v>357</v>
      </c>
      <c r="BT35" s="11" t="s">
        <v>1094</v>
      </c>
      <c r="BU35" s="11" t="s">
        <v>1095</v>
      </c>
      <c r="BV35" s="22">
        <v>800</v>
      </c>
      <c r="BW35" s="22">
        <v>200</v>
      </c>
      <c r="BX35" s="22">
        <v>1000</v>
      </c>
      <c r="BY35" s="22">
        <v>2640</v>
      </c>
      <c r="BZ35" s="22">
        <v>660</v>
      </c>
      <c r="CA35" s="22">
        <v>3300</v>
      </c>
      <c r="CB35" s="15" t="s">
        <v>1096</v>
      </c>
      <c r="CL35" s="18"/>
      <c r="CP35" s="18"/>
      <c r="CT35" s="18"/>
      <c r="CX35" s="18"/>
      <c r="DB35" s="18"/>
      <c r="DF35" s="18"/>
      <c r="DJ35" s="18"/>
      <c r="DN35" s="18"/>
      <c r="DR35" s="18"/>
      <c r="DV35" s="18"/>
      <c r="DZ35" s="18"/>
      <c r="ED35" s="18"/>
      <c r="EI35" s="18"/>
      <c r="EK35" s="22">
        <v>0</v>
      </c>
      <c r="EL35" s="22">
        <v>0</v>
      </c>
      <c r="EM35" s="22">
        <v>0</v>
      </c>
      <c r="EN35" s="22">
        <v>0</v>
      </c>
      <c r="EO35" s="22">
        <v>0</v>
      </c>
      <c r="EP35" s="22">
        <v>0</v>
      </c>
      <c r="EQ35" s="12" t="s">
        <v>319</v>
      </c>
      <c r="ES35" s="18"/>
      <c r="EU35" s="11" t="s">
        <v>319</v>
      </c>
      <c r="EW35" s="18"/>
      <c r="EY35" s="12" t="s">
        <v>319</v>
      </c>
      <c r="FA35" s="18"/>
      <c r="FC35" s="12" t="s">
        <v>319</v>
      </c>
      <c r="FE35" s="18"/>
      <c r="FG35" s="12" t="s">
        <v>319</v>
      </c>
      <c r="FI35" s="18"/>
      <c r="FK35" s="11" t="s">
        <v>319</v>
      </c>
      <c r="FM35" s="18"/>
      <c r="FO35" s="11" t="s">
        <v>319</v>
      </c>
      <c r="FQ35" s="18"/>
      <c r="FS35" s="11" t="s">
        <v>319</v>
      </c>
      <c r="FU35" s="18"/>
      <c r="FW35" s="11" t="s">
        <v>319</v>
      </c>
      <c r="FY35" s="18"/>
      <c r="GA35" s="11" t="s">
        <v>319</v>
      </c>
      <c r="GC35" s="18"/>
      <c r="GE35" s="11" t="s">
        <v>319</v>
      </c>
      <c r="GG35" s="18"/>
      <c r="GI35" s="11" t="s">
        <v>319</v>
      </c>
      <c r="GK35" s="18"/>
      <c r="GM35" s="11" t="s">
        <v>319</v>
      </c>
      <c r="GO35" s="18"/>
      <c r="GQ35" s="11" t="s">
        <v>319</v>
      </c>
      <c r="GS35" s="18"/>
      <c r="GU35" s="11" t="s">
        <v>319</v>
      </c>
      <c r="GW35" s="18"/>
      <c r="GY35" s="11" t="s">
        <v>319</v>
      </c>
      <c r="HA35" s="18"/>
      <c r="HF35" s="18"/>
      <c r="HH35" s="11" t="s">
        <v>319</v>
      </c>
      <c r="HK35" s="11" t="s">
        <v>319</v>
      </c>
      <c r="HL35" s="11" t="s">
        <v>319</v>
      </c>
      <c r="HP35" s="11" t="s">
        <v>418</v>
      </c>
      <c r="HQ35" s="11" t="s">
        <v>319</v>
      </c>
      <c r="HR35" s="11" t="s">
        <v>319</v>
      </c>
      <c r="HS35" s="11" t="s">
        <v>319</v>
      </c>
      <c r="HT35" s="11" t="s">
        <v>319</v>
      </c>
      <c r="HU35" s="11" t="s">
        <v>319</v>
      </c>
      <c r="HV35" s="11" t="s">
        <v>319</v>
      </c>
      <c r="HW35" s="11" t="s">
        <v>319</v>
      </c>
      <c r="HZ35" s="11" t="s">
        <v>363</v>
      </c>
      <c r="IB35" s="11" t="s">
        <v>333</v>
      </c>
      <c r="ID35" s="11" t="s">
        <v>364</v>
      </c>
      <c r="IE35" s="11" t="s">
        <v>478</v>
      </c>
      <c r="IF35" s="11" t="s">
        <v>320</v>
      </c>
      <c r="IG35" s="11" t="s">
        <v>320</v>
      </c>
      <c r="IH35" s="11" t="s">
        <v>320</v>
      </c>
      <c r="II35" s="11" t="s">
        <v>319</v>
      </c>
      <c r="IJ35" s="12" t="str">
        <f t="shared" si="1"/>
        <v>3. Responsive</v>
      </c>
      <c r="IK35" s="12">
        <f t="shared" si="2"/>
        <v>3</v>
      </c>
      <c r="IL35" s="11" t="s">
        <v>336</v>
      </c>
      <c r="IM35" s="11" t="s">
        <v>320</v>
      </c>
      <c r="IN35" s="11" t="s">
        <v>320</v>
      </c>
      <c r="IO35" s="11" t="s">
        <v>320</v>
      </c>
      <c r="IP35" s="11" t="s">
        <v>319</v>
      </c>
      <c r="IQ35" s="12" t="str">
        <f t="shared" si="3"/>
        <v>2. Accommodating</v>
      </c>
      <c r="IR35" s="12">
        <f t="shared" si="4"/>
        <v>3</v>
      </c>
      <c r="IW35" s="11" t="str">
        <f t="shared" si="5"/>
        <v>No marker score</v>
      </c>
      <c r="IX35" s="12">
        <f t="shared" si="6"/>
        <v>0</v>
      </c>
      <c r="IY35" s="11" t="s">
        <v>338</v>
      </c>
      <c r="IZ35" s="11" t="s">
        <v>339</v>
      </c>
      <c r="JE35" s="11" t="s">
        <v>420</v>
      </c>
      <c r="JH35" s="11" t="s">
        <v>1097</v>
      </c>
      <c r="JI35" s="11" t="s">
        <v>1098</v>
      </c>
      <c r="JJ35" s="11" t="s">
        <v>1099</v>
      </c>
      <c r="JP35" s="15">
        <f t="shared" si="7"/>
        <v>0</v>
      </c>
      <c r="JQ35" s="15">
        <f t="shared" si="8"/>
        <v>0</v>
      </c>
      <c r="JR35" s="279" t="str">
        <f t="shared" si="9"/>
        <v/>
      </c>
      <c r="JS35" s="17" t="str">
        <f t="shared" si="10"/>
        <v/>
      </c>
      <c r="JT35" s="18" t="str">
        <f t="shared" si="11"/>
        <v/>
      </c>
      <c r="JU35" s="280">
        <f t="shared" si="12"/>
        <v>0</v>
      </c>
      <c r="JV35" s="280">
        <f t="shared" si="13"/>
        <v>0</v>
      </c>
      <c r="JW35" s="319" t="str">
        <f t="shared" si="14"/>
        <v/>
      </c>
      <c r="JX35" s="15">
        <f t="shared" si="15"/>
        <v>0</v>
      </c>
      <c r="JY35" s="15">
        <f t="shared" si="16"/>
        <v>0</v>
      </c>
      <c r="JZ35" s="19" t="str">
        <f t="shared" si="17"/>
        <v/>
      </c>
      <c r="KA35" s="52" t="str">
        <f t="shared" si="18"/>
        <v/>
      </c>
      <c r="KB35" s="15">
        <f t="shared" si="19"/>
        <v>0</v>
      </c>
      <c r="KC35" s="15">
        <f t="shared" si="20"/>
        <v>0</v>
      </c>
      <c r="KD35" s="20" t="str">
        <f t="shared" si="21"/>
        <v/>
      </c>
      <c r="KE35" s="52" t="str">
        <f t="shared" si="22"/>
        <v/>
      </c>
      <c r="KF35" s="15">
        <f t="shared" si="23"/>
        <v>0</v>
      </c>
      <c r="KG35" s="15">
        <f t="shared" si="24"/>
        <v>0</v>
      </c>
      <c r="KH35" s="21" t="str">
        <f t="shared" si="25"/>
        <v/>
      </c>
      <c r="KI35" s="52" t="str">
        <f t="shared" si="26"/>
        <v/>
      </c>
      <c r="KJ35" s="15">
        <f t="shared" si="27"/>
        <v>0</v>
      </c>
      <c r="KK35" s="15">
        <f t="shared" si="28"/>
        <v>0</v>
      </c>
      <c r="KL35" s="19" t="str">
        <f t="shared" si="29"/>
        <v/>
      </c>
      <c r="KM35" s="52" t="str">
        <f t="shared" si="30"/>
        <v/>
      </c>
      <c r="KN35" s="22">
        <f t="shared" si="31"/>
        <v>0</v>
      </c>
      <c r="KO35" s="22">
        <f t="shared" si="32"/>
        <v>0</v>
      </c>
      <c r="KP35" s="19" t="str">
        <f t="shared" si="33"/>
        <v/>
      </c>
      <c r="KQ35" s="11" t="str">
        <f t="shared" si="34"/>
        <v>3. Responsive</v>
      </c>
      <c r="KR35" s="11" t="str">
        <f t="shared" si="35"/>
        <v>2. Accommodating</v>
      </c>
      <c r="KS35" s="11" t="str">
        <f t="shared" si="36"/>
        <v>No marker score</v>
      </c>
      <c r="KT35" s="11" t="str">
        <f t="shared" si="37"/>
        <v>It did not develop any specific innovation</v>
      </c>
      <c r="KU35" s="11" t="str">
        <f t="shared" si="38"/>
        <v>Little or no advocacy</v>
      </c>
      <c r="KV35" s="11" t="str">
        <f t="shared" si="39"/>
        <v>It did not take tested solutions to scale</v>
      </c>
      <c r="KW35" s="11" t="str">
        <f t="shared" si="40"/>
        <v>Bangladesh - Implementation of career, capital and confidence: Empowering women garment workers through career mobility, financial literacy, and reduced violence against women - Empowering Women - RMG</v>
      </c>
      <c r="KX35" s="11" t="str">
        <f t="shared" si="41"/>
        <v>Implementation of career, capital and confidence: Empowering women garment workers through career mobility, financial literacy, and reduced violence against women - Empowering Women - RMG</v>
      </c>
      <c r="KY35" s="11" t="str">
        <f t="shared" si="42"/>
        <v>Bangladesh</v>
      </c>
      <c r="KZ35" s="12">
        <v>35</v>
      </c>
    </row>
    <row r="36" spans="1:312" x14ac:dyDescent="0.3">
      <c r="A36" s="11" t="s">
        <v>652</v>
      </c>
      <c r="B36" s="11" t="s">
        <v>306</v>
      </c>
      <c r="C36" s="11">
        <v>2760</v>
      </c>
      <c r="D36" s="11" t="s">
        <v>677</v>
      </c>
      <c r="E36" s="24" t="str">
        <f t="shared" si="0"/>
        <v>Bangladesh</v>
      </c>
      <c r="F36" s="11" t="s">
        <v>678</v>
      </c>
      <c r="G36" s="11" t="s">
        <v>309</v>
      </c>
      <c r="H36" s="11" t="s">
        <v>310</v>
      </c>
      <c r="I36" s="11" t="s">
        <v>311</v>
      </c>
      <c r="J36" s="278" t="s">
        <v>14574</v>
      </c>
      <c r="BD36" s="23">
        <v>41974</v>
      </c>
      <c r="BE36" s="23">
        <v>42916</v>
      </c>
      <c r="BG36" s="23" t="s">
        <v>490</v>
      </c>
      <c r="BH36" s="22">
        <v>572333</v>
      </c>
      <c r="BI36" s="11" t="s">
        <v>679</v>
      </c>
      <c r="BJ36" s="11" t="s">
        <v>680</v>
      </c>
      <c r="BK36" s="11" t="s">
        <v>681</v>
      </c>
      <c r="BL36" s="11" t="s">
        <v>656</v>
      </c>
      <c r="BM36" s="11" t="s">
        <v>682</v>
      </c>
      <c r="BN36" s="11" t="s">
        <v>658</v>
      </c>
      <c r="BO36" s="11" t="s">
        <v>319</v>
      </c>
      <c r="BP36" s="11" t="s">
        <v>320</v>
      </c>
      <c r="BQ36" s="11" t="s">
        <v>319</v>
      </c>
      <c r="BR36" s="11" t="s">
        <v>683</v>
      </c>
      <c r="BS36" s="11" t="s">
        <v>357</v>
      </c>
      <c r="BT36" s="11" t="s">
        <v>684</v>
      </c>
      <c r="BU36" s="11" t="s">
        <v>685</v>
      </c>
      <c r="BV36" s="22">
        <v>105600</v>
      </c>
      <c r="BW36" s="22">
        <v>30000</v>
      </c>
      <c r="BX36" s="22">
        <v>135600</v>
      </c>
      <c r="BY36" s="22">
        <v>386100</v>
      </c>
      <c r="BZ36" s="22">
        <v>471900</v>
      </c>
      <c r="CA36" s="22">
        <v>858000</v>
      </c>
      <c r="CB36" s="15" t="s">
        <v>686</v>
      </c>
      <c r="CL36" s="18"/>
      <c r="CP36" s="18"/>
      <c r="CT36" s="18"/>
      <c r="CX36" s="18"/>
      <c r="DB36" s="18"/>
      <c r="DF36" s="18"/>
      <c r="DJ36" s="18"/>
      <c r="DN36" s="18"/>
      <c r="DR36" s="18"/>
      <c r="DV36" s="18"/>
      <c r="DZ36" s="18"/>
      <c r="ED36" s="18"/>
      <c r="EI36" s="18"/>
      <c r="EK36" s="22">
        <v>44117</v>
      </c>
      <c r="EL36" s="22">
        <v>18000</v>
      </c>
      <c r="EM36" s="22">
        <v>62117</v>
      </c>
      <c r="EN36" s="22">
        <v>177663</v>
      </c>
      <c r="EO36" s="22">
        <v>172520</v>
      </c>
      <c r="EP36" s="22">
        <v>350183</v>
      </c>
      <c r="EQ36" s="12" t="s">
        <v>319</v>
      </c>
      <c r="ES36" s="18"/>
      <c r="EU36" s="11" t="s">
        <v>319</v>
      </c>
      <c r="EW36" s="18"/>
      <c r="EY36" s="12" t="s">
        <v>319</v>
      </c>
      <c r="FA36" s="18"/>
      <c r="FC36" s="12" t="s">
        <v>319</v>
      </c>
      <c r="FE36" s="18"/>
      <c r="FG36" s="12" t="s">
        <v>319</v>
      </c>
      <c r="FI36" s="18"/>
      <c r="FK36" s="11" t="s">
        <v>319</v>
      </c>
      <c r="FM36" s="18"/>
      <c r="FO36" s="11" t="s">
        <v>319</v>
      </c>
      <c r="FQ36" s="18"/>
      <c r="FS36" s="12" t="s">
        <v>320</v>
      </c>
      <c r="FT36" s="22">
        <v>38155</v>
      </c>
      <c r="FU36" s="18">
        <v>1</v>
      </c>
      <c r="FV36" s="22">
        <v>114465</v>
      </c>
      <c r="FW36" s="11" t="s">
        <v>319</v>
      </c>
      <c r="FY36" s="18"/>
      <c r="GA36" s="11" t="s">
        <v>320</v>
      </c>
      <c r="GB36" s="22">
        <v>38155</v>
      </c>
      <c r="GC36" s="18">
        <v>1</v>
      </c>
      <c r="GD36" s="22">
        <v>114465</v>
      </c>
      <c r="GE36" s="11" t="s">
        <v>319</v>
      </c>
      <c r="GG36" s="18"/>
      <c r="GI36" s="11" t="s">
        <v>319</v>
      </c>
      <c r="GK36" s="18"/>
      <c r="GM36" s="11" t="s">
        <v>319</v>
      </c>
      <c r="GO36" s="18"/>
      <c r="GQ36" s="12" t="s">
        <v>320</v>
      </c>
      <c r="GR36" s="22">
        <v>62117</v>
      </c>
      <c r="GS36" s="18">
        <v>0.71</v>
      </c>
      <c r="GT36" s="22">
        <v>359183</v>
      </c>
      <c r="GU36" s="11" t="s">
        <v>319</v>
      </c>
      <c r="GW36" s="18"/>
      <c r="GY36" s="11" t="s">
        <v>319</v>
      </c>
      <c r="HA36" s="18"/>
      <c r="HF36" s="18"/>
      <c r="HH36" s="11" t="s">
        <v>319</v>
      </c>
      <c r="HK36" s="11" t="s">
        <v>320</v>
      </c>
      <c r="HL36" s="11" t="s">
        <v>319</v>
      </c>
      <c r="HP36" s="11" t="s">
        <v>330</v>
      </c>
      <c r="HQ36" s="11" t="s">
        <v>319</v>
      </c>
      <c r="HR36" s="11" t="s">
        <v>319</v>
      </c>
      <c r="HS36" s="11" t="s">
        <v>320</v>
      </c>
      <c r="HT36" s="11" t="s">
        <v>320</v>
      </c>
      <c r="HU36" s="11" t="s">
        <v>319</v>
      </c>
      <c r="HV36" s="11" t="s">
        <v>319</v>
      </c>
      <c r="HW36" s="11" t="s">
        <v>319</v>
      </c>
      <c r="HX36" s="11" t="s">
        <v>319</v>
      </c>
      <c r="HZ36" s="11" t="s">
        <v>394</v>
      </c>
      <c r="IB36" s="11" t="s">
        <v>333</v>
      </c>
      <c r="ID36" s="11" t="s">
        <v>334</v>
      </c>
      <c r="IE36" s="11" t="s">
        <v>335</v>
      </c>
      <c r="IF36" s="11" t="s">
        <v>319</v>
      </c>
      <c r="IG36" s="11" t="s">
        <v>320</v>
      </c>
      <c r="IH36" s="11" t="s">
        <v>320</v>
      </c>
      <c r="II36" s="11" t="s">
        <v>320</v>
      </c>
      <c r="IJ36" s="12" t="str">
        <f t="shared" si="1"/>
        <v>1. Neutral</v>
      </c>
      <c r="IK36" s="12">
        <f t="shared" si="2"/>
        <v>3</v>
      </c>
      <c r="IL36" s="11" t="s">
        <v>336</v>
      </c>
      <c r="IM36" s="11" t="s">
        <v>320</v>
      </c>
      <c r="IN36" s="11" t="s">
        <v>320</v>
      </c>
      <c r="IO36" s="11" t="s">
        <v>320</v>
      </c>
      <c r="IP36" s="11" t="s">
        <v>320</v>
      </c>
      <c r="IQ36" s="12" t="str">
        <f t="shared" si="3"/>
        <v>2. Accommodating</v>
      </c>
      <c r="IR36" s="12">
        <f t="shared" si="4"/>
        <v>4</v>
      </c>
      <c r="IW36" s="11" t="str">
        <f t="shared" si="5"/>
        <v>No marker score</v>
      </c>
      <c r="IX36" s="12">
        <f t="shared" si="6"/>
        <v>0</v>
      </c>
      <c r="IY36" s="11" t="s">
        <v>338</v>
      </c>
      <c r="IZ36" s="11" t="s">
        <v>457</v>
      </c>
      <c r="JA36" s="11">
        <v>4</v>
      </c>
      <c r="JB36" s="11" t="s">
        <v>687</v>
      </c>
      <c r="JC36" s="11" t="s">
        <v>433</v>
      </c>
      <c r="JD36" s="11" t="s">
        <v>623</v>
      </c>
      <c r="JE36" s="11" t="s">
        <v>340</v>
      </c>
      <c r="JF36" s="11" t="s">
        <v>688</v>
      </c>
      <c r="JH36" s="11" t="s">
        <v>689</v>
      </c>
      <c r="JI36" s="11" t="s">
        <v>690</v>
      </c>
      <c r="JJ36" s="11" t="s">
        <v>691</v>
      </c>
      <c r="JK36" s="11" t="s">
        <v>692</v>
      </c>
      <c r="JL36" s="11" t="s">
        <v>693</v>
      </c>
      <c r="JM36" s="11" t="s">
        <v>694</v>
      </c>
      <c r="JO36" s="15" t="s">
        <v>695</v>
      </c>
      <c r="JP36" s="15">
        <f t="shared" si="7"/>
        <v>62117</v>
      </c>
      <c r="JQ36" s="15">
        <f t="shared" si="8"/>
        <v>350183</v>
      </c>
      <c r="JR36" s="279">
        <f t="shared" si="9"/>
        <v>5.6374744433890882</v>
      </c>
      <c r="JS36" s="17">
        <f t="shared" si="10"/>
        <v>0.71022425422992097</v>
      </c>
      <c r="JT36" s="18">
        <f t="shared" si="11"/>
        <v>0.50734330335852973</v>
      </c>
      <c r="JU36" s="280">
        <f t="shared" si="12"/>
        <v>44117</v>
      </c>
      <c r="JV36" s="280">
        <f t="shared" si="13"/>
        <v>177663</v>
      </c>
      <c r="JW36" s="319" t="str">
        <f t="shared" si="14"/>
        <v/>
      </c>
      <c r="JX36" s="15">
        <f t="shared" si="15"/>
        <v>0</v>
      </c>
      <c r="JY36" s="15">
        <f t="shared" si="16"/>
        <v>0</v>
      </c>
      <c r="JZ36" s="19" t="str">
        <f t="shared" si="17"/>
        <v/>
      </c>
      <c r="KA36" s="52" t="str">
        <f t="shared" si="18"/>
        <v/>
      </c>
      <c r="KB36" s="15">
        <f t="shared" si="19"/>
        <v>0</v>
      </c>
      <c r="KC36" s="15">
        <f t="shared" si="20"/>
        <v>0</v>
      </c>
      <c r="KD36" s="20" t="str">
        <f t="shared" si="21"/>
        <v/>
      </c>
      <c r="KE36" s="52">
        <f t="shared" si="22"/>
        <v>1</v>
      </c>
      <c r="KF36" s="15">
        <f t="shared" si="23"/>
        <v>62117</v>
      </c>
      <c r="KG36" s="15">
        <f t="shared" si="24"/>
        <v>359183</v>
      </c>
      <c r="KH36" s="21">
        <f t="shared" si="25"/>
        <v>5.7823623162741278</v>
      </c>
      <c r="KI36" s="52">
        <f t="shared" si="26"/>
        <v>1</v>
      </c>
      <c r="KJ36" s="15">
        <f t="shared" si="27"/>
        <v>38155</v>
      </c>
      <c r="KK36" s="15">
        <f t="shared" si="28"/>
        <v>114465</v>
      </c>
      <c r="KL36" s="19">
        <f t="shared" si="29"/>
        <v>3</v>
      </c>
      <c r="KM36" s="52" t="str">
        <f t="shared" si="30"/>
        <v/>
      </c>
      <c r="KN36" s="22">
        <f t="shared" si="31"/>
        <v>0</v>
      </c>
      <c r="KO36" s="22">
        <f t="shared" si="32"/>
        <v>0</v>
      </c>
      <c r="KP36" s="19" t="str">
        <f t="shared" si="33"/>
        <v/>
      </c>
      <c r="KQ36" s="11" t="str">
        <f t="shared" si="34"/>
        <v>1. Neutral</v>
      </c>
      <c r="KR36" s="11" t="str">
        <f t="shared" si="35"/>
        <v>2. Accommodating</v>
      </c>
      <c r="KS36" s="11" t="str">
        <f t="shared" si="36"/>
        <v>No marker score</v>
      </c>
      <c r="KT36" s="11" t="str">
        <f t="shared" si="37"/>
        <v>It tested new ways for fighting poverty, but did not measure results of innovation</v>
      </c>
      <c r="KU36" s="11" t="str">
        <f t="shared" si="38"/>
        <v>Moderate advocacy</v>
      </c>
      <c r="KV36" s="11" t="str">
        <f t="shared" si="39"/>
        <v>It did not take tested solutions to scale</v>
      </c>
      <c r="KW36" s="11" t="str">
        <f t="shared" si="40"/>
        <v>Bangladesh - Improving Maternal and Infant Health in Bangladesh (IMIHB)</v>
      </c>
      <c r="KX36" s="11" t="str">
        <f t="shared" si="41"/>
        <v>Improving Maternal and Infant Health in Bangladesh (IMIHB)</v>
      </c>
      <c r="KY36" s="11" t="str">
        <f t="shared" si="42"/>
        <v>Bangladesh</v>
      </c>
      <c r="KZ36" s="12">
        <v>36</v>
      </c>
    </row>
    <row r="37" spans="1:312" x14ac:dyDescent="0.3">
      <c r="A37" s="11" t="s">
        <v>652</v>
      </c>
      <c r="B37" s="11" t="s">
        <v>306</v>
      </c>
      <c r="C37" s="11">
        <v>2761</v>
      </c>
      <c r="D37" s="11" t="s">
        <v>950</v>
      </c>
      <c r="E37" s="24" t="str">
        <f t="shared" si="0"/>
        <v>Bangladesh</v>
      </c>
      <c r="F37" s="11" t="s">
        <v>951</v>
      </c>
      <c r="G37" s="11" t="s">
        <v>488</v>
      </c>
      <c r="H37" s="11" t="s">
        <v>384</v>
      </c>
      <c r="I37" s="11" t="s">
        <v>952</v>
      </c>
      <c r="J37" s="278" t="s">
        <v>952</v>
      </c>
      <c r="BD37" s="23">
        <v>41699</v>
      </c>
      <c r="BE37" s="23">
        <v>42978</v>
      </c>
      <c r="BG37" s="11" t="s">
        <v>312</v>
      </c>
      <c r="BH37" s="22">
        <v>664138</v>
      </c>
      <c r="BI37" s="11" t="s">
        <v>842</v>
      </c>
      <c r="BJ37" s="11" t="s">
        <v>843</v>
      </c>
      <c r="BK37" s="11" t="s">
        <v>844</v>
      </c>
      <c r="BL37" s="11" t="s">
        <v>845</v>
      </c>
      <c r="BM37" s="11" t="s">
        <v>846</v>
      </c>
      <c r="BN37" s="11" t="s">
        <v>847</v>
      </c>
      <c r="BO37" s="12" t="s">
        <v>319</v>
      </c>
      <c r="BP37" s="12" t="s">
        <v>320</v>
      </c>
      <c r="BQ37" s="12" t="s">
        <v>319</v>
      </c>
      <c r="BR37" s="11" t="s">
        <v>848</v>
      </c>
      <c r="BS37" s="11" t="s">
        <v>357</v>
      </c>
      <c r="BT37" s="11" t="s">
        <v>953</v>
      </c>
      <c r="BU37" s="11" t="s">
        <v>954</v>
      </c>
      <c r="BV37" s="22">
        <v>15000</v>
      </c>
      <c r="BW37" s="22">
        <v>15000</v>
      </c>
      <c r="BX37" s="22">
        <v>30000</v>
      </c>
      <c r="BY37" s="22">
        <v>200000</v>
      </c>
      <c r="BZ37" s="22">
        <v>200000</v>
      </c>
      <c r="CA37" s="22">
        <v>400000</v>
      </c>
      <c r="CB37" s="15" t="s">
        <v>955</v>
      </c>
      <c r="CL37" s="18"/>
      <c r="CP37" s="18"/>
      <c r="CT37" s="18"/>
      <c r="CX37" s="18"/>
      <c r="DB37" s="18"/>
      <c r="DF37" s="18"/>
      <c r="DJ37" s="18"/>
      <c r="DN37" s="18"/>
      <c r="DR37" s="18"/>
      <c r="DV37" s="18"/>
      <c r="DZ37" s="18"/>
      <c r="ED37" s="18"/>
      <c r="EI37" s="18"/>
      <c r="EK37" s="22">
        <v>5000</v>
      </c>
      <c r="EL37" s="22">
        <v>5000</v>
      </c>
      <c r="EM37" s="22">
        <v>10000</v>
      </c>
      <c r="EN37" s="22">
        <v>5000</v>
      </c>
      <c r="EO37" s="22">
        <v>5000</v>
      </c>
      <c r="EP37" s="22">
        <v>10000</v>
      </c>
      <c r="EQ37" s="12" t="s">
        <v>319</v>
      </c>
      <c r="ES37" s="18"/>
      <c r="EU37" s="11" t="s">
        <v>319</v>
      </c>
      <c r="EW37" s="18"/>
      <c r="EY37" s="12" t="s">
        <v>319</v>
      </c>
      <c r="FA37" s="18"/>
      <c r="FC37" s="12" t="s">
        <v>319</v>
      </c>
      <c r="FE37" s="18"/>
      <c r="FG37" s="12" t="s">
        <v>319</v>
      </c>
      <c r="FI37" s="18"/>
      <c r="FK37" s="11" t="s">
        <v>319</v>
      </c>
      <c r="FM37" s="18"/>
      <c r="FO37" s="11" t="s">
        <v>319</v>
      </c>
      <c r="FQ37" s="18"/>
      <c r="FS37" s="11" t="s">
        <v>319</v>
      </c>
      <c r="FU37" s="18"/>
      <c r="FW37" s="11" t="s">
        <v>319</v>
      </c>
      <c r="FY37" s="18"/>
      <c r="GA37" s="11" t="s">
        <v>319</v>
      </c>
      <c r="GC37" s="18"/>
      <c r="GE37" s="11" t="s">
        <v>319</v>
      </c>
      <c r="GG37" s="18"/>
      <c r="GI37" s="11" t="s">
        <v>319</v>
      </c>
      <c r="GK37" s="18"/>
      <c r="GM37" s="11" t="s">
        <v>320</v>
      </c>
      <c r="GN37" s="22">
        <v>10000</v>
      </c>
      <c r="GO37" s="18">
        <v>0.5</v>
      </c>
      <c r="GP37" s="22">
        <v>100000</v>
      </c>
      <c r="GQ37" s="11" t="s">
        <v>319</v>
      </c>
      <c r="GS37" s="18"/>
      <c r="GU37" s="11" t="s">
        <v>319</v>
      </c>
      <c r="GW37" s="18"/>
      <c r="GY37" s="11" t="s">
        <v>319</v>
      </c>
      <c r="HA37" s="18"/>
      <c r="HF37" s="18"/>
      <c r="HH37" s="11" t="s">
        <v>319</v>
      </c>
      <c r="HK37" s="11" t="s">
        <v>320</v>
      </c>
      <c r="HL37" s="11" t="s">
        <v>320</v>
      </c>
      <c r="HM37" s="11" t="s">
        <v>522</v>
      </c>
      <c r="HN37" s="11">
        <v>2017</v>
      </c>
      <c r="HP37" s="11" t="s">
        <v>330</v>
      </c>
      <c r="HQ37" s="11" t="s">
        <v>319</v>
      </c>
      <c r="HR37" s="11" t="s">
        <v>319</v>
      </c>
      <c r="HS37" s="11" t="s">
        <v>319</v>
      </c>
      <c r="HT37" s="11" t="s">
        <v>320</v>
      </c>
      <c r="HU37" s="11" t="s">
        <v>319</v>
      </c>
      <c r="HV37" s="11" t="s">
        <v>319</v>
      </c>
      <c r="HW37" s="11" t="s">
        <v>319</v>
      </c>
      <c r="HX37" s="11" t="s">
        <v>319</v>
      </c>
      <c r="HZ37" s="11" t="s">
        <v>394</v>
      </c>
      <c r="IB37" s="11" t="s">
        <v>667</v>
      </c>
      <c r="ID37" s="11" t="s">
        <v>364</v>
      </c>
      <c r="IE37" s="11" t="s">
        <v>335</v>
      </c>
      <c r="IF37" s="11" t="s">
        <v>320</v>
      </c>
      <c r="IG37" s="11" t="s">
        <v>320</v>
      </c>
      <c r="IH37" s="11" t="s">
        <v>320</v>
      </c>
      <c r="II37" s="11" t="s">
        <v>320</v>
      </c>
      <c r="IJ37" s="12" t="str">
        <f t="shared" si="1"/>
        <v>2. Sensitive</v>
      </c>
      <c r="IK37" s="12">
        <f t="shared" si="2"/>
        <v>4</v>
      </c>
      <c r="IL37" s="11" t="s">
        <v>336</v>
      </c>
      <c r="IM37" s="11" t="s">
        <v>320</v>
      </c>
      <c r="IN37" s="11" t="s">
        <v>320</v>
      </c>
      <c r="IO37" s="11" t="s">
        <v>320</v>
      </c>
      <c r="IP37" s="11" t="s">
        <v>320</v>
      </c>
      <c r="IQ37" s="12" t="str">
        <f t="shared" si="3"/>
        <v>2. Accommodating</v>
      </c>
      <c r="IR37" s="12">
        <f t="shared" si="4"/>
        <v>4</v>
      </c>
      <c r="IW37" s="11" t="str">
        <f t="shared" si="5"/>
        <v>No marker score</v>
      </c>
      <c r="IX37" s="12">
        <f t="shared" si="6"/>
        <v>0</v>
      </c>
      <c r="IY37" s="11" t="s">
        <v>338</v>
      </c>
      <c r="IZ37" s="11" t="s">
        <v>339</v>
      </c>
      <c r="JE37" s="11" t="s">
        <v>340</v>
      </c>
      <c r="JG37" s="11" t="s">
        <v>853</v>
      </c>
      <c r="JH37" s="11" t="s">
        <v>691</v>
      </c>
      <c r="JI37" s="11" t="s">
        <v>956</v>
      </c>
      <c r="JJ37" s="11" t="s">
        <v>957</v>
      </c>
      <c r="JK37" s="11" t="s">
        <v>958</v>
      </c>
      <c r="JL37" s="11" t="s">
        <v>959</v>
      </c>
      <c r="JP37" s="15">
        <f t="shared" si="7"/>
        <v>10000</v>
      </c>
      <c r="JQ37" s="15">
        <f t="shared" si="8"/>
        <v>10000</v>
      </c>
      <c r="JR37" s="279">
        <f t="shared" si="9"/>
        <v>1</v>
      </c>
      <c r="JS37" s="17">
        <f t="shared" si="10"/>
        <v>0.5</v>
      </c>
      <c r="JT37" s="18">
        <f t="shared" si="11"/>
        <v>0.5</v>
      </c>
      <c r="JU37" s="280">
        <f t="shared" si="12"/>
        <v>5000</v>
      </c>
      <c r="JV37" s="280">
        <f t="shared" si="13"/>
        <v>5000</v>
      </c>
      <c r="JW37" s="319" t="str">
        <f t="shared" si="14"/>
        <v/>
      </c>
      <c r="JX37" s="15">
        <f t="shared" si="15"/>
        <v>0</v>
      </c>
      <c r="JY37" s="15">
        <f t="shared" si="16"/>
        <v>0</v>
      </c>
      <c r="JZ37" s="19" t="str">
        <f t="shared" si="17"/>
        <v/>
      </c>
      <c r="KA37" s="52" t="str">
        <f t="shared" si="18"/>
        <v/>
      </c>
      <c r="KB37" s="15">
        <f t="shared" si="19"/>
        <v>0</v>
      </c>
      <c r="KC37" s="15">
        <f t="shared" si="20"/>
        <v>0</v>
      </c>
      <c r="KD37" s="20" t="str">
        <f t="shared" si="21"/>
        <v/>
      </c>
      <c r="KE37" s="52" t="str">
        <f t="shared" si="22"/>
        <v/>
      </c>
      <c r="KF37" s="15">
        <f t="shared" si="23"/>
        <v>0</v>
      </c>
      <c r="KG37" s="15">
        <f t="shared" si="24"/>
        <v>0</v>
      </c>
      <c r="KH37" s="21" t="str">
        <f t="shared" si="25"/>
        <v/>
      </c>
      <c r="KI37" s="52" t="str">
        <f t="shared" si="26"/>
        <v/>
      </c>
      <c r="KJ37" s="15">
        <f t="shared" si="27"/>
        <v>0</v>
      </c>
      <c r="KK37" s="15">
        <f t="shared" si="28"/>
        <v>0</v>
      </c>
      <c r="KL37" s="19" t="str">
        <f t="shared" si="29"/>
        <v/>
      </c>
      <c r="KM37" s="52" t="str">
        <f t="shared" si="30"/>
        <v/>
      </c>
      <c r="KN37" s="22">
        <f t="shared" si="31"/>
        <v>0</v>
      </c>
      <c r="KO37" s="22">
        <f t="shared" si="32"/>
        <v>0</v>
      </c>
      <c r="KP37" s="19" t="str">
        <f t="shared" si="33"/>
        <v/>
      </c>
      <c r="KQ37" s="11" t="str">
        <f t="shared" si="34"/>
        <v>2. Sensitive</v>
      </c>
      <c r="KR37" s="11" t="str">
        <f t="shared" si="35"/>
        <v>2. Accommodating</v>
      </c>
      <c r="KS37" s="11" t="str">
        <f t="shared" si="36"/>
        <v>No marker score</v>
      </c>
      <c r="KT37" s="11" t="str">
        <f t="shared" si="37"/>
        <v>It tested new ways for fighting poverty, but did not measure results of innovation</v>
      </c>
      <c r="KU37" s="11" t="str">
        <f t="shared" si="38"/>
        <v>Moderate advocacy</v>
      </c>
      <c r="KV37" s="11" t="str">
        <f t="shared" si="39"/>
        <v>It took tested solutions to scale on its own</v>
      </c>
      <c r="KW37" s="11" t="str">
        <f t="shared" si="40"/>
        <v>Bangladesh - JATRA (Journey for Advancement in Transperency Representation and Accontibility )</v>
      </c>
      <c r="KX37" s="11" t="str">
        <f t="shared" si="41"/>
        <v>JATRA (Journey for Advancement in Transperency Representation and Accontibility )</v>
      </c>
      <c r="KY37" s="11" t="str">
        <f t="shared" si="42"/>
        <v>Bangladesh</v>
      </c>
      <c r="KZ37" s="12">
        <v>37</v>
      </c>
    </row>
    <row r="38" spans="1:312" x14ac:dyDescent="0.3">
      <c r="A38" s="11" t="s">
        <v>652</v>
      </c>
      <c r="B38" s="11" t="s">
        <v>306</v>
      </c>
      <c r="C38" s="11">
        <v>2762</v>
      </c>
      <c r="D38" s="11" t="s">
        <v>1100</v>
      </c>
      <c r="E38" s="24" t="str">
        <f t="shared" si="0"/>
        <v>Bangladesh</v>
      </c>
      <c r="F38" s="11" t="s">
        <v>1101</v>
      </c>
      <c r="G38" s="11" t="s">
        <v>379</v>
      </c>
      <c r="H38" s="11" t="s">
        <v>383</v>
      </c>
      <c r="I38" s="11" t="s">
        <v>1102</v>
      </c>
      <c r="J38" s="278" t="s">
        <v>1102</v>
      </c>
      <c r="BD38" s="23">
        <v>41641</v>
      </c>
      <c r="BE38" s="23">
        <v>42735</v>
      </c>
      <c r="BG38" s="11" t="s">
        <v>609</v>
      </c>
      <c r="BH38" s="22">
        <v>90005</v>
      </c>
      <c r="BI38" s="11" t="s">
        <v>1051</v>
      </c>
      <c r="BJ38" s="11" t="s">
        <v>1103</v>
      </c>
      <c r="BK38" s="11" t="s">
        <v>1104</v>
      </c>
      <c r="BL38" s="11" t="s">
        <v>1105</v>
      </c>
      <c r="BM38" s="11" t="s">
        <v>354</v>
      </c>
      <c r="BN38" s="11" t="s">
        <v>1106</v>
      </c>
      <c r="BO38" s="12" t="s">
        <v>319</v>
      </c>
      <c r="BP38" s="12" t="s">
        <v>320</v>
      </c>
      <c r="BQ38" s="12" t="s">
        <v>319</v>
      </c>
      <c r="BR38" s="11" t="s">
        <v>1107</v>
      </c>
      <c r="BS38" s="11" t="s">
        <v>615</v>
      </c>
      <c r="BT38" s="11" t="s">
        <v>1108</v>
      </c>
      <c r="BU38" s="11" t="s">
        <v>1109</v>
      </c>
      <c r="BV38" s="22">
        <v>3000</v>
      </c>
      <c r="BW38" s="22">
        <v>850</v>
      </c>
      <c r="BX38" s="22">
        <v>3850</v>
      </c>
      <c r="BY38" s="22">
        <v>15000</v>
      </c>
      <c r="BZ38" s="22">
        <v>4250</v>
      </c>
      <c r="CA38" s="22">
        <v>19250</v>
      </c>
      <c r="CB38" s="15" t="s">
        <v>1110</v>
      </c>
      <c r="CL38" s="18"/>
      <c r="CP38" s="18"/>
      <c r="CT38" s="18"/>
      <c r="CX38" s="18"/>
      <c r="DB38" s="18"/>
      <c r="DF38" s="18"/>
      <c r="DJ38" s="18"/>
      <c r="DN38" s="18"/>
      <c r="DR38" s="18"/>
      <c r="DV38" s="18"/>
      <c r="DZ38" s="18"/>
      <c r="ED38" s="18"/>
      <c r="EI38" s="18"/>
      <c r="EK38" s="22">
        <v>3000</v>
      </c>
      <c r="EL38" s="22">
        <v>650</v>
      </c>
      <c r="EM38" s="22">
        <v>3650</v>
      </c>
      <c r="EN38" s="22">
        <v>15000</v>
      </c>
      <c r="EO38" s="22">
        <v>3250</v>
      </c>
      <c r="EP38" s="22">
        <v>18250</v>
      </c>
      <c r="EQ38" s="12" t="s">
        <v>319</v>
      </c>
      <c r="ES38" s="18"/>
      <c r="EU38" s="11" t="s">
        <v>319</v>
      </c>
      <c r="EW38" s="18"/>
      <c r="EY38" s="12" t="s">
        <v>319</v>
      </c>
      <c r="FA38" s="18"/>
      <c r="FC38" s="12" t="s">
        <v>319</v>
      </c>
      <c r="FE38" s="18"/>
      <c r="FG38" s="12" t="s">
        <v>319</v>
      </c>
      <c r="FI38" s="18"/>
      <c r="FK38" s="11" t="s">
        <v>319</v>
      </c>
      <c r="FM38" s="18"/>
      <c r="FO38" s="11" t="s">
        <v>319</v>
      </c>
      <c r="FQ38" s="18"/>
      <c r="FS38" s="12" t="s">
        <v>320</v>
      </c>
      <c r="FT38" s="22">
        <v>3650</v>
      </c>
      <c r="FU38" s="18">
        <v>0.78</v>
      </c>
      <c r="FV38" s="22">
        <v>18250</v>
      </c>
      <c r="FW38" s="11" t="s">
        <v>319</v>
      </c>
      <c r="FY38" s="18"/>
      <c r="GA38" s="11" t="s">
        <v>319</v>
      </c>
      <c r="GC38" s="18"/>
      <c r="GE38" s="11" t="s">
        <v>319</v>
      </c>
      <c r="GG38" s="18"/>
      <c r="GI38" s="11" t="s">
        <v>319</v>
      </c>
      <c r="GK38" s="18"/>
      <c r="GM38" s="11" t="s">
        <v>319</v>
      </c>
      <c r="GO38" s="18"/>
      <c r="GQ38" s="11" t="s">
        <v>319</v>
      </c>
      <c r="GS38" s="18"/>
      <c r="GU38" s="11" t="s">
        <v>319</v>
      </c>
      <c r="GW38" s="18"/>
      <c r="GY38" s="11" t="s">
        <v>319</v>
      </c>
      <c r="HA38" s="18"/>
      <c r="HF38" s="18"/>
      <c r="HH38" s="11" t="s">
        <v>320</v>
      </c>
      <c r="HI38" s="11" t="s">
        <v>361</v>
      </c>
      <c r="HJ38" s="11">
        <v>2016</v>
      </c>
      <c r="HK38" s="11" t="s">
        <v>319</v>
      </c>
      <c r="HL38" s="11" t="s">
        <v>319</v>
      </c>
      <c r="HP38" s="11" t="s">
        <v>453</v>
      </c>
      <c r="HQ38" s="11" t="s">
        <v>319</v>
      </c>
      <c r="HR38" s="11" t="s">
        <v>319</v>
      </c>
      <c r="HS38" s="11" t="s">
        <v>320</v>
      </c>
      <c r="HT38" s="11" t="s">
        <v>320</v>
      </c>
      <c r="HU38" s="11" t="s">
        <v>320</v>
      </c>
      <c r="HV38" s="11" t="s">
        <v>319</v>
      </c>
      <c r="HW38" s="11" t="s">
        <v>319</v>
      </c>
      <c r="HX38" s="11" t="s">
        <v>319</v>
      </c>
      <c r="HZ38" s="11" t="s">
        <v>394</v>
      </c>
      <c r="IA38" s="11" t="s">
        <v>1111</v>
      </c>
      <c r="IB38" s="11" t="s">
        <v>396</v>
      </c>
      <c r="IC38" s="11" t="s">
        <v>1112</v>
      </c>
      <c r="ID38" s="11" t="s">
        <v>477</v>
      </c>
      <c r="IE38" s="11" t="s">
        <v>478</v>
      </c>
      <c r="IF38" s="11" t="s">
        <v>320</v>
      </c>
      <c r="IG38" s="11" t="s">
        <v>320</v>
      </c>
      <c r="IH38" s="11" t="s">
        <v>319</v>
      </c>
      <c r="II38" s="11" t="s">
        <v>319</v>
      </c>
      <c r="IJ38" s="12" t="str">
        <f t="shared" si="1"/>
        <v>3. Responsive</v>
      </c>
      <c r="IK38" s="12">
        <f t="shared" si="2"/>
        <v>2</v>
      </c>
      <c r="IL38" s="11" t="s">
        <v>336</v>
      </c>
      <c r="IM38" s="11" t="s">
        <v>320</v>
      </c>
      <c r="IN38" s="11" t="s">
        <v>320</v>
      </c>
      <c r="IO38" s="11" t="s">
        <v>320</v>
      </c>
      <c r="IP38" s="11" t="s">
        <v>319</v>
      </c>
      <c r="IQ38" s="12" t="str">
        <f t="shared" si="3"/>
        <v>2. Accommodating</v>
      </c>
      <c r="IR38" s="12">
        <f t="shared" si="4"/>
        <v>3</v>
      </c>
      <c r="IS38" s="11" t="s">
        <v>337</v>
      </c>
      <c r="IT38" s="11" t="s">
        <v>320</v>
      </c>
      <c r="IU38" s="11" t="s">
        <v>319</v>
      </c>
      <c r="IV38" s="11" t="s">
        <v>319</v>
      </c>
      <c r="IW38" s="11" t="str">
        <f t="shared" si="5"/>
        <v>1. Neutral</v>
      </c>
      <c r="IX38" s="12">
        <f t="shared" si="6"/>
        <v>1</v>
      </c>
      <c r="IY38" s="11" t="s">
        <v>338</v>
      </c>
      <c r="IZ38" s="11" t="s">
        <v>432</v>
      </c>
      <c r="JA38" s="11">
        <v>3</v>
      </c>
      <c r="JB38" s="11" t="s">
        <v>1113</v>
      </c>
      <c r="JC38" s="11" t="s">
        <v>585</v>
      </c>
      <c r="JD38" s="11" t="s">
        <v>433</v>
      </c>
      <c r="JE38" s="11" t="s">
        <v>365</v>
      </c>
      <c r="JF38" s="11" t="s">
        <v>1114</v>
      </c>
      <c r="JH38" s="11" t="s">
        <v>1115</v>
      </c>
      <c r="JI38" s="11" t="s">
        <v>1116</v>
      </c>
      <c r="JJ38" s="11" t="s">
        <v>1117</v>
      </c>
      <c r="JK38" s="11" t="s">
        <v>1118</v>
      </c>
      <c r="JO38" s="11" t="s">
        <v>1119</v>
      </c>
      <c r="JP38" s="15">
        <f t="shared" si="7"/>
        <v>3650</v>
      </c>
      <c r="JQ38" s="15">
        <f t="shared" si="8"/>
        <v>18250</v>
      </c>
      <c r="JR38" s="279">
        <f t="shared" si="9"/>
        <v>5</v>
      </c>
      <c r="JS38" s="17">
        <f t="shared" si="10"/>
        <v>0.82191780821917804</v>
      </c>
      <c r="JT38" s="18">
        <f t="shared" si="11"/>
        <v>0.82191780821917804</v>
      </c>
      <c r="JU38" s="280">
        <f t="shared" si="12"/>
        <v>3000</v>
      </c>
      <c r="JV38" s="280">
        <f t="shared" si="13"/>
        <v>15000</v>
      </c>
      <c r="JW38" s="319" t="str">
        <f t="shared" si="14"/>
        <v/>
      </c>
      <c r="JX38" s="15">
        <f t="shared" si="15"/>
        <v>0</v>
      </c>
      <c r="JY38" s="15">
        <f t="shared" si="16"/>
        <v>0</v>
      </c>
      <c r="JZ38" s="19" t="str">
        <f t="shared" si="17"/>
        <v/>
      </c>
      <c r="KA38" s="52" t="str">
        <f t="shared" si="18"/>
        <v/>
      </c>
      <c r="KB38" s="15">
        <f t="shared" si="19"/>
        <v>0</v>
      </c>
      <c r="KC38" s="15">
        <f t="shared" si="20"/>
        <v>0</v>
      </c>
      <c r="KD38" s="20" t="str">
        <f t="shared" si="21"/>
        <v/>
      </c>
      <c r="KE38" s="52" t="str">
        <f t="shared" si="22"/>
        <v/>
      </c>
      <c r="KF38" s="15">
        <f t="shared" si="23"/>
        <v>0</v>
      </c>
      <c r="KG38" s="15">
        <f t="shared" si="24"/>
        <v>0</v>
      </c>
      <c r="KH38" s="21" t="str">
        <f t="shared" si="25"/>
        <v/>
      </c>
      <c r="KI38" s="52">
        <f t="shared" si="26"/>
        <v>1</v>
      </c>
      <c r="KJ38" s="15">
        <f t="shared" si="27"/>
        <v>3650</v>
      </c>
      <c r="KK38" s="15">
        <f t="shared" si="28"/>
        <v>18250</v>
      </c>
      <c r="KL38" s="19">
        <f t="shared" si="29"/>
        <v>5</v>
      </c>
      <c r="KM38" s="52" t="str">
        <f t="shared" si="30"/>
        <v/>
      </c>
      <c r="KN38" s="22">
        <f t="shared" si="31"/>
        <v>0</v>
      </c>
      <c r="KO38" s="22">
        <f t="shared" si="32"/>
        <v>0</v>
      </c>
      <c r="KP38" s="19" t="str">
        <f t="shared" si="33"/>
        <v/>
      </c>
      <c r="KQ38" s="11" t="str">
        <f t="shared" si="34"/>
        <v>3. Responsive</v>
      </c>
      <c r="KR38" s="11" t="str">
        <f t="shared" si="35"/>
        <v>2. Accommodating</v>
      </c>
      <c r="KS38" s="11" t="str">
        <f t="shared" si="36"/>
        <v>1. Neutral</v>
      </c>
      <c r="KT38" s="11" t="str">
        <f t="shared" si="37"/>
        <v>It tested new ways for fighting poverty, but did not measure results of innovation</v>
      </c>
      <c r="KU38" s="11" t="str">
        <f t="shared" si="38"/>
        <v>Intensive advocacy</v>
      </c>
      <c r="KV38" s="11" t="str">
        <f t="shared" si="39"/>
        <v>It linked and worked with strategic alliances and partners to take tested and effective solutions to scale</v>
      </c>
      <c r="KW38" s="11" t="str">
        <f t="shared" si="40"/>
        <v>Bangladesh - Justice for Domestic Violence Survivors</v>
      </c>
      <c r="KX38" s="11" t="str">
        <f t="shared" si="41"/>
        <v>Justice for Domestic Violence Survivors</v>
      </c>
      <c r="KY38" s="11" t="str">
        <f t="shared" si="42"/>
        <v>Bangladesh</v>
      </c>
      <c r="KZ38" s="12">
        <v>38</v>
      </c>
    </row>
    <row r="39" spans="1:312" x14ac:dyDescent="0.3">
      <c r="A39" s="11" t="s">
        <v>652</v>
      </c>
      <c r="B39" s="11" t="s">
        <v>306</v>
      </c>
      <c r="C39" s="11">
        <v>2763</v>
      </c>
      <c r="D39" s="11" t="s">
        <v>1120</v>
      </c>
      <c r="E39" s="24" t="str">
        <f t="shared" si="0"/>
        <v>Bangladesh</v>
      </c>
      <c r="F39" s="11" t="s">
        <v>1121</v>
      </c>
      <c r="G39" s="11" t="s">
        <v>379</v>
      </c>
      <c r="H39" s="11" t="s">
        <v>310</v>
      </c>
      <c r="I39" s="11" t="s">
        <v>426</v>
      </c>
      <c r="J39" s="278" t="s">
        <v>14575</v>
      </c>
      <c r="K39" s="11" t="s">
        <v>1122</v>
      </c>
      <c r="L39" s="11" t="s">
        <v>379</v>
      </c>
      <c r="M39" s="11" t="s">
        <v>489</v>
      </c>
      <c r="N39" s="11" t="s">
        <v>384</v>
      </c>
      <c r="O39" s="11" t="s">
        <v>1123</v>
      </c>
      <c r="BD39" s="23">
        <v>42309</v>
      </c>
      <c r="BE39" s="23">
        <v>43465</v>
      </c>
      <c r="BG39" s="11" t="s">
        <v>749</v>
      </c>
      <c r="BH39" s="22">
        <v>1392000</v>
      </c>
      <c r="BI39" s="11" t="s">
        <v>1124</v>
      </c>
      <c r="BJ39" s="11" t="s">
        <v>1125</v>
      </c>
      <c r="BK39" s="11" t="s">
        <v>1126</v>
      </c>
      <c r="BL39" s="11" t="s">
        <v>1127</v>
      </c>
      <c r="BM39" s="11" t="s">
        <v>1128</v>
      </c>
      <c r="BN39" s="11" t="s">
        <v>1129</v>
      </c>
      <c r="BO39" s="11" t="s">
        <v>319</v>
      </c>
      <c r="BP39" s="11" t="s">
        <v>320</v>
      </c>
      <c r="BQ39" s="11" t="s">
        <v>319</v>
      </c>
      <c r="BR39" s="11" t="s">
        <v>1130</v>
      </c>
      <c r="BS39" s="11" t="s">
        <v>357</v>
      </c>
      <c r="BT39" s="11" t="s">
        <v>1131</v>
      </c>
      <c r="BU39" s="11" t="s">
        <v>1132</v>
      </c>
      <c r="BV39" s="22">
        <v>26000</v>
      </c>
      <c r="BW39" s="22">
        <v>39000</v>
      </c>
      <c r="BX39" s="22">
        <v>65000</v>
      </c>
      <c r="BY39" s="22">
        <v>78000</v>
      </c>
      <c r="BZ39" s="22">
        <v>117000</v>
      </c>
      <c r="CA39" s="22">
        <v>195000</v>
      </c>
      <c r="CB39" s="15" t="s">
        <v>1133</v>
      </c>
      <c r="CL39" s="18"/>
      <c r="CP39" s="18"/>
      <c r="CT39" s="18"/>
      <c r="CX39" s="18"/>
      <c r="DB39" s="18"/>
      <c r="DF39" s="18"/>
      <c r="DJ39" s="18"/>
      <c r="DN39" s="18"/>
      <c r="DR39" s="18"/>
      <c r="DV39" s="18"/>
      <c r="DZ39" s="18"/>
      <c r="ED39" s="18"/>
      <c r="EI39" s="18"/>
      <c r="EK39" s="22">
        <v>10895</v>
      </c>
      <c r="EL39" s="22">
        <v>34630</v>
      </c>
      <c r="EM39" s="22">
        <v>45525</v>
      </c>
      <c r="EN39" s="22">
        <v>32685</v>
      </c>
      <c r="EO39" s="22">
        <v>103890</v>
      </c>
      <c r="EP39" s="22">
        <v>136575</v>
      </c>
      <c r="EQ39" s="12" t="s">
        <v>320</v>
      </c>
      <c r="ER39" s="22">
        <v>45524</v>
      </c>
      <c r="ES39" s="18">
        <v>0.24</v>
      </c>
      <c r="ET39" s="22">
        <v>136572</v>
      </c>
      <c r="EU39" s="11" t="s">
        <v>319</v>
      </c>
      <c r="EW39" s="18"/>
      <c r="EY39" s="12" t="s">
        <v>319</v>
      </c>
      <c r="FA39" s="18"/>
      <c r="FC39" s="12" t="s">
        <v>319</v>
      </c>
      <c r="FE39" s="18"/>
      <c r="FG39" s="12" t="s">
        <v>320</v>
      </c>
      <c r="FH39" s="22">
        <v>34630</v>
      </c>
      <c r="FI39" s="18">
        <v>0.2</v>
      </c>
      <c r="FJ39" s="22">
        <v>103890</v>
      </c>
      <c r="FK39" s="11" t="s">
        <v>319</v>
      </c>
      <c r="FM39" s="18"/>
      <c r="FO39" s="12" t="s">
        <v>320</v>
      </c>
      <c r="FP39" s="22">
        <v>45524</v>
      </c>
      <c r="FQ39" s="18">
        <v>0.24</v>
      </c>
      <c r="FR39" s="22">
        <v>136572</v>
      </c>
      <c r="FS39" s="11" t="s">
        <v>319</v>
      </c>
      <c r="FU39" s="18"/>
      <c r="FW39" s="11" t="s">
        <v>319</v>
      </c>
      <c r="FY39" s="18"/>
      <c r="GA39" s="11" t="s">
        <v>319</v>
      </c>
      <c r="GC39" s="18"/>
      <c r="GE39" s="11" t="s">
        <v>319</v>
      </c>
      <c r="GG39" s="18"/>
      <c r="GI39" s="11" t="s">
        <v>319</v>
      </c>
      <c r="GK39" s="18"/>
      <c r="GM39" s="11" t="s">
        <v>319</v>
      </c>
      <c r="GO39" s="18"/>
      <c r="GQ39" s="11" t="s">
        <v>319</v>
      </c>
      <c r="GS39" s="18"/>
      <c r="GU39" s="11" t="s">
        <v>319</v>
      </c>
      <c r="GW39" s="18"/>
      <c r="GY39" s="11" t="s">
        <v>320</v>
      </c>
      <c r="GZ39" s="22">
        <v>10895</v>
      </c>
      <c r="HA39" s="18">
        <v>1</v>
      </c>
      <c r="HB39" s="22">
        <v>32685</v>
      </c>
      <c r="HF39" s="18"/>
      <c r="HH39" s="11" t="s">
        <v>320</v>
      </c>
      <c r="HI39" s="11" t="s">
        <v>619</v>
      </c>
      <c r="HJ39" s="11">
        <v>2016</v>
      </c>
      <c r="HK39" s="11" t="s">
        <v>320</v>
      </c>
      <c r="HL39" s="11" t="s">
        <v>320</v>
      </c>
      <c r="HM39" s="11" t="s">
        <v>415</v>
      </c>
      <c r="HN39" s="11">
        <v>2017</v>
      </c>
      <c r="HP39" s="11" t="s">
        <v>330</v>
      </c>
      <c r="HQ39" s="11" t="s">
        <v>319</v>
      </c>
      <c r="HR39" s="11" t="s">
        <v>320</v>
      </c>
      <c r="HS39" s="11" t="s">
        <v>320</v>
      </c>
      <c r="HT39" s="11" t="s">
        <v>320</v>
      </c>
      <c r="HU39" s="11" t="s">
        <v>319</v>
      </c>
      <c r="HV39" s="11" t="s">
        <v>319</v>
      </c>
      <c r="HW39" s="11" t="s">
        <v>319</v>
      </c>
      <c r="HX39" s="11" t="s">
        <v>319</v>
      </c>
      <c r="HZ39" s="11" t="s">
        <v>331</v>
      </c>
      <c r="IB39" s="11" t="s">
        <v>396</v>
      </c>
      <c r="ID39" s="11" t="s">
        <v>364</v>
      </c>
      <c r="IE39" s="11" t="s">
        <v>335</v>
      </c>
      <c r="IF39" s="11" t="s">
        <v>320</v>
      </c>
      <c r="IG39" s="11" t="s">
        <v>320</v>
      </c>
      <c r="IH39" s="11" t="s">
        <v>320</v>
      </c>
      <c r="II39" s="11" t="s">
        <v>320</v>
      </c>
      <c r="IJ39" s="12" t="str">
        <f t="shared" si="1"/>
        <v>2. Sensitive</v>
      </c>
      <c r="IK39" s="12">
        <f t="shared" si="2"/>
        <v>4</v>
      </c>
      <c r="IL39" s="11" t="s">
        <v>336</v>
      </c>
      <c r="IM39" s="11" t="s">
        <v>319</v>
      </c>
      <c r="IN39" s="11" t="s">
        <v>319</v>
      </c>
      <c r="IO39" s="11" t="s">
        <v>320</v>
      </c>
      <c r="IP39" s="11" t="s">
        <v>320</v>
      </c>
      <c r="IQ39" s="12" t="str">
        <f t="shared" si="3"/>
        <v>1. Tokenistic</v>
      </c>
      <c r="IR39" s="12">
        <f t="shared" si="4"/>
        <v>2</v>
      </c>
      <c r="IS39" s="11" t="s">
        <v>337</v>
      </c>
      <c r="IT39" s="11" t="s">
        <v>320</v>
      </c>
      <c r="IU39" s="11" t="s">
        <v>320</v>
      </c>
      <c r="IV39" s="11" t="s">
        <v>320</v>
      </c>
      <c r="IW39" s="11" t="str">
        <f t="shared" si="5"/>
        <v>2. Sensitive</v>
      </c>
      <c r="IX39" s="12">
        <f t="shared" si="6"/>
        <v>3</v>
      </c>
      <c r="IY39" s="11" t="s">
        <v>419</v>
      </c>
      <c r="IZ39" s="11" t="s">
        <v>432</v>
      </c>
      <c r="JA39" s="11">
        <v>22</v>
      </c>
      <c r="JB39" s="11" t="s">
        <v>724</v>
      </c>
      <c r="JC39" s="11" t="s">
        <v>687</v>
      </c>
      <c r="JD39" s="11" t="s">
        <v>384</v>
      </c>
      <c r="JE39" s="11" t="s">
        <v>420</v>
      </c>
      <c r="JH39" s="11" t="s">
        <v>1134</v>
      </c>
      <c r="JI39" s="11" t="s">
        <v>1135</v>
      </c>
      <c r="JJ39" s="11" t="s">
        <v>1136</v>
      </c>
      <c r="JK39" s="11" t="s">
        <v>1137</v>
      </c>
      <c r="JL39" s="11" t="s">
        <v>1138</v>
      </c>
      <c r="JM39" s="11" t="s">
        <v>1139</v>
      </c>
      <c r="JO39" s="11" t="s">
        <v>1140</v>
      </c>
      <c r="JP39" s="15">
        <f t="shared" si="7"/>
        <v>45525</v>
      </c>
      <c r="JQ39" s="15">
        <f t="shared" si="8"/>
        <v>136575</v>
      </c>
      <c r="JR39" s="279">
        <f t="shared" si="9"/>
        <v>3</v>
      </c>
      <c r="JS39" s="17">
        <f t="shared" si="10"/>
        <v>0.23931905546403076</v>
      </c>
      <c r="JT39" s="18">
        <f t="shared" si="11"/>
        <v>0.23931905546403076</v>
      </c>
      <c r="JU39" s="280">
        <f t="shared" si="12"/>
        <v>10895</v>
      </c>
      <c r="JV39" s="280">
        <f t="shared" si="13"/>
        <v>32685</v>
      </c>
      <c r="JW39" s="319" t="str">
        <f t="shared" si="14"/>
        <v/>
      </c>
      <c r="JX39" s="15">
        <f t="shared" si="15"/>
        <v>0</v>
      </c>
      <c r="JY39" s="15">
        <f t="shared" si="16"/>
        <v>0</v>
      </c>
      <c r="JZ39" s="19" t="str">
        <f t="shared" si="17"/>
        <v/>
      </c>
      <c r="KA39" s="52">
        <f t="shared" si="18"/>
        <v>1</v>
      </c>
      <c r="KB39" s="15">
        <f t="shared" si="19"/>
        <v>45524</v>
      </c>
      <c r="KC39" s="15">
        <f t="shared" si="20"/>
        <v>136572</v>
      </c>
      <c r="KD39" s="20">
        <f t="shared" si="21"/>
        <v>3</v>
      </c>
      <c r="KE39" s="52" t="str">
        <f t="shared" si="22"/>
        <v/>
      </c>
      <c r="KF39" s="15">
        <f t="shared" si="23"/>
        <v>0</v>
      </c>
      <c r="KG39" s="15">
        <f t="shared" si="24"/>
        <v>0</v>
      </c>
      <c r="KH39" s="21" t="str">
        <f t="shared" si="25"/>
        <v/>
      </c>
      <c r="KI39" s="52" t="str">
        <f t="shared" si="26"/>
        <v/>
      </c>
      <c r="KJ39" s="15">
        <f t="shared" si="27"/>
        <v>0</v>
      </c>
      <c r="KK39" s="15">
        <f t="shared" si="28"/>
        <v>0</v>
      </c>
      <c r="KL39" s="19" t="str">
        <f t="shared" si="29"/>
        <v/>
      </c>
      <c r="KM39" s="52">
        <f t="shared" si="30"/>
        <v>1</v>
      </c>
      <c r="KN39" s="22">
        <f t="shared" si="31"/>
        <v>10895</v>
      </c>
      <c r="KO39" s="22">
        <f t="shared" si="32"/>
        <v>32685</v>
      </c>
      <c r="KP39" s="19">
        <f t="shared" si="33"/>
        <v>3</v>
      </c>
      <c r="KQ39" s="11" t="str">
        <f t="shared" si="34"/>
        <v>2. Sensitive</v>
      </c>
      <c r="KR39" s="11" t="str">
        <f t="shared" si="35"/>
        <v>1. Tokenistic</v>
      </c>
      <c r="KS39" s="11" t="str">
        <f t="shared" si="36"/>
        <v>2. Sensitive</v>
      </c>
      <c r="KT39" s="11" t="str">
        <f t="shared" si="37"/>
        <v>It tested new ways for fighting poverty and measured results of innovation</v>
      </c>
      <c r="KU39" s="11" t="str">
        <f t="shared" si="38"/>
        <v>Moderate advocacy</v>
      </c>
      <c r="KV39" s="11" t="str">
        <f t="shared" si="39"/>
        <v>It linked and worked with strategic alliances and partners to take tested and effective solutions to scale</v>
      </c>
      <c r="KW39" s="11" t="str">
        <f t="shared" si="40"/>
        <v>Bangladesh - Krishi Utsho</v>
      </c>
      <c r="KX39" s="11" t="str">
        <f t="shared" si="41"/>
        <v>Krishi Utsho</v>
      </c>
      <c r="KY39" s="11" t="str">
        <f t="shared" si="42"/>
        <v>Bangladesh</v>
      </c>
      <c r="KZ39" s="12">
        <v>39</v>
      </c>
    </row>
    <row r="40" spans="1:312" x14ac:dyDescent="0.3">
      <c r="A40" s="11" t="s">
        <v>652</v>
      </c>
      <c r="B40" s="11" t="s">
        <v>306</v>
      </c>
      <c r="C40" s="11">
        <v>2764</v>
      </c>
      <c r="D40" s="11" t="s">
        <v>1141</v>
      </c>
      <c r="E40" s="24" t="str">
        <f t="shared" si="0"/>
        <v>Bangladesh</v>
      </c>
      <c r="F40" s="11" t="s">
        <v>1142</v>
      </c>
      <c r="G40" s="11" t="s">
        <v>379</v>
      </c>
      <c r="H40" s="11" t="s">
        <v>554</v>
      </c>
      <c r="I40" s="11" t="s">
        <v>384</v>
      </c>
      <c r="J40" s="278" t="s">
        <v>1143</v>
      </c>
      <c r="K40" s="11" t="s">
        <v>1144</v>
      </c>
      <c r="L40" s="11" t="s">
        <v>379</v>
      </c>
      <c r="M40" s="11" t="s">
        <v>383</v>
      </c>
      <c r="N40" s="11" t="s">
        <v>384</v>
      </c>
      <c r="O40" s="11" t="s">
        <v>1145</v>
      </c>
      <c r="P40" s="11" t="s">
        <v>1146</v>
      </c>
      <c r="Q40" s="11" t="s">
        <v>714</v>
      </c>
      <c r="R40" s="11" t="s">
        <v>489</v>
      </c>
      <c r="S40" s="11" t="s">
        <v>384</v>
      </c>
      <c r="T40" s="11" t="s">
        <v>1147</v>
      </c>
      <c r="BD40" s="23">
        <v>41912</v>
      </c>
      <c r="BE40" s="23">
        <v>43191</v>
      </c>
      <c r="BG40" s="11" t="s">
        <v>407</v>
      </c>
      <c r="BH40" s="22">
        <v>337500</v>
      </c>
      <c r="BI40" s="11" t="s">
        <v>1148</v>
      </c>
      <c r="BJ40" s="11" t="s">
        <v>444</v>
      </c>
      <c r="BK40" s="11" t="s">
        <v>1149</v>
      </c>
      <c r="BL40" s="11" t="s">
        <v>1150</v>
      </c>
      <c r="BM40" s="11" t="s">
        <v>1151</v>
      </c>
      <c r="BN40" s="11" t="s">
        <v>1152</v>
      </c>
      <c r="BO40" s="12" t="s">
        <v>319</v>
      </c>
      <c r="BP40" s="12" t="s">
        <v>320</v>
      </c>
      <c r="BQ40" s="12" t="s">
        <v>319</v>
      </c>
      <c r="BR40" s="11" t="s">
        <v>1153</v>
      </c>
      <c r="BS40" s="11" t="s">
        <v>357</v>
      </c>
      <c r="BT40" s="11" t="s">
        <v>1154</v>
      </c>
      <c r="BU40" s="11" t="s">
        <v>1155</v>
      </c>
      <c r="BV40" s="22">
        <v>850</v>
      </c>
      <c r="BW40" s="22">
        <v>750</v>
      </c>
      <c r="BX40" s="22">
        <v>1600</v>
      </c>
      <c r="BY40" s="22">
        <v>0</v>
      </c>
      <c r="BZ40" s="22">
        <v>2000</v>
      </c>
      <c r="CA40" s="22">
        <v>2000</v>
      </c>
      <c r="CB40" s="15" t="s">
        <v>1156</v>
      </c>
      <c r="CL40" s="18"/>
      <c r="CP40" s="18"/>
      <c r="CT40" s="18"/>
      <c r="CX40" s="18"/>
      <c r="DB40" s="18"/>
      <c r="DF40" s="18"/>
      <c r="DJ40" s="18"/>
      <c r="DN40" s="18"/>
      <c r="DR40" s="18"/>
      <c r="DV40" s="18"/>
      <c r="DZ40" s="18"/>
      <c r="ED40" s="18"/>
      <c r="EI40" s="18"/>
      <c r="EK40" s="22">
        <v>550</v>
      </c>
      <c r="EL40" s="22">
        <v>150</v>
      </c>
      <c r="EM40" s="22">
        <v>700</v>
      </c>
      <c r="EN40" s="22">
        <v>0</v>
      </c>
      <c r="EO40" s="22">
        <v>1050</v>
      </c>
      <c r="EP40" s="22">
        <v>1050</v>
      </c>
      <c r="EQ40" s="12" t="s">
        <v>320</v>
      </c>
      <c r="ER40" s="22">
        <v>200</v>
      </c>
      <c r="ES40" s="18">
        <v>0.25</v>
      </c>
      <c r="ET40" s="22">
        <v>1050</v>
      </c>
      <c r="EU40" s="11" t="s">
        <v>319</v>
      </c>
      <c r="EW40" s="18"/>
      <c r="EY40" s="12" t="s">
        <v>319</v>
      </c>
      <c r="FA40" s="18"/>
      <c r="FC40" s="12" t="s">
        <v>319</v>
      </c>
      <c r="FE40" s="18"/>
      <c r="FG40" s="12" t="s">
        <v>319</v>
      </c>
      <c r="FI40" s="18"/>
      <c r="FK40" s="11" t="s">
        <v>319</v>
      </c>
      <c r="FM40" s="18"/>
      <c r="FO40" s="11" t="s">
        <v>319</v>
      </c>
      <c r="FQ40" s="18"/>
      <c r="FS40" s="11" t="s">
        <v>319</v>
      </c>
      <c r="FU40" s="18"/>
      <c r="FW40" s="11" t="s">
        <v>319</v>
      </c>
      <c r="FY40" s="18"/>
      <c r="GA40" s="11" t="s">
        <v>320</v>
      </c>
      <c r="GB40" s="22">
        <v>400</v>
      </c>
      <c r="GC40" s="18">
        <v>0.63</v>
      </c>
      <c r="GD40" s="22">
        <v>0</v>
      </c>
      <c r="GE40" s="11" t="s">
        <v>319</v>
      </c>
      <c r="GG40" s="18"/>
      <c r="GI40" s="11" t="s">
        <v>319</v>
      </c>
      <c r="GK40" s="18"/>
      <c r="GM40" s="11" t="s">
        <v>319</v>
      </c>
      <c r="GO40" s="18"/>
      <c r="GQ40" s="11" t="s">
        <v>319</v>
      </c>
      <c r="GS40" s="18"/>
      <c r="GU40" s="11" t="s">
        <v>319</v>
      </c>
      <c r="GW40" s="18"/>
      <c r="GY40" s="11" t="s">
        <v>320</v>
      </c>
      <c r="GZ40" s="22">
        <v>260</v>
      </c>
      <c r="HA40" s="18">
        <v>1</v>
      </c>
      <c r="HB40" s="22">
        <v>0</v>
      </c>
      <c r="HF40" s="18"/>
      <c r="HH40" s="11" t="s">
        <v>319</v>
      </c>
      <c r="HK40" s="11" t="s">
        <v>319</v>
      </c>
      <c r="HL40" s="11" t="s">
        <v>319</v>
      </c>
      <c r="HP40" s="11" t="s">
        <v>418</v>
      </c>
      <c r="HQ40" s="11" t="s">
        <v>319</v>
      </c>
      <c r="HR40" s="11" t="s">
        <v>320</v>
      </c>
      <c r="HS40" s="11" t="s">
        <v>319</v>
      </c>
      <c r="HT40" s="11" t="s">
        <v>320</v>
      </c>
      <c r="HU40" s="11" t="s">
        <v>319</v>
      </c>
      <c r="HV40" s="11" t="s">
        <v>319</v>
      </c>
      <c r="HW40" s="11" t="s">
        <v>320</v>
      </c>
      <c r="HX40" s="11" t="s">
        <v>319</v>
      </c>
      <c r="HZ40" s="11" t="s">
        <v>363</v>
      </c>
      <c r="IB40" s="11" t="s">
        <v>333</v>
      </c>
      <c r="ID40" s="11" t="s">
        <v>334</v>
      </c>
      <c r="IE40" s="11" t="s">
        <v>335</v>
      </c>
      <c r="IF40" s="11" t="s">
        <v>319</v>
      </c>
      <c r="IG40" s="11" t="s">
        <v>320</v>
      </c>
      <c r="IH40" s="11" t="s">
        <v>320</v>
      </c>
      <c r="II40" s="11" t="s">
        <v>319</v>
      </c>
      <c r="IJ40" s="12" t="str">
        <f t="shared" si="1"/>
        <v>1. Neutral</v>
      </c>
      <c r="IK40" s="12">
        <f t="shared" si="2"/>
        <v>2</v>
      </c>
      <c r="IL40" s="11" t="s">
        <v>336</v>
      </c>
      <c r="IM40" s="11" t="s">
        <v>319</v>
      </c>
      <c r="IN40" s="11" t="s">
        <v>319</v>
      </c>
      <c r="IO40" s="11" t="s">
        <v>319</v>
      </c>
      <c r="IP40" s="11" t="s">
        <v>320</v>
      </c>
      <c r="IQ40" s="12" t="str">
        <f t="shared" si="3"/>
        <v>1. Tokenistic</v>
      </c>
      <c r="IR40" s="12">
        <f t="shared" si="4"/>
        <v>1</v>
      </c>
      <c r="IW40" s="11" t="str">
        <f t="shared" si="5"/>
        <v>No marker score</v>
      </c>
      <c r="IX40" s="12">
        <f t="shared" si="6"/>
        <v>0</v>
      </c>
      <c r="IY40" s="11" t="s">
        <v>338</v>
      </c>
      <c r="IZ40" s="11" t="s">
        <v>339</v>
      </c>
      <c r="JE40" s="11" t="s">
        <v>420</v>
      </c>
      <c r="JH40" s="11" t="s">
        <v>1157</v>
      </c>
      <c r="JI40" s="11" t="s">
        <v>1158</v>
      </c>
      <c r="JJ40" s="11" t="s">
        <v>1159</v>
      </c>
      <c r="JK40" s="11" t="s">
        <v>1160</v>
      </c>
      <c r="JL40" s="11" t="s">
        <v>1161</v>
      </c>
      <c r="JM40" s="11" t="s">
        <v>1162</v>
      </c>
      <c r="JP40" s="15">
        <f t="shared" si="7"/>
        <v>700</v>
      </c>
      <c r="JQ40" s="15">
        <f t="shared" si="8"/>
        <v>1050</v>
      </c>
      <c r="JR40" s="279">
        <f t="shared" si="9"/>
        <v>1.5</v>
      </c>
      <c r="JS40" s="17">
        <f t="shared" si="10"/>
        <v>0.7857142857142857</v>
      </c>
      <c r="JT40" s="18">
        <f t="shared" si="11"/>
        <v>0</v>
      </c>
      <c r="JU40" s="280">
        <f t="shared" si="12"/>
        <v>550</v>
      </c>
      <c r="JV40" s="280">
        <f t="shared" si="13"/>
        <v>0</v>
      </c>
      <c r="JW40" s="319" t="str">
        <f t="shared" si="14"/>
        <v/>
      </c>
      <c r="JX40" s="15">
        <f t="shared" si="15"/>
        <v>0</v>
      </c>
      <c r="JY40" s="15">
        <f t="shared" si="16"/>
        <v>0</v>
      </c>
      <c r="JZ40" s="19" t="str">
        <f t="shared" si="17"/>
        <v/>
      </c>
      <c r="KA40" s="52">
        <f t="shared" si="18"/>
        <v>1</v>
      </c>
      <c r="KB40" s="15">
        <f t="shared" si="19"/>
        <v>200</v>
      </c>
      <c r="KC40" s="15">
        <f t="shared" si="20"/>
        <v>1050</v>
      </c>
      <c r="KD40" s="20">
        <f t="shared" si="21"/>
        <v>5.25</v>
      </c>
      <c r="KE40" s="52" t="str">
        <f t="shared" si="22"/>
        <v/>
      </c>
      <c r="KF40" s="15">
        <f t="shared" si="23"/>
        <v>0</v>
      </c>
      <c r="KG40" s="15">
        <f t="shared" si="24"/>
        <v>0</v>
      </c>
      <c r="KH40" s="21" t="str">
        <f t="shared" si="25"/>
        <v/>
      </c>
      <c r="KI40" s="52" t="str">
        <f t="shared" si="26"/>
        <v/>
      </c>
      <c r="KJ40" s="15">
        <f t="shared" si="27"/>
        <v>0</v>
      </c>
      <c r="KK40" s="15">
        <f t="shared" si="28"/>
        <v>0</v>
      </c>
      <c r="KL40" s="19" t="str">
        <f t="shared" si="29"/>
        <v/>
      </c>
      <c r="KM40" s="52">
        <f t="shared" si="30"/>
        <v>1</v>
      </c>
      <c r="KN40" s="22">
        <f t="shared" si="31"/>
        <v>260</v>
      </c>
      <c r="KO40" s="22">
        <f t="shared" si="32"/>
        <v>0</v>
      </c>
      <c r="KP40" s="19">
        <f t="shared" si="33"/>
        <v>0</v>
      </c>
      <c r="KQ40" s="11" t="str">
        <f t="shared" si="34"/>
        <v>1. Neutral</v>
      </c>
      <c r="KR40" s="11" t="str">
        <f t="shared" si="35"/>
        <v>1. Tokenistic</v>
      </c>
      <c r="KS40" s="11" t="str">
        <f t="shared" si="36"/>
        <v>No marker score</v>
      </c>
      <c r="KT40" s="11" t="str">
        <f t="shared" si="37"/>
        <v>It did not develop any specific innovation</v>
      </c>
      <c r="KU40" s="11" t="str">
        <f t="shared" si="38"/>
        <v>Little or no advocacy</v>
      </c>
      <c r="KV40" s="11" t="str">
        <f t="shared" si="39"/>
        <v>It did not take tested solutions to scale</v>
      </c>
      <c r="KW40" s="11" t="str">
        <f t="shared" si="40"/>
        <v>Bangladesh - Living Blue</v>
      </c>
      <c r="KX40" s="11" t="str">
        <f t="shared" si="41"/>
        <v>Living Blue</v>
      </c>
      <c r="KY40" s="11" t="str">
        <f t="shared" si="42"/>
        <v>Bangladesh</v>
      </c>
      <c r="KZ40" s="12">
        <v>40</v>
      </c>
    </row>
    <row r="41" spans="1:312" x14ac:dyDescent="0.3">
      <c r="A41" s="11" t="s">
        <v>652</v>
      </c>
      <c r="B41" s="11" t="s">
        <v>306</v>
      </c>
      <c r="D41" s="11" t="s">
        <v>1163</v>
      </c>
      <c r="E41" s="24" t="str">
        <f t="shared" si="0"/>
        <v>Bangladesh</v>
      </c>
      <c r="F41" s="11" t="s">
        <v>1164</v>
      </c>
      <c r="G41" s="11" t="s">
        <v>379</v>
      </c>
      <c r="H41" s="11" t="s">
        <v>384</v>
      </c>
      <c r="I41" s="11" t="s">
        <v>384</v>
      </c>
      <c r="J41" s="278" t="s">
        <v>14576</v>
      </c>
      <c r="BD41" s="23">
        <v>42675</v>
      </c>
      <c r="BE41" s="23">
        <v>43100</v>
      </c>
      <c r="BG41" s="11" t="s">
        <v>312</v>
      </c>
      <c r="BH41" s="22">
        <v>64737</v>
      </c>
      <c r="BI41" s="11" t="s">
        <v>1165</v>
      </c>
      <c r="BJ41" s="11" t="s">
        <v>1166</v>
      </c>
      <c r="BK41" s="11" t="s">
        <v>1167</v>
      </c>
      <c r="BL41" s="11" t="s">
        <v>1168</v>
      </c>
      <c r="BM41" s="11" t="s">
        <v>1169</v>
      </c>
      <c r="BN41" s="11" t="s">
        <v>1170</v>
      </c>
      <c r="BO41" s="12" t="s">
        <v>319</v>
      </c>
      <c r="BP41" s="12" t="s">
        <v>320</v>
      </c>
      <c r="BQ41" s="12" t="s">
        <v>319</v>
      </c>
      <c r="BR41" s="11" t="s">
        <v>1171</v>
      </c>
      <c r="BS41" s="11" t="s">
        <v>357</v>
      </c>
      <c r="BT41" s="11" t="s">
        <v>1172</v>
      </c>
      <c r="BU41" s="11" t="s">
        <v>1173</v>
      </c>
      <c r="BV41" s="22">
        <v>100</v>
      </c>
      <c r="BW41" s="22">
        <v>0</v>
      </c>
      <c r="BX41" s="22">
        <v>100</v>
      </c>
      <c r="BY41" s="22">
        <v>40200</v>
      </c>
      <c r="BZ41" s="22">
        <v>60300</v>
      </c>
      <c r="CA41" s="22">
        <v>100500</v>
      </c>
      <c r="CB41" s="15" t="s">
        <v>1174</v>
      </c>
      <c r="CL41" s="18"/>
      <c r="CP41" s="18"/>
      <c r="CT41" s="18"/>
      <c r="CX41" s="18"/>
      <c r="DB41" s="18"/>
      <c r="DF41" s="18"/>
      <c r="DJ41" s="18"/>
      <c r="DN41" s="18"/>
      <c r="DR41" s="18"/>
      <c r="DV41" s="18"/>
      <c r="DZ41" s="18"/>
      <c r="ED41" s="18"/>
      <c r="EI41" s="18"/>
      <c r="EK41" s="22">
        <v>71</v>
      </c>
      <c r="EL41" s="22">
        <v>0</v>
      </c>
      <c r="EM41" s="22">
        <v>71</v>
      </c>
      <c r="EN41" s="22">
        <v>28400</v>
      </c>
      <c r="EO41" s="22">
        <v>42600</v>
      </c>
      <c r="EP41" s="22">
        <v>71000</v>
      </c>
      <c r="EQ41" s="12" t="s">
        <v>319</v>
      </c>
      <c r="ES41" s="18"/>
      <c r="EU41" s="11" t="s">
        <v>319</v>
      </c>
      <c r="EW41" s="18"/>
      <c r="EY41" s="12" t="s">
        <v>319</v>
      </c>
      <c r="FA41" s="18"/>
      <c r="FC41" s="12" t="s">
        <v>319</v>
      </c>
      <c r="FE41" s="18"/>
      <c r="FG41" s="12" t="s">
        <v>319</v>
      </c>
      <c r="FI41" s="18"/>
      <c r="FK41" s="11" t="s">
        <v>319</v>
      </c>
      <c r="FM41" s="18"/>
      <c r="FO41" s="11" t="s">
        <v>319</v>
      </c>
      <c r="FQ41" s="18"/>
      <c r="FS41" s="11" t="s">
        <v>319</v>
      </c>
      <c r="FU41" s="18"/>
      <c r="FW41" s="11" t="s">
        <v>319</v>
      </c>
      <c r="FY41" s="18"/>
      <c r="GA41" s="11" t="s">
        <v>319</v>
      </c>
      <c r="GC41" s="18"/>
      <c r="GE41" s="11" t="s">
        <v>319</v>
      </c>
      <c r="GG41" s="18"/>
      <c r="GI41" s="11" t="s">
        <v>319</v>
      </c>
      <c r="GK41" s="18"/>
      <c r="GM41" s="11" t="s">
        <v>319</v>
      </c>
      <c r="GO41" s="18"/>
      <c r="GQ41" s="11" t="s">
        <v>319</v>
      </c>
      <c r="GS41" s="18"/>
      <c r="GU41" s="11" t="s">
        <v>319</v>
      </c>
      <c r="GW41" s="18"/>
      <c r="GY41" s="11" t="s">
        <v>320</v>
      </c>
      <c r="GZ41" s="22">
        <v>71</v>
      </c>
      <c r="HA41" s="18">
        <v>1</v>
      </c>
      <c r="HB41" s="22">
        <v>71000</v>
      </c>
      <c r="HD41" s="11" t="s">
        <v>319</v>
      </c>
      <c r="HF41" s="18"/>
      <c r="HH41" s="11" t="s">
        <v>320</v>
      </c>
      <c r="HI41" s="11" t="s">
        <v>1175</v>
      </c>
      <c r="HJ41" s="11">
        <v>2017</v>
      </c>
      <c r="HK41" s="11" t="s">
        <v>319</v>
      </c>
      <c r="HL41" s="11" t="s">
        <v>320</v>
      </c>
      <c r="HM41" s="11" t="s">
        <v>328</v>
      </c>
      <c r="HN41" s="11">
        <v>2017</v>
      </c>
      <c r="HO41" s="11" t="s">
        <v>1176</v>
      </c>
      <c r="HP41" s="11" t="s">
        <v>418</v>
      </c>
      <c r="HQ41" s="11" t="s">
        <v>319</v>
      </c>
      <c r="HR41" s="11" t="s">
        <v>319</v>
      </c>
      <c r="HS41" s="11" t="s">
        <v>319</v>
      </c>
      <c r="HT41" s="11" t="s">
        <v>319</v>
      </c>
      <c r="HU41" s="11" t="s">
        <v>319</v>
      </c>
      <c r="HV41" s="11" t="s">
        <v>319</v>
      </c>
      <c r="HW41" s="11" t="s">
        <v>319</v>
      </c>
      <c r="HX41" s="11" t="s">
        <v>319</v>
      </c>
      <c r="HZ41" s="11" t="s">
        <v>331</v>
      </c>
      <c r="IA41" s="11" t="s">
        <v>1177</v>
      </c>
      <c r="IB41" s="11" t="s">
        <v>396</v>
      </c>
      <c r="IC41" s="11" t="s">
        <v>1178</v>
      </c>
      <c r="ID41" s="11" t="s">
        <v>364</v>
      </c>
      <c r="IE41" s="11" t="s">
        <v>478</v>
      </c>
      <c r="IF41" s="11" t="s">
        <v>319</v>
      </c>
      <c r="IG41" s="11" t="s">
        <v>319</v>
      </c>
      <c r="IH41" s="11" t="s">
        <v>320</v>
      </c>
      <c r="II41" s="11" t="s">
        <v>320</v>
      </c>
      <c r="IJ41" s="12" t="str">
        <f t="shared" si="1"/>
        <v>3. Responsive</v>
      </c>
      <c r="IK41" s="12">
        <f t="shared" si="2"/>
        <v>2</v>
      </c>
      <c r="IL41" s="11" t="s">
        <v>336</v>
      </c>
      <c r="IM41" s="11" t="s">
        <v>320</v>
      </c>
      <c r="IN41" s="11" t="s">
        <v>319</v>
      </c>
      <c r="IO41" s="11" t="s">
        <v>319</v>
      </c>
      <c r="IP41" s="11" t="s">
        <v>319</v>
      </c>
      <c r="IQ41" s="12" t="str">
        <f t="shared" si="3"/>
        <v>1. Tokenistic</v>
      </c>
      <c r="IR41" s="12">
        <f t="shared" si="4"/>
        <v>1</v>
      </c>
      <c r="IS41" s="11" t="s">
        <v>337</v>
      </c>
      <c r="IT41" s="11" t="s">
        <v>320</v>
      </c>
      <c r="IU41" s="11" t="s">
        <v>319</v>
      </c>
      <c r="IV41" s="11" t="s">
        <v>319</v>
      </c>
      <c r="IW41" s="11" t="str">
        <f t="shared" si="5"/>
        <v>1. Neutral</v>
      </c>
      <c r="IX41" s="12">
        <f t="shared" si="6"/>
        <v>1</v>
      </c>
      <c r="IY41" s="11" t="s">
        <v>338</v>
      </c>
      <c r="IZ41" s="11" t="s">
        <v>339</v>
      </c>
      <c r="JE41" s="11" t="s">
        <v>420</v>
      </c>
      <c r="JH41" s="11" t="s">
        <v>1179</v>
      </c>
      <c r="JI41" s="11" t="s">
        <v>1180</v>
      </c>
      <c r="JJ41" s="11" t="s">
        <v>1181</v>
      </c>
      <c r="JK41" s="11" t="s">
        <v>1182</v>
      </c>
      <c r="JL41" s="11" t="s">
        <v>1183</v>
      </c>
      <c r="JM41" s="11" t="s">
        <v>1184</v>
      </c>
      <c r="JP41" s="15">
        <f t="shared" si="7"/>
        <v>71</v>
      </c>
      <c r="JQ41" s="15">
        <f t="shared" si="8"/>
        <v>71000</v>
      </c>
      <c r="JR41" s="279">
        <f t="shared" si="9"/>
        <v>1000</v>
      </c>
      <c r="JS41" s="17">
        <f t="shared" si="10"/>
        <v>1</v>
      </c>
      <c r="JT41" s="18">
        <f t="shared" si="11"/>
        <v>0.4</v>
      </c>
      <c r="JU41" s="280">
        <f t="shared" si="12"/>
        <v>71</v>
      </c>
      <c r="JV41" s="280">
        <f t="shared" si="13"/>
        <v>28400</v>
      </c>
      <c r="JW41" s="319" t="str">
        <f t="shared" si="14"/>
        <v/>
      </c>
      <c r="JX41" s="15">
        <f t="shared" si="15"/>
        <v>0</v>
      </c>
      <c r="JY41" s="15">
        <f t="shared" si="16"/>
        <v>0</v>
      </c>
      <c r="JZ41" s="19" t="str">
        <f t="shared" si="17"/>
        <v/>
      </c>
      <c r="KA41" s="52" t="str">
        <f t="shared" si="18"/>
        <v/>
      </c>
      <c r="KB41" s="15">
        <f t="shared" si="19"/>
        <v>0</v>
      </c>
      <c r="KC41" s="15">
        <f t="shared" si="20"/>
        <v>0</v>
      </c>
      <c r="KD41" s="20" t="str">
        <f t="shared" si="21"/>
        <v/>
      </c>
      <c r="KE41" s="52" t="str">
        <f t="shared" si="22"/>
        <v/>
      </c>
      <c r="KF41" s="15">
        <f t="shared" si="23"/>
        <v>0</v>
      </c>
      <c r="KG41" s="15">
        <f t="shared" si="24"/>
        <v>0</v>
      </c>
      <c r="KH41" s="21" t="str">
        <f t="shared" si="25"/>
        <v/>
      </c>
      <c r="KI41" s="52" t="str">
        <f t="shared" si="26"/>
        <v/>
      </c>
      <c r="KJ41" s="15">
        <f t="shared" si="27"/>
        <v>0</v>
      </c>
      <c r="KK41" s="15">
        <f t="shared" si="28"/>
        <v>0</v>
      </c>
      <c r="KL41" s="19" t="str">
        <f t="shared" si="29"/>
        <v/>
      </c>
      <c r="KM41" s="52">
        <f t="shared" si="30"/>
        <v>1</v>
      </c>
      <c r="KN41" s="22">
        <f t="shared" si="31"/>
        <v>71</v>
      </c>
      <c r="KO41" s="22">
        <f t="shared" si="32"/>
        <v>71000</v>
      </c>
      <c r="KP41" s="19">
        <f t="shared" si="33"/>
        <v>1000</v>
      </c>
      <c r="KQ41" s="11" t="str">
        <f t="shared" si="34"/>
        <v>3. Responsive</v>
      </c>
      <c r="KR41" s="11" t="str">
        <f t="shared" si="35"/>
        <v>1. Tokenistic</v>
      </c>
      <c r="KS41" s="11" t="str">
        <f t="shared" si="36"/>
        <v>1. Neutral</v>
      </c>
      <c r="KT41" s="11" t="str">
        <f t="shared" si="37"/>
        <v>It tested new ways for fighting poverty and measured results of innovation</v>
      </c>
      <c r="KU41" s="11" t="str">
        <f t="shared" si="38"/>
        <v>Little or no advocacy</v>
      </c>
      <c r="KV41" s="11" t="str">
        <f t="shared" si="39"/>
        <v>It linked and worked with strategic alliances and partners to take tested and effective solutions to scale</v>
      </c>
      <c r="KW41" s="11" t="str">
        <f t="shared" si="40"/>
        <v>Bangladesh - MOUKA+ (JITA Social Business Bangladesh Ltd.)</v>
      </c>
      <c r="KX41" s="11" t="str">
        <f t="shared" si="41"/>
        <v>MOUKA+ (JITA Social Business Bangladesh Ltd.)</v>
      </c>
      <c r="KY41" s="11" t="str">
        <f t="shared" si="42"/>
        <v>Bangladesh</v>
      </c>
      <c r="KZ41" s="12">
        <v>41</v>
      </c>
    </row>
    <row r="42" spans="1:312" x14ac:dyDescent="0.3">
      <c r="A42" s="11" t="s">
        <v>652</v>
      </c>
      <c r="B42" s="11" t="s">
        <v>306</v>
      </c>
      <c r="C42" s="11">
        <v>2767</v>
      </c>
      <c r="D42" s="11" t="s">
        <v>653</v>
      </c>
      <c r="E42" s="24" t="str">
        <f t="shared" si="0"/>
        <v>Bangladesh</v>
      </c>
      <c r="F42" s="11" t="s">
        <v>654</v>
      </c>
      <c r="G42" s="11" t="s">
        <v>379</v>
      </c>
      <c r="H42" s="11" t="s">
        <v>310</v>
      </c>
      <c r="I42" s="11" t="s">
        <v>655</v>
      </c>
      <c r="J42" s="278" t="s">
        <v>4991</v>
      </c>
      <c r="BD42" s="23">
        <v>41253</v>
      </c>
      <c r="BE42" s="23">
        <v>42643</v>
      </c>
      <c r="BF42" s="23">
        <v>43039</v>
      </c>
      <c r="BG42" s="11" t="s">
        <v>490</v>
      </c>
      <c r="BH42" s="22">
        <v>1855184</v>
      </c>
      <c r="BI42" s="11" t="s">
        <v>656</v>
      </c>
      <c r="BJ42" s="11" t="s">
        <v>657</v>
      </c>
      <c r="BK42" s="11" t="s">
        <v>658</v>
      </c>
      <c r="BL42" s="11" t="s">
        <v>659</v>
      </c>
      <c r="BM42" s="11" t="s">
        <v>660</v>
      </c>
      <c r="BN42" s="11" t="s">
        <v>661</v>
      </c>
      <c r="BO42" s="11" t="s">
        <v>319</v>
      </c>
      <c r="BP42" s="11" t="s">
        <v>320</v>
      </c>
      <c r="BQ42" s="11" t="s">
        <v>319</v>
      </c>
      <c r="BR42" s="11" t="s">
        <v>662</v>
      </c>
      <c r="BS42" s="11" t="s">
        <v>322</v>
      </c>
      <c r="BT42" s="11" t="s">
        <v>663</v>
      </c>
      <c r="BU42" s="11" t="s">
        <v>664</v>
      </c>
      <c r="BV42" s="22">
        <v>16000000</v>
      </c>
      <c r="BW42" s="22">
        <v>4000000</v>
      </c>
      <c r="BX42" s="22">
        <v>20000000</v>
      </c>
      <c r="BY42" s="22">
        <v>56000000</v>
      </c>
      <c r="BZ42" s="22">
        <v>14000000</v>
      </c>
      <c r="CA42" s="22">
        <v>70000000</v>
      </c>
      <c r="CB42" s="15" t="s">
        <v>665</v>
      </c>
      <c r="CL42" s="18"/>
      <c r="CP42" s="18"/>
      <c r="CT42" s="18"/>
      <c r="CX42" s="18"/>
      <c r="DB42" s="18"/>
      <c r="DF42" s="18"/>
      <c r="DJ42" s="18"/>
      <c r="DN42" s="18"/>
      <c r="DR42" s="18"/>
      <c r="DV42" s="18"/>
      <c r="DZ42" s="18"/>
      <c r="ED42" s="18"/>
      <c r="EI42" s="18"/>
      <c r="EK42" s="22">
        <v>8568748</v>
      </c>
      <c r="EL42" s="22">
        <v>1414782</v>
      </c>
      <c r="EM42" s="22">
        <v>9983530</v>
      </c>
      <c r="EN42" s="22">
        <v>29990619</v>
      </c>
      <c r="EO42" s="22">
        <v>4951736</v>
      </c>
      <c r="EP42" s="22">
        <v>34942355</v>
      </c>
      <c r="EQ42" s="12" t="s">
        <v>319</v>
      </c>
      <c r="ES42" s="18"/>
      <c r="EU42" s="11" t="s">
        <v>319</v>
      </c>
      <c r="EW42" s="18"/>
      <c r="EY42" s="12" t="s">
        <v>319</v>
      </c>
      <c r="FA42" s="18"/>
      <c r="FC42" s="12" t="s">
        <v>319</v>
      </c>
      <c r="FE42" s="18"/>
      <c r="FG42" s="12" t="s">
        <v>319</v>
      </c>
      <c r="FI42" s="18"/>
      <c r="FK42" s="11" t="s">
        <v>319</v>
      </c>
      <c r="FM42" s="18"/>
      <c r="FO42" s="11" t="s">
        <v>319</v>
      </c>
      <c r="FQ42" s="18"/>
      <c r="FS42" s="12" t="s">
        <v>320</v>
      </c>
      <c r="FT42" s="22">
        <v>2253</v>
      </c>
      <c r="FU42" s="18">
        <v>1</v>
      </c>
      <c r="FV42" s="22">
        <v>7886</v>
      </c>
      <c r="FW42" s="11" t="s">
        <v>319</v>
      </c>
      <c r="FY42" s="18"/>
      <c r="GA42" s="11" t="s">
        <v>320</v>
      </c>
      <c r="GB42" s="22">
        <v>4492134</v>
      </c>
      <c r="GC42" s="18">
        <v>0.77</v>
      </c>
      <c r="GD42" s="22">
        <v>15722468</v>
      </c>
      <c r="GE42" s="11" t="s">
        <v>319</v>
      </c>
      <c r="GG42" s="18"/>
      <c r="GI42" s="11" t="s">
        <v>319</v>
      </c>
      <c r="GK42" s="18"/>
      <c r="GM42" s="11" t="s">
        <v>319</v>
      </c>
      <c r="GO42" s="18"/>
      <c r="GQ42" s="11" t="s">
        <v>320</v>
      </c>
      <c r="GR42" s="22">
        <v>5491396</v>
      </c>
      <c r="GS42" s="18">
        <v>0.93</v>
      </c>
      <c r="GT42" s="22">
        <v>19219888</v>
      </c>
      <c r="GU42" s="11" t="s">
        <v>319</v>
      </c>
      <c r="GW42" s="18"/>
      <c r="GY42" s="11" t="s">
        <v>319</v>
      </c>
      <c r="HA42" s="18"/>
      <c r="HF42" s="18"/>
      <c r="HH42" s="11" t="s">
        <v>319</v>
      </c>
      <c r="HK42" s="11" t="s">
        <v>320</v>
      </c>
      <c r="HL42" s="11" t="s">
        <v>320</v>
      </c>
      <c r="HM42" s="11" t="s">
        <v>328</v>
      </c>
      <c r="HN42" s="11">
        <v>2017</v>
      </c>
      <c r="HO42" s="11" t="s">
        <v>666</v>
      </c>
      <c r="HP42" s="11" t="s">
        <v>330</v>
      </c>
      <c r="HQ42" s="11" t="s">
        <v>319</v>
      </c>
      <c r="HR42" s="11" t="s">
        <v>319</v>
      </c>
      <c r="HS42" s="11" t="s">
        <v>320</v>
      </c>
      <c r="HT42" s="11" t="s">
        <v>320</v>
      </c>
      <c r="HU42" s="11" t="s">
        <v>320</v>
      </c>
      <c r="HV42" s="11" t="s">
        <v>320</v>
      </c>
      <c r="HW42" s="11" t="s">
        <v>319</v>
      </c>
      <c r="HX42" s="11" t="s">
        <v>319</v>
      </c>
      <c r="HZ42" s="11" t="s">
        <v>363</v>
      </c>
      <c r="IB42" s="11" t="s">
        <v>667</v>
      </c>
      <c r="ID42" s="11" t="s">
        <v>477</v>
      </c>
      <c r="IE42" s="11" t="s">
        <v>335</v>
      </c>
      <c r="IF42" s="11" t="s">
        <v>320</v>
      </c>
      <c r="IG42" s="11" t="s">
        <v>320</v>
      </c>
      <c r="IH42" s="11" t="s">
        <v>320</v>
      </c>
      <c r="II42" s="11" t="s">
        <v>320</v>
      </c>
      <c r="IJ42" s="12" t="str">
        <f t="shared" si="1"/>
        <v>2. Sensitive</v>
      </c>
      <c r="IK42" s="12">
        <f t="shared" si="2"/>
        <v>4</v>
      </c>
      <c r="IL42" s="11" t="s">
        <v>336</v>
      </c>
      <c r="IM42" s="11" t="s">
        <v>320</v>
      </c>
      <c r="IN42" s="11" t="s">
        <v>320</v>
      </c>
      <c r="IO42" s="11" t="s">
        <v>320</v>
      </c>
      <c r="IP42" s="11" t="s">
        <v>320</v>
      </c>
      <c r="IQ42" s="12" t="str">
        <f t="shared" si="3"/>
        <v>2. Accommodating</v>
      </c>
      <c r="IR42" s="12">
        <f t="shared" si="4"/>
        <v>4</v>
      </c>
      <c r="IS42" s="11" t="s">
        <v>622</v>
      </c>
      <c r="IT42" s="11" t="s">
        <v>320</v>
      </c>
      <c r="IU42" s="11" t="s">
        <v>319</v>
      </c>
      <c r="IV42" s="11" t="s">
        <v>320</v>
      </c>
      <c r="IW42" s="11" t="str">
        <f t="shared" si="5"/>
        <v>3. Responsive</v>
      </c>
      <c r="IX42" s="12">
        <f t="shared" si="6"/>
        <v>2</v>
      </c>
      <c r="IY42" s="11" t="s">
        <v>338</v>
      </c>
      <c r="IZ42" s="11" t="s">
        <v>432</v>
      </c>
      <c r="JA42" s="11">
        <v>25</v>
      </c>
      <c r="JB42" s="11" t="s">
        <v>624</v>
      </c>
      <c r="JC42" s="11" t="s">
        <v>433</v>
      </c>
      <c r="JD42" s="12" t="s">
        <v>651</v>
      </c>
      <c r="JE42" s="11" t="s">
        <v>340</v>
      </c>
      <c r="JF42" s="11" t="s">
        <v>668</v>
      </c>
      <c r="JH42" s="11" t="s">
        <v>669</v>
      </c>
      <c r="JI42" s="11" t="s">
        <v>670</v>
      </c>
      <c r="JJ42" s="11" t="s">
        <v>671</v>
      </c>
      <c r="JK42" s="11" t="s">
        <v>672</v>
      </c>
      <c r="JL42" s="11" t="s">
        <v>673</v>
      </c>
      <c r="JM42" s="11" t="s">
        <v>674</v>
      </c>
      <c r="JN42" s="11" t="s">
        <v>675</v>
      </c>
      <c r="JO42" s="11" t="s">
        <v>676</v>
      </c>
      <c r="JP42" s="15">
        <f t="shared" si="7"/>
        <v>9983530</v>
      </c>
      <c r="JQ42" s="15">
        <f t="shared" si="8"/>
        <v>34942355</v>
      </c>
      <c r="JR42" s="279">
        <f t="shared" si="9"/>
        <v>3.5</v>
      </c>
      <c r="JS42" s="17">
        <f t="shared" si="10"/>
        <v>0.8582884009964411</v>
      </c>
      <c r="JT42" s="18">
        <f t="shared" si="11"/>
        <v>0.85828842961500451</v>
      </c>
      <c r="JU42" s="280">
        <f t="shared" si="12"/>
        <v>8568748</v>
      </c>
      <c r="JV42" s="280">
        <f t="shared" si="13"/>
        <v>29990619</v>
      </c>
      <c r="JW42" s="319" t="str">
        <f t="shared" si="14"/>
        <v/>
      </c>
      <c r="JX42" s="15">
        <f t="shared" si="15"/>
        <v>0</v>
      </c>
      <c r="JY42" s="15">
        <f t="shared" si="16"/>
        <v>0</v>
      </c>
      <c r="JZ42" s="19" t="str">
        <f t="shared" si="17"/>
        <v/>
      </c>
      <c r="KA42" s="52" t="str">
        <f t="shared" si="18"/>
        <v/>
      </c>
      <c r="KB42" s="15">
        <f t="shared" si="19"/>
        <v>0</v>
      </c>
      <c r="KC42" s="15">
        <f t="shared" si="20"/>
        <v>0</v>
      </c>
      <c r="KD42" s="20" t="str">
        <f t="shared" si="21"/>
        <v/>
      </c>
      <c r="KE42" s="52">
        <f t="shared" si="22"/>
        <v>1</v>
      </c>
      <c r="KF42" s="15">
        <f t="shared" si="23"/>
        <v>5491396</v>
      </c>
      <c r="KG42" s="15">
        <f t="shared" si="24"/>
        <v>19219888</v>
      </c>
      <c r="KH42" s="21">
        <f t="shared" si="25"/>
        <v>3.5000003642061146</v>
      </c>
      <c r="KI42" s="52">
        <f t="shared" si="26"/>
        <v>1</v>
      </c>
      <c r="KJ42" s="15">
        <f t="shared" si="27"/>
        <v>2253</v>
      </c>
      <c r="KK42" s="15">
        <f t="shared" si="28"/>
        <v>7886</v>
      </c>
      <c r="KL42" s="19">
        <f t="shared" si="29"/>
        <v>3.5002219263204615</v>
      </c>
      <c r="KM42" s="52" t="str">
        <f t="shared" si="30"/>
        <v/>
      </c>
      <c r="KN42" s="22">
        <f t="shared" si="31"/>
        <v>0</v>
      </c>
      <c r="KO42" s="22">
        <f t="shared" si="32"/>
        <v>0</v>
      </c>
      <c r="KP42" s="19" t="str">
        <f t="shared" si="33"/>
        <v/>
      </c>
      <c r="KQ42" s="11" t="str">
        <f t="shared" si="34"/>
        <v>2. Sensitive</v>
      </c>
      <c r="KR42" s="11" t="str">
        <f t="shared" si="35"/>
        <v>2. Accommodating</v>
      </c>
      <c r="KS42" s="11" t="str">
        <f t="shared" si="36"/>
        <v>3. Responsive</v>
      </c>
      <c r="KT42" s="11" t="str">
        <f t="shared" si="37"/>
        <v>It did not develop any specific innovation</v>
      </c>
      <c r="KU42" s="11" t="str">
        <f t="shared" si="38"/>
        <v>Moderate advocacy</v>
      </c>
      <c r="KV42" s="11" t="str">
        <f t="shared" si="39"/>
        <v>It took tested solutions to scale on its own</v>
      </c>
      <c r="KW42" s="11" t="str">
        <f t="shared" si="40"/>
        <v>Bangladesh - NGO Health Service Delivery Project (NHSDP)</v>
      </c>
      <c r="KX42" s="11" t="str">
        <f t="shared" si="41"/>
        <v>NGO Health Service Delivery Project (NHSDP)</v>
      </c>
      <c r="KY42" s="11" t="str">
        <f t="shared" si="42"/>
        <v>Bangladesh</v>
      </c>
      <c r="KZ42" s="12">
        <v>42</v>
      </c>
    </row>
    <row r="43" spans="1:312" x14ac:dyDescent="0.3">
      <c r="A43" s="11" t="s">
        <v>652</v>
      </c>
      <c r="B43" s="11" t="s">
        <v>306</v>
      </c>
      <c r="C43" s="11">
        <v>2768</v>
      </c>
      <c r="D43" s="11" t="s">
        <v>1185</v>
      </c>
      <c r="E43" s="24" t="str">
        <f t="shared" si="0"/>
        <v>Bangladesh</v>
      </c>
      <c r="F43" s="11" t="s">
        <v>1186</v>
      </c>
      <c r="G43" s="11" t="s">
        <v>379</v>
      </c>
      <c r="H43" s="11" t="s">
        <v>383</v>
      </c>
      <c r="I43" s="11" t="s">
        <v>384</v>
      </c>
      <c r="J43" s="278" t="s">
        <v>1187</v>
      </c>
      <c r="BD43" s="23">
        <v>41395</v>
      </c>
      <c r="BE43" s="23">
        <v>43100</v>
      </c>
      <c r="BG43" s="11" t="s">
        <v>312</v>
      </c>
      <c r="BH43" s="22">
        <v>2600000</v>
      </c>
      <c r="BI43" s="11" t="s">
        <v>1188</v>
      </c>
      <c r="BJ43" s="11" t="s">
        <v>1189</v>
      </c>
      <c r="BK43" s="11" t="s">
        <v>1190</v>
      </c>
      <c r="BO43" s="11" t="s">
        <v>319</v>
      </c>
      <c r="BP43" s="11" t="s">
        <v>320</v>
      </c>
      <c r="BQ43" s="11" t="s">
        <v>319</v>
      </c>
      <c r="BR43" s="11" t="s">
        <v>1191</v>
      </c>
      <c r="BS43" s="11" t="s">
        <v>615</v>
      </c>
      <c r="BT43" s="11" t="s">
        <v>1192</v>
      </c>
      <c r="BU43" s="11" t="s">
        <v>1193</v>
      </c>
      <c r="BV43" s="22">
        <v>50942</v>
      </c>
      <c r="BW43" s="22">
        <v>12509</v>
      </c>
      <c r="BX43" s="22">
        <v>63451</v>
      </c>
      <c r="BY43" s="22">
        <v>133610</v>
      </c>
      <c r="BZ43" s="22">
        <v>133610</v>
      </c>
      <c r="CA43" s="22">
        <v>267220</v>
      </c>
      <c r="CB43" s="15" t="s">
        <v>1194</v>
      </c>
      <c r="CL43" s="18"/>
      <c r="CP43" s="18"/>
      <c r="CT43" s="18"/>
      <c r="CX43" s="18"/>
      <c r="DB43" s="18"/>
      <c r="DF43" s="18"/>
      <c r="DJ43" s="18"/>
      <c r="DN43" s="18"/>
      <c r="DR43" s="18"/>
      <c r="DV43" s="18"/>
      <c r="DZ43" s="18"/>
      <c r="ED43" s="18"/>
      <c r="EI43" s="18"/>
      <c r="EK43" s="22">
        <v>6035</v>
      </c>
      <c r="EL43" s="22">
        <v>1551</v>
      </c>
      <c r="EM43" s="22">
        <v>7586</v>
      </c>
      <c r="EN43" s="22">
        <v>120437</v>
      </c>
      <c r="EO43" s="22">
        <v>96264</v>
      </c>
      <c r="EP43" s="22">
        <v>216701</v>
      </c>
      <c r="EQ43" s="12" t="s">
        <v>319</v>
      </c>
      <c r="ES43" s="18"/>
      <c r="EU43" s="11" t="s">
        <v>319</v>
      </c>
      <c r="EW43" s="18"/>
      <c r="EY43" s="12" t="s">
        <v>319</v>
      </c>
      <c r="FA43" s="18"/>
      <c r="FC43" s="12" t="s">
        <v>319</v>
      </c>
      <c r="FE43" s="18"/>
      <c r="FG43" s="12" t="s">
        <v>319</v>
      </c>
      <c r="FI43" s="18"/>
      <c r="FK43" s="11" t="s">
        <v>319</v>
      </c>
      <c r="FM43" s="18"/>
      <c r="FO43" s="12" t="s">
        <v>320</v>
      </c>
      <c r="FP43" s="22">
        <v>7586</v>
      </c>
      <c r="FQ43" s="18">
        <v>0.8</v>
      </c>
      <c r="FR43" s="22">
        <v>216702</v>
      </c>
      <c r="FS43" s="11" t="s">
        <v>319</v>
      </c>
      <c r="FU43" s="18"/>
      <c r="FW43" s="11" t="s">
        <v>320</v>
      </c>
      <c r="FX43" s="22">
        <v>7586</v>
      </c>
      <c r="FY43" s="18">
        <v>0.8</v>
      </c>
      <c r="FZ43" s="22">
        <v>214100</v>
      </c>
      <c r="GA43" s="11" t="s">
        <v>319</v>
      </c>
      <c r="GC43" s="18"/>
      <c r="GE43" s="11" t="s">
        <v>319</v>
      </c>
      <c r="GG43" s="18"/>
      <c r="GI43" s="11" t="s">
        <v>319</v>
      </c>
      <c r="GK43" s="18"/>
      <c r="GM43" s="11" t="s">
        <v>320</v>
      </c>
      <c r="GN43" s="22">
        <v>2184</v>
      </c>
      <c r="GO43" s="18">
        <v>0.34</v>
      </c>
      <c r="GP43" s="22">
        <v>216702</v>
      </c>
      <c r="GQ43" s="12" t="s">
        <v>320</v>
      </c>
      <c r="GR43" s="22">
        <v>7586</v>
      </c>
      <c r="GS43" s="18">
        <v>0.8</v>
      </c>
      <c r="GT43" s="22">
        <v>214100</v>
      </c>
      <c r="GU43" s="12" t="s">
        <v>320</v>
      </c>
      <c r="GV43" s="22">
        <v>7587</v>
      </c>
      <c r="GW43" s="18">
        <v>0.8</v>
      </c>
      <c r="GX43" s="22">
        <v>214100</v>
      </c>
      <c r="GY43" s="11" t="s">
        <v>319</v>
      </c>
      <c r="HA43" s="18"/>
      <c r="HF43" s="18"/>
      <c r="HH43" s="11" t="s">
        <v>319</v>
      </c>
      <c r="HL43" s="11" t="s">
        <v>320</v>
      </c>
      <c r="HM43" s="11" t="s">
        <v>560</v>
      </c>
      <c r="HN43" s="11">
        <v>2018</v>
      </c>
      <c r="HO43" s="11" t="s">
        <v>1195</v>
      </c>
      <c r="HP43" s="11" t="s">
        <v>453</v>
      </c>
      <c r="HQ43" s="11" t="s">
        <v>320</v>
      </c>
      <c r="HR43" s="11" t="s">
        <v>319</v>
      </c>
      <c r="HS43" s="11" t="s">
        <v>320</v>
      </c>
      <c r="HT43" s="11" t="s">
        <v>320</v>
      </c>
      <c r="HU43" s="11" t="s">
        <v>320</v>
      </c>
      <c r="HV43" s="11" t="s">
        <v>320</v>
      </c>
      <c r="HW43" s="11" t="s">
        <v>320</v>
      </c>
      <c r="HX43" s="11" t="s">
        <v>319</v>
      </c>
      <c r="HZ43" s="11" t="s">
        <v>394</v>
      </c>
      <c r="IA43" s="11" t="s">
        <v>1196</v>
      </c>
      <c r="IB43" s="11" t="s">
        <v>333</v>
      </c>
      <c r="ID43" s="11" t="s">
        <v>334</v>
      </c>
      <c r="IE43" s="11" t="s">
        <v>335</v>
      </c>
      <c r="IF43" s="11" t="s">
        <v>320</v>
      </c>
      <c r="IG43" s="11" t="s">
        <v>320</v>
      </c>
      <c r="IH43" s="11" t="s">
        <v>320</v>
      </c>
      <c r="II43" s="11" t="s">
        <v>320</v>
      </c>
      <c r="IJ43" s="12" t="str">
        <f t="shared" si="1"/>
        <v>2. Sensitive</v>
      </c>
      <c r="IK43" s="12">
        <f t="shared" si="2"/>
        <v>4</v>
      </c>
      <c r="IL43" s="11" t="s">
        <v>336</v>
      </c>
      <c r="IM43" s="11" t="s">
        <v>320</v>
      </c>
      <c r="IN43" s="11" t="s">
        <v>320</v>
      </c>
      <c r="IO43" s="11" t="s">
        <v>320</v>
      </c>
      <c r="IP43" s="11" t="s">
        <v>320</v>
      </c>
      <c r="IQ43" s="12" t="str">
        <f t="shared" si="3"/>
        <v>2. Accommodating</v>
      </c>
      <c r="IR43" s="12">
        <f t="shared" si="4"/>
        <v>4</v>
      </c>
      <c r="IS43" s="11" t="s">
        <v>337</v>
      </c>
      <c r="IT43" s="11" t="s">
        <v>320</v>
      </c>
      <c r="IU43" s="11" t="s">
        <v>320</v>
      </c>
      <c r="IV43" s="11" t="s">
        <v>320</v>
      </c>
      <c r="IW43" s="11" t="str">
        <f t="shared" si="5"/>
        <v>2. Sensitive</v>
      </c>
      <c r="IX43" s="12">
        <f t="shared" si="6"/>
        <v>3</v>
      </c>
      <c r="IY43" s="11" t="s">
        <v>419</v>
      </c>
      <c r="IZ43" s="11" t="s">
        <v>339</v>
      </c>
      <c r="JE43" s="11" t="s">
        <v>420</v>
      </c>
      <c r="JG43" s="11" t="s">
        <v>1197</v>
      </c>
      <c r="JH43" s="11" t="s">
        <v>1198</v>
      </c>
      <c r="JI43" s="11" t="s">
        <v>1199</v>
      </c>
      <c r="JJ43" s="11" t="s">
        <v>1200</v>
      </c>
      <c r="JK43" s="11" t="s">
        <v>1201</v>
      </c>
      <c r="JL43" s="11" t="s">
        <v>1202</v>
      </c>
      <c r="JP43" s="15">
        <f t="shared" si="7"/>
        <v>7586</v>
      </c>
      <c r="JQ43" s="15">
        <f t="shared" si="8"/>
        <v>216701</v>
      </c>
      <c r="JR43" s="279">
        <f t="shared" si="9"/>
        <v>28.565910888478776</v>
      </c>
      <c r="JS43" s="17">
        <f t="shared" si="10"/>
        <v>0.79554442393883473</v>
      </c>
      <c r="JT43" s="18">
        <f t="shared" si="11"/>
        <v>0.55577500796027701</v>
      </c>
      <c r="JU43" s="280">
        <f t="shared" si="12"/>
        <v>6035</v>
      </c>
      <c r="JV43" s="280">
        <f t="shared" si="13"/>
        <v>120437</v>
      </c>
      <c r="JW43" s="319" t="str">
        <f t="shared" si="14"/>
        <v/>
      </c>
      <c r="JX43" s="15">
        <f t="shared" si="15"/>
        <v>0</v>
      </c>
      <c r="JY43" s="15">
        <f t="shared" si="16"/>
        <v>0</v>
      </c>
      <c r="JZ43" s="19" t="str">
        <f t="shared" si="17"/>
        <v/>
      </c>
      <c r="KA43" s="52">
        <f t="shared" si="18"/>
        <v>1</v>
      </c>
      <c r="KB43" s="15">
        <f t="shared" si="19"/>
        <v>7587</v>
      </c>
      <c r="KC43" s="15">
        <f t="shared" si="20"/>
        <v>216702</v>
      </c>
      <c r="KD43" s="20">
        <f t="shared" si="21"/>
        <v>28.562277580071175</v>
      </c>
      <c r="KE43" s="52">
        <f t="shared" si="22"/>
        <v>1</v>
      </c>
      <c r="KF43" s="15">
        <f t="shared" si="23"/>
        <v>7586</v>
      </c>
      <c r="KG43" s="15">
        <f t="shared" si="24"/>
        <v>214100</v>
      </c>
      <c r="KH43" s="21">
        <f t="shared" si="25"/>
        <v>28.22304244661218</v>
      </c>
      <c r="KI43" s="52" t="str">
        <f t="shared" si="26"/>
        <v/>
      </c>
      <c r="KJ43" s="15">
        <f t="shared" si="27"/>
        <v>0</v>
      </c>
      <c r="KK43" s="15">
        <f t="shared" si="28"/>
        <v>0</v>
      </c>
      <c r="KL43" s="19" t="str">
        <f t="shared" si="29"/>
        <v/>
      </c>
      <c r="KM43" s="52" t="str">
        <f t="shared" si="30"/>
        <v/>
      </c>
      <c r="KN43" s="22">
        <f t="shared" si="31"/>
        <v>0</v>
      </c>
      <c r="KO43" s="22">
        <f t="shared" si="32"/>
        <v>0</v>
      </c>
      <c r="KP43" s="19" t="str">
        <f t="shared" si="33"/>
        <v/>
      </c>
      <c r="KQ43" s="11" t="str">
        <f t="shared" si="34"/>
        <v>2. Sensitive</v>
      </c>
      <c r="KR43" s="11" t="str">
        <f t="shared" si="35"/>
        <v>2. Accommodating</v>
      </c>
      <c r="KS43" s="11" t="str">
        <f t="shared" si="36"/>
        <v>2. Sensitive</v>
      </c>
      <c r="KT43" s="11" t="str">
        <f t="shared" si="37"/>
        <v>It tested new ways for fighting poverty, but did not measure results of innovation</v>
      </c>
      <c r="KU43" s="11" t="str">
        <f t="shared" si="38"/>
        <v>Intensive advocacy</v>
      </c>
      <c r="KV43" s="11" t="str">
        <f t="shared" si="39"/>
        <v>It did not take tested solutions to scale</v>
      </c>
      <c r="KW43" s="11" t="str">
        <f t="shared" si="40"/>
        <v>Bangladesh - Nutrition at the Center</v>
      </c>
      <c r="KX43" s="11" t="str">
        <f t="shared" si="41"/>
        <v>Nutrition at the Center</v>
      </c>
      <c r="KY43" s="11" t="str">
        <f t="shared" si="42"/>
        <v>Bangladesh</v>
      </c>
      <c r="KZ43" s="12">
        <v>43</v>
      </c>
    </row>
    <row r="44" spans="1:312" x14ac:dyDescent="0.3">
      <c r="A44" s="11" t="s">
        <v>652</v>
      </c>
      <c r="B44" s="11" t="s">
        <v>306</v>
      </c>
      <c r="D44" s="11" t="s">
        <v>1203</v>
      </c>
      <c r="E44" s="24" t="str">
        <f t="shared" si="0"/>
        <v>Bangladesh</v>
      </c>
      <c r="F44" s="11" t="s">
        <v>1204</v>
      </c>
      <c r="G44" s="11" t="s">
        <v>379</v>
      </c>
      <c r="H44" s="11" t="s">
        <v>383</v>
      </c>
      <c r="I44" s="11" t="s">
        <v>384</v>
      </c>
      <c r="J44" s="278" t="s">
        <v>10266</v>
      </c>
      <c r="BD44" s="23">
        <v>42323</v>
      </c>
      <c r="BE44" s="23">
        <v>43053</v>
      </c>
      <c r="BG44" s="11" t="s">
        <v>312</v>
      </c>
      <c r="BH44" s="22">
        <v>1000000</v>
      </c>
      <c r="BI44" s="11" t="s">
        <v>1205</v>
      </c>
      <c r="BJ44" s="11" t="s">
        <v>1206</v>
      </c>
      <c r="BK44" s="11" t="s">
        <v>1207</v>
      </c>
      <c r="BO44" s="12" t="s">
        <v>319</v>
      </c>
      <c r="BP44" s="12" t="s">
        <v>320</v>
      </c>
      <c r="BQ44" s="12" t="s">
        <v>319</v>
      </c>
      <c r="BR44" s="11" t="s">
        <v>1208</v>
      </c>
      <c r="BS44" s="11" t="s">
        <v>357</v>
      </c>
      <c r="BT44" s="11" t="s">
        <v>1209</v>
      </c>
      <c r="BU44" s="11" t="s">
        <v>1210</v>
      </c>
      <c r="BV44" s="22">
        <v>3000</v>
      </c>
      <c r="BW44" s="22">
        <v>0</v>
      </c>
      <c r="BX44" s="22">
        <v>3000</v>
      </c>
      <c r="BY44" s="22">
        <v>7500</v>
      </c>
      <c r="BZ44" s="22">
        <v>7500</v>
      </c>
      <c r="CA44" s="22">
        <v>15000</v>
      </c>
      <c r="CB44" s="15" t="s">
        <v>1211</v>
      </c>
      <c r="CL44" s="18"/>
      <c r="CP44" s="18"/>
      <c r="CT44" s="18"/>
      <c r="CX44" s="18"/>
      <c r="DB44" s="18"/>
      <c r="DF44" s="18"/>
      <c r="DJ44" s="18"/>
      <c r="DN44" s="18"/>
      <c r="DR44" s="18"/>
      <c r="DV44" s="18"/>
      <c r="DZ44" s="18"/>
      <c r="ED44" s="18"/>
      <c r="EI44" s="18"/>
      <c r="EK44" s="22">
        <v>3000</v>
      </c>
      <c r="EL44" s="22">
        <v>0</v>
      </c>
      <c r="EM44" s="22">
        <v>3000</v>
      </c>
      <c r="EN44" s="22">
        <v>7500</v>
      </c>
      <c r="EO44" s="22">
        <v>7500</v>
      </c>
      <c r="EP44" s="22">
        <v>15000</v>
      </c>
      <c r="EQ44" s="12" t="s">
        <v>320</v>
      </c>
      <c r="ER44" s="22">
        <v>3000</v>
      </c>
      <c r="ES44" s="18">
        <v>1</v>
      </c>
      <c r="ET44" s="22">
        <v>15000</v>
      </c>
      <c r="EU44" s="11" t="s">
        <v>320</v>
      </c>
      <c r="EV44" s="22">
        <v>3000</v>
      </c>
      <c r="EW44" s="18">
        <v>1</v>
      </c>
      <c r="EX44" s="22">
        <v>15000</v>
      </c>
      <c r="EY44" s="12" t="s">
        <v>319</v>
      </c>
      <c r="FA44" s="18"/>
      <c r="FC44" s="12" t="s">
        <v>319</v>
      </c>
      <c r="FE44" s="18"/>
      <c r="FG44" s="12" t="s">
        <v>319</v>
      </c>
      <c r="FI44" s="18"/>
      <c r="FK44" s="11" t="s">
        <v>319</v>
      </c>
      <c r="FM44" s="18"/>
      <c r="FO44" s="12" t="s">
        <v>320</v>
      </c>
      <c r="FP44" s="22">
        <v>3000</v>
      </c>
      <c r="FQ44" s="18">
        <v>1</v>
      </c>
      <c r="FR44" s="22">
        <v>15000</v>
      </c>
      <c r="FS44" s="11" t="s">
        <v>319</v>
      </c>
      <c r="FU44" s="18"/>
      <c r="FW44" s="11" t="s">
        <v>320</v>
      </c>
      <c r="FX44" s="22">
        <v>3000</v>
      </c>
      <c r="FY44" s="18">
        <v>1</v>
      </c>
      <c r="FZ44" s="22">
        <v>15000</v>
      </c>
      <c r="GA44" s="11" t="s">
        <v>319</v>
      </c>
      <c r="GC44" s="18"/>
      <c r="GE44" s="11" t="s">
        <v>319</v>
      </c>
      <c r="GG44" s="18"/>
      <c r="GI44" s="11" t="s">
        <v>319</v>
      </c>
      <c r="GK44" s="18"/>
      <c r="GM44" s="11" t="s">
        <v>319</v>
      </c>
      <c r="GO44" s="18"/>
      <c r="GQ44" s="12" t="s">
        <v>320</v>
      </c>
      <c r="GR44" s="22">
        <v>3000</v>
      </c>
      <c r="GS44" s="18">
        <v>1</v>
      </c>
      <c r="GT44" s="22">
        <v>15000</v>
      </c>
      <c r="GU44" s="12" t="s">
        <v>320</v>
      </c>
      <c r="GV44" s="22">
        <v>3000</v>
      </c>
      <c r="GW44" s="18">
        <v>1</v>
      </c>
      <c r="GX44" s="22">
        <v>15000</v>
      </c>
      <c r="GY44" s="11" t="s">
        <v>320</v>
      </c>
      <c r="GZ44" s="22">
        <v>3000</v>
      </c>
      <c r="HA44" s="18">
        <v>1</v>
      </c>
      <c r="HB44" s="22">
        <v>15000</v>
      </c>
      <c r="HF44" s="18"/>
      <c r="HH44" s="11" t="s">
        <v>319</v>
      </c>
      <c r="HK44" s="11" t="s">
        <v>319</v>
      </c>
      <c r="HL44" s="11" t="s">
        <v>319</v>
      </c>
      <c r="HP44" s="11" t="s">
        <v>453</v>
      </c>
      <c r="HQ44" s="11" t="s">
        <v>319</v>
      </c>
      <c r="HR44" s="11" t="s">
        <v>319</v>
      </c>
      <c r="HS44" s="11" t="s">
        <v>320</v>
      </c>
      <c r="HT44" s="11" t="s">
        <v>320</v>
      </c>
      <c r="HU44" s="11" t="s">
        <v>319</v>
      </c>
      <c r="HV44" s="11" t="s">
        <v>320</v>
      </c>
      <c r="HW44" s="11" t="s">
        <v>320</v>
      </c>
      <c r="HX44" s="11" t="s">
        <v>319</v>
      </c>
      <c r="HZ44" s="11" t="s">
        <v>394</v>
      </c>
      <c r="IA44" s="11" t="s">
        <v>1212</v>
      </c>
      <c r="IB44" s="11" t="s">
        <v>333</v>
      </c>
      <c r="ID44" s="11" t="s">
        <v>334</v>
      </c>
      <c r="IE44" s="11" t="s">
        <v>335</v>
      </c>
      <c r="IF44" s="11" t="s">
        <v>319</v>
      </c>
      <c r="IG44" s="11" t="s">
        <v>320</v>
      </c>
      <c r="IH44" s="11" t="s">
        <v>320</v>
      </c>
      <c r="II44" s="11" t="s">
        <v>320</v>
      </c>
      <c r="IJ44" s="12" t="str">
        <f t="shared" si="1"/>
        <v>1. Neutral</v>
      </c>
      <c r="IK44" s="12">
        <f t="shared" si="2"/>
        <v>3</v>
      </c>
      <c r="IL44" s="11" t="s">
        <v>336</v>
      </c>
      <c r="IM44" s="11" t="s">
        <v>319</v>
      </c>
      <c r="IN44" s="11" t="s">
        <v>320</v>
      </c>
      <c r="IO44" s="11" t="s">
        <v>320</v>
      </c>
      <c r="IP44" s="11" t="s">
        <v>320</v>
      </c>
      <c r="IQ44" s="12" t="str">
        <f t="shared" si="3"/>
        <v>2. Accommodating</v>
      </c>
      <c r="IR44" s="12">
        <f t="shared" si="4"/>
        <v>3</v>
      </c>
      <c r="IS44" s="11" t="s">
        <v>337</v>
      </c>
      <c r="IT44" s="11" t="s">
        <v>320</v>
      </c>
      <c r="IU44" s="11" t="s">
        <v>320</v>
      </c>
      <c r="IV44" s="11" t="s">
        <v>320</v>
      </c>
      <c r="IW44" s="11" t="str">
        <f t="shared" si="5"/>
        <v>2. Sensitive</v>
      </c>
      <c r="IX44" s="12">
        <f t="shared" si="6"/>
        <v>3</v>
      </c>
      <c r="IY44" s="11" t="s">
        <v>419</v>
      </c>
      <c r="IZ44" s="11" t="s">
        <v>527</v>
      </c>
      <c r="JA44" s="11">
        <v>1</v>
      </c>
      <c r="JB44" s="11" t="s">
        <v>433</v>
      </c>
      <c r="JE44" s="11" t="s">
        <v>420</v>
      </c>
      <c r="JG44" s="11" t="s">
        <v>1213</v>
      </c>
      <c r="JH44" s="11" t="s">
        <v>1212</v>
      </c>
      <c r="JI44" s="11" t="s">
        <v>1214</v>
      </c>
      <c r="JJ44" s="11" t="s">
        <v>1215</v>
      </c>
      <c r="JK44" s="11" t="s">
        <v>1216</v>
      </c>
      <c r="JL44" s="11" t="s">
        <v>1217</v>
      </c>
      <c r="JP44" s="15">
        <f t="shared" si="7"/>
        <v>3000</v>
      </c>
      <c r="JQ44" s="15">
        <f t="shared" si="8"/>
        <v>15000</v>
      </c>
      <c r="JR44" s="279">
        <f t="shared" si="9"/>
        <v>5</v>
      </c>
      <c r="JS44" s="17">
        <f t="shared" si="10"/>
        <v>1</v>
      </c>
      <c r="JT44" s="18">
        <f t="shared" si="11"/>
        <v>0.5</v>
      </c>
      <c r="JU44" s="280">
        <f t="shared" si="12"/>
        <v>3000</v>
      </c>
      <c r="JV44" s="280">
        <f t="shared" si="13"/>
        <v>7500</v>
      </c>
      <c r="JW44" s="319" t="str">
        <f t="shared" si="14"/>
        <v/>
      </c>
      <c r="JX44" s="15">
        <f t="shared" si="15"/>
        <v>0</v>
      </c>
      <c r="JY44" s="15">
        <f t="shared" si="16"/>
        <v>0</v>
      </c>
      <c r="JZ44" s="19" t="str">
        <f t="shared" si="17"/>
        <v/>
      </c>
      <c r="KA44" s="52">
        <f t="shared" si="18"/>
        <v>1</v>
      </c>
      <c r="KB44" s="15">
        <f t="shared" si="19"/>
        <v>3000</v>
      </c>
      <c r="KC44" s="15">
        <f t="shared" si="20"/>
        <v>15000</v>
      </c>
      <c r="KD44" s="20">
        <f t="shared" si="21"/>
        <v>5</v>
      </c>
      <c r="KE44" s="52">
        <f t="shared" si="22"/>
        <v>1</v>
      </c>
      <c r="KF44" s="15">
        <f t="shared" si="23"/>
        <v>3000</v>
      </c>
      <c r="KG44" s="15">
        <f t="shared" si="24"/>
        <v>15000</v>
      </c>
      <c r="KH44" s="21">
        <f t="shared" si="25"/>
        <v>5</v>
      </c>
      <c r="KI44" s="52" t="str">
        <f t="shared" si="26"/>
        <v/>
      </c>
      <c r="KJ44" s="15">
        <f t="shared" si="27"/>
        <v>0</v>
      </c>
      <c r="KK44" s="15">
        <f t="shared" si="28"/>
        <v>0</v>
      </c>
      <c r="KL44" s="19" t="str">
        <f t="shared" si="29"/>
        <v/>
      </c>
      <c r="KM44" s="52">
        <f t="shared" si="30"/>
        <v>1</v>
      </c>
      <c r="KN44" s="22">
        <f t="shared" si="31"/>
        <v>3000</v>
      </c>
      <c r="KO44" s="22">
        <f t="shared" si="32"/>
        <v>15000</v>
      </c>
      <c r="KP44" s="19">
        <f t="shared" si="33"/>
        <v>5</v>
      </c>
      <c r="KQ44" s="11" t="str">
        <f t="shared" si="34"/>
        <v>1. Neutral</v>
      </c>
      <c r="KR44" s="11" t="str">
        <f t="shared" si="35"/>
        <v>2. Accommodating</v>
      </c>
      <c r="KS44" s="11" t="str">
        <f t="shared" si="36"/>
        <v>2. Sensitive</v>
      </c>
      <c r="KT44" s="11" t="str">
        <f t="shared" si="37"/>
        <v>It tested new ways for fighting poverty, but did not measure results of innovation</v>
      </c>
      <c r="KU44" s="11" t="str">
        <f t="shared" si="38"/>
        <v>Intensive advocacy</v>
      </c>
      <c r="KV44" s="11" t="str">
        <f t="shared" si="39"/>
        <v>It did not take tested solutions to scale</v>
      </c>
      <c r="KW44" s="11" t="str">
        <f t="shared" si="40"/>
        <v>Bangladesh - Nutrition at the Center: Homegrown</v>
      </c>
      <c r="KX44" s="11" t="str">
        <f t="shared" si="41"/>
        <v>Nutrition at the Center: Homegrown</v>
      </c>
      <c r="KY44" s="11" t="str">
        <f t="shared" si="42"/>
        <v>Bangladesh</v>
      </c>
      <c r="KZ44" s="12">
        <v>44</v>
      </c>
    </row>
    <row r="45" spans="1:312" x14ac:dyDescent="0.3">
      <c r="A45" s="11" t="s">
        <v>652</v>
      </c>
      <c r="B45" s="11" t="s">
        <v>306</v>
      </c>
      <c r="C45" s="11">
        <v>2769</v>
      </c>
      <c r="D45" s="11" t="s">
        <v>790</v>
      </c>
      <c r="E45" s="277" t="str">
        <f t="shared" si="0"/>
        <v>Bangladesh</v>
      </c>
      <c r="F45" s="11" t="s">
        <v>791</v>
      </c>
      <c r="G45" s="11" t="s">
        <v>605</v>
      </c>
      <c r="H45" s="11" t="s">
        <v>384</v>
      </c>
      <c r="I45" s="11" t="s">
        <v>517</v>
      </c>
      <c r="J45" s="278" t="s">
        <v>14577</v>
      </c>
      <c r="K45" s="11" t="s">
        <v>791</v>
      </c>
      <c r="L45" s="11" t="s">
        <v>605</v>
      </c>
      <c r="M45" s="11" t="s">
        <v>384</v>
      </c>
      <c r="N45" s="11" t="s">
        <v>384</v>
      </c>
      <c r="O45" s="278" t="s">
        <v>792</v>
      </c>
      <c r="P45" s="11" t="s">
        <v>791</v>
      </c>
      <c r="Q45" s="11" t="s">
        <v>605</v>
      </c>
      <c r="R45" s="11" t="s">
        <v>384</v>
      </c>
      <c r="S45" s="11" t="s">
        <v>384</v>
      </c>
      <c r="T45" s="11" t="s">
        <v>793</v>
      </c>
      <c r="BD45" s="23">
        <v>42064</v>
      </c>
      <c r="BE45" s="23">
        <v>43159</v>
      </c>
      <c r="BG45" s="11" t="s">
        <v>312</v>
      </c>
      <c r="BH45" s="22">
        <v>446679.84</v>
      </c>
      <c r="BI45" s="11" t="s">
        <v>794</v>
      </c>
      <c r="BJ45" s="11" t="s">
        <v>751</v>
      </c>
      <c r="BK45" s="11" t="s">
        <v>795</v>
      </c>
      <c r="BL45" s="11" t="s">
        <v>796</v>
      </c>
      <c r="BM45" s="11" t="s">
        <v>797</v>
      </c>
      <c r="BN45" s="11" t="s">
        <v>798</v>
      </c>
      <c r="BO45" s="12" t="s">
        <v>319</v>
      </c>
      <c r="BP45" s="12" t="s">
        <v>320</v>
      </c>
      <c r="BQ45" s="12" t="s">
        <v>319</v>
      </c>
      <c r="BR45" s="11" t="s">
        <v>799</v>
      </c>
      <c r="BS45" s="11" t="s">
        <v>357</v>
      </c>
      <c r="BT45" s="11" t="s">
        <v>800</v>
      </c>
      <c r="BU45" s="11" t="s">
        <v>801</v>
      </c>
      <c r="BV45" s="22">
        <v>3450</v>
      </c>
      <c r="BW45" s="22">
        <v>150</v>
      </c>
      <c r="BX45" s="22">
        <v>3600</v>
      </c>
      <c r="BY45" s="22">
        <v>32400</v>
      </c>
      <c r="BZ45" s="22">
        <v>8100</v>
      </c>
      <c r="CA45" s="22">
        <v>40500</v>
      </c>
      <c r="CB45" s="15" t="s">
        <v>802</v>
      </c>
      <c r="CL45" s="18"/>
      <c r="CP45" s="18"/>
      <c r="CT45" s="18"/>
      <c r="CX45" s="18"/>
      <c r="DB45" s="18"/>
      <c r="DF45" s="18"/>
      <c r="DJ45" s="18"/>
      <c r="DN45" s="18"/>
      <c r="DR45" s="18"/>
      <c r="DV45" s="18"/>
      <c r="DZ45" s="18"/>
      <c r="ED45" s="18"/>
      <c r="EI45" s="18"/>
      <c r="EK45" s="22">
        <v>3450</v>
      </c>
      <c r="EL45" s="22">
        <v>150</v>
      </c>
      <c r="EM45" s="22">
        <v>3600</v>
      </c>
      <c r="EN45" s="22">
        <v>31040</v>
      </c>
      <c r="EO45" s="22">
        <v>3980</v>
      </c>
      <c r="EP45" s="22">
        <v>35020</v>
      </c>
      <c r="EQ45" s="12" t="s">
        <v>319</v>
      </c>
      <c r="ES45" s="18"/>
      <c r="EU45" s="11" t="s">
        <v>319</v>
      </c>
      <c r="EW45" s="18"/>
      <c r="EY45" s="12" t="s">
        <v>319</v>
      </c>
      <c r="FA45" s="18"/>
      <c r="FC45" s="12" t="s">
        <v>319</v>
      </c>
      <c r="FE45" s="18"/>
      <c r="FG45" s="12" t="s">
        <v>319</v>
      </c>
      <c r="FI45" s="18"/>
      <c r="FK45" s="11" t="s">
        <v>319</v>
      </c>
      <c r="FM45" s="18"/>
      <c r="FO45" s="11" t="s">
        <v>319</v>
      </c>
      <c r="FQ45" s="18"/>
      <c r="FS45" s="11" t="s">
        <v>319</v>
      </c>
      <c r="FU45" s="18"/>
      <c r="FW45" s="11" t="s">
        <v>320</v>
      </c>
      <c r="FX45" s="22">
        <v>3600</v>
      </c>
      <c r="FY45" s="18">
        <v>0.96</v>
      </c>
      <c r="FZ45" s="22">
        <v>35020</v>
      </c>
      <c r="GA45" s="11" t="s">
        <v>320</v>
      </c>
      <c r="GB45" s="22">
        <v>3000</v>
      </c>
      <c r="GC45" s="18">
        <v>1</v>
      </c>
      <c r="GD45" s="22">
        <v>15120</v>
      </c>
      <c r="GE45" s="11" t="s">
        <v>319</v>
      </c>
      <c r="GG45" s="18"/>
      <c r="GI45" s="11" t="s">
        <v>319</v>
      </c>
      <c r="GK45" s="18"/>
      <c r="GM45" s="11" t="s">
        <v>320</v>
      </c>
      <c r="GN45" s="22">
        <v>3600</v>
      </c>
      <c r="GO45" s="18">
        <v>0.96</v>
      </c>
      <c r="GP45" s="22">
        <v>35020</v>
      </c>
      <c r="GQ45" s="12" t="s">
        <v>320</v>
      </c>
      <c r="GR45" s="22">
        <v>3000</v>
      </c>
      <c r="GS45" s="18">
        <v>1</v>
      </c>
      <c r="GT45" s="22">
        <v>15120</v>
      </c>
      <c r="GU45" s="11" t="s">
        <v>319</v>
      </c>
      <c r="GW45" s="18"/>
      <c r="GY45" s="11" t="s">
        <v>320</v>
      </c>
      <c r="GZ45" s="22">
        <v>3600</v>
      </c>
      <c r="HA45" s="18">
        <v>0.96</v>
      </c>
      <c r="HB45" s="22">
        <v>35020</v>
      </c>
      <c r="HF45" s="18"/>
      <c r="HH45" s="11" t="s">
        <v>319</v>
      </c>
      <c r="HK45" s="11" t="s">
        <v>320</v>
      </c>
      <c r="HL45" s="11" t="s">
        <v>320</v>
      </c>
      <c r="HM45" s="11" t="s">
        <v>544</v>
      </c>
      <c r="HN45" s="11">
        <v>2018</v>
      </c>
      <c r="HO45" s="11" t="s">
        <v>803</v>
      </c>
      <c r="HP45" s="11" t="s">
        <v>330</v>
      </c>
      <c r="HQ45" s="11" t="s">
        <v>319</v>
      </c>
      <c r="HR45" s="11" t="s">
        <v>319</v>
      </c>
      <c r="HS45" s="11" t="s">
        <v>320</v>
      </c>
      <c r="HT45" s="11" t="s">
        <v>320</v>
      </c>
      <c r="HU45" s="11" t="s">
        <v>319</v>
      </c>
      <c r="HV45" s="11" t="s">
        <v>319</v>
      </c>
      <c r="HW45" s="11" t="s">
        <v>319</v>
      </c>
      <c r="HX45" s="11" t="s">
        <v>319</v>
      </c>
      <c r="HZ45" s="11" t="s">
        <v>331</v>
      </c>
      <c r="IA45" s="11" t="s">
        <v>804</v>
      </c>
      <c r="IB45" s="11" t="s">
        <v>396</v>
      </c>
      <c r="IC45" s="11" t="s">
        <v>805</v>
      </c>
      <c r="ID45" s="11" t="s">
        <v>334</v>
      </c>
      <c r="IE45" s="11" t="s">
        <v>478</v>
      </c>
      <c r="IF45" s="11" t="s">
        <v>320</v>
      </c>
      <c r="IG45" s="11" t="s">
        <v>320</v>
      </c>
      <c r="IH45" s="11" t="s">
        <v>320</v>
      </c>
      <c r="II45" s="11" t="s">
        <v>320</v>
      </c>
      <c r="IJ45" s="12" t="str">
        <f t="shared" si="1"/>
        <v>4. Transformative</v>
      </c>
      <c r="IK45" s="12">
        <f t="shared" si="2"/>
        <v>4</v>
      </c>
      <c r="IL45" s="11" t="s">
        <v>336</v>
      </c>
      <c r="IM45" s="11" t="s">
        <v>320</v>
      </c>
      <c r="IN45" s="11" t="s">
        <v>320</v>
      </c>
      <c r="IO45" s="11" t="s">
        <v>320</v>
      </c>
      <c r="IP45" s="11" t="s">
        <v>320</v>
      </c>
      <c r="IQ45" s="12" t="str">
        <f t="shared" si="3"/>
        <v>2. Accommodating</v>
      </c>
      <c r="IR45" s="12">
        <f t="shared" si="4"/>
        <v>4</v>
      </c>
      <c r="IS45" s="11" t="s">
        <v>337</v>
      </c>
      <c r="IT45" s="11" t="s">
        <v>320</v>
      </c>
      <c r="IU45" s="11" t="s">
        <v>319</v>
      </c>
      <c r="IV45" s="11" t="s">
        <v>319</v>
      </c>
      <c r="IW45" s="11" t="str">
        <f t="shared" si="5"/>
        <v>1. Neutral</v>
      </c>
      <c r="IX45" s="12">
        <f t="shared" si="6"/>
        <v>1</v>
      </c>
      <c r="IY45" s="11" t="s">
        <v>338</v>
      </c>
      <c r="IZ45" s="11" t="s">
        <v>527</v>
      </c>
      <c r="JA45" s="11">
        <v>3</v>
      </c>
      <c r="JB45" s="11" t="s">
        <v>433</v>
      </c>
      <c r="JE45" s="11" t="s">
        <v>340</v>
      </c>
      <c r="JF45" s="11" t="s">
        <v>806</v>
      </c>
      <c r="JH45" s="11" t="s">
        <v>807</v>
      </c>
      <c r="JI45" s="11" t="s">
        <v>808</v>
      </c>
      <c r="JJ45" s="11" t="s">
        <v>809</v>
      </c>
      <c r="JK45" s="11" t="s">
        <v>810</v>
      </c>
      <c r="JL45" s="11" t="s">
        <v>811</v>
      </c>
      <c r="JM45" s="11" t="s">
        <v>812</v>
      </c>
      <c r="JN45" s="11" t="s">
        <v>813</v>
      </c>
      <c r="JO45" s="11" t="s">
        <v>814</v>
      </c>
      <c r="JP45" s="15">
        <f t="shared" si="7"/>
        <v>3600</v>
      </c>
      <c r="JQ45" s="15">
        <f t="shared" si="8"/>
        <v>35020</v>
      </c>
      <c r="JR45" s="279">
        <f t="shared" si="9"/>
        <v>9.7277777777777779</v>
      </c>
      <c r="JS45" s="17">
        <f t="shared" si="10"/>
        <v>0.95833333333333337</v>
      </c>
      <c r="JT45" s="18">
        <f t="shared" si="11"/>
        <v>0.88635065676756142</v>
      </c>
      <c r="JU45" s="280">
        <f t="shared" si="12"/>
        <v>3450</v>
      </c>
      <c r="JV45" s="280">
        <f t="shared" si="13"/>
        <v>31040</v>
      </c>
      <c r="JW45" s="319" t="str">
        <f t="shared" si="14"/>
        <v/>
      </c>
      <c r="JX45" s="15">
        <f t="shared" si="15"/>
        <v>0</v>
      </c>
      <c r="JY45" s="15">
        <f t="shared" si="16"/>
        <v>0</v>
      </c>
      <c r="JZ45" s="19" t="str">
        <f t="shared" si="17"/>
        <v/>
      </c>
      <c r="KA45" s="52" t="str">
        <f t="shared" si="18"/>
        <v/>
      </c>
      <c r="KB45" s="15">
        <f t="shared" si="19"/>
        <v>0</v>
      </c>
      <c r="KC45" s="15">
        <f t="shared" si="20"/>
        <v>0</v>
      </c>
      <c r="KD45" s="20" t="str">
        <f t="shared" si="21"/>
        <v/>
      </c>
      <c r="KE45" s="52">
        <f t="shared" si="22"/>
        <v>1</v>
      </c>
      <c r="KF45" s="15">
        <f t="shared" si="23"/>
        <v>3000</v>
      </c>
      <c r="KG45" s="15">
        <f t="shared" si="24"/>
        <v>15120</v>
      </c>
      <c r="KH45" s="21">
        <f t="shared" si="25"/>
        <v>5.04</v>
      </c>
      <c r="KI45" s="52" t="str">
        <f t="shared" si="26"/>
        <v/>
      </c>
      <c r="KJ45" s="15">
        <f t="shared" si="27"/>
        <v>0</v>
      </c>
      <c r="KK45" s="15">
        <f t="shared" si="28"/>
        <v>0</v>
      </c>
      <c r="KL45" s="19" t="str">
        <f t="shared" si="29"/>
        <v/>
      </c>
      <c r="KM45" s="52">
        <f t="shared" si="30"/>
        <v>1</v>
      </c>
      <c r="KN45" s="22">
        <f t="shared" si="31"/>
        <v>3600</v>
      </c>
      <c r="KO45" s="22">
        <f t="shared" si="32"/>
        <v>35020</v>
      </c>
      <c r="KP45" s="19">
        <f t="shared" si="33"/>
        <v>9.7277777777777779</v>
      </c>
      <c r="KQ45" s="11" t="str">
        <f t="shared" si="34"/>
        <v>4. Transformative</v>
      </c>
      <c r="KR45" s="11" t="str">
        <f t="shared" si="35"/>
        <v>2. Accommodating</v>
      </c>
      <c r="KS45" s="11" t="str">
        <f t="shared" si="36"/>
        <v>1. Neutral</v>
      </c>
      <c r="KT45" s="11" t="str">
        <f t="shared" si="37"/>
        <v>It tested new ways for fighting poverty and measured results of innovation</v>
      </c>
      <c r="KU45" s="11" t="str">
        <f t="shared" si="38"/>
        <v>Moderate advocacy</v>
      </c>
      <c r="KV45" s="11" t="str">
        <f t="shared" si="39"/>
        <v>It linked and worked with strategic alliances and partners to take tested and effective solutions to scale</v>
      </c>
      <c r="KW45" s="11" t="str">
        <f t="shared" si="40"/>
        <v>Bangladesh - OIKKO("Unity")- united for translating rights into action NOW!</v>
      </c>
      <c r="KX45" s="11" t="str">
        <f t="shared" si="41"/>
        <v>OIKKO("Unity")- united for translating rights into action NOW!</v>
      </c>
      <c r="KY45" s="11" t="str">
        <f t="shared" si="42"/>
        <v>Bangladesh</v>
      </c>
      <c r="KZ45" s="12">
        <v>45</v>
      </c>
    </row>
    <row r="46" spans="1:312" x14ac:dyDescent="0.3">
      <c r="A46" s="11" t="s">
        <v>652</v>
      </c>
      <c r="B46" s="11" t="s">
        <v>306</v>
      </c>
      <c r="C46" s="11">
        <v>2771</v>
      </c>
      <c r="D46" s="11" t="s">
        <v>1218</v>
      </c>
      <c r="E46" s="24" t="str">
        <f t="shared" si="0"/>
        <v>Bangladesh</v>
      </c>
      <c r="F46" s="11" t="s">
        <v>1219</v>
      </c>
      <c r="G46" s="11" t="s">
        <v>379</v>
      </c>
      <c r="H46" s="11" t="s">
        <v>489</v>
      </c>
      <c r="I46" s="11" t="s">
        <v>384</v>
      </c>
      <c r="J46" s="278" t="s">
        <v>1220</v>
      </c>
      <c r="BD46" s="23">
        <v>42278</v>
      </c>
      <c r="BE46" s="23">
        <v>42735</v>
      </c>
      <c r="BG46" s="11" t="s">
        <v>350</v>
      </c>
      <c r="BH46" s="22">
        <v>111203</v>
      </c>
      <c r="BI46" s="11" t="s">
        <v>1051</v>
      </c>
      <c r="BJ46" s="11" t="s">
        <v>1221</v>
      </c>
      <c r="BK46" s="11" t="s">
        <v>798</v>
      </c>
      <c r="BL46" s="11" t="s">
        <v>1222</v>
      </c>
      <c r="BM46" s="11" t="s">
        <v>354</v>
      </c>
      <c r="BN46" s="11" t="s">
        <v>1223</v>
      </c>
      <c r="BO46" s="12" t="s">
        <v>319</v>
      </c>
      <c r="BP46" s="12" t="s">
        <v>320</v>
      </c>
      <c r="BQ46" s="12" t="s">
        <v>319</v>
      </c>
      <c r="BR46" s="11" t="s">
        <v>1224</v>
      </c>
      <c r="BS46" s="11" t="s">
        <v>357</v>
      </c>
      <c r="BT46" s="11" t="s">
        <v>1225</v>
      </c>
      <c r="BU46" s="11" t="s">
        <v>1226</v>
      </c>
      <c r="BV46" s="22">
        <v>360</v>
      </c>
      <c r="BW46" s="22">
        <v>0</v>
      </c>
      <c r="BX46" s="22">
        <v>360</v>
      </c>
      <c r="BY46" s="22">
        <v>2303</v>
      </c>
      <c r="BZ46" s="22">
        <v>987</v>
      </c>
      <c r="CA46" s="22">
        <v>3290</v>
      </c>
      <c r="CB46" s="15" t="s">
        <v>1227</v>
      </c>
      <c r="CL46" s="18"/>
      <c r="CP46" s="18"/>
      <c r="CT46" s="18"/>
      <c r="CX46" s="18"/>
      <c r="DB46" s="18"/>
      <c r="DF46" s="18"/>
      <c r="DJ46" s="18"/>
      <c r="DN46" s="18"/>
      <c r="DR46" s="18"/>
      <c r="DV46" s="18"/>
      <c r="DZ46" s="18"/>
      <c r="ED46" s="18"/>
      <c r="EI46" s="18"/>
      <c r="EK46" s="22">
        <v>360</v>
      </c>
      <c r="EL46" s="22">
        <v>0</v>
      </c>
      <c r="EM46" s="22">
        <v>360</v>
      </c>
      <c r="EN46" s="22">
        <v>3661</v>
      </c>
      <c r="EO46" s="22">
        <v>246</v>
      </c>
      <c r="EP46" s="22">
        <v>3907</v>
      </c>
      <c r="EQ46" s="12" t="s">
        <v>319</v>
      </c>
      <c r="ES46" s="18"/>
      <c r="EU46" s="11" t="s">
        <v>319</v>
      </c>
      <c r="EW46" s="18"/>
      <c r="EY46" s="12" t="s">
        <v>319</v>
      </c>
      <c r="FA46" s="18"/>
      <c r="FC46" s="12" t="s">
        <v>319</v>
      </c>
      <c r="FE46" s="18"/>
      <c r="FG46" s="12" t="s">
        <v>319</v>
      </c>
      <c r="FI46" s="18"/>
      <c r="FK46" s="11" t="s">
        <v>319</v>
      </c>
      <c r="FM46" s="18"/>
      <c r="FO46" s="11" t="s">
        <v>319</v>
      </c>
      <c r="FQ46" s="18"/>
      <c r="FS46" s="12" t="s">
        <v>320</v>
      </c>
      <c r="FT46" s="22">
        <v>360</v>
      </c>
      <c r="FU46" s="18">
        <v>1</v>
      </c>
      <c r="FV46" s="22">
        <v>1850</v>
      </c>
      <c r="FW46" s="11" t="s">
        <v>320</v>
      </c>
      <c r="FX46" s="22">
        <v>360</v>
      </c>
      <c r="FY46" s="18">
        <v>1</v>
      </c>
      <c r="FZ46" s="22">
        <v>3907</v>
      </c>
      <c r="GA46" s="11" t="s">
        <v>320</v>
      </c>
      <c r="GB46" s="22">
        <v>360</v>
      </c>
      <c r="GC46" s="18">
        <v>1</v>
      </c>
      <c r="GD46" s="22">
        <v>1850</v>
      </c>
      <c r="GE46" s="11" t="s">
        <v>319</v>
      </c>
      <c r="GG46" s="18"/>
      <c r="GI46" s="11" t="s">
        <v>319</v>
      </c>
      <c r="GK46" s="18"/>
      <c r="GM46" s="11" t="s">
        <v>319</v>
      </c>
      <c r="GO46" s="18"/>
      <c r="GQ46" s="12" t="s">
        <v>320</v>
      </c>
      <c r="GR46" s="22">
        <v>360</v>
      </c>
      <c r="GS46" s="18">
        <v>1</v>
      </c>
      <c r="GT46" s="22">
        <v>1850</v>
      </c>
      <c r="GU46" s="12" t="s">
        <v>320</v>
      </c>
      <c r="GV46" s="22">
        <v>360</v>
      </c>
      <c r="GW46" s="18">
        <v>1</v>
      </c>
      <c r="GX46" s="22">
        <v>1850</v>
      </c>
      <c r="GY46" s="11" t="s">
        <v>320</v>
      </c>
      <c r="GZ46" s="22">
        <v>360</v>
      </c>
      <c r="HA46" s="18">
        <v>1</v>
      </c>
      <c r="HB46" s="22">
        <v>3907</v>
      </c>
      <c r="HF46" s="18"/>
      <c r="HH46" s="11" t="s">
        <v>319</v>
      </c>
      <c r="HK46" s="11" t="s">
        <v>320</v>
      </c>
      <c r="HL46" s="11" t="s">
        <v>319</v>
      </c>
      <c r="HP46" s="11" t="s">
        <v>418</v>
      </c>
      <c r="HQ46" s="11" t="s">
        <v>319</v>
      </c>
      <c r="HR46" s="11" t="s">
        <v>319</v>
      </c>
      <c r="HS46" s="11" t="s">
        <v>320</v>
      </c>
      <c r="HT46" s="11" t="s">
        <v>320</v>
      </c>
      <c r="HU46" s="11" t="s">
        <v>320</v>
      </c>
      <c r="HV46" s="11" t="s">
        <v>319</v>
      </c>
      <c r="HW46" s="11" t="s">
        <v>319</v>
      </c>
      <c r="HX46" s="11" t="s">
        <v>319</v>
      </c>
      <c r="HZ46" s="11" t="s">
        <v>363</v>
      </c>
      <c r="IB46" s="11" t="s">
        <v>333</v>
      </c>
      <c r="ID46" s="11" t="s">
        <v>334</v>
      </c>
      <c r="IE46" s="11" t="s">
        <v>478</v>
      </c>
      <c r="IF46" s="11" t="s">
        <v>320</v>
      </c>
      <c r="IG46" s="11" t="s">
        <v>320</v>
      </c>
      <c r="IH46" s="11" t="s">
        <v>320</v>
      </c>
      <c r="II46" s="11" t="s">
        <v>320</v>
      </c>
      <c r="IJ46" s="12" t="str">
        <f t="shared" si="1"/>
        <v>4. Transformative</v>
      </c>
      <c r="IK46" s="12">
        <f t="shared" si="2"/>
        <v>4</v>
      </c>
      <c r="IL46" s="11" t="s">
        <v>336</v>
      </c>
      <c r="IM46" s="11" t="s">
        <v>320</v>
      </c>
      <c r="IN46" s="11" t="s">
        <v>319</v>
      </c>
      <c r="IO46" s="11" t="s">
        <v>320</v>
      </c>
      <c r="IP46" s="11" t="s">
        <v>320</v>
      </c>
      <c r="IQ46" s="12" t="str">
        <f t="shared" si="3"/>
        <v>2. Accommodating</v>
      </c>
      <c r="IR46" s="12">
        <f t="shared" si="4"/>
        <v>3</v>
      </c>
      <c r="IW46" s="11" t="str">
        <f t="shared" si="5"/>
        <v>No marker score</v>
      </c>
      <c r="IX46" s="12">
        <f t="shared" si="6"/>
        <v>0</v>
      </c>
      <c r="IY46" s="11" t="s">
        <v>338</v>
      </c>
      <c r="IZ46" s="11" t="s">
        <v>339</v>
      </c>
      <c r="JE46" s="11" t="s">
        <v>365</v>
      </c>
      <c r="JF46" s="11" t="s">
        <v>1228</v>
      </c>
      <c r="JH46" s="11" t="s">
        <v>1229</v>
      </c>
      <c r="JI46" s="11" t="s">
        <v>1230</v>
      </c>
      <c r="JJ46" s="11" t="s">
        <v>1231</v>
      </c>
      <c r="JK46" s="11" t="s">
        <v>1232</v>
      </c>
      <c r="JL46" s="11" t="s">
        <v>1233</v>
      </c>
      <c r="JM46" s="11" t="s">
        <v>1234</v>
      </c>
      <c r="JO46" s="11" t="s">
        <v>1235</v>
      </c>
      <c r="JP46" s="15">
        <f t="shared" si="7"/>
        <v>360</v>
      </c>
      <c r="JQ46" s="15">
        <f t="shared" si="8"/>
        <v>3907</v>
      </c>
      <c r="JR46" s="279">
        <f t="shared" si="9"/>
        <v>10.852777777777778</v>
      </c>
      <c r="JS46" s="17">
        <f t="shared" si="10"/>
        <v>1</v>
      </c>
      <c r="JT46" s="18">
        <f t="shared" si="11"/>
        <v>0.93703608907089841</v>
      </c>
      <c r="JU46" s="280">
        <f t="shared" si="12"/>
        <v>360</v>
      </c>
      <c r="JV46" s="280">
        <f t="shared" si="13"/>
        <v>3661</v>
      </c>
      <c r="JW46" s="319" t="str">
        <f t="shared" si="14"/>
        <v/>
      </c>
      <c r="JX46" s="15">
        <f t="shared" si="15"/>
        <v>0</v>
      </c>
      <c r="JY46" s="15">
        <f t="shared" si="16"/>
        <v>0</v>
      </c>
      <c r="JZ46" s="19" t="str">
        <f t="shared" si="17"/>
        <v/>
      </c>
      <c r="KA46" s="52">
        <f t="shared" si="18"/>
        <v>1</v>
      </c>
      <c r="KB46" s="15">
        <f t="shared" si="19"/>
        <v>360</v>
      </c>
      <c r="KC46" s="15">
        <f t="shared" si="20"/>
        <v>1850</v>
      </c>
      <c r="KD46" s="20">
        <f t="shared" si="21"/>
        <v>5.1388888888888893</v>
      </c>
      <c r="KE46" s="52">
        <f t="shared" si="22"/>
        <v>1</v>
      </c>
      <c r="KF46" s="15">
        <f t="shared" si="23"/>
        <v>360</v>
      </c>
      <c r="KG46" s="15">
        <f t="shared" si="24"/>
        <v>1850</v>
      </c>
      <c r="KH46" s="21">
        <f t="shared" si="25"/>
        <v>5.1388888888888893</v>
      </c>
      <c r="KI46" s="52">
        <f t="shared" si="26"/>
        <v>1</v>
      </c>
      <c r="KJ46" s="15">
        <f t="shared" si="27"/>
        <v>360</v>
      </c>
      <c r="KK46" s="15">
        <f t="shared" si="28"/>
        <v>1850</v>
      </c>
      <c r="KL46" s="19">
        <f t="shared" si="29"/>
        <v>5.1388888888888893</v>
      </c>
      <c r="KM46" s="52">
        <f t="shared" si="30"/>
        <v>1</v>
      </c>
      <c r="KN46" s="22">
        <f t="shared" si="31"/>
        <v>360</v>
      </c>
      <c r="KO46" s="22">
        <f t="shared" si="32"/>
        <v>3907</v>
      </c>
      <c r="KP46" s="19">
        <f t="shared" si="33"/>
        <v>10.852777777777778</v>
      </c>
      <c r="KQ46" s="11" t="str">
        <f t="shared" si="34"/>
        <v>4. Transformative</v>
      </c>
      <c r="KR46" s="11" t="str">
        <f t="shared" si="35"/>
        <v>2. Accommodating</v>
      </c>
      <c r="KS46" s="11" t="str">
        <f t="shared" si="36"/>
        <v>No marker score</v>
      </c>
      <c r="KT46" s="11" t="str">
        <f t="shared" si="37"/>
        <v>It did not develop any specific innovation</v>
      </c>
      <c r="KU46" s="11" t="str">
        <f t="shared" si="38"/>
        <v>Little or no advocacy</v>
      </c>
      <c r="KV46" s="11" t="str">
        <f t="shared" si="39"/>
        <v>It did not take tested solutions to scale</v>
      </c>
      <c r="KW46" s="11" t="str">
        <f t="shared" si="40"/>
        <v>Bangladesh - 'P.A.C.E (Personal Advancement and Career Enhancement) at Community</v>
      </c>
      <c r="KX46" s="11" t="str">
        <f t="shared" si="41"/>
        <v>'P.A.C.E (Personal Advancement and Career Enhancement) at Community</v>
      </c>
      <c r="KY46" s="11" t="str">
        <f t="shared" si="42"/>
        <v>Bangladesh</v>
      </c>
      <c r="KZ46" s="12">
        <v>46</v>
      </c>
    </row>
    <row r="47" spans="1:312" x14ac:dyDescent="0.3">
      <c r="A47" s="11" t="s">
        <v>652</v>
      </c>
      <c r="B47" s="11" t="s">
        <v>306</v>
      </c>
      <c r="D47" s="11" t="s">
        <v>1236</v>
      </c>
      <c r="E47" s="24" t="str">
        <f t="shared" si="0"/>
        <v>Bangladesh</v>
      </c>
      <c r="F47" s="11" t="s">
        <v>1237</v>
      </c>
      <c r="G47" s="11" t="s">
        <v>379</v>
      </c>
      <c r="H47" s="11" t="s">
        <v>384</v>
      </c>
      <c r="I47" s="11" t="s">
        <v>384</v>
      </c>
      <c r="J47" s="278" t="s">
        <v>1220</v>
      </c>
      <c r="BD47" s="23">
        <v>42736</v>
      </c>
      <c r="BE47" s="23">
        <v>43100</v>
      </c>
      <c r="BG47" s="11" t="s">
        <v>350</v>
      </c>
      <c r="BH47" s="22">
        <v>136304</v>
      </c>
      <c r="BI47" s="11" t="s">
        <v>1051</v>
      </c>
      <c r="BJ47" s="11" t="s">
        <v>1238</v>
      </c>
      <c r="BK47" s="11" t="s">
        <v>798</v>
      </c>
      <c r="BL47" s="11" t="s">
        <v>1222</v>
      </c>
      <c r="BM47" s="11" t="s">
        <v>354</v>
      </c>
      <c r="BN47" s="25" t="s">
        <v>1223</v>
      </c>
      <c r="BO47" s="12" t="s">
        <v>319</v>
      </c>
      <c r="BP47" s="12" t="s">
        <v>320</v>
      </c>
      <c r="BQ47" s="12" t="s">
        <v>319</v>
      </c>
      <c r="BR47" s="11" t="s">
        <v>1239</v>
      </c>
      <c r="BS47" s="11" t="s">
        <v>357</v>
      </c>
      <c r="BT47" s="11" t="s">
        <v>1225</v>
      </c>
      <c r="BU47" s="11" t="s">
        <v>1240</v>
      </c>
      <c r="BV47" s="22">
        <v>1875</v>
      </c>
      <c r="BW47" s="22">
        <v>0</v>
      </c>
      <c r="BX47" s="22">
        <v>1875</v>
      </c>
      <c r="BY47" s="22">
        <v>9660</v>
      </c>
      <c r="BZ47" s="22">
        <v>4140</v>
      </c>
      <c r="CA47" s="22">
        <v>13800</v>
      </c>
      <c r="CB47" s="15" t="s">
        <v>1241</v>
      </c>
      <c r="CL47" s="18"/>
      <c r="CP47" s="18"/>
      <c r="CT47" s="18"/>
      <c r="CX47" s="18"/>
      <c r="DB47" s="18"/>
      <c r="DF47" s="18"/>
      <c r="DJ47" s="18"/>
      <c r="DN47" s="18"/>
      <c r="DR47" s="18"/>
      <c r="DV47" s="18"/>
      <c r="DZ47" s="18"/>
      <c r="ED47" s="18"/>
      <c r="EI47" s="18"/>
      <c r="EK47" s="22">
        <v>1350</v>
      </c>
      <c r="EL47" s="22">
        <v>0</v>
      </c>
      <c r="EM47" s="22">
        <v>1350</v>
      </c>
      <c r="EN47" s="22">
        <v>1366</v>
      </c>
      <c r="EO47" s="22">
        <v>306</v>
      </c>
      <c r="EP47" s="22">
        <v>1672</v>
      </c>
      <c r="EQ47" s="12" t="s">
        <v>319</v>
      </c>
      <c r="ES47" s="18"/>
      <c r="EU47" s="11" t="s">
        <v>319</v>
      </c>
      <c r="EW47" s="18"/>
      <c r="EY47" s="12" t="s">
        <v>319</v>
      </c>
      <c r="FA47" s="18"/>
      <c r="FC47" s="12" t="s">
        <v>319</v>
      </c>
      <c r="FE47" s="18"/>
      <c r="FG47" s="12" t="s">
        <v>319</v>
      </c>
      <c r="FI47" s="18"/>
      <c r="FK47" s="12" t="s">
        <v>320</v>
      </c>
      <c r="FL47" s="22">
        <v>501</v>
      </c>
      <c r="FM47" s="18">
        <v>1</v>
      </c>
      <c r="FN47" s="22">
        <v>0</v>
      </c>
      <c r="FO47" s="11" t="s">
        <v>319</v>
      </c>
      <c r="FQ47" s="18"/>
      <c r="FS47" s="12" t="s">
        <v>320</v>
      </c>
      <c r="FT47" s="22">
        <v>1350</v>
      </c>
      <c r="FU47" s="18">
        <v>1</v>
      </c>
      <c r="FV47" s="22">
        <v>320</v>
      </c>
      <c r="FW47" s="11" t="s">
        <v>320</v>
      </c>
      <c r="FX47" s="22">
        <v>1350</v>
      </c>
      <c r="FY47" s="18">
        <v>1</v>
      </c>
      <c r="FZ47" s="22">
        <v>1672</v>
      </c>
      <c r="GA47" s="11" t="s">
        <v>320</v>
      </c>
      <c r="GB47" s="22">
        <v>1350</v>
      </c>
      <c r="GC47" s="18">
        <v>1</v>
      </c>
      <c r="GD47" s="22">
        <v>258</v>
      </c>
      <c r="GE47" s="11" t="s">
        <v>319</v>
      </c>
      <c r="GG47" s="18"/>
      <c r="GI47" s="11" t="s">
        <v>319</v>
      </c>
      <c r="GK47" s="18"/>
      <c r="GM47" s="11" t="s">
        <v>319</v>
      </c>
      <c r="GO47" s="18"/>
      <c r="GQ47" s="11" t="s">
        <v>319</v>
      </c>
      <c r="GS47" s="18"/>
      <c r="GU47" s="12" t="s">
        <v>320</v>
      </c>
      <c r="GV47" s="22">
        <v>1350</v>
      </c>
      <c r="GW47" s="18">
        <v>1</v>
      </c>
      <c r="GX47" s="22">
        <v>0</v>
      </c>
      <c r="GY47" s="11" t="s">
        <v>320</v>
      </c>
      <c r="GZ47" s="22">
        <v>1350</v>
      </c>
      <c r="HA47" s="18">
        <v>1</v>
      </c>
      <c r="HB47" s="22">
        <v>1672</v>
      </c>
      <c r="HF47" s="18"/>
      <c r="HH47" s="11" t="s">
        <v>319</v>
      </c>
      <c r="HK47" s="11" t="s">
        <v>320</v>
      </c>
      <c r="HL47" s="11" t="s">
        <v>319</v>
      </c>
      <c r="HO47" s="11" t="s">
        <v>1242</v>
      </c>
      <c r="HP47" s="11" t="s">
        <v>418</v>
      </c>
      <c r="HQ47" s="11" t="s">
        <v>319</v>
      </c>
      <c r="HR47" s="11" t="s">
        <v>319</v>
      </c>
      <c r="HS47" s="11" t="s">
        <v>320</v>
      </c>
      <c r="HT47" s="11" t="s">
        <v>320</v>
      </c>
      <c r="HU47" s="11" t="s">
        <v>320</v>
      </c>
      <c r="HV47" s="11" t="s">
        <v>319</v>
      </c>
      <c r="HW47" s="11" t="s">
        <v>319</v>
      </c>
      <c r="HX47" s="11" t="s">
        <v>319</v>
      </c>
      <c r="HZ47" s="11" t="s">
        <v>394</v>
      </c>
      <c r="IA47" s="11" t="s">
        <v>1243</v>
      </c>
      <c r="IB47" s="11" t="s">
        <v>333</v>
      </c>
      <c r="ID47" s="11" t="s">
        <v>334</v>
      </c>
      <c r="IE47" s="11" t="s">
        <v>478</v>
      </c>
      <c r="IF47" s="11" t="s">
        <v>320</v>
      </c>
      <c r="IG47" s="11" t="s">
        <v>320</v>
      </c>
      <c r="IH47" s="11" t="s">
        <v>320</v>
      </c>
      <c r="II47" s="11" t="s">
        <v>320</v>
      </c>
      <c r="IJ47" s="12" t="str">
        <f t="shared" si="1"/>
        <v>4. Transformative</v>
      </c>
      <c r="IK47" s="12">
        <f t="shared" si="2"/>
        <v>4</v>
      </c>
      <c r="IL47" s="11" t="s">
        <v>336</v>
      </c>
      <c r="IM47" s="11" t="s">
        <v>320</v>
      </c>
      <c r="IN47" s="11" t="s">
        <v>320</v>
      </c>
      <c r="IO47" s="11" t="s">
        <v>320</v>
      </c>
      <c r="IP47" s="11" t="s">
        <v>320</v>
      </c>
      <c r="IQ47" s="12" t="str">
        <f t="shared" si="3"/>
        <v>2. Accommodating</v>
      </c>
      <c r="IR47" s="12">
        <f t="shared" si="4"/>
        <v>4</v>
      </c>
      <c r="IW47" s="11" t="str">
        <f t="shared" si="5"/>
        <v>No marker score</v>
      </c>
      <c r="IX47" s="12">
        <f t="shared" si="6"/>
        <v>0</v>
      </c>
      <c r="IY47" s="11" t="s">
        <v>338</v>
      </c>
      <c r="IZ47" s="11" t="s">
        <v>339</v>
      </c>
      <c r="JE47" s="11" t="s">
        <v>365</v>
      </c>
      <c r="JF47" s="11" t="s">
        <v>1228</v>
      </c>
      <c r="JH47" s="11" t="s">
        <v>1229</v>
      </c>
      <c r="JI47" s="11" t="s">
        <v>1244</v>
      </c>
      <c r="JJ47" s="11" t="s">
        <v>1245</v>
      </c>
      <c r="JK47" s="11" t="s">
        <v>1233</v>
      </c>
      <c r="JL47" s="11" t="s">
        <v>1234</v>
      </c>
      <c r="JO47" s="11" t="s">
        <v>1246</v>
      </c>
      <c r="JP47" s="15">
        <f t="shared" si="7"/>
        <v>1350</v>
      </c>
      <c r="JQ47" s="15">
        <f t="shared" si="8"/>
        <v>1672</v>
      </c>
      <c r="JR47" s="279">
        <f t="shared" si="9"/>
        <v>1.2385185185185186</v>
      </c>
      <c r="JS47" s="17">
        <f t="shared" si="10"/>
        <v>1</v>
      </c>
      <c r="JT47" s="18">
        <f t="shared" si="11"/>
        <v>0.81698564593301437</v>
      </c>
      <c r="JU47" s="280">
        <f t="shared" si="12"/>
        <v>1350</v>
      </c>
      <c r="JV47" s="280">
        <f t="shared" si="13"/>
        <v>1366</v>
      </c>
      <c r="JW47" s="319" t="str">
        <f t="shared" si="14"/>
        <v/>
      </c>
      <c r="JX47" s="15">
        <f t="shared" si="15"/>
        <v>0</v>
      </c>
      <c r="JY47" s="15">
        <f t="shared" si="16"/>
        <v>0</v>
      </c>
      <c r="JZ47" s="19" t="str">
        <f t="shared" si="17"/>
        <v/>
      </c>
      <c r="KA47" s="52">
        <f t="shared" si="18"/>
        <v>1</v>
      </c>
      <c r="KB47" s="15">
        <f t="shared" si="19"/>
        <v>1350</v>
      </c>
      <c r="KC47" s="15">
        <f t="shared" si="20"/>
        <v>0</v>
      </c>
      <c r="KD47" s="20">
        <f t="shared" si="21"/>
        <v>0</v>
      </c>
      <c r="KE47" s="52" t="str">
        <f t="shared" si="22"/>
        <v/>
      </c>
      <c r="KF47" s="15">
        <f t="shared" si="23"/>
        <v>0</v>
      </c>
      <c r="KG47" s="15">
        <f t="shared" si="24"/>
        <v>0</v>
      </c>
      <c r="KH47" s="21" t="str">
        <f t="shared" si="25"/>
        <v/>
      </c>
      <c r="KI47" s="52">
        <f t="shared" si="26"/>
        <v>1</v>
      </c>
      <c r="KJ47" s="15">
        <f t="shared" si="27"/>
        <v>1350</v>
      </c>
      <c r="KK47" s="15">
        <f t="shared" si="28"/>
        <v>320</v>
      </c>
      <c r="KL47" s="19">
        <f t="shared" si="29"/>
        <v>0.23703703703703705</v>
      </c>
      <c r="KM47" s="52">
        <f t="shared" si="30"/>
        <v>1</v>
      </c>
      <c r="KN47" s="22">
        <f t="shared" si="31"/>
        <v>1350</v>
      </c>
      <c r="KO47" s="22">
        <f t="shared" si="32"/>
        <v>1672</v>
      </c>
      <c r="KP47" s="19">
        <f t="shared" si="33"/>
        <v>1.2385185185185186</v>
      </c>
      <c r="KQ47" s="11" t="str">
        <f t="shared" si="34"/>
        <v>4. Transformative</v>
      </c>
      <c r="KR47" s="11" t="str">
        <f t="shared" si="35"/>
        <v>2. Accommodating</v>
      </c>
      <c r="KS47" s="11" t="str">
        <f t="shared" si="36"/>
        <v>No marker score</v>
      </c>
      <c r="KT47" s="11" t="str">
        <f t="shared" si="37"/>
        <v>It tested new ways for fighting poverty, but did not measure results of innovation</v>
      </c>
      <c r="KU47" s="11" t="str">
        <f t="shared" si="38"/>
        <v>Little or no advocacy</v>
      </c>
      <c r="KV47" s="11" t="str">
        <f t="shared" si="39"/>
        <v>It did not take tested solutions to scale</v>
      </c>
      <c r="KW47" s="11" t="str">
        <f t="shared" si="40"/>
        <v>Bangladesh - P.A.C.E at Community</v>
      </c>
      <c r="KX47" s="11" t="str">
        <f t="shared" si="41"/>
        <v>P.A.C.E at Community</v>
      </c>
      <c r="KY47" s="11" t="str">
        <f t="shared" si="42"/>
        <v>Bangladesh</v>
      </c>
      <c r="KZ47" s="12">
        <v>47</v>
      </c>
    </row>
    <row r="48" spans="1:312" x14ac:dyDescent="0.3">
      <c r="A48" s="11" t="s">
        <v>652</v>
      </c>
      <c r="B48" s="11" t="s">
        <v>306</v>
      </c>
      <c r="C48" s="11">
        <v>2772</v>
      </c>
      <c r="D48" s="11" t="s">
        <v>1247</v>
      </c>
      <c r="E48" s="24" t="str">
        <f t="shared" si="0"/>
        <v>Bangladesh</v>
      </c>
      <c r="F48" s="11" t="s">
        <v>1248</v>
      </c>
      <c r="G48" s="11" t="s">
        <v>379</v>
      </c>
      <c r="H48" s="11" t="s">
        <v>383</v>
      </c>
      <c r="I48" s="11" t="s">
        <v>384</v>
      </c>
      <c r="J48" s="278" t="s">
        <v>4657</v>
      </c>
      <c r="BD48" s="23">
        <v>41974</v>
      </c>
      <c r="BE48" s="23">
        <v>42704</v>
      </c>
      <c r="BF48" s="23">
        <v>42885</v>
      </c>
      <c r="BG48" s="11" t="s">
        <v>312</v>
      </c>
      <c r="BH48" s="22">
        <v>80225</v>
      </c>
      <c r="BI48" s="11" t="s">
        <v>1249</v>
      </c>
      <c r="BJ48" s="11" t="s">
        <v>751</v>
      </c>
      <c r="BK48" s="11" t="s">
        <v>1250</v>
      </c>
      <c r="BL48" s="11" t="s">
        <v>1251</v>
      </c>
      <c r="BM48" s="11" t="s">
        <v>1252</v>
      </c>
      <c r="BN48" s="11" t="s">
        <v>1253</v>
      </c>
      <c r="BO48" s="12" t="s">
        <v>319</v>
      </c>
      <c r="BP48" s="12" t="s">
        <v>320</v>
      </c>
      <c r="BQ48" s="12" t="s">
        <v>319</v>
      </c>
      <c r="BR48" s="11" t="s">
        <v>1254</v>
      </c>
      <c r="BS48" s="11" t="s">
        <v>615</v>
      </c>
      <c r="BT48" s="11" t="s">
        <v>1255</v>
      </c>
      <c r="BU48" s="11" t="s">
        <v>1256</v>
      </c>
      <c r="BV48" s="22">
        <v>5518</v>
      </c>
      <c r="BW48" s="22">
        <v>55</v>
      </c>
      <c r="BX48" s="22">
        <v>5573</v>
      </c>
      <c r="BY48" s="22">
        <v>12500</v>
      </c>
      <c r="BZ48" s="22">
        <v>8000</v>
      </c>
      <c r="CA48" s="22">
        <v>20500</v>
      </c>
      <c r="CL48" s="18"/>
      <c r="CP48" s="18"/>
      <c r="CT48" s="18"/>
      <c r="CX48" s="18"/>
      <c r="DB48" s="18"/>
      <c r="DF48" s="18"/>
      <c r="DJ48" s="18"/>
      <c r="DN48" s="18"/>
      <c r="DR48" s="18"/>
      <c r="DV48" s="18"/>
      <c r="DZ48" s="18"/>
      <c r="ED48" s="18"/>
      <c r="EI48" s="18"/>
      <c r="EK48" s="22">
        <v>5518</v>
      </c>
      <c r="EL48" s="22">
        <v>55</v>
      </c>
      <c r="EM48" s="22">
        <v>5573</v>
      </c>
      <c r="EN48" s="22">
        <v>12500</v>
      </c>
      <c r="EO48" s="22">
        <v>8000</v>
      </c>
      <c r="EP48" s="22">
        <v>20500</v>
      </c>
      <c r="EQ48" s="12" t="s">
        <v>320</v>
      </c>
      <c r="ER48" s="22">
        <v>5573</v>
      </c>
      <c r="ES48" s="18">
        <v>0.95</v>
      </c>
      <c r="ET48" s="22">
        <v>4000</v>
      </c>
      <c r="EU48" s="11" t="s">
        <v>320</v>
      </c>
      <c r="EV48" s="22">
        <v>5573</v>
      </c>
      <c r="EW48" s="18">
        <v>0.95</v>
      </c>
      <c r="EY48" s="12" t="s">
        <v>319</v>
      </c>
      <c r="FA48" s="18"/>
      <c r="FC48" s="12" t="s">
        <v>320</v>
      </c>
      <c r="FD48" s="22">
        <v>5573</v>
      </c>
      <c r="FE48" s="18">
        <v>0.95</v>
      </c>
      <c r="FG48" s="12" t="s">
        <v>320</v>
      </c>
      <c r="FH48" s="22">
        <v>5573</v>
      </c>
      <c r="FI48" s="18">
        <v>0.95</v>
      </c>
      <c r="FJ48" s="22">
        <v>10841</v>
      </c>
      <c r="FK48" s="11" t="s">
        <v>319</v>
      </c>
      <c r="FM48" s="18"/>
      <c r="FO48" s="12" t="s">
        <v>320</v>
      </c>
      <c r="FP48" s="22">
        <v>5573</v>
      </c>
      <c r="FQ48" s="18">
        <v>0.95</v>
      </c>
      <c r="FS48" s="11" t="s">
        <v>319</v>
      </c>
      <c r="FU48" s="18"/>
      <c r="FW48" s="11" t="s">
        <v>320</v>
      </c>
      <c r="FX48" s="22">
        <v>5573</v>
      </c>
      <c r="FY48" s="18">
        <v>0.95</v>
      </c>
      <c r="FZ48" s="22">
        <v>20222</v>
      </c>
      <c r="GA48" s="11" t="s">
        <v>319</v>
      </c>
      <c r="GC48" s="18"/>
      <c r="GE48" s="11" t="s">
        <v>319</v>
      </c>
      <c r="GG48" s="18"/>
      <c r="GI48" s="11" t="s">
        <v>319</v>
      </c>
      <c r="GK48" s="18"/>
      <c r="GM48" s="11" t="s">
        <v>320</v>
      </c>
      <c r="GN48" s="22">
        <v>5573</v>
      </c>
      <c r="GO48" s="18">
        <v>0.95</v>
      </c>
      <c r="GP48" s="22">
        <v>3432</v>
      </c>
      <c r="GQ48" s="11" t="s">
        <v>319</v>
      </c>
      <c r="GS48" s="18"/>
      <c r="GU48" s="11" t="s">
        <v>319</v>
      </c>
      <c r="GW48" s="18"/>
      <c r="GY48" s="11" t="s">
        <v>320</v>
      </c>
      <c r="GZ48" s="22">
        <v>5573</v>
      </c>
      <c r="HA48" s="18">
        <v>0.95</v>
      </c>
      <c r="HB48" s="22">
        <v>14649</v>
      </c>
      <c r="HF48" s="18"/>
      <c r="HH48" s="11" t="s">
        <v>320</v>
      </c>
      <c r="HI48" s="11" t="s">
        <v>431</v>
      </c>
      <c r="HJ48" s="11">
        <v>2017</v>
      </c>
      <c r="HK48" s="11" t="s">
        <v>319</v>
      </c>
      <c r="HL48" s="11" t="s">
        <v>319</v>
      </c>
      <c r="HP48" s="11" t="s">
        <v>453</v>
      </c>
      <c r="HQ48" s="11" t="s">
        <v>319</v>
      </c>
      <c r="HR48" s="11" t="s">
        <v>319</v>
      </c>
      <c r="HS48" s="11" t="s">
        <v>319</v>
      </c>
      <c r="HT48" s="11" t="s">
        <v>320</v>
      </c>
      <c r="HU48" s="11" t="s">
        <v>319</v>
      </c>
      <c r="HV48" s="11" t="s">
        <v>319</v>
      </c>
      <c r="HW48" s="11" t="s">
        <v>319</v>
      </c>
      <c r="HX48" s="11" t="s">
        <v>319</v>
      </c>
      <c r="HZ48" s="11" t="s">
        <v>363</v>
      </c>
      <c r="IB48" s="11" t="s">
        <v>333</v>
      </c>
      <c r="ID48" s="11" t="s">
        <v>364</v>
      </c>
      <c r="IE48" s="11" t="s">
        <v>478</v>
      </c>
      <c r="IF48" s="11" t="s">
        <v>320</v>
      </c>
      <c r="IG48" s="11" t="s">
        <v>319</v>
      </c>
      <c r="IH48" s="11" t="s">
        <v>319</v>
      </c>
      <c r="II48" s="11" t="s">
        <v>320</v>
      </c>
      <c r="IJ48" s="12" t="str">
        <f t="shared" si="1"/>
        <v>3. Responsive</v>
      </c>
      <c r="IK48" s="12">
        <f t="shared" si="2"/>
        <v>2</v>
      </c>
      <c r="IL48" s="11" t="s">
        <v>336</v>
      </c>
      <c r="IM48" s="11" t="s">
        <v>320</v>
      </c>
      <c r="IN48" s="11" t="s">
        <v>320</v>
      </c>
      <c r="IO48" s="11" t="s">
        <v>320</v>
      </c>
      <c r="IP48" s="11" t="s">
        <v>320</v>
      </c>
      <c r="IQ48" s="12" t="str">
        <f t="shared" si="3"/>
        <v>2. Accommodating</v>
      </c>
      <c r="IR48" s="12">
        <f t="shared" si="4"/>
        <v>4</v>
      </c>
      <c r="IS48" s="11" t="s">
        <v>622</v>
      </c>
      <c r="IT48" s="11" t="s">
        <v>320</v>
      </c>
      <c r="IU48" s="11" t="s">
        <v>320</v>
      </c>
      <c r="IV48" s="11" t="s">
        <v>319</v>
      </c>
      <c r="IW48" s="11" t="str">
        <f t="shared" si="5"/>
        <v>3. Responsive</v>
      </c>
      <c r="IX48" s="12">
        <f t="shared" si="6"/>
        <v>2</v>
      </c>
      <c r="IY48" s="11" t="s">
        <v>419</v>
      </c>
      <c r="IZ48" s="11" t="s">
        <v>339</v>
      </c>
      <c r="JE48" s="11" t="s">
        <v>420</v>
      </c>
      <c r="JH48" s="11" t="s">
        <v>1257</v>
      </c>
      <c r="JI48" s="11" t="s">
        <v>1258</v>
      </c>
      <c r="JJ48" s="11" t="s">
        <v>1259</v>
      </c>
      <c r="JK48" s="11" t="s">
        <v>1260</v>
      </c>
      <c r="JL48" s="11" t="s">
        <v>1261</v>
      </c>
      <c r="JM48" s="11" t="s">
        <v>1262</v>
      </c>
      <c r="JN48" s="11" t="s">
        <v>1263</v>
      </c>
      <c r="JP48" s="15">
        <f t="shared" si="7"/>
        <v>5573</v>
      </c>
      <c r="JQ48" s="15">
        <f t="shared" si="8"/>
        <v>20500</v>
      </c>
      <c r="JR48" s="279">
        <f t="shared" si="9"/>
        <v>3.6784496680423469</v>
      </c>
      <c r="JS48" s="17">
        <f t="shared" si="10"/>
        <v>0.99013098869549609</v>
      </c>
      <c r="JT48" s="18">
        <f t="shared" si="11"/>
        <v>0.6097560975609756</v>
      </c>
      <c r="JU48" s="280">
        <f t="shared" si="12"/>
        <v>5518</v>
      </c>
      <c r="JV48" s="280">
        <f t="shared" si="13"/>
        <v>12500</v>
      </c>
      <c r="JW48" s="319" t="str">
        <f t="shared" si="14"/>
        <v/>
      </c>
      <c r="JX48" s="15">
        <f t="shared" si="15"/>
        <v>0</v>
      </c>
      <c r="JY48" s="15">
        <f t="shared" si="16"/>
        <v>0</v>
      </c>
      <c r="JZ48" s="19" t="str">
        <f t="shared" si="17"/>
        <v/>
      </c>
      <c r="KA48" s="52">
        <f t="shared" si="18"/>
        <v>1</v>
      </c>
      <c r="KB48" s="15">
        <f t="shared" si="19"/>
        <v>5573</v>
      </c>
      <c r="KC48" s="15">
        <f t="shared" si="20"/>
        <v>10841</v>
      </c>
      <c r="KD48" s="20">
        <f t="shared" si="21"/>
        <v>1.9452718464022969</v>
      </c>
      <c r="KE48" s="52" t="str">
        <f t="shared" si="22"/>
        <v/>
      </c>
      <c r="KF48" s="15">
        <f t="shared" si="23"/>
        <v>0</v>
      </c>
      <c r="KG48" s="15">
        <f t="shared" si="24"/>
        <v>0</v>
      </c>
      <c r="KH48" s="21" t="str">
        <f t="shared" si="25"/>
        <v/>
      </c>
      <c r="KI48" s="52" t="str">
        <f t="shared" si="26"/>
        <v/>
      </c>
      <c r="KJ48" s="15">
        <f t="shared" si="27"/>
        <v>0</v>
      </c>
      <c r="KK48" s="15">
        <f t="shared" si="28"/>
        <v>0</v>
      </c>
      <c r="KL48" s="19" t="str">
        <f t="shared" si="29"/>
        <v/>
      </c>
      <c r="KM48" s="52">
        <f t="shared" si="30"/>
        <v>1</v>
      </c>
      <c r="KN48" s="22">
        <f t="shared" si="31"/>
        <v>5573</v>
      </c>
      <c r="KO48" s="22">
        <f t="shared" si="32"/>
        <v>14649</v>
      </c>
      <c r="KP48" s="19">
        <f t="shared" si="33"/>
        <v>2.6285663018123095</v>
      </c>
      <c r="KQ48" s="11" t="str">
        <f t="shared" si="34"/>
        <v>3. Responsive</v>
      </c>
      <c r="KR48" s="11" t="str">
        <f t="shared" si="35"/>
        <v>2. Accommodating</v>
      </c>
      <c r="KS48" s="11" t="str">
        <f t="shared" si="36"/>
        <v>3. Responsive</v>
      </c>
      <c r="KT48" s="11" t="str">
        <f t="shared" si="37"/>
        <v>It did not develop any specific innovation</v>
      </c>
      <c r="KU48" s="11" t="str">
        <f t="shared" si="38"/>
        <v>Intensive advocacy</v>
      </c>
      <c r="KV48" s="11" t="str">
        <f t="shared" si="39"/>
        <v>It did not take tested solutions to scale</v>
      </c>
      <c r="KW48" s="11" t="str">
        <f t="shared" si="40"/>
        <v>Bangladesh - Pathways to Secure and Resilient livelihoods Project</v>
      </c>
      <c r="KX48" s="11" t="str">
        <f t="shared" si="41"/>
        <v>Pathways to Secure and Resilient livelihoods Project</v>
      </c>
      <c r="KY48" s="11" t="str">
        <f t="shared" si="42"/>
        <v>Bangladesh</v>
      </c>
      <c r="KZ48" s="12">
        <v>48</v>
      </c>
    </row>
    <row r="49" spans="1:312" x14ac:dyDescent="0.3">
      <c r="A49" s="11" t="s">
        <v>652</v>
      </c>
      <c r="B49" s="11" t="s">
        <v>306</v>
      </c>
      <c r="C49" s="11">
        <v>2773</v>
      </c>
      <c r="D49" s="11" t="s">
        <v>1264</v>
      </c>
      <c r="E49" s="24" t="str">
        <f t="shared" si="0"/>
        <v>Bangladesh</v>
      </c>
      <c r="F49" s="11" t="s">
        <v>1265</v>
      </c>
      <c r="G49" s="11" t="s">
        <v>379</v>
      </c>
      <c r="H49" s="11" t="s">
        <v>383</v>
      </c>
      <c r="I49" s="11" t="s">
        <v>384</v>
      </c>
      <c r="J49" s="278" t="s">
        <v>10530</v>
      </c>
      <c r="BD49" s="23">
        <v>41821</v>
      </c>
      <c r="BE49" s="23">
        <v>42674</v>
      </c>
      <c r="BG49" s="11" t="s">
        <v>312</v>
      </c>
      <c r="BH49" s="22">
        <v>1279010</v>
      </c>
      <c r="BI49" s="11" t="s">
        <v>1051</v>
      </c>
      <c r="BJ49" s="11" t="s">
        <v>1266</v>
      </c>
      <c r="BK49" s="11" t="s">
        <v>798</v>
      </c>
      <c r="BL49" s="11" t="s">
        <v>1053</v>
      </c>
      <c r="BM49" s="11" t="s">
        <v>1267</v>
      </c>
      <c r="BN49" s="11" t="s">
        <v>1055</v>
      </c>
      <c r="BO49" s="12" t="s">
        <v>319</v>
      </c>
      <c r="BP49" s="12" t="s">
        <v>320</v>
      </c>
      <c r="BQ49" s="12" t="s">
        <v>319</v>
      </c>
      <c r="BR49" s="11" t="s">
        <v>1268</v>
      </c>
      <c r="BS49" s="11" t="s">
        <v>357</v>
      </c>
      <c r="BT49" s="11" t="s">
        <v>1269</v>
      </c>
      <c r="BU49" s="11" t="s">
        <v>1270</v>
      </c>
      <c r="BV49" s="22">
        <v>5777</v>
      </c>
      <c r="BW49" s="22">
        <v>5758</v>
      </c>
      <c r="BX49" s="22">
        <v>11535</v>
      </c>
      <c r="BY49" s="22">
        <v>34472</v>
      </c>
      <c r="BZ49" s="22">
        <v>26640</v>
      </c>
      <c r="CA49" s="22">
        <v>61112</v>
      </c>
      <c r="CB49" s="15" t="s">
        <v>1271</v>
      </c>
      <c r="CL49" s="18"/>
      <c r="CP49" s="18"/>
      <c r="CT49" s="18"/>
      <c r="CX49" s="18"/>
      <c r="DB49" s="18"/>
      <c r="DF49" s="18"/>
      <c r="DJ49" s="18"/>
      <c r="DN49" s="18"/>
      <c r="DR49" s="18"/>
      <c r="DV49" s="18"/>
      <c r="DZ49" s="18"/>
      <c r="ED49" s="18"/>
      <c r="EI49" s="18"/>
      <c r="EK49" s="22">
        <v>3495</v>
      </c>
      <c r="EL49" s="22">
        <v>3262</v>
      </c>
      <c r="EM49" s="22">
        <v>6757</v>
      </c>
      <c r="EN49" s="22">
        <v>11177</v>
      </c>
      <c r="EO49" s="22">
        <v>8266</v>
      </c>
      <c r="EP49" s="22">
        <v>19443</v>
      </c>
      <c r="EQ49" s="12" t="s">
        <v>319</v>
      </c>
      <c r="ES49" s="18"/>
      <c r="EU49" s="11" t="s">
        <v>319</v>
      </c>
      <c r="EW49" s="18"/>
      <c r="EY49" s="12" t="s">
        <v>319</v>
      </c>
      <c r="FA49" s="18"/>
      <c r="FC49" s="12" t="s">
        <v>319</v>
      </c>
      <c r="FE49" s="18"/>
      <c r="FG49" s="12" t="s">
        <v>319</v>
      </c>
      <c r="FI49" s="18"/>
      <c r="FK49" s="12" t="s">
        <v>320</v>
      </c>
      <c r="FL49" s="22">
        <v>6757</v>
      </c>
      <c r="FM49" s="18">
        <v>0.52</v>
      </c>
      <c r="FN49" s="22">
        <v>19443</v>
      </c>
      <c r="FO49" s="11" t="s">
        <v>319</v>
      </c>
      <c r="FQ49" s="18"/>
      <c r="FS49" s="11" t="s">
        <v>319</v>
      </c>
      <c r="FU49" s="18"/>
      <c r="FW49" s="11" t="s">
        <v>320</v>
      </c>
      <c r="FX49" s="22">
        <v>6757</v>
      </c>
      <c r="FY49" s="18">
        <v>0.52</v>
      </c>
      <c r="FZ49" s="22">
        <v>19443</v>
      </c>
      <c r="GA49" s="11" t="s">
        <v>319</v>
      </c>
      <c r="GC49" s="18"/>
      <c r="GE49" s="11" t="s">
        <v>319</v>
      </c>
      <c r="GG49" s="18"/>
      <c r="GI49" s="11" t="s">
        <v>319</v>
      </c>
      <c r="GK49" s="18"/>
      <c r="GM49" s="11" t="s">
        <v>319</v>
      </c>
      <c r="GO49" s="18"/>
      <c r="GQ49" s="11" t="s">
        <v>319</v>
      </c>
      <c r="GS49" s="18"/>
      <c r="GU49" s="11" t="s">
        <v>319</v>
      </c>
      <c r="GW49" s="18"/>
      <c r="GY49" s="11" t="s">
        <v>319</v>
      </c>
      <c r="HA49" s="18"/>
      <c r="HF49" s="18"/>
      <c r="HH49" s="11" t="s">
        <v>320</v>
      </c>
      <c r="HI49" s="11" t="s">
        <v>327</v>
      </c>
      <c r="HJ49" s="11">
        <v>2016</v>
      </c>
      <c r="HK49" s="11" t="s">
        <v>320</v>
      </c>
      <c r="HL49" s="11" t="s">
        <v>319</v>
      </c>
      <c r="HP49" s="11" t="s">
        <v>453</v>
      </c>
      <c r="HQ49" s="11" t="s">
        <v>319</v>
      </c>
      <c r="HR49" s="11" t="s">
        <v>320</v>
      </c>
      <c r="HS49" s="11" t="s">
        <v>320</v>
      </c>
      <c r="HT49" s="11" t="s">
        <v>320</v>
      </c>
      <c r="HU49" s="11" t="s">
        <v>320</v>
      </c>
      <c r="HV49" s="11" t="s">
        <v>320</v>
      </c>
      <c r="HW49" s="11" t="s">
        <v>320</v>
      </c>
      <c r="HX49" s="11" t="s">
        <v>319</v>
      </c>
      <c r="HZ49" s="11" t="s">
        <v>394</v>
      </c>
      <c r="IA49" s="11" t="s">
        <v>1272</v>
      </c>
      <c r="IB49" s="11" t="s">
        <v>667</v>
      </c>
      <c r="IC49" s="11" t="s">
        <v>1273</v>
      </c>
      <c r="ID49" s="11" t="s">
        <v>334</v>
      </c>
      <c r="IE49" s="11" t="s">
        <v>478</v>
      </c>
      <c r="IF49" s="11" t="s">
        <v>320</v>
      </c>
      <c r="IG49" s="11" t="s">
        <v>320</v>
      </c>
      <c r="IH49" s="11" t="s">
        <v>320</v>
      </c>
      <c r="II49" s="11" t="s">
        <v>320</v>
      </c>
      <c r="IJ49" s="12" t="str">
        <f t="shared" si="1"/>
        <v>4. Transformative</v>
      </c>
      <c r="IK49" s="12">
        <f t="shared" si="2"/>
        <v>4</v>
      </c>
      <c r="IL49" s="11" t="s">
        <v>336</v>
      </c>
      <c r="IM49" s="11" t="s">
        <v>320</v>
      </c>
      <c r="IN49" s="11" t="s">
        <v>320</v>
      </c>
      <c r="IO49" s="11" t="s">
        <v>320</v>
      </c>
      <c r="IP49" s="11" t="s">
        <v>320</v>
      </c>
      <c r="IQ49" s="12" t="str">
        <f t="shared" si="3"/>
        <v>2. Accommodating</v>
      </c>
      <c r="IR49" s="12">
        <f t="shared" si="4"/>
        <v>4</v>
      </c>
      <c r="IW49" s="11" t="str">
        <f t="shared" si="5"/>
        <v>No marker score</v>
      </c>
      <c r="IX49" s="12">
        <f t="shared" si="6"/>
        <v>0</v>
      </c>
      <c r="IY49" s="11" t="s">
        <v>338</v>
      </c>
      <c r="IZ49" s="11" t="s">
        <v>339</v>
      </c>
      <c r="JE49" s="11" t="s">
        <v>420</v>
      </c>
      <c r="JG49" s="11" t="s">
        <v>1274</v>
      </c>
      <c r="JH49" s="11" t="s">
        <v>1275</v>
      </c>
      <c r="JI49" s="11" t="s">
        <v>1276</v>
      </c>
      <c r="JJ49" s="11" t="s">
        <v>1277</v>
      </c>
      <c r="JK49" s="11" t="s">
        <v>1278</v>
      </c>
      <c r="JL49" s="11" t="s">
        <v>1279</v>
      </c>
      <c r="JM49" s="11" t="s">
        <v>1280</v>
      </c>
      <c r="JN49" s="11" t="s">
        <v>1281</v>
      </c>
      <c r="JO49" s="11" t="s">
        <v>1282</v>
      </c>
      <c r="JP49" s="15">
        <f t="shared" si="7"/>
        <v>6757</v>
      </c>
      <c r="JQ49" s="15">
        <f t="shared" si="8"/>
        <v>19443</v>
      </c>
      <c r="JR49" s="279">
        <f t="shared" si="9"/>
        <v>2.8774604114251887</v>
      </c>
      <c r="JS49" s="17">
        <f t="shared" si="10"/>
        <v>0.51724137931034486</v>
      </c>
      <c r="JT49" s="18">
        <f t="shared" si="11"/>
        <v>0.5748598467314715</v>
      </c>
      <c r="JU49" s="280">
        <f t="shared" si="12"/>
        <v>3495</v>
      </c>
      <c r="JV49" s="280">
        <f t="shared" si="13"/>
        <v>11177</v>
      </c>
      <c r="JW49" s="319" t="str">
        <f t="shared" si="14"/>
        <v/>
      </c>
      <c r="JX49" s="15">
        <f t="shared" si="15"/>
        <v>0</v>
      </c>
      <c r="JY49" s="15">
        <f t="shared" si="16"/>
        <v>0</v>
      </c>
      <c r="JZ49" s="19" t="str">
        <f t="shared" si="17"/>
        <v/>
      </c>
      <c r="KA49" s="52" t="str">
        <f t="shared" si="18"/>
        <v/>
      </c>
      <c r="KB49" s="15">
        <f t="shared" si="19"/>
        <v>0</v>
      </c>
      <c r="KC49" s="15">
        <f t="shared" si="20"/>
        <v>0</v>
      </c>
      <c r="KD49" s="20" t="str">
        <f t="shared" si="21"/>
        <v/>
      </c>
      <c r="KE49" s="52" t="str">
        <f t="shared" si="22"/>
        <v/>
      </c>
      <c r="KF49" s="15">
        <f t="shared" si="23"/>
        <v>0</v>
      </c>
      <c r="KG49" s="15">
        <f t="shared" si="24"/>
        <v>0</v>
      </c>
      <c r="KH49" s="21" t="str">
        <f t="shared" si="25"/>
        <v/>
      </c>
      <c r="KI49" s="52" t="str">
        <f t="shared" si="26"/>
        <v/>
      </c>
      <c r="KJ49" s="15">
        <f t="shared" si="27"/>
        <v>0</v>
      </c>
      <c r="KK49" s="15">
        <f t="shared" si="28"/>
        <v>0</v>
      </c>
      <c r="KL49" s="19" t="str">
        <f t="shared" si="29"/>
        <v/>
      </c>
      <c r="KM49" s="52" t="str">
        <f t="shared" si="30"/>
        <v/>
      </c>
      <c r="KN49" s="22">
        <f t="shared" si="31"/>
        <v>0</v>
      </c>
      <c r="KO49" s="22">
        <f t="shared" si="32"/>
        <v>0</v>
      </c>
      <c r="KP49" s="19" t="str">
        <f t="shared" si="33"/>
        <v/>
      </c>
      <c r="KQ49" s="11" t="str">
        <f t="shared" si="34"/>
        <v>4. Transformative</v>
      </c>
      <c r="KR49" s="11" t="str">
        <f t="shared" si="35"/>
        <v>2. Accommodating</v>
      </c>
      <c r="KS49" s="11" t="str">
        <f t="shared" si="36"/>
        <v>No marker score</v>
      </c>
      <c r="KT49" s="11" t="str">
        <f t="shared" si="37"/>
        <v>It tested new ways for fighting poverty, but did not measure results of innovation</v>
      </c>
      <c r="KU49" s="11" t="str">
        <f t="shared" si="38"/>
        <v>Intensive advocacy</v>
      </c>
      <c r="KV49" s="11" t="str">
        <f t="shared" si="39"/>
        <v>It took tested solutions to scale on its own</v>
      </c>
      <c r="KW49" s="11" t="str">
        <f t="shared" si="40"/>
        <v>Bangladesh - Patsy Collins Trust Fund Initiatives (PCTFI)</v>
      </c>
      <c r="KX49" s="11" t="str">
        <f t="shared" si="41"/>
        <v>Patsy Collins Trust Fund Initiatives (PCTFI)</v>
      </c>
      <c r="KY49" s="11" t="str">
        <f t="shared" si="42"/>
        <v>Bangladesh</v>
      </c>
      <c r="KZ49" s="12">
        <v>49</v>
      </c>
    </row>
    <row r="50" spans="1:312" x14ac:dyDescent="0.3">
      <c r="A50" s="11" t="s">
        <v>652</v>
      </c>
      <c r="B50" s="11" t="s">
        <v>306</v>
      </c>
      <c r="C50" s="11">
        <v>2774</v>
      </c>
      <c r="D50" s="11" t="s">
        <v>1489</v>
      </c>
      <c r="E50" s="24" t="str">
        <f t="shared" si="0"/>
        <v>Bangladesh</v>
      </c>
      <c r="F50" s="11" t="s">
        <v>1490</v>
      </c>
      <c r="G50" s="11" t="s">
        <v>714</v>
      </c>
      <c r="H50" s="11" t="s">
        <v>489</v>
      </c>
      <c r="I50" s="11" t="s">
        <v>384</v>
      </c>
      <c r="J50" s="278" t="s">
        <v>14572</v>
      </c>
      <c r="BD50" s="23">
        <v>42005</v>
      </c>
      <c r="BE50" s="23">
        <v>43100</v>
      </c>
      <c r="BG50" s="11" t="s">
        <v>350</v>
      </c>
      <c r="BH50" s="22">
        <v>277437</v>
      </c>
      <c r="BI50" s="11" t="s">
        <v>1051</v>
      </c>
      <c r="BJ50" s="11" t="s">
        <v>1491</v>
      </c>
      <c r="BK50" s="11" t="s">
        <v>798</v>
      </c>
      <c r="BL50" s="11" t="s">
        <v>1492</v>
      </c>
      <c r="BM50" s="11" t="s">
        <v>1493</v>
      </c>
      <c r="BN50" s="11" t="s">
        <v>1494</v>
      </c>
      <c r="BO50" s="12" t="s">
        <v>319</v>
      </c>
      <c r="BP50" s="12" t="s">
        <v>320</v>
      </c>
      <c r="BQ50" s="12" t="s">
        <v>319</v>
      </c>
      <c r="BR50" s="11" t="s">
        <v>1495</v>
      </c>
      <c r="BS50" s="11" t="s">
        <v>357</v>
      </c>
      <c r="BT50" s="11" t="s">
        <v>1496</v>
      </c>
      <c r="BU50" s="11" t="s">
        <v>1497</v>
      </c>
      <c r="BV50" s="22">
        <v>2272</v>
      </c>
      <c r="BW50" s="22">
        <v>1288</v>
      </c>
      <c r="BX50" s="22">
        <v>3500</v>
      </c>
      <c r="BY50" s="22">
        <v>3500</v>
      </c>
      <c r="BZ50" s="22">
        <v>4500</v>
      </c>
      <c r="CA50" s="22">
        <v>8000</v>
      </c>
      <c r="CB50" s="15" t="s">
        <v>1498</v>
      </c>
      <c r="CL50" s="18"/>
      <c r="CP50" s="18"/>
      <c r="CT50" s="18"/>
      <c r="CX50" s="18"/>
      <c r="DB50" s="18"/>
      <c r="DF50" s="18"/>
      <c r="DJ50" s="18"/>
      <c r="DN50" s="18"/>
      <c r="DR50" s="18"/>
      <c r="DV50" s="18"/>
      <c r="DZ50" s="18"/>
      <c r="ED50" s="18"/>
      <c r="EI50" s="18"/>
      <c r="EK50" s="22">
        <v>1996</v>
      </c>
      <c r="EL50" s="22">
        <v>826</v>
      </c>
      <c r="EM50" s="22">
        <v>2822</v>
      </c>
      <c r="EN50" s="22">
        <v>1050</v>
      </c>
      <c r="EO50" s="22">
        <v>3200</v>
      </c>
      <c r="EP50" s="22">
        <v>4250</v>
      </c>
      <c r="EQ50" s="12" t="s">
        <v>319</v>
      </c>
      <c r="ES50" s="18"/>
      <c r="EU50" s="11" t="s">
        <v>319</v>
      </c>
      <c r="EW50" s="18"/>
      <c r="EY50" s="12" t="s">
        <v>319</v>
      </c>
      <c r="FA50" s="18"/>
      <c r="FC50" s="12" t="s">
        <v>319</v>
      </c>
      <c r="FE50" s="18"/>
      <c r="FG50" s="12" t="s">
        <v>319</v>
      </c>
      <c r="FI50" s="18"/>
      <c r="FK50" s="11" t="s">
        <v>319</v>
      </c>
      <c r="FM50" s="18"/>
      <c r="FO50" s="11" t="s">
        <v>319</v>
      </c>
      <c r="FQ50" s="18"/>
      <c r="FS50" s="12" t="s">
        <v>320</v>
      </c>
      <c r="FT50" s="22">
        <v>2822</v>
      </c>
      <c r="FU50" s="18">
        <v>0.73</v>
      </c>
      <c r="FV50" s="22">
        <v>4250</v>
      </c>
      <c r="FW50" s="11" t="s">
        <v>320</v>
      </c>
      <c r="FX50" s="22">
        <v>2822</v>
      </c>
      <c r="FY50" s="18">
        <v>0.73</v>
      </c>
      <c r="FZ50" s="22">
        <v>4250</v>
      </c>
      <c r="GA50" s="11" t="s">
        <v>320</v>
      </c>
      <c r="GB50" s="22">
        <v>2822</v>
      </c>
      <c r="GC50" s="18">
        <v>0.73</v>
      </c>
      <c r="GD50" s="22">
        <v>4250</v>
      </c>
      <c r="GE50" s="11" t="s">
        <v>319</v>
      </c>
      <c r="GG50" s="18"/>
      <c r="GI50" s="11" t="s">
        <v>319</v>
      </c>
      <c r="GK50" s="18"/>
      <c r="GM50" s="11" t="s">
        <v>319</v>
      </c>
      <c r="GO50" s="18"/>
      <c r="GQ50" s="11" t="s">
        <v>319</v>
      </c>
      <c r="GS50" s="18"/>
      <c r="GU50" s="12" t="s">
        <v>320</v>
      </c>
      <c r="GV50" s="22">
        <v>2822</v>
      </c>
      <c r="GW50" s="18">
        <v>0.73</v>
      </c>
      <c r="GX50" s="22">
        <v>4250</v>
      </c>
      <c r="GY50" s="11" t="s">
        <v>320</v>
      </c>
      <c r="GZ50" s="22">
        <v>2822</v>
      </c>
      <c r="HA50" s="18">
        <v>0.73</v>
      </c>
      <c r="HB50" s="22">
        <v>4250</v>
      </c>
      <c r="HF50" s="18"/>
      <c r="HH50" s="11" t="s">
        <v>319</v>
      </c>
      <c r="HK50" s="11" t="s">
        <v>319</v>
      </c>
      <c r="HL50" s="11" t="s">
        <v>320</v>
      </c>
      <c r="HM50" s="11" t="s">
        <v>361</v>
      </c>
      <c r="HN50" s="11">
        <v>2017</v>
      </c>
      <c r="HO50" s="11" t="s">
        <v>1499</v>
      </c>
      <c r="HP50" s="11" t="s">
        <v>330</v>
      </c>
      <c r="HQ50" s="11" t="s">
        <v>319</v>
      </c>
      <c r="HR50" s="11" t="s">
        <v>319</v>
      </c>
      <c r="HS50" s="11" t="s">
        <v>320</v>
      </c>
      <c r="HT50" s="11" t="s">
        <v>320</v>
      </c>
      <c r="HU50" s="11" t="s">
        <v>319</v>
      </c>
      <c r="HV50" s="11" t="s">
        <v>319</v>
      </c>
      <c r="HW50" s="11" t="s">
        <v>319</v>
      </c>
      <c r="HX50" s="11" t="s">
        <v>319</v>
      </c>
      <c r="HZ50" s="11" t="s">
        <v>394</v>
      </c>
      <c r="IA50" s="11" t="s">
        <v>1500</v>
      </c>
      <c r="IB50" s="11" t="s">
        <v>333</v>
      </c>
      <c r="ID50" s="11" t="s">
        <v>334</v>
      </c>
      <c r="IE50" s="11" t="s">
        <v>478</v>
      </c>
      <c r="IF50" s="11" t="s">
        <v>320</v>
      </c>
      <c r="IG50" s="11" t="s">
        <v>320</v>
      </c>
      <c r="IH50" s="11" t="s">
        <v>320</v>
      </c>
      <c r="II50" s="11" t="s">
        <v>320</v>
      </c>
      <c r="IJ50" s="12" t="str">
        <f t="shared" si="1"/>
        <v>4. Transformative</v>
      </c>
      <c r="IK50" s="12">
        <f t="shared" si="2"/>
        <v>4</v>
      </c>
      <c r="IL50" s="11" t="s">
        <v>336</v>
      </c>
      <c r="IM50" s="11" t="s">
        <v>320</v>
      </c>
      <c r="IN50" s="11" t="s">
        <v>320</v>
      </c>
      <c r="IO50" s="11" t="s">
        <v>320</v>
      </c>
      <c r="IP50" s="11" t="s">
        <v>320</v>
      </c>
      <c r="IQ50" s="12" t="str">
        <f t="shared" si="3"/>
        <v>2. Accommodating</v>
      </c>
      <c r="IR50" s="12">
        <f t="shared" si="4"/>
        <v>4</v>
      </c>
      <c r="IW50" s="11" t="str">
        <f t="shared" si="5"/>
        <v>No marker score</v>
      </c>
      <c r="IX50" s="12">
        <f t="shared" si="6"/>
        <v>0</v>
      </c>
      <c r="IY50" s="11" t="s">
        <v>338</v>
      </c>
      <c r="IZ50" s="11" t="s">
        <v>339</v>
      </c>
      <c r="JE50" s="11" t="s">
        <v>365</v>
      </c>
      <c r="JF50" s="11" t="s">
        <v>1501</v>
      </c>
      <c r="JH50" s="11" t="s">
        <v>1502</v>
      </c>
      <c r="JI50" s="11" t="s">
        <v>1503</v>
      </c>
      <c r="JJ50" s="11" t="s">
        <v>1504</v>
      </c>
      <c r="JK50" s="11" t="s">
        <v>1505</v>
      </c>
      <c r="JL50" s="11" t="s">
        <v>1506</v>
      </c>
      <c r="JM50" s="11" t="s">
        <v>1507</v>
      </c>
      <c r="JO50" s="11" t="s">
        <v>1508</v>
      </c>
      <c r="JP50" s="15">
        <f t="shared" si="7"/>
        <v>2822</v>
      </c>
      <c r="JQ50" s="15">
        <f t="shared" si="8"/>
        <v>4250</v>
      </c>
      <c r="JR50" s="279">
        <f t="shared" si="9"/>
        <v>1.5060240963855422</v>
      </c>
      <c r="JS50" s="17">
        <f t="shared" si="10"/>
        <v>0.70729978738483346</v>
      </c>
      <c r="JT50" s="18">
        <f t="shared" si="11"/>
        <v>0.24705882352941178</v>
      </c>
      <c r="JU50" s="280">
        <f t="shared" si="12"/>
        <v>1996</v>
      </c>
      <c r="JV50" s="280">
        <f t="shared" si="13"/>
        <v>1050</v>
      </c>
      <c r="JW50" s="319" t="str">
        <f t="shared" si="14"/>
        <v/>
      </c>
      <c r="JX50" s="15">
        <f t="shared" si="15"/>
        <v>0</v>
      </c>
      <c r="JY50" s="15">
        <f t="shared" si="16"/>
        <v>0</v>
      </c>
      <c r="JZ50" s="19" t="str">
        <f t="shared" si="17"/>
        <v/>
      </c>
      <c r="KA50" s="52">
        <f t="shared" si="18"/>
        <v>1</v>
      </c>
      <c r="KB50" s="15">
        <f t="shared" si="19"/>
        <v>2822</v>
      </c>
      <c r="KC50" s="15">
        <f t="shared" si="20"/>
        <v>4250</v>
      </c>
      <c r="KD50" s="20">
        <f t="shared" si="21"/>
        <v>1.5060240963855422</v>
      </c>
      <c r="KE50" s="52" t="str">
        <f t="shared" si="22"/>
        <v/>
      </c>
      <c r="KF50" s="15">
        <f t="shared" si="23"/>
        <v>0</v>
      </c>
      <c r="KG50" s="15">
        <f t="shared" si="24"/>
        <v>0</v>
      </c>
      <c r="KH50" s="21" t="str">
        <f t="shared" si="25"/>
        <v/>
      </c>
      <c r="KI50" s="52">
        <f t="shared" si="26"/>
        <v>1</v>
      </c>
      <c r="KJ50" s="15">
        <f t="shared" si="27"/>
        <v>2822</v>
      </c>
      <c r="KK50" s="15">
        <f t="shared" si="28"/>
        <v>4250</v>
      </c>
      <c r="KL50" s="19">
        <f t="shared" si="29"/>
        <v>1.5060240963855422</v>
      </c>
      <c r="KM50" s="52">
        <f t="shared" si="30"/>
        <v>1</v>
      </c>
      <c r="KN50" s="22">
        <f t="shared" si="31"/>
        <v>2822</v>
      </c>
      <c r="KO50" s="22">
        <f t="shared" si="32"/>
        <v>4250</v>
      </c>
      <c r="KP50" s="19">
        <f t="shared" si="33"/>
        <v>1.5060240963855422</v>
      </c>
      <c r="KQ50" s="11" t="str">
        <f t="shared" si="34"/>
        <v>4. Transformative</v>
      </c>
      <c r="KR50" s="11" t="str">
        <f t="shared" si="35"/>
        <v>2. Accommodating</v>
      </c>
      <c r="KS50" s="11" t="str">
        <f t="shared" si="36"/>
        <v>No marker score</v>
      </c>
      <c r="KT50" s="11" t="str">
        <f t="shared" si="37"/>
        <v>It tested new ways for fighting poverty, but did not measure results of innovation</v>
      </c>
      <c r="KU50" s="11" t="str">
        <f t="shared" si="38"/>
        <v>Moderate advocacy</v>
      </c>
      <c r="KV50" s="11" t="str">
        <f t="shared" si="39"/>
        <v>It did not take tested solutions to scale</v>
      </c>
      <c r="KW50" s="11" t="str">
        <f t="shared" si="40"/>
        <v>Bangladesh - Promoting Enabling Environment for Women in Factories (PEEWF) Project</v>
      </c>
      <c r="KX50" s="11" t="str">
        <f t="shared" si="41"/>
        <v>Promoting Enabling Environment for Women in Factories (PEEWF) Project</v>
      </c>
      <c r="KY50" s="11" t="str">
        <f t="shared" si="42"/>
        <v>Bangladesh</v>
      </c>
      <c r="KZ50" s="12">
        <v>50</v>
      </c>
    </row>
    <row r="51" spans="1:312" x14ac:dyDescent="0.3">
      <c r="A51" s="11" t="s">
        <v>652</v>
      </c>
      <c r="B51" s="11" t="s">
        <v>306</v>
      </c>
      <c r="C51" s="11">
        <v>2784</v>
      </c>
      <c r="D51" s="11" t="s">
        <v>732</v>
      </c>
      <c r="E51" s="24" t="str">
        <f t="shared" si="0"/>
        <v>Bangladesh</v>
      </c>
      <c r="F51" s="11" t="s">
        <v>733</v>
      </c>
      <c r="G51" s="11" t="s">
        <v>714</v>
      </c>
      <c r="H51" s="11" t="s">
        <v>380</v>
      </c>
      <c r="I51" s="11" t="s">
        <v>517</v>
      </c>
      <c r="J51" s="278" t="s">
        <v>14578</v>
      </c>
      <c r="BD51" s="23">
        <v>41277</v>
      </c>
      <c r="BE51" s="23">
        <v>42613</v>
      </c>
      <c r="BF51" s="23">
        <v>42735</v>
      </c>
      <c r="BG51" s="11" t="s">
        <v>312</v>
      </c>
      <c r="BH51" s="22">
        <v>2421596</v>
      </c>
      <c r="BI51" s="11" t="s">
        <v>734</v>
      </c>
      <c r="BJ51" s="11" t="s">
        <v>735</v>
      </c>
      <c r="BK51" s="11" t="s">
        <v>717</v>
      </c>
      <c r="BO51" s="11" t="s">
        <v>319</v>
      </c>
      <c r="BP51" s="11" t="s">
        <v>320</v>
      </c>
      <c r="BQ51" s="11" t="s">
        <v>319</v>
      </c>
      <c r="BR51" s="11" t="s">
        <v>736</v>
      </c>
      <c r="BS51" s="11" t="s">
        <v>357</v>
      </c>
      <c r="BT51" s="11" t="s">
        <v>737</v>
      </c>
      <c r="BU51" s="11" t="s">
        <v>738</v>
      </c>
      <c r="BV51" s="22">
        <v>3750</v>
      </c>
      <c r="BW51" s="22">
        <v>14330</v>
      </c>
      <c r="BX51" s="22">
        <v>18080</v>
      </c>
      <c r="BY51" s="22">
        <v>18228</v>
      </c>
      <c r="BZ51" s="22">
        <v>64141</v>
      </c>
      <c r="CA51" s="22">
        <v>82369</v>
      </c>
      <c r="CB51" s="15" t="s">
        <v>739</v>
      </c>
      <c r="CL51" s="18"/>
      <c r="CP51" s="18"/>
      <c r="CT51" s="18"/>
      <c r="CX51" s="18"/>
      <c r="DB51" s="18"/>
      <c r="DF51" s="18"/>
      <c r="DJ51" s="18"/>
      <c r="DN51" s="18"/>
      <c r="DR51" s="18"/>
      <c r="DV51" s="18"/>
      <c r="DZ51" s="18"/>
      <c r="ED51" s="18"/>
      <c r="EI51" s="18"/>
      <c r="EK51" s="22">
        <v>0</v>
      </c>
      <c r="EL51" s="22">
        <v>0</v>
      </c>
      <c r="EM51" s="22">
        <v>0</v>
      </c>
      <c r="EN51" s="22">
        <v>0</v>
      </c>
      <c r="EO51" s="22">
        <v>0</v>
      </c>
      <c r="EP51" s="22">
        <v>0</v>
      </c>
      <c r="EQ51" s="12" t="s">
        <v>319</v>
      </c>
      <c r="ES51" s="18"/>
      <c r="EU51" s="11" t="s">
        <v>319</v>
      </c>
      <c r="EW51" s="18"/>
      <c r="EY51" s="12" t="s">
        <v>319</v>
      </c>
      <c r="FA51" s="18"/>
      <c r="FC51" s="12" t="s">
        <v>319</v>
      </c>
      <c r="FE51" s="18"/>
      <c r="FG51" s="12" t="s">
        <v>319</v>
      </c>
      <c r="FI51" s="18"/>
      <c r="FK51" s="11" t="s">
        <v>319</v>
      </c>
      <c r="FM51" s="18"/>
      <c r="FO51" s="11" t="s">
        <v>319</v>
      </c>
      <c r="FQ51" s="18"/>
      <c r="FS51" s="11" t="s">
        <v>319</v>
      </c>
      <c r="FU51" s="18"/>
      <c r="FW51" s="11" t="s">
        <v>319</v>
      </c>
      <c r="FY51" s="18"/>
      <c r="GA51" s="11" t="s">
        <v>319</v>
      </c>
      <c r="GC51" s="18"/>
      <c r="GE51" s="11" t="s">
        <v>319</v>
      </c>
      <c r="GG51" s="18"/>
      <c r="GI51" s="11" t="s">
        <v>319</v>
      </c>
      <c r="GK51" s="18"/>
      <c r="GM51" s="11" t="s">
        <v>319</v>
      </c>
      <c r="GO51" s="18"/>
      <c r="GQ51" s="11" t="s">
        <v>319</v>
      </c>
      <c r="GS51" s="18"/>
      <c r="GU51" s="11" t="s">
        <v>319</v>
      </c>
      <c r="GW51" s="18"/>
      <c r="GY51" s="11" t="s">
        <v>319</v>
      </c>
      <c r="HA51" s="18"/>
      <c r="HF51" s="18"/>
      <c r="HH51" s="11" t="s">
        <v>319</v>
      </c>
      <c r="HK51" s="11" t="s">
        <v>320</v>
      </c>
      <c r="HL51" s="11" t="s">
        <v>319</v>
      </c>
      <c r="HP51" s="11" t="s">
        <v>418</v>
      </c>
      <c r="HQ51" s="11" t="s">
        <v>319</v>
      </c>
      <c r="HR51" s="11" t="s">
        <v>319</v>
      </c>
      <c r="HS51" s="11" t="s">
        <v>319</v>
      </c>
      <c r="HT51" s="11" t="s">
        <v>319</v>
      </c>
      <c r="HU51" s="11" t="s">
        <v>319</v>
      </c>
      <c r="HV51" s="11" t="s">
        <v>319</v>
      </c>
      <c r="HW51" s="11" t="s">
        <v>319</v>
      </c>
      <c r="HX51" s="11" t="s">
        <v>319</v>
      </c>
      <c r="HZ51" s="11" t="s">
        <v>363</v>
      </c>
      <c r="IB51" s="11" t="s">
        <v>396</v>
      </c>
      <c r="ID51" s="11" t="s">
        <v>364</v>
      </c>
      <c r="IE51" s="11" t="s">
        <v>335</v>
      </c>
      <c r="IF51" s="11" t="s">
        <v>320</v>
      </c>
      <c r="IG51" s="11" t="s">
        <v>320</v>
      </c>
      <c r="IH51" s="11" t="s">
        <v>320</v>
      </c>
      <c r="II51" s="11" t="s">
        <v>320</v>
      </c>
      <c r="IJ51" s="12" t="str">
        <f t="shared" si="1"/>
        <v>2. Sensitive</v>
      </c>
      <c r="IK51" s="12">
        <f t="shared" si="2"/>
        <v>4</v>
      </c>
      <c r="IL51" s="11" t="s">
        <v>723</v>
      </c>
      <c r="IQ51" s="12" t="str">
        <f t="shared" si="3"/>
        <v>0. Unaware</v>
      </c>
      <c r="IR51" s="12">
        <f t="shared" si="4"/>
        <v>0</v>
      </c>
      <c r="IW51" s="11" t="str">
        <f t="shared" si="5"/>
        <v>No marker score</v>
      </c>
      <c r="IX51" s="12">
        <f t="shared" si="6"/>
        <v>0</v>
      </c>
      <c r="IY51" s="11" t="s">
        <v>419</v>
      </c>
      <c r="IZ51" s="11" t="s">
        <v>527</v>
      </c>
      <c r="JA51" s="11">
        <v>4</v>
      </c>
      <c r="JB51" s="11" t="s">
        <v>433</v>
      </c>
      <c r="JC51" s="11" t="s">
        <v>724</v>
      </c>
      <c r="JD51" s="11" t="s">
        <v>725</v>
      </c>
      <c r="JE51" s="11" t="s">
        <v>420</v>
      </c>
      <c r="JH51" s="11" t="s">
        <v>740</v>
      </c>
      <c r="JI51" s="11" t="s">
        <v>741</v>
      </c>
      <c r="JJ51" s="11" t="s">
        <v>742</v>
      </c>
      <c r="JK51" s="11" t="s">
        <v>743</v>
      </c>
      <c r="JL51" s="11" t="s">
        <v>744</v>
      </c>
      <c r="JM51" s="11" t="s">
        <v>745</v>
      </c>
      <c r="JO51" s="11" t="s">
        <v>746</v>
      </c>
      <c r="JP51" s="15">
        <f t="shared" si="7"/>
        <v>0</v>
      </c>
      <c r="JQ51" s="15">
        <f t="shared" si="8"/>
        <v>0</v>
      </c>
      <c r="JR51" s="279" t="str">
        <f t="shared" si="9"/>
        <v/>
      </c>
      <c r="JS51" s="17" t="str">
        <f t="shared" si="10"/>
        <v/>
      </c>
      <c r="JT51" s="18" t="str">
        <f t="shared" si="11"/>
        <v/>
      </c>
      <c r="JU51" s="280">
        <f t="shared" si="12"/>
        <v>0</v>
      </c>
      <c r="JV51" s="280">
        <f t="shared" si="13"/>
        <v>0</v>
      </c>
      <c r="JW51" s="319" t="str">
        <f t="shared" si="14"/>
        <v/>
      </c>
      <c r="JX51" s="15">
        <f t="shared" si="15"/>
        <v>0</v>
      </c>
      <c r="JY51" s="15">
        <f t="shared" si="16"/>
        <v>0</v>
      </c>
      <c r="JZ51" s="19" t="str">
        <f t="shared" si="17"/>
        <v/>
      </c>
      <c r="KA51" s="52" t="str">
        <f t="shared" si="18"/>
        <v/>
      </c>
      <c r="KB51" s="15">
        <f t="shared" si="19"/>
        <v>0</v>
      </c>
      <c r="KC51" s="15">
        <f t="shared" si="20"/>
        <v>0</v>
      </c>
      <c r="KD51" s="20" t="str">
        <f t="shared" si="21"/>
        <v/>
      </c>
      <c r="KE51" s="52" t="str">
        <f t="shared" si="22"/>
        <v/>
      </c>
      <c r="KF51" s="15">
        <f t="shared" si="23"/>
        <v>0</v>
      </c>
      <c r="KG51" s="15">
        <f t="shared" si="24"/>
        <v>0</v>
      </c>
      <c r="KH51" s="21" t="str">
        <f t="shared" si="25"/>
        <v/>
      </c>
      <c r="KI51" s="52" t="str">
        <f t="shared" si="26"/>
        <v/>
      </c>
      <c r="KJ51" s="15">
        <f t="shared" si="27"/>
        <v>0</v>
      </c>
      <c r="KK51" s="15">
        <f t="shared" si="28"/>
        <v>0</v>
      </c>
      <c r="KL51" s="19" t="str">
        <f t="shared" si="29"/>
        <v/>
      </c>
      <c r="KM51" s="52" t="str">
        <f t="shared" si="30"/>
        <v/>
      </c>
      <c r="KN51" s="22">
        <f t="shared" si="31"/>
        <v>0</v>
      </c>
      <c r="KO51" s="22">
        <f t="shared" si="32"/>
        <v>0</v>
      </c>
      <c r="KP51" s="19" t="str">
        <f t="shared" si="33"/>
        <v/>
      </c>
      <c r="KQ51" s="11" t="str">
        <f t="shared" si="34"/>
        <v>2. Sensitive</v>
      </c>
      <c r="KR51" s="11" t="str">
        <f t="shared" si="35"/>
        <v>0. Unaware</v>
      </c>
      <c r="KS51" s="11" t="str">
        <f t="shared" si="36"/>
        <v>No marker score</v>
      </c>
      <c r="KT51" s="11" t="str">
        <f t="shared" si="37"/>
        <v>It did not develop any specific innovation</v>
      </c>
      <c r="KU51" s="11" t="str">
        <f t="shared" si="38"/>
        <v>Little or no advocacy</v>
      </c>
      <c r="KV51" s="11" t="str">
        <f t="shared" si="39"/>
        <v>It linked and worked with strategic alliances and partners to take tested and effective solutions to scale</v>
      </c>
      <c r="KW51" s="11" t="str">
        <f t="shared" si="40"/>
        <v>Bangladesh - Promoting Sustainable Consumption and Production of Jute Diversified Product</v>
      </c>
      <c r="KX51" s="11" t="str">
        <f t="shared" si="41"/>
        <v>Promoting Sustainable Consumption and Production of Jute Diversified Product</v>
      </c>
      <c r="KY51" s="11" t="str">
        <f t="shared" si="42"/>
        <v>Bangladesh</v>
      </c>
      <c r="KZ51" s="12">
        <v>51</v>
      </c>
    </row>
    <row r="52" spans="1:312" x14ac:dyDescent="0.3">
      <c r="A52" s="11" t="s">
        <v>652</v>
      </c>
      <c r="B52" s="11" t="s">
        <v>306</v>
      </c>
      <c r="D52" s="11" t="s">
        <v>696</v>
      </c>
      <c r="E52" s="24" t="str">
        <f t="shared" si="0"/>
        <v>Bangladesh</v>
      </c>
      <c r="F52" s="11" t="s">
        <v>697</v>
      </c>
      <c r="G52" s="11" t="s">
        <v>376</v>
      </c>
      <c r="H52" s="11" t="s">
        <v>380</v>
      </c>
      <c r="I52" s="11" t="s">
        <v>384</v>
      </c>
      <c r="J52" s="278" t="s">
        <v>698</v>
      </c>
      <c r="BD52" s="23">
        <v>42602</v>
      </c>
      <c r="BE52" s="23">
        <v>42723</v>
      </c>
      <c r="BG52" s="11" t="s">
        <v>407</v>
      </c>
      <c r="BH52" s="22">
        <v>225564.3</v>
      </c>
      <c r="BI52" s="11" t="s">
        <v>699</v>
      </c>
      <c r="BJ52" s="11" t="s">
        <v>700</v>
      </c>
      <c r="BK52" s="11" t="s">
        <v>701</v>
      </c>
      <c r="BO52" s="11" t="s">
        <v>320</v>
      </c>
      <c r="BP52" s="11" t="s">
        <v>319</v>
      </c>
      <c r="BQ52" s="11" t="s">
        <v>319</v>
      </c>
      <c r="BR52" s="11" t="s">
        <v>702</v>
      </c>
      <c r="BS52" s="11" t="s">
        <v>357</v>
      </c>
      <c r="BT52" s="11" t="s">
        <v>703</v>
      </c>
      <c r="BU52" s="11" t="s">
        <v>704</v>
      </c>
      <c r="BV52" s="22">
        <v>6920</v>
      </c>
      <c r="BW52" s="22">
        <v>6798</v>
      </c>
      <c r="BX52" s="22">
        <v>13718</v>
      </c>
      <c r="BY52" s="22">
        <v>0</v>
      </c>
      <c r="BZ52" s="22">
        <v>0</v>
      </c>
      <c r="CA52" s="22">
        <v>0</v>
      </c>
      <c r="CB52" s="15" t="s">
        <v>705</v>
      </c>
      <c r="CD52" s="22">
        <v>6920</v>
      </c>
      <c r="CE52" s="22">
        <v>6798</v>
      </c>
      <c r="CF52" s="22">
        <v>13718</v>
      </c>
      <c r="CG52" s="22">
        <v>0</v>
      </c>
      <c r="CH52" s="22">
        <v>0</v>
      </c>
      <c r="CI52" s="22">
        <v>0</v>
      </c>
      <c r="CJ52" s="11" t="s">
        <v>319</v>
      </c>
      <c r="CL52" s="18"/>
      <c r="CN52" s="11" t="s">
        <v>320</v>
      </c>
      <c r="CO52" s="22">
        <v>8102</v>
      </c>
      <c r="CP52" s="18">
        <v>0.51</v>
      </c>
      <c r="CQ52" s="22">
        <v>0</v>
      </c>
      <c r="CR52" s="11" t="s">
        <v>319</v>
      </c>
      <c r="CT52" s="18"/>
      <c r="CV52" s="11" t="s">
        <v>319</v>
      </c>
      <c r="CX52" s="18"/>
      <c r="CZ52" s="11" t="s">
        <v>319</v>
      </c>
      <c r="DB52" s="18"/>
      <c r="DD52" s="11" t="s">
        <v>319</v>
      </c>
      <c r="DF52" s="18"/>
      <c r="DH52" s="11" t="s">
        <v>319</v>
      </c>
      <c r="DJ52" s="18"/>
      <c r="DL52" s="11" t="s">
        <v>319</v>
      </c>
      <c r="DN52" s="18"/>
      <c r="DP52" s="11" t="s">
        <v>319</v>
      </c>
      <c r="DR52" s="18"/>
      <c r="DT52" s="11" t="s">
        <v>319</v>
      </c>
      <c r="DV52" s="18"/>
      <c r="DX52" s="12" t="s">
        <v>320</v>
      </c>
      <c r="DY52" s="22">
        <v>13341</v>
      </c>
      <c r="DZ52" s="18">
        <v>0.51</v>
      </c>
      <c r="EA52" s="22">
        <v>0</v>
      </c>
      <c r="EB52" s="11" t="s">
        <v>319</v>
      </c>
      <c r="ED52" s="18"/>
      <c r="EI52" s="18"/>
      <c r="ES52" s="18"/>
      <c r="EW52" s="18"/>
      <c r="FA52" s="18"/>
      <c r="FE52" s="18"/>
      <c r="FI52" s="18"/>
      <c r="FM52" s="18"/>
      <c r="FQ52" s="18"/>
      <c r="FU52" s="18"/>
      <c r="FY52" s="18"/>
      <c r="GC52" s="18"/>
      <c r="GG52" s="18"/>
      <c r="GK52" s="18"/>
      <c r="GO52" s="18"/>
      <c r="GS52" s="18"/>
      <c r="GW52" s="18"/>
      <c r="HA52" s="18"/>
      <c r="HF52" s="18"/>
      <c r="HH52" s="11" t="s">
        <v>319</v>
      </c>
      <c r="HK52" s="11" t="s">
        <v>319</v>
      </c>
      <c r="HL52" s="11" t="s">
        <v>319</v>
      </c>
      <c r="HP52" s="11" t="s">
        <v>418</v>
      </c>
      <c r="HQ52" s="11" t="s">
        <v>319</v>
      </c>
      <c r="HR52" s="11" t="s">
        <v>319</v>
      </c>
      <c r="HS52" s="11" t="s">
        <v>319</v>
      </c>
      <c r="HT52" s="11" t="s">
        <v>319</v>
      </c>
      <c r="HU52" s="11" t="s">
        <v>319</v>
      </c>
      <c r="HV52" s="11" t="s">
        <v>319</v>
      </c>
      <c r="HW52" s="11" t="s">
        <v>319</v>
      </c>
      <c r="HX52" s="11" t="s">
        <v>319</v>
      </c>
      <c r="HZ52" s="11" t="s">
        <v>363</v>
      </c>
      <c r="IB52" s="11" t="s">
        <v>333</v>
      </c>
      <c r="ID52" s="11" t="s">
        <v>334</v>
      </c>
      <c r="IE52" s="11" t="s">
        <v>335</v>
      </c>
      <c r="IF52" s="11" t="s">
        <v>320</v>
      </c>
      <c r="IG52" s="11" t="s">
        <v>320</v>
      </c>
      <c r="IH52" s="11" t="s">
        <v>320</v>
      </c>
      <c r="II52" s="11" t="s">
        <v>320</v>
      </c>
      <c r="IJ52" s="12" t="str">
        <f t="shared" si="1"/>
        <v>2. Sensitive</v>
      </c>
      <c r="IK52" s="12">
        <f t="shared" si="2"/>
        <v>4</v>
      </c>
      <c r="IL52" s="11" t="s">
        <v>336</v>
      </c>
      <c r="IM52" s="11" t="s">
        <v>320</v>
      </c>
      <c r="IN52" s="11" t="s">
        <v>320</v>
      </c>
      <c r="IO52" s="11" t="s">
        <v>320</v>
      </c>
      <c r="IP52" s="11" t="s">
        <v>320</v>
      </c>
      <c r="IQ52" s="12" t="str">
        <f t="shared" si="3"/>
        <v>2. Accommodating</v>
      </c>
      <c r="IR52" s="12">
        <f t="shared" si="4"/>
        <v>4</v>
      </c>
      <c r="IS52" s="11" t="s">
        <v>337</v>
      </c>
      <c r="IT52" s="11" t="s">
        <v>320</v>
      </c>
      <c r="IU52" s="11" t="s">
        <v>320</v>
      </c>
      <c r="IV52" s="11" t="s">
        <v>319</v>
      </c>
      <c r="IW52" s="11" t="str">
        <f t="shared" si="5"/>
        <v>1. Neutral</v>
      </c>
      <c r="IX52" s="12">
        <f t="shared" si="6"/>
        <v>2</v>
      </c>
      <c r="IY52" s="11" t="s">
        <v>419</v>
      </c>
      <c r="IZ52" s="11" t="s">
        <v>457</v>
      </c>
      <c r="JA52" s="11">
        <v>3</v>
      </c>
      <c r="JB52" s="11" t="s">
        <v>433</v>
      </c>
      <c r="JC52" s="11" t="s">
        <v>687</v>
      </c>
      <c r="JE52" s="11" t="s">
        <v>420</v>
      </c>
      <c r="JG52" s="11" t="s">
        <v>706</v>
      </c>
      <c r="JH52" s="11" t="s">
        <v>707</v>
      </c>
      <c r="JI52" s="11" t="s">
        <v>708</v>
      </c>
      <c r="JK52" s="11" t="s">
        <v>709</v>
      </c>
      <c r="JL52" s="11" t="s">
        <v>710</v>
      </c>
      <c r="JM52" s="11" t="s">
        <v>711</v>
      </c>
      <c r="JO52" s="11" t="s">
        <v>712</v>
      </c>
      <c r="JP52" s="15">
        <f t="shared" si="7"/>
        <v>13718</v>
      </c>
      <c r="JQ52" s="15">
        <f t="shared" si="8"/>
        <v>0</v>
      </c>
      <c r="JR52" s="279">
        <f t="shared" si="9"/>
        <v>0</v>
      </c>
      <c r="JS52" s="17">
        <f t="shared" si="10"/>
        <v>0.50444671234873883</v>
      </c>
      <c r="JT52" s="18" t="str">
        <f t="shared" si="11"/>
        <v/>
      </c>
      <c r="JU52" s="280">
        <f t="shared" si="12"/>
        <v>6920</v>
      </c>
      <c r="JV52" s="280">
        <f t="shared" si="13"/>
        <v>0</v>
      </c>
      <c r="JW52" s="319">
        <f t="shared" si="14"/>
        <v>1</v>
      </c>
      <c r="JX52" s="15">
        <f t="shared" si="15"/>
        <v>13718</v>
      </c>
      <c r="JY52" s="15">
        <f t="shared" si="16"/>
        <v>0</v>
      </c>
      <c r="JZ52" s="19">
        <f t="shared" si="17"/>
        <v>0</v>
      </c>
      <c r="KA52" s="52" t="str">
        <f t="shared" si="18"/>
        <v/>
      </c>
      <c r="KB52" s="15">
        <f t="shared" si="19"/>
        <v>0</v>
      </c>
      <c r="KC52" s="15">
        <f t="shared" si="20"/>
        <v>0</v>
      </c>
      <c r="KD52" s="20" t="str">
        <f t="shared" si="21"/>
        <v/>
      </c>
      <c r="KE52" s="52" t="str">
        <f t="shared" si="22"/>
        <v/>
      </c>
      <c r="KF52" s="15">
        <f t="shared" si="23"/>
        <v>0</v>
      </c>
      <c r="KG52" s="15">
        <f t="shared" si="24"/>
        <v>0</v>
      </c>
      <c r="KH52" s="21" t="str">
        <f t="shared" si="25"/>
        <v/>
      </c>
      <c r="KI52" s="52" t="str">
        <f t="shared" si="26"/>
        <v/>
      </c>
      <c r="KJ52" s="15">
        <f t="shared" si="27"/>
        <v>0</v>
      </c>
      <c r="KK52" s="15">
        <f t="shared" si="28"/>
        <v>0</v>
      </c>
      <c r="KL52" s="19" t="str">
        <f t="shared" si="29"/>
        <v/>
      </c>
      <c r="KM52" s="52" t="str">
        <f t="shared" si="30"/>
        <v/>
      </c>
      <c r="KN52" s="22">
        <f t="shared" si="31"/>
        <v>0</v>
      </c>
      <c r="KO52" s="22">
        <f t="shared" si="32"/>
        <v>0</v>
      </c>
      <c r="KP52" s="19" t="str">
        <f t="shared" si="33"/>
        <v/>
      </c>
      <c r="KQ52" s="11" t="str">
        <f t="shared" si="34"/>
        <v>2. Sensitive</v>
      </c>
      <c r="KR52" s="11" t="str">
        <f t="shared" si="35"/>
        <v>2. Accommodating</v>
      </c>
      <c r="KS52" s="11" t="str">
        <f t="shared" si="36"/>
        <v>1. Neutral</v>
      </c>
      <c r="KT52" s="11" t="str">
        <f t="shared" si="37"/>
        <v>It did not develop any specific innovation</v>
      </c>
      <c r="KU52" s="11" t="str">
        <f t="shared" si="38"/>
        <v>Little or no advocacy</v>
      </c>
      <c r="KV52" s="11" t="str">
        <f t="shared" si="39"/>
        <v>It did not take tested solutions to scale</v>
      </c>
      <c r="KW52" s="11" t="str">
        <f t="shared" si="40"/>
        <v>Bangladesh - Response to Flooding in North-west Bangladesh 2016</v>
      </c>
      <c r="KX52" s="11" t="str">
        <f t="shared" si="41"/>
        <v>Response to Flooding in North-west Bangladesh 2016</v>
      </c>
      <c r="KY52" s="11" t="str">
        <f t="shared" si="42"/>
        <v>Bangladesh</v>
      </c>
      <c r="KZ52" s="12">
        <v>52</v>
      </c>
    </row>
    <row r="53" spans="1:312" x14ac:dyDescent="0.3">
      <c r="A53" s="11" t="s">
        <v>652</v>
      </c>
      <c r="B53" s="11" t="s">
        <v>306</v>
      </c>
      <c r="C53" s="11">
        <v>2787</v>
      </c>
      <c r="D53" s="11" t="s">
        <v>960</v>
      </c>
      <c r="E53" s="24" t="str">
        <f t="shared" si="0"/>
        <v>Bangladesh</v>
      </c>
      <c r="F53" s="11" t="s">
        <v>961</v>
      </c>
      <c r="G53" s="11" t="s">
        <v>488</v>
      </c>
      <c r="H53" s="11" t="s">
        <v>380</v>
      </c>
      <c r="I53" s="11" t="s">
        <v>907</v>
      </c>
      <c r="J53" s="278" t="s">
        <v>5183</v>
      </c>
      <c r="BD53" s="23">
        <v>42461</v>
      </c>
      <c r="BE53" s="23">
        <v>43008</v>
      </c>
      <c r="BG53" s="11" t="s">
        <v>749</v>
      </c>
      <c r="BH53" s="22">
        <v>389841</v>
      </c>
      <c r="BI53" s="11" t="s">
        <v>909</v>
      </c>
      <c r="BJ53" s="11" t="s">
        <v>910</v>
      </c>
      <c r="BK53" s="11" t="s">
        <v>771</v>
      </c>
      <c r="BL53" s="11" t="s">
        <v>962</v>
      </c>
      <c r="BM53" s="11" t="s">
        <v>354</v>
      </c>
      <c r="BN53" s="11" t="s">
        <v>963</v>
      </c>
      <c r="BO53" s="11" t="s">
        <v>319</v>
      </c>
      <c r="BP53" s="11" t="s">
        <v>320</v>
      </c>
      <c r="BQ53" s="11" t="s">
        <v>319</v>
      </c>
      <c r="BR53" s="11" t="s">
        <v>964</v>
      </c>
      <c r="BS53" s="11" t="s">
        <v>357</v>
      </c>
      <c r="BT53" s="11" t="s">
        <v>965</v>
      </c>
      <c r="BU53" s="11" t="s">
        <v>966</v>
      </c>
      <c r="BV53" s="22">
        <v>12272</v>
      </c>
      <c r="BW53" s="22">
        <v>22240</v>
      </c>
      <c r="BX53" s="22">
        <v>34512</v>
      </c>
      <c r="BY53" s="22">
        <v>397493</v>
      </c>
      <c r="BZ53" s="22">
        <v>720281</v>
      </c>
      <c r="CA53" s="22">
        <v>1117774</v>
      </c>
      <c r="CB53" s="15" t="s">
        <v>967</v>
      </c>
      <c r="CL53" s="18"/>
      <c r="CP53" s="18"/>
      <c r="CT53" s="18"/>
      <c r="CX53" s="18"/>
      <c r="DB53" s="18"/>
      <c r="DF53" s="18"/>
      <c r="DJ53" s="18"/>
      <c r="DN53" s="18"/>
      <c r="DR53" s="18"/>
      <c r="DV53" s="18"/>
      <c r="DZ53" s="18"/>
      <c r="ED53" s="18"/>
      <c r="EI53" s="18"/>
      <c r="EK53" s="22">
        <v>2029</v>
      </c>
      <c r="EL53" s="22">
        <v>6386</v>
      </c>
      <c r="EM53" s="22">
        <v>8415</v>
      </c>
      <c r="EN53" s="22">
        <v>73068</v>
      </c>
      <c r="EO53" s="22">
        <v>129899</v>
      </c>
      <c r="EP53" s="22">
        <v>202967</v>
      </c>
      <c r="EQ53" s="12" t="s">
        <v>320</v>
      </c>
      <c r="ER53" s="22">
        <v>150</v>
      </c>
      <c r="ES53" s="18">
        <v>0.85</v>
      </c>
      <c r="ET53" s="22">
        <v>525</v>
      </c>
      <c r="EU53" s="11" t="s">
        <v>320</v>
      </c>
      <c r="EV53" s="22">
        <v>6748</v>
      </c>
      <c r="EW53" s="18">
        <v>0.18</v>
      </c>
      <c r="EX53" s="22">
        <v>202967</v>
      </c>
      <c r="EY53" s="12" t="s">
        <v>319</v>
      </c>
      <c r="FA53" s="18"/>
      <c r="FC53" s="12" t="s">
        <v>320</v>
      </c>
      <c r="FD53" s="22">
        <v>6748</v>
      </c>
      <c r="FE53" s="18">
        <v>0.18</v>
      </c>
      <c r="FF53" s="22">
        <v>202967</v>
      </c>
      <c r="FG53" s="12" t="s">
        <v>320</v>
      </c>
      <c r="FH53" s="22">
        <v>150</v>
      </c>
      <c r="FI53" s="18">
        <v>0.85</v>
      </c>
      <c r="FJ53" s="22">
        <v>525</v>
      </c>
      <c r="FK53" s="11" t="s">
        <v>319</v>
      </c>
      <c r="FM53" s="18"/>
      <c r="FO53" s="11" t="s">
        <v>319</v>
      </c>
      <c r="FQ53" s="18"/>
      <c r="FS53" s="11" t="s">
        <v>319</v>
      </c>
      <c r="FU53" s="18"/>
      <c r="FW53" s="11" t="s">
        <v>320</v>
      </c>
      <c r="FX53" s="22">
        <v>6748</v>
      </c>
      <c r="FY53" s="18">
        <v>0.18</v>
      </c>
      <c r="FZ53" s="22">
        <v>33740</v>
      </c>
      <c r="GA53" s="11" t="s">
        <v>319</v>
      </c>
      <c r="GC53" s="18"/>
      <c r="GE53" s="12" t="s">
        <v>320</v>
      </c>
      <c r="GF53" s="22">
        <v>1167</v>
      </c>
      <c r="GG53" s="18">
        <v>0.49</v>
      </c>
      <c r="GH53" s="22">
        <v>202967</v>
      </c>
      <c r="GI53" s="11" t="s">
        <v>319</v>
      </c>
      <c r="GK53" s="18"/>
      <c r="GM53" s="11" t="s">
        <v>319</v>
      </c>
      <c r="GO53" s="18"/>
      <c r="GQ53" s="11" t="s">
        <v>319</v>
      </c>
      <c r="GS53" s="18"/>
      <c r="GU53" s="12" t="s">
        <v>320</v>
      </c>
      <c r="GV53" s="22">
        <v>6748</v>
      </c>
      <c r="GW53" s="18">
        <v>0.18</v>
      </c>
      <c r="GX53" s="22">
        <v>202967</v>
      </c>
      <c r="GY53" s="11" t="s">
        <v>320</v>
      </c>
      <c r="GZ53" s="22">
        <v>128</v>
      </c>
      <c r="HA53" s="18">
        <v>1</v>
      </c>
      <c r="HB53" s="22">
        <v>422</v>
      </c>
      <c r="HC53" s="11" t="s">
        <v>968</v>
      </c>
      <c r="HD53" s="12" t="s">
        <v>320</v>
      </c>
      <c r="HE53" s="22">
        <v>1732</v>
      </c>
      <c r="HF53" s="18">
        <v>0.49</v>
      </c>
      <c r="HG53" s="22">
        <v>8660</v>
      </c>
      <c r="HH53" s="11" t="s">
        <v>320</v>
      </c>
      <c r="HI53" s="11" t="s">
        <v>328</v>
      </c>
      <c r="HJ53" s="11">
        <v>2016</v>
      </c>
      <c r="HK53" s="11" t="s">
        <v>320</v>
      </c>
      <c r="HL53" s="11" t="s">
        <v>320</v>
      </c>
      <c r="HM53" s="11" t="s">
        <v>522</v>
      </c>
      <c r="HN53" s="11">
        <v>2017</v>
      </c>
      <c r="HO53" s="11" t="s">
        <v>969</v>
      </c>
      <c r="HP53" s="11" t="s">
        <v>453</v>
      </c>
      <c r="HQ53" s="11" t="s">
        <v>320</v>
      </c>
      <c r="HR53" s="11" t="s">
        <v>319</v>
      </c>
      <c r="HS53" s="11" t="s">
        <v>319</v>
      </c>
      <c r="HT53" s="11" t="s">
        <v>319</v>
      </c>
      <c r="HU53" s="11" t="s">
        <v>320</v>
      </c>
      <c r="HV53" s="11" t="s">
        <v>320</v>
      </c>
      <c r="HW53" s="11" t="s">
        <v>320</v>
      </c>
      <c r="HX53" s="11" t="s">
        <v>319</v>
      </c>
      <c r="HZ53" s="11" t="s">
        <v>331</v>
      </c>
      <c r="IA53" s="11" t="s">
        <v>970</v>
      </c>
      <c r="IB53" s="11" t="s">
        <v>396</v>
      </c>
      <c r="IC53" s="11" t="s">
        <v>971</v>
      </c>
      <c r="ID53" s="11" t="s">
        <v>364</v>
      </c>
      <c r="IE53" s="11" t="s">
        <v>335</v>
      </c>
      <c r="IF53" s="11" t="s">
        <v>320</v>
      </c>
      <c r="IG53" s="11" t="s">
        <v>320</v>
      </c>
      <c r="IH53" s="11" t="s">
        <v>320</v>
      </c>
      <c r="II53" s="11" t="s">
        <v>320</v>
      </c>
      <c r="IJ53" s="12" t="str">
        <f t="shared" si="1"/>
        <v>2. Sensitive</v>
      </c>
      <c r="IK53" s="12">
        <f t="shared" si="2"/>
        <v>4</v>
      </c>
      <c r="IL53" s="11" t="s">
        <v>336</v>
      </c>
      <c r="IM53" s="11" t="s">
        <v>320</v>
      </c>
      <c r="IN53" s="11" t="s">
        <v>320</v>
      </c>
      <c r="IO53" s="11" t="s">
        <v>320</v>
      </c>
      <c r="IP53" s="11" t="s">
        <v>320</v>
      </c>
      <c r="IQ53" s="12" t="str">
        <f t="shared" si="3"/>
        <v>2. Accommodating</v>
      </c>
      <c r="IR53" s="12">
        <f t="shared" si="4"/>
        <v>4</v>
      </c>
      <c r="IS53" s="11" t="s">
        <v>622</v>
      </c>
      <c r="IT53" s="11" t="s">
        <v>320</v>
      </c>
      <c r="IU53" s="11" t="s">
        <v>320</v>
      </c>
      <c r="IV53" s="11" t="s">
        <v>320</v>
      </c>
      <c r="IW53" s="11" t="str">
        <f t="shared" si="5"/>
        <v>4. Transformative</v>
      </c>
      <c r="IX53" s="12">
        <f t="shared" si="6"/>
        <v>3</v>
      </c>
      <c r="IY53" s="11" t="s">
        <v>758</v>
      </c>
      <c r="IZ53" s="11" t="s">
        <v>339</v>
      </c>
      <c r="JE53" s="11" t="s">
        <v>340</v>
      </c>
      <c r="JF53" s="11" t="s">
        <v>972</v>
      </c>
      <c r="JG53" s="11" t="s">
        <v>920</v>
      </c>
      <c r="JH53" s="11" t="s">
        <v>921</v>
      </c>
      <c r="JI53" s="11" t="s">
        <v>922</v>
      </c>
      <c r="JJ53" s="11" t="s">
        <v>923</v>
      </c>
      <c r="JK53" s="11" t="s">
        <v>973</v>
      </c>
      <c r="JL53" s="11" t="s">
        <v>974</v>
      </c>
      <c r="JM53" s="11" t="s">
        <v>926</v>
      </c>
      <c r="JN53" s="11" t="s">
        <v>975</v>
      </c>
      <c r="JO53" s="11" t="s">
        <v>976</v>
      </c>
      <c r="JP53" s="15">
        <f t="shared" si="7"/>
        <v>8415</v>
      </c>
      <c r="JQ53" s="15">
        <f t="shared" si="8"/>
        <v>202967</v>
      </c>
      <c r="JR53" s="279">
        <f t="shared" si="9"/>
        <v>24.11966726084373</v>
      </c>
      <c r="JS53" s="17">
        <f t="shared" si="10"/>
        <v>0.24111705288175878</v>
      </c>
      <c r="JT53" s="18">
        <f t="shared" si="11"/>
        <v>0.35999940877088393</v>
      </c>
      <c r="JU53" s="280">
        <f t="shared" si="12"/>
        <v>2029</v>
      </c>
      <c r="JV53" s="280">
        <f t="shared" si="13"/>
        <v>73068</v>
      </c>
      <c r="JW53" s="319" t="str">
        <f t="shared" si="14"/>
        <v/>
      </c>
      <c r="JX53" s="15">
        <f t="shared" si="15"/>
        <v>0</v>
      </c>
      <c r="JY53" s="15">
        <f t="shared" si="16"/>
        <v>0</v>
      </c>
      <c r="JZ53" s="19" t="str">
        <f t="shared" si="17"/>
        <v/>
      </c>
      <c r="KA53" s="52">
        <f t="shared" si="18"/>
        <v>1</v>
      </c>
      <c r="KB53" s="15">
        <f t="shared" si="19"/>
        <v>6748</v>
      </c>
      <c r="KC53" s="15">
        <f t="shared" si="20"/>
        <v>202967</v>
      </c>
      <c r="KD53" s="20">
        <f t="shared" si="21"/>
        <v>30.078097213989331</v>
      </c>
      <c r="KE53" s="52" t="str">
        <f t="shared" si="22"/>
        <v/>
      </c>
      <c r="KF53" s="15">
        <f t="shared" si="23"/>
        <v>0</v>
      </c>
      <c r="KG53" s="15">
        <f t="shared" si="24"/>
        <v>0</v>
      </c>
      <c r="KH53" s="21" t="str">
        <f t="shared" si="25"/>
        <v/>
      </c>
      <c r="KI53" s="52" t="str">
        <f t="shared" si="26"/>
        <v/>
      </c>
      <c r="KJ53" s="15">
        <f t="shared" si="27"/>
        <v>0</v>
      </c>
      <c r="KK53" s="15">
        <f t="shared" si="28"/>
        <v>0</v>
      </c>
      <c r="KL53" s="19" t="str">
        <f t="shared" si="29"/>
        <v/>
      </c>
      <c r="KM53" s="52">
        <f t="shared" si="30"/>
        <v>1</v>
      </c>
      <c r="KN53" s="22">
        <f t="shared" si="31"/>
        <v>128</v>
      </c>
      <c r="KO53" s="22">
        <f t="shared" si="32"/>
        <v>446.25</v>
      </c>
      <c r="KP53" s="19">
        <f t="shared" si="33"/>
        <v>3.486328125</v>
      </c>
      <c r="KQ53" s="11" t="str">
        <f t="shared" si="34"/>
        <v>2. Sensitive</v>
      </c>
      <c r="KR53" s="11" t="str">
        <f t="shared" si="35"/>
        <v>2. Accommodating</v>
      </c>
      <c r="KS53" s="11" t="str">
        <f t="shared" si="36"/>
        <v>4. Transformative</v>
      </c>
      <c r="KT53" s="11" t="str">
        <f t="shared" si="37"/>
        <v>It tested new ways for fighting poverty and measured results of innovation</v>
      </c>
      <c r="KU53" s="11" t="str">
        <f t="shared" si="38"/>
        <v>Intensive advocacy</v>
      </c>
      <c r="KV53" s="11" t="str">
        <f t="shared" si="39"/>
        <v>It linked and worked with strategic alliances and partners to take tested and effective solutions to scale</v>
      </c>
      <c r="KW53" s="11" t="str">
        <f t="shared" si="40"/>
        <v>Bangladesh - Scaling up Inclusive Resilience Amongst Water Logged Communities in South Western Bangladesh</v>
      </c>
      <c r="KX53" s="11" t="str">
        <f t="shared" si="41"/>
        <v>Scaling up Inclusive Resilience Amongst Water Logged Communities in South Western Bangladesh</v>
      </c>
      <c r="KY53" s="11" t="str">
        <f t="shared" si="42"/>
        <v>Bangladesh</v>
      </c>
      <c r="KZ53" s="12">
        <v>53</v>
      </c>
    </row>
    <row r="54" spans="1:312" x14ac:dyDescent="0.3">
      <c r="A54" s="11" t="s">
        <v>652</v>
      </c>
      <c r="B54" s="11" t="s">
        <v>306</v>
      </c>
      <c r="C54" s="11">
        <v>2781</v>
      </c>
      <c r="D54" s="11" t="s">
        <v>1283</v>
      </c>
      <c r="E54" s="24" t="str">
        <f t="shared" si="0"/>
        <v>Bangladesh</v>
      </c>
      <c r="F54" s="11" t="s">
        <v>1284</v>
      </c>
      <c r="G54" s="11" t="s">
        <v>379</v>
      </c>
      <c r="H54" s="11" t="s">
        <v>489</v>
      </c>
      <c r="I54" s="11" t="s">
        <v>1285</v>
      </c>
      <c r="J54" s="281" t="s">
        <v>1334</v>
      </c>
      <c r="BD54" s="23">
        <v>42444</v>
      </c>
      <c r="BE54" s="23">
        <v>42825</v>
      </c>
      <c r="BG54" s="11" t="s">
        <v>350</v>
      </c>
      <c r="BH54" s="22">
        <v>1152709</v>
      </c>
      <c r="BI54" s="11" t="s">
        <v>1286</v>
      </c>
      <c r="BJ54" s="11" t="s">
        <v>1287</v>
      </c>
      <c r="BK54" s="11" t="s">
        <v>1288</v>
      </c>
      <c r="BL54" s="11" t="s">
        <v>1289</v>
      </c>
      <c r="BM54" s="11" t="s">
        <v>1290</v>
      </c>
      <c r="BN54" s="11" t="s">
        <v>1291</v>
      </c>
      <c r="BO54" s="11" t="s">
        <v>319</v>
      </c>
      <c r="BP54" s="11" t="s">
        <v>320</v>
      </c>
      <c r="BQ54" s="11" t="s">
        <v>319</v>
      </c>
      <c r="BR54" s="11" t="s">
        <v>1292</v>
      </c>
      <c r="BS54" s="11" t="s">
        <v>357</v>
      </c>
      <c r="BT54" s="11" t="s">
        <v>1293</v>
      </c>
      <c r="BU54" s="11" t="s">
        <v>1294</v>
      </c>
      <c r="BV54" s="22">
        <v>5400</v>
      </c>
      <c r="BW54" s="22">
        <v>12600</v>
      </c>
      <c r="BX54" s="22">
        <v>18000</v>
      </c>
      <c r="BY54" s="22">
        <v>34141</v>
      </c>
      <c r="BZ54" s="22">
        <v>27059</v>
      </c>
      <c r="CA54" s="22">
        <v>61200</v>
      </c>
      <c r="CB54" s="15" t="s">
        <v>1295</v>
      </c>
      <c r="CL54" s="18"/>
      <c r="CP54" s="18"/>
      <c r="CT54" s="18"/>
      <c r="CX54" s="18"/>
      <c r="DB54" s="18"/>
      <c r="DF54" s="18"/>
      <c r="DJ54" s="18"/>
      <c r="DN54" s="18"/>
      <c r="DR54" s="18"/>
      <c r="DV54" s="18"/>
      <c r="DZ54" s="18"/>
      <c r="ED54" s="18"/>
      <c r="EI54" s="18"/>
      <c r="EK54" s="22">
        <v>14430</v>
      </c>
      <c r="EL54" s="22">
        <v>8066</v>
      </c>
      <c r="EM54" s="22">
        <v>22496</v>
      </c>
      <c r="EN54" s="22">
        <v>34987</v>
      </c>
      <c r="EO54" s="22">
        <v>41499</v>
      </c>
      <c r="EP54" s="22">
        <v>76486</v>
      </c>
      <c r="EQ54" s="12" t="s">
        <v>320</v>
      </c>
      <c r="ER54" s="22">
        <v>22496</v>
      </c>
      <c r="ES54" s="18">
        <v>0.64</v>
      </c>
      <c r="ET54" s="22">
        <v>76486</v>
      </c>
      <c r="EU54" s="11" t="s">
        <v>319</v>
      </c>
      <c r="EW54" s="18"/>
      <c r="EY54" s="12" t="s">
        <v>319</v>
      </c>
      <c r="FA54" s="18"/>
      <c r="FC54" s="12" t="s">
        <v>320</v>
      </c>
      <c r="FD54" s="22">
        <v>22496</v>
      </c>
      <c r="FE54" s="18">
        <v>0.64</v>
      </c>
      <c r="FF54" s="22">
        <v>76486</v>
      </c>
      <c r="FG54" s="12" t="s">
        <v>320</v>
      </c>
      <c r="FH54" s="22">
        <v>22496</v>
      </c>
      <c r="FI54" s="18">
        <v>0.64</v>
      </c>
      <c r="FJ54" s="22">
        <v>76486</v>
      </c>
      <c r="FK54" s="11" t="s">
        <v>319</v>
      </c>
      <c r="FM54" s="18"/>
      <c r="FO54" s="11" t="s">
        <v>319</v>
      </c>
      <c r="FQ54" s="18"/>
      <c r="FS54" s="11" t="s">
        <v>319</v>
      </c>
      <c r="FU54" s="18"/>
      <c r="FW54" s="11" t="s">
        <v>319</v>
      </c>
      <c r="FY54" s="18"/>
      <c r="GA54" s="11" t="s">
        <v>319</v>
      </c>
      <c r="GC54" s="18"/>
      <c r="GE54" s="11" t="s">
        <v>319</v>
      </c>
      <c r="GG54" s="18"/>
      <c r="GI54" s="11" t="s">
        <v>319</v>
      </c>
      <c r="GK54" s="18"/>
      <c r="GM54" s="11" t="s">
        <v>320</v>
      </c>
      <c r="GN54" s="22">
        <v>22496</v>
      </c>
      <c r="GO54" s="18">
        <v>0.64</v>
      </c>
      <c r="GP54" s="22">
        <v>76486</v>
      </c>
      <c r="GQ54" s="11" t="s">
        <v>319</v>
      </c>
      <c r="GS54" s="18"/>
      <c r="GU54" s="12" t="s">
        <v>320</v>
      </c>
      <c r="GV54" s="22">
        <v>22496</v>
      </c>
      <c r="GW54" s="18">
        <v>0.64</v>
      </c>
      <c r="GX54" s="22">
        <v>76486</v>
      </c>
      <c r="GY54" s="11" t="s">
        <v>320</v>
      </c>
      <c r="GZ54" s="22">
        <v>22496</v>
      </c>
      <c r="HA54" s="18">
        <v>0.64</v>
      </c>
      <c r="HB54" s="22">
        <v>76486</v>
      </c>
      <c r="HF54" s="18"/>
      <c r="HH54" s="11" t="s">
        <v>320</v>
      </c>
      <c r="HI54" s="11" t="s">
        <v>560</v>
      </c>
      <c r="HJ54" s="11">
        <v>2017</v>
      </c>
      <c r="HK54" s="11" t="s">
        <v>320</v>
      </c>
      <c r="HL54" s="11" t="s">
        <v>320</v>
      </c>
      <c r="HM54" s="11" t="s">
        <v>415</v>
      </c>
      <c r="HN54" s="11">
        <v>2018</v>
      </c>
      <c r="HO54" s="11" t="s">
        <v>1296</v>
      </c>
      <c r="HP54" s="11" t="s">
        <v>418</v>
      </c>
      <c r="HQ54" s="11" t="s">
        <v>319</v>
      </c>
      <c r="HR54" s="11" t="s">
        <v>319</v>
      </c>
      <c r="HS54" s="11" t="s">
        <v>320</v>
      </c>
      <c r="HT54" s="11" t="s">
        <v>320</v>
      </c>
      <c r="HU54" s="11" t="s">
        <v>319</v>
      </c>
      <c r="HV54" s="11" t="s">
        <v>319</v>
      </c>
      <c r="HW54" s="11" t="s">
        <v>319</v>
      </c>
      <c r="HX54" s="11" t="s">
        <v>319</v>
      </c>
      <c r="HZ54" s="11" t="s">
        <v>394</v>
      </c>
      <c r="IB54" s="11" t="s">
        <v>396</v>
      </c>
      <c r="ID54" s="11" t="s">
        <v>364</v>
      </c>
      <c r="IE54" s="11" t="s">
        <v>335</v>
      </c>
      <c r="IF54" s="11" t="s">
        <v>320</v>
      </c>
      <c r="IG54" s="11" t="s">
        <v>320</v>
      </c>
      <c r="IH54" s="11" t="s">
        <v>320</v>
      </c>
      <c r="II54" s="11" t="s">
        <v>320</v>
      </c>
      <c r="IJ54" s="12" t="str">
        <f t="shared" si="1"/>
        <v>2. Sensitive</v>
      </c>
      <c r="IK54" s="12">
        <f t="shared" si="2"/>
        <v>4</v>
      </c>
      <c r="IL54" s="11" t="s">
        <v>336</v>
      </c>
      <c r="IM54" s="11" t="s">
        <v>320</v>
      </c>
      <c r="IN54" s="11" t="s">
        <v>320</v>
      </c>
      <c r="IO54" s="11" t="s">
        <v>320</v>
      </c>
      <c r="IP54" s="11" t="s">
        <v>320</v>
      </c>
      <c r="IQ54" s="12" t="str">
        <f t="shared" si="3"/>
        <v>2. Accommodating</v>
      </c>
      <c r="IR54" s="12">
        <f t="shared" si="4"/>
        <v>4</v>
      </c>
      <c r="IS54" s="11" t="s">
        <v>337</v>
      </c>
      <c r="IT54" s="11" t="s">
        <v>320</v>
      </c>
      <c r="IU54" s="11" t="s">
        <v>320</v>
      </c>
      <c r="IV54" s="11" t="s">
        <v>320</v>
      </c>
      <c r="IW54" s="11" t="str">
        <f t="shared" si="5"/>
        <v>2. Sensitive</v>
      </c>
      <c r="IX54" s="12">
        <f t="shared" si="6"/>
        <v>3</v>
      </c>
      <c r="IY54" s="11" t="s">
        <v>419</v>
      </c>
      <c r="IZ54" s="11" t="s">
        <v>457</v>
      </c>
      <c r="JA54" s="11">
        <v>5</v>
      </c>
      <c r="JB54" s="11" t="s">
        <v>433</v>
      </c>
      <c r="JE54" s="11" t="s">
        <v>420</v>
      </c>
      <c r="JG54" s="11" t="s">
        <v>1297</v>
      </c>
      <c r="JH54" s="11" t="s">
        <v>1298</v>
      </c>
      <c r="JI54" s="11" t="s">
        <v>1299</v>
      </c>
      <c r="JJ54" s="11" t="s">
        <v>1300</v>
      </c>
      <c r="JK54" s="11" t="s">
        <v>1301</v>
      </c>
      <c r="JL54" s="11" t="s">
        <v>1302</v>
      </c>
      <c r="JM54" s="11" t="s">
        <v>1303</v>
      </c>
      <c r="JO54" s="11" t="s">
        <v>1304</v>
      </c>
      <c r="JP54" s="15">
        <f t="shared" si="7"/>
        <v>22496</v>
      </c>
      <c r="JQ54" s="15">
        <f t="shared" si="8"/>
        <v>76486</v>
      </c>
      <c r="JR54" s="279">
        <f t="shared" si="9"/>
        <v>3.3999822190611666</v>
      </c>
      <c r="JS54" s="17">
        <f t="shared" si="10"/>
        <v>0.64144736842105265</v>
      </c>
      <c r="JT54" s="18">
        <f t="shared" si="11"/>
        <v>0.45743011793007871</v>
      </c>
      <c r="JU54" s="280">
        <f t="shared" si="12"/>
        <v>14430</v>
      </c>
      <c r="JV54" s="280">
        <f t="shared" si="13"/>
        <v>34987</v>
      </c>
      <c r="JW54" s="319" t="str">
        <f t="shared" si="14"/>
        <v/>
      </c>
      <c r="JX54" s="15">
        <f t="shared" si="15"/>
        <v>0</v>
      </c>
      <c r="JY54" s="15">
        <f t="shared" si="16"/>
        <v>0</v>
      </c>
      <c r="JZ54" s="19" t="str">
        <f t="shared" si="17"/>
        <v/>
      </c>
      <c r="KA54" s="52">
        <f t="shared" si="18"/>
        <v>1</v>
      </c>
      <c r="KB54" s="15">
        <f t="shared" si="19"/>
        <v>22496</v>
      </c>
      <c r="KC54" s="15">
        <f t="shared" si="20"/>
        <v>76486</v>
      </c>
      <c r="KD54" s="20">
        <f t="shared" si="21"/>
        <v>3.3999822190611666</v>
      </c>
      <c r="KE54" s="52" t="str">
        <f t="shared" si="22"/>
        <v/>
      </c>
      <c r="KF54" s="15">
        <f t="shared" si="23"/>
        <v>0</v>
      </c>
      <c r="KG54" s="15">
        <f t="shared" si="24"/>
        <v>0</v>
      </c>
      <c r="KH54" s="21" t="str">
        <f t="shared" si="25"/>
        <v/>
      </c>
      <c r="KI54" s="52" t="str">
        <f t="shared" si="26"/>
        <v/>
      </c>
      <c r="KJ54" s="15">
        <f t="shared" si="27"/>
        <v>0</v>
      </c>
      <c r="KK54" s="15">
        <f t="shared" si="28"/>
        <v>0</v>
      </c>
      <c r="KL54" s="19" t="str">
        <f t="shared" si="29"/>
        <v/>
      </c>
      <c r="KM54" s="52">
        <f t="shared" si="30"/>
        <v>1</v>
      </c>
      <c r="KN54" s="22">
        <f t="shared" si="31"/>
        <v>22496</v>
      </c>
      <c r="KO54" s="22">
        <f t="shared" si="32"/>
        <v>76486</v>
      </c>
      <c r="KP54" s="19">
        <f t="shared" si="33"/>
        <v>3.3999822190611666</v>
      </c>
      <c r="KQ54" s="11" t="str">
        <f t="shared" si="34"/>
        <v>2. Sensitive</v>
      </c>
      <c r="KR54" s="11" t="str">
        <f t="shared" si="35"/>
        <v>2. Accommodating</v>
      </c>
      <c r="KS54" s="11" t="str">
        <f t="shared" si="36"/>
        <v>2. Sensitive</v>
      </c>
      <c r="KT54" s="11" t="str">
        <f t="shared" si="37"/>
        <v>It tested new ways for fighting poverty, but did not measure results of innovation</v>
      </c>
      <c r="KU54" s="11" t="str">
        <f t="shared" si="38"/>
        <v>Little or no advocacy</v>
      </c>
      <c r="KV54" s="11" t="str">
        <f t="shared" si="39"/>
        <v>It linked and worked with strategic alliances and partners to take tested and effective solutions to scale</v>
      </c>
      <c r="KW54" s="11" t="str">
        <f t="shared" si="40"/>
        <v>Bangladesh - SDC – Shomoshti -Prosperity for the poor and disadvantaged</v>
      </c>
      <c r="KX54" s="11" t="str">
        <f t="shared" si="41"/>
        <v>SDC – Shomoshti -Prosperity for the poor and disadvantaged</v>
      </c>
      <c r="KY54" s="11" t="str">
        <f t="shared" si="42"/>
        <v>Bangladesh</v>
      </c>
      <c r="KZ54" s="12">
        <v>54</v>
      </c>
    </row>
    <row r="55" spans="1:312" x14ac:dyDescent="0.3">
      <c r="A55" s="282" t="s">
        <v>652</v>
      </c>
      <c r="B55" s="282" t="s">
        <v>306</v>
      </c>
      <c r="C55" s="282"/>
      <c r="D55" s="282" t="s">
        <v>1520</v>
      </c>
      <c r="E55" s="24" t="str">
        <f t="shared" si="0"/>
        <v>Bangladesh</v>
      </c>
      <c r="F55" s="282" t="s">
        <v>1521</v>
      </c>
      <c r="G55" s="282" t="s">
        <v>379</v>
      </c>
      <c r="H55" s="282" t="s">
        <v>489</v>
      </c>
      <c r="I55" s="282" t="s">
        <v>1285</v>
      </c>
      <c r="J55" s="281" t="s">
        <v>1334</v>
      </c>
      <c r="K55" s="282"/>
      <c r="L55" s="282"/>
      <c r="M55" s="282"/>
      <c r="N55" s="282"/>
      <c r="O55" s="282"/>
      <c r="P55" s="282"/>
      <c r="Q55" s="282"/>
      <c r="R55" s="282"/>
      <c r="S55" s="282"/>
      <c r="T55" s="282"/>
      <c r="U55" s="282"/>
      <c r="V55" s="282"/>
      <c r="W55" s="282"/>
      <c r="X55" s="282"/>
      <c r="Y55" s="282"/>
      <c r="Z55" s="282"/>
      <c r="AA55" s="282"/>
      <c r="AB55" s="282"/>
      <c r="AC55" s="282"/>
      <c r="AD55" s="282"/>
      <c r="AE55" s="282"/>
      <c r="AF55" s="282"/>
      <c r="AG55" s="282"/>
      <c r="AH55" s="282"/>
      <c r="AI55" s="282"/>
      <c r="AJ55" s="282"/>
      <c r="AK55" s="282"/>
      <c r="AL55" s="282"/>
      <c r="AM55" s="282"/>
      <c r="AN55" s="282"/>
      <c r="AO55" s="282"/>
      <c r="AP55" s="282"/>
      <c r="AQ55" s="282"/>
      <c r="AR55" s="282"/>
      <c r="AS55" s="282"/>
      <c r="AT55" s="282"/>
      <c r="AU55" s="282"/>
      <c r="AV55" s="282"/>
      <c r="AW55" s="282"/>
      <c r="AX55" s="282"/>
      <c r="AY55" s="282"/>
      <c r="AZ55" s="282"/>
      <c r="BA55" s="282"/>
      <c r="BB55" s="282"/>
      <c r="BC55" s="282"/>
      <c r="BD55" s="283">
        <v>42826</v>
      </c>
      <c r="BE55" s="283">
        <v>43921</v>
      </c>
      <c r="BF55" s="283"/>
      <c r="BG55" s="283" t="s">
        <v>350</v>
      </c>
      <c r="BH55" s="284">
        <v>6240000</v>
      </c>
      <c r="BI55" s="282" t="s">
        <v>1286</v>
      </c>
      <c r="BJ55" s="282" t="s">
        <v>1287</v>
      </c>
      <c r="BK55" s="282" t="s">
        <v>1288</v>
      </c>
      <c r="BL55" s="282" t="s">
        <v>1289</v>
      </c>
      <c r="BM55" s="282" t="s">
        <v>1290</v>
      </c>
      <c r="BN55" s="282" t="s">
        <v>1291</v>
      </c>
      <c r="BO55" s="282" t="s">
        <v>319</v>
      </c>
      <c r="BP55" s="282" t="s">
        <v>320</v>
      </c>
      <c r="BQ55" s="282" t="s">
        <v>319</v>
      </c>
      <c r="BR55" s="282" t="s">
        <v>1522</v>
      </c>
      <c r="BS55" s="282" t="s">
        <v>357</v>
      </c>
      <c r="BT55" s="282" t="s">
        <v>1293</v>
      </c>
      <c r="BU55" s="282" t="s">
        <v>1294</v>
      </c>
      <c r="BV55" s="284">
        <v>54000</v>
      </c>
      <c r="BW55" s="284">
        <v>146000</v>
      </c>
      <c r="BX55" s="284">
        <v>180000</v>
      </c>
      <c r="BY55" s="284">
        <v>341407</v>
      </c>
      <c r="BZ55" s="284">
        <v>270593</v>
      </c>
      <c r="CA55" s="284">
        <v>612000</v>
      </c>
      <c r="CB55" s="285" t="s">
        <v>1523</v>
      </c>
      <c r="CC55" s="285"/>
      <c r="CD55" s="284"/>
      <c r="CE55" s="284"/>
      <c r="CF55" s="284"/>
      <c r="CG55" s="284"/>
      <c r="CH55" s="284"/>
      <c r="CI55" s="284"/>
      <c r="CJ55" s="282"/>
      <c r="CK55" s="284"/>
      <c r="CL55" s="286"/>
      <c r="CM55" s="284"/>
      <c r="CN55" s="287"/>
      <c r="CO55" s="284"/>
      <c r="CP55" s="286"/>
      <c r="CQ55" s="284"/>
      <c r="CR55" s="282"/>
      <c r="CS55" s="284"/>
      <c r="CT55" s="286"/>
      <c r="CU55" s="284"/>
      <c r="CV55" s="282"/>
      <c r="CW55" s="284"/>
      <c r="CX55" s="286"/>
      <c r="CY55" s="284"/>
      <c r="CZ55" s="282"/>
      <c r="DA55" s="284"/>
      <c r="DB55" s="286"/>
      <c r="DC55" s="284"/>
      <c r="DD55" s="287"/>
      <c r="DE55" s="284"/>
      <c r="DF55" s="286"/>
      <c r="DG55" s="284"/>
      <c r="DH55" s="282"/>
      <c r="DI55" s="284"/>
      <c r="DJ55" s="286"/>
      <c r="DK55" s="284"/>
      <c r="DL55" s="282"/>
      <c r="DM55" s="284"/>
      <c r="DN55" s="286"/>
      <c r="DO55" s="284"/>
      <c r="DP55" s="282"/>
      <c r="DQ55" s="284"/>
      <c r="DR55" s="286"/>
      <c r="DS55" s="284"/>
      <c r="DT55" s="282"/>
      <c r="DU55" s="284"/>
      <c r="DV55" s="286"/>
      <c r="DW55" s="284"/>
      <c r="DX55" s="282"/>
      <c r="DY55" s="284"/>
      <c r="DZ55" s="286"/>
      <c r="EA55" s="284"/>
      <c r="EB55" s="282"/>
      <c r="EC55" s="284"/>
      <c r="ED55" s="286"/>
      <c r="EE55" s="284"/>
      <c r="EF55" s="285"/>
      <c r="EG55" s="287"/>
      <c r="EH55" s="284"/>
      <c r="EI55" s="286"/>
      <c r="EJ55" s="284"/>
      <c r="EK55" s="284">
        <v>0</v>
      </c>
      <c r="EL55" s="284">
        <v>0</v>
      </c>
      <c r="EM55" s="284">
        <v>0</v>
      </c>
      <c r="EN55" s="284">
        <v>0</v>
      </c>
      <c r="EO55" s="284">
        <v>0</v>
      </c>
      <c r="EP55" s="284">
        <v>0</v>
      </c>
      <c r="EQ55" s="282" t="s">
        <v>319</v>
      </c>
      <c r="ER55" s="284"/>
      <c r="ES55" s="286"/>
      <c r="ET55" s="284"/>
      <c r="EU55" s="282" t="s">
        <v>319</v>
      </c>
      <c r="EV55" s="284"/>
      <c r="EW55" s="286"/>
      <c r="EX55" s="284"/>
      <c r="EY55" s="282" t="s">
        <v>319</v>
      </c>
      <c r="EZ55" s="284"/>
      <c r="FA55" s="286"/>
      <c r="FB55" s="284"/>
      <c r="FC55" s="282" t="s">
        <v>319</v>
      </c>
      <c r="FD55" s="284"/>
      <c r="FE55" s="286"/>
      <c r="FF55" s="284"/>
      <c r="FG55" s="282" t="s">
        <v>319</v>
      </c>
      <c r="FH55" s="284"/>
      <c r="FI55" s="286"/>
      <c r="FJ55" s="284"/>
      <c r="FK55" s="282" t="s">
        <v>319</v>
      </c>
      <c r="FL55" s="284"/>
      <c r="FM55" s="286"/>
      <c r="FN55" s="284"/>
      <c r="FO55" s="282" t="s">
        <v>319</v>
      </c>
      <c r="FP55" s="284"/>
      <c r="FQ55" s="286"/>
      <c r="FR55" s="284"/>
      <c r="FS55" s="282" t="s">
        <v>319</v>
      </c>
      <c r="FT55" s="284"/>
      <c r="FU55" s="286"/>
      <c r="FV55" s="284"/>
      <c r="FW55" s="282" t="s">
        <v>319</v>
      </c>
      <c r="FX55" s="284"/>
      <c r="FY55" s="286"/>
      <c r="FZ55" s="284"/>
      <c r="GA55" s="282" t="s">
        <v>319</v>
      </c>
      <c r="GB55" s="284"/>
      <c r="GC55" s="286"/>
      <c r="GD55" s="284"/>
      <c r="GE55" s="282" t="s">
        <v>319</v>
      </c>
      <c r="GF55" s="284"/>
      <c r="GG55" s="286"/>
      <c r="GH55" s="284"/>
      <c r="GI55" s="282" t="s">
        <v>319</v>
      </c>
      <c r="GJ55" s="284"/>
      <c r="GK55" s="286"/>
      <c r="GL55" s="284"/>
      <c r="GM55" s="282" t="s">
        <v>319</v>
      </c>
      <c r="GN55" s="284"/>
      <c r="GO55" s="286"/>
      <c r="GP55" s="284"/>
      <c r="GQ55" s="282" t="s">
        <v>319</v>
      </c>
      <c r="GR55" s="284"/>
      <c r="GS55" s="286"/>
      <c r="GT55" s="284"/>
      <c r="GU55" s="282" t="s">
        <v>319</v>
      </c>
      <c r="GV55" s="284"/>
      <c r="GW55" s="286"/>
      <c r="GX55" s="284"/>
      <c r="GY55" s="282" t="s">
        <v>319</v>
      </c>
      <c r="GZ55" s="284"/>
      <c r="HA55" s="286"/>
      <c r="HB55" s="284"/>
      <c r="HC55" s="282"/>
      <c r="HD55" s="282"/>
      <c r="HE55" s="284"/>
      <c r="HF55" s="286"/>
      <c r="HG55" s="284"/>
      <c r="HH55" s="282" t="s">
        <v>320</v>
      </c>
      <c r="HI55" s="282" t="s">
        <v>560</v>
      </c>
      <c r="HJ55" s="282">
        <v>2017</v>
      </c>
      <c r="HK55" s="282" t="s">
        <v>319</v>
      </c>
      <c r="HL55" s="282" t="s">
        <v>320</v>
      </c>
      <c r="HM55" s="282" t="s">
        <v>415</v>
      </c>
      <c r="HN55" s="282">
        <v>2018</v>
      </c>
      <c r="HO55" s="282" t="s">
        <v>1524</v>
      </c>
      <c r="HP55" s="282" t="s">
        <v>418</v>
      </c>
      <c r="HQ55" s="282" t="s">
        <v>319</v>
      </c>
      <c r="HR55" s="282" t="s">
        <v>319</v>
      </c>
      <c r="HS55" s="282" t="s">
        <v>320</v>
      </c>
      <c r="HT55" s="282" t="s">
        <v>320</v>
      </c>
      <c r="HU55" s="282" t="s">
        <v>319</v>
      </c>
      <c r="HV55" s="282" t="s">
        <v>319</v>
      </c>
      <c r="HW55" s="282" t="s">
        <v>319</v>
      </c>
      <c r="HX55" s="282" t="s">
        <v>319</v>
      </c>
      <c r="HY55" s="282"/>
      <c r="HZ55" s="282" t="s">
        <v>363</v>
      </c>
      <c r="IA55" s="282"/>
      <c r="IB55" s="282" t="s">
        <v>396</v>
      </c>
      <c r="IC55" s="282"/>
      <c r="ID55" s="282" t="s">
        <v>364</v>
      </c>
      <c r="IE55" s="282" t="s">
        <v>335</v>
      </c>
      <c r="IF55" s="282" t="s">
        <v>320</v>
      </c>
      <c r="IG55" s="282" t="s">
        <v>320</v>
      </c>
      <c r="IH55" s="282" t="s">
        <v>320</v>
      </c>
      <c r="II55" s="282" t="s">
        <v>320</v>
      </c>
      <c r="IJ55" s="12" t="str">
        <f t="shared" si="1"/>
        <v>2. Sensitive</v>
      </c>
      <c r="IK55" s="287">
        <f t="shared" si="2"/>
        <v>4</v>
      </c>
      <c r="IL55" s="282" t="s">
        <v>336</v>
      </c>
      <c r="IM55" s="282" t="s">
        <v>320</v>
      </c>
      <c r="IN55" s="282" t="s">
        <v>320</v>
      </c>
      <c r="IO55" s="282" t="s">
        <v>320</v>
      </c>
      <c r="IP55" s="282" t="s">
        <v>320</v>
      </c>
      <c r="IQ55" s="287" t="str">
        <f t="shared" si="3"/>
        <v>2. Accommodating</v>
      </c>
      <c r="IR55" s="287">
        <f t="shared" si="4"/>
        <v>4</v>
      </c>
      <c r="IS55" s="282" t="s">
        <v>337</v>
      </c>
      <c r="IT55" s="282" t="s">
        <v>320</v>
      </c>
      <c r="IU55" s="282" t="s">
        <v>320</v>
      </c>
      <c r="IV55" s="282" t="s">
        <v>320</v>
      </c>
      <c r="IW55" s="11" t="str">
        <f t="shared" si="5"/>
        <v>2. Sensitive</v>
      </c>
      <c r="IX55" s="287">
        <f t="shared" si="6"/>
        <v>3</v>
      </c>
      <c r="IY55" s="282" t="s">
        <v>419</v>
      </c>
      <c r="IZ55" s="282" t="s">
        <v>457</v>
      </c>
      <c r="JA55" s="282">
        <v>5</v>
      </c>
      <c r="JB55" s="282" t="s">
        <v>433</v>
      </c>
      <c r="JC55" s="282"/>
      <c r="JD55" s="282"/>
      <c r="JE55" s="282" t="s">
        <v>420</v>
      </c>
      <c r="JF55" s="282"/>
      <c r="JG55" s="282"/>
      <c r="JH55" s="282" t="s">
        <v>1298</v>
      </c>
      <c r="JI55" s="282" t="s">
        <v>1299</v>
      </c>
      <c r="JJ55" s="282" t="s">
        <v>1300</v>
      </c>
      <c r="JK55" s="282" t="s">
        <v>1525</v>
      </c>
      <c r="JL55" s="282"/>
      <c r="JM55" s="282"/>
      <c r="JN55" s="282"/>
      <c r="JO55" s="282" t="s">
        <v>1526</v>
      </c>
      <c r="JP55" s="15">
        <f t="shared" si="7"/>
        <v>0</v>
      </c>
      <c r="JQ55" s="15">
        <f t="shared" si="8"/>
        <v>0</v>
      </c>
      <c r="JR55" s="279" t="str">
        <f t="shared" si="9"/>
        <v/>
      </c>
      <c r="JS55" s="17" t="str">
        <f t="shared" si="10"/>
        <v/>
      </c>
      <c r="JT55" s="18" t="str">
        <f t="shared" si="11"/>
        <v/>
      </c>
      <c r="JU55" s="280">
        <f t="shared" si="12"/>
        <v>0</v>
      </c>
      <c r="JV55" s="280">
        <f t="shared" si="13"/>
        <v>0</v>
      </c>
      <c r="JW55" s="319" t="str">
        <f t="shared" si="14"/>
        <v/>
      </c>
      <c r="JX55" s="15">
        <f t="shared" si="15"/>
        <v>0</v>
      </c>
      <c r="JY55" s="15">
        <f t="shared" si="16"/>
        <v>0</v>
      </c>
      <c r="JZ55" s="19" t="str">
        <f t="shared" si="17"/>
        <v/>
      </c>
      <c r="KA55" s="52" t="str">
        <f t="shared" si="18"/>
        <v/>
      </c>
      <c r="KB55" s="15">
        <f t="shared" si="19"/>
        <v>0</v>
      </c>
      <c r="KC55" s="15">
        <f t="shared" si="20"/>
        <v>0</v>
      </c>
      <c r="KD55" s="20" t="str">
        <f t="shared" si="21"/>
        <v/>
      </c>
      <c r="KE55" s="52" t="str">
        <f t="shared" si="22"/>
        <v/>
      </c>
      <c r="KF55" s="15">
        <f t="shared" si="23"/>
        <v>0</v>
      </c>
      <c r="KG55" s="15">
        <f t="shared" si="24"/>
        <v>0</v>
      </c>
      <c r="KH55" s="21" t="str">
        <f t="shared" si="25"/>
        <v/>
      </c>
      <c r="KI55" s="52" t="str">
        <f t="shared" si="26"/>
        <v/>
      </c>
      <c r="KJ55" s="15">
        <f t="shared" si="27"/>
        <v>0</v>
      </c>
      <c r="KK55" s="15">
        <f t="shared" si="28"/>
        <v>0</v>
      </c>
      <c r="KL55" s="19" t="str">
        <f t="shared" si="29"/>
        <v/>
      </c>
      <c r="KM55" s="52" t="str">
        <f t="shared" si="30"/>
        <v/>
      </c>
      <c r="KN55" s="22">
        <f t="shared" si="31"/>
        <v>0</v>
      </c>
      <c r="KO55" s="22">
        <f t="shared" si="32"/>
        <v>0</v>
      </c>
      <c r="KP55" s="19" t="str">
        <f t="shared" si="33"/>
        <v/>
      </c>
      <c r="KQ55" s="11" t="str">
        <f t="shared" si="34"/>
        <v>2. Sensitive</v>
      </c>
      <c r="KR55" s="11" t="str">
        <f t="shared" si="35"/>
        <v>2. Accommodating</v>
      </c>
      <c r="KS55" s="11" t="str">
        <f t="shared" si="36"/>
        <v>2. Sensitive</v>
      </c>
      <c r="KT55" s="11" t="str">
        <f t="shared" si="37"/>
        <v>It did not develop any specific innovation</v>
      </c>
      <c r="KU55" s="11" t="str">
        <f t="shared" si="38"/>
        <v>Little or no advocacy</v>
      </c>
      <c r="KV55" s="11" t="str">
        <f t="shared" si="39"/>
        <v>It linked and worked with strategic alliances and partners to take tested and effective solutions to scale</v>
      </c>
      <c r="KW55" s="11" t="str">
        <f t="shared" si="40"/>
        <v>Bangladesh - SDC – Shomoshti, Prosperity for the poor and disadvantaged</v>
      </c>
      <c r="KX55" s="11" t="str">
        <f t="shared" si="41"/>
        <v>SDC – Shomoshti, Prosperity for the poor and disadvantaged</v>
      </c>
      <c r="KY55" s="11" t="str">
        <f t="shared" si="42"/>
        <v>Bangladesh</v>
      </c>
      <c r="KZ55" s="12">
        <v>55</v>
      </c>
    </row>
    <row r="56" spans="1:312" x14ac:dyDescent="0.3">
      <c r="A56" s="11" t="s">
        <v>652</v>
      </c>
      <c r="B56" s="11" t="s">
        <v>306</v>
      </c>
      <c r="C56" s="11">
        <v>2775</v>
      </c>
      <c r="D56" s="11" t="s">
        <v>1305</v>
      </c>
      <c r="E56" s="24" t="str">
        <f t="shared" si="0"/>
        <v>Bangladesh</v>
      </c>
      <c r="F56" s="11" t="s">
        <v>1306</v>
      </c>
      <c r="G56" s="11" t="s">
        <v>379</v>
      </c>
      <c r="H56" s="11" t="s">
        <v>310</v>
      </c>
      <c r="I56" s="11" t="s">
        <v>655</v>
      </c>
      <c r="J56" s="278" t="s">
        <v>379</v>
      </c>
      <c r="K56" s="11" t="s">
        <v>379</v>
      </c>
      <c r="L56" s="11" t="s">
        <v>310</v>
      </c>
      <c r="M56" s="11" t="s">
        <v>384</v>
      </c>
      <c r="N56" s="11" t="s">
        <v>384</v>
      </c>
      <c r="O56" s="11" t="s">
        <v>1307</v>
      </c>
      <c r="BD56" s="23">
        <v>42276</v>
      </c>
      <c r="BE56" s="23">
        <v>44102</v>
      </c>
      <c r="BG56" s="11" t="s">
        <v>908</v>
      </c>
      <c r="BH56" s="22">
        <v>8800000</v>
      </c>
      <c r="BI56" s="11" t="s">
        <v>1308</v>
      </c>
      <c r="BJ56" s="11" t="s">
        <v>1309</v>
      </c>
      <c r="BK56" s="11" t="s">
        <v>1310</v>
      </c>
      <c r="BL56" s="11" t="s">
        <v>1311</v>
      </c>
      <c r="BM56" s="11" t="s">
        <v>1312</v>
      </c>
      <c r="BN56" s="11" t="s">
        <v>1313</v>
      </c>
      <c r="BO56" s="11" t="s">
        <v>320</v>
      </c>
      <c r="BP56" s="11" t="s">
        <v>320</v>
      </c>
      <c r="BQ56" s="11" t="s">
        <v>320</v>
      </c>
      <c r="BR56" s="11" t="s">
        <v>1314</v>
      </c>
      <c r="BS56" s="11" t="s">
        <v>357</v>
      </c>
      <c r="BT56" s="11" t="s">
        <v>1315</v>
      </c>
      <c r="BU56" s="11" t="s">
        <v>1316</v>
      </c>
      <c r="BV56" s="22">
        <v>280602</v>
      </c>
      <c r="BW56" s="22">
        <v>126398</v>
      </c>
      <c r="BX56" s="22">
        <v>407000</v>
      </c>
      <c r="BY56" s="22">
        <v>55573</v>
      </c>
      <c r="BZ56" s="22">
        <v>212283</v>
      </c>
      <c r="CA56" s="22">
        <v>267856</v>
      </c>
      <c r="CB56" s="15" t="s">
        <v>1317</v>
      </c>
      <c r="CD56" s="22">
        <v>2778</v>
      </c>
      <c r="CE56" s="22">
        <v>2938</v>
      </c>
      <c r="CF56" s="22">
        <v>5716</v>
      </c>
      <c r="CG56" s="22">
        <v>9678</v>
      </c>
      <c r="CH56" s="22">
        <v>9756</v>
      </c>
      <c r="CI56" s="22">
        <v>19434</v>
      </c>
      <c r="CJ56" s="11" t="s">
        <v>319</v>
      </c>
      <c r="CL56" s="18"/>
      <c r="CN56" s="12" t="s">
        <v>319</v>
      </c>
      <c r="CP56" s="18"/>
      <c r="CR56" s="11" t="s">
        <v>319</v>
      </c>
      <c r="CT56" s="18"/>
      <c r="CV56" s="11" t="s">
        <v>319</v>
      </c>
      <c r="CX56" s="18"/>
      <c r="CZ56" s="11" t="s">
        <v>319</v>
      </c>
      <c r="DB56" s="18"/>
      <c r="DD56" s="12" t="s">
        <v>319</v>
      </c>
      <c r="DF56" s="18"/>
      <c r="DH56" s="11" t="s">
        <v>319</v>
      </c>
      <c r="DJ56" s="18"/>
      <c r="DL56" s="11" t="s">
        <v>319</v>
      </c>
      <c r="DN56" s="18"/>
      <c r="DP56" s="11" t="s">
        <v>319</v>
      </c>
      <c r="DR56" s="18"/>
      <c r="DT56" s="11" t="s">
        <v>319</v>
      </c>
      <c r="DV56" s="18"/>
      <c r="DX56" s="12" t="s">
        <v>320</v>
      </c>
      <c r="DY56" s="22">
        <v>5716</v>
      </c>
      <c r="DZ56" s="18">
        <v>0.49</v>
      </c>
      <c r="EA56" s="22">
        <v>19434</v>
      </c>
      <c r="EB56" s="11" t="s">
        <v>320</v>
      </c>
      <c r="EC56" s="22">
        <v>5716</v>
      </c>
      <c r="ED56" s="18">
        <v>0.49</v>
      </c>
      <c r="EE56" s="22">
        <v>19434</v>
      </c>
      <c r="EI56" s="18"/>
      <c r="EK56" s="22">
        <v>142950</v>
      </c>
      <c r="EL56" s="22">
        <v>50068</v>
      </c>
      <c r="EM56" s="22">
        <v>193018</v>
      </c>
      <c r="EN56" s="22">
        <v>159428</v>
      </c>
      <c r="EO56" s="22">
        <v>160708</v>
      </c>
      <c r="EP56" s="22">
        <v>320136</v>
      </c>
      <c r="EQ56" s="12" t="s">
        <v>320</v>
      </c>
      <c r="ER56" s="22">
        <v>62580</v>
      </c>
      <c r="ES56" s="18">
        <v>0.69</v>
      </c>
      <c r="ET56" s="22">
        <v>212772</v>
      </c>
      <c r="EU56" s="11" t="s">
        <v>319</v>
      </c>
      <c r="EW56" s="18"/>
      <c r="EY56" s="12" t="s">
        <v>319</v>
      </c>
      <c r="FA56" s="18"/>
      <c r="FC56" s="12" t="s">
        <v>320</v>
      </c>
      <c r="FD56" s="22">
        <v>4663</v>
      </c>
      <c r="FE56" s="18">
        <v>0.36</v>
      </c>
      <c r="FF56" s="22">
        <v>15854</v>
      </c>
      <c r="FG56" s="12" t="s">
        <v>320</v>
      </c>
      <c r="FH56" s="22">
        <v>43243</v>
      </c>
      <c r="FI56" s="18">
        <v>1</v>
      </c>
      <c r="FJ56" s="22">
        <v>147026</v>
      </c>
      <c r="FK56" s="11" t="s">
        <v>319</v>
      </c>
      <c r="FM56" s="18"/>
      <c r="FO56" s="12" t="s">
        <v>320</v>
      </c>
      <c r="FP56" s="22">
        <v>63904</v>
      </c>
      <c r="FQ56" s="18">
        <v>0.77</v>
      </c>
      <c r="FR56" s="22">
        <v>87601</v>
      </c>
      <c r="FS56" s="11" t="s">
        <v>319</v>
      </c>
      <c r="FU56" s="18"/>
      <c r="FW56" s="11" t="s">
        <v>319</v>
      </c>
      <c r="FY56" s="18"/>
      <c r="GA56" s="11" t="s">
        <v>320</v>
      </c>
      <c r="GB56" s="22">
        <v>103306</v>
      </c>
      <c r="GC56" s="18">
        <v>0.77</v>
      </c>
      <c r="GD56" s="22">
        <v>177524</v>
      </c>
      <c r="GE56" s="12" t="s">
        <v>320</v>
      </c>
      <c r="GF56" s="22">
        <v>602</v>
      </c>
      <c r="GG56" s="18">
        <v>0.53</v>
      </c>
      <c r="GH56" s="22">
        <v>837</v>
      </c>
      <c r="GI56" s="11" t="s">
        <v>319</v>
      </c>
      <c r="GK56" s="18"/>
      <c r="GM56" s="11" t="s">
        <v>320</v>
      </c>
      <c r="GN56" s="22">
        <v>9831</v>
      </c>
      <c r="GO56" s="18">
        <v>0.56999999999999995</v>
      </c>
      <c r="GP56" s="22">
        <v>33425</v>
      </c>
      <c r="GQ56" s="11" t="s">
        <v>319</v>
      </c>
      <c r="GS56" s="18"/>
      <c r="GU56" s="11" t="s">
        <v>319</v>
      </c>
      <c r="GW56" s="18"/>
      <c r="GY56" s="11" t="s">
        <v>320</v>
      </c>
      <c r="GZ56" s="22">
        <v>32559</v>
      </c>
      <c r="HA56" s="18">
        <v>1</v>
      </c>
      <c r="HB56" s="22">
        <v>110287</v>
      </c>
      <c r="HF56" s="18"/>
      <c r="HH56" s="11" t="s">
        <v>319</v>
      </c>
      <c r="HK56" s="11" t="s">
        <v>319</v>
      </c>
      <c r="HL56" s="11" t="s">
        <v>320</v>
      </c>
      <c r="HM56" s="11" t="s">
        <v>416</v>
      </c>
      <c r="HN56" s="11">
        <v>2018</v>
      </c>
      <c r="HO56" s="11" t="s">
        <v>1318</v>
      </c>
      <c r="HP56" s="11" t="s">
        <v>330</v>
      </c>
      <c r="HQ56" s="11" t="s">
        <v>320</v>
      </c>
      <c r="HR56" s="11" t="s">
        <v>319</v>
      </c>
      <c r="HS56" s="11" t="s">
        <v>319</v>
      </c>
      <c r="HT56" s="11" t="s">
        <v>320</v>
      </c>
      <c r="HU56" s="11" t="s">
        <v>319</v>
      </c>
      <c r="HV56" s="11" t="s">
        <v>319</v>
      </c>
      <c r="HW56" s="11" t="s">
        <v>320</v>
      </c>
      <c r="HX56" s="11" t="s">
        <v>319</v>
      </c>
      <c r="HZ56" s="11" t="s">
        <v>394</v>
      </c>
      <c r="IA56" s="11" t="s">
        <v>1319</v>
      </c>
      <c r="IB56" s="11" t="s">
        <v>667</v>
      </c>
      <c r="IC56" s="11" t="s">
        <v>1320</v>
      </c>
      <c r="ID56" s="11" t="s">
        <v>334</v>
      </c>
      <c r="IE56" s="11" t="s">
        <v>335</v>
      </c>
      <c r="IF56" s="11" t="s">
        <v>320</v>
      </c>
      <c r="IG56" s="11" t="s">
        <v>320</v>
      </c>
      <c r="IH56" s="11" t="s">
        <v>320</v>
      </c>
      <c r="II56" s="11" t="s">
        <v>320</v>
      </c>
      <c r="IJ56" s="12" t="str">
        <f t="shared" si="1"/>
        <v>2. Sensitive</v>
      </c>
      <c r="IK56" s="12">
        <f t="shared" si="2"/>
        <v>4</v>
      </c>
      <c r="IL56" s="11" t="s">
        <v>336</v>
      </c>
      <c r="IM56" s="11" t="s">
        <v>320</v>
      </c>
      <c r="IN56" s="11" t="s">
        <v>320</v>
      </c>
      <c r="IO56" s="11" t="s">
        <v>320</v>
      </c>
      <c r="IP56" s="11" t="s">
        <v>320</v>
      </c>
      <c r="IQ56" s="12" t="str">
        <f t="shared" si="3"/>
        <v>2. Accommodating</v>
      </c>
      <c r="IR56" s="12">
        <f t="shared" si="4"/>
        <v>4</v>
      </c>
      <c r="IS56" s="11" t="s">
        <v>622</v>
      </c>
      <c r="IT56" s="11" t="s">
        <v>320</v>
      </c>
      <c r="IU56" s="11" t="s">
        <v>320</v>
      </c>
      <c r="IV56" s="11" t="s">
        <v>320</v>
      </c>
      <c r="IW56" s="11" t="str">
        <f t="shared" si="5"/>
        <v>4. Transformative</v>
      </c>
      <c r="IX56" s="12">
        <f t="shared" si="6"/>
        <v>3</v>
      </c>
      <c r="IY56" s="11" t="s">
        <v>419</v>
      </c>
      <c r="IZ56" s="11" t="s">
        <v>457</v>
      </c>
      <c r="JA56" s="11">
        <v>6</v>
      </c>
      <c r="JB56" s="11" t="s">
        <v>433</v>
      </c>
      <c r="JE56" s="11" t="s">
        <v>340</v>
      </c>
      <c r="JF56" s="11" t="s">
        <v>1321</v>
      </c>
      <c r="JG56" s="11" t="s">
        <v>1322</v>
      </c>
      <c r="JH56" s="11" t="s">
        <v>1323</v>
      </c>
      <c r="JI56" s="11" t="s">
        <v>1324</v>
      </c>
      <c r="JJ56" s="11" t="s">
        <v>1325</v>
      </c>
      <c r="JK56" s="11" t="s">
        <v>1326</v>
      </c>
      <c r="JL56" s="11" t="s">
        <v>1327</v>
      </c>
      <c r="JM56" s="11" t="s">
        <v>1328</v>
      </c>
      <c r="JO56" s="11" t="s">
        <v>1329</v>
      </c>
      <c r="JP56" s="15">
        <f t="shared" si="7"/>
        <v>193018</v>
      </c>
      <c r="JQ56" s="15">
        <f t="shared" si="8"/>
        <v>320136</v>
      </c>
      <c r="JR56" s="279">
        <f t="shared" si="9"/>
        <v>1.6585810649783959</v>
      </c>
      <c r="JS56" s="17">
        <f t="shared" si="10"/>
        <v>0.74060450320695481</v>
      </c>
      <c r="JT56" s="18">
        <f t="shared" si="11"/>
        <v>0.49800084963890345</v>
      </c>
      <c r="JU56" s="280">
        <f t="shared" si="12"/>
        <v>142950</v>
      </c>
      <c r="JV56" s="280">
        <f t="shared" si="13"/>
        <v>159428</v>
      </c>
      <c r="JW56" s="319">
        <f t="shared" si="14"/>
        <v>1</v>
      </c>
      <c r="JX56" s="15">
        <f t="shared" si="15"/>
        <v>5716</v>
      </c>
      <c r="JY56" s="15">
        <f t="shared" si="16"/>
        <v>19434</v>
      </c>
      <c r="JZ56" s="19">
        <f t="shared" si="17"/>
        <v>3.3999300209937018</v>
      </c>
      <c r="KA56" s="52">
        <f t="shared" si="18"/>
        <v>1</v>
      </c>
      <c r="KB56" s="15">
        <f t="shared" si="19"/>
        <v>63904</v>
      </c>
      <c r="KC56" s="15">
        <f t="shared" si="20"/>
        <v>212772</v>
      </c>
      <c r="KD56" s="20">
        <f t="shared" si="21"/>
        <v>3.3295568352528795</v>
      </c>
      <c r="KE56" s="52" t="str">
        <f t="shared" si="22"/>
        <v/>
      </c>
      <c r="KF56" s="15">
        <f t="shared" si="23"/>
        <v>0</v>
      </c>
      <c r="KG56" s="15">
        <f t="shared" si="24"/>
        <v>0</v>
      </c>
      <c r="KH56" s="21" t="str">
        <f t="shared" si="25"/>
        <v/>
      </c>
      <c r="KI56" s="52" t="str">
        <f t="shared" si="26"/>
        <v/>
      </c>
      <c r="KJ56" s="15">
        <f t="shared" si="27"/>
        <v>0</v>
      </c>
      <c r="KK56" s="15">
        <f t="shared" si="28"/>
        <v>0</v>
      </c>
      <c r="KL56" s="19" t="str">
        <f t="shared" si="29"/>
        <v/>
      </c>
      <c r="KM56" s="52">
        <f t="shared" si="30"/>
        <v>1</v>
      </c>
      <c r="KN56" s="22">
        <f t="shared" si="31"/>
        <v>43243</v>
      </c>
      <c r="KO56" s="22">
        <f t="shared" si="32"/>
        <v>147026</v>
      </c>
      <c r="KP56" s="19">
        <f t="shared" si="33"/>
        <v>3.3999953749739844</v>
      </c>
      <c r="KQ56" s="11" t="str">
        <f t="shared" si="34"/>
        <v>2. Sensitive</v>
      </c>
      <c r="KR56" s="11" t="str">
        <f t="shared" si="35"/>
        <v>2. Accommodating</v>
      </c>
      <c r="KS56" s="11" t="str">
        <f t="shared" si="36"/>
        <v>4. Transformative</v>
      </c>
      <c r="KT56" s="11" t="str">
        <f t="shared" si="37"/>
        <v>It tested new ways for fighting poverty, but did not measure results of innovation</v>
      </c>
      <c r="KU56" s="11" t="str">
        <f t="shared" si="38"/>
        <v>Moderate advocacy</v>
      </c>
      <c r="KV56" s="11" t="str">
        <f t="shared" si="39"/>
        <v>It took tested solutions to scale on its own</v>
      </c>
      <c r="KW56" s="11" t="str">
        <f t="shared" si="40"/>
        <v>Bangladesh - SHOUHARDO III</v>
      </c>
      <c r="KX56" s="11" t="str">
        <f t="shared" si="41"/>
        <v>SHOUHARDO III</v>
      </c>
      <c r="KY56" s="11" t="str">
        <f t="shared" si="42"/>
        <v>Bangladesh</v>
      </c>
      <c r="KZ56" s="12">
        <v>56</v>
      </c>
    </row>
    <row r="57" spans="1:312" x14ac:dyDescent="0.3">
      <c r="A57" s="11" t="s">
        <v>652</v>
      </c>
      <c r="B57" s="11" t="s">
        <v>306</v>
      </c>
      <c r="C57" s="11">
        <v>2780</v>
      </c>
      <c r="D57" s="11" t="s">
        <v>1330</v>
      </c>
      <c r="E57" s="24" t="str">
        <f t="shared" si="0"/>
        <v>Bangladesh</v>
      </c>
      <c r="F57" s="11" t="s">
        <v>1331</v>
      </c>
      <c r="G57" s="11" t="s">
        <v>379</v>
      </c>
      <c r="H57" s="11" t="s">
        <v>310</v>
      </c>
      <c r="I57" s="11" t="s">
        <v>506</v>
      </c>
      <c r="J57" s="278" t="s">
        <v>9230</v>
      </c>
      <c r="K57" s="11" t="s">
        <v>1332</v>
      </c>
      <c r="L57" s="11" t="s">
        <v>379</v>
      </c>
      <c r="M57" s="11" t="s">
        <v>310</v>
      </c>
      <c r="N57" s="11" t="s">
        <v>384</v>
      </c>
      <c r="O57" s="11" t="s">
        <v>1307</v>
      </c>
      <c r="P57" s="11" t="s">
        <v>1333</v>
      </c>
      <c r="Q57" s="11" t="s">
        <v>379</v>
      </c>
      <c r="R57" s="11" t="s">
        <v>310</v>
      </c>
      <c r="S57" s="11" t="s">
        <v>1285</v>
      </c>
      <c r="T57" s="11" t="s">
        <v>1334</v>
      </c>
      <c r="BD57" s="23">
        <v>40969</v>
      </c>
      <c r="BE57" s="23">
        <v>42369</v>
      </c>
      <c r="BF57" s="23">
        <v>42613</v>
      </c>
      <c r="BG57" s="11" t="s">
        <v>350</v>
      </c>
      <c r="BH57" s="22">
        <v>9090303</v>
      </c>
      <c r="BI57" s="11" t="s">
        <v>1335</v>
      </c>
      <c r="BJ57" s="11" t="s">
        <v>1336</v>
      </c>
      <c r="BK57" s="11" t="s">
        <v>993</v>
      </c>
      <c r="BL57" s="11" t="s">
        <v>993</v>
      </c>
      <c r="BM57" s="11" t="s">
        <v>845</v>
      </c>
      <c r="BN57" s="11" t="s">
        <v>1337</v>
      </c>
      <c r="BO57" s="11" t="s">
        <v>319</v>
      </c>
      <c r="BP57" s="11" t="s">
        <v>320</v>
      </c>
      <c r="BQ57" s="11" t="s">
        <v>319</v>
      </c>
      <c r="BR57" s="11" t="s">
        <v>1338</v>
      </c>
      <c r="BS57" s="11" t="s">
        <v>357</v>
      </c>
      <c r="BT57" s="11" t="s">
        <v>1339</v>
      </c>
      <c r="BU57" s="11" t="s">
        <v>1340</v>
      </c>
      <c r="BV57" s="22">
        <v>77551</v>
      </c>
      <c r="BW57" s="22">
        <v>72074</v>
      </c>
      <c r="BX57" s="22">
        <v>149625</v>
      </c>
      <c r="BY57" s="22">
        <v>86483</v>
      </c>
      <c r="BZ57" s="22">
        <v>79881</v>
      </c>
      <c r="CA57" s="22">
        <v>166364</v>
      </c>
      <c r="CB57" s="15" t="s">
        <v>1341</v>
      </c>
      <c r="CL57" s="18"/>
      <c r="CP57" s="18"/>
      <c r="CT57" s="18"/>
      <c r="CX57" s="18"/>
      <c r="DB57" s="18"/>
      <c r="DF57" s="18"/>
      <c r="DJ57" s="18"/>
      <c r="DN57" s="18"/>
      <c r="DR57" s="18"/>
      <c r="DV57" s="18"/>
      <c r="DZ57" s="18"/>
      <c r="ED57" s="18"/>
      <c r="EI57" s="18"/>
      <c r="EQ57" s="12" t="s">
        <v>319</v>
      </c>
      <c r="ES57" s="18"/>
      <c r="EU57" s="11" t="s">
        <v>319</v>
      </c>
      <c r="EW57" s="18"/>
      <c r="EY57" s="12" t="s">
        <v>319</v>
      </c>
      <c r="FA57" s="18"/>
      <c r="FC57" s="12" t="s">
        <v>319</v>
      </c>
      <c r="FE57" s="18"/>
      <c r="FG57" s="12" t="s">
        <v>319</v>
      </c>
      <c r="FI57" s="18"/>
      <c r="FK57" s="11" t="s">
        <v>319</v>
      </c>
      <c r="FM57" s="18"/>
      <c r="FO57" s="11" t="s">
        <v>319</v>
      </c>
      <c r="FQ57" s="18"/>
      <c r="FS57" s="11" t="s">
        <v>319</v>
      </c>
      <c r="FU57" s="18"/>
      <c r="FW57" s="11" t="s">
        <v>319</v>
      </c>
      <c r="FY57" s="18"/>
      <c r="GA57" s="11" t="s">
        <v>319</v>
      </c>
      <c r="GC57" s="18"/>
      <c r="GE57" s="11" t="s">
        <v>319</v>
      </c>
      <c r="GG57" s="18"/>
      <c r="GI57" s="11" t="s">
        <v>319</v>
      </c>
      <c r="GK57" s="18"/>
      <c r="GM57" s="11" t="s">
        <v>319</v>
      </c>
      <c r="GO57" s="18"/>
      <c r="GQ57" s="11" t="s">
        <v>319</v>
      </c>
      <c r="GS57" s="18"/>
      <c r="GU57" s="11" t="s">
        <v>319</v>
      </c>
      <c r="GW57" s="18"/>
      <c r="GY57" s="11" t="s">
        <v>319</v>
      </c>
      <c r="HA57" s="18"/>
      <c r="HD57" s="11" t="s">
        <v>319</v>
      </c>
      <c r="HF57" s="18"/>
      <c r="HH57" s="11" t="s">
        <v>319</v>
      </c>
      <c r="HK57" s="11" t="s">
        <v>319</v>
      </c>
      <c r="HL57" s="11" t="s">
        <v>319</v>
      </c>
      <c r="HP57" s="11" t="s">
        <v>418</v>
      </c>
      <c r="HQ57" s="11" t="s">
        <v>319</v>
      </c>
      <c r="HR57" s="11" t="s">
        <v>319</v>
      </c>
      <c r="HS57" s="11" t="s">
        <v>319</v>
      </c>
      <c r="HT57" s="11" t="s">
        <v>319</v>
      </c>
      <c r="HU57" s="11" t="s">
        <v>319</v>
      </c>
      <c r="HV57" s="11" t="s">
        <v>319</v>
      </c>
      <c r="HW57" s="11" t="s">
        <v>319</v>
      </c>
      <c r="HX57" s="11" t="s">
        <v>319</v>
      </c>
      <c r="HZ57" s="11" t="s">
        <v>331</v>
      </c>
      <c r="IB57" s="11" t="s">
        <v>396</v>
      </c>
      <c r="ID57" s="11" t="s">
        <v>334</v>
      </c>
      <c r="IE57" s="11" t="s">
        <v>335</v>
      </c>
      <c r="IF57" s="11" t="s">
        <v>320</v>
      </c>
      <c r="IG57" s="11" t="s">
        <v>320</v>
      </c>
      <c r="IH57" s="11" t="s">
        <v>320</v>
      </c>
      <c r="II57" s="11" t="s">
        <v>319</v>
      </c>
      <c r="IJ57" s="12" t="str">
        <f t="shared" si="1"/>
        <v>1. Neutral</v>
      </c>
      <c r="IK57" s="12">
        <f t="shared" si="2"/>
        <v>3</v>
      </c>
      <c r="IL57" s="11" t="s">
        <v>621</v>
      </c>
      <c r="IM57" s="11" t="s">
        <v>320</v>
      </c>
      <c r="IN57" s="11" t="s">
        <v>320</v>
      </c>
      <c r="IO57" s="11" t="s">
        <v>320</v>
      </c>
      <c r="IP57" s="11" t="s">
        <v>320</v>
      </c>
      <c r="IQ57" s="12" t="str">
        <f t="shared" si="3"/>
        <v>4. Transformational</v>
      </c>
      <c r="IR57" s="12">
        <f t="shared" si="4"/>
        <v>4</v>
      </c>
      <c r="IS57" s="11" t="s">
        <v>337</v>
      </c>
      <c r="IT57" s="11" t="s">
        <v>320</v>
      </c>
      <c r="IU57" s="11" t="s">
        <v>320</v>
      </c>
      <c r="IV57" s="11" t="s">
        <v>320</v>
      </c>
      <c r="IW57" s="11" t="str">
        <f t="shared" si="5"/>
        <v>2. Sensitive</v>
      </c>
      <c r="IX57" s="12">
        <f t="shared" si="6"/>
        <v>3</v>
      </c>
      <c r="IY57" s="11" t="s">
        <v>338</v>
      </c>
      <c r="IZ57" s="11" t="s">
        <v>527</v>
      </c>
      <c r="JA57" s="11">
        <v>5</v>
      </c>
      <c r="JB57" s="11" t="s">
        <v>433</v>
      </c>
      <c r="JC57" s="11" t="s">
        <v>724</v>
      </c>
      <c r="JD57" s="11" t="s">
        <v>687</v>
      </c>
      <c r="JE57" s="11" t="s">
        <v>340</v>
      </c>
      <c r="JG57" s="11" t="s">
        <v>1342</v>
      </c>
      <c r="JH57" s="11" t="s">
        <v>1343</v>
      </c>
      <c r="JI57" s="11" t="s">
        <v>1344</v>
      </c>
      <c r="JJ57" s="11" t="s">
        <v>1345</v>
      </c>
      <c r="JK57" s="11" t="s">
        <v>1346</v>
      </c>
      <c r="JL57" s="11" t="s">
        <v>1347</v>
      </c>
      <c r="JM57" s="11" t="s">
        <v>1348</v>
      </c>
      <c r="JN57" s="11" t="s">
        <v>1349</v>
      </c>
      <c r="JP57" s="15">
        <f t="shared" si="7"/>
        <v>0</v>
      </c>
      <c r="JQ57" s="15">
        <f t="shared" si="8"/>
        <v>0</v>
      </c>
      <c r="JR57" s="279" t="str">
        <f t="shared" si="9"/>
        <v/>
      </c>
      <c r="JS57" s="17" t="str">
        <f t="shared" si="10"/>
        <v/>
      </c>
      <c r="JT57" s="18" t="str">
        <f t="shared" si="11"/>
        <v/>
      </c>
      <c r="JU57" s="280">
        <f t="shared" si="12"/>
        <v>0</v>
      </c>
      <c r="JV57" s="280">
        <f t="shared" si="13"/>
        <v>0</v>
      </c>
      <c r="JW57" s="319" t="str">
        <f t="shared" si="14"/>
        <v/>
      </c>
      <c r="JX57" s="15">
        <f t="shared" si="15"/>
        <v>0</v>
      </c>
      <c r="JY57" s="15">
        <f t="shared" si="16"/>
        <v>0</v>
      </c>
      <c r="JZ57" s="19" t="str">
        <f t="shared" si="17"/>
        <v/>
      </c>
      <c r="KA57" s="52" t="str">
        <f t="shared" si="18"/>
        <v/>
      </c>
      <c r="KB57" s="15">
        <f t="shared" si="19"/>
        <v>0</v>
      </c>
      <c r="KC57" s="15">
        <f t="shared" si="20"/>
        <v>0</v>
      </c>
      <c r="KD57" s="20" t="str">
        <f t="shared" si="21"/>
        <v/>
      </c>
      <c r="KE57" s="52" t="str">
        <f t="shared" si="22"/>
        <v/>
      </c>
      <c r="KF57" s="15">
        <f t="shared" si="23"/>
        <v>0</v>
      </c>
      <c r="KG57" s="15">
        <f t="shared" si="24"/>
        <v>0</v>
      </c>
      <c r="KH57" s="21" t="str">
        <f t="shared" si="25"/>
        <v/>
      </c>
      <c r="KI57" s="52" t="str">
        <f t="shared" si="26"/>
        <v/>
      </c>
      <c r="KJ57" s="15">
        <f t="shared" si="27"/>
        <v>0</v>
      </c>
      <c r="KK57" s="15">
        <f t="shared" si="28"/>
        <v>0</v>
      </c>
      <c r="KL57" s="19" t="str">
        <f t="shared" si="29"/>
        <v/>
      </c>
      <c r="KM57" s="52" t="str">
        <f t="shared" si="30"/>
        <v/>
      </c>
      <c r="KN57" s="22">
        <f t="shared" si="31"/>
        <v>0</v>
      </c>
      <c r="KO57" s="22">
        <f t="shared" si="32"/>
        <v>0</v>
      </c>
      <c r="KP57" s="19" t="str">
        <f t="shared" si="33"/>
        <v/>
      </c>
      <c r="KQ57" s="11" t="str">
        <f t="shared" si="34"/>
        <v>1. Neutral</v>
      </c>
      <c r="KR57" s="11" t="str">
        <f t="shared" si="35"/>
        <v>4. Transformational</v>
      </c>
      <c r="KS57" s="11" t="str">
        <f t="shared" si="36"/>
        <v>2. Sensitive</v>
      </c>
      <c r="KT57" s="11" t="str">
        <f t="shared" si="37"/>
        <v>It tested new ways for fighting poverty and measured results of innovation</v>
      </c>
      <c r="KU57" s="11" t="str">
        <f t="shared" si="38"/>
        <v>Little or no advocacy</v>
      </c>
      <c r="KV57" s="11" t="str">
        <f t="shared" si="39"/>
        <v>It linked and worked with strategic alliances and partners to take tested and effective solutions to scale</v>
      </c>
      <c r="KW57" s="11" t="str">
        <f t="shared" si="40"/>
        <v>Bangladesh - Social and Economic Transformation of the Ultra-poor (SETU) Phase II</v>
      </c>
      <c r="KX57" s="11" t="str">
        <f t="shared" si="41"/>
        <v>Social and Economic Transformation of the Ultra-poor (SETU) Phase II</v>
      </c>
      <c r="KY57" s="11" t="str">
        <f t="shared" si="42"/>
        <v>Bangladesh</v>
      </c>
      <c r="KZ57" s="12">
        <v>57</v>
      </c>
    </row>
    <row r="58" spans="1:312" x14ac:dyDescent="0.3">
      <c r="A58" s="282" t="s">
        <v>652</v>
      </c>
      <c r="B58" s="282" t="s">
        <v>306</v>
      </c>
      <c r="C58" s="282"/>
      <c r="D58" s="282" t="s">
        <v>1509</v>
      </c>
      <c r="E58" s="24" t="str">
        <f t="shared" si="0"/>
        <v>Bangladesh</v>
      </c>
      <c r="F58" s="282" t="s">
        <v>1510</v>
      </c>
      <c r="G58" s="282" t="s">
        <v>379</v>
      </c>
      <c r="H58" s="282" t="s">
        <v>384</v>
      </c>
      <c r="I58" s="282" t="s">
        <v>384</v>
      </c>
      <c r="J58" s="278" t="s">
        <v>14579</v>
      </c>
      <c r="K58" s="282" t="s">
        <v>1510</v>
      </c>
      <c r="L58" s="282" t="s">
        <v>379</v>
      </c>
      <c r="M58" s="282" t="s">
        <v>310</v>
      </c>
      <c r="N58" s="282" t="s">
        <v>655</v>
      </c>
      <c r="O58" s="282" t="s">
        <v>4991</v>
      </c>
      <c r="P58" s="282"/>
      <c r="Q58" s="282"/>
      <c r="R58" s="282"/>
      <c r="S58" s="282"/>
      <c r="T58" s="282"/>
      <c r="U58" s="282"/>
      <c r="V58" s="282"/>
      <c r="W58" s="282"/>
      <c r="X58" s="282"/>
      <c r="Y58" s="282"/>
      <c r="Z58" s="282"/>
      <c r="AA58" s="282"/>
      <c r="AB58" s="282"/>
      <c r="AC58" s="282"/>
      <c r="AD58" s="282"/>
      <c r="AE58" s="282"/>
      <c r="AF58" s="282"/>
      <c r="AG58" s="282"/>
      <c r="AH58" s="282"/>
      <c r="AI58" s="282"/>
      <c r="AJ58" s="282"/>
      <c r="AK58" s="282"/>
      <c r="AL58" s="282"/>
      <c r="AM58" s="282"/>
      <c r="AN58" s="282"/>
      <c r="AO58" s="282"/>
      <c r="AP58" s="282"/>
      <c r="AQ58" s="282"/>
      <c r="AR58" s="282"/>
      <c r="AS58" s="282"/>
      <c r="AT58" s="282"/>
      <c r="AU58" s="282"/>
      <c r="AV58" s="282"/>
      <c r="AW58" s="282"/>
      <c r="AX58" s="282"/>
      <c r="AY58" s="282"/>
      <c r="AZ58" s="282"/>
      <c r="BA58" s="282"/>
      <c r="BB58" s="282"/>
      <c r="BC58" s="282"/>
      <c r="BD58" s="283">
        <v>42887</v>
      </c>
      <c r="BE58" s="283">
        <v>44561</v>
      </c>
      <c r="BF58" s="283"/>
      <c r="BG58" s="283" t="s">
        <v>312</v>
      </c>
      <c r="BH58" s="284">
        <v>2966462</v>
      </c>
      <c r="BI58" s="282" t="s">
        <v>656</v>
      </c>
      <c r="BJ58" s="282" t="s">
        <v>1511</v>
      </c>
      <c r="BK58" s="282" t="s">
        <v>1512</v>
      </c>
      <c r="BL58" s="282" t="s">
        <v>1205</v>
      </c>
      <c r="BM58" s="282" t="s">
        <v>1206</v>
      </c>
      <c r="BN58" s="282" t="s">
        <v>1207</v>
      </c>
      <c r="BO58" s="282" t="s">
        <v>319</v>
      </c>
      <c r="BP58" s="282" t="s">
        <v>320</v>
      </c>
      <c r="BQ58" s="282" t="s">
        <v>319</v>
      </c>
      <c r="BR58" s="282" t="s">
        <v>1513</v>
      </c>
      <c r="BS58" s="282" t="s">
        <v>357</v>
      </c>
      <c r="BT58" s="282" t="s">
        <v>1514</v>
      </c>
      <c r="BU58" s="282" t="s">
        <v>1515</v>
      </c>
      <c r="BV58" s="284">
        <v>14508</v>
      </c>
      <c r="BW58" s="284">
        <v>14579</v>
      </c>
      <c r="BX58" s="284">
        <v>28587</v>
      </c>
      <c r="BY58" s="284">
        <v>48302</v>
      </c>
      <c r="BZ58" s="284">
        <v>50274</v>
      </c>
      <c r="CA58" s="284">
        <v>98576</v>
      </c>
      <c r="CB58" s="285" t="s">
        <v>1516</v>
      </c>
      <c r="CC58" s="285"/>
      <c r="CD58" s="284"/>
      <c r="CE58" s="284"/>
      <c r="CF58" s="284"/>
      <c r="CG58" s="284"/>
      <c r="CH58" s="284"/>
      <c r="CI58" s="284"/>
      <c r="CJ58" s="282"/>
      <c r="CK58" s="284"/>
      <c r="CL58" s="286"/>
      <c r="CM58" s="284"/>
      <c r="CN58" s="287"/>
      <c r="CO58" s="284"/>
      <c r="CP58" s="286"/>
      <c r="CQ58" s="284"/>
      <c r="CR58" s="282"/>
      <c r="CS58" s="284"/>
      <c r="CT58" s="286"/>
      <c r="CU58" s="284"/>
      <c r="CV58" s="282"/>
      <c r="CW58" s="284"/>
      <c r="CX58" s="286"/>
      <c r="CY58" s="284"/>
      <c r="CZ58" s="282"/>
      <c r="DA58" s="284"/>
      <c r="DB58" s="286"/>
      <c r="DC58" s="284"/>
      <c r="DD58" s="287"/>
      <c r="DE58" s="284"/>
      <c r="DF58" s="286"/>
      <c r="DG58" s="284"/>
      <c r="DH58" s="282"/>
      <c r="DI58" s="284"/>
      <c r="DJ58" s="286"/>
      <c r="DK58" s="284"/>
      <c r="DL58" s="282"/>
      <c r="DM58" s="284"/>
      <c r="DN58" s="286"/>
      <c r="DO58" s="284"/>
      <c r="DP58" s="282"/>
      <c r="DQ58" s="284"/>
      <c r="DR58" s="286"/>
      <c r="DS58" s="284"/>
      <c r="DT58" s="282"/>
      <c r="DU58" s="284"/>
      <c r="DV58" s="286"/>
      <c r="DW58" s="284"/>
      <c r="DX58" s="282"/>
      <c r="DY58" s="284"/>
      <c r="DZ58" s="286"/>
      <c r="EA58" s="284"/>
      <c r="EB58" s="282"/>
      <c r="EC58" s="284"/>
      <c r="ED58" s="286"/>
      <c r="EE58" s="284"/>
      <c r="EF58" s="285"/>
      <c r="EG58" s="287"/>
      <c r="EH58" s="284"/>
      <c r="EI58" s="286"/>
      <c r="EJ58" s="284"/>
      <c r="EK58" s="284">
        <v>0</v>
      </c>
      <c r="EL58" s="284">
        <v>0</v>
      </c>
      <c r="EM58" s="284">
        <v>0</v>
      </c>
      <c r="EN58" s="284">
        <v>0</v>
      </c>
      <c r="EO58" s="284">
        <v>0</v>
      </c>
      <c r="EP58" s="284">
        <v>0</v>
      </c>
      <c r="EQ58" s="282" t="s">
        <v>319</v>
      </c>
      <c r="ER58" s="284"/>
      <c r="ES58" s="286"/>
      <c r="ET58" s="284"/>
      <c r="EU58" s="282" t="s">
        <v>319</v>
      </c>
      <c r="EV58" s="284"/>
      <c r="EW58" s="286"/>
      <c r="EX58" s="284"/>
      <c r="EY58" s="282" t="s">
        <v>319</v>
      </c>
      <c r="EZ58" s="284"/>
      <c r="FA58" s="286"/>
      <c r="FB58" s="284"/>
      <c r="FC58" s="282" t="s">
        <v>319</v>
      </c>
      <c r="FD58" s="284"/>
      <c r="FE58" s="286"/>
      <c r="FF58" s="284"/>
      <c r="FG58" s="282" t="s">
        <v>319</v>
      </c>
      <c r="FH58" s="284"/>
      <c r="FI58" s="286"/>
      <c r="FJ58" s="284"/>
      <c r="FK58" s="282" t="s">
        <v>319</v>
      </c>
      <c r="FL58" s="284"/>
      <c r="FM58" s="286"/>
      <c r="FN58" s="284"/>
      <c r="FO58" s="282" t="s">
        <v>319</v>
      </c>
      <c r="FP58" s="284"/>
      <c r="FQ58" s="286"/>
      <c r="FR58" s="284"/>
      <c r="FS58" s="282" t="s">
        <v>319</v>
      </c>
      <c r="FT58" s="284"/>
      <c r="FU58" s="286"/>
      <c r="FV58" s="284"/>
      <c r="FW58" s="282" t="s">
        <v>319</v>
      </c>
      <c r="FX58" s="284"/>
      <c r="FY58" s="286"/>
      <c r="FZ58" s="284"/>
      <c r="GA58" s="282" t="s">
        <v>319</v>
      </c>
      <c r="GB58" s="284"/>
      <c r="GC58" s="286"/>
      <c r="GD58" s="284"/>
      <c r="GE58" s="282" t="s">
        <v>319</v>
      </c>
      <c r="GF58" s="284"/>
      <c r="GG58" s="286"/>
      <c r="GH58" s="284"/>
      <c r="GI58" s="282" t="s">
        <v>319</v>
      </c>
      <c r="GJ58" s="284"/>
      <c r="GK58" s="286"/>
      <c r="GL58" s="284"/>
      <c r="GM58" s="282" t="s">
        <v>319</v>
      </c>
      <c r="GN58" s="284"/>
      <c r="GO58" s="286"/>
      <c r="GP58" s="284"/>
      <c r="GQ58" s="282" t="s">
        <v>319</v>
      </c>
      <c r="GR58" s="284"/>
      <c r="GS58" s="286"/>
      <c r="GT58" s="284"/>
      <c r="GU58" s="282" t="s">
        <v>319</v>
      </c>
      <c r="GV58" s="284"/>
      <c r="GW58" s="286"/>
      <c r="GX58" s="284"/>
      <c r="GY58" s="282" t="s">
        <v>319</v>
      </c>
      <c r="GZ58" s="284"/>
      <c r="HA58" s="286"/>
      <c r="HB58" s="284"/>
      <c r="HC58" s="282"/>
      <c r="HD58" s="282"/>
      <c r="HE58" s="284"/>
      <c r="HF58" s="286"/>
      <c r="HG58" s="284"/>
      <c r="HH58" s="282" t="s">
        <v>319</v>
      </c>
      <c r="HI58" s="282"/>
      <c r="HJ58" s="282"/>
      <c r="HK58" s="282" t="s">
        <v>319</v>
      </c>
      <c r="HL58" s="282" t="s">
        <v>319</v>
      </c>
      <c r="HM58" s="282"/>
      <c r="HN58" s="282"/>
      <c r="HO58" s="282" t="s">
        <v>1517</v>
      </c>
      <c r="HP58" s="282" t="s">
        <v>418</v>
      </c>
      <c r="HQ58" s="282"/>
      <c r="HR58" s="282"/>
      <c r="HS58" s="282"/>
      <c r="HT58" s="282"/>
      <c r="HU58" s="282"/>
      <c r="HV58" s="282"/>
      <c r="HW58" s="282"/>
      <c r="HX58" s="282"/>
      <c r="HY58" s="282"/>
      <c r="HZ58" s="282" t="s">
        <v>363</v>
      </c>
      <c r="IA58" s="282"/>
      <c r="IB58" s="282"/>
      <c r="IC58" s="282"/>
      <c r="ID58" s="282" t="s">
        <v>334</v>
      </c>
      <c r="IE58" s="282"/>
      <c r="IF58" s="282"/>
      <c r="IG58" s="282"/>
      <c r="IH58" s="282"/>
      <c r="II58" s="282"/>
      <c r="IJ58" s="12" t="str">
        <f t="shared" si="1"/>
        <v>No marker score</v>
      </c>
      <c r="IK58" s="287">
        <f t="shared" si="2"/>
        <v>0</v>
      </c>
      <c r="IL58" s="282"/>
      <c r="IM58" s="282"/>
      <c r="IN58" s="282"/>
      <c r="IO58" s="282"/>
      <c r="IP58" s="282"/>
      <c r="IQ58" s="287" t="str">
        <f t="shared" si="3"/>
        <v>No marker score</v>
      </c>
      <c r="IR58" s="287">
        <f t="shared" si="4"/>
        <v>0</v>
      </c>
      <c r="IS58" s="282"/>
      <c r="IT58" s="282"/>
      <c r="IU58" s="282"/>
      <c r="IV58" s="282"/>
      <c r="IW58" s="11" t="str">
        <f t="shared" si="5"/>
        <v>No marker score</v>
      </c>
      <c r="IX58" s="287">
        <f t="shared" si="6"/>
        <v>0</v>
      </c>
      <c r="IY58" s="282"/>
      <c r="IZ58" s="282"/>
      <c r="JA58" s="282"/>
      <c r="JB58" s="282"/>
      <c r="JC58" s="282"/>
      <c r="JD58" s="282"/>
      <c r="JE58" s="282"/>
      <c r="JF58" s="282"/>
      <c r="JG58" s="282"/>
      <c r="JH58" s="282"/>
      <c r="JI58" s="282"/>
      <c r="JJ58" s="282"/>
      <c r="JK58" s="282"/>
      <c r="JL58" s="282"/>
      <c r="JM58" s="282"/>
      <c r="JN58" s="282" t="s">
        <v>1518</v>
      </c>
      <c r="JO58" s="282" t="s">
        <v>1519</v>
      </c>
      <c r="JP58" s="15">
        <f t="shared" si="7"/>
        <v>0</v>
      </c>
      <c r="JQ58" s="15">
        <f t="shared" si="8"/>
        <v>0</v>
      </c>
      <c r="JR58" s="279" t="str">
        <f t="shared" si="9"/>
        <v/>
      </c>
      <c r="JS58" s="17" t="str">
        <f t="shared" si="10"/>
        <v/>
      </c>
      <c r="JT58" s="18" t="str">
        <f t="shared" si="11"/>
        <v/>
      </c>
      <c r="JU58" s="280">
        <f t="shared" si="12"/>
        <v>0</v>
      </c>
      <c r="JV58" s="280">
        <f t="shared" si="13"/>
        <v>0</v>
      </c>
      <c r="JW58" s="319" t="str">
        <f t="shared" si="14"/>
        <v/>
      </c>
      <c r="JX58" s="15">
        <f t="shared" si="15"/>
        <v>0</v>
      </c>
      <c r="JY58" s="15">
        <f t="shared" si="16"/>
        <v>0</v>
      </c>
      <c r="JZ58" s="19" t="str">
        <f t="shared" si="17"/>
        <v/>
      </c>
      <c r="KA58" s="52" t="str">
        <f t="shared" si="18"/>
        <v/>
      </c>
      <c r="KB58" s="15">
        <f t="shared" si="19"/>
        <v>0</v>
      </c>
      <c r="KC58" s="15">
        <f t="shared" si="20"/>
        <v>0</v>
      </c>
      <c r="KD58" s="20" t="str">
        <f t="shared" si="21"/>
        <v/>
      </c>
      <c r="KE58" s="52" t="str">
        <f t="shared" si="22"/>
        <v/>
      </c>
      <c r="KF58" s="15">
        <f t="shared" si="23"/>
        <v>0</v>
      </c>
      <c r="KG58" s="15">
        <f t="shared" si="24"/>
        <v>0</v>
      </c>
      <c r="KH58" s="21" t="str">
        <f t="shared" si="25"/>
        <v/>
      </c>
      <c r="KI58" s="52" t="str">
        <f t="shared" si="26"/>
        <v/>
      </c>
      <c r="KJ58" s="15">
        <f t="shared" si="27"/>
        <v>0</v>
      </c>
      <c r="KK58" s="15">
        <f t="shared" si="28"/>
        <v>0</v>
      </c>
      <c r="KL58" s="19" t="str">
        <f t="shared" si="29"/>
        <v/>
      </c>
      <c r="KM58" s="52" t="str">
        <f t="shared" si="30"/>
        <v/>
      </c>
      <c r="KN58" s="22">
        <f t="shared" si="31"/>
        <v>0</v>
      </c>
      <c r="KO58" s="22">
        <f t="shared" si="32"/>
        <v>0</v>
      </c>
      <c r="KP58" s="19" t="str">
        <f t="shared" si="33"/>
        <v/>
      </c>
      <c r="KQ58" s="11" t="str">
        <f t="shared" si="34"/>
        <v>No marker score</v>
      </c>
      <c r="KR58" s="11" t="str">
        <f t="shared" si="35"/>
        <v>No marker score</v>
      </c>
      <c r="KS58" s="11" t="str">
        <f t="shared" si="36"/>
        <v>No marker score</v>
      </c>
      <c r="KT58" s="11" t="str">
        <f t="shared" si="37"/>
        <v>It did not develop any specific innovation</v>
      </c>
      <c r="KU58" s="11" t="str">
        <f t="shared" si="38"/>
        <v>Little or no advocacy</v>
      </c>
      <c r="KV58" s="11">
        <f t="shared" si="39"/>
        <v>0</v>
      </c>
      <c r="KW58" s="11" t="str">
        <f t="shared" si="40"/>
        <v>Bangladesh - Strengthening Multisectoral Nutrition Programming through Implementation Science Activity</v>
      </c>
      <c r="KX58" s="11" t="str">
        <f t="shared" si="41"/>
        <v>Strengthening Multisectoral Nutrition Programming through Implementation Science Activity</v>
      </c>
      <c r="KY58" s="11" t="str">
        <f t="shared" si="42"/>
        <v>Bangladesh</v>
      </c>
      <c r="KZ58" s="287">
        <v>58</v>
      </c>
    </row>
    <row r="59" spans="1:312" x14ac:dyDescent="0.3">
      <c r="A59" s="11" t="s">
        <v>652</v>
      </c>
      <c r="B59" s="11" t="s">
        <v>306</v>
      </c>
      <c r="D59" s="11" t="s">
        <v>1350</v>
      </c>
      <c r="E59" s="24" t="str">
        <f t="shared" si="0"/>
        <v>Bangladesh</v>
      </c>
      <c r="F59" s="11" t="s">
        <v>1351</v>
      </c>
      <c r="G59" s="11" t="s">
        <v>379</v>
      </c>
      <c r="H59" s="11" t="s">
        <v>554</v>
      </c>
      <c r="I59" s="11" t="s">
        <v>384</v>
      </c>
      <c r="J59" s="278" t="s">
        <v>1352</v>
      </c>
      <c r="BD59" s="23">
        <v>42312</v>
      </c>
      <c r="BE59" s="23">
        <v>43054</v>
      </c>
      <c r="BG59" s="23" t="s">
        <v>490</v>
      </c>
      <c r="BH59" s="22">
        <v>139217</v>
      </c>
      <c r="BI59" s="11" t="s">
        <v>1353</v>
      </c>
      <c r="BJ59" s="11" t="s">
        <v>1354</v>
      </c>
      <c r="BK59" s="11" t="s">
        <v>1355</v>
      </c>
      <c r="BL59" s="11" t="s">
        <v>1356</v>
      </c>
      <c r="BM59" s="11" t="s">
        <v>1357</v>
      </c>
      <c r="BN59" s="11" t="s">
        <v>863</v>
      </c>
      <c r="BO59" s="12" t="s">
        <v>319</v>
      </c>
      <c r="BP59" s="12" t="s">
        <v>320</v>
      </c>
      <c r="BQ59" s="12" t="s">
        <v>319</v>
      </c>
      <c r="BR59" s="11" t="s">
        <v>1358</v>
      </c>
      <c r="BS59" s="11" t="s">
        <v>357</v>
      </c>
      <c r="BT59" s="11" t="s">
        <v>1359</v>
      </c>
      <c r="BU59" s="11" t="s">
        <v>1360</v>
      </c>
      <c r="BV59" s="22">
        <v>27160</v>
      </c>
      <c r="BW59" s="22">
        <v>10000</v>
      </c>
      <c r="BX59" s="22">
        <v>37160</v>
      </c>
      <c r="BY59" s="22">
        <v>50000</v>
      </c>
      <c r="BZ59" s="22">
        <v>50000</v>
      </c>
      <c r="CA59" s="22">
        <v>100000</v>
      </c>
      <c r="CB59" s="15" t="s">
        <v>1361</v>
      </c>
      <c r="CL59" s="18"/>
      <c r="CP59" s="18"/>
      <c r="CT59" s="18"/>
      <c r="CX59" s="18"/>
      <c r="DB59" s="18"/>
      <c r="DF59" s="18"/>
      <c r="DJ59" s="18"/>
      <c r="DN59" s="18"/>
      <c r="DR59" s="18"/>
      <c r="DV59" s="18"/>
      <c r="DZ59" s="18"/>
      <c r="ED59" s="18"/>
      <c r="EI59" s="18"/>
      <c r="EK59" s="22">
        <v>27160</v>
      </c>
      <c r="EL59" s="22">
        <v>5689</v>
      </c>
      <c r="EM59" s="22">
        <v>32849</v>
      </c>
      <c r="EN59" s="22">
        <v>54320</v>
      </c>
      <c r="EO59" s="22">
        <v>11378</v>
      </c>
      <c r="EP59" s="22">
        <v>65698</v>
      </c>
      <c r="EQ59" s="12" t="s">
        <v>319</v>
      </c>
      <c r="ES59" s="18"/>
      <c r="EU59" s="11" t="s">
        <v>319</v>
      </c>
      <c r="EW59" s="18"/>
      <c r="EY59" s="12" t="s">
        <v>319</v>
      </c>
      <c r="FA59" s="18"/>
      <c r="FC59" s="12" t="s">
        <v>319</v>
      </c>
      <c r="FE59" s="18"/>
      <c r="FG59" s="12" t="s">
        <v>319</v>
      </c>
      <c r="FI59" s="18"/>
      <c r="FK59" s="11" t="s">
        <v>319</v>
      </c>
      <c r="FM59" s="18"/>
      <c r="FO59" s="11" t="s">
        <v>319</v>
      </c>
      <c r="FQ59" s="18"/>
      <c r="FS59" s="11" t="s">
        <v>319</v>
      </c>
      <c r="FU59" s="18"/>
      <c r="FW59" s="11" t="s">
        <v>319</v>
      </c>
      <c r="FY59" s="18"/>
      <c r="GA59" s="11" t="s">
        <v>320</v>
      </c>
      <c r="GB59" s="22">
        <v>27160</v>
      </c>
      <c r="GC59" s="18">
        <v>0.83</v>
      </c>
      <c r="GD59" s="22">
        <v>65698</v>
      </c>
      <c r="GE59" s="11" t="s">
        <v>319</v>
      </c>
      <c r="GG59" s="18"/>
      <c r="GI59" s="11" t="s">
        <v>319</v>
      </c>
      <c r="GK59" s="18"/>
      <c r="GM59" s="11" t="s">
        <v>319</v>
      </c>
      <c r="GO59" s="18"/>
      <c r="GQ59" s="12" t="s">
        <v>320</v>
      </c>
      <c r="GR59" s="22">
        <v>27160</v>
      </c>
      <c r="GS59" s="18">
        <v>0.83</v>
      </c>
      <c r="GT59" s="22">
        <v>65698</v>
      </c>
      <c r="GU59" s="11" t="s">
        <v>319</v>
      </c>
      <c r="GW59" s="18"/>
      <c r="GY59" s="11" t="s">
        <v>319</v>
      </c>
      <c r="HA59" s="18"/>
      <c r="HF59" s="18"/>
      <c r="HH59" s="11" t="s">
        <v>319</v>
      </c>
      <c r="HK59" s="11" t="s">
        <v>319</v>
      </c>
      <c r="HL59" s="11" t="s">
        <v>319</v>
      </c>
      <c r="HP59" s="11" t="s">
        <v>330</v>
      </c>
      <c r="HQ59" s="11" t="s">
        <v>319</v>
      </c>
      <c r="HR59" s="11" t="s">
        <v>319</v>
      </c>
      <c r="HS59" s="11" t="s">
        <v>320</v>
      </c>
      <c r="HT59" s="11" t="s">
        <v>319</v>
      </c>
      <c r="HU59" s="11" t="s">
        <v>319</v>
      </c>
      <c r="HV59" s="11" t="s">
        <v>319</v>
      </c>
      <c r="HW59" s="11" t="s">
        <v>319</v>
      </c>
      <c r="HX59" s="11" t="s">
        <v>319</v>
      </c>
      <c r="HZ59" s="11" t="s">
        <v>363</v>
      </c>
      <c r="IB59" s="11" t="s">
        <v>396</v>
      </c>
      <c r="IC59" s="11" t="s">
        <v>1362</v>
      </c>
      <c r="ID59" s="11" t="s">
        <v>364</v>
      </c>
      <c r="IE59" s="11" t="s">
        <v>478</v>
      </c>
      <c r="IF59" s="11" t="s">
        <v>319</v>
      </c>
      <c r="IG59" s="11" t="s">
        <v>320</v>
      </c>
      <c r="IH59" s="11" t="s">
        <v>320</v>
      </c>
      <c r="II59" s="11" t="s">
        <v>319</v>
      </c>
      <c r="IJ59" s="12" t="str">
        <f t="shared" si="1"/>
        <v>3. Responsive</v>
      </c>
      <c r="IK59" s="12">
        <f t="shared" si="2"/>
        <v>2</v>
      </c>
      <c r="IL59" s="11" t="s">
        <v>336</v>
      </c>
      <c r="IM59" s="11" t="s">
        <v>319</v>
      </c>
      <c r="IN59" s="11" t="s">
        <v>320</v>
      </c>
      <c r="IO59" s="11" t="s">
        <v>320</v>
      </c>
      <c r="IP59" s="11" t="s">
        <v>320</v>
      </c>
      <c r="IQ59" s="12" t="str">
        <f t="shared" si="3"/>
        <v>2. Accommodating</v>
      </c>
      <c r="IR59" s="12">
        <f t="shared" si="4"/>
        <v>3</v>
      </c>
      <c r="IS59" s="11" t="s">
        <v>337</v>
      </c>
      <c r="IT59" s="11" t="s">
        <v>320</v>
      </c>
      <c r="IU59" s="11" t="s">
        <v>320</v>
      </c>
      <c r="IV59" s="11" t="s">
        <v>320</v>
      </c>
      <c r="IW59" s="11" t="str">
        <f t="shared" si="5"/>
        <v>2. Sensitive</v>
      </c>
      <c r="IX59" s="12">
        <f t="shared" si="6"/>
        <v>3</v>
      </c>
      <c r="IY59" s="11" t="s">
        <v>419</v>
      </c>
      <c r="IZ59" s="11" t="s">
        <v>339</v>
      </c>
      <c r="JE59" s="11" t="s">
        <v>365</v>
      </c>
      <c r="JP59" s="15">
        <f t="shared" si="7"/>
        <v>32849</v>
      </c>
      <c r="JQ59" s="15">
        <f t="shared" si="8"/>
        <v>65698</v>
      </c>
      <c r="JR59" s="279">
        <f t="shared" si="9"/>
        <v>2</v>
      </c>
      <c r="JS59" s="17">
        <f t="shared" si="10"/>
        <v>0.82681360163170869</v>
      </c>
      <c r="JT59" s="18">
        <f t="shared" si="11"/>
        <v>0.82681360163170869</v>
      </c>
      <c r="JU59" s="280">
        <f t="shared" si="12"/>
        <v>27160</v>
      </c>
      <c r="JV59" s="280">
        <f t="shared" si="13"/>
        <v>54320</v>
      </c>
      <c r="JW59" s="319" t="str">
        <f t="shared" si="14"/>
        <v/>
      </c>
      <c r="JX59" s="15">
        <f t="shared" si="15"/>
        <v>0</v>
      </c>
      <c r="JY59" s="15">
        <f t="shared" si="16"/>
        <v>0</v>
      </c>
      <c r="JZ59" s="19" t="str">
        <f t="shared" si="17"/>
        <v/>
      </c>
      <c r="KA59" s="52" t="str">
        <f t="shared" si="18"/>
        <v/>
      </c>
      <c r="KB59" s="15">
        <f t="shared" si="19"/>
        <v>0</v>
      </c>
      <c r="KC59" s="15">
        <f t="shared" si="20"/>
        <v>0</v>
      </c>
      <c r="KD59" s="20" t="str">
        <f t="shared" si="21"/>
        <v/>
      </c>
      <c r="KE59" s="52">
        <f t="shared" si="22"/>
        <v>1</v>
      </c>
      <c r="KF59" s="15">
        <f t="shared" si="23"/>
        <v>27160</v>
      </c>
      <c r="KG59" s="15">
        <f t="shared" si="24"/>
        <v>65698</v>
      </c>
      <c r="KH59" s="21">
        <f t="shared" si="25"/>
        <v>2.4189248895434461</v>
      </c>
      <c r="KI59" s="52" t="str">
        <f t="shared" si="26"/>
        <v/>
      </c>
      <c r="KJ59" s="15">
        <f t="shared" si="27"/>
        <v>0</v>
      </c>
      <c r="KK59" s="15">
        <f t="shared" si="28"/>
        <v>0</v>
      </c>
      <c r="KL59" s="19" t="str">
        <f t="shared" si="29"/>
        <v/>
      </c>
      <c r="KM59" s="52" t="str">
        <f t="shared" si="30"/>
        <v/>
      </c>
      <c r="KN59" s="22">
        <f t="shared" si="31"/>
        <v>0</v>
      </c>
      <c r="KO59" s="22">
        <f t="shared" si="32"/>
        <v>0</v>
      </c>
      <c r="KP59" s="19" t="str">
        <f t="shared" si="33"/>
        <v/>
      </c>
      <c r="KQ59" s="11" t="str">
        <f t="shared" si="34"/>
        <v>3. Responsive</v>
      </c>
      <c r="KR59" s="11" t="str">
        <f t="shared" si="35"/>
        <v>2. Accommodating</v>
      </c>
      <c r="KS59" s="11" t="str">
        <f t="shared" si="36"/>
        <v>2. Sensitive</v>
      </c>
      <c r="KT59" s="11" t="str">
        <f t="shared" si="37"/>
        <v>It did not develop any specific innovation</v>
      </c>
      <c r="KU59" s="11" t="str">
        <f t="shared" si="38"/>
        <v>Moderate advocacy</v>
      </c>
      <c r="KV59" s="11" t="str">
        <f t="shared" si="39"/>
        <v>It linked and worked with strategic alliances and partners to take tested and effective solutions to scale</v>
      </c>
      <c r="KW59" s="11" t="str">
        <f t="shared" si="40"/>
        <v>Bangladesh - Strengthening the Community Support System to Improve Maternal and Infant Health</v>
      </c>
      <c r="KX59" s="11" t="str">
        <f t="shared" si="41"/>
        <v>Strengthening the Community Support System to Improve Maternal and Infant Health</v>
      </c>
      <c r="KY59" s="11" t="str">
        <f t="shared" si="42"/>
        <v>Bangladesh</v>
      </c>
      <c r="KZ59" s="12">
        <v>59</v>
      </c>
    </row>
    <row r="60" spans="1:312" x14ac:dyDescent="0.3">
      <c r="A60" s="282" t="s">
        <v>652</v>
      </c>
      <c r="B60" s="282" t="s">
        <v>306</v>
      </c>
      <c r="C60" s="282">
        <v>2779</v>
      </c>
      <c r="D60" s="282" t="s">
        <v>1363</v>
      </c>
      <c r="E60" s="24" t="str">
        <f t="shared" si="0"/>
        <v>Bangladesh</v>
      </c>
      <c r="F60" s="282" t="s">
        <v>1364</v>
      </c>
      <c r="G60" s="282" t="s">
        <v>379</v>
      </c>
      <c r="H60" s="282" t="s">
        <v>383</v>
      </c>
      <c r="I60" s="282" t="s">
        <v>1102</v>
      </c>
      <c r="J60" s="278" t="s">
        <v>1102</v>
      </c>
      <c r="K60" s="282" t="s">
        <v>1365</v>
      </c>
      <c r="L60" s="282" t="s">
        <v>379</v>
      </c>
      <c r="M60" s="282" t="s">
        <v>383</v>
      </c>
      <c r="N60" s="282" t="s">
        <v>384</v>
      </c>
      <c r="O60" s="282" t="s">
        <v>1366</v>
      </c>
      <c r="P60" s="282"/>
      <c r="Q60" s="282"/>
      <c r="R60" s="282"/>
      <c r="S60" s="282"/>
      <c r="T60" s="282"/>
      <c r="U60" s="282"/>
      <c r="V60" s="282"/>
      <c r="W60" s="282"/>
      <c r="X60" s="282"/>
      <c r="Y60" s="282"/>
      <c r="Z60" s="282"/>
      <c r="AA60" s="282"/>
      <c r="AB60" s="282"/>
      <c r="AC60" s="282"/>
      <c r="AD60" s="282"/>
      <c r="AE60" s="282"/>
      <c r="AF60" s="282"/>
      <c r="AG60" s="282"/>
      <c r="AH60" s="282"/>
      <c r="AI60" s="282"/>
      <c r="AJ60" s="282"/>
      <c r="AK60" s="282"/>
      <c r="AL60" s="282"/>
      <c r="AM60" s="282"/>
      <c r="AN60" s="282"/>
      <c r="AO60" s="282"/>
      <c r="AP60" s="282"/>
      <c r="AQ60" s="282"/>
      <c r="AR60" s="282"/>
      <c r="AS60" s="282"/>
      <c r="AT60" s="282"/>
      <c r="AU60" s="282"/>
      <c r="AV60" s="282"/>
      <c r="AW60" s="282"/>
      <c r="AX60" s="282"/>
      <c r="AY60" s="282"/>
      <c r="AZ60" s="282"/>
      <c r="BA60" s="282"/>
      <c r="BB60" s="282"/>
      <c r="BC60" s="282"/>
      <c r="BD60" s="283">
        <v>41275</v>
      </c>
      <c r="BE60" s="283">
        <v>42735</v>
      </c>
      <c r="BF60" s="283"/>
      <c r="BG60" s="283" t="s">
        <v>350</v>
      </c>
      <c r="BH60" s="284">
        <v>3914749</v>
      </c>
      <c r="BI60" s="282" t="s">
        <v>845</v>
      </c>
      <c r="BJ60" s="282" t="s">
        <v>1367</v>
      </c>
      <c r="BK60" s="282" t="s">
        <v>847</v>
      </c>
      <c r="BL60" s="282" t="s">
        <v>1368</v>
      </c>
      <c r="BM60" s="282" t="s">
        <v>1369</v>
      </c>
      <c r="BN60" s="282" t="s">
        <v>1369</v>
      </c>
      <c r="BO60" s="282" t="s">
        <v>319</v>
      </c>
      <c r="BP60" s="282" t="s">
        <v>320</v>
      </c>
      <c r="BQ60" s="282" t="s">
        <v>319</v>
      </c>
      <c r="BR60" s="282" t="s">
        <v>1370</v>
      </c>
      <c r="BS60" s="282" t="s">
        <v>357</v>
      </c>
      <c r="BT60" s="282" t="s">
        <v>1371</v>
      </c>
      <c r="BU60" s="282" t="s">
        <v>1372</v>
      </c>
      <c r="BV60" s="284">
        <v>21000</v>
      </c>
      <c r="BW60" s="284">
        <v>9000</v>
      </c>
      <c r="BX60" s="284">
        <v>30000</v>
      </c>
      <c r="BY60" s="284">
        <v>44932</v>
      </c>
      <c r="BZ60" s="284">
        <v>45068</v>
      </c>
      <c r="CA60" s="284">
        <v>90000</v>
      </c>
      <c r="CB60" s="285" t="s">
        <v>1373</v>
      </c>
      <c r="CC60" s="285"/>
      <c r="CD60" s="284"/>
      <c r="CE60" s="284"/>
      <c r="CF60" s="284"/>
      <c r="CG60" s="284"/>
      <c r="CH60" s="284"/>
      <c r="CI60" s="284"/>
      <c r="CJ60" s="282"/>
      <c r="CK60" s="284"/>
      <c r="CL60" s="286"/>
      <c r="CM60" s="284"/>
      <c r="CN60" s="287"/>
      <c r="CO60" s="284"/>
      <c r="CP60" s="286"/>
      <c r="CQ60" s="284"/>
      <c r="CR60" s="282"/>
      <c r="CS60" s="284"/>
      <c r="CT60" s="286"/>
      <c r="CU60" s="284"/>
      <c r="CV60" s="282"/>
      <c r="CW60" s="284"/>
      <c r="CX60" s="286"/>
      <c r="CY60" s="284"/>
      <c r="CZ60" s="282"/>
      <c r="DA60" s="284"/>
      <c r="DB60" s="286"/>
      <c r="DC60" s="284"/>
      <c r="DD60" s="287"/>
      <c r="DE60" s="284"/>
      <c r="DF60" s="286"/>
      <c r="DG60" s="284"/>
      <c r="DH60" s="282"/>
      <c r="DI60" s="284"/>
      <c r="DJ60" s="286"/>
      <c r="DK60" s="284"/>
      <c r="DL60" s="282"/>
      <c r="DM60" s="284"/>
      <c r="DN60" s="286"/>
      <c r="DO60" s="284"/>
      <c r="DP60" s="282"/>
      <c r="DQ60" s="284"/>
      <c r="DR60" s="286"/>
      <c r="DS60" s="284"/>
      <c r="DT60" s="282"/>
      <c r="DU60" s="284"/>
      <c r="DV60" s="286"/>
      <c r="DW60" s="284"/>
      <c r="DX60" s="282"/>
      <c r="DY60" s="284"/>
      <c r="DZ60" s="286"/>
      <c r="EA60" s="284"/>
      <c r="EB60" s="282"/>
      <c r="EC60" s="284"/>
      <c r="ED60" s="286"/>
      <c r="EE60" s="284"/>
      <c r="EF60" s="285"/>
      <c r="EG60" s="287"/>
      <c r="EH60" s="284"/>
      <c r="EI60" s="286"/>
      <c r="EJ60" s="284"/>
      <c r="EK60" s="284">
        <v>0</v>
      </c>
      <c r="EL60" s="284">
        <v>0</v>
      </c>
      <c r="EM60" s="284">
        <v>0</v>
      </c>
      <c r="EN60" s="284">
        <v>0</v>
      </c>
      <c r="EO60" s="284">
        <v>0</v>
      </c>
      <c r="EP60" s="284">
        <v>0</v>
      </c>
      <c r="EQ60" s="282" t="s">
        <v>319</v>
      </c>
      <c r="ER60" s="284"/>
      <c r="ES60" s="286"/>
      <c r="ET60" s="284"/>
      <c r="EU60" s="282" t="s">
        <v>319</v>
      </c>
      <c r="EV60" s="284"/>
      <c r="EW60" s="286"/>
      <c r="EX60" s="284"/>
      <c r="EY60" s="282" t="s">
        <v>319</v>
      </c>
      <c r="EZ60" s="284"/>
      <c r="FA60" s="286"/>
      <c r="FB60" s="284"/>
      <c r="FC60" s="282" t="s">
        <v>319</v>
      </c>
      <c r="FD60" s="284"/>
      <c r="FE60" s="286"/>
      <c r="FF60" s="284"/>
      <c r="FG60" s="282" t="s">
        <v>319</v>
      </c>
      <c r="FH60" s="284"/>
      <c r="FI60" s="286"/>
      <c r="FJ60" s="284"/>
      <c r="FK60" s="282" t="s">
        <v>319</v>
      </c>
      <c r="FL60" s="284"/>
      <c r="FM60" s="286"/>
      <c r="FN60" s="284"/>
      <c r="FO60" s="282" t="s">
        <v>319</v>
      </c>
      <c r="FP60" s="284"/>
      <c r="FQ60" s="286"/>
      <c r="FR60" s="284"/>
      <c r="FS60" s="282" t="s">
        <v>319</v>
      </c>
      <c r="FT60" s="284"/>
      <c r="FU60" s="286"/>
      <c r="FV60" s="284"/>
      <c r="FW60" s="282" t="s">
        <v>319</v>
      </c>
      <c r="FX60" s="284"/>
      <c r="FY60" s="286"/>
      <c r="FZ60" s="284"/>
      <c r="GA60" s="282" t="s">
        <v>319</v>
      </c>
      <c r="GB60" s="284"/>
      <c r="GC60" s="286"/>
      <c r="GD60" s="284"/>
      <c r="GE60" s="282" t="s">
        <v>319</v>
      </c>
      <c r="GF60" s="284"/>
      <c r="GG60" s="286"/>
      <c r="GH60" s="284"/>
      <c r="GI60" s="282" t="s">
        <v>319</v>
      </c>
      <c r="GJ60" s="284"/>
      <c r="GK60" s="286"/>
      <c r="GL60" s="284"/>
      <c r="GM60" s="282" t="s">
        <v>319</v>
      </c>
      <c r="GN60" s="284"/>
      <c r="GO60" s="286"/>
      <c r="GP60" s="284"/>
      <c r="GQ60" s="282" t="s">
        <v>319</v>
      </c>
      <c r="GR60" s="284"/>
      <c r="GS60" s="286"/>
      <c r="GT60" s="284"/>
      <c r="GU60" s="282" t="s">
        <v>319</v>
      </c>
      <c r="GV60" s="284"/>
      <c r="GW60" s="286"/>
      <c r="GX60" s="284"/>
      <c r="GY60" s="282" t="s">
        <v>319</v>
      </c>
      <c r="GZ60" s="284"/>
      <c r="HA60" s="286"/>
      <c r="HB60" s="284"/>
      <c r="HC60" s="282"/>
      <c r="HD60" s="282"/>
      <c r="HE60" s="284"/>
      <c r="HF60" s="286"/>
      <c r="HG60" s="284"/>
      <c r="HH60" s="282" t="s">
        <v>320</v>
      </c>
      <c r="HI60" s="282" t="s">
        <v>327</v>
      </c>
      <c r="HJ60" s="282">
        <v>2016</v>
      </c>
      <c r="HK60" s="282" t="s">
        <v>320</v>
      </c>
      <c r="HL60" s="282" t="s">
        <v>319</v>
      </c>
      <c r="HM60" s="282"/>
      <c r="HN60" s="282"/>
      <c r="HO60" s="282"/>
      <c r="HP60" s="282" t="s">
        <v>330</v>
      </c>
      <c r="HQ60" s="282" t="s">
        <v>319</v>
      </c>
      <c r="HR60" s="282" t="s">
        <v>319</v>
      </c>
      <c r="HS60" s="282" t="s">
        <v>320</v>
      </c>
      <c r="HT60" s="282" t="s">
        <v>320</v>
      </c>
      <c r="HU60" s="282" t="s">
        <v>320</v>
      </c>
      <c r="HV60" s="282" t="s">
        <v>320</v>
      </c>
      <c r="HW60" s="282" t="s">
        <v>319</v>
      </c>
      <c r="HX60" s="282" t="s">
        <v>319</v>
      </c>
      <c r="HY60" s="282"/>
      <c r="HZ60" s="282" t="s">
        <v>331</v>
      </c>
      <c r="IA60" s="282" t="s">
        <v>1374</v>
      </c>
      <c r="IB60" s="282" t="s">
        <v>396</v>
      </c>
      <c r="IC60" s="282" t="s">
        <v>1375</v>
      </c>
      <c r="ID60" s="282" t="s">
        <v>364</v>
      </c>
      <c r="IE60" s="282" t="s">
        <v>335</v>
      </c>
      <c r="IF60" s="282" t="s">
        <v>320</v>
      </c>
      <c r="IG60" s="282" t="s">
        <v>320</v>
      </c>
      <c r="IH60" s="282" t="s">
        <v>320</v>
      </c>
      <c r="II60" s="282" t="s">
        <v>320</v>
      </c>
      <c r="IJ60" s="12" t="str">
        <f t="shared" si="1"/>
        <v>2. Sensitive</v>
      </c>
      <c r="IK60" s="287">
        <f t="shared" si="2"/>
        <v>4</v>
      </c>
      <c r="IL60" s="282" t="s">
        <v>336</v>
      </c>
      <c r="IM60" s="282" t="s">
        <v>320</v>
      </c>
      <c r="IN60" s="282" t="s">
        <v>320</v>
      </c>
      <c r="IO60" s="282" t="s">
        <v>320</v>
      </c>
      <c r="IP60" s="282" t="s">
        <v>320</v>
      </c>
      <c r="IQ60" s="287" t="str">
        <f t="shared" si="3"/>
        <v>2. Accommodating</v>
      </c>
      <c r="IR60" s="287">
        <f t="shared" si="4"/>
        <v>4</v>
      </c>
      <c r="IS60" s="282" t="s">
        <v>337</v>
      </c>
      <c r="IT60" s="282" t="s">
        <v>320</v>
      </c>
      <c r="IU60" s="282" t="s">
        <v>320</v>
      </c>
      <c r="IV60" s="282" t="s">
        <v>320</v>
      </c>
      <c r="IW60" s="11" t="str">
        <f t="shared" si="5"/>
        <v>2. Sensitive</v>
      </c>
      <c r="IX60" s="287">
        <f t="shared" si="6"/>
        <v>3</v>
      </c>
      <c r="IY60" s="282" t="s">
        <v>419</v>
      </c>
      <c r="IZ60" s="282" t="s">
        <v>457</v>
      </c>
      <c r="JA60" s="282">
        <v>1</v>
      </c>
      <c r="JB60" s="282" t="s">
        <v>724</v>
      </c>
      <c r="JC60" s="282"/>
      <c r="JD60" s="282"/>
      <c r="JE60" s="282" t="s">
        <v>365</v>
      </c>
      <c r="JF60" s="282"/>
      <c r="JG60" s="282" t="s">
        <v>1376</v>
      </c>
      <c r="JH60" s="282" t="s">
        <v>1377</v>
      </c>
      <c r="JI60" s="282" t="s">
        <v>1378</v>
      </c>
      <c r="JJ60" s="282" t="s">
        <v>1379</v>
      </c>
      <c r="JK60" s="282" t="s">
        <v>1380</v>
      </c>
      <c r="JL60" s="282" t="s">
        <v>1381</v>
      </c>
      <c r="JM60" s="282" t="s">
        <v>1382</v>
      </c>
      <c r="JN60" s="282"/>
      <c r="JO60" s="282" t="s">
        <v>1383</v>
      </c>
      <c r="JP60" s="15">
        <f t="shared" si="7"/>
        <v>0</v>
      </c>
      <c r="JQ60" s="15">
        <f t="shared" si="8"/>
        <v>0</v>
      </c>
      <c r="JR60" s="279" t="str">
        <f t="shared" si="9"/>
        <v/>
      </c>
      <c r="JS60" s="17" t="str">
        <f t="shared" si="10"/>
        <v/>
      </c>
      <c r="JT60" s="18" t="str">
        <f t="shared" si="11"/>
        <v/>
      </c>
      <c r="JU60" s="280">
        <f t="shared" si="12"/>
        <v>0</v>
      </c>
      <c r="JV60" s="280">
        <f t="shared" si="13"/>
        <v>0</v>
      </c>
      <c r="JW60" s="319" t="str">
        <f t="shared" si="14"/>
        <v/>
      </c>
      <c r="JX60" s="15">
        <f t="shared" si="15"/>
        <v>0</v>
      </c>
      <c r="JY60" s="15">
        <f t="shared" si="16"/>
        <v>0</v>
      </c>
      <c r="JZ60" s="19" t="str">
        <f t="shared" si="17"/>
        <v/>
      </c>
      <c r="KA60" s="52" t="str">
        <f t="shared" si="18"/>
        <v/>
      </c>
      <c r="KB60" s="15">
        <f t="shared" si="19"/>
        <v>0</v>
      </c>
      <c r="KC60" s="15">
        <f t="shared" si="20"/>
        <v>0</v>
      </c>
      <c r="KD60" s="20" t="str">
        <f t="shared" si="21"/>
        <v/>
      </c>
      <c r="KE60" s="52" t="str">
        <f t="shared" si="22"/>
        <v/>
      </c>
      <c r="KF60" s="15">
        <f t="shared" si="23"/>
        <v>0</v>
      </c>
      <c r="KG60" s="15">
        <f t="shared" si="24"/>
        <v>0</v>
      </c>
      <c r="KH60" s="21" t="str">
        <f t="shared" si="25"/>
        <v/>
      </c>
      <c r="KI60" s="52" t="str">
        <f t="shared" si="26"/>
        <v/>
      </c>
      <c r="KJ60" s="15">
        <f t="shared" si="27"/>
        <v>0</v>
      </c>
      <c r="KK60" s="15">
        <f t="shared" si="28"/>
        <v>0</v>
      </c>
      <c r="KL60" s="19" t="str">
        <f t="shared" si="29"/>
        <v/>
      </c>
      <c r="KM60" s="52" t="str">
        <f t="shared" si="30"/>
        <v/>
      </c>
      <c r="KN60" s="22">
        <f t="shared" si="31"/>
        <v>0</v>
      </c>
      <c r="KO60" s="22">
        <f t="shared" si="32"/>
        <v>0</v>
      </c>
      <c r="KP60" s="19" t="str">
        <f t="shared" si="33"/>
        <v/>
      </c>
      <c r="KQ60" s="11" t="str">
        <f t="shared" si="34"/>
        <v>2. Sensitive</v>
      </c>
      <c r="KR60" s="11" t="str">
        <f t="shared" si="35"/>
        <v>2. Accommodating</v>
      </c>
      <c r="KS60" s="11" t="str">
        <f t="shared" si="36"/>
        <v>2. Sensitive</v>
      </c>
      <c r="KT60" s="11" t="str">
        <f t="shared" si="37"/>
        <v>It tested new ways for fighting poverty and measured results of innovation</v>
      </c>
      <c r="KU60" s="11" t="str">
        <f t="shared" si="38"/>
        <v>Moderate advocacy</v>
      </c>
      <c r="KV60" s="11" t="str">
        <f t="shared" si="39"/>
        <v>It linked and worked with strategic alliances and partners to take tested and effective solutions to scale</v>
      </c>
      <c r="KW60" s="11" t="str">
        <f t="shared" si="40"/>
        <v>Bangladesh - Strengthening the Dairy Value Chain project II (SDVC II)</v>
      </c>
      <c r="KX60" s="11" t="str">
        <f t="shared" si="41"/>
        <v>Strengthening the Dairy Value Chain project II (SDVC II)</v>
      </c>
      <c r="KY60" s="11" t="str">
        <f t="shared" si="42"/>
        <v>Bangladesh</v>
      </c>
      <c r="KZ60" s="12">
        <v>60</v>
      </c>
    </row>
    <row r="61" spans="1:312" x14ac:dyDescent="0.3">
      <c r="A61" s="11" t="s">
        <v>652</v>
      </c>
      <c r="B61" s="11" t="s">
        <v>306</v>
      </c>
      <c r="D61" s="11" t="s">
        <v>977</v>
      </c>
      <c r="E61" s="24" t="str">
        <f t="shared" si="0"/>
        <v>Bangladesh</v>
      </c>
      <c r="F61" s="11" t="s">
        <v>978</v>
      </c>
      <c r="G61" s="11" t="s">
        <v>488</v>
      </c>
      <c r="H61" s="11" t="s">
        <v>310</v>
      </c>
      <c r="I61" s="11" t="s">
        <v>506</v>
      </c>
      <c r="J61" s="278" t="s">
        <v>9230</v>
      </c>
      <c r="BD61" s="23">
        <v>42856</v>
      </c>
      <c r="BE61" s="23">
        <v>44104</v>
      </c>
      <c r="BG61" s="11" t="s">
        <v>817</v>
      </c>
      <c r="BH61" s="22">
        <v>876571</v>
      </c>
      <c r="BI61" s="11" t="s">
        <v>979</v>
      </c>
      <c r="BJ61" s="11" t="s">
        <v>980</v>
      </c>
      <c r="BK61" s="11" t="s">
        <v>981</v>
      </c>
      <c r="BL61" s="11" t="s">
        <v>893</v>
      </c>
      <c r="BM61" s="11" t="s">
        <v>982</v>
      </c>
      <c r="BN61" s="11" t="s">
        <v>822</v>
      </c>
      <c r="BO61" s="11" t="s">
        <v>320</v>
      </c>
      <c r="BP61" s="11" t="s">
        <v>320</v>
      </c>
      <c r="BQ61" s="12" t="s">
        <v>320</v>
      </c>
      <c r="BR61" s="11" t="s">
        <v>983</v>
      </c>
      <c r="BS61" s="11" t="s">
        <v>322</v>
      </c>
      <c r="BT61" s="11" t="s">
        <v>984</v>
      </c>
      <c r="BU61" s="11" t="s">
        <v>985</v>
      </c>
      <c r="BV61" s="22">
        <v>390</v>
      </c>
      <c r="BW61" s="22">
        <v>300</v>
      </c>
      <c r="BX61" s="22">
        <v>690</v>
      </c>
      <c r="BY61" s="22">
        <v>2500000</v>
      </c>
      <c r="BZ61" s="22">
        <v>2500000</v>
      </c>
      <c r="CA61" s="22">
        <v>5000000</v>
      </c>
      <c r="CB61" s="15" t="s">
        <v>986</v>
      </c>
      <c r="CD61" s="22">
        <v>0</v>
      </c>
      <c r="CE61" s="22">
        <v>0</v>
      </c>
      <c r="CF61" s="22">
        <v>0</v>
      </c>
      <c r="CG61" s="22">
        <v>0</v>
      </c>
      <c r="CH61" s="22">
        <v>0</v>
      </c>
      <c r="CI61" s="22">
        <v>0</v>
      </c>
      <c r="CJ61" s="11" t="s">
        <v>319</v>
      </c>
      <c r="CL61" s="18"/>
      <c r="CN61" s="12" t="s">
        <v>319</v>
      </c>
      <c r="CP61" s="18"/>
      <c r="CR61" s="11" t="s">
        <v>319</v>
      </c>
      <c r="CT61" s="18"/>
      <c r="CV61" s="11" t="s">
        <v>319</v>
      </c>
      <c r="CX61" s="18"/>
      <c r="CZ61" s="11" t="s">
        <v>319</v>
      </c>
      <c r="DB61" s="18"/>
      <c r="DD61" s="12" t="s">
        <v>319</v>
      </c>
      <c r="DF61" s="18"/>
      <c r="DH61" s="11" t="s">
        <v>319</v>
      </c>
      <c r="DJ61" s="18"/>
      <c r="DL61" s="11" t="s">
        <v>319</v>
      </c>
      <c r="DN61" s="18"/>
      <c r="DP61" s="11" t="s">
        <v>319</v>
      </c>
      <c r="DR61" s="18"/>
      <c r="DT61" s="11" t="s">
        <v>319</v>
      </c>
      <c r="DV61" s="18"/>
      <c r="DX61" s="11" t="s">
        <v>319</v>
      </c>
      <c r="DZ61" s="18"/>
      <c r="EB61" s="11" t="s">
        <v>319</v>
      </c>
      <c r="ED61" s="18"/>
      <c r="EI61" s="18"/>
      <c r="EQ61" s="12" t="s">
        <v>319</v>
      </c>
      <c r="ES61" s="18"/>
      <c r="EU61" s="11" t="s">
        <v>319</v>
      </c>
      <c r="EW61" s="18"/>
      <c r="EY61" s="12" t="s">
        <v>319</v>
      </c>
      <c r="FA61" s="18"/>
      <c r="FC61" s="12" t="s">
        <v>319</v>
      </c>
      <c r="FE61" s="18"/>
      <c r="FG61" s="12" t="s">
        <v>319</v>
      </c>
      <c r="FI61" s="18"/>
      <c r="FK61" s="11" t="s">
        <v>319</v>
      </c>
      <c r="FM61" s="18"/>
      <c r="FO61" s="11" t="s">
        <v>319</v>
      </c>
      <c r="FQ61" s="18"/>
      <c r="FS61" s="11" t="s">
        <v>319</v>
      </c>
      <c r="FU61" s="18"/>
      <c r="FW61" s="11" t="s">
        <v>319</v>
      </c>
      <c r="FY61" s="18"/>
      <c r="GA61" s="11" t="s">
        <v>319</v>
      </c>
      <c r="GC61" s="18"/>
      <c r="GE61" s="11" t="s">
        <v>319</v>
      </c>
      <c r="GG61" s="18"/>
      <c r="GI61" s="11" t="s">
        <v>319</v>
      </c>
      <c r="GK61" s="18"/>
      <c r="GM61" s="11" t="s">
        <v>319</v>
      </c>
      <c r="GO61" s="18"/>
      <c r="GQ61" s="11" t="s">
        <v>319</v>
      </c>
      <c r="GS61" s="18"/>
      <c r="GU61" s="11" t="s">
        <v>319</v>
      </c>
      <c r="GW61" s="18"/>
      <c r="GY61" s="11" t="s">
        <v>319</v>
      </c>
      <c r="HA61" s="18"/>
      <c r="HD61" s="11" t="s">
        <v>319</v>
      </c>
      <c r="HF61" s="18"/>
      <c r="HH61" s="11" t="s">
        <v>319</v>
      </c>
      <c r="HK61" s="11" t="s">
        <v>319</v>
      </c>
      <c r="HL61" s="11" t="s">
        <v>319</v>
      </c>
      <c r="HP61" s="11" t="s">
        <v>418</v>
      </c>
      <c r="HQ61" s="11" t="s">
        <v>319</v>
      </c>
      <c r="HR61" s="11" t="s">
        <v>319</v>
      </c>
      <c r="HS61" s="11" t="s">
        <v>319</v>
      </c>
      <c r="HT61" s="11" t="s">
        <v>319</v>
      </c>
      <c r="HU61" s="11" t="s">
        <v>319</v>
      </c>
      <c r="HV61" s="11" t="s">
        <v>319</v>
      </c>
      <c r="HW61" s="11" t="s">
        <v>319</v>
      </c>
      <c r="HX61" s="11" t="s">
        <v>319</v>
      </c>
      <c r="HZ61" s="11" t="s">
        <v>363</v>
      </c>
      <c r="IB61" s="11" t="s">
        <v>396</v>
      </c>
      <c r="IC61" s="11" t="s">
        <v>987</v>
      </c>
      <c r="ID61" s="11" t="s">
        <v>364</v>
      </c>
      <c r="IE61" s="11" t="s">
        <v>335</v>
      </c>
      <c r="IF61" s="11" t="s">
        <v>320</v>
      </c>
      <c r="IG61" s="11" t="s">
        <v>320</v>
      </c>
      <c r="IH61" s="11" t="s">
        <v>320</v>
      </c>
      <c r="II61" s="11" t="s">
        <v>320</v>
      </c>
      <c r="IJ61" s="12" t="str">
        <f t="shared" si="1"/>
        <v>2. Sensitive</v>
      </c>
      <c r="IK61" s="12">
        <f t="shared" si="2"/>
        <v>4</v>
      </c>
      <c r="IL61" s="11" t="s">
        <v>336</v>
      </c>
      <c r="IM61" s="11" t="s">
        <v>320</v>
      </c>
      <c r="IN61" s="11" t="s">
        <v>320</v>
      </c>
      <c r="IO61" s="11" t="s">
        <v>320</v>
      </c>
      <c r="IP61" s="11" t="s">
        <v>320</v>
      </c>
      <c r="IQ61" s="12" t="str">
        <f t="shared" si="3"/>
        <v>2. Accommodating</v>
      </c>
      <c r="IR61" s="12">
        <f t="shared" si="4"/>
        <v>4</v>
      </c>
      <c r="IS61" s="11" t="s">
        <v>337</v>
      </c>
      <c r="IT61" s="11" t="s">
        <v>320</v>
      </c>
      <c r="IU61" s="11" t="s">
        <v>320</v>
      </c>
      <c r="IV61" s="11" t="s">
        <v>320</v>
      </c>
      <c r="IW61" s="11" t="str">
        <f t="shared" si="5"/>
        <v>2. Sensitive</v>
      </c>
      <c r="IX61" s="12">
        <f t="shared" si="6"/>
        <v>3</v>
      </c>
      <c r="IY61" s="11" t="s">
        <v>338</v>
      </c>
      <c r="IZ61" s="11" t="s">
        <v>339</v>
      </c>
      <c r="JE61" s="11" t="s">
        <v>420</v>
      </c>
      <c r="JN61" s="11" t="s">
        <v>988</v>
      </c>
      <c r="JP61" s="15">
        <f t="shared" si="7"/>
        <v>0</v>
      </c>
      <c r="JQ61" s="15">
        <f t="shared" si="8"/>
        <v>0</v>
      </c>
      <c r="JR61" s="279" t="str">
        <f t="shared" si="9"/>
        <v/>
      </c>
      <c r="JS61" s="17" t="str">
        <f t="shared" si="10"/>
        <v/>
      </c>
      <c r="JT61" s="18" t="str">
        <f t="shared" si="11"/>
        <v/>
      </c>
      <c r="JU61" s="280">
        <f t="shared" si="12"/>
        <v>0</v>
      </c>
      <c r="JV61" s="280">
        <f t="shared" si="13"/>
        <v>0</v>
      </c>
      <c r="JW61" s="319">
        <f t="shared" si="14"/>
        <v>1</v>
      </c>
      <c r="JX61" s="15">
        <f t="shared" si="15"/>
        <v>0</v>
      </c>
      <c r="JY61" s="15">
        <f t="shared" si="16"/>
        <v>0</v>
      </c>
      <c r="JZ61" s="19" t="str">
        <f t="shared" si="17"/>
        <v/>
      </c>
      <c r="KA61" s="52" t="str">
        <f t="shared" si="18"/>
        <v/>
      </c>
      <c r="KB61" s="15">
        <f t="shared" si="19"/>
        <v>0</v>
      </c>
      <c r="KC61" s="15">
        <f t="shared" si="20"/>
        <v>0</v>
      </c>
      <c r="KD61" s="20" t="str">
        <f t="shared" si="21"/>
        <v/>
      </c>
      <c r="KE61" s="52" t="str">
        <f t="shared" si="22"/>
        <v/>
      </c>
      <c r="KF61" s="15">
        <f t="shared" si="23"/>
        <v>0</v>
      </c>
      <c r="KG61" s="15">
        <f t="shared" si="24"/>
        <v>0</v>
      </c>
      <c r="KH61" s="21" t="str">
        <f t="shared" si="25"/>
        <v/>
      </c>
      <c r="KI61" s="52" t="str">
        <f t="shared" si="26"/>
        <v/>
      </c>
      <c r="KJ61" s="15">
        <f t="shared" si="27"/>
        <v>0</v>
      </c>
      <c r="KK61" s="15">
        <f t="shared" si="28"/>
        <v>0</v>
      </c>
      <c r="KL61" s="19" t="str">
        <f t="shared" si="29"/>
        <v/>
      </c>
      <c r="KM61" s="52" t="str">
        <f t="shared" si="30"/>
        <v/>
      </c>
      <c r="KN61" s="22">
        <f t="shared" si="31"/>
        <v>0</v>
      </c>
      <c r="KO61" s="22">
        <f t="shared" si="32"/>
        <v>0</v>
      </c>
      <c r="KP61" s="19" t="str">
        <f t="shared" si="33"/>
        <v/>
      </c>
      <c r="KQ61" s="11" t="str">
        <f t="shared" si="34"/>
        <v>2. Sensitive</v>
      </c>
      <c r="KR61" s="11" t="str">
        <f t="shared" si="35"/>
        <v>2. Accommodating</v>
      </c>
      <c r="KS61" s="11" t="str">
        <f t="shared" si="36"/>
        <v>2. Sensitive</v>
      </c>
      <c r="KT61" s="11" t="str">
        <f t="shared" si="37"/>
        <v>It did not develop any specific innovation</v>
      </c>
      <c r="KU61" s="11" t="str">
        <f t="shared" si="38"/>
        <v>Little or no advocacy</v>
      </c>
      <c r="KV61" s="11" t="str">
        <f t="shared" si="39"/>
        <v>It linked and worked with strategic alliances and partners to take tested and effective solutions to scale</v>
      </c>
      <c r="KW61" s="11" t="str">
        <f t="shared" si="40"/>
        <v>Bangladesh - Supporting Bangladesh Rapid Needs Assessment (SUBARNA) Project</v>
      </c>
      <c r="KX61" s="11" t="str">
        <f t="shared" si="41"/>
        <v>Supporting Bangladesh Rapid Needs Assessment (SUBARNA) Project</v>
      </c>
      <c r="KY61" s="11" t="str">
        <f t="shared" si="42"/>
        <v>Bangladesh</v>
      </c>
      <c r="KZ61" s="12">
        <v>61</v>
      </c>
    </row>
    <row r="62" spans="1:312" x14ac:dyDescent="0.3">
      <c r="A62" s="11" t="s">
        <v>652</v>
      </c>
      <c r="B62" s="11" t="s">
        <v>306</v>
      </c>
      <c r="D62" s="11" t="s">
        <v>1384</v>
      </c>
      <c r="E62" s="24" t="str">
        <f t="shared" si="0"/>
        <v>Bangladesh</v>
      </c>
      <c r="F62" s="11" t="s">
        <v>1385</v>
      </c>
      <c r="G62" s="11" t="s">
        <v>379</v>
      </c>
      <c r="H62" s="11" t="s">
        <v>383</v>
      </c>
      <c r="I62" s="11" t="s">
        <v>1102</v>
      </c>
      <c r="J62" s="278" t="s">
        <v>1102</v>
      </c>
      <c r="BD62" s="23">
        <v>42675</v>
      </c>
      <c r="BE62" s="23">
        <v>44135</v>
      </c>
      <c r="BG62" s="11" t="s">
        <v>490</v>
      </c>
      <c r="BH62" s="22">
        <v>242835</v>
      </c>
      <c r="BI62" s="11" t="s">
        <v>1051</v>
      </c>
      <c r="BJ62" s="11" t="s">
        <v>1090</v>
      </c>
      <c r="BK62" s="11" t="s">
        <v>798</v>
      </c>
      <c r="BL62" s="11" t="s">
        <v>1386</v>
      </c>
      <c r="BM62" s="11" t="s">
        <v>444</v>
      </c>
      <c r="BN62" s="11" t="s">
        <v>1387</v>
      </c>
      <c r="BO62" s="11" t="s">
        <v>319</v>
      </c>
      <c r="BP62" s="11" t="s">
        <v>320</v>
      </c>
      <c r="BQ62" s="11" t="s">
        <v>319</v>
      </c>
      <c r="BR62" s="11" t="s">
        <v>1388</v>
      </c>
      <c r="BS62" s="11" t="s">
        <v>357</v>
      </c>
      <c r="BT62" s="11" t="s">
        <v>1389</v>
      </c>
      <c r="BU62" s="11" t="s">
        <v>1390</v>
      </c>
      <c r="BV62" s="22">
        <v>58057</v>
      </c>
      <c r="BW62" s="22">
        <v>0</v>
      </c>
      <c r="BX62" s="22">
        <v>58057</v>
      </c>
      <c r="BY62" s="22">
        <v>116114</v>
      </c>
      <c r="BZ62" s="22">
        <v>116114</v>
      </c>
      <c r="CA62" s="22">
        <v>232228</v>
      </c>
      <c r="CB62" s="15" t="s">
        <v>1391</v>
      </c>
      <c r="CL62" s="18"/>
      <c r="CP62" s="18"/>
      <c r="CT62" s="18"/>
      <c r="CX62" s="18"/>
      <c r="DB62" s="18"/>
      <c r="DF62" s="18"/>
      <c r="DJ62" s="18"/>
      <c r="DN62" s="18"/>
      <c r="DR62" s="18"/>
      <c r="DV62" s="18"/>
      <c r="DZ62" s="18"/>
      <c r="ED62" s="18"/>
      <c r="EI62" s="18"/>
      <c r="EQ62" s="12" t="s">
        <v>319</v>
      </c>
      <c r="ES62" s="18"/>
      <c r="EU62" s="11" t="s">
        <v>319</v>
      </c>
      <c r="EW62" s="18"/>
      <c r="EY62" s="12" t="s">
        <v>319</v>
      </c>
      <c r="FA62" s="18"/>
      <c r="FC62" s="12" t="s">
        <v>319</v>
      </c>
      <c r="FE62" s="18"/>
      <c r="FG62" s="12" t="s">
        <v>319</v>
      </c>
      <c r="FI62" s="18"/>
      <c r="FK62" s="11" t="s">
        <v>319</v>
      </c>
      <c r="FM62" s="18"/>
      <c r="FO62" s="11" t="s">
        <v>319</v>
      </c>
      <c r="FQ62" s="18"/>
      <c r="FS62" s="11" t="s">
        <v>319</v>
      </c>
      <c r="FU62" s="18"/>
      <c r="FW62" s="11" t="s">
        <v>319</v>
      </c>
      <c r="FY62" s="18"/>
      <c r="GA62" s="11" t="s">
        <v>319</v>
      </c>
      <c r="GC62" s="18"/>
      <c r="GE62" s="11" t="s">
        <v>319</v>
      </c>
      <c r="GG62" s="18"/>
      <c r="GI62" s="11" t="s">
        <v>319</v>
      </c>
      <c r="GK62" s="18"/>
      <c r="GM62" s="11" t="s">
        <v>319</v>
      </c>
      <c r="GO62" s="18"/>
      <c r="GQ62" s="11" t="s">
        <v>319</v>
      </c>
      <c r="GS62" s="18"/>
      <c r="GU62" s="11" t="s">
        <v>319</v>
      </c>
      <c r="GW62" s="18"/>
      <c r="GY62" s="11" t="s">
        <v>319</v>
      </c>
      <c r="HA62" s="18"/>
      <c r="HF62" s="18"/>
      <c r="HH62" s="11" t="s">
        <v>319</v>
      </c>
      <c r="HK62" s="11" t="s">
        <v>319</v>
      </c>
      <c r="HL62" s="11" t="s">
        <v>319</v>
      </c>
      <c r="HP62" s="11" t="s">
        <v>418</v>
      </c>
      <c r="HQ62" s="11" t="s">
        <v>319</v>
      </c>
      <c r="HR62" s="11" t="s">
        <v>319</v>
      </c>
      <c r="HS62" s="11" t="s">
        <v>319</v>
      </c>
      <c r="HT62" s="11" t="s">
        <v>319</v>
      </c>
      <c r="HU62" s="11" t="s">
        <v>319</v>
      </c>
      <c r="HV62" s="11" t="s">
        <v>319</v>
      </c>
      <c r="HW62" s="11" t="s">
        <v>319</v>
      </c>
      <c r="HZ62" s="11" t="s">
        <v>363</v>
      </c>
      <c r="IB62" s="11" t="s">
        <v>333</v>
      </c>
      <c r="ID62" s="11" t="s">
        <v>364</v>
      </c>
      <c r="IE62" s="11" t="s">
        <v>478</v>
      </c>
      <c r="IF62" s="11" t="s">
        <v>320</v>
      </c>
      <c r="IG62" s="11" t="s">
        <v>320</v>
      </c>
      <c r="IH62" s="11" t="s">
        <v>320</v>
      </c>
      <c r="II62" s="11" t="s">
        <v>319</v>
      </c>
      <c r="IJ62" s="12" t="str">
        <f t="shared" si="1"/>
        <v>3. Responsive</v>
      </c>
      <c r="IK62" s="12">
        <f t="shared" si="2"/>
        <v>3</v>
      </c>
      <c r="IL62" s="11" t="s">
        <v>336</v>
      </c>
      <c r="IM62" s="11" t="s">
        <v>320</v>
      </c>
      <c r="IN62" s="11" t="s">
        <v>320</v>
      </c>
      <c r="IO62" s="11" t="s">
        <v>320</v>
      </c>
      <c r="IP62" s="11" t="s">
        <v>319</v>
      </c>
      <c r="IQ62" s="12" t="str">
        <f t="shared" si="3"/>
        <v>2. Accommodating</v>
      </c>
      <c r="IR62" s="12">
        <f t="shared" si="4"/>
        <v>3</v>
      </c>
      <c r="IW62" s="11" t="str">
        <f t="shared" si="5"/>
        <v>No marker score</v>
      </c>
      <c r="IX62" s="12">
        <f t="shared" si="6"/>
        <v>0</v>
      </c>
      <c r="IY62" s="11" t="s">
        <v>338</v>
      </c>
      <c r="IZ62" s="11" t="s">
        <v>339</v>
      </c>
      <c r="JE62" s="11" t="s">
        <v>420</v>
      </c>
      <c r="JH62" s="11" t="s">
        <v>1392</v>
      </c>
      <c r="JP62" s="15">
        <f t="shared" si="7"/>
        <v>0</v>
      </c>
      <c r="JQ62" s="15">
        <f t="shared" si="8"/>
        <v>0</v>
      </c>
      <c r="JR62" s="279" t="str">
        <f t="shared" si="9"/>
        <v/>
      </c>
      <c r="JS62" s="17" t="str">
        <f t="shared" si="10"/>
        <v/>
      </c>
      <c r="JT62" s="18" t="str">
        <f t="shared" si="11"/>
        <v/>
      </c>
      <c r="JU62" s="280">
        <f t="shared" si="12"/>
        <v>0</v>
      </c>
      <c r="JV62" s="280">
        <f t="shared" si="13"/>
        <v>0</v>
      </c>
      <c r="JW62" s="319" t="str">
        <f t="shared" si="14"/>
        <v/>
      </c>
      <c r="JX62" s="15">
        <f t="shared" si="15"/>
        <v>0</v>
      </c>
      <c r="JY62" s="15">
        <f t="shared" si="16"/>
        <v>0</v>
      </c>
      <c r="JZ62" s="19" t="str">
        <f t="shared" si="17"/>
        <v/>
      </c>
      <c r="KA62" s="52" t="str">
        <f t="shared" si="18"/>
        <v/>
      </c>
      <c r="KB62" s="15">
        <f t="shared" si="19"/>
        <v>0</v>
      </c>
      <c r="KC62" s="15">
        <f t="shared" si="20"/>
        <v>0</v>
      </c>
      <c r="KD62" s="20" t="str">
        <f t="shared" si="21"/>
        <v/>
      </c>
      <c r="KE62" s="52" t="str">
        <f t="shared" si="22"/>
        <v/>
      </c>
      <c r="KF62" s="15">
        <f t="shared" si="23"/>
        <v>0</v>
      </c>
      <c r="KG62" s="15">
        <f t="shared" si="24"/>
        <v>0</v>
      </c>
      <c r="KH62" s="21" t="str">
        <f t="shared" si="25"/>
        <v/>
      </c>
      <c r="KI62" s="52" t="str">
        <f t="shared" si="26"/>
        <v/>
      </c>
      <c r="KJ62" s="15">
        <f t="shared" si="27"/>
        <v>0</v>
      </c>
      <c r="KK62" s="15">
        <f t="shared" si="28"/>
        <v>0</v>
      </c>
      <c r="KL62" s="19" t="str">
        <f t="shared" si="29"/>
        <v/>
      </c>
      <c r="KM62" s="52" t="str">
        <f t="shared" si="30"/>
        <v/>
      </c>
      <c r="KN62" s="22">
        <f t="shared" si="31"/>
        <v>0</v>
      </c>
      <c r="KO62" s="22">
        <f t="shared" si="32"/>
        <v>0</v>
      </c>
      <c r="KP62" s="19" t="str">
        <f t="shared" si="33"/>
        <v/>
      </c>
      <c r="KQ62" s="11" t="str">
        <f t="shared" si="34"/>
        <v>3. Responsive</v>
      </c>
      <c r="KR62" s="11" t="str">
        <f t="shared" si="35"/>
        <v>2. Accommodating</v>
      </c>
      <c r="KS62" s="11" t="str">
        <f t="shared" si="36"/>
        <v>No marker score</v>
      </c>
      <c r="KT62" s="11" t="str">
        <f t="shared" si="37"/>
        <v>It did not develop any specific innovation</v>
      </c>
      <c r="KU62" s="11" t="str">
        <f t="shared" si="38"/>
        <v>Little or no advocacy</v>
      </c>
      <c r="KV62" s="11" t="str">
        <f t="shared" si="39"/>
        <v>It did not take tested solutions to scale</v>
      </c>
      <c r="KW62" s="11" t="str">
        <f t="shared" si="40"/>
        <v>Bangladesh - Supporting Married iparous Adolescent Project</v>
      </c>
      <c r="KX62" s="11" t="str">
        <f t="shared" si="41"/>
        <v>Supporting Married iparous Adolescent Project</v>
      </c>
      <c r="KY62" s="11" t="str">
        <f t="shared" si="42"/>
        <v>Bangladesh</v>
      </c>
      <c r="KZ62" s="12">
        <v>62</v>
      </c>
    </row>
    <row r="63" spans="1:312" x14ac:dyDescent="0.3">
      <c r="A63" s="11" t="s">
        <v>652</v>
      </c>
      <c r="B63" s="11" t="s">
        <v>306</v>
      </c>
      <c r="C63" s="11">
        <v>2785</v>
      </c>
      <c r="D63" s="11" t="s">
        <v>1393</v>
      </c>
      <c r="E63" s="24" t="str">
        <f t="shared" si="0"/>
        <v>Bangladesh</v>
      </c>
      <c r="F63" s="11" t="s">
        <v>1394</v>
      </c>
      <c r="G63" s="11" t="s">
        <v>379</v>
      </c>
      <c r="H63" s="11" t="s">
        <v>383</v>
      </c>
      <c r="I63" s="11" t="s">
        <v>384</v>
      </c>
      <c r="J63" s="278" t="s">
        <v>1395</v>
      </c>
      <c r="BD63" s="23">
        <v>41456</v>
      </c>
      <c r="BE63" s="23">
        <v>42855</v>
      </c>
      <c r="BF63" s="23">
        <v>42916</v>
      </c>
      <c r="BG63" s="11" t="s">
        <v>609</v>
      </c>
      <c r="BH63" s="22">
        <v>1830000</v>
      </c>
      <c r="BI63" s="11" t="s">
        <v>1396</v>
      </c>
      <c r="BJ63" s="11" t="s">
        <v>751</v>
      </c>
      <c r="BK63" s="11" t="s">
        <v>1075</v>
      </c>
      <c r="BO63" s="12" t="s">
        <v>319</v>
      </c>
      <c r="BP63" s="12" t="s">
        <v>320</v>
      </c>
      <c r="BQ63" s="12" t="s">
        <v>319</v>
      </c>
      <c r="BR63" s="11" t="s">
        <v>1397</v>
      </c>
      <c r="BS63" s="11" t="s">
        <v>615</v>
      </c>
      <c r="BT63" s="11" t="s">
        <v>1398</v>
      </c>
      <c r="BU63" s="11" t="s">
        <v>1399</v>
      </c>
      <c r="BV63" s="22">
        <v>5000</v>
      </c>
      <c r="BW63" s="22">
        <v>4000</v>
      </c>
      <c r="BX63" s="22">
        <v>9000</v>
      </c>
      <c r="BY63" s="22">
        <v>20000</v>
      </c>
      <c r="BZ63" s="22">
        <v>16000</v>
      </c>
      <c r="CA63" s="22">
        <v>36000</v>
      </c>
      <c r="CB63" s="15" t="s">
        <v>1400</v>
      </c>
      <c r="CL63" s="18"/>
      <c r="CP63" s="18"/>
      <c r="CT63" s="18"/>
      <c r="CX63" s="18"/>
      <c r="DB63" s="18"/>
      <c r="DF63" s="18"/>
      <c r="DJ63" s="18"/>
      <c r="DN63" s="18"/>
      <c r="DR63" s="18"/>
      <c r="DV63" s="18"/>
      <c r="DZ63" s="18"/>
      <c r="ED63" s="18"/>
      <c r="EI63" s="18"/>
      <c r="EK63" s="22">
        <v>5892</v>
      </c>
      <c r="EL63" s="22">
        <v>2257</v>
      </c>
      <c r="EM63" s="22">
        <v>8149</v>
      </c>
      <c r="EN63" s="22">
        <v>18000</v>
      </c>
      <c r="EO63" s="22">
        <v>7000</v>
      </c>
      <c r="EP63" s="22">
        <v>25000</v>
      </c>
      <c r="EQ63" s="12" t="s">
        <v>319</v>
      </c>
      <c r="ES63" s="18"/>
      <c r="EU63" s="11" t="s">
        <v>319</v>
      </c>
      <c r="EW63" s="18"/>
      <c r="EY63" s="12" t="s">
        <v>319</v>
      </c>
      <c r="FA63" s="18"/>
      <c r="FC63" s="12" t="s">
        <v>319</v>
      </c>
      <c r="FE63" s="18"/>
      <c r="FG63" s="12" t="s">
        <v>319</v>
      </c>
      <c r="FI63" s="18"/>
      <c r="FK63" s="11" t="s">
        <v>319</v>
      </c>
      <c r="FM63" s="18"/>
      <c r="FO63" s="11" t="s">
        <v>319</v>
      </c>
      <c r="FQ63" s="18"/>
      <c r="FS63" s="12" t="s">
        <v>320</v>
      </c>
      <c r="FT63" s="22">
        <v>8149</v>
      </c>
      <c r="FU63" s="18">
        <v>0.72</v>
      </c>
      <c r="FV63" s="22">
        <v>25000</v>
      </c>
      <c r="FW63" s="11" t="s">
        <v>320</v>
      </c>
      <c r="FX63" s="22">
        <v>8149</v>
      </c>
      <c r="FY63" s="18">
        <v>0.72</v>
      </c>
      <c r="FZ63" s="22">
        <v>25000</v>
      </c>
      <c r="GA63" s="11" t="s">
        <v>319</v>
      </c>
      <c r="GC63" s="18"/>
      <c r="GE63" s="11" t="s">
        <v>319</v>
      </c>
      <c r="GG63" s="18"/>
      <c r="GI63" s="11" t="s">
        <v>319</v>
      </c>
      <c r="GK63" s="18"/>
      <c r="GM63" s="11" t="s">
        <v>319</v>
      </c>
      <c r="GO63" s="18"/>
      <c r="GQ63" s="11" t="s">
        <v>319</v>
      </c>
      <c r="GS63" s="18"/>
      <c r="GU63" s="11" t="s">
        <v>319</v>
      </c>
      <c r="GW63" s="18"/>
      <c r="GY63" s="11" t="s">
        <v>319</v>
      </c>
      <c r="HA63" s="18"/>
      <c r="HC63" s="11" t="s">
        <v>1401</v>
      </c>
      <c r="HD63" s="12" t="s">
        <v>320</v>
      </c>
      <c r="HE63" s="22">
        <v>5000</v>
      </c>
      <c r="HF63" s="18">
        <v>1</v>
      </c>
      <c r="HG63" s="22">
        <v>0</v>
      </c>
      <c r="HH63" s="11" t="s">
        <v>320</v>
      </c>
      <c r="HI63" s="11" t="s">
        <v>416</v>
      </c>
      <c r="HJ63" s="11">
        <v>2017</v>
      </c>
      <c r="HK63" s="11" t="s">
        <v>320</v>
      </c>
      <c r="HL63" s="11" t="s">
        <v>319</v>
      </c>
      <c r="HO63" s="11" t="s">
        <v>1402</v>
      </c>
      <c r="HP63" s="11" t="s">
        <v>330</v>
      </c>
      <c r="HQ63" s="11" t="s">
        <v>320</v>
      </c>
      <c r="HR63" s="11" t="s">
        <v>320</v>
      </c>
      <c r="HS63" s="11" t="s">
        <v>319</v>
      </c>
      <c r="HT63" s="11" t="s">
        <v>320</v>
      </c>
      <c r="HU63" s="11" t="s">
        <v>320</v>
      </c>
      <c r="HV63" s="11" t="s">
        <v>320</v>
      </c>
      <c r="HW63" s="11" t="s">
        <v>319</v>
      </c>
      <c r="HX63" s="11" t="s">
        <v>319</v>
      </c>
      <c r="HZ63" s="11" t="s">
        <v>394</v>
      </c>
      <c r="IA63" s="11" t="s">
        <v>1403</v>
      </c>
      <c r="IB63" s="11" t="s">
        <v>396</v>
      </c>
      <c r="IC63" s="11" t="s">
        <v>1404</v>
      </c>
      <c r="ID63" s="11" t="s">
        <v>334</v>
      </c>
      <c r="IE63" s="11" t="s">
        <v>478</v>
      </c>
      <c r="IF63" s="11" t="s">
        <v>320</v>
      </c>
      <c r="IG63" s="11" t="s">
        <v>320</v>
      </c>
      <c r="IH63" s="11" t="s">
        <v>320</v>
      </c>
      <c r="II63" s="11" t="s">
        <v>320</v>
      </c>
      <c r="IJ63" s="12" t="str">
        <f t="shared" si="1"/>
        <v>4. Transformative</v>
      </c>
      <c r="IK63" s="12">
        <f t="shared" si="2"/>
        <v>4</v>
      </c>
      <c r="IL63" s="11" t="s">
        <v>336</v>
      </c>
      <c r="IM63" s="11" t="s">
        <v>320</v>
      </c>
      <c r="IN63" s="11" t="s">
        <v>320</v>
      </c>
      <c r="IO63" s="11" t="s">
        <v>320</v>
      </c>
      <c r="IP63" s="11" t="s">
        <v>320</v>
      </c>
      <c r="IQ63" s="12" t="str">
        <f t="shared" si="3"/>
        <v>2. Accommodating</v>
      </c>
      <c r="IR63" s="12">
        <f t="shared" si="4"/>
        <v>4</v>
      </c>
      <c r="IW63" s="11" t="str">
        <f t="shared" si="5"/>
        <v>No marker score</v>
      </c>
      <c r="IX63" s="12">
        <f t="shared" si="6"/>
        <v>0</v>
      </c>
      <c r="IY63" s="11" t="s">
        <v>338</v>
      </c>
      <c r="IZ63" s="11" t="s">
        <v>527</v>
      </c>
      <c r="JA63" s="11">
        <v>2</v>
      </c>
      <c r="JB63" s="11" t="s">
        <v>433</v>
      </c>
      <c r="JE63" s="11" t="s">
        <v>340</v>
      </c>
      <c r="JF63" s="11" t="s">
        <v>1405</v>
      </c>
      <c r="JG63" s="11" t="s">
        <v>1406</v>
      </c>
      <c r="JH63" s="11" t="s">
        <v>1407</v>
      </c>
      <c r="JI63" s="11" t="s">
        <v>1408</v>
      </c>
      <c r="JJ63" s="11" t="s">
        <v>1409</v>
      </c>
      <c r="JK63" s="11" t="s">
        <v>1410</v>
      </c>
      <c r="JL63" s="11" t="s">
        <v>1411</v>
      </c>
      <c r="JM63" s="11" t="s">
        <v>1412</v>
      </c>
      <c r="JN63" s="11" t="s">
        <v>1413</v>
      </c>
      <c r="JO63" s="11" t="s">
        <v>1414</v>
      </c>
      <c r="JP63" s="15">
        <f t="shared" si="7"/>
        <v>8149</v>
      </c>
      <c r="JQ63" s="15">
        <f t="shared" si="8"/>
        <v>25000</v>
      </c>
      <c r="JR63" s="279">
        <f t="shared" si="9"/>
        <v>3.0678610872499692</v>
      </c>
      <c r="JS63" s="17">
        <f t="shared" si="10"/>
        <v>0.72303350104307273</v>
      </c>
      <c r="JT63" s="18">
        <f t="shared" si="11"/>
        <v>0.72</v>
      </c>
      <c r="JU63" s="280">
        <f t="shared" si="12"/>
        <v>5892</v>
      </c>
      <c r="JV63" s="280">
        <f t="shared" si="13"/>
        <v>18000</v>
      </c>
      <c r="JW63" s="319" t="str">
        <f t="shared" si="14"/>
        <v/>
      </c>
      <c r="JX63" s="15">
        <f t="shared" si="15"/>
        <v>0</v>
      </c>
      <c r="JY63" s="15">
        <f t="shared" si="16"/>
        <v>0</v>
      </c>
      <c r="JZ63" s="19" t="str">
        <f t="shared" si="17"/>
        <v/>
      </c>
      <c r="KA63" s="52" t="str">
        <f t="shared" si="18"/>
        <v/>
      </c>
      <c r="KB63" s="15">
        <f t="shared" si="19"/>
        <v>0</v>
      </c>
      <c r="KC63" s="15">
        <f t="shared" si="20"/>
        <v>0</v>
      </c>
      <c r="KD63" s="20" t="str">
        <f t="shared" si="21"/>
        <v/>
      </c>
      <c r="KE63" s="52" t="str">
        <f t="shared" si="22"/>
        <v/>
      </c>
      <c r="KF63" s="15">
        <f t="shared" si="23"/>
        <v>0</v>
      </c>
      <c r="KG63" s="15">
        <f t="shared" si="24"/>
        <v>0</v>
      </c>
      <c r="KH63" s="21" t="str">
        <f t="shared" si="25"/>
        <v/>
      </c>
      <c r="KI63" s="52">
        <f t="shared" si="26"/>
        <v>1</v>
      </c>
      <c r="KJ63" s="15">
        <f t="shared" si="27"/>
        <v>8149</v>
      </c>
      <c r="KK63" s="15">
        <f t="shared" si="28"/>
        <v>25000</v>
      </c>
      <c r="KL63" s="19">
        <f t="shared" si="29"/>
        <v>3.0678610872499692</v>
      </c>
      <c r="KM63" s="52" t="str">
        <f t="shared" si="30"/>
        <v/>
      </c>
      <c r="KN63" s="22">
        <f t="shared" si="31"/>
        <v>0</v>
      </c>
      <c r="KO63" s="22">
        <f t="shared" si="32"/>
        <v>0</v>
      </c>
      <c r="KP63" s="19" t="str">
        <f t="shared" si="33"/>
        <v/>
      </c>
      <c r="KQ63" s="11" t="str">
        <f t="shared" si="34"/>
        <v>4. Transformative</v>
      </c>
      <c r="KR63" s="11" t="str">
        <f t="shared" si="35"/>
        <v>2. Accommodating</v>
      </c>
      <c r="KS63" s="11" t="str">
        <f t="shared" si="36"/>
        <v>No marker score</v>
      </c>
      <c r="KT63" s="11" t="str">
        <f t="shared" si="37"/>
        <v>It tested new ways for fighting poverty, but did not measure results of innovation</v>
      </c>
      <c r="KU63" s="11" t="str">
        <f t="shared" si="38"/>
        <v>Moderate advocacy</v>
      </c>
      <c r="KV63" s="11" t="str">
        <f t="shared" si="39"/>
        <v>It linked and worked with strategic alliances and partners to take tested and effective solutions to scale</v>
      </c>
      <c r="KW63" s="11" t="str">
        <f t="shared" si="40"/>
        <v>Bangladesh - Tipping Point Project: Innovation and advocacy in addressing underlying causes of child marriage</v>
      </c>
      <c r="KX63" s="11" t="str">
        <f t="shared" si="41"/>
        <v>Tipping Point Project: Innovation and advocacy in addressing underlying causes of child marriage</v>
      </c>
      <c r="KY63" s="11" t="str">
        <f t="shared" si="42"/>
        <v>Bangladesh</v>
      </c>
      <c r="KZ63" s="12">
        <v>63</v>
      </c>
    </row>
    <row r="64" spans="1:312" x14ac:dyDescent="0.3">
      <c r="A64" s="11" t="s">
        <v>652</v>
      </c>
      <c r="B64" s="11" t="s">
        <v>306</v>
      </c>
      <c r="C64" s="11">
        <v>2751</v>
      </c>
      <c r="D64" s="11" t="s">
        <v>1415</v>
      </c>
      <c r="E64" s="24" t="str">
        <f t="shared" si="0"/>
        <v>Bangladesh</v>
      </c>
      <c r="F64" s="11" t="s">
        <v>1416</v>
      </c>
      <c r="G64" s="11" t="s">
        <v>379</v>
      </c>
      <c r="H64" s="11" t="s">
        <v>310</v>
      </c>
      <c r="I64" s="11" t="s">
        <v>655</v>
      </c>
      <c r="J64" s="278" t="s">
        <v>4991</v>
      </c>
      <c r="K64" s="11" t="s">
        <v>1416</v>
      </c>
      <c r="L64" s="11" t="s">
        <v>379</v>
      </c>
      <c r="M64" s="11" t="s">
        <v>384</v>
      </c>
      <c r="N64" s="11" t="s">
        <v>384</v>
      </c>
      <c r="O64" s="11" t="s">
        <v>1417</v>
      </c>
      <c r="BD64" s="23">
        <v>41204</v>
      </c>
      <c r="BE64" s="23">
        <v>43028</v>
      </c>
      <c r="BF64" s="23">
        <v>43159</v>
      </c>
      <c r="BG64" s="11" t="s">
        <v>749</v>
      </c>
      <c r="BH64" s="22">
        <v>3871144</v>
      </c>
      <c r="BI64" s="11" t="s">
        <v>845</v>
      </c>
      <c r="BJ64" s="11" t="s">
        <v>1418</v>
      </c>
      <c r="BK64" s="11" t="s">
        <v>1419</v>
      </c>
      <c r="BL64" s="11" t="s">
        <v>1420</v>
      </c>
      <c r="BM64" s="11" t="s">
        <v>1421</v>
      </c>
      <c r="BN64" s="11" t="s">
        <v>1422</v>
      </c>
      <c r="BO64" s="11" t="s">
        <v>319</v>
      </c>
      <c r="BP64" s="11" t="s">
        <v>320</v>
      </c>
      <c r="BQ64" s="11" t="s">
        <v>319</v>
      </c>
      <c r="BR64" s="11" t="s">
        <v>1423</v>
      </c>
      <c r="BS64" s="11" t="s">
        <v>357</v>
      </c>
      <c r="BT64" s="11" t="s">
        <v>1424</v>
      </c>
      <c r="BU64" s="11" t="s">
        <v>1425</v>
      </c>
      <c r="BV64" s="22">
        <v>33240</v>
      </c>
      <c r="BW64" s="22">
        <v>77560</v>
      </c>
      <c r="BX64" s="22">
        <v>110800</v>
      </c>
      <c r="BY64" s="22">
        <v>116340</v>
      </c>
      <c r="BZ64" s="22">
        <v>271460</v>
      </c>
      <c r="CA64" s="22">
        <v>387800</v>
      </c>
      <c r="CB64" s="15" t="s">
        <v>1426</v>
      </c>
      <c r="CL64" s="18"/>
      <c r="CP64" s="18"/>
      <c r="CT64" s="18"/>
      <c r="CX64" s="18"/>
      <c r="DB64" s="18"/>
      <c r="DF64" s="18"/>
      <c r="DJ64" s="18"/>
      <c r="DN64" s="18"/>
      <c r="DR64" s="18"/>
      <c r="DV64" s="18"/>
      <c r="DZ64" s="18"/>
      <c r="ED64" s="18"/>
      <c r="EI64" s="18"/>
      <c r="EK64" s="22">
        <v>55510</v>
      </c>
      <c r="EL64" s="22">
        <v>51591</v>
      </c>
      <c r="EM64" s="22">
        <v>107101</v>
      </c>
      <c r="EN64" s="22">
        <v>194285</v>
      </c>
      <c r="EO64" s="22">
        <v>180569</v>
      </c>
      <c r="EP64" s="22">
        <v>374854</v>
      </c>
      <c r="EQ64" s="12" t="s">
        <v>320</v>
      </c>
      <c r="ER64" s="22">
        <v>105779</v>
      </c>
      <c r="ES64" s="18">
        <v>0.52</v>
      </c>
      <c r="ET64" s="22">
        <v>370227</v>
      </c>
      <c r="EU64" s="11" t="s">
        <v>320</v>
      </c>
      <c r="EW64" s="18"/>
      <c r="EY64" s="12" t="s">
        <v>319</v>
      </c>
      <c r="FA64" s="18"/>
      <c r="FC64" s="12" t="s">
        <v>319</v>
      </c>
      <c r="FE64" s="18"/>
      <c r="FG64" s="12" t="s">
        <v>320</v>
      </c>
      <c r="FH64" s="22">
        <v>105779</v>
      </c>
      <c r="FI64" s="18">
        <v>0.52</v>
      </c>
      <c r="FJ64" s="22">
        <v>370227</v>
      </c>
      <c r="FK64" s="11" t="s">
        <v>319</v>
      </c>
      <c r="FM64" s="18"/>
      <c r="FO64" s="12" t="s">
        <v>320</v>
      </c>
      <c r="FP64" s="22">
        <v>105779</v>
      </c>
      <c r="FQ64" s="18">
        <v>0.52</v>
      </c>
      <c r="FR64" s="22">
        <v>370227</v>
      </c>
      <c r="FS64" s="11" t="s">
        <v>319</v>
      </c>
      <c r="FU64" s="18"/>
      <c r="FW64" s="11" t="s">
        <v>320</v>
      </c>
      <c r="FX64" s="22">
        <v>105779</v>
      </c>
      <c r="FY64" s="18">
        <v>0.52</v>
      </c>
      <c r="FZ64" s="22">
        <v>370227</v>
      </c>
      <c r="GA64" s="11" t="s">
        <v>319</v>
      </c>
      <c r="GC64" s="18"/>
      <c r="GE64" s="11" t="s">
        <v>319</v>
      </c>
      <c r="GG64" s="18"/>
      <c r="GI64" s="11" t="s">
        <v>319</v>
      </c>
      <c r="GK64" s="18"/>
      <c r="GM64" s="11" t="s">
        <v>319</v>
      </c>
      <c r="GO64" s="18"/>
      <c r="GQ64" s="11" t="s">
        <v>319</v>
      </c>
      <c r="GS64" s="18"/>
      <c r="GU64" s="11" t="s">
        <v>319</v>
      </c>
      <c r="GW64" s="18"/>
      <c r="GY64" s="11" t="s">
        <v>320</v>
      </c>
      <c r="GZ64" s="22">
        <v>55387</v>
      </c>
      <c r="HA64" s="18">
        <v>1</v>
      </c>
      <c r="HB64" s="22">
        <v>193855</v>
      </c>
      <c r="HF64" s="18"/>
      <c r="HH64" s="11" t="s">
        <v>320</v>
      </c>
      <c r="HI64" s="11" t="s">
        <v>522</v>
      </c>
      <c r="HJ64" s="11">
        <v>2016</v>
      </c>
      <c r="HK64" s="11" t="s">
        <v>319</v>
      </c>
      <c r="HL64" s="11" t="s">
        <v>320</v>
      </c>
      <c r="HM64" s="11" t="s">
        <v>415</v>
      </c>
      <c r="HN64" s="11">
        <v>2017</v>
      </c>
      <c r="HP64" s="11" t="s">
        <v>418</v>
      </c>
      <c r="HQ64" s="11" t="s">
        <v>319</v>
      </c>
      <c r="HR64" s="11" t="s">
        <v>319</v>
      </c>
      <c r="HS64" s="11" t="s">
        <v>320</v>
      </c>
      <c r="HT64" s="11" t="s">
        <v>320</v>
      </c>
      <c r="HU64" s="11" t="s">
        <v>319</v>
      </c>
      <c r="HV64" s="11" t="s">
        <v>319</v>
      </c>
      <c r="HW64" s="11" t="s">
        <v>319</v>
      </c>
      <c r="HX64" s="11" t="s">
        <v>319</v>
      </c>
      <c r="HZ64" s="11" t="s">
        <v>331</v>
      </c>
      <c r="IA64" s="11" t="s">
        <v>1427</v>
      </c>
      <c r="IB64" s="11" t="s">
        <v>396</v>
      </c>
      <c r="IC64" s="11" t="s">
        <v>1428</v>
      </c>
      <c r="ID64" s="11" t="s">
        <v>364</v>
      </c>
      <c r="IE64" s="11" t="s">
        <v>478</v>
      </c>
      <c r="IF64" s="11" t="s">
        <v>320</v>
      </c>
      <c r="IG64" s="11" t="s">
        <v>320</v>
      </c>
      <c r="IH64" s="11" t="s">
        <v>319</v>
      </c>
      <c r="II64" s="11" t="s">
        <v>319</v>
      </c>
      <c r="IJ64" s="12" t="str">
        <f t="shared" si="1"/>
        <v>3. Responsive</v>
      </c>
      <c r="IK64" s="12">
        <f t="shared" si="2"/>
        <v>2</v>
      </c>
      <c r="IL64" s="11" t="s">
        <v>336</v>
      </c>
      <c r="IM64" s="11" t="s">
        <v>319</v>
      </c>
      <c r="IN64" s="11" t="s">
        <v>320</v>
      </c>
      <c r="IO64" s="11" t="s">
        <v>320</v>
      </c>
      <c r="IP64" s="11" t="s">
        <v>320</v>
      </c>
      <c r="IQ64" s="12" t="str">
        <f t="shared" si="3"/>
        <v>2. Accommodating</v>
      </c>
      <c r="IR64" s="12">
        <f t="shared" si="4"/>
        <v>3</v>
      </c>
      <c r="IS64" s="11" t="s">
        <v>337</v>
      </c>
      <c r="IT64" s="11" t="s">
        <v>320</v>
      </c>
      <c r="IU64" s="11" t="s">
        <v>320</v>
      </c>
      <c r="IV64" s="11" t="s">
        <v>319</v>
      </c>
      <c r="IW64" s="11" t="str">
        <f t="shared" si="5"/>
        <v>1. Neutral</v>
      </c>
      <c r="IX64" s="12">
        <f t="shared" si="6"/>
        <v>2</v>
      </c>
      <c r="IY64" s="11" t="s">
        <v>338</v>
      </c>
      <c r="IZ64" s="11" t="s">
        <v>457</v>
      </c>
      <c r="JA64" s="11">
        <v>9</v>
      </c>
      <c r="JB64" s="11" t="s">
        <v>623</v>
      </c>
      <c r="JC64" s="11" t="s">
        <v>433</v>
      </c>
      <c r="JD64" s="12" t="s">
        <v>724</v>
      </c>
      <c r="JE64" s="11" t="s">
        <v>420</v>
      </c>
      <c r="JG64" s="11" t="s">
        <v>1429</v>
      </c>
      <c r="JH64" s="11" t="s">
        <v>1430</v>
      </c>
      <c r="JI64" s="11" t="s">
        <v>1431</v>
      </c>
      <c r="JJ64" s="11" t="s">
        <v>1432</v>
      </c>
      <c r="JK64" s="11" t="s">
        <v>1433</v>
      </c>
      <c r="JL64" s="11" t="s">
        <v>1434</v>
      </c>
      <c r="JM64" s="11" t="s">
        <v>1435</v>
      </c>
      <c r="JN64" s="11" t="s">
        <v>1436</v>
      </c>
      <c r="JO64" s="11" t="s">
        <v>1437</v>
      </c>
      <c r="JP64" s="15">
        <f t="shared" si="7"/>
        <v>107101</v>
      </c>
      <c r="JQ64" s="15">
        <f t="shared" si="8"/>
        <v>374854</v>
      </c>
      <c r="JR64" s="279">
        <f t="shared" si="9"/>
        <v>3.5000046684904902</v>
      </c>
      <c r="JS64" s="17">
        <f t="shared" si="10"/>
        <v>0.51829581423142645</v>
      </c>
      <c r="JT64" s="18">
        <f t="shared" si="11"/>
        <v>0.51829512290118285</v>
      </c>
      <c r="JU64" s="280">
        <f t="shared" si="12"/>
        <v>55510</v>
      </c>
      <c r="JV64" s="280">
        <f t="shared" si="13"/>
        <v>194285</v>
      </c>
      <c r="JW64" s="319" t="str">
        <f t="shared" si="14"/>
        <v/>
      </c>
      <c r="JX64" s="15">
        <f t="shared" si="15"/>
        <v>0</v>
      </c>
      <c r="JY64" s="15">
        <f t="shared" si="16"/>
        <v>0</v>
      </c>
      <c r="JZ64" s="19" t="str">
        <f t="shared" si="17"/>
        <v/>
      </c>
      <c r="KA64" s="52">
        <f t="shared" si="18"/>
        <v>1</v>
      </c>
      <c r="KB64" s="15">
        <f t="shared" si="19"/>
        <v>105779</v>
      </c>
      <c r="KC64" s="15">
        <f t="shared" si="20"/>
        <v>370227</v>
      </c>
      <c r="KD64" s="20">
        <f t="shared" si="21"/>
        <v>3.5000047268361394</v>
      </c>
      <c r="KE64" s="52" t="str">
        <f t="shared" si="22"/>
        <v/>
      </c>
      <c r="KF64" s="15">
        <f t="shared" si="23"/>
        <v>0</v>
      </c>
      <c r="KG64" s="15">
        <f t="shared" si="24"/>
        <v>0</v>
      </c>
      <c r="KH64" s="21" t="str">
        <f t="shared" si="25"/>
        <v/>
      </c>
      <c r="KI64" s="52" t="str">
        <f t="shared" si="26"/>
        <v/>
      </c>
      <c r="KJ64" s="15">
        <f t="shared" si="27"/>
        <v>0</v>
      </c>
      <c r="KK64" s="15">
        <f t="shared" si="28"/>
        <v>0</v>
      </c>
      <c r="KL64" s="19" t="str">
        <f t="shared" si="29"/>
        <v/>
      </c>
      <c r="KM64" s="52">
        <f t="shared" si="30"/>
        <v>1</v>
      </c>
      <c r="KN64" s="22">
        <f t="shared" si="31"/>
        <v>55387</v>
      </c>
      <c r="KO64" s="22">
        <f t="shared" si="32"/>
        <v>193855</v>
      </c>
      <c r="KP64" s="19">
        <f t="shared" si="33"/>
        <v>3.5000090273890985</v>
      </c>
      <c r="KQ64" s="11" t="str">
        <f t="shared" si="34"/>
        <v>3. Responsive</v>
      </c>
      <c r="KR64" s="11" t="str">
        <f t="shared" si="35"/>
        <v>2. Accommodating</v>
      </c>
      <c r="KS64" s="11" t="str">
        <f t="shared" si="36"/>
        <v>1. Neutral</v>
      </c>
      <c r="KT64" s="11" t="str">
        <f t="shared" si="37"/>
        <v>It tested new ways for fighting poverty and measured results of innovation</v>
      </c>
      <c r="KU64" s="11" t="str">
        <f t="shared" si="38"/>
        <v>Little or no advocacy</v>
      </c>
      <c r="KV64" s="11" t="str">
        <f t="shared" si="39"/>
        <v>It linked and worked with strategic alliances and partners to take tested and effective solutions to scale</v>
      </c>
      <c r="KW64" s="11" t="str">
        <f t="shared" si="40"/>
        <v>Bangladesh - USAID Agricultural Extension Support Activity (Ag Extension/ AESA) Project</v>
      </c>
      <c r="KX64" s="11" t="str">
        <f t="shared" si="41"/>
        <v>USAID Agricultural Extension Support Activity (Ag Extension/ AESA) Project</v>
      </c>
      <c r="KY64" s="11" t="str">
        <f t="shared" si="42"/>
        <v>Bangladesh</v>
      </c>
      <c r="KZ64" s="12">
        <v>64</v>
      </c>
    </row>
    <row r="65" spans="1:312" x14ac:dyDescent="0.3">
      <c r="A65" s="11" t="s">
        <v>652</v>
      </c>
      <c r="B65" s="11" t="s">
        <v>306</v>
      </c>
      <c r="C65" s="11">
        <v>2790</v>
      </c>
      <c r="D65" s="11" t="s">
        <v>747</v>
      </c>
      <c r="E65" s="24" t="str">
        <f t="shared" ref="E65:E128" si="43">A65</f>
        <v>Bangladesh</v>
      </c>
      <c r="F65" s="11" t="s">
        <v>748</v>
      </c>
      <c r="G65" s="11" t="s">
        <v>714</v>
      </c>
      <c r="H65" s="11" t="s">
        <v>383</v>
      </c>
      <c r="I65" s="11" t="s">
        <v>384</v>
      </c>
      <c r="J65" s="278" t="s">
        <v>768</v>
      </c>
      <c r="BD65" s="23">
        <v>42430</v>
      </c>
      <c r="BE65" s="23">
        <v>42824</v>
      </c>
      <c r="BG65" s="11" t="s">
        <v>749</v>
      </c>
      <c r="BH65" s="22">
        <v>35855.4</v>
      </c>
      <c r="BI65" s="11" t="s">
        <v>750</v>
      </c>
      <c r="BJ65" s="11" t="s">
        <v>751</v>
      </c>
      <c r="BK65" s="11" t="s">
        <v>752</v>
      </c>
      <c r="BO65" s="12" t="s">
        <v>319</v>
      </c>
      <c r="BP65" s="12" t="s">
        <v>320</v>
      </c>
      <c r="BQ65" s="12" t="s">
        <v>319</v>
      </c>
      <c r="BR65" s="11" t="s">
        <v>753</v>
      </c>
      <c r="BS65" s="11" t="s">
        <v>357</v>
      </c>
      <c r="BT65" s="11" t="s">
        <v>754</v>
      </c>
      <c r="BU65" s="11" t="s">
        <v>755</v>
      </c>
      <c r="BV65" s="22">
        <v>455</v>
      </c>
      <c r="BW65" s="22">
        <v>3545</v>
      </c>
      <c r="BX65" s="22">
        <v>4000</v>
      </c>
      <c r="BY65" s="22">
        <v>5013</v>
      </c>
      <c r="BZ65" s="22">
        <v>5013</v>
      </c>
      <c r="CA65" s="22">
        <v>10026</v>
      </c>
      <c r="CB65" s="15" t="s">
        <v>755</v>
      </c>
      <c r="CL65" s="18"/>
      <c r="CP65" s="18"/>
      <c r="CT65" s="18"/>
      <c r="CX65" s="18"/>
      <c r="DB65" s="18"/>
      <c r="DF65" s="18"/>
      <c r="DJ65" s="18"/>
      <c r="DN65" s="18"/>
      <c r="DR65" s="18"/>
      <c r="DV65" s="18"/>
      <c r="DZ65" s="18"/>
      <c r="ED65" s="18"/>
      <c r="EI65" s="18"/>
      <c r="EK65" s="22">
        <v>455</v>
      </c>
      <c r="EL65" s="22">
        <v>3545</v>
      </c>
      <c r="EM65" s="22">
        <v>4000</v>
      </c>
      <c r="EN65" s="22">
        <v>5013</v>
      </c>
      <c r="EO65" s="22">
        <v>5013</v>
      </c>
      <c r="EP65" s="22">
        <v>10026</v>
      </c>
      <c r="EQ65" s="12" t="s">
        <v>320</v>
      </c>
      <c r="ER65" s="22">
        <v>4000</v>
      </c>
      <c r="ES65" s="18">
        <v>0.13</v>
      </c>
      <c r="ET65" s="22">
        <v>10026</v>
      </c>
      <c r="EU65" s="11" t="s">
        <v>320</v>
      </c>
      <c r="EV65" s="22">
        <v>4000</v>
      </c>
      <c r="EW65" s="18">
        <v>0.13</v>
      </c>
      <c r="EX65" s="22">
        <v>10026</v>
      </c>
      <c r="EY65" s="12" t="s">
        <v>319</v>
      </c>
      <c r="FA65" s="18"/>
      <c r="FC65" s="12" t="s">
        <v>320</v>
      </c>
      <c r="FD65" s="22">
        <v>4000</v>
      </c>
      <c r="FE65" s="18">
        <v>0.13</v>
      </c>
      <c r="FF65" s="22">
        <v>10026</v>
      </c>
      <c r="FG65" s="12" t="s">
        <v>320</v>
      </c>
      <c r="FH65" s="22">
        <v>4000</v>
      </c>
      <c r="FI65" s="18">
        <v>0.13</v>
      </c>
      <c r="FJ65" s="22">
        <v>10026</v>
      </c>
      <c r="FK65" s="11" t="s">
        <v>319</v>
      </c>
      <c r="FM65" s="18"/>
      <c r="FO65" s="12" t="s">
        <v>320</v>
      </c>
      <c r="FP65" s="22">
        <v>4000</v>
      </c>
      <c r="FQ65" s="18">
        <v>0.13</v>
      </c>
      <c r="FR65" s="22">
        <v>10026</v>
      </c>
      <c r="FS65" s="11" t="s">
        <v>319</v>
      </c>
      <c r="FU65" s="18"/>
      <c r="FW65" s="11" t="s">
        <v>320</v>
      </c>
      <c r="FX65" s="22">
        <v>455</v>
      </c>
      <c r="FY65" s="18">
        <v>1</v>
      </c>
      <c r="FZ65" s="22">
        <v>5013</v>
      </c>
      <c r="GA65" s="11" t="s">
        <v>319</v>
      </c>
      <c r="GC65" s="18"/>
      <c r="GE65" s="11" t="s">
        <v>319</v>
      </c>
      <c r="GG65" s="18"/>
      <c r="GI65" s="11" t="s">
        <v>320</v>
      </c>
      <c r="GJ65" s="22">
        <v>1585</v>
      </c>
      <c r="GK65" s="18">
        <v>0.13</v>
      </c>
      <c r="GL65" s="22">
        <v>4000</v>
      </c>
      <c r="GM65" s="11" t="s">
        <v>319</v>
      </c>
      <c r="GO65" s="18"/>
      <c r="GQ65" s="11" t="s">
        <v>319</v>
      </c>
      <c r="GS65" s="18"/>
      <c r="GU65" s="11" t="s">
        <v>319</v>
      </c>
      <c r="GW65" s="18"/>
      <c r="GY65" s="11" t="s">
        <v>320</v>
      </c>
      <c r="GZ65" s="22">
        <v>455</v>
      </c>
      <c r="HA65" s="18">
        <v>1</v>
      </c>
      <c r="HB65" s="22">
        <v>5013</v>
      </c>
      <c r="HF65" s="18"/>
      <c r="HH65" s="11" t="s">
        <v>320</v>
      </c>
      <c r="HI65" s="11" t="s">
        <v>416</v>
      </c>
      <c r="HJ65" s="11">
        <v>2017</v>
      </c>
      <c r="HK65" s="11" t="s">
        <v>320</v>
      </c>
      <c r="HL65" s="11" t="s">
        <v>319</v>
      </c>
      <c r="HP65" s="11" t="s">
        <v>418</v>
      </c>
      <c r="HQ65" s="11" t="s">
        <v>319</v>
      </c>
      <c r="HR65" s="11" t="s">
        <v>319</v>
      </c>
      <c r="HS65" s="11" t="s">
        <v>320</v>
      </c>
      <c r="HT65" s="11" t="s">
        <v>319</v>
      </c>
      <c r="HU65" s="11" t="s">
        <v>319</v>
      </c>
      <c r="HV65" s="11" t="s">
        <v>319</v>
      </c>
      <c r="HW65" s="11" t="s">
        <v>319</v>
      </c>
      <c r="HX65" s="11" t="s">
        <v>319</v>
      </c>
      <c r="HZ65" s="11" t="s">
        <v>331</v>
      </c>
      <c r="IA65" s="11" t="s">
        <v>756</v>
      </c>
      <c r="IB65" s="11" t="s">
        <v>396</v>
      </c>
      <c r="IC65" s="11" t="s">
        <v>757</v>
      </c>
      <c r="ID65" s="11" t="s">
        <v>334</v>
      </c>
      <c r="IE65" s="11" t="s">
        <v>335</v>
      </c>
      <c r="IF65" s="11" t="s">
        <v>320</v>
      </c>
      <c r="IG65" s="11" t="s">
        <v>320</v>
      </c>
      <c r="IH65" s="11" t="s">
        <v>320</v>
      </c>
      <c r="II65" s="11" t="s">
        <v>320</v>
      </c>
      <c r="IJ65" s="12" t="str">
        <f t="shared" si="1"/>
        <v>2. Sensitive</v>
      </c>
      <c r="IK65" s="12">
        <f t="shared" si="2"/>
        <v>4</v>
      </c>
      <c r="IL65" s="11" t="s">
        <v>336</v>
      </c>
      <c r="IM65" s="11" t="s">
        <v>320</v>
      </c>
      <c r="IN65" s="11" t="s">
        <v>319</v>
      </c>
      <c r="IO65" s="11" t="s">
        <v>320</v>
      </c>
      <c r="IP65" s="11" t="s">
        <v>319</v>
      </c>
      <c r="IQ65" s="12" t="str">
        <f t="shared" si="3"/>
        <v>1. Tokenistic</v>
      </c>
      <c r="IR65" s="12">
        <f t="shared" si="4"/>
        <v>2</v>
      </c>
      <c r="IS65" s="11" t="s">
        <v>622</v>
      </c>
      <c r="IT65" s="11" t="s">
        <v>320</v>
      </c>
      <c r="IU65" s="11" t="s">
        <v>320</v>
      </c>
      <c r="IV65" s="11" t="s">
        <v>320</v>
      </c>
      <c r="IW65" s="11" t="str">
        <f t="shared" si="5"/>
        <v>4. Transformative</v>
      </c>
      <c r="IX65" s="12">
        <f t="shared" si="6"/>
        <v>3</v>
      </c>
      <c r="IY65" s="11" t="s">
        <v>758</v>
      </c>
      <c r="IZ65" s="11" t="s">
        <v>527</v>
      </c>
      <c r="JA65" s="11">
        <v>2</v>
      </c>
      <c r="JB65" s="11" t="s">
        <v>623</v>
      </c>
      <c r="JC65" s="11" t="s">
        <v>433</v>
      </c>
      <c r="JE65" s="11" t="s">
        <v>420</v>
      </c>
      <c r="JH65" s="11" t="s">
        <v>759</v>
      </c>
      <c r="JI65" s="11" t="s">
        <v>760</v>
      </c>
      <c r="JJ65" s="11" t="s">
        <v>761</v>
      </c>
      <c r="JK65" s="11" t="s">
        <v>762</v>
      </c>
      <c r="JL65" s="11" t="s">
        <v>763</v>
      </c>
      <c r="JM65" s="11" t="s">
        <v>764</v>
      </c>
      <c r="JO65" s="11" t="s">
        <v>765</v>
      </c>
      <c r="JP65" s="15">
        <f t="shared" si="7"/>
        <v>4000</v>
      </c>
      <c r="JQ65" s="15">
        <f t="shared" si="8"/>
        <v>10026</v>
      </c>
      <c r="JR65" s="279">
        <f t="shared" si="9"/>
        <v>2.5065</v>
      </c>
      <c r="JS65" s="17">
        <f t="shared" si="10"/>
        <v>0.11375</v>
      </c>
      <c r="JT65" s="18">
        <f t="shared" si="11"/>
        <v>0.5</v>
      </c>
      <c r="JU65" s="280">
        <f t="shared" si="12"/>
        <v>455</v>
      </c>
      <c r="JV65" s="280">
        <f t="shared" si="13"/>
        <v>5013</v>
      </c>
      <c r="JW65" s="319" t="str">
        <f t="shared" si="14"/>
        <v/>
      </c>
      <c r="JX65" s="15">
        <f t="shared" si="15"/>
        <v>0</v>
      </c>
      <c r="JY65" s="15">
        <f t="shared" si="16"/>
        <v>0</v>
      </c>
      <c r="JZ65" s="19" t="str">
        <f t="shared" si="17"/>
        <v/>
      </c>
      <c r="KA65" s="52">
        <f t="shared" si="18"/>
        <v>1</v>
      </c>
      <c r="KB65" s="15">
        <f t="shared" si="19"/>
        <v>4000</v>
      </c>
      <c r="KC65" s="15">
        <f t="shared" si="20"/>
        <v>10026</v>
      </c>
      <c r="KD65" s="20">
        <f t="shared" si="21"/>
        <v>2.5065</v>
      </c>
      <c r="KE65" s="52" t="str">
        <f t="shared" si="22"/>
        <v/>
      </c>
      <c r="KF65" s="15">
        <f t="shared" si="23"/>
        <v>0</v>
      </c>
      <c r="KG65" s="15">
        <f t="shared" si="24"/>
        <v>0</v>
      </c>
      <c r="KH65" s="21" t="str">
        <f t="shared" si="25"/>
        <v/>
      </c>
      <c r="KI65" s="52" t="str">
        <f t="shared" si="26"/>
        <v/>
      </c>
      <c r="KJ65" s="15">
        <f t="shared" si="27"/>
        <v>0</v>
      </c>
      <c r="KK65" s="15">
        <f t="shared" si="28"/>
        <v>0</v>
      </c>
      <c r="KL65" s="19" t="str">
        <f t="shared" si="29"/>
        <v/>
      </c>
      <c r="KM65" s="52">
        <f t="shared" si="30"/>
        <v>1</v>
      </c>
      <c r="KN65" s="22">
        <f t="shared" si="31"/>
        <v>520</v>
      </c>
      <c r="KO65" s="22">
        <f t="shared" si="32"/>
        <v>5013</v>
      </c>
      <c r="KP65" s="19">
        <f t="shared" si="33"/>
        <v>9.6403846153846153</v>
      </c>
      <c r="KQ65" s="11" t="str">
        <f t="shared" si="34"/>
        <v>2. Sensitive</v>
      </c>
      <c r="KR65" s="11" t="str">
        <f t="shared" si="35"/>
        <v>1. Tokenistic</v>
      </c>
      <c r="KS65" s="11" t="str">
        <f t="shared" si="36"/>
        <v>4. Transformative</v>
      </c>
      <c r="KT65" s="11" t="str">
        <f t="shared" si="37"/>
        <v>It tested new ways for fighting poverty and measured results of innovation</v>
      </c>
      <c r="KU65" s="11" t="str">
        <f t="shared" si="38"/>
        <v>Little or no advocacy</v>
      </c>
      <c r="KV65" s="11" t="str">
        <f t="shared" si="39"/>
        <v>It linked and worked with strategic alliances and partners to take tested and effective solutions to scale</v>
      </c>
      <c r="KW65" s="11" t="str">
        <f t="shared" si="40"/>
        <v>Bangladesh - Where the Rain Falls (WtRF)</v>
      </c>
      <c r="KX65" s="11" t="str">
        <f t="shared" si="41"/>
        <v>Where the Rain Falls (WtRF)</v>
      </c>
      <c r="KY65" s="11" t="str">
        <f t="shared" si="42"/>
        <v>Bangladesh</v>
      </c>
      <c r="KZ65" s="12">
        <v>65</v>
      </c>
    </row>
    <row r="66" spans="1:312" x14ac:dyDescent="0.3">
      <c r="A66" s="11" t="s">
        <v>652</v>
      </c>
      <c r="B66" s="11" t="s">
        <v>306</v>
      </c>
      <c r="D66" s="11" t="s">
        <v>766</v>
      </c>
      <c r="E66" s="24" t="str">
        <f t="shared" si="43"/>
        <v>Bangladesh</v>
      </c>
      <c r="F66" s="11" t="s">
        <v>767</v>
      </c>
      <c r="G66" s="11" t="s">
        <v>714</v>
      </c>
      <c r="H66" s="11" t="s">
        <v>383</v>
      </c>
      <c r="I66" s="11" t="s">
        <v>384</v>
      </c>
      <c r="J66" s="278" t="s">
        <v>768</v>
      </c>
      <c r="BD66" s="23">
        <v>42736</v>
      </c>
      <c r="BE66" s="23">
        <v>43465</v>
      </c>
      <c r="BG66" s="11" t="s">
        <v>749</v>
      </c>
      <c r="BH66" s="22">
        <v>198964</v>
      </c>
      <c r="BI66" s="11" t="s">
        <v>769</v>
      </c>
      <c r="BJ66" s="11" t="s">
        <v>770</v>
      </c>
      <c r="BK66" s="11" t="s">
        <v>771</v>
      </c>
      <c r="BL66" s="11" t="s">
        <v>772</v>
      </c>
      <c r="BM66" s="11" t="s">
        <v>773</v>
      </c>
      <c r="BN66" s="11" t="s">
        <v>774</v>
      </c>
      <c r="BO66" s="12" t="s">
        <v>319</v>
      </c>
      <c r="BP66" s="12" t="s">
        <v>320</v>
      </c>
      <c r="BQ66" s="12" t="s">
        <v>319</v>
      </c>
      <c r="BR66" s="11" t="s">
        <v>775</v>
      </c>
      <c r="BS66" s="11" t="s">
        <v>615</v>
      </c>
      <c r="BT66" s="11" t="s">
        <v>776</v>
      </c>
      <c r="BU66" s="11" t="s">
        <v>777</v>
      </c>
      <c r="BV66" s="22">
        <v>759</v>
      </c>
      <c r="BW66" s="22">
        <v>280</v>
      </c>
      <c r="BX66" s="22">
        <v>1039</v>
      </c>
      <c r="BY66" s="22">
        <v>1155</v>
      </c>
      <c r="BZ66" s="22">
        <v>4306</v>
      </c>
      <c r="CA66" s="22">
        <v>5461</v>
      </c>
      <c r="CB66" s="15" t="s">
        <v>778</v>
      </c>
      <c r="CL66" s="18"/>
      <c r="CP66" s="18"/>
      <c r="CT66" s="18"/>
      <c r="CX66" s="18"/>
      <c r="DB66" s="18"/>
      <c r="DF66" s="18"/>
      <c r="DJ66" s="18"/>
      <c r="DN66" s="18"/>
      <c r="DR66" s="18"/>
      <c r="DV66" s="18"/>
      <c r="DZ66" s="18"/>
      <c r="ED66" s="18"/>
      <c r="EI66" s="18"/>
      <c r="EK66" s="22">
        <v>759</v>
      </c>
      <c r="EL66" s="22">
        <v>280</v>
      </c>
      <c r="EM66" s="22">
        <v>1039</v>
      </c>
      <c r="EN66" s="22">
        <v>0</v>
      </c>
      <c r="EO66" s="22">
        <v>0</v>
      </c>
      <c r="EP66" s="22">
        <v>0</v>
      </c>
      <c r="EQ66" s="12" t="s">
        <v>320</v>
      </c>
      <c r="ER66" s="22">
        <v>1039</v>
      </c>
      <c r="ES66" s="18">
        <v>0.73050000000000004</v>
      </c>
      <c r="ET66" s="22">
        <v>0</v>
      </c>
      <c r="EU66" s="11" t="s">
        <v>320</v>
      </c>
      <c r="EV66" s="22">
        <v>1039</v>
      </c>
      <c r="EW66" s="18">
        <v>0.73050000000000004</v>
      </c>
      <c r="EX66" s="22">
        <v>0</v>
      </c>
      <c r="EY66" s="12" t="s">
        <v>319</v>
      </c>
      <c r="FA66" s="18"/>
      <c r="FC66" s="12" t="s">
        <v>320</v>
      </c>
      <c r="FD66" s="22">
        <v>1000</v>
      </c>
      <c r="FE66" s="18">
        <v>0.73050000000000004</v>
      </c>
      <c r="FF66" s="22">
        <v>0</v>
      </c>
      <c r="FG66" s="12" t="s">
        <v>319</v>
      </c>
      <c r="FI66" s="18"/>
      <c r="FK66" s="11" t="s">
        <v>319</v>
      </c>
      <c r="FM66" s="18"/>
      <c r="FO66" s="11" t="s">
        <v>319</v>
      </c>
      <c r="FQ66" s="18"/>
      <c r="FS66" s="11" t="s">
        <v>319</v>
      </c>
      <c r="FU66" s="18"/>
      <c r="FW66" s="11" t="s">
        <v>319</v>
      </c>
      <c r="FY66" s="18"/>
      <c r="GA66" s="11" t="s">
        <v>319</v>
      </c>
      <c r="GC66" s="18"/>
      <c r="GE66" s="11" t="s">
        <v>319</v>
      </c>
      <c r="GG66" s="18"/>
      <c r="GI66" s="11" t="s">
        <v>319</v>
      </c>
      <c r="GK66" s="18"/>
      <c r="GM66" s="11" t="s">
        <v>319</v>
      </c>
      <c r="GO66" s="18"/>
      <c r="GQ66" s="11" t="s">
        <v>319</v>
      </c>
      <c r="GS66" s="18"/>
      <c r="GU66" s="11" t="s">
        <v>319</v>
      </c>
      <c r="GW66" s="18"/>
      <c r="GY66" s="11" t="s">
        <v>319</v>
      </c>
      <c r="HA66" s="18"/>
      <c r="HD66" s="11" t="s">
        <v>319</v>
      </c>
      <c r="HF66" s="18"/>
      <c r="HH66" s="11" t="s">
        <v>320</v>
      </c>
      <c r="HI66" s="11" t="s">
        <v>431</v>
      </c>
      <c r="HJ66" s="11">
        <v>2017</v>
      </c>
      <c r="HK66" s="11" t="s">
        <v>319</v>
      </c>
      <c r="HL66" s="11" t="s">
        <v>319</v>
      </c>
      <c r="HO66" s="11" t="s">
        <v>779</v>
      </c>
      <c r="HP66" s="11" t="s">
        <v>330</v>
      </c>
      <c r="HQ66" s="11" t="s">
        <v>319</v>
      </c>
      <c r="HR66" s="11" t="s">
        <v>319</v>
      </c>
      <c r="HS66" s="11" t="s">
        <v>320</v>
      </c>
      <c r="HT66" s="11" t="s">
        <v>319</v>
      </c>
      <c r="HU66" s="11" t="s">
        <v>319</v>
      </c>
      <c r="HV66" s="11" t="s">
        <v>319</v>
      </c>
      <c r="HW66" s="11" t="s">
        <v>320</v>
      </c>
      <c r="HX66" s="11" t="s">
        <v>319</v>
      </c>
      <c r="HZ66" s="11" t="s">
        <v>394</v>
      </c>
      <c r="IA66" s="11" t="s">
        <v>780</v>
      </c>
      <c r="IB66" s="11" t="s">
        <v>396</v>
      </c>
      <c r="IC66" s="11" t="s">
        <v>781</v>
      </c>
      <c r="ID66" s="11" t="s">
        <v>334</v>
      </c>
      <c r="IE66" s="11" t="s">
        <v>335</v>
      </c>
      <c r="IF66" s="11" t="s">
        <v>320</v>
      </c>
      <c r="IG66" s="11" t="s">
        <v>320</v>
      </c>
      <c r="IH66" s="11" t="s">
        <v>320</v>
      </c>
      <c r="II66" s="11" t="s">
        <v>320</v>
      </c>
      <c r="IJ66" s="12" t="str">
        <f t="shared" ref="IJ66:IJ129" si="44">IF(IE66="","No marker score",IF(ISNUMBER(SEARCH("select",IE66)),"",IF(ISNUMBER(SEARCH("Did NOT",IE66)),"0. Harmful",IF(ISNUMBER(SEARCH("CHALLENGED",IE66)),IF(IK66=4,"4. Transformative",IF(IK66&gt;1,"3. Responsive",IF(IK66&lt;=1,"No marker score",""))),IF(ISNUMBER(SEARCH("WORKED WITH",IE66)),IF(IK66=4,"2. Sensitive",IF(IK66&gt;1,"1. Neutral","0. Harmful")))))))</f>
        <v>2. Sensitive</v>
      </c>
      <c r="IK66" s="12">
        <f t="shared" ref="IK66:IK129" si="45">COUNTIF(IF66:II66,"=YES")</f>
        <v>4</v>
      </c>
      <c r="IL66" s="11" t="s">
        <v>336</v>
      </c>
      <c r="IM66" s="11" t="s">
        <v>320</v>
      </c>
      <c r="IN66" s="11" t="s">
        <v>320</v>
      </c>
      <c r="IO66" s="11" t="s">
        <v>320</v>
      </c>
      <c r="IP66" s="11" t="s">
        <v>320</v>
      </c>
      <c r="IQ66" s="12" t="str">
        <f t="shared" ref="IQ66:IQ129" si="46">IF(IL66="","No marker score",IF(ISNUMBER(SEARCH("select",IL66)),"",IF(ISNUMBER(SEARCH("Did NOT",IL66)),"0. Unaware",IF(ISNUMBER(SEARCH("CHALLENGED",IL66)),IF(IR66=4,"4. Transformational",IF(IR66&gt;1,"3. Responsive",IF(IR66&lt;=1,"No marker score",""))),IF(ISNUMBER(SEARCH("WORKED WITH",IL66)),IF(IR66&gt;=3,"2. Accommodating",IF(IR66&gt;=1,"1. Tokenistic","0. Unaware")))))))</f>
        <v>2. Accommodating</v>
      </c>
      <c r="IR66" s="12">
        <f t="shared" ref="IR66:IR129" si="47">COUNTIF(IM66:IP66,"=YES")</f>
        <v>4</v>
      </c>
      <c r="IS66" s="11" t="s">
        <v>622</v>
      </c>
      <c r="IT66" s="11" t="s">
        <v>320</v>
      </c>
      <c r="IU66" s="11" t="s">
        <v>320</v>
      </c>
      <c r="IV66" s="11" t="s">
        <v>320</v>
      </c>
      <c r="IW66" s="11" t="str">
        <f t="shared" ref="IW66:IW129" si="48">IF(IS66="","No marker score",IF(ISNUMBER(SEARCH("select",IS66)),"",IF(ISNUMBER(SEARCH("Did NOT",IS66)),"0. Harmful",IF(ISNUMBER(SEARCH("well",IS66)),IF(IX66=3,"4. Transformative",IF(IX66&gt;=1,"3. Responsive",IF(IX66=0,"No marker score",""))),IF(ISNUMBER(SEARCH(".",IS66)),IF(IX66&gt;=3,"2. Sensitive",IF(IX66&gt;=1,"1. Neutral","0. Harmful")))))))</f>
        <v>4. Transformative</v>
      </c>
      <c r="IX66" s="12">
        <f t="shared" ref="IX66:IX129" si="49">COUNTIF(IT66:IV66,"=YES")</f>
        <v>3</v>
      </c>
      <c r="IY66" s="11" t="s">
        <v>758</v>
      </c>
      <c r="IZ66" s="11" t="s">
        <v>457</v>
      </c>
      <c r="JA66" s="11">
        <v>1</v>
      </c>
      <c r="JB66" s="11" t="s">
        <v>433</v>
      </c>
      <c r="JE66" s="11" t="s">
        <v>420</v>
      </c>
      <c r="JG66" s="11" t="s">
        <v>782</v>
      </c>
      <c r="JH66" s="11" t="s">
        <v>783</v>
      </c>
      <c r="JI66" s="11" t="s">
        <v>784</v>
      </c>
      <c r="JJ66" s="11" t="s">
        <v>785</v>
      </c>
      <c r="JK66" s="11" t="s">
        <v>786</v>
      </c>
      <c r="JL66" s="11" t="s">
        <v>787</v>
      </c>
      <c r="JM66" s="11" t="s">
        <v>788</v>
      </c>
      <c r="JO66" s="11" t="s">
        <v>789</v>
      </c>
      <c r="JP66" s="15">
        <f t="shared" ref="JP66:JP129" si="50">MAX(CF66,EM66)</f>
        <v>1039</v>
      </c>
      <c r="JQ66" s="15">
        <f t="shared" ref="JQ66:JQ129" si="51">MAX(CI66,EP66)</f>
        <v>0</v>
      </c>
      <c r="JR66" s="279">
        <f t="shared" ref="JR66:JR129" si="52">IFERROR(JQ66/JP66,"")</f>
        <v>0</v>
      </c>
      <c r="JS66" s="17">
        <f t="shared" ref="JS66:JS129" si="53">IFERROR(MAX(CD66,EK66)/JP66,"")</f>
        <v>0.73051010587102982</v>
      </c>
      <c r="JT66" s="18" t="str">
        <f t="shared" ref="JT66:JT129" si="54">IFERROR(MAX(CG66,EN66)/JQ66,"")</f>
        <v/>
      </c>
      <c r="JU66" s="280">
        <f t="shared" ref="JU66:JU129" si="55">IFERROR(MAX(CD66,EK66),"")</f>
        <v>759</v>
      </c>
      <c r="JV66" s="280">
        <f t="shared" ref="JV66:JV129" si="56">IFERROR(MAX(CG66,EN66),"")</f>
        <v>0</v>
      </c>
      <c r="JW66" s="319" t="str">
        <f t="shared" ref="JW66:JW129" si="57">IF(BO66="yes",1,"")</f>
        <v/>
      </c>
      <c r="JX66" s="15">
        <f t="shared" ref="JX66:JX129" si="58">CF66</f>
        <v>0</v>
      </c>
      <c r="JY66" s="15">
        <f t="shared" ref="JY66:JY129" si="59">CI66</f>
        <v>0</v>
      </c>
      <c r="JZ66" s="19" t="str">
        <f t="shared" ref="JZ66:JZ129" si="60">IFERROR(JY66/JX66,"")</f>
        <v/>
      </c>
      <c r="KA66" s="52">
        <f t="shared" ref="KA66:KA129" si="61">IF((OR(CV66="yes", DL66="yes", EQ66="yes", EU66="yes", FC66="yes", FG66="yes", FO66="yes", GI66="yes", GU66="yes")), 1, "")</f>
        <v>1</v>
      </c>
      <c r="KB66" s="15">
        <f t="shared" ref="KB66:KB129" si="62">MAX(CW66,DM66,ER66,EV66,FD66,FH66,FP66,GJ66,GV66)</f>
        <v>1039</v>
      </c>
      <c r="KC66" s="15">
        <f t="shared" ref="KC66:KC129" si="63">MAX(CY66,DO66,ET66,EX66,FF66,FJ66,FR66,GL66,GX66)</f>
        <v>0</v>
      </c>
      <c r="KD66" s="20">
        <f t="shared" ref="KD66:KD129" si="64">IFERROR(KC66/KB66,"")</f>
        <v>0</v>
      </c>
      <c r="KE66" s="52" t="str">
        <f t="shared" ref="KE66:KE129" si="65">IF((OR(DT66="yes", GQ66="yes")), 1, "")</f>
        <v/>
      </c>
      <c r="KF66" s="15">
        <f t="shared" ref="KF66:KF129" si="66">MAX(DU66,GR66)</f>
        <v>0</v>
      </c>
      <c r="KG66" s="15">
        <f t="shared" ref="KG66:KG129" si="67">MAX(DW66,GT66)</f>
        <v>0</v>
      </c>
      <c r="KH66" s="21" t="str">
        <f t="shared" ref="KH66:KH129" si="68">IFERROR(KG66/KF66,"")</f>
        <v/>
      </c>
      <c r="KI66" s="52" t="str">
        <f t="shared" ref="KI66:KI129" si="69">IF((OR(CZ66="yes", FS66="yes")), 1, "")</f>
        <v/>
      </c>
      <c r="KJ66" s="15">
        <f t="shared" ref="KJ66:KJ129" si="70">MAX(DA66,FT66)</f>
        <v>0</v>
      </c>
      <c r="KK66" s="15">
        <f t="shared" ref="KK66:KK129" si="71">MAX(DC66,FV66)</f>
        <v>0</v>
      </c>
      <c r="KL66" s="19" t="str">
        <f t="shared" ref="KL66:KL129" si="72">IFERROR(KK66/KJ66,"")</f>
        <v/>
      </c>
      <c r="KM66" s="52" t="str">
        <f t="shared" ref="KM66:KM129" si="73">IF((OR(FG66="yes", GY66="yes")), 1, "")</f>
        <v/>
      </c>
      <c r="KN66" s="22">
        <f t="shared" ref="KN66:KN129" si="74">IFERROR(MAX((FH66*FI66),GZ66),"")</f>
        <v>0</v>
      </c>
      <c r="KO66" s="22">
        <f t="shared" ref="KO66:KO129" si="75">IFERROR(MAX((FJ66*FI66),HB66),"")</f>
        <v>0</v>
      </c>
      <c r="KP66" s="19" t="str">
        <f t="shared" ref="KP66:KP129" si="76">IFERROR(KO66/KN66,"")</f>
        <v/>
      </c>
      <c r="KQ66" s="11" t="str">
        <f t="shared" ref="KQ66:KQ129" si="77">IJ66</f>
        <v>2. Sensitive</v>
      </c>
      <c r="KR66" s="11" t="str">
        <f t="shared" ref="KR66:KR129" si="78">IQ66</f>
        <v>2. Accommodating</v>
      </c>
      <c r="KS66" s="11" t="str">
        <f t="shared" ref="KS66:KS129" si="79">IW66</f>
        <v>4. Transformative</v>
      </c>
      <c r="KT66" s="11" t="str">
        <f t="shared" ref="KT66:KT129" si="80">HZ66</f>
        <v>It tested new ways for fighting poverty, but did not measure results of innovation</v>
      </c>
      <c r="KU66" s="11" t="str">
        <f t="shared" ref="KU66:KU129" si="81">HP66</f>
        <v>Moderate advocacy</v>
      </c>
      <c r="KV66" s="11" t="str">
        <f t="shared" ref="KV66:KV129" si="82">IB66</f>
        <v>It linked and worked with strategic alliances and partners to take tested and effective solutions to scale</v>
      </c>
      <c r="KW66" s="11" t="str">
        <f t="shared" ref="KW66:KW129" si="83">A66&amp;" - "&amp;D66</f>
        <v>Bangladesh - Where the Rain Falls (WtRF) - Phase III</v>
      </c>
      <c r="KX66" s="11" t="str">
        <f t="shared" ref="KX66:KX129" si="84">D66</f>
        <v>Where the Rain Falls (WtRF) - Phase III</v>
      </c>
      <c r="KY66" s="11" t="str">
        <f t="shared" ref="KY66:KY129" si="85">A66</f>
        <v>Bangladesh</v>
      </c>
      <c r="KZ66" s="287">
        <v>66</v>
      </c>
    </row>
    <row r="67" spans="1:312" x14ac:dyDescent="0.3">
      <c r="A67" s="11" t="s">
        <v>652</v>
      </c>
      <c r="B67" s="11" t="s">
        <v>306</v>
      </c>
      <c r="C67" s="11">
        <v>2789</v>
      </c>
      <c r="D67" s="11" t="s">
        <v>1438</v>
      </c>
      <c r="E67" s="24" t="str">
        <f t="shared" si="43"/>
        <v>Bangladesh</v>
      </c>
      <c r="F67" s="11" t="s">
        <v>1439</v>
      </c>
      <c r="G67" s="11" t="s">
        <v>379</v>
      </c>
      <c r="H67" s="11" t="s">
        <v>383</v>
      </c>
      <c r="I67" s="11" t="s">
        <v>384</v>
      </c>
      <c r="J67" s="278" t="s">
        <v>1440</v>
      </c>
      <c r="BD67" s="23">
        <v>41671</v>
      </c>
      <c r="BE67" s="23">
        <v>42400</v>
      </c>
      <c r="BF67" s="23">
        <v>42674</v>
      </c>
      <c r="BG67" s="11" t="s">
        <v>350</v>
      </c>
      <c r="BH67" s="22">
        <v>1069498</v>
      </c>
      <c r="BI67" s="11" t="s">
        <v>1051</v>
      </c>
      <c r="BJ67" s="11" t="s">
        <v>1052</v>
      </c>
      <c r="BK67" s="11" t="s">
        <v>798</v>
      </c>
      <c r="BL67" s="11" t="s">
        <v>1053</v>
      </c>
      <c r="BM67" s="11" t="s">
        <v>1441</v>
      </c>
      <c r="BN67" s="11" t="s">
        <v>1055</v>
      </c>
      <c r="BO67" s="12" t="s">
        <v>319</v>
      </c>
      <c r="BP67" s="12" t="s">
        <v>320</v>
      </c>
      <c r="BQ67" s="12" t="s">
        <v>319</v>
      </c>
      <c r="BR67" s="11" t="s">
        <v>1442</v>
      </c>
      <c r="BS67" s="11" t="s">
        <v>357</v>
      </c>
      <c r="BT67" s="11" t="s">
        <v>1443</v>
      </c>
      <c r="BU67" s="11" t="s">
        <v>1444</v>
      </c>
      <c r="BV67" s="22">
        <v>42663</v>
      </c>
      <c r="BW67" s="22">
        <v>113645</v>
      </c>
      <c r="BX67" s="22">
        <v>156308</v>
      </c>
      <c r="BY67" s="22">
        <v>213315</v>
      </c>
      <c r="BZ67" s="22">
        <v>22729</v>
      </c>
      <c r="CA67" s="22">
        <v>236044</v>
      </c>
      <c r="CB67" s="15" t="s">
        <v>1445</v>
      </c>
      <c r="CL67" s="18"/>
      <c r="CP67" s="18"/>
      <c r="CT67" s="18"/>
      <c r="CX67" s="18"/>
      <c r="DB67" s="18"/>
      <c r="DF67" s="18"/>
      <c r="DJ67" s="18"/>
      <c r="DN67" s="18"/>
      <c r="DR67" s="18"/>
      <c r="DV67" s="18"/>
      <c r="DZ67" s="18"/>
      <c r="ED67" s="18"/>
      <c r="EI67" s="18"/>
      <c r="EK67" s="22">
        <v>50</v>
      </c>
      <c r="EL67" s="22">
        <v>100</v>
      </c>
      <c r="EM67" s="22">
        <v>150</v>
      </c>
      <c r="EN67" s="22">
        <v>250</v>
      </c>
      <c r="EO67" s="22">
        <v>500</v>
      </c>
      <c r="EP67" s="22">
        <v>750</v>
      </c>
      <c r="EQ67" s="12" t="s">
        <v>319</v>
      </c>
      <c r="ES67" s="18"/>
      <c r="EU67" s="11" t="s">
        <v>319</v>
      </c>
      <c r="EW67" s="18"/>
      <c r="EY67" s="12" t="s">
        <v>319</v>
      </c>
      <c r="FA67" s="18"/>
      <c r="FC67" s="12" t="s">
        <v>319</v>
      </c>
      <c r="FE67" s="18"/>
      <c r="FG67" s="12" t="s">
        <v>319</v>
      </c>
      <c r="FI67" s="18"/>
      <c r="FK67" s="11" t="s">
        <v>319</v>
      </c>
      <c r="FM67" s="18"/>
      <c r="FO67" s="11" t="s">
        <v>319</v>
      </c>
      <c r="FQ67" s="18"/>
      <c r="FS67" s="11" t="s">
        <v>319</v>
      </c>
      <c r="FU67" s="18"/>
      <c r="FW67" s="11" t="s">
        <v>319</v>
      </c>
      <c r="FY67" s="18"/>
      <c r="GA67" s="11" t="s">
        <v>319</v>
      </c>
      <c r="GC67" s="18"/>
      <c r="GE67" s="11" t="s">
        <v>319</v>
      </c>
      <c r="GG67" s="18"/>
      <c r="GI67" s="11" t="s">
        <v>319</v>
      </c>
      <c r="GK67" s="18"/>
      <c r="GM67" s="11" t="s">
        <v>319</v>
      </c>
      <c r="GO67" s="18"/>
      <c r="GQ67" s="11" t="s">
        <v>319</v>
      </c>
      <c r="GS67" s="18"/>
      <c r="GU67" s="11" t="s">
        <v>319</v>
      </c>
      <c r="GW67" s="18"/>
      <c r="GY67" s="11" t="s">
        <v>320</v>
      </c>
      <c r="GZ67" s="22">
        <v>150</v>
      </c>
      <c r="HA67" s="18">
        <v>0.33</v>
      </c>
      <c r="HB67" s="22">
        <v>750</v>
      </c>
      <c r="HF67" s="18"/>
      <c r="HH67" s="11" t="s">
        <v>319</v>
      </c>
      <c r="HK67" s="11" t="s">
        <v>319</v>
      </c>
      <c r="HL67" s="11" t="s">
        <v>319</v>
      </c>
      <c r="HO67" s="11" t="s">
        <v>1446</v>
      </c>
      <c r="HP67" s="11" t="s">
        <v>330</v>
      </c>
      <c r="HQ67" s="11" t="s">
        <v>319</v>
      </c>
      <c r="HR67" s="11" t="s">
        <v>319</v>
      </c>
      <c r="HS67" s="11" t="s">
        <v>320</v>
      </c>
      <c r="HT67" s="11" t="s">
        <v>320</v>
      </c>
      <c r="HU67" s="11" t="s">
        <v>320</v>
      </c>
      <c r="HV67" s="11" t="s">
        <v>320</v>
      </c>
      <c r="HW67" s="11" t="s">
        <v>320</v>
      </c>
      <c r="HZ67" s="11" t="s">
        <v>331</v>
      </c>
      <c r="IA67" s="11" t="s">
        <v>1447</v>
      </c>
      <c r="IB67" s="11" t="s">
        <v>667</v>
      </c>
      <c r="IC67" s="11" t="s">
        <v>1448</v>
      </c>
      <c r="ID67" s="11" t="s">
        <v>334</v>
      </c>
      <c r="IE67" s="11" t="s">
        <v>478</v>
      </c>
      <c r="IF67" s="11" t="s">
        <v>320</v>
      </c>
      <c r="IG67" s="11" t="s">
        <v>320</v>
      </c>
      <c r="IH67" s="11" t="s">
        <v>320</v>
      </c>
      <c r="II67" s="11" t="s">
        <v>320</v>
      </c>
      <c r="IJ67" s="12" t="str">
        <f t="shared" si="44"/>
        <v>4. Transformative</v>
      </c>
      <c r="IK67" s="12">
        <f t="shared" si="45"/>
        <v>4</v>
      </c>
      <c r="IL67" s="11" t="s">
        <v>336</v>
      </c>
      <c r="IM67" s="11" t="s">
        <v>320</v>
      </c>
      <c r="IN67" s="11" t="s">
        <v>320</v>
      </c>
      <c r="IO67" s="11" t="s">
        <v>320</v>
      </c>
      <c r="IP67" s="11" t="s">
        <v>320</v>
      </c>
      <c r="IQ67" s="12" t="str">
        <f t="shared" si="46"/>
        <v>2. Accommodating</v>
      </c>
      <c r="IR67" s="12">
        <f t="shared" si="47"/>
        <v>4</v>
      </c>
      <c r="IW67" s="11" t="str">
        <f t="shared" si="48"/>
        <v>No marker score</v>
      </c>
      <c r="IX67" s="12">
        <f t="shared" si="49"/>
        <v>0</v>
      </c>
      <c r="IY67" s="11" t="s">
        <v>338</v>
      </c>
      <c r="IZ67" s="11" t="s">
        <v>527</v>
      </c>
      <c r="JA67" s="11">
        <v>2</v>
      </c>
      <c r="JB67" s="11" t="s">
        <v>433</v>
      </c>
      <c r="JE67" s="11" t="s">
        <v>365</v>
      </c>
      <c r="JF67" s="11" t="s">
        <v>1449</v>
      </c>
      <c r="JG67" s="11" t="s">
        <v>1450</v>
      </c>
      <c r="JH67" s="11" t="s">
        <v>1451</v>
      </c>
      <c r="JI67" s="11" t="s">
        <v>1452</v>
      </c>
      <c r="JJ67" s="11" t="s">
        <v>1453</v>
      </c>
      <c r="JK67" s="11" t="s">
        <v>1454</v>
      </c>
      <c r="JL67" s="11" t="s">
        <v>1455</v>
      </c>
      <c r="JM67" s="11" t="s">
        <v>1456</v>
      </c>
      <c r="JO67" s="11" t="s">
        <v>1457</v>
      </c>
      <c r="JP67" s="15">
        <f t="shared" si="50"/>
        <v>150</v>
      </c>
      <c r="JQ67" s="15">
        <f t="shared" si="51"/>
        <v>750</v>
      </c>
      <c r="JR67" s="279">
        <f t="shared" si="52"/>
        <v>5</v>
      </c>
      <c r="JS67" s="17">
        <f t="shared" si="53"/>
        <v>0.33333333333333331</v>
      </c>
      <c r="JT67" s="18">
        <f t="shared" si="54"/>
        <v>0.33333333333333331</v>
      </c>
      <c r="JU67" s="280">
        <f t="shared" si="55"/>
        <v>50</v>
      </c>
      <c r="JV67" s="280">
        <f t="shared" si="56"/>
        <v>250</v>
      </c>
      <c r="JW67" s="319" t="str">
        <f t="shared" si="57"/>
        <v/>
      </c>
      <c r="JX67" s="15">
        <f t="shared" si="58"/>
        <v>0</v>
      </c>
      <c r="JY67" s="15">
        <f t="shared" si="59"/>
        <v>0</v>
      </c>
      <c r="JZ67" s="19" t="str">
        <f t="shared" si="60"/>
        <v/>
      </c>
      <c r="KA67" s="52" t="str">
        <f t="shared" si="61"/>
        <v/>
      </c>
      <c r="KB67" s="15">
        <f t="shared" si="62"/>
        <v>0</v>
      </c>
      <c r="KC67" s="15">
        <f t="shared" si="63"/>
        <v>0</v>
      </c>
      <c r="KD67" s="20" t="str">
        <f t="shared" si="64"/>
        <v/>
      </c>
      <c r="KE67" s="52" t="str">
        <f t="shared" si="65"/>
        <v/>
      </c>
      <c r="KF67" s="15">
        <f t="shared" si="66"/>
        <v>0</v>
      </c>
      <c r="KG67" s="15">
        <f t="shared" si="67"/>
        <v>0</v>
      </c>
      <c r="KH67" s="21" t="str">
        <f t="shared" si="68"/>
        <v/>
      </c>
      <c r="KI67" s="52" t="str">
        <f t="shared" si="69"/>
        <v/>
      </c>
      <c r="KJ67" s="15">
        <f t="shared" si="70"/>
        <v>0</v>
      </c>
      <c r="KK67" s="15">
        <f t="shared" si="71"/>
        <v>0</v>
      </c>
      <c r="KL67" s="19" t="str">
        <f t="shared" si="72"/>
        <v/>
      </c>
      <c r="KM67" s="52">
        <f t="shared" si="73"/>
        <v>1</v>
      </c>
      <c r="KN67" s="22">
        <f t="shared" si="74"/>
        <v>150</v>
      </c>
      <c r="KO67" s="22">
        <f t="shared" si="75"/>
        <v>750</v>
      </c>
      <c r="KP67" s="19">
        <f t="shared" si="76"/>
        <v>5</v>
      </c>
      <c r="KQ67" s="11" t="str">
        <f t="shared" si="77"/>
        <v>4. Transformative</v>
      </c>
      <c r="KR67" s="11" t="str">
        <f t="shared" si="78"/>
        <v>2. Accommodating</v>
      </c>
      <c r="KS67" s="11" t="str">
        <f t="shared" si="79"/>
        <v>No marker score</v>
      </c>
      <c r="KT67" s="11" t="str">
        <f t="shared" si="80"/>
        <v>It tested new ways for fighting poverty and measured results of innovation</v>
      </c>
      <c r="KU67" s="11" t="str">
        <f t="shared" si="81"/>
        <v>Moderate advocacy</v>
      </c>
      <c r="KV67" s="11" t="str">
        <f t="shared" si="82"/>
        <v>It took tested solutions to scale on its own</v>
      </c>
      <c r="KW67" s="11" t="str">
        <f t="shared" si="83"/>
        <v>Bangladesh - Women in Factories (Phase-2)</v>
      </c>
      <c r="KX67" s="11" t="str">
        <f t="shared" si="84"/>
        <v>Women in Factories (Phase-2)</v>
      </c>
      <c r="KY67" s="11" t="str">
        <f t="shared" si="85"/>
        <v>Bangladesh</v>
      </c>
      <c r="KZ67" s="287">
        <v>67</v>
      </c>
    </row>
    <row r="68" spans="1:312" x14ac:dyDescent="0.3">
      <c r="A68" s="11" t="s">
        <v>652</v>
      </c>
      <c r="B68" s="11" t="s">
        <v>306</v>
      </c>
      <c r="D68" s="11" t="s">
        <v>1458</v>
      </c>
      <c r="E68" s="24" t="str">
        <f t="shared" si="43"/>
        <v>Bangladesh</v>
      </c>
      <c r="F68" s="11" t="s">
        <v>1459</v>
      </c>
      <c r="G68" s="11" t="s">
        <v>379</v>
      </c>
      <c r="H68" s="11" t="s">
        <v>383</v>
      </c>
      <c r="I68" s="11" t="s">
        <v>384</v>
      </c>
      <c r="J68" s="278" t="s">
        <v>14580</v>
      </c>
      <c r="BD68" s="23">
        <v>42597</v>
      </c>
      <c r="BE68" s="23">
        <v>43146</v>
      </c>
      <c r="BG68" s="11" t="s">
        <v>312</v>
      </c>
      <c r="BH68" s="22">
        <v>389328</v>
      </c>
      <c r="BI68" s="11" t="s">
        <v>1460</v>
      </c>
      <c r="BJ68" s="11" t="s">
        <v>1461</v>
      </c>
      <c r="BK68" s="11" t="s">
        <v>798</v>
      </c>
      <c r="BL68" s="11" t="s">
        <v>1462</v>
      </c>
      <c r="BM68" s="11" t="s">
        <v>1463</v>
      </c>
      <c r="BN68" s="11" t="s">
        <v>1464</v>
      </c>
      <c r="BO68" s="11" t="s">
        <v>319</v>
      </c>
      <c r="BP68" s="11" t="s">
        <v>320</v>
      </c>
      <c r="BQ68" s="11" t="s">
        <v>319</v>
      </c>
      <c r="BR68" s="11" t="s">
        <v>1465</v>
      </c>
      <c r="BS68" s="11" t="s">
        <v>357</v>
      </c>
      <c r="BT68" s="11" t="s">
        <v>1466</v>
      </c>
      <c r="BU68" s="11" t="s">
        <v>1058</v>
      </c>
      <c r="BV68" s="22">
        <v>24000</v>
      </c>
      <c r="BW68" s="22">
        <v>6000</v>
      </c>
      <c r="BX68" s="22">
        <v>30000</v>
      </c>
      <c r="BY68" s="22">
        <v>120000</v>
      </c>
      <c r="BZ68" s="22">
        <v>60000</v>
      </c>
      <c r="CA68" s="22">
        <v>180000</v>
      </c>
      <c r="CB68" s="15" t="s">
        <v>1467</v>
      </c>
      <c r="CL68" s="18"/>
      <c r="CP68" s="18"/>
      <c r="CT68" s="18"/>
      <c r="CX68" s="18"/>
      <c r="DB68" s="18"/>
      <c r="DF68" s="18"/>
      <c r="DJ68" s="18"/>
      <c r="DN68" s="18"/>
      <c r="DR68" s="18"/>
      <c r="DV68" s="18"/>
      <c r="DZ68" s="18"/>
      <c r="ED68" s="18"/>
      <c r="EI68" s="18"/>
      <c r="ES68" s="18"/>
      <c r="EW68" s="18"/>
      <c r="FA68" s="18"/>
      <c r="FE68" s="18"/>
      <c r="FI68" s="18"/>
      <c r="FM68" s="18"/>
      <c r="FQ68" s="18"/>
      <c r="FU68" s="18"/>
      <c r="FY68" s="18"/>
      <c r="GC68" s="18"/>
      <c r="GG68" s="18"/>
      <c r="GK68" s="18"/>
      <c r="GO68" s="18"/>
      <c r="GS68" s="18"/>
      <c r="GW68" s="18"/>
      <c r="HA68" s="18"/>
      <c r="HC68" s="11" t="s">
        <v>1468</v>
      </c>
      <c r="HD68" s="11" t="s">
        <v>320</v>
      </c>
      <c r="HF68" s="18"/>
      <c r="HH68" s="11" t="s">
        <v>319</v>
      </c>
      <c r="HK68" s="11" t="s">
        <v>319</v>
      </c>
      <c r="HL68" s="11" t="s">
        <v>320</v>
      </c>
      <c r="HM68" s="11" t="s">
        <v>361</v>
      </c>
      <c r="HN68" s="11">
        <v>2017</v>
      </c>
      <c r="HO68" s="11" t="s">
        <v>1469</v>
      </c>
      <c r="HP68" s="11" t="s">
        <v>418</v>
      </c>
      <c r="HZ68" s="11" t="s">
        <v>363</v>
      </c>
      <c r="IB68" s="11" t="s">
        <v>333</v>
      </c>
      <c r="ID68" s="11" t="s">
        <v>364</v>
      </c>
      <c r="IE68" s="11" t="s">
        <v>478</v>
      </c>
      <c r="IF68" s="11" t="s">
        <v>320</v>
      </c>
      <c r="IG68" s="11" t="s">
        <v>320</v>
      </c>
      <c r="IH68" s="11" t="s">
        <v>320</v>
      </c>
      <c r="II68" s="11" t="s">
        <v>319</v>
      </c>
      <c r="IJ68" s="12" t="str">
        <f t="shared" si="44"/>
        <v>3. Responsive</v>
      </c>
      <c r="IK68" s="12">
        <f t="shared" si="45"/>
        <v>3</v>
      </c>
      <c r="IL68" s="11" t="s">
        <v>336</v>
      </c>
      <c r="IM68" s="11" t="s">
        <v>320</v>
      </c>
      <c r="IN68" s="11" t="s">
        <v>320</v>
      </c>
      <c r="IO68" s="11" t="s">
        <v>320</v>
      </c>
      <c r="IP68" s="11" t="s">
        <v>319</v>
      </c>
      <c r="IQ68" s="12" t="str">
        <f t="shared" si="46"/>
        <v>2. Accommodating</v>
      </c>
      <c r="IR68" s="12">
        <f t="shared" si="47"/>
        <v>3</v>
      </c>
      <c r="IW68" s="11" t="str">
        <f t="shared" si="48"/>
        <v>No marker score</v>
      </c>
      <c r="IX68" s="12">
        <f t="shared" si="49"/>
        <v>0</v>
      </c>
      <c r="IY68" s="11" t="s">
        <v>338</v>
      </c>
      <c r="IZ68" s="11" t="s">
        <v>339</v>
      </c>
      <c r="JE68" s="11" t="s">
        <v>365</v>
      </c>
      <c r="JH68" s="11" t="s">
        <v>1451</v>
      </c>
      <c r="JI68" s="11" t="s">
        <v>1452</v>
      </c>
      <c r="JJ68" s="11" t="s">
        <v>1453</v>
      </c>
      <c r="JP68" s="15">
        <f t="shared" si="50"/>
        <v>0</v>
      </c>
      <c r="JQ68" s="15">
        <f t="shared" si="51"/>
        <v>0</v>
      </c>
      <c r="JR68" s="279" t="str">
        <f t="shared" si="52"/>
        <v/>
      </c>
      <c r="JS68" s="17" t="str">
        <f t="shared" si="53"/>
        <v/>
      </c>
      <c r="JT68" s="18" t="str">
        <f t="shared" si="54"/>
        <v/>
      </c>
      <c r="JU68" s="280">
        <f t="shared" si="55"/>
        <v>0</v>
      </c>
      <c r="JV68" s="280">
        <f t="shared" si="56"/>
        <v>0</v>
      </c>
      <c r="JW68" s="319" t="str">
        <f t="shared" si="57"/>
        <v/>
      </c>
      <c r="JX68" s="15">
        <f t="shared" si="58"/>
        <v>0</v>
      </c>
      <c r="JY68" s="15">
        <f t="shared" si="59"/>
        <v>0</v>
      </c>
      <c r="JZ68" s="19" t="str">
        <f t="shared" si="60"/>
        <v/>
      </c>
      <c r="KA68" s="52" t="str">
        <f t="shared" si="61"/>
        <v/>
      </c>
      <c r="KB68" s="15">
        <f t="shared" si="62"/>
        <v>0</v>
      </c>
      <c r="KC68" s="15">
        <f t="shared" si="63"/>
        <v>0</v>
      </c>
      <c r="KD68" s="20" t="str">
        <f t="shared" si="64"/>
        <v/>
      </c>
      <c r="KE68" s="52" t="str">
        <f t="shared" si="65"/>
        <v/>
      </c>
      <c r="KF68" s="15">
        <f t="shared" si="66"/>
        <v>0</v>
      </c>
      <c r="KG68" s="15">
        <f t="shared" si="67"/>
        <v>0</v>
      </c>
      <c r="KH68" s="21" t="str">
        <f t="shared" si="68"/>
        <v/>
      </c>
      <c r="KI68" s="52" t="str">
        <f t="shared" si="69"/>
        <v/>
      </c>
      <c r="KJ68" s="15">
        <f t="shared" si="70"/>
        <v>0</v>
      </c>
      <c r="KK68" s="15">
        <f t="shared" si="71"/>
        <v>0</v>
      </c>
      <c r="KL68" s="19" t="str">
        <f t="shared" si="72"/>
        <v/>
      </c>
      <c r="KM68" s="52" t="str">
        <f t="shared" si="73"/>
        <v/>
      </c>
      <c r="KN68" s="22">
        <f t="shared" si="74"/>
        <v>0</v>
      </c>
      <c r="KO68" s="22">
        <f t="shared" si="75"/>
        <v>0</v>
      </c>
      <c r="KP68" s="19" t="str">
        <f t="shared" si="76"/>
        <v/>
      </c>
      <c r="KQ68" s="11" t="str">
        <f t="shared" si="77"/>
        <v>3. Responsive</v>
      </c>
      <c r="KR68" s="11" t="str">
        <f t="shared" si="78"/>
        <v>2. Accommodating</v>
      </c>
      <c r="KS68" s="11" t="str">
        <f t="shared" si="79"/>
        <v>No marker score</v>
      </c>
      <c r="KT68" s="11" t="str">
        <f t="shared" si="80"/>
        <v>It did not develop any specific innovation</v>
      </c>
      <c r="KU68" s="11" t="str">
        <f t="shared" si="81"/>
        <v>Little or no advocacy</v>
      </c>
      <c r="KV68" s="11" t="str">
        <f t="shared" si="82"/>
        <v>It did not take tested solutions to scale</v>
      </c>
      <c r="KW68" s="11" t="str">
        <f t="shared" si="83"/>
        <v>Bangladesh - Women in Factories Initiative-Sustainability phase</v>
      </c>
      <c r="KX68" s="11" t="str">
        <f t="shared" si="84"/>
        <v>Women in Factories Initiative-Sustainability phase</v>
      </c>
      <c r="KY68" s="11" t="str">
        <f t="shared" si="85"/>
        <v>Bangladesh</v>
      </c>
      <c r="KZ68" s="12">
        <v>68</v>
      </c>
    </row>
    <row r="69" spans="1:312" x14ac:dyDescent="0.3">
      <c r="A69" s="11" t="s">
        <v>1527</v>
      </c>
      <c r="B69" s="11" t="s">
        <v>602</v>
      </c>
      <c r="D69" s="11" t="s">
        <v>1528</v>
      </c>
      <c r="E69" s="24" t="str">
        <f t="shared" si="43"/>
        <v>Belgium</v>
      </c>
      <c r="G69" s="11" t="s">
        <v>1529</v>
      </c>
      <c r="J69" s="278"/>
      <c r="BD69" s="23">
        <v>42675</v>
      </c>
      <c r="BE69" s="23" t="s">
        <v>1530</v>
      </c>
      <c r="BG69" s="11" t="s">
        <v>817</v>
      </c>
      <c r="BI69" s="11" t="s">
        <v>1531</v>
      </c>
      <c r="BJ69" s="11" t="s">
        <v>1532</v>
      </c>
      <c r="BK69" s="11" t="s">
        <v>1533</v>
      </c>
      <c r="BO69" s="11" t="s">
        <v>320</v>
      </c>
      <c r="BP69" s="11" t="s">
        <v>320</v>
      </c>
      <c r="BQ69" s="12" t="s">
        <v>320</v>
      </c>
      <c r="BR69" s="11" t="s">
        <v>1534</v>
      </c>
      <c r="BS69" s="11" t="s">
        <v>1535</v>
      </c>
      <c r="BT69" s="11" t="s">
        <v>1536</v>
      </c>
      <c r="BU69" s="11" t="s">
        <v>1537</v>
      </c>
      <c r="CB69" s="15" t="s">
        <v>1538</v>
      </c>
      <c r="CL69" s="18"/>
      <c r="CP69" s="18"/>
      <c r="CT69" s="18"/>
      <c r="CX69" s="18"/>
      <c r="DB69" s="18"/>
      <c r="DF69" s="18"/>
      <c r="DJ69" s="18"/>
      <c r="DN69" s="18"/>
      <c r="DR69" s="18"/>
      <c r="DV69" s="18"/>
      <c r="DZ69" s="18"/>
      <c r="ED69" s="18"/>
      <c r="EI69" s="18"/>
      <c r="ES69" s="18"/>
      <c r="EW69" s="18"/>
      <c r="EY69" s="11" t="s">
        <v>320</v>
      </c>
      <c r="FA69" s="18"/>
      <c r="FE69" s="18"/>
      <c r="FI69" s="18"/>
      <c r="FM69" s="18"/>
      <c r="FO69" s="11" t="s">
        <v>320</v>
      </c>
      <c r="FQ69" s="18"/>
      <c r="FS69" s="11" t="s">
        <v>320</v>
      </c>
      <c r="FU69" s="18"/>
      <c r="FW69" s="12" t="s">
        <v>320</v>
      </c>
      <c r="FY69" s="18"/>
      <c r="GC69" s="18"/>
      <c r="GE69" s="11" t="s">
        <v>320</v>
      </c>
      <c r="GG69" s="18"/>
      <c r="GK69" s="18"/>
      <c r="GM69" s="11" t="s">
        <v>320</v>
      </c>
      <c r="GO69" s="18"/>
      <c r="GS69" s="18"/>
      <c r="GW69" s="18"/>
      <c r="GY69" s="11" t="s">
        <v>320</v>
      </c>
      <c r="HA69" s="18"/>
      <c r="HC69" s="11" t="s">
        <v>1539</v>
      </c>
      <c r="HD69" s="12" t="s">
        <v>320</v>
      </c>
      <c r="HF69" s="18"/>
      <c r="HH69" s="11" t="s">
        <v>319</v>
      </c>
      <c r="HL69" s="11" t="s">
        <v>319</v>
      </c>
      <c r="HO69" s="11" t="s">
        <v>1540</v>
      </c>
      <c r="HP69" s="11" t="s">
        <v>453</v>
      </c>
      <c r="HQ69" s="11" t="s">
        <v>320</v>
      </c>
      <c r="HR69" s="11" t="s">
        <v>320</v>
      </c>
      <c r="HV69" s="11" t="s">
        <v>320</v>
      </c>
      <c r="HW69" s="11" t="s">
        <v>320</v>
      </c>
      <c r="HX69" s="11" t="s">
        <v>320</v>
      </c>
      <c r="IA69" s="11" t="s">
        <v>1541</v>
      </c>
      <c r="ID69" s="11" t="s">
        <v>334</v>
      </c>
      <c r="IE69" s="11" t="s">
        <v>478</v>
      </c>
      <c r="IJ69" s="12" t="str">
        <f t="shared" si="44"/>
        <v>No marker score</v>
      </c>
      <c r="IK69" s="12">
        <f t="shared" si="45"/>
        <v>0</v>
      </c>
      <c r="IL69" s="11" t="s">
        <v>621</v>
      </c>
      <c r="IN69" s="11" t="s">
        <v>320</v>
      </c>
      <c r="IO69" s="11" t="s">
        <v>320</v>
      </c>
      <c r="IQ69" s="12" t="str">
        <f t="shared" si="46"/>
        <v>3. Responsive</v>
      </c>
      <c r="IR69" s="12">
        <f t="shared" si="47"/>
        <v>2</v>
      </c>
      <c r="IS69" s="11" t="s">
        <v>622</v>
      </c>
      <c r="IW69" s="11" t="str">
        <f t="shared" si="48"/>
        <v>No marker score</v>
      </c>
      <c r="IX69" s="12">
        <f t="shared" si="49"/>
        <v>0</v>
      </c>
      <c r="IY69" s="11" t="s">
        <v>338</v>
      </c>
      <c r="IZ69" s="11" t="s">
        <v>527</v>
      </c>
      <c r="JB69" s="11" t="s">
        <v>433</v>
      </c>
      <c r="JC69" s="11" t="s">
        <v>831</v>
      </c>
      <c r="JD69" s="11" t="s">
        <v>832</v>
      </c>
      <c r="JE69" s="11" t="s">
        <v>340</v>
      </c>
      <c r="JH69" s="11" t="s">
        <v>1542</v>
      </c>
      <c r="JI69" s="11" t="s">
        <v>1543</v>
      </c>
      <c r="JJ69" s="11" t="s">
        <v>1544</v>
      </c>
      <c r="JK69" s="11" t="s">
        <v>1545</v>
      </c>
      <c r="JL69" s="11" t="s">
        <v>1546</v>
      </c>
      <c r="JN69" s="11" t="s">
        <v>1547</v>
      </c>
      <c r="JO69" s="11" t="s">
        <v>1548</v>
      </c>
      <c r="JP69" s="15">
        <f t="shared" si="50"/>
        <v>0</v>
      </c>
      <c r="JQ69" s="15">
        <f t="shared" si="51"/>
        <v>0</v>
      </c>
      <c r="JR69" s="279" t="str">
        <f t="shared" si="52"/>
        <v/>
      </c>
      <c r="JS69" s="17" t="str">
        <f t="shared" si="53"/>
        <v/>
      </c>
      <c r="JT69" s="18" t="str">
        <f t="shared" si="54"/>
        <v/>
      </c>
      <c r="JU69" s="280">
        <f t="shared" si="55"/>
        <v>0</v>
      </c>
      <c r="JV69" s="280">
        <f t="shared" si="56"/>
        <v>0</v>
      </c>
      <c r="JW69" s="319">
        <f t="shared" si="57"/>
        <v>1</v>
      </c>
      <c r="JX69" s="15">
        <f t="shared" si="58"/>
        <v>0</v>
      </c>
      <c r="JY69" s="15">
        <f t="shared" si="59"/>
        <v>0</v>
      </c>
      <c r="JZ69" s="19" t="str">
        <f t="shared" si="60"/>
        <v/>
      </c>
      <c r="KA69" s="52">
        <f t="shared" si="61"/>
        <v>1</v>
      </c>
      <c r="KB69" s="15">
        <f t="shared" si="62"/>
        <v>0</v>
      </c>
      <c r="KC69" s="15">
        <f t="shared" si="63"/>
        <v>0</v>
      </c>
      <c r="KD69" s="20" t="str">
        <f t="shared" si="64"/>
        <v/>
      </c>
      <c r="KE69" s="52" t="str">
        <f t="shared" si="65"/>
        <v/>
      </c>
      <c r="KF69" s="15">
        <f t="shared" si="66"/>
        <v>0</v>
      </c>
      <c r="KG69" s="15">
        <f t="shared" si="67"/>
        <v>0</v>
      </c>
      <c r="KH69" s="21" t="str">
        <f t="shared" si="68"/>
        <v/>
      </c>
      <c r="KI69" s="52">
        <f t="shared" si="69"/>
        <v>1</v>
      </c>
      <c r="KJ69" s="15">
        <f t="shared" si="70"/>
        <v>0</v>
      </c>
      <c r="KK69" s="15">
        <f t="shared" si="71"/>
        <v>0</v>
      </c>
      <c r="KL69" s="19" t="str">
        <f t="shared" si="72"/>
        <v/>
      </c>
      <c r="KM69" s="52">
        <f t="shared" si="73"/>
        <v>1</v>
      </c>
      <c r="KN69" s="22">
        <f t="shared" si="74"/>
        <v>0</v>
      </c>
      <c r="KO69" s="22">
        <f t="shared" si="75"/>
        <v>0</v>
      </c>
      <c r="KP69" s="19" t="str">
        <f t="shared" si="76"/>
        <v/>
      </c>
      <c r="KQ69" s="11" t="str">
        <f t="shared" si="77"/>
        <v>No marker score</v>
      </c>
      <c r="KR69" s="11" t="str">
        <f t="shared" si="78"/>
        <v>3. Responsive</v>
      </c>
      <c r="KS69" s="11" t="str">
        <f t="shared" si="79"/>
        <v>No marker score</v>
      </c>
      <c r="KT69" s="11">
        <f t="shared" si="80"/>
        <v>0</v>
      </c>
      <c r="KU69" s="11" t="str">
        <f t="shared" si="81"/>
        <v>Intensive advocacy</v>
      </c>
      <c r="KV69" s="11">
        <f t="shared" si="82"/>
        <v>0</v>
      </c>
      <c r="KW69" s="11" t="str">
        <f t="shared" si="83"/>
        <v>Belgium - Brussels Syria Conference - EU Syria Strategy</v>
      </c>
      <c r="KX69" s="11" t="str">
        <f t="shared" si="84"/>
        <v>Brussels Syria Conference - EU Syria Strategy</v>
      </c>
      <c r="KY69" s="11" t="str">
        <f t="shared" si="85"/>
        <v>Belgium</v>
      </c>
      <c r="KZ69" s="287">
        <v>69</v>
      </c>
    </row>
    <row r="70" spans="1:312" x14ac:dyDescent="0.3">
      <c r="A70" s="282" t="s">
        <v>1527</v>
      </c>
      <c r="B70" s="282" t="s">
        <v>602</v>
      </c>
      <c r="C70" s="282"/>
      <c r="D70" s="282" t="s">
        <v>1549</v>
      </c>
      <c r="E70" s="24" t="str">
        <f t="shared" si="43"/>
        <v>Belgium</v>
      </c>
      <c r="F70" s="282"/>
      <c r="G70" s="282" t="s">
        <v>1529</v>
      </c>
      <c r="H70" s="282"/>
      <c r="I70" s="282"/>
      <c r="J70" s="278"/>
      <c r="K70" s="282"/>
      <c r="L70" s="282"/>
      <c r="M70" s="282"/>
      <c r="N70" s="282"/>
      <c r="O70" s="282"/>
      <c r="P70" s="282"/>
      <c r="Q70" s="282"/>
      <c r="R70" s="282"/>
      <c r="S70" s="282"/>
      <c r="T70" s="282"/>
      <c r="U70" s="282"/>
      <c r="V70" s="282"/>
      <c r="W70" s="282"/>
      <c r="X70" s="282"/>
      <c r="Y70" s="282"/>
      <c r="Z70" s="282"/>
      <c r="AA70" s="282"/>
      <c r="AB70" s="282"/>
      <c r="AC70" s="282"/>
      <c r="AD70" s="282"/>
      <c r="AE70" s="282"/>
      <c r="AF70" s="282"/>
      <c r="AG70" s="282"/>
      <c r="AH70" s="282"/>
      <c r="AI70" s="282"/>
      <c r="AJ70" s="282"/>
      <c r="AK70" s="282"/>
      <c r="AL70" s="282"/>
      <c r="AM70" s="282"/>
      <c r="AN70" s="282"/>
      <c r="AO70" s="282"/>
      <c r="AP70" s="282"/>
      <c r="AQ70" s="282"/>
      <c r="AR70" s="282"/>
      <c r="AS70" s="282"/>
      <c r="AT70" s="282"/>
      <c r="AU70" s="282"/>
      <c r="AV70" s="282"/>
      <c r="AW70" s="282"/>
      <c r="AX70" s="282"/>
      <c r="AY70" s="282"/>
      <c r="AZ70" s="282"/>
      <c r="BA70" s="282"/>
      <c r="BB70" s="282"/>
      <c r="BC70" s="282"/>
      <c r="BD70" s="283">
        <v>42644</v>
      </c>
      <c r="BE70" s="283">
        <v>43038</v>
      </c>
      <c r="BF70" s="283"/>
      <c r="BG70" s="283" t="s">
        <v>312</v>
      </c>
      <c r="BH70" s="284"/>
      <c r="BI70" s="282" t="s">
        <v>1531</v>
      </c>
      <c r="BJ70" s="282" t="s">
        <v>1532</v>
      </c>
      <c r="BK70" s="282" t="s">
        <v>1533</v>
      </c>
      <c r="BL70" s="282"/>
      <c r="BM70" s="282"/>
      <c r="BN70" s="282"/>
      <c r="BO70" s="282" t="s">
        <v>320</v>
      </c>
      <c r="BP70" s="282" t="s">
        <v>320</v>
      </c>
      <c r="BQ70" s="282" t="s">
        <v>320</v>
      </c>
      <c r="BR70" s="282" t="s">
        <v>1550</v>
      </c>
      <c r="BS70" s="282" t="s">
        <v>849</v>
      </c>
      <c r="BT70" s="282" t="s">
        <v>1551</v>
      </c>
      <c r="BU70" s="282" t="s">
        <v>1552</v>
      </c>
      <c r="BV70" s="284"/>
      <c r="BW70" s="284"/>
      <c r="BX70" s="284"/>
      <c r="BY70" s="284"/>
      <c r="BZ70" s="284"/>
      <c r="CA70" s="284"/>
      <c r="CB70" s="285" t="s">
        <v>1553</v>
      </c>
      <c r="CC70" s="285"/>
      <c r="CD70" s="284"/>
      <c r="CE70" s="284"/>
      <c r="CF70" s="284"/>
      <c r="CG70" s="284"/>
      <c r="CH70" s="284"/>
      <c r="CI70" s="284"/>
      <c r="CJ70" s="282"/>
      <c r="CK70" s="284"/>
      <c r="CL70" s="286"/>
      <c r="CM70" s="284"/>
      <c r="CN70" s="287"/>
      <c r="CO70" s="284"/>
      <c r="CP70" s="286"/>
      <c r="CQ70" s="284"/>
      <c r="CR70" s="282"/>
      <c r="CS70" s="284"/>
      <c r="CT70" s="286"/>
      <c r="CU70" s="284"/>
      <c r="CV70" s="282" t="s">
        <v>320</v>
      </c>
      <c r="CW70" s="284"/>
      <c r="CX70" s="286"/>
      <c r="CY70" s="284"/>
      <c r="CZ70" s="282"/>
      <c r="DA70" s="284"/>
      <c r="DB70" s="286"/>
      <c r="DC70" s="284"/>
      <c r="DD70" s="287"/>
      <c r="DE70" s="284"/>
      <c r="DF70" s="286"/>
      <c r="DG70" s="284"/>
      <c r="DH70" s="282"/>
      <c r="DI70" s="284"/>
      <c r="DJ70" s="286"/>
      <c r="DK70" s="284"/>
      <c r="DL70" s="282" t="s">
        <v>320</v>
      </c>
      <c r="DM70" s="284"/>
      <c r="DN70" s="286"/>
      <c r="DO70" s="284"/>
      <c r="DP70" s="282"/>
      <c r="DQ70" s="284"/>
      <c r="DR70" s="286"/>
      <c r="DS70" s="284"/>
      <c r="DT70" s="282"/>
      <c r="DU70" s="284"/>
      <c r="DV70" s="286"/>
      <c r="DW70" s="284"/>
      <c r="DX70" s="282"/>
      <c r="DY70" s="284"/>
      <c r="DZ70" s="286"/>
      <c r="EA70" s="284"/>
      <c r="EB70" s="282"/>
      <c r="EC70" s="284"/>
      <c r="ED70" s="286"/>
      <c r="EE70" s="284"/>
      <c r="EF70" s="285"/>
      <c r="EG70" s="287"/>
      <c r="EH70" s="284"/>
      <c r="EI70" s="286"/>
      <c r="EJ70" s="284"/>
      <c r="EK70" s="284"/>
      <c r="EL70" s="284"/>
      <c r="EM70" s="284"/>
      <c r="EN70" s="284"/>
      <c r="EO70" s="284"/>
      <c r="EP70" s="284"/>
      <c r="EQ70" s="282"/>
      <c r="ER70" s="284"/>
      <c r="ES70" s="286"/>
      <c r="ET70" s="284"/>
      <c r="EU70" s="282" t="s">
        <v>320</v>
      </c>
      <c r="EV70" s="284"/>
      <c r="EW70" s="286"/>
      <c r="EX70" s="284"/>
      <c r="EY70" s="282" t="s">
        <v>320</v>
      </c>
      <c r="EZ70" s="284"/>
      <c r="FA70" s="286"/>
      <c r="FB70" s="284"/>
      <c r="FC70" s="282" t="s">
        <v>320</v>
      </c>
      <c r="FD70" s="284"/>
      <c r="FE70" s="286"/>
      <c r="FF70" s="284"/>
      <c r="FG70" s="282"/>
      <c r="FH70" s="284"/>
      <c r="FI70" s="286"/>
      <c r="FJ70" s="284"/>
      <c r="FK70" s="282"/>
      <c r="FL70" s="284"/>
      <c r="FM70" s="286"/>
      <c r="FN70" s="284"/>
      <c r="FO70" s="282" t="s">
        <v>320</v>
      </c>
      <c r="FP70" s="284"/>
      <c r="FQ70" s="286"/>
      <c r="FR70" s="284"/>
      <c r="FS70" s="282"/>
      <c r="FT70" s="284"/>
      <c r="FU70" s="286"/>
      <c r="FV70" s="284"/>
      <c r="FW70" s="282" t="s">
        <v>320</v>
      </c>
      <c r="FX70" s="284"/>
      <c r="FY70" s="286"/>
      <c r="FZ70" s="284"/>
      <c r="GA70" s="282"/>
      <c r="GB70" s="284"/>
      <c r="GC70" s="286"/>
      <c r="GD70" s="284"/>
      <c r="GE70" s="282"/>
      <c r="GF70" s="284"/>
      <c r="GG70" s="286"/>
      <c r="GH70" s="284"/>
      <c r="GI70" s="282" t="s">
        <v>320</v>
      </c>
      <c r="GJ70" s="284"/>
      <c r="GK70" s="286"/>
      <c r="GL70" s="284"/>
      <c r="GM70" s="282" t="s">
        <v>320</v>
      </c>
      <c r="GN70" s="284"/>
      <c r="GO70" s="286"/>
      <c r="GP70" s="284"/>
      <c r="GQ70" s="282"/>
      <c r="GR70" s="284"/>
      <c r="GS70" s="286"/>
      <c r="GT70" s="284"/>
      <c r="GU70" s="282"/>
      <c r="GV70" s="284"/>
      <c r="GW70" s="286"/>
      <c r="GX70" s="284"/>
      <c r="GY70" s="282"/>
      <c r="GZ70" s="284"/>
      <c r="HA70" s="286"/>
      <c r="HB70" s="284"/>
      <c r="HC70" s="282" t="s">
        <v>1554</v>
      </c>
      <c r="HD70" s="282" t="s">
        <v>320</v>
      </c>
      <c r="HE70" s="284"/>
      <c r="HF70" s="286"/>
      <c r="HG70" s="284"/>
      <c r="HH70" s="282" t="s">
        <v>319</v>
      </c>
      <c r="HI70" s="282"/>
      <c r="HJ70" s="282"/>
      <c r="HK70" s="282"/>
      <c r="HL70" s="282" t="s">
        <v>320</v>
      </c>
      <c r="HM70" s="282"/>
      <c r="HN70" s="282"/>
      <c r="HO70" s="282" t="s">
        <v>1555</v>
      </c>
      <c r="HP70" s="282" t="s">
        <v>453</v>
      </c>
      <c r="HQ70" s="282" t="s">
        <v>320</v>
      </c>
      <c r="HR70" s="282"/>
      <c r="HS70" s="282" t="s">
        <v>320</v>
      </c>
      <c r="HT70" s="282"/>
      <c r="HU70" s="282"/>
      <c r="HV70" s="282"/>
      <c r="HW70" s="282"/>
      <c r="HX70" s="282"/>
      <c r="HY70" s="282"/>
      <c r="HZ70" s="282" t="s">
        <v>363</v>
      </c>
      <c r="IA70" s="282"/>
      <c r="IB70" s="282"/>
      <c r="IC70" s="282"/>
      <c r="ID70" s="282"/>
      <c r="IE70" s="282" t="s">
        <v>335</v>
      </c>
      <c r="IF70" s="282" t="s">
        <v>320</v>
      </c>
      <c r="IG70" s="282"/>
      <c r="IH70" s="282"/>
      <c r="II70" s="282"/>
      <c r="IJ70" s="12" t="str">
        <f t="shared" si="44"/>
        <v>0. Harmful</v>
      </c>
      <c r="IK70" s="287">
        <f t="shared" si="45"/>
        <v>1</v>
      </c>
      <c r="IL70" s="282" t="s">
        <v>621</v>
      </c>
      <c r="IM70" s="282" t="s">
        <v>320</v>
      </c>
      <c r="IN70" s="282" t="s">
        <v>320</v>
      </c>
      <c r="IO70" s="282" t="s">
        <v>320</v>
      </c>
      <c r="IP70" s="282"/>
      <c r="IQ70" s="287" t="str">
        <f t="shared" si="46"/>
        <v>3. Responsive</v>
      </c>
      <c r="IR70" s="287">
        <f t="shared" si="47"/>
        <v>3</v>
      </c>
      <c r="IS70" s="282" t="s">
        <v>622</v>
      </c>
      <c r="IT70" s="282" t="s">
        <v>320</v>
      </c>
      <c r="IU70" s="282" t="s">
        <v>320</v>
      </c>
      <c r="IV70" s="282" t="s">
        <v>320</v>
      </c>
      <c r="IW70" s="11" t="str">
        <f t="shared" si="48"/>
        <v>4. Transformative</v>
      </c>
      <c r="IX70" s="287">
        <f t="shared" si="49"/>
        <v>3</v>
      </c>
      <c r="IY70" s="282" t="s">
        <v>758</v>
      </c>
      <c r="IZ70" s="282" t="s">
        <v>527</v>
      </c>
      <c r="JA70" s="282">
        <v>15</v>
      </c>
      <c r="JB70" s="282" t="s">
        <v>831</v>
      </c>
      <c r="JC70" s="282" t="s">
        <v>832</v>
      </c>
      <c r="JD70" s="282" t="s">
        <v>725</v>
      </c>
      <c r="JE70" s="282" t="s">
        <v>420</v>
      </c>
      <c r="JF70" s="282"/>
      <c r="JG70" s="282" t="s">
        <v>1556</v>
      </c>
      <c r="JH70" s="282" t="s">
        <v>1557</v>
      </c>
      <c r="JI70" s="282" t="s">
        <v>1558</v>
      </c>
      <c r="JJ70" s="282"/>
      <c r="JK70" s="282" t="s">
        <v>1559</v>
      </c>
      <c r="JL70" s="282" t="s">
        <v>1560</v>
      </c>
      <c r="JM70" s="282" t="s">
        <v>1561</v>
      </c>
      <c r="JN70" s="282"/>
      <c r="JO70" s="282" t="s">
        <v>1562</v>
      </c>
      <c r="JP70" s="15">
        <f t="shared" si="50"/>
        <v>0</v>
      </c>
      <c r="JQ70" s="15">
        <f t="shared" si="51"/>
        <v>0</v>
      </c>
      <c r="JR70" s="279" t="str">
        <f t="shared" si="52"/>
        <v/>
      </c>
      <c r="JS70" s="17" t="str">
        <f t="shared" si="53"/>
        <v/>
      </c>
      <c r="JT70" s="18" t="str">
        <f t="shared" si="54"/>
        <v/>
      </c>
      <c r="JU70" s="280">
        <f t="shared" si="55"/>
        <v>0</v>
      </c>
      <c r="JV70" s="280">
        <f t="shared" si="56"/>
        <v>0</v>
      </c>
      <c r="JW70" s="319">
        <f t="shared" si="57"/>
        <v>1</v>
      </c>
      <c r="JX70" s="15">
        <f t="shared" si="58"/>
        <v>0</v>
      </c>
      <c r="JY70" s="15">
        <f t="shared" si="59"/>
        <v>0</v>
      </c>
      <c r="JZ70" s="19" t="str">
        <f t="shared" si="60"/>
        <v/>
      </c>
      <c r="KA70" s="52">
        <f t="shared" si="61"/>
        <v>1</v>
      </c>
      <c r="KB70" s="15">
        <f t="shared" si="62"/>
        <v>0</v>
      </c>
      <c r="KC70" s="15">
        <f t="shared" si="63"/>
        <v>0</v>
      </c>
      <c r="KD70" s="20" t="str">
        <f t="shared" si="64"/>
        <v/>
      </c>
      <c r="KE70" s="52" t="str">
        <f t="shared" si="65"/>
        <v/>
      </c>
      <c r="KF70" s="15">
        <f t="shared" si="66"/>
        <v>0</v>
      </c>
      <c r="KG70" s="15">
        <f t="shared" si="67"/>
        <v>0</v>
      </c>
      <c r="KH70" s="21" t="str">
        <f t="shared" si="68"/>
        <v/>
      </c>
      <c r="KI70" s="52" t="str">
        <f t="shared" si="69"/>
        <v/>
      </c>
      <c r="KJ70" s="15">
        <f t="shared" si="70"/>
        <v>0</v>
      </c>
      <c r="KK70" s="15">
        <f t="shared" si="71"/>
        <v>0</v>
      </c>
      <c r="KL70" s="19" t="str">
        <f t="shared" si="72"/>
        <v/>
      </c>
      <c r="KM70" s="52" t="str">
        <f t="shared" si="73"/>
        <v/>
      </c>
      <c r="KN70" s="22">
        <f t="shared" si="74"/>
        <v>0</v>
      </c>
      <c r="KO70" s="22">
        <f t="shared" si="75"/>
        <v>0</v>
      </c>
      <c r="KP70" s="19" t="str">
        <f t="shared" si="76"/>
        <v/>
      </c>
      <c r="KQ70" s="11" t="str">
        <f t="shared" si="77"/>
        <v>0. Harmful</v>
      </c>
      <c r="KR70" s="11" t="str">
        <f t="shared" si="78"/>
        <v>3. Responsive</v>
      </c>
      <c r="KS70" s="11" t="str">
        <f t="shared" si="79"/>
        <v>4. Transformative</v>
      </c>
      <c r="KT70" s="11" t="str">
        <f t="shared" si="80"/>
        <v>It did not develop any specific innovation</v>
      </c>
      <c r="KU70" s="11" t="str">
        <f t="shared" si="81"/>
        <v>Intensive advocacy</v>
      </c>
      <c r="KV70" s="11">
        <f t="shared" si="82"/>
        <v>0</v>
      </c>
      <c r="KW70" s="11" t="str">
        <f t="shared" si="83"/>
        <v>Belgium - EU resilience policy</v>
      </c>
      <c r="KX70" s="11" t="str">
        <f t="shared" si="84"/>
        <v>EU resilience policy</v>
      </c>
      <c r="KY70" s="11" t="str">
        <f t="shared" si="85"/>
        <v>Belgium</v>
      </c>
      <c r="KZ70" s="12">
        <v>70</v>
      </c>
    </row>
    <row r="71" spans="1:312" x14ac:dyDescent="0.3">
      <c r="A71" s="11" t="s">
        <v>1527</v>
      </c>
      <c r="B71" s="11" t="s">
        <v>602</v>
      </c>
      <c r="D71" s="11" t="s">
        <v>1563</v>
      </c>
      <c r="E71" s="24" t="str">
        <f t="shared" si="43"/>
        <v>Belgium</v>
      </c>
      <c r="G71" s="11" t="s">
        <v>1529</v>
      </c>
      <c r="J71" s="278"/>
      <c r="BD71" s="23">
        <v>42491</v>
      </c>
      <c r="BE71" s="23">
        <v>42893</v>
      </c>
      <c r="BG71" s="11" t="s">
        <v>312</v>
      </c>
      <c r="BI71" s="26" t="s">
        <v>1531</v>
      </c>
      <c r="BJ71" s="11" t="s">
        <v>1532</v>
      </c>
      <c r="BK71" s="11" t="s">
        <v>1533</v>
      </c>
      <c r="BO71" s="12" t="s">
        <v>319</v>
      </c>
      <c r="BP71" s="12" t="s">
        <v>320</v>
      </c>
      <c r="BQ71" s="12" t="s">
        <v>319</v>
      </c>
      <c r="BR71" s="11" t="s">
        <v>1564</v>
      </c>
      <c r="BS71" s="11" t="s">
        <v>849</v>
      </c>
      <c r="BT71" s="11" t="s">
        <v>1565</v>
      </c>
      <c r="BU71" s="11" t="s">
        <v>1566</v>
      </c>
      <c r="CB71" s="15" t="s">
        <v>1567</v>
      </c>
      <c r="CL71" s="18"/>
      <c r="CP71" s="18"/>
      <c r="CT71" s="18"/>
      <c r="CX71" s="18"/>
      <c r="DB71" s="18"/>
      <c r="DF71" s="18"/>
      <c r="DJ71" s="18"/>
      <c r="DN71" s="18"/>
      <c r="DR71" s="18"/>
      <c r="DV71" s="18"/>
      <c r="DZ71" s="18"/>
      <c r="ED71" s="18"/>
      <c r="EI71" s="18"/>
      <c r="EQ71" s="11" t="s">
        <v>320</v>
      </c>
      <c r="ES71" s="18"/>
      <c r="EU71" s="11" t="s">
        <v>320</v>
      </c>
      <c r="EW71" s="18"/>
      <c r="EY71" s="12" t="s">
        <v>320</v>
      </c>
      <c r="FA71" s="18"/>
      <c r="FC71" s="11" t="s">
        <v>320</v>
      </c>
      <c r="FE71" s="18"/>
      <c r="FI71" s="18"/>
      <c r="FM71" s="18"/>
      <c r="FO71" s="11" t="s">
        <v>320</v>
      </c>
      <c r="FQ71" s="18"/>
      <c r="FS71" s="11" t="s">
        <v>320</v>
      </c>
      <c r="FU71" s="18"/>
      <c r="FW71" s="12" t="s">
        <v>320</v>
      </c>
      <c r="FY71" s="18"/>
      <c r="GC71" s="18"/>
      <c r="GG71" s="18"/>
      <c r="GK71" s="18"/>
      <c r="GM71" s="11" t="s">
        <v>320</v>
      </c>
      <c r="GO71" s="18"/>
      <c r="GQ71" s="11" t="s">
        <v>320</v>
      </c>
      <c r="GS71" s="18"/>
      <c r="GW71" s="18"/>
      <c r="GY71" s="11" t="s">
        <v>320</v>
      </c>
      <c r="HA71" s="18"/>
      <c r="HC71" s="11" t="s">
        <v>1568</v>
      </c>
      <c r="HD71" s="12" t="s">
        <v>320</v>
      </c>
      <c r="HF71" s="18"/>
      <c r="HH71" s="11" t="s">
        <v>319</v>
      </c>
      <c r="HL71" s="11" t="s">
        <v>319</v>
      </c>
      <c r="HO71" s="11" t="s">
        <v>1569</v>
      </c>
      <c r="HP71" s="11" t="s">
        <v>453</v>
      </c>
      <c r="HQ71" s="11" t="s">
        <v>320</v>
      </c>
      <c r="ID71" s="11" t="s">
        <v>334</v>
      </c>
      <c r="IE71" s="11" t="s">
        <v>478</v>
      </c>
      <c r="IJ71" s="12" t="str">
        <f t="shared" si="44"/>
        <v>No marker score</v>
      </c>
      <c r="IK71" s="12">
        <f t="shared" si="45"/>
        <v>0</v>
      </c>
      <c r="IL71" s="11" t="s">
        <v>336</v>
      </c>
      <c r="IO71" s="11" t="s">
        <v>320</v>
      </c>
      <c r="IQ71" s="12" t="str">
        <f t="shared" si="46"/>
        <v>1. Tokenistic</v>
      </c>
      <c r="IR71" s="12">
        <f t="shared" si="47"/>
        <v>1</v>
      </c>
      <c r="IS71" s="11" t="s">
        <v>622</v>
      </c>
      <c r="IW71" s="11" t="str">
        <f t="shared" si="48"/>
        <v>No marker score</v>
      </c>
      <c r="IX71" s="12">
        <f t="shared" si="49"/>
        <v>0</v>
      </c>
      <c r="IZ71" s="11" t="s">
        <v>527</v>
      </c>
      <c r="JA71" s="11">
        <v>40</v>
      </c>
      <c r="JB71" s="12" t="s">
        <v>1570</v>
      </c>
      <c r="JC71" s="11" t="s">
        <v>831</v>
      </c>
      <c r="JD71" s="11" t="s">
        <v>384</v>
      </c>
      <c r="JE71" s="11" t="s">
        <v>420</v>
      </c>
      <c r="JG71" s="11" t="s">
        <v>1571</v>
      </c>
      <c r="JH71" s="11" t="s">
        <v>1557</v>
      </c>
      <c r="JK71" s="11" t="s">
        <v>1572</v>
      </c>
      <c r="JO71" s="11" t="s">
        <v>1573</v>
      </c>
      <c r="JP71" s="15">
        <f t="shared" si="50"/>
        <v>0</v>
      </c>
      <c r="JQ71" s="15">
        <f t="shared" si="51"/>
        <v>0</v>
      </c>
      <c r="JR71" s="279" t="str">
        <f t="shared" si="52"/>
        <v/>
      </c>
      <c r="JS71" s="17" t="str">
        <f t="shared" si="53"/>
        <v/>
      </c>
      <c r="JT71" s="18" t="str">
        <f t="shared" si="54"/>
        <v/>
      </c>
      <c r="JU71" s="280">
        <f t="shared" si="55"/>
        <v>0</v>
      </c>
      <c r="JV71" s="280">
        <f t="shared" si="56"/>
        <v>0</v>
      </c>
      <c r="JW71" s="319" t="str">
        <f t="shared" si="57"/>
        <v/>
      </c>
      <c r="JX71" s="15">
        <f t="shared" si="58"/>
        <v>0</v>
      </c>
      <c r="JY71" s="15">
        <f t="shared" si="59"/>
        <v>0</v>
      </c>
      <c r="JZ71" s="19" t="str">
        <f t="shared" si="60"/>
        <v/>
      </c>
      <c r="KA71" s="52">
        <f t="shared" si="61"/>
        <v>1</v>
      </c>
      <c r="KB71" s="15">
        <f t="shared" si="62"/>
        <v>0</v>
      </c>
      <c r="KC71" s="15">
        <f t="shared" si="63"/>
        <v>0</v>
      </c>
      <c r="KD71" s="20" t="str">
        <f t="shared" si="64"/>
        <v/>
      </c>
      <c r="KE71" s="52">
        <f t="shared" si="65"/>
        <v>1</v>
      </c>
      <c r="KF71" s="15">
        <f t="shared" si="66"/>
        <v>0</v>
      </c>
      <c r="KG71" s="15">
        <f t="shared" si="67"/>
        <v>0</v>
      </c>
      <c r="KH71" s="21" t="str">
        <f t="shared" si="68"/>
        <v/>
      </c>
      <c r="KI71" s="52">
        <f t="shared" si="69"/>
        <v>1</v>
      </c>
      <c r="KJ71" s="15">
        <f t="shared" si="70"/>
        <v>0</v>
      </c>
      <c r="KK71" s="15">
        <f t="shared" si="71"/>
        <v>0</v>
      </c>
      <c r="KL71" s="19" t="str">
        <f t="shared" si="72"/>
        <v/>
      </c>
      <c r="KM71" s="52">
        <f t="shared" si="73"/>
        <v>1</v>
      </c>
      <c r="KN71" s="22">
        <f t="shared" si="74"/>
        <v>0</v>
      </c>
      <c r="KO71" s="22">
        <f t="shared" si="75"/>
        <v>0</v>
      </c>
      <c r="KP71" s="19" t="str">
        <f t="shared" si="76"/>
        <v/>
      </c>
      <c r="KQ71" s="11" t="str">
        <f t="shared" si="77"/>
        <v>No marker score</v>
      </c>
      <c r="KR71" s="11" t="str">
        <f t="shared" si="78"/>
        <v>1. Tokenistic</v>
      </c>
      <c r="KS71" s="11" t="str">
        <f t="shared" si="79"/>
        <v>No marker score</v>
      </c>
      <c r="KT71" s="11">
        <f t="shared" si="80"/>
        <v>0</v>
      </c>
      <c r="KU71" s="11" t="str">
        <f t="shared" si="81"/>
        <v>Intensive advocacy</v>
      </c>
      <c r="KV71" s="11">
        <f t="shared" si="82"/>
        <v>0</v>
      </c>
      <c r="KW71" s="11" t="str">
        <f t="shared" si="83"/>
        <v>Belgium - European Consensus on Development</v>
      </c>
      <c r="KX71" s="11" t="str">
        <f t="shared" si="84"/>
        <v>European Consensus on Development</v>
      </c>
      <c r="KY71" s="11" t="str">
        <f t="shared" si="85"/>
        <v>Belgium</v>
      </c>
      <c r="KZ71" s="12">
        <v>71</v>
      </c>
    </row>
    <row r="72" spans="1:312" x14ac:dyDescent="0.3">
      <c r="A72" s="11" t="s">
        <v>1527</v>
      </c>
      <c r="B72" s="11" t="s">
        <v>602</v>
      </c>
      <c r="D72" s="11" t="s">
        <v>1574</v>
      </c>
      <c r="E72" s="24" t="str">
        <f t="shared" si="43"/>
        <v>Belgium</v>
      </c>
      <c r="G72" s="11" t="s">
        <v>1529</v>
      </c>
      <c r="J72" s="278"/>
      <c r="BG72" s="11" t="s">
        <v>817</v>
      </c>
      <c r="BI72" s="11" t="s">
        <v>1531</v>
      </c>
      <c r="BJ72" s="11" t="s">
        <v>1532</v>
      </c>
      <c r="BK72" s="11" t="s">
        <v>1533</v>
      </c>
      <c r="BO72" s="11" t="s">
        <v>320</v>
      </c>
      <c r="BP72" s="11" t="s">
        <v>319</v>
      </c>
      <c r="BQ72" s="11" t="s">
        <v>319</v>
      </c>
      <c r="BR72" s="11" t="s">
        <v>1575</v>
      </c>
      <c r="BS72" s="11" t="s">
        <v>849</v>
      </c>
      <c r="BT72" s="11" t="s">
        <v>1551</v>
      </c>
      <c r="BU72" s="11" t="s">
        <v>1576</v>
      </c>
      <c r="CB72" s="15" t="s">
        <v>1577</v>
      </c>
      <c r="CL72" s="18"/>
      <c r="CN72" s="11" t="s">
        <v>320</v>
      </c>
      <c r="CP72" s="18"/>
      <c r="CR72" s="11" t="s">
        <v>320</v>
      </c>
      <c r="CT72" s="18"/>
      <c r="CV72" s="11" t="s">
        <v>320</v>
      </c>
      <c r="CX72" s="18"/>
      <c r="CZ72" s="11" t="s">
        <v>320</v>
      </c>
      <c r="DB72" s="18"/>
      <c r="DD72" s="11" t="s">
        <v>320</v>
      </c>
      <c r="DF72" s="18"/>
      <c r="DJ72" s="18"/>
      <c r="DN72" s="18"/>
      <c r="DP72" s="11" t="s">
        <v>320</v>
      </c>
      <c r="DR72" s="18"/>
      <c r="DT72" s="11" t="s">
        <v>320</v>
      </c>
      <c r="DV72" s="18"/>
      <c r="DZ72" s="18"/>
      <c r="ED72" s="18"/>
      <c r="EI72" s="18"/>
      <c r="ES72" s="18"/>
      <c r="EW72" s="18"/>
      <c r="FA72" s="18"/>
      <c r="FE72" s="18"/>
      <c r="FI72" s="18"/>
      <c r="FM72" s="18"/>
      <c r="FQ72" s="18"/>
      <c r="FU72" s="18"/>
      <c r="FY72" s="18"/>
      <c r="GC72" s="18"/>
      <c r="GG72" s="18"/>
      <c r="GK72" s="18"/>
      <c r="GO72" s="18"/>
      <c r="GS72" s="18"/>
      <c r="GW72" s="18"/>
      <c r="HA72" s="18"/>
      <c r="HF72" s="18"/>
      <c r="HH72" s="11" t="s">
        <v>319</v>
      </c>
      <c r="HL72" s="11" t="s">
        <v>319</v>
      </c>
      <c r="HO72" s="11" t="s">
        <v>1578</v>
      </c>
      <c r="HP72" s="11" t="s">
        <v>453</v>
      </c>
      <c r="HQ72" s="11" t="s">
        <v>319</v>
      </c>
      <c r="HS72" s="11" t="s">
        <v>320</v>
      </c>
      <c r="HT72" s="11" t="s">
        <v>320</v>
      </c>
      <c r="IA72" s="11" t="s">
        <v>1541</v>
      </c>
      <c r="ID72" s="11" t="s">
        <v>477</v>
      </c>
      <c r="IE72" s="11" t="s">
        <v>478</v>
      </c>
      <c r="IF72" s="11" t="s">
        <v>320</v>
      </c>
      <c r="IG72" s="11" t="s">
        <v>320</v>
      </c>
      <c r="IJ72" s="12" t="str">
        <f t="shared" si="44"/>
        <v>3. Responsive</v>
      </c>
      <c r="IK72" s="12">
        <f t="shared" si="45"/>
        <v>2</v>
      </c>
      <c r="IL72" s="11" t="s">
        <v>621</v>
      </c>
      <c r="IN72" s="11" t="s">
        <v>320</v>
      </c>
      <c r="IQ72" s="12" t="str">
        <f t="shared" si="46"/>
        <v>No marker score</v>
      </c>
      <c r="IR72" s="12">
        <f t="shared" si="47"/>
        <v>1</v>
      </c>
      <c r="IS72" s="11" t="s">
        <v>622</v>
      </c>
      <c r="IW72" s="11" t="str">
        <f t="shared" si="48"/>
        <v>No marker score</v>
      </c>
      <c r="IX72" s="12">
        <f t="shared" si="49"/>
        <v>0</v>
      </c>
      <c r="IY72" s="11" t="s">
        <v>338</v>
      </c>
      <c r="IZ72" s="11" t="s">
        <v>432</v>
      </c>
      <c r="JB72" s="11" t="s">
        <v>831</v>
      </c>
      <c r="JC72" s="12" t="s">
        <v>651</v>
      </c>
      <c r="JD72" s="11" t="s">
        <v>623</v>
      </c>
      <c r="JE72" s="11" t="s">
        <v>340</v>
      </c>
      <c r="JH72" s="11" t="s">
        <v>1557</v>
      </c>
      <c r="JI72" s="11" t="s">
        <v>1579</v>
      </c>
      <c r="JK72" s="11" t="s">
        <v>1580</v>
      </c>
      <c r="JO72" s="11" t="s">
        <v>1581</v>
      </c>
      <c r="JP72" s="15">
        <f t="shared" si="50"/>
        <v>0</v>
      </c>
      <c r="JQ72" s="15">
        <f t="shared" si="51"/>
        <v>0</v>
      </c>
      <c r="JR72" s="279" t="str">
        <f t="shared" si="52"/>
        <v/>
      </c>
      <c r="JS72" s="17" t="str">
        <f t="shared" si="53"/>
        <v/>
      </c>
      <c r="JT72" s="18" t="str">
        <f t="shared" si="54"/>
        <v/>
      </c>
      <c r="JU72" s="280">
        <f t="shared" si="55"/>
        <v>0</v>
      </c>
      <c r="JV72" s="280">
        <f t="shared" si="56"/>
        <v>0</v>
      </c>
      <c r="JW72" s="319">
        <f t="shared" si="57"/>
        <v>1</v>
      </c>
      <c r="JX72" s="15">
        <f t="shared" si="58"/>
        <v>0</v>
      </c>
      <c r="JY72" s="15">
        <f t="shared" si="59"/>
        <v>0</v>
      </c>
      <c r="JZ72" s="19" t="str">
        <f t="shared" si="60"/>
        <v/>
      </c>
      <c r="KA72" s="52">
        <f t="shared" si="61"/>
        <v>1</v>
      </c>
      <c r="KB72" s="15">
        <f t="shared" si="62"/>
        <v>0</v>
      </c>
      <c r="KC72" s="15">
        <f t="shared" si="63"/>
        <v>0</v>
      </c>
      <c r="KD72" s="20" t="str">
        <f t="shared" si="64"/>
        <v/>
      </c>
      <c r="KE72" s="52">
        <f t="shared" si="65"/>
        <v>1</v>
      </c>
      <c r="KF72" s="15">
        <f t="shared" si="66"/>
        <v>0</v>
      </c>
      <c r="KG72" s="15">
        <f t="shared" si="67"/>
        <v>0</v>
      </c>
      <c r="KH72" s="21" t="str">
        <f t="shared" si="68"/>
        <v/>
      </c>
      <c r="KI72" s="52">
        <f t="shared" si="69"/>
        <v>1</v>
      </c>
      <c r="KJ72" s="15">
        <f t="shared" si="70"/>
        <v>0</v>
      </c>
      <c r="KK72" s="15">
        <f t="shared" si="71"/>
        <v>0</v>
      </c>
      <c r="KL72" s="19" t="str">
        <f t="shared" si="72"/>
        <v/>
      </c>
      <c r="KM72" s="52" t="str">
        <f t="shared" si="73"/>
        <v/>
      </c>
      <c r="KN72" s="22">
        <f t="shared" si="74"/>
        <v>0</v>
      </c>
      <c r="KO72" s="22">
        <f t="shared" si="75"/>
        <v>0</v>
      </c>
      <c r="KP72" s="19" t="str">
        <f t="shared" si="76"/>
        <v/>
      </c>
      <c r="KQ72" s="11" t="str">
        <f t="shared" si="77"/>
        <v>3. Responsive</v>
      </c>
      <c r="KR72" s="11" t="str">
        <f t="shared" si="78"/>
        <v>No marker score</v>
      </c>
      <c r="KS72" s="11" t="str">
        <f t="shared" si="79"/>
        <v>No marker score</v>
      </c>
      <c r="KT72" s="11">
        <f t="shared" si="80"/>
        <v>0</v>
      </c>
      <c r="KU72" s="11" t="str">
        <f t="shared" si="81"/>
        <v>Intensive advocacy</v>
      </c>
      <c r="KV72" s="11">
        <f t="shared" si="82"/>
        <v>0</v>
      </c>
      <c r="KW72" s="11" t="str">
        <f t="shared" si="83"/>
        <v>Belgium - Gender in emergencies- EU advocacy</v>
      </c>
      <c r="KX72" s="11" t="str">
        <f t="shared" si="84"/>
        <v>Gender in emergencies- EU advocacy</v>
      </c>
      <c r="KY72" s="11" t="str">
        <f t="shared" si="85"/>
        <v>Belgium</v>
      </c>
      <c r="KZ72" s="12">
        <v>72</v>
      </c>
    </row>
    <row r="73" spans="1:312" x14ac:dyDescent="0.3">
      <c r="A73" s="11" t="s">
        <v>1527</v>
      </c>
      <c r="B73" s="11" t="s">
        <v>602</v>
      </c>
      <c r="D73" s="11" t="s">
        <v>1582</v>
      </c>
      <c r="E73" s="24" t="str">
        <f t="shared" si="43"/>
        <v>Belgium</v>
      </c>
      <c r="G73" s="11" t="s">
        <v>1529</v>
      </c>
      <c r="J73" s="278"/>
      <c r="BG73" s="11" t="s">
        <v>817</v>
      </c>
      <c r="BI73" s="11" t="s">
        <v>1531</v>
      </c>
      <c r="BJ73" s="11" t="s">
        <v>1532</v>
      </c>
      <c r="BK73" s="11" t="s">
        <v>1533</v>
      </c>
      <c r="BO73" s="11" t="s">
        <v>320</v>
      </c>
      <c r="BP73" s="11" t="s">
        <v>320</v>
      </c>
      <c r="BQ73" s="12" t="s">
        <v>320</v>
      </c>
      <c r="BR73" s="11" t="s">
        <v>1583</v>
      </c>
      <c r="BS73" s="11" t="s">
        <v>322</v>
      </c>
      <c r="BT73" s="11" t="s">
        <v>1584</v>
      </c>
      <c r="BU73" s="11" t="s">
        <v>1585</v>
      </c>
      <c r="CB73" s="15" t="s">
        <v>1586</v>
      </c>
      <c r="CL73" s="18"/>
      <c r="CP73" s="18"/>
      <c r="CT73" s="18"/>
      <c r="CX73" s="18"/>
      <c r="DB73" s="18"/>
      <c r="DF73" s="18"/>
      <c r="DJ73" s="18"/>
      <c r="DN73" s="18"/>
      <c r="DR73" s="18"/>
      <c r="DV73" s="18"/>
      <c r="DZ73" s="18"/>
      <c r="ED73" s="18"/>
      <c r="EI73" s="18"/>
      <c r="ES73" s="18"/>
      <c r="EW73" s="18"/>
      <c r="EY73" s="11" t="s">
        <v>320</v>
      </c>
      <c r="FA73" s="18"/>
      <c r="FE73" s="18"/>
      <c r="FG73" s="11" t="s">
        <v>320</v>
      </c>
      <c r="FI73" s="18"/>
      <c r="FK73" s="11" t="s">
        <v>319</v>
      </c>
      <c r="FM73" s="18"/>
      <c r="FO73" s="12" t="s">
        <v>320</v>
      </c>
      <c r="FQ73" s="18"/>
      <c r="FS73" s="11" t="s">
        <v>320</v>
      </c>
      <c r="FU73" s="18"/>
      <c r="FW73" s="12" t="s">
        <v>320</v>
      </c>
      <c r="FY73" s="18"/>
      <c r="GA73" s="11" t="s">
        <v>320</v>
      </c>
      <c r="GC73" s="18"/>
      <c r="GE73" s="11" t="s">
        <v>320</v>
      </c>
      <c r="GG73" s="18"/>
      <c r="GK73" s="18"/>
      <c r="GM73" s="11" t="s">
        <v>320</v>
      </c>
      <c r="GO73" s="18"/>
      <c r="GQ73" s="11" t="s">
        <v>320</v>
      </c>
      <c r="GS73" s="18"/>
      <c r="GU73" s="12" t="s">
        <v>320</v>
      </c>
      <c r="GW73" s="18"/>
      <c r="GY73" s="11" t="s">
        <v>320</v>
      </c>
      <c r="HA73" s="18"/>
      <c r="HC73" s="11" t="s">
        <v>1587</v>
      </c>
      <c r="HD73" s="12" t="s">
        <v>320</v>
      </c>
      <c r="HF73" s="18"/>
      <c r="HH73" s="11" t="s">
        <v>319</v>
      </c>
      <c r="HL73" s="11" t="s">
        <v>319</v>
      </c>
      <c r="HP73" s="11" t="s">
        <v>453</v>
      </c>
      <c r="HR73" s="11" t="s">
        <v>320</v>
      </c>
      <c r="HS73" s="11" t="s">
        <v>320</v>
      </c>
      <c r="HU73" s="11" t="s">
        <v>320</v>
      </c>
      <c r="HV73" s="11" t="s">
        <v>320</v>
      </c>
      <c r="HW73" s="11" t="s">
        <v>320</v>
      </c>
      <c r="HX73" s="11" t="s">
        <v>320</v>
      </c>
      <c r="HZ73" s="11" t="s">
        <v>363</v>
      </c>
      <c r="ID73" s="11" t="s">
        <v>334</v>
      </c>
      <c r="IE73" s="11" t="s">
        <v>335</v>
      </c>
      <c r="IG73" s="11" t="s">
        <v>320</v>
      </c>
      <c r="IJ73" s="12" t="str">
        <f t="shared" si="44"/>
        <v>0. Harmful</v>
      </c>
      <c r="IK73" s="12">
        <f t="shared" si="45"/>
        <v>1</v>
      </c>
      <c r="IL73" s="11" t="s">
        <v>621</v>
      </c>
      <c r="IN73" s="11" t="s">
        <v>320</v>
      </c>
      <c r="IO73" s="11" t="s">
        <v>320</v>
      </c>
      <c r="IQ73" s="12" t="str">
        <f t="shared" si="46"/>
        <v>3. Responsive</v>
      </c>
      <c r="IR73" s="12">
        <f t="shared" si="47"/>
        <v>2</v>
      </c>
      <c r="IS73" s="11" t="s">
        <v>622</v>
      </c>
      <c r="IV73" s="11" t="s">
        <v>320</v>
      </c>
      <c r="IW73" s="11" t="str">
        <f t="shared" si="48"/>
        <v>3. Responsive</v>
      </c>
      <c r="IX73" s="12">
        <f t="shared" si="49"/>
        <v>1</v>
      </c>
      <c r="IY73" s="11" t="s">
        <v>338</v>
      </c>
      <c r="IZ73" s="11" t="s">
        <v>527</v>
      </c>
      <c r="JB73" s="11" t="s">
        <v>831</v>
      </c>
      <c r="JC73" s="11" t="s">
        <v>832</v>
      </c>
      <c r="JG73" s="11" t="s">
        <v>1588</v>
      </c>
      <c r="JH73" s="11" t="s">
        <v>1589</v>
      </c>
      <c r="JI73" s="11" t="s">
        <v>1590</v>
      </c>
      <c r="JK73" s="11" t="s">
        <v>1591</v>
      </c>
      <c r="JL73" s="11" t="s">
        <v>1592</v>
      </c>
      <c r="JM73" s="11" t="s">
        <v>1593</v>
      </c>
      <c r="JO73" s="11" t="s">
        <v>1594</v>
      </c>
      <c r="JP73" s="15">
        <f t="shared" si="50"/>
        <v>0</v>
      </c>
      <c r="JQ73" s="15">
        <f t="shared" si="51"/>
        <v>0</v>
      </c>
      <c r="JR73" s="279" t="str">
        <f t="shared" si="52"/>
        <v/>
      </c>
      <c r="JS73" s="17" t="str">
        <f t="shared" si="53"/>
        <v/>
      </c>
      <c r="JT73" s="18" t="str">
        <f t="shared" si="54"/>
        <v/>
      </c>
      <c r="JU73" s="280">
        <f t="shared" si="55"/>
        <v>0</v>
      </c>
      <c r="JV73" s="280">
        <f t="shared" si="56"/>
        <v>0</v>
      </c>
      <c r="JW73" s="319">
        <f t="shared" si="57"/>
        <v>1</v>
      </c>
      <c r="JX73" s="15">
        <f t="shared" si="58"/>
        <v>0</v>
      </c>
      <c r="JY73" s="15">
        <f t="shared" si="59"/>
        <v>0</v>
      </c>
      <c r="JZ73" s="19" t="str">
        <f t="shared" si="60"/>
        <v/>
      </c>
      <c r="KA73" s="52">
        <f t="shared" si="61"/>
        <v>1</v>
      </c>
      <c r="KB73" s="15">
        <f t="shared" si="62"/>
        <v>0</v>
      </c>
      <c r="KC73" s="15">
        <f t="shared" si="63"/>
        <v>0</v>
      </c>
      <c r="KD73" s="20" t="str">
        <f t="shared" si="64"/>
        <v/>
      </c>
      <c r="KE73" s="52">
        <f t="shared" si="65"/>
        <v>1</v>
      </c>
      <c r="KF73" s="15">
        <f t="shared" si="66"/>
        <v>0</v>
      </c>
      <c r="KG73" s="15">
        <f t="shared" si="67"/>
        <v>0</v>
      </c>
      <c r="KH73" s="21" t="str">
        <f t="shared" si="68"/>
        <v/>
      </c>
      <c r="KI73" s="52">
        <f t="shared" si="69"/>
        <v>1</v>
      </c>
      <c r="KJ73" s="15">
        <f t="shared" si="70"/>
        <v>0</v>
      </c>
      <c r="KK73" s="15">
        <f t="shared" si="71"/>
        <v>0</v>
      </c>
      <c r="KL73" s="19" t="str">
        <f t="shared" si="72"/>
        <v/>
      </c>
      <c r="KM73" s="52">
        <f t="shared" si="73"/>
        <v>1</v>
      </c>
      <c r="KN73" s="22">
        <f t="shared" si="74"/>
        <v>0</v>
      </c>
      <c r="KO73" s="22">
        <f t="shared" si="75"/>
        <v>0</v>
      </c>
      <c r="KP73" s="19" t="str">
        <f t="shared" si="76"/>
        <v/>
      </c>
      <c r="KQ73" s="11" t="str">
        <f t="shared" si="77"/>
        <v>0. Harmful</v>
      </c>
      <c r="KR73" s="11" t="str">
        <f t="shared" si="78"/>
        <v>3. Responsive</v>
      </c>
      <c r="KS73" s="11" t="str">
        <f t="shared" si="79"/>
        <v>3. Responsive</v>
      </c>
      <c r="KT73" s="11" t="str">
        <f t="shared" si="80"/>
        <v>It did not develop any specific innovation</v>
      </c>
      <c r="KU73" s="11" t="str">
        <f t="shared" si="81"/>
        <v>Intensive advocacy</v>
      </c>
      <c r="KV73" s="11">
        <f t="shared" si="82"/>
        <v>0</v>
      </c>
      <c r="KW73" s="11" t="str">
        <f t="shared" si="83"/>
        <v>Belgium - Humanitarian Advocacy (Global Support to Yemen Program)</v>
      </c>
      <c r="KX73" s="11" t="str">
        <f t="shared" si="84"/>
        <v>Humanitarian Advocacy (Global Support to Yemen Program)</v>
      </c>
      <c r="KY73" s="11" t="str">
        <f t="shared" si="85"/>
        <v>Belgium</v>
      </c>
      <c r="KZ73" s="12">
        <v>73</v>
      </c>
    </row>
    <row r="74" spans="1:312" x14ac:dyDescent="0.3">
      <c r="A74" s="11" t="s">
        <v>1595</v>
      </c>
      <c r="B74" s="11" t="s">
        <v>1596</v>
      </c>
      <c r="D74" s="11" t="s">
        <v>1681</v>
      </c>
      <c r="E74" s="24" t="str">
        <f t="shared" si="43"/>
        <v>Benin</v>
      </c>
      <c r="F74" s="11" t="s">
        <v>1682</v>
      </c>
      <c r="G74" s="11" t="s">
        <v>608</v>
      </c>
      <c r="H74" s="11" t="s">
        <v>380</v>
      </c>
      <c r="I74" s="11" t="s">
        <v>426</v>
      </c>
      <c r="J74" s="278" t="s">
        <v>14575</v>
      </c>
      <c r="BD74" s="23">
        <v>41579</v>
      </c>
      <c r="BE74" s="23">
        <v>43038</v>
      </c>
      <c r="BG74" s="11" t="s">
        <v>749</v>
      </c>
      <c r="BH74" s="22">
        <v>1193230</v>
      </c>
      <c r="BI74" s="11" t="s">
        <v>1683</v>
      </c>
      <c r="BJ74" s="11" t="s">
        <v>1684</v>
      </c>
      <c r="BK74" s="25" t="s">
        <v>1685</v>
      </c>
      <c r="BL74" s="11" t="s">
        <v>1686</v>
      </c>
      <c r="BO74" s="12" t="s">
        <v>319</v>
      </c>
      <c r="BP74" s="12" t="s">
        <v>320</v>
      </c>
      <c r="BQ74" s="12" t="s">
        <v>319</v>
      </c>
      <c r="BR74" s="11" t="s">
        <v>1687</v>
      </c>
      <c r="BS74" s="11" t="s">
        <v>357</v>
      </c>
      <c r="BT74" s="11" t="s">
        <v>1688</v>
      </c>
      <c r="BU74" s="11" t="s">
        <v>1689</v>
      </c>
      <c r="BV74" s="22">
        <v>28000</v>
      </c>
      <c r="BW74" s="22">
        <v>42000</v>
      </c>
      <c r="BX74" s="22">
        <v>70000</v>
      </c>
      <c r="CB74" s="15" t="s">
        <v>1690</v>
      </c>
      <c r="CL74" s="18"/>
      <c r="CP74" s="18"/>
      <c r="CT74" s="18"/>
      <c r="CX74" s="18"/>
      <c r="DB74" s="18"/>
      <c r="DF74" s="18"/>
      <c r="DJ74" s="18"/>
      <c r="DN74" s="18"/>
      <c r="DR74" s="18"/>
      <c r="DV74" s="18"/>
      <c r="DZ74" s="18"/>
      <c r="ED74" s="18"/>
      <c r="EI74" s="18"/>
      <c r="EK74" s="22">
        <v>15234</v>
      </c>
      <c r="EL74" s="22">
        <v>15149</v>
      </c>
      <c r="EM74" s="22">
        <v>30383</v>
      </c>
      <c r="EQ74" s="12" t="s">
        <v>319</v>
      </c>
      <c r="ES74" s="18"/>
      <c r="EU74" s="11" t="s">
        <v>319</v>
      </c>
      <c r="EW74" s="18"/>
      <c r="EY74" s="12" t="s">
        <v>319</v>
      </c>
      <c r="FA74" s="18"/>
      <c r="FC74" s="12" t="s">
        <v>319</v>
      </c>
      <c r="FE74" s="18"/>
      <c r="FG74" s="12" t="s">
        <v>319</v>
      </c>
      <c r="FI74" s="18"/>
      <c r="FK74" s="11" t="s">
        <v>319</v>
      </c>
      <c r="FM74" s="18"/>
      <c r="FO74" s="12" t="s">
        <v>320</v>
      </c>
      <c r="FP74" s="22">
        <v>30383</v>
      </c>
      <c r="FQ74" s="18">
        <v>0.50129999999999997</v>
      </c>
      <c r="FS74" s="11" t="s">
        <v>319</v>
      </c>
      <c r="FU74" s="18"/>
      <c r="FW74" s="11" t="s">
        <v>320</v>
      </c>
      <c r="FX74" s="22">
        <v>30383</v>
      </c>
      <c r="FY74" s="18">
        <v>0.50129999999999997</v>
      </c>
      <c r="GA74" s="11" t="s">
        <v>319</v>
      </c>
      <c r="GC74" s="18"/>
      <c r="GE74" s="12" t="s">
        <v>320</v>
      </c>
      <c r="GF74" s="22">
        <v>30383</v>
      </c>
      <c r="GG74" s="18">
        <v>0.50129999999999997</v>
      </c>
      <c r="GI74" s="11" t="s">
        <v>319</v>
      </c>
      <c r="GK74" s="18"/>
      <c r="GM74" s="11" t="s">
        <v>319</v>
      </c>
      <c r="GO74" s="18"/>
      <c r="GQ74" s="11" t="s">
        <v>319</v>
      </c>
      <c r="GS74" s="18"/>
      <c r="GU74" s="11" t="s">
        <v>319</v>
      </c>
      <c r="GW74" s="18"/>
      <c r="GY74" s="11" t="s">
        <v>319</v>
      </c>
      <c r="HA74" s="18"/>
      <c r="HD74" s="11" t="s">
        <v>319</v>
      </c>
      <c r="HF74" s="18"/>
      <c r="HH74" s="11" t="s">
        <v>320</v>
      </c>
      <c r="HI74" s="11" t="s">
        <v>451</v>
      </c>
      <c r="HJ74" s="11">
        <v>2017</v>
      </c>
      <c r="HK74" s="11" t="s">
        <v>319</v>
      </c>
      <c r="HL74" s="11" t="s">
        <v>319</v>
      </c>
      <c r="HO74" s="11" t="s">
        <v>1691</v>
      </c>
      <c r="HP74" s="11" t="s">
        <v>330</v>
      </c>
      <c r="HT74" s="11" t="s">
        <v>320</v>
      </c>
      <c r="HX74" s="11" t="s">
        <v>320</v>
      </c>
      <c r="HZ74" s="11" t="s">
        <v>363</v>
      </c>
      <c r="IB74" s="12" t="s">
        <v>333</v>
      </c>
      <c r="ID74" s="12" t="s">
        <v>334</v>
      </c>
      <c r="IJ74" s="12" t="str">
        <f t="shared" si="44"/>
        <v>No marker score</v>
      </c>
      <c r="IK74" s="12">
        <f t="shared" si="45"/>
        <v>0</v>
      </c>
      <c r="IQ74" s="12" t="str">
        <f t="shared" si="46"/>
        <v>No marker score</v>
      </c>
      <c r="IR74" s="12">
        <f t="shared" si="47"/>
        <v>0</v>
      </c>
      <c r="IW74" s="11" t="str">
        <f t="shared" si="48"/>
        <v>No marker score</v>
      </c>
      <c r="IX74" s="12">
        <f t="shared" si="49"/>
        <v>0</v>
      </c>
      <c r="JB74" s="12" t="s">
        <v>624</v>
      </c>
      <c r="JC74" s="12" t="s">
        <v>433</v>
      </c>
      <c r="JD74" s="11" t="s">
        <v>687</v>
      </c>
      <c r="JK74" s="11" t="s">
        <v>1692</v>
      </c>
      <c r="JL74" s="11" t="s">
        <v>1693</v>
      </c>
      <c r="JM74" s="11" t="s">
        <v>1694</v>
      </c>
      <c r="JO74" s="11" t="s">
        <v>1695</v>
      </c>
      <c r="JP74" s="15">
        <f t="shared" si="50"/>
        <v>30383</v>
      </c>
      <c r="JQ74" s="15">
        <f t="shared" si="51"/>
        <v>0</v>
      </c>
      <c r="JR74" s="279">
        <f t="shared" si="52"/>
        <v>0</v>
      </c>
      <c r="JS74" s="17">
        <f t="shared" si="53"/>
        <v>0.50139880854425167</v>
      </c>
      <c r="JT74" s="18" t="str">
        <f t="shared" si="54"/>
        <v/>
      </c>
      <c r="JU74" s="280">
        <f t="shared" si="55"/>
        <v>15234</v>
      </c>
      <c r="JV74" s="280">
        <f t="shared" si="56"/>
        <v>0</v>
      </c>
      <c r="JW74" s="319" t="str">
        <f t="shared" si="57"/>
        <v/>
      </c>
      <c r="JX74" s="15">
        <f t="shared" si="58"/>
        <v>0</v>
      </c>
      <c r="JY74" s="15">
        <f t="shared" si="59"/>
        <v>0</v>
      </c>
      <c r="JZ74" s="19" t="str">
        <f t="shared" si="60"/>
        <v/>
      </c>
      <c r="KA74" s="52">
        <f t="shared" si="61"/>
        <v>1</v>
      </c>
      <c r="KB74" s="15">
        <f t="shared" si="62"/>
        <v>30383</v>
      </c>
      <c r="KC74" s="15">
        <f t="shared" si="63"/>
        <v>0</v>
      </c>
      <c r="KD74" s="20">
        <f t="shared" si="64"/>
        <v>0</v>
      </c>
      <c r="KE74" s="52" t="str">
        <f t="shared" si="65"/>
        <v/>
      </c>
      <c r="KF74" s="15">
        <f t="shared" si="66"/>
        <v>0</v>
      </c>
      <c r="KG74" s="15">
        <f t="shared" si="67"/>
        <v>0</v>
      </c>
      <c r="KH74" s="21" t="str">
        <f t="shared" si="68"/>
        <v/>
      </c>
      <c r="KI74" s="52" t="str">
        <f t="shared" si="69"/>
        <v/>
      </c>
      <c r="KJ74" s="15">
        <f t="shared" si="70"/>
        <v>0</v>
      </c>
      <c r="KK74" s="15">
        <f t="shared" si="71"/>
        <v>0</v>
      </c>
      <c r="KL74" s="19" t="str">
        <f t="shared" si="72"/>
        <v/>
      </c>
      <c r="KM74" s="52" t="str">
        <f t="shared" si="73"/>
        <v/>
      </c>
      <c r="KN74" s="22">
        <f t="shared" si="74"/>
        <v>0</v>
      </c>
      <c r="KO74" s="22">
        <f t="shared" si="75"/>
        <v>0</v>
      </c>
      <c r="KP74" s="19" t="str">
        <f t="shared" si="76"/>
        <v/>
      </c>
      <c r="KQ74" s="11" t="str">
        <f t="shared" si="77"/>
        <v>No marker score</v>
      </c>
      <c r="KR74" s="11" t="str">
        <f t="shared" si="78"/>
        <v>No marker score</v>
      </c>
      <c r="KS74" s="11" t="str">
        <f t="shared" si="79"/>
        <v>No marker score</v>
      </c>
      <c r="KT74" s="11" t="str">
        <f t="shared" si="80"/>
        <v>It did not develop any specific innovation</v>
      </c>
      <c r="KU74" s="11" t="str">
        <f t="shared" si="81"/>
        <v>Moderate advocacy</v>
      </c>
      <c r="KV74" s="11" t="str">
        <f t="shared" si="82"/>
        <v>It did not take tested solutions to scale</v>
      </c>
      <c r="KW74" s="11" t="str">
        <f t="shared" si="83"/>
        <v>Benin - Approche Communale pour le Marché Agricole (ACMA)</v>
      </c>
      <c r="KX74" s="11" t="str">
        <f t="shared" si="84"/>
        <v>Approche Communale pour le Marché Agricole (ACMA)</v>
      </c>
      <c r="KY74" s="11" t="str">
        <f t="shared" si="85"/>
        <v>Benin</v>
      </c>
      <c r="KZ74" s="12">
        <v>74</v>
      </c>
    </row>
    <row r="75" spans="1:312" x14ac:dyDescent="0.3">
      <c r="A75" s="11" t="s">
        <v>1595</v>
      </c>
      <c r="B75" s="11" t="s">
        <v>1596</v>
      </c>
      <c r="D75" s="11" t="s">
        <v>1631</v>
      </c>
      <c r="E75" s="24" t="str">
        <f t="shared" si="43"/>
        <v>Benin</v>
      </c>
      <c r="F75" s="11" t="s">
        <v>1632</v>
      </c>
      <c r="G75" s="11" t="s">
        <v>379</v>
      </c>
      <c r="H75" s="11" t="s">
        <v>383</v>
      </c>
      <c r="I75" s="11" t="s">
        <v>384</v>
      </c>
      <c r="J75" s="278" t="s">
        <v>14581</v>
      </c>
      <c r="BD75" s="23">
        <v>42370</v>
      </c>
      <c r="BE75" s="23">
        <v>42916</v>
      </c>
      <c r="BF75" s="23">
        <v>43100</v>
      </c>
      <c r="BG75" s="11" t="s">
        <v>490</v>
      </c>
      <c r="BI75" s="11" t="s">
        <v>1633</v>
      </c>
      <c r="BJ75" s="11" t="s">
        <v>1634</v>
      </c>
      <c r="BK75" s="11" t="s">
        <v>1635</v>
      </c>
      <c r="BL75" s="11" t="s">
        <v>1636</v>
      </c>
      <c r="BM75" s="11" t="s">
        <v>1637</v>
      </c>
      <c r="BN75" s="11" t="s">
        <v>1638</v>
      </c>
      <c r="BO75" s="12" t="s">
        <v>319</v>
      </c>
      <c r="BP75" s="12" t="s">
        <v>320</v>
      </c>
      <c r="BQ75" s="12" t="s">
        <v>319</v>
      </c>
      <c r="BR75" s="11" t="s">
        <v>1639</v>
      </c>
      <c r="BS75" s="11" t="s">
        <v>357</v>
      </c>
      <c r="BT75" s="11" t="s">
        <v>1640</v>
      </c>
      <c r="BU75" s="11" t="s">
        <v>1641</v>
      </c>
      <c r="BV75" s="22">
        <v>12236</v>
      </c>
      <c r="BW75" s="22">
        <v>130</v>
      </c>
      <c r="BX75" s="22">
        <v>12366</v>
      </c>
      <c r="BY75" s="22">
        <v>65618</v>
      </c>
      <c r="BZ75" s="22">
        <v>63044</v>
      </c>
      <c r="CA75" s="22">
        <v>128662</v>
      </c>
      <c r="CB75" s="15" t="s">
        <v>1642</v>
      </c>
      <c r="CL75" s="18"/>
      <c r="CP75" s="18"/>
      <c r="CT75" s="18"/>
      <c r="CX75" s="18"/>
      <c r="DB75" s="18"/>
      <c r="DF75" s="18"/>
      <c r="DJ75" s="18"/>
      <c r="DN75" s="18"/>
      <c r="DR75" s="18"/>
      <c r="DV75" s="18"/>
      <c r="DZ75" s="18"/>
      <c r="ED75" s="18"/>
      <c r="EI75" s="18"/>
      <c r="EK75" s="22">
        <v>4136</v>
      </c>
      <c r="EL75" s="22">
        <v>123</v>
      </c>
      <c r="EM75" s="22">
        <v>4259</v>
      </c>
      <c r="EN75" s="22">
        <v>38981</v>
      </c>
      <c r="EO75" s="22">
        <v>19508</v>
      </c>
      <c r="EP75" s="22">
        <v>58489</v>
      </c>
      <c r="ES75" s="18"/>
      <c r="EW75" s="18"/>
      <c r="FA75" s="18"/>
      <c r="FE75" s="18"/>
      <c r="FI75" s="18"/>
      <c r="FM75" s="18"/>
      <c r="FQ75" s="18"/>
      <c r="FU75" s="18"/>
      <c r="FY75" s="18"/>
      <c r="GC75" s="18"/>
      <c r="GG75" s="18"/>
      <c r="GK75" s="18"/>
      <c r="GO75" s="18"/>
      <c r="GQ75" s="12" t="s">
        <v>320</v>
      </c>
      <c r="GR75" s="22">
        <v>3922</v>
      </c>
      <c r="GS75" s="18">
        <v>0.97099999999999997</v>
      </c>
      <c r="GT75" s="22">
        <v>58489</v>
      </c>
      <c r="GW75" s="18"/>
      <c r="HA75" s="18"/>
      <c r="HF75" s="18"/>
      <c r="HH75" s="11" t="s">
        <v>319</v>
      </c>
      <c r="HK75" s="11" t="s">
        <v>319</v>
      </c>
      <c r="HL75" s="11" t="s">
        <v>320</v>
      </c>
      <c r="HM75" s="11" t="s">
        <v>327</v>
      </c>
      <c r="HN75" s="11">
        <v>2017</v>
      </c>
      <c r="HO75" s="11" t="s">
        <v>1643</v>
      </c>
      <c r="HP75" s="11" t="s">
        <v>418</v>
      </c>
      <c r="HQ75" s="11" t="s">
        <v>319</v>
      </c>
      <c r="HR75" s="11" t="s">
        <v>319</v>
      </c>
      <c r="HS75" s="11" t="s">
        <v>320</v>
      </c>
      <c r="HT75" s="11" t="s">
        <v>320</v>
      </c>
      <c r="HU75" s="11" t="s">
        <v>320</v>
      </c>
      <c r="HV75" s="11" t="s">
        <v>319</v>
      </c>
      <c r="HW75" s="11" t="s">
        <v>319</v>
      </c>
      <c r="HZ75" s="11" t="s">
        <v>394</v>
      </c>
      <c r="IA75" s="11" t="s">
        <v>1644</v>
      </c>
      <c r="IB75" s="12" t="s">
        <v>667</v>
      </c>
      <c r="IC75" s="11" t="s">
        <v>1645</v>
      </c>
      <c r="ID75" s="12" t="s">
        <v>334</v>
      </c>
      <c r="IE75" s="11" t="s">
        <v>478</v>
      </c>
      <c r="IF75" s="11" t="s">
        <v>320</v>
      </c>
      <c r="IG75" s="11" t="s">
        <v>320</v>
      </c>
      <c r="IH75" s="11" t="s">
        <v>320</v>
      </c>
      <c r="II75" s="11" t="s">
        <v>319</v>
      </c>
      <c r="IJ75" s="12" t="str">
        <f t="shared" si="44"/>
        <v>3. Responsive</v>
      </c>
      <c r="IK75" s="12">
        <f t="shared" si="45"/>
        <v>3</v>
      </c>
      <c r="IL75" s="11" t="s">
        <v>621</v>
      </c>
      <c r="IM75" s="11" t="s">
        <v>320</v>
      </c>
      <c r="IN75" s="11" t="s">
        <v>319</v>
      </c>
      <c r="IO75" s="11" t="s">
        <v>319</v>
      </c>
      <c r="IP75" s="11" t="s">
        <v>320</v>
      </c>
      <c r="IQ75" s="12" t="str">
        <f t="shared" si="46"/>
        <v>3. Responsive</v>
      </c>
      <c r="IR75" s="12">
        <f t="shared" si="47"/>
        <v>2</v>
      </c>
      <c r="IS75" s="11" t="s">
        <v>456</v>
      </c>
      <c r="IT75" s="11" t="s">
        <v>320</v>
      </c>
      <c r="IU75" s="11" t="s">
        <v>320</v>
      </c>
      <c r="IW75" s="11" t="str">
        <f t="shared" si="48"/>
        <v>0. Harmful</v>
      </c>
      <c r="IX75" s="12">
        <f t="shared" si="49"/>
        <v>2</v>
      </c>
      <c r="IY75" s="11" t="s">
        <v>338</v>
      </c>
      <c r="IZ75" s="12" t="s">
        <v>457</v>
      </c>
      <c r="JA75" s="11">
        <v>1</v>
      </c>
      <c r="JB75" s="12" t="s">
        <v>687</v>
      </c>
      <c r="JC75" s="11" t="s">
        <v>624</v>
      </c>
      <c r="JD75" s="11" t="s">
        <v>1113</v>
      </c>
      <c r="JE75" s="12" t="s">
        <v>365</v>
      </c>
      <c r="JH75" s="11" t="s">
        <v>1646</v>
      </c>
      <c r="JI75" s="11" t="s">
        <v>1647</v>
      </c>
      <c r="JJ75" s="11" t="s">
        <v>1648</v>
      </c>
      <c r="JK75" s="11" t="s">
        <v>1649</v>
      </c>
      <c r="JL75" s="11" t="s">
        <v>1650</v>
      </c>
      <c r="JM75" s="11" t="s">
        <v>1651</v>
      </c>
      <c r="JO75" s="11" t="s">
        <v>1652</v>
      </c>
      <c r="JP75" s="15">
        <f t="shared" si="50"/>
        <v>4259</v>
      </c>
      <c r="JQ75" s="15">
        <f t="shared" si="51"/>
        <v>58489</v>
      </c>
      <c r="JR75" s="279">
        <f t="shared" si="52"/>
        <v>13.733035923925804</v>
      </c>
      <c r="JS75" s="17">
        <f t="shared" si="53"/>
        <v>0.97111998121624798</v>
      </c>
      <c r="JT75" s="18">
        <f t="shared" si="54"/>
        <v>0.66646719896048834</v>
      </c>
      <c r="JU75" s="280">
        <f t="shared" si="55"/>
        <v>4136</v>
      </c>
      <c r="JV75" s="280">
        <f t="shared" si="56"/>
        <v>38981</v>
      </c>
      <c r="JW75" s="319" t="str">
        <f t="shared" si="57"/>
        <v/>
      </c>
      <c r="JX75" s="15">
        <f t="shared" si="58"/>
        <v>0</v>
      </c>
      <c r="JY75" s="15">
        <f t="shared" si="59"/>
        <v>0</v>
      </c>
      <c r="JZ75" s="19" t="str">
        <f t="shared" si="60"/>
        <v/>
      </c>
      <c r="KA75" s="52" t="str">
        <f t="shared" si="61"/>
        <v/>
      </c>
      <c r="KB75" s="15">
        <f t="shared" si="62"/>
        <v>0</v>
      </c>
      <c r="KC75" s="15">
        <f t="shared" si="63"/>
        <v>0</v>
      </c>
      <c r="KD75" s="20" t="str">
        <f t="shared" si="64"/>
        <v/>
      </c>
      <c r="KE75" s="52">
        <f t="shared" si="65"/>
        <v>1</v>
      </c>
      <c r="KF75" s="15">
        <f t="shared" si="66"/>
        <v>3922</v>
      </c>
      <c r="KG75" s="15">
        <f t="shared" si="67"/>
        <v>58489</v>
      </c>
      <c r="KH75" s="21">
        <f t="shared" si="68"/>
        <v>14.91305456399796</v>
      </c>
      <c r="KI75" s="52" t="str">
        <f t="shared" si="69"/>
        <v/>
      </c>
      <c r="KJ75" s="15">
        <f t="shared" si="70"/>
        <v>0</v>
      </c>
      <c r="KK75" s="15">
        <f t="shared" si="71"/>
        <v>0</v>
      </c>
      <c r="KL75" s="19" t="str">
        <f t="shared" si="72"/>
        <v/>
      </c>
      <c r="KM75" s="52" t="str">
        <f t="shared" si="73"/>
        <v/>
      </c>
      <c r="KN75" s="22">
        <f t="shared" si="74"/>
        <v>0</v>
      </c>
      <c r="KO75" s="22">
        <f t="shared" si="75"/>
        <v>0</v>
      </c>
      <c r="KP75" s="19" t="str">
        <f t="shared" si="76"/>
        <v/>
      </c>
      <c r="KQ75" s="11" t="str">
        <f t="shared" si="77"/>
        <v>3. Responsive</v>
      </c>
      <c r="KR75" s="11" t="str">
        <f t="shared" si="78"/>
        <v>3. Responsive</v>
      </c>
      <c r="KS75" s="11" t="str">
        <f t="shared" si="79"/>
        <v>0. Harmful</v>
      </c>
      <c r="KT75" s="11" t="str">
        <f t="shared" si="80"/>
        <v>It tested new ways for fighting poverty, but did not measure results of innovation</v>
      </c>
      <c r="KU75" s="11" t="str">
        <f t="shared" si="81"/>
        <v>Little or no advocacy</v>
      </c>
      <c r="KV75" s="11" t="str">
        <f t="shared" si="82"/>
        <v>It took tested solutions to scale on its own</v>
      </c>
      <c r="KW75" s="11" t="str">
        <f t="shared" si="83"/>
        <v>Benin - HINNOU VIVO</v>
      </c>
      <c r="KX75" s="11" t="str">
        <f t="shared" si="84"/>
        <v>HINNOU VIVO</v>
      </c>
      <c r="KY75" s="11" t="str">
        <f t="shared" si="85"/>
        <v>Benin</v>
      </c>
      <c r="KZ75" s="12">
        <v>75</v>
      </c>
    </row>
    <row r="76" spans="1:312" x14ac:dyDescent="0.3">
      <c r="A76" s="11" t="s">
        <v>1595</v>
      </c>
      <c r="B76" s="11" t="s">
        <v>1596</v>
      </c>
      <c r="D76" s="11" t="s">
        <v>1653</v>
      </c>
      <c r="E76" s="24" t="str">
        <f t="shared" si="43"/>
        <v>Benin</v>
      </c>
      <c r="F76" s="11" t="s">
        <v>1654</v>
      </c>
      <c r="G76" s="11" t="s">
        <v>379</v>
      </c>
      <c r="H76" s="11" t="s">
        <v>383</v>
      </c>
      <c r="I76" s="11" t="s">
        <v>384</v>
      </c>
      <c r="J76" s="278" t="s">
        <v>1187</v>
      </c>
      <c r="BD76" s="23">
        <v>41426</v>
      </c>
      <c r="BE76" s="23">
        <v>43100</v>
      </c>
      <c r="BG76" s="11" t="s">
        <v>749</v>
      </c>
      <c r="BH76" s="22">
        <v>1621986</v>
      </c>
      <c r="BI76" s="11" t="s">
        <v>1601</v>
      </c>
      <c r="BJ76" s="11" t="s">
        <v>1655</v>
      </c>
      <c r="BK76" s="11" t="s">
        <v>1603</v>
      </c>
      <c r="BL76" s="11" t="s">
        <v>1656</v>
      </c>
      <c r="BM76" s="11" t="s">
        <v>1599</v>
      </c>
      <c r="BN76" s="11" t="s">
        <v>1657</v>
      </c>
      <c r="BO76" s="12" t="s">
        <v>319</v>
      </c>
      <c r="BP76" s="12" t="s">
        <v>320</v>
      </c>
      <c r="BQ76" s="12" t="s">
        <v>319</v>
      </c>
      <c r="BR76" s="11" t="s">
        <v>1658</v>
      </c>
      <c r="BS76" s="11" t="s">
        <v>322</v>
      </c>
      <c r="BT76" s="11" t="s">
        <v>1659</v>
      </c>
      <c r="BU76" s="11" t="s">
        <v>1660</v>
      </c>
      <c r="BV76" s="22">
        <v>8740</v>
      </c>
      <c r="BW76" s="22">
        <v>460</v>
      </c>
      <c r="BX76" s="22">
        <v>9200</v>
      </c>
      <c r="BY76" s="22">
        <v>32798</v>
      </c>
      <c r="BZ76" s="22">
        <v>14056</v>
      </c>
      <c r="CA76" s="22">
        <v>46854</v>
      </c>
      <c r="CB76" s="15" t="s">
        <v>1661</v>
      </c>
      <c r="CL76" s="18"/>
      <c r="CP76" s="18"/>
      <c r="CT76" s="18"/>
      <c r="CX76" s="18"/>
      <c r="DB76" s="18"/>
      <c r="DF76" s="18"/>
      <c r="DJ76" s="18"/>
      <c r="DN76" s="18"/>
      <c r="DR76" s="18"/>
      <c r="DV76" s="18"/>
      <c r="DZ76" s="18"/>
      <c r="ED76" s="18"/>
      <c r="EI76" s="18"/>
      <c r="EK76" s="22">
        <v>11840</v>
      </c>
      <c r="EL76" s="22">
        <v>623</v>
      </c>
      <c r="EM76" s="22">
        <v>12463</v>
      </c>
      <c r="EN76" s="22">
        <v>34896</v>
      </c>
      <c r="EO76" s="22">
        <v>14956</v>
      </c>
      <c r="EP76" s="22">
        <v>49852</v>
      </c>
      <c r="EQ76" s="12" t="s">
        <v>319</v>
      </c>
      <c r="ES76" s="18"/>
      <c r="EU76" s="11" t="s">
        <v>319</v>
      </c>
      <c r="EW76" s="18"/>
      <c r="EY76" s="12" t="s">
        <v>319</v>
      </c>
      <c r="FA76" s="18"/>
      <c r="FC76" s="12" t="s">
        <v>319</v>
      </c>
      <c r="FE76" s="18"/>
      <c r="FG76" s="12" t="s">
        <v>319</v>
      </c>
      <c r="FI76" s="18"/>
      <c r="FK76" s="11" t="s">
        <v>319</v>
      </c>
      <c r="FM76" s="18"/>
      <c r="FO76" s="12" t="s">
        <v>320</v>
      </c>
      <c r="FP76" s="22">
        <v>12463</v>
      </c>
      <c r="FQ76" s="18">
        <v>0.95</v>
      </c>
      <c r="FR76" s="22">
        <v>49852</v>
      </c>
      <c r="FS76" s="11" t="s">
        <v>319</v>
      </c>
      <c r="FU76" s="18"/>
      <c r="FW76" s="11" t="s">
        <v>320</v>
      </c>
      <c r="FX76" s="22">
        <v>4751</v>
      </c>
      <c r="FY76" s="18">
        <v>0.95</v>
      </c>
      <c r="FZ76" s="22">
        <v>19004</v>
      </c>
      <c r="GA76" s="11" t="s">
        <v>319</v>
      </c>
      <c r="GC76" s="18"/>
      <c r="GE76" s="11" t="s">
        <v>319</v>
      </c>
      <c r="GG76" s="18"/>
      <c r="GI76" s="11" t="s">
        <v>319</v>
      </c>
      <c r="GK76" s="18"/>
      <c r="GM76" s="11" t="s">
        <v>320</v>
      </c>
      <c r="GO76" s="18"/>
      <c r="GQ76" s="12" t="s">
        <v>320</v>
      </c>
      <c r="GR76" s="22">
        <v>12463</v>
      </c>
      <c r="GS76" s="18">
        <v>0.95</v>
      </c>
      <c r="GT76" s="22">
        <v>49852</v>
      </c>
      <c r="GU76" s="12" t="s">
        <v>320</v>
      </c>
      <c r="GV76" s="22">
        <v>4840</v>
      </c>
      <c r="GW76" s="18">
        <v>0.95</v>
      </c>
      <c r="GX76" s="22">
        <v>19360</v>
      </c>
      <c r="GY76" s="11" t="s">
        <v>320</v>
      </c>
      <c r="GZ76" s="22">
        <v>4840</v>
      </c>
      <c r="HA76" s="18">
        <v>0.95</v>
      </c>
      <c r="HB76" s="22">
        <v>19360</v>
      </c>
      <c r="HD76" s="11" t="s">
        <v>319</v>
      </c>
      <c r="HF76" s="18"/>
      <c r="HH76" s="11" t="s">
        <v>320</v>
      </c>
      <c r="HI76" s="11" t="s">
        <v>416</v>
      </c>
      <c r="HJ76" s="11">
        <v>2017</v>
      </c>
      <c r="HK76" s="11" t="s">
        <v>320</v>
      </c>
      <c r="HL76" s="11" t="s">
        <v>320</v>
      </c>
      <c r="HM76" s="11" t="s">
        <v>560</v>
      </c>
      <c r="HN76" s="11">
        <v>2018</v>
      </c>
      <c r="HO76" s="11" t="s">
        <v>1662</v>
      </c>
      <c r="HP76" s="11" t="s">
        <v>453</v>
      </c>
      <c r="HW76" s="11" t="s">
        <v>320</v>
      </c>
      <c r="HZ76" s="11" t="s">
        <v>394</v>
      </c>
      <c r="IA76" s="11" t="s">
        <v>1663</v>
      </c>
      <c r="IB76" s="12" t="s">
        <v>396</v>
      </c>
      <c r="IC76" s="11" t="s">
        <v>1664</v>
      </c>
      <c r="ID76" s="12" t="s">
        <v>334</v>
      </c>
      <c r="IE76" s="11" t="s">
        <v>335</v>
      </c>
      <c r="IF76" s="11" t="s">
        <v>320</v>
      </c>
      <c r="IG76" s="11" t="s">
        <v>320</v>
      </c>
      <c r="IH76" s="11" t="s">
        <v>320</v>
      </c>
      <c r="II76" s="11" t="s">
        <v>320</v>
      </c>
      <c r="IJ76" s="12" t="str">
        <f t="shared" si="44"/>
        <v>2. Sensitive</v>
      </c>
      <c r="IK76" s="12">
        <f t="shared" si="45"/>
        <v>4</v>
      </c>
      <c r="IL76" s="11" t="s">
        <v>336</v>
      </c>
      <c r="IM76" s="11" t="s">
        <v>320</v>
      </c>
      <c r="IN76" s="11" t="s">
        <v>320</v>
      </c>
      <c r="IO76" s="11" t="s">
        <v>320</v>
      </c>
      <c r="IP76" s="11" t="s">
        <v>320</v>
      </c>
      <c r="IQ76" s="12" t="str">
        <f t="shared" si="46"/>
        <v>2. Accommodating</v>
      </c>
      <c r="IR76" s="12">
        <f t="shared" si="47"/>
        <v>4</v>
      </c>
      <c r="IS76" s="11" t="s">
        <v>337</v>
      </c>
      <c r="IT76" s="11" t="s">
        <v>319</v>
      </c>
      <c r="IU76" s="11" t="s">
        <v>320</v>
      </c>
      <c r="IV76" s="11" t="s">
        <v>319</v>
      </c>
      <c r="IW76" s="11" t="str">
        <f t="shared" si="48"/>
        <v>1. Neutral</v>
      </c>
      <c r="IX76" s="12">
        <f t="shared" si="49"/>
        <v>1</v>
      </c>
      <c r="IY76" s="11" t="s">
        <v>338</v>
      </c>
      <c r="IZ76" s="12" t="s">
        <v>457</v>
      </c>
      <c r="JA76" s="11">
        <v>10</v>
      </c>
      <c r="JB76" s="11" t="s">
        <v>433</v>
      </c>
      <c r="JC76" s="11" t="s">
        <v>687</v>
      </c>
      <c r="JD76" s="11" t="s">
        <v>1113</v>
      </c>
      <c r="JE76" s="12" t="s">
        <v>420</v>
      </c>
      <c r="JG76" s="11" t="s">
        <v>1665</v>
      </c>
      <c r="JH76" s="11" t="s">
        <v>1666</v>
      </c>
      <c r="JI76" s="11" t="s">
        <v>1667</v>
      </c>
      <c r="JK76" s="11" t="s">
        <v>1668</v>
      </c>
      <c r="JL76" s="11" t="s">
        <v>1669</v>
      </c>
      <c r="JP76" s="15">
        <f t="shared" si="50"/>
        <v>12463</v>
      </c>
      <c r="JQ76" s="15">
        <f t="shared" si="51"/>
        <v>49852</v>
      </c>
      <c r="JR76" s="279">
        <f t="shared" si="52"/>
        <v>4</v>
      </c>
      <c r="JS76" s="17">
        <f t="shared" si="53"/>
        <v>0.95001203562545133</v>
      </c>
      <c r="JT76" s="18">
        <f t="shared" si="54"/>
        <v>0.69999197624969911</v>
      </c>
      <c r="JU76" s="280">
        <f t="shared" si="55"/>
        <v>11840</v>
      </c>
      <c r="JV76" s="280">
        <f t="shared" si="56"/>
        <v>34896</v>
      </c>
      <c r="JW76" s="319" t="str">
        <f t="shared" si="57"/>
        <v/>
      </c>
      <c r="JX76" s="15">
        <f t="shared" si="58"/>
        <v>0</v>
      </c>
      <c r="JY76" s="15">
        <f t="shared" si="59"/>
        <v>0</v>
      </c>
      <c r="JZ76" s="19" t="str">
        <f t="shared" si="60"/>
        <v/>
      </c>
      <c r="KA76" s="52">
        <f t="shared" si="61"/>
        <v>1</v>
      </c>
      <c r="KB76" s="15">
        <f t="shared" si="62"/>
        <v>12463</v>
      </c>
      <c r="KC76" s="15">
        <f t="shared" si="63"/>
        <v>49852</v>
      </c>
      <c r="KD76" s="20">
        <f t="shared" si="64"/>
        <v>4</v>
      </c>
      <c r="KE76" s="52">
        <f t="shared" si="65"/>
        <v>1</v>
      </c>
      <c r="KF76" s="15">
        <f t="shared" si="66"/>
        <v>12463</v>
      </c>
      <c r="KG76" s="15">
        <f t="shared" si="67"/>
        <v>49852</v>
      </c>
      <c r="KH76" s="21">
        <f t="shared" si="68"/>
        <v>4</v>
      </c>
      <c r="KI76" s="52" t="str">
        <f t="shared" si="69"/>
        <v/>
      </c>
      <c r="KJ76" s="15">
        <f t="shared" si="70"/>
        <v>0</v>
      </c>
      <c r="KK76" s="15">
        <f t="shared" si="71"/>
        <v>0</v>
      </c>
      <c r="KL76" s="19" t="str">
        <f t="shared" si="72"/>
        <v/>
      </c>
      <c r="KM76" s="52">
        <f t="shared" si="73"/>
        <v>1</v>
      </c>
      <c r="KN76" s="22">
        <f t="shared" si="74"/>
        <v>4840</v>
      </c>
      <c r="KO76" s="22">
        <f t="shared" si="75"/>
        <v>19360</v>
      </c>
      <c r="KP76" s="19">
        <f t="shared" si="76"/>
        <v>4</v>
      </c>
      <c r="KQ76" s="11" t="str">
        <f t="shared" si="77"/>
        <v>2. Sensitive</v>
      </c>
      <c r="KR76" s="11" t="str">
        <f t="shared" si="78"/>
        <v>2. Accommodating</v>
      </c>
      <c r="KS76" s="11" t="str">
        <f t="shared" si="79"/>
        <v>1. Neutral</v>
      </c>
      <c r="KT76" s="11" t="str">
        <f t="shared" si="80"/>
        <v>It tested new ways for fighting poverty, but did not measure results of innovation</v>
      </c>
      <c r="KU76" s="11" t="str">
        <f t="shared" si="81"/>
        <v>Intensive advocacy</v>
      </c>
      <c r="KV76" s="11" t="str">
        <f t="shared" si="82"/>
        <v>It linked and worked with strategic alliances and partners to take tested and effective solutions to scale</v>
      </c>
      <c r="KW76" s="11" t="str">
        <f t="shared" si="83"/>
        <v>Benin - Nutrition au Centre (N@C)</v>
      </c>
      <c r="KX76" s="11" t="str">
        <f t="shared" si="84"/>
        <v>Nutrition au Centre (N@C)</v>
      </c>
      <c r="KY76" s="11" t="str">
        <f t="shared" si="85"/>
        <v>Benin</v>
      </c>
      <c r="KZ76" s="12">
        <v>76</v>
      </c>
    </row>
    <row r="77" spans="1:312" x14ac:dyDescent="0.3">
      <c r="A77" s="11" t="s">
        <v>1595</v>
      </c>
      <c r="B77" s="11" t="s">
        <v>1596</v>
      </c>
      <c r="D77" s="11" t="s">
        <v>1619</v>
      </c>
      <c r="E77" s="24" t="str">
        <f t="shared" si="43"/>
        <v>Benin</v>
      </c>
      <c r="F77" s="11" t="s">
        <v>1620</v>
      </c>
      <c r="G77" s="11" t="s">
        <v>714</v>
      </c>
      <c r="H77" s="11" t="s">
        <v>380</v>
      </c>
      <c r="I77" s="11" t="s">
        <v>517</v>
      </c>
      <c r="J77" s="278" t="s">
        <v>14578</v>
      </c>
      <c r="BD77" s="23">
        <v>42737</v>
      </c>
      <c r="BE77" s="23">
        <v>43831</v>
      </c>
      <c r="BG77" s="11" t="s">
        <v>312</v>
      </c>
      <c r="BH77" s="22">
        <v>1352784</v>
      </c>
      <c r="BI77" s="11" t="s">
        <v>1621</v>
      </c>
      <c r="BJ77" s="11" t="s">
        <v>1622</v>
      </c>
      <c r="BK77" s="11" t="s">
        <v>1623</v>
      </c>
      <c r="BL77" s="11" t="s">
        <v>1624</v>
      </c>
      <c r="BM77" s="11" t="s">
        <v>1625</v>
      </c>
      <c r="BO77" s="11" t="s">
        <v>320</v>
      </c>
      <c r="BP77" s="11" t="s">
        <v>320</v>
      </c>
      <c r="BQ77" s="12" t="s">
        <v>320</v>
      </c>
      <c r="BR77" s="11" t="s">
        <v>1626</v>
      </c>
      <c r="BS77" s="11" t="s">
        <v>357</v>
      </c>
      <c r="BT77" s="11" t="s">
        <v>1627</v>
      </c>
      <c r="BU77" s="11" t="s">
        <v>1628</v>
      </c>
      <c r="BV77" s="22">
        <v>3470</v>
      </c>
      <c r="BW77" s="22">
        <v>1670</v>
      </c>
      <c r="BX77" s="22">
        <v>5140</v>
      </c>
      <c r="BY77" s="22">
        <v>1178238</v>
      </c>
      <c r="BZ77" s="22">
        <v>589119</v>
      </c>
      <c r="CA77" s="22">
        <v>1767357</v>
      </c>
      <c r="CB77" s="15" t="s">
        <v>1629</v>
      </c>
      <c r="CD77" s="22">
        <v>16</v>
      </c>
      <c r="CE77" s="22">
        <v>17</v>
      </c>
      <c r="CF77" s="22">
        <v>33</v>
      </c>
      <c r="CG77" s="22">
        <v>1168</v>
      </c>
      <c r="CH77" s="22">
        <v>465</v>
      </c>
      <c r="CI77" s="22">
        <v>1633</v>
      </c>
      <c r="CL77" s="18"/>
      <c r="CP77" s="18"/>
      <c r="CT77" s="18"/>
      <c r="CX77" s="18"/>
      <c r="DB77" s="18"/>
      <c r="DF77" s="18"/>
      <c r="DJ77" s="18"/>
      <c r="DN77" s="18"/>
      <c r="DR77" s="18"/>
      <c r="DV77" s="18"/>
      <c r="DZ77" s="18"/>
      <c r="ED77" s="18"/>
      <c r="EI77" s="18"/>
      <c r="ES77" s="18"/>
      <c r="EW77" s="18"/>
      <c r="FA77" s="18"/>
      <c r="FE77" s="18"/>
      <c r="FI77" s="18"/>
      <c r="FM77" s="18"/>
      <c r="FQ77" s="18"/>
      <c r="FU77" s="18"/>
      <c r="FY77" s="18"/>
      <c r="GC77" s="18"/>
      <c r="GG77" s="18"/>
      <c r="GK77" s="18"/>
      <c r="GO77" s="18"/>
      <c r="GS77" s="18"/>
      <c r="GW77" s="18"/>
      <c r="HA77" s="18"/>
      <c r="HF77" s="18"/>
      <c r="HH77" s="11" t="s">
        <v>320</v>
      </c>
      <c r="HI77" s="11" t="s">
        <v>431</v>
      </c>
      <c r="HJ77" s="11">
        <v>2017</v>
      </c>
      <c r="HK77" s="11" t="s">
        <v>319</v>
      </c>
      <c r="HL77" s="11" t="s">
        <v>320</v>
      </c>
      <c r="HM77" s="11" t="s">
        <v>415</v>
      </c>
      <c r="HO77" s="11" t="s">
        <v>1630</v>
      </c>
      <c r="HP77" s="11" t="s">
        <v>453</v>
      </c>
      <c r="HQ77" s="11" t="s">
        <v>319</v>
      </c>
      <c r="HR77" s="11" t="s">
        <v>319</v>
      </c>
      <c r="HT77" s="11" t="s">
        <v>320</v>
      </c>
      <c r="HV77" s="11" t="s">
        <v>320</v>
      </c>
      <c r="HW77" s="11" t="s">
        <v>319</v>
      </c>
      <c r="HX77" s="11" t="s">
        <v>319</v>
      </c>
      <c r="HZ77" s="11" t="s">
        <v>363</v>
      </c>
      <c r="ID77" s="11" t="s">
        <v>477</v>
      </c>
      <c r="IE77" s="11" t="s">
        <v>335</v>
      </c>
      <c r="IF77" s="11" t="s">
        <v>320</v>
      </c>
      <c r="IG77" s="11" t="s">
        <v>320</v>
      </c>
      <c r="IH77" s="11" t="s">
        <v>320</v>
      </c>
      <c r="II77" s="11" t="s">
        <v>319</v>
      </c>
      <c r="IJ77" s="12" t="str">
        <f t="shared" si="44"/>
        <v>1. Neutral</v>
      </c>
      <c r="IK77" s="12">
        <f t="shared" si="45"/>
        <v>3</v>
      </c>
      <c r="IL77" s="11" t="s">
        <v>723</v>
      </c>
      <c r="IM77" s="11" t="s">
        <v>320</v>
      </c>
      <c r="IN77" s="11" t="s">
        <v>320</v>
      </c>
      <c r="IO77" s="11" t="s">
        <v>320</v>
      </c>
      <c r="IP77" s="11" t="s">
        <v>320</v>
      </c>
      <c r="IQ77" s="12" t="str">
        <f t="shared" si="46"/>
        <v>0. Unaware</v>
      </c>
      <c r="IR77" s="12">
        <f t="shared" si="47"/>
        <v>4</v>
      </c>
      <c r="IS77" s="11" t="s">
        <v>456</v>
      </c>
      <c r="IT77" s="11" t="s">
        <v>319</v>
      </c>
      <c r="IV77" s="11" t="s">
        <v>319</v>
      </c>
      <c r="IW77" s="11" t="str">
        <f t="shared" si="48"/>
        <v>0. Harmful</v>
      </c>
      <c r="IX77" s="12">
        <f t="shared" si="49"/>
        <v>0</v>
      </c>
      <c r="IY77" s="11" t="s">
        <v>338</v>
      </c>
      <c r="JB77" s="11" t="s">
        <v>433</v>
      </c>
      <c r="JC77" s="12" t="s">
        <v>433</v>
      </c>
      <c r="JP77" s="15">
        <f t="shared" si="50"/>
        <v>33</v>
      </c>
      <c r="JQ77" s="15">
        <f t="shared" si="51"/>
        <v>1633</v>
      </c>
      <c r="JR77" s="279">
        <f t="shared" si="52"/>
        <v>49.484848484848484</v>
      </c>
      <c r="JS77" s="17">
        <f t="shared" si="53"/>
        <v>0.48484848484848486</v>
      </c>
      <c r="JT77" s="18">
        <f t="shared" si="54"/>
        <v>0.71524800979791792</v>
      </c>
      <c r="JU77" s="280">
        <f t="shared" si="55"/>
        <v>16</v>
      </c>
      <c r="JV77" s="280">
        <f t="shared" si="56"/>
        <v>1168</v>
      </c>
      <c r="JW77" s="319">
        <f t="shared" si="57"/>
        <v>1</v>
      </c>
      <c r="JX77" s="15">
        <f t="shared" si="58"/>
        <v>33</v>
      </c>
      <c r="JY77" s="15">
        <f t="shared" si="59"/>
        <v>1633</v>
      </c>
      <c r="JZ77" s="19">
        <f t="shared" si="60"/>
        <v>49.484848484848484</v>
      </c>
      <c r="KA77" s="52" t="str">
        <f t="shared" si="61"/>
        <v/>
      </c>
      <c r="KB77" s="15">
        <f t="shared" si="62"/>
        <v>0</v>
      </c>
      <c r="KC77" s="15">
        <f t="shared" si="63"/>
        <v>0</v>
      </c>
      <c r="KD77" s="20" t="str">
        <f t="shared" si="64"/>
        <v/>
      </c>
      <c r="KE77" s="52" t="str">
        <f t="shared" si="65"/>
        <v/>
      </c>
      <c r="KF77" s="15">
        <f t="shared" si="66"/>
        <v>0</v>
      </c>
      <c r="KG77" s="15">
        <f t="shared" si="67"/>
        <v>0</v>
      </c>
      <c r="KH77" s="21" t="str">
        <f t="shared" si="68"/>
        <v/>
      </c>
      <c r="KI77" s="52" t="str">
        <f t="shared" si="69"/>
        <v/>
      </c>
      <c r="KJ77" s="15">
        <f t="shared" si="70"/>
        <v>0</v>
      </c>
      <c r="KK77" s="15">
        <f t="shared" si="71"/>
        <v>0</v>
      </c>
      <c r="KL77" s="19" t="str">
        <f t="shared" si="72"/>
        <v/>
      </c>
      <c r="KM77" s="52" t="str">
        <f t="shared" si="73"/>
        <v/>
      </c>
      <c r="KN77" s="22">
        <f t="shared" si="74"/>
        <v>0</v>
      </c>
      <c r="KO77" s="22">
        <f t="shared" si="75"/>
        <v>0</v>
      </c>
      <c r="KP77" s="19" t="str">
        <f t="shared" si="76"/>
        <v/>
      </c>
      <c r="KQ77" s="11" t="str">
        <f t="shared" si="77"/>
        <v>1. Neutral</v>
      </c>
      <c r="KR77" s="11" t="str">
        <f t="shared" si="78"/>
        <v>0. Unaware</v>
      </c>
      <c r="KS77" s="11" t="str">
        <f t="shared" si="79"/>
        <v>0. Harmful</v>
      </c>
      <c r="KT77" s="11" t="str">
        <f t="shared" si="80"/>
        <v>It did not develop any specific innovation</v>
      </c>
      <c r="KU77" s="11" t="str">
        <f t="shared" si="81"/>
        <v>Intensive advocacy</v>
      </c>
      <c r="KV77" s="11">
        <f t="shared" si="82"/>
        <v>0</v>
      </c>
      <c r="KW77" s="11" t="str">
        <f t="shared" si="83"/>
        <v>Benin - Partenariat Contre le Trafic, l'Exploitation des Enfants et les Violences faites aux Filles et aux Femmes (PACTE pour les Enfants et les Femmes) au Bénin</v>
      </c>
      <c r="KX77" s="11" t="str">
        <f t="shared" si="84"/>
        <v>Partenariat Contre le Trafic, l'Exploitation des Enfants et les Violences faites aux Filles et aux Femmes (PACTE pour les Enfants et les Femmes) au Bénin</v>
      </c>
      <c r="KY77" s="11" t="str">
        <f t="shared" si="85"/>
        <v>Benin</v>
      </c>
      <c r="KZ77" s="12">
        <v>77</v>
      </c>
    </row>
    <row r="78" spans="1:312" x14ac:dyDescent="0.3">
      <c r="A78" s="11" t="s">
        <v>1595</v>
      </c>
      <c r="B78" s="11" t="s">
        <v>1596</v>
      </c>
      <c r="D78" s="11" t="s">
        <v>1696</v>
      </c>
      <c r="E78" s="24" t="str">
        <f t="shared" si="43"/>
        <v>Benin</v>
      </c>
      <c r="F78" s="11" t="s">
        <v>1697</v>
      </c>
      <c r="G78" s="11" t="s">
        <v>608</v>
      </c>
      <c r="H78" s="11" t="s">
        <v>310</v>
      </c>
      <c r="I78" s="11" t="s">
        <v>1285</v>
      </c>
      <c r="J78" s="281" t="s">
        <v>1334</v>
      </c>
      <c r="BD78" s="23">
        <v>42814</v>
      </c>
      <c r="BE78" s="23">
        <v>44196</v>
      </c>
      <c r="BG78" s="11" t="s">
        <v>312</v>
      </c>
      <c r="BH78" s="22">
        <v>652131</v>
      </c>
      <c r="BI78" s="11" t="s">
        <v>1698</v>
      </c>
      <c r="BJ78" s="11" t="s">
        <v>1699</v>
      </c>
      <c r="BK78" s="11" t="s">
        <v>1700</v>
      </c>
      <c r="BL78" s="11" t="s">
        <v>1601</v>
      </c>
      <c r="BM78" s="11" t="s">
        <v>1701</v>
      </c>
      <c r="BN78" s="11" t="s">
        <v>1603</v>
      </c>
      <c r="BO78" s="12" t="s">
        <v>319</v>
      </c>
      <c r="BP78" s="12" t="s">
        <v>320</v>
      </c>
      <c r="BQ78" s="12" t="s">
        <v>319</v>
      </c>
      <c r="BR78" s="11" t="s">
        <v>1702</v>
      </c>
      <c r="BS78" s="11" t="s">
        <v>357</v>
      </c>
      <c r="BT78" s="11" t="s">
        <v>1703</v>
      </c>
      <c r="BU78" s="11" t="s">
        <v>1704</v>
      </c>
      <c r="CB78" s="15" t="s">
        <v>1705</v>
      </c>
      <c r="CL78" s="18"/>
      <c r="CP78" s="18"/>
      <c r="CT78" s="18"/>
      <c r="CX78" s="18"/>
      <c r="DB78" s="18"/>
      <c r="DF78" s="18"/>
      <c r="DJ78" s="18"/>
      <c r="DN78" s="18"/>
      <c r="DR78" s="18"/>
      <c r="DV78" s="18"/>
      <c r="DZ78" s="18"/>
      <c r="ED78" s="18"/>
      <c r="EI78" s="18"/>
      <c r="EQ78" s="12" t="s">
        <v>319</v>
      </c>
      <c r="ES78" s="18"/>
      <c r="EU78" s="11" t="s">
        <v>319</v>
      </c>
      <c r="EW78" s="18"/>
      <c r="EY78" s="12" t="s">
        <v>319</v>
      </c>
      <c r="FA78" s="18"/>
      <c r="FC78" s="12" t="s">
        <v>319</v>
      </c>
      <c r="FE78" s="18"/>
      <c r="FG78" s="12" t="s">
        <v>319</v>
      </c>
      <c r="FI78" s="18"/>
      <c r="FK78" s="11" t="s">
        <v>320</v>
      </c>
      <c r="FM78" s="18"/>
      <c r="FO78" s="11" t="s">
        <v>319</v>
      </c>
      <c r="FQ78" s="18"/>
      <c r="FS78" s="11" t="s">
        <v>319</v>
      </c>
      <c r="FU78" s="18"/>
      <c r="FW78" s="11" t="s">
        <v>320</v>
      </c>
      <c r="FX78" s="22">
        <v>30383</v>
      </c>
      <c r="FY78" s="18">
        <v>0.50129999999999997</v>
      </c>
      <c r="GA78" s="11" t="s">
        <v>320</v>
      </c>
      <c r="GC78" s="18"/>
      <c r="GE78" s="12" t="s">
        <v>320</v>
      </c>
      <c r="GF78" s="22">
        <v>30383</v>
      </c>
      <c r="GG78" s="18">
        <v>0.50129999999999997</v>
      </c>
      <c r="GI78" s="11" t="s">
        <v>319</v>
      </c>
      <c r="GK78" s="18"/>
      <c r="GM78" s="11" t="s">
        <v>319</v>
      </c>
      <c r="GO78" s="18"/>
      <c r="GQ78" s="11" t="s">
        <v>319</v>
      </c>
      <c r="GS78" s="18"/>
      <c r="GU78" s="11" t="s">
        <v>319</v>
      </c>
      <c r="GW78" s="18"/>
      <c r="GY78" s="11" t="s">
        <v>319</v>
      </c>
      <c r="HA78" s="18"/>
      <c r="HC78" s="11" t="s">
        <v>1706</v>
      </c>
      <c r="HD78" s="12" t="s">
        <v>320</v>
      </c>
      <c r="HF78" s="18"/>
      <c r="HH78" s="11" t="s">
        <v>319</v>
      </c>
      <c r="HK78" s="11" t="s">
        <v>319</v>
      </c>
      <c r="HL78" s="11" t="s">
        <v>320</v>
      </c>
      <c r="HM78" s="11" t="s">
        <v>1175</v>
      </c>
      <c r="HN78" s="11">
        <v>2017</v>
      </c>
      <c r="HO78" s="11" t="s">
        <v>1707</v>
      </c>
      <c r="HP78" s="11" t="s">
        <v>418</v>
      </c>
      <c r="HZ78" s="11" t="s">
        <v>363</v>
      </c>
      <c r="IB78" s="12" t="s">
        <v>333</v>
      </c>
      <c r="ID78" s="11" t="s">
        <v>364</v>
      </c>
      <c r="IE78" s="11" t="s">
        <v>335</v>
      </c>
      <c r="IF78" s="11" t="s">
        <v>320</v>
      </c>
      <c r="IG78" s="11" t="s">
        <v>320</v>
      </c>
      <c r="IH78" s="11" t="s">
        <v>319</v>
      </c>
      <c r="II78" s="11" t="s">
        <v>319</v>
      </c>
      <c r="IJ78" s="12" t="str">
        <f t="shared" si="44"/>
        <v>1. Neutral</v>
      </c>
      <c r="IK78" s="12">
        <f t="shared" si="45"/>
        <v>2</v>
      </c>
      <c r="IL78" s="11" t="s">
        <v>336</v>
      </c>
      <c r="IM78" s="11" t="s">
        <v>319</v>
      </c>
      <c r="IN78" s="11" t="s">
        <v>319</v>
      </c>
      <c r="IO78" s="11" t="s">
        <v>320</v>
      </c>
      <c r="IP78" s="11" t="s">
        <v>320</v>
      </c>
      <c r="IQ78" s="12" t="str">
        <f t="shared" si="46"/>
        <v>1. Tokenistic</v>
      </c>
      <c r="IR78" s="12">
        <f t="shared" si="47"/>
        <v>2</v>
      </c>
      <c r="IS78" s="11" t="s">
        <v>456</v>
      </c>
      <c r="IT78" s="11" t="s">
        <v>320</v>
      </c>
      <c r="IU78" s="11" t="s">
        <v>320</v>
      </c>
      <c r="IV78" s="11" t="s">
        <v>319</v>
      </c>
      <c r="IW78" s="11" t="str">
        <f t="shared" si="48"/>
        <v>0. Harmful</v>
      </c>
      <c r="IX78" s="12">
        <f t="shared" si="49"/>
        <v>2</v>
      </c>
      <c r="IY78" s="11" t="s">
        <v>338</v>
      </c>
      <c r="IZ78" s="11" t="s">
        <v>527</v>
      </c>
      <c r="JA78" s="11">
        <v>6</v>
      </c>
      <c r="JB78" s="12" t="s">
        <v>687</v>
      </c>
      <c r="JC78" s="12" t="s">
        <v>623</v>
      </c>
      <c r="JD78" s="11" t="s">
        <v>433</v>
      </c>
      <c r="JE78" s="12" t="s">
        <v>365</v>
      </c>
      <c r="JK78" s="11" t="s">
        <v>1708</v>
      </c>
      <c r="JL78" s="11" t="s">
        <v>1709</v>
      </c>
      <c r="JM78" s="11" t="s">
        <v>1710</v>
      </c>
      <c r="JO78" s="11" t="s">
        <v>1711</v>
      </c>
      <c r="JP78" s="15">
        <f t="shared" si="50"/>
        <v>0</v>
      </c>
      <c r="JQ78" s="15">
        <f t="shared" si="51"/>
        <v>0</v>
      </c>
      <c r="JR78" s="279" t="str">
        <f t="shared" si="52"/>
        <v/>
      </c>
      <c r="JS78" s="17" t="str">
        <f t="shared" si="53"/>
        <v/>
      </c>
      <c r="JT78" s="18" t="str">
        <f t="shared" si="54"/>
        <v/>
      </c>
      <c r="JU78" s="280">
        <f t="shared" si="55"/>
        <v>0</v>
      </c>
      <c r="JV78" s="280">
        <f t="shared" si="56"/>
        <v>0</v>
      </c>
      <c r="JW78" s="319" t="str">
        <f t="shared" si="57"/>
        <v/>
      </c>
      <c r="JX78" s="15">
        <f t="shared" si="58"/>
        <v>0</v>
      </c>
      <c r="JY78" s="15">
        <f t="shared" si="59"/>
        <v>0</v>
      </c>
      <c r="JZ78" s="19" t="str">
        <f t="shared" si="60"/>
        <v/>
      </c>
      <c r="KA78" s="52" t="str">
        <f t="shared" si="61"/>
        <v/>
      </c>
      <c r="KB78" s="15">
        <f t="shared" si="62"/>
        <v>0</v>
      </c>
      <c r="KC78" s="15">
        <f t="shared" si="63"/>
        <v>0</v>
      </c>
      <c r="KD78" s="20" t="str">
        <f t="shared" si="64"/>
        <v/>
      </c>
      <c r="KE78" s="52" t="str">
        <f t="shared" si="65"/>
        <v/>
      </c>
      <c r="KF78" s="15">
        <f t="shared" si="66"/>
        <v>0</v>
      </c>
      <c r="KG78" s="15">
        <f t="shared" si="67"/>
        <v>0</v>
      </c>
      <c r="KH78" s="21" t="str">
        <f t="shared" si="68"/>
        <v/>
      </c>
      <c r="KI78" s="52" t="str">
        <f t="shared" si="69"/>
        <v/>
      </c>
      <c r="KJ78" s="15">
        <f t="shared" si="70"/>
        <v>0</v>
      </c>
      <c r="KK78" s="15">
        <f t="shared" si="71"/>
        <v>0</v>
      </c>
      <c r="KL78" s="19" t="str">
        <f t="shared" si="72"/>
        <v/>
      </c>
      <c r="KM78" s="52" t="str">
        <f t="shared" si="73"/>
        <v/>
      </c>
      <c r="KN78" s="22">
        <f t="shared" si="74"/>
        <v>0</v>
      </c>
      <c r="KO78" s="22">
        <f t="shared" si="75"/>
        <v>0</v>
      </c>
      <c r="KP78" s="19" t="str">
        <f t="shared" si="76"/>
        <v/>
      </c>
      <c r="KQ78" s="11" t="str">
        <f t="shared" si="77"/>
        <v>1. Neutral</v>
      </c>
      <c r="KR78" s="11" t="str">
        <f t="shared" si="78"/>
        <v>1. Tokenistic</v>
      </c>
      <c r="KS78" s="11" t="str">
        <f t="shared" si="79"/>
        <v>0. Harmful</v>
      </c>
      <c r="KT78" s="11" t="str">
        <f t="shared" si="80"/>
        <v>It did not develop any specific innovation</v>
      </c>
      <c r="KU78" s="11" t="str">
        <f t="shared" si="81"/>
        <v>Little or no advocacy</v>
      </c>
      <c r="KV78" s="11" t="str">
        <f t="shared" si="82"/>
        <v>It did not take tested solutions to scale</v>
      </c>
      <c r="KW78" s="11" t="str">
        <f t="shared" si="83"/>
        <v>Benin - Programme d’Appui au Secteur de la Gouvernance Locale et de la Décentralisation, phase 3 (ASGoL 3)</v>
      </c>
      <c r="KX78" s="11" t="str">
        <f t="shared" si="84"/>
        <v>Programme d’Appui au Secteur de la Gouvernance Locale et de la Décentralisation, phase 3 (ASGoL 3)</v>
      </c>
      <c r="KY78" s="11" t="str">
        <f t="shared" si="85"/>
        <v>Benin</v>
      </c>
      <c r="KZ78" s="12">
        <v>78</v>
      </c>
    </row>
    <row r="79" spans="1:312" x14ac:dyDescent="0.3">
      <c r="A79" s="11" t="s">
        <v>1595</v>
      </c>
      <c r="B79" s="11" t="s">
        <v>1596</v>
      </c>
      <c r="D79" s="11" t="s">
        <v>1712</v>
      </c>
      <c r="E79" s="24" t="str">
        <f t="shared" si="43"/>
        <v>Benin</v>
      </c>
      <c r="F79" s="11" t="s">
        <v>1713</v>
      </c>
      <c r="G79" s="11" t="s">
        <v>608</v>
      </c>
      <c r="H79" s="11" t="s">
        <v>380</v>
      </c>
      <c r="I79" s="11" t="s">
        <v>384</v>
      </c>
      <c r="J79" s="278" t="s">
        <v>11664</v>
      </c>
      <c r="BD79" s="23">
        <v>42461</v>
      </c>
      <c r="BE79" s="23">
        <v>43586</v>
      </c>
      <c r="BG79" s="11" t="s">
        <v>312</v>
      </c>
      <c r="BH79" s="22">
        <v>2355550</v>
      </c>
      <c r="BI79" s="11" t="s">
        <v>1714</v>
      </c>
      <c r="BJ79" s="11" t="s">
        <v>1715</v>
      </c>
      <c r="BK79" s="11" t="s">
        <v>1603</v>
      </c>
      <c r="BL79" s="11" t="s">
        <v>1716</v>
      </c>
      <c r="BM79" s="11" t="s">
        <v>1717</v>
      </c>
      <c r="BN79" s="11" t="s">
        <v>1718</v>
      </c>
      <c r="BO79" s="12" t="s">
        <v>319</v>
      </c>
      <c r="BP79" s="12" t="s">
        <v>320</v>
      </c>
      <c r="BQ79" s="12" t="s">
        <v>319</v>
      </c>
      <c r="BR79" s="11" t="s">
        <v>1719</v>
      </c>
      <c r="BS79" s="11" t="s">
        <v>322</v>
      </c>
      <c r="BT79" s="11" t="s">
        <v>1720</v>
      </c>
      <c r="BU79" s="11" t="s">
        <v>1721</v>
      </c>
      <c r="BV79" s="22">
        <v>743</v>
      </c>
      <c r="BW79" s="22">
        <v>0</v>
      </c>
      <c r="BX79" s="22">
        <v>743</v>
      </c>
      <c r="BY79" s="22">
        <v>2120</v>
      </c>
      <c r="BZ79" s="22">
        <v>0</v>
      </c>
      <c r="CA79" s="22">
        <v>2120</v>
      </c>
      <c r="CB79" s="15" t="s">
        <v>1722</v>
      </c>
      <c r="CL79" s="18"/>
      <c r="CP79" s="18"/>
      <c r="CT79" s="18"/>
      <c r="CX79" s="18"/>
      <c r="DB79" s="18"/>
      <c r="DF79" s="18"/>
      <c r="DJ79" s="18"/>
      <c r="DN79" s="18"/>
      <c r="DR79" s="18"/>
      <c r="DV79" s="18"/>
      <c r="DZ79" s="18"/>
      <c r="ED79" s="18"/>
      <c r="EI79" s="18"/>
      <c r="EK79" s="22">
        <v>240</v>
      </c>
      <c r="EM79" s="22">
        <v>240</v>
      </c>
      <c r="EN79" s="22">
        <v>2120</v>
      </c>
      <c r="EP79" s="22">
        <v>2120</v>
      </c>
      <c r="ES79" s="18"/>
      <c r="EW79" s="18"/>
      <c r="FA79" s="18"/>
      <c r="FE79" s="18"/>
      <c r="FG79" s="11" t="s">
        <v>320</v>
      </c>
      <c r="FI79" s="18"/>
      <c r="FM79" s="18"/>
      <c r="FQ79" s="18"/>
      <c r="FS79" s="11" t="s">
        <v>320</v>
      </c>
      <c r="FU79" s="18"/>
      <c r="FW79" s="12" t="s">
        <v>320</v>
      </c>
      <c r="FY79" s="18"/>
      <c r="GC79" s="18"/>
      <c r="GG79" s="18"/>
      <c r="GK79" s="18"/>
      <c r="GM79" s="11" t="s">
        <v>320</v>
      </c>
      <c r="GO79" s="18"/>
      <c r="GS79" s="18"/>
      <c r="GW79" s="18"/>
      <c r="GY79" s="11" t="s">
        <v>320</v>
      </c>
      <c r="HA79" s="18"/>
      <c r="HC79" s="11" t="s">
        <v>1723</v>
      </c>
      <c r="HD79" s="12" t="s">
        <v>320</v>
      </c>
      <c r="HF79" s="18"/>
      <c r="HH79" s="11" t="s">
        <v>320</v>
      </c>
      <c r="HI79" s="11" t="s">
        <v>1175</v>
      </c>
      <c r="HJ79" s="11">
        <v>2017</v>
      </c>
      <c r="HK79" s="11" t="s">
        <v>319</v>
      </c>
      <c r="HL79" s="11" t="s">
        <v>320</v>
      </c>
      <c r="HM79" s="11" t="s">
        <v>451</v>
      </c>
      <c r="HN79" s="11">
        <v>2018</v>
      </c>
      <c r="HO79" s="11" t="s">
        <v>1724</v>
      </c>
      <c r="HP79" s="11" t="s">
        <v>330</v>
      </c>
      <c r="HR79" s="11" t="s">
        <v>320</v>
      </c>
      <c r="HZ79" s="11" t="s">
        <v>394</v>
      </c>
      <c r="IA79" s="11" t="s">
        <v>1725</v>
      </c>
      <c r="ID79" s="12" t="s">
        <v>334</v>
      </c>
      <c r="IE79" s="11" t="s">
        <v>335</v>
      </c>
      <c r="IF79" s="11" t="s">
        <v>320</v>
      </c>
      <c r="IG79" s="11" t="s">
        <v>320</v>
      </c>
      <c r="IH79" s="11" t="s">
        <v>320</v>
      </c>
      <c r="II79" s="11" t="s">
        <v>320</v>
      </c>
      <c r="IJ79" s="12" t="str">
        <f t="shared" si="44"/>
        <v>2. Sensitive</v>
      </c>
      <c r="IK79" s="12">
        <f t="shared" si="45"/>
        <v>4</v>
      </c>
      <c r="IL79" s="11" t="s">
        <v>336</v>
      </c>
      <c r="IM79" s="11" t="s">
        <v>320</v>
      </c>
      <c r="IN79" s="11" t="s">
        <v>320</v>
      </c>
      <c r="IO79" s="11" t="s">
        <v>320</v>
      </c>
      <c r="IP79" s="11" t="s">
        <v>320</v>
      </c>
      <c r="IQ79" s="12" t="str">
        <f t="shared" si="46"/>
        <v>2. Accommodating</v>
      </c>
      <c r="IR79" s="12">
        <f t="shared" si="47"/>
        <v>4</v>
      </c>
      <c r="IS79" s="11" t="s">
        <v>622</v>
      </c>
      <c r="IT79" s="11" t="s">
        <v>320</v>
      </c>
      <c r="IU79" s="11" t="s">
        <v>320</v>
      </c>
      <c r="IV79" s="11" t="s">
        <v>320</v>
      </c>
      <c r="IW79" s="11" t="str">
        <f t="shared" si="48"/>
        <v>4. Transformative</v>
      </c>
      <c r="IX79" s="12">
        <f t="shared" si="49"/>
        <v>3</v>
      </c>
      <c r="IY79" s="11" t="s">
        <v>338</v>
      </c>
      <c r="IZ79" s="11" t="s">
        <v>527</v>
      </c>
      <c r="JA79" s="11">
        <v>5</v>
      </c>
      <c r="JB79" s="11" t="s">
        <v>651</v>
      </c>
      <c r="JC79" s="11" t="s">
        <v>624</v>
      </c>
      <c r="JD79" s="11" t="s">
        <v>433</v>
      </c>
      <c r="JE79" s="12" t="s">
        <v>365</v>
      </c>
      <c r="JG79" s="11" t="s">
        <v>1726</v>
      </c>
      <c r="JH79" s="11" t="s">
        <v>1727</v>
      </c>
      <c r="JI79" s="11" t="s">
        <v>1728</v>
      </c>
      <c r="JJ79" s="11" t="s">
        <v>1729</v>
      </c>
      <c r="JK79" s="11" t="s">
        <v>1730</v>
      </c>
      <c r="JL79" s="11" t="s">
        <v>1731</v>
      </c>
      <c r="JM79" s="11" t="s">
        <v>1732</v>
      </c>
      <c r="JN79" s="11" t="s">
        <v>1733</v>
      </c>
      <c r="JO79" s="11" t="s">
        <v>1734</v>
      </c>
      <c r="JP79" s="15">
        <f t="shared" si="50"/>
        <v>240</v>
      </c>
      <c r="JQ79" s="15">
        <f t="shared" si="51"/>
        <v>2120</v>
      </c>
      <c r="JR79" s="279">
        <f t="shared" si="52"/>
        <v>8.8333333333333339</v>
      </c>
      <c r="JS79" s="17">
        <f t="shared" si="53"/>
        <v>1</v>
      </c>
      <c r="JT79" s="18">
        <f t="shared" si="54"/>
        <v>1</v>
      </c>
      <c r="JU79" s="280">
        <f t="shared" si="55"/>
        <v>240</v>
      </c>
      <c r="JV79" s="280">
        <f t="shared" si="56"/>
        <v>2120</v>
      </c>
      <c r="JW79" s="319" t="str">
        <f t="shared" si="57"/>
        <v/>
      </c>
      <c r="JX79" s="15">
        <f t="shared" si="58"/>
        <v>0</v>
      </c>
      <c r="JY79" s="15">
        <f t="shared" si="59"/>
        <v>0</v>
      </c>
      <c r="JZ79" s="19" t="str">
        <f t="shared" si="60"/>
        <v/>
      </c>
      <c r="KA79" s="52">
        <f t="shared" si="61"/>
        <v>1</v>
      </c>
      <c r="KB79" s="15">
        <f t="shared" si="62"/>
        <v>0</v>
      </c>
      <c r="KC79" s="15">
        <f t="shared" si="63"/>
        <v>0</v>
      </c>
      <c r="KD79" s="20" t="str">
        <f t="shared" si="64"/>
        <v/>
      </c>
      <c r="KE79" s="52" t="str">
        <f t="shared" si="65"/>
        <v/>
      </c>
      <c r="KF79" s="15">
        <f t="shared" si="66"/>
        <v>0</v>
      </c>
      <c r="KG79" s="15">
        <f t="shared" si="67"/>
        <v>0</v>
      </c>
      <c r="KH79" s="21" t="str">
        <f t="shared" si="68"/>
        <v/>
      </c>
      <c r="KI79" s="52">
        <f t="shared" si="69"/>
        <v>1</v>
      </c>
      <c r="KJ79" s="15">
        <f t="shared" si="70"/>
        <v>0</v>
      </c>
      <c r="KK79" s="15">
        <f t="shared" si="71"/>
        <v>0</v>
      </c>
      <c r="KL79" s="19" t="str">
        <f t="shared" si="72"/>
        <v/>
      </c>
      <c r="KM79" s="52">
        <f t="shared" si="73"/>
        <v>1</v>
      </c>
      <c r="KN79" s="22">
        <f t="shared" si="74"/>
        <v>0</v>
      </c>
      <c r="KO79" s="22">
        <f t="shared" si="75"/>
        <v>0</v>
      </c>
      <c r="KP79" s="19" t="str">
        <f t="shared" si="76"/>
        <v/>
      </c>
      <c r="KQ79" s="11" t="str">
        <f t="shared" si="77"/>
        <v>2. Sensitive</v>
      </c>
      <c r="KR79" s="11" t="str">
        <f t="shared" si="78"/>
        <v>2. Accommodating</v>
      </c>
      <c r="KS79" s="11" t="str">
        <f t="shared" si="79"/>
        <v>4. Transformative</v>
      </c>
      <c r="KT79" s="11" t="str">
        <f t="shared" si="80"/>
        <v>It tested new ways for fighting poverty, but did not measure results of innovation</v>
      </c>
      <c r="KU79" s="11" t="str">
        <f t="shared" si="81"/>
        <v>Moderate advocacy</v>
      </c>
      <c r="KV79" s="11">
        <f t="shared" si="82"/>
        <v>0</v>
      </c>
      <c r="KW79" s="11" t="str">
        <f t="shared" si="83"/>
        <v>Benin - Programme de Renforcement de Capacité d'Action des Femmes au Bénin (RECAFEM)</v>
      </c>
      <c r="KX79" s="11" t="str">
        <f t="shared" si="84"/>
        <v>Programme de Renforcement de Capacité d'Action des Femmes au Bénin (RECAFEM)</v>
      </c>
      <c r="KY79" s="11" t="str">
        <f t="shared" si="85"/>
        <v>Benin</v>
      </c>
      <c r="KZ79" s="12">
        <v>79</v>
      </c>
    </row>
    <row r="80" spans="1:312" x14ac:dyDescent="0.3">
      <c r="A80" s="11" t="s">
        <v>1595</v>
      </c>
      <c r="B80" s="11" t="s">
        <v>1596</v>
      </c>
      <c r="D80" s="11" t="s">
        <v>1670</v>
      </c>
      <c r="E80" s="24" t="str">
        <f t="shared" si="43"/>
        <v>Benin</v>
      </c>
      <c r="F80" s="11" t="s">
        <v>1671</v>
      </c>
      <c r="G80" s="11" t="s">
        <v>379</v>
      </c>
      <c r="H80" s="11" t="s">
        <v>383</v>
      </c>
      <c r="I80" s="11" t="s">
        <v>384</v>
      </c>
      <c r="J80" s="278" t="s">
        <v>1187</v>
      </c>
      <c r="K80" s="11" t="s">
        <v>379</v>
      </c>
      <c r="L80" s="11" t="s">
        <v>383</v>
      </c>
      <c r="M80" s="11" t="s">
        <v>384</v>
      </c>
      <c r="N80" s="11" t="s">
        <v>1672</v>
      </c>
      <c r="BD80" s="23">
        <v>42552</v>
      </c>
      <c r="BE80" s="23">
        <v>42916</v>
      </c>
      <c r="BF80" s="23">
        <v>43313</v>
      </c>
      <c r="BG80" s="11" t="s">
        <v>749</v>
      </c>
      <c r="BH80" s="22">
        <v>400000</v>
      </c>
      <c r="BI80" s="11" t="s">
        <v>1601</v>
      </c>
      <c r="BJ80" s="11" t="s">
        <v>1655</v>
      </c>
      <c r="BK80" s="11" t="s">
        <v>1603</v>
      </c>
      <c r="BL80" s="11" t="s">
        <v>1656</v>
      </c>
      <c r="BM80" s="11" t="s">
        <v>1599</v>
      </c>
      <c r="BN80" s="11" t="s">
        <v>1657</v>
      </c>
      <c r="BO80" s="12" t="s">
        <v>319</v>
      </c>
      <c r="BP80" s="12" t="s">
        <v>320</v>
      </c>
      <c r="BQ80" s="12" t="s">
        <v>319</v>
      </c>
      <c r="BR80" s="11" t="s">
        <v>1673</v>
      </c>
      <c r="BS80" s="11" t="s">
        <v>322</v>
      </c>
      <c r="BT80" s="11" t="s">
        <v>1659</v>
      </c>
      <c r="BU80" s="11" t="s">
        <v>1660</v>
      </c>
      <c r="BV80" s="22">
        <v>1705</v>
      </c>
      <c r="BW80" s="22">
        <v>416</v>
      </c>
      <c r="BX80" s="22">
        <v>2121</v>
      </c>
      <c r="BY80" s="22">
        <v>6820</v>
      </c>
      <c r="BZ80" s="22">
        <v>1664</v>
      </c>
      <c r="CA80" s="22">
        <v>8484</v>
      </c>
      <c r="CB80" s="15" t="s">
        <v>1674</v>
      </c>
      <c r="CL80" s="18"/>
      <c r="CP80" s="18"/>
      <c r="CT80" s="18"/>
      <c r="CX80" s="18"/>
      <c r="DB80" s="18"/>
      <c r="DF80" s="18"/>
      <c r="DJ80" s="18"/>
      <c r="DN80" s="18"/>
      <c r="DR80" s="18"/>
      <c r="DV80" s="18"/>
      <c r="DZ80" s="18"/>
      <c r="ED80" s="18"/>
      <c r="EI80" s="18"/>
      <c r="EK80" s="22">
        <v>1705</v>
      </c>
      <c r="EL80" s="22">
        <v>416</v>
      </c>
      <c r="EM80" s="22">
        <v>2121</v>
      </c>
      <c r="EN80" s="22">
        <v>6820</v>
      </c>
      <c r="EO80" s="22">
        <v>1664</v>
      </c>
      <c r="EP80" s="22">
        <v>8484</v>
      </c>
      <c r="EQ80" s="12" t="s">
        <v>319</v>
      </c>
      <c r="ES80" s="18"/>
      <c r="EU80" s="11" t="s">
        <v>319</v>
      </c>
      <c r="EW80" s="18"/>
      <c r="EY80" s="12" t="s">
        <v>319</v>
      </c>
      <c r="FA80" s="18"/>
      <c r="FC80" s="12" t="s">
        <v>319</v>
      </c>
      <c r="FE80" s="18"/>
      <c r="FG80" s="12" t="s">
        <v>319</v>
      </c>
      <c r="FI80" s="18"/>
      <c r="FK80" s="11" t="s">
        <v>319</v>
      </c>
      <c r="FM80" s="18"/>
      <c r="FO80" s="12" t="s">
        <v>320</v>
      </c>
      <c r="FP80" s="22">
        <v>2121</v>
      </c>
      <c r="FQ80" s="18">
        <v>0.75</v>
      </c>
      <c r="FR80" s="22">
        <v>8484</v>
      </c>
      <c r="FS80" s="11" t="s">
        <v>319</v>
      </c>
      <c r="FU80" s="18"/>
      <c r="FW80" s="11" t="s">
        <v>320</v>
      </c>
      <c r="FX80" s="22">
        <v>2121</v>
      </c>
      <c r="FY80" s="18">
        <v>0.75</v>
      </c>
      <c r="FZ80" s="22">
        <v>8484</v>
      </c>
      <c r="GA80" s="11" t="s">
        <v>319</v>
      </c>
      <c r="GC80" s="18"/>
      <c r="GE80" s="11" t="s">
        <v>319</v>
      </c>
      <c r="GG80" s="18"/>
      <c r="GI80" s="11" t="s">
        <v>319</v>
      </c>
      <c r="GK80" s="18"/>
      <c r="GM80" s="11" t="s">
        <v>319</v>
      </c>
      <c r="GO80" s="18"/>
      <c r="GQ80" s="11" t="s">
        <v>319</v>
      </c>
      <c r="GS80" s="18"/>
      <c r="GU80" s="11" t="s">
        <v>319</v>
      </c>
      <c r="GW80" s="18"/>
      <c r="GY80" s="11" t="s">
        <v>320</v>
      </c>
      <c r="GZ80" s="22">
        <v>2121</v>
      </c>
      <c r="HA80" s="18">
        <v>0.75</v>
      </c>
      <c r="HB80" s="22">
        <v>8484</v>
      </c>
      <c r="HF80" s="18"/>
      <c r="HH80" s="11" t="s">
        <v>319</v>
      </c>
      <c r="HK80" s="11" t="s">
        <v>319</v>
      </c>
      <c r="HL80" s="11" t="s">
        <v>320</v>
      </c>
      <c r="HM80" s="11" t="s">
        <v>619</v>
      </c>
      <c r="HN80" s="11">
        <v>2017</v>
      </c>
      <c r="HO80" s="11" t="s">
        <v>1675</v>
      </c>
      <c r="HP80" s="11" t="s">
        <v>453</v>
      </c>
      <c r="HT80" s="11" t="s">
        <v>320</v>
      </c>
      <c r="HZ80" s="11" t="s">
        <v>394</v>
      </c>
      <c r="IA80" s="11" t="s">
        <v>1676</v>
      </c>
      <c r="IB80" s="12" t="s">
        <v>396</v>
      </c>
      <c r="ID80" s="12" t="s">
        <v>334</v>
      </c>
      <c r="IE80" s="11" t="s">
        <v>335</v>
      </c>
      <c r="IF80" s="11" t="s">
        <v>320</v>
      </c>
      <c r="IG80" s="11" t="s">
        <v>320</v>
      </c>
      <c r="IH80" s="11" t="s">
        <v>320</v>
      </c>
      <c r="II80" s="11" t="s">
        <v>320</v>
      </c>
      <c r="IJ80" s="12" t="str">
        <f t="shared" si="44"/>
        <v>2. Sensitive</v>
      </c>
      <c r="IK80" s="12">
        <f t="shared" si="45"/>
        <v>4</v>
      </c>
      <c r="IL80" s="11" t="s">
        <v>336</v>
      </c>
      <c r="IN80" s="11" t="s">
        <v>320</v>
      </c>
      <c r="IO80" s="11" t="s">
        <v>320</v>
      </c>
      <c r="IP80" s="11" t="s">
        <v>320</v>
      </c>
      <c r="IQ80" s="12" t="str">
        <f t="shared" si="46"/>
        <v>2. Accommodating</v>
      </c>
      <c r="IR80" s="12">
        <f t="shared" si="47"/>
        <v>3</v>
      </c>
      <c r="IS80" s="11" t="s">
        <v>337</v>
      </c>
      <c r="IT80" s="11" t="s">
        <v>319</v>
      </c>
      <c r="IU80" s="11" t="s">
        <v>320</v>
      </c>
      <c r="IV80" s="11" t="s">
        <v>319</v>
      </c>
      <c r="IW80" s="11" t="str">
        <f t="shared" si="48"/>
        <v>1. Neutral</v>
      </c>
      <c r="IX80" s="12">
        <f t="shared" si="49"/>
        <v>1</v>
      </c>
      <c r="IY80" s="11" t="s">
        <v>419</v>
      </c>
      <c r="IZ80" s="12" t="s">
        <v>457</v>
      </c>
      <c r="JA80" s="11">
        <v>10</v>
      </c>
      <c r="JB80" s="11" t="s">
        <v>433</v>
      </c>
      <c r="JC80" s="11" t="s">
        <v>687</v>
      </c>
      <c r="JE80" s="12" t="s">
        <v>420</v>
      </c>
      <c r="JG80" s="11" t="s">
        <v>1677</v>
      </c>
      <c r="JH80" s="11" t="s">
        <v>1666</v>
      </c>
      <c r="JI80" s="11" t="s">
        <v>1678</v>
      </c>
      <c r="JK80" s="11" t="s">
        <v>1679</v>
      </c>
      <c r="JL80" s="11" t="s">
        <v>1680</v>
      </c>
      <c r="JP80" s="15">
        <f t="shared" si="50"/>
        <v>2121</v>
      </c>
      <c r="JQ80" s="15">
        <f t="shared" si="51"/>
        <v>8484</v>
      </c>
      <c r="JR80" s="279">
        <f t="shared" si="52"/>
        <v>4</v>
      </c>
      <c r="JS80" s="17">
        <f t="shared" si="53"/>
        <v>0.8038661008958039</v>
      </c>
      <c r="JT80" s="18">
        <f t="shared" si="54"/>
        <v>0.8038661008958039</v>
      </c>
      <c r="JU80" s="280">
        <f t="shared" si="55"/>
        <v>1705</v>
      </c>
      <c r="JV80" s="280">
        <f t="shared" si="56"/>
        <v>6820</v>
      </c>
      <c r="JW80" s="319" t="str">
        <f t="shared" si="57"/>
        <v/>
      </c>
      <c r="JX80" s="15">
        <f t="shared" si="58"/>
        <v>0</v>
      </c>
      <c r="JY80" s="15">
        <f t="shared" si="59"/>
        <v>0</v>
      </c>
      <c r="JZ80" s="19" t="str">
        <f t="shared" si="60"/>
        <v/>
      </c>
      <c r="KA80" s="52">
        <f t="shared" si="61"/>
        <v>1</v>
      </c>
      <c r="KB80" s="15">
        <f t="shared" si="62"/>
        <v>2121</v>
      </c>
      <c r="KC80" s="15">
        <f t="shared" si="63"/>
        <v>8484</v>
      </c>
      <c r="KD80" s="20">
        <f t="shared" si="64"/>
        <v>4</v>
      </c>
      <c r="KE80" s="52" t="str">
        <f t="shared" si="65"/>
        <v/>
      </c>
      <c r="KF80" s="15">
        <f t="shared" si="66"/>
        <v>0</v>
      </c>
      <c r="KG80" s="15">
        <f t="shared" si="67"/>
        <v>0</v>
      </c>
      <c r="KH80" s="21" t="str">
        <f t="shared" si="68"/>
        <v/>
      </c>
      <c r="KI80" s="52" t="str">
        <f t="shared" si="69"/>
        <v/>
      </c>
      <c r="KJ80" s="15">
        <f t="shared" si="70"/>
        <v>0</v>
      </c>
      <c r="KK80" s="15">
        <f t="shared" si="71"/>
        <v>0</v>
      </c>
      <c r="KL80" s="19" t="str">
        <f t="shared" si="72"/>
        <v/>
      </c>
      <c r="KM80" s="52">
        <f t="shared" si="73"/>
        <v>1</v>
      </c>
      <c r="KN80" s="22">
        <f t="shared" si="74"/>
        <v>2121</v>
      </c>
      <c r="KO80" s="22">
        <f t="shared" si="75"/>
        <v>8484</v>
      </c>
      <c r="KP80" s="19">
        <f t="shared" si="76"/>
        <v>4</v>
      </c>
      <c r="KQ80" s="11" t="str">
        <f t="shared" si="77"/>
        <v>2. Sensitive</v>
      </c>
      <c r="KR80" s="11" t="str">
        <f t="shared" si="78"/>
        <v>2. Accommodating</v>
      </c>
      <c r="KS80" s="11" t="str">
        <f t="shared" si="79"/>
        <v>1. Neutral</v>
      </c>
      <c r="KT80" s="11" t="str">
        <f t="shared" si="80"/>
        <v>It tested new ways for fighting poverty, but did not measure results of innovation</v>
      </c>
      <c r="KU80" s="11" t="str">
        <f t="shared" si="81"/>
        <v>Intensive advocacy</v>
      </c>
      <c r="KV80" s="11" t="str">
        <f t="shared" si="82"/>
        <v>It linked and worked with strategic alliances and partners to take tested and effective solutions to scale</v>
      </c>
      <c r="KW80" s="11" t="str">
        <f t="shared" si="83"/>
        <v>Benin - Protéines pour la Population (P4P)</v>
      </c>
      <c r="KX80" s="11" t="str">
        <f t="shared" si="84"/>
        <v>Protéines pour la Population (P4P)</v>
      </c>
      <c r="KY80" s="11" t="str">
        <f t="shared" si="85"/>
        <v>Benin</v>
      </c>
      <c r="KZ80" s="12">
        <v>80</v>
      </c>
    </row>
    <row r="81" spans="1:312" x14ac:dyDescent="0.3">
      <c r="A81" s="11" t="s">
        <v>1595</v>
      </c>
      <c r="B81" s="11" t="s">
        <v>1596</v>
      </c>
      <c r="D81" s="11" t="s">
        <v>1597</v>
      </c>
      <c r="E81" s="24" t="str">
        <f t="shared" si="43"/>
        <v>Benin</v>
      </c>
      <c r="G81" s="11" t="s">
        <v>376</v>
      </c>
      <c r="H81" s="11" t="s">
        <v>310</v>
      </c>
      <c r="I81" s="11" t="s">
        <v>377</v>
      </c>
      <c r="J81" s="278" t="s">
        <v>14582</v>
      </c>
      <c r="BD81" s="23">
        <v>42090</v>
      </c>
      <c r="BE81" s="23">
        <v>42825</v>
      </c>
      <c r="BF81" s="23">
        <v>42916</v>
      </c>
      <c r="BG81" s="11" t="s">
        <v>609</v>
      </c>
      <c r="BH81" s="22">
        <v>939692</v>
      </c>
      <c r="BI81" s="11" t="s">
        <v>1598</v>
      </c>
      <c r="BJ81" s="11" t="s">
        <v>1599</v>
      </c>
      <c r="BK81" s="11" t="s">
        <v>1600</v>
      </c>
      <c r="BL81" s="11" t="s">
        <v>1601</v>
      </c>
      <c r="BM81" s="11" t="s">
        <v>1602</v>
      </c>
      <c r="BN81" s="11" t="s">
        <v>1603</v>
      </c>
      <c r="BO81" s="12" t="s">
        <v>319</v>
      </c>
      <c r="BP81" s="12" t="s">
        <v>320</v>
      </c>
      <c r="BQ81" s="12" t="s">
        <v>319</v>
      </c>
      <c r="BR81" s="11" t="s">
        <v>1604</v>
      </c>
      <c r="BS81" s="11" t="s">
        <v>615</v>
      </c>
      <c r="BT81" s="11" t="s">
        <v>1605</v>
      </c>
      <c r="BU81" s="15" t="s">
        <v>1606</v>
      </c>
      <c r="BV81" s="22">
        <v>6296</v>
      </c>
      <c r="BW81" s="22">
        <v>3904</v>
      </c>
      <c r="BX81" s="22">
        <v>10200</v>
      </c>
      <c r="BY81" s="22">
        <v>239800</v>
      </c>
      <c r="BZ81" s="22">
        <v>227760</v>
      </c>
      <c r="CA81" s="22">
        <v>467560</v>
      </c>
      <c r="CB81" s="15" t="s">
        <v>1607</v>
      </c>
      <c r="CL81" s="18"/>
      <c r="CP81" s="18"/>
      <c r="CT81" s="18"/>
      <c r="CX81" s="18"/>
      <c r="DB81" s="18"/>
      <c r="DF81" s="18"/>
      <c r="DJ81" s="18"/>
      <c r="DN81" s="18"/>
      <c r="DR81" s="18"/>
      <c r="DV81" s="18"/>
      <c r="DZ81" s="18"/>
      <c r="ED81" s="18"/>
      <c r="EI81" s="18"/>
      <c r="EK81" s="22">
        <v>7232</v>
      </c>
      <c r="EL81" s="22">
        <v>4750</v>
      </c>
      <c r="EM81" s="22">
        <v>11982</v>
      </c>
      <c r="EN81" s="22">
        <v>7645</v>
      </c>
      <c r="EO81" s="22">
        <v>8172</v>
      </c>
      <c r="EP81" s="22">
        <v>15817</v>
      </c>
      <c r="ES81" s="18"/>
      <c r="EW81" s="18"/>
      <c r="FA81" s="18"/>
      <c r="FE81" s="18"/>
      <c r="FI81" s="18"/>
      <c r="FM81" s="18"/>
      <c r="FQ81" s="18"/>
      <c r="FS81" s="11" t="s">
        <v>320</v>
      </c>
      <c r="FU81" s="18"/>
      <c r="FY81" s="18"/>
      <c r="GC81" s="18"/>
      <c r="GG81" s="18"/>
      <c r="GK81" s="18"/>
      <c r="GO81" s="18"/>
      <c r="GQ81" s="11" t="s">
        <v>320</v>
      </c>
      <c r="GS81" s="18"/>
      <c r="GW81" s="18"/>
      <c r="GY81" s="11" t="s">
        <v>320</v>
      </c>
      <c r="HA81" s="18"/>
      <c r="HF81" s="18"/>
      <c r="HH81" s="11" t="s">
        <v>320</v>
      </c>
      <c r="HI81" s="11" t="s">
        <v>1175</v>
      </c>
      <c r="HJ81" s="11">
        <v>2017</v>
      </c>
      <c r="HK81" s="11" t="s">
        <v>320</v>
      </c>
      <c r="HL81" s="11" t="s">
        <v>319</v>
      </c>
      <c r="HP81" s="11" t="s">
        <v>330</v>
      </c>
      <c r="HQ81" s="11" t="s">
        <v>319</v>
      </c>
      <c r="HR81" s="11" t="s">
        <v>320</v>
      </c>
      <c r="HS81" s="11" t="s">
        <v>320</v>
      </c>
      <c r="HT81" s="11" t="s">
        <v>320</v>
      </c>
      <c r="HU81" s="11" t="s">
        <v>320</v>
      </c>
      <c r="HV81" s="11" t="s">
        <v>319</v>
      </c>
      <c r="HW81" s="11" t="s">
        <v>319</v>
      </c>
      <c r="HZ81" s="11" t="s">
        <v>331</v>
      </c>
      <c r="IA81" s="11" t="s">
        <v>1608</v>
      </c>
      <c r="IB81" s="12" t="s">
        <v>396</v>
      </c>
      <c r="IC81" s="11" t="s">
        <v>1609</v>
      </c>
      <c r="ID81" s="11" t="s">
        <v>477</v>
      </c>
      <c r="IE81" s="11" t="s">
        <v>478</v>
      </c>
      <c r="IF81" s="11" t="s">
        <v>320</v>
      </c>
      <c r="IG81" s="11" t="s">
        <v>320</v>
      </c>
      <c r="IH81" s="11" t="s">
        <v>320</v>
      </c>
      <c r="II81" s="11" t="s">
        <v>320</v>
      </c>
      <c r="IJ81" s="12" t="str">
        <f t="shared" si="44"/>
        <v>4. Transformative</v>
      </c>
      <c r="IK81" s="12">
        <f t="shared" si="45"/>
        <v>4</v>
      </c>
      <c r="IL81" s="11" t="s">
        <v>336</v>
      </c>
      <c r="IM81" s="11" t="s">
        <v>320</v>
      </c>
      <c r="IN81" s="11" t="s">
        <v>320</v>
      </c>
      <c r="IO81" s="11" t="s">
        <v>320</v>
      </c>
      <c r="IP81" s="11" t="s">
        <v>320</v>
      </c>
      <c r="IQ81" s="12" t="str">
        <f t="shared" si="46"/>
        <v>2. Accommodating</v>
      </c>
      <c r="IR81" s="12">
        <f t="shared" si="47"/>
        <v>4</v>
      </c>
      <c r="IW81" s="11" t="str">
        <f t="shared" si="48"/>
        <v>No marker score</v>
      </c>
      <c r="IX81" s="12">
        <f t="shared" si="49"/>
        <v>0</v>
      </c>
      <c r="IY81" s="11" t="s">
        <v>419</v>
      </c>
      <c r="IZ81" s="11" t="s">
        <v>527</v>
      </c>
      <c r="JA81" s="11">
        <v>23</v>
      </c>
      <c r="JB81" s="11" t="s">
        <v>433</v>
      </c>
      <c r="JC81" s="11" t="s">
        <v>624</v>
      </c>
      <c r="JD81" s="11" t="s">
        <v>1113</v>
      </c>
      <c r="JE81" s="12" t="s">
        <v>340</v>
      </c>
      <c r="JF81" s="11" t="s">
        <v>1610</v>
      </c>
      <c r="JG81" s="11" t="s">
        <v>1611</v>
      </c>
      <c r="JH81" s="11" t="s">
        <v>1612</v>
      </c>
      <c r="JI81" s="11" t="s">
        <v>1613</v>
      </c>
      <c r="JJ81" s="11" t="s">
        <v>1614</v>
      </c>
      <c r="JK81" s="11" t="s">
        <v>1615</v>
      </c>
      <c r="JL81" s="11" t="s">
        <v>1616</v>
      </c>
      <c r="JM81" s="11" t="s">
        <v>1617</v>
      </c>
      <c r="JN81" s="11" t="s">
        <v>1618</v>
      </c>
      <c r="JP81" s="15">
        <f t="shared" si="50"/>
        <v>11982</v>
      </c>
      <c r="JQ81" s="15">
        <f t="shared" si="51"/>
        <v>15817</v>
      </c>
      <c r="JR81" s="279">
        <f t="shared" si="52"/>
        <v>1.3200634284760473</v>
      </c>
      <c r="JS81" s="17">
        <f t="shared" si="53"/>
        <v>0.60357202470372229</v>
      </c>
      <c r="JT81" s="18">
        <f t="shared" si="54"/>
        <v>0.48334070936334322</v>
      </c>
      <c r="JU81" s="280">
        <f t="shared" si="55"/>
        <v>7232</v>
      </c>
      <c r="JV81" s="280">
        <f t="shared" si="56"/>
        <v>7645</v>
      </c>
      <c r="JW81" s="319" t="str">
        <f t="shared" si="57"/>
        <v/>
      </c>
      <c r="JX81" s="15">
        <f t="shared" si="58"/>
        <v>0</v>
      </c>
      <c r="JY81" s="15">
        <f t="shared" si="59"/>
        <v>0</v>
      </c>
      <c r="JZ81" s="19" t="str">
        <f t="shared" si="60"/>
        <v/>
      </c>
      <c r="KA81" s="52" t="str">
        <f t="shared" si="61"/>
        <v/>
      </c>
      <c r="KB81" s="15">
        <f t="shared" si="62"/>
        <v>0</v>
      </c>
      <c r="KC81" s="15">
        <f t="shared" si="63"/>
        <v>0</v>
      </c>
      <c r="KD81" s="20" t="str">
        <f t="shared" si="64"/>
        <v/>
      </c>
      <c r="KE81" s="52">
        <f t="shared" si="65"/>
        <v>1</v>
      </c>
      <c r="KF81" s="15">
        <f t="shared" si="66"/>
        <v>0</v>
      </c>
      <c r="KG81" s="15">
        <f t="shared" si="67"/>
        <v>0</v>
      </c>
      <c r="KH81" s="21" t="str">
        <f t="shared" si="68"/>
        <v/>
      </c>
      <c r="KI81" s="52">
        <f t="shared" si="69"/>
        <v>1</v>
      </c>
      <c r="KJ81" s="15">
        <f t="shared" si="70"/>
        <v>0</v>
      </c>
      <c r="KK81" s="15">
        <f t="shared" si="71"/>
        <v>0</v>
      </c>
      <c r="KL81" s="19" t="str">
        <f t="shared" si="72"/>
        <v/>
      </c>
      <c r="KM81" s="52">
        <f t="shared" si="73"/>
        <v>1</v>
      </c>
      <c r="KN81" s="22">
        <f t="shared" si="74"/>
        <v>0</v>
      </c>
      <c r="KO81" s="22">
        <f t="shared" si="75"/>
        <v>0</v>
      </c>
      <c r="KP81" s="19" t="str">
        <f t="shared" si="76"/>
        <v/>
      </c>
      <c r="KQ81" s="11" t="str">
        <f t="shared" si="77"/>
        <v>4. Transformative</v>
      </c>
      <c r="KR81" s="11" t="str">
        <f t="shared" si="78"/>
        <v>2. Accommodating</v>
      </c>
      <c r="KS81" s="11" t="str">
        <f t="shared" si="79"/>
        <v>No marker score</v>
      </c>
      <c r="KT81" s="11" t="str">
        <f t="shared" si="80"/>
        <v>It tested new ways for fighting poverty and measured results of innovation</v>
      </c>
      <c r="KU81" s="11" t="str">
        <f t="shared" si="81"/>
        <v>Moderate advocacy</v>
      </c>
      <c r="KV81" s="11" t="str">
        <f t="shared" si="82"/>
        <v>It linked and worked with strategic alliances and partners to take tested and effective solutions to scale</v>
      </c>
      <c r="KW81" s="11" t="str">
        <f t="shared" si="83"/>
        <v>Benin - Travaillons ensemble contre les mariages précoces (TEMPS)</v>
      </c>
      <c r="KX81" s="11" t="str">
        <f t="shared" si="84"/>
        <v>Travaillons ensemble contre les mariages précoces (TEMPS)</v>
      </c>
      <c r="KY81" s="11" t="str">
        <f t="shared" si="85"/>
        <v>Benin</v>
      </c>
      <c r="KZ81" s="12">
        <v>81</v>
      </c>
    </row>
    <row r="82" spans="1:312" x14ac:dyDescent="0.3">
      <c r="A82" s="11" t="s">
        <v>1735</v>
      </c>
      <c r="B82" s="11" t="s">
        <v>602</v>
      </c>
      <c r="C82" s="11">
        <v>2801</v>
      </c>
      <c r="D82" s="11" t="s">
        <v>1754</v>
      </c>
      <c r="E82" s="24" t="str">
        <f t="shared" si="43"/>
        <v>Bosnia and Herzegovina</v>
      </c>
      <c r="F82" s="11" t="s">
        <v>1755</v>
      </c>
      <c r="G82" s="11" t="s">
        <v>605</v>
      </c>
      <c r="H82" s="11" t="s">
        <v>310</v>
      </c>
      <c r="I82" s="11" t="s">
        <v>606</v>
      </c>
      <c r="J82" s="278" t="s">
        <v>792</v>
      </c>
      <c r="BD82" s="23">
        <v>42309</v>
      </c>
      <c r="BE82" s="23">
        <v>43404</v>
      </c>
      <c r="BG82" s="11" t="s">
        <v>1757</v>
      </c>
      <c r="BH82" s="22">
        <v>1256496.6599999999</v>
      </c>
      <c r="BI82" s="11" t="s">
        <v>1758</v>
      </c>
      <c r="BJ82" s="11" t="s">
        <v>354</v>
      </c>
      <c r="BK82" s="11" t="s">
        <v>1759</v>
      </c>
      <c r="BL82" s="11" t="s">
        <v>1760</v>
      </c>
      <c r="BM82" s="11" t="s">
        <v>1761</v>
      </c>
      <c r="BN82" s="11" t="s">
        <v>1762</v>
      </c>
      <c r="BO82" s="12" t="s">
        <v>319</v>
      </c>
      <c r="BP82" s="12" t="s">
        <v>320</v>
      </c>
      <c r="BQ82" s="12" t="s">
        <v>319</v>
      </c>
      <c r="BR82" s="11" t="s">
        <v>1763</v>
      </c>
      <c r="BS82" s="11" t="s">
        <v>1535</v>
      </c>
      <c r="BT82" s="11" t="s">
        <v>1764</v>
      </c>
      <c r="BU82" s="11" t="s">
        <v>1765</v>
      </c>
      <c r="BV82" s="22">
        <v>4620</v>
      </c>
      <c r="BW82" s="22">
        <v>2380</v>
      </c>
      <c r="BX82" s="22">
        <v>7000</v>
      </c>
      <c r="BY82" s="22">
        <v>14000</v>
      </c>
      <c r="BZ82" s="22">
        <v>6000</v>
      </c>
      <c r="CA82" s="22">
        <v>20000</v>
      </c>
      <c r="CB82" s="15" t="s">
        <v>1766</v>
      </c>
      <c r="CL82" s="18"/>
      <c r="CP82" s="18"/>
      <c r="CT82" s="18"/>
      <c r="CX82" s="18"/>
      <c r="DB82" s="18"/>
      <c r="DF82" s="18"/>
      <c r="DJ82" s="18"/>
      <c r="DN82" s="18"/>
      <c r="DR82" s="18"/>
      <c r="DV82" s="18"/>
      <c r="DZ82" s="18"/>
      <c r="ED82" s="18"/>
      <c r="EI82" s="18"/>
      <c r="EK82" s="22">
        <v>2388</v>
      </c>
      <c r="EL82" s="22">
        <v>1405</v>
      </c>
      <c r="EM82" s="22">
        <v>3793</v>
      </c>
      <c r="EN82" s="22">
        <v>6500</v>
      </c>
      <c r="EO82" s="22">
        <v>4000</v>
      </c>
      <c r="EP82" s="22">
        <v>10500</v>
      </c>
      <c r="EQ82" s="12" t="s">
        <v>319</v>
      </c>
      <c r="ES82" s="18"/>
      <c r="EU82" s="11" t="s">
        <v>319</v>
      </c>
      <c r="EW82" s="18"/>
      <c r="EY82" s="12" t="s">
        <v>319</v>
      </c>
      <c r="FA82" s="18"/>
      <c r="FC82" s="12" t="s">
        <v>319</v>
      </c>
      <c r="FE82" s="18"/>
      <c r="FG82" s="12" t="s">
        <v>319</v>
      </c>
      <c r="FI82" s="18"/>
      <c r="FK82" s="12" t="s">
        <v>320</v>
      </c>
      <c r="FL82" s="22">
        <v>962</v>
      </c>
      <c r="FM82" s="18">
        <v>0.57379999999999998</v>
      </c>
      <c r="FN82" s="22">
        <v>2500</v>
      </c>
      <c r="FO82" s="11" t="s">
        <v>319</v>
      </c>
      <c r="FQ82" s="18"/>
      <c r="FS82" s="12" t="s">
        <v>320</v>
      </c>
      <c r="FT82" s="22">
        <v>990</v>
      </c>
      <c r="FU82" s="18">
        <v>0.61519999999999997</v>
      </c>
      <c r="FV82" s="22">
        <v>2800</v>
      </c>
      <c r="FW82" s="11" t="s">
        <v>320</v>
      </c>
      <c r="FX82" s="22">
        <v>120</v>
      </c>
      <c r="FY82" s="18">
        <v>0.50829999999999997</v>
      </c>
      <c r="FZ82" s="22">
        <v>350</v>
      </c>
      <c r="GA82" s="11" t="s">
        <v>320</v>
      </c>
      <c r="GB82" s="22">
        <v>664</v>
      </c>
      <c r="GC82" s="18">
        <v>0.5696</v>
      </c>
      <c r="GD82" s="22">
        <v>1900</v>
      </c>
      <c r="GE82" s="11" t="s">
        <v>319</v>
      </c>
      <c r="GG82" s="18"/>
      <c r="GI82" s="11" t="s">
        <v>319</v>
      </c>
      <c r="GK82" s="18"/>
      <c r="GM82" s="11" t="s">
        <v>320</v>
      </c>
      <c r="GN82" s="22">
        <v>297</v>
      </c>
      <c r="GO82" s="18">
        <v>0.69020000000000004</v>
      </c>
      <c r="GP82" s="22">
        <v>800</v>
      </c>
      <c r="GQ82" s="12" t="s">
        <v>320</v>
      </c>
      <c r="GR82" s="22">
        <v>133</v>
      </c>
      <c r="GS82" s="18">
        <v>1</v>
      </c>
      <c r="GT82" s="22">
        <v>400</v>
      </c>
      <c r="GU82" s="11" t="s">
        <v>319</v>
      </c>
      <c r="GW82" s="18"/>
      <c r="GY82" s="11" t="s">
        <v>319</v>
      </c>
      <c r="HA82" s="18"/>
      <c r="HC82" s="11" t="s">
        <v>1767</v>
      </c>
      <c r="HD82" s="12" t="s">
        <v>320</v>
      </c>
      <c r="HE82" s="22">
        <v>627</v>
      </c>
      <c r="HF82" s="18">
        <v>0.622</v>
      </c>
      <c r="HG82" s="22">
        <v>1750</v>
      </c>
      <c r="HH82" s="11" t="s">
        <v>320</v>
      </c>
      <c r="HI82" s="11" t="s">
        <v>361</v>
      </c>
      <c r="HJ82" s="11">
        <v>2016</v>
      </c>
      <c r="HK82" s="11" t="s">
        <v>319</v>
      </c>
      <c r="HL82" s="11" t="s">
        <v>320</v>
      </c>
      <c r="HM82" s="11" t="s">
        <v>327</v>
      </c>
      <c r="HN82" s="11">
        <v>2017</v>
      </c>
      <c r="HO82" s="11" t="s">
        <v>1768</v>
      </c>
      <c r="HP82" s="11" t="s">
        <v>330</v>
      </c>
      <c r="HQ82" s="11" t="s">
        <v>320</v>
      </c>
      <c r="HR82" s="11" t="s">
        <v>320</v>
      </c>
      <c r="HS82" s="11" t="s">
        <v>320</v>
      </c>
      <c r="HT82" s="11" t="s">
        <v>320</v>
      </c>
      <c r="HU82" s="11" t="s">
        <v>320</v>
      </c>
      <c r="HW82" s="11" t="s">
        <v>320</v>
      </c>
      <c r="HZ82" s="11" t="s">
        <v>394</v>
      </c>
      <c r="IA82" s="11" t="s">
        <v>1769</v>
      </c>
      <c r="IB82" s="11" t="s">
        <v>667</v>
      </c>
      <c r="ID82" s="11" t="s">
        <v>334</v>
      </c>
      <c r="IE82" s="11" t="s">
        <v>478</v>
      </c>
      <c r="IF82" s="11" t="s">
        <v>320</v>
      </c>
      <c r="IG82" s="11" t="s">
        <v>320</v>
      </c>
      <c r="IH82" s="11" t="s">
        <v>320</v>
      </c>
      <c r="II82" s="11" t="s">
        <v>320</v>
      </c>
      <c r="IJ82" s="12" t="str">
        <f t="shared" si="44"/>
        <v>4. Transformative</v>
      </c>
      <c r="IK82" s="12">
        <f t="shared" si="45"/>
        <v>4</v>
      </c>
      <c r="IL82" s="11" t="s">
        <v>336</v>
      </c>
      <c r="IM82" s="11" t="s">
        <v>320</v>
      </c>
      <c r="IN82" s="11" t="s">
        <v>320</v>
      </c>
      <c r="IO82" s="11" t="s">
        <v>320</v>
      </c>
      <c r="IP82" s="11" t="s">
        <v>320</v>
      </c>
      <c r="IQ82" s="12" t="str">
        <f t="shared" si="46"/>
        <v>2. Accommodating</v>
      </c>
      <c r="IR82" s="12">
        <f t="shared" si="47"/>
        <v>4</v>
      </c>
      <c r="IS82" s="11" t="s">
        <v>337</v>
      </c>
      <c r="IT82" s="11" t="s">
        <v>319</v>
      </c>
      <c r="IU82" s="11" t="s">
        <v>320</v>
      </c>
      <c r="IV82" s="11" t="s">
        <v>319</v>
      </c>
      <c r="IW82" s="11" t="str">
        <f t="shared" si="48"/>
        <v>1. Neutral</v>
      </c>
      <c r="IX82" s="12">
        <f t="shared" si="49"/>
        <v>1</v>
      </c>
      <c r="IY82" s="11" t="s">
        <v>338</v>
      </c>
      <c r="IZ82" s="11" t="s">
        <v>527</v>
      </c>
      <c r="JA82" s="11">
        <v>7</v>
      </c>
      <c r="JB82" s="11" t="s">
        <v>433</v>
      </c>
      <c r="JE82" s="11" t="s">
        <v>340</v>
      </c>
      <c r="JF82" s="11" t="s">
        <v>1770</v>
      </c>
      <c r="JH82" s="11" t="s">
        <v>1771</v>
      </c>
      <c r="JI82" s="11" t="s">
        <v>1772</v>
      </c>
      <c r="JJ82" s="11" t="s">
        <v>1773</v>
      </c>
      <c r="JK82" s="11" t="s">
        <v>1774</v>
      </c>
      <c r="JL82" s="11" t="s">
        <v>1775</v>
      </c>
      <c r="JM82" s="11" t="s">
        <v>1776</v>
      </c>
      <c r="JN82" s="11" t="s">
        <v>1777</v>
      </c>
      <c r="JP82" s="15">
        <f t="shared" si="50"/>
        <v>3793</v>
      </c>
      <c r="JQ82" s="15">
        <f t="shared" si="51"/>
        <v>10500</v>
      </c>
      <c r="JR82" s="279">
        <f t="shared" si="52"/>
        <v>2.7682573161086212</v>
      </c>
      <c r="JS82" s="17">
        <f t="shared" si="53"/>
        <v>0.62958080674927497</v>
      </c>
      <c r="JT82" s="18">
        <f t="shared" si="54"/>
        <v>0.61904761904761907</v>
      </c>
      <c r="JU82" s="280">
        <f t="shared" si="55"/>
        <v>2388</v>
      </c>
      <c r="JV82" s="280">
        <f t="shared" si="56"/>
        <v>6500</v>
      </c>
      <c r="JW82" s="319" t="str">
        <f t="shared" si="57"/>
        <v/>
      </c>
      <c r="JX82" s="15">
        <f t="shared" si="58"/>
        <v>0</v>
      </c>
      <c r="JY82" s="15">
        <f t="shared" si="59"/>
        <v>0</v>
      </c>
      <c r="JZ82" s="19" t="str">
        <f t="shared" si="60"/>
        <v/>
      </c>
      <c r="KA82" s="52" t="str">
        <f t="shared" si="61"/>
        <v/>
      </c>
      <c r="KB82" s="15">
        <f t="shared" si="62"/>
        <v>0</v>
      </c>
      <c r="KC82" s="15">
        <f t="shared" si="63"/>
        <v>0</v>
      </c>
      <c r="KD82" s="20" t="str">
        <f t="shared" si="64"/>
        <v/>
      </c>
      <c r="KE82" s="52">
        <f t="shared" si="65"/>
        <v>1</v>
      </c>
      <c r="KF82" s="15">
        <f t="shared" si="66"/>
        <v>133</v>
      </c>
      <c r="KG82" s="15">
        <f t="shared" si="67"/>
        <v>400</v>
      </c>
      <c r="KH82" s="21">
        <f t="shared" si="68"/>
        <v>3.007518796992481</v>
      </c>
      <c r="KI82" s="52">
        <f t="shared" si="69"/>
        <v>1</v>
      </c>
      <c r="KJ82" s="15">
        <f t="shared" si="70"/>
        <v>990</v>
      </c>
      <c r="KK82" s="15">
        <f t="shared" si="71"/>
        <v>2800</v>
      </c>
      <c r="KL82" s="19">
        <f t="shared" si="72"/>
        <v>2.8282828282828283</v>
      </c>
      <c r="KM82" s="52" t="str">
        <f t="shared" si="73"/>
        <v/>
      </c>
      <c r="KN82" s="22">
        <f t="shared" si="74"/>
        <v>0</v>
      </c>
      <c r="KO82" s="22">
        <f t="shared" si="75"/>
        <v>0</v>
      </c>
      <c r="KP82" s="19" t="str">
        <f t="shared" si="76"/>
        <v/>
      </c>
      <c r="KQ82" s="11" t="str">
        <f t="shared" si="77"/>
        <v>4. Transformative</v>
      </c>
      <c r="KR82" s="11" t="str">
        <f t="shared" si="78"/>
        <v>2. Accommodating</v>
      </c>
      <c r="KS82" s="11" t="str">
        <f t="shared" si="79"/>
        <v>1. Neutral</v>
      </c>
      <c r="KT82" s="11" t="str">
        <f t="shared" si="80"/>
        <v>It tested new ways for fighting poverty, but did not measure results of innovation</v>
      </c>
      <c r="KU82" s="11" t="str">
        <f t="shared" si="81"/>
        <v>Moderate advocacy</v>
      </c>
      <c r="KV82" s="11" t="str">
        <f t="shared" si="82"/>
        <v>It took tested solutions to scale on its own</v>
      </c>
      <c r="KW82" s="11" t="str">
        <f t="shared" si="83"/>
        <v>Bosnia and Herzegovina - For Active Inclusion and Rights of Roma Women in the Western Balkans II (FAIR II)</v>
      </c>
      <c r="KX82" s="11" t="str">
        <f t="shared" si="84"/>
        <v>For Active Inclusion and Rights of Roma Women in the Western Balkans II (FAIR II)</v>
      </c>
      <c r="KY82" s="11" t="str">
        <f t="shared" si="85"/>
        <v>Bosnia and Herzegovina</v>
      </c>
      <c r="KZ82" s="12">
        <v>82</v>
      </c>
    </row>
    <row r="83" spans="1:312" x14ac:dyDescent="0.3">
      <c r="A83" s="11" t="s">
        <v>1735</v>
      </c>
      <c r="B83" s="11" t="s">
        <v>602</v>
      </c>
      <c r="C83" s="11">
        <v>2802</v>
      </c>
      <c r="D83" s="11" t="s">
        <v>1778</v>
      </c>
      <c r="E83" s="24" t="str">
        <f t="shared" si="43"/>
        <v>Bosnia and Herzegovina</v>
      </c>
      <c r="F83" s="11" t="s">
        <v>1779</v>
      </c>
      <c r="G83" s="11" t="s">
        <v>605</v>
      </c>
      <c r="H83" s="11" t="s">
        <v>384</v>
      </c>
      <c r="I83" s="11" t="s">
        <v>384</v>
      </c>
      <c r="J83" s="278" t="s">
        <v>793</v>
      </c>
      <c r="K83" s="11" t="s">
        <v>1779</v>
      </c>
      <c r="L83" s="11" t="s">
        <v>608</v>
      </c>
      <c r="M83" s="11" t="s">
        <v>310</v>
      </c>
      <c r="N83" s="11" t="s">
        <v>517</v>
      </c>
      <c r="O83" s="11" t="s">
        <v>14578</v>
      </c>
      <c r="P83" s="11" t="s">
        <v>1779</v>
      </c>
      <c r="Q83" s="11" t="s">
        <v>608</v>
      </c>
      <c r="R83" s="11" t="s">
        <v>310</v>
      </c>
      <c r="S83" s="11" t="s">
        <v>606</v>
      </c>
      <c r="T83" s="278" t="s">
        <v>792</v>
      </c>
      <c r="BD83" s="23">
        <v>41654</v>
      </c>
      <c r="BE83" s="23">
        <v>42566</v>
      </c>
      <c r="BF83" s="23">
        <v>42735</v>
      </c>
      <c r="BG83" s="11" t="s">
        <v>350</v>
      </c>
      <c r="BI83" s="26" t="s">
        <v>1780</v>
      </c>
      <c r="BJ83" s="11" t="s">
        <v>1781</v>
      </c>
      <c r="BK83" s="11" t="s">
        <v>1782</v>
      </c>
      <c r="BL83" s="11" t="s">
        <v>1783</v>
      </c>
      <c r="BM83" s="11" t="s">
        <v>1784</v>
      </c>
      <c r="BN83" s="11" t="s">
        <v>1784</v>
      </c>
      <c r="BO83" s="12" t="s">
        <v>319</v>
      </c>
      <c r="BP83" s="12" t="s">
        <v>320</v>
      </c>
      <c r="BQ83" s="12" t="s">
        <v>319</v>
      </c>
      <c r="BR83" s="11" t="s">
        <v>1785</v>
      </c>
      <c r="BS83" s="11" t="s">
        <v>322</v>
      </c>
      <c r="BT83" s="11" t="s">
        <v>1786</v>
      </c>
      <c r="BU83" s="11" t="s">
        <v>1787</v>
      </c>
      <c r="BV83" s="22">
        <v>100</v>
      </c>
      <c r="BW83" s="22">
        <v>50</v>
      </c>
      <c r="BX83" s="22">
        <v>150</v>
      </c>
      <c r="BY83" s="22">
        <v>2000</v>
      </c>
      <c r="BZ83" s="22">
        <v>500</v>
      </c>
      <c r="CA83" s="22">
        <v>2500</v>
      </c>
      <c r="CB83" s="15" t="s">
        <v>1788</v>
      </c>
      <c r="CL83" s="18"/>
      <c r="CP83" s="18"/>
      <c r="CT83" s="18"/>
      <c r="CX83" s="18"/>
      <c r="DB83" s="18"/>
      <c r="DF83" s="18"/>
      <c r="DJ83" s="18"/>
      <c r="DN83" s="18"/>
      <c r="DR83" s="18"/>
      <c r="DV83" s="18"/>
      <c r="DZ83" s="18"/>
      <c r="ED83" s="18"/>
      <c r="EI83" s="18"/>
      <c r="EK83" s="22">
        <v>100</v>
      </c>
      <c r="EL83" s="22">
        <v>50</v>
      </c>
      <c r="EM83" s="22">
        <v>150</v>
      </c>
      <c r="EN83" s="22">
        <v>400</v>
      </c>
      <c r="EO83" s="22">
        <v>150</v>
      </c>
      <c r="EP83" s="22">
        <v>550</v>
      </c>
      <c r="EQ83" s="12" t="s">
        <v>320</v>
      </c>
      <c r="ER83" s="22">
        <v>120</v>
      </c>
      <c r="ES83" s="18">
        <v>0.7</v>
      </c>
      <c r="ET83" s="22">
        <v>500</v>
      </c>
      <c r="EU83" s="11" t="s">
        <v>319</v>
      </c>
      <c r="EW83" s="18"/>
      <c r="EY83" s="12" t="s">
        <v>319</v>
      </c>
      <c r="FA83" s="18"/>
      <c r="FC83" s="12" t="s">
        <v>319</v>
      </c>
      <c r="FE83" s="18"/>
      <c r="FG83" s="12" t="s">
        <v>320</v>
      </c>
      <c r="FH83" s="22">
        <v>50</v>
      </c>
      <c r="FI83" s="18">
        <v>0.7</v>
      </c>
      <c r="FJ83" s="22">
        <v>200</v>
      </c>
      <c r="FK83" s="11" t="s">
        <v>319</v>
      </c>
      <c r="FM83" s="18"/>
      <c r="FO83" s="11" t="s">
        <v>319</v>
      </c>
      <c r="FQ83" s="18"/>
      <c r="FS83" s="11" t="s">
        <v>319</v>
      </c>
      <c r="FU83" s="18"/>
      <c r="FW83" s="11" t="s">
        <v>319</v>
      </c>
      <c r="FY83" s="18"/>
      <c r="GA83" s="11" t="s">
        <v>319</v>
      </c>
      <c r="GC83" s="18"/>
      <c r="GE83" s="12" t="s">
        <v>320</v>
      </c>
      <c r="GF83" s="22">
        <v>8</v>
      </c>
      <c r="GG83" s="18">
        <v>0.8</v>
      </c>
      <c r="GH83" s="22">
        <v>32</v>
      </c>
      <c r="GI83" s="11" t="s">
        <v>319</v>
      </c>
      <c r="GK83" s="18"/>
      <c r="GM83" s="11" t="s">
        <v>320</v>
      </c>
      <c r="GN83" s="22">
        <v>30</v>
      </c>
      <c r="GO83" s="18">
        <v>0.75</v>
      </c>
      <c r="GP83" s="22">
        <v>250</v>
      </c>
      <c r="GQ83" s="11" t="s">
        <v>319</v>
      </c>
      <c r="GS83" s="18"/>
      <c r="GU83" s="11" t="s">
        <v>319</v>
      </c>
      <c r="GW83" s="18"/>
      <c r="GY83" s="11" t="s">
        <v>320</v>
      </c>
      <c r="GZ83" s="22">
        <v>80</v>
      </c>
      <c r="HA83" s="18">
        <v>1</v>
      </c>
      <c r="HB83" s="22">
        <v>500</v>
      </c>
      <c r="HF83" s="18"/>
      <c r="HH83" s="11" t="s">
        <v>320</v>
      </c>
      <c r="HI83" s="11" t="s">
        <v>361</v>
      </c>
      <c r="HJ83" s="11">
        <v>2016</v>
      </c>
      <c r="HK83" s="11" t="s">
        <v>319</v>
      </c>
      <c r="HL83" s="11" t="s">
        <v>319</v>
      </c>
      <c r="HO83" s="11" t="s">
        <v>1789</v>
      </c>
      <c r="HP83" s="11" t="s">
        <v>330</v>
      </c>
      <c r="HQ83" s="11" t="s">
        <v>320</v>
      </c>
      <c r="HR83" s="11" t="s">
        <v>320</v>
      </c>
      <c r="HS83" s="11" t="s">
        <v>320</v>
      </c>
      <c r="HT83" s="11" t="s">
        <v>320</v>
      </c>
      <c r="HU83" s="11" t="s">
        <v>319</v>
      </c>
      <c r="HV83" s="11" t="s">
        <v>319</v>
      </c>
      <c r="HW83" s="11" t="s">
        <v>320</v>
      </c>
      <c r="HX83" s="11" t="s">
        <v>320</v>
      </c>
      <c r="HY83" s="11" t="s">
        <v>1790</v>
      </c>
      <c r="HZ83" s="11" t="s">
        <v>394</v>
      </c>
      <c r="IA83" s="11" t="s">
        <v>1791</v>
      </c>
      <c r="IB83" s="11" t="s">
        <v>396</v>
      </c>
      <c r="IC83" s="11" t="s">
        <v>1792</v>
      </c>
      <c r="ID83" s="11" t="s">
        <v>334</v>
      </c>
      <c r="IE83" s="11" t="s">
        <v>478</v>
      </c>
      <c r="IF83" s="11" t="s">
        <v>320</v>
      </c>
      <c r="IG83" s="11" t="s">
        <v>319</v>
      </c>
      <c r="IH83" s="11" t="s">
        <v>320</v>
      </c>
      <c r="II83" s="11" t="s">
        <v>319</v>
      </c>
      <c r="IJ83" s="12" t="str">
        <f t="shared" si="44"/>
        <v>3. Responsive</v>
      </c>
      <c r="IK83" s="12">
        <f t="shared" si="45"/>
        <v>2</v>
      </c>
      <c r="IL83" s="11" t="s">
        <v>336</v>
      </c>
      <c r="IM83" s="11" t="s">
        <v>320</v>
      </c>
      <c r="IN83" s="11" t="s">
        <v>320</v>
      </c>
      <c r="IO83" s="11" t="s">
        <v>320</v>
      </c>
      <c r="IP83" s="11" t="s">
        <v>320</v>
      </c>
      <c r="IQ83" s="12" t="str">
        <f t="shared" si="46"/>
        <v>2. Accommodating</v>
      </c>
      <c r="IR83" s="12">
        <f t="shared" si="47"/>
        <v>4</v>
      </c>
      <c r="IS83" s="11" t="s">
        <v>337</v>
      </c>
      <c r="IT83" s="11" t="s">
        <v>320</v>
      </c>
      <c r="IU83" s="11" t="s">
        <v>320</v>
      </c>
      <c r="IV83" s="11" t="s">
        <v>320</v>
      </c>
      <c r="IW83" s="11" t="str">
        <f t="shared" si="48"/>
        <v>2. Sensitive</v>
      </c>
      <c r="IX83" s="12">
        <f t="shared" si="49"/>
        <v>3</v>
      </c>
      <c r="IY83" s="11" t="s">
        <v>419</v>
      </c>
      <c r="IZ83" s="11" t="s">
        <v>527</v>
      </c>
      <c r="JA83" s="11">
        <v>3</v>
      </c>
      <c r="JB83" s="11" t="s">
        <v>433</v>
      </c>
      <c r="JC83" s="11" t="s">
        <v>687</v>
      </c>
      <c r="JD83" s="11" t="s">
        <v>1113</v>
      </c>
      <c r="JE83" s="11" t="s">
        <v>340</v>
      </c>
      <c r="JF83" s="11" t="s">
        <v>1793</v>
      </c>
      <c r="JG83" s="11" t="s">
        <v>1794</v>
      </c>
      <c r="JH83" s="11" t="s">
        <v>1795</v>
      </c>
      <c r="JI83" s="11" t="s">
        <v>1796</v>
      </c>
      <c r="JK83" s="11" t="s">
        <v>1797</v>
      </c>
      <c r="JL83" s="11" t="s">
        <v>1798</v>
      </c>
      <c r="JM83" s="11" t="s">
        <v>1799</v>
      </c>
      <c r="JO83" s="11" t="s">
        <v>1800</v>
      </c>
      <c r="JP83" s="15">
        <f t="shared" si="50"/>
        <v>150</v>
      </c>
      <c r="JQ83" s="15">
        <f t="shared" si="51"/>
        <v>550</v>
      </c>
      <c r="JR83" s="279">
        <f t="shared" si="52"/>
        <v>3.6666666666666665</v>
      </c>
      <c r="JS83" s="17">
        <f t="shared" si="53"/>
        <v>0.66666666666666663</v>
      </c>
      <c r="JT83" s="18">
        <f t="shared" si="54"/>
        <v>0.72727272727272729</v>
      </c>
      <c r="JU83" s="280">
        <f t="shared" si="55"/>
        <v>100</v>
      </c>
      <c r="JV83" s="280">
        <f t="shared" si="56"/>
        <v>400</v>
      </c>
      <c r="JW83" s="319" t="str">
        <f t="shared" si="57"/>
        <v/>
      </c>
      <c r="JX83" s="15">
        <f t="shared" si="58"/>
        <v>0</v>
      </c>
      <c r="JY83" s="15">
        <f t="shared" si="59"/>
        <v>0</v>
      </c>
      <c r="JZ83" s="19" t="str">
        <f t="shared" si="60"/>
        <v/>
      </c>
      <c r="KA83" s="52">
        <f t="shared" si="61"/>
        <v>1</v>
      </c>
      <c r="KB83" s="15">
        <f t="shared" si="62"/>
        <v>120</v>
      </c>
      <c r="KC83" s="15">
        <f t="shared" si="63"/>
        <v>500</v>
      </c>
      <c r="KD83" s="20">
        <f t="shared" si="64"/>
        <v>4.166666666666667</v>
      </c>
      <c r="KE83" s="52" t="str">
        <f t="shared" si="65"/>
        <v/>
      </c>
      <c r="KF83" s="15">
        <f t="shared" si="66"/>
        <v>0</v>
      </c>
      <c r="KG83" s="15">
        <f t="shared" si="67"/>
        <v>0</v>
      </c>
      <c r="KH83" s="21" t="str">
        <f t="shared" si="68"/>
        <v/>
      </c>
      <c r="KI83" s="52" t="str">
        <f t="shared" si="69"/>
        <v/>
      </c>
      <c r="KJ83" s="15">
        <f t="shared" si="70"/>
        <v>0</v>
      </c>
      <c r="KK83" s="15">
        <f t="shared" si="71"/>
        <v>0</v>
      </c>
      <c r="KL83" s="19" t="str">
        <f t="shared" si="72"/>
        <v/>
      </c>
      <c r="KM83" s="52">
        <f t="shared" si="73"/>
        <v>1</v>
      </c>
      <c r="KN83" s="22">
        <f t="shared" si="74"/>
        <v>80</v>
      </c>
      <c r="KO83" s="22">
        <f t="shared" si="75"/>
        <v>500</v>
      </c>
      <c r="KP83" s="19">
        <f t="shared" si="76"/>
        <v>6.25</v>
      </c>
      <c r="KQ83" s="11" t="str">
        <f t="shared" si="77"/>
        <v>3. Responsive</v>
      </c>
      <c r="KR83" s="11" t="str">
        <f t="shared" si="78"/>
        <v>2. Accommodating</v>
      </c>
      <c r="KS83" s="11" t="str">
        <f t="shared" si="79"/>
        <v>2. Sensitive</v>
      </c>
      <c r="KT83" s="11" t="str">
        <f t="shared" si="80"/>
        <v>It tested new ways for fighting poverty, but did not measure results of innovation</v>
      </c>
      <c r="KU83" s="11" t="str">
        <f t="shared" si="81"/>
        <v>Moderate advocacy</v>
      </c>
      <c r="KV83" s="11" t="str">
        <f t="shared" si="82"/>
        <v>It linked and worked with strategic alliances and partners to take tested and effective solutions to scale</v>
      </c>
      <c r="KW83" s="11" t="str">
        <f t="shared" si="83"/>
        <v>Bosnia and Herzegovina - Inclusive Economic Growth and Employment Generation in Eastern Bosnia and Herzegovina – Birac Region</v>
      </c>
      <c r="KX83" s="11" t="str">
        <f t="shared" si="84"/>
        <v>Inclusive Economic Growth and Employment Generation in Eastern Bosnia and Herzegovina – Birac Region</v>
      </c>
      <c r="KY83" s="11" t="str">
        <f t="shared" si="85"/>
        <v>Bosnia and Herzegovina</v>
      </c>
      <c r="KZ83" s="12">
        <v>83</v>
      </c>
    </row>
    <row r="84" spans="1:312" x14ac:dyDescent="0.3">
      <c r="A84" s="11" t="s">
        <v>1735</v>
      </c>
      <c r="B84" s="11" t="s">
        <v>602</v>
      </c>
      <c r="C84" s="11">
        <v>2806</v>
      </c>
      <c r="D84" s="11" t="s">
        <v>603</v>
      </c>
      <c r="E84" s="24" t="str">
        <f t="shared" si="43"/>
        <v>Bosnia and Herzegovina</v>
      </c>
      <c r="F84" s="11" t="s">
        <v>604</v>
      </c>
      <c r="G84" s="11" t="s">
        <v>605</v>
      </c>
      <c r="H84" s="11" t="s">
        <v>310</v>
      </c>
      <c r="I84" s="11" t="s">
        <v>606</v>
      </c>
      <c r="J84" s="278" t="s">
        <v>792</v>
      </c>
      <c r="K84" s="11" t="s">
        <v>607</v>
      </c>
      <c r="L84" s="11" t="s">
        <v>608</v>
      </c>
      <c r="M84" s="11" t="s">
        <v>383</v>
      </c>
      <c r="N84" s="11" t="s">
        <v>384</v>
      </c>
      <c r="O84" s="278" t="s">
        <v>8164</v>
      </c>
      <c r="R84" s="11" t="s">
        <v>383</v>
      </c>
      <c r="S84" s="11" t="s">
        <v>384</v>
      </c>
      <c r="BD84" s="23">
        <v>41609</v>
      </c>
      <c r="BE84" s="23">
        <v>42704</v>
      </c>
      <c r="BG84" s="11" t="s">
        <v>609</v>
      </c>
      <c r="BH84" s="22">
        <v>1471221</v>
      </c>
      <c r="BI84" s="11" t="s">
        <v>610</v>
      </c>
      <c r="BJ84" s="11" t="s">
        <v>611</v>
      </c>
      <c r="BK84" s="11" t="s">
        <v>612</v>
      </c>
      <c r="BL84" s="11" t="s">
        <v>1739</v>
      </c>
      <c r="BM84" s="11" t="s">
        <v>354</v>
      </c>
      <c r="BN84" s="11" t="s">
        <v>613</v>
      </c>
      <c r="BO84" s="12" t="s">
        <v>319</v>
      </c>
      <c r="BP84" s="12" t="s">
        <v>320</v>
      </c>
      <c r="BQ84" s="12" t="s">
        <v>319</v>
      </c>
      <c r="BR84" s="11" t="s">
        <v>1801</v>
      </c>
      <c r="BS84" s="11" t="s">
        <v>615</v>
      </c>
      <c r="BT84" s="11" t="s">
        <v>616</v>
      </c>
      <c r="BU84" s="11" t="s">
        <v>617</v>
      </c>
      <c r="BV84" s="22">
        <v>31</v>
      </c>
      <c r="BW84" s="22">
        <v>123</v>
      </c>
      <c r="BX84" s="22">
        <v>154</v>
      </c>
      <c r="BY84" s="22">
        <v>1000</v>
      </c>
      <c r="BZ84" s="22">
        <v>4400</v>
      </c>
      <c r="CA84" s="22">
        <v>5400</v>
      </c>
      <c r="CB84" s="15" t="s">
        <v>618</v>
      </c>
      <c r="CL84" s="18"/>
      <c r="CP84" s="18"/>
      <c r="CT84" s="18"/>
      <c r="CX84" s="18"/>
      <c r="DB84" s="18"/>
      <c r="DF84" s="18"/>
      <c r="DJ84" s="18"/>
      <c r="DN84" s="18"/>
      <c r="DR84" s="18"/>
      <c r="DV84" s="18"/>
      <c r="DZ84" s="18"/>
      <c r="ED84" s="18"/>
      <c r="EI84" s="18"/>
      <c r="EK84" s="22">
        <v>378</v>
      </c>
      <c r="EL84" s="22">
        <v>869</v>
      </c>
      <c r="EM84" s="22">
        <v>1247</v>
      </c>
      <c r="EN84" s="22">
        <v>2117</v>
      </c>
      <c r="EO84" s="22">
        <v>2852</v>
      </c>
      <c r="EP84" s="22">
        <v>4969</v>
      </c>
      <c r="ES84" s="18"/>
      <c r="EW84" s="18"/>
      <c r="FA84" s="18"/>
      <c r="FE84" s="18"/>
      <c r="FI84" s="18"/>
      <c r="FK84" s="12" t="s">
        <v>320</v>
      </c>
      <c r="FL84" s="22">
        <v>1247</v>
      </c>
      <c r="FM84" s="18">
        <v>0.3</v>
      </c>
      <c r="FQ84" s="18"/>
      <c r="FS84" s="12" t="s">
        <v>320</v>
      </c>
      <c r="FT84" s="22">
        <v>1247</v>
      </c>
      <c r="FU84" s="18"/>
      <c r="FV84" s="22">
        <v>4969</v>
      </c>
      <c r="FW84" s="11" t="s">
        <v>320</v>
      </c>
      <c r="FX84" s="22">
        <v>1247</v>
      </c>
      <c r="FY84" s="18"/>
      <c r="FZ84" s="22">
        <v>4969</v>
      </c>
      <c r="GC84" s="18"/>
      <c r="GG84" s="18"/>
      <c r="GK84" s="18"/>
      <c r="GO84" s="18"/>
      <c r="GQ84" s="12" t="s">
        <v>320</v>
      </c>
      <c r="GR84" s="22">
        <v>1247</v>
      </c>
      <c r="GS84" s="18">
        <v>0.3</v>
      </c>
      <c r="GW84" s="18"/>
      <c r="HA84" s="18"/>
      <c r="HF84" s="18"/>
      <c r="HH84" s="11" t="s">
        <v>319</v>
      </c>
      <c r="HK84" s="11" t="s">
        <v>320</v>
      </c>
      <c r="HL84" s="11" t="s">
        <v>319</v>
      </c>
      <c r="HO84" s="11" t="s">
        <v>620</v>
      </c>
      <c r="HP84" s="11" t="s">
        <v>453</v>
      </c>
      <c r="HZ84" s="11" t="s">
        <v>394</v>
      </c>
      <c r="IA84" s="11" t="s">
        <v>1802</v>
      </c>
      <c r="IB84" s="11" t="s">
        <v>396</v>
      </c>
      <c r="IC84" s="11" t="s">
        <v>1803</v>
      </c>
      <c r="ID84" s="11" t="s">
        <v>477</v>
      </c>
      <c r="IE84" s="11" t="s">
        <v>478</v>
      </c>
      <c r="IF84" s="11" t="s">
        <v>320</v>
      </c>
      <c r="IG84" s="11" t="s">
        <v>320</v>
      </c>
      <c r="IH84" s="11" t="s">
        <v>320</v>
      </c>
      <c r="II84" s="11" t="s">
        <v>320</v>
      </c>
      <c r="IJ84" s="12" t="str">
        <f t="shared" si="44"/>
        <v>4. Transformative</v>
      </c>
      <c r="IK84" s="12">
        <f t="shared" si="45"/>
        <v>4</v>
      </c>
      <c r="IL84" s="11" t="s">
        <v>621</v>
      </c>
      <c r="IM84" s="11" t="s">
        <v>320</v>
      </c>
      <c r="IN84" s="11" t="s">
        <v>320</v>
      </c>
      <c r="IO84" s="11" t="s">
        <v>320</v>
      </c>
      <c r="IP84" s="11" t="s">
        <v>320</v>
      </c>
      <c r="IQ84" s="12" t="str">
        <f t="shared" si="46"/>
        <v>4. Transformational</v>
      </c>
      <c r="IR84" s="12">
        <f t="shared" si="47"/>
        <v>4</v>
      </c>
      <c r="IS84" s="11" t="s">
        <v>622</v>
      </c>
      <c r="IT84" s="11" t="s">
        <v>320</v>
      </c>
      <c r="IU84" s="11" t="s">
        <v>320</v>
      </c>
      <c r="IV84" s="11" t="s">
        <v>320</v>
      </c>
      <c r="IW84" s="11" t="str">
        <f t="shared" si="48"/>
        <v>4. Transformative</v>
      </c>
      <c r="IX84" s="12">
        <f t="shared" si="49"/>
        <v>3</v>
      </c>
      <c r="IY84" s="11" t="s">
        <v>338</v>
      </c>
      <c r="IZ84" s="11" t="s">
        <v>527</v>
      </c>
      <c r="JA84" s="11">
        <v>13</v>
      </c>
      <c r="JB84" s="11" t="s">
        <v>433</v>
      </c>
      <c r="JC84" s="11" t="s">
        <v>623</v>
      </c>
      <c r="JD84" s="11" t="s">
        <v>624</v>
      </c>
      <c r="JE84" s="11" t="s">
        <v>340</v>
      </c>
      <c r="JF84" s="11" t="s">
        <v>1804</v>
      </c>
      <c r="JG84" s="11" t="s">
        <v>626</v>
      </c>
      <c r="JH84" s="11" t="s">
        <v>1748</v>
      </c>
      <c r="JI84" s="11" t="s">
        <v>1805</v>
      </c>
      <c r="JJ84" s="11" t="s">
        <v>629</v>
      </c>
      <c r="JK84" s="11" t="s">
        <v>1750</v>
      </c>
      <c r="JL84" s="11" t="s">
        <v>1751</v>
      </c>
      <c r="JM84" s="11" t="s">
        <v>1752</v>
      </c>
      <c r="JN84" s="11" t="s">
        <v>1753</v>
      </c>
      <c r="JO84" s="11" t="s">
        <v>634</v>
      </c>
      <c r="JP84" s="15">
        <f t="shared" si="50"/>
        <v>1247</v>
      </c>
      <c r="JQ84" s="15">
        <f t="shared" si="51"/>
        <v>4969</v>
      </c>
      <c r="JR84" s="279">
        <f t="shared" si="52"/>
        <v>3.9847634322373695</v>
      </c>
      <c r="JS84" s="17">
        <f t="shared" si="53"/>
        <v>0.30312750601443467</v>
      </c>
      <c r="JT84" s="18">
        <f t="shared" si="54"/>
        <v>0.42604145703360835</v>
      </c>
      <c r="JU84" s="280">
        <f t="shared" si="55"/>
        <v>378</v>
      </c>
      <c r="JV84" s="280">
        <f t="shared" si="56"/>
        <v>2117</v>
      </c>
      <c r="JW84" s="319" t="str">
        <f t="shared" si="57"/>
        <v/>
      </c>
      <c r="JX84" s="15">
        <f t="shared" si="58"/>
        <v>0</v>
      </c>
      <c r="JY84" s="15">
        <f t="shared" si="59"/>
        <v>0</v>
      </c>
      <c r="JZ84" s="19" t="str">
        <f t="shared" si="60"/>
        <v/>
      </c>
      <c r="KA84" s="52" t="str">
        <f t="shared" si="61"/>
        <v/>
      </c>
      <c r="KB84" s="15">
        <f t="shared" si="62"/>
        <v>0</v>
      </c>
      <c r="KC84" s="15">
        <f t="shared" si="63"/>
        <v>0</v>
      </c>
      <c r="KD84" s="20" t="str">
        <f t="shared" si="64"/>
        <v/>
      </c>
      <c r="KE84" s="52">
        <f t="shared" si="65"/>
        <v>1</v>
      </c>
      <c r="KF84" s="15">
        <f t="shared" si="66"/>
        <v>1247</v>
      </c>
      <c r="KG84" s="15">
        <f t="shared" si="67"/>
        <v>0</v>
      </c>
      <c r="KH84" s="21">
        <f t="shared" si="68"/>
        <v>0</v>
      </c>
      <c r="KI84" s="52">
        <f t="shared" si="69"/>
        <v>1</v>
      </c>
      <c r="KJ84" s="15">
        <f t="shared" si="70"/>
        <v>1247</v>
      </c>
      <c r="KK84" s="15">
        <f t="shared" si="71"/>
        <v>4969</v>
      </c>
      <c r="KL84" s="19">
        <f t="shared" si="72"/>
        <v>3.9847634322373695</v>
      </c>
      <c r="KM84" s="52" t="str">
        <f t="shared" si="73"/>
        <v/>
      </c>
      <c r="KN84" s="22">
        <f t="shared" si="74"/>
        <v>0</v>
      </c>
      <c r="KO84" s="22">
        <f t="shared" si="75"/>
        <v>0</v>
      </c>
      <c r="KP84" s="19" t="str">
        <f t="shared" si="76"/>
        <v/>
      </c>
      <c r="KQ84" s="11" t="str">
        <f t="shared" si="77"/>
        <v>4. Transformative</v>
      </c>
      <c r="KR84" s="11" t="str">
        <f t="shared" si="78"/>
        <v>4. Transformational</v>
      </c>
      <c r="KS84" s="11" t="str">
        <f t="shared" si="79"/>
        <v>4. Transformative</v>
      </c>
      <c r="KT84" s="11" t="str">
        <f t="shared" si="80"/>
        <v>It tested new ways for fighting poverty, but did not measure results of innovation</v>
      </c>
      <c r="KU84" s="11" t="str">
        <f t="shared" si="81"/>
        <v>Intensive advocacy</v>
      </c>
      <c r="KV84" s="11" t="str">
        <f t="shared" si="82"/>
        <v>It linked and worked with strategic alliances and partners to take tested and effective solutions to scale</v>
      </c>
      <c r="KW84" s="11" t="str">
        <f t="shared" si="83"/>
        <v>Bosnia and Herzegovina - The Boys and Men as Allies in Violence Prevention and Gender Transformation in the Western Balkans</v>
      </c>
      <c r="KX84" s="11" t="str">
        <f t="shared" si="84"/>
        <v>The Boys and Men as Allies in Violence Prevention and Gender Transformation in the Western Balkans</v>
      </c>
      <c r="KY84" s="11" t="str">
        <f t="shared" si="85"/>
        <v>Bosnia and Herzegovina</v>
      </c>
      <c r="KZ84" s="12">
        <v>84</v>
      </c>
    </row>
    <row r="85" spans="1:312" x14ac:dyDescent="0.3">
      <c r="A85" s="11" t="s">
        <v>1735</v>
      </c>
      <c r="B85" s="11" t="s">
        <v>602</v>
      </c>
      <c r="C85" s="11">
        <v>2803</v>
      </c>
      <c r="D85" s="11" t="s">
        <v>1806</v>
      </c>
      <c r="E85" s="24" t="str">
        <f t="shared" si="43"/>
        <v>Bosnia and Herzegovina</v>
      </c>
      <c r="F85" s="11" t="s">
        <v>1807</v>
      </c>
      <c r="G85" s="11" t="s">
        <v>605</v>
      </c>
      <c r="H85" s="11" t="s">
        <v>310</v>
      </c>
      <c r="I85" s="11" t="s">
        <v>606</v>
      </c>
      <c r="J85" s="278" t="s">
        <v>792</v>
      </c>
      <c r="K85" s="11" t="s">
        <v>1808</v>
      </c>
      <c r="L85" s="11" t="s">
        <v>605</v>
      </c>
      <c r="M85" s="11" t="s">
        <v>383</v>
      </c>
      <c r="N85" s="11" t="s">
        <v>384</v>
      </c>
      <c r="O85" s="278" t="s">
        <v>8164</v>
      </c>
      <c r="Q85" s="11" t="s">
        <v>605</v>
      </c>
      <c r="R85" s="11" t="s">
        <v>384</v>
      </c>
      <c r="S85" s="11" t="s">
        <v>384</v>
      </c>
      <c r="T85" s="11" t="s">
        <v>793</v>
      </c>
      <c r="BD85" s="23">
        <v>41791</v>
      </c>
      <c r="BE85" s="23">
        <v>42886</v>
      </c>
      <c r="BF85" s="23">
        <v>42978</v>
      </c>
      <c r="BG85" s="11" t="s">
        <v>350</v>
      </c>
      <c r="BH85" s="22">
        <v>419098.75</v>
      </c>
      <c r="BI85" s="11" t="s">
        <v>1809</v>
      </c>
      <c r="BJ85" s="11" t="s">
        <v>354</v>
      </c>
      <c r="BK85" s="11" t="s">
        <v>1810</v>
      </c>
      <c r="BL85" s="11" t="s">
        <v>1782</v>
      </c>
      <c r="BM85" s="11" t="s">
        <v>1783</v>
      </c>
      <c r="BN85" s="11" t="s">
        <v>1784</v>
      </c>
      <c r="BO85" s="12" t="s">
        <v>319</v>
      </c>
      <c r="BP85" s="12" t="s">
        <v>320</v>
      </c>
      <c r="BQ85" s="12" t="s">
        <v>319</v>
      </c>
      <c r="BR85" s="11" t="s">
        <v>1811</v>
      </c>
      <c r="BS85" s="11" t="s">
        <v>322</v>
      </c>
      <c r="BT85" s="11" t="s">
        <v>1812</v>
      </c>
      <c r="BU85" s="11" t="s">
        <v>1813</v>
      </c>
      <c r="BV85" s="22">
        <v>1100</v>
      </c>
      <c r="BW85" s="22">
        <v>300</v>
      </c>
      <c r="BX85" s="22">
        <v>1400</v>
      </c>
      <c r="BY85" s="22">
        <v>1500</v>
      </c>
      <c r="BZ85" s="22">
        <v>400</v>
      </c>
      <c r="CA85" s="22">
        <v>1900</v>
      </c>
      <c r="CB85" s="15" t="s">
        <v>1814</v>
      </c>
      <c r="CL85" s="18"/>
      <c r="CP85" s="18"/>
      <c r="CT85" s="18"/>
      <c r="CX85" s="18"/>
      <c r="DB85" s="18"/>
      <c r="DF85" s="18"/>
      <c r="DJ85" s="18"/>
      <c r="DN85" s="18"/>
      <c r="DR85" s="18"/>
      <c r="DV85" s="18"/>
      <c r="DZ85" s="18"/>
      <c r="ED85" s="18"/>
      <c r="EI85" s="18"/>
      <c r="EK85" s="22">
        <v>100</v>
      </c>
      <c r="EL85" s="22">
        <v>0</v>
      </c>
      <c r="EM85" s="22">
        <v>100</v>
      </c>
      <c r="EN85" s="22">
        <v>1350</v>
      </c>
      <c r="EO85" s="22">
        <v>400</v>
      </c>
      <c r="EP85" s="22">
        <v>1750</v>
      </c>
      <c r="EQ85" s="12" t="s">
        <v>320</v>
      </c>
      <c r="ER85" s="22">
        <v>80</v>
      </c>
      <c r="ES85" s="18">
        <v>0.8</v>
      </c>
      <c r="ET85" s="22">
        <v>1150</v>
      </c>
      <c r="EW85" s="18"/>
      <c r="FA85" s="18"/>
      <c r="FE85" s="18"/>
      <c r="FG85" s="12" t="s">
        <v>320</v>
      </c>
      <c r="FH85" s="22">
        <v>100</v>
      </c>
      <c r="FI85" s="18">
        <v>1</v>
      </c>
      <c r="FJ85" s="22">
        <v>1750</v>
      </c>
      <c r="FK85" s="12" t="s">
        <v>320</v>
      </c>
      <c r="FL85" s="22">
        <v>40</v>
      </c>
      <c r="FM85" s="18">
        <v>0.4</v>
      </c>
      <c r="FN85" s="22">
        <v>250</v>
      </c>
      <c r="FO85" s="12" t="s">
        <v>320</v>
      </c>
      <c r="FP85" s="22">
        <v>40</v>
      </c>
      <c r="FQ85" s="18">
        <v>1</v>
      </c>
      <c r="FR85" s="22">
        <v>150</v>
      </c>
      <c r="FS85" s="12" t="s">
        <v>320</v>
      </c>
      <c r="FT85" s="22">
        <v>40</v>
      </c>
      <c r="FU85" s="18">
        <v>1</v>
      </c>
      <c r="FV85" s="22">
        <v>100</v>
      </c>
      <c r="FY85" s="18"/>
      <c r="GC85" s="18"/>
      <c r="GG85" s="18"/>
      <c r="GK85" s="18"/>
      <c r="GO85" s="18"/>
      <c r="GS85" s="18"/>
      <c r="GW85" s="18"/>
      <c r="GY85" s="11" t="s">
        <v>320</v>
      </c>
      <c r="GZ85" s="22">
        <v>100</v>
      </c>
      <c r="HA85" s="18">
        <v>1</v>
      </c>
      <c r="HB85" s="22">
        <v>1750</v>
      </c>
      <c r="HF85" s="18"/>
      <c r="HH85" s="11" t="s">
        <v>319</v>
      </c>
      <c r="HK85" s="11" t="s">
        <v>319</v>
      </c>
      <c r="HL85" s="11" t="s">
        <v>320</v>
      </c>
      <c r="HM85" s="11" t="s">
        <v>619</v>
      </c>
      <c r="HN85" s="11">
        <v>2017</v>
      </c>
      <c r="HP85" s="11" t="s">
        <v>330</v>
      </c>
      <c r="HQ85" s="11" t="s">
        <v>320</v>
      </c>
      <c r="HS85" s="11" t="s">
        <v>320</v>
      </c>
      <c r="HT85" s="11" t="s">
        <v>319</v>
      </c>
      <c r="HU85" s="11" t="s">
        <v>319</v>
      </c>
      <c r="HV85" s="11" t="s">
        <v>319</v>
      </c>
      <c r="HW85" s="11" t="s">
        <v>319</v>
      </c>
      <c r="HZ85" s="11" t="s">
        <v>394</v>
      </c>
      <c r="IA85" s="11" t="s">
        <v>1815</v>
      </c>
      <c r="IB85" s="11" t="s">
        <v>396</v>
      </c>
      <c r="IC85" s="11" t="s">
        <v>1816</v>
      </c>
      <c r="ID85" s="11" t="s">
        <v>334</v>
      </c>
      <c r="IE85" s="11" t="s">
        <v>478</v>
      </c>
      <c r="IF85" s="11" t="s">
        <v>320</v>
      </c>
      <c r="IG85" s="11" t="s">
        <v>320</v>
      </c>
      <c r="IH85" s="11" t="s">
        <v>320</v>
      </c>
      <c r="II85" s="11" t="s">
        <v>319</v>
      </c>
      <c r="IJ85" s="12" t="str">
        <f t="shared" si="44"/>
        <v>3. Responsive</v>
      </c>
      <c r="IK85" s="12">
        <f t="shared" si="45"/>
        <v>3</v>
      </c>
      <c r="IL85" s="11" t="s">
        <v>621</v>
      </c>
      <c r="IM85" s="11" t="s">
        <v>320</v>
      </c>
      <c r="IN85" s="11" t="s">
        <v>319</v>
      </c>
      <c r="IO85" s="11" t="s">
        <v>320</v>
      </c>
      <c r="IP85" s="11" t="s">
        <v>319</v>
      </c>
      <c r="IQ85" s="12" t="str">
        <f t="shared" si="46"/>
        <v>3. Responsive</v>
      </c>
      <c r="IR85" s="12">
        <f t="shared" si="47"/>
        <v>2</v>
      </c>
      <c r="IS85" s="11" t="s">
        <v>337</v>
      </c>
      <c r="IT85" s="11" t="s">
        <v>320</v>
      </c>
      <c r="IU85" s="11" t="s">
        <v>319</v>
      </c>
      <c r="IV85" s="11" t="s">
        <v>320</v>
      </c>
      <c r="IW85" s="11" t="str">
        <f t="shared" si="48"/>
        <v>1. Neutral</v>
      </c>
      <c r="IX85" s="12">
        <f t="shared" si="49"/>
        <v>2</v>
      </c>
      <c r="IY85" s="11" t="s">
        <v>338</v>
      </c>
      <c r="IZ85" s="11" t="s">
        <v>457</v>
      </c>
      <c r="JA85" s="11">
        <v>6</v>
      </c>
      <c r="JB85" s="11" t="s">
        <v>624</v>
      </c>
      <c r="JC85" s="11" t="s">
        <v>433</v>
      </c>
      <c r="JD85" s="12" t="s">
        <v>651</v>
      </c>
      <c r="JE85" s="11" t="s">
        <v>340</v>
      </c>
      <c r="JF85" s="11" t="s">
        <v>1817</v>
      </c>
      <c r="JG85" s="11" t="s">
        <v>1818</v>
      </c>
      <c r="JH85" s="11" t="s">
        <v>1819</v>
      </c>
      <c r="JI85" s="11" t="s">
        <v>1820</v>
      </c>
      <c r="JJ85" s="11" t="s">
        <v>1821</v>
      </c>
      <c r="JK85" s="11" t="s">
        <v>1822</v>
      </c>
      <c r="JL85" s="11" t="s">
        <v>1823</v>
      </c>
      <c r="JM85" s="11" t="s">
        <v>1824</v>
      </c>
      <c r="JN85" s="11" t="s">
        <v>1825</v>
      </c>
      <c r="JO85" s="11" t="s">
        <v>1826</v>
      </c>
      <c r="JP85" s="15">
        <f t="shared" si="50"/>
        <v>100</v>
      </c>
      <c r="JQ85" s="15">
        <f t="shared" si="51"/>
        <v>1750</v>
      </c>
      <c r="JR85" s="279">
        <f t="shared" si="52"/>
        <v>17.5</v>
      </c>
      <c r="JS85" s="17">
        <f t="shared" si="53"/>
        <v>1</v>
      </c>
      <c r="JT85" s="18">
        <f t="shared" si="54"/>
        <v>0.77142857142857146</v>
      </c>
      <c r="JU85" s="280">
        <f t="shared" si="55"/>
        <v>100</v>
      </c>
      <c r="JV85" s="280">
        <f t="shared" si="56"/>
        <v>1350</v>
      </c>
      <c r="JW85" s="319" t="str">
        <f t="shared" si="57"/>
        <v/>
      </c>
      <c r="JX85" s="15">
        <f t="shared" si="58"/>
        <v>0</v>
      </c>
      <c r="JY85" s="15">
        <f t="shared" si="59"/>
        <v>0</v>
      </c>
      <c r="JZ85" s="19" t="str">
        <f t="shared" si="60"/>
        <v/>
      </c>
      <c r="KA85" s="52">
        <f t="shared" si="61"/>
        <v>1</v>
      </c>
      <c r="KB85" s="15">
        <f t="shared" si="62"/>
        <v>100</v>
      </c>
      <c r="KC85" s="15">
        <f t="shared" si="63"/>
        <v>1750</v>
      </c>
      <c r="KD85" s="20">
        <f t="shared" si="64"/>
        <v>17.5</v>
      </c>
      <c r="KE85" s="52" t="str">
        <f t="shared" si="65"/>
        <v/>
      </c>
      <c r="KF85" s="15">
        <f t="shared" si="66"/>
        <v>0</v>
      </c>
      <c r="KG85" s="15">
        <f t="shared" si="67"/>
        <v>0</v>
      </c>
      <c r="KH85" s="21" t="str">
        <f t="shared" si="68"/>
        <v/>
      </c>
      <c r="KI85" s="52">
        <f t="shared" si="69"/>
        <v>1</v>
      </c>
      <c r="KJ85" s="15">
        <f t="shared" si="70"/>
        <v>40</v>
      </c>
      <c r="KK85" s="15">
        <f t="shared" si="71"/>
        <v>100</v>
      </c>
      <c r="KL85" s="19">
        <f t="shared" si="72"/>
        <v>2.5</v>
      </c>
      <c r="KM85" s="52">
        <f t="shared" si="73"/>
        <v>1</v>
      </c>
      <c r="KN85" s="22">
        <f t="shared" si="74"/>
        <v>100</v>
      </c>
      <c r="KO85" s="22">
        <f t="shared" si="75"/>
        <v>1750</v>
      </c>
      <c r="KP85" s="19">
        <f t="shared" si="76"/>
        <v>17.5</v>
      </c>
      <c r="KQ85" s="11" t="str">
        <f t="shared" si="77"/>
        <v>3. Responsive</v>
      </c>
      <c r="KR85" s="11" t="str">
        <f t="shared" si="78"/>
        <v>3. Responsive</v>
      </c>
      <c r="KS85" s="11" t="str">
        <f t="shared" si="79"/>
        <v>1. Neutral</v>
      </c>
      <c r="KT85" s="11" t="str">
        <f t="shared" si="80"/>
        <v>It tested new ways for fighting poverty, but did not measure results of innovation</v>
      </c>
      <c r="KU85" s="11" t="str">
        <f t="shared" si="81"/>
        <v>Moderate advocacy</v>
      </c>
      <c r="KV85" s="11" t="str">
        <f t="shared" si="82"/>
        <v>It linked and worked with strategic alliances and partners to take tested and effective solutions to scale</v>
      </c>
      <c r="KW85" s="11" t="str">
        <f t="shared" si="83"/>
        <v>Bosnia and Herzegovina - Women's economic empowerment (WEE)</v>
      </c>
      <c r="KX85" s="11" t="str">
        <f t="shared" si="84"/>
        <v>Women's economic empowerment (WEE)</v>
      </c>
      <c r="KY85" s="11" t="str">
        <f t="shared" si="85"/>
        <v>Bosnia and Herzegovina</v>
      </c>
      <c r="KZ85" s="12">
        <v>85</v>
      </c>
    </row>
    <row r="86" spans="1:312" x14ac:dyDescent="0.3">
      <c r="A86" s="11" t="s">
        <v>1735</v>
      </c>
      <c r="B86" s="11" t="s">
        <v>602</v>
      </c>
      <c r="C86" s="11">
        <v>2805</v>
      </c>
      <c r="D86" s="11" t="s">
        <v>1736</v>
      </c>
      <c r="E86" s="24" t="str">
        <f t="shared" si="43"/>
        <v>Bosnia and Herzegovina</v>
      </c>
      <c r="F86" s="11" t="s">
        <v>1737</v>
      </c>
      <c r="G86" s="11" t="s">
        <v>1738</v>
      </c>
      <c r="H86" s="11" t="s">
        <v>310</v>
      </c>
      <c r="I86" s="11" t="s">
        <v>1285</v>
      </c>
      <c r="J86" s="281" t="s">
        <v>1334</v>
      </c>
      <c r="BD86" s="23">
        <v>41883</v>
      </c>
      <c r="BE86" s="23">
        <v>42978</v>
      </c>
      <c r="BF86" s="23">
        <v>43039</v>
      </c>
      <c r="BG86" s="11" t="s">
        <v>609</v>
      </c>
      <c r="BH86" s="22">
        <v>641003</v>
      </c>
      <c r="BI86" s="11" t="s">
        <v>610</v>
      </c>
      <c r="BJ86" s="11" t="s">
        <v>611</v>
      </c>
      <c r="BK86" s="11" t="s">
        <v>612</v>
      </c>
      <c r="BL86" s="11" t="s">
        <v>1739</v>
      </c>
      <c r="BM86" s="11" t="s">
        <v>354</v>
      </c>
      <c r="BN86" s="11" t="s">
        <v>613</v>
      </c>
      <c r="BO86" s="11" t="s">
        <v>319</v>
      </c>
      <c r="BP86" s="11" t="s">
        <v>320</v>
      </c>
      <c r="BQ86" s="11" t="s">
        <v>319</v>
      </c>
      <c r="BR86" s="11" t="s">
        <v>1740</v>
      </c>
      <c r="BS86" s="11" t="s">
        <v>322</v>
      </c>
      <c r="BT86" s="11" t="s">
        <v>1741</v>
      </c>
      <c r="BU86" s="11" t="s">
        <v>1742</v>
      </c>
      <c r="BV86" s="22">
        <v>1500</v>
      </c>
      <c r="BW86" s="22">
        <v>3500</v>
      </c>
      <c r="BX86" s="22">
        <v>5000</v>
      </c>
      <c r="BY86" s="22">
        <v>20000</v>
      </c>
      <c r="BZ86" s="22">
        <v>30000</v>
      </c>
      <c r="CA86" s="22">
        <v>50000</v>
      </c>
      <c r="CB86" s="15" t="s">
        <v>1743</v>
      </c>
      <c r="CL86" s="18"/>
      <c r="CP86" s="18"/>
      <c r="CT86" s="18"/>
      <c r="CX86" s="18"/>
      <c r="DB86" s="18"/>
      <c r="DF86" s="18"/>
      <c r="DJ86" s="18"/>
      <c r="DN86" s="18"/>
      <c r="DR86" s="18"/>
      <c r="DV86" s="18"/>
      <c r="DZ86" s="18"/>
      <c r="ED86" s="18"/>
      <c r="EI86" s="18"/>
      <c r="EK86" s="22">
        <v>3208</v>
      </c>
      <c r="EL86" s="22">
        <v>3710</v>
      </c>
      <c r="EM86" s="22">
        <v>6918</v>
      </c>
      <c r="EN86" s="22">
        <v>67636</v>
      </c>
      <c r="EO86" s="22">
        <v>75131</v>
      </c>
      <c r="EP86" s="22">
        <v>142767</v>
      </c>
      <c r="ES86" s="18"/>
      <c r="EW86" s="18"/>
      <c r="FA86" s="18"/>
      <c r="FE86" s="18"/>
      <c r="FI86" s="18"/>
      <c r="FK86" s="12" t="s">
        <v>320</v>
      </c>
      <c r="FL86" s="22">
        <v>6918</v>
      </c>
      <c r="FM86" s="18">
        <v>0.46</v>
      </c>
      <c r="FQ86" s="18"/>
      <c r="FS86" s="12" t="s">
        <v>320</v>
      </c>
      <c r="FU86" s="18">
        <v>0.47</v>
      </c>
      <c r="FV86" s="22">
        <v>142767</v>
      </c>
      <c r="FW86" s="11" t="s">
        <v>320</v>
      </c>
      <c r="FY86" s="18">
        <v>0.47</v>
      </c>
      <c r="FZ86" s="22">
        <v>142767</v>
      </c>
      <c r="GC86" s="18"/>
      <c r="GG86" s="18"/>
      <c r="GK86" s="18"/>
      <c r="GO86" s="18"/>
      <c r="GQ86" s="12" t="s">
        <v>320</v>
      </c>
      <c r="GR86" s="22">
        <v>6918</v>
      </c>
      <c r="GS86" s="18">
        <v>0.46</v>
      </c>
      <c r="GW86" s="18"/>
      <c r="HA86" s="18"/>
      <c r="HF86" s="18"/>
      <c r="HH86" s="11" t="s">
        <v>319</v>
      </c>
      <c r="HL86" s="11" t="s">
        <v>320</v>
      </c>
      <c r="HM86" s="11" t="s">
        <v>619</v>
      </c>
      <c r="HN86" s="11">
        <v>2017</v>
      </c>
      <c r="HO86" s="11" t="s">
        <v>1744</v>
      </c>
      <c r="HP86" s="11" t="s">
        <v>453</v>
      </c>
      <c r="HZ86" s="11" t="s">
        <v>394</v>
      </c>
      <c r="IA86" s="11" t="s">
        <v>1745</v>
      </c>
      <c r="IB86" s="11" t="s">
        <v>396</v>
      </c>
      <c r="IC86" s="11" t="s">
        <v>1746</v>
      </c>
      <c r="ID86" s="11" t="s">
        <v>477</v>
      </c>
      <c r="IE86" s="11" t="s">
        <v>478</v>
      </c>
      <c r="IF86" s="11" t="s">
        <v>320</v>
      </c>
      <c r="IG86" s="11" t="s">
        <v>320</v>
      </c>
      <c r="IH86" s="11" t="s">
        <v>320</v>
      </c>
      <c r="II86" s="11" t="s">
        <v>320</v>
      </c>
      <c r="IJ86" s="12" t="str">
        <f t="shared" si="44"/>
        <v>4. Transformative</v>
      </c>
      <c r="IK86" s="12">
        <f t="shared" si="45"/>
        <v>4</v>
      </c>
      <c r="IL86" s="11" t="s">
        <v>621</v>
      </c>
      <c r="IM86" s="11" t="s">
        <v>320</v>
      </c>
      <c r="IN86" s="11" t="s">
        <v>320</v>
      </c>
      <c r="IO86" s="11" t="s">
        <v>320</v>
      </c>
      <c r="IP86" s="11" t="s">
        <v>320</v>
      </c>
      <c r="IQ86" s="12" t="str">
        <f t="shared" si="46"/>
        <v>4. Transformational</v>
      </c>
      <c r="IR86" s="12">
        <f t="shared" si="47"/>
        <v>4</v>
      </c>
      <c r="IS86" s="11" t="s">
        <v>622</v>
      </c>
      <c r="IT86" s="11" t="s">
        <v>320</v>
      </c>
      <c r="IU86" s="11" t="s">
        <v>320</v>
      </c>
      <c r="IV86" s="11" t="s">
        <v>320</v>
      </c>
      <c r="IW86" s="11" t="str">
        <f t="shared" si="48"/>
        <v>4. Transformative</v>
      </c>
      <c r="IX86" s="12">
        <f t="shared" si="49"/>
        <v>3</v>
      </c>
      <c r="IY86" s="11" t="s">
        <v>338</v>
      </c>
      <c r="IZ86" s="11" t="s">
        <v>457</v>
      </c>
      <c r="JA86" s="11">
        <v>15</v>
      </c>
      <c r="JB86" s="11" t="s">
        <v>433</v>
      </c>
      <c r="JC86" s="11" t="s">
        <v>623</v>
      </c>
      <c r="JD86" s="11" t="s">
        <v>624</v>
      </c>
      <c r="JE86" s="11" t="s">
        <v>340</v>
      </c>
      <c r="JF86" s="11" t="s">
        <v>1747</v>
      </c>
      <c r="JG86" s="11" t="s">
        <v>626</v>
      </c>
      <c r="JH86" s="11" t="s">
        <v>1748</v>
      </c>
      <c r="JI86" s="11" t="s">
        <v>1749</v>
      </c>
      <c r="JJ86" s="11" t="s">
        <v>629</v>
      </c>
      <c r="JK86" s="11" t="s">
        <v>1750</v>
      </c>
      <c r="JL86" s="11" t="s">
        <v>1751</v>
      </c>
      <c r="JM86" s="11" t="s">
        <v>1752</v>
      </c>
      <c r="JN86" s="11" t="s">
        <v>1753</v>
      </c>
      <c r="JO86" s="11" t="s">
        <v>634</v>
      </c>
      <c r="JP86" s="15">
        <f t="shared" si="50"/>
        <v>6918</v>
      </c>
      <c r="JQ86" s="15">
        <f t="shared" si="51"/>
        <v>142767</v>
      </c>
      <c r="JR86" s="279">
        <f t="shared" si="52"/>
        <v>20.637033824804856</v>
      </c>
      <c r="JS86" s="17">
        <f t="shared" si="53"/>
        <v>0.46371783752529633</v>
      </c>
      <c r="JT86" s="18">
        <f t="shared" si="54"/>
        <v>0.47375093684114677</v>
      </c>
      <c r="JU86" s="280">
        <f t="shared" si="55"/>
        <v>3208</v>
      </c>
      <c r="JV86" s="280">
        <f t="shared" si="56"/>
        <v>67636</v>
      </c>
      <c r="JW86" s="319" t="str">
        <f t="shared" si="57"/>
        <v/>
      </c>
      <c r="JX86" s="15">
        <f t="shared" si="58"/>
        <v>0</v>
      </c>
      <c r="JY86" s="15">
        <f t="shared" si="59"/>
        <v>0</v>
      </c>
      <c r="JZ86" s="19" t="str">
        <f t="shared" si="60"/>
        <v/>
      </c>
      <c r="KA86" s="52" t="str">
        <f t="shared" si="61"/>
        <v/>
      </c>
      <c r="KB86" s="15">
        <f t="shared" si="62"/>
        <v>0</v>
      </c>
      <c r="KC86" s="15">
        <f t="shared" si="63"/>
        <v>0</v>
      </c>
      <c r="KD86" s="20" t="str">
        <f t="shared" si="64"/>
        <v/>
      </c>
      <c r="KE86" s="52">
        <f t="shared" si="65"/>
        <v>1</v>
      </c>
      <c r="KF86" s="15">
        <f t="shared" si="66"/>
        <v>6918</v>
      </c>
      <c r="KG86" s="15">
        <f t="shared" si="67"/>
        <v>0</v>
      </c>
      <c r="KH86" s="21">
        <f t="shared" si="68"/>
        <v>0</v>
      </c>
      <c r="KI86" s="52">
        <f t="shared" si="69"/>
        <v>1</v>
      </c>
      <c r="KJ86" s="15">
        <f t="shared" si="70"/>
        <v>0</v>
      </c>
      <c r="KK86" s="15">
        <f t="shared" si="71"/>
        <v>142767</v>
      </c>
      <c r="KL86" s="19" t="str">
        <f t="shared" si="72"/>
        <v/>
      </c>
      <c r="KM86" s="52" t="str">
        <f t="shared" si="73"/>
        <v/>
      </c>
      <c r="KN86" s="22">
        <f t="shared" si="74"/>
        <v>0</v>
      </c>
      <c r="KO86" s="22">
        <f t="shared" si="75"/>
        <v>0</v>
      </c>
      <c r="KP86" s="19" t="str">
        <f t="shared" si="76"/>
        <v/>
      </c>
      <c r="KQ86" s="11" t="str">
        <f t="shared" si="77"/>
        <v>4. Transformative</v>
      </c>
      <c r="KR86" s="11" t="str">
        <f t="shared" si="78"/>
        <v>4. Transformational</v>
      </c>
      <c r="KS86" s="11" t="str">
        <f t="shared" si="79"/>
        <v>4. Transformative</v>
      </c>
      <c r="KT86" s="11" t="str">
        <f t="shared" si="80"/>
        <v>It tested new ways for fighting poverty, but did not measure results of innovation</v>
      </c>
      <c r="KU86" s="11" t="str">
        <f t="shared" si="81"/>
        <v>Intensive advocacy</v>
      </c>
      <c r="KV86" s="11" t="str">
        <f t="shared" si="82"/>
        <v>It linked and worked with strategic alliances and partners to take tested and effective solutions to scale</v>
      </c>
      <c r="KW86" s="11" t="str">
        <f t="shared" si="83"/>
        <v>Bosnia and Herzegovina - Young Men Initiative - Promoting Healthier Lifestyles among Youth in Bosnia and Herzegovina by Challenging Gender Stereotypes</v>
      </c>
      <c r="KX86" s="11" t="str">
        <f t="shared" si="84"/>
        <v>Young Men Initiative - Promoting Healthier Lifestyles among Youth in Bosnia and Herzegovina by Challenging Gender Stereotypes</v>
      </c>
      <c r="KY86" s="11" t="str">
        <f t="shared" si="85"/>
        <v>Bosnia and Herzegovina</v>
      </c>
      <c r="KZ86" s="12">
        <v>86</v>
      </c>
    </row>
    <row r="87" spans="1:312" x14ac:dyDescent="0.3">
      <c r="A87" s="12" t="s">
        <v>1827</v>
      </c>
      <c r="B87" s="12" t="s">
        <v>1596</v>
      </c>
      <c r="C87" s="12">
        <v>3231</v>
      </c>
      <c r="D87" s="12" t="s">
        <v>1828</v>
      </c>
      <c r="E87" s="277" t="str">
        <f t="shared" si="43"/>
        <v>Burkina Faso</v>
      </c>
      <c r="F87" s="12" t="s">
        <v>1829</v>
      </c>
      <c r="G87" s="12" t="s">
        <v>309</v>
      </c>
      <c r="H87" s="11" t="s">
        <v>310</v>
      </c>
      <c r="I87" s="12" t="s">
        <v>517</v>
      </c>
      <c r="J87" s="281" t="s">
        <v>14578</v>
      </c>
      <c r="K87" s="12"/>
      <c r="L87" s="12"/>
      <c r="M87" s="12"/>
      <c r="N87" s="12"/>
      <c r="O87" s="12"/>
      <c r="P87" s="12"/>
      <c r="Q87" s="12"/>
      <c r="R87" s="12"/>
      <c r="S87" s="12"/>
      <c r="T87" s="12"/>
      <c r="U87" s="12"/>
      <c r="V87" s="12"/>
      <c r="W87" s="12"/>
      <c r="X87" s="12"/>
      <c r="Y87" s="12"/>
      <c r="Z87" s="12"/>
      <c r="AA87" s="12"/>
      <c r="AB87" s="12"/>
      <c r="AC87" s="12"/>
      <c r="AD87" s="12"/>
      <c r="BD87" s="13">
        <v>41993</v>
      </c>
      <c r="BE87" s="13">
        <v>43088</v>
      </c>
      <c r="BF87" s="12"/>
      <c r="BG87" s="12" t="s">
        <v>312</v>
      </c>
      <c r="BH87" s="14"/>
      <c r="BI87" s="12" t="s">
        <v>1830</v>
      </c>
      <c r="BJ87" s="12" t="s">
        <v>1831</v>
      </c>
      <c r="BK87" s="12" t="s">
        <v>1832</v>
      </c>
      <c r="BL87" s="12" t="s">
        <v>1833</v>
      </c>
      <c r="BM87" s="12" t="s">
        <v>1834</v>
      </c>
      <c r="BN87" s="12" t="s">
        <v>1835</v>
      </c>
      <c r="BO87" s="12" t="s">
        <v>319</v>
      </c>
      <c r="BP87" s="12" t="s">
        <v>320</v>
      </c>
      <c r="BQ87" s="12" t="s">
        <v>319</v>
      </c>
      <c r="BR87" s="12" t="s">
        <v>1836</v>
      </c>
      <c r="BS87" s="12" t="s">
        <v>615</v>
      </c>
      <c r="BT87" s="12" t="s">
        <v>1837</v>
      </c>
      <c r="BU87" s="12" t="s">
        <v>1838</v>
      </c>
      <c r="BV87" s="14"/>
      <c r="BW87" s="14"/>
      <c r="BX87" s="14"/>
      <c r="BY87" s="14"/>
      <c r="BZ87" s="14"/>
      <c r="CA87" s="14"/>
      <c r="CB87" s="12"/>
      <c r="CD87" s="14"/>
      <c r="CE87" s="14"/>
      <c r="CF87" s="14"/>
      <c r="CG87" s="14"/>
      <c r="CH87" s="14"/>
      <c r="CI87" s="14"/>
      <c r="CJ87" s="12"/>
      <c r="CK87" s="14"/>
      <c r="CL87" s="16"/>
      <c r="CM87" s="14"/>
      <c r="CN87" s="12"/>
      <c r="CO87" s="14"/>
      <c r="CP87" s="16"/>
      <c r="CQ87" s="14"/>
      <c r="CR87" s="12"/>
      <c r="CS87" s="14"/>
      <c r="CT87" s="16"/>
      <c r="CU87" s="14"/>
      <c r="CV87" s="12"/>
      <c r="CW87" s="14"/>
      <c r="CX87" s="16"/>
      <c r="CY87" s="14"/>
      <c r="CZ87" s="12"/>
      <c r="DA87" s="14"/>
      <c r="DB87" s="16"/>
      <c r="DC87" s="14"/>
      <c r="DD87" s="12"/>
      <c r="DE87" s="14"/>
      <c r="DF87" s="16"/>
      <c r="DG87" s="14"/>
      <c r="DH87" s="12"/>
      <c r="DI87" s="14"/>
      <c r="DJ87" s="16"/>
      <c r="DK87" s="14"/>
      <c r="DL87" s="12"/>
      <c r="DM87" s="14"/>
      <c r="DN87" s="16"/>
      <c r="DO87" s="14"/>
      <c r="DP87" s="12"/>
      <c r="DQ87" s="14"/>
      <c r="DR87" s="16"/>
      <c r="DS87" s="14"/>
      <c r="DT87" s="12"/>
      <c r="DU87" s="14"/>
      <c r="DV87" s="16"/>
      <c r="DW87" s="14"/>
      <c r="DX87" s="12"/>
      <c r="DY87" s="14"/>
      <c r="DZ87" s="16"/>
      <c r="EA87" s="14"/>
      <c r="EB87" s="12"/>
      <c r="EC87" s="14"/>
      <c r="ED87" s="16"/>
      <c r="EE87" s="14"/>
      <c r="EF87" s="12"/>
      <c r="EG87" s="12"/>
      <c r="EH87" s="14"/>
      <c r="EI87" s="16"/>
      <c r="EJ87" s="14"/>
      <c r="EK87" s="14"/>
      <c r="EL87" s="14"/>
      <c r="EM87" s="14"/>
      <c r="EN87" s="14"/>
      <c r="EO87" s="14"/>
      <c r="EP87" s="14"/>
      <c r="EQ87" s="12"/>
      <c r="ER87" s="14"/>
      <c r="ES87" s="16"/>
      <c r="ET87" s="14"/>
      <c r="EU87" s="12"/>
      <c r="EV87" s="14"/>
      <c r="EW87" s="16"/>
      <c r="EX87" s="14"/>
      <c r="EY87" s="12" t="s">
        <v>320</v>
      </c>
      <c r="EZ87" s="14"/>
      <c r="FA87" s="16"/>
      <c r="FB87" s="14"/>
      <c r="FC87" s="12"/>
      <c r="FD87" s="14"/>
      <c r="FE87" s="16"/>
      <c r="FF87" s="14"/>
      <c r="FG87" s="12"/>
      <c r="FH87" s="14"/>
      <c r="FI87" s="16"/>
      <c r="FJ87" s="14"/>
      <c r="FK87" s="12"/>
      <c r="FL87" s="14"/>
      <c r="FM87" s="16"/>
      <c r="FN87" s="14"/>
      <c r="FO87" s="12"/>
      <c r="FP87" s="14"/>
      <c r="FQ87" s="16"/>
      <c r="FR87" s="14"/>
      <c r="FS87" s="12"/>
      <c r="FT87" s="14"/>
      <c r="FU87" s="16"/>
      <c r="FV87" s="14"/>
      <c r="FW87" s="12"/>
      <c r="FX87" s="14"/>
      <c r="FY87" s="16"/>
      <c r="FZ87" s="14"/>
      <c r="GA87" s="12"/>
      <c r="GB87" s="14"/>
      <c r="GC87" s="16"/>
      <c r="GD87" s="14"/>
      <c r="GE87" s="12"/>
      <c r="GF87" s="14"/>
      <c r="GG87" s="16"/>
      <c r="GH87" s="14"/>
      <c r="GI87" s="12"/>
      <c r="GJ87" s="14"/>
      <c r="GK87" s="16"/>
      <c r="GL87" s="14"/>
      <c r="GM87" s="12"/>
      <c r="GN87" s="14"/>
      <c r="GO87" s="16"/>
      <c r="GP87" s="14"/>
      <c r="GQ87" s="12"/>
      <c r="GR87" s="14"/>
      <c r="GS87" s="16"/>
      <c r="GT87" s="14"/>
      <c r="GU87" s="12"/>
      <c r="GV87" s="14"/>
      <c r="GW87" s="16"/>
      <c r="GX87" s="14"/>
      <c r="GY87" s="12"/>
      <c r="GZ87" s="14"/>
      <c r="HA87" s="16"/>
      <c r="HB87" s="14"/>
      <c r="HC87" s="12"/>
      <c r="HD87" s="12"/>
      <c r="HE87" s="14"/>
      <c r="HF87" s="16"/>
      <c r="HG87" s="14"/>
      <c r="HH87" s="12" t="s">
        <v>320</v>
      </c>
      <c r="HI87" s="12"/>
      <c r="HJ87" s="12"/>
      <c r="HK87" s="12" t="s">
        <v>320</v>
      </c>
      <c r="HL87" s="12" t="s">
        <v>320</v>
      </c>
      <c r="HM87" s="12" t="s">
        <v>328</v>
      </c>
      <c r="HN87" s="12">
        <v>2017</v>
      </c>
      <c r="HO87" s="12" t="s">
        <v>1839</v>
      </c>
      <c r="HP87" s="12" t="s">
        <v>330</v>
      </c>
      <c r="HQ87" s="12" t="s">
        <v>319</v>
      </c>
      <c r="HR87" s="12" t="s">
        <v>319</v>
      </c>
      <c r="HS87" s="12" t="s">
        <v>319</v>
      </c>
      <c r="HT87" s="12" t="s">
        <v>320</v>
      </c>
      <c r="HU87" s="12" t="s">
        <v>320</v>
      </c>
      <c r="HV87" s="12" t="s">
        <v>320</v>
      </c>
      <c r="HW87" s="12" t="s">
        <v>319</v>
      </c>
      <c r="HX87" s="12"/>
      <c r="HY87" s="12"/>
      <c r="HZ87" s="11" t="s">
        <v>394</v>
      </c>
      <c r="IA87" s="12" t="s">
        <v>1840</v>
      </c>
      <c r="IB87" s="12" t="s">
        <v>396</v>
      </c>
      <c r="IC87" s="12"/>
      <c r="ID87" s="12" t="s">
        <v>334</v>
      </c>
      <c r="IE87" s="12" t="s">
        <v>335</v>
      </c>
      <c r="IF87" s="12" t="s">
        <v>320</v>
      </c>
      <c r="IG87" s="12" t="s">
        <v>320</v>
      </c>
      <c r="IH87" s="12" t="s">
        <v>320</v>
      </c>
      <c r="II87" s="12" t="s">
        <v>320</v>
      </c>
      <c r="IJ87" s="12" t="str">
        <f t="shared" si="44"/>
        <v>2. Sensitive</v>
      </c>
      <c r="IK87" s="12">
        <f t="shared" si="45"/>
        <v>4</v>
      </c>
      <c r="IL87" s="12" t="s">
        <v>336</v>
      </c>
      <c r="IM87" s="12" t="s">
        <v>320</v>
      </c>
      <c r="IN87" s="12" t="s">
        <v>320</v>
      </c>
      <c r="IO87" s="12" t="s">
        <v>320</v>
      </c>
      <c r="IP87" s="12" t="s">
        <v>320</v>
      </c>
      <c r="IQ87" s="12" t="str">
        <f t="shared" si="46"/>
        <v>2. Accommodating</v>
      </c>
      <c r="IR87" s="12">
        <f t="shared" si="47"/>
        <v>4</v>
      </c>
      <c r="IS87" s="12" t="s">
        <v>337</v>
      </c>
      <c r="IT87" s="12" t="s">
        <v>320</v>
      </c>
      <c r="IU87" s="12" t="s">
        <v>320</v>
      </c>
      <c r="IV87" s="12" t="s">
        <v>320</v>
      </c>
      <c r="IW87" s="11" t="str">
        <f t="shared" si="48"/>
        <v>2. Sensitive</v>
      </c>
      <c r="IX87" s="12">
        <f t="shared" si="49"/>
        <v>3</v>
      </c>
      <c r="IY87" s="11" t="s">
        <v>419</v>
      </c>
      <c r="IZ87" s="11" t="s">
        <v>527</v>
      </c>
      <c r="JA87" s="12">
        <v>3</v>
      </c>
      <c r="JB87" s="11" t="s">
        <v>433</v>
      </c>
      <c r="JC87" s="12" t="s">
        <v>433</v>
      </c>
      <c r="JD87" s="11" t="s">
        <v>433</v>
      </c>
      <c r="JE87" s="12" t="s">
        <v>340</v>
      </c>
      <c r="JF87" s="12" t="s">
        <v>1841</v>
      </c>
      <c r="JG87" s="12" t="s">
        <v>1842</v>
      </c>
      <c r="JH87" s="12" t="s">
        <v>1843</v>
      </c>
      <c r="JI87" s="12" t="s">
        <v>1844</v>
      </c>
      <c r="JJ87" s="12" t="s">
        <v>1845</v>
      </c>
      <c r="JK87" s="12" t="s">
        <v>1846</v>
      </c>
      <c r="JL87" s="12" t="s">
        <v>1847</v>
      </c>
      <c r="JM87" s="12" t="s">
        <v>1848</v>
      </c>
      <c r="JN87" s="12" t="s">
        <v>1849</v>
      </c>
      <c r="JO87" s="12" t="s">
        <v>1850</v>
      </c>
      <c r="JP87" s="15">
        <f t="shared" si="50"/>
        <v>0</v>
      </c>
      <c r="JQ87" s="15">
        <f t="shared" si="51"/>
        <v>0</v>
      </c>
      <c r="JR87" s="279" t="str">
        <f t="shared" si="52"/>
        <v/>
      </c>
      <c r="JS87" s="17" t="str">
        <f t="shared" si="53"/>
        <v/>
      </c>
      <c r="JT87" s="18" t="str">
        <f t="shared" si="54"/>
        <v/>
      </c>
      <c r="JU87" s="280">
        <f t="shared" si="55"/>
        <v>0</v>
      </c>
      <c r="JV87" s="280">
        <f t="shared" si="56"/>
        <v>0</v>
      </c>
      <c r="JW87" s="319" t="str">
        <f t="shared" si="57"/>
        <v/>
      </c>
      <c r="JX87" s="15">
        <f t="shared" si="58"/>
        <v>0</v>
      </c>
      <c r="JY87" s="15">
        <f t="shared" si="59"/>
        <v>0</v>
      </c>
      <c r="JZ87" s="19" t="str">
        <f t="shared" si="60"/>
        <v/>
      </c>
      <c r="KA87" s="52" t="str">
        <f t="shared" si="61"/>
        <v/>
      </c>
      <c r="KB87" s="15">
        <f t="shared" si="62"/>
        <v>0</v>
      </c>
      <c r="KC87" s="15">
        <f t="shared" si="63"/>
        <v>0</v>
      </c>
      <c r="KD87" s="20" t="str">
        <f t="shared" si="64"/>
        <v/>
      </c>
      <c r="KE87" s="52" t="str">
        <f t="shared" si="65"/>
        <v/>
      </c>
      <c r="KF87" s="15">
        <f t="shared" si="66"/>
        <v>0</v>
      </c>
      <c r="KG87" s="15">
        <f t="shared" si="67"/>
        <v>0</v>
      </c>
      <c r="KH87" s="21" t="str">
        <f t="shared" si="68"/>
        <v/>
      </c>
      <c r="KI87" s="52" t="str">
        <f t="shared" si="69"/>
        <v/>
      </c>
      <c r="KJ87" s="15">
        <f t="shared" si="70"/>
        <v>0</v>
      </c>
      <c r="KK87" s="15">
        <f t="shared" si="71"/>
        <v>0</v>
      </c>
      <c r="KL87" s="19" t="str">
        <f t="shared" si="72"/>
        <v/>
      </c>
      <c r="KM87" s="52" t="str">
        <f t="shared" si="73"/>
        <v/>
      </c>
      <c r="KN87" s="22">
        <f t="shared" si="74"/>
        <v>0</v>
      </c>
      <c r="KO87" s="22">
        <f t="shared" si="75"/>
        <v>0</v>
      </c>
      <c r="KP87" s="19" t="str">
        <f t="shared" si="76"/>
        <v/>
      </c>
      <c r="KQ87" s="11" t="str">
        <f t="shared" si="77"/>
        <v>2. Sensitive</v>
      </c>
      <c r="KR87" s="11" t="str">
        <f t="shared" si="78"/>
        <v>2. Accommodating</v>
      </c>
      <c r="KS87" s="11" t="str">
        <f t="shared" si="79"/>
        <v>2. Sensitive</v>
      </c>
      <c r="KT87" s="11" t="str">
        <f t="shared" si="80"/>
        <v>It tested new ways for fighting poverty, but did not measure results of innovation</v>
      </c>
      <c r="KU87" s="11" t="str">
        <f t="shared" si="81"/>
        <v>Moderate advocacy</v>
      </c>
      <c r="KV87" s="11" t="str">
        <f t="shared" si="82"/>
        <v>It linked and worked with strategic alliances and partners to take tested and effective solutions to scale</v>
      </c>
      <c r="KW87" s="11" t="str">
        <f t="shared" si="83"/>
        <v>Burkina Faso - Initiative Paix et Diversité au Sahel (IPAD)</v>
      </c>
      <c r="KX87" s="11" t="str">
        <f t="shared" si="84"/>
        <v>Initiative Paix et Diversité au Sahel (IPAD)</v>
      </c>
      <c r="KY87" s="11" t="str">
        <f t="shared" si="85"/>
        <v>Burkina Faso</v>
      </c>
      <c r="KZ87" s="287">
        <v>87</v>
      </c>
    </row>
    <row r="88" spans="1:312" x14ac:dyDescent="0.3">
      <c r="A88" s="282" t="s">
        <v>1827</v>
      </c>
      <c r="B88" s="282" t="s">
        <v>1596</v>
      </c>
      <c r="C88" s="282">
        <v>3226</v>
      </c>
      <c r="D88" s="282" t="s">
        <v>1851</v>
      </c>
      <c r="E88" s="277" t="str">
        <f t="shared" si="43"/>
        <v>Burkina Faso</v>
      </c>
      <c r="F88" s="282" t="s">
        <v>1852</v>
      </c>
      <c r="G88" s="282" t="s">
        <v>1853</v>
      </c>
      <c r="H88" s="282" t="s">
        <v>310</v>
      </c>
      <c r="I88" s="282" t="s">
        <v>1854</v>
      </c>
      <c r="J88" s="281" t="s">
        <v>4495</v>
      </c>
      <c r="K88" s="282"/>
      <c r="L88" s="282"/>
      <c r="M88" s="282"/>
      <c r="N88" s="282"/>
      <c r="O88" s="282"/>
      <c r="P88" s="282"/>
      <c r="Q88" s="282"/>
      <c r="R88" s="282"/>
      <c r="S88" s="282"/>
      <c r="T88" s="282"/>
      <c r="U88" s="282"/>
      <c r="V88" s="282"/>
      <c r="W88" s="282"/>
      <c r="X88" s="282"/>
      <c r="Y88" s="282"/>
      <c r="Z88" s="282"/>
      <c r="AA88" s="282"/>
      <c r="AB88" s="282"/>
      <c r="AC88" s="282"/>
      <c r="AD88" s="282"/>
      <c r="AE88" s="282"/>
      <c r="AF88" s="282"/>
      <c r="AG88" s="282"/>
      <c r="AH88" s="282"/>
      <c r="AI88" s="282"/>
      <c r="AJ88" s="282"/>
      <c r="AK88" s="282"/>
      <c r="AL88" s="282"/>
      <c r="AM88" s="282"/>
      <c r="AN88" s="282"/>
      <c r="AO88" s="282"/>
      <c r="AP88" s="282"/>
      <c r="AQ88" s="282"/>
      <c r="AR88" s="282"/>
      <c r="AS88" s="282"/>
      <c r="AT88" s="282"/>
      <c r="AU88" s="282"/>
      <c r="AV88" s="282"/>
      <c r="AW88" s="282"/>
      <c r="AX88" s="282"/>
      <c r="AY88" s="282"/>
      <c r="AZ88" s="282"/>
      <c r="BA88" s="282"/>
      <c r="BB88" s="282"/>
      <c r="BC88" s="282"/>
      <c r="BD88" s="283">
        <v>41275</v>
      </c>
      <c r="BE88" s="283">
        <v>43070</v>
      </c>
      <c r="BF88" s="283"/>
      <c r="BG88" s="283" t="s">
        <v>312</v>
      </c>
      <c r="BH88" s="284"/>
      <c r="BI88" s="282" t="s">
        <v>1855</v>
      </c>
      <c r="BJ88" s="282" t="s">
        <v>1856</v>
      </c>
      <c r="BK88" s="282" t="s">
        <v>1857</v>
      </c>
      <c r="BL88" s="282" t="s">
        <v>1858</v>
      </c>
      <c r="BM88" s="282" t="s">
        <v>1834</v>
      </c>
      <c r="BN88" s="282" t="s">
        <v>1859</v>
      </c>
      <c r="BO88" s="282" t="s">
        <v>319</v>
      </c>
      <c r="BP88" s="282" t="s">
        <v>320</v>
      </c>
      <c r="BQ88" s="282" t="s">
        <v>319</v>
      </c>
      <c r="BR88" s="282" t="s">
        <v>1860</v>
      </c>
      <c r="BS88" s="282" t="s">
        <v>615</v>
      </c>
      <c r="BT88" s="282" t="s">
        <v>1861</v>
      </c>
      <c r="BU88" s="282" t="s">
        <v>1862</v>
      </c>
      <c r="BV88" s="284"/>
      <c r="BW88" s="284"/>
      <c r="BX88" s="284"/>
      <c r="BY88" s="284"/>
      <c r="BZ88" s="284"/>
      <c r="CA88" s="284"/>
      <c r="CB88" s="285" t="s">
        <v>1863</v>
      </c>
      <c r="CC88" s="285"/>
      <c r="CD88" s="284"/>
      <c r="CE88" s="284"/>
      <c r="CF88" s="284"/>
      <c r="CG88" s="284"/>
      <c r="CH88" s="284"/>
      <c r="CI88" s="284">
        <v>0</v>
      </c>
      <c r="CJ88" s="282"/>
      <c r="CK88" s="284"/>
      <c r="CL88" s="286"/>
      <c r="CM88" s="284"/>
      <c r="CN88" s="287"/>
      <c r="CO88" s="284"/>
      <c r="CP88" s="286"/>
      <c r="CQ88" s="284"/>
      <c r="CR88" s="282"/>
      <c r="CS88" s="284"/>
      <c r="CT88" s="286"/>
      <c r="CU88" s="284"/>
      <c r="CV88" s="282"/>
      <c r="CW88" s="284"/>
      <c r="CX88" s="286"/>
      <c r="CY88" s="284"/>
      <c r="CZ88" s="282"/>
      <c r="DA88" s="284"/>
      <c r="DB88" s="286"/>
      <c r="DC88" s="284"/>
      <c r="DD88" s="287"/>
      <c r="DE88" s="284"/>
      <c r="DF88" s="286"/>
      <c r="DG88" s="284"/>
      <c r="DH88" s="282"/>
      <c r="DI88" s="284"/>
      <c r="DJ88" s="286"/>
      <c r="DK88" s="284"/>
      <c r="DL88" s="282"/>
      <c r="DM88" s="284"/>
      <c r="DN88" s="286"/>
      <c r="DO88" s="284"/>
      <c r="DP88" s="282"/>
      <c r="DQ88" s="284"/>
      <c r="DR88" s="286"/>
      <c r="DS88" s="284"/>
      <c r="DT88" s="282"/>
      <c r="DU88" s="284"/>
      <c r="DV88" s="286"/>
      <c r="DW88" s="284"/>
      <c r="DX88" s="282"/>
      <c r="DY88" s="284"/>
      <c r="DZ88" s="286"/>
      <c r="EA88" s="284"/>
      <c r="EB88" s="282"/>
      <c r="EC88" s="284"/>
      <c r="ED88" s="286"/>
      <c r="EE88" s="284"/>
      <c r="EF88" s="285"/>
      <c r="EG88" s="287"/>
      <c r="EH88" s="284"/>
      <c r="EI88" s="286"/>
      <c r="EJ88" s="284"/>
      <c r="EK88" s="284"/>
      <c r="EL88" s="284"/>
      <c r="EM88" s="284">
        <v>0</v>
      </c>
      <c r="EN88" s="284"/>
      <c r="EO88" s="284"/>
      <c r="EP88" s="284">
        <v>0</v>
      </c>
      <c r="EQ88" s="282" t="s">
        <v>320</v>
      </c>
      <c r="ER88" s="284"/>
      <c r="ES88" s="286"/>
      <c r="ET88" s="284"/>
      <c r="EU88" s="282" t="s">
        <v>320</v>
      </c>
      <c r="EV88" s="284"/>
      <c r="EW88" s="286"/>
      <c r="EX88" s="284"/>
      <c r="EY88" s="282" t="s">
        <v>320</v>
      </c>
      <c r="EZ88" s="284"/>
      <c r="FA88" s="286"/>
      <c r="FB88" s="284"/>
      <c r="FC88" s="282"/>
      <c r="FD88" s="284"/>
      <c r="FE88" s="286"/>
      <c r="FF88" s="284"/>
      <c r="FG88" s="282"/>
      <c r="FH88" s="284"/>
      <c r="FI88" s="286"/>
      <c r="FJ88" s="284"/>
      <c r="FK88" s="282"/>
      <c r="FL88" s="284"/>
      <c r="FM88" s="286"/>
      <c r="FN88" s="284"/>
      <c r="FO88" s="282"/>
      <c r="FP88" s="284"/>
      <c r="FQ88" s="286"/>
      <c r="FR88" s="284"/>
      <c r="FS88" s="282"/>
      <c r="FT88" s="284"/>
      <c r="FU88" s="286"/>
      <c r="FV88" s="284"/>
      <c r="FW88" s="282"/>
      <c r="FX88" s="284"/>
      <c r="FY88" s="286"/>
      <c r="FZ88" s="284"/>
      <c r="GA88" s="282"/>
      <c r="GB88" s="284"/>
      <c r="GC88" s="286"/>
      <c r="GD88" s="284"/>
      <c r="GE88" s="282"/>
      <c r="GF88" s="284"/>
      <c r="GG88" s="286"/>
      <c r="GH88" s="284"/>
      <c r="GI88" s="282" t="s">
        <v>320</v>
      </c>
      <c r="GJ88" s="284"/>
      <c r="GK88" s="286"/>
      <c r="GL88" s="284"/>
      <c r="GM88" s="282" t="s">
        <v>320</v>
      </c>
      <c r="GN88" s="284"/>
      <c r="GO88" s="286"/>
      <c r="GP88" s="284"/>
      <c r="GQ88" s="282"/>
      <c r="GR88" s="284"/>
      <c r="GS88" s="286"/>
      <c r="GT88" s="284"/>
      <c r="GU88" s="282"/>
      <c r="GV88" s="284"/>
      <c r="GW88" s="286"/>
      <c r="GX88" s="284"/>
      <c r="GY88" s="282"/>
      <c r="GZ88" s="284"/>
      <c r="HA88" s="286"/>
      <c r="HB88" s="284"/>
      <c r="HC88" s="282"/>
      <c r="HD88" s="282"/>
      <c r="HE88" s="284"/>
      <c r="HF88" s="286"/>
      <c r="HG88" s="284"/>
      <c r="HH88" s="282" t="s">
        <v>319</v>
      </c>
      <c r="HI88" s="282"/>
      <c r="HJ88" s="282"/>
      <c r="HK88" s="282"/>
      <c r="HL88" s="282" t="s">
        <v>320</v>
      </c>
      <c r="HM88" s="282" t="s">
        <v>328</v>
      </c>
      <c r="HN88" s="282">
        <v>2017</v>
      </c>
      <c r="HO88" s="282" t="s">
        <v>1864</v>
      </c>
      <c r="HP88" s="282" t="s">
        <v>453</v>
      </c>
      <c r="HQ88" s="282" t="s">
        <v>320</v>
      </c>
      <c r="HR88" s="282" t="s">
        <v>320</v>
      </c>
      <c r="HS88" s="282" t="s">
        <v>320</v>
      </c>
      <c r="HT88" s="282" t="s">
        <v>320</v>
      </c>
      <c r="HU88" s="282" t="s">
        <v>320</v>
      </c>
      <c r="HV88" s="282" t="s">
        <v>320</v>
      </c>
      <c r="HW88" s="282" t="s">
        <v>320</v>
      </c>
      <c r="HX88" s="282"/>
      <c r="HY88" s="282"/>
      <c r="HZ88" s="282" t="s">
        <v>394</v>
      </c>
      <c r="IA88" s="282"/>
      <c r="IB88" s="282" t="s">
        <v>396</v>
      </c>
      <c r="IC88" s="282"/>
      <c r="ID88" s="282" t="s">
        <v>364</v>
      </c>
      <c r="IE88" s="282" t="s">
        <v>335</v>
      </c>
      <c r="IF88" s="282" t="s">
        <v>320</v>
      </c>
      <c r="IG88" s="282" t="s">
        <v>320</v>
      </c>
      <c r="IH88" s="282" t="s">
        <v>320</v>
      </c>
      <c r="II88" s="282" t="s">
        <v>320</v>
      </c>
      <c r="IJ88" s="12" t="str">
        <f t="shared" si="44"/>
        <v>2. Sensitive</v>
      </c>
      <c r="IK88" s="287">
        <f t="shared" si="45"/>
        <v>4</v>
      </c>
      <c r="IL88" s="282" t="s">
        <v>621</v>
      </c>
      <c r="IM88" s="282" t="s">
        <v>320</v>
      </c>
      <c r="IN88" s="282" t="s">
        <v>320</v>
      </c>
      <c r="IO88" s="282" t="s">
        <v>320</v>
      </c>
      <c r="IP88" s="282" t="s">
        <v>320</v>
      </c>
      <c r="IQ88" s="287" t="str">
        <f t="shared" si="46"/>
        <v>4. Transformational</v>
      </c>
      <c r="IR88" s="287">
        <f t="shared" si="47"/>
        <v>4</v>
      </c>
      <c r="IS88" s="282" t="s">
        <v>337</v>
      </c>
      <c r="IT88" s="282" t="s">
        <v>320</v>
      </c>
      <c r="IU88" s="282" t="s">
        <v>320</v>
      </c>
      <c r="IV88" s="282" t="s">
        <v>320</v>
      </c>
      <c r="IW88" s="11" t="str">
        <f t="shared" si="48"/>
        <v>2. Sensitive</v>
      </c>
      <c r="IX88" s="287">
        <f t="shared" si="49"/>
        <v>3</v>
      </c>
      <c r="IY88" s="282" t="s">
        <v>419</v>
      </c>
      <c r="IZ88" s="282" t="s">
        <v>457</v>
      </c>
      <c r="JA88" s="282">
        <v>3</v>
      </c>
      <c r="JB88" s="282" t="s">
        <v>433</v>
      </c>
      <c r="JC88" s="282" t="s">
        <v>651</v>
      </c>
      <c r="JD88" s="282" t="s">
        <v>1113</v>
      </c>
      <c r="JE88" s="282" t="s">
        <v>340</v>
      </c>
      <c r="JF88" s="282"/>
      <c r="JG88" s="282" t="s">
        <v>1865</v>
      </c>
      <c r="JH88" s="282" t="s">
        <v>1866</v>
      </c>
      <c r="JI88" s="282" t="s">
        <v>1867</v>
      </c>
      <c r="JJ88" s="282" t="s">
        <v>1868</v>
      </c>
      <c r="JK88" s="282" t="s">
        <v>1869</v>
      </c>
      <c r="JL88" s="282" t="s">
        <v>1870</v>
      </c>
      <c r="JM88" s="282" t="s">
        <v>1871</v>
      </c>
      <c r="JN88" s="282" t="s">
        <v>1872</v>
      </c>
      <c r="JO88" s="282"/>
      <c r="JP88" s="15">
        <f t="shared" si="50"/>
        <v>0</v>
      </c>
      <c r="JQ88" s="15">
        <f t="shared" si="51"/>
        <v>0</v>
      </c>
      <c r="JR88" s="279" t="str">
        <f t="shared" si="52"/>
        <v/>
      </c>
      <c r="JS88" s="17" t="str">
        <f t="shared" si="53"/>
        <v/>
      </c>
      <c r="JT88" s="18" t="str">
        <f t="shared" si="54"/>
        <v/>
      </c>
      <c r="JU88" s="280">
        <f t="shared" si="55"/>
        <v>0</v>
      </c>
      <c r="JV88" s="280">
        <f t="shared" si="56"/>
        <v>0</v>
      </c>
      <c r="JW88" s="319" t="str">
        <f t="shared" si="57"/>
        <v/>
      </c>
      <c r="JX88" s="15">
        <f t="shared" si="58"/>
        <v>0</v>
      </c>
      <c r="JY88" s="15">
        <f t="shared" si="59"/>
        <v>0</v>
      </c>
      <c r="JZ88" s="19" t="str">
        <f t="shared" si="60"/>
        <v/>
      </c>
      <c r="KA88" s="52">
        <f t="shared" si="61"/>
        <v>1</v>
      </c>
      <c r="KB88" s="15">
        <f t="shared" si="62"/>
        <v>0</v>
      </c>
      <c r="KC88" s="15">
        <f t="shared" si="63"/>
        <v>0</v>
      </c>
      <c r="KD88" s="20" t="str">
        <f t="shared" si="64"/>
        <v/>
      </c>
      <c r="KE88" s="52" t="str">
        <f t="shared" si="65"/>
        <v/>
      </c>
      <c r="KF88" s="15">
        <f t="shared" si="66"/>
        <v>0</v>
      </c>
      <c r="KG88" s="15">
        <f t="shared" si="67"/>
        <v>0</v>
      </c>
      <c r="KH88" s="21" t="str">
        <f t="shared" si="68"/>
        <v/>
      </c>
      <c r="KI88" s="52" t="str">
        <f t="shared" si="69"/>
        <v/>
      </c>
      <c r="KJ88" s="15">
        <f t="shared" si="70"/>
        <v>0</v>
      </c>
      <c r="KK88" s="15">
        <f t="shared" si="71"/>
        <v>0</v>
      </c>
      <c r="KL88" s="19" t="str">
        <f t="shared" si="72"/>
        <v/>
      </c>
      <c r="KM88" s="52" t="str">
        <f t="shared" si="73"/>
        <v/>
      </c>
      <c r="KN88" s="22">
        <f t="shared" si="74"/>
        <v>0</v>
      </c>
      <c r="KO88" s="22">
        <f t="shared" si="75"/>
        <v>0</v>
      </c>
      <c r="KP88" s="19" t="str">
        <f t="shared" si="76"/>
        <v/>
      </c>
      <c r="KQ88" s="11" t="str">
        <f t="shared" si="77"/>
        <v>2. Sensitive</v>
      </c>
      <c r="KR88" s="11" t="str">
        <f t="shared" si="78"/>
        <v>4. Transformational</v>
      </c>
      <c r="KS88" s="11" t="str">
        <f t="shared" si="79"/>
        <v>2. Sensitive</v>
      </c>
      <c r="KT88" s="11" t="str">
        <f t="shared" si="80"/>
        <v>It tested new ways for fighting poverty, but did not measure results of innovation</v>
      </c>
      <c r="KU88" s="11" t="str">
        <f t="shared" si="81"/>
        <v>Intensive advocacy</v>
      </c>
      <c r="KV88" s="11" t="str">
        <f t="shared" si="82"/>
        <v>It linked and worked with strategic alliances and partners to take tested and effective solutions to scale</v>
      </c>
      <c r="KW88" s="11" t="str">
        <f t="shared" si="83"/>
        <v>Burkina Faso - Programme de Gestion Equitable des Ressources Naturelles et de Renforcement de la Société Civile PHASE 2</v>
      </c>
      <c r="KX88" s="11" t="str">
        <f t="shared" si="84"/>
        <v>Programme de Gestion Equitable des Ressources Naturelles et de Renforcement de la Société Civile PHASE 2</v>
      </c>
      <c r="KY88" s="11" t="str">
        <f t="shared" si="85"/>
        <v>Burkina Faso</v>
      </c>
      <c r="KZ88" s="12">
        <v>88</v>
      </c>
    </row>
    <row r="89" spans="1:312" x14ac:dyDescent="0.3">
      <c r="A89" s="11" t="s">
        <v>1873</v>
      </c>
      <c r="B89" s="11" t="s">
        <v>1874</v>
      </c>
      <c r="D89" s="11" t="s">
        <v>1896</v>
      </c>
      <c r="E89" s="288" t="str">
        <f t="shared" si="43"/>
        <v>Burundi</v>
      </c>
      <c r="F89" s="11" t="s">
        <v>1897</v>
      </c>
      <c r="G89" s="11" t="s">
        <v>425</v>
      </c>
      <c r="H89" s="11" t="s">
        <v>310</v>
      </c>
      <c r="I89" s="11" t="s">
        <v>426</v>
      </c>
      <c r="J89" s="278" t="s">
        <v>14563</v>
      </c>
      <c r="BD89" s="23">
        <v>42614</v>
      </c>
      <c r="BE89" s="23">
        <v>44104</v>
      </c>
      <c r="BG89" s="11" t="s">
        <v>312</v>
      </c>
      <c r="BH89" s="22">
        <v>1927030.2</v>
      </c>
      <c r="BI89" s="11" t="s">
        <v>1898</v>
      </c>
      <c r="BJ89" s="11" t="s">
        <v>1899</v>
      </c>
      <c r="BK89" s="11" t="s">
        <v>1879</v>
      </c>
      <c r="BL89" s="11" t="s">
        <v>1900</v>
      </c>
      <c r="BM89" s="11" t="s">
        <v>1901</v>
      </c>
      <c r="BN89" s="11" t="s">
        <v>1902</v>
      </c>
      <c r="BO89" s="11" t="s">
        <v>319</v>
      </c>
      <c r="BP89" s="11" t="s">
        <v>320</v>
      </c>
      <c r="BQ89" s="11" t="s">
        <v>319</v>
      </c>
      <c r="BR89" s="11" t="s">
        <v>1903</v>
      </c>
      <c r="BS89" s="11" t="s">
        <v>615</v>
      </c>
      <c r="BT89" s="11" t="s">
        <v>1904</v>
      </c>
      <c r="BU89" s="11" t="s">
        <v>1905</v>
      </c>
      <c r="BV89" s="22">
        <v>2000</v>
      </c>
      <c r="BW89" s="22">
        <v>2000</v>
      </c>
      <c r="BX89" s="22">
        <v>4000</v>
      </c>
      <c r="BY89" s="22">
        <v>30000</v>
      </c>
      <c r="BZ89" s="22">
        <v>50000</v>
      </c>
      <c r="CA89" s="22">
        <v>80000</v>
      </c>
      <c r="CB89" s="15" t="s">
        <v>1906</v>
      </c>
      <c r="CL89" s="18"/>
      <c r="CP89" s="18"/>
      <c r="CT89" s="18"/>
      <c r="CX89" s="18"/>
      <c r="DB89" s="18"/>
      <c r="DF89" s="18"/>
      <c r="DJ89" s="18"/>
      <c r="DN89" s="18"/>
      <c r="DR89" s="18"/>
      <c r="DV89" s="18"/>
      <c r="DZ89" s="18"/>
      <c r="ED89" s="18"/>
      <c r="EI89" s="18"/>
      <c r="EM89" s="22">
        <v>28000</v>
      </c>
      <c r="EP89" s="22">
        <v>700000</v>
      </c>
      <c r="EQ89" s="12" t="s">
        <v>319</v>
      </c>
      <c r="ES89" s="18"/>
      <c r="EU89" s="11" t="s">
        <v>319</v>
      </c>
      <c r="EW89" s="18"/>
      <c r="EY89" s="11" t="s">
        <v>320</v>
      </c>
      <c r="FA89" s="18"/>
      <c r="FC89" s="12" t="s">
        <v>319</v>
      </c>
      <c r="FE89" s="18"/>
      <c r="FG89" s="11" t="s">
        <v>320</v>
      </c>
      <c r="FI89" s="18"/>
      <c r="FK89" s="11" t="s">
        <v>319</v>
      </c>
      <c r="FM89" s="18"/>
      <c r="FO89" s="11" t="s">
        <v>319</v>
      </c>
      <c r="FQ89" s="18"/>
      <c r="FS89" s="12" t="s">
        <v>320</v>
      </c>
      <c r="FU89" s="18"/>
      <c r="FW89" s="11" t="s">
        <v>319</v>
      </c>
      <c r="FY89" s="18"/>
      <c r="GA89" s="11" t="s">
        <v>319</v>
      </c>
      <c r="GC89" s="18"/>
      <c r="GE89" s="11" t="s">
        <v>319</v>
      </c>
      <c r="GG89" s="18"/>
      <c r="GI89" s="11" t="s">
        <v>319</v>
      </c>
      <c r="GK89" s="18"/>
      <c r="GM89" s="11" t="s">
        <v>320</v>
      </c>
      <c r="GO89" s="18"/>
      <c r="GQ89" s="11" t="s">
        <v>319</v>
      </c>
      <c r="GS89" s="18"/>
      <c r="GU89" s="11" t="s">
        <v>319</v>
      </c>
      <c r="GW89" s="18"/>
      <c r="GY89" s="11" t="s">
        <v>319</v>
      </c>
      <c r="HA89" s="18"/>
      <c r="HF89" s="18"/>
      <c r="HH89" s="11" t="s">
        <v>320</v>
      </c>
      <c r="HI89" s="11" t="s">
        <v>560</v>
      </c>
      <c r="HJ89" s="11">
        <v>2017</v>
      </c>
      <c r="HK89" s="11" t="s">
        <v>320</v>
      </c>
      <c r="HL89" s="11" t="s">
        <v>319</v>
      </c>
      <c r="HP89" s="11" t="s">
        <v>418</v>
      </c>
      <c r="HQ89" s="11" t="s">
        <v>319</v>
      </c>
      <c r="HR89" s="11" t="s">
        <v>319</v>
      </c>
      <c r="HS89" s="11" t="s">
        <v>319</v>
      </c>
      <c r="HT89" s="11" t="s">
        <v>319</v>
      </c>
      <c r="HU89" s="11" t="s">
        <v>319</v>
      </c>
      <c r="HV89" s="11" t="s">
        <v>319</v>
      </c>
      <c r="HW89" s="11" t="s">
        <v>319</v>
      </c>
      <c r="HZ89" s="11" t="s">
        <v>363</v>
      </c>
      <c r="IA89" s="11" t="s">
        <v>1907</v>
      </c>
      <c r="IB89" s="12" t="s">
        <v>333</v>
      </c>
      <c r="IC89" s="11" t="s">
        <v>1908</v>
      </c>
      <c r="ID89" s="11" t="s">
        <v>364</v>
      </c>
      <c r="IE89" s="11" t="s">
        <v>1909</v>
      </c>
      <c r="IF89" s="11" t="s">
        <v>319</v>
      </c>
      <c r="IG89" s="11" t="s">
        <v>319</v>
      </c>
      <c r="IH89" s="11" t="s">
        <v>319</v>
      </c>
      <c r="II89" s="11" t="s">
        <v>319</v>
      </c>
      <c r="IJ89" s="12" t="str">
        <f t="shared" si="44"/>
        <v>0. Harmful</v>
      </c>
      <c r="IK89" s="12">
        <f t="shared" si="45"/>
        <v>0</v>
      </c>
      <c r="IL89" s="11" t="s">
        <v>723</v>
      </c>
      <c r="IM89" s="11" t="s">
        <v>319</v>
      </c>
      <c r="IN89" s="11" t="s">
        <v>319</v>
      </c>
      <c r="IO89" s="11" t="s">
        <v>319</v>
      </c>
      <c r="IP89" s="11" t="s">
        <v>319</v>
      </c>
      <c r="IQ89" s="12" t="str">
        <f t="shared" si="46"/>
        <v>0. Unaware</v>
      </c>
      <c r="IR89" s="12">
        <f t="shared" si="47"/>
        <v>0</v>
      </c>
      <c r="IS89" s="11" t="s">
        <v>456</v>
      </c>
      <c r="IT89" s="11" t="s">
        <v>320</v>
      </c>
      <c r="IU89" s="11" t="s">
        <v>320</v>
      </c>
      <c r="IV89" s="11" t="s">
        <v>320</v>
      </c>
      <c r="IW89" s="11" t="str">
        <f t="shared" si="48"/>
        <v>0. Harmful</v>
      </c>
      <c r="IX89" s="12">
        <f t="shared" si="49"/>
        <v>3</v>
      </c>
      <c r="IY89" s="11" t="s">
        <v>338</v>
      </c>
      <c r="IZ89" s="12" t="s">
        <v>457</v>
      </c>
      <c r="JA89" s="11">
        <v>3</v>
      </c>
      <c r="JB89" s="11" t="s">
        <v>433</v>
      </c>
      <c r="JC89" s="11" t="s">
        <v>831</v>
      </c>
      <c r="JD89" s="11" t="s">
        <v>624</v>
      </c>
      <c r="JE89" s="12" t="s">
        <v>420</v>
      </c>
      <c r="JF89" s="11" t="s">
        <v>1910</v>
      </c>
      <c r="JH89" s="11" t="s">
        <v>1911</v>
      </c>
      <c r="JI89" s="11" t="s">
        <v>1912</v>
      </c>
      <c r="JN89" s="11" t="s">
        <v>1913</v>
      </c>
      <c r="JP89" s="15">
        <f t="shared" si="50"/>
        <v>28000</v>
      </c>
      <c r="JQ89" s="15">
        <f t="shared" si="51"/>
        <v>700000</v>
      </c>
      <c r="JR89" s="279">
        <f t="shared" si="52"/>
        <v>25</v>
      </c>
      <c r="JS89" s="17">
        <f t="shared" si="53"/>
        <v>0</v>
      </c>
      <c r="JT89" s="18">
        <f t="shared" si="54"/>
        <v>0</v>
      </c>
      <c r="JU89" s="280">
        <f t="shared" si="55"/>
        <v>0</v>
      </c>
      <c r="JV89" s="280">
        <f t="shared" si="56"/>
        <v>0</v>
      </c>
      <c r="JW89" s="319" t="str">
        <f t="shared" si="57"/>
        <v/>
      </c>
      <c r="JX89" s="15">
        <f t="shared" si="58"/>
        <v>0</v>
      </c>
      <c r="JY89" s="15">
        <f t="shared" si="59"/>
        <v>0</v>
      </c>
      <c r="JZ89" s="19" t="str">
        <f t="shared" si="60"/>
        <v/>
      </c>
      <c r="KA89" s="52">
        <f t="shared" si="61"/>
        <v>1</v>
      </c>
      <c r="KB89" s="15">
        <f t="shared" si="62"/>
        <v>0</v>
      </c>
      <c r="KC89" s="15">
        <f t="shared" si="63"/>
        <v>0</v>
      </c>
      <c r="KD89" s="20" t="str">
        <f t="shared" si="64"/>
        <v/>
      </c>
      <c r="KE89" s="52" t="str">
        <f t="shared" si="65"/>
        <v/>
      </c>
      <c r="KF89" s="15">
        <f t="shared" si="66"/>
        <v>0</v>
      </c>
      <c r="KG89" s="15">
        <f t="shared" si="67"/>
        <v>0</v>
      </c>
      <c r="KH89" s="21" t="str">
        <f t="shared" si="68"/>
        <v/>
      </c>
      <c r="KI89" s="52">
        <f t="shared" si="69"/>
        <v>1</v>
      </c>
      <c r="KJ89" s="15">
        <f t="shared" si="70"/>
        <v>0</v>
      </c>
      <c r="KK89" s="15">
        <f t="shared" si="71"/>
        <v>0</v>
      </c>
      <c r="KL89" s="19" t="str">
        <f t="shared" si="72"/>
        <v/>
      </c>
      <c r="KM89" s="52">
        <f t="shared" si="73"/>
        <v>1</v>
      </c>
      <c r="KN89" s="22">
        <f t="shared" si="74"/>
        <v>0</v>
      </c>
      <c r="KO89" s="22">
        <f t="shared" si="75"/>
        <v>0</v>
      </c>
      <c r="KP89" s="19" t="str">
        <f t="shared" si="76"/>
        <v/>
      </c>
      <c r="KQ89" s="11" t="str">
        <f t="shared" si="77"/>
        <v>0. Harmful</v>
      </c>
      <c r="KR89" s="11" t="str">
        <f t="shared" si="78"/>
        <v>0. Unaware</v>
      </c>
      <c r="KS89" s="11" t="str">
        <f t="shared" si="79"/>
        <v>0. Harmful</v>
      </c>
      <c r="KT89" s="11" t="str">
        <f t="shared" si="80"/>
        <v>It did not develop any specific innovation</v>
      </c>
      <c r="KU89" s="11" t="str">
        <f t="shared" si="81"/>
        <v>Little or no advocacy</v>
      </c>
      <c r="KV89" s="11" t="str">
        <f t="shared" si="82"/>
        <v>It did not take tested solutions to scale</v>
      </c>
      <c r="KW89" s="11" t="str">
        <f t="shared" si="83"/>
        <v>Burundi - Addressing roots causes/Nyubahiriza</v>
      </c>
      <c r="KX89" s="11" t="str">
        <f t="shared" si="84"/>
        <v>Addressing roots causes/Nyubahiriza</v>
      </c>
      <c r="KY89" s="11" t="str">
        <f t="shared" si="85"/>
        <v>Burundi</v>
      </c>
      <c r="KZ89" s="12">
        <v>89</v>
      </c>
    </row>
    <row r="90" spans="1:312" x14ac:dyDescent="0.3">
      <c r="A90" s="11" t="s">
        <v>1873</v>
      </c>
      <c r="B90" s="11" t="s">
        <v>1874</v>
      </c>
      <c r="D90" s="27" t="s">
        <v>1914</v>
      </c>
      <c r="E90" s="288" t="str">
        <f t="shared" si="43"/>
        <v>Burundi</v>
      </c>
      <c r="F90" s="11" t="s">
        <v>1915</v>
      </c>
      <c r="G90" s="11" t="s">
        <v>425</v>
      </c>
      <c r="H90" s="11" t="s">
        <v>310</v>
      </c>
      <c r="I90" s="11" t="s">
        <v>426</v>
      </c>
      <c r="J90" s="278" t="s">
        <v>14563</v>
      </c>
      <c r="BD90" s="23">
        <v>42522</v>
      </c>
      <c r="BE90" s="23">
        <v>44196</v>
      </c>
      <c r="BG90" s="11" t="s">
        <v>609</v>
      </c>
      <c r="BH90" s="22">
        <v>2567435</v>
      </c>
      <c r="BI90" s="11" t="s">
        <v>1898</v>
      </c>
      <c r="BJ90" s="11" t="s">
        <v>1899</v>
      </c>
      <c r="BK90" s="11" t="s">
        <v>1916</v>
      </c>
      <c r="BL90" s="11" t="s">
        <v>1917</v>
      </c>
      <c r="BM90" s="11" t="s">
        <v>751</v>
      </c>
      <c r="BN90" s="11" t="s">
        <v>1918</v>
      </c>
      <c r="BO90" s="12" t="s">
        <v>319</v>
      </c>
      <c r="BP90" s="12" t="s">
        <v>320</v>
      </c>
      <c r="BQ90" s="12" t="s">
        <v>319</v>
      </c>
      <c r="BR90" s="11" t="s">
        <v>1919</v>
      </c>
      <c r="BS90" s="11" t="s">
        <v>357</v>
      </c>
      <c r="BT90" s="11" t="s">
        <v>1920</v>
      </c>
      <c r="BU90" s="11" t="s">
        <v>1921</v>
      </c>
      <c r="BV90" s="22">
        <v>16309</v>
      </c>
      <c r="BW90" s="22">
        <v>0</v>
      </c>
      <c r="BX90" s="22">
        <v>16309</v>
      </c>
      <c r="BY90" s="22">
        <v>48242</v>
      </c>
      <c r="BZ90" s="22">
        <v>39924</v>
      </c>
      <c r="CA90" s="22">
        <v>88166</v>
      </c>
      <c r="CB90" s="15" t="s">
        <v>1922</v>
      </c>
      <c r="CL90" s="18"/>
      <c r="CP90" s="18"/>
      <c r="CT90" s="18"/>
      <c r="CX90" s="18"/>
      <c r="DB90" s="18"/>
      <c r="DF90" s="18"/>
      <c r="DJ90" s="18"/>
      <c r="DN90" s="18"/>
      <c r="DR90" s="18"/>
      <c r="DV90" s="18"/>
      <c r="DZ90" s="18"/>
      <c r="ED90" s="18"/>
      <c r="EI90" s="18"/>
      <c r="EK90" s="22">
        <v>16309</v>
      </c>
      <c r="EM90" s="22">
        <v>16309</v>
      </c>
      <c r="EN90" s="22">
        <v>48242</v>
      </c>
      <c r="EO90" s="22">
        <v>39924</v>
      </c>
      <c r="EP90" s="22">
        <v>88166</v>
      </c>
      <c r="EQ90" s="12" t="s">
        <v>319</v>
      </c>
      <c r="ES90" s="18"/>
      <c r="EU90" s="11" t="s">
        <v>319</v>
      </c>
      <c r="EW90" s="18"/>
      <c r="EY90" s="12" t="s">
        <v>319</v>
      </c>
      <c r="FA90" s="18"/>
      <c r="FC90" s="12" t="s">
        <v>319</v>
      </c>
      <c r="FE90" s="18"/>
      <c r="FG90" s="12" t="s">
        <v>319</v>
      </c>
      <c r="FI90" s="18"/>
      <c r="FK90" s="11" t="s">
        <v>319</v>
      </c>
      <c r="FM90" s="18"/>
      <c r="FO90" s="11" t="s">
        <v>319</v>
      </c>
      <c r="FQ90" s="18"/>
      <c r="FS90" s="12" t="s">
        <v>320</v>
      </c>
      <c r="FT90" s="22">
        <v>16309</v>
      </c>
      <c r="FU90" s="18">
        <v>0.63700000000000001</v>
      </c>
      <c r="FW90" s="11" t="s">
        <v>319</v>
      </c>
      <c r="FY90" s="18"/>
      <c r="GA90" s="11" t="s">
        <v>319</v>
      </c>
      <c r="GC90" s="18"/>
      <c r="GE90" s="11" t="s">
        <v>319</v>
      </c>
      <c r="GG90" s="18"/>
      <c r="GI90" s="11" t="s">
        <v>319</v>
      </c>
      <c r="GK90" s="18"/>
      <c r="GM90" s="11" t="s">
        <v>320</v>
      </c>
      <c r="GN90" s="22">
        <v>4800</v>
      </c>
      <c r="GO90" s="18">
        <v>0.19</v>
      </c>
      <c r="GQ90" s="11" t="s">
        <v>319</v>
      </c>
      <c r="GS90" s="18"/>
      <c r="GU90" s="11" t="s">
        <v>319</v>
      </c>
      <c r="GW90" s="18"/>
      <c r="GY90" s="11" t="s">
        <v>319</v>
      </c>
      <c r="HA90" s="18"/>
      <c r="HD90" s="11" t="s">
        <v>319</v>
      </c>
      <c r="HF90" s="18"/>
      <c r="HH90" s="11" t="s">
        <v>320</v>
      </c>
      <c r="HI90" s="11" t="s">
        <v>416</v>
      </c>
      <c r="HJ90" s="11">
        <v>2017</v>
      </c>
      <c r="HK90" s="11" t="s">
        <v>320</v>
      </c>
      <c r="HL90" s="11" t="s">
        <v>319</v>
      </c>
      <c r="HP90" s="11" t="s">
        <v>453</v>
      </c>
      <c r="HQ90" s="11" t="s">
        <v>319</v>
      </c>
      <c r="HR90" s="11" t="s">
        <v>319</v>
      </c>
      <c r="HS90" s="11" t="s">
        <v>319</v>
      </c>
      <c r="HT90" s="11" t="s">
        <v>320</v>
      </c>
      <c r="HU90" s="11" t="s">
        <v>320</v>
      </c>
      <c r="HV90" s="11" t="s">
        <v>320</v>
      </c>
      <c r="HW90" s="11" t="s">
        <v>320</v>
      </c>
      <c r="HX90" s="11" t="s">
        <v>320</v>
      </c>
      <c r="HY90" s="11" t="s">
        <v>1923</v>
      </c>
      <c r="HZ90" s="11" t="s">
        <v>363</v>
      </c>
      <c r="IB90" s="12" t="s">
        <v>396</v>
      </c>
      <c r="ID90" s="11" t="s">
        <v>477</v>
      </c>
      <c r="IE90" s="11" t="s">
        <v>335</v>
      </c>
      <c r="IF90" s="11" t="s">
        <v>320</v>
      </c>
      <c r="IG90" s="11" t="s">
        <v>320</v>
      </c>
      <c r="IH90" s="11" t="s">
        <v>320</v>
      </c>
      <c r="II90" s="11" t="s">
        <v>320</v>
      </c>
      <c r="IJ90" s="12" t="str">
        <f t="shared" si="44"/>
        <v>2. Sensitive</v>
      </c>
      <c r="IK90" s="12">
        <f t="shared" si="45"/>
        <v>4</v>
      </c>
      <c r="IL90" s="11" t="s">
        <v>621</v>
      </c>
      <c r="IM90" s="11" t="s">
        <v>320</v>
      </c>
      <c r="IN90" s="11" t="s">
        <v>320</v>
      </c>
      <c r="IO90" s="11" t="s">
        <v>320</v>
      </c>
      <c r="IP90" s="11" t="s">
        <v>320</v>
      </c>
      <c r="IQ90" s="12" t="str">
        <f t="shared" si="46"/>
        <v>4. Transformational</v>
      </c>
      <c r="IR90" s="12">
        <f t="shared" si="47"/>
        <v>4</v>
      </c>
      <c r="IS90" s="11" t="s">
        <v>456</v>
      </c>
      <c r="IT90" s="11" t="s">
        <v>320</v>
      </c>
      <c r="IU90" s="11" t="s">
        <v>320</v>
      </c>
      <c r="IV90" s="11" t="s">
        <v>320</v>
      </c>
      <c r="IW90" s="11" t="str">
        <f t="shared" si="48"/>
        <v>0. Harmful</v>
      </c>
      <c r="IX90" s="12">
        <f t="shared" si="49"/>
        <v>3</v>
      </c>
      <c r="IY90" s="11" t="s">
        <v>338</v>
      </c>
      <c r="IZ90" s="12" t="s">
        <v>457</v>
      </c>
      <c r="JA90" s="11">
        <v>2</v>
      </c>
      <c r="JB90" s="11" t="s">
        <v>433</v>
      </c>
      <c r="JC90" s="11" t="s">
        <v>831</v>
      </c>
      <c r="JD90" s="11" t="s">
        <v>687</v>
      </c>
      <c r="JE90" s="12" t="s">
        <v>340</v>
      </c>
      <c r="JF90" s="11" t="s">
        <v>1924</v>
      </c>
      <c r="JG90" s="11" t="s">
        <v>1925</v>
      </c>
      <c r="JH90" s="11" t="s">
        <v>1926</v>
      </c>
      <c r="JK90" s="11" t="s">
        <v>1927</v>
      </c>
      <c r="JL90" s="11" t="s">
        <v>1928</v>
      </c>
      <c r="JM90" s="11" t="s">
        <v>1929</v>
      </c>
      <c r="JN90" s="11" t="s">
        <v>1930</v>
      </c>
      <c r="JO90" s="11" t="s">
        <v>1931</v>
      </c>
      <c r="JP90" s="15">
        <f t="shared" si="50"/>
        <v>16309</v>
      </c>
      <c r="JQ90" s="15">
        <f t="shared" si="51"/>
        <v>88166</v>
      </c>
      <c r="JR90" s="279">
        <f t="shared" si="52"/>
        <v>5.4059721626096024</v>
      </c>
      <c r="JS90" s="17">
        <f t="shared" si="53"/>
        <v>1</v>
      </c>
      <c r="JT90" s="18">
        <f t="shared" si="54"/>
        <v>0.54717237937526941</v>
      </c>
      <c r="JU90" s="280">
        <f t="shared" si="55"/>
        <v>16309</v>
      </c>
      <c r="JV90" s="280">
        <f t="shared" si="56"/>
        <v>48242</v>
      </c>
      <c r="JW90" s="319" t="str">
        <f t="shared" si="57"/>
        <v/>
      </c>
      <c r="JX90" s="15">
        <f t="shared" si="58"/>
        <v>0</v>
      </c>
      <c r="JY90" s="15">
        <f t="shared" si="59"/>
        <v>0</v>
      </c>
      <c r="JZ90" s="19" t="str">
        <f t="shared" si="60"/>
        <v/>
      </c>
      <c r="KA90" s="52" t="str">
        <f t="shared" si="61"/>
        <v/>
      </c>
      <c r="KB90" s="15">
        <f t="shared" si="62"/>
        <v>0</v>
      </c>
      <c r="KC90" s="15">
        <f t="shared" si="63"/>
        <v>0</v>
      </c>
      <c r="KD90" s="20" t="str">
        <f t="shared" si="64"/>
        <v/>
      </c>
      <c r="KE90" s="52" t="str">
        <f t="shared" si="65"/>
        <v/>
      </c>
      <c r="KF90" s="15">
        <f t="shared" si="66"/>
        <v>0</v>
      </c>
      <c r="KG90" s="15">
        <f t="shared" si="67"/>
        <v>0</v>
      </c>
      <c r="KH90" s="21" t="str">
        <f t="shared" si="68"/>
        <v/>
      </c>
      <c r="KI90" s="52">
        <f t="shared" si="69"/>
        <v>1</v>
      </c>
      <c r="KJ90" s="15">
        <f t="shared" si="70"/>
        <v>16309</v>
      </c>
      <c r="KK90" s="15">
        <f t="shared" si="71"/>
        <v>0</v>
      </c>
      <c r="KL90" s="19">
        <f t="shared" si="72"/>
        <v>0</v>
      </c>
      <c r="KM90" s="52" t="str">
        <f t="shared" si="73"/>
        <v/>
      </c>
      <c r="KN90" s="22">
        <f t="shared" si="74"/>
        <v>0</v>
      </c>
      <c r="KO90" s="22">
        <f t="shared" si="75"/>
        <v>0</v>
      </c>
      <c r="KP90" s="19" t="str">
        <f t="shared" si="76"/>
        <v/>
      </c>
      <c r="KQ90" s="11" t="str">
        <f t="shared" si="77"/>
        <v>2. Sensitive</v>
      </c>
      <c r="KR90" s="11" t="str">
        <f t="shared" si="78"/>
        <v>4. Transformational</v>
      </c>
      <c r="KS90" s="11" t="str">
        <f t="shared" si="79"/>
        <v>0. Harmful</v>
      </c>
      <c r="KT90" s="11" t="str">
        <f t="shared" si="80"/>
        <v>It did not develop any specific innovation</v>
      </c>
      <c r="KU90" s="11" t="str">
        <f t="shared" si="81"/>
        <v>Intensive advocacy</v>
      </c>
      <c r="KV90" s="11" t="str">
        <f t="shared" si="82"/>
        <v>It linked and worked with strategic alliances and partners to take tested and effective solutions to scale</v>
      </c>
      <c r="KW90" s="11" t="str">
        <f t="shared" si="83"/>
        <v>Burundi - Every Voice Counts</v>
      </c>
      <c r="KX90" s="11" t="str">
        <f t="shared" si="84"/>
        <v>Every Voice Counts</v>
      </c>
      <c r="KY90" s="11" t="str">
        <f t="shared" si="85"/>
        <v>Burundi</v>
      </c>
      <c r="KZ90" s="12">
        <v>90</v>
      </c>
    </row>
    <row r="91" spans="1:312" x14ac:dyDescent="0.3">
      <c r="A91" s="11" t="s">
        <v>1873</v>
      </c>
      <c r="B91" s="11" t="s">
        <v>1874</v>
      </c>
      <c r="D91" s="27" t="s">
        <v>2048</v>
      </c>
      <c r="E91" s="288" t="str">
        <f t="shared" si="43"/>
        <v>Burundi</v>
      </c>
      <c r="F91" s="11" t="s">
        <v>2049</v>
      </c>
      <c r="G91" s="11" t="s">
        <v>608</v>
      </c>
      <c r="H91" s="11" t="s">
        <v>380</v>
      </c>
      <c r="I91" s="11" t="s">
        <v>381</v>
      </c>
      <c r="J91" s="278" t="s">
        <v>14583</v>
      </c>
      <c r="BD91" s="23">
        <v>42613</v>
      </c>
      <c r="BE91" s="23">
        <v>42916</v>
      </c>
      <c r="BG91" s="11" t="s">
        <v>749</v>
      </c>
      <c r="BH91" s="22">
        <v>42462</v>
      </c>
      <c r="BI91" s="11" t="s">
        <v>1880</v>
      </c>
      <c r="BJ91" s="11" t="s">
        <v>2050</v>
      </c>
      <c r="BK91" s="11" t="s">
        <v>2040</v>
      </c>
      <c r="BL91" s="11" t="s">
        <v>2051</v>
      </c>
      <c r="BM91" s="11" t="s">
        <v>2052</v>
      </c>
      <c r="BN91" s="11" t="s">
        <v>2053</v>
      </c>
      <c r="BO91" s="12" t="s">
        <v>319</v>
      </c>
      <c r="BP91" s="12" t="s">
        <v>320</v>
      </c>
      <c r="BQ91" s="12" t="s">
        <v>319</v>
      </c>
      <c r="BR91" s="11" t="s">
        <v>2054</v>
      </c>
      <c r="BS91" s="11" t="s">
        <v>322</v>
      </c>
      <c r="BT91" s="11" t="s">
        <v>2055</v>
      </c>
      <c r="BU91" s="11" t="s">
        <v>2056</v>
      </c>
      <c r="BV91" s="22">
        <v>1750</v>
      </c>
      <c r="BW91" s="22">
        <v>750</v>
      </c>
      <c r="BX91" s="22">
        <v>2500</v>
      </c>
      <c r="BY91" s="22">
        <v>8925</v>
      </c>
      <c r="BZ91" s="22">
        <v>3827</v>
      </c>
      <c r="CA91" s="22">
        <v>12752</v>
      </c>
      <c r="CB91" s="15" t="s">
        <v>1971</v>
      </c>
      <c r="CL91" s="18"/>
      <c r="CP91" s="18"/>
      <c r="CT91" s="18"/>
      <c r="CX91" s="18"/>
      <c r="DB91" s="18"/>
      <c r="DF91" s="18"/>
      <c r="DJ91" s="18"/>
      <c r="DN91" s="18"/>
      <c r="DR91" s="18"/>
      <c r="DV91" s="18"/>
      <c r="DZ91" s="18"/>
      <c r="ED91" s="18"/>
      <c r="EI91" s="18"/>
      <c r="EK91" s="22">
        <v>1750</v>
      </c>
      <c r="EL91" s="22">
        <v>750</v>
      </c>
      <c r="EM91" s="22">
        <v>2500</v>
      </c>
      <c r="EN91" s="22">
        <v>8925</v>
      </c>
      <c r="EO91" s="22">
        <v>3827</v>
      </c>
      <c r="EP91" s="22">
        <v>12752</v>
      </c>
      <c r="EQ91" s="12" t="s">
        <v>320</v>
      </c>
      <c r="ER91" s="22">
        <v>2500</v>
      </c>
      <c r="ES91" s="18">
        <v>0.7</v>
      </c>
      <c r="ET91" s="22">
        <v>12752</v>
      </c>
      <c r="EU91" s="11" t="s">
        <v>320</v>
      </c>
      <c r="EV91" s="22">
        <v>2500</v>
      </c>
      <c r="EW91" s="18">
        <v>0.7</v>
      </c>
      <c r="EX91" s="22">
        <v>12752</v>
      </c>
      <c r="EY91" s="12" t="s">
        <v>319</v>
      </c>
      <c r="FA91" s="18"/>
      <c r="FC91" s="12" t="s">
        <v>319</v>
      </c>
      <c r="FE91" s="18"/>
      <c r="FG91" s="12" t="s">
        <v>319</v>
      </c>
      <c r="FI91" s="18"/>
      <c r="FK91" s="11" t="s">
        <v>319</v>
      </c>
      <c r="FM91" s="18"/>
      <c r="FO91" s="12" t="s">
        <v>320</v>
      </c>
      <c r="FP91" s="22">
        <v>2500</v>
      </c>
      <c r="FQ91" s="18">
        <v>0.7</v>
      </c>
      <c r="FR91" s="22">
        <v>12752</v>
      </c>
      <c r="FS91" s="11" t="s">
        <v>319</v>
      </c>
      <c r="FU91" s="18"/>
      <c r="FW91" s="11" t="s">
        <v>320</v>
      </c>
      <c r="FX91" s="22">
        <v>2500</v>
      </c>
      <c r="FY91" s="18">
        <v>0.7</v>
      </c>
      <c r="FZ91" s="22">
        <v>12752</v>
      </c>
      <c r="GA91" s="11" t="s">
        <v>319</v>
      </c>
      <c r="GC91" s="18"/>
      <c r="GE91" s="11" t="s">
        <v>319</v>
      </c>
      <c r="GG91" s="18"/>
      <c r="GI91" s="11" t="s">
        <v>319</v>
      </c>
      <c r="GK91" s="18"/>
      <c r="GM91" s="11" t="s">
        <v>319</v>
      </c>
      <c r="GO91" s="18"/>
      <c r="GQ91" s="11" t="s">
        <v>319</v>
      </c>
      <c r="GS91" s="18"/>
      <c r="GU91" s="11" t="s">
        <v>319</v>
      </c>
      <c r="GW91" s="18"/>
      <c r="GY91" s="11" t="s">
        <v>320</v>
      </c>
      <c r="GZ91" s="22">
        <v>2500</v>
      </c>
      <c r="HA91" s="18">
        <v>0.7</v>
      </c>
      <c r="HB91" s="22">
        <v>12752</v>
      </c>
      <c r="HF91" s="18"/>
      <c r="HH91" s="11" t="s">
        <v>319</v>
      </c>
      <c r="HK91" s="11" t="s">
        <v>319</v>
      </c>
      <c r="HL91" s="11" t="s">
        <v>319</v>
      </c>
      <c r="HO91" s="11" t="s">
        <v>2057</v>
      </c>
      <c r="HP91" s="11" t="s">
        <v>418</v>
      </c>
      <c r="HQ91" s="11" t="s">
        <v>319</v>
      </c>
      <c r="HR91" s="11" t="s">
        <v>319</v>
      </c>
      <c r="HS91" s="11" t="s">
        <v>320</v>
      </c>
      <c r="HT91" s="11" t="s">
        <v>319</v>
      </c>
      <c r="HU91" s="11" t="s">
        <v>319</v>
      </c>
      <c r="HV91" s="11" t="s">
        <v>319</v>
      </c>
      <c r="HW91" s="11" t="s">
        <v>319</v>
      </c>
      <c r="HX91" s="11" t="s">
        <v>319</v>
      </c>
      <c r="HZ91" s="11" t="s">
        <v>394</v>
      </c>
      <c r="IA91" s="11" t="s">
        <v>2058</v>
      </c>
      <c r="IB91" s="12" t="s">
        <v>396</v>
      </c>
      <c r="IC91" s="11" t="s">
        <v>2059</v>
      </c>
      <c r="ID91" s="11" t="s">
        <v>364</v>
      </c>
      <c r="IE91" s="11" t="s">
        <v>478</v>
      </c>
      <c r="IF91" s="11" t="s">
        <v>319</v>
      </c>
      <c r="IG91" s="11" t="s">
        <v>319</v>
      </c>
      <c r="IH91" s="11" t="s">
        <v>319</v>
      </c>
      <c r="II91" s="11" t="s">
        <v>319</v>
      </c>
      <c r="IJ91" s="12" t="str">
        <f t="shared" si="44"/>
        <v>No marker score</v>
      </c>
      <c r="IK91" s="12">
        <f t="shared" si="45"/>
        <v>0</v>
      </c>
      <c r="IL91" s="11" t="s">
        <v>723</v>
      </c>
      <c r="IM91" s="11" t="s">
        <v>320</v>
      </c>
      <c r="IN91" s="11" t="s">
        <v>320</v>
      </c>
      <c r="IO91" s="11" t="s">
        <v>320</v>
      </c>
      <c r="IP91" s="11" t="s">
        <v>320</v>
      </c>
      <c r="IQ91" s="12" t="str">
        <f t="shared" si="46"/>
        <v>0. Unaware</v>
      </c>
      <c r="IR91" s="12">
        <f t="shared" si="47"/>
        <v>4</v>
      </c>
      <c r="IS91" s="11" t="s">
        <v>622</v>
      </c>
      <c r="IT91" s="11" t="s">
        <v>320</v>
      </c>
      <c r="IU91" s="11" t="s">
        <v>320</v>
      </c>
      <c r="IV91" s="11" t="s">
        <v>320</v>
      </c>
      <c r="IW91" s="11" t="str">
        <f t="shared" si="48"/>
        <v>4. Transformative</v>
      </c>
      <c r="IX91" s="12">
        <f t="shared" si="49"/>
        <v>3</v>
      </c>
      <c r="IY91" s="11" t="s">
        <v>419</v>
      </c>
      <c r="IZ91" s="12" t="s">
        <v>457</v>
      </c>
      <c r="JA91" s="11">
        <v>1</v>
      </c>
      <c r="JB91" s="12" t="s">
        <v>624</v>
      </c>
      <c r="JC91" s="11" t="s">
        <v>687</v>
      </c>
      <c r="JD91" s="11" t="s">
        <v>433</v>
      </c>
      <c r="JE91" s="12" t="s">
        <v>340</v>
      </c>
      <c r="JF91" s="11" t="s">
        <v>2060</v>
      </c>
      <c r="JH91" s="11" t="s">
        <v>2061</v>
      </c>
      <c r="JI91" s="11" t="s">
        <v>2062</v>
      </c>
      <c r="JJ91" s="11" t="s">
        <v>2063</v>
      </c>
      <c r="JK91" s="11" t="s">
        <v>2064</v>
      </c>
      <c r="JL91" s="11" t="s">
        <v>2065</v>
      </c>
      <c r="JO91" s="11" t="s">
        <v>2066</v>
      </c>
      <c r="JP91" s="15">
        <f t="shared" si="50"/>
        <v>2500</v>
      </c>
      <c r="JQ91" s="15">
        <f t="shared" si="51"/>
        <v>12752</v>
      </c>
      <c r="JR91" s="279">
        <f t="shared" si="52"/>
        <v>5.1007999999999996</v>
      </c>
      <c r="JS91" s="17">
        <f t="shared" si="53"/>
        <v>0.7</v>
      </c>
      <c r="JT91" s="18">
        <f t="shared" si="54"/>
        <v>0.69989021329987455</v>
      </c>
      <c r="JU91" s="280">
        <f t="shared" si="55"/>
        <v>1750</v>
      </c>
      <c r="JV91" s="280">
        <f t="shared" si="56"/>
        <v>8925</v>
      </c>
      <c r="JW91" s="319" t="str">
        <f t="shared" si="57"/>
        <v/>
      </c>
      <c r="JX91" s="15">
        <f t="shared" si="58"/>
        <v>0</v>
      </c>
      <c r="JY91" s="15">
        <f t="shared" si="59"/>
        <v>0</v>
      </c>
      <c r="JZ91" s="19" t="str">
        <f t="shared" si="60"/>
        <v/>
      </c>
      <c r="KA91" s="52">
        <f t="shared" si="61"/>
        <v>1</v>
      </c>
      <c r="KB91" s="15">
        <f t="shared" si="62"/>
        <v>2500</v>
      </c>
      <c r="KC91" s="15">
        <f t="shared" si="63"/>
        <v>12752</v>
      </c>
      <c r="KD91" s="20">
        <f t="shared" si="64"/>
        <v>5.1007999999999996</v>
      </c>
      <c r="KE91" s="52" t="str">
        <f t="shared" si="65"/>
        <v/>
      </c>
      <c r="KF91" s="15">
        <f t="shared" si="66"/>
        <v>0</v>
      </c>
      <c r="KG91" s="15">
        <f t="shared" si="67"/>
        <v>0</v>
      </c>
      <c r="KH91" s="21" t="str">
        <f t="shared" si="68"/>
        <v/>
      </c>
      <c r="KI91" s="52" t="str">
        <f t="shared" si="69"/>
        <v/>
      </c>
      <c r="KJ91" s="15">
        <f t="shared" si="70"/>
        <v>0</v>
      </c>
      <c r="KK91" s="15">
        <f t="shared" si="71"/>
        <v>0</v>
      </c>
      <c r="KL91" s="19" t="str">
        <f t="shared" si="72"/>
        <v/>
      </c>
      <c r="KM91" s="52">
        <f t="shared" si="73"/>
        <v>1</v>
      </c>
      <c r="KN91" s="22">
        <f t="shared" si="74"/>
        <v>2500</v>
      </c>
      <c r="KO91" s="22">
        <f t="shared" si="75"/>
        <v>12752</v>
      </c>
      <c r="KP91" s="19">
        <f t="shared" si="76"/>
        <v>5.1007999999999996</v>
      </c>
      <c r="KQ91" s="11" t="str">
        <f t="shared" si="77"/>
        <v>No marker score</v>
      </c>
      <c r="KR91" s="11" t="str">
        <f t="shared" si="78"/>
        <v>0. Unaware</v>
      </c>
      <c r="KS91" s="11" t="str">
        <f t="shared" si="79"/>
        <v>4. Transformative</v>
      </c>
      <c r="KT91" s="11" t="str">
        <f t="shared" si="80"/>
        <v>It tested new ways for fighting poverty, but did not measure results of innovation</v>
      </c>
      <c r="KU91" s="11" t="str">
        <f t="shared" si="81"/>
        <v>Little or no advocacy</v>
      </c>
      <c r="KV91" s="11" t="str">
        <f t="shared" si="82"/>
        <v>It linked and worked with strategic alliances and partners to take tested and effective solutions to scale</v>
      </c>
      <c r="KW91" s="11" t="str">
        <f t="shared" si="83"/>
        <v>Burundi - Formation et accompagnement des partenaires de la FAO sur l'approche VSLA</v>
      </c>
      <c r="KX91" s="11" t="str">
        <f t="shared" si="84"/>
        <v>Formation et accompagnement des partenaires de la FAO sur l'approche VSLA</v>
      </c>
      <c r="KY91" s="11" t="str">
        <f t="shared" si="85"/>
        <v>Burundi</v>
      </c>
      <c r="KZ91" s="12">
        <v>91</v>
      </c>
    </row>
    <row r="92" spans="1:312" x14ac:dyDescent="0.3">
      <c r="A92" s="11" t="s">
        <v>1873</v>
      </c>
      <c r="B92" s="11" t="s">
        <v>1874</v>
      </c>
      <c r="C92" s="11">
        <v>3726</v>
      </c>
      <c r="D92" s="27" t="s">
        <v>14584</v>
      </c>
      <c r="E92" s="288" t="str">
        <f t="shared" si="43"/>
        <v>Burundi</v>
      </c>
      <c r="F92" s="11" t="s">
        <v>1979</v>
      </c>
      <c r="G92" s="11" t="s">
        <v>467</v>
      </c>
      <c r="H92" s="11" t="s">
        <v>310</v>
      </c>
      <c r="I92" s="11" t="s">
        <v>468</v>
      </c>
      <c r="J92" s="278" t="s">
        <v>9212</v>
      </c>
      <c r="BD92" s="23">
        <v>42430</v>
      </c>
      <c r="BE92" s="23">
        <v>43890</v>
      </c>
      <c r="BG92" s="11" t="s">
        <v>350</v>
      </c>
      <c r="BH92" s="22">
        <v>5716244</v>
      </c>
      <c r="BI92" s="11" t="s">
        <v>1980</v>
      </c>
      <c r="BJ92" s="11" t="s">
        <v>1899</v>
      </c>
      <c r="BK92" s="11" t="s">
        <v>1879</v>
      </c>
      <c r="BL92" s="11" t="s">
        <v>1981</v>
      </c>
      <c r="BM92" s="11" t="s">
        <v>751</v>
      </c>
      <c r="BN92" s="11" t="s">
        <v>1968</v>
      </c>
      <c r="BO92" s="11" t="s">
        <v>319</v>
      </c>
      <c r="BP92" s="11" t="s">
        <v>320</v>
      </c>
      <c r="BQ92" s="11" t="s">
        <v>319</v>
      </c>
      <c r="BR92" s="11" t="s">
        <v>1982</v>
      </c>
      <c r="BS92" s="11" t="s">
        <v>615</v>
      </c>
      <c r="BT92" s="11" t="s">
        <v>1983</v>
      </c>
      <c r="BU92" s="11" t="s">
        <v>1984</v>
      </c>
      <c r="BV92" s="22">
        <v>331825</v>
      </c>
      <c r="BW92" s="22">
        <v>20000</v>
      </c>
      <c r="BX92" s="22">
        <v>351825</v>
      </c>
      <c r="BY92" s="22">
        <v>900743</v>
      </c>
      <c r="BZ92" s="22">
        <v>882800</v>
      </c>
      <c r="CA92" s="22">
        <v>1783543</v>
      </c>
      <c r="CB92" s="32" t="s">
        <v>14585</v>
      </c>
      <c r="CL92" s="18"/>
      <c r="CP92" s="18"/>
      <c r="CT92" s="18"/>
      <c r="CX92" s="18"/>
      <c r="DB92" s="18"/>
      <c r="DF92" s="18"/>
      <c r="DJ92" s="18"/>
      <c r="DN92" s="18"/>
      <c r="DR92" s="18"/>
      <c r="DV92" s="18"/>
      <c r="DZ92" s="18"/>
      <c r="ED92" s="18"/>
      <c r="EI92" s="18"/>
      <c r="EK92" s="22">
        <v>236194</v>
      </c>
      <c r="EL92" s="22">
        <v>20000</v>
      </c>
      <c r="EM92" s="22">
        <v>256194</v>
      </c>
      <c r="EN92" s="29"/>
      <c r="EO92" s="29"/>
      <c r="EP92" s="29"/>
      <c r="EQ92" s="12" t="s">
        <v>319</v>
      </c>
      <c r="ES92" s="18"/>
      <c r="EU92" s="11" t="s">
        <v>319</v>
      </c>
      <c r="EW92" s="18"/>
      <c r="EY92" s="12" t="s">
        <v>320</v>
      </c>
      <c r="EZ92" s="22">
        <v>299228</v>
      </c>
      <c r="FA92" s="18">
        <v>0.79</v>
      </c>
      <c r="FB92" s="29"/>
      <c r="FC92" s="12" t="s">
        <v>319</v>
      </c>
      <c r="FE92" s="18"/>
      <c r="FG92" s="12" t="s">
        <v>319</v>
      </c>
      <c r="FI92" s="18"/>
      <c r="FK92" s="11" t="s">
        <v>319</v>
      </c>
      <c r="FM92" s="18"/>
      <c r="FO92" s="11" t="s">
        <v>319</v>
      </c>
      <c r="FQ92" s="18"/>
      <c r="FS92" s="12" t="s">
        <v>320</v>
      </c>
      <c r="FT92" s="22">
        <v>9824</v>
      </c>
      <c r="FU92" s="18">
        <v>0.5</v>
      </c>
      <c r="FW92" s="11" t="s">
        <v>320</v>
      </c>
      <c r="FX92" s="22">
        <v>13716</v>
      </c>
      <c r="FY92" s="18">
        <v>0.62</v>
      </c>
      <c r="GA92" s="11" t="s">
        <v>319</v>
      </c>
      <c r="GC92" s="18"/>
      <c r="GE92" s="11" t="s">
        <v>319</v>
      </c>
      <c r="GG92" s="18"/>
      <c r="GI92" s="11" t="s">
        <v>319</v>
      </c>
      <c r="GK92" s="18"/>
      <c r="GM92" s="11" t="s">
        <v>320</v>
      </c>
      <c r="GN92" s="22">
        <v>299228</v>
      </c>
      <c r="GO92" s="18">
        <v>0.79</v>
      </c>
      <c r="GP92" s="22">
        <v>1526062</v>
      </c>
      <c r="GQ92" s="12" t="s">
        <v>320</v>
      </c>
      <c r="GR92" s="22">
        <v>80164</v>
      </c>
      <c r="GS92" s="18">
        <v>0.97</v>
      </c>
      <c r="GU92" s="11" t="s">
        <v>319</v>
      </c>
      <c r="GW92" s="18"/>
      <c r="GY92" s="11" t="s">
        <v>320</v>
      </c>
      <c r="GZ92" s="22">
        <v>299228</v>
      </c>
      <c r="HA92" s="18">
        <v>0.79</v>
      </c>
      <c r="HB92" s="29"/>
      <c r="HF92" s="18"/>
      <c r="HH92" s="11" t="s">
        <v>319</v>
      </c>
      <c r="HK92" s="11" t="s">
        <v>319</v>
      </c>
      <c r="HL92" s="11" t="s">
        <v>319</v>
      </c>
      <c r="HP92" s="11" t="s">
        <v>453</v>
      </c>
      <c r="HQ92" s="11" t="s">
        <v>320</v>
      </c>
      <c r="HR92" s="11" t="s">
        <v>320</v>
      </c>
      <c r="HS92" s="11" t="s">
        <v>319</v>
      </c>
      <c r="HT92" s="11" t="s">
        <v>320</v>
      </c>
      <c r="HU92" s="11" t="s">
        <v>320</v>
      </c>
      <c r="HV92" s="11" t="s">
        <v>320</v>
      </c>
      <c r="HW92" s="11" t="s">
        <v>320</v>
      </c>
      <c r="HX92" s="11" t="s">
        <v>319</v>
      </c>
      <c r="HZ92" s="11" t="s">
        <v>394</v>
      </c>
      <c r="IA92" s="11" t="s">
        <v>1985</v>
      </c>
      <c r="IB92" s="12" t="s">
        <v>396</v>
      </c>
      <c r="IC92" s="11" t="s">
        <v>1986</v>
      </c>
      <c r="ID92" s="12" t="s">
        <v>334</v>
      </c>
      <c r="IE92" s="11" t="s">
        <v>478</v>
      </c>
      <c r="IF92" s="11" t="s">
        <v>320</v>
      </c>
      <c r="IG92" s="11" t="s">
        <v>320</v>
      </c>
      <c r="IH92" s="11" t="s">
        <v>320</v>
      </c>
      <c r="II92" s="11" t="s">
        <v>320</v>
      </c>
      <c r="IJ92" s="12" t="str">
        <f t="shared" si="44"/>
        <v>4. Transformative</v>
      </c>
      <c r="IK92" s="12">
        <f t="shared" si="45"/>
        <v>4</v>
      </c>
      <c r="IL92" s="11" t="s">
        <v>336</v>
      </c>
      <c r="IM92" s="11" t="s">
        <v>320</v>
      </c>
      <c r="IN92" s="11" t="s">
        <v>320</v>
      </c>
      <c r="IO92" s="11" t="s">
        <v>320</v>
      </c>
      <c r="IP92" s="11" t="s">
        <v>320</v>
      </c>
      <c r="IQ92" s="12" t="str">
        <f t="shared" si="46"/>
        <v>2. Accommodating</v>
      </c>
      <c r="IR92" s="12">
        <f t="shared" si="47"/>
        <v>4</v>
      </c>
      <c r="IS92" s="11" t="s">
        <v>337</v>
      </c>
      <c r="IT92" s="11" t="s">
        <v>320</v>
      </c>
      <c r="IU92" s="11" t="s">
        <v>320</v>
      </c>
      <c r="IV92" s="11" t="s">
        <v>320</v>
      </c>
      <c r="IW92" s="11" t="str">
        <f t="shared" si="48"/>
        <v>2. Sensitive</v>
      </c>
      <c r="IX92" s="12">
        <f t="shared" si="49"/>
        <v>3</v>
      </c>
      <c r="IY92" s="11" t="s">
        <v>338</v>
      </c>
      <c r="IZ92" s="11" t="s">
        <v>527</v>
      </c>
      <c r="JA92" s="11">
        <v>8</v>
      </c>
      <c r="JB92" s="11" t="s">
        <v>433</v>
      </c>
      <c r="JC92" s="12" t="s">
        <v>651</v>
      </c>
      <c r="JD92" s="11" t="s">
        <v>725</v>
      </c>
      <c r="JE92" s="12" t="s">
        <v>340</v>
      </c>
      <c r="JF92" s="11" t="s">
        <v>1987</v>
      </c>
      <c r="JH92" s="11" t="s">
        <v>1988</v>
      </c>
      <c r="JI92" s="11" t="s">
        <v>1989</v>
      </c>
      <c r="JJ92" s="11" t="s">
        <v>1990</v>
      </c>
      <c r="JK92" s="11" t="s">
        <v>1991</v>
      </c>
      <c r="JL92" s="11" t="s">
        <v>1992</v>
      </c>
      <c r="JN92" s="28" t="s">
        <v>14586</v>
      </c>
      <c r="JO92" s="11" t="s">
        <v>1993</v>
      </c>
      <c r="JP92" s="15">
        <f t="shared" si="50"/>
        <v>256194</v>
      </c>
      <c r="JQ92" s="15">
        <f t="shared" si="51"/>
        <v>0</v>
      </c>
      <c r="JR92" s="279">
        <f t="shared" si="52"/>
        <v>0</v>
      </c>
      <c r="JS92" s="17">
        <f t="shared" si="53"/>
        <v>0.92193415926992828</v>
      </c>
      <c r="JT92" s="18" t="str">
        <f t="shared" si="54"/>
        <v/>
      </c>
      <c r="JU92" s="280">
        <f t="shared" si="55"/>
        <v>236194</v>
      </c>
      <c r="JV92" s="280">
        <f t="shared" si="56"/>
        <v>0</v>
      </c>
      <c r="JW92" s="319" t="str">
        <f t="shared" si="57"/>
        <v/>
      </c>
      <c r="JX92" s="15">
        <f t="shared" si="58"/>
        <v>0</v>
      </c>
      <c r="JY92" s="15">
        <f t="shared" si="59"/>
        <v>0</v>
      </c>
      <c r="JZ92" s="19" t="str">
        <f t="shared" si="60"/>
        <v/>
      </c>
      <c r="KA92" s="52" t="str">
        <f t="shared" si="61"/>
        <v/>
      </c>
      <c r="KB92" s="15">
        <f t="shared" si="62"/>
        <v>0</v>
      </c>
      <c r="KC92" s="15">
        <f t="shared" si="63"/>
        <v>0</v>
      </c>
      <c r="KD92" s="20" t="str">
        <f t="shared" si="64"/>
        <v/>
      </c>
      <c r="KE92" s="52">
        <f t="shared" si="65"/>
        <v>1</v>
      </c>
      <c r="KF92" s="15">
        <f t="shared" si="66"/>
        <v>80164</v>
      </c>
      <c r="KG92" s="15">
        <f t="shared" si="67"/>
        <v>0</v>
      </c>
      <c r="KH92" s="21">
        <f t="shared" si="68"/>
        <v>0</v>
      </c>
      <c r="KI92" s="52">
        <f t="shared" si="69"/>
        <v>1</v>
      </c>
      <c r="KJ92" s="15">
        <f t="shared" si="70"/>
        <v>9824</v>
      </c>
      <c r="KK92" s="15">
        <f t="shared" si="71"/>
        <v>0</v>
      </c>
      <c r="KL92" s="19">
        <f t="shared" si="72"/>
        <v>0</v>
      </c>
      <c r="KM92" s="52">
        <f t="shared" si="73"/>
        <v>1</v>
      </c>
      <c r="KN92" s="22">
        <f t="shared" si="74"/>
        <v>299228</v>
      </c>
      <c r="KO92" s="22">
        <f t="shared" si="75"/>
        <v>0</v>
      </c>
      <c r="KP92" s="19">
        <f t="shared" si="76"/>
        <v>0</v>
      </c>
      <c r="KQ92" s="11" t="str">
        <f t="shared" si="77"/>
        <v>4. Transformative</v>
      </c>
      <c r="KR92" s="11" t="str">
        <f t="shared" si="78"/>
        <v>2. Accommodating</v>
      </c>
      <c r="KS92" s="11" t="str">
        <f t="shared" si="79"/>
        <v>2. Sensitive</v>
      </c>
      <c r="KT92" s="11" t="str">
        <f t="shared" si="80"/>
        <v>It tested new ways for fighting poverty, but did not measure results of innovation</v>
      </c>
      <c r="KU92" s="11" t="str">
        <f t="shared" si="81"/>
        <v>Intensive advocacy</v>
      </c>
      <c r="KV92" s="11" t="str">
        <f t="shared" si="82"/>
        <v>It linked and worked with strategic alliances and partners to take tested and effective solutions to scale</v>
      </c>
      <c r="KW92" s="11" t="str">
        <f t="shared" si="83"/>
        <v>Burundi - Gender Equality Women's  Empowerment Programme II (GEWEPII) UMWIZERO III</v>
      </c>
      <c r="KX92" s="11" t="str">
        <f t="shared" si="84"/>
        <v>Gender Equality Women's  Empowerment Programme II (GEWEPII) UMWIZERO III</v>
      </c>
      <c r="KY92" s="11" t="str">
        <f t="shared" si="85"/>
        <v>Burundi</v>
      </c>
      <c r="KZ92" s="12">
        <v>92</v>
      </c>
    </row>
    <row r="93" spans="1:312" x14ac:dyDescent="0.3">
      <c r="A93" s="11" t="s">
        <v>1873</v>
      </c>
      <c r="B93" s="11" t="s">
        <v>1874</v>
      </c>
      <c r="C93" s="11">
        <v>3724</v>
      </c>
      <c r="D93" s="27" t="s">
        <v>2020</v>
      </c>
      <c r="E93" s="288" t="str">
        <f t="shared" si="43"/>
        <v>Burundi</v>
      </c>
      <c r="F93" s="11" t="s">
        <v>2021</v>
      </c>
      <c r="G93" s="11" t="s">
        <v>379</v>
      </c>
      <c r="H93" s="11" t="s">
        <v>383</v>
      </c>
      <c r="I93" s="11" t="s">
        <v>1102</v>
      </c>
      <c r="J93" s="278" t="s">
        <v>1102</v>
      </c>
      <c r="BD93" s="23">
        <v>42522</v>
      </c>
      <c r="BE93" s="23">
        <v>43830</v>
      </c>
      <c r="BG93" s="11" t="s">
        <v>749</v>
      </c>
      <c r="BH93" s="22">
        <v>2578671</v>
      </c>
      <c r="BI93" s="11" t="s">
        <v>1934</v>
      </c>
      <c r="BJ93" s="11" t="s">
        <v>1899</v>
      </c>
      <c r="BK93" s="11" t="s">
        <v>1879</v>
      </c>
      <c r="BL93" s="11" t="s">
        <v>2022</v>
      </c>
      <c r="BM93" s="11" t="s">
        <v>751</v>
      </c>
      <c r="BN93" s="11" t="s">
        <v>2023</v>
      </c>
      <c r="BO93" s="12" t="s">
        <v>319</v>
      </c>
      <c r="BP93" s="12" t="s">
        <v>320</v>
      </c>
      <c r="BQ93" s="12" t="s">
        <v>319</v>
      </c>
      <c r="BR93" s="11" t="s">
        <v>2024</v>
      </c>
      <c r="BS93" s="11" t="s">
        <v>357</v>
      </c>
      <c r="BT93" s="11" t="s">
        <v>2025</v>
      </c>
      <c r="BU93" s="11" t="s">
        <v>2026</v>
      </c>
      <c r="CB93" s="32" t="s">
        <v>14587</v>
      </c>
      <c r="CL93" s="18"/>
      <c r="CP93" s="18"/>
      <c r="CT93" s="18"/>
      <c r="CX93" s="18"/>
      <c r="DB93" s="18"/>
      <c r="DF93" s="18"/>
      <c r="DJ93" s="18"/>
      <c r="DN93" s="18"/>
      <c r="DR93" s="18"/>
      <c r="DV93" s="18"/>
      <c r="DZ93" s="18"/>
      <c r="ED93" s="18"/>
      <c r="EI93" s="18"/>
      <c r="EQ93" s="12" t="s">
        <v>320</v>
      </c>
      <c r="ER93" s="22">
        <v>15858</v>
      </c>
      <c r="ES93" s="18">
        <v>0.62</v>
      </c>
      <c r="ET93" s="22">
        <v>50546</v>
      </c>
      <c r="EU93" s="11" t="s">
        <v>319</v>
      </c>
      <c r="EW93" s="18"/>
      <c r="EY93" s="12" t="s">
        <v>319</v>
      </c>
      <c r="FA93" s="18"/>
      <c r="FC93" s="12" t="s">
        <v>319</v>
      </c>
      <c r="FE93" s="18"/>
      <c r="FG93" s="12" t="s">
        <v>320</v>
      </c>
      <c r="FH93" s="22">
        <v>15858</v>
      </c>
      <c r="FI93" s="18">
        <v>1</v>
      </c>
      <c r="FJ93" s="22">
        <v>50546</v>
      </c>
      <c r="FK93" s="11" t="s">
        <v>319</v>
      </c>
      <c r="FM93" s="18"/>
      <c r="FO93" s="12" t="s">
        <v>320</v>
      </c>
      <c r="FP93" s="22">
        <v>15858</v>
      </c>
      <c r="FQ93" s="18">
        <v>0.62</v>
      </c>
      <c r="FR93" s="22">
        <v>50546</v>
      </c>
      <c r="FS93" s="12" t="s">
        <v>320</v>
      </c>
      <c r="FT93" s="22">
        <v>10572</v>
      </c>
      <c r="FU93" s="18">
        <v>0.62</v>
      </c>
      <c r="FV93" s="22">
        <v>64297</v>
      </c>
      <c r="FW93" s="11" t="s">
        <v>320</v>
      </c>
      <c r="FX93" s="22">
        <v>10572</v>
      </c>
      <c r="FY93" s="18">
        <v>0.62</v>
      </c>
      <c r="FZ93" s="22">
        <v>64297</v>
      </c>
      <c r="GA93" s="11" t="s">
        <v>319</v>
      </c>
      <c r="GC93" s="18"/>
      <c r="GE93" s="11" t="s">
        <v>319</v>
      </c>
      <c r="GG93" s="18"/>
      <c r="GI93" s="11" t="s">
        <v>319</v>
      </c>
      <c r="GK93" s="18"/>
      <c r="GM93" s="11" t="s">
        <v>319</v>
      </c>
      <c r="GO93" s="18"/>
      <c r="GQ93" s="11" t="s">
        <v>319</v>
      </c>
      <c r="GS93" s="18"/>
      <c r="GU93" s="11" t="s">
        <v>319</v>
      </c>
      <c r="GW93" s="18"/>
      <c r="GY93" s="11" t="s">
        <v>320</v>
      </c>
      <c r="GZ93" s="29"/>
      <c r="HA93" s="33"/>
      <c r="HB93" s="29"/>
      <c r="HF93" s="18"/>
      <c r="HH93" s="11" t="s">
        <v>320</v>
      </c>
      <c r="HI93" s="11" t="s">
        <v>1175</v>
      </c>
      <c r="HJ93" s="11">
        <v>2016</v>
      </c>
      <c r="HK93" s="11" t="s">
        <v>320</v>
      </c>
      <c r="HL93" s="11" t="s">
        <v>319</v>
      </c>
      <c r="HP93" s="11" t="s">
        <v>418</v>
      </c>
      <c r="HQ93" s="11" t="s">
        <v>319</v>
      </c>
      <c r="HR93" s="11" t="s">
        <v>319</v>
      </c>
      <c r="HS93" s="11" t="s">
        <v>319</v>
      </c>
      <c r="HT93" s="11" t="s">
        <v>319</v>
      </c>
      <c r="HU93" s="11" t="s">
        <v>319</v>
      </c>
      <c r="HV93" s="11" t="s">
        <v>319</v>
      </c>
      <c r="HW93" s="11" t="s">
        <v>319</v>
      </c>
      <c r="HX93" s="11" t="s">
        <v>319</v>
      </c>
      <c r="HZ93" s="11" t="s">
        <v>394</v>
      </c>
      <c r="IA93" s="11" t="s">
        <v>2027</v>
      </c>
      <c r="IB93" s="12" t="s">
        <v>396</v>
      </c>
      <c r="IC93" s="11" t="s">
        <v>2028</v>
      </c>
      <c r="ID93" s="11" t="s">
        <v>477</v>
      </c>
      <c r="IE93" s="11" t="s">
        <v>478</v>
      </c>
      <c r="IF93" s="11" t="s">
        <v>320</v>
      </c>
      <c r="IG93" s="11" t="s">
        <v>320</v>
      </c>
      <c r="IH93" s="11" t="s">
        <v>320</v>
      </c>
      <c r="II93" s="11" t="s">
        <v>320</v>
      </c>
      <c r="IJ93" s="12" t="str">
        <f t="shared" si="44"/>
        <v>4. Transformative</v>
      </c>
      <c r="IK93" s="12">
        <f t="shared" si="45"/>
        <v>4</v>
      </c>
      <c r="IL93" s="11" t="s">
        <v>336</v>
      </c>
      <c r="IM93" s="11" t="s">
        <v>320</v>
      </c>
      <c r="IN93" s="11" t="s">
        <v>319</v>
      </c>
      <c r="IO93" s="11" t="s">
        <v>320</v>
      </c>
      <c r="IP93" s="11" t="s">
        <v>319</v>
      </c>
      <c r="IQ93" s="12" t="str">
        <f t="shared" si="46"/>
        <v>1. Tokenistic</v>
      </c>
      <c r="IR93" s="12">
        <f t="shared" si="47"/>
        <v>2</v>
      </c>
      <c r="IS93" s="11" t="s">
        <v>337</v>
      </c>
      <c r="IT93" s="11" t="s">
        <v>320</v>
      </c>
      <c r="IU93" s="11" t="s">
        <v>320</v>
      </c>
      <c r="IV93" s="11" t="s">
        <v>320</v>
      </c>
      <c r="IW93" s="11" t="str">
        <f t="shared" si="48"/>
        <v>2. Sensitive</v>
      </c>
      <c r="IX93" s="12">
        <f t="shared" si="49"/>
        <v>3</v>
      </c>
      <c r="IY93" s="11" t="s">
        <v>419</v>
      </c>
      <c r="IZ93" s="12" t="s">
        <v>457</v>
      </c>
      <c r="JA93" s="11">
        <v>4</v>
      </c>
      <c r="JB93" s="11" t="s">
        <v>433</v>
      </c>
      <c r="JC93" s="12" t="s">
        <v>585</v>
      </c>
      <c r="JD93" s="11" t="s">
        <v>687</v>
      </c>
      <c r="JE93" s="12" t="s">
        <v>365</v>
      </c>
      <c r="JF93" s="11" t="s">
        <v>2029</v>
      </c>
      <c r="JH93" s="11" t="s">
        <v>2030</v>
      </c>
      <c r="JI93" s="11" t="s">
        <v>2031</v>
      </c>
      <c r="JJ93" s="11" t="s">
        <v>2032</v>
      </c>
      <c r="JK93" s="11" t="s">
        <v>2033</v>
      </c>
      <c r="JL93" s="11" t="s">
        <v>2034</v>
      </c>
      <c r="JM93" s="11" t="s">
        <v>2035</v>
      </c>
      <c r="JN93" s="28" t="s">
        <v>14588</v>
      </c>
      <c r="JO93" s="11" t="s">
        <v>2036</v>
      </c>
      <c r="JP93" s="15">
        <f t="shared" si="50"/>
        <v>0</v>
      </c>
      <c r="JQ93" s="15">
        <f t="shared" si="51"/>
        <v>0</v>
      </c>
      <c r="JR93" s="279" t="str">
        <f t="shared" si="52"/>
        <v/>
      </c>
      <c r="JS93" s="17" t="str">
        <f t="shared" si="53"/>
        <v/>
      </c>
      <c r="JT93" s="18" t="str">
        <f t="shared" si="54"/>
        <v/>
      </c>
      <c r="JU93" s="280">
        <f t="shared" si="55"/>
        <v>0</v>
      </c>
      <c r="JV93" s="280">
        <f t="shared" si="56"/>
        <v>0</v>
      </c>
      <c r="JW93" s="319" t="str">
        <f t="shared" si="57"/>
        <v/>
      </c>
      <c r="JX93" s="15">
        <f t="shared" si="58"/>
        <v>0</v>
      </c>
      <c r="JY93" s="15">
        <f t="shared" si="59"/>
        <v>0</v>
      </c>
      <c r="JZ93" s="19" t="str">
        <f t="shared" si="60"/>
        <v/>
      </c>
      <c r="KA93" s="52">
        <f t="shared" si="61"/>
        <v>1</v>
      </c>
      <c r="KB93" s="15">
        <f t="shared" si="62"/>
        <v>15858</v>
      </c>
      <c r="KC93" s="15">
        <f t="shared" si="63"/>
        <v>50546</v>
      </c>
      <c r="KD93" s="20">
        <f t="shared" si="64"/>
        <v>3.1874132929751546</v>
      </c>
      <c r="KE93" s="52" t="str">
        <f t="shared" si="65"/>
        <v/>
      </c>
      <c r="KF93" s="15">
        <f t="shared" si="66"/>
        <v>0</v>
      </c>
      <c r="KG93" s="15">
        <f t="shared" si="67"/>
        <v>0</v>
      </c>
      <c r="KH93" s="21" t="str">
        <f t="shared" si="68"/>
        <v/>
      </c>
      <c r="KI93" s="52">
        <f t="shared" si="69"/>
        <v>1</v>
      </c>
      <c r="KJ93" s="15">
        <f t="shared" si="70"/>
        <v>10572</v>
      </c>
      <c r="KK93" s="15">
        <f t="shared" si="71"/>
        <v>64297</v>
      </c>
      <c r="KL93" s="19">
        <f t="shared" si="72"/>
        <v>6.0818199016269388</v>
      </c>
      <c r="KM93" s="52">
        <f t="shared" si="73"/>
        <v>1</v>
      </c>
      <c r="KN93" s="22">
        <f t="shared" si="74"/>
        <v>15858</v>
      </c>
      <c r="KO93" s="22">
        <f t="shared" si="75"/>
        <v>50546</v>
      </c>
      <c r="KP93" s="19">
        <f t="shared" si="76"/>
        <v>3.1874132929751546</v>
      </c>
      <c r="KQ93" s="11" t="str">
        <f t="shared" si="77"/>
        <v>4. Transformative</v>
      </c>
      <c r="KR93" s="11" t="str">
        <f t="shared" si="78"/>
        <v>1. Tokenistic</v>
      </c>
      <c r="KS93" s="11" t="str">
        <f t="shared" si="79"/>
        <v>2. Sensitive</v>
      </c>
      <c r="KT93" s="11" t="str">
        <f t="shared" si="80"/>
        <v>It tested new ways for fighting poverty, but did not measure results of innovation</v>
      </c>
      <c r="KU93" s="11" t="str">
        <f t="shared" si="81"/>
        <v>Little or no advocacy</v>
      </c>
      <c r="KV93" s="11" t="str">
        <f t="shared" si="82"/>
        <v>It linked and worked with strategic alliances and partners to take tested and effective solutions to scale</v>
      </c>
      <c r="KW93" s="11" t="str">
        <f t="shared" si="83"/>
        <v>Burundi - Grand Challenges - Women &amp; Girls at the Center of Development : A Win-Win for Gender, Agriculture and Nutrition: Testing a Gender-Transformative Approach from Asia in Africa</v>
      </c>
      <c r="KX93" s="11" t="str">
        <f t="shared" si="84"/>
        <v>Grand Challenges - Women &amp; Girls at the Center of Development : A Win-Win for Gender, Agriculture and Nutrition: Testing a Gender-Transformative Approach from Asia in Africa</v>
      </c>
      <c r="KY93" s="11" t="str">
        <f t="shared" si="85"/>
        <v>Burundi</v>
      </c>
      <c r="KZ93" s="12">
        <v>93</v>
      </c>
    </row>
    <row r="94" spans="1:312" x14ac:dyDescent="0.3">
      <c r="A94" s="11" t="s">
        <v>1873</v>
      </c>
      <c r="B94" s="11" t="s">
        <v>1874</v>
      </c>
      <c r="C94" s="11">
        <v>3717</v>
      </c>
      <c r="D94" s="11" t="s">
        <v>2074</v>
      </c>
      <c r="E94" s="24" t="str">
        <f t="shared" si="43"/>
        <v>Burundi</v>
      </c>
      <c r="F94" s="11" t="s">
        <v>2075</v>
      </c>
      <c r="G94" s="11" t="s">
        <v>467</v>
      </c>
      <c r="H94" s="11" t="s">
        <v>383</v>
      </c>
      <c r="I94" s="11" t="s">
        <v>468</v>
      </c>
      <c r="J94" s="278" t="s">
        <v>9212</v>
      </c>
      <c r="BD94" s="23">
        <v>41609</v>
      </c>
      <c r="BE94" s="23">
        <v>42704</v>
      </c>
      <c r="BG94" s="11" t="s">
        <v>609</v>
      </c>
      <c r="BH94" s="22">
        <v>1073341</v>
      </c>
      <c r="BI94" s="11" t="s">
        <v>1934</v>
      </c>
      <c r="BJ94" s="11" t="s">
        <v>1899</v>
      </c>
      <c r="BK94" s="11" t="s">
        <v>1879</v>
      </c>
      <c r="BL94" s="11" t="s">
        <v>2076</v>
      </c>
      <c r="BM94" s="11" t="s">
        <v>354</v>
      </c>
      <c r="BN94" s="11" t="s">
        <v>2077</v>
      </c>
      <c r="BO94" s="12" t="s">
        <v>319</v>
      </c>
      <c r="BP94" s="12" t="s">
        <v>320</v>
      </c>
      <c r="BQ94" s="12" t="s">
        <v>319</v>
      </c>
      <c r="BR94" s="11" t="s">
        <v>2078</v>
      </c>
      <c r="BS94" s="11" t="s">
        <v>615</v>
      </c>
      <c r="BT94" s="11" t="s">
        <v>2079</v>
      </c>
      <c r="BU94" s="11" t="s">
        <v>2080</v>
      </c>
      <c r="BV94" s="22">
        <v>1270</v>
      </c>
      <c r="BW94" s="22">
        <v>2470</v>
      </c>
      <c r="BX94" s="22">
        <v>3700</v>
      </c>
      <c r="BY94" s="22">
        <v>16000</v>
      </c>
      <c r="BZ94" s="22">
        <v>30000</v>
      </c>
      <c r="CA94" s="22">
        <v>46000</v>
      </c>
      <c r="CB94" s="15" t="s">
        <v>2081</v>
      </c>
      <c r="CL94" s="18"/>
      <c r="CP94" s="18"/>
      <c r="CT94" s="18"/>
      <c r="CX94" s="18"/>
      <c r="DB94" s="18"/>
      <c r="DF94" s="18"/>
      <c r="DJ94" s="18"/>
      <c r="DN94" s="18"/>
      <c r="DR94" s="18"/>
      <c r="DV94" s="18"/>
      <c r="DZ94" s="18"/>
      <c r="ED94" s="18"/>
      <c r="EI94" s="18"/>
      <c r="EK94" s="22">
        <v>2884</v>
      </c>
      <c r="EL94" s="22">
        <v>4582</v>
      </c>
      <c r="EM94" s="22">
        <v>7466</v>
      </c>
      <c r="EN94" s="22">
        <v>16422</v>
      </c>
      <c r="EO94" s="22">
        <v>33432</v>
      </c>
      <c r="EP94" s="22">
        <v>49854</v>
      </c>
      <c r="EQ94" s="12" t="s">
        <v>319</v>
      </c>
      <c r="ES94" s="18"/>
      <c r="EU94" s="11" t="s">
        <v>319</v>
      </c>
      <c r="EW94" s="18"/>
      <c r="EY94" s="12" t="s">
        <v>319</v>
      </c>
      <c r="FA94" s="18"/>
      <c r="FC94" s="12" t="s">
        <v>319</v>
      </c>
      <c r="FE94" s="18"/>
      <c r="FG94" s="12" t="s">
        <v>319</v>
      </c>
      <c r="FI94" s="18"/>
      <c r="FK94" s="11" t="s">
        <v>319</v>
      </c>
      <c r="FM94" s="18"/>
      <c r="FO94" s="11" t="s">
        <v>319</v>
      </c>
      <c r="FQ94" s="18"/>
      <c r="FS94" s="12" t="s">
        <v>320</v>
      </c>
      <c r="FT94" s="22">
        <v>7466</v>
      </c>
      <c r="FU94" s="18">
        <v>0.39</v>
      </c>
      <c r="FV94" s="22">
        <v>49854</v>
      </c>
      <c r="FW94" s="11" t="s">
        <v>320</v>
      </c>
      <c r="FX94" s="22">
        <v>7466</v>
      </c>
      <c r="FY94" s="18">
        <v>0.39</v>
      </c>
      <c r="FZ94" s="22">
        <v>49854</v>
      </c>
      <c r="GA94" s="11" t="s">
        <v>319</v>
      </c>
      <c r="GC94" s="18"/>
      <c r="GE94" s="11" t="s">
        <v>319</v>
      </c>
      <c r="GG94" s="18"/>
      <c r="GI94" s="11" t="s">
        <v>319</v>
      </c>
      <c r="GK94" s="18"/>
      <c r="GM94" s="11" t="s">
        <v>319</v>
      </c>
      <c r="GO94" s="18"/>
      <c r="GQ94" s="12" t="s">
        <v>320</v>
      </c>
      <c r="GR94" s="22">
        <v>7466</v>
      </c>
      <c r="GS94" s="18">
        <v>0.39</v>
      </c>
      <c r="GT94" s="22">
        <v>9543</v>
      </c>
      <c r="GU94" s="11" t="s">
        <v>319</v>
      </c>
      <c r="GW94" s="18"/>
      <c r="GY94" s="11" t="s">
        <v>320</v>
      </c>
      <c r="GZ94" s="22">
        <v>2884</v>
      </c>
      <c r="HA94" s="18">
        <v>1</v>
      </c>
      <c r="HF94" s="18"/>
      <c r="HH94" s="11" t="s">
        <v>319</v>
      </c>
      <c r="HK94" s="11" t="s">
        <v>319</v>
      </c>
      <c r="HL94" s="11" t="s">
        <v>319</v>
      </c>
      <c r="HO94" s="11" t="s">
        <v>2082</v>
      </c>
      <c r="HP94" s="11" t="s">
        <v>330</v>
      </c>
      <c r="HQ94" s="11" t="s">
        <v>319</v>
      </c>
      <c r="HR94" s="11" t="s">
        <v>320</v>
      </c>
      <c r="HS94" s="11" t="s">
        <v>320</v>
      </c>
      <c r="HT94" s="11" t="s">
        <v>320</v>
      </c>
      <c r="HU94" s="11" t="s">
        <v>319</v>
      </c>
      <c r="HV94" s="11" t="s">
        <v>319</v>
      </c>
      <c r="HW94" s="11" t="s">
        <v>320</v>
      </c>
      <c r="HX94" s="11" t="s">
        <v>319</v>
      </c>
      <c r="HZ94" s="11" t="s">
        <v>394</v>
      </c>
      <c r="IA94" s="11" t="s">
        <v>2083</v>
      </c>
      <c r="IB94" s="12" t="s">
        <v>396</v>
      </c>
      <c r="IC94" s="11" t="s">
        <v>2084</v>
      </c>
      <c r="ID94" s="12" t="s">
        <v>334</v>
      </c>
      <c r="IE94" s="11" t="s">
        <v>478</v>
      </c>
      <c r="IF94" s="11" t="s">
        <v>320</v>
      </c>
      <c r="IG94" s="11" t="s">
        <v>320</v>
      </c>
      <c r="IH94" s="11" t="s">
        <v>320</v>
      </c>
      <c r="II94" s="11" t="s">
        <v>320</v>
      </c>
      <c r="IJ94" s="12" t="str">
        <f t="shared" si="44"/>
        <v>4. Transformative</v>
      </c>
      <c r="IK94" s="12">
        <f t="shared" si="45"/>
        <v>4</v>
      </c>
      <c r="IL94" s="11" t="s">
        <v>336</v>
      </c>
      <c r="IM94" s="11" t="s">
        <v>320</v>
      </c>
      <c r="IN94" s="11" t="s">
        <v>320</v>
      </c>
      <c r="IO94" s="11" t="s">
        <v>320</v>
      </c>
      <c r="IP94" s="11" t="s">
        <v>320</v>
      </c>
      <c r="IQ94" s="12" t="str">
        <f t="shared" si="46"/>
        <v>2. Accommodating</v>
      </c>
      <c r="IR94" s="12">
        <f t="shared" si="47"/>
        <v>4</v>
      </c>
      <c r="IS94" s="11" t="s">
        <v>337</v>
      </c>
      <c r="IT94" s="11" t="s">
        <v>320</v>
      </c>
      <c r="IU94" s="11" t="s">
        <v>320</v>
      </c>
      <c r="IV94" s="11" t="s">
        <v>320</v>
      </c>
      <c r="IW94" s="11" t="str">
        <f t="shared" si="48"/>
        <v>2. Sensitive</v>
      </c>
      <c r="IX94" s="12">
        <f t="shared" si="49"/>
        <v>3</v>
      </c>
      <c r="IY94" s="11" t="s">
        <v>338</v>
      </c>
      <c r="IZ94" s="12" t="s">
        <v>457</v>
      </c>
      <c r="JA94" s="11">
        <v>2</v>
      </c>
      <c r="JB94" s="11" t="s">
        <v>433</v>
      </c>
      <c r="JC94" s="12" t="s">
        <v>1113</v>
      </c>
      <c r="JD94" s="11" t="s">
        <v>687</v>
      </c>
      <c r="JE94" s="12" t="s">
        <v>340</v>
      </c>
      <c r="JF94" s="11" t="s">
        <v>2085</v>
      </c>
      <c r="JG94" s="11" t="s">
        <v>2086</v>
      </c>
      <c r="JH94" s="11" t="s">
        <v>2087</v>
      </c>
      <c r="JI94" s="11" t="s">
        <v>2088</v>
      </c>
      <c r="JJ94" s="11" t="s">
        <v>2089</v>
      </c>
      <c r="JK94" s="11" t="s">
        <v>2090</v>
      </c>
      <c r="JL94" s="11" t="s">
        <v>2091</v>
      </c>
      <c r="JP94" s="15">
        <f t="shared" si="50"/>
        <v>7466</v>
      </c>
      <c r="JQ94" s="15">
        <f t="shared" si="51"/>
        <v>49854</v>
      </c>
      <c r="JR94" s="279">
        <f t="shared" si="52"/>
        <v>6.6774712027859628</v>
      </c>
      <c r="JS94" s="17">
        <f t="shared" si="53"/>
        <v>0.38628448968657914</v>
      </c>
      <c r="JT94" s="18">
        <f t="shared" si="54"/>
        <v>0.32940185341196293</v>
      </c>
      <c r="JU94" s="280">
        <f t="shared" si="55"/>
        <v>2884</v>
      </c>
      <c r="JV94" s="280">
        <f t="shared" si="56"/>
        <v>16422</v>
      </c>
      <c r="JW94" s="319" t="str">
        <f t="shared" si="57"/>
        <v/>
      </c>
      <c r="JX94" s="15">
        <f t="shared" si="58"/>
        <v>0</v>
      </c>
      <c r="JY94" s="15">
        <f t="shared" si="59"/>
        <v>0</v>
      </c>
      <c r="JZ94" s="19" t="str">
        <f t="shared" si="60"/>
        <v/>
      </c>
      <c r="KA94" s="52" t="str">
        <f t="shared" si="61"/>
        <v/>
      </c>
      <c r="KB94" s="15">
        <f t="shared" si="62"/>
        <v>0</v>
      </c>
      <c r="KC94" s="15">
        <f t="shared" si="63"/>
        <v>0</v>
      </c>
      <c r="KD94" s="20" t="str">
        <f t="shared" si="64"/>
        <v/>
      </c>
      <c r="KE94" s="52">
        <f t="shared" si="65"/>
        <v>1</v>
      </c>
      <c r="KF94" s="15">
        <f t="shared" si="66"/>
        <v>7466</v>
      </c>
      <c r="KG94" s="15">
        <f t="shared" si="67"/>
        <v>9543</v>
      </c>
      <c r="KH94" s="21">
        <f t="shared" si="68"/>
        <v>1.2781944816501474</v>
      </c>
      <c r="KI94" s="52">
        <f t="shared" si="69"/>
        <v>1</v>
      </c>
      <c r="KJ94" s="15">
        <f t="shared" si="70"/>
        <v>7466</v>
      </c>
      <c r="KK94" s="15">
        <f t="shared" si="71"/>
        <v>49854</v>
      </c>
      <c r="KL94" s="19">
        <f t="shared" si="72"/>
        <v>6.6774712027859628</v>
      </c>
      <c r="KM94" s="52">
        <f t="shared" si="73"/>
        <v>1</v>
      </c>
      <c r="KN94" s="22">
        <f t="shared" si="74"/>
        <v>2884</v>
      </c>
      <c r="KO94" s="22">
        <f t="shared" si="75"/>
        <v>0</v>
      </c>
      <c r="KP94" s="19">
        <f t="shared" si="76"/>
        <v>0</v>
      </c>
      <c r="KQ94" s="11" t="str">
        <f t="shared" si="77"/>
        <v>4. Transformative</v>
      </c>
      <c r="KR94" s="11" t="str">
        <f t="shared" si="78"/>
        <v>2. Accommodating</v>
      </c>
      <c r="KS94" s="11" t="str">
        <f t="shared" si="79"/>
        <v>2. Sensitive</v>
      </c>
      <c r="KT94" s="11" t="str">
        <f t="shared" si="80"/>
        <v>It tested new ways for fighting poverty, but did not measure results of innovation</v>
      </c>
      <c r="KU94" s="11" t="str">
        <f t="shared" si="81"/>
        <v>Moderate advocacy</v>
      </c>
      <c r="KV94" s="11" t="str">
        <f t="shared" si="82"/>
        <v>It linked and worked with strategic alliances and partners to take tested and effective solutions to scale</v>
      </c>
      <c r="KW94" s="11" t="str">
        <f t="shared" si="83"/>
        <v>Burundi - INITIATIVE SISI VIJANA</v>
      </c>
      <c r="KX94" s="11" t="str">
        <f t="shared" si="84"/>
        <v>INITIATIVE SISI VIJANA</v>
      </c>
      <c r="KY94" s="11" t="str">
        <f t="shared" si="85"/>
        <v>Burundi</v>
      </c>
      <c r="KZ94" s="12">
        <v>94</v>
      </c>
    </row>
    <row r="95" spans="1:312" x14ac:dyDescent="0.3">
      <c r="A95" s="11" t="s">
        <v>1873</v>
      </c>
      <c r="B95" s="11" t="s">
        <v>1874</v>
      </c>
      <c r="C95" s="11">
        <v>3721</v>
      </c>
      <c r="D95" s="27" t="s">
        <v>2037</v>
      </c>
      <c r="E95" s="288" t="str">
        <f t="shared" si="43"/>
        <v>Burundi</v>
      </c>
      <c r="G95" s="11" t="s">
        <v>379</v>
      </c>
      <c r="H95" s="11" t="s">
        <v>383</v>
      </c>
      <c r="I95" s="11" t="s">
        <v>384</v>
      </c>
      <c r="J95" s="278" t="s">
        <v>2038</v>
      </c>
      <c r="BD95" s="23">
        <v>41791</v>
      </c>
      <c r="BE95" s="23">
        <v>42766</v>
      </c>
      <c r="BG95" s="11" t="s">
        <v>350</v>
      </c>
      <c r="BH95" s="22">
        <v>60000</v>
      </c>
      <c r="BI95" s="11" t="s">
        <v>1877</v>
      </c>
      <c r="BJ95" s="11" t="s">
        <v>1878</v>
      </c>
      <c r="BK95" s="11" t="s">
        <v>1879</v>
      </c>
      <c r="BL95" s="11" t="s">
        <v>1880</v>
      </c>
      <c r="BM95" s="11" t="s">
        <v>2039</v>
      </c>
      <c r="BN95" s="11" t="s">
        <v>2040</v>
      </c>
      <c r="BO95" s="12" t="s">
        <v>319</v>
      </c>
      <c r="BP95" s="12" t="s">
        <v>320</v>
      </c>
      <c r="BQ95" s="12" t="s">
        <v>319</v>
      </c>
      <c r="BR95" s="11" t="s">
        <v>2041</v>
      </c>
      <c r="BS95" s="11" t="s">
        <v>357</v>
      </c>
      <c r="BT95" s="11" t="s">
        <v>2042</v>
      </c>
      <c r="BU95" s="11" t="s">
        <v>2043</v>
      </c>
      <c r="BV95" s="22">
        <v>1500</v>
      </c>
      <c r="BX95" s="22">
        <v>1500</v>
      </c>
      <c r="BY95" s="22">
        <v>3840</v>
      </c>
      <c r="BZ95" s="22">
        <v>3809</v>
      </c>
      <c r="CA95" s="22">
        <v>7649</v>
      </c>
      <c r="CB95" s="15" t="s">
        <v>1885</v>
      </c>
      <c r="CL95" s="18"/>
      <c r="CP95" s="18"/>
      <c r="CT95" s="18"/>
      <c r="CX95" s="18"/>
      <c r="DB95" s="18"/>
      <c r="DF95" s="18"/>
      <c r="DJ95" s="18"/>
      <c r="DN95" s="18"/>
      <c r="DR95" s="18"/>
      <c r="DV95" s="18"/>
      <c r="DZ95" s="18"/>
      <c r="ED95" s="18"/>
      <c r="EI95" s="18"/>
      <c r="EK95" s="22">
        <v>1836</v>
      </c>
      <c r="EM95" s="22">
        <v>1836</v>
      </c>
      <c r="EN95" s="22">
        <v>4700</v>
      </c>
      <c r="EO95" s="22">
        <v>4663</v>
      </c>
      <c r="EP95" s="22">
        <v>9363</v>
      </c>
      <c r="ES95" s="18"/>
      <c r="EW95" s="18"/>
      <c r="FA95" s="18"/>
      <c r="FE95" s="18"/>
      <c r="FI95" s="18"/>
      <c r="FM95" s="18"/>
      <c r="FQ95" s="18"/>
      <c r="FU95" s="18"/>
      <c r="FY95" s="18"/>
      <c r="GC95" s="18"/>
      <c r="GG95" s="18"/>
      <c r="GK95" s="18"/>
      <c r="GO95" s="18"/>
      <c r="GS95" s="18"/>
      <c r="GW95" s="18"/>
      <c r="GY95" s="11" t="s">
        <v>320</v>
      </c>
      <c r="GZ95" s="22">
        <v>1836</v>
      </c>
      <c r="HA95" s="18">
        <v>1</v>
      </c>
      <c r="HB95" s="22">
        <v>9363</v>
      </c>
      <c r="HF95" s="18"/>
      <c r="HH95" s="11" t="s">
        <v>319</v>
      </c>
      <c r="HK95" s="11" t="s">
        <v>319</v>
      </c>
      <c r="HL95" s="11" t="s">
        <v>319</v>
      </c>
      <c r="HP95" s="11" t="s">
        <v>418</v>
      </c>
      <c r="HQ95" s="11" t="s">
        <v>319</v>
      </c>
      <c r="HR95" s="11" t="s">
        <v>319</v>
      </c>
      <c r="HS95" s="11" t="s">
        <v>320</v>
      </c>
      <c r="HT95" s="11" t="s">
        <v>319</v>
      </c>
      <c r="HU95" s="11" t="s">
        <v>319</v>
      </c>
      <c r="HV95" s="11" t="s">
        <v>319</v>
      </c>
      <c r="HX95" s="11" t="s">
        <v>319</v>
      </c>
      <c r="HZ95" s="11" t="s">
        <v>394</v>
      </c>
      <c r="IA95" s="11" t="s">
        <v>2044</v>
      </c>
      <c r="IB95" s="12" t="s">
        <v>396</v>
      </c>
      <c r="ID95" s="12" t="s">
        <v>334</v>
      </c>
      <c r="IE95" s="11" t="s">
        <v>335</v>
      </c>
      <c r="IF95" s="11" t="s">
        <v>320</v>
      </c>
      <c r="IG95" s="11" t="s">
        <v>320</v>
      </c>
      <c r="II95" s="11" t="s">
        <v>320</v>
      </c>
      <c r="IJ95" s="12" t="str">
        <f t="shared" si="44"/>
        <v>1. Neutral</v>
      </c>
      <c r="IK95" s="12">
        <f t="shared" si="45"/>
        <v>3</v>
      </c>
      <c r="IL95" s="11" t="s">
        <v>336</v>
      </c>
      <c r="IM95" s="11" t="s">
        <v>320</v>
      </c>
      <c r="IN95" s="11" t="s">
        <v>319</v>
      </c>
      <c r="IO95" s="11" t="s">
        <v>320</v>
      </c>
      <c r="IP95" s="11" t="s">
        <v>319</v>
      </c>
      <c r="IQ95" s="12" t="str">
        <f t="shared" si="46"/>
        <v>1. Tokenistic</v>
      </c>
      <c r="IR95" s="12">
        <f t="shared" si="47"/>
        <v>2</v>
      </c>
      <c r="IS95" s="11" t="s">
        <v>337</v>
      </c>
      <c r="IT95" s="11" t="s">
        <v>319</v>
      </c>
      <c r="IU95" s="11" t="s">
        <v>320</v>
      </c>
      <c r="IV95" s="11" t="s">
        <v>319</v>
      </c>
      <c r="IW95" s="11" t="str">
        <f t="shared" si="48"/>
        <v>1. Neutral</v>
      </c>
      <c r="IX95" s="12">
        <f t="shared" si="49"/>
        <v>1</v>
      </c>
      <c r="IY95" s="11" t="s">
        <v>338</v>
      </c>
      <c r="IZ95" s="12" t="s">
        <v>457</v>
      </c>
      <c r="JA95" s="11">
        <v>1</v>
      </c>
      <c r="JB95" s="11" t="s">
        <v>433</v>
      </c>
      <c r="JE95" s="12" t="s">
        <v>420</v>
      </c>
      <c r="JH95" s="11" t="s">
        <v>2045</v>
      </c>
      <c r="JK95" s="11" t="s">
        <v>2046</v>
      </c>
      <c r="JL95" s="11" t="s">
        <v>2047</v>
      </c>
      <c r="JP95" s="15">
        <f t="shared" si="50"/>
        <v>1836</v>
      </c>
      <c r="JQ95" s="15">
        <f t="shared" si="51"/>
        <v>9363</v>
      </c>
      <c r="JR95" s="279">
        <f t="shared" si="52"/>
        <v>5.0996732026143787</v>
      </c>
      <c r="JS95" s="17">
        <f t="shared" si="53"/>
        <v>1</v>
      </c>
      <c r="JT95" s="18">
        <f t="shared" si="54"/>
        <v>0.50197586243725301</v>
      </c>
      <c r="JU95" s="280">
        <f t="shared" si="55"/>
        <v>1836</v>
      </c>
      <c r="JV95" s="280">
        <f t="shared" si="56"/>
        <v>4700</v>
      </c>
      <c r="JW95" s="319" t="str">
        <f t="shared" si="57"/>
        <v/>
      </c>
      <c r="JX95" s="15">
        <f t="shared" si="58"/>
        <v>0</v>
      </c>
      <c r="JY95" s="15">
        <f t="shared" si="59"/>
        <v>0</v>
      </c>
      <c r="JZ95" s="19" t="str">
        <f t="shared" si="60"/>
        <v/>
      </c>
      <c r="KA95" s="52" t="str">
        <f t="shared" si="61"/>
        <v/>
      </c>
      <c r="KB95" s="15">
        <f t="shared" si="62"/>
        <v>0</v>
      </c>
      <c r="KC95" s="15">
        <f t="shared" si="63"/>
        <v>0</v>
      </c>
      <c r="KD95" s="20" t="str">
        <f t="shared" si="64"/>
        <v/>
      </c>
      <c r="KE95" s="52" t="str">
        <f t="shared" si="65"/>
        <v/>
      </c>
      <c r="KF95" s="15">
        <f t="shared" si="66"/>
        <v>0</v>
      </c>
      <c r="KG95" s="15">
        <f t="shared" si="67"/>
        <v>0</v>
      </c>
      <c r="KH95" s="21" t="str">
        <f t="shared" si="68"/>
        <v/>
      </c>
      <c r="KI95" s="52" t="str">
        <f t="shared" si="69"/>
        <v/>
      </c>
      <c r="KJ95" s="15">
        <f t="shared" si="70"/>
        <v>0</v>
      </c>
      <c r="KK95" s="15">
        <f t="shared" si="71"/>
        <v>0</v>
      </c>
      <c r="KL95" s="19" t="str">
        <f t="shared" si="72"/>
        <v/>
      </c>
      <c r="KM95" s="52">
        <f t="shared" si="73"/>
        <v>1</v>
      </c>
      <c r="KN95" s="22">
        <f t="shared" si="74"/>
        <v>1836</v>
      </c>
      <c r="KO95" s="22">
        <f t="shared" si="75"/>
        <v>9363</v>
      </c>
      <c r="KP95" s="19">
        <f t="shared" si="76"/>
        <v>5.0996732026143787</v>
      </c>
      <c r="KQ95" s="11" t="str">
        <f t="shared" si="77"/>
        <v>1. Neutral</v>
      </c>
      <c r="KR95" s="11" t="str">
        <f t="shared" si="78"/>
        <v>1. Tokenistic</v>
      </c>
      <c r="KS95" s="11" t="str">
        <f t="shared" si="79"/>
        <v>1. Neutral</v>
      </c>
      <c r="KT95" s="11" t="str">
        <f t="shared" si="80"/>
        <v>It tested new ways for fighting poverty, but did not measure results of innovation</v>
      </c>
      <c r="KU95" s="11" t="str">
        <f t="shared" si="81"/>
        <v>Little or no advocacy</v>
      </c>
      <c r="KV95" s="11" t="str">
        <f t="shared" si="82"/>
        <v>It linked and worked with strategic alliances and partners to take tested and effective solutions to scale</v>
      </c>
      <c r="KW95" s="11" t="str">
        <f t="shared" si="83"/>
        <v>Burundi - ISHAKA II: A Promising Innovation for Girls’ Social and Economic   Empowerment “ Courage pour le future”</v>
      </c>
      <c r="KX95" s="11" t="str">
        <f t="shared" si="84"/>
        <v>ISHAKA II: A Promising Innovation for Girls’ Social and Economic   Empowerment “ Courage pour le future”</v>
      </c>
      <c r="KY95" s="11" t="str">
        <f t="shared" si="85"/>
        <v>Burundi</v>
      </c>
      <c r="KZ95" s="12">
        <v>95</v>
      </c>
    </row>
    <row r="96" spans="1:312" x14ac:dyDescent="0.3">
      <c r="A96" s="11" t="s">
        <v>1873</v>
      </c>
      <c r="B96" s="11" t="s">
        <v>1874</v>
      </c>
      <c r="D96" s="11" t="s">
        <v>2006</v>
      </c>
      <c r="E96" s="288" t="str">
        <f t="shared" si="43"/>
        <v>Burundi</v>
      </c>
      <c r="F96" s="11" t="s">
        <v>2007</v>
      </c>
      <c r="G96" s="11" t="s">
        <v>605</v>
      </c>
      <c r="H96" s="11" t="s">
        <v>383</v>
      </c>
      <c r="I96" s="11" t="s">
        <v>384</v>
      </c>
      <c r="J96" s="278" t="s">
        <v>14589</v>
      </c>
      <c r="BD96" s="23">
        <v>42491</v>
      </c>
      <c r="BE96" s="23">
        <v>43585</v>
      </c>
      <c r="BG96" s="11" t="s">
        <v>312</v>
      </c>
      <c r="BI96" s="26" t="s">
        <v>1934</v>
      </c>
      <c r="BJ96" s="11" t="s">
        <v>1899</v>
      </c>
      <c r="BK96" s="11" t="s">
        <v>1879</v>
      </c>
      <c r="BL96" s="11" t="s">
        <v>2008</v>
      </c>
      <c r="BM96" s="11" t="s">
        <v>751</v>
      </c>
      <c r="BN96" s="11" t="s">
        <v>2009</v>
      </c>
      <c r="BO96" s="12" t="s">
        <v>319</v>
      </c>
      <c r="BP96" s="12" t="s">
        <v>320</v>
      </c>
      <c r="BQ96" s="12" t="s">
        <v>319</v>
      </c>
      <c r="BR96" s="11" t="s">
        <v>2010</v>
      </c>
      <c r="BS96" s="11" t="s">
        <v>357</v>
      </c>
      <c r="BT96" s="11" t="s">
        <v>2011</v>
      </c>
      <c r="BU96" s="11" t="s">
        <v>2012</v>
      </c>
      <c r="BV96" s="22">
        <v>2000</v>
      </c>
      <c r="BW96" s="22">
        <v>2000</v>
      </c>
      <c r="BX96" s="22">
        <v>4000</v>
      </c>
      <c r="BY96" s="22">
        <v>41600</v>
      </c>
      <c r="BZ96" s="22">
        <v>38400</v>
      </c>
      <c r="CA96" s="22">
        <v>80000</v>
      </c>
      <c r="CB96" s="15" t="s">
        <v>2013</v>
      </c>
      <c r="CL96" s="18"/>
      <c r="CP96" s="18"/>
      <c r="CT96" s="18"/>
      <c r="CX96" s="18"/>
      <c r="DB96" s="18"/>
      <c r="DF96" s="18"/>
      <c r="DJ96" s="18"/>
      <c r="DN96" s="18"/>
      <c r="DR96" s="18"/>
      <c r="DV96" s="18"/>
      <c r="DZ96" s="18"/>
      <c r="ED96" s="18"/>
      <c r="EI96" s="18"/>
      <c r="EK96" s="22">
        <v>1280</v>
      </c>
      <c r="EL96" s="22">
        <v>1180</v>
      </c>
      <c r="EM96" s="22">
        <v>2460</v>
      </c>
      <c r="EN96" s="22">
        <v>25584</v>
      </c>
      <c r="EO96" s="22">
        <v>23616</v>
      </c>
      <c r="EP96" s="22">
        <v>49200</v>
      </c>
      <c r="EQ96" s="12" t="s">
        <v>320</v>
      </c>
      <c r="ER96" s="22">
        <v>360</v>
      </c>
      <c r="ES96" s="18">
        <v>0.52</v>
      </c>
      <c r="ET96" s="22">
        <v>6400</v>
      </c>
      <c r="EU96" s="11" t="s">
        <v>319</v>
      </c>
      <c r="EW96" s="18"/>
      <c r="EY96" s="12" t="s">
        <v>319</v>
      </c>
      <c r="FA96" s="18"/>
      <c r="FC96" s="12" t="s">
        <v>319</v>
      </c>
      <c r="FE96" s="18"/>
      <c r="FG96" s="12" t="s">
        <v>319</v>
      </c>
      <c r="FI96" s="18"/>
      <c r="FK96" s="11" t="s">
        <v>319</v>
      </c>
      <c r="FM96" s="18"/>
      <c r="FO96" s="11" t="s">
        <v>319</v>
      </c>
      <c r="FQ96" s="18"/>
      <c r="FS96" s="11" t="s">
        <v>319</v>
      </c>
      <c r="FU96" s="18"/>
      <c r="FW96" s="11" t="s">
        <v>319</v>
      </c>
      <c r="FY96" s="18"/>
      <c r="GA96" s="11" t="s">
        <v>319</v>
      </c>
      <c r="GC96" s="18"/>
      <c r="GE96" s="11" t="s">
        <v>319</v>
      </c>
      <c r="GG96" s="18"/>
      <c r="GI96" s="11" t="s">
        <v>319</v>
      </c>
      <c r="GK96" s="18"/>
      <c r="GM96" s="11" t="s">
        <v>319</v>
      </c>
      <c r="GO96" s="18"/>
      <c r="GQ96" s="11" t="s">
        <v>319</v>
      </c>
      <c r="GS96" s="18"/>
      <c r="GU96" s="11" t="s">
        <v>319</v>
      </c>
      <c r="GW96" s="18"/>
      <c r="GY96" s="11" t="s">
        <v>319</v>
      </c>
      <c r="HA96" s="18"/>
      <c r="HC96" s="11" t="s">
        <v>2014</v>
      </c>
      <c r="HD96" s="12" t="s">
        <v>320</v>
      </c>
      <c r="HE96" s="22">
        <v>2000</v>
      </c>
      <c r="HF96" s="18">
        <v>0.5</v>
      </c>
      <c r="HH96" s="11" t="s">
        <v>319</v>
      </c>
      <c r="HK96" s="11" t="s">
        <v>319</v>
      </c>
      <c r="HL96" s="11" t="s">
        <v>319</v>
      </c>
      <c r="HP96" s="11" t="s">
        <v>418</v>
      </c>
      <c r="HQ96" s="11" t="s">
        <v>319</v>
      </c>
      <c r="HR96" s="11" t="s">
        <v>319</v>
      </c>
      <c r="HS96" s="11" t="s">
        <v>319</v>
      </c>
      <c r="HT96" s="11" t="s">
        <v>319</v>
      </c>
      <c r="HU96" s="11" t="s">
        <v>319</v>
      </c>
      <c r="HV96" s="11" t="s">
        <v>319</v>
      </c>
      <c r="HW96" s="11" t="s">
        <v>319</v>
      </c>
      <c r="HX96" s="11" t="s">
        <v>319</v>
      </c>
      <c r="HZ96" s="11" t="s">
        <v>394</v>
      </c>
      <c r="IA96" s="11" t="s">
        <v>2015</v>
      </c>
      <c r="IB96" s="12" t="s">
        <v>333</v>
      </c>
      <c r="ID96" s="12" t="s">
        <v>334</v>
      </c>
      <c r="IE96" s="11" t="s">
        <v>335</v>
      </c>
      <c r="IF96" s="11" t="s">
        <v>320</v>
      </c>
      <c r="IG96" s="11" t="s">
        <v>320</v>
      </c>
      <c r="IH96" s="11" t="s">
        <v>320</v>
      </c>
      <c r="II96" s="11" t="s">
        <v>319</v>
      </c>
      <c r="IJ96" s="12" t="str">
        <f t="shared" si="44"/>
        <v>1. Neutral</v>
      </c>
      <c r="IK96" s="12">
        <f t="shared" si="45"/>
        <v>3</v>
      </c>
      <c r="IL96" s="11" t="s">
        <v>336</v>
      </c>
      <c r="IM96" s="11" t="s">
        <v>320</v>
      </c>
      <c r="IN96" s="11" t="s">
        <v>319</v>
      </c>
      <c r="IO96" s="11" t="s">
        <v>320</v>
      </c>
      <c r="IP96" s="11" t="s">
        <v>319</v>
      </c>
      <c r="IQ96" s="12" t="str">
        <f t="shared" si="46"/>
        <v>1. Tokenistic</v>
      </c>
      <c r="IR96" s="12">
        <f t="shared" si="47"/>
        <v>2</v>
      </c>
      <c r="IS96" s="11" t="s">
        <v>337</v>
      </c>
      <c r="IT96" s="11" t="s">
        <v>320</v>
      </c>
      <c r="IU96" s="11" t="s">
        <v>319</v>
      </c>
      <c r="IV96" s="11" t="s">
        <v>319</v>
      </c>
      <c r="IW96" s="11" t="str">
        <f t="shared" si="48"/>
        <v>1. Neutral</v>
      </c>
      <c r="IX96" s="12">
        <f t="shared" si="49"/>
        <v>1</v>
      </c>
      <c r="IY96" s="11" t="s">
        <v>338</v>
      </c>
      <c r="IZ96" s="11" t="s">
        <v>339</v>
      </c>
      <c r="JB96" s="12" t="s">
        <v>687</v>
      </c>
      <c r="JH96" s="11" t="s">
        <v>2016</v>
      </c>
      <c r="JI96" s="11" t="s">
        <v>2017</v>
      </c>
      <c r="JK96" s="11" t="s">
        <v>2018</v>
      </c>
      <c r="JL96" s="11" t="s">
        <v>2019</v>
      </c>
      <c r="JP96" s="15">
        <f t="shared" si="50"/>
        <v>2460</v>
      </c>
      <c r="JQ96" s="15">
        <f t="shared" si="51"/>
        <v>49200</v>
      </c>
      <c r="JR96" s="279">
        <f t="shared" si="52"/>
        <v>20</v>
      </c>
      <c r="JS96" s="17">
        <f t="shared" si="53"/>
        <v>0.52032520325203258</v>
      </c>
      <c r="JT96" s="18">
        <f t="shared" si="54"/>
        <v>0.52</v>
      </c>
      <c r="JU96" s="280">
        <f t="shared" si="55"/>
        <v>1280</v>
      </c>
      <c r="JV96" s="280">
        <f t="shared" si="56"/>
        <v>25584</v>
      </c>
      <c r="JW96" s="319" t="str">
        <f t="shared" si="57"/>
        <v/>
      </c>
      <c r="JX96" s="15">
        <f t="shared" si="58"/>
        <v>0</v>
      </c>
      <c r="JY96" s="15">
        <f t="shared" si="59"/>
        <v>0</v>
      </c>
      <c r="JZ96" s="19" t="str">
        <f t="shared" si="60"/>
        <v/>
      </c>
      <c r="KA96" s="52">
        <f t="shared" si="61"/>
        <v>1</v>
      </c>
      <c r="KB96" s="15">
        <f t="shared" si="62"/>
        <v>360</v>
      </c>
      <c r="KC96" s="15">
        <f t="shared" si="63"/>
        <v>6400</v>
      </c>
      <c r="KD96" s="20">
        <f t="shared" si="64"/>
        <v>17.777777777777779</v>
      </c>
      <c r="KE96" s="52" t="str">
        <f t="shared" si="65"/>
        <v/>
      </c>
      <c r="KF96" s="15">
        <f t="shared" si="66"/>
        <v>0</v>
      </c>
      <c r="KG96" s="15">
        <f t="shared" si="67"/>
        <v>0</v>
      </c>
      <c r="KH96" s="21" t="str">
        <f t="shared" si="68"/>
        <v/>
      </c>
      <c r="KI96" s="52" t="str">
        <f t="shared" si="69"/>
        <v/>
      </c>
      <c r="KJ96" s="15">
        <f t="shared" si="70"/>
        <v>0</v>
      </c>
      <c r="KK96" s="15">
        <f t="shared" si="71"/>
        <v>0</v>
      </c>
      <c r="KL96" s="19" t="str">
        <f t="shared" si="72"/>
        <v/>
      </c>
      <c r="KM96" s="52" t="str">
        <f t="shared" si="73"/>
        <v/>
      </c>
      <c r="KN96" s="22">
        <f t="shared" si="74"/>
        <v>0</v>
      </c>
      <c r="KO96" s="22">
        <f t="shared" si="75"/>
        <v>0</v>
      </c>
      <c r="KP96" s="19" t="str">
        <f t="shared" si="76"/>
        <v/>
      </c>
      <c r="KQ96" s="11" t="str">
        <f t="shared" si="77"/>
        <v>1. Neutral</v>
      </c>
      <c r="KR96" s="11" t="str">
        <f t="shared" si="78"/>
        <v>1. Tokenistic</v>
      </c>
      <c r="KS96" s="11" t="str">
        <f t="shared" si="79"/>
        <v>1. Neutral</v>
      </c>
      <c r="KT96" s="11" t="str">
        <f t="shared" si="80"/>
        <v>It tested new ways for fighting poverty, but did not measure results of innovation</v>
      </c>
      <c r="KU96" s="11" t="str">
        <f t="shared" si="81"/>
        <v>Little or no advocacy</v>
      </c>
      <c r="KV96" s="11" t="str">
        <f t="shared" si="82"/>
        <v>It did not take tested solutions to scale</v>
      </c>
      <c r="KW96" s="11" t="str">
        <f t="shared" si="83"/>
        <v>Burundi - Le projet INTORE 2</v>
      </c>
      <c r="KX96" s="11" t="str">
        <f t="shared" si="84"/>
        <v>Le projet INTORE 2</v>
      </c>
      <c r="KY96" s="11" t="str">
        <f t="shared" si="85"/>
        <v>Burundi</v>
      </c>
      <c r="KZ96" s="12">
        <v>96</v>
      </c>
    </row>
    <row r="97" spans="1:312" x14ac:dyDescent="0.3">
      <c r="A97" s="11" t="s">
        <v>1873</v>
      </c>
      <c r="B97" s="11" t="s">
        <v>1874</v>
      </c>
      <c r="D97" s="27" t="s">
        <v>1932</v>
      </c>
      <c r="E97" s="288" t="str">
        <f t="shared" si="43"/>
        <v>Burundi</v>
      </c>
      <c r="F97" s="11" t="s">
        <v>1933</v>
      </c>
      <c r="G97" s="11" t="s">
        <v>425</v>
      </c>
      <c r="H97" s="11" t="s">
        <v>383</v>
      </c>
      <c r="I97" s="11" t="s">
        <v>384</v>
      </c>
      <c r="J97" s="278" t="s">
        <v>3967</v>
      </c>
      <c r="BD97" s="23">
        <v>42430</v>
      </c>
      <c r="BE97" s="23">
        <v>42766</v>
      </c>
      <c r="BG97" s="11" t="s">
        <v>350</v>
      </c>
      <c r="BH97" s="22">
        <v>146438</v>
      </c>
      <c r="BI97" s="11" t="s">
        <v>1934</v>
      </c>
      <c r="BJ97" s="11" t="s">
        <v>1899</v>
      </c>
      <c r="BK97" s="11" t="s">
        <v>1879</v>
      </c>
      <c r="BL97" s="11" t="s">
        <v>1935</v>
      </c>
      <c r="BM97" s="11" t="s">
        <v>1936</v>
      </c>
      <c r="BN97" s="11" t="s">
        <v>1937</v>
      </c>
      <c r="BO97" s="11" t="s">
        <v>319</v>
      </c>
      <c r="BP97" s="11" t="s">
        <v>320</v>
      </c>
      <c r="BQ97" s="11" t="s">
        <v>319</v>
      </c>
      <c r="BR97" s="11" t="s">
        <v>1938</v>
      </c>
      <c r="BS97" s="11" t="s">
        <v>357</v>
      </c>
      <c r="BT97" s="11" t="s">
        <v>1939</v>
      </c>
      <c r="BU97" s="11" t="s">
        <v>1939</v>
      </c>
      <c r="BV97" s="22">
        <v>268175</v>
      </c>
      <c r="BX97" s="22">
        <v>268175</v>
      </c>
      <c r="BY97" s="22">
        <v>659257</v>
      </c>
      <c r="BZ97" s="22">
        <v>557200</v>
      </c>
      <c r="CA97" s="22">
        <v>1216457</v>
      </c>
      <c r="CB97" s="32" t="s">
        <v>14590</v>
      </c>
      <c r="CL97" s="18"/>
      <c r="CP97" s="18"/>
      <c r="CT97" s="18"/>
      <c r="CX97" s="18"/>
      <c r="DB97" s="18"/>
      <c r="DF97" s="18"/>
      <c r="DJ97" s="18"/>
      <c r="DN97" s="18"/>
      <c r="DR97" s="18"/>
      <c r="DV97" s="18"/>
      <c r="DZ97" s="18"/>
      <c r="ED97" s="18"/>
      <c r="EI97" s="18"/>
      <c r="EK97" s="29"/>
      <c r="EL97" s="29"/>
      <c r="EM97" s="29"/>
      <c r="EN97" s="22">
        <v>1447231</v>
      </c>
      <c r="EO97" s="22">
        <v>1283081</v>
      </c>
      <c r="EP97" s="22">
        <v>2730312</v>
      </c>
      <c r="EQ97" s="12" t="s">
        <v>319</v>
      </c>
      <c r="ES97" s="18"/>
      <c r="EU97" s="11" t="s">
        <v>319</v>
      </c>
      <c r="EW97" s="18"/>
      <c r="EY97" s="12" t="s">
        <v>319</v>
      </c>
      <c r="FA97" s="18"/>
      <c r="FC97" s="12" t="s">
        <v>319</v>
      </c>
      <c r="FE97" s="18"/>
      <c r="FG97" s="12" t="s">
        <v>319</v>
      </c>
      <c r="FI97" s="18"/>
      <c r="FK97" s="11" t="s">
        <v>319</v>
      </c>
      <c r="FM97" s="18"/>
      <c r="FO97" s="11" t="s">
        <v>319</v>
      </c>
      <c r="FQ97" s="18"/>
      <c r="FS97" s="11" t="s">
        <v>319</v>
      </c>
      <c r="FU97" s="18"/>
      <c r="FW97" s="11" t="s">
        <v>319</v>
      </c>
      <c r="FY97" s="18"/>
      <c r="GA97" s="11" t="s">
        <v>319</v>
      </c>
      <c r="GC97" s="18"/>
      <c r="GE97" s="11" t="s">
        <v>319</v>
      </c>
      <c r="GG97" s="18"/>
      <c r="GI97" s="11" t="s">
        <v>319</v>
      </c>
      <c r="GK97" s="18"/>
      <c r="GM97" s="11" t="s">
        <v>319</v>
      </c>
      <c r="GO97" s="18"/>
      <c r="GQ97" s="11" t="s">
        <v>319</v>
      </c>
      <c r="GS97" s="18"/>
      <c r="GU97" s="11" t="s">
        <v>319</v>
      </c>
      <c r="GW97" s="18"/>
      <c r="GY97" s="11" t="s">
        <v>320</v>
      </c>
      <c r="GZ97" s="29"/>
      <c r="HA97" s="33"/>
      <c r="HB97" s="29">
        <v>2730312</v>
      </c>
      <c r="HF97" s="18"/>
      <c r="HH97" s="11" t="s">
        <v>319</v>
      </c>
      <c r="HK97" s="11" t="s">
        <v>319</v>
      </c>
      <c r="HL97" s="11" t="s">
        <v>319</v>
      </c>
      <c r="HP97" s="11" t="s">
        <v>418</v>
      </c>
      <c r="HQ97" s="11" t="s">
        <v>319</v>
      </c>
      <c r="HR97" s="11" t="s">
        <v>320</v>
      </c>
      <c r="HS97" s="11" t="s">
        <v>320</v>
      </c>
      <c r="HT97" s="11" t="s">
        <v>320</v>
      </c>
      <c r="HU97" s="11" t="s">
        <v>319</v>
      </c>
      <c r="HV97" s="11" t="s">
        <v>319</v>
      </c>
      <c r="HW97" s="11" t="s">
        <v>319</v>
      </c>
      <c r="HX97" s="11" t="s">
        <v>319</v>
      </c>
      <c r="HZ97" s="11" t="s">
        <v>394</v>
      </c>
      <c r="IA97" s="11" t="s">
        <v>1940</v>
      </c>
      <c r="IB97" s="12" t="s">
        <v>396</v>
      </c>
      <c r="IC97" s="11" t="s">
        <v>1941</v>
      </c>
      <c r="ID97" s="12" t="s">
        <v>334</v>
      </c>
      <c r="IE97" s="11" t="s">
        <v>478</v>
      </c>
      <c r="IF97" s="11" t="s">
        <v>320</v>
      </c>
      <c r="IG97" s="11" t="s">
        <v>320</v>
      </c>
      <c r="IH97" s="11" t="s">
        <v>320</v>
      </c>
      <c r="II97" s="11" t="s">
        <v>319</v>
      </c>
      <c r="IJ97" s="12" t="str">
        <f t="shared" si="44"/>
        <v>3. Responsive</v>
      </c>
      <c r="IK97" s="12">
        <f t="shared" si="45"/>
        <v>3</v>
      </c>
      <c r="IL97" s="11" t="s">
        <v>621</v>
      </c>
      <c r="IM97" s="11" t="s">
        <v>320</v>
      </c>
      <c r="IN97" s="11" t="s">
        <v>320</v>
      </c>
      <c r="IO97" s="11" t="s">
        <v>320</v>
      </c>
      <c r="IP97" s="11" t="s">
        <v>320</v>
      </c>
      <c r="IQ97" s="12" t="str">
        <f t="shared" si="46"/>
        <v>4. Transformational</v>
      </c>
      <c r="IR97" s="12">
        <f t="shared" si="47"/>
        <v>4</v>
      </c>
      <c r="IS97" s="11" t="s">
        <v>337</v>
      </c>
      <c r="IT97" s="11" t="s">
        <v>319</v>
      </c>
      <c r="IU97" s="11" t="s">
        <v>320</v>
      </c>
      <c r="IV97" s="11" t="s">
        <v>319</v>
      </c>
      <c r="IW97" s="11" t="str">
        <f t="shared" si="48"/>
        <v>1. Neutral</v>
      </c>
      <c r="IX97" s="12">
        <f t="shared" si="49"/>
        <v>1</v>
      </c>
      <c r="IY97" s="11" t="s">
        <v>338</v>
      </c>
      <c r="IZ97" s="12" t="s">
        <v>457</v>
      </c>
      <c r="JA97" s="11">
        <v>2</v>
      </c>
      <c r="JB97" s="11" t="s">
        <v>1113</v>
      </c>
      <c r="JC97" s="12" t="s">
        <v>433</v>
      </c>
      <c r="JD97" s="11" t="s">
        <v>687</v>
      </c>
      <c r="JE97" s="12" t="s">
        <v>420</v>
      </c>
      <c r="JF97" s="11" t="s">
        <v>1942</v>
      </c>
      <c r="JG97" s="11" t="s">
        <v>1943</v>
      </c>
      <c r="JH97" s="11" t="s">
        <v>1944</v>
      </c>
      <c r="JI97" s="11" t="s">
        <v>1945</v>
      </c>
      <c r="JK97" s="11" t="s">
        <v>1946</v>
      </c>
      <c r="JL97" s="11" t="s">
        <v>1947</v>
      </c>
      <c r="JM97" s="11" t="s">
        <v>1948</v>
      </c>
      <c r="JN97" s="28" t="s">
        <v>14591</v>
      </c>
      <c r="JP97" s="15">
        <f t="shared" si="50"/>
        <v>0</v>
      </c>
      <c r="JQ97" s="15">
        <f t="shared" si="51"/>
        <v>2730312</v>
      </c>
      <c r="JR97" s="279" t="str">
        <f t="shared" si="52"/>
        <v/>
      </c>
      <c r="JS97" s="17" t="str">
        <f t="shared" si="53"/>
        <v/>
      </c>
      <c r="JT97" s="18">
        <f t="shared" si="54"/>
        <v>0.53006066705929578</v>
      </c>
      <c r="JU97" s="280">
        <f t="shared" si="55"/>
        <v>0</v>
      </c>
      <c r="JV97" s="280">
        <f t="shared" si="56"/>
        <v>1447231</v>
      </c>
      <c r="JW97" s="319" t="str">
        <f t="shared" si="57"/>
        <v/>
      </c>
      <c r="JX97" s="15">
        <f t="shared" si="58"/>
        <v>0</v>
      </c>
      <c r="JY97" s="15">
        <f t="shared" si="59"/>
        <v>0</v>
      </c>
      <c r="JZ97" s="19" t="str">
        <f t="shared" si="60"/>
        <v/>
      </c>
      <c r="KA97" s="52" t="str">
        <f t="shared" si="61"/>
        <v/>
      </c>
      <c r="KB97" s="15">
        <f t="shared" si="62"/>
        <v>0</v>
      </c>
      <c r="KC97" s="15">
        <f t="shared" si="63"/>
        <v>0</v>
      </c>
      <c r="KD97" s="20" t="str">
        <f t="shared" si="64"/>
        <v/>
      </c>
      <c r="KE97" s="52" t="str">
        <f t="shared" si="65"/>
        <v/>
      </c>
      <c r="KF97" s="15">
        <f t="shared" si="66"/>
        <v>0</v>
      </c>
      <c r="KG97" s="15">
        <f t="shared" si="67"/>
        <v>0</v>
      </c>
      <c r="KH97" s="21" t="str">
        <f t="shared" si="68"/>
        <v/>
      </c>
      <c r="KI97" s="52" t="str">
        <f t="shared" si="69"/>
        <v/>
      </c>
      <c r="KJ97" s="15">
        <f t="shared" si="70"/>
        <v>0</v>
      </c>
      <c r="KK97" s="15">
        <f t="shared" si="71"/>
        <v>0</v>
      </c>
      <c r="KL97" s="19" t="str">
        <f t="shared" si="72"/>
        <v/>
      </c>
      <c r="KM97" s="52">
        <f t="shared" si="73"/>
        <v>1</v>
      </c>
      <c r="KN97" s="22">
        <f t="shared" si="74"/>
        <v>0</v>
      </c>
      <c r="KO97" s="22">
        <f t="shared" si="75"/>
        <v>2730312</v>
      </c>
      <c r="KP97" s="19" t="str">
        <f t="shared" si="76"/>
        <v/>
      </c>
      <c r="KQ97" s="11" t="str">
        <f t="shared" si="77"/>
        <v>3. Responsive</v>
      </c>
      <c r="KR97" s="11" t="str">
        <f t="shared" si="78"/>
        <v>4. Transformational</v>
      </c>
      <c r="KS97" s="11" t="str">
        <f t="shared" si="79"/>
        <v>1. Neutral</v>
      </c>
      <c r="KT97" s="11" t="str">
        <f t="shared" si="80"/>
        <v>It tested new ways for fighting poverty, but did not measure results of innovation</v>
      </c>
      <c r="KU97" s="11" t="str">
        <f t="shared" si="81"/>
        <v>Little or no advocacy</v>
      </c>
      <c r="KV97" s="11" t="str">
        <f t="shared" si="82"/>
        <v>It linked and worked with strategic alliances and partners to take tested and effective solutions to scale</v>
      </c>
      <c r="KW97" s="11" t="str">
        <f t="shared" si="83"/>
        <v>Burundi - NARATEYINTAMBWE "I MADE A STEP FORWARD"</v>
      </c>
      <c r="KX97" s="11" t="str">
        <f t="shared" si="84"/>
        <v>NARATEYINTAMBWE "I MADE A STEP FORWARD"</v>
      </c>
      <c r="KY97" s="11" t="str">
        <f t="shared" si="85"/>
        <v>Burundi</v>
      </c>
      <c r="KZ97" s="12">
        <v>97</v>
      </c>
    </row>
    <row r="98" spans="1:312" x14ac:dyDescent="0.3">
      <c r="A98" s="11" t="s">
        <v>1873</v>
      </c>
      <c r="B98" s="11" t="s">
        <v>1874</v>
      </c>
      <c r="D98" s="27" t="s">
        <v>1949</v>
      </c>
      <c r="E98" s="288" t="str">
        <f t="shared" si="43"/>
        <v>Burundi</v>
      </c>
      <c r="F98" s="11" t="s">
        <v>1950</v>
      </c>
      <c r="G98" s="11" t="s">
        <v>425</v>
      </c>
      <c r="H98" s="11" t="s">
        <v>310</v>
      </c>
      <c r="I98" s="11" t="s">
        <v>426</v>
      </c>
      <c r="J98" s="278" t="s">
        <v>14563</v>
      </c>
      <c r="BD98" s="23">
        <v>42369</v>
      </c>
      <c r="BE98" s="23">
        <v>44196</v>
      </c>
      <c r="BG98" s="11" t="s">
        <v>490</v>
      </c>
      <c r="BH98" s="22">
        <v>7342603</v>
      </c>
      <c r="BI98" s="11" t="s">
        <v>1934</v>
      </c>
      <c r="BJ98" s="11" t="s">
        <v>1899</v>
      </c>
      <c r="BK98" s="11" t="s">
        <v>1879</v>
      </c>
      <c r="BL98" s="11" t="s">
        <v>1951</v>
      </c>
      <c r="BM98" s="11" t="s">
        <v>751</v>
      </c>
      <c r="BN98" s="11" t="s">
        <v>1952</v>
      </c>
      <c r="BO98" s="11" t="s">
        <v>319</v>
      </c>
      <c r="BP98" s="11" t="s">
        <v>320</v>
      </c>
      <c r="BQ98" s="11" t="s">
        <v>319</v>
      </c>
      <c r="BR98" s="11" t="s">
        <v>1953</v>
      </c>
      <c r="BS98" s="11" t="s">
        <v>357</v>
      </c>
      <c r="BT98" s="11" t="s">
        <v>1954</v>
      </c>
      <c r="BU98" s="11" t="s">
        <v>1955</v>
      </c>
      <c r="BV98" s="22">
        <v>288217</v>
      </c>
      <c r="BW98" s="22">
        <v>266047</v>
      </c>
      <c r="BX98" s="22">
        <v>554264</v>
      </c>
      <c r="BY98" s="22">
        <v>1441085</v>
      </c>
      <c r="BZ98" s="22">
        <v>1330233</v>
      </c>
      <c r="CA98" s="22">
        <v>2771318</v>
      </c>
      <c r="CB98" s="15" t="s">
        <v>1956</v>
      </c>
      <c r="CL98" s="18"/>
      <c r="CP98" s="18"/>
      <c r="CT98" s="18"/>
      <c r="CX98" s="18"/>
      <c r="DB98" s="18"/>
      <c r="DF98" s="18"/>
      <c r="DJ98" s="18"/>
      <c r="DN98" s="18"/>
      <c r="DR98" s="18"/>
      <c r="DV98" s="18"/>
      <c r="DZ98" s="18"/>
      <c r="ED98" s="18"/>
      <c r="EI98" s="18"/>
      <c r="EK98" s="22">
        <v>82835</v>
      </c>
      <c r="EL98" s="22">
        <v>23494</v>
      </c>
      <c r="EM98" s="22">
        <v>106329</v>
      </c>
      <c r="EN98" s="22">
        <v>414175</v>
      </c>
      <c r="EO98" s="22">
        <v>117470</v>
      </c>
      <c r="EP98" s="22">
        <v>531645</v>
      </c>
      <c r="EQ98" s="12" t="s">
        <v>319</v>
      </c>
      <c r="ES98" s="18"/>
      <c r="EU98" s="11" t="s">
        <v>319</v>
      </c>
      <c r="EW98" s="18"/>
      <c r="EY98" s="12" t="s">
        <v>319</v>
      </c>
      <c r="FA98" s="18"/>
      <c r="FC98" s="12" t="s">
        <v>319</v>
      </c>
      <c r="FE98" s="18"/>
      <c r="FG98" s="12" t="s">
        <v>319</v>
      </c>
      <c r="FI98" s="18"/>
      <c r="FK98" s="11" t="s">
        <v>319</v>
      </c>
      <c r="FM98" s="18"/>
      <c r="FO98" s="11" t="s">
        <v>319</v>
      </c>
      <c r="FQ98" s="18"/>
      <c r="FS98" s="12" t="s">
        <v>320</v>
      </c>
      <c r="FT98" s="22">
        <v>2251</v>
      </c>
      <c r="FU98" s="18">
        <v>0.48199999999999998</v>
      </c>
      <c r="FV98" s="22">
        <v>11255</v>
      </c>
      <c r="FW98" s="11" t="s">
        <v>319</v>
      </c>
      <c r="FY98" s="18"/>
      <c r="GA98" s="11" t="s">
        <v>319</v>
      </c>
      <c r="GC98" s="18"/>
      <c r="GE98" s="11" t="s">
        <v>319</v>
      </c>
      <c r="GG98" s="18"/>
      <c r="GI98" s="11" t="s">
        <v>319</v>
      </c>
      <c r="GK98" s="18"/>
      <c r="GM98" s="11" t="s">
        <v>319</v>
      </c>
      <c r="GO98" s="18"/>
      <c r="GQ98" s="12" t="s">
        <v>320</v>
      </c>
      <c r="GR98" s="22">
        <v>88536</v>
      </c>
      <c r="GS98" s="18">
        <v>0.8</v>
      </c>
      <c r="GT98" s="22">
        <v>442680</v>
      </c>
      <c r="GU98" s="11" t="s">
        <v>319</v>
      </c>
      <c r="GW98" s="18"/>
      <c r="GY98" s="11" t="s">
        <v>319</v>
      </c>
      <c r="HA98" s="18"/>
      <c r="HD98" s="11" t="s">
        <v>319</v>
      </c>
      <c r="HF98" s="18"/>
      <c r="HH98" s="11" t="s">
        <v>320</v>
      </c>
      <c r="HI98" s="11" t="s">
        <v>560</v>
      </c>
      <c r="HJ98" s="11">
        <v>2017</v>
      </c>
      <c r="HK98" s="11" t="s">
        <v>320</v>
      </c>
      <c r="HL98" s="11" t="s">
        <v>319</v>
      </c>
      <c r="HP98" s="11" t="s">
        <v>330</v>
      </c>
      <c r="HQ98" s="11" t="s">
        <v>319</v>
      </c>
      <c r="HR98" s="11" t="s">
        <v>319</v>
      </c>
      <c r="HS98" s="11" t="s">
        <v>320</v>
      </c>
      <c r="HT98" s="11" t="s">
        <v>320</v>
      </c>
      <c r="HU98" s="11" t="s">
        <v>320</v>
      </c>
      <c r="HV98" s="11" t="s">
        <v>320</v>
      </c>
      <c r="HW98" s="11" t="s">
        <v>319</v>
      </c>
      <c r="HX98" s="11" t="s">
        <v>319</v>
      </c>
      <c r="HZ98" s="11" t="s">
        <v>394</v>
      </c>
      <c r="IA98" s="11" t="s">
        <v>1957</v>
      </c>
      <c r="IB98" s="12" t="s">
        <v>396</v>
      </c>
      <c r="IC98" s="11" t="s">
        <v>1958</v>
      </c>
      <c r="ID98" s="12" t="s">
        <v>334</v>
      </c>
      <c r="IE98" s="11" t="s">
        <v>478</v>
      </c>
      <c r="IF98" s="11" t="s">
        <v>320</v>
      </c>
      <c r="IG98" s="11" t="s">
        <v>320</v>
      </c>
      <c r="IH98" s="11" t="s">
        <v>320</v>
      </c>
      <c r="II98" s="11" t="s">
        <v>320</v>
      </c>
      <c r="IJ98" s="12" t="str">
        <f t="shared" si="44"/>
        <v>4. Transformative</v>
      </c>
      <c r="IK98" s="12">
        <f t="shared" si="45"/>
        <v>4</v>
      </c>
      <c r="IL98" s="11" t="s">
        <v>336</v>
      </c>
      <c r="IM98" s="11" t="s">
        <v>320</v>
      </c>
      <c r="IN98" s="11" t="s">
        <v>319</v>
      </c>
      <c r="IO98" s="11" t="s">
        <v>320</v>
      </c>
      <c r="IP98" s="11" t="s">
        <v>319</v>
      </c>
      <c r="IQ98" s="12" t="str">
        <f t="shared" si="46"/>
        <v>1. Tokenistic</v>
      </c>
      <c r="IR98" s="12">
        <f t="shared" si="47"/>
        <v>2</v>
      </c>
      <c r="IS98" s="11" t="s">
        <v>456</v>
      </c>
      <c r="IT98" s="11" t="s">
        <v>320</v>
      </c>
      <c r="IU98" s="11" t="s">
        <v>320</v>
      </c>
      <c r="IV98" s="11" t="s">
        <v>320</v>
      </c>
      <c r="IW98" s="11" t="str">
        <f t="shared" si="48"/>
        <v>0. Harmful</v>
      </c>
      <c r="IX98" s="12">
        <f t="shared" si="49"/>
        <v>3</v>
      </c>
      <c r="IY98" s="11" t="s">
        <v>338</v>
      </c>
      <c r="IZ98" s="12" t="s">
        <v>457</v>
      </c>
      <c r="JA98" s="11">
        <v>6</v>
      </c>
      <c r="JB98" s="11" t="s">
        <v>433</v>
      </c>
      <c r="JC98" s="12" t="s">
        <v>623</v>
      </c>
      <c r="JD98" s="11" t="s">
        <v>831</v>
      </c>
      <c r="JE98" s="12" t="s">
        <v>340</v>
      </c>
      <c r="JF98" s="11" t="s">
        <v>1959</v>
      </c>
      <c r="JH98" s="11" t="s">
        <v>1960</v>
      </c>
      <c r="JI98" s="11" t="s">
        <v>1961</v>
      </c>
      <c r="JJ98" s="11" t="s">
        <v>1962</v>
      </c>
      <c r="JK98" s="11" t="s">
        <v>1963</v>
      </c>
      <c r="JL98" s="11" t="s">
        <v>1964</v>
      </c>
      <c r="JM98" s="11" t="s">
        <v>1965</v>
      </c>
      <c r="JP98" s="15">
        <f t="shared" si="50"/>
        <v>106329</v>
      </c>
      <c r="JQ98" s="15">
        <f t="shared" si="51"/>
        <v>531645</v>
      </c>
      <c r="JR98" s="279">
        <f t="shared" si="52"/>
        <v>5</v>
      </c>
      <c r="JS98" s="17">
        <f t="shared" si="53"/>
        <v>0.77904428707125994</v>
      </c>
      <c r="JT98" s="18">
        <f t="shared" si="54"/>
        <v>0.77904428707125994</v>
      </c>
      <c r="JU98" s="280">
        <f t="shared" si="55"/>
        <v>82835</v>
      </c>
      <c r="JV98" s="280">
        <f t="shared" si="56"/>
        <v>414175</v>
      </c>
      <c r="JW98" s="319" t="str">
        <f t="shared" si="57"/>
        <v/>
      </c>
      <c r="JX98" s="15">
        <f t="shared" si="58"/>
        <v>0</v>
      </c>
      <c r="JY98" s="15">
        <f t="shared" si="59"/>
        <v>0</v>
      </c>
      <c r="JZ98" s="19" t="str">
        <f t="shared" si="60"/>
        <v/>
      </c>
      <c r="KA98" s="52" t="str">
        <f t="shared" si="61"/>
        <v/>
      </c>
      <c r="KB98" s="15">
        <f t="shared" si="62"/>
        <v>0</v>
      </c>
      <c r="KC98" s="15">
        <f t="shared" si="63"/>
        <v>0</v>
      </c>
      <c r="KD98" s="20" t="str">
        <f t="shared" si="64"/>
        <v/>
      </c>
      <c r="KE98" s="52">
        <f t="shared" si="65"/>
        <v>1</v>
      </c>
      <c r="KF98" s="15">
        <f t="shared" si="66"/>
        <v>88536</v>
      </c>
      <c r="KG98" s="15">
        <f t="shared" si="67"/>
        <v>442680</v>
      </c>
      <c r="KH98" s="21">
        <f t="shared" si="68"/>
        <v>5</v>
      </c>
      <c r="KI98" s="52">
        <f t="shared" si="69"/>
        <v>1</v>
      </c>
      <c r="KJ98" s="15">
        <f t="shared" si="70"/>
        <v>2251</v>
      </c>
      <c r="KK98" s="15">
        <f t="shared" si="71"/>
        <v>11255</v>
      </c>
      <c r="KL98" s="19">
        <f t="shared" si="72"/>
        <v>5</v>
      </c>
      <c r="KM98" s="52" t="str">
        <f t="shared" si="73"/>
        <v/>
      </c>
      <c r="KN98" s="22">
        <f t="shared" si="74"/>
        <v>0</v>
      </c>
      <c r="KO98" s="22">
        <f t="shared" si="75"/>
        <v>0</v>
      </c>
      <c r="KP98" s="19" t="str">
        <f t="shared" si="76"/>
        <v/>
      </c>
      <c r="KQ98" s="11" t="str">
        <f t="shared" si="77"/>
        <v>4. Transformative</v>
      </c>
      <c r="KR98" s="11" t="str">
        <f t="shared" si="78"/>
        <v>1. Tokenistic</v>
      </c>
      <c r="KS98" s="11" t="str">
        <f t="shared" si="79"/>
        <v>0. Harmful</v>
      </c>
      <c r="KT98" s="11" t="str">
        <f t="shared" si="80"/>
        <v>It tested new ways for fighting poverty, but did not measure results of innovation</v>
      </c>
      <c r="KU98" s="11" t="str">
        <f t="shared" si="81"/>
        <v>Moderate advocacy</v>
      </c>
      <c r="KV98" s="11" t="str">
        <f t="shared" si="82"/>
        <v>It linked and worked with strategic alliances and partners to take tested and effective solutions to scale</v>
      </c>
      <c r="KW98" s="11" t="str">
        <f t="shared" si="83"/>
        <v>Burundi - Programme Conjoint d'amélioration de la Santé sexuelle et reproductive des adolescents et des jeunes: MENYUMENYESHE</v>
      </c>
      <c r="KX98" s="11" t="str">
        <f t="shared" si="84"/>
        <v>Programme Conjoint d'amélioration de la Santé sexuelle et reproductive des adolescents et des jeunes: MENYUMENYESHE</v>
      </c>
      <c r="KY98" s="11" t="str">
        <f t="shared" si="85"/>
        <v>Burundi</v>
      </c>
      <c r="KZ98" s="12">
        <v>98</v>
      </c>
    </row>
    <row r="99" spans="1:312" x14ac:dyDescent="0.3">
      <c r="A99" s="11" t="s">
        <v>1873</v>
      </c>
      <c r="B99" s="11" t="s">
        <v>1874</v>
      </c>
      <c r="D99" s="27" t="s">
        <v>1875</v>
      </c>
      <c r="E99" s="24" t="str">
        <f t="shared" si="43"/>
        <v>Burundi</v>
      </c>
      <c r="F99" s="11" t="s">
        <v>1876</v>
      </c>
      <c r="G99" s="11" t="s">
        <v>376</v>
      </c>
      <c r="H99" s="11" t="s">
        <v>383</v>
      </c>
      <c r="I99" s="11" t="s">
        <v>384</v>
      </c>
      <c r="J99" s="278" t="s">
        <v>14592</v>
      </c>
      <c r="BD99" s="23">
        <v>41579</v>
      </c>
      <c r="BE99" s="23">
        <v>43100</v>
      </c>
      <c r="BF99" s="23">
        <v>43281</v>
      </c>
      <c r="BG99" s="11" t="s">
        <v>350</v>
      </c>
      <c r="BH99" s="22">
        <v>2386991</v>
      </c>
      <c r="BI99" s="11" t="s">
        <v>1877</v>
      </c>
      <c r="BJ99" s="11" t="s">
        <v>1878</v>
      </c>
      <c r="BK99" s="11" t="s">
        <v>1879</v>
      </c>
      <c r="BL99" s="11" t="s">
        <v>1880</v>
      </c>
      <c r="BM99" s="11" t="s">
        <v>1881</v>
      </c>
      <c r="BN99" s="11" t="s">
        <v>1881</v>
      </c>
      <c r="BO99" s="11" t="s">
        <v>319</v>
      </c>
      <c r="BP99" s="11" t="s">
        <v>320</v>
      </c>
      <c r="BQ99" s="11" t="s">
        <v>319</v>
      </c>
      <c r="BR99" s="11" t="s">
        <v>1882</v>
      </c>
      <c r="BS99" s="11" t="s">
        <v>615</v>
      </c>
      <c r="BT99" s="11" t="s">
        <v>1883</v>
      </c>
      <c r="BU99" s="11" t="s">
        <v>1884</v>
      </c>
      <c r="BV99" s="22">
        <v>100000</v>
      </c>
      <c r="BW99" s="22">
        <v>0</v>
      </c>
      <c r="BX99" s="22">
        <v>100000</v>
      </c>
      <c r="BY99" s="22">
        <v>265200</v>
      </c>
      <c r="BZ99" s="22">
        <v>244800</v>
      </c>
      <c r="CA99" s="22">
        <v>510000</v>
      </c>
      <c r="CB99" s="15" t="s">
        <v>1885</v>
      </c>
      <c r="CL99" s="18"/>
      <c r="CP99" s="18"/>
      <c r="CT99" s="18"/>
      <c r="CX99" s="18"/>
      <c r="DB99" s="18"/>
      <c r="DF99" s="18"/>
      <c r="DJ99" s="18"/>
      <c r="DN99" s="18"/>
      <c r="DR99" s="18"/>
      <c r="DV99" s="18"/>
      <c r="DZ99" s="18"/>
      <c r="ED99" s="18"/>
      <c r="EI99" s="18"/>
      <c r="EK99" s="22">
        <v>123714</v>
      </c>
      <c r="EM99" s="22">
        <v>123714</v>
      </c>
      <c r="EN99" s="22">
        <v>328090</v>
      </c>
      <c r="EO99" s="22">
        <v>302581</v>
      </c>
      <c r="EP99" s="22">
        <v>630671</v>
      </c>
      <c r="EQ99" s="12" t="s">
        <v>319</v>
      </c>
      <c r="ES99" s="18"/>
      <c r="EU99" s="11" t="s">
        <v>319</v>
      </c>
      <c r="EW99" s="18"/>
      <c r="EY99" s="12" t="s">
        <v>319</v>
      </c>
      <c r="FA99" s="18"/>
      <c r="FC99" s="12" t="s">
        <v>319</v>
      </c>
      <c r="FE99" s="18"/>
      <c r="FG99" s="12" t="s">
        <v>319</v>
      </c>
      <c r="FI99" s="18"/>
      <c r="FK99" s="11" t="s">
        <v>319</v>
      </c>
      <c r="FM99" s="18"/>
      <c r="FO99" s="11" t="s">
        <v>319</v>
      </c>
      <c r="FQ99" s="18"/>
      <c r="FS99" s="11" t="s">
        <v>319</v>
      </c>
      <c r="FU99" s="18"/>
      <c r="FW99" s="11" t="s">
        <v>320</v>
      </c>
      <c r="FX99" s="22">
        <v>123714</v>
      </c>
      <c r="FY99" s="18">
        <v>1</v>
      </c>
      <c r="FZ99" s="22">
        <v>630941</v>
      </c>
      <c r="GA99" s="11" t="s">
        <v>319</v>
      </c>
      <c r="GC99" s="18"/>
      <c r="GE99" s="11" t="s">
        <v>319</v>
      </c>
      <c r="GG99" s="18"/>
      <c r="GI99" s="11" t="s">
        <v>319</v>
      </c>
      <c r="GK99" s="18"/>
      <c r="GM99" s="11" t="s">
        <v>319</v>
      </c>
      <c r="GO99" s="18"/>
      <c r="GQ99" s="11" t="s">
        <v>319</v>
      </c>
      <c r="GS99" s="18"/>
      <c r="GU99" s="11" t="s">
        <v>319</v>
      </c>
      <c r="GW99" s="18"/>
      <c r="GY99" s="11" t="s">
        <v>320</v>
      </c>
      <c r="GZ99" s="22">
        <v>123714</v>
      </c>
      <c r="HA99" s="18">
        <v>1</v>
      </c>
      <c r="HB99" s="22">
        <v>630941</v>
      </c>
      <c r="HF99" s="18"/>
      <c r="HH99" s="11" t="s">
        <v>320</v>
      </c>
      <c r="HI99" s="11" t="s">
        <v>328</v>
      </c>
      <c r="HJ99" s="11">
        <v>2016</v>
      </c>
      <c r="HK99" s="11" t="s">
        <v>319</v>
      </c>
      <c r="HL99" s="11" t="s">
        <v>320</v>
      </c>
      <c r="HM99" s="11" t="s">
        <v>328</v>
      </c>
      <c r="HN99" s="11">
        <v>2017</v>
      </c>
      <c r="HO99" s="11" t="s">
        <v>1886</v>
      </c>
      <c r="HP99" s="11" t="s">
        <v>330</v>
      </c>
      <c r="HQ99" s="11" t="s">
        <v>320</v>
      </c>
      <c r="HR99" s="11" t="s">
        <v>319</v>
      </c>
      <c r="HS99" s="11" t="s">
        <v>320</v>
      </c>
      <c r="HT99" s="11" t="s">
        <v>320</v>
      </c>
      <c r="HU99" s="11" t="s">
        <v>320</v>
      </c>
      <c r="HV99" s="11" t="s">
        <v>319</v>
      </c>
      <c r="HW99" s="11" t="s">
        <v>319</v>
      </c>
      <c r="HX99" s="11" t="s">
        <v>320</v>
      </c>
      <c r="HZ99" s="12" t="s">
        <v>331</v>
      </c>
      <c r="IA99" s="11" t="s">
        <v>1887</v>
      </c>
      <c r="IB99" s="12" t="s">
        <v>396</v>
      </c>
      <c r="IC99" s="11" t="s">
        <v>1888</v>
      </c>
      <c r="ID99" s="12" t="s">
        <v>334</v>
      </c>
      <c r="IE99" s="11" t="s">
        <v>478</v>
      </c>
      <c r="IF99" s="11" t="s">
        <v>320</v>
      </c>
      <c r="IG99" s="11" t="s">
        <v>320</v>
      </c>
      <c r="IH99" s="11" t="s">
        <v>319</v>
      </c>
      <c r="II99" s="11" t="s">
        <v>319</v>
      </c>
      <c r="IJ99" s="12" t="str">
        <f t="shared" si="44"/>
        <v>3. Responsive</v>
      </c>
      <c r="IK99" s="12">
        <f t="shared" si="45"/>
        <v>2</v>
      </c>
      <c r="IL99" s="11" t="s">
        <v>336</v>
      </c>
      <c r="IM99" s="11" t="s">
        <v>320</v>
      </c>
      <c r="IN99" s="11" t="s">
        <v>319</v>
      </c>
      <c r="IO99" s="11" t="s">
        <v>320</v>
      </c>
      <c r="IP99" s="11" t="s">
        <v>319</v>
      </c>
      <c r="IQ99" s="12" t="str">
        <f t="shared" si="46"/>
        <v>1. Tokenistic</v>
      </c>
      <c r="IR99" s="12">
        <f t="shared" si="47"/>
        <v>2</v>
      </c>
      <c r="IS99" s="11" t="s">
        <v>456</v>
      </c>
      <c r="IT99" s="11" t="s">
        <v>320</v>
      </c>
      <c r="IU99" s="11" t="s">
        <v>320</v>
      </c>
      <c r="IV99" s="11" t="s">
        <v>320</v>
      </c>
      <c r="IW99" s="11" t="str">
        <f t="shared" si="48"/>
        <v>0. Harmful</v>
      </c>
      <c r="IX99" s="12">
        <f t="shared" si="49"/>
        <v>3</v>
      </c>
      <c r="IY99" s="11" t="s">
        <v>338</v>
      </c>
      <c r="IZ99" s="12" t="s">
        <v>457</v>
      </c>
      <c r="JA99" s="11">
        <v>1</v>
      </c>
      <c r="JB99" s="12" t="s">
        <v>624</v>
      </c>
      <c r="JC99" s="11" t="s">
        <v>687</v>
      </c>
      <c r="JD99" s="11" t="s">
        <v>433</v>
      </c>
      <c r="JE99" s="12" t="s">
        <v>340</v>
      </c>
      <c r="JF99" s="11" t="s">
        <v>1889</v>
      </c>
      <c r="JG99" s="11" t="s">
        <v>1890</v>
      </c>
      <c r="JH99" s="11" t="s">
        <v>1891</v>
      </c>
      <c r="JI99" s="11" t="s">
        <v>1892</v>
      </c>
      <c r="JJ99" s="11" t="s">
        <v>1893</v>
      </c>
      <c r="JK99" s="11" t="s">
        <v>1894</v>
      </c>
      <c r="JL99" s="11" t="s">
        <v>1895</v>
      </c>
      <c r="JP99" s="15">
        <f t="shared" si="50"/>
        <v>123714</v>
      </c>
      <c r="JQ99" s="15">
        <f t="shared" si="51"/>
        <v>630671</v>
      </c>
      <c r="JR99" s="279">
        <f t="shared" si="52"/>
        <v>5.0978143136589233</v>
      </c>
      <c r="JS99" s="17">
        <f t="shared" si="53"/>
        <v>1</v>
      </c>
      <c r="JT99" s="18">
        <f t="shared" si="54"/>
        <v>0.5202236982515448</v>
      </c>
      <c r="JU99" s="280">
        <f t="shared" si="55"/>
        <v>123714</v>
      </c>
      <c r="JV99" s="280">
        <f t="shared" si="56"/>
        <v>328090</v>
      </c>
      <c r="JW99" s="319" t="str">
        <f t="shared" si="57"/>
        <v/>
      </c>
      <c r="JX99" s="15">
        <f t="shared" si="58"/>
        <v>0</v>
      </c>
      <c r="JY99" s="15">
        <f t="shared" si="59"/>
        <v>0</v>
      </c>
      <c r="JZ99" s="19" t="str">
        <f t="shared" si="60"/>
        <v/>
      </c>
      <c r="KA99" s="52" t="str">
        <f t="shared" si="61"/>
        <v/>
      </c>
      <c r="KB99" s="15">
        <f t="shared" si="62"/>
        <v>0</v>
      </c>
      <c r="KC99" s="15">
        <f t="shared" si="63"/>
        <v>0</v>
      </c>
      <c r="KD99" s="20" t="str">
        <f t="shared" si="64"/>
        <v/>
      </c>
      <c r="KE99" s="52" t="str">
        <f t="shared" si="65"/>
        <v/>
      </c>
      <c r="KF99" s="15">
        <f t="shared" si="66"/>
        <v>0</v>
      </c>
      <c r="KG99" s="15">
        <f t="shared" si="67"/>
        <v>0</v>
      </c>
      <c r="KH99" s="21" t="str">
        <f t="shared" si="68"/>
        <v/>
      </c>
      <c r="KI99" s="52" t="str">
        <f t="shared" si="69"/>
        <v/>
      </c>
      <c r="KJ99" s="15">
        <f t="shared" si="70"/>
        <v>0</v>
      </c>
      <c r="KK99" s="15">
        <f t="shared" si="71"/>
        <v>0</v>
      </c>
      <c r="KL99" s="19" t="str">
        <f t="shared" si="72"/>
        <v/>
      </c>
      <c r="KM99" s="52">
        <f t="shared" si="73"/>
        <v>1</v>
      </c>
      <c r="KN99" s="22">
        <f t="shared" si="74"/>
        <v>123714</v>
      </c>
      <c r="KO99" s="22">
        <f t="shared" si="75"/>
        <v>630941</v>
      </c>
      <c r="KP99" s="19">
        <f t="shared" si="76"/>
        <v>5.0999967667361821</v>
      </c>
      <c r="KQ99" s="11" t="str">
        <f t="shared" si="77"/>
        <v>3. Responsive</v>
      </c>
      <c r="KR99" s="11" t="str">
        <f t="shared" si="78"/>
        <v>1. Tokenistic</v>
      </c>
      <c r="KS99" s="11" t="str">
        <f t="shared" si="79"/>
        <v>0. Harmful</v>
      </c>
      <c r="KT99" s="11" t="str">
        <f t="shared" si="80"/>
        <v>It tested new ways for fighting poverty and measured results of innovation</v>
      </c>
      <c r="KU99" s="11" t="str">
        <f t="shared" si="81"/>
        <v>Moderate advocacy</v>
      </c>
      <c r="KV99" s="11" t="str">
        <f t="shared" si="82"/>
        <v>It linked and worked with strategic alliances and partners to take tested and effective solutions to scale</v>
      </c>
      <c r="KW99" s="11" t="str">
        <f t="shared" si="83"/>
        <v>Burundi - Promoting Opportunities for Women's economic Emporment  In Rural Africa (POWER Africa)</v>
      </c>
      <c r="KX99" s="11" t="str">
        <f t="shared" si="84"/>
        <v>Promoting Opportunities for Women's economic Emporment  In Rural Africa (POWER Africa)</v>
      </c>
      <c r="KY99" s="11" t="str">
        <f t="shared" si="85"/>
        <v>Burundi</v>
      </c>
      <c r="KZ99" s="12">
        <v>99</v>
      </c>
    </row>
    <row r="100" spans="1:312" x14ac:dyDescent="0.3">
      <c r="A100" s="11" t="s">
        <v>1873</v>
      </c>
      <c r="B100" s="11" t="s">
        <v>1874</v>
      </c>
      <c r="D100" s="27" t="s">
        <v>1994</v>
      </c>
      <c r="E100" s="24" t="str">
        <f t="shared" si="43"/>
        <v>Burundi</v>
      </c>
      <c r="F100" s="11" t="s">
        <v>1995</v>
      </c>
      <c r="G100" s="11" t="s">
        <v>467</v>
      </c>
      <c r="H100" s="11" t="s">
        <v>380</v>
      </c>
      <c r="I100" s="11" t="s">
        <v>517</v>
      </c>
      <c r="J100" s="278" t="s">
        <v>14578</v>
      </c>
      <c r="BD100" s="23">
        <v>42705</v>
      </c>
      <c r="BE100" s="23">
        <v>43434</v>
      </c>
      <c r="BG100" s="11" t="s">
        <v>312</v>
      </c>
      <c r="BH100" s="22">
        <v>1000243</v>
      </c>
      <c r="BI100" s="11" t="s">
        <v>1996</v>
      </c>
      <c r="BJ100" s="11" t="s">
        <v>1997</v>
      </c>
      <c r="BK100" s="11" t="s">
        <v>1902</v>
      </c>
      <c r="BL100" s="11" t="s">
        <v>1877</v>
      </c>
      <c r="BM100" s="11" t="s">
        <v>1998</v>
      </c>
      <c r="BN100" s="11" t="s">
        <v>1879</v>
      </c>
      <c r="BO100" s="11" t="s">
        <v>319</v>
      </c>
      <c r="BP100" s="11" t="s">
        <v>320</v>
      </c>
      <c r="BQ100" s="11" t="s">
        <v>319</v>
      </c>
      <c r="BR100" s="11" t="s">
        <v>1999</v>
      </c>
      <c r="BS100" s="11" t="s">
        <v>357</v>
      </c>
      <c r="BT100" s="11" t="s">
        <v>2000</v>
      </c>
      <c r="BU100" s="11" t="s">
        <v>2001</v>
      </c>
      <c r="BV100" s="22">
        <v>435</v>
      </c>
      <c r="BW100" s="22">
        <v>564</v>
      </c>
      <c r="BX100" s="22">
        <v>999</v>
      </c>
      <c r="BY100" s="22">
        <v>8710</v>
      </c>
      <c r="BZ100" s="22">
        <v>11270</v>
      </c>
      <c r="CA100" s="22">
        <v>19980</v>
      </c>
      <c r="CB100" s="15" t="s">
        <v>2002</v>
      </c>
      <c r="CL100" s="18"/>
      <c r="CP100" s="18"/>
      <c r="CT100" s="18"/>
      <c r="CX100" s="18"/>
      <c r="DB100" s="18"/>
      <c r="DF100" s="18"/>
      <c r="DJ100" s="18"/>
      <c r="DN100" s="18"/>
      <c r="DR100" s="18"/>
      <c r="DV100" s="18"/>
      <c r="DZ100" s="18"/>
      <c r="ED100" s="18"/>
      <c r="EI100" s="18"/>
      <c r="ES100" s="18"/>
      <c r="EW100" s="18"/>
      <c r="FA100" s="18"/>
      <c r="FE100" s="18"/>
      <c r="FI100" s="18"/>
      <c r="FM100" s="18"/>
      <c r="FQ100" s="18"/>
      <c r="FU100" s="18"/>
      <c r="FY100" s="18"/>
      <c r="GC100" s="18"/>
      <c r="GG100" s="18"/>
      <c r="GK100" s="18"/>
      <c r="GO100" s="18"/>
      <c r="GS100" s="18"/>
      <c r="GW100" s="18"/>
      <c r="HA100" s="18"/>
      <c r="HF100" s="18"/>
      <c r="HH100" s="11" t="s">
        <v>319</v>
      </c>
      <c r="HL100" s="11" t="s">
        <v>319</v>
      </c>
      <c r="IJ100" s="12" t="str">
        <f t="shared" si="44"/>
        <v>No marker score</v>
      </c>
      <c r="IK100" s="12">
        <f t="shared" si="45"/>
        <v>0</v>
      </c>
      <c r="IL100" s="11" t="s">
        <v>336</v>
      </c>
      <c r="IM100" s="11" t="s">
        <v>320</v>
      </c>
      <c r="IN100" s="11" t="s">
        <v>320</v>
      </c>
      <c r="IO100" s="11" t="s">
        <v>320</v>
      </c>
      <c r="IP100" s="11" t="s">
        <v>320</v>
      </c>
      <c r="IQ100" s="12" t="str">
        <f t="shared" si="46"/>
        <v>2. Accommodating</v>
      </c>
      <c r="IR100" s="12">
        <f t="shared" si="47"/>
        <v>4</v>
      </c>
      <c r="IS100" s="11" t="s">
        <v>456</v>
      </c>
      <c r="IT100" s="11" t="s">
        <v>319</v>
      </c>
      <c r="IU100" s="11" t="s">
        <v>319</v>
      </c>
      <c r="IV100" s="11" t="s">
        <v>319</v>
      </c>
      <c r="IW100" s="11" t="str">
        <f t="shared" si="48"/>
        <v>0. Harmful</v>
      </c>
      <c r="IX100" s="12">
        <f t="shared" si="49"/>
        <v>0</v>
      </c>
      <c r="IY100" s="11" t="s">
        <v>338</v>
      </c>
      <c r="IZ100" s="12" t="s">
        <v>339</v>
      </c>
      <c r="JE100" s="12" t="s">
        <v>340</v>
      </c>
      <c r="JF100" s="11" t="s">
        <v>2003</v>
      </c>
      <c r="JN100" s="11" t="s">
        <v>2004</v>
      </c>
      <c r="JO100" s="11" t="s">
        <v>2005</v>
      </c>
      <c r="JP100" s="15">
        <f t="shared" si="50"/>
        <v>0</v>
      </c>
      <c r="JQ100" s="15">
        <f t="shared" si="51"/>
        <v>0</v>
      </c>
      <c r="JR100" s="279" t="str">
        <f t="shared" si="52"/>
        <v/>
      </c>
      <c r="JS100" s="17" t="str">
        <f t="shared" si="53"/>
        <v/>
      </c>
      <c r="JT100" s="18" t="str">
        <f t="shared" si="54"/>
        <v/>
      </c>
      <c r="JU100" s="280">
        <f t="shared" si="55"/>
        <v>0</v>
      </c>
      <c r="JV100" s="280">
        <f t="shared" si="56"/>
        <v>0</v>
      </c>
      <c r="JW100" s="319" t="str">
        <f t="shared" si="57"/>
        <v/>
      </c>
      <c r="JX100" s="15">
        <f t="shared" si="58"/>
        <v>0</v>
      </c>
      <c r="JY100" s="15">
        <f t="shared" si="59"/>
        <v>0</v>
      </c>
      <c r="JZ100" s="19" t="str">
        <f t="shared" si="60"/>
        <v/>
      </c>
      <c r="KA100" s="52" t="str">
        <f t="shared" si="61"/>
        <v/>
      </c>
      <c r="KB100" s="15">
        <f t="shared" si="62"/>
        <v>0</v>
      </c>
      <c r="KC100" s="15">
        <f t="shared" si="63"/>
        <v>0</v>
      </c>
      <c r="KD100" s="20" t="str">
        <f t="shared" si="64"/>
        <v/>
      </c>
      <c r="KE100" s="52" t="str">
        <f t="shared" si="65"/>
        <v/>
      </c>
      <c r="KF100" s="15">
        <f t="shared" si="66"/>
        <v>0</v>
      </c>
      <c r="KG100" s="15">
        <f t="shared" si="67"/>
        <v>0</v>
      </c>
      <c r="KH100" s="21" t="str">
        <f t="shared" si="68"/>
        <v/>
      </c>
      <c r="KI100" s="52" t="str">
        <f t="shared" si="69"/>
        <v/>
      </c>
      <c r="KJ100" s="15">
        <f t="shared" si="70"/>
        <v>0</v>
      </c>
      <c r="KK100" s="15">
        <f t="shared" si="71"/>
        <v>0</v>
      </c>
      <c r="KL100" s="19" t="str">
        <f t="shared" si="72"/>
        <v/>
      </c>
      <c r="KM100" s="52" t="str">
        <f t="shared" si="73"/>
        <v/>
      </c>
      <c r="KN100" s="22">
        <f t="shared" si="74"/>
        <v>0</v>
      </c>
      <c r="KO100" s="22">
        <f t="shared" si="75"/>
        <v>0</v>
      </c>
      <c r="KP100" s="19" t="str">
        <f t="shared" si="76"/>
        <v/>
      </c>
      <c r="KQ100" s="11" t="str">
        <f t="shared" si="77"/>
        <v>No marker score</v>
      </c>
      <c r="KR100" s="11" t="str">
        <f t="shared" si="78"/>
        <v>2. Accommodating</v>
      </c>
      <c r="KS100" s="11" t="str">
        <f t="shared" si="79"/>
        <v>0. Harmful</v>
      </c>
      <c r="KT100" s="11">
        <f t="shared" si="80"/>
        <v>0</v>
      </c>
      <c r="KU100" s="11">
        <f t="shared" si="81"/>
        <v>0</v>
      </c>
      <c r="KV100" s="11">
        <f t="shared" si="82"/>
        <v>0</v>
      </c>
      <c r="KW100" s="11" t="str">
        <f t="shared" si="83"/>
        <v>Burundi - Renforcement des Organisations de la Société Civile pour accroître leur contribution au processus de gouvernance et au développement</v>
      </c>
      <c r="KX100" s="11" t="str">
        <f t="shared" si="84"/>
        <v>Renforcement des Organisations de la Société Civile pour accroître leur contribution au processus de gouvernance et au développement</v>
      </c>
      <c r="KY100" s="11" t="str">
        <f t="shared" si="85"/>
        <v>Burundi</v>
      </c>
      <c r="KZ100" s="12">
        <v>100</v>
      </c>
    </row>
    <row r="101" spans="1:312" x14ac:dyDescent="0.3">
      <c r="A101" s="11" t="s">
        <v>1873</v>
      </c>
      <c r="B101" s="11" t="s">
        <v>1874</v>
      </c>
      <c r="C101" s="11">
        <v>3715</v>
      </c>
      <c r="D101" s="11" t="s">
        <v>1966</v>
      </c>
      <c r="E101" s="24" t="str">
        <f t="shared" si="43"/>
        <v>Burundi</v>
      </c>
      <c r="F101" s="11" t="s">
        <v>1933</v>
      </c>
      <c r="G101" s="11" t="s">
        <v>425</v>
      </c>
      <c r="H101" s="11" t="s">
        <v>383</v>
      </c>
      <c r="I101" s="11" t="s">
        <v>384</v>
      </c>
      <c r="J101" s="278" t="s">
        <v>3967</v>
      </c>
      <c r="BD101" s="23">
        <v>41944</v>
      </c>
      <c r="BE101" s="23">
        <v>42674</v>
      </c>
      <c r="BG101" s="11" t="s">
        <v>350</v>
      </c>
      <c r="BH101" s="22">
        <v>132961</v>
      </c>
      <c r="BI101" s="11" t="s">
        <v>1934</v>
      </c>
      <c r="BJ101" s="11" t="s">
        <v>1899</v>
      </c>
      <c r="BK101" s="11" t="s">
        <v>1879</v>
      </c>
      <c r="BL101" s="11" t="s">
        <v>1967</v>
      </c>
      <c r="BM101" s="11" t="s">
        <v>751</v>
      </c>
      <c r="BN101" s="11" t="s">
        <v>1968</v>
      </c>
      <c r="BO101" s="12" t="s">
        <v>319</v>
      </c>
      <c r="BP101" s="12" t="s">
        <v>320</v>
      </c>
      <c r="BQ101" s="12" t="s">
        <v>319</v>
      </c>
      <c r="BR101" s="11" t="s">
        <v>1969</v>
      </c>
      <c r="BS101" s="11" t="s">
        <v>357</v>
      </c>
      <c r="BT101" s="11" t="s">
        <v>1939</v>
      </c>
      <c r="BU101" s="11" t="s">
        <v>1970</v>
      </c>
      <c r="BV101" s="22">
        <v>10000</v>
      </c>
      <c r="BX101" s="22">
        <v>10000</v>
      </c>
      <c r="BY101" s="22">
        <v>26520</v>
      </c>
      <c r="BZ101" s="22">
        <v>24480</v>
      </c>
      <c r="CA101" s="22">
        <v>51000</v>
      </c>
      <c r="CB101" s="32" t="s">
        <v>14593</v>
      </c>
      <c r="CL101" s="18"/>
      <c r="CP101" s="18"/>
      <c r="CT101" s="18"/>
      <c r="CX101" s="18"/>
      <c r="DB101" s="18"/>
      <c r="DF101" s="18"/>
      <c r="DJ101" s="18"/>
      <c r="DN101" s="18"/>
      <c r="DR101" s="18"/>
      <c r="DV101" s="18"/>
      <c r="DZ101" s="18"/>
      <c r="ED101" s="18"/>
      <c r="EI101" s="18"/>
      <c r="EK101" s="29"/>
      <c r="EL101" s="29"/>
      <c r="EM101" s="29"/>
      <c r="EN101" s="29"/>
      <c r="EO101" s="29"/>
      <c r="EP101" s="29"/>
      <c r="EQ101" s="12" t="s">
        <v>319</v>
      </c>
      <c r="ES101" s="18"/>
      <c r="EU101" s="11" t="s">
        <v>319</v>
      </c>
      <c r="EW101" s="18"/>
      <c r="EY101" s="12" t="s">
        <v>319</v>
      </c>
      <c r="FA101" s="18"/>
      <c r="FC101" s="12" t="s">
        <v>319</v>
      </c>
      <c r="FE101" s="18"/>
      <c r="FG101" s="12" t="s">
        <v>320</v>
      </c>
      <c r="FH101" s="22">
        <v>1007</v>
      </c>
      <c r="FI101" s="18">
        <v>1</v>
      </c>
      <c r="FJ101" s="22">
        <v>51036</v>
      </c>
      <c r="FK101" s="11" t="s">
        <v>319</v>
      </c>
      <c r="FM101" s="18"/>
      <c r="FO101" s="11" t="s">
        <v>319</v>
      </c>
      <c r="FQ101" s="18"/>
      <c r="FS101" s="11" t="s">
        <v>319</v>
      </c>
      <c r="FU101" s="18"/>
      <c r="FW101" s="11" t="s">
        <v>319</v>
      </c>
      <c r="FY101" s="18"/>
      <c r="GA101" s="11" t="s">
        <v>319</v>
      </c>
      <c r="GC101" s="18"/>
      <c r="GE101" s="11" t="s">
        <v>319</v>
      </c>
      <c r="GG101" s="18"/>
      <c r="GI101" s="11" t="s">
        <v>319</v>
      </c>
      <c r="GK101" s="18"/>
      <c r="GM101" s="11" t="s">
        <v>319</v>
      </c>
      <c r="GO101" s="18"/>
      <c r="GQ101" s="11" t="s">
        <v>319</v>
      </c>
      <c r="GS101" s="18"/>
      <c r="GU101" s="11" t="s">
        <v>319</v>
      </c>
      <c r="GW101" s="18"/>
      <c r="GY101" s="11" t="s">
        <v>320</v>
      </c>
      <c r="GZ101" s="29"/>
      <c r="HA101" s="33"/>
      <c r="HB101" s="29"/>
      <c r="HF101" s="18"/>
      <c r="HH101" s="11" t="s">
        <v>320</v>
      </c>
      <c r="HI101" s="11" t="s">
        <v>1175</v>
      </c>
      <c r="HJ101" s="11">
        <v>2016</v>
      </c>
      <c r="HK101" s="11" t="s">
        <v>320</v>
      </c>
      <c r="HL101" s="11" t="s">
        <v>319</v>
      </c>
      <c r="HO101" s="11" t="s">
        <v>1972</v>
      </c>
      <c r="HP101" s="11" t="s">
        <v>418</v>
      </c>
      <c r="HQ101" s="11" t="s">
        <v>319</v>
      </c>
      <c r="HR101" s="11" t="s">
        <v>319</v>
      </c>
      <c r="HS101" s="11" t="s">
        <v>319</v>
      </c>
      <c r="HT101" s="11" t="s">
        <v>319</v>
      </c>
      <c r="HU101" s="11" t="s">
        <v>319</v>
      </c>
      <c r="HV101" s="11" t="s">
        <v>319</v>
      </c>
      <c r="HW101" s="11" t="s">
        <v>319</v>
      </c>
      <c r="HX101" s="11" t="s">
        <v>319</v>
      </c>
      <c r="HZ101" s="11" t="s">
        <v>394</v>
      </c>
      <c r="IA101" s="11" t="s">
        <v>1940</v>
      </c>
      <c r="IB101" s="12" t="s">
        <v>333</v>
      </c>
      <c r="ID101" s="12" t="s">
        <v>334</v>
      </c>
      <c r="IE101" s="11" t="s">
        <v>478</v>
      </c>
      <c r="IF101" s="11" t="s">
        <v>320</v>
      </c>
      <c r="IG101" s="11" t="s">
        <v>320</v>
      </c>
      <c r="IH101" s="11" t="s">
        <v>319</v>
      </c>
      <c r="II101" s="11" t="s">
        <v>319</v>
      </c>
      <c r="IJ101" s="12" t="str">
        <f t="shared" si="44"/>
        <v>3. Responsive</v>
      </c>
      <c r="IK101" s="12">
        <f t="shared" si="45"/>
        <v>2</v>
      </c>
      <c r="IL101" s="11" t="s">
        <v>723</v>
      </c>
      <c r="IM101" s="11" t="s">
        <v>320</v>
      </c>
      <c r="IN101" s="11" t="s">
        <v>320</v>
      </c>
      <c r="IO101" s="11" t="s">
        <v>320</v>
      </c>
      <c r="IP101" s="11" t="s">
        <v>320</v>
      </c>
      <c r="IQ101" s="12" t="str">
        <f t="shared" si="46"/>
        <v>0. Unaware</v>
      </c>
      <c r="IR101" s="12">
        <f t="shared" si="47"/>
        <v>4</v>
      </c>
      <c r="IS101" s="11" t="s">
        <v>456</v>
      </c>
      <c r="IT101" s="11" t="s">
        <v>320</v>
      </c>
      <c r="IU101" s="11" t="s">
        <v>320</v>
      </c>
      <c r="IV101" s="11" t="s">
        <v>320</v>
      </c>
      <c r="IW101" s="11" t="str">
        <f t="shared" si="48"/>
        <v>0. Harmful</v>
      </c>
      <c r="IX101" s="12">
        <f t="shared" si="49"/>
        <v>3</v>
      </c>
      <c r="IY101" s="11" t="s">
        <v>338</v>
      </c>
      <c r="IZ101" s="12" t="s">
        <v>457</v>
      </c>
      <c r="JA101" s="11">
        <v>2</v>
      </c>
      <c r="JB101" s="12" t="s">
        <v>687</v>
      </c>
      <c r="JC101" s="12" t="s">
        <v>1113</v>
      </c>
      <c r="JD101" s="12" t="s">
        <v>724</v>
      </c>
      <c r="JE101" s="12" t="s">
        <v>340</v>
      </c>
      <c r="JF101" s="11" t="s">
        <v>1942</v>
      </c>
      <c r="JG101" s="11" t="s">
        <v>1973</v>
      </c>
      <c r="JH101" s="11" t="s">
        <v>1944</v>
      </c>
      <c r="JI101" s="11" t="s">
        <v>1974</v>
      </c>
      <c r="JJ101" s="11" t="s">
        <v>1975</v>
      </c>
      <c r="JK101" s="11" t="s">
        <v>1976</v>
      </c>
      <c r="JL101" s="11" t="s">
        <v>1977</v>
      </c>
      <c r="JM101" s="11" t="s">
        <v>1978</v>
      </c>
      <c r="JN101" s="28" t="s">
        <v>14594</v>
      </c>
      <c r="JP101" s="15">
        <f t="shared" si="50"/>
        <v>0</v>
      </c>
      <c r="JQ101" s="15">
        <f t="shared" si="51"/>
        <v>0</v>
      </c>
      <c r="JR101" s="279" t="str">
        <f t="shared" si="52"/>
        <v/>
      </c>
      <c r="JS101" s="17" t="str">
        <f t="shared" si="53"/>
        <v/>
      </c>
      <c r="JT101" s="18" t="str">
        <f t="shared" si="54"/>
        <v/>
      </c>
      <c r="JU101" s="280">
        <f t="shared" si="55"/>
        <v>0</v>
      </c>
      <c r="JV101" s="280">
        <f t="shared" si="56"/>
        <v>0</v>
      </c>
      <c r="JW101" s="319" t="str">
        <f t="shared" si="57"/>
        <v/>
      </c>
      <c r="JX101" s="15">
        <f t="shared" si="58"/>
        <v>0</v>
      </c>
      <c r="JY101" s="15">
        <f t="shared" si="59"/>
        <v>0</v>
      </c>
      <c r="JZ101" s="19" t="str">
        <f t="shared" si="60"/>
        <v/>
      </c>
      <c r="KA101" s="52">
        <f t="shared" si="61"/>
        <v>1</v>
      </c>
      <c r="KB101" s="15">
        <f t="shared" si="62"/>
        <v>1007</v>
      </c>
      <c r="KC101" s="15">
        <f t="shared" si="63"/>
        <v>51036</v>
      </c>
      <c r="KD101" s="20">
        <f t="shared" si="64"/>
        <v>50.681231380337636</v>
      </c>
      <c r="KE101" s="52" t="str">
        <f t="shared" si="65"/>
        <v/>
      </c>
      <c r="KF101" s="15">
        <f t="shared" si="66"/>
        <v>0</v>
      </c>
      <c r="KG101" s="15">
        <f t="shared" si="67"/>
        <v>0</v>
      </c>
      <c r="KH101" s="21" t="str">
        <f t="shared" si="68"/>
        <v/>
      </c>
      <c r="KI101" s="52" t="str">
        <f t="shared" si="69"/>
        <v/>
      </c>
      <c r="KJ101" s="15">
        <f t="shared" si="70"/>
        <v>0</v>
      </c>
      <c r="KK101" s="15">
        <f t="shared" si="71"/>
        <v>0</v>
      </c>
      <c r="KL101" s="19" t="str">
        <f t="shared" si="72"/>
        <v/>
      </c>
      <c r="KM101" s="52">
        <f t="shared" si="73"/>
        <v>1</v>
      </c>
      <c r="KN101" s="22">
        <f t="shared" si="74"/>
        <v>1007</v>
      </c>
      <c r="KO101" s="22">
        <f t="shared" si="75"/>
        <v>51036</v>
      </c>
      <c r="KP101" s="19">
        <f t="shared" si="76"/>
        <v>50.681231380337636</v>
      </c>
      <c r="KQ101" s="11" t="str">
        <f t="shared" si="77"/>
        <v>3. Responsive</v>
      </c>
      <c r="KR101" s="11" t="str">
        <f t="shared" si="78"/>
        <v>0. Unaware</v>
      </c>
      <c r="KS101" s="11" t="str">
        <f t="shared" si="79"/>
        <v>0. Harmful</v>
      </c>
      <c r="KT101" s="11" t="str">
        <f t="shared" si="80"/>
        <v>It tested new ways for fighting poverty, but did not measure results of innovation</v>
      </c>
      <c r="KU101" s="11" t="str">
        <f t="shared" si="81"/>
        <v>Little or no advocacy</v>
      </c>
      <c r="KV101" s="11" t="str">
        <f t="shared" si="82"/>
        <v>It did not take tested solutions to scale</v>
      </c>
      <c r="KW101" s="11" t="str">
        <f t="shared" si="83"/>
        <v>Burundi - TERA INTAMBWE project (Kirundi for “Go ahead”)</v>
      </c>
      <c r="KX101" s="11" t="str">
        <f t="shared" si="84"/>
        <v>TERA INTAMBWE project (Kirundi for “Go ahead”)</v>
      </c>
      <c r="KY101" s="11" t="str">
        <f t="shared" si="85"/>
        <v>Burundi</v>
      </c>
      <c r="KZ101" s="12">
        <v>101</v>
      </c>
    </row>
    <row r="102" spans="1:312" x14ac:dyDescent="0.3">
      <c r="A102" s="11" t="s">
        <v>1873</v>
      </c>
      <c r="B102" s="11" t="s">
        <v>1874</v>
      </c>
      <c r="D102" s="11" t="s">
        <v>2067</v>
      </c>
      <c r="E102" s="24" t="str">
        <f t="shared" si="43"/>
        <v>Burundi</v>
      </c>
      <c r="F102" s="11" t="s">
        <v>2068</v>
      </c>
      <c r="G102" s="11" t="s">
        <v>608</v>
      </c>
      <c r="H102" s="11" t="s">
        <v>310</v>
      </c>
      <c r="I102" s="11" t="s">
        <v>384</v>
      </c>
      <c r="J102" s="278" t="s">
        <v>2069</v>
      </c>
      <c r="BD102" s="23">
        <v>42552</v>
      </c>
      <c r="BE102" s="23">
        <v>43646</v>
      </c>
      <c r="BG102" s="11" t="s">
        <v>490</v>
      </c>
      <c r="BH102" s="22">
        <v>41087</v>
      </c>
      <c r="BI102" s="11" t="s">
        <v>1934</v>
      </c>
      <c r="BJ102" s="11" t="s">
        <v>1899</v>
      </c>
      <c r="BK102" s="11" t="s">
        <v>1879</v>
      </c>
      <c r="BL102" s="11" t="s">
        <v>1951</v>
      </c>
      <c r="BM102" s="11" t="s">
        <v>751</v>
      </c>
      <c r="BN102" s="11" t="s">
        <v>1952</v>
      </c>
      <c r="BO102" s="11" t="s">
        <v>319</v>
      </c>
      <c r="BP102" s="11" t="s">
        <v>320</v>
      </c>
      <c r="BQ102" s="11" t="s">
        <v>319</v>
      </c>
      <c r="BR102" s="11" t="s">
        <v>2070</v>
      </c>
      <c r="BS102" s="11" t="s">
        <v>357</v>
      </c>
      <c r="BT102" s="11" t="s">
        <v>2071</v>
      </c>
      <c r="BU102" s="11" t="s">
        <v>2072</v>
      </c>
      <c r="BV102" s="22">
        <v>1287</v>
      </c>
      <c r="BW102" s="22">
        <v>693</v>
      </c>
      <c r="BX102" s="22">
        <v>1980</v>
      </c>
      <c r="CB102" s="15" t="s">
        <v>2073</v>
      </c>
      <c r="CL102" s="18"/>
      <c r="CP102" s="18"/>
      <c r="CT102" s="18"/>
      <c r="CX102" s="18"/>
      <c r="DB102" s="18"/>
      <c r="DF102" s="18"/>
      <c r="DJ102" s="18"/>
      <c r="DN102" s="18"/>
      <c r="DR102" s="18"/>
      <c r="DV102" s="18"/>
      <c r="DZ102" s="18"/>
      <c r="ED102" s="18"/>
      <c r="EI102" s="18"/>
      <c r="EQ102" s="12" t="s">
        <v>319</v>
      </c>
      <c r="ES102" s="18"/>
      <c r="EU102" s="11" t="s">
        <v>319</v>
      </c>
      <c r="EW102" s="18"/>
      <c r="EY102" s="12" t="s">
        <v>319</v>
      </c>
      <c r="FA102" s="18"/>
      <c r="FC102" s="12" t="s">
        <v>319</v>
      </c>
      <c r="FE102" s="18"/>
      <c r="FG102" s="12" t="s">
        <v>319</v>
      </c>
      <c r="FI102" s="18"/>
      <c r="FK102" s="11" t="s">
        <v>319</v>
      </c>
      <c r="FM102" s="18"/>
      <c r="FO102" s="11" t="s">
        <v>319</v>
      </c>
      <c r="FQ102" s="18"/>
      <c r="FS102" s="11" t="s">
        <v>320</v>
      </c>
      <c r="FU102" s="18"/>
      <c r="FW102" s="11" t="s">
        <v>319</v>
      </c>
      <c r="FY102" s="18"/>
      <c r="GA102" s="11" t="s">
        <v>319</v>
      </c>
      <c r="GC102" s="18"/>
      <c r="GE102" s="11" t="s">
        <v>319</v>
      </c>
      <c r="GG102" s="18"/>
      <c r="GI102" s="11" t="s">
        <v>319</v>
      </c>
      <c r="GK102" s="18"/>
      <c r="GM102" s="11" t="s">
        <v>319</v>
      </c>
      <c r="GO102" s="18"/>
      <c r="GQ102" s="12" t="s">
        <v>320</v>
      </c>
      <c r="GR102" s="22">
        <v>88536</v>
      </c>
      <c r="GS102" s="18">
        <v>0.8</v>
      </c>
      <c r="GT102" s="22">
        <v>442680</v>
      </c>
      <c r="GU102" s="11" t="s">
        <v>319</v>
      </c>
      <c r="GW102" s="18"/>
      <c r="GY102" s="11" t="s">
        <v>319</v>
      </c>
      <c r="HA102" s="18"/>
      <c r="HF102" s="18"/>
      <c r="HH102" s="11" t="s">
        <v>319</v>
      </c>
      <c r="HK102" s="11" t="s">
        <v>319</v>
      </c>
      <c r="HL102" s="11" t="s">
        <v>319</v>
      </c>
      <c r="HP102" s="11" t="s">
        <v>330</v>
      </c>
      <c r="HS102" s="11" t="s">
        <v>320</v>
      </c>
      <c r="HV102" s="11" t="s">
        <v>319</v>
      </c>
      <c r="ID102" s="12" t="s">
        <v>334</v>
      </c>
      <c r="IE102" s="11" t="s">
        <v>335</v>
      </c>
      <c r="IG102" s="11" t="s">
        <v>320</v>
      </c>
      <c r="II102" s="11" t="s">
        <v>320</v>
      </c>
      <c r="IJ102" s="12" t="str">
        <f t="shared" si="44"/>
        <v>1. Neutral</v>
      </c>
      <c r="IK102" s="12">
        <f t="shared" si="45"/>
        <v>2</v>
      </c>
      <c r="IL102" s="11" t="s">
        <v>336</v>
      </c>
      <c r="IN102" s="11" t="s">
        <v>319</v>
      </c>
      <c r="IP102" s="11" t="s">
        <v>319</v>
      </c>
      <c r="IQ102" s="12" t="str">
        <f t="shared" si="46"/>
        <v>0. Unaware</v>
      </c>
      <c r="IR102" s="12">
        <f t="shared" si="47"/>
        <v>0</v>
      </c>
      <c r="IS102" s="11" t="s">
        <v>337</v>
      </c>
      <c r="IW102" s="11" t="str">
        <f t="shared" si="48"/>
        <v>0. Harmful</v>
      </c>
      <c r="IX102" s="12">
        <f t="shared" si="49"/>
        <v>0</v>
      </c>
      <c r="IY102" s="11" t="s">
        <v>338</v>
      </c>
      <c r="IZ102" s="12" t="s">
        <v>457</v>
      </c>
      <c r="JA102" s="11">
        <v>6</v>
      </c>
      <c r="JB102" s="11" t="s">
        <v>433</v>
      </c>
      <c r="JC102" s="11" t="s">
        <v>687</v>
      </c>
      <c r="JD102" s="11" t="s">
        <v>831</v>
      </c>
      <c r="JP102" s="15">
        <f t="shared" si="50"/>
        <v>0</v>
      </c>
      <c r="JQ102" s="15">
        <f t="shared" si="51"/>
        <v>0</v>
      </c>
      <c r="JR102" s="279" t="str">
        <f t="shared" si="52"/>
        <v/>
      </c>
      <c r="JS102" s="17" t="str">
        <f t="shared" si="53"/>
        <v/>
      </c>
      <c r="JT102" s="18" t="str">
        <f t="shared" si="54"/>
        <v/>
      </c>
      <c r="JU102" s="280">
        <f t="shared" si="55"/>
        <v>0</v>
      </c>
      <c r="JV102" s="280">
        <f t="shared" si="56"/>
        <v>0</v>
      </c>
      <c r="JW102" s="319" t="str">
        <f t="shared" si="57"/>
        <v/>
      </c>
      <c r="JX102" s="15">
        <f t="shared" si="58"/>
        <v>0</v>
      </c>
      <c r="JY102" s="15">
        <f t="shared" si="59"/>
        <v>0</v>
      </c>
      <c r="JZ102" s="19" t="str">
        <f t="shared" si="60"/>
        <v/>
      </c>
      <c r="KA102" s="52" t="str">
        <f t="shared" si="61"/>
        <v/>
      </c>
      <c r="KB102" s="15">
        <f t="shared" si="62"/>
        <v>0</v>
      </c>
      <c r="KC102" s="15">
        <f t="shared" si="63"/>
        <v>0</v>
      </c>
      <c r="KD102" s="20" t="str">
        <f t="shared" si="64"/>
        <v/>
      </c>
      <c r="KE102" s="52">
        <f t="shared" si="65"/>
        <v>1</v>
      </c>
      <c r="KF102" s="15">
        <f t="shared" si="66"/>
        <v>88536</v>
      </c>
      <c r="KG102" s="15">
        <f t="shared" si="67"/>
        <v>442680</v>
      </c>
      <c r="KH102" s="21">
        <f t="shared" si="68"/>
        <v>5</v>
      </c>
      <c r="KI102" s="52">
        <f t="shared" si="69"/>
        <v>1</v>
      </c>
      <c r="KJ102" s="15">
        <f t="shared" si="70"/>
        <v>0</v>
      </c>
      <c r="KK102" s="15">
        <f t="shared" si="71"/>
        <v>0</v>
      </c>
      <c r="KL102" s="19" t="str">
        <f t="shared" si="72"/>
        <v/>
      </c>
      <c r="KM102" s="52" t="str">
        <f t="shared" si="73"/>
        <v/>
      </c>
      <c r="KN102" s="22">
        <f t="shared" si="74"/>
        <v>0</v>
      </c>
      <c r="KO102" s="22">
        <f t="shared" si="75"/>
        <v>0</v>
      </c>
      <c r="KP102" s="19" t="str">
        <f t="shared" si="76"/>
        <v/>
      </c>
      <c r="KQ102" s="11" t="str">
        <f t="shared" si="77"/>
        <v>1. Neutral</v>
      </c>
      <c r="KR102" s="11" t="str">
        <f t="shared" si="78"/>
        <v>0. Unaware</v>
      </c>
      <c r="KS102" s="11" t="str">
        <f t="shared" si="79"/>
        <v>0. Harmful</v>
      </c>
      <c r="KT102" s="11">
        <f t="shared" si="80"/>
        <v>0</v>
      </c>
      <c r="KU102" s="11" t="str">
        <f t="shared" si="81"/>
        <v>Moderate advocacy</v>
      </c>
      <c r="KV102" s="11">
        <f t="shared" si="82"/>
        <v>0</v>
      </c>
      <c r="KW102" s="11" t="str">
        <f t="shared" si="83"/>
        <v>Burundi - Wottro research project: Young Burundians tactil agency regarding Sexual relations and decision making</v>
      </c>
      <c r="KX102" s="11" t="str">
        <f t="shared" si="84"/>
        <v>Wottro research project: Young Burundians tactil agency regarding Sexual relations and decision making</v>
      </c>
      <c r="KY102" s="11" t="str">
        <f t="shared" si="85"/>
        <v>Burundi</v>
      </c>
      <c r="KZ102" s="12">
        <v>102</v>
      </c>
    </row>
    <row r="103" spans="1:312" x14ac:dyDescent="0.3">
      <c r="A103" s="11" t="s">
        <v>2092</v>
      </c>
      <c r="B103" s="11" t="s">
        <v>306</v>
      </c>
      <c r="C103" s="11">
        <v>2809</v>
      </c>
      <c r="D103" s="11" t="s">
        <v>2292</v>
      </c>
      <c r="E103" s="24" t="str">
        <f t="shared" si="43"/>
        <v>Cambodia</v>
      </c>
      <c r="F103" s="11" t="s">
        <v>2293</v>
      </c>
      <c r="G103" s="11" t="s">
        <v>379</v>
      </c>
      <c r="H103" s="11" t="s">
        <v>489</v>
      </c>
      <c r="I103" s="11" t="s">
        <v>384</v>
      </c>
      <c r="J103" s="278" t="s">
        <v>4657</v>
      </c>
      <c r="BD103" s="23">
        <v>42217</v>
      </c>
      <c r="BE103" s="23">
        <v>42947</v>
      </c>
      <c r="BF103" s="23">
        <v>43008</v>
      </c>
      <c r="BG103" s="11" t="s">
        <v>312</v>
      </c>
      <c r="BH103" s="22">
        <v>72392</v>
      </c>
      <c r="BI103" s="11" t="s">
        <v>2097</v>
      </c>
      <c r="BJ103" s="11" t="s">
        <v>2098</v>
      </c>
      <c r="BK103" s="11" t="s">
        <v>2099</v>
      </c>
      <c r="BL103" s="11" t="s">
        <v>2100</v>
      </c>
      <c r="BM103" s="11" t="s">
        <v>2101</v>
      </c>
      <c r="BN103" s="11" t="s">
        <v>2102</v>
      </c>
      <c r="BO103" s="12" t="s">
        <v>319</v>
      </c>
      <c r="BP103" s="12" t="s">
        <v>320</v>
      </c>
      <c r="BQ103" s="12" t="s">
        <v>319</v>
      </c>
      <c r="BR103" s="11" t="s">
        <v>2294</v>
      </c>
      <c r="BS103" s="11" t="s">
        <v>357</v>
      </c>
      <c r="BT103" s="11" t="s">
        <v>2295</v>
      </c>
      <c r="BU103" s="11" t="s">
        <v>2296</v>
      </c>
      <c r="BV103" s="22">
        <v>150</v>
      </c>
      <c r="BW103" s="22">
        <v>153</v>
      </c>
      <c r="BX103" s="22">
        <v>303</v>
      </c>
      <c r="BY103" s="22">
        <v>606</v>
      </c>
      <c r="BZ103" s="22">
        <v>606</v>
      </c>
      <c r="CA103" s="22">
        <v>1212</v>
      </c>
      <c r="CB103" s="15" t="s">
        <v>2297</v>
      </c>
      <c r="CL103" s="18"/>
      <c r="CP103" s="18"/>
      <c r="CT103" s="18"/>
      <c r="CX103" s="18"/>
      <c r="DB103" s="18"/>
      <c r="DF103" s="18"/>
      <c r="DJ103" s="18"/>
      <c r="DN103" s="18"/>
      <c r="DR103" s="18"/>
      <c r="DV103" s="18"/>
      <c r="DZ103" s="18"/>
      <c r="ED103" s="18"/>
      <c r="EI103" s="18"/>
      <c r="EK103" s="22">
        <v>79</v>
      </c>
      <c r="EL103" s="22">
        <v>237</v>
      </c>
      <c r="EM103" s="22">
        <v>316</v>
      </c>
      <c r="EN103" s="22">
        <v>294</v>
      </c>
      <c r="EO103" s="22">
        <v>440</v>
      </c>
      <c r="EP103" s="22">
        <v>734</v>
      </c>
      <c r="ES103" s="18"/>
      <c r="EW103" s="18"/>
      <c r="FA103" s="18"/>
      <c r="FC103" s="12" t="s">
        <v>320</v>
      </c>
      <c r="FD103" s="22">
        <v>90</v>
      </c>
      <c r="FE103" s="18">
        <v>0.2</v>
      </c>
      <c r="FF103" s="22">
        <v>734</v>
      </c>
      <c r="FI103" s="18"/>
      <c r="FM103" s="18"/>
      <c r="FQ103" s="18"/>
      <c r="FU103" s="18"/>
      <c r="FW103" s="11" t="s">
        <v>320</v>
      </c>
      <c r="FX103" s="22">
        <v>226</v>
      </c>
      <c r="FY103" s="18">
        <v>0.27</v>
      </c>
      <c r="FZ103" s="22">
        <v>0</v>
      </c>
      <c r="GC103" s="18"/>
      <c r="GG103" s="18"/>
      <c r="GK103" s="18"/>
      <c r="GO103" s="18"/>
      <c r="GS103" s="18"/>
      <c r="GW103" s="18"/>
      <c r="HA103" s="18"/>
      <c r="HF103" s="18"/>
      <c r="HH103" s="11" t="s">
        <v>319</v>
      </c>
      <c r="HK103" s="11" t="s">
        <v>319</v>
      </c>
      <c r="HL103" s="11" t="s">
        <v>320</v>
      </c>
      <c r="HM103" s="11" t="s">
        <v>415</v>
      </c>
      <c r="HN103" s="11">
        <v>2017</v>
      </c>
      <c r="HO103" s="11" t="s">
        <v>2298</v>
      </c>
      <c r="HP103" s="11" t="s">
        <v>330</v>
      </c>
      <c r="HQ103" s="11" t="s">
        <v>319</v>
      </c>
      <c r="HR103" s="11" t="s">
        <v>319</v>
      </c>
      <c r="HS103" s="11" t="s">
        <v>320</v>
      </c>
      <c r="HT103" s="11" t="s">
        <v>319</v>
      </c>
      <c r="HU103" s="11" t="s">
        <v>319</v>
      </c>
      <c r="HV103" s="11" t="s">
        <v>319</v>
      </c>
      <c r="HW103" s="11" t="s">
        <v>319</v>
      </c>
      <c r="HX103" s="11" t="s">
        <v>319</v>
      </c>
      <c r="HZ103" s="11" t="s">
        <v>363</v>
      </c>
      <c r="IB103" s="11" t="s">
        <v>396</v>
      </c>
      <c r="IC103" s="11" t="s">
        <v>2299</v>
      </c>
      <c r="ID103" s="11" t="s">
        <v>334</v>
      </c>
      <c r="IE103" s="11" t="s">
        <v>335</v>
      </c>
      <c r="IF103" s="11" t="s">
        <v>320</v>
      </c>
      <c r="IG103" s="11" t="s">
        <v>320</v>
      </c>
      <c r="IH103" s="11" t="s">
        <v>320</v>
      </c>
      <c r="II103" s="11" t="s">
        <v>320</v>
      </c>
      <c r="IJ103" s="12" t="str">
        <f t="shared" si="44"/>
        <v>2. Sensitive</v>
      </c>
      <c r="IK103" s="12">
        <f t="shared" si="45"/>
        <v>4</v>
      </c>
      <c r="IL103" s="11" t="s">
        <v>336</v>
      </c>
      <c r="IM103" s="11" t="s">
        <v>320</v>
      </c>
      <c r="IN103" s="11" t="s">
        <v>320</v>
      </c>
      <c r="IO103" s="11" t="s">
        <v>320</v>
      </c>
      <c r="IP103" s="11" t="s">
        <v>320</v>
      </c>
      <c r="IQ103" s="12" t="str">
        <f t="shared" si="46"/>
        <v>2. Accommodating</v>
      </c>
      <c r="IR103" s="12">
        <f t="shared" si="47"/>
        <v>4</v>
      </c>
      <c r="IS103" s="11" t="s">
        <v>337</v>
      </c>
      <c r="IT103" s="11" t="s">
        <v>320</v>
      </c>
      <c r="IU103" s="11" t="s">
        <v>320</v>
      </c>
      <c r="IV103" s="11" t="s">
        <v>320</v>
      </c>
      <c r="IW103" s="11" t="str">
        <f t="shared" si="48"/>
        <v>2. Sensitive</v>
      </c>
      <c r="IX103" s="12">
        <f t="shared" si="49"/>
        <v>3</v>
      </c>
      <c r="IY103" s="11" t="s">
        <v>419</v>
      </c>
      <c r="IZ103" s="11" t="s">
        <v>339</v>
      </c>
      <c r="JE103" s="11" t="s">
        <v>340</v>
      </c>
      <c r="JF103" s="11" t="s">
        <v>2300</v>
      </c>
      <c r="JG103" s="11" t="s">
        <v>2301</v>
      </c>
      <c r="JH103" s="11" t="s">
        <v>2302</v>
      </c>
      <c r="JI103" s="11" t="s">
        <v>2303</v>
      </c>
      <c r="JK103" s="11" t="s">
        <v>2304</v>
      </c>
      <c r="JL103" s="11" t="s">
        <v>2305</v>
      </c>
      <c r="JO103" s="11" t="s">
        <v>2306</v>
      </c>
      <c r="JP103" s="15">
        <f t="shared" si="50"/>
        <v>316</v>
      </c>
      <c r="JQ103" s="15">
        <f t="shared" si="51"/>
        <v>734</v>
      </c>
      <c r="JR103" s="279">
        <f t="shared" si="52"/>
        <v>2.3227848101265822</v>
      </c>
      <c r="JS103" s="17">
        <f t="shared" si="53"/>
        <v>0.25</v>
      </c>
      <c r="JT103" s="18">
        <f t="shared" si="54"/>
        <v>0.40054495912806537</v>
      </c>
      <c r="JU103" s="280">
        <f t="shared" si="55"/>
        <v>79</v>
      </c>
      <c r="JV103" s="280">
        <f t="shared" si="56"/>
        <v>294</v>
      </c>
      <c r="JW103" s="319" t="str">
        <f t="shared" si="57"/>
        <v/>
      </c>
      <c r="JX103" s="15">
        <f t="shared" si="58"/>
        <v>0</v>
      </c>
      <c r="JY103" s="15">
        <f t="shared" si="59"/>
        <v>0</v>
      </c>
      <c r="JZ103" s="19" t="str">
        <f t="shared" si="60"/>
        <v/>
      </c>
      <c r="KA103" s="52">
        <f t="shared" si="61"/>
        <v>1</v>
      </c>
      <c r="KB103" s="15">
        <f t="shared" si="62"/>
        <v>90</v>
      </c>
      <c r="KC103" s="15">
        <f t="shared" si="63"/>
        <v>734</v>
      </c>
      <c r="KD103" s="20">
        <f t="shared" si="64"/>
        <v>8.155555555555555</v>
      </c>
      <c r="KE103" s="52" t="str">
        <f t="shared" si="65"/>
        <v/>
      </c>
      <c r="KF103" s="15">
        <f t="shared" si="66"/>
        <v>0</v>
      </c>
      <c r="KG103" s="15">
        <f t="shared" si="67"/>
        <v>0</v>
      </c>
      <c r="KH103" s="21" t="str">
        <f t="shared" si="68"/>
        <v/>
      </c>
      <c r="KI103" s="52" t="str">
        <f t="shared" si="69"/>
        <v/>
      </c>
      <c r="KJ103" s="15">
        <f t="shared" si="70"/>
        <v>0</v>
      </c>
      <c r="KK103" s="15">
        <f t="shared" si="71"/>
        <v>0</v>
      </c>
      <c r="KL103" s="19" t="str">
        <f t="shared" si="72"/>
        <v/>
      </c>
      <c r="KM103" s="52" t="str">
        <f t="shared" si="73"/>
        <v/>
      </c>
      <c r="KN103" s="22">
        <f t="shared" si="74"/>
        <v>0</v>
      </c>
      <c r="KO103" s="22">
        <f t="shared" si="75"/>
        <v>0</v>
      </c>
      <c r="KP103" s="19" t="str">
        <f t="shared" si="76"/>
        <v/>
      </c>
      <c r="KQ103" s="11" t="str">
        <f t="shared" si="77"/>
        <v>2. Sensitive</v>
      </c>
      <c r="KR103" s="11" t="str">
        <f t="shared" si="78"/>
        <v>2. Accommodating</v>
      </c>
      <c r="KS103" s="11" t="str">
        <f t="shared" si="79"/>
        <v>2. Sensitive</v>
      </c>
      <c r="KT103" s="11" t="str">
        <f t="shared" si="80"/>
        <v>It did not develop any specific innovation</v>
      </c>
      <c r="KU103" s="11" t="str">
        <f t="shared" si="81"/>
        <v>Moderate advocacy</v>
      </c>
      <c r="KV103" s="11" t="str">
        <f t="shared" si="82"/>
        <v>It linked and worked with strategic alliances and partners to take tested and effective solutions to scale</v>
      </c>
      <c r="KW103" s="11" t="str">
        <f t="shared" si="83"/>
        <v>Cambodia - Catapult to Impact in Cambodia</v>
      </c>
      <c r="KX103" s="11" t="str">
        <f t="shared" si="84"/>
        <v>Catapult to Impact in Cambodia</v>
      </c>
      <c r="KY103" s="11" t="str">
        <f t="shared" si="85"/>
        <v>Cambodia</v>
      </c>
      <c r="KZ103" s="12">
        <v>103</v>
      </c>
    </row>
    <row r="104" spans="1:312" x14ac:dyDescent="0.3">
      <c r="A104" s="11" t="s">
        <v>2092</v>
      </c>
      <c r="B104" s="11" t="s">
        <v>306</v>
      </c>
      <c r="C104" s="11">
        <v>2819</v>
      </c>
      <c r="D104" s="11" t="s">
        <v>2328</v>
      </c>
      <c r="E104" s="24" t="str">
        <f t="shared" si="43"/>
        <v>Cambodia</v>
      </c>
      <c r="F104" s="11" t="s">
        <v>2329</v>
      </c>
      <c r="G104" s="11" t="s">
        <v>608</v>
      </c>
      <c r="H104" s="11" t="s">
        <v>384</v>
      </c>
      <c r="I104" s="11" t="s">
        <v>384</v>
      </c>
      <c r="J104" s="278" t="s">
        <v>14595</v>
      </c>
      <c r="K104" s="11" t="s">
        <v>2330</v>
      </c>
      <c r="L104" s="11" t="s">
        <v>379</v>
      </c>
      <c r="M104" s="11" t="s">
        <v>383</v>
      </c>
      <c r="N104" s="11" t="s">
        <v>384</v>
      </c>
      <c r="O104" s="278" t="s">
        <v>10530</v>
      </c>
      <c r="P104" s="11" t="s">
        <v>2332</v>
      </c>
      <c r="Q104" s="11" t="s">
        <v>608</v>
      </c>
      <c r="R104" s="11" t="s">
        <v>380</v>
      </c>
      <c r="S104" s="11" t="s">
        <v>381</v>
      </c>
      <c r="T104" s="11" t="s">
        <v>8430</v>
      </c>
      <c r="U104" s="11" t="s">
        <v>2333</v>
      </c>
      <c r="V104" s="11" t="s">
        <v>309</v>
      </c>
      <c r="W104" s="11" t="s">
        <v>383</v>
      </c>
      <c r="X104" s="11" t="s">
        <v>384</v>
      </c>
      <c r="Y104" s="11" t="s">
        <v>2334</v>
      </c>
      <c r="Z104" s="11" t="s">
        <v>2335</v>
      </c>
      <c r="AA104" s="11" t="s">
        <v>608</v>
      </c>
      <c r="AB104" s="11" t="s">
        <v>383</v>
      </c>
      <c r="AC104" s="11" t="s">
        <v>384</v>
      </c>
      <c r="AD104" s="11" t="s">
        <v>2336</v>
      </c>
      <c r="BD104" s="23">
        <v>41821</v>
      </c>
      <c r="BE104" s="23">
        <v>43069</v>
      </c>
      <c r="BG104" s="11" t="s">
        <v>350</v>
      </c>
      <c r="BH104" s="22">
        <v>936302.47</v>
      </c>
      <c r="BI104" s="11" t="s">
        <v>2097</v>
      </c>
      <c r="BJ104" s="11" t="s">
        <v>2098</v>
      </c>
      <c r="BK104" s="11" t="s">
        <v>2099</v>
      </c>
      <c r="BL104" s="11" t="s">
        <v>2100</v>
      </c>
      <c r="BM104" s="11" t="s">
        <v>2101</v>
      </c>
      <c r="BN104" s="11" t="s">
        <v>2102</v>
      </c>
      <c r="BO104" s="12" t="s">
        <v>319</v>
      </c>
      <c r="BP104" s="12" t="s">
        <v>320</v>
      </c>
      <c r="BQ104" s="12" t="s">
        <v>319</v>
      </c>
      <c r="BR104" s="11" t="s">
        <v>2337</v>
      </c>
      <c r="BS104" s="11" t="s">
        <v>322</v>
      </c>
      <c r="BT104" s="11" t="s">
        <v>2338</v>
      </c>
      <c r="BU104" s="11" t="s">
        <v>2339</v>
      </c>
      <c r="BV104" s="22">
        <v>2082</v>
      </c>
      <c r="BW104" s="22">
        <v>2249</v>
      </c>
      <c r="BX104" s="22">
        <v>4331</v>
      </c>
      <c r="BY104" s="22">
        <v>8536</v>
      </c>
      <c r="BZ104" s="22">
        <v>9221</v>
      </c>
      <c r="CA104" s="22">
        <v>17757</v>
      </c>
      <c r="CB104" s="15" t="s">
        <v>2340</v>
      </c>
      <c r="CL104" s="18"/>
      <c r="CP104" s="18"/>
      <c r="CT104" s="18"/>
      <c r="CX104" s="18"/>
      <c r="DB104" s="18"/>
      <c r="DF104" s="18"/>
      <c r="DJ104" s="18"/>
      <c r="DN104" s="18"/>
      <c r="DR104" s="18"/>
      <c r="DV104" s="18"/>
      <c r="DZ104" s="18"/>
      <c r="ED104" s="18"/>
      <c r="EI104" s="18"/>
      <c r="EK104" s="22">
        <v>2997</v>
      </c>
      <c r="EL104" s="22">
        <v>3297</v>
      </c>
      <c r="EM104" s="22">
        <v>6294</v>
      </c>
      <c r="EN104" s="22">
        <v>12288</v>
      </c>
      <c r="EO104" s="22">
        <v>13518</v>
      </c>
      <c r="EP104" s="22">
        <v>25806</v>
      </c>
      <c r="ES104" s="18"/>
      <c r="EW104" s="18"/>
      <c r="FA104" s="18"/>
      <c r="FE104" s="18"/>
      <c r="FI104" s="18"/>
      <c r="FK104" s="12" t="s">
        <v>320</v>
      </c>
      <c r="FL104" s="22">
        <v>6294</v>
      </c>
      <c r="FM104" s="18">
        <v>0.47610000000000002</v>
      </c>
      <c r="FN104" s="22">
        <v>25806</v>
      </c>
      <c r="FQ104" s="18"/>
      <c r="FU104" s="18"/>
      <c r="FW104" s="11" t="s">
        <v>320</v>
      </c>
      <c r="FX104" s="22">
        <v>330</v>
      </c>
      <c r="FY104" s="18">
        <v>0.35449999999999998</v>
      </c>
      <c r="FZ104" s="22">
        <v>1353</v>
      </c>
      <c r="GC104" s="18"/>
      <c r="GG104" s="18"/>
      <c r="GK104" s="18"/>
      <c r="GM104" s="11" t="s">
        <v>320</v>
      </c>
      <c r="GN104" s="22">
        <v>330</v>
      </c>
      <c r="GO104" s="18">
        <v>0.35449999999999998</v>
      </c>
      <c r="GP104" s="22">
        <v>1353</v>
      </c>
      <c r="GS104" s="18"/>
      <c r="GW104" s="18"/>
      <c r="GY104" s="11" t="s">
        <v>320</v>
      </c>
      <c r="GZ104" s="22">
        <v>330</v>
      </c>
      <c r="HA104" s="18">
        <v>0.35449999999999998</v>
      </c>
      <c r="HB104" s="22">
        <v>1353</v>
      </c>
      <c r="HF104" s="18"/>
      <c r="HH104" s="11" t="s">
        <v>319</v>
      </c>
      <c r="HK104" s="11" t="s">
        <v>319</v>
      </c>
      <c r="HL104" s="11" t="s">
        <v>319</v>
      </c>
      <c r="HO104" s="11" t="s">
        <v>393</v>
      </c>
      <c r="HP104" s="11" t="s">
        <v>453</v>
      </c>
      <c r="HQ104" s="11" t="s">
        <v>319</v>
      </c>
      <c r="HR104" s="11" t="s">
        <v>319</v>
      </c>
      <c r="HS104" s="11" t="s">
        <v>320</v>
      </c>
      <c r="HT104" s="11" t="s">
        <v>320</v>
      </c>
      <c r="HU104" s="11" t="s">
        <v>320</v>
      </c>
      <c r="HV104" s="11" t="s">
        <v>320</v>
      </c>
      <c r="HW104" s="11" t="s">
        <v>319</v>
      </c>
      <c r="HX104" s="11" t="s">
        <v>319</v>
      </c>
      <c r="HZ104" s="11" t="s">
        <v>394</v>
      </c>
      <c r="IA104" s="11" t="s">
        <v>2341</v>
      </c>
      <c r="IB104" s="11" t="s">
        <v>396</v>
      </c>
      <c r="IC104" s="11" t="s">
        <v>2342</v>
      </c>
      <c r="ID104" s="11" t="s">
        <v>334</v>
      </c>
      <c r="IE104" s="11" t="s">
        <v>335</v>
      </c>
      <c r="IF104" s="11" t="s">
        <v>320</v>
      </c>
      <c r="IG104" s="11" t="s">
        <v>320</v>
      </c>
      <c r="IH104" s="11" t="s">
        <v>320</v>
      </c>
      <c r="II104" s="11" t="s">
        <v>320</v>
      </c>
      <c r="IJ104" s="12" t="str">
        <f t="shared" si="44"/>
        <v>2. Sensitive</v>
      </c>
      <c r="IK104" s="12">
        <f t="shared" si="45"/>
        <v>4</v>
      </c>
      <c r="IL104" s="11" t="s">
        <v>336</v>
      </c>
      <c r="IM104" s="11" t="s">
        <v>320</v>
      </c>
      <c r="IN104" s="11" t="s">
        <v>320</v>
      </c>
      <c r="IO104" s="11" t="s">
        <v>320</v>
      </c>
      <c r="IP104" s="11" t="s">
        <v>320</v>
      </c>
      <c r="IQ104" s="12" t="str">
        <f t="shared" si="46"/>
        <v>2. Accommodating</v>
      </c>
      <c r="IR104" s="12">
        <f t="shared" si="47"/>
        <v>4</v>
      </c>
      <c r="IS104" s="11" t="s">
        <v>337</v>
      </c>
      <c r="IT104" s="11" t="s">
        <v>320</v>
      </c>
      <c r="IU104" s="11" t="s">
        <v>319</v>
      </c>
      <c r="IV104" s="11" t="s">
        <v>320</v>
      </c>
      <c r="IW104" s="11" t="str">
        <f t="shared" si="48"/>
        <v>1. Neutral</v>
      </c>
      <c r="IX104" s="12">
        <f t="shared" si="49"/>
        <v>2</v>
      </c>
      <c r="IY104" s="11" t="s">
        <v>338</v>
      </c>
      <c r="IZ104" s="11" t="s">
        <v>339</v>
      </c>
      <c r="JA104" s="11">
        <v>3</v>
      </c>
      <c r="JB104" s="11" t="s">
        <v>687</v>
      </c>
      <c r="JC104" s="11" t="s">
        <v>623</v>
      </c>
      <c r="JD104" s="11" t="s">
        <v>832</v>
      </c>
      <c r="JE104" s="11" t="s">
        <v>420</v>
      </c>
      <c r="JF104" s="11" t="s">
        <v>2343</v>
      </c>
      <c r="JH104" s="11" t="s">
        <v>2344</v>
      </c>
      <c r="JI104" s="11" t="s">
        <v>2345</v>
      </c>
      <c r="JJ104" s="11" t="s">
        <v>2346</v>
      </c>
      <c r="JK104" s="11" t="s">
        <v>2347</v>
      </c>
      <c r="JL104" s="11" t="s">
        <v>2348</v>
      </c>
      <c r="JM104" s="11" t="s">
        <v>2349</v>
      </c>
      <c r="JN104" s="11" t="s">
        <v>2350</v>
      </c>
      <c r="JO104" s="11" t="s">
        <v>2351</v>
      </c>
      <c r="JP104" s="15">
        <f t="shared" si="50"/>
        <v>6294</v>
      </c>
      <c r="JQ104" s="15">
        <f t="shared" si="51"/>
        <v>25806</v>
      </c>
      <c r="JR104" s="279">
        <f t="shared" si="52"/>
        <v>4.1000953288846524</v>
      </c>
      <c r="JS104" s="17">
        <f t="shared" si="53"/>
        <v>0.47616777883698763</v>
      </c>
      <c r="JT104" s="18">
        <f t="shared" si="54"/>
        <v>0.47616833294582656</v>
      </c>
      <c r="JU104" s="280">
        <f t="shared" si="55"/>
        <v>2997</v>
      </c>
      <c r="JV104" s="280">
        <f t="shared" si="56"/>
        <v>12288</v>
      </c>
      <c r="JW104" s="319" t="str">
        <f t="shared" si="57"/>
        <v/>
      </c>
      <c r="JX104" s="15">
        <f t="shared" si="58"/>
        <v>0</v>
      </c>
      <c r="JY104" s="15">
        <f t="shared" si="59"/>
        <v>0</v>
      </c>
      <c r="JZ104" s="19" t="str">
        <f t="shared" si="60"/>
        <v/>
      </c>
      <c r="KA104" s="52" t="str">
        <f t="shared" si="61"/>
        <v/>
      </c>
      <c r="KB104" s="15">
        <f t="shared" si="62"/>
        <v>0</v>
      </c>
      <c r="KC104" s="15">
        <f t="shared" si="63"/>
        <v>0</v>
      </c>
      <c r="KD104" s="20" t="str">
        <f t="shared" si="64"/>
        <v/>
      </c>
      <c r="KE104" s="52" t="str">
        <f t="shared" si="65"/>
        <v/>
      </c>
      <c r="KF104" s="15">
        <f t="shared" si="66"/>
        <v>0</v>
      </c>
      <c r="KG104" s="15">
        <f t="shared" si="67"/>
        <v>0</v>
      </c>
      <c r="KH104" s="21" t="str">
        <f t="shared" si="68"/>
        <v/>
      </c>
      <c r="KI104" s="52" t="str">
        <f t="shared" si="69"/>
        <v/>
      </c>
      <c r="KJ104" s="15">
        <f t="shared" si="70"/>
        <v>0</v>
      </c>
      <c r="KK104" s="15">
        <f t="shared" si="71"/>
        <v>0</v>
      </c>
      <c r="KL104" s="19" t="str">
        <f t="shared" si="72"/>
        <v/>
      </c>
      <c r="KM104" s="52">
        <f t="shared" si="73"/>
        <v>1</v>
      </c>
      <c r="KN104" s="22">
        <f t="shared" si="74"/>
        <v>330</v>
      </c>
      <c r="KO104" s="22">
        <f t="shared" si="75"/>
        <v>1353</v>
      </c>
      <c r="KP104" s="19">
        <f t="shared" si="76"/>
        <v>4.0999999999999996</v>
      </c>
      <c r="KQ104" s="11" t="str">
        <f t="shared" si="77"/>
        <v>2. Sensitive</v>
      </c>
      <c r="KR104" s="11" t="str">
        <f t="shared" si="78"/>
        <v>2. Accommodating</v>
      </c>
      <c r="KS104" s="11" t="str">
        <f t="shared" si="79"/>
        <v>1. Neutral</v>
      </c>
      <c r="KT104" s="11" t="str">
        <f t="shared" si="80"/>
        <v>It tested new ways for fighting poverty, but did not measure results of innovation</v>
      </c>
      <c r="KU104" s="11" t="str">
        <f t="shared" si="81"/>
        <v>Intensive advocacy</v>
      </c>
      <c r="KV104" s="11" t="str">
        <f t="shared" si="82"/>
        <v>It linked and worked with strategic alliances and partners to take tested and effective solutions to scale</v>
      </c>
      <c r="KW104" s="11" t="str">
        <f t="shared" si="83"/>
        <v>Cambodia - Consultancy Work (Technical Assistance to Plan International on Multilingual Education pre school) (2819), PCTFI Additional Grant (2820) ,  Technical Assistance to the Ministry of Education on Multilingual Education (2821) Multilingual Education Teacher Training (2822) , and Educate a Child – Ethnic Minority Children in Cambodia  (2823)</v>
      </c>
      <c r="KX104" s="11" t="str">
        <f t="shared" si="84"/>
        <v>Consultancy Work (Technical Assistance to Plan International on Multilingual Education pre school) (2819), PCTFI Additional Grant (2820) ,  Technical Assistance to the Ministry of Education on Multilingual Education (2821) Multilingual Education Teacher Training (2822) , and Educate a Child – Ethnic Minority Children in Cambodia  (2823)</v>
      </c>
      <c r="KY104" s="11" t="str">
        <f t="shared" si="85"/>
        <v>Cambodia</v>
      </c>
      <c r="KZ104" s="12">
        <v>104</v>
      </c>
    </row>
    <row r="105" spans="1:312" x14ac:dyDescent="0.3">
      <c r="A105" s="11" t="s">
        <v>2092</v>
      </c>
      <c r="B105" s="11" t="s">
        <v>306</v>
      </c>
      <c r="C105" s="11">
        <v>2818</v>
      </c>
      <c r="D105" s="11" t="s">
        <v>2093</v>
      </c>
      <c r="E105" s="24" t="str">
        <f t="shared" si="43"/>
        <v>Cambodia</v>
      </c>
      <c r="F105" s="11" t="s">
        <v>2094</v>
      </c>
      <c r="G105" s="11" t="s">
        <v>309</v>
      </c>
      <c r="H105" s="11" t="s">
        <v>310</v>
      </c>
      <c r="I105" s="11" t="s">
        <v>311</v>
      </c>
      <c r="J105" s="278" t="s">
        <v>14574</v>
      </c>
      <c r="K105" s="11" t="s">
        <v>2095</v>
      </c>
      <c r="L105" s="11" t="s">
        <v>379</v>
      </c>
      <c r="M105" s="11" t="s">
        <v>383</v>
      </c>
      <c r="N105" s="11" t="s">
        <v>384</v>
      </c>
      <c r="O105" s="11" t="s">
        <v>2096</v>
      </c>
      <c r="BD105" s="23">
        <v>41456</v>
      </c>
      <c r="BE105" s="23">
        <v>43373</v>
      </c>
      <c r="BG105" s="11" t="s">
        <v>350</v>
      </c>
      <c r="BH105" s="22">
        <v>1647293</v>
      </c>
      <c r="BI105" s="11" t="s">
        <v>2097</v>
      </c>
      <c r="BJ105" s="11" t="s">
        <v>2098</v>
      </c>
      <c r="BK105" s="11" t="s">
        <v>2099</v>
      </c>
      <c r="BL105" s="11" t="s">
        <v>2100</v>
      </c>
      <c r="BM105" s="11" t="s">
        <v>2101</v>
      </c>
      <c r="BN105" s="11" t="s">
        <v>2102</v>
      </c>
      <c r="BO105" s="12" t="s">
        <v>319</v>
      </c>
      <c r="BP105" s="12" t="s">
        <v>320</v>
      </c>
      <c r="BQ105" s="12" t="s">
        <v>319</v>
      </c>
      <c r="BR105" s="11" t="s">
        <v>2103</v>
      </c>
      <c r="BS105" s="11" t="s">
        <v>357</v>
      </c>
      <c r="BT105" s="11" t="s">
        <v>2104</v>
      </c>
      <c r="BU105" s="11" t="s">
        <v>2105</v>
      </c>
      <c r="BV105" s="22">
        <v>2282</v>
      </c>
      <c r="BW105" s="22">
        <v>2444</v>
      </c>
      <c r="BX105" s="22">
        <v>4726</v>
      </c>
      <c r="BY105" s="22">
        <v>9584</v>
      </c>
      <c r="BZ105" s="22">
        <v>10265</v>
      </c>
      <c r="CA105" s="22">
        <v>19849</v>
      </c>
      <c r="CB105" s="15" t="s">
        <v>2106</v>
      </c>
      <c r="CL105" s="18"/>
      <c r="CP105" s="18"/>
      <c r="CT105" s="18"/>
      <c r="CX105" s="18"/>
      <c r="DB105" s="18"/>
      <c r="DF105" s="18"/>
      <c r="DJ105" s="18"/>
      <c r="DN105" s="18"/>
      <c r="DR105" s="18"/>
      <c r="DV105" s="18"/>
      <c r="DZ105" s="18"/>
      <c r="ED105" s="18"/>
      <c r="EI105" s="18"/>
      <c r="EK105" s="22">
        <v>4594</v>
      </c>
      <c r="EL105" s="22">
        <v>5487</v>
      </c>
      <c r="EM105" s="22">
        <v>10081</v>
      </c>
      <c r="EN105" s="22">
        <v>18835</v>
      </c>
      <c r="EO105" s="22">
        <v>22497</v>
      </c>
      <c r="EP105" s="22">
        <v>41332</v>
      </c>
      <c r="ES105" s="18"/>
      <c r="EW105" s="18"/>
      <c r="FA105" s="18"/>
      <c r="FE105" s="18"/>
      <c r="FI105" s="18"/>
      <c r="FK105" s="12" t="s">
        <v>320</v>
      </c>
      <c r="FL105" s="22">
        <v>10081</v>
      </c>
      <c r="FM105" s="18">
        <v>0.46</v>
      </c>
      <c r="FN105" s="22">
        <v>41332</v>
      </c>
      <c r="FQ105" s="18"/>
      <c r="FU105" s="18"/>
      <c r="FW105" s="11" t="s">
        <v>320</v>
      </c>
      <c r="FX105" s="22">
        <v>102</v>
      </c>
      <c r="FY105" s="18">
        <v>0.33</v>
      </c>
      <c r="FZ105" s="22">
        <v>10081</v>
      </c>
      <c r="GC105" s="18"/>
      <c r="GG105" s="18"/>
      <c r="GK105" s="18"/>
      <c r="GM105" s="11" t="s">
        <v>320</v>
      </c>
      <c r="GN105" s="22">
        <v>54</v>
      </c>
      <c r="GO105" s="18">
        <v>1</v>
      </c>
      <c r="GP105" s="22">
        <v>3574</v>
      </c>
      <c r="GS105" s="18"/>
      <c r="GW105" s="18"/>
      <c r="GY105" s="11" t="s">
        <v>320</v>
      </c>
      <c r="GZ105" s="22">
        <v>84</v>
      </c>
      <c r="HA105" s="18">
        <v>1</v>
      </c>
      <c r="HF105" s="18"/>
      <c r="HH105" s="11" t="s">
        <v>319</v>
      </c>
      <c r="HL105" s="11" t="s">
        <v>319</v>
      </c>
      <c r="HP105" s="11" t="s">
        <v>453</v>
      </c>
      <c r="HQ105" s="11" t="s">
        <v>319</v>
      </c>
      <c r="HR105" s="11" t="s">
        <v>319</v>
      </c>
      <c r="HS105" s="11" t="s">
        <v>319</v>
      </c>
      <c r="HT105" s="11" t="s">
        <v>320</v>
      </c>
      <c r="HU105" s="11" t="s">
        <v>320</v>
      </c>
      <c r="HV105" s="11" t="s">
        <v>320</v>
      </c>
      <c r="HW105" s="11" t="s">
        <v>319</v>
      </c>
      <c r="HX105" s="11" t="s">
        <v>319</v>
      </c>
      <c r="HZ105" s="11" t="s">
        <v>394</v>
      </c>
      <c r="IA105" s="11" t="s">
        <v>2107</v>
      </c>
      <c r="IB105" s="11" t="s">
        <v>396</v>
      </c>
      <c r="IC105" s="11" t="s">
        <v>2108</v>
      </c>
      <c r="ID105" s="11" t="s">
        <v>334</v>
      </c>
      <c r="IE105" s="11" t="s">
        <v>478</v>
      </c>
      <c r="IF105" s="11" t="s">
        <v>320</v>
      </c>
      <c r="IG105" s="11" t="s">
        <v>320</v>
      </c>
      <c r="IH105" s="11" t="s">
        <v>320</v>
      </c>
      <c r="II105" s="11" t="s">
        <v>320</v>
      </c>
      <c r="IJ105" s="12" t="str">
        <f t="shared" si="44"/>
        <v>4. Transformative</v>
      </c>
      <c r="IK105" s="12">
        <f t="shared" si="45"/>
        <v>4</v>
      </c>
      <c r="IL105" s="11" t="s">
        <v>336</v>
      </c>
      <c r="IM105" s="11" t="s">
        <v>320</v>
      </c>
      <c r="IN105" s="11" t="s">
        <v>320</v>
      </c>
      <c r="IO105" s="11" t="s">
        <v>320</v>
      </c>
      <c r="IP105" s="11" t="s">
        <v>320</v>
      </c>
      <c r="IQ105" s="12" t="str">
        <f t="shared" si="46"/>
        <v>2. Accommodating</v>
      </c>
      <c r="IR105" s="12">
        <f t="shared" si="47"/>
        <v>4</v>
      </c>
      <c r="IS105" s="11" t="s">
        <v>456</v>
      </c>
      <c r="IT105" s="11" t="s">
        <v>320</v>
      </c>
      <c r="IU105" s="11" t="s">
        <v>320</v>
      </c>
      <c r="IV105" s="11" t="s">
        <v>320</v>
      </c>
      <c r="IW105" s="11" t="str">
        <f t="shared" si="48"/>
        <v>0. Harmful</v>
      </c>
      <c r="IX105" s="12">
        <f t="shared" si="49"/>
        <v>3</v>
      </c>
      <c r="IY105" s="11" t="s">
        <v>338</v>
      </c>
      <c r="IZ105" s="11" t="s">
        <v>432</v>
      </c>
      <c r="JA105" s="11">
        <v>2</v>
      </c>
      <c r="JB105" s="11" t="s">
        <v>687</v>
      </c>
      <c r="JC105" s="11" t="s">
        <v>623</v>
      </c>
      <c r="JE105" s="11" t="s">
        <v>420</v>
      </c>
      <c r="JG105" s="11" t="s">
        <v>2109</v>
      </c>
      <c r="JH105" s="11" t="s">
        <v>2110</v>
      </c>
      <c r="JK105" s="11" t="s">
        <v>2111</v>
      </c>
      <c r="JL105" s="11" t="s">
        <v>2112</v>
      </c>
      <c r="JM105" s="11" t="s">
        <v>2113</v>
      </c>
      <c r="JO105" s="11" t="s">
        <v>2114</v>
      </c>
      <c r="JP105" s="15">
        <f t="shared" si="50"/>
        <v>10081</v>
      </c>
      <c r="JQ105" s="15">
        <f t="shared" si="51"/>
        <v>41332</v>
      </c>
      <c r="JR105" s="279">
        <f t="shared" si="52"/>
        <v>4.0999900803491718</v>
      </c>
      <c r="JS105" s="17">
        <f t="shared" si="53"/>
        <v>0.4557087590516814</v>
      </c>
      <c r="JT105" s="18">
        <f t="shared" si="54"/>
        <v>0.45570018387689926</v>
      </c>
      <c r="JU105" s="280">
        <f t="shared" si="55"/>
        <v>4594</v>
      </c>
      <c r="JV105" s="280">
        <f t="shared" si="56"/>
        <v>18835</v>
      </c>
      <c r="JW105" s="319" t="str">
        <f t="shared" si="57"/>
        <v/>
      </c>
      <c r="JX105" s="15">
        <f t="shared" si="58"/>
        <v>0</v>
      </c>
      <c r="JY105" s="15">
        <f t="shared" si="59"/>
        <v>0</v>
      </c>
      <c r="JZ105" s="19" t="str">
        <f t="shared" si="60"/>
        <v/>
      </c>
      <c r="KA105" s="52" t="str">
        <f t="shared" si="61"/>
        <v/>
      </c>
      <c r="KB105" s="15">
        <f t="shared" si="62"/>
        <v>0</v>
      </c>
      <c r="KC105" s="15">
        <f t="shared" si="63"/>
        <v>0</v>
      </c>
      <c r="KD105" s="20" t="str">
        <f t="shared" si="64"/>
        <v/>
      </c>
      <c r="KE105" s="52" t="str">
        <f t="shared" si="65"/>
        <v/>
      </c>
      <c r="KF105" s="15">
        <f t="shared" si="66"/>
        <v>0</v>
      </c>
      <c r="KG105" s="15">
        <f t="shared" si="67"/>
        <v>0</v>
      </c>
      <c r="KH105" s="21" t="str">
        <f t="shared" si="68"/>
        <v/>
      </c>
      <c r="KI105" s="52" t="str">
        <f t="shared" si="69"/>
        <v/>
      </c>
      <c r="KJ105" s="15">
        <f t="shared" si="70"/>
        <v>0</v>
      </c>
      <c r="KK105" s="15">
        <f t="shared" si="71"/>
        <v>0</v>
      </c>
      <c r="KL105" s="19" t="str">
        <f t="shared" si="72"/>
        <v/>
      </c>
      <c r="KM105" s="52">
        <f t="shared" si="73"/>
        <v>1</v>
      </c>
      <c r="KN105" s="22">
        <f t="shared" si="74"/>
        <v>84</v>
      </c>
      <c r="KO105" s="22">
        <f t="shared" si="75"/>
        <v>0</v>
      </c>
      <c r="KP105" s="19">
        <f t="shared" si="76"/>
        <v>0</v>
      </c>
      <c r="KQ105" s="11" t="str">
        <f t="shared" si="77"/>
        <v>4. Transformative</v>
      </c>
      <c r="KR105" s="11" t="str">
        <f t="shared" si="78"/>
        <v>2. Accommodating</v>
      </c>
      <c r="KS105" s="11" t="str">
        <f t="shared" si="79"/>
        <v>0. Harmful</v>
      </c>
      <c r="KT105" s="11" t="str">
        <f t="shared" si="80"/>
        <v>It tested new ways for fighting poverty, but did not measure results of innovation</v>
      </c>
      <c r="KU105" s="11" t="str">
        <f t="shared" si="81"/>
        <v>Intensive advocacy</v>
      </c>
      <c r="KV105" s="11" t="str">
        <f t="shared" si="82"/>
        <v>It linked and worked with strategic alliances and partners to take tested and effective solutions to scale</v>
      </c>
      <c r="KW105" s="11" t="str">
        <f t="shared" si="83"/>
        <v>Cambodia - Education for Ethnic Minorities (2818) and Scholarship Program (2815)</v>
      </c>
      <c r="KX105" s="11" t="str">
        <f t="shared" si="84"/>
        <v>Education for Ethnic Minorities (2818) and Scholarship Program (2815)</v>
      </c>
      <c r="KY105" s="11" t="str">
        <f t="shared" si="85"/>
        <v>Cambodia</v>
      </c>
      <c r="KZ105" s="12">
        <v>105</v>
      </c>
    </row>
    <row r="106" spans="1:312" x14ac:dyDescent="0.3">
      <c r="A106" s="11" t="s">
        <v>2092</v>
      </c>
      <c r="B106" s="11" t="s">
        <v>306</v>
      </c>
      <c r="C106" s="11">
        <v>2807</v>
      </c>
      <c r="D106" s="11" t="s">
        <v>2115</v>
      </c>
      <c r="E106" s="24" t="str">
        <f t="shared" si="43"/>
        <v>Cambodia</v>
      </c>
      <c r="F106" s="11" t="s">
        <v>2116</v>
      </c>
      <c r="G106" s="11" t="s">
        <v>309</v>
      </c>
      <c r="H106" s="11" t="s">
        <v>380</v>
      </c>
      <c r="I106" s="11" t="s">
        <v>384</v>
      </c>
      <c r="J106" s="281" t="s">
        <v>14596</v>
      </c>
      <c r="BD106" s="23">
        <v>42496</v>
      </c>
      <c r="BE106" s="23">
        <v>42566</v>
      </c>
      <c r="BF106" s="23">
        <v>42643</v>
      </c>
      <c r="BG106" s="11" t="s">
        <v>817</v>
      </c>
      <c r="BH106" s="22">
        <v>42209</v>
      </c>
      <c r="BI106" s="11" t="s">
        <v>2097</v>
      </c>
      <c r="BJ106" s="11" t="s">
        <v>2098</v>
      </c>
      <c r="BK106" s="11" t="s">
        <v>2099</v>
      </c>
      <c r="BL106" s="11" t="s">
        <v>2100</v>
      </c>
      <c r="BM106" s="11" t="s">
        <v>2101</v>
      </c>
      <c r="BN106" s="11" t="s">
        <v>2102</v>
      </c>
      <c r="BO106" s="11" t="s">
        <v>320</v>
      </c>
      <c r="BP106" s="11" t="s">
        <v>320</v>
      </c>
      <c r="BQ106" s="11" t="s">
        <v>320</v>
      </c>
      <c r="BR106" s="11" t="s">
        <v>2117</v>
      </c>
      <c r="BS106" s="11" t="s">
        <v>357</v>
      </c>
      <c r="BT106" s="11" t="s">
        <v>2118</v>
      </c>
      <c r="BU106" s="11" t="s">
        <v>2119</v>
      </c>
      <c r="BV106" s="22">
        <v>500</v>
      </c>
      <c r="BW106" s="22">
        <v>500</v>
      </c>
      <c r="BX106" s="22">
        <v>1000</v>
      </c>
      <c r="BY106" s="22">
        <v>2060</v>
      </c>
      <c r="BZ106" s="22">
        <v>1940</v>
      </c>
      <c r="CA106" s="22">
        <v>4000</v>
      </c>
      <c r="CB106" s="15" t="s">
        <v>2120</v>
      </c>
      <c r="CD106" s="22">
        <v>3105</v>
      </c>
      <c r="CE106" s="22">
        <v>855</v>
      </c>
      <c r="CF106" s="22">
        <v>3960</v>
      </c>
      <c r="CG106" s="22">
        <v>0</v>
      </c>
      <c r="CH106" s="22">
        <v>0</v>
      </c>
      <c r="CI106" s="22">
        <v>0</v>
      </c>
      <c r="CL106" s="18"/>
      <c r="CP106" s="18"/>
      <c r="CT106" s="18"/>
      <c r="CX106" s="18"/>
      <c r="DB106" s="18"/>
      <c r="DF106" s="18"/>
      <c r="DJ106" s="18"/>
      <c r="DN106" s="18"/>
      <c r="DR106" s="18"/>
      <c r="DV106" s="18"/>
      <c r="DZ106" s="18"/>
      <c r="EB106" s="11" t="s">
        <v>320</v>
      </c>
      <c r="EC106" s="22">
        <v>3960</v>
      </c>
      <c r="ED106" s="18">
        <v>0.78</v>
      </c>
      <c r="EE106" s="22">
        <v>0</v>
      </c>
      <c r="EI106" s="18"/>
      <c r="EK106" s="22">
        <v>9</v>
      </c>
      <c r="EL106" s="22">
        <v>20</v>
      </c>
      <c r="EM106" s="22">
        <v>29</v>
      </c>
      <c r="EN106" s="22">
        <v>22</v>
      </c>
      <c r="EO106" s="22">
        <v>50</v>
      </c>
      <c r="EP106" s="22">
        <v>72</v>
      </c>
      <c r="ES106" s="18"/>
      <c r="EW106" s="18"/>
      <c r="FA106" s="18"/>
      <c r="FE106" s="18"/>
      <c r="FI106" s="18"/>
      <c r="FM106" s="18"/>
      <c r="FQ106" s="18"/>
      <c r="FU106" s="18"/>
      <c r="FW106" s="11" t="s">
        <v>320</v>
      </c>
      <c r="FX106" s="22">
        <v>29</v>
      </c>
      <c r="FY106" s="18">
        <v>0.31</v>
      </c>
      <c r="FZ106" s="22">
        <v>72</v>
      </c>
      <c r="GC106" s="18"/>
      <c r="GG106" s="18"/>
      <c r="GK106" s="18"/>
      <c r="GO106" s="18"/>
      <c r="GS106" s="18"/>
      <c r="GW106" s="18"/>
      <c r="HA106" s="18"/>
      <c r="HF106" s="18"/>
      <c r="HH106" s="11" t="s">
        <v>320</v>
      </c>
      <c r="HI106" s="11" t="s">
        <v>415</v>
      </c>
      <c r="HJ106" s="11">
        <v>2016</v>
      </c>
      <c r="HK106" s="11" t="s">
        <v>320</v>
      </c>
      <c r="HL106" s="11" t="s">
        <v>319</v>
      </c>
      <c r="HP106" s="11" t="s">
        <v>330</v>
      </c>
      <c r="HQ106" s="11" t="s">
        <v>319</v>
      </c>
      <c r="HR106" s="11" t="s">
        <v>319</v>
      </c>
      <c r="HS106" s="11" t="s">
        <v>320</v>
      </c>
      <c r="HT106" s="11" t="s">
        <v>319</v>
      </c>
      <c r="HU106" s="11" t="s">
        <v>319</v>
      </c>
      <c r="HV106" s="11" t="s">
        <v>319</v>
      </c>
      <c r="HW106" s="11" t="s">
        <v>319</v>
      </c>
      <c r="HX106" s="11" t="s">
        <v>319</v>
      </c>
      <c r="HZ106" s="11" t="s">
        <v>363</v>
      </c>
      <c r="IB106" s="11" t="s">
        <v>396</v>
      </c>
      <c r="IC106" s="11" t="s">
        <v>2121</v>
      </c>
      <c r="ID106" s="11" t="s">
        <v>334</v>
      </c>
      <c r="IE106" s="11" t="s">
        <v>335</v>
      </c>
      <c r="IF106" s="11" t="s">
        <v>320</v>
      </c>
      <c r="IG106" s="11" t="s">
        <v>320</v>
      </c>
      <c r="IH106" s="11" t="s">
        <v>320</v>
      </c>
      <c r="II106" s="11" t="s">
        <v>320</v>
      </c>
      <c r="IJ106" s="12" t="str">
        <f t="shared" si="44"/>
        <v>2. Sensitive</v>
      </c>
      <c r="IK106" s="12">
        <f t="shared" si="45"/>
        <v>4</v>
      </c>
      <c r="IL106" s="11" t="s">
        <v>336</v>
      </c>
      <c r="IM106" s="11" t="s">
        <v>320</v>
      </c>
      <c r="IN106" s="11" t="s">
        <v>320</v>
      </c>
      <c r="IO106" s="11" t="s">
        <v>320</v>
      </c>
      <c r="IP106" s="11" t="s">
        <v>320</v>
      </c>
      <c r="IQ106" s="12" t="str">
        <f t="shared" si="46"/>
        <v>2. Accommodating</v>
      </c>
      <c r="IR106" s="12">
        <f t="shared" si="47"/>
        <v>4</v>
      </c>
      <c r="IS106" s="11" t="s">
        <v>337</v>
      </c>
      <c r="IT106" s="11" t="s">
        <v>320</v>
      </c>
      <c r="IU106" s="11" t="s">
        <v>320</v>
      </c>
      <c r="IV106" s="11" t="s">
        <v>320</v>
      </c>
      <c r="IW106" s="11" t="str">
        <f t="shared" si="48"/>
        <v>2. Sensitive</v>
      </c>
      <c r="IX106" s="12">
        <f t="shared" si="49"/>
        <v>3</v>
      </c>
      <c r="IY106" s="11" t="s">
        <v>758</v>
      </c>
      <c r="IZ106" s="11" t="s">
        <v>339</v>
      </c>
      <c r="JA106" s="11">
        <v>1</v>
      </c>
      <c r="JB106" s="11" t="s">
        <v>831</v>
      </c>
      <c r="JE106" s="11" t="s">
        <v>340</v>
      </c>
      <c r="JF106" s="11" t="s">
        <v>2122</v>
      </c>
      <c r="JG106" s="11" t="s">
        <v>2123</v>
      </c>
      <c r="JH106" s="11" t="s">
        <v>2124</v>
      </c>
      <c r="JI106" s="11" t="s">
        <v>2125</v>
      </c>
      <c r="JK106" s="11" t="s">
        <v>2126</v>
      </c>
      <c r="JO106" s="11" t="s">
        <v>2127</v>
      </c>
      <c r="JP106" s="15">
        <f t="shared" si="50"/>
        <v>3960</v>
      </c>
      <c r="JQ106" s="15">
        <f t="shared" si="51"/>
        <v>72</v>
      </c>
      <c r="JR106" s="279">
        <f t="shared" si="52"/>
        <v>1.8181818181818181E-2</v>
      </c>
      <c r="JS106" s="17">
        <f t="shared" si="53"/>
        <v>0.78409090909090906</v>
      </c>
      <c r="JT106" s="18">
        <f t="shared" si="54"/>
        <v>0.30555555555555558</v>
      </c>
      <c r="JU106" s="280">
        <f t="shared" si="55"/>
        <v>3105</v>
      </c>
      <c r="JV106" s="280">
        <f t="shared" si="56"/>
        <v>22</v>
      </c>
      <c r="JW106" s="319">
        <f t="shared" si="57"/>
        <v>1</v>
      </c>
      <c r="JX106" s="15">
        <f t="shared" si="58"/>
        <v>3960</v>
      </c>
      <c r="JY106" s="15">
        <f t="shared" si="59"/>
        <v>0</v>
      </c>
      <c r="JZ106" s="19">
        <f t="shared" si="60"/>
        <v>0</v>
      </c>
      <c r="KA106" s="52" t="str">
        <f t="shared" si="61"/>
        <v/>
      </c>
      <c r="KB106" s="15">
        <f t="shared" si="62"/>
        <v>0</v>
      </c>
      <c r="KC106" s="15">
        <f t="shared" si="63"/>
        <v>0</v>
      </c>
      <c r="KD106" s="20" t="str">
        <f t="shared" si="64"/>
        <v/>
      </c>
      <c r="KE106" s="52" t="str">
        <f t="shared" si="65"/>
        <v/>
      </c>
      <c r="KF106" s="15">
        <f t="shared" si="66"/>
        <v>0</v>
      </c>
      <c r="KG106" s="15">
        <f t="shared" si="67"/>
        <v>0</v>
      </c>
      <c r="KH106" s="21" t="str">
        <f t="shared" si="68"/>
        <v/>
      </c>
      <c r="KI106" s="52" t="str">
        <f t="shared" si="69"/>
        <v/>
      </c>
      <c r="KJ106" s="15">
        <f t="shared" si="70"/>
        <v>0</v>
      </c>
      <c r="KK106" s="15">
        <f t="shared" si="71"/>
        <v>0</v>
      </c>
      <c r="KL106" s="19" t="str">
        <f t="shared" si="72"/>
        <v/>
      </c>
      <c r="KM106" s="52" t="str">
        <f t="shared" si="73"/>
        <v/>
      </c>
      <c r="KN106" s="22">
        <f t="shared" si="74"/>
        <v>0</v>
      </c>
      <c r="KO106" s="22">
        <f t="shared" si="75"/>
        <v>0</v>
      </c>
      <c r="KP106" s="19" t="str">
        <f t="shared" si="76"/>
        <v/>
      </c>
      <c r="KQ106" s="11" t="str">
        <f t="shared" si="77"/>
        <v>2. Sensitive</v>
      </c>
      <c r="KR106" s="11" t="str">
        <f t="shared" si="78"/>
        <v>2. Accommodating</v>
      </c>
      <c r="KS106" s="11" t="str">
        <f t="shared" si="79"/>
        <v>2. Sensitive</v>
      </c>
      <c r="KT106" s="11" t="str">
        <f t="shared" si="80"/>
        <v>It did not develop any specific innovation</v>
      </c>
      <c r="KU106" s="11" t="str">
        <f t="shared" si="81"/>
        <v>Moderate advocacy</v>
      </c>
      <c r="KV106" s="11" t="str">
        <f t="shared" si="82"/>
        <v>It linked and worked with strategic alliances and partners to take tested and effective solutions to scale</v>
      </c>
      <c r="KW106" s="11" t="str">
        <f t="shared" si="83"/>
        <v>Cambodia - Emergency Response to the Water Shortage Crisis in Koh Kong Province / Gender in Emergencies Training to CARE's Emergency Response Partners</v>
      </c>
      <c r="KX106" s="11" t="str">
        <f t="shared" si="84"/>
        <v>Emergency Response to the Water Shortage Crisis in Koh Kong Province / Gender in Emergencies Training to CARE's Emergency Response Partners</v>
      </c>
      <c r="KY106" s="11" t="str">
        <f t="shared" si="85"/>
        <v>Cambodia</v>
      </c>
      <c r="KZ106" s="12">
        <v>106</v>
      </c>
    </row>
    <row r="107" spans="1:312" x14ac:dyDescent="0.3">
      <c r="A107" s="11" t="s">
        <v>2092</v>
      </c>
      <c r="B107" s="11" t="s">
        <v>306</v>
      </c>
      <c r="C107" s="11">
        <v>2812</v>
      </c>
      <c r="D107" s="11" t="s">
        <v>2194</v>
      </c>
      <c r="E107" s="24" t="str">
        <f t="shared" si="43"/>
        <v>Cambodia</v>
      </c>
      <c r="F107" s="11" t="s">
        <v>2195</v>
      </c>
      <c r="G107" s="11" t="s">
        <v>1853</v>
      </c>
      <c r="H107" s="11" t="s">
        <v>310</v>
      </c>
      <c r="I107" s="11" t="s">
        <v>1854</v>
      </c>
      <c r="J107" s="278" t="s">
        <v>2196</v>
      </c>
      <c r="K107" s="11" t="s">
        <v>2197</v>
      </c>
      <c r="L107" s="11" t="s">
        <v>1853</v>
      </c>
      <c r="M107" s="11" t="s">
        <v>383</v>
      </c>
      <c r="N107" s="11" t="s">
        <v>384</v>
      </c>
      <c r="O107" s="11" t="s">
        <v>14597</v>
      </c>
      <c r="BD107" s="23">
        <v>42005</v>
      </c>
      <c r="BE107" s="23">
        <v>43455</v>
      </c>
      <c r="BG107" s="11" t="s">
        <v>749</v>
      </c>
      <c r="BH107" s="22">
        <v>434243</v>
      </c>
      <c r="BI107" s="11" t="s">
        <v>2097</v>
      </c>
      <c r="BJ107" s="11" t="s">
        <v>2098</v>
      </c>
      <c r="BK107" s="11" t="s">
        <v>2099</v>
      </c>
      <c r="BL107" s="11" t="s">
        <v>2100</v>
      </c>
      <c r="BM107" s="11" t="s">
        <v>2101</v>
      </c>
      <c r="BN107" s="11" t="s">
        <v>2102</v>
      </c>
      <c r="BO107" s="12" t="s">
        <v>319</v>
      </c>
      <c r="BP107" s="12" t="s">
        <v>320</v>
      </c>
      <c r="BQ107" s="12" t="s">
        <v>319</v>
      </c>
      <c r="BR107" s="11" t="s">
        <v>2198</v>
      </c>
      <c r="BS107" s="11" t="s">
        <v>357</v>
      </c>
      <c r="BT107" s="11" t="s">
        <v>2199</v>
      </c>
      <c r="BU107" s="11" t="s">
        <v>2200</v>
      </c>
      <c r="BV107" s="22">
        <v>6225</v>
      </c>
      <c r="BW107" s="22">
        <v>6189</v>
      </c>
      <c r="BX107" s="22">
        <v>12414</v>
      </c>
      <c r="BY107" s="22">
        <v>15857</v>
      </c>
      <c r="BZ107" s="22">
        <v>15236</v>
      </c>
      <c r="CA107" s="22">
        <v>31093</v>
      </c>
      <c r="CB107" s="15" t="s">
        <v>2201</v>
      </c>
      <c r="CL107" s="18"/>
      <c r="CP107" s="18"/>
      <c r="CT107" s="18"/>
      <c r="CX107" s="18"/>
      <c r="DB107" s="18"/>
      <c r="DF107" s="18"/>
      <c r="DJ107" s="18"/>
      <c r="DN107" s="18"/>
      <c r="DR107" s="18"/>
      <c r="DV107" s="18"/>
      <c r="DZ107" s="18"/>
      <c r="ED107" s="18"/>
      <c r="EI107" s="18"/>
      <c r="EK107" s="22">
        <v>726</v>
      </c>
      <c r="EL107" s="22">
        <v>653</v>
      </c>
      <c r="EM107" s="22">
        <v>1379</v>
      </c>
      <c r="EN107" s="22">
        <v>2884</v>
      </c>
      <c r="EO107" s="22">
        <v>2770</v>
      </c>
      <c r="EP107" s="22">
        <v>5654</v>
      </c>
      <c r="EQ107" s="12" t="s">
        <v>320</v>
      </c>
      <c r="ER107" s="22">
        <v>373</v>
      </c>
      <c r="ES107" s="18">
        <v>0.55000000000000004</v>
      </c>
      <c r="ET107" s="22">
        <v>1529</v>
      </c>
      <c r="EU107" s="11" t="s">
        <v>320</v>
      </c>
      <c r="EV107" s="22">
        <v>1379</v>
      </c>
      <c r="EW107" s="18">
        <v>0.53</v>
      </c>
      <c r="EX107" s="22">
        <v>5654</v>
      </c>
      <c r="FA107" s="18"/>
      <c r="FE107" s="18"/>
      <c r="FI107" s="18"/>
      <c r="FK107" s="11" t="s">
        <v>320</v>
      </c>
      <c r="FM107" s="18"/>
      <c r="FO107" s="12" t="s">
        <v>320</v>
      </c>
      <c r="FP107" s="22">
        <v>373</v>
      </c>
      <c r="FQ107" s="18">
        <v>0.55000000000000004</v>
      </c>
      <c r="FR107" s="22">
        <v>1529</v>
      </c>
      <c r="FU107" s="18"/>
      <c r="FW107" s="11" t="s">
        <v>320</v>
      </c>
      <c r="FX107" s="22">
        <v>1379</v>
      </c>
      <c r="FY107" s="18">
        <v>0.53</v>
      </c>
      <c r="FZ107" s="22">
        <v>5654</v>
      </c>
      <c r="GC107" s="18"/>
      <c r="GG107" s="18"/>
      <c r="GK107" s="18"/>
      <c r="GO107" s="18"/>
      <c r="GS107" s="18"/>
      <c r="GW107" s="18"/>
      <c r="GY107" s="11" t="s">
        <v>320</v>
      </c>
      <c r="GZ107" s="22">
        <v>373</v>
      </c>
      <c r="HA107" s="18">
        <v>0.55000000000000004</v>
      </c>
      <c r="HB107" s="22">
        <v>1529</v>
      </c>
      <c r="HF107" s="18"/>
      <c r="HH107" s="11" t="s">
        <v>320</v>
      </c>
      <c r="HI107" s="11" t="s">
        <v>328</v>
      </c>
      <c r="HJ107" s="11">
        <v>2016</v>
      </c>
      <c r="HK107" s="11" t="s">
        <v>319</v>
      </c>
      <c r="HL107" s="11" t="s">
        <v>319</v>
      </c>
      <c r="HO107" s="11" t="s">
        <v>393</v>
      </c>
      <c r="HP107" s="11" t="s">
        <v>330</v>
      </c>
      <c r="HQ107" s="11" t="s">
        <v>319</v>
      </c>
      <c r="HR107" s="11" t="s">
        <v>319</v>
      </c>
      <c r="HS107" s="11" t="s">
        <v>320</v>
      </c>
      <c r="HT107" s="11" t="s">
        <v>320</v>
      </c>
      <c r="HU107" s="11" t="s">
        <v>320</v>
      </c>
      <c r="HV107" s="11" t="s">
        <v>320</v>
      </c>
      <c r="HW107" s="11" t="s">
        <v>320</v>
      </c>
      <c r="HX107" s="11" t="s">
        <v>319</v>
      </c>
      <c r="HZ107" s="11" t="s">
        <v>331</v>
      </c>
      <c r="IA107" s="11" t="s">
        <v>2202</v>
      </c>
      <c r="IB107" s="11" t="s">
        <v>396</v>
      </c>
      <c r="IC107" s="11" t="s">
        <v>2203</v>
      </c>
      <c r="ID107" s="11" t="s">
        <v>334</v>
      </c>
      <c r="IE107" s="11" t="s">
        <v>478</v>
      </c>
      <c r="IF107" s="11" t="s">
        <v>320</v>
      </c>
      <c r="IG107" s="11" t="s">
        <v>320</v>
      </c>
      <c r="IH107" s="11" t="s">
        <v>320</v>
      </c>
      <c r="II107" s="11" t="s">
        <v>320</v>
      </c>
      <c r="IJ107" s="12" t="str">
        <f t="shared" si="44"/>
        <v>4. Transformative</v>
      </c>
      <c r="IK107" s="12">
        <f t="shared" si="45"/>
        <v>4</v>
      </c>
      <c r="IL107" s="11" t="s">
        <v>336</v>
      </c>
      <c r="IM107" s="11" t="s">
        <v>320</v>
      </c>
      <c r="IN107" s="11" t="s">
        <v>320</v>
      </c>
      <c r="IO107" s="11" t="s">
        <v>320</v>
      </c>
      <c r="IP107" s="11" t="s">
        <v>320</v>
      </c>
      <c r="IQ107" s="12" t="str">
        <f t="shared" si="46"/>
        <v>2. Accommodating</v>
      </c>
      <c r="IR107" s="12">
        <f t="shared" si="47"/>
        <v>4</v>
      </c>
      <c r="IS107" s="11" t="s">
        <v>622</v>
      </c>
      <c r="IT107" s="11" t="s">
        <v>320</v>
      </c>
      <c r="IU107" s="11" t="s">
        <v>320</v>
      </c>
      <c r="IV107" s="11" t="s">
        <v>320</v>
      </c>
      <c r="IW107" s="11" t="str">
        <f t="shared" si="48"/>
        <v>4. Transformative</v>
      </c>
      <c r="IX107" s="12">
        <f t="shared" si="49"/>
        <v>3</v>
      </c>
      <c r="IY107" s="11" t="s">
        <v>419</v>
      </c>
      <c r="IZ107" s="11" t="s">
        <v>527</v>
      </c>
      <c r="JA107" s="11">
        <v>4</v>
      </c>
      <c r="JB107" s="11" t="s">
        <v>687</v>
      </c>
      <c r="JC107" s="11" t="s">
        <v>433</v>
      </c>
      <c r="JE107" s="11" t="s">
        <v>365</v>
      </c>
      <c r="JF107" s="11" t="s">
        <v>2204</v>
      </c>
      <c r="JG107" s="11" t="s">
        <v>2205</v>
      </c>
      <c r="JH107" s="11" t="s">
        <v>2189</v>
      </c>
      <c r="JI107" s="11" t="s">
        <v>2190</v>
      </c>
      <c r="JK107" s="11" t="s">
        <v>2206</v>
      </c>
      <c r="JL107" s="11" t="s">
        <v>2207</v>
      </c>
      <c r="JP107" s="15">
        <f t="shared" si="50"/>
        <v>1379</v>
      </c>
      <c r="JQ107" s="15">
        <f t="shared" si="51"/>
        <v>5654</v>
      </c>
      <c r="JR107" s="279">
        <f t="shared" si="52"/>
        <v>4.1000725163161711</v>
      </c>
      <c r="JS107" s="17">
        <f t="shared" si="53"/>
        <v>0.52646845540246556</v>
      </c>
      <c r="JT107" s="18">
        <f t="shared" si="54"/>
        <v>0.51008135833038559</v>
      </c>
      <c r="JU107" s="280">
        <f t="shared" si="55"/>
        <v>726</v>
      </c>
      <c r="JV107" s="280">
        <f t="shared" si="56"/>
        <v>2884</v>
      </c>
      <c r="JW107" s="319" t="str">
        <f t="shared" si="57"/>
        <v/>
      </c>
      <c r="JX107" s="15">
        <f t="shared" si="58"/>
        <v>0</v>
      </c>
      <c r="JY107" s="15">
        <f t="shared" si="59"/>
        <v>0</v>
      </c>
      <c r="JZ107" s="19" t="str">
        <f t="shared" si="60"/>
        <v/>
      </c>
      <c r="KA107" s="52">
        <f t="shared" si="61"/>
        <v>1</v>
      </c>
      <c r="KB107" s="15">
        <f t="shared" si="62"/>
        <v>1379</v>
      </c>
      <c r="KC107" s="15">
        <f t="shared" si="63"/>
        <v>5654</v>
      </c>
      <c r="KD107" s="20">
        <f t="shared" si="64"/>
        <v>4.1000725163161711</v>
      </c>
      <c r="KE107" s="52" t="str">
        <f t="shared" si="65"/>
        <v/>
      </c>
      <c r="KF107" s="15">
        <f t="shared" si="66"/>
        <v>0</v>
      </c>
      <c r="KG107" s="15">
        <f t="shared" si="67"/>
        <v>0</v>
      </c>
      <c r="KH107" s="21" t="str">
        <f t="shared" si="68"/>
        <v/>
      </c>
      <c r="KI107" s="52" t="str">
        <f t="shared" si="69"/>
        <v/>
      </c>
      <c r="KJ107" s="15">
        <f t="shared" si="70"/>
        <v>0</v>
      </c>
      <c r="KK107" s="15">
        <f t="shared" si="71"/>
        <v>0</v>
      </c>
      <c r="KL107" s="19" t="str">
        <f t="shared" si="72"/>
        <v/>
      </c>
      <c r="KM107" s="52">
        <f t="shared" si="73"/>
        <v>1</v>
      </c>
      <c r="KN107" s="22">
        <f t="shared" si="74"/>
        <v>373</v>
      </c>
      <c r="KO107" s="22">
        <f t="shared" si="75"/>
        <v>1529</v>
      </c>
      <c r="KP107" s="19">
        <f t="shared" si="76"/>
        <v>4.0991957104557644</v>
      </c>
      <c r="KQ107" s="11" t="str">
        <f t="shared" si="77"/>
        <v>4. Transformative</v>
      </c>
      <c r="KR107" s="11" t="str">
        <f t="shared" si="78"/>
        <v>2. Accommodating</v>
      </c>
      <c r="KS107" s="11" t="str">
        <f t="shared" si="79"/>
        <v>4. Transformative</v>
      </c>
      <c r="KT107" s="11" t="str">
        <f t="shared" si="80"/>
        <v>It tested new ways for fighting poverty and measured results of innovation</v>
      </c>
      <c r="KU107" s="11" t="str">
        <f t="shared" si="81"/>
        <v>Moderate advocacy</v>
      </c>
      <c r="KV107" s="11" t="str">
        <f t="shared" si="82"/>
        <v>It linked and worked with strategic alliances and partners to take tested and effective solutions to scale</v>
      </c>
      <c r="KW107" s="11" t="str">
        <f t="shared" si="83"/>
        <v>Cambodia - Enhancing adaptive capacity of women and ethnic minority smallholder farmers through improved agro-climate information System in South-East Asia (ACIS project)</v>
      </c>
      <c r="KX107" s="11" t="str">
        <f t="shared" si="84"/>
        <v>Enhancing adaptive capacity of women and ethnic minority smallholder farmers through improved agro-climate information System in South-East Asia (ACIS project)</v>
      </c>
      <c r="KY107" s="11" t="str">
        <f t="shared" si="85"/>
        <v>Cambodia</v>
      </c>
      <c r="KZ107" s="287">
        <v>107</v>
      </c>
    </row>
    <row r="108" spans="1:312" x14ac:dyDescent="0.3">
      <c r="A108" s="282" t="s">
        <v>2092</v>
      </c>
      <c r="B108" s="282" t="s">
        <v>306</v>
      </c>
      <c r="C108" s="282">
        <v>2827</v>
      </c>
      <c r="D108" s="282" t="s">
        <v>2246</v>
      </c>
      <c r="E108" s="24" t="str">
        <f t="shared" si="43"/>
        <v>Cambodia</v>
      </c>
      <c r="F108" s="282" t="s">
        <v>2247</v>
      </c>
      <c r="G108" s="282" t="s">
        <v>488</v>
      </c>
      <c r="H108" s="282" t="s">
        <v>489</v>
      </c>
      <c r="I108" s="282" t="s">
        <v>384</v>
      </c>
      <c r="J108" s="278" t="s">
        <v>2248</v>
      </c>
      <c r="K108" s="282"/>
      <c r="L108" s="282"/>
      <c r="M108" s="282"/>
      <c r="N108" s="282"/>
      <c r="O108" s="282"/>
      <c r="P108" s="282"/>
      <c r="Q108" s="282"/>
      <c r="R108" s="282"/>
      <c r="S108" s="282"/>
      <c r="T108" s="282"/>
      <c r="U108" s="282"/>
      <c r="V108" s="282"/>
      <c r="W108" s="282"/>
      <c r="X108" s="282"/>
      <c r="Y108" s="282"/>
      <c r="Z108" s="282"/>
      <c r="AA108" s="282"/>
      <c r="AB108" s="282"/>
      <c r="AC108" s="282"/>
      <c r="AD108" s="282"/>
      <c r="AE108" s="282"/>
      <c r="AF108" s="282"/>
      <c r="AG108" s="282"/>
      <c r="AH108" s="282"/>
      <c r="AI108" s="282"/>
      <c r="AJ108" s="282"/>
      <c r="AK108" s="282"/>
      <c r="AL108" s="282"/>
      <c r="AM108" s="282"/>
      <c r="AN108" s="282"/>
      <c r="AO108" s="282"/>
      <c r="AP108" s="282"/>
      <c r="AQ108" s="282"/>
      <c r="AR108" s="282"/>
      <c r="AS108" s="282"/>
      <c r="AT108" s="282"/>
      <c r="AU108" s="282"/>
      <c r="AV108" s="282"/>
      <c r="AW108" s="282"/>
      <c r="AX108" s="282"/>
      <c r="AY108" s="282"/>
      <c r="AZ108" s="282"/>
      <c r="BA108" s="282"/>
      <c r="BB108" s="282"/>
      <c r="BC108" s="282"/>
      <c r="BD108" s="283">
        <v>42491</v>
      </c>
      <c r="BE108" s="283">
        <v>43585</v>
      </c>
      <c r="BF108" s="283"/>
      <c r="BG108" s="283" t="s">
        <v>490</v>
      </c>
      <c r="BH108" s="284">
        <v>938542.05</v>
      </c>
      <c r="BI108" s="282" t="s">
        <v>2097</v>
      </c>
      <c r="BJ108" s="282" t="s">
        <v>2098</v>
      </c>
      <c r="BK108" s="282" t="s">
        <v>2099</v>
      </c>
      <c r="BL108" s="282" t="s">
        <v>2100</v>
      </c>
      <c r="BM108" s="282" t="s">
        <v>2101</v>
      </c>
      <c r="BN108" s="282" t="s">
        <v>2102</v>
      </c>
      <c r="BO108" s="12" t="s">
        <v>319</v>
      </c>
      <c r="BP108" s="12" t="s">
        <v>320</v>
      </c>
      <c r="BQ108" s="12" t="s">
        <v>319</v>
      </c>
      <c r="BR108" s="282" t="s">
        <v>2249</v>
      </c>
      <c r="BS108" s="282" t="s">
        <v>357</v>
      </c>
      <c r="BT108" s="282" t="s">
        <v>2250</v>
      </c>
      <c r="BU108" s="282" t="s">
        <v>2251</v>
      </c>
      <c r="BV108" s="284">
        <v>27000</v>
      </c>
      <c r="BW108" s="284">
        <v>0</v>
      </c>
      <c r="BX108" s="284">
        <v>27000</v>
      </c>
      <c r="BY108" s="284">
        <v>96000</v>
      </c>
      <c r="BZ108" s="284">
        <v>2000</v>
      </c>
      <c r="CA108" s="284">
        <v>98000</v>
      </c>
      <c r="CB108" s="285" t="s">
        <v>2252</v>
      </c>
      <c r="CC108" s="285"/>
      <c r="CD108" s="284"/>
      <c r="CE108" s="284"/>
      <c r="CF108" s="284"/>
      <c r="CG108" s="284"/>
      <c r="CH108" s="284"/>
      <c r="CI108" s="284"/>
      <c r="CJ108" s="282"/>
      <c r="CK108" s="284"/>
      <c r="CL108" s="286"/>
      <c r="CM108" s="284"/>
      <c r="CN108" s="287"/>
      <c r="CO108" s="284"/>
      <c r="CP108" s="286"/>
      <c r="CQ108" s="284"/>
      <c r="CR108" s="282"/>
      <c r="CS108" s="284"/>
      <c r="CT108" s="286"/>
      <c r="CU108" s="284"/>
      <c r="CV108" s="282"/>
      <c r="CW108" s="284"/>
      <c r="CX108" s="286"/>
      <c r="CY108" s="284"/>
      <c r="CZ108" s="282"/>
      <c r="DA108" s="284"/>
      <c r="DB108" s="286"/>
      <c r="DC108" s="284"/>
      <c r="DD108" s="287"/>
      <c r="DE108" s="284"/>
      <c r="DF108" s="286"/>
      <c r="DG108" s="284"/>
      <c r="DH108" s="282"/>
      <c r="DI108" s="284"/>
      <c r="DJ108" s="286"/>
      <c r="DK108" s="284"/>
      <c r="DL108" s="282"/>
      <c r="DM108" s="284"/>
      <c r="DN108" s="286"/>
      <c r="DO108" s="284"/>
      <c r="DP108" s="282"/>
      <c r="DQ108" s="284"/>
      <c r="DR108" s="286"/>
      <c r="DS108" s="284"/>
      <c r="DT108" s="282"/>
      <c r="DU108" s="284"/>
      <c r="DV108" s="286"/>
      <c r="DW108" s="284"/>
      <c r="DX108" s="282"/>
      <c r="DY108" s="284"/>
      <c r="DZ108" s="286"/>
      <c r="EA108" s="284"/>
      <c r="EB108" s="282"/>
      <c r="EC108" s="284"/>
      <c r="ED108" s="286"/>
      <c r="EE108" s="284"/>
      <c r="EF108" s="285"/>
      <c r="EG108" s="287"/>
      <c r="EH108" s="284"/>
      <c r="EI108" s="286"/>
      <c r="EJ108" s="284"/>
      <c r="EK108" s="284">
        <v>3264</v>
      </c>
      <c r="EL108" s="284">
        <v>0</v>
      </c>
      <c r="EM108" s="284">
        <v>3264</v>
      </c>
      <c r="EN108" s="284">
        <v>9500</v>
      </c>
      <c r="EO108" s="284">
        <v>456</v>
      </c>
      <c r="EP108" s="284">
        <v>9956</v>
      </c>
      <c r="EQ108" s="282"/>
      <c r="ER108" s="284"/>
      <c r="ES108" s="286"/>
      <c r="ET108" s="284"/>
      <c r="EU108" s="282"/>
      <c r="EV108" s="284"/>
      <c r="EW108" s="286"/>
      <c r="EX108" s="284"/>
      <c r="EY108" s="282"/>
      <c r="EZ108" s="284"/>
      <c r="FA108" s="286"/>
      <c r="FB108" s="284"/>
      <c r="FC108" s="282"/>
      <c r="FD108" s="284"/>
      <c r="FE108" s="286"/>
      <c r="FF108" s="284"/>
      <c r="FG108" s="282"/>
      <c r="FH108" s="284"/>
      <c r="FI108" s="286"/>
      <c r="FJ108" s="284"/>
      <c r="FK108" s="282"/>
      <c r="FL108" s="284"/>
      <c r="FM108" s="286"/>
      <c r="FN108" s="284"/>
      <c r="FO108" s="289" t="s">
        <v>320</v>
      </c>
      <c r="FP108" s="290">
        <v>3264</v>
      </c>
      <c r="FQ108" s="291">
        <v>1</v>
      </c>
      <c r="FR108" s="290">
        <v>9956</v>
      </c>
      <c r="FS108" s="282"/>
      <c r="FT108" s="284"/>
      <c r="FU108" s="286"/>
      <c r="FV108" s="284"/>
      <c r="FW108" s="282"/>
      <c r="FX108" s="284"/>
      <c r="FY108" s="286"/>
      <c r="FZ108" s="284"/>
      <c r="GA108" s="282"/>
      <c r="GB108" s="284"/>
      <c r="GC108" s="286"/>
      <c r="GD108" s="284"/>
      <c r="GE108" s="282"/>
      <c r="GF108" s="284"/>
      <c r="GG108" s="286"/>
      <c r="GH108" s="284"/>
      <c r="GI108" s="282"/>
      <c r="GJ108" s="284"/>
      <c r="GK108" s="286"/>
      <c r="GL108" s="284"/>
      <c r="GM108" s="282"/>
      <c r="GN108" s="284"/>
      <c r="GO108" s="286"/>
      <c r="GP108" s="284"/>
      <c r="GQ108" s="282" t="s">
        <v>320</v>
      </c>
      <c r="GR108" s="284">
        <v>3264</v>
      </c>
      <c r="GS108" s="286">
        <v>1</v>
      </c>
      <c r="GT108" s="284">
        <v>9956</v>
      </c>
      <c r="GU108" s="282"/>
      <c r="GV108" s="284"/>
      <c r="GW108" s="286"/>
      <c r="GX108" s="284"/>
      <c r="GY108" s="282"/>
      <c r="GZ108" s="284"/>
      <c r="HA108" s="286"/>
      <c r="HB108" s="284"/>
      <c r="HC108" s="282"/>
      <c r="HD108" s="282"/>
      <c r="HE108" s="284"/>
      <c r="HF108" s="286"/>
      <c r="HG108" s="284"/>
      <c r="HH108" s="282" t="s">
        <v>320</v>
      </c>
      <c r="HI108" s="282" t="s">
        <v>522</v>
      </c>
      <c r="HJ108" s="282">
        <v>2016</v>
      </c>
      <c r="HK108" s="282" t="s">
        <v>320</v>
      </c>
      <c r="HL108" s="282" t="s">
        <v>319</v>
      </c>
      <c r="HM108" s="282"/>
      <c r="HN108" s="282"/>
      <c r="HO108" s="282" t="s">
        <v>2253</v>
      </c>
      <c r="HP108" s="282" t="s">
        <v>330</v>
      </c>
      <c r="HQ108" s="282" t="s">
        <v>319</v>
      </c>
      <c r="HR108" s="282" t="s">
        <v>319</v>
      </c>
      <c r="HS108" s="282" t="s">
        <v>320</v>
      </c>
      <c r="HT108" s="282" t="s">
        <v>320</v>
      </c>
      <c r="HU108" s="282" t="s">
        <v>320</v>
      </c>
      <c r="HV108" s="282" t="s">
        <v>319</v>
      </c>
      <c r="HW108" s="282" t="s">
        <v>320</v>
      </c>
      <c r="HX108" s="282" t="s">
        <v>319</v>
      </c>
      <c r="HY108" s="282"/>
      <c r="HZ108" s="282" t="s">
        <v>331</v>
      </c>
      <c r="IA108" s="282" t="s">
        <v>2254</v>
      </c>
      <c r="IB108" s="282" t="s">
        <v>396</v>
      </c>
      <c r="IC108" s="282" t="s">
        <v>2255</v>
      </c>
      <c r="ID108" s="282" t="s">
        <v>334</v>
      </c>
      <c r="IE108" s="282" t="s">
        <v>335</v>
      </c>
      <c r="IF108" s="282" t="s">
        <v>320</v>
      </c>
      <c r="IG108" s="282" t="s">
        <v>320</v>
      </c>
      <c r="IH108" s="282" t="s">
        <v>320</v>
      </c>
      <c r="II108" s="282" t="s">
        <v>320</v>
      </c>
      <c r="IJ108" s="12" t="str">
        <f t="shared" si="44"/>
        <v>2. Sensitive</v>
      </c>
      <c r="IK108" s="287">
        <f t="shared" si="45"/>
        <v>4</v>
      </c>
      <c r="IL108" s="282" t="s">
        <v>336</v>
      </c>
      <c r="IM108" s="282" t="s">
        <v>320</v>
      </c>
      <c r="IN108" s="282" t="s">
        <v>320</v>
      </c>
      <c r="IO108" s="282" t="s">
        <v>320</v>
      </c>
      <c r="IP108" s="282" t="s">
        <v>320</v>
      </c>
      <c r="IQ108" s="287" t="str">
        <f t="shared" si="46"/>
        <v>2. Accommodating</v>
      </c>
      <c r="IR108" s="287">
        <f t="shared" si="47"/>
        <v>4</v>
      </c>
      <c r="IS108" s="282" t="s">
        <v>337</v>
      </c>
      <c r="IT108" s="282" t="s">
        <v>320</v>
      </c>
      <c r="IU108" s="282" t="s">
        <v>320</v>
      </c>
      <c r="IV108" s="282" t="s">
        <v>319</v>
      </c>
      <c r="IW108" s="11" t="str">
        <f t="shared" si="48"/>
        <v>1. Neutral</v>
      </c>
      <c r="IX108" s="287">
        <f t="shared" si="49"/>
        <v>2</v>
      </c>
      <c r="IY108" s="282" t="s">
        <v>338</v>
      </c>
      <c r="IZ108" s="282" t="s">
        <v>432</v>
      </c>
      <c r="JA108" s="282">
        <v>2</v>
      </c>
      <c r="JB108" s="282" t="s">
        <v>687</v>
      </c>
      <c r="JC108" s="282" t="s">
        <v>623</v>
      </c>
      <c r="JD108" s="282"/>
      <c r="JE108" s="282" t="s">
        <v>420</v>
      </c>
      <c r="JF108" s="282"/>
      <c r="JG108" s="282" t="s">
        <v>2256</v>
      </c>
      <c r="JH108" s="282" t="s">
        <v>2257</v>
      </c>
      <c r="JI108" s="282" t="s">
        <v>2258</v>
      </c>
      <c r="JJ108" s="282"/>
      <c r="JK108" s="282" t="s">
        <v>2259</v>
      </c>
      <c r="JL108" s="282" t="s">
        <v>2260</v>
      </c>
      <c r="JM108" s="282" t="s">
        <v>2261</v>
      </c>
      <c r="JN108" s="282" t="s">
        <v>2262</v>
      </c>
      <c r="JO108" s="282" t="s">
        <v>2263</v>
      </c>
      <c r="JP108" s="15">
        <f t="shared" si="50"/>
        <v>3264</v>
      </c>
      <c r="JQ108" s="15">
        <f t="shared" si="51"/>
        <v>9956</v>
      </c>
      <c r="JR108" s="279">
        <f t="shared" si="52"/>
        <v>3.0502450980392157</v>
      </c>
      <c r="JS108" s="17">
        <f t="shared" si="53"/>
        <v>1</v>
      </c>
      <c r="JT108" s="18">
        <f t="shared" si="54"/>
        <v>0.95419847328244278</v>
      </c>
      <c r="JU108" s="280">
        <f t="shared" si="55"/>
        <v>3264</v>
      </c>
      <c r="JV108" s="280">
        <f t="shared" si="56"/>
        <v>9500</v>
      </c>
      <c r="JW108" s="319" t="str">
        <f t="shared" si="57"/>
        <v/>
      </c>
      <c r="JX108" s="15">
        <f t="shared" si="58"/>
        <v>0</v>
      </c>
      <c r="JY108" s="15">
        <f t="shared" si="59"/>
        <v>0</v>
      </c>
      <c r="JZ108" s="19" t="str">
        <f t="shared" si="60"/>
        <v/>
      </c>
      <c r="KA108" s="52">
        <f t="shared" si="61"/>
        <v>1</v>
      </c>
      <c r="KB108" s="15">
        <f t="shared" si="62"/>
        <v>3264</v>
      </c>
      <c r="KC108" s="15">
        <f t="shared" si="63"/>
        <v>9956</v>
      </c>
      <c r="KD108" s="20">
        <f t="shared" si="64"/>
        <v>3.0502450980392157</v>
      </c>
      <c r="KE108" s="52">
        <f t="shared" si="65"/>
        <v>1</v>
      </c>
      <c r="KF108" s="15">
        <f t="shared" si="66"/>
        <v>3264</v>
      </c>
      <c r="KG108" s="15">
        <f t="shared" si="67"/>
        <v>9956</v>
      </c>
      <c r="KH108" s="21">
        <f t="shared" si="68"/>
        <v>3.0502450980392157</v>
      </c>
      <c r="KI108" s="52" t="str">
        <f t="shared" si="69"/>
        <v/>
      </c>
      <c r="KJ108" s="15">
        <f t="shared" si="70"/>
        <v>0</v>
      </c>
      <c r="KK108" s="15">
        <f t="shared" si="71"/>
        <v>0</v>
      </c>
      <c r="KL108" s="19" t="str">
        <f t="shared" si="72"/>
        <v/>
      </c>
      <c r="KM108" s="52" t="str">
        <f t="shared" si="73"/>
        <v/>
      </c>
      <c r="KN108" s="22">
        <f t="shared" si="74"/>
        <v>0</v>
      </c>
      <c r="KO108" s="22">
        <f t="shared" si="75"/>
        <v>0</v>
      </c>
      <c r="KP108" s="19" t="str">
        <f t="shared" si="76"/>
        <v/>
      </c>
      <c r="KQ108" s="11" t="str">
        <f t="shared" si="77"/>
        <v>2. Sensitive</v>
      </c>
      <c r="KR108" s="11" t="str">
        <f t="shared" si="78"/>
        <v>2. Accommodating</v>
      </c>
      <c r="KS108" s="11" t="str">
        <f t="shared" si="79"/>
        <v>1. Neutral</v>
      </c>
      <c r="KT108" s="11" t="str">
        <f t="shared" si="80"/>
        <v>It tested new ways for fighting poverty and measured results of innovation</v>
      </c>
      <c r="KU108" s="11" t="str">
        <f t="shared" si="81"/>
        <v>Moderate advocacy</v>
      </c>
      <c r="KV108" s="11" t="str">
        <f t="shared" si="82"/>
        <v>It linked and worked with strategic alliances and partners to take tested and effective solutions to scale</v>
      </c>
      <c r="KW108" s="11" t="str">
        <f t="shared" si="83"/>
        <v>Cambodia - Healthy Women Healthy Workplace (HWHW)</v>
      </c>
      <c r="KX108" s="11" t="str">
        <f t="shared" si="84"/>
        <v>Healthy Women Healthy Workplace (HWHW)</v>
      </c>
      <c r="KY108" s="11" t="str">
        <f t="shared" si="85"/>
        <v>Cambodia</v>
      </c>
      <c r="KZ108" s="12">
        <v>108</v>
      </c>
    </row>
    <row r="109" spans="1:312" x14ac:dyDescent="0.3">
      <c r="A109" s="11" t="s">
        <v>2092</v>
      </c>
      <c r="B109" s="11" t="s">
        <v>306</v>
      </c>
      <c r="C109" s="11">
        <v>2811</v>
      </c>
      <c r="D109" s="11" t="s">
        <v>2208</v>
      </c>
      <c r="E109" s="24" t="str">
        <f t="shared" si="43"/>
        <v>Cambodia</v>
      </c>
      <c r="F109" s="11" t="s">
        <v>2209</v>
      </c>
      <c r="G109" s="11" t="s">
        <v>1738</v>
      </c>
      <c r="H109" s="11" t="s">
        <v>380</v>
      </c>
      <c r="I109" s="11" t="s">
        <v>517</v>
      </c>
      <c r="J109" s="278" t="s">
        <v>14578</v>
      </c>
      <c r="BD109" s="23">
        <v>42299</v>
      </c>
      <c r="BE109" s="23">
        <v>43334</v>
      </c>
      <c r="BG109" s="11" t="s">
        <v>312</v>
      </c>
      <c r="BH109" s="22">
        <v>2512800</v>
      </c>
      <c r="BI109" s="11" t="s">
        <v>2097</v>
      </c>
      <c r="BJ109" s="11" t="s">
        <v>2098</v>
      </c>
      <c r="BK109" s="11" t="s">
        <v>2099</v>
      </c>
      <c r="BL109" s="11" t="s">
        <v>2100</v>
      </c>
      <c r="BM109" s="11" t="s">
        <v>2101</v>
      </c>
      <c r="BN109" s="11" t="s">
        <v>2102</v>
      </c>
      <c r="BO109" s="11" t="s">
        <v>319</v>
      </c>
      <c r="BP109" s="11" t="s">
        <v>320</v>
      </c>
      <c r="BQ109" s="11" t="s">
        <v>319</v>
      </c>
      <c r="BR109" s="11" t="s">
        <v>2210</v>
      </c>
      <c r="BS109" s="11" t="s">
        <v>357</v>
      </c>
      <c r="BT109" s="11" t="s">
        <v>2211</v>
      </c>
      <c r="BU109" s="11" t="s">
        <v>2212</v>
      </c>
      <c r="BV109" s="22">
        <v>14250</v>
      </c>
      <c r="BW109" s="22">
        <v>14250</v>
      </c>
      <c r="BX109" s="22">
        <v>28500</v>
      </c>
      <c r="BY109" s="22">
        <v>465049</v>
      </c>
      <c r="BZ109" s="22">
        <v>451067</v>
      </c>
      <c r="CA109" s="22">
        <v>916116</v>
      </c>
      <c r="CB109" s="15" t="s">
        <v>2213</v>
      </c>
      <c r="CL109" s="18"/>
      <c r="CP109" s="18"/>
      <c r="CT109" s="18"/>
      <c r="CX109" s="18"/>
      <c r="DB109" s="18"/>
      <c r="DF109" s="18"/>
      <c r="DJ109" s="18"/>
      <c r="DN109" s="18"/>
      <c r="DR109" s="18"/>
      <c r="DV109" s="18"/>
      <c r="DZ109" s="18"/>
      <c r="ED109" s="18"/>
      <c r="EI109" s="18"/>
      <c r="EK109" s="22">
        <v>12963</v>
      </c>
      <c r="EL109" s="22">
        <v>9429</v>
      </c>
      <c r="EM109" s="22">
        <v>22392</v>
      </c>
      <c r="EN109" s="22">
        <v>465049</v>
      </c>
      <c r="EO109" s="22">
        <v>451067</v>
      </c>
      <c r="EP109" s="22">
        <v>916116</v>
      </c>
      <c r="ES109" s="18"/>
      <c r="EW109" s="18"/>
      <c r="FA109" s="18"/>
      <c r="FE109" s="18"/>
      <c r="FI109" s="18"/>
      <c r="FK109" s="12" t="s">
        <v>320</v>
      </c>
      <c r="FL109" s="22">
        <v>22392</v>
      </c>
      <c r="FM109" s="18">
        <v>0.57999999999999996</v>
      </c>
      <c r="FN109" s="22">
        <v>916116</v>
      </c>
      <c r="FQ109" s="18"/>
      <c r="FU109" s="18"/>
      <c r="FY109" s="18"/>
      <c r="GA109" s="11" t="s">
        <v>320</v>
      </c>
      <c r="GB109" s="22">
        <v>22392</v>
      </c>
      <c r="GC109" s="18">
        <v>0.57999999999999996</v>
      </c>
      <c r="GD109" s="22">
        <v>916116</v>
      </c>
      <c r="GG109" s="18"/>
      <c r="GK109" s="18"/>
      <c r="GM109" s="11" t="s">
        <v>320</v>
      </c>
      <c r="GN109" s="22">
        <v>22392</v>
      </c>
      <c r="GO109" s="18">
        <v>0.57999999999999996</v>
      </c>
      <c r="GP109" s="22">
        <v>916116</v>
      </c>
      <c r="GS109" s="18"/>
      <c r="GW109" s="18"/>
      <c r="HA109" s="18"/>
      <c r="HF109" s="18"/>
      <c r="HH109" s="11" t="s">
        <v>320</v>
      </c>
      <c r="HI109" s="11" t="s">
        <v>544</v>
      </c>
      <c r="HJ109" s="11">
        <v>2017</v>
      </c>
      <c r="HK109" s="11" t="s">
        <v>320</v>
      </c>
      <c r="HL109" s="11" t="s">
        <v>319</v>
      </c>
      <c r="HO109" s="11" t="s">
        <v>2214</v>
      </c>
      <c r="HP109" s="11" t="s">
        <v>330</v>
      </c>
      <c r="HQ109" s="11" t="s">
        <v>320</v>
      </c>
      <c r="HR109" s="11" t="s">
        <v>319</v>
      </c>
      <c r="HS109" s="11" t="s">
        <v>319</v>
      </c>
      <c r="HT109" s="11" t="s">
        <v>320</v>
      </c>
      <c r="HU109" s="11" t="s">
        <v>320</v>
      </c>
      <c r="HV109" s="11" t="s">
        <v>319</v>
      </c>
      <c r="HW109" s="11" t="s">
        <v>320</v>
      </c>
      <c r="HX109" s="11" t="s">
        <v>319</v>
      </c>
      <c r="HZ109" s="11" t="s">
        <v>363</v>
      </c>
      <c r="IA109" s="11" t="s">
        <v>2215</v>
      </c>
      <c r="IB109" s="11" t="s">
        <v>396</v>
      </c>
      <c r="IC109" s="11" t="s">
        <v>2216</v>
      </c>
      <c r="ID109" s="11" t="s">
        <v>364</v>
      </c>
      <c r="IE109" s="11" t="s">
        <v>478</v>
      </c>
      <c r="IF109" s="11" t="s">
        <v>320</v>
      </c>
      <c r="IG109" s="11" t="s">
        <v>319</v>
      </c>
      <c r="IH109" s="11" t="s">
        <v>320</v>
      </c>
      <c r="II109" s="11" t="s">
        <v>320</v>
      </c>
      <c r="IJ109" s="12" t="str">
        <f t="shared" si="44"/>
        <v>3. Responsive</v>
      </c>
      <c r="IK109" s="12">
        <f t="shared" si="45"/>
        <v>3</v>
      </c>
      <c r="IL109" s="11" t="s">
        <v>621</v>
      </c>
      <c r="IM109" s="11" t="s">
        <v>320</v>
      </c>
      <c r="IN109" s="11" t="s">
        <v>320</v>
      </c>
      <c r="IO109" s="11" t="s">
        <v>320</v>
      </c>
      <c r="IP109" s="11" t="s">
        <v>320</v>
      </c>
      <c r="IQ109" s="12" t="str">
        <f t="shared" si="46"/>
        <v>4. Transformational</v>
      </c>
      <c r="IR109" s="12">
        <f t="shared" si="47"/>
        <v>4</v>
      </c>
      <c r="IS109" s="11" t="s">
        <v>456</v>
      </c>
      <c r="IT109" s="11" t="s">
        <v>320</v>
      </c>
      <c r="IU109" s="11" t="s">
        <v>320</v>
      </c>
      <c r="IV109" s="11" t="s">
        <v>320</v>
      </c>
      <c r="IW109" s="11" t="str">
        <f t="shared" si="48"/>
        <v>0. Harmful</v>
      </c>
      <c r="IX109" s="12">
        <f t="shared" si="49"/>
        <v>3</v>
      </c>
      <c r="IY109" s="11" t="s">
        <v>338</v>
      </c>
      <c r="IZ109" s="11" t="s">
        <v>527</v>
      </c>
      <c r="JA109" s="11">
        <v>30</v>
      </c>
      <c r="JB109" s="11" t="s">
        <v>623</v>
      </c>
      <c r="JC109" s="11" t="s">
        <v>433</v>
      </c>
      <c r="JD109" s="11" t="s">
        <v>687</v>
      </c>
      <c r="JE109" s="11" t="s">
        <v>340</v>
      </c>
      <c r="JF109" s="11" t="s">
        <v>2217</v>
      </c>
      <c r="JG109" s="11" t="s">
        <v>2218</v>
      </c>
      <c r="JH109" s="11" t="s">
        <v>2219</v>
      </c>
      <c r="JI109" s="11" t="s">
        <v>2220</v>
      </c>
      <c r="JJ109" s="11" t="s">
        <v>2221</v>
      </c>
      <c r="JK109" s="11" t="s">
        <v>2222</v>
      </c>
      <c r="JL109" s="11" t="s">
        <v>2223</v>
      </c>
      <c r="JM109" s="11" t="s">
        <v>2224</v>
      </c>
      <c r="JN109" s="11" t="s">
        <v>2225</v>
      </c>
      <c r="JO109" s="11" t="s">
        <v>2226</v>
      </c>
      <c r="JP109" s="15">
        <f t="shared" si="50"/>
        <v>22392</v>
      </c>
      <c r="JQ109" s="15">
        <f t="shared" si="51"/>
        <v>916116</v>
      </c>
      <c r="JR109" s="279">
        <f t="shared" si="52"/>
        <v>40.912647374062168</v>
      </c>
      <c r="JS109" s="17">
        <f t="shared" si="53"/>
        <v>0.57891211146838162</v>
      </c>
      <c r="JT109" s="18">
        <f t="shared" si="54"/>
        <v>0.50763112968226731</v>
      </c>
      <c r="JU109" s="280">
        <f t="shared" si="55"/>
        <v>12963</v>
      </c>
      <c r="JV109" s="280">
        <f t="shared" si="56"/>
        <v>465049</v>
      </c>
      <c r="JW109" s="319" t="str">
        <f t="shared" si="57"/>
        <v/>
      </c>
      <c r="JX109" s="15">
        <f t="shared" si="58"/>
        <v>0</v>
      </c>
      <c r="JY109" s="15">
        <f t="shared" si="59"/>
        <v>0</v>
      </c>
      <c r="JZ109" s="19" t="str">
        <f t="shared" si="60"/>
        <v/>
      </c>
      <c r="KA109" s="52" t="str">
        <f t="shared" si="61"/>
        <v/>
      </c>
      <c r="KB109" s="15">
        <f t="shared" si="62"/>
        <v>0</v>
      </c>
      <c r="KC109" s="15">
        <f t="shared" si="63"/>
        <v>0</v>
      </c>
      <c r="KD109" s="20" t="str">
        <f t="shared" si="64"/>
        <v/>
      </c>
      <c r="KE109" s="52" t="str">
        <f t="shared" si="65"/>
        <v/>
      </c>
      <c r="KF109" s="15">
        <f t="shared" si="66"/>
        <v>0</v>
      </c>
      <c r="KG109" s="15">
        <f t="shared" si="67"/>
        <v>0</v>
      </c>
      <c r="KH109" s="21" t="str">
        <f t="shared" si="68"/>
        <v/>
      </c>
      <c r="KI109" s="52" t="str">
        <f t="shared" si="69"/>
        <v/>
      </c>
      <c r="KJ109" s="15">
        <f t="shared" si="70"/>
        <v>0</v>
      </c>
      <c r="KK109" s="15">
        <f t="shared" si="71"/>
        <v>0</v>
      </c>
      <c r="KL109" s="19" t="str">
        <f t="shared" si="72"/>
        <v/>
      </c>
      <c r="KM109" s="52" t="str">
        <f t="shared" si="73"/>
        <v/>
      </c>
      <c r="KN109" s="22">
        <f t="shared" si="74"/>
        <v>0</v>
      </c>
      <c r="KO109" s="22">
        <f t="shared" si="75"/>
        <v>0</v>
      </c>
      <c r="KP109" s="19" t="str">
        <f t="shared" si="76"/>
        <v/>
      </c>
      <c r="KQ109" s="11" t="str">
        <f t="shared" si="77"/>
        <v>3. Responsive</v>
      </c>
      <c r="KR109" s="11" t="str">
        <f t="shared" si="78"/>
        <v>4. Transformational</v>
      </c>
      <c r="KS109" s="11" t="str">
        <f t="shared" si="79"/>
        <v>0. Harmful</v>
      </c>
      <c r="KT109" s="11" t="str">
        <f t="shared" si="80"/>
        <v>It did not develop any specific innovation</v>
      </c>
      <c r="KU109" s="11" t="str">
        <f t="shared" si="81"/>
        <v>Moderate advocacy</v>
      </c>
      <c r="KV109" s="11" t="str">
        <f t="shared" si="82"/>
        <v>It linked and worked with strategic alliances and partners to take tested and effective solutions to scale</v>
      </c>
      <c r="KW109" s="11" t="str">
        <f t="shared" si="83"/>
        <v>Cambodia - Implementation of Social Accountability Framework (ISAF)</v>
      </c>
      <c r="KX109" s="11" t="str">
        <f t="shared" si="84"/>
        <v>Implementation of Social Accountability Framework (ISAF)</v>
      </c>
      <c r="KY109" s="11" t="str">
        <f t="shared" si="85"/>
        <v>Cambodia</v>
      </c>
      <c r="KZ109" s="12">
        <v>109</v>
      </c>
    </row>
    <row r="110" spans="1:312" x14ac:dyDescent="0.3">
      <c r="A110" s="11" t="s">
        <v>2092</v>
      </c>
      <c r="B110" s="11" t="s">
        <v>306</v>
      </c>
      <c r="C110" s="11">
        <v>2826</v>
      </c>
      <c r="D110" s="11" t="s">
        <v>2264</v>
      </c>
      <c r="E110" s="24" t="str">
        <f t="shared" si="43"/>
        <v>Cambodia</v>
      </c>
      <c r="F110" s="11" t="s">
        <v>2265</v>
      </c>
      <c r="G110" s="11" t="s">
        <v>488</v>
      </c>
      <c r="H110" s="11" t="s">
        <v>489</v>
      </c>
      <c r="I110" s="11" t="s">
        <v>384</v>
      </c>
      <c r="J110" s="278" t="s">
        <v>2248</v>
      </c>
      <c r="K110" s="11" t="s">
        <v>2266</v>
      </c>
      <c r="L110" s="11" t="s">
        <v>488</v>
      </c>
      <c r="M110" s="11" t="s">
        <v>489</v>
      </c>
      <c r="N110" s="11" t="s">
        <v>384</v>
      </c>
      <c r="O110" s="281" t="s">
        <v>2248</v>
      </c>
      <c r="BD110" s="23">
        <v>42339</v>
      </c>
      <c r="BE110" s="23">
        <v>42704</v>
      </c>
      <c r="BF110" s="23">
        <v>43038</v>
      </c>
      <c r="BG110" s="11" t="s">
        <v>490</v>
      </c>
      <c r="BH110" s="22">
        <v>166770.48000000001</v>
      </c>
      <c r="BI110" s="11" t="s">
        <v>2097</v>
      </c>
      <c r="BJ110" s="11" t="s">
        <v>2098</v>
      </c>
      <c r="BK110" s="11" t="s">
        <v>2099</v>
      </c>
      <c r="BL110" s="11" t="s">
        <v>2100</v>
      </c>
      <c r="BM110" s="11" t="s">
        <v>2101</v>
      </c>
      <c r="BN110" s="11" t="s">
        <v>2102</v>
      </c>
      <c r="BO110" s="12" t="s">
        <v>319</v>
      </c>
      <c r="BP110" s="12" t="s">
        <v>320</v>
      </c>
      <c r="BQ110" s="12" t="s">
        <v>319</v>
      </c>
      <c r="BR110" s="11" t="s">
        <v>2267</v>
      </c>
      <c r="BS110" s="11" t="s">
        <v>357</v>
      </c>
      <c r="BT110" s="11" t="s">
        <v>2268</v>
      </c>
      <c r="BU110" s="11" t="s">
        <v>2269</v>
      </c>
      <c r="BV110" s="22">
        <v>6480</v>
      </c>
      <c r="BW110" s="22">
        <v>5520</v>
      </c>
      <c r="BX110" s="22">
        <v>12000</v>
      </c>
      <c r="BY110" s="22">
        <v>13230</v>
      </c>
      <c r="BZ110" s="22">
        <v>13770</v>
      </c>
      <c r="CA110" s="22">
        <v>27000</v>
      </c>
      <c r="CB110" s="15" t="s">
        <v>2270</v>
      </c>
      <c r="CL110" s="18"/>
      <c r="CP110" s="18"/>
      <c r="CT110" s="18"/>
      <c r="CX110" s="18"/>
      <c r="DB110" s="18"/>
      <c r="DF110" s="18"/>
      <c r="DJ110" s="18"/>
      <c r="DN110" s="18"/>
      <c r="DR110" s="18"/>
      <c r="DV110" s="18"/>
      <c r="DZ110" s="18"/>
      <c r="ED110" s="18"/>
      <c r="EI110" s="18"/>
      <c r="EK110" s="22">
        <v>11346</v>
      </c>
      <c r="EL110" s="22">
        <v>3162</v>
      </c>
      <c r="EM110" s="22">
        <v>14508</v>
      </c>
      <c r="EN110" s="22">
        <v>12407</v>
      </c>
      <c r="EO110" s="22">
        <v>12913</v>
      </c>
      <c r="EP110" s="22">
        <v>25320</v>
      </c>
      <c r="ES110" s="18"/>
      <c r="EW110" s="18"/>
      <c r="FA110" s="18"/>
      <c r="FE110" s="18"/>
      <c r="FI110" s="18"/>
      <c r="FM110" s="18"/>
      <c r="FQ110" s="18"/>
      <c r="FU110" s="18"/>
      <c r="FY110" s="18"/>
      <c r="GA110" s="11" t="s">
        <v>320</v>
      </c>
      <c r="GB110" s="22">
        <v>6874</v>
      </c>
      <c r="GC110" s="18">
        <v>0.54</v>
      </c>
      <c r="GD110" s="22">
        <v>0</v>
      </c>
      <c r="GG110" s="18"/>
      <c r="GK110" s="18"/>
      <c r="GO110" s="18"/>
      <c r="GQ110" s="12" t="s">
        <v>320</v>
      </c>
      <c r="GR110" s="22">
        <v>7634</v>
      </c>
      <c r="GS110" s="18">
        <v>1</v>
      </c>
      <c r="GT110" s="22">
        <v>25320</v>
      </c>
      <c r="GW110" s="18"/>
      <c r="HA110" s="18"/>
      <c r="HF110" s="18"/>
      <c r="HH110" s="11" t="s">
        <v>319</v>
      </c>
      <c r="HL110" s="11" t="s">
        <v>319</v>
      </c>
      <c r="HO110" s="11" t="s">
        <v>2253</v>
      </c>
      <c r="HP110" s="11" t="s">
        <v>330</v>
      </c>
      <c r="HQ110" s="11" t="s">
        <v>319</v>
      </c>
      <c r="HR110" s="11" t="s">
        <v>319</v>
      </c>
      <c r="HS110" s="11" t="s">
        <v>320</v>
      </c>
      <c r="HT110" s="11" t="s">
        <v>320</v>
      </c>
      <c r="HU110" s="11" t="s">
        <v>319</v>
      </c>
      <c r="HV110" s="11" t="s">
        <v>319</v>
      </c>
      <c r="HW110" s="11" t="s">
        <v>319</v>
      </c>
      <c r="HX110" s="11" t="s">
        <v>319</v>
      </c>
      <c r="HZ110" s="11" t="s">
        <v>363</v>
      </c>
      <c r="IB110" s="11" t="s">
        <v>333</v>
      </c>
      <c r="ID110" s="11" t="s">
        <v>364</v>
      </c>
      <c r="IE110" s="11" t="s">
        <v>335</v>
      </c>
      <c r="IF110" s="11" t="s">
        <v>320</v>
      </c>
      <c r="IG110" s="11" t="s">
        <v>320</v>
      </c>
      <c r="IH110" s="11" t="s">
        <v>320</v>
      </c>
      <c r="II110" s="11" t="s">
        <v>320</v>
      </c>
      <c r="IJ110" s="12" t="str">
        <f t="shared" si="44"/>
        <v>2. Sensitive</v>
      </c>
      <c r="IK110" s="12">
        <f t="shared" si="45"/>
        <v>4</v>
      </c>
      <c r="IL110" s="11" t="s">
        <v>336</v>
      </c>
      <c r="IM110" s="11" t="s">
        <v>320</v>
      </c>
      <c r="IN110" s="11" t="s">
        <v>320</v>
      </c>
      <c r="IO110" s="11" t="s">
        <v>320</v>
      </c>
      <c r="IP110" s="11" t="s">
        <v>320</v>
      </c>
      <c r="IQ110" s="12" t="str">
        <f t="shared" si="46"/>
        <v>2. Accommodating</v>
      </c>
      <c r="IR110" s="12">
        <f t="shared" si="47"/>
        <v>4</v>
      </c>
      <c r="IS110" s="11" t="s">
        <v>337</v>
      </c>
      <c r="IT110" s="11" t="s">
        <v>320</v>
      </c>
      <c r="IU110" s="11" t="s">
        <v>319</v>
      </c>
      <c r="IV110" s="11" t="s">
        <v>320</v>
      </c>
      <c r="IW110" s="11" t="str">
        <f t="shared" si="48"/>
        <v>1. Neutral</v>
      </c>
      <c r="IX110" s="12">
        <f t="shared" si="49"/>
        <v>2</v>
      </c>
      <c r="IY110" s="11" t="s">
        <v>338</v>
      </c>
      <c r="IZ110" s="11" t="s">
        <v>527</v>
      </c>
      <c r="JA110" s="11">
        <v>2</v>
      </c>
      <c r="JB110" s="11" t="s">
        <v>687</v>
      </c>
      <c r="JC110" s="11" t="s">
        <v>623</v>
      </c>
      <c r="JE110" s="11" t="s">
        <v>420</v>
      </c>
      <c r="JG110" s="11" t="s">
        <v>2271</v>
      </c>
      <c r="JH110" s="11" t="s">
        <v>2272</v>
      </c>
      <c r="JK110" s="11" t="s">
        <v>2273</v>
      </c>
      <c r="JN110" s="11" t="s">
        <v>2274</v>
      </c>
      <c r="JO110" s="11" t="s">
        <v>2275</v>
      </c>
      <c r="JP110" s="15">
        <f t="shared" si="50"/>
        <v>14508</v>
      </c>
      <c r="JQ110" s="15">
        <f t="shared" si="51"/>
        <v>25320</v>
      </c>
      <c r="JR110" s="279">
        <f t="shared" si="52"/>
        <v>1.7452440033085195</v>
      </c>
      <c r="JS110" s="17">
        <f t="shared" si="53"/>
        <v>0.78205128205128205</v>
      </c>
      <c r="JT110" s="18">
        <f t="shared" si="54"/>
        <v>0.4900078988941548</v>
      </c>
      <c r="JU110" s="280">
        <f t="shared" si="55"/>
        <v>11346</v>
      </c>
      <c r="JV110" s="280">
        <f t="shared" si="56"/>
        <v>12407</v>
      </c>
      <c r="JW110" s="319" t="str">
        <f t="shared" si="57"/>
        <v/>
      </c>
      <c r="JX110" s="15">
        <f t="shared" si="58"/>
        <v>0</v>
      </c>
      <c r="JY110" s="15">
        <f t="shared" si="59"/>
        <v>0</v>
      </c>
      <c r="JZ110" s="19" t="str">
        <f t="shared" si="60"/>
        <v/>
      </c>
      <c r="KA110" s="52" t="str">
        <f t="shared" si="61"/>
        <v/>
      </c>
      <c r="KB110" s="15">
        <f t="shared" si="62"/>
        <v>0</v>
      </c>
      <c r="KC110" s="15">
        <f t="shared" si="63"/>
        <v>0</v>
      </c>
      <c r="KD110" s="20" t="str">
        <f t="shared" si="64"/>
        <v/>
      </c>
      <c r="KE110" s="52">
        <f t="shared" si="65"/>
        <v>1</v>
      </c>
      <c r="KF110" s="15">
        <f t="shared" si="66"/>
        <v>7634</v>
      </c>
      <c r="KG110" s="15">
        <f t="shared" si="67"/>
        <v>25320</v>
      </c>
      <c r="KH110" s="21">
        <f t="shared" si="68"/>
        <v>3.3167408959916163</v>
      </c>
      <c r="KI110" s="52" t="str">
        <f t="shared" si="69"/>
        <v/>
      </c>
      <c r="KJ110" s="15">
        <f t="shared" si="70"/>
        <v>0</v>
      </c>
      <c r="KK110" s="15">
        <f t="shared" si="71"/>
        <v>0</v>
      </c>
      <c r="KL110" s="19" t="str">
        <f t="shared" si="72"/>
        <v/>
      </c>
      <c r="KM110" s="52" t="str">
        <f t="shared" si="73"/>
        <v/>
      </c>
      <c r="KN110" s="22">
        <f t="shared" si="74"/>
        <v>0</v>
      </c>
      <c r="KO110" s="22">
        <f t="shared" si="75"/>
        <v>0</v>
      </c>
      <c r="KP110" s="19" t="str">
        <f t="shared" si="76"/>
        <v/>
      </c>
      <c r="KQ110" s="11" t="str">
        <f t="shared" si="77"/>
        <v>2. Sensitive</v>
      </c>
      <c r="KR110" s="11" t="str">
        <f t="shared" si="78"/>
        <v>2. Accommodating</v>
      </c>
      <c r="KS110" s="11" t="str">
        <f t="shared" si="79"/>
        <v>1. Neutral</v>
      </c>
      <c r="KT110" s="11" t="str">
        <f t="shared" si="80"/>
        <v>It did not develop any specific innovation</v>
      </c>
      <c r="KU110" s="11" t="str">
        <f t="shared" si="81"/>
        <v>Moderate advocacy</v>
      </c>
      <c r="KV110" s="11" t="str">
        <f t="shared" si="82"/>
        <v>It did not take tested solutions to scale</v>
      </c>
      <c r="KW110" s="11" t="str">
        <f t="shared" si="83"/>
        <v>Cambodia - Improvement for Health Service Delivery in Remote and Marginalized Communities of Cambodia (GSK 20% REINVESTMENT INITITIATIVE ), and MCAT and sustainability (a new extention from Mar to Oct 2017)</v>
      </c>
      <c r="KX110" s="11" t="str">
        <f t="shared" si="84"/>
        <v>Improvement for Health Service Delivery in Remote and Marginalized Communities of Cambodia (GSK 20% REINVESTMENT INITITIATIVE ), and MCAT and sustainability (a new extention from Mar to Oct 2017)</v>
      </c>
      <c r="KY110" s="11" t="str">
        <f t="shared" si="85"/>
        <v>Cambodia</v>
      </c>
      <c r="KZ110" s="12">
        <v>110</v>
      </c>
    </row>
    <row r="111" spans="1:312" x14ac:dyDescent="0.3">
      <c r="A111" s="11" t="s">
        <v>2092</v>
      </c>
      <c r="B111" s="11" t="s">
        <v>306</v>
      </c>
      <c r="C111" s="11">
        <v>2817</v>
      </c>
      <c r="D111" s="11" t="s">
        <v>2383</v>
      </c>
      <c r="E111" s="24" t="str">
        <f t="shared" si="43"/>
        <v>Cambodia</v>
      </c>
      <c r="F111" s="11" t="s">
        <v>2384</v>
      </c>
      <c r="G111" s="11" t="s">
        <v>379</v>
      </c>
      <c r="H111" s="11" t="s">
        <v>383</v>
      </c>
      <c r="I111" s="11" t="s">
        <v>384</v>
      </c>
      <c r="J111" s="278" t="s">
        <v>10530</v>
      </c>
      <c r="K111" s="11" t="s">
        <v>2385</v>
      </c>
      <c r="L111" s="11" t="s">
        <v>379</v>
      </c>
      <c r="M111" s="11" t="s">
        <v>383</v>
      </c>
      <c r="N111" s="11" t="s">
        <v>384</v>
      </c>
      <c r="O111" s="11" t="s">
        <v>2096</v>
      </c>
      <c r="P111" s="11" t="s">
        <v>2386</v>
      </c>
      <c r="Q111" s="11" t="s">
        <v>379</v>
      </c>
      <c r="R111" s="11" t="s">
        <v>489</v>
      </c>
      <c r="S111" s="11" t="s">
        <v>384</v>
      </c>
      <c r="T111" s="11" t="s">
        <v>2387</v>
      </c>
      <c r="BD111" s="23">
        <v>42050</v>
      </c>
      <c r="BE111" s="23">
        <v>44012</v>
      </c>
      <c r="BG111" s="11" t="s">
        <v>350</v>
      </c>
      <c r="BH111" s="22">
        <v>1233057</v>
      </c>
      <c r="BI111" s="11" t="s">
        <v>2097</v>
      </c>
      <c r="BJ111" s="11" t="s">
        <v>2098</v>
      </c>
      <c r="BK111" s="11" t="s">
        <v>2099</v>
      </c>
      <c r="BL111" s="11" t="s">
        <v>2100</v>
      </c>
      <c r="BM111" s="11" t="s">
        <v>2101</v>
      </c>
      <c r="BN111" s="11" t="s">
        <v>2102</v>
      </c>
      <c r="BO111" s="12" t="s">
        <v>319</v>
      </c>
      <c r="BP111" s="12" t="s">
        <v>320</v>
      </c>
      <c r="BQ111" s="12" t="s">
        <v>319</v>
      </c>
      <c r="BR111" s="11" t="s">
        <v>2388</v>
      </c>
      <c r="BS111" s="11" t="s">
        <v>357</v>
      </c>
      <c r="BT111" s="11" t="s">
        <v>2389</v>
      </c>
      <c r="BU111" s="11" t="s">
        <v>2390</v>
      </c>
      <c r="BV111" s="22">
        <v>3847</v>
      </c>
      <c r="BW111" s="22">
        <v>4344</v>
      </c>
      <c r="BX111" s="22">
        <v>8190</v>
      </c>
      <c r="BY111" s="22">
        <v>16157</v>
      </c>
      <c r="BZ111" s="22">
        <v>18245</v>
      </c>
      <c r="CA111" s="22">
        <v>34402</v>
      </c>
      <c r="CB111" s="15" t="s">
        <v>2391</v>
      </c>
      <c r="CL111" s="18"/>
      <c r="CP111" s="18"/>
      <c r="CT111" s="18"/>
      <c r="CX111" s="18"/>
      <c r="DB111" s="18"/>
      <c r="DF111" s="18"/>
      <c r="DJ111" s="18"/>
      <c r="DN111" s="18"/>
      <c r="DR111" s="18"/>
      <c r="DV111" s="18"/>
      <c r="DZ111" s="18"/>
      <c r="ED111" s="18"/>
      <c r="EI111" s="18"/>
      <c r="EK111" s="22">
        <v>1521</v>
      </c>
      <c r="EL111" s="22">
        <v>1943</v>
      </c>
      <c r="EM111" s="22">
        <v>3464</v>
      </c>
      <c r="EN111" s="22">
        <v>0</v>
      </c>
      <c r="EO111" s="22">
        <v>0</v>
      </c>
      <c r="EP111" s="22">
        <v>0</v>
      </c>
      <c r="ES111" s="18"/>
      <c r="EW111" s="18"/>
      <c r="FA111" s="18"/>
      <c r="FE111" s="18"/>
      <c r="FI111" s="18"/>
      <c r="FK111" s="12" t="s">
        <v>320</v>
      </c>
      <c r="FL111" s="22">
        <v>3464</v>
      </c>
      <c r="FM111" s="18">
        <v>0.44</v>
      </c>
      <c r="FN111" s="22">
        <v>0</v>
      </c>
      <c r="FQ111" s="18"/>
      <c r="FU111" s="18"/>
      <c r="FW111" s="11" t="s">
        <v>320</v>
      </c>
      <c r="FX111" s="22">
        <v>3464</v>
      </c>
      <c r="FY111" s="18">
        <v>0.44</v>
      </c>
      <c r="FZ111" s="22">
        <v>0</v>
      </c>
      <c r="GC111" s="18"/>
      <c r="GG111" s="18"/>
      <c r="GK111" s="18"/>
      <c r="GO111" s="18"/>
      <c r="GQ111" s="12" t="s">
        <v>320</v>
      </c>
      <c r="GR111" s="22">
        <v>36</v>
      </c>
      <c r="GS111" s="18">
        <v>0.5</v>
      </c>
      <c r="GT111" s="22">
        <v>0</v>
      </c>
      <c r="GW111" s="18"/>
      <c r="GY111" s="11" t="s">
        <v>320</v>
      </c>
      <c r="GZ111" s="22">
        <v>1521</v>
      </c>
      <c r="HA111" s="18">
        <v>1</v>
      </c>
      <c r="HB111" s="22">
        <v>0</v>
      </c>
      <c r="HF111" s="18"/>
      <c r="HH111" s="11" t="s">
        <v>320</v>
      </c>
      <c r="HI111" s="11" t="s">
        <v>361</v>
      </c>
      <c r="HJ111" s="11">
        <v>2016</v>
      </c>
      <c r="HK111" s="11" t="s">
        <v>319</v>
      </c>
      <c r="HL111" s="11" t="s">
        <v>319</v>
      </c>
      <c r="HP111" s="11" t="s">
        <v>330</v>
      </c>
      <c r="HQ111" s="11" t="s">
        <v>319</v>
      </c>
      <c r="HR111" s="11" t="s">
        <v>319</v>
      </c>
      <c r="HS111" s="11" t="s">
        <v>320</v>
      </c>
      <c r="HT111" s="11" t="s">
        <v>320</v>
      </c>
      <c r="HU111" s="11" t="s">
        <v>320</v>
      </c>
      <c r="HV111" s="11" t="s">
        <v>319</v>
      </c>
      <c r="HW111" s="11" t="s">
        <v>319</v>
      </c>
      <c r="HX111" s="11" t="s">
        <v>319</v>
      </c>
      <c r="HZ111" s="11" t="s">
        <v>394</v>
      </c>
      <c r="IA111" s="11" t="s">
        <v>2392</v>
      </c>
      <c r="IB111" s="11" t="s">
        <v>333</v>
      </c>
      <c r="ID111" s="11" t="s">
        <v>334</v>
      </c>
      <c r="IE111" s="11" t="s">
        <v>478</v>
      </c>
      <c r="IF111" s="11" t="s">
        <v>320</v>
      </c>
      <c r="IG111" s="11" t="s">
        <v>320</v>
      </c>
      <c r="IH111" s="11" t="s">
        <v>320</v>
      </c>
      <c r="II111" s="11" t="s">
        <v>320</v>
      </c>
      <c r="IJ111" s="12" t="str">
        <f t="shared" si="44"/>
        <v>4. Transformative</v>
      </c>
      <c r="IK111" s="12">
        <f t="shared" si="45"/>
        <v>4</v>
      </c>
      <c r="IL111" s="11" t="s">
        <v>336</v>
      </c>
      <c r="IM111" s="11" t="s">
        <v>320</v>
      </c>
      <c r="IN111" s="11" t="s">
        <v>320</v>
      </c>
      <c r="IO111" s="11" t="s">
        <v>320</v>
      </c>
      <c r="IP111" s="11" t="s">
        <v>320</v>
      </c>
      <c r="IQ111" s="12" t="str">
        <f t="shared" si="46"/>
        <v>2. Accommodating</v>
      </c>
      <c r="IR111" s="12">
        <f t="shared" si="47"/>
        <v>4</v>
      </c>
      <c r="IS111" s="11" t="s">
        <v>456</v>
      </c>
      <c r="IT111" s="11" t="s">
        <v>320</v>
      </c>
      <c r="IU111" s="11" t="s">
        <v>319</v>
      </c>
      <c r="IV111" s="11" t="s">
        <v>319</v>
      </c>
      <c r="IW111" s="11" t="str">
        <f t="shared" si="48"/>
        <v>0. Harmful</v>
      </c>
      <c r="IX111" s="12">
        <f t="shared" si="49"/>
        <v>1</v>
      </c>
      <c r="IY111" s="11" t="s">
        <v>338</v>
      </c>
      <c r="IZ111" s="11" t="s">
        <v>432</v>
      </c>
      <c r="JA111" s="11">
        <v>2</v>
      </c>
      <c r="JB111" s="11" t="s">
        <v>687</v>
      </c>
      <c r="JC111" s="11" t="s">
        <v>384</v>
      </c>
      <c r="JE111" s="11" t="s">
        <v>420</v>
      </c>
      <c r="JG111" s="11" t="s">
        <v>2109</v>
      </c>
      <c r="JH111" s="11" t="s">
        <v>2393</v>
      </c>
      <c r="JK111" s="11" t="s">
        <v>2394</v>
      </c>
      <c r="JO111" s="11" t="s">
        <v>2114</v>
      </c>
      <c r="JP111" s="15">
        <f t="shared" si="50"/>
        <v>3464</v>
      </c>
      <c r="JQ111" s="15">
        <f t="shared" si="51"/>
        <v>0</v>
      </c>
      <c r="JR111" s="279">
        <f t="shared" si="52"/>
        <v>0</v>
      </c>
      <c r="JS111" s="17">
        <f t="shared" si="53"/>
        <v>0.43908775981524251</v>
      </c>
      <c r="JT111" s="18" t="str">
        <f t="shared" si="54"/>
        <v/>
      </c>
      <c r="JU111" s="280">
        <f t="shared" si="55"/>
        <v>1521</v>
      </c>
      <c r="JV111" s="280">
        <f t="shared" si="56"/>
        <v>0</v>
      </c>
      <c r="JW111" s="319" t="str">
        <f t="shared" si="57"/>
        <v/>
      </c>
      <c r="JX111" s="15">
        <f t="shared" si="58"/>
        <v>0</v>
      </c>
      <c r="JY111" s="15">
        <f t="shared" si="59"/>
        <v>0</v>
      </c>
      <c r="JZ111" s="19" t="str">
        <f t="shared" si="60"/>
        <v/>
      </c>
      <c r="KA111" s="52" t="str">
        <f t="shared" si="61"/>
        <v/>
      </c>
      <c r="KB111" s="15">
        <f t="shared" si="62"/>
        <v>0</v>
      </c>
      <c r="KC111" s="15">
        <f t="shared" si="63"/>
        <v>0</v>
      </c>
      <c r="KD111" s="20" t="str">
        <f t="shared" si="64"/>
        <v/>
      </c>
      <c r="KE111" s="52">
        <f t="shared" si="65"/>
        <v>1</v>
      </c>
      <c r="KF111" s="15">
        <f t="shared" si="66"/>
        <v>36</v>
      </c>
      <c r="KG111" s="15">
        <f t="shared" si="67"/>
        <v>0</v>
      </c>
      <c r="KH111" s="21">
        <f t="shared" si="68"/>
        <v>0</v>
      </c>
      <c r="KI111" s="52" t="str">
        <f t="shared" si="69"/>
        <v/>
      </c>
      <c r="KJ111" s="15">
        <f t="shared" si="70"/>
        <v>0</v>
      </c>
      <c r="KK111" s="15">
        <f t="shared" si="71"/>
        <v>0</v>
      </c>
      <c r="KL111" s="19" t="str">
        <f t="shared" si="72"/>
        <v/>
      </c>
      <c r="KM111" s="52">
        <f t="shared" si="73"/>
        <v>1</v>
      </c>
      <c r="KN111" s="22">
        <f t="shared" si="74"/>
        <v>1521</v>
      </c>
      <c r="KO111" s="22">
        <f t="shared" si="75"/>
        <v>0</v>
      </c>
      <c r="KP111" s="19">
        <f t="shared" si="76"/>
        <v>0</v>
      </c>
      <c r="KQ111" s="11" t="str">
        <f t="shared" si="77"/>
        <v>4. Transformative</v>
      </c>
      <c r="KR111" s="11" t="str">
        <f t="shared" si="78"/>
        <v>2. Accommodating</v>
      </c>
      <c r="KS111" s="11" t="str">
        <f t="shared" si="79"/>
        <v>0. Harmful</v>
      </c>
      <c r="KT111" s="11" t="str">
        <f t="shared" si="80"/>
        <v>It tested new ways for fighting poverty, but did not measure results of innovation</v>
      </c>
      <c r="KU111" s="11" t="str">
        <f t="shared" si="81"/>
        <v>Moderate advocacy</v>
      </c>
      <c r="KV111" s="11" t="str">
        <f t="shared" si="82"/>
        <v>It did not take tested solutions to scale</v>
      </c>
      <c r="KW111" s="11" t="str">
        <f t="shared" si="83"/>
        <v>Cambodia - Know &amp; Grow (2817), Microscopes Project (2816) and Team4Teach (new project)</v>
      </c>
      <c r="KX111" s="11" t="str">
        <f t="shared" si="84"/>
        <v>Know &amp; Grow (2817), Microscopes Project (2816) and Team4Teach (new project)</v>
      </c>
      <c r="KY111" s="11" t="str">
        <f t="shared" si="85"/>
        <v>Cambodia</v>
      </c>
      <c r="KZ111" s="287">
        <v>111</v>
      </c>
    </row>
    <row r="112" spans="1:312" x14ac:dyDescent="0.3">
      <c r="A112" s="11" t="s">
        <v>2092</v>
      </c>
      <c r="B112" s="11" t="s">
        <v>306</v>
      </c>
      <c r="C112" s="11">
        <v>2833</v>
      </c>
      <c r="D112" s="11" t="s">
        <v>2227</v>
      </c>
      <c r="E112" s="24" t="str">
        <f t="shared" si="43"/>
        <v>Cambodia</v>
      </c>
      <c r="F112" s="11" t="s">
        <v>2228</v>
      </c>
      <c r="G112" s="11" t="s">
        <v>605</v>
      </c>
      <c r="H112" s="11" t="s">
        <v>380</v>
      </c>
      <c r="I112" s="11" t="s">
        <v>517</v>
      </c>
      <c r="J112" s="278" t="s">
        <v>14578</v>
      </c>
      <c r="BD112" s="23">
        <v>42370</v>
      </c>
      <c r="BE112" s="23">
        <v>43464</v>
      </c>
      <c r="BG112" s="11" t="s">
        <v>350</v>
      </c>
      <c r="BI112" s="11" t="s">
        <v>2097</v>
      </c>
      <c r="BJ112" s="11" t="s">
        <v>2098</v>
      </c>
      <c r="BK112" s="11" t="s">
        <v>2099</v>
      </c>
      <c r="BL112" s="11" t="s">
        <v>2100</v>
      </c>
      <c r="BM112" s="11" t="s">
        <v>2101</v>
      </c>
      <c r="BN112" s="11" t="s">
        <v>2102</v>
      </c>
      <c r="BO112" s="12" t="s">
        <v>319</v>
      </c>
      <c r="BP112" s="12" t="s">
        <v>320</v>
      </c>
      <c r="BQ112" s="12" t="s">
        <v>319</v>
      </c>
      <c r="BR112" s="11" t="s">
        <v>2229</v>
      </c>
      <c r="BS112" s="11" t="s">
        <v>357</v>
      </c>
      <c r="BT112" s="11" t="s">
        <v>2230</v>
      </c>
      <c r="BU112" s="11" t="s">
        <v>2231</v>
      </c>
      <c r="BV112" s="22">
        <v>3000</v>
      </c>
      <c r="BW112" s="22">
        <v>300</v>
      </c>
      <c r="BX112" s="22">
        <v>3300</v>
      </c>
      <c r="BY112" s="22">
        <v>60000</v>
      </c>
      <c r="BZ112" s="22">
        <v>140000</v>
      </c>
      <c r="CA112" s="22">
        <v>200000</v>
      </c>
      <c r="CB112" s="15" t="s">
        <v>2232</v>
      </c>
      <c r="CL112" s="18"/>
      <c r="CP112" s="18"/>
      <c r="CT112" s="18"/>
      <c r="CX112" s="18"/>
      <c r="DB112" s="18"/>
      <c r="DF112" s="18"/>
      <c r="DJ112" s="18"/>
      <c r="DN112" s="18"/>
      <c r="DR112" s="18"/>
      <c r="DV112" s="18"/>
      <c r="DZ112" s="18"/>
      <c r="ED112" s="18"/>
      <c r="EI112" s="18"/>
      <c r="EK112" s="22">
        <v>1242</v>
      </c>
      <c r="EL112" s="22">
        <v>77</v>
      </c>
      <c r="EM112" s="22">
        <v>1319</v>
      </c>
      <c r="EN112" s="22">
        <v>2071</v>
      </c>
      <c r="EO112" s="22">
        <v>1600</v>
      </c>
      <c r="EP112" s="22">
        <v>3671</v>
      </c>
      <c r="ES112" s="18"/>
      <c r="EW112" s="18"/>
      <c r="FA112" s="18"/>
      <c r="FE112" s="18"/>
      <c r="FI112" s="18"/>
      <c r="FM112" s="18"/>
      <c r="FQ112" s="18"/>
      <c r="FU112" s="18"/>
      <c r="FW112" s="11" t="s">
        <v>320</v>
      </c>
      <c r="FX112" s="22">
        <v>573</v>
      </c>
      <c r="FY112" s="18">
        <v>0.88149999999999995</v>
      </c>
      <c r="FZ112" s="22">
        <v>3671</v>
      </c>
      <c r="GC112" s="18"/>
      <c r="GG112" s="18"/>
      <c r="GK112" s="18"/>
      <c r="GM112" s="11" t="s">
        <v>320</v>
      </c>
      <c r="GO112" s="18"/>
      <c r="GS112" s="18"/>
      <c r="GW112" s="18"/>
      <c r="GY112" s="11" t="s">
        <v>320</v>
      </c>
      <c r="GZ112" s="22">
        <v>501</v>
      </c>
      <c r="HA112" s="18">
        <v>0.85</v>
      </c>
      <c r="HB112" s="22">
        <v>3671</v>
      </c>
      <c r="HC112" s="11" t="s">
        <v>2233</v>
      </c>
      <c r="HD112" s="12" t="s">
        <v>320</v>
      </c>
      <c r="HE112" s="22">
        <v>245</v>
      </c>
      <c r="HF112" s="18">
        <v>1</v>
      </c>
      <c r="HG112" s="22">
        <v>3671</v>
      </c>
      <c r="HH112" s="11" t="s">
        <v>319</v>
      </c>
      <c r="HL112" s="11" t="s">
        <v>319</v>
      </c>
      <c r="HO112" s="11" t="s">
        <v>2234</v>
      </c>
      <c r="HP112" s="11" t="s">
        <v>330</v>
      </c>
      <c r="HQ112" s="11" t="s">
        <v>319</v>
      </c>
      <c r="HR112" s="11" t="s">
        <v>319</v>
      </c>
      <c r="HS112" s="11" t="s">
        <v>320</v>
      </c>
      <c r="HT112" s="11" t="s">
        <v>320</v>
      </c>
      <c r="HU112" s="11" t="s">
        <v>320</v>
      </c>
      <c r="HV112" s="11" t="s">
        <v>319</v>
      </c>
      <c r="HW112" s="11" t="s">
        <v>319</v>
      </c>
      <c r="HX112" s="11" t="s">
        <v>319</v>
      </c>
      <c r="HZ112" s="11" t="s">
        <v>363</v>
      </c>
      <c r="IB112" s="11" t="s">
        <v>396</v>
      </c>
      <c r="IC112" s="11" t="s">
        <v>2235</v>
      </c>
      <c r="ID112" s="11" t="s">
        <v>334</v>
      </c>
      <c r="IE112" s="11" t="s">
        <v>478</v>
      </c>
      <c r="IF112" s="11" t="s">
        <v>320</v>
      </c>
      <c r="IG112" s="11" t="s">
        <v>320</v>
      </c>
      <c r="IH112" s="11" t="s">
        <v>319</v>
      </c>
      <c r="II112" s="11" t="s">
        <v>320</v>
      </c>
      <c r="IJ112" s="12" t="str">
        <f t="shared" si="44"/>
        <v>3. Responsive</v>
      </c>
      <c r="IK112" s="12">
        <f t="shared" si="45"/>
        <v>3</v>
      </c>
      <c r="IL112" s="11" t="s">
        <v>336</v>
      </c>
      <c r="IM112" s="11" t="s">
        <v>320</v>
      </c>
      <c r="IN112" s="11" t="s">
        <v>320</v>
      </c>
      <c r="IO112" s="11" t="s">
        <v>320</v>
      </c>
      <c r="IP112" s="11" t="s">
        <v>319</v>
      </c>
      <c r="IQ112" s="12" t="str">
        <f t="shared" si="46"/>
        <v>2. Accommodating</v>
      </c>
      <c r="IR112" s="12">
        <f t="shared" si="47"/>
        <v>3</v>
      </c>
      <c r="IS112" s="11" t="s">
        <v>337</v>
      </c>
      <c r="IT112" s="11" t="s">
        <v>319</v>
      </c>
      <c r="IU112" s="11" t="s">
        <v>320</v>
      </c>
      <c r="IV112" s="11" t="s">
        <v>320</v>
      </c>
      <c r="IW112" s="11" t="str">
        <f t="shared" si="48"/>
        <v>1. Neutral</v>
      </c>
      <c r="IX112" s="12">
        <f t="shared" si="49"/>
        <v>2</v>
      </c>
      <c r="IY112" s="11" t="s">
        <v>338</v>
      </c>
      <c r="IZ112" s="11" t="s">
        <v>527</v>
      </c>
      <c r="JA112" s="11">
        <v>3</v>
      </c>
      <c r="JB112" s="11" t="s">
        <v>433</v>
      </c>
      <c r="JC112" s="11" t="s">
        <v>2236</v>
      </c>
      <c r="JE112" s="11" t="s">
        <v>340</v>
      </c>
      <c r="JF112" s="11" t="s">
        <v>2237</v>
      </c>
      <c r="JG112" s="11" t="s">
        <v>2238</v>
      </c>
      <c r="JH112" s="11" t="s">
        <v>2239</v>
      </c>
      <c r="JI112" s="11" t="s">
        <v>2240</v>
      </c>
      <c r="JJ112" s="11" t="s">
        <v>2241</v>
      </c>
      <c r="JK112" s="11" t="s">
        <v>2242</v>
      </c>
      <c r="JL112" s="11" t="s">
        <v>2243</v>
      </c>
      <c r="JM112" s="11" t="s">
        <v>2244</v>
      </c>
      <c r="JO112" s="11" t="s">
        <v>2245</v>
      </c>
      <c r="JP112" s="15">
        <f t="shared" si="50"/>
        <v>1319</v>
      </c>
      <c r="JQ112" s="15">
        <f t="shared" si="51"/>
        <v>3671</v>
      </c>
      <c r="JR112" s="279">
        <f t="shared" si="52"/>
        <v>2.78316906747536</v>
      </c>
      <c r="JS112" s="17">
        <f t="shared" si="53"/>
        <v>0.94162244124336614</v>
      </c>
      <c r="JT112" s="18">
        <f t="shared" si="54"/>
        <v>0.56415145736856442</v>
      </c>
      <c r="JU112" s="280">
        <f t="shared" si="55"/>
        <v>1242</v>
      </c>
      <c r="JV112" s="280">
        <f t="shared" si="56"/>
        <v>2071</v>
      </c>
      <c r="JW112" s="319" t="str">
        <f t="shared" si="57"/>
        <v/>
      </c>
      <c r="JX112" s="15">
        <f t="shared" si="58"/>
        <v>0</v>
      </c>
      <c r="JY112" s="15">
        <f t="shared" si="59"/>
        <v>0</v>
      </c>
      <c r="JZ112" s="19" t="str">
        <f t="shared" si="60"/>
        <v/>
      </c>
      <c r="KA112" s="52" t="str">
        <f t="shared" si="61"/>
        <v/>
      </c>
      <c r="KB112" s="15">
        <f t="shared" si="62"/>
        <v>0</v>
      </c>
      <c r="KC112" s="15">
        <f t="shared" si="63"/>
        <v>0</v>
      </c>
      <c r="KD112" s="20" t="str">
        <f t="shared" si="64"/>
        <v/>
      </c>
      <c r="KE112" s="52" t="str">
        <f t="shared" si="65"/>
        <v/>
      </c>
      <c r="KF112" s="15">
        <f t="shared" si="66"/>
        <v>0</v>
      </c>
      <c r="KG112" s="15">
        <f t="shared" si="67"/>
        <v>0</v>
      </c>
      <c r="KH112" s="21" t="str">
        <f t="shared" si="68"/>
        <v/>
      </c>
      <c r="KI112" s="52" t="str">
        <f t="shared" si="69"/>
        <v/>
      </c>
      <c r="KJ112" s="15">
        <f t="shared" si="70"/>
        <v>0</v>
      </c>
      <c r="KK112" s="15">
        <f t="shared" si="71"/>
        <v>0</v>
      </c>
      <c r="KL112" s="19" t="str">
        <f t="shared" si="72"/>
        <v/>
      </c>
      <c r="KM112" s="52">
        <f t="shared" si="73"/>
        <v>1</v>
      </c>
      <c r="KN112" s="22">
        <f t="shared" si="74"/>
        <v>501</v>
      </c>
      <c r="KO112" s="22">
        <f t="shared" si="75"/>
        <v>3671</v>
      </c>
      <c r="KP112" s="19">
        <f t="shared" si="76"/>
        <v>7.3273453093812373</v>
      </c>
      <c r="KQ112" s="11" t="str">
        <f t="shared" si="77"/>
        <v>3. Responsive</v>
      </c>
      <c r="KR112" s="11" t="str">
        <f t="shared" si="78"/>
        <v>2. Accommodating</v>
      </c>
      <c r="KS112" s="11" t="str">
        <f t="shared" si="79"/>
        <v>1. Neutral</v>
      </c>
      <c r="KT112" s="11" t="str">
        <f t="shared" si="80"/>
        <v>It did not develop any specific innovation</v>
      </c>
      <c r="KU112" s="11" t="str">
        <f t="shared" si="81"/>
        <v>Moderate advocacy</v>
      </c>
      <c r="KV112" s="11" t="str">
        <f t="shared" si="82"/>
        <v>It linked and worked with strategic alliances and partners to take tested and effective solutions to scale</v>
      </c>
      <c r="KW112" s="11" t="str">
        <f t="shared" si="83"/>
        <v>Cambodia - Labour Rights for Female Cosntruction Workers</v>
      </c>
      <c r="KX112" s="11" t="str">
        <f t="shared" si="84"/>
        <v>Labour Rights for Female Cosntruction Workers</v>
      </c>
      <c r="KY112" s="11" t="str">
        <f t="shared" si="85"/>
        <v>Cambodia</v>
      </c>
      <c r="KZ112" s="12">
        <v>112</v>
      </c>
    </row>
    <row r="113" spans="1:312" x14ac:dyDescent="0.3">
      <c r="A113" s="11" t="s">
        <v>2092</v>
      </c>
      <c r="B113" s="11" t="s">
        <v>306</v>
      </c>
      <c r="D113" s="11" t="s">
        <v>2276</v>
      </c>
      <c r="E113" s="24" t="str">
        <f t="shared" si="43"/>
        <v>Cambodia</v>
      </c>
      <c r="G113" s="11" t="s">
        <v>488</v>
      </c>
      <c r="H113" s="11" t="s">
        <v>554</v>
      </c>
      <c r="I113" s="11" t="s">
        <v>384</v>
      </c>
      <c r="J113" s="278"/>
      <c r="L113" s="11" t="s">
        <v>488</v>
      </c>
      <c r="M113" s="11" t="s">
        <v>383</v>
      </c>
      <c r="N113" s="11" t="s">
        <v>384</v>
      </c>
      <c r="O113" s="11" t="s">
        <v>2277</v>
      </c>
      <c r="BD113" s="23">
        <v>42552</v>
      </c>
      <c r="BE113" s="23">
        <v>42916</v>
      </c>
      <c r="BG113" s="11" t="s">
        <v>350</v>
      </c>
      <c r="BH113" s="22">
        <v>755469</v>
      </c>
      <c r="BI113" s="11" t="s">
        <v>2278</v>
      </c>
      <c r="BJ113" s="11" t="s">
        <v>2279</v>
      </c>
      <c r="BK113" s="11" t="s">
        <v>2280</v>
      </c>
      <c r="BO113" s="12" t="s">
        <v>319</v>
      </c>
      <c r="BP113" s="12" t="s">
        <v>320</v>
      </c>
      <c r="BQ113" s="12" t="s">
        <v>319</v>
      </c>
      <c r="BR113" s="11" t="s">
        <v>2281</v>
      </c>
      <c r="BS113" s="11" t="s">
        <v>357</v>
      </c>
      <c r="BT113" s="11" t="s">
        <v>2282</v>
      </c>
      <c r="BU113" s="11" t="s">
        <v>2283</v>
      </c>
      <c r="BV113" s="22">
        <v>327</v>
      </c>
      <c r="BW113" s="22">
        <v>128</v>
      </c>
      <c r="BX113" s="22">
        <v>455</v>
      </c>
      <c r="BY113" s="22">
        <v>710</v>
      </c>
      <c r="BZ113" s="22">
        <v>2055</v>
      </c>
      <c r="CA113" s="22">
        <v>2765</v>
      </c>
      <c r="CB113" s="15" t="s">
        <v>2284</v>
      </c>
      <c r="CL113" s="18"/>
      <c r="CP113" s="18"/>
      <c r="CT113" s="18"/>
      <c r="CX113" s="18"/>
      <c r="DB113" s="18"/>
      <c r="DF113" s="18"/>
      <c r="DJ113" s="18"/>
      <c r="DN113" s="18"/>
      <c r="DR113" s="18"/>
      <c r="DV113" s="18"/>
      <c r="DZ113" s="18"/>
      <c r="ED113" s="18"/>
      <c r="EI113" s="18"/>
      <c r="EK113" s="22">
        <v>327</v>
      </c>
      <c r="EL113" s="22">
        <v>128</v>
      </c>
      <c r="EM113" s="22">
        <v>455</v>
      </c>
      <c r="EN113" s="22">
        <v>710</v>
      </c>
      <c r="EO113" s="22">
        <v>2055</v>
      </c>
      <c r="EP113" s="22">
        <v>2765</v>
      </c>
      <c r="ES113" s="18"/>
      <c r="EW113" s="18"/>
      <c r="FA113" s="18"/>
      <c r="FE113" s="18"/>
      <c r="FI113" s="18"/>
      <c r="FM113" s="18"/>
      <c r="FQ113" s="18"/>
      <c r="FU113" s="18"/>
      <c r="FY113" s="18"/>
      <c r="GC113" s="18"/>
      <c r="GG113" s="18"/>
      <c r="GK113" s="18"/>
      <c r="GO113" s="18"/>
      <c r="GS113" s="18"/>
      <c r="GW113" s="18"/>
      <c r="GY113" s="11" t="s">
        <v>320</v>
      </c>
      <c r="GZ113" s="22">
        <v>455</v>
      </c>
      <c r="HA113" s="18">
        <v>0.72</v>
      </c>
      <c r="HB113" s="22">
        <v>2765</v>
      </c>
      <c r="HF113" s="18"/>
      <c r="HH113" s="11" t="s">
        <v>320</v>
      </c>
      <c r="HI113" s="11" t="s">
        <v>451</v>
      </c>
      <c r="HJ113" s="11">
        <v>2017</v>
      </c>
      <c r="HK113" s="11" t="s">
        <v>320</v>
      </c>
      <c r="HL113" s="11" t="s">
        <v>319</v>
      </c>
      <c r="HP113" s="11" t="s">
        <v>418</v>
      </c>
      <c r="HZ113" s="11" t="s">
        <v>363</v>
      </c>
      <c r="IB113" s="11" t="s">
        <v>333</v>
      </c>
      <c r="ID113" s="11" t="s">
        <v>364</v>
      </c>
      <c r="IE113" s="11" t="s">
        <v>1909</v>
      </c>
      <c r="IJ113" s="12" t="str">
        <f t="shared" si="44"/>
        <v>0. Harmful</v>
      </c>
      <c r="IK113" s="12">
        <f t="shared" si="45"/>
        <v>0</v>
      </c>
      <c r="IL113" s="11" t="s">
        <v>723</v>
      </c>
      <c r="IQ113" s="12" t="str">
        <f t="shared" si="46"/>
        <v>0. Unaware</v>
      </c>
      <c r="IR113" s="12">
        <f t="shared" si="47"/>
        <v>0</v>
      </c>
      <c r="IS113" s="11" t="s">
        <v>456</v>
      </c>
      <c r="IW113" s="11" t="str">
        <f t="shared" si="48"/>
        <v>0. Harmful</v>
      </c>
      <c r="IX113" s="12">
        <f t="shared" si="49"/>
        <v>0</v>
      </c>
      <c r="IZ113" s="11" t="s">
        <v>457</v>
      </c>
      <c r="JA113" s="11">
        <v>1</v>
      </c>
      <c r="JB113" s="11" t="s">
        <v>724</v>
      </c>
      <c r="JE113" s="11" t="s">
        <v>420</v>
      </c>
      <c r="JG113" s="11" t="s">
        <v>2285</v>
      </c>
      <c r="JH113" s="11" t="s">
        <v>2286</v>
      </c>
      <c r="JI113" s="11" t="s">
        <v>2287</v>
      </c>
      <c r="JJ113" s="11" t="s">
        <v>2288</v>
      </c>
      <c r="JK113" s="11" t="s">
        <v>2289</v>
      </c>
      <c r="JL113" s="11" t="s">
        <v>2290</v>
      </c>
      <c r="JN113" s="11" t="s">
        <v>2291</v>
      </c>
      <c r="JP113" s="15">
        <f t="shared" si="50"/>
        <v>455</v>
      </c>
      <c r="JQ113" s="15">
        <f t="shared" si="51"/>
        <v>2765</v>
      </c>
      <c r="JR113" s="279">
        <f t="shared" si="52"/>
        <v>6.0769230769230766</v>
      </c>
      <c r="JS113" s="17">
        <f t="shared" si="53"/>
        <v>0.71868131868131868</v>
      </c>
      <c r="JT113" s="18">
        <f t="shared" si="54"/>
        <v>0.25678119349005424</v>
      </c>
      <c r="JU113" s="280">
        <f t="shared" si="55"/>
        <v>327</v>
      </c>
      <c r="JV113" s="280">
        <f t="shared" si="56"/>
        <v>710</v>
      </c>
      <c r="JW113" s="319" t="str">
        <f t="shared" si="57"/>
        <v/>
      </c>
      <c r="JX113" s="15">
        <f t="shared" si="58"/>
        <v>0</v>
      </c>
      <c r="JY113" s="15">
        <f t="shared" si="59"/>
        <v>0</v>
      </c>
      <c r="JZ113" s="19" t="str">
        <f t="shared" si="60"/>
        <v/>
      </c>
      <c r="KA113" s="52" t="str">
        <f t="shared" si="61"/>
        <v/>
      </c>
      <c r="KB113" s="15">
        <f t="shared" si="62"/>
        <v>0</v>
      </c>
      <c r="KC113" s="15">
        <f t="shared" si="63"/>
        <v>0</v>
      </c>
      <c r="KD113" s="20" t="str">
        <f t="shared" si="64"/>
        <v/>
      </c>
      <c r="KE113" s="52" t="str">
        <f t="shared" si="65"/>
        <v/>
      </c>
      <c r="KF113" s="15">
        <f t="shared" si="66"/>
        <v>0</v>
      </c>
      <c r="KG113" s="15">
        <f t="shared" si="67"/>
        <v>0</v>
      </c>
      <c r="KH113" s="21" t="str">
        <f t="shared" si="68"/>
        <v/>
      </c>
      <c r="KI113" s="52" t="str">
        <f t="shared" si="69"/>
        <v/>
      </c>
      <c r="KJ113" s="15">
        <f t="shared" si="70"/>
        <v>0</v>
      </c>
      <c r="KK113" s="15">
        <f t="shared" si="71"/>
        <v>0</v>
      </c>
      <c r="KL113" s="19" t="str">
        <f t="shared" si="72"/>
        <v/>
      </c>
      <c r="KM113" s="52">
        <f t="shared" si="73"/>
        <v>1</v>
      </c>
      <c r="KN113" s="22">
        <f t="shared" si="74"/>
        <v>455</v>
      </c>
      <c r="KO113" s="22">
        <f t="shared" si="75"/>
        <v>2765</v>
      </c>
      <c r="KP113" s="19">
        <f t="shared" si="76"/>
        <v>6.0769230769230766</v>
      </c>
      <c r="KQ113" s="11" t="str">
        <f t="shared" si="77"/>
        <v>0. Harmful</v>
      </c>
      <c r="KR113" s="11" t="str">
        <f t="shared" si="78"/>
        <v>0. Unaware</v>
      </c>
      <c r="KS113" s="11" t="str">
        <f t="shared" si="79"/>
        <v>0. Harmful</v>
      </c>
      <c r="KT113" s="11" t="str">
        <f t="shared" si="80"/>
        <v>It did not develop any specific innovation</v>
      </c>
      <c r="KU113" s="11" t="str">
        <f t="shared" si="81"/>
        <v>Little or no advocacy</v>
      </c>
      <c r="KV113" s="11" t="str">
        <f t="shared" si="82"/>
        <v>It did not take tested solutions to scale</v>
      </c>
      <c r="KW113" s="11" t="str">
        <f t="shared" si="83"/>
        <v>Cambodia - Lendwithcare</v>
      </c>
      <c r="KX113" s="11" t="str">
        <f t="shared" si="84"/>
        <v>Lendwithcare</v>
      </c>
      <c r="KY113" s="11" t="str">
        <f t="shared" si="85"/>
        <v>Cambodia</v>
      </c>
      <c r="KZ113" s="12">
        <v>113</v>
      </c>
    </row>
    <row r="114" spans="1:312" x14ac:dyDescent="0.3">
      <c r="A114" s="11" t="s">
        <v>2092</v>
      </c>
      <c r="B114" s="11" t="s">
        <v>306</v>
      </c>
      <c r="C114" s="11">
        <v>2829</v>
      </c>
      <c r="D114" s="11" t="s">
        <v>2128</v>
      </c>
      <c r="E114" s="24" t="str">
        <f t="shared" si="43"/>
        <v>Cambodia</v>
      </c>
      <c r="F114" s="11" t="s">
        <v>2129</v>
      </c>
      <c r="G114" s="11" t="s">
        <v>309</v>
      </c>
      <c r="H114" s="11" t="s">
        <v>310</v>
      </c>
      <c r="I114" s="11" t="s">
        <v>311</v>
      </c>
      <c r="J114" s="278" t="s">
        <v>14574</v>
      </c>
      <c r="K114" s="11" t="s">
        <v>2130</v>
      </c>
      <c r="L114" s="11" t="s">
        <v>379</v>
      </c>
      <c r="M114" s="11" t="s">
        <v>489</v>
      </c>
      <c r="N114" s="11" t="s">
        <v>384</v>
      </c>
      <c r="O114" s="278" t="s">
        <v>6003</v>
      </c>
      <c r="BD114" s="23">
        <v>41821</v>
      </c>
      <c r="BE114" s="23">
        <v>43008</v>
      </c>
      <c r="BG114" s="11" t="s">
        <v>350</v>
      </c>
      <c r="BH114" s="22">
        <v>1169325</v>
      </c>
      <c r="BI114" s="11" t="s">
        <v>2097</v>
      </c>
      <c r="BJ114" s="11" t="s">
        <v>2098</v>
      </c>
      <c r="BK114" s="11" t="s">
        <v>2099</v>
      </c>
      <c r="BL114" s="11" t="s">
        <v>2100</v>
      </c>
      <c r="BM114" s="11" t="s">
        <v>2101</v>
      </c>
      <c r="BN114" s="11" t="s">
        <v>2102</v>
      </c>
      <c r="BO114" s="12" t="s">
        <v>319</v>
      </c>
      <c r="BP114" s="12" t="s">
        <v>320</v>
      </c>
      <c r="BQ114" s="12" t="s">
        <v>319</v>
      </c>
      <c r="BR114" s="11" t="s">
        <v>2131</v>
      </c>
      <c r="BS114" s="11" t="s">
        <v>357</v>
      </c>
      <c r="BT114" s="11" t="s">
        <v>2132</v>
      </c>
      <c r="BU114" s="11" t="s">
        <v>2133</v>
      </c>
      <c r="BV114" s="22">
        <v>1265</v>
      </c>
      <c r="BW114" s="22">
        <v>11</v>
      </c>
      <c r="BX114" s="22">
        <v>1276</v>
      </c>
      <c r="BY114" s="22">
        <v>3788</v>
      </c>
      <c r="BZ114" s="22">
        <v>3502</v>
      </c>
      <c r="CA114" s="22">
        <v>7290</v>
      </c>
      <c r="CB114" s="15" t="s">
        <v>2134</v>
      </c>
      <c r="CL114" s="18"/>
      <c r="CP114" s="18"/>
      <c r="CT114" s="18"/>
      <c r="CX114" s="18"/>
      <c r="DB114" s="18"/>
      <c r="DF114" s="18"/>
      <c r="DJ114" s="18"/>
      <c r="DN114" s="18"/>
      <c r="DR114" s="18"/>
      <c r="DV114" s="18"/>
      <c r="DZ114" s="18"/>
      <c r="ED114" s="18"/>
      <c r="EI114" s="18"/>
      <c r="EK114" s="22">
        <v>1265</v>
      </c>
      <c r="EL114" s="22">
        <v>11</v>
      </c>
      <c r="EM114" s="22">
        <v>1276</v>
      </c>
      <c r="EN114" s="22">
        <v>3788</v>
      </c>
      <c r="EO114" s="22">
        <v>3502</v>
      </c>
      <c r="EP114" s="22">
        <v>7290</v>
      </c>
      <c r="EQ114" s="12" t="s">
        <v>320</v>
      </c>
      <c r="ER114" s="22">
        <v>915</v>
      </c>
      <c r="ES114" s="18">
        <v>1</v>
      </c>
      <c r="ET114" s="22">
        <v>5590</v>
      </c>
      <c r="EU114" s="11" t="s">
        <v>320</v>
      </c>
      <c r="EV114" s="22">
        <v>915</v>
      </c>
      <c r="EW114" s="18">
        <v>1</v>
      </c>
      <c r="EX114" s="22">
        <v>5590</v>
      </c>
      <c r="FA114" s="18"/>
      <c r="FE114" s="18"/>
      <c r="FI114" s="18"/>
      <c r="FM114" s="18"/>
      <c r="FQ114" s="18"/>
      <c r="FU114" s="18"/>
      <c r="FW114" s="11" t="s">
        <v>320</v>
      </c>
      <c r="FX114" s="22">
        <v>915</v>
      </c>
      <c r="FY114" s="18">
        <v>1</v>
      </c>
      <c r="FZ114" s="22">
        <v>5590</v>
      </c>
      <c r="GC114" s="18"/>
      <c r="GG114" s="18"/>
      <c r="GK114" s="18"/>
      <c r="GM114" s="11" t="s">
        <v>320</v>
      </c>
      <c r="GN114" s="22">
        <v>915</v>
      </c>
      <c r="GO114" s="18">
        <v>1</v>
      </c>
      <c r="GP114" s="22">
        <v>5590</v>
      </c>
      <c r="GS114" s="18"/>
      <c r="GU114" s="12" t="s">
        <v>320</v>
      </c>
      <c r="GV114" s="22">
        <v>500</v>
      </c>
      <c r="GW114" s="18">
        <v>0.97799999999999998</v>
      </c>
      <c r="GX114" s="22">
        <v>2000</v>
      </c>
      <c r="GY114" s="11" t="s">
        <v>320</v>
      </c>
      <c r="GZ114" s="22">
        <v>1265</v>
      </c>
      <c r="HA114" s="18">
        <v>0.99</v>
      </c>
      <c r="HB114" s="22">
        <v>7290</v>
      </c>
      <c r="HF114" s="18"/>
      <c r="HH114" s="11" t="s">
        <v>320</v>
      </c>
      <c r="HI114" s="11" t="s">
        <v>451</v>
      </c>
      <c r="HJ114" s="11">
        <v>2017</v>
      </c>
      <c r="HK114" s="11" t="s">
        <v>319</v>
      </c>
      <c r="HL114" s="11" t="s">
        <v>319</v>
      </c>
      <c r="HP114" s="11" t="s">
        <v>453</v>
      </c>
      <c r="HQ114" s="11" t="s">
        <v>320</v>
      </c>
      <c r="HR114" s="11" t="s">
        <v>320</v>
      </c>
      <c r="HS114" s="11" t="s">
        <v>320</v>
      </c>
      <c r="HT114" s="11" t="s">
        <v>320</v>
      </c>
      <c r="HU114" s="11" t="s">
        <v>320</v>
      </c>
      <c r="HV114" s="11" t="s">
        <v>319</v>
      </c>
      <c r="HW114" s="11" t="s">
        <v>320</v>
      </c>
      <c r="HX114" s="11" t="s">
        <v>319</v>
      </c>
      <c r="HZ114" s="11" t="s">
        <v>331</v>
      </c>
      <c r="IA114" s="11" t="s">
        <v>2135</v>
      </c>
      <c r="IB114" s="11" t="s">
        <v>667</v>
      </c>
      <c r="IC114" s="11" t="s">
        <v>2136</v>
      </c>
      <c r="ID114" s="11" t="s">
        <v>334</v>
      </c>
      <c r="IE114" s="11" t="s">
        <v>478</v>
      </c>
      <c r="IF114" s="11" t="s">
        <v>320</v>
      </c>
      <c r="IG114" s="11" t="s">
        <v>320</v>
      </c>
      <c r="IH114" s="11" t="s">
        <v>320</v>
      </c>
      <c r="II114" s="11" t="s">
        <v>320</v>
      </c>
      <c r="IJ114" s="12" t="str">
        <f t="shared" si="44"/>
        <v>4. Transformative</v>
      </c>
      <c r="IK114" s="12">
        <f t="shared" si="45"/>
        <v>4</v>
      </c>
      <c r="IL114" s="11" t="s">
        <v>621</v>
      </c>
      <c r="IM114" s="11" t="s">
        <v>320</v>
      </c>
      <c r="IN114" s="11" t="s">
        <v>320</v>
      </c>
      <c r="IO114" s="11" t="s">
        <v>320</v>
      </c>
      <c r="IP114" s="11" t="s">
        <v>320</v>
      </c>
      <c r="IQ114" s="12" t="str">
        <f t="shared" si="46"/>
        <v>4. Transformational</v>
      </c>
      <c r="IR114" s="12">
        <f t="shared" si="47"/>
        <v>4</v>
      </c>
      <c r="IS114" s="11" t="s">
        <v>622</v>
      </c>
      <c r="IT114" s="11" t="s">
        <v>319</v>
      </c>
      <c r="IU114" s="11" t="s">
        <v>320</v>
      </c>
      <c r="IV114" s="11" t="s">
        <v>320</v>
      </c>
      <c r="IW114" s="11" t="str">
        <f t="shared" si="48"/>
        <v>3. Responsive</v>
      </c>
      <c r="IX114" s="12">
        <f t="shared" si="49"/>
        <v>2</v>
      </c>
      <c r="IY114" s="11" t="s">
        <v>758</v>
      </c>
      <c r="IZ114" s="11" t="s">
        <v>527</v>
      </c>
      <c r="JA114" s="11">
        <v>2</v>
      </c>
      <c r="JB114" s="11" t="s">
        <v>687</v>
      </c>
      <c r="JC114" s="11" t="s">
        <v>624</v>
      </c>
      <c r="JE114" s="11" t="s">
        <v>340</v>
      </c>
      <c r="JF114" s="11" t="s">
        <v>2137</v>
      </c>
      <c r="JG114" s="11" t="s">
        <v>2138</v>
      </c>
      <c r="JH114" s="11" t="s">
        <v>2139</v>
      </c>
      <c r="JI114" s="11" t="s">
        <v>2140</v>
      </c>
      <c r="JJ114" s="11" t="s">
        <v>2141</v>
      </c>
      <c r="JK114" s="11" t="s">
        <v>2142</v>
      </c>
      <c r="JL114" s="11" t="s">
        <v>2143</v>
      </c>
      <c r="JM114" s="11" t="s">
        <v>2144</v>
      </c>
      <c r="JO114" s="11" t="s">
        <v>2145</v>
      </c>
      <c r="JP114" s="15">
        <f t="shared" si="50"/>
        <v>1276</v>
      </c>
      <c r="JQ114" s="15">
        <f t="shared" si="51"/>
        <v>7290</v>
      </c>
      <c r="JR114" s="279">
        <f t="shared" si="52"/>
        <v>5.7131661442006267</v>
      </c>
      <c r="JS114" s="17">
        <f t="shared" si="53"/>
        <v>0.99137931034482762</v>
      </c>
      <c r="JT114" s="18">
        <f t="shared" si="54"/>
        <v>0.51961591220850478</v>
      </c>
      <c r="JU114" s="280">
        <f t="shared" si="55"/>
        <v>1265</v>
      </c>
      <c r="JV114" s="280">
        <f t="shared" si="56"/>
        <v>3788</v>
      </c>
      <c r="JW114" s="319" t="str">
        <f t="shared" si="57"/>
        <v/>
      </c>
      <c r="JX114" s="15">
        <f t="shared" si="58"/>
        <v>0</v>
      </c>
      <c r="JY114" s="15">
        <f t="shared" si="59"/>
        <v>0</v>
      </c>
      <c r="JZ114" s="19" t="str">
        <f t="shared" si="60"/>
        <v/>
      </c>
      <c r="KA114" s="52">
        <f t="shared" si="61"/>
        <v>1</v>
      </c>
      <c r="KB114" s="15">
        <f t="shared" si="62"/>
        <v>915</v>
      </c>
      <c r="KC114" s="15">
        <f t="shared" si="63"/>
        <v>5590</v>
      </c>
      <c r="KD114" s="20">
        <f t="shared" si="64"/>
        <v>6.1092896174863389</v>
      </c>
      <c r="KE114" s="52" t="str">
        <f t="shared" si="65"/>
        <v/>
      </c>
      <c r="KF114" s="15">
        <f t="shared" si="66"/>
        <v>0</v>
      </c>
      <c r="KG114" s="15">
        <f t="shared" si="67"/>
        <v>0</v>
      </c>
      <c r="KH114" s="21" t="str">
        <f t="shared" si="68"/>
        <v/>
      </c>
      <c r="KI114" s="52" t="str">
        <f t="shared" si="69"/>
        <v/>
      </c>
      <c r="KJ114" s="15">
        <f t="shared" si="70"/>
        <v>0</v>
      </c>
      <c r="KK114" s="15">
        <f t="shared" si="71"/>
        <v>0</v>
      </c>
      <c r="KL114" s="19" t="str">
        <f t="shared" si="72"/>
        <v/>
      </c>
      <c r="KM114" s="52">
        <f t="shared" si="73"/>
        <v>1</v>
      </c>
      <c r="KN114" s="22">
        <f t="shared" si="74"/>
        <v>1265</v>
      </c>
      <c r="KO114" s="22">
        <f t="shared" si="75"/>
        <v>7290</v>
      </c>
      <c r="KP114" s="19">
        <f t="shared" si="76"/>
        <v>5.7628458498023711</v>
      </c>
      <c r="KQ114" s="11" t="str">
        <f t="shared" si="77"/>
        <v>4. Transformative</v>
      </c>
      <c r="KR114" s="11" t="str">
        <f t="shared" si="78"/>
        <v>4. Transformational</v>
      </c>
      <c r="KS114" s="11" t="str">
        <f t="shared" si="79"/>
        <v>3. Responsive</v>
      </c>
      <c r="KT114" s="11" t="str">
        <f t="shared" si="80"/>
        <v>It tested new ways for fighting poverty and measured results of innovation</v>
      </c>
      <c r="KU114" s="11" t="str">
        <f t="shared" si="81"/>
        <v>Intensive advocacy</v>
      </c>
      <c r="KV114" s="11" t="str">
        <f t="shared" si="82"/>
        <v>It took tested solutions to scale on its own</v>
      </c>
      <c r="KW114" s="11" t="str">
        <f t="shared" si="83"/>
        <v>Cambodia - Local Economic Leadership for Marginalised Rural Women (2829) and Personal Advancement &amp; Career Enhancement (PACE) in the Community year four (2830)</v>
      </c>
      <c r="KX114" s="11" t="str">
        <f t="shared" si="84"/>
        <v>Local Economic Leadership for Marginalised Rural Women (2829) and Personal Advancement &amp; Career Enhancement (PACE) in the Community year four (2830)</v>
      </c>
      <c r="KY114" s="11" t="str">
        <f t="shared" si="85"/>
        <v>Cambodia</v>
      </c>
      <c r="KZ114" s="12">
        <v>114</v>
      </c>
    </row>
    <row r="115" spans="1:312" x14ac:dyDescent="0.3">
      <c r="A115" s="11" t="s">
        <v>2092</v>
      </c>
      <c r="B115" s="11" t="s">
        <v>306</v>
      </c>
      <c r="C115" s="11">
        <v>2825</v>
      </c>
      <c r="D115" s="11" t="s">
        <v>2146</v>
      </c>
      <c r="E115" s="24" t="str">
        <f t="shared" si="43"/>
        <v>Cambodia</v>
      </c>
      <c r="F115" s="11" t="s">
        <v>2147</v>
      </c>
      <c r="G115" s="11" t="s">
        <v>309</v>
      </c>
      <c r="H115" s="11" t="s">
        <v>310</v>
      </c>
      <c r="I115" s="11" t="s">
        <v>311</v>
      </c>
      <c r="J115" s="278" t="s">
        <v>14565</v>
      </c>
      <c r="BD115" s="23">
        <v>41487</v>
      </c>
      <c r="BE115" s="23">
        <v>43312</v>
      </c>
      <c r="BG115" s="11" t="s">
        <v>490</v>
      </c>
      <c r="BH115" s="22">
        <v>3884462</v>
      </c>
      <c r="BI115" s="11" t="s">
        <v>2097</v>
      </c>
      <c r="BJ115" s="11" t="s">
        <v>2098</v>
      </c>
      <c r="BK115" s="11" t="s">
        <v>2099</v>
      </c>
      <c r="BL115" s="11" t="s">
        <v>2100</v>
      </c>
      <c r="BM115" s="11" t="s">
        <v>2101</v>
      </c>
      <c r="BN115" s="11" t="s">
        <v>2102</v>
      </c>
      <c r="BO115" s="12" t="s">
        <v>319</v>
      </c>
      <c r="BP115" s="12" t="s">
        <v>320</v>
      </c>
      <c r="BQ115" s="12" t="s">
        <v>319</v>
      </c>
      <c r="BR115" s="11" t="s">
        <v>2148</v>
      </c>
      <c r="BS115" s="11" t="s">
        <v>357</v>
      </c>
      <c r="BT115" s="11" t="s">
        <v>2149</v>
      </c>
      <c r="BU115" s="11" t="s">
        <v>2150</v>
      </c>
      <c r="BV115" s="22">
        <v>93061</v>
      </c>
      <c r="BW115" s="22">
        <v>9701</v>
      </c>
      <c r="BX115" s="22">
        <v>102762</v>
      </c>
      <c r="BY115" s="22">
        <v>403800</v>
      </c>
      <c r="BZ115" s="22">
        <v>330381</v>
      </c>
      <c r="CA115" s="22">
        <v>734181</v>
      </c>
      <c r="CB115" s="15" t="s">
        <v>2151</v>
      </c>
      <c r="CL115" s="18"/>
      <c r="CP115" s="18"/>
      <c r="CT115" s="18"/>
      <c r="CX115" s="18"/>
      <c r="DB115" s="18"/>
      <c r="DF115" s="18"/>
      <c r="DJ115" s="18"/>
      <c r="DN115" s="18"/>
      <c r="DR115" s="18"/>
      <c r="DV115" s="18"/>
      <c r="DZ115" s="18"/>
      <c r="ED115" s="18"/>
      <c r="EI115" s="18"/>
      <c r="EK115" s="22">
        <v>18098</v>
      </c>
      <c r="EL115" s="22">
        <v>5189</v>
      </c>
      <c r="EM115" s="22">
        <v>23287</v>
      </c>
      <c r="EN115" s="22">
        <v>69607</v>
      </c>
      <c r="EO115" s="22">
        <v>19957</v>
      </c>
      <c r="EP115" s="22">
        <v>89564</v>
      </c>
      <c r="ES115" s="18"/>
      <c r="EW115" s="18"/>
      <c r="FA115" s="18"/>
      <c r="FE115" s="18"/>
      <c r="FI115" s="18"/>
      <c r="FM115" s="18"/>
      <c r="FQ115" s="18"/>
      <c r="FU115" s="18"/>
      <c r="FW115" s="11" t="s">
        <v>320</v>
      </c>
      <c r="FX115" s="22">
        <v>6129</v>
      </c>
      <c r="FY115" s="18">
        <v>0.92</v>
      </c>
      <c r="FZ115" s="22">
        <v>17367</v>
      </c>
      <c r="GC115" s="18"/>
      <c r="GG115" s="18"/>
      <c r="GK115" s="18"/>
      <c r="GO115" s="18"/>
      <c r="GQ115" s="12" t="s">
        <v>320</v>
      </c>
      <c r="GR115" s="22">
        <v>23287</v>
      </c>
      <c r="GS115" s="18">
        <v>0.78</v>
      </c>
      <c r="GT115" s="22">
        <v>89564</v>
      </c>
      <c r="GW115" s="18"/>
      <c r="GY115" s="11" t="s">
        <v>320</v>
      </c>
      <c r="GZ115" s="22">
        <v>2003</v>
      </c>
      <c r="HA115" s="18">
        <v>0.56999999999999995</v>
      </c>
      <c r="HB115" s="22">
        <v>10215</v>
      </c>
      <c r="HF115" s="18"/>
      <c r="HH115" s="11" t="s">
        <v>319</v>
      </c>
      <c r="HL115" s="11" t="s">
        <v>320</v>
      </c>
      <c r="HM115" s="11" t="s">
        <v>544</v>
      </c>
      <c r="HN115" s="11">
        <v>2018</v>
      </c>
      <c r="HO115" s="11" t="s">
        <v>2152</v>
      </c>
      <c r="HP115" s="11" t="s">
        <v>453</v>
      </c>
      <c r="HQ115" s="11" t="s">
        <v>320</v>
      </c>
      <c r="HR115" s="11" t="s">
        <v>319</v>
      </c>
      <c r="HS115" s="11" t="s">
        <v>320</v>
      </c>
      <c r="HT115" s="11" t="s">
        <v>320</v>
      </c>
      <c r="HU115" s="11" t="s">
        <v>320</v>
      </c>
      <c r="HV115" s="11" t="s">
        <v>319</v>
      </c>
      <c r="HW115" s="11" t="s">
        <v>319</v>
      </c>
      <c r="HX115" s="11" t="s">
        <v>319</v>
      </c>
      <c r="HZ115" s="11" t="s">
        <v>331</v>
      </c>
      <c r="IA115" s="11" t="s">
        <v>2153</v>
      </c>
      <c r="IB115" s="11" t="s">
        <v>396</v>
      </c>
      <c r="IC115" s="11" t="s">
        <v>2154</v>
      </c>
      <c r="ID115" s="11" t="s">
        <v>334</v>
      </c>
      <c r="IE115" s="11" t="s">
        <v>478</v>
      </c>
      <c r="IF115" s="11" t="s">
        <v>320</v>
      </c>
      <c r="IG115" s="11" t="s">
        <v>320</v>
      </c>
      <c r="IH115" s="11" t="s">
        <v>320</v>
      </c>
      <c r="II115" s="11" t="s">
        <v>320</v>
      </c>
      <c r="IJ115" s="12" t="str">
        <f t="shared" si="44"/>
        <v>4. Transformative</v>
      </c>
      <c r="IK115" s="12">
        <f t="shared" si="45"/>
        <v>4</v>
      </c>
      <c r="IL115" s="11" t="s">
        <v>336</v>
      </c>
      <c r="IM115" s="11" t="s">
        <v>320</v>
      </c>
      <c r="IN115" s="11" t="s">
        <v>320</v>
      </c>
      <c r="IO115" s="11" t="s">
        <v>320</v>
      </c>
      <c r="IP115" s="11" t="s">
        <v>320</v>
      </c>
      <c r="IQ115" s="12" t="str">
        <f t="shared" si="46"/>
        <v>2. Accommodating</v>
      </c>
      <c r="IR115" s="12">
        <f t="shared" si="47"/>
        <v>4</v>
      </c>
      <c r="IS115" s="11" t="s">
        <v>337</v>
      </c>
      <c r="IT115" s="11" t="s">
        <v>320</v>
      </c>
      <c r="IU115" s="11" t="s">
        <v>320</v>
      </c>
      <c r="IV115" s="11" t="s">
        <v>319</v>
      </c>
      <c r="IW115" s="11" t="str">
        <f t="shared" si="48"/>
        <v>1. Neutral</v>
      </c>
      <c r="IX115" s="12">
        <f t="shared" si="49"/>
        <v>2</v>
      </c>
      <c r="IY115" s="11" t="s">
        <v>338</v>
      </c>
      <c r="IZ115" s="11" t="s">
        <v>432</v>
      </c>
      <c r="JA115" s="11">
        <v>3</v>
      </c>
      <c r="JB115" s="11" t="s">
        <v>623</v>
      </c>
      <c r="JC115" s="11" t="s">
        <v>832</v>
      </c>
      <c r="JD115" s="11" t="s">
        <v>831</v>
      </c>
      <c r="JE115" s="11" t="s">
        <v>340</v>
      </c>
      <c r="JG115" s="11" t="s">
        <v>2155</v>
      </c>
      <c r="JH115" s="11" t="s">
        <v>2156</v>
      </c>
      <c r="JI115" s="11" t="s">
        <v>2157</v>
      </c>
      <c r="JJ115" s="11" t="s">
        <v>2158</v>
      </c>
      <c r="JK115" s="11" t="s">
        <v>2159</v>
      </c>
      <c r="JL115" s="11" t="s">
        <v>2160</v>
      </c>
      <c r="JM115" s="11" t="s">
        <v>2161</v>
      </c>
      <c r="JO115" s="11" t="s">
        <v>2162</v>
      </c>
      <c r="JP115" s="15">
        <f t="shared" si="50"/>
        <v>23287</v>
      </c>
      <c r="JQ115" s="15">
        <f t="shared" si="51"/>
        <v>89564</v>
      </c>
      <c r="JR115" s="279">
        <f t="shared" si="52"/>
        <v>3.846094387426461</v>
      </c>
      <c r="JS115" s="17">
        <f t="shared" si="53"/>
        <v>0.77717181259930435</v>
      </c>
      <c r="JT115" s="18">
        <f t="shared" si="54"/>
        <v>0.77717609753918981</v>
      </c>
      <c r="JU115" s="280">
        <f t="shared" si="55"/>
        <v>18098</v>
      </c>
      <c r="JV115" s="280">
        <f t="shared" si="56"/>
        <v>69607</v>
      </c>
      <c r="JW115" s="319" t="str">
        <f t="shared" si="57"/>
        <v/>
      </c>
      <c r="JX115" s="15">
        <f t="shared" si="58"/>
        <v>0</v>
      </c>
      <c r="JY115" s="15">
        <f t="shared" si="59"/>
        <v>0</v>
      </c>
      <c r="JZ115" s="19" t="str">
        <f t="shared" si="60"/>
        <v/>
      </c>
      <c r="KA115" s="52" t="str">
        <f t="shared" si="61"/>
        <v/>
      </c>
      <c r="KB115" s="15">
        <f t="shared" si="62"/>
        <v>0</v>
      </c>
      <c r="KC115" s="15">
        <f t="shared" si="63"/>
        <v>0</v>
      </c>
      <c r="KD115" s="20" t="str">
        <f t="shared" si="64"/>
        <v/>
      </c>
      <c r="KE115" s="52">
        <f t="shared" si="65"/>
        <v>1</v>
      </c>
      <c r="KF115" s="15">
        <f t="shared" si="66"/>
        <v>23287</v>
      </c>
      <c r="KG115" s="15">
        <f t="shared" si="67"/>
        <v>89564</v>
      </c>
      <c r="KH115" s="21">
        <f t="shared" si="68"/>
        <v>3.846094387426461</v>
      </c>
      <c r="KI115" s="52" t="str">
        <f t="shared" si="69"/>
        <v/>
      </c>
      <c r="KJ115" s="15">
        <f t="shared" si="70"/>
        <v>0</v>
      </c>
      <c r="KK115" s="15">
        <f t="shared" si="71"/>
        <v>0</v>
      </c>
      <c r="KL115" s="19" t="str">
        <f t="shared" si="72"/>
        <v/>
      </c>
      <c r="KM115" s="52">
        <f t="shared" si="73"/>
        <v>1</v>
      </c>
      <c r="KN115" s="22">
        <f t="shared" si="74"/>
        <v>2003</v>
      </c>
      <c r="KO115" s="22">
        <f t="shared" si="75"/>
        <v>10215</v>
      </c>
      <c r="KP115" s="19">
        <f t="shared" si="76"/>
        <v>5.0998502246630055</v>
      </c>
      <c r="KQ115" s="11" t="str">
        <f t="shared" si="77"/>
        <v>4. Transformative</v>
      </c>
      <c r="KR115" s="11" t="str">
        <f t="shared" si="78"/>
        <v>2. Accommodating</v>
      </c>
      <c r="KS115" s="11" t="str">
        <f t="shared" si="79"/>
        <v>1. Neutral</v>
      </c>
      <c r="KT115" s="11" t="str">
        <f t="shared" si="80"/>
        <v>It tested new ways for fighting poverty and measured results of innovation</v>
      </c>
      <c r="KU115" s="11" t="str">
        <f t="shared" si="81"/>
        <v>Intensive advocacy</v>
      </c>
      <c r="KV115" s="11" t="str">
        <f t="shared" si="82"/>
        <v>It linked and worked with strategic alliances and partners to take tested and effective solutions to scale</v>
      </c>
      <c r="KW115" s="11" t="str">
        <f t="shared" si="83"/>
        <v>Cambodia - Partnering to Save Lives (PSL)</v>
      </c>
      <c r="KX115" s="11" t="str">
        <f t="shared" si="84"/>
        <v>Partnering to Save Lives (PSL)</v>
      </c>
      <c r="KY115" s="11" t="str">
        <f t="shared" si="85"/>
        <v>Cambodia</v>
      </c>
      <c r="KZ115" s="12">
        <v>115</v>
      </c>
    </row>
    <row r="116" spans="1:312" x14ac:dyDescent="0.3">
      <c r="A116" s="11" t="s">
        <v>2092</v>
      </c>
      <c r="B116" s="11" t="s">
        <v>306</v>
      </c>
      <c r="C116" s="11">
        <v>2834</v>
      </c>
      <c r="D116" s="11" t="s">
        <v>2163</v>
      </c>
      <c r="E116" s="24" t="str">
        <f t="shared" si="43"/>
        <v>Cambodia</v>
      </c>
      <c r="F116" s="11" t="s">
        <v>2164</v>
      </c>
      <c r="G116" s="11" t="s">
        <v>309</v>
      </c>
      <c r="H116" s="11" t="s">
        <v>310</v>
      </c>
      <c r="I116" s="11" t="s">
        <v>311</v>
      </c>
      <c r="J116" s="278" t="s">
        <v>14565</v>
      </c>
      <c r="BD116" s="23">
        <v>42370</v>
      </c>
      <c r="BE116" s="23">
        <v>42916</v>
      </c>
      <c r="BF116" s="23">
        <v>43069</v>
      </c>
      <c r="BG116" s="11" t="s">
        <v>609</v>
      </c>
      <c r="BH116" s="22">
        <v>692581</v>
      </c>
      <c r="BI116" s="11" t="s">
        <v>2097</v>
      </c>
      <c r="BJ116" s="11" t="s">
        <v>2098</v>
      </c>
      <c r="BK116" s="11" t="s">
        <v>2099</v>
      </c>
      <c r="BL116" s="11" t="s">
        <v>2100</v>
      </c>
      <c r="BM116" s="11" t="s">
        <v>2101</v>
      </c>
      <c r="BN116" s="11" t="s">
        <v>2102</v>
      </c>
      <c r="BO116" s="11" t="s">
        <v>319</v>
      </c>
      <c r="BP116" s="11" t="s">
        <v>320</v>
      </c>
      <c r="BQ116" s="11" t="s">
        <v>319</v>
      </c>
      <c r="BR116" s="11" t="s">
        <v>2165</v>
      </c>
      <c r="BS116" s="11" t="s">
        <v>357</v>
      </c>
      <c r="BT116" s="11" t="s">
        <v>2166</v>
      </c>
      <c r="BU116" s="11" t="s">
        <v>2167</v>
      </c>
      <c r="BV116" s="22">
        <v>510</v>
      </c>
      <c r="BW116" s="22">
        <v>510</v>
      </c>
      <c r="BX116" s="22">
        <v>1020</v>
      </c>
      <c r="BY116" s="22">
        <v>235281</v>
      </c>
      <c r="BZ116" s="22">
        <v>223694</v>
      </c>
      <c r="CA116" s="22">
        <v>458975</v>
      </c>
      <c r="CB116" s="15" t="s">
        <v>2168</v>
      </c>
      <c r="CL116" s="18"/>
      <c r="CP116" s="18"/>
      <c r="CT116" s="18"/>
      <c r="CX116" s="18"/>
      <c r="DB116" s="18"/>
      <c r="DF116" s="18"/>
      <c r="DJ116" s="18"/>
      <c r="DN116" s="18"/>
      <c r="DR116" s="18"/>
      <c r="DV116" s="18"/>
      <c r="DZ116" s="18"/>
      <c r="ED116" s="18"/>
      <c r="EI116" s="18"/>
      <c r="EK116" s="22">
        <v>2401</v>
      </c>
      <c r="EL116" s="22">
        <v>1833</v>
      </c>
      <c r="EM116" s="22">
        <v>4234</v>
      </c>
      <c r="EN116" s="22">
        <v>235281</v>
      </c>
      <c r="EO116" s="22">
        <v>223694</v>
      </c>
      <c r="EP116" s="22">
        <v>458975</v>
      </c>
      <c r="ES116" s="18"/>
      <c r="EW116" s="18"/>
      <c r="FA116" s="18"/>
      <c r="FE116" s="18"/>
      <c r="FI116" s="18"/>
      <c r="FM116" s="18"/>
      <c r="FQ116" s="18"/>
      <c r="FS116" s="12" t="s">
        <v>320</v>
      </c>
      <c r="FT116" s="22">
        <v>1136</v>
      </c>
      <c r="FU116" s="18">
        <v>0.6</v>
      </c>
      <c r="FV116" s="22">
        <v>102240</v>
      </c>
      <c r="FW116" s="11" t="s">
        <v>320</v>
      </c>
      <c r="FX116" s="22">
        <v>4234</v>
      </c>
      <c r="FY116" s="18">
        <v>0.56999999999999995</v>
      </c>
      <c r="FZ116" s="22">
        <v>457272</v>
      </c>
      <c r="GA116" s="11" t="s">
        <v>320</v>
      </c>
      <c r="GB116" s="22">
        <v>214</v>
      </c>
      <c r="GC116" s="18">
        <v>0.56999999999999995</v>
      </c>
      <c r="GD116" s="22">
        <v>23112</v>
      </c>
      <c r="GG116" s="18"/>
      <c r="GK116" s="18"/>
      <c r="GO116" s="18"/>
      <c r="GS116" s="18"/>
      <c r="GW116" s="18"/>
      <c r="HA116" s="18"/>
      <c r="HF116" s="18"/>
      <c r="HH116" s="11" t="s">
        <v>319</v>
      </c>
      <c r="HK116" s="11" t="s">
        <v>319</v>
      </c>
      <c r="HL116" s="11" t="s">
        <v>320</v>
      </c>
      <c r="HM116" s="11" t="s">
        <v>522</v>
      </c>
      <c r="HN116" s="11">
        <v>2017</v>
      </c>
      <c r="HO116" s="11" t="s">
        <v>2169</v>
      </c>
      <c r="HP116" s="11" t="s">
        <v>453</v>
      </c>
      <c r="HQ116" s="11" t="s">
        <v>320</v>
      </c>
      <c r="HR116" s="11" t="s">
        <v>319</v>
      </c>
      <c r="HS116" s="11" t="s">
        <v>320</v>
      </c>
      <c r="HT116" s="11" t="s">
        <v>319</v>
      </c>
      <c r="HU116" s="11" t="s">
        <v>319</v>
      </c>
      <c r="HV116" s="11" t="s">
        <v>319</v>
      </c>
      <c r="HW116" s="11" t="s">
        <v>319</v>
      </c>
      <c r="HX116" s="11" t="s">
        <v>319</v>
      </c>
      <c r="HZ116" s="11" t="s">
        <v>331</v>
      </c>
      <c r="IA116" s="11" t="s">
        <v>2170</v>
      </c>
      <c r="IB116" s="11" t="s">
        <v>333</v>
      </c>
      <c r="IC116" s="11" t="s">
        <v>2171</v>
      </c>
      <c r="ID116" s="11" t="s">
        <v>477</v>
      </c>
      <c r="IE116" s="11" t="s">
        <v>478</v>
      </c>
      <c r="IF116" s="11" t="s">
        <v>320</v>
      </c>
      <c r="IG116" s="11" t="s">
        <v>320</v>
      </c>
      <c r="IH116" s="11" t="s">
        <v>320</v>
      </c>
      <c r="II116" s="11" t="s">
        <v>319</v>
      </c>
      <c r="IJ116" s="12" t="str">
        <f t="shared" si="44"/>
        <v>3. Responsive</v>
      </c>
      <c r="IK116" s="12">
        <f t="shared" si="45"/>
        <v>3</v>
      </c>
      <c r="IL116" s="11" t="s">
        <v>336</v>
      </c>
      <c r="IM116" s="11" t="s">
        <v>320</v>
      </c>
      <c r="IN116" s="11" t="s">
        <v>320</v>
      </c>
      <c r="IO116" s="11" t="s">
        <v>319</v>
      </c>
      <c r="IP116" s="11" t="s">
        <v>320</v>
      </c>
      <c r="IQ116" s="12" t="str">
        <f t="shared" si="46"/>
        <v>2. Accommodating</v>
      </c>
      <c r="IR116" s="12">
        <f t="shared" si="47"/>
        <v>3</v>
      </c>
      <c r="IS116" s="11" t="s">
        <v>337</v>
      </c>
      <c r="IT116" s="11" t="s">
        <v>320</v>
      </c>
      <c r="IU116" s="11" t="s">
        <v>320</v>
      </c>
      <c r="IV116" s="11" t="s">
        <v>319</v>
      </c>
      <c r="IW116" s="11" t="str">
        <f t="shared" si="48"/>
        <v>1. Neutral</v>
      </c>
      <c r="IX116" s="12">
        <f t="shared" si="49"/>
        <v>2</v>
      </c>
      <c r="IY116" s="11" t="s">
        <v>338</v>
      </c>
      <c r="IZ116" s="11" t="s">
        <v>339</v>
      </c>
      <c r="JA116" s="11">
        <v>3</v>
      </c>
      <c r="JB116" s="11" t="s">
        <v>623</v>
      </c>
      <c r="JC116" s="11" t="s">
        <v>687</v>
      </c>
      <c r="JE116" s="11" t="s">
        <v>365</v>
      </c>
      <c r="JG116" s="11" t="s">
        <v>2172</v>
      </c>
      <c r="JH116" s="11" t="s">
        <v>2173</v>
      </c>
      <c r="JI116" s="11" t="s">
        <v>2174</v>
      </c>
      <c r="JJ116" s="11" t="s">
        <v>2175</v>
      </c>
      <c r="JK116" s="11" t="s">
        <v>2176</v>
      </c>
      <c r="JL116" s="11" t="s">
        <v>2177</v>
      </c>
      <c r="JM116" s="11" t="s">
        <v>2178</v>
      </c>
      <c r="JN116" s="11" t="s">
        <v>2179</v>
      </c>
      <c r="JO116" s="11" t="s">
        <v>2180</v>
      </c>
      <c r="JP116" s="15">
        <f t="shared" si="50"/>
        <v>4234</v>
      </c>
      <c r="JQ116" s="15">
        <f t="shared" si="51"/>
        <v>458975</v>
      </c>
      <c r="JR116" s="279">
        <f t="shared" si="52"/>
        <v>108.40222012281531</v>
      </c>
      <c r="JS116" s="17">
        <f t="shared" si="53"/>
        <v>0.56707605101558811</v>
      </c>
      <c r="JT116" s="18">
        <f t="shared" si="54"/>
        <v>0.51262269186774878</v>
      </c>
      <c r="JU116" s="280">
        <f t="shared" si="55"/>
        <v>2401</v>
      </c>
      <c r="JV116" s="280">
        <f t="shared" si="56"/>
        <v>235281</v>
      </c>
      <c r="JW116" s="319" t="str">
        <f t="shared" si="57"/>
        <v/>
      </c>
      <c r="JX116" s="15">
        <f t="shared" si="58"/>
        <v>0</v>
      </c>
      <c r="JY116" s="15">
        <f t="shared" si="59"/>
        <v>0</v>
      </c>
      <c r="JZ116" s="19" t="str">
        <f t="shared" si="60"/>
        <v/>
      </c>
      <c r="KA116" s="52" t="str">
        <f t="shared" si="61"/>
        <v/>
      </c>
      <c r="KB116" s="15">
        <f t="shared" si="62"/>
        <v>0</v>
      </c>
      <c r="KC116" s="15">
        <f t="shared" si="63"/>
        <v>0</v>
      </c>
      <c r="KD116" s="20" t="str">
        <f t="shared" si="64"/>
        <v/>
      </c>
      <c r="KE116" s="52" t="str">
        <f t="shared" si="65"/>
        <v/>
      </c>
      <c r="KF116" s="15">
        <f t="shared" si="66"/>
        <v>0</v>
      </c>
      <c r="KG116" s="15">
        <f t="shared" si="67"/>
        <v>0</v>
      </c>
      <c r="KH116" s="21" t="str">
        <f t="shared" si="68"/>
        <v/>
      </c>
      <c r="KI116" s="52">
        <f t="shared" si="69"/>
        <v>1</v>
      </c>
      <c r="KJ116" s="15">
        <f t="shared" si="70"/>
        <v>1136</v>
      </c>
      <c r="KK116" s="15">
        <f t="shared" si="71"/>
        <v>102240</v>
      </c>
      <c r="KL116" s="19">
        <f t="shared" si="72"/>
        <v>90</v>
      </c>
      <c r="KM116" s="52" t="str">
        <f t="shared" si="73"/>
        <v/>
      </c>
      <c r="KN116" s="22">
        <f t="shared" si="74"/>
        <v>0</v>
      </c>
      <c r="KO116" s="22">
        <f t="shared" si="75"/>
        <v>0</v>
      </c>
      <c r="KP116" s="19" t="str">
        <f t="shared" si="76"/>
        <v/>
      </c>
      <c r="KQ116" s="11" t="str">
        <f t="shared" si="77"/>
        <v>3. Responsive</v>
      </c>
      <c r="KR116" s="11" t="str">
        <f t="shared" si="78"/>
        <v>2. Accommodating</v>
      </c>
      <c r="KS116" s="11" t="str">
        <f t="shared" si="79"/>
        <v>1. Neutral</v>
      </c>
      <c r="KT116" s="11" t="str">
        <f t="shared" si="80"/>
        <v>It tested new ways for fighting poverty and measured results of innovation</v>
      </c>
      <c r="KU116" s="11" t="str">
        <f t="shared" si="81"/>
        <v>Intensive advocacy</v>
      </c>
      <c r="KV116" s="11" t="str">
        <f t="shared" si="82"/>
        <v>It did not take tested solutions to scale</v>
      </c>
      <c r="KW116" s="11" t="str">
        <f t="shared" si="83"/>
        <v>Cambodia - Safe Homes, Safe Communities (SHSC)</v>
      </c>
      <c r="KX116" s="11" t="str">
        <f t="shared" si="84"/>
        <v>Safe Homes, Safe Communities (SHSC)</v>
      </c>
      <c r="KY116" s="11" t="str">
        <f t="shared" si="85"/>
        <v>Cambodia</v>
      </c>
      <c r="KZ116" s="12">
        <v>116</v>
      </c>
    </row>
    <row r="117" spans="1:312" x14ac:dyDescent="0.3">
      <c r="A117" s="11" t="s">
        <v>2092</v>
      </c>
      <c r="B117" s="11" t="s">
        <v>306</v>
      </c>
      <c r="C117" s="11">
        <v>2831</v>
      </c>
      <c r="D117" s="11" t="s">
        <v>2352</v>
      </c>
      <c r="E117" s="24" t="str">
        <f t="shared" si="43"/>
        <v>Cambodia</v>
      </c>
      <c r="F117" s="11" t="s">
        <v>2353</v>
      </c>
      <c r="G117" s="11" t="s">
        <v>608</v>
      </c>
      <c r="H117" s="11" t="s">
        <v>380</v>
      </c>
      <c r="I117" s="11" t="s">
        <v>381</v>
      </c>
      <c r="J117" s="278" t="s">
        <v>14573</v>
      </c>
      <c r="K117" s="11" t="s">
        <v>2354</v>
      </c>
      <c r="L117" s="11" t="s">
        <v>309</v>
      </c>
      <c r="M117" s="11" t="s">
        <v>310</v>
      </c>
      <c r="N117" s="11" t="s">
        <v>311</v>
      </c>
      <c r="O117" s="278" t="s">
        <v>14574</v>
      </c>
      <c r="BD117" s="23">
        <v>41609</v>
      </c>
      <c r="BE117" s="23">
        <v>42916</v>
      </c>
      <c r="BG117" s="11" t="s">
        <v>609</v>
      </c>
      <c r="BH117" s="22">
        <v>1142196</v>
      </c>
      <c r="BI117" s="11" t="s">
        <v>2097</v>
      </c>
      <c r="BJ117" s="11" t="s">
        <v>2098</v>
      </c>
      <c r="BK117" s="11" t="s">
        <v>2099</v>
      </c>
      <c r="BL117" s="11" t="s">
        <v>2100</v>
      </c>
      <c r="BM117" s="11" t="s">
        <v>2101</v>
      </c>
      <c r="BN117" s="11" t="s">
        <v>2102</v>
      </c>
      <c r="BO117" s="11" t="s">
        <v>319</v>
      </c>
      <c r="BP117" s="11" t="s">
        <v>320</v>
      </c>
      <c r="BQ117" s="11" t="s">
        <v>319</v>
      </c>
      <c r="BR117" s="11" t="s">
        <v>2355</v>
      </c>
      <c r="BS117" s="11" t="s">
        <v>322</v>
      </c>
      <c r="BT117" s="11" t="s">
        <v>2356</v>
      </c>
      <c r="BU117" s="11" t="s">
        <v>2357</v>
      </c>
      <c r="BV117" s="22">
        <v>60191</v>
      </c>
      <c r="BW117" s="22">
        <v>30191</v>
      </c>
      <c r="BX117" s="22">
        <v>90382</v>
      </c>
      <c r="BY117" s="22">
        <v>234809</v>
      </c>
      <c r="BZ117" s="22">
        <v>234809</v>
      </c>
      <c r="CA117" s="22">
        <v>469618</v>
      </c>
      <c r="CB117" s="15" t="s">
        <v>2358</v>
      </c>
      <c r="CL117" s="18"/>
      <c r="CP117" s="18"/>
      <c r="CT117" s="18"/>
      <c r="CX117" s="18"/>
      <c r="DB117" s="18"/>
      <c r="DF117" s="18"/>
      <c r="DJ117" s="18"/>
      <c r="DN117" s="18"/>
      <c r="DR117" s="18"/>
      <c r="DV117" s="18"/>
      <c r="DZ117" s="18"/>
      <c r="ED117" s="18"/>
      <c r="EI117" s="18"/>
      <c r="EK117" s="22">
        <v>32092</v>
      </c>
      <c r="EL117" s="22">
        <v>3415</v>
      </c>
      <c r="EM117" s="22">
        <v>35507</v>
      </c>
      <c r="EN117" s="22">
        <v>821559</v>
      </c>
      <c r="EO117" s="22">
        <v>1247970</v>
      </c>
      <c r="EP117" s="22">
        <v>2069529</v>
      </c>
      <c r="ES117" s="18"/>
      <c r="EW117" s="18"/>
      <c r="FA117" s="18"/>
      <c r="FE117" s="18"/>
      <c r="FI117" s="18"/>
      <c r="FM117" s="18"/>
      <c r="FQ117" s="18"/>
      <c r="FS117" s="12" t="s">
        <v>320</v>
      </c>
      <c r="FT117" s="22">
        <v>35507</v>
      </c>
      <c r="FU117" s="18">
        <v>0.9</v>
      </c>
      <c r="FV117" s="22">
        <v>2069529</v>
      </c>
      <c r="FW117" s="11" t="s">
        <v>320</v>
      </c>
      <c r="FX117" s="22">
        <v>4262</v>
      </c>
      <c r="FY117" s="18">
        <v>0.8</v>
      </c>
      <c r="FZ117" s="22">
        <v>12754</v>
      </c>
      <c r="GC117" s="18"/>
      <c r="GG117" s="18"/>
      <c r="GK117" s="18"/>
      <c r="GO117" s="18"/>
      <c r="GS117" s="18"/>
      <c r="GW117" s="18"/>
      <c r="GY117" s="11" t="s">
        <v>320</v>
      </c>
      <c r="GZ117" s="22">
        <v>32092</v>
      </c>
      <c r="HA117" s="18">
        <v>1</v>
      </c>
      <c r="HB117" s="22">
        <v>0</v>
      </c>
      <c r="HF117" s="18"/>
      <c r="HH117" s="11" t="s">
        <v>320</v>
      </c>
      <c r="HI117" s="11" t="s">
        <v>451</v>
      </c>
      <c r="HJ117" s="11">
        <v>2017</v>
      </c>
      <c r="HK117" s="11" t="s">
        <v>319</v>
      </c>
      <c r="HL117" s="11" t="s">
        <v>319</v>
      </c>
      <c r="HO117" s="11" t="s">
        <v>393</v>
      </c>
      <c r="HP117" s="11" t="s">
        <v>330</v>
      </c>
      <c r="HQ117" s="11" t="s">
        <v>319</v>
      </c>
      <c r="HR117" s="11" t="s">
        <v>320</v>
      </c>
      <c r="HS117" s="11" t="s">
        <v>320</v>
      </c>
      <c r="HT117" s="11" t="s">
        <v>320</v>
      </c>
      <c r="HU117" s="11" t="s">
        <v>320</v>
      </c>
      <c r="HV117" s="11" t="s">
        <v>319</v>
      </c>
      <c r="HW117" s="11" t="s">
        <v>319</v>
      </c>
      <c r="HX117" s="11" t="s">
        <v>319</v>
      </c>
      <c r="HZ117" s="11" t="s">
        <v>394</v>
      </c>
      <c r="IA117" s="11" t="s">
        <v>2359</v>
      </c>
      <c r="IB117" s="11" t="s">
        <v>396</v>
      </c>
      <c r="IC117" s="11" t="s">
        <v>2360</v>
      </c>
      <c r="ID117" s="11" t="s">
        <v>477</v>
      </c>
      <c r="IE117" s="11" t="s">
        <v>478</v>
      </c>
      <c r="IF117" s="11" t="s">
        <v>320</v>
      </c>
      <c r="IG117" s="11" t="s">
        <v>320</v>
      </c>
      <c r="IH117" s="11" t="s">
        <v>320</v>
      </c>
      <c r="II117" s="11" t="s">
        <v>320</v>
      </c>
      <c r="IJ117" s="12" t="str">
        <f t="shared" si="44"/>
        <v>4. Transformative</v>
      </c>
      <c r="IK117" s="12">
        <f t="shared" si="45"/>
        <v>4</v>
      </c>
      <c r="IL117" s="11" t="s">
        <v>336</v>
      </c>
      <c r="IM117" s="11" t="s">
        <v>320</v>
      </c>
      <c r="IN117" s="11" t="s">
        <v>320</v>
      </c>
      <c r="IO117" s="11" t="s">
        <v>320</v>
      </c>
      <c r="IP117" s="11" t="s">
        <v>320</v>
      </c>
      <c r="IQ117" s="12" t="str">
        <f t="shared" si="46"/>
        <v>2. Accommodating</v>
      </c>
      <c r="IR117" s="12">
        <f t="shared" si="47"/>
        <v>4</v>
      </c>
      <c r="IS117" s="11" t="s">
        <v>337</v>
      </c>
      <c r="IT117" s="11" t="s">
        <v>320</v>
      </c>
      <c r="IU117" s="11" t="s">
        <v>319</v>
      </c>
      <c r="IV117" s="11" t="s">
        <v>320</v>
      </c>
      <c r="IW117" s="11" t="str">
        <f t="shared" si="48"/>
        <v>1. Neutral</v>
      </c>
      <c r="IX117" s="12">
        <f t="shared" si="49"/>
        <v>2</v>
      </c>
      <c r="IY117" s="11" t="s">
        <v>338</v>
      </c>
      <c r="IZ117" s="11" t="s">
        <v>339</v>
      </c>
      <c r="JA117" s="11">
        <v>2</v>
      </c>
      <c r="JB117" s="11" t="s">
        <v>724</v>
      </c>
      <c r="JC117" s="11" t="s">
        <v>623</v>
      </c>
      <c r="JE117" s="11" t="s">
        <v>420</v>
      </c>
      <c r="JH117" s="11" t="s">
        <v>2361</v>
      </c>
      <c r="JI117" s="11" t="s">
        <v>2362</v>
      </c>
      <c r="JK117" s="11" t="s">
        <v>2363</v>
      </c>
      <c r="JL117" s="11" t="s">
        <v>2364</v>
      </c>
      <c r="JM117" s="11" t="s">
        <v>2365</v>
      </c>
      <c r="JO117" s="11" t="s">
        <v>2366</v>
      </c>
      <c r="JP117" s="15">
        <f t="shared" si="50"/>
        <v>35507</v>
      </c>
      <c r="JQ117" s="15">
        <f t="shared" si="51"/>
        <v>2069529</v>
      </c>
      <c r="JR117" s="279">
        <f t="shared" si="52"/>
        <v>58.285098712929845</v>
      </c>
      <c r="JS117" s="17">
        <f t="shared" si="53"/>
        <v>0.90382178162052551</v>
      </c>
      <c r="JT117" s="18">
        <f t="shared" si="54"/>
        <v>0.39697873284211044</v>
      </c>
      <c r="JU117" s="280">
        <f t="shared" si="55"/>
        <v>32092</v>
      </c>
      <c r="JV117" s="280">
        <f t="shared" si="56"/>
        <v>821559</v>
      </c>
      <c r="JW117" s="319" t="str">
        <f t="shared" si="57"/>
        <v/>
      </c>
      <c r="JX117" s="15">
        <f t="shared" si="58"/>
        <v>0</v>
      </c>
      <c r="JY117" s="15">
        <f t="shared" si="59"/>
        <v>0</v>
      </c>
      <c r="JZ117" s="19" t="str">
        <f t="shared" si="60"/>
        <v/>
      </c>
      <c r="KA117" s="52" t="str">
        <f t="shared" si="61"/>
        <v/>
      </c>
      <c r="KB117" s="15">
        <f t="shared" si="62"/>
        <v>0</v>
      </c>
      <c r="KC117" s="15">
        <f t="shared" si="63"/>
        <v>0</v>
      </c>
      <c r="KD117" s="20" t="str">
        <f t="shared" si="64"/>
        <v/>
      </c>
      <c r="KE117" s="52" t="str">
        <f t="shared" si="65"/>
        <v/>
      </c>
      <c r="KF117" s="15">
        <f t="shared" si="66"/>
        <v>0</v>
      </c>
      <c r="KG117" s="15">
        <f t="shared" si="67"/>
        <v>0</v>
      </c>
      <c r="KH117" s="21" t="str">
        <f t="shared" si="68"/>
        <v/>
      </c>
      <c r="KI117" s="52">
        <f t="shared" si="69"/>
        <v>1</v>
      </c>
      <c r="KJ117" s="15">
        <f t="shared" si="70"/>
        <v>35507</v>
      </c>
      <c r="KK117" s="15">
        <f t="shared" si="71"/>
        <v>2069529</v>
      </c>
      <c r="KL117" s="19">
        <f t="shared" si="72"/>
        <v>58.285098712929845</v>
      </c>
      <c r="KM117" s="52">
        <f t="shared" si="73"/>
        <v>1</v>
      </c>
      <c r="KN117" s="22">
        <f t="shared" si="74"/>
        <v>32092</v>
      </c>
      <c r="KO117" s="22">
        <f t="shared" si="75"/>
        <v>0</v>
      </c>
      <c r="KP117" s="19">
        <f t="shared" si="76"/>
        <v>0</v>
      </c>
      <c r="KQ117" s="11" t="str">
        <f t="shared" si="77"/>
        <v>4. Transformative</v>
      </c>
      <c r="KR117" s="11" t="str">
        <f t="shared" si="78"/>
        <v>2. Accommodating</v>
      </c>
      <c r="KS117" s="11" t="str">
        <f t="shared" si="79"/>
        <v>1. Neutral</v>
      </c>
      <c r="KT117" s="11" t="str">
        <f t="shared" si="80"/>
        <v>It tested new ways for fighting poverty, but did not measure results of innovation</v>
      </c>
      <c r="KU117" s="11" t="str">
        <f t="shared" si="81"/>
        <v>Moderate advocacy</v>
      </c>
      <c r="KV117" s="11" t="str">
        <f t="shared" si="82"/>
        <v>It linked and worked with strategic alliances and partners to take tested and effective solutions to scale</v>
      </c>
      <c r="KW117" s="11" t="str">
        <f t="shared" si="83"/>
        <v>Cambodia - Safe Workplaces, Safe Communities (SWSC) (2831) and Protections for Marginalised Urban Women Project (PMUW)  (2832)</v>
      </c>
      <c r="KX117" s="11" t="str">
        <f t="shared" si="84"/>
        <v>Safe Workplaces, Safe Communities (SWSC) (2831) and Protections for Marginalised Urban Women Project (PMUW)  (2832)</v>
      </c>
      <c r="KY117" s="11" t="str">
        <f t="shared" si="85"/>
        <v>Cambodia</v>
      </c>
      <c r="KZ117" s="12">
        <v>117</v>
      </c>
    </row>
    <row r="118" spans="1:312" x14ac:dyDescent="0.3">
      <c r="A118" s="11" t="s">
        <v>2092</v>
      </c>
      <c r="B118" s="11" t="s">
        <v>306</v>
      </c>
      <c r="C118" s="11">
        <v>2824</v>
      </c>
      <c r="D118" s="11" t="s">
        <v>2367</v>
      </c>
      <c r="E118" s="24" t="str">
        <f t="shared" si="43"/>
        <v>Cambodia</v>
      </c>
      <c r="F118" s="11" t="s">
        <v>2368</v>
      </c>
      <c r="G118" s="11" t="s">
        <v>608</v>
      </c>
      <c r="H118" s="11" t="s">
        <v>380</v>
      </c>
      <c r="I118" s="11" t="s">
        <v>381</v>
      </c>
      <c r="J118" s="278" t="s">
        <v>8430</v>
      </c>
      <c r="BD118" s="23">
        <v>41456</v>
      </c>
      <c r="BE118" s="23">
        <v>42735</v>
      </c>
      <c r="BF118" s="23">
        <v>43099</v>
      </c>
      <c r="BG118" s="11" t="s">
        <v>350</v>
      </c>
      <c r="BH118" s="22">
        <v>776143</v>
      </c>
      <c r="BI118" s="11" t="s">
        <v>2097</v>
      </c>
      <c r="BJ118" s="11" t="s">
        <v>2098</v>
      </c>
      <c r="BK118" s="11" t="s">
        <v>2099</v>
      </c>
      <c r="BL118" s="11" t="s">
        <v>2100</v>
      </c>
      <c r="BM118" s="11" t="s">
        <v>2101</v>
      </c>
      <c r="BN118" s="11" t="s">
        <v>2102</v>
      </c>
      <c r="BO118" s="12" t="s">
        <v>319</v>
      </c>
      <c r="BP118" s="12" t="s">
        <v>320</v>
      </c>
      <c r="BQ118" s="12" t="s">
        <v>319</v>
      </c>
      <c r="BR118" s="11" t="s">
        <v>2369</v>
      </c>
      <c r="BS118" s="11" t="s">
        <v>357</v>
      </c>
      <c r="BT118" s="11" t="s">
        <v>2370</v>
      </c>
      <c r="BU118" s="11" t="s">
        <v>2371</v>
      </c>
      <c r="BV118" s="22">
        <v>953</v>
      </c>
      <c r="BW118" s="22">
        <v>953</v>
      </c>
      <c r="BX118" s="22">
        <v>1906</v>
      </c>
      <c r="BY118" s="22">
        <v>25026</v>
      </c>
      <c r="BZ118" s="22">
        <v>26876</v>
      </c>
      <c r="CA118" s="22">
        <v>51902</v>
      </c>
      <c r="CB118" s="15" t="s">
        <v>2372</v>
      </c>
      <c r="CL118" s="18"/>
      <c r="CP118" s="18"/>
      <c r="CT118" s="18"/>
      <c r="CX118" s="18"/>
      <c r="DB118" s="18"/>
      <c r="DF118" s="18"/>
      <c r="DJ118" s="18"/>
      <c r="DN118" s="18"/>
      <c r="DR118" s="18"/>
      <c r="DV118" s="18"/>
      <c r="DZ118" s="18"/>
      <c r="ED118" s="18"/>
      <c r="EI118" s="18"/>
      <c r="EK118" s="22">
        <v>418</v>
      </c>
      <c r="EL118" s="22">
        <v>1565</v>
      </c>
      <c r="EM118" s="22">
        <v>1983</v>
      </c>
      <c r="EN118" s="22">
        <v>25026</v>
      </c>
      <c r="EO118" s="22">
        <v>26876</v>
      </c>
      <c r="EP118" s="22">
        <v>51902</v>
      </c>
      <c r="ES118" s="18"/>
      <c r="EW118" s="18"/>
      <c r="FA118" s="18"/>
      <c r="FE118" s="18"/>
      <c r="FI118" s="18"/>
      <c r="FK118" s="12" t="s">
        <v>320</v>
      </c>
      <c r="FL118" s="22">
        <v>1983</v>
      </c>
      <c r="FM118" s="18">
        <v>0.21</v>
      </c>
      <c r="FN118" s="22">
        <v>51902</v>
      </c>
      <c r="FQ118" s="18"/>
      <c r="FU118" s="18"/>
      <c r="FW118" s="11" t="s">
        <v>320</v>
      </c>
      <c r="FX118" s="22">
        <v>1983</v>
      </c>
      <c r="FY118" s="18">
        <v>0.21</v>
      </c>
      <c r="FZ118" s="22">
        <v>51902</v>
      </c>
      <c r="GC118" s="18"/>
      <c r="GG118" s="18"/>
      <c r="GK118" s="18"/>
      <c r="GM118" s="11" t="s">
        <v>320</v>
      </c>
      <c r="GN118" s="22">
        <v>1983</v>
      </c>
      <c r="GO118" s="18">
        <v>0.21</v>
      </c>
      <c r="GP118" s="22">
        <v>51902</v>
      </c>
      <c r="GS118" s="18"/>
      <c r="GW118" s="18"/>
      <c r="HA118" s="18"/>
      <c r="HF118" s="18"/>
      <c r="HH118" s="11" t="s">
        <v>319</v>
      </c>
      <c r="HK118" s="11" t="s">
        <v>319</v>
      </c>
      <c r="HL118" s="11" t="s">
        <v>319</v>
      </c>
      <c r="HO118" s="11" t="s">
        <v>393</v>
      </c>
      <c r="HP118" s="11" t="s">
        <v>330</v>
      </c>
      <c r="HQ118" s="11" t="s">
        <v>319</v>
      </c>
      <c r="HR118" s="11" t="s">
        <v>319</v>
      </c>
      <c r="HS118" s="11" t="s">
        <v>319</v>
      </c>
      <c r="HT118" s="11" t="s">
        <v>320</v>
      </c>
      <c r="HU118" s="11" t="s">
        <v>320</v>
      </c>
      <c r="HV118" s="11" t="s">
        <v>320</v>
      </c>
      <c r="HW118" s="11" t="s">
        <v>319</v>
      </c>
      <c r="HX118" s="11" t="s">
        <v>319</v>
      </c>
      <c r="HZ118" s="11" t="s">
        <v>394</v>
      </c>
      <c r="IA118" s="11" t="s">
        <v>2373</v>
      </c>
      <c r="IB118" s="11" t="s">
        <v>396</v>
      </c>
      <c r="IC118" s="11" t="s">
        <v>2374</v>
      </c>
      <c r="ID118" s="11" t="s">
        <v>364</v>
      </c>
      <c r="IE118" s="11" t="s">
        <v>335</v>
      </c>
      <c r="IF118" s="11" t="s">
        <v>320</v>
      </c>
      <c r="IG118" s="11" t="s">
        <v>320</v>
      </c>
      <c r="IH118" s="11" t="s">
        <v>320</v>
      </c>
      <c r="II118" s="11" t="s">
        <v>320</v>
      </c>
      <c r="IJ118" s="12" t="str">
        <f t="shared" si="44"/>
        <v>2. Sensitive</v>
      </c>
      <c r="IK118" s="12">
        <f t="shared" si="45"/>
        <v>4</v>
      </c>
      <c r="IL118" s="11" t="s">
        <v>621</v>
      </c>
      <c r="IM118" s="11" t="s">
        <v>320</v>
      </c>
      <c r="IN118" s="11" t="s">
        <v>320</v>
      </c>
      <c r="IO118" s="11" t="s">
        <v>320</v>
      </c>
      <c r="IP118" s="11" t="s">
        <v>320</v>
      </c>
      <c r="IQ118" s="12" t="str">
        <f t="shared" si="46"/>
        <v>4. Transformational</v>
      </c>
      <c r="IR118" s="12">
        <f t="shared" si="47"/>
        <v>4</v>
      </c>
      <c r="IS118" s="11" t="s">
        <v>337</v>
      </c>
      <c r="IT118" s="11" t="s">
        <v>320</v>
      </c>
      <c r="IU118" s="11" t="s">
        <v>320</v>
      </c>
      <c r="IV118" s="11" t="s">
        <v>320</v>
      </c>
      <c r="IW118" s="11" t="str">
        <f t="shared" si="48"/>
        <v>2. Sensitive</v>
      </c>
      <c r="IX118" s="12">
        <f t="shared" si="49"/>
        <v>3</v>
      </c>
      <c r="IY118" s="11" t="s">
        <v>419</v>
      </c>
      <c r="IZ118" s="11" t="s">
        <v>457</v>
      </c>
      <c r="JA118" s="11">
        <v>2</v>
      </c>
      <c r="JB118" s="11" t="s">
        <v>623</v>
      </c>
      <c r="JC118" s="11" t="s">
        <v>687</v>
      </c>
      <c r="JE118" s="11" t="s">
        <v>365</v>
      </c>
      <c r="JF118" s="11" t="s">
        <v>2375</v>
      </c>
      <c r="JG118" s="11" t="s">
        <v>2376</v>
      </c>
      <c r="JH118" s="11" t="s">
        <v>2377</v>
      </c>
      <c r="JI118" s="11" t="s">
        <v>2378</v>
      </c>
      <c r="JJ118" s="11" t="s">
        <v>2379</v>
      </c>
      <c r="JK118" s="11" t="s">
        <v>2380</v>
      </c>
      <c r="JL118" s="11" t="s">
        <v>2381</v>
      </c>
      <c r="JN118" s="11" t="s">
        <v>2382</v>
      </c>
      <c r="JO118" s="11" t="s">
        <v>2351</v>
      </c>
      <c r="JP118" s="15">
        <f t="shared" si="50"/>
        <v>1983</v>
      </c>
      <c r="JQ118" s="15">
        <f t="shared" si="51"/>
        <v>51902</v>
      </c>
      <c r="JR118" s="279">
        <f t="shared" si="52"/>
        <v>26.17347453353505</v>
      </c>
      <c r="JS118" s="17">
        <f t="shared" si="53"/>
        <v>0.21079172970247101</v>
      </c>
      <c r="JT118" s="18">
        <f t="shared" si="54"/>
        <v>0.48217795075334285</v>
      </c>
      <c r="JU118" s="280">
        <f t="shared" si="55"/>
        <v>418</v>
      </c>
      <c r="JV118" s="280">
        <f t="shared" si="56"/>
        <v>25026</v>
      </c>
      <c r="JW118" s="319" t="str">
        <f t="shared" si="57"/>
        <v/>
      </c>
      <c r="JX118" s="15">
        <f t="shared" si="58"/>
        <v>0</v>
      </c>
      <c r="JY118" s="15">
        <f t="shared" si="59"/>
        <v>0</v>
      </c>
      <c r="JZ118" s="19" t="str">
        <f t="shared" si="60"/>
        <v/>
      </c>
      <c r="KA118" s="52" t="str">
        <f t="shared" si="61"/>
        <v/>
      </c>
      <c r="KB118" s="15">
        <f t="shared" si="62"/>
        <v>0</v>
      </c>
      <c r="KC118" s="15">
        <f t="shared" si="63"/>
        <v>0</v>
      </c>
      <c r="KD118" s="20" t="str">
        <f t="shared" si="64"/>
        <v/>
      </c>
      <c r="KE118" s="52" t="str">
        <f t="shared" si="65"/>
        <v/>
      </c>
      <c r="KF118" s="15">
        <f t="shared" si="66"/>
        <v>0</v>
      </c>
      <c r="KG118" s="15">
        <f t="shared" si="67"/>
        <v>0</v>
      </c>
      <c r="KH118" s="21" t="str">
        <f t="shared" si="68"/>
        <v/>
      </c>
      <c r="KI118" s="52" t="str">
        <f t="shared" si="69"/>
        <v/>
      </c>
      <c r="KJ118" s="15">
        <f t="shared" si="70"/>
        <v>0</v>
      </c>
      <c r="KK118" s="15">
        <f t="shared" si="71"/>
        <v>0</v>
      </c>
      <c r="KL118" s="19" t="str">
        <f t="shared" si="72"/>
        <v/>
      </c>
      <c r="KM118" s="52" t="str">
        <f t="shared" si="73"/>
        <v/>
      </c>
      <c r="KN118" s="22">
        <f t="shared" si="74"/>
        <v>0</v>
      </c>
      <c r="KO118" s="22">
        <f t="shared" si="75"/>
        <v>0</v>
      </c>
      <c r="KP118" s="19" t="str">
        <f t="shared" si="76"/>
        <v/>
      </c>
      <c r="KQ118" s="11" t="str">
        <f t="shared" si="77"/>
        <v>2. Sensitive</v>
      </c>
      <c r="KR118" s="11" t="str">
        <f t="shared" si="78"/>
        <v>4. Transformational</v>
      </c>
      <c r="KS118" s="11" t="str">
        <f t="shared" si="79"/>
        <v>2. Sensitive</v>
      </c>
      <c r="KT118" s="11" t="str">
        <f t="shared" si="80"/>
        <v>It tested new ways for fighting poverty, but did not measure results of innovation</v>
      </c>
      <c r="KU118" s="11" t="str">
        <f t="shared" si="81"/>
        <v>Moderate advocacy</v>
      </c>
      <c r="KV118" s="11" t="str">
        <f t="shared" si="82"/>
        <v>It linked and worked with strategic alliances and partners to take tested and effective solutions to scale</v>
      </c>
      <c r="KW118" s="11" t="str">
        <f t="shared" si="83"/>
        <v>Cambodia - School Governance Phase III (the project was continue from last  year porject school govvernance phase I and phase II code 2824, that ended in Dec 2016, and continue another year</v>
      </c>
      <c r="KX118" s="11" t="str">
        <f t="shared" si="84"/>
        <v>School Governance Phase III (the project was continue from last  year porject school govvernance phase I and phase II code 2824, that ended in Dec 2016, and continue another year</v>
      </c>
      <c r="KY118" s="11" t="str">
        <f t="shared" si="85"/>
        <v>Cambodia</v>
      </c>
      <c r="KZ118" s="12">
        <v>118</v>
      </c>
    </row>
    <row r="119" spans="1:312" x14ac:dyDescent="0.3">
      <c r="A119" s="11" t="s">
        <v>2092</v>
      </c>
      <c r="B119" s="11" t="s">
        <v>306</v>
      </c>
      <c r="C119" s="11">
        <v>2828</v>
      </c>
      <c r="D119" s="11" t="s">
        <v>2307</v>
      </c>
      <c r="E119" s="24" t="str">
        <f t="shared" si="43"/>
        <v>Cambodia</v>
      </c>
      <c r="F119" s="11" t="s">
        <v>2308</v>
      </c>
      <c r="G119" s="11" t="s">
        <v>379</v>
      </c>
      <c r="H119" s="11" t="s">
        <v>383</v>
      </c>
      <c r="I119" s="11" t="s">
        <v>384</v>
      </c>
      <c r="J119" s="278" t="s">
        <v>2309</v>
      </c>
      <c r="K119" s="11" t="s">
        <v>2310</v>
      </c>
      <c r="L119" s="11" t="s">
        <v>379</v>
      </c>
      <c r="M119" s="11" t="s">
        <v>554</v>
      </c>
      <c r="N119" s="11" t="s">
        <v>384</v>
      </c>
      <c r="O119" s="11" t="s">
        <v>2311</v>
      </c>
      <c r="BD119" s="23">
        <v>42675</v>
      </c>
      <c r="BE119" s="23">
        <v>43616</v>
      </c>
      <c r="BG119" s="11" t="s">
        <v>490</v>
      </c>
      <c r="BH119" s="22">
        <v>262830</v>
      </c>
      <c r="BI119" s="11" t="s">
        <v>2097</v>
      </c>
      <c r="BJ119" s="11" t="s">
        <v>2098</v>
      </c>
      <c r="BK119" s="11" t="s">
        <v>2099</v>
      </c>
      <c r="BL119" s="11" t="s">
        <v>2100</v>
      </c>
      <c r="BM119" s="11" t="s">
        <v>2101</v>
      </c>
      <c r="BN119" s="11" t="s">
        <v>2102</v>
      </c>
      <c r="BO119" s="12" t="s">
        <v>319</v>
      </c>
      <c r="BP119" s="12" t="s">
        <v>320</v>
      </c>
      <c r="BQ119" s="12" t="s">
        <v>319</v>
      </c>
      <c r="BR119" s="11" t="s">
        <v>2312</v>
      </c>
      <c r="BS119" s="11" t="s">
        <v>357</v>
      </c>
      <c r="BT119" s="11" t="s">
        <v>2313</v>
      </c>
      <c r="BU119" s="11" t="s">
        <v>2314</v>
      </c>
      <c r="BV119" s="22">
        <v>5834</v>
      </c>
      <c r="BW119" s="22">
        <v>1445</v>
      </c>
      <c r="BX119" s="22">
        <v>7279</v>
      </c>
      <c r="BY119" s="22">
        <v>18529</v>
      </c>
      <c r="BZ119" s="22">
        <v>7112</v>
      </c>
      <c r="CA119" s="22">
        <v>25641</v>
      </c>
      <c r="CB119" s="15" t="s">
        <v>2315</v>
      </c>
      <c r="CL119" s="18"/>
      <c r="CP119" s="18"/>
      <c r="CT119" s="18"/>
      <c r="CX119" s="18"/>
      <c r="DB119" s="18"/>
      <c r="DF119" s="18"/>
      <c r="DJ119" s="18"/>
      <c r="DN119" s="18"/>
      <c r="DR119" s="18"/>
      <c r="DV119" s="18"/>
      <c r="DZ119" s="18"/>
      <c r="ED119" s="18"/>
      <c r="EI119" s="18"/>
      <c r="EK119" s="22">
        <v>4500</v>
      </c>
      <c r="EL119" s="22">
        <v>1093</v>
      </c>
      <c r="EM119" s="22">
        <v>5593</v>
      </c>
      <c r="EN119" s="22">
        <v>1929</v>
      </c>
      <c r="EO119" s="22">
        <v>469</v>
      </c>
      <c r="EP119" s="22">
        <v>2398</v>
      </c>
      <c r="ES119" s="18"/>
      <c r="EW119" s="18"/>
      <c r="FA119" s="18"/>
      <c r="FE119" s="18"/>
      <c r="FI119" s="18"/>
      <c r="FM119" s="18"/>
      <c r="FO119" s="12" t="s">
        <v>320</v>
      </c>
      <c r="FP119" s="22">
        <v>4363</v>
      </c>
      <c r="FQ119" s="18">
        <v>0.82</v>
      </c>
      <c r="FR119" s="22">
        <v>2398</v>
      </c>
      <c r="FU119" s="18"/>
      <c r="FY119" s="18"/>
      <c r="GA119" s="11" t="s">
        <v>320</v>
      </c>
      <c r="GB119" s="22">
        <v>4363</v>
      </c>
      <c r="GC119" s="18">
        <v>0.81</v>
      </c>
      <c r="GD119" s="22">
        <v>2398</v>
      </c>
      <c r="GG119" s="18"/>
      <c r="GK119" s="18"/>
      <c r="GO119" s="18"/>
      <c r="GQ119" s="12" t="s">
        <v>320</v>
      </c>
      <c r="GR119" s="22">
        <v>5413</v>
      </c>
      <c r="GS119" s="18">
        <v>0.8</v>
      </c>
      <c r="GT119" s="22">
        <v>2398</v>
      </c>
      <c r="GU119" s="12" t="s">
        <v>320</v>
      </c>
      <c r="GV119" s="22">
        <v>2182</v>
      </c>
      <c r="GW119" s="18">
        <v>0.82</v>
      </c>
      <c r="GX119" s="22">
        <v>2398</v>
      </c>
      <c r="GY119" s="11" t="s">
        <v>320</v>
      </c>
      <c r="GZ119" s="22">
        <v>2327</v>
      </c>
      <c r="HA119" s="18">
        <v>0.87</v>
      </c>
      <c r="HB119" s="22">
        <v>2398</v>
      </c>
      <c r="HF119" s="18"/>
      <c r="HH119" s="11" t="s">
        <v>320</v>
      </c>
      <c r="HI119" s="11" t="s">
        <v>328</v>
      </c>
      <c r="HJ119" s="11">
        <v>2016</v>
      </c>
      <c r="HK119" s="11" t="s">
        <v>319</v>
      </c>
      <c r="HL119" s="11" t="s">
        <v>320</v>
      </c>
      <c r="HM119" s="11" t="s">
        <v>327</v>
      </c>
      <c r="HN119" s="11">
        <v>2017</v>
      </c>
      <c r="HO119" s="11" t="s">
        <v>2316</v>
      </c>
      <c r="HP119" s="11" t="s">
        <v>330</v>
      </c>
      <c r="HQ119" s="11" t="s">
        <v>319</v>
      </c>
      <c r="HR119" s="11" t="s">
        <v>319</v>
      </c>
      <c r="HS119" s="11" t="s">
        <v>319</v>
      </c>
      <c r="HT119" s="11" t="s">
        <v>320</v>
      </c>
      <c r="HU119" s="11" t="s">
        <v>320</v>
      </c>
      <c r="HV119" s="11" t="s">
        <v>319</v>
      </c>
      <c r="HW119" s="11" t="s">
        <v>319</v>
      </c>
      <c r="HX119" s="11" t="s">
        <v>319</v>
      </c>
      <c r="HZ119" s="11" t="s">
        <v>394</v>
      </c>
      <c r="IA119" s="11" t="s">
        <v>2317</v>
      </c>
      <c r="IB119" s="11" t="s">
        <v>667</v>
      </c>
      <c r="ID119" s="11" t="s">
        <v>334</v>
      </c>
      <c r="IE119" s="11" t="s">
        <v>335</v>
      </c>
      <c r="IF119" s="11" t="s">
        <v>320</v>
      </c>
      <c r="IG119" s="11" t="s">
        <v>320</v>
      </c>
      <c r="IH119" s="11" t="s">
        <v>320</v>
      </c>
      <c r="II119" s="11" t="s">
        <v>320</v>
      </c>
      <c r="IJ119" s="12" t="str">
        <f t="shared" si="44"/>
        <v>2. Sensitive</v>
      </c>
      <c r="IK119" s="12">
        <f t="shared" si="45"/>
        <v>4</v>
      </c>
      <c r="IL119" s="11" t="s">
        <v>336</v>
      </c>
      <c r="IM119" s="11" t="s">
        <v>320</v>
      </c>
      <c r="IN119" s="11" t="s">
        <v>320</v>
      </c>
      <c r="IO119" s="11" t="s">
        <v>320</v>
      </c>
      <c r="IP119" s="11" t="s">
        <v>319</v>
      </c>
      <c r="IQ119" s="12" t="str">
        <f t="shared" si="46"/>
        <v>2. Accommodating</v>
      </c>
      <c r="IR119" s="12">
        <f t="shared" si="47"/>
        <v>3</v>
      </c>
      <c r="IS119" s="11" t="s">
        <v>337</v>
      </c>
      <c r="IT119" s="11" t="s">
        <v>320</v>
      </c>
      <c r="IU119" s="11" t="s">
        <v>319</v>
      </c>
      <c r="IV119" s="11" t="s">
        <v>320</v>
      </c>
      <c r="IW119" s="11" t="str">
        <f t="shared" si="48"/>
        <v>1. Neutral</v>
      </c>
      <c r="IX119" s="12">
        <f t="shared" si="49"/>
        <v>2</v>
      </c>
      <c r="IY119" s="11" t="s">
        <v>338</v>
      </c>
      <c r="IZ119" s="11" t="s">
        <v>457</v>
      </c>
      <c r="JA119" s="11">
        <v>3</v>
      </c>
      <c r="JB119" s="11" t="s">
        <v>433</v>
      </c>
      <c r="JC119" s="11" t="s">
        <v>724</v>
      </c>
      <c r="JD119" s="11" t="s">
        <v>687</v>
      </c>
      <c r="JE119" s="11" t="s">
        <v>340</v>
      </c>
      <c r="JF119" s="11" t="s">
        <v>2318</v>
      </c>
      <c r="JG119" s="11" t="s">
        <v>2319</v>
      </c>
      <c r="JH119" s="11" t="s">
        <v>2320</v>
      </c>
      <c r="JI119" s="11" t="s">
        <v>2321</v>
      </c>
      <c r="JJ119" s="11" t="s">
        <v>2322</v>
      </c>
      <c r="JK119" s="11" t="s">
        <v>2323</v>
      </c>
      <c r="JL119" s="11" t="s">
        <v>2324</v>
      </c>
      <c r="JM119" s="11" t="s">
        <v>2325</v>
      </c>
      <c r="JN119" s="11" t="s">
        <v>2326</v>
      </c>
      <c r="JO119" s="11" t="s">
        <v>2327</v>
      </c>
      <c r="JP119" s="15">
        <f t="shared" si="50"/>
        <v>5593</v>
      </c>
      <c r="JQ119" s="15">
        <f t="shared" si="51"/>
        <v>2398</v>
      </c>
      <c r="JR119" s="279">
        <f t="shared" si="52"/>
        <v>0.42875022349365277</v>
      </c>
      <c r="JS119" s="17">
        <f t="shared" si="53"/>
        <v>0.8045771500089397</v>
      </c>
      <c r="JT119" s="18">
        <f t="shared" si="54"/>
        <v>0.80442035029190995</v>
      </c>
      <c r="JU119" s="280">
        <f t="shared" si="55"/>
        <v>4500</v>
      </c>
      <c r="JV119" s="280">
        <f t="shared" si="56"/>
        <v>1929</v>
      </c>
      <c r="JW119" s="319" t="str">
        <f t="shared" si="57"/>
        <v/>
      </c>
      <c r="JX119" s="15">
        <f t="shared" si="58"/>
        <v>0</v>
      </c>
      <c r="JY119" s="15">
        <f t="shared" si="59"/>
        <v>0</v>
      </c>
      <c r="JZ119" s="19" t="str">
        <f t="shared" si="60"/>
        <v/>
      </c>
      <c r="KA119" s="52">
        <f t="shared" si="61"/>
        <v>1</v>
      </c>
      <c r="KB119" s="15">
        <f t="shared" si="62"/>
        <v>4363</v>
      </c>
      <c r="KC119" s="15">
        <f t="shared" si="63"/>
        <v>2398</v>
      </c>
      <c r="KD119" s="20">
        <f t="shared" si="64"/>
        <v>0.54962181984872793</v>
      </c>
      <c r="KE119" s="52">
        <f t="shared" si="65"/>
        <v>1</v>
      </c>
      <c r="KF119" s="15">
        <f t="shared" si="66"/>
        <v>5413</v>
      </c>
      <c r="KG119" s="15">
        <f t="shared" si="67"/>
        <v>2398</v>
      </c>
      <c r="KH119" s="21">
        <f t="shared" si="68"/>
        <v>0.44300757435802696</v>
      </c>
      <c r="KI119" s="52" t="str">
        <f t="shared" si="69"/>
        <v/>
      </c>
      <c r="KJ119" s="15">
        <f t="shared" si="70"/>
        <v>0</v>
      </c>
      <c r="KK119" s="15">
        <f t="shared" si="71"/>
        <v>0</v>
      </c>
      <c r="KL119" s="19" t="str">
        <f t="shared" si="72"/>
        <v/>
      </c>
      <c r="KM119" s="52">
        <f t="shared" si="73"/>
        <v>1</v>
      </c>
      <c r="KN119" s="22">
        <f t="shared" si="74"/>
        <v>2327</v>
      </c>
      <c r="KO119" s="22">
        <f t="shared" si="75"/>
        <v>2398</v>
      </c>
      <c r="KP119" s="19">
        <f t="shared" si="76"/>
        <v>1.0305113880532875</v>
      </c>
      <c r="KQ119" s="11" t="str">
        <f t="shared" si="77"/>
        <v>2. Sensitive</v>
      </c>
      <c r="KR119" s="11" t="str">
        <f t="shared" si="78"/>
        <v>2. Accommodating</v>
      </c>
      <c r="KS119" s="11" t="str">
        <f t="shared" si="79"/>
        <v>1. Neutral</v>
      </c>
      <c r="KT119" s="11" t="str">
        <f t="shared" si="80"/>
        <v>It tested new ways for fighting poverty, but did not measure results of innovation</v>
      </c>
      <c r="KU119" s="11" t="str">
        <f t="shared" si="81"/>
        <v>Moderate advocacy</v>
      </c>
      <c r="KV119" s="11" t="str">
        <f t="shared" si="82"/>
        <v>It took tested solutions to scale on its own</v>
      </c>
      <c r="KW119" s="11" t="str">
        <f t="shared" si="83"/>
        <v>Cambodia - Sewing for a Brighter Future (2828) and Healthy Food Healthy Workplace (new)</v>
      </c>
      <c r="KX119" s="11" t="str">
        <f t="shared" si="84"/>
        <v>Sewing for a Brighter Future (2828) and Healthy Food Healthy Workplace (new)</v>
      </c>
      <c r="KY119" s="11" t="str">
        <f t="shared" si="85"/>
        <v>Cambodia</v>
      </c>
      <c r="KZ119" s="12">
        <v>119</v>
      </c>
    </row>
    <row r="120" spans="1:312" x14ac:dyDescent="0.3">
      <c r="A120" s="282" t="s">
        <v>2092</v>
      </c>
      <c r="B120" s="282" t="s">
        <v>306</v>
      </c>
      <c r="C120" s="282">
        <v>2814</v>
      </c>
      <c r="D120" s="282" t="s">
        <v>2181</v>
      </c>
      <c r="E120" s="24" t="str">
        <f t="shared" si="43"/>
        <v>Cambodia</v>
      </c>
      <c r="F120" s="282" t="s">
        <v>2182</v>
      </c>
      <c r="G120" s="282" t="s">
        <v>309</v>
      </c>
      <c r="H120" s="282" t="s">
        <v>310</v>
      </c>
      <c r="I120" s="282" t="s">
        <v>311</v>
      </c>
      <c r="J120" s="278" t="s">
        <v>14574</v>
      </c>
      <c r="K120" s="282" t="s">
        <v>2183</v>
      </c>
      <c r="L120" s="282" t="s">
        <v>608</v>
      </c>
      <c r="M120" s="282" t="s">
        <v>380</v>
      </c>
      <c r="N120" s="282" t="s">
        <v>381</v>
      </c>
      <c r="O120" s="282" t="s">
        <v>8430</v>
      </c>
      <c r="P120" s="282"/>
      <c r="Q120" s="282"/>
      <c r="R120" s="282"/>
      <c r="S120" s="282"/>
      <c r="T120" s="282"/>
      <c r="U120" s="282"/>
      <c r="V120" s="282"/>
      <c r="W120" s="282"/>
      <c r="X120" s="282"/>
      <c r="Y120" s="282"/>
      <c r="Z120" s="282"/>
      <c r="AA120" s="282"/>
      <c r="AB120" s="282"/>
      <c r="AC120" s="282"/>
      <c r="AD120" s="282"/>
      <c r="AE120" s="282"/>
      <c r="AF120" s="282"/>
      <c r="AG120" s="282"/>
      <c r="AH120" s="282"/>
      <c r="AI120" s="282"/>
      <c r="AJ120" s="282"/>
      <c r="AK120" s="282"/>
      <c r="AL120" s="282"/>
      <c r="AM120" s="282"/>
      <c r="AN120" s="282"/>
      <c r="AO120" s="282"/>
      <c r="AP120" s="282"/>
      <c r="AQ120" s="282"/>
      <c r="AR120" s="282"/>
      <c r="AS120" s="282"/>
      <c r="AT120" s="282"/>
      <c r="AU120" s="282"/>
      <c r="AV120" s="282"/>
      <c r="AW120" s="282"/>
      <c r="AX120" s="282"/>
      <c r="AY120" s="282"/>
      <c r="AZ120" s="282"/>
      <c r="BA120" s="282"/>
      <c r="BB120" s="282"/>
      <c r="BC120" s="282"/>
      <c r="BD120" s="283">
        <v>42005</v>
      </c>
      <c r="BE120" s="283">
        <v>42916</v>
      </c>
      <c r="BF120" s="283"/>
      <c r="BG120" s="283" t="s">
        <v>350</v>
      </c>
      <c r="BH120" s="284">
        <v>649120</v>
      </c>
      <c r="BI120" s="282" t="s">
        <v>2097</v>
      </c>
      <c r="BJ120" s="282" t="s">
        <v>2098</v>
      </c>
      <c r="BK120" s="282" t="s">
        <v>2099</v>
      </c>
      <c r="BL120" s="282" t="s">
        <v>2100</v>
      </c>
      <c r="BM120" s="282" t="s">
        <v>2101</v>
      </c>
      <c r="BN120" s="282" t="s">
        <v>2102</v>
      </c>
      <c r="BO120" s="12" t="s">
        <v>319</v>
      </c>
      <c r="BP120" s="12" t="s">
        <v>320</v>
      </c>
      <c r="BQ120" s="12" t="s">
        <v>319</v>
      </c>
      <c r="BR120" s="282" t="s">
        <v>2184</v>
      </c>
      <c r="BS120" s="282" t="s">
        <v>357</v>
      </c>
      <c r="BT120" s="282" t="s">
        <v>2185</v>
      </c>
      <c r="BU120" s="282" t="s">
        <v>2186</v>
      </c>
      <c r="BV120" s="284">
        <v>3989</v>
      </c>
      <c r="BW120" s="284">
        <v>4508</v>
      </c>
      <c r="BX120" s="284">
        <v>8497</v>
      </c>
      <c r="BY120" s="284">
        <v>3398</v>
      </c>
      <c r="BZ120" s="284">
        <v>3159</v>
      </c>
      <c r="CA120" s="284">
        <v>6557</v>
      </c>
      <c r="CB120" s="285" t="s">
        <v>2187</v>
      </c>
      <c r="CC120" s="285"/>
      <c r="CD120" s="284"/>
      <c r="CE120" s="284"/>
      <c r="CF120" s="284"/>
      <c r="CG120" s="284"/>
      <c r="CH120" s="284"/>
      <c r="CI120" s="284"/>
      <c r="CJ120" s="282"/>
      <c r="CK120" s="284"/>
      <c r="CL120" s="286"/>
      <c r="CM120" s="284"/>
      <c r="CN120" s="287"/>
      <c r="CO120" s="284"/>
      <c r="CP120" s="286"/>
      <c r="CQ120" s="284"/>
      <c r="CR120" s="282"/>
      <c r="CS120" s="284"/>
      <c r="CT120" s="286"/>
      <c r="CU120" s="284"/>
      <c r="CV120" s="282"/>
      <c r="CW120" s="284"/>
      <c r="CX120" s="286"/>
      <c r="CY120" s="284"/>
      <c r="CZ120" s="282"/>
      <c r="DA120" s="284"/>
      <c r="DB120" s="286"/>
      <c r="DC120" s="284"/>
      <c r="DD120" s="287"/>
      <c r="DE120" s="284"/>
      <c r="DF120" s="286"/>
      <c r="DG120" s="284"/>
      <c r="DH120" s="282"/>
      <c r="DI120" s="284"/>
      <c r="DJ120" s="286"/>
      <c r="DK120" s="284"/>
      <c r="DL120" s="282"/>
      <c r="DM120" s="284"/>
      <c r="DN120" s="286"/>
      <c r="DO120" s="284"/>
      <c r="DP120" s="282"/>
      <c r="DQ120" s="284"/>
      <c r="DR120" s="286"/>
      <c r="DS120" s="284"/>
      <c r="DT120" s="282"/>
      <c r="DU120" s="284"/>
      <c r="DV120" s="286"/>
      <c r="DW120" s="284"/>
      <c r="DX120" s="282"/>
      <c r="DY120" s="284"/>
      <c r="DZ120" s="286"/>
      <c r="EA120" s="284"/>
      <c r="EB120" s="282"/>
      <c r="EC120" s="284"/>
      <c r="ED120" s="286"/>
      <c r="EE120" s="284"/>
      <c r="EF120" s="285"/>
      <c r="EG120" s="287"/>
      <c r="EH120" s="284"/>
      <c r="EI120" s="286"/>
      <c r="EJ120" s="284"/>
      <c r="EK120" s="284">
        <v>1862</v>
      </c>
      <c r="EL120" s="284">
        <v>1924</v>
      </c>
      <c r="EM120" s="284">
        <v>3786</v>
      </c>
      <c r="EN120" s="284">
        <v>3182</v>
      </c>
      <c r="EO120" s="284">
        <v>3207</v>
      </c>
      <c r="EP120" s="284">
        <v>6389</v>
      </c>
      <c r="EQ120" s="282"/>
      <c r="ER120" s="284"/>
      <c r="ES120" s="286"/>
      <c r="ET120" s="284"/>
      <c r="EU120" s="282" t="s">
        <v>320</v>
      </c>
      <c r="EV120" s="284">
        <v>204</v>
      </c>
      <c r="EW120" s="286">
        <v>0.51</v>
      </c>
      <c r="EX120" s="284">
        <v>836</v>
      </c>
      <c r="EY120" s="282"/>
      <c r="EZ120" s="284"/>
      <c r="FA120" s="286"/>
      <c r="FB120" s="284"/>
      <c r="FC120" s="282"/>
      <c r="FD120" s="284"/>
      <c r="FE120" s="286"/>
      <c r="FF120" s="284"/>
      <c r="FG120" s="282"/>
      <c r="FH120" s="284"/>
      <c r="FI120" s="286"/>
      <c r="FJ120" s="284"/>
      <c r="FK120" s="282" t="s">
        <v>320</v>
      </c>
      <c r="FL120" s="284">
        <v>3109</v>
      </c>
      <c r="FM120" s="286">
        <v>0.46</v>
      </c>
      <c r="FN120" s="284">
        <v>4001</v>
      </c>
      <c r="FO120" s="289" t="s">
        <v>320</v>
      </c>
      <c r="FP120" s="290">
        <v>3786</v>
      </c>
      <c r="FQ120" s="291">
        <v>0.49</v>
      </c>
      <c r="FR120" s="290">
        <v>6389</v>
      </c>
      <c r="FS120" s="282"/>
      <c r="FT120" s="284"/>
      <c r="FU120" s="286"/>
      <c r="FV120" s="284"/>
      <c r="FW120" s="282" t="s">
        <v>320</v>
      </c>
      <c r="FX120" s="284">
        <v>3036</v>
      </c>
      <c r="FY120" s="286">
        <v>0.54</v>
      </c>
      <c r="FZ120" s="284">
        <v>6389</v>
      </c>
      <c r="GA120" s="282"/>
      <c r="GB120" s="284"/>
      <c r="GC120" s="286"/>
      <c r="GD120" s="284"/>
      <c r="GE120" s="282" t="s">
        <v>320</v>
      </c>
      <c r="GF120" s="284">
        <v>2302</v>
      </c>
      <c r="GG120" s="286">
        <v>0.44</v>
      </c>
      <c r="GH120" s="284">
        <v>6389</v>
      </c>
      <c r="GI120" s="282"/>
      <c r="GJ120" s="284"/>
      <c r="GK120" s="286"/>
      <c r="GL120" s="284"/>
      <c r="GM120" s="282"/>
      <c r="GN120" s="284"/>
      <c r="GO120" s="286"/>
      <c r="GP120" s="284"/>
      <c r="GQ120" s="282"/>
      <c r="GR120" s="284"/>
      <c r="GS120" s="286"/>
      <c r="GT120" s="284"/>
      <c r="GU120" s="282" t="s">
        <v>320</v>
      </c>
      <c r="GV120" s="284">
        <v>3786</v>
      </c>
      <c r="GW120" s="286">
        <v>0.49</v>
      </c>
      <c r="GX120" s="284">
        <v>6389</v>
      </c>
      <c r="GY120" s="282"/>
      <c r="GZ120" s="284"/>
      <c r="HA120" s="286"/>
      <c r="HB120" s="284"/>
      <c r="HC120" s="282"/>
      <c r="HD120" s="282"/>
      <c r="HE120" s="284"/>
      <c r="HF120" s="286"/>
      <c r="HG120" s="284"/>
      <c r="HH120" s="282" t="s">
        <v>320</v>
      </c>
      <c r="HI120" s="282" t="s">
        <v>451</v>
      </c>
      <c r="HJ120" s="282">
        <v>2017</v>
      </c>
      <c r="HK120" s="282" t="s">
        <v>319</v>
      </c>
      <c r="HL120" s="282" t="s">
        <v>319</v>
      </c>
      <c r="HM120" s="282"/>
      <c r="HN120" s="282"/>
      <c r="HO120" s="282" t="s">
        <v>393</v>
      </c>
      <c r="HP120" s="282" t="s">
        <v>330</v>
      </c>
      <c r="HQ120" s="282" t="s">
        <v>319</v>
      </c>
      <c r="HR120" s="282" t="s">
        <v>319</v>
      </c>
      <c r="HS120" s="282" t="s">
        <v>320</v>
      </c>
      <c r="HT120" s="282" t="s">
        <v>320</v>
      </c>
      <c r="HU120" s="282" t="s">
        <v>319</v>
      </c>
      <c r="HV120" s="282" t="s">
        <v>319</v>
      </c>
      <c r="HW120" s="282" t="s">
        <v>319</v>
      </c>
      <c r="HX120" s="282" t="s">
        <v>319</v>
      </c>
      <c r="HY120" s="282"/>
      <c r="HZ120" s="282" t="s">
        <v>394</v>
      </c>
      <c r="IA120" s="282" t="s">
        <v>2188</v>
      </c>
      <c r="IB120" s="282" t="s">
        <v>333</v>
      </c>
      <c r="IC120" s="282"/>
      <c r="ID120" s="282" t="s">
        <v>334</v>
      </c>
      <c r="IE120" s="282" t="s">
        <v>478</v>
      </c>
      <c r="IF120" s="282" t="s">
        <v>320</v>
      </c>
      <c r="IG120" s="282" t="s">
        <v>320</v>
      </c>
      <c r="IH120" s="282" t="s">
        <v>320</v>
      </c>
      <c r="II120" s="282" t="s">
        <v>320</v>
      </c>
      <c r="IJ120" s="12" t="str">
        <f t="shared" si="44"/>
        <v>4. Transformative</v>
      </c>
      <c r="IK120" s="287">
        <f t="shared" si="45"/>
        <v>4</v>
      </c>
      <c r="IL120" s="282" t="s">
        <v>336</v>
      </c>
      <c r="IM120" s="282" t="s">
        <v>320</v>
      </c>
      <c r="IN120" s="282" t="s">
        <v>320</v>
      </c>
      <c r="IO120" s="282" t="s">
        <v>320</v>
      </c>
      <c r="IP120" s="282" t="s">
        <v>320</v>
      </c>
      <c r="IQ120" s="287" t="str">
        <f t="shared" si="46"/>
        <v>2. Accommodating</v>
      </c>
      <c r="IR120" s="287">
        <f t="shared" si="47"/>
        <v>4</v>
      </c>
      <c r="IS120" s="282" t="s">
        <v>337</v>
      </c>
      <c r="IT120" s="282" t="s">
        <v>320</v>
      </c>
      <c r="IU120" s="282" t="s">
        <v>320</v>
      </c>
      <c r="IV120" s="282" t="s">
        <v>319</v>
      </c>
      <c r="IW120" s="11" t="str">
        <f t="shared" si="48"/>
        <v>1. Neutral</v>
      </c>
      <c r="IX120" s="287">
        <f t="shared" si="49"/>
        <v>2</v>
      </c>
      <c r="IY120" s="282" t="s">
        <v>419</v>
      </c>
      <c r="IZ120" s="282" t="s">
        <v>432</v>
      </c>
      <c r="JA120" s="282">
        <v>1</v>
      </c>
      <c r="JB120" s="282" t="s">
        <v>687</v>
      </c>
      <c r="JC120" s="282"/>
      <c r="JD120" s="282"/>
      <c r="JE120" s="282" t="s">
        <v>420</v>
      </c>
      <c r="JF120" s="282"/>
      <c r="JG120" s="282" t="s">
        <v>2109</v>
      </c>
      <c r="JH120" s="282" t="s">
        <v>2189</v>
      </c>
      <c r="JI120" s="282" t="s">
        <v>2190</v>
      </c>
      <c r="JJ120" s="282" t="s">
        <v>2191</v>
      </c>
      <c r="JK120" s="282" t="s">
        <v>2192</v>
      </c>
      <c r="JL120" s="282" t="s">
        <v>2193</v>
      </c>
      <c r="JM120" s="282"/>
      <c r="JN120" s="282"/>
      <c r="JO120" s="282"/>
      <c r="JP120" s="15">
        <f t="shared" si="50"/>
        <v>3786</v>
      </c>
      <c r="JQ120" s="15">
        <f t="shared" si="51"/>
        <v>6389</v>
      </c>
      <c r="JR120" s="279">
        <f t="shared" si="52"/>
        <v>1.6875330163761226</v>
      </c>
      <c r="JS120" s="17">
        <f t="shared" si="53"/>
        <v>0.49181193872160589</v>
      </c>
      <c r="JT120" s="18">
        <f t="shared" si="54"/>
        <v>0.49804351228674282</v>
      </c>
      <c r="JU120" s="280">
        <f t="shared" si="55"/>
        <v>1862</v>
      </c>
      <c r="JV120" s="280">
        <f t="shared" si="56"/>
        <v>3182</v>
      </c>
      <c r="JW120" s="319" t="str">
        <f t="shared" si="57"/>
        <v/>
      </c>
      <c r="JX120" s="15">
        <f t="shared" si="58"/>
        <v>0</v>
      </c>
      <c r="JY120" s="15">
        <f t="shared" si="59"/>
        <v>0</v>
      </c>
      <c r="JZ120" s="19" t="str">
        <f t="shared" si="60"/>
        <v/>
      </c>
      <c r="KA120" s="52">
        <f t="shared" si="61"/>
        <v>1</v>
      </c>
      <c r="KB120" s="15">
        <f t="shared" si="62"/>
        <v>3786</v>
      </c>
      <c r="KC120" s="15">
        <f t="shared" si="63"/>
        <v>6389</v>
      </c>
      <c r="KD120" s="20">
        <f t="shared" si="64"/>
        <v>1.6875330163761226</v>
      </c>
      <c r="KE120" s="52" t="str">
        <f t="shared" si="65"/>
        <v/>
      </c>
      <c r="KF120" s="15">
        <f t="shared" si="66"/>
        <v>0</v>
      </c>
      <c r="KG120" s="15">
        <f t="shared" si="67"/>
        <v>0</v>
      </c>
      <c r="KH120" s="21" t="str">
        <f t="shared" si="68"/>
        <v/>
      </c>
      <c r="KI120" s="52" t="str">
        <f t="shared" si="69"/>
        <v/>
      </c>
      <c r="KJ120" s="15">
        <f t="shared" si="70"/>
        <v>0</v>
      </c>
      <c r="KK120" s="15">
        <f t="shared" si="71"/>
        <v>0</v>
      </c>
      <c r="KL120" s="19" t="str">
        <f t="shared" si="72"/>
        <v/>
      </c>
      <c r="KM120" s="52" t="str">
        <f t="shared" si="73"/>
        <v/>
      </c>
      <c r="KN120" s="22">
        <f t="shared" si="74"/>
        <v>0</v>
      </c>
      <c r="KO120" s="22">
        <f t="shared" si="75"/>
        <v>0</v>
      </c>
      <c r="KP120" s="19" t="str">
        <f t="shared" si="76"/>
        <v/>
      </c>
      <c r="KQ120" s="11" t="str">
        <f t="shared" si="77"/>
        <v>4. Transformative</v>
      </c>
      <c r="KR120" s="11" t="str">
        <f t="shared" si="78"/>
        <v>2. Accommodating</v>
      </c>
      <c r="KS120" s="11" t="str">
        <f t="shared" si="79"/>
        <v>1. Neutral</v>
      </c>
      <c r="KT120" s="11" t="str">
        <f t="shared" si="80"/>
        <v>It tested new ways for fighting poverty, but did not measure results of innovation</v>
      </c>
      <c r="KU120" s="11" t="str">
        <f t="shared" si="81"/>
        <v>Moderate advocacy</v>
      </c>
      <c r="KV120" s="11" t="str">
        <f t="shared" si="82"/>
        <v>It did not take tested solutions to scale</v>
      </c>
      <c r="KW120" s="11" t="str">
        <f t="shared" si="83"/>
        <v>Cambodia - WASH in Schools and Communities to Elevate Ethnic Minority Women (WISC) (2814) and WASH in schools supported by UNICEF (2813)</v>
      </c>
      <c r="KX120" s="11" t="str">
        <f t="shared" si="84"/>
        <v>WASH in Schools and Communities to Elevate Ethnic Minority Women (WISC) (2814) and WASH in schools supported by UNICEF (2813)</v>
      </c>
      <c r="KY120" s="11" t="str">
        <f t="shared" si="85"/>
        <v>Cambodia</v>
      </c>
      <c r="KZ120" s="12">
        <v>120</v>
      </c>
    </row>
    <row r="121" spans="1:312" x14ac:dyDescent="0.3">
      <c r="A121" s="11" t="s">
        <v>2395</v>
      </c>
      <c r="B121" s="11" t="s">
        <v>1596</v>
      </c>
      <c r="D121" s="11" t="s">
        <v>2510</v>
      </c>
      <c r="E121" s="24" t="str">
        <f t="shared" si="43"/>
        <v>Cameroon</v>
      </c>
      <c r="F121" s="11" t="s">
        <v>2511</v>
      </c>
      <c r="G121" s="11" t="s">
        <v>379</v>
      </c>
      <c r="H121" s="11" t="s">
        <v>310</v>
      </c>
      <c r="I121" s="11" t="s">
        <v>384</v>
      </c>
      <c r="J121" s="278" t="s">
        <v>2512</v>
      </c>
      <c r="M121" s="11" t="s">
        <v>310</v>
      </c>
      <c r="N121" s="11" t="s">
        <v>384</v>
      </c>
      <c r="O121" s="11" t="s">
        <v>4991</v>
      </c>
      <c r="BD121" s="23">
        <v>41730</v>
      </c>
      <c r="BE121" s="23">
        <v>43647</v>
      </c>
      <c r="BG121" s="11" t="s">
        <v>312</v>
      </c>
      <c r="BH121" s="22">
        <v>18761142</v>
      </c>
      <c r="BI121" s="11" t="s">
        <v>2513</v>
      </c>
      <c r="BJ121" s="11" t="s">
        <v>2514</v>
      </c>
      <c r="BK121" s="11" t="s">
        <v>2515</v>
      </c>
      <c r="BL121" s="11" t="s">
        <v>2516</v>
      </c>
      <c r="BM121" s="11" t="s">
        <v>2517</v>
      </c>
      <c r="BN121" s="11" t="s">
        <v>2518</v>
      </c>
      <c r="BO121" s="12" t="s">
        <v>319</v>
      </c>
      <c r="BP121" s="12" t="s">
        <v>320</v>
      </c>
      <c r="BQ121" s="12" t="s">
        <v>319</v>
      </c>
      <c r="BR121" s="11" t="s">
        <v>2519</v>
      </c>
      <c r="BS121" s="11" t="s">
        <v>357</v>
      </c>
      <c r="BT121" s="11" t="s">
        <v>2520</v>
      </c>
      <c r="BU121" s="11" t="s">
        <v>2521</v>
      </c>
      <c r="BV121" s="22">
        <v>66000</v>
      </c>
      <c r="BW121" s="22">
        <v>16000</v>
      </c>
      <c r="BX121" s="22">
        <v>82000</v>
      </c>
      <c r="BY121" s="22">
        <v>29350</v>
      </c>
      <c r="BZ121" s="22">
        <v>27650</v>
      </c>
      <c r="CA121" s="22">
        <v>57000</v>
      </c>
      <c r="CB121" s="15" t="s">
        <v>2522</v>
      </c>
      <c r="CL121" s="18"/>
      <c r="CP121" s="18"/>
      <c r="CT121" s="18"/>
      <c r="CX121" s="18"/>
      <c r="DB121" s="18"/>
      <c r="DF121" s="18"/>
      <c r="DJ121" s="18"/>
      <c r="DN121" s="18"/>
      <c r="DR121" s="18"/>
      <c r="DV121" s="18"/>
      <c r="DZ121" s="18"/>
      <c r="ED121" s="18"/>
      <c r="EI121" s="18"/>
      <c r="EK121" s="22">
        <v>22988</v>
      </c>
      <c r="EL121" s="22">
        <v>32944</v>
      </c>
      <c r="EM121" s="22">
        <v>55932</v>
      </c>
      <c r="EN121" s="22">
        <v>325</v>
      </c>
      <c r="EO121" s="22">
        <v>362</v>
      </c>
      <c r="EP121" s="22">
        <v>687</v>
      </c>
      <c r="ES121" s="18"/>
      <c r="EW121" s="18"/>
      <c r="FA121" s="18"/>
      <c r="FE121" s="18"/>
      <c r="FI121" s="18"/>
      <c r="FM121" s="18"/>
      <c r="FQ121" s="18"/>
      <c r="FS121" s="12" t="s">
        <v>320</v>
      </c>
      <c r="FT121" s="22">
        <v>1740</v>
      </c>
      <c r="FU121" s="18">
        <v>1.2999999999999999E-2</v>
      </c>
      <c r="FV121" s="22">
        <v>21</v>
      </c>
      <c r="FY121" s="18"/>
      <c r="GC121" s="18"/>
      <c r="GG121" s="18"/>
      <c r="GK121" s="18"/>
      <c r="GO121" s="18"/>
      <c r="GQ121" s="12" t="s">
        <v>320</v>
      </c>
      <c r="GR121" s="22">
        <v>54192</v>
      </c>
      <c r="GS121" s="18">
        <v>0.98699999999999999</v>
      </c>
      <c r="GT121" s="22">
        <v>666</v>
      </c>
      <c r="GW121" s="18"/>
      <c r="HA121" s="18"/>
      <c r="HF121" s="18"/>
      <c r="HH121" s="11" t="s">
        <v>320</v>
      </c>
      <c r="HI121" s="11" t="s">
        <v>327</v>
      </c>
      <c r="HJ121" s="11">
        <v>2016</v>
      </c>
      <c r="HK121" s="11" t="s">
        <v>319</v>
      </c>
      <c r="HL121" s="11" t="s">
        <v>320</v>
      </c>
      <c r="HM121" s="11" t="s">
        <v>619</v>
      </c>
      <c r="HN121" s="11">
        <v>2017</v>
      </c>
      <c r="HP121" s="11" t="s">
        <v>453</v>
      </c>
      <c r="HQ121" s="11" t="s">
        <v>320</v>
      </c>
      <c r="HR121" s="11" t="s">
        <v>320</v>
      </c>
      <c r="HS121" s="11" t="s">
        <v>320</v>
      </c>
      <c r="HT121" s="11" t="s">
        <v>320</v>
      </c>
      <c r="HU121" s="11" t="s">
        <v>320</v>
      </c>
      <c r="HV121" s="11" t="s">
        <v>320</v>
      </c>
      <c r="HW121" s="11" t="s">
        <v>320</v>
      </c>
      <c r="HY121" s="11" t="s">
        <v>2523</v>
      </c>
      <c r="HZ121" s="11" t="s">
        <v>394</v>
      </c>
      <c r="IA121" s="11" t="s">
        <v>2524</v>
      </c>
      <c r="IB121" s="12" t="s">
        <v>396</v>
      </c>
      <c r="IC121" s="11" t="s">
        <v>2525</v>
      </c>
      <c r="ID121" s="12" t="s">
        <v>334</v>
      </c>
      <c r="IE121" s="11" t="s">
        <v>335</v>
      </c>
      <c r="IF121" s="11" t="s">
        <v>320</v>
      </c>
      <c r="IG121" s="11" t="s">
        <v>320</v>
      </c>
      <c r="IH121" s="11" t="s">
        <v>320</v>
      </c>
      <c r="II121" s="11" t="s">
        <v>320</v>
      </c>
      <c r="IJ121" s="12" t="str">
        <f t="shared" si="44"/>
        <v>2. Sensitive</v>
      </c>
      <c r="IK121" s="12">
        <f t="shared" si="45"/>
        <v>4</v>
      </c>
      <c r="IL121" s="11" t="s">
        <v>336</v>
      </c>
      <c r="IM121" s="11" t="s">
        <v>320</v>
      </c>
      <c r="IN121" s="11" t="s">
        <v>320</v>
      </c>
      <c r="IO121" s="11" t="s">
        <v>320</v>
      </c>
      <c r="IP121" s="11" t="s">
        <v>320</v>
      </c>
      <c r="IQ121" s="12" t="str">
        <f t="shared" si="46"/>
        <v>2. Accommodating</v>
      </c>
      <c r="IR121" s="12">
        <f t="shared" si="47"/>
        <v>4</v>
      </c>
      <c r="IS121" s="11" t="s">
        <v>337</v>
      </c>
      <c r="IT121" s="11" t="s">
        <v>320</v>
      </c>
      <c r="IU121" s="11" t="s">
        <v>320</v>
      </c>
      <c r="IV121" s="11" t="s">
        <v>320</v>
      </c>
      <c r="IW121" s="11" t="str">
        <f t="shared" si="48"/>
        <v>2. Sensitive</v>
      </c>
      <c r="IX121" s="12">
        <f t="shared" si="49"/>
        <v>3</v>
      </c>
      <c r="IY121" s="11" t="s">
        <v>419</v>
      </c>
      <c r="IZ121" s="11" t="s">
        <v>527</v>
      </c>
      <c r="JA121" s="11">
        <v>15</v>
      </c>
      <c r="JB121" s="12" t="s">
        <v>687</v>
      </c>
      <c r="JC121" s="11" t="s">
        <v>624</v>
      </c>
      <c r="JD121" s="11" t="s">
        <v>433</v>
      </c>
      <c r="JE121" s="12" t="s">
        <v>340</v>
      </c>
      <c r="JF121" s="11" t="s">
        <v>2526</v>
      </c>
      <c r="JG121" s="11" t="s">
        <v>2527</v>
      </c>
      <c r="JH121" s="11" t="s">
        <v>2528</v>
      </c>
      <c r="JI121" s="11" t="s">
        <v>2529</v>
      </c>
      <c r="JJ121" s="11" t="s">
        <v>2530</v>
      </c>
      <c r="JK121" s="11" t="s">
        <v>2531</v>
      </c>
      <c r="JL121" s="11" t="s">
        <v>2532</v>
      </c>
      <c r="JM121" s="11" t="s">
        <v>2533</v>
      </c>
      <c r="JN121" s="11" t="s">
        <v>2534</v>
      </c>
      <c r="JO121" s="11" t="s">
        <v>2535</v>
      </c>
      <c r="JP121" s="15">
        <f t="shared" si="50"/>
        <v>55932</v>
      </c>
      <c r="JQ121" s="15">
        <f t="shared" si="51"/>
        <v>687</v>
      </c>
      <c r="JR121" s="279">
        <f t="shared" si="52"/>
        <v>1.2282771937352499E-2</v>
      </c>
      <c r="JS121" s="17">
        <f t="shared" si="53"/>
        <v>0.41099907029964955</v>
      </c>
      <c r="JT121" s="18">
        <f t="shared" si="54"/>
        <v>0.47307132459970885</v>
      </c>
      <c r="JU121" s="280">
        <f t="shared" si="55"/>
        <v>22988</v>
      </c>
      <c r="JV121" s="280">
        <f t="shared" si="56"/>
        <v>325</v>
      </c>
      <c r="JW121" s="319" t="str">
        <f t="shared" si="57"/>
        <v/>
      </c>
      <c r="JX121" s="15">
        <f t="shared" si="58"/>
        <v>0</v>
      </c>
      <c r="JY121" s="15">
        <f t="shared" si="59"/>
        <v>0</v>
      </c>
      <c r="JZ121" s="19" t="str">
        <f t="shared" si="60"/>
        <v/>
      </c>
      <c r="KA121" s="52" t="str">
        <f t="shared" si="61"/>
        <v/>
      </c>
      <c r="KB121" s="15">
        <f t="shared" si="62"/>
        <v>0</v>
      </c>
      <c r="KC121" s="15">
        <f t="shared" si="63"/>
        <v>0</v>
      </c>
      <c r="KD121" s="20" t="str">
        <f t="shared" si="64"/>
        <v/>
      </c>
      <c r="KE121" s="52">
        <f t="shared" si="65"/>
        <v>1</v>
      </c>
      <c r="KF121" s="15">
        <f t="shared" si="66"/>
        <v>54192</v>
      </c>
      <c r="KG121" s="15">
        <f t="shared" si="67"/>
        <v>666</v>
      </c>
      <c r="KH121" s="21">
        <f t="shared" si="68"/>
        <v>1.228963684676705E-2</v>
      </c>
      <c r="KI121" s="52">
        <f t="shared" si="69"/>
        <v>1</v>
      </c>
      <c r="KJ121" s="15">
        <f t="shared" si="70"/>
        <v>1740</v>
      </c>
      <c r="KK121" s="15">
        <f t="shared" si="71"/>
        <v>21</v>
      </c>
      <c r="KL121" s="19">
        <f t="shared" si="72"/>
        <v>1.2068965517241379E-2</v>
      </c>
      <c r="KM121" s="52" t="str">
        <f t="shared" si="73"/>
        <v/>
      </c>
      <c r="KN121" s="22">
        <f t="shared" si="74"/>
        <v>0</v>
      </c>
      <c r="KO121" s="22">
        <f t="shared" si="75"/>
        <v>0</v>
      </c>
      <c r="KP121" s="19" t="str">
        <f t="shared" si="76"/>
        <v/>
      </c>
      <c r="KQ121" s="11" t="str">
        <f t="shared" si="77"/>
        <v>2. Sensitive</v>
      </c>
      <c r="KR121" s="11" t="str">
        <f t="shared" si="78"/>
        <v>2. Accommodating</v>
      </c>
      <c r="KS121" s="11" t="str">
        <f t="shared" si="79"/>
        <v>2. Sensitive</v>
      </c>
      <c r="KT121" s="11" t="str">
        <f t="shared" si="80"/>
        <v>It tested new ways for fighting poverty, but did not measure results of innovation</v>
      </c>
      <c r="KU121" s="11" t="str">
        <f t="shared" si="81"/>
        <v>Intensive advocacy</v>
      </c>
      <c r="KV121" s="11" t="str">
        <f t="shared" si="82"/>
        <v>It linked and worked with strategic alliances and partners to take tested and effective solutions to scale</v>
      </c>
      <c r="KW121" s="11" t="str">
        <f t="shared" si="83"/>
        <v>Cameroon - Continuum of prevention, Care and Treatment (CoPCT) of HIV/AIDS with most at risk populations</v>
      </c>
      <c r="KX121" s="11" t="str">
        <f t="shared" si="84"/>
        <v>Continuum of prevention, Care and Treatment (CoPCT) of HIV/AIDS with most at risk populations</v>
      </c>
      <c r="KY121" s="11" t="str">
        <f t="shared" si="85"/>
        <v>Cameroon</v>
      </c>
      <c r="KZ121" s="12">
        <v>121</v>
      </c>
    </row>
    <row r="122" spans="1:312" x14ac:dyDescent="0.3">
      <c r="A122" s="11" t="s">
        <v>2395</v>
      </c>
      <c r="B122" s="11" t="s">
        <v>1596</v>
      </c>
      <c r="D122" s="11" t="s">
        <v>2424</v>
      </c>
      <c r="E122" s="24" t="str">
        <f t="shared" si="43"/>
        <v>Cameroon</v>
      </c>
      <c r="F122" s="11" t="s">
        <v>2425</v>
      </c>
      <c r="G122" s="11" t="s">
        <v>714</v>
      </c>
      <c r="H122" s="11" t="s">
        <v>310</v>
      </c>
      <c r="I122" s="11" t="s">
        <v>2399</v>
      </c>
      <c r="J122" s="278" t="s">
        <v>14598</v>
      </c>
      <c r="BD122" s="23">
        <v>42675</v>
      </c>
      <c r="BE122" s="23">
        <v>43039</v>
      </c>
      <c r="BG122" s="11" t="s">
        <v>908</v>
      </c>
      <c r="BH122" s="22">
        <v>375000</v>
      </c>
      <c r="BI122" s="11" t="s">
        <v>2426</v>
      </c>
      <c r="BJ122" s="11" t="s">
        <v>2427</v>
      </c>
      <c r="BK122" s="11" t="s">
        <v>2428</v>
      </c>
      <c r="BL122" s="11" t="s">
        <v>2429</v>
      </c>
      <c r="BM122" s="11" t="s">
        <v>2430</v>
      </c>
      <c r="BN122" s="11" t="s">
        <v>2431</v>
      </c>
      <c r="BO122" s="12" t="s">
        <v>319</v>
      </c>
      <c r="BP122" s="12" t="s">
        <v>320</v>
      </c>
      <c r="BQ122" s="12" t="s">
        <v>319</v>
      </c>
      <c r="BR122" s="11" t="s">
        <v>2432</v>
      </c>
      <c r="BS122" s="11" t="s">
        <v>1535</v>
      </c>
      <c r="BT122" s="11" t="s">
        <v>2433</v>
      </c>
      <c r="BV122" s="22">
        <v>2482</v>
      </c>
      <c r="BW122" s="22">
        <v>2318</v>
      </c>
      <c r="BX122" s="22">
        <v>4800</v>
      </c>
      <c r="BY122" s="22">
        <v>15510</v>
      </c>
      <c r="BZ122" s="22">
        <v>14490</v>
      </c>
      <c r="CA122" s="22">
        <v>30000</v>
      </c>
      <c r="CB122" s="15" t="s">
        <v>2434</v>
      </c>
      <c r="CL122" s="18"/>
      <c r="CP122" s="18"/>
      <c r="CT122" s="18"/>
      <c r="CX122" s="18"/>
      <c r="DB122" s="18"/>
      <c r="DF122" s="18"/>
      <c r="DJ122" s="18"/>
      <c r="DN122" s="18"/>
      <c r="DR122" s="18"/>
      <c r="DV122" s="18"/>
      <c r="DZ122" s="18"/>
      <c r="ED122" s="18"/>
      <c r="EI122" s="18"/>
      <c r="EK122" s="22">
        <v>1085</v>
      </c>
      <c r="EL122" s="22">
        <v>186</v>
      </c>
      <c r="EM122" s="22">
        <v>1271</v>
      </c>
      <c r="EN122" s="22">
        <v>6106</v>
      </c>
      <c r="EO122" s="22">
        <v>5501</v>
      </c>
      <c r="EP122" s="22">
        <v>11607</v>
      </c>
      <c r="ES122" s="18"/>
      <c r="EW122" s="18"/>
      <c r="FA122" s="18"/>
      <c r="FE122" s="18"/>
      <c r="FI122" s="18"/>
      <c r="FM122" s="18"/>
      <c r="FQ122" s="18"/>
      <c r="FU122" s="18"/>
      <c r="FY122" s="18"/>
      <c r="GC122" s="18"/>
      <c r="GG122" s="18"/>
      <c r="GK122" s="18"/>
      <c r="GO122" s="18"/>
      <c r="GS122" s="18"/>
      <c r="GU122" s="12" t="s">
        <v>320</v>
      </c>
      <c r="GV122" s="22">
        <v>197</v>
      </c>
      <c r="GW122" s="18">
        <v>0.155</v>
      </c>
      <c r="GX122" s="22">
        <v>11556</v>
      </c>
      <c r="GY122" s="11" t="s">
        <v>320</v>
      </c>
      <c r="GZ122" s="22">
        <v>1074</v>
      </c>
      <c r="HA122" s="18">
        <v>0.84499999999999997</v>
      </c>
      <c r="HB122" s="22">
        <v>51</v>
      </c>
      <c r="HF122" s="18"/>
      <c r="HH122" s="11" t="s">
        <v>319</v>
      </c>
      <c r="HK122" s="11" t="s">
        <v>319</v>
      </c>
      <c r="HP122" s="11" t="s">
        <v>330</v>
      </c>
      <c r="HQ122" s="11" t="s">
        <v>320</v>
      </c>
      <c r="HR122" s="11" t="s">
        <v>320</v>
      </c>
      <c r="HS122" s="11" t="s">
        <v>320</v>
      </c>
      <c r="HT122" s="11" t="s">
        <v>320</v>
      </c>
      <c r="HU122" s="11" t="s">
        <v>320</v>
      </c>
      <c r="HV122" s="11" t="s">
        <v>320</v>
      </c>
      <c r="HX122" s="11" t="s">
        <v>319</v>
      </c>
      <c r="HZ122" s="11" t="s">
        <v>394</v>
      </c>
      <c r="IB122" s="12" t="s">
        <v>396</v>
      </c>
      <c r="IC122" s="11" t="s">
        <v>2435</v>
      </c>
      <c r="IE122" s="11" t="s">
        <v>478</v>
      </c>
      <c r="IF122" s="11" t="s">
        <v>320</v>
      </c>
      <c r="IG122" s="11" t="s">
        <v>320</v>
      </c>
      <c r="IH122" s="11" t="s">
        <v>320</v>
      </c>
      <c r="II122" s="11" t="s">
        <v>320</v>
      </c>
      <c r="IJ122" s="12" t="str">
        <f t="shared" si="44"/>
        <v>4. Transformative</v>
      </c>
      <c r="IK122" s="12">
        <f t="shared" si="45"/>
        <v>4</v>
      </c>
      <c r="IL122" s="11" t="s">
        <v>336</v>
      </c>
      <c r="IM122" s="11" t="s">
        <v>320</v>
      </c>
      <c r="IN122" s="11" t="s">
        <v>320</v>
      </c>
      <c r="IO122" s="11" t="s">
        <v>320</v>
      </c>
      <c r="IP122" s="11" t="s">
        <v>320</v>
      </c>
      <c r="IQ122" s="12" t="str">
        <f t="shared" si="46"/>
        <v>2. Accommodating</v>
      </c>
      <c r="IR122" s="12">
        <f t="shared" si="47"/>
        <v>4</v>
      </c>
      <c r="IS122" s="11" t="s">
        <v>337</v>
      </c>
      <c r="IT122" s="11" t="s">
        <v>320</v>
      </c>
      <c r="IU122" s="11" t="s">
        <v>320</v>
      </c>
      <c r="IV122" s="11" t="s">
        <v>320</v>
      </c>
      <c r="IW122" s="11" t="str">
        <f t="shared" si="48"/>
        <v>2. Sensitive</v>
      </c>
      <c r="IX122" s="12">
        <f t="shared" si="49"/>
        <v>3</v>
      </c>
      <c r="IY122" s="11" t="s">
        <v>419</v>
      </c>
      <c r="IZ122" s="11" t="s">
        <v>527</v>
      </c>
      <c r="JA122" s="11">
        <v>6</v>
      </c>
      <c r="JB122" s="12" t="s">
        <v>624</v>
      </c>
      <c r="JC122" s="11" t="s">
        <v>687</v>
      </c>
      <c r="JE122" s="12" t="s">
        <v>340</v>
      </c>
      <c r="JG122" s="11" t="s">
        <v>2436</v>
      </c>
      <c r="JH122" s="11" t="s">
        <v>2437</v>
      </c>
      <c r="JI122" s="11" t="s">
        <v>2438</v>
      </c>
      <c r="JJ122" s="11" t="s">
        <v>2439</v>
      </c>
      <c r="JK122" s="11" t="s">
        <v>2440</v>
      </c>
      <c r="JL122" s="11" t="s">
        <v>2441</v>
      </c>
      <c r="JO122" s="11" t="s">
        <v>2442</v>
      </c>
      <c r="JP122" s="15">
        <f t="shared" si="50"/>
        <v>1271</v>
      </c>
      <c r="JQ122" s="15">
        <f t="shared" si="51"/>
        <v>11607</v>
      </c>
      <c r="JR122" s="279">
        <f t="shared" si="52"/>
        <v>9.1321793863099927</v>
      </c>
      <c r="JS122" s="17">
        <f t="shared" si="53"/>
        <v>0.85365853658536583</v>
      </c>
      <c r="JT122" s="18">
        <f t="shared" si="54"/>
        <v>0.52606185922288273</v>
      </c>
      <c r="JU122" s="280">
        <f t="shared" si="55"/>
        <v>1085</v>
      </c>
      <c r="JV122" s="280">
        <f t="shared" si="56"/>
        <v>6106</v>
      </c>
      <c r="JW122" s="319" t="str">
        <f t="shared" si="57"/>
        <v/>
      </c>
      <c r="JX122" s="15">
        <f t="shared" si="58"/>
        <v>0</v>
      </c>
      <c r="JY122" s="15">
        <f t="shared" si="59"/>
        <v>0</v>
      </c>
      <c r="JZ122" s="19" t="str">
        <f t="shared" si="60"/>
        <v/>
      </c>
      <c r="KA122" s="52">
        <f t="shared" si="61"/>
        <v>1</v>
      </c>
      <c r="KB122" s="15">
        <f t="shared" si="62"/>
        <v>197</v>
      </c>
      <c r="KC122" s="15">
        <f t="shared" si="63"/>
        <v>11556</v>
      </c>
      <c r="KD122" s="20">
        <f t="shared" si="64"/>
        <v>58.659898477157363</v>
      </c>
      <c r="KE122" s="52" t="str">
        <f t="shared" si="65"/>
        <v/>
      </c>
      <c r="KF122" s="15">
        <f t="shared" si="66"/>
        <v>0</v>
      </c>
      <c r="KG122" s="15">
        <f t="shared" si="67"/>
        <v>0</v>
      </c>
      <c r="KH122" s="21" t="str">
        <f t="shared" si="68"/>
        <v/>
      </c>
      <c r="KI122" s="52" t="str">
        <f t="shared" si="69"/>
        <v/>
      </c>
      <c r="KJ122" s="15">
        <f t="shared" si="70"/>
        <v>0</v>
      </c>
      <c r="KK122" s="15">
        <f t="shared" si="71"/>
        <v>0</v>
      </c>
      <c r="KL122" s="19" t="str">
        <f t="shared" si="72"/>
        <v/>
      </c>
      <c r="KM122" s="52">
        <f t="shared" si="73"/>
        <v>1</v>
      </c>
      <c r="KN122" s="22">
        <f t="shared" si="74"/>
        <v>1074</v>
      </c>
      <c r="KO122" s="22">
        <f t="shared" si="75"/>
        <v>51</v>
      </c>
      <c r="KP122" s="19">
        <f t="shared" si="76"/>
        <v>4.7486033519553071E-2</v>
      </c>
      <c r="KQ122" s="11" t="str">
        <f t="shared" si="77"/>
        <v>4. Transformative</v>
      </c>
      <c r="KR122" s="11" t="str">
        <f t="shared" si="78"/>
        <v>2. Accommodating</v>
      </c>
      <c r="KS122" s="11" t="str">
        <f t="shared" si="79"/>
        <v>2. Sensitive</v>
      </c>
      <c r="KT122" s="11" t="str">
        <f t="shared" si="80"/>
        <v>It tested new ways for fighting poverty, but did not measure results of innovation</v>
      </c>
      <c r="KU122" s="11" t="str">
        <f t="shared" si="81"/>
        <v>Moderate advocacy</v>
      </c>
      <c r="KV122" s="11" t="str">
        <f t="shared" si="82"/>
        <v>It linked and worked with strategic alliances and partners to take tested and effective solutions to scale</v>
      </c>
      <c r="KW122" s="11" t="str">
        <f t="shared" si="83"/>
        <v>Cameroon - Projet Communes et Organisations de la Société Civile Performantes pour des Populations Engagées et Résilientes (COOPERER)</v>
      </c>
      <c r="KX122" s="11" t="str">
        <f t="shared" si="84"/>
        <v>Projet Communes et Organisations de la Société Civile Performantes pour des Populations Engagées et Résilientes (COOPERER)</v>
      </c>
      <c r="KY122" s="11" t="str">
        <f t="shared" si="85"/>
        <v>Cameroon</v>
      </c>
      <c r="KZ122" s="12">
        <v>122</v>
      </c>
    </row>
    <row r="123" spans="1:312" x14ac:dyDescent="0.3">
      <c r="A123" s="11" t="s">
        <v>2395</v>
      </c>
      <c r="B123" s="11" t="s">
        <v>1596</v>
      </c>
      <c r="D123" s="11" t="s">
        <v>2443</v>
      </c>
      <c r="E123" s="24" t="str">
        <f t="shared" si="43"/>
        <v>Cameroon</v>
      </c>
      <c r="F123" s="11" t="s">
        <v>2444</v>
      </c>
      <c r="G123" s="11" t="s">
        <v>714</v>
      </c>
      <c r="H123" s="11" t="s">
        <v>310</v>
      </c>
      <c r="I123" s="11" t="s">
        <v>384</v>
      </c>
      <c r="J123" s="278" t="s">
        <v>14599</v>
      </c>
      <c r="BD123" s="23">
        <v>42482</v>
      </c>
      <c r="BE123" s="23">
        <v>42846</v>
      </c>
      <c r="BG123" s="11" t="s">
        <v>350</v>
      </c>
      <c r="BH123" s="22">
        <v>548435</v>
      </c>
      <c r="BI123" s="11" t="s">
        <v>2445</v>
      </c>
      <c r="BJ123" s="11" t="s">
        <v>2446</v>
      </c>
      <c r="BK123" s="11" t="s">
        <v>2431</v>
      </c>
      <c r="BL123" s="11" t="s">
        <v>2447</v>
      </c>
      <c r="BM123" s="11" t="s">
        <v>2448</v>
      </c>
      <c r="BN123" s="11" t="s">
        <v>2449</v>
      </c>
      <c r="BO123" s="12" t="s">
        <v>319</v>
      </c>
      <c r="BP123" s="12" t="s">
        <v>320</v>
      </c>
      <c r="BQ123" s="12" t="s">
        <v>319</v>
      </c>
      <c r="BR123" s="11" t="s">
        <v>2450</v>
      </c>
      <c r="BS123" s="11" t="s">
        <v>357</v>
      </c>
      <c r="BT123" s="11" t="s">
        <v>2451</v>
      </c>
      <c r="BU123" s="11" t="s">
        <v>2452</v>
      </c>
      <c r="BV123" s="22">
        <v>405</v>
      </c>
      <c r="BW123" s="22">
        <v>945</v>
      </c>
      <c r="BX123" s="22">
        <v>1350</v>
      </c>
      <c r="BY123" s="22">
        <v>2430</v>
      </c>
      <c r="BZ123" s="22">
        <v>5670</v>
      </c>
      <c r="CA123" s="22">
        <v>8100</v>
      </c>
      <c r="CB123" s="15" t="s">
        <v>2453</v>
      </c>
      <c r="CJ123" s="11" t="s">
        <v>319</v>
      </c>
      <c r="CL123" s="18"/>
      <c r="CN123" s="12" t="s">
        <v>319</v>
      </c>
      <c r="CP123" s="18"/>
      <c r="CR123" s="11" t="s">
        <v>319</v>
      </c>
      <c r="CT123" s="18"/>
      <c r="CV123" s="11" t="s">
        <v>319</v>
      </c>
      <c r="CX123" s="18"/>
      <c r="CZ123" s="11" t="s">
        <v>319</v>
      </c>
      <c r="DB123" s="18"/>
      <c r="DD123" s="11" t="s">
        <v>319</v>
      </c>
      <c r="DF123" s="18"/>
      <c r="DH123" s="11" t="s">
        <v>319</v>
      </c>
      <c r="DJ123" s="18"/>
      <c r="DL123" s="11" t="s">
        <v>319</v>
      </c>
      <c r="DN123" s="18"/>
      <c r="DP123" s="11" t="s">
        <v>319</v>
      </c>
      <c r="DR123" s="18"/>
      <c r="DT123" s="11" t="s">
        <v>319</v>
      </c>
      <c r="DV123" s="18"/>
      <c r="DX123" s="11" t="s">
        <v>319</v>
      </c>
      <c r="DZ123" s="18"/>
      <c r="EB123" s="11" t="s">
        <v>319</v>
      </c>
      <c r="ED123" s="18"/>
      <c r="EG123" s="15" t="s">
        <v>319</v>
      </c>
      <c r="EI123" s="18"/>
      <c r="EK123" s="22">
        <v>591</v>
      </c>
      <c r="EL123" s="22">
        <v>1206</v>
      </c>
      <c r="EM123" s="22">
        <v>1797</v>
      </c>
      <c r="EN123" s="22">
        <v>153</v>
      </c>
      <c r="EO123" s="22">
        <v>165</v>
      </c>
      <c r="EP123" s="22">
        <v>318</v>
      </c>
      <c r="EQ123" s="12" t="s">
        <v>319</v>
      </c>
      <c r="ES123" s="18"/>
      <c r="EU123" s="11" t="s">
        <v>320</v>
      </c>
      <c r="EV123" s="22">
        <v>666</v>
      </c>
      <c r="EW123" s="18">
        <v>0.13600000000000001</v>
      </c>
      <c r="EX123" s="22">
        <v>230</v>
      </c>
      <c r="EY123" s="12" t="s">
        <v>319</v>
      </c>
      <c r="FA123" s="18"/>
      <c r="FC123" s="12" t="s">
        <v>320</v>
      </c>
      <c r="FD123" s="22">
        <v>225</v>
      </c>
      <c r="FE123" s="18">
        <v>4.7E-2</v>
      </c>
      <c r="FF123" s="22">
        <v>66</v>
      </c>
      <c r="FG123" s="12" t="s">
        <v>320</v>
      </c>
      <c r="FH123" s="22">
        <v>559</v>
      </c>
      <c r="FI123" s="18">
        <v>1.2999999999999999E-2</v>
      </c>
      <c r="FK123" s="11" t="s">
        <v>319</v>
      </c>
      <c r="FM123" s="18"/>
      <c r="FO123" s="11" t="s">
        <v>319</v>
      </c>
      <c r="FQ123" s="18"/>
      <c r="FS123" s="11" t="s">
        <v>319</v>
      </c>
      <c r="FU123" s="18"/>
      <c r="FW123" s="11" t="s">
        <v>319</v>
      </c>
      <c r="FY123" s="18"/>
      <c r="GA123" s="11" t="s">
        <v>319</v>
      </c>
      <c r="GC123" s="18"/>
      <c r="GE123" s="11" t="s">
        <v>319</v>
      </c>
      <c r="GG123" s="18"/>
      <c r="GI123" s="11" t="s">
        <v>319</v>
      </c>
      <c r="GK123" s="18"/>
      <c r="GM123" s="11" t="s">
        <v>319</v>
      </c>
      <c r="GO123" s="18"/>
      <c r="GQ123" s="11" t="s">
        <v>319</v>
      </c>
      <c r="GS123" s="18"/>
      <c r="GU123" s="11" t="s">
        <v>319</v>
      </c>
      <c r="GW123" s="18"/>
      <c r="GY123" s="11" t="s">
        <v>320</v>
      </c>
      <c r="GZ123" s="22">
        <v>347</v>
      </c>
      <c r="HA123" s="18">
        <v>4.2000000000000003E-2</v>
      </c>
      <c r="HB123" s="22">
        <v>22</v>
      </c>
      <c r="HF123" s="18"/>
      <c r="HH123" s="11" t="s">
        <v>319</v>
      </c>
      <c r="HK123" s="11" t="s">
        <v>319</v>
      </c>
      <c r="HL123" s="11" t="s">
        <v>320</v>
      </c>
      <c r="HM123" s="11" t="s">
        <v>619</v>
      </c>
      <c r="HN123" s="11">
        <v>2017</v>
      </c>
      <c r="HO123" s="11" t="s">
        <v>2454</v>
      </c>
      <c r="HP123" s="11" t="s">
        <v>330</v>
      </c>
      <c r="HQ123" s="11" t="s">
        <v>320</v>
      </c>
      <c r="HR123" s="11" t="s">
        <v>320</v>
      </c>
      <c r="HS123" s="11" t="s">
        <v>320</v>
      </c>
      <c r="HT123" s="11" t="s">
        <v>320</v>
      </c>
      <c r="HU123" s="11" t="s">
        <v>320</v>
      </c>
      <c r="HV123" s="11" t="s">
        <v>320</v>
      </c>
      <c r="HW123" s="11" t="s">
        <v>320</v>
      </c>
      <c r="HX123" s="11" t="s">
        <v>320</v>
      </c>
      <c r="HY123" s="11" t="s">
        <v>2455</v>
      </c>
      <c r="HZ123" s="12" t="s">
        <v>331</v>
      </c>
      <c r="IA123" s="11" t="s">
        <v>2456</v>
      </c>
      <c r="IB123" s="12" t="s">
        <v>396</v>
      </c>
      <c r="IC123" s="11" t="s">
        <v>2457</v>
      </c>
      <c r="ID123" s="11" t="s">
        <v>364</v>
      </c>
      <c r="IE123" s="11" t="s">
        <v>478</v>
      </c>
      <c r="IF123" s="11" t="s">
        <v>320</v>
      </c>
      <c r="IG123" s="11" t="s">
        <v>320</v>
      </c>
      <c r="IH123" s="11" t="s">
        <v>320</v>
      </c>
      <c r="II123" s="11" t="s">
        <v>320</v>
      </c>
      <c r="IJ123" s="12" t="str">
        <f t="shared" si="44"/>
        <v>4. Transformative</v>
      </c>
      <c r="IK123" s="12">
        <f t="shared" si="45"/>
        <v>4</v>
      </c>
      <c r="IL123" s="11" t="s">
        <v>336</v>
      </c>
      <c r="IM123" s="11" t="s">
        <v>320</v>
      </c>
      <c r="IN123" s="11" t="s">
        <v>320</v>
      </c>
      <c r="IO123" s="11" t="s">
        <v>320</v>
      </c>
      <c r="IP123" s="11" t="s">
        <v>320</v>
      </c>
      <c r="IQ123" s="12" t="str">
        <f t="shared" si="46"/>
        <v>2. Accommodating</v>
      </c>
      <c r="IR123" s="12">
        <f t="shared" si="47"/>
        <v>4</v>
      </c>
      <c r="IS123" s="11" t="s">
        <v>622</v>
      </c>
      <c r="IT123" s="11" t="s">
        <v>320</v>
      </c>
      <c r="IU123" s="11" t="s">
        <v>320</v>
      </c>
      <c r="IV123" s="11" t="s">
        <v>320</v>
      </c>
      <c r="IW123" s="11" t="str">
        <f t="shared" si="48"/>
        <v>4. Transformative</v>
      </c>
      <c r="IX123" s="12">
        <f t="shared" si="49"/>
        <v>3</v>
      </c>
      <c r="IY123" s="11" t="s">
        <v>338</v>
      </c>
      <c r="IZ123" s="11" t="s">
        <v>527</v>
      </c>
      <c r="JA123" s="11">
        <v>3</v>
      </c>
      <c r="JB123" s="12" t="s">
        <v>687</v>
      </c>
      <c r="JC123" s="12" t="s">
        <v>651</v>
      </c>
      <c r="JD123" s="11" t="s">
        <v>1113</v>
      </c>
      <c r="JE123" s="12" t="s">
        <v>340</v>
      </c>
      <c r="JF123" s="11" t="s">
        <v>2458</v>
      </c>
      <c r="JG123" s="11" t="s">
        <v>2459</v>
      </c>
      <c r="JH123" s="11" t="s">
        <v>2460</v>
      </c>
      <c r="JI123" s="11" t="s">
        <v>2461</v>
      </c>
      <c r="JJ123" s="11" t="s">
        <v>2462</v>
      </c>
      <c r="JK123" s="11" t="s">
        <v>2463</v>
      </c>
      <c r="JL123" s="11" t="s">
        <v>2464</v>
      </c>
      <c r="JM123" s="11" t="s">
        <v>2465</v>
      </c>
      <c r="JN123" s="11" t="s">
        <v>2466</v>
      </c>
      <c r="JO123" s="11" t="s">
        <v>2467</v>
      </c>
      <c r="JP123" s="15">
        <f t="shared" si="50"/>
        <v>1797</v>
      </c>
      <c r="JQ123" s="15">
        <f t="shared" si="51"/>
        <v>318</v>
      </c>
      <c r="JR123" s="279">
        <f t="shared" si="52"/>
        <v>0.17696160267111852</v>
      </c>
      <c r="JS123" s="17">
        <f t="shared" si="53"/>
        <v>0.328881469115192</v>
      </c>
      <c r="JT123" s="18">
        <f t="shared" si="54"/>
        <v>0.48113207547169812</v>
      </c>
      <c r="JU123" s="280">
        <f t="shared" si="55"/>
        <v>591</v>
      </c>
      <c r="JV123" s="280">
        <f t="shared" si="56"/>
        <v>153</v>
      </c>
      <c r="JW123" s="319" t="str">
        <f t="shared" si="57"/>
        <v/>
      </c>
      <c r="JX123" s="15">
        <f t="shared" si="58"/>
        <v>0</v>
      </c>
      <c r="JY123" s="15">
        <f t="shared" si="59"/>
        <v>0</v>
      </c>
      <c r="JZ123" s="19" t="str">
        <f t="shared" si="60"/>
        <v/>
      </c>
      <c r="KA123" s="52">
        <f t="shared" si="61"/>
        <v>1</v>
      </c>
      <c r="KB123" s="15">
        <f t="shared" si="62"/>
        <v>666</v>
      </c>
      <c r="KC123" s="15">
        <f t="shared" si="63"/>
        <v>230</v>
      </c>
      <c r="KD123" s="20">
        <f t="shared" si="64"/>
        <v>0.34534534534534533</v>
      </c>
      <c r="KE123" s="52" t="str">
        <f t="shared" si="65"/>
        <v/>
      </c>
      <c r="KF123" s="15">
        <f t="shared" si="66"/>
        <v>0</v>
      </c>
      <c r="KG123" s="15">
        <f t="shared" si="67"/>
        <v>0</v>
      </c>
      <c r="KH123" s="21" t="str">
        <f t="shared" si="68"/>
        <v/>
      </c>
      <c r="KI123" s="52" t="str">
        <f t="shared" si="69"/>
        <v/>
      </c>
      <c r="KJ123" s="15">
        <f t="shared" si="70"/>
        <v>0</v>
      </c>
      <c r="KK123" s="15">
        <f t="shared" si="71"/>
        <v>0</v>
      </c>
      <c r="KL123" s="19" t="str">
        <f t="shared" si="72"/>
        <v/>
      </c>
      <c r="KM123" s="52">
        <f t="shared" si="73"/>
        <v>1</v>
      </c>
      <c r="KN123" s="22">
        <f t="shared" si="74"/>
        <v>347</v>
      </c>
      <c r="KO123" s="22">
        <f t="shared" si="75"/>
        <v>22</v>
      </c>
      <c r="KP123" s="19">
        <f t="shared" si="76"/>
        <v>6.3400576368876083E-2</v>
      </c>
      <c r="KQ123" s="11" t="str">
        <f t="shared" si="77"/>
        <v>4. Transformative</v>
      </c>
      <c r="KR123" s="11" t="str">
        <f t="shared" si="78"/>
        <v>2. Accommodating</v>
      </c>
      <c r="KS123" s="11" t="str">
        <f t="shared" si="79"/>
        <v>4. Transformative</v>
      </c>
      <c r="KT123" s="11" t="str">
        <f t="shared" si="80"/>
        <v>It tested new ways for fighting poverty and measured results of innovation</v>
      </c>
      <c r="KU123" s="11" t="str">
        <f t="shared" si="81"/>
        <v>Moderate advocacy</v>
      </c>
      <c r="KV123" s="11" t="str">
        <f t="shared" si="82"/>
        <v>It linked and worked with strategic alliances and partners to take tested and effective solutions to scale</v>
      </c>
      <c r="KW123" s="11" t="str">
        <f t="shared" si="83"/>
        <v>Cameroon - Projet d’accompagnement des bénéficiaires dans la mise en œuvre des activités du volet HIMO au Programme National de Développement Participatif (PNDP)</v>
      </c>
      <c r="KX123" s="11" t="str">
        <f t="shared" si="84"/>
        <v>Projet d’accompagnement des bénéficiaires dans la mise en œuvre des activités du volet HIMO au Programme National de Développement Participatif (PNDP)</v>
      </c>
      <c r="KY123" s="11" t="str">
        <f t="shared" si="85"/>
        <v>Cameroon</v>
      </c>
      <c r="KZ123" s="12">
        <v>123</v>
      </c>
    </row>
    <row r="124" spans="1:312" x14ac:dyDescent="0.3">
      <c r="A124" s="11" t="s">
        <v>2395</v>
      </c>
      <c r="B124" s="11" t="s">
        <v>1596</v>
      </c>
      <c r="D124" s="11" t="s">
        <v>2396</v>
      </c>
      <c r="E124" s="24" t="str">
        <f t="shared" si="43"/>
        <v>Cameroon</v>
      </c>
      <c r="F124" s="11" t="s">
        <v>2397</v>
      </c>
      <c r="G124" s="11" t="s">
        <v>376</v>
      </c>
      <c r="H124" s="11" t="s">
        <v>310</v>
      </c>
      <c r="I124" s="11" t="s">
        <v>377</v>
      </c>
      <c r="J124" s="278" t="s">
        <v>14564</v>
      </c>
      <c r="K124" s="11" t="s">
        <v>2398</v>
      </c>
      <c r="L124" s="11" t="s">
        <v>714</v>
      </c>
      <c r="M124" s="11" t="s">
        <v>310</v>
      </c>
      <c r="N124" s="11" t="s">
        <v>2399</v>
      </c>
      <c r="O124" s="11" t="s">
        <v>2400</v>
      </c>
      <c r="P124" s="11" t="s">
        <v>2401</v>
      </c>
      <c r="Q124" s="11" t="s">
        <v>714</v>
      </c>
      <c r="R124" s="11" t="s">
        <v>310</v>
      </c>
      <c r="S124" s="11" t="s">
        <v>311</v>
      </c>
      <c r="T124" s="11" t="s">
        <v>2402</v>
      </c>
      <c r="BD124" s="23">
        <v>42826</v>
      </c>
      <c r="BE124" s="23">
        <v>43555</v>
      </c>
      <c r="BG124" s="11" t="s">
        <v>817</v>
      </c>
      <c r="BH124" s="22">
        <v>1153039</v>
      </c>
      <c r="BI124" s="11" t="s">
        <v>2403</v>
      </c>
      <c r="BJ124" s="11" t="s">
        <v>2404</v>
      </c>
      <c r="BK124" s="11" t="s">
        <v>2405</v>
      </c>
      <c r="BL124" s="11" t="s">
        <v>2406</v>
      </c>
      <c r="BM124" s="11" t="s">
        <v>2407</v>
      </c>
      <c r="BN124" s="11" t="s">
        <v>2408</v>
      </c>
      <c r="BO124" s="11" t="s">
        <v>320</v>
      </c>
      <c r="BP124" s="11" t="s">
        <v>320</v>
      </c>
      <c r="BQ124" s="12" t="s">
        <v>320</v>
      </c>
      <c r="BR124" s="11" t="s">
        <v>2409</v>
      </c>
      <c r="BS124" s="11" t="s">
        <v>357</v>
      </c>
      <c r="BT124" s="11" t="s">
        <v>2410</v>
      </c>
      <c r="BU124" s="11" t="s">
        <v>2411</v>
      </c>
      <c r="BV124" s="22">
        <v>7820</v>
      </c>
      <c r="BW124" s="22">
        <v>9180</v>
      </c>
      <c r="BX124" s="22">
        <v>17000</v>
      </c>
      <c r="BY124" s="22">
        <v>0</v>
      </c>
      <c r="BZ124" s="22">
        <v>0</v>
      </c>
      <c r="CA124" s="22">
        <v>0</v>
      </c>
      <c r="CB124" s="15" t="s">
        <v>2412</v>
      </c>
      <c r="CD124" s="22">
        <v>33575</v>
      </c>
      <c r="CE124" s="22">
        <v>10595</v>
      </c>
      <c r="CF124" s="22">
        <v>44170</v>
      </c>
      <c r="CG124" s="22">
        <v>11211</v>
      </c>
      <c r="CH124" s="22">
        <v>31859</v>
      </c>
      <c r="CI124" s="22">
        <v>43070</v>
      </c>
      <c r="CJ124" s="11" t="s">
        <v>319</v>
      </c>
      <c r="CL124" s="18"/>
      <c r="CN124" s="11" t="s">
        <v>320</v>
      </c>
      <c r="CO124" s="22">
        <v>7575</v>
      </c>
      <c r="CP124" s="18">
        <v>0.17</v>
      </c>
      <c r="CQ124" s="22">
        <v>6700</v>
      </c>
      <c r="CR124" s="11" t="s">
        <v>319</v>
      </c>
      <c r="CT124" s="18"/>
      <c r="CV124" s="11" t="s">
        <v>319</v>
      </c>
      <c r="CX124" s="18"/>
      <c r="CZ124" s="11" t="s">
        <v>319</v>
      </c>
      <c r="DB124" s="18"/>
      <c r="DD124" s="11" t="s">
        <v>319</v>
      </c>
      <c r="DF124" s="18"/>
      <c r="DH124" s="11" t="s">
        <v>319</v>
      </c>
      <c r="DJ124" s="18"/>
      <c r="DL124" s="11" t="s">
        <v>319</v>
      </c>
      <c r="DN124" s="18"/>
      <c r="DP124" s="11" t="s">
        <v>319</v>
      </c>
      <c r="DR124" s="18"/>
      <c r="DT124" s="11" t="s">
        <v>319</v>
      </c>
      <c r="DV124" s="18"/>
      <c r="DX124" s="11" t="s">
        <v>319</v>
      </c>
      <c r="DZ124" s="18"/>
      <c r="EB124" s="11" t="s">
        <v>320</v>
      </c>
      <c r="EC124" s="22">
        <v>23401</v>
      </c>
      <c r="ED124" s="18">
        <v>0.3</v>
      </c>
      <c r="EE124" s="22">
        <v>6932</v>
      </c>
      <c r="EF124" s="15" t="s">
        <v>2413</v>
      </c>
      <c r="EG124" s="12" t="s">
        <v>320</v>
      </c>
      <c r="EH124" s="22">
        <v>13194</v>
      </c>
      <c r="EI124" s="18">
        <v>0.3</v>
      </c>
      <c r="EJ124" s="22">
        <v>6932</v>
      </c>
      <c r="EQ124" s="12" t="s">
        <v>319</v>
      </c>
      <c r="ES124" s="18"/>
      <c r="EU124" s="11" t="s">
        <v>319</v>
      </c>
      <c r="EW124" s="18"/>
      <c r="EY124" s="12" t="s">
        <v>319</v>
      </c>
      <c r="FA124" s="18"/>
      <c r="FC124" s="11" t="s">
        <v>319</v>
      </c>
      <c r="FE124" s="18"/>
      <c r="FG124" s="11" t="s">
        <v>319</v>
      </c>
      <c r="FI124" s="18"/>
      <c r="FK124" s="11" t="s">
        <v>319</v>
      </c>
      <c r="FM124" s="18"/>
      <c r="FO124" s="11" t="s">
        <v>319</v>
      </c>
      <c r="FQ124" s="18"/>
      <c r="FS124" s="11" t="s">
        <v>319</v>
      </c>
      <c r="FU124" s="18"/>
      <c r="FW124" s="11" t="s">
        <v>319</v>
      </c>
      <c r="FY124" s="18"/>
      <c r="GA124" s="11" t="s">
        <v>319</v>
      </c>
      <c r="GC124" s="18"/>
      <c r="GE124" s="11" t="s">
        <v>319</v>
      </c>
      <c r="GG124" s="18"/>
      <c r="GI124" s="11" t="s">
        <v>319</v>
      </c>
      <c r="GK124" s="18"/>
      <c r="GM124" s="11" t="s">
        <v>319</v>
      </c>
      <c r="GO124" s="18"/>
      <c r="GQ124" s="11" t="s">
        <v>319</v>
      </c>
      <c r="GS124" s="18"/>
      <c r="GU124" s="11" t="s">
        <v>319</v>
      </c>
      <c r="GW124" s="18"/>
      <c r="GY124" s="11" t="s">
        <v>319</v>
      </c>
      <c r="HA124" s="18"/>
      <c r="HF124" s="18"/>
      <c r="HH124" s="11" t="s">
        <v>320</v>
      </c>
      <c r="HI124" s="11" t="s">
        <v>327</v>
      </c>
      <c r="HJ124" s="11">
        <v>2016</v>
      </c>
      <c r="HK124" s="11" t="s">
        <v>320</v>
      </c>
      <c r="HL124" s="11" t="s">
        <v>320</v>
      </c>
      <c r="HM124" s="11" t="s">
        <v>328</v>
      </c>
      <c r="HN124" s="11">
        <v>2017</v>
      </c>
      <c r="HO124" s="11" t="s">
        <v>2414</v>
      </c>
      <c r="HP124" s="11" t="s">
        <v>330</v>
      </c>
      <c r="HQ124" s="11" t="s">
        <v>320</v>
      </c>
      <c r="HR124" s="11" t="s">
        <v>320</v>
      </c>
      <c r="HS124" s="11" t="s">
        <v>320</v>
      </c>
      <c r="HT124" s="11" t="s">
        <v>320</v>
      </c>
      <c r="HU124" s="11" t="s">
        <v>320</v>
      </c>
      <c r="HV124" s="11" t="s">
        <v>320</v>
      </c>
      <c r="HW124" s="11" t="s">
        <v>320</v>
      </c>
      <c r="HX124" s="11" t="s">
        <v>320</v>
      </c>
      <c r="HZ124" s="11" t="s">
        <v>394</v>
      </c>
      <c r="IA124" s="11" t="s">
        <v>2415</v>
      </c>
      <c r="IB124" s="12" t="s">
        <v>396</v>
      </c>
      <c r="IC124" s="11" t="s">
        <v>2416</v>
      </c>
      <c r="ID124" s="11" t="s">
        <v>364</v>
      </c>
      <c r="IE124" s="11" t="s">
        <v>335</v>
      </c>
      <c r="IF124" s="11" t="s">
        <v>320</v>
      </c>
      <c r="IG124" s="11" t="s">
        <v>320</v>
      </c>
      <c r="IH124" s="11" t="s">
        <v>320</v>
      </c>
      <c r="II124" s="11" t="s">
        <v>320</v>
      </c>
      <c r="IJ124" s="12" t="str">
        <f t="shared" si="44"/>
        <v>2. Sensitive</v>
      </c>
      <c r="IK124" s="12">
        <f t="shared" si="45"/>
        <v>4</v>
      </c>
      <c r="IL124" s="11" t="s">
        <v>336</v>
      </c>
      <c r="IM124" s="11" t="s">
        <v>320</v>
      </c>
      <c r="IN124" s="11" t="s">
        <v>320</v>
      </c>
      <c r="IO124" s="11" t="s">
        <v>320</v>
      </c>
      <c r="IP124" s="11" t="s">
        <v>320</v>
      </c>
      <c r="IQ124" s="12" t="str">
        <f t="shared" si="46"/>
        <v>2. Accommodating</v>
      </c>
      <c r="IR124" s="12">
        <f t="shared" si="47"/>
        <v>4</v>
      </c>
      <c r="IS124" s="11" t="s">
        <v>337</v>
      </c>
      <c r="IT124" s="11" t="s">
        <v>320</v>
      </c>
      <c r="IU124" s="11" t="s">
        <v>320</v>
      </c>
      <c r="IV124" s="11" t="s">
        <v>320</v>
      </c>
      <c r="IW124" s="11" t="str">
        <f t="shared" si="48"/>
        <v>2. Sensitive</v>
      </c>
      <c r="IX124" s="12">
        <f t="shared" si="49"/>
        <v>3</v>
      </c>
      <c r="IY124" s="11" t="s">
        <v>419</v>
      </c>
      <c r="IZ124" s="11" t="s">
        <v>527</v>
      </c>
      <c r="JA124" s="11">
        <v>3</v>
      </c>
      <c r="JB124" s="12" t="s">
        <v>687</v>
      </c>
      <c r="JC124" s="11" t="s">
        <v>384</v>
      </c>
      <c r="JE124" s="12" t="s">
        <v>420</v>
      </c>
      <c r="JG124" s="11" t="s">
        <v>2417</v>
      </c>
      <c r="JH124" s="11" t="s">
        <v>2418</v>
      </c>
      <c r="JI124" s="11" t="s">
        <v>2419</v>
      </c>
      <c r="JJ124" s="11" t="s">
        <v>2420</v>
      </c>
      <c r="JK124" s="11" t="s">
        <v>2421</v>
      </c>
      <c r="JL124" s="11" t="s">
        <v>2422</v>
      </c>
      <c r="JM124" s="11" t="s">
        <v>2423</v>
      </c>
      <c r="JP124" s="15">
        <f t="shared" si="50"/>
        <v>44170</v>
      </c>
      <c r="JQ124" s="15">
        <f t="shared" si="51"/>
        <v>43070</v>
      </c>
      <c r="JR124" s="279">
        <f t="shared" si="52"/>
        <v>0.97509621915327149</v>
      </c>
      <c r="JS124" s="17">
        <f t="shared" si="53"/>
        <v>0.76013131084446461</v>
      </c>
      <c r="JT124" s="18">
        <f t="shared" si="54"/>
        <v>0.26029719061992107</v>
      </c>
      <c r="JU124" s="280">
        <f t="shared" si="55"/>
        <v>33575</v>
      </c>
      <c r="JV124" s="280">
        <f t="shared" si="56"/>
        <v>11211</v>
      </c>
      <c r="JW124" s="319">
        <f t="shared" si="57"/>
        <v>1</v>
      </c>
      <c r="JX124" s="15">
        <f t="shared" si="58"/>
        <v>44170</v>
      </c>
      <c r="JY124" s="15">
        <f t="shared" si="59"/>
        <v>43070</v>
      </c>
      <c r="JZ124" s="19">
        <f t="shared" si="60"/>
        <v>0.97509621915327149</v>
      </c>
      <c r="KA124" s="52" t="str">
        <f t="shared" si="61"/>
        <v/>
      </c>
      <c r="KB124" s="15">
        <f t="shared" si="62"/>
        <v>0</v>
      </c>
      <c r="KC124" s="15">
        <f t="shared" si="63"/>
        <v>0</v>
      </c>
      <c r="KD124" s="20" t="str">
        <f t="shared" si="64"/>
        <v/>
      </c>
      <c r="KE124" s="52" t="str">
        <f t="shared" si="65"/>
        <v/>
      </c>
      <c r="KF124" s="15">
        <f t="shared" si="66"/>
        <v>0</v>
      </c>
      <c r="KG124" s="15">
        <f t="shared" si="67"/>
        <v>0</v>
      </c>
      <c r="KH124" s="21" t="str">
        <f t="shared" si="68"/>
        <v/>
      </c>
      <c r="KI124" s="52" t="str">
        <f t="shared" si="69"/>
        <v/>
      </c>
      <c r="KJ124" s="15">
        <f t="shared" si="70"/>
        <v>0</v>
      </c>
      <c r="KK124" s="15">
        <f t="shared" si="71"/>
        <v>0</v>
      </c>
      <c r="KL124" s="19" t="str">
        <f t="shared" si="72"/>
        <v/>
      </c>
      <c r="KM124" s="52" t="str">
        <f t="shared" si="73"/>
        <v/>
      </c>
      <c r="KN124" s="22">
        <f t="shared" si="74"/>
        <v>0</v>
      </c>
      <c r="KO124" s="22">
        <f t="shared" si="75"/>
        <v>0</v>
      </c>
      <c r="KP124" s="19" t="str">
        <f t="shared" si="76"/>
        <v/>
      </c>
      <c r="KQ124" s="11" t="str">
        <f t="shared" si="77"/>
        <v>2. Sensitive</v>
      </c>
      <c r="KR124" s="11" t="str">
        <f t="shared" si="78"/>
        <v>2. Accommodating</v>
      </c>
      <c r="KS124" s="11" t="str">
        <f t="shared" si="79"/>
        <v>2. Sensitive</v>
      </c>
      <c r="KT124" s="11" t="str">
        <f t="shared" si="80"/>
        <v>It tested new ways for fighting poverty, but did not measure results of innovation</v>
      </c>
      <c r="KU124" s="11" t="str">
        <f t="shared" si="81"/>
        <v>Moderate advocacy</v>
      </c>
      <c r="KV124" s="11" t="str">
        <f t="shared" si="82"/>
        <v>It linked and worked with strategic alliances and partners to take tested and effective solutions to scale</v>
      </c>
      <c r="KW124" s="11" t="str">
        <f t="shared" si="83"/>
        <v>Cameroon - Projet d'Aide d’urgence aux populations déplacées et communautés hôtes affectées par l’insécurité au Cameroun 2015/2016</v>
      </c>
      <c r="KX124" s="11" t="str">
        <f t="shared" si="84"/>
        <v>Projet d'Aide d’urgence aux populations déplacées et communautés hôtes affectées par l’insécurité au Cameroun 2015/2016</v>
      </c>
      <c r="KY124" s="11" t="str">
        <f t="shared" si="85"/>
        <v>Cameroon</v>
      </c>
      <c r="KZ124" s="12">
        <v>124</v>
      </c>
    </row>
    <row r="125" spans="1:312" x14ac:dyDescent="0.3">
      <c r="A125" s="11" t="s">
        <v>2395</v>
      </c>
      <c r="B125" s="11" t="s">
        <v>1596</v>
      </c>
      <c r="D125" s="11" t="s">
        <v>2468</v>
      </c>
      <c r="E125" s="24" t="str">
        <f t="shared" si="43"/>
        <v>Cameroon</v>
      </c>
      <c r="F125" s="11" t="s">
        <v>2469</v>
      </c>
      <c r="G125" s="11" t="s">
        <v>714</v>
      </c>
      <c r="H125" s="11" t="s">
        <v>383</v>
      </c>
      <c r="I125" s="11" t="s">
        <v>384</v>
      </c>
      <c r="J125" s="281" t="s">
        <v>14600</v>
      </c>
      <c r="BD125" s="23">
        <v>41730</v>
      </c>
      <c r="BE125" s="23">
        <v>42735</v>
      </c>
      <c r="BF125" s="23">
        <v>42916</v>
      </c>
      <c r="BG125" s="11" t="s">
        <v>749</v>
      </c>
      <c r="BH125" s="22">
        <v>575875</v>
      </c>
      <c r="BI125" s="11" t="s">
        <v>2406</v>
      </c>
      <c r="BJ125" s="11" t="s">
        <v>2470</v>
      </c>
      <c r="BK125" s="11" t="s">
        <v>2408</v>
      </c>
      <c r="BL125" s="11" t="s">
        <v>2471</v>
      </c>
      <c r="BM125" s="11" t="s">
        <v>2472</v>
      </c>
      <c r="BN125" s="11" t="s">
        <v>2473</v>
      </c>
      <c r="BO125" s="12" t="s">
        <v>319</v>
      </c>
      <c r="BP125" s="12" t="s">
        <v>320</v>
      </c>
      <c r="BQ125" s="12" t="s">
        <v>319</v>
      </c>
      <c r="BR125" s="11" t="s">
        <v>2474</v>
      </c>
      <c r="BS125" s="11" t="s">
        <v>357</v>
      </c>
      <c r="BT125" s="11" t="s">
        <v>2475</v>
      </c>
      <c r="BU125" s="11" t="s">
        <v>2476</v>
      </c>
      <c r="BV125" s="22">
        <v>240</v>
      </c>
      <c r="BW125" s="22">
        <v>100</v>
      </c>
      <c r="BX125" s="22">
        <v>340</v>
      </c>
      <c r="BY125" s="22">
        <v>1300</v>
      </c>
      <c r="BZ125" s="22">
        <v>900</v>
      </c>
      <c r="CA125" s="22">
        <v>2200</v>
      </c>
      <c r="CB125" s="15" t="s">
        <v>2477</v>
      </c>
      <c r="CL125" s="18"/>
      <c r="CP125" s="18"/>
      <c r="CT125" s="18"/>
      <c r="CX125" s="18"/>
      <c r="DB125" s="18"/>
      <c r="DF125" s="18"/>
      <c r="DJ125" s="18"/>
      <c r="DN125" s="18"/>
      <c r="DR125" s="18"/>
      <c r="DV125" s="18"/>
      <c r="DZ125" s="18"/>
      <c r="ED125" s="18"/>
      <c r="EI125" s="18"/>
      <c r="EK125" s="22">
        <v>2033</v>
      </c>
      <c r="EL125" s="22">
        <v>511</v>
      </c>
      <c r="EM125" s="22">
        <v>2544</v>
      </c>
      <c r="EN125" s="22">
        <v>9280</v>
      </c>
      <c r="EO125" s="22">
        <v>8774</v>
      </c>
      <c r="EP125" s="22">
        <v>18054</v>
      </c>
      <c r="EQ125" s="12" t="s">
        <v>320</v>
      </c>
      <c r="ER125" s="22">
        <v>612</v>
      </c>
      <c r="ES125" s="18">
        <v>0.248</v>
      </c>
      <c r="ET125" s="22">
        <v>3672</v>
      </c>
      <c r="EU125" s="11" t="s">
        <v>320</v>
      </c>
      <c r="EV125" s="22">
        <v>226</v>
      </c>
      <c r="EW125" s="18">
        <v>8.6999999999999994E-2</v>
      </c>
      <c r="EX125" s="22">
        <v>1356</v>
      </c>
      <c r="FA125" s="18"/>
      <c r="FE125" s="18"/>
      <c r="FG125" s="12" t="s">
        <v>320</v>
      </c>
      <c r="FH125" s="22">
        <v>354</v>
      </c>
      <c r="FI125" s="18">
        <v>0</v>
      </c>
      <c r="FJ125" s="22">
        <v>2124</v>
      </c>
      <c r="FM125" s="18"/>
      <c r="FQ125" s="18"/>
      <c r="FU125" s="18"/>
      <c r="FY125" s="18"/>
      <c r="GC125" s="18"/>
      <c r="GG125" s="18"/>
      <c r="GK125" s="18"/>
      <c r="GO125" s="18"/>
      <c r="GS125" s="18"/>
      <c r="GW125" s="18"/>
      <c r="GY125" s="11" t="s">
        <v>320</v>
      </c>
      <c r="GZ125" s="22">
        <v>1352</v>
      </c>
      <c r="HA125" s="18">
        <v>0.66500000000000004</v>
      </c>
      <c r="HB125" s="22">
        <v>8112</v>
      </c>
      <c r="HF125" s="18"/>
      <c r="HH125" s="11" t="s">
        <v>320</v>
      </c>
      <c r="HI125" s="11" t="s">
        <v>451</v>
      </c>
      <c r="HK125" s="11" t="s">
        <v>320</v>
      </c>
      <c r="HL125" s="11" t="s">
        <v>319</v>
      </c>
      <c r="HO125" s="11" t="s">
        <v>2478</v>
      </c>
      <c r="HP125" s="11" t="s">
        <v>330</v>
      </c>
      <c r="HQ125" s="11" t="s">
        <v>319</v>
      </c>
      <c r="HR125" s="11" t="s">
        <v>320</v>
      </c>
      <c r="HS125" s="11" t="s">
        <v>320</v>
      </c>
      <c r="HT125" s="11" t="s">
        <v>320</v>
      </c>
      <c r="HU125" s="11" t="s">
        <v>320</v>
      </c>
      <c r="HV125" s="11" t="s">
        <v>320</v>
      </c>
      <c r="HW125" s="11" t="s">
        <v>319</v>
      </c>
      <c r="HZ125" s="12" t="s">
        <v>331</v>
      </c>
      <c r="IA125" s="11" t="s">
        <v>2479</v>
      </c>
      <c r="IB125" s="12" t="s">
        <v>396</v>
      </c>
      <c r="IC125" s="11" t="s">
        <v>2480</v>
      </c>
      <c r="ID125" s="12" t="s">
        <v>334</v>
      </c>
      <c r="IE125" s="11" t="s">
        <v>335</v>
      </c>
      <c r="IF125" s="11" t="s">
        <v>320</v>
      </c>
      <c r="IG125" s="11" t="s">
        <v>320</v>
      </c>
      <c r="IH125" s="11" t="s">
        <v>320</v>
      </c>
      <c r="II125" s="11" t="s">
        <v>320</v>
      </c>
      <c r="IJ125" s="12" t="str">
        <f t="shared" si="44"/>
        <v>2. Sensitive</v>
      </c>
      <c r="IK125" s="12">
        <f t="shared" si="45"/>
        <v>4</v>
      </c>
      <c r="IL125" s="11" t="s">
        <v>336</v>
      </c>
      <c r="IM125" s="11" t="s">
        <v>320</v>
      </c>
      <c r="IN125" s="11" t="s">
        <v>320</v>
      </c>
      <c r="IO125" s="11" t="s">
        <v>320</v>
      </c>
      <c r="IP125" s="11" t="s">
        <v>320</v>
      </c>
      <c r="IQ125" s="12" t="str">
        <f t="shared" si="46"/>
        <v>2. Accommodating</v>
      </c>
      <c r="IR125" s="12">
        <f t="shared" si="47"/>
        <v>4</v>
      </c>
      <c r="IS125" s="11" t="s">
        <v>622</v>
      </c>
      <c r="IT125" s="11" t="s">
        <v>320</v>
      </c>
      <c r="IU125" s="11" t="s">
        <v>319</v>
      </c>
      <c r="IV125" s="11" t="s">
        <v>320</v>
      </c>
      <c r="IW125" s="11" t="str">
        <f t="shared" si="48"/>
        <v>3. Responsive</v>
      </c>
      <c r="IX125" s="12">
        <f t="shared" si="49"/>
        <v>2</v>
      </c>
      <c r="IY125" s="11" t="s">
        <v>419</v>
      </c>
      <c r="IZ125" s="11" t="s">
        <v>527</v>
      </c>
      <c r="JA125" s="11">
        <v>5</v>
      </c>
      <c r="JB125" s="12" t="s">
        <v>624</v>
      </c>
      <c r="JC125" s="11" t="s">
        <v>687</v>
      </c>
      <c r="JE125" s="12" t="s">
        <v>340</v>
      </c>
      <c r="JF125" s="11" t="s">
        <v>2481</v>
      </c>
      <c r="JG125" s="11" t="s">
        <v>2482</v>
      </c>
      <c r="JH125" s="11" t="s">
        <v>2483</v>
      </c>
      <c r="JI125" s="11" t="s">
        <v>2484</v>
      </c>
      <c r="JJ125" s="11" t="s">
        <v>2485</v>
      </c>
      <c r="JK125" s="11" t="s">
        <v>2486</v>
      </c>
      <c r="JL125" s="11" t="s">
        <v>2487</v>
      </c>
      <c r="JN125" s="11" t="s">
        <v>2488</v>
      </c>
      <c r="JO125" s="11" t="s">
        <v>2489</v>
      </c>
      <c r="JP125" s="15">
        <f t="shared" si="50"/>
        <v>2544</v>
      </c>
      <c r="JQ125" s="15">
        <f t="shared" si="51"/>
        <v>18054</v>
      </c>
      <c r="JR125" s="279">
        <f t="shared" si="52"/>
        <v>7.0966981132075473</v>
      </c>
      <c r="JS125" s="17">
        <f t="shared" si="53"/>
        <v>0.79913522012578619</v>
      </c>
      <c r="JT125" s="18">
        <f t="shared" si="54"/>
        <v>0.51401351501052395</v>
      </c>
      <c r="JU125" s="280">
        <f t="shared" si="55"/>
        <v>2033</v>
      </c>
      <c r="JV125" s="280">
        <f t="shared" si="56"/>
        <v>9280</v>
      </c>
      <c r="JW125" s="319" t="str">
        <f t="shared" si="57"/>
        <v/>
      </c>
      <c r="JX125" s="15">
        <f t="shared" si="58"/>
        <v>0</v>
      </c>
      <c r="JY125" s="15">
        <f t="shared" si="59"/>
        <v>0</v>
      </c>
      <c r="JZ125" s="19" t="str">
        <f t="shared" si="60"/>
        <v/>
      </c>
      <c r="KA125" s="52">
        <f t="shared" si="61"/>
        <v>1</v>
      </c>
      <c r="KB125" s="15">
        <f t="shared" si="62"/>
        <v>612</v>
      </c>
      <c r="KC125" s="15">
        <f t="shared" si="63"/>
        <v>3672</v>
      </c>
      <c r="KD125" s="20">
        <f t="shared" si="64"/>
        <v>6</v>
      </c>
      <c r="KE125" s="52" t="str">
        <f t="shared" si="65"/>
        <v/>
      </c>
      <c r="KF125" s="15">
        <f t="shared" si="66"/>
        <v>0</v>
      </c>
      <c r="KG125" s="15">
        <f t="shared" si="67"/>
        <v>0</v>
      </c>
      <c r="KH125" s="21" t="str">
        <f t="shared" si="68"/>
        <v/>
      </c>
      <c r="KI125" s="52" t="str">
        <f t="shared" si="69"/>
        <v/>
      </c>
      <c r="KJ125" s="15">
        <f t="shared" si="70"/>
        <v>0</v>
      </c>
      <c r="KK125" s="15">
        <f t="shared" si="71"/>
        <v>0</v>
      </c>
      <c r="KL125" s="19" t="str">
        <f t="shared" si="72"/>
        <v/>
      </c>
      <c r="KM125" s="52">
        <f t="shared" si="73"/>
        <v>1</v>
      </c>
      <c r="KN125" s="22">
        <f t="shared" si="74"/>
        <v>1352</v>
      </c>
      <c r="KO125" s="22">
        <f t="shared" si="75"/>
        <v>8112</v>
      </c>
      <c r="KP125" s="19">
        <f t="shared" si="76"/>
        <v>6</v>
      </c>
      <c r="KQ125" s="11" t="str">
        <f t="shared" si="77"/>
        <v>2. Sensitive</v>
      </c>
      <c r="KR125" s="11" t="str">
        <f t="shared" si="78"/>
        <v>2. Accommodating</v>
      </c>
      <c r="KS125" s="11" t="str">
        <f t="shared" si="79"/>
        <v>3. Responsive</v>
      </c>
      <c r="KT125" s="11" t="str">
        <f t="shared" si="80"/>
        <v>It tested new ways for fighting poverty and measured results of innovation</v>
      </c>
      <c r="KU125" s="11" t="str">
        <f t="shared" si="81"/>
        <v>Moderate advocacy</v>
      </c>
      <c r="KV125" s="11" t="str">
        <f t="shared" si="82"/>
        <v>It linked and worked with strategic alliances and partners to take tested and effective solutions to scale</v>
      </c>
      <c r="KW125" s="11" t="str">
        <f t="shared" si="83"/>
        <v>Cameroon - Projet de Résilience et Autonomisation des femmes et des jeunes par la Formation et l'Epargne (RESAFE)</v>
      </c>
      <c r="KX125" s="11" t="str">
        <f t="shared" si="84"/>
        <v>Projet de Résilience et Autonomisation des femmes et des jeunes par la Formation et l'Epargne (RESAFE)</v>
      </c>
      <c r="KY125" s="11" t="str">
        <f t="shared" si="85"/>
        <v>Cameroon</v>
      </c>
      <c r="KZ125" s="12">
        <v>125</v>
      </c>
    </row>
    <row r="126" spans="1:312" x14ac:dyDescent="0.3">
      <c r="A126" s="11" t="s">
        <v>2395</v>
      </c>
      <c r="B126" s="11" t="s">
        <v>1596</v>
      </c>
      <c r="D126" s="11" t="s">
        <v>2490</v>
      </c>
      <c r="E126" s="24" t="str">
        <f t="shared" si="43"/>
        <v>Cameroon</v>
      </c>
      <c r="F126" s="11" t="s">
        <v>2491</v>
      </c>
      <c r="G126" s="11" t="s">
        <v>714</v>
      </c>
      <c r="H126" s="11" t="s">
        <v>383</v>
      </c>
      <c r="I126" s="11" t="s">
        <v>384</v>
      </c>
      <c r="J126" s="278" t="s">
        <v>2492</v>
      </c>
      <c r="BD126" s="23">
        <v>41640</v>
      </c>
      <c r="BE126" s="23">
        <v>42735</v>
      </c>
      <c r="BF126" s="23">
        <v>42855</v>
      </c>
      <c r="BG126" s="11" t="s">
        <v>749</v>
      </c>
      <c r="BH126" s="22">
        <v>750000</v>
      </c>
      <c r="BI126" s="11" t="s">
        <v>2406</v>
      </c>
      <c r="BJ126" s="11" t="s">
        <v>2470</v>
      </c>
      <c r="BK126" s="11" t="s">
        <v>2408</v>
      </c>
      <c r="BL126" s="11" t="s">
        <v>2471</v>
      </c>
      <c r="BM126" s="11" t="s">
        <v>2472</v>
      </c>
      <c r="BN126" s="11" t="s">
        <v>2473</v>
      </c>
      <c r="BO126" s="12" t="s">
        <v>319</v>
      </c>
      <c r="BP126" s="12" t="s">
        <v>320</v>
      </c>
      <c r="BQ126" s="12" t="s">
        <v>319</v>
      </c>
      <c r="BR126" s="11" t="s">
        <v>2493</v>
      </c>
      <c r="BS126" s="11" t="s">
        <v>357</v>
      </c>
      <c r="BT126" s="11" t="s">
        <v>2475</v>
      </c>
      <c r="BU126" s="11" t="s">
        <v>2494</v>
      </c>
      <c r="BV126" s="22">
        <v>179840</v>
      </c>
      <c r="BW126" s="22">
        <v>177600</v>
      </c>
      <c r="BX126" s="22">
        <v>357440</v>
      </c>
      <c r="BY126" s="22">
        <v>305000</v>
      </c>
      <c r="BZ126" s="22">
        <v>303000</v>
      </c>
      <c r="CA126" s="22">
        <v>608000</v>
      </c>
      <c r="CB126" s="15" t="s">
        <v>2495</v>
      </c>
      <c r="CL126" s="18"/>
      <c r="CP126" s="18"/>
      <c r="CT126" s="18"/>
      <c r="CX126" s="18"/>
      <c r="DB126" s="18"/>
      <c r="DF126" s="18"/>
      <c r="DJ126" s="18"/>
      <c r="DN126" s="18"/>
      <c r="DR126" s="18"/>
      <c r="DV126" s="18"/>
      <c r="DZ126" s="18"/>
      <c r="ED126" s="18"/>
      <c r="EI126" s="18"/>
      <c r="EK126" s="22">
        <v>5239</v>
      </c>
      <c r="EL126" s="22">
        <v>4076</v>
      </c>
      <c r="EM126" s="22">
        <v>9315</v>
      </c>
      <c r="EN126" s="22">
        <v>7321</v>
      </c>
      <c r="EO126" s="22">
        <v>9623</v>
      </c>
      <c r="EP126" s="22">
        <v>16944</v>
      </c>
      <c r="EQ126" s="12" t="s">
        <v>320</v>
      </c>
      <c r="ER126" s="22">
        <v>1051</v>
      </c>
      <c r="ES126" s="18">
        <v>0.123</v>
      </c>
      <c r="ET126" s="22">
        <v>6306</v>
      </c>
      <c r="EU126" s="11" t="s">
        <v>320</v>
      </c>
      <c r="EV126" s="22">
        <v>42</v>
      </c>
      <c r="EW126" s="18">
        <v>1E-3</v>
      </c>
      <c r="EX126" s="22">
        <v>252</v>
      </c>
      <c r="FA126" s="18"/>
      <c r="FC126" s="12" t="s">
        <v>320</v>
      </c>
      <c r="FD126" s="22">
        <v>1058</v>
      </c>
      <c r="FE126" s="18">
        <v>0.13900000000000001</v>
      </c>
      <c r="FG126" s="12" t="s">
        <v>320</v>
      </c>
      <c r="FH126" s="22">
        <v>7</v>
      </c>
      <c r="FI126" s="18">
        <v>0</v>
      </c>
      <c r="FJ126" s="22">
        <v>42</v>
      </c>
      <c r="FM126" s="18"/>
      <c r="FO126" s="12" t="s">
        <v>320</v>
      </c>
      <c r="FP126" s="22">
        <v>216</v>
      </c>
      <c r="FQ126" s="18">
        <v>3.4000000000000002E-2</v>
      </c>
      <c r="FR126" s="22">
        <v>1296</v>
      </c>
      <c r="FU126" s="18"/>
      <c r="FY126" s="18"/>
      <c r="GC126" s="18"/>
      <c r="GG126" s="18"/>
      <c r="GK126" s="18"/>
      <c r="GM126" s="11" t="s">
        <v>320</v>
      </c>
      <c r="GN126" s="22">
        <v>147</v>
      </c>
      <c r="GO126" s="18">
        <v>1.9E-2</v>
      </c>
      <c r="GS126" s="18"/>
      <c r="GU126" s="12" t="s">
        <v>320</v>
      </c>
      <c r="GV126" s="22">
        <v>6600</v>
      </c>
      <c r="GW126" s="18">
        <v>0.64700000000000002</v>
      </c>
      <c r="GY126" s="11" t="s">
        <v>320</v>
      </c>
      <c r="GZ126" s="22">
        <v>194</v>
      </c>
      <c r="HA126" s="18">
        <v>3.6999999999999998E-2</v>
      </c>
      <c r="HF126" s="18"/>
      <c r="HH126" s="11" t="s">
        <v>320</v>
      </c>
      <c r="HI126" s="11" t="s">
        <v>1175</v>
      </c>
      <c r="HJ126" s="11">
        <v>2017</v>
      </c>
      <c r="HK126" s="11" t="s">
        <v>320</v>
      </c>
      <c r="HL126" s="11" t="s">
        <v>319</v>
      </c>
      <c r="HO126" s="11" t="s">
        <v>2496</v>
      </c>
      <c r="HP126" s="11" t="s">
        <v>330</v>
      </c>
      <c r="HQ126" s="11" t="s">
        <v>319</v>
      </c>
      <c r="HR126" s="11" t="s">
        <v>319</v>
      </c>
      <c r="HT126" s="11" t="s">
        <v>320</v>
      </c>
      <c r="HU126" s="11" t="s">
        <v>319</v>
      </c>
      <c r="HV126" s="11" t="s">
        <v>320</v>
      </c>
      <c r="HW126" s="11" t="s">
        <v>319</v>
      </c>
      <c r="HX126" s="11" t="s">
        <v>320</v>
      </c>
      <c r="HY126" s="11" t="s">
        <v>2497</v>
      </c>
      <c r="HZ126" s="12" t="s">
        <v>331</v>
      </c>
      <c r="IA126" s="11" t="s">
        <v>2498</v>
      </c>
      <c r="IB126" s="12" t="s">
        <v>396</v>
      </c>
      <c r="IC126" s="11" t="s">
        <v>2499</v>
      </c>
      <c r="ID126" s="12" t="s">
        <v>334</v>
      </c>
      <c r="IE126" s="11" t="s">
        <v>335</v>
      </c>
      <c r="IF126" s="11" t="s">
        <v>320</v>
      </c>
      <c r="IG126" s="11" t="s">
        <v>320</v>
      </c>
      <c r="IH126" s="11" t="s">
        <v>320</v>
      </c>
      <c r="II126" s="11" t="s">
        <v>320</v>
      </c>
      <c r="IJ126" s="12" t="str">
        <f t="shared" si="44"/>
        <v>2. Sensitive</v>
      </c>
      <c r="IK126" s="12">
        <f t="shared" si="45"/>
        <v>4</v>
      </c>
      <c r="IL126" s="11" t="s">
        <v>336</v>
      </c>
      <c r="IM126" s="11" t="s">
        <v>320</v>
      </c>
      <c r="IN126" s="11" t="s">
        <v>320</v>
      </c>
      <c r="IO126" s="11" t="s">
        <v>320</v>
      </c>
      <c r="IP126" s="11" t="s">
        <v>320</v>
      </c>
      <c r="IQ126" s="12" t="str">
        <f t="shared" si="46"/>
        <v>2. Accommodating</v>
      </c>
      <c r="IR126" s="12">
        <f t="shared" si="47"/>
        <v>4</v>
      </c>
      <c r="IS126" s="11" t="s">
        <v>622</v>
      </c>
      <c r="IT126" s="11" t="s">
        <v>320</v>
      </c>
      <c r="IU126" s="11" t="s">
        <v>320</v>
      </c>
      <c r="IV126" s="11" t="s">
        <v>320</v>
      </c>
      <c r="IW126" s="11" t="str">
        <f t="shared" si="48"/>
        <v>4. Transformative</v>
      </c>
      <c r="IX126" s="12">
        <f t="shared" si="49"/>
        <v>3</v>
      </c>
      <c r="IY126" s="11" t="s">
        <v>419</v>
      </c>
      <c r="IZ126" s="11" t="s">
        <v>527</v>
      </c>
      <c r="JA126" s="11">
        <v>5</v>
      </c>
      <c r="JB126" s="11" t="s">
        <v>433</v>
      </c>
      <c r="JC126" s="11" t="s">
        <v>687</v>
      </c>
      <c r="JE126" s="12" t="s">
        <v>340</v>
      </c>
      <c r="JF126" s="11" t="s">
        <v>2500</v>
      </c>
      <c r="JG126" s="11" t="s">
        <v>2501</v>
      </c>
      <c r="JH126" s="11" t="s">
        <v>2502</v>
      </c>
      <c r="JI126" s="11" t="s">
        <v>2503</v>
      </c>
      <c r="JJ126" s="11" t="s">
        <v>2504</v>
      </c>
      <c r="JK126" s="11" t="s">
        <v>2505</v>
      </c>
      <c r="JL126" s="11" t="s">
        <v>2506</v>
      </c>
      <c r="JM126" s="11" t="s">
        <v>2507</v>
      </c>
      <c r="JN126" s="11" t="s">
        <v>2508</v>
      </c>
      <c r="JO126" s="11" t="s">
        <v>2509</v>
      </c>
      <c r="JP126" s="15">
        <f t="shared" si="50"/>
        <v>9315</v>
      </c>
      <c r="JQ126" s="15">
        <f t="shared" si="51"/>
        <v>16944</v>
      </c>
      <c r="JR126" s="279">
        <f t="shared" si="52"/>
        <v>1.8190016103059581</v>
      </c>
      <c r="JS126" s="17">
        <f t="shared" si="53"/>
        <v>0.56242619431025231</v>
      </c>
      <c r="JT126" s="18">
        <f t="shared" si="54"/>
        <v>0.43207034938621341</v>
      </c>
      <c r="JU126" s="280">
        <f t="shared" si="55"/>
        <v>5239</v>
      </c>
      <c r="JV126" s="280">
        <f t="shared" si="56"/>
        <v>7321</v>
      </c>
      <c r="JW126" s="319" t="str">
        <f t="shared" si="57"/>
        <v/>
      </c>
      <c r="JX126" s="15">
        <f t="shared" si="58"/>
        <v>0</v>
      </c>
      <c r="JY126" s="15">
        <f t="shared" si="59"/>
        <v>0</v>
      </c>
      <c r="JZ126" s="19" t="str">
        <f t="shared" si="60"/>
        <v/>
      </c>
      <c r="KA126" s="52">
        <f t="shared" si="61"/>
        <v>1</v>
      </c>
      <c r="KB126" s="15">
        <f t="shared" si="62"/>
        <v>6600</v>
      </c>
      <c r="KC126" s="15">
        <f t="shared" si="63"/>
        <v>6306</v>
      </c>
      <c r="KD126" s="20">
        <f t="shared" si="64"/>
        <v>0.95545454545454545</v>
      </c>
      <c r="KE126" s="52" t="str">
        <f t="shared" si="65"/>
        <v/>
      </c>
      <c r="KF126" s="15">
        <f t="shared" si="66"/>
        <v>0</v>
      </c>
      <c r="KG126" s="15">
        <f t="shared" si="67"/>
        <v>0</v>
      </c>
      <c r="KH126" s="21" t="str">
        <f t="shared" si="68"/>
        <v/>
      </c>
      <c r="KI126" s="52" t="str">
        <f t="shared" si="69"/>
        <v/>
      </c>
      <c r="KJ126" s="15">
        <f t="shared" si="70"/>
        <v>0</v>
      </c>
      <c r="KK126" s="15">
        <f t="shared" si="71"/>
        <v>0</v>
      </c>
      <c r="KL126" s="19" t="str">
        <f t="shared" si="72"/>
        <v/>
      </c>
      <c r="KM126" s="52">
        <f t="shared" si="73"/>
        <v>1</v>
      </c>
      <c r="KN126" s="22">
        <f t="shared" si="74"/>
        <v>194</v>
      </c>
      <c r="KO126" s="22">
        <f t="shared" si="75"/>
        <v>0</v>
      </c>
      <c r="KP126" s="19">
        <f t="shared" si="76"/>
        <v>0</v>
      </c>
      <c r="KQ126" s="11" t="str">
        <f t="shared" si="77"/>
        <v>2. Sensitive</v>
      </c>
      <c r="KR126" s="11" t="str">
        <f t="shared" si="78"/>
        <v>2. Accommodating</v>
      </c>
      <c r="KS126" s="11" t="str">
        <f t="shared" si="79"/>
        <v>4. Transformative</v>
      </c>
      <c r="KT126" s="11" t="str">
        <f t="shared" si="80"/>
        <v>It tested new ways for fighting poverty and measured results of innovation</v>
      </c>
      <c r="KU126" s="11" t="str">
        <f t="shared" si="81"/>
        <v>Moderate advocacy</v>
      </c>
      <c r="KV126" s="11" t="str">
        <f t="shared" si="82"/>
        <v>It linked and worked with strategic alliances and partners to take tested and effective solutions to scale</v>
      </c>
      <c r="KW126" s="11" t="str">
        <f t="shared" si="83"/>
        <v>Cameroon - Projet de Résilience et résistance des femmes face aux aléas climatiques/ environnementaux (RESOFEMMES)</v>
      </c>
      <c r="KX126" s="11" t="str">
        <f t="shared" si="84"/>
        <v>Projet de Résilience et résistance des femmes face aux aléas climatiques/ environnementaux (RESOFEMMES)</v>
      </c>
      <c r="KY126" s="11" t="str">
        <f t="shared" si="85"/>
        <v>Cameroon</v>
      </c>
      <c r="KZ126" s="12">
        <v>126</v>
      </c>
    </row>
    <row r="127" spans="1:312" x14ac:dyDescent="0.3">
      <c r="A127" s="11" t="s">
        <v>2536</v>
      </c>
      <c r="B127" s="11" t="s">
        <v>1596</v>
      </c>
      <c r="D127" s="11" t="s">
        <v>2575</v>
      </c>
      <c r="E127" s="24" t="str">
        <f t="shared" si="43"/>
        <v>Chad</v>
      </c>
      <c r="F127" s="11" t="s">
        <v>2576</v>
      </c>
      <c r="G127" s="11" t="s">
        <v>1738</v>
      </c>
      <c r="H127" s="11" t="s">
        <v>310</v>
      </c>
      <c r="I127" s="11" t="s">
        <v>384</v>
      </c>
      <c r="J127" s="278" t="s">
        <v>14601</v>
      </c>
      <c r="BC127" s="11" t="s">
        <v>2577</v>
      </c>
      <c r="BD127" s="23">
        <v>42675</v>
      </c>
      <c r="BE127" s="23">
        <v>42855</v>
      </c>
      <c r="BG127" s="11" t="s">
        <v>817</v>
      </c>
      <c r="BH127" s="22">
        <v>250000</v>
      </c>
      <c r="BI127" s="11" t="s">
        <v>2578</v>
      </c>
      <c r="BJ127" s="11" t="s">
        <v>2579</v>
      </c>
      <c r="BK127" s="11" t="s">
        <v>2540</v>
      </c>
      <c r="BL127" s="11" t="s">
        <v>2580</v>
      </c>
      <c r="BM127" s="11" t="s">
        <v>2581</v>
      </c>
      <c r="BN127" s="11" t="s">
        <v>2582</v>
      </c>
      <c r="BO127" s="11" t="s">
        <v>320</v>
      </c>
      <c r="BP127" s="11" t="s">
        <v>320</v>
      </c>
      <c r="BQ127" s="12" t="s">
        <v>320</v>
      </c>
      <c r="BR127" s="11" t="s">
        <v>2583</v>
      </c>
      <c r="BS127" s="11" t="s">
        <v>357</v>
      </c>
      <c r="BT127" s="11" t="s">
        <v>2584</v>
      </c>
      <c r="BU127" s="11" t="s">
        <v>2585</v>
      </c>
      <c r="BV127" s="22">
        <v>6050</v>
      </c>
      <c r="BW127" s="22">
        <v>4950</v>
      </c>
      <c r="BX127" s="22">
        <v>11000</v>
      </c>
      <c r="BY127" s="22">
        <v>27500</v>
      </c>
      <c r="BZ127" s="22">
        <v>22500</v>
      </c>
      <c r="CA127" s="22">
        <v>50000</v>
      </c>
      <c r="CD127" s="22">
        <v>5720</v>
      </c>
      <c r="CE127" s="22">
        <v>5280</v>
      </c>
      <c r="CF127" s="22">
        <v>11000</v>
      </c>
      <c r="CG127" s="22">
        <v>40015</v>
      </c>
      <c r="CH127" s="22">
        <v>32160</v>
      </c>
      <c r="CI127" s="22">
        <v>72175</v>
      </c>
      <c r="CJ127" s="11" t="s">
        <v>319</v>
      </c>
      <c r="CL127" s="18"/>
      <c r="CN127" s="12" t="s">
        <v>319</v>
      </c>
      <c r="CP127" s="18"/>
      <c r="CR127" s="11" t="s">
        <v>319</v>
      </c>
      <c r="CT127" s="18"/>
      <c r="CV127" s="11" t="s">
        <v>319</v>
      </c>
      <c r="CX127" s="18"/>
      <c r="CZ127" s="11" t="s">
        <v>319</v>
      </c>
      <c r="DB127" s="18"/>
      <c r="DD127" s="11" t="s">
        <v>319</v>
      </c>
      <c r="DF127" s="18"/>
      <c r="DH127" s="11" t="s">
        <v>319</v>
      </c>
      <c r="DJ127" s="18"/>
      <c r="DL127" s="11" t="s">
        <v>319</v>
      </c>
      <c r="DN127" s="18"/>
      <c r="DP127" s="11" t="s">
        <v>319</v>
      </c>
      <c r="DR127" s="18"/>
      <c r="DT127" s="11" t="s">
        <v>319</v>
      </c>
      <c r="DV127" s="18"/>
      <c r="DX127" s="11" t="s">
        <v>319</v>
      </c>
      <c r="DZ127" s="18"/>
      <c r="EB127" s="11" t="s">
        <v>320</v>
      </c>
      <c r="EC127" s="22">
        <v>11000</v>
      </c>
      <c r="ED127" s="18">
        <v>0.52</v>
      </c>
      <c r="EE127" s="22">
        <v>76952</v>
      </c>
      <c r="EI127" s="18"/>
      <c r="ES127" s="18"/>
      <c r="EU127" s="11" t="s">
        <v>319</v>
      </c>
      <c r="EW127" s="18"/>
      <c r="EY127" s="12" t="s">
        <v>319</v>
      </c>
      <c r="FA127" s="18"/>
      <c r="FC127" s="12" t="s">
        <v>319</v>
      </c>
      <c r="FE127" s="18"/>
      <c r="FG127" s="12" t="s">
        <v>319</v>
      </c>
      <c r="FI127" s="18"/>
      <c r="FK127" s="11" t="s">
        <v>319</v>
      </c>
      <c r="FM127" s="18"/>
      <c r="FO127" s="11" t="s">
        <v>319</v>
      </c>
      <c r="FQ127" s="18"/>
      <c r="FS127" s="11" t="s">
        <v>319</v>
      </c>
      <c r="FU127" s="18"/>
      <c r="FW127" s="11" t="s">
        <v>319</v>
      </c>
      <c r="FY127" s="18"/>
      <c r="GA127" s="11" t="s">
        <v>319</v>
      </c>
      <c r="GC127" s="18"/>
      <c r="GE127" s="11" t="s">
        <v>319</v>
      </c>
      <c r="GG127" s="18"/>
      <c r="GI127" s="11" t="s">
        <v>319</v>
      </c>
      <c r="GK127" s="18"/>
      <c r="GM127" s="11" t="s">
        <v>319</v>
      </c>
      <c r="GO127" s="18"/>
      <c r="GQ127" s="11" t="s">
        <v>319</v>
      </c>
      <c r="GS127" s="18"/>
      <c r="GU127" s="12" t="s">
        <v>320</v>
      </c>
      <c r="GV127" s="22">
        <v>11000</v>
      </c>
      <c r="GW127" s="18">
        <v>0.52</v>
      </c>
      <c r="GX127" s="22">
        <v>76952</v>
      </c>
      <c r="GY127" s="11" t="s">
        <v>319</v>
      </c>
      <c r="HA127" s="18"/>
      <c r="HF127" s="18"/>
      <c r="HH127" s="11" t="s">
        <v>320</v>
      </c>
      <c r="HI127" s="11" t="s">
        <v>560</v>
      </c>
      <c r="HJ127" s="11">
        <v>2017</v>
      </c>
      <c r="HK127" s="11" t="s">
        <v>320</v>
      </c>
      <c r="HL127" s="11" t="s">
        <v>319</v>
      </c>
      <c r="HO127" s="11" t="s">
        <v>2586</v>
      </c>
      <c r="HQ127" s="11" t="s">
        <v>319</v>
      </c>
      <c r="HR127" s="11" t="s">
        <v>319</v>
      </c>
      <c r="HS127" s="11" t="s">
        <v>320</v>
      </c>
      <c r="HT127" s="11" t="s">
        <v>320</v>
      </c>
      <c r="HU127" s="11" t="s">
        <v>319</v>
      </c>
      <c r="HV127" s="11" t="s">
        <v>320</v>
      </c>
      <c r="HW127" s="11" t="s">
        <v>319</v>
      </c>
      <c r="HZ127" s="12" t="s">
        <v>331</v>
      </c>
      <c r="IA127" s="11" t="s">
        <v>2587</v>
      </c>
      <c r="IB127" s="12" t="s">
        <v>396</v>
      </c>
      <c r="ID127" s="11" t="s">
        <v>364</v>
      </c>
      <c r="IE127" s="11" t="s">
        <v>335</v>
      </c>
      <c r="IF127" s="11" t="s">
        <v>320</v>
      </c>
      <c r="IG127" s="11" t="s">
        <v>320</v>
      </c>
      <c r="IH127" s="11" t="s">
        <v>320</v>
      </c>
      <c r="II127" s="11" t="s">
        <v>320</v>
      </c>
      <c r="IJ127" s="12" t="str">
        <f t="shared" si="44"/>
        <v>2. Sensitive</v>
      </c>
      <c r="IK127" s="12">
        <f t="shared" si="45"/>
        <v>4</v>
      </c>
      <c r="IL127" s="11" t="s">
        <v>336</v>
      </c>
      <c r="IM127" s="11" t="s">
        <v>320</v>
      </c>
      <c r="IN127" s="11" t="s">
        <v>319</v>
      </c>
      <c r="IO127" s="11" t="s">
        <v>320</v>
      </c>
      <c r="IP127" s="11" t="s">
        <v>320</v>
      </c>
      <c r="IQ127" s="12" t="str">
        <f t="shared" si="46"/>
        <v>2. Accommodating</v>
      </c>
      <c r="IR127" s="12">
        <f t="shared" si="47"/>
        <v>3</v>
      </c>
      <c r="IS127" s="11" t="s">
        <v>337</v>
      </c>
      <c r="IT127" s="11" t="s">
        <v>319</v>
      </c>
      <c r="IU127" s="11" t="s">
        <v>320</v>
      </c>
      <c r="IV127" s="11" t="s">
        <v>319</v>
      </c>
      <c r="IW127" s="11" t="str">
        <f t="shared" si="48"/>
        <v>1. Neutral</v>
      </c>
      <c r="IX127" s="12">
        <f t="shared" si="49"/>
        <v>1</v>
      </c>
      <c r="IY127" s="11" t="s">
        <v>758</v>
      </c>
      <c r="IZ127" s="12" t="s">
        <v>457</v>
      </c>
      <c r="JB127" s="12" t="s">
        <v>687</v>
      </c>
      <c r="JC127" s="11" t="s">
        <v>687</v>
      </c>
      <c r="JD127" s="11" t="s">
        <v>687</v>
      </c>
      <c r="JE127" s="12" t="s">
        <v>420</v>
      </c>
      <c r="JG127" s="11" t="s">
        <v>2588</v>
      </c>
      <c r="JH127" s="11" t="s">
        <v>2589</v>
      </c>
      <c r="JI127" s="11" t="s">
        <v>2590</v>
      </c>
      <c r="JJ127" s="11" t="s">
        <v>2591</v>
      </c>
      <c r="JK127" s="11" t="s">
        <v>2592</v>
      </c>
      <c r="JP127" s="15">
        <f t="shared" si="50"/>
        <v>11000</v>
      </c>
      <c r="JQ127" s="15">
        <f t="shared" si="51"/>
        <v>72175</v>
      </c>
      <c r="JR127" s="279">
        <f t="shared" si="52"/>
        <v>6.5613636363636365</v>
      </c>
      <c r="JS127" s="17">
        <f t="shared" si="53"/>
        <v>0.52</v>
      </c>
      <c r="JT127" s="18">
        <f t="shared" si="54"/>
        <v>0.55441634915136817</v>
      </c>
      <c r="JU127" s="280">
        <f t="shared" si="55"/>
        <v>5720</v>
      </c>
      <c r="JV127" s="280">
        <f t="shared" si="56"/>
        <v>40015</v>
      </c>
      <c r="JW127" s="319">
        <f t="shared" si="57"/>
        <v>1</v>
      </c>
      <c r="JX127" s="15">
        <f t="shared" si="58"/>
        <v>11000</v>
      </c>
      <c r="JY127" s="15">
        <f t="shared" si="59"/>
        <v>72175</v>
      </c>
      <c r="JZ127" s="19">
        <f t="shared" si="60"/>
        <v>6.5613636363636365</v>
      </c>
      <c r="KA127" s="52">
        <f t="shared" si="61"/>
        <v>1</v>
      </c>
      <c r="KB127" s="15">
        <f t="shared" si="62"/>
        <v>11000</v>
      </c>
      <c r="KC127" s="15">
        <f t="shared" si="63"/>
        <v>76952</v>
      </c>
      <c r="KD127" s="20">
        <f t="shared" si="64"/>
        <v>6.9956363636363639</v>
      </c>
      <c r="KE127" s="52" t="str">
        <f t="shared" si="65"/>
        <v/>
      </c>
      <c r="KF127" s="15">
        <f t="shared" si="66"/>
        <v>0</v>
      </c>
      <c r="KG127" s="15">
        <f t="shared" si="67"/>
        <v>0</v>
      </c>
      <c r="KH127" s="21" t="str">
        <f t="shared" si="68"/>
        <v/>
      </c>
      <c r="KI127" s="52" t="str">
        <f t="shared" si="69"/>
        <v/>
      </c>
      <c r="KJ127" s="15">
        <f t="shared" si="70"/>
        <v>0</v>
      </c>
      <c r="KK127" s="15">
        <f t="shared" si="71"/>
        <v>0</v>
      </c>
      <c r="KL127" s="19" t="str">
        <f t="shared" si="72"/>
        <v/>
      </c>
      <c r="KM127" s="52" t="str">
        <f t="shared" si="73"/>
        <v/>
      </c>
      <c r="KN127" s="22">
        <f t="shared" si="74"/>
        <v>0</v>
      </c>
      <c r="KO127" s="22">
        <f t="shared" si="75"/>
        <v>0</v>
      </c>
      <c r="KP127" s="19" t="str">
        <f t="shared" si="76"/>
        <v/>
      </c>
      <c r="KQ127" s="11" t="str">
        <f t="shared" si="77"/>
        <v>2. Sensitive</v>
      </c>
      <c r="KR127" s="11" t="str">
        <f t="shared" si="78"/>
        <v>2. Accommodating</v>
      </c>
      <c r="KS127" s="11" t="str">
        <f t="shared" si="79"/>
        <v>1. Neutral</v>
      </c>
      <c r="KT127" s="11" t="str">
        <f t="shared" si="80"/>
        <v>It tested new ways for fighting poverty and measured results of innovation</v>
      </c>
      <c r="KU127" s="11">
        <f t="shared" si="81"/>
        <v>0</v>
      </c>
      <c r="KV127" s="11" t="str">
        <f t="shared" si="82"/>
        <v>It linked and worked with strategic alliances and partners to take tested and effective solutions to scale</v>
      </c>
      <c r="KW127" s="11" t="str">
        <f t="shared" si="83"/>
        <v>Chad - Appui à l'amélioration et aux bonnes pratiques d'hygiène pour la population de Danamadji, Djékédjéké, Maro et Sido.</v>
      </c>
      <c r="KX127" s="11" t="str">
        <f t="shared" si="84"/>
        <v>Appui à l'amélioration et aux bonnes pratiques d'hygiène pour la population de Danamadji, Djékédjéké, Maro et Sido.</v>
      </c>
      <c r="KY127" s="11" t="str">
        <f t="shared" si="85"/>
        <v>Chad</v>
      </c>
      <c r="KZ127" s="12">
        <v>127</v>
      </c>
    </row>
    <row r="128" spans="1:312" x14ac:dyDescent="0.3">
      <c r="A128" s="11" t="s">
        <v>2536</v>
      </c>
      <c r="B128" s="11" t="s">
        <v>1596</v>
      </c>
      <c r="C128" s="11">
        <v>2855</v>
      </c>
      <c r="D128" s="11" t="s">
        <v>2632</v>
      </c>
      <c r="E128" s="24" t="str">
        <f t="shared" si="43"/>
        <v>Chad</v>
      </c>
      <c r="F128" s="11" t="s">
        <v>2633</v>
      </c>
      <c r="G128" s="11" t="s">
        <v>714</v>
      </c>
      <c r="H128" s="11" t="s">
        <v>310</v>
      </c>
      <c r="I128" s="11" t="s">
        <v>907</v>
      </c>
      <c r="J128" s="278" t="s">
        <v>5183</v>
      </c>
      <c r="BD128" s="23">
        <v>42430</v>
      </c>
      <c r="BE128" s="23" t="s">
        <v>2634</v>
      </c>
      <c r="BG128" s="11" t="s">
        <v>908</v>
      </c>
      <c r="BH128" s="22">
        <v>2500000</v>
      </c>
      <c r="BI128" s="11" t="s">
        <v>2635</v>
      </c>
      <c r="BJ128" s="11" t="s">
        <v>2636</v>
      </c>
      <c r="BK128" s="11" t="s">
        <v>2637</v>
      </c>
      <c r="BL128" s="11" t="s">
        <v>2541</v>
      </c>
      <c r="BM128" s="11" t="s">
        <v>2597</v>
      </c>
      <c r="BN128" s="11" t="s">
        <v>2598</v>
      </c>
      <c r="BO128" s="11" t="s">
        <v>320</v>
      </c>
      <c r="BP128" s="11" t="s">
        <v>319</v>
      </c>
      <c r="BQ128" s="11" t="s">
        <v>319</v>
      </c>
      <c r="BR128" s="11" t="s">
        <v>2638</v>
      </c>
      <c r="BS128" s="11" t="s">
        <v>357</v>
      </c>
      <c r="BT128" s="11" t="s">
        <v>2639</v>
      </c>
      <c r="BU128" s="11" t="s">
        <v>2640</v>
      </c>
      <c r="BV128" s="22">
        <v>31892</v>
      </c>
      <c r="BW128" s="22">
        <v>34401</v>
      </c>
      <c r="BX128" s="22">
        <v>66293</v>
      </c>
      <c r="BY128" s="22">
        <v>55168</v>
      </c>
      <c r="BZ128" s="22">
        <v>50925</v>
      </c>
      <c r="CA128" s="22">
        <v>106093</v>
      </c>
      <c r="CB128" s="15" t="s">
        <v>2641</v>
      </c>
      <c r="CD128" s="22">
        <v>31892</v>
      </c>
      <c r="CE128" s="22">
        <v>34401</v>
      </c>
      <c r="CF128" s="22">
        <v>66293</v>
      </c>
      <c r="CG128" s="22">
        <v>55168</v>
      </c>
      <c r="CH128" s="22">
        <v>50925</v>
      </c>
      <c r="CI128" s="22">
        <v>106093</v>
      </c>
      <c r="CJ128" s="11" t="s">
        <v>319</v>
      </c>
      <c r="CL128" s="18"/>
      <c r="CN128" s="11" t="s">
        <v>320</v>
      </c>
      <c r="CO128" s="22">
        <v>66293</v>
      </c>
      <c r="CP128" s="18">
        <v>0.48</v>
      </c>
      <c r="CQ128" s="22">
        <v>106093</v>
      </c>
      <c r="CR128" s="11" t="s">
        <v>319</v>
      </c>
      <c r="CT128" s="18"/>
      <c r="CV128" s="11" t="s">
        <v>320</v>
      </c>
      <c r="CW128" s="22">
        <v>66293</v>
      </c>
      <c r="CX128" s="18">
        <v>0.48</v>
      </c>
      <c r="CY128" s="22">
        <v>106093</v>
      </c>
      <c r="CZ128" s="11" t="s">
        <v>319</v>
      </c>
      <c r="DB128" s="18"/>
      <c r="DD128" s="11" t="s">
        <v>319</v>
      </c>
      <c r="DF128" s="18"/>
      <c r="DH128" s="11" t="s">
        <v>319</v>
      </c>
      <c r="DJ128" s="18"/>
      <c r="DL128" s="11" t="s">
        <v>319</v>
      </c>
      <c r="DN128" s="18"/>
      <c r="DP128" s="11" t="s">
        <v>319</v>
      </c>
      <c r="DR128" s="18"/>
      <c r="DT128" s="11" t="s">
        <v>319</v>
      </c>
      <c r="DV128" s="18"/>
      <c r="DX128" s="11" t="s">
        <v>319</v>
      </c>
      <c r="DZ128" s="18"/>
      <c r="EB128" s="11" t="s">
        <v>319</v>
      </c>
      <c r="ED128" s="18"/>
      <c r="EI128" s="18"/>
      <c r="ES128" s="18"/>
      <c r="EW128" s="18"/>
      <c r="FA128" s="18"/>
      <c r="FE128" s="18"/>
      <c r="FI128" s="18"/>
      <c r="FM128" s="18"/>
      <c r="FQ128" s="18"/>
      <c r="FU128" s="18"/>
      <c r="FY128" s="18"/>
      <c r="GC128" s="18"/>
      <c r="GG128" s="18"/>
      <c r="GK128" s="18"/>
      <c r="GO128" s="18"/>
      <c r="GS128" s="18"/>
      <c r="GW128" s="18"/>
      <c r="HA128" s="18"/>
      <c r="HF128" s="18"/>
      <c r="HH128" s="11" t="s">
        <v>320</v>
      </c>
      <c r="HI128" s="11" t="s">
        <v>560</v>
      </c>
      <c r="HJ128" s="11">
        <v>2017</v>
      </c>
      <c r="HK128" s="11" t="s">
        <v>320</v>
      </c>
      <c r="HL128" s="11" t="s">
        <v>319</v>
      </c>
      <c r="HP128" s="11" t="s">
        <v>330</v>
      </c>
      <c r="HQ128" s="11" t="s">
        <v>319</v>
      </c>
      <c r="HR128" s="11" t="s">
        <v>319</v>
      </c>
      <c r="HS128" s="11" t="s">
        <v>320</v>
      </c>
      <c r="HT128" s="11" t="s">
        <v>320</v>
      </c>
      <c r="HU128" s="11" t="s">
        <v>320</v>
      </c>
      <c r="HV128" s="11" t="s">
        <v>319</v>
      </c>
      <c r="HW128" s="11" t="s">
        <v>319</v>
      </c>
      <c r="HZ128" s="12" t="s">
        <v>331</v>
      </c>
      <c r="IA128" s="11" t="s">
        <v>2565</v>
      </c>
      <c r="IB128" s="12" t="s">
        <v>396</v>
      </c>
      <c r="IC128" s="11" t="s">
        <v>2566</v>
      </c>
      <c r="ID128" s="11" t="s">
        <v>364</v>
      </c>
      <c r="IE128" s="11" t="s">
        <v>335</v>
      </c>
      <c r="IF128" s="11" t="s">
        <v>320</v>
      </c>
      <c r="IG128" s="11" t="s">
        <v>320</v>
      </c>
      <c r="IH128" s="11" t="s">
        <v>320</v>
      </c>
      <c r="II128" s="11" t="s">
        <v>320</v>
      </c>
      <c r="IJ128" s="12" t="str">
        <f t="shared" si="44"/>
        <v>2. Sensitive</v>
      </c>
      <c r="IK128" s="12">
        <f t="shared" si="45"/>
        <v>4</v>
      </c>
      <c r="IL128" s="11" t="s">
        <v>336</v>
      </c>
      <c r="IM128" s="11" t="s">
        <v>320</v>
      </c>
      <c r="IN128" s="11" t="s">
        <v>320</v>
      </c>
      <c r="IO128" s="11" t="s">
        <v>320</v>
      </c>
      <c r="IP128" s="11" t="s">
        <v>320</v>
      </c>
      <c r="IQ128" s="12" t="str">
        <f t="shared" si="46"/>
        <v>2. Accommodating</v>
      </c>
      <c r="IR128" s="12">
        <f t="shared" si="47"/>
        <v>4</v>
      </c>
      <c r="IS128" s="11" t="s">
        <v>337</v>
      </c>
      <c r="IT128" s="11" t="s">
        <v>320</v>
      </c>
      <c r="IU128" s="11" t="s">
        <v>320</v>
      </c>
      <c r="IV128" s="11" t="s">
        <v>320</v>
      </c>
      <c r="IW128" s="11" t="str">
        <f t="shared" si="48"/>
        <v>2. Sensitive</v>
      </c>
      <c r="IX128" s="12">
        <f t="shared" si="49"/>
        <v>3</v>
      </c>
      <c r="IY128" s="11" t="s">
        <v>338</v>
      </c>
      <c r="IZ128" s="12" t="s">
        <v>339</v>
      </c>
      <c r="JB128" s="12" t="s">
        <v>687</v>
      </c>
      <c r="JH128" s="11" t="s">
        <v>2567</v>
      </c>
      <c r="JI128" s="11" t="s">
        <v>2568</v>
      </c>
      <c r="JJ128" s="11" t="s">
        <v>2569</v>
      </c>
      <c r="JK128" s="11" t="s">
        <v>2570</v>
      </c>
      <c r="JL128" s="11" t="s">
        <v>2571</v>
      </c>
      <c r="JM128" s="11" t="s">
        <v>2572</v>
      </c>
      <c r="JN128" s="11" t="s">
        <v>2573</v>
      </c>
      <c r="JO128" s="11" t="s">
        <v>2642</v>
      </c>
      <c r="JP128" s="15">
        <f t="shared" si="50"/>
        <v>66293</v>
      </c>
      <c r="JQ128" s="15">
        <f t="shared" si="51"/>
        <v>106093</v>
      </c>
      <c r="JR128" s="279">
        <f t="shared" si="52"/>
        <v>1.6003650460832968</v>
      </c>
      <c r="JS128" s="17">
        <f t="shared" si="53"/>
        <v>0.48107643340925887</v>
      </c>
      <c r="JT128" s="18">
        <f t="shared" si="54"/>
        <v>0.51999660675068105</v>
      </c>
      <c r="JU128" s="280">
        <f t="shared" si="55"/>
        <v>31892</v>
      </c>
      <c r="JV128" s="280">
        <f t="shared" si="56"/>
        <v>55168</v>
      </c>
      <c r="JW128" s="319">
        <f t="shared" si="57"/>
        <v>1</v>
      </c>
      <c r="JX128" s="15">
        <f t="shared" si="58"/>
        <v>66293</v>
      </c>
      <c r="JY128" s="15">
        <f t="shared" si="59"/>
        <v>106093</v>
      </c>
      <c r="JZ128" s="19">
        <f t="shared" si="60"/>
        <v>1.6003650460832968</v>
      </c>
      <c r="KA128" s="52">
        <f t="shared" si="61"/>
        <v>1</v>
      </c>
      <c r="KB128" s="15">
        <f t="shared" si="62"/>
        <v>66293</v>
      </c>
      <c r="KC128" s="15">
        <f t="shared" si="63"/>
        <v>106093</v>
      </c>
      <c r="KD128" s="20">
        <f t="shared" si="64"/>
        <v>1.6003650460832968</v>
      </c>
      <c r="KE128" s="52" t="str">
        <f t="shared" si="65"/>
        <v/>
      </c>
      <c r="KF128" s="15">
        <f t="shared" si="66"/>
        <v>0</v>
      </c>
      <c r="KG128" s="15">
        <f t="shared" si="67"/>
        <v>0</v>
      </c>
      <c r="KH128" s="21" t="str">
        <f t="shared" si="68"/>
        <v/>
      </c>
      <c r="KI128" s="52" t="str">
        <f t="shared" si="69"/>
        <v/>
      </c>
      <c r="KJ128" s="15">
        <f t="shared" si="70"/>
        <v>0</v>
      </c>
      <c r="KK128" s="15">
        <f t="shared" si="71"/>
        <v>0</v>
      </c>
      <c r="KL128" s="19" t="str">
        <f t="shared" si="72"/>
        <v/>
      </c>
      <c r="KM128" s="52" t="str">
        <f t="shared" si="73"/>
        <v/>
      </c>
      <c r="KN128" s="22">
        <f t="shared" si="74"/>
        <v>0</v>
      </c>
      <c r="KO128" s="22">
        <f t="shared" si="75"/>
        <v>0</v>
      </c>
      <c r="KP128" s="19" t="str">
        <f t="shared" si="76"/>
        <v/>
      </c>
      <c r="KQ128" s="11" t="str">
        <f t="shared" si="77"/>
        <v>2. Sensitive</v>
      </c>
      <c r="KR128" s="11" t="str">
        <f t="shared" si="78"/>
        <v>2. Accommodating</v>
      </c>
      <c r="KS128" s="11" t="str">
        <f t="shared" si="79"/>
        <v>2. Sensitive</v>
      </c>
      <c r="KT128" s="11" t="str">
        <f t="shared" si="80"/>
        <v>It tested new ways for fighting poverty and measured results of innovation</v>
      </c>
      <c r="KU128" s="11" t="str">
        <f t="shared" si="81"/>
        <v>Moderate advocacy</v>
      </c>
      <c r="KV128" s="11" t="str">
        <f t="shared" si="82"/>
        <v>It linked and worked with strategic alliances and partners to take tested and effective solutions to scale</v>
      </c>
      <c r="KW128" s="11" t="str">
        <f t="shared" si="83"/>
        <v>Chad - Appui aux ménages en déficit alimentaire et à risque de malnutrition aiguë dans la Région de Wadi Fira, Départements de Biltine, Mégri et Kobé.</v>
      </c>
      <c r="KX128" s="11" t="str">
        <f t="shared" si="84"/>
        <v>Appui aux ménages en déficit alimentaire et à risque de malnutrition aiguë dans la Région de Wadi Fira, Départements de Biltine, Mégri et Kobé.</v>
      </c>
      <c r="KY128" s="11" t="str">
        <f t="shared" si="85"/>
        <v>Chad</v>
      </c>
      <c r="KZ128" s="12">
        <v>128</v>
      </c>
    </row>
    <row r="129" spans="1:312" x14ac:dyDescent="0.3">
      <c r="A129" s="11" t="s">
        <v>2536</v>
      </c>
      <c r="B129" s="11" t="s">
        <v>1596</v>
      </c>
      <c r="C129" s="11">
        <v>2847</v>
      </c>
      <c r="D129" s="11" t="s">
        <v>2752</v>
      </c>
      <c r="E129" s="24" t="str">
        <f t="shared" ref="E129:E192" si="86">A129</f>
        <v>Chad</v>
      </c>
      <c r="F129" s="11" t="s">
        <v>2753</v>
      </c>
      <c r="G129" s="11" t="s">
        <v>379</v>
      </c>
      <c r="H129" s="11" t="s">
        <v>310</v>
      </c>
      <c r="I129" s="11" t="s">
        <v>655</v>
      </c>
      <c r="J129" s="278" t="s">
        <v>14602</v>
      </c>
      <c r="BD129" s="23">
        <v>42248</v>
      </c>
      <c r="BE129" s="23">
        <v>42704</v>
      </c>
      <c r="BG129" s="11" t="s">
        <v>1757</v>
      </c>
      <c r="BH129" s="22">
        <v>800000</v>
      </c>
      <c r="BI129" s="11" t="s">
        <v>2754</v>
      </c>
      <c r="BJ129" s="11" t="s">
        <v>2755</v>
      </c>
      <c r="BK129" s="11" t="s">
        <v>2540</v>
      </c>
      <c r="BL129" s="11" t="s">
        <v>2541</v>
      </c>
      <c r="BM129" s="11" t="s">
        <v>2756</v>
      </c>
      <c r="BN129" s="11" t="s">
        <v>2598</v>
      </c>
      <c r="BO129" s="11" t="s">
        <v>320</v>
      </c>
      <c r="BP129" s="11" t="s">
        <v>320</v>
      </c>
      <c r="BQ129" s="12" t="s">
        <v>320</v>
      </c>
      <c r="BR129" s="11" t="s">
        <v>2757</v>
      </c>
      <c r="BS129" s="11" t="s">
        <v>357</v>
      </c>
      <c r="BT129" s="11" t="s">
        <v>2758</v>
      </c>
      <c r="BU129" s="11" t="s">
        <v>2759</v>
      </c>
      <c r="BV129" s="22">
        <v>16500</v>
      </c>
      <c r="BW129" s="22">
        <v>13500</v>
      </c>
      <c r="BX129" s="22">
        <v>30000</v>
      </c>
      <c r="BY129" s="22">
        <v>28766</v>
      </c>
      <c r="BZ129" s="22">
        <v>23534</v>
      </c>
      <c r="CA129" s="22">
        <v>52300</v>
      </c>
      <c r="CB129" s="15" t="s">
        <v>2760</v>
      </c>
      <c r="CD129" s="22">
        <v>11479</v>
      </c>
      <c r="CE129" s="22">
        <v>7370</v>
      </c>
      <c r="CF129" s="22">
        <v>18849</v>
      </c>
      <c r="CG129" s="22">
        <v>28766</v>
      </c>
      <c r="CH129" s="22">
        <v>23534</v>
      </c>
      <c r="CI129" s="22">
        <v>52300</v>
      </c>
      <c r="CJ129" s="11" t="s">
        <v>319</v>
      </c>
      <c r="CL129" s="18"/>
      <c r="CN129" s="12" t="s">
        <v>320</v>
      </c>
      <c r="CO129" s="22">
        <v>2960</v>
      </c>
      <c r="CP129" s="18">
        <v>1</v>
      </c>
      <c r="CR129" s="11" t="s">
        <v>320</v>
      </c>
      <c r="CS129" s="22">
        <v>1100</v>
      </c>
      <c r="CT129" s="18">
        <v>1</v>
      </c>
      <c r="CV129" s="11" t="s">
        <v>319</v>
      </c>
      <c r="CX129" s="18"/>
      <c r="CZ129" s="11" t="s">
        <v>320</v>
      </c>
      <c r="DA129" s="22">
        <v>25313</v>
      </c>
      <c r="DB129" s="18">
        <v>0.68</v>
      </c>
      <c r="DD129" s="11" t="s">
        <v>320</v>
      </c>
      <c r="DE129" s="22">
        <v>10374</v>
      </c>
      <c r="DF129" s="18">
        <v>0.65</v>
      </c>
      <c r="DH129" s="11" t="s">
        <v>319</v>
      </c>
      <c r="DJ129" s="18"/>
      <c r="DL129" s="11" t="s">
        <v>319</v>
      </c>
      <c r="DN129" s="18"/>
      <c r="DR129" s="18"/>
      <c r="DT129" s="11" t="s">
        <v>319</v>
      </c>
      <c r="DV129" s="18"/>
      <c r="DX129" s="11" t="s">
        <v>319</v>
      </c>
      <c r="DZ129" s="18"/>
      <c r="EB129" s="11" t="s">
        <v>319</v>
      </c>
      <c r="ED129" s="18"/>
      <c r="EI129" s="18"/>
      <c r="ES129" s="18"/>
      <c r="EW129" s="18"/>
      <c r="FA129" s="18"/>
      <c r="FE129" s="18"/>
      <c r="FI129" s="18"/>
      <c r="FM129" s="18"/>
      <c r="FQ129" s="18"/>
      <c r="FU129" s="18"/>
      <c r="FY129" s="18"/>
      <c r="GC129" s="18"/>
      <c r="GG129" s="18"/>
      <c r="GK129" s="18"/>
      <c r="GO129" s="18"/>
      <c r="GS129" s="18"/>
      <c r="GW129" s="18"/>
      <c r="HA129" s="18"/>
      <c r="HF129" s="18"/>
      <c r="HH129" s="11" t="s">
        <v>320</v>
      </c>
      <c r="HI129" s="11" t="s">
        <v>328</v>
      </c>
      <c r="HJ129" s="11">
        <v>2016</v>
      </c>
      <c r="HK129" s="11" t="s">
        <v>320</v>
      </c>
      <c r="HL129" s="11" t="s">
        <v>319</v>
      </c>
      <c r="HP129" s="11" t="s">
        <v>330</v>
      </c>
      <c r="HQ129" s="11" t="s">
        <v>320</v>
      </c>
      <c r="HR129" s="11" t="s">
        <v>320</v>
      </c>
      <c r="HS129" s="11" t="s">
        <v>320</v>
      </c>
      <c r="HT129" s="11" t="s">
        <v>320</v>
      </c>
      <c r="HU129" s="11" t="s">
        <v>320</v>
      </c>
      <c r="HV129" s="11" t="s">
        <v>320</v>
      </c>
      <c r="HW129" s="11" t="s">
        <v>319</v>
      </c>
      <c r="HZ129" s="12" t="s">
        <v>331</v>
      </c>
      <c r="IA129" s="11" t="s">
        <v>2761</v>
      </c>
      <c r="IB129" s="12" t="s">
        <v>396</v>
      </c>
      <c r="IC129" s="11" t="s">
        <v>2762</v>
      </c>
      <c r="ID129" s="11" t="s">
        <v>477</v>
      </c>
      <c r="IE129" s="11" t="s">
        <v>478</v>
      </c>
      <c r="IF129" s="11" t="s">
        <v>320</v>
      </c>
      <c r="IG129" s="11" t="s">
        <v>320</v>
      </c>
      <c r="IH129" s="11" t="s">
        <v>320</v>
      </c>
      <c r="II129" s="11" t="s">
        <v>319</v>
      </c>
      <c r="IJ129" s="12" t="str">
        <f t="shared" si="44"/>
        <v>3. Responsive</v>
      </c>
      <c r="IK129" s="12">
        <f t="shared" si="45"/>
        <v>3</v>
      </c>
      <c r="IL129" s="11" t="s">
        <v>336</v>
      </c>
      <c r="IM129" s="11" t="s">
        <v>320</v>
      </c>
      <c r="IN129" s="11" t="s">
        <v>320</v>
      </c>
      <c r="IO129" s="11" t="s">
        <v>320</v>
      </c>
      <c r="IP129" s="11" t="s">
        <v>320</v>
      </c>
      <c r="IQ129" s="12" t="str">
        <f t="shared" si="46"/>
        <v>2. Accommodating</v>
      </c>
      <c r="IR129" s="12">
        <f t="shared" si="47"/>
        <v>4</v>
      </c>
      <c r="IS129" s="11" t="s">
        <v>622</v>
      </c>
      <c r="IT129" s="11" t="s">
        <v>320</v>
      </c>
      <c r="IU129" s="11" t="s">
        <v>320</v>
      </c>
      <c r="IV129" s="11" t="s">
        <v>320</v>
      </c>
      <c r="IW129" s="11" t="str">
        <f t="shared" si="48"/>
        <v>4. Transformative</v>
      </c>
      <c r="IX129" s="12">
        <f t="shared" si="49"/>
        <v>3</v>
      </c>
      <c r="IY129" s="11" t="s">
        <v>338</v>
      </c>
      <c r="IZ129" s="11" t="s">
        <v>527</v>
      </c>
      <c r="JA129" s="11">
        <v>20</v>
      </c>
      <c r="JB129" s="11" t="s">
        <v>433</v>
      </c>
      <c r="JC129" s="11" t="s">
        <v>624</v>
      </c>
      <c r="JD129" s="11" t="s">
        <v>831</v>
      </c>
      <c r="JE129" s="12" t="s">
        <v>340</v>
      </c>
      <c r="JF129" s="11" t="s">
        <v>2763</v>
      </c>
      <c r="JG129" s="11" t="s">
        <v>2764</v>
      </c>
      <c r="JH129" s="11" t="s">
        <v>2765</v>
      </c>
      <c r="JI129" s="11" t="s">
        <v>2766</v>
      </c>
      <c r="JJ129" s="11" t="s">
        <v>2767</v>
      </c>
      <c r="JK129" s="11" t="s">
        <v>2768</v>
      </c>
      <c r="JL129" s="11" t="s">
        <v>2769</v>
      </c>
      <c r="JM129" s="11" t="s">
        <v>2770</v>
      </c>
      <c r="JP129" s="15">
        <f t="shared" si="50"/>
        <v>18849</v>
      </c>
      <c r="JQ129" s="15">
        <f t="shared" si="51"/>
        <v>52300</v>
      </c>
      <c r="JR129" s="279">
        <f t="shared" si="52"/>
        <v>2.7746830070560771</v>
      </c>
      <c r="JS129" s="17">
        <f t="shared" si="53"/>
        <v>0.60899782481829279</v>
      </c>
      <c r="JT129" s="18">
        <f t="shared" si="54"/>
        <v>0.55001912045889101</v>
      </c>
      <c r="JU129" s="280">
        <f t="shared" si="55"/>
        <v>11479</v>
      </c>
      <c r="JV129" s="280">
        <f t="shared" si="56"/>
        <v>28766</v>
      </c>
      <c r="JW129" s="319">
        <f t="shared" si="57"/>
        <v>1</v>
      </c>
      <c r="JX129" s="15">
        <f t="shared" si="58"/>
        <v>18849</v>
      </c>
      <c r="JY129" s="15">
        <f t="shared" si="59"/>
        <v>52300</v>
      </c>
      <c r="JZ129" s="19">
        <f t="shared" si="60"/>
        <v>2.7746830070560771</v>
      </c>
      <c r="KA129" s="52" t="str">
        <f t="shared" si="61"/>
        <v/>
      </c>
      <c r="KB129" s="15">
        <f t="shared" si="62"/>
        <v>0</v>
      </c>
      <c r="KC129" s="15">
        <f t="shared" si="63"/>
        <v>0</v>
      </c>
      <c r="KD129" s="20" t="str">
        <f t="shared" si="64"/>
        <v/>
      </c>
      <c r="KE129" s="52" t="str">
        <f t="shared" si="65"/>
        <v/>
      </c>
      <c r="KF129" s="15">
        <f t="shared" si="66"/>
        <v>0</v>
      </c>
      <c r="KG129" s="15">
        <f t="shared" si="67"/>
        <v>0</v>
      </c>
      <c r="KH129" s="21" t="str">
        <f t="shared" si="68"/>
        <v/>
      </c>
      <c r="KI129" s="52">
        <f t="shared" si="69"/>
        <v>1</v>
      </c>
      <c r="KJ129" s="15">
        <f t="shared" si="70"/>
        <v>25313</v>
      </c>
      <c r="KK129" s="15">
        <f t="shared" si="71"/>
        <v>0</v>
      </c>
      <c r="KL129" s="19">
        <f t="shared" si="72"/>
        <v>0</v>
      </c>
      <c r="KM129" s="52" t="str">
        <f t="shared" si="73"/>
        <v/>
      </c>
      <c r="KN129" s="22">
        <f t="shared" si="74"/>
        <v>0</v>
      </c>
      <c r="KO129" s="22">
        <f t="shared" si="75"/>
        <v>0</v>
      </c>
      <c r="KP129" s="19" t="str">
        <f t="shared" si="76"/>
        <v/>
      </c>
      <c r="KQ129" s="11" t="str">
        <f t="shared" si="77"/>
        <v>3. Responsive</v>
      </c>
      <c r="KR129" s="11" t="str">
        <f t="shared" si="78"/>
        <v>2. Accommodating</v>
      </c>
      <c r="KS129" s="11" t="str">
        <f t="shared" si="79"/>
        <v>4. Transformative</v>
      </c>
      <c r="KT129" s="11" t="str">
        <f t="shared" si="80"/>
        <v>It tested new ways for fighting poverty and measured results of innovation</v>
      </c>
      <c r="KU129" s="11" t="str">
        <f t="shared" si="81"/>
        <v>Moderate advocacy</v>
      </c>
      <c r="KV129" s="11" t="str">
        <f t="shared" si="82"/>
        <v>It linked and worked with strategic alliances and partners to take tested and effective solutions to scale</v>
      </c>
      <c r="KW129" s="11" t="str">
        <f t="shared" si="83"/>
        <v>Chad - Construction d'un environnement protecteur pour les femmes et filles des sites des retournés, et villages hôtes, au Sud du Tchad dans les situation de risques aux VBG au Sud du Tchad(MADJI LODJI)</v>
      </c>
      <c r="KX129" s="11" t="str">
        <f t="shared" si="84"/>
        <v>Construction d'un environnement protecteur pour les femmes et filles des sites des retournés, et villages hôtes, au Sud du Tchad dans les situation de risques aux VBG au Sud du Tchad(MADJI LODJI)</v>
      </c>
      <c r="KY129" s="11" t="str">
        <f t="shared" si="85"/>
        <v>Chad</v>
      </c>
      <c r="KZ129" s="12">
        <v>129</v>
      </c>
    </row>
    <row r="130" spans="1:312" x14ac:dyDescent="0.3">
      <c r="A130" s="11" t="s">
        <v>2536</v>
      </c>
      <c r="B130" s="11" t="s">
        <v>1596</v>
      </c>
      <c r="C130" s="11">
        <v>2840</v>
      </c>
      <c r="D130" s="11" t="s">
        <v>2711</v>
      </c>
      <c r="E130" s="24" t="str">
        <f t="shared" si="86"/>
        <v>Chad</v>
      </c>
      <c r="F130" s="11" t="s">
        <v>2712</v>
      </c>
      <c r="G130" s="11" t="s">
        <v>605</v>
      </c>
      <c r="H130" s="11" t="s">
        <v>380</v>
      </c>
      <c r="I130" s="11" t="s">
        <v>517</v>
      </c>
      <c r="J130" s="278" t="s">
        <v>14578</v>
      </c>
      <c r="BD130" s="23">
        <v>42036</v>
      </c>
      <c r="BE130" s="23">
        <v>43069</v>
      </c>
      <c r="BG130" s="11" t="s">
        <v>749</v>
      </c>
      <c r="BH130" s="22">
        <v>2043874.91</v>
      </c>
      <c r="BI130" s="11" t="s">
        <v>2541</v>
      </c>
      <c r="BJ130" s="11" t="s">
        <v>2713</v>
      </c>
      <c r="BK130" s="11" t="s">
        <v>2714</v>
      </c>
      <c r="BL130" s="11" t="s">
        <v>2715</v>
      </c>
      <c r="BM130" s="11" t="s">
        <v>2716</v>
      </c>
      <c r="BN130" s="11" t="s">
        <v>2648</v>
      </c>
      <c r="BO130" s="12" t="s">
        <v>319</v>
      </c>
      <c r="BP130" s="12" t="s">
        <v>320</v>
      </c>
      <c r="BQ130" s="12" t="s">
        <v>319</v>
      </c>
      <c r="BR130" s="11" t="s">
        <v>2717</v>
      </c>
      <c r="BS130" s="11" t="s">
        <v>357</v>
      </c>
      <c r="BT130" s="11" t="s">
        <v>2718</v>
      </c>
      <c r="BU130" s="11" t="s">
        <v>2719</v>
      </c>
      <c r="BV130" s="22">
        <v>4200</v>
      </c>
      <c r="BW130" s="22">
        <v>2800</v>
      </c>
      <c r="BX130" s="22">
        <v>7000</v>
      </c>
      <c r="BY130" s="22">
        <v>29400</v>
      </c>
      <c r="BZ130" s="22">
        <v>19600</v>
      </c>
      <c r="CA130" s="22">
        <v>49000</v>
      </c>
      <c r="CB130" s="15" t="s">
        <v>2720</v>
      </c>
      <c r="CL130" s="18"/>
      <c r="CP130" s="18"/>
      <c r="CT130" s="18"/>
      <c r="CX130" s="18"/>
      <c r="DB130" s="18"/>
      <c r="DF130" s="18"/>
      <c r="DJ130" s="18"/>
      <c r="DN130" s="18"/>
      <c r="DR130" s="18"/>
      <c r="DV130" s="18"/>
      <c r="DZ130" s="18"/>
      <c r="ED130" s="18"/>
      <c r="EI130" s="18"/>
      <c r="EK130" s="22">
        <v>3237</v>
      </c>
      <c r="EL130" s="22">
        <v>2158</v>
      </c>
      <c r="EM130" s="22">
        <v>5395</v>
      </c>
      <c r="EN130" s="22">
        <v>29400</v>
      </c>
      <c r="EO130" s="22">
        <v>19600</v>
      </c>
      <c r="EP130" s="22">
        <v>49000</v>
      </c>
      <c r="ES130" s="18"/>
      <c r="EU130" s="11" t="s">
        <v>320</v>
      </c>
      <c r="EV130" s="22">
        <v>3630</v>
      </c>
      <c r="EW130" s="18">
        <v>0.6</v>
      </c>
      <c r="EX130" s="22">
        <v>25410</v>
      </c>
      <c r="FA130" s="18"/>
      <c r="FE130" s="18"/>
      <c r="FI130" s="18"/>
      <c r="FK130" s="12" t="s">
        <v>320</v>
      </c>
      <c r="FL130" s="22">
        <v>791</v>
      </c>
      <c r="FM130" s="18">
        <v>1</v>
      </c>
      <c r="FN130" s="22">
        <v>5537</v>
      </c>
      <c r="FO130" s="12" t="s">
        <v>320</v>
      </c>
      <c r="FP130" s="22">
        <v>7635</v>
      </c>
      <c r="FQ130" s="18">
        <v>0.8</v>
      </c>
      <c r="FR130" s="22">
        <v>53445</v>
      </c>
      <c r="FU130" s="18"/>
      <c r="FY130" s="18"/>
      <c r="GC130" s="18"/>
      <c r="GE130" s="12" t="s">
        <v>320</v>
      </c>
      <c r="GF130" s="22">
        <v>4450</v>
      </c>
      <c r="GG130" s="18">
        <v>0.6</v>
      </c>
      <c r="GH130" s="22">
        <v>2670</v>
      </c>
      <c r="GK130" s="18"/>
      <c r="GO130" s="18"/>
      <c r="GS130" s="18"/>
      <c r="GW130" s="18"/>
      <c r="HA130" s="18"/>
      <c r="HF130" s="18"/>
      <c r="HH130" s="11" t="s">
        <v>319</v>
      </c>
      <c r="HK130" s="11" t="s">
        <v>319</v>
      </c>
      <c r="HL130" s="11" t="s">
        <v>319</v>
      </c>
      <c r="HO130" s="11" t="s">
        <v>393</v>
      </c>
      <c r="HP130" s="11" t="s">
        <v>418</v>
      </c>
      <c r="HQ130" s="11" t="s">
        <v>319</v>
      </c>
      <c r="HR130" s="11" t="s">
        <v>319</v>
      </c>
      <c r="HS130" s="11" t="s">
        <v>319</v>
      </c>
      <c r="HT130" s="11" t="s">
        <v>319</v>
      </c>
      <c r="HU130" s="11" t="s">
        <v>319</v>
      </c>
      <c r="HV130" s="11" t="s">
        <v>319</v>
      </c>
      <c r="HW130" s="11" t="s">
        <v>319</v>
      </c>
      <c r="HX130" s="11" t="s">
        <v>319</v>
      </c>
      <c r="HZ130" s="12" t="s">
        <v>331</v>
      </c>
      <c r="IA130" s="11" t="s">
        <v>2721</v>
      </c>
      <c r="IB130" s="12" t="s">
        <v>396</v>
      </c>
      <c r="IC130" s="11" t="s">
        <v>2722</v>
      </c>
      <c r="ID130" s="11" t="s">
        <v>364</v>
      </c>
      <c r="IE130" s="11" t="s">
        <v>478</v>
      </c>
      <c r="IF130" s="11" t="s">
        <v>320</v>
      </c>
      <c r="IG130" s="11" t="s">
        <v>320</v>
      </c>
      <c r="IJ130" s="12" t="str">
        <f t="shared" ref="IJ130:IJ193" si="87">IF(IE130="","No marker score",IF(ISNUMBER(SEARCH("select",IE130)),"",IF(ISNUMBER(SEARCH("Did NOT",IE130)),"0. Harmful",IF(ISNUMBER(SEARCH("CHALLENGED",IE130)),IF(IK130=4,"4. Transformative",IF(IK130&gt;1,"3. Responsive",IF(IK130&lt;=1,"No marker score",""))),IF(ISNUMBER(SEARCH("WORKED WITH",IE130)),IF(IK130=4,"2. Sensitive",IF(IK130&gt;1,"1. Neutral","0. Harmful")))))))</f>
        <v>3. Responsive</v>
      </c>
      <c r="IK130" s="12">
        <f t="shared" ref="IK130:IK193" si="88">COUNTIF(IF130:II130,"=YES")</f>
        <v>2</v>
      </c>
      <c r="IL130" s="11" t="s">
        <v>336</v>
      </c>
      <c r="IM130" s="11" t="s">
        <v>320</v>
      </c>
      <c r="IN130" s="11" t="s">
        <v>319</v>
      </c>
      <c r="IO130" s="11" t="s">
        <v>319</v>
      </c>
      <c r="IP130" s="11" t="s">
        <v>320</v>
      </c>
      <c r="IQ130" s="12" t="str">
        <f t="shared" ref="IQ130:IQ193" si="89">IF(IL130="","No marker score",IF(ISNUMBER(SEARCH("select",IL130)),"",IF(ISNUMBER(SEARCH("Did NOT",IL130)),"0. Unaware",IF(ISNUMBER(SEARCH("CHALLENGED",IL130)),IF(IR130=4,"4. Transformational",IF(IR130&gt;1,"3. Responsive",IF(IR130&lt;=1,"No marker score",""))),IF(ISNUMBER(SEARCH("WORKED WITH",IL130)),IF(IR130&gt;=3,"2. Accommodating",IF(IR130&gt;=1,"1. Tokenistic","0. Unaware")))))))</f>
        <v>1. Tokenistic</v>
      </c>
      <c r="IR130" s="12">
        <f t="shared" ref="IR130:IR193" si="90">COUNTIF(IM130:IP130,"=YES")</f>
        <v>2</v>
      </c>
      <c r="IS130" s="11" t="s">
        <v>337</v>
      </c>
      <c r="IT130" s="11" t="s">
        <v>320</v>
      </c>
      <c r="IU130" s="11" t="s">
        <v>320</v>
      </c>
      <c r="IV130" s="11" t="s">
        <v>320</v>
      </c>
      <c r="IW130" s="11" t="str">
        <f t="shared" ref="IW130:IW193" si="91">IF(IS130="","No marker score",IF(ISNUMBER(SEARCH("select",IS130)),"",IF(ISNUMBER(SEARCH("Did NOT",IS130)),"0. Harmful",IF(ISNUMBER(SEARCH("well",IS130)),IF(IX130=3,"4. Transformative",IF(IX130&gt;=1,"3. Responsive",IF(IX130=0,"No marker score",""))),IF(ISNUMBER(SEARCH(".",IS130)),IF(IX130&gt;=3,"2. Sensitive",IF(IX130&gt;=1,"1. Neutral","0. Harmful")))))))</f>
        <v>2. Sensitive</v>
      </c>
      <c r="IX130" s="12">
        <f t="shared" ref="IX130:IX193" si="92">COUNTIF(IT130:IV130,"=YES")</f>
        <v>3</v>
      </c>
      <c r="IY130" s="11" t="s">
        <v>419</v>
      </c>
      <c r="IZ130" s="12" t="s">
        <v>457</v>
      </c>
      <c r="JA130" s="11">
        <v>2</v>
      </c>
      <c r="JB130" s="11" t="s">
        <v>433</v>
      </c>
      <c r="JC130" s="11" t="s">
        <v>687</v>
      </c>
      <c r="JD130" s="11" t="s">
        <v>624</v>
      </c>
      <c r="JE130" s="12" t="s">
        <v>420</v>
      </c>
      <c r="JG130" s="11" t="s">
        <v>2723</v>
      </c>
      <c r="JH130" s="11" t="s">
        <v>2724</v>
      </c>
      <c r="JI130" s="11" t="s">
        <v>2725</v>
      </c>
      <c r="JJ130" s="11" t="s">
        <v>2726</v>
      </c>
      <c r="JK130" s="11" t="s">
        <v>2727</v>
      </c>
      <c r="JL130" s="11" t="s">
        <v>2728</v>
      </c>
      <c r="JM130" s="11" t="s">
        <v>2729</v>
      </c>
      <c r="JN130" s="11" t="s">
        <v>2730</v>
      </c>
      <c r="JP130" s="15">
        <f t="shared" ref="JP130:JP193" si="93">MAX(CF130,EM130)</f>
        <v>5395</v>
      </c>
      <c r="JQ130" s="15">
        <f t="shared" ref="JQ130:JQ193" si="94">MAX(CI130,EP130)</f>
        <v>49000</v>
      </c>
      <c r="JR130" s="279">
        <f t="shared" ref="JR130:JR193" si="95">IFERROR(JQ130/JP130,"")</f>
        <v>9.0824837812789614</v>
      </c>
      <c r="JS130" s="17">
        <f t="shared" ref="JS130:JS193" si="96">IFERROR(MAX(CD130,EK130)/JP130,"")</f>
        <v>0.6</v>
      </c>
      <c r="JT130" s="18">
        <f t="shared" ref="JT130:JT193" si="97">IFERROR(MAX(CG130,EN130)/JQ130,"")</f>
        <v>0.6</v>
      </c>
      <c r="JU130" s="280">
        <f t="shared" ref="JU130:JU193" si="98">IFERROR(MAX(CD130,EK130),"")</f>
        <v>3237</v>
      </c>
      <c r="JV130" s="280">
        <f t="shared" ref="JV130:JV193" si="99">IFERROR(MAX(CG130,EN130),"")</f>
        <v>29400</v>
      </c>
      <c r="JW130" s="319" t="str">
        <f t="shared" ref="JW130:JW193" si="100">IF(BO130="yes",1,"")</f>
        <v/>
      </c>
      <c r="JX130" s="15">
        <f t="shared" ref="JX130:JX193" si="101">CF130</f>
        <v>0</v>
      </c>
      <c r="JY130" s="15">
        <f t="shared" ref="JY130:JY193" si="102">CI130</f>
        <v>0</v>
      </c>
      <c r="JZ130" s="19" t="str">
        <f t="shared" ref="JZ130:JZ193" si="103">IFERROR(JY130/JX130,"")</f>
        <v/>
      </c>
      <c r="KA130" s="52">
        <f t="shared" ref="KA130:KA193" si="104">IF((OR(CV130="yes", DL130="yes", EQ130="yes", EU130="yes", FC130="yes", FG130="yes", FO130="yes", GI130="yes", GU130="yes")), 1, "")</f>
        <v>1</v>
      </c>
      <c r="KB130" s="15">
        <f t="shared" ref="KB130:KB193" si="105">MAX(CW130,DM130,ER130,EV130,FD130,FH130,FP130,GJ130,GV130)</f>
        <v>7635</v>
      </c>
      <c r="KC130" s="15">
        <f t="shared" ref="KC130:KC193" si="106">MAX(CY130,DO130,ET130,EX130,FF130,FJ130,FR130,GL130,GX130)</f>
        <v>53445</v>
      </c>
      <c r="KD130" s="20">
        <f t="shared" ref="KD130:KD193" si="107">IFERROR(KC130/KB130,"")</f>
        <v>7</v>
      </c>
      <c r="KE130" s="52" t="str">
        <f t="shared" ref="KE130:KE193" si="108">IF((OR(DT130="yes", GQ130="yes")), 1, "")</f>
        <v/>
      </c>
      <c r="KF130" s="15">
        <f t="shared" ref="KF130:KF193" si="109">MAX(DU130,GR130)</f>
        <v>0</v>
      </c>
      <c r="KG130" s="15">
        <f t="shared" ref="KG130:KG193" si="110">MAX(DW130,GT130)</f>
        <v>0</v>
      </c>
      <c r="KH130" s="21" t="str">
        <f t="shared" ref="KH130:KH193" si="111">IFERROR(KG130/KF130,"")</f>
        <v/>
      </c>
      <c r="KI130" s="52" t="str">
        <f t="shared" ref="KI130:KI193" si="112">IF((OR(CZ130="yes", FS130="yes")), 1, "")</f>
        <v/>
      </c>
      <c r="KJ130" s="15">
        <f t="shared" ref="KJ130:KJ193" si="113">MAX(DA130,FT130)</f>
        <v>0</v>
      </c>
      <c r="KK130" s="15">
        <f t="shared" ref="KK130:KK193" si="114">MAX(DC130,FV130)</f>
        <v>0</v>
      </c>
      <c r="KL130" s="19" t="str">
        <f t="shared" ref="KL130:KL193" si="115">IFERROR(KK130/KJ130,"")</f>
        <v/>
      </c>
      <c r="KM130" s="52" t="str">
        <f t="shared" ref="KM130:KM193" si="116">IF((OR(FG130="yes", GY130="yes")), 1, "")</f>
        <v/>
      </c>
      <c r="KN130" s="22">
        <f t="shared" ref="KN130:KN193" si="117">IFERROR(MAX((FH130*FI130),GZ130),"")</f>
        <v>0</v>
      </c>
      <c r="KO130" s="22">
        <f t="shared" ref="KO130:KO193" si="118">IFERROR(MAX((FJ130*FI130),HB130),"")</f>
        <v>0</v>
      </c>
      <c r="KP130" s="19" t="str">
        <f t="shared" ref="KP130:KP193" si="119">IFERROR(KO130/KN130,"")</f>
        <v/>
      </c>
      <c r="KQ130" s="11" t="str">
        <f t="shared" ref="KQ130:KQ193" si="120">IJ130</f>
        <v>3. Responsive</v>
      </c>
      <c r="KR130" s="11" t="str">
        <f t="shared" ref="KR130:KR193" si="121">IQ130</f>
        <v>1. Tokenistic</v>
      </c>
      <c r="KS130" s="11" t="str">
        <f t="shared" ref="KS130:KS193" si="122">IW130</f>
        <v>2. Sensitive</v>
      </c>
      <c r="KT130" s="11" t="str">
        <f t="shared" ref="KT130:KT193" si="123">HZ130</f>
        <v>It tested new ways for fighting poverty and measured results of innovation</v>
      </c>
      <c r="KU130" s="11" t="str">
        <f t="shared" ref="KU130:KU193" si="124">HP130</f>
        <v>Little or no advocacy</v>
      </c>
      <c r="KV130" s="11" t="str">
        <f t="shared" ref="KV130:KV193" si="125">IB130</f>
        <v>It linked and worked with strategic alliances and partners to take tested and effective solutions to scale</v>
      </c>
      <c r="KW130" s="11" t="str">
        <f t="shared" ref="KW130:KW193" si="126">A130&amp;" - "&amp;D130</f>
        <v>Chad - Femmes Adaptation aux Changements Climatique, Eaux et Resiliences</v>
      </c>
      <c r="KX130" s="11" t="str">
        <f t="shared" ref="KX130:KX193" si="127">D130</f>
        <v>Femmes Adaptation aux Changements Climatique, Eaux et Resiliences</v>
      </c>
      <c r="KY130" s="11" t="str">
        <f t="shared" ref="KY130:KY193" si="128">A130</f>
        <v>Chad</v>
      </c>
      <c r="KZ130" s="12">
        <v>130</v>
      </c>
    </row>
    <row r="131" spans="1:312" x14ac:dyDescent="0.3">
      <c r="A131" s="11" t="s">
        <v>2536</v>
      </c>
      <c r="B131" s="11" t="s">
        <v>1596</v>
      </c>
      <c r="D131" s="11" t="s">
        <v>2593</v>
      </c>
      <c r="E131" s="24" t="str">
        <f t="shared" si="86"/>
        <v>Chad</v>
      </c>
      <c r="F131" s="11" t="s">
        <v>2594</v>
      </c>
      <c r="G131" s="11" t="s">
        <v>1738</v>
      </c>
      <c r="H131" s="11" t="s">
        <v>310</v>
      </c>
      <c r="I131" s="11" t="s">
        <v>2595</v>
      </c>
      <c r="J131" s="278" t="s">
        <v>14603</v>
      </c>
      <c r="BD131" s="23">
        <v>42491</v>
      </c>
      <c r="BE131" s="23">
        <v>42766</v>
      </c>
      <c r="BG131" s="11" t="s">
        <v>817</v>
      </c>
      <c r="BH131" s="22">
        <v>700.04</v>
      </c>
      <c r="BI131" s="11" t="s">
        <v>2596</v>
      </c>
      <c r="BJ131" s="11" t="s">
        <v>2597</v>
      </c>
      <c r="BK131" s="11" t="s">
        <v>2598</v>
      </c>
      <c r="BL131" s="11" t="s">
        <v>2599</v>
      </c>
      <c r="BM131" s="11" t="s">
        <v>2600</v>
      </c>
      <c r="BN131" s="11" t="s">
        <v>2540</v>
      </c>
      <c r="BO131" s="11" t="s">
        <v>320</v>
      </c>
      <c r="BP131" s="11" t="s">
        <v>319</v>
      </c>
      <c r="BQ131" s="11" t="s">
        <v>319</v>
      </c>
      <c r="BR131" s="11" t="s">
        <v>2601</v>
      </c>
      <c r="BS131" s="11" t="s">
        <v>1535</v>
      </c>
      <c r="BT131" s="11" t="s">
        <v>2602</v>
      </c>
      <c r="BU131" s="11" t="s">
        <v>2603</v>
      </c>
      <c r="BV131" s="22">
        <v>7080</v>
      </c>
      <c r="BW131" s="22">
        <v>9420</v>
      </c>
      <c r="BX131" s="22">
        <v>16500</v>
      </c>
      <c r="BY131" s="22">
        <v>15000</v>
      </c>
      <c r="BZ131" s="22">
        <v>14000</v>
      </c>
      <c r="CA131" s="22">
        <v>29000</v>
      </c>
      <c r="CD131" s="22">
        <v>16422</v>
      </c>
      <c r="CE131" s="22">
        <v>8318</v>
      </c>
      <c r="CF131" s="22">
        <v>24740</v>
      </c>
      <c r="CG131" s="22">
        <v>16894</v>
      </c>
      <c r="CH131" s="22">
        <v>14354</v>
      </c>
      <c r="CI131" s="22">
        <v>31248</v>
      </c>
      <c r="CJ131" s="11" t="s">
        <v>319</v>
      </c>
      <c r="CL131" s="18"/>
      <c r="CN131" s="12" t="s">
        <v>320</v>
      </c>
      <c r="CO131" s="22">
        <v>1650</v>
      </c>
      <c r="CP131" s="18">
        <v>0.7</v>
      </c>
      <c r="CR131" s="11" t="s">
        <v>319</v>
      </c>
      <c r="CT131" s="18"/>
      <c r="CV131" s="11" t="s">
        <v>319</v>
      </c>
      <c r="CX131" s="18"/>
      <c r="CZ131" s="11" t="s">
        <v>320</v>
      </c>
      <c r="DA131" s="22">
        <v>24740</v>
      </c>
      <c r="DB131" s="18">
        <v>0.8</v>
      </c>
      <c r="DD131" s="11" t="s">
        <v>319</v>
      </c>
      <c r="DF131" s="18"/>
      <c r="DH131" s="12" t="s">
        <v>320</v>
      </c>
      <c r="DI131" s="22">
        <v>5026</v>
      </c>
      <c r="DJ131" s="18">
        <v>0.8</v>
      </c>
      <c r="DL131" s="11" t="s">
        <v>319</v>
      </c>
      <c r="DN131" s="18"/>
      <c r="DP131" s="12" t="s">
        <v>320</v>
      </c>
      <c r="DQ131" s="22">
        <v>24740</v>
      </c>
      <c r="DR131" s="18">
        <v>0.8</v>
      </c>
      <c r="DT131" s="11" t="s">
        <v>319</v>
      </c>
      <c r="DV131" s="18"/>
      <c r="DX131" s="12" t="s">
        <v>320</v>
      </c>
      <c r="DY131" s="22">
        <v>1662</v>
      </c>
      <c r="DZ131" s="18">
        <v>0.54</v>
      </c>
      <c r="EB131" s="11" t="s">
        <v>319</v>
      </c>
      <c r="ED131" s="18"/>
      <c r="EG131" s="15" t="s">
        <v>319</v>
      </c>
      <c r="EI131" s="18"/>
      <c r="EQ131" s="12" t="s">
        <v>319</v>
      </c>
      <c r="ES131" s="18"/>
      <c r="EU131" s="11" t="s">
        <v>319</v>
      </c>
      <c r="EW131" s="18"/>
      <c r="EY131" s="12" t="s">
        <v>319</v>
      </c>
      <c r="FA131" s="18"/>
      <c r="FC131" s="12" t="s">
        <v>319</v>
      </c>
      <c r="FE131" s="18"/>
      <c r="FG131" s="12" t="s">
        <v>319</v>
      </c>
      <c r="FI131" s="18"/>
      <c r="FK131" s="11" t="s">
        <v>319</v>
      </c>
      <c r="FM131" s="18"/>
      <c r="FO131" s="11" t="s">
        <v>319</v>
      </c>
      <c r="FQ131" s="18"/>
      <c r="FS131" s="11" t="s">
        <v>319</v>
      </c>
      <c r="FU131" s="18"/>
      <c r="FW131" s="11" t="s">
        <v>319</v>
      </c>
      <c r="FY131" s="18"/>
      <c r="GA131" s="11" t="s">
        <v>319</v>
      </c>
      <c r="GC131" s="18"/>
      <c r="GE131" s="11" t="s">
        <v>319</v>
      </c>
      <c r="GG131" s="18"/>
      <c r="GI131" s="11" t="s">
        <v>319</v>
      </c>
      <c r="GK131" s="18"/>
      <c r="GM131" s="11" t="s">
        <v>319</v>
      </c>
      <c r="GO131" s="18"/>
      <c r="GQ131" s="11" t="s">
        <v>319</v>
      </c>
      <c r="GS131" s="18"/>
      <c r="GU131" s="11" t="s">
        <v>319</v>
      </c>
      <c r="GW131" s="18"/>
      <c r="GY131" s="11" t="s">
        <v>319</v>
      </c>
      <c r="HA131" s="18"/>
      <c r="HD131" s="11" t="s">
        <v>319</v>
      </c>
      <c r="HF131" s="18"/>
      <c r="HH131" s="11" t="s">
        <v>320</v>
      </c>
      <c r="HI131" s="11" t="s">
        <v>522</v>
      </c>
      <c r="HJ131" s="11">
        <v>2016</v>
      </c>
      <c r="HK131" s="11" t="s">
        <v>320</v>
      </c>
      <c r="HL131" s="11" t="s">
        <v>320</v>
      </c>
      <c r="HM131" s="11" t="s">
        <v>544</v>
      </c>
      <c r="HN131" s="11">
        <v>2017</v>
      </c>
      <c r="HO131" s="11" t="s">
        <v>2604</v>
      </c>
      <c r="HP131" s="11" t="s">
        <v>330</v>
      </c>
      <c r="HQ131" s="11" t="s">
        <v>319</v>
      </c>
      <c r="HR131" s="11" t="s">
        <v>319</v>
      </c>
      <c r="HS131" s="11" t="s">
        <v>319</v>
      </c>
      <c r="HT131" s="11" t="s">
        <v>319</v>
      </c>
      <c r="HU131" s="11" t="s">
        <v>319</v>
      </c>
      <c r="HV131" s="11" t="s">
        <v>319</v>
      </c>
      <c r="HW131" s="11" t="s">
        <v>319</v>
      </c>
      <c r="HX131" s="11" t="s">
        <v>319</v>
      </c>
      <c r="HZ131" s="11" t="s">
        <v>363</v>
      </c>
      <c r="IB131" s="12" t="s">
        <v>333</v>
      </c>
      <c r="ID131" s="11" t="s">
        <v>477</v>
      </c>
      <c r="IE131" s="11" t="s">
        <v>335</v>
      </c>
      <c r="IF131" s="11" t="s">
        <v>320</v>
      </c>
      <c r="IG131" s="11" t="s">
        <v>320</v>
      </c>
      <c r="IH131" s="11" t="s">
        <v>320</v>
      </c>
      <c r="II131" s="11" t="s">
        <v>320</v>
      </c>
      <c r="IJ131" s="12" t="str">
        <f t="shared" si="87"/>
        <v>2. Sensitive</v>
      </c>
      <c r="IK131" s="12">
        <f t="shared" si="88"/>
        <v>4</v>
      </c>
      <c r="IL131" s="11" t="s">
        <v>723</v>
      </c>
      <c r="IM131" s="11" t="s">
        <v>319</v>
      </c>
      <c r="IN131" s="11" t="s">
        <v>319</v>
      </c>
      <c r="IO131" s="11" t="s">
        <v>319</v>
      </c>
      <c r="IP131" s="11" t="s">
        <v>319</v>
      </c>
      <c r="IQ131" s="12" t="str">
        <f t="shared" si="89"/>
        <v>0. Unaware</v>
      </c>
      <c r="IR131" s="12">
        <f t="shared" si="90"/>
        <v>0</v>
      </c>
      <c r="IS131" s="11" t="s">
        <v>337</v>
      </c>
      <c r="IT131" s="11" t="s">
        <v>320</v>
      </c>
      <c r="IU131" s="11" t="s">
        <v>320</v>
      </c>
      <c r="IV131" s="11" t="s">
        <v>319</v>
      </c>
      <c r="IW131" s="11" t="str">
        <f t="shared" si="91"/>
        <v>1. Neutral</v>
      </c>
      <c r="IX131" s="12">
        <f t="shared" si="92"/>
        <v>2</v>
      </c>
      <c r="IY131" s="11" t="s">
        <v>419</v>
      </c>
      <c r="IZ131" s="12" t="s">
        <v>339</v>
      </c>
      <c r="JB131" s="12" t="s">
        <v>687</v>
      </c>
      <c r="JC131" s="11" t="s">
        <v>687</v>
      </c>
      <c r="JD131" s="11" t="s">
        <v>687</v>
      </c>
      <c r="JE131" s="12" t="s">
        <v>420</v>
      </c>
      <c r="JF131" s="11" t="s">
        <v>2605</v>
      </c>
      <c r="JH131" s="11" t="s">
        <v>2606</v>
      </c>
      <c r="JI131" s="11" t="s">
        <v>2607</v>
      </c>
      <c r="JJ131" s="11" t="s">
        <v>2608</v>
      </c>
      <c r="JK131" s="11" t="s">
        <v>2609</v>
      </c>
      <c r="JL131" s="11" t="s">
        <v>2610</v>
      </c>
      <c r="JM131" s="11" t="s">
        <v>2611</v>
      </c>
      <c r="JP131" s="15">
        <f t="shared" si="93"/>
        <v>24740</v>
      </c>
      <c r="JQ131" s="15">
        <f t="shared" si="94"/>
        <v>31248</v>
      </c>
      <c r="JR131" s="279">
        <f t="shared" si="95"/>
        <v>1.263055780113177</v>
      </c>
      <c r="JS131" s="17">
        <f t="shared" si="96"/>
        <v>0.66378334680679063</v>
      </c>
      <c r="JT131" s="18">
        <f t="shared" si="97"/>
        <v>0.54064260112647211</v>
      </c>
      <c r="JU131" s="280">
        <f t="shared" si="98"/>
        <v>16422</v>
      </c>
      <c r="JV131" s="280">
        <f t="shared" si="99"/>
        <v>16894</v>
      </c>
      <c r="JW131" s="319">
        <f t="shared" si="100"/>
        <v>1</v>
      </c>
      <c r="JX131" s="15">
        <f t="shared" si="101"/>
        <v>24740</v>
      </c>
      <c r="JY131" s="15">
        <f t="shared" si="102"/>
        <v>31248</v>
      </c>
      <c r="JZ131" s="19">
        <f t="shared" si="103"/>
        <v>1.263055780113177</v>
      </c>
      <c r="KA131" s="52" t="str">
        <f t="shared" si="104"/>
        <v/>
      </c>
      <c r="KB131" s="15">
        <f t="shared" si="105"/>
        <v>0</v>
      </c>
      <c r="KC131" s="15">
        <f t="shared" si="106"/>
        <v>0</v>
      </c>
      <c r="KD131" s="20" t="str">
        <f t="shared" si="107"/>
        <v/>
      </c>
      <c r="KE131" s="52" t="str">
        <f t="shared" si="108"/>
        <v/>
      </c>
      <c r="KF131" s="15">
        <f t="shared" si="109"/>
        <v>0</v>
      </c>
      <c r="KG131" s="15">
        <f t="shared" si="110"/>
        <v>0</v>
      </c>
      <c r="KH131" s="21" t="str">
        <f t="shared" si="111"/>
        <v/>
      </c>
      <c r="KI131" s="52">
        <f t="shared" si="112"/>
        <v>1</v>
      </c>
      <c r="KJ131" s="15">
        <f t="shared" si="113"/>
        <v>24740</v>
      </c>
      <c r="KK131" s="15">
        <f t="shared" si="114"/>
        <v>0</v>
      </c>
      <c r="KL131" s="19">
        <f t="shared" si="115"/>
        <v>0</v>
      </c>
      <c r="KM131" s="52" t="str">
        <f t="shared" si="116"/>
        <v/>
      </c>
      <c r="KN131" s="22">
        <f t="shared" si="117"/>
        <v>0</v>
      </c>
      <c r="KO131" s="22">
        <f t="shared" si="118"/>
        <v>0</v>
      </c>
      <c r="KP131" s="19" t="str">
        <f t="shared" si="119"/>
        <v/>
      </c>
      <c r="KQ131" s="11" t="str">
        <f t="shared" si="120"/>
        <v>2. Sensitive</v>
      </c>
      <c r="KR131" s="11" t="str">
        <f t="shared" si="121"/>
        <v>0. Unaware</v>
      </c>
      <c r="KS131" s="11" t="str">
        <f t="shared" si="122"/>
        <v>1. Neutral</v>
      </c>
      <c r="KT131" s="11" t="str">
        <f t="shared" si="123"/>
        <v>It did not develop any specific innovation</v>
      </c>
      <c r="KU131" s="11" t="str">
        <f t="shared" si="124"/>
        <v>Moderate advocacy</v>
      </c>
      <c r="KV131" s="11" t="str">
        <f t="shared" si="125"/>
        <v>It did not take tested solutions to scale</v>
      </c>
      <c r="KW131" s="11" t="str">
        <f t="shared" si="126"/>
        <v>Chad - MOFA LAC</v>
      </c>
      <c r="KX131" s="11" t="str">
        <f t="shared" si="127"/>
        <v>MOFA LAC</v>
      </c>
      <c r="KY131" s="11" t="str">
        <f t="shared" si="128"/>
        <v>Chad</v>
      </c>
      <c r="KZ131" s="12">
        <v>131</v>
      </c>
    </row>
    <row r="132" spans="1:312" x14ac:dyDescent="0.3">
      <c r="A132" s="11" t="s">
        <v>2536</v>
      </c>
      <c r="B132" s="11" t="s">
        <v>1596</v>
      </c>
      <c r="D132" s="11" t="s">
        <v>2612</v>
      </c>
      <c r="E132" s="24" t="str">
        <f t="shared" si="86"/>
        <v>Chad</v>
      </c>
      <c r="F132" s="11" t="s">
        <v>2613</v>
      </c>
      <c r="G132" s="11" t="s">
        <v>1738</v>
      </c>
      <c r="H132" s="11" t="s">
        <v>310</v>
      </c>
      <c r="I132" s="11" t="s">
        <v>2595</v>
      </c>
      <c r="J132" s="278" t="s">
        <v>14604</v>
      </c>
      <c r="BD132" s="23">
        <v>42552</v>
      </c>
      <c r="BE132" s="23">
        <v>43585</v>
      </c>
      <c r="BG132" s="11" t="s">
        <v>749</v>
      </c>
      <c r="BH132" s="22">
        <v>1848206.66</v>
      </c>
      <c r="BI132" s="11" t="s">
        <v>2541</v>
      </c>
      <c r="BJ132" s="11" t="s">
        <v>2614</v>
      </c>
      <c r="BK132" s="25" t="s">
        <v>2598</v>
      </c>
      <c r="BL132" s="11" t="s">
        <v>2615</v>
      </c>
      <c r="BM132" s="11" t="s">
        <v>2616</v>
      </c>
      <c r="BN132" s="11" t="s">
        <v>2540</v>
      </c>
      <c r="BO132" s="11" t="s">
        <v>320</v>
      </c>
      <c r="BP132" s="11" t="s">
        <v>320</v>
      </c>
      <c r="BQ132" s="11" t="s">
        <v>320</v>
      </c>
      <c r="BR132" s="11" t="s">
        <v>2617</v>
      </c>
      <c r="BS132" s="11" t="s">
        <v>357</v>
      </c>
      <c r="BT132" s="11" t="s">
        <v>2618</v>
      </c>
      <c r="BU132" s="11" t="s">
        <v>2619</v>
      </c>
      <c r="BV132" s="22">
        <v>9000</v>
      </c>
      <c r="BW132" s="22">
        <v>6000</v>
      </c>
      <c r="BX132" s="22">
        <v>15000</v>
      </c>
      <c r="BY132" s="22">
        <v>11000</v>
      </c>
      <c r="BZ132" s="22">
        <v>24000</v>
      </c>
      <c r="CA132" s="22">
        <v>35000</v>
      </c>
      <c r="CB132" s="15" t="s">
        <v>2620</v>
      </c>
      <c r="CD132" s="22">
        <v>9000</v>
      </c>
      <c r="CE132" s="22">
        <v>6000</v>
      </c>
      <c r="CF132" s="22">
        <v>15000</v>
      </c>
      <c r="CG132" s="22">
        <v>11000</v>
      </c>
      <c r="CH132" s="22">
        <v>24000</v>
      </c>
      <c r="CI132" s="22">
        <v>35000</v>
      </c>
      <c r="CL132" s="18"/>
      <c r="CN132" s="12" t="s">
        <v>320</v>
      </c>
      <c r="CO132" s="22">
        <v>1000</v>
      </c>
      <c r="CP132" s="18">
        <v>0.72699999999999998</v>
      </c>
      <c r="CQ132" s="22">
        <v>5000</v>
      </c>
      <c r="CT132" s="18"/>
      <c r="CV132" s="12" t="s">
        <v>320</v>
      </c>
      <c r="CW132" s="22">
        <v>2628</v>
      </c>
      <c r="CX132" s="18">
        <v>1</v>
      </c>
      <c r="CY132" s="22">
        <v>13140</v>
      </c>
      <c r="CZ132" s="11" t="s">
        <v>320</v>
      </c>
      <c r="DA132" s="22">
        <v>3434</v>
      </c>
      <c r="DB132" s="18">
        <v>0.7</v>
      </c>
      <c r="DC132" s="22">
        <v>35000</v>
      </c>
      <c r="DF132" s="18"/>
      <c r="DJ132" s="18"/>
      <c r="DL132" s="11" t="s">
        <v>320</v>
      </c>
      <c r="DM132" s="22">
        <v>1025</v>
      </c>
      <c r="DN132" s="18">
        <v>1</v>
      </c>
      <c r="DO132" s="22">
        <v>5125</v>
      </c>
      <c r="DR132" s="18"/>
      <c r="DT132" s="12" t="s">
        <v>320</v>
      </c>
      <c r="DU132" s="22">
        <v>3000</v>
      </c>
      <c r="DV132" s="18">
        <v>0.38400000000000001</v>
      </c>
      <c r="DW132" s="22">
        <v>35000</v>
      </c>
      <c r="DZ132" s="18"/>
      <c r="EB132" s="11" t="s">
        <v>320</v>
      </c>
      <c r="EC132" s="22">
        <v>7100</v>
      </c>
      <c r="ED132" s="18">
        <v>0.4</v>
      </c>
      <c r="EE132" s="22">
        <v>35000</v>
      </c>
      <c r="EI132" s="18"/>
      <c r="EK132" s="22">
        <v>9000</v>
      </c>
      <c r="EL132" s="22">
        <v>6000</v>
      </c>
      <c r="EM132" s="22">
        <v>15000</v>
      </c>
      <c r="EN132" s="22">
        <v>11000</v>
      </c>
      <c r="EO132" s="22">
        <v>24000</v>
      </c>
      <c r="EP132" s="22">
        <v>35000</v>
      </c>
      <c r="EQ132" s="12" t="s">
        <v>320</v>
      </c>
      <c r="ER132" s="22">
        <v>400</v>
      </c>
      <c r="ES132" s="18">
        <v>1</v>
      </c>
      <c r="ET132" s="22">
        <v>2000</v>
      </c>
      <c r="EU132" s="11" t="s">
        <v>320</v>
      </c>
      <c r="EV132" s="22">
        <v>400</v>
      </c>
      <c r="EW132" s="18">
        <v>1</v>
      </c>
      <c r="EX132" s="22">
        <v>2000</v>
      </c>
      <c r="EY132" s="12" t="s">
        <v>320</v>
      </c>
      <c r="EZ132" s="22">
        <v>125</v>
      </c>
      <c r="FA132" s="18">
        <v>0.5</v>
      </c>
      <c r="FE132" s="18"/>
      <c r="FI132" s="18"/>
      <c r="FM132" s="18"/>
      <c r="FO132" s="12" t="s">
        <v>320</v>
      </c>
      <c r="FP132" s="22">
        <v>1432</v>
      </c>
      <c r="FQ132" s="18">
        <v>0.84099999999999997</v>
      </c>
      <c r="FR132" s="22">
        <v>7160</v>
      </c>
      <c r="FS132" s="12" t="s">
        <v>320</v>
      </c>
      <c r="FT132" s="22">
        <v>3434</v>
      </c>
      <c r="FU132" s="18">
        <v>1</v>
      </c>
      <c r="FV132" s="22">
        <v>35000</v>
      </c>
      <c r="FY132" s="18"/>
      <c r="GC132" s="18"/>
      <c r="GG132" s="18"/>
      <c r="GK132" s="18"/>
      <c r="GO132" s="18"/>
      <c r="GQ132" s="12" t="s">
        <v>320</v>
      </c>
      <c r="GR132" s="22">
        <v>4001</v>
      </c>
      <c r="GS132" s="18">
        <v>0.75</v>
      </c>
      <c r="GT132" s="22">
        <v>35000</v>
      </c>
      <c r="GU132" s="12" t="s">
        <v>320</v>
      </c>
      <c r="GV132" s="22">
        <v>7100</v>
      </c>
      <c r="GW132" s="18">
        <v>0.5</v>
      </c>
      <c r="GX132" s="22">
        <v>35000</v>
      </c>
      <c r="GY132" s="11" t="s">
        <v>320</v>
      </c>
      <c r="GZ132" s="22">
        <v>625</v>
      </c>
      <c r="HA132" s="18">
        <v>1</v>
      </c>
      <c r="HB132" s="22">
        <v>3125</v>
      </c>
      <c r="HF132" s="18"/>
      <c r="HH132" s="11" t="s">
        <v>320</v>
      </c>
      <c r="HK132" s="11" t="s">
        <v>320</v>
      </c>
      <c r="HL132" s="11" t="s">
        <v>320</v>
      </c>
      <c r="HM132" s="11" t="s">
        <v>328</v>
      </c>
      <c r="HO132" s="11" t="s">
        <v>2621</v>
      </c>
      <c r="HP132" s="11" t="s">
        <v>418</v>
      </c>
      <c r="HQ132" s="11" t="s">
        <v>319</v>
      </c>
      <c r="HR132" s="11" t="s">
        <v>319</v>
      </c>
      <c r="HS132" s="11" t="s">
        <v>320</v>
      </c>
      <c r="HT132" s="11" t="s">
        <v>320</v>
      </c>
      <c r="HU132" s="11" t="s">
        <v>319</v>
      </c>
      <c r="HV132" s="11" t="s">
        <v>319</v>
      </c>
      <c r="HW132" s="11" t="s">
        <v>320</v>
      </c>
      <c r="HZ132" s="12" t="s">
        <v>331</v>
      </c>
      <c r="IA132" s="11" t="s">
        <v>2622</v>
      </c>
      <c r="IB132" s="12" t="s">
        <v>396</v>
      </c>
      <c r="IC132" s="11" t="s">
        <v>2623</v>
      </c>
      <c r="ID132" s="12" t="s">
        <v>334</v>
      </c>
      <c r="IE132" s="11" t="s">
        <v>335</v>
      </c>
      <c r="IF132" s="11" t="s">
        <v>320</v>
      </c>
      <c r="IG132" s="11" t="s">
        <v>320</v>
      </c>
      <c r="IH132" s="11" t="s">
        <v>320</v>
      </c>
      <c r="II132" s="11" t="s">
        <v>320</v>
      </c>
      <c r="IJ132" s="12" t="str">
        <f t="shared" si="87"/>
        <v>2. Sensitive</v>
      </c>
      <c r="IK132" s="12">
        <f t="shared" si="88"/>
        <v>4</v>
      </c>
      <c r="IL132" s="11" t="s">
        <v>336</v>
      </c>
      <c r="IM132" s="11" t="s">
        <v>320</v>
      </c>
      <c r="IN132" s="11" t="s">
        <v>319</v>
      </c>
      <c r="IO132" s="11" t="s">
        <v>320</v>
      </c>
      <c r="IP132" s="11" t="s">
        <v>320</v>
      </c>
      <c r="IQ132" s="12" t="str">
        <f t="shared" si="89"/>
        <v>2. Accommodating</v>
      </c>
      <c r="IR132" s="12">
        <f t="shared" si="90"/>
        <v>3</v>
      </c>
      <c r="IS132" s="11" t="s">
        <v>337</v>
      </c>
      <c r="IT132" s="11" t="s">
        <v>320</v>
      </c>
      <c r="IU132" s="11" t="s">
        <v>320</v>
      </c>
      <c r="IV132" s="11" t="s">
        <v>320</v>
      </c>
      <c r="IW132" s="11" t="str">
        <f t="shared" si="91"/>
        <v>2. Sensitive</v>
      </c>
      <c r="IX132" s="12">
        <f t="shared" si="92"/>
        <v>3</v>
      </c>
      <c r="IY132" s="11" t="s">
        <v>419</v>
      </c>
      <c r="IZ132" s="12" t="s">
        <v>432</v>
      </c>
      <c r="JA132" s="11">
        <v>4</v>
      </c>
      <c r="JB132" s="12" t="s">
        <v>687</v>
      </c>
      <c r="JC132" s="12" t="s">
        <v>1113</v>
      </c>
      <c r="JE132" s="12" t="s">
        <v>340</v>
      </c>
      <c r="JF132" s="11" t="s">
        <v>2624</v>
      </c>
      <c r="JH132" s="11" t="s">
        <v>2625</v>
      </c>
      <c r="JI132" s="11" t="s">
        <v>2626</v>
      </c>
      <c r="JJ132" s="11" t="s">
        <v>2627</v>
      </c>
      <c r="JK132" s="11" t="s">
        <v>2628</v>
      </c>
      <c r="JL132" s="11" t="s">
        <v>2629</v>
      </c>
      <c r="JM132" s="11" t="s">
        <v>2630</v>
      </c>
      <c r="JO132" s="11" t="s">
        <v>2631</v>
      </c>
      <c r="JP132" s="15">
        <f t="shared" si="93"/>
        <v>15000</v>
      </c>
      <c r="JQ132" s="15">
        <f t="shared" si="94"/>
        <v>35000</v>
      </c>
      <c r="JR132" s="279">
        <f t="shared" si="95"/>
        <v>2.3333333333333335</v>
      </c>
      <c r="JS132" s="17">
        <f t="shared" si="96"/>
        <v>0.6</v>
      </c>
      <c r="JT132" s="18">
        <f t="shared" si="97"/>
        <v>0.31428571428571428</v>
      </c>
      <c r="JU132" s="280">
        <f t="shared" si="98"/>
        <v>9000</v>
      </c>
      <c r="JV132" s="280">
        <f t="shared" si="99"/>
        <v>11000</v>
      </c>
      <c r="JW132" s="319">
        <f t="shared" si="100"/>
        <v>1</v>
      </c>
      <c r="JX132" s="15">
        <f t="shared" si="101"/>
        <v>15000</v>
      </c>
      <c r="JY132" s="15">
        <f t="shared" si="102"/>
        <v>35000</v>
      </c>
      <c r="JZ132" s="19">
        <f t="shared" si="103"/>
        <v>2.3333333333333335</v>
      </c>
      <c r="KA132" s="52">
        <f t="shared" si="104"/>
        <v>1</v>
      </c>
      <c r="KB132" s="15">
        <f t="shared" si="105"/>
        <v>7100</v>
      </c>
      <c r="KC132" s="15">
        <f t="shared" si="106"/>
        <v>35000</v>
      </c>
      <c r="KD132" s="20">
        <f t="shared" si="107"/>
        <v>4.929577464788732</v>
      </c>
      <c r="KE132" s="52">
        <f t="shared" si="108"/>
        <v>1</v>
      </c>
      <c r="KF132" s="15">
        <f t="shared" si="109"/>
        <v>4001</v>
      </c>
      <c r="KG132" s="15">
        <f t="shared" si="110"/>
        <v>35000</v>
      </c>
      <c r="KH132" s="21">
        <f t="shared" si="111"/>
        <v>8.7478130467383153</v>
      </c>
      <c r="KI132" s="52">
        <f t="shared" si="112"/>
        <v>1</v>
      </c>
      <c r="KJ132" s="15">
        <f t="shared" si="113"/>
        <v>3434</v>
      </c>
      <c r="KK132" s="15">
        <f t="shared" si="114"/>
        <v>35000</v>
      </c>
      <c r="KL132" s="19">
        <f t="shared" si="115"/>
        <v>10.19219569015725</v>
      </c>
      <c r="KM132" s="52">
        <f t="shared" si="116"/>
        <v>1</v>
      </c>
      <c r="KN132" s="22">
        <f t="shared" si="117"/>
        <v>625</v>
      </c>
      <c r="KO132" s="22">
        <f t="shared" si="118"/>
        <v>3125</v>
      </c>
      <c r="KP132" s="19">
        <f t="shared" si="119"/>
        <v>5</v>
      </c>
      <c r="KQ132" s="11" t="str">
        <f t="shared" si="120"/>
        <v>2. Sensitive</v>
      </c>
      <c r="KR132" s="11" t="str">
        <f t="shared" si="121"/>
        <v>2. Accommodating</v>
      </c>
      <c r="KS132" s="11" t="str">
        <f t="shared" si="122"/>
        <v>2. Sensitive</v>
      </c>
      <c r="KT132" s="11" t="str">
        <f t="shared" si="123"/>
        <v>It tested new ways for fighting poverty and measured results of innovation</v>
      </c>
      <c r="KU132" s="11" t="str">
        <f t="shared" si="124"/>
        <v>Little or no advocacy</v>
      </c>
      <c r="KV132" s="11" t="str">
        <f t="shared" si="125"/>
        <v>It linked and worked with strategic alliances and partners to take tested and effective solutions to scale</v>
      </c>
      <c r="KW132" s="11" t="str">
        <f t="shared" si="126"/>
        <v>Chad - PAIR-PPD : Projet d'Appui a l'Integration/Autonomisation des retournes Pour une Paix Durable</v>
      </c>
      <c r="KX132" s="11" t="str">
        <f t="shared" si="127"/>
        <v>PAIR-PPD : Projet d'Appui a l'Integration/Autonomisation des retournes Pour une Paix Durable</v>
      </c>
      <c r="KY132" s="11" t="str">
        <f t="shared" si="128"/>
        <v>Chad</v>
      </c>
      <c r="KZ132" s="12">
        <v>132</v>
      </c>
    </row>
    <row r="133" spans="1:312" x14ac:dyDescent="0.3">
      <c r="A133" s="11" t="s">
        <v>2536</v>
      </c>
      <c r="B133" s="11" t="s">
        <v>1596</v>
      </c>
      <c r="C133" s="11">
        <v>2853</v>
      </c>
      <c r="D133" s="11" t="s">
        <v>2771</v>
      </c>
      <c r="E133" s="24" t="str">
        <f t="shared" si="86"/>
        <v>Chad</v>
      </c>
      <c r="F133" s="11" t="s">
        <v>2594</v>
      </c>
      <c r="G133" s="11" t="s">
        <v>379</v>
      </c>
      <c r="I133" s="11" t="s">
        <v>384</v>
      </c>
      <c r="J133" s="278" t="s">
        <v>2772</v>
      </c>
      <c r="BD133" s="23">
        <v>42370</v>
      </c>
      <c r="BE133" s="23">
        <v>43465</v>
      </c>
      <c r="BG133" s="11" t="s">
        <v>947</v>
      </c>
      <c r="BH133" s="22">
        <v>4450558</v>
      </c>
      <c r="BI133" s="11" t="s">
        <v>2541</v>
      </c>
      <c r="BJ133" s="11" t="s">
        <v>2773</v>
      </c>
      <c r="BK133" s="11" t="s">
        <v>2598</v>
      </c>
      <c r="BL133" s="11" t="s">
        <v>2774</v>
      </c>
      <c r="BM133" s="11" t="s">
        <v>2775</v>
      </c>
      <c r="BN133" s="11" t="s">
        <v>2737</v>
      </c>
      <c r="BO133" s="12" t="s">
        <v>319</v>
      </c>
      <c r="BP133" s="12" t="s">
        <v>320</v>
      </c>
      <c r="BQ133" s="12" t="s">
        <v>319</v>
      </c>
      <c r="BR133" s="11" t="s">
        <v>2776</v>
      </c>
      <c r="BS133" s="11" t="s">
        <v>615</v>
      </c>
      <c r="BT133" s="11" t="s">
        <v>2777</v>
      </c>
      <c r="BU133" s="11" t="s">
        <v>2740</v>
      </c>
      <c r="BV133" s="22">
        <v>82713</v>
      </c>
      <c r="BW133" s="22">
        <v>567</v>
      </c>
      <c r="BX133" s="22">
        <v>83280</v>
      </c>
      <c r="BY133" s="22">
        <v>259834</v>
      </c>
      <c r="BZ133" s="22">
        <v>239846</v>
      </c>
      <c r="CA133" s="22">
        <v>499680</v>
      </c>
      <c r="CB133" s="15" t="s">
        <v>2778</v>
      </c>
      <c r="CL133" s="18"/>
      <c r="CP133" s="18"/>
      <c r="CT133" s="18"/>
      <c r="CX133" s="18"/>
      <c r="DB133" s="18"/>
      <c r="DF133" s="18"/>
      <c r="DJ133" s="18"/>
      <c r="DN133" s="18"/>
      <c r="DR133" s="18"/>
      <c r="DV133" s="18"/>
      <c r="DZ133" s="18"/>
      <c r="ED133" s="18"/>
      <c r="EI133" s="18"/>
      <c r="EK133" s="22">
        <v>21291</v>
      </c>
      <c r="EL133" s="22">
        <v>531</v>
      </c>
      <c r="EM133" s="22">
        <v>21822</v>
      </c>
      <c r="EN133" s="22">
        <v>65040</v>
      </c>
      <c r="EO133" s="22">
        <v>62490</v>
      </c>
      <c r="EP133" s="22">
        <v>127530</v>
      </c>
      <c r="EQ133" s="12" t="s">
        <v>319</v>
      </c>
      <c r="ES133" s="18"/>
      <c r="EU133" s="11" t="s">
        <v>319</v>
      </c>
      <c r="EW133" s="18"/>
      <c r="EY133" s="12" t="s">
        <v>319</v>
      </c>
      <c r="FA133" s="18"/>
      <c r="FC133" s="12" t="s">
        <v>319</v>
      </c>
      <c r="FE133" s="18"/>
      <c r="FG133" s="12" t="s">
        <v>319</v>
      </c>
      <c r="FI133" s="18"/>
      <c r="FK133" s="11" t="s">
        <v>319</v>
      </c>
      <c r="FM133" s="18"/>
      <c r="FO133" s="11" t="s">
        <v>319</v>
      </c>
      <c r="FQ133" s="18"/>
      <c r="FS133" s="11" t="s">
        <v>319</v>
      </c>
      <c r="FU133" s="18"/>
      <c r="FW133" s="11" t="s">
        <v>319</v>
      </c>
      <c r="FY133" s="18"/>
      <c r="GA133" s="11" t="s">
        <v>319</v>
      </c>
      <c r="GC133" s="18"/>
      <c r="GE133" s="11" t="s">
        <v>319</v>
      </c>
      <c r="GG133" s="18"/>
      <c r="GI133" s="11" t="s">
        <v>319</v>
      </c>
      <c r="GK133" s="18"/>
      <c r="GM133" s="11" t="s">
        <v>319</v>
      </c>
      <c r="GO133" s="18"/>
      <c r="GQ133" s="12" t="s">
        <v>320</v>
      </c>
      <c r="GR133" s="22">
        <v>21822</v>
      </c>
      <c r="GS133" s="18">
        <v>0.98</v>
      </c>
      <c r="GT133" s="22">
        <v>127530</v>
      </c>
      <c r="GU133" s="11" t="s">
        <v>319</v>
      </c>
      <c r="GW133" s="18"/>
      <c r="GY133" s="11" t="s">
        <v>319</v>
      </c>
      <c r="HA133" s="18"/>
      <c r="HD133" s="11" t="s">
        <v>319</v>
      </c>
      <c r="HF133" s="18"/>
      <c r="HH133" s="11" t="s">
        <v>320</v>
      </c>
      <c r="HI133" s="11" t="s">
        <v>544</v>
      </c>
      <c r="HJ133" s="11">
        <v>2016</v>
      </c>
      <c r="HK133" s="11" t="s">
        <v>320</v>
      </c>
      <c r="HL133" s="11" t="s">
        <v>320</v>
      </c>
      <c r="HM133" s="11" t="s">
        <v>544</v>
      </c>
      <c r="HN133" s="11">
        <v>2018</v>
      </c>
      <c r="HP133" s="11" t="s">
        <v>330</v>
      </c>
      <c r="HQ133" s="11" t="s">
        <v>319</v>
      </c>
      <c r="HR133" s="11" t="s">
        <v>320</v>
      </c>
      <c r="HS133" s="11" t="s">
        <v>320</v>
      </c>
      <c r="HT133" s="11" t="s">
        <v>320</v>
      </c>
      <c r="HU133" s="11" t="s">
        <v>320</v>
      </c>
      <c r="HV133" s="11" t="s">
        <v>320</v>
      </c>
      <c r="HW133" s="11" t="s">
        <v>320</v>
      </c>
      <c r="HX133" s="11" t="s">
        <v>320</v>
      </c>
      <c r="HZ133" s="11" t="s">
        <v>394</v>
      </c>
      <c r="IA133" s="11" t="s">
        <v>2779</v>
      </c>
      <c r="IB133" s="12" t="s">
        <v>396</v>
      </c>
      <c r="IC133" s="11" t="s">
        <v>2780</v>
      </c>
      <c r="ID133" s="12" t="s">
        <v>334</v>
      </c>
      <c r="IE133" s="11" t="s">
        <v>478</v>
      </c>
      <c r="IF133" s="11" t="s">
        <v>320</v>
      </c>
      <c r="IG133" s="11" t="s">
        <v>320</v>
      </c>
      <c r="IH133" s="11" t="s">
        <v>320</v>
      </c>
      <c r="II133" s="11" t="s">
        <v>320</v>
      </c>
      <c r="IJ133" s="12" t="str">
        <f t="shared" si="87"/>
        <v>4. Transformative</v>
      </c>
      <c r="IK133" s="12">
        <f t="shared" si="88"/>
        <v>4</v>
      </c>
      <c r="IL133" s="11" t="s">
        <v>621</v>
      </c>
      <c r="IM133" s="11" t="s">
        <v>320</v>
      </c>
      <c r="IN133" s="11" t="s">
        <v>320</v>
      </c>
      <c r="IO133" s="11" t="s">
        <v>320</v>
      </c>
      <c r="IP133" s="11" t="s">
        <v>320</v>
      </c>
      <c r="IQ133" s="12" t="str">
        <f t="shared" si="89"/>
        <v>4. Transformational</v>
      </c>
      <c r="IR133" s="12">
        <f t="shared" si="90"/>
        <v>4</v>
      </c>
      <c r="IS133" s="11" t="s">
        <v>622</v>
      </c>
      <c r="IT133" s="11" t="s">
        <v>319</v>
      </c>
      <c r="IU133" s="11" t="s">
        <v>319</v>
      </c>
      <c r="IV133" s="11" t="s">
        <v>320</v>
      </c>
      <c r="IW133" s="11" t="str">
        <f t="shared" si="91"/>
        <v>3. Responsive</v>
      </c>
      <c r="IX133" s="12">
        <f t="shared" si="92"/>
        <v>1</v>
      </c>
      <c r="IY133" s="11" t="s">
        <v>419</v>
      </c>
      <c r="IZ133" s="11" t="s">
        <v>527</v>
      </c>
      <c r="JA133" s="11">
        <v>55</v>
      </c>
      <c r="JB133" s="12" t="s">
        <v>687</v>
      </c>
      <c r="JC133" s="11" t="s">
        <v>624</v>
      </c>
      <c r="JD133" s="11" t="s">
        <v>1113</v>
      </c>
      <c r="JE133" s="12" t="s">
        <v>340</v>
      </c>
      <c r="JF133" s="11" t="s">
        <v>2781</v>
      </c>
      <c r="JG133" s="11" t="s">
        <v>2782</v>
      </c>
      <c r="JH133" s="11" t="s">
        <v>2783</v>
      </c>
      <c r="JI133" s="11" t="s">
        <v>2784</v>
      </c>
      <c r="JJ133" s="11" t="s">
        <v>2785</v>
      </c>
      <c r="JK133" s="11" t="s">
        <v>2786</v>
      </c>
      <c r="JP133" s="15">
        <f t="shared" si="93"/>
        <v>21822</v>
      </c>
      <c r="JQ133" s="15">
        <f t="shared" si="94"/>
        <v>127530</v>
      </c>
      <c r="JR133" s="279">
        <f t="shared" si="95"/>
        <v>5.8441022821006321</v>
      </c>
      <c r="JS133" s="17">
        <f t="shared" si="96"/>
        <v>0.97566675831729444</v>
      </c>
      <c r="JT133" s="18">
        <f t="shared" si="97"/>
        <v>0.50999764761232647</v>
      </c>
      <c r="JU133" s="280">
        <f t="shared" si="98"/>
        <v>21291</v>
      </c>
      <c r="JV133" s="280">
        <f t="shared" si="99"/>
        <v>65040</v>
      </c>
      <c r="JW133" s="319" t="str">
        <f t="shared" si="100"/>
        <v/>
      </c>
      <c r="JX133" s="15">
        <f t="shared" si="101"/>
        <v>0</v>
      </c>
      <c r="JY133" s="15">
        <f t="shared" si="102"/>
        <v>0</v>
      </c>
      <c r="JZ133" s="19" t="str">
        <f t="shared" si="103"/>
        <v/>
      </c>
      <c r="KA133" s="52" t="str">
        <f t="shared" si="104"/>
        <v/>
      </c>
      <c r="KB133" s="15">
        <f t="shared" si="105"/>
        <v>0</v>
      </c>
      <c r="KC133" s="15">
        <f t="shared" si="106"/>
        <v>0</v>
      </c>
      <c r="KD133" s="20" t="str">
        <f t="shared" si="107"/>
        <v/>
      </c>
      <c r="KE133" s="52">
        <f t="shared" si="108"/>
        <v>1</v>
      </c>
      <c r="KF133" s="15">
        <f t="shared" si="109"/>
        <v>21822</v>
      </c>
      <c r="KG133" s="15">
        <f t="shared" si="110"/>
        <v>127530</v>
      </c>
      <c r="KH133" s="21">
        <f t="shared" si="111"/>
        <v>5.8441022821006321</v>
      </c>
      <c r="KI133" s="52" t="str">
        <f t="shared" si="112"/>
        <v/>
      </c>
      <c r="KJ133" s="15">
        <f t="shared" si="113"/>
        <v>0</v>
      </c>
      <c r="KK133" s="15">
        <f t="shared" si="114"/>
        <v>0</v>
      </c>
      <c r="KL133" s="19" t="str">
        <f t="shared" si="115"/>
        <v/>
      </c>
      <c r="KM133" s="52" t="str">
        <f t="shared" si="116"/>
        <v/>
      </c>
      <c r="KN133" s="22">
        <f t="shared" si="117"/>
        <v>0</v>
      </c>
      <c r="KO133" s="22">
        <f t="shared" si="118"/>
        <v>0</v>
      </c>
      <c r="KP133" s="19" t="str">
        <f t="shared" si="119"/>
        <v/>
      </c>
      <c r="KQ133" s="11" t="str">
        <f t="shared" si="120"/>
        <v>4. Transformative</v>
      </c>
      <c r="KR133" s="11" t="str">
        <f t="shared" si="121"/>
        <v>4. Transformational</v>
      </c>
      <c r="KS133" s="11" t="str">
        <f t="shared" si="122"/>
        <v>3. Responsive</v>
      </c>
      <c r="KT133" s="11" t="str">
        <f t="shared" si="123"/>
        <v>It tested new ways for fighting poverty, but did not measure results of innovation</v>
      </c>
      <c r="KU133" s="11" t="str">
        <f t="shared" si="124"/>
        <v>Moderate advocacy</v>
      </c>
      <c r="KV133" s="11" t="str">
        <f t="shared" si="125"/>
        <v>It linked and worked with strategic alliances and partners to take tested and effective solutions to scale</v>
      </c>
      <c r="KW133" s="11" t="str">
        <f t="shared" si="126"/>
        <v>Chad - Projet d'appui à la planification familiale et aux soins après avortement</v>
      </c>
      <c r="KX133" s="11" t="str">
        <f t="shared" si="127"/>
        <v>Projet d'appui à la planification familiale et aux soins après avortement</v>
      </c>
      <c r="KY133" s="11" t="str">
        <f t="shared" si="128"/>
        <v>Chad</v>
      </c>
      <c r="KZ133" s="12">
        <v>133</v>
      </c>
    </row>
    <row r="134" spans="1:312" x14ac:dyDescent="0.3">
      <c r="A134" s="11" t="s">
        <v>2536</v>
      </c>
      <c r="B134" s="11" t="s">
        <v>1596</v>
      </c>
      <c r="C134" s="11">
        <v>2854</v>
      </c>
      <c r="D134" s="11" t="s">
        <v>2643</v>
      </c>
      <c r="E134" s="24" t="str">
        <f t="shared" si="86"/>
        <v>Chad</v>
      </c>
      <c r="F134" s="11" t="s">
        <v>2644</v>
      </c>
      <c r="G134" s="11" t="s">
        <v>714</v>
      </c>
      <c r="H134" s="11" t="s">
        <v>310</v>
      </c>
      <c r="I134" s="11" t="s">
        <v>2399</v>
      </c>
      <c r="J134" s="278" t="s">
        <v>14598</v>
      </c>
      <c r="K134" s="11" t="s">
        <v>2645</v>
      </c>
      <c r="L134" s="11" t="s">
        <v>714</v>
      </c>
      <c r="M134" s="11" t="s">
        <v>310</v>
      </c>
      <c r="N134" s="11" t="s">
        <v>2399</v>
      </c>
      <c r="O134" s="11" t="s">
        <v>14605</v>
      </c>
      <c r="BD134" s="23">
        <v>42341</v>
      </c>
      <c r="BE134" s="23">
        <v>42888</v>
      </c>
      <c r="BG134" s="11" t="s">
        <v>749</v>
      </c>
      <c r="BH134" s="22">
        <v>679021</v>
      </c>
      <c r="BI134" s="11" t="s">
        <v>2541</v>
      </c>
      <c r="BJ134" s="11" t="s">
        <v>2597</v>
      </c>
      <c r="BK134" s="11" t="s">
        <v>2598</v>
      </c>
      <c r="BL134" s="11" t="s">
        <v>2646</v>
      </c>
      <c r="BM134" s="11" t="s">
        <v>2647</v>
      </c>
      <c r="BN134" s="11" t="s">
        <v>2648</v>
      </c>
      <c r="BO134" s="12" t="s">
        <v>319</v>
      </c>
      <c r="BP134" s="12" t="s">
        <v>320</v>
      </c>
      <c r="BQ134" s="12" t="s">
        <v>319</v>
      </c>
      <c r="BR134" s="11" t="s">
        <v>2649</v>
      </c>
      <c r="BS134" s="11" t="s">
        <v>1535</v>
      </c>
      <c r="BT134" s="11" t="s">
        <v>2650</v>
      </c>
      <c r="BU134" s="11" t="s">
        <v>2651</v>
      </c>
      <c r="BV134" s="22">
        <v>1491</v>
      </c>
      <c r="BW134" s="22">
        <v>759</v>
      </c>
      <c r="BX134" s="22">
        <v>2250</v>
      </c>
      <c r="BY134" s="22">
        <v>4853</v>
      </c>
      <c r="BZ134" s="22">
        <v>4879</v>
      </c>
      <c r="CA134" s="22">
        <v>9732</v>
      </c>
      <c r="CL134" s="18"/>
      <c r="CP134" s="18"/>
      <c r="CT134" s="18"/>
      <c r="CX134" s="18"/>
      <c r="DB134" s="18"/>
      <c r="DF134" s="18"/>
      <c r="DJ134" s="18"/>
      <c r="DN134" s="18"/>
      <c r="DR134" s="18"/>
      <c r="DV134" s="18"/>
      <c r="DZ134" s="18"/>
      <c r="ED134" s="18"/>
      <c r="EI134" s="18"/>
      <c r="EK134" s="22">
        <v>1466</v>
      </c>
      <c r="EL134" s="22">
        <v>784</v>
      </c>
      <c r="EM134" s="22">
        <v>2250</v>
      </c>
      <c r="EN134" s="22">
        <v>7330</v>
      </c>
      <c r="EO134" s="22">
        <v>3920</v>
      </c>
      <c r="EP134" s="22">
        <v>11250</v>
      </c>
      <c r="EQ134" s="12" t="s">
        <v>320</v>
      </c>
      <c r="ER134" s="22">
        <v>1500</v>
      </c>
      <c r="ES134" s="18">
        <v>0.55600000000000005</v>
      </c>
      <c r="ET134" s="22">
        <v>7500</v>
      </c>
      <c r="EW134" s="18"/>
      <c r="FA134" s="18"/>
      <c r="FE134" s="18"/>
      <c r="FG134" s="12" t="s">
        <v>319</v>
      </c>
      <c r="FI134" s="18"/>
      <c r="FM134" s="18"/>
      <c r="FQ134" s="18"/>
      <c r="FU134" s="18"/>
      <c r="FY134" s="18"/>
      <c r="GC134" s="18"/>
      <c r="GG134" s="18"/>
      <c r="GK134" s="18"/>
      <c r="GO134" s="18"/>
      <c r="GS134" s="18"/>
      <c r="GW134" s="18"/>
      <c r="GY134" s="11" t="s">
        <v>320</v>
      </c>
      <c r="GZ134" s="22">
        <v>750</v>
      </c>
      <c r="HA134" s="18">
        <v>1</v>
      </c>
      <c r="HB134" s="22">
        <v>3750</v>
      </c>
      <c r="HF134" s="18"/>
      <c r="HH134" s="11" t="s">
        <v>320</v>
      </c>
      <c r="HI134" s="11" t="s">
        <v>431</v>
      </c>
      <c r="HJ134" s="11">
        <v>2017</v>
      </c>
      <c r="HK134" s="11" t="s">
        <v>320</v>
      </c>
      <c r="HL134" s="11" t="s">
        <v>319</v>
      </c>
      <c r="HP134" s="11" t="s">
        <v>330</v>
      </c>
      <c r="HT134" s="11" t="s">
        <v>320</v>
      </c>
      <c r="HU134" s="11" t="s">
        <v>320</v>
      </c>
      <c r="HV134" s="11" t="s">
        <v>319</v>
      </c>
      <c r="HW134" s="11" t="s">
        <v>320</v>
      </c>
      <c r="HZ134" s="12" t="s">
        <v>331</v>
      </c>
      <c r="IA134" s="11" t="s">
        <v>2652</v>
      </c>
      <c r="IB134" s="12" t="s">
        <v>396</v>
      </c>
      <c r="IC134" s="11" t="s">
        <v>2653</v>
      </c>
      <c r="ID134" s="11" t="s">
        <v>364</v>
      </c>
      <c r="IE134" s="11" t="s">
        <v>335</v>
      </c>
      <c r="IF134" s="11" t="s">
        <v>320</v>
      </c>
      <c r="IG134" s="11" t="s">
        <v>320</v>
      </c>
      <c r="IH134" s="11" t="s">
        <v>320</v>
      </c>
      <c r="II134" s="11" t="s">
        <v>320</v>
      </c>
      <c r="IJ134" s="12" t="str">
        <f t="shared" si="87"/>
        <v>2. Sensitive</v>
      </c>
      <c r="IK134" s="12">
        <f t="shared" si="88"/>
        <v>4</v>
      </c>
      <c r="IL134" s="11" t="s">
        <v>336</v>
      </c>
      <c r="IM134" s="11" t="s">
        <v>320</v>
      </c>
      <c r="IN134" s="11" t="s">
        <v>320</v>
      </c>
      <c r="IO134" s="11" t="s">
        <v>320</v>
      </c>
      <c r="IP134" s="11" t="s">
        <v>320</v>
      </c>
      <c r="IQ134" s="12" t="str">
        <f t="shared" si="89"/>
        <v>2. Accommodating</v>
      </c>
      <c r="IR134" s="12">
        <f t="shared" si="90"/>
        <v>4</v>
      </c>
      <c r="IS134" s="11" t="s">
        <v>622</v>
      </c>
      <c r="IT134" s="11" t="s">
        <v>319</v>
      </c>
      <c r="IU134" s="11" t="s">
        <v>320</v>
      </c>
      <c r="IV134" s="11" t="s">
        <v>319</v>
      </c>
      <c r="IW134" s="11" t="str">
        <f t="shared" si="91"/>
        <v>3. Responsive</v>
      </c>
      <c r="IX134" s="12">
        <f t="shared" si="92"/>
        <v>1</v>
      </c>
      <c r="IY134" s="11" t="s">
        <v>338</v>
      </c>
      <c r="IZ134" s="12" t="s">
        <v>457</v>
      </c>
      <c r="JA134" s="11">
        <v>2</v>
      </c>
      <c r="JB134" s="12" t="s">
        <v>831</v>
      </c>
      <c r="JC134" s="12" t="s">
        <v>623</v>
      </c>
      <c r="JE134" s="12" t="s">
        <v>340</v>
      </c>
      <c r="JF134" s="11" t="s">
        <v>2654</v>
      </c>
      <c r="JH134" s="11" t="s">
        <v>2655</v>
      </c>
      <c r="JI134" s="11" t="s">
        <v>2656</v>
      </c>
      <c r="JK134" s="11" t="s">
        <v>2657</v>
      </c>
      <c r="JL134" s="11" t="s">
        <v>2658</v>
      </c>
      <c r="JM134" s="11" t="s">
        <v>2659</v>
      </c>
      <c r="JP134" s="15">
        <f t="shared" si="93"/>
        <v>2250</v>
      </c>
      <c r="JQ134" s="15">
        <f t="shared" si="94"/>
        <v>11250</v>
      </c>
      <c r="JR134" s="279">
        <f t="shared" si="95"/>
        <v>5</v>
      </c>
      <c r="JS134" s="17">
        <f t="shared" si="96"/>
        <v>0.65155555555555555</v>
      </c>
      <c r="JT134" s="18">
        <f t="shared" si="97"/>
        <v>0.65155555555555555</v>
      </c>
      <c r="JU134" s="280">
        <f t="shared" si="98"/>
        <v>1466</v>
      </c>
      <c r="JV134" s="280">
        <f t="shared" si="99"/>
        <v>7330</v>
      </c>
      <c r="JW134" s="319" t="str">
        <f t="shared" si="100"/>
        <v/>
      </c>
      <c r="JX134" s="15">
        <f t="shared" si="101"/>
        <v>0</v>
      </c>
      <c r="JY134" s="15">
        <f t="shared" si="102"/>
        <v>0</v>
      </c>
      <c r="JZ134" s="19" t="str">
        <f t="shared" si="103"/>
        <v/>
      </c>
      <c r="KA134" s="52">
        <f t="shared" si="104"/>
        <v>1</v>
      </c>
      <c r="KB134" s="15">
        <f t="shared" si="105"/>
        <v>1500</v>
      </c>
      <c r="KC134" s="15">
        <f t="shared" si="106"/>
        <v>7500</v>
      </c>
      <c r="KD134" s="20">
        <f t="shared" si="107"/>
        <v>5</v>
      </c>
      <c r="KE134" s="52" t="str">
        <f t="shared" si="108"/>
        <v/>
      </c>
      <c r="KF134" s="15">
        <f t="shared" si="109"/>
        <v>0</v>
      </c>
      <c r="KG134" s="15">
        <f t="shared" si="110"/>
        <v>0</v>
      </c>
      <c r="KH134" s="21" t="str">
        <f t="shared" si="111"/>
        <v/>
      </c>
      <c r="KI134" s="52" t="str">
        <f t="shared" si="112"/>
        <v/>
      </c>
      <c r="KJ134" s="15">
        <f t="shared" si="113"/>
        <v>0</v>
      </c>
      <c r="KK134" s="15">
        <f t="shared" si="114"/>
        <v>0</v>
      </c>
      <c r="KL134" s="19" t="str">
        <f t="shared" si="115"/>
        <v/>
      </c>
      <c r="KM134" s="52">
        <f t="shared" si="116"/>
        <v>1</v>
      </c>
      <c r="KN134" s="22">
        <f t="shared" si="117"/>
        <v>750</v>
      </c>
      <c r="KO134" s="22">
        <f t="shared" si="118"/>
        <v>3750</v>
      </c>
      <c r="KP134" s="19">
        <f t="shared" si="119"/>
        <v>5</v>
      </c>
      <c r="KQ134" s="11" t="str">
        <f t="shared" si="120"/>
        <v>2. Sensitive</v>
      </c>
      <c r="KR134" s="11" t="str">
        <f t="shared" si="121"/>
        <v>2. Accommodating</v>
      </c>
      <c r="KS134" s="11" t="str">
        <f t="shared" si="122"/>
        <v>3. Responsive</v>
      </c>
      <c r="KT134" s="11" t="str">
        <f t="shared" si="123"/>
        <v>It tested new ways for fighting poverty and measured results of innovation</v>
      </c>
      <c r="KU134" s="11" t="str">
        <f t="shared" si="124"/>
        <v>Moderate advocacy</v>
      </c>
      <c r="KV134" s="11" t="str">
        <f t="shared" si="125"/>
        <v>It linked and worked with strategic alliances and partners to take tested and effective solutions to scale</v>
      </c>
      <c r="KW134" s="11" t="str">
        <f t="shared" si="126"/>
        <v>Chad - PROJET D'APPUI A LA RELANCE ECONOMIQUE AU TCHAD/RENFORCEMENT DE CAPACITES DES MENAGES TRES VULNERABLES VICTIMES DE LA CRISE DANS LA REGION DU LAC TCHAD</v>
      </c>
      <c r="KX134" s="11" t="str">
        <f t="shared" si="127"/>
        <v>PROJET D'APPUI A LA RELANCE ECONOMIQUE AU TCHAD/RENFORCEMENT DE CAPACITES DES MENAGES TRES VULNERABLES VICTIMES DE LA CRISE DANS LA REGION DU LAC TCHAD</v>
      </c>
      <c r="KY134" s="11" t="str">
        <f t="shared" si="128"/>
        <v>Chad</v>
      </c>
      <c r="KZ134" s="12">
        <v>134</v>
      </c>
    </row>
    <row r="135" spans="1:312" x14ac:dyDescent="0.3">
      <c r="A135" s="11" t="s">
        <v>2536</v>
      </c>
      <c r="B135" s="11" t="s">
        <v>1596</v>
      </c>
      <c r="C135" s="11">
        <v>2841</v>
      </c>
      <c r="D135" s="11" t="s">
        <v>2660</v>
      </c>
      <c r="E135" s="24" t="str">
        <f t="shared" si="86"/>
        <v>Chad</v>
      </c>
      <c r="F135" s="11" t="s">
        <v>2661</v>
      </c>
      <c r="G135" s="11" t="s">
        <v>714</v>
      </c>
      <c r="H135" s="11" t="s">
        <v>380</v>
      </c>
      <c r="I135" s="11" t="s">
        <v>517</v>
      </c>
      <c r="J135" s="278" t="s">
        <v>14578</v>
      </c>
      <c r="BD135" s="23">
        <v>41982</v>
      </c>
      <c r="BE135" s="23">
        <v>42712</v>
      </c>
      <c r="BF135" s="23">
        <v>42825</v>
      </c>
      <c r="BG135" s="11" t="s">
        <v>350</v>
      </c>
      <c r="BI135" s="11" t="s">
        <v>2662</v>
      </c>
      <c r="BJ135" s="11" t="s">
        <v>2663</v>
      </c>
      <c r="BK135" s="11" t="s">
        <v>2598</v>
      </c>
      <c r="BL135" s="11" t="s">
        <v>2664</v>
      </c>
      <c r="BM135" s="11" t="s">
        <v>2665</v>
      </c>
      <c r="BN135" s="11" t="s">
        <v>2540</v>
      </c>
      <c r="BO135" s="12" t="s">
        <v>319</v>
      </c>
      <c r="BP135" s="12" t="s">
        <v>320</v>
      </c>
      <c r="BQ135" s="12" t="s">
        <v>319</v>
      </c>
      <c r="BR135" s="11" t="s">
        <v>2666</v>
      </c>
      <c r="BS135" s="11" t="s">
        <v>1535</v>
      </c>
      <c r="BT135" s="11" t="s">
        <v>2667</v>
      </c>
      <c r="BU135" s="11" t="s">
        <v>2668</v>
      </c>
      <c r="BV135" s="22">
        <v>330</v>
      </c>
      <c r="BW135" s="22">
        <v>110</v>
      </c>
      <c r="BX135" s="22">
        <v>440</v>
      </c>
      <c r="BY135" s="22">
        <v>8955</v>
      </c>
      <c r="BZ135" s="22">
        <v>6045</v>
      </c>
      <c r="CA135" s="22">
        <v>15000</v>
      </c>
      <c r="CB135" s="15" t="s">
        <v>2669</v>
      </c>
      <c r="CL135" s="18"/>
      <c r="CP135" s="18"/>
      <c r="CT135" s="18"/>
      <c r="CX135" s="18"/>
      <c r="DB135" s="18"/>
      <c r="DF135" s="18"/>
      <c r="DJ135" s="18"/>
      <c r="DN135" s="18"/>
      <c r="DR135" s="18"/>
      <c r="DV135" s="18"/>
      <c r="DZ135" s="18"/>
      <c r="ED135" s="18"/>
      <c r="EI135" s="18"/>
      <c r="EK135" s="22">
        <v>375</v>
      </c>
      <c r="EL135" s="22">
        <v>110</v>
      </c>
      <c r="EM135" s="22">
        <v>485</v>
      </c>
      <c r="EN135" s="22">
        <v>8955</v>
      </c>
      <c r="EO135" s="22">
        <v>6045</v>
      </c>
      <c r="EP135" s="22">
        <v>15000</v>
      </c>
      <c r="EQ135" s="12" t="s">
        <v>320</v>
      </c>
      <c r="ER135" s="22">
        <v>485</v>
      </c>
      <c r="ES135" s="18"/>
      <c r="ET135" s="22">
        <v>15000</v>
      </c>
      <c r="EW135" s="18"/>
      <c r="FA135" s="18"/>
      <c r="FE135" s="18"/>
      <c r="FI135" s="18"/>
      <c r="FM135" s="18"/>
      <c r="FO135" s="12" t="s">
        <v>320</v>
      </c>
      <c r="FP135" s="22">
        <v>375</v>
      </c>
      <c r="FQ135" s="18">
        <v>1</v>
      </c>
      <c r="FR135" s="22">
        <v>15000</v>
      </c>
      <c r="FU135" s="18"/>
      <c r="FW135" s="11" t="s">
        <v>320</v>
      </c>
      <c r="FX135" s="22">
        <v>485</v>
      </c>
      <c r="FY135" s="18">
        <v>0.75</v>
      </c>
      <c r="FZ135" s="22">
        <v>15000</v>
      </c>
      <c r="GC135" s="18"/>
      <c r="GG135" s="18"/>
      <c r="GK135" s="18"/>
      <c r="GO135" s="18"/>
      <c r="GS135" s="18"/>
      <c r="GW135" s="18"/>
      <c r="GY135" s="11" t="s">
        <v>320</v>
      </c>
      <c r="GZ135" s="22">
        <v>485</v>
      </c>
      <c r="HA135" s="18">
        <v>0.75</v>
      </c>
      <c r="HB135" s="22">
        <v>15000</v>
      </c>
      <c r="HF135" s="18"/>
      <c r="HH135" s="11" t="s">
        <v>320</v>
      </c>
      <c r="HI135" s="11" t="s">
        <v>1175</v>
      </c>
      <c r="HJ135" s="11">
        <v>2017</v>
      </c>
      <c r="HK135" s="11" t="s">
        <v>320</v>
      </c>
      <c r="HL135" s="11" t="s">
        <v>319</v>
      </c>
      <c r="HP135" s="11" t="s">
        <v>330</v>
      </c>
      <c r="HQ135" s="11" t="s">
        <v>319</v>
      </c>
      <c r="HR135" s="11" t="s">
        <v>320</v>
      </c>
      <c r="HS135" s="11" t="s">
        <v>320</v>
      </c>
      <c r="HT135" s="11" t="s">
        <v>320</v>
      </c>
      <c r="HU135" s="11" t="s">
        <v>319</v>
      </c>
      <c r="HV135" s="11" t="s">
        <v>319</v>
      </c>
      <c r="HW135" s="11" t="s">
        <v>319</v>
      </c>
      <c r="HX135" s="11" t="s">
        <v>320</v>
      </c>
      <c r="HZ135" s="12" t="s">
        <v>331</v>
      </c>
      <c r="IA135" s="11" t="s">
        <v>2670</v>
      </c>
      <c r="IB135" s="12" t="s">
        <v>396</v>
      </c>
      <c r="ID135" s="12" t="s">
        <v>334</v>
      </c>
      <c r="IE135" s="11" t="s">
        <v>335</v>
      </c>
      <c r="IF135" s="11" t="s">
        <v>320</v>
      </c>
      <c r="IG135" s="11" t="s">
        <v>320</v>
      </c>
      <c r="IH135" s="11" t="s">
        <v>320</v>
      </c>
      <c r="II135" s="11" t="s">
        <v>320</v>
      </c>
      <c r="IJ135" s="12" t="str">
        <f t="shared" si="87"/>
        <v>2. Sensitive</v>
      </c>
      <c r="IK135" s="12">
        <f t="shared" si="88"/>
        <v>4</v>
      </c>
      <c r="IL135" s="11" t="s">
        <v>336</v>
      </c>
      <c r="IM135" s="11" t="s">
        <v>320</v>
      </c>
      <c r="IN135" s="11" t="s">
        <v>320</v>
      </c>
      <c r="IO135" s="11" t="s">
        <v>320</v>
      </c>
      <c r="IP135" s="11" t="s">
        <v>319</v>
      </c>
      <c r="IQ135" s="12" t="str">
        <f t="shared" si="89"/>
        <v>2. Accommodating</v>
      </c>
      <c r="IR135" s="12">
        <f t="shared" si="90"/>
        <v>3</v>
      </c>
      <c r="IS135" s="11" t="s">
        <v>337</v>
      </c>
      <c r="IT135" s="11" t="s">
        <v>320</v>
      </c>
      <c r="IU135" s="11" t="s">
        <v>320</v>
      </c>
      <c r="IV135" s="11" t="s">
        <v>319</v>
      </c>
      <c r="IW135" s="11" t="str">
        <f t="shared" si="91"/>
        <v>1. Neutral</v>
      </c>
      <c r="IX135" s="12">
        <f t="shared" si="92"/>
        <v>2</v>
      </c>
      <c r="IY135" s="11" t="s">
        <v>419</v>
      </c>
      <c r="IZ135" s="12" t="s">
        <v>457</v>
      </c>
      <c r="JA135" s="11">
        <v>3</v>
      </c>
      <c r="JB135" s="11" t="s">
        <v>433</v>
      </c>
      <c r="JC135" s="11" t="s">
        <v>687</v>
      </c>
      <c r="JD135" s="11" t="s">
        <v>624</v>
      </c>
      <c r="JI135" s="11" t="s">
        <v>2671</v>
      </c>
      <c r="JJ135" s="11" t="s">
        <v>2672</v>
      </c>
      <c r="JP135" s="15">
        <f t="shared" si="93"/>
        <v>485</v>
      </c>
      <c r="JQ135" s="15">
        <f t="shared" si="94"/>
        <v>15000</v>
      </c>
      <c r="JR135" s="279">
        <f t="shared" si="95"/>
        <v>30.927835051546392</v>
      </c>
      <c r="JS135" s="17">
        <f t="shared" si="96"/>
        <v>0.77319587628865982</v>
      </c>
      <c r="JT135" s="18">
        <f t="shared" si="97"/>
        <v>0.59699999999999998</v>
      </c>
      <c r="JU135" s="280">
        <f t="shared" si="98"/>
        <v>375</v>
      </c>
      <c r="JV135" s="280">
        <f t="shared" si="99"/>
        <v>8955</v>
      </c>
      <c r="JW135" s="319" t="str">
        <f t="shared" si="100"/>
        <v/>
      </c>
      <c r="JX135" s="15">
        <f t="shared" si="101"/>
        <v>0</v>
      </c>
      <c r="JY135" s="15">
        <f t="shared" si="102"/>
        <v>0</v>
      </c>
      <c r="JZ135" s="19" t="str">
        <f t="shared" si="103"/>
        <v/>
      </c>
      <c r="KA135" s="52">
        <f t="shared" si="104"/>
        <v>1</v>
      </c>
      <c r="KB135" s="15">
        <f t="shared" si="105"/>
        <v>485</v>
      </c>
      <c r="KC135" s="15">
        <f t="shared" si="106"/>
        <v>15000</v>
      </c>
      <c r="KD135" s="20">
        <f t="shared" si="107"/>
        <v>30.927835051546392</v>
      </c>
      <c r="KE135" s="52" t="str">
        <f t="shared" si="108"/>
        <v/>
      </c>
      <c r="KF135" s="15">
        <f t="shared" si="109"/>
        <v>0</v>
      </c>
      <c r="KG135" s="15">
        <f t="shared" si="110"/>
        <v>0</v>
      </c>
      <c r="KH135" s="21" t="str">
        <f t="shared" si="111"/>
        <v/>
      </c>
      <c r="KI135" s="52" t="str">
        <f t="shared" si="112"/>
        <v/>
      </c>
      <c r="KJ135" s="15">
        <f t="shared" si="113"/>
        <v>0</v>
      </c>
      <c r="KK135" s="15">
        <f t="shared" si="114"/>
        <v>0</v>
      </c>
      <c r="KL135" s="19" t="str">
        <f t="shared" si="115"/>
        <v/>
      </c>
      <c r="KM135" s="52">
        <f t="shared" si="116"/>
        <v>1</v>
      </c>
      <c r="KN135" s="22">
        <f t="shared" si="117"/>
        <v>485</v>
      </c>
      <c r="KO135" s="22">
        <f t="shared" si="118"/>
        <v>15000</v>
      </c>
      <c r="KP135" s="19">
        <f t="shared" si="119"/>
        <v>30.927835051546392</v>
      </c>
      <c r="KQ135" s="11" t="str">
        <f t="shared" si="120"/>
        <v>2. Sensitive</v>
      </c>
      <c r="KR135" s="11" t="str">
        <f t="shared" si="121"/>
        <v>2. Accommodating</v>
      </c>
      <c r="KS135" s="11" t="str">
        <f t="shared" si="122"/>
        <v>1. Neutral</v>
      </c>
      <c r="KT135" s="11" t="str">
        <f t="shared" si="123"/>
        <v>It tested new ways for fighting poverty and measured results of innovation</v>
      </c>
      <c r="KU135" s="11" t="str">
        <f t="shared" si="124"/>
        <v>Moderate advocacy</v>
      </c>
      <c r="KV135" s="11" t="str">
        <f t="shared" si="125"/>
        <v>It linked and worked with strategic alliances and partners to take tested and effective solutions to scale</v>
      </c>
      <c r="KW135" s="11" t="str">
        <f t="shared" si="126"/>
        <v>Chad - Projet d'appui à la sécurité des conditions de vie et moyens d'existence des femmes des groupements ruraux le long de l'axe butimé de la route Sarh-Kyabé</v>
      </c>
      <c r="KX135" s="11" t="str">
        <f t="shared" si="127"/>
        <v>Projet d'appui à la sécurité des conditions de vie et moyens d'existence des femmes des groupements ruraux le long de l'axe butimé de la route Sarh-Kyabé</v>
      </c>
      <c r="KY135" s="11" t="str">
        <f t="shared" si="128"/>
        <v>Chad</v>
      </c>
      <c r="KZ135" s="12">
        <v>135</v>
      </c>
    </row>
    <row r="136" spans="1:312" x14ac:dyDescent="0.3">
      <c r="A136" s="11" t="s">
        <v>2536</v>
      </c>
      <c r="B136" s="11" t="s">
        <v>1596</v>
      </c>
      <c r="C136" s="11">
        <v>2856</v>
      </c>
      <c r="D136" s="11" t="s">
        <v>2673</v>
      </c>
      <c r="E136" s="24" t="str">
        <f t="shared" si="86"/>
        <v>Chad</v>
      </c>
      <c r="F136" s="11" t="s">
        <v>2674</v>
      </c>
      <c r="G136" s="11" t="s">
        <v>714</v>
      </c>
      <c r="H136" s="11" t="s">
        <v>380</v>
      </c>
      <c r="I136" s="11" t="s">
        <v>907</v>
      </c>
      <c r="J136" s="278" t="s">
        <v>5183</v>
      </c>
      <c r="BD136" s="23">
        <v>42430</v>
      </c>
      <c r="BE136" s="23">
        <v>42794</v>
      </c>
      <c r="BF136" s="23">
        <v>43159</v>
      </c>
      <c r="BG136" s="11" t="s">
        <v>908</v>
      </c>
      <c r="BH136" s="22">
        <v>2062770</v>
      </c>
      <c r="BI136" s="11" t="s">
        <v>2662</v>
      </c>
      <c r="BJ136" s="11" t="s">
        <v>2675</v>
      </c>
      <c r="BK136" s="11" t="s">
        <v>2598</v>
      </c>
      <c r="BL136" s="11" t="s">
        <v>2676</v>
      </c>
      <c r="BM136" s="11" t="s">
        <v>2677</v>
      </c>
      <c r="BN136" s="11" t="s">
        <v>2648</v>
      </c>
      <c r="BO136" s="11" t="s">
        <v>320</v>
      </c>
      <c r="BP136" s="11" t="s">
        <v>319</v>
      </c>
      <c r="BQ136" s="11" t="s">
        <v>319</v>
      </c>
      <c r="BR136" s="11" t="s">
        <v>2678</v>
      </c>
      <c r="BS136" s="11" t="s">
        <v>357</v>
      </c>
      <c r="BT136" s="11" t="s">
        <v>2679</v>
      </c>
      <c r="BU136" s="11" t="s">
        <v>2680</v>
      </c>
      <c r="BV136" s="22">
        <v>14870</v>
      </c>
      <c r="BW136" s="22">
        <v>13605</v>
      </c>
      <c r="BX136" s="22">
        <v>28475</v>
      </c>
      <c r="BY136" s="22">
        <v>19214</v>
      </c>
      <c r="BZ136" s="22">
        <v>18416</v>
      </c>
      <c r="CA136" s="22">
        <v>37630</v>
      </c>
      <c r="CB136" s="15" t="s">
        <v>2681</v>
      </c>
      <c r="CD136" s="22">
        <v>14704</v>
      </c>
      <c r="CE136" s="22">
        <v>13371</v>
      </c>
      <c r="CF136" s="22">
        <v>28075</v>
      </c>
      <c r="CG136" s="22">
        <v>17786</v>
      </c>
      <c r="CH136" s="22">
        <v>17089</v>
      </c>
      <c r="CI136" s="22">
        <v>34875</v>
      </c>
      <c r="CL136" s="18"/>
      <c r="CN136" s="11" t="s">
        <v>320</v>
      </c>
      <c r="CO136" s="22">
        <v>26375</v>
      </c>
      <c r="CP136" s="18">
        <v>0.51</v>
      </c>
      <c r="CQ136" s="22">
        <v>26375</v>
      </c>
      <c r="CT136" s="18"/>
      <c r="CV136" s="12" t="s">
        <v>320</v>
      </c>
      <c r="CW136" s="22">
        <v>26375</v>
      </c>
      <c r="CX136" s="18">
        <v>0.51</v>
      </c>
      <c r="CY136" s="22">
        <v>26375</v>
      </c>
      <c r="DB136" s="18"/>
      <c r="DF136" s="18"/>
      <c r="DJ136" s="18"/>
      <c r="DL136" s="11" t="s">
        <v>320</v>
      </c>
      <c r="DM136" s="22">
        <v>1700</v>
      </c>
      <c r="DN136" s="18">
        <v>0.73699999999999999</v>
      </c>
      <c r="DO136" s="22">
        <v>8500</v>
      </c>
      <c r="DR136" s="18"/>
      <c r="DV136" s="18"/>
      <c r="DZ136" s="18"/>
      <c r="ED136" s="18"/>
      <c r="EI136" s="18"/>
      <c r="ES136" s="18"/>
      <c r="EW136" s="18"/>
      <c r="FA136" s="18"/>
      <c r="FE136" s="18"/>
      <c r="FI136" s="18"/>
      <c r="FM136" s="18"/>
      <c r="FQ136" s="18"/>
      <c r="FU136" s="18"/>
      <c r="FY136" s="18"/>
      <c r="GC136" s="18"/>
      <c r="GG136" s="18"/>
      <c r="GK136" s="18"/>
      <c r="GO136" s="18"/>
      <c r="GS136" s="18"/>
      <c r="GW136" s="18"/>
      <c r="HA136" s="18"/>
      <c r="HF136" s="18"/>
      <c r="HH136" s="11" t="s">
        <v>320</v>
      </c>
      <c r="HI136" s="11" t="s">
        <v>1175</v>
      </c>
      <c r="HJ136" s="11">
        <v>2017</v>
      </c>
      <c r="HK136" s="11" t="s">
        <v>320</v>
      </c>
      <c r="HL136" s="11" t="s">
        <v>320</v>
      </c>
      <c r="HM136" s="11" t="s">
        <v>560</v>
      </c>
      <c r="HN136" s="11">
        <v>2018</v>
      </c>
      <c r="HO136" s="11" t="s">
        <v>2682</v>
      </c>
      <c r="HP136" s="11" t="s">
        <v>418</v>
      </c>
      <c r="HQ136" s="11" t="s">
        <v>319</v>
      </c>
      <c r="HR136" s="11" t="s">
        <v>319</v>
      </c>
      <c r="HS136" s="11" t="s">
        <v>320</v>
      </c>
      <c r="HT136" s="11" t="s">
        <v>320</v>
      </c>
      <c r="HU136" s="11" t="s">
        <v>319</v>
      </c>
      <c r="HV136" s="11" t="s">
        <v>319</v>
      </c>
      <c r="HZ136" s="12" t="s">
        <v>331</v>
      </c>
      <c r="IB136" s="12" t="s">
        <v>396</v>
      </c>
      <c r="ID136" s="12" t="s">
        <v>334</v>
      </c>
      <c r="IE136" s="11" t="s">
        <v>335</v>
      </c>
      <c r="IF136" s="11" t="s">
        <v>320</v>
      </c>
      <c r="IG136" s="11" t="s">
        <v>320</v>
      </c>
      <c r="IH136" s="11" t="s">
        <v>320</v>
      </c>
      <c r="II136" s="11" t="s">
        <v>320</v>
      </c>
      <c r="IJ136" s="12" t="str">
        <f t="shared" si="87"/>
        <v>2. Sensitive</v>
      </c>
      <c r="IK136" s="12">
        <f t="shared" si="88"/>
        <v>4</v>
      </c>
      <c r="IL136" s="11" t="s">
        <v>336</v>
      </c>
      <c r="IM136" s="11" t="s">
        <v>320</v>
      </c>
      <c r="IN136" s="11" t="s">
        <v>320</v>
      </c>
      <c r="IO136" s="11" t="s">
        <v>320</v>
      </c>
      <c r="IP136" s="11" t="s">
        <v>320</v>
      </c>
      <c r="IQ136" s="12" t="str">
        <f t="shared" si="89"/>
        <v>2. Accommodating</v>
      </c>
      <c r="IR136" s="12">
        <f t="shared" si="90"/>
        <v>4</v>
      </c>
      <c r="IS136" s="11" t="s">
        <v>337</v>
      </c>
      <c r="IT136" s="11" t="s">
        <v>320</v>
      </c>
      <c r="IU136" s="11" t="s">
        <v>320</v>
      </c>
      <c r="IV136" s="11" t="s">
        <v>320</v>
      </c>
      <c r="IW136" s="11" t="str">
        <f t="shared" si="91"/>
        <v>2. Sensitive</v>
      </c>
      <c r="IX136" s="12">
        <f t="shared" si="92"/>
        <v>3</v>
      </c>
      <c r="IY136" s="11" t="s">
        <v>758</v>
      </c>
      <c r="IZ136" s="12" t="s">
        <v>339</v>
      </c>
      <c r="JE136" s="12" t="s">
        <v>340</v>
      </c>
      <c r="JG136" s="11" t="s">
        <v>2683</v>
      </c>
      <c r="JH136" s="11" t="s">
        <v>2684</v>
      </c>
      <c r="JI136" s="11" t="s">
        <v>2685</v>
      </c>
      <c r="JJ136" s="11" t="s">
        <v>2686</v>
      </c>
      <c r="JK136" s="11" t="s">
        <v>2687</v>
      </c>
      <c r="JL136" s="11" t="s">
        <v>2688</v>
      </c>
      <c r="JM136" s="11" t="s">
        <v>2689</v>
      </c>
      <c r="JN136" s="11" t="s">
        <v>2690</v>
      </c>
      <c r="JP136" s="15">
        <f t="shared" si="93"/>
        <v>28075</v>
      </c>
      <c r="JQ136" s="15">
        <f t="shared" si="94"/>
        <v>34875</v>
      </c>
      <c r="JR136" s="279">
        <f t="shared" si="95"/>
        <v>1.2422083704363314</v>
      </c>
      <c r="JS136" s="17">
        <f t="shared" si="96"/>
        <v>0.52373998219056095</v>
      </c>
      <c r="JT136" s="18">
        <f t="shared" si="97"/>
        <v>0.50999283154121866</v>
      </c>
      <c r="JU136" s="280">
        <f t="shared" si="98"/>
        <v>14704</v>
      </c>
      <c r="JV136" s="280">
        <f t="shared" si="99"/>
        <v>17786</v>
      </c>
      <c r="JW136" s="319">
        <f t="shared" si="100"/>
        <v>1</v>
      </c>
      <c r="JX136" s="15">
        <f t="shared" si="101"/>
        <v>28075</v>
      </c>
      <c r="JY136" s="15">
        <f t="shared" si="102"/>
        <v>34875</v>
      </c>
      <c r="JZ136" s="19">
        <f t="shared" si="103"/>
        <v>1.2422083704363314</v>
      </c>
      <c r="KA136" s="52">
        <f t="shared" si="104"/>
        <v>1</v>
      </c>
      <c r="KB136" s="15">
        <f t="shared" si="105"/>
        <v>26375</v>
      </c>
      <c r="KC136" s="15">
        <f t="shared" si="106"/>
        <v>26375</v>
      </c>
      <c r="KD136" s="20">
        <f t="shared" si="107"/>
        <v>1</v>
      </c>
      <c r="KE136" s="52" t="str">
        <f t="shared" si="108"/>
        <v/>
      </c>
      <c r="KF136" s="15">
        <f t="shared" si="109"/>
        <v>0</v>
      </c>
      <c r="KG136" s="15">
        <f t="shared" si="110"/>
        <v>0</v>
      </c>
      <c r="KH136" s="21" t="str">
        <f t="shared" si="111"/>
        <v/>
      </c>
      <c r="KI136" s="52" t="str">
        <f t="shared" si="112"/>
        <v/>
      </c>
      <c r="KJ136" s="15">
        <f t="shared" si="113"/>
        <v>0</v>
      </c>
      <c r="KK136" s="15">
        <f t="shared" si="114"/>
        <v>0</v>
      </c>
      <c r="KL136" s="19" t="str">
        <f t="shared" si="115"/>
        <v/>
      </c>
      <c r="KM136" s="52" t="str">
        <f t="shared" si="116"/>
        <v/>
      </c>
      <c r="KN136" s="22">
        <f t="shared" si="117"/>
        <v>0</v>
      </c>
      <c r="KO136" s="22">
        <f t="shared" si="118"/>
        <v>0</v>
      </c>
      <c r="KP136" s="19" t="str">
        <f t="shared" si="119"/>
        <v/>
      </c>
      <c r="KQ136" s="11" t="str">
        <f t="shared" si="120"/>
        <v>2. Sensitive</v>
      </c>
      <c r="KR136" s="11" t="str">
        <f t="shared" si="121"/>
        <v>2. Accommodating</v>
      </c>
      <c r="KS136" s="11" t="str">
        <f t="shared" si="122"/>
        <v>2. Sensitive</v>
      </c>
      <c r="KT136" s="11" t="str">
        <f t="shared" si="123"/>
        <v>It tested new ways for fighting poverty and measured results of innovation</v>
      </c>
      <c r="KU136" s="11" t="str">
        <f t="shared" si="124"/>
        <v>Little or no advocacy</v>
      </c>
      <c r="KV136" s="11" t="str">
        <f t="shared" si="125"/>
        <v>It linked and worked with strategic alliances and partners to take tested and effective solutions to scale</v>
      </c>
      <c r="KW136" s="11" t="str">
        <f t="shared" si="126"/>
        <v>Chad - Projet d'assistance humanitaire et de renforcment de la résilience  des  populations deplacées et hôtes  affectées par la crise de la région du lac Tchad</v>
      </c>
      <c r="KX136" s="11" t="str">
        <f t="shared" si="127"/>
        <v>Projet d'assistance humanitaire et de renforcment de la résilience  des  populations deplacées et hôtes  affectées par la crise de la région du lac Tchad</v>
      </c>
      <c r="KY136" s="11" t="str">
        <f t="shared" si="128"/>
        <v>Chad</v>
      </c>
      <c r="KZ136" s="12">
        <v>136</v>
      </c>
    </row>
    <row r="137" spans="1:312" x14ac:dyDescent="0.3">
      <c r="A137" s="11" t="s">
        <v>2536</v>
      </c>
      <c r="B137" s="11" t="s">
        <v>1596</v>
      </c>
      <c r="C137" s="11">
        <v>2845</v>
      </c>
      <c r="D137" s="11" t="s">
        <v>2691</v>
      </c>
      <c r="E137" s="24" t="str">
        <f t="shared" si="86"/>
        <v>Chad</v>
      </c>
      <c r="F137" s="11" t="s">
        <v>2692</v>
      </c>
      <c r="G137" s="11" t="s">
        <v>714</v>
      </c>
      <c r="H137" s="11" t="s">
        <v>310</v>
      </c>
      <c r="I137" s="11" t="s">
        <v>384</v>
      </c>
      <c r="J137" s="278" t="s">
        <v>2693</v>
      </c>
      <c r="BD137" s="23">
        <v>42125</v>
      </c>
      <c r="BE137" s="23">
        <v>43251</v>
      </c>
      <c r="BG137" s="11" t="s">
        <v>749</v>
      </c>
      <c r="BH137" s="22">
        <v>454279.87</v>
      </c>
      <c r="BI137" s="11" t="s">
        <v>2541</v>
      </c>
      <c r="BJ137" s="11" t="s">
        <v>2694</v>
      </c>
      <c r="BK137" s="11" t="s">
        <v>2598</v>
      </c>
      <c r="BL137" s="11" t="s">
        <v>2695</v>
      </c>
      <c r="BM137" s="11" t="s">
        <v>2696</v>
      </c>
      <c r="BN137" s="11" t="s">
        <v>2648</v>
      </c>
      <c r="BO137" s="12" t="s">
        <v>319</v>
      </c>
      <c r="BP137" s="12" t="s">
        <v>320</v>
      </c>
      <c r="BQ137" s="12" t="s">
        <v>319</v>
      </c>
      <c r="BR137" s="11" t="s">
        <v>2697</v>
      </c>
      <c r="BS137" s="11" t="s">
        <v>357</v>
      </c>
      <c r="BT137" s="11" t="s">
        <v>2698</v>
      </c>
      <c r="BU137" s="11" t="s">
        <v>2699</v>
      </c>
      <c r="BV137" s="22">
        <v>500</v>
      </c>
      <c r="BW137" s="22">
        <v>0</v>
      </c>
      <c r="BX137" s="22">
        <v>500</v>
      </c>
      <c r="BY137" s="22">
        <v>2100</v>
      </c>
      <c r="BZ137" s="22">
        <v>1400</v>
      </c>
      <c r="CA137" s="22">
        <v>3500</v>
      </c>
      <c r="CB137" s="15" t="s">
        <v>2700</v>
      </c>
      <c r="CL137" s="18"/>
      <c r="CP137" s="18"/>
      <c r="CT137" s="18"/>
      <c r="CX137" s="18"/>
      <c r="DB137" s="18"/>
      <c r="DF137" s="18"/>
      <c r="DJ137" s="18"/>
      <c r="DN137" s="18"/>
      <c r="DR137" s="18"/>
      <c r="DV137" s="18"/>
      <c r="DZ137" s="18"/>
      <c r="ED137" s="18"/>
      <c r="EI137" s="18"/>
      <c r="EK137" s="22">
        <v>827</v>
      </c>
      <c r="EL137" s="22">
        <v>0</v>
      </c>
      <c r="EM137" s="22">
        <v>827</v>
      </c>
      <c r="EN137" s="22">
        <v>3473</v>
      </c>
      <c r="EO137" s="22">
        <v>2316</v>
      </c>
      <c r="EP137" s="22">
        <v>5789</v>
      </c>
      <c r="EQ137" s="12" t="s">
        <v>320</v>
      </c>
      <c r="ER137" s="22">
        <v>492</v>
      </c>
      <c r="ES137" s="18">
        <v>0.99</v>
      </c>
      <c r="ET137" s="22">
        <v>3444</v>
      </c>
      <c r="EU137" s="11" t="s">
        <v>320</v>
      </c>
      <c r="EV137" s="22">
        <v>492</v>
      </c>
      <c r="EW137" s="18">
        <v>0.99</v>
      </c>
      <c r="EX137" s="22">
        <v>3444</v>
      </c>
      <c r="FA137" s="18"/>
      <c r="FE137" s="18"/>
      <c r="FI137" s="18"/>
      <c r="FK137" s="12" t="s">
        <v>320</v>
      </c>
      <c r="FL137" s="22">
        <v>128</v>
      </c>
      <c r="FM137" s="18">
        <v>1</v>
      </c>
      <c r="FN137" s="22">
        <v>896</v>
      </c>
      <c r="FO137" s="12" t="s">
        <v>320</v>
      </c>
      <c r="FP137" s="22">
        <v>827</v>
      </c>
      <c r="FQ137" s="18">
        <v>1</v>
      </c>
      <c r="FR137" s="22">
        <v>5789</v>
      </c>
      <c r="FU137" s="18"/>
      <c r="FY137" s="18"/>
      <c r="GC137" s="18"/>
      <c r="GG137" s="18"/>
      <c r="GK137" s="18"/>
      <c r="GO137" s="18"/>
      <c r="GS137" s="18"/>
      <c r="GW137" s="18"/>
      <c r="GY137" s="11" t="s">
        <v>320</v>
      </c>
      <c r="GZ137" s="22">
        <v>827</v>
      </c>
      <c r="HA137" s="18">
        <v>1</v>
      </c>
      <c r="HB137" s="22">
        <v>5789</v>
      </c>
      <c r="HF137" s="18"/>
      <c r="HH137" s="11" t="s">
        <v>319</v>
      </c>
      <c r="HL137" s="11" t="s">
        <v>320</v>
      </c>
      <c r="HM137" s="11" t="s">
        <v>416</v>
      </c>
      <c r="HN137" s="11">
        <v>2018</v>
      </c>
      <c r="HP137" s="11" t="s">
        <v>330</v>
      </c>
      <c r="HQ137" s="11" t="s">
        <v>319</v>
      </c>
      <c r="HR137" s="11" t="s">
        <v>319</v>
      </c>
      <c r="HS137" s="11" t="s">
        <v>320</v>
      </c>
      <c r="HT137" s="11" t="s">
        <v>319</v>
      </c>
      <c r="HU137" s="11" t="s">
        <v>319</v>
      </c>
      <c r="HV137" s="11" t="s">
        <v>319</v>
      </c>
      <c r="HW137" s="11" t="s">
        <v>319</v>
      </c>
      <c r="HX137" s="11" t="s">
        <v>320</v>
      </c>
      <c r="HZ137" s="12" t="s">
        <v>331</v>
      </c>
      <c r="IA137" s="11" t="s">
        <v>2701</v>
      </c>
      <c r="IB137" s="12" t="s">
        <v>396</v>
      </c>
      <c r="IC137" s="11" t="s">
        <v>2702</v>
      </c>
      <c r="ID137" s="11" t="s">
        <v>364</v>
      </c>
      <c r="IE137" s="11" t="s">
        <v>335</v>
      </c>
      <c r="IF137" s="11" t="s">
        <v>320</v>
      </c>
      <c r="IG137" s="11" t="s">
        <v>320</v>
      </c>
      <c r="IH137" s="11" t="s">
        <v>320</v>
      </c>
      <c r="II137" s="11" t="s">
        <v>320</v>
      </c>
      <c r="IJ137" s="12" t="str">
        <f t="shared" si="87"/>
        <v>2. Sensitive</v>
      </c>
      <c r="IK137" s="12">
        <f t="shared" si="88"/>
        <v>4</v>
      </c>
      <c r="IL137" s="11" t="s">
        <v>336</v>
      </c>
      <c r="IM137" s="11" t="s">
        <v>319</v>
      </c>
      <c r="IN137" s="11" t="s">
        <v>319</v>
      </c>
      <c r="IO137" s="11" t="s">
        <v>320</v>
      </c>
      <c r="IP137" s="11" t="s">
        <v>320</v>
      </c>
      <c r="IQ137" s="12" t="str">
        <f t="shared" si="89"/>
        <v>1. Tokenistic</v>
      </c>
      <c r="IR137" s="12">
        <f t="shared" si="90"/>
        <v>2</v>
      </c>
      <c r="IS137" s="11" t="s">
        <v>337</v>
      </c>
      <c r="IT137" s="11" t="s">
        <v>319</v>
      </c>
      <c r="IU137" s="11" t="s">
        <v>320</v>
      </c>
      <c r="IV137" s="11" t="s">
        <v>320</v>
      </c>
      <c r="IW137" s="11" t="str">
        <f t="shared" si="91"/>
        <v>1. Neutral</v>
      </c>
      <c r="IX137" s="12">
        <f t="shared" si="92"/>
        <v>2</v>
      </c>
      <c r="IY137" s="11" t="s">
        <v>419</v>
      </c>
      <c r="IZ137" s="12" t="s">
        <v>432</v>
      </c>
      <c r="JA137" s="11">
        <v>3</v>
      </c>
      <c r="JB137" s="12" t="s">
        <v>687</v>
      </c>
      <c r="JC137" s="11" t="s">
        <v>624</v>
      </c>
      <c r="JD137" s="11" t="s">
        <v>624</v>
      </c>
      <c r="JE137" s="12" t="s">
        <v>420</v>
      </c>
      <c r="JG137" s="11" t="s">
        <v>2703</v>
      </c>
      <c r="JH137" s="11" t="s">
        <v>2704</v>
      </c>
      <c r="JI137" s="11" t="s">
        <v>2705</v>
      </c>
      <c r="JJ137" s="11" t="s">
        <v>2706</v>
      </c>
      <c r="JK137" s="11" t="s">
        <v>2707</v>
      </c>
      <c r="JL137" s="11" t="s">
        <v>2708</v>
      </c>
      <c r="JM137" s="11" t="s">
        <v>2709</v>
      </c>
      <c r="JN137" s="11" t="s">
        <v>2710</v>
      </c>
      <c r="JP137" s="15">
        <f t="shared" si="93"/>
        <v>827</v>
      </c>
      <c r="JQ137" s="15">
        <f t="shared" si="94"/>
        <v>5789</v>
      </c>
      <c r="JR137" s="279">
        <f t="shared" si="95"/>
        <v>7</v>
      </c>
      <c r="JS137" s="17">
        <f t="shared" si="96"/>
        <v>1</v>
      </c>
      <c r="JT137" s="18">
        <f t="shared" si="97"/>
        <v>0.59993090343755395</v>
      </c>
      <c r="JU137" s="280">
        <f t="shared" si="98"/>
        <v>827</v>
      </c>
      <c r="JV137" s="280">
        <f t="shared" si="99"/>
        <v>3473</v>
      </c>
      <c r="JW137" s="319" t="str">
        <f t="shared" si="100"/>
        <v/>
      </c>
      <c r="JX137" s="15">
        <f t="shared" si="101"/>
        <v>0</v>
      </c>
      <c r="JY137" s="15">
        <f t="shared" si="102"/>
        <v>0</v>
      </c>
      <c r="JZ137" s="19" t="str">
        <f t="shared" si="103"/>
        <v/>
      </c>
      <c r="KA137" s="52">
        <f t="shared" si="104"/>
        <v>1</v>
      </c>
      <c r="KB137" s="15">
        <f t="shared" si="105"/>
        <v>827</v>
      </c>
      <c r="KC137" s="15">
        <f t="shared" si="106"/>
        <v>5789</v>
      </c>
      <c r="KD137" s="20">
        <f t="shared" si="107"/>
        <v>7</v>
      </c>
      <c r="KE137" s="52" t="str">
        <f t="shared" si="108"/>
        <v/>
      </c>
      <c r="KF137" s="15">
        <f t="shared" si="109"/>
        <v>0</v>
      </c>
      <c r="KG137" s="15">
        <f t="shared" si="110"/>
        <v>0</v>
      </c>
      <c r="KH137" s="21" t="str">
        <f t="shared" si="111"/>
        <v/>
      </c>
      <c r="KI137" s="52" t="str">
        <f t="shared" si="112"/>
        <v/>
      </c>
      <c r="KJ137" s="15">
        <f t="shared" si="113"/>
        <v>0</v>
      </c>
      <c r="KK137" s="15">
        <f t="shared" si="114"/>
        <v>0</v>
      </c>
      <c r="KL137" s="19" t="str">
        <f t="shared" si="115"/>
        <v/>
      </c>
      <c r="KM137" s="52">
        <f t="shared" si="116"/>
        <v>1</v>
      </c>
      <c r="KN137" s="22">
        <f t="shared" si="117"/>
        <v>827</v>
      </c>
      <c r="KO137" s="22">
        <f t="shared" si="118"/>
        <v>5789</v>
      </c>
      <c r="KP137" s="19">
        <f t="shared" si="119"/>
        <v>7</v>
      </c>
      <c r="KQ137" s="11" t="str">
        <f t="shared" si="120"/>
        <v>2. Sensitive</v>
      </c>
      <c r="KR137" s="11" t="str">
        <f t="shared" si="121"/>
        <v>1. Tokenistic</v>
      </c>
      <c r="KS137" s="11" t="str">
        <f t="shared" si="122"/>
        <v>1. Neutral</v>
      </c>
      <c r="KT137" s="11" t="str">
        <f t="shared" si="123"/>
        <v>It tested new ways for fighting poverty and measured results of innovation</v>
      </c>
      <c r="KU137" s="11" t="str">
        <f t="shared" si="124"/>
        <v>Moderate advocacy</v>
      </c>
      <c r="KV137" s="11" t="str">
        <f t="shared" si="125"/>
        <v>It linked and worked with strategic alliances and partners to take tested and effective solutions to scale</v>
      </c>
      <c r="KW137" s="11" t="str">
        <f t="shared" si="126"/>
        <v>Chad - Projet Femme, Elevage et Activités Génératrices de Revenus</v>
      </c>
      <c r="KX137" s="11" t="str">
        <f t="shared" si="127"/>
        <v>Projet Femme, Elevage et Activités Génératrices de Revenus</v>
      </c>
      <c r="KY137" s="11" t="str">
        <f t="shared" si="128"/>
        <v>Chad</v>
      </c>
      <c r="KZ137" s="12">
        <v>137</v>
      </c>
    </row>
    <row r="138" spans="1:312" x14ac:dyDescent="0.3">
      <c r="A138" s="11" t="s">
        <v>2536</v>
      </c>
      <c r="B138" s="11" t="s">
        <v>1596</v>
      </c>
      <c r="C138" s="11">
        <v>2852</v>
      </c>
      <c r="D138" s="11" t="s">
        <v>2537</v>
      </c>
      <c r="E138" s="24" t="str">
        <f t="shared" si="86"/>
        <v>Chad</v>
      </c>
      <c r="G138" s="11" t="s">
        <v>376</v>
      </c>
      <c r="H138" s="11" t="s">
        <v>380</v>
      </c>
      <c r="I138" s="11" t="s">
        <v>381</v>
      </c>
      <c r="J138" s="278"/>
      <c r="BD138" s="23">
        <v>42370</v>
      </c>
      <c r="BE138" s="23">
        <v>42735</v>
      </c>
      <c r="BG138" s="11" t="s">
        <v>817</v>
      </c>
      <c r="BH138" s="22">
        <v>154080</v>
      </c>
      <c r="BI138" s="11" t="s">
        <v>2538</v>
      </c>
      <c r="BJ138" s="11" t="s">
        <v>2539</v>
      </c>
      <c r="BK138" s="11" t="s">
        <v>2540</v>
      </c>
      <c r="BL138" s="11" t="s">
        <v>2541</v>
      </c>
      <c r="BM138" s="11" t="s">
        <v>2542</v>
      </c>
      <c r="BN138" s="11" t="s">
        <v>2543</v>
      </c>
      <c r="BO138" s="11" t="s">
        <v>320</v>
      </c>
      <c r="BP138" s="11" t="s">
        <v>319</v>
      </c>
      <c r="BQ138" s="11" t="s">
        <v>319</v>
      </c>
      <c r="BR138" s="11" t="s">
        <v>2537</v>
      </c>
      <c r="BS138" s="11" t="s">
        <v>357</v>
      </c>
      <c r="BT138" s="11" t="s">
        <v>2544</v>
      </c>
      <c r="BU138" s="11" t="s">
        <v>2545</v>
      </c>
      <c r="BV138" s="22">
        <v>47961</v>
      </c>
      <c r="BW138" s="22">
        <v>41153</v>
      </c>
      <c r="BX138" s="22">
        <v>89114</v>
      </c>
      <c r="BY138" s="22">
        <v>287766</v>
      </c>
      <c r="BZ138" s="22">
        <v>246918</v>
      </c>
      <c r="CA138" s="22">
        <v>534684</v>
      </c>
      <c r="CB138" s="15" t="s">
        <v>2546</v>
      </c>
      <c r="CD138" s="22">
        <v>35222</v>
      </c>
      <c r="CE138" s="22">
        <v>30362</v>
      </c>
      <c r="CF138" s="22">
        <v>65584</v>
      </c>
      <c r="CG138" s="22">
        <v>287766</v>
      </c>
      <c r="CH138" s="22">
        <v>246918</v>
      </c>
      <c r="CI138" s="22">
        <v>534684</v>
      </c>
      <c r="CJ138" s="11" t="s">
        <v>319</v>
      </c>
      <c r="CL138" s="18"/>
      <c r="CN138" s="11" t="s">
        <v>320</v>
      </c>
      <c r="CO138" s="22">
        <v>1730</v>
      </c>
      <c r="CP138" s="18">
        <v>0.6</v>
      </c>
      <c r="CQ138" s="22">
        <v>10380</v>
      </c>
      <c r="CR138" s="11" t="s">
        <v>319</v>
      </c>
      <c r="CT138" s="18"/>
      <c r="CV138" s="12" t="s">
        <v>320</v>
      </c>
      <c r="CW138" s="22">
        <v>7477</v>
      </c>
      <c r="CX138" s="18">
        <v>0.25</v>
      </c>
      <c r="CY138" s="22">
        <v>18715</v>
      </c>
      <c r="CZ138" s="11" t="s">
        <v>320</v>
      </c>
      <c r="DA138" s="22">
        <v>632</v>
      </c>
      <c r="DB138" s="18">
        <v>0.55000000000000004</v>
      </c>
      <c r="DC138" s="22">
        <v>34780</v>
      </c>
      <c r="DD138" s="11" t="s">
        <v>320</v>
      </c>
      <c r="DE138" s="22">
        <v>1772</v>
      </c>
      <c r="DF138" s="18">
        <v>0.59499999999999997</v>
      </c>
      <c r="DG138" s="22">
        <v>10550</v>
      </c>
      <c r="DJ138" s="18"/>
      <c r="DL138" s="11" t="s">
        <v>320</v>
      </c>
      <c r="DM138" s="22">
        <v>7477</v>
      </c>
      <c r="DN138" s="18">
        <v>0.224</v>
      </c>
      <c r="DO138" s="22">
        <v>16715</v>
      </c>
      <c r="DP138" s="12" t="s">
        <v>320</v>
      </c>
      <c r="DQ138" s="22">
        <v>9807</v>
      </c>
      <c r="DR138" s="18">
        <v>0.65</v>
      </c>
      <c r="DS138" s="22">
        <v>63780</v>
      </c>
      <c r="DV138" s="18"/>
      <c r="DX138" s="12" t="s">
        <v>320</v>
      </c>
      <c r="DY138" s="22">
        <v>7073</v>
      </c>
      <c r="DZ138" s="18">
        <v>0.55000000000000004</v>
      </c>
      <c r="EA138" s="22">
        <v>7073</v>
      </c>
      <c r="EB138" s="11" t="s">
        <v>320</v>
      </c>
      <c r="EC138" s="22">
        <v>63780</v>
      </c>
      <c r="ED138" s="18">
        <v>0.52</v>
      </c>
      <c r="EE138" s="22">
        <v>524684</v>
      </c>
      <c r="EI138" s="18"/>
      <c r="ES138" s="18"/>
      <c r="EW138" s="18"/>
      <c r="FA138" s="18"/>
      <c r="FE138" s="18"/>
      <c r="FI138" s="18"/>
      <c r="FM138" s="18"/>
      <c r="FQ138" s="18"/>
      <c r="FU138" s="18"/>
      <c r="FY138" s="18"/>
      <c r="GC138" s="18"/>
      <c r="GG138" s="18"/>
      <c r="GK138" s="18"/>
      <c r="GO138" s="18"/>
      <c r="GS138" s="18"/>
      <c r="GW138" s="18"/>
      <c r="HA138" s="18"/>
      <c r="HF138" s="18"/>
      <c r="HH138" s="11" t="s">
        <v>320</v>
      </c>
      <c r="HI138" s="11" t="s">
        <v>361</v>
      </c>
      <c r="HJ138" s="11">
        <v>2016</v>
      </c>
      <c r="HK138" s="11" t="s">
        <v>320</v>
      </c>
      <c r="HL138" s="11" t="s">
        <v>319</v>
      </c>
      <c r="HO138" s="11" t="s">
        <v>2547</v>
      </c>
      <c r="HP138" s="11" t="s">
        <v>330</v>
      </c>
      <c r="HQ138" s="11" t="s">
        <v>319</v>
      </c>
      <c r="HR138" s="11" t="s">
        <v>320</v>
      </c>
      <c r="HS138" s="11" t="s">
        <v>320</v>
      </c>
      <c r="HT138" s="11" t="s">
        <v>320</v>
      </c>
      <c r="HU138" s="11" t="s">
        <v>319</v>
      </c>
      <c r="HV138" s="11" t="s">
        <v>320</v>
      </c>
      <c r="HW138" s="11" t="s">
        <v>319</v>
      </c>
      <c r="HX138" s="11" t="s">
        <v>319</v>
      </c>
      <c r="HZ138" s="12" t="s">
        <v>331</v>
      </c>
      <c r="IA138" s="11" t="s">
        <v>2548</v>
      </c>
      <c r="IB138" s="12" t="s">
        <v>396</v>
      </c>
      <c r="IC138" s="11" t="s">
        <v>2549</v>
      </c>
      <c r="ID138" s="12" t="s">
        <v>334</v>
      </c>
      <c r="IE138" s="11" t="s">
        <v>335</v>
      </c>
      <c r="IF138" s="11" t="s">
        <v>320</v>
      </c>
      <c r="IG138" s="11" t="s">
        <v>320</v>
      </c>
      <c r="IH138" s="11" t="s">
        <v>320</v>
      </c>
      <c r="II138" s="11" t="s">
        <v>320</v>
      </c>
      <c r="IJ138" s="12" t="str">
        <f t="shared" si="87"/>
        <v>2. Sensitive</v>
      </c>
      <c r="IK138" s="12">
        <f t="shared" si="88"/>
        <v>4</v>
      </c>
      <c r="IL138" s="11" t="s">
        <v>336</v>
      </c>
      <c r="IM138" s="11" t="s">
        <v>320</v>
      </c>
      <c r="IN138" s="11" t="s">
        <v>320</v>
      </c>
      <c r="IO138" s="11" t="s">
        <v>320</v>
      </c>
      <c r="IP138" s="11" t="s">
        <v>320</v>
      </c>
      <c r="IQ138" s="12" t="str">
        <f t="shared" si="89"/>
        <v>2. Accommodating</v>
      </c>
      <c r="IR138" s="12">
        <f t="shared" si="90"/>
        <v>4</v>
      </c>
      <c r="IW138" s="11" t="str">
        <f t="shared" si="91"/>
        <v>No marker score</v>
      </c>
      <c r="IX138" s="12">
        <f t="shared" si="92"/>
        <v>0</v>
      </c>
      <c r="JB138" s="11" t="s">
        <v>651</v>
      </c>
      <c r="JC138" s="12" t="s">
        <v>623</v>
      </c>
      <c r="JD138" s="12" t="s">
        <v>651</v>
      </c>
      <c r="JE138" s="12" t="s">
        <v>340</v>
      </c>
      <c r="JF138" s="11" t="s">
        <v>2550</v>
      </c>
      <c r="JG138" s="11" t="s">
        <v>2551</v>
      </c>
      <c r="JH138" s="11" t="s">
        <v>2552</v>
      </c>
      <c r="JI138" s="11" t="s">
        <v>2553</v>
      </c>
      <c r="JJ138" s="11" t="s">
        <v>2551</v>
      </c>
      <c r="JK138" s="11" t="s">
        <v>2554</v>
      </c>
      <c r="JL138" s="11" t="s">
        <v>2555</v>
      </c>
      <c r="JM138" s="11" t="s">
        <v>2556</v>
      </c>
      <c r="JP138" s="15">
        <f t="shared" si="93"/>
        <v>65584</v>
      </c>
      <c r="JQ138" s="15">
        <f t="shared" si="94"/>
        <v>534684</v>
      </c>
      <c r="JR138" s="279">
        <f t="shared" si="95"/>
        <v>8.1526591851671135</v>
      </c>
      <c r="JS138" s="17">
        <f t="shared" si="96"/>
        <v>0.53705171993169065</v>
      </c>
      <c r="JT138" s="18">
        <f t="shared" si="97"/>
        <v>0.5381982628992078</v>
      </c>
      <c r="JU138" s="280">
        <f t="shared" si="98"/>
        <v>35222</v>
      </c>
      <c r="JV138" s="280">
        <f t="shared" si="99"/>
        <v>287766</v>
      </c>
      <c r="JW138" s="319">
        <f t="shared" si="100"/>
        <v>1</v>
      </c>
      <c r="JX138" s="15">
        <f t="shared" si="101"/>
        <v>65584</v>
      </c>
      <c r="JY138" s="15">
        <f t="shared" si="102"/>
        <v>534684</v>
      </c>
      <c r="JZ138" s="19">
        <f t="shared" si="103"/>
        <v>8.1526591851671135</v>
      </c>
      <c r="KA138" s="52">
        <f t="shared" si="104"/>
        <v>1</v>
      </c>
      <c r="KB138" s="15">
        <f t="shared" si="105"/>
        <v>7477</v>
      </c>
      <c r="KC138" s="15">
        <f t="shared" si="106"/>
        <v>18715</v>
      </c>
      <c r="KD138" s="20">
        <f t="shared" si="107"/>
        <v>2.5030092283001202</v>
      </c>
      <c r="KE138" s="52" t="str">
        <f t="shared" si="108"/>
        <v/>
      </c>
      <c r="KF138" s="15">
        <f t="shared" si="109"/>
        <v>0</v>
      </c>
      <c r="KG138" s="15">
        <f t="shared" si="110"/>
        <v>0</v>
      </c>
      <c r="KH138" s="21" t="str">
        <f t="shared" si="111"/>
        <v/>
      </c>
      <c r="KI138" s="52">
        <f t="shared" si="112"/>
        <v>1</v>
      </c>
      <c r="KJ138" s="15">
        <f t="shared" si="113"/>
        <v>632</v>
      </c>
      <c r="KK138" s="15">
        <f t="shared" si="114"/>
        <v>34780</v>
      </c>
      <c r="KL138" s="19">
        <f t="shared" si="115"/>
        <v>55.031645569620252</v>
      </c>
      <c r="KM138" s="52" t="str">
        <f t="shared" si="116"/>
        <v/>
      </c>
      <c r="KN138" s="22">
        <f t="shared" si="117"/>
        <v>0</v>
      </c>
      <c r="KO138" s="22">
        <f t="shared" si="118"/>
        <v>0</v>
      </c>
      <c r="KP138" s="19" t="str">
        <f t="shared" si="119"/>
        <v/>
      </c>
      <c r="KQ138" s="11" t="str">
        <f t="shared" si="120"/>
        <v>2. Sensitive</v>
      </c>
      <c r="KR138" s="11" t="str">
        <f t="shared" si="121"/>
        <v>2. Accommodating</v>
      </c>
      <c r="KS138" s="11" t="str">
        <f t="shared" si="122"/>
        <v>No marker score</v>
      </c>
      <c r="KT138" s="11" t="str">
        <f t="shared" si="123"/>
        <v>It tested new ways for fighting poverty and measured results of innovation</v>
      </c>
      <c r="KU138" s="11" t="str">
        <f t="shared" si="124"/>
        <v>Moderate advocacy</v>
      </c>
      <c r="KV138" s="11" t="str">
        <f t="shared" si="125"/>
        <v>It linked and worked with strategic alliances and partners to take tested and effective solutions to scale</v>
      </c>
      <c r="KW138" s="11" t="str">
        <f t="shared" si="126"/>
        <v>Chad - Protection et solutions mixtes pour les refugiés centrafricains vivant au sud du Tchad</v>
      </c>
      <c r="KX138" s="11" t="str">
        <f t="shared" si="127"/>
        <v>Protection et solutions mixtes pour les refugiés centrafricains vivant au sud du Tchad</v>
      </c>
      <c r="KY138" s="11" t="str">
        <f t="shared" si="128"/>
        <v>Chad</v>
      </c>
      <c r="KZ138" s="12">
        <v>138</v>
      </c>
    </row>
    <row r="139" spans="1:312" x14ac:dyDescent="0.3">
      <c r="A139" s="11" t="s">
        <v>2536</v>
      </c>
      <c r="B139" s="11" t="s">
        <v>1596</v>
      </c>
      <c r="C139" s="11">
        <v>2859</v>
      </c>
      <c r="D139" s="11" t="s">
        <v>2557</v>
      </c>
      <c r="E139" s="24" t="str">
        <f t="shared" si="86"/>
        <v>Chad</v>
      </c>
      <c r="F139" s="11" t="s">
        <v>2558</v>
      </c>
      <c r="G139" s="11" t="s">
        <v>376</v>
      </c>
      <c r="H139" s="11" t="s">
        <v>310</v>
      </c>
      <c r="I139" s="11" t="s">
        <v>381</v>
      </c>
      <c r="J139" s="278" t="s">
        <v>7763</v>
      </c>
      <c r="BD139" s="23">
        <v>42505</v>
      </c>
      <c r="BE139" s="23">
        <v>42658</v>
      </c>
      <c r="BG139" s="11" t="s">
        <v>908</v>
      </c>
      <c r="BH139" s="22">
        <v>198000</v>
      </c>
      <c r="BI139" s="11" t="s">
        <v>2559</v>
      </c>
      <c r="BJ139" s="11" t="s">
        <v>1998</v>
      </c>
      <c r="BK139" s="11" t="s">
        <v>2560</v>
      </c>
      <c r="BO139" s="11" t="s">
        <v>320</v>
      </c>
      <c r="BP139" s="11" t="s">
        <v>319</v>
      </c>
      <c r="BQ139" s="11" t="s">
        <v>319</v>
      </c>
      <c r="BR139" s="11" t="s">
        <v>2561</v>
      </c>
      <c r="BS139" s="11" t="s">
        <v>357</v>
      </c>
      <c r="BT139" s="11" t="s">
        <v>2562</v>
      </c>
      <c r="BU139" s="11" t="s">
        <v>2563</v>
      </c>
      <c r="BV139" s="22">
        <v>11232</v>
      </c>
      <c r="BW139" s="22">
        <v>10368</v>
      </c>
      <c r="BX139" s="22">
        <v>21600</v>
      </c>
      <c r="BY139" s="22">
        <v>23920</v>
      </c>
      <c r="BZ139" s="22">
        <v>22080</v>
      </c>
      <c r="CA139" s="22">
        <v>46000</v>
      </c>
      <c r="CB139" s="15" t="s">
        <v>2564</v>
      </c>
      <c r="CD139" s="22">
        <v>11232</v>
      </c>
      <c r="CE139" s="22">
        <v>10368</v>
      </c>
      <c r="CF139" s="22">
        <v>21600</v>
      </c>
      <c r="CG139" s="22">
        <v>23920</v>
      </c>
      <c r="CH139" s="22">
        <v>22080</v>
      </c>
      <c r="CI139" s="22">
        <v>46000</v>
      </c>
      <c r="CJ139" s="11" t="s">
        <v>319</v>
      </c>
      <c r="CL139" s="18"/>
      <c r="CN139" s="11" t="s">
        <v>320</v>
      </c>
      <c r="CO139" s="22">
        <v>21600</v>
      </c>
      <c r="CP139" s="18">
        <v>0.52</v>
      </c>
      <c r="CQ139" s="22">
        <v>46000</v>
      </c>
      <c r="CR139" s="11" t="s">
        <v>319</v>
      </c>
      <c r="CT139" s="18"/>
      <c r="CV139" s="12" t="s">
        <v>320</v>
      </c>
      <c r="CW139" s="22">
        <v>21600</v>
      </c>
      <c r="CX139" s="18">
        <v>0.52</v>
      </c>
      <c r="CY139" s="22">
        <v>46000</v>
      </c>
      <c r="CZ139" s="11" t="s">
        <v>319</v>
      </c>
      <c r="DB139" s="18"/>
      <c r="DD139" s="11" t="s">
        <v>319</v>
      </c>
      <c r="DF139" s="18"/>
      <c r="DH139" s="11" t="s">
        <v>319</v>
      </c>
      <c r="DJ139" s="18"/>
      <c r="DL139" s="11" t="s">
        <v>319</v>
      </c>
      <c r="DN139" s="18"/>
      <c r="DP139" s="11" t="s">
        <v>319</v>
      </c>
      <c r="DR139" s="18"/>
      <c r="DT139" s="11" t="s">
        <v>319</v>
      </c>
      <c r="DV139" s="18"/>
      <c r="DX139" s="11" t="s">
        <v>319</v>
      </c>
      <c r="DZ139" s="18"/>
      <c r="EB139" s="11" t="s">
        <v>319</v>
      </c>
      <c r="ED139" s="18"/>
      <c r="EI139" s="18"/>
      <c r="ES139" s="18"/>
      <c r="EW139" s="18"/>
      <c r="FA139" s="18"/>
      <c r="FE139" s="18"/>
      <c r="FI139" s="18"/>
      <c r="FM139" s="18"/>
      <c r="FQ139" s="18"/>
      <c r="FU139" s="18"/>
      <c r="FY139" s="18"/>
      <c r="GC139" s="18"/>
      <c r="GG139" s="18"/>
      <c r="GK139" s="18"/>
      <c r="GO139" s="18"/>
      <c r="GS139" s="18"/>
      <c r="GW139" s="18"/>
      <c r="HA139" s="18"/>
      <c r="HF139" s="18"/>
      <c r="HH139" s="11" t="s">
        <v>319</v>
      </c>
      <c r="HK139" s="11" t="s">
        <v>319</v>
      </c>
      <c r="HL139" s="11" t="s">
        <v>319</v>
      </c>
      <c r="HP139" s="11" t="s">
        <v>330</v>
      </c>
      <c r="HQ139" s="11" t="s">
        <v>319</v>
      </c>
      <c r="HR139" s="11" t="s">
        <v>319</v>
      </c>
      <c r="HS139" s="11" t="s">
        <v>320</v>
      </c>
      <c r="HT139" s="11" t="s">
        <v>320</v>
      </c>
      <c r="HU139" s="11" t="s">
        <v>320</v>
      </c>
      <c r="HV139" s="11" t="s">
        <v>319</v>
      </c>
      <c r="HW139" s="11" t="s">
        <v>319</v>
      </c>
      <c r="HZ139" s="12" t="s">
        <v>331</v>
      </c>
      <c r="IA139" s="11" t="s">
        <v>2565</v>
      </c>
      <c r="IB139" s="12" t="s">
        <v>396</v>
      </c>
      <c r="IC139" s="11" t="s">
        <v>2566</v>
      </c>
      <c r="ID139" s="11" t="s">
        <v>364</v>
      </c>
      <c r="IE139" s="11" t="s">
        <v>335</v>
      </c>
      <c r="IF139" s="11" t="s">
        <v>320</v>
      </c>
      <c r="IG139" s="11" t="s">
        <v>320</v>
      </c>
      <c r="IH139" s="11" t="s">
        <v>320</v>
      </c>
      <c r="II139" s="11" t="s">
        <v>320</v>
      </c>
      <c r="IJ139" s="12" t="str">
        <f t="shared" si="87"/>
        <v>2. Sensitive</v>
      </c>
      <c r="IK139" s="12">
        <f t="shared" si="88"/>
        <v>4</v>
      </c>
      <c r="IL139" s="11" t="s">
        <v>336</v>
      </c>
      <c r="IM139" s="11" t="s">
        <v>320</v>
      </c>
      <c r="IN139" s="11" t="s">
        <v>320</v>
      </c>
      <c r="IO139" s="11" t="s">
        <v>320</v>
      </c>
      <c r="IP139" s="11" t="s">
        <v>320</v>
      </c>
      <c r="IQ139" s="12" t="str">
        <f t="shared" si="89"/>
        <v>2. Accommodating</v>
      </c>
      <c r="IR139" s="12">
        <f t="shared" si="90"/>
        <v>4</v>
      </c>
      <c r="IS139" s="11" t="s">
        <v>337</v>
      </c>
      <c r="IT139" s="11" t="s">
        <v>320</v>
      </c>
      <c r="IU139" s="11" t="s">
        <v>320</v>
      </c>
      <c r="IV139" s="11" t="s">
        <v>320</v>
      </c>
      <c r="IW139" s="11" t="str">
        <f t="shared" si="91"/>
        <v>2. Sensitive</v>
      </c>
      <c r="IX139" s="12">
        <f t="shared" si="92"/>
        <v>3</v>
      </c>
      <c r="IY139" s="11" t="s">
        <v>338</v>
      </c>
      <c r="IZ139" s="12" t="s">
        <v>339</v>
      </c>
      <c r="JB139" s="12" t="s">
        <v>687</v>
      </c>
      <c r="JH139" s="11" t="s">
        <v>2567</v>
      </c>
      <c r="JI139" s="11" t="s">
        <v>2568</v>
      </c>
      <c r="JJ139" s="11" t="s">
        <v>2569</v>
      </c>
      <c r="JK139" s="11" t="s">
        <v>2570</v>
      </c>
      <c r="JL139" s="11" t="s">
        <v>2571</v>
      </c>
      <c r="JM139" s="11" t="s">
        <v>2572</v>
      </c>
      <c r="JN139" s="11" t="s">
        <v>2573</v>
      </c>
      <c r="JO139" s="11" t="s">
        <v>2574</v>
      </c>
      <c r="JP139" s="15">
        <f t="shared" si="93"/>
        <v>21600</v>
      </c>
      <c r="JQ139" s="15">
        <f t="shared" si="94"/>
        <v>46000</v>
      </c>
      <c r="JR139" s="279">
        <f t="shared" si="95"/>
        <v>2.1296296296296298</v>
      </c>
      <c r="JS139" s="17">
        <f t="shared" si="96"/>
        <v>0.52</v>
      </c>
      <c r="JT139" s="18">
        <f t="shared" si="97"/>
        <v>0.52</v>
      </c>
      <c r="JU139" s="280">
        <f t="shared" si="98"/>
        <v>11232</v>
      </c>
      <c r="JV139" s="280">
        <f t="shared" si="99"/>
        <v>23920</v>
      </c>
      <c r="JW139" s="319">
        <f t="shared" si="100"/>
        <v>1</v>
      </c>
      <c r="JX139" s="15">
        <f t="shared" si="101"/>
        <v>21600</v>
      </c>
      <c r="JY139" s="15">
        <f t="shared" si="102"/>
        <v>46000</v>
      </c>
      <c r="JZ139" s="19">
        <f t="shared" si="103"/>
        <v>2.1296296296296298</v>
      </c>
      <c r="KA139" s="52">
        <f t="shared" si="104"/>
        <v>1</v>
      </c>
      <c r="KB139" s="15">
        <f t="shared" si="105"/>
        <v>21600</v>
      </c>
      <c r="KC139" s="15">
        <f t="shared" si="106"/>
        <v>46000</v>
      </c>
      <c r="KD139" s="20">
        <f t="shared" si="107"/>
        <v>2.1296296296296298</v>
      </c>
      <c r="KE139" s="52" t="str">
        <f t="shared" si="108"/>
        <v/>
      </c>
      <c r="KF139" s="15">
        <f t="shared" si="109"/>
        <v>0</v>
      </c>
      <c r="KG139" s="15">
        <f t="shared" si="110"/>
        <v>0</v>
      </c>
      <c r="KH139" s="21" t="str">
        <f t="shared" si="111"/>
        <v/>
      </c>
      <c r="KI139" s="52" t="str">
        <f t="shared" si="112"/>
        <v/>
      </c>
      <c r="KJ139" s="15">
        <f t="shared" si="113"/>
        <v>0</v>
      </c>
      <c r="KK139" s="15">
        <f t="shared" si="114"/>
        <v>0</v>
      </c>
      <c r="KL139" s="19" t="str">
        <f t="shared" si="115"/>
        <v/>
      </c>
      <c r="KM139" s="52" t="str">
        <f t="shared" si="116"/>
        <v/>
      </c>
      <c r="KN139" s="22">
        <f t="shared" si="117"/>
        <v>0</v>
      </c>
      <c r="KO139" s="22">
        <f t="shared" si="118"/>
        <v>0</v>
      </c>
      <c r="KP139" s="19" t="str">
        <f t="shared" si="119"/>
        <v/>
      </c>
      <c r="KQ139" s="11" t="str">
        <f t="shared" si="120"/>
        <v>2. Sensitive</v>
      </c>
      <c r="KR139" s="11" t="str">
        <f t="shared" si="121"/>
        <v>2. Accommodating</v>
      </c>
      <c r="KS139" s="11" t="str">
        <f t="shared" si="122"/>
        <v>2. Sensitive</v>
      </c>
      <c r="KT139" s="11" t="str">
        <f t="shared" si="123"/>
        <v>It tested new ways for fighting poverty and measured results of innovation</v>
      </c>
      <c r="KU139" s="11" t="str">
        <f t="shared" si="124"/>
        <v>Moderate advocacy</v>
      </c>
      <c r="KV139" s="11" t="str">
        <f t="shared" si="125"/>
        <v>It linked and worked with strategic alliances and partners to take tested and effective solutions to scale</v>
      </c>
      <c r="KW139" s="11" t="str">
        <f t="shared" si="126"/>
        <v>Chad - Soutien alimentaire additionnel aux enfants à risque ou affectés par la malnutrition dans le WADI-FIRA</v>
      </c>
      <c r="KX139" s="11" t="str">
        <f t="shared" si="127"/>
        <v>Soutien alimentaire additionnel aux enfants à risque ou affectés par la malnutrition dans le WADI-FIRA</v>
      </c>
      <c r="KY139" s="11" t="str">
        <f t="shared" si="128"/>
        <v>Chad</v>
      </c>
      <c r="KZ139" s="12">
        <v>139</v>
      </c>
    </row>
    <row r="140" spans="1:312" x14ac:dyDescent="0.3">
      <c r="A140" s="11" t="s">
        <v>2536</v>
      </c>
      <c r="B140" s="11" t="s">
        <v>1596</v>
      </c>
      <c r="C140" s="11">
        <v>2848</v>
      </c>
      <c r="D140" s="11" t="s">
        <v>2787</v>
      </c>
      <c r="E140" s="24" t="str">
        <f t="shared" si="86"/>
        <v>Chad</v>
      </c>
      <c r="F140" s="11" t="s">
        <v>2788</v>
      </c>
      <c r="G140" s="11" t="s">
        <v>379</v>
      </c>
      <c r="H140" s="11" t="s">
        <v>310</v>
      </c>
      <c r="I140" s="11" t="s">
        <v>655</v>
      </c>
      <c r="J140" s="278" t="s">
        <v>9916</v>
      </c>
      <c r="BD140" s="23">
        <v>42248</v>
      </c>
      <c r="BE140" s="23">
        <v>42613</v>
      </c>
      <c r="BG140" s="11" t="s">
        <v>908</v>
      </c>
      <c r="BH140" s="22">
        <v>945775.76</v>
      </c>
      <c r="BI140" s="11" t="s">
        <v>2662</v>
      </c>
      <c r="BJ140" s="11" t="s">
        <v>2789</v>
      </c>
      <c r="BK140" s="11" t="s">
        <v>2598</v>
      </c>
      <c r="BL140" s="11" t="s">
        <v>2790</v>
      </c>
      <c r="BM140" s="11" t="s">
        <v>2791</v>
      </c>
      <c r="BN140" s="11" t="s">
        <v>2792</v>
      </c>
      <c r="BO140" s="11" t="s">
        <v>320</v>
      </c>
      <c r="BP140" s="11" t="s">
        <v>319</v>
      </c>
      <c r="BQ140" s="11" t="s">
        <v>319</v>
      </c>
      <c r="BR140" s="11" t="s">
        <v>2793</v>
      </c>
      <c r="BS140" s="11" t="s">
        <v>357</v>
      </c>
      <c r="BT140" s="11" t="s">
        <v>2794</v>
      </c>
      <c r="BU140" s="11" t="s">
        <v>2795</v>
      </c>
      <c r="BV140" s="22">
        <v>25060</v>
      </c>
      <c r="BW140" s="22">
        <v>16706</v>
      </c>
      <c r="BX140" s="22">
        <v>41766</v>
      </c>
      <c r="BY140" s="22">
        <v>6718</v>
      </c>
      <c r="BZ140" s="22">
        <v>243</v>
      </c>
      <c r="CA140" s="22">
        <v>6961</v>
      </c>
      <c r="CB140" s="15" t="s">
        <v>2796</v>
      </c>
      <c r="CD140" s="22">
        <v>7437</v>
      </c>
      <c r="CE140" s="22">
        <v>846</v>
      </c>
      <c r="CF140" s="22">
        <v>8283</v>
      </c>
      <c r="CG140" s="22">
        <v>25060</v>
      </c>
      <c r="CH140" s="22">
        <v>16706</v>
      </c>
      <c r="CI140" s="22">
        <v>41766</v>
      </c>
      <c r="CL140" s="18"/>
      <c r="CP140" s="18"/>
      <c r="CT140" s="18"/>
      <c r="CV140" s="12" t="s">
        <v>320</v>
      </c>
      <c r="CW140" s="22">
        <v>4435</v>
      </c>
      <c r="CX140" s="18">
        <v>0.95499999999999996</v>
      </c>
      <c r="DB140" s="18"/>
      <c r="DF140" s="18"/>
      <c r="DJ140" s="18"/>
      <c r="DL140" s="11" t="s">
        <v>320</v>
      </c>
      <c r="DM140" s="22">
        <v>3281</v>
      </c>
      <c r="DN140" s="18">
        <v>0.83699999999999997</v>
      </c>
      <c r="DR140" s="18"/>
      <c r="DV140" s="18"/>
      <c r="DZ140" s="18"/>
      <c r="ED140" s="18"/>
      <c r="EI140" s="18"/>
      <c r="ES140" s="18"/>
      <c r="EW140" s="18"/>
      <c r="FA140" s="18"/>
      <c r="FE140" s="18"/>
      <c r="FI140" s="18"/>
      <c r="FM140" s="18"/>
      <c r="FQ140" s="18"/>
      <c r="FU140" s="18"/>
      <c r="FY140" s="18"/>
      <c r="GC140" s="18"/>
      <c r="GG140" s="18"/>
      <c r="GK140" s="18"/>
      <c r="GO140" s="18"/>
      <c r="GS140" s="18"/>
      <c r="GW140" s="18"/>
      <c r="HA140" s="18"/>
      <c r="HF140" s="18"/>
      <c r="HH140" s="11" t="s">
        <v>320</v>
      </c>
      <c r="HI140" s="11" t="s">
        <v>327</v>
      </c>
      <c r="HJ140" s="11">
        <v>2016</v>
      </c>
      <c r="HK140" s="11" t="s">
        <v>320</v>
      </c>
      <c r="HL140" s="11" t="s">
        <v>319</v>
      </c>
      <c r="HO140" s="11" t="s">
        <v>2797</v>
      </c>
      <c r="HP140" s="11" t="s">
        <v>330</v>
      </c>
      <c r="HQ140" s="11" t="s">
        <v>319</v>
      </c>
      <c r="HR140" s="11" t="s">
        <v>319</v>
      </c>
      <c r="HS140" s="11" t="s">
        <v>320</v>
      </c>
      <c r="HT140" s="11" t="s">
        <v>320</v>
      </c>
      <c r="HU140" s="11" t="s">
        <v>319</v>
      </c>
      <c r="HV140" s="11" t="s">
        <v>319</v>
      </c>
      <c r="HW140" s="11" t="s">
        <v>319</v>
      </c>
      <c r="HX140" s="11" t="s">
        <v>320</v>
      </c>
      <c r="HY140" s="11" t="s">
        <v>2798</v>
      </c>
      <c r="HZ140" s="12" t="s">
        <v>331</v>
      </c>
      <c r="IA140" s="11" t="s">
        <v>2799</v>
      </c>
      <c r="IB140" s="12" t="s">
        <v>396</v>
      </c>
      <c r="ID140" s="11" t="s">
        <v>364</v>
      </c>
      <c r="IE140" s="11" t="s">
        <v>335</v>
      </c>
      <c r="IF140" s="11" t="s">
        <v>320</v>
      </c>
      <c r="IG140" s="11" t="s">
        <v>320</v>
      </c>
      <c r="IH140" s="11" t="s">
        <v>320</v>
      </c>
      <c r="II140" s="11" t="s">
        <v>320</v>
      </c>
      <c r="IJ140" s="12" t="str">
        <f t="shared" si="87"/>
        <v>2. Sensitive</v>
      </c>
      <c r="IK140" s="12">
        <f t="shared" si="88"/>
        <v>4</v>
      </c>
      <c r="IL140" s="11" t="s">
        <v>621</v>
      </c>
      <c r="IM140" s="11" t="s">
        <v>320</v>
      </c>
      <c r="IN140" s="11" t="s">
        <v>320</v>
      </c>
      <c r="IO140" s="11" t="s">
        <v>320</v>
      </c>
      <c r="IP140" s="11" t="s">
        <v>320</v>
      </c>
      <c r="IQ140" s="12" t="str">
        <f t="shared" si="89"/>
        <v>4. Transformational</v>
      </c>
      <c r="IR140" s="12">
        <f t="shared" si="90"/>
        <v>4</v>
      </c>
      <c r="IS140" s="11" t="s">
        <v>622</v>
      </c>
      <c r="IT140" s="11" t="s">
        <v>320</v>
      </c>
      <c r="IU140" s="11" t="s">
        <v>320</v>
      </c>
      <c r="IV140" s="11" t="s">
        <v>320</v>
      </c>
      <c r="IW140" s="11" t="str">
        <f t="shared" si="91"/>
        <v>4. Transformative</v>
      </c>
      <c r="IX140" s="12">
        <f t="shared" si="92"/>
        <v>3</v>
      </c>
      <c r="IY140" s="11" t="s">
        <v>419</v>
      </c>
      <c r="IZ140" s="12" t="s">
        <v>457</v>
      </c>
      <c r="JB140" s="11" t="s">
        <v>433</v>
      </c>
      <c r="JC140" s="12" t="s">
        <v>623</v>
      </c>
      <c r="JD140" s="12" t="s">
        <v>724</v>
      </c>
      <c r="JE140" s="12" t="s">
        <v>365</v>
      </c>
      <c r="JG140" s="11" t="s">
        <v>2800</v>
      </c>
      <c r="JH140" s="11" t="s">
        <v>2801</v>
      </c>
      <c r="JI140" s="11" t="s">
        <v>2802</v>
      </c>
      <c r="JJ140" s="11" t="s">
        <v>2803</v>
      </c>
      <c r="JK140" s="11" t="s">
        <v>2804</v>
      </c>
      <c r="JL140" s="11" t="s">
        <v>2805</v>
      </c>
      <c r="JP140" s="15">
        <f t="shared" si="93"/>
        <v>8283</v>
      </c>
      <c r="JQ140" s="15">
        <f t="shared" si="94"/>
        <v>41766</v>
      </c>
      <c r="JR140" s="279">
        <f t="shared" si="95"/>
        <v>5.0423759507424846</v>
      </c>
      <c r="JS140" s="17">
        <f t="shared" si="96"/>
        <v>0.89786309308221657</v>
      </c>
      <c r="JT140" s="18">
        <f t="shared" si="97"/>
        <v>0.60000957716803138</v>
      </c>
      <c r="JU140" s="280">
        <f t="shared" si="98"/>
        <v>7437</v>
      </c>
      <c r="JV140" s="280">
        <f t="shared" si="99"/>
        <v>25060</v>
      </c>
      <c r="JW140" s="319">
        <f t="shared" si="100"/>
        <v>1</v>
      </c>
      <c r="JX140" s="15">
        <f t="shared" si="101"/>
        <v>8283</v>
      </c>
      <c r="JY140" s="15">
        <f t="shared" si="102"/>
        <v>41766</v>
      </c>
      <c r="JZ140" s="19">
        <f t="shared" si="103"/>
        <v>5.0423759507424846</v>
      </c>
      <c r="KA140" s="52">
        <f t="shared" si="104"/>
        <v>1</v>
      </c>
      <c r="KB140" s="15">
        <f t="shared" si="105"/>
        <v>4435</v>
      </c>
      <c r="KC140" s="15">
        <f t="shared" si="106"/>
        <v>0</v>
      </c>
      <c r="KD140" s="20">
        <f t="shared" si="107"/>
        <v>0</v>
      </c>
      <c r="KE140" s="52" t="str">
        <f t="shared" si="108"/>
        <v/>
      </c>
      <c r="KF140" s="15">
        <f t="shared" si="109"/>
        <v>0</v>
      </c>
      <c r="KG140" s="15">
        <f t="shared" si="110"/>
        <v>0</v>
      </c>
      <c r="KH140" s="21" t="str">
        <f t="shared" si="111"/>
        <v/>
      </c>
      <c r="KI140" s="52" t="str">
        <f t="shared" si="112"/>
        <v/>
      </c>
      <c r="KJ140" s="15">
        <f t="shared" si="113"/>
        <v>0</v>
      </c>
      <c r="KK140" s="15">
        <f t="shared" si="114"/>
        <v>0</v>
      </c>
      <c r="KL140" s="19" t="str">
        <f t="shared" si="115"/>
        <v/>
      </c>
      <c r="KM140" s="52" t="str">
        <f t="shared" si="116"/>
        <v/>
      </c>
      <c r="KN140" s="22">
        <f t="shared" si="117"/>
        <v>0</v>
      </c>
      <c r="KO140" s="22">
        <f t="shared" si="118"/>
        <v>0</v>
      </c>
      <c r="KP140" s="19" t="str">
        <f t="shared" si="119"/>
        <v/>
      </c>
      <c r="KQ140" s="11" t="str">
        <f t="shared" si="120"/>
        <v>2. Sensitive</v>
      </c>
      <c r="KR140" s="11" t="str">
        <f t="shared" si="121"/>
        <v>4. Transformational</v>
      </c>
      <c r="KS140" s="11" t="str">
        <f t="shared" si="122"/>
        <v>4. Transformative</v>
      </c>
      <c r="KT140" s="11" t="str">
        <f t="shared" si="123"/>
        <v>It tested new ways for fighting poverty and measured results of innovation</v>
      </c>
      <c r="KU140" s="11" t="str">
        <f t="shared" si="124"/>
        <v>Moderate advocacy</v>
      </c>
      <c r="KV140" s="11" t="str">
        <f t="shared" si="125"/>
        <v>It linked and worked with strategic alliances and partners to take tested and effective solutions to scale</v>
      </c>
      <c r="KW140" s="11" t="str">
        <f t="shared" si="126"/>
        <v>Chad - Support to the most vulnerable households affected by the successive food crisis in WadiFira</v>
      </c>
      <c r="KX140" s="11" t="str">
        <f t="shared" si="127"/>
        <v>Support to the most vulnerable households affected by the successive food crisis in WadiFira</v>
      </c>
      <c r="KY140" s="11" t="str">
        <f t="shared" si="128"/>
        <v>Chad</v>
      </c>
      <c r="KZ140" s="12">
        <v>140</v>
      </c>
    </row>
    <row r="141" spans="1:312" x14ac:dyDescent="0.3">
      <c r="A141" s="11" t="s">
        <v>2536</v>
      </c>
      <c r="B141" s="11" t="s">
        <v>1596</v>
      </c>
      <c r="C141" s="11">
        <v>2850</v>
      </c>
      <c r="D141" s="11" t="s">
        <v>2731</v>
      </c>
      <c r="E141" s="24" t="str">
        <f t="shared" si="86"/>
        <v>Chad</v>
      </c>
      <c r="F141" s="11" t="s">
        <v>2732</v>
      </c>
      <c r="G141" s="11" t="s">
        <v>488</v>
      </c>
      <c r="H141" s="11" t="s">
        <v>489</v>
      </c>
      <c r="I141" s="11" t="s">
        <v>384</v>
      </c>
      <c r="J141" s="278" t="s">
        <v>2248</v>
      </c>
      <c r="BD141" s="23">
        <v>42309</v>
      </c>
      <c r="BE141" s="23">
        <v>43038</v>
      </c>
      <c r="BG141" s="11" t="s">
        <v>947</v>
      </c>
      <c r="BH141" s="22">
        <v>193136</v>
      </c>
      <c r="BI141" s="11" t="s">
        <v>2733</v>
      </c>
      <c r="BJ141" s="11" t="s">
        <v>2734</v>
      </c>
      <c r="BK141" s="11" t="s">
        <v>2540</v>
      </c>
      <c r="BL141" s="11" t="s">
        <v>2735</v>
      </c>
      <c r="BM141" s="11" t="s">
        <v>2736</v>
      </c>
      <c r="BN141" s="11" t="s">
        <v>2737</v>
      </c>
      <c r="BO141" s="11" t="s">
        <v>320</v>
      </c>
      <c r="BP141" s="11" t="s">
        <v>320</v>
      </c>
      <c r="BQ141" s="11" t="s">
        <v>320</v>
      </c>
      <c r="BR141" s="11" t="s">
        <v>2738</v>
      </c>
      <c r="BS141" s="11" t="s">
        <v>1535</v>
      </c>
      <c r="BT141" s="11" t="s">
        <v>2739</v>
      </c>
      <c r="BU141" s="11" t="s">
        <v>2740</v>
      </c>
      <c r="BV141" s="22">
        <v>5000</v>
      </c>
      <c r="BW141" s="22">
        <v>0</v>
      </c>
      <c r="BX141" s="22">
        <v>5000</v>
      </c>
      <c r="BY141" s="22">
        <v>15000</v>
      </c>
      <c r="BZ141" s="22">
        <v>10000</v>
      </c>
      <c r="CA141" s="22">
        <v>25000</v>
      </c>
      <c r="CB141" s="15" t="s">
        <v>2741</v>
      </c>
      <c r="CD141" s="22">
        <v>2275</v>
      </c>
      <c r="CF141" s="22">
        <v>2275</v>
      </c>
      <c r="CG141" s="22">
        <v>6825</v>
      </c>
      <c r="CH141" s="22">
        <v>4550</v>
      </c>
      <c r="CI141" s="22">
        <v>11375</v>
      </c>
      <c r="CJ141" s="11" t="s">
        <v>319</v>
      </c>
      <c r="CL141" s="18"/>
      <c r="CN141" s="11" t="s">
        <v>319</v>
      </c>
      <c r="CP141" s="18"/>
      <c r="CR141" s="11" t="s">
        <v>319</v>
      </c>
      <c r="CT141" s="18"/>
      <c r="CV141" s="11" t="s">
        <v>319</v>
      </c>
      <c r="CX141" s="18"/>
      <c r="CZ141" s="11" t="s">
        <v>319</v>
      </c>
      <c r="DB141" s="18"/>
      <c r="DD141" s="11" t="s">
        <v>319</v>
      </c>
      <c r="DF141" s="18"/>
      <c r="DH141" s="11" t="s">
        <v>319</v>
      </c>
      <c r="DJ141" s="18"/>
      <c r="DL141" s="11" t="s">
        <v>319</v>
      </c>
      <c r="DN141" s="18"/>
      <c r="DP141" s="11" t="s">
        <v>319</v>
      </c>
      <c r="DR141" s="18"/>
      <c r="DT141" s="12" t="s">
        <v>320</v>
      </c>
      <c r="DU141" s="22">
        <v>2275</v>
      </c>
      <c r="DV141" s="18">
        <v>1</v>
      </c>
      <c r="DW141" s="22">
        <v>11375</v>
      </c>
      <c r="DX141" s="11" t="s">
        <v>319</v>
      </c>
      <c r="DZ141" s="18"/>
      <c r="EB141" s="11" t="s">
        <v>319</v>
      </c>
      <c r="ED141" s="18"/>
      <c r="EI141" s="18"/>
      <c r="EK141" s="22">
        <v>2275</v>
      </c>
      <c r="EM141" s="22">
        <v>2275</v>
      </c>
      <c r="EN141" s="22">
        <v>6825</v>
      </c>
      <c r="EO141" s="22">
        <v>4550</v>
      </c>
      <c r="EP141" s="22">
        <v>11375</v>
      </c>
      <c r="EQ141" s="12" t="s">
        <v>319</v>
      </c>
      <c r="ES141" s="18"/>
      <c r="EU141" s="11" t="s">
        <v>319</v>
      </c>
      <c r="EW141" s="18"/>
      <c r="EY141" s="12" t="s">
        <v>319</v>
      </c>
      <c r="FA141" s="18"/>
      <c r="FC141" s="12" t="s">
        <v>319</v>
      </c>
      <c r="FE141" s="18"/>
      <c r="FG141" s="12" t="s">
        <v>319</v>
      </c>
      <c r="FI141" s="18"/>
      <c r="FK141" s="11" t="s">
        <v>319</v>
      </c>
      <c r="FM141" s="18"/>
      <c r="FO141" s="11" t="s">
        <v>319</v>
      </c>
      <c r="FQ141" s="18"/>
      <c r="FS141" s="11" t="s">
        <v>319</v>
      </c>
      <c r="FU141" s="18"/>
      <c r="FW141" s="11" t="s">
        <v>319</v>
      </c>
      <c r="FY141" s="18"/>
      <c r="GA141" s="11" t="s">
        <v>319</v>
      </c>
      <c r="GC141" s="18"/>
      <c r="GE141" s="11" t="s">
        <v>319</v>
      </c>
      <c r="GG141" s="18"/>
      <c r="GI141" s="11" t="s">
        <v>319</v>
      </c>
      <c r="GK141" s="18"/>
      <c r="GM141" s="11" t="s">
        <v>319</v>
      </c>
      <c r="GO141" s="18"/>
      <c r="GQ141" s="12" t="s">
        <v>320</v>
      </c>
      <c r="GR141" s="22">
        <v>2275</v>
      </c>
      <c r="GS141" s="18">
        <v>1</v>
      </c>
      <c r="GT141" s="22">
        <v>11375</v>
      </c>
      <c r="GU141" s="11" t="s">
        <v>319</v>
      </c>
      <c r="GW141" s="18"/>
      <c r="GY141" s="11" t="s">
        <v>319</v>
      </c>
      <c r="HA141" s="18"/>
      <c r="HD141" s="11" t="s">
        <v>319</v>
      </c>
      <c r="HF141" s="18"/>
      <c r="HH141" s="11" t="s">
        <v>320</v>
      </c>
      <c r="HI141" s="11" t="s">
        <v>361</v>
      </c>
      <c r="HJ141" s="11">
        <v>2016</v>
      </c>
      <c r="HK141" s="11" t="s">
        <v>320</v>
      </c>
      <c r="HL141" s="11" t="s">
        <v>320</v>
      </c>
      <c r="HM141" s="11" t="s">
        <v>619</v>
      </c>
      <c r="HN141" s="11">
        <v>2017</v>
      </c>
      <c r="HO141" s="11" t="s">
        <v>2742</v>
      </c>
      <c r="HP141" s="11" t="s">
        <v>330</v>
      </c>
      <c r="HQ141" s="11" t="s">
        <v>319</v>
      </c>
      <c r="HR141" s="11" t="s">
        <v>320</v>
      </c>
      <c r="HS141" s="11" t="s">
        <v>320</v>
      </c>
      <c r="HT141" s="11" t="s">
        <v>319</v>
      </c>
      <c r="HU141" s="11" t="s">
        <v>319</v>
      </c>
      <c r="HV141" s="11" t="s">
        <v>320</v>
      </c>
      <c r="HW141" s="11" t="s">
        <v>319</v>
      </c>
      <c r="HX141" s="11" t="s">
        <v>319</v>
      </c>
      <c r="HZ141" s="11" t="s">
        <v>394</v>
      </c>
      <c r="IA141" s="11" t="s">
        <v>2743</v>
      </c>
      <c r="IB141" s="12" t="s">
        <v>396</v>
      </c>
      <c r="IC141" s="11" t="s">
        <v>2744</v>
      </c>
      <c r="ID141" s="12" t="s">
        <v>334</v>
      </c>
      <c r="IE141" s="11" t="s">
        <v>335</v>
      </c>
      <c r="IF141" s="11" t="s">
        <v>320</v>
      </c>
      <c r="IG141" s="11" t="s">
        <v>320</v>
      </c>
      <c r="IH141" s="11" t="s">
        <v>320</v>
      </c>
      <c r="II141" s="11" t="s">
        <v>320</v>
      </c>
      <c r="IJ141" s="12" t="str">
        <f t="shared" si="87"/>
        <v>2. Sensitive</v>
      </c>
      <c r="IK141" s="12">
        <f t="shared" si="88"/>
        <v>4</v>
      </c>
      <c r="IL141" s="11" t="s">
        <v>336</v>
      </c>
      <c r="IM141" s="11" t="s">
        <v>319</v>
      </c>
      <c r="IN141" s="11" t="s">
        <v>320</v>
      </c>
      <c r="IO141" s="11" t="s">
        <v>320</v>
      </c>
      <c r="IP141" s="11" t="s">
        <v>320</v>
      </c>
      <c r="IQ141" s="12" t="str">
        <f t="shared" si="89"/>
        <v>2. Accommodating</v>
      </c>
      <c r="IR141" s="12">
        <f t="shared" si="90"/>
        <v>3</v>
      </c>
      <c r="IS141" s="11" t="s">
        <v>622</v>
      </c>
      <c r="IT141" s="11" t="s">
        <v>320</v>
      </c>
      <c r="IU141" s="11" t="s">
        <v>320</v>
      </c>
      <c r="IV141" s="11" t="s">
        <v>320</v>
      </c>
      <c r="IW141" s="11" t="str">
        <f t="shared" si="91"/>
        <v>4. Transformative</v>
      </c>
      <c r="IX141" s="12">
        <f t="shared" si="92"/>
        <v>3</v>
      </c>
      <c r="IY141" s="11" t="s">
        <v>338</v>
      </c>
      <c r="IZ141" s="12" t="s">
        <v>457</v>
      </c>
      <c r="JA141" s="11">
        <v>2</v>
      </c>
      <c r="JB141" s="12" t="s">
        <v>687</v>
      </c>
      <c r="JC141" s="11" t="s">
        <v>624</v>
      </c>
      <c r="JE141" s="12" t="s">
        <v>340</v>
      </c>
      <c r="JF141" s="11" t="s">
        <v>2745</v>
      </c>
      <c r="JH141" s="11" t="s">
        <v>2746</v>
      </c>
      <c r="JI141" s="11" t="s">
        <v>2747</v>
      </c>
      <c r="JJ141" s="11" t="s">
        <v>2748</v>
      </c>
      <c r="JK141" s="11" t="s">
        <v>2749</v>
      </c>
      <c r="JL141" s="11" t="s">
        <v>2750</v>
      </c>
      <c r="JM141" s="11" t="s">
        <v>2751</v>
      </c>
      <c r="JP141" s="15">
        <f t="shared" si="93"/>
        <v>2275</v>
      </c>
      <c r="JQ141" s="15">
        <f t="shared" si="94"/>
        <v>11375</v>
      </c>
      <c r="JR141" s="279">
        <f t="shared" si="95"/>
        <v>5</v>
      </c>
      <c r="JS141" s="17">
        <f t="shared" si="96"/>
        <v>1</v>
      </c>
      <c r="JT141" s="18">
        <f t="shared" si="97"/>
        <v>0.6</v>
      </c>
      <c r="JU141" s="280">
        <f t="shared" si="98"/>
        <v>2275</v>
      </c>
      <c r="JV141" s="280">
        <f t="shared" si="99"/>
        <v>6825</v>
      </c>
      <c r="JW141" s="319">
        <f t="shared" si="100"/>
        <v>1</v>
      </c>
      <c r="JX141" s="15">
        <f t="shared" si="101"/>
        <v>2275</v>
      </c>
      <c r="JY141" s="15">
        <f t="shared" si="102"/>
        <v>11375</v>
      </c>
      <c r="JZ141" s="19">
        <f t="shared" si="103"/>
        <v>5</v>
      </c>
      <c r="KA141" s="52" t="str">
        <f t="shared" si="104"/>
        <v/>
      </c>
      <c r="KB141" s="15">
        <f t="shared" si="105"/>
        <v>0</v>
      </c>
      <c r="KC141" s="15">
        <f t="shared" si="106"/>
        <v>0</v>
      </c>
      <c r="KD141" s="20" t="str">
        <f t="shared" si="107"/>
        <v/>
      </c>
      <c r="KE141" s="52">
        <f t="shared" si="108"/>
        <v>1</v>
      </c>
      <c r="KF141" s="15">
        <f t="shared" si="109"/>
        <v>2275</v>
      </c>
      <c r="KG141" s="15">
        <f t="shared" si="110"/>
        <v>11375</v>
      </c>
      <c r="KH141" s="21">
        <f t="shared" si="111"/>
        <v>5</v>
      </c>
      <c r="KI141" s="52" t="str">
        <f t="shared" si="112"/>
        <v/>
      </c>
      <c r="KJ141" s="15">
        <f t="shared" si="113"/>
        <v>0</v>
      </c>
      <c r="KK141" s="15">
        <f t="shared" si="114"/>
        <v>0</v>
      </c>
      <c r="KL141" s="19" t="str">
        <f t="shared" si="115"/>
        <v/>
      </c>
      <c r="KM141" s="52" t="str">
        <f t="shared" si="116"/>
        <v/>
      </c>
      <c r="KN141" s="22">
        <f t="shared" si="117"/>
        <v>0</v>
      </c>
      <c r="KO141" s="22">
        <f t="shared" si="118"/>
        <v>0</v>
      </c>
      <c r="KP141" s="19" t="str">
        <f t="shared" si="119"/>
        <v/>
      </c>
      <c r="KQ141" s="11" t="str">
        <f t="shared" si="120"/>
        <v>2. Sensitive</v>
      </c>
      <c r="KR141" s="11" t="str">
        <f t="shared" si="121"/>
        <v>2. Accommodating</v>
      </c>
      <c r="KS141" s="11" t="str">
        <f t="shared" si="122"/>
        <v>4. Transformative</v>
      </c>
      <c r="KT141" s="11" t="str">
        <f t="shared" si="123"/>
        <v>It tested new ways for fighting poverty, but did not measure results of innovation</v>
      </c>
      <c r="KU141" s="11" t="str">
        <f t="shared" si="124"/>
        <v>Moderate advocacy</v>
      </c>
      <c r="KV141" s="11" t="str">
        <f t="shared" si="125"/>
        <v>It linked and worked with strategic alliances and partners to take tested and effective solutions to scale</v>
      </c>
      <c r="KW141" s="11" t="str">
        <f t="shared" si="126"/>
        <v>Chad - Women on Move for Women</v>
      </c>
      <c r="KX141" s="11" t="str">
        <f t="shared" si="127"/>
        <v>Women on Move for Women</v>
      </c>
      <c r="KY141" s="11" t="str">
        <f t="shared" si="128"/>
        <v>Chad</v>
      </c>
      <c r="KZ141" s="12">
        <v>141</v>
      </c>
    </row>
    <row r="142" spans="1:312" x14ac:dyDescent="0.3">
      <c r="A142" s="12" t="s">
        <v>2806</v>
      </c>
      <c r="B142" s="12" t="s">
        <v>2807</v>
      </c>
      <c r="C142" s="12"/>
      <c r="D142" s="12" t="s">
        <v>2808</v>
      </c>
      <c r="E142" s="277" t="str">
        <f t="shared" si="86"/>
        <v>Colombia</v>
      </c>
      <c r="F142" s="12"/>
      <c r="G142" s="12" t="s">
        <v>379</v>
      </c>
      <c r="H142" s="12" t="s">
        <v>384</v>
      </c>
      <c r="I142" s="12" t="s">
        <v>384</v>
      </c>
      <c r="J142" s="281"/>
      <c r="K142" s="12"/>
      <c r="L142" s="12"/>
      <c r="M142" s="12"/>
      <c r="N142" s="12"/>
      <c r="O142" s="12"/>
      <c r="P142" s="12"/>
      <c r="Q142" s="12"/>
      <c r="R142" s="12"/>
      <c r="S142" s="12"/>
      <c r="T142" s="12"/>
      <c r="U142" s="12"/>
      <c r="V142" s="12"/>
      <c r="W142" s="12"/>
      <c r="X142" s="12"/>
      <c r="Y142" s="12"/>
      <c r="Z142" s="12"/>
      <c r="AA142" s="12"/>
      <c r="AB142" s="12"/>
      <c r="AC142" s="12"/>
      <c r="AD142" s="12"/>
      <c r="BD142" s="13">
        <v>42552</v>
      </c>
      <c r="BE142" s="13">
        <v>47818</v>
      </c>
      <c r="BF142" s="12"/>
      <c r="BG142" s="12" t="s">
        <v>312</v>
      </c>
      <c r="BH142" s="14"/>
      <c r="BI142" s="12" t="s">
        <v>2809</v>
      </c>
      <c r="BJ142" s="12" t="s">
        <v>2810</v>
      </c>
      <c r="BK142" s="12" t="s">
        <v>2811</v>
      </c>
      <c r="BL142" s="12" t="s">
        <v>2812</v>
      </c>
      <c r="BM142" s="12" t="s">
        <v>2813</v>
      </c>
      <c r="BN142" s="12" t="s">
        <v>2814</v>
      </c>
      <c r="BO142" s="12" t="s">
        <v>319</v>
      </c>
      <c r="BP142" s="12" t="s">
        <v>320</v>
      </c>
      <c r="BQ142" s="12" t="s">
        <v>319</v>
      </c>
      <c r="BR142" s="12" t="s">
        <v>2815</v>
      </c>
      <c r="BS142" s="12" t="s">
        <v>1535</v>
      </c>
      <c r="BT142" s="12" t="s">
        <v>2816</v>
      </c>
      <c r="BU142" s="12" t="s">
        <v>2817</v>
      </c>
      <c r="BV142" s="14"/>
      <c r="BW142" s="14"/>
      <c r="BX142" s="14"/>
      <c r="BY142" s="14"/>
      <c r="BZ142" s="14"/>
      <c r="CA142" s="14"/>
      <c r="CB142" s="12" t="s">
        <v>2818</v>
      </c>
      <c r="CD142" s="14"/>
      <c r="CE142" s="14"/>
      <c r="CF142" s="14"/>
      <c r="CG142" s="14"/>
      <c r="CH142" s="14"/>
      <c r="CI142" s="14"/>
      <c r="CJ142" s="12"/>
      <c r="CK142" s="14"/>
      <c r="CL142" s="16"/>
      <c r="CM142" s="14"/>
      <c r="CN142" s="12"/>
      <c r="CO142" s="14"/>
      <c r="CP142" s="16"/>
      <c r="CQ142" s="14"/>
      <c r="CR142" s="12"/>
      <c r="CS142" s="14"/>
      <c r="CT142" s="16"/>
      <c r="CU142" s="14"/>
      <c r="CV142" s="12"/>
      <c r="CW142" s="14"/>
      <c r="CX142" s="16"/>
      <c r="CY142" s="14"/>
      <c r="CZ142" s="12"/>
      <c r="DA142" s="14"/>
      <c r="DB142" s="16"/>
      <c r="DC142" s="14"/>
      <c r="DD142" s="12"/>
      <c r="DE142" s="14"/>
      <c r="DF142" s="16"/>
      <c r="DG142" s="14"/>
      <c r="DH142" s="12"/>
      <c r="DI142" s="14"/>
      <c r="DJ142" s="16"/>
      <c r="DK142" s="14"/>
      <c r="DL142" s="12"/>
      <c r="DM142" s="14"/>
      <c r="DN142" s="16"/>
      <c r="DO142" s="14"/>
      <c r="DP142" s="12"/>
      <c r="DQ142" s="14"/>
      <c r="DR142" s="16"/>
      <c r="DS142" s="14"/>
      <c r="DT142" s="12"/>
      <c r="DU142" s="14"/>
      <c r="DV142" s="16"/>
      <c r="DW142" s="14"/>
      <c r="DX142" s="12"/>
      <c r="DY142" s="14"/>
      <c r="DZ142" s="16"/>
      <c r="EA142" s="14"/>
      <c r="EB142" s="12"/>
      <c r="EC142" s="14"/>
      <c r="ED142" s="16"/>
      <c r="EE142" s="14"/>
      <c r="EF142" s="12"/>
      <c r="EG142" s="12"/>
      <c r="EH142" s="14"/>
      <c r="EI142" s="16"/>
      <c r="EJ142" s="14"/>
      <c r="EK142" s="14"/>
      <c r="EL142" s="14"/>
      <c r="EM142" s="14"/>
      <c r="EN142" s="14"/>
      <c r="EO142" s="14"/>
      <c r="EP142" s="14"/>
      <c r="EQ142" s="12"/>
      <c r="ER142" s="14"/>
      <c r="ES142" s="16"/>
      <c r="ET142" s="14"/>
      <c r="EU142" s="12"/>
      <c r="EV142" s="14"/>
      <c r="EW142" s="16"/>
      <c r="EX142" s="14"/>
      <c r="EY142" s="12"/>
      <c r="EZ142" s="14"/>
      <c r="FA142" s="16"/>
      <c r="FB142" s="14"/>
      <c r="FC142" s="12"/>
      <c r="FD142" s="14"/>
      <c r="FE142" s="16"/>
      <c r="FF142" s="14"/>
      <c r="FG142" s="12"/>
      <c r="FH142" s="14"/>
      <c r="FI142" s="16"/>
      <c r="FJ142" s="14"/>
      <c r="FK142" s="12"/>
      <c r="FL142" s="14"/>
      <c r="FM142" s="16"/>
      <c r="FN142" s="14"/>
      <c r="FO142" s="12"/>
      <c r="FP142" s="14"/>
      <c r="FQ142" s="16"/>
      <c r="FR142" s="14"/>
      <c r="FS142" s="12" t="s">
        <v>320</v>
      </c>
      <c r="FT142" s="14"/>
      <c r="FU142" s="16"/>
      <c r="FV142" s="14"/>
      <c r="FW142" s="12" t="s">
        <v>320</v>
      </c>
      <c r="FX142" s="14"/>
      <c r="FY142" s="16"/>
      <c r="FZ142" s="14"/>
      <c r="GA142" s="12"/>
      <c r="GB142" s="14"/>
      <c r="GC142" s="16"/>
      <c r="GD142" s="14"/>
      <c r="GE142" s="12"/>
      <c r="GF142" s="14"/>
      <c r="GG142" s="16"/>
      <c r="GH142" s="14"/>
      <c r="GI142" s="12"/>
      <c r="GJ142" s="14"/>
      <c r="GK142" s="16"/>
      <c r="GL142" s="14"/>
      <c r="GM142" s="12" t="s">
        <v>320</v>
      </c>
      <c r="GN142" s="14"/>
      <c r="GO142" s="16"/>
      <c r="GP142" s="14"/>
      <c r="GQ142" s="12"/>
      <c r="GR142" s="14"/>
      <c r="GS142" s="16"/>
      <c r="GT142" s="14"/>
      <c r="GU142" s="12"/>
      <c r="GV142" s="14"/>
      <c r="GW142" s="16"/>
      <c r="GX142" s="14"/>
      <c r="GY142" s="12" t="s">
        <v>320</v>
      </c>
      <c r="GZ142" s="14"/>
      <c r="HA142" s="16"/>
      <c r="HB142" s="14"/>
      <c r="HC142" s="12"/>
      <c r="HD142" s="12"/>
      <c r="HE142" s="14"/>
      <c r="HF142" s="16"/>
      <c r="HG142" s="14"/>
      <c r="HH142" s="12" t="s">
        <v>319</v>
      </c>
      <c r="HI142" s="12"/>
      <c r="HJ142" s="12"/>
      <c r="HK142" s="12"/>
      <c r="HL142" s="12" t="s">
        <v>320</v>
      </c>
      <c r="HM142" s="12" t="s">
        <v>451</v>
      </c>
      <c r="HN142" s="12">
        <v>2018</v>
      </c>
      <c r="HO142" s="12" t="s">
        <v>2819</v>
      </c>
      <c r="HP142" s="12" t="s">
        <v>330</v>
      </c>
      <c r="HQ142" s="12" t="s">
        <v>319</v>
      </c>
      <c r="HR142" s="12" t="s">
        <v>319</v>
      </c>
      <c r="HS142" s="12" t="s">
        <v>320</v>
      </c>
      <c r="HT142" s="12" t="s">
        <v>320</v>
      </c>
      <c r="HU142" s="12" t="s">
        <v>320</v>
      </c>
      <c r="HV142" s="12" t="s">
        <v>320</v>
      </c>
      <c r="HW142" s="12" t="s">
        <v>319</v>
      </c>
      <c r="HX142" s="12" t="s">
        <v>320</v>
      </c>
      <c r="HY142" s="12" t="s">
        <v>2820</v>
      </c>
      <c r="HZ142" s="12" t="s">
        <v>394</v>
      </c>
      <c r="IA142" s="12" t="s">
        <v>2821</v>
      </c>
      <c r="IB142" s="12" t="s">
        <v>396</v>
      </c>
      <c r="IC142" s="12" t="s">
        <v>2822</v>
      </c>
      <c r="ID142" s="12" t="s">
        <v>334</v>
      </c>
      <c r="IE142" s="12" t="s">
        <v>478</v>
      </c>
      <c r="IF142" s="12" t="s">
        <v>320</v>
      </c>
      <c r="IG142" s="12" t="s">
        <v>320</v>
      </c>
      <c r="IH142" s="12" t="s">
        <v>320</v>
      </c>
      <c r="II142" s="12" t="s">
        <v>319</v>
      </c>
      <c r="IJ142" s="12" t="str">
        <f t="shared" si="87"/>
        <v>3. Responsive</v>
      </c>
      <c r="IK142" s="12">
        <f t="shared" si="88"/>
        <v>3</v>
      </c>
      <c r="IL142" s="11" t="s">
        <v>621</v>
      </c>
      <c r="IM142" s="12" t="s">
        <v>320</v>
      </c>
      <c r="IN142" s="12" t="s">
        <v>320</v>
      </c>
      <c r="IO142" s="12" t="s">
        <v>320</v>
      </c>
      <c r="IP142" s="12" t="s">
        <v>320</v>
      </c>
      <c r="IQ142" s="12" t="str">
        <f t="shared" si="89"/>
        <v>4. Transformational</v>
      </c>
      <c r="IR142" s="12">
        <f t="shared" si="90"/>
        <v>4</v>
      </c>
      <c r="IS142" s="12" t="s">
        <v>337</v>
      </c>
      <c r="IT142" s="12" t="s">
        <v>319</v>
      </c>
      <c r="IU142" s="12" t="s">
        <v>320</v>
      </c>
      <c r="IV142" s="12" t="s">
        <v>319</v>
      </c>
      <c r="IW142" s="11" t="str">
        <f t="shared" si="91"/>
        <v>1. Neutral</v>
      </c>
      <c r="IX142" s="12">
        <f t="shared" si="92"/>
        <v>1</v>
      </c>
      <c r="IY142" s="12" t="s">
        <v>338</v>
      </c>
      <c r="IZ142" s="12" t="s">
        <v>457</v>
      </c>
      <c r="JA142" s="12"/>
      <c r="JB142" s="12" t="s">
        <v>2236</v>
      </c>
      <c r="JC142" s="11" t="s">
        <v>433</v>
      </c>
      <c r="JD142" s="12" t="s">
        <v>832</v>
      </c>
      <c r="JE142" s="12" t="s">
        <v>340</v>
      </c>
      <c r="JF142" s="12" t="s">
        <v>2823</v>
      </c>
      <c r="JG142" s="12" t="s">
        <v>2824</v>
      </c>
      <c r="JH142" s="12" t="s">
        <v>2825</v>
      </c>
      <c r="JI142" s="12" t="s">
        <v>2826</v>
      </c>
      <c r="JJ142" s="12" t="s">
        <v>2827</v>
      </c>
      <c r="JK142" s="12" t="s">
        <v>2828</v>
      </c>
      <c r="JL142" s="12" t="s">
        <v>2829</v>
      </c>
      <c r="JM142" s="12" t="s">
        <v>2830</v>
      </c>
      <c r="JN142" s="12" t="s">
        <v>2831</v>
      </c>
      <c r="JO142" s="12" t="s">
        <v>2832</v>
      </c>
      <c r="JP142" s="15">
        <f t="shared" si="93"/>
        <v>0</v>
      </c>
      <c r="JQ142" s="15">
        <f t="shared" si="94"/>
        <v>0</v>
      </c>
      <c r="JR142" s="279" t="str">
        <f t="shared" si="95"/>
        <v/>
      </c>
      <c r="JS142" s="17" t="str">
        <f t="shared" si="96"/>
        <v/>
      </c>
      <c r="JT142" s="18" t="str">
        <f t="shared" si="97"/>
        <v/>
      </c>
      <c r="JU142" s="280">
        <f t="shared" si="98"/>
        <v>0</v>
      </c>
      <c r="JV142" s="280">
        <f t="shared" si="99"/>
        <v>0</v>
      </c>
      <c r="JW142" s="319" t="str">
        <f t="shared" si="100"/>
        <v/>
      </c>
      <c r="JX142" s="15">
        <f t="shared" si="101"/>
        <v>0</v>
      </c>
      <c r="JY142" s="15">
        <f t="shared" si="102"/>
        <v>0</v>
      </c>
      <c r="JZ142" s="19" t="str">
        <f t="shared" si="103"/>
        <v/>
      </c>
      <c r="KA142" s="52" t="str">
        <f t="shared" si="104"/>
        <v/>
      </c>
      <c r="KB142" s="15">
        <f t="shared" si="105"/>
        <v>0</v>
      </c>
      <c r="KC142" s="15">
        <f t="shared" si="106"/>
        <v>0</v>
      </c>
      <c r="KD142" s="20" t="str">
        <f t="shared" si="107"/>
        <v/>
      </c>
      <c r="KE142" s="52" t="str">
        <f t="shared" si="108"/>
        <v/>
      </c>
      <c r="KF142" s="15">
        <f t="shared" si="109"/>
        <v>0</v>
      </c>
      <c r="KG142" s="15">
        <f t="shared" si="110"/>
        <v>0</v>
      </c>
      <c r="KH142" s="21" t="str">
        <f t="shared" si="111"/>
        <v/>
      </c>
      <c r="KI142" s="52">
        <f t="shared" si="112"/>
        <v>1</v>
      </c>
      <c r="KJ142" s="15">
        <f t="shared" si="113"/>
        <v>0</v>
      </c>
      <c r="KK142" s="15">
        <f t="shared" si="114"/>
        <v>0</v>
      </c>
      <c r="KL142" s="19" t="str">
        <f t="shared" si="115"/>
        <v/>
      </c>
      <c r="KM142" s="52">
        <f t="shared" si="116"/>
        <v>1</v>
      </c>
      <c r="KN142" s="22">
        <f t="shared" si="117"/>
        <v>0</v>
      </c>
      <c r="KO142" s="22">
        <f t="shared" si="118"/>
        <v>0</v>
      </c>
      <c r="KP142" s="19" t="str">
        <f t="shared" si="119"/>
        <v/>
      </c>
      <c r="KQ142" s="11" t="str">
        <f t="shared" si="120"/>
        <v>3. Responsive</v>
      </c>
      <c r="KR142" s="11" t="str">
        <f t="shared" si="121"/>
        <v>4. Transformational</v>
      </c>
      <c r="KS142" s="11" t="str">
        <f t="shared" si="122"/>
        <v>1. Neutral</v>
      </c>
      <c r="KT142" s="11" t="str">
        <f t="shared" si="123"/>
        <v>It tested new ways for fighting poverty, but did not measure results of innovation</v>
      </c>
      <c r="KU142" s="11" t="str">
        <f t="shared" si="124"/>
        <v>Moderate advocacy</v>
      </c>
      <c r="KV142" s="11" t="str">
        <f t="shared" si="125"/>
        <v>It linked and worked with strategic alliances and partners to take tested and effective solutions to scale</v>
      </c>
      <c r="KW142" s="11" t="str">
        <f t="shared" si="126"/>
        <v>Colombia - INICIATIVA IGS LAC - Programa regional de Trabajo Digno</v>
      </c>
      <c r="KX142" s="11" t="str">
        <f t="shared" si="127"/>
        <v>INICIATIVA IGS LAC - Programa regional de Trabajo Digno</v>
      </c>
      <c r="KY142" s="11" t="str">
        <f t="shared" si="128"/>
        <v>Colombia</v>
      </c>
      <c r="KZ142" s="12">
        <v>142</v>
      </c>
    </row>
    <row r="143" spans="1:312" x14ac:dyDescent="0.3">
      <c r="A143" s="282" t="s">
        <v>2931</v>
      </c>
      <c r="B143" s="282" t="s">
        <v>2807</v>
      </c>
      <c r="C143" s="282">
        <v>2323</v>
      </c>
      <c r="D143" s="282" t="s">
        <v>2932</v>
      </c>
      <c r="E143" s="24" t="str">
        <f t="shared" si="86"/>
        <v>Costa Rica</v>
      </c>
      <c r="F143" s="282"/>
      <c r="G143" s="282" t="s">
        <v>379</v>
      </c>
      <c r="H143" s="282" t="s">
        <v>384</v>
      </c>
      <c r="I143" s="282" t="s">
        <v>384</v>
      </c>
      <c r="J143" s="281" t="s">
        <v>4657</v>
      </c>
      <c r="K143" s="282"/>
      <c r="L143" s="282"/>
      <c r="M143" s="282"/>
      <c r="N143" s="282"/>
      <c r="O143" s="282"/>
      <c r="P143" s="282"/>
      <c r="Q143" s="282"/>
      <c r="R143" s="282"/>
      <c r="S143" s="282"/>
      <c r="T143" s="282"/>
      <c r="U143" s="282"/>
      <c r="V143" s="282"/>
      <c r="W143" s="282"/>
      <c r="X143" s="282"/>
      <c r="Y143" s="282"/>
      <c r="Z143" s="282"/>
      <c r="AA143" s="282"/>
      <c r="AB143" s="282"/>
      <c r="AC143" s="282"/>
      <c r="AD143" s="282"/>
      <c r="AE143" s="282"/>
      <c r="AF143" s="282"/>
      <c r="AG143" s="282"/>
      <c r="AH143" s="282"/>
      <c r="AI143" s="282"/>
      <c r="AJ143" s="282"/>
      <c r="AK143" s="282"/>
      <c r="AL143" s="282"/>
      <c r="AM143" s="282"/>
      <c r="AN143" s="282"/>
      <c r="AO143" s="282"/>
      <c r="AP143" s="282"/>
      <c r="AQ143" s="282"/>
      <c r="AR143" s="282"/>
      <c r="AS143" s="282"/>
      <c r="AT143" s="282"/>
      <c r="AU143" s="282"/>
      <c r="AV143" s="282"/>
      <c r="AW143" s="282"/>
      <c r="AX143" s="282"/>
      <c r="AY143" s="282"/>
      <c r="AZ143" s="282"/>
      <c r="BA143" s="282"/>
      <c r="BB143" s="282"/>
      <c r="BC143" s="282"/>
      <c r="BD143" s="283">
        <v>42614</v>
      </c>
      <c r="BE143" s="283">
        <v>43708</v>
      </c>
      <c r="BF143" s="283"/>
      <c r="BG143" s="283" t="s">
        <v>749</v>
      </c>
      <c r="BH143" s="284"/>
      <c r="BI143" s="282" t="s">
        <v>2934</v>
      </c>
      <c r="BJ143" s="282" t="s">
        <v>2935</v>
      </c>
      <c r="BK143" s="282" t="s">
        <v>2936</v>
      </c>
      <c r="BL143" s="282" t="s">
        <v>2937</v>
      </c>
      <c r="BM143" s="282" t="s">
        <v>2938</v>
      </c>
      <c r="BN143" s="282" t="s">
        <v>2939</v>
      </c>
      <c r="BO143" s="282" t="s">
        <v>319</v>
      </c>
      <c r="BP143" s="282" t="s">
        <v>320</v>
      </c>
      <c r="BQ143" s="282" t="s">
        <v>319</v>
      </c>
      <c r="BR143" s="282" t="s">
        <v>2940</v>
      </c>
      <c r="BS143" s="282" t="s">
        <v>1535</v>
      </c>
      <c r="BT143" s="282" t="s">
        <v>2941</v>
      </c>
      <c r="BU143" s="282" t="s">
        <v>2942</v>
      </c>
      <c r="BV143" s="284">
        <v>15365</v>
      </c>
      <c r="BW143" s="284">
        <v>14512</v>
      </c>
      <c r="BX143" s="284">
        <v>29877</v>
      </c>
      <c r="BY143" s="284">
        <v>83988</v>
      </c>
      <c r="BZ143" s="284">
        <v>77995</v>
      </c>
      <c r="CA143" s="284">
        <v>161983</v>
      </c>
      <c r="CB143" s="285" t="s">
        <v>2943</v>
      </c>
      <c r="CC143" s="285"/>
      <c r="CD143" s="284"/>
      <c r="CE143" s="284"/>
      <c r="CF143" s="284"/>
      <c r="CG143" s="284"/>
      <c r="CH143" s="284"/>
      <c r="CI143" s="284"/>
      <c r="CJ143" s="282"/>
      <c r="CK143" s="284"/>
      <c r="CL143" s="286"/>
      <c r="CM143" s="284"/>
      <c r="CN143" s="287"/>
      <c r="CO143" s="284"/>
      <c r="CP143" s="286"/>
      <c r="CQ143" s="284"/>
      <c r="CR143" s="282"/>
      <c r="CS143" s="284"/>
      <c r="CT143" s="286"/>
      <c r="CU143" s="284"/>
      <c r="CV143" s="282"/>
      <c r="CW143" s="284"/>
      <c r="CX143" s="286"/>
      <c r="CY143" s="284"/>
      <c r="CZ143" s="282"/>
      <c r="DA143" s="284"/>
      <c r="DB143" s="286"/>
      <c r="DC143" s="284"/>
      <c r="DD143" s="287"/>
      <c r="DE143" s="284"/>
      <c r="DF143" s="286"/>
      <c r="DG143" s="284"/>
      <c r="DH143" s="282"/>
      <c r="DI143" s="284"/>
      <c r="DJ143" s="286"/>
      <c r="DK143" s="284"/>
      <c r="DL143" s="282"/>
      <c r="DM143" s="284"/>
      <c r="DN143" s="286"/>
      <c r="DO143" s="284"/>
      <c r="DP143" s="282"/>
      <c r="DQ143" s="284"/>
      <c r="DR143" s="286"/>
      <c r="DS143" s="284"/>
      <c r="DT143" s="282"/>
      <c r="DU143" s="284"/>
      <c r="DV143" s="286"/>
      <c r="DW143" s="284"/>
      <c r="DX143" s="282"/>
      <c r="DY143" s="284"/>
      <c r="DZ143" s="286"/>
      <c r="EA143" s="284"/>
      <c r="EB143" s="282"/>
      <c r="EC143" s="284"/>
      <c r="ED143" s="286"/>
      <c r="EE143" s="284"/>
      <c r="EF143" s="285"/>
      <c r="EG143" s="287"/>
      <c r="EH143" s="284"/>
      <c r="EI143" s="286"/>
      <c r="EJ143" s="284"/>
      <c r="EK143" s="284"/>
      <c r="EL143" s="284"/>
      <c r="EM143" s="284"/>
      <c r="EN143" s="284"/>
      <c r="EO143" s="284"/>
      <c r="EP143" s="284"/>
      <c r="EQ143" s="282" t="s">
        <v>320</v>
      </c>
      <c r="ER143" s="284"/>
      <c r="ES143" s="286"/>
      <c r="ET143" s="284"/>
      <c r="EU143" s="282" t="s">
        <v>320</v>
      </c>
      <c r="EV143" s="284"/>
      <c r="EW143" s="286"/>
      <c r="EX143" s="284"/>
      <c r="EY143" s="282"/>
      <c r="EZ143" s="284"/>
      <c r="FA143" s="286"/>
      <c r="FB143" s="284"/>
      <c r="FC143" s="282"/>
      <c r="FD143" s="284"/>
      <c r="FE143" s="286"/>
      <c r="FF143" s="284"/>
      <c r="FG143" s="282" t="s">
        <v>320</v>
      </c>
      <c r="FH143" s="284"/>
      <c r="FI143" s="286"/>
      <c r="FJ143" s="284"/>
      <c r="FK143" s="282"/>
      <c r="FL143" s="284"/>
      <c r="FM143" s="286"/>
      <c r="FN143" s="284"/>
      <c r="FO143" s="289" t="s">
        <v>320</v>
      </c>
      <c r="FP143" s="290"/>
      <c r="FQ143" s="291"/>
      <c r="FR143" s="290"/>
      <c r="FS143" s="282"/>
      <c r="FT143" s="284"/>
      <c r="FU143" s="286"/>
      <c r="FV143" s="284"/>
      <c r="FW143" s="282"/>
      <c r="FX143" s="284"/>
      <c r="FY143" s="286"/>
      <c r="FZ143" s="284"/>
      <c r="GA143" s="282"/>
      <c r="GB143" s="284"/>
      <c r="GC143" s="286"/>
      <c r="GD143" s="284"/>
      <c r="GE143" s="282" t="s">
        <v>320</v>
      </c>
      <c r="GF143" s="284"/>
      <c r="GG143" s="286"/>
      <c r="GH143" s="284"/>
      <c r="GI143" s="282" t="s">
        <v>320</v>
      </c>
      <c r="GJ143" s="284"/>
      <c r="GK143" s="286"/>
      <c r="GL143" s="284"/>
      <c r="GM143" s="282"/>
      <c r="GN143" s="284"/>
      <c r="GO143" s="286"/>
      <c r="GP143" s="284"/>
      <c r="GQ143" s="282"/>
      <c r="GR143" s="284"/>
      <c r="GS143" s="286"/>
      <c r="GT143" s="284"/>
      <c r="GU143" s="282" t="s">
        <v>320</v>
      </c>
      <c r="GV143" s="284"/>
      <c r="GW143" s="286"/>
      <c r="GX143" s="284"/>
      <c r="GY143" s="282" t="s">
        <v>320</v>
      </c>
      <c r="GZ143" s="284"/>
      <c r="HA143" s="286"/>
      <c r="HB143" s="284"/>
      <c r="HC143" s="282" t="s">
        <v>2944</v>
      </c>
      <c r="HD143" s="282" t="s">
        <v>320</v>
      </c>
      <c r="HE143" s="284"/>
      <c r="HF143" s="286"/>
      <c r="HG143" s="284"/>
      <c r="HH143" s="282" t="s">
        <v>320</v>
      </c>
      <c r="HI143" s="282" t="s">
        <v>1175</v>
      </c>
      <c r="HJ143" s="282">
        <v>2017</v>
      </c>
      <c r="HK143" s="282" t="s">
        <v>320</v>
      </c>
      <c r="HL143" s="282" t="s">
        <v>320</v>
      </c>
      <c r="HM143" s="282" t="s">
        <v>451</v>
      </c>
      <c r="HN143" s="282">
        <v>2018</v>
      </c>
      <c r="HO143" s="282" t="s">
        <v>2945</v>
      </c>
      <c r="HP143" s="282" t="s">
        <v>330</v>
      </c>
      <c r="HQ143" s="282" t="s">
        <v>320</v>
      </c>
      <c r="HR143" s="282"/>
      <c r="HS143" s="282" t="s">
        <v>320</v>
      </c>
      <c r="HT143" s="282"/>
      <c r="HU143" s="282"/>
      <c r="HV143" s="282"/>
      <c r="HW143" s="282"/>
      <c r="HX143" s="282"/>
      <c r="HY143" s="282"/>
      <c r="HZ143" s="282" t="s">
        <v>331</v>
      </c>
      <c r="IA143" s="282" t="s">
        <v>2946</v>
      </c>
      <c r="IB143" s="282" t="s">
        <v>396</v>
      </c>
      <c r="IC143" s="282" t="s">
        <v>2947</v>
      </c>
      <c r="ID143" s="282" t="s">
        <v>334</v>
      </c>
      <c r="IE143" s="282" t="s">
        <v>478</v>
      </c>
      <c r="IF143" s="282" t="s">
        <v>320</v>
      </c>
      <c r="IG143" s="282" t="s">
        <v>320</v>
      </c>
      <c r="IH143" s="282" t="s">
        <v>320</v>
      </c>
      <c r="II143" s="282" t="s">
        <v>320</v>
      </c>
      <c r="IJ143" s="12" t="str">
        <f t="shared" si="87"/>
        <v>4. Transformative</v>
      </c>
      <c r="IK143" s="287">
        <f t="shared" si="88"/>
        <v>4</v>
      </c>
      <c r="IL143" s="282" t="s">
        <v>336</v>
      </c>
      <c r="IM143" s="282" t="s">
        <v>320</v>
      </c>
      <c r="IN143" s="282" t="s">
        <v>320</v>
      </c>
      <c r="IO143" s="282" t="s">
        <v>320</v>
      </c>
      <c r="IP143" s="282" t="s">
        <v>320</v>
      </c>
      <c r="IQ143" s="287" t="str">
        <f t="shared" si="89"/>
        <v>2. Accommodating</v>
      </c>
      <c r="IR143" s="287">
        <f t="shared" si="90"/>
        <v>4</v>
      </c>
      <c r="IS143" s="282" t="s">
        <v>622</v>
      </c>
      <c r="IT143" s="282" t="s">
        <v>319</v>
      </c>
      <c r="IU143" s="282" t="s">
        <v>320</v>
      </c>
      <c r="IV143" s="282" t="s">
        <v>320</v>
      </c>
      <c r="IW143" s="11" t="str">
        <f t="shared" si="91"/>
        <v>3. Responsive</v>
      </c>
      <c r="IX143" s="287">
        <f t="shared" si="92"/>
        <v>2</v>
      </c>
      <c r="IY143" s="282" t="s">
        <v>758</v>
      </c>
      <c r="IZ143" s="282" t="s">
        <v>457</v>
      </c>
      <c r="JA143" s="282">
        <v>2</v>
      </c>
      <c r="JB143" s="282" t="s">
        <v>433</v>
      </c>
      <c r="JC143" s="282" t="s">
        <v>687</v>
      </c>
      <c r="JD143" s="282" t="s">
        <v>624</v>
      </c>
      <c r="JE143" s="282" t="s">
        <v>365</v>
      </c>
      <c r="JF143" s="282" t="s">
        <v>2948</v>
      </c>
      <c r="JG143" s="282" t="s">
        <v>2949</v>
      </c>
      <c r="JH143" s="282" t="s">
        <v>2950</v>
      </c>
      <c r="JI143" s="282" t="s">
        <v>2951</v>
      </c>
      <c r="JJ143" s="282" t="s">
        <v>2952</v>
      </c>
      <c r="JK143" s="282" t="s">
        <v>2953</v>
      </c>
      <c r="JL143" s="282" t="s">
        <v>2954</v>
      </c>
      <c r="JM143" s="282"/>
      <c r="JN143" s="282" t="s">
        <v>2955</v>
      </c>
      <c r="JO143" s="282"/>
      <c r="JP143" s="15">
        <f t="shared" si="93"/>
        <v>0</v>
      </c>
      <c r="JQ143" s="15">
        <f t="shared" si="94"/>
        <v>0</v>
      </c>
      <c r="JR143" s="279" t="str">
        <f t="shared" si="95"/>
        <v/>
      </c>
      <c r="JS143" s="17" t="str">
        <f t="shared" si="96"/>
        <v/>
      </c>
      <c r="JT143" s="18" t="str">
        <f t="shared" si="97"/>
        <v/>
      </c>
      <c r="JU143" s="280">
        <f t="shared" si="98"/>
        <v>0</v>
      </c>
      <c r="JV143" s="280">
        <f t="shared" si="99"/>
        <v>0</v>
      </c>
      <c r="JW143" s="319" t="str">
        <f t="shared" si="100"/>
        <v/>
      </c>
      <c r="JX143" s="15">
        <f t="shared" si="101"/>
        <v>0</v>
      </c>
      <c r="JY143" s="15">
        <f t="shared" si="102"/>
        <v>0</v>
      </c>
      <c r="JZ143" s="19" t="str">
        <f t="shared" si="103"/>
        <v/>
      </c>
      <c r="KA143" s="52">
        <f t="shared" si="104"/>
        <v>1</v>
      </c>
      <c r="KB143" s="15">
        <f t="shared" si="105"/>
        <v>0</v>
      </c>
      <c r="KC143" s="15">
        <f t="shared" si="106"/>
        <v>0</v>
      </c>
      <c r="KD143" s="20" t="str">
        <f t="shared" si="107"/>
        <v/>
      </c>
      <c r="KE143" s="52" t="str">
        <f t="shared" si="108"/>
        <v/>
      </c>
      <c r="KF143" s="15">
        <f t="shared" si="109"/>
        <v>0</v>
      </c>
      <c r="KG143" s="15">
        <f t="shared" si="110"/>
        <v>0</v>
      </c>
      <c r="KH143" s="21" t="str">
        <f t="shared" si="111"/>
        <v/>
      </c>
      <c r="KI143" s="52" t="str">
        <f t="shared" si="112"/>
        <v/>
      </c>
      <c r="KJ143" s="15">
        <f t="shared" si="113"/>
        <v>0</v>
      </c>
      <c r="KK143" s="15">
        <f t="shared" si="114"/>
        <v>0</v>
      </c>
      <c r="KL143" s="19" t="str">
        <f t="shared" si="115"/>
        <v/>
      </c>
      <c r="KM143" s="52">
        <f t="shared" si="116"/>
        <v>1</v>
      </c>
      <c r="KN143" s="22">
        <f t="shared" si="117"/>
        <v>0</v>
      </c>
      <c r="KO143" s="22">
        <f t="shared" si="118"/>
        <v>0</v>
      </c>
      <c r="KP143" s="19" t="str">
        <f t="shared" si="119"/>
        <v/>
      </c>
      <c r="KQ143" s="11" t="str">
        <f t="shared" si="120"/>
        <v>4. Transformative</v>
      </c>
      <c r="KR143" s="11" t="str">
        <f t="shared" si="121"/>
        <v>2. Accommodating</v>
      </c>
      <c r="KS143" s="11" t="str">
        <f t="shared" si="122"/>
        <v>3. Responsive</v>
      </c>
      <c r="KT143" s="11" t="str">
        <f t="shared" si="123"/>
        <v>It tested new ways for fighting poverty and measured results of innovation</v>
      </c>
      <c r="KU143" s="11" t="str">
        <f t="shared" si="124"/>
        <v>Moderate advocacy</v>
      </c>
      <c r="KV143" s="11" t="str">
        <f t="shared" si="125"/>
        <v>It linked and worked with strategic alliances and partners to take tested and effective solutions to scale</v>
      </c>
      <c r="KW143" s="11" t="str">
        <f t="shared" si="126"/>
        <v>Costa Rica - Proyecto Nutriendo El Futuro</v>
      </c>
      <c r="KX143" s="11" t="str">
        <f t="shared" si="127"/>
        <v>Proyecto Nutriendo El Futuro</v>
      </c>
      <c r="KY143" s="11" t="str">
        <f t="shared" si="128"/>
        <v>Costa Rica</v>
      </c>
      <c r="KZ143" s="12">
        <v>143</v>
      </c>
    </row>
    <row r="144" spans="1:312" x14ac:dyDescent="0.3">
      <c r="A144" s="11" t="s">
        <v>2956</v>
      </c>
      <c r="B144" s="11" t="s">
        <v>1596</v>
      </c>
      <c r="C144" s="11">
        <v>2863</v>
      </c>
      <c r="D144" s="11" t="s">
        <v>2957</v>
      </c>
      <c r="E144" s="24" t="str">
        <f t="shared" si="86"/>
        <v>Cote d'Ivoire</v>
      </c>
      <c r="F144" s="11">
        <v>2863</v>
      </c>
      <c r="G144" s="11" t="s">
        <v>425</v>
      </c>
      <c r="H144" s="11" t="s">
        <v>383</v>
      </c>
      <c r="I144" s="11" t="s">
        <v>384</v>
      </c>
      <c r="J144" s="278"/>
      <c r="BD144" s="23">
        <v>42156</v>
      </c>
      <c r="BE144" s="23">
        <v>42735</v>
      </c>
      <c r="BF144" s="23">
        <v>42825</v>
      </c>
      <c r="BG144" s="11" t="s">
        <v>350</v>
      </c>
      <c r="BI144" s="11" t="s">
        <v>2958</v>
      </c>
      <c r="BJ144" s="11" t="s">
        <v>2959</v>
      </c>
      <c r="BK144" s="25" t="s">
        <v>2960</v>
      </c>
      <c r="BO144" s="12" t="s">
        <v>319</v>
      </c>
      <c r="BP144" s="12" t="s">
        <v>320</v>
      </c>
      <c r="BQ144" s="12" t="s">
        <v>319</v>
      </c>
      <c r="BR144" s="11" t="s">
        <v>2961</v>
      </c>
      <c r="BS144" s="11" t="s">
        <v>357</v>
      </c>
      <c r="BT144" s="11" t="s">
        <v>2962</v>
      </c>
      <c r="BU144" s="11" t="s">
        <v>2963</v>
      </c>
      <c r="BV144" s="22">
        <v>15154</v>
      </c>
      <c r="BW144" s="22">
        <v>0</v>
      </c>
      <c r="BX144" s="22">
        <v>15154</v>
      </c>
      <c r="BY144" s="22">
        <v>3786480</v>
      </c>
      <c r="BZ144" s="22">
        <v>4019733</v>
      </c>
      <c r="CA144" s="22">
        <v>7806213</v>
      </c>
      <c r="CB144" s="15" t="s">
        <v>2964</v>
      </c>
      <c r="CL144" s="18"/>
      <c r="CP144" s="18"/>
      <c r="CT144" s="18"/>
      <c r="CX144" s="18"/>
      <c r="DB144" s="18"/>
      <c r="DF144" s="18"/>
      <c r="DJ144" s="18"/>
      <c r="DN144" s="18"/>
      <c r="DR144" s="18"/>
      <c r="DV144" s="18"/>
      <c r="DZ144" s="18"/>
      <c r="ED144" s="18"/>
      <c r="EI144" s="18"/>
      <c r="EK144" s="22">
        <v>15154</v>
      </c>
      <c r="EL144" s="22">
        <v>0</v>
      </c>
      <c r="EM144" s="22">
        <v>15154</v>
      </c>
      <c r="EP144" s="22">
        <v>75770</v>
      </c>
      <c r="ES144" s="18"/>
      <c r="EW144" s="18"/>
      <c r="FA144" s="18"/>
      <c r="FE144" s="18"/>
      <c r="FI144" s="18"/>
      <c r="FM144" s="18"/>
      <c r="FQ144" s="18"/>
      <c r="FU144" s="18"/>
      <c r="FY144" s="18"/>
      <c r="GC144" s="18"/>
      <c r="GG144" s="18"/>
      <c r="GK144" s="18"/>
      <c r="GO144" s="18"/>
      <c r="GS144" s="18"/>
      <c r="GW144" s="18"/>
      <c r="GY144" s="11" t="s">
        <v>320</v>
      </c>
      <c r="GZ144" s="22">
        <v>8738</v>
      </c>
      <c r="HA144" s="18">
        <v>0.93</v>
      </c>
      <c r="HB144" s="22">
        <v>75770</v>
      </c>
      <c r="HF144" s="18"/>
      <c r="HK144" s="11" t="s">
        <v>320</v>
      </c>
      <c r="HL144" s="11" t="s">
        <v>320</v>
      </c>
      <c r="HM144" s="11" t="s">
        <v>560</v>
      </c>
      <c r="HN144" s="11">
        <v>2017</v>
      </c>
      <c r="HP144" s="11" t="s">
        <v>330</v>
      </c>
      <c r="HX144" s="11" t="s">
        <v>320</v>
      </c>
      <c r="HY144" s="11" t="s">
        <v>2965</v>
      </c>
      <c r="HZ144" s="11" t="s">
        <v>363</v>
      </c>
      <c r="IB144" s="12" t="s">
        <v>396</v>
      </c>
      <c r="IC144" s="11" t="s">
        <v>2966</v>
      </c>
      <c r="ID144" s="11" t="s">
        <v>364</v>
      </c>
      <c r="IE144" s="11" t="s">
        <v>335</v>
      </c>
      <c r="IF144" s="11" t="s">
        <v>320</v>
      </c>
      <c r="IG144" s="11" t="s">
        <v>320</v>
      </c>
      <c r="IH144" s="11" t="s">
        <v>320</v>
      </c>
      <c r="II144" s="11" t="s">
        <v>319</v>
      </c>
      <c r="IJ144" s="12" t="str">
        <f t="shared" si="87"/>
        <v>1. Neutral</v>
      </c>
      <c r="IK144" s="12">
        <f t="shared" si="88"/>
        <v>3</v>
      </c>
      <c r="IL144" s="11" t="s">
        <v>336</v>
      </c>
      <c r="IM144" s="11" t="s">
        <v>320</v>
      </c>
      <c r="IN144" s="11" t="s">
        <v>320</v>
      </c>
      <c r="IO144" s="11" t="s">
        <v>320</v>
      </c>
      <c r="IP144" s="11" t="s">
        <v>320</v>
      </c>
      <c r="IQ144" s="12" t="str">
        <f t="shared" si="89"/>
        <v>2. Accommodating</v>
      </c>
      <c r="IR144" s="12">
        <f t="shared" si="90"/>
        <v>4</v>
      </c>
      <c r="IS144" s="11" t="s">
        <v>456</v>
      </c>
      <c r="IT144" s="11" t="s">
        <v>320</v>
      </c>
      <c r="IV144" s="11" t="s">
        <v>320</v>
      </c>
      <c r="IW144" s="11" t="str">
        <f t="shared" si="91"/>
        <v>0. Harmful</v>
      </c>
      <c r="IX144" s="12">
        <f t="shared" si="92"/>
        <v>2</v>
      </c>
      <c r="IY144" s="11" t="s">
        <v>338</v>
      </c>
      <c r="IZ144" s="11" t="s">
        <v>527</v>
      </c>
      <c r="JA144" s="11">
        <v>4</v>
      </c>
      <c r="JB144" s="12" t="s">
        <v>687</v>
      </c>
      <c r="JC144" s="12" t="s">
        <v>1113</v>
      </c>
      <c r="JD144" s="11" t="s">
        <v>433</v>
      </c>
      <c r="JE144" s="12" t="s">
        <v>365</v>
      </c>
      <c r="JF144" s="11" t="s">
        <v>2967</v>
      </c>
      <c r="JG144" s="11" t="s">
        <v>2968</v>
      </c>
      <c r="JH144" s="11" t="s">
        <v>2969</v>
      </c>
      <c r="JI144" s="11" t="s">
        <v>2970</v>
      </c>
      <c r="JJ144" s="11" t="s">
        <v>2971</v>
      </c>
      <c r="JK144" s="11" t="s">
        <v>2972</v>
      </c>
      <c r="JL144" s="11" t="s">
        <v>2973</v>
      </c>
      <c r="JM144" s="11" t="s">
        <v>2974</v>
      </c>
      <c r="JO144" s="11" t="s">
        <v>2975</v>
      </c>
      <c r="JP144" s="15">
        <f t="shared" si="93"/>
        <v>15154</v>
      </c>
      <c r="JQ144" s="15">
        <f t="shared" si="94"/>
        <v>75770</v>
      </c>
      <c r="JR144" s="279">
        <f t="shared" si="95"/>
        <v>5</v>
      </c>
      <c r="JS144" s="17">
        <f t="shared" si="96"/>
        <v>1</v>
      </c>
      <c r="JT144" s="18">
        <f t="shared" si="97"/>
        <v>0</v>
      </c>
      <c r="JU144" s="280">
        <f t="shared" si="98"/>
        <v>15154</v>
      </c>
      <c r="JV144" s="280">
        <f t="shared" si="99"/>
        <v>0</v>
      </c>
      <c r="JW144" s="319" t="str">
        <f t="shared" si="100"/>
        <v/>
      </c>
      <c r="JX144" s="15">
        <f t="shared" si="101"/>
        <v>0</v>
      </c>
      <c r="JY144" s="15">
        <f t="shared" si="102"/>
        <v>0</v>
      </c>
      <c r="JZ144" s="19" t="str">
        <f t="shared" si="103"/>
        <v/>
      </c>
      <c r="KA144" s="52" t="str">
        <f t="shared" si="104"/>
        <v/>
      </c>
      <c r="KB144" s="15">
        <f t="shared" si="105"/>
        <v>0</v>
      </c>
      <c r="KC144" s="15">
        <f t="shared" si="106"/>
        <v>0</v>
      </c>
      <c r="KD144" s="20" t="str">
        <f t="shared" si="107"/>
        <v/>
      </c>
      <c r="KE144" s="52" t="str">
        <f t="shared" si="108"/>
        <v/>
      </c>
      <c r="KF144" s="15">
        <f t="shared" si="109"/>
        <v>0</v>
      </c>
      <c r="KG144" s="15">
        <f t="shared" si="110"/>
        <v>0</v>
      </c>
      <c r="KH144" s="21" t="str">
        <f t="shared" si="111"/>
        <v/>
      </c>
      <c r="KI144" s="52" t="str">
        <f t="shared" si="112"/>
        <v/>
      </c>
      <c r="KJ144" s="15">
        <f t="shared" si="113"/>
        <v>0</v>
      </c>
      <c r="KK144" s="15">
        <f t="shared" si="114"/>
        <v>0</v>
      </c>
      <c r="KL144" s="19" t="str">
        <f t="shared" si="115"/>
        <v/>
      </c>
      <c r="KM144" s="52">
        <f t="shared" si="116"/>
        <v>1</v>
      </c>
      <c r="KN144" s="22">
        <f t="shared" si="117"/>
        <v>8738</v>
      </c>
      <c r="KO144" s="22">
        <f t="shared" si="118"/>
        <v>75770</v>
      </c>
      <c r="KP144" s="19">
        <f t="shared" si="119"/>
        <v>8.6713206683451585</v>
      </c>
      <c r="KQ144" s="11" t="str">
        <f t="shared" si="120"/>
        <v>1. Neutral</v>
      </c>
      <c r="KR144" s="11" t="str">
        <f t="shared" si="121"/>
        <v>2. Accommodating</v>
      </c>
      <c r="KS144" s="11" t="str">
        <f t="shared" si="122"/>
        <v>0. Harmful</v>
      </c>
      <c r="KT144" s="11" t="str">
        <f t="shared" si="123"/>
        <v>It did not develop any specific innovation</v>
      </c>
      <c r="KU144" s="11" t="str">
        <f t="shared" si="124"/>
        <v>Moderate advocacy</v>
      </c>
      <c r="KV144" s="11" t="str">
        <f t="shared" si="125"/>
        <v>It linked and worked with strategic alliances and partners to take tested and effective solutions to scale</v>
      </c>
      <c r="KW144" s="11" t="str">
        <f t="shared" si="126"/>
        <v>Cote d'Ivoire - Autonomisation de la femme et développement économique</v>
      </c>
      <c r="KX144" s="11" t="str">
        <f t="shared" si="127"/>
        <v>Autonomisation de la femme et développement économique</v>
      </c>
      <c r="KY144" s="11" t="str">
        <f t="shared" si="128"/>
        <v>Cote d'Ivoire</v>
      </c>
      <c r="KZ144" s="12">
        <v>144</v>
      </c>
    </row>
    <row r="145" spans="1:312" x14ac:dyDescent="0.3">
      <c r="A145" s="11" t="s">
        <v>2956</v>
      </c>
      <c r="B145" s="11" t="s">
        <v>1596</v>
      </c>
      <c r="C145" s="11">
        <v>2861</v>
      </c>
      <c r="D145" s="11" t="s">
        <v>2976</v>
      </c>
      <c r="E145" s="24" t="str">
        <f t="shared" si="86"/>
        <v>Cote d'Ivoire</v>
      </c>
      <c r="F145" s="11">
        <v>2861</v>
      </c>
      <c r="G145" s="11" t="s">
        <v>488</v>
      </c>
      <c r="H145" s="11" t="s">
        <v>489</v>
      </c>
      <c r="I145" s="11" t="s">
        <v>384</v>
      </c>
      <c r="J145" s="278" t="s">
        <v>3802</v>
      </c>
      <c r="BD145" s="23">
        <v>42005</v>
      </c>
      <c r="BE145" s="23">
        <v>43100</v>
      </c>
      <c r="BF145" s="23">
        <v>41274</v>
      </c>
      <c r="BG145" s="11" t="s">
        <v>350</v>
      </c>
      <c r="BH145" s="22">
        <v>5078905</v>
      </c>
      <c r="BI145" s="11" t="s">
        <v>2977</v>
      </c>
      <c r="BJ145" s="11" t="s">
        <v>2978</v>
      </c>
      <c r="BK145" s="11" t="s">
        <v>2979</v>
      </c>
      <c r="BL145" s="11" t="s">
        <v>2980</v>
      </c>
      <c r="BM145" s="11" t="s">
        <v>2981</v>
      </c>
      <c r="BN145" s="11" t="s">
        <v>2982</v>
      </c>
      <c r="BO145" s="12" t="s">
        <v>319</v>
      </c>
      <c r="BP145" s="12" t="s">
        <v>320</v>
      </c>
      <c r="BQ145" s="12" t="s">
        <v>319</v>
      </c>
      <c r="BR145" s="11" t="s">
        <v>2983</v>
      </c>
      <c r="BS145" s="11" t="s">
        <v>357</v>
      </c>
      <c r="BT145" s="11" t="s">
        <v>2984</v>
      </c>
      <c r="BU145" s="11" t="s">
        <v>2985</v>
      </c>
      <c r="BV145" s="22">
        <v>6474</v>
      </c>
      <c r="BW145" s="22">
        <v>4220</v>
      </c>
      <c r="BX145" s="22">
        <v>10694</v>
      </c>
      <c r="BY145" s="22">
        <v>32370</v>
      </c>
      <c r="BZ145" s="22">
        <v>21100</v>
      </c>
      <c r="CA145" s="22">
        <v>53470</v>
      </c>
      <c r="CB145" s="15" t="s">
        <v>2986</v>
      </c>
      <c r="CL145" s="18"/>
      <c r="CP145" s="18"/>
      <c r="CT145" s="18"/>
      <c r="CX145" s="18"/>
      <c r="DB145" s="18"/>
      <c r="DF145" s="18"/>
      <c r="DJ145" s="18"/>
      <c r="DN145" s="18"/>
      <c r="DR145" s="18"/>
      <c r="DV145" s="18"/>
      <c r="DZ145" s="18"/>
      <c r="ED145" s="18"/>
      <c r="EI145" s="18"/>
      <c r="EK145" s="22">
        <v>8727</v>
      </c>
      <c r="EL145" s="22">
        <v>3234</v>
      </c>
      <c r="EM145" s="22">
        <v>11961</v>
      </c>
      <c r="EN145" s="22">
        <v>43635</v>
      </c>
      <c r="EO145" s="22">
        <v>16170</v>
      </c>
      <c r="EP145" s="22">
        <v>59805</v>
      </c>
      <c r="ES145" s="18"/>
      <c r="EW145" s="18"/>
      <c r="FA145" s="18"/>
      <c r="FE145" s="18"/>
      <c r="FI145" s="18"/>
      <c r="FM145" s="18"/>
      <c r="FQ145" s="18"/>
      <c r="FU145" s="18"/>
      <c r="FY145" s="18"/>
      <c r="GC145" s="18"/>
      <c r="GG145" s="18"/>
      <c r="GK145" s="18"/>
      <c r="GO145" s="18"/>
      <c r="GS145" s="18"/>
      <c r="GW145" s="18"/>
      <c r="GY145" s="11" t="s">
        <v>320</v>
      </c>
      <c r="GZ145" s="22">
        <v>8404</v>
      </c>
      <c r="HA145" s="18">
        <v>0.7026</v>
      </c>
      <c r="HB145" s="22">
        <v>42020</v>
      </c>
      <c r="HF145" s="18"/>
      <c r="HH145" s="11" t="s">
        <v>320</v>
      </c>
      <c r="HI145" s="11" t="s">
        <v>416</v>
      </c>
      <c r="HJ145" s="11">
        <v>2017</v>
      </c>
      <c r="HO145" s="11" t="s">
        <v>2987</v>
      </c>
      <c r="HP145" s="11" t="s">
        <v>330</v>
      </c>
      <c r="HT145" s="11" t="s">
        <v>320</v>
      </c>
      <c r="HZ145" s="11" t="s">
        <v>394</v>
      </c>
      <c r="IA145" s="11" t="s">
        <v>2988</v>
      </c>
      <c r="IB145" s="12" t="s">
        <v>396</v>
      </c>
      <c r="IC145" s="11" t="s">
        <v>2989</v>
      </c>
      <c r="ID145" s="12" t="s">
        <v>334</v>
      </c>
      <c r="IE145" s="11" t="s">
        <v>335</v>
      </c>
      <c r="IF145" s="11" t="s">
        <v>320</v>
      </c>
      <c r="IG145" s="11" t="s">
        <v>320</v>
      </c>
      <c r="IH145" s="11" t="s">
        <v>320</v>
      </c>
      <c r="II145" s="11" t="s">
        <v>320</v>
      </c>
      <c r="IJ145" s="12" t="str">
        <f t="shared" si="87"/>
        <v>2. Sensitive</v>
      </c>
      <c r="IK145" s="12">
        <f t="shared" si="88"/>
        <v>4</v>
      </c>
      <c r="IL145" s="11" t="s">
        <v>336</v>
      </c>
      <c r="IM145" s="11" t="s">
        <v>320</v>
      </c>
      <c r="IN145" s="11" t="s">
        <v>320</v>
      </c>
      <c r="IO145" s="11" t="s">
        <v>320</v>
      </c>
      <c r="IP145" s="11" t="s">
        <v>320</v>
      </c>
      <c r="IQ145" s="12" t="str">
        <f t="shared" si="89"/>
        <v>2. Accommodating</v>
      </c>
      <c r="IR145" s="12">
        <f t="shared" si="90"/>
        <v>4</v>
      </c>
      <c r="IS145" s="11" t="s">
        <v>337</v>
      </c>
      <c r="IT145" s="11" t="s">
        <v>320</v>
      </c>
      <c r="IU145" s="11" t="s">
        <v>320</v>
      </c>
      <c r="IV145" s="11" t="s">
        <v>320</v>
      </c>
      <c r="IW145" s="11" t="str">
        <f t="shared" si="91"/>
        <v>2. Sensitive</v>
      </c>
      <c r="IX145" s="12">
        <f t="shared" si="92"/>
        <v>3</v>
      </c>
      <c r="IY145" s="11" t="s">
        <v>758</v>
      </c>
      <c r="IZ145" s="11" t="s">
        <v>527</v>
      </c>
      <c r="JA145" s="11">
        <v>3</v>
      </c>
      <c r="JB145" s="11" t="s">
        <v>623</v>
      </c>
      <c r="JC145" s="11" t="s">
        <v>832</v>
      </c>
      <c r="JD145" s="11" t="s">
        <v>433</v>
      </c>
      <c r="JE145" s="12" t="s">
        <v>340</v>
      </c>
      <c r="JF145" s="11" t="s">
        <v>2990</v>
      </c>
      <c r="JG145" s="11" t="s">
        <v>2991</v>
      </c>
      <c r="JH145" s="11" t="s">
        <v>2992</v>
      </c>
      <c r="JI145" s="11" t="s">
        <v>2993</v>
      </c>
      <c r="JJ145" s="11" t="s">
        <v>2994</v>
      </c>
      <c r="JK145" s="11" t="s">
        <v>2995</v>
      </c>
      <c r="JL145" s="11" t="s">
        <v>2996</v>
      </c>
      <c r="JM145" s="11" t="s">
        <v>2997</v>
      </c>
      <c r="JN145" s="11" t="s">
        <v>2998</v>
      </c>
      <c r="JO145" s="11" t="s">
        <v>2999</v>
      </c>
      <c r="JP145" s="15">
        <f t="shared" si="93"/>
        <v>11961</v>
      </c>
      <c r="JQ145" s="15">
        <f t="shared" si="94"/>
        <v>59805</v>
      </c>
      <c r="JR145" s="279">
        <f t="shared" si="95"/>
        <v>5</v>
      </c>
      <c r="JS145" s="17">
        <f t="shared" si="96"/>
        <v>0.72962126912465508</v>
      </c>
      <c r="JT145" s="18">
        <f t="shared" si="97"/>
        <v>0.72962126912465508</v>
      </c>
      <c r="JU145" s="280">
        <f t="shared" si="98"/>
        <v>8727</v>
      </c>
      <c r="JV145" s="280">
        <f t="shared" si="99"/>
        <v>43635</v>
      </c>
      <c r="JW145" s="319" t="str">
        <f t="shared" si="100"/>
        <v/>
      </c>
      <c r="JX145" s="15">
        <f t="shared" si="101"/>
        <v>0</v>
      </c>
      <c r="JY145" s="15">
        <f t="shared" si="102"/>
        <v>0</v>
      </c>
      <c r="JZ145" s="19" t="str">
        <f t="shared" si="103"/>
        <v/>
      </c>
      <c r="KA145" s="52" t="str">
        <f t="shared" si="104"/>
        <v/>
      </c>
      <c r="KB145" s="15">
        <f t="shared" si="105"/>
        <v>0</v>
      </c>
      <c r="KC145" s="15">
        <f t="shared" si="106"/>
        <v>0</v>
      </c>
      <c r="KD145" s="20" t="str">
        <f t="shared" si="107"/>
        <v/>
      </c>
      <c r="KE145" s="52" t="str">
        <f t="shared" si="108"/>
        <v/>
      </c>
      <c r="KF145" s="15">
        <f t="shared" si="109"/>
        <v>0</v>
      </c>
      <c r="KG145" s="15">
        <f t="shared" si="110"/>
        <v>0</v>
      </c>
      <c r="KH145" s="21" t="str">
        <f t="shared" si="111"/>
        <v/>
      </c>
      <c r="KI145" s="52" t="str">
        <f t="shared" si="112"/>
        <v/>
      </c>
      <c r="KJ145" s="15">
        <f t="shared" si="113"/>
        <v>0</v>
      </c>
      <c r="KK145" s="15">
        <f t="shared" si="114"/>
        <v>0</v>
      </c>
      <c r="KL145" s="19" t="str">
        <f t="shared" si="115"/>
        <v/>
      </c>
      <c r="KM145" s="52">
        <f t="shared" si="116"/>
        <v>1</v>
      </c>
      <c r="KN145" s="22">
        <f t="shared" si="117"/>
        <v>8404</v>
      </c>
      <c r="KO145" s="22">
        <f t="shared" si="118"/>
        <v>42020</v>
      </c>
      <c r="KP145" s="19">
        <f t="shared" si="119"/>
        <v>5</v>
      </c>
      <c r="KQ145" s="11" t="str">
        <f t="shared" si="120"/>
        <v>2. Sensitive</v>
      </c>
      <c r="KR145" s="11" t="str">
        <f t="shared" si="121"/>
        <v>2. Accommodating</v>
      </c>
      <c r="KS145" s="11" t="str">
        <f t="shared" si="122"/>
        <v>2. Sensitive</v>
      </c>
      <c r="KT145" s="11" t="str">
        <f t="shared" si="123"/>
        <v>It tested new ways for fighting poverty, but did not measure results of innovation</v>
      </c>
      <c r="KU145" s="11" t="str">
        <f t="shared" si="124"/>
        <v>Moderate advocacy</v>
      </c>
      <c r="KV145" s="11" t="str">
        <f t="shared" si="125"/>
        <v>It linked and worked with strategic alliances and partners to take tested and effective solutions to scale</v>
      </c>
      <c r="KW145" s="11" t="str">
        <f t="shared" si="126"/>
        <v>Cote d'Ivoire - COCOA LIFE EXTENSION</v>
      </c>
      <c r="KX145" s="11" t="str">
        <f t="shared" si="127"/>
        <v>COCOA LIFE EXTENSION</v>
      </c>
      <c r="KY145" s="11" t="str">
        <f t="shared" si="128"/>
        <v>Cote d'Ivoire</v>
      </c>
      <c r="KZ145" s="12">
        <v>145</v>
      </c>
    </row>
    <row r="146" spans="1:312" x14ac:dyDescent="0.3">
      <c r="A146" s="282" t="s">
        <v>2956</v>
      </c>
      <c r="B146" s="282" t="s">
        <v>1596</v>
      </c>
      <c r="C146" s="282">
        <v>2864</v>
      </c>
      <c r="D146" s="282" t="s">
        <v>3118</v>
      </c>
      <c r="E146" s="277" t="str">
        <f t="shared" si="86"/>
        <v>Cote d'Ivoire</v>
      </c>
      <c r="F146" s="282">
        <v>2864</v>
      </c>
      <c r="G146" s="282" t="s">
        <v>714</v>
      </c>
      <c r="H146" s="282" t="s">
        <v>380</v>
      </c>
      <c r="I146" s="282" t="s">
        <v>517</v>
      </c>
      <c r="J146" s="278" t="s">
        <v>14578</v>
      </c>
      <c r="K146" s="282"/>
      <c r="L146" s="282"/>
      <c r="M146" s="282"/>
      <c r="N146" s="282"/>
      <c r="O146" s="282"/>
      <c r="P146" s="282"/>
      <c r="Q146" s="282"/>
      <c r="R146" s="282"/>
      <c r="S146" s="282"/>
      <c r="T146" s="282"/>
      <c r="U146" s="282"/>
      <c r="V146" s="282"/>
      <c r="W146" s="282"/>
      <c r="X146" s="282"/>
      <c r="Y146" s="282"/>
      <c r="Z146" s="282"/>
      <c r="AA146" s="282"/>
      <c r="AB146" s="282"/>
      <c r="AC146" s="282"/>
      <c r="AD146" s="282"/>
      <c r="AE146" s="282"/>
      <c r="AF146" s="282"/>
      <c r="AG146" s="282"/>
      <c r="AH146" s="282"/>
      <c r="AI146" s="282"/>
      <c r="AJ146" s="282"/>
      <c r="AK146" s="282"/>
      <c r="AL146" s="282"/>
      <c r="AM146" s="282"/>
      <c r="AN146" s="282"/>
      <c r="AO146" s="282"/>
      <c r="AP146" s="282"/>
      <c r="AQ146" s="282"/>
      <c r="AR146" s="282"/>
      <c r="AS146" s="282"/>
      <c r="AT146" s="282"/>
      <c r="AU146" s="282"/>
      <c r="AV146" s="282"/>
      <c r="AW146" s="282"/>
      <c r="AX146" s="282"/>
      <c r="AY146" s="282"/>
      <c r="AZ146" s="282"/>
      <c r="BA146" s="282"/>
      <c r="BB146" s="282"/>
      <c r="BC146" s="282"/>
      <c r="BD146" s="283">
        <v>41823</v>
      </c>
      <c r="BE146" s="283">
        <v>42695</v>
      </c>
      <c r="BF146" s="283">
        <v>43060</v>
      </c>
      <c r="BG146" s="283" t="s">
        <v>490</v>
      </c>
      <c r="BH146" s="284">
        <v>1241904.29</v>
      </c>
      <c r="BI146" s="282" t="s">
        <v>3119</v>
      </c>
      <c r="BJ146" s="282" t="s">
        <v>3120</v>
      </c>
      <c r="BK146" s="282" t="s">
        <v>3121</v>
      </c>
      <c r="BL146" s="282" t="s">
        <v>3122</v>
      </c>
      <c r="BM146" s="282" t="s">
        <v>3123</v>
      </c>
      <c r="BN146" s="282" t="s">
        <v>3062</v>
      </c>
      <c r="BO146" s="11" t="s">
        <v>319</v>
      </c>
      <c r="BP146" s="11" t="s">
        <v>320</v>
      </c>
      <c r="BQ146" s="11" t="s">
        <v>319</v>
      </c>
      <c r="BR146" s="282" t="s">
        <v>3124</v>
      </c>
      <c r="BS146" s="282" t="s">
        <v>357</v>
      </c>
      <c r="BT146" s="282" t="s">
        <v>3125</v>
      </c>
      <c r="BU146" s="282" t="s">
        <v>3126</v>
      </c>
      <c r="BV146" s="284">
        <v>190200</v>
      </c>
      <c r="BW146" s="284">
        <v>240000</v>
      </c>
      <c r="BX146" s="284">
        <v>420200</v>
      </c>
      <c r="BY146" s="284">
        <v>337536</v>
      </c>
      <c r="BZ146" s="284">
        <v>351312</v>
      </c>
      <c r="CA146" s="284">
        <v>688848</v>
      </c>
      <c r="CB146" s="285" t="s">
        <v>3127</v>
      </c>
      <c r="CC146" s="285"/>
      <c r="CD146" s="284"/>
      <c r="CE146" s="284"/>
      <c r="CF146" s="284"/>
      <c r="CG146" s="284"/>
      <c r="CH146" s="284"/>
      <c r="CI146" s="284"/>
      <c r="CJ146" s="282"/>
      <c r="CK146" s="284"/>
      <c r="CL146" s="286"/>
      <c r="CM146" s="284"/>
      <c r="CN146" s="287"/>
      <c r="CO146" s="284"/>
      <c r="CP146" s="286"/>
      <c r="CQ146" s="284"/>
      <c r="CR146" s="282"/>
      <c r="CS146" s="284"/>
      <c r="CT146" s="286"/>
      <c r="CU146" s="284"/>
      <c r="CV146" s="282"/>
      <c r="CW146" s="284"/>
      <c r="CX146" s="286"/>
      <c r="CY146" s="284"/>
      <c r="CZ146" s="282"/>
      <c r="DA146" s="284"/>
      <c r="DB146" s="286"/>
      <c r="DC146" s="284"/>
      <c r="DD146" s="287"/>
      <c r="DE146" s="284"/>
      <c r="DF146" s="286"/>
      <c r="DG146" s="284"/>
      <c r="DH146" s="282"/>
      <c r="DI146" s="284"/>
      <c r="DJ146" s="286"/>
      <c r="DK146" s="284"/>
      <c r="DL146" s="282"/>
      <c r="DM146" s="284"/>
      <c r="DN146" s="286"/>
      <c r="DO146" s="284"/>
      <c r="DP146" s="282"/>
      <c r="DQ146" s="284"/>
      <c r="DR146" s="286"/>
      <c r="DS146" s="284"/>
      <c r="DT146" s="282"/>
      <c r="DU146" s="284"/>
      <c r="DV146" s="286"/>
      <c r="DW146" s="284"/>
      <c r="DX146" s="282"/>
      <c r="DY146" s="284"/>
      <c r="DZ146" s="286"/>
      <c r="EA146" s="284"/>
      <c r="EB146" s="282"/>
      <c r="EC146" s="284"/>
      <c r="ED146" s="286"/>
      <c r="EE146" s="284"/>
      <c r="EF146" s="285"/>
      <c r="EG146" s="287"/>
      <c r="EH146" s="284"/>
      <c r="EI146" s="286"/>
      <c r="EJ146" s="284"/>
      <c r="EK146" s="284">
        <v>144400</v>
      </c>
      <c r="EL146" s="284">
        <v>160000</v>
      </c>
      <c r="EM146" s="284">
        <v>304400</v>
      </c>
      <c r="EN146" s="284">
        <v>188380</v>
      </c>
      <c r="EO146" s="284">
        <v>196068</v>
      </c>
      <c r="EP146" s="284">
        <v>384448</v>
      </c>
      <c r="EQ146" s="282"/>
      <c r="ER146" s="284"/>
      <c r="ES146" s="286"/>
      <c r="ET146" s="284"/>
      <c r="EU146" s="282"/>
      <c r="EV146" s="284"/>
      <c r="EW146" s="286"/>
      <c r="EX146" s="284"/>
      <c r="EY146" s="282"/>
      <c r="EZ146" s="284"/>
      <c r="FA146" s="286"/>
      <c r="FB146" s="284"/>
      <c r="FC146" s="282"/>
      <c r="FD146" s="284"/>
      <c r="FE146" s="286"/>
      <c r="FF146" s="284"/>
      <c r="FG146" s="282"/>
      <c r="FH146" s="284"/>
      <c r="FI146" s="286"/>
      <c r="FJ146" s="284"/>
      <c r="FK146" s="282"/>
      <c r="FL146" s="284"/>
      <c r="FM146" s="286"/>
      <c r="FN146" s="284"/>
      <c r="FO146" s="292" t="s">
        <v>320</v>
      </c>
      <c r="FP146" s="290">
        <v>304400</v>
      </c>
      <c r="FQ146" s="291">
        <v>0.79</v>
      </c>
      <c r="FR146" s="290">
        <v>384448</v>
      </c>
      <c r="FS146" s="282"/>
      <c r="FT146" s="284"/>
      <c r="FU146" s="286"/>
      <c r="FV146" s="284"/>
      <c r="FW146" s="282"/>
      <c r="FX146" s="284"/>
      <c r="FY146" s="286"/>
      <c r="FZ146" s="284"/>
      <c r="GA146" s="282" t="s">
        <v>320</v>
      </c>
      <c r="GB146" s="284">
        <v>304400</v>
      </c>
      <c r="GC146" s="286">
        <v>0.79</v>
      </c>
      <c r="GD146" s="284">
        <v>384448</v>
      </c>
      <c r="GE146" s="282"/>
      <c r="GF146" s="284"/>
      <c r="GG146" s="286"/>
      <c r="GH146" s="284"/>
      <c r="GI146" s="282"/>
      <c r="GJ146" s="284"/>
      <c r="GK146" s="286"/>
      <c r="GL146" s="284"/>
      <c r="GM146" s="282"/>
      <c r="GN146" s="284"/>
      <c r="GO146" s="286"/>
      <c r="GP146" s="284"/>
      <c r="GQ146" s="282"/>
      <c r="GR146" s="284"/>
      <c r="GS146" s="286"/>
      <c r="GT146" s="284"/>
      <c r="GU146" s="282"/>
      <c r="GV146" s="284"/>
      <c r="GW146" s="286"/>
      <c r="GX146" s="284"/>
      <c r="GY146" s="282"/>
      <c r="GZ146" s="284"/>
      <c r="HA146" s="286"/>
      <c r="HB146" s="284"/>
      <c r="HC146" s="282"/>
      <c r="HD146" s="282"/>
      <c r="HE146" s="284"/>
      <c r="HF146" s="286"/>
      <c r="HG146" s="284"/>
      <c r="HH146" s="282" t="s">
        <v>319</v>
      </c>
      <c r="HI146" s="282"/>
      <c r="HJ146" s="282"/>
      <c r="HK146" s="282" t="s">
        <v>319</v>
      </c>
      <c r="HL146" s="282" t="s">
        <v>320</v>
      </c>
      <c r="HM146" s="282" t="s">
        <v>328</v>
      </c>
      <c r="HN146" s="282">
        <v>2017</v>
      </c>
      <c r="HO146" s="282" t="s">
        <v>3128</v>
      </c>
      <c r="HP146" s="282" t="s">
        <v>330</v>
      </c>
      <c r="HQ146" s="282" t="s">
        <v>320</v>
      </c>
      <c r="HR146" s="282" t="s">
        <v>320</v>
      </c>
      <c r="HS146" s="282" t="s">
        <v>320</v>
      </c>
      <c r="HT146" s="282" t="s">
        <v>320</v>
      </c>
      <c r="HU146" s="282" t="s">
        <v>320</v>
      </c>
      <c r="HV146" s="282" t="s">
        <v>319</v>
      </c>
      <c r="HW146" s="282" t="s">
        <v>319</v>
      </c>
      <c r="HX146" s="282" t="s">
        <v>319</v>
      </c>
      <c r="HY146" s="282"/>
      <c r="HZ146" s="282" t="s">
        <v>394</v>
      </c>
      <c r="IA146" s="282" t="s">
        <v>3129</v>
      </c>
      <c r="IB146" s="282" t="s">
        <v>396</v>
      </c>
      <c r="IC146" s="282" t="s">
        <v>3130</v>
      </c>
      <c r="ID146" s="282" t="s">
        <v>477</v>
      </c>
      <c r="IE146" s="282" t="s">
        <v>335</v>
      </c>
      <c r="IF146" s="282" t="s">
        <v>320</v>
      </c>
      <c r="IG146" s="282" t="s">
        <v>320</v>
      </c>
      <c r="IH146" s="282" t="s">
        <v>320</v>
      </c>
      <c r="II146" s="282" t="s">
        <v>320</v>
      </c>
      <c r="IJ146" s="12" t="str">
        <f t="shared" si="87"/>
        <v>2. Sensitive</v>
      </c>
      <c r="IK146" s="287">
        <f t="shared" si="88"/>
        <v>4</v>
      </c>
      <c r="IL146" s="282" t="s">
        <v>336</v>
      </c>
      <c r="IM146" s="282" t="s">
        <v>320</v>
      </c>
      <c r="IN146" s="282" t="s">
        <v>320</v>
      </c>
      <c r="IO146" s="282" t="s">
        <v>320</v>
      </c>
      <c r="IP146" s="282" t="s">
        <v>320</v>
      </c>
      <c r="IQ146" s="287" t="str">
        <f t="shared" si="89"/>
        <v>2. Accommodating</v>
      </c>
      <c r="IR146" s="287">
        <f t="shared" si="90"/>
        <v>4</v>
      </c>
      <c r="IS146" s="282" t="s">
        <v>622</v>
      </c>
      <c r="IT146" s="282" t="s">
        <v>320</v>
      </c>
      <c r="IU146" s="282" t="s">
        <v>320</v>
      </c>
      <c r="IV146" s="282" t="s">
        <v>320</v>
      </c>
      <c r="IW146" s="11" t="str">
        <f t="shared" si="91"/>
        <v>4. Transformative</v>
      </c>
      <c r="IX146" s="287">
        <f t="shared" si="92"/>
        <v>3</v>
      </c>
      <c r="IY146" s="282" t="s">
        <v>419</v>
      </c>
      <c r="IZ146" s="282" t="s">
        <v>432</v>
      </c>
      <c r="JA146" s="282">
        <v>3</v>
      </c>
      <c r="JB146" s="282" t="s">
        <v>623</v>
      </c>
      <c r="JC146" s="282" t="s">
        <v>687</v>
      </c>
      <c r="JD146" s="282" t="s">
        <v>624</v>
      </c>
      <c r="JE146" s="282" t="s">
        <v>340</v>
      </c>
      <c r="JF146" s="282" t="s">
        <v>3131</v>
      </c>
      <c r="JG146" s="282" t="s">
        <v>3132</v>
      </c>
      <c r="JH146" s="282" t="s">
        <v>3133</v>
      </c>
      <c r="JI146" s="282" t="s">
        <v>3134</v>
      </c>
      <c r="JJ146" s="282" t="s">
        <v>3135</v>
      </c>
      <c r="JK146" s="282" t="s">
        <v>3136</v>
      </c>
      <c r="JL146" s="282" t="s">
        <v>3137</v>
      </c>
      <c r="JM146" s="282" t="s">
        <v>3138</v>
      </c>
      <c r="JN146" s="282" t="s">
        <v>3139</v>
      </c>
      <c r="JO146" s="282"/>
      <c r="JP146" s="15">
        <f t="shared" si="93"/>
        <v>304400</v>
      </c>
      <c r="JQ146" s="15">
        <f t="shared" si="94"/>
        <v>384448</v>
      </c>
      <c r="JR146" s="279">
        <f t="shared" si="95"/>
        <v>1.2629697766097241</v>
      </c>
      <c r="JS146" s="17">
        <f t="shared" si="96"/>
        <v>0.47437582128777922</v>
      </c>
      <c r="JT146" s="18">
        <f t="shared" si="97"/>
        <v>0.49000124854336607</v>
      </c>
      <c r="JU146" s="280">
        <f t="shared" si="98"/>
        <v>144400</v>
      </c>
      <c r="JV146" s="280">
        <f t="shared" si="99"/>
        <v>188380</v>
      </c>
      <c r="JW146" s="319" t="str">
        <f t="shared" si="100"/>
        <v/>
      </c>
      <c r="JX146" s="15">
        <f t="shared" si="101"/>
        <v>0</v>
      </c>
      <c r="JY146" s="15">
        <f t="shared" si="102"/>
        <v>0</v>
      </c>
      <c r="JZ146" s="19" t="str">
        <f t="shared" si="103"/>
        <v/>
      </c>
      <c r="KA146" s="52">
        <f t="shared" si="104"/>
        <v>1</v>
      </c>
      <c r="KB146" s="15">
        <f t="shared" si="105"/>
        <v>304400</v>
      </c>
      <c r="KC146" s="15">
        <f t="shared" si="106"/>
        <v>384448</v>
      </c>
      <c r="KD146" s="20">
        <f t="shared" si="107"/>
        <v>1.2629697766097241</v>
      </c>
      <c r="KE146" s="52" t="str">
        <f t="shared" si="108"/>
        <v/>
      </c>
      <c r="KF146" s="15">
        <f t="shared" si="109"/>
        <v>0</v>
      </c>
      <c r="KG146" s="15">
        <f t="shared" si="110"/>
        <v>0</v>
      </c>
      <c r="KH146" s="21" t="str">
        <f t="shared" si="111"/>
        <v/>
      </c>
      <c r="KI146" s="52" t="str">
        <f t="shared" si="112"/>
        <v/>
      </c>
      <c r="KJ146" s="15">
        <f t="shared" si="113"/>
        <v>0</v>
      </c>
      <c r="KK146" s="15">
        <f t="shared" si="114"/>
        <v>0</v>
      </c>
      <c r="KL146" s="19" t="str">
        <f t="shared" si="115"/>
        <v/>
      </c>
      <c r="KM146" s="52" t="str">
        <f t="shared" si="116"/>
        <v/>
      </c>
      <c r="KN146" s="22">
        <f t="shared" si="117"/>
        <v>0</v>
      </c>
      <c r="KO146" s="22">
        <f t="shared" si="118"/>
        <v>0</v>
      </c>
      <c r="KP146" s="19" t="str">
        <f t="shared" si="119"/>
        <v/>
      </c>
      <c r="KQ146" s="11" t="str">
        <f t="shared" si="120"/>
        <v>2. Sensitive</v>
      </c>
      <c r="KR146" s="11" t="str">
        <f t="shared" si="121"/>
        <v>2. Accommodating</v>
      </c>
      <c r="KS146" s="11" t="str">
        <f t="shared" si="122"/>
        <v>4. Transformative</v>
      </c>
      <c r="KT146" s="11" t="str">
        <f t="shared" si="123"/>
        <v>It tested new ways for fighting poverty, but did not measure results of innovation</v>
      </c>
      <c r="KU146" s="11" t="str">
        <f t="shared" si="124"/>
        <v>Moderate advocacy</v>
      </c>
      <c r="KV146" s="11" t="str">
        <f t="shared" si="125"/>
        <v>It linked and worked with strategic alliances and partners to take tested and effective solutions to scale</v>
      </c>
      <c r="KW146" s="11" t="str">
        <f t="shared" si="126"/>
        <v>Cote d'Ivoire - PARSSI (Appui à la Redynamisation des établissements sanitaire à base communautaire de la commune de San de la Commune de San Pedro)</v>
      </c>
      <c r="KX146" s="11" t="str">
        <f t="shared" si="127"/>
        <v>PARSSI (Appui à la Redynamisation des établissements sanitaire à base communautaire de la commune de San de la Commune de San Pedro)</v>
      </c>
      <c r="KY146" s="11" t="str">
        <f t="shared" si="128"/>
        <v>Cote d'Ivoire</v>
      </c>
      <c r="KZ146" s="12">
        <v>146</v>
      </c>
    </row>
    <row r="147" spans="1:312" x14ac:dyDescent="0.3">
      <c r="A147" s="11" t="s">
        <v>2956</v>
      </c>
      <c r="B147" s="11" t="s">
        <v>1596</v>
      </c>
      <c r="C147" s="11">
        <v>2866</v>
      </c>
      <c r="D147" s="11" t="s">
        <v>3000</v>
      </c>
      <c r="E147" s="24" t="str">
        <f t="shared" si="86"/>
        <v>Cote d'Ivoire</v>
      </c>
      <c r="F147" s="11">
        <v>2866</v>
      </c>
      <c r="G147" s="11" t="s">
        <v>379</v>
      </c>
      <c r="H147" s="11" t="s">
        <v>383</v>
      </c>
      <c r="I147" s="11" t="s">
        <v>384</v>
      </c>
      <c r="J147" s="281" t="s">
        <v>14592</v>
      </c>
      <c r="BD147" s="23">
        <v>41579</v>
      </c>
      <c r="BE147" s="23">
        <v>43100</v>
      </c>
      <c r="BF147" s="23">
        <v>43160</v>
      </c>
      <c r="BG147" s="11" t="s">
        <v>350</v>
      </c>
      <c r="BH147" s="22">
        <v>3171530</v>
      </c>
      <c r="BI147" s="11" t="s">
        <v>3001</v>
      </c>
      <c r="BJ147" s="11" t="s">
        <v>3002</v>
      </c>
      <c r="BK147" s="11" t="s">
        <v>3003</v>
      </c>
      <c r="BL147" s="11" t="s">
        <v>3004</v>
      </c>
      <c r="BM147" s="11" t="s">
        <v>3005</v>
      </c>
      <c r="BN147" s="11" t="s">
        <v>3006</v>
      </c>
      <c r="BO147" s="11" t="s">
        <v>319</v>
      </c>
      <c r="BP147" s="11" t="s">
        <v>320</v>
      </c>
      <c r="BQ147" s="11" t="s">
        <v>319</v>
      </c>
      <c r="BR147" s="11" t="s">
        <v>3007</v>
      </c>
      <c r="BS147" s="11" t="s">
        <v>357</v>
      </c>
      <c r="BT147" s="11" t="s">
        <v>3008</v>
      </c>
      <c r="BU147" s="11" t="s">
        <v>3009</v>
      </c>
      <c r="BV147" s="22">
        <v>87500</v>
      </c>
      <c r="BW147" s="22">
        <v>37500</v>
      </c>
      <c r="BX147" s="22">
        <v>125000</v>
      </c>
      <c r="BY147" s="22">
        <v>350000</v>
      </c>
      <c r="BZ147" s="22">
        <v>150000</v>
      </c>
      <c r="CA147" s="22">
        <v>500000</v>
      </c>
      <c r="CB147" s="15" t="s">
        <v>3010</v>
      </c>
      <c r="CL147" s="18"/>
      <c r="CP147" s="18"/>
      <c r="CT147" s="18"/>
      <c r="CX147" s="18"/>
      <c r="DB147" s="18"/>
      <c r="DF147" s="18"/>
      <c r="DJ147" s="18"/>
      <c r="DN147" s="18"/>
      <c r="DR147" s="18"/>
      <c r="DV147" s="18"/>
      <c r="DZ147" s="18"/>
      <c r="ED147" s="18"/>
      <c r="EI147" s="18"/>
      <c r="EK147" s="22">
        <v>24363</v>
      </c>
      <c r="EL147" s="22">
        <v>13225</v>
      </c>
      <c r="EM147" s="22">
        <v>37588</v>
      </c>
      <c r="EN147" s="22">
        <v>146178</v>
      </c>
      <c r="EO147" s="22">
        <v>79350</v>
      </c>
      <c r="EP147" s="22">
        <v>225528</v>
      </c>
      <c r="ES147" s="18"/>
      <c r="EW147" s="18"/>
      <c r="FA147" s="18"/>
      <c r="FE147" s="18"/>
      <c r="FI147" s="18"/>
      <c r="FM147" s="18"/>
      <c r="FQ147" s="18"/>
      <c r="FU147" s="18"/>
      <c r="FY147" s="18"/>
      <c r="GC147" s="18"/>
      <c r="GG147" s="18"/>
      <c r="GK147" s="18"/>
      <c r="GO147" s="18"/>
      <c r="GS147" s="18"/>
      <c r="GW147" s="18"/>
      <c r="GY147" s="11" t="s">
        <v>320</v>
      </c>
      <c r="GZ147" s="22">
        <v>37588</v>
      </c>
      <c r="HA147" s="18">
        <v>0.64800000000000002</v>
      </c>
      <c r="HB147" s="22">
        <v>225528</v>
      </c>
      <c r="HF147" s="18"/>
      <c r="HH147" s="11" t="s">
        <v>320</v>
      </c>
      <c r="HI147" s="11" t="s">
        <v>560</v>
      </c>
      <c r="HJ147" s="11">
        <v>2017</v>
      </c>
      <c r="HK147" s="11" t="s">
        <v>320</v>
      </c>
      <c r="HL147" s="11" t="s">
        <v>319</v>
      </c>
      <c r="HP147" s="11" t="s">
        <v>330</v>
      </c>
      <c r="HQ147" s="11" t="s">
        <v>319</v>
      </c>
      <c r="HR147" s="11" t="s">
        <v>319</v>
      </c>
      <c r="HS147" s="11" t="s">
        <v>320</v>
      </c>
      <c r="HT147" s="11" t="s">
        <v>319</v>
      </c>
      <c r="HU147" s="11" t="s">
        <v>320</v>
      </c>
      <c r="HV147" s="11" t="s">
        <v>319</v>
      </c>
      <c r="HW147" s="11" t="s">
        <v>319</v>
      </c>
      <c r="HX147" s="11" t="s">
        <v>320</v>
      </c>
      <c r="HY147" s="11" t="s">
        <v>3011</v>
      </c>
      <c r="HZ147" s="11" t="s">
        <v>394</v>
      </c>
      <c r="IA147" s="11" t="s">
        <v>3012</v>
      </c>
      <c r="IB147" s="12" t="s">
        <v>396</v>
      </c>
      <c r="IC147" s="11" t="s">
        <v>3013</v>
      </c>
      <c r="ID147" s="12" t="s">
        <v>334</v>
      </c>
      <c r="IE147" s="11" t="s">
        <v>478</v>
      </c>
      <c r="IF147" s="11" t="s">
        <v>320</v>
      </c>
      <c r="IG147" s="11" t="s">
        <v>320</v>
      </c>
      <c r="IH147" s="11" t="s">
        <v>320</v>
      </c>
      <c r="II147" s="11" t="s">
        <v>320</v>
      </c>
      <c r="IJ147" s="12" t="str">
        <f t="shared" si="87"/>
        <v>4. Transformative</v>
      </c>
      <c r="IK147" s="12">
        <f t="shared" si="88"/>
        <v>4</v>
      </c>
      <c r="IL147" s="11" t="s">
        <v>336</v>
      </c>
      <c r="IM147" s="11" t="s">
        <v>320</v>
      </c>
      <c r="IN147" s="11" t="s">
        <v>320</v>
      </c>
      <c r="IO147" s="11" t="s">
        <v>320</v>
      </c>
      <c r="IP147" s="11" t="s">
        <v>320</v>
      </c>
      <c r="IQ147" s="12" t="str">
        <f t="shared" si="89"/>
        <v>2. Accommodating</v>
      </c>
      <c r="IR147" s="12">
        <f t="shared" si="90"/>
        <v>4</v>
      </c>
      <c r="IS147" s="11" t="s">
        <v>337</v>
      </c>
      <c r="IT147" s="11" t="s">
        <v>320</v>
      </c>
      <c r="IU147" s="11" t="s">
        <v>320</v>
      </c>
      <c r="IV147" s="11" t="s">
        <v>320</v>
      </c>
      <c r="IW147" s="11" t="str">
        <f t="shared" si="91"/>
        <v>2. Sensitive</v>
      </c>
      <c r="IX147" s="12">
        <f t="shared" si="92"/>
        <v>3</v>
      </c>
      <c r="IY147" s="11" t="s">
        <v>419</v>
      </c>
      <c r="IZ147" s="12" t="s">
        <v>457</v>
      </c>
      <c r="JA147" s="11">
        <v>9</v>
      </c>
      <c r="JC147" s="12" t="s">
        <v>433</v>
      </c>
      <c r="JD147" s="12" t="s">
        <v>724</v>
      </c>
      <c r="JE147" s="12" t="s">
        <v>365</v>
      </c>
      <c r="JF147" s="11" t="s">
        <v>3014</v>
      </c>
      <c r="JG147" s="11" t="s">
        <v>3015</v>
      </c>
      <c r="JH147" s="11" t="s">
        <v>3016</v>
      </c>
      <c r="JI147" s="11" t="s">
        <v>3017</v>
      </c>
      <c r="JJ147" s="11" t="s">
        <v>3018</v>
      </c>
      <c r="JK147" s="11" t="s">
        <v>3019</v>
      </c>
      <c r="JL147" s="11" t="s">
        <v>3020</v>
      </c>
      <c r="JN147" s="11" t="s">
        <v>3021</v>
      </c>
      <c r="JO147" s="11" t="s">
        <v>3022</v>
      </c>
      <c r="JP147" s="15">
        <f t="shared" si="93"/>
        <v>37588</v>
      </c>
      <c r="JQ147" s="15">
        <f t="shared" si="94"/>
        <v>225528</v>
      </c>
      <c r="JR147" s="279">
        <f t="shared" si="95"/>
        <v>6</v>
      </c>
      <c r="JS147" s="17">
        <f t="shared" si="96"/>
        <v>0.64815898691071616</v>
      </c>
      <c r="JT147" s="18">
        <f t="shared" si="97"/>
        <v>0.64815898691071616</v>
      </c>
      <c r="JU147" s="280">
        <f t="shared" si="98"/>
        <v>24363</v>
      </c>
      <c r="JV147" s="280">
        <f t="shared" si="99"/>
        <v>146178</v>
      </c>
      <c r="JW147" s="319" t="str">
        <f t="shared" si="100"/>
        <v/>
      </c>
      <c r="JX147" s="15">
        <f t="shared" si="101"/>
        <v>0</v>
      </c>
      <c r="JY147" s="15">
        <f t="shared" si="102"/>
        <v>0</v>
      </c>
      <c r="JZ147" s="19" t="str">
        <f t="shared" si="103"/>
        <v/>
      </c>
      <c r="KA147" s="52" t="str">
        <f t="shared" si="104"/>
        <v/>
      </c>
      <c r="KB147" s="15">
        <f t="shared" si="105"/>
        <v>0</v>
      </c>
      <c r="KC147" s="15">
        <f t="shared" si="106"/>
        <v>0</v>
      </c>
      <c r="KD147" s="20" t="str">
        <f t="shared" si="107"/>
        <v/>
      </c>
      <c r="KE147" s="52" t="str">
        <f t="shared" si="108"/>
        <v/>
      </c>
      <c r="KF147" s="15">
        <f t="shared" si="109"/>
        <v>0</v>
      </c>
      <c r="KG147" s="15">
        <f t="shared" si="110"/>
        <v>0</v>
      </c>
      <c r="KH147" s="21" t="str">
        <f t="shared" si="111"/>
        <v/>
      </c>
      <c r="KI147" s="52" t="str">
        <f t="shared" si="112"/>
        <v/>
      </c>
      <c r="KJ147" s="15">
        <f t="shared" si="113"/>
        <v>0</v>
      </c>
      <c r="KK147" s="15">
        <f t="shared" si="114"/>
        <v>0</v>
      </c>
      <c r="KL147" s="19" t="str">
        <f t="shared" si="115"/>
        <v/>
      </c>
      <c r="KM147" s="52">
        <f t="shared" si="116"/>
        <v>1</v>
      </c>
      <c r="KN147" s="22">
        <f t="shared" si="117"/>
        <v>37588</v>
      </c>
      <c r="KO147" s="22">
        <f t="shared" si="118"/>
        <v>225528</v>
      </c>
      <c r="KP147" s="19">
        <f t="shared" si="119"/>
        <v>6</v>
      </c>
      <c r="KQ147" s="11" t="str">
        <f t="shared" si="120"/>
        <v>4. Transformative</v>
      </c>
      <c r="KR147" s="11" t="str">
        <f t="shared" si="121"/>
        <v>2. Accommodating</v>
      </c>
      <c r="KS147" s="11" t="str">
        <f t="shared" si="122"/>
        <v>2. Sensitive</v>
      </c>
      <c r="KT147" s="11" t="str">
        <f t="shared" si="123"/>
        <v>It tested new ways for fighting poverty, but did not measure results of innovation</v>
      </c>
      <c r="KU147" s="11" t="str">
        <f t="shared" si="124"/>
        <v>Moderate advocacy</v>
      </c>
      <c r="KV147" s="11" t="str">
        <f t="shared" si="125"/>
        <v>It linked and worked with strategic alliances and partners to take tested and effective solutions to scale</v>
      </c>
      <c r="KW147" s="11" t="str">
        <f t="shared" si="126"/>
        <v>Cote d'Ivoire - POWER AFRICA</v>
      </c>
      <c r="KX147" s="11" t="str">
        <f t="shared" si="127"/>
        <v>POWER AFRICA</v>
      </c>
      <c r="KY147" s="11" t="str">
        <f t="shared" si="128"/>
        <v>Cote d'Ivoire</v>
      </c>
      <c r="KZ147" s="287">
        <v>147</v>
      </c>
    </row>
    <row r="148" spans="1:312" x14ac:dyDescent="0.3">
      <c r="A148" s="11" t="s">
        <v>2956</v>
      </c>
      <c r="B148" s="11" t="s">
        <v>1596</v>
      </c>
      <c r="D148" s="11" t="s">
        <v>3023</v>
      </c>
      <c r="E148" s="24" t="str">
        <f t="shared" si="86"/>
        <v>Cote d'Ivoire</v>
      </c>
      <c r="F148" s="11" t="s">
        <v>3024</v>
      </c>
      <c r="G148" s="11" t="s">
        <v>379</v>
      </c>
      <c r="H148" s="11" t="s">
        <v>380</v>
      </c>
      <c r="I148" s="11" t="s">
        <v>381</v>
      </c>
      <c r="J148" s="278" t="s">
        <v>14607</v>
      </c>
      <c r="BD148" s="23">
        <v>42800</v>
      </c>
      <c r="BE148" s="23">
        <v>43317</v>
      </c>
      <c r="BG148" s="11" t="s">
        <v>312</v>
      </c>
      <c r="BH148" s="22">
        <v>1000000</v>
      </c>
      <c r="BI148" s="11" t="s">
        <v>3025</v>
      </c>
      <c r="BJ148" s="11" t="s">
        <v>3026</v>
      </c>
      <c r="BK148" s="11" t="s">
        <v>3027</v>
      </c>
      <c r="BL148" s="11" t="s">
        <v>3028</v>
      </c>
      <c r="BM148" s="11" t="s">
        <v>3029</v>
      </c>
      <c r="BN148" s="11" t="s">
        <v>3030</v>
      </c>
      <c r="BO148" s="11" t="s">
        <v>319</v>
      </c>
      <c r="BP148" s="11" t="s">
        <v>320</v>
      </c>
      <c r="BQ148" s="11" t="s">
        <v>319</v>
      </c>
      <c r="BR148" s="11" t="s">
        <v>3031</v>
      </c>
      <c r="BS148" s="11" t="s">
        <v>357</v>
      </c>
      <c r="BT148" s="11" t="s">
        <v>3032</v>
      </c>
      <c r="BU148" s="11" t="s">
        <v>3033</v>
      </c>
      <c r="BV148" s="22">
        <v>3500</v>
      </c>
      <c r="BW148" s="22">
        <v>5000</v>
      </c>
      <c r="BX148" s="22">
        <v>8500</v>
      </c>
      <c r="BY148" s="22">
        <v>24500</v>
      </c>
      <c r="BZ148" s="22">
        <v>35000</v>
      </c>
      <c r="CA148" s="22">
        <v>59500</v>
      </c>
      <c r="CB148" s="15" t="s">
        <v>3034</v>
      </c>
      <c r="CL148" s="18"/>
      <c r="CP148" s="18"/>
      <c r="CT148" s="18"/>
      <c r="CX148" s="18"/>
      <c r="DB148" s="18"/>
      <c r="DF148" s="18"/>
      <c r="DJ148" s="18"/>
      <c r="DN148" s="18"/>
      <c r="DR148" s="18"/>
      <c r="DV148" s="18"/>
      <c r="DZ148" s="18"/>
      <c r="ED148" s="18"/>
      <c r="EI148" s="18"/>
      <c r="ES148" s="18"/>
      <c r="EW148" s="18"/>
      <c r="FA148" s="18"/>
      <c r="FE148" s="18"/>
      <c r="FI148" s="18"/>
      <c r="FM148" s="18"/>
      <c r="FQ148" s="18"/>
      <c r="FU148" s="18"/>
      <c r="FY148" s="18"/>
      <c r="GC148" s="18"/>
      <c r="GG148" s="18"/>
      <c r="GK148" s="18"/>
      <c r="GO148" s="18"/>
      <c r="GS148" s="18"/>
      <c r="GW148" s="18"/>
      <c r="HA148" s="18"/>
      <c r="HF148" s="18"/>
      <c r="HH148" s="11" t="s">
        <v>319</v>
      </c>
      <c r="HK148" s="11" t="s">
        <v>319</v>
      </c>
      <c r="HL148" s="11" t="s">
        <v>320</v>
      </c>
      <c r="HM148" s="11" t="s">
        <v>522</v>
      </c>
      <c r="HN148" s="11">
        <v>2018</v>
      </c>
      <c r="HO148" s="11" t="s">
        <v>3035</v>
      </c>
      <c r="HP148" s="11" t="s">
        <v>330</v>
      </c>
      <c r="HQ148" s="11" t="s">
        <v>319</v>
      </c>
      <c r="HR148" s="11" t="s">
        <v>320</v>
      </c>
      <c r="HS148" s="11" t="s">
        <v>319</v>
      </c>
      <c r="HT148" s="11" t="s">
        <v>319</v>
      </c>
      <c r="HU148" s="11" t="s">
        <v>320</v>
      </c>
      <c r="HV148" s="11" t="s">
        <v>319</v>
      </c>
      <c r="HW148" s="11" t="s">
        <v>319</v>
      </c>
      <c r="HZ148" s="11" t="s">
        <v>363</v>
      </c>
      <c r="IA148" s="11" t="s">
        <v>3036</v>
      </c>
      <c r="IB148" s="12" t="s">
        <v>333</v>
      </c>
      <c r="ID148" s="12" t="s">
        <v>334</v>
      </c>
      <c r="IE148" s="11" t="s">
        <v>335</v>
      </c>
      <c r="IF148" s="11" t="s">
        <v>320</v>
      </c>
      <c r="IG148" s="11" t="s">
        <v>320</v>
      </c>
      <c r="IH148" s="11" t="s">
        <v>320</v>
      </c>
      <c r="II148" s="11" t="s">
        <v>320</v>
      </c>
      <c r="IJ148" s="12" t="str">
        <f t="shared" si="87"/>
        <v>2. Sensitive</v>
      </c>
      <c r="IK148" s="12">
        <f t="shared" si="88"/>
        <v>4</v>
      </c>
      <c r="IL148" s="11" t="s">
        <v>336</v>
      </c>
      <c r="IM148" s="11" t="s">
        <v>320</v>
      </c>
      <c r="IN148" s="11" t="s">
        <v>320</v>
      </c>
      <c r="IO148" s="11" t="s">
        <v>320</v>
      </c>
      <c r="IP148" s="11" t="s">
        <v>320</v>
      </c>
      <c r="IQ148" s="12" t="str">
        <f t="shared" si="89"/>
        <v>2. Accommodating</v>
      </c>
      <c r="IR148" s="12">
        <f t="shared" si="90"/>
        <v>4</v>
      </c>
      <c r="IS148" s="11" t="s">
        <v>337</v>
      </c>
      <c r="IT148" s="11" t="s">
        <v>320</v>
      </c>
      <c r="IU148" s="11" t="s">
        <v>320</v>
      </c>
      <c r="IV148" s="11" t="s">
        <v>320</v>
      </c>
      <c r="IW148" s="11" t="str">
        <f t="shared" si="91"/>
        <v>2. Sensitive</v>
      </c>
      <c r="IX148" s="12">
        <f t="shared" si="92"/>
        <v>3</v>
      </c>
      <c r="IY148" s="11" t="s">
        <v>338</v>
      </c>
      <c r="IZ148" s="11" t="s">
        <v>527</v>
      </c>
      <c r="JA148" s="11">
        <v>3</v>
      </c>
      <c r="JB148" s="11" t="s">
        <v>433</v>
      </c>
      <c r="JC148" s="11" t="s">
        <v>687</v>
      </c>
      <c r="JE148" s="12" t="s">
        <v>340</v>
      </c>
      <c r="JG148" s="11" t="s">
        <v>3037</v>
      </c>
      <c r="JK148" s="11" t="s">
        <v>3038</v>
      </c>
      <c r="JL148" s="11" t="s">
        <v>3038</v>
      </c>
      <c r="JM148" s="11" t="s">
        <v>3038</v>
      </c>
      <c r="JP148" s="15">
        <f t="shared" si="93"/>
        <v>0</v>
      </c>
      <c r="JQ148" s="15">
        <f t="shared" si="94"/>
        <v>0</v>
      </c>
      <c r="JR148" s="279" t="str">
        <f t="shared" si="95"/>
        <v/>
      </c>
      <c r="JS148" s="17" t="str">
        <f t="shared" si="96"/>
        <v/>
      </c>
      <c r="JT148" s="18" t="str">
        <f t="shared" si="97"/>
        <v/>
      </c>
      <c r="JU148" s="280">
        <f t="shared" si="98"/>
        <v>0</v>
      </c>
      <c r="JV148" s="280">
        <f t="shared" si="99"/>
        <v>0</v>
      </c>
      <c r="JW148" s="319" t="str">
        <f t="shared" si="100"/>
        <v/>
      </c>
      <c r="JX148" s="15">
        <f t="shared" si="101"/>
        <v>0</v>
      </c>
      <c r="JY148" s="15">
        <f t="shared" si="102"/>
        <v>0</v>
      </c>
      <c r="JZ148" s="19" t="str">
        <f t="shared" si="103"/>
        <v/>
      </c>
      <c r="KA148" s="52" t="str">
        <f t="shared" si="104"/>
        <v/>
      </c>
      <c r="KB148" s="15">
        <f t="shared" si="105"/>
        <v>0</v>
      </c>
      <c r="KC148" s="15">
        <f t="shared" si="106"/>
        <v>0</v>
      </c>
      <c r="KD148" s="20" t="str">
        <f t="shared" si="107"/>
        <v/>
      </c>
      <c r="KE148" s="52" t="str">
        <f t="shared" si="108"/>
        <v/>
      </c>
      <c r="KF148" s="15">
        <f t="shared" si="109"/>
        <v>0</v>
      </c>
      <c r="KG148" s="15">
        <f t="shared" si="110"/>
        <v>0</v>
      </c>
      <c r="KH148" s="21" t="str">
        <f t="shared" si="111"/>
        <v/>
      </c>
      <c r="KI148" s="52" t="str">
        <f t="shared" si="112"/>
        <v/>
      </c>
      <c r="KJ148" s="15">
        <f t="shared" si="113"/>
        <v>0</v>
      </c>
      <c r="KK148" s="15">
        <f t="shared" si="114"/>
        <v>0</v>
      </c>
      <c r="KL148" s="19" t="str">
        <f t="shared" si="115"/>
        <v/>
      </c>
      <c r="KM148" s="52" t="str">
        <f t="shared" si="116"/>
        <v/>
      </c>
      <c r="KN148" s="22">
        <f t="shared" si="117"/>
        <v>0</v>
      </c>
      <c r="KO148" s="22">
        <f t="shared" si="118"/>
        <v>0</v>
      </c>
      <c r="KP148" s="19" t="str">
        <f t="shared" si="119"/>
        <v/>
      </c>
      <c r="KQ148" s="11" t="str">
        <f t="shared" si="120"/>
        <v>2. Sensitive</v>
      </c>
      <c r="KR148" s="11" t="str">
        <f t="shared" si="121"/>
        <v>2. Accommodating</v>
      </c>
      <c r="KS148" s="11" t="str">
        <f t="shared" si="122"/>
        <v>2. Sensitive</v>
      </c>
      <c r="KT148" s="11" t="str">
        <f t="shared" si="123"/>
        <v>It did not develop any specific innovation</v>
      </c>
      <c r="KU148" s="11" t="str">
        <f t="shared" si="124"/>
        <v>Moderate advocacy</v>
      </c>
      <c r="KV148" s="11" t="str">
        <f t="shared" si="125"/>
        <v>It did not take tested solutions to scale</v>
      </c>
      <c r="KW148" s="11" t="str">
        <f t="shared" si="126"/>
        <v>Cote d'Ivoire - Projet d'appui à l'engagement soutenu des femmes dans la consolidation de la paix et de la sécurité à l'ouest de la Côte d'Ivoire (SWEEP)</v>
      </c>
      <c r="KX148" s="11" t="str">
        <f t="shared" si="127"/>
        <v>Projet d'appui à l'engagement soutenu des femmes dans la consolidation de la paix et de la sécurité à l'ouest de la Côte d'Ivoire (SWEEP)</v>
      </c>
      <c r="KY148" s="11" t="str">
        <f t="shared" si="128"/>
        <v>Cote d'Ivoire</v>
      </c>
      <c r="KZ148" s="12">
        <v>148</v>
      </c>
    </row>
    <row r="149" spans="1:312" x14ac:dyDescent="0.3">
      <c r="A149" s="11" t="s">
        <v>2956</v>
      </c>
      <c r="B149" s="11" t="s">
        <v>1596</v>
      </c>
      <c r="C149" s="11">
        <v>2865</v>
      </c>
      <c r="D149" s="11" t="s">
        <v>3104</v>
      </c>
      <c r="E149" s="277" t="str">
        <f t="shared" si="86"/>
        <v>Cote d'Ivoire</v>
      </c>
      <c r="F149" s="11" t="s">
        <v>3105</v>
      </c>
      <c r="G149" s="11" t="s">
        <v>608</v>
      </c>
      <c r="H149" s="11" t="s">
        <v>380</v>
      </c>
      <c r="I149" s="11" t="s">
        <v>384</v>
      </c>
      <c r="J149" s="278" t="s">
        <v>11074</v>
      </c>
      <c r="BD149" s="23">
        <v>41803</v>
      </c>
      <c r="BE149" s="23">
        <v>43100</v>
      </c>
      <c r="BF149" s="23">
        <v>43465</v>
      </c>
      <c r="BG149" s="11" t="s">
        <v>312</v>
      </c>
      <c r="BH149" s="22">
        <v>1500000</v>
      </c>
      <c r="BI149" s="11" t="s">
        <v>3025</v>
      </c>
      <c r="BJ149" s="11" t="s">
        <v>3106</v>
      </c>
      <c r="BK149" s="11" t="s">
        <v>3027</v>
      </c>
      <c r="BL149" s="11" t="s">
        <v>3107</v>
      </c>
      <c r="BM149" s="11" t="s">
        <v>3108</v>
      </c>
      <c r="BN149" s="11" t="s">
        <v>3109</v>
      </c>
      <c r="BO149" s="11" t="s">
        <v>319</v>
      </c>
      <c r="BP149" s="11" t="s">
        <v>320</v>
      </c>
      <c r="BQ149" s="11" t="s">
        <v>319</v>
      </c>
      <c r="BR149" s="11" t="s">
        <v>3110</v>
      </c>
      <c r="BS149" s="11" t="s">
        <v>357</v>
      </c>
      <c r="BT149" s="11" t="s">
        <v>3111</v>
      </c>
      <c r="BU149" s="11" t="s">
        <v>3112</v>
      </c>
      <c r="BV149" s="22">
        <v>452</v>
      </c>
      <c r="BW149" s="22">
        <v>518</v>
      </c>
      <c r="BX149" s="22">
        <v>970</v>
      </c>
      <c r="BY149" s="22">
        <v>397364</v>
      </c>
      <c r="BZ149" s="22">
        <v>423636</v>
      </c>
      <c r="CA149" s="22">
        <v>821000</v>
      </c>
      <c r="CB149" s="15" t="s">
        <v>3113</v>
      </c>
      <c r="CL149" s="18"/>
      <c r="CP149" s="18"/>
      <c r="CT149" s="18"/>
      <c r="CX149" s="18"/>
      <c r="DB149" s="18"/>
      <c r="DF149" s="18"/>
      <c r="DJ149" s="18"/>
      <c r="DN149" s="18"/>
      <c r="DR149" s="18"/>
      <c r="DV149" s="18"/>
      <c r="DZ149" s="18"/>
      <c r="ED149" s="18"/>
      <c r="EI149" s="18"/>
      <c r="ES149" s="18"/>
      <c r="EW149" s="18"/>
      <c r="FA149" s="18"/>
      <c r="FE149" s="18"/>
      <c r="FI149" s="18"/>
      <c r="FM149" s="18"/>
      <c r="FQ149" s="18"/>
      <c r="FU149" s="18"/>
      <c r="FY149" s="18"/>
      <c r="GC149" s="18"/>
      <c r="GG149" s="18"/>
      <c r="GK149" s="18"/>
      <c r="GO149" s="18"/>
      <c r="GS149" s="18"/>
      <c r="GW149" s="18"/>
      <c r="HA149" s="18"/>
      <c r="HF149" s="18"/>
      <c r="HH149" s="11" t="s">
        <v>319</v>
      </c>
      <c r="HK149" s="11" t="s">
        <v>319</v>
      </c>
      <c r="HL149" s="11" t="s">
        <v>320</v>
      </c>
      <c r="HM149" s="11" t="s">
        <v>522</v>
      </c>
      <c r="HN149" s="11">
        <v>2017</v>
      </c>
      <c r="HO149" s="11" t="s">
        <v>3114</v>
      </c>
      <c r="HP149" s="11" t="s">
        <v>418</v>
      </c>
      <c r="HQ149" s="11" t="s">
        <v>320</v>
      </c>
      <c r="HR149" s="11" t="s">
        <v>319</v>
      </c>
      <c r="HS149" s="11" t="s">
        <v>319</v>
      </c>
      <c r="HT149" s="11" t="s">
        <v>320</v>
      </c>
      <c r="HU149" s="11" t="s">
        <v>320</v>
      </c>
      <c r="HV149" s="11" t="s">
        <v>319</v>
      </c>
      <c r="HW149" s="11" t="s">
        <v>320</v>
      </c>
      <c r="HZ149" s="11" t="s">
        <v>363</v>
      </c>
      <c r="IB149" s="12" t="s">
        <v>333</v>
      </c>
      <c r="ID149" s="11" t="s">
        <v>364</v>
      </c>
      <c r="IE149" s="11" t="s">
        <v>1909</v>
      </c>
      <c r="IF149" s="11" t="s">
        <v>319</v>
      </c>
      <c r="IG149" s="11" t="s">
        <v>319</v>
      </c>
      <c r="IH149" s="11" t="s">
        <v>319</v>
      </c>
      <c r="II149" s="11" t="s">
        <v>319</v>
      </c>
      <c r="IJ149" s="12" t="str">
        <f t="shared" si="87"/>
        <v>0. Harmful</v>
      </c>
      <c r="IK149" s="12">
        <f t="shared" si="88"/>
        <v>0</v>
      </c>
      <c r="IL149" s="11" t="s">
        <v>723</v>
      </c>
      <c r="IM149" s="11" t="s">
        <v>319</v>
      </c>
      <c r="IN149" s="11" t="s">
        <v>319</v>
      </c>
      <c r="IO149" s="11" t="s">
        <v>319</v>
      </c>
      <c r="IP149" s="11" t="s">
        <v>319</v>
      </c>
      <c r="IQ149" s="12" t="str">
        <f t="shared" si="89"/>
        <v>0. Unaware</v>
      </c>
      <c r="IR149" s="12">
        <f t="shared" si="90"/>
        <v>0</v>
      </c>
      <c r="IS149" s="11" t="s">
        <v>456</v>
      </c>
      <c r="IW149" s="11" t="str">
        <f t="shared" si="91"/>
        <v>0. Harmful</v>
      </c>
      <c r="IX149" s="12">
        <f t="shared" si="92"/>
        <v>0</v>
      </c>
      <c r="IY149" s="11" t="s">
        <v>338</v>
      </c>
      <c r="IZ149" s="12" t="s">
        <v>339</v>
      </c>
      <c r="JA149" s="12"/>
      <c r="JE149" s="12" t="s">
        <v>420</v>
      </c>
      <c r="JG149" s="11" t="s">
        <v>3115</v>
      </c>
      <c r="JH149" s="11" t="s">
        <v>3116</v>
      </c>
      <c r="JK149" s="11" t="s">
        <v>3117</v>
      </c>
      <c r="JP149" s="15">
        <f t="shared" si="93"/>
        <v>0</v>
      </c>
      <c r="JQ149" s="15">
        <f t="shared" si="94"/>
        <v>0</v>
      </c>
      <c r="JR149" s="279" t="str">
        <f t="shared" si="95"/>
        <v/>
      </c>
      <c r="JS149" s="17" t="str">
        <f t="shared" si="96"/>
        <v/>
      </c>
      <c r="JT149" s="18" t="str">
        <f t="shared" si="97"/>
        <v/>
      </c>
      <c r="JU149" s="280">
        <f t="shared" si="98"/>
        <v>0</v>
      </c>
      <c r="JV149" s="280">
        <f t="shared" si="99"/>
        <v>0</v>
      </c>
      <c r="JW149" s="319" t="str">
        <f t="shared" si="100"/>
        <v/>
      </c>
      <c r="JX149" s="15">
        <f t="shared" si="101"/>
        <v>0</v>
      </c>
      <c r="JY149" s="15">
        <f t="shared" si="102"/>
        <v>0</v>
      </c>
      <c r="JZ149" s="19" t="str">
        <f t="shared" si="103"/>
        <v/>
      </c>
      <c r="KA149" s="52" t="str">
        <f t="shared" si="104"/>
        <v/>
      </c>
      <c r="KB149" s="15">
        <f t="shared" si="105"/>
        <v>0</v>
      </c>
      <c r="KC149" s="15">
        <f t="shared" si="106"/>
        <v>0</v>
      </c>
      <c r="KD149" s="20" t="str">
        <f t="shared" si="107"/>
        <v/>
      </c>
      <c r="KE149" s="52" t="str">
        <f t="shared" si="108"/>
        <v/>
      </c>
      <c r="KF149" s="15">
        <f t="shared" si="109"/>
        <v>0</v>
      </c>
      <c r="KG149" s="15">
        <f t="shared" si="110"/>
        <v>0</v>
      </c>
      <c r="KH149" s="21" t="str">
        <f t="shared" si="111"/>
        <v/>
      </c>
      <c r="KI149" s="52" t="str">
        <f t="shared" si="112"/>
        <v/>
      </c>
      <c r="KJ149" s="15">
        <f t="shared" si="113"/>
        <v>0</v>
      </c>
      <c r="KK149" s="15">
        <f t="shared" si="114"/>
        <v>0</v>
      </c>
      <c r="KL149" s="19" t="str">
        <f t="shared" si="115"/>
        <v/>
      </c>
      <c r="KM149" s="52" t="str">
        <f t="shared" si="116"/>
        <v/>
      </c>
      <c r="KN149" s="22">
        <f t="shared" si="117"/>
        <v>0</v>
      </c>
      <c r="KO149" s="22">
        <f t="shared" si="118"/>
        <v>0</v>
      </c>
      <c r="KP149" s="19" t="str">
        <f t="shared" si="119"/>
        <v/>
      </c>
      <c r="KQ149" s="11" t="str">
        <f t="shared" si="120"/>
        <v>0. Harmful</v>
      </c>
      <c r="KR149" s="11" t="str">
        <f t="shared" si="121"/>
        <v>0. Unaware</v>
      </c>
      <c r="KS149" s="11" t="str">
        <f t="shared" si="122"/>
        <v>0. Harmful</v>
      </c>
      <c r="KT149" s="11" t="str">
        <f t="shared" si="123"/>
        <v>It did not develop any specific innovation</v>
      </c>
      <c r="KU149" s="11" t="str">
        <f t="shared" si="124"/>
        <v>Little or no advocacy</v>
      </c>
      <c r="KV149" s="11" t="str">
        <f t="shared" si="125"/>
        <v>It did not take tested solutions to scale</v>
      </c>
      <c r="KW149" s="11" t="str">
        <f t="shared" si="126"/>
        <v>Cote d'Ivoire - Projet de Promotion de l'Accès aux Toilettes et aux Emplois à Bouaké et Katiola par la Réutilisation des boues et des urines (PATER)</v>
      </c>
      <c r="KX149" s="11" t="str">
        <f t="shared" si="127"/>
        <v>Projet de Promotion de l'Accès aux Toilettes et aux Emplois à Bouaké et Katiola par la Réutilisation des boues et des urines (PATER)</v>
      </c>
      <c r="KY149" s="11" t="str">
        <f t="shared" si="128"/>
        <v>Cote d'Ivoire</v>
      </c>
      <c r="KZ149" s="12">
        <v>149</v>
      </c>
    </row>
    <row r="150" spans="1:312" x14ac:dyDescent="0.3">
      <c r="A150" s="11" t="s">
        <v>2956</v>
      </c>
      <c r="B150" s="11" t="s">
        <v>1596</v>
      </c>
      <c r="C150" s="11">
        <v>2867</v>
      </c>
      <c r="D150" s="11" t="s">
        <v>3039</v>
      </c>
      <c r="E150" s="24" t="str">
        <f t="shared" si="86"/>
        <v>Cote d'Ivoire</v>
      </c>
      <c r="F150" s="11">
        <v>2867</v>
      </c>
      <c r="G150" s="11" t="s">
        <v>379</v>
      </c>
      <c r="H150" s="11" t="s">
        <v>489</v>
      </c>
      <c r="I150" s="11" t="s">
        <v>384</v>
      </c>
      <c r="J150" s="278" t="s">
        <v>3781</v>
      </c>
      <c r="BD150" s="23">
        <v>41518</v>
      </c>
      <c r="BE150" s="23">
        <v>42613</v>
      </c>
      <c r="BF150" s="23">
        <v>42978</v>
      </c>
      <c r="BG150" s="11" t="s">
        <v>749</v>
      </c>
      <c r="BH150" s="22">
        <v>770047</v>
      </c>
      <c r="BI150" s="11" t="s">
        <v>3040</v>
      </c>
      <c r="BJ150" s="11" t="s">
        <v>3041</v>
      </c>
      <c r="BK150" s="11" t="s">
        <v>2979</v>
      </c>
      <c r="BL150" s="11" t="s">
        <v>3042</v>
      </c>
      <c r="BM150" s="11" t="s">
        <v>3043</v>
      </c>
      <c r="BN150" s="11" t="s">
        <v>3044</v>
      </c>
      <c r="BO150" s="12" t="s">
        <v>319</v>
      </c>
      <c r="BP150" s="12" t="s">
        <v>320</v>
      </c>
      <c r="BQ150" s="12" t="s">
        <v>319</v>
      </c>
      <c r="BR150" s="11" t="s">
        <v>3045</v>
      </c>
      <c r="BS150" s="11" t="s">
        <v>357</v>
      </c>
      <c r="BT150" s="11" t="s">
        <v>3046</v>
      </c>
      <c r="BU150" s="11" t="s">
        <v>3047</v>
      </c>
      <c r="BV150" s="22">
        <v>2995</v>
      </c>
      <c r="BW150" s="22">
        <v>3245</v>
      </c>
      <c r="BX150" s="22">
        <v>6240</v>
      </c>
      <c r="BY150" s="22">
        <v>6989</v>
      </c>
      <c r="BZ150" s="22">
        <v>7571</v>
      </c>
      <c r="CA150" s="22">
        <v>14560</v>
      </c>
      <c r="CB150" s="15" t="s">
        <v>3048</v>
      </c>
      <c r="CL150" s="18"/>
      <c r="CP150" s="18"/>
      <c r="CT150" s="18"/>
      <c r="CX150" s="18"/>
      <c r="DB150" s="18"/>
      <c r="DF150" s="18"/>
      <c r="DJ150" s="18"/>
      <c r="DN150" s="18"/>
      <c r="DR150" s="18"/>
      <c r="DV150" s="18"/>
      <c r="DZ150" s="18"/>
      <c r="ED150" s="18"/>
      <c r="EI150" s="18"/>
      <c r="EK150" s="22">
        <v>1650</v>
      </c>
      <c r="EL150" s="22">
        <v>850</v>
      </c>
      <c r="EM150" s="22">
        <v>2500</v>
      </c>
      <c r="EN150" s="22">
        <v>8839</v>
      </c>
      <c r="EO150" s="22">
        <v>9461</v>
      </c>
      <c r="EP150" s="22">
        <v>18300</v>
      </c>
      <c r="EQ150" s="12" t="s">
        <v>320</v>
      </c>
      <c r="ER150" s="22">
        <v>2500</v>
      </c>
      <c r="ES150" s="18">
        <v>0.66</v>
      </c>
      <c r="ET150" s="22">
        <v>18300</v>
      </c>
      <c r="EU150" s="11" t="s">
        <v>319</v>
      </c>
      <c r="EW150" s="18"/>
      <c r="EY150" s="12" t="s">
        <v>319</v>
      </c>
      <c r="FA150" s="18"/>
      <c r="FC150" s="12" t="s">
        <v>319</v>
      </c>
      <c r="FE150" s="18"/>
      <c r="FG150" s="12" t="s">
        <v>319</v>
      </c>
      <c r="FI150" s="18"/>
      <c r="FK150" s="11" t="s">
        <v>319</v>
      </c>
      <c r="FM150" s="18"/>
      <c r="FO150" s="11" t="s">
        <v>319</v>
      </c>
      <c r="FQ150" s="18"/>
      <c r="FS150" s="11" t="s">
        <v>319</v>
      </c>
      <c r="FU150" s="18"/>
      <c r="FW150" s="11" t="s">
        <v>319</v>
      </c>
      <c r="FY150" s="18"/>
      <c r="GA150" s="11" t="s">
        <v>319</v>
      </c>
      <c r="GC150" s="18"/>
      <c r="GE150" s="11" t="s">
        <v>319</v>
      </c>
      <c r="GG150" s="18"/>
      <c r="GI150" s="11" t="s">
        <v>319</v>
      </c>
      <c r="GK150" s="18"/>
      <c r="GM150" s="11" t="s">
        <v>319</v>
      </c>
      <c r="GO150" s="18"/>
      <c r="GQ150" s="11" t="s">
        <v>319</v>
      </c>
      <c r="GS150" s="18"/>
      <c r="GU150" s="11" t="s">
        <v>319</v>
      </c>
      <c r="GW150" s="18"/>
      <c r="GY150" s="11" t="s">
        <v>319</v>
      </c>
      <c r="HA150" s="18"/>
      <c r="HD150" s="11" t="s">
        <v>319</v>
      </c>
      <c r="HF150" s="18"/>
      <c r="HH150" s="11" t="s">
        <v>320</v>
      </c>
      <c r="HI150" s="11" t="s">
        <v>560</v>
      </c>
      <c r="HJ150" s="11">
        <v>2017</v>
      </c>
      <c r="HK150" s="11" t="s">
        <v>320</v>
      </c>
      <c r="HL150" s="11" t="s">
        <v>320</v>
      </c>
      <c r="HM150" s="11" t="s">
        <v>328</v>
      </c>
      <c r="HN150" s="11">
        <v>2017</v>
      </c>
      <c r="HO150" s="11" t="s">
        <v>3049</v>
      </c>
      <c r="HP150" s="11" t="s">
        <v>330</v>
      </c>
      <c r="HX150" s="11" t="s">
        <v>320</v>
      </c>
      <c r="HY150" s="11" t="s">
        <v>3050</v>
      </c>
      <c r="HZ150" s="11" t="s">
        <v>394</v>
      </c>
      <c r="IA150" s="11" t="s">
        <v>3051</v>
      </c>
      <c r="IB150" s="12" t="s">
        <v>333</v>
      </c>
      <c r="ID150" s="12" t="s">
        <v>334</v>
      </c>
      <c r="IE150" s="11" t="s">
        <v>335</v>
      </c>
      <c r="IF150" s="11" t="s">
        <v>319</v>
      </c>
      <c r="IG150" s="11" t="s">
        <v>320</v>
      </c>
      <c r="IH150" s="11" t="s">
        <v>320</v>
      </c>
      <c r="II150" s="11" t="s">
        <v>319</v>
      </c>
      <c r="IJ150" s="12" t="str">
        <f t="shared" si="87"/>
        <v>1. Neutral</v>
      </c>
      <c r="IK150" s="12">
        <f t="shared" si="88"/>
        <v>2</v>
      </c>
      <c r="IL150" s="11" t="s">
        <v>336</v>
      </c>
      <c r="IM150" s="11" t="s">
        <v>320</v>
      </c>
      <c r="IN150" s="11" t="s">
        <v>320</v>
      </c>
      <c r="IO150" s="11" t="s">
        <v>320</v>
      </c>
      <c r="IP150" s="11" t="s">
        <v>320</v>
      </c>
      <c r="IQ150" s="12" t="str">
        <f t="shared" si="89"/>
        <v>2. Accommodating</v>
      </c>
      <c r="IR150" s="12">
        <f t="shared" si="90"/>
        <v>4</v>
      </c>
      <c r="IS150" s="11" t="s">
        <v>456</v>
      </c>
      <c r="IT150" s="11" t="s">
        <v>319</v>
      </c>
      <c r="IU150" s="11" t="s">
        <v>319</v>
      </c>
      <c r="IV150" s="11" t="s">
        <v>319</v>
      </c>
      <c r="IW150" s="11" t="str">
        <f t="shared" si="91"/>
        <v>0. Harmful</v>
      </c>
      <c r="IX150" s="12">
        <f t="shared" si="92"/>
        <v>0</v>
      </c>
      <c r="IY150" s="11" t="s">
        <v>338</v>
      </c>
      <c r="IZ150" s="11" t="s">
        <v>527</v>
      </c>
      <c r="JA150" s="11">
        <v>5</v>
      </c>
      <c r="JB150" s="11" t="s">
        <v>724</v>
      </c>
      <c r="JC150" s="12" t="s">
        <v>585</v>
      </c>
      <c r="JE150" s="12" t="s">
        <v>340</v>
      </c>
      <c r="JF150" s="11" t="s">
        <v>3052</v>
      </c>
      <c r="JG150" s="11" t="s">
        <v>3053</v>
      </c>
      <c r="JH150" s="11" t="s">
        <v>3054</v>
      </c>
      <c r="JI150" s="11" t="s">
        <v>2801</v>
      </c>
      <c r="JJ150" s="11" t="s">
        <v>3055</v>
      </c>
      <c r="JK150" s="11" t="s">
        <v>3056</v>
      </c>
      <c r="JL150" s="11" t="s">
        <v>3057</v>
      </c>
      <c r="JM150" s="11" t="s">
        <v>3058</v>
      </c>
      <c r="JO150" s="11" t="s">
        <v>3059</v>
      </c>
      <c r="JP150" s="15">
        <f t="shared" si="93"/>
        <v>2500</v>
      </c>
      <c r="JQ150" s="15">
        <f t="shared" si="94"/>
        <v>18300</v>
      </c>
      <c r="JR150" s="279">
        <f t="shared" si="95"/>
        <v>7.32</v>
      </c>
      <c r="JS150" s="17">
        <f t="shared" si="96"/>
        <v>0.66</v>
      </c>
      <c r="JT150" s="18">
        <f t="shared" si="97"/>
        <v>0.48300546448087434</v>
      </c>
      <c r="JU150" s="280">
        <f t="shared" si="98"/>
        <v>1650</v>
      </c>
      <c r="JV150" s="280">
        <f t="shared" si="99"/>
        <v>8839</v>
      </c>
      <c r="JW150" s="319" t="str">
        <f t="shared" si="100"/>
        <v/>
      </c>
      <c r="JX150" s="15">
        <f t="shared" si="101"/>
        <v>0</v>
      </c>
      <c r="JY150" s="15">
        <f t="shared" si="102"/>
        <v>0</v>
      </c>
      <c r="JZ150" s="19" t="str">
        <f t="shared" si="103"/>
        <v/>
      </c>
      <c r="KA150" s="52">
        <f t="shared" si="104"/>
        <v>1</v>
      </c>
      <c r="KB150" s="15">
        <f t="shared" si="105"/>
        <v>2500</v>
      </c>
      <c r="KC150" s="15">
        <f t="shared" si="106"/>
        <v>18300</v>
      </c>
      <c r="KD150" s="20">
        <f t="shared" si="107"/>
        <v>7.32</v>
      </c>
      <c r="KE150" s="52" t="str">
        <f t="shared" si="108"/>
        <v/>
      </c>
      <c r="KF150" s="15">
        <f t="shared" si="109"/>
        <v>0</v>
      </c>
      <c r="KG150" s="15">
        <f t="shared" si="110"/>
        <v>0</v>
      </c>
      <c r="KH150" s="21" t="str">
        <f t="shared" si="111"/>
        <v/>
      </c>
      <c r="KI150" s="52" t="str">
        <f t="shared" si="112"/>
        <v/>
      </c>
      <c r="KJ150" s="15">
        <f t="shared" si="113"/>
        <v>0</v>
      </c>
      <c r="KK150" s="15">
        <f t="shared" si="114"/>
        <v>0</v>
      </c>
      <c r="KL150" s="19" t="str">
        <f t="shared" si="115"/>
        <v/>
      </c>
      <c r="KM150" s="52" t="str">
        <f t="shared" si="116"/>
        <v/>
      </c>
      <c r="KN150" s="22">
        <f t="shared" si="117"/>
        <v>0</v>
      </c>
      <c r="KO150" s="22">
        <f t="shared" si="118"/>
        <v>0</v>
      </c>
      <c r="KP150" s="19" t="str">
        <f t="shared" si="119"/>
        <v/>
      </c>
      <c r="KQ150" s="11" t="str">
        <f t="shared" si="120"/>
        <v>1. Neutral</v>
      </c>
      <c r="KR150" s="11" t="str">
        <f t="shared" si="121"/>
        <v>2. Accommodating</v>
      </c>
      <c r="KS150" s="11" t="str">
        <f t="shared" si="122"/>
        <v>0. Harmful</v>
      </c>
      <c r="KT150" s="11" t="str">
        <f t="shared" si="123"/>
        <v>It tested new ways for fighting poverty, but did not measure results of innovation</v>
      </c>
      <c r="KU150" s="11" t="str">
        <f t="shared" si="124"/>
        <v>Moderate advocacy</v>
      </c>
      <c r="KV150" s="11" t="str">
        <f t="shared" si="125"/>
        <v>It did not take tested solutions to scale</v>
      </c>
      <c r="KW150" s="11" t="str">
        <f t="shared" si="126"/>
        <v>Cote d'Ivoire - Prosperous Cocoa-Farming Communities (PROCOCO) &amp; Community Substainability Initiative (CSI)</v>
      </c>
      <c r="KX150" s="11" t="str">
        <f t="shared" si="127"/>
        <v>Prosperous Cocoa-Farming Communities (PROCOCO) &amp; Community Substainability Initiative (CSI)</v>
      </c>
      <c r="KY150" s="11" t="str">
        <f t="shared" si="128"/>
        <v>Cote d'Ivoire</v>
      </c>
      <c r="KZ150" s="12">
        <v>150</v>
      </c>
    </row>
    <row r="151" spans="1:312" x14ac:dyDescent="0.3">
      <c r="A151" s="11" t="s">
        <v>2956</v>
      </c>
      <c r="B151" s="11" t="s">
        <v>1596</v>
      </c>
      <c r="D151" s="11" t="s">
        <v>3060</v>
      </c>
      <c r="E151" s="277" t="str">
        <f t="shared" si="86"/>
        <v>Cote d'Ivoire</v>
      </c>
      <c r="G151" s="11" t="s">
        <v>379</v>
      </c>
      <c r="H151" s="11" t="s">
        <v>310</v>
      </c>
      <c r="I151" s="11" t="s">
        <v>384</v>
      </c>
      <c r="J151" s="278" t="s">
        <v>14606</v>
      </c>
      <c r="BD151" s="23">
        <v>42736</v>
      </c>
      <c r="BE151" s="23">
        <v>43281</v>
      </c>
      <c r="BG151" s="11" t="s">
        <v>490</v>
      </c>
      <c r="BH151" s="22">
        <v>150000</v>
      </c>
      <c r="BI151" s="11" t="s">
        <v>3061</v>
      </c>
      <c r="BJ151" s="11" t="s">
        <v>3002</v>
      </c>
      <c r="BK151" s="11" t="s">
        <v>3062</v>
      </c>
      <c r="BL151" s="11" t="s">
        <v>3063</v>
      </c>
      <c r="BM151" s="11" t="s">
        <v>3064</v>
      </c>
      <c r="BN151" s="11" t="s">
        <v>3065</v>
      </c>
      <c r="BO151" s="12" t="s">
        <v>319</v>
      </c>
      <c r="BP151" s="12" t="s">
        <v>320</v>
      </c>
      <c r="BQ151" s="12" t="s">
        <v>319</v>
      </c>
      <c r="BR151" s="11" t="s">
        <v>3066</v>
      </c>
      <c r="BS151" s="11" t="s">
        <v>357</v>
      </c>
      <c r="BT151" s="11" t="s">
        <v>3067</v>
      </c>
      <c r="BU151" s="11" t="s">
        <v>3068</v>
      </c>
      <c r="BV151" s="22">
        <v>7200</v>
      </c>
      <c r="BW151" s="22">
        <v>0</v>
      </c>
      <c r="BX151" s="22">
        <v>7200</v>
      </c>
      <c r="BY151" s="22">
        <v>73500</v>
      </c>
      <c r="BZ151" s="22">
        <v>76500</v>
      </c>
      <c r="CA151" s="22">
        <v>150000</v>
      </c>
      <c r="CB151" s="15" t="s">
        <v>3069</v>
      </c>
      <c r="CL151" s="18"/>
      <c r="CP151" s="18"/>
      <c r="CT151" s="18"/>
      <c r="CX151" s="18"/>
      <c r="DB151" s="18"/>
      <c r="DF151" s="18"/>
      <c r="DJ151" s="18"/>
      <c r="DN151" s="18"/>
      <c r="DR151" s="18"/>
      <c r="DV151" s="18"/>
      <c r="DZ151" s="18"/>
      <c r="ED151" s="18"/>
      <c r="EI151" s="18"/>
      <c r="EK151" s="22">
        <v>1800</v>
      </c>
      <c r="EL151" s="22">
        <v>0</v>
      </c>
      <c r="EM151" s="22">
        <v>1800</v>
      </c>
      <c r="EN151" s="22">
        <v>5292</v>
      </c>
      <c r="EO151" s="22">
        <v>5508</v>
      </c>
      <c r="EP151" s="22">
        <v>10800</v>
      </c>
      <c r="ES151" s="18"/>
      <c r="EW151" s="18"/>
      <c r="FA151" s="18"/>
      <c r="FE151" s="18"/>
      <c r="FI151" s="18"/>
      <c r="FM151" s="18"/>
      <c r="FQ151" s="18"/>
      <c r="FU151" s="18"/>
      <c r="FY151" s="18"/>
      <c r="GC151" s="18"/>
      <c r="GG151" s="18"/>
      <c r="GK151" s="18"/>
      <c r="GO151" s="18"/>
      <c r="GQ151" s="12" t="s">
        <v>320</v>
      </c>
      <c r="GR151" s="22">
        <v>1800</v>
      </c>
      <c r="GS151" s="18">
        <v>0.25</v>
      </c>
      <c r="GT151" s="22">
        <v>10800</v>
      </c>
      <c r="GW151" s="18"/>
      <c r="HA151" s="18"/>
      <c r="HF151" s="18"/>
      <c r="HH151" s="11" t="s">
        <v>320</v>
      </c>
      <c r="HI151" s="11" t="s">
        <v>328</v>
      </c>
      <c r="HJ151" s="11">
        <v>2016</v>
      </c>
      <c r="HK151" s="11" t="s">
        <v>320</v>
      </c>
      <c r="HL151" s="11" t="s">
        <v>320</v>
      </c>
      <c r="HM151" s="11" t="s">
        <v>361</v>
      </c>
      <c r="HN151" s="11">
        <v>2018</v>
      </c>
      <c r="HO151" s="11" t="s">
        <v>3070</v>
      </c>
      <c r="HP151" s="11" t="s">
        <v>330</v>
      </c>
      <c r="HQ151" s="11" t="s">
        <v>320</v>
      </c>
      <c r="HR151" s="11" t="s">
        <v>320</v>
      </c>
      <c r="HS151" s="11" t="s">
        <v>320</v>
      </c>
      <c r="HT151" s="11" t="s">
        <v>320</v>
      </c>
      <c r="HU151" s="11" t="s">
        <v>320</v>
      </c>
      <c r="HV151" s="11" t="s">
        <v>320</v>
      </c>
      <c r="HW151" s="11" t="s">
        <v>320</v>
      </c>
      <c r="HX151" s="11" t="s">
        <v>320</v>
      </c>
      <c r="HY151" s="11" t="s">
        <v>3071</v>
      </c>
      <c r="HZ151" s="12" t="s">
        <v>331</v>
      </c>
      <c r="IA151" s="11" t="s">
        <v>3072</v>
      </c>
      <c r="IB151" s="12" t="s">
        <v>396</v>
      </c>
      <c r="IC151" s="11" t="s">
        <v>3073</v>
      </c>
      <c r="ID151" s="12" t="s">
        <v>334</v>
      </c>
      <c r="IE151" s="11" t="s">
        <v>335</v>
      </c>
      <c r="IF151" s="11" t="s">
        <v>320</v>
      </c>
      <c r="IG151" s="11" t="s">
        <v>320</v>
      </c>
      <c r="IH151" s="11" t="s">
        <v>320</v>
      </c>
      <c r="II151" s="11" t="s">
        <v>320</v>
      </c>
      <c r="IJ151" s="12" t="str">
        <f t="shared" si="87"/>
        <v>2. Sensitive</v>
      </c>
      <c r="IK151" s="12">
        <f t="shared" si="88"/>
        <v>4</v>
      </c>
      <c r="IL151" s="11" t="s">
        <v>336</v>
      </c>
      <c r="IM151" s="11" t="s">
        <v>320</v>
      </c>
      <c r="IN151" s="11" t="s">
        <v>320</v>
      </c>
      <c r="IO151" s="11" t="s">
        <v>320</v>
      </c>
      <c r="IP151" s="11" t="s">
        <v>320</v>
      </c>
      <c r="IQ151" s="12" t="str">
        <f t="shared" si="89"/>
        <v>2. Accommodating</v>
      </c>
      <c r="IR151" s="12">
        <f t="shared" si="90"/>
        <v>4</v>
      </c>
      <c r="IS151" s="11" t="s">
        <v>337</v>
      </c>
      <c r="IT151" s="11" t="s">
        <v>320</v>
      </c>
      <c r="IU151" s="11" t="s">
        <v>320</v>
      </c>
      <c r="IV151" s="11" t="s">
        <v>320</v>
      </c>
      <c r="IW151" s="11" t="str">
        <f t="shared" si="91"/>
        <v>2. Sensitive</v>
      </c>
      <c r="IX151" s="12">
        <f t="shared" si="92"/>
        <v>3</v>
      </c>
      <c r="IY151" s="11" t="s">
        <v>419</v>
      </c>
      <c r="IZ151" s="11" t="s">
        <v>527</v>
      </c>
      <c r="JA151" s="11">
        <v>10</v>
      </c>
      <c r="JB151" s="11" t="s">
        <v>623</v>
      </c>
      <c r="JC151" s="11" t="s">
        <v>687</v>
      </c>
      <c r="JD151" s="11" t="s">
        <v>624</v>
      </c>
      <c r="JE151" s="12" t="s">
        <v>340</v>
      </c>
      <c r="JF151" s="11" t="s">
        <v>3074</v>
      </c>
      <c r="JG151" s="11" t="s">
        <v>3075</v>
      </c>
      <c r="JH151" s="11" t="s">
        <v>3076</v>
      </c>
      <c r="JI151" s="11" t="s">
        <v>3077</v>
      </c>
      <c r="JJ151" s="11" t="s">
        <v>3078</v>
      </c>
      <c r="JK151" s="11" t="s">
        <v>3079</v>
      </c>
      <c r="JL151" s="11" t="s">
        <v>3080</v>
      </c>
      <c r="JN151" s="11" t="s">
        <v>3081</v>
      </c>
      <c r="JP151" s="15">
        <f t="shared" si="93"/>
        <v>1800</v>
      </c>
      <c r="JQ151" s="15">
        <f t="shared" si="94"/>
        <v>10800</v>
      </c>
      <c r="JR151" s="279">
        <f t="shared" si="95"/>
        <v>6</v>
      </c>
      <c r="JS151" s="17">
        <f t="shared" si="96"/>
        <v>1</v>
      </c>
      <c r="JT151" s="18">
        <f t="shared" si="97"/>
        <v>0.49</v>
      </c>
      <c r="JU151" s="280">
        <f t="shared" si="98"/>
        <v>1800</v>
      </c>
      <c r="JV151" s="280">
        <f t="shared" si="99"/>
        <v>5292</v>
      </c>
      <c r="JW151" s="319" t="str">
        <f t="shared" si="100"/>
        <v/>
      </c>
      <c r="JX151" s="15">
        <f t="shared" si="101"/>
        <v>0</v>
      </c>
      <c r="JY151" s="15">
        <f t="shared" si="102"/>
        <v>0</v>
      </c>
      <c r="JZ151" s="19" t="str">
        <f t="shared" si="103"/>
        <v/>
      </c>
      <c r="KA151" s="52" t="str">
        <f t="shared" si="104"/>
        <v/>
      </c>
      <c r="KB151" s="15">
        <f t="shared" si="105"/>
        <v>0</v>
      </c>
      <c r="KC151" s="15">
        <f t="shared" si="106"/>
        <v>0</v>
      </c>
      <c r="KD151" s="20" t="str">
        <f t="shared" si="107"/>
        <v/>
      </c>
      <c r="KE151" s="52">
        <f t="shared" si="108"/>
        <v>1</v>
      </c>
      <c r="KF151" s="15">
        <f t="shared" si="109"/>
        <v>1800</v>
      </c>
      <c r="KG151" s="15">
        <f t="shared" si="110"/>
        <v>10800</v>
      </c>
      <c r="KH151" s="21">
        <f t="shared" si="111"/>
        <v>6</v>
      </c>
      <c r="KI151" s="52" t="str">
        <f t="shared" si="112"/>
        <v/>
      </c>
      <c r="KJ151" s="15">
        <f t="shared" si="113"/>
        <v>0</v>
      </c>
      <c r="KK151" s="15">
        <f t="shared" si="114"/>
        <v>0</v>
      </c>
      <c r="KL151" s="19" t="str">
        <f t="shared" si="115"/>
        <v/>
      </c>
      <c r="KM151" s="52" t="str">
        <f t="shared" si="116"/>
        <v/>
      </c>
      <c r="KN151" s="22">
        <f t="shared" si="117"/>
        <v>0</v>
      </c>
      <c r="KO151" s="22">
        <f t="shared" si="118"/>
        <v>0</v>
      </c>
      <c r="KP151" s="19" t="str">
        <f t="shared" si="119"/>
        <v/>
      </c>
      <c r="KQ151" s="11" t="str">
        <f t="shared" si="120"/>
        <v>2. Sensitive</v>
      </c>
      <c r="KR151" s="11" t="str">
        <f t="shared" si="121"/>
        <v>2. Accommodating</v>
      </c>
      <c r="KS151" s="11" t="str">
        <f t="shared" si="122"/>
        <v>2. Sensitive</v>
      </c>
      <c r="KT151" s="11" t="str">
        <f t="shared" si="123"/>
        <v>It tested new ways for fighting poverty and measured results of innovation</v>
      </c>
      <c r="KU151" s="11" t="str">
        <f t="shared" si="124"/>
        <v>Moderate advocacy</v>
      </c>
      <c r="KV151" s="11" t="str">
        <f t="shared" si="125"/>
        <v>It linked and worked with strategic alliances and partners to take tested and effective solutions to scale</v>
      </c>
      <c r="KW151" s="11" t="str">
        <f t="shared" si="126"/>
        <v>Cote d'Ivoire - SAFPAC</v>
      </c>
      <c r="KX151" s="11" t="str">
        <f t="shared" si="127"/>
        <v>SAFPAC</v>
      </c>
      <c r="KY151" s="11" t="str">
        <f t="shared" si="128"/>
        <v>Cote d'Ivoire</v>
      </c>
      <c r="KZ151" s="12">
        <v>151</v>
      </c>
    </row>
    <row r="152" spans="1:312" x14ac:dyDescent="0.3">
      <c r="A152" s="11" t="s">
        <v>2956</v>
      </c>
      <c r="B152" s="11" t="s">
        <v>1596</v>
      </c>
      <c r="C152" s="11">
        <v>2869</v>
      </c>
      <c r="D152" s="11" t="s">
        <v>3082</v>
      </c>
      <c r="E152" s="277" t="str">
        <f t="shared" si="86"/>
        <v>Cote d'Ivoire</v>
      </c>
      <c r="F152" s="11">
        <v>2869</v>
      </c>
      <c r="G152" s="11" t="s">
        <v>379</v>
      </c>
      <c r="H152" s="11" t="s">
        <v>489</v>
      </c>
      <c r="I152" s="11" t="s">
        <v>384</v>
      </c>
      <c r="J152" s="278" t="s">
        <v>14608</v>
      </c>
      <c r="BD152" s="23">
        <v>42186</v>
      </c>
      <c r="BE152" s="23">
        <v>43282</v>
      </c>
      <c r="BG152" s="11" t="s">
        <v>350</v>
      </c>
      <c r="BH152" s="22">
        <v>711558</v>
      </c>
      <c r="BI152" s="11" t="s">
        <v>3083</v>
      </c>
      <c r="BJ152" s="11" t="s">
        <v>3002</v>
      </c>
      <c r="BK152" s="11" t="s">
        <v>3084</v>
      </c>
      <c r="BL152" s="11" t="s">
        <v>3085</v>
      </c>
      <c r="BM152" s="11" t="s">
        <v>3086</v>
      </c>
      <c r="BN152" s="11" t="s">
        <v>3087</v>
      </c>
      <c r="BO152" s="12" t="s">
        <v>319</v>
      </c>
      <c r="BP152" s="12" t="s">
        <v>320</v>
      </c>
      <c r="BQ152" s="12" t="s">
        <v>319</v>
      </c>
      <c r="BR152" s="11" t="s">
        <v>3088</v>
      </c>
      <c r="BS152" s="11" t="s">
        <v>357</v>
      </c>
      <c r="BT152" s="11" t="s">
        <v>3089</v>
      </c>
      <c r="BU152" s="11" t="s">
        <v>3090</v>
      </c>
      <c r="BV152" s="22">
        <v>4900</v>
      </c>
      <c r="BW152" s="22">
        <v>0</v>
      </c>
      <c r="BX152" s="22">
        <v>4900</v>
      </c>
      <c r="BY152" s="22">
        <v>1750</v>
      </c>
      <c r="BZ152" s="22">
        <v>1750</v>
      </c>
      <c r="CA152" s="22">
        <v>3500</v>
      </c>
      <c r="CB152" s="15" t="s">
        <v>3091</v>
      </c>
      <c r="CL152" s="18"/>
      <c r="CP152" s="18"/>
      <c r="CT152" s="18"/>
      <c r="CX152" s="18"/>
      <c r="DB152" s="18"/>
      <c r="DF152" s="18"/>
      <c r="DJ152" s="18"/>
      <c r="DN152" s="18"/>
      <c r="DR152" s="18"/>
      <c r="DV152" s="18"/>
      <c r="DZ152" s="18"/>
      <c r="ED152" s="18"/>
      <c r="EI152" s="18"/>
      <c r="EK152" s="22">
        <v>1414</v>
      </c>
      <c r="EL152" s="22">
        <v>309</v>
      </c>
      <c r="EM152" s="22">
        <v>1723</v>
      </c>
      <c r="EN152" s="22">
        <v>2985</v>
      </c>
      <c r="EO152" s="22">
        <v>652</v>
      </c>
      <c r="EP152" s="22">
        <v>3637</v>
      </c>
      <c r="ES152" s="18"/>
      <c r="EW152" s="18"/>
      <c r="FA152" s="18"/>
      <c r="FE152" s="18"/>
      <c r="FI152" s="18"/>
      <c r="FM152" s="18"/>
      <c r="FQ152" s="18"/>
      <c r="FU152" s="18"/>
      <c r="FY152" s="18"/>
      <c r="GC152" s="18"/>
      <c r="GG152" s="18"/>
      <c r="GK152" s="18"/>
      <c r="GO152" s="18"/>
      <c r="GS152" s="18"/>
      <c r="GW152" s="18"/>
      <c r="GY152" s="11" t="s">
        <v>320</v>
      </c>
      <c r="GZ152" s="22">
        <v>1723</v>
      </c>
      <c r="HA152" s="18">
        <v>0.82</v>
      </c>
      <c r="HB152" s="22">
        <v>3637</v>
      </c>
      <c r="HC152" s="11" t="s">
        <v>3092</v>
      </c>
      <c r="HD152" s="12" t="s">
        <v>320</v>
      </c>
      <c r="HE152" s="22">
        <v>37</v>
      </c>
      <c r="HF152" s="18">
        <v>0.27</v>
      </c>
      <c r="HG152" s="22">
        <v>1723</v>
      </c>
      <c r="HH152" s="11" t="s">
        <v>319</v>
      </c>
      <c r="HL152" s="11" t="s">
        <v>320</v>
      </c>
      <c r="HM152" s="11" t="s">
        <v>327</v>
      </c>
      <c r="HN152" s="11">
        <v>2018</v>
      </c>
      <c r="HO152" s="11" t="s">
        <v>3093</v>
      </c>
      <c r="HP152" s="11" t="s">
        <v>418</v>
      </c>
      <c r="HZ152" s="12" t="s">
        <v>331</v>
      </c>
      <c r="IA152" s="11" t="s">
        <v>3094</v>
      </c>
      <c r="IB152" s="12" t="s">
        <v>333</v>
      </c>
      <c r="ID152" s="12" t="s">
        <v>334</v>
      </c>
      <c r="IE152" s="11" t="s">
        <v>478</v>
      </c>
      <c r="IF152" s="11" t="s">
        <v>320</v>
      </c>
      <c r="IG152" s="11" t="s">
        <v>320</v>
      </c>
      <c r="IH152" s="11" t="s">
        <v>320</v>
      </c>
      <c r="II152" s="11" t="s">
        <v>320</v>
      </c>
      <c r="IJ152" s="12" t="str">
        <f t="shared" si="87"/>
        <v>4. Transformative</v>
      </c>
      <c r="IK152" s="12">
        <f t="shared" si="88"/>
        <v>4</v>
      </c>
      <c r="IL152" s="11" t="s">
        <v>336</v>
      </c>
      <c r="IM152" s="11" t="s">
        <v>320</v>
      </c>
      <c r="IN152" s="11" t="s">
        <v>320</v>
      </c>
      <c r="IO152" s="11" t="s">
        <v>320</v>
      </c>
      <c r="IP152" s="11" t="s">
        <v>320</v>
      </c>
      <c r="IQ152" s="12" t="str">
        <f t="shared" si="89"/>
        <v>2. Accommodating</v>
      </c>
      <c r="IR152" s="12">
        <f t="shared" si="90"/>
        <v>4</v>
      </c>
      <c r="IS152" s="11" t="s">
        <v>337</v>
      </c>
      <c r="IT152" s="11" t="s">
        <v>320</v>
      </c>
      <c r="IU152" s="11" t="s">
        <v>320</v>
      </c>
      <c r="IV152" s="11" t="s">
        <v>320</v>
      </c>
      <c r="IW152" s="11" t="str">
        <f t="shared" si="91"/>
        <v>2. Sensitive</v>
      </c>
      <c r="IX152" s="12">
        <f t="shared" si="92"/>
        <v>3</v>
      </c>
      <c r="IY152" s="11" t="s">
        <v>338</v>
      </c>
      <c r="IZ152" s="12" t="s">
        <v>339</v>
      </c>
      <c r="JE152" s="12" t="s">
        <v>340</v>
      </c>
      <c r="JF152" s="11" t="s">
        <v>3095</v>
      </c>
      <c r="JG152" s="11" t="s">
        <v>3096</v>
      </c>
      <c r="JH152" s="11" t="s">
        <v>3097</v>
      </c>
      <c r="JI152" s="11" t="s">
        <v>3098</v>
      </c>
      <c r="JJ152" s="11" t="s">
        <v>3099</v>
      </c>
      <c r="JK152" s="11" t="s">
        <v>3100</v>
      </c>
      <c r="JL152" s="11" t="s">
        <v>3101</v>
      </c>
      <c r="JM152" s="11" t="s">
        <v>3102</v>
      </c>
      <c r="JO152" s="11" t="s">
        <v>3103</v>
      </c>
      <c r="JP152" s="15">
        <f t="shared" si="93"/>
        <v>1723</v>
      </c>
      <c r="JQ152" s="15">
        <f t="shared" si="94"/>
        <v>3637</v>
      </c>
      <c r="JR152" s="279">
        <f t="shared" si="95"/>
        <v>2.1108531630876377</v>
      </c>
      <c r="JS152" s="17">
        <f t="shared" si="96"/>
        <v>0.82066163668020897</v>
      </c>
      <c r="JT152" s="18">
        <f t="shared" si="97"/>
        <v>0.82073137200989832</v>
      </c>
      <c r="JU152" s="280">
        <f t="shared" si="98"/>
        <v>1414</v>
      </c>
      <c r="JV152" s="280">
        <f t="shared" si="99"/>
        <v>2985</v>
      </c>
      <c r="JW152" s="319" t="str">
        <f t="shared" si="100"/>
        <v/>
      </c>
      <c r="JX152" s="15">
        <f t="shared" si="101"/>
        <v>0</v>
      </c>
      <c r="JY152" s="15">
        <f t="shared" si="102"/>
        <v>0</v>
      </c>
      <c r="JZ152" s="19" t="str">
        <f t="shared" si="103"/>
        <v/>
      </c>
      <c r="KA152" s="52" t="str">
        <f t="shared" si="104"/>
        <v/>
      </c>
      <c r="KB152" s="15">
        <f t="shared" si="105"/>
        <v>0</v>
      </c>
      <c r="KC152" s="15">
        <f t="shared" si="106"/>
        <v>0</v>
      </c>
      <c r="KD152" s="20" t="str">
        <f t="shared" si="107"/>
        <v/>
      </c>
      <c r="KE152" s="52" t="str">
        <f t="shared" si="108"/>
        <v/>
      </c>
      <c r="KF152" s="15">
        <f t="shared" si="109"/>
        <v>0</v>
      </c>
      <c r="KG152" s="15">
        <f t="shared" si="110"/>
        <v>0</v>
      </c>
      <c r="KH152" s="21" t="str">
        <f t="shared" si="111"/>
        <v/>
      </c>
      <c r="KI152" s="52" t="str">
        <f t="shared" si="112"/>
        <v/>
      </c>
      <c r="KJ152" s="15">
        <f t="shared" si="113"/>
        <v>0</v>
      </c>
      <c r="KK152" s="15">
        <f t="shared" si="114"/>
        <v>0</v>
      </c>
      <c r="KL152" s="19" t="str">
        <f t="shared" si="115"/>
        <v/>
      </c>
      <c r="KM152" s="52">
        <f t="shared" si="116"/>
        <v>1</v>
      </c>
      <c r="KN152" s="22">
        <f t="shared" si="117"/>
        <v>1723</v>
      </c>
      <c r="KO152" s="22">
        <f t="shared" si="118"/>
        <v>3637</v>
      </c>
      <c r="KP152" s="19">
        <f t="shared" si="119"/>
        <v>2.1108531630876377</v>
      </c>
      <c r="KQ152" s="11" t="str">
        <f t="shared" si="120"/>
        <v>4. Transformative</v>
      </c>
      <c r="KR152" s="11" t="str">
        <f t="shared" si="121"/>
        <v>2. Accommodating</v>
      </c>
      <c r="KS152" s="11" t="str">
        <f t="shared" si="122"/>
        <v>2. Sensitive</v>
      </c>
      <c r="KT152" s="11" t="str">
        <f t="shared" si="123"/>
        <v>It tested new ways for fighting poverty and measured results of innovation</v>
      </c>
      <c r="KU152" s="11" t="str">
        <f t="shared" si="124"/>
        <v>Little or no advocacy</v>
      </c>
      <c r="KV152" s="11" t="str">
        <f t="shared" si="125"/>
        <v>It did not take tested solutions to scale</v>
      </c>
      <c r="KW152" s="11" t="str">
        <f t="shared" si="126"/>
        <v>Cote d'Ivoire - Women for change</v>
      </c>
      <c r="KX152" s="11" t="str">
        <f t="shared" si="127"/>
        <v>Women for change</v>
      </c>
      <c r="KY152" s="11" t="str">
        <f t="shared" si="128"/>
        <v>Cote d'Ivoire</v>
      </c>
      <c r="KZ152" s="12">
        <v>152</v>
      </c>
    </row>
    <row r="153" spans="1:312" x14ac:dyDescent="0.3">
      <c r="A153" s="11" t="s">
        <v>3140</v>
      </c>
      <c r="B153" s="11" t="s">
        <v>602</v>
      </c>
      <c r="D153" s="11" t="s">
        <v>603</v>
      </c>
      <c r="E153" s="277" t="str">
        <f t="shared" si="86"/>
        <v>Croatia</v>
      </c>
      <c r="F153" s="11" t="s">
        <v>607</v>
      </c>
      <c r="G153" s="11" t="s">
        <v>1738</v>
      </c>
      <c r="H153" s="11" t="s">
        <v>383</v>
      </c>
      <c r="I153" s="11" t="s">
        <v>384</v>
      </c>
      <c r="J153" s="278" t="s">
        <v>8164</v>
      </c>
      <c r="BD153" s="23">
        <v>41821</v>
      </c>
      <c r="BE153" s="23">
        <v>42916</v>
      </c>
      <c r="BG153" s="11" t="s">
        <v>609</v>
      </c>
      <c r="BH153" s="22">
        <v>365000</v>
      </c>
      <c r="BI153" s="11" t="s">
        <v>610</v>
      </c>
      <c r="BJ153" s="11" t="s">
        <v>611</v>
      </c>
      <c r="BK153" s="11" t="s">
        <v>612</v>
      </c>
      <c r="BL153" s="11" t="s">
        <v>1739</v>
      </c>
      <c r="BM153" s="11" t="s">
        <v>354</v>
      </c>
      <c r="BN153" s="11" t="s">
        <v>613</v>
      </c>
      <c r="BO153" s="12" t="s">
        <v>319</v>
      </c>
      <c r="BP153" s="12" t="s">
        <v>320</v>
      </c>
      <c r="BQ153" s="12" t="s">
        <v>319</v>
      </c>
      <c r="BR153" s="11" t="s">
        <v>3141</v>
      </c>
      <c r="BS153" s="11" t="s">
        <v>615</v>
      </c>
      <c r="BT153" s="11" t="s">
        <v>616</v>
      </c>
      <c r="BU153" s="11" t="s">
        <v>617</v>
      </c>
      <c r="BV153" s="22">
        <v>31</v>
      </c>
      <c r="BW153" s="22">
        <v>123</v>
      </c>
      <c r="BX153" s="22">
        <v>154</v>
      </c>
      <c r="BY153" s="22">
        <v>1000</v>
      </c>
      <c r="BZ153" s="22">
        <v>4400</v>
      </c>
      <c r="CA153" s="22">
        <v>5400</v>
      </c>
      <c r="CB153" s="15" t="s">
        <v>3142</v>
      </c>
      <c r="CL153" s="18"/>
      <c r="CP153" s="18"/>
      <c r="CT153" s="18"/>
      <c r="CX153" s="18"/>
      <c r="DB153" s="18"/>
      <c r="DF153" s="18"/>
      <c r="DJ153" s="18"/>
      <c r="DN153" s="18"/>
      <c r="DR153" s="18"/>
      <c r="DV153" s="18"/>
      <c r="DZ153" s="18"/>
      <c r="ED153" s="18"/>
      <c r="EI153" s="18"/>
      <c r="EK153" s="22">
        <v>31</v>
      </c>
      <c r="EL153" s="22">
        <v>108</v>
      </c>
      <c r="EM153" s="22">
        <v>139</v>
      </c>
      <c r="EN153" s="22">
        <v>430</v>
      </c>
      <c r="EO153" s="22">
        <v>1360</v>
      </c>
      <c r="EP153" s="22">
        <v>1790</v>
      </c>
      <c r="ES153" s="18"/>
      <c r="EW153" s="18"/>
      <c r="FA153" s="18"/>
      <c r="FE153" s="18"/>
      <c r="FI153" s="18"/>
      <c r="FK153" s="12" t="s">
        <v>320</v>
      </c>
      <c r="FL153" s="22">
        <v>139</v>
      </c>
      <c r="FM153" s="18">
        <v>0.22</v>
      </c>
      <c r="FQ153" s="18"/>
      <c r="FS153" s="12" t="s">
        <v>320</v>
      </c>
      <c r="FT153" s="22">
        <v>1790</v>
      </c>
      <c r="FU153" s="18">
        <v>0.24</v>
      </c>
      <c r="FW153" s="11" t="s">
        <v>320</v>
      </c>
      <c r="FX153" s="22">
        <v>1790</v>
      </c>
      <c r="FY153" s="18">
        <v>0.24</v>
      </c>
      <c r="GC153" s="18"/>
      <c r="GG153" s="18"/>
      <c r="GK153" s="18"/>
      <c r="GO153" s="18"/>
      <c r="GQ153" s="12" t="s">
        <v>320</v>
      </c>
      <c r="GR153" s="22">
        <v>139</v>
      </c>
      <c r="GS153" s="18">
        <v>0.22</v>
      </c>
      <c r="GW153" s="18"/>
      <c r="HA153" s="18"/>
      <c r="HF153" s="18"/>
      <c r="HH153" s="11" t="s">
        <v>319</v>
      </c>
      <c r="HK153" s="11" t="s">
        <v>320</v>
      </c>
      <c r="HL153" s="11" t="s">
        <v>320</v>
      </c>
      <c r="HM153" s="11" t="s">
        <v>619</v>
      </c>
      <c r="HO153" s="11" t="s">
        <v>620</v>
      </c>
      <c r="HP153" s="11" t="s">
        <v>330</v>
      </c>
      <c r="HZ153" s="11" t="s">
        <v>394</v>
      </c>
      <c r="IA153" s="11" t="s">
        <v>3143</v>
      </c>
      <c r="IB153" s="11" t="s">
        <v>396</v>
      </c>
      <c r="ID153" s="11" t="s">
        <v>477</v>
      </c>
      <c r="IE153" s="11" t="s">
        <v>478</v>
      </c>
      <c r="IF153" s="11" t="s">
        <v>320</v>
      </c>
      <c r="IG153" s="11" t="s">
        <v>320</v>
      </c>
      <c r="IH153" s="11" t="s">
        <v>320</v>
      </c>
      <c r="II153" s="11" t="s">
        <v>320</v>
      </c>
      <c r="IJ153" s="12" t="str">
        <f t="shared" si="87"/>
        <v>4. Transformative</v>
      </c>
      <c r="IK153" s="12">
        <f t="shared" si="88"/>
        <v>4</v>
      </c>
      <c r="IL153" s="11" t="s">
        <v>621</v>
      </c>
      <c r="IM153" s="11" t="s">
        <v>320</v>
      </c>
      <c r="IN153" s="11" t="s">
        <v>320</v>
      </c>
      <c r="IO153" s="11" t="s">
        <v>320</v>
      </c>
      <c r="IP153" s="11" t="s">
        <v>320</v>
      </c>
      <c r="IQ153" s="12" t="str">
        <f t="shared" si="89"/>
        <v>4. Transformational</v>
      </c>
      <c r="IR153" s="12">
        <f t="shared" si="90"/>
        <v>4</v>
      </c>
      <c r="IS153" s="11" t="s">
        <v>622</v>
      </c>
      <c r="IT153" s="11" t="s">
        <v>320</v>
      </c>
      <c r="IU153" s="11" t="s">
        <v>320</v>
      </c>
      <c r="IV153" s="11" t="s">
        <v>320</v>
      </c>
      <c r="IW153" s="11" t="str">
        <f t="shared" si="91"/>
        <v>4. Transformative</v>
      </c>
      <c r="IX153" s="12">
        <f t="shared" si="92"/>
        <v>3</v>
      </c>
      <c r="IY153" s="11" t="s">
        <v>338</v>
      </c>
      <c r="IZ153" s="11" t="s">
        <v>527</v>
      </c>
      <c r="JA153" s="11">
        <v>1</v>
      </c>
      <c r="JB153" s="11" t="s">
        <v>433</v>
      </c>
      <c r="JC153" s="11" t="s">
        <v>623</v>
      </c>
      <c r="JD153" s="11" t="s">
        <v>624</v>
      </c>
      <c r="JE153" s="11" t="s">
        <v>340</v>
      </c>
      <c r="JF153" s="11" t="s">
        <v>3144</v>
      </c>
      <c r="JG153" s="11" t="s">
        <v>626</v>
      </c>
      <c r="JH153" s="11" t="s">
        <v>3145</v>
      </c>
      <c r="JI153" s="11" t="s">
        <v>628</v>
      </c>
      <c r="JJ153" s="11" t="s">
        <v>629</v>
      </c>
      <c r="JK153" s="11" t="s">
        <v>630</v>
      </c>
      <c r="JL153" s="11" t="s">
        <v>631</v>
      </c>
      <c r="JM153" s="11" t="s">
        <v>3146</v>
      </c>
      <c r="JN153" s="11" t="s">
        <v>3147</v>
      </c>
      <c r="JO153" s="11" t="s">
        <v>634</v>
      </c>
      <c r="JP153" s="15">
        <f t="shared" si="93"/>
        <v>139</v>
      </c>
      <c r="JQ153" s="15">
        <f t="shared" si="94"/>
        <v>1790</v>
      </c>
      <c r="JR153" s="279">
        <f t="shared" si="95"/>
        <v>12.877697841726619</v>
      </c>
      <c r="JS153" s="17">
        <f t="shared" si="96"/>
        <v>0.22302158273381295</v>
      </c>
      <c r="JT153" s="18">
        <f t="shared" si="97"/>
        <v>0.24022346368715083</v>
      </c>
      <c r="JU153" s="280">
        <f t="shared" si="98"/>
        <v>31</v>
      </c>
      <c r="JV153" s="280">
        <f t="shared" si="99"/>
        <v>430</v>
      </c>
      <c r="JW153" s="319" t="str">
        <f t="shared" si="100"/>
        <v/>
      </c>
      <c r="JX153" s="15">
        <f t="shared" si="101"/>
        <v>0</v>
      </c>
      <c r="JY153" s="15">
        <f t="shared" si="102"/>
        <v>0</v>
      </c>
      <c r="JZ153" s="19" t="str">
        <f t="shared" si="103"/>
        <v/>
      </c>
      <c r="KA153" s="52" t="str">
        <f t="shared" si="104"/>
        <v/>
      </c>
      <c r="KB153" s="15">
        <f t="shared" si="105"/>
        <v>0</v>
      </c>
      <c r="KC153" s="15">
        <f t="shared" si="106"/>
        <v>0</v>
      </c>
      <c r="KD153" s="20" t="str">
        <f t="shared" si="107"/>
        <v/>
      </c>
      <c r="KE153" s="52">
        <f t="shared" si="108"/>
        <v>1</v>
      </c>
      <c r="KF153" s="15">
        <f t="shared" si="109"/>
        <v>139</v>
      </c>
      <c r="KG153" s="15">
        <f t="shared" si="110"/>
        <v>0</v>
      </c>
      <c r="KH153" s="21">
        <f t="shared" si="111"/>
        <v>0</v>
      </c>
      <c r="KI153" s="52">
        <f t="shared" si="112"/>
        <v>1</v>
      </c>
      <c r="KJ153" s="15">
        <f t="shared" si="113"/>
        <v>1790</v>
      </c>
      <c r="KK153" s="15">
        <f t="shared" si="114"/>
        <v>0</v>
      </c>
      <c r="KL153" s="19">
        <f t="shared" si="115"/>
        <v>0</v>
      </c>
      <c r="KM153" s="52" t="str">
        <f t="shared" si="116"/>
        <v/>
      </c>
      <c r="KN153" s="22">
        <f t="shared" si="117"/>
        <v>0</v>
      </c>
      <c r="KO153" s="22">
        <f t="shared" si="118"/>
        <v>0</v>
      </c>
      <c r="KP153" s="19" t="str">
        <f t="shared" si="119"/>
        <v/>
      </c>
      <c r="KQ153" s="11" t="str">
        <f t="shared" si="120"/>
        <v>4. Transformative</v>
      </c>
      <c r="KR153" s="11" t="str">
        <f t="shared" si="121"/>
        <v>4. Transformational</v>
      </c>
      <c r="KS153" s="11" t="str">
        <f t="shared" si="122"/>
        <v>4. Transformative</v>
      </c>
      <c r="KT153" s="11" t="str">
        <f t="shared" si="123"/>
        <v>It tested new ways for fighting poverty, but did not measure results of innovation</v>
      </c>
      <c r="KU153" s="11" t="str">
        <f t="shared" si="124"/>
        <v>Moderate advocacy</v>
      </c>
      <c r="KV153" s="11" t="str">
        <f t="shared" si="125"/>
        <v>It linked and worked with strategic alliances and partners to take tested and effective solutions to scale</v>
      </c>
      <c r="KW153" s="11" t="str">
        <f t="shared" si="126"/>
        <v>Croatia - The Boys and Men as Allies in Violence Prevention and Gender Transformation in the Western Balkans</v>
      </c>
      <c r="KX153" s="11" t="str">
        <f t="shared" si="127"/>
        <v>The Boys and Men as Allies in Violence Prevention and Gender Transformation in the Western Balkans</v>
      </c>
      <c r="KY153" s="11" t="str">
        <f t="shared" si="128"/>
        <v>Croatia</v>
      </c>
      <c r="KZ153" s="12">
        <v>153</v>
      </c>
    </row>
    <row r="154" spans="1:312" x14ac:dyDescent="0.3">
      <c r="A154" s="12" t="s">
        <v>3148</v>
      </c>
      <c r="B154" s="12" t="s">
        <v>2807</v>
      </c>
      <c r="C154" s="12"/>
      <c r="D154" s="12" t="s">
        <v>3182</v>
      </c>
      <c r="E154" s="24" t="str">
        <f t="shared" si="86"/>
        <v>Cuba</v>
      </c>
      <c r="F154" s="12"/>
      <c r="G154" s="12" t="s">
        <v>714</v>
      </c>
      <c r="H154" s="12" t="s">
        <v>380</v>
      </c>
      <c r="I154" s="12" t="s">
        <v>907</v>
      </c>
      <c r="J154" s="281"/>
      <c r="K154" s="12"/>
      <c r="L154" s="12"/>
      <c r="M154" s="12"/>
      <c r="N154" s="12"/>
      <c r="O154" s="12"/>
      <c r="P154" s="12"/>
      <c r="Q154" s="12"/>
      <c r="R154" s="12"/>
      <c r="S154" s="12"/>
      <c r="T154" s="12"/>
      <c r="U154" s="12"/>
      <c r="V154" s="12"/>
      <c r="W154" s="12"/>
      <c r="X154" s="12"/>
      <c r="Y154" s="12"/>
      <c r="Z154" s="12"/>
      <c r="AA154" s="12"/>
      <c r="AB154" s="12"/>
      <c r="AC154" s="12"/>
      <c r="AD154" s="12"/>
      <c r="BD154" s="13">
        <v>42141</v>
      </c>
      <c r="BE154" s="13">
        <v>42674</v>
      </c>
      <c r="BF154" s="13">
        <v>42735</v>
      </c>
      <c r="BG154" s="12" t="s">
        <v>817</v>
      </c>
      <c r="BH154" s="14">
        <v>780583</v>
      </c>
      <c r="BI154" s="12" t="s">
        <v>3150</v>
      </c>
      <c r="BJ154" s="12" t="s">
        <v>3151</v>
      </c>
      <c r="BK154" s="12" t="s">
        <v>3152</v>
      </c>
      <c r="BL154" s="12"/>
      <c r="BM154" s="12"/>
      <c r="BN154" s="12"/>
      <c r="BO154" s="12" t="s">
        <v>320</v>
      </c>
      <c r="BP154" s="12" t="s">
        <v>320</v>
      </c>
      <c r="BQ154" s="12" t="s">
        <v>320</v>
      </c>
      <c r="BR154" s="12" t="s">
        <v>3183</v>
      </c>
      <c r="BS154" s="12" t="s">
        <v>357</v>
      </c>
      <c r="BT154" s="12" t="s">
        <v>3184</v>
      </c>
      <c r="BU154" s="12" t="s">
        <v>3185</v>
      </c>
      <c r="BV154" s="14">
        <v>40964</v>
      </c>
      <c r="BW154" s="14">
        <v>39357</v>
      </c>
      <c r="BX154" s="14">
        <v>80321</v>
      </c>
      <c r="BY154" s="14"/>
      <c r="BZ154" s="14"/>
      <c r="CA154" s="14">
        <v>1562428</v>
      </c>
      <c r="CB154" s="12" t="s">
        <v>3186</v>
      </c>
      <c r="CD154" s="14">
        <v>68262</v>
      </c>
      <c r="CE154" s="14">
        <v>55697</v>
      </c>
      <c r="CF154" s="14">
        <v>123959</v>
      </c>
      <c r="CG154" s="14"/>
      <c r="CH154" s="14"/>
      <c r="CI154" s="14">
        <v>1562428</v>
      </c>
      <c r="CJ154" s="12" t="s">
        <v>319</v>
      </c>
      <c r="CK154" s="14"/>
      <c r="CL154" s="16"/>
      <c r="CM154" s="14"/>
      <c r="CN154" s="12" t="s">
        <v>319</v>
      </c>
      <c r="CO154" s="14"/>
      <c r="CP154" s="16"/>
      <c r="CQ154" s="14"/>
      <c r="CR154" s="12" t="s">
        <v>320</v>
      </c>
      <c r="CS154" s="14">
        <v>123959</v>
      </c>
      <c r="CT154" s="16">
        <v>0.55000000000000004</v>
      </c>
      <c r="CU154" s="14">
        <v>1562428</v>
      </c>
      <c r="CV154" s="12" t="s">
        <v>319</v>
      </c>
      <c r="CW154" s="14"/>
      <c r="CX154" s="16"/>
      <c r="CY154" s="14"/>
      <c r="CZ154" s="12" t="s">
        <v>319</v>
      </c>
      <c r="DA154" s="14"/>
      <c r="DB154" s="16"/>
      <c r="DC154" s="14"/>
      <c r="DD154" s="12" t="s">
        <v>319</v>
      </c>
      <c r="DE154" s="14"/>
      <c r="DF154" s="16"/>
      <c r="DG154" s="14"/>
      <c r="DH154" s="12" t="s">
        <v>319</v>
      </c>
      <c r="DI154" s="14"/>
      <c r="DJ154" s="16"/>
      <c r="DK154" s="14"/>
      <c r="DL154" s="12" t="s">
        <v>319</v>
      </c>
      <c r="DM154" s="14"/>
      <c r="DN154" s="16"/>
      <c r="DO154" s="14"/>
      <c r="DP154" s="12" t="s">
        <v>320</v>
      </c>
      <c r="DQ154" s="14">
        <v>123959</v>
      </c>
      <c r="DR154" s="16">
        <v>0.55000000000000004</v>
      </c>
      <c r="DS154" s="14">
        <v>1562428</v>
      </c>
      <c r="DT154" s="12" t="s">
        <v>319</v>
      </c>
      <c r="DU154" s="14"/>
      <c r="DV154" s="16"/>
      <c r="DW154" s="14"/>
      <c r="DX154" s="12" t="s">
        <v>319</v>
      </c>
      <c r="DY154" s="14"/>
      <c r="DZ154" s="16"/>
      <c r="EA154" s="14"/>
      <c r="EB154" s="12" t="s">
        <v>319</v>
      </c>
      <c r="EC154" s="14"/>
      <c r="ED154" s="16"/>
      <c r="EE154" s="14"/>
      <c r="EF154" s="12"/>
      <c r="EG154" s="12"/>
      <c r="EH154" s="14"/>
      <c r="EI154" s="16"/>
      <c r="EJ154" s="14"/>
      <c r="EK154" s="14">
        <v>1524</v>
      </c>
      <c r="EL154" s="14">
        <v>1283</v>
      </c>
      <c r="EM154" s="14">
        <v>2807</v>
      </c>
      <c r="EN154" s="14"/>
      <c r="EO154" s="14"/>
      <c r="EP154" s="14">
        <v>2390053</v>
      </c>
      <c r="EQ154" s="12" t="s">
        <v>319</v>
      </c>
      <c r="ER154" s="14"/>
      <c r="ES154" s="16"/>
      <c r="ET154" s="14"/>
      <c r="EU154" s="11" t="s">
        <v>319</v>
      </c>
      <c r="EV154" s="14"/>
      <c r="EW154" s="16"/>
      <c r="EX154" s="14"/>
      <c r="EY154" s="12"/>
      <c r="EZ154" s="14"/>
      <c r="FA154" s="16"/>
      <c r="FB154" s="14"/>
      <c r="FC154" s="12" t="s">
        <v>320</v>
      </c>
      <c r="FD154" s="14">
        <v>2807</v>
      </c>
      <c r="FE154" s="16">
        <v>0.46</v>
      </c>
      <c r="FF154" s="14">
        <v>2390053</v>
      </c>
      <c r="FG154" s="12"/>
      <c r="FH154" s="14"/>
      <c r="FI154" s="16"/>
      <c r="FJ154" s="14"/>
      <c r="FK154" s="12" t="s">
        <v>320</v>
      </c>
      <c r="FL154" s="14">
        <v>2807</v>
      </c>
      <c r="FM154" s="16">
        <v>0.46</v>
      </c>
      <c r="FN154" s="14">
        <v>10000</v>
      </c>
      <c r="FO154" s="12" t="s">
        <v>319</v>
      </c>
      <c r="FP154" s="14"/>
      <c r="FQ154" s="16"/>
      <c r="FR154" s="14"/>
      <c r="FS154" s="12" t="s">
        <v>319</v>
      </c>
      <c r="FT154" s="14"/>
      <c r="FU154" s="16"/>
      <c r="FV154" s="14"/>
      <c r="FW154" s="12" t="s">
        <v>319</v>
      </c>
      <c r="FX154" s="14"/>
      <c r="FY154" s="16"/>
      <c r="FZ154" s="14"/>
      <c r="GA154" s="12" t="s">
        <v>319</v>
      </c>
      <c r="GB154" s="14"/>
      <c r="GC154" s="16"/>
      <c r="GD154" s="14"/>
      <c r="GE154" s="12" t="s">
        <v>320</v>
      </c>
      <c r="GF154" s="14">
        <v>2807</v>
      </c>
      <c r="GG154" s="16">
        <v>0.46</v>
      </c>
      <c r="GH154" s="14">
        <v>2390053</v>
      </c>
      <c r="GI154" s="12" t="s">
        <v>319</v>
      </c>
      <c r="GJ154" s="14"/>
      <c r="GK154" s="16"/>
      <c r="GL154" s="14"/>
      <c r="GM154" s="12" t="s">
        <v>319</v>
      </c>
      <c r="GN154" s="14"/>
      <c r="GO154" s="16"/>
      <c r="GP154" s="14"/>
      <c r="GQ154" s="12" t="s">
        <v>319</v>
      </c>
      <c r="GR154" s="14"/>
      <c r="GS154" s="16"/>
      <c r="GT154" s="14"/>
      <c r="GU154" s="12" t="s">
        <v>319</v>
      </c>
      <c r="GV154" s="14"/>
      <c r="GW154" s="16"/>
      <c r="GX154" s="14"/>
      <c r="GY154" s="12" t="s">
        <v>319</v>
      </c>
      <c r="GZ154" s="14"/>
      <c r="HA154" s="16"/>
      <c r="HB154" s="14"/>
      <c r="HC154" s="12"/>
      <c r="HD154" s="12"/>
      <c r="HE154" s="14"/>
      <c r="HF154" s="16"/>
      <c r="HG154" s="14"/>
      <c r="HH154" s="12" t="s">
        <v>320</v>
      </c>
      <c r="HI154" s="12" t="s">
        <v>619</v>
      </c>
      <c r="HJ154" s="12">
        <v>2016</v>
      </c>
      <c r="HK154" s="12" t="s">
        <v>319</v>
      </c>
      <c r="HL154" s="12" t="s">
        <v>319</v>
      </c>
      <c r="HM154" s="12"/>
      <c r="HN154" s="12"/>
      <c r="HO154" s="12"/>
      <c r="HP154" s="12" t="s">
        <v>330</v>
      </c>
      <c r="HQ154" s="12" t="s">
        <v>319</v>
      </c>
      <c r="HR154" s="12" t="s">
        <v>319</v>
      </c>
      <c r="HS154" s="12" t="s">
        <v>320</v>
      </c>
      <c r="HT154" s="12" t="s">
        <v>320</v>
      </c>
      <c r="HU154" s="12" t="s">
        <v>320</v>
      </c>
      <c r="HV154" s="12" t="s">
        <v>319</v>
      </c>
      <c r="HW154" s="12" t="s">
        <v>320</v>
      </c>
      <c r="HX154" s="12" t="s">
        <v>319</v>
      </c>
      <c r="HY154" s="12"/>
      <c r="HZ154" s="11" t="s">
        <v>331</v>
      </c>
      <c r="IA154" s="12" t="s">
        <v>3187</v>
      </c>
      <c r="IB154" s="12" t="s">
        <v>396</v>
      </c>
      <c r="IC154" s="12" t="s">
        <v>3188</v>
      </c>
      <c r="ID154" s="11" t="s">
        <v>364</v>
      </c>
      <c r="IE154" s="12" t="s">
        <v>335</v>
      </c>
      <c r="IF154" s="12" t="s">
        <v>320</v>
      </c>
      <c r="IG154" s="12"/>
      <c r="IH154" s="12" t="s">
        <v>320</v>
      </c>
      <c r="II154" s="12" t="s">
        <v>320</v>
      </c>
      <c r="IJ154" s="12" t="str">
        <f t="shared" si="87"/>
        <v>1. Neutral</v>
      </c>
      <c r="IK154" s="12">
        <f t="shared" si="88"/>
        <v>3</v>
      </c>
      <c r="IL154" s="12" t="s">
        <v>336</v>
      </c>
      <c r="IM154" s="12" t="s">
        <v>320</v>
      </c>
      <c r="IN154" s="12" t="s">
        <v>320</v>
      </c>
      <c r="IO154" s="12" t="s">
        <v>320</v>
      </c>
      <c r="IP154" s="12" t="s">
        <v>320</v>
      </c>
      <c r="IQ154" s="12" t="str">
        <f t="shared" si="89"/>
        <v>2. Accommodating</v>
      </c>
      <c r="IR154" s="12">
        <f t="shared" si="90"/>
        <v>4</v>
      </c>
      <c r="IS154" s="12" t="s">
        <v>337</v>
      </c>
      <c r="IT154" s="12" t="s">
        <v>320</v>
      </c>
      <c r="IU154" s="12" t="s">
        <v>320</v>
      </c>
      <c r="IV154" s="12" t="s">
        <v>320</v>
      </c>
      <c r="IW154" s="11" t="str">
        <f t="shared" si="91"/>
        <v>2. Sensitive</v>
      </c>
      <c r="IX154" s="12">
        <f t="shared" si="92"/>
        <v>3</v>
      </c>
      <c r="IY154" s="11" t="s">
        <v>419</v>
      </c>
      <c r="IZ154" s="12" t="s">
        <v>457</v>
      </c>
      <c r="JA154" s="12">
        <v>4</v>
      </c>
      <c r="JB154" s="12" t="s">
        <v>831</v>
      </c>
      <c r="JC154" s="12" t="s">
        <v>585</v>
      </c>
      <c r="JD154" s="12" t="s">
        <v>433</v>
      </c>
      <c r="JE154" s="12" t="s">
        <v>365</v>
      </c>
      <c r="JF154" s="12" t="s">
        <v>3189</v>
      </c>
      <c r="JG154" s="12" t="s">
        <v>3190</v>
      </c>
      <c r="JH154" s="12" t="s">
        <v>3191</v>
      </c>
      <c r="JI154" s="12" t="s">
        <v>3192</v>
      </c>
      <c r="JJ154" s="12" t="s">
        <v>3193</v>
      </c>
      <c r="JK154" s="12" t="s">
        <v>3194</v>
      </c>
      <c r="JL154" s="12" t="s">
        <v>3195</v>
      </c>
      <c r="JM154" s="12" t="s">
        <v>3196</v>
      </c>
      <c r="JN154" s="12" t="s">
        <v>3197</v>
      </c>
      <c r="JO154" s="12"/>
      <c r="JP154" s="15">
        <f t="shared" si="93"/>
        <v>123959</v>
      </c>
      <c r="JQ154" s="15">
        <f t="shared" si="94"/>
        <v>2390053</v>
      </c>
      <c r="JR154" s="279">
        <f t="shared" si="95"/>
        <v>19.280996135819102</v>
      </c>
      <c r="JS154" s="17">
        <f t="shared" si="96"/>
        <v>0.5506820803652821</v>
      </c>
      <c r="JT154" s="18">
        <f t="shared" si="97"/>
        <v>0</v>
      </c>
      <c r="JU154" s="280">
        <f t="shared" si="98"/>
        <v>68262</v>
      </c>
      <c r="JV154" s="280">
        <f t="shared" si="99"/>
        <v>0</v>
      </c>
      <c r="JW154" s="319">
        <f t="shared" si="100"/>
        <v>1</v>
      </c>
      <c r="JX154" s="15">
        <f t="shared" si="101"/>
        <v>123959</v>
      </c>
      <c r="JY154" s="15">
        <f t="shared" si="102"/>
        <v>1562428</v>
      </c>
      <c r="JZ154" s="19">
        <f t="shared" si="103"/>
        <v>12.604393388136399</v>
      </c>
      <c r="KA154" s="52">
        <f t="shared" si="104"/>
        <v>1</v>
      </c>
      <c r="KB154" s="15">
        <f t="shared" si="105"/>
        <v>2807</v>
      </c>
      <c r="KC154" s="15">
        <f t="shared" si="106"/>
        <v>2390053</v>
      </c>
      <c r="KD154" s="20">
        <f t="shared" si="107"/>
        <v>851.46170288564304</v>
      </c>
      <c r="KE154" s="52" t="str">
        <f t="shared" si="108"/>
        <v/>
      </c>
      <c r="KF154" s="15">
        <f t="shared" si="109"/>
        <v>0</v>
      </c>
      <c r="KG154" s="15">
        <f t="shared" si="110"/>
        <v>0</v>
      </c>
      <c r="KH154" s="21" t="str">
        <f t="shared" si="111"/>
        <v/>
      </c>
      <c r="KI154" s="52" t="str">
        <f t="shared" si="112"/>
        <v/>
      </c>
      <c r="KJ154" s="15">
        <f t="shared" si="113"/>
        <v>0</v>
      </c>
      <c r="KK154" s="15">
        <f t="shared" si="114"/>
        <v>0</v>
      </c>
      <c r="KL154" s="19" t="str">
        <f t="shared" si="115"/>
        <v/>
      </c>
      <c r="KM154" s="52" t="str">
        <f t="shared" si="116"/>
        <v/>
      </c>
      <c r="KN154" s="22">
        <f t="shared" si="117"/>
        <v>0</v>
      </c>
      <c r="KO154" s="22">
        <f t="shared" si="118"/>
        <v>0</v>
      </c>
      <c r="KP154" s="19" t="str">
        <f t="shared" si="119"/>
        <v/>
      </c>
      <c r="KQ154" s="11" t="str">
        <f t="shared" si="120"/>
        <v>1. Neutral</v>
      </c>
      <c r="KR154" s="11" t="str">
        <f t="shared" si="121"/>
        <v>2. Accommodating</v>
      </c>
      <c r="KS154" s="11" t="str">
        <f t="shared" si="122"/>
        <v>2. Sensitive</v>
      </c>
      <c r="KT154" s="11" t="str">
        <f t="shared" si="123"/>
        <v>It tested new ways for fighting poverty and measured results of innovation</v>
      </c>
      <c r="KU154" s="11" t="str">
        <f t="shared" si="124"/>
        <v>Moderate advocacy</v>
      </c>
      <c r="KV154" s="11" t="str">
        <f t="shared" si="125"/>
        <v>It linked and worked with strategic alliances and partners to take tested and effective solutions to scale</v>
      </c>
      <c r="KW154" s="11" t="str">
        <f t="shared" si="126"/>
        <v>Cuba - Ciudades Preparadas y Alertas ante el riesgo sísmico en el oriente cubano</v>
      </c>
      <c r="KX154" s="11" t="str">
        <f t="shared" si="127"/>
        <v>Ciudades Preparadas y Alertas ante el riesgo sísmico en el oriente cubano</v>
      </c>
      <c r="KY154" s="11" t="str">
        <f t="shared" si="128"/>
        <v>Cuba</v>
      </c>
      <c r="KZ154" s="12">
        <v>154</v>
      </c>
    </row>
    <row r="155" spans="1:312" x14ac:dyDescent="0.3">
      <c r="A155" s="282" t="s">
        <v>3148</v>
      </c>
      <c r="B155" s="282" t="s">
        <v>2807</v>
      </c>
      <c r="C155" s="282"/>
      <c r="D155" s="282" t="s">
        <v>3198</v>
      </c>
      <c r="E155" s="24" t="str">
        <f t="shared" si="86"/>
        <v>Cuba</v>
      </c>
      <c r="F155" s="282" t="s">
        <v>3199</v>
      </c>
      <c r="G155" s="282" t="s">
        <v>379</v>
      </c>
      <c r="H155" s="282" t="s">
        <v>384</v>
      </c>
      <c r="I155" s="282" t="s">
        <v>384</v>
      </c>
      <c r="J155" s="278" t="s">
        <v>379</v>
      </c>
      <c r="K155" s="282" t="s">
        <v>3200</v>
      </c>
      <c r="L155" s="282" t="s">
        <v>376</v>
      </c>
      <c r="M155" s="282" t="s">
        <v>384</v>
      </c>
      <c r="N155" s="282" t="s">
        <v>384</v>
      </c>
      <c r="O155" s="282" t="s">
        <v>14609</v>
      </c>
      <c r="P155" s="282" t="s">
        <v>3201</v>
      </c>
      <c r="Q155" s="282" t="s">
        <v>1529</v>
      </c>
      <c r="R155" s="282" t="s">
        <v>384</v>
      </c>
      <c r="S155" s="282" t="s">
        <v>384</v>
      </c>
      <c r="T155" s="282" t="s">
        <v>14610</v>
      </c>
      <c r="U155" s="282" t="s">
        <v>3202</v>
      </c>
      <c r="V155" s="282" t="s">
        <v>1738</v>
      </c>
      <c r="W155" s="282" t="s">
        <v>383</v>
      </c>
      <c r="X155" s="282" t="s">
        <v>384</v>
      </c>
      <c r="Y155" s="282" t="s">
        <v>3203</v>
      </c>
      <c r="Z155" s="282" t="s">
        <v>3204</v>
      </c>
      <c r="AA155" s="282" t="s">
        <v>1738</v>
      </c>
      <c r="AB155" s="282" t="s">
        <v>383</v>
      </c>
      <c r="AC155" s="282" t="s">
        <v>384</v>
      </c>
      <c r="AD155" s="282" t="s">
        <v>3203</v>
      </c>
      <c r="AE155" s="282"/>
      <c r="AF155" s="282"/>
      <c r="AG155" s="282"/>
      <c r="AH155" s="282"/>
      <c r="AI155" s="282"/>
      <c r="AJ155" s="282"/>
      <c r="AK155" s="282"/>
      <c r="AL155" s="282"/>
      <c r="AM155" s="282"/>
      <c r="AN155" s="282"/>
      <c r="AO155" s="282"/>
      <c r="AP155" s="282"/>
      <c r="AQ155" s="282"/>
      <c r="AR155" s="282"/>
      <c r="AS155" s="282"/>
      <c r="AT155" s="282"/>
      <c r="AU155" s="282"/>
      <c r="AV155" s="282"/>
      <c r="AW155" s="282"/>
      <c r="AX155" s="282"/>
      <c r="AY155" s="282"/>
      <c r="AZ155" s="282"/>
      <c r="BA155" s="282"/>
      <c r="BB155" s="282"/>
      <c r="BC155" s="282"/>
      <c r="BD155" s="283">
        <v>42648</v>
      </c>
      <c r="BE155" s="283">
        <v>42962</v>
      </c>
      <c r="BF155" s="283"/>
      <c r="BG155" s="283" t="s">
        <v>817</v>
      </c>
      <c r="BH155" s="284">
        <v>302000</v>
      </c>
      <c r="BI155" s="282" t="s">
        <v>3170</v>
      </c>
      <c r="BJ155" s="282" t="s">
        <v>3205</v>
      </c>
      <c r="BK155" s="282" t="s">
        <v>3206</v>
      </c>
      <c r="BL155" s="282"/>
      <c r="BM155" s="282"/>
      <c r="BN155" s="282"/>
      <c r="BO155" s="282" t="s">
        <v>320</v>
      </c>
      <c r="BP155" s="282" t="s">
        <v>319</v>
      </c>
      <c r="BQ155" s="282" t="s">
        <v>319</v>
      </c>
      <c r="BR155" s="282" t="s">
        <v>3207</v>
      </c>
      <c r="BS155" s="282" t="s">
        <v>357</v>
      </c>
      <c r="BT155" s="282" t="s">
        <v>3208</v>
      </c>
      <c r="BU155" s="282" t="s">
        <v>3209</v>
      </c>
      <c r="BV155" s="284">
        <v>3234</v>
      </c>
      <c r="BW155" s="284">
        <v>3376</v>
      </c>
      <c r="BX155" s="284">
        <v>6610</v>
      </c>
      <c r="BY155" s="284"/>
      <c r="BZ155" s="284"/>
      <c r="CA155" s="284"/>
      <c r="CB155" s="285" t="s">
        <v>3210</v>
      </c>
      <c r="CC155" s="285"/>
      <c r="CD155" s="284">
        <v>3234</v>
      </c>
      <c r="CE155" s="284">
        <v>3376</v>
      </c>
      <c r="CF155" s="284">
        <v>6610</v>
      </c>
      <c r="CG155" s="284"/>
      <c r="CH155" s="284"/>
      <c r="CI155" s="284"/>
      <c r="CJ155" s="282" t="s">
        <v>319</v>
      </c>
      <c r="CK155" s="284"/>
      <c r="CL155" s="286"/>
      <c r="CM155" s="284"/>
      <c r="CN155" s="287" t="s">
        <v>319</v>
      </c>
      <c r="CO155" s="284"/>
      <c r="CP155" s="286"/>
      <c r="CQ155" s="284"/>
      <c r="CR155" s="282" t="s">
        <v>319</v>
      </c>
      <c r="CS155" s="284"/>
      <c r="CT155" s="286"/>
      <c r="CU155" s="284"/>
      <c r="CV155" s="293" t="s">
        <v>320</v>
      </c>
      <c r="CW155" s="294">
        <v>6077</v>
      </c>
      <c r="CX155" s="295">
        <v>0.49</v>
      </c>
      <c r="CY155" s="284"/>
      <c r="CZ155" s="282" t="s">
        <v>319</v>
      </c>
      <c r="DA155" s="284"/>
      <c r="DB155" s="286"/>
      <c r="DC155" s="284"/>
      <c r="DD155" s="287" t="s">
        <v>319</v>
      </c>
      <c r="DE155" s="284"/>
      <c r="DF155" s="286"/>
      <c r="DG155" s="284"/>
      <c r="DH155" s="282" t="s">
        <v>319</v>
      </c>
      <c r="DI155" s="284"/>
      <c r="DJ155" s="286"/>
      <c r="DK155" s="284"/>
      <c r="DL155" s="282" t="s">
        <v>319</v>
      </c>
      <c r="DM155" s="284"/>
      <c r="DN155" s="286"/>
      <c r="DO155" s="284"/>
      <c r="DP155" s="282" t="s">
        <v>319</v>
      </c>
      <c r="DQ155" s="284"/>
      <c r="DR155" s="286"/>
      <c r="DS155" s="284"/>
      <c r="DT155" s="282" t="s">
        <v>319</v>
      </c>
      <c r="DU155" s="284"/>
      <c r="DV155" s="286"/>
      <c r="DW155" s="284"/>
      <c r="DX155" s="282" t="s">
        <v>320</v>
      </c>
      <c r="DY155" s="284">
        <v>6610</v>
      </c>
      <c r="DZ155" s="286">
        <v>0.49</v>
      </c>
      <c r="EA155" s="284"/>
      <c r="EB155" s="282" t="s">
        <v>320</v>
      </c>
      <c r="EC155" s="284">
        <v>6077</v>
      </c>
      <c r="ED155" s="286">
        <v>0.49</v>
      </c>
      <c r="EE155" s="284"/>
      <c r="EF155" s="285"/>
      <c r="EG155" s="287"/>
      <c r="EH155" s="284"/>
      <c r="EI155" s="286"/>
      <c r="EJ155" s="284"/>
      <c r="EK155" s="284"/>
      <c r="EL155" s="284"/>
      <c r="EM155" s="284"/>
      <c r="EN155" s="284"/>
      <c r="EO155" s="284"/>
      <c r="EP155" s="284"/>
      <c r="EQ155" s="282" t="s">
        <v>319</v>
      </c>
      <c r="ER155" s="284"/>
      <c r="ES155" s="286"/>
      <c r="ET155" s="284"/>
      <c r="EU155" s="282" t="s">
        <v>319</v>
      </c>
      <c r="EV155" s="284"/>
      <c r="EW155" s="286"/>
      <c r="EX155" s="284"/>
      <c r="EY155" s="282" t="s">
        <v>319</v>
      </c>
      <c r="EZ155" s="284"/>
      <c r="FA155" s="286"/>
      <c r="FB155" s="284"/>
      <c r="FC155" s="282" t="s">
        <v>319</v>
      </c>
      <c r="FD155" s="284"/>
      <c r="FE155" s="286"/>
      <c r="FF155" s="284"/>
      <c r="FG155" s="282" t="s">
        <v>319</v>
      </c>
      <c r="FH155" s="284"/>
      <c r="FI155" s="286"/>
      <c r="FJ155" s="284"/>
      <c r="FK155" s="282" t="s">
        <v>319</v>
      </c>
      <c r="FL155" s="284"/>
      <c r="FM155" s="286"/>
      <c r="FN155" s="284"/>
      <c r="FO155" s="292" t="s">
        <v>319</v>
      </c>
      <c r="FP155" s="290"/>
      <c r="FQ155" s="291"/>
      <c r="FR155" s="290"/>
      <c r="FS155" s="282" t="s">
        <v>319</v>
      </c>
      <c r="FT155" s="284"/>
      <c r="FU155" s="286"/>
      <c r="FV155" s="284"/>
      <c r="FW155" s="282" t="s">
        <v>319</v>
      </c>
      <c r="FX155" s="284"/>
      <c r="FY155" s="286"/>
      <c r="FZ155" s="284"/>
      <c r="GA155" s="282" t="s">
        <v>319</v>
      </c>
      <c r="GB155" s="284"/>
      <c r="GC155" s="286"/>
      <c r="GD155" s="284"/>
      <c r="GE155" s="282" t="s">
        <v>319</v>
      </c>
      <c r="GF155" s="284"/>
      <c r="GG155" s="286"/>
      <c r="GH155" s="284"/>
      <c r="GI155" s="282" t="s">
        <v>319</v>
      </c>
      <c r="GJ155" s="284"/>
      <c r="GK155" s="286"/>
      <c r="GL155" s="284"/>
      <c r="GM155" s="282" t="s">
        <v>319</v>
      </c>
      <c r="GN155" s="284"/>
      <c r="GO155" s="286"/>
      <c r="GP155" s="284"/>
      <c r="GQ155" s="282" t="s">
        <v>319</v>
      </c>
      <c r="GR155" s="284"/>
      <c r="GS155" s="286"/>
      <c r="GT155" s="284"/>
      <c r="GU155" s="282" t="s">
        <v>319</v>
      </c>
      <c r="GV155" s="284"/>
      <c r="GW155" s="286"/>
      <c r="GX155" s="284"/>
      <c r="GY155" s="282" t="s">
        <v>319</v>
      </c>
      <c r="GZ155" s="284"/>
      <c r="HA155" s="286"/>
      <c r="HB155" s="284"/>
      <c r="HC155" s="282"/>
      <c r="HD155" s="282"/>
      <c r="HE155" s="284"/>
      <c r="HF155" s="286"/>
      <c r="HG155" s="284"/>
      <c r="HH155" s="282" t="s">
        <v>319</v>
      </c>
      <c r="HI155" s="282"/>
      <c r="HJ155" s="282"/>
      <c r="HK155" s="282" t="s">
        <v>319</v>
      </c>
      <c r="HL155" s="282" t="s">
        <v>319</v>
      </c>
      <c r="HM155" s="282"/>
      <c r="HN155" s="282"/>
      <c r="HO155" s="282" t="s">
        <v>3211</v>
      </c>
      <c r="HP155" s="282" t="s">
        <v>330</v>
      </c>
      <c r="HQ155" s="282" t="s">
        <v>319</v>
      </c>
      <c r="HR155" s="282" t="s">
        <v>319</v>
      </c>
      <c r="HS155" s="282" t="s">
        <v>319</v>
      </c>
      <c r="HT155" s="282" t="s">
        <v>319</v>
      </c>
      <c r="HU155" s="282" t="s">
        <v>319</v>
      </c>
      <c r="HV155" s="282" t="s">
        <v>319</v>
      </c>
      <c r="HW155" s="282" t="s">
        <v>319</v>
      </c>
      <c r="HX155" s="282" t="s">
        <v>320</v>
      </c>
      <c r="HY155" s="282" t="s">
        <v>3212</v>
      </c>
      <c r="HZ155" s="282" t="s">
        <v>331</v>
      </c>
      <c r="IA155" s="282" t="s">
        <v>3213</v>
      </c>
      <c r="IB155" s="282" t="s">
        <v>333</v>
      </c>
      <c r="IC155" s="282" t="s">
        <v>3214</v>
      </c>
      <c r="ID155" s="282" t="s">
        <v>364</v>
      </c>
      <c r="IE155" s="282" t="s">
        <v>335</v>
      </c>
      <c r="IF155" s="282" t="s">
        <v>320</v>
      </c>
      <c r="IG155" s="282"/>
      <c r="IH155" s="282" t="s">
        <v>320</v>
      </c>
      <c r="II155" s="282" t="s">
        <v>320</v>
      </c>
      <c r="IJ155" s="12" t="str">
        <f t="shared" si="87"/>
        <v>1. Neutral</v>
      </c>
      <c r="IK155" s="287">
        <f t="shared" si="88"/>
        <v>3</v>
      </c>
      <c r="IL155" s="282" t="s">
        <v>336</v>
      </c>
      <c r="IM155" s="282" t="s">
        <v>319</v>
      </c>
      <c r="IN155" s="282" t="s">
        <v>319</v>
      </c>
      <c r="IO155" s="282" t="s">
        <v>320</v>
      </c>
      <c r="IP155" s="282" t="s">
        <v>320</v>
      </c>
      <c r="IQ155" s="287" t="str">
        <f t="shared" si="89"/>
        <v>1. Tokenistic</v>
      </c>
      <c r="IR155" s="287">
        <f t="shared" si="90"/>
        <v>2</v>
      </c>
      <c r="IS155" s="282" t="s">
        <v>337</v>
      </c>
      <c r="IT155" s="282" t="s">
        <v>320</v>
      </c>
      <c r="IU155" s="282" t="s">
        <v>319</v>
      </c>
      <c r="IV155" s="282" t="s">
        <v>320</v>
      </c>
      <c r="IW155" s="11" t="str">
        <f t="shared" si="91"/>
        <v>1. Neutral</v>
      </c>
      <c r="IX155" s="287">
        <f t="shared" si="92"/>
        <v>2</v>
      </c>
      <c r="IY155" s="282" t="s">
        <v>338</v>
      </c>
      <c r="IZ155" s="282" t="s">
        <v>527</v>
      </c>
      <c r="JA155" s="282">
        <v>2</v>
      </c>
      <c r="JB155" s="282" t="s">
        <v>687</v>
      </c>
      <c r="JC155" s="282" t="s">
        <v>433</v>
      </c>
      <c r="JD155" s="282"/>
      <c r="JE155" s="282" t="s">
        <v>365</v>
      </c>
      <c r="JF155" s="282" t="s">
        <v>3189</v>
      </c>
      <c r="JG155" s="282" t="s">
        <v>3215</v>
      </c>
      <c r="JH155" s="282" t="s">
        <v>3216</v>
      </c>
      <c r="JI155" s="282" t="s">
        <v>3217</v>
      </c>
      <c r="JJ155" s="282" t="s">
        <v>3218</v>
      </c>
      <c r="JK155" s="282" t="s">
        <v>3219</v>
      </c>
      <c r="JL155" s="282" t="s">
        <v>3220</v>
      </c>
      <c r="JM155" s="282" t="s">
        <v>3221</v>
      </c>
      <c r="JN155" s="282"/>
      <c r="JO155" s="282" t="s">
        <v>3222</v>
      </c>
      <c r="JP155" s="15">
        <f t="shared" si="93"/>
        <v>6610</v>
      </c>
      <c r="JQ155" s="15">
        <f t="shared" si="94"/>
        <v>0</v>
      </c>
      <c r="JR155" s="279">
        <f t="shared" si="95"/>
        <v>0</v>
      </c>
      <c r="JS155" s="17">
        <f t="shared" si="96"/>
        <v>0.48925869894099849</v>
      </c>
      <c r="JT155" s="18" t="str">
        <f t="shared" si="97"/>
        <v/>
      </c>
      <c r="JU155" s="280">
        <f t="shared" si="98"/>
        <v>3234</v>
      </c>
      <c r="JV155" s="280">
        <f t="shared" si="99"/>
        <v>0</v>
      </c>
      <c r="JW155" s="319">
        <f t="shared" si="100"/>
        <v>1</v>
      </c>
      <c r="JX155" s="15">
        <f t="shared" si="101"/>
        <v>6610</v>
      </c>
      <c r="JY155" s="15">
        <f t="shared" si="102"/>
        <v>0</v>
      </c>
      <c r="JZ155" s="19">
        <f t="shared" si="103"/>
        <v>0</v>
      </c>
      <c r="KA155" s="52">
        <f t="shared" si="104"/>
        <v>1</v>
      </c>
      <c r="KB155" s="15">
        <f t="shared" si="105"/>
        <v>6077</v>
      </c>
      <c r="KC155" s="15">
        <f t="shared" si="106"/>
        <v>0</v>
      </c>
      <c r="KD155" s="20">
        <f t="shared" si="107"/>
        <v>0</v>
      </c>
      <c r="KE155" s="52" t="str">
        <f t="shared" si="108"/>
        <v/>
      </c>
      <c r="KF155" s="15">
        <f t="shared" si="109"/>
        <v>0</v>
      </c>
      <c r="KG155" s="15">
        <f t="shared" si="110"/>
        <v>0</v>
      </c>
      <c r="KH155" s="21" t="str">
        <f t="shared" si="111"/>
        <v/>
      </c>
      <c r="KI155" s="52" t="str">
        <f t="shared" si="112"/>
        <v/>
      </c>
      <c r="KJ155" s="15">
        <f t="shared" si="113"/>
        <v>0</v>
      </c>
      <c r="KK155" s="15">
        <f t="shared" si="114"/>
        <v>0</v>
      </c>
      <c r="KL155" s="19" t="str">
        <f t="shared" si="115"/>
        <v/>
      </c>
      <c r="KM155" s="52" t="str">
        <f t="shared" si="116"/>
        <v/>
      </c>
      <c r="KN155" s="22">
        <f t="shared" si="117"/>
        <v>0</v>
      </c>
      <c r="KO155" s="22">
        <f t="shared" si="118"/>
        <v>0</v>
      </c>
      <c r="KP155" s="19" t="str">
        <f t="shared" si="119"/>
        <v/>
      </c>
      <c r="KQ155" s="11" t="str">
        <f t="shared" si="120"/>
        <v>1. Neutral</v>
      </c>
      <c r="KR155" s="11" t="str">
        <f t="shared" si="121"/>
        <v>1. Tokenistic</v>
      </c>
      <c r="KS155" s="11" t="str">
        <f t="shared" si="122"/>
        <v>1. Neutral</v>
      </c>
      <c r="KT155" s="11" t="str">
        <f t="shared" si="123"/>
        <v>It tested new ways for fighting poverty and measured results of innovation</v>
      </c>
      <c r="KU155" s="11" t="str">
        <f t="shared" si="124"/>
        <v>Moderate advocacy</v>
      </c>
      <c r="KV155" s="11" t="str">
        <f t="shared" si="125"/>
        <v>It did not take tested solutions to scale</v>
      </c>
      <c r="KW155" s="11" t="str">
        <f t="shared" si="126"/>
        <v>Cuba - Hurricane Matthew Emergency Response</v>
      </c>
      <c r="KX155" s="11" t="str">
        <f t="shared" si="127"/>
        <v>Hurricane Matthew Emergency Response</v>
      </c>
      <c r="KY155" s="11" t="str">
        <f t="shared" si="128"/>
        <v>Cuba</v>
      </c>
      <c r="KZ155" s="12">
        <v>155</v>
      </c>
    </row>
    <row r="156" spans="1:312" x14ac:dyDescent="0.3">
      <c r="A156" s="12" t="s">
        <v>3148</v>
      </c>
      <c r="B156" s="12" t="s">
        <v>2807</v>
      </c>
      <c r="C156" s="12"/>
      <c r="D156" s="12" t="s">
        <v>3149</v>
      </c>
      <c r="E156" s="277" t="str">
        <f t="shared" si="86"/>
        <v>Cuba</v>
      </c>
      <c r="F156" s="12"/>
      <c r="G156" s="12" t="s">
        <v>376</v>
      </c>
      <c r="H156" s="12" t="s">
        <v>310</v>
      </c>
      <c r="I156" s="12" t="s">
        <v>377</v>
      </c>
      <c r="J156" s="281" t="s">
        <v>14611</v>
      </c>
      <c r="K156" s="12"/>
      <c r="L156" s="12"/>
      <c r="M156" s="12"/>
      <c r="N156" s="12"/>
      <c r="O156" s="12"/>
      <c r="P156" s="12"/>
      <c r="Q156" s="12"/>
      <c r="R156" s="12"/>
      <c r="S156" s="12"/>
      <c r="T156" s="12"/>
      <c r="U156" s="12"/>
      <c r="V156" s="12"/>
      <c r="W156" s="12"/>
      <c r="X156" s="12"/>
      <c r="Y156" s="12"/>
      <c r="Z156" s="12"/>
      <c r="AA156" s="12"/>
      <c r="AB156" s="12"/>
      <c r="AC156" s="12"/>
      <c r="AD156" s="12"/>
      <c r="BD156" s="13">
        <v>42614</v>
      </c>
      <c r="BE156" s="13">
        <v>42794</v>
      </c>
      <c r="BF156" s="12"/>
      <c r="BG156" s="12" t="s">
        <v>350</v>
      </c>
      <c r="BH156" s="14">
        <v>23832.639999999999</v>
      </c>
      <c r="BI156" s="12" t="s">
        <v>3150</v>
      </c>
      <c r="BJ156" s="12" t="s">
        <v>3151</v>
      </c>
      <c r="BK156" s="12" t="s">
        <v>3152</v>
      </c>
      <c r="BL156" s="12"/>
      <c r="BM156" s="12"/>
      <c r="BN156" s="12"/>
      <c r="BO156" s="12" t="s">
        <v>320</v>
      </c>
      <c r="BP156" s="12" t="s">
        <v>320</v>
      </c>
      <c r="BQ156" s="12" t="s">
        <v>320</v>
      </c>
      <c r="BR156" s="12" t="s">
        <v>3153</v>
      </c>
      <c r="BS156" s="12" t="s">
        <v>357</v>
      </c>
      <c r="BT156" s="12" t="s">
        <v>3154</v>
      </c>
      <c r="BU156" s="12" t="s">
        <v>3155</v>
      </c>
      <c r="BV156" s="14">
        <v>800</v>
      </c>
      <c r="BW156" s="14">
        <v>515</v>
      </c>
      <c r="BX156" s="14">
        <v>1315</v>
      </c>
      <c r="BY156" s="14"/>
      <c r="BZ156" s="14"/>
      <c r="CA156" s="14">
        <v>5000</v>
      </c>
      <c r="CB156" s="12" t="s">
        <v>3156</v>
      </c>
      <c r="CD156" s="14">
        <v>2000</v>
      </c>
      <c r="CE156" s="14">
        <v>1000</v>
      </c>
      <c r="CF156" s="14">
        <v>3000</v>
      </c>
      <c r="CG156" s="14"/>
      <c r="CH156" s="14"/>
      <c r="CI156" s="14">
        <v>114097</v>
      </c>
      <c r="CJ156" s="12" t="s">
        <v>319</v>
      </c>
      <c r="CK156" s="14"/>
      <c r="CL156" s="16"/>
      <c r="CM156" s="14"/>
      <c r="CN156" s="12" t="s">
        <v>319</v>
      </c>
      <c r="CO156" s="14"/>
      <c r="CP156" s="16"/>
      <c r="CQ156" s="14"/>
      <c r="CR156" s="12" t="s">
        <v>320</v>
      </c>
      <c r="CS156" s="14">
        <v>2000</v>
      </c>
      <c r="CT156" s="16">
        <v>0.6</v>
      </c>
      <c r="CU156" s="14">
        <v>2000</v>
      </c>
      <c r="CV156" s="12" t="s">
        <v>319</v>
      </c>
      <c r="CW156" s="14"/>
      <c r="CX156" s="16"/>
      <c r="CY156" s="14"/>
      <c r="CZ156" s="12" t="s">
        <v>319</v>
      </c>
      <c r="DA156" s="14"/>
      <c r="DB156" s="16"/>
      <c r="DC156" s="14"/>
      <c r="DD156" s="12" t="s">
        <v>319</v>
      </c>
      <c r="DE156" s="14"/>
      <c r="DF156" s="16"/>
      <c r="DG156" s="14"/>
      <c r="DH156" s="12" t="s">
        <v>319</v>
      </c>
      <c r="DI156" s="14"/>
      <c r="DJ156" s="16"/>
      <c r="DK156" s="14"/>
      <c r="DL156" s="12" t="s">
        <v>319</v>
      </c>
      <c r="DM156" s="14"/>
      <c r="DN156" s="16"/>
      <c r="DO156" s="14"/>
      <c r="DP156" s="12" t="s">
        <v>319</v>
      </c>
      <c r="DQ156" s="14"/>
      <c r="DR156" s="16"/>
      <c r="DS156" s="14"/>
      <c r="DT156" s="12" t="s">
        <v>319</v>
      </c>
      <c r="DU156" s="14"/>
      <c r="DV156" s="16"/>
      <c r="DW156" s="14"/>
      <c r="DX156" s="12" t="s">
        <v>319</v>
      </c>
      <c r="DY156" s="14"/>
      <c r="DZ156" s="16"/>
      <c r="EA156" s="14"/>
      <c r="EB156" s="12" t="s">
        <v>319</v>
      </c>
      <c r="EC156" s="14"/>
      <c r="ED156" s="16"/>
      <c r="EE156" s="14"/>
      <c r="EF156" s="12"/>
      <c r="EG156" s="12"/>
      <c r="EH156" s="14"/>
      <c r="EI156" s="16"/>
      <c r="EJ156" s="14"/>
      <c r="EK156" s="14">
        <v>1000</v>
      </c>
      <c r="EL156" s="14">
        <v>500</v>
      </c>
      <c r="EM156" s="14">
        <v>1500</v>
      </c>
      <c r="EN156" s="14"/>
      <c r="EO156" s="14"/>
      <c r="EP156" s="14">
        <v>5000</v>
      </c>
      <c r="EQ156" s="12" t="s">
        <v>319</v>
      </c>
      <c r="ER156" s="14"/>
      <c r="ES156" s="16"/>
      <c r="ET156" s="14"/>
      <c r="EU156" s="11" t="s">
        <v>319</v>
      </c>
      <c r="EV156" s="14"/>
      <c r="EW156" s="16"/>
      <c r="EX156" s="14"/>
      <c r="EY156" s="12" t="s">
        <v>319</v>
      </c>
      <c r="EZ156" s="14"/>
      <c r="FA156" s="16"/>
      <c r="FB156" s="14"/>
      <c r="FC156" s="12" t="s">
        <v>319</v>
      </c>
      <c r="FD156" s="14"/>
      <c r="FE156" s="16"/>
      <c r="FF156" s="14"/>
      <c r="FG156" s="12" t="s">
        <v>319</v>
      </c>
      <c r="FH156" s="14"/>
      <c r="FI156" s="16"/>
      <c r="FJ156" s="14"/>
      <c r="FK156" s="12" t="s">
        <v>319</v>
      </c>
      <c r="FL156" s="14"/>
      <c r="FM156" s="16"/>
      <c r="FN156" s="14"/>
      <c r="FO156" s="12" t="s">
        <v>319</v>
      </c>
      <c r="FP156" s="14"/>
      <c r="FQ156" s="16"/>
      <c r="FR156" s="14"/>
      <c r="FS156" s="12" t="s">
        <v>319</v>
      </c>
      <c r="FT156" s="14"/>
      <c r="FU156" s="16"/>
      <c r="FV156" s="14"/>
      <c r="FW156" s="12" t="s">
        <v>319</v>
      </c>
      <c r="FX156" s="14"/>
      <c r="FY156" s="16"/>
      <c r="FZ156" s="14"/>
      <c r="GA156" s="12" t="s">
        <v>319</v>
      </c>
      <c r="GB156" s="14"/>
      <c r="GC156" s="16"/>
      <c r="GD156" s="14"/>
      <c r="GE156" s="12" t="s">
        <v>319</v>
      </c>
      <c r="GF156" s="14"/>
      <c r="GG156" s="16"/>
      <c r="GH156" s="14"/>
      <c r="GI156" s="12" t="s">
        <v>319</v>
      </c>
      <c r="GJ156" s="14"/>
      <c r="GK156" s="16"/>
      <c r="GL156" s="14"/>
      <c r="GM156" s="12" t="s">
        <v>319</v>
      </c>
      <c r="GN156" s="14"/>
      <c r="GO156" s="16"/>
      <c r="GP156" s="14"/>
      <c r="GQ156" s="12" t="s">
        <v>319</v>
      </c>
      <c r="GR156" s="14"/>
      <c r="GS156" s="16"/>
      <c r="GT156" s="14"/>
      <c r="GU156" s="12" t="s">
        <v>319</v>
      </c>
      <c r="GV156" s="14"/>
      <c r="GW156" s="16"/>
      <c r="GX156" s="14"/>
      <c r="GY156" s="11" t="s">
        <v>320</v>
      </c>
      <c r="GZ156" s="14">
        <v>1000</v>
      </c>
      <c r="HA156" s="16">
        <v>0.5</v>
      </c>
      <c r="HB156" s="14">
        <v>5000</v>
      </c>
      <c r="HC156" s="12"/>
      <c r="HD156" s="12"/>
      <c r="HE156" s="14"/>
      <c r="HF156" s="16"/>
      <c r="HG156" s="14"/>
      <c r="HH156" s="12" t="s">
        <v>319</v>
      </c>
      <c r="HI156" s="12"/>
      <c r="HJ156" s="12"/>
      <c r="HK156" s="12" t="s">
        <v>319</v>
      </c>
      <c r="HL156" s="12" t="s">
        <v>319</v>
      </c>
      <c r="HM156" s="12"/>
      <c r="HN156" s="12"/>
      <c r="HO156" s="12"/>
      <c r="HP156" s="12" t="s">
        <v>330</v>
      </c>
      <c r="HQ156" s="12" t="s">
        <v>319</v>
      </c>
      <c r="HR156" s="12" t="s">
        <v>320</v>
      </c>
      <c r="HS156" s="12" t="s">
        <v>319</v>
      </c>
      <c r="HT156" s="12" t="s">
        <v>320</v>
      </c>
      <c r="HU156" s="12" t="s">
        <v>320</v>
      </c>
      <c r="HV156" s="12" t="s">
        <v>319</v>
      </c>
      <c r="HW156" s="12" t="s">
        <v>319</v>
      </c>
      <c r="HX156" s="12" t="s">
        <v>319</v>
      </c>
      <c r="HY156" s="12"/>
      <c r="HZ156" s="12" t="s">
        <v>394</v>
      </c>
      <c r="IA156" s="12" t="s">
        <v>3157</v>
      </c>
      <c r="IB156" s="12" t="s">
        <v>396</v>
      </c>
      <c r="IC156" s="12" t="s">
        <v>3158</v>
      </c>
      <c r="ID156" s="12" t="s">
        <v>334</v>
      </c>
      <c r="IE156" s="12" t="s">
        <v>335</v>
      </c>
      <c r="IF156" s="12" t="s">
        <v>320</v>
      </c>
      <c r="IG156" s="12" t="s">
        <v>320</v>
      </c>
      <c r="IH156" s="12" t="s">
        <v>320</v>
      </c>
      <c r="II156" s="12" t="s">
        <v>320</v>
      </c>
      <c r="IJ156" s="12" t="str">
        <f t="shared" si="87"/>
        <v>2. Sensitive</v>
      </c>
      <c r="IK156" s="12">
        <f t="shared" si="88"/>
        <v>4</v>
      </c>
      <c r="IL156" s="12" t="s">
        <v>336</v>
      </c>
      <c r="IM156" s="12" t="s">
        <v>320</v>
      </c>
      <c r="IN156" s="12" t="s">
        <v>320</v>
      </c>
      <c r="IO156" s="12" t="s">
        <v>320</v>
      </c>
      <c r="IP156" s="12" t="s">
        <v>320</v>
      </c>
      <c r="IQ156" s="12" t="str">
        <f t="shared" si="89"/>
        <v>2. Accommodating</v>
      </c>
      <c r="IR156" s="12">
        <f t="shared" si="90"/>
        <v>4</v>
      </c>
      <c r="IS156" s="12" t="s">
        <v>337</v>
      </c>
      <c r="IT156" s="12" t="s">
        <v>320</v>
      </c>
      <c r="IU156" s="12" t="s">
        <v>320</v>
      </c>
      <c r="IV156" s="12" t="s">
        <v>320</v>
      </c>
      <c r="IW156" s="11" t="str">
        <f t="shared" si="91"/>
        <v>2. Sensitive</v>
      </c>
      <c r="IX156" s="12">
        <f t="shared" si="92"/>
        <v>3</v>
      </c>
      <c r="IY156" s="12" t="s">
        <v>338</v>
      </c>
      <c r="IZ156" s="12" t="s">
        <v>457</v>
      </c>
      <c r="JA156" s="12">
        <v>2</v>
      </c>
      <c r="JB156" s="11" t="s">
        <v>384</v>
      </c>
      <c r="JC156" s="11" t="s">
        <v>433</v>
      </c>
      <c r="JD156" s="12"/>
      <c r="JE156" s="12" t="s">
        <v>365</v>
      </c>
      <c r="JF156" s="12" t="s">
        <v>3159</v>
      </c>
      <c r="JG156" s="12" t="s">
        <v>3160</v>
      </c>
      <c r="JH156" s="12" t="s">
        <v>3161</v>
      </c>
      <c r="JI156" s="12" t="s">
        <v>3162</v>
      </c>
      <c r="JJ156" s="12" t="s">
        <v>3163</v>
      </c>
      <c r="JK156" s="12" t="s">
        <v>3164</v>
      </c>
      <c r="JL156" s="12" t="s">
        <v>3165</v>
      </c>
      <c r="JM156" s="12"/>
      <c r="JN156" s="12"/>
      <c r="JO156" s="12"/>
      <c r="JP156" s="15">
        <f t="shared" si="93"/>
        <v>3000</v>
      </c>
      <c r="JQ156" s="15">
        <f t="shared" si="94"/>
        <v>114097</v>
      </c>
      <c r="JR156" s="279">
        <f t="shared" si="95"/>
        <v>38.032333333333334</v>
      </c>
      <c r="JS156" s="17">
        <f t="shared" si="96"/>
        <v>0.66666666666666663</v>
      </c>
      <c r="JT156" s="18">
        <f t="shared" si="97"/>
        <v>0</v>
      </c>
      <c r="JU156" s="280">
        <f t="shared" si="98"/>
        <v>2000</v>
      </c>
      <c r="JV156" s="280">
        <f t="shared" si="99"/>
        <v>0</v>
      </c>
      <c r="JW156" s="319">
        <f t="shared" si="100"/>
        <v>1</v>
      </c>
      <c r="JX156" s="15">
        <f t="shared" si="101"/>
        <v>3000</v>
      </c>
      <c r="JY156" s="15">
        <f t="shared" si="102"/>
        <v>114097</v>
      </c>
      <c r="JZ156" s="19">
        <f t="shared" si="103"/>
        <v>38.032333333333334</v>
      </c>
      <c r="KA156" s="52" t="str">
        <f t="shared" si="104"/>
        <v/>
      </c>
      <c r="KB156" s="15">
        <f t="shared" si="105"/>
        <v>0</v>
      </c>
      <c r="KC156" s="15">
        <f t="shared" si="106"/>
        <v>0</v>
      </c>
      <c r="KD156" s="20" t="str">
        <f t="shared" si="107"/>
        <v/>
      </c>
      <c r="KE156" s="52" t="str">
        <f t="shared" si="108"/>
        <v/>
      </c>
      <c r="KF156" s="15">
        <f t="shared" si="109"/>
        <v>0</v>
      </c>
      <c r="KG156" s="15">
        <f t="shared" si="110"/>
        <v>0</v>
      </c>
      <c r="KH156" s="21" t="str">
        <f t="shared" si="111"/>
        <v/>
      </c>
      <c r="KI156" s="52" t="str">
        <f t="shared" si="112"/>
        <v/>
      </c>
      <c r="KJ156" s="15">
        <f t="shared" si="113"/>
        <v>0</v>
      </c>
      <c r="KK156" s="15">
        <f t="shared" si="114"/>
        <v>0</v>
      </c>
      <c r="KL156" s="19" t="str">
        <f t="shared" si="115"/>
        <v/>
      </c>
      <c r="KM156" s="52">
        <f t="shared" si="116"/>
        <v>1</v>
      </c>
      <c r="KN156" s="22">
        <f t="shared" si="117"/>
        <v>1000</v>
      </c>
      <c r="KO156" s="22">
        <f t="shared" si="118"/>
        <v>5000</v>
      </c>
      <c r="KP156" s="19">
        <f t="shared" si="119"/>
        <v>5</v>
      </c>
      <c r="KQ156" s="11" t="str">
        <f t="shared" si="120"/>
        <v>2. Sensitive</v>
      </c>
      <c r="KR156" s="11" t="str">
        <f t="shared" si="121"/>
        <v>2. Accommodating</v>
      </c>
      <c r="KS156" s="11" t="str">
        <f t="shared" si="122"/>
        <v>2. Sensitive</v>
      </c>
      <c r="KT156" s="11" t="str">
        <f t="shared" si="123"/>
        <v>It tested new ways for fighting poverty, but did not measure results of innovation</v>
      </c>
      <c r="KU156" s="11" t="str">
        <f t="shared" si="124"/>
        <v>Moderate advocacy</v>
      </c>
      <c r="KV156" s="11" t="str">
        <f t="shared" si="125"/>
        <v>It linked and worked with strategic alliances and partners to take tested and effective solutions to scale</v>
      </c>
      <c r="KW156" s="11" t="str">
        <f t="shared" si="126"/>
        <v>Cuba - Mujeres Exitosas por el empoderamiento de mujeres y su aporte al desarrollo económico local sostenible en el contexto cubano actual</v>
      </c>
      <c r="KX156" s="11" t="str">
        <f t="shared" si="127"/>
        <v>Mujeres Exitosas por el empoderamiento de mujeres y su aporte al desarrollo económico local sostenible en el contexto cubano actual</v>
      </c>
      <c r="KY156" s="11" t="str">
        <f t="shared" si="128"/>
        <v>Cuba</v>
      </c>
      <c r="KZ156" s="287">
        <v>156</v>
      </c>
    </row>
    <row r="157" spans="1:312" x14ac:dyDescent="0.3">
      <c r="A157" s="12" t="s">
        <v>3148</v>
      </c>
      <c r="B157" s="12" t="s">
        <v>2807</v>
      </c>
      <c r="C157" s="12"/>
      <c r="D157" s="12" t="s">
        <v>3166</v>
      </c>
      <c r="E157" s="24" t="str">
        <f t="shared" si="86"/>
        <v>Cuba</v>
      </c>
      <c r="F157" s="12" t="s">
        <v>3167</v>
      </c>
      <c r="G157" s="12" t="s">
        <v>376</v>
      </c>
      <c r="H157" s="12" t="s">
        <v>310</v>
      </c>
      <c r="I157" s="12" t="s">
        <v>377</v>
      </c>
      <c r="J157" s="278" t="s">
        <v>14564</v>
      </c>
      <c r="K157" s="12"/>
      <c r="L157" s="12"/>
      <c r="M157" s="12"/>
      <c r="N157" s="12"/>
      <c r="O157" s="12"/>
      <c r="P157" s="12"/>
      <c r="Q157" s="12"/>
      <c r="R157" s="12"/>
      <c r="S157" s="12"/>
      <c r="T157" s="12"/>
      <c r="U157" s="12"/>
      <c r="V157" s="12"/>
      <c r="W157" s="12"/>
      <c r="X157" s="12"/>
      <c r="Y157" s="12"/>
      <c r="Z157" s="12"/>
      <c r="AA157" s="12"/>
      <c r="AB157" s="12"/>
      <c r="AC157" s="12"/>
      <c r="AD157" s="12"/>
      <c r="BD157" s="13">
        <v>42311</v>
      </c>
      <c r="BE157" s="13">
        <v>44135</v>
      </c>
      <c r="BF157" s="12"/>
      <c r="BG157" s="12" t="s">
        <v>749</v>
      </c>
      <c r="BH157" s="14">
        <v>3784847</v>
      </c>
      <c r="BI157" s="12" t="s">
        <v>3168</v>
      </c>
      <c r="BJ157" s="12" t="s">
        <v>354</v>
      </c>
      <c r="BK157" s="12" t="s">
        <v>3169</v>
      </c>
      <c r="BL157" s="12" t="s">
        <v>3170</v>
      </c>
      <c r="BM157" s="12" t="s">
        <v>470</v>
      </c>
      <c r="BN157" s="12" t="s">
        <v>3171</v>
      </c>
      <c r="BO157" s="11" t="s">
        <v>319</v>
      </c>
      <c r="BP157" s="11" t="s">
        <v>320</v>
      </c>
      <c r="BQ157" s="11" t="s">
        <v>319</v>
      </c>
      <c r="BR157" s="12" t="s">
        <v>3172</v>
      </c>
      <c r="BS157" s="12" t="s">
        <v>357</v>
      </c>
      <c r="BT157" s="12" t="s">
        <v>3173</v>
      </c>
      <c r="BU157" s="12" t="s">
        <v>3174</v>
      </c>
      <c r="BV157" s="14">
        <v>2717</v>
      </c>
      <c r="BW157" s="14">
        <v>2483</v>
      </c>
      <c r="BX157" s="14">
        <v>5200</v>
      </c>
      <c r="BY157" s="14">
        <v>163158</v>
      </c>
      <c r="BZ157" s="14">
        <v>160298</v>
      </c>
      <c r="CA157" s="14">
        <v>323456</v>
      </c>
      <c r="CB157" s="12" t="s">
        <v>3175</v>
      </c>
      <c r="CD157" s="14"/>
      <c r="CE157" s="14"/>
      <c r="CF157" s="14"/>
      <c r="CG157" s="14"/>
      <c r="CH157" s="14"/>
      <c r="CI157" s="14"/>
      <c r="CJ157" s="12" t="s">
        <v>319</v>
      </c>
      <c r="CK157" s="14"/>
      <c r="CL157" s="16"/>
      <c r="CM157" s="14"/>
      <c r="CN157" s="12" t="s">
        <v>319</v>
      </c>
      <c r="CO157" s="14"/>
      <c r="CP157" s="16"/>
      <c r="CQ157" s="14"/>
      <c r="CR157" s="12" t="s">
        <v>319</v>
      </c>
      <c r="CS157" s="14"/>
      <c r="CT157" s="16"/>
      <c r="CU157" s="14"/>
      <c r="CV157" s="12" t="s">
        <v>319</v>
      </c>
      <c r="CW157" s="14"/>
      <c r="CX157" s="16"/>
      <c r="CY157" s="14"/>
      <c r="CZ157" s="12" t="s">
        <v>319</v>
      </c>
      <c r="DA157" s="14"/>
      <c r="DB157" s="16"/>
      <c r="DC157" s="14"/>
      <c r="DD157" s="12" t="s">
        <v>319</v>
      </c>
      <c r="DE157" s="14"/>
      <c r="DF157" s="16"/>
      <c r="DG157" s="14"/>
      <c r="DH157" s="12" t="s">
        <v>319</v>
      </c>
      <c r="DI157" s="14"/>
      <c r="DJ157" s="16"/>
      <c r="DK157" s="14"/>
      <c r="DL157" s="12" t="s">
        <v>319</v>
      </c>
      <c r="DM157" s="14"/>
      <c r="DN157" s="16"/>
      <c r="DO157" s="14"/>
      <c r="DP157" s="12" t="s">
        <v>319</v>
      </c>
      <c r="DQ157" s="14"/>
      <c r="DR157" s="16"/>
      <c r="DS157" s="14"/>
      <c r="DT157" s="12" t="s">
        <v>319</v>
      </c>
      <c r="DU157" s="14"/>
      <c r="DV157" s="16"/>
      <c r="DW157" s="14"/>
      <c r="DX157" s="12" t="s">
        <v>319</v>
      </c>
      <c r="DY157" s="14"/>
      <c r="DZ157" s="16"/>
      <c r="EA157" s="14"/>
      <c r="EB157" s="12" t="s">
        <v>319</v>
      </c>
      <c r="EC157" s="14"/>
      <c r="ED157" s="16"/>
      <c r="EE157" s="14"/>
      <c r="EF157" s="12"/>
      <c r="EG157" s="12"/>
      <c r="EH157" s="14"/>
      <c r="EI157" s="16"/>
      <c r="EJ157" s="14"/>
      <c r="EK157" s="14">
        <v>2717</v>
      </c>
      <c r="EL157" s="14">
        <v>2843</v>
      </c>
      <c r="EM157" s="14">
        <v>5560</v>
      </c>
      <c r="EN157" s="14">
        <v>163158</v>
      </c>
      <c r="EO157" s="14">
        <v>160298</v>
      </c>
      <c r="EP157" s="14">
        <v>323456</v>
      </c>
      <c r="EQ157" s="12" t="s">
        <v>320</v>
      </c>
      <c r="ER157" s="14">
        <v>1299</v>
      </c>
      <c r="ES157" s="16">
        <v>0.52</v>
      </c>
      <c r="ET157" s="14"/>
      <c r="EU157" s="11" t="s">
        <v>319</v>
      </c>
      <c r="EV157" s="14"/>
      <c r="EW157" s="16"/>
      <c r="EX157" s="14"/>
      <c r="EY157" s="12" t="s">
        <v>319</v>
      </c>
      <c r="EZ157" s="14"/>
      <c r="FA157" s="16"/>
      <c r="FB157" s="14"/>
      <c r="FC157" s="12" t="s">
        <v>319</v>
      </c>
      <c r="FD157" s="14"/>
      <c r="FE157" s="16"/>
      <c r="FF157" s="14"/>
      <c r="FG157" s="12" t="s">
        <v>319</v>
      </c>
      <c r="FH157" s="14"/>
      <c r="FI157" s="16"/>
      <c r="FJ157" s="14"/>
      <c r="FK157" s="12" t="s">
        <v>319</v>
      </c>
      <c r="FL157" s="14"/>
      <c r="FM157" s="16"/>
      <c r="FN157" s="14"/>
      <c r="FO157" s="12" t="s">
        <v>320</v>
      </c>
      <c r="FP157" s="14">
        <v>1299</v>
      </c>
      <c r="FQ157" s="16">
        <v>0.52</v>
      </c>
      <c r="FR157" s="14"/>
      <c r="FS157" s="12" t="s">
        <v>319</v>
      </c>
      <c r="FT157" s="14"/>
      <c r="FU157" s="16"/>
      <c r="FV157" s="14"/>
      <c r="FW157" s="12" t="s">
        <v>319</v>
      </c>
      <c r="FX157" s="14"/>
      <c r="FY157" s="16"/>
      <c r="FZ157" s="14"/>
      <c r="GA157" s="12" t="s">
        <v>319</v>
      </c>
      <c r="GB157" s="14"/>
      <c r="GC157" s="16"/>
      <c r="GD157" s="14"/>
      <c r="GE157" s="12" t="s">
        <v>319</v>
      </c>
      <c r="GF157" s="14"/>
      <c r="GG157" s="16"/>
      <c r="GH157" s="14"/>
      <c r="GI157" s="12" t="s">
        <v>319</v>
      </c>
      <c r="GJ157" s="14"/>
      <c r="GK157" s="16"/>
      <c r="GL157" s="14"/>
      <c r="GM157" s="12" t="s">
        <v>319</v>
      </c>
      <c r="GN157" s="14"/>
      <c r="GO157" s="16"/>
      <c r="GP157" s="14"/>
      <c r="GQ157" s="12" t="s">
        <v>319</v>
      </c>
      <c r="GR157" s="14"/>
      <c r="GS157" s="16"/>
      <c r="GT157" s="14"/>
      <c r="GU157" s="12" t="s">
        <v>319</v>
      </c>
      <c r="GV157" s="14"/>
      <c r="GW157" s="16"/>
      <c r="GX157" s="14"/>
      <c r="GY157" s="11" t="s">
        <v>320</v>
      </c>
      <c r="GZ157" s="14">
        <v>1299</v>
      </c>
      <c r="HA157" s="16">
        <v>0.52</v>
      </c>
      <c r="HB157" s="14"/>
      <c r="HC157" s="12"/>
      <c r="HD157" s="12"/>
      <c r="HE157" s="14"/>
      <c r="HF157" s="16"/>
      <c r="HG157" s="14"/>
      <c r="HH157" s="12" t="s">
        <v>320</v>
      </c>
      <c r="HI157" s="12"/>
      <c r="HJ157" s="12"/>
      <c r="HK157" s="12" t="s">
        <v>319</v>
      </c>
      <c r="HL157" s="12" t="s">
        <v>319</v>
      </c>
      <c r="HM157" s="12"/>
      <c r="HN157" s="12"/>
      <c r="HO157" s="12"/>
      <c r="HP157" s="12" t="s">
        <v>330</v>
      </c>
      <c r="HQ157" s="12" t="s">
        <v>319</v>
      </c>
      <c r="HR157" s="12" t="s">
        <v>319</v>
      </c>
      <c r="HS157" s="12" t="s">
        <v>319</v>
      </c>
      <c r="HT157" s="12" t="s">
        <v>319</v>
      </c>
      <c r="HU157" s="12" t="s">
        <v>319</v>
      </c>
      <c r="HV157" s="12" t="s">
        <v>319</v>
      </c>
      <c r="HW157" s="12" t="s">
        <v>319</v>
      </c>
      <c r="HX157" s="12" t="s">
        <v>319</v>
      </c>
      <c r="HY157" s="12"/>
      <c r="HZ157" s="11" t="s">
        <v>363</v>
      </c>
      <c r="IA157" s="12"/>
      <c r="IB157" s="12" t="s">
        <v>333</v>
      </c>
      <c r="IC157" s="12"/>
      <c r="ID157" s="12" t="s">
        <v>334</v>
      </c>
      <c r="IE157" s="12" t="s">
        <v>478</v>
      </c>
      <c r="IF157" s="12" t="s">
        <v>320</v>
      </c>
      <c r="IG157" s="12" t="s">
        <v>320</v>
      </c>
      <c r="IH157" s="12" t="s">
        <v>320</v>
      </c>
      <c r="II157" s="12" t="s">
        <v>320</v>
      </c>
      <c r="IJ157" s="12" t="str">
        <f t="shared" si="87"/>
        <v>4. Transformative</v>
      </c>
      <c r="IK157" s="12">
        <f t="shared" si="88"/>
        <v>4</v>
      </c>
      <c r="IL157" s="12" t="s">
        <v>336</v>
      </c>
      <c r="IM157" s="12" t="s">
        <v>320</v>
      </c>
      <c r="IN157" s="12" t="s">
        <v>320</v>
      </c>
      <c r="IO157" s="12" t="s">
        <v>320</v>
      </c>
      <c r="IP157" s="12" t="s">
        <v>320</v>
      </c>
      <c r="IQ157" s="12" t="str">
        <f t="shared" si="89"/>
        <v>2. Accommodating</v>
      </c>
      <c r="IR157" s="12">
        <f t="shared" si="90"/>
        <v>4</v>
      </c>
      <c r="IS157" s="12" t="s">
        <v>622</v>
      </c>
      <c r="IT157" s="12" t="s">
        <v>320</v>
      </c>
      <c r="IU157" s="12" t="s">
        <v>320</v>
      </c>
      <c r="IV157" s="12" t="s">
        <v>320</v>
      </c>
      <c r="IW157" s="11" t="str">
        <f t="shared" si="91"/>
        <v>4. Transformative</v>
      </c>
      <c r="IX157" s="12">
        <f t="shared" si="92"/>
        <v>3</v>
      </c>
      <c r="IY157" s="12" t="s">
        <v>758</v>
      </c>
      <c r="IZ157" s="12" t="s">
        <v>457</v>
      </c>
      <c r="JA157" s="12">
        <v>15</v>
      </c>
      <c r="JB157" s="12" t="s">
        <v>831</v>
      </c>
      <c r="JC157" s="12" t="s">
        <v>623</v>
      </c>
      <c r="JD157" s="11" t="s">
        <v>585</v>
      </c>
      <c r="JE157" s="12" t="s">
        <v>420</v>
      </c>
      <c r="JF157" s="12"/>
      <c r="JG157" s="12" t="s">
        <v>3176</v>
      </c>
      <c r="JH157" s="12" t="s">
        <v>3177</v>
      </c>
      <c r="JI157" s="12" t="s">
        <v>3178</v>
      </c>
      <c r="JJ157" s="12"/>
      <c r="JK157" s="12" t="s">
        <v>3179</v>
      </c>
      <c r="JL157" s="12" t="s">
        <v>3180</v>
      </c>
      <c r="JM157" s="12" t="s">
        <v>3181</v>
      </c>
      <c r="JN157" s="12"/>
      <c r="JO157" s="12"/>
      <c r="JP157" s="15">
        <f t="shared" si="93"/>
        <v>5560</v>
      </c>
      <c r="JQ157" s="15">
        <f t="shared" si="94"/>
        <v>323456</v>
      </c>
      <c r="JR157" s="279">
        <f t="shared" si="95"/>
        <v>58.175539568345322</v>
      </c>
      <c r="JS157" s="17">
        <f t="shared" si="96"/>
        <v>0.48866906474820143</v>
      </c>
      <c r="JT157" s="18">
        <f t="shared" si="97"/>
        <v>0.50442100316580929</v>
      </c>
      <c r="JU157" s="280">
        <f t="shared" si="98"/>
        <v>2717</v>
      </c>
      <c r="JV157" s="280">
        <f t="shared" si="99"/>
        <v>163158</v>
      </c>
      <c r="JW157" s="319" t="str">
        <f t="shared" si="100"/>
        <v/>
      </c>
      <c r="JX157" s="15">
        <f t="shared" si="101"/>
        <v>0</v>
      </c>
      <c r="JY157" s="15">
        <f t="shared" si="102"/>
        <v>0</v>
      </c>
      <c r="JZ157" s="19" t="str">
        <f t="shared" si="103"/>
        <v/>
      </c>
      <c r="KA157" s="52">
        <f t="shared" si="104"/>
        <v>1</v>
      </c>
      <c r="KB157" s="15">
        <f t="shared" si="105"/>
        <v>1299</v>
      </c>
      <c r="KC157" s="15">
        <f t="shared" si="106"/>
        <v>0</v>
      </c>
      <c r="KD157" s="20">
        <f t="shared" si="107"/>
        <v>0</v>
      </c>
      <c r="KE157" s="52" t="str">
        <f t="shared" si="108"/>
        <v/>
      </c>
      <c r="KF157" s="15">
        <f t="shared" si="109"/>
        <v>0</v>
      </c>
      <c r="KG157" s="15">
        <f t="shared" si="110"/>
        <v>0</v>
      </c>
      <c r="KH157" s="21" t="str">
        <f t="shared" si="111"/>
        <v/>
      </c>
      <c r="KI157" s="52" t="str">
        <f t="shared" si="112"/>
        <v/>
      </c>
      <c r="KJ157" s="15">
        <f t="shared" si="113"/>
        <v>0</v>
      </c>
      <c r="KK157" s="15">
        <f t="shared" si="114"/>
        <v>0</v>
      </c>
      <c r="KL157" s="19" t="str">
        <f t="shared" si="115"/>
        <v/>
      </c>
      <c r="KM157" s="52">
        <f t="shared" si="116"/>
        <v>1</v>
      </c>
      <c r="KN157" s="22">
        <f t="shared" si="117"/>
        <v>1299</v>
      </c>
      <c r="KO157" s="22">
        <f t="shared" si="118"/>
        <v>0</v>
      </c>
      <c r="KP157" s="19">
        <f t="shared" si="119"/>
        <v>0</v>
      </c>
      <c r="KQ157" s="11" t="str">
        <f t="shared" si="120"/>
        <v>4. Transformative</v>
      </c>
      <c r="KR157" s="11" t="str">
        <f t="shared" si="121"/>
        <v>2. Accommodating</v>
      </c>
      <c r="KS157" s="11" t="str">
        <f t="shared" si="122"/>
        <v>4. Transformative</v>
      </c>
      <c r="KT157" s="11" t="str">
        <f t="shared" si="123"/>
        <v>It did not develop any specific innovation</v>
      </c>
      <c r="KU157" s="11" t="str">
        <f t="shared" si="124"/>
        <v>Moderate advocacy</v>
      </c>
      <c r="KV157" s="11" t="str">
        <f t="shared" si="125"/>
        <v>It did not take tested solutions to scale</v>
      </c>
      <c r="KW157" s="11" t="str">
        <f t="shared" si="126"/>
        <v>Cuba - PROSAM - Acelerar la producción sostenible de alimentos en municipios cubanos</v>
      </c>
      <c r="KX157" s="11" t="str">
        <f t="shared" si="127"/>
        <v>PROSAM - Acelerar la producción sostenible de alimentos en municipios cubanos</v>
      </c>
      <c r="KY157" s="11" t="str">
        <f t="shared" si="128"/>
        <v>Cuba</v>
      </c>
      <c r="KZ157" s="12">
        <v>157</v>
      </c>
    </row>
    <row r="158" spans="1:312" x14ac:dyDescent="0.3">
      <c r="A158" s="12" t="s">
        <v>3148</v>
      </c>
      <c r="B158" s="12" t="s">
        <v>2807</v>
      </c>
      <c r="C158" s="12"/>
      <c r="D158" s="12" t="s">
        <v>3223</v>
      </c>
      <c r="E158" s="24" t="str">
        <f t="shared" si="86"/>
        <v>Cuba</v>
      </c>
      <c r="F158" s="12"/>
      <c r="G158" s="12" t="s">
        <v>608</v>
      </c>
      <c r="H158" s="12" t="s">
        <v>380</v>
      </c>
      <c r="I158" s="12" t="s">
        <v>907</v>
      </c>
      <c r="J158" s="281" t="s">
        <v>5183</v>
      </c>
      <c r="K158" s="12"/>
      <c r="L158" s="12"/>
      <c r="M158" s="12"/>
      <c r="N158" s="12"/>
      <c r="O158" s="12"/>
      <c r="P158" s="12"/>
      <c r="Q158" s="12"/>
      <c r="R158" s="12"/>
      <c r="S158" s="12"/>
      <c r="T158" s="12"/>
      <c r="U158" s="12"/>
      <c r="V158" s="12"/>
      <c r="W158" s="12"/>
      <c r="X158" s="12"/>
      <c r="Y158" s="12"/>
      <c r="Z158" s="12"/>
      <c r="AA158" s="12"/>
      <c r="AB158" s="12"/>
      <c r="AC158" s="12"/>
      <c r="AD158" s="12"/>
      <c r="BD158" s="13">
        <v>42491</v>
      </c>
      <c r="BE158" s="13">
        <v>43039</v>
      </c>
      <c r="BF158" s="13">
        <v>43100</v>
      </c>
      <c r="BG158" s="12" t="s">
        <v>817</v>
      </c>
      <c r="BH158" s="14">
        <v>14000</v>
      </c>
      <c r="BI158" s="12" t="s">
        <v>3150</v>
      </c>
      <c r="BJ158" s="12" t="s">
        <v>3151</v>
      </c>
      <c r="BK158" s="12" t="s">
        <v>3152</v>
      </c>
      <c r="BL158" s="12"/>
      <c r="BM158" s="12"/>
      <c r="BN158" s="12"/>
      <c r="BO158" s="12" t="s">
        <v>320</v>
      </c>
      <c r="BP158" s="11" t="s">
        <v>320</v>
      </c>
      <c r="BQ158" s="12" t="s">
        <v>320</v>
      </c>
      <c r="BR158" s="12" t="s">
        <v>3224</v>
      </c>
      <c r="BS158" s="12" t="s">
        <v>357</v>
      </c>
      <c r="BT158" s="12" t="s">
        <v>3225</v>
      </c>
      <c r="BU158" s="12" t="s">
        <v>3226</v>
      </c>
      <c r="BV158" s="14">
        <v>2000</v>
      </c>
      <c r="BW158" s="14">
        <v>1000</v>
      </c>
      <c r="BX158" s="14">
        <v>3000</v>
      </c>
      <c r="BY158" s="14"/>
      <c r="BZ158" s="14"/>
      <c r="CA158" s="14">
        <v>114097</v>
      </c>
      <c r="CB158" s="12" t="s">
        <v>3227</v>
      </c>
      <c r="CD158" s="14">
        <v>2000</v>
      </c>
      <c r="CE158" s="14">
        <v>1000</v>
      </c>
      <c r="CF158" s="14">
        <v>3000</v>
      </c>
      <c r="CG158" s="14"/>
      <c r="CH158" s="14"/>
      <c r="CI158" s="14">
        <v>114097</v>
      </c>
      <c r="CJ158" s="12" t="s">
        <v>319</v>
      </c>
      <c r="CK158" s="14"/>
      <c r="CL158" s="16"/>
      <c r="CM158" s="14"/>
      <c r="CN158" s="12" t="s">
        <v>319</v>
      </c>
      <c r="CO158" s="14"/>
      <c r="CP158" s="16"/>
      <c r="CQ158" s="14"/>
      <c r="CR158" s="12" t="s">
        <v>320</v>
      </c>
      <c r="CS158" s="14">
        <v>2000</v>
      </c>
      <c r="CT158" s="16">
        <v>0.6</v>
      </c>
      <c r="CU158" s="14">
        <v>2000</v>
      </c>
      <c r="CV158" s="12" t="s">
        <v>319</v>
      </c>
      <c r="CW158" s="14"/>
      <c r="CX158" s="16"/>
      <c r="CY158" s="14"/>
      <c r="CZ158" s="12" t="s">
        <v>319</v>
      </c>
      <c r="DA158" s="14"/>
      <c r="DB158" s="16"/>
      <c r="DC158" s="14"/>
      <c r="DD158" s="12" t="s">
        <v>319</v>
      </c>
      <c r="DE158" s="14"/>
      <c r="DF158" s="16"/>
      <c r="DG158" s="14"/>
      <c r="DH158" s="12" t="s">
        <v>319</v>
      </c>
      <c r="DI158" s="14"/>
      <c r="DJ158" s="16"/>
      <c r="DK158" s="14"/>
      <c r="DL158" s="12" t="s">
        <v>319</v>
      </c>
      <c r="DM158" s="14"/>
      <c r="DN158" s="16"/>
      <c r="DO158" s="14"/>
      <c r="DP158" s="12" t="s">
        <v>319</v>
      </c>
      <c r="DQ158" s="14"/>
      <c r="DR158" s="16"/>
      <c r="DS158" s="14"/>
      <c r="DT158" s="12" t="s">
        <v>319</v>
      </c>
      <c r="DU158" s="14"/>
      <c r="DV158" s="16"/>
      <c r="DW158" s="14"/>
      <c r="DX158" s="12" t="s">
        <v>319</v>
      </c>
      <c r="DY158" s="14"/>
      <c r="DZ158" s="16"/>
      <c r="EA158" s="14"/>
      <c r="EB158" s="12" t="s">
        <v>319</v>
      </c>
      <c r="EC158" s="14"/>
      <c r="ED158" s="16"/>
      <c r="EE158" s="14"/>
      <c r="EF158" s="12"/>
      <c r="EG158" s="12"/>
      <c r="EH158" s="14"/>
      <c r="EI158" s="16"/>
      <c r="EJ158" s="14"/>
      <c r="EK158" s="38"/>
      <c r="EL158" s="38"/>
      <c r="EM158" s="38">
        <v>2807</v>
      </c>
      <c r="EN158" s="14"/>
      <c r="EO158" s="14"/>
      <c r="EP158" s="38"/>
      <c r="EQ158" s="12" t="s">
        <v>319</v>
      </c>
      <c r="ER158" s="14"/>
      <c r="ES158" s="16"/>
      <c r="ET158" s="14"/>
      <c r="EU158" s="11" t="s">
        <v>319</v>
      </c>
      <c r="EV158" s="14"/>
      <c r="EW158" s="16"/>
      <c r="EX158" s="14"/>
      <c r="EY158" s="12"/>
      <c r="EZ158" s="14"/>
      <c r="FA158" s="16"/>
      <c r="FB158" s="14"/>
      <c r="FC158" s="12" t="s">
        <v>320</v>
      </c>
      <c r="FD158" s="14">
        <v>2807</v>
      </c>
      <c r="FE158" s="16">
        <v>0.46</v>
      </c>
      <c r="FF158" s="38">
        <v>114097</v>
      </c>
      <c r="FG158" s="12"/>
      <c r="FH158" s="14"/>
      <c r="FI158" s="16"/>
      <c r="FJ158" s="14"/>
      <c r="FK158" s="12" t="s">
        <v>320</v>
      </c>
      <c r="FL158" s="14">
        <v>2807</v>
      </c>
      <c r="FM158" s="16">
        <v>0.46</v>
      </c>
      <c r="FN158" s="14">
        <v>10000</v>
      </c>
      <c r="FO158" s="12" t="s">
        <v>319</v>
      </c>
      <c r="FP158" s="14"/>
      <c r="FQ158" s="16"/>
      <c r="FR158" s="14"/>
      <c r="FS158" s="12" t="s">
        <v>319</v>
      </c>
      <c r="FT158" s="14"/>
      <c r="FU158" s="16"/>
      <c r="FV158" s="14"/>
      <c r="FW158" s="12" t="s">
        <v>319</v>
      </c>
      <c r="FX158" s="14"/>
      <c r="FY158" s="16"/>
      <c r="FZ158" s="14"/>
      <c r="GA158" s="12" t="s">
        <v>319</v>
      </c>
      <c r="GB158" s="14"/>
      <c r="GC158" s="16"/>
      <c r="GD158" s="14"/>
      <c r="GE158" s="12" t="s">
        <v>320</v>
      </c>
      <c r="GF158" s="14">
        <v>2807</v>
      </c>
      <c r="GG158" s="16">
        <v>0.46</v>
      </c>
      <c r="GH158" s="14"/>
      <c r="GI158" s="12" t="s">
        <v>319</v>
      </c>
      <c r="GJ158" s="14"/>
      <c r="GK158" s="16"/>
      <c r="GL158" s="14"/>
      <c r="GM158" s="12" t="s">
        <v>319</v>
      </c>
      <c r="GN158" s="14"/>
      <c r="GO158" s="16"/>
      <c r="GP158" s="14"/>
      <c r="GQ158" s="12" t="s">
        <v>319</v>
      </c>
      <c r="GR158" s="14"/>
      <c r="GS158" s="16"/>
      <c r="GT158" s="14"/>
      <c r="GU158" s="12" t="s">
        <v>319</v>
      </c>
      <c r="GV158" s="14"/>
      <c r="GW158" s="16"/>
      <c r="GX158" s="14"/>
      <c r="GY158" s="12" t="s">
        <v>319</v>
      </c>
      <c r="GZ158" s="14"/>
      <c r="HA158" s="16"/>
      <c r="HB158" s="14"/>
      <c r="HC158" s="12"/>
      <c r="HD158" s="12"/>
      <c r="HE158" s="14"/>
      <c r="HF158" s="16"/>
      <c r="HG158" s="14"/>
      <c r="HH158" s="12" t="s">
        <v>319</v>
      </c>
      <c r="HI158" s="12"/>
      <c r="HJ158" s="12"/>
      <c r="HK158" s="12" t="s">
        <v>319</v>
      </c>
      <c r="HL158" s="12" t="s">
        <v>319</v>
      </c>
      <c r="HM158" s="12"/>
      <c r="HN158" s="12"/>
      <c r="HO158" s="12"/>
      <c r="HP158" s="12" t="s">
        <v>330</v>
      </c>
      <c r="HQ158" s="12" t="s">
        <v>319</v>
      </c>
      <c r="HR158" s="12" t="s">
        <v>319</v>
      </c>
      <c r="HS158" s="12" t="s">
        <v>320</v>
      </c>
      <c r="HT158" s="12" t="s">
        <v>320</v>
      </c>
      <c r="HU158" s="12" t="s">
        <v>320</v>
      </c>
      <c r="HV158" s="12" t="s">
        <v>319</v>
      </c>
      <c r="HW158" s="12" t="s">
        <v>319</v>
      </c>
      <c r="HX158" s="12" t="s">
        <v>319</v>
      </c>
      <c r="HY158" s="12"/>
      <c r="HZ158" s="12" t="s">
        <v>394</v>
      </c>
      <c r="IA158" s="12" t="s">
        <v>3228</v>
      </c>
      <c r="IB158" s="12" t="s">
        <v>396</v>
      </c>
      <c r="IC158" s="12" t="s">
        <v>3229</v>
      </c>
      <c r="ID158" s="11" t="s">
        <v>364</v>
      </c>
      <c r="IE158" s="12" t="s">
        <v>335</v>
      </c>
      <c r="IF158" s="12" t="s">
        <v>320</v>
      </c>
      <c r="IG158" s="12"/>
      <c r="IH158" s="12" t="s">
        <v>320</v>
      </c>
      <c r="II158" s="12" t="s">
        <v>320</v>
      </c>
      <c r="IJ158" s="12" t="str">
        <f t="shared" si="87"/>
        <v>1. Neutral</v>
      </c>
      <c r="IK158" s="12">
        <f t="shared" si="88"/>
        <v>3</v>
      </c>
      <c r="IL158" s="12" t="s">
        <v>336</v>
      </c>
      <c r="IM158" s="12" t="s">
        <v>320</v>
      </c>
      <c r="IN158" s="12" t="s">
        <v>320</v>
      </c>
      <c r="IO158" s="12" t="s">
        <v>320</v>
      </c>
      <c r="IP158" s="12" t="s">
        <v>320</v>
      </c>
      <c r="IQ158" s="12" t="str">
        <f t="shared" si="89"/>
        <v>2. Accommodating</v>
      </c>
      <c r="IR158" s="12">
        <f t="shared" si="90"/>
        <v>4</v>
      </c>
      <c r="IS158" s="12" t="s">
        <v>337</v>
      </c>
      <c r="IT158" s="12" t="s">
        <v>320</v>
      </c>
      <c r="IU158" s="12" t="s">
        <v>320</v>
      </c>
      <c r="IV158" s="12" t="s">
        <v>320</v>
      </c>
      <c r="IW158" s="11" t="str">
        <f t="shared" si="91"/>
        <v>2. Sensitive</v>
      </c>
      <c r="IX158" s="12">
        <f t="shared" si="92"/>
        <v>3</v>
      </c>
      <c r="IY158" s="11" t="s">
        <v>419</v>
      </c>
      <c r="IZ158" s="12" t="s">
        <v>457</v>
      </c>
      <c r="JA158" s="12">
        <v>11</v>
      </c>
      <c r="JB158" s="12" t="s">
        <v>831</v>
      </c>
      <c r="JC158" s="12" t="s">
        <v>832</v>
      </c>
      <c r="JD158" s="12" t="s">
        <v>433</v>
      </c>
      <c r="JE158" s="12" t="s">
        <v>365</v>
      </c>
      <c r="JF158" s="12" t="s">
        <v>3230</v>
      </c>
      <c r="JG158" s="12"/>
      <c r="JH158" s="12"/>
      <c r="JI158" s="12"/>
      <c r="JJ158" s="12"/>
      <c r="JK158" s="12"/>
      <c r="JL158" s="12"/>
      <c r="JM158" s="12"/>
      <c r="JN158" s="12"/>
      <c r="JO158" s="12"/>
      <c r="JP158" s="15">
        <f t="shared" si="93"/>
        <v>3000</v>
      </c>
      <c r="JQ158" s="15">
        <f t="shared" si="94"/>
        <v>114097</v>
      </c>
      <c r="JR158" s="279">
        <f t="shared" si="95"/>
        <v>38.032333333333334</v>
      </c>
      <c r="JS158" s="17">
        <f t="shared" si="96"/>
        <v>0.66666666666666663</v>
      </c>
      <c r="JT158" s="18">
        <f t="shared" si="97"/>
        <v>0</v>
      </c>
      <c r="JU158" s="280">
        <f t="shared" si="98"/>
        <v>2000</v>
      </c>
      <c r="JV158" s="280">
        <f t="shared" si="99"/>
        <v>0</v>
      </c>
      <c r="JW158" s="319">
        <f t="shared" si="100"/>
        <v>1</v>
      </c>
      <c r="JX158" s="15">
        <f t="shared" si="101"/>
        <v>3000</v>
      </c>
      <c r="JY158" s="15">
        <f t="shared" si="102"/>
        <v>114097</v>
      </c>
      <c r="JZ158" s="19">
        <f t="shared" si="103"/>
        <v>38.032333333333334</v>
      </c>
      <c r="KA158" s="52">
        <f t="shared" si="104"/>
        <v>1</v>
      </c>
      <c r="KB158" s="15">
        <f t="shared" si="105"/>
        <v>2807</v>
      </c>
      <c r="KC158" s="15">
        <f t="shared" si="106"/>
        <v>114097</v>
      </c>
      <c r="KD158" s="20">
        <f t="shared" si="107"/>
        <v>40.647310295689351</v>
      </c>
      <c r="KE158" s="52" t="str">
        <f t="shared" si="108"/>
        <v/>
      </c>
      <c r="KF158" s="15">
        <f t="shared" si="109"/>
        <v>0</v>
      </c>
      <c r="KG158" s="15">
        <f t="shared" si="110"/>
        <v>0</v>
      </c>
      <c r="KH158" s="21" t="str">
        <f t="shared" si="111"/>
        <v/>
      </c>
      <c r="KI158" s="52" t="str">
        <f t="shared" si="112"/>
        <v/>
      </c>
      <c r="KJ158" s="15">
        <f t="shared" si="113"/>
        <v>0</v>
      </c>
      <c r="KK158" s="15">
        <f t="shared" si="114"/>
        <v>0</v>
      </c>
      <c r="KL158" s="19" t="str">
        <f t="shared" si="115"/>
        <v/>
      </c>
      <c r="KM158" s="52" t="str">
        <f t="shared" si="116"/>
        <v/>
      </c>
      <c r="KN158" s="22">
        <f t="shared" si="117"/>
        <v>0</v>
      </c>
      <c r="KO158" s="22">
        <f t="shared" si="118"/>
        <v>0</v>
      </c>
      <c r="KP158" s="19" t="str">
        <f t="shared" si="119"/>
        <v/>
      </c>
      <c r="KQ158" s="11" t="str">
        <f t="shared" si="120"/>
        <v>1. Neutral</v>
      </c>
      <c r="KR158" s="11" t="str">
        <f t="shared" si="121"/>
        <v>2. Accommodating</v>
      </c>
      <c r="KS158" s="11" t="str">
        <f t="shared" si="122"/>
        <v>2. Sensitive</v>
      </c>
      <c r="KT158" s="11" t="str">
        <f t="shared" si="123"/>
        <v>It tested new ways for fighting poverty, but did not measure results of innovation</v>
      </c>
      <c r="KU158" s="11" t="str">
        <f t="shared" si="124"/>
        <v>Moderate advocacy</v>
      </c>
      <c r="KV158" s="11" t="str">
        <f t="shared" si="125"/>
        <v>It linked and worked with strategic alliances and partners to take tested and effective solutions to scale</v>
      </c>
      <c r="KW158" s="11" t="str">
        <f t="shared" si="126"/>
        <v>Cuba - Strengthening early warning system, adaptation, preparedness and response actions to increase drought resilience and reduce its impact on food and nutrition security and water supply in eastern provinces of Cuba.</v>
      </c>
      <c r="KX158" s="11" t="str">
        <f t="shared" si="127"/>
        <v>Strengthening early warning system, adaptation, preparedness and response actions to increase drought resilience and reduce its impact on food and nutrition security and water supply in eastern provinces of Cuba.</v>
      </c>
      <c r="KY158" s="11" t="str">
        <f t="shared" si="128"/>
        <v>Cuba</v>
      </c>
      <c r="KZ158" s="12">
        <v>158</v>
      </c>
    </row>
    <row r="159" spans="1:312" x14ac:dyDescent="0.3">
      <c r="A159" s="12" t="s">
        <v>3231</v>
      </c>
      <c r="B159" s="12" t="s">
        <v>602</v>
      </c>
      <c r="C159" s="12"/>
      <c r="D159" s="12" t="s">
        <v>3232</v>
      </c>
      <c r="E159" s="24" t="str">
        <f t="shared" si="86"/>
        <v>Czech Republic</v>
      </c>
      <c r="F159" s="12" t="s">
        <v>3233</v>
      </c>
      <c r="G159" s="12" t="s">
        <v>608</v>
      </c>
      <c r="H159" s="12" t="s">
        <v>310</v>
      </c>
      <c r="I159" s="12" t="s">
        <v>384</v>
      </c>
      <c r="J159" s="281" t="s">
        <v>14612</v>
      </c>
      <c r="K159" s="12"/>
      <c r="L159" s="12"/>
      <c r="M159" s="12"/>
      <c r="N159" s="12"/>
      <c r="O159" s="12"/>
      <c r="P159" s="12"/>
      <c r="Q159" s="12"/>
      <c r="R159" s="12"/>
      <c r="S159" s="12"/>
      <c r="T159" s="12"/>
      <c r="U159" s="12"/>
      <c r="V159" s="12"/>
      <c r="W159" s="12"/>
      <c r="X159" s="12"/>
      <c r="Y159" s="12"/>
      <c r="Z159" s="12"/>
      <c r="AA159" s="12"/>
      <c r="AB159" s="12"/>
      <c r="AC159" s="12"/>
      <c r="AD159" s="12"/>
      <c r="BD159" s="13">
        <v>42736</v>
      </c>
      <c r="BE159" s="13">
        <v>43100</v>
      </c>
      <c r="BF159" s="12"/>
      <c r="BG159" s="12" t="s">
        <v>312</v>
      </c>
      <c r="BH159" s="14">
        <v>13600</v>
      </c>
      <c r="BI159" s="12" t="s">
        <v>3234</v>
      </c>
      <c r="BJ159" s="12" t="s">
        <v>3235</v>
      </c>
      <c r="BK159" s="12" t="s">
        <v>3236</v>
      </c>
      <c r="BL159" s="12"/>
      <c r="BM159" s="12"/>
      <c r="BN159" s="12"/>
      <c r="BO159" s="12" t="s">
        <v>319</v>
      </c>
      <c r="BP159" s="12" t="s">
        <v>320</v>
      </c>
      <c r="BQ159" s="12" t="s">
        <v>319</v>
      </c>
      <c r="BR159" s="12" t="s">
        <v>3237</v>
      </c>
      <c r="BS159" s="12" t="s">
        <v>322</v>
      </c>
      <c r="BT159" s="12" t="s">
        <v>3238</v>
      </c>
      <c r="BU159" s="12" t="s">
        <v>3239</v>
      </c>
      <c r="BV159" s="14">
        <v>10</v>
      </c>
      <c r="BW159" s="14">
        <v>10</v>
      </c>
      <c r="BX159" s="14">
        <v>20</v>
      </c>
      <c r="BY159" s="14"/>
      <c r="BZ159" s="14"/>
      <c r="CA159" s="14"/>
      <c r="CB159" s="12" t="s">
        <v>3240</v>
      </c>
      <c r="CD159" s="14"/>
      <c r="CE159" s="14"/>
      <c r="CF159" s="14"/>
      <c r="CG159" s="14"/>
      <c r="CH159" s="14"/>
      <c r="CI159" s="14"/>
      <c r="CJ159" s="12"/>
      <c r="CK159" s="14"/>
      <c r="CL159" s="16"/>
      <c r="CM159" s="14"/>
      <c r="CN159" s="12"/>
      <c r="CO159" s="14"/>
      <c r="CP159" s="16"/>
      <c r="CQ159" s="14"/>
      <c r="CR159" s="12"/>
      <c r="CS159" s="14"/>
      <c r="CT159" s="16"/>
      <c r="CU159" s="14"/>
      <c r="CV159" s="12"/>
      <c r="CW159" s="14"/>
      <c r="CX159" s="16"/>
      <c r="CY159" s="14"/>
      <c r="CZ159" s="12"/>
      <c r="DA159" s="14"/>
      <c r="DB159" s="16"/>
      <c r="DC159" s="14"/>
      <c r="DD159" s="12"/>
      <c r="DE159" s="14"/>
      <c r="DF159" s="16"/>
      <c r="DG159" s="14"/>
      <c r="DH159" s="12"/>
      <c r="DI159" s="14"/>
      <c r="DJ159" s="16"/>
      <c r="DK159" s="14"/>
      <c r="DL159" s="12"/>
      <c r="DM159" s="14"/>
      <c r="DN159" s="16"/>
      <c r="DO159" s="14"/>
      <c r="DP159" s="12"/>
      <c r="DQ159" s="14"/>
      <c r="DR159" s="16"/>
      <c r="DS159" s="14"/>
      <c r="DT159" s="12"/>
      <c r="DU159" s="14"/>
      <c r="DV159" s="16"/>
      <c r="DW159" s="14"/>
      <c r="DX159" s="12"/>
      <c r="DY159" s="14"/>
      <c r="DZ159" s="16"/>
      <c r="EA159" s="14"/>
      <c r="EB159" s="12"/>
      <c r="EC159" s="14"/>
      <c r="ED159" s="16"/>
      <c r="EE159" s="14"/>
      <c r="EF159" s="12"/>
      <c r="EG159" s="12"/>
      <c r="EH159" s="14"/>
      <c r="EI159" s="16"/>
      <c r="EJ159" s="14"/>
      <c r="EK159" s="14">
        <v>5</v>
      </c>
      <c r="EL159" s="14">
        <v>5</v>
      </c>
      <c r="EM159" s="14">
        <v>10</v>
      </c>
      <c r="EN159" s="14"/>
      <c r="EO159" s="14"/>
      <c r="EP159" s="14"/>
      <c r="EQ159" s="12"/>
      <c r="ER159" s="14"/>
      <c r="ES159" s="16"/>
      <c r="ET159" s="14"/>
      <c r="EU159" s="12"/>
      <c r="EV159" s="14"/>
      <c r="EW159" s="16"/>
      <c r="EX159" s="14"/>
      <c r="EY159" s="12"/>
      <c r="EZ159" s="14"/>
      <c r="FA159" s="16"/>
      <c r="FB159" s="14"/>
      <c r="FC159" s="12"/>
      <c r="FD159" s="14"/>
      <c r="FE159" s="16"/>
      <c r="FF159" s="14"/>
      <c r="FG159" s="12"/>
      <c r="FH159" s="14"/>
      <c r="FI159" s="16"/>
      <c r="FJ159" s="14"/>
      <c r="FK159" s="12"/>
      <c r="FL159" s="14"/>
      <c r="FM159" s="16"/>
      <c r="FN159" s="14"/>
      <c r="FO159" s="12"/>
      <c r="FP159" s="14"/>
      <c r="FQ159" s="16"/>
      <c r="FR159" s="14"/>
      <c r="FS159" s="12"/>
      <c r="FT159" s="14"/>
      <c r="FU159" s="16"/>
      <c r="FV159" s="14"/>
      <c r="FW159" s="12"/>
      <c r="FX159" s="14"/>
      <c r="FY159" s="16"/>
      <c r="FZ159" s="14"/>
      <c r="GA159" s="12"/>
      <c r="GB159" s="14"/>
      <c r="GC159" s="16"/>
      <c r="GD159" s="14"/>
      <c r="GE159" s="12"/>
      <c r="GF159" s="14"/>
      <c r="GG159" s="16"/>
      <c r="GH159" s="14"/>
      <c r="GI159" s="12"/>
      <c r="GJ159" s="14"/>
      <c r="GK159" s="16"/>
      <c r="GL159" s="14"/>
      <c r="GM159" s="12"/>
      <c r="GN159" s="14"/>
      <c r="GO159" s="16"/>
      <c r="GP159" s="14"/>
      <c r="GQ159" s="12"/>
      <c r="GR159" s="14"/>
      <c r="GS159" s="16"/>
      <c r="GT159" s="14"/>
      <c r="GU159" s="12"/>
      <c r="GV159" s="14"/>
      <c r="GW159" s="16"/>
      <c r="GX159" s="14"/>
      <c r="GY159" s="12"/>
      <c r="GZ159" s="14"/>
      <c r="HA159" s="16"/>
      <c r="HB159" s="14"/>
      <c r="HC159" s="12" t="s">
        <v>3241</v>
      </c>
      <c r="HD159" s="12" t="s">
        <v>320</v>
      </c>
      <c r="HE159" s="14">
        <v>10</v>
      </c>
      <c r="HF159" s="16">
        <v>0.5</v>
      </c>
      <c r="HG159" s="14"/>
      <c r="HH159" s="12" t="s">
        <v>319</v>
      </c>
      <c r="HI159" s="12"/>
      <c r="HJ159" s="12"/>
      <c r="HK159" s="12"/>
      <c r="HL159" s="12"/>
      <c r="HM159" s="12"/>
      <c r="HN159" s="12"/>
      <c r="HO159" s="12"/>
      <c r="HP159" s="12" t="s">
        <v>418</v>
      </c>
      <c r="HQ159" s="12"/>
      <c r="HR159" s="12"/>
      <c r="HS159" s="12"/>
      <c r="HT159" s="12"/>
      <c r="HU159" s="12" t="s">
        <v>320</v>
      </c>
      <c r="HV159" s="12"/>
      <c r="HW159" s="12"/>
      <c r="HX159" s="12"/>
      <c r="HY159" s="12"/>
      <c r="HZ159" s="12" t="s">
        <v>363</v>
      </c>
      <c r="IA159" s="12"/>
      <c r="IB159" s="12" t="s">
        <v>667</v>
      </c>
      <c r="IC159" s="12" t="s">
        <v>3242</v>
      </c>
      <c r="ID159" s="12" t="s">
        <v>334</v>
      </c>
      <c r="IE159" s="12" t="s">
        <v>335</v>
      </c>
      <c r="IF159" s="12" t="s">
        <v>320</v>
      </c>
      <c r="IG159" s="12" t="s">
        <v>319</v>
      </c>
      <c r="IH159" s="12" t="s">
        <v>319</v>
      </c>
      <c r="II159" s="12" t="s">
        <v>320</v>
      </c>
      <c r="IJ159" s="12" t="str">
        <f t="shared" si="87"/>
        <v>1. Neutral</v>
      </c>
      <c r="IK159" s="12">
        <f t="shared" si="88"/>
        <v>2</v>
      </c>
      <c r="IL159" s="12" t="s">
        <v>723</v>
      </c>
      <c r="IM159" s="12"/>
      <c r="IN159" s="12"/>
      <c r="IO159" s="12"/>
      <c r="IP159" s="12"/>
      <c r="IQ159" s="12" t="str">
        <f t="shared" si="89"/>
        <v>0. Unaware</v>
      </c>
      <c r="IR159" s="12">
        <f t="shared" si="90"/>
        <v>0</v>
      </c>
      <c r="IS159" s="12" t="s">
        <v>456</v>
      </c>
      <c r="IT159" s="12"/>
      <c r="IU159" s="12"/>
      <c r="IV159" s="12"/>
      <c r="IW159" s="11" t="str">
        <f t="shared" si="91"/>
        <v>0. Harmful</v>
      </c>
      <c r="IX159" s="12">
        <f t="shared" si="92"/>
        <v>0</v>
      </c>
      <c r="IY159" s="12" t="s">
        <v>419</v>
      </c>
      <c r="IZ159" s="12" t="s">
        <v>527</v>
      </c>
      <c r="JA159" s="12">
        <v>5</v>
      </c>
      <c r="JB159" s="12" t="s">
        <v>585</v>
      </c>
      <c r="JC159" s="12" t="s">
        <v>1570</v>
      </c>
      <c r="JD159" s="12" t="s">
        <v>433</v>
      </c>
      <c r="JE159" s="12" t="s">
        <v>365</v>
      </c>
      <c r="JF159" s="12" t="s">
        <v>3243</v>
      </c>
      <c r="JG159" s="12" t="s">
        <v>3244</v>
      </c>
      <c r="JH159" s="12" t="s">
        <v>3245</v>
      </c>
      <c r="JI159" s="12" t="s">
        <v>3246</v>
      </c>
      <c r="JJ159" s="12"/>
      <c r="JK159" s="12" t="s">
        <v>3247</v>
      </c>
      <c r="JL159" s="12" t="s">
        <v>3248</v>
      </c>
      <c r="JM159" s="12"/>
      <c r="JN159" s="12"/>
      <c r="JO159" s="12"/>
      <c r="JP159" s="15">
        <f t="shared" si="93"/>
        <v>10</v>
      </c>
      <c r="JQ159" s="15">
        <f t="shared" si="94"/>
        <v>0</v>
      </c>
      <c r="JR159" s="279">
        <f t="shared" si="95"/>
        <v>0</v>
      </c>
      <c r="JS159" s="17">
        <f t="shared" si="96"/>
        <v>0.5</v>
      </c>
      <c r="JT159" s="18" t="str">
        <f t="shared" si="97"/>
        <v/>
      </c>
      <c r="JU159" s="280">
        <f t="shared" si="98"/>
        <v>5</v>
      </c>
      <c r="JV159" s="280">
        <f t="shared" si="99"/>
        <v>0</v>
      </c>
      <c r="JW159" s="319" t="str">
        <f t="shared" si="100"/>
        <v/>
      </c>
      <c r="JX159" s="15">
        <f t="shared" si="101"/>
        <v>0</v>
      </c>
      <c r="JY159" s="15">
        <f t="shared" si="102"/>
        <v>0</v>
      </c>
      <c r="JZ159" s="19" t="str">
        <f t="shared" si="103"/>
        <v/>
      </c>
      <c r="KA159" s="52" t="str">
        <f t="shared" si="104"/>
        <v/>
      </c>
      <c r="KB159" s="15">
        <f t="shared" si="105"/>
        <v>0</v>
      </c>
      <c r="KC159" s="15">
        <f t="shared" si="106"/>
        <v>0</v>
      </c>
      <c r="KD159" s="20" t="str">
        <f t="shared" si="107"/>
        <v/>
      </c>
      <c r="KE159" s="52" t="str">
        <f t="shared" si="108"/>
        <v/>
      </c>
      <c r="KF159" s="15">
        <f t="shared" si="109"/>
        <v>0</v>
      </c>
      <c r="KG159" s="15">
        <f t="shared" si="110"/>
        <v>0</v>
      </c>
      <c r="KH159" s="21" t="str">
        <f t="shared" si="111"/>
        <v/>
      </c>
      <c r="KI159" s="52" t="str">
        <f t="shared" si="112"/>
        <v/>
      </c>
      <c r="KJ159" s="15">
        <f t="shared" si="113"/>
        <v>0</v>
      </c>
      <c r="KK159" s="15">
        <f t="shared" si="114"/>
        <v>0</v>
      </c>
      <c r="KL159" s="19" t="str">
        <f t="shared" si="115"/>
        <v/>
      </c>
      <c r="KM159" s="52" t="str">
        <f t="shared" si="116"/>
        <v/>
      </c>
      <c r="KN159" s="22">
        <f t="shared" si="117"/>
        <v>0</v>
      </c>
      <c r="KO159" s="22">
        <f t="shared" si="118"/>
        <v>0</v>
      </c>
      <c r="KP159" s="19" t="str">
        <f t="shared" si="119"/>
        <v/>
      </c>
      <c r="KQ159" s="11" t="str">
        <f t="shared" si="120"/>
        <v>1. Neutral</v>
      </c>
      <c r="KR159" s="11" t="str">
        <f t="shared" si="121"/>
        <v>0. Unaware</v>
      </c>
      <c r="KS159" s="11" t="str">
        <f t="shared" si="122"/>
        <v>0. Harmful</v>
      </c>
      <c r="KT159" s="11" t="str">
        <f t="shared" si="123"/>
        <v>It did not develop any specific innovation</v>
      </c>
      <c r="KU159" s="11" t="str">
        <f t="shared" si="124"/>
        <v>Little or no advocacy</v>
      </c>
      <c r="KV159" s="11" t="str">
        <f t="shared" si="125"/>
        <v>It took tested solutions to scale on its own</v>
      </c>
      <c r="KW159" s="11" t="str">
        <f t="shared" si="126"/>
        <v>Czech Republic - Support of expert capacities of CARE (Czech Rep.) in networking, partnerships and cooperation</v>
      </c>
      <c r="KX159" s="11" t="str">
        <f t="shared" si="127"/>
        <v>Support of expert capacities of CARE (Czech Rep.) in networking, partnerships and cooperation</v>
      </c>
      <c r="KY159" s="11" t="str">
        <f t="shared" si="128"/>
        <v>Czech Republic</v>
      </c>
      <c r="KZ159" s="12">
        <v>159</v>
      </c>
    </row>
    <row r="160" spans="1:312" x14ac:dyDescent="0.3">
      <c r="A160" s="11" t="s">
        <v>3249</v>
      </c>
      <c r="B160" s="11" t="s">
        <v>602</v>
      </c>
      <c r="D160" s="11" t="s">
        <v>3250</v>
      </c>
      <c r="E160" s="24" t="str">
        <f t="shared" si="86"/>
        <v>Denmark</v>
      </c>
      <c r="G160" s="11" t="s">
        <v>1853</v>
      </c>
      <c r="J160" s="278"/>
      <c r="BG160" s="11" t="s">
        <v>749</v>
      </c>
      <c r="BI160" s="26" t="s">
        <v>3251</v>
      </c>
      <c r="BJ160" s="11" t="s">
        <v>3252</v>
      </c>
      <c r="BK160" s="11" t="s">
        <v>3253</v>
      </c>
      <c r="BO160" s="11" t="s">
        <v>319</v>
      </c>
      <c r="BP160" s="11" t="s">
        <v>320</v>
      </c>
      <c r="BQ160" s="11" t="s">
        <v>319</v>
      </c>
      <c r="BR160" s="11" t="s">
        <v>3254</v>
      </c>
      <c r="BS160" s="11" t="s">
        <v>322</v>
      </c>
      <c r="BU160" s="11" t="s">
        <v>3255</v>
      </c>
      <c r="BV160" s="22">
        <v>20</v>
      </c>
      <c r="BW160" s="22">
        <v>20</v>
      </c>
      <c r="BX160" s="22">
        <v>40</v>
      </c>
      <c r="BY160" s="22">
        <v>1000000</v>
      </c>
      <c r="BZ160" s="22">
        <v>1000000</v>
      </c>
      <c r="CA160" s="22">
        <v>2000000</v>
      </c>
      <c r="CB160" s="15" t="s">
        <v>3256</v>
      </c>
      <c r="CL160" s="18"/>
      <c r="CP160" s="18"/>
      <c r="CT160" s="18"/>
      <c r="CX160" s="18"/>
      <c r="DB160" s="18"/>
      <c r="DF160" s="18"/>
      <c r="DJ160" s="18"/>
      <c r="DN160" s="18"/>
      <c r="DR160" s="18"/>
      <c r="DV160" s="18"/>
      <c r="DZ160" s="18"/>
      <c r="ED160" s="18"/>
      <c r="EI160" s="18"/>
      <c r="EK160" s="22">
        <v>20</v>
      </c>
      <c r="EL160" s="22">
        <v>20</v>
      </c>
      <c r="EM160" s="22">
        <v>40</v>
      </c>
      <c r="EN160" s="22">
        <v>1000000</v>
      </c>
      <c r="EO160" s="22">
        <v>1000000</v>
      </c>
      <c r="EP160" s="22">
        <v>2000000</v>
      </c>
      <c r="ES160" s="18"/>
      <c r="EU160" s="11" t="s">
        <v>320</v>
      </c>
      <c r="EV160" s="22">
        <v>40</v>
      </c>
      <c r="EW160" s="18">
        <v>0.5</v>
      </c>
      <c r="EX160" s="22">
        <v>2000000</v>
      </c>
      <c r="FA160" s="18"/>
      <c r="FE160" s="18"/>
      <c r="FI160" s="18"/>
      <c r="FM160" s="18"/>
      <c r="FQ160" s="18"/>
      <c r="FU160" s="18"/>
      <c r="FY160" s="18"/>
      <c r="GC160" s="18"/>
      <c r="GG160" s="18"/>
      <c r="GK160" s="18"/>
      <c r="GO160" s="18"/>
      <c r="GS160" s="18"/>
      <c r="GW160" s="18"/>
      <c r="HA160" s="18"/>
      <c r="HF160" s="18"/>
      <c r="HP160" s="11" t="s">
        <v>453</v>
      </c>
      <c r="HQ160" s="11" t="s">
        <v>320</v>
      </c>
      <c r="HR160" s="11" t="s">
        <v>320</v>
      </c>
      <c r="HS160" s="11" t="s">
        <v>320</v>
      </c>
      <c r="HT160" s="11" t="s">
        <v>319</v>
      </c>
      <c r="HU160" s="11" t="s">
        <v>320</v>
      </c>
      <c r="HV160" s="11" t="s">
        <v>320</v>
      </c>
      <c r="HW160" s="11" t="s">
        <v>320</v>
      </c>
      <c r="IE160" s="11" t="s">
        <v>478</v>
      </c>
      <c r="IF160" s="11" t="s">
        <v>320</v>
      </c>
      <c r="IG160" s="11" t="s">
        <v>320</v>
      </c>
      <c r="IH160" s="11" t="s">
        <v>319</v>
      </c>
      <c r="II160" s="11" t="s">
        <v>319</v>
      </c>
      <c r="IJ160" s="12" t="str">
        <f t="shared" si="87"/>
        <v>3. Responsive</v>
      </c>
      <c r="IK160" s="12">
        <f t="shared" si="88"/>
        <v>2</v>
      </c>
      <c r="IL160" s="11" t="s">
        <v>621</v>
      </c>
      <c r="IM160" s="11" t="s">
        <v>320</v>
      </c>
      <c r="IN160" s="11" t="s">
        <v>320</v>
      </c>
      <c r="IO160" s="11" t="s">
        <v>320</v>
      </c>
      <c r="IP160" s="11" t="s">
        <v>319</v>
      </c>
      <c r="IQ160" s="12" t="str">
        <f t="shared" si="89"/>
        <v>3. Responsive</v>
      </c>
      <c r="IR160" s="12">
        <f t="shared" si="90"/>
        <v>3</v>
      </c>
      <c r="IS160" s="11" t="s">
        <v>622</v>
      </c>
      <c r="IT160" s="11" t="s">
        <v>320</v>
      </c>
      <c r="IU160" s="11" t="s">
        <v>319</v>
      </c>
      <c r="IV160" s="11" t="s">
        <v>320</v>
      </c>
      <c r="IW160" s="11" t="str">
        <f t="shared" si="91"/>
        <v>3. Responsive</v>
      </c>
      <c r="IX160" s="12">
        <f t="shared" si="92"/>
        <v>2</v>
      </c>
      <c r="IY160" s="11" t="s">
        <v>758</v>
      </c>
      <c r="IZ160" s="11" t="s">
        <v>339</v>
      </c>
      <c r="JH160" s="11" t="s">
        <v>3257</v>
      </c>
      <c r="JI160" s="11" t="s">
        <v>3258</v>
      </c>
      <c r="JN160" s="11" t="s">
        <v>3259</v>
      </c>
      <c r="JO160" s="11" t="s">
        <v>3260</v>
      </c>
      <c r="JP160" s="15">
        <f t="shared" si="93"/>
        <v>40</v>
      </c>
      <c r="JQ160" s="15">
        <f t="shared" si="94"/>
        <v>2000000</v>
      </c>
      <c r="JR160" s="279">
        <f t="shared" si="95"/>
        <v>50000</v>
      </c>
      <c r="JS160" s="17">
        <f t="shared" si="96"/>
        <v>0.5</v>
      </c>
      <c r="JT160" s="18">
        <f t="shared" si="97"/>
        <v>0.5</v>
      </c>
      <c r="JU160" s="280">
        <f t="shared" si="98"/>
        <v>20</v>
      </c>
      <c r="JV160" s="280">
        <f t="shared" si="99"/>
        <v>1000000</v>
      </c>
      <c r="JW160" s="319" t="str">
        <f t="shared" si="100"/>
        <v/>
      </c>
      <c r="JX160" s="15">
        <f t="shared" si="101"/>
        <v>0</v>
      </c>
      <c r="JY160" s="15">
        <f t="shared" si="102"/>
        <v>0</v>
      </c>
      <c r="JZ160" s="19" t="str">
        <f t="shared" si="103"/>
        <v/>
      </c>
      <c r="KA160" s="52">
        <f t="shared" si="104"/>
        <v>1</v>
      </c>
      <c r="KB160" s="15">
        <f t="shared" si="105"/>
        <v>40</v>
      </c>
      <c r="KC160" s="15">
        <f t="shared" si="106"/>
        <v>2000000</v>
      </c>
      <c r="KD160" s="20">
        <f t="shared" si="107"/>
        <v>50000</v>
      </c>
      <c r="KE160" s="52" t="str">
        <f t="shared" si="108"/>
        <v/>
      </c>
      <c r="KF160" s="15">
        <f t="shared" si="109"/>
        <v>0</v>
      </c>
      <c r="KG160" s="15">
        <f t="shared" si="110"/>
        <v>0</v>
      </c>
      <c r="KH160" s="21" t="str">
        <f t="shared" si="111"/>
        <v/>
      </c>
      <c r="KI160" s="52" t="str">
        <f t="shared" si="112"/>
        <v/>
      </c>
      <c r="KJ160" s="15">
        <f t="shared" si="113"/>
        <v>0</v>
      </c>
      <c r="KK160" s="15">
        <f t="shared" si="114"/>
        <v>0</v>
      </c>
      <c r="KL160" s="19" t="str">
        <f t="shared" si="115"/>
        <v/>
      </c>
      <c r="KM160" s="52" t="str">
        <f t="shared" si="116"/>
        <v/>
      </c>
      <c r="KN160" s="22">
        <f t="shared" si="117"/>
        <v>0</v>
      </c>
      <c r="KO160" s="22">
        <f t="shared" si="118"/>
        <v>0</v>
      </c>
      <c r="KP160" s="19" t="str">
        <f t="shared" si="119"/>
        <v/>
      </c>
      <c r="KQ160" s="11" t="str">
        <f t="shared" si="120"/>
        <v>3. Responsive</v>
      </c>
      <c r="KR160" s="11" t="str">
        <f t="shared" si="121"/>
        <v>3. Responsive</v>
      </c>
      <c r="KS160" s="11" t="str">
        <f t="shared" si="122"/>
        <v>3. Responsive</v>
      </c>
      <c r="KT160" s="11">
        <f t="shared" si="123"/>
        <v>0</v>
      </c>
      <c r="KU160" s="11" t="str">
        <f t="shared" si="124"/>
        <v>Intensive advocacy</v>
      </c>
      <c r="KV160" s="11">
        <f t="shared" si="125"/>
        <v>0</v>
      </c>
      <c r="KW160" s="11" t="str">
        <f t="shared" si="126"/>
        <v>Denmark - CARE DK report on the impact of climate change on migration ("Fleeing Climate Change: The Impacts on Migration and Displacement")</v>
      </c>
      <c r="KX160" s="11" t="str">
        <f t="shared" si="127"/>
        <v>CARE DK report on the impact of climate change on migration ("Fleeing Climate Change: The Impacts on Migration and Displacement")</v>
      </c>
      <c r="KY160" s="11" t="str">
        <f t="shared" si="128"/>
        <v>Denmark</v>
      </c>
      <c r="KZ160" s="12">
        <v>160</v>
      </c>
    </row>
    <row r="161" spans="1:312" x14ac:dyDescent="0.3">
      <c r="A161" s="11" t="s">
        <v>3261</v>
      </c>
      <c r="B161" s="11" t="s">
        <v>2807</v>
      </c>
      <c r="D161" s="11" t="s">
        <v>3262</v>
      </c>
      <c r="E161" s="24" t="str">
        <f t="shared" si="86"/>
        <v>Dominican Republic</v>
      </c>
      <c r="G161" s="11" t="s">
        <v>379</v>
      </c>
      <c r="H161" s="11" t="s">
        <v>489</v>
      </c>
      <c r="I161" s="11" t="s">
        <v>384</v>
      </c>
      <c r="J161" s="278" t="s">
        <v>14613</v>
      </c>
      <c r="BD161" s="23">
        <v>41859</v>
      </c>
      <c r="BE161" s="23">
        <v>42735</v>
      </c>
      <c r="BF161" s="23">
        <v>43100</v>
      </c>
      <c r="BG161" s="11" t="s">
        <v>749</v>
      </c>
      <c r="BH161" s="22">
        <v>1227356</v>
      </c>
      <c r="BI161" s="11" t="s">
        <v>3263</v>
      </c>
      <c r="BJ161" s="11" t="s">
        <v>3264</v>
      </c>
      <c r="BK161" s="11" t="s">
        <v>3265</v>
      </c>
      <c r="BL161" s="11" t="s">
        <v>3266</v>
      </c>
      <c r="BM161" s="11" t="s">
        <v>3267</v>
      </c>
      <c r="BN161" s="11" t="s">
        <v>3268</v>
      </c>
      <c r="BO161" s="12" t="s">
        <v>319</v>
      </c>
      <c r="BP161" s="12" t="s">
        <v>320</v>
      </c>
      <c r="BQ161" s="12" t="s">
        <v>319</v>
      </c>
      <c r="BR161" s="11" t="s">
        <v>3269</v>
      </c>
      <c r="BS161" s="11" t="s">
        <v>615</v>
      </c>
      <c r="BT161" s="11" t="s">
        <v>3270</v>
      </c>
      <c r="BU161" s="11" t="s">
        <v>3271</v>
      </c>
      <c r="BX161" s="22">
        <v>85</v>
      </c>
      <c r="CL161" s="18"/>
      <c r="CP161" s="18"/>
      <c r="CT161" s="18"/>
      <c r="CX161" s="18"/>
      <c r="DB161" s="18"/>
      <c r="DF161" s="18"/>
      <c r="DJ161" s="18"/>
      <c r="DN161" s="18"/>
      <c r="DR161" s="18"/>
      <c r="DV161" s="18"/>
      <c r="DZ161" s="18"/>
      <c r="ED161" s="18"/>
      <c r="EI161" s="18"/>
      <c r="EQ161" s="12" t="s">
        <v>319</v>
      </c>
      <c r="ES161" s="18"/>
      <c r="EU161" s="11" t="s">
        <v>319</v>
      </c>
      <c r="EW161" s="18"/>
      <c r="EY161" s="12" t="s">
        <v>319</v>
      </c>
      <c r="FA161" s="18"/>
      <c r="FC161" s="12" t="s">
        <v>319</v>
      </c>
      <c r="FE161" s="18"/>
      <c r="FG161" s="12" t="s">
        <v>319</v>
      </c>
      <c r="FI161" s="18"/>
      <c r="FK161" s="11" t="s">
        <v>319</v>
      </c>
      <c r="FM161" s="18"/>
      <c r="FO161" s="12" t="s">
        <v>320</v>
      </c>
      <c r="FP161" s="22">
        <v>85</v>
      </c>
      <c r="FQ161" s="18"/>
      <c r="FS161" s="11" t="s">
        <v>319</v>
      </c>
      <c r="FU161" s="18"/>
      <c r="FW161" s="11" t="s">
        <v>319</v>
      </c>
      <c r="FY161" s="18"/>
      <c r="GA161" s="11" t="s">
        <v>319</v>
      </c>
      <c r="GC161" s="18"/>
      <c r="GE161" s="11" t="s">
        <v>319</v>
      </c>
      <c r="GG161" s="18"/>
      <c r="GI161" s="11" t="s">
        <v>319</v>
      </c>
      <c r="GK161" s="18"/>
      <c r="GM161" s="11" t="s">
        <v>319</v>
      </c>
      <c r="GO161" s="18"/>
      <c r="GQ161" s="11" t="s">
        <v>319</v>
      </c>
      <c r="GS161" s="18"/>
      <c r="GU161" s="11" t="s">
        <v>319</v>
      </c>
      <c r="GW161" s="18"/>
      <c r="GY161" s="11" t="s">
        <v>319</v>
      </c>
      <c r="HA161" s="18"/>
      <c r="HD161" s="11" t="s">
        <v>319</v>
      </c>
      <c r="HF161" s="18"/>
      <c r="IJ161" s="12" t="str">
        <f t="shared" si="87"/>
        <v>No marker score</v>
      </c>
      <c r="IK161" s="12">
        <f t="shared" si="88"/>
        <v>0</v>
      </c>
      <c r="IQ161" s="12" t="str">
        <f t="shared" si="89"/>
        <v>No marker score</v>
      </c>
      <c r="IR161" s="12">
        <f t="shared" si="90"/>
        <v>0</v>
      </c>
      <c r="IW161" s="11" t="str">
        <f t="shared" si="91"/>
        <v>No marker score</v>
      </c>
      <c r="IX161" s="12">
        <f t="shared" si="92"/>
        <v>0</v>
      </c>
      <c r="JP161" s="15">
        <f t="shared" si="93"/>
        <v>0</v>
      </c>
      <c r="JQ161" s="15">
        <f t="shared" si="94"/>
        <v>0</v>
      </c>
      <c r="JR161" s="279" t="str">
        <f t="shared" si="95"/>
        <v/>
      </c>
      <c r="JS161" s="17" t="str">
        <f t="shared" si="96"/>
        <v/>
      </c>
      <c r="JT161" s="18" t="str">
        <f t="shared" si="97"/>
        <v/>
      </c>
      <c r="JU161" s="280">
        <f t="shared" si="98"/>
        <v>0</v>
      </c>
      <c r="JV161" s="280">
        <f t="shared" si="99"/>
        <v>0</v>
      </c>
      <c r="JW161" s="319" t="str">
        <f t="shared" si="100"/>
        <v/>
      </c>
      <c r="JX161" s="15">
        <f t="shared" si="101"/>
        <v>0</v>
      </c>
      <c r="JY161" s="15">
        <f t="shared" si="102"/>
        <v>0</v>
      </c>
      <c r="JZ161" s="19" t="str">
        <f t="shared" si="103"/>
        <v/>
      </c>
      <c r="KA161" s="52">
        <f t="shared" si="104"/>
        <v>1</v>
      </c>
      <c r="KB161" s="15">
        <f t="shared" si="105"/>
        <v>85</v>
      </c>
      <c r="KC161" s="15">
        <f t="shared" si="106"/>
        <v>0</v>
      </c>
      <c r="KD161" s="20">
        <f t="shared" si="107"/>
        <v>0</v>
      </c>
      <c r="KE161" s="52" t="str">
        <f t="shared" si="108"/>
        <v/>
      </c>
      <c r="KF161" s="15">
        <f t="shared" si="109"/>
        <v>0</v>
      </c>
      <c r="KG161" s="15">
        <f t="shared" si="110"/>
        <v>0</v>
      </c>
      <c r="KH161" s="21" t="str">
        <f t="shared" si="111"/>
        <v/>
      </c>
      <c r="KI161" s="52" t="str">
        <f t="shared" si="112"/>
        <v/>
      </c>
      <c r="KJ161" s="15">
        <f t="shared" si="113"/>
        <v>0</v>
      </c>
      <c r="KK161" s="15">
        <f t="shared" si="114"/>
        <v>0</v>
      </c>
      <c r="KL161" s="19" t="str">
        <f t="shared" si="115"/>
        <v/>
      </c>
      <c r="KM161" s="52" t="str">
        <f t="shared" si="116"/>
        <v/>
      </c>
      <c r="KN161" s="22">
        <f t="shared" si="117"/>
        <v>0</v>
      </c>
      <c r="KO161" s="22">
        <f t="shared" si="118"/>
        <v>0</v>
      </c>
      <c r="KP161" s="19" t="str">
        <f t="shared" si="119"/>
        <v/>
      </c>
      <c r="KQ161" s="11" t="str">
        <f t="shared" si="120"/>
        <v>No marker score</v>
      </c>
      <c r="KR161" s="11" t="str">
        <f t="shared" si="121"/>
        <v>No marker score</v>
      </c>
      <c r="KS161" s="11" t="str">
        <f t="shared" si="122"/>
        <v>No marker score</v>
      </c>
      <c r="KT161" s="11">
        <f t="shared" si="123"/>
        <v>0</v>
      </c>
      <c r="KU161" s="11">
        <f t="shared" si="124"/>
        <v>0</v>
      </c>
      <c r="KV161" s="11">
        <f t="shared" si="125"/>
        <v>0</v>
      </c>
      <c r="KW161" s="11" t="str">
        <f t="shared" si="126"/>
        <v>Dominican Republic - Amway Nutrilite Little Bits</v>
      </c>
      <c r="KX161" s="11" t="str">
        <f t="shared" si="127"/>
        <v>Amway Nutrilite Little Bits</v>
      </c>
      <c r="KY161" s="11" t="str">
        <f t="shared" si="128"/>
        <v>Dominican Republic</v>
      </c>
      <c r="KZ161" s="287">
        <v>161</v>
      </c>
    </row>
    <row r="162" spans="1:312" x14ac:dyDescent="0.3">
      <c r="A162" s="11" t="s">
        <v>14322</v>
      </c>
      <c r="B162" s="11" t="s">
        <v>1874</v>
      </c>
      <c r="D162" s="11" t="s">
        <v>2887</v>
      </c>
      <c r="E162" s="24" t="str">
        <f t="shared" si="86"/>
        <v>DRC</v>
      </c>
      <c r="F162" s="11" t="s">
        <v>2888</v>
      </c>
      <c r="G162" s="11" t="s">
        <v>379</v>
      </c>
      <c r="H162" s="11" t="s">
        <v>310</v>
      </c>
      <c r="I162" s="11" t="s">
        <v>506</v>
      </c>
      <c r="J162" s="278" t="s">
        <v>9230</v>
      </c>
      <c r="BD162" s="23">
        <v>42309</v>
      </c>
      <c r="BE162" s="23">
        <v>43039</v>
      </c>
      <c r="BG162" s="11" t="s">
        <v>490</v>
      </c>
      <c r="BI162" s="11" t="s">
        <v>2889</v>
      </c>
      <c r="BJ162" s="11" t="s">
        <v>2890</v>
      </c>
      <c r="BK162" s="11" t="s">
        <v>2891</v>
      </c>
      <c r="BL162" s="11" t="s">
        <v>2892</v>
      </c>
      <c r="BM162" s="11" t="s">
        <v>2893</v>
      </c>
      <c r="BN162" s="11" t="s">
        <v>2894</v>
      </c>
      <c r="BO162" s="11" t="s">
        <v>320</v>
      </c>
      <c r="BP162" s="11" t="s">
        <v>320</v>
      </c>
      <c r="BQ162" s="11" t="s">
        <v>320</v>
      </c>
      <c r="BR162" s="11" t="s">
        <v>2895</v>
      </c>
      <c r="BS162" s="11" t="s">
        <v>322</v>
      </c>
      <c r="BT162" s="11" t="s">
        <v>2896</v>
      </c>
      <c r="BU162" s="11" t="s">
        <v>2897</v>
      </c>
      <c r="BV162" s="22">
        <v>9000</v>
      </c>
      <c r="BW162" s="22">
        <v>5000</v>
      </c>
      <c r="BX162" s="22">
        <v>14000</v>
      </c>
      <c r="BY162" s="22">
        <v>36000</v>
      </c>
      <c r="BZ162" s="22">
        <v>20000</v>
      </c>
      <c r="CA162" s="22">
        <v>56000</v>
      </c>
      <c r="CB162" s="15" t="s">
        <v>2898</v>
      </c>
      <c r="CD162" s="22">
        <v>9000</v>
      </c>
      <c r="CE162" s="22">
        <v>5000</v>
      </c>
      <c r="CF162" s="22">
        <v>14000</v>
      </c>
      <c r="CG162" s="22">
        <v>36000</v>
      </c>
      <c r="CH162" s="22">
        <v>20000</v>
      </c>
      <c r="CI162" s="22">
        <v>56000</v>
      </c>
      <c r="CJ162" s="11" t="s">
        <v>319</v>
      </c>
      <c r="CL162" s="18"/>
      <c r="CN162" s="11" t="s">
        <v>319</v>
      </c>
      <c r="CP162" s="18"/>
      <c r="CR162" s="11" t="s">
        <v>319</v>
      </c>
      <c r="CT162" s="18"/>
      <c r="CV162" s="11" t="s">
        <v>319</v>
      </c>
      <c r="CX162" s="18"/>
      <c r="CZ162" s="11" t="s">
        <v>319</v>
      </c>
      <c r="DB162" s="18"/>
      <c r="DD162" s="11" t="s">
        <v>319</v>
      </c>
      <c r="DF162" s="18"/>
      <c r="DH162" s="11" t="s">
        <v>319</v>
      </c>
      <c r="DJ162" s="18"/>
      <c r="DL162" s="11" t="s">
        <v>319</v>
      </c>
      <c r="DN162" s="18"/>
      <c r="DP162" s="11" t="s">
        <v>319</v>
      </c>
      <c r="DR162" s="18"/>
      <c r="DT162" s="11" t="s">
        <v>319</v>
      </c>
      <c r="DV162" s="18"/>
      <c r="DX162" s="12" t="s">
        <v>320</v>
      </c>
      <c r="DY162" s="22">
        <v>11133</v>
      </c>
      <c r="DZ162" s="18">
        <v>0.8</v>
      </c>
      <c r="EA162" s="22">
        <v>56000</v>
      </c>
      <c r="EB162" s="11" t="s">
        <v>319</v>
      </c>
      <c r="ED162" s="18"/>
      <c r="EI162" s="18"/>
      <c r="EQ162" s="12" t="s">
        <v>319</v>
      </c>
      <c r="ES162" s="18"/>
      <c r="EU162" s="11" t="s">
        <v>319</v>
      </c>
      <c r="EW162" s="18"/>
      <c r="EY162" s="12" t="s">
        <v>319</v>
      </c>
      <c r="FA162" s="18"/>
      <c r="FC162" s="12" t="s">
        <v>319</v>
      </c>
      <c r="FE162" s="18"/>
      <c r="FG162" s="12" t="s">
        <v>319</v>
      </c>
      <c r="FI162" s="18"/>
      <c r="FK162" s="11" t="s">
        <v>319</v>
      </c>
      <c r="FM162" s="18"/>
      <c r="FO162" s="11" t="s">
        <v>319</v>
      </c>
      <c r="FQ162" s="18"/>
      <c r="FS162" s="11" t="s">
        <v>319</v>
      </c>
      <c r="FU162" s="18"/>
      <c r="FW162" s="11" t="s">
        <v>319</v>
      </c>
      <c r="FY162" s="18"/>
      <c r="GA162" s="11" t="s">
        <v>320</v>
      </c>
      <c r="GB162" s="22">
        <v>11133</v>
      </c>
      <c r="GC162" s="18">
        <v>0.8</v>
      </c>
      <c r="GD162" s="22">
        <v>56000</v>
      </c>
      <c r="GE162" s="11" t="s">
        <v>319</v>
      </c>
      <c r="GG162" s="18"/>
      <c r="GI162" s="11" t="s">
        <v>319</v>
      </c>
      <c r="GK162" s="18"/>
      <c r="GM162" s="11" t="s">
        <v>319</v>
      </c>
      <c r="GO162" s="18"/>
      <c r="GQ162" s="11" t="s">
        <v>319</v>
      </c>
      <c r="GS162" s="18"/>
      <c r="GU162" s="11" t="s">
        <v>319</v>
      </c>
      <c r="GW162" s="18"/>
      <c r="GY162" s="11" t="s">
        <v>319</v>
      </c>
      <c r="HA162" s="18"/>
      <c r="HD162" s="11" t="s">
        <v>319</v>
      </c>
      <c r="HF162" s="18"/>
      <c r="HH162" s="11" t="s">
        <v>320</v>
      </c>
      <c r="HI162" s="11" t="s">
        <v>416</v>
      </c>
      <c r="HJ162" s="11">
        <v>2016</v>
      </c>
      <c r="HK162" s="11" t="s">
        <v>320</v>
      </c>
      <c r="HL162" s="11" t="s">
        <v>320</v>
      </c>
      <c r="HM162" s="11" t="s">
        <v>522</v>
      </c>
      <c r="HN162" s="11">
        <v>2017</v>
      </c>
      <c r="HO162" s="11" t="s">
        <v>2899</v>
      </c>
      <c r="HP162" s="11" t="s">
        <v>330</v>
      </c>
      <c r="HQ162" s="11" t="s">
        <v>319</v>
      </c>
      <c r="HR162" s="11" t="s">
        <v>319</v>
      </c>
      <c r="HS162" s="11" t="s">
        <v>320</v>
      </c>
      <c r="HT162" s="11" t="s">
        <v>320</v>
      </c>
      <c r="HU162" s="11" t="s">
        <v>320</v>
      </c>
      <c r="HV162" s="11" t="s">
        <v>320</v>
      </c>
      <c r="HW162" s="11" t="s">
        <v>320</v>
      </c>
      <c r="HZ162" s="12" t="s">
        <v>331</v>
      </c>
      <c r="IB162" s="12" t="s">
        <v>396</v>
      </c>
      <c r="ID162" s="12" t="s">
        <v>334</v>
      </c>
      <c r="IE162" s="11" t="s">
        <v>335</v>
      </c>
      <c r="IF162" s="11" t="s">
        <v>320</v>
      </c>
      <c r="IG162" s="11" t="s">
        <v>320</v>
      </c>
      <c r="IH162" s="11" t="s">
        <v>320</v>
      </c>
      <c r="IJ162" s="12" t="str">
        <f t="shared" si="87"/>
        <v>1. Neutral</v>
      </c>
      <c r="IK162" s="12">
        <f t="shared" si="88"/>
        <v>3</v>
      </c>
      <c r="IL162" s="11" t="s">
        <v>336</v>
      </c>
      <c r="IM162" s="11" t="s">
        <v>320</v>
      </c>
      <c r="IN162" s="11" t="s">
        <v>320</v>
      </c>
      <c r="IO162" s="11" t="s">
        <v>320</v>
      </c>
      <c r="IP162" s="11" t="s">
        <v>320</v>
      </c>
      <c r="IQ162" s="12" t="str">
        <f t="shared" si="89"/>
        <v>2. Accommodating</v>
      </c>
      <c r="IR162" s="12">
        <f t="shared" si="90"/>
        <v>4</v>
      </c>
      <c r="IS162" s="11" t="s">
        <v>337</v>
      </c>
      <c r="IT162" s="11" t="s">
        <v>320</v>
      </c>
      <c r="IU162" s="11" t="s">
        <v>320</v>
      </c>
      <c r="IV162" s="11" t="s">
        <v>320</v>
      </c>
      <c r="IW162" s="11" t="str">
        <f t="shared" si="91"/>
        <v>2. Sensitive</v>
      </c>
      <c r="IX162" s="12">
        <f t="shared" si="92"/>
        <v>3</v>
      </c>
      <c r="IY162" s="11" t="s">
        <v>338</v>
      </c>
      <c r="IZ162" s="11" t="s">
        <v>527</v>
      </c>
      <c r="JA162" s="11">
        <v>5</v>
      </c>
      <c r="JB162" s="11" t="s">
        <v>623</v>
      </c>
      <c r="JC162" s="11" t="s">
        <v>724</v>
      </c>
      <c r="JD162" s="11" t="s">
        <v>624</v>
      </c>
      <c r="JE162" s="12" t="s">
        <v>365</v>
      </c>
      <c r="JG162" s="11" t="s">
        <v>2900</v>
      </c>
      <c r="JH162" s="11" t="s">
        <v>2901</v>
      </c>
      <c r="JK162" s="11" t="s">
        <v>2902</v>
      </c>
      <c r="JL162" s="11" t="s">
        <v>2903</v>
      </c>
      <c r="JM162" s="11" t="s">
        <v>2904</v>
      </c>
      <c r="JN162" s="11" t="s">
        <v>2905</v>
      </c>
      <c r="JP162" s="15">
        <f t="shared" si="93"/>
        <v>14000</v>
      </c>
      <c r="JQ162" s="15">
        <f t="shared" si="94"/>
        <v>56000</v>
      </c>
      <c r="JR162" s="279">
        <f t="shared" si="95"/>
        <v>4</v>
      </c>
      <c r="JS162" s="17">
        <f t="shared" si="96"/>
        <v>0.6428571428571429</v>
      </c>
      <c r="JT162" s="18">
        <f t="shared" si="97"/>
        <v>0.6428571428571429</v>
      </c>
      <c r="JU162" s="280">
        <f t="shared" si="98"/>
        <v>9000</v>
      </c>
      <c r="JV162" s="280">
        <f t="shared" si="99"/>
        <v>36000</v>
      </c>
      <c r="JW162" s="319">
        <f t="shared" si="100"/>
        <v>1</v>
      </c>
      <c r="JX162" s="15">
        <f t="shared" si="101"/>
        <v>14000</v>
      </c>
      <c r="JY162" s="15">
        <f t="shared" si="102"/>
        <v>56000</v>
      </c>
      <c r="JZ162" s="19">
        <f t="shared" si="103"/>
        <v>4</v>
      </c>
      <c r="KA162" s="52" t="str">
        <f t="shared" si="104"/>
        <v/>
      </c>
      <c r="KB162" s="15">
        <f t="shared" si="105"/>
        <v>0</v>
      </c>
      <c r="KC162" s="15">
        <f t="shared" si="106"/>
        <v>0</v>
      </c>
      <c r="KD162" s="20" t="str">
        <f t="shared" si="107"/>
        <v/>
      </c>
      <c r="KE162" s="52" t="str">
        <f t="shared" si="108"/>
        <v/>
      </c>
      <c r="KF162" s="15">
        <f t="shared" si="109"/>
        <v>0</v>
      </c>
      <c r="KG162" s="15">
        <f t="shared" si="110"/>
        <v>0</v>
      </c>
      <c r="KH162" s="21" t="str">
        <f t="shared" si="111"/>
        <v/>
      </c>
      <c r="KI162" s="52" t="str">
        <f t="shared" si="112"/>
        <v/>
      </c>
      <c r="KJ162" s="15">
        <f t="shared" si="113"/>
        <v>0</v>
      </c>
      <c r="KK162" s="15">
        <f t="shared" si="114"/>
        <v>0</v>
      </c>
      <c r="KL162" s="19" t="str">
        <f t="shared" si="115"/>
        <v/>
      </c>
      <c r="KM162" s="52" t="str">
        <f t="shared" si="116"/>
        <v/>
      </c>
      <c r="KN162" s="22">
        <f t="shared" si="117"/>
        <v>0</v>
      </c>
      <c r="KO162" s="22">
        <f t="shared" si="118"/>
        <v>0</v>
      </c>
      <c r="KP162" s="19" t="str">
        <f t="shared" si="119"/>
        <v/>
      </c>
      <c r="KQ162" s="11" t="str">
        <f t="shared" si="120"/>
        <v>1. Neutral</v>
      </c>
      <c r="KR162" s="11" t="str">
        <f t="shared" si="121"/>
        <v>2. Accommodating</v>
      </c>
      <c r="KS162" s="11" t="str">
        <f t="shared" si="122"/>
        <v>2. Sensitive</v>
      </c>
      <c r="KT162" s="11" t="str">
        <f t="shared" si="123"/>
        <v>It tested new ways for fighting poverty and measured results of innovation</v>
      </c>
      <c r="KU162" s="11" t="str">
        <f t="shared" si="124"/>
        <v>Moderate advocacy</v>
      </c>
      <c r="KV162" s="11" t="str">
        <f t="shared" si="125"/>
        <v>It linked and worked with strategic alliances and partners to take tested and effective solutions to scale</v>
      </c>
      <c r="KW162" s="11" t="str">
        <f t="shared" si="126"/>
        <v>DRC - AID MATCH</v>
      </c>
      <c r="KX162" s="11" t="str">
        <f t="shared" si="127"/>
        <v>AID MATCH</v>
      </c>
      <c r="KY162" s="11" t="str">
        <f t="shared" si="128"/>
        <v>DRC</v>
      </c>
      <c r="KZ162" s="12">
        <v>162</v>
      </c>
    </row>
    <row r="163" spans="1:312" x14ac:dyDescent="0.3">
      <c r="A163" s="11" t="s">
        <v>14322</v>
      </c>
      <c r="B163" s="11" t="s">
        <v>1874</v>
      </c>
      <c r="D163" s="11" t="s">
        <v>2867</v>
      </c>
      <c r="E163" s="24" t="str">
        <f t="shared" si="86"/>
        <v>DRC</v>
      </c>
      <c r="F163" s="11" t="s">
        <v>2868</v>
      </c>
      <c r="G163" s="11" t="s">
        <v>467</v>
      </c>
      <c r="H163" s="11" t="s">
        <v>310</v>
      </c>
      <c r="I163" s="11" t="s">
        <v>468</v>
      </c>
      <c r="J163" s="278" t="s">
        <v>9212</v>
      </c>
      <c r="BD163" s="23">
        <v>42370</v>
      </c>
      <c r="BE163" s="23">
        <v>43890</v>
      </c>
      <c r="BG163" s="11" t="s">
        <v>350</v>
      </c>
      <c r="BH163" s="22">
        <v>2472112.2000000002</v>
      </c>
      <c r="BI163" s="11" t="s">
        <v>2869</v>
      </c>
      <c r="BJ163" s="11" t="s">
        <v>444</v>
      </c>
      <c r="BK163" s="11" t="s">
        <v>2870</v>
      </c>
      <c r="BO163" s="12" t="s">
        <v>319</v>
      </c>
      <c r="BP163" s="12" t="s">
        <v>320</v>
      </c>
      <c r="BQ163" s="12" t="s">
        <v>319</v>
      </c>
      <c r="BR163" s="11" t="s">
        <v>2871</v>
      </c>
      <c r="BS163" s="11" t="s">
        <v>357</v>
      </c>
      <c r="BT163" s="11" t="s">
        <v>2872</v>
      </c>
      <c r="BU163" s="11" t="s">
        <v>2873</v>
      </c>
      <c r="BV163" s="22">
        <v>70550</v>
      </c>
      <c r="BW163" s="22">
        <v>18650</v>
      </c>
      <c r="BX163" s="22">
        <v>89200</v>
      </c>
      <c r="BY163" s="22">
        <v>2400000</v>
      </c>
      <c r="BZ163" s="22">
        <v>0</v>
      </c>
      <c r="CA163" s="22">
        <v>2400000</v>
      </c>
      <c r="CB163" s="15" t="s">
        <v>2874</v>
      </c>
      <c r="CL163" s="18"/>
      <c r="CP163" s="18"/>
      <c r="CT163" s="18"/>
      <c r="CX163" s="18"/>
      <c r="DB163" s="18"/>
      <c r="DF163" s="18"/>
      <c r="DJ163" s="18"/>
      <c r="DN163" s="18"/>
      <c r="DR163" s="18"/>
      <c r="DV163" s="18"/>
      <c r="DZ163" s="18"/>
      <c r="ED163" s="18"/>
      <c r="EI163" s="18"/>
      <c r="EK163" s="22">
        <v>9756</v>
      </c>
      <c r="EL163" s="22">
        <v>9485</v>
      </c>
      <c r="EM163" s="22">
        <v>19241</v>
      </c>
      <c r="EN163" s="22">
        <v>58536</v>
      </c>
      <c r="EO163" s="22">
        <v>56910</v>
      </c>
      <c r="EP163" s="22">
        <v>115446</v>
      </c>
      <c r="ES163" s="18"/>
      <c r="EW163" s="18"/>
      <c r="EY163" s="12" t="s">
        <v>320</v>
      </c>
      <c r="EZ163" s="22">
        <v>180</v>
      </c>
      <c r="FA163" s="18">
        <v>0.3</v>
      </c>
      <c r="FB163" s="22">
        <v>1080</v>
      </c>
      <c r="FE163" s="18"/>
      <c r="FG163" s="12" t="s">
        <v>320</v>
      </c>
      <c r="FH163" s="22">
        <v>129</v>
      </c>
      <c r="FI163" s="18">
        <v>0.33300000000000002</v>
      </c>
      <c r="FJ163" s="22">
        <v>774</v>
      </c>
      <c r="FM163" s="18"/>
      <c r="FQ163" s="18"/>
      <c r="FS163" s="12" t="s">
        <v>320</v>
      </c>
      <c r="FT163" s="22">
        <v>7021</v>
      </c>
      <c r="FU163" s="18">
        <v>6.8000000000000005E-2</v>
      </c>
      <c r="FV163" s="22">
        <v>42126</v>
      </c>
      <c r="FY163" s="18"/>
      <c r="GA163" s="11" t="s">
        <v>320</v>
      </c>
      <c r="GB163" s="22">
        <v>2000</v>
      </c>
      <c r="GC163" s="18">
        <v>0.75</v>
      </c>
      <c r="GD163" s="22">
        <v>12000</v>
      </c>
      <c r="GG163" s="18"/>
      <c r="GK163" s="18"/>
      <c r="GM163" s="11" t="s">
        <v>320</v>
      </c>
      <c r="GN163" s="22">
        <v>553</v>
      </c>
      <c r="GO163" s="18">
        <v>0.318</v>
      </c>
      <c r="GP163" s="22">
        <v>3318</v>
      </c>
      <c r="GQ163" s="12" t="s">
        <v>320</v>
      </c>
      <c r="GR163" s="22">
        <v>1369</v>
      </c>
      <c r="GS163" s="18">
        <v>0.59099999999999997</v>
      </c>
      <c r="GT163" s="22">
        <v>8214</v>
      </c>
      <c r="GW163" s="18"/>
      <c r="GY163" s="11" t="s">
        <v>320</v>
      </c>
      <c r="GZ163" s="22">
        <v>6697</v>
      </c>
      <c r="HA163" s="18">
        <v>0.83799999999999997</v>
      </c>
      <c r="HB163" s="22">
        <v>47934</v>
      </c>
      <c r="HF163" s="18"/>
      <c r="HH163" s="11" t="s">
        <v>320</v>
      </c>
      <c r="HI163" s="11" t="s">
        <v>560</v>
      </c>
      <c r="HK163" s="11" t="s">
        <v>320</v>
      </c>
      <c r="HL163" s="11" t="s">
        <v>320</v>
      </c>
      <c r="HM163" s="11" t="s">
        <v>361</v>
      </c>
      <c r="HN163" s="11">
        <v>2018</v>
      </c>
      <c r="HO163" s="11" t="s">
        <v>2875</v>
      </c>
      <c r="HP163" s="11" t="s">
        <v>453</v>
      </c>
      <c r="HQ163" s="11" t="s">
        <v>320</v>
      </c>
      <c r="HR163" s="11" t="s">
        <v>320</v>
      </c>
      <c r="HS163" s="11" t="s">
        <v>320</v>
      </c>
      <c r="HT163" s="11" t="s">
        <v>320</v>
      </c>
      <c r="HW163" s="11" t="s">
        <v>320</v>
      </c>
      <c r="HZ163" s="12" t="s">
        <v>331</v>
      </c>
      <c r="IA163" s="11" t="s">
        <v>2876</v>
      </c>
      <c r="IB163" s="12" t="s">
        <v>396</v>
      </c>
      <c r="IC163" s="11" t="s">
        <v>2877</v>
      </c>
      <c r="ID163" s="11" t="s">
        <v>477</v>
      </c>
      <c r="IE163" s="11" t="s">
        <v>478</v>
      </c>
      <c r="IF163" s="11" t="s">
        <v>320</v>
      </c>
      <c r="IG163" s="11" t="s">
        <v>320</v>
      </c>
      <c r="IH163" s="11" t="s">
        <v>320</v>
      </c>
      <c r="II163" s="11" t="s">
        <v>320</v>
      </c>
      <c r="IJ163" s="12" t="str">
        <f t="shared" si="87"/>
        <v>4. Transformative</v>
      </c>
      <c r="IK163" s="12">
        <f t="shared" si="88"/>
        <v>4</v>
      </c>
      <c r="IL163" s="11" t="s">
        <v>621</v>
      </c>
      <c r="IM163" s="11" t="s">
        <v>320</v>
      </c>
      <c r="IN163" s="11" t="s">
        <v>320</v>
      </c>
      <c r="IO163" s="11" t="s">
        <v>320</v>
      </c>
      <c r="IP163" s="11" t="s">
        <v>320</v>
      </c>
      <c r="IQ163" s="12" t="str">
        <f t="shared" si="89"/>
        <v>4. Transformational</v>
      </c>
      <c r="IR163" s="12">
        <f t="shared" si="90"/>
        <v>4</v>
      </c>
      <c r="IS163" s="11" t="s">
        <v>337</v>
      </c>
      <c r="IT163" s="11" t="s">
        <v>320</v>
      </c>
      <c r="IU163" s="11" t="s">
        <v>320</v>
      </c>
      <c r="IV163" s="11" t="s">
        <v>320</v>
      </c>
      <c r="IW163" s="11" t="str">
        <f t="shared" si="91"/>
        <v>2. Sensitive</v>
      </c>
      <c r="IX163" s="12">
        <f t="shared" si="92"/>
        <v>3</v>
      </c>
      <c r="IY163" s="11" t="s">
        <v>419</v>
      </c>
      <c r="IZ163" s="11" t="s">
        <v>527</v>
      </c>
      <c r="JA163" s="11">
        <v>2</v>
      </c>
      <c r="JB163" s="11" t="s">
        <v>433</v>
      </c>
      <c r="JC163" s="12" t="s">
        <v>433</v>
      </c>
      <c r="JD163" s="12" t="s">
        <v>651</v>
      </c>
      <c r="JE163" s="12" t="s">
        <v>340</v>
      </c>
      <c r="JF163" s="11" t="s">
        <v>2878</v>
      </c>
      <c r="JG163" s="11" t="s">
        <v>2879</v>
      </c>
      <c r="JH163" s="11" t="s">
        <v>2880</v>
      </c>
      <c r="JI163" s="11" t="s">
        <v>2881</v>
      </c>
      <c r="JK163" s="11" t="s">
        <v>2882</v>
      </c>
      <c r="JL163" s="11" t="s">
        <v>2883</v>
      </c>
      <c r="JM163" s="11" t="s">
        <v>2884</v>
      </c>
      <c r="JN163" s="11" t="s">
        <v>2885</v>
      </c>
      <c r="JO163" s="11" t="s">
        <v>2886</v>
      </c>
      <c r="JP163" s="15">
        <f t="shared" si="93"/>
        <v>19241</v>
      </c>
      <c r="JQ163" s="15">
        <f t="shared" si="94"/>
        <v>115446</v>
      </c>
      <c r="JR163" s="279">
        <f t="shared" si="95"/>
        <v>6</v>
      </c>
      <c r="JS163" s="17">
        <f t="shared" si="96"/>
        <v>0.50704225352112675</v>
      </c>
      <c r="JT163" s="18">
        <f t="shared" si="97"/>
        <v>0.50704225352112675</v>
      </c>
      <c r="JU163" s="280">
        <f t="shared" si="98"/>
        <v>9756</v>
      </c>
      <c r="JV163" s="280">
        <f t="shared" si="99"/>
        <v>58536</v>
      </c>
      <c r="JW163" s="319" t="str">
        <f t="shared" si="100"/>
        <v/>
      </c>
      <c r="JX163" s="15">
        <f t="shared" si="101"/>
        <v>0</v>
      </c>
      <c r="JY163" s="15">
        <f t="shared" si="102"/>
        <v>0</v>
      </c>
      <c r="JZ163" s="19" t="str">
        <f t="shared" si="103"/>
        <v/>
      </c>
      <c r="KA163" s="52">
        <f t="shared" si="104"/>
        <v>1</v>
      </c>
      <c r="KB163" s="15">
        <f t="shared" si="105"/>
        <v>129</v>
      </c>
      <c r="KC163" s="15">
        <f t="shared" si="106"/>
        <v>774</v>
      </c>
      <c r="KD163" s="20">
        <f t="shared" si="107"/>
        <v>6</v>
      </c>
      <c r="KE163" s="52">
        <f t="shared" si="108"/>
        <v>1</v>
      </c>
      <c r="KF163" s="15">
        <f t="shared" si="109"/>
        <v>1369</v>
      </c>
      <c r="KG163" s="15">
        <f t="shared" si="110"/>
        <v>8214</v>
      </c>
      <c r="KH163" s="21">
        <f t="shared" si="111"/>
        <v>6</v>
      </c>
      <c r="KI163" s="52">
        <f t="shared" si="112"/>
        <v>1</v>
      </c>
      <c r="KJ163" s="15">
        <f t="shared" si="113"/>
        <v>7021</v>
      </c>
      <c r="KK163" s="15">
        <f t="shared" si="114"/>
        <v>42126</v>
      </c>
      <c r="KL163" s="19">
        <f t="shared" si="115"/>
        <v>6</v>
      </c>
      <c r="KM163" s="52">
        <f t="shared" si="116"/>
        <v>1</v>
      </c>
      <c r="KN163" s="22">
        <f t="shared" si="117"/>
        <v>6697</v>
      </c>
      <c r="KO163" s="22">
        <f t="shared" si="118"/>
        <v>47934</v>
      </c>
      <c r="KP163" s="19">
        <f t="shared" si="119"/>
        <v>7.1575332238315665</v>
      </c>
      <c r="KQ163" s="11" t="str">
        <f t="shared" si="120"/>
        <v>4. Transformative</v>
      </c>
      <c r="KR163" s="11" t="str">
        <f t="shared" si="121"/>
        <v>4. Transformational</v>
      </c>
      <c r="KS163" s="11" t="str">
        <f t="shared" si="122"/>
        <v>2. Sensitive</v>
      </c>
      <c r="KT163" s="11" t="str">
        <f t="shared" si="123"/>
        <v>It tested new ways for fighting poverty and measured results of innovation</v>
      </c>
      <c r="KU163" s="11" t="str">
        <f t="shared" si="124"/>
        <v>Intensive advocacy</v>
      </c>
      <c r="KV163" s="11" t="str">
        <f t="shared" si="125"/>
        <v>It linked and worked with strategic alliances and partners to take tested and effective solutions to scale</v>
      </c>
      <c r="KW163" s="11" t="str">
        <f t="shared" si="126"/>
        <v>DRC - Gender Equality Women Empowerment Program ( GEWEP)</v>
      </c>
      <c r="KX163" s="11" t="str">
        <f t="shared" si="127"/>
        <v>Gender Equality Women Empowerment Program ( GEWEP)</v>
      </c>
      <c r="KY163" s="11" t="str">
        <f t="shared" si="128"/>
        <v>DRC</v>
      </c>
      <c r="KZ163" s="12">
        <v>163</v>
      </c>
    </row>
    <row r="164" spans="1:312" x14ac:dyDescent="0.3">
      <c r="A164" s="11" t="s">
        <v>14322</v>
      </c>
      <c r="B164" s="11" t="s">
        <v>1874</v>
      </c>
      <c r="D164" s="11" t="s">
        <v>2833</v>
      </c>
      <c r="E164" s="277" t="str">
        <f t="shared" si="86"/>
        <v>DRC</v>
      </c>
      <c r="F164" s="11" t="s">
        <v>2834</v>
      </c>
      <c r="G164" s="11" t="s">
        <v>425</v>
      </c>
      <c r="H164" s="11" t="s">
        <v>310</v>
      </c>
      <c r="J164" s="278"/>
      <c r="BD164" s="23">
        <v>42339</v>
      </c>
      <c r="BE164" s="23">
        <v>43616</v>
      </c>
      <c r="BG164" s="11" t="s">
        <v>350</v>
      </c>
      <c r="BI164" s="26" t="s">
        <v>2835</v>
      </c>
      <c r="BJ164" s="11" t="s">
        <v>354</v>
      </c>
      <c r="BK164" s="11" t="s">
        <v>2836</v>
      </c>
      <c r="BN164" s="25"/>
      <c r="BO164" s="12" t="s">
        <v>319</v>
      </c>
      <c r="BP164" s="12" t="s">
        <v>320</v>
      </c>
      <c r="BQ164" s="12" t="s">
        <v>319</v>
      </c>
      <c r="BR164" s="11" t="s">
        <v>2837</v>
      </c>
      <c r="BS164" s="11" t="s">
        <v>357</v>
      </c>
      <c r="BT164" s="11" t="s">
        <v>2838</v>
      </c>
      <c r="BU164" s="11" t="s">
        <v>2839</v>
      </c>
      <c r="BV164" s="22">
        <v>33760</v>
      </c>
      <c r="BW164" s="22">
        <v>24790</v>
      </c>
      <c r="BX164" s="22">
        <v>58550</v>
      </c>
      <c r="BY164" s="22">
        <v>50000</v>
      </c>
      <c r="BZ164" s="22">
        <v>22000</v>
      </c>
      <c r="CA164" s="22">
        <v>72000</v>
      </c>
      <c r="CL164" s="18"/>
      <c r="CP164" s="18"/>
      <c r="CT164" s="18"/>
      <c r="CX164" s="18"/>
      <c r="DB164" s="18"/>
      <c r="DF164" s="18"/>
      <c r="DJ164" s="18"/>
      <c r="DN164" s="18"/>
      <c r="DR164" s="18"/>
      <c r="DV164" s="18"/>
      <c r="DZ164" s="18"/>
      <c r="ED164" s="18"/>
      <c r="EI164" s="18"/>
      <c r="EK164" s="22">
        <v>12542</v>
      </c>
      <c r="EL164" s="22">
        <v>2294</v>
      </c>
      <c r="EM164" s="22">
        <v>14836</v>
      </c>
      <c r="EN164" s="22">
        <v>50538</v>
      </c>
      <c r="EO164" s="22">
        <v>4500</v>
      </c>
      <c r="EP164" s="22">
        <v>55038</v>
      </c>
      <c r="EQ164" s="12" t="s">
        <v>319</v>
      </c>
      <c r="ES164" s="18"/>
      <c r="EU164" s="11" t="s">
        <v>319</v>
      </c>
      <c r="EW164" s="18"/>
      <c r="EY164" s="12" t="s">
        <v>319</v>
      </c>
      <c r="FA164" s="18"/>
      <c r="FC164" s="12" t="s">
        <v>319</v>
      </c>
      <c r="FE164" s="18"/>
      <c r="FG164" s="12" t="s">
        <v>320</v>
      </c>
      <c r="FH164" s="22">
        <v>9975</v>
      </c>
      <c r="FI164" s="33">
        <v>1</v>
      </c>
      <c r="FJ164" s="22">
        <v>59850</v>
      </c>
      <c r="FK164" s="11" t="s">
        <v>319</v>
      </c>
      <c r="FM164" s="18"/>
      <c r="FO164" s="11" t="s">
        <v>319</v>
      </c>
      <c r="FQ164" s="18"/>
      <c r="FS164" s="12" t="s">
        <v>320</v>
      </c>
      <c r="FT164" s="22">
        <v>2294</v>
      </c>
      <c r="FU164" s="18">
        <v>0.76500000000000001</v>
      </c>
      <c r="FV164" s="22">
        <v>22294</v>
      </c>
      <c r="FW164" s="11" t="s">
        <v>319</v>
      </c>
      <c r="FY164" s="18"/>
      <c r="GA164" s="11" t="s">
        <v>319</v>
      </c>
      <c r="GC164" s="18"/>
      <c r="GE164" s="11" t="s">
        <v>319</v>
      </c>
      <c r="GG164" s="18"/>
      <c r="GI164" s="11" t="s">
        <v>319</v>
      </c>
      <c r="GK164" s="18"/>
      <c r="GM164" s="11" t="s">
        <v>319</v>
      </c>
      <c r="GO164" s="18"/>
      <c r="GQ164" s="12" t="s">
        <v>320</v>
      </c>
      <c r="GR164" s="22">
        <v>8734</v>
      </c>
      <c r="GS164" s="18">
        <v>1.028</v>
      </c>
      <c r="GT164" s="22">
        <v>2800</v>
      </c>
      <c r="GU164" s="11" t="s">
        <v>2840</v>
      </c>
      <c r="GW164" s="18"/>
      <c r="GY164" s="11" t="s">
        <v>320</v>
      </c>
      <c r="GZ164" s="22">
        <v>9975</v>
      </c>
      <c r="HA164" s="18">
        <v>1.4890000000000001</v>
      </c>
      <c r="HF164" s="18"/>
      <c r="HH164" s="11" t="s">
        <v>320</v>
      </c>
      <c r="HI164" s="11" t="s">
        <v>1175</v>
      </c>
      <c r="HJ164" s="11">
        <v>2017</v>
      </c>
      <c r="HK164" s="11" t="s">
        <v>320</v>
      </c>
      <c r="HL164" s="11" t="s">
        <v>320</v>
      </c>
      <c r="HM164" s="11" t="s">
        <v>328</v>
      </c>
      <c r="HP164" s="11" t="s">
        <v>330</v>
      </c>
      <c r="HU164" s="11" t="s">
        <v>320</v>
      </c>
      <c r="HZ164" s="12" t="s">
        <v>331</v>
      </c>
      <c r="IB164" s="12" t="s">
        <v>396</v>
      </c>
      <c r="ID164" s="12" t="s">
        <v>334</v>
      </c>
      <c r="IE164" s="11" t="s">
        <v>478</v>
      </c>
      <c r="IF164" s="11" t="s">
        <v>320</v>
      </c>
      <c r="IG164" s="11" t="s">
        <v>320</v>
      </c>
      <c r="IH164" s="11" t="s">
        <v>320</v>
      </c>
      <c r="II164" s="11" t="s">
        <v>320</v>
      </c>
      <c r="IJ164" s="12" t="str">
        <f t="shared" si="87"/>
        <v>4. Transformative</v>
      </c>
      <c r="IK164" s="12">
        <f t="shared" si="88"/>
        <v>4</v>
      </c>
      <c r="IL164" s="11" t="s">
        <v>336</v>
      </c>
      <c r="IM164" s="11" t="s">
        <v>320</v>
      </c>
      <c r="IN164" s="11" t="s">
        <v>320</v>
      </c>
      <c r="IO164" s="11" t="s">
        <v>320</v>
      </c>
      <c r="IQ164" s="12" t="str">
        <f t="shared" si="89"/>
        <v>2. Accommodating</v>
      </c>
      <c r="IR164" s="12">
        <f t="shared" si="90"/>
        <v>3</v>
      </c>
      <c r="IS164" s="11" t="s">
        <v>337</v>
      </c>
      <c r="IT164" s="11" t="s">
        <v>320</v>
      </c>
      <c r="IU164" s="11" t="s">
        <v>320</v>
      </c>
      <c r="IV164" s="11" t="s">
        <v>320</v>
      </c>
      <c r="IW164" s="11" t="str">
        <f t="shared" si="91"/>
        <v>2. Sensitive</v>
      </c>
      <c r="IX164" s="12">
        <f t="shared" si="92"/>
        <v>3</v>
      </c>
      <c r="IY164" s="11" t="s">
        <v>338</v>
      </c>
      <c r="IZ164" s="12" t="s">
        <v>457</v>
      </c>
      <c r="JA164" s="11">
        <v>4</v>
      </c>
      <c r="JB164" s="12" t="s">
        <v>831</v>
      </c>
      <c r="JC164" s="12" t="s">
        <v>433</v>
      </c>
      <c r="JD164" s="11" t="s">
        <v>687</v>
      </c>
      <c r="JE164" s="12" t="s">
        <v>365</v>
      </c>
      <c r="JG164" s="11" t="s">
        <v>2841</v>
      </c>
      <c r="JH164" s="11" t="s">
        <v>2842</v>
      </c>
      <c r="JI164" s="11" t="s">
        <v>2843</v>
      </c>
      <c r="JJ164" s="11" t="s">
        <v>2844</v>
      </c>
      <c r="JK164" s="11" t="s">
        <v>2845</v>
      </c>
      <c r="JL164" s="11" t="s">
        <v>2846</v>
      </c>
      <c r="JM164" s="11" t="s">
        <v>2847</v>
      </c>
      <c r="JN164" s="11" t="s">
        <v>2848</v>
      </c>
      <c r="JO164" s="11" t="s">
        <v>2849</v>
      </c>
      <c r="JP164" s="15">
        <f t="shared" si="93"/>
        <v>14836</v>
      </c>
      <c r="JQ164" s="15">
        <f t="shared" si="94"/>
        <v>55038</v>
      </c>
      <c r="JR164" s="279">
        <f t="shared" si="95"/>
        <v>3.7097600431383122</v>
      </c>
      <c r="JS164" s="17">
        <f t="shared" si="96"/>
        <v>0.84537611215961173</v>
      </c>
      <c r="JT164" s="18">
        <f t="shared" si="97"/>
        <v>0.91823830807805518</v>
      </c>
      <c r="JU164" s="280">
        <f t="shared" si="98"/>
        <v>12542</v>
      </c>
      <c r="JV164" s="280">
        <f t="shared" si="99"/>
        <v>50538</v>
      </c>
      <c r="JW164" s="319" t="str">
        <f t="shared" si="100"/>
        <v/>
      </c>
      <c r="JX164" s="15">
        <f t="shared" si="101"/>
        <v>0</v>
      </c>
      <c r="JY164" s="15">
        <f t="shared" si="102"/>
        <v>0</v>
      </c>
      <c r="JZ164" s="19" t="str">
        <f t="shared" si="103"/>
        <v/>
      </c>
      <c r="KA164" s="52">
        <f t="shared" si="104"/>
        <v>1</v>
      </c>
      <c r="KB164" s="15">
        <f t="shared" si="105"/>
        <v>9975</v>
      </c>
      <c r="KC164" s="15">
        <f t="shared" si="106"/>
        <v>59850</v>
      </c>
      <c r="KD164" s="20">
        <f t="shared" si="107"/>
        <v>6</v>
      </c>
      <c r="KE164" s="52">
        <f t="shared" si="108"/>
        <v>1</v>
      </c>
      <c r="KF164" s="15">
        <f t="shared" si="109"/>
        <v>8734</v>
      </c>
      <c r="KG164" s="15">
        <f t="shared" si="110"/>
        <v>2800</v>
      </c>
      <c r="KH164" s="21">
        <f t="shared" si="111"/>
        <v>0.32058621479276389</v>
      </c>
      <c r="KI164" s="52">
        <f t="shared" si="112"/>
        <v>1</v>
      </c>
      <c r="KJ164" s="15">
        <f t="shared" si="113"/>
        <v>2294</v>
      </c>
      <c r="KK164" s="15">
        <f t="shared" si="114"/>
        <v>22294</v>
      </c>
      <c r="KL164" s="19">
        <f t="shared" si="115"/>
        <v>9.7183958151700089</v>
      </c>
      <c r="KM164" s="52">
        <f t="shared" si="116"/>
        <v>1</v>
      </c>
      <c r="KN164" s="22">
        <f t="shared" si="117"/>
        <v>9975</v>
      </c>
      <c r="KO164" s="22">
        <f t="shared" si="118"/>
        <v>59850</v>
      </c>
      <c r="KP164" s="19">
        <f t="shared" si="119"/>
        <v>6</v>
      </c>
      <c r="KQ164" s="11" t="str">
        <f t="shared" si="120"/>
        <v>4. Transformative</v>
      </c>
      <c r="KR164" s="11" t="str">
        <f t="shared" si="121"/>
        <v>2. Accommodating</v>
      </c>
      <c r="KS164" s="11" t="str">
        <f t="shared" si="122"/>
        <v>2. Sensitive</v>
      </c>
      <c r="KT164" s="11" t="str">
        <f t="shared" si="123"/>
        <v>It tested new ways for fighting poverty and measured results of innovation</v>
      </c>
      <c r="KU164" s="11" t="str">
        <f t="shared" si="124"/>
        <v>Moderate advocacy</v>
      </c>
      <c r="KV164" s="11" t="str">
        <f t="shared" si="125"/>
        <v>It linked and worked with strategic alliances and partners to take tested and effective solutions to scale</v>
      </c>
      <c r="KW164" s="11" t="str">
        <f t="shared" si="126"/>
        <v>DRC - MAWE TATU</v>
      </c>
      <c r="KX164" s="11" t="str">
        <f t="shared" si="127"/>
        <v>MAWE TATU</v>
      </c>
      <c r="KY164" s="11" t="str">
        <f t="shared" si="128"/>
        <v>DRC</v>
      </c>
      <c r="KZ164" s="12">
        <v>164</v>
      </c>
    </row>
    <row r="165" spans="1:312" x14ac:dyDescent="0.3">
      <c r="A165" s="11" t="s">
        <v>14322</v>
      </c>
      <c r="B165" s="11" t="s">
        <v>1874</v>
      </c>
      <c r="D165" s="11" t="s">
        <v>2906</v>
      </c>
      <c r="E165" s="24" t="str">
        <f t="shared" si="86"/>
        <v>DRC</v>
      </c>
      <c r="F165" s="11" t="s">
        <v>2907</v>
      </c>
      <c r="G165" s="11" t="s">
        <v>379</v>
      </c>
      <c r="H165" s="11" t="s">
        <v>383</v>
      </c>
      <c r="I165" s="11" t="s">
        <v>384</v>
      </c>
      <c r="J165" s="278" t="s">
        <v>14606</v>
      </c>
      <c r="BD165" s="23">
        <v>42370</v>
      </c>
      <c r="BE165" s="23">
        <v>43465</v>
      </c>
      <c r="BG165" s="11" t="s">
        <v>947</v>
      </c>
      <c r="BH165" s="22">
        <v>4986893</v>
      </c>
      <c r="BI165" s="11" t="s">
        <v>2908</v>
      </c>
      <c r="BJ165" s="11" t="s">
        <v>444</v>
      </c>
      <c r="BK165" s="11" t="s">
        <v>2909</v>
      </c>
      <c r="BL165" s="11" t="s">
        <v>2910</v>
      </c>
      <c r="BM165" s="11" t="s">
        <v>2911</v>
      </c>
      <c r="BN165" s="11" t="s">
        <v>2912</v>
      </c>
      <c r="BO165" s="11" t="s">
        <v>320</v>
      </c>
      <c r="BP165" s="11" t="s">
        <v>320</v>
      </c>
      <c r="BQ165" s="11" t="s">
        <v>320</v>
      </c>
      <c r="BR165" s="11" t="s">
        <v>2913</v>
      </c>
      <c r="BS165" s="11" t="s">
        <v>322</v>
      </c>
      <c r="BT165" s="11" t="s">
        <v>2914</v>
      </c>
      <c r="BU165" s="11" t="s">
        <v>2915</v>
      </c>
      <c r="BV165" s="22">
        <v>106744</v>
      </c>
      <c r="BW165" s="22">
        <v>536</v>
      </c>
      <c r="BX165" s="22">
        <v>107280</v>
      </c>
      <c r="BY165" s="22">
        <v>73291</v>
      </c>
      <c r="BZ165" s="22">
        <v>48860</v>
      </c>
      <c r="CA165" s="22">
        <v>122151</v>
      </c>
      <c r="CB165" s="15" t="s">
        <v>2916</v>
      </c>
      <c r="CD165" s="22">
        <v>30742</v>
      </c>
      <c r="CE165" s="22">
        <v>88</v>
      </c>
      <c r="CF165" s="22">
        <v>30830</v>
      </c>
      <c r="CG165" s="22">
        <v>105400</v>
      </c>
      <c r="CH165" s="22">
        <v>59885</v>
      </c>
      <c r="CI165" s="22">
        <v>165285</v>
      </c>
      <c r="CJ165" s="11" t="s">
        <v>319</v>
      </c>
      <c r="CL165" s="18"/>
      <c r="CN165" s="11" t="s">
        <v>319</v>
      </c>
      <c r="CP165" s="18"/>
      <c r="CR165" s="11" t="s">
        <v>319</v>
      </c>
      <c r="CT165" s="18"/>
      <c r="CV165" s="11" t="s">
        <v>319</v>
      </c>
      <c r="CX165" s="18"/>
      <c r="CZ165" s="11" t="s">
        <v>319</v>
      </c>
      <c r="DB165" s="18"/>
      <c r="DD165" s="11" t="s">
        <v>319</v>
      </c>
      <c r="DF165" s="18"/>
      <c r="DH165" s="11" t="s">
        <v>319</v>
      </c>
      <c r="DJ165" s="18"/>
      <c r="DL165" s="11" t="s">
        <v>319</v>
      </c>
      <c r="DN165" s="18"/>
      <c r="DP165" s="11" t="s">
        <v>319</v>
      </c>
      <c r="DR165" s="18"/>
      <c r="DT165" s="11" t="s">
        <v>319</v>
      </c>
      <c r="DV165" s="18"/>
      <c r="DX165" s="12" t="s">
        <v>320</v>
      </c>
      <c r="DY165" s="22">
        <v>30742</v>
      </c>
      <c r="DZ165" s="18">
        <v>0.99</v>
      </c>
      <c r="EA165" s="22">
        <v>165285</v>
      </c>
      <c r="EB165" s="11" t="s">
        <v>319</v>
      </c>
      <c r="ED165" s="18"/>
      <c r="EI165" s="18"/>
      <c r="EQ165" s="12" t="s">
        <v>319</v>
      </c>
      <c r="ES165" s="18"/>
      <c r="EU165" s="11" t="s">
        <v>319</v>
      </c>
      <c r="EW165" s="18"/>
      <c r="EY165" s="12" t="s">
        <v>319</v>
      </c>
      <c r="FA165" s="18"/>
      <c r="FC165" s="12" t="s">
        <v>319</v>
      </c>
      <c r="FE165" s="18"/>
      <c r="FG165" s="12" t="s">
        <v>319</v>
      </c>
      <c r="FI165" s="18"/>
      <c r="FK165" s="11" t="s">
        <v>319</v>
      </c>
      <c r="FM165" s="18"/>
      <c r="FO165" s="11" t="s">
        <v>319</v>
      </c>
      <c r="FQ165" s="18"/>
      <c r="FS165" s="11" t="s">
        <v>319</v>
      </c>
      <c r="FU165" s="18"/>
      <c r="FW165" s="11" t="s">
        <v>319</v>
      </c>
      <c r="FY165" s="18"/>
      <c r="GA165" s="11" t="s">
        <v>319</v>
      </c>
      <c r="GC165" s="18"/>
      <c r="GE165" s="11" t="s">
        <v>319</v>
      </c>
      <c r="GG165" s="18"/>
      <c r="GI165" s="11" t="s">
        <v>319</v>
      </c>
      <c r="GK165" s="18"/>
      <c r="GM165" s="11" t="s">
        <v>319</v>
      </c>
      <c r="GO165" s="18"/>
      <c r="GQ165" s="11" t="s">
        <v>320</v>
      </c>
      <c r="GS165" s="18"/>
      <c r="GU165" s="11" t="s">
        <v>319</v>
      </c>
      <c r="GW165" s="18"/>
      <c r="GY165" s="11" t="s">
        <v>319</v>
      </c>
      <c r="HA165" s="18"/>
      <c r="HF165" s="18"/>
      <c r="HH165" s="11" t="s">
        <v>320</v>
      </c>
      <c r="HI165" s="11" t="s">
        <v>522</v>
      </c>
      <c r="HJ165" s="11">
        <v>2016</v>
      </c>
      <c r="HK165" s="11" t="s">
        <v>320</v>
      </c>
      <c r="HL165" s="11" t="s">
        <v>320</v>
      </c>
      <c r="HO165" s="11" t="s">
        <v>2917</v>
      </c>
      <c r="HP165" s="11" t="s">
        <v>330</v>
      </c>
      <c r="HQ165" s="11" t="s">
        <v>320</v>
      </c>
      <c r="HR165" s="11" t="s">
        <v>319</v>
      </c>
      <c r="HS165" s="11" t="s">
        <v>319</v>
      </c>
      <c r="HT165" s="11" t="s">
        <v>320</v>
      </c>
      <c r="HU165" s="11" t="s">
        <v>319</v>
      </c>
      <c r="HV165" s="11" t="s">
        <v>320</v>
      </c>
      <c r="HW165" s="11" t="s">
        <v>320</v>
      </c>
      <c r="HX165" s="11" t="s">
        <v>320</v>
      </c>
      <c r="HY165" s="11" t="s">
        <v>2918</v>
      </c>
      <c r="HZ165" s="11" t="s">
        <v>394</v>
      </c>
      <c r="IA165" s="11" t="s">
        <v>2919</v>
      </c>
      <c r="IB165" s="12" t="s">
        <v>396</v>
      </c>
      <c r="IC165" s="11" t="s">
        <v>2920</v>
      </c>
      <c r="ID165" s="12" t="s">
        <v>334</v>
      </c>
      <c r="IE165" s="11" t="s">
        <v>335</v>
      </c>
      <c r="IF165" s="11" t="s">
        <v>320</v>
      </c>
      <c r="IG165" s="11" t="s">
        <v>320</v>
      </c>
      <c r="IH165" s="11" t="s">
        <v>320</v>
      </c>
      <c r="II165" s="11" t="s">
        <v>320</v>
      </c>
      <c r="IJ165" s="12" t="str">
        <f t="shared" si="87"/>
        <v>2. Sensitive</v>
      </c>
      <c r="IK165" s="12">
        <f t="shared" si="88"/>
        <v>4</v>
      </c>
      <c r="IL165" s="11" t="s">
        <v>336</v>
      </c>
      <c r="IM165" s="11" t="s">
        <v>320</v>
      </c>
      <c r="IN165" s="11" t="s">
        <v>319</v>
      </c>
      <c r="IO165" s="11" t="s">
        <v>320</v>
      </c>
      <c r="IP165" s="11" t="s">
        <v>320</v>
      </c>
      <c r="IQ165" s="12" t="str">
        <f t="shared" si="89"/>
        <v>2. Accommodating</v>
      </c>
      <c r="IR165" s="12">
        <f t="shared" si="90"/>
        <v>3</v>
      </c>
      <c r="IS165" s="11" t="s">
        <v>337</v>
      </c>
      <c r="IT165" s="11" t="s">
        <v>320</v>
      </c>
      <c r="IV165" s="11" t="s">
        <v>320</v>
      </c>
      <c r="IW165" s="11" t="str">
        <f t="shared" si="91"/>
        <v>1. Neutral</v>
      </c>
      <c r="IX165" s="12">
        <f t="shared" si="92"/>
        <v>2</v>
      </c>
      <c r="IY165" s="11" t="s">
        <v>338</v>
      </c>
      <c r="IZ165" s="11" t="s">
        <v>527</v>
      </c>
      <c r="JA165" s="11">
        <v>66</v>
      </c>
      <c r="JB165" s="11" t="s">
        <v>623</v>
      </c>
      <c r="JC165" s="11" t="s">
        <v>687</v>
      </c>
      <c r="JD165" s="11" t="s">
        <v>624</v>
      </c>
      <c r="JE165" s="12" t="s">
        <v>365</v>
      </c>
      <c r="JF165" s="11" t="s">
        <v>2921</v>
      </c>
      <c r="JG165" s="11" t="s">
        <v>2922</v>
      </c>
      <c r="JH165" s="11" t="s">
        <v>2923</v>
      </c>
      <c r="JI165" s="11" t="s">
        <v>2924</v>
      </c>
      <c r="JJ165" s="11" t="s">
        <v>2925</v>
      </c>
      <c r="JK165" s="11" t="s">
        <v>2926</v>
      </c>
      <c r="JL165" s="11" t="s">
        <v>2927</v>
      </c>
      <c r="JM165" s="11" t="s">
        <v>2928</v>
      </c>
      <c r="JN165" s="11" t="s">
        <v>2929</v>
      </c>
      <c r="JO165" s="11" t="s">
        <v>2930</v>
      </c>
      <c r="JP165" s="15">
        <f t="shared" si="93"/>
        <v>30830</v>
      </c>
      <c r="JQ165" s="15">
        <f t="shared" si="94"/>
        <v>165285</v>
      </c>
      <c r="JR165" s="279">
        <f t="shared" si="95"/>
        <v>5.3611741809925402</v>
      </c>
      <c r="JS165" s="17">
        <f t="shared" si="96"/>
        <v>0.99714563736620176</v>
      </c>
      <c r="JT165" s="18">
        <f t="shared" si="97"/>
        <v>0.63768642042532597</v>
      </c>
      <c r="JU165" s="280">
        <f t="shared" si="98"/>
        <v>30742</v>
      </c>
      <c r="JV165" s="280">
        <f t="shared" si="99"/>
        <v>105400</v>
      </c>
      <c r="JW165" s="319">
        <f t="shared" si="100"/>
        <v>1</v>
      </c>
      <c r="JX165" s="15">
        <f t="shared" si="101"/>
        <v>30830</v>
      </c>
      <c r="JY165" s="15">
        <f t="shared" si="102"/>
        <v>165285</v>
      </c>
      <c r="JZ165" s="19">
        <f t="shared" si="103"/>
        <v>5.3611741809925402</v>
      </c>
      <c r="KA165" s="52" t="str">
        <f t="shared" si="104"/>
        <v/>
      </c>
      <c r="KB165" s="15">
        <f t="shared" si="105"/>
        <v>0</v>
      </c>
      <c r="KC165" s="15">
        <f t="shared" si="106"/>
        <v>0</v>
      </c>
      <c r="KD165" s="20" t="str">
        <f t="shared" si="107"/>
        <v/>
      </c>
      <c r="KE165" s="52">
        <f t="shared" si="108"/>
        <v>1</v>
      </c>
      <c r="KF165" s="15">
        <f t="shared" si="109"/>
        <v>0</v>
      </c>
      <c r="KG165" s="15">
        <f t="shared" si="110"/>
        <v>0</v>
      </c>
      <c r="KH165" s="21" t="str">
        <f t="shared" si="111"/>
        <v/>
      </c>
      <c r="KI165" s="52" t="str">
        <f t="shared" si="112"/>
        <v/>
      </c>
      <c r="KJ165" s="15">
        <f t="shared" si="113"/>
        <v>0</v>
      </c>
      <c r="KK165" s="15">
        <f t="shared" si="114"/>
        <v>0</v>
      </c>
      <c r="KL165" s="19" t="str">
        <f t="shared" si="115"/>
        <v/>
      </c>
      <c r="KM165" s="52" t="str">
        <f t="shared" si="116"/>
        <v/>
      </c>
      <c r="KN165" s="22">
        <f t="shared" si="117"/>
        <v>0</v>
      </c>
      <c r="KO165" s="22">
        <f t="shared" si="118"/>
        <v>0</v>
      </c>
      <c r="KP165" s="19" t="str">
        <f t="shared" si="119"/>
        <v/>
      </c>
      <c r="KQ165" s="11" t="str">
        <f t="shared" si="120"/>
        <v>2. Sensitive</v>
      </c>
      <c r="KR165" s="11" t="str">
        <f t="shared" si="121"/>
        <v>2. Accommodating</v>
      </c>
      <c r="KS165" s="11" t="str">
        <f t="shared" si="122"/>
        <v>1. Neutral</v>
      </c>
      <c r="KT165" s="11" t="str">
        <f t="shared" si="123"/>
        <v>It tested new ways for fighting poverty, but did not measure results of innovation</v>
      </c>
      <c r="KU165" s="11" t="str">
        <f t="shared" si="124"/>
        <v>Moderate advocacy</v>
      </c>
      <c r="KV165" s="11" t="str">
        <f t="shared" si="125"/>
        <v>It linked and worked with strategic alliances and partners to take tested and effective solutions to scale</v>
      </c>
      <c r="KW165" s="11" t="str">
        <f t="shared" si="126"/>
        <v>DRC - Supporting Access To Family Planning and Post Abortion Care (SAFPAC III)</v>
      </c>
      <c r="KX165" s="11" t="str">
        <f t="shared" si="127"/>
        <v>Supporting Access To Family Planning and Post Abortion Care (SAFPAC III)</v>
      </c>
      <c r="KY165" s="11" t="str">
        <f t="shared" si="128"/>
        <v>DRC</v>
      </c>
      <c r="KZ165" s="12">
        <v>165</v>
      </c>
    </row>
    <row r="166" spans="1:312" x14ac:dyDescent="0.3">
      <c r="A166" s="11" t="s">
        <v>14322</v>
      </c>
      <c r="B166" s="11" t="s">
        <v>1874</v>
      </c>
      <c r="D166" s="11" t="s">
        <v>2850</v>
      </c>
      <c r="E166" s="24" t="str">
        <f t="shared" si="86"/>
        <v>DRC</v>
      </c>
      <c r="F166" s="11" t="s">
        <v>2851</v>
      </c>
      <c r="G166" s="11" t="s">
        <v>425</v>
      </c>
      <c r="H166" s="11" t="s">
        <v>380</v>
      </c>
      <c r="I166" s="11" t="s">
        <v>517</v>
      </c>
      <c r="J166" s="278" t="s">
        <v>14578</v>
      </c>
      <c r="L166" s="11" t="s">
        <v>425</v>
      </c>
      <c r="M166" s="11" t="s">
        <v>380</v>
      </c>
      <c r="N166" s="11" t="s">
        <v>517</v>
      </c>
      <c r="Q166" s="11" t="s">
        <v>425</v>
      </c>
      <c r="R166" s="12" t="s">
        <v>380</v>
      </c>
      <c r="S166" s="11" t="s">
        <v>517</v>
      </c>
      <c r="BD166" s="23">
        <v>42095</v>
      </c>
      <c r="BE166" s="23">
        <v>43190</v>
      </c>
      <c r="BG166" s="11" t="s">
        <v>350</v>
      </c>
      <c r="BH166" s="22">
        <v>770453.61</v>
      </c>
      <c r="BI166" s="11" t="s">
        <v>2852</v>
      </c>
      <c r="BJ166" s="11" t="s">
        <v>1834</v>
      </c>
      <c r="BO166" s="11" t="s">
        <v>319</v>
      </c>
      <c r="BP166" s="11" t="s">
        <v>320</v>
      </c>
      <c r="BQ166" s="11" t="s">
        <v>319</v>
      </c>
      <c r="BR166" s="11" t="s">
        <v>2853</v>
      </c>
      <c r="BS166" s="11" t="s">
        <v>357</v>
      </c>
      <c r="BT166" s="11" t="s">
        <v>2854</v>
      </c>
      <c r="BU166" s="11" t="s">
        <v>2855</v>
      </c>
      <c r="BV166" s="22">
        <v>13000</v>
      </c>
      <c r="BW166" s="22">
        <v>12000</v>
      </c>
      <c r="BX166" s="22">
        <v>25000</v>
      </c>
      <c r="BY166" s="22">
        <v>928720</v>
      </c>
      <c r="BZ166" s="22">
        <v>857280</v>
      </c>
      <c r="CA166" s="22">
        <v>1786000</v>
      </c>
      <c r="CB166" s="15" t="s">
        <v>2856</v>
      </c>
      <c r="CL166" s="18"/>
      <c r="CP166" s="18"/>
      <c r="CT166" s="18"/>
      <c r="CX166" s="18"/>
      <c r="DB166" s="18"/>
      <c r="DF166" s="18"/>
      <c r="DJ166" s="18"/>
      <c r="DN166" s="18"/>
      <c r="DR166" s="18"/>
      <c r="DV166" s="18"/>
      <c r="DZ166" s="18"/>
      <c r="ED166" s="18"/>
      <c r="EI166" s="18"/>
      <c r="EK166" s="22">
        <v>4334</v>
      </c>
      <c r="EL166" s="22">
        <v>4000</v>
      </c>
      <c r="EM166" s="22">
        <v>8334</v>
      </c>
      <c r="EN166" s="22">
        <v>309574</v>
      </c>
      <c r="EO166" s="22">
        <v>285760</v>
      </c>
      <c r="EP166" s="22">
        <v>595334</v>
      </c>
      <c r="ES166" s="18"/>
      <c r="EW166" s="18"/>
      <c r="FA166" s="18"/>
      <c r="FE166" s="18"/>
      <c r="FI166" s="18"/>
      <c r="FM166" s="18"/>
      <c r="FQ166" s="18"/>
      <c r="FU166" s="18"/>
      <c r="FY166" s="18"/>
      <c r="GC166" s="18"/>
      <c r="GG166" s="18"/>
      <c r="GK166" s="18"/>
      <c r="GM166" s="11" t="s">
        <v>320</v>
      </c>
      <c r="GN166" s="22">
        <v>1807</v>
      </c>
      <c r="GO166" s="18"/>
      <c r="GS166" s="18"/>
      <c r="GW166" s="18"/>
      <c r="HA166" s="18"/>
      <c r="HF166" s="18"/>
      <c r="HH166" s="11" t="s">
        <v>320</v>
      </c>
      <c r="HI166" s="11" t="s">
        <v>431</v>
      </c>
      <c r="HK166" s="11" t="s">
        <v>320</v>
      </c>
      <c r="HL166" s="11" t="s">
        <v>320</v>
      </c>
      <c r="HM166" s="11" t="s">
        <v>560</v>
      </c>
      <c r="HN166" s="11">
        <v>2018</v>
      </c>
      <c r="HO166" s="11" t="s">
        <v>2857</v>
      </c>
      <c r="HP166" s="11" t="s">
        <v>330</v>
      </c>
      <c r="HQ166" s="11" t="s">
        <v>320</v>
      </c>
      <c r="HS166" s="11" t="s">
        <v>320</v>
      </c>
      <c r="HT166" s="11" t="s">
        <v>320</v>
      </c>
      <c r="HW166" s="11" t="s">
        <v>320</v>
      </c>
      <c r="HZ166" s="12" t="s">
        <v>331</v>
      </c>
      <c r="IB166" s="12" t="s">
        <v>396</v>
      </c>
      <c r="ID166" s="12" t="s">
        <v>334</v>
      </c>
      <c r="IE166" s="11" t="s">
        <v>335</v>
      </c>
      <c r="IF166" s="11" t="s">
        <v>320</v>
      </c>
      <c r="IG166" s="11" t="s">
        <v>320</v>
      </c>
      <c r="IH166" s="11" t="s">
        <v>320</v>
      </c>
      <c r="II166" s="11" t="s">
        <v>320</v>
      </c>
      <c r="IJ166" s="12" t="str">
        <f t="shared" si="87"/>
        <v>2. Sensitive</v>
      </c>
      <c r="IK166" s="12">
        <f t="shared" si="88"/>
        <v>4</v>
      </c>
      <c r="IL166" s="11" t="s">
        <v>336</v>
      </c>
      <c r="IM166" s="11" t="s">
        <v>320</v>
      </c>
      <c r="IN166" s="11" t="s">
        <v>320</v>
      </c>
      <c r="IP166" s="11" t="s">
        <v>320</v>
      </c>
      <c r="IQ166" s="12" t="str">
        <f t="shared" si="89"/>
        <v>2. Accommodating</v>
      </c>
      <c r="IR166" s="12">
        <f t="shared" si="90"/>
        <v>3</v>
      </c>
      <c r="IS166" s="11" t="s">
        <v>337</v>
      </c>
      <c r="IT166" s="11" t="s">
        <v>320</v>
      </c>
      <c r="IU166" s="11" t="s">
        <v>320</v>
      </c>
      <c r="IV166" s="11" t="s">
        <v>319</v>
      </c>
      <c r="IW166" s="11" t="str">
        <f t="shared" si="91"/>
        <v>1. Neutral</v>
      </c>
      <c r="IX166" s="12">
        <f t="shared" si="92"/>
        <v>2</v>
      </c>
      <c r="IY166" s="11" t="s">
        <v>338</v>
      </c>
      <c r="IZ166" s="12" t="s">
        <v>457</v>
      </c>
      <c r="JA166" s="11">
        <v>63</v>
      </c>
      <c r="JB166" s="12" t="s">
        <v>624</v>
      </c>
      <c r="JC166" s="11" t="s">
        <v>687</v>
      </c>
      <c r="JD166" s="12" t="s">
        <v>651</v>
      </c>
      <c r="JE166" s="12" t="s">
        <v>340</v>
      </c>
      <c r="JG166" s="11" t="s">
        <v>2858</v>
      </c>
      <c r="JH166" s="11" t="s">
        <v>2859</v>
      </c>
      <c r="JI166" s="11" t="s">
        <v>2860</v>
      </c>
      <c r="JJ166" s="11" t="s">
        <v>2861</v>
      </c>
      <c r="JK166" s="11" t="s">
        <v>2862</v>
      </c>
      <c r="JL166" s="11" t="s">
        <v>2863</v>
      </c>
      <c r="JM166" s="11" t="s">
        <v>2864</v>
      </c>
      <c r="JN166" s="11" t="s">
        <v>2865</v>
      </c>
      <c r="JO166" s="11" t="s">
        <v>2866</v>
      </c>
      <c r="JP166" s="15">
        <f t="shared" si="93"/>
        <v>8334</v>
      </c>
      <c r="JQ166" s="15">
        <f t="shared" si="94"/>
        <v>595334</v>
      </c>
      <c r="JR166" s="279">
        <f t="shared" si="95"/>
        <v>71.434365250779933</v>
      </c>
      <c r="JS166" s="17">
        <f t="shared" si="96"/>
        <v>0.52003839692824572</v>
      </c>
      <c r="JT166" s="18">
        <f t="shared" si="97"/>
        <v>0.52000053751339581</v>
      </c>
      <c r="JU166" s="280">
        <f t="shared" si="98"/>
        <v>4334</v>
      </c>
      <c r="JV166" s="280">
        <f t="shared" si="99"/>
        <v>309574</v>
      </c>
      <c r="JW166" s="319" t="str">
        <f t="shared" si="100"/>
        <v/>
      </c>
      <c r="JX166" s="15">
        <f t="shared" si="101"/>
        <v>0</v>
      </c>
      <c r="JY166" s="15">
        <f t="shared" si="102"/>
        <v>0</v>
      </c>
      <c r="JZ166" s="19" t="str">
        <f t="shared" si="103"/>
        <v/>
      </c>
      <c r="KA166" s="52" t="str">
        <f t="shared" si="104"/>
        <v/>
      </c>
      <c r="KB166" s="15">
        <f t="shared" si="105"/>
        <v>0</v>
      </c>
      <c r="KC166" s="15">
        <f t="shared" si="106"/>
        <v>0</v>
      </c>
      <c r="KD166" s="20" t="str">
        <f t="shared" si="107"/>
        <v/>
      </c>
      <c r="KE166" s="52" t="str">
        <f t="shared" si="108"/>
        <v/>
      </c>
      <c r="KF166" s="15">
        <f t="shared" si="109"/>
        <v>0</v>
      </c>
      <c r="KG166" s="15">
        <f t="shared" si="110"/>
        <v>0</v>
      </c>
      <c r="KH166" s="21" t="str">
        <f t="shared" si="111"/>
        <v/>
      </c>
      <c r="KI166" s="52" t="str">
        <f t="shared" si="112"/>
        <v/>
      </c>
      <c r="KJ166" s="15">
        <f t="shared" si="113"/>
        <v>0</v>
      </c>
      <c r="KK166" s="15">
        <f t="shared" si="114"/>
        <v>0</v>
      </c>
      <c r="KL166" s="19" t="str">
        <f t="shared" si="115"/>
        <v/>
      </c>
      <c r="KM166" s="52" t="str">
        <f t="shared" si="116"/>
        <v/>
      </c>
      <c r="KN166" s="22">
        <f t="shared" si="117"/>
        <v>0</v>
      </c>
      <c r="KO166" s="22">
        <f t="shared" si="118"/>
        <v>0</v>
      </c>
      <c r="KP166" s="19" t="str">
        <f t="shared" si="119"/>
        <v/>
      </c>
      <c r="KQ166" s="11" t="str">
        <f t="shared" si="120"/>
        <v>2. Sensitive</v>
      </c>
      <c r="KR166" s="11" t="str">
        <f t="shared" si="121"/>
        <v>2. Accommodating</v>
      </c>
      <c r="KS166" s="11" t="str">
        <f t="shared" si="122"/>
        <v>1. Neutral</v>
      </c>
      <c r="KT166" s="11" t="str">
        <f t="shared" si="123"/>
        <v>It tested new ways for fighting poverty and measured results of innovation</v>
      </c>
      <c r="KU166" s="11" t="str">
        <f t="shared" si="124"/>
        <v>Moderate advocacy</v>
      </c>
      <c r="KV166" s="11" t="str">
        <f t="shared" si="125"/>
        <v>It linked and worked with strategic alliances and partners to take tested and effective solutions to scale</v>
      </c>
      <c r="KW166" s="11" t="str">
        <f t="shared" si="126"/>
        <v>DRC - TUONGOZE PAMOJA</v>
      </c>
      <c r="KX166" s="11" t="str">
        <f t="shared" si="127"/>
        <v>TUONGOZE PAMOJA</v>
      </c>
      <c r="KY166" s="11" t="str">
        <f t="shared" si="128"/>
        <v>DRC</v>
      </c>
      <c r="KZ166" s="12">
        <v>166</v>
      </c>
    </row>
    <row r="167" spans="1:312" x14ac:dyDescent="0.3">
      <c r="A167" s="11" t="s">
        <v>3272</v>
      </c>
      <c r="B167" s="11" t="s">
        <v>2807</v>
      </c>
      <c r="C167" s="11">
        <v>2900</v>
      </c>
      <c r="D167" s="11" t="s">
        <v>3297</v>
      </c>
      <c r="E167" s="24" t="str">
        <f t="shared" si="86"/>
        <v>Ecuador</v>
      </c>
      <c r="F167" s="11" t="s">
        <v>3298</v>
      </c>
      <c r="G167" s="11" t="s">
        <v>376</v>
      </c>
      <c r="H167" s="11" t="s">
        <v>384</v>
      </c>
      <c r="I167" s="11" t="s">
        <v>384</v>
      </c>
      <c r="J167" s="278" t="s">
        <v>698</v>
      </c>
      <c r="BD167" s="23">
        <v>42480</v>
      </c>
      <c r="BE167" s="23">
        <v>42663</v>
      </c>
      <c r="BG167" s="11" t="s">
        <v>817</v>
      </c>
      <c r="BH167" s="22">
        <v>296296</v>
      </c>
      <c r="BI167" s="11" t="s">
        <v>3280</v>
      </c>
      <c r="BJ167" s="11" t="s">
        <v>3299</v>
      </c>
      <c r="BK167" s="11" t="s">
        <v>3282</v>
      </c>
      <c r="BL167" s="11" t="s">
        <v>3300</v>
      </c>
      <c r="BM167" s="11" t="s">
        <v>3301</v>
      </c>
      <c r="BN167" s="11" t="s">
        <v>3302</v>
      </c>
      <c r="BO167" s="11" t="s">
        <v>320</v>
      </c>
      <c r="BP167" s="11" t="s">
        <v>319</v>
      </c>
      <c r="BQ167" s="11" t="s">
        <v>319</v>
      </c>
      <c r="BR167" s="11" t="s">
        <v>3303</v>
      </c>
      <c r="BS167" s="11" t="s">
        <v>357</v>
      </c>
      <c r="BT167" s="11" t="s">
        <v>3304</v>
      </c>
      <c r="BU167" s="11" t="s">
        <v>3305</v>
      </c>
      <c r="BV167" s="22">
        <v>1965</v>
      </c>
      <c r="BW167" s="22">
        <v>1965</v>
      </c>
      <c r="BX167" s="22">
        <v>3930</v>
      </c>
      <c r="BY167" s="22">
        <v>4528</v>
      </c>
      <c r="BZ167" s="22">
        <v>4528</v>
      </c>
      <c r="CA167" s="22">
        <v>9056</v>
      </c>
      <c r="CB167" s="15" t="s">
        <v>3306</v>
      </c>
      <c r="CD167" s="22">
        <v>1965</v>
      </c>
      <c r="CE167" s="22">
        <v>1965</v>
      </c>
      <c r="CF167" s="22">
        <v>3930</v>
      </c>
      <c r="CG167" s="22">
        <v>4528</v>
      </c>
      <c r="CH167" s="22">
        <v>4528</v>
      </c>
      <c r="CI167" s="22">
        <v>9056</v>
      </c>
      <c r="CL167" s="18"/>
      <c r="CP167" s="18"/>
      <c r="CT167" s="18"/>
      <c r="CX167" s="18"/>
      <c r="DB167" s="18"/>
      <c r="DF167" s="18"/>
      <c r="DJ167" s="18"/>
      <c r="DN167" s="18"/>
      <c r="DR167" s="18"/>
      <c r="DV167" s="18"/>
      <c r="DX167" s="12" t="s">
        <v>320</v>
      </c>
      <c r="DY167" s="22">
        <v>3930</v>
      </c>
      <c r="DZ167" s="18">
        <v>0.5</v>
      </c>
      <c r="EA167" s="22">
        <v>9056</v>
      </c>
      <c r="EB167" s="11" t="s">
        <v>320</v>
      </c>
      <c r="EC167" s="22">
        <v>3930</v>
      </c>
      <c r="ED167" s="18">
        <v>0.5</v>
      </c>
      <c r="EE167" s="22">
        <v>9056</v>
      </c>
      <c r="EI167" s="18"/>
      <c r="ES167" s="18"/>
      <c r="EW167" s="18"/>
      <c r="FA167" s="18"/>
      <c r="FE167" s="18"/>
      <c r="FI167" s="18"/>
      <c r="FM167" s="18"/>
      <c r="FQ167" s="18"/>
      <c r="FU167" s="18"/>
      <c r="FY167" s="18"/>
      <c r="GC167" s="18"/>
      <c r="GG167" s="18"/>
      <c r="GK167" s="18"/>
      <c r="GO167" s="18"/>
      <c r="GS167" s="18"/>
      <c r="GW167" s="18"/>
      <c r="HA167" s="18"/>
      <c r="HF167" s="18"/>
      <c r="HH167" s="11" t="s">
        <v>319</v>
      </c>
      <c r="HL167" s="11" t="s">
        <v>319</v>
      </c>
      <c r="HP167" s="11" t="s">
        <v>453</v>
      </c>
      <c r="HS167" s="11" t="s">
        <v>320</v>
      </c>
      <c r="HZ167" s="11" t="s">
        <v>363</v>
      </c>
      <c r="IB167" s="12" t="s">
        <v>396</v>
      </c>
      <c r="IC167" s="11" t="s">
        <v>3307</v>
      </c>
      <c r="ID167" s="11" t="s">
        <v>364</v>
      </c>
      <c r="IE167" s="11" t="s">
        <v>335</v>
      </c>
      <c r="IF167" s="11" t="s">
        <v>319</v>
      </c>
      <c r="IG167" s="11" t="s">
        <v>319</v>
      </c>
      <c r="IH167" s="11" t="s">
        <v>320</v>
      </c>
      <c r="II167" s="11" t="s">
        <v>320</v>
      </c>
      <c r="IJ167" s="12" t="str">
        <f t="shared" si="87"/>
        <v>1. Neutral</v>
      </c>
      <c r="IK167" s="12">
        <f t="shared" si="88"/>
        <v>2</v>
      </c>
      <c r="IL167" s="11" t="s">
        <v>336</v>
      </c>
      <c r="IM167" s="11" t="s">
        <v>320</v>
      </c>
      <c r="IN167" s="11" t="s">
        <v>320</v>
      </c>
      <c r="IO167" s="11" t="s">
        <v>320</v>
      </c>
      <c r="IP167" s="11" t="s">
        <v>319</v>
      </c>
      <c r="IQ167" s="12" t="str">
        <f t="shared" si="89"/>
        <v>2. Accommodating</v>
      </c>
      <c r="IR167" s="12">
        <f t="shared" si="90"/>
        <v>3</v>
      </c>
      <c r="IS167" s="11" t="s">
        <v>337</v>
      </c>
      <c r="IT167" s="11" t="s">
        <v>320</v>
      </c>
      <c r="IU167" s="11" t="s">
        <v>320</v>
      </c>
      <c r="IV167" s="11" t="s">
        <v>319</v>
      </c>
      <c r="IW167" s="11" t="str">
        <f t="shared" si="91"/>
        <v>1. Neutral</v>
      </c>
      <c r="IX167" s="12">
        <f t="shared" si="92"/>
        <v>2</v>
      </c>
      <c r="IY167" s="12" t="s">
        <v>758</v>
      </c>
      <c r="IZ167" s="12" t="s">
        <v>432</v>
      </c>
      <c r="JB167" s="12" t="s">
        <v>831</v>
      </c>
      <c r="JC167" s="11" t="s">
        <v>433</v>
      </c>
      <c r="JE167" s="12" t="s">
        <v>420</v>
      </c>
      <c r="JH167" s="11" t="s">
        <v>3308</v>
      </c>
      <c r="JK167" s="11" t="s">
        <v>3309</v>
      </c>
      <c r="JL167" s="11" t="s">
        <v>3310</v>
      </c>
      <c r="JM167" s="11" t="s">
        <v>3311</v>
      </c>
      <c r="JN167" s="11" t="s">
        <v>3312</v>
      </c>
      <c r="JO167" s="11" t="s">
        <v>3313</v>
      </c>
      <c r="JP167" s="15">
        <f t="shared" si="93"/>
        <v>3930</v>
      </c>
      <c r="JQ167" s="15">
        <f t="shared" si="94"/>
        <v>9056</v>
      </c>
      <c r="JR167" s="279">
        <f t="shared" si="95"/>
        <v>2.3043256997455472</v>
      </c>
      <c r="JS167" s="17">
        <f t="shared" si="96"/>
        <v>0.5</v>
      </c>
      <c r="JT167" s="18">
        <f t="shared" si="97"/>
        <v>0.5</v>
      </c>
      <c r="JU167" s="280">
        <f t="shared" si="98"/>
        <v>1965</v>
      </c>
      <c r="JV167" s="280">
        <f t="shared" si="99"/>
        <v>4528</v>
      </c>
      <c r="JW167" s="319">
        <f t="shared" si="100"/>
        <v>1</v>
      </c>
      <c r="JX167" s="15">
        <f t="shared" si="101"/>
        <v>3930</v>
      </c>
      <c r="JY167" s="15">
        <f t="shared" si="102"/>
        <v>9056</v>
      </c>
      <c r="JZ167" s="19">
        <f t="shared" si="103"/>
        <v>2.3043256997455472</v>
      </c>
      <c r="KA167" s="52" t="str">
        <f t="shared" si="104"/>
        <v/>
      </c>
      <c r="KB167" s="15">
        <f t="shared" si="105"/>
        <v>0</v>
      </c>
      <c r="KC167" s="15">
        <f t="shared" si="106"/>
        <v>0</v>
      </c>
      <c r="KD167" s="20" t="str">
        <f t="shared" si="107"/>
        <v/>
      </c>
      <c r="KE167" s="52" t="str">
        <f t="shared" si="108"/>
        <v/>
      </c>
      <c r="KF167" s="15">
        <f t="shared" si="109"/>
        <v>0</v>
      </c>
      <c r="KG167" s="15">
        <f t="shared" si="110"/>
        <v>0</v>
      </c>
      <c r="KH167" s="21" t="str">
        <f t="shared" si="111"/>
        <v/>
      </c>
      <c r="KI167" s="52" t="str">
        <f t="shared" si="112"/>
        <v/>
      </c>
      <c r="KJ167" s="15">
        <f t="shared" si="113"/>
        <v>0</v>
      </c>
      <c r="KK167" s="15">
        <f t="shared" si="114"/>
        <v>0</v>
      </c>
      <c r="KL167" s="19" t="str">
        <f t="shared" si="115"/>
        <v/>
      </c>
      <c r="KM167" s="52" t="str">
        <f t="shared" si="116"/>
        <v/>
      </c>
      <c r="KN167" s="22">
        <f t="shared" si="117"/>
        <v>0</v>
      </c>
      <c r="KO167" s="22">
        <f t="shared" si="118"/>
        <v>0</v>
      </c>
      <c r="KP167" s="19" t="str">
        <f t="shared" si="119"/>
        <v/>
      </c>
      <c r="KQ167" s="11" t="str">
        <f t="shared" si="120"/>
        <v>1. Neutral</v>
      </c>
      <c r="KR167" s="11" t="str">
        <f t="shared" si="121"/>
        <v>2. Accommodating</v>
      </c>
      <c r="KS167" s="11" t="str">
        <f t="shared" si="122"/>
        <v>1. Neutral</v>
      </c>
      <c r="KT167" s="11" t="str">
        <f t="shared" si="123"/>
        <v>It did not develop any specific innovation</v>
      </c>
      <c r="KU167" s="11" t="str">
        <f t="shared" si="124"/>
        <v>Intensive advocacy</v>
      </c>
      <c r="KV167" s="11" t="str">
        <f t="shared" si="125"/>
        <v>It linked and worked with strategic alliances and partners to take tested and effective solutions to scale</v>
      </c>
      <c r="KW167" s="11" t="str">
        <f t="shared" si="126"/>
        <v>Ecuador - 2016 Ecuador Earthquake Response</v>
      </c>
      <c r="KX167" s="11" t="str">
        <f t="shared" si="127"/>
        <v>2016 Ecuador Earthquake Response</v>
      </c>
      <c r="KY167" s="11" t="str">
        <f t="shared" si="128"/>
        <v>Ecuador</v>
      </c>
      <c r="KZ167" s="12">
        <v>167</v>
      </c>
    </row>
    <row r="168" spans="1:312" x14ac:dyDescent="0.3">
      <c r="A168" s="11" t="s">
        <v>3272</v>
      </c>
      <c r="B168" s="11" t="s">
        <v>2807</v>
      </c>
      <c r="C168" s="11">
        <v>2892</v>
      </c>
      <c r="D168" s="11" t="s">
        <v>3365</v>
      </c>
      <c r="E168" s="24" t="str">
        <f t="shared" si="86"/>
        <v>Ecuador</v>
      </c>
      <c r="F168" s="11" t="s">
        <v>3366</v>
      </c>
      <c r="G168" s="11" t="s">
        <v>714</v>
      </c>
      <c r="H168" s="11" t="s">
        <v>383</v>
      </c>
      <c r="I168" s="11" t="s">
        <v>384</v>
      </c>
      <c r="J168" s="278" t="s">
        <v>14614</v>
      </c>
      <c r="BD168" s="23">
        <v>42475</v>
      </c>
      <c r="BE168" s="23">
        <v>43570</v>
      </c>
      <c r="BG168" s="11" t="s">
        <v>908</v>
      </c>
      <c r="BH168" s="22">
        <v>392221.18</v>
      </c>
      <c r="BI168" s="11" t="s">
        <v>3300</v>
      </c>
      <c r="BJ168" s="11" t="s">
        <v>3367</v>
      </c>
      <c r="BK168" s="11" t="s">
        <v>3302</v>
      </c>
      <c r="BL168" s="11" t="s">
        <v>3280</v>
      </c>
      <c r="BM168" s="11" t="s">
        <v>3299</v>
      </c>
      <c r="BN168" s="11" t="s">
        <v>3282</v>
      </c>
      <c r="BO168" s="12" t="s">
        <v>319</v>
      </c>
      <c r="BP168" s="12" t="s">
        <v>320</v>
      </c>
      <c r="BQ168" s="12" t="s">
        <v>319</v>
      </c>
      <c r="BR168" s="11" t="s">
        <v>3368</v>
      </c>
      <c r="BS168" s="11" t="s">
        <v>357</v>
      </c>
      <c r="BT168" s="11" t="s">
        <v>3369</v>
      </c>
      <c r="BU168" s="11" t="s">
        <v>3370</v>
      </c>
      <c r="BV168" s="22">
        <v>1800</v>
      </c>
      <c r="BW168" s="22">
        <v>1200</v>
      </c>
      <c r="BX168" s="22">
        <v>3000</v>
      </c>
      <c r="BY168" s="22">
        <v>21000</v>
      </c>
      <c r="BZ168" s="22">
        <v>14000</v>
      </c>
      <c r="CA168" s="22">
        <v>35000</v>
      </c>
      <c r="CB168" s="15" t="s">
        <v>3371</v>
      </c>
      <c r="CL168" s="18"/>
      <c r="CP168" s="18"/>
      <c r="CT168" s="18"/>
      <c r="CX168" s="18"/>
      <c r="DB168" s="18"/>
      <c r="DF168" s="18"/>
      <c r="DJ168" s="18"/>
      <c r="DN168" s="18"/>
      <c r="DR168" s="18"/>
      <c r="DV168" s="18"/>
      <c r="DZ168" s="18"/>
      <c r="ED168" s="18"/>
      <c r="EI168" s="18"/>
      <c r="EK168" s="22">
        <v>420</v>
      </c>
      <c r="EL168" s="22">
        <v>332</v>
      </c>
      <c r="EM168" s="22">
        <v>752</v>
      </c>
      <c r="EN168" s="22">
        <v>7840</v>
      </c>
      <c r="EO168" s="22">
        <v>6160</v>
      </c>
      <c r="EP168" s="22">
        <v>14000</v>
      </c>
      <c r="EQ168" s="12" t="s">
        <v>320</v>
      </c>
      <c r="ER168" s="22">
        <v>752</v>
      </c>
      <c r="ES168" s="18">
        <v>0.55900000000000005</v>
      </c>
      <c r="ET168" s="22">
        <v>14000</v>
      </c>
      <c r="EU168" s="11" t="s">
        <v>320</v>
      </c>
      <c r="EV168" s="22">
        <v>752</v>
      </c>
      <c r="EW168" s="18">
        <v>0.55900000000000005</v>
      </c>
      <c r="EX168" s="22">
        <v>14000</v>
      </c>
      <c r="FA168" s="18"/>
      <c r="FE168" s="18"/>
      <c r="FI168" s="18"/>
      <c r="FM168" s="18"/>
      <c r="FO168" s="12" t="s">
        <v>320</v>
      </c>
      <c r="FP168" s="22">
        <v>130</v>
      </c>
      <c r="FQ168" s="18">
        <v>1</v>
      </c>
      <c r="FR168" s="22">
        <v>650</v>
      </c>
      <c r="FU168" s="18"/>
      <c r="FY168" s="18"/>
      <c r="GC168" s="18"/>
      <c r="GG168" s="18"/>
      <c r="GI168" s="11" t="s">
        <v>320</v>
      </c>
      <c r="GJ168" s="22">
        <v>205</v>
      </c>
      <c r="GK168" s="18">
        <v>1</v>
      </c>
      <c r="GL168" s="22">
        <v>14000</v>
      </c>
      <c r="GO168" s="18"/>
      <c r="GS168" s="18"/>
      <c r="GW168" s="18"/>
      <c r="GY168" s="11" t="s">
        <v>320</v>
      </c>
      <c r="GZ168" s="22">
        <v>752</v>
      </c>
      <c r="HA168" s="18">
        <v>0.55900000000000005</v>
      </c>
      <c r="HB168" s="22">
        <v>1500</v>
      </c>
      <c r="HF168" s="18"/>
      <c r="HH168" s="11" t="s">
        <v>319</v>
      </c>
      <c r="HK168" s="11" t="s">
        <v>319</v>
      </c>
      <c r="HL168" s="11" t="s">
        <v>320</v>
      </c>
      <c r="HM168" s="11" t="s">
        <v>327</v>
      </c>
      <c r="HN168" s="11">
        <v>2017</v>
      </c>
      <c r="HO168" s="11" t="s">
        <v>3372</v>
      </c>
      <c r="HP168" s="11" t="s">
        <v>453</v>
      </c>
      <c r="HQ168" s="11" t="s">
        <v>320</v>
      </c>
      <c r="HR168" s="11" t="s">
        <v>320</v>
      </c>
      <c r="HS168" s="11" t="s">
        <v>320</v>
      </c>
      <c r="HV168" s="11" t="s">
        <v>319</v>
      </c>
      <c r="HW168" s="11" t="s">
        <v>320</v>
      </c>
      <c r="HZ168" s="12" t="s">
        <v>394</v>
      </c>
      <c r="IA168" s="11" t="s">
        <v>3373</v>
      </c>
      <c r="IB168" s="12" t="s">
        <v>396</v>
      </c>
      <c r="IC168" s="11" t="s">
        <v>3374</v>
      </c>
      <c r="ID168" s="11" t="s">
        <v>364</v>
      </c>
      <c r="IE168" s="11" t="s">
        <v>478</v>
      </c>
      <c r="IF168" s="11" t="s">
        <v>320</v>
      </c>
      <c r="IG168" s="11" t="s">
        <v>320</v>
      </c>
      <c r="IH168" s="11" t="s">
        <v>320</v>
      </c>
      <c r="II168" s="11" t="s">
        <v>319</v>
      </c>
      <c r="IJ168" s="12" t="str">
        <f t="shared" si="87"/>
        <v>3. Responsive</v>
      </c>
      <c r="IK168" s="12">
        <f t="shared" si="88"/>
        <v>3</v>
      </c>
      <c r="IL168" s="11" t="s">
        <v>336</v>
      </c>
      <c r="IM168" s="11" t="s">
        <v>320</v>
      </c>
      <c r="IN168" s="11" t="s">
        <v>320</v>
      </c>
      <c r="IO168" s="11" t="s">
        <v>320</v>
      </c>
      <c r="IP168" s="11" t="s">
        <v>320</v>
      </c>
      <c r="IQ168" s="12" t="str">
        <f t="shared" si="89"/>
        <v>2. Accommodating</v>
      </c>
      <c r="IR168" s="12">
        <f t="shared" si="90"/>
        <v>4</v>
      </c>
      <c r="IS168" s="11" t="s">
        <v>622</v>
      </c>
      <c r="IT168" s="11" t="s">
        <v>320</v>
      </c>
      <c r="IU168" s="11" t="s">
        <v>320</v>
      </c>
      <c r="IV168" s="11" t="s">
        <v>320</v>
      </c>
      <c r="IW168" s="11" t="str">
        <f t="shared" si="91"/>
        <v>4. Transformative</v>
      </c>
      <c r="IX168" s="12">
        <f t="shared" si="92"/>
        <v>3</v>
      </c>
      <c r="IY168" s="12" t="s">
        <v>758</v>
      </c>
      <c r="IZ168" s="11" t="s">
        <v>457</v>
      </c>
      <c r="JA168" s="11">
        <v>3</v>
      </c>
      <c r="JB168" s="12" t="s">
        <v>687</v>
      </c>
      <c r="JC168" s="12" t="s">
        <v>651</v>
      </c>
      <c r="JD168" s="12" t="s">
        <v>433</v>
      </c>
      <c r="JE168" s="12" t="s">
        <v>340</v>
      </c>
      <c r="JF168" s="11" t="s">
        <v>3375</v>
      </c>
      <c r="JH168" s="11" t="s">
        <v>3376</v>
      </c>
      <c r="JI168" s="11" t="s">
        <v>3377</v>
      </c>
      <c r="JJ168" s="11" t="s">
        <v>3378</v>
      </c>
      <c r="JK168" s="11" t="s">
        <v>3379</v>
      </c>
      <c r="JL168" s="11" t="s">
        <v>3380</v>
      </c>
      <c r="JM168" s="11" t="s">
        <v>3381</v>
      </c>
      <c r="JO168" s="11" t="s">
        <v>3382</v>
      </c>
      <c r="JP168" s="15">
        <f t="shared" si="93"/>
        <v>752</v>
      </c>
      <c r="JQ168" s="15">
        <f t="shared" si="94"/>
        <v>14000</v>
      </c>
      <c r="JR168" s="279">
        <f t="shared" si="95"/>
        <v>18.617021276595743</v>
      </c>
      <c r="JS168" s="17">
        <f t="shared" si="96"/>
        <v>0.55851063829787229</v>
      </c>
      <c r="JT168" s="18">
        <f t="shared" si="97"/>
        <v>0.56000000000000005</v>
      </c>
      <c r="JU168" s="280">
        <f t="shared" si="98"/>
        <v>420</v>
      </c>
      <c r="JV168" s="280">
        <f t="shared" si="99"/>
        <v>7840</v>
      </c>
      <c r="JW168" s="319" t="str">
        <f t="shared" si="100"/>
        <v/>
      </c>
      <c r="JX168" s="15">
        <f t="shared" si="101"/>
        <v>0</v>
      </c>
      <c r="JY168" s="15">
        <f t="shared" si="102"/>
        <v>0</v>
      </c>
      <c r="JZ168" s="19" t="str">
        <f t="shared" si="103"/>
        <v/>
      </c>
      <c r="KA168" s="52">
        <f t="shared" si="104"/>
        <v>1</v>
      </c>
      <c r="KB168" s="15">
        <f t="shared" si="105"/>
        <v>752</v>
      </c>
      <c r="KC168" s="15">
        <f t="shared" si="106"/>
        <v>14000</v>
      </c>
      <c r="KD168" s="20">
        <f t="shared" si="107"/>
        <v>18.617021276595743</v>
      </c>
      <c r="KE168" s="52" t="str">
        <f t="shared" si="108"/>
        <v/>
      </c>
      <c r="KF168" s="15">
        <f t="shared" si="109"/>
        <v>0</v>
      </c>
      <c r="KG168" s="15">
        <f t="shared" si="110"/>
        <v>0</v>
      </c>
      <c r="KH168" s="21" t="str">
        <f t="shared" si="111"/>
        <v/>
      </c>
      <c r="KI168" s="52" t="str">
        <f t="shared" si="112"/>
        <v/>
      </c>
      <c r="KJ168" s="15">
        <f t="shared" si="113"/>
        <v>0</v>
      </c>
      <c r="KK168" s="15">
        <f t="shared" si="114"/>
        <v>0</v>
      </c>
      <c r="KL168" s="19" t="str">
        <f t="shared" si="115"/>
        <v/>
      </c>
      <c r="KM168" s="52">
        <f t="shared" si="116"/>
        <v>1</v>
      </c>
      <c r="KN168" s="22">
        <f t="shared" si="117"/>
        <v>752</v>
      </c>
      <c r="KO168" s="22">
        <f t="shared" si="118"/>
        <v>1500</v>
      </c>
      <c r="KP168" s="19">
        <f t="shared" si="119"/>
        <v>1.9946808510638299</v>
      </c>
      <c r="KQ168" s="11" t="str">
        <f t="shared" si="120"/>
        <v>3. Responsive</v>
      </c>
      <c r="KR168" s="11" t="str">
        <f t="shared" si="121"/>
        <v>2. Accommodating</v>
      </c>
      <c r="KS168" s="11" t="str">
        <f t="shared" si="122"/>
        <v>4. Transformative</v>
      </c>
      <c r="KT168" s="11" t="str">
        <f t="shared" si="123"/>
        <v>It tested new ways for fighting poverty, but did not measure results of innovation</v>
      </c>
      <c r="KU168" s="11" t="str">
        <f t="shared" si="124"/>
        <v>Intensive advocacy</v>
      </c>
      <c r="KV168" s="11" t="str">
        <f t="shared" si="125"/>
        <v>It linked and worked with strategic alliances and partners to take tested and effective solutions to scale</v>
      </c>
      <c r="KW168" s="11" t="str">
        <f t="shared" si="126"/>
        <v>Ecuador - ADAPTACION AL CAMBIO CLIMATICO DE POBLACIONES ANDINAS, MEDIANTE EL  MANEJO, CONSERVACIÓN Y RESTAURACIÓN DE PÁRAMOS</v>
      </c>
      <c r="KX168" s="11" t="str">
        <f t="shared" si="127"/>
        <v>ADAPTACION AL CAMBIO CLIMATICO DE POBLACIONES ANDINAS, MEDIANTE EL  MANEJO, CONSERVACIÓN Y RESTAURACIÓN DE PÁRAMOS</v>
      </c>
      <c r="KY168" s="11" t="str">
        <f t="shared" si="128"/>
        <v>Ecuador</v>
      </c>
      <c r="KZ168" s="12">
        <v>168</v>
      </c>
    </row>
    <row r="169" spans="1:312" x14ac:dyDescent="0.3">
      <c r="A169" s="282" t="s">
        <v>3272</v>
      </c>
      <c r="B169" s="282" t="s">
        <v>2807</v>
      </c>
      <c r="C169" s="282">
        <v>2898</v>
      </c>
      <c r="D169" s="282" t="s">
        <v>3465</v>
      </c>
      <c r="E169" s="24" t="str">
        <f t="shared" si="86"/>
        <v>Ecuador</v>
      </c>
      <c r="F169" s="282" t="s">
        <v>3466</v>
      </c>
      <c r="G169" s="282" t="s">
        <v>608</v>
      </c>
      <c r="H169" s="282" t="s">
        <v>380</v>
      </c>
      <c r="I169" s="282" t="s">
        <v>381</v>
      </c>
      <c r="J169" s="278" t="s">
        <v>14615</v>
      </c>
      <c r="K169" s="282"/>
      <c r="L169" s="282"/>
      <c r="M169" s="282"/>
      <c r="N169" s="282"/>
      <c r="O169" s="282"/>
      <c r="P169" s="282"/>
      <c r="Q169" s="282"/>
      <c r="R169" s="282"/>
      <c r="S169" s="282"/>
      <c r="T169" s="282"/>
      <c r="U169" s="282"/>
      <c r="V169" s="282"/>
      <c r="W169" s="282"/>
      <c r="X169" s="282"/>
      <c r="Y169" s="282"/>
      <c r="Z169" s="282"/>
      <c r="AA169" s="282"/>
      <c r="AB169" s="282"/>
      <c r="AC169" s="282"/>
      <c r="AD169" s="282"/>
      <c r="AE169" s="282"/>
      <c r="AF169" s="282"/>
      <c r="AG169" s="282"/>
      <c r="AH169" s="282"/>
      <c r="AI169" s="282"/>
      <c r="AJ169" s="282"/>
      <c r="AK169" s="282"/>
      <c r="AL169" s="282"/>
      <c r="AM169" s="282"/>
      <c r="AN169" s="282"/>
      <c r="AO169" s="282"/>
      <c r="AP169" s="282"/>
      <c r="AQ169" s="282"/>
      <c r="AR169" s="282"/>
      <c r="AS169" s="282"/>
      <c r="AT169" s="282"/>
      <c r="AU169" s="282"/>
      <c r="AV169" s="282"/>
      <c r="AW169" s="282"/>
      <c r="AX169" s="282"/>
      <c r="AY169" s="282"/>
      <c r="AZ169" s="282"/>
      <c r="BA169" s="282"/>
      <c r="BB169" s="282"/>
      <c r="BC169" s="282"/>
      <c r="BD169" s="283">
        <v>42503</v>
      </c>
      <c r="BE169" s="283">
        <v>42566</v>
      </c>
      <c r="BF169" s="283">
        <v>42659</v>
      </c>
      <c r="BG169" s="283" t="s">
        <v>817</v>
      </c>
      <c r="BH169" s="284">
        <v>325000</v>
      </c>
      <c r="BI169" s="282" t="s">
        <v>3280</v>
      </c>
      <c r="BJ169" s="282" t="s">
        <v>3299</v>
      </c>
      <c r="BK169" s="282" t="s">
        <v>3282</v>
      </c>
      <c r="BL169" s="282" t="s">
        <v>3300</v>
      </c>
      <c r="BM169" s="282" t="s">
        <v>3301</v>
      </c>
      <c r="BN169" s="282" t="s">
        <v>3302</v>
      </c>
      <c r="BO169" s="282" t="s">
        <v>320</v>
      </c>
      <c r="BP169" s="282" t="s">
        <v>319</v>
      </c>
      <c r="BQ169" s="282" t="s">
        <v>319</v>
      </c>
      <c r="BR169" s="282" t="s">
        <v>3467</v>
      </c>
      <c r="BS169" s="282" t="s">
        <v>357</v>
      </c>
      <c r="BT169" s="282" t="s">
        <v>3338</v>
      </c>
      <c r="BU169" s="282" t="s">
        <v>3339</v>
      </c>
      <c r="BV169" s="284">
        <v>2000</v>
      </c>
      <c r="BW169" s="284">
        <v>1945</v>
      </c>
      <c r="BX169" s="284">
        <v>3945</v>
      </c>
      <c r="BY169" s="284">
        <v>4528</v>
      </c>
      <c r="BZ169" s="284">
        <v>4528</v>
      </c>
      <c r="CA169" s="284">
        <v>9056</v>
      </c>
      <c r="CB169" s="285" t="s">
        <v>3306</v>
      </c>
      <c r="CC169" s="285"/>
      <c r="CD169" s="284">
        <v>2000</v>
      </c>
      <c r="CE169" s="284">
        <v>1945</v>
      </c>
      <c r="CF169" s="284">
        <v>3945</v>
      </c>
      <c r="CG169" s="284">
        <v>4528</v>
      </c>
      <c r="CH169" s="284">
        <v>4528</v>
      </c>
      <c r="CI169" s="284">
        <v>9056</v>
      </c>
      <c r="CJ169" s="282"/>
      <c r="CK169" s="284"/>
      <c r="CL169" s="286"/>
      <c r="CM169" s="284"/>
      <c r="CN169" s="287"/>
      <c r="CO169" s="284"/>
      <c r="CP169" s="286"/>
      <c r="CQ169" s="284"/>
      <c r="CR169" s="282"/>
      <c r="CS169" s="284"/>
      <c r="CT169" s="286"/>
      <c r="CU169" s="284"/>
      <c r="CV169" s="292" t="s">
        <v>320</v>
      </c>
      <c r="CW169" s="290">
        <v>3945</v>
      </c>
      <c r="CX169" s="291">
        <v>0.5</v>
      </c>
      <c r="CY169" s="290">
        <v>9056</v>
      </c>
      <c r="CZ169" s="282"/>
      <c r="DA169" s="284"/>
      <c r="DB169" s="286"/>
      <c r="DC169" s="284"/>
      <c r="DD169" s="287"/>
      <c r="DE169" s="284"/>
      <c r="DF169" s="286"/>
      <c r="DG169" s="284"/>
      <c r="DH169" s="282"/>
      <c r="DI169" s="284"/>
      <c r="DJ169" s="286"/>
      <c r="DK169" s="284"/>
      <c r="DL169" s="282"/>
      <c r="DM169" s="284"/>
      <c r="DN169" s="286"/>
      <c r="DO169" s="284"/>
      <c r="DP169" s="282"/>
      <c r="DQ169" s="284"/>
      <c r="DR169" s="286"/>
      <c r="DS169" s="284"/>
      <c r="DT169" s="282"/>
      <c r="DU169" s="284"/>
      <c r="DV169" s="286"/>
      <c r="DW169" s="284"/>
      <c r="DX169" s="282" t="s">
        <v>320</v>
      </c>
      <c r="DY169" s="284">
        <v>3945</v>
      </c>
      <c r="DZ169" s="286">
        <v>0.5</v>
      </c>
      <c r="EA169" s="284">
        <v>9056</v>
      </c>
      <c r="EB169" s="282" t="s">
        <v>320</v>
      </c>
      <c r="EC169" s="284">
        <v>3945</v>
      </c>
      <c r="ED169" s="286">
        <v>0.5</v>
      </c>
      <c r="EE169" s="284">
        <v>9056</v>
      </c>
      <c r="EF169" s="285"/>
      <c r="EG169" s="287"/>
      <c r="EH169" s="284"/>
      <c r="EI169" s="286"/>
      <c r="EJ169" s="284"/>
      <c r="EK169" s="284"/>
      <c r="EL169" s="284"/>
      <c r="EM169" s="284"/>
      <c r="EN169" s="284"/>
      <c r="EO169" s="284"/>
      <c r="EP169" s="284"/>
      <c r="EQ169" s="282"/>
      <c r="ER169" s="284"/>
      <c r="ES169" s="286"/>
      <c r="ET169" s="284"/>
      <c r="EU169" s="282"/>
      <c r="EV169" s="284"/>
      <c r="EW169" s="286"/>
      <c r="EX169" s="284"/>
      <c r="EY169" s="282"/>
      <c r="EZ169" s="284"/>
      <c r="FA169" s="286"/>
      <c r="FB169" s="284"/>
      <c r="FC169" s="282"/>
      <c r="FD169" s="284"/>
      <c r="FE169" s="286"/>
      <c r="FF169" s="284"/>
      <c r="FG169" s="282"/>
      <c r="FH169" s="284"/>
      <c r="FI169" s="286"/>
      <c r="FJ169" s="284"/>
      <c r="FK169" s="282"/>
      <c r="FL169" s="284"/>
      <c r="FM169" s="286"/>
      <c r="FN169" s="284"/>
      <c r="FO169" s="292"/>
      <c r="FP169" s="290"/>
      <c r="FQ169" s="291"/>
      <c r="FR169" s="290"/>
      <c r="FS169" s="282"/>
      <c r="FT169" s="284"/>
      <c r="FU169" s="286"/>
      <c r="FV169" s="284"/>
      <c r="FW169" s="282"/>
      <c r="FX169" s="284"/>
      <c r="FY169" s="286"/>
      <c r="FZ169" s="284"/>
      <c r="GA169" s="282"/>
      <c r="GB169" s="284"/>
      <c r="GC169" s="286"/>
      <c r="GD169" s="284"/>
      <c r="GE169" s="282"/>
      <c r="GF169" s="284"/>
      <c r="GG169" s="286"/>
      <c r="GH169" s="284"/>
      <c r="GI169" s="282"/>
      <c r="GJ169" s="284"/>
      <c r="GK169" s="286"/>
      <c r="GL169" s="284"/>
      <c r="GM169" s="282"/>
      <c r="GN169" s="284"/>
      <c r="GO169" s="286"/>
      <c r="GP169" s="284"/>
      <c r="GQ169" s="282"/>
      <c r="GR169" s="284"/>
      <c r="GS169" s="286"/>
      <c r="GT169" s="284"/>
      <c r="GU169" s="282"/>
      <c r="GV169" s="284"/>
      <c r="GW169" s="286"/>
      <c r="GX169" s="284"/>
      <c r="GY169" s="282"/>
      <c r="GZ169" s="284"/>
      <c r="HA169" s="286"/>
      <c r="HB169" s="284"/>
      <c r="HC169" s="282"/>
      <c r="HD169" s="282"/>
      <c r="HE169" s="284"/>
      <c r="HF169" s="286"/>
      <c r="HG169" s="284"/>
      <c r="HH169" s="282" t="s">
        <v>319</v>
      </c>
      <c r="HI169" s="282"/>
      <c r="HJ169" s="282"/>
      <c r="HK169" s="282"/>
      <c r="HL169" s="282" t="s">
        <v>319</v>
      </c>
      <c r="HM169" s="282"/>
      <c r="HN169" s="282"/>
      <c r="HO169" s="282"/>
      <c r="HP169" s="282" t="s">
        <v>330</v>
      </c>
      <c r="HQ169" s="282"/>
      <c r="HR169" s="282"/>
      <c r="HS169" s="282" t="s">
        <v>320</v>
      </c>
      <c r="HT169" s="282"/>
      <c r="HU169" s="282"/>
      <c r="HV169" s="282"/>
      <c r="HW169" s="282"/>
      <c r="HX169" s="282"/>
      <c r="HY169" s="282"/>
      <c r="HZ169" s="282" t="s">
        <v>363</v>
      </c>
      <c r="IA169" s="282"/>
      <c r="IB169" s="282" t="s">
        <v>396</v>
      </c>
      <c r="IC169" s="282" t="s">
        <v>3307</v>
      </c>
      <c r="ID169" s="282" t="s">
        <v>364</v>
      </c>
      <c r="IE169" s="282" t="s">
        <v>335</v>
      </c>
      <c r="IF169" s="282" t="s">
        <v>319</v>
      </c>
      <c r="IG169" s="282" t="s">
        <v>320</v>
      </c>
      <c r="IH169" s="282" t="s">
        <v>320</v>
      </c>
      <c r="II169" s="282" t="s">
        <v>320</v>
      </c>
      <c r="IJ169" s="12" t="str">
        <f t="shared" si="87"/>
        <v>1. Neutral</v>
      </c>
      <c r="IK169" s="287">
        <f t="shared" si="88"/>
        <v>3</v>
      </c>
      <c r="IL169" s="282" t="s">
        <v>336</v>
      </c>
      <c r="IM169" s="282" t="s">
        <v>320</v>
      </c>
      <c r="IN169" s="282" t="s">
        <v>320</v>
      </c>
      <c r="IO169" s="282" t="s">
        <v>320</v>
      </c>
      <c r="IP169" s="282" t="s">
        <v>319</v>
      </c>
      <c r="IQ169" s="287" t="str">
        <f t="shared" si="89"/>
        <v>2. Accommodating</v>
      </c>
      <c r="IR169" s="287">
        <f t="shared" si="90"/>
        <v>3</v>
      </c>
      <c r="IS169" s="282" t="s">
        <v>337</v>
      </c>
      <c r="IT169" s="282" t="s">
        <v>320</v>
      </c>
      <c r="IU169" s="282" t="s">
        <v>320</v>
      </c>
      <c r="IV169" s="282" t="s">
        <v>320</v>
      </c>
      <c r="IW169" s="11" t="str">
        <f t="shared" si="91"/>
        <v>2. Sensitive</v>
      </c>
      <c r="IX169" s="287">
        <f t="shared" si="92"/>
        <v>3</v>
      </c>
      <c r="IY169" s="282" t="s">
        <v>419</v>
      </c>
      <c r="IZ169" s="282" t="s">
        <v>432</v>
      </c>
      <c r="JA169" s="282"/>
      <c r="JB169" s="282" t="s">
        <v>831</v>
      </c>
      <c r="JC169" s="282" t="s">
        <v>433</v>
      </c>
      <c r="JD169" s="282"/>
      <c r="JE169" s="282" t="s">
        <v>420</v>
      </c>
      <c r="JF169" s="282"/>
      <c r="JG169" s="282"/>
      <c r="JH169" s="282" t="s">
        <v>3308</v>
      </c>
      <c r="JI169" s="282"/>
      <c r="JJ169" s="282"/>
      <c r="JK169" s="282" t="s">
        <v>3309</v>
      </c>
      <c r="JL169" s="282" t="s">
        <v>3310</v>
      </c>
      <c r="JM169" s="282" t="s">
        <v>3311</v>
      </c>
      <c r="JN169" s="282" t="s">
        <v>3468</v>
      </c>
      <c r="JO169" s="282" t="s">
        <v>3469</v>
      </c>
      <c r="JP169" s="15">
        <f t="shared" si="93"/>
        <v>3945</v>
      </c>
      <c r="JQ169" s="15">
        <f t="shared" si="94"/>
        <v>9056</v>
      </c>
      <c r="JR169" s="279">
        <f t="shared" si="95"/>
        <v>2.2955640050697084</v>
      </c>
      <c r="JS169" s="17">
        <f t="shared" si="96"/>
        <v>0.50697084917617241</v>
      </c>
      <c r="JT169" s="18">
        <f t="shared" si="97"/>
        <v>0.5</v>
      </c>
      <c r="JU169" s="280">
        <f t="shared" si="98"/>
        <v>2000</v>
      </c>
      <c r="JV169" s="280">
        <f t="shared" si="99"/>
        <v>4528</v>
      </c>
      <c r="JW169" s="319">
        <f t="shared" si="100"/>
        <v>1</v>
      </c>
      <c r="JX169" s="15">
        <f t="shared" si="101"/>
        <v>3945</v>
      </c>
      <c r="JY169" s="15">
        <f t="shared" si="102"/>
        <v>9056</v>
      </c>
      <c r="JZ169" s="19">
        <f t="shared" si="103"/>
        <v>2.2955640050697084</v>
      </c>
      <c r="KA169" s="52">
        <f t="shared" si="104"/>
        <v>1</v>
      </c>
      <c r="KB169" s="15">
        <f t="shared" si="105"/>
        <v>3945</v>
      </c>
      <c r="KC169" s="15">
        <f t="shared" si="106"/>
        <v>9056</v>
      </c>
      <c r="KD169" s="20">
        <f t="shared" si="107"/>
        <v>2.2955640050697084</v>
      </c>
      <c r="KE169" s="52" t="str">
        <f t="shared" si="108"/>
        <v/>
      </c>
      <c r="KF169" s="15">
        <f t="shared" si="109"/>
        <v>0</v>
      </c>
      <c r="KG169" s="15">
        <f t="shared" si="110"/>
        <v>0</v>
      </c>
      <c r="KH169" s="21" t="str">
        <f t="shared" si="111"/>
        <v/>
      </c>
      <c r="KI169" s="52" t="str">
        <f t="shared" si="112"/>
        <v/>
      </c>
      <c r="KJ169" s="15">
        <f t="shared" si="113"/>
        <v>0</v>
      </c>
      <c r="KK169" s="15">
        <f t="shared" si="114"/>
        <v>0</v>
      </c>
      <c r="KL169" s="19" t="str">
        <f t="shared" si="115"/>
        <v/>
      </c>
      <c r="KM169" s="52" t="str">
        <f t="shared" si="116"/>
        <v/>
      </c>
      <c r="KN169" s="22">
        <f t="shared" si="117"/>
        <v>0</v>
      </c>
      <c r="KO169" s="22">
        <f t="shared" si="118"/>
        <v>0</v>
      </c>
      <c r="KP169" s="19" t="str">
        <f t="shared" si="119"/>
        <v/>
      </c>
      <c r="KQ169" s="11" t="str">
        <f t="shared" si="120"/>
        <v>1. Neutral</v>
      </c>
      <c r="KR169" s="11" t="str">
        <f t="shared" si="121"/>
        <v>2. Accommodating</v>
      </c>
      <c r="KS169" s="11" t="str">
        <f t="shared" si="122"/>
        <v>2. Sensitive</v>
      </c>
      <c r="KT169" s="11" t="str">
        <f t="shared" si="123"/>
        <v>It did not develop any specific innovation</v>
      </c>
      <c r="KU169" s="11" t="str">
        <f t="shared" si="124"/>
        <v>Moderate advocacy</v>
      </c>
      <c r="KV169" s="11" t="str">
        <f t="shared" si="125"/>
        <v>It linked and worked with strategic alliances and partners to take tested and effective solutions to scale</v>
      </c>
      <c r="KW169" s="11" t="str">
        <f t="shared" si="126"/>
        <v>Ecuador - Adquisición y distribución de kits de alojamiento de emergencia a 1000 hogares en San Vicente y Jama.</v>
      </c>
      <c r="KX169" s="11" t="str">
        <f t="shared" si="127"/>
        <v>Adquisición y distribución de kits de alojamiento de emergencia a 1000 hogares en San Vicente y Jama.</v>
      </c>
      <c r="KY169" s="11" t="str">
        <f t="shared" si="128"/>
        <v>Ecuador</v>
      </c>
      <c r="KZ169" s="287">
        <v>169</v>
      </c>
    </row>
    <row r="170" spans="1:312" x14ac:dyDescent="0.3">
      <c r="A170" s="282" t="s">
        <v>3272</v>
      </c>
      <c r="B170" s="282" t="s">
        <v>2807</v>
      </c>
      <c r="C170" s="282"/>
      <c r="D170" s="282" t="s">
        <v>3314</v>
      </c>
      <c r="E170" s="24" t="str">
        <f t="shared" si="86"/>
        <v>Ecuador</v>
      </c>
      <c r="F170" s="282" t="s">
        <v>3315</v>
      </c>
      <c r="G170" s="282" t="s">
        <v>1738</v>
      </c>
      <c r="H170" s="282" t="s">
        <v>310</v>
      </c>
      <c r="I170" s="282" t="s">
        <v>3316</v>
      </c>
      <c r="J170" s="278" t="s">
        <v>14616</v>
      </c>
      <c r="K170" s="282"/>
      <c r="L170" s="282"/>
      <c r="M170" s="282"/>
      <c r="N170" s="282"/>
      <c r="O170" s="282"/>
      <c r="P170" s="282"/>
      <c r="Q170" s="282"/>
      <c r="R170" s="282"/>
      <c r="S170" s="282"/>
      <c r="T170" s="282"/>
      <c r="U170" s="282"/>
      <c r="V170" s="282"/>
      <c r="W170" s="282"/>
      <c r="X170" s="282"/>
      <c r="Y170" s="282"/>
      <c r="Z170" s="282"/>
      <c r="AA170" s="282"/>
      <c r="AB170" s="282"/>
      <c r="AC170" s="282"/>
      <c r="AD170" s="282"/>
      <c r="AE170" s="282"/>
      <c r="AF170" s="282"/>
      <c r="AG170" s="282"/>
      <c r="AH170" s="282"/>
      <c r="AI170" s="282"/>
      <c r="AJ170" s="282"/>
      <c r="AK170" s="282"/>
      <c r="AL170" s="282"/>
      <c r="AM170" s="282"/>
      <c r="AN170" s="282"/>
      <c r="AO170" s="282"/>
      <c r="AP170" s="282"/>
      <c r="AQ170" s="282"/>
      <c r="AR170" s="282"/>
      <c r="AS170" s="282"/>
      <c r="AT170" s="282"/>
      <c r="AU170" s="282"/>
      <c r="AV170" s="282"/>
      <c r="AW170" s="282"/>
      <c r="AX170" s="282"/>
      <c r="AY170" s="282"/>
      <c r="AZ170" s="282"/>
      <c r="BA170" s="282"/>
      <c r="BB170" s="282"/>
      <c r="BC170" s="282"/>
      <c r="BD170" s="283">
        <v>42552</v>
      </c>
      <c r="BE170" s="283">
        <v>42825</v>
      </c>
      <c r="BF170" s="283">
        <v>42886</v>
      </c>
      <c r="BG170" s="283" t="s">
        <v>817</v>
      </c>
      <c r="BH170" s="284">
        <v>68750</v>
      </c>
      <c r="BI170" s="282" t="s">
        <v>3280</v>
      </c>
      <c r="BJ170" s="282" t="s">
        <v>3317</v>
      </c>
      <c r="BK170" s="282" t="s">
        <v>3282</v>
      </c>
      <c r="BL170" s="282" t="s">
        <v>3318</v>
      </c>
      <c r="BM170" s="282" t="s">
        <v>3319</v>
      </c>
      <c r="BN170" s="282" t="s">
        <v>3302</v>
      </c>
      <c r="BO170" s="282" t="s">
        <v>320</v>
      </c>
      <c r="BP170" s="282" t="s">
        <v>319</v>
      </c>
      <c r="BQ170" s="282" t="s">
        <v>319</v>
      </c>
      <c r="BR170" s="282" t="s">
        <v>3320</v>
      </c>
      <c r="BS170" s="282" t="s">
        <v>357</v>
      </c>
      <c r="BT170" s="282" t="s">
        <v>3321</v>
      </c>
      <c r="BU170" s="282" t="s">
        <v>3322</v>
      </c>
      <c r="BV170" s="284">
        <v>6517</v>
      </c>
      <c r="BW170" s="284">
        <v>6968</v>
      </c>
      <c r="BX170" s="284">
        <v>13485</v>
      </c>
      <c r="BY170" s="284">
        <v>207788</v>
      </c>
      <c r="BZ170" s="284">
        <v>207788</v>
      </c>
      <c r="CA170" s="284">
        <v>415576</v>
      </c>
      <c r="CB170" s="285" t="s">
        <v>3323</v>
      </c>
      <c r="CC170" s="285"/>
      <c r="CD170" s="284">
        <v>6517</v>
      </c>
      <c r="CE170" s="284">
        <v>6968</v>
      </c>
      <c r="CF170" s="284">
        <v>13485</v>
      </c>
      <c r="CG170" s="284">
        <v>207788</v>
      </c>
      <c r="CH170" s="284">
        <v>207788</v>
      </c>
      <c r="CI170" s="284">
        <v>415576</v>
      </c>
      <c r="CJ170" s="282" t="s">
        <v>319</v>
      </c>
      <c r="CK170" s="284"/>
      <c r="CL170" s="286"/>
      <c r="CM170" s="284"/>
      <c r="CN170" s="287" t="s">
        <v>319</v>
      </c>
      <c r="CO170" s="284"/>
      <c r="CP170" s="286"/>
      <c r="CQ170" s="284"/>
      <c r="CR170" s="282" t="s">
        <v>320</v>
      </c>
      <c r="CS170" s="284">
        <v>180</v>
      </c>
      <c r="CT170" s="286">
        <v>0.4</v>
      </c>
      <c r="CU170" s="284">
        <v>2700</v>
      </c>
      <c r="CV170" s="292" t="s">
        <v>320</v>
      </c>
      <c r="CW170" s="290">
        <v>13485</v>
      </c>
      <c r="CX170" s="291">
        <v>0.48330000000000001</v>
      </c>
      <c r="CY170" s="290">
        <v>415576</v>
      </c>
      <c r="CZ170" s="282" t="s">
        <v>319</v>
      </c>
      <c r="DA170" s="284"/>
      <c r="DB170" s="286"/>
      <c r="DC170" s="284"/>
      <c r="DD170" s="287" t="s">
        <v>319</v>
      </c>
      <c r="DE170" s="284"/>
      <c r="DF170" s="286"/>
      <c r="DG170" s="284"/>
      <c r="DH170" s="282" t="s">
        <v>319</v>
      </c>
      <c r="DI170" s="284"/>
      <c r="DJ170" s="286"/>
      <c r="DK170" s="284"/>
      <c r="DL170" s="282" t="s">
        <v>319</v>
      </c>
      <c r="DM170" s="284"/>
      <c r="DN170" s="286"/>
      <c r="DO170" s="284"/>
      <c r="DP170" s="282" t="s">
        <v>319</v>
      </c>
      <c r="DQ170" s="284"/>
      <c r="DR170" s="286"/>
      <c r="DS170" s="284"/>
      <c r="DT170" s="282" t="s">
        <v>319</v>
      </c>
      <c r="DU170" s="284"/>
      <c r="DV170" s="286"/>
      <c r="DW170" s="284"/>
      <c r="DX170" s="282" t="s">
        <v>319</v>
      </c>
      <c r="DY170" s="284"/>
      <c r="DZ170" s="286"/>
      <c r="EA170" s="284"/>
      <c r="EB170" s="282" t="s">
        <v>320</v>
      </c>
      <c r="EC170" s="284">
        <v>13485</v>
      </c>
      <c r="ED170" s="286">
        <v>0.48330000000000001</v>
      </c>
      <c r="EE170" s="284">
        <v>415576</v>
      </c>
      <c r="EF170" s="285"/>
      <c r="EG170" s="287"/>
      <c r="EH170" s="284"/>
      <c r="EI170" s="286"/>
      <c r="EJ170" s="284"/>
      <c r="EK170" s="284"/>
      <c r="EL170" s="284"/>
      <c r="EM170" s="284"/>
      <c r="EN170" s="284"/>
      <c r="EO170" s="284"/>
      <c r="EP170" s="284"/>
      <c r="EQ170" s="282" t="s">
        <v>319</v>
      </c>
      <c r="ER170" s="284"/>
      <c r="ES170" s="286"/>
      <c r="ET170" s="284"/>
      <c r="EU170" s="282" t="s">
        <v>319</v>
      </c>
      <c r="EV170" s="284"/>
      <c r="EW170" s="286"/>
      <c r="EX170" s="284"/>
      <c r="EY170" s="282" t="s">
        <v>319</v>
      </c>
      <c r="EZ170" s="284"/>
      <c r="FA170" s="286"/>
      <c r="FB170" s="284"/>
      <c r="FC170" s="282" t="s">
        <v>319</v>
      </c>
      <c r="FD170" s="284"/>
      <c r="FE170" s="286"/>
      <c r="FF170" s="284"/>
      <c r="FG170" s="282" t="s">
        <v>319</v>
      </c>
      <c r="FH170" s="284"/>
      <c r="FI170" s="286"/>
      <c r="FJ170" s="284"/>
      <c r="FK170" s="282" t="s">
        <v>319</v>
      </c>
      <c r="FL170" s="284"/>
      <c r="FM170" s="286"/>
      <c r="FN170" s="284"/>
      <c r="FO170" s="292" t="s">
        <v>319</v>
      </c>
      <c r="FP170" s="290"/>
      <c r="FQ170" s="291"/>
      <c r="FR170" s="290"/>
      <c r="FS170" s="282" t="s">
        <v>319</v>
      </c>
      <c r="FT170" s="284"/>
      <c r="FU170" s="286"/>
      <c r="FV170" s="284"/>
      <c r="FW170" s="282" t="s">
        <v>319</v>
      </c>
      <c r="FX170" s="284"/>
      <c r="FY170" s="286"/>
      <c r="FZ170" s="284"/>
      <c r="GA170" s="282" t="s">
        <v>319</v>
      </c>
      <c r="GB170" s="284"/>
      <c r="GC170" s="286"/>
      <c r="GD170" s="284"/>
      <c r="GE170" s="282" t="s">
        <v>319</v>
      </c>
      <c r="GF170" s="284"/>
      <c r="GG170" s="286"/>
      <c r="GH170" s="284"/>
      <c r="GI170" s="282" t="s">
        <v>319</v>
      </c>
      <c r="GJ170" s="284"/>
      <c r="GK170" s="286"/>
      <c r="GL170" s="284"/>
      <c r="GM170" s="282" t="s">
        <v>319</v>
      </c>
      <c r="GN170" s="284"/>
      <c r="GO170" s="286"/>
      <c r="GP170" s="284"/>
      <c r="GQ170" s="282" t="s">
        <v>319</v>
      </c>
      <c r="GR170" s="284"/>
      <c r="GS170" s="286"/>
      <c r="GT170" s="284"/>
      <c r="GU170" s="282" t="s">
        <v>319</v>
      </c>
      <c r="GV170" s="284"/>
      <c r="GW170" s="286"/>
      <c r="GX170" s="284"/>
      <c r="GY170" s="282" t="s">
        <v>319</v>
      </c>
      <c r="GZ170" s="284"/>
      <c r="HA170" s="286"/>
      <c r="HB170" s="284"/>
      <c r="HC170" s="282"/>
      <c r="HD170" s="282"/>
      <c r="HE170" s="284"/>
      <c r="HF170" s="286"/>
      <c r="HG170" s="284"/>
      <c r="HH170" s="282" t="s">
        <v>319</v>
      </c>
      <c r="HI170" s="282"/>
      <c r="HJ170" s="282"/>
      <c r="HK170" s="282" t="s">
        <v>319</v>
      </c>
      <c r="HL170" s="282" t="s">
        <v>319</v>
      </c>
      <c r="HM170" s="282"/>
      <c r="HN170" s="282"/>
      <c r="HO170" s="282"/>
      <c r="HP170" s="282" t="s">
        <v>330</v>
      </c>
      <c r="HQ170" s="282"/>
      <c r="HR170" s="282"/>
      <c r="HS170" s="282" t="s">
        <v>320</v>
      </c>
      <c r="HT170" s="282" t="s">
        <v>320</v>
      </c>
      <c r="HU170" s="282"/>
      <c r="HV170" s="282"/>
      <c r="HW170" s="282"/>
      <c r="HX170" s="282"/>
      <c r="HY170" s="282"/>
      <c r="HZ170" s="282" t="s">
        <v>363</v>
      </c>
      <c r="IA170" s="282"/>
      <c r="IB170" s="282" t="s">
        <v>396</v>
      </c>
      <c r="IC170" s="282" t="s">
        <v>3324</v>
      </c>
      <c r="ID170" s="282" t="s">
        <v>334</v>
      </c>
      <c r="IE170" s="282" t="s">
        <v>335</v>
      </c>
      <c r="IF170" s="282" t="s">
        <v>319</v>
      </c>
      <c r="IG170" s="282" t="s">
        <v>319</v>
      </c>
      <c r="IH170" s="282" t="s">
        <v>320</v>
      </c>
      <c r="II170" s="282" t="s">
        <v>320</v>
      </c>
      <c r="IJ170" s="12" t="str">
        <f t="shared" si="87"/>
        <v>1. Neutral</v>
      </c>
      <c r="IK170" s="287">
        <f t="shared" si="88"/>
        <v>2</v>
      </c>
      <c r="IL170" s="282" t="s">
        <v>336</v>
      </c>
      <c r="IM170" s="282" t="s">
        <v>320</v>
      </c>
      <c r="IN170" s="282" t="s">
        <v>320</v>
      </c>
      <c r="IO170" s="282" t="s">
        <v>320</v>
      </c>
      <c r="IP170" s="282" t="s">
        <v>320</v>
      </c>
      <c r="IQ170" s="287" t="str">
        <f t="shared" si="89"/>
        <v>2. Accommodating</v>
      </c>
      <c r="IR170" s="287">
        <f t="shared" si="90"/>
        <v>4</v>
      </c>
      <c r="IS170" s="282" t="s">
        <v>337</v>
      </c>
      <c r="IT170" s="282" t="s">
        <v>320</v>
      </c>
      <c r="IU170" s="282" t="s">
        <v>320</v>
      </c>
      <c r="IV170" s="282" t="s">
        <v>320</v>
      </c>
      <c r="IW170" s="11" t="str">
        <f t="shared" si="91"/>
        <v>2. Sensitive</v>
      </c>
      <c r="IX170" s="287">
        <f t="shared" si="92"/>
        <v>3</v>
      </c>
      <c r="IY170" s="282" t="s">
        <v>419</v>
      </c>
      <c r="IZ170" s="282" t="s">
        <v>527</v>
      </c>
      <c r="JA170" s="282">
        <v>3</v>
      </c>
      <c r="JB170" s="282" t="s">
        <v>832</v>
      </c>
      <c r="JC170" s="282" t="s">
        <v>623</v>
      </c>
      <c r="JD170" s="282" t="s">
        <v>831</v>
      </c>
      <c r="JE170" s="282" t="s">
        <v>340</v>
      </c>
      <c r="JF170" s="282" t="s">
        <v>3325</v>
      </c>
      <c r="JG170" s="282" t="s">
        <v>3326</v>
      </c>
      <c r="JH170" s="282" t="s">
        <v>3327</v>
      </c>
      <c r="JI170" s="282" t="s">
        <v>3328</v>
      </c>
      <c r="JJ170" s="282" t="s">
        <v>3329</v>
      </c>
      <c r="JK170" s="282" t="s">
        <v>3330</v>
      </c>
      <c r="JL170" s="282" t="s">
        <v>3331</v>
      </c>
      <c r="JM170" s="282" t="s">
        <v>3332</v>
      </c>
      <c r="JN170" s="282"/>
      <c r="JO170" s="282" t="s">
        <v>3333</v>
      </c>
      <c r="JP170" s="15">
        <f t="shared" si="93"/>
        <v>13485</v>
      </c>
      <c r="JQ170" s="15">
        <f t="shared" si="94"/>
        <v>415576</v>
      </c>
      <c r="JR170" s="279">
        <f t="shared" si="95"/>
        <v>30.817649239896181</v>
      </c>
      <c r="JS170" s="17">
        <f t="shared" si="96"/>
        <v>0.48327771598071934</v>
      </c>
      <c r="JT170" s="18">
        <f t="shared" si="97"/>
        <v>0.5</v>
      </c>
      <c r="JU170" s="280">
        <f t="shared" si="98"/>
        <v>6517</v>
      </c>
      <c r="JV170" s="280">
        <f t="shared" si="99"/>
        <v>207788</v>
      </c>
      <c r="JW170" s="319">
        <f t="shared" si="100"/>
        <v>1</v>
      </c>
      <c r="JX170" s="15">
        <f t="shared" si="101"/>
        <v>13485</v>
      </c>
      <c r="JY170" s="15">
        <f t="shared" si="102"/>
        <v>415576</v>
      </c>
      <c r="JZ170" s="19">
        <f t="shared" si="103"/>
        <v>30.817649239896181</v>
      </c>
      <c r="KA170" s="52">
        <f t="shared" si="104"/>
        <v>1</v>
      </c>
      <c r="KB170" s="15">
        <f t="shared" si="105"/>
        <v>13485</v>
      </c>
      <c r="KC170" s="15">
        <f t="shared" si="106"/>
        <v>415576</v>
      </c>
      <c r="KD170" s="20">
        <f t="shared" si="107"/>
        <v>30.817649239896181</v>
      </c>
      <c r="KE170" s="52" t="str">
        <f t="shared" si="108"/>
        <v/>
      </c>
      <c r="KF170" s="15">
        <f t="shared" si="109"/>
        <v>0</v>
      </c>
      <c r="KG170" s="15">
        <f t="shared" si="110"/>
        <v>0</v>
      </c>
      <c r="KH170" s="21" t="str">
        <f t="shared" si="111"/>
        <v/>
      </c>
      <c r="KI170" s="52" t="str">
        <f t="shared" si="112"/>
        <v/>
      </c>
      <c r="KJ170" s="15">
        <f t="shared" si="113"/>
        <v>0</v>
      </c>
      <c r="KK170" s="15">
        <f t="shared" si="114"/>
        <v>0</v>
      </c>
      <c r="KL170" s="19" t="str">
        <f t="shared" si="115"/>
        <v/>
      </c>
      <c r="KM170" s="52" t="str">
        <f t="shared" si="116"/>
        <v/>
      </c>
      <c r="KN170" s="22">
        <f t="shared" si="117"/>
        <v>0</v>
      </c>
      <c r="KO170" s="22">
        <f t="shared" si="118"/>
        <v>0</v>
      </c>
      <c r="KP170" s="19" t="str">
        <f t="shared" si="119"/>
        <v/>
      </c>
      <c r="KQ170" s="11" t="str">
        <f t="shared" si="120"/>
        <v>1. Neutral</v>
      </c>
      <c r="KR170" s="11" t="str">
        <f t="shared" si="121"/>
        <v>2. Accommodating</v>
      </c>
      <c r="KS170" s="11" t="str">
        <f t="shared" si="122"/>
        <v>2. Sensitive</v>
      </c>
      <c r="KT170" s="11" t="str">
        <f t="shared" si="123"/>
        <v>It did not develop any specific innovation</v>
      </c>
      <c r="KU170" s="11" t="str">
        <f t="shared" si="124"/>
        <v>Moderate advocacy</v>
      </c>
      <c r="KV170" s="11" t="str">
        <f t="shared" si="125"/>
        <v>It linked and worked with strategic alliances and partners to take tested and effective solutions to scale</v>
      </c>
      <c r="KW170" s="11" t="str">
        <f t="shared" si="126"/>
        <v>Ecuador - Augmentation "Fortalecimiento de capacidades locales para la gestión de sistemas de agua y saneamiento en comunidades afectadas por el terremoto provincia de Manabí Ecuador".</v>
      </c>
      <c r="KX170" s="11" t="str">
        <f t="shared" si="127"/>
        <v>Augmentation "Fortalecimiento de capacidades locales para la gestión de sistemas de agua y saneamiento en comunidades afectadas por el terremoto provincia de Manabí Ecuador".</v>
      </c>
      <c r="KY170" s="11" t="str">
        <f t="shared" si="128"/>
        <v>Ecuador</v>
      </c>
      <c r="KZ170" s="12">
        <v>170</v>
      </c>
    </row>
    <row r="171" spans="1:312" x14ac:dyDescent="0.3">
      <c r="A171" s="11" t="s">
        <v>3272</v>
      </c>
      <c r="B171" s="11" t="s">
        <v>2807</v>
      </c>
      <c r="C171" s="11">
        <v>2894</v>
      </c>
      <c r="D171" s="11" t="s">
        <v>3383</v>
      </c>
      <c r="E171" s="24" t="str">
        <f t="shared" si="86"/>
        <v>Ecuador</v>
      </c>
      <c r="F171" s="11" t="s">
        <v>3384</v>
      </c>
      <c r="G171" s="11" t="s">
        <v>714</v>
      </c>
      <c r="H171" s="11" t="s">
        <v>383</v>
      </c>
      <c r="I171" s="11" t="s">
        <v>384</v>
      </c>
      <c r="J171" s="278" t="s">
        <v>2492</v>
      </c>
      <c r="BD171" s="23">
        <v>41640</v>
      </c>
      <c r="BE171" s="23">
        <v>42735</v>
      </c>
      <c r="BG171" s="11" t="s">
        <v>350</v>
      </c>
      <c r="BH171" s="22">
        <v>762000</v>
      </c>
      <c r="BI171" s="11" t="s">
        <v>3280</v>
      </c>
      <c r="BJ171" s="11" t="s">
        <v>3385</v>
      </c>
      <c r="BK171" s="11" t="s">
        <v>3282</v>
      </c>
      <c r="BO171" s="12" t="s">
        <v>319</v>
      </c>
      <c r="BP171" s="12" t="s">
        <v>320</v>
      </c>
      <c r="BQ171" s="12" t="s">
        <v>319</v>
      </c>
      <c r="BR171" s="11" t="s">
        <v>3386</v>
      </c>
      <c r="BS171" s="11" t="s">
        <v>322</v>
      </c>
      <c r="BT171" s="11" t="s">
        <v>3387</v>
      </c>
      <c r="BU171" s="11" t="s">
        <v>3388</v>
      </c>
      <c r="BV171" s="22">
        <v>2116</v>
      </c>
      <c r="BW171" s="22">
        <v>936</v>
      </c>
      <c r="BX171" s="22">
        <v>3052</v>
      </c>
      <c r="BY171" s="22">
        <v>34225</v>
      </c>
      <c r="BZ171" s="22">
        <v>34225</v>
      </c>
      <c r="CA171" s="22">
        <v>68450</v>
      </c>
      <c r="CB171" s="15" t="s">
        <v>3389</v>
      </c>
      <c r="CL171" s="18"/>
      <c r="CP171" s="18"/>
      <c r="CT171" s="18"/>
      <c r="CX171" s="18"/>
      <c r="DB171" s="18"/>
      <c r="DF171" s="18"/>
      <c r="DJ171" s="18"/>
      <c r="DN171" s="18"/>
      <c r="DR171" s="18"/>
      <c r="DV171" s="18"/>
      <c r="DZ171" s="18"/>
      <c r="ED171" s="18"/>
      <c r="EI171" s="18"/>
      <c r="EK171" s="22">
        <v>2116</v>
      </c>
      <c r="EL171" s="22">
        <v>936</v>
      </c>
      <c r="EM171" s="22">
        <v>3052</v>
      </c>
      <c r="EN171" s="22">
        <v>34225</v>
      </c>
      <c r="EO171" s="22">
        <v>34225</v>
      </c>
      <c r="EP171" s="22">
        <v>68450</v>
      </c>
      <c r="EQ171" s="12" t="s">
        <v>320</v>
      </c>
      <c r="ER171" s="22">
        <v>3052</v>
      </c>
      <c r="ES171" s="18">
        <v>0.69299999999999995</v>
      </c>
      <c r="ET171" s="22">
        <v>68450</v>
      </c>
      <c r="EW171" s="18"/>
      <c r="FA171" s="18"/>
      <c r="FE171" s="18"/>
      <c r="FG171" s="12" t="s">
        <v>320</v>
      </c>
      <c r="FH171" s="22">
        <v>3052</v>
      </c>
      <c r="FI171" s="18">
        <v>0.69299999999999995</v>
      </c>
      <c r="FM171" s="18"/>
      <c r="FQ171" s="18"/>
      <c r="FU171" s="18"/>
      <c r="FW171" s="11" t="s">
        <v>320</v>
      </c>
      <c r="FX171" s="22">
        <v>3052</v>
      </c>
      <c r="FY171" s="18">
        <v>0.69299999999999995</v>
      </c>
      <c r="FZ171" s="22">
        <v>68450</v>
      </c>
      <c r="GC171" s="18"/>
      <c r="GE171" s="12" t="s">
        <v>320</v>
      </c>
      <c r="GF171" s="22">
        <v>3052</v>
      </c>
      <c r="GG171" s="18">
        <v>0.69299999999999995</v>
      </c>
      <c r="GK171" s="18"/>
      <c r="GO171" s="18"/>
      <c r="GS171" s="18"/>
      <c r="GW171" s="18"/>
      <c r="GY171" s="11" t="s">
        <v>320</v>
      </c>
      <c r="GZ171" s="22">
        <v>3052</v>
      </c>
      <c r="HA171" s="18">
        <v>0.69299999999999995</v>
      </c>
      <c r="HF171" s="18"/>
      <c r="HH171" s="11" t="s">
        <v>320</v>
      </c>
      <c r="HI171" s="11" t="s">
        <v>544</v>
      </c>
      <c r="HJ171" s="11">
        <v>2017</v>
      </c>
      <c r="HK171" s="11" t="s">
        <v>320</v>
      </c>
      <c r="HL171" s="11" t="s">
        <v>319</v>
      </c>
      <c r="HP171" s="11" t="s">
        <v>330</v>
      </c>
      <c r="HQ171" s="11" t="s">
        <v>320</v>
      </c>
      <c r="HS171" s="11" t="s">
        <v>320</v>
      </c>
      <c r="HW171" s="11" t="s">
        <v>320</v>
      </c>
      <c r="HZ171" s="11" t="s">
        <v>331</v>
      </c>
      <c r="IA171" s="11" t="s">
        <v>3390</v>
      </c>
      <c r="IB171" s="12" t="s">
        <v>396</v>
      </c>
      <c r="ID171" s="12" t="s">
        <v>334</v>
      </c>
      <c r="IE171" s="11" t="s">
        <v>335</v>
      </c>
      <c r="IF171" s="11" t="s">
        <v>320</v>
      </c>
      <c r="IG171" s="11" t="s">
        <v>320</v>
      </c>
      <c r="IH171" s="11" t="s">
        <v>320</v>
      </c>
      <c r="II171" s="11" t="s">
        <v>320</v>
      </c>
      <c r="IJ171" s="12" t="str">
        <f t="shared" si="87"/>
        <v>2. Sensitive</v>
      </c>
      <c r="IK171" s="12">
        <f t="shared" si="88"/>
        <v>4</v>
      </c>
      <c r="IL171" s="11" t="s">
        <v>336</v>
      </c>
      <c r="IM171" s="11" t="s">
        <v>320</v>
      </c>
      <c r="IN171" s="11" t="s">
        <v>320</v>
      </c>
      <c r="IO171" s="11" t="s">
        <v>320</v>
      </c>
      <c r="IP171" s="11" t="s">
        <v>320</v>
      </c>
      <c r="IQ171" s="12" t="str">
        <f t="shared" si="89"/>
        <v>2. Accommodating</v>
      </c>
      <c r="IR171" s="12">
        <f t="shared" si="90"/>
        <v>4</v>
      </c>
      <c r="IS171" s="11" t="s">
        <v>337</v>
      </c>
      <c r="IT171" s="11" t="s">
        <v>320</v>
      </c>
      <c r="IU171" s="11" t="s">
        <v>320</v>
      </c>
      <c r="IV171" s="11" t="s">
        <v>320</v>
      </c>
      <c r="IW171" s="11" t="str">
        <f t="shared" si="91"/>
        <v>2. Sensitive</v>
      </c>
      <c r="IX171" s="12">
        <f t="shared" si="92"/>
        <v>3</v>
      </c>
      <c r="IY171" s="11" t="s">
        <v>419</v>
      </c>
      <c r="IZ171" s="11" t="s">
        <v>527</v>
      </c>
      <c r="JA171" s="11">
        <v>3</v>
      </c>
      <c r="JB171" s="12" t="s">
        <v>687</v>
      </c>
      <c r="JC171" s="11" t="s">
        <v>624</v>
      </c>
      <c r="JD171" s="11" t="s">
        <v>831</v>
      </c>
      <c r="JE171" s="12" t="s">
        <v>365</v>
      </c>
      <c r="JF171" s="11" t="s">
        <v>3391</v>
      </c>
      <c r="JH171" s="11" t="s">
        <v>3392</v>
      </c>
      <c r="JI171" s="11" t="s">
        <v>3393</v>
      </c>
      <c r="JJ171" s="11" t="s">
        <v>3394</v>
      </c>
      <c r="JK171" s="11" t="s">
        <v>3395</v>
      </c>
      <c r="JL171" s="11" t="s">
        <v>3396</v>
      </c>
      <c r="JM171" s="11" t="s">
        <v>3397</v>
      </c>
      <c r="JO171" s="11" t="s">
        <v>3398</v>
      </c>
      <c r="JP171" s="15">
        <f t="shared" si="93"/>
        <v>3052</v>
      </c>
      <c r="JQ171" s="15">
        <f t="shared" si="94"/>
        <v>68450</v>
      </c>
      <c r="JR171" s="279">
        <f t="shared" si="95"/>
        <v>22.427916120576672</v>
      </c>
      <c r="JS171" s="17">
        <f t="shared" si="96"/>
        <v>0.6933158584534731</v>
      </c>
      <c r="JT171" s="18">
        <f t="shared" si="97"/>
        <v>0.5</v>
      </c>
      <c r="JU171" s="280">
        <f t="shared" si="98"/>
        <v>2116</v>
      </c>
      <c r="JV171" s="280">
        <f t="shared" si="99"/>
        <v>34225</v>
      </c>
      <c r="JW171" s="319" t="str">
        <f t="shared" si="100"/>
        <v/>
      </c>
      <c r="JX171" s="15">
        <f t="shared" si="101"/>
        <v>0</v>
      </c>
      <c r="JY171" s="15">
        <f t="shared" si="102"/>
        <v>0</v>
      </c>
      <c r="JZ171" s="19" t="str">
        <f t="shared" si="103"/>
        <v/>
      </c>
      <c r="KA171" s="52">
        <f t="shared" si="104"/>
        <v>1</v>
      </c>
      <c r="KB171" s="15">
        <f t="shared" si="105"/>
        <v>3052</v>
      </c>
      <c r="KC171" s="15">
        <f t="shared" si="106"/>
        <v>68450</v>
      </c>
      <c r="KD171" s="20">
        <f t="shared" si="107"/>
        <v>22.427916120576672</v>
      </c>
      <c r="KE171" s="52" t="str">
        <f t="shared" si="108"/>
        <v/>
      </c>
      <c r="KF171" s="15">
        <f t="shared" si="109"/>
        <v>0</v>
      </c>
      <c r="KG171" s="15">
        <f t="shared" si="110"/>
        <v>0</v>
      </c>
      <c r="KH171" s="21" t="str">
        <f t="shared" si="111"/>
        <v/>
      </c>
      <c r="KI171" s="52" t="str">
        <f t="shared" si="112"/>
        <v/>
      </c>
      <c r="KJ171" s="15">
        <f t="shared" si="113"/>
        <v>0</v>
      </c>
      <c r="KK171" s="15">
        <f t="shared" si="114"/>
        <v>0</v>
      </c>
      <c r="KL171" s="19" t="str">
        <f t="shared" si="115"/>
        <v/>
      </c>
      <c r="KM171" s="52">
        <f t="shared" si="116"/>
        <v>1</v>
      </c>
      <c r="KN171" s="22">
        <f t="shared" si="117"/>
        <v>3052</v>
      </c>
      <c r="KO171" s="22">
        <f t="shared" si="118"/>
        <v>0</v>
      </c>
      <c r="KP171" s="19">
        <f t="shared" si="119"/>
        <v>0</v>
      </c>
      <c r="KQ171" s="11" t="str">
        <f t="shared" si="120"/>
        <v>2. Sensitive</v>
      </c>
      <c r="KR171" s="11" t="str">
        <f t="shared" si="121"/>
        <v>2. Accommodating</v>
      </c>
      <c r="KS171" s="11" t="str">
        <f t="shared" si="122"/>
        <v>2. Sensitive</v>
      </c>
      <c r="KT171" s="11" t="str">
        <f t="shared" si="123"/>
        <v>It tested new ways for fighting poverty and measured results of innovation</v>
      </c>
      <c r="KU171" s="11" t="str">
        <f t="shared" si="124"/>
        <v>Moderate advocacy</v>
      </c>
      <c r="KV171" s="11" t="str">
        <f t="shared" si="125"/>
        <v>It linked and worked with strategic alliances and partners to take tested and effective solutions to scale</v>
      </c>
      <c r="KW171" s="11" t="str">
        <f t="shared" si="126"/>
        <v>Ecuador - Autonomía social y económica de mujeres indígenas, afrodescendientes y mestizas en situación de pobreza y vulnerabilidad</v>
      </c>
      <c r="KX171" s="11" t="str">
        <f t="shared" si="127"/>
        <v>Autonomía social y económica de mujeres indígenas, afrodescendientes y mestizas en situación de pobreza y vulnerabilidad</v>
      </c>
      <c r="KY171" s="11" t="str">
        <f t="shared" si="128"/>
        <v>Ecuador</v>
      </c>
      <c r="KZ171" s="12">
        <v>171</v>
      </c>
    </row>
    <row r="172" spans="1:312" x14ac:dyDescent="0.3">
      <c r="A172" s="11" t="s">
        <v>3272</v>
      </c>
      <c r="B172" s="11" t="s">
        <v>2807</v>
      </c>
      <c r="D172" s="11" t="s">
        <v>3421</v>
      </c>
      <c r="E172" s="24" t="str">
        <f t="shared" si="86"/>
        <v>Ecuador</v>
      </c>
      <c r="F172" s="11" t="s">
        <v>3422</v>
      </c>
      <c r="G172" s="11" t="s">
        <v>425</v>
      </c>
      <c r="H172" s="11" t="s">
        <v>380</v>
      </c>
      <c r="I172" s="11" t="s">
        <v>907</v>
      </c>
      <c r="J172" s="278" t="s">
        <v>5183</v>
      </c>
      <c r="BD172" s="23">
        <v>42856</v>
      </c>
      <c r="BE172" s="23">
        <v>43404</v>
      </c>
      <c r="BG172" s="11" t="s">
        <v>817</v>
      </c>
      <c r="BH172" s="22">
        <v>602340</v>
      </c>
      <c r="BI172" s="11" t="s">
        <v>3280</v>
      </c>
      <c r="BJ172" s="11" t="s">
        <v>3423</v>
      </c>
      <c r="BK172" s="11" t="s">
        <v>3282</v>
      </c>
      <c r="BL172" s="11" t="s">
        <v>3424</v>
      </c>
      <c r="BM172" s="11" t="s">
        <v>3425</v>
      </c>
      <c r="BN172" s="11" t="s">
        <v>3426</v>
      </c>
      <c r="BO172" s="12" t="s">
        <v>319</v>
      </c>
      <c r="BP172" s="12" t="s">
        <v>320</v>
      </c>
      <c r="BQ172" s="12" t="s">
        <v>319</v>
      </c>
      <c r="BR172" s="11" t="s">
        <v>3427</v>
      </c>
      <c r="BS172" s="11" t="s">
        <v>357</v>
      </c>
      <c r="BT172" s="11" t="s">
        <v>3428</v>
      </c>
      <c r="BU172" s="11" t="s">
        <v>3429</v>
      </c>
      <c r="BV172" s="22">
        <v>11350</v>
      </c>
      <c r="BW172" s="22">
        <v>11350</v>
      </c>
      <c r="BX172" s="22">
        <v>22700</v>
      </c>
      <c r="CB172" s="15" t="s">
        <v>3430</v>
      </c>
      <c r="CL172" s="18"/>
      <c r="CP172" s="18"/>
      <c r="CT172" s="18"/>
      <c r="CX172" s="18"/>
      <c r="DB172" s="18"/>
      <c r="DF172" s="18"/>
      <c r="DJ172" s="18"/>
      <c r="DN172" s="18"/>
      <c r="DR172" s="18"/>
      <c r="DV172" s="18"/>
      <c r="DZ172" s="18"/>
      <c r="ED172" s="18"/>
      <c r="EI172" s="18"/>
      <c r="EK172" s="22">
        <v>2</v>
      </c>
      <c r="EL172" s="22">
        <v>18</v>
      </c>
      <c r="EM172" s="22">
        <v>20</v>
      </c>
      <c r="EN172" s="22">
        <v>0</v>
      </c>
      <c r="EO172" s="22">
        <v>0</v>
      </c>
      <c r="EP172" s="22">
        <v>0</v>
      </c>
      <c r="ES172" s="18"/>
      <c r="EW172" s="18"/>
      <c r="FA172" s="18"/>
      <c r="FC172" s="12" t="s">
        <v>320</v>
      </c>
      <c r="FD172" s="22">
        <v>20</v>
      </c>
      <c r="FE172" s="18">
        <v>0.1</v>
      </c>
      <c r="FI172" s="18"/>
      <c r="FM172" s="18"/>
      <c r="FQ172" s="18"/>
      <c r="FU172" s="18"/>
      <c r="FY172" s="18"/>
      <c r="GC172" s="18"/>
      <c r="GG172" s="18"/>
      <c r="GK172" s="18"/>
      <c r="GO172" s="18"/>
      <c r="GS172" s="18"/>
      <c r="GW172" s="18"/>
      <c r="HA172" s="18"/>
      <c r="HF172" s="18"/>
      <c r="HH172" s="11" t="s">
        <v>319</v>
      </c>
      <c r="HL172" s="11" t="s">
        <v>320</v>
      </c>
      <c r="HM172" s="11" t="s">
        <v>361</v>
      </c>
      <c r="HN172" s="11">
        <v>2017</v>
      </c>
      <c r="HO172" s="11" t="s">
        <v>3431</v>
      </c>
      <c r="HP172" s="11" t="s">
        <v>330</v>
      </c>
      <c r="HQ172" s="11" t="s">
        <v>319</v>
      </c>
      <c r="HR172" s="11" t="s">
        <v>319</v>
      </c>
      <c r="HS172" s="11" t="s">
        <v>320</v>
      </c>
      <c r="HT172" s="11" t="s">
        <v>319</v>
      </c>
      <c r="HU172" s="11" t="s">
        <v>320</v>
      </c>
      <c r="HV172" s="11" t="s">
        <v>319</v>
      </c>
      <c r="HW172" s="11" t="s">
        <v>319</v>
      </c>
      <c r="HX172" s="11" t="s">
        <v>319</v>
      </c>
      <c r="HZ172" s="11" t="s">
        <v>363</v>
      </c>
      <c r="IB172" s="12" t="s">
        <v>396</v>
      </c>
      <c r="IC172" s="11" t="s">
        <v>3432</v>
      </c>
      <c r="ID172" s="11" t="s">
        <v>364</v>
      </c>
      <c r="IE172" s="11" t="s">
        <v>335</v>
      </c>
      <c r="IF172" s="11" t="s">
        <v>320</v>
      </c>
      <c r="IG172" s="11" t="s">
        <v>320</v>
      </c>
      <c r="IH172" s="11" t="s">
        <v>320</v>
      </c>
      <c r="II172" s="11" t="s">
        <v>320</v>
      </c>
      <c r="IJ172" s="12" t="str">
        <f t="shared" si="87"/>
        <v>2. Sensitive</v>
      </c>
      <c r="IK172" s="12">
        <f t="shared" si="88"/>
        <v>4</v>
      </c>
      <c r="IL172" s="11" t="s">
        <v>336</v>
      </c>
      <c r="IM172" s="11" t="s">
        <v>320</v>
      </c>
      <c r="IN172" s="11" t="s">
        <v>320</v>
      </c>
      <c r="IO172" s="11" t="s">
        <v>320</v>
      </c>
      <c r="IP172" s="11" t="s">
        <v>320</v>
      </c>
      <c r="IQ172" s="12" t="str">
        <f t="shared" si="89"/>
        <v>2. Accommodating</v>
      </c>
      <c r="IR172" s="12">
        <f t="shared" si="90"/>
        <v>4</v>
      </c>
      <c r="IS172" s="11" t="s">
        <v>337</v>
      </c>
      <c r="IT172" s="11" t="s">
        <v>320</v>
      </c>
      <c r="IU172" s="11" t="s">
        <v>320</v>
      </c>
      <c r="IV172" s="11" t="s">
        <v>320</v>
      </c>
      <c r="IW172" s="11" t="str">
        <f t="shared" si="91"/>
        <v>2. Sensitive</v>
      </c>
      <c r="IX172" s="12">
        <f t="shared" si="92"/>
        <v>3</v>
      </c>
      <c r="IY172" s="11" t="s">
        <v>419</v>
      </c>
      <c r="IZ172" s="12" t="s">
        <v>432</v>
      </c>
      <c r="JA172" s="11">
        <v>5</v>
      </c>
      <c r="JB172" s="12" t="s">
        <v>687</v>
      </c>
      <c r="JC172" s="12" t="s">
        <v>623</v>
      </c>
      <c r="JD172" s="11" t="s">
        <v>831</v>
      </c>
      <c r="JE172" s="12" t="s">
        <v>365</v>
      </c>
      <c r="JI172" s="11" t="s">
        <v>3433</v>
      </c>
      <c r="JN172" s="11" t="s">
        <v>3434</v>
      </c>
      <c r="JO172" s="11" t="s">
        <v>3435</v>
      </c>
      <c r="JP172" s="15">
        <f t="shared" si="93"/>
        <v>20</v>
      </c>
      <c r="JQ172" s="15">
        <f t="shared" si="94"/>
        <v>0</v>
      </c>
      <c r="JR172" s="279">
        <f t="shared" si="95"/>
        <v>0</v>
      </c>
      <c r="JS172" s="17">
        <f t="shared" si="96"/>
        <v>0.1</v>
      </c>
      <c r="JT172" s="18" t="str">
        <f t="shared" si="97"/>
        <v/>
      </c>
      <c r="JU172" s="280">
        <f t="shared" si="98"/>
        <v>2</v>
      </c>
      <c r="JV172" s="280">
        <f t="shared" si="99"/>
        <v>0</v>
      </c>
      <c r="JW172" s="319" t="str">
        <f t="shared" si="100"/>
        <v/>
      </c>
      <c r="JX172" s="15">
        <f t="shared" si="101"/>
        <v>0</v>
      </c>
      <c r="JY172" s="15">
        <f t="shared" si="102"/>
        <v>0</v>
      </c>
      <c r="JZ172" s="19" t="str">
        <f t="shared" si="103"/>
        <v/>
      </c>
      <c r="KA172" s="52">
        <f t="shared" si="104"/>
        <v>1</v>
      </c>
      <c r="KB172" s="15">
        <f t="shared" si="105"/>
        <v>20</v>
      </c>
      <c r="KC172" s="15">
        <f t="shared" si="106"/>
        <v>0</v>
      </c>
      <c r="KD172" s="20">
        <f t="shared" si="107"/>
        <v>0</v>
      </c>
      <c r="KE172" s="52" t="str">
        <f t="shared" si="108"/>
        <v/>
      </c>
      <c r="KF172" s="15">
        <f t="shared" si="109"/>
        <v>0</v>
      </c>
      <c r="KG172" s="15">
        <f t="shared" si="110"/>
        <v>0</v>
      </c>
      <c r="KH172" s="21" t="str">
        <f t="shared" si="111"/>
        <v/>
      </c>
      <c r="KI172" s="52" t="str">
        <f t="shared" si="112"/>
        <v/>
      </c>
      <c r="KJ172" s="15">
        <f t="shared" si="113"/>
        <v>0</v>
      </c>
      <c r="KK172" s="15">
        <f t="shared" si="114"/>
        <v>0</v>
      </c>
      <c r="KL172" s="19" t="str">
        <f t="shared" si="115"/>
        <v/>
      </c>
      <c r="KM172" s="52" t="str">
        <f t="shared" si="116"/>
        <v/>
      </c>
      <c r="KN172" s="22">
        <f t="shared" si="117"/>
        <v>0</v>
      </c>
      <c r="KO172" s="22">
        <f t="shared" si="118"/>
        <v>0</v>
      </c>
      <c r="KP172" s="19" t="str">
        <f t="shared" si="119"/>
        <v/>
      </c>
      <c r="KQ172" s="11" t="str">
        <f t="shared" si="120"/>
        <v>2. Sensitive</v>
      </c>
      <c r="KR172" s="11" t="str">
        <f t="shared" si="121"/>
        <v>2. Accommodating</v>
      </c>
      <c r="KS172" s="11" t="str">
        <f t="shared" si="122"/>
        <v>2. Sensitive</v>
      </c>
      <c r="KT172" s="11" t="str">
        <f t="shared" si="123"/>
        <v>It did not develop any specific innovation</v>
      </c>
      <c r="KU172" s="11" t="str">
        <f t="shared" si="124"/>
        <v>Moderate advocacy</v>
      </c>
      <c r="KV172" s="11" t="str">
        <f t="shared" si="125"/>
        <v>It linked and worked with strategic alliances and partners to take tested and effective solutions to scale</v>
      </c>
      <c r="KW172" s="11" t="str">
        <f t="shared" si="126"/>
        <v>Ecuador - Construyendo resiliencia en gestión del riesgo de desastres en barrios peri-urbanos y comunidades rurales de Manabí y Esmeraldas</v>
      </c>
      <c r="KX172" s="11" t="str">
        <f t="shared" si="127"/>
        <v>Construyendo resiliencia en gestión del riesgo de desastres en barrios peri-urbanos y comunidades rurales de Manabí y Esmeraldas</v>
      </c>
      <c r="KY172" s="11" t="str">
        <f t="shared" si="128"/>
        <v>Ecuador</v>
      </c>
      <c r="KZ172" s="12">
        <v>172</v>
      </c>
    </row>
    <row r="173" spans="1:312" x14ac:dyDescent="0.3">
      <c r="A173" s="11" t="s">
        <v>3272</v>
      </c>
      <c r="B173" s="11" t="s">
        <v>2807</v>
      </c>
      <c r="C173" s="11">
        <v>2889</v>
      </c>
      <c r="D173" s="11" t="s">
        <v>3399</v>
      </c>
      <c r="E173" s="277" t="str">
        <f t="shared" si="86"/>
        <v>Ecuador</v>
      </c>
      <c r="F173" s="11" t="s">
        <v>3400</v>
      </c>
      <c r="G173" s="11" t="s">
        <v>714</v>
      </c>
      <c r="H173" s="11" t="s">
        <v>380</v>
      </c>
      <c r="I173" s="11" t="s">
        <v>517</v>
      </c>
      <c r="J173" s="278" t="s">
        <v>14578</v>
      </c>
      <c r="BD173" s="23">
        <v>41671</v>
      </c>
      <c r="BE173" s="23">
        <v>42766</v>
      </c>
      <c r="BG173" s="11" t="s">
        <v>609</v>
      </c>
      <c r="BH173" s="22">
        <v>1148618</v>
      </c>
      <c r="BI173" s="11" t="s">
        <v>3401</v>
      </c>
      <c r="BJ173" s="11" t="s">
        <v>3278</v>
      </c>
      <c r="BK173" s="11" t="s">
        <v>3279</v>
      </c>
      <c r="BL173" s="11" t="s">
        <v>3280</v>
      </c>
      <c r="BM173" s="11" t="s">
        <v>3385</v>
      </c>
      <c r="BN173" s="11" t="s">
        <v>3282</v>
      </c>
      <c r="BO173" s="11" t="s">
        <v>319</v>
      </c>
      <c r="BP173" s="11" t="s">
        <v>320</v>
      </c>
      <c r="BQ173" s="11" t="s">
        <v>319</v>
      </c>
      <c r="BR173" s="11" t="s">
        <v>3402</v>
      </c>
      <c r="BS173" s="11" t="s">
        <v>322</v>
      </c>
      <c r="BT173" s="11" t="s">
        <v>3403</v>
      </c>
      <c r="BU173" s="11" t="s">
        <v>3404</v>
      </c>
      <c r="BV173" s="22">
        <v>4156</v>
      </c>
      <c r="BW173" s="22">
        <v>3994</v>
      </c>
      <c r="BX173" s="22">
        <v>8150</v>
      </c>
      <c r="BY173" s="22">
        <v>19363</v>
      </c>
      <c r="BZ173" s="22">
        <v>18603</v>
      </c>
      <c r="CA173" s="22">
        <v>37966</v>
      </c>
      <c r="CB173" s="15" t="s">
        <v>3405</v>
      </c>
      <c r="CL173" s="18"/>
      <c r="CP173" s="18"/>
      <c r="CT173" s="18"/>
      <c r="CX173" s="18"/>
      <c r="DB173" s="18"/>
      <c r="DF173" s="18"/>
      <c r="DJ173" s="18"/>
      <c r="DN173" s="18"/>
      <c r="DR173" s="18"/>
      <c r="DV173" s="18"/>
      <c r="DZ173" s="18"/>
      <c r="ED173" s="18"/>
      <c r="EI173" s="18"/>
      <c r="EK173" s="22">
        <v>6836</v>
      </c>
      <c r="EL173" s="22">
        <v>3216</v>
      </c>
      <c r="EM173" s="22">
        <v>10052</v>
      </c>
      <c r="EN173" s="22">
        <v>315778</v>
      </c>
      <c r="EO173" s="22">
        <v>190969</v>
      </c>
      <c r="EP173" s="22">
        <v>506747</v>
      </c>
      <c r="ES173" s="18"/>
      <c r="EW173" s="18"/>
      <c r="FA173" s="18"/>
      <c r="FE173" s="18"/>
      <c r="FI173" s="18"/>
      <c r="FM173" s="18"/>
      <c r="FQ173" s="18"/>
      <c r="FS173" s="12" t="s">
        <v>320</v>
      </c>
      <c r="FT173" s="22">
        <v>10052</v>
      </c>
      <c r="FU173" s="18">
        <v>0.68</v>
      </c>
      <c r="FV173" s="22">
        <v>506747</v>
      </c>
      <c r="FY173" s="18"/>
      <c r="GC173" s="18"/>
      <c r="GG173" s="18"/>
      <c r="GK173" s="18"/>
      <c r="GO173" s="18"/>
      <c r="GS173" s="18"/>
      <c r="GW173" s="18"/>
      <c r="HA173" s="18"/>
      <c r="HF173" s="18"/>
      <c r="HH173" s="11" t="s">
        <v>320</v>
      </c>
      <c r="HI173" s="11" t="s">
        <v>416</v>
      </c>
      <c r="HJ173" s="11">
        <v>2017</v>
      </c>
      <c r="HK173" s="11" t="s">
        <v>319</v>
      </c>
      <c r="HL173" s="11" t="s">
        <v>319</v>
      </c>
      <c r="HP173" s="11" t="s">
        <v>453</v>
      </c>
      <c r="HQ173" s="11" t="s">
        <v>320</v>
      </c>
      <c r="HS173" s="11" t="s">
        <v>320</v>
      </c>
      <c r="HZ173" s="11" t="s">
        <v>331</v>
      </c>
      <c r="IA173" s="11" t="s">
        <v>3406</v>
      </c>
      <c r="IB173" s="12" t="s">
        <v>396</v>
      </c>
      <c r="IC173" s="11" t="s">
        <v>3407</v>
      </c>
      <c r="ID173" s="12" t="s">
        <v>334</v>
      </c>
      <c r="IE173" s="11" t="s">
        <v>335</v>
      </c>
      <c r="IF173" s="11" t="s">
        <v>320</v>
      </c>
      <c r="IG173" s="11" t="s">
        <v>320</v>
      </c>
      <c r="IH173" s="11" t="s">
        <v>320</v>
      </c>
      <c r="II173" s="11" t="s">
        <v>320</v>
      </c>
      <c r="IJ173" s="12" t="str">
        <f t="shared" si="87"/>
        <v>2. Sensitive</v>
      </c>
      <c r="IK173" s="12">
        <f t="shared" si="88"/>
        <v>4</v>
      </c>
      <c r="IL173" s="11" t="s">
        <v>336</v>
      </c>
      <c r="IM173" s="11" t="s">
        <v>320</v>
      </c>
      <c r="IN173" s="11" t="s">
        <v>320</v>
      </c>
      <c r="IO173" s="11" t="s">
        <v>320</v>
      </c>
      <c r="IP173" s="11" t="s">
        <v>320</v>
      </c>
      <c r="IQ173" s="12" t="str">
        <f t="shared" si="89"/>
        <v>2. Accommodating</v>
      </c>
      <c r="IR173" s="12">
        <f t="shared" si="90"/>
        <v>4</v>
      </c>
      <c r="IS173" s="11" t="s">
        <v>337</v>
      </c>
      <c r="IT173" s="11" t="s">
        <v>320</v>
      </c>
      <c r="IU173" s="11" t="s">
        <v>320</v>
      </c>
      <c r="IV173" s="11" t="s">
        <v>320</v>
      </c>
      <c r="IW173" s="11" t="str">
        <f t="shared" si="91"/>
        <v>2. Sensitive</v>
      </c>
      <c r="IX173" s="12">
        <f t="shared" si="92"/>
        <v>3</v>
      </c>
      <c r="IY173" s="11" t="s">
        <v>419</v>
      </c>
      <c r="IZ173" s="12" t="s">
        <v>432</v>
      </c>
      <c r="JA173" s="11">
        <v>2</v>
      </c>
      <c r="JB173" s="11" t="s">
        <v>624</v>
      </c>
      <c r="JC173" s="11" t="s">
        <v>831</v>
      </c>
      <c r="JE173" s="12" t="s">
        <v>340</v>
      </c>
      <c r="JF173" s="11" t="s">
        <v>3340</v>
      </c>
      <c r="JH173" s="11" t="s">
        <v>3341</v>
      </c>
      <c r="JI173" s="11" t="s">
        <v>3342</v>
      </c>
      <c r="JJ173" s="11" t="s">
        <v>3343</v>
      </c>
      <c r="JK173" s="11" t="s">
        <v>3344</v>
      </c>
      <c r="JL173" s="11" t="s">
        <v>3345</v>
      </c>
      <c r="JM173" s="11" t="s">
        <v>3346</v>
      </c>
      <c r="JO173" s="11" t="s">
        <v>3347</v>
      </c>
      <c r="JP173" s="15">
        <f t="shared" si="93"/>
        <v>10052</v>
      </c>
      <c r="JQ173" s="15">
        <f t="shared" si="94"/>
        <v>506747</v>
      </c>
      <c r="JR173" s="279">
        <f t="shared" si="95"/>
        <v>50.412554715479509</v>
      </c>
      <c r="JS173" s="17">
        <f t="shared" si="96"/>
        <v>0.68006366892160763</v>
      </c>
      <c r="JT173" s="18">
        <f t="shared" si="97"/>
        <v>0.62314725099507251</v>
      </c>
      <c r="JU173" s="280">
        <f t="shared" si="98"/>
        <v>6836</v>
      </c>
      <c r="JV173" s="280">
        <f t="shared" si="99"/>
        <v>315778</v>
      </c>
      <c r="JW173" s="319" t="str">
        <f t="shared" si="100"/>
        <v/>
      </c>
      <c r="JX173" s="15">
        <f t="shared" si="101"/>
        <v>0</v>
      </c>
      <c r="JY173" s="15">
        <f t="shared" si="102"/>
        <v>0</v>
      </c>
      <c r="JZ173" s="19" t="str">
        <f t="shared" si="103"/>
        <v/>
      </c>
      <c r="KA173" s="52" t="str">
        <f t="shared" si="104"/>
        <v/>
      </c>
      <c r="KB173" s="15">
        <f t="shared" si="105"/>
        <v>0</v>
      </c>
      <c r="KC173" s="15">
        <f t="shared" si="106"/>
        <v>0</v>
      </c>
      <c r="KD173" s="20" t="str">
        <f t="shared" si="107"/>
        <v/>
      </c>
      <c r="KE173" s="52" t="str">
        <f t="shared" si="108"/>
        <v/>
      </c>
      <c r="KF173" s="15">
        <f t="shared" si="109"/>
        <v>0</v>
      </c>
      <c r="KG173" s="15">
        <f t="shared" si="110"/>
        <v>0</v>
      </c>
      <c r="KH173" s="21" t="str">
        <f t="shared" si="111"/>
        <v/>
      </c>
      <c r="KI173" s="52">
        <f t="shared" si="112"/>
        <v>1</v>
      </c>
      <c r="KJ173" s="15">
        <f t="shared" si="113"/>
        <v>10052</v>
      </c>
      <c r="KK173" s="15">
        <f t="shared" si="114"/>
        <v>506747</v>
      </c>
      <c r="KL173" s="19">
        <f t="shared" si="115"/>
        <v>50.412554715479509</v>
      </c>
      <c r="KM173" s="52" t="str">
        <f t="shared" si="116"/>
        <v/>
      </c>
      <c r="KN173" s="22">
        <f t="shared" si="117"/>
        <v>0</v>
      </c>
      <c r="KO173" s="22">
        <f t="shared" si="118"/>
        <v>0</v>
      </c>
      <c r="KP173" s="19" t="str">
        <f t="shared" si="119"/>
        <v/>
      </c>
      <c r="KQ173" s="11" t="str">
        <f t="shared" si="120"/>
        <v>2. Sensitive</v>
      </c>
      <c r="KR173" s="11" t="str">
        <f t="shared" si="121"/>
        <v>2. Accommodating</v>
      </c>
      <c r="KS173" s="11" t="str">
        <f t="shared" si="122"/>
        <v>2. Sensitive</v>
      </c>
      <c r="KT173" s="11" t="str">
        <f t="shared" si="123"/>
        <v>It tested new ways for fighting poverty and measured results of innovation</v>
      </c>
      <c r="KU173" s="11" t="str">
        <f t="shared" si="124"/>
        <v>Intensive advocacy</v>
      </c>
      <c r="KV173" s="11" t="str">
        <f t="shared" si="125"/>
        <v>It linked and worked with strategic alliances and partners to take tested and effective solutions to scale</v>
      </c>
      <c r="KW173" s="11" t="str">
        <f t="shared" si="126"/>
        <v>Ecuador - Democratización, Derechos y Diálogo Intercultural para la Inclusión Étnica en Áreas de Frontera Norte del Ecuador</v>
      </c>
      <c r="KX173" s="11" t="str">
        <f t="shared" si="127"/>
        <v>Democratización, Derechos y Diálogo Intercultural para la Inclusión Étnica en Áreas de Frontera Norte del Ecuador</v>
      </c>
      <c r="KY173" s="11" t="str">
        <f t="shared" si="128"/>
        <v>Ecuador</v>
      </c>
      <c r="KZ173" s="12">
        <v>173</v>
      </c>
    </row>
    <row r="174" spans="1:312" x14ac:dyDescent="0.3">
      <c r="A174" s="11" t="s">
        <v>3272</v>
      </c>
      <c r="B174" s="11" t="s">
        <v>2807</v>
      </c>
      <c r="C174" s="11">
        <v>2899</v>
      </c>
      <c r="D174" s="11" t="s">
        <v>3334</v>
      </c>
      <c r="E174" s="24" t="str">
        <f t="shared" si="86"/>
        <v>Ecuador</v>
      </c>
      <c r="F174" s="11" t="s">
        <v>3335</v>
      </c>
      <c r="G174" s="11" t="s">
        <v>1738</v>
      </c>
      <c r="H174" s="11" t="s">
        <v>310</v>
      </c>
      <c r="I174" s="12" t="s">
        <v>3316</v>
      </c>
      <c r="J174" s="278" t="s">
        <v>14616</v>
      </c>
      <c r="K174" s="11" t="s">
        <v>3336</v>
      </c>
      <c r="L174" s="11" t="s">
        <v>608</v>
      </c>
      <c r="M174" s="11" t="s">
        <v>489</v>
      </c>
      <c r="N174" s="11" t="s">
        <v>384</v>
      </c>
      <c r="O174" s="281" t="s">
        <v>9985</v>
      </c>
      <c r="BD174" s="23">
        <v>42522</v>
      </c>
      <c r="BE174" s="23">
        <v>42704</v>
      </c>
      <c r="BF174" s="23">
        <v>42855</v>
      </c>
      <c r="BG174" s="11" t="s">
        <v>817</v>
      </c>
      <c r="BH174" s="22">
        <v>147028</v>
      </c>
      <c r="BI174" s="11" t="s">
        <v>3280</v>
      </c>
      <c r="BJ174" s="11" t="s">
        <v>3299</v>
      </c>
      <c r="BK174" s="11" t="s">
        <v>3282</v>
      </c>
      <c r="BL174" s="11" t="s">
        <v>3300</v>
      </c>
      <c r="BM174" s="11" t="s">
        <v>3301</v>
      </c>
      <c r="BN174" s="11" t="s">
        <v>3302</v>
      </c>
      <c r="BO174" s="11" t="s">
        <v>320</v>
      </c>
      <c r="BP174" s="11" t="s">
        <v>319</v>
      </c>
      <c r="BQ174" s="11" t="s">
        <v>319</v>
      </c>
      <c r="BR174" s="11" t="s">
        <v>3337</v>
      </c>
      <c r="BS174" s="11" t="s">
        <v>357</v>
      </c>
      <c r="BT174" s="11" t="s">
        <v>3338</v>
      </c>
      <c r="BU174" s="11" t="s">
        <v>3339</v>
      </c>
      <c r="BV174" s="22">
        <v>4823</v>
      </c>
      <c r="BW174" s="22">
        <v>4822</v>
      </c>
      <c r="BX174" s="22">
        <v>9645</v>
      </c>
      <c r="BY174" s="22">
        <v>4528</v>
      </c>
      <c r="BZ174" s="22">
        <v>4528</v>
      </c>
      <c r="CA174" s="22">
        <v>9056</v>
      </c>
      <c r="CB174" s="15" t="s">
        <v>3306</v>
      </c>
      <c r="CD174" s="22">
        <v>4823</v>
      </c>
      <c r="CE174" s="22">
        <v>4822</v>
      </c>
      <c r="CF174" s="22">
        <v>9645</v>
      </c>
      <c r="CG174" s="22">
        <v>4528</v>
      </c>
      <c r="CH174" s="22">
        <v>4528</v>
      </c>
      <c r="CI174" s="22">
        <v>9056</v>
      </c>
      <c r="CL174" s="18"/>
      <c r="CP174" s="18"/>
      <c r="CT174" s="18"/>
      <c r="CX174" s="18"/>
      <c r="DB174" s="18"/>
      <c r="DF174" s="18"/>
      <c r="DJ174" s="18"/>
      <c r="DN174" s="18"/>
      <c r="DR174" s="18"/>
      <c r="DV174" s="18"/>
      <c r="DX174" s="12" t="s">
        <v>320</v>
      </c>
      <c r="DY174" s="22">
        <v>9645</v>
      </c>
      <c r="DZ174" s="18">
        <v>0.5</v>
      </c>
      <c r="EA174" s="22">
        <v>9056</v>
      </c>
      <c r="EB174" s="11" t="s">
        <v>320</v>
      </c>
      <c r="EC174" s="22">
        <v>9645</v>
      </c>
      <c r="ED174" s="18">
        <v>0.5</v>
      </c>
      <c r="EE174" s="22">
        <v>9056</v>
      </c>
      <c r="EI174" s="18"/>
      <c r="ES174" s="18"/>
      <c r="EW174" s="18"/>
      <c r="FA174" s="18"/>
      <c r="FE174" s="18"/>
      <c r="FI174" s="18"/>
      <c r="FM174" s="18"/>
      <c r="FQ174" s="18"/>
      <c r="FU174" s="18"/>
      <c r="FY174" s="18"/>
      <c r="GC174" s="18"/>
      <c r="GG174" s="18"/>
      <c r="GK174" s="18"/>
      <c r="GO174" s="18"/>
      <c r="GS174" s="18"/>
      <c r="GW174" s="18"/>
      <c r="HA174" s="18"/>
      <c r="HF174" s="18"/>
      <c r="HH174" s="11" t="s">
        <v>319</v>
      </c>
      <c r="HL174" s="11" t="s">
        <v>319</v>
      </c>
      <c r="HP174" s="11" t="s">
        <v>330</v>
      </c>
      <c r="HS174" s="11" t="s">
        <v>320</v>
      </c>
      <c r="HZ174" s="11" t="s">
        <v>363</v>
      </c>
      <c r="IB174" s="12" t="s">
        <v>396</v>
      </c>
      <c r="IC174" s="11" t="s">
        <v>3307</v>
      </c>
      <c r="ID174" s="11" t="s">
        <v>364</v>
      </c>
      <c r="IE174" s="11" t="s">
        <v>335</v>
      </c>
      <c r="IF174" s="11" t="s">
        <v>319</v>
      </c>
      <c r="IG174" s="11" t="s">
        <v>319</v>
      </c>
      <c r="IH174" s="11" t="s">
        <v>320</v>
      </c>
      <c r="II174" s="11" t="s">
        <v>320</v>
      </c>
      <c r="IJ174" s="12" t="str">
        <f t="shared" si="87"/>
        <v>1. Neutral</v>
      </c>
      <c r="IK174" s="12">
        <f t="shared" si="88"/>
        <v>2</v>
      </c>
      <c r="IL174" s="11" t="s">
        <v>336</v>
      </c>
      <c r="IM174" s="11" t="s">
        <v>320</v>
      </c>
      <c r="IN174" s="11" t="s">
        <v>320</v>
      </c>
      <c r="IO174" s="11" t="s">
        <v>320</v>
      </c>
      <c r="IP174" s="11" t="s">
        <v>319</v>
      </c>
      <c r="IQ174" s="12" t="str">
        <f t="shared" si="89"/>
        <v>2. Accommodating</v>
      </c>
      <c r="IR174" s="12">
        <f t="shared" si="90"/>
        <v>3</v>
      </c>
      <c r="IS174" s="11" t="s">
        <v>337</v>
      </c>
      <c r="IT174" s="11" t="s">
        <v>320</v>
      </c>
      <c r="IU174" s="11" t="s">
        <v>320</v>
      </c>
      <c r="IV174" s="11" t="s">
        <v>319</v>
      </c>
      <c r="IW174" s="11" t="str">
        <f t="shared" si="91"/>
        <v>1. Neutral</v>
      </c>
      <c r="IX174" s="12">
        <f t="shared" si="92"/>
        <v>2</v>
      </c>
      <c r="IY174" s="11" t="s">
        <v>419</v>
      </c>
      <c r="IZ174" s="12" t="s">
        <v>432</v>
      </c>
      <c r="JA174" s="11">
        <v>2</v>
      </c>
      <c r="JB174" s="11" t="s">
        <v>624</v>
      </c>
      <c r="JC174" s="11" t="s">
        <v>831</v>
      </c>
      <c r="JE174" s="12" t="s">
        <v>340</v>
      </c>
      <c r="JF174" s="11" t="s">
        <v>3340</v>
      </c>
      <c r="JH174" s="11" t="s">
        <v>3341</v>
      </c>
      <c r="JI174" s="11" t="s">
        <v>3342</v>
      </c>
      <c r="JJ174" s="11" t="s">
        <v>3343</v>
      </c>
      <c r="JK174" s="11" t="s">
        <v>3344</v>
      </c>
      <c r="JL174" s="11" t="s">
        <v>3345</v>
      </c>
      <c r="JM174" s="11" t="s">
        <v>3346</v>
      </c>
      <c r="JO174" s="11" t="s">
        <v>3347</v>
      </c>
      <c r="JP174" s="15">
        <f t="shared" si="93"/>
        <v>9645</v>
      </c>
      <c r="JQ174" s="15">
        <f t="shared" si="94"/>
        <v>9056</v>
      </c>
      <c r="JR174" s="279">
        <f t="shared" si="95"/>
        <v>0.93893208916537063</v>
      </c>
      <c r="JS174" s="17">
        <f t="shared" si="96"/>
        <v>0.50005184033177807</v>
      </c>
      <c r="JT174" s="18">
        <f t="shared" si="97"/>
        <v>0.5</v>
      </c>
      <c r="JU174" s="280">
        <f t="shared" si="98"/>
        <v>4823</v>
      </c>
      <c r="JV174" s="280">
        <f t="shared" si="99"/>
        <v>4528</v>
      </c>
      <c r="JW174" s="319">
        <f t="shared" si="100"/>
        <v>1</v>
      </c>
      <c r="JX174" s="15">
        <f t="shared" si="101"/>
        <v>9645</v>
      </c>
      <c r="JY174" s="15">
        <f t="shared" si="102"/>
        <v>9056</v>
      </c>
      <c r="JZ174" s="19">
        <f t="shared" si="103"/>
        <v>0.93893208916537063</v>
      </c>
      <c r="KA174" s="52" t="str">
        <f t="shared" si="104"/>
        <v/>
      </c>
      <c r="KB174" s="15">
        <f t="shared" si="105"/>
        <v>0</v>
      </c>
      <c r="KC174" s="15">
        <f t="shared" si="106"/>
        <v>0</v>
      </c>
      <c r="KD174" s="20" t="str">
        <f t="shared" si="107"/>
        <v/>
      </c>
      <c r="KE174" s="52" t="str">
        <f t="shared" si="108"/>
        <v/>
      </c>
      <c r="KF174" s="15">
        <f t="shared" si="109"/>
        <v>0</v>
      </c>
      <c r="KG174" s="15">
        <f t="shared" si="110"/>
        <v>0</v>
      </c>
      <c r="KH174" s="21" t="str">
        <f t="shared" si="111"/>
        <v/>
      </c>
      <c r="KI174" s="52" t="str">
        <f t="shared" si="112"/>
        <v/>
      </c>
      <c r="KJ174" s="15">
        <f t="shared" si="113"/>
        <v>0</v>
      </c>
      <c r="KK174" s="15">
        <f t="shared" si="114"/>
        <v>0</v>
      </c>
      <c r="KL174" s="19" t="str">
        <f t="shared" si="115"/>
        <v/>
      </c>
      <c r="KM174" s="52" t="str">
        <f t="shared" si="116"/>
        <v/>
      </c>
      <c r="KN174" s="22">
        <f t="shared" si="117"/>
        <v>0</v>
      </c>
      <c r="KO174" s="22">
        <f t="shared" si="118"/>
        <v>0</v>
      </c>
      <c r="KP174" s="19" t="str">
        <f t="shared" si="119"/>
        <v/>
      </c>
      <c r="KQ174" s="11" t="str">
        <f t="shared" si="120"/>
        <v>1. Neutral</v>
      </c>
      <c r="KR174" s="11" t="str">
        <f t="shared" si="121"/>
        <v>2. Accommodating</v>
      </c>
      <c r="KS174" s="11" t="str">
        <f t="shared" si="122"/>
        <v>1. Neutral</v>
      </c>
      <c r="KT174" s="11" t="str">
        <f t="shared" si="123"/>
        <v>It did not develop any specific innovation</v>
      </c>
      <c r="KU174" s="11" t="str">
        <f t="shared" si="124"/>
        <v>Moderate advocacy</v>
      </c>
      <c r="KV174" s="11" t="str">
        <f t="shared" si="125"/>
        <v>It linked and worked with strategic alliances and partners to take tested and effective solutions to scale</v>
      </c>
      <c r="KW174" s="11" t="str">
        <f t="shared" si="126"/>
        <v>Ecuador - Ecuador Earthquake Emergency Wash Assistance</v>
      </c>
      <c r="KX174" s="11" t="str">
        <f t="shared" si="127"/>
        <v>Ecuador Earthquake Emergency Wash Assistance</v>
      </c>
      <c r="KY174" s="11" t="str">
        <f t="shared" si="128"/>
        <v>Ecuador</v>
      </c>
      <c r="KZ174" s="12">
        <v>174</v>
      </c>
    </row>
    <row r="175" spans="1:312" x14ac:dyDescent="0.3">
      <c r="A175" s="12" t="s">
        <v>3272</v>
      </c>
      <c r="B175" s="12" t="s">
        <v>2807</v>
      </c>
      <c r="C175" s="12"/>
      <c r="D175" s="12" t="s">
        <v>2808</v>
      </c>
      <c r="E175" s="24" t="str">
        <f t="shared" si="86"/>
        <v>Ecuador</v>
      </c>
      <c r="F175" s="12"/>
      <c r="G175" s="12" t="s">
        <v>379</v>
      </c>
      <c r="H175" s="12" t="s">
        <v>384</v>
      </c>
      <c r="I175" s="12" t="s">
        <v>384</v>
      </c>
      <c r="J175" s="281"/>
      <c r="K175" s="12"/>
      <c r="L175" s="12"/>
      <c r="M175" s="12"/>
      <c r="N175" s="12"/>
      <c r="O175" s="12"/>
      <c r="P175" s="12"/>
      <c r="Q175" s="12"/>
      <c r="R175" s="12"/>
      <c r="S175" s="12"/>
      <c r="T175" s="12"/>
      <c r="U175" s="12"/>
      <c r="V175" s="12"/>
      <c r="W175" s="12"/>
      <c r="X175" s="12"/>
      <c r="Y175" s="12"/>
      <c r="Z175" s="12"/>
      <c r="AA175" s="12"/>
      <c r="AB175" s="12"/>
      <c r="AC175" s="12"/>
      <c r="AD175" s="12"/>
      <c r="BD175" s="13">
        <v>42552</v>
      </c>
      <c r="BE175" s="13">
        <v>47818</v>
      </c>
      <c r="BF175" s="12"/>
      <c r="BG175" s="12" t="s">
        <v>312</v>
      </c>
      <c r="BH175" s="14">
        <v>348803</v>
      </c>
      <c r="BI175" s="12" t="s">
        <v>2809</v>
      </c>
      <c r="BJ175" s="12" t="s">
        <v>2810</v>
      </c>
      <c r="BK175" s="12" t="s">
        <v>2811</v>
      </c>
      <c r="BL175" s="12" t="s">
        <v>2812</v>
      </c>
      <c r="BM175" s="12" t="s">
        <v>2813</v>
      </c>
      <c r="BN175" s="12" t="s">
        <v>2814</v>
      </c>
      <c r="BO175" s="11" t="s">
        <v>319</v>
      </c>
      <c r="BP175" s="11" t="s">
        <v>320</v>
      </c>
      <c r="BQ175" s="11" t="s">
        <v>319</v>
      </c>
      <c r="BR175" s="12" t="s">
        <v>2815</v>
      </c>
      <c r="BS175" s="12" t="s">
        <v>1535</v>
      </c>
      <c r="BT175" s="12" t="s">
        <v>2816</v>
      </c>
      <c r="BU175" s="12" t="s">
        <v>2817</v>
      </c>
      <c r="BV175" s="14"/>
      <c r="BW175" s="14"/>
      <c r="BX175" s="14">
        <v>10000</v>
      </c>
      <c r="BY175" s="14"/>
      <c r="BZ175" s="14"/>
      <c r="CA175" s="14">
        <v>10000000</v>
      </c>
      <c r="CB175" s="12" t="s">
        <v>3273</v>
      </c>
      <c r="CD175" s="14"/>
      <c r="CE175" s="14"/>
      <c r="CF175" s="14"/>
      <c r="CG175" s="14"/>
      <c r="CH175" s="14"/>
      <c r="CI175" s="14"/>
      <c r="CJ175" s="12"/>
      <c r="CK175" s="14"/>
      <c r="CL175" s="16"/>
      <c r="CM175" s="14"/>
      <c r="CN175" s="12"/>
      <c r="CO175" s="14"/>
      <c r="CP175" s="16"/>
      <c r="CQ175" s="14"/>
      <c r="CR175" s="12"/>
      <c r="CS175" s="14"/>
      <c r="CT175" s="16"/>
      <c r="CU175" s="14"/>
      <c r="CV175" s="12"/>
      <c r="CW175" s="14"/>
      <c r="CX175" s="16"/>
      <c r="CY175" s="14"/>
      <c r="CZ175" s="12"/>
      <c r="DA175" s="14"/>
      <c r="DB175" s="16"/>
      <c r="DC175" s="14"/>
      <c r="DD175" s="12"/>
      <c r="DE175" s="14"/>
      <c r="DF175" s="16"/>
      <c r="DG175" s="14"/>
      <c r="DH175" s="12"/>
      <c r="DI175" s="14"/>
      <c r="DJ175" s="16"/>
      <c r="DK175" s="14"/>
      <c r="DL175" s="12"/>
      <c r="DM175" s="14"/>
      <c r="DN175" s="16"/>
      <c r="DO175" s="14"/>
      <c r="DP175" s="12"/>
      <c r="DQ175" s="14"/>
      <c r="DR175" s="16"/>
      <c r="DS175" s="14"/>
      <c r="DT175" s="12"/>
      <c r="DU175" s="14"/>
      <c r="DV175" s="16"/>
      <c r="DW175" s="14"/>
      <c r="DX175" s="12"/>
      <c r="DY175" s="14"/>
      <c r="DZ175" s="16"/>
      <c r="EA175" s="14"/>
      <c r="EB175" s="12"/>
      <c r="EC175" s="14"/>
      <c r="ED175" s="16"/>
      <c r="EE175" s="14"/>
      <c r="EF175" s="12"/>
      <c r="EG175" s="12"/>
      <c r="EH175" s="14"/>
      <c r="EI175" s="16"/>
      <c r="EJ175" s="14"/>
      <c r="EK175" s="14">
        <v>2568</v>
      </c>
      <c r="EL175" s="14">
        <v>1175</v>
      </c>
      <c r="EM175" s="14">
        <v>3743</v>
      </c>
      <c r="EN175" s="14">
        <v>599039</v>
      </c>
      <c r="EO175" s="14">
        <v>392000</v>
      </c>
      <c r="EP175" s="14">
        <v>991039</v>
      </c>
      <c r="EQ175" s="12"/>
      <c r="ER175" s="14"/>
      <c r="ES175" s="16"/>
      <c r="ET175" s="14"/>
      <c r="EU175" s="12"/>
      <c r="EV175" s="14"/>
      <c r="EW175" s="16"/>
      <c r="EX175" s="14"/>
      <c r="EY175" s="12"/>
      <c r="EZ175" s="14"/>
      <c r="FA175" s="16"/>
      <c r="FB175" s="14"/>
      <c r="FC175" s="12"/>
      <c r="FD175" s="14"/>
      <c r="FE175" s="16"/>
      <c r="FF175" s="14"/>
      <c r="FG175" s="12"/>
      <c r="FH175" s="14"/>
      <c r="FI175" s="16"/>
      <c r="FJ175" s="14"/>
      <c r="FK175" s="12"/>
      <c r="FL175" s="14"/>
      <c r="FM175" s="16"/>
      <c r="FN175" s="14"/>
      <c r="FO175" s="12"/>
      <c r="FP175" s="14"/>
      <c r="FQ175" s="16"/>
      <c r="FR175" s="14"/>
      <c r="FS175" s="12" t="s">
        <v>320</v>
      </c>
      <c r="FT175" s="14">
        <v>1918</v>
      </c>
      <c r="FU175" s="16"/>
      <c r="FV175" s="14"/>
      <c r="FW175" s="11" t="s">
        <v>320</v>
      </c>
      <c r="FX175" s="14">
        <v>1918</v>
      </c>
      <c r="FY175" s="16"/>
      <c r="FZ175" s="14"/>
      <c r="GA175" s="12"/>
      <c r="GB175" s="14"/>
      <c r="GC175" s="16"/>
      <c r="GD175" s="14"/>
      <c r="GE175" s="12"/>
      <c r="GF175" s="14"/>
      <c r="GG175" s="16"/>
      <c r="GH175" s="14"/>
      <c r="GI175" s="12"/>
      <c r="GJ175" s="14"/>
      <c r="GK175" s="16"/>
      <c r="GL175" s="14"/>
      <c r="GM175" s="11" t="s">
        <v>320</v>
      </c>
      <c r="GN175" s="14">
        <v>1083</v>
      </c>
      <c r="GO175" s="16"/>
      <c r="GP175" s="14"/>
      <c r="GQ175" s="12"/>
      <c r="GR175" s="14"/>
      <c r="GS175" s="16"/>
      <c r="GT175" s="14"/>
      <c r="GU175" s="12"/>
      <c r="GV175" s="14"/>
      <c r="GW175" s="16"/>
      <c r="GX175" s="14"/>
      <c r="GY175" s="11" t="s">
        <v>320</v>
      </c>
      <c r="GZ175" s="14">
        <v>1918</v>
      </c>
      <c r="HA175" s="16"/>
      <c r="HB175" s="14"/>
      <c r="HC175" s="12"/>
      <c r="HD175" s="12"/>
      <c r="HE175" s="14"/>
      <c r="HF175" s="16"/>
      <c r="HG175" s="14"/>
      <c r="HH175" s="12" t="s">
        <v>319</v>
      </c>
      <c r="HI175" s="12"/>
      <c r="HJ175" s="12"/>
      <c r="HK175" s="12"/>
      <c r="HL175" s="12" t="s">
        <v>320</v>
      </c>
      <c r="HM175" s="12" t="s">
        <v>451</v>
      </c>
      <c r="HN175" s="12">
        <v>2018</v>
      </c>
      <c r="HO175" s="12" t="s">
        <v>2819</v>
      </c>
      <c r="HP175" s="12" t="s">
        <v>330</v>
      </c>
      <c r="HQ175" s="12" t="s">
        <v>319</v>
      </c>
      <c r="HR175" s="12" t="s">
        <v>319</v>
      </c>
      <c r="HS175" s="12" t="s">
        <v>320</v>
      </c>
      <c r="HT175" s="12" t="s">
        <v>320</v>
      </c>
      <c r="HU175" s="12" t="s">
        <v>320</v>
      </c>
      <c r="HV175" s="12" t="s">
        <v>320</v>
      </c>
      <c r="HW175" s="12" t="s">
        <v>319</v>
      </c>
      <c r="HX175" s="12" t="s">
        <v>320</v>
      </c>
      <c r="HY175" s="12" t="s">
        <v>2820</v>
      </c>
      <c r="HZ175" s="12" t="s">
        <v>394</v>
      </c>
      <c r="IA175" s="12" t="s">
        <v>2821</v>
      </c>
      <c r="IB175" s="12" t="s">
        <v>396</v>
      </c>
      <c r="IC175" s="12" t="s">
        <v>2822</v>
      </c>
      <c r="ID175" s="12" t="s">
        <v>334</v>
      </c>
      <c r="IE175" s="12" t="s">
        <v>478</v>
      </c>
      <c r="IF175" s="11" t="s">
        <v>320</v>
      </c>
      <c r="IG175" s="11" t="s">
        <v>320</v>
      </c>
      <c r="IH175" s="11" t="s">
        <v>320</v>
      </c>
      <c r="II175" s="12" t="s">
        <v>319</v>
      </c>
      <c r="IJ175" s="12" t="str">
        <f t="shared" si="87"/>
        <v>3. Responsive</v>
      </c>
      <c r="IK175" s="12">
        <f t="shared" si="88"/>
        <v>3</v>
      </c>
      <c r="IL175" s="11" t="s">
        <v>621</v>
      </c>
      <c r="IM175" s="11" t="s">
        <v>320</v>
      </c>
      <c r="IN175" s="11" t="s">
        <v>320</v>
      </c>
      <c r="IO175" s="11" t="s">
        <v>320</v>
      </c>
      <c r="IP175" s="11" t="s">
        <v>320</v>
      </c>
      <c r="IQ175" s="12" t="str">
        <f t="shared" si="89"/>
        <v>4. Transformational</v>
      </c>
      <c r="IR175" s="12">
        <f t="shared" si="90"/>
        <v>4</v>
      </c>
      <c r="IS175" s="12" t="s">
        <v>337</v>
      </c>
      <c r="IT175" s="12" t="s">
        <v>319</v>
      </c>
      <c r="IU175" s="12" t="s">
        <v>320</v>
      </c>
      <c r="IV175" s="12" t="s">
        <v>319</v>
      </c>
      <c r="IW175" s="11" t="str">
        <f t="shared" si="91"/>
        <v>1. Neutral</v>
      </c>
      <c r="IX175" s="12">
        <f t="shared" si="92"/>
        <v>1</v>
      </c>
      <c r="IY175" s="12" t="s">
        <v>338</v>
      </c>
      <c r="IZ175" s="12" t="s">
        <v>457</v>
      </c>
      <c r="JA175" s="12"/>
      <c r="JB175" s="12" t="s">
        <v>2236</v>
      </c>
      <c r="JC175" s="11" t="s">
        <v>433</v>
      </c>
      <c r="JD175" s="12" t="s">
        <v>832</v>
      </c>
      <c r="JE175" s="12" t="s">
        <v>340</v>
      </c>
      <c r="JF175" s="12" t="s">
        <v>2823</v>
      </c>
      <c r="JG175" s="12" t="s">
        <v>2824</v>
      </c>
      <c r="JH175" s="12" t="s">
        <v>2825</v>
      </c>
      <c r="JI175" s="12" t="s">
        <v>2826</v>
      </c>
      <c r="JJ175" s="12" t="s">
        <v>2827</v>
      </c>
      <c r="JK175" s="12" t="s">
        <v>2828</v>
      </c>
      <c r="JL175" s="12" t="s">
        <v>2829</v>
      </c>
      <c r="JM175" s="12" t="s">
        <v>2830</v>
      </c>
      <c r="JN175" s="12" t="s">
        <v>3274</v>
      </c>
      <c r="JO175" s="12" t="s">
        <v>2832</v>
      </c>
      <c r="JP175" s="15">
        <f t="shared" si="93"/>
        <v>3743</v>
      </c>
      <c r="JQ175" s="15">
        <f t="shared" si="94"/>
        <v>991039</v>
      </c>
      <c r="JR175" s="279">
        <f t="shared" si="95"/>
        <v>264.77130643868554</v>
      </c>
      <c r="JS175" s="17">
        <f t="shared" si="96"/>
        <v>0.68608068394336097</v>
      </c>
      <c r="JT175" s="18">
        <f t="shared" si="97"/>
        <v>0.60445552596820107</v>
      </c>
      <c r="JU175" s="280">
        <f t="shared" si="98"/>
        <v>2568</v>
      </c>
      <c r="JV175" s="280">
        <f t="shared" si="99"/>
        <v>599039</v>
      </c>
      <c r="JW175" s="319" t="str">
        <f t="shared" si="100"/>
        <v/>
      </c>
      <c r="JX175" s="15">
        <f t="shared" si="101"/>
        <v>0</v>
      </c>
      <c r="JY175" s="15">
        <f t="shared" si="102"/>
        <v>0</v>
      </c>
      <c r="JZ175" s="19" t="str">
        <f t="shared" si="103"/>
        <v/>
      </c>
      <c r="KA175" s="52" t="str">
        <f t="shared" si="104"/>
        <v/>
      </c>
      <c r="KB175" s="15">
        <f t="shared" si="105"/>
        <v>0</v>
      </c>
      <c r="KC175" s="15">
        <f t="shared" si="106"/>
        <v>0</v>
      </c>
      <c r="KD175" s="20" t="str">
        <f t="shared" si="107"/>
        <v/>
      </c>
      <c r="KE175" s="52" t="str">
        <f t="shared" si="108"/>
        <v/>
      </c>
      <c r="KF175" s="15">
        <f t="shared" si="109"/>
        <v>0</v>
      </c>
      <c r="KG175" s="15">
        <f t="shared" si="110"/>
        <v>0</v>
      </c>
      <c r="KH175" s="21" t="str">
        <f t="shared" si="111"/>
        <v/>
      </c>
      <c r="KI175" s="52">
        <f t="shared" si="112"/>
        <v>1</v>
      </c>
      <c r="KJ175" s="15">
        <f t="shared" si="113"/>
        <v>1918</v>
      </c>
      <c r="KK175" s="15">
        <f t="shared" si="114"/>
        <v>0</v>
      </c>
      <c r="KL175" s="19">
        <f t="shared" si="115"/>
        <v>0</v>
      </c>
      <c r="KM175" s="52">
        <f t="shared" si="116"/>
        <v>1</v>
      </c>
      <c r="KN175" s="22">
        <f t="shared" si="117"/>
        <v>1918</v>
      </c>
      <c r="KO175" s="22">
        <f t="shared" si="118"/>
        <v>0</v>
      </c>
      <c r="KP175" s="19">
        <f t="shared" si="119"/>
        <v>0</v>
      </c>
      <c r="KQ175" s="11" t="str">
        <f t="shared" si="120"/>
        <v>3. Responsive</v>
      </c>
      <c r="KR175" s="11" t="str">
        <f t="shared" si="121"/>
        <v>4. Transformational</v>
      </c>
      <c r="KS175" s="11" t="str">
        <f t="shared" si="122"/>
        <v>1. Neutral</v>
      </c>
      <c r="KT175" s="11" t="str">
        <f t="shared" si="123"/>
        <v>It tested new ways for fighting poverty, but did not measure results of innovation</v>
      </c>
      <c r="KU175" s="11" t="str">
        <f t="shared" si="124"/>
        <v>Moderate advocacy</v>
      </c>
      <c r="KV175" s="11" t="str">
        <f t="shared" si="125"/>
        <v>It linked and worked with strategic alliances and partners to take tested and effective solutions to scale</v>
      </c>
      <c r="KW175" s="11" t="str">
        <f t="shared" si="126"/>
        <v>Ecuador - INICIATIVA IGS LAC - Programa regional de Trabajo Digno</v>
      </c>
      <c r="KX175" s="11" t="str">
        <f t="shared" si="127"/>
        <v>INICIATIVA IGS LAC - Programa regional de Trabajo Digno</v>
      </c>
      <c r="KY175" s="11" t="str">
        <f t="shared" si="128"/>
        <v>Ecuador</v>
      </c>
      <c r="KZ175" s="12">
        <v>175</v>
      </c>
    </row>
    <row r="176" spans="1:312" x14ac:dyDescent="0.3">
      <c r="A176" s="11" t="s">
        <v>3272</v>
      </c>
      <c r="B176" s="11" t="s">
        <v>2807</v>
      </c>
      <c r="D176" s="11" t="s">
        <v>2276</v>
      </c>
      <c r="E176" s="24" t="str">
        <f t="shared" si="86"/>
        <v>Ecuador</v>
      </c>
      <c r="F176" s="11" t="s">
        <v>3436</v>
      </c>
      <c r="G176" s="11" t="s">
        <v>488</v>
      </c>
      <c r="H176" s="11" t="s">
        <v>554</v>
      </c>
      <c r="I176" s="11" t="s">
        <v>384</v>
      </c>
      <c r="J176" s="278"/>
      <c r="K176" s="11" t="s">
        <v>3436</v>
      </c>
      <c r="L176" s="11" t="s">
        <v>488</v>
      </c>
      <c r="M176" s="11" t="s">
        <v>383</v>
      </c>
      <c r="N176" s="11" t="s">
        <v>384</v>
      </c>
      <c r="O176" s="11" t="s">
        <v>2277</v>
      </c>
      <c r="BD176" s="23">
        <v>42552</v>
      </c>
      <c r="BE176" s="23">
        <v>42916</v>
      </c>
      <c r="BG176" s="11" t="s">
        <v>350</v>
      </c>
      <c r="BH176" s="22">
        <v>797700</v>
      </c>
      <c r="BI176" s="11" t="s">
        <v>2278</v>
      </c>
      <c r="BJ176" s="11" t="s">
        <v>2279</v>
      </c>
      <c r="BK176" s="11" t="s">
        <v>2280</v>
      </c>
      <c r="BO176" s="12" t="s">
        <v>319</v>
      </c>
      <c r="BP176" s="12" t="s">
        <v>320</v>
      </c>
      <c r="BQ176" s="12" t="s">
        <v>319</v>
      </c>
      <c r="BR176" s="11" t="s">
        <v>2281</v>
      </c>
      <c r="BS176" s="11" t="s">
        <v>357</v>
      </c>
      <c r="BT176" s="11" t="s">
        <v>3437</v>
      </c>
      <c r="BU176" s="11" t="s">
        <v>3438</v>
      </c>
      <c r="BV176" s="22">
        <v>250</v>
      </c>
      <c r="BW176" s="22">
        <v>215</v>
      </c>
      <c r="BX176" s="22">
        <v>465</v>
      </c>
      <c r="BY176" s="22">
        <v>886</v>
      </c>
      <c r="BZ176" s="22">
        <v>922</v>
      </c>
      <c r="CA176" s="22">
        <v>1808</v>
      </c>
      <c r="CB176" s="15" t="s">
        <v>3439</v>
      </c>
      <c r="CL176" s="18"/>
      <c r="CP176" s="18"/>
      <c r="CT176" s="18"/>
      <c r="CX176" s="18"/>
      <c r="DB176" s="18"/>
      <c r="DF176" s="18"/>
      <c r="DJ176" s="18"/>
      <c r="DN176" s="18"/>
      <c r="DR176" s="18"/>
      <c r="DV176" s="18"/>
      <c r="DZ176" s="18"/>
      <c r="ED176" s="18"/>
      <c r="EI176" s="18"/>
      <c r="EK176" s="22">
        <v>250</v>
      </c>
      <c r="EL176" s="22">
        <v>215</v>
      </c>
      <c r="EM176" s="22">
        <v>465</v>
      </c>
      <c r="EN176" s="22">
        <v>886</v>
      </c>
      <c r="EO176" s="22">
        <v>992</v>
      </c>
      <c r="EP176" s="22">
        <v>1878</v>
      </c>
      <c r="ES176" s="18"/>
      <c r="EW176" s="18"/>
      <c r="FA176" s="18"/>
      <c r="FE176" s="18"/>
      <c r="FI176" s="18"/>
      <c r="FM176" s="18"/>
      <c r="FQ176" s="18"/>
      <c r="FU176" s="18"/>
      <c r="FY176" s="18"/>
      <c r="GC176" s="18"/>
      <c r="GG176" s="18"/>
      <c r="GK176" s="18"/>
      <c r="GO176" s="18"/>
      <c r="GS176" s="18"/>
      <c r="GW176" s="18"/>
      <c r="GY176" s="11" t="s">
        <v>320</v>
      </c>
      <c r="GZ176" s="22">
        <v>465</v>
      </c>
      <c r="HA176" s="18">
        <v>0.54</v>
      </c>
      <c r="HB176" s="22">
        <v>1808</v>
      </c>
      <c r="HF176" s="18"/>
      <c r="HH176" s="11" t="s">
        <v>319</v>
      </c>
      <c r="HL176" s="11" t="s">
        <v>319</v>
      </c>
      <c r="HP176" s="11" t="s">
        <v>418</v>
      </c>
      <c r="HZ176" s="11" t="s">
        <v>363</v>
      </c>
      <c r="IB176" s="11" t="s">
        <v>333</v>
      </c>
      <c r="ID176" s="11" t="s">
        <v>364</v>
      </c>
      <c r="IE176" s="11" t="s">
        <v>1909</v>
      </c>
      <c r="IJ176" s="12" t="str">
        <f t="shared" si="87"/>
        <v>0. Harmful</v>
      </c>
      <c r="IK176" s="12">
        <f t="shared" si="88"/>
        <v>0</v>
      </c>
      <c r="IL176" s="11" t="s">
        <v>723</v>
      </c>
      <c r="IQ176" s="12" t="str">
        <f t="shared" si="89"/>
        <v>0. Unaware</v>
      </c>
      <c r="IR176" s="12">
        <f t="shared" si="90"/>
        <v>0</v>
      </c>
      <c r="IS176" s="11" t="s">
        <v>456</v>
      </c>
      <c r="IW176" s="11" t="str">
        <f t="shared" si="91"/>
        <v>0. Harmful</v>
      </c>
      <c r="IX176" s="12">
        <f t="shared" si="92"/>
        <v>0</v>
      </c>
      <c r="IY176" s="11" t="s">
        <v>338</v>
      </c>
      <c r="IZ176" s="11" t="s">
        <v>457</v>
      </c>
      <c r="JA176" s="11">
        <v>2</v>
      </c>
      <c r="JB176" s="11" t="s">
        <v>724</v>
      </c>
      <c r="JE176" s="11" t="s">
        <v>420</v>
      </c>
      <c r="JG176" s="11" t="s">
        <v>2285</v>
      </c>
      <c r="JH176" s="11" t="s">
        <v>3440</v>
      </c>
      <c r="JI176" s="11" t="s">
        <v>3441</v>
      </c>
      <c r="JK176" s="11" t="s">
        <v>3442</v>
      </c>
      <c r="JL176" s="11" t="s">
        <v>3443</v>
      </c>
      <c r="JM176" s="11" t="s">
        <v>3444</v>
      </c>
      <c r="JN176" s="11" t="s">
        <v>3445</v>
      </c>
      <c r="JP176" s="15">
        <f t="shared" si="93"/>
        <v>465</v>
      </c>
      <c r="JQ176" s="15">
        <f t="shared" si="94"/>
        <v>1878</v>
      </c>
      <c r="JR176" s="279">
        <f t="shared" si="95"/>
        <v>4.0387096774193552</v>
      </c>
      <c r="JS176" s="17">
        <f t="shared" si="96"/>
        <v>0.5376344086021505</v>
      </c>
      <c r="JT176" s="18">
        <f t="shared" si="97"/>
        <v>0.47177848775292863</v>
      </c>
      <c r="JU176" s="280">
        <f t="shared" si="98"/>
        <v>250</v>
      </c>
      <c r="JV176" s="280">
        <f t="shared" si="99"/>
        <v>886</v>
      </c>
      <c r="JW176" s="319" t="str">
        <f t="shared" si="100"/>
        <v/>
      </c>
      <c r="JX176" s="15">
        <f t="shared" si="101"/>
        <v>0</v>
      </c>
      <c r="JY176" s="15">
        <f t="shared" si="102"/>
        <v>0</v>
      </c>
      <c r="JZ176" s="19" t="str">
        <f t="shared" si="103"/>
        <v/>
      </c>
      <c r="KA176" s="52" t="str">
        <f t="shared" si="104"/>
        <v/>
      </c>
      <c r="KB176" s="15">
        <f t="shared" si="105"/>
        <v>0</v>
      </c>
      <c r="KC176" s="15">
        <f t="shared" si="106"/>
        <v>0</v>
      </c>
      <c r="KD176" s="20" t="str">
        <f t="shared" si="107"/>
        <v/>
      </c>
      <c r="KE176" s="52" t="str">
        <f t="shared" si="108"/>
        <v/>
      </c>
      <c r="KF176" s="15">
        <f t="shared" si="109"/>
        <v>0</v>
      </c>
      <c r="KG176" s="15">
        <f t="shared" si="110"/>
        <v>0</v>
      </c>
      <c r="KH176" s="21" t="str">
        <f t="shared" si="111"/>
        <v/>
      </c>
      <c r="KI176" s="52" t="str">
        <f t="shared" si="112"/>
        <v/>
      </c>
      <c r="KJ176" s="15">
        <f t="shared" si="113"/>
        <v>0</v>
      </c>
      <c r="KK176" s="15">
        <f t="shared" si="114"/>
        <v>0</v>
      </c>
      <c r="KL176" s="19" t="str">
        <f t="shared" si="115"/>
        <v/>
      </c>
      <c r="KM176" s="52">
        <f t="shared" si="116"/>
        <v>1</v>
      </c>
      <c r="KN176" s="22">
        <f t="shared" si="117"/>
        <v>465</v>
      </c>
      <c r="KO176" s="22">
        <f t="shared" si="118"/>
        <v>1808</v>
      </c>
      <c r="KP176" s="19">
        <f t="shared" si="119"/>
        <v>3.8881720430107527</v>
      </c>
      <c r="KQ176" s="11" t="str">
        <f t="shared" si="120"/>
        <v>0. Harmful</v>
      </c>
      <c r="KR176" s="11" t="str">
        <f t="shared" si="121"/>
        <v>0. Unaware</v>
      </c>
      <c r="KS176" s="11" t="str">
        <f t="shared" si="122"/>
        <v>0. Harmful</v>
      </c>
      <c r="KT176" s="11" t="str">
        <f t="shared" si="123"/>
        <v>It did not develop any specific innovation</v>
      </c>
      <c r="KU176" s="11" t="str">
        <f t="shared" si="124"/>
        <v>Little or no advocacy</v>
      </c>
      <c r="KV176" s="11" t="str">
        <f t="shared" si="125"/>
        <v>It did not take tested solutions to scale</v>
      </c>
      <c r="KW176" s="11" t="str">
        <f t="shared" si="126"/>
        <v>Ecuador - Lendwithcare</v>
      </c>
      <c r="KX176" s="11" t="str">
        <f t="shared" si="127"/>
        <v>Lendwithcare</v>
      </c>
      <c r="KY176" s="11" t="str">
        <f t="shared" si="128"/>
        <v>Ecuador</v>
      </c>
      <c r="KZ176" s="12">
        <v>176</v>
      </c>
    </row>
    <row r="177" spans="1:312" x14ac:dyDescent="0.3">
      <c r="A177" s="11" t="s">
        <v>3272</v>
      </c>
      <c r="B177" s="11" t="s">
        <v>2807</v>
      </c>
      <c r="D177" s="11" t="s">
        <v>3275</v>
      </c>
      <c r="E177" s="24" t="str">
        <f t="shared" si="86"/>
        <v>Ecuador</v>
      </c>
      <c r="F177" s="11" t="s">
        <v>3276</v>
      </c>
      <c r="G177" s="11" t="s">
        <v>714</v>
      </c>
      <c r="H177" s="11" t="s">
        <v>380</v>
      </c>
      <c r="I177" s="11" t="s">
        <v>517</v>
      </c>
      <c r="J177" s="278" t="s">
        <v>14578</v>
      </c>
      <c r="BD177" s="23">
        <v>42767</v>
      </c>
      <c r="BE177" s="23">
        <v>43496</v>
      </c>
      <c r="BG177" s="11" t="s">
        <v>609</v>
      </c>
      <c r="BH177" s="22">
        <v>370000</v>
      </c>
      <c r="BI177" s="11" t="s">
        <v>3277</v>
      </c>
      <c r="BJ177" s="11" t="s">
        <v>3278</v>
      </c>
      <c r="BK177" s="11" t="s">
        <v>3279</v>
      </c>
      <c r="BL177" s="11" t="s">
        <v>3280</v>
      </c>
      <c r="BM177" s="11" t="s">
        <v>3281</v>
      </c>
      <c r="BN177" s="11" t="s">
        <v>3282</v>
      </c>
      <c r="BO177" s="12" t="s">
        <v>319</v>
      </c>
      <c r="BP177" s="12" t="s">
        <v>320</v>
      </c>
      <c r="BQ177" s="12" t="s">
        <v>319</v>
      </c>
      <c r="BR177" s="11" t="s">
        <v>3283</v>
      </c>
      <c r="BS177" s="11" t="s">
        <v>322</v>
      </c>
      <c r="BT177" s="11" t="s">
        <v>3284</v>
      </c>
      <c r="BU177" s="11" t="s">
        <v>3285</v>
      </c>
      <c r="BV177" s="22">
        <v>17050</v>
      </c>
      <c r="BW177" s="22">
        <v>8400</v>
      </c>
      <c r="BX177" s="22">
        <v>28250</v>
      </c>
      <c r="BY177" s="22">
        <v>16800</v>
      </c>
      <c r="BZ177" s="22">
        <v>39200</v>
      </c>
      <c r="CA177" s="22">
        <v>56000</v>
      </c>
      <c r="CB177" s="15" t="s">
        <v>3286</v>
      </c>
      <c r="CL177" s="18"/>
      <c r="CP177" s="18"/>
      <c r="CT177" s="18"/>
      <c r="CX177" s="18"/>
      <c r="DB177" s="18"/>
      <c r="DF177" s="18"/>
      <c r="DJ177" s="18"/>
      <c r="DN177" s="18"/>
      <c r="DR177" s="18"/>
      <c r="DV177" s="18"/>
      <c r="DZ177" s="18"/>
      <c r="ED177" s="18"/>
      <c r="EI177" s="18"/>
      <c r="EK177" s="22">
        <v>308</v>
      </c>
      <c r="EL177" s="22">
        <v>72</v>
      </c>
      <c r="EM177" s="22">
        <v>380</v>
      </c>
      <c r="EN177" s="22">
        <v>76055</v>
      </c>
      <c r="EO177" s="22">
        <v>32595</v>
      </c>
      <c r="EP177" s="22">
        <v>108650</v>
      </c>
      <c r="ES177" s="18"/>
      <c r="EW177" s="18"/>
      <c r="FA177" s="18"/>
      <c r="FE177" s="18"/>
      <c r="FI177" s="18"/>
      <c r="FM177" s="18"/>
      <c r="FQ177" s="18"/>
      <c r="FS177" s="12" t="s">
        <v>320</v>
      </c>
      <c r="FT177" s="22">
        <v>380</v>
      </c>
      <c r="FU177" s="18">
        <v>0.66</v>
      </c>
      <c r="FV177" s="22">
        <v>108651</v>
      </c>
      <c r="FY177" s="18"/>
      <c r="GC177" s="18"/>
      <c r="GG177" s="18"/>
      <c r="GK177" s="18"/>
      <c r="GO177" s="18"/>
      <c r="GS177" s="18"/>
      <c r="GW177" s="18"/>
      <c r="HA177" s="18"/>
      <c r="HF177" s="18"/>
      <c r="HH177" s="11" t="s">
        <v>319</v>
      </c>
      <c r="HL177" s="11" t="s">
        <v>319</v>
      </c>
      <c r="HP177" s="11" t="s">
        <v>453</v>
      </c>
      <c r="HQ177" s="11" t="s">
        <v>320</v>
      </c>
      <c r="HS177" s="11" t="s">
        <v>320</v>
      </c>
      <c r="HT177" s="11" t="s">
        <v>320</v>
      </c>
      <c r="HZ177" s="12" t="s">
        <v>394</v>
      </c>
      <c r="IA177" s="11" t="s">
        <v>3287</v>
      </c>
      <c r="IB177" s="12" t="s">
        <v>396</v>
      </c>
      <c r="IC177" s="11" t="s">
        <v>3288</v>
      </c>
      <c r="ID177" s="11" t="s">
        <v>477</v>
      </c>
      <c r="IE177" s="11" t="s">
        <v>478</v>
      </c>
      <c r="IF177" s="11" t="s">
        <v>320</v>
      </c>
      <c r="IG177" s="11" t="s">
        <v>320</v>
      </c>
      <c r="IH177" s="11" t="s">
        <v>320</v>
      </c>
      <c r="II177" s="11" t="s">
        <v>319</v>
      </c>
      <c r="IJ177" s="12" t="str">
        <f t="shared" si="87"/>
        <v>3. Responsive</v>
      </c>
      <c r="IK177" s="12">
        <f t="shared" si="88"/>
        <v>3</v>
      </c>
      <c r="IL177" s="11" t="s">
        <v>336</v>
      </c>
      <c r="IM177" s="11" t="s">
        <v>320</v>
      </c>
      <c r="IN177" s="11" t="s">
        <v>320</v>
      </c>
      <c r="IO177" s="11" t="s">
        <v>320</v>
      </c>
      <c r="IP177" s="11" t="s">
        <v>319</v>
      </c>
      <c r="IQ177" s="12" t="str">
        <f t="shared" si="89"/>
        <v>2. Accommodating</v>
      </c>
      <c r="IR177" s="12">
        <f t="shared" si="90"/>
        <v>3</v>
      </c>
      <c r="IS177" s="11" t="s">
        <v>337</v>
      </c>
      <c r="IT177" s="11" t="s">
        <v>320</v>
      </c>
      <c r="IU177" s="11" t="s">
        <v>320</v>
      </c>
      <c r="IV177" s="11" t="s">
        <v>320</v>
      </c>
      <c r="IW177" s="11" t="str">
        <f t="shared" si="91"/>
        <v>2. Sensitive</v>
      </c>
      <c r="IX177" s="12">
        <f t="shared" si="92"/>
        <v>3</v>
      </c>
      <c r="IY177" s="12" t="s">
        <v>338</v>
      </c>
      <c r="IZ177" s="12" t="s">
        <v>432</v>
      </c>
      <c r="JA177" s="11">
        <v>1</v>
      </c>
      <c r="JB177" s="11" t="s">
        <v>433</v>
      </c>
      <c r="JE177" s="12" t="s">
        <v>340</v>
      </c>
      <c r="JF177" s="11" t="s">
        <v>3289</v>
      </c>
      <c r="JH177" s="11" t="s">
        <v>3290</v>
      </c>
      <c r="JI177" s="11" t="s">
        <v>3291</v>
      </c>
      <c r="JJ177" s="11" t="s">
        <v>3292</v>
      </c>
      <c r="JK177" s="11" t="s">
        <v>3293</v>
      </c>
      <c r="JL177" s="11" t="s">
        <v>3294</v>
      </c>
      <c r="JM177" s="11" t="s">
        <v>3295</v>
      </c>
      <c r="JO177" s="11" t="s">
        <v>3296</v>
      </c>
      <c r="JP177" s="15">
        <f t="shared" si="93"/>
        <v>380</v>
      </c>
      <c r="JQ177" s="15">
        <f t="shared" si="94"/>
        <v>108650</v>
      </c>
      <c r="JR177" s="279">
        <f t="shared" si="95"/>
        <v>285.92105263157896</v>
      </c>
      <c r="JS177" s="17">
        <f t="shared" si="96"/>
        <v>0.81052631578947365</v>
      </c>
      <c r="JT177" s="18">
        <f t="shared" si="97"/>
        <v>0.7</v>
      </c>
      <c r="JU177" s="280">
        <f t="shared" si="98"/>
        <v>308</v>
      </c>
      <c r="JV177" s="280">
        <f t="shared" si="99"/>
        <v>76055</v>
      </c>
      <c r="JW177" s="319" t="str">
        <f t="shared" si="100"/>
        <v/>
      </c>
      <c r="JX177" s="15">
        <f t="shared" si="101"/>
        <v>0</v>
      </c>
      <c r="JY177" s="15">
        <f t="shared" si="102"/>
        <v>0</v>
      </c>
      <c r="JZ177" s="19" t="str">
        <f t="shared" si="103"/>
        <v/>
      </c>
      <c r="KA177" s="52" t="str">
        <f t="shared" si="104"/>
        <v/>
      </c>
      <c r="KB177" s="15">
        <f t="shared" si="105"/>
        <v>0</v>
      </c>
      <c r="KC177" s="15">
        <f t="shared" si="106"/>
        <v>0</v>
      </c>
      <c r="KD177" s="20" t="str">
        <f t="shared" si="107"/>
        <v/>
      </c>
      <c r="KE177" s="52" t="str">
        <f t="shared" si="108"/>
        <v/>
      </c>
      <c r="KF177" s="15">
        <f t="shared" si="109"/>
        <v>0</v>
      </c>
      <c r="KG177" s="15">
        <f t="shared" si="110"/>
        <v>0</v>
      </c>
      <c r="KH177" s="21" t="str">
        <f t="shared" si="111"/>
        <v/>
      </c>
      <c r="KI177" s="52">
        <f t="shared" si="112"/>
        <v>1</v>
      </c>
      <c r="KJ177" s="15">
        <f t="shared" si="113"/>
        <v>380</v>
      </c>
      <c r="KK177" s="15">
        <f t="shared" si="114"/>
        <v>108651</v>
      </c>
      <c r="KL177" s="19">
        <f t="shared" si="115"/>
        <v>285.92368421052629</v>
      </c>
      <c r="KM177" s="52" t="str">
        <f t="shared" si="116"/>
        <v/>
      </c>
      <c r="KN177" s="22">
        <f t="shared" si="117"/>
        <v>0</v>
      </c>
      <c r="KO177" s="22">
        <f t="shared" si="118"/>
        <v>0</v>
      </c>
      <c r="KP177" s="19" t="str">
        <f t="shared" si="119"/>
        <v/>
      </c>
      <c r="KQ177" s="11" t="str">
        <f t="shared" si="120"/>
        <v>3. Responsive</v>
      </c>
      <c r="KR177" s="11" t="str">
        <f t="shared" si="121"/>
        <v>2. Accommodating</v>
      </c>
      <c r="KS177" s="11" t="str">
        <f t="shared" si="122"/>
        <v>2. Sensitive</v>
      </c>
      <c r="KT177" s="11" t="str">
        <f t="shared" si="123"/>
        <v>It tested new ways for fighting poverty, but did not measure results of innovation</v>
      </c>
      <c r="KU177" s="11" t="str">
        <f t="shared" si="124"/>
        <v>Intensive advocacy</v>
      </c>
      <c r="KV177" s="11" t="str">
        <f t="shared" si="125"/>
        <v>It linked and worked with strategic alliances and partners to take tested and effective solutions to scale</v>
      </c>
      <c r="KW177" s="11" t="str">
        <f t="shared" si="126"/>
        <v>Ecuador - Mujeres con Voz</v>
      </c>
      <c r="KX177" s="11" t="str">
        <f t="shared" si="127"/>
        <v>Mujeres con Voz</v>
      </c>
      <c r="KY177" s="11" t="str">
        <f t="shared" si="128"/>
        <v>Ecuador</v>
      </c>
      <c r="KZ177" s="12">
        <v>177</v>
      </c>
    </row>
    <row r="178" spans="1:312" x14ac:dyDescent="0.3">
      <c r="A178" s="11" t="s">
        <v>3272</v>
      </c>
      <c r="B178" s="11" t="s">
        <v>2807</v>
      </c>
      <c r="D178" s="11" t="s">
        <v>3348</v>
      </c>
      <c r="E178" s="24" t="str">
        <f t="shared" si="86"/>
        <v>Ecuador</v>
      </c>
      <c r="F178" s="11" t="s">
        <v>3349</v>
      </c>
      <c r="G178" s="11" t="s">
        <v>1738</v>
      </c>
      <c r="H178" s="11" t="s">
        <v>310</v>
      </c>
      <c r="I178" s="12" t="s">
        <v>3316</v>
      </c>
      <c r="J178" s="278" t="s">
        <v>14616</v>
      </c>
      <c r="BD178" s="23">
        <v>42583</v>
      </c>
      <c r="BE178" s="23">
        <v>42736</v>
      </c>
      <c r="BF178" s="23">
        <v>42916</v>
      </c>
      <c r="BG178" s="11" t="s">
        <v>817</v>
      </c>
      <c r="BH178" s="22">
        <v>55319</v>
      </c>
      <c r="BI178" s="11" t="s">
        <v>3280</v>
      </c>
      <c r="BJ178" s="11" t="s">
        <v>3299</v>
      </c>
      <c r="BK178" s="11" t="s">
        <v>3282</v>
      </c>
      <c r="BL178" s="11" t="s">
        <v>3300</v>
      </c>
      <c r="BM178" s="11" t="s">
        <v>3301</v>
      </c>
      <c r="BN178" s="11" t="s">
        <v>3302</v>
      </c>
      <c r="BO178" s="11" t="s">
        <v>320</v>
      </c>
      <c r="BP178" s="11" t="s">
        <v>319</v>
      </c>
      <c r="BQ178" s="11" t="s">
        <v>319</v>
      </c>
      <c r="BR178" s="11" t="s">
        <v>3350</v>
      </c>
      <c r="BS178" s="11" t="s">
        <v>357</v>
      </c>
      <c r="BT178" s="11" t="s">
        <v>3351</v>
      </c>
      <c r="BU178" s="11" t="s">
        <v>3352</v>
      </c>
      <c r="BV178" s="22">
        <v>190</v>
      </c>
      <c r="BW178" s="22">
        <v>178</v>
      </c>
      <c r="BX178" s="22">
        <v>368</v>
      </c>
      <c r="BY178" s="22">
        <v>5983</v>
      </c>
      <c r="BZ178" s="22">
        <v>5922</v>
      </c>
      <c r="CA178" s="22">
        <v>11905</v>
      </c>
      <c r="CB178" s="15" t="s">
        <v>3353</v>
      </c>
      <c r="CD178" s="22">
        <v>190</v>
      </c>
      <c r="CE178" s="22">
        <v>178</v>
      </c>
      <c r="CF178" s="22">
        <v>368</v>
      </c>
      <c r="CG178" s="22">
        <v>5983</v>
      </c>
      <c r="CH178" s="22">
        <v>5922</v>
      </c>
      <c r="CI178" s="22">
        <v>11905</v>
      </c>
      <c r="CJ178" s="11" t="s">
        <v>319</v>
      </c>
      <c r="CL178" s="18"/>
      <c r="CN178" s="11" t="s">
        <v>319</v>
      </c>
      <c r="CP178" s="18"/>
      <c r="CR178" s="11" t="s">
        <v>319</v>
      </c>
      <c r="CT178" s="18"/>
      <c r="CV178" s="11" t="s">
        <v>319</v>
      </c>
      <c r="CX178" s="18"/>
      <c r="CZ178" s="11" t="s">
        <v>319</v>
      </c>
      <c r="DB178" s="18"/>
      <c r="DD178" s="11" t="s">
        <v>319</v>
      </c>
      <c r="DF178" s="18"/>
      <c r="DH178" s="11" t="s">
        <v>319</v>
      </c>
      <c r="DJ178" s="18"/>
      <c r="DL178" s="11" t="s">
        <v>320</v>
      </c>
      <c r="DM178" s="22">
        <v>368</v>
      </c>
      <c r="DN178" s="18">
        <v>0.51629999999999998</v>
      </c>
      <c r="DO178" s="22">
        <v>11905</v>
      </c>
      <c r="DP178" s="11" t="s">
        <v>319</v>
      </c>
      <c r="DR178" s="18"/>
      <c r="DT178" s="11" t="s">
        <v>319</v>
      </c>
      <c r="DV178" s="18"/>
      <c r="DX178" s="11" t="s">
        <v>319</v>
      </c>
      <c r="DZ178" s="18"/>
      <c r="EB178" s="11" t="s">
        <v>319</v>
      </c>
      <c r="ED178" s="18"/>
      <c r="EI178" s="18"/>
      <c r="EQ178" s="12" t="s">
        <v>319</v>
      </c>
      <c r="ES178" s="18"/>
      <c r="EU178" s="11" t="s">
        <v>319</v>
      </c>
      <c r="EW178" s="18"/>
      <c r="EY178" s="12" t="s">
        <v>319</v>
      </c>
      <c r="FA178" s="18"/>
      <c r="FC178" s="12" t="s">
        <v>319</v>
      </c>
      <c r="FE178" s="18"/>
      <c r="FG178" s="12" t="s">
        <v>319</v>
      </c>
      <c r="FI178" s="18"/>
      <c r="FK178" s="11" t="s">
        <v>319</v>
      </c>
      <c r="FM178" s="18"/>
      <c r="FO178" s="11" t="s">
        <v>319</v>
      </c>
      <c r="FQ178" s="18"/>
      <c r="FS178" s="11" t="s">
        <v>319</v>
      </c>
      <c r="FU178" s="18"/>
      <c r="FW178" s="11" t="s">
        <v>319</v>
      </c>
      <c r="FY178" s="18"/>
      <c r="GA178" s="11" t="s">
        <v>319</v>
      </c>
      <c r="GC178" s="18"/>
      <c r="GE178" s="11" t="s">
        <v>319</v>
      </c>
      <c r="GG178" s="18"/>
      <c r="GI178" s="11" t="s">
        <v>319</v>
      </c>
      <c r="GK178" s="18"/>
      <c r="GM178" s="11" t="s">
        <v>319</v>
      </c>
      <c r="GO178" s="18"/>
      <c r="GQ178" s="11" t="s">
        <v>319</v>
      </c>
      <c r="GS178" s="18"/>
      <c r="GU178" s="11" t="s">
        <v>319</v>
      </c>
      <c r="GW178" s="18"/>
      <c r="GY178" s="11" t="s">
        <v>319</v>
      </c>
      <c r="HA178" s="18"/>
      <c r="HF178" s="18"/>
      <c r="HH178" s="11" t="s">
        <v>319</v>
      </c>
      <c r="HK178" s="11" t="s">
        <v>319</v>
      </c>
      <c r="HL178" s="11" t="s">
        <v>319</v>
      </c>
      <c r="HP178" s="11" t="s">
        <v>330</v>
      </c>
      <c r="HS178" s="11" t="s">
        <v>320</v>
      </c>
      <c r="HT178" s="11" t="s">
        <v>320</v>
      </c>
      <c r="HW178" s="11" t="s">
        <v>320</v>
      </c>
      <c r="HZ178" s="11" t="s">
        <v>363</v>
      </c>
      <c r="IB178" s="12" t="s">
        <v>396</v>
      </c>
      <c r="IC178" s="11" t="s">
        <v>3354</v>
      </c>
      <c r="ID178" s="11" t="s">
        <v>364</v>
      </c>
      <c r="IE178" s="11" t="s">
        <v>335</v>
      </c>
      <c r="IF178" s="11" t="s">
        <v>320</v>
      </c>
      <c r="IG178" s="11" t="s">
        <v>320</v>
      </c>
      <c r="IH178" s="11" t="s">
        <v>320</v>
      </c>
      <c r="II178" s="11" t="s">
        <v>320</v>
      </c>
      <c r="IJ178" s="12" t="str">
        <f t="shared" si="87"/>
        <v>2. Sensitive</v>
      </c>
      <c r="IK178" s="12">
        <f t="shared" si="88"/>
        <v>4</v>
      </c>
      <c r="IL178" s="11" t="s">
        <v>336</v>
      </c>
      <c r="IM178" s="11" t="s">
        <v>320</v>
      </c>
      <c r="IN178" s="11" t="s">
        <v>320</v>
      </c>
      <c r="IO178" s="11" t="s">
        <v>320</v>
      </c>
      <c r="IP178" s="11" t="s">
        <v>320</v>
      </c>
      <c r="IQ178" s="12" t="str">
        <f t="shared" si="89"/>
        <v>2. Accommodating</v>
      </c>
      <c r="IR178" s="12">
        <f t="shared" si="90"/>
        <v>4</v>
      </c>
      <c r="IS178" s="11" t="s">
        <v>337</v>
      </c>
      <c r="IT178" s="11" t="s">
        <v>320</v>
      </c>
      <c r="IU178" s="11" t="s">
        <v>320</v>
      </c>
      <c r="IV178" s="11" t="s">
        <v>320</v>
      </c>
      <c r="IW178" s="11" t="str">
        <f t="shared" si="91"/>
        <v>2. Sensitive</v>
      </c>
      <c r="IX178" s="12">
        <f t="shared" si="92"/>
        <v>3</v>
      </c>
      <c r="IY178" s="12" t="s">
        <v>338</v>
      </c>
      <c r="IZ178" s="12" t="s">
        <v>432</v>
      </c>
      <c r="JA178" s="11">
        <v>1</v>
      </c>
      <c r="JB178" s="12" t="s">
        <v>687</v>
      </c>
      <c r="JE178" s="12" t="s">
        <v>365</v>
      </c>
      <c r="JF178" s="11" t="s">
        <v>3355</v>
      </c>
      <c r="JG178" s="11" t="s">
        <v>3356</v>
      </c>
      <c r="JH178" s="11" t="s">
        <v>3357</v>
      </c>
      <c r="JI178" s="11" t="s">
        <v>3358</v>
      </c>
      <c r="JJ178" s="11" t="s">
        <v>3359</v>
      </c>
      <c r="JK178" s="11" t="s">
        <v>3360</v>
      </c>
      <c r="JL178" s="11" t="s">
        <v>3361</v>
      </c>
      <c r="JM178" s="11" t="s">
        <v>3362</v>
      </c>
      <c r="JN178" s="11" t="s">
        <v>3363</v>
      </c>
      <c r="JO178" s="11" t="s">
        <v>3364</v>
      </c>
      <c r="JP178" s="15">
        <f t="shared" si="93"/>
        <v>368</v>
      </c>
      <c r="JQ178" s="15">
        <f t="shared" si="94"/>
        <v>11905</v>
      </c>
      <c r="JR178" s="279">
        <f t="shared" si="95"/>
        <v>32.350543478260867</v>
      </c>
      <c r="JS178" s="17">
        <f t="shared" si="96"/>
        <v>0.51630434782608692</v>
      </c>
      <c r="JT178" s="18">
        <f t="shared" si="97"/>
        <v>0.50256194876102478</v>
      </c>
      <c r="JU178" s="280">
        <f t="shared" si="98"/>
        <v>190</v>
      </c>
      <c r="JV178" s="280">
        <f t="shared" si="99"/>
        <v>5983</v>
      </c>
      <c r="JW178" s="319">
        <f t="shared" si="100"/>
        <v>1</v>
      </c>
      <c r="JX178" s="15">
        <f t="shared" si="101"/>
        <v>368</v>
      </c>
      <c r="JY178" s="15">
        <f t="shared" si="102"/>
        <v>11905</v>
      </c>
      <c r="JZ178" s="19">
        <f t="shared" si="103"/>
        <v>32.350543478260867</v>
      </c>
      <c r="KA178" s="52">
        <f t="shared" si="104"/>
        <v>1</v>
      </c>
      <c r="KB178" s="15">
        <f t="shared" si="105"/>
        <v>368</v>
      </c>
      <c r="KC178" s="15">
        <f t="shared" si="106"/>
        <v>11905</v>
      </c>
      <c r="KD178" s="20">
        <f t="shared" si="107"/>
        <v>32.350543478260867</v>
      </c>
      <c r="KE178" s="52" t="str">
        <f t="shared" si="108"/>
        <v/>
      </c>
      <c r="KF178" s="15">
        <f t="shared" si="109"/>
        <v>0</v>
      </c>
      <c r="KG178" s="15">
        <f t="shared" si="110"/>
        <v>0</v>
      </c>
      <c r="KH178" s="21" t="str">
        <f t="shared" si="111"/>
        <v/>
      </c>
      <c r="KI178" s="52" t="str">
        <f t="shared" si="112"/>
        <v/>
      </c>
      <c r="KJ178" s="15">
        <f t="shared" si="113"/>
        <v>0</v>
      </c>
      <c r="KK178" s="15">
        <f t="shared" si="114"/>
        <v>0</v>
      </c>
      <c r="KL178" s="19" t="str">
        <f t="shared" si="115"/>
        <v/>
      </c>
      <c r="KM178" s="52" t="str">
        <f t="shared" si="116"/>
        <v/>
      </c>
      <c r="KN178" s="22">
        <f t="shared" si="117"/>
        <v>0</v>
      </c>
      <c r="KO178" s="22">
        <f t="shared" si="118"/>
        <v>0</v>
      </c>
      <c r="KP178" s="19" t="str">
        <f t="shared" si="119"/>
        <v/>
      </c>
      <c r="KQ178" s="11" t="str">
        <f t="shared" si="120"/>
        <v>2. Sensitive</v>
      </c>
      <c r="KR178" s="11" t="str">
        <f t="shared" si="121"/>
        <v>2. Accommodating</v>
      </c>
      <c r="KS178" s="11" t="str">
        <f t="shared" si="122"/>
        <v>2. Sensitive</v>
      </c>
      <c r="KT178" s="11" t="str">
        <f t="shared" si="123"/>
        <v>It did not develop any specific innovation</v>
      </c>
      <c r="KU178" s="11" t="str">
        <f t="shared" si="124"/>
        <v>Moderate advocacy</v>
      </c>
      <c r="KV178" s="11" t="str">
        <f t="shared" si="125"/>
        <v>It linked and worked with strategic alliances and partners to take tested and effective solutions to scale</v>
      </c>
      <c r="KW178" s="11" t="str">
        <f t="shared" si="126"/>
        <v>Ecuador - POOL Alemania (REACTIVACIÓN ECONOMICA DESDE LA ACTORIA DE LAS MUJERES PRODUCTORAS-EMPRENDEDORAS DE MANABÍ)</v>
      </c>
      <c r="KX178" s="11" t="str">
        <f t="shared" si="127"/>
        <v>POOL Alemania (REACTIVACIÓN ECONOMICA DESDE LA ACTORIA DE LAS MUJERES PRODUCTORAS-EMPRENDEDORAS DE MANABÍ)</v>
      </c>
      <c r="KY178" s="11" t="str">
        <f t="shared" si="128"/>
        <v>Ecuador</v>
      </c>
      <c r="KZ178" s="12">
        <v>178</v>
      </c>
    </row>
    <row r="179" spans="1:312" x14ac:dyDescent="0.3">
      <c r="A179" s="11" t="s">
        <v>3272</v>
      </c>
      <c r="B179" s="11" t="s">
        <v>2807</v>
      </c>
      <c r="D179" s="11" t="s">
        <v>3470</v>
      </c>
      <c r="E179" s="24" t="str">
        <f t="shared" si="86"/>
        <v>Ecuador</v>
      </c>
      <c r="F179" s="11" t="s">
        <v>3471</v>
      </c>
      <c r="G179" s="11" t="s">
        <v>608</v>
      </c>
      <c r="H179" s="11" t="s">
        <v>383</v>
      </c>
      <c r="I179" s="11" t="s">
        <v>384</v>
      </c>
      <c r="J179" s="278" t="s">
        <v>14617</v>
      </c>
      <c r="BD179" s="23">
        <v>42614</v>
      </c>
      <c r="BE179" s="23">
        <v>42978</v>
      </c>
      <c r="BF179" s="23">
        <v>43039</v>
      </c>
      <c r="BG179" s="11" t="s">
        <v>817</v>
      </c>
      <c r="BH179" s="22">
        <v>90900</v>
      </c>
      <c r="BI179" s="11" t="s">
        <v>3280</v>
      </c>
      <c r="BJ179" s="11" t="s">
        <v>3299</v>
      </c>
      <c r="BK179" s="11" t="s">
        <v>3282</v>
      </c>
      <c r="BL179" s="11" t="s">
        <v>3300</v>
      </c>
      <c r="BM179" s="11" t="s">
        <v>3301</v>
      </c>
      <c r="BN179" s="11" t="s">
        <v>3302</v>
      </c>
      <c r="BO179" s="11" t="s">
        <v>320</v>
      </c>
      <c r="BP179" s="11" t="s">
        <v>319</v>
      </c>
      <c r="BQ179" s="11" t="s">
        <v>319</v>
      </c>
      <c r="BR179" s="11" t="s">
        <v>3472</v>
      </c>
      <c r="BS179" s="11" t="s">
        <v>357</v>
      </c>
      <c r="BT179" s="11" t="s">
        <v>3473</v>
      </c>
      <c r="BU179" s="11" t="s">
        <v>3474</v>
      </c>
      <c r="BV179" s="22">
        <v>379</v>
      </c>
      <c r="BW179" s="22">
        <v>400</v>
      </c>
      <c r="BX179" s="22">
        <v>779</v>
      </c>
      <c r="CB179" s="15" t="s">
        <v>3475</v>
      </c>
      <c r="CD179" s="22">
        <v>379</v>
      </c>
      <c r="CE179" s="22">
        <v>400</v>
      </c>
      <c r="CF179" s="22">
        <v>779</v>
      </c>
      <c r="CJ179" s="11" t="s">
        <v>319</v>
      </c>
      <c r="CL179" s="18"/>
      <c r="CN179" s="11" t="s">
        <v>319</v>
      </c>
      <c r="CP179" s="18"/>
      <c r="CR179" s="11" t="s">
        <v>319</v>
      </c>
      <c r="CT179" s="18"/>
      <c r="CV179" s="11" t="s">
        <v>319</v>
      </c>
      <c r="CX179" s="18"/>
      <c r="CZ179" s="11" t="s">
        <v>319</v>
      </c>
      <c r="DB179" s="18"/>
      <c r="DD179" s="11" t="s">
        <v>319</v>
      </c>
      <c r="DF179" s="18"/>
      <c r="DH179" s="11" t="s">
        <v>319</v>
      </c>
      <c r="DJ179" s="18"/>
      <c r="DL179" s="11" t="s">
        <v>319</v>
      </c>
      <c r="DN179" s="18"/>
      <c r="DP179" s="11" t="s">
        <v>319</v>
      </c>
      <c r="DR179" s="18"/>
      <c r="DT179" s="11" t="s">
        <v>319</v>
      </c>
      <c r="DV179" s="18"/>
      <c r="DX179" s="11" t="s">
        <v>319</v>
      </c>
      <c r="DZ179" s="18"/>
      <c r="EB179" s="11" t="s">
        <v>320</v>
      </c>
      <c r="EC179" s="22">
        <v>779</v>
      </c>
      <c r="ED179" s="18">
        <v>0.48649999999999999</v>
      </c>
      <c r="EI179" s="18"/>
      <c r="EQ179" s="12" t="s">
        <v>319</v>
      </c>
      <c r="ES179" s="18"/>
      <c r="EU179" s="11" t="s">
        <v>319</v>
      </c>
      <c r="EW179" s="18"/>
      <c r="EY179" s="12" t="s">
        <v>319</v>
      </c>
      <c r="FA179" s="18"/>
      <c r="FC179" s="12" t="s">
        <v>319</v>
      </c>
      <c r="FE179" s="18"/>
      <c r="FG179" s="12" t="s">
        <v>319</v>
      </c>
      <c r="FI179" s="18"/>
      <c r="FK179" s="11" t="s">
        <v>319</v>
      </c>
      <c r="FM179" s="18"/>
      <c r="FO179" s="11" t="s">
        <v>319</v>
      </c>
      <c r="FQ179" s="18"/>
      <c r="FS179" s="11" t="s">
        <v>319</v>
      </c>
      <c r="FU179" s="18"/>
      <c r="FW179" s="11" t="s">
        <v>319</v>
      </c>
      <c r="FY179" s="18"/>
      <c r="GA179" s="11" t="s">
        <v>319</v>
      </c>
      <c r="GC179" s="18"/>
      <c r="GE179" s="11" t="s">
        <v>319</v>
      </c>
      <c r="GG179" s="18"/>
      <c r="GI179" s="11" t="s">
        <v>319</v>
      </c>
      <c r="GK179" s="18"/>
      <c r="GM179" s="11" t="s">
        <v>319</v>
      </c>
      <c r="GO179" s="18"/>
      <c r="GQ179" s="11" t="s">
        <v>319</v>
      </c>
      <c r="GS179" s="18"/>
      <c r="GU179" s="11" t="s">
        <v>319</v>
      </c>
      <c r="GW179" s="18"/>
      <c r="GY179" s="11" t="s">
        <v>319</v>
      </c>
      <c r="HA179" s="18"/>
      <c r="HF179" s="18"/>
      <c r="HH179" s="11" t="s">
        <v>319</v>
      </c>
      <c r="HK179" s="11" t="s">
        <v>319</v>
      </c>
      <c r="HL179" s="11" t="s">
        <v>319</v>
      </c>
      <c r="HP179" s="11" t="s">
        <v>418</v>
      </c>
      <c r="HS179" s="11" t="s">
        <v>320</v>
      </c>
      <c r="HZ179" s="12" t="s">
        <v>394</v>
      </c>
      <c r="IA179" s="11" t="s">
        <v>3476</v>
      </c>
      <c r="IB179" s="12" t="s">
        <v>396</v>
      </c>
      <c r="IC179" s="11" t="s">
        <v>3477</v>
      </c>
      <c r="ID179" s="12" t="s">
        <v>334</v>
      </c>
      <c r="IE179" s="11" t="s">
        <v>335</v>
      </c>
      <c r="IF179" s="11" t="s">
        <v>320</v>
      </c>
      <c r="IG179" s="11" t="s">
        <v>320</v>
      </c>
      <c r="IH179" s="11" t="s">
        <v>320</v>
      </c>
      <c r="II179" s="11" t="s">
        <v>320</v>
      </c>
      <c r="IJ179" s="12" t="str">
        <f t="shared" si="87"/>
        <v>2. Sensitive</v>
      </c>
      <c r="IK179" s="12">
        <f t="shared" si="88"/>
        <v>4</v>
      </c>
      <c r="IL179" s="11" t="s">
        <v>336</v>
      </c>
      <c r="IM179" s="11" t="s">
        <v>320</v>
      </c>
      <c r="IN179" s="11" t="s">
        <v>320</v>
      </c>
      <c r="IO179" s="11" t="s">
        <v>320</v>
      </c>
      <c r="IP179" s="11" t="s">
        <v>320</v>
      </c>
      <c r="IQ179" s="12" t="str">
        <f t="shared" si="89"/>
        <v>2. Accommodating</v>
      </c>
      <c r="IR179" s="12">
        <f t="shared" si="90"/>
        <v>4</v>
      </c>
      <c r="IS179" s="11" t="s">
        <v>337</v>
      </c>
      <c r="IT179" s="11" t="s">
        <v>320</v>
      </c>
      <c r="IU179" s="11" t="s">
        <v>320</v>
      </c>
      <c r="IV179" s="11" t="s">
        <v>320</v>
      </c>
      <c r="IW179" s="11" t="str">
        <f t="shared" si="91"/>
        <v>2. Sensitive</v>
      </c>
      <c r="IX179" s="12">
        <f t="shared" si="92"/>
        <v>3</v>
      </c>
      <c r="IY179" s="12" t="s">
        <v>338</v>
      </c>
      <c r="IZ179" s="12" t="s">
        <v>457</v>
      </c>
      <c r="JA179" s="11">
        <v>3</v>
      </c>
      <c r="JB179" s="12" t="s">
        <v>687</v>
      </c>
      <c r="JC179" s="11" t="s">
        <v>624</v>
      </c>
      <c r="JD179" s="12" t="s">
        <v>724</v>
      </c>
      <c r="JE179" s="12" t="s">
        <v>365</v>
      </c>
      <c r="JF179" s="11" t="s">
        <v>3478</v>
      </c>
      <c r="JG179" s="11" t="s">
        <v>3479</v>
      </c>
      <c r="JH179" s="11" t="s">
        <v>3480</v>
      </c>
      <c r="JI179" s="11" t="s">
        <v>3481</v>
      </c>
      <c r="JJ179" s="11" t="s">
        <v>3482</v>
      </c>
      <c r="JK179" s="11" t="s">
        <v>3483</v>
      </c>
      <c r="JL179" s="11" t="s">
        <v>3484</v>
      </c>
      <c r="JM179" s="11" t="s">
        <v>3485</v>
      </c>
      <c r="JN179" s="11" t="s">
        <v>3486</v>
      </c>
      <c r="JO179" s="11" t="s">
        <v>3487</v>
      </c>
      <c r="JP179" s="15">
        <f t="shared" si="93"/>
        <v>779</v>
      </c>
      <c r="JQ179" s="15">
        <f t="shared" si="94"/>
        <v>0</v>
      </c>
      <c r="JR179" s="279">
        <f t="shared" si="95"/>
        <v>0</v>
      </c>
      <c r="JS179" s="17">
        <f t="shared" si="96"/>
        <v>0.48652118100128372</v>
      </c>
      <c r="JT179" s="18" t="str">
        <f t="shared" si="97"/>
        <v/>
      </c>
      <c r="JU179" s="280">
        <f t="shared" si="98"/>
        <v>379</v>
      </c>
      <c r="JV179" s="280">
        <f t="shared" si="99"/>
        <v>0</v>
      </c>
      <c r="JW179" s="319">
        <f t="shared" si="100"/>
        <v>1</v>
      </c>
      <c r="JX179" s="15">
        <f t="shared" si="101"/>
        <v>779</v>
      </c>
      <c r="JY179" s="15">
        <f t="shared" si="102"/>
        <v>0</v>
      </c>
      <c r="JZ179" s="19">
        <f t="shared" si="103"/>
        <v>0</v>
      </c>
      <c r="KA179" s="52" t="str">
        <f t="shared" si="104"/>
        <v/>
      </c>
      <c r="KB179" s="15">
        <f t="shared" si="105"/>
        <v>0</v>
      </c>
      <c r="KC179" s="15">
        <f t="shared" si="106"/>
        <v>0</v>
      </c>
      <c r="KD179" s="20" t="str">
        <f t="shared" si="107"/>
        <v/>
      </c>
      <c r="KE179" s="52" t="str">
        <f t="shared" si="108"/>
        <v/>
      </c>
      <c r="KF179" s="15">
        <f t="shared" si="109"/>
        <v>0</v>
      </c>
      <c r="KG179" s="15">
        <f t="shared" si="110"/>
        <v>0</v>
      </c>
      <c r="KH179" s="21" t="str">
        <f t="shared" si="111"/>
        <v/>
      </c>
      <c r="KI179" s="52" t="str">
        <f t="shared" si="112"/>
        <v/>
      </c>
      <c r="KJ179" s="15">
        <f t="shared" si="113"/>
        <v>0</v>
      </c>
      <c r="KK179" s="15">
        <f t="shared" si="114"/>
        <v>0</v>
      </c>
      <c r="KL179" s="19" t="str">
        <f t="shared" si="115"/>
        <v/>
      </c>
      <c r="KM179" s="52" t="str">
        <f t="shared" si="116"/>
        <v/>
      </c>
      <c r="KN179" s="22">
        <f t="shared" si="117"/>
        <v>0</v>
      </c>
      <c r="KO179" s="22">
        <f t="shared" si="118"/>
        <v>0</v>
      </c>
      <c r="KP179" s="19" t="str">
        <f t="shared" si="119"/>
        <v/>
      </c>
      <c r="KQ179" s="11" t="str">
        <f t="shared" si="120"/>
        <v>2. Sensitive</v>
      </c>
      <c r="KR179" s="11" t="str">
        <f t="shared" si="121"/>
        <v>2. Accommodating</v>
      </c>
      <c r="KS179" s="11" t="str">
        <f t="shared" si="122"/>
        <v>2. Sensitive</v>
      </c>
      <c r="KT179" s="11" t="str">
        <f t="shared" si="123"/>
        <v>It tested new ways for fighting poverty, but did not measure results of innovation</v>
      </c>
      <c r="KU179" s="11" t="str">
        <f t="shared" si="124"/>
        <v>Little or no advocacy</v>
      </c>
      <c r="KV179" s="11" t="str">
        <f t="shared" si="125"/>
        <v>It linked and worked with strategic alliances and partners to take tested and effective solutions to scale</v>
      </c>
      <c r="KW179" s="11" t="str">
        <f t="shared" si="126"/>
        <v>Ecuador - Programa l “Redoblando Esfuerzos por Ecuador ”</v>
      </c>
      <c r="KX179" s="11" t="str">
        <f t="shared" si="127"/>
        <v>Programa l “Redoblando Esfuerzos por Ecuador ”</v>
      </c>
      <c r="KY179" s="11" t="str">
        <f t="shared" si="128"/>
        <v>Ecuador</v>
      </c>
      <c r="KZ179" s="287">
        <v>179</v>
      </c>
    </row>
    <row r="180" spans="1:312" x14ac:dyDescent="0.3">
      <c r="A180" s="11" t="s">
        <v>3272</v>
      </c>
      <c r="B180" s="11" t="s">
        <v>2807</v>
      </c>
      <c r="D180" s="11" t="s">
        <v>3488</v>
      </c>
      <c r="E180" s="24" t="str">
        <f t="shared" si="86"/>
        <v>Ecuador</v>
      </c>
      <c r="F180" s="11" t="s">
        <v>3489</v>
      </c>
      <c r="G180" s="11" t="s">
        <v>608</v>
      </c>
      <c r="H180" s="11" t="s">
        <v>380</v>
      </c>
      <c r="I180" s="12" t="s">
        <v>381</v>
      </c>
      <c r="J180" s="278" t="s">
        <v>8430</v>
      </c>
      <c r="BD180" s="23">
        <v>42682</v>
      </c>
      <c r="BE180" s="23">
        <v>42774</v>
      </c>
      <c r="BF180" s="23">
        <v>42825</v>
      </c>
      <c r="BG180" s="11" t="s">
        <v>817</v>
      </c>
      <c r="BH180" s="22">
        <v>211053</v>
      </c>
      <c r="BI180" s="11" t="s">
        <v>3280</v>
      </c>
      <c r="BJ180" s="11" t="s">
        <v>3299</v>
      </c>
      <c r="BK180" s="11" t="s">
        <v>3282</v>
      </c>
      <c r="BL180" s="11" t="s">
        <v>3300</v>
      </c>
      <c r="BM180" s="11" t="s">
        <v>3301</v>
      </c>
      <c r="BN180" s="11" t="s">
        <v>3302</v>
      </c>
      <c r="BO180" s="11" t="s">
        <v>320</v>
      </c>
      <c r="BP180" s="11" t="s">
        <v>319</v>
      </c>
      <c r="BQ180" s="11" t="s">
        <v>319</v>
      </c>
      <c r="BR180" s="11" t="s">
        <v>3490</v>
      </c>
      <c r="BS180" s="11" t="s">
        <v>357</v>
      </c>
      <c r="BT180" s="11" t="s">
        <v>3491</v>
      </c>
      <c r="BU180" s="11" t="s">
        <v>3492</v>
      </c>
      <c r="BV180" s="22">
        <v>5612</v>
      </c>
      <c r="BW180" s="22">
        <v>5638</v>
      </c>
      <c r="BX180" s="22">
        <v>11250</v>
      </c>
      <c r="BY180" s="22">
        <v>20764</v>
      </c>
      <c r="BZ180" s="22">
        <v>20860</v>
      </c>
      <c r="CA180" s="22">
        <v>41624</v>
      </c>
      <c r="CB180" s="15" t="s">
        <v>3493</v>
      </c>
      <c r="CD180" s="22">
        <v>5612</v>
      </c>
      <c r="CE180" s="22">
        <v>5638</v>
      </c>
      <c r="CF180" s="22">
        <v>11250</v>
      </c>
      <c r="CG180" s="22">
        <v>20764</v>
      </c>
      <c r="CH180" s="22">
        <v>20860</v>
      </c>
      <c r="CI180" s="22">
        <v>41624</v>
      </c>
      <c r="CJ180" s="11" t="s">
        <v>319</v>
      </c>
      <c r="CL180" s="18"/>
      <c r="CN180" s="11" t="s">
        <v>319</v>
      </c>
      <c r="CP180" s="18"/>
      <c r="CR180" s="11" t="s">
        <v>320</v>
      </c>
      <c r="CS180" s="22">
        <v>11250</v>
      </c>
      <c r="CT180" s="18">
        <v>0.499</v>
      </c>
      <c r="CU180" s="22">
        <v>41625</v>
      </c>
      <c r="CV180" s="11" t="s">
        <v>319</v>
      </c>
      <c r="CX180" s="18"/>
      <c r="CZ180" s="11" t="s">
        <v>319</v>
      </c>
      <c r="DB180" s="18"/>
      <c r="DD180" s="11" t="s">
        <v>319</v>
      </c>
      <c r="DF180" s="18"/>
      <c r="DH180" s="11" t="s">
        <v>319</v>
      </c>
      <c r="DJ180" s="18"/>
      <c r="DL180" s="11" t="s">
        <v>319</v>
      </c>
      <c r="DN180" s="18"/>
      <c r="DP180" s="11" t="s">
        <v>319</v>
      </c>
      <c r="DR180" s="18"/>
      <c r="DT180" s="11" t="s">
        <v>319</v>
      </c>
      <c r="DV180" s="18"/>
      <c r="DX180" s="11" t="s">
        <v>319</v>
      </c>
      <c r="DZ180" s="18"/>
      <c r="EB180" s="11" t="s">
        <v>320</v>
      </c>
      <c r="EC180" s="22">
        <v>11250</v>
      </c>
      <c r="ED180" s="18">
        <v>0.49880000000000002</v>
      </c>
      <c r="EI180" s="18"/>
      <c r="EQ180" s="12" t="s">
        <v>319</v>
      </c>
      <c r="ES180" s="18"/>
      <c r="EU180" s="11" t="s">
        <v>319</v>
      </c>
      <c r="EW180" s="18"/>
      <c r="EY180" s="12" t="s">
        <v>319</v>
      </c>
      <c r="FA180" s="18"/>
      <c r="FC180" s="12" t="s">
        <v>319</v>
      </c>
      <c r="FE180" s="18"/>
      <c r="FG180" s="12" t="s">
        <v>319</v>
      </c>
      <c r="FI180" s="18"/>
      <c r="FK180" s="11" t="s">
        <v>319</v>
      </c>
      <c r="FM180" s="18"/>
      <c r="FO180" s="11" t="s">
        <v>319</v>
      </c>
      <c r="FQ180" s="18"/>
      <c r="FS180" s="11" t="s">
        <v>319</v>
      </c>
      <c r="FU180" s="18"/>
      <c r="FW180" s="11" t="s">
        <v>319</v>
      </c>
      <c r="FY180" s="18"/>
      <c r="GA180" s="11" t="s">
        <v>319</v>
      </c>
      <c r="GC180" s="18"/>
      <c r="GE180" s="11" t="s">
        <v>319</v>
      </c>
      <c r="GG180" s="18"/>
      <c r="GI180" s="11" t="s">
        <v>319</v>
      </c>
      <c r="GK180" s="18"/>
      <c r="GM180" s="11" t="s">
        <v>319</v>
      </c>
      <c r="GO180" s="18"/>
      <c r="GQ180" s="11" t="s">
        <v>319</v>
      </c>
      <c r="GS180" s="18"/>
      <c r="GU180" s="11" t="s">
        <v>319</v>
      </c>
      <c r="GW180" s="18"/>
      <c r="GY180" s="11" t="s">
        <v>319</v>
      </c>
      <c r="HA180" s="18"/>
      <c r="HF180" s="18"/>
      <c r="HH180" s="11" t="s">
        <v>319</v>
      </c>
      <c r="HK180" s="11" t="s">
        <v>319</v>
      </c>
      <c r="HL180" s="11" t="s">
        <v>319</v>
      </c>
      <c r="HP180" s="11" t="s">
        <v>330</v>
      </c>
      <c r="HS180" s="11" t="s">
        <v>320</v>
      </c>
      <c r="HU180" s="11" t="s">
        <v>320</v>
      </c>
      <c r="HZ180" s="11" t="s">
        <v>363</v>
      </c>
      <c r="IB180" s="12" t="s">
        <v>396</v>
      </c>
      <c r="IC180" s="11" t="s">
        <v>3494</v>
      </c>
      <c r="ID180" s="11" t="s">
        <v>364</v>
      </c>
      <c r="IE180" s="11" t="s">
        <v>335</v>
      </c>
      <c r="IF180" s="11" t="s">
        <v>320</v>
      </c>
      <c r="IG180" s="11" t="s">
        <v>320</v>
      </c>
      <c r="IH180" s="11" t="s">
        <v>320</v>
      </c>
      <c r="II180" s="11" t="s">
        <v>320</v>
      </c>
      <c r="IJ180" s="12" t="str">
        <f t="shared" si="87"/>
        <v>2. Sensitive</v>
      </c>
      <c r="IK180" s="12">
        <f t="shared" si="88"/>
        <v>4</v>
      </c>
      <c r="IL180" s="11" t="s">
        <v>336</v>
      </c>
      <c r="IM180" s="11" t="s">
        <v>319</v>
      </c>
      <c r="IN180" s="11" t="s">
        <v>320</v>
      </c>
      <c r="IO180" s="11" t="s">
        <v>320</v>
      </c>
      <c r="IP180" s="11" t="s">
        <v>320</v>
      </c>
      <c r="IQ180" s="12" t="str">
        <f t="shared" si="89"/>
        <v>2. Accommodating</v>
      </c>
      <c r="IR180" s="12">
        <f t="shared" si="90"/>
        <v>3</v>
      </c>
      <c r="IS180" s="11" t="s">
        <v>337</v>
      </c>
      <c r="IT180" s="11" t="s">
        <v>320</v>
      </c>
      <c r="IU180" s="11" t="s">
        <v>320</v>
      </c>
      <c r="IV180" s="11" t="s">
        <v>320</v>
      </c>
      <c r="IW180" s="11" t="str">
        <f t="shared" si="91"/>
        <v>2. Sensitive</v>
      </c>
      <c r="IX180" s="12">
        <f t="shared" si="92"/>
        <v>3</v>
      </c>
      <c r="IY180" s="12" t="s">
        <v>338</v>
      </c>
      <c r="IZ180" s="12" t="s">
        <v>432</v>
      </c>
      <c r="JA180" s="11">
        <v>2</v>
      </c>
      <c r="JB180" s="11" t="s">
        <v>832</v>
      </c>
      <c r="JC180" s="12" t="s">
        <v>623</v>
      </c>
      <c r="JE180" s="12" t="s">
        <v>420</v>
      </c>
      <c r="JG180" s="11" t="s">
        <v>3495</v>
      </c>
      <c r="JH180" s="11" t="s">
        <v>3496</v>
      </c>
      <c r="JI180" s="11" t="s">
        <v>3497</v>
      </c>
      <c r="JJ180" s="11" t="s">
        <v>3498</v>
      </c>
      <c r="JK180" s="11" t="s">
        <v>3499</v>
      </c>
      <c r="JL180" s="11" t="s">
        <v>3500</v>
      </c>
      <c r="JM180" s="11" t="s">
        <v>3501</v>
      </c>
      <c r="JO180" s="11" t="s">
        <v>3502</v>
      </c>
      <c r="JP180" s="15">
        <f t="shared" si="93"/>
        <v>11250</v>
      </c>
      <c r="JQ180" s="15">
        <f t="shared" si="94"/>
        <v>41624</v>
      </c>
      <c r="JR180" s="279">
        <f t="shared" si="95"/>
        <v>3.6999111111111112</v>
      </c>
      <c r="JS180" s="17">
        <f t="shared" si="96"/>
        <v>0.49884444444444442</v>
      </c>
      <c r="JT180" s="18">
        <f t="shared" si="97"/>
        <v>0.49884681914280221</v>
      </c>
      <c r="JU180" s="280">
        <f t="shared" si="98"/>
        <v>5612</v>
      </c>
      <c r="JV180" s="280">
        <f t="shared" si="99"/>
        <v>20764</v>
      </c>
      <c r="JW180" s="319">
        <f t="shared" si="100"/>
        <v>1</v>
      </c>
      <c r="JX180" s="15">
        <f t="shared" si="101"/>
        <v>11250</v>
      </c>
      <c r="JY180" s="15">
        <f t="shared" si="102"/>
        <v>41624</v>
      </c>
      <c r="JZ180" s="19">
        <f t="shared" si="103"/>
        <v>3.6999111111111112</v>
      </c>
      <c r="KA180" s="52" t="str">
        <f t="shared" si="104"/>
        <v/>
      </c>
      <c r="KB180" s="15">
        <f t="shared" si="105"/>
        <v>0</v>
      </c>
      <c r="KC180" s="15">
        <f t="shared" si="106"/>
        <v>0</v>
      </c>
      <c r="KD180" s="20" t="str">
        <f t="shared" si="107"/>
        <v/>
      </c>
      <c r="KE180" s="52" t="str">
        <f t="shared" si="108"/>
        <v/>
      </c>
      <c r="KF180" s="15">
        <f t="shared" si="109"/>
        <v>0</v>
      </c>
      <c r="KG180" s="15">
        <f t="shared" si="110"/>
        <v>0</v>
      </c>
      <c r="KH180" s="21" t="str">
        <f t="shared" si="111"/>
        <v/>
      </c>
      <c r="KI180" s="52" t="str">
        <f t="shared" si="112"/>
        <v/>
      </c>
      <c r="KJ180" s="15">
        <f t="shared" si="113"/>
        <v>0</v>
      </c>
      <c r="KK180" s="15">
        <f t="shared" si="114"/>
        <v>0</v>
      </c>
      <c r="KL180" s="19" t="str">
        <f t="shared" si="115"/>
        <v/>
      </c>
      <c r="KM180" s="52" t="str">
        <f t="shared" si="116"/>
        <v/>
      </c>
      <c r="KN180" s="22">
        <f t="shared" si="117"/>
        <v>0</v>
      </c>
      <c r="KO180" s="22">
        <f t="shared" si="118"/>
        <v>0</v>
      </c>
      <c r="KP180" s="19" t="str">
        <f t="shared" si="119"/>
        <v/>
      </c>
      <c r="KQ180" s="11" t="str">
        <f t="shared" si="120"/>
        <v>2. Sensitive</v>
      </c>
      <c r="KR180" s="11" t="str">
        <f t="shared" si="121"/>
        <v>2. Accommodating</v>
      </c>
      <c r="KS180" s="11" t="str">
        <f t="shared" si="122"/>
        <v>2. Sensitive</v>
      </c>
      <c r="KT180" s="11" t="str">
        <f t="shared" si="123"/>
        <v>It did not develop any specific innovation</v>
      </c>
      <c r="KU180" s="11" t="str">
        <f t="shared" si="124"/>
        <v>Moderate advocacy</v>
      </c>
      <c r="KV180" s="11" t="str">
        <f t="shared" si="125"/>
        <v>It linked and worked with strategic alliances and partners to take tested and effective solutions to scale</v>
      </c>
      <c r="KW180" s="11" t="str">
        <f t="shared" si="126"/>
        <v>Ecuador - PROGRAMA WASH EN ESCUELAS AFECTADAS POR EL SISMO EN LA PROVINCIA DE MANABÍ</v>
      </c>
      <c r="KX180" s="11" t="str">
        <f t="shared" si="127"/>
        <v>PROGRAMA WASH EN ESCUELAS AFECTADAS POR EL SISMO EN LA PROVINCIA DE MANABÍ</v>
      </c>
      <c r="KY180" s="11" t="str">
        <f t="shared" si="128"/>
        <v>Ecuador</v>
      </c>
      <c r="KZ180" s="12">
        <v>180</v>
      </c>
    </row>
    <row r="181" spans="1:312" x14ac:dyDescent="0.3">
      <c r="A181" s="11" t="s">
        <v>3272</v>
      </c>
      <c r="B181" s="11" t="s">
        <v>2807</v>
      </c>
      <c r="D181" s="11" t="s">
        <v>3503</v>
      </c>
      <c r="E181" s="24" t="str">
        <f t="shared" si="86"/>
        <v>Ecuador</v>
      </c>
      <c r="F181" s="11" t="s">
        <v>3504</v>
      </c>
      <c r="G181" s="11" t="s">
        <v>608</v>
      </c>
      <c r="H181" s="11" t="s">
        <v>383</v>
      </c>
      <c r="I181" s="11" t="s">
        <v>384</v>
      </c>
      <c r="J181" s="278" t="s">
        <v>14618</v>
      </c>
      <c r="BD181" s="23">
        <v>42727</v>
      </c>
      <c r="BE181" s="23">
        <v>43001</v>
      </c>
      <c r="BF181" s="23">
        <v>43039</v>
      </c>
      <c r="BG181" s="11" t="s">
        <v>817</v>
      </c>
      <c r="BH181" s="22">
        <v>100000</v>
      </c>
      <c r="BI181" s="11" t="s">
        <v>3280</v>
      </c>
      <c r="BJ181" s="11" t="s">
        <v>3317</v>
      </c>
      <c r="BK181" s="11" t="s">
        <v>3505</v>
      </c>
      <c r="BL181" s="11" t="s">
        <v>3300</v>
      </c>
      <c r="BM181" s="11" t="s">
        <v>3319</v>
      </c>
      <c r="BN181" s="11" t="s">
        <v>3506</v>
      </c>
      <c r="BO181" s="11" t="s">
        <v>320</v>
      </c>
      <c r="BP181" s="11" t="s">
        <v>319</v>
      </c>
      <c r="BQ181" s="11" t="s">
        <v>319</v>
      </c>
      <c r="BR181" s="11" t="s">
        <v>3507</v>
      </c>
      <c r="BS181" s="11" t="s">
        <v>357</v>
      </c>
      <c r="BT181" s="11" t="s">
        <v>3338</v>
      </c>
      <c r="BU181" s="11" t="s">
        <v>3508</v>
      </c>
      <c r="BV181" s="22">
        <v>3326</v>
      </c>
      <c r="BW181" s="22">
        <v>3465</v>
      </c>
      <c r="BX181" s="22">
        <v>6791</v>
      </c>
      <c r="BY181" s="22">
        <v>13046</v>
      </c>
      <c r="BZ181" s="22">
        <v>10469</v>
      </c>
      <c r="CA181" s="22">
        <v>23515</v>
      </c>
      <c r="CB181" s="15" t="s">
        <v>3509</v>
      </c>
      <c r="CD181" s="22">
        <v>3326</v>
      </c>
      <c r="CE181" s="22">
        <v>3465</v>
      </c>
      <c r="CF181" s="22">
        <v>6791</v>
      </c>
      <c r="CG181" s="22">
        <v>13046</v>
      </c>
      <c r="CH181" s="22">
        <v>10469</v>
      </c>
      <c r="CI181" s="22">
        <v>23515</v>
      </c>
      <c r="CJ181" s="11" t="s">
        <v>319</v>
      </c>
      <c r="CL181" s="18"/>
      <c r="CN181" s="11" t="s">
        <v>319</v>
      </c>
      <c r="CP181" s="18"/>
      <c r="CR181" s="11" t="s">
        <v>319</v>
      </c>
      <c r="CT181" s="18"/>
      <c r="CV181" s="11" t="s">
        <v>319</v>
      </c>
      <c r="CX181" s="18"/>
      <c r="CZ181" s="11" t="s">
        <v>319</v>
      </c>
      <c r="DB181" s="18"/>
      <c r="DD181" s="11" t="s">
        <v>319</v>
      </c>
      <c r="DF181" s="18"/>
      <c r="DH181" s="11" t="s">
        <v>319</v>
      </c>
      <c r="DJ181" s="18"/>
      <c r="DL181" s="11" t="s">
        <v>319</v>
      </c>
      <c r="DN181" s="18"/>
      <c r="DP181" s="11" t="s">
        <v>319</v>
      </c>
      <c r="DR181" s="18"/>
      <c r="DT181" s="11" t="s">
        <v>319</v>
      </c>
      <c r="DV181" s="18"/>
      <c r="DX181" s="11" t="s">
        <v>319</v>
      </c>
      <c r="DZ181" s="18"/>
      <c r="EB181" s="11" t="s">
        <v>320</v>
      </c>
      <c r="EC181" s="22">
        <v>6791</v>
      </c>
      <c r="ED181" s="18">
        <v>0.48980000000000001</v>
      </c>
      <c r="EE181" s="22">
        <v>23515</v>
      </c>
      <c r="EI181" s="18"/>
      <c r="EQ181" s="12" t="s">
        <v>319</v>
      </c>
      <c r="ES181" s="18"/>
      <c r="EU181" s="11" t="s">
        <v>319</v>
      </c>
      <c r="EW181" s="18"/>
      <c r="EY181" s="12" t="s">
        <v>319</v>
      </c>
      <c r="FA181" s="18"/>
      <c r="FC181" s="12" t="s">
        <v>319</v>
      </c>
      <c r="FE181" s="18"/>
      <c r="FG181" s="12" t="s">
        <v>319</v>
      </c>
      <c r="FI181" s="18"/>
      <c r="FK181" s="11" t="s">
        <v>319</v>
      </c>
      <c r="FM181" s="18"/>
      <c r="FO181" s="11" t="s">
        <v>319</v>
      </c>
      <c r="FQ181" s="18"/>
      <c r="FS181" s="11" t="s">
        <v>319</v>
      </c>
      <c r="FU181" s="18"/>
      <c r="FW181" s="11" t="s">
        <v>319</v>
      </c>
      <c r="FY181" s="18"/>
      <c r="GA181" s="11" t="s">
        <v>319</v>
      </c>
      <c r="GC181" s="18"/>
      <c r="GE181" s="11" t="s">
        <v>319</v>
      </c>
      <c r="GG181" s="18"/>
      <c r="GI181" s="11" t="s">
        <v>319</v>
      </c>
      <c r="GK181" s="18"/>
      <c r="GM181" s="11" t="s">
        <v>319</v>
      </c>
      <c r="GO181" s="18"/>
      <c r="GQ181" s="11" t="s">
        <v>319</v>
      </c>
      <c r="GS181" s="18"/>
      <c r="GU181" s="11" t="s">
        <v>319</v>
      </c>
      <c r="GW181" s="18"/>
      <c r="GY181" s="11" t="s">
        <v>319</v>
      </c>
      <c r="HA181" s="18"/>
      <c r="HF181" s="18"/>
      <c r="HH181" s="11" t="s">
        <v>319</v>
      </c>
      <c r="HK181" s="11" t="s">
        <v>319</v>
      </c>
      <c r="HL181" s="11" t="s">
        <v>319</v>
      </c>
      <c r="HP181" s="11" t="s">
        <v>330</v>
      </c>
      <c r="HS181" s="11" t="s">
        <v>320</v>
      </c>
      <c r="HX181" s="11" t="s">
        <v>320</v>
      </c>
      <c r="HY181" s="11" t="s">
        <v>3510</v>
      </c>
      <c r="HZ181" s="12" t="s">
        <v>394</v>
      </c>
      <c r="IA181" s="11" t="s">
        <v>3511</v>
      </c>
      <c r="IB181" s="12" t="s">
        <v>396</v>
      </c>
      <c r="IC181" s="11" t="s">
        <v>3512</v>
      </c>
      <c r="ID181" s="11" t="s">
        <v>364</v>
      </c>
      <c r="IE181" s="11" t="s">
        <v>335</v>
      </c>
      <c r="IF181" s="11" t="s">
        <v>320</v>
      </c>
      <c r="IG181" s="11" t="s">
        <v>320</v>
      </c>
      <c r="IH181" s="11" t="s">
        <v>320</v>
      </c>
      <c r="II181" s="11" t="s">
        <v>320</v>
      </c>
      <c r="IJ181" s="12" t="str">
        <f t="shared" si="87"/>
        <v>2. Sensitive</v>
      </c>
      <c r="IK181" s="12">
        <f t="shared" si="88"/>
        <v>4</v>
      </c>
      <c r="IL181" s="11" t="s">
        <v>336</v>
      </c>
      <c r="IM181" s="11" t="s">
        <v>319</v>
      </c>
      <c r="IN181" s="11" t="s">
        <v>320</v>
      </c>
      <c r="IO181" s="11" t="s">
        <v>320</v>
      </c>
      <c r="IP181" s="11" t="s">
        <v>320</v>
      </c>
      <c r="IQ181" s="12" t="str">
        <f t="shared" si="89"/>
        <v>2. Accommodating</v>
      </c>
      <c r="IR181" s="12">
        <f t="shared" si="90"/>
        <v>3</v>
      </c>
      <c r="IS181" s="11" t="s">
        <v>337</v>
      </c>
      <c r="IT181" s="11" t="s">
        <v>320</v>
      </c>
      <c r="IU181" s="11" t="s">
        <v>320</v>
      </c>
      <c r="IV181" s="11" t="s">
        <v>320</v>
      </c>
      <c r="IW181" s="11" t="str">
        <f t="shared" si="91"/>
        <v>2. Sensitive</v>
      </c>
      <c r="IX181" s="12">
        <f t="shared" si="92"/>
        <v>3</v>
      </c>
      <c r="IY181" s="12" t="s">
        <v>338</v>
      </c>
      <c r="IZ181" s="12" t="s">
        <v>432</v>
      </c>
      <c r="JA181" s="11">
        <v>3</v>
      </c>
      <c r="JB181" s="12" t="s">
        <v>687</v>
      </c>
      <c r="JC181" s="11" t="s">
        <v>624</v>
      </c>
      <c r="JD181" s="12" t="s">
        <v>724</v>
      </c>
      <c r="JE181" s="12" t="s">
        <v>365</v>
      </c>
      <c r="JF181" s="11" t="s">
        <v>3513</v>
      </c>
      <c r="JG181" s="11" t="s">
        <v>3514</v>
      </c>
      <c r="JH181" s="11" t="s">
        <v>3515</v>
      </c>
      <c r="JI181" s="11" t="s">
        <v>3516</v>
      </c>
      <c r="JJ181" s="11" t="s">
        <v>3517</v>
      </c>
      <c r="JK181" s="11" t="s">
        <v>3518</v>
      </c>
      <c r="JL181" s="11" t="s">
        <v>3519</v>
      </c>
      <c r="JM181" s="11" t="s">
        <v>3520</v>
      </c>
      <c r="JN181" s="11" t="s">
        <v>3521</v>
      </c>
      <c r="JO181" s="11" t="s">
        <v>3522</v>
      </c>
      <c r="JP181" s="15">
        <f t="shared" si="93"/>
        <v>6791</v>
      </c>
      <c r="JQ181" s="15">
        <f t="shared" si="94"/>
        <v>23515</v>
      </c>
      <c r="JR181" s="279">
        <f t="shared" si="95"/>
        <v>3.4626711824473566</v>
      </c>
      <c r="JS181" s="17">
        <f t="shared" si="96"/>
        <v>0.48976586658813137</v>
      </c>
      <c r="JT181" s="18">
        <f t="shared" si="97"/>
        <v>0.55479481182224111</v>
      </c>
      <c r="JU181" s="280">
        <f t="shared" si="98"/>
        <v>3326</v>
      </c>
      <c r="JV181" s="280">
        <f t="shared" si="99"/>
        <v>13046</v>
      </c>
      <c r="JW181" s="319">
        <f t="shared" si="100"/>
        <v>1</v>
      </c>
      <c r="JX181" s="15">
        <f t="shared" si="101"/>
        <v>6791</v>
      </c>
      <c r="JY181" s="15">
        <f t="shared" si="102"/>
        <v>23515</v>
      </c>
      <c r="JZ181" s="19">
        <f t="shared" si="103"/>
        <v>3.4626711824473566</v>
      </c>
      <c r="KA181" s="52" t="str">
        <f t="shared" si="104"/>
        <v/>
      </c>
      <c r="KB181" s="15">
        <f t="shared" si="105"/>
        <v>0</v>
      </c>
      <c r="KC181" s="15">
        <f t="shared" si="106"/>
        <v>0</v>
      </c>
      <c r="KD181" s="20" t="str">
        <f t="shared" si="107"/>
        <v/>
      </c>
      <c r="KE181" s="52" t="str">
        <f t="shared" si="108"/>
        <v/>
      </c>
      <c r="KF181" s="15">
        <f t="shared" si="109"/>
        <v>0</v>
      </c>
      <c r="KG181" s="15">
        <f t="shared" si="110"/>
        <v>0</v>
      </c>
      <c r="KH181" s="21" t="str">
        <f t="shared" si="111"/>
        <v/>
      </c>
      <c r="KI181" s="52" t="str">
        <f t="shared" si="112"/>
        <v/>
      </c>
      <c r="KJ181" s="15">
        <f t="shared" si="113"/>
        <v>0</v>
      </c>
      <c r="KK181" s="15">
        <f t="shared" si="114"/>
        <v>0</v>
      </c>
      <c r="KL181" s="19" t="str">
        <f t="shared" si="115"/>
        <v/>
      </c>
      <c r="KM181" s="52" t="str">
        <f t="shared" si="116"/>
        <v/>
      </c>
      <c r="KN181" s="22">
        <f t="shared" si="117"/>
        <v>0</v>
      </c>
      <c r="KO181" s="22">
        <f t="shared" si="118"/>
        <v>0</v>
      </c>
      <c r="KP181" s="19" t="str">
        <f t="shared" si="119"/>
        <v/>
      </c>
      <c r="KQ181" s="11" t="str">
        <f t="shared" si="120"/>
        <v>2. Sensitive</v>
      </c>
      <c r="KR181" s="11" t="str">
        <f t="shared" si="121"/>
        <v>2. Accommodating</v>
      </c>
      <c r="KS181" s="11" t="str">
        <f t="shared" si="122"/>
        <v>2. Sensitive</v>
      </c>
      <c r="KT181" s="11" t="str">
        <f t="shared" si="123"/>
        <v>It tested new ways for fighting poverty, but did not measure results of innovation</v>
      </c>
      <c r="KU181" s="11" t="str">
        <f t="shared" si="124"/>
        <v>Moderate advocacy</v>
      </c>
      <c r="KV181" s="11" t="str">
        <f t="shared" si="125"/>
        <v>It linked and worked with strategic alliances and partners to take tested and effective solutions to scale</v>
      </c>
      <c r="KW181" s="11" t="str">
        <f t="shared" si="126"/>
        <v>Ecuador - Proyecto de Recuperación Temprana Implementación de Plantas de purificación de agua en tres sitios afectados por el terremoto 16.A, en los cantones San Vicente y Jama</v>
      </c>
      <c r="KX181" s="11" t="str">
        <f t="shared" si="127"/>
        <v>Proyecto de Recuperación Temprana Implementación de Plantas de purificación de agua en tres sitios afectados por el terremoto 16.A, en los cantones San Vicente y Jama</v>
      </c>
      <c r="KY181" s="11" t="str">
        <f t="shared" si="128"/>
        <v>Ecuador</v>
      </c>
      <c r="KZ181" s="12">
        <v>181</v>
      </c>
    </row>
    <row r="182" spans="1:312" x14ac:dyDescent="0.3">
      <c r="A182" s="11" t="s">
        <v>3272</v>
      </c>
      <c r="B182" s="11" t="s">
        <v>2807</v>
      </c>
      <c r="C182" s="11">
        <v>2897</v>
      </c>
      <c r="D182" s="11" t="s">
        <v>3523</v>
      </c>
      <c r="E182" s="24" t="str">
        <f t="shared" si="86"/>
        <v>Ecuador</v>
      </c>
      <c r="F182" s="11" t="s">
        <v>3524</v>
      </c>
      <c r="G182" s="11" t="s">
        <v>608</v>
      </c>
      <c r="H182" s="11" t="s">
        <v>380</v>
      </c>
      <c r="I182" s="12" t="s">
        <v>381</v>
      </c>
      <c r="J182" s="278" t="s">
        <v>8430</v>
      </c>
      <c r="BD182" s="23">
        <v>42476</v>
      </c>
      <c r="BE182" s="23">
        <v>42567</v>
      </c>
      <c r="BF182" s="23">
        <v>42659</v>
      </c>
      <c r="BG182" s="11" t="s">
        <v>817</v>
      </c>
      <c r="BH182" s="22">
        <v>220000</v>
      </c>
      <c r="BI182" s="11" t="s">
        <v>3280</v>
      </c>
      <c r="BJ182" s="11" t="s">
        <v>3299</v>
      </c>
      <c r="BK182" s="11" t="s">
        <v>3282</v>
      </c>
      <c r="BL182" s="11" t="s">
        <v>3300</v>
      </c>
      <c r="BM182" s="11" t="s">
        <v>3301</v>
      </c>
      <c r="BN182" s="11" t="s">
        <v>3302</v>
      </c>
      <c r="BO182" s="11" t="s">
        <v>320</v>
      </c>
      <c r="BP182" s="11" t="s">
        <v>319</v>
      </c>
      <c r="BQ182" s="11" t="s">
        <v>319</v>
      </c>
      <c r="BR182" s="11" t="s">
        <v>3525</v>
      </c>
      <c r="BS182" s="11" t="s">
        <v>357</v>
      </c>
      <c r="BT182" s="11" t="s">
        <v>3338</v>
      </c>
      <c r="BU182" s="11" t="s">
        <v>3339</v>
      </c>
      <c r="BV182" s="22">
        <v>6020</v>
      </c>
      <c r="BW182" s="22">
        <v>6000</v>
      </c>
      <c r="BX182" s="22">
        <v>12020</v>
      </c>
      <c r="BY182" s="22">
        <v>4528</v>
      </c>
      <c r="BZ182" s="22">
        <v>4528</v>
      </c>
      <c r="CA182" s="22">
        <v>9056</v>
      </c>
      <c r="CB182" s="15" t="s">
        <v>3306</v>
      </c>
      <c r="CD182" s="22">
        <v>6020</v>
      </c>
      <c r="CE182" s="22">
        <v>6000</v>
      </c>
      <c r="CF182" s="22">
        <v>12020</v>
      </c>
      <c r="CG182" s="22">
        <v>4528</v>
      </c>
      <c r="CH182" s="22">
        <v>4528</v>
      </c>
      <c r="CI182" s="22">
        <v>9056</v>
      </c>
      <c r="CL182" s="18"/>
      <c r="CP182" s="18"/>
      <c r="CT182" s="18"/>
      <c r="CX182" s="18"/>
      <c r="DB182" s="18"/>
      <c r="DF182" s="18"/>
      <c r="DJ182" s="18"/>
      <c r="DN182" s="18"/>
      <c r="DR182" s="18"/>
      <c r="DV182" s="18"/>
      <c r="DX182" s="12" t="s">
        <v>320</v>
      </c>
      <c r="DY182" s="22">
        <v>12020</v>
      </c>
      <c r="DZ182" s="18">
        <v>0.5</v>
      </c>
      <c r="EA182" s="22">
        <v>9056</v>
      </c>
      <c r="EB182" s="11" t="s">
        <v>320</v>
      </c>
      <c r="EC182" s="22">
        <v>12020</v>
      </c>
      <c r="ED182" s="18">
        <v>0.5</v>
      </c>
      <c r="EE182" s="22">
        <v>9056</v>
      </c>
      <c r="EI182" s="18"/>
      <c r="ES182" s="18"/>
      <c r="EW182" s="18"/>
      <c r="FA182" s="18"/>
      <c r="FE182" s="18"/>
      <c r="FI182" s="18"/>
      <c r="FM182" s="18"/>
      <c r="FQ182" s="18"/>
      <c r="FU182" s="18"/>
      <c r="FY182" s="18"/>
      <c r="GC182" s="18"/>
      <c r="GG182" s="18"/>
      <c r="GK182" s="18"/>
      <c r="GO182" s="18"/>
      <c r="GS182" s="18"/>
      <c r="GW182" s="18"/>
      <c r="HA182" s="18"/>
      <c r="HF182" s="18"/>
      <c r="HH182" s="11" t="s">
        <v>319</v>
      </c>
      <c r="HL182" s="11" t="s">
        <v>319</v>
      </c>
      <c r="HP182" s="11" t="s">
        <v>330</v>
      </c>
      <c r="HS182" s="11" t="s">
        <v>320</v>
      </c>
      <c r="HZ182" s="11" t="s">
        <v>363</v>
      </c>
      <c r="IB182" s="12" t="s">
        <v>396</v>
      </c>
      <c r="IC182" s="11" t="s">
        <v>3307</v>
      </c>
      <c r="ID182" s="11" t="s">
        <v>364</v>
      </c>
      <c r="IE182" s="11" t="s">
        <v>335</v>
      </c>
      <c r="IF182" s="11" t="s">
        <v>319</v>
      </c>
      <c r="IG182" s="11" t="s">
        <v>319</v>
      </c>
      <c r="IH182" s="11" t="s">
        <v>320</v>
      </c>
      <c r="II182" s="11" t="s">
        <v>320</v>
      </c>
      <c r="IJ182" s="12" t="str">
        <f t="shared" si="87"/>
        <v>1. Neutral</v>
      </c>
      <c r="IK182" s="12">
        <f t="shared" si="88"/>
        <v>2</v>
      </c>
      <c r="IL182" s="11" t="s">
        <v>336</v>
      </c>
      <c r="IM182" s="11" t="s">
        <v>320</v>
      </c>
      <c r="IN182" s="11" t="s">
        <v>320</v>
      </c>
      <c r="IO182" s="11" t="s">
        <v>320</v>
      </c>
      <c r="IP182" s="11" t="s">
        <v>319</v>
      </c>
      <c r="IQ182" s="12" t="str">
        <f t="shared" si="89"/>
        <v>2. Accommodating</v>
      </c>
      <c r="IR182" s="12">
        <f t="shared" si="90"/>
        <v>3</v>
      </c>
      <c r="IS182" s="11" t="s">
        <v>337</v>
      </c>
      <c r="IT182" s="11" t="s">
        <v>320</v>
      </c>
      <c r="IU182" s="11" t="s">
        <v>320</v>
      </c>
      <c r="IV182" s="11" t="s">
        <v>319</v>
      </c>
      <c r="IW182" s="11" t="str">
        <f t="shared" si="91"/>
        <v>1. Neutral</v>
      </c>
      <c r="IX182" s="12">
        <f t="shared" si="92"/>
        <v>2</v>
      </c>
      <c r="IY182" s="11" t="s">
        <v>419</v>
      </c>
      <c r="IZ182" s="12" t="s">
        <v>432</v>
      </c>
      <c r="JB182" s="11" t="s">
        <v>832</v>
      </c>
      <c r="JC182" s="11" t="s">
        <v>433</v>
      </c>
      <c r="JD182" s="12" t="s">
        <v>651</v>
      </c>
      <c r="JE182" s="12" t="s">
        <v>420</v>
      </c>
      <c r="JH182" s="11" t="s">
        <v>3308</v>
      </c>
      <c r="JK182" s="11" t="s">
        <v>3309</v>
      </c>
      <c r="JL182" s="11" t="s">
        <v>3310</v>
      </c>
      <c r="JM182" s="11" t="s">
        <v>3311</v>
      </c>
      <c r="JN182" s="11" t="s">
        <v>3526</v>
      </c>
      <c r="JO182" s="11" t="s">
        <v>3527</v>
      </c>
      <c r="JP182" s="15">
        <f t="shared" si="93"/>
        <v>12020</v>
      </c>
      <c r="JQ182" s="15">
        <f t="shared" si="94"/>
        <v>9056</v>
      </c>
      <c r="JR182" s="279">
        <f t="shared" si="95"/>
        <v>0.75341098169717136</v>
      </c>
      <c r="JS182" s="17">
        <f t="shared" si="96"/>
        <v>0.50083194675540765</v>
      </c>
      <c r="JT182" s="18">
        <f t="shared" si="97"/>
        <v>0.5</v>
      </c>
      <c r="JU182" s="280">
        <f t="shared" si="98"/>
        <v>6020</v>
      </c>
      <c r="JV182" s="280">
        <f t="shared" si="99"/>
        <v>4528</v>
      </c>
      <c r="JW182" s="319">
        <f t="shared" si="100"/>
        <v>1</v>
      </c>
      <c r="JX182" s="15">
        <f t="shared" si="101"/>
        <v>12020</v>
      </c>
      <c r="JY182" s="15">
        <f t="shared" si="102"/>
        <v>9056</v>
      </c>
      <c r="JZ182" s="19">
        <f t="shared" si="103"/>
        <v>0.75341098169717136</v>
      </c>
      <c r="KA182" s="52" t="str">
        <f t="shared" si="104"/>
        <v/>
      </c>
      <c r="KB182" s="15">
        <f t="shared" si="105"/>
        <v>0</v>
      </c>
      <c r="KC182" s="15">
        <f t="shared" si="106"/>
        <v>0</v>
      </c>
      <c r="KD182" s="20" t="str">
        <f t="shared" si="107"/>
        <v/>
      </c>
      <c r="KE182" s="52" t="str">
        <f t="shared" si="108"/>
        <v/>
      </c>
      <c r="KF182" s="15">
        <f t="shared" si="109"/>
        <v>0</v>
      </c>
      <c r="KG182" s="15">
        <f t="shared" si="110"/>
        <v>0</v>
      </c>
      <c r="KH182" s="21" t="str">
        <f t="shared" si="111"/>
        <v/>
      </c>
      <c r="KI182" s="52" t="str">
        <f t="shared" si="112"/>
        <v/>
      </c>
      <c r="KJ182" s="15">
        <f t="shared" si="113"/>
        <v>0</v>
      </c>
      <c r="KK182" s="15">
        <f t="shared" si="114"/>
        <v>0</v>
      </c>
      <c r="KL182" s="19" t="str">
        <f t="shared" si="115"/>
        <v/>
      </c>
      <c r="KM182" s="52" t="str">
        <f t="shared" si="116"/>
        <v/>
      </c>
      <c r="KN182" s="22">
        <f t="shared" si="117"/>
        <v>0</v>
      </c>
      <c r="KO182" s="22">
        <f t="shared" si="118"/>
        <v>0</v>
      </c>
      <c r="KP182" s="19" t="str">
        <f t="shared" si="119"/>
        <v/>
      </c>
      <c r="KQ182" s="11" t="str">
        <f t="shared" si="120"/>
        <v>1. Neutral</v>
      </c>
      <c r="KR182" s="11" t="str">
        <f t="shared" si="121"/>
        <v>2. Accommodating</v>
      </c>
      <c r="KS182" s="11" t="str">
        <f t="shared" si="122"/>
        <v>1. Neutral</v>
      </c>
      <c r="KT182" s="11" t="str">
        <f t="shared" si="123"/>
        <v>It did not develop any specific innovation</v>
      </c>
      <c r="KU182" s="11" t="str">
        <f t="shared" si="124"/>
        <v>Moderate advocacy</v>
      </c>
      <c r="KV182" s="11" t="str">
        <f t="shared" si="125"/>
        <v>It linked and worked with strategic alliances and partners to take tested and effective solutions to scale</v>
      </c>
      <c r="KW182" s="11" t="str">
        <f t="shared" si="126"/>
        <v>Ecuador - Proyecto para la respuesta humanitaria.</v>
      </c>
      <c r="KX182" s="11" t="str">
        <f t="shared" si="127"/>
        <v>Proyecto para la respuesta humanitaria.</v>
      </c>
      <c r="KY182" s="11" t="str">
        <f t="shared" si="128"/>
        <v>Ecuador</v>
      </c>
      <c r="KZ182" s="12">
        <v>182</v>
      </c>
    </row>
    <row r="183" spans="1:312" x14ac:dyDescent="0.3">
      <c r="A183" s="11" t="s">
        <v>3272</v>
      </c>
      <c r="B183" s="11" t="s">
        <v>2807</v>
      </c>
      <c r="D183" s="11" t="s">
        <v>3408</v>
      </c>
      <c r="E183" s="24" t="str">
        <f t="shared" si="86"/>
        <v>Ecuador</v>
      </c>
      <c r="F183" s="11" t="s">
        <v>3409</v>
      </c>
      <c r="G183" s="11" t="s">
        <v>714</v>
      </c>
      <c r="H183" s="11" t="s">
        <v>383</v>
      </c>
      <c r="I183" s="11" t="s">
        <v>384</v>
      </c>
      <c r="J183" s="278" t="s">
        <v>14619</v>
      </c>
      <c r="BD183" s="23">
        <v>42597</v>
      </c>
      <c r="BE183" s="23">
        <v>42809</v>
      </c>
      <c r="BG183" s="11" t="s">
        <v>817</v>
      </c>
      <c r="BH183" s="22">
        <v>100000</v>
      </c>
      <c r="BI183" s="11" t="s">
        <v>3277</v>
      </c>
      <c r="BJ183" s="11" t="s">
        <v>3278</v>
      </c>
      <c r="BK183" s="11" t="s">
        <v>3279</v>
      </c>
      <c r="BL183" s="11" t="s">
        <v>3280</v>
      </c>
      <c r="BM183" s="11" t="s">
        <v>3385</v>
      </c>
      <c r="BN183" s="11" t="s">
        <v>3282</v>
      </c>
      <c r="BO183" s="11" t="s">
        <v>320</v>
      </c>
      <c r="BP183" s="11" t="s">
        <v>319</v>
      </c>
      <c r="BQ183" s="11" t="s">
        <v>319</v>
      </c>
      <c r="BR183" s="11" t="s">
        <v>3410</v>
      </c>
      <c r="BS183" s="11" t="s">
        <v>357</v>
      </c>
      <c r="BT183" s="11" t="s">
        <v>3411</v>
      </c>
      <c r="BU183" s="11" t="s">
        <v>3412</v>
      </c>
      <c r="BV183" s="22">
        <v>706</v>
      </c>
      <c r="BW183" s="22">
        <v>594</v>
      </c>
      <c r="BX183" s="22">
        <v>1300</v>
      </c>
      <c r="CB183" s="15" t="s">
        <v>3413</v>
      </c>
      <c r="CD183" s="22">
        <v>706</v>
      </c>
      <c r="CE183" s="22">
        <v>594</v>
      </c>
      <c r="CF183" s="22">
        <v>1300</v>
      </c>
      <c r="CL183" s="18"/>
      <c r="CP183" s="18"/>
      <c r="CT183" s="18"/>
      <c r="CX183" s="18"/>
      <c r="DB183" s="18"/>
      <c r="DF183" s="18"/>
      <c r="DJ183" s="18"/>
      <c r="DN183" s="18"/>
      <c r="DR183" s="18"/>
      <c r="DV183" s="18"/>
      <c r="DZ183" s="18"/>
      <c r="EB183" s="11" t="s">
        <v>320</v>
      </c>
      <c r="EC183" s="22">
        <v>1300</v>
      </c>
      <c r="ED183" s="18">
        <v>0.54</v>
      </c>
      <c r="EI183" s="18"/>
      <c r="ES183" s="18"/>
      <c r="EW183" s="18"/>
      <c r="FA183" s="18"/>
      <c r="FE183" s="18"/>
      <c r="FI183" s="18"/>
      <c r="FM183" s="18"/>
      <c r="FQ183" s="18"/>
      <c r="FU183" s="18"/>
      <c r="FY183" s="18"/>
      <c r="GC183" s="18"/>
      <c r="GG183" s="18"/>
      <c r="GK183" s="18"/>
      <c r="GO183" s="18"/>
      <c r="GS183" s="18"/>
      <c r="GW183" s="18"/>
      <c r="HA183" s="18"/>
      <c r="HF183" s="18"/>
      <c r="HH183" s="11" t="s">
        <v>319</v>
      </c>
      <c r="HL183" s="11" t="s">
        <v>319</v>
      </c>
      <c r="HP183" s="11" t="s">
        <v>418</v>
      </c>
      <c r="HZ183" s="12" t="s">
        <v>394</v>
      </c>
      <c r="IA183" s="11" t="s">
        <v>3414</v>
      </c>
      <c r="IB183" s="12" t="s">
        <v>396</v>
      </c>
      <c r="IC183" s="11" t="s">
        <v>3415</v>
      </c>
      <c r="ID183" s="12" t="s">
        <v>334</v>
      </c>
      <c r="IE183" s="11" t="s">
        <v>335</v>
      </c>
      <c r="IF183" s="11" t="s">
        <v>320</v>
      </c>
      <c r="IG183" s="11" t="s">
        <v>320</v>
      </c>
      <c r="IH183" s="11" t="s">
        <v>320</v>
      </c>
      <c r="II183" s="11" t="s">
        <v>320</v>
      </c>
      <c r="IJ183" s="12" t="str">
        <f t="shared" si="87"/>
        <v>2. Sensitive</v>
      </c>
      <c r="IK183" s="12">
        <f t="shared" si="88"/>
        <v>4</v>
      </c>
      <c r="IL183" s="11" t="s">
        <v>336</v>
      </c>
      <c r="IM183" s="11" t="s">
        <v>320</v>
      </c>
      <c r="IN183" s="11" t="s">
        <v>320</v>
      </c>
      <c r="IO183" s="11" t="s">
        <v>320</v>
      </c>
      <c r="IQ183" s="12" t="str">
        <f t="shared" si="89"/>
        <v>2. Accommodating</v>
      </c>
      <c r="IR183" s="12">
        <f t="shared" si="90"/>
        <v>3</v>
      </c>
      <c r="IS183" s="11" t="s">
        <v>337</v>
      </c>
      <c r="IT183" s="11" t="s">
        <v>320</v>
      </c>
      <c r="IU183" s="11" t="s">
        <v>320</v>
      </c>
      <c r="IV183" s="11" t="s">
        <v>320</v>
      </c>
      <c r="IW183" s="11" t="str">
        <f t="shared" si="91"/>
        <v>2. Sensitive</v>
      </c>
      <c r="IX183" s="12">
        <f t="shared" si="92"/>
        <v>3</v>
      </c>
      <c r="IY183" s="11" t="s">
        <v>419</v>
      </c>
      <c r="IZ183" s="12" t="s">
        <v>432</v>
      </c>
      <c r="JA183" s="11">
        <v>1</v>
      </c>
      <c r="JB183" s="11" t="s">
        <v>624</v>
      </c>
      <c r="JE183" s="12" t="s">
        <v>365</v>
      </c>
      <c r="JF183" s="11" t="s">
        <v>3416</v>
      </c>
      <c r="JK183" s="11" t="s">
        <v>3417</v>
      </c>
      <c r="JL183" s="11" t="s">
        <v>3418</v>
      </c>
      <c r="JM183" s="11" t="s">
        <v>3419</v>
      </c>
      <c r="JO183" s="11" t="s">
        <v>3420</v>
      </c>
      <c r="JP183" s="15">
        <f t="shared" si="93"/>
        <v>1300</v>
      </c>
      <c r="JQ183" s="15">
        <f t="shared" si="94"/>
        <v>0</v>
      </c>
      <c r="JR183" s="279">
        <f t="shared" si="95"/>
        <v>0</v>
      </c>
      <c r="JS183" s="17">
        <f t="shared" si="96"/>
        <v>0.54307692307692312</v>
      </c>
      <c r="JT183" s="18" t="str">
        <f t="shared" si="97"/>
        <v/>
      </c>
      <c r="JU183" s="280">
        <f t="shared" si="98"/>
        <v>706</v>
      </c>
      <c r="JV183" s="280">
        <f t="shared" si="99"/>
        <v>0</v>
      </c>
      <c r="JW183" s="319">
        <f t="shared" si="100"/>
        <v>1</v>
      </c>
      <c r="JX183" s="15">
        <f t="shared" si="101"/>
        <v>1300</v>
      </c>
      <c r="JY183" s="15">
        <f t="shared" si="102"/>
        <v>0</v>
      </c>
      <c r="JZ183" s="19">
        <f t="shared" si="103"/>
        <v>0</v>
      </c>
      <c r="KA183" s="52" t="str">
        <f t="shared" si="104"/>
        <v/>
      </c>
      <c r="KB183" s="15">
        <f t="shared" si="105"/>
        <v>0</v>
      </c>
      <c r="KC183" s="15">
        <f t="shared" si="106"/>
        <v>0</v>
      </c>
      <c r="KD183" s="20" t="str">
        <f t="shared" si="107"/>
        <v/>
      </c>
      <c r="KE183" s="52" t="str">
        <f t="shared" si="108"/>
        <v/>
      </c>
      <c r="KF183" s="15">
        <f t="shared" si="109"/>
        <v>0</v>
      </c>
      <c r="KG183" s="15">
        <f t="shared" si="110"/>
        <v>0</v>
      </c>
      <c r="KH183" s="21" t="str">
        <f t="shared" si="111"/>
        <v/>
      </c>
      <c r="KI183" s="52" t="str">
        <f t="shared" si="112"/>
        <v/>
      </c>
      <c r="KJ183" s="15">
        <f t="shared" si="113"/>
        <v>0</v>
      </c>
      <c r="KK183" s="15">
        <f t="shared" si="114"/>
        <v>0</v>
      </c>
      <c r="KL183" s="19" t="str">
        <f t="shared" si="115"/>
        <v/>
      </c>
      <c r="KM183" s="52" t="str">
        <f t="shared" si="116"/>
        <v/>
      </c>
      <c r="KN183" s="22">
        <f t="shared" si="117"/>
        <v>0</v>
      </c>
      <c r="KO183" s="22">
        <f t="shared" si="118"/>
        <v>0</v>
      </c>
      <c r="KP183" s="19" t="str">
        <f t="shared" si="119"/>
        <v/>
      </c>
      <c r="KQ183" s="11" t="str">
        <f t="shared" si="120"/>
        <v>2. Sensitive</v>
      </c>
      <c r="KR183" s="11" t="str">
        <f t="shared" si="121"/>
        <v>2. Accommodating</v>
      </c>
      <c r="KS183" s="11" t="str">
        <f t="shared" si="122"/>
        <v>2. Sensitive</v>
      </c>
      <c r="KT183" s="11" t="str">
        <f t="shared" si="123"/>
        <v>It tested new ways for fighting poverty, but did not measure results of innovation</v>
      </c>
      <c r="KU183" s="11" t="str">
        <f t="shared" si="124"/>
        <v>Little or no advocacy</v>
      </c>
      <c r="KV183" s="11" t="str">
        <f t="shared" si="125"/>
        <v>It linked and worked with strategic alliances and partners to take tested and effective solutions to scale</v>
      </c>
      <c r="KW183" s="11" t="str">
        <f t="shared" si="126"/>
        <v>Ecuador - Resiliencia desde la Educación</v>
      </c>
      <c r="KX183" s="11" t="str">
        <f t="shared" si="127"/>
        <v>Resiliencia desde la Educación</v>
      </c>
      <c r="KY183" s="11" t="str">
        <f t="shared" si="128"/>
        <v>Ecuador</v>
      </c>
      <c r="KZ183" s="12">
        <v>183</v>
      </c>
    </row>
    <row r="184" spans="1:312" x14ac:dyDescent="0.3">
      <c r="A184" s="11" t="s">
        <v>3272</v>
      </c>
      <c r="B184" s="11" t="s">
        <v>2807</v>
      </c>
      <c r="D184" s="11" t="s">
        <v>3446</v>
      </c>
      <c r="E184" s="24" t="str">
        <f t="shared" si="86"/>
        <v>Ecuador</v>
      </c>
      <c r="F184" s="11" t="s">
        <v>3447</v>
      </c>
      <c r="G184" s="11" t="s">
        <v>379</v>
      </c>
      <c r="H184" s="11" t="s">
        <v>384</v>
      </c>
      <c r="I184" s="11" t="s">
        <v>384</v>
      </c>
      <c r="J184" s="278" t="s">
        <v>14620</v>
      </c>
      <c r="BD184" s="23">
        <v>42887</v>
      </c>
      <c r="BE184" s="23">
        <v>43281</v>
      </c>
      <c r="BG184" s="12" t="s">
        <v>1757</v>
      </c>
      <c r="BH184" s="22">
        <v>200000</v>
      </c>
      <c r="BI184" s="11" t="s">
        <v>3401</v>
      </c>
      <c r="BJ184" s="11" t="s">
        <v>3278</v>
      </c>
      <c r="BK184" s="11" t="s">
        <v>3279</v>
      </c>
      <c r="BL184" s="11" t="s">
        <v>3448</v>
      </c>
      <c r="BM184" s="11" t="s">
        <v>3449</v>
      </c>
      <c r="BN184" s="11" t="s">
        <v>3450</v>
      </c>
      <c r="BO184" s="12" t="s">
        <v>319</v>
      </c>
      <c r="BP184" s="12" t="s">
        <v>320</v>
      </c>
      <c r="BQ184" s="12" t="s">
        <v>319</v>
      </c>
      <c r="BR184" s="11" t="s">
        <v>3451</v>
      </c>
      <c r="BS184" s="11" t="s">
        <v>322</v>
      </c>
      <c r="BT184" s="11" t="s">
        <v>3452</v>
      </c>
      <c r="BU184" s="11" t="s">
        <v>3453</v>
      </c>
      <c r="BV184" s="22">
        <v>2240</v>
      </c>
      <c r="BW184" s="22">
        <v>960</v>
      </c>
      <c r="BX184" s="22">
        <v>3200</v>
      </c>
      <c r="BY184" s="22">
        <v>10500</v>
      </c>
      <c r="BZ184" s="22">
        <v>4500</v>
      </c>
      <c r="CA184" s="22">
        <v>15000</v>
      </c>
      <c r="CB184" s="15" t="s">
        <v>3454</v>
      </c>
      <c r="CL184" s="18"/>
      <c r="CP184" s="18"/>
      <c r="CT184" s="18"/>
      <c r="CX184" s="18"/>
      <c r="DB184" s="18"/>
      <c r="DF184" s="18"/>
      <c r="DJ184" s="18"/>
      <c r="DN184" s="18"/>
      <c r="DR184" s="18"/>
      <c r="DV184" s="18"/>
      <c r="DZ184" s="18"/>
      <c r="ED184" s="18"/>
      <c r="EI184" s="18"/>
      <c r="EK184" s="22">
        <v>2560</v>
      </c>
      <c r="EL184" s="22">
        <v>640</v>
      </c>
      <c r="EM184" s="22">
        <v>3200</v>
      </c>
      <c r="EN184" s="22">
        <v>10500</v>
      </c>
      <c r="EO184" s="22">
        <v>4500</v>
      </c>
      <c r="EP184" s="22">
        <v>15000</v>
      </c>
      <c r="ES184" s="18"/>
      <c r="EW184" s="18"/>
      <c r="FA184" s="18"/>
      <c r="FE184" s="18"/>
      <c r="FI184" s="18"/>
      <c r="FM184" s="18"/>
      <c r="FQ184" s="18"/>
      <c r="FS184" s="12" t="s">
        <v>320</v>
      </c>
      <c r="FT184" s="22">
        <v>3200</v>
      </c>
      <c r="FU184" s="18">
        <v>0.79</v>
      </c>
      <c r="FV184" s="22">
        <v>15000</v>
      </c>
      <c r="FY184" s="18"/>
      <c r="GC184" s="18"/>
      <c r="GG184" s="18"/>
      <c r="GK184" s="18"/>
      <c r="GO184" s="18"/>
      <c r="GS184" s="18"/>
      <c r="GW184" s="18"/>
      <c r="HA184" s="18"/>
      <c r="HF184" s="18"/>
      <c r="HH184" s="11" t="s">
        <v>319</v>
      </c>
      <c r="HL184" s="11" t="s">
        <v>319</v>
      </c>
      <c r="HP184" s="11" t="s">
        <v>453</v>
      </c>
      <c r="HQ184" s="11" t="s">
        <v>320</v>
      </c>
      <c r="HS184" s="11" t="s">
        <v>320</v>
      </c>
      <c r="HZ184" s="12" t="s">
        <v>394</v>
      </c>
      <c r="IA184" s="11" t="s">
        <v>3455</v>
      </c>
      <c r="IB184" s="12" t="s">
        <v>396</v>
      </c>
      <c r="IC184" s="11" t="s">
        <v>3456</v>
      </c>
      <c r="ID184" s="11" t="s">
        <v>477</v>
      </c>
      <c r="IE184" s="11" t="s">
        <v>478</v>
      </c>
      <c r="IF184" s="11" t="s">
        <v>320</v>
      </c>
      <c r="IG184" s="11" t="s">
        <v>320</v>
      </c>
      <c r="IH184" s="11" t="s">
        <v>320</v>
      </c>
      <c r="II184" s="11" t="s">
        <v>320</v>
      </c>
      <c r="IJ184" s="12" t="str">
        <f t="shared" si="87"/>
        <v>4. Transformative</v>
      </c>
      <c r="IK184" s="12">
        <f t="shared" si="88"/>
        <v>4</v>
      </c>
      <c r="IL184" s="11" t="s">
        <v>621</v>
      </c>
      <c r="IM184" s="11" t="s">
        <v>320</v>
      </c>
      <c r="IN184" s="11" t="s">
        <v>320</v>
      </c>
      <c r="IO184" s="11" t="s">
        <v>320</v>
      </c>
      <c r="IP184" s="11" t="s">
        <v>319</v>
      </c>
      <c r="IQ184" s="12" t="str">
        <f t="shared" si="89"/>
        <v>3. Responsive</v>
      </c>
      <c r="IR184" s="12">
        <f t="shared" si="90"/>
        <v>3</v>
      </c>
      <c r="IS184" s="11" t="s">
        <v>337</v>
      </c>
      <c r="IT184" s="11" t="s">
        <v>320</v>
      </c>
      <c r="IU184" s="11" t="s">
        <v>320</v>
      </c>
      <c r="IV184" s="11" t="s">
        <v>320</v>
      </c>
      <c r="IW184" s="11" t="str">
        <f t="shared" si="91"/>
        <v>2. Sensitive</v>
      </c>
      <c r="IX184" s="12">
        <f t="shared" si="92"/>
        <v>3</v>
      </c>
      <c r="IY184" s="12" t="s">
        <v>338</v>
      </c>
      <c r="IZ184" s="12" t="s">
        <v>339</v>
      </c>
      <c r="JB184" s="12" t="s">
        <v>687</v>
      </c>
      <c r="JC184" s="11" t="s">
        <v>624</v>
      </c>
      <c r="JD184" s="12" t="s">
        <v>433</v>
      </c>
      <c r="JE184" s="12" t="s">
        <v>340</v>
      </c>
      <c r="JF184" s="11" t="s">
        <v>3457</v>
      </c>
      <c r="JH184" s="11" t="s">
        <v>3458</v>
      </c>
      <c r="JI184" s="11" t="s">
        <v>3459</v>
      </c>
      <c r="JJ184" s="11" t="s">
        <v>3460</v>
      </c>
      <c r="JK184" s="11" t="s">
        <v>3461</v>
      </c>
      <c r="JL184" s="11" t="s">
        <v>3462</v>
      </c>
      <c r="JM184" s="11" t="s">
        <v>3463</v>
      </c>
      <c r="JO184" s="11" t="s">
        <v>3464</v>
      </c>
      <c r="JP184" s="15">
        <f t="shared" si="93"/>
        <v>3200</v>
      </c>
      <c r="JQ184" s="15">
        <f t="shared" si="94"/>
        <v>15000</v>
      </c>
      <c r="JR184" s="279">
        <f t="shared" si="95"/>
        <v>4.6875</v>
      </c>
      <c r="JS184" s="17">
        <f t="shared" si="96"/>
        <v>0.8</v>
      </c>
      <c r="JT184" s="18">
        <f t="shared" si="97"/>
        <v>0.7</v>
      </c>
      <c r="JU184" s="280">
        <f t="shared" si="98"/>
        <v>2560</v>
      </c>
      <c r="JV184" s="280">
        <f t="shared" si="99"/>
        <v>10500</v>
      </c>
      <c r="JW184" s="319" t="str">
        <f t="shared" si="100"/>
        <v/>
      </c>
      <c r="JX184" s="15">
        <f t="shared" si="101"/>
        <v>0</v>
      </c>
      <c r="JY184" s="15">
        <f t="shared" si="102"/>
        <v>0</v>
      </c>
      <c r="JZ184" s="19" t="str">
        <f t="shared" si="103"/>
        <v/>
      </c>
      <c r="KA184" s="52" t="str">
        <f t="shared" si="104"/>
        <v/>
      </c>
      <c r="KB184" s="15">
        <f t="shared" si="105"/>
        <v>0</v>
      </c>
      <c r="KC184" s="15">
        <f t="shared" si="106"/>
        <v>0</v>
      </c>
      <c r="KD184" s="20" t="str">
        <f t="shared" si="107"/>
        <v/>
      </c>
      <c r="KE184" s="52" t="str">
        <f t="shared" si="108"/>
        <v/>
      </c>
      <c r="KF184" s="15">
        <f t="shared" si="109"/>
        <v>0</v>
      </c>
      <c r="KG184" s="15">
        <f t="shared" si="110"/>
        <v>0</v>
      </c>
      <c r="KH184" s="21" t="str">
        <f t="shared" si="111"/>
        <v/>
      </c>
      <c r="KI184" s="52">
        <f t="shared" si="112"/>
        <v>1</v>
      </c>
      <c r="KJ184" s="15">
        <f t="shared" si="113"/>
        <v>3200</v>
      </c>
      <c r="KK184" s="15">
        <f t="shared" si="114"/>
        <v>15000</v>
      </c>
      <c r="KL184" s="19">
        <f t="shared" si="115"/>
        <v>4.6875</v>
      </c>
      <c r="KM184" s="52" t="str">
        <f t="shared" si="116"/>
        <v/>
      </c>
      <c r="KN184" s="22">
        <f t="shared" si="117"/>
        <v>0</v>
      </c>
      <c r="KO184" s="22">
        <f t="shared" si="118"/>
        <v>0</v>
      </c>
      <c r="KP184" s="19" t="str">
        <f t="shared" si="119"/>
        <v/>
      </c>
      <c r="KQ184" s="11" t="str">
        <f t="shared" si="120"/>
        <v>4. Transformative</v>
      </c>
      <c r="KR184" s="11" t="str">
        <f t="shared" si="121"/>
        <v>3. Responsive</v>
      </c>
      <c r="KS184" s="11" t="str">
        <f t="shared" si="122"/>
        <v>2. Sensitive</v>
      </c>
      <c r="KT184" s="11" t="str">
        <f t="shared" si="123"/>
        <v>It tested new ways for fighting poverty, but did not measure results of innovation</v>
      </c>
      <c r="KU184" s="11" t="str">
        <f t="shared" si="124"/>
        <v>Intensive advocacy</v>
      </c>
      <c r="KV184" s="11" t="str">
        <f t="shared" si="125"/>
        <v>It linked and worked with strategic alliances and partners to take tested and effective solutions to scale</v>
      </c>
      <c r="KW184" s="11" t="str">
        <f t="shared" si="126"/>
        <v>Ecuador - WOMAN</v>
      </c>
      <c r="KX184" s="11" t="str">
        <f t="shared" si="127"/>
        <v>WOMAN</v>
      </c>
      <c r="KY184" s="11" t="str">
        <f t="shared" si="128"/>
        <v>Ecuador</v>
      </c>
      <c r="KZ184" s="12">
        <v>184</v>
      </c>
    </row>
    <row r="185" spans="1:312" x14ac:dyDescent="0.3">
      <c r="A185" s="11" t="s">
        <v>3272</v>
      </c>
      <c r="B185" s="11" t="s">
        <v>2807</v>
      </c>
      <c r="D185" s="11" t="s">
        <v>3528</v>
      </c>
      <c r="E185" s="24" t="str">
        <f t="shared" si="86"/>
        <v>Ecuador</v>
      </c>
      <c r="F185" s="11" t="s">
        <v>3529</v>
      </c>
      <c r="G185" s="11" t="s">
        <v>608</v>
      </c>
      <c r="H185" s="11" t="s">
        <v>310</v>
      </c>
      <c r="I185" s="11" t="s">
        <v>655</v>
      </c>
      <c r="J185" s="278" t="s">
        <v>4991</v>
      </c>
      <c r="BD185" s="23">
        <v>42643</v>
      </c>
      <c r="BE185" s="23">
        <v>43708</v>
      </c>
      <c r="BG185" s="11" t="s">
        <v>817</v>
      </c>
      <c r="BH185" s="22">
        <v>9100000</v>
      </c>
      <c r="BI185" s="11" t="s">
        <v>3280</v>
      </c>
      <c r="BJ185" s="11" t="s">
        <v>3530</v>
      </c>
      <c r="BK185" s="11" t="s">
        <v>3282</v>
      </c>
      <c r="BL185" s="11" t="s">
        <v>3531</v>
      </c>
      <c r="BM185" s="11" t="s">
        <v>3532</v>
      </c>
      <c r="BN185" s="11" t="s">
        <v>3533</v>
      </c>
      <c r="BO185" s="11" t="s">
        <v>320</v>
      </c>
      <c r="BP185" s="11" t="s">
        <v>319</v>
      </c>
      <c r="BQ185" s="11" t="s">
        <v>319</v>
      </c>
      <c r="BR185" s="11" t="s">
        <v>3534</v>
      </c>
      <c r="BS185" s="11" t="s">
        <v>322</v>
      </c>
      <c r="BT185" s="11" t="s">
        <v>3535</v>
      </c>
      <c r="BU185" s="11" t="s">
        <v>3536</v>
      </c>
      <c r="BV185" s="22">
        <v>64561</v>
      </c>
      <c r="BW185" s="22">
        <v>64383</v>
      </c>
      <c r="BX185" s="22">
        <v>128944</v>
      </c>
      <c r="BY185" s="22">
        <v>64561</v>
      </c>
      <c r="BZ185" s="22">
        <v>64384</v>
      </c>
      <c r="CA185" s="22">
        <v>128945</v>
      </c>
      <c r="CB185" s="15" t="s">
        <v>3537</v>
      </c>
      <c r="CD185" s="22">
        <v>1934</v>
      </c>
      <c r="CE185" s="22">
        <v>1289</v>
      </c>
      <c r="CF185" s="22">
        <v>3223</v>
      </c>
      <c r="CG185" s="22">
        <v>1934</v>
      </c>
      <c r="CH185" s="22">
        <v>1289</v>
      </c>
      <c r="CI185" s="22">
        <v>3223</v>
      </c>
      <c r="CJ185" s="11" t="s">
        <v>319</v>
      </c>
      <c r="CL185" s="18"/>
      <c r="CN185" s="11" t="s">
        <v>319</v>
      </c>
      <c r="CP185" s="18"/>
      <c r="CR185" s="11" t="s">
        <v>319</v>
      </c>
      <c r="CT185" s="18"/>
      <c r="CV185" s="11" t="s">
        <v>319</v>
      </c>
      <c r="CX185" s="18"/>
      <c r="CZ185" s="11" t="s">
        <v>319</v>
      </c>
      <c r="DB185" s="18"/>
      <c r="DD185" s="11" t="s">
        <v>320</v>
      </c>
      <c r="DE185" s="22">
        <v>3223</v>
      </c>
      <c r="DF185" s="18">
        <v>0.6</v>
      </c>
      <c r="DG185" s="22">
        <v>1459</v>
      </c>
      <c r="DH185" s="12" t="s">
        <v>320</v>
      </c>
      <c r="DI185" s="22">
        <v>3223</v>
      </c>
      <c r="DJ185" s="18">
        <v>0.6</v>
      </c>
      <c r="DK185" s="22">
        <v>1459</v>
      </c>
      <c r="DL185" s="11" t="s">
        <v>319</v>
      </c>
      <c r="DN185" s="18"/>
      <c r="DP185" s="11" t="s">
        <v>319</v>
      </c>
      <c r="DR185" s="18"/>
      <c r="DT185" s="12" t="s">
        <v>320</v>
      </c>
      <c r="DU185" s="22">
        <v>3223</v>
      </c>
      <c r="DV185" s="18">
        <v>0.6</v>
      </c>
      <c r="DW185" s="22">
        <v>1459</v>
      </c>
      <c r="DX185" s="11" t="s">
        <v>319</v>
      </c>
      <c r="DZ185" s="18"/>
      <c r="EB185" s="11" t="s">
        <v>320</v>
      </c>
      <c r="EC185" s="22">
        <v>3223</v>
      </c>
      <c r="ED185" s="18">
        <v>0.6</v>
      </c>
      <c r="EE185" s="22">
        <v>1459</v>
      </c>
      <c r="EI185" s="18"/>
      <c r="ES185" s="18"/>
      <c r="EW185" s="18"/>
      <c r="FA185" s="18"/>
      <c r="FE185" s="18"/>
      <c r="FI185" s="18"/>
      <c r="FM185" s="18"/>
      <c r="FQ185" s="18"/>
      <c r="FU185" s="18"/>
      <c r="FY185" s="18"/>
      <c r="GC185" s="18"/>
      <c r="GG185" s="18"/>
      <c r="GK185" s="18"/>
      <c r="GO185" s="18"/>
      <c r="GS185" s="18"/>
      <c r="GW185" s="18"/>
      <c r="HA185" s="18"/>
      <c r="HF185" s="18"/>
      <c r="HH185" s="11" t="s">
        <v>319</v>
      </c>
      <c r="HK185" s="11" t="s">
        <v>319</v>
      </c>
      <c r="HL185" s="11" t="s">
        <v>320</v>
      </c>
      <c r="HM185" s="11" t="s">
        <v>416</v>
      </c>
      <c r="HN185" s="11">
        <v>2018</v>
      </c>
      <c r="HO185" s="11" t="s">
        <v>3538</v>
      </c>
      <c r="HP185" s="11" t="s">
        <v>330</v>
      </c>
      <c r="HQ185" s="11" t="s">
        <v>319</v>
      </c>
      <c r="HR185" s="11" t="s">
        <v>319</v>
      </c>
      <c r="HS185" s="11" t="s">
        <v>320</v>
      </c>
      <c r="HT185" s="11" t="s">
        <v>319</v>
      </c>
      <c r="HU185" s="11" t="s">
        <v>319</v>
      </c>
      <c r="HV185" s="11" t="s">
        <v>319</v>
      </c>
      <c r="HW185" s="11" t="s">
        <v>319</v>
      </c>
      <c r="HX185" s="11" t="s">
        <v>319</v>
      </c>
      <c r="HZ185" s="11" t="s">
        <v>363</v>
      </c>
      <c r="IB185" s="12" t="s">
        <v>396</v>
      </c>
      <c r="IC185" s="11" t="s">
        <v>3539</v>
      </c>
      <c r="ID185" s="11" t="s">
        <v>364</v>
      </c>
      <c r="IE185" s="11" t="s">
        <v>335</v>
      </c>
      <c r="IF185" s="11" t="s">
        <v>320</v>
      </c>
      <c r="IG185" s="11" t="s">
        <v>320</v>
      </c>
      <c r="IH185" s="11" t="s">
        <v>320</v>
      </c>
      <c r="II185" s="11" t="s">
        <v>320</v>
      </c>
      <c r="IJ185" s="12" t="str">
        <f t="shared" si="87"/>
        <v>2. Sensitive</v>
      </c>
      <c r="IK185" s="12">
        <f t="shared" si="88"/>
        <v>4</v>
      </c>
      <c r="IL185" s="11" t="s">
        <v>336</v>
      </c>
      <c r="IM185" s="11" t="s">
        <v>320</v>
      </c>
      <c r="IN185" s="11" t="s">
        <v>320</v>
      </c>
      <c r="IO185" s="11" t="s">
        <v>320</v>
      </c>
      <c r="IP185" s="11" t="s">
        <v>319</v>
      </c>
      <c r="IQ185" s="12" t="str">
        <f t="shared" si="89"/>
        <v>2. Accommodating</v>
      </c>
      <c r="IR185" s="12">
        <f t="shared" si="90"/>
        <v>3</v>
      </c>
      <c r="IS185" s="11" t="s">
        <v>337</v>
      </c>
      <c r="IT185" s="11" t="s">
        <v>320</v>
      </c>
      <c r="IU185" s="11" t="s">
        <v>320</v>
      </c>
      <c r="IV185" s="11" t="s">
        <v>320</v>
      </c>
      <c r="IW185" s="11" t="str">
        <f t="shared" si="91"/>
        <v>2. Sensitive</v>
      </c>
      <c r="IX185" s="12">
        <f t="shared" si="92"/>
        <v>3</v>
      </c>
      <c r="IY185" s="11" t="s">
        <v>419</v>
      </c>
      <c r="IZ185" s="11" t="s">
        <v>527</v>
      </c>
      <c r="JA185" s="11">
        <v>3</v>
      </c>
      <c r="JB185" s="12" t="s">
        <v>687</v>
      </c>
      <c r="JC185" s="11" t="s">
        <v>831</v>
      </c>
      <c r="JD185" s="11" t="s">
        <v>585</v>
      </c>
      <c r="JE185" s="12" t="s">
        <v>340</v>
      </c>
      <c r="JF185" s="11" t="s">
        <v>3540</v>
      </c>
      <c r="JK185" s="11" t="s">
        <v>3541</v>
      </c>
      <c r="JL185" s="11" t="s">
        <v>3542</v>
      </c>
      <c r="JM185" s="11" t="s">
        <v>3543</v>
      </c>
      <c r="JN185" s="11" t="s">
        <v>3544</v>
      </c>
      <c r="JO185" s="11" t="s">
        <v>3545</v>
      </c>
      <c r="JP185" s="15">
        <f t="shared" si="93"/>
        <v>3223</v>
      </c>
      <c r="JQ185" s="15">
        <f t="shared" si="94"/>
        <v>3223</v>
      </c>
      <c r="JR185" s="279">
        <f t="shared" si="95"/>
        <v>1</v>
      </c>
      <c r="JS185" s="17">
        <f t="shared" si="96"/>
        <v>0.60006205398696866</v>
      </c>
      <c r="JT185" s="18">
        <f t="shared" si="97"/>
        <v>0.60006205398696866</v>
      </c>
      <c r="JU185" s="280">
        <f t="shared" si="98"/>
        <v>1934</v>
      </c>
      <c r="JV185" s="280">
        <f t="shared" si="99"/>
        <v>1934</v>
      </c>
      <c r="JW185" s="319">
        <f t="shared" si="100"/>
        <v>1</v>
      </c>
      <c r="JX185" s="15">
        <f t="shared" si="101"/>
        <v>3223</v>
      </c>
      <c r="JY185" s="15">
        <f t="shared" si="102"/>
        <v>3223</v>
      </c>
      <c r="JZ185" s="19">
        <f t="shared" si="103"/>
        <v>1</v>
      </c>
      <c r="KA185" s="52" t="str">
        <f t="shared" si="104"/>
        <v/>
      </c>
      <c r="KB185" s="15">
        <f t="shared" si="105"/>
        <v>0</v>
      </c>
      <c r="KC185" s="15">
        <f t="shared" si="106"/>
        <v>0</v>
      </c>
      <c r="KD185" s="20" t="str">
        <f t="shared" si="107"/>
        <v/>
      </c>
      <c r="KE185" s="52">
        <f t="shared" si="108"/>
        <v>1</v>
      </c>
      <c r="KF185" s="15">
        <f t="shared" si="109"/>
        <v>3223</v>
      </c>
      <c r="KG185" s="15">
        <f t="shared" si="110"/>
        <v>1459</v>
      </c>
      <c r="KH185" s="21">
        <f t="shared" si="111"/>
        <v>0.45268383493639464</v>
      </c>
      <c r="KI185" s="52" t="str">
        <f t="shared" si="112"/>
        <v/>
      </c>
      <c r="KJ185" s="15">
        <f t="shared" si="113"/>
        <v>0</v>
      </c>
      <c r="KK185" s="15">
        <f t="shared" si="114"/>
        <v>0</v>
      </c>
      <c r="KL185" s="19" t="str">
        <f t="shared" si="115"/>
        <v/>
      </c>
      <c r="KM185" s="52" t="str">
        <f t="shared" si="116"/>
        <v/>
      </c>
      <c r="KN185" s="22">
        <f t="shared" si="117"/>
        <v>0</v>
      </c>
      <c r="KO185" s="22">
        <f t="shared" si="118"/>
        <v>0</v>
      </c>
      <c r="KP185" s="19" t="str">
        <f t="shared" si="119"/>
        <v/>
      </c>
      <c r="KQ185" s="11" t="str">
        <f t="shared" si="120"/>
        <v>2. Sensitive</v>
      </c>
      <c r="KR185" s="11" t="str">
        <f t="shared" si="121"/>
        <v>2. Accommodating</v>
      </c>
      <c r="KS185" s="11" t="str">
        <f t="shared" si="122"/>
        <v>2. Sensitive</v>
      </c>
      <c r="KT185" s="11" t="str">
        <f t="shared" si="123"/>
        <v>It did not develop any specific innovation</v>
      </c>
      <c r="KU185" s="11" t="str">
        <f t="shared" si="124"/>
        <v>Moderate advocacy</v>
      </c>
      <c r="KV185" s="11" t="str">
        <f t="shared" si="125"/>
        <v>It linked and worked with strategic alliances and partners to take tested and effective solutions to scale</v>
      </c>
      <c r="KW185" s="11" t="str">
        <f t="shared" si="126"/>
        <v>Ecuador - Zika Response in Ecuador and Peru.</v>
      </c>
      <c r="KX185" s="11" t="str">
        <f t="shared" si="127"/>
        <v>Zika Response in Ecuador and Peru.</v>
      </c>
      <c r="KY185" s="11" t="str">
        <f t="shared" si="128"/>
        <v>Ecuador</v>
      </c>
      <c r="KZ185" s="12">
        <v>185</v>
      </c>
    </row>
    <row r="186" spans="1:312" x14ac:dyDescent="0.3">
      <c r="A186" s="11" t="s">
        <v>3546</v>
      </c>
      <c r="B186" s="11" t="s">
        <v>602</v>
      </c>
      <c r="C186" s="11">
        <v>2909</v>
      </c>
      <c r="D186" s="11" t="s">
        <v>3588</v>
      </c>
      <c r="E186" s="24" t="str">
        <f t="shared" si="86"/>
        <v>Egypt</v>
      </c>
      <c r="F186" s="11">
        <v>2909</v>
      </c>
      <c r="G186" s="11" t="s">
        <v>1738</v>
      </c>
      <c r="H186" s="11" t="s">
        <v>310</v>
      </c>
      <c r="I186" s="11" t="s">
        <v>2595</v>
      </c>
      <c r="J186" s="278" t="s">
        <v>14601</v>
      </c>
      <c r="M186" s="11" t="s">
        <v>380</v>
      </c>
      <c r="N186" s="11" t="s">
        <v>517</v>
      </c>
      <c r="O186" s="281" t="s">
        <v>14621</v>
      </c>
      <c r="BD186" s="23">
        <v>42309</v>
      </c>
      <c r="BE186" s="23">
        <v>42855</v>
      </c>
      <c r="BF186" s="23">
        <v>43039</v>
      </c>
      <c r="BG186" s="11" t="s">
        <v>312</v>
      </c>
      <c r="BH186" s="22">
        <v>364914</v>
      </c>
      <c r="BI186" s="11" t="s">
        <v>3589</v>
      </c>
      <c r="BJ186" s="11" t="s">
        <v>3573</v>
      </c>
      <c r="BK186" s="11" t="s">
        <v>3590</v>
      </c>
      <c r="BL186" s="11" t="s">
        <v>3569</v>
      </c>
      <c r="BM186" s="11" t="s">
        <v>1602</v>
      </c>
      <c r="BN186" s="11" t="s">
        <v>3591</v>
      </c>
      <c r="BO186" s="12" t="s">
        <v>319</v>
      </c>
      <c r="BP186" s="12" t="s">
        <v>320</v>
      </c>
      <c r="BQ186" s="12" t="s">
        <v>319</v>
      </c>
      <c r="BR186" s="11" t="s">
        <v>3592</v>
      </c>
      <c r="BS186" s="11" t="s">
        <v>357</v>
      </c>
      <c r="BT186" s="11" t="s">
        <v>3593</v>
      </c>
      <c r="BU186" s="11" t="s">
        <v>3594</v>
      </c>
      <c r="BV186" s="22">
        <v>3485</v>
      </c>
      <c r="BW186" s="22">
        <v>3485</v>
      </c>
      <c r="BX186" s="22">
        <v>6970</v>
      </c>
      <c r="BY186" s="22">
        <v>14400</v>
      </c>
      <c r="BZ186" s="22">
        <v>14400</v>
      </c>
      <c r="CA186" s="22">
        <v>28800</v>
      </c>
      <c r="CB186" s="15" t="s">
        <v>3595</v>
      </c>
      <c r="CJ186" s="11" t="s">
        <v>319</v>
      </c>
      <c r="CL186" s="18"/>
      <c r="CN186" s="11" t="s">
        <v>319</v>
      </c>
      <c r="CP186" s="18"/>
      <c r="CR186" s="11" t="s">
        <v>319</v>
      </c>
      <c r="CT186" s="18"/>
      <c r="CV186" s="11" t="s">
        <v>319</v>
      </c>
      <c r="CX186" s="18"/>
      <c r="CZ186" s="11" t="s">
        <v>319</v>
      </c>
      <c r="DB186" s="18"/>
      <c r="DD186" s="11" t="s">
        <v>319</v>
      </c>
      <c r="DF186" s="18"/>
      <c r="DH186" s="11" t="s">
        <v>319</v>
      </c>
      <c r="DJ186" s="18"/>
      <c r="DL186" s="11" t="s">
        <v>319</v>
      </c>
      <c r="DN186" s="18"/>
      <c r="DP186" s="11" t="s">
        <v>319</v>
      </c>
      <c r="DR186" s="18"/>
      <c r="DT186" s="11" t="s">
        <v>319</v>
      </c>
      <c r="DV186" s="18"/>
      <c r="DX186" s="11" t="s">
        <v>319</v>
      </c>
      <c r="DZ186" s="18"/>
      <c r="EB186" s="11" t="s">
        <v>319</v>
      </c>
      <c r="ED186" s="18"/>
      <c r="EG186" s="15" t="s">
        <v>319</v>
      </c>
      <c r="EI186" s="18"/>
      <c r="EK186" s="22">
        <v>3323</v>
      </c>
      <c r="EL186" s="22">
        <v>4034</v>
      </c>
      <c r="EM186" s="22">
        <v>7357</v>
      </c>
      <c r="EN186" s="22">
        <v>15007</v>
      </c>
      <c r="EO186" s="22">
        <v>18344</v>
      </c>
      <c r="EP186" s="22">
        <v>33351</v>
      </c>
      <c r="EQ186" s="12" t="s">
        <v>319</v>
      </c>
      <c r="ES186" s="18"/>
      <c r="EU186" s="11" t="s">
        <v>319</v>
      </c>
      <c r="EW186" s="18"/>
      <c r="EY186" s="12" t="s">
        <v>319</v>
      </c>
      <c r="FA186" s="18"/>
      <c r="FC186" s="12" t="s">
        <v>319</v>
      </c>
      <c r="FE186" s="18"/>
      <c r="FG186" s="12" t="s">
        <v>319</v>
      </c>
      <c r="FI186" s="18"/>
      <c r="FK186" s="12" t="s">
        <v>320</v>
      </c>
      <c r="FL186" s="22">
        <v>7357</v>
      </c>
      <c r="FM186" s="18">
        <v>0.45</v>
      </c>
      <c r="FN186" s="22">
        <v>33351</v>
      </c>
      <c r="FO186" s="11" t="s">
        <v>319</v>
      </c>
      <c r="FQ186" s="18"/>
      <c r="FS186" s="11" t="s">
        <v>319</v>
      </c>
      <c r="FU186" s="18"/>
      <c r="FW186" s="11" t="s">
        <v>319</v>
      </c>
      <c r="FY186" s="18"/>
      <c r="GA186" s="11" t="s">
        <v>319</v>
      </c>
      <c r="GC186" s="18"/>
      <c r="GE186" s="11" t="s">
        <v>319</v>
      </c>
      <c r="GG186" s="18"/>
      <c r="GI186" s="11" t="s">
        <v>319</v>
      </c>
      <c r="GK186" s="18"/>
      <c r="GM186" s="11" t="s">
        <v>320</v>
      </c>
      <c r="GN186" s="22">
        <v>36</v>
      </c>
      <c r="GO186" s="18">
        <v>0.67</v>
      </c>
      <c r="GQ186" s="11" t="s">
        <v>319</v>
      </c>
      <c r="GS186" s="18"/>
      <c r="GU186" s="11" t="s">
        <v>319</v>
      </c>
      <c r="GW186" s="18"/>
      <c r="GY186" s="11" t="s">
        <v>319</v>
      </c>
      <c r="HA186" s="18"/>
      <c r="HD186" s="11" t="s">
        <v>319</v>
      </c>
      <c r="HF186" s="18"/>
      <c r="HH186" s="11" t="s">
        <v>319</v>
      </c>
      <c r="HL186" s="11" t="s">
        <v>320</v>
      </c>
      <c r="HM186" s="11" t="s">
        <v>327</v>
      </c>
      <c r="HN186" s="11">
        <v>2017</v>
      </c>
      <c r="HP186" s="11" t="s">
        <v>330</v>
      </c>
      <c r="HQ186" s="11" t="s">
        <v>319</v>
      </c>
      <c r="HR186" s="11" t="s">
        <v>319</v>
      </c>
      <c r="HS186" s="11" t="s">
        <v>320</v>
      </c>
      <c r="HT186" s="11" t="s">
        <v>320</v>
      </c>
      <c r="HU186" s="11" t="s">
        <v>320</v>
      </c>
      <c r="HV186" s="11" t="s">
        <v>319</v>
      </c>
      <c r="HW186" s="11" t="s">
        <v>319</v>
      </c>
      <c r="HX186" s="11" t="s">
        <v>319</v>
      </c>
      <c r="HZ186" s="11" t="s">
        <v>363</v>
      </c>
      <c r="IB186" s="11" t="s">
        <v>667</v>
      </c>
      <c r="ID186" s="11" t="s">
        <v>364</v>
      </c>
      <c r="IE186" s="11" t="s">
        <v>335</v>
      </c>
      <c r="IF186" s="11" t="s">
        <v>320</v>
      </c>
      <c r="IG186" s="11" t="s">
        <v>319</v>
      </c>
      <c r="IH186" s="11" t="s">
        <v>320</v>
      </c>
      <c r="II186" s="11" t="s">
        <v>320</v>
      </c>
      <c r="IJ186" s="12" t="str">
        <f t="shared" si="87"/>
        <v>1. Neutral</v>
      </c>
      <c r="IK186" s="12">
        <f t="shared" si="88"/>
        <v>3</v>
      </c>
      <c r="IL186" s="11" t="s">
        <v>336</v>
      </c>
      <c r="IM186" s="11" t="s">
        <v>320</v>
      </c>
      <c r="IN186" s="11" t="s">
        <v>320</v>
      </c>
      <c r="IO186" s="11" t="s">
        <v>320</v>
      </c>
      <c r="IP186" s="11" t="s">
        <v>320</v>
      </c>
      <c r="IQ186" s="12" t="str">
        <f t="shared" si="89"/>
        <v>2. Accommodating</v>
      </c>
      <c r="IR186" s="12">
        <f t="shared" si="90"/>
        <v>4</v>
      </c>
      <c r="IS186" s="11" t="s">
        <v>337</v>
      </c>
      <c r="IT186" s="11" t="s">
        <v>320</v>
      </c>
      <c r="IU186" s="11" t="s">
        <v>319</v>
      </c>
      <c r="IV186" s="11" t="s">
        <v>320</v>
      </c>
      <c r="IW186" s="11" t="str">
        <f t="shared" si="91"/>
        <v>1. Neutral</v>
      </c>
      <c r="IX186" s="12">
        <f t="shared" si="92"/>
        <v>2</v>
      </c>
      <c r="IY186" s="11" t="s">
        <v>338</v>
      </c>
      <c r="IZ186" s="11" t="s">
        <v>457</v>
      </c>
      <c r="JA186" s="11">
        <v>4</v>
      </c>
      <c r="JB186" s="11" t="s">
        <v>687</v>
      </c>
      <c r="JC186" s="11" t="s">
        <v>433</v>
      </c>
      <c r="JE186" s="11" t="s">
        <v>340</v>
      </c>
      <c r="JF186" s="11" t="s">
        <v>3596</v>
      </c>
      <c r="JH186" s="11" t="s">
        <v>3597</v>
      </c>
      <c r="JI186" s="11" t="s">
        <v>3598</v>
      </c>
      <c r="JJ186" s="11" t="s">
        <v>3599</v>
      </c>
      <c r="JK186" s="11" t="s">
        <v>3600</v>
      </c>
      <c r="JL186" s="11" t="s">
        <v>3601</v>
      </c>
      <c r="JM186" s="11" t="s">
        <v>3602</v>
      </c>
      <c r="JP186" s="15">
        <f t="shared" si="93"/>
        <v>7357</v>
      </c>
      <c r="JQ186" s="15">
        <f t="shared" si="94"/>
        <v>33351</v>
      </c>
      <c r="JR186" s="279">
        <f t="shared" si="95"/>
        <v>4.5332336550224275</v>
      </c>
      <c r="JS186" s="17">
        <f t="shared" si="96"/>
        <v>0.4516786733722985</v>
      </c>
      <c r="JT186" s="18">
        <f t="shared" si="97"/>
        <v>0.44997151509699856</v>
      </c>
      <c r="JU186" s="280">
        <f t="shared" si="98"/>
        <v>3323</v>
      </c>
      <c r="JV186" s="280">
        <f t="shared" si="99"/>
        <v>15007</v>
      </c>
      <c r="JW186" s="319" t="str">
        <f t="shared" si="100"/>
        <v/>
      </c>
      <c r="JX186" s="15">
        <f t="shared" si="101"/>
        <v>0</v>
      </c>
      <c r="JY186" s="15">
        <f t="shared" si="102"/>
        <v>0</v>
      </c>
      <c r="JZ186" s="19" t="str">
        <f t="shared" si="103"/>
        <v/>
      </c>
      <c r="KA186" s="52" t="str">
        <f t="shared" si="104"/>
        <v/>
      </c>
      <c r="KB186" s="15">
        <f t="shared" si="105"/>
        <v>0</v>
      </c>
      <c r="KC186" s="15">
        <f t="shared" si="106"/>
        <v>0</v>
      </c>
      <c r="KD186" s="20" t="str">
        <f t="shared" si="107"/>
        <v/>
      </c>
      <c r="KE186" s="52" t="str">
        <f t="shared" si="108"/>
        <v/>
      </c>
      <c r="KF186" s="15">
        <f t="shared" si="109"/>
        <v>0</v>
      </c>
      <c r="KG186" s="15">
        <f t="shared" si="110"/>
        <v>0</v>
      </c>
      <c r="KH186" s="21" t="str">
        <f t="shared" si="111"/>
        <v/>
      </c>
      <c r="KI186" s="52" t="str">
        <f t="shared" si="112"/>
        <v/>
      </c>
      <c r="KJ186" s="15">
        <f t="shared" si="113"/>
        <v>0</v>
      </c>
      <c r="KK186" s="15">
        <f t="shared" si="114"/>
        <v>0</v>
      </c>
      <c r="KL186" s="19" t="str">
        <f t="shared" si="115"/>
        <v/>
      </c>
      <c r="KM186" s="52" t="str">
        <f t="shared" si="116"/>
        <v/>
      </c>
      <c r="KN186" s="22">
        <f t="shared" si="117"/>
        <v>0</v>
      </c>
      <c r="KO186" s="22">
        <f t="shared" si="118"/>
        <v>0</v>
      </c>
      <c r="KP186" s="19" t="str">
        <f t="shared" si="119"/>
        <v/>
      </c>
      <c r="KQ186" s="11" t="str">
        <f t="shared" si="120"/>
        <v>1. Neutral</v>
      </c>
      <c r="KR186" s="11" t="str">
        <f t="shared" si="121"/>
        <v>2. Accommodating</v>
      </c>
      <c r="KS186" s="11" t="str">
        <f t="shared" si="122"/>
        <v>1. Neutral</v>
      </c>
      <c r="KT186" s="11" t="str">
        <f t="shared" si="123"/>
        <v>It did not develop any specific innovation</v>
      </c>
      <c r="KU186" s="11" t="str">
        <f t="shared" si="124"/>
        <v>Moderate advocacy</v>
      </c>
      <c r="KV186" s="11" t="str">
        <f t="shared" si="125"/>
        <v>It took tested solutions to scale on its own</v>
      </c>
      <c r="KW186" s="11" t="str">
        <f t="shared" si="126"/>
        <v>Egypt - All Children Reading: Improving School Literacy Through Community Engagement</v>
      </c>
      <c r="KX186" s="11" t="str">
        <f t="shared" si="127"/>
        <v>All Children Reading: Improving School Literacy Through Community Engagement</v>
      </c>
      <c r="KY186" s="11" t="str">
        <f t="shared" si="128"/>
        <v>Egypt</v>
      </c>
      <c r="KZ186" s="12">
        <v>186</v>
      </c>
    </row>
    <row r="187" spans="1:312" x14ac:dyDescent="0.3">
      <c r="A187" s="11" t="s">
        <v>3546</v>
      </c>
      <c r="B187" s="11" t="s">
        <v>602</v>
      </c>
      <c r="D187" s="11" t="s">
        <v>3616</v>
      </c>
      <c r="E187" s="24" t="str">
        <f t="shared" si="86"/>
        <v>Egypt</v>
      </c>
      <c r="F187" s="11" t="s">
        <v>3617</v>
      </c>
      <c r="G187" s="11" t="s">
        <v>3618</v>
      </c>
      <c r="H187" s="11" t="s">
        <v>310</v>
      </c>
      <c r="I187" s="11" t="s">
        <v>907</v>
      </c>
      <c r="J187" s="278" t="s">
        <v>14621</v>
      </c>
      <c r="BD187" s="23">
        <v>42430</v>
      </c>
      <c r="BE187" s="23">
        <v>43159</v>
      </c>
      <c r="BG187" s="11" t="s">
        <v>609</v>
      </c>
      <c r="BH187" s="22">
        <v>326158</v>
      </c>
      <c r="BI187" s="11" t="s">
        <v>3619</v>
      </c>
      <c r="BJ187" s="11" t="s">
        <v>3620</v>
      </c>
      <c r="BK187" s="11" t="s">
        <v>3621</v>
      </c>
      <c r="BO187" s="12" t="s">
        <v>319</v>
      </c>
      <c r="BP187" s="12" t="s">
        <v>320</v>
      </c>
      <c r="BQ187" s="12" t="s">
        <v>319</v>
      </c>
      <c r="BR187" s="11" t="s">
        <v>3622</v>
      </c>
      <c r="BS187" s="11" t="s">
        <v>357</v>
      </c>
      <c r="BT187" s="11" t="s">
        <v>3623</v>
      </c>
      <c r="BU187" s="11" t="s">
        <v>3624</v>
      </c>
      <c r="BV187" s="22">
        <v>1500</v>
      </c>
      <c r="BW187" s="22">
        <v>4500</v>
      </c>
      <c r="BX187" s="22">
        <v>6000</v>
      </c>
      <c r="CB187" s="15" t="s">
        <v>3625</v>
      </c>
      <c r="CL187" s="18"/>
      <c r="CP187" s="18"/>
      <c r="CT187" s="18"/>
      <c r="CX187" s="18"/>
      <c r="DB187" s="18"/>
      <c r="DF187" s="18"/>
      <c r="DJ187" s="18"/>
      <c r="DN187" s="18"/>
      <c r="DR187" s="18"/>
      <c r="DV187" s="18"/>
      <c r="DZ187" s="18"/>
      <c r="ED187" s="18"/>
      <c r="EI187" s="18"/>
      <c r="EK187" s="22">
        <v>9</v>
      </c>
      <c r="EL187" s="22">
        <v>25</v>
      </c>
      <c r="EM187" s="22">
        <v>34</v>
      </c>
      <c r="EN187" s="22">
        <v>0</v>
      </c>
      <c r="EO187" s="22">
        <v>0</v>
      </c>
      <c r="EP187" s="22">
        <v>0</v>
      </c>
      <c r="ES187" s="18"/>
      <c r="EW187" s="18"/>
      <c r="FA187" s="18"/>
      <c r="FE187" s="18"/>
      <c r="FI187" s="18"/>
      <c r="FM187" s="18"/>
      <c r="FQ187" s="18"/>
      <c r="FS187" s="12" t="s">
        <v>320</v>
      </c>
      <c r="FT187" s="22">
        <v>34</v>
      </c>
      <c r="FU187" s="18">
        <v>0.26</v>
      </c>
      <c r="FW187" s="11" t="s">
        <v>320</v>
      </c>
      <c r="FY187" s="18"/>
      <c r="GC187" s="18"/>
      <c r="GG187" s="18"/>
      <c r="GK187" s="18"/>
      <c r="GO187" s="18"/>
      <c r="GS187" s="18"/>
      <c r="GW187" s="18"/>
      <c r="HA187" s="18"/>
      <c r="HF187" s="18"/>
      <c r="HH187" s="11" t="s">
        <v>320</v>
      </c>
      <c r="HI187" s="11" t="s">
        <v>416</v>
      </c>
      <c r="HJ187" s="11">
        <v>2016</v>
      </c>
      <c r="HK187" s="11" t="s">
        <v>320</v>
      </c>
      <c r="HL187" s="11" t="s">
        <v>320</v>
      </c>
      <c r="HM187" s="11" t="s">
        <v>560</v>
      </c>
      <c r="HN187" s="11">
        <v>2018</v>
      </c>
      <c r="HP187" s="11" t="s">
        <v>418</v>
      </c>
      <c r="HS187" s="11" t="s">
        <v>320</v>
      </c>
      <c r="HZ187" s="11" t="s">
        <v>394</v>
      </c>
      <c r="IA187" s="11" t="s">
        <v>3626</v>
      </c>
      <c r="IB187" s="11" t="s">
        <v>396</v>
      </c>
      <c r="IC187" s="11" t="s">
        <v>3627</v>
      </c>
      <c r="ID187" s="11" t="s">
        <v>477</v>
      </c>
      <c r="IE187" s="11" t="s">
        <v>478</v>
      </c>
      <c r="IF187" s="11" t="s">
        <v>320</v>
      </c>
      <c r="IG187" s="11" t="s">
        <v>320</v>
      </c>
      <c r="IH187" s="11" t="s">
        <v>320</v>
      </c>
      <c r="II187" s="11" t="s">
        <v>319</v>
      </c>
      <c r="IJ187" s="12" t="str">
        <f t="shared" si="87"/>
        <v>3. Responsive</v>
      </c>
      <c r="IK187" s="12">
        <f t="shared" si="88"/>
        <v>3</v>
      </c>
      <c r="IL187" s="11" t="s">
        <v>336</v>
      </c>
      <c r="IM187" s="11" t="s">
        <v>320</v>
      </c>
      <c r="IN187" s="11" t="s">
        <v>319</v>
      </c>
      <c r="IO187" s="11" t="s">
        <v>320</v>
      </c>
      <c r="IP187" s="11" t="s">
        <v>319</v>
      </c>
      <c r="IQ187" s="12" t="str">
        <f t="shared" si="89"/>
        <v>1. Tokenistic</v>
      </c>
      <c r="IR187" s="12">
        <f t="shared" si="90"/>
        <v>2</v>
      </c>
      <c r="IS187" s="11" t="s">
        <v>337</v>
      </c>
      <c r="IT187" s="11" t="s">
        <v>320</v>
      </c>
      <c r="IU187" s="11" t="s">
        <v>320</v>
      </c>
      <c r="IV187" s="11" t="s">
        <v>320</v>
      </c>
      <c r="IW187" s="11" t="str">
        <f t="shared" si="91"/>
        <v>2. Sensitive</v>
      </c>
      <c r="IX187" s="12">
        <f t="shared" si="92"/>
        <v>3</v>
      </c>
      <c r="IY187" s="11" t="s">
        <v>338</v>
      </c>
      <c r="IZ187" s="11" t="s">
        <v>457</v>
      </c>
      <c r="JA187" s="11">
        <v>4</v>
      </c>
      <c r="JB187" s="11" t="s">
        <v>624</v>
      </c>
      <c r="JE187" s="11" t="s">
        <v>340</v>
      </c>
      <c r="JF187" s="11" t="s">
        <v>3628</v>
      </c>
      <c r="JH187" s="11" t="s">
        <v>3616</v>
      </c>
      <c r="JI187" s="11" t="s">
        <v>3629</v>
      </c>
      <c r="JK187" s="11" t="s">
        <v>3630</v>
      </c>
      <c r="JL187" s="11" t="s">
        <v>3631</v>
      </c>
      <c r="JN187" s="11" t="s">
        <v>3632</v>
      </c>
      <c r="JP187" s="15">
        <f t="shared" si="93"/>
        <v>34</v>
      </c>
      <c r="JQ187" s="15">
        <f t="shared" si="94"/>
        <v>0</v>
      </c>
      <c r="JR187" s="279">
        <f t="shared" si="95"/>
        <v>0</v>
      </c>
      <c r="JS187" s="17">
        <f t="shared" si="96"/>
        <v>0.26470588235294118</v>
      </c>
      <c r="JT187" s="18" t="str">
        <f t="shared" si="97"/>
        <v/>
      </c>
      <c r="JU187" s="280">
        <f t="shared" si="98"/>
        <v>9</v>
      </c>
      <c r="JV187" s="280">
        <f t="shared" si="99"/>
        <v>0</v>
      </c>
      <c r="JW187" s="319" t="str">
        <f t="shared" si="100"/>
        <v/>
      </c>
      <c r="JX187" s="15">
        <f t="shared" si="101"/>
        <v>0</v>
      </c>
      <c r="JY187" s="15">
        <f t="shared" si="102"/>
        <v>0</v>
      </c>
      <c r="JZ187" s="19" t="str">
        <f t="shared" si="103"/>
        <v/>
      </c>
      <c r="KA187" s="52" t="str">
        <f t="shared" si="104"/>
        <v/>
      </c>
      <c r="KB187" s="15">
        <f t="shared" si="105"/>
        <v>0</v>
      </c>
      <c r="KC187" s="15">
        <f t="shared" si="106"/>
        <v>0</v>
      </c>
      <c r="KD187" s="20" t="str">
        <f t="shared" si="107"/>
        <v/>
      </c>
      <c r="KE187" s="52" t="str">
        <f t="shared" si="108"/>
        <v/>
      </c>
      <c r="KF187" s="15">
        <f t="shared" si="109"/>
        <v>0</v>
      </c>
      <c r="KG187" s="15">
        <f t="shared" si="110"/>
        <v>0</v>
      </c>
      <c r="KH187" s="21" t="str">
        <f t="shared" si="111"/>
        <v/>
      </c>
      <c r="KI187" s="52">
        <f t="shared" si="112"/>
        <v>1</v>
      </c>
      <c r="KJ187" s="15">
        <f t="shared" si="113"/>
        <v>34</v>
      </c>
      <c r="KK187" s="15">
        <f t="shared" si="114"/>
        <v>0</v>
      </c>
      <c r="KL187" s="19">
        <f t="shared" si="115"/>
        <v>0</v>
      </c>
      <c r="KM187" s="52" t="str">
        <f t="shared" si="116"/>
        <v/>
      </c>
      <c r="KN187" s="22">
        <f t="shared" si="117"/>
        <v>0</v>
      </c>
      <c r="KO187" s="22">
        <f t="shared" si="118"/>
        <v>0</v>
      </c>
      <c r="KP187" s="19" t="str">
        <f t="shared" si="119"/>
        <v/>
      </c>
      <c r="KQ187" s="11" t="str">
        <f t="shared" si="120"/>
        <v>3. Responsive</v>
      </c>
      <c r="KR187" s="11" t="str">
        <f t="shared" si="121"/>
        <v>1. Tokenistic</v>
      </c>
      <c r="KS187" s="11" t="str">
        <f t="shared" si="122"/>
        <v>2. Sensitive</v>
      </c>
      <c r="KT187" s="11" t="str">
        <f t="shared" si="123"/>
        <v>It tested new ways for fighting poverty, but did not measure results of innovation</v>
      </c>
      <c r="KU187" s="11" t="str">
        <f t="shared" si="124"/>
        <v>Little or no advocacy</v>
      </c>
      <c r="KV187" s="11" t="str">
        <f t="shared" si="125"/>
        <v>It linked and worked with strategic alliances and partners to take tested and effective solutions to scale</v>
      </c>
      <c r="KW187" s="11" t="str">
        <f t="shared" si="126"/>
        <v>Egypt - Engaging Men and Boys (EMB) in combatting GBV in Egypt</v>
      </c>
      <c r="KX187" s="11" t="str">
        <f t="shared" si="127"/>
        <v>Engaging Men and Boys (EMB) in combatting GBV in Egypt</v>
      </c>
      <c r="KY187" s="11" t="str">
        <f t="shared" si="128"/>
        <v>Egypt</v>
      </c>
      <c r="KZ187" s="12">
        <v>187</v>
      </c>
    </row>
    <row r="188" spans="1:312" x14ac:dyDescent="0.3">
      <c r="A188" s="11" t="s">
        <v>3546</v>
      </c>
      <c r="B188" s="11" t="s">
        <v>602</v>
      </c>
      <c r="D188" s="11" t="s">
        <v>3740</v>
      </c>
      <c r="E188" s="24" t="str">
        <f t="shared" si="86"/>
        <v>Egypt</v>
      </c>
      <c r="G188" s="11" t="s">
        <v>379</v>
      </c>
      <c r="H188" s="11" t="s">
        <v>383</v>
      </c>
      <c r="I188" s="11" t="s">
        <v>384</v>
      </c>
      <c r="J188" s="278" t="s">
        <v>3741</v>
      </c>
      <c r="K188" s="11">
        <v>2910</v>
      </c>
      <c r="L188" s="11" t="s">
        <v>608</v>
      </c>
      <c r="M188" s="11" t="s">
        <v>380</v>
      </c>
      <c r="N188" s="11" t="s">
        <v>381</v>
      </c>
      <c r="O188" s="278" t="s">
        <v>14573</v>
      </c>
      <c r="P188" s="11">
        <v>2910</v>
      </c>
      <c r="Q188" s="11" t="s">
        <v>608</v>
      </c>
      <c r="R188" s="11" t="s">
        <v>310</v>
      </c>
      <c r="S188" s="11" t="s">
        <v>3742</v>
      </c>
      <c r="T188" s="11" t="s">
        <v>3743</v>
      </c>
      <c r="V188" s="11" t="s">
        <v>608</v>
      </c>
      <c r="W188" s="11" t="s">
        <v>383</v>
      </c>
      <c r="X188" s="11" t="s">
        <v>384</v>
      </c>
      <c r="Y188" s="11" t="s">
        <v>3744</v>
      </c>
      <c r="BD188" s="23">
        <v>42461</v>
      </c>
      <c r="BE188" s="23">
        <v>43647</v>
      </c>
      <c r="BG188" s="11" t="s">
        <v>312</v>
      </c>
      <c r="BH188" s="22">
        <v>3295417</v>
      </c>
      <c r="BI188" s="11" t="s">
        <v>3569</v>
      </c>
      <c r="BJ188" s="11" t="s">
        <v>3570</v>
      </c>
      <c r="BK188" s="11" t="s">
        <v>3571</v>
      </c>
      <c r="BL188" s="11" t="s">
        <v>3745</v>
      </c>
      <c r="BM188" s="11" t="s">
        <v>3573</v>
      </c>
      <c r="BN188" s="11" t="s">
        <v>3746</v>
      </c>
      <c r="BO188" s="12" t="s">
        <v>319</v>
      </c>
      <c r="BP188" s="12" t="s">
        <v>320</v>
      </c>
      <c r="BQ188" s="12" t="s">
        <v>319</v>
      </c>
      <c r="BR188" s="11" t="s">
        <v>3747</v>
      </c>
      <c r="BS188" s="11" t="s">
        <v>357</v>
      </c>
      <c r="BT188" s="11" t="s">
        <v>3748</v>
      </c>
      <c r="BU188" s="11" t="s">
        <v>3749</v>
      </c>
      <c r="BV188" s="22">
        <v>8304</v>
      </c>
      <c r="BW188" s="22">
        <v>8315</v>
      </c>
      <c r="BX188" s="22">
        <v>16619</v>
      </c>
      <c r="BY188" s="22">
        <v>18720</v>
      </c>
      <c r="BZ188" s="22">
        <v>18720</v>
      </c>
      <c r="CA188" s="22">
        <v>37440</v>
      </c>
      <c r="CB188" s="15" t="s">
        <v>3750</v>
      </c>
      <c r="CL188" s="18"/>
      <c r="CP188" s="18"/>
      <c r="CT188" s="18"/>
      <c r="CX188" s="18"/>
      <c r="DB188" s="18"/>
      <c r="DF188" s="18"/>
      <c r="DJ188" s="18"/>
      <c r="DN188" s="18"/>
      <c r="DR188" s="18"/>
      <c r="DV188" s="18"/>
      <c r="DZ188" s="18"/>
      <c r="ED188" s="18"/>
      <c r="EI188" s="18"/>
      <c r="EM188" s="22">
        <v>15222</v>
      </c>
      <c r="EN188" s="22">
        <v>5329</v>
      </c>
      <c r="EO188" s="22">
        <v>5000</v>
      </c>
      <c r="EP188" s="22">
        <v>10329</v>
      </c>
      <c r="EQ188" s="12" t="s">
        <v>319</v>
      </c>
      <c r="ES188" s="18"/>
      <c r="EU188" s="11" t="s">
        <v>319</v>
      </c>
      <c r="EW188" s="18"/>
      <c r="EY188" s="12" t="s">
        <v>319</v>
      </c>
      <c r="FA188" s="18"/>
      <c r="FC188" s="12" t="s">
        <v>319</v>
      </c>
      <c r="FE188" s="18"/>
      <c r="FG188" s="12" t="s">
        <v>319</v>
      </c>
      <c r="FI188" s="18"/>
      <c r="FK188" s="12" t="s">
        <v>320</v>
      </c>
      <c r="FL188" s="22">
        <v>15122</v>
      </c>
      <c r="FM188" s="18"/>
      <c r="FN188" s="22">
        <v>329</v>
      </c>
      <c r="FO188" s="11" t="s">
        <v>319</v>
      </c>
      <c r="FQ188" s="18"/>
      <c r="FS188" s="11" t="s">
        <v>319</v>
      </c>
      <c r="FU188" s="18"/>
      <c r="FW188" s="11" t="s">
        <v>319</v>
      </c>
      <c r="FY188" s="18"/>
      <c r="GA188" s="11" t="s">
        <v>319</v>
      </c>
      <c r="GC188" s="18"/>
      <c r="GE188" s="11" t="s">
        <v>319</v>
      </c>
      <c r="GG188" s="18"/>
      <c r="GI188" s="11" t="s">
        <v>319</v>
      </c>
      <c r="GK188" s="18"/>
      <c r="GM188" s="11" t="s">
        <v>319</v>
      </c>
      <c r="GO188" s="18"/>
      <c r="GQ188" s="11" t="s">
        <v>319</v>
      </c>
      <c r="GS188" s="18"/>
      <c r="GU188" s="12" t="s">
        <v>320</v>
      </c>
      <c r="GV188" s="22">
        <v>10579</v>
      </c>
      <c r="GW188" s="18"/>
      <c r="GX188" s="22">
        <v>10000</v>
      </c>
      <c r="HA188" s="18"/>
      <c r="HF188" s="18"/>
      <c r="HH188" s="11" t="s">
        <v>320</v>
      </c>
      <c r="HI188" s="11" t="s">
        <v>328</v>
      </c>
      <c r="HJ188" s="11">
        <v>2016</v>
      </c>
      <c r="HK188" s="11" t="s">
        <v>320</v>
      </c>
      <c r="HL188" s="11" t="s">
        <v>320</v>
      </c>
      <c r="HM188" s="11" t="s">
        <v>361</v>
      </c>
      <c r="HN188" s="11">
        <v>2017</v>
      </c>
      <c r="HO188" s="11" t="s">
        <v>3751</v>
      </c>
      <c r="HP188" s="11" t="s">
        <v>453</v>
      </c>
      <c r="HQ188" s="11" t="s">
        <v>319</v>
      </c>
      <c r="HR188" s="11" t="s">
        <v>320</v>
      </c>
      <c r="HS188" s="11" t="s">
        <v>320</v>
      </c>
      <c r="HT188" s="11" t="s">
        <v>320</v>
      </c>
      <c r="HU188" s="11" t="s">
        <v>320</v>
      </c>
      <c r="HV188" s="11" t="s">
        <v>319</v>
      </c>
      <c r="HW188" s="11" t="s">
        <v>319</v>
      </c>
      <c r="HX188" s="11" t="s">
        <v>319</v>
      </c>
      <c r="HZ188" s="11" t="s">
        <v>394</v>
      </c>
      <c r="IA188" s="11" t="s">
        <v>3752</v>
      </c>
      <c r="IB188" s="11" t="s">
        <v>396</v>
      </c>
      <c r="IC188" s="11" t="s">
        <v>3753</v>
      </c>
      <c r="ID188" s="11" t="s">
        <v>334</v>
      </c>
      <c r="IE188" s="11" t="s">
        <v>478</v>
      </c>
      <c r="IF188" s="11" t="s">
        <v>320</v>
      </c>
      <c r="IG188" s="11" t="s">
        <v>320</v>
      </c>
      <c r="IH188" s="11" t="s">
        <v>319</v>
      </c>
      <c r="II188" s="11" t="s">
        <v>319</v>
      </c>
      <c r="IJ188" s="12" t="str">
        <f t="shared" si="87"/>
        <v>3. Responsive</v>
      </c>
      <c r="IK188" s="12">
        <f t="shared" si="88"/>
        <v>2</v>
      </c>
      <c r="IL188" s="11" t="s">
        <v>336</v>
      </c>
      <c r="IM188" s="11" t="s">
        <v>320</v>
      </c>
      <c r="IN188" s="11" t="s">
        <v>320</v>
      </c>
      <c r="IO188" s="11" t="s">
        <v>320</v>
      </c>
      <c r="IP188" s="11" t="s">
        <v>320</v>
      </c>
      <c r="IQ188" s="12" t="str">
        <f t="shared" si="89"/>
        <v>2. Accommodating</v>
      </c>
      <c r="IR188" s="12">
        <f t="shared" si="90"/>
        <v>4</v>
      </c>
      <c r="IS188" s="11" t="s">
        <v>337</v>
      </c>
      <c r="IT188" s="11" t="s">
        <v>320</v>
      </c>
      <c r="IU188" s="11" t="s">
        <v>320</v>
      </c>
      <c r="IV188" s="11" t="s">
        <v>319</v>
      </c>
      <c r="IW188" s="11" t="str">
        <f t="shared" si="91"/>
        <v>1. Neutral</v>
      </c>
      <c r="IX188" s="12">
        <f t="shared" si="92"/>
        <v>2</v>
      </c>
      <c r="IY188" s="11" t="s">
        <v>338</v>
      </c>
      <c r="IZ188" s="11" t="s">
        <v>432</v>
      </c>
      <c r="JA188" s="11">
        <v>3</v>
      </c>
      <c r="JB188" s="11" t="s">
        <v>623</v>
      </c>
      <c r="JC188" s="11" t="s">
        <v>687</v>
      </c>
      <c r="JD188" s="11" t="s">
        <v>624</v>
      </c>
      <c r="JE188" s="11" t="s">
        <v>365</v>
      </c>
      <c r="JF188" s="11" t="s">
        <v>3754</v>
      </c>
      <c r="JG188" s="11" t="s">
        <v>3755</v>
      </c>
      <c r="JH188" s="11" t="s">
        <v>3756</v>
      </c>
      <c r="JI188" s="11" t="s">
        <v>3757</v>
      </c>
      <c r="JJ188" s="11" t="s">
        <v>3758</v>
      </c>
      <c r="JK188" s="11" t="s">
        <v>3759</v>
      </c>
      <c r="JL188" s="11" t="s">
        <v>3760</v>
      </c>
      <c r="JM188" s="11" t="s">
        <v>3761</v>
      </c>
      <c r="JP188" s="15">
        <f t="shared" si="93"/>
        <v>15222</v>
      </c>
      <c r="JQ188" s="15">
        <f t="shared" si="94"/>
        <v>10329</v>
      </c>
      <c r="JR188" s="279">
        <f t="shared" si="95"/>
        <v>0.67855735120220728</v>
      </c>
      <c r="JS188" s="17">
        <f t="shared" si="96"/>
        <v>0</v>
      </c>
      <c r="JT188" s="18">
        <f t="shared" si="97"/>
        <v>0.51592603349791843</v>
      </c>
      <c r="JU188" s="280">
        <f t="shared" si="98"/>
        <v>0</v>
      </c>
      <c r="JV188" s="280">
        <f t="shared" si="99"/>
        <v>5329</v>
      </c>
      <c r="JW188" s="319" t="str">
        <f t="shared" si="100"/>
        <v/>
      </c>
      <c r="JX188" s="15">
        <f t="shared" si="101"/>
        <v>0</v>
      </c>
      <c r="JY188" s="15">
        <f t="shared" si="102"/>
        <v>0</v>
      </c>
      <c r="JZ188" s="19" t="str">
        <f t="shared" si="103"/>
        <v/>
      </c>
      <c r="KA188" s="52">
        <f t="shared" si="104"/>
        <v>1</v>
      </c>
      <c r="KB188" s="15">
        <f t="shared" si="105"/>
        <v>10579</v>
      </c>
      <c r="KC188" s="15">
        <f t="shared" si="106"/>
        <v>10000</v>
      </c>
      <c r="KD188" s="20">
        <f t="shared" si="107"/>
        <v>0.94526892901030346</v>
      </c>
      <c r="KE188" s="52" t="str">
        <f t="shared" si="108"/>
        <v/>
      </c>
      <c r="KF188" s="15">
        <f t="shared" si="109"/>
        <v>0</v>
      </c>
      <c r="KG188" s="15">
        <f t="shared" si="110"/>
        <v>0</v>
      </c>
      <c r="KH188" s="21" t="str">
        <f t="shared" si="111"/>
        <v/>
      </c>
      <c r="KI188" s="52" t="str">
        <f t="shared" si="112"/>
        <v/>
      </c>
      <c r="KJ188" s="15">
        <f t="shared" si="113"/>
        <v>0</v>
      </c>
      <c r="KK188" s="15">
        <f t="shared" si="114"/>
        <v>0</v>
      </c>
      <c r="KL188" s="19" t="str">
        <f t="shared" si="115"/>
        <v/>
      </c>
      <c r="KM188" s="52" t="str">
        <f t="shared" si="116"/>
        <v/>
      </c>
      <c r="KN188" s="22">
        <f t="shared" si="117"/>
        <v>0</v>
      </c>
      <c r="KO188" s="22">
        <f t="shared" si="118"/>
        <v>0</v>
      </c>
      <c r="KP188" s="19" t="str">
        <f t="shared" si="119"/>
        <v/>
      </c>
      <c r="KQ188" s="11" t="str">
        <f t="shared" si="120"/>
        <v>3. Responsive</v>
      </c>
      <c r="KR188" s="11" t="str">
        <f t="shared" si="121"/>
        <v>2. Accommodating</v>
      </c>
      <c r="KS188" s="11" t="str">
        <f t="shared" si="122"/>
        <v>1. Neutral</v>
      </c>
      <c r="KT188" s="11" t="str">
        <f t="shared" si="123"/>
        <v>It tested new ways for fighting poverty, but did not measure results of innovation</v>
      </c>
      <c r="KU188" s="11" t="str">
        <f t="shared" si="124"/>
        <v>Intensive advocacy</v>
      </c>
      <c r="KV188" s="11" t="str">
        <f t="shared" si="125"/>
        <v>It linked and worked with strategic alliances and partners to take tested and effective solutions to scale</v>
      </c>
      <c r="KW188" s="11" t="str">
        <f t="shared" si="126"/>
        <v>Egypt - Ensuring Supportive and Safe Quality Education for Girls</v>
      </c>
      <c r="KX188" s="11" t="str">
        <f t="shared" si="127"/>
        <v>Ensuring Supportive and Safe Quality Education for Girls</v>
      </c>
      <c r="KY188" s="11" t="str">
        <f t="shared" si="128"/>
        <v>Egypt</v>
      </c>
      <c r="KZ188" s="12">
        <v>188</v>
      </c>
    </row>
    <row r="189" spans="1:312" x14ac:dyDescent="0.3">
      <c r="A189" s="11" t="s">
        <v>3546</v>
      </c>
      <c r="B189" s="11" t="s">
        <v>602</v>
      </c>
      <c r="C189" s="11">
        <v>2915</v>
      </c>
      <c r="D189" s="11" t="s">
        <v>3633</v>
      </c>
      <c r="E189" s="24" t="str">
        <f t="shared" si="86"/>
        <v>Egypt</v>
      </c>
      <c r="F189" s="11" t="s">
        <v>3634</v>
      </c>
      <c r="G189" s="11" t="s">
        <v>3618</v>
      </c>
      <c r="H189" s="11" t="s">
        <v>380</v>
      </c>
      <c r="I189" s="11" t="s">
        <v>381</v>
      </c>
      <c r="J189" s="278" t="s">
        <v>14573</v>
      </c>
      <c r="K189" s="11" t="s">
        <v>3635</v>
      </c>
      <c r="L189" s="11" t="s">
        <v>3618</v>
      </c>
      <c r="M189" s="11" t="s">
        <v>380</v>
      </c>
      <c r="N189" s="11" t="s">
        <v>381</v>
      </c>
      <c r="O189" s="278" t="s">
        <v>14573</v>
      </c>
      <c r="BD189" s="23">
        <v>41579</v>
      </c>
      <c r="BE189" s="23">
        <v>43008</v>
      </c>
      <c r="BG189" s="11" t="s">
        <v>350</v>
      </c>
      <c r="BH189" s="22">
        <v>1152099</v>
      </c>
      <c r="BI189" s="11" t="s">
        <v>3619</v>
      </c>
      <c r="BJ189" s="11" t="s">
        <v>3620</v>
      </c>
      <c r="BK189" s="11" t="s">
        <v>3621</v>
      </c>
      <c r="BL189" s="11" t="s">
        <v>3636</v>
      </c>
      <c r="BM189" s="11" t="s">
        <v>3637</v>
      </c>
      <c r="BN189" s="11" t="s">
        <v>3638</v>
      </c>
      <c r="BO189" s="12" t="s">
        <v>319</v>
      </c>
      <c r="BP189" s="12" t="s">
        <v>320</v>
      </c>
      <c r="BQ189" s="12" t="s">
        <v>319</v>
      </c>
      <c r="BR189" s="11" t="s">
        <v>3639</v>
      </c>
      <c r="BS189" s="11" t="s">
        <v>357</v>
      </c>
      <c r="BT189" s="11" t="s">
        <v>3640</v>
      </c>
      <c r="BU189" s="11" t="s">
        <v>3641</v>
      </c>
      <c r="BV189" s="22">
        <v>10000</v>
      </c>
      <c r="BW189" s="22">
        <v>0</v>
      </c>
      <c r="BX189" s="22">
        <v>10000</v>
      </c>
      <c r="BY189" s="22">
        <v>40000</v>
      </c>
      <c r="BZ189" s="22">
        <v>0</v>
      </c>
      <c r="CA189" s="22">
        <v>40000</v>
      </c>
      <c r="CB189" s="15" t="s">
        <v>3642</v>
      </c>
      <c r="CL189" s="18"/>
      <c r="CP189" s="18"/>
      <c r="CT189" s="18"/>
      <c r="CX189" s="18"/>
      <c r="DB189" s="18"/>
      <c r="DF189" s="18"/>
      <c r="DJ189" s="18"/>
      <c r="DN189" s="18"/>
      <c r="DR189" s="18"/>
      <c r="DV189" s="18"/>
      <c r="DZ189" s="18"/>
      <c r="ED189" s="18"/>
      <c r="EI189" s="18"/>
      <c r="EK189" s="22">
        <v>13876</v>
      </c>
      <c r="EL189" s="22">
        <v>769</v>
      </c>
      <c r="EM189" s="22">
        <v>14645</v>
      </c>
      <c r="EN189" s="22">
        <v>55504</v>
      </c>
      <c r="EO189" s="22">
        <v>3076</v>
      </c>
      <c r="EP189" s="22">
        <v>58580</v>
      </c>
      <c r="ES189" s="18"/>
      <c r="EW189" s="18"/>
      <c r="FA189" s="18"/>
      <c r="FE189" s="18"/>
      <c r="FI189" s="18"/>
      <c r="FM189" s="18"/>
      <c r="FQ189" s="18"/>
      <c r="FU189" s="18"/>
      <c r="FY189" s="18"/>
      <c r="GC189" s="18"/>
      <c r="GG189" s="18"/>
      <c r="GK189" s="18"/>
      <c r="GO189" s="18"/>
      <c r="GS189" s="18"/>
      <c r="GW189" s="18"/>
      <c r="GY189" s="11" t="s">
        <v>320</v>
      </c>
      <c r="GZ189" s="22">
        <v>14645</v>
      </c>
      <c r="HA189" s="18">
        <v>0.95</v>
      </c>
      <c r="HB189" s="22">
        <v>65580</v>
      </c>
      <c r="HF189" s="18"/>
      <c r="HH189" s="11" t="s">
        <v>320</v>
      </c>
      <c r="HI189" s="11" t="s">
        <v>416</v>
      </c>
      <c r="HJ189" s="11">
        <v>2017</v>
      </c>
      <c r="HK189" s="11" t="s">
        <v>320</v>
      </c>
      <c r="HL189" s="11" t="s">
        <v>319</v>
      </c>
      <c r="HP189" s="11" t="s">
        <v>418</v>
      </c>
      <c r="HS189" s="11" t="s">
        <v>320</v>
      </c>
      <c r="HZ189" s="11" t="s">
        <v>331</v>
      </c>
      <c r="IB189" s="11" t="s">
        <v>333</v>
      </c>
      <c r="ID189" s="11" t="s">
        <v>334</v>
      </c>
      <c r="IE189" s="11" t="s">
        <v>478</v>
      </c>
      <c r="IF189" s="11" t="s">
        <v>320</v>
      </c>
      <c r="IG189" s="11" t="s">
        <v>320</v>
      </c>
      <c r="IH189" s="11" t="s">
        <v>320</v>
      </c>
      <c r="II189" s="11" t="s">
        <v>320</v>
      </c>
      <c r="IJ189" s="12" t="str">
        <f t="shared" si="87"/>
        <v>4. Transformative</v>
      </c>
      <c r="IK189" s="12">
        <f t="shared" si="88"/>
        <v>4</v>
      </c>
      <c r="IL189" s="11" t="s">
        <v>336</v>
      </c>
      <c r="IM189" s="11" t="s">
        <v>320</v>
      </c>
      <c r="IN189" s="11" t="s">
        <v>320</v>
      </c>
      <c r="IO189" s="11" t="s">
        <v>320</v>
      </c>
      <c r="IP189" s="11" t="s">
        <v>319</v>
      </c>
      <c r="IQ189" s="12" t="str">
        <f t="shared" si="89"/>
        <v>2. Accommodating</v>
      </c>
      <c r="IR189" s="12">
        <f t="shared" si="90"/>
        <v>3</v>
      </c>
      <c r="IS189" s="11" t="s">
        <v>337</v>
      </c>
      <c r="IT189" s="11" t="s">
        <v>319</v>
      </c>
      <c r="IU189" s="11" t="s">
        <v>320</v>
      </c>
      <c r="IV189" s="11" t="s">
        <v>320</v>
      </c>
      <c r="IW189" s="11" t="str">
        <f t="shared" si="91"/>
        <v>1. Neutral</v>
      </c>
      <c r="IX189" s="12">
        <f t="shared" si="92"/>
        <v>2</v>
      </c>
      <c r="IY189" s="11" t="s">
        <v>338</v>
      </c>
      <c r="IZ189" s="11" t="s">
        <v>527</v>
      </c>
      <c r="JA189" s="11">
        <v>2</v>
      </c>
      <c r="JB189" s="11" t="s">
        <v>624</v>
      </c>
      <c r="JH189" s="11" t="s">
        <v>3643</v>
      </c>
      <c r="JI189" s="11" t="s">
        <v>3644</v>
      </c>
      <c r="JJ189" s="11" t="s">
        <v>3645</v>
      </c>
      <c r="JK189" s="11" t="s">
        <v>3646</v>
      </c>
      <c r="JL189" s="11" t="s">
        <v>3647</v>
      </c>
      <c r="JM189" s="11" t="s">
        <v>3648</v>
      </c>
      <c r="JN189" s="11" t="s">
        <v>3649</v>
      </c>
      <c r="JP189" s="15">
        <f t="shared" si="93"/>
        <v>14645</v>
      </c>
      <c r="JQ189" s="15">
        <f t="shared" si="94"/>
        <v>58580</v>
      </c>
      <c r="JR189" s="279">
        <f t="shared" si="95"/>
        <v>4</v>
      </c>
      <c r="JS189" s="17">
        <f t="shared" si="96"/>
        <v>0.94749061113007849</v>
      </c>
      <c r="JT189" s="18">
        <f t="shared" si="97"/>
        <v>0.94749061113007849</v>
      </c>
      <c r="JU189" s="280">
        <f t="shared" si="98"/>
        <v>13876</v>
      </c>
      <c r="JV189" s="280">
        <f t="shared" si="99"/>
        <v>55504</v>
      </c>
      <c r="JW189" s="319" t="str">
        <f t="shared" si="100"/>
        <v/>
      </c>
      <c r="JX189" s="15">
        <f t="shared" si="101"/>
        <v>0</v>
      </c>
      <c r="JY189" s="15">
        <f t="shared" si="102"/>
        <v>0</v>
      </c>
      <c r="JZ189" s="19" t="str">
        <f t="shared" si="103"/>
        <v/>
      </c>
      <c r="KA189" s="52" t="str">
        <f t="shared" si="104"/>
        <v/>
      </c>
      <c r="KB189" s="15">
        <f t="shared" si="105"/>
        <v>0</v>
      </c>
      <c r="KC189" s="15">
        <f t="shared" si="106"/>
        <v>0</v>
      </c>
      <c r="KD189" s="20" t="str">
        <f t="shared" si="107"/>
        <v/>
      </c>
      <c r="KE189" s="52" t="str">
        <f t="shared" si="108"/>
        <v/>
      </c>
      <c r="KF189" s="15">
        <f t="shared" si="109"/>
        <v>0</v>
      </c>
      <c r="KG189" s="15">
        <f t="shared" si="110"/>
        <v>0</v>
      </c>
      <c r="KH189" s="21" t="str">
        <f t="shared" si="111"/>
        <v/>
      </c>
      <c r="KI189" s="52" t="str">
        <f t="shared" si="112"/>
        <v/>
      </c>
      <c r="KJ189" s="15">
        <f t="shared" si="113"/>
        <v>0</v>
      </c>
      <c r="KK189" s="15">
        <f t="shared" si="114"/>
        <v>0</v>
      </c>
      <c r="KL189" s="19" t="str">
        <f t="shared" si="115"/>
        <v/>
      </c>
      <c r="KM189" s="52">
        <f t="shared" si="116"/>
        <v>1</v>
      </c>
      <c r="KN189" s="22">
        <f t="shared" si="117"/>
        <v>14645</v>
      </c>
      <c r="KO189" s="22">
        <f t="shared" si="118"/>
        <v>65580</v>
      </c>
      <c r="KP189" s="19">
        <f t="shared" si="119"/>
        <v>4.477978832365995</v>
      </c>
      <c r="KQ189" s="11" t="str">
        <f t="shared" si="120"/>
        <v>4. Transformative</v>
      </c>
      <c r="KR189" s="11" t="str">
        <f t="shared" si="121"/>
        <v>2. Accommodating</v>
      </c>
      <c r="KS189" s="11" t="str">
        <f t="shared" si="122"/>
        <v>1. Neutral</v>
      </c>
      <c r="KT189" s="11" t="str">
        <f t="shared" si="123"/>
        <v>It tested new ways for fighting poverty and measured results of innovation</v>
      </c>
      <c r="KU189" s="11" t="str">
        <f t="shared" si="124"/>
        <v>Little or no advocacy</v>
      </c>
      <c r="KV189" s="11" t="str">
        <f t="shared" si="125"/>
        <v>It did not take tested solutions to scale</v>
      </c>
      <c r="KW189" s="11" t="str">
        <f t="shared" si="126"/>
        <v>Egypt - Human Security through Inclusive Socioeconomic Development in Upper Egypt: 2915
Kadam ElKhier: 2916</v>
      </c>
      <c r="KX189" s="11" t="str">
        <f t="shared" si="127"/>
        <v>Human Security through Inclusive Socioeconomic Development in Upper Egypt: 2915
Kadam ElKhier: 2916</v>
      </c>
      <c r="KY189" s="11" t="str">
        <f t="shared" si="128"/>
        <v>Egypt</v>
      </c>
      <c r="KZ189" s="12">
        <v>189</v>
      </c>
    </row>
    <row r="190" spans="1:312" x14ac:dyDescent="0.3">
      <c r="A190" s="11" t="s">
        <v>3546</v>
      </c>
      <c r="B190" s="11" t="s">
        <v>602</v>
      </c>
      <c r="C190" s="11">
        <v>2908</v>
      </c>
      <c r="D190" s="11" t="s">
        <v>3568</v>
      </c>
      <c r="E190" s="24" t="str">
        <f t="shared" si="86"/>
        <v>Egypt</v>
      </c>
      <c r="F190" s="11">
        <v>2908</v>
      </c>
      <c r="G190" s="11" t="s">
        <v>376</v>
      </c>
      <c r="H190" s="11" t="s">
        <v>310</v>
      </c>
      <c r="I190" s="11" t="s">
        <v>377</v>
      </c>
      <c r="J190" s="278" t="s">
        <v>14564</v>
      </c>
      <c r="BD190" s="23">
        <v>42095</v>
      </c>
      <c r="BE190" s="23">
        <v>42887</v>
      </c>
      <c r="BF190" s="23">
        <v>43191</v>
      </c>
      <c r="BG190" s="11" t="s">
        <v>312</v>
      </c>
      <c r="BH190" s="22">
        <v>1784569</v>
      </c>
      <c r="BI190" s="11" t="s">
        <v>3569</v>
      </c>
      <c r="BJ190" s="11" t="s">
        <v>3570</v>
      </c>
      <c r="BK190" s="11" t="s">
        <v>3571</v>
      </c>
      <c r="BL190" s="11" t="s">
        <v>3572</v>
      </c>
      <c r="BM190" s="11" t="s">
        <v>3573</v>
      </c>
      <c r="BN190" s="11" t="s">
        <v>3574</v>
      </c>
      <c r="BO190" s="11" t="s">
        <v>320</v>
      </c>
      <c r="BP190" s="11" t="s">
        <v>320</v>
      </c>
      <c r="BQ190" s="11" t="s">
        <v>320</v>
      </c>
      <c r="BR190" s="11" t="s">
        <v>3575</v>
      </c>
      <c r="BS190" s="11" t="s">
        <v>357</v>
      </c>
      <c r="BT190" s="11" t="s">
        <v>3576</v>
      </c>
      <c r="BU190" s="11" t="s">
        <v>3577</v>
      </c>
      <c r="BV190" s="22">
        <v>13016</v>
      </c>
      <c r="BW190" s="22">
        <v>13128</v>
      </c>
      <c r="BX190" s="22">
        <v>26144</v>
      </c>
      <c r="BY190" s="22">
        <v>18538</v>
      </c>
      <c r="BZ190" s="22">
        <v>18538</v>
      </c>
      <c r="CA190" s="22">
        <v>37076</v>
      </c>
      <c r="CB190" s="15" t="s">
        <v>3578</v>
      </c>
      <c r="CD190" s="22">
        <v>2314</v>
      </c>
      <c r="CE190" s="22">
        <v>2072</v>
      </c>
      <c r="CF190" s="22">
        <v>4386</v>
      </c>
      <c r="CG190" s="22">
        <v>5242</v>
      </c>
      <c r="CH190" s="22">
        <v>4838</v>
      </c>
      <c r="CI190" s="22">
        <v>10080</v>
      </c>
      <c r="CL190" s="18"/>
      <c r="CP190" s="18"/>
      <c r="CR190" s="11" t="s">
        <v>320</v>
      </c>
      <c r="CS190" s="22">
        <v>4386</v>
      </c>
      <c r="CT190" s="18">
        <v>0.52</v>
      </c>
      <c r="CX190" s="18"/>
      <c r="DB190" s="18"/>
      <c r="DF190" s="18"/>
      <c r="DJ190" s="18"/>
      <c r="DN190" s="18"/>
      <c r="DR190" s="18"/>
      <c r="DV190" s="18"/>
      <c r="DZ190" s="18"/>
      <c r="EB190" s="11" t="s">
        <v>320</v>
      </c>
      <c r="EC190" s="22">
        <v>4386</v>
      </c>
      <c r="ED190" s="18">
        <v>0.52</v>
      </c>
      <c r="EE190" s="22">
        <v>10080</v>
      </c>
      <c r="EI190" s="18"/>
      <c r="EK190" s="22">
        <v>2543</v>
      </c>
      <c r="EL190" s="22">
        <v>2516</v>
      </c>
      <c r="EM190" s="22">
        <v>5059</v>
      </c>
      <c r="EN190" s="22">
        <v>11659</v>
      </c>
      <c r="EO190" s="22">
        <v>12219</v>
      </c>
      <c r="EP190" s="22">
        <v>23878</v>
      </c>
      <c r="EQ190" s="12" t="s">
        <v>319</v>
      </c>
      <c r="ES190" s="18"/>
      <c r="EU190" s="11" t="s">
        <v>319</v>
      </c>
      <c r="EW190" s="18"/>
      <c r="EY190" s="12" t="s">
        <v>319</v>
      </c>
      <c r="FA190" s="18"/>
      <c r="FC190" s="12" t="s">
        <v>319</v>
      </c>
      <c r="FE190" s="18"/>
      <c r="FG190" s="12" t="s">
        <v>319</v>
      </c>
      <c r="FI190" s="18"/>
      <c r="FK190" s="12" t="s">
        <v>320</v>
      </c>
      <c r="FL190" s="22">
        <v>5059</v>
      </c>
      <c r="FM190" s="18"/>
      <c r="FN190" s="22">
        <v>356</v>
      </c>
      <c r="FO190" s="11" t="s">
        <v>319</v>
      </c>
      <c r="FQ190" s="18"/>
      <c r="FS190" s="11" t="s">
        <v>319</v>
      </c>
      <c r="FU190" s="18"/>
      <c r="FW190" s="11" t="s">
        <v>319</v>
      </c>
      <c r="FY190" s="18"/>
      <c r="GA190" s="11" t="s">
        <v>319</v>
      </c>
      <c r="GC190" s="18"/>
      <c r="GE190" s="11" t="s">
        <v>319</v>
      </c>
      <c r="GG190" s="18"/>
      <c r="GI190" s="11" t="s">
        <v>319</v>
      </c>
      <c r="GK190" s="18"/>
      <c r="GM190" s="11" t="s">
        <v>319</v>
      </c>
      <c r="GO190" s="18"/>
      <c r="GQ190" s="11" t="s">
        <v>319</v>
      </c>
      <c r="GS190" s="18"/>
      <c r="GU190" s="12" t="s">
        <v>320</v>
      </c>
      <c r="GV190" s="22">
        <v>4477</v>
      </c>
      <c r="GW190" s="18"/>
      <c r="GX190" s="22">
        <v>23522</v>
      </c>
      <c r="GY190" s="11" t="s">
        <v>319</v>
      </c>
      <c r="HA190" s="18"/>
      <c r="HF190" s="18"/>
      <c r="HH190" s="11" t="s">
        <v>319</v>
      </c>
      <c r="HL190" s="11" t="s">
        <v>320</v>
      </c>
      <c r="HM190" s="11" t="s">
        <v>416</v>
      </c>
      <c r="HN190" s="11">
        <v>2018</v>
      </c>
      <c r="HO190" s="11" t="s">
        <v>3579</v>
      </c>
      <c r="HP190" s="11" t="s">
        <v>330</v>
      </c>
      <c r="HS190" s="11" t="s">
        <v>320</v>
      </c>
      <c r="HT190" s="11" t="s">
        <v>320</v>
      </c>
      <c r="HU190" s="11" t="s">
        <v>320</v>
      </c>
      <c r="HZ190" s="11" t="s">
        <v>363</v>
      </c>
      <c r="IB190" s="11" t="s">
        <v>396</v>
      </c>
      <c r="IC190" s="11" t="s">
        <v>3580</v>
      </c>
      <c r="ID190" s="11" t="s">
        <v>334</v>
      </c>
      <c r="IE190" s="11" t="s">
        <v>478</v>
      </c>
      <c r="IF190" s="11" t="s">
        <v>320</v>
      </c>
      <c r="IG190" s="11" t="s">
        <v>320</v>
      </c>
      <c r="IH190" s="11" t="s">
        <v>319</v>
      </c>
      <c r="II190" s="11" t="s">
        <v>319</v>
      </c>
      <c r="IJ190" s="12" t="str">
        <f t="shared" si="87"/>
        <v>3. Responsive</v>
      </c>
      <c r="IK190" s="12">
        <f t="shared" si="88"/>
        <v>2</v>
      </c>
      <c r="IL190" s="11" t="s">
        <v>336</v>
      </c>
      <c r="IM190" s="11" t="s">
        <v>320</v>
      </c>
      <c r="IN190" s="11" t="s">
        <v>320</v>
      </c>
      <c r="IO190" s="11" t="s">
        <v>320</v>
      </c>
      <c r="IP190" s="11" t="s">
        <v>320</v>
      </c>
      <c r="IQ190" s="12" t="str">
        <f t="shared" si="89"/>
        <v>2. Accommodating</v>
      </c>
      <c r="IR190" s="12">
        <f t="shared" si="90"/>
        <v>4</v>
      </c>
      <c r="IS190" s="11" t="s">
        <v>337</v>
      </c>
      <c r="IT190" s="11" t="s">
        <v>320</v>
      </c>
      <c r="IU190" s="11" t="s">
        <v>320</v>
      </c>
      <c r="IV190" s="11" t="s">
        <v>320</v>
      </c>
      <c r="IW190" s="11" t="str">
        <f t="shared" si="91"/>
        <v>2. Sensitive</v>
      </c>
      <c r="IX190" s="12">
        <f t="shared" si="92"/>
        <v>3</v>
      </c>
      <c r="IY190" s="11" t="s">
        <v>338</v>
      </c>
      <c r="IZ190" s="11" t="s">
        <v>432</v>
      </c>
      <c r="JA190" s="11">
        <v>2</v>
      </c>
      <c r="JB190" s="11" t="s">
        <v>831</v>
      </c>
      <c r="JC190" s="11" t="s">
        <v>687</v>
      </c>
      <c r="JE190" s="11" t="s">
        <v>420</v>
      </c>
      <c r="JG190" s="11" t="s">
        <v>3581</v>
      </c>
      <c r="JH190" s="11" t="s">
        <v>3582</v>
      </c>
      <c r="JI190" s="11" t="s">
        <v>3583</v>
      </c>
      <c r="JJ190" s="11" t="s">
        <v>3584</v>
      </c>
      <c r="JK190" s="11" t="s">
        <v>3585</v>
      </c>
      <c r="JL190" s="11" t="s">
        <v>3586</v>
      </c>
      <c r="JM190" s="11" t="s">
        <v>3587</v>
      </c>
      <c r="JP190" s="15">
        <f t="shared" si="93"/>
        <v>5059</v>
      </c>
      <c r="JQ190" s="15">
        <f t="shared" si="94"/>
        <v>23878</v>
      </c>
      <c r="JR190" s="279">
        <f t="shared" si="95"/>
        <v>4.7199051195888515</v>
      </c>
      <c r="JS190" s="17">
        <f t="shared" si="96"/>
        <v>0.50266851156355008</v>
      </c>
      <c r="JT190" s="18">
        <f t="shared" si="97"/>
        <v>0.48827372476756847</v>
      </c>
      <c r="JU190" s="280">
        <f t="shared" si="98"/>
        <v>2543</v>
      </c>
      <c r="JV190" s="280">
        <f t="shared" si="99"/>
        <v>11659</v>
      </c>
      <c r="JW190" s="319">
        <f t="shared" si="100"/>
        <v>1</v>
      </c>
      <c r="JX190" s="15">
        <f t="shared" si="101"/>
        <v>4386</v>
      </c>
      <c r="JY190" s="15">
        <f t="shared" si="102"/>
        <v>10080</v>
      </c>
      <c r="JZ190" s="19">
        <f t="shared" si="103"/>
        <v>2.2982216142270864</v>
      </c>
      <c r="KA190" s="52">
        <f t="shared" si="104"/>
        <v>1</v>
      </c>
      <c r="KB190" s="15">
        <f t="shared" si="105"/>
        <v>4477</v>
      </c>
      <c r="KC190" s="15">
        <f t="shared" si="106"/>
        <v>23522</v>
      </c>
      <c r="KD190" s="20">
        <f t="shared" si="107"/>
        <v>5.2539647085101633</v>
      </c>
      <c r="KE190" s="52" t="str">
        <f t="shared" si="108"/>
        <v/>
      </c>
      <c r="KF190" s="15">
        <f t="shared" si="109"/>
        <v>0</v>
      </c>
      <c r="KG190" s="15">
        <f t="shared" si="110"/>
        <v>0</v>
      </c>
      <c r="KH190" s="21" t="str">
        <f t="shared" si="111"/>
        <v/>
      </c>
      <c r="KI190" s="52" t="str">
        <f t="shared" si="112"/>
        <v/>
      </c>
      <c r="KJ190" s="15">
        <f t="shared" si="113"/>
        <v>0</v>
      </c>
      <c r="KK190" s="15">
        <f t="shared" si="114"/>
        <v>0</v>
      </c>
      <c r="KL190" s="19" t="str">
        <f t="shared" si="115"/>
        <v/>
      </c>
      <c r="KM190" s="52" t="str">
        <f t="shared" si="116"/>
        <v/>
      </c>
      <c r="KN190" s="22">
        <f t="shared" si="117"/>
        <v>0</v>
      </c>
      <c r="KO190" s="22">
        <f t="shared" si="118"/>
        <v>0</v>
      </c>
      <c r="KP190" s="19" t="str">
        <f t="shared" si="119"/>
        <v/>
      </c>
      <c r="KQ190" s="11" t="str">
        <f t="shared" si="120"/>
        <v>3. Responsive</v>
      </c>
      <c r="KR190" s="11" t="str">
        <f t="shared" si="121"/>
        <v>2. Accommodating</v>
      </c>
      <c r="KS190" s="11" t="str">
        <f t="shared" si="122"/>
        <v>2. Sensitive</v>
      </c>
      <c r="KT190" s="11" t="str">
        <f t="shared" si="123"/>
        <v>It did not develop any specific innovation</v>
      </c>
      <c r="KU190" s="11" t="str">
        <f t="shared" si="124"/>
        <v>Moderate advocacy</v>
      </c>
      <c r="KV190" s="11" t="str">
        <f t="shared" si="125"/>
        <v>It linked and worked with strategic alliances and partners to take tested and effective solutions to scale</v>
      </c>
      <c r="KW190" s="11" t="str">
        <f t="shared" si="126"/>
        <v>Egypt - Improving Syrian and Egyptian Children's Access to Formal and Informal Education</v>
      </c>
      <c r="KX190" s="11" t="str">
        <f t="shared" si="127"/>
        <v>Improving Syrian and Egyptian Children's Access to Formal and Informal Education</v>
      </c>
      <c r="KY190" s="11" t="str">
        <f t="shared" si="128"/>
        <v>Egypt</v>
      </c>
      <c r="KZ190" s="12">
        <v>190</v>
      </c>
    </row>
    <row r="191" spans="1:312" x14ac:dyDescent="0.3">
      <c r="A191" s="11" t="s">
        <v>3546</v>
      </c>
      <c r="B191" s="11" t="s">
        <v>602</v>
      </c>
      <c r="C191" s="11">
        <v>2919</v>
      </c>
      <c r="D191" s="11" t="s">
        <v>3762</v>
      </c>
      <c r="E191" s="24" t="str">
        <f t="shared" si="86"/>
        <v>Egypt</v>
      </c>
      <c r="F191" s="11" t="s">
        <v>3763</v>
      </c>
      <c r="G191" s="11" t="s">
        <v>379</v>
      </c>
      <c r="H191" s="11" t="s">
        <v>383</v>
      </c>
      <c r="I191" s="11" t="s">
        <v>384</v>
      </c>
      <c r="J191" s="278" t="s">
        <v>14622</v>
      </c>
      <c r="K191" s="11" t="s">
        <v>3764</v>
      </c>
      <c r="L191" s="11" t="s">
        <v>488</v>
      </c>
      <c r="M191" s="11" t="s">
        <v>310</v>
      </c>
      <c r="N191" s="11" t="s">
        <v>506</v>
      </c>
      <c r="O191" s="11" t="s">
        <v>14623</v>
      </c>
      <c r="BD191" s="23">
        <v>41487</v>
      </c>
      <c r="BE191" s="23">
        <v>42582</v>
      </c>
      <c r="BF191" s="23">
        <v>43190</v>
      </c>
      <c r="BG191" s="11" t="s">
        <v>312</v>
      </c>
      <c r="BH191" s="22">
        <v>755960</v>
      </c>
      <c r="BI191" s="11" t="s">
        <v>3721</v>
      </c>
      <c r="BJ191" s="11" t="s">
        <v>3722</v>
      </c>
      <c r="BK191" s="11" t="s">
        <v>3723</v>
      </c>
      <c r="BL191" s="11" t="s">
        <v>3549</v>
      </c>
      <c r="BM191" s="11" t="s">
        <v>3550</v>
      </c>
      <c r="BN191" s="11" t="s">
        <v>3551</v>
      </c>
      <c r="BO191" s="12" t="s">
        <v>319</v>
      </c>
      <c r="BP191" s="12" t="s">
        <v>320</v>
      </c>
      <c r="BQ191" s="12" t="s">
        <v>319</v>
      </c>
      <c r="BR191" s="11" t="s">
        <v>3765</v>
      </c>
      <c r="BS191" s="11" t="s">
        <v>357</v>
      </c>
      <c r="BT191" s="11" t="s">
        <v>3766</v>
      </c>
      <c r="BU191" s="11" t="s">
        <v>3767</v>
      </c>
      <c r="BV191" s="22">
        <v>918</v>
      </c>
      <c r="BW191" s="22">
        <v>2142</v>
      </c>
      <c r="BX191" s="22">
        <v>3060</v>
      </c>
      <c r="BY191" s="22">
        <v>3672</v>
      </c>
      <c r="BZ191" s="22">
        <v>8568</v>
      </c>
      <c r="CA191" s="22">
        <v>12240</v>
      </c>
      <c r="CB191" s="15" t="s">
        <v>3768</v>
      </c>
      <c r="CL191" s="18"/>
      <c r="CP191" s="18"/>
      <c r="CT191" s="18"/>
      <c r="CX191" s="18"/>
      <c r="DB191" s="18"/>
      <c r="DF191" s="18"/>
      <c r="DJ191" s="18"/>
      <c r="DN191" s="18"/>
      <c r="DR191" s="18"/>
      <c r="DV191" s="18"/>
      <c r="DZ191" s="18"/>
      <c r="ED191" s="18"/>
      <c r="EI191" s="18"/>
      <c r="EM191" s="22">
        <v>302</v>
      </c>
      <c r="EP191" s="22">
        <v>37634</v>
      </c>
      <c r="ES191" s="18"/>
      <c r="EW191" s="18"/>
      <c r="FA191" s="18"/>
      <c r="FE191" s="18"/>
      <c r="FI191" s="18"/>
      <c r="FM191" s="18"/>
      <c r="FQ191" s="18"/>
      <c r="FU191" s="18"/>
      <c r="FY191" s="18"/>
      <c r="GC191" s="18"/>
      <c r="GG191" s="18"/>
      <c r="GK191" s="18"/>
      <c r="GM191" s="11" t="s">
        <v>320</v>
      </c>
      <c r="GN191" s="22">
        <v>302</v>
      </c>
      <c r="GO191" s="18"/>
      <c r="GP191" s="22">
        <v>37634</v>
      </c>
      <c r="GS191" s="18"/>
      <c r="GW191" s="18"/>
      <c r="HA191" s="18"/>
      <c r="HF191" s="18"/>
      <c r="HH191" s="11" t="s">
        <v>319</v>
      </c>
      <c r="HL191" s="11" t="s">
        <v>320</v>
      </c>
      <c r="HM191" s="11" t="s">
        <v>361</v>
      </c>
      <c r="HN191" s="11">
        <v>2017</v>
      </c>
      <c r="HP191" s="11" t="s">
        <v>330</v>
      </c>
      <c r="HS191" s="11" t="s">
        <v>320</v>
      </c>
      <c r="HZ191" s="11" t="s">
        <v>363</v>
      </c>
      <c r="IA191" s="11" t="s">
        <v>3769</v>
      </c>
      <c r="IB191" s="11" t="s">
        <v>396</v>
      </c>
      <c r="IC191" s="11" t="s">
        <v>3770</v>
      </c>
      <c r="ID191" s="11" t="s">
        <v>364</v>
      </c>
      <c r="IE191" s="11" t="s">
        <v>335</v>
      </c>
      <c r="IF191" s="11" t="s">
        <v>319</v>
      </c>
      <c r="IG191" s="11" t="s">
        <v>319</v>
      </c>
      <c r="IH191" s="11" t="s">
        <v>320</v>
      </c>
      <c r="II191" s="11" t="s">
        <v>319</v>
      </c>
      <c r="IJ191" s="12" t="str">
        <f t="shared" si="87"/>
        <v>0. Harmful</v>
      </c>
      <c r="IK191" s="12">
        <f t="shared" si="88"/>
        <v>1</v>
      </c>
      <c r="IL191" s="11" t="s">
        <v>621</v>
      </c>
      <c r="IM191" s="11" t="s">
        <v>320</v>
      </c>
      <c r="IN191" s="11" t="s">
        <v>320</v>
      </c>
      <c r="IO191" s="11" t="s">
        <v>320</v>
      </c>
      <c r="IP191" s="11" t="s">
        <v>320</v>
      </c>
      <c r="IQ191" s="12" t="str">
        <f t="shared" si="89"/>
        <v>4. Transformational</v>
      </c>
      <c r="IR191" s="12">
        <f t="shared" si="90"/>
        <v>4</v>
      </c>
      <c r="IS191" s="11" t="s">
        <v>456</v>
      </c>
      <c r="IT191" s="11" t="s">
        <v>319</v>
      </c>
      <c r="IU191" s="11" t="s">
        <v>320</v>
      </c>
      <c r="IV191" s="11" t="s">
        <v>320</v>
      </c>
      <c r="IW191" s="11" t="str">
        <f t="shared" si="91"/>
        <v>0. Harmful</v>
      </c>
      <c r="IX191" s="12">
        <f t="shared" si="92"/>
        <v>2</v>
      </c>
      <c r="IY191" s="11" t="s">
        <v>338</v>
      </c>
      <c r="IZ191" s="11" t="s">
        <v>457</v>
      </c>
      <c r="JA191" s="11">
        <v>4</v>
      </c>
      <c r="JB191" s="11" t="s">
        <v>433</v>
      </c>
      <c r="JC191" s="11" t="s">
        <v>623</v>
      </c>
      <c r="JE191" s="11" t="s">
        <v>340</v>
      </c>
      <c r="JF191" s="11" t="s">
        <v>3771</v>
      </c>
      <c r="JH191" s="11" t="s">
        <v>3772</v>
      </c>
      <c r="JI191" s="11" t="s">
        <v>3773</v>
      </c>
      <c r="JJ191" s="11" t="s">
        <v>3774</v>
      </c>
      <c r="JK191" s="11" t="s">
        <v>3775</v>
      </c>
      <c r="JL191" s="11" t="s">
        <v>3776</v>
      </c>
      <c r="JM191" s="11" t="s">
        <v>3777</v>
      </c>
      <c r="JO191" s="11" t="s">
        <v>3778</v>
      </c>
      <c r="JP191" s="15">
        <f t="shared" si="93"/>
        <v>302</v>
      </c>
      <c r="JQ191" s="15">
        <f t="shared" si="94"/>
        <v>37634</v>
      </c>
      <c r="JR191" s="279">
        <f t="shared" si="95"/>
        <v>124.6158940397351</v>
      </c>
      <c r="JS191" s="17">
        <f t="shared" si="96"/>
        <v>0</v>
      </c>
      <c r="JT191" s="18">
        <f t="shared" si="97"/>
        <v>0</v>
      </c>
      <c r="JU191" s="280">
        <f t="shared" si="98"/>
        <v>0</v>
      </c>
      <c r="JV191" s="280">
        <f t="shared" si="99"/>
        <v>0</v>
      </c>
      <c r="JW191" s="319" t="str">
        <f t="shared" si="100"/>
        <v/>
      </c>
      <c r="JX191" s="15">
        <f t="shared" si="101"/>
        <v>0</v>
      </c>
      <c r="JY191" s="15">
        <f t="shared" si="102"/>
        <v>0</v>
      </c>
      <c r="JZ191" s="19" t="str">
        <f t="shared" si="103"/>
        <v/>
      </c>
      <c r="KA191" s="52" t="str">
        <f t="shared" si="104"/>
        <v/>
      </c>
      <c r="KB191" s="15">
        <f t="shared" si="105"/>
        <v>0</v>
      </c>
      <c r="KC191" s="15">
        <f t="shared" si="106"/>
        <v>0</v>
      </c>
      <c r="KD191" s="20" t="str">
        <f t="shared" si="107"/>
        <v/>
      </c>
      <c r="KE191" s="52" t="str">
        <f t="shared" si="108"/>
        <v/>
      </c>
      <c r="KF191" s="15">
        <f t="shared" si="109"/>
        <v>0</v>
      </c>
      <c r="KG191" s="15">
        <f t="shared" si="110"/>
        <v>0</v>
      </c>
      <c r="KH191" s="21" t="str">
        <f t="shared" si="111"/>
        <v/>
      </c>
      <c r="KI191" s="52" t="str">
        <f t="shared" si="112"/>
        <v/>
      </c>
      <c r="KJ191" s="15">
        <f t="shared" si="113"/>
        <v>0</v>
      </c>
      <c r="KK191" s="15">
        <f t="shared" si="114"/>
        <v>0</v>
      </c>
      <c r="KL191" s="19" t="str">
        <f t="shared" si="115"/>
        <v/>
      </c>
      <c r="KM191" s="52" t="str">
        <f t="shared" si="116"/>
        <v/>
      </c>
      <c r="KN191" s="22">
        <f t="shared" si="117"/>
        <v>0</v>
      </c>
      <c r="KO191" s="22">
        <f t="shared" si="118"/>
        <v>0</v>
      </c>
      <c r="KP191" s="19" t="str">
        <f t="shared" si="119"/>
        <v/>
      </c>
      <c r="KQ191" s="11" t="str">
        <f t="shared" si="120"/>
        <v>0. Harmful</v>
      </c>
      <c r="KR191" s="11" t="str">
        <f t="shared" si="121"/>
        <v>4. Transformational</v>
      </c>
      <c r="KS191" s="11" t="str">
        <f t="shared" si="122"/>
        <v>0. Harmful</v>
      </c>
      <c r="KT191" s="11" t="str">
        <f t="shared" si="123"/>
        <v>It did not develop any specific innovation</v>
      </c>
      <c r="KU191" s="11" t="str">
        <f t="shared" si="124"/>
        <v>Moderate advocacy</v>
      </c>
      <c r="KV191" s="11" t="str">
        <f t="shared" si="125"/>
        <v>It linked and worked with strategic alliances and partners to take tested and effective solutions to scale</v>
      </c>
      <c r="KW191" s="11" t="str">
        <f t="shared" si="126"/>
        <v>Egypt - Mainstreaming Social Accountability in the Emergency Labor Intensive Investment Project</v>
      </c>
      <c r="KX191" s="11" t="str">
        <f t="shared" si="127"/>
        <v>Mainstreaming Social Accountability in the Emergency Labor Intensive Investment Project</v>
      </c>
      <c r="KY191" s="11" t="str">
        <f t="shared" si="128"/>
        <v>Egypt</v>
      </c>
      <c r="KZ191" s="12">
        <v>191</v>
      </c>
    </row>
    <row r="192" spans="1:312" x14ac:dyDescent="0.3">
      <c r="A192" s="11" t="s">
        <v>3546</v>
      </c>
      <c r="B192" s="11" t="s">
        <v>602</v>
      </c>
      <c r="D192" s="11" t="s">
        <v>3650</v>
      </c>
      <c r="E192" s="24" t="str">
        <f t="shared" si="86"/>
        <v>Egypt</v>
      </c>
      <c r="F192" s="11" t="s">
        <v>3651</v>
      </c>
      <c r="G192" s="11" t="s">
        <v>3618</v>
      </c>
      <c r="H192" s="11" t="s">
        <v>380</v>
      </c>
      <c r="I192" s="11" t="s">
        <v>381</v>
      </c>
      <c r="J192" s="278" t="s">
        <v>14573</v>
      </c>
      <c r="BD192" s="23">
        <v>42005</v>
      </c>
      <c r="BE192" s="23">
        <v>42993</v>
      </c>
      <c r="BH192" s="22">
        <v>100000</v>
      </c>
      <c r="BI192" s="11" t="s">
        <v>3652</v>
      </c>
      <c r="BJ192" s="11" t="s">
        <v>3637</v>
      </c>
      <c r="BK192" s="11" t="s">
        <v>3653</v>
      </c>
      <c r="BO192" s="12" t="s">
        <v>319</v>
      </c>
      <c r="BP192" s="12" t="s">
        <v>320</v>
      </c>
      <c r="BQ192" s="12" t="s">
        <v>319</v>
      </c>
      <c r="BR192" s="11" t="s">
        <v>3654</v>
      </c>
      <c r="BS192" s="11" t="s">
        <v>357</v>
      </c>
      <c r="BT192" s="11" t="s">
        <v>3655</v>
      </c>
      <c r="BU192" s="11" t="s">
        <v>3656</v>
      </c>
      <c r="BV192" s="22">
        <v>0</v>
      </c>
      <c r="BW192" s="22">
        <v>0</v>
      </c>
      <c r="BX192" s="22">
        <v>0</v>
      </c>
      <c r="BY192" s="22">
        <v>0</v>
      </c>
      <c r="BZ192" s="22">
        <v>0</v>
      </c>
      <c r="CA192" s="22">
        <v>0</v>
      </c>
      <c r="CB192" s="15" t="s">
        <v>3657</v>
      </c>
      <c r="CL192" s="18"/>
      <c r="CP192" s="18"/>
      <c r="CT192" s="18"/>
      <c r="CX192" s="18"/>
      <c r="DB192" s="18"/>
      <c r="DF192" s="18"/>
      <c r="DJ192" s="18"/>
      <c r="DN192" s="18"/>
      <c r="DR192" s="18"/>
      <c r="DV192" s="18"/>
      <c r="DZ192" s="18"/>
      <c r="ED192" s="18"/>
      <c r="EI192" s="18"/>
      <c r="EK192" s="22">
        <v>78</v>
      </c>
      <c r="EL192" s="22">
        <v>65</v>
      </c>
      <c r="EM192" s="22">
        <v>143</v>
      </c>
      <c r="EN192" s="22">
        <v>0</v>
      </c>
      <c r="EO192" s="22">
        <v>0</v>
      </c>
      <c r="EP192" s="22">
        <v>0</v>
      </c>
      <c r="ES192" s="18"/>
      <c r="EW192" s="18"/>
      <c r="FA192" s="18"/>
      <c r="FE192" s="18"/>
      <c r="FI192" s="18"/>
      <c r="FM192" s="18"/>
      <c r="FQ192" s="18"/>
      <c r="FU192" s="18"/>
      <c r="FW192" s="11" t="s">
        <v>320</v>
      </c>
      <c r="FY192" s="18"/>
      <c r="GC192" s="18"/>
      <c r="GG192" s="18"/>
      <c r="GK192" s="18"/>
      <c r="GO192" s="18"/>
      <c r="GS192" s="18"/>
      <c r="GW192" s="18"/>
      <c r="HA192" s="18"/>
      <c r="HF192" s="18"/>
      <c r="HH192" s="11" t="s">
        <v>319</v>
      </c>
      <c r="HK192" s="11" t="s">
        <v>319</v>
      </c>
      <c r="HL192" s="11" t="s">
        <v>320</v>
      </c>
      <c r="HM192" s="11" t="s">
        <v>619</v>
      </c>
      <c r="HN192" s="11">
        <v>2017</v>
      </c>
      <c r="HP192" s="11" t="s">
        <v>418</v>
      </c>
      <c r="HS192" s="11" t="s">
        <v>320</v>
      </c>
      <c r="HZ192" s="11" t="s">
        <v>394</v>
      </c>
      <c r="IB192" s="11" t="s">
        <v>333</v>
      </c>
      <c r="ID192" s="11" t="s">
        <v>477</v>
      </c>
      <c r="IE192" s="11" t="s">
        <v>478</v>
      </c>
      <c r="IF192" s="11" t="s">
        <v>320</v>
      </c>
      <c r="IG192" s="11" t="s">
        <v>320</v>
      </c>
      <c r="IH192" s="11" t="s">
        <v>320</v>
      </c>
      <c r="II192" s="11" t="s">
        <v>319</v>
      </c>
      <c r="IJ192" s="12" t="str">
        <f t="shared" si="87"/>
        <v>3. Responsive</v>
      </c>
      <c r="IK192" s="12">
        <f t="shared" si="88"/>
        <v>3</v>
      </c>
      <c r="IL192" s="11" t="s">
        <v>336</v>
      </c>
      <c r="IM192" s="11" t="s">
        <v>320</v>
      </c>
      <c r="IN192" s="11" t="s">
        <v>319</v>
      </c>
      <c r="IO192" s="11" t="s">
        <v>320</v>
      </c>
      <c r="IP192" s="11" t="s">
        <v>320</v>
      </c>
      <c r="IQ192" s="12" t="str">
        <f t="shared" si="89"/>
        <v>2. Accommodating</v>
      </c>
      <c r="IR192" s="12">
        <f t="shared" si="90"/>
        <v>3</v>
      </c>
      <c r="IS192" s="11" t="s">
        <v>337</v>
      </c>
      <c r="IT192" s="11" t="s">
        <v>320</v>
      </c>
      <c r="IU192" s="11" t="s">
        <v>320</v>
      </c>
      <c r="IV192" s="11" t="s">
        <v>319</v>
      </c>
      <c r="IW192" s="11" t="str">
        <f t="shared" si="91"/>
        <v>1. Neutral</v>
      </c>
      <c r="IX192" s="12">
        <f t="shared" si="92"/>
        <v>2</v>
      </c>
      <c r="IY192" s="11" t="s">
        <v>338</v>
      </c>
      <c r="IZ192" s="11" t="s">
        <v>339</v>
      </c>
      <c r="JE192" s="11" t="s">
        <v>340</v>
      </c>
      <c r="JP192" s="15">
        <f t="shared" si="93"/>
        <v>143</v>
      </c>
      <c r="JQ192" s="15">
        <f t="shared" si="94"/>
        <v>0</v>
      </c>
      <c r="JR192" s="279">
        <f t="shared" si="95"/>
        <v>0</v>
      </c>
      <c r="JS192" s="17">
        <f t="shared" si="96"/>
        <v>0.54545454545454541</v>
      </c>
      <c r="JT192" s="18" t="str">
        <f t="shared" si="97"/>
        <v/>
      </c>
      <c r="JU192" s="280">
        <f t="shared" si="98"/>
        <v>78</v>
      </c>
      <c r="JV192" s="280">
        <f t="shared" si="99"/>
        <v>0</v>
      </c>
      <c r="JW192" s="319" t="str">
        <f t="shared" si="100"/>
        <v/>
      </c>
      <c r="JX192" s="15">
        <f t="shared" si="101"/>
        <v>0</v>
      </c>
      <c r="JY192" s="15">
        <f t="shared" si="102"/>
        <v>0</v>
      </c>
      <c r="JZ192" s="19" t="str">
        <f t="shared" si="103"/>
        <v/>
      </c>
      <c r="KA192" s="52" t="str">
        <f t="shared" si="104"/>
        <v/>
      </c>
      <c r="KB192" s="15">
        <f t="shared" si="105"/>
        <v>0</v>
      </c>
      <c r="KC192" s="15">
        <f t="shared" si="106"/>
        <v>0</v>
      </c>
      <c r="KD192" s="20" t="str">
        <f t="shared" si="107"/>
        <v/>
      </c>
      <c r="KE192" s="52" t="str">
        <f t="shared" si="108"/>
        <v/>
      </c>
      <c r="KF192" s="15">
        <f t="shared" si="109"/>
        <v>0</v>
      </c>
      <c r="KG192" s="15">
        <f t="shared" si="110"/>
        <v>0</v>
      </c>
      <c r="KH192" s="21" t="str">
        <f t="shared" si="111"/>
        <v/>
      </c>
      <c r="KI192" s="52" t="str">
        <f t="shared" si="112"/>
        <v/>
      </c>
      <c r="KJ192" s="15">
        <f t="shared" si="113"/>
        <v>0</v>
      </c>
      <c r="KK192" s="15">
        <f t="shared" si="114"/>
        <v>0</v>
      </c>
      <c r="KL192" s="19" t="str">
        <f t="shared" si="115"/>
        <v/>
      </c>
      <c r="KM192" s="52" t="str">
        <f t="shared" si="116"/>
        <v/>
      </c>
      <c r="KN192" s="22">
        <f t="shared" si="117"/>
        <v>0</v>
      </c>
      <c r="KO192" s="22">
        <f t="shared" si="118"/>
        <v>0</v>
      </c>
      <c r="KP192" s="19" t="str">
        <f t="shared" si="119"/>
        <v/>
      </c>
      <c r="KQ192" s="11" t="str">
        <f t="shared" si="120"/>
        <v>3. Responsive</v>
      </c>
      <c r="KR192" s="11" t="str">
        <f t="shared" si="121"/>
        <v>2. Accommodating</v>
      </c>
      <c r="KS192" s="11" t="str">
        <f t="shared" si="122"/>
        <v>1. Neutral</v>
      </c>
      <c r="KT192" s="11" t="str">
        <f t="shared" si="123"/>
        <v>It tested new ways for fighting poverty, but did not measure results of innovation</v>
      </c>
      <c r="KU192" s="11" t="str">
        <f t="shared" si="124"/>
        <v>Little or no advocacy</v>
      </c>
      <c r="KV192" s="11" t="str">
        <f t="shared" si="125"/>
        <v>It did not take tested solutions to scale</v>
      </c>
      <c r="KW192" s="11" t="str">
        <f t="shared" si="126"/>
        <v>Egypt - Men and Women for Gender Equality</v>
      </c>
      <c r="KX192" s="11" t="str">
        <f t="shared" si="127"/>
        <v>Men and Women for Gender Equality</v>
      </c>
      <c r="KY192" s="11" t="str">
        <f t="shared" si="128"/>
        <v>Egypt</v>
      </c>
      <c r="KZ192" s="12">
        <v>192</v>
      </c>
    </row>
    <row r="193" spans="1:312" x14ac:dyDescent="0.3">
      <c r="A193" s="11" t="s">
        <v>3546</v>
      </c>
      <c r="B193" s="11" t="s">
        <v>602</v>
      </c>
      <c r="C193" s="11">
        <v>2902</v>
      </c>
      <c r="D193" s="11" t="s">
        <v>3701</v>
      </c>
      <c r="E193" s="24" t="str">
        <f t="shared" ref="E193:E256" si="129">A193</f>
        <v>Egypt</v>
      </c>
      <c r="G193" s="11" t="s">
        <v>714</v>
      </c>
      <c r="H193" s="11" t="s">
        <v>489</v>
      </c>
      <c r="I193" s="11" t="s">
        <v>384</v>
      </c>
      <c r="J193" s="278" t="s">
        <v>3702</v>
      </c>
      <c r="BD193" s="23">
        <v>41821</v>
      </c>
      <c r="BE193" s="23">
        <v>42735</v>
      </c>
      <c r="BF193" s="23">
        <v>43039</v>
      </c>
      <c r="BG193" s="11" t="s">
        <v>749</v>
      </c>
      <c r="BH193" s="22">
        <v>784000</v>
      </c>
      <c r="BI193" s="11" t="s">
        <v>3703</v>
      </c>
      <c r="BJ193" s="11" t="s">
        <v>3553</v>
      </c>
      <c r="BK193" s="11" t="s">
        <v>3704</v>
      </c>
      <c r="BO193" s="12" t="s">
        <v>319</v>
      </c>
      <c r="BP193" s="12" t="s">
        <v>320</v>
      </c>
      <c r="BQ193" s="12" t="s">
        <v>319</v>
      </c>
      <c r="BR193" s="11" t="s">
        <v>3705</v>
      </c>
      <c r="BS193" s="11" t="s">
        <v>357</v>
      </c>
      <c r="BT193" s="11" t="s">
        <v>3706</v>
      </c>
      <c r="BU193" s="11" t="s">
        <v>3707</v>
      </c>
      <c r="BV193" s="22">
        <v>2861</v>
      </c>
      <c r="BW193" s="22">
        <v>1059</v>
      </c>
      <c r="BX193" s="22">
        <v>3920</v>
      </c>
      <c r="BY193" s="22">
        <v>7442</v>
      </c>
      <c r="BZ193" s="22">
        <v>7746</v>
      </c>
      <c r="CA193" s="22">
        <v>15188</v>
      </c>
      <c r="CB193" s="15" t="s">
        <v>3708</v>
      </c>
      <c r="CL193" s="18"/>
      <c r="CP193" s="18"/>
      <c r="CT193" s="18"/>
      <c r="CX193" s="18"/>
      <c r="DB193" s="18"/>
      <c r="DF193" s="18"/>
      <c r="DJ193" s="18"/>
      <c r="DN193" s="18"/>
      <c r="DR193" s="18"/>
      <c r="DV193" s="18"/>
      <c r="DZ193" s="18"/>
      <c r="ED193" s="18"/>
      <c r="EI193" s="18"/>
      <c r="ES193" s="18"/>
      <c r="EW193" s="18"/>
      <c r="FA193" s="18"/>
      <c r="FE193" s="18"/>
      <c r="FG193" s="12" t="s">
        <v>320</v>
      </c>
      <c r="FH193" s="22">
        <v>3920</v>
      </c>
      <c r="FI193" s="18">
        <v>0.75</v>
      </c>
      <c r="FJ193" s="22">
        <v>15188</v>
      </c>
      <c r="FM193" s="18"/>
      <c r="FQ193" s="18"/>
      <c r="FU193" s="18"/>
      <c r="FY193" s="18"/>
      <c r="GC193" s="18"/>
      <c r="GG193" s="18"/>
      <c r="GK193" s="18"/>
      <c r="GO193" s="18"/>
      <c r="GS193" s="18"/>
      <c r="GW193" s="18"/>
      <c r="HA193" s="18"/>
      <c r="HF193" s="18"/>
      <c r="HH193" s="11" t="s">
        <v>319</v>
      </c>
      <c r="HL193" s="11" t="s">
        <v>319</v>
      </c>
      <c r="HP193" s="11" t="s">
        <v>418</v>
      </c>
      <c r="HQ193" s="11" t="s">
        <v>319</v>
      </c>
      <c r="HR193" s="11" t="s">
        <v>319</v>
      </c>
      <c r="HS193" s="11" t="s">
        <v>319</v>
      </c>
      <c r="HT193" s="11" t="s">
        <v>320</v>
      </c>
      <c r="HU193" s="11" t="s">
        <v>319</v>
      </c>
      <c r="HV193" s="11" t="s">
        <v>319</v>
      </c>
      <c r="HW193" s="11" t="s">
        <v>319</v>
      </c>
      <c r="HZ193" s="11" t="s">
        <v>331</v>
      </c>
      <c r="IA193" s="11" t="s">
        <v>3709</v>
      </c>
      <c r="IB193" s="11" t="s">
        <v>333</v>
      </c>
      <c r="IC193" s="11" t="s">
        <v>3710</v>
      </c>
      <c r="ID193" s="11" t="s">
        <v>364</v>
      </c>
      <c r="IE193" s="11" t="s">
        <v>335</v>
      </c>
      <c r="IF193" s="11" t="s">
        <v>320</v>
      </c>
      <c r="IG193" s="11" t="s">
        <v>320</v>
      </c>
      <c r="IH193" s="11" t="s">
        <v>319</v>
      </c>
      <c r="II193" s="11" t="s">
        <v>320</v>
      </c>
      <c r="IJ193" s="12" t="str">
        <f t="shared" si="87"/>
        <v>1. Neutral</v>
      </c>
      <c r="IK193" s="12">
        <f t="shared" si="88"/>
        <v>3</v>
      </c>
      <c r="IL193" s="11" t="s">
        <v>336</v>
      </c>
      <c r="IM193" s="11" t="s">
        <v>320</v>
      </c>
      <c r="IN193" s="11" t="s">
        <v>320</v>
      </c>
      <c r="IO193" s="11" t="s">
        <v>320</v>
      </c>
      <c r="IP193" s="11" t="s">
        <v>319</v>
      </c>
      <c r="IQ193" s="12" t="str">
        <f t="shared" si="89"/>
        <v>2. Accommodating</v>
      </c>
      <c r="IR193" s="12">
        <f t="shared" si="90"/>
        <v>3</v>
      </c>
      <c r="IS193" s="11" t="s">
        <v>337</v>
      </c>
      <c r="IT193" s="11" t="s">
        <v>320</v>
      </c>
      <c r="IU193" s="11" t="s">
        <v>319</v>
      </c>
      <c r="IV193" s="11" t="s">
        <v>320</v>
      </c>
      <c r="IW193" s="11" t="str">
        <f t="shared" si="91"/>
        <v>1. Neutral</v>
      </c>
      <c r="IX193" s="12">
        <f t="shared" si="92"/>
        <v>2</v>
      </c>
      <c r="IY193" s="11" t="s">
        <v>338</v>
      </c>
      <c r="IZ193" s="11" t="s">
        <v>527</v>
      </c>
      <c r="JA193" s="11">
        <v>13</v>
      </c>
      <c r="JB193" s="11" t="s">
        <v>433</v>
      </c>
      <c r="JE193" s="11" t="s">
        <v>365</v>
      </c>
      <c r="JF193" s="11" t="s">
        <v>3711</v>
      </c>
      <c r="JG193" s="11" t="s">
        <v>3712</v>
      </c>
      <c r="JH193" s="11" t="s">
        <v>3713</v>
      </c>
      <c r="JI193" s="11" t="s">
        <v>3714</v>
      </c>
      <c r="JJ193" s="11" t="s">
        <v>3715</v>
      </c>
      <c r="JK193" s="11" t="s">
        <v>3716</v>
      </c>
      <c r="JL193" s="11" t="s">
        <v>3717</v>
      </c>
      <c r="JM193" s="11" t="s">
        <v>3718</v>
      </c>
      <c r="JP193" s="15">
        <f t="shared" si="93"/>
        <v>0</v>
      </c>
      <c r="JQ193" s="15">
        <f t="shared" si="94"/>
        <v>0</v>
      </c>
      <c r="JR193" s="279" t="str">
        <f t="shared" si="95"/>
        <v/>
      </c>
      <c r="JS193" s="17" t="str">
        <f t="shared" si="96"/>
        <v/>
      </c>
      <c r="JT193" s="18" t="str">
        <f t="shared" si="97"/>
        <v/>
      </c>
      <c r="JU193" s="280">
        <f t="shared" si="98"/>
        <v>0</v>
      </c>
      <c r="JV193" s="280">
        <f t="shared" si="99"/>
        <v>0</v>
      </c>
      <c r="JW193" s="319" t="str">
        <f t="shared" si="100"/>
        <v/>
      </c>
      <c r="JX193" s="15">
        <f t="shared" si="101"/>
        <v>0</v>
      </c>
      <c r="JY193" s="15">
        <f t="shared" si="102"/>
        <v>0</v>
      </c>
      <c r="JZ193" s="19" t="str">
        <f t="shared" si="103"/>
        <v/>
      </c>
      <c r="KA193" s="52">
        <f t="shared" si="104"/>
        <v>1</v>
      </c>
      <c r="KB193" s="15">
        <f t="shared" si="105"/>
        <v>3920</v>
      </c>
      <c r="KC193" s="15">
        <f t="shared" si="106"/>
        <v>15188</v>
      </c>
      <c r="KD193" s="20">
        <f t="shared" si="107"/>
        <v>3.8744897959183673</v>
      </c>
      <c r="KE193" s="52" t="str">
        <f t="shared" si="108"/>
        <v/>
      </c>
      <c r="KF193" s="15">
        <f t="shared" si="109"/>
        <v>0</v>
      </c>
      <c r="KG193" s="15">
        <f t="shared" si="110"/>
        <v>0</v>
      </c>
      <c r="KH193" s="21" t="str">
        <f t="shared" si="111"/>
        <v/>
      </c>
      <c r="KI193" s="52" t="str">
        <f t="shared" si="112"/>
        <v/>
      </c>
      <c r="KJ193" s="15">
        <f t="shared" si="113"/>
        <v>0</v>
      </c>
      <c r="KK193" s="15">
        <f t="shared" si="114"/>
        <v>0</v>
      </c>
      <c r="KL193" s="19" t="str">
        <f t="shared" si="115"/>
        <v/>
      </c>
      <c r="KM193" s="52">
        <f t="shared" si="116"/>
        <v>1</v>
      </c>
      <c r="KN193" s="22">
        <f t="shared" si="117"/>
        <v>2940</v>
      </c>
      <c r="KO193" s="22">
        <f t="shared" si="118"/>
        <v>11391</v>
      </c>
      <c r="KP193" s="19">
        <f t="shared" si="119"/>
        <v>3.8744897959183673</v>
      </c>
      <c r="KQ193" s="11" t="str">
        <f t="shared" si="120"/>
        <v>1. Neutral</v>
      </c>
      <c r="KR193" s="11" t="str">
        <f t="shared" si="121"/>
        <v>2. Accommodating</v>
      </c>
      <c r="KS193" s="11" t="str">
        <f t="shared" si="122"/>
        <v>1. Neutral</v>
      </c>
      <c r="KT193" s="11" t="str">
        <f t="shared" si="123"/>
        <v>It tested new ways for fighting poverty and measured results of innovation</v>
      </c>
      <c r="KU193" s="11" t="str">
        <f t="shared" si="124"/>
        <v>Little or no advocacy</v>
      </c>
      <c r="KV193" s="11" t="str">
        <f t="shared" si="125"/>
        <v>It did not take tested solutions to scale</v>
      </c>
      <c r="KW193" s="11" t="str">
        <f t="shared" si="126"/>
        <v>Egypt - Milk Collection communities (MCC)</v>
      </c>
      <c r="KX193" s="11" t="str">
        <f t="shared" si="127"/>
        <v>Milk Collection communities (MCC)</v>
      </c>
      <c r="KY193" s="11" t="str">
        <f t="shared" si="128"/>
        <v>Egypt</v>
      </c>
      <c r="KZ193" s="12">
        <v>193</v>
      </c>
    </row>
    <row r="194" spans="1:312" x14ac:dyDescent="0.3">
      <c r="A194" s="11" t="s">
        <v>3546</v>
      </c>
      <c r="B194" s="11" t="s">
        <v>602</v>
      </c>
      <c r="C194" s="11">
        <v>2903</v>
      </c>
      <c r="D194" s="11" t="s">
        <v>3779</v>
      </c>
      <c r="E194" s="24" t="str">
        <f t="shared" si="129"/>
        <v>Egypt</v>
      </c>
      <c r="F194" s="11" t="s">
        <v>3780</v>
      </c>
      <c r="G194" s="11" t="s">
        <v>379</v>
      </c>
      <c r="I194" s="11" t="s">
        <v>384</v>
      </c>
      <c r="J194" s="296" t="s">
        <v>3781</v>
      </c>
      <c r="BD194" s="23">
        <v>41671</v>
      </c>
      <c r="BE194" s="23">
        <v>42766</v>
      </c>
      <c r="BF194" s="23">
        <v>41851</v>
      </c>
      <c r="BG194" s="11" t="s">
        <v>749</v>
      </c>
      <c r="BH194" s="22">
        <v>370000</v>
      </c>
      <c r="BI194" s="11" t="s">
        <v>3782</v>
      </c>
      <c r="BJ194" s="11" t="s">
        <v>3783</v>
      </c>
      <c r="BK194" s="11" t="s">
        <v>3784</v>
      </c>
      <c r="BO194" s="12" t="s">
        <v>319</v>
      </c>
      <c r="BP194" s="12" t="s">
        <v>320</v>
      </c>
      <c r="BQ194" s="12" t="s">
        <v>319</v>
      </c>
      <c r="BR194" s="11" t="s">
        <v>3785</v>
      </c>
      <c r="BS194" s="11" t="s">
        <v>357</v>
      </c>
      <c r="BT194" s="11" t="s">
        <v>3786</v>
      </c>
      <c r="BU194" s="11" t="s">
        <v>3787</v>
      </c>
      <c r="BW194" s="22">
        <v>6000</v>
      </c>
      <c r="BX194" s="22">
        <v>6000</v>
      </c>
      <c r="BY194" s="22">
        <v>15000</v>
      </c>
      <c r="BZ194" s="22">
        <v>15000</v>
      </c>
      <c r="CA194" s="22">
        <v>30000</v>
      </c>
      <c r="CB194" s="15" t="s">
        <v>3788</v>
      </c>
      <c r="CL194" s="18"/>
      <c r="CP194" s="18"/>
      <c r="CT194" s="18"/>
      <c r="CX194" s="18"/>
      <c r="DB194" s="18"/>
      <c r="DF194" s="18"/>
      <c r="DJ194" s="18"/>
      <c r="DN194" s="18"/>
      <c r="DR194" s="18"/>
      <c r="DV194" s="18"/>
      <c r="DZ194" s="18"/>
      <c r="ED194" s="18"/>
      <c r="EI194" s="18"/>
      <c r="EL194" s="22">
        <v>2932</v>
      </c>
      <c r="EM194" s="22">
        <v>2932</v>
      </c>
      <c r="EN194" s="22">
        <v>5864</v>
      </c>
      <c r="EO194" s="22">
        <v>5864</v>
      </c>
      <c r="EP194" s="22">
        <v>11728</v>
      </c>
      <c r="EQ194" s="12" t="s">
        <v>320</v>
      </c>
      <c r="ER194" s="22">
        <v>2932</v>
      </c>
      <c r="ES194" s="18">
        <v>0</v>
      </c>
      <c r="ET194" s="22">
        <v>11728</v>
      </c>
      <c r="EW194" s="18"/>
      <c r="FA194" s="18"/>
      <c r="FE194" s="18"/>
      <c r="FG194" s="12" t="s">
        <v>320</v>
      </c>
      <c r="FH194" s="22">
        <v>2932</v>
      </c>
      <c r="FI194" s="18">
        <v>0</v>
      </c>
      <c r="FJ194" s="22">
        <v>11728</v>
      </c>
      <c r="FM194" s="18"/>
      <c r="FQ194" s="18"/>
      <c r="FU194" s="18"/>
      <c r="FY194" s="18"/>
      <c r="GC194" s="18"/>
      <c r="GG194" s="18"/>
      <c r="GK194" s="18"/>
      <c r="GO194" s="18"/>
      <c r="GS194" s="18"/>
      <c r="GW194" s="18"/>
      <c r="HA194" s="18"/>
      <c r="HF194" s="18"/>
      <c r="HH194" s="11" t="s">
        <v>319</v>
      </c>
      <c r="HK194" s="11" t="s">
        <v>319</v>
      </c>
      <c r="HL194" s="11" t="s">
        <v>320</v>
      </c>
      <c r="HM194" s="11" t="s">
        <v>415</v>
      </c>
      <c r="HN194" s="11">
        <v>2017</v>
      </c>
      <c r="HO194" s="11" t="s">
        <v>3789</v>
      </c>
      <c r="HP194" s="11" t="s">
        <v>418</v>
      </c>
      <c r="HQ194" s="11" t="s">
        <v>319</v>
      </c>
      <c r="HR194" s="11" t="s">
        <v>319</v>
      </c>
      <c r="HS194" s="11" t="s">
        <v>320</v>
      </c>
      <c r="HT194" s="11" t="s">
        <v>320</v>
      </c>
      <c r="HU194" s="11" t="s">
        <v>319</v>
      </c>
      <c r="HV194" s="11" t="s">
        <v>319</v>
      </c>
      <c r="HW194" s="11" t="s">
        <v>319</v>
      </c>
      <c r="HZ194" s="11" t="s">
        <v>363</v>
      </c>
      <c r="IA194" s="11" t="s">
        <v>3790</v>
      </c>
      <c r="IB194" s="11" t="s">
        <v>333</v>
      </c>
      <c r="IC194" s="11" t="s">
        <v>3791</v>
      </c>
      <c r="ID194" s="11" t="s">
        <v>364</v>
      </c>
      <c r="IJ194" s="12" t="str">
        <f t="shared" ref="IJ194:IJ257" si="130">IF(IE194="","No marker score",IF(ISNUMBER(SEARCH("select",IE194)),"",IF(ISNUMBER(SEARCH("Did NOT",IE194)),"0. Harmful",IF(ISNUMBER(SEARCH("CHALLENGED",IE194)),IF(IK194=4,"4. Transformative",IF(IK194&gt;1,"3. Responsive",IF(IK194&lt;=1,"No marker score",""))),IF(ISNUMBER(SEARCH("WORKED WITH",IE194)),IF(IK194=4,"2. Sensitive",IF(IK194&gt;1,"1. Neutral","0. Harmful")))))))</f>
        <v>No marker score</v>
      </c>
      <c r="IK194" s="12">
        <f t="shared" ref="IK194:IK257" si="131">COUNTIF(IF194:II194,"=YES")</f>
        <v>0</v>
      </c>
      <c r="IL194" s="11" t="s">
        <v>336</v>
      </c>
      <c r="IM194" s="11" t="s">
        <v>320</v>
      </c>
      <c r="IN194" s="11" t="s">
        <v>319</v>
      </c>
      <c r="IO194" s="11" t="s">
        <v>320</v>
      </c>
      <c r="IP194" s="11" t="s">
        <v>320</v>
      </c>
      <c r="IQ194" s="12" t="str">
        <f t="shared" ref="IQ194:IQ257" si="132">IF(IL194="","No marker score",IF(ISNUMBER(SEARCH("select",IL194)),"",IF(ISNUMBER(SEARCH("Did NOT",IL194)),"0. Unaware",IF(ISNUMBER(SEARCH("CHALLENGED",IL194)),IF(IR194=4,"4. Transformational",IF(IR194&gt;1,"3. Responsive",IF(IR194&lt;=1,"No marker score",""))),IF(ISNUMBER(SEARCH("WORKED WITH",IL194)),IF(IR194&gt;=3,"2. Accommodating",IF(IR194&gt;=1,"1. Tokenistic","0. Unaware")))))))</f>
        <v>2. Accommodating</v>
      </c>
      <c r="IR194" s="12">
        <f t="shared" ref="IR194:IR257" si="133">COUNTIF(IM194:IP194,"=YES")</f>
        <v>3</v>
      </c>
      <c r="IS194" s="11" t="s">
        <v>337</v>
      </c>
      <c r="IT194" s="11" t="s">
        <v>319</v>
      </c>
      <c r="IU194" s="11" t="s">
        <v>320</v>
      </c>
      <c r="IV194" s="11" t="s">
        <v>320</v>
      </c>
      <c r="IW194" s="11" t="str">
        <f t="shared" ref="IW194:IW257" si="134">IF(IS194="","No marker score",IF(ISNUMBER(SEARCH("select",IS194)),"",IF(ISNUMBER(SEARCH("Did NOT",IS194)),"0. Harmful",IF(ISNUMBER(SEARCH("well",IS194)),IF(IX194=3,"4. Transformative",IF(IX194&gt;=1,"3. Responsive",IF(IX194=0,"No marker score",""))),IF(ISNUMBER(SEARCH(".",IS194)),IF(IX194&gt;=3,"2. Sensitive",IF(IX194&gt;=1,"1. Neutral","0. Harmful")))))))</f>
        <v>1. Neutral</v>
      </c>
      <c r="IX194" s="12">
        <f t="shared" ref="IX194:IX257" si="135">COUNTIF(IT194:IV194,"=YES")</f>
        <v>2</v>
      </c>
      <c r="IY194" s="11" t="s">
        <v>419</v>
      </c>
      <c r="IZ194" s="11" t="s">
        <v>527</v>
      </c>
      <c r="JA194" s="11">
        <v>6</v>
      </c>
      <c r="JB194" s="11" t="s">
        <v>433</v>
      </c>
      <c r="JE194" s="11" t="s">
        <v>365</v>
      </c>
      <c r="JF194" s="11" t="s">
        <v>3792</v>
      </c>
      <c r="JG194" s="11" t="s">
        <v>3793</v>
      </c>
      <c r="JH194" s="11" t="s">
        <v>3794</v>
      </c>
      <c r="JI194" s="11" t="s">
        <v>3795</v>
      </c>
      <c r="JJ194" s="11" t="s">
        <v>3796</v>
      </c>
      <c r="JK194" s="11" t="s">
        <v>3797</v>
      </c>
      <c r="JL194" s="11" t="s">
        <v>3798</v>
      </c>
      <c r="JM194" s="11" t="s">
        <v>3799</v>
      </c>
      <c r="JP194" s="15">
        <f t="shared" ref="JP194:JP257" si="136">MAX(CF194,EM194)</f>
        <v>2932</v>
      </c>
      <c r="JQ194" s="15">
        <f t="shared" ref="JQ194:JQ257" si="137">MAX(CI194,EP194)</f>
        <v>11728</v>
      </c>
      <c r="JR194" s="279">
        <f t="shared" ref="JR194:JR257" si="138">IFERROR(JQ194/JP194,"")</f>
        <v>4</v>
      </c>
      <c r="JS194" s="17">
        <f t="shared" ref="JS194:JS257" si="139">IFERROR(MAX(CD194,EK194)/JP194,"")</f>
        <v>0</v>
      </c>
      <c r="JT194" s="18">
        <f t="shared" ref="JT194:JT257" si="140">IFERROR(MAX(CG194,EN194)/JQ194,"")</f>
        <v>0.5</v>
      </c>
      <c r="JU194" s="280">
        <f t="shared" ref="JU194:JU257" si="141">IFERROR(MAX(CD194,EK194),"")</f>
        <v>0</v>
      </c>
      <c r="JV194" s="280">
        <f t="shared" ref="JV194:JV257" si="142">IFERROR(MAX(CG194,EN194),"")</f>
        <v>5864</v>
      </c>
      <c r="JW194" s="319" t="str">
        <f t="shared" ref="JW194:JW257" si="143">IF(BO194="yes",1,"")</f>
        <v/>
      </c>
      <c r="JX194" s="15">
        <f t="shared" ref="JX194:JX257" si="144">CF194</f>
        <v>0</v>
      </c>
      <c r="JY194" s="15">
        <f t="shared" ref="JY194:JY257" si="145">CI194</f>
        <v>0</v>
      </c>
      <c r="JZ194" s="19" t="str">
        <f t="shared" ref="JZ194:JZ257" si="146">IFERROR(JY194/JX194,"")</f>
        <v/>
      </c>
      <c r="KA194" s="52">
        <f t="shared" ref="KA194:KA257" si="147">IF((OR(CV194="yes", DL194="yes", EQ194="yes", EU194="yes", FC194="yes", FG194="yes", FO194="yes", GI194="yes", GU194="yes")), 1, "")</f>
        <v>1</v>
      </c>
      <c r="KB194" s="15">
        <f t="shared" ref="KB194:KB257" si="148">MAX(CW194,DM194,ER194,EV194,FD194,FH194,FP194,GJ194,GV194)</f>
        <v>2932</v>
      </c>
      <c r="KC194" s="15">
        <f t="shared" ref="KC194:KC257" si="149">MAX(CY194,DO194,ET194,EX194,FF194,FJ194,FR194,GL194,GX194)</f>
        <v>11728</v>
      </c>
      <c r="KD194" s="20">
        <f t="shared" ref="KD194:KD257" si="150">IFERROR(KC194/KB194,"")</f>
        <v>4</v>
      </c>
      <c r="KE194" s="52" t="str">
        <f t="shared" ref="KE194:KE257" si="151">IF((OR(DT194="yes", GQ194="yes")), 1, "")</f>
        <v/>
      </c>
      <c r="KF194" s="15">
        <f t="shared" ref="KF194:KF257" si="152">MAX(DU194,GR194)</f>
        <v>0</v>
      </c>
      <c r="KG194" s="15">
        <f t="shared" ref="KG194:KG257" si="153">MAX(DW194,GT194)</f>
        <v>0</v>
      </c>
      <c r="KH194" s="21" t="str">
        <f t="shared" ref="KH194:KH257" si="154">IFERROR(KG194/KF194,"")</f>
        <v/>
      </c>
      <c r="KI194" s="52" t="str">
        <f t="shared" ref="KI194:KI257" si="155">IF((OR(CZ194="yes", FS194="yes")), 1, "")</f>
        <v/>
      </c>
      <c r="KJ194" s="15">
        <f t="shared" ref="KJ194:KJ257" si="156">MAX(DA194,FT194)</f>
        <v>0</v>
      </c>
      <c r="KK194" s="15">
        <f t="shared" ref="KK194:KK257" si="157">MAX(DC194,FV194)</f>
        <v>0</v>
      </c>
      <c r="KL194" s="19" t="str">
        <f t="shared" ref="KL194:KL257" si="158">IFERROR(KK194/KJ194,"")</f>
        <v/>
      </c>
      <c r="KM194" s="52">
        <f t="shared" ref="KM194:KM257" si="159">IF((OR(FG194="yes", GY194="yes")), 1, "")</f>
        <v>1</v>
      </c>
      <c r="KN194" s="22">
        <f t="shared" ref="KN194:KN257" si="160">IFERROR(MAX((FH194*FI194),GZ194),"")</f>
        <v>0</v>
      </c>
      <c r="KO194" s="22">
        <f t="shared" ref="KO194:KO257" si="161">IFERROR(MAX((FJ194*FI194),HB194),"")</f>
        <v>0</v>
      </c>
      <c r="KP194" s="19" t="str">
        <f t="shared" ref="KP194:KP257" si="162">IFERROR(KO194/KN194,"")</f>
        <v/>
      </c>
      <c r="KQ194" s="11" t="str">
        <f t="shared" ref="KQ194:KQ257" si="163">IJ194</f>
        <v>No marker score</v>
      </c>
      <c r="KR194" s="11" t="str">
        <f t="shared" ref="KR194:KR257" si="164">IQ194</f>
        <v>2. Accommodating</v>
      </c>
      <c r="KS194" s="11" t="str">
        <f t="shared" ref="KS194:KS257" si="165">IW194</f>
        <v>1. Neutral</v>
      </c>
      <c r="KT194" s="11" t="str">
        <f t="shared" ref="KT194:KT257" si="166">HZ194</f>
        <v>It did not develop any specific innovation</v>
      </c>
      <c r="KU194" s="11" t="str">
        <f t="shared" ref="KU194:KU257" si="167">HP194</f>
        <v>Little or no advocacy</v>
      </c>
      <c r="KV194" s="11" t="str">
        <f t="shared" ref="KV194:KV257" si="168">IB194</f>
        <v>It did not take tested solutions to scale</v>
      </c>
      <c r="KW194" s="11" t="str">
        <f t="shared" ref="KW194:KW257" si="169">A194&amp;" - "&amp;D194</f>
        <v>Egypt - Origination and development of the soya bean smallholder farmers in Egypt</v>
      </c>
      <c r="KX194" s="11" t="str">
        <f t="shared" ref="KX194:KX257" si="170">D194</f>
        <v>Origination and development of the soya bean smallholder farmers in Egypt</v>
      </c>
      <c r="KY194" s="11" t="str">
        <f t="shared" ref="KY194:KY257" si="171">A194</f>
        <v>Egypt</v>
      </c>
      <c r="KZ194" s="12">
        <v>194</v>
      </c>
    </row>
    <row r="195" spans="1:312" x14ac:dyDescent="0.3">
      <c r="A195" s="11" t="s">
        <v>3546</v>
      </c>
      <c r="B195" s="11" t="s">
        <v>602</v>
      </c>
      <c r="C195" s="11">
        <v>2901</v>
      </c>
      <c r="D195" s="11" t="s">
        <v>3800</v>
      </c>
      <c r="E195" s="24" t="str">
        <f t="shared" si="129"/>
        <v>Egypt</v>
      </c>
      <c r="F195" s="11" t="s">
        <v>3801</v>
      </c>
      <c r="G195" s="11" t="s">
        <v>379</v>
      </c>
      <c r="H195" s="11" t="s">
        <v>489</v>
      </c>
      <c r="I195" s="11" t="s">
        <v>384</v>
      </c>
      <c r="J195" s="278" t="s">
        <v>3802</v>
      </c>
      <c r="BD195" s="23">
        <v>42614</v>
      </c>
      <c r="BE195" s="23">
        <v>42948</v>
      </c>
      <c r="BF195" s="23">
        <v>43100</v>
      </c>
      <c r="BG195" s="11" t="s">
        <v>749</v>
      </c>
      <c r="BI195" s="11" t="s">
        <v>3782</v>
      </c>
      <c r="BJ195" s="11" t="s">
        <v>3783</v>
      </c>
      <c r="BK195" s="11" t="s">
        <v>3784</v>
      </c>
      <c r="BO195" s="12" t="s">
        <v>319</v>
      </c>
      <c r="BP195" s="12" t="s">
        <v>320</v>
      </c>
      <c r="BQ195" s="12" t="s">
        <v>319</v>
      </c>
      <c r="BR195" s="11" t="s">
        <v>3803</v>
      </c>
      <c r="BS195" s="11" t="s">
        <v>322</v>
      </c>
      <c r="BT195" s="11" t="s">
        <v>3804</v>
      </c>
      <c r="BU195" s="11" t="s">
        <v>3787</v>
      </c>
      <c r="BV195" s="22">
        <v>665</v>
      </c>
      <c r="BW195" s="22">
        <v>2828</v>
      </c>
      <c r="BX195" s="22">
        <v>3493</v>
      </c>
      <c r="BY195" s="22">
        <v>5554</v>
      </c>
      <c r="BZ195" s="22">
        <v>5758</v>
      </c>
      <c r="CA195" s="22">
        <v>11312</v>
      </c>
      <c r="CB195" s="15" t="s">
        <v>3805</v>
      </c>
      <c r="CL195" s="18"/>
      <c r="CP195" s="18"/>
      <c r="CT195" s="18"/>
      <c r="CX195" s="18"/>
      <c r="DB195" s="18"/>
      <c r="DF195" s="18"/>
      <c r="DJ195" s="18"/>
      <c r="DN195" s="18"/>
      <c r="DR195" s="18"/>
      <c r="DV195" s="18"/>
      <c r="DZ195" s="18"/>
      <c r="ED195" s="18"/>
      <c r="EI195" s="18"/>
      <c r="EK195" s="22">
        <v>665</v>
      </c>
      <c r="EL195" s="22">
        <v>2828</v>
      </c>
      <c r="EM195" s="22">
        <v>3493</v>
      </c>
      <c r="EN195" s="22">
        <v>5554</v>
      </c>
      <c r="EO195" s="22">
        <v>5758</v>
      </c>
      <c r="EP195" s="22">
        <v>11312</v>
      </c>
      <c r="EQ195" s="12" t="s">
        <v>320</v>
      </c>
      <c r="ER195" s="22">
        <v>2828</v>
      </c>
      <c r="ES195" s="18"/>
      <c r="ET195" s="22">
        <v>11312</v>
      </c>
      <c r="EW195" s="18"/>
      <c r="FA195" s="18"/>
      <c r="FE195" s="18"/>
      <c r="FI195" s="18"/>
      <c r="FM195" s="18"/>
      <c r="FO195" s="12" t="s">
        <v>320</v>
      </c>
      <c r="FP195" s="22">
        <v>665</v>
      </c>
      <c r="FQ195" s="18">
        <v>1</v>
      </c>
      <c r="FU195" s="18"/>
      <c r="FY195" s="18"/>
      <c r="GC195" s="18"/>
      <c r="GG195" s="18"/>
      <c r="GK195" s="18"/>
      <c r="GO195" s="18"/>
      <c r="GS195" s="18"/>
      <c r="GW195" s="18"/>
      <c r="HA195" s="18"/>
      <c r="HF195" s="18"/>
      <c r="HH195" s="11" t="s">
        <v>319</v>
      </c>
      <c r="HL195" s="11" t="s">
        <v>320</v>
      </c>
      <c r="HM195" s="11" t="s">
        <v>544</v>
      </c>
      <c r="HN195" s="11">
        <v>2018</v>
      </c>
      <c r="HP195" s="11" t="s">
        <v>418</v>
      </c>
      <c r="HQ195" s="11" t="s">
        <v>319</v>
      </c>
      <c r="HR195" s="11" t="s">
        <v>319</v>
      </c>
      <c r="HS195" s="11" t="s">
        <v>320</v>
      </c>
      <c r="HT195" s="11" t="s">
        <v>320</v>
      </c>
      <c r="HU195" s="11" t="s">
        <v>319</v>
      </c>
      <c r="HV195" s="11" t="s">
        <v>319</v>
      </c>
      <c r="HW195" s="11" t="s">
        <v>319</v>
      </c>
      <c r="HX195" s="11" t="s">
        <v>319</v>
      </c>
      <c r="HZ195" s="11" t="s">
        <v>363</v>
      </c>
      <c r="IA195" s="11" t="s">
        <v>3806</v>
      </c>
      <c r="IB195" s="11" t="s">
        <v>667</v>
      </c>
      <c r="IC195" s="11" t="s">
        <v>3807</v>
      </c>
      <c r="ID195" s="11" t="s">
        <v>364</v>
      </c>
      <c r="IE195" s="11" t="s">
        <v>335</v>
      </c>
      <c r="IF195" s="11" t="s">
        <v>320</v>
      </c>
      <c r="IG195" s="11" t="s">
        <v>320</v>
      </c>
      <c r="IH195" s="11" t="s">
        <v>319</v>
      </c>
      <c r="II195" s="11" t="s">
        <v>320</v>
      </c>
      <c r="IJ195" s="12" t="str">
        <f t="shared" si="130"/>
        <v>1. Neutral</v>
      </c>
      <c r="IK195" s="12">
        <f t="shared" si="131"/>
        <v>3</v>
      </c>
      <c r="IL195" s="11" t="s">
        <v>336</v>
      </c>
      <c r="IM195" s="11" t="s">
        <v>320</v>
      </c>
      <c r="IN195" s="11" t="s">
        <v>320</v>
      </c>
      <c r="IO195" s="11" t="s">
        <v>320</v>
      </c>
      <c r="IP195" s="11" t="s">
        <v>319</v>
      </c>
      <c r="IQ195" s="12" t="str">
        <f t="shared" si="132"/>
        <v>2. Accommodating</v>
      </c>
      <c r="IR195" s="12">
        <f t="shared" si="133"/>
        <v>3</v>
      </c>
      <c r="IS195" s="11" t="s">
        <v>337</v>
      </c>
      <c r="IT195" s="11" t="s">
        <v>320</v>
      </c>
      <c r="IU195" s="11" t="s">
        <v>320</v>
      </c>
      <c r="IV195" s="11" t="s">
        <v>320</v>
      </c>
      <c r="IW195" s="11" t="str">
        <f t="shared" si="134"/>
        <v>2. Sensitive</v>
      </c>
      <c r="IX195" s="12">
        <f t="shared" si="135"/>
        <v>3</v>
      </c>
      <c r="IY195" s="11" t="s">
        <v>419</v>
      </c>
      <c r="IZ195" s="11" t="s">
        <v>527</v>
      </c>
      <c r="JA195" s="11">
        <v>3</v>
      </c>
      <c r="JB195" s="11" t="s">
        <v>687</v>
      </c>
      <c r="JC195" s="11" t="s">
        <v>433</v>
      </c>
      <c r="JE195" s="11" t="s">
        <v>340</v>
      </c>
      <c r="JF195" s="11" t="s">
        <v>3808</v>
      </c>
      <c r="JG195" s="11" t="s">
        <v>3809</v>
      </c>
      <c r="JH195" s="11" t="s">
        <v>3810</v>
      </c>
      <c r="JI195" s="11" t="s">
        <v>3811</v>
      </c>
      <c r="JJ195" s="11" t="s">
        <v>3812</v>
      </c>
      <c r="JK195" s="11" t="s">
        <v>3813</v>
      </c>
      <c r="JL195" s="11" t="s">
        <v>3814</v>
      </c>
      <c r="JM195" s="11" t="s">
        <v>3815</v>
      </c>
      <c r="JP195" s="15">
        <f t="shared" si="136"/>
        <v>3493</v>
      </c>
      <c r="JQ195" s="15">
        <f t="shared" si="137"/>
        <v>11312</v>
      </c>
      <c r="JR195" s="279">
        <f t="shared" si="138"/>
        <v>3.2384769539078158</v>
      </c>
      <c r="JS195" s="17">
        <f t="shared" si="139"/>
        <v>0.19038076152304609</v>
      </c>
      <c r="JT195" s="18">
        <f t="shared" si="140"/>
        <v>0.49098302687411599</v>
      </c>
      <c r="JU195" s="280">
        <f t="shared" si="141"/>
        <v>665</v>
      </c>
      <c r="JV195" s="280">
        <f t="shared" si="142"/>
        <v>5554</v>
      </c>
      <c r="JW195" s="319" t="str">
        <f t="shared" si="143"/>
        <v/>
      </c>
      <c r="JX195" s="15">
        <f t="shared" si="144"/>
        <v>0</v>
      </c>
      <c r="JY195" s="15">
        <f t="shared" si="145"/>
        <v>0</v>
      </c>
      <c r="JZ195" s="19" t="str">
        <f t="shared" si="146"/>
        <v/>
      </c>
      <c r="KA195" s="52">
        <f t="shared" si="147"/>
        <v>1</v>
      </c>
      <c r="KB195" s="15">
        <f t="shared" si="148"/>
        <v>2828</v>
      </c>
      <c r="KC195" s="15">
        <f t="shared" si="149"/>
        <v>11312</v>
      </c>
      <c r="KD195" s="20">
        <f t="shared" si="150"/>
        <v>4</v>
      </c>
      <c r="KE195" s="52" t="str">
        <f t="shared" si="151"/>
        <v/>
      </c>
      <c r="KF195" s="15">
        <f t="shared" si="152"/>
        <v>0</v>
      </c>
      <c r="KG195" s="15">
        <f t="shared" si="153"/>
        <v>0</v>
      </c>
      <c r="KH195" s="21" t="str">
        <f t="shared" si="154"/>
        <v/>
      </c>
      <c r="KI195" s="52" t="str">
        <f t="shared" si="155"/>
        <v/>
      </c>
      <c r="KJ195" s="15">
        <f t="shared" si="156"/>
        <v>0</v>
      </c>
      <c r="KK195" s="15">
        <f t="shared" si="157"/>
        <v>0</v>
      </c>
      <c r="KL195" s="19" t="str">
        <f t="shared" si="158"/>
        <v/>
      </c>
      <c r="KM195" s="52" t="str">
        <f t="shared" si="159"/>
        <v/>
      </c>
      <c r="KN195" s="22">
        <f t="shared" si="160"/>
        <v>0</v>
      </c>
      <c r="KO195" s="22">
        <f t="shared" si="161"/>
        <v>0</v>
      </c>
      <c r="KP195" s="19" t="str">
        <f t="shared" si="162"/>
        <v/>
      </c>
      <c r="KQ195" s="11" t="str">
        <f t="shared" si="163"/>
        <v>1. Neutral</v>
      </c>
      <c r="KR195" s="11" t="str">
        <f t="shared" si="164"/>
        <v>2. Accommodating</v>
      </c>
      <c r="KS195" s="11" t="str">
        <f t="shared" si="165"/>
        <v>2. Sensitive</v>
      </c>
      <c r="KT195" s="11" t="str">
        <f t="shared" si="166"/>
        <v>It did not develop any specific innovation</v>
      </c>
      <c r="KU195" s="11" t="str">
        <f t="shared" si="167"/>
        <v>Little or no advocacy</v>
      </c>
      <c r="KV195" s="11" t="str">
        <f t="shared" si="168"/>
        <v>It took tested solutions to scale on its own</v>
      </c>
      <c r="KW195" s="11" t="str">
        <f t="shared" si="169"/>
        <v>Egypt - Our Children's Wheat (Phase II)</v>
      </c>
      <c r="KX195" s="11" t="str">
        <f t="shared" si="170"/>
        <v>Our Children's Wheat (Phase II)</v>
      </c>
      <c r="KY195" s="11" t="str">
        <f t="shared" si="171"/>
        <v>Egypt</v>
      </c>
      <c r="KZ195" s="12">
        <v>195</v>
      </c>
    </row>
    <row r="196" spans="1:312" x14ac:dyDescent="0.3">
      <c r="A196" s="11" t="s">
        <v>3546</v>
      </c>
      <c r="B196" s="11" t="s">
        <v>602</v>
      </c>
      <c r="C196" s="11">
        <v>2912</v>
      </c>
      <c r="D196" s="11" t="s">
        <v>3658</v>
      </c>
      <c r="E196" s="24" t="str">
        <f t="shared" si="129"/>
        <v>Egypt</v>
      </c>
      <c r="F196" s="11" t="s">
        <v>3659</v>
      </c>
      <c r="G196" s="11" t="s">
        <v>3618</v>
      </c>
      <c r="H196" s="11" t="s">
        <v>380</v>
      </c>
      <c r="I196" s="11" t="s">
        <v>381</v>
      </c>
      <c r="J196" s="278" t="s">
        <v>11578</v>
      </c>
      <c r="K196" s="11" t="s">
        <v>3660</v>
      </c>
      <c r="L196" s="11" t="s">
        <v>3618</v>
      </c>
      <c r="M196" s="11" t="s">
        <v>310</v>
      </c>
      <c r="N196" s="11" t="s">
        <v>655</v>
      </c>
      <c r="O196" s="11" t="s">
        <v>3661</v>
      </c>
      <c r="BD196" s="23">
        <v>42248</v>
      </c>
      <c r="BE196" s="23">
        <v>43100</v>
      </c>
      <c r="BG196" s="11" t="s">
        <v>1757</v>
      </c>
      <c r="BH196" s="22">
        <v>862969</v>
      </c>
      <c r="BI196" s="11" t="s">
        <v>3662</v>
      </c>
      <c r="BJ196" s="11" t="s">
        <v>3637</v>
      </c>
      <c r="BK196" s="11" t="s">
        <v>3663</v>
      </c>
      <c r="BL196" s="11" t="s">
        <v>3619</v>
      </c>
      <c r="BM196" s="11" t="s">
        <v>3620</v>
      </c>
      <c r="BN196" s="11" t="s">
        <v>3621</v>
      </c>
      <c r="BO196" s="11" t="s">
        <v>320</v>
      </c>
      <c r="BP196" s="11" t="s">
        <v>319</v>
      </c>
      <c r="BQ196" s="11" t="s">
        <v>319</v>
      </c>
      <c r="BR196" s="11" t="s">
        <v>3664</v>
      </c>
      <c r="BS196" s="11" t="s">
        <v>357</v>
      </c>
      <c r="BT196" s="11" t="s">
        <v>3665</v>
      </c>
      <c r="BU196" s="11" t="s">
        <v>3666</v>
      </c>
      <c r="BV196" s="22">
        <v>7677</v>
      </c>
      <c r="BW196" s="22">
        <v>1919</v>
      </c>
      <c r="BX196" s="22">
        <v>9596</v>
      </c>
      <c r="BY196" s="22">
        <v>30708</v>
      </c>
      <c r="BZ196" s="22">
        <v>7676</v>
      </c>
      <c r="CA196" s="22">
        <v>38384</v>
      </c>
      <c r="CB196" s="15" t="s">
        <v>3667</v>
      </c>
      <c r="CD196" s="22">
        <v>12006</v>
      </c>
      <c r="CE196" s="22">
        <v>2274</v>
      </c>
      <c r="CF196" s="22">
        <v>14280</v>
      </c>
      <c r="CI196" s="22">
        <v>2426</v>
      </c>
      <c r="CL196" s="18"/>
      <c r="CP196" s="18"/>
      <c r="CT196" s="18"/>
      <c r="CX196" s="18"/>
      <c r="CZ196" s="11" t="s">
        <v>320</v>
      </c>
      <c r="DA196" s="22">
        <v>13743</v>
      </c>
      <c r="DB196" s="18">
        <v>0.75</v>
      </c>
      <c r="DC196" s="22">
        <v>1710</v>
      </c>
      <c r="DF196" s="18"/>
      <c r="DJ196" s="18"/>
      <c r="DN196" s="18"/>
      <c r="DP196" s="12" t="s">
        <v>320</v>
      </c>
      <c r="DQ196" s="22">
        <v>537</v>
      </c>
      <c r="DR196" s="18">
        <v>0.8</v>
      </c>
      <c r="DV196" s="18"/>
      <c r="DX196" s="12" t="s">
        <v>320</v>
      </c>
      <c r="DY196" s="22">
        <v>179</v>
      </c>
      <c r="DZ196" s="18">
        <v>0.84</v>
      </c>
      <c r="EA196" s="22">
        <v>716</v>
      </c>
      <c r="ED196" s="18"/>
      <c r="EI196" s="18"/>
      <c r="ES196" s="18"/>
      <c r="EW196" s="18"/>
      <c r="FA196" s="18"/>
      <c r="FE196" s="18"/>
      <c r="FI196" s="18"/>
      <c r="FM196" s="18"/>
      <c r="FQ196" s="18"/>
      <c r="FU196" s="18"/>
      <c r="FY196" s="18"/>
      <c r="GC196" s="18"/>
      <c r="GG196" s="18"/>
      <c r="GK196" s="18"/>
      <c r="GO196" s="18"/>
      <c r="GS196" s="18"/>
      <c r="GW196" s="18"/>
      <c r="HA196" s="18"/>
      <c r="HF196" s="18"/>
      <c r="HH196" s="11" t="s">
        <v>320</v>
      </c>
      <c r="HI196" s="11" t="s">
        <v>327</v>
      </c>
      <c r="HJ196" s="11">
        <v>2016</v>
      </c>
      <c r="HK196" s="11" t="s">
        <v>320</v>
      </c>
      <c r="HL196" s="11" t="s">
        <v>320</v>
      </c>
      <c r="HM196" s="11" t="s">
        <v>361</v>
      </c>
      <c r="HN196" s="11">
        <v>2017</v>
      </c>
      <c r="HP196" s="11" t="s">
        <v>418</v>
      </c>
      <c r="HS196" s="11" t="s">
        <v>320</v>
      </c>
      <c r="HZ196" s="11" t="s">
        <v>331</v>
      </c>
      <c r="IB196" s="11" t="s">
        <v>333</v>
      </c>
      <c r="ID196" s="11" t="s">
        <v>477</v>
      </c>
      <c r="IE196" s="11" t="s">
        <v>478</v>
      </c>
      <c r="IF196" s="11" t="s">
        <v>320</v>
      </c>
      <c r="IG196" s="11" t="s">
        <v>320</v>
      </c>
      <c r="IH196" s="11" t="s">
        <v>320</v>
      </c>
      <c r="II196" s="11" t="s">
        <v>320</v>
      </c>
      <c r="IJ196" s="12" t="str">
        <f t="shared" si="130"/>
        <v>4. Transformative</v>
      </c>
      <c r="IK196" s="12">
        <f t="shared" si="131"/>
        <v>4</v>
      </c>
      <c r="IL196" s="11" t="s">
        <v>336</v>
      </c>
      <c r="IM196" s="11" t="s">
        <v>320</v>
      </c>
      <c r="IN196" s="11" t="s">
        <v>320</v>
      </c>
      <c r="IP196" s="11" t="s">
        <v>320</v>
      </c>
      <c r="IQ196" s="12" t="str">
        <f t="shared" si="132"/>
        <v>2. Accommodating</v>
      </c>
      <c r="IR196" s="12">
        <f t="shared" si="133"/>
        <v>3</v>
      </c>
      <c r="IS196" s="11" t="s">
        <v>337</v>
      </c>
      <c r="IT196" s="11" t="s">
        <v>320</v>
      </c>
      <c r="IU196" s="11" t="s">
        <v>320</v>
      </c>
      <c r="IV196" s="11" t="s">
        <v>319</v>
      </c>
      <c r="IW196" s="11" t="str">
        <f t="shared" si="134"/>
        <v>1. Neutral</v>
      </c>
      <c r="IX196" s="12">
        <f t="shared" si="135"/>
        <v>2</v>
      </c>
      <c r="IY196" s="11" t="s">
        <v>338</v>
      </c>
      <c r="IZ196" s="11" t="s">
        <v>339</v>
      </c>
      <c r="JE196" s="11" t="s">
        <v>365</v>
      </c>
      <c r="JG196" s="11" t="s">
        <v>3668</v>
      </c>
      <c r="JH196" s="11" t="s">
        <v>3669</v>
      </c>
      <c r="JI196" s="11" t="s">
        <v>3670</v>
      </c>
      <c r="JJ196" s="11" t="s">
        <v>3671</v>
      </c>
      <c r="JK196" s="11" t="s">
        <v>3672</v>
      </c>
      <c r="JL196" s="11" t="s">
        <v>3673</v>
      </c>
      <c r="JM196" s="11" t="s">
        <v>3674</v>
      </c>
      <c r="JP196" s="15">
        <f t="shared" si="136"/>
        <v>14280</v>
      </c>
      <c r="JQ196" s="15">
        <f t="shared" si="137"/>
        <v>2426</v>
      </c>
      <c r="JR196" s="279">
        <f t="shared" si="138"/>
        <v>0.16988795518207284</v>
      </c>
      <c r="JS196" s="17">
        <f t="shared" si="139"/>
        <v>0.84075630252100841</v>
      </c>
      <c r="JT196" s="18">
        <f t="shared" si="140"/>
        <v>0</v>
      </c>
      <c r="JU196" s="280">
        <f t="shared" si="141"/>
        <v>12006</v>
      </c>
      <c r="JV196" s="280">
        <f t="shared" si="142"/>
        <v>0</v>
      </c>
      <c r="JW196" s="319">
        <f t="shared" si="143"/>
        <v>1</v>
      </c>
      <c r="JX196" s="15">
        <f t="shared" si="144"/>
        <v>14280</v>
      </c>
      <c r="JY196" s="15">
        <f t="shared" si="145"/>
        <v>2426</v>
      </c>
      <c r="JZ196" s="19">
        <f t="shared" si="146"/>
        <v>0.16988795518207284</v>
      </c>
      <c r="KA196" s="52" t="str">
        <f t="shared" si="147"/>
        <v/>
      </c>
      <c r="KB196" s="15">
        <f t="shared" si="148"/>
        <v>0</v>
      </c>
      <c r="KC196" s="15">
        <f t="shared" si="149"/>
        <v>0</v>
      </c>
      <c r="KD196" s="20" t="str">
        <f t="shared" si="150"/>
        <v/>
      </c>
      <c r="KE196" s="52" t="str">
        <f t="shared" si="151"/>
        <v/>
      </c>
      <c r="KF196" s="15">
        <f t="shared" si="152"/>
        <v>0</v>
      </c>
      <c r="KG196" s="15">
        <f t="shared" si="153"/>
        <v>0</v>
      </c>
      <c r="KH196" s="21" t="str">
        <f t="shared" si="154"/>
        <v/>
      </c>
      <c r="KI196" s="52">
        <f t="shared" si="155"/>
        <v>1</v>
      </c>
      <c r="KJ196" s="15">
        <f t="shared" si="156"/>
        <v>13743</v>
      </c>
      <c r="KK196" s="15">
        <f t="shared" si="157"/>
        <v>1710</v>
      </c>
      <c r="KL196" s="19">
        <f t="shared" si="158"/>
        <v>0.12442698100851342</v>
      </c>
      <c r="KM196" s="52" t="str">
        <f t="shared" si="159"/>
        <v/>
      </c>
      <c r="KN196" s="22">
        <f t="shared" si="160"/>
        <v>0</v>
      </c>
      <c r="KO196" s="22">
        <f t="shared" si="161"/>
        <v>0</v>
      </c>
      <c r="KP196" s="19" t="str">
        <f t="shared" si="162"/>
        <v/>
      </c>
      <c r="KQ196" s="11" t="str">
        <f t="shared" si="163"/>
        <v>4. Transformative</v>
      </c>
      <c r="KR196" s="11" t="str">
        <f t="shared" si="164"/>
        <v>2. Accommodating</v>
      </c>
      <c r="KS196" s="11" t="str">
        <f t="shared" si="165"/>
        <v>1. Neutral</v>
      </c>
      <c r="KT196" s="11" t="str">
        <f t="shared" si="166"/>
        <v>It tested new ways for fighting poverty and measured results of innovation</v>
      </c>
      <c r="KU196" s="11" t="str">
        <f t="shared" si="167"/>
        <v>Little or no advocacy</v>
      </c>
      <c r="KV196" s="11" t="str">
        <f t="shared" si="168"/>
        <v>It did not take tested solutions to scale</v>
      </c>
      <c r="KW196" s="11" t="str">
        <f t="shared" si="169"/>
        <v>Egypt - Preventing SGBV among Syrian Refugees in Egypt: 2912
Prevention and Response to SGBV: 2913</v>
      </c>
      <c r="KX196" s="11" t="str">
        <f t="shared" si="170"/>
        <v>Preventing SGBV among Syrian Refugees in Egypt: 2912
Prevention and Response to SGBV: 2913</v>
      </c>
      <c r="KY196" s="11" t="str">
        <f t="shared" si="171"/>
        <v>Egypt</v>
      </c>
      <c r="KZ196" s="12">
        <v>196</v>
      </c>
    </row>
    <row r="197" spans="1:312" x14ac:dyDescent="0.3">
      <c r="A197" s="11" t="s">
        <v>3546</v>
      </c>
      <c r="B197" s="11" t="s">
        <v>602</v>
      </c>
      <c r="C197" s="11">
        <v>2911</v>
      </c>
      <c r="D197" s="11" t="s">
        <v>3675</v>
      </c>
      <c r="E197" s="24" t="str">
        <f t="shared" si="129"/>
        <v>Egypt</v>
      </c>
      <c r="F197" s="11" t="s">
        <v>3676</v>
      </c>
      <c r="G197" s="11" t="s">
        <v>3618</v>
      </c>
      <c r="H197" s="11" t="s">
        <v>380</v>
      </c>
      <c r="I197" s="11" t="s">
        <v>381</v>
      </c>
      <c r="J197" s="278" t="s">
        <v>14573</v>
      </c>
      <c r="BD197" s="23">
        <v>41061</v>
      </c>
      <c r="BE197" s="23">
        <v>43100</v>
      </c>
      <c r="BG197" s="11" t="s">
        <v>609</v>
      </c>
      <c r="BH197" s="22">
        <v>948769</v>
      </c>
      <c r="BI197" s="11" t="s">
        <v>3619</v>
      </c>
      <c r="BJ197" s="11" t="s">
        <v>3620</v>
      </c>
      <c r="BK197" s="11" t="s">
        <v>3621</v>
      </c>
      <c r="BO197" s="12" t="s">
        <v>319</v>
      </c>
      <c r="BP197" s="12" t="s">
        <v>320</v>
      </c>
      <c r="BQ197" s="12" t="s">
        <v>319</v>
      </c>
      <c r="BR197" s="11" t="s">
        <v>3677</v>
      </c>
      <c r="BS197" s="11" t="s">
        <v>357</v>
      </c>
      <c r="BT197" s="11" t="s">
        <v>3678</v>
      </c>
      <c r="BU197" s="11" t="s">
        <v>3679</v>
      </c>
      <c r="BV197" s="22">
        <v>0</v>
      </c>
      <c r="BW197" s="22">
        <v>0</v>
      </c>
      <c r="BX197" s="22">
        <v>0</v>
      </c>
      <c r="BY197" s="22">
        <v>0</v>
      </c>
      <c r="BZ197" s="22">
        <v>0</v>
      </c>
      <c r="CA197" s="22">
        <v>0</v>
      </c>
      <c r="CB197" s="15" t="s">
        <v>3680</v>
      </c>
      <c r="CL197" s="18"/>
      <c r="CP197" s="18"/>
      <c r="CT197" s="18"/>
      <c r="CX197" s="18"/>
      <c r="DB197" s="18"/>
      <c r="DF197" s="18"/>
      <c r="DJ197" s="18"/>
      <c r="DN197" s="18"/>
      <c r="DR197" s="18"/>
      <c r="DV197" s="18"/>
      <c r="DZ197" s="18"/>
      <c r="ED197" s="18"/>
      <c r="EI197" s="18"/>
      <c r="EK197" s="22">
        <v>2465</v>
      </c>
      <c r="EL197" s="22">
        <v>2110</v>
      </c>
      <c r="EM197" s="22">
        <v>4575</v>
      </c>
      <c r="EN197" s="22">
        <v>939</v>
      </c>
      <c r="EO197" s="22">
        <v>251</v>
      </c>
      <c r="EP197" s="22">
        <v>1190</v>
      </c>
      <c r="ES197" s="18"/>
      <c r="EW197" s="18"/>
      <c r="FA197" s="18"/>
      <c r="FE197" s="18"/>
      <c r="FI197" s="18"/>
      <c r="FM197" s="18"/>
      <c r="FQ197" s="18"/>
      <c r="FS197" s="12" t="s">
        <v>320</v>
      </c>
      <c r="FT197" s="22">
        <v>4200</v>
      </c>
      <c r="FU197" s="18">
        <v>0.55000000000000004</v>
      </c>
      <c r="FV197" s="22">
        <v>1390</v>
      </c>
      <c r="FW197" s="11" t="s">
        <v>320</v>
      </c>
      <c r="FX197" s="22">
        <v>160</v>
      </c>
      <c r="FY197" s="18">
        <v>0.49</v>
      </c>
      <c r="GC197" s="18"/>
      <c r="GG197" s="18"/>
      <c r="GK197" s="18"/>
      <c r="GM197" s="11" t="s">
        <v>320</v>
      </c>
      <c r="GN197" s="22">
        <v>215</v>
      </c>
      <c r="GO197" s="18">
        <v>0.41</v>
      </c>
      <c r="GS197" s="18"/>
      <c r="GW197" s="18"/>
      <c r="HA197" s="18"/>
      <c r="HF197" s="18"/>
      <c r="HH197" s="11" t="s">
        <v>319</v>
      </c>
      <c r="HK197" s="11" t="s">
        <v>319</v>
      </c>
      <c r="HL197" s="11" t="s">
        <v>320</v>
      </c>
      <c r="HM197" s="11" t="s">
        <v>361</v>
      </c>
      <c r="HN197" s="11">
        <v>2017</v>
      </c>
      <c r="HP197" s="11" t="s">
        <v>330</v>
      </c>
      <c r="HS197" s="11" t="s">
        <v>320</v>
      </c>
      <c r="HX197" s="11" t="s">
        <v>320</v>
      </c>
      <c r="HY197" s="11" t="s">
        <v>3681</v>
      </c>
      <c r="HZ197" s="11" t="s">
        <v>394</v>
      </c>
      <c r="IB197" s="11" t="s">
        <v>396</v>
      </c>
      <c r="ID197" s="11" t="s">
        <v>477</v>
      </c>
      <c r="IE197" s="11" t="s">
        <v>478</v>
      </c>
      <c r="IF197" s="11" t="s">
        <v>320</v>
      </c>
      <c r="IG197" s="11" t="s">
        <v>320</v>
      </c>
      <c r="IH197" s="11" t="s">
        <v>320</v>
      </c>
      <c r="II197" s="11" t="s">
        <v>320</v>
      </c>
      <c r="IJ197" s="12" t="str">
        <f t="shared" si="130"/>
        <v>4. Transformative</v>
      </c>
      <c r="IK197" s="12">
        <f t="shared" si="131"/>
        <v>4</v>
      </c>
      <c r="IL197" s="11" t="s">
        <v>336</v>
      </c>
      <c r="IM197" s="11" t="s">
        <v>320</v>
      </c>
      <c r="IN197" s="11" t="s">
        <v>320</v>
      </c>
      <c r="IO197" s="11" t="s">
        <v>320</v>
      </c>
      <c r="IP197" s="11" t="s">
        <v>320</v>
      </c>
      <c r="IQ197" s="12" t="str">
        <f t="shared" si="132"/>
        <v>2. Accommodating</v>
      </c>
      <c r="IR197" s="12">
        <f t="shared" si="133"/>
        <v>4</v>
      </c>
      <c r="IS197" s="11" t="s">
        <v>337</v>
      </c>
      <c r="IT197" s="11" t="s">
        <v>320</v>
      </c>
      <c r="IU197" s="11" t="s">
        <v>320</v>
      </c>
      <c r="IV197" s="11" t="s">
        <v>320</v>
      </c>
      <c r="IW197" s="11" t="str">
        <f t="shared" si="134"/>
        <v>2. Sensitive</v>
      </c>
      <c r="IX197" s="12">
        <f t="shared" si="135"/>
        <v>3</v>
      </c>
      <c r="IY197" s="11" t="s">
        <v>338</v>
      </c>
      <c r="IZ197" s="11" t="s">
        <v>457</v>
      </c>
      <c r="JA197" s="11">
        <v>3</v>
      </c>
      <c r="JB197" s="11" t="s">
        <v>624</v>
      </c>
      <c r="JE197" s="11" t="s">
        <v>340</v>
      </c>
      <c r="JG197" s="11" t="s">
        <v>3682</v>
      </c>
      <c r="JH197" s="11" t="s">
        <v>3683</v>
      </c>
      <c r="JI197" s="11" t="s">
        <v>3684</v>
      </c>
      <c r="JJ197" s="11" t="s">
        <v>3685</v>
      </c>
      <c r="JK197" s="11" t="s">
        <v>3686</v>
      </c>
      <c r="JL197" s="11" t="s">
        <v>3687</v>
      </c>
      <c r="JM197" s="11" t="s">
        <v>3688</v>
      </c>
      <c r="JP197" s="15">
        <f t="shared" si="136"/>
        <v>4575</v>
      </c>
      <c r="JQ197" s="15">
        <f t="shared" si="137"/>
        <v>1190</v>
      </c>
      <c r="JR197" s="279">
        <f t="shared" si="138"/>
        <v>0.26010928961748636</v>
      </c>
      <c r="JS197" s="17">
        <f t="shared" si="139"/>
        <v>0.53879781420765027</v>
      </c>
      <c r="JT197" s="18">
        <f t="shared" si="140"/>
        <v>0.78907563025210081</v>
      </c>
      <c r="JU197" s="280">
        <f t="shared" si="141"/>
        <v>2465</v>
      </c>
      <c r="JV197" s="280">
        <f t="shared" si="142"/>
        <v>939</v>
      </c>
      <c r="JW197" s="319" t="str">
        <f t="shared" si="143"/>
        <v/>
      </c>
      <c r="JX197" s="15">
        <f t="shared" si="144"/>
        <v>0</v>
      </c>
      <c r="JY197" s="15">
        <f t="shared" si="145"/>
        <v>0</v>
      </c>
      <c r="JZ197" s="19" t="str">
        <f t="shared" si="146"/>
        <v/>
      </c>
      <c r="KA197" s="52" t="str">
        <f t="shared" si="147"/>
        <v/>
      </c>
      <c r="KB197" s="15">
        <f t="shared" si="148"/>
        <v>0</v>
      </c>
      <c r="KC197" s="15">
        <f t="shared" si="149"/>
        <v>0</v>
      </c>
      <c r="KD197" s="20" t="str">
        <f t="shared" si="150"/>
        <v/>
      </c>
      <c r="KE197" s="52" t="str">
        <f t="shared" si="151"/>
        <v/>
      </c>
      <c r="KF197" s="15">
        <f t="shared" si="152"/>
        <v>0</v>
      </c>
      <c r="KG197" s="15">
        <f t="shared" si="153"/>
        <v>0</v>
      </c>
      <c r="KH197" s="21" t="str">
        <f t="shared" si="154"/>
        <v/>
      </c>
      <c r="KI197" s="52">
        <f t="shared" si="155"/>
        <v>1</v>
      </c>
      <c r="KJ197" s="15">
        <f t="shared" si="156"/>
        <v>4200</v>
      </c>
      <c r="KK197" s="15">
        <f t="shared" si="157"/>
        <v>1390</v>
      </c>
      <c r="KL197" s="19">
        <f t="shared" si="158"/>
        <v>0.33095238095238094</v>
      </c>
      <c r="KM197" s="52" t="str">
        <f t="shared" si="159"/>
        <v/>
      </c>
      <c r="KN197" s="22">
        <f t="shared" si="160"/>
        <v>0</v>
      </c>
      <c r="KO197" s="22">
        <f t="shared" si="161"/>
        <v>0</v>
      </c>
      <c r="KP197" s="19" t="str">
        <f t="shared" si="162"/>
        <v/>
      </c>
      <c r="KQ197" s="11" t="str">
        <f t="shared" si="163"/>
        <v>4. Transformative</v>
      </c>
      <c r="KR197" s="11" t="str">
        <f t="shared" si="164"/>
        <v>2. Accommodating</v>
      </c>
      <c r="KS197" s="11" t="str">
        <f t="shared" si="165"/>
        <v>2. Sensitive</v>
      </c>
      <c r="KT197" s="11" t="str">
        <f t="shared" si="166"/>
        <v>It tested new ways for fighting poverty, but did not measure results of innovation</v>
      </c>
      <c r="KU197" s="11" t="str">
        <f t="shared" si="167"/>
        <v>Moderate advocacy</v>
      </c>
      <c r="KV197" s="11" t="str">
        <f t="shared" si="168"/>
        <v>It linked and worked with strategic alliances and partners to take tested and effective solutions to scale</v>
      </c>
      <c r="KW197" s="11" t="str">
        <f t="shared" si="169"/>
        <v>Egypt - Safe Cities Free From Violence Against Women and Girls</v>
      </c>
      <c r="KX197" s="11" t="str">
        <f t="shared" si="170"/>
        <v>Safe Cities Free From Violence Against Women and Girls</v>
      </c>
      <c r="KY197" s="11" t="str">
        <f t="shared" si="171"/>
        <v>Egypt</v>
      </c>
      <c r="KZ197" s="12">
        <v>197</v>
      </c>
    </row>
    <row r="198" spans="1:312" x14ac:dyDescent="0.3">
      <c r="A198" s="11" t="s">
        <v>3546</v>
      </c>
      <c r="B198" s="11" t="s">
        <v>602</v>
      </c>
      <c r="C198" s="11">
        <v>2920</v>
      </c>
      <c r="D198" s="11" t="s">
        <v>3719</v>
      </c>
      <c r="E198" s="24" t="str">
        <f t="shared" si="129"/>
        <v>Egypt</v>
      </c>
      <c r="F198" s="11" t="s">
        <v>3720</v>
      </c>
      <c r="G198" s="11" t="s">
        <v>605</v>
      </c>
      <c r="H198" s="11" t="s">
        <v>380</v>
      </c>
      <c r="I198" s="11" t="s">
        <v>517</v>
      </c>
      <c r="J198" s="278"/>
      <c r="BD198" s="23">
        <v>42005</v>
      </c>
      <c r="BE198" s="23">
        <v>42825</v>
      </c>
      <c r="BF198" s="23">
        <v>43008</v>
      </c>
      <c r="BG198" s="11" t="s">
        <v>312</v>
      </c>
      <c r="BH198" s="22">
        <v>538045</v>
      </c>
      <c r="BI198" s="11" t="s">
        <v>3721</v>
      </c>
      <c r="BJ198" s="11" t="s">
        <v>3722</v>
      </c>
      <c r="BK198" s="11" t="s">
        <v>3723</v>
      </c>
      <c r="BL198" s="11" t="s">
        <v>3549</v>
      </c>
      <c r="BM198" s="11" t="s">
        <v>3550</v>
      </c>
      <c r="BN198" s="11" t="s">
        <v>3551</v>
      </c>
      <c r="BO198" s="12" t="s">
        <v>319</v>
      </c>
      <c r="BP198" s="12" t="s">
        <v>320</v>
      </c>
      <c r="BQ198" s="12" t="s">
        <v>319</v>
      </c>
      <c r="BR198" s="11" t="s">
        <v>3724</v>
      </c>
      <c r="BS198" s="11" t="s">
        <v>357</v>
      </c>
      <c r="BT198" s="11" t="s">
        <v>3725</v>
      </c>
      <c r="BU198" s="11" t="s">
        <v>3726</v>
      </c>
      <c r="BV198" s="22">
        <v>20</v>
      </c>
      <c r="BW198" s="22">
        <v>1835</v>
      </c>
      <c r="BX198" s="22">
        <v>1855</v>
      </c>
      <c r="BY198" s="22">
        <v>60078</v>
      </c>
      <c r="BZ198" s="22">
        <v>57722</v>
      </c>
      <c r="CA198" s="22">
        <v>117800</v>
      </c>
      <c r="CB198" s="15" t="s">
        <v>3727</v>
      </c>
      <c r="CL198" s="18"/>
      <c r="CP198" s="18"/>
      <c r="CT198" s="18"/>
      <c r="CX198" s="18"/>
      <c r="DB198" s="18"/>
      <c r="DF198" s="18"/>
      <c r="DJ198" s="18"/>
      <c r="DN198" s="18"/>
      <c r="DR198" s="18"/>
      <c r="DV198" s="18"/>
      <c r="DZ198" s="18"/>
      <c r="ED198" s="18"/>
      <c r="EI198" s="18"/>
      <c r="EK198" s="22">
        <v>0</v>
      </c>
      <c r="EL198" s="22">
        <v>580</v>
      </c>
      <c r="EM198" s="22">
        <v>580</v>
      </c>
      <c r="EN198" s="22">
        <v>2469</v>
      </c>
      <c r="EO198" s="22">
        <v>2372</v>
      </c>
      <c r="EP198" s="22">
        <v>4841</v>
      </c>
      <c r="ES198" s="18"/>
      <c r="EW198" s="18"/>
      <c r="FA198" s="18"/>
      <c r="FE198" s="18"/>
      <c r="FI198" s="18"/>
      <c r="FM198" s="18"/>
      <c r="FQ198" s="18"/>
      <c r="FU198" s="18"/>
      <c r="FY198" s="18"/>
      <c r="GC198" s="18"/>
      <c r="GG198" s="18"/>
      <c r="GK198" s="18"/>
      <c r="GM198" s="11" t="s">
        <v>320</v>
      </c>
      <c r="GN198" s="22">
        <v>580</v>
      </c>
      <c r="GO198" s="18">
        <v>0</v>
      </c>
      <c r="GP198" s="22">
        <v>4841</v>
      </c>
      <c r="GS198" s="18"/>
      <c r="GW198" s="18"/>
      <c r="HA198" s="18"/>
      <c r="HF198" s="18"/>
      <c r="HH198" s="11" t="s">
        <v>319</v>
      </c>
      <c r="HL198" s="11" t="s">
        <v>320</v>
      </c>
      <c r="HM198" s="11" t="s">
        <v>619</v>
      </c>
      <c r="HN198" s="11">
        <v>2017</v>
      </c>
      <c r="HO198" s="11" t="s">
        <v>3728</v>
      </c>
      <c r="HP198" s="11" t="s">
        <v>330</v>
      </c>
      <c r="HS198" s="11" t="s">
        <v>320</v>
      </c>
      <c r="HX198" s="11" t="s">
        <v>320</v>
      </c>
      <c r="HY198" s="11" t="s">
        <v>3729</v>
      </c>
      <c r="HZ198" s="11" t="s">
        <v>394</v>
      </c>
      <c r="IA198" s="11" t="s">
        <v>3730</v>
      </c>
      <c r="IB198" s="11" t="s">
        <v>396</v>
      </c>
      <c r="IC198" s="11" t="s">
        <v>3731</v>
      </c>
      <c r="ID198" s="11" t="s">
        <v>364</v>
      </c>
      <c r="IE198" s="11" t="s">
        <v>335</v>
      </c>
      <c r="IF198" s="11" t="s">
        <v>320</v>
      </c>
      <c r="IG198" s="11" t="s">
        <v>319</v>
      </c>
      <c r="IH198" s="11" t="s">
        <v>320</v>
      </c>
      <c r="II198" s="11" t="s">
        <v>319</v>
      </c>
      <c r="IJ198" s="12" t="str">
        <f t="shared" si="130"/>
        <v>1. Neutral</v>
      </c>
      <c r="IK198" s="12">
        <f t="shared" si="131"/>
        <v>2</v>
      </c>
      <c r="IL198" s="11" t="s">
        <v>621</v>
      </c>
      <c r="IM198" s="11" t="s">
        <v>320</v>
      </c>
      <c r="IN198" s="11" t="s">
        <v>320</v>
      </c>
      <c r="IO198" s="11" t="s">
        <v>320</v>
      </c>
      <c r="IP198" s="11" t="s">
        <v>320</v>
      </c>
      <c r="IQ198" s="12" t="str">
        <f t="shared" si="132"/>
        <v>4. Transformational</v>
      </c>
      <c r="IR198" s="12">
        <f t="shared" si="133"/>
        <v>4</v>
      </c>
      <c r="IS198" s="11" t="s">
        <v>456</v>
      </c>
      <c r="IT198" s="11" t="s">
        <v>319</v>
      </c>
      <c r="IU198" s="11" t="s">
        <v>320</v>
      </c>
      <c r="IV198" s="11" t="s">
        <v>320</v>
      </c>
      <c r="IW198" s="11" t="str">
        <f t="shared" si="134"/>
        <v>0. Harmful</v>
      </c>
      <c r="IX198" s="12">
        <f t="shared" si="135"/>
        <v>2</v>
      </c>
      <c r="IY198" s="11" t="s">
        <v>338</v>
      </c>
      <c r="IZ198" s="11" t="s">
        <v>457</v>
      </c>
      <c r="JA198" s="11">
        <v>4</v>
      </c>
      <c r="JB198" s="11" t="s">
        <v>687</v>
      </c>
      <c r="JC198" s="11" t="s">
        <v>433</v>
      </c>
      <c r="JD198" s="11" t="s">
        <v>623</v>
      </c>
      <c r="JE198" s="11" t="s">
        <v>340</v>
      </c>
      <c r="JF198" s="11" t="s">
        <v>3732</v>
      </c>
      <c r="JH198" s="11" t="s">
        <v>3733</v>
      </c>
      <c r="JI198" s="11" t="s">
        <v>3734</v>
      </c>
      <c r="JJ198" s="11" t="s">
        <v>3735</v>
      </c>
      <c r="JK198" s="11" t="s">
        <v>3736</v>
      </c>
      <c r="JL198" s="11" t="s">
        <v>3737</v>
      </c>
      <c r="JM198" s="11" t="s">
        <v>3738</v>
      </c>
      <c r="JO198" s="11" t="s">
        <v>3739</v>
      </c>
      <c r="JP198" s="15">
        <f t="shared" si="136"/>
        <v>580</v>
      </c>
      <c r="JQ198" s="15">
        <f t="shared" si="137"/>
        <v>4841</v>
      </c>
      <c r="JR198" s="279">
        <f t="shared" si="138"/>
        <v>8.3465517241379317</v>
      </c>
      <c r="JS198" s="17">
        <f t="shared" si="139"/>
        <v>0</v>
      </c>
      <c r="JT198" s="18">
        <f t="shared" si="140"/>
        <v>0.51001859120016524</v>
      </c>
      <c r="JU198" s="280">
        <f t="shared" si="141"/>
        <v>0</v>
      </c>
      <c r="JV198" s="280">
        <f t="shared" si="142"/>
        <v>2469</v>
      </c>
      <c r="JW198" s="319" t="str">
        <f t="shared" si="143"/>
        <v/>
      </c>
      <c r="JX198" s="15">
        <f t="shared" si="144"/>
        <v>0</v>
      </c>
      <c r="JY198" s="15">
        <f t="shared" si="145"/>
        <v>0</v>
      </c>
      <c r="JZ198" s="19" t="str">
        <f t="shared" si="146"/>
        <v/>
      </c>
      <c r="KA198" s="52" t="str">
        <f t="shared" si="147"/>
        <v/>
      </c>
      <c r="KB198" s="15">
        <f t="shared" si="148"/>
        <v>0</v>
      </c>
      <c r="KC198" s="15">
        <f t="shared" si="149"/>
        <v>0</v>
      </c>
      <c r="KD198" s="20" t="str">
        <f t="shared" si="150"/>
        <v/>
      </c>
      <c r="KE198" s="52" t="str">
        <f t="shared" si="151"/>
        <v/>
      </c>
      <c r="KF198" s="15">
        <f t="shared" si="152"/>
        <v>0</v>
      </c>
      <c r="KG198" s="15">
        <f t="shared" si="153"/>
        <v>0</v>
      </c>
      <c r="KH198" s="21" t="str">
        <f t="shared" si="154"/>
        <v/>
      </c>
      <c r="KI198" s="52" t="str">
        <f t="shared" si="155"/>
        <v/>
      </c>
      <c r="KJ198" s="15">
        <f t="shared" si="156"/>
        <v>0</v>
      </c>
      <c r="KK198" s="15">
        <f t="shared" si="157"/>
        <v>0</v>
      </c>
      <c r="KL198" s="19" t="str">
        <f t="shared" si="158"/>
        <v/>
      </c>
      <c r="KM198" s="52" t="str">
        <f t="shared" si="159"/>
        <v/>
      </c>
      <c r="KN198" s="22">
        <f t="shared" si="160"/>
        <v>0</v>
      </c>
      <c r="KO198" s="22">
        <f t="shared" si="161"/>
        <v>0</v>
      </c>
      <c r="KP198" s="19" t="str">
        <f t="shared" si="162"/>
        <v/>
      </c>
      <c r="KQ198" s="11" t="str">
        <f t="shared" si="163"/>
        <v>1. Neutral</v>
      </c>
      <c r="KR198" s="11" t="str">
        <f t="shared" si="164"/>
        <v>4. Transformational</v>
      </c>
      <c r="KS198" s="11" t="str">
        <f t="shared" si="165"/>
        <v>0. Harmful</v>
      </c>
      <c r="KT198" s="11" t="str">
        <f t="shared" si="166"/>
        <v>It tested new ways for fighting poverty, but did not measure results of innovation</v>
      </c>
      <c r="KU198" s="11" t="str">
        <f t="shared" si="167"/>
        <v>Moderate advocacy</v>
      </c>
      <c r="KV198" s="11" t="str">
        <f t="shared" si="168"/>
        <v>It linked and worked with strategic alliances and partners to take tested and effective solutions to scale</v>
      </c>
      <c r="KW198" s="11" t="str">
        <f t="shared" si="169"/>
        <v>Egypt - Strengthening Civil Society Participation in the Agricultural Sector in Egypt</v>
      </c>
      <c r="KX198" s="11" t="str">
        <f t="shared" si="170"/>
        <v>Strengthening Civil Society Participation in the Agricultural Sector in Egypt</v>
      </c>
      <c r="KY198" s="11" t="str">
        <f t="shared" si="171"/>
        <v>Egypt</v>
      </c>
      <c r="KZ198" s="12">
        <v>198</v>
      </c>
    </row>
    <row r="199" spans="1:312" x14ac:dyDescent="0.3">
      <c r="A199" s="11" t="s">
        <v>3546</v>
      </c>
      <c r="B199" s="11" t="s">
        <v>602</v>
      </c>
      <c r="C199" s="11">
        <v>2907</v>
      </c>
      <c r="D199" s="11" t="s">
        <v>3603</v>
      </c>
      <c r="E199" s="24" t="str">
        <f t="shared" si="129"/>
        <v>Egypt</v>
      </c>
      <c r="F199" s="11">
        <v>2907</v>
      </c>
      <c r="G199" s="11" t="s">
        <v>1738</v>
      </c>
      <c r="H199" s="11" t="s">
        <v>380</v>
      </c>
      <c r="I199" s="11" t="s">
        <v>517</v>
      </c>
      <c r="J199" s="278" t="s">
        <v>14621</v>
      </c>
      <c r="BD199" s="23">
        <v>42555</v>
      </c>
      <c r="BE199" s="23">
        <v>42919</v>
      </c>
      <c r="BG199" s="11" t="s">
        <v>312</v>
      </c>
      <c r="BH199" s="22">
        <v>610308</v>
      </c>
      <c r="BI199" s="11" t="s">
        <v>3589</v>
      </c>
      <c r="BJ199" s="11" t="s">
        <v>3573</v>
      </c>
      <c r="BK199" s="11" t="s">
        <v>3590</v>
      </c>
      <c r="BL199" s="11" t="s">
        <v>3569</v>
      </c>
      <c r="BM199" s="11" t="s">
        <v>1602</v>
      </c>
      <c r="BN199" s="11" t="s">
        <v>3591</v>
      </c>
      <c r="BO199" s="12" t="s">
        <v>319</v>
      </c>
      <c r="BP199" s="12" t="s">
        <v>320</v>
      </c>
      <c r="BQ199" s="12" t="s">
        <v>319</v>
      </c>
      <c r="BR199" s="11" t="s">
        <v>3604</v>
      </c>
      <c r="BS199" s="11" t="s">
        <v>357</v>
      </c>
      <c r="BT199" s="11" t="s">
        <v>3605</v>
      </c>
      <c r="BU199" s="11" t="s">
        <v>3606</v>
      </c>
      <c r="BV199" s="22">
        <v>670</v>
      </c>
      <c r="BW199" s="22">
        <v>670</v>
      </c>
      <c r="BX199" s="22">
        <v>1340</v>
      </c>
      <c r="BY199" s="22">
        <v>8000</v>
      </c>
      <c r="BZ199" s="22">
        <v>8000</v>
      </c>
      <c r="CA199" s="22">
        <v>16000</v>
      </c>
      <c r="CB199" s="15" t="s">
        <v>3607</v>
      </c>
      <c r="CJ199" s="11" t="s">
        <v>319</v>
      </c>
      <c r="CL199" s="18"/>
      <c r="CN199" s="11" t="s">
        <v>319</v>
      </c>
      <c r="CP199" s="18"/>
      <c r="CR199" s="11" t="s">
        <v>319</v>
      </c>
      <c r="CT199" s="18"/>
      <c r="CV199" s="11" t="s">
        <v>319</v>
      </c>
      <c r="CX199" s="18"/>
      <c r="CZ199" s="11" t="s">
        <v>319</v>
      </c>
      <c r="DB199" s="18"/>
      <c r="DD199" s="11" t="s">
        <v>319</v>
      </c>
      <c r="DF199" s="18"/>
      <c r="DH199" s="11" t="s">
        <v>319</v>
      </c>
      <c r="DJ199" s="18"/>
      <c r="DL199" s="11" t="s">
        <v>319</v>
      </c>
      <c r="DN199" s="18"/>
      <c r="DP199" s="11" t="s">
        <v>319</v>
      </c>
      <c r="DR199" s="18"/>
      <c r="DT199" s="11" t="s">
        <v>319</v>
      </c>
      <c r="DV199" s="18"/>
      <c r="DX199" s="11" t="s">
        <v>319</v>
      </c>
      <c r="DZ199" s="18"/>
      <c r="EB199" s="11" t="s">
        <v>319</v>
      </c>
      <c r="ED199" s="18"/>
      <c r="EG199" s="15" t="s">
        <v>319</v>
      </c>
      <c r="EI199" s="18"/>
      <c r="EM199" s="22">
        <v>579</v>
      </c>
      <c r="EN199" s="22">
        <v>5302</v>
      </c>
      <c r="EO199" s="22">
        <v>5302</v>
      </c>
      <c r="EP199" s="22">
        <v>10604</v>
      </c>
      <c r="EQ199" s="12" t="s">
        <v>319</v>
      </c>
      <c r="ES199" s="18"/>
      <c r="EU199" s="11" t="s">
        <v>319</v>
      </c>
      <c r="EW199" s="18"/>
      <c r="EY199" s="12" t="s">
        <v>319</v>
      </c>
      <c r="FA199" s="18"/>
      <c r="FC199" s="12" t="s">
        <v>319</v>
      </c>
      <c r="FE199" s="18"/>
      <c r="FG199" s="12" t="s">
        <v>319</v>
      </c>
      <c r="FI199" s="18"/>
      <c r="FK199" s="12" t="s">
        <v>320</v>
      </c>
      <c r="FL199" s="22">
        <v>579</v>
      </c>
      <c r="FM199" s="18"/>
      <c r="FN199" s="22">
        <v>10604</v>
      </c>
      <c r="FO199" s="11" t="s">
        <v>319</v>
      </c>
      <c r="FQ199" s="18"/>
      <c r="FS199" s="11" t="s">
        <v>319</v>
      </c>
      <c r="FU199" s="18"/>
      <c r="FW199" s="11" t="s">
        <v>319</v>
      </c>
      <c r="FY199" s="18"/>
      <c r="GA199" s="11" t="s">
        <v>319</v>
      </c>
      <c r="GC199" s="18"/>
      <c r="GE199" s="11" t="s">
        <v>319</v>
      </c>
      <c r="GG199" s="18"/>
      <c r="GI199" s="11" t="s">
        <v>319</v>
      </c>
      <c r="GK199" s="18"/>
      <c r="GM199" s="11" t="s">
        <v>320</v>
      </c>
      <c r="GN199" s="22">
        <v>511</v>
      </c>
      <c r="GO199" s="18"/>
      <c r="GP199" s="22">
        <v>1354</v>
      </c>
      <c r="GQ199" s="11" t="s">
        <v>319</v>
      </c>
      <c r="GS199" s="18"/>
      <c r="GU199" s="11" t="s">
        <v>319</v>
      </c>
      <c r="GW199" s="18"/>
      <c r="GY199" s="11" t="s">
        <v>319</v>
      </c>
      <c r="HA199" s="18"/>
      <c r="HD199" s="11" t="s">
        <v>319</v>
      </c>
      <c r="HF199" s="18"/>
      <c r="HH199" s="11" t="s">
        <v>320</v>
      </c>
      <c r="HI199" s="11" t="s">
        <v>560</v>
      </c>
      <c r="HJ199" s="11">
        <v>2017</v>
      </c>
      <c r="HK199" s="11" t="s">
        <v>319</v>
      </c>
      <c r="HL199" s="11" t="s">
        <v>319</v>
      </c>
      <c r="HP199" s="11" t="s">
        <v>330</v>
      </c>
      <c r="HQ199" s="11" t="s">
        <v>319</v>
      </c>
      <c r="HR199" s="11" t="s">
        <v>319</v>
      </c>
      <c r="HS199" s="11" t="s">
        <v>320</v>
      </c>
      <c r="HT199" s="11" t="s">
        <v>320</v>
      </c>
      <c r="HU199" s="11" t="s">
        <v>319</v>
      </c>
      <c r="HV199" s="11" t="s">
        <v>319</v>
      </c>
      <c r="HW199" s="11" t="s">
        <v>320</v>
      </c>
      <c r="HX199" s="11" t="s">
        <v>319</v>
      </c>
      <c r="HZ199" s="11" t="s">
        <v>363</v>
      </c>
      <c r="IB199" s="11" t="s">
        <v>396</v>
      </c>
      <c r="IC199" s="11" t="s">
        <v>3608</v>
      </c>
      <c r="ID199" s="11" t="s">
        <v>364</v>
      </c>
      <c r="IE199" s="11" t="s">
        <v>335</v>
      </c>
      <c r="IF199" s="11" t="s">
        <v>320</v>
      </c>
      <c r="IG199" s="11" t="s">
        <v>320</v>
      </c>
      <c r="IH199" s="11" t="s">
        <v>320</v>
      </c>
      <c r="II199" s="11" t="s">
        <v>319</v>
      </c>
      <c r="IJ199" s="12" t="str">
        <f t="shared" si="130"/>
        <v>1. Neutral</v>
      </c>
      <c r="IK199" s="12">
        <f t="shared" si="131"/>
        <v>3</v>
      </c>
      <c r="IL199" s="11" t="s">
        <v>621</v>
      </c>
      <c r="IM199" s="11" t="s">
        <v>320</v>
      </c>
      <c r="IN199" s="11" t="s">
        <v>320</v>
      </c>
      <c r="IO199" s="11" t="s">
        <v>320</v>
      </c>
      <c r="IP199" s="11" t="s">
        <v>320</v>
      </c>
      <c r="IQ199" s="12" t="str">
        <f t="shared" si="132"/>
        <v>4. Transformational</v>
      </c>
      <c r="IR199" s="12">
        <f t="shared" si="133"/>
        <v>4</v>
      </c>
      <c r="IS199" s="11" t="s">
        <v>337</v>
      </c>
      <c r="IT199" s="11" t="s">
        <v>320</v>
      </c>
      <c r="IU199" s="11" t="s">
        <v>319</v>
      </c>
      <c r="IV199" s="11" t="s">
        <v>320</v>
      </c>
      <c r="IW199" s="11" t="str">
        <f t="shared" si="134"/>
        <v>1. Neutral</v>
      </c>
      <c r="IX199" s="12">
        <f t="shared" si="135"/>
        <v>2</v>
      </c>
      <c r="IY199" s="11" t="s">
        <v>338</v>
      </c>
      <c r="IZ199" s="11" t="s">
        <v>457</v>
      </c>
      <c r="JA199" s="11">
        <v>6</v>
      </c>
      <c r="JB199" s="11" t="s">
        <v>687</v>
      </c>
      <c r="JC199" s="11" t="s">
        <v>433</v>
      </c>
      <c r="JE199" s="11" t="s">
        <v>340</v>
      </c>
      <c r="JF199" s="11" t="s">
        <v>3609</v>
      </c>
      <c r="JH199" s="11" t="s">
        <v>3610</v>
      </c>
      <c r="JI199" s="11" t="s">
        <v>3611</v>
      </c>
      <c r="JJ199" s="11" t="s">
        <v>3597</v>
      </c>
      <c r="JK199" s="11" t="s">
        <v>3612</v>
      </c>
      <c r="JL199" s="11" t="s">
        <v>3613</v>
      </c>
      <c r="JM199" s="11" t="s">
        <v>3614</v>
      </c>
      <c r="JN199" s="11" t="s">
        <v>3615</v>
      </c>
      <c r="JP199" s="15">
        <f t="shared" si="136"/>
        <v>579</v>
      </c>
      <c r="JQ199" s="15">
        <f t="shared" si="137"/>
        <v>10604</v>
      </c>
      <c r="JR199" s="279">
        <f t="shared" si="138"/>
        <v>18.31433506044905</v>
      </c>
      <c r="JS199" s="17">
        <f t="shared" si="139"/>
        <v>0</v>
      </c>
      <c r="JT199" s="18">
        <f t="shared" si="140"/>
        <v>0.5</v>
      </c>
      <c r="JU199" s="280">
        <f t="shared" si="141"/>
        <v>0</v>
      </c>
      <c r="JV199" s="280">
        <f t="shared" si="142"/>
        <v>5302</v>
      </c>
      <c r="JW199" s="319" t="str">
        <f t="shared" si="143"/>
        <v/>
      </c>
      <c r="JX199" s="15">
        <f t="shared" si="144"/>
        <v>0</v>
      </c>
      <c r="JY199" s="15">
        <f t="shared" si="145"/>
        <v>0</v>
      </c>
      <c r="JZ199" s="19" t="str">
        <f t="shared" si="146"/>
        <v/>
      </c>
      <c r="KA199" s="52" t="str">
        <f t="shared" si="147"/>
        <v/>
      </c>
      <c r="KB199" s="15">
        <f t="shared" si="148"/>
        <v>0</v>
      </c>
      <c r="KC199" s="15">
        <f t="shared" si="149"/>
        <v>0</v>
      </c>
      <c r="KD199" s="20" t="str">
        <f t="shared" si="150"/>
        <v/>
      </c>
      <c r="KE199" s="52" t="str">
        <f t="shared" si="151"/>
        <v/>
      </c>
      <c r="KF199" s="15">
        <f t="shared" si="152"/>
        <v>0</v>
      </c>
      <c r="KG199" s="15">
        <f t="shared" si="153"/>
        <v>0</v>
      </c>
      <c r="KH199" s="21" t="str">
        <f t="shared" si="154"/>
        <v/>
      </c>
      <c r="KI199" s="52" t="str">
        <f t="shared" si="155"/>
        <v/>
      </c>
      <c r="KJ199" s="15">
        <f t="shared" si="156"/>
        <v>0</v>
      </c>
      <c r="KK199" s="15">
        <f t="shared" si="157"/>
        <v>0</v>
      </c>
      <c r="KL199" s="19" t="str">
        <f t="shared" si="158"/>
        <v/>
      </c>
      <c r="KM199" s="52" t="str">
        <f t="shared" si="159"/>
        <v/>
      </c>
      <c r="KN199" s="22">
        <f t="shared" si="160"/>
        <v>0</v>
      </c>
      <c r="KO199" s="22">
        <f t="shared" si="161"/>
        <v>0</v>
      </c>
      <c r="KP199" s="19" t="str">
        <f t="shared" si="162"/>
        <v/>
      </c>
      <c r="KQ199" s="11" t="str">
        <f t="shared" si="163"/>
        <v>1. Neutral</v>
      </c>
      <c r="KR199" s="11" t="str">
        <f t="shared" si="164"/>
        <v>4. Transformational</v>
      </c>
      <c r="KS199" s="11" t="str">
        <f t="shared" si="165"/>
        <v>1. Neutral</v>
      </c>
      <c r="KT199" s="11" t="str">
        <f t="shared" si="166"/>
        <v>It did not develop any specific innovation</v>
      </c>
      <c r="KU199" s="11" t="str">
        <f t="shared" si="167"/>
        <v>Moderate advocacy</v>
      </c>
      <c r="KV199" s="11" t="str">
        <f t="shared" si="168"/>
        <v>It linked and worked with strategic alliances and partners to take tested and effective solutions to scale</v>
      </c>
      <c r="KW199" s="11" t="str">
        <f t="shared" si="169"/>
        <v>Egypt - Supporting Participation and Accountability for Communities’ Education (SPACE)</v>
      </c>
      <c r="KX199" s="11" t="str">
        <f t="shared" si="170"/>
        <v>Supporting Participation and Accountability for Communities’ Education (SPACE)</v>
      </c>
      <c r="KY199" s="11" t="str">
        <f t="shared" si="171"/>
        <v>Egypt</v>
      </c>
      <c r="KZ199" s="12">
        <v>199</v>
      </c>
    </row>
    <row r="200" spans="1:312" x14ac:dyDescent="0.3">
      <c r="A200" s="11" t="s">
        <v>3546</v>
      </c>
      <c r="B200" s="11" t="s">
        <v>602</v>
      </c>
      <c r="C200" s="11">
        <v>2904</v>
      </c>
      <c r="D200" s="11" t="s">
        <v>3816</v>
      </c>
      <c r="E200" s="24" t="str">
        <f t="shared" si="129"/>
        <v>Egypt</v>
      </c>
      <c r="F200" s="11" t="s">
        <v>3817</v>
      </c>
      <c r="G200" s="11" t="s">
        <v>379</v>
      </c>
      <c r="H200" s="11" t="s">
        <v>310</v>
      </c>
      <c r="I200" s="11" t="s">
        <v>655</v>
      </c>
      <c r="J200" s="281" t="s">
        <v>1334</v>
      </c>
      <c r="BD200" s="23">
        <v>42401</v>
      </c>
      <c r="BE200" s="23">
        <v>43434</v>
      </c>
      <c r="BG200" s="11" t="s">
        <v>749</v>
      </c>
      <c r="BH200" s="22">
        <v>505000</v>
      </c>
      <c r="BI200" s="11" t="s">
        <v>3782</v>
      </c>
      <c r="BJ200" s="11" t="s">
        <v>3783</v>
      </c>
      <c r="BK200" s="11" t="s">
        <v>3784</v>
      </c>
      <c r="BO200" s="12" t="s">
        <v>319</v>
      </c>
      <c r="BP200" s="12" t="s">
        <v>320</v>
      </c>
      <c r="BQ200" s="12" t="s">
        <v>319</v>
      </c>
      <c r="BR200" s="11" t="s">
        <v>3818</v>
      </c>
      <c r="BS200" s="11" t="s">
        <v>357</v>
      </c>
      <c r="BT200" s="11" t="s">
        <v>3819</v>
      </c>
      <c r="BU200" s="11" t="s">
        <v>3820</v>
      </c>
      <c r="BV200" s="22">
        <v>1070</v>
      </c>
      <c r="BW200" s="22">
        <v>30</v>
      </c>
      <c r="BX200" s="22">
        <v>1100</v>
      </c>
      <c r="BY200" s="22">
        <v>2200</v>
      </c>
      <c r="BZ200" s="22">
        <v>2200</v>
      </c>
      <c r="CA200" s="22">
        <v>4400</v>
      </c>
      <c r="CB200" s="15" t="s">
        <v>3821</v>
      </c>
      <c r="CL200" s="18"/>
      <c r="CP200" s="18"/>
      <c r="CT200" s="18"/>
      <c r="CX200" s="18"/>
      <c r="DB200" s="18"/>
      <c r="DF200" s="18"/>
      <c r="DJ200" s="18"/>
      <c r="DN200" s="18"/>
      <c r="DR200" s="18"/>
      <c r="DV200" s="18"/>
      <c r="DZ200" s="18"/>
      <c r="ED200" s="18"/>
      <c r="EI200" s="18"/>
      <c r="EK200" s="22">
        <v>547</v>
      </c>
      <c r="EL200" s="22">
        <v>320</v>
      </c>
      <c r="EM200" s="22">
        <v>867</v>
      </c>
      <c r="EN200" s="22">
        <v>1734</v>
      </c>
      <c r="EO200" s="22">
        <v>1734</v>
      </c>
      <c r="EP200" s="22">
        <v>3468</v>
      </c>
      <c r="ES200" s="18"/>
      <c r="EW200" s="18"/>
      <c r="FA200" s="18"/>
      <c r="FE200" s="18"/>
      <c r="FG200" s="12" t="s">
        <v>320</v>
      </c>
      <c r="FH200" s="22">
        <v>320</v>
      </c>
      <c r="FI200" s="18">
        <v>0</v>
      </c>
      <c r="FJ200" s="22">
        <v>1280</v>
      </c>
      <c r="FM200" s="18"/>
      <c r="FQ200" s="18"/>
      <c r="FU200" s="18"/>
      <c r="FY200" s="18"/>
      <c r="GC200" s="18"/>
      <c r="GG200" s="18"/>
      <c r="GK200" s="18"/>
      <c r="GO200" s="18"/>
      <c r="GS200" s="18"/>
      <c r="GW200" s="18"/>
      <c r="GY200" s="11" t="s">
        <v>320</v>
      </c>
      <c r="GZ200" s="22">
        <v>547</v>
      </c>
      <c r="HA200" s="18">
        <v>0.63</v>
      </c>
      <c r="HB200" s="22">
        <v>2188</v>
      </c>
      <c r="HF200" s="18"/>
      <c r="HH200" s="11" t="s">
        <v>319</v>
      </c>
      <c r="HL200" s="11" t="s">
        <v>320</v>
      </c>
      <c r="HM200" s="11" t="s">
        <v>522</v>
      </c>
      <c r="HN200" s="11">
        <v>2017</v>
      </c>
      <c r="HP200" s="11" t="s">
        <v>330</v>
      </c>
      <c r="HQ200" s="11" t="s">
        <v>319</v>
      </c>
      <c r="HR200" s="11" t="s">
        <v>320</v>
      </c>
      <c r="HS200" s="11" t="s">
        <v>320</v>
      </c>
      <c r="HT200" s="11" t="s">
        <v>320</v>
      </c>
      <c r="HU200" s="11" t="s">
        <v>320</v>
      </c>
      <c r="HV200" s="11" t="s">
        <v>319</v>
      </c>
      <c r="HW200" s="11" t="s">
        <v>319</v>
      </c>
      <c r="HX200" s="11" t="s">
        <v>320</v>
      </c>
      <c r="HY200" s="11" t="s">
        <v>3822</v>
      </c>
      <c r="HZ200" s="11" t="s">
        <v>394</v>
      </c>
      <c r="IA200" s="11" t="s">
        <v>3823</v>
      </c>
      <c r="IB200" s="11" t="s">
        <v>396</v>
      </c>
      <c r="IC200" s="11" t="s">
        <v>3824</v>
      </c>
      <c r="ID200" s="11" t="s">
        <v>334</v>
      </c>
      <c r="IE200" s="11" t="s">
        <v>478</v>
      </c>
      <c r="IF200" s="11" t="s">
        <v>319</v>
      </c>
      <c r="IG200" s="11" t="s">
        <v>320</v>
      </c>
      <c r="IH200" s="11" t="s">
        <v>320</v>
      </c>
      <c r="II200" s="11" t="s">
        <v>319</v>
      </c>
      <c r="IJ200" s="12" t="str">
        <f t="shared" si="130"/>
        <v>3. Responsive</v>
      </c>
      <c r="IK200" s="12">
        <f t="shared" si="131"/>
        <v>2</v>
      </c>
      <c r="IL200" s="11" t="s">
        <v>336</v>
      </c>
      <c r="IM200" s="11" t="s">
        <v>320</v>
      </c>
      <c r="IN200" s="11" t="s">
        <v>320</v>
      </c>
      <c r="IO200" s="11" t="s">
        <v>320</v>
      </c>
      <c r="IP200" s="11" t="s">
        <v>320</v>
      </c>
      <c r="IQ200" s="12" t="str">
        <f t="shared" si="132"/>
        <v>2. Accommodating</v>
      </c>
      <c r="IR200" s="12">
        <f t="shared" si="133"/>
        <v>4</v>
      </c>
      <c r="IW200" s="11" t="str">
        <f t="shared" si="134"/>
        <v>No marker score</v>
      </c>
      <c r="IX200" s="12">
        <f t="shared" si="135"/>
        <v>0</v>
      </c>
      <c r="IY200" s="11" t="s">
        <v>338</v>
      </c>
      <c r="IZ200" s="11" t="s">
        <v>432</v>
      </c>
      <c r="JA200" s="11">
        <v>5</v>
      </c>
      <c r="JB200" s="11" t="s">
        <v>433</v>
      </c>
      <c r="JC200" s="12" t="s">
        <v>651</v>
      </c>
      <c r="JE200" s="11" t="s">
        <v>340</v>
      </c>
      <c r="JF200" s="11" t="s">
        <v>3825</v>
      </c>
      <c r="JH200" s="11" t="s">
        <v>3826</v>
      </c>
      <c r="JI200" s="11" t="s">
        <v>3827</v>
      </c>
      <c r="JJ200" s="11" t="s">
        <v>3828</v>
      </c>
      <c r="JK200" s="11" t="s">
        <v>3829</v>
      </c>
      <c r="JL200" s="11" t="s">
        <v>3830</v>
      </c>
      <c r="JM200" s="11" t="s">
        <v>3831</v>
      </c>
      <c r="JP200" s="15">
        <f t="shared" si="136"/>
        <v>867</v>
      </c>
      <c r="JQ200" s="15">
        <f t="shared" si="137"/>
        <v>3468</v>
      </c>
      <c r="JR200" s="279">
        <f t="shared" si="138"/>
        <v>4</v>
      </c>
      <c r="JS200" s="17">
        <f t="shared" si="139"/>
        <v>0.63091118800461365</v>
      </c>
      <c r="JT200" s="18">
        <f t="shared" si="140"/>
        <v>0.5</v>
      </c>
      <c r="JU200" s="280">
        <f t="shared" si="141"/>
        <v>547</v>
      </c>
      <c r="JV200" s="280">
        <f t="shared" si="142"/>
        <v>1734</v>
      </c>
      <c r="JW200" s="319" t="str">
        <f t="shared" si="143"/>
        <v/>
      </c>
      <c r="JX200" s="15">
        <f t="shared" si="144"/>
        <v>0</v>
      </c>
      <c r="JY200" s="15">
        <f t="shared" si="145"/>
        <v>0</v>
      </c>
      <c r="JZ200" s="19" t="str">
        <f t="shared" si="146"/>
        <v/>
      </c>
      <c r="KA200" s="52">
        <f t="shared" si="147"/>
        <v>1</v>
      </c>
      <c r="KB200" s="15">
        <f t="shared" si="148"/>
        <v>320</v>
      </c>
      <c r="KC200" s="15">
        <f t="shared" si="149"/>
        <v>1280</v>
      </c>
      <c r="KD200" s="20">
        <f t="shared" si="150"/>
        <v>4</v>
      </c>
      <c r="KE200" s="52" t="str">
        <f t="shared" si="151"/>
        <v/>
      </c>
      <c r="KF200" s="15">
        <f t="shared" si="152"/>
        <v>0</v>
      </c>
      <c r="KG200" s="15">
        <f t="shared" si="153"/>
        <v>0</v>
      </c>
      <c r="KH200" s="21" t="str">
        <f t="shared" si="154"/>
        <v/>
      </c>
      <c r="KI200" s="52" t="str">
        <f t="shared" si="155"/>
        <v/>
      </c>
      <c r="KJ200" s="15">
        <f t="shared" si="156"/>
        <v>0</v>
      </c>
      <c r="KK200" s="15">
        <f t="shared" si="157"/>
        <v>0</v>
      </c>
      <c r="KL200" s="19" t="str">
        <f t="shared" si="158"/>
        <v/>
      </c>
      <c r="KM200" s="52">
        <f t="shared" si="159"/>
        <v>1</v>
      </c>
      <c r="KN200" s="22">
        <f t="shared" si="160"/>
        <v>547</v>
      </c>
      <c r="KO200" s="22">
        <f t="shared" si="161"/>
        <v>2188</v>
      </c>
      <c r="KP200" s="19">
        <f t="shared" si="162"/>
        <v>4</v>
      </c>
      <c r="KQ200" s="11" t="str">
        <f t="shared" si="163"/>
        <v>3. Responsive</v>
      </c>
      <c r="KR200" s="11" t="str">
        <f t="shared" si="164"/>
        <v>2. Accommodating</v>
      </c>
      <c r="KS200" s="11" t="str">
        <f t="shared" si="165"/>
        <v>No marker score</v>
      </c>
      <c r="KT200" s="11" t="str">
        <f t="shared" si="166"/>
        <v>It tested new ways for fighting poverty, but did not measure results of innovation</v>
      </c>
      <c r="KU200" s="11" t="str">
        <f t="shared" si="167"/>
        <v>Moderate advocacy</v>
      </c>
      <c r="KV200" s="11" t="str">
        <f t="shared" si="168"/>
        <v>It linked and worked with strategic alliances and partners to take tested and effective solutions to scale</v>
      </c>
      <c r="KW200" s="11" t="str">
        <f t="shared" si="169"/>
        <v>Egypt - Sustainable Transformation of Egypt’s Aquaculture Market System (STREAMS)</v>
      </c>
      <c r="KX200" s="11" t="str">
        <f t="shared" si="170"/>
        <v>Sustainable Transformation of Egypt’s Aquaculture Market System (STREAMS)</v>
      </c>
      <c r="KY200" s="11" t="str">
        <f t="shared" si="171"/>
        <v>Egypt</v>
      </c>
      <c r="KZ200" s="12">
        <v>200</v>
      </c>
    </row>
    <row r="201" spans="1:312" x14ac:dyDescent="0.3">
      <c r="A201" s="11" t="s">
        <v>3546</v>
      </c>
      <c r="B201" s="11" t="s">
        <v>602</v>
      </c>
      <c r="C201" s="11">
        <v>2922</v>
      </c>
      <c r="D201" s="11" t="s">
        <v>3547</v>
      </c>
      <c r="E201" s="24" t="str">
        <f t="shared" si="129"/>
        <v>Egypt</v>
      </c>
      <c r="F201" s="11" t="s">
        <v>3548</v>
      </c>
      <c r="G201" s="11" t="s">
        <v>605</v>
      </c>
      <c r="H201" s="11" t="s">
        <v>380</v>
      </c>
      <c r="I201" s="11" t="s">
        <v>517</v>
      </c>
      <c r="J201" s="278" t="s">
        <v>14578</v>
      </c>
      <c r="BD201" s="23">
        <v>42488</v>
      </c>
      <c r="BE201" s="23">
        <v>43430</v>
      </c>
      <c r="BG201" s="11" t="s">
        <v>312</v>
      </c>
      <c r="BH201" s="29">
        <v>3268500</v>
      </c>
      <c r="BI201" s="11" t="s">
        <v>3549</v>
      </c>
      <c r="BJ201" s="11" t="s">
        <v>3550</v>
      </c>
      <c r="BK201" s="11" t="s">
        <v>3551</v>
      </c>
      <c r="BL201" s="11" t="s">
        <v>3552</v>
      </c>
      <c r="BM201" s="11" t="s">
        <v>3553</v>
      </c>
      <c r="BN201" s="11" t="s">
        <v>3554</v>
      </c>
      <c r="BO201" s="11" t="s">
        <v>319</v>
      </c>
      <c r="BP201" s="11" t="s">
        <v>320</v>
      </c>
      <c r="BQ201" s="11" t="s">
        <v>319</v>
      </c>
      <c r="BR201" s="11" t="s">
        <v>3555</v>
      </c>
      <c r="BS201" s="11" t="s">
        <v>357</v>
      </c>
      <c r="BT201" s="11" t="s">
        <v>3556</v>
      </c>
      <c r="BU201" s="11" t="s">
        <v>3557</v>
      </c>
      <c r="BX201" s="22">
        <v>16700</v>
      </c>
      <c r="BY201" s="22">
        <v>33660</v>
      </c>
      <c r="BZ201" s="22">
        <v>32340</v>
      </c>
      <c r="CA201" s="22">
        <v>66000</v>
      </c>
      <c r="CB201" s="15" t="s">
        <v>3558</v>
      </c>
      <c r="CL201" s="18"/>
      <c r="CP201" s="18"/>
      <c r="CT201" s="18"/>
      <c r="CX201" s="18"/>
      <c r="DB201" s="18"/>
      <c r="DF201" s="18"/>
      <c r="DJ201" s="18"/>
      <c r="DN201" s="18"/>
      <c r="DR201" s="18"/>
      <c r="DV201" s="18"/>
      <c r="DZ201" s="18"/>
      <c r="ED201" s="18"/>
      <c r="EI201" s="18"/>
      <c r="EQ201" s="11" t="s">
        <v>320</v>
      </c>
      <c r="ES201" s="18"/>
      <c r="EW201" s="18"/>
      <c r="FA201" s="18"/>
      <c r="FE201" s="18"/>
      <c r="FI201" s="18"/>
      <c r="FM201" s="18"/>
      <c r="FQ201" s="18"/>
      <c r="FU201" s="18"/>
      <c r="FY201" s="18"/>
      <c r="GC201" s="18"/>
      <c r="GG201" s="18"/>
      <c r="GK201" s="18"/>
      <c r="GM201" s="11" t="s">
        <v>320</v>
      </c>
      <c r="GO201" s="18"/>
      <c r="GS201" s="18"/>
      <c r="GW201" s="18"/>
      <c r="GY201" s="11" t="s">
        <v>320</v>
      </c>
      <c r="HA201" s="18"/>
      <c r="HF201" s="18"/>
      <c r="HH201" s="11" t="s">
        <v>320</v>
      </c>
      <c r="HI201" s="11" t="s">
        <v>619</v>
      </c>
      <c r="HJ201" s="11">
        <v>2016</v>
      </c>
      <c r="HK201" s="11" t="s">
        <v>320</v>
      </c>
      <c r="HL201" s="11" t="s">
        <v>319</v>
      </c>
      <c r="HO201" s="11" t="s">
        <v>3559</v>
      </c>
      <c r="HP201" s="11" t="s">
        <v>418</v>
      </c>
      <c r="HZ201" s="11" t="s">
        <v>363</v>
      </c>
      <c r="IB201" s="11" t="s">
        <v>333</v>
      </c>
      <c r="ID201" s="11" t="s">
        <v>364</v>
      </c>
      <c r="IE201" s="11" t="s">
        <v>335</v>
      </c>
      <c r="IF201" s="11" t="s">
        <v>320</v>
      </c>
      <c r="IG201" s="11" t="s">
        <v>320</v>
      </c>
      <c r="IH201" s="11" t="s">
        <v>320</v>
      </c>
      <c r="II201" s="11" t="s">
        <v>319</v>
      </c>
      <c r="IJ201" s="12" t="str">
        <f t="shared" si="130"/>
        <v>1. Neutral</v>
      </c>
      <c r="IK201" s="12">
        <f t="shared" si="131"/>
        <v>3</v>
      </c>
      <c r="IL201" s="11" t="s">
        <v>621</v>
      </c>
      <c r="IM201" s="11" t="s">
        <v>320</v>
      </c>
      <c r="IN201" s="11" t="s">
        <v>320</v>
      </c>
      <c r="IO201" s="11" t="s">
        <v>320</v>
      </c>
      <c r="IP201" s="11" t="s">
        <v>320</v>
      </c>
      <c r="IQ201" s="12" t="str">
        <f t="shared" si="132"/>
        <v>4. Transformational</v>
      </c>
      <c r="IR201" s="12">
        <f t="shared" si="133"/>
        <v>4</v>
      </c>
      <c r="IS201" s="11" t="s">
        <v>456</v>
      </c>
      <c r="IT201" s="11" t="s">
        <v>319</v>
      </c>
      <c r="IU201" s="11" t="s">
        <v>320</v>
      </c>
      <c r="IV201" s="11" t="s">
        <v>320</v>
      </c>
      <c r="IW201" s="11" t="str">
        <f t="shared" si="134"/>
        <v>0. Harmful</v>
      </c>
      <c r="IX201" s="12">
        <f t="shared" si="135"/>
        <v>2</v>
      </c>
      <c r="IY201" s="11" t="s">
        <v>338</v>
      </c>
      <c r="IZ201" s="11" t="s">
        <v>457</v>
      </c>
      <c r="JA201" s="11">
        <v>2</v>
      </c>
      <c r="JB201" s="11" t="s">
        <v>433</v>
      </c>
      <c r="JE201" s="11" t="s">
        <v>365</v>
      </c>
      <c r="JF201" s="11" t="s">
        <v>3560</v>
      </c>
      <c r="JH201" s="11" t="s">
        <v>3561</v>
      </c>
      <c r="JI201" s="11" t="s">
        <v>3562</v>
      </c>
      <c r="JJ201" s="11" t="s">
        <v>3563</v>
      </c>
      <c r="JK201" s="11" t="s">
        <v>3564</v>
      </c>
      <c r="JL201" s="11" t="s">
        <v>3565</v>
      </c>
      <c r="JM201" s="11" t="s">
        <v>3566</v>
      </c>
      <c r="JO201" s="11" t="s">
        <v>3567</v>
      </c>
      <c r="JP201" s="15">
        <f t="shared" si="136"/>
        <v>0</v>
      </c>
      <c r="JQ201" s="15">
        <f t="shared" si="137"/>
        <v>0</v>
      </c>
      <c r="JR201" s="279" t="str">
        <f t="shared" si="138"/>
        <v/>
      </c>
      <c r="JS201" s="17" t="str">
        <f t="shared" si="139"/>
        <v/>
      </c>
      <c r="JT201" s="18" t="str">
        <f t="shared" si="140"/>
        <v/>
      </c>
      <c r="JU201" s="280">
        <f t="shared" si="141"/>
        <v>0</v>
      </c>
      <c r="JV201" s="280">
        <f t="shared" si="142"/>
        <v>0</v>
      </c>
      <c r="JW201" s="319" t="str">
        <f t="shared" si="143"/>
        <v/>
      </c>
      <c r="JX201" s="15">
        <f t="shared" si="144"/>
        <v>0</v>
      </c>
      <c r="JY201" s="15">
        <f t="shared" si="145"/>
        <v>0</v>
      </c>
      <c r="JZ201" s="19" t="str">
        <f t="shared" si="146"/>
        <v/>
      </c>
      <c r="KA201" s="52">
        <f t="shared" si="147"/>
        <v>1</v>
      </c>
      <c r="KB201" s="15">
        <f t="shared" si="148"/>
        <v>0</v>
      </c>
      <c r="KC201" s="15">
        <f t="shared" si="149"/>
        <v>0</v>
      </c>
      <c r="KD201" s="20" t="str">
        <f t="shared" si="150"/>
        <v/>
      </c>
      <c r="KE201" s="52" t="str">
        <f t="shared" si="151"/>
        <v/>
      </c>
      <c r="KF201" s="15">
        <f t="shared" si="152"/>
        <v>0</v>
      </c>
      <c r="KG201" s="15">
        <f t="shared" si="153"/>
        <v>0</v>
      </c>
      <c r="KH201" s="21" t="str">
        <f t="shared" si="154"/>
        <v/>
      </c>
      <c r="KI201" s="52" t="str">
        <f t="shared" si="155"/>
        <v/>
      </c>
      <c r="KJ201" s="15">
        <f t="shared" si="156"/>
        <v>0</v>
      </c>
      <c r="KK201" s="15">
        <f t="shared" si="157"/>
        <v>0</v>
      </c>
      <c r="KL201" s="19" t="str">
        <f t="shared" si="158"/>
        <v/>
      </c>
      <c r="KM201" s="52">
        <f t="shared" si="159"/>
        <v>1</v>
      </c>
      <c r="KN201" s="22">
        <f t="shared" si="160"/>
        <v>0</v>
      </c>
      <c r="KO201" s="22">
        <f t="shared" si="161"/>
        <v>0</v>
      </c>
      <c r="KP201" s="19" t="str">
        <f t="shared" si="162"/>
        <v/>
      </c>
      <c r="KQ201" s="11" t="str">
        <f t="shared" si="163"/>
        <v>1. Neutral</v>
      </c>
      <c r="KR201" s="11" t="str">
        <f t="shared" si="164"/>
        <v>4. Transformational</v>
      </c>
      <c r="KS201" s="11" t="str">
        <f t="shared" si="165"/>
        <v>0. Harmful</v>
      </c>
      <c r="KT201" s="11" t="str">
        <f t="shared" si="166"/>
        <v>It did not develop any specific innovation</v>
      </c>
      <c r="KU201" s="11" t="str">
        <f t="shared" si="167"/>
        <v>Little or no advocacy</v>
      </c>
      <c r="KV201" s="11" t="str">
        <f t="shared" si="168"/>
        <v>It did not take tested solutions to scale</v>
      </c>
      <c r="KW201" s="11" t="str">
        <f t="shared" si="169"/>
        <v>Egypt - Towards socio-economic wellbeing and women empowerment in Upper Egypt (Hayat Kareema)</v>
      </c>
      <c r="KX201" s="11" t="str">
        <f t="shared" si="170"/>
        <v>Towards socio-economic wellbeing and women empowerment in Upper Egypt (Hayat Kareema)</v>
      </c>
      <c r="KY201" s="11" t="str">
        <f t="shared" si="171"/>
        <v>Egypt</v>
      </c>
      <c r="KZ201" s="12">
        <v>201</v>
      </c>
    </row>
    <row r="202" spans="1:312" x14ac:dyDescent="0.3">
      <c r="A202" s="11" t="s">
        <v>3546</v>
      </c>
      <c r="B202" s="11" t="s">
        <v>602</v>
      </c>
      <c r="C202" s="11">
        <v>2914</v>
      </c>
      <c r="D202" s="11" t="s">
        <v>3689</v>
      </c>
      <c r="E202" s="24" t="str">
        <f t="shared" si="129"/>
        <v>Egypt</v>
      </c>
      <c r="F202" s="11" t="s">
        <v>3690</v>
      </c>
      <c r="G202" s="11" t="s">
        <v>3618</v>
      </c>
      <c r="H202" s="11" t="s">
        <v>380</v>
      </c>
      <c r="I202" s="11" t="s">
        <v>381</v>
      </c>
      <c r="J202" s="278" t="s">
        <v>12798</v>
      </c>
      <c r="BD202" s="23">
        <v>42370</v>
      </c>
      <c r="BE202" s="23">
        <v>42947</v>
      </c>
      <c r="BG202" s="11" t="s">
        <v>1757</v>
      </c>
      <c r="BH202" s="22">
        <v>97061</v>
      </c>
      <c r="BI202" s="11" t="s">
        <v>3636</v>
      </c>
      <c r="BJ202" s="11" t="s">
        <v>3637</v>
      </c>
      <c r="BK202" s="11" t="s">
        <v>3638</v>
      </c>
      <c r="BL202" s="11" t="s">
        <v>3619</v>
      </c>
      <c r="BM202" s="11" t="s">
        <v>3620</v>
      </c>
      <c r="BN202" s="11" t="s">
        <v>3621</v>
      </c>
      <c r="BO202" s="11" t="s">
        <v>320</v>
      </c>
      <c r="BP202" s="11" t="s">
        <v>319</v>
      </c>
      <c r="BQ202" s="11" t="s">
        <v>319</v>
      </c>
      <c r="BR202" s="11" t="s">
        <v>3691</v>
      </c>
      <c r="BS202" s="11" t="s">
        <v>357</v>
      </c>
      <c r="BT202" s="11" t="s">
        <v>3692</v>
      </c>
      <c r="BU202" s="11" t="s">
        <v>3693</v>
      </c>
      <c r="BV202" s="22">
        <v>0</v>
      </c>
      <c r="BW202" s="22">
        <v>0</v>
      </c>
      <c r="BX202" s="22">
        <v>0</v>
      </c>
      <c r="BY202" s="22">
        <v>0</v>
      </c>
      <c r="BZ202" s="22">
        <v>0</v>
      </c>
      <c r="CA202" s="22">
        <v>0</v>
      </c>
      <c r="CB202" s="15" t="s">
        <v>3694</v>
      </c>
      <c r="CD202" s="22">
        <v>1774</v>
      </c>
      <c r="CE202" s="22">
        <v>276</v>
      </c>
      <c r="CF202" s="22">
        <v>2050</v>
      </c>
      <c r="CG202" s="22">
        <v>7096</v>
      </c>
      <c r="CH202" s="22">
        <v>0</v>
      </c>
      <c r="CI202" s="22">
        <v>7096</v>
      </c>
      <c r="CJ202" s="11" t="s">
        <v>319</v>
      </c>
      <c r="CL202" s="18"/>
      <c r="CN202" s="11" t="s">
        <v>319</v>
      </c>
      <c r="CP202" s="18"/>
      <c r="CR202" s="11" t="s">
        <v>319</v>
      </c>
      <c r="CT202" s="18"/>
      <c r="CV202" s="11" t="s">
        <v>319</v>
      </c>
      <c r="CX202" s="18"/>
      <c r="CZ202" s="11" t="s">
        <v>320</v>
      </c>
      <c r="DB202" s="18"/>
      <c r="DD202" s="11" t="s">
        <v>320</v>
      </c>
      <c r="DF202" s="18"/>
      <c r="DH202" s="11" t="s">
        <v>319</v>
      </c>
      <c r="DJ202" s="18"/>
      <c r="DL202" s="11" t="s">
        <v>319</v>
      </c>
      <c r="DN202" s="18"/>
      <c r="DP202" s="11" t="s">
        <v>319</v>
      </c>
      <c r="DR202" s="18"/>
      <c r="DT202" s="11" t="s">
        <v>319</v>
      </c>
      <c r="DV202" s="18"/>
      <c r="DX202" s="11" t="s">
        <v>319</v>
      </c>
      <c r="DZ202" s="18"/>
      <c r="EB202" s="11" t="s">
        <v>319</v>
      </c>
      <c r="ED202" s="18"/>
      <c r="EI202" s="18"/>
      <c r="ES202" s="18"/>
      <c r="EW202" s="18"/>
      <c r="FA202" s="18"/>
      <c r="FE202" s="18"/>
      <c r="FI202" s="18"/>
      <c r="FM202" s="18"/>
      <c r="FQ202" s="18"/>
      <c r="FU202" s="18"/>
      <c r="FY202" s="18"/>
      <c r="GC202" s="18"/>
      <c r="GG202" s="18"/>
      <c r="GK202" s="18"/>
      <c r="GO202" s="18"/>
      <c r="GS202" s="18"/>
      <c r="GW202" s="18"/>
      <c r="HA202" s="18"/>
      <c r="HF202" s="18"/>
      <c r="HH202" s="11" t="s">
        <v>319</v>
      </c>
      <c r="HK202" s="11" t="s">
        <v>319</v>
      </c>
      <c r="HL202" s="11" t="s">
        <v>320</v>
      </c>
      <c r="HM202" s="11" t="s">
        <v>416</v>
      </c>
      <c r="HN202" s="11">
        <v>2018</v>
      </c>
      <c r="HP202" s="11" t="s">
        <v>418</v>
      </c>
      <c r="HS202" s="11" t="s">
        <v>320</v>
      </c>
      <c r="HZ202" s="11" t="s">
        <v>394</v>
      </c>
      <c r="IB202" s="11" t="s">
        <v>333</v>
      </c>
      <c r="ID202" s="11" t="s">
        <v>477</v>
      </c>
      <c r="IE202" s="11" t="s">
        <v>478</v>
      </c>
      <c r="IF202" s="11" t="s">
        <v>320</v>
      </c>
      <c r="IG202" s="11" t="s">
        <v>320</v>
      </c>
      <c r="IH202" s="11" t="s">
        <v>320</v>
      </c>
      <c r="II202" s="11" t="s">
        <v>319</v>
      </c>
      <c r="IJ202" s="12" t="str">
        <f t="shared" si="130"/>
        <v>3. Responsive</v>
      </c>
      <c r="IK202" s="12">
        <f t="shared" si="131"/>
        <v>3</v>
      </c>
      <c r="IL202" s="11" t="s">
        <v>336</v>
      </c>
      <c r="IM202" s="11" t="s">
        <v>320</v>
      </c>
      <c r="IN202" s="11" t="s">
        <v>320</v>
      </c>
      <c r="IO202" s="11" t="s">
        <v>319</v>
      </c>
      <c r="IP202" s="11" t="s">
        <v>320</v>
      </c>
      <c r="IQ202" s="12" t="str">
        <f t="shared" si="132"/>
        <v>2. Accommodating</v>
      </c>
      <c r="IR202" s="12">
        <f t="shared" si="133"/>
        <v>3</v>
      </c>
      <c r="IS202" s="11" t="s">
        <v>337</v>
      </c>
      <c r="IT202" s="11" t="s">
        <v>319</v>
      </c>
      <c r="IU202" s="11" t="s">
        <v>320</v>
      </c>
      <c r="IV202" s="11" t="s">
        <v>320</v>
      </c>
      <c r="IW202" s="11" t="str">
        <f t="shared" si="134"/>
        <v>1. Neutral</v>
      </c>
      <c r="IX202" s="12">
        <f t="shared" si="135"/>
        <v>2</v>
      </c>
      <c r="IY202" s="11" t="s">
        <v>338</v>
      </c>
      <c r="IZ202" s="11" t="s">
        <v>339</v>
      </c>
      <c r="JE202" s="11" t="s">
        <v>420</v>
      </c>
      <c r="JH202" s="11" t="s">
        <v>3695</v>
      </c>
      <c r="JI202" s="11" t="s">
        <v>3696</v>
      </c>
      <c r="JJ202" s="11" t="s">
        <v>3697</v>
      </c>
      <c r="JK202" s="11" t="s">
        <v>3698</v>
      </c>
      <c r="JL202" s="11" t="s">
        <v>3699</v>
      </c>
      <c r="JM202" s="11" t="s">
        <v>3700</v>
      </c>
      <c r="JP202" s="15">
        <f t="shared" si="136"/>
        <v>2050</v>
      </c>
      <c r="JQ202" s="15">
        <f t="shared" si="137"/>
        <v>7096</v>
      </c>
      <c r="JR202" s="279">
        <f t="shared" si="138"/>
        <v>3.4614634146341463</v>
      </c>
      <c r="JS202" s="17">
        <f t="shared" si="139"/>
        <v>0.86536585365853658</v>
      </c>
      <c r="JT202" s="18">
        <f t="shared" si="140"/>
        <v>1</v>
      </c>
      <c r="JU202" s="280">
        <f t="shared" si="141"/>
        <v>1774</v>
      </c>
      <c r="JV202" s="280">
        <f t="shared" si="142"/>
        <v>7096</v>
      </c>
      <c r="JW202" s="319">
        <f t="shared" si="143"/>
        <v>1</v>
      </c>
      <c r="JX202" s="15">
        <f t="shared" si="144"/>
        <v>2050</v>
      </c>
      <c r="JY202" s="15">
        <f t="shared" si="145"/>
        <v>7096</v>
      </c>
      <c r="JZ202" s="19">
        <f t="shared" si="146"/>
        <v>3.4614634146341463</v>
      </c>
      <c r="KA202" s="52" t="str">
        <f t="shared" si="147"/>
        <v/>
      </c>
      <c r="KB202" s="15">
        <f t="shared" si="148"/>
        <v>0</v>
      </c>
      <c r="KC202" s="15">
        <f t="shared" si="149"/>
        <v>0</v>
      </c>
      <c r="KD202" s="20" t="str">
        <f t="shared" si="150"/>
        <v/>
      </c>
      <c r="KE202" s="52" t="str">
        <f t="shared" si="151"/>
        <v/>
      </c>
      <c r="KF202" s="15">
        <f t="shared" si="152"/>
        <v>0</v>
      </c>
      <c r="KG202" s="15">
        <f t="shared" si="153"/>
        <v>0</v>
      </c>
      <c r="KH202" s="21" t="str">
        <f t="shared" si="154"/>
        <v/>
      </c>
      <c r="KI202" s="52">
        <f t="shared" si="155"/>
        <v>1</v>
      </c>
      <c r="KJ202" s="15">
        <f t="shared" si="156"/>
        <v>0</v>
      </c>
      <c r="KK202" s="15">
        <f t="shared" si="157"/>
        <v>0</v>
      </c>
      <c r="KL202" s="19" t="str">
        <f t="shared" si="158"/>
        <v/>
      </c>
      <c r="KM202" s="52" t="str">
        <f t="shared" si="159"/>
        <v/>
      </c>
      <c r="KN202" s="22">
        <f t="shared" si="160"/>
        <v>0</v>
      </c>
      <c r="KO202" s="22">
        <f t="shared" si="161"/>
        <v>0</v>
      </c>
      <c r="KP202" s="19" t="str">
        <f t="shared" si="162"/>
        <v/>
      </c>
      <c r="KQ202" s="11" t="str">
        <f t="shared" si="163"/>
        <v>3. Responsive</v>
      </c>
      <c r="KR202" s="11" t="str">
        <f t="shared" si="164"/>
        <v>2. Accommodating</v>
      </c>
      <c r="KS202" s="11" t="str">
        <f t="shared" si="165"/>
        <v>1. Neutral</v>
      </c>
      <c r="KT202" s="11" t="str">
        <f t="shared" si="166"/>
        <v>It tested new ways for fighting poverty, but did not measure results of innovation</v>
      </c>
      <c r="KU202" s="11" t="str">
        <f t="shared" si="167"/>
        <v>Little or no advocacy</v>
      </c>
      <c r="KV202" s="11" t="str">
        <f t="shared" si="168"/>
        <v>It did not take tested solutions to scale</v>
      </c>
      <c r="KW202" s="11" t="str">
        <f t="shared" si="169"/>
        <v>Egypt - Women Friendly Spaces for Syrian Refugees</v>
      </c>
      <c r="KX202" s="11" t="str">
        <f t="shared" si="170"/>
        <v>Women Friendly Spaces for Syrian Refugees</v>
      </c>
      <c r="KY202" s="11" t="str">
        <f t="shared" si="171"/>
        <v>Egypt</v>
      </c>
      <c r="KZ202" s="12">
        <v>202</v>
      </c>
    </row>
    <row r="203" spans="1:312" x14ac:dyDescent="0.3">
      <c r="A203" s="11" t="s">
        <v>3546</v>
      </c>
      <c r="B203" s="11" t="s">
        <v>602</v>
      </c>
      <c r="D203" s="11" t="s">
        <v>3832</v>
      </c>
      <c r="E203" s="24" t="str">
        <f t="shared" si="129"/>
        <v>Egypt</v>
      </c>
      <c r="F203" s="11" t="s">
        <v>3833</v>
      </c>
      <c r="G203" s="11" t="s">
        <v>379</v>
      </c>
      <c r="H203" s="11" t="s">
        <v>310</v>
      </c>
      <c r="I203" s="11" t="s">
        <v>381</v>
      </c>
      <c r="J203" s="278" t="s">
        <v>14573</v>
      </c>
      <c r="BD203" s="23">
        <v>42552</v>
      </c>
      <c r="BE203" s="23">
        <v>42978</v>
      </c>
      <c r="BF203" s="23">
        <v>43190</v>
      </c>
      <c r="BG203" s="11" t="s">
        <v>749</v>
      </c>
      <c r="BH203" s="22">
        <v>399694</v>
      </c>
      <c r="BI203" s="11" t="s">
        <v>3834</v>
      </c>
      <c r="BJ203" s="11" t="s">
        <v>3553</v>
      </c>
      <c r="BK203" s="11" t="s">
        <v>3835</v>
      </c>
      <c r="BL203" s="11" t="s">
        <v>3836</v>
      </c>
      <c r="BM203" s="11" t="s">
        <v>3837</v>
      </c>
      <c r="BN203" s="11" t="s">
        <v>3838</v>
      </c>
      <c r="BO203" s="12" t="s">
        <v>319</v>
      </c>
      <c r="BP203" s="12" t="s">
        <v>320</v>
      </c>
      <c r="BQ203" s="12" t="s">
        <v>319</v>
      </c>
      <c r="BR203" s="11" t="s">
        <v>3839</v>
      </c>
      <c r="BS203" s="11" t="s">
        <v>357</v>
      </c>
      <c r="BT203" s="11" t="s">
        <v>3840</v>
      </c>
      <c r="BU203" s="11" t="s">
        <v>3841</v>
      </c>
      <c r="BV203" s="22">
        <v>1485</v>
      </c>
      <c r="BW203" s="22">
        <v>1085</v>
      </c>
      <c r="BX203" s="22">
        <v>2570</v>
      </c>
      <c r="BY203" s="22">
        <v>4340</v>
      </c>
      <c r="BZ203" s="22">
        <v>4340</v>
      </c>
      <c r="CA203" s="22">
        <v>8680</v>
      </c>
      <c r="CB203" s="15" t="s">
        <v>3842</v>
      </c>
      <c r="CL203" s="18"/>
      <c r="CP203" s="18"/>
      <c r="CT203" s="18"/>
      <c r="CX203" s="18"/>
      <c r="DB203" s="18"/>
      <c r="DF203" s="18"/>
      <c r="DJ203" s="18"/>
      <c r="DN203" s="18"/>
      <c r="DR203" s="18"/>
      <c r="DV203" s="18"/>
      <c r="DZ203" s="18"/>
      <c r="ED203" s="18"/>
      <c r="EI203" s="18"/>
      <c r="EK203" s="22">
        <v>3108</v>
      </c>
      <c r="EL203" s="22">
        <v>850</v>
      </c>
      <c r="EM203" s="22">
        <v>3958</v>
      </c>
      <c r="EN203" s="22">
        <v>12432</v>
      </c>
      <c r="EO203" s="22">
        <v>3400</v>
      </c>
      <c r="EP203" s="22">
        <v>15832</v>
      </c>
      <c r="ES203" s="18"/>
      <c r="EW203" s="18"/>
      <c r="FA203" s="18"/>
      <c r="FE203" s="18"/>
      <c r="FI203" s="18"/>
      <c r="FM203" s="18"/>
      <c r="FQ203" s="18"/>
      <c r="FS203" s="12" t="s">
        <v>320</v>
      </c>
      <c r="FT203" s="22">
        <v>3985</v>
      </c>
      <c r="FU203" s="18">
        <v>0.78</v>
      </c>
      <c r="FV203" s="22">
        <v>15832</v>
      </c>
      <c r="FW203" s="11" t="s">
        <v>320</v>
      </c>
      <c r="FX203" s="22">
        <v>3985</v>
      </c>
      <c r="FY203" s="18">
        <v>0.78</v>
      </c>
      <c r="FZ203" s="22">
        <v>15832</v>
      </c>
      <c r="GC203" s="18"/>
      <c r="GG203" s="18"/>
      <c r="GK203" s="18"/>
      <c r="GO203" s="18"/>
      <c r="GS203" s="18"/>
      <c r="GW203" s="18"/>
      <c r="GY203" s="11" t="s">
        <v>320</v>
      </c>
      <c r="GZ203" s="22">
        <v>3108</v>
      </c>
      <c r="HA203" s="18">
        <v>1</v>
      </c>
      <c r="HB203" s="22">
        <v>12432</v>
      </c>
      <c r="HF203" s="18"/>
      <c r="HH203" s="11" t="s">
        <v>319</v>
      </c>
      <c r="HK203" s="11" t="s">
        <v>319</v>
      </c>
      <c r="HL203" s="11" t="s">
        <v>319</v>
      </c>
      <c r="HP203" s="11" t="s">
        <v>418</v>
      </c>
      <c r="HQ203" s="11" t="s">
        <v>319</v>
      </c>
      <c r="HR203" s="11" t="s">
        <v>319</v>
      </c>
      <c r="HS203" s="11" t="s">
        <v>320</v>
      </c>
      <c r="HT203" s="11" t="s">
        <v>319</v>
      </c>
      <c r="HU203" s="11" t="s">
        <v>320</v>
      </c>
      <c r="HV203" s="11" t="s">
        <v>319</v>
      </c>
      <c r="HW203" s="11" t="s">
        <v>319</v>
      </c>
      <c r="HZ203" s="11" t="s">
        <v>394</v>
      </c>
      <c r="IA203" s="11" t="s">
        <v>3843</v>
      </c>
      <c r="IB203" s="11" t="s">
        <v>667</v>
      </c>
      <c r="IC203" s="11" t="s">
        <v>3844</v>
      </c>
      <c r="ID203" s="11" t="s">
        <v>334</v>
      </c>
      <c r="IE203" s="11" t="s">
        <v>478</v>
      </c>
      <c r="IF203" s="11" t="s">
        <v>320</v>
      </c>
      <c r="IG203" s="11" t="s">
        <v>320</v>
      </c>
      <c r="IH203" s="11" t="s">
        <v>320</v>
      </c>
      <c r="II203" s="11" t="s">
        <v>320</v>
      </c>
      <c r="IJ203" s="12" t="str">
        <f t="shared" si="130"/>
        <v>4. Transformative</v>
      </c>
      <c r="IK203" s="12">
        <f t="shared" si="131"/>
        <v>4</v>
      </c>
      <c r="IL203" s="11" t="s">
        <v>336</v>
      </c>
      <c r="IM203" s="11" t="s">
        <v>320</v>
      </c>
      <c r="IN203" s="11" t="s">
        <v>320</v>
      </c>
      <c r="IO203" s="11" t="s">
        <v>320</v>
      </c>
      <c r="IP203" s="11" t="s">
        <v>320</v>
      </c>
      <c r="IQ203" s="12" t="str">
        <f t="shared" si="132"/>
        <v>2. Accommodating</v>
      </c>
      <c r="IR203" s="12">
        <f t="shared" si="133"/>
        <v>4</v>
      </c>
      <c r="IS203" s="11" t="s">
        <v>337</v>
      </c>
      <c r="IT203" s="11" t="s">
        <v>319</v>
      </c>
      <c r="IU203" s="11" t="s">
        <v>320</v>
      </c>
      <c r="IV203" s="11" t="s">
        <v>319</v>
      </c>
      <c r="IW203" s="11" t="str">
        <f t="shared" si="134"/>
        <v>1. Neutral</v>
      </c>
      <c r="IX203" s="12">
        <f t="shared" si="135"/>
        <v>1</v>
      </c>
      <c r="IY203" s="11" t="s">
        <v>338</v>
      </c>
      <c r="IZ203" s="11" t="s">
        <v>432</v>
      </c>
      <c r="JA203" s="11">
        <v>10</v>
      </c>
      <c r="JB203" s="11" t="s">
        <v>623</v>
      </c>
      <c r="JC203" s="11" t="s">
        <v>433</v>
      </c>
      <c r="JE203" s="11" t="s">
        <v>340</v>
      </c>
      <c r="JF203" s="11" t="s">
        <v>3845</v>
      </c>
      <c r="JH203" s="11" t="s">
        <v>3846</v>
      </c>
      <c r="JI203" s="11" t="s">
        <v>3847</v>
      </c>
      <c r="JJ203" s="11" t="s">
        <v>3848</v>
      </c>
      <c r="JK203" s="11" t="s">
        <v>3849</v>
      </c>
      <c r="JL203" s="11" t="s">
        <v>3850</v>
      </c>
      <c r="JM203" s="11" t="s">
        <v>3851</v>
      </c>
      <c r="JP203" s="15">
        <f t="shared" si="136"/>
        <v>3958</v>
      </c>
      <c r="JQ203" s="15">
        <f t="shared" si="137"/>
        <v>15832</v>
      </c>
      <c r="JR203" s="279">
        <f t="shared" si="138"/>
        <v>4</v>
      </c>
      <c r="JS203" s="17">
        <f t="shared" si="139"/>
        <v>0.78524507326932791</v>
      </c>
      <c r="JT203" s="18">
        <f t="shared" si="140"/>
        <v>0.78524507326932791</v>
      </c>
      <c r="JU203" s="280">
        <f t="shared" si="141"/>
        <v>3108</v>
      </c>
      <c r="JV203" s="280">
        <f t="shared" si="142"/>
        <v>12432</v>
      </c>
      <c r="JW203" s="319" t="str">
        <f t="shared" si="143"/>
        <v/>
      </c>
      <c r="JX203" s="15">
        <f t="shared" si="144"/>
        <v>0</v>
      </c>
      <c r="JY203" s="15">
        <f t="shared" si="145"/>
        <v>0</v>
      </c>
      <c r="JZ203" s="19" t="str">
        <f t="shared" si="146"/>
        <v/>
      </c>
      <c r="KA203" s="52" t="str">
        <f t="shared" si="147"/>
        <v/>
      </c>
      <c r="KB203" s="15">
        <f t="shared" si="148"/>
        <v>0</v>
      </c>
      <c r="KC203" s="15">
        <f t="shared" si="149"/>
        <v>0</v>
      </c>
      <c r="KD203" s="20" t="str">
        <f t="shared" si="150"/>
        <v/>
      </c>
      <c r="KE203" s="52" t="str">
        <f t="shared" si="151"/>
        <v/>
      </c>
      <c r="KF203" s="15">
        <f t="shared" si="152"/>
        <v>0</v>
      </c>
      <c r="KG203" s="15">
        <f t="shared" si="153"/>
        <v>0</v>
      </c>
      <c r="KH203" s="21" t="str">
        <f t="shared" si="154"/>
        <v/>
      </c>
      <c r="KI203" s="52">
        <f t="shared" si="155"/>
        <v>1</v>
      </c>
      <c r="KJ203" s="15">
        <f t="shared" si="156"/>
        <v>3985</v>
      </c>
      <c r="KK203" s="15">
        <f t="shared" si="157"/>
        <v>15832</v>
      </c>
      <c r="KL203" s="19">
        <f t="shared" si="158"/>
        <v>3.9728983688833126</v>
      </c>
      <c r="KM203" s="52">
        <f t="shared" si="159"/>
        <v>1</v>
      </c>
      <c r="KN203" s="22">
        <f t="shared" si="160"/>
        <v>3108</v>
      </c>
      <c r="KO203" s="22">
        <f t="shared" si="161"/>
        <v>12432</v>
      </c>
      <c r="KP203" s="19">
        <f t="shared" si="162"/>
        <v>4</v>
      </c>
      <c r="KQ203" s="11" t="str">
        <f t="shared" si="163"/>
        <v>4. Transformative</v>
      </c>
      <c r="KR203" s="11" t="str">
        <f t="shared" si="164"/>
        <v>2. Accommodating</v>
      </c>
      <c r="KS203" s="11" t="str">
        <f t="shared" si="165"/>
        <v>1. Neutral</v>
      </c>
      <c r="KT203" s="11" t="str">
        <f t="shared" si="166"/>
        <v>It tested new ways for fighting poverty, but did not measure results of innovation</v>
      </c>
      <c r="KU203" s="11" t="str">
        <f t="shared" si="167"/>
        <v>Little or no advocacy</v>
      </c>
      <c r="KV203" s="11" t="str">
        <f t="shared" si="168"/>
        <v>It took tested solutions to scale on its own</v>
      </c>
      <c r="KW203" s="11" t="str">
        <f t="shared" si="169"/>
        <v>Egypt - Women’s Employment Promotion Programme</v>
      </c>
      <c r="KX203" s="11" t="str">
        <f t="shared" si="170"/>
        <v>Women’s Employment Promotion Programme</v>
      </c>
      <c r="KY203" s="11" t="str">
        <f t="shared" si="171"/>
        <v>Egypt</v>
      </c>
      <c r="KZ203" s="12">
        <v>203</v>
      </c>
    </row>
    <row r="204" spans="1:312" x14ac:dyDescent="0.3">
      <c r="A204" s="11" t="s">
        <v>3546</v>
      </c>
      <c r="B204" s="11" t="s">
        <v>602</v>
      </c>
      <c r="C204" s="11">
        <v>2905</v>
      </c>
      <c r="D204" s="11" t="s">
        <v>3852</v>
      </c>
      <c r="E204" s="24" t="str">
        <f t="shared" si="129"/>
        <v>Egypt</v>
      </c>
      <c r="F204" s="11" t="s">
        <v>3853</v>
      </c>
      <c r="G204" s="11" t="s">
        <v>379</v>
      </c>
      <c r="H204" s="11" t="s">
        <v>310</v>
      </c>
      <c r="I204" s="11" t="s">
        <v>1285</v>
      </c>
      <c r="J204" s="281" t="s">
        <v>1334</v>
      </c>
      <c r="BD204" s="23">
        <v>41883</v>
      </c>
      <c r="BE204" s="23">
        <v>42916</v>
      </c>
      <c r="BG204" s="11" t="s">
        <v>749</v>
      </c>
      <c r="BH204" s="22">
        <v>4900000</v>
      </c>
      <c r="BI204" s="11" t="s">
        <v>3854</v>
      </c>
      <c r="BJ204" s="11" t="s">
        <v>1602</v>
      </c>
      <c r="BK204" s="11" t="s">
        <v>3855</v>
      </c>
      <c r="BL204" s="11" t="s">
        <v>3836</v>
      </c>
      <c r="BM204" s="11" t="s">
        <v>3837</v>
      </c>
      <c r="BN204" s="11" t="s">
        <v>3838</v>
      </c>
      <c r="BO204" s="12" t="s">
        <v>319</v>
      </c>
      <c r="BP204" s="12" t="s">
        <v>320</v>
      </c>
      <c r="BQ204" s="12" t="s">
        <v>319</v>
      </c>
      <c r="BR204" s="11" t="s">
        <v>3856</v>
      </c>
      <c r="BS204" s="11" t="s">
        <v>357</v>
      </c>
      <c r="BT204" s="11" t="s">
        <v>3857</v>
      </c>
      <c r="BU204" s="11" t="s">
        <v>3858</v>
      </c>
      <c r="BV204" s="22">
        <v>1625</v>
      </c>
      <c r="BW204" s="22">
        <v>4875</v>
      </c>
      <c r="BX204" s="22">
        <v>6500</v>
      </c>
      <c r="BY204" s="22">
        <v>13000</v>
      </c>
      <c r="BZ204" s="22">
        <v>13000</v>
      </c>
      <c r="CA204" s="22">
        <v>26000</v>
      </c>
      <c r="CL204" s="18"/>
      <c r="CP204" s="18"/>
      <c r="CT204" s="18"/>
      <c r="CX204" s="18"/>
      <c r="DB204" s="18"/>
      <c r="DF204" s="18"/>
      <c r="DJ204" s="18"/>
      <c r="DN204" s="18"/>
      <c r="DR204" s="18"/>
      <c r="DV204" s="18"/>
      <c r="DZ204" s="18"/>
      <c r="ED204" s="18"/>
      <c r="EI204" s="18"/>
      <c r="EK204" s="22">
        <v>526</v>
      </c>
      <c r="EL204" s="22">
        <v>301</v>
      </c>
      <c r="EM204" s="22">
        <v>827</v>
      </c>
      <c r="EQ204" s="12" t="s">
        <v>320</v>
      </c>
      <c r="ER204" s="22">
        <v>827</v>
      </c>
      <c r="ES204" s="18">
        <v>0.63</v>
      </c>
      <c r="ET204" s="22">
        <v>3308</v>
      </c>
      <c r="EW204" s="18"/>
      <c r="FA204" s="18"/>
      <c r="FE204" s="18"/>
      <c r="FG204" s="12" t="s">
        <v>320</v>
      </c>
      <c r="FH204" s="22">
        <v>827</v>
      </c>
      <c r="FI204" s="18">
        <v>0.63</v>
      </c>
      <c r="FJ204" s="22">
        <v>3308</v>
      </c>
      <c r="FM204" s="18"/>
      <c r="FQ204" s="18"/>
      <c r="FU204" s="18"/>
      <c r="FY204" s="18"/>
      <c r="GC204" s="18"/>
      <c r="GG204" s="18"/>
      <c r="GK204" s="18"/>
      <c r="GO204" s="18"/>
      <c r="GS204" s="18"/>
      <c r="GW204" s="18"/>
      <c r="HA204" s="18"/>
      <c r="HF204" s="18"/>
      <c r="HH204" s="11" t="s">
        <v>320</v>
      </c>
      <c r="HI204" s="11" t="s">
        <v>415</v>
      </c>
      <c r="HJ204" s="11">
        <v>2016</v>
      </c>
      <c r="HK204" s="11" t="s">
        <v>319</v>
      </c>
      <c r="HL204" s="11" t="s">
        <v>319</v>
      </c>
      <c r="HP204" s="11" t="s">
        <v>418</v>
      </c>
      <c r="HQ204" s="11" t="s">
        <v>319</v>
      </c>
      <c r="HR204" s="11" t="s">
        <v>319</v>
      </c>
      <c r="HS204" s="11" t="s">
        <v>320</v>
      </c>
      <c r="HT204" s="11" t="s">
        <v>319</v>
      </c>
      <c r="HU204" s="11" t="s">
        <v>320</v>
      </c>
      <c r="HV204" s="11" t="s">
        <v>319</v>
      </c>
      <c r="HW204" s="11" t="s">
        <v>319</v>
      </c>
      <c r="HZ204" s="11" t="s">
        <v>331</v>
      </c>
      <c r="IA204" s="11" t="s">
        <v>3859</v>
      </c>
      <c r="IB204" s="11" t="s">
        <v>396</v>
      </c>
      <c r="IC204" s="11" t="s">
        <v>3860</v>
      </c>
      <c r="ID204" s="11" t="s">
        <v>364</v>
      </c>
      <c r="IE204" s="11" t="s">
        <v>335</v>
      </c>
      <c r="IF204" s="11" t="s">
        <v>320</v>
      </c>
      <c r="IG204" s="11" t="s">
        <v>320</v>
      </c>
      <c r="IH204" s="11" t="s">
        <v>320</v>
      </c>
      <c r="II204" s="11" t="s">
        <v>320</v>
      </c>
      <c r="IJ204" s="12" t="str">
        <f t="shared" si="130"/>
        <v>2. Sensitive</v>
      </c>
      <c r="IK204" s="12">
        <f t="shared" si="131"/>
        <v>4</v>
      </c>
      <c r="IL204" s="11" t="s">
        <v>336</v>
      </c>
      <c r="IM204" s="11" t="s">
        <v>320</v>
      </c>
      <c r="IN204" s="11" t="s">
        <v>320</v>
      </c>
      <c r="IO204" s="11" t="s">
        <v>320</v>
      </c>
      <c r="IP204" s="11" t="s">
        <v>319</v>
      </c>
      <c r="IQ204" s="12" t="str">
        <f t="shared" si="132"/>
        <v>2. Accommodating</v>
      </c>
      <c r="IR204" s="12">
        <f t="shared" si="133"/>
        <v>3</v>
      </c>
      <c r="IS204" s="11" t="s">
        <v>337</v>
      </c>
      <c r="IT204" s="11" t="s">
        <v>320</v>
      </c>
      <c r="IU204" s="11" t="s">
        <v>320</v>
      </c>
      <c r="IV204" s="11" t="s">
        <v>320</v>
      </c>
      <c r="IW204" s="11" t="str">
        <f t="shared" si="134"/>
        <v>2. Sensitive</v>
      </c>
      <c r="IX204" s="12">
        <f t="shared" si="135"/>
        <v>3</v>
      </c>
      <c r="IY204" s="11" t="s">
        <v>419</v>
      </c>
      <c r="IZ204" s="11" t="s">
        <v>527</v>
      </c>
      <c r="JA204" s="11">
        <v>18</v>
      </c>
      <c r="JB204" s="11" t="s">
        <v>831</v>
      </c>
      <c r="JC204" s="11" t="s">
        <v>433</v>
      </c>
      <c r="JE204" s="11" t="s">
        <v>340</v>
      </c>
      <c r="JF204" s="11" t="s">
        <v>3861</v>
      </c>
      <c r="JH204" s="11" t="s">
        <v>3862</v>
      </c>
      <c r="JI204" s="11" t="s">
        <v>3863</v>
      </c>
      <c r="JJ204" s="11" t="s">
        <v>3864</v>
      </c>
      <c r="JK204" s="11" t="s">
        <v>3865</v>
      </c>
      <c r="JL204" s="11" t="s">
        <v>3866</v>
      </c>
      <c r="JM204" s="11" t="s">
        <v>3867</v>
      </c>
      <c r="JP204" s="15">
        <f t="shared" si="136"/>
        <v>827</v>
      </c>
      <c r="JQ204" s="15">
        <f t="shared" si="137"/>
        <v>0</v>
      </c>
      <c r="JR204" s="279">
        <f t="shared" si="138"/>
        <v>0</v>
      </c>
      <c r="JS204" s="17">
        <f t="shared" si="139"/>
        <v>0.63603385731559858</v>
      </c>
      <c r="JT204" s="18" t="str">
        <f t="shared" si="140"/>
        <v/>
      </c>
      <c r="JU204" s="280">
        <f t="shared" si="141"/>
        <v>526</v>
      </c>
      <c r="JV204" s="280">
        <f t="shared" si="142"/>
        <v>0</v>
      </c>
      <c r="JW204" s="319" t="str">
        <f t="shared" si="143"/>
        <v/>
      </c>
      <c r="JX204" s="15">
        <f t="shared" si="144"/>
        <v>0</v>
      </c>
      <c r="JY204" s="15">
        <f t="shared" si="145"/>
        <v>0</v>
      </c>
      <c r="JZ204" s="19" t="str">
        <f t="shared" si="146"/>
        <v/>
      </c>
      <c r="KA204" s="52">
        <f t="shared" si="147"/>
        <v>1</v>
      </c>
      <c r="KB204" s="15">
        <f t="shared" si="148"/>
        <v>827</v>
      </c>
      <c r="KC204" s="15">
        <f t="shared" si="149"/>
        <v>3308</v>
      </c>
      <c r="KD204" s="20">
        <f t="shared" si="150"/>
        <v>4</v>
      </c>
      <c r="KE204" s="52" t="str">
        <f t="shared" si="151"/>
        <v/>
      </c>
      <c r="KF204" s="15">
        <f t="shared" si="152"/>
        <v>0</v>
      </c>
      <c r="KG204" s="15">
        <f t="shared" si="153"/>
        <v>0</v>
      </c>
      <c r="KH204" s="21" t="str">
        <f t="shared" si="154"/>
        <v/>
      </c>
      <c r="KI204" s="52" t="str">
        <f t="shared" si="155"/>
        <v/>
      </c>
      <c r="KJ204" s="15">
        <f t="shared" si="156"/>
        <v>0</v>
      </c>
      <c r="KK204" s="15">
        <f t="shared" si="157"/>
        <v>0</v>
      </c>
      <c r="KL204" s="19" t="str">
        <f t="shared" si="158"/>
        <v/>
      </c>
      <c r="KM204" s="52">
        <f t="shared" si="159"/>
        <v>1</v>
      </c>
      <c r="KN204" s="22">
        <f t="shared" si="160"/>
        <v>521.01</v>
      </c>
      <c r="KO204" s="22">
        <f t="shared" si="161"/>
        <v>2084.04</v>
      </c>
      <c r="KP204" s="19">
        <f t="shared" si="162"/>
        <v>4</v>
      </c>
      <c r="KQ204" s="11" t="str">
        <f t="shared" si="163"/>
        <v>2. Sensitive</v>
      </c>
      <c r="KR204" s="11" t="str">
        <f t="shared" si="164"/>
        <v>2. Accommodating</v>
      </c>
      <c r="KS204" s="11" t="str">
        <f t="shared" si="165"/>
        <v>2. Sensitive</v>
      </c>
      <c r="KT204" s="11" t="str">
        <f t="shared" si="166"/>
        <v>It tested new ways for fighting poverty and measured results of innovation</v>
      </c>
      <c r="KU204" s="11" t="str">
        <f t="shared" si="167"/>
        <v>Little or no advocacy</v>
      </c>
      <c r="KV204" s="11" t="str">
        <f t="shared" si="168"/>
        <v>It linked and worked with strategic alliances and partners to take tested and effective solutions to scale</v>
      </c>
      <c r="KW204" s="11" t="str">
        <f t="shared" si="169"/>
        <v>Egypt - Youth Employment in Aswan Project (YEP)</v>
      </c>
      <c r="KX204" s="11" t="str">
        <f t="shared" si="170"/>
        <v>Youth Employment in Aswan Project (YEP)</v>
      </c>
      <c r="KY204" s="11" t="str">
        <f t="shared" si="171"/>
        <v>Egypt</v>
      </c>
      <c r="KZ204" s="12">
        <v>204</v>
      </c>
    </row>
    <row r="205" spans="1:312" x14ac:dyDescent="0.3">
      <c r="A205" s="11" t="s">
        <v>3868</v>
      </c>
      <c r="B205" s="11" t="s">
        <v>1874</v>
      </c>
      <c r="D205" s="11" t="s">
        <v>4202</v>
      </c>
      <c r="E205" s="24" t="str">
        <f t="shared" si="129"/>
        <v>Ethiopia</v>
      </c>
      <c r="G205" s="11" t="s">
        <v>608</v>
      </c>
      <c r="H205" s="11" t="s">
        <v>380</v>
      </c>
      <c r="I205" s="11" t="s">
        <v>381</v>
      </c>
      <c r="J205" s="278" t="s">
        <v>14624</v>
      </c>
      <c r="BD205" s="23">
        <v>42741</v>
      </c>
      <c r="BE205" s="37" t="s">
        <v>4203</v>
      </c>
      <c r="BG205" s="11" t="s">
        <v>908</v>
      </c>
      <c r="BH205" s="22">
        <v>280279.39</v>
      </c>
      <c r="BI205" s="11" t="s">
        <v>3887</v>
      </c>
      <c r="BJ205" s="11" t="s">
        <v>3888</v>
      </c>
      <c r="BK205" s="11" t="s">
        <v>3889</v>
      </c>
      <c r="BL205" s="11" t="s">
        <v>3890</v>
      </c>
      <c r="BM205" s="11" t="s">
        <v>3891</v>
      </c>
      <c r="BN205" s="11" t="s">
        <v>3892</v>
      </c>
      <c r="BO205" s="11" t="s">
        <v>320</v>
      </c>
      <c r="BP205" s="11" t="s">
        <v>319</v>
      </c>
      <c r="BQ205" s="11" t="s">
        <v>319</v>
      </c>
      <c r="BR205" s="11" t="s">
        <v>4204</v>
      </c>
      <c r="BS205" s="11" t="s">
        <v>357</v>
      </c>
      <c r="BT205" s="11" t="s">
        <v>4205</v>
      </c>
      <c r="BU205" s="11" t="s">
        <v>4206</v>
      </c>
      <c r="BV205" s="22">
        <v>2493</v>
      </c>
      <c r="BW205" s="22">
        <v>913</v>
      </c>
      <c r="BX205" s="22">
        <v>3406</v>
      </c>
      <c r="CB205" s="15" t="s">
        <v>4207</v>
      </c>
      <c r="CD205" s="22">
        <v>2493</v>
      </c>
      <c r="CE205" s="22">
        <v>913</v>
      </c>
      <c r="CF205" s="22">
        <v>3406</v>
      </c>
      <c r="CJ205" s="11" t="s">
        <v>319</v>
      </c>
      <c r="CL205" s="18"/>
      <c r="CN205" s="11" t="s">
        <v>319</v>
      </c>
      <c r="CP205" s="18"/>
      <c r="CR205" s="11" t="s">
        <v>319</v>
      </c>
      <c r="CT205" s="18"/>
      <c r="CV205" s="12" t="s">
        <v>320</v>
      </c>
      <c r="CW205" s="22">
        <v>3406</v>
      </c>
      <c r="CX205" s="18">
        <v>0.73</v>
      </c>
      <c r="CZ205" s="11" t="s">
        <v>319</v>
      </c>
      <c r="DB205" s="18"/>
      <c r="DD205" s="11" t="s">
        <v>319</v>
      </c>
      <c r="DF205" s="18"/>
      <c r="DH205" s="11" t="s">
        <v>319</v>
      </c>
      <c r="DJ205" s="18"/>
      <c r="DL205" s="11" t="s">
        <v>319</v>
      </c>
      <c r="DN205" s="18"/>
      <c r="DP205" s="11" t="s">
        <v>319</v>
      </c>
      <c r="DR205" s="18"/>
      <c r="DT205" s="11" t="s">
        <v>319</v>
      </c>
      <c r="DV205" s="18"/>
      <c r="DX205" s="11" t="s">
        <v>319</v>
      </c>
      <c r="DZ205" s="18"/>
      <c r="EB205" s="11" t="s">
        <v>319</v>
      </c>
      <c r="ED205" s="18"/>
      <c r="EI205" s="18"/>
      <c r="ES205" s="18"/>
      <c r="EW205" s="18"/>
      <c r="FA205" s="18"/>
      <c r="FE205" s="18"/>
      <c r="FI205" s="18"/>
      <c r="FM205" s="18"/>
      <c r="FQ205" s="18"/>
      <c r="FU205" s="18"/>
      <c r="FY205" s="18"/>
      <c r="GC205" s="18"/>
      <c r="GG205" s="18"/>
      <c r="GK205" s="18"/>
      <c r="GO205" s="18"/>
      <c r="GS205" s="18"/>
      <c r="GW205" s="18"/>
      <c r="HA205" s="18"/>
      <c r="HF205" s="18"/>
      <c r="HH205" s="11" t="s">
        <v>319</v>
      </c>
      <c r="HL205" s="11" t="s">
        <v>319</v>
      </c>
      <c r="HP205" s="11" t="s">
        <v>418</v>
      </c>
      <c r="HQ205" s="11" t="s">
        <v>319</v>
      </c>
      <c r="HT205" s="11" t="s">
        <v>319</v>
      </c>
      <c r="HW205" s="11" t="s">
        <v>319</v>
      </c>
      <c r="HZ205" s="11" t="s">
        <v>363</v>
      </c>
      <c r="IB205" s="11" t="s">
        <v>333</v>
      </c>
      <c r="ID205" s="11" t="s">
        <v>364</v>
      </c>
      <c r="IE205" s="11" t="s">
        <v>335</v>
      </c>
      <c r="IF205" s="11" t="s">
        <v>320</v>
      </c>
      <c r="IG205" s="11" t="s">
        <v>320</v>
      </c>
      <c r="IH205" s="11" t="s">
        <v>320</v>
      </c>
      <c r="II205" s="11" t="s">
        <v>320</v>
      </c>
      <c r="IJ205" s="12" t="str">
        <f t="shared" si="130"/>
        <v>2. Sensitive</v>
      </c>
      <c r="IK205" s="12">
        <f t="shared" si="131"/>
        <v>4</v>
      </c>
      <c r="IL205" s="11" t="s">
        <v>336</v>
      </c>
      <c r="IM205" s="11" t="s">
        <v>320</v>
      </c>
      <c r="IN205" s="11" t="s">
        <v>320</v>
      </c>
      <c r="IO205" s="11" t="s">
        <v>320</v>
      </c>
      <c r="IP205" s="11" t="s">
        <v>320</v>
      </c>
      <c r="IQ205" s="12" t="str">
        <f t="shared" si="132"/>
        <v>2. Accommodating</v>
      </c>
      <c r="IR205" s="12">
        <f t="shared" si="133"/>
        <v>4</v>
      </c>
      <c r="IS205" s="11" t="s">
        <v>337</v>
      </c>
      <c r="IT205" s="11" t="s">
        <v>320</v>
      </c>
      <c r="IU205" s="11" t="s">
        <v>320</v>
      </c>
      <c r="IV205" s="11" t="s">
        <v>320</v>
      </c>
      <c r="IW205" s="11" t="str">
        <f t="shared" si="134"/>
        <v>2. Sensitive</v>
      </c>
      <c r="IX205" s="12">
        <f t="shared" si="135"/>
        <v>3</v>
      </c>
      <c r="IY205" s="11" t="s">
        <v>419</v>
      </c>
      <c r="IZ205" s="11" t="s">
        <v>457</v>
      </c>
      <c r="JA205" s="11">
        <v>2</v>
      </c>
      <c r="JB205" s="11" t="s">
        <v>623</v>
      </c>
      <c r="JC205" s="11" t="s">
        <v>687</v>
      </c>
      <c r="JE205" s="11" t="s">
        <v>420</v>
      </c>
      <c r="JL205" s="11" t="s">
        <v>4208</v>
      </c>
      <c r="JP205" s="15">
        <f t="shared" si="136"/>
        <v>3406</v>
      </c>
      <c r="JQ205" s="15">
        <f t="shared" si="137"/>
        <v>0</v>
      </c>
      <c r="JR205" s="279">
        <f t="shared" si="138"/>
        <v>0</v>
      </c>
      <c r="JS205" s="17">
        <f t="shared" si="139"/>
        <v>0.73194362889019382</v>
      </c>
      <c r="JT205" s="18" t="str">
        <f t="shared" si="140"/>
        <v/>
      </c>
      <c r="JU205" s="280">
        <f t="shared" si="141"/>
        <v>2493</v>
      </c>
      <c r="JV205" s="280">
        <f t="shared" si="142"/>
        <v>0</v>
      </c>
      <c r="JW205" s="319">
        <f t="shared" si="143"/>
        <v>1</v>
      </c>
      <c r="JX205" s="15">
        <f t="shared" si="144"/>
        <v>3406</v>
      </c>
      <c r="JY205" s="15">
        <f t="shared" si="145"/>
        <v>0</v>
      </c>
      <c r="JZ205" s="19">
        <f t="shared" si="146"/>
        <v>0</v>
      </c>
      <c r="KA205" s="52">
        <f t="shared" si="147"/>
        <v>1</v>
      </c>
      <c r="KB205" s="15">
        <f t="shared" si="148"/>
        <v>3406</v>
      </c>
      <c r="KC205" s="15">
        <f t="shared" si="149"/>
        <v>0</v>
      </c>
      <c r="KD205" s="20">
        <f t="shared" si="150"/>
        <v>0</v>
      </c>
      <c r="KE205" s="52" t="str">
        <f t="shared" si="151"/>
        <v/>
      </c>
      <c r="KF205" s="15">
        <f t="shared" si="152"/>
        <v>0</v>
      </c>
      <c r="KG205" s="15">
        <f t="shared" si="153"/>
        <v>0</v>
      </c>
      <c r="KH205" s="21" t="str">
        <f t="shared" si="154"/>
        <v/>
      </c>
      <c r="KI205" s="52" t="str">
        <f t="shared" si="155"/>
        <v/>
      </c>
      <c r="KJ205" s="15">
        <f t="shared" si="156"/>
        <v>0</v>
      </c>
      <c r="KK205" s="15">
        <f t="shared" si="157"/>
        <v>0</v>
      </c>
      <c r="KL205" s="19" t="str">
        <f t="shared" si="158"/>
        <v/>
      </c>
      <c r="KM205" s="52" t="str">
        <f t="shared" si="159"/>
        <v/>
      </c>
      <c r="KN205" s="22">
        <f t="shared" si="160"/>
        <v>0</v>
      </c>
      <c r="KO205" s="22">
        <f t="shared" si="161"/>
        <v>0</v>
      </c>
      <c r="KP205" s="19" t="str">
        <f t="shared" si="162"/>
        <v/>
      </c>
      <c r="KQ205" s="11" t="str">
        <f t="shared" si="163"/>
        <v>2. Sensitive</v>
      </c>
      <c r="KR205" s="11" t="str">
        <f t="shared" si="164"/>
        <v>2. Accommodating</v>
      </c>
      <c r="KS205" s="11" t="str">
        <f t="shared" si="165"/>
        <v>2. Sensitive</v>
      </c>
      <c r="KT205" s="11" t="str">
        <f t="shared" si="166"/>
        <v>It did not develop any specific innovation</v>
      </c>
      <c r="KU205" s="11" t="str">
        <f t="shared" si="167"/>
        <v>Little or no advocacy</v>
      </c>
      <c r="KV205" s="11" t="str">
        <f t="shared" si="168"/>
        <v>It did not take tested solutions to scale</v>
      </c>
      <c r="KW205" s="11" t="str">
        <f t="shared" si="169"/>
        <v>Ethiopia - Afar Region Emergency Nutrition Response project</v>
      </c>
      <c r="KX205" s="11" t="str">
        <f t="shared" si="170"/>
        <v>Afar Region Emergency Nutrition Response project</v>
      </c>
      <c r="KY205" s="11" t="str">
        <f t="shared" si="171"/>
        <v>Ethiopia</v>
      </c>
      <c r="KZ205" s="12">
        <v>205</v>
      </c>
    </row>
    <row r="206" spans="1:312" x14ac:dyDescent="0.3">
      <c r="A206" s="11" t="s">
        <v>3868</v>
      </c>
      <c r="B206" s="11" t="s">
        <v>1874</v>
      </c>
      <c r="D206" s="11" t="s">
        <v>4209</v>
      </c>
      <c r="E206" s="24" t="str">
        <f t="shared" si="129"/>
        <v>Ethiopia</v>
      </c>
      <c r="F206" s="11" t="s">
        <v>4210</v>
      </c>
      <c r="G206" s="11" t="s">
        <v>608</v>
      </c>
      <c r="H206" s="11" t="s">
        <v>380</v>
      </c>
      <c r="I206" s="11" t="s">
        <v>381</v>
      </c>
      <c r="J206" s="278" t="s">
        <v>14624</v>
      </c>
      <c r="BD206" s="23">
        <v>42643</v>
      </c>
      <c r="BE206" s="23">
        <v>42794</v>
      </c>
      <c r="BG206" s="11" t="s">
        <v>908</v>
      </c>
      <c r="BH206" s="22">
        <v>489385.43</v>
      </c>
      <c r="BI206" s="11" t="s">
        <v>3887</v>
      </c>
      <c r="BJ206" s="11" t="s">
        <v>3888</v>
      </c>
      <c r="BK206" s="11" t="s">
        <v>3889</v>
      </c>
      <c r="BL206" s="11" t="s">
        <v>3998</v>
      </c>
      <c r="BM206" s="11" t="s">
        <v>3999</v>
      </c>
      <c r="BN206" s="11" t="s">
        <v>4000</v>
      </c>
      <c r="BO206" s="11" t="s">
        <v>320</v>
      </c>
      <c r="BP206" s="11" t="s">
        <v>319</v>
      </c>
      <c r="BQ206" s="11" t="s">
        <v>319</v>
      </c>
      <c r="BR206" s="11" t="s">
        <v>4211</v>
      </c>
      <c r="BS206" s="11" t="s">
        <v>357</v>
      </c>
      <c r="BT206" s="11" t="s">
        <v>4212</v>
      </c>
      <c r="BU206" s="11" t="s">
        <v>3895</v>
      </c>
      <c r="BV206" s="22">
        <v>35239</v>
      </c>
      <c r="BW206" s="22">
        <v>33857</v>
      </c>
      <c r="BX206" s="22">
        <v>69096</v>
      </c>
      <c r="CB206" s="15" t="s">
        <v>4213</v>
      </c>
      <c r="CD206" s="22">
        <v>89288</v>
      </c>
      <c r="CE206" s="22">
        <v>85903</v>
      </c>
      <c r="CF206" s="22">
        <v>175191</v>
      </c>
      <c r="CJ206" s="11" t="s">
        <v>319</v>
      </c>
      <c r="CL206" s="18"/>
      <c r="CN206" s="11" t="s">
        <v>319</v>
      </c>
      <c r="CP206" s="18"/>
      <c r="CR206" s="11" t="s">
        <v>319</v>
      </c>
      <c r="CT206" s="18"/>
      <c r="CV206" s="11" t="s">
        <v>319</v>
      </c>
      <c r="CX206" s="18"/>
      <c r="CZ206" s="11" t="s">
        <v>319</v>
      </c>
      <c r="DB206" s="18"/>
      <c r="DD206" s="11" t="s">
        <v>319</v>
      </c>
      <c r="DF206" s="18"/>
      <c r="DH206" s="11" t="s">
        <v>319</v>
      </c>
      <c r="DJ206" s="18"/>
      <c r="DL206" s="11" t="s">
        <v>319</v>
      </c>
      <c r="DN206" s="18"/>
      <c r="DP206" s="11" t="s">
        <v>319</v>
      </c>
      <c r="DR206" s="18"/>
      <c r="DT206" s="11" t="s">
        <v>319</v>
      </c>
      <c r="DV206" s="18"/>
      <c r="DX206" s="11" t="s">
        <v>319</v>
      </c>
      <c r="DZ206" s="18"/>
      <c r="EB206" s="11" t="s">
        <v>320</v>
      </c>
      <c r="EC206" s="22">
        <v>175191</v>
      </c>
      <c r="ED206" s="18">
        <v>0.51</v>
      </c>
      <c r="EG206" s="15" t="s">
        <v>319</v>
      </c>
      <c r="EI206" s="18"/>
      <c r="ES206" s="18"/>
      <c r="EW206" s="18"/>
      <c r="FA206" s="18"/>
      <c r="FE206" s="18"/>
      <c r="FI206" s="18"/>
      <c r="FM206" s="18"/>
      <c r="FQ206" s="18"/>
      <c r="FU206" s="18"/>
      <c r="FY206" s="18"/>
      <c r="GC206" s="18"/>
      <c r="GG206" s="18"/>
      <c r="GK206" s="18"/>
      <c r="GO206" s="18"/>
      <c r="GS206" s="18"/>
      <c r="GW206" s="18"/>
      <c r="HA206" s="18"/>
      <c r="HF206" s="18"/>
      <c r="HH206" s="11" t="s">
        <v>320</v>
      </c>
      <c r="HI206" s="11" t="s">
        <v>327</v>
      </c>
      <c r="HJ206" s="11">
        <v>2016</v>
      </c>
      <c r="HK206" s="11" t="s">
        <v>319</v>
      </c>
      <c r="HL206" s="11" t="s">
        <v>319</v>
      </c>
      <c r="HP206" s="11" t="s">
        <v>418</v>
      </c>
      <c r="HQ206" s="11" t="s">
        <v>319</v>
      </c>
      <c r="HT206" s="11" t="s">
        <v>319</v>
      </c>
      <c r="HW206" s="11" t="s">
        <v>319</v>
      </c>
      <c r="HZ206" s="11" t="s">
        <v>363</v>
      </c>
      <c r="IB206" s="11" t="s">
        <v>333</v>
      </c>
      <c r="ID206" s="11" t="s">
        <v>364</v>
      </c>
      <c r="IE206" s="11" t="s">
        <v>335</v>
      </c>
      <c r="IF206" s="11" t="s">
        <v>320</v>
      </c>
      <c r="IG206" s="11" t="s">
        <v>320</v>
      </c>
      <c r="IH206" s="11" t="s">
        <v>320</v>
      </c>
      <c r="II206" s="11" t="s">
        <v>320</v>
      </c>
      <c r="IJ206" s="12" t="str">
        <f t="shared" si="130"/>
        <v>2. Sensitive</v>
      </c>
      <c r="IK206" s="12">
        <f t="shared" si="131"/>
        <v>4</v>
      </c>
      <c r="IL206" s="11" t="s">
        <v>336</v>
      </c>
      <c r="IM206" s="11" t="s">
        <v>320</v>
      </c>
      <c r="IN206" s="11" t="s">
        <v>320</v>
      </c>
      <c r="IO206" s="11" t="s">
        <v>320</v>
      </c>
      <c r="IP206" s="11" t="s">
        <v>320</v>
      </c>
      <c r="IQ206" s="12" t="str">
        <f t="shared" si="132"/>
        <v>2. Accommodating</v>
      </c>
      <c r="IR206" s="12">
        <f t="shared" si="133"/>
        <v>4</v>
      </c>
      <c r="IS206" s="11" t="s">
        <v>337</v>
      </c>
      <c r="IT206" s="11" t="s">
        <v>320</v>
      </c>
      <c r="IU206" s="11" t="s">
        <v>320</v>
      </c>
      <c r="IV206" s="11" t="s">
        <v>320</v>
      </c>
      <c r="IW206" s="11" t="str">
        <f t="shared" si="134"/>
        <v>2. Sensitive</v>
      </c>
      <c r="IX206" s="12">
        <f t="shared" si="135"/>
        <v>3</v>
      </c>
      <c r="IY206" s="11" t="s">
        <v>419</v>
      </c>
      <c r="IZ206" s="11" t="s">
        <v>457</v>
      </c>
      <c r="JA206" s="11">
        <v>2</v>
      </c>
      <c r="JB206" s="11" t="s">
        <v>623</v>
      </c>
      <c r="JC206" s="11" t="s">
        <v>687</v>
      </c>
      <c r="JE206" s="11" t="s">
        <v>420</v>
      </c>
      <c r="JL206" s="11" t="s">
        <v>4214</v>
      </c>
      <c r="JP206" s="15">
        <f t="shared" si="136"/>
        <v>175191</v>
      </c>
      <c r="JQ206" s="15">
        <f t="shared" si="137"/>
        <v>0</v>
      </c>
      <c r="JR206" s="279">
        <f t="shared" si="138"/>
        <v>0</v>
      </c>
      <c r="JS206" s="17">
        <f t="shared" si="139"/>
        <v>0.50966088440616242</v>
      </c>
      <c r="JT206" s="18" t="str">
        <f t="shared" si="140"/>
        <v/>
      </c>
      <c r="JU206" s="280">
        <f t="shared" si="141"/>
        <v>89288</v>
      </c>
      <c r="JV206" s="280">
        <f t="shared" si="142"/>
        <v>0</v>
      </c>
      <c r="JW206" s="319">
        <f t="shared" si="143"/>
        <v>1</v>
      </c>
      <c r="JX206" s="15">
        <f t="shared" si="144"/>
        <v>175191</v>
      </c>
      <c r="JY206" s="15">
        <f t="shared" si="145"/>
        <v>0</v>
      </c>
      <c r="JZ206" s="19">
        <f t="shared" si="146"/>
        <v>0</v>
      </c>
      <c r="KA206" s="52" t="str">
        <f t="shared" si="147"/>
        <v/>
      </c>
      <c r="KB206" s="15">
        <f t="shared" si="148"/>
        <v>0</v>
      </c>
      <c r="KC206" s="15">
        <f t="shared" si="149"/>
        <v>0</v>
      </c>
      <c r="KD206" s="20" t="str">
        <f t="shared" si="150"/>
        <v/>
      </c>
      <c r="KE206" s="52" t="str">
        <f t="shared" si="151"/>
        <v/>
      </c>
      <c r="KF206" s="15">
        <f t="shared" si="152"/>
        <v>0</v>
      </c>
      <c r="KG206" s="15">
        <f t="shared" si="153"/>
        <v>0</v>
      </c>
      <c r="KH206" s="21" t="str">
        <f t="shared" si="154"/>
        <v/>
      </c>
      <c r="KI206" s="52" t="str">
        <f t="shared" si="155"/>
        <v/>
      </c>
      <c r="KJ206" s="15">
        <f t="shared" si="156"/>
        <v>0</v>
      </c>
      <c r="KK206" s="15">
        <f t="shared" si="157"/>
        <v>0</v>
      </c>
      <c r="KL206" s="19" t="str">
        <f t="shared" si="158"/>
        <v/>
      </c>
      <c r="KM206" s="52" t="str">
        <f t="shared" si="159"/>
        <v/>
      </c>
      <c r="KN206" s="22">
        <f t="shared" si="160"/>
        <v>0</v>
      </c>
      <c r="KO206" s="22">
        <f t="shared" si="161"/>
        <v>0</v>
      </c>
      <c r="KP206" s="19" t="str">
        <f t="shared" si="162"/>
        <v/>
      </c>
      <c r="KQ206" s="11" t="str">
        <f t="shared" si="163"/>
        <v>2. Sensitive</v>
      </c>
      <c r="KR206" s="11" t="str">
        <f t="shared" si="164"/>
        <v>2. Accommodating</v>
      </c>
      <c r="KS206" s="11" t="str">
        <f t="shared" si="165"/>
        <v>2. Sensitive</v>
      </c>
      <c r="KT206" s="11" t="str">
        <f t="shared" si="166"/>
        <v>It did not develop any specific innovation</v>
      </c>
      <c r="KU206" s="11" t="str">
        <f t="shared" si="167"/>
        <v>Little or no advocacy</v>
      </c>
      <c r="KV206" s="11" t="str">
        <f t="shared" si="168"/>
        <v>It did not take tested solutions to scale</v>
      </c>
      <c r="KW206" s="11" t="str">
        <f t="shared" si="169"/>
        <v>Ethiopia - AWD response in East and West Hararghe</v>
      </c>
      <c r="KX206" s="11" t="str">
        <f t="shared" si="170"/>
        <v>AWD response in East and West Hararghe</v>
      </c>
      <c r="KY206" s="11" t="str">
        <f t="shared" si="171"/>
        <v>Ethiopia</v>
      </c>
      <c r="KZ206" s="12">
        <v>206</v>
      </c>
    </row>
    <row r="207" spans="1:312" x14ac:dyDescent="0.3">
      <c r="A207" s="11" t="s">
        <v>3868</v>
      </c>
      <c r="B207" s="11" t="s">
        <v>1874</v>
      </c>
      <c r="D207" s="11" t="s">
        <v>4215</v>
      </c>
      <c r="E207" s="24" t="str">
        <f t="shared" si="129"/>
        <v>Ethiopia</v>
      </c>
      <c r="F207" s="11" t="s">
        <v>4216</v>
      </c>
      <c r="G207" s="11" t="s">
        <v>608</v>
      </c>
      <c r="H207" s="11" t="s">
        <v>380</v>
      </c>
      <c r="I207" s="11" t="s">
        <v>381</v>
      </c>
      <c r="J207" s="278" t="s">
        <v>14624</v>
      </c>
      <c r="BD207" s="23">
        <v>42786</v>
      </c>
      <c r="BE207" s="23">
        <v>42967</v>
      </c>
      <c r="BG207" s="11" t="s">
        <v>908</v>
      </c>
      <c r="BH207" s="22">
        <v>431313.81</v>
      </c>
      <c r="BI207" s="11" t="s">
        <v>3887</v>
      </c>
      <c r="BJ207" s="11" t="s">
        <v>3888</v>
      </c>
      <c r="BK207" s="11" t="s">
        <v>3889</v>
      </c>
      <c r="BL207" s="11" t="s">
        <v>3890</v>
      </c>
      <c r="BM207" s="11" t="s">
        <v>3891</v>
      </c>
      <c r="BN207" s="11" t="s">
        <v>3892</v>
      </c>
      <c r="BO207" s="11" t="s">
        <v>320</v>
      </c>
      <c r="BP207" s="11" t="s">
        <v>319</v>
      </c>
      <c r="BQ207" s="11" t="s">
        <v>319</v>
      </c>
      <c r="BR207" s="11" t="s">
        <v>4204</v>
      </c>
      <c r="BS207" s="11" t="s">
        <v>357</v>
      </c>
      <c r="BT207" s="11" t="s">
        <v>4205</v>
      </c>
      <c r="BU207" s="11" t="s">
        <v>3957</v>
      </c>
      <c r="BV207" s="22">
        <v>19570</v>
      </c>
      <c r="BW207" s="22">
        <v>5431</v>
      </c>
      <c r="BX207" s="22">
        <v>25001</v>
      </c>
      <c r="CB207" s="15" t="s">
        <v>4217</v>
      </c>
      <c r="CD207" s="22">
        <v>19570</v>
      </c>
      <c r="CE207" s="22">
        <v>5431</v>
      </c>
      <c r="CF207" s="22">
        <v>25001</v>
      </c>
      <c r="CJ207" s="11" t="s">
        <v>319</v>
      </c>
      <c r="CL207" s="18"/>
      <c r="CN207" s="11" t="s">
        <v>319</v>
      </c>
      <c r="CP207" s="18"/>
      <c r="CR207" s="11" t="s">
        <v>319</v>
      </c>
      <c r="CT207" s="18"/>
      <c r="CV207" s="12" t="s">
        <v>320</v>
      </c>
      <c r="CW207" s="22">
        <v>25001</v>
      </c>
      <c r="CX207" s="18">
        <v>0.78</v>
      </c>
      <c r="CZ207" s="11" t="s">
        <v>319</v>
      </c>
      <c r="DB207" s="18"/>
      <c r="DD207" s="11" t="s">
        <v>319</v>
      </c>
      <c r="DF207" s="18"/>
      <c r="DH207" s="11" t="s">
        <v>319</v>
      </c>
      <c r="DJ207" s="18"/>
      <c r="DL207" s="11" t="s">
        <v>319</v>
      </c>
      <c r="DN207" s="18"/>
      <c r="DP207" s="11" t="s">
        <v>319</v>
      </c>
      <c r="DR207" s="18"/>
      <c r="DT207" s="11" t="s">
        <v>319</v>
      </c>
      <c r="DV207" s="18"/>
      <c r="DX207" s="11" t="s">
        <v>319</v>
      </c>
      <c r="DZ207" s="18"/>
      <c r="EB207" s="11" t="s">
        <v>319</v>
      </c>
      <c r="ED207" s="18"/>
      <c r="EG207" s="15" t="s">
        <v>319</v>
      </c>
      <c r="EI207" s="18"/>
      <c r="ES207" s="18"/>
      <c r="EW207" s="18"/>
      <c r="FA207" s="18"/>
      <c r="FE207" s="18"/>
      <c r="FI207" s="18"/>
      <c r="FM207" s="18"/>
      <c r="FQ207" s="18"/>
      <c r="FU207" s="18"/>
      <c r="FY207" s="18"/>
      <c r="GC207" s="18"/>
      <c r="GG207" s="18"/>
      <c r="GK207" s="18"/>
      <c r="GO207" s="18"/>
      <c r="GS207" s="18"/>
      <c r="GW207" s="18"/>
      <c r="HA207" s="18"/>
      <c r="HF207" s="18"/>
      <c r="HH207" s="11" t="s">
        <v>319</v>
      </c>
      <c r="HK207" s="11" t="s">
        <v>319</v>
      </c>
      <c r="HL207" s="11" t="s">
        <v>319</v>
      </c>
      <c r="HP207" s="11" t="s">
        <v>418</v>
      </c>
      <c r="HQ207" s="11" t="s">
        <v>319</v>
      </c>
      <c r="HT207" s="11" t="s">
        <v>319</v>
      </c>
      <c r="HW207" s="11" t="s">
        <v>319</v>
      </c>
      <c r="HZ207" s="11" t="s">
        <v>363</v>
      </c>
      <c r="IB207" s="11" t="s">
        <v>333</v>
      </c>
      <c r="ID207" s="11" t="s">
        <v>364</v>
      </c>
      <c r="IE207" s="11" t="s">
        <v>335</v>
      </c>
      <c r="IF207" s="11" t="s">
        <v>320</v>
      </c>
      <c r="IG207" s="11" t="s">
        <v>320</v>
      </c>
      <c r="IH207" s="11" t="s">
        <v>320</v>
      </c>
      <c r="II207" s="11" t="s">
        <v>320</v>
      </c>
      <c r="IJ207" s="12" t="str">
        <f t="shared" si="130"/>
        <v>2. Sensitive</v>
      </c>
      <c r="IK207" s="12">
        <f t="shared" si="131"/>
        <v>4</v>
      </c>
      <c r="IL207" s="11" t="s">
        <v>336</v>
      </c>
      <c r="IM207" s="11" t="s">
        <v>320</v>
      </c>
      <c r="IN207" s="11" t="s">
        <v>320</v>
      </c>
      <c r="IO207" s="11" t="s">
        <v>320</v>
      </c>
      <c r="IP207" s="11" t="s">
        <v>320</v>
      </c>
      <c r="IQ207" s="12" t="str">
        <f t="shared" si="132"/>
        <v>2. Accommodating</v>
      </c>
      <c r="IR207" s="12">
        <f t="shared" si="133"/>
        <v>4</v>
      </c>
      <c r="IS207" s="11" t="s">
        <v>337</v>
      </c>
      <c r="IT207" s="11" t="s">
        <v>320</v>
      </c>
      <c r="IU207" s="11" t="s">
        <v>320</v>
      </c>
      <c r="IV207" s="11" t="s">
        <v>320</v>
      </c>
      <c r="IW207" s="11" t="str">
        <f t="shared" si="134"/>
        <v>2. Sensitive</v>
      </c>
      <c r="IX207" s="12">
        <f t="shared" si="135"/>
        <v>3</v>
      </c>
      <c r="IY207" s="11" t="s">
        <v>419</v>
      </c>
      <c r="IZ207" s="11" t="s">
        <v>457</v>
      </c>
      <c r="JA207" s="11">
        <v>2</v>
      </c>
      <c r="JB207" s="11" t="s">
        <v>623</v>
      </c>
      <c r="JC207" s="11" t="s">
        <v>687</v>
      </c>
      <c r="JE207" s="11" t="s">
        <v>420</v>
      </c>
      <c r="JL207" s="11" t="s">
        <v>4218</v>
      </c>
      <c r="JP207" s="15">
        <f t="shared" si="136"/>
        <v>25001</v>
      </c>
      <c r="JQ207" s="15">
        <f t="shared" si="137"/>
        <v>0</v>
      </c>
      <c r="JR207" s="279">
        <f t="shared" si="138"/>
        <v>0</v>
      </c>
      <c r="JS207" s="17">
        <f t="shared" si="139"/>
        <v>0.78276868925242993</v>
      </c>
      <c r="JT207" s="18" t="str">
        <f t="shared" si="140"/>
        <v/>
      </c>
      <c r="JU207" s="280">
        <f t="shared" si="141"/>
        <v>19570</v>
      </c>
      <c r="JV207" s="280">
        <f t="shared" si="142"/>
        <v>0</v>
      </c>
      <c r="JW207" s="319">
        <f t="shared" si="143"/>
        <v>1</v>
      </c>
      <c r="JX207" s="15">
        <f t="shared" si="144"/>
        <v>25001</v>
      </c>
      <c r="JY207" s="15">
        <f t="shared" si="145"/>
        <v>0</v>
      </c>
      <c r="JZ207" s="19">
        <f t="shared" si="146"/>
        <v>0</v>
      </c>
      <c r="KA207" s="52">
        <f t="shared" si="147"/>
        <v>1</v>
      </c>
      <c r="KB207" s="15">
        <f t="shared" si="148"/>
        <v>25001</v>
      </c>
      <c r="KC207" s="15">
        <f t="shared" si="149"/>
        <v>0</v>
      </c>
      <c r="KD207" s="20">
        <f t="shared" si="150"/>
        <v>0</v>
      </c>
      <c r="KE207" s="52" t="str">
        <f t="shared" si="151"/>
        <v/>
      </c>
      <c r="KF207" s="15">
        <f t="shared" si="152"/>
        <v>0</v>
      </c>
      <c r="KG207" s="15">
        <f t="shared" si="153"/>
        <v>0</v>
      </c>
      <c r="KH207" s="21" t="str">
        <f t="shared" si="154"/>
        <v/>
      </c>
      <c r="KI207" s="52" t="str">
        <f t="shared" si="155"/>
        <v/>
      </c>
      <c r="KJ207" s="15">
        <f t="shared" si="156"/>
        <v>0</v>
      </c>
      <c r="KK207" s="15">
        <f t="shared" si="157"/>
        <v>0</v>
      </c>
      <c r="KL207" s="19" t="str">
        <f t="shared" si="158"/>
        <v/>
      </c>
      <c r="KM207" s="52" t="str">
        <f t="shared" si="159"/>
        <v/>
      </c>
      <c r="KN207" s="22">
        <f t="shared" si="160"/>
        <v>0</v>
      </c>
      <c r="KO207" s="22">
        <f t="shared" si="161"/>
        <v>0</v>
      </c>
      <c r="KP207" s="19" t="str">
        <f t="shared" si="162"/>
        <v/>
      </c>
      <c r="KQ207" s="11" t="str">
        <f t="shared" si="163"/>
        <v>2. Sensitive</v>
      </c>
      <c r="KR207" s="11" t="str">
        <f t="shared" si="164"/>
        <v>2. Accommodating</v>
      </c>
      <c r="KS207" s="11" t="str">
        <f t="shared" si="165"/>
        <v>2. Sensitive</v>
      </c>
      <c r="KT207" s="11" t="str">
        <f t="shared" si="166"/>
        <v>It did not develop any specific innovation</v>
      </c>
      <c r="KU207" s="11" t="str">
        <f t="shared" si="167"/>
        <v>Little or no advocacy</v>
      </c>
      <c r="KV207" s="11" t="str">
        <f t="shared" si="168"/>
        <v>It did not take tested solutions to scale</v>
      </c>
      <c r="KW207" s="11" t="str">
        <f t="shared" si="169"/>
        <v>Ethiopia - Borena zone Emergency Nutrition Réponse Project</v>
      </c>
      <c r="KX207" s="11" t="str">
        <f t="shared" si="170"/>
        <v>Borena zone Emergency Nutrition Réponse Project</v>
      </c>
      <c r="KY207" s="11" t="str">
        <f t="shared" si="171"/>
        <v>Ethiopia</v>
      </c>
      <c r="KZ207" s="12">
        <v>207</v>
      </c>
    </row>
    <row r="208" spans="1:312" x14ac:dyDescent="0.3">
      <c r="A208" s="11" t="s">
        <v>3868</v>
      </c>
      <c r="B208" s="11" t="s">
        <v>1874</v>
      </c>
      <c r="D208" s="11" t="s">
        <v>4219</v>
      </c>
      <c r="E208" s="24" t="str">
        <f t="shared" si="129"/>
        <v>Ethiopia</v>
      </c>
      <c r="F208" s="11" t="s">
        <v>4220</v>
      </c>
      <c r="G208" s="11" t="s">
        <v>608</v>
      </c>
      <c r="H208" s="11" t="s">
        <v>380</v>
      </c>
      <c r="I208" s="11" t="s">
        <v>381</v>
      </c>
      <c r="J208" s="278" t="s">
        <v>14624</v>
      </c>
      <c r="BD208" s="23">
        <v>42443</v>
      </c>
      <c r="BE208" s="23">
        <v>42627</v>
      </c>
      <c r="BF208" s="23">
        <v>42657</v>
      </c>
      <c r="BG208" s="11" t="s">
        <v>908</v>
      </c>
      <c r="BH208" s="22">
        <v>477793</v>
      </c>
      <c r="BI208" s="11" t="s">
        <v>3887</v>
      </c>
      <c r="BJ208" s="11" t="s">
        <v>3888</v>
      </c>
      <c r="BK208" s="11" t="s">
        <v>3889</v>
      </c>
      <c r="BL208" s="11" t="s">
        <v>3998</v>
      </c>
      <c r="BM208" s="11" t="s">
        <v>3999</v>
      </c>
      <c r="BN208" s="11" t="s">
        <v>4000</v>
      </c>
      <c r="BO208" s="11" t="s">
        <v>320</v>
      </c>
      <c r="BP208" s="11" t="s">
        <v>319</v>
      </c>
      <c r="BQ208" s="11" t="s">
        <v>319</v>
      </c>
      <c r="BR208" s="11" t="s">
        <v>4221</v>
      </c>
      <c r="BS208" s="11" t="s">
        <v>357</v>
      </c>
      <c r="BT208" s="11" t="s">
        <v>4222</v>
      </c>
      <c r="BU208" s="11" t="s">
        <v>3993</v>
      </c>
      <c r="BV208" s="22">
        <v>10968</v>
      </c>
      <c r="BW208" s="22">
        <v>9717</v>
      </c>
      <c r="BX208" s="22">
        <v>20685</v>
      </c>
      <c r="CB208" s="15" t="s">
        <v>4223</v>
      </c>
      <c r="CD208" s="22">
        <v>9970</v>
      </c>
      <c r="CE208" s="22">
        <v>9717</v>
      </c>
      <c r="CF208" s="22">
        <v>19687</v>
      </c>
      <c r="CJ208" s="11" t="s">
        <v>319</v>
      </c>
      <c r="CL208" s="18"/>
      <c r="CN208" s="11" t="s">
        <v>319</v>
      </c>
      <c r="CP208" s="18"/>
      <c r="CR208" s="11" t="s">
        <v>319</v>
      </c>
      <c r="CT208" s="18"/>
      <c r="CV208" s="11" t="s">
        <v>319</v>
      </c>
      <c r="CX208" s="18"/>
      <c r="CZ208" s="11" t="s">
        <v>319</v>
      </c>
      <c r="DB208" s="18"/>
      <c r="DD208" s="11" t="s">
        <v>319</v>
      </c>
      <c r="DF208" s="18"/>
      <c r="DH208" s="11" t="s">
        <v>319</v>
      </c>
      <c r="DJ208" s="18"/>
      <c r="DL208" s="11" t="s">
        <v>319</v>
      </c>
      <c r="DN208" s="18"/>
      <c r="DP208" s="11" t="s">
        <v>319</v>
      </c>
      <c r="DR208" s="18"/>
      <c r="DT208" s="11" t="s">
        <v>319</v>
      </c>
      <c r="DV208" s="18"/>
      <c r="DX208" s="11" t="s">
        <v>319</v>
      </c>
      <c r="DZ208" s="18"/>
      <c r="EB208" s="11" t="s">
        <v>320</v>
      </c>
      <c r="EC208" s="22">
        <v>19687</v>
      </c>
      <c r="ED208" s="18">
        <v>0.51</v>
      </c>
      <c r="EG208" s="15" t="s">
        <v>319</v>
      </c>
      <c r="EI208" s="18"/>
      <c r="ES208" s="18"/>
      <c r="EW208" s="18"/>
      <c r="FA208" s="18"/>
      <c r="FE208" s="18"/>
      <c r="FI208" s="18"/>
      <c r="FM208" s="18"/>
      <c r="FQ208" s="18"/>
      <c r="FU208" s="18"/>
      <c r="FY208" s="18"/>
      <c r="GC208" s="18"/>
      <c r="GG208" s="18"/>
      <c r="GK208" s="18"/>
      <c r="GO208" s="18"/>
      <c r="GS208" s="18"/>
      <c r="GW208" s="18"/>
      <c r="HA208" s="18"/>
      <c r="HF208" s="18"/>
      <c r="HH208" s="11" t="s">
        <v>320</v>
      </c>
      <c r="HI208" s="11" t="s">
        <v>560</v>
      </c>
      <c r="HJ208" s="11">
        <v>2016</v>
      </c>
      <c r="HK208" s="11" t="s">
        <v>319</v>
      </c>
      <c r="HL208" s="11" t="s">
        <v>319</v>
      </c>
      <c r="HP208" s="11" t="s">
        <v>418</v>
      </c>
      <c r="HQ208" s="11" t="s">
        <v>319</v>
      </c>
      <c r="HT208" s="11" t="s">
        <v>319</v>
      </c>
      <c r="HW208" s="11" t="s">
        <v>319</v>
      </c>
      <c r="HZ208" s="11" t="s">
        <v>363</v>
      </c>
      <c r="IB208" s="11" t="s">
        <v>333</v>
      </c>
      <c r="ID208" s="11" t="s">
        <v>364</v>
      </c>
      <c r="IE208" s="11" t="s">
        <v>335</v>
      </c>
      <c r="IF208" s="11" t="s">
        <v>320</v>
      </c>
      <c r="IG208" s="11" t="s">
        <v>320</v>
      </c>
      <c r="IH208" s="11" t="s">
        <v>320</v>
      </c>
      <c r="II208" s="11" t="s">
        <v>320</v>
      </c>
      <c r="IJ208" s="12" t="str">
        <f t="shared" si="130"/>
        <v>2. Sensitive</v>
      </c>
      <c r="IK208" s="12">
        <f t="shared" si="131"/>
        <v>4</v>
      </c>
      <c r="IL208" s="11" t="s">
        <v>336</v>
      </c>
      <c r="IM208" s="11" t="s">
        <v>319</v>
      </c>
      <c r="IN208" s="11" t="s">
        <v>320</v>
      </c>
      <c r="IO208" s="11" t="s">
        <v>320</v>
      </c>
      <c r="IP208" s="11" t="s">
        <v>320</v>
      </c>
      <c r="IQ208" s="12" t="str">
        <f t="shared" si="132"/>
        <v>2. Accommodating</v>
      </c>
      <c r="IR208" s="12">
        <f t="shared" si="133"/>
        <v>3</v>
      </c>
      <c r="IS208" s="11" t="s">
        <v>337</v>
      </c>
      <c r="IT208" s="11" t="s">
        <v>320</v>
      </c>
      <c r="IU208" s="11" t="s">
        <v>320</v>
      </c>
      <c r="IV208" s="11" t="s">
        <v>320</v>
      </c>
      <c r="IW208" s="11" t="str">
        <f t="shared" si="134"/>
        <v>2. Sensitive</v>
      </c>
      <c r="IX208" s="12">
        <f t="shared" si="135"/>
        <v>3</v>
      </c>
      <c r="IY208" s="11" t="s">
        <v>758</v>
      </c>
      <c r="IZ208" s="11" t="s">
        <v>432</v>
      </c>
      <c r="JA208" s="11">
        <v>3</v>
      </c>
      <c r="JB208" s="11" t="s">
        <v>623</v>
      </c>
      <c r="JC208" s="11" t="s">
        <v>687</v>
      </c>
      <c r="JD208" s="11" t="s">
        <v>831</v>
      </c>
      <c r="JE208" s="11" t="s">
        <v>420</v>
      </c>
      <c r="JL208" s="11" t="s">
        <v>4224</v>
      </c>
      <c r="JM208" s="11" t="s">
        <v>4225</v>
      </c>
      <c r="JP208" s="15">
        <f t="shared" si="136"/>
        <v>19687</v>
      </c>
      <c r="JQ208" s="15">
        <f t="shared" si="137"/>
        <v>0</v>
      </c>
      <c r="JR208" s="279">
        <f t="shared" si="138"/>
        <v>0</v>
      </c>
      <c r="JS208" s="17">
        <f t="shared" si="139"/>
        <v>0.50642556001422256</v>
      </c>
      <c r="JT208" s="18" t="str">
        <f t="shared" si="140"/>
        <v/>
      </c>
      <c r="JU208" s="280">
        <f t="shared" si="141"/>
        <v>9970</v>
      </c>
      <c r="JV208" s="280">
        <f t="shared" si="142"/>
        <v>0</v>
      </c>
      <c r="JW208" s="319">
        <f t="shared" si="143"/>
        <v>1</v>
      </c>
      <c r="JX208" s="15">
        <f t="shared" si="144"/>
        <v>19687</v>
      </c>
      <c r="JY208" s="15">
        <f t="shared" si="145"/>
        <v>0</v>
      </c>
      <c r="JZ208" s="19">
        <f t="shared" si="146"/>
        <v>0</v>
      </c>
      <c r="KA208" s="52" t="str">
        <f t="shared" si="147"/>
        <v/>
      </c>
      <c r="KB208" s="15">
        <f t="shared" si="148"/>
        <v>0</v>
      </c>
      <c r="KC208" s="15">
        <f t="shared" si="149"/>
        <v>0</v>
      </c>
      <c r="KD208" s="20" t="str">
        <f t="shared" si="150"/>
        <v/>
      </c>
      <c r="KE208" s="52" t="str">
        <f t="shared" si="151"/>
        <v/>
      </c>
      <c r="KF208" s="15">
        <f t="shared" si="152"/>
        <v>0</v>
      </c>
      <c r="KG208" s="15">
        <f t="shared" si="153"/>
        <v>0</v>
      </c>
      <c r="KH208" s="21" t="str">
        <f t="shared" si="154"/>
        <v/>
      </c>
      <c r="KI208" s="52" t="str">
        <f t="shared" si="155"/>
        <v/>
      </c>
      <c r="KJ208" s="15">
        <f t="shared" si="156"/>
        <v>0</v>
      </c>
      <c r="KK208" s="15">
        <f t="shared" si="157"/>
        <v>0</v>
      </c>
      <c r="KL208" s="19" t="str">
        <f t="shared" si="158"/>
        <v/>
      </c>
      <c r="KM208" s="52" t="str">
        <f t="shared" si="159"/>
        <v/>
      </c>
      <c r="KN208" s="22">
        <f t="shared" si="160"/>
        <v>0</v>
      </c>
      <c r="KO208" s="22">
        <f t="shared" si="161"/>
        <v>0</v>
      </c>
      <c r="KP208" s="19" t="str">
        <f t="shared" si="162"/>
        <v/>
      </c>
      <c r="KQ208" s="11" t="str">
        <f t="shared" si="163"/>
        <v>2. Sensitive</v>
      </c>
      <c r="KR208" s="11" t="str">
        <f t="shared" si="164"/>
        <v>2. Accommodating</v>
      </c>
      <c r="KS208" s="11" t="str">
        <f t="shared" si="165"/>
        <v>2. Sensitive</v>
      </c>
      <c r="KT208" s="11" t="str">
        <f t="shared" si="166"/>
        <v>It did not develop any specific innovation</v>
      </c>
      <c r="KU208" s="11" t="str">
        <f t="shared" si="167"/>
        <v>Little or no advocacy</v>
      </c>
      <c r="KV208" s="11" t="str">
        <f t="shared" si="168"/>
        <v>It did not take tested solutions to scale</v>
      </c>
      <c r="KW208" s="11" t="str">
        <f t="shared" si="169"/>
        <v>Ethiopia - Emegency WASH response for drought affected people of East and West Hararge</v>
      </c>
      <c r="KX208" s="11" t="str">
        <f t="shared" si="170"/>
        <v>Emegency WASH response for drought affected people of East and West Hararge</v>
      </c>
      <c r="KY208" s="11" t="str">
        <f t="shared" si="171"/>
        <v>Ethiopia</v>
      </c>
      <c r="KZ208" s="12">
        <v>208</v>
      </c>
    </row>
    <row r="209" spans="1:312" x14ac:dyDescent="0.3">
      <c r="A209" s="11" t="s">
        <v>3868</v>
      </c>
      <c r="B209" s="11" t="s">
        <v>1874</v>
      </c>
      <c r="D209" s="11" t="s">
        <v>4226</v>
      </c>
      <c r="E209" s="24" t="str">
        <f t="shared" si="129"/>
        <v>Ethiopia</v>
      </c>
      <c r="F209" s="11" t="s">
        <v>4227</v>
      </c>
      <c r="G209" s="11" t="s">
        <v>608</v>
      </c>
      <c r="H209" s="11" t="s">
        <v>380</v>
      </c>
      <c r="I209" s="11" t="s">
        <v>381</v>
      </c>
      <c r="J209" s="278" t="s">
        <v>14624</v>
      </c>
      <c r="BD209" s="23">
        <v>42760</v>
      </c>
      <c r="BE209" s="23">
        <v>42941</v>
      </c>
      <c r="BF209" s="23">
        <v>42972</v>
      </c>
      <c r="BG209" s="11" t="s">
        <v>908</v>
      </c>
      <c r="BH209" s="22">
        <v>632750.96</v>
      </c>
      <c r="BI209" s="11" t="s">
        <v>3887</v>
      </c>
      <c r="BJ209" s="11" t="s">
        <v>3888</v>
      </c>
      <c r="BK209" s="11" t="s">
        <v>3889</v>
      </c>
      <c r="BL209" s="11" t="s">
        <v>3988</v>
      </c>
      <c r="BM209" s="11" t="s">
        <v>3989</v>
      </c>
      <c r="BN209" s="11" t="s">
        <v>3990</v>
      </c>
      <c r="BO209" s="11" t="s">
        <v>320</v>
      </c>
      <c r="BP209" s="11" t="s">
        <v>319</v>
      </c>
      <c r="BQ209" s="11" t="s">
        <v>319</v>
      </c>
      <c r="BR209" s="11" t="s">
        <v>4228</v>
      </c>
      <c r="BS209" s="11" t="s">
        <v>357</v>
      </c>
      <c r="BT209" s="11" t="s">
        <v>4205</v>
      </c>
      <c r="BU209" s="11" t="s">
        <v>4229</v>
      </c>
      <c r="BV209" s="22">
        <v>14580</v>
      </c>
      <c r="BW209" s="22">
        <v>13676</v>
      </c>
      <c r="BX209" s="22">
        <v>28256</v>
      </c>
      <c r="CB209" s="15" t="s">
        <v>4230</v>
      </c>
      <c r="CD209" s="22">
        <v>8640</v>
      </c>
      <c r="CE209" s="22">
        <v>8301</v>
      </c>
      <c r="CF209" s="22">
        <v>16941</v>
      </c>
      <c r="CJ209" s="11" t="s">
        <v>319</v>
      </c>
      <c r="CL209" s="18"/>
      <c r="CN209" s="11" t="s">
        <v>319</v>
      </c>
      <c r="CP209" s="18"/>
      <c r="CR209" s="11" t="s">
        <v>319</v>
      </c>
      <c r="CT209" s="18"/>
      <c r="CV209" s="11" t="s">
        <v>319</v>
      </c>
      <c r="CX209" s="18"/>
      <c r="CZ209" s="11" t="s">
        <v>319</v>
      </c>
      <c r="DB209" s="18"/>
      <c r="DD209" s="11" t="s">
        <v>319</v>
      </c>
      <c r="DF209" s="18"/>
      <c r="DH209" s="11" t="s">
        <v>319</v>
      </c>
      <c r="DJ209" s="18"/>
      <c r="DL209" s="11" t="s">
        <v>320</v>
      </c>
      <c r="DM209" s="22">
        <v>16941</v>
      </c>
      <c r="DN209" s="18">
        <v>0.51</v>
      </c>
      <c r="DP209" s="11" t="s">
        <v>319</v>
      </c>
      <c r="DR209" s="18"/>
      <c r="DT209" s="11" t="s">
        <v>319</v>
      </c>
      <c r="DV209" s="18"/>
      <c r="DX209" s="11" t="s">
        <v>319</v>
      </c>
      <c r="DZ209" s="18"/>
      <c r="EB209" s="11" t="s">
        <v>319</v>
      </c>
      <c r="ED209" s="18"/>
      <c r="EG209" s="15" t="s">
        <v>319</v>
      </c>
      <c r="EI209" s="18"/>
      <c r="ES209" s="18"/>
      <c r="EW209" s="18"/>
      <c r="FA209" s="18"/>
      <c r="FE209" s="18"/>
      <c r="FI209" s="18"/>
      <c r="FM209" s="18"/>
      <c r="FQ209" s="18"/>
      <c r="FU209" s="18"/>
      <c r="FY209" s="18"/>
      <c r="GC209" s="18"/>
      <c r="GG209" s="18"/>
      <c r="GK209" s="18"/>
      <c r="GO209" s="18"/>
      <c r="GS209" s="18"/>
      <c r="GW209" s="18"/>
      <c r="HA209" s="18"/>
      <c r="HF209" s="18"/>
      <c r="HH209" s="11" t="s">
        <v>319</v>
      </c>
      <c r="HL209" s="11" t="s">
        <v>319</v>
      </c>
      <c r="HP209" s="11" t="s">
        <v>418</v>
      </c>
      <c r="HQ209" s="11" t="s">
        <v>319</v>
      </c>
      <c r="HT209" s="11" t="s">
        <v>319</v>
      </c>
      <c r="HW209" s="11" t="s">
        <v>319</v>
      </c>
      <c r="HZ209" s="11" t="s">
        <v>363</v>
      </c>
      <c r="IB209" s="11" t="s">
        <v>333</v>
      </c>
      <c r="ID209" s="11" t="s">
        <v>364</v>
      </c>
      <c r="IE209" s="11" t="s">
        <v>335</v>
      </c>
      <c r="IF209" s="11" t="s">
        <v>320</v>
      </c>
      <c r="IG209" s="11" t="s">
        <v>320</v>
      </c>
      <c r="IH209" s="11" t="s">
        <v>320</v>
      </c>
      <c r="II209" s="11" t="s">
        <v>320</v>
      </c>
      <c r="IJ209" s="12" t="str">
        <f t="shared" si="130"/>
        <v>2. Sensitive</v>
      </c>
      <c r="IK209" s="12">
        <f t="shared" si="131"/>
        <v>4</v>
      </c>
      <c r="IL209" s="11" t="s">
        <v>336</v>
      </c>
      <c r="IM209" s="11" t="s">
        <v>320</v>
      </c>
      <c r="IN209" s="11" t="s">
        <v>320</v>
      </c>
      <c r="IO209" s="11" t="s">
        <v>320</v>
      </c>
      <c r="IP209" s="11" t="s">
        <v>320</v>
      </c>
      <c r="IQ209" s="12" t="str">
        <f t="shared" si="132"/>
        <v>2. Accommodating</v>
      </c>
      <c r="IR209" s="12">
        <f t="shared" si="133"/>
        <v>4</v>
      </c>
      <c r="IS209" s="11" t="s">
        <v>337</v>
      </c>
      <c r="IT209" s="11" t="s">
        <v>320</v>
      </c>
      <c r="IU209" s="11" t="s">
        <v>320</v>
      </c>
      <c r="IV209" s="11" t="s">
        <v>320</v>
      </c>
      <c r="IW209" s="11" t="str">
        <f t="shared" si="134"/>
        <v>2. Sensitive</v>
      </c>
      <c r="IX209" s="12">
        <f t="shared" si="135"/>
        <v>3</v>
      </c>
      <c r="IY209" s="11" t="s">
        <v>419</v>
      </c>
      <c r="IZ209" s="11" t="s">
        <v>457</v>
      </c>
      <c r="JA209" s="11">
        <v>2</v>
      </c>
      <c r="JB209" s="11" t="s">
        <v>623</v>
      </c>
      <c r="JC209" s="11" t="s">
        <v>687</v>
      </c>
      <c r="JE209" s="11" t="s">
        <v>420</v>
      </c>
      <c r="JL209" s="11" t="s">
        <v>4231</v>
      </c>
      <c r="JP209" s="15">
        <f t="shared" si="136"/>
        <v>16941</v>
      </c>
      <c r="JQ209" s="15">
        <f t="shared" si="137"/>
        <v>0</v>
      </c>
      <c r="JR209" s="279">
        <f t="shared" si="138"/>
        <v>0</v>
      </c>
      <c r="JS209" s="17">
        <f t="shared" si="139"/>
        <v>0.5100053125553391</v>
      </c>
      <c r="JT209" s="18" t="str">
        <f t="shared" si="140"/>
        <v/>
      </c>
      <c r="JU209" s="280">
        <f t="shared" si="141"/>
        <v>8640</v>
      </c>
      <c r="JV209" s="280">
        <f t="shared" si="142"/>
        <v>0</v>
      </c>
      <c r="JW209" s="319">
        <f t="shared" si="143"/>
        <v>1</v>
      </c>
      <c r="JX209" s="15">
        <f t="shared" si="144"/>
        <v>16941</v>
      </c>
      <c r="JY209" s="15">
        <f t="shared" si="145"/>
        <v>0</v>
      </c>
      <c r="JZ209" s="19">
        <f t="shared" si="146"/>
        <v>0</v>
      </c>
      <c r="KA209" s="52">
        <f t="shared" si="147"/>
        <v>1</v>
      </c>
      <c r="KB209" s="15">
        <f t="shared" si="148"/>
        <v>16941</v>
      </c>
      <c r="KC209" s="15">
        <f t="shared" si="149"/>
        <v>0</v>
      </c>
      <c r="KD209" s="20">
        <f t="shared" si="150"/>
        <v>0</v>
      </c>
      <c r="KE209" s="52" t="str">
        <f t="shared" si="151"/>
        <v/>
      </c>
      <c r="KF209" s="15">
        <f t="shared" si="152"/>
        <v>0</v>
      </c>
      <c r="KG209" s="15">
        <f t="shared" si="153"/>
        <v>0</v>
      </c>
      <c r="KH209" s="21" t="str">
        <f t="shared" si="154"/>
        <v/>
      </c>
      <c r="KI209" s="52" t="str">
        <f t="shared" si="155"/>
        <v/>
      </c>
      <c r="KJ209" s="15">
        <f t="shared" si="156"/>
        <v>0</v>
      </c>
      <c r="KK209" s="15">
        <f t="shared" si="157"/>
        <v>0</v>
      </c>
      <c r="KL209" s="19" t="str">
        <f t="shared" si="158"/>
        <v/>
      </c>
      <c r="KM209" s="52" t="str">
        <f t="shared" si="159"/>
        <v/>
      </c>
      <c r="KN209" s="22">
        <f t="shared" si="160"/>
        <v>0</v>
      </c>
      <c r="KO209" s="22">
        <f t="shared" si="161"/>
        <v>0</v>
      </c>
      <c r="KP209" s="19" t="str">
        <f t="shared" si="162"/>
        <v/>
      </c>
      <c r="KQ209" s="11" t="str">
        <f t="shared" si="163"/>
        <v>2. Sensitive</v>
      </c>
      <c r="KR209" s="11" t="str">
        <f t="shared" si="164"/>
        <v>2. Accommodating</v>
      </c>
      <c r="KS209" s="11" t="str">
        <f t="shared" si="165"/>
        <v>2. Sensitive</v>
      </c>
      <c r="KT209" s="11" t="str">
        <f t="shared" si="166"/>
        <v>It did not develop any specific innovation</v>
      </c>
      <c r="KU209" s="11" t="str">
        <f t="shared" si="167"/>
        <v>Little or no advocacy</v>
      </c>
      <c r="KV209" s="11" t="str">
        <f t="shared" si="168"/>
        <v>It did not take tested solutions to scale</v>
      </c>
      <c r="KW209" s="11" t="str">
        <f t="shared" si="169"/>
        <v>Ethiopia - Emergency livestock response in southern parts (Oromiya, region) of Ethiopia</v>
      </c>
      <c r="KX209" s="11" t="str">
        <f t="shared" si="170"/>
        <v>Emergency livestock response in southern parts (Oromiya, region) of Ethiopia</v>
      </c>
      <c r="KY209" s="11" t="str">
        <f t="shared" si="171"/>
        <v>Ethiopia</v>
      </c>
      <c r="KZ209" s="12">
        <v>209</v>
      </c>
    </row>
    <row r="210" spans="1:312" x14ac:dyDescent="0.3">
      <c r="A210" s="11" t="s">
        <v>3868</v>
      </c>
      <c r="B210" s="11" t="s">
        <v>1874</v>
      </c>
      <c r="D210" s="11" t="s">
        <v>4232</v>
      </c>
      <c r="E210" s="24" t="str">
        <f t="shared" si="129"/>
        <v>Ethiopia</v>
      </c>
      <c r="F210" s="11" t="s">
        <v>4233</v>
      </c>
      <c r="G210" s="11" t="s">
        <v>608</v>
      </c>
      <c r="H210" s="11" t="s">
        <v>384</v>
      </c>
      <c r="I210" s="11" t="s">
        <v>384</v>
      </c>
      <c r="J210" s="278"/>
      <c r="BD210" s="23">
        <v>42583</v>
      </c>
      <c r="BE210" s="23">
        <v>42947</v>
      </c>
      <c r="BF210" s="23">
        <v>43069</v>
      </c>
      <c r="BG210" s="11" t="s">
        <v>908</v>
      </c>
      <c r="BH210" s="22">
        <v>1111111</v>
      </c>
      <c r="BI210" s="11" t="s">
        <v>3887</v>
      </c>
      <c r="BJ210" s="11" t="s">
        <v>3888</v>
      </c>
      <c r="BK210" s="11" t="s">
        <v>3889</v>
      </c>
      <c r="BL210" s="11" t="s">
        <v>3890</v>
      </c>
      <c r="BM210" s="11" t="s">
        <v>3891</v>
      </c>
      <c r="BN210" s="11" t="s">
        <v>3892</v>
      </c>
      <c r="BO210" s="11" t="s">
        <v>320</v>
      </c>
      <c r="BP210" s="11" t="s">
        <v>319</v>
      </c>
      <c r="BQ210" s="11" t="s">
        <v>319</v>
      </c>
      <c r="BR210" s="11" t="s">
        <v>4234</v>
      </c>
      <c r="BS210" s="11" t="s">
        <v>357</v>
      </c>
      <c r="BT210" s="11" t="s">
        <v>4235</v>
      </c>
      <c r="BU210" s="11" t="s">
        <v>4236</v>
      </c>
      <c r="BV210" s="22">
        <v>7013</v>
      </c>
      <c r="BW210" s="22">
        <v>6737</v>
      </c>
      <c r="BX210" s="22">
        <v>13750</v>
      </c>
      <c r="CB210" s="15" t="s">
        <v>4237</v>
      </c>
      <c r="CD210" s="22">
        <v>7013</v>
      </c>
      <c r="CE210" s="22">
        <v>6737</v>
      </c>
      <c r="CF210" s="22">
        <v>13750</v>
      </c>
      <c r="CJ210" s="11" t="s">
        <v>319</v>
      </c>
      <c r="CL210" s="18"/>
      <c r="CN210" s="11" t="s">
        <v>319</v>
      </c>
      <c r="CP210" s="18"/>
      <c r="CR210" s="11" t="s">
        <v>319</v>
      </c>
      <c r="CT210" s="18"/>
      <c r="CV210" s="12" t="s">
        <v>320</v>
      </c>
      <c r="CW210" s="22">
        <v>13750</v>
      </c>
      <c r="CX210" s="18">
        <v>0.51</v>
      </c>
      <c r="CZ210" s="11" t="s">
        <v>319</v>
      </c>
      <c r="DB210" s="18"/>
      <c r="DD210" s="11" t="s">
        <v>319</v>
      </c>
      <c r="DF210" s="18"/>
      <c r="DH210" s="11" t="s">
        <v>319</v>
      </c>
      <c r="DJ210" s="18"/>
      <c r="DL210" s="11" t="s">
        <v>319</v>
      </c>
      <c r="DN210" s="18"/>
      <c r="DP210" s="11" t="s">
        <v>319</v>
      </c>
      <c r="DR210" s="18"/>
      <c r="DT210" s="11" t="s">
        <v>319</v>
      </c>
      <c r="DV210" s="18"/>
      <c r="DX210" s="11" t="s">
        <v>319</v>
      </c>
      <c r="DZ210" s="18"/>
      <c r="EB210" s="11" t="s">
        <v>319</v>
      </c>
      <c r="ED210" s="18"/>
      <c r="EG210" s="15" t="s">
        <v>319</v>
      </c>
      <c r="EI210" s="18"/>
      <c r="ES210" s="18"/>
      <c r="EW210" s="18"/>
      <c r="FA210" s="18"/>
      <c r="FE210" s="18"/>
      <c r="FI210" s="18"/>
      <c r="FM210" s="18"/>
      <c r="FQ210" s="18"/>
      <c r="FU210" s="18"/>
      <c r="FY210" s="18"/>
      <c r="GC210" s="18"/>
      <c r="GG210" s="18"/>
      <c r="GK210" s="18"/>
      <c r="GO210" s="18"/>
      <c r="GS210" s="18"/>
      <c r="GW210" s="18"/>
      <c r="HA210" s="18"/>
      <c r="HF210" s="18"/>
      <c r="HH210" s="11" t="s">
        <v>319</v>
      </c>
      <c r="HL210" s="11" t="s">
        <v>320</v>
      </c>
      <c r="HM210" s="11" t="s">
        <v>328</v>
      </c>
      <c r="HN210" s="11">
        <v>2017</v>
      </c>
      <c r="HQ210" s="11" t="s">
        <v>319</v>
      </c>
      <c r="HT210" s="11" t="s">
        <v>319</v>
      </c>
      <c r="HW210" s="11" t="s">
        <v>319</v>
      </c>
      <c r="HZ210" s="11" t="s">
        <v>363</v>
      </c>
      <c r="IB210" s="11" t="s">
        <v>333</v>
      </c>
      <c r="ID210" s="11" t="s">
        <v>364</v>
      </c>
      <c r="IE210" s="11" t="s">
        <v>335</v>
      </c>
      <c r="IF210" s="11" t="s">
        <v>320</v>
      </c>
      <c r="IG210" s="11" t="s">
        <v>320</v>
      </c>
      <c r="IH210" s="11" t="s">
        <v>320</v>
      </c>
      <c r="II210" s="11" t="s">
        <v>320</v>
      </c>
      <c r="IJ210" s="12" t="str">
        <f t="shared" si="130"/>
        <v>2. Sensitive</v>
      </c>
      <c r="IK210" s="12">
        <f t="shared" si="131"/>
        <v>4</v>
      </c>
      <c r="IL210" s="11" t="s">
        <v>336</v>
      </c>
      <c r="IM210" s="11" t="s">
        <v>320</v>
      </c>
      <c r="IN210" s="11" t="s">
        <v>320</v>
      </c>
      <c r="IO210" s="11" t="s">
        <v>320</v>
      </c>
      <c r="IP210" s="11" t="s">
        <v>320</v>
      </c>
      <c r="IQ210" s="12" t="str">
        <f t="shared" si="132"/>
        <v>2. Accommodating</v>
      </c>
      <c r="IR210" s="12">
        <f t="shared" si="133"/>
        <v>4</v>
      </c>
      <c r="IS210" s="11" t="s">
        <v>337</v>
      </c>
      <c r="IT210" s="11" t="s">
        <v>320</v>
      </c>
      <c r="IU210" s="11" t="s">
        <v>320</v>
      </c>
      <c r="IV210" s="11" t="s">
        <v>320</v>
      </c>
      <c r="IW210" s="11" t="str">
        <f t="shared" si="134"/>
        <v>2. Sensitive</v>
      </c>
      <c r="IX210" s="12">
        <f t="shared" si="135"/>
        <v>3</v>
      </c>
      <c r="IY210" s="11" t="s">
        <v>419</v>
      </c>
      <c r="IZ210" s="11" t="s">
        <v>457</v>
      </c>
      <c r="JA210" s="11">
        <v>2</v>
      </c>
      <c r="JB210" s="11" t="s">
        <v>623</v>
      </c>
      <c r="JC210" s="11" t="s">
        <v>687</v>
      </c>
      <c r="JE210" s="11" t="s">
        <v>420</v>
      </c>
      <c r="JL210" s="11" t="s">
        <v>4238</v>
      </c>
      <c r="JP210" s="15">
        <f t="shared" si="136"/>
        <v>13750</v>
      </c>
      <c r="JQ210" s="15">
        <f t="shared" si="137"/>
        <v>0</v>
      </c>
      <c r="JR210" s="279">
        <f t="shared" si="138"/>
        <v>0</v>
      </c>
      <c r="JS210" s="17">
        <f t="shared" si="139"/>
        <v>0.51003636363636362</v>
      </c>
      <c r="JT210" s="18" t="str">
        <f t="shared" si="140"/>
        <v/>
      </c>
      <c r="JU210" s="280">
        <f t="shared" si="141"/>
        <v>7013</v>
      </c>
      <c r="JV210" s="280">
        <f t="shared" si="142"/>
        <v>0</v>
      </c>
      <c r="JW210" s="319">
        <f t="shared" si="143"/>
        <v>1</v>
      </c>
      <c r="JX210" s="15">
        <f t="shared" si="144"/>
        <v>13750</v>
      </c>
      <c r="JY210" s="15">
        <f t="shared" si="145"/>
        <v>0</v>
      </c>
      <c r="JZ210" s="19">
        <f t="shared" si="146"/>
        <v>0</v>
      </c>
      <c r="KA210" s="52">
        <f t="shared" si="147"/>
        <v>1</v>
      </c>
      <c r="KB210" s="15">
        <f t="shared" si="148"/>
        <v>13750</v>
      </c>
      <c r="KC210" s="15">
        <f t="shared" si="149"/>
        <v>0</v>
      </c>
      <c r="KD210" s="20">
        <f t="shared" si="150"/>
        <v>0</v>
      </c>
      <c r="KE210" s="52" t="str">
        <f t="shared" si="151"/>
        <v/>
      </c>
      <c r="KF210" s="15">
        <f t="shared" si="152"/>
        <v>0</v>
      </c>
      <c r="KG210" s="15">
        <f t="shared" si="153"/>
        <v>0</v>
      </c>
      <c r="KH210" s="21" t="str">
        <f t="shared" si="154"/>
        <v/>
      </c>
      <c r="KI210" s="52" t="str">
        <f t="shared" si="155"/>
        <v/>
      </c>
      <c r="KJ210" s="15">
        <f t="shared" si="156"/>
        <v>0</v>
      </c>
      <c r="KK210" s="15">
        <f t="shared" si="157"/>
        <v>0</v>
      </c>
      <c r="KL210" s="19" t="str">
        <f t="shared" si="158"/>
        <v/>
      </c>
      <c r="KM210" s="52" t="str">
        <f t="shared" si="159"/>
        <v/>
      </c>
      <c r="KN210" s="22">
        <f t="shared" si="160"/>
        <v>0</v>
      </c>
      <c r="KO210" s="22">
        <f t="shared" si="161"/>
        <v>0</v>
      </c>
      <c r="KP210" s="19" t="str">
        <f t="shared" si="162"/>
        <v/>
      </c>
      <c r="KQ210" s="11" t="str">
        <f t="shared" si="163"/>
        <v>2. Sensitive</v>
      </c>
      <c r="KR210" s="11" t="str">
        <f t="shared" si="164"/>
        <v>2. Accommodating</v>
      </c>
      <c r="KS210" s="11" t="str">
        <f t="shared" si="165"/>
        <v>2. Sensitive</v>
      </c>
      <c r="KT210" s="11" t="str">
        <f t="shared" si="166"/>
        <v>It did not develop any specific innovation</v>
      </c>
      <c r="KU210" s="11">
        <f t="shared" si="167"/>
        <v>0</v>
      </c>
      <c r="KV210" s="11" t="str">
        <f t="shared" si="168"/>
        <v>It did not take tested solutions to scale</v>
      </c>
      <c r="KW210" s="11" t="str">
        <f t="shared" si="169"/>
        <v>Ethiopia - Emergency nutrition and cash assistance for people affected by drought in Afar, Ethiopia, 2016</v>
      </c>
      <c r="KX210" s="11" t="str">
        <f t="shared" si="170"/>
        <v>Emergency nutrition and cash assistance for people affected by drought in Afar, Ethiopia, 2016</v>
      </c>
      <c r="KY210" s="11" t="str">
        <f t="shared" si="171"/>
        <v>Ethiopia</v>
      </c>
      <c r="KZ210" s="12">
        <v>210</v>
      </c>
    </row>
    <row r="211" spans="1:312" x14ac:dyDescent="0.3">
      <c r="A211" s="11" t="s">
        <v>3868</v>
      </c>
      <c r="B211" s="11" t="s">
        <v>1874</v>
      </c>
      <c r="D211" s="11" t="s">
        <v>3884</v>
      </c>
      <c r="E211" s="24" t="str">
        <f t="shared" si="129"/>
        <v>Ethiopia</v>
      </c>
      <c r="F211" s="11" t="s">
        <v>3885</v>
      </c>
      <c r="G211" s="11" t="s">
        <v>376</v>
      </c>
      <c r="H211" s="11" t="s">
        <v>310</v>
      </c>
      <c r="I211" s="11" t="s">
        <v>381</v>
      </c>
      <c r="J211" s="278" t="s">
        <v>14564</v>
      </c>
      <c r="BD211" s="23">
        <v>42826</v>
      </c>
      <c r="BE211" s="23">
        <v>43190</v>
      </c>
      <c r="BG211" s="11" t="s">
        <v>908</v>
      </c>
      <c r="BH211" s="22">
        <v>2350000</v>
      </c>
      <c r="BI211" s="11" t="s">
        <v>3887</v>
      </c>
      <c r="BJ211" s="11" t="s">
        <v>3888</v>
      </c>
      <c r="BK211" s="11" t="s">
        <v>3889</v>
      </c>
      <c r="BL211" s="11" t="s">
        <v>3890</v>
      </c>
      <c r="BM211" s="11" t="s">
        <v>3891</v>
      </c>
      <c r="BN211" s="11" t="s">
        <v>3892</v>
      </c>
      <c r="BO211" s="11" t="s">
        <v>320</v>
      </c>
      <c r="BP211" s="11" t="s">
        <v>319</v>
      </c>
      <c r="BQ211" s="11" t="s">
        <v>319</v>
      </c>
      <c r="BR211" s="11" t="s">
        <v>3893</v>
      </c>
      <c r="BS211" s="11" t="s">
        <v>357</v>
      </c>
      <c r="BT211" s="11" t="s">
        <v>3894</v>
      </c>
      <c r="BU211" s="11" t="s">
        <v>3895</v>
      </c>
      <c r="BV211" s="22">
        <v>23256</v>
      </c>
      <c r="BW211" s="22">
        <v>22344</v>
      </c>
      <c r="BX211" s="22">
        <v>45600</v>
      </c>
      <c r="CD211" s="22">
        <v>23256</v>
      </c>
      <c r="CE211" s="22">
        <v>22344</v>
      </c>
      <c r="CF211" s="22">
        <v>45600</v>
      </c>
      <c r="CJ211" s="11" t="s">
        <v>319</v>
      </c>
      <c r="CL211" s="18"/>
      <c r="CN211" s="11" t="s">
        <v>319</v>
      </c>
      <c r="CP211" s="18"/>
      <c r="CR211" s="11" t="s">
        <v>319</v>
      </c>
      <c r="CT211" s="18"/>
      <c r="CV211" s="12" t="s">
        <v>320</v>
      </c>
      <c r="CW211" s="22">
        <v>45600</v>
      </c>
      <c r="CX211" s="18">
        <v>0.51</v>
      </c>
      <c r="CZ211" s="11" t="s">
        <v>319</v>
      </c>
      <c r="DB211" s="18"/>
      <c r="DD211" s="11" t="s">
        <v>319</v>
      </c>
      <c r="DF211" s="18"/>
      <c r="DH211" s="11" t="s">
        <v>319</v>
      </c>
      <c r="DJ211" s="18"/>
      <c r="DL211" s="11" t="s">
        <v>319</v>
      </c>
      <c r="DN211" s="18"/>
      <c r="DP211" s="11" t="s">
        <v>319</v>
      </c>
      <c r="DR211" s="18"/>
      <c r="DT211" s="11" t="s">
        <v>319</v>
      </c>
      <c r="DV211" s="18"/>
      <c r="DX211" s="11" t="s">
        <v>319</v>
      </c>
      <c r="DZ211" s="18"/>
      <c r="EB211" s="11" t="s">
        <v>319</v>
      </c>
      <c r="ED211" s="18"/>
      <c r="EG211" s="15" t="s">
        <v>319</v>
      </c>
      <c r="EI211" s="18"/>
      <c r="ES211" s="18"/>
      <c r="EW211" s="18"/>
      <c r="FA211" s="18"/>
      <c r="FE211" s="18"/>
      <c r="FI211" s="18"/>
      <c r="FM211" s="18"/>
      <c r="FQ211" s="18"/>
      <c r="FU211" s="18"/>
      <c r="FY211" s="18"/>
      <c r="GC211" s="18"/>
      <c r="GG211" s="18"/>
      <c r="GK211" s="18"/>
      <c r="GO211" s="18"/>
      <c r="GS211" s="18"/>
      <c r="GW211" s="18"/>
      <c r="HA211" s="18"/>
      <c r="HF211" s="18"/>
      <c r="HH211" s="11" t="s">
        <v>319</v>
      </c>
      <c r="HL211" s="11" t="s">
        <v>319</v>
      </c>
      <c r="HP211" s="11" t="s">
        <v>418</v>
      </c>
      <c r="HQ211" s="11" t="s">
        <v>319</v>
      </c>
      <c r="HR211" s="11" t="s">
        <v>319</v>
      </c>
      <c r="HS211" s="11" t="s">
        <v>320</v>
      </c>
      <c r="HT211" s="11" t="s">
        <v>319</v>
      </c>
      <c r="HU211" s="11" t="s">
        <v>319</v>
      </c>
      <c r="HV211" s="11" t="s">
        <v>319</v>
      </c>
      <c r="HW211" s="11" t="s">
        <v>319</v>
      </c>
      <c r="HX211" s="11" t="s">
        <v>319</v>
      </c>
      <c r="HZ211" s="11" t="s">
        <v>363</v>
      </c>
      <c r="IB211" s="11" t="s">
        <v>333</v>
      </c>
      <c r="ID211" s="11" t="s">
        <v>364</v>
      </c>
      <c r="IE211" s="11" t="s">
        <v>335</v>
      </c>
      <c r="IF211" s="11" t="s">
        <v>320</v>
      </c>
      <c r="IG211" s="11" t="s">
        <v>320</v>
      </c>
      <c r="IH211" s="11" t="s">
        <v>320</v>
      </c>
      <c r="II211" s="11" t="s">
        <v>320</v>
      </c>
      <c r="IJ211" s="12" t="str">
        <f t="shared" si="130"/>
        <v>2. Sensitive</v>
      </c>
      <c r="IK211" s="12">
        <f t="shared" si="131"/>
        <v>4</v>
      </c>
      <c r="IL211" s="11" t="s">
        <v>336</v>
      </c>
      <c r="IM211" s="11" t="s">
        <v>320</v>
      </c>
      <c r="IN211" s="11" t="s">
        <v>320</v>
      </c>
      <c r="IO211" s="11" t="s">
        <v>320</v>
      </c>
      <c r="IP211" s="11" t="s">
        <v>320</v>
      </c>
      <c r="IQ211" s="12" t="str">
        <f t="shared" si="132"/>
        <v>2. Accommodating</v>
      </c>
      <c r="IR211" s="12">
        <f t="shared" si="133"/>
        <v>4</v>
      </c>
      <c r="IS211" s="11" t="s">
        <v>337</v>
      </c>
      <c r="IT211" s="11" t="s">
        <v>320</v>
      </c>
      <c r="IU211" s="11" t="s">
        <v>320</v>
      </c>
      <c r="IV211" s="11" t="s">
        <v>320</v>
      </c>
      <c r="IW211" s="11" t="str">
        <f t="shared" si="134"/>
        <v>2. Sensitive</v>
      </c>
      <c r="IX211" s="12">
        <f t="shared" si="135"/>
        <v>3</v>
      </c>
      <c r="IY211" s="11" t="s">
        <v>419</v>
      </c>
      <c r="IZ211" s="11" t="s">
        <v>457</v>
      </c>
      <c r="JA211" s="11">
        <v>2</v>
      </c>
      <c r="JB211" s="11" t="s">
        <v>623</v>
      </c>
      <c r="JC211" s="11" t="s">
        <v>687</v>
      </c>
      <c r="JE211" s="11" t="s">
        <v>420</v>
      </c>
      <c r="JL211" s="11" t="s">
        <v>3896</v>
      </c>
      <c r="JP211" s="15">
        <f t="shared" si="136"/>
        <v>45600</v>
      </c>
      <c r="JQ211" s="15">
        <f t="shared" si="137"/>
        <v>0</v>
      </c>
      <c r="JR211" s="279">
        <f t="shared" si="138"/>
        <v>0</v>
      </c>
      <c r="JS211" s="17">
        <f t="shared" si="139"/>
        <v>0.51</v>
      </c>
      <c r="JT211" s="18" t="str">
        <f t="shared" si="140"/>
        <v/>
      </c>
      <c r="JU211" s="280">
        <f t="shared" si="141"/>
        <v>23256</v>
      </c>
      <c r="JV211" s="280">
        <f t="shared" si="142"/>
        <v>0</v>
      </c>
      <c r="JW211" s="319">
        <f t="shared" si="143"/>
        <v>1</v>
      </c>
      <c r="JX211" s="15">
        <f t="shared" si="144"/>
        <v>45600</v>
      </c>
      <c r="JY211" s="15">
        <f t="shared" si="145"/>
        <v>0</v>
      </c>
      <c r="JZ211" s="19">
        <f t="shared" si="146"/>
        <v>0</v>
      </c>
      <c r="KA211" s="52">
        <f t="shared" si="147"/>
        <v>1</v>
      </c>
      <c r="KB211" s="15">
        <f t="shared" si="148"/>
        <v>45600</v>
      </c>
      <c r="KC211" s="15">
        <f t="shared" si="149"/>
        <v>0</v>
      </c>
      <c r="KD211" s="20">
        <f t="shared" si="150"/>
        <v>0</v>
      </c>
      <c r="KE211" s="52" t="str">
        <f t="shared" si="151"/>
        <v/>
      </c>
      <c r="KF211" s="15">
        <f t="shared" si="152"/>
        <v>0</v>
      </c>
      <c r="KG211" s="15">
        <f t="shared" si="153"/>
        <v>0</v>
      </c>
      <c r="KH211" s="21" t="str">
        <f t="shared" si="154"/>
        <v/>
      </c>
      <c r="KI211" s="52" t="str">
        <f t="shared" si="155"/>
        <v/>
      </c>
      <c r="KJ211" s="15">
        <f t="shared" si="156"/>
        <v>0</v>
      </c>
      <c r="KK211" s="15">
        <f t="shared" si="157"/>
        <v>0</v>
      </c>
      <c r="KL211" s="19" t="str">
        <f t="shared" si="158"/>
        <v/>
      </c>
      <c r="KM211" s="52" t="str">
        <f t="shared" si="159"/>
        <v/>
      </c>
      <c r="KN211" s="22">
        <f t="shared" si="160"/>
        <v>0</v>
      </c>
      <c r="KO211" s="22">
        <f t="shared" si="161"/>
        <v>0</v>
      </c>
      <c r="KP211" s="19" t="str">
        <f t="shared" si="162"/>
        <v/>
      </c>
      <c r="KQ211" s="11" t="str">
        <f t="shared" si="163"/>
        <v>2. Sensitive</v>
      </c>
      <c r="KR211" s="11" t="str">
        <f t="shared" si="164"/>
        <v>2. Accommodating</v>
      </c>
      <c r="KS211" s="11" t="str">
        <f t="shared" si="165"/>
        <v>2. Sensitive</v>
      </c>
      <c r="KT211" s="11" t="str">
        <f t="shared" si="166"/>
        <v>It did not develop any specific innovation</v>
      </c>
      <c r="KU211" s="11" t="str">
        <f t="shared" si="167"/>
        <v>Little or no advocacy</v>
      </c>
      <c r="KV211" s="11" t="str">
        <f t="shared" si="168"/>
        <v>It did not take tested solutions to scale</v>
      </c>
      <c r="KW211" s="11" t="str">
        <f t="shared" si="169"/>
        <v>Ethiopia - Emergency nutrition and livelihood support for drought affected communities of East and West Hararghe, Ethiopia, 2017-18</v>
      </c>
      <c r="KX211" s="11" t="str">
        <f t="shared" si="170"/>
        <v>Emergency nutrition and livelihood support for drought affected communities of East and West Hararghe, Ethiopia, 2017-18</v>
      </c>
      <c r="KY211" s="11" t="str">
        <f t="shared" si="171"/>
        <v>Ethiopia</v>
      </c>
      <c r="KZ211" s="12">
        <v>211</v>
      </c>
    </row>
    <row r="212" spans="1:312" x14ac:dyDescent="0.3">
      <c r="A212" s="11" t="s">
        <v>3868</v>
      </c>
      <c r="B212" s="11" t="s">
        <v>1874</v>
      </c>
      <c r="D212" s="11" t="s">
        <v>4239</v>
      </c>
      <c r="E212" s="24" t="str">
        <f t="shared" si="129"/>
        <v>Ethiopia</v>
      </c>
      <c r="F212" s="11" t="s">
        <v>4240</v>
      </c>
      <c r="G212" s="11" t="s">
        <v>608</v>
      </c>
      <c r="H212" s="11" t="s">
        <v>310</v>
      </c>
      <c r="I212" s="11" t="s">
        <v>384</v>
      </c>
      <c r="J212" s="278" t="s">
        <v>14563</v>
      </c>
      <c r="BD212" s="23">
        <v>42537</v>
      </c>
      <c r="BE212" s="23">
        <v>42725</v>
      </c>
      <c r="BG212" s="11" t="s">
        <v>908</v>
      </c>
      <c r="BH212" s="22">
        <v>405907</v>
      </c>
      <c r="BI212" s="11" t="s">
        <v>3887</v>
      </c>
      <c r="BJ212" s="11" t="s">
        <v>3888</v>
      </c>
      <c r="BK212" s="11" t="s">
        <v>3889</v>
      </c>
      <c r="BL212" s="11" t="s">
        <v>3998</v>
      </c>
      <c r="BM212" s="11" t="s">
        <v>3999</v>
      </c>
      <c r="BN212" s="11" t="s">
        <v>4000</v>
      </c>
      <c r="BO212" s="11" t="s">
        <v>320</v>
      </c>
      <c r="BP212" s="11" t="s">
        <v>319</v>
      </c>
      <c r="BQ212" s="11" t="s">
        <v>319</v>
      </c>
      <c r="BR212" s="11" t="s">
        <v>4241</v>
      </c>
      <c r="BS212" s="11" t="s">
        <v>357</v>
      </c>
      <c r="BT212" s="11" t="s">
        <v>4242</v>
      </c>
      <c r="BU212" s="11" t="s">
        <v>3957</v>
      </c>
      <c r="BV212" s="22">
        <v>16630</v>
      </c>
      <c r="BW212" s="22">
        <v>17686</v>
      </c>
      <c r="BX212" s="22">
        <v>34316</v>
      </c>
      <c r="CB212" s="15" t="s">
        <v>4243</v>
      </c>
      <c r="CD212" s="22">
        <v>16250</v>
      </c>
      <c r="CE212" s="22">
        <v>15818</v>
      </c>
      <c r="CF212" s="22">
        <v>32068</v>
      </c>
      <c r="CJ212" s="11" t="s">
        <v>319</v>
      </c>
      <c r="CL212" s="18"/>
      <c r="CN212" s="11" t="s">
        <v>319</v>
      </c>
      <c r="CP212" s="18"/>
      <c r="CR212" s="11" t="s">
        <v>319</v>
      </c>
      <c r="CT212" s="18"/>
      <c r="CV212" s="11" t="s">
        <v>319</v>
      </c>
      <c r="CX212" s="18"/>
      <c r="CZ212" s="11" t="s">
        <v>319</v>
      </c>
      <c r="DB212" s="18"/>
      <c r="DD212" s="11" t="s">
        <v>319</v>
      </c>
      <c r="DF212" s="18"/>
      <c r="DH212" s="11" t="s">
        <v>319</v>
      </c>
      <c r="DJ212" s="18"/>
      <c r="DL212" s="11" t="s">
        <v>319</v>
      </c>
      <c r="DN212" s="18"/>
      <c r="DP212" s="11" t="s">
        <v>319</v>
      </c>
      <c r="DR212" s="18"/>
      <c r="DT212" s="11" t="s">
        <v>319</v>
      </c>
      <c r="DV212" s="18"/>
      <c r="DX212" s="11" t="s">
        <v>319</v>
      </c>
      <c r="DZ212" s="18"/>
      <c r="EB212" s="11" t="s">
        <v>320</v>
      </c>
      <c r="EC212" s="22">
        <v>32068</v>
      </c>
      <c r="ED212" s="18">
        <v>0.51</v>
      </c>
      <c r="EG212" s="15" t="s">
        <v>319</v>
      </c>
      <c r="EI212" s="18"/>
      <c r="ES212" s="18"/>
      <c r="EW212" s="18"/>
      <c r="FA212" s="18"/>
      <c r="FE212" s="18"/>
      <c r="FI212" s="18"/>
      <c r="FM212" s="18"/>
      <c r="FQ212" s="18"/>
      <c r="FU212" s="18"/>
      <c r="FY212" s="18"/>
      <c r="GC212" s="18"/>
      <c r="GG212" s="18"/>
      <c r="GK212" s="18"/>
      <c r="GO212" s="18"/>
      <c r="GS212" s="18"/>
      <c r="GW212" s="18"/>
      <c r="HA212" s="18"/>
      <c r="HF212" s="18"/>
      <c r="HH212" s="11" t="s">
        <v>320</v>
      </c>
      <c r="HI212" s="11" t="s">
        <v>1175</v>
      </c>
      <c r="HJ212" s="11">
        <v>2016</v>
      </c>
      <c r="HK212" s="11" t="s">
        <v>319</v>
      </c>
      <c r="HL212" s="11" t="s">
        <v>319</v>
      </c>
      <c r="HP212" s="11" t="s">
        <v>418</v>
      </c>
      <c r="HQ212" s="11" t="s">
        <v>319</v>
      </c>
      <c r="HR212" s="11" t="s">
        <v>319</v>
      </c>
      <c r="HS212" s="11" t="s">
        <v>320</v>
      </c>
      <c r="HT212" s="11" t="s">
        <v>319</v>
      </c>
      <c r="HU212" s="11" t="s">
        <v>319</v>
      </c>
      <c r="HV212" s="11" t="s">
        <v>319</v>
      </c>
      <c r="HW212" s="11" t="s">
        <v>319</v>
      </c>
      <c r="HZ212" s="11" t="s">
        <v>363</v>
      </c>
      <c r="IB212" s="11" t="s">
        <v>333</v>
      </c>
      <c r="ID212" s="11" t="s">
        <v>364</v>
      </c>
      <c r="IE212" s="11" t="s">
        <v>335</v>
      </c>
      <c r="IF212" s="11" t="s">
        <v>320</v>
      </c>
      <c r="IG212" s="11" t="s">
        <v>320</v>
      </c>
      <c r="IH212" s="11" t="s">
        <v>320</v>
      </c>
      <c r="II212" s="11" t="s">
        <v>320</v>
      </c>
      <c r="IJ212" s="12" t="str">
        <f t="shared" si="130"/>
        <v>2. Sensitive</v>
      </c>
      <c r="IK212" s="12">
        <f t="shared" si="131"/>
        <v>4</v>
      </c>
      <c r="IL212" s="11" t="s">
        <v>336</v>
      </c>
      <c r="IM212" s="11" t="s">
        <v>320</v>
      </c>
      <c r="IN212" s="11" t="s">
        <v>320</v>
      </c>
      <c r="IO212" s="11" t="s">
        <v>320</v>
      </c>
      <c r="IP212" s="11" t="s">
        <v>320</v>
      </c>
      <c r="IQ212" s="12" t="str">
        <f t="shared" si="132"/>
        <v>2. Accommodating</v>
      </c>
      <c r="IR212" s="12">
        <f t="shared" si="133"/>
        <v>4</v>
      </c>
      <c r="IS212" s="11" t="s">
        <v>337</v>
      </c>
      <c r="IT212" s="11" t="s">
        <v>320</v>
      </c>
      <c r="IU212" s="11" t="s">
        <v>320</v>
      </c>
      <c r="IV212" s="11" t="s">
        <v>320</v>
      </c>
      <c r="IW212" s="11" t="str">
        <f t="shared" si="134"/>
        <v>2. Sensitive</v>
      </c>
      <c r="IX212" s="12">
        <f t="shared" si="135"/>
        <v>3</v>
      </c>
      <c r="IY212" s="11" t="s">
        <v>419</v>
      </c>
      <c r="IZ212" s="11" t="s">
        <v>432</v>
      </c>
      <c r="JA212" s="11">
        <v>2</v>
      </c>
      <c r="JB212" s="11" t="s">
        <v>623</v>
      </c>
      <c r="JC212" s="11" t="s">
        <v>687</v>
      </c>
      <c r="JE212" s="11" t="s">
        <v>420</v>
      </c>
      <c r="JL212" s="11" t="s">
        <v>4244</v>
      </c>
      <c r="JP212" s="15">
        <f t="shared" si="136"/>
        <v>32068</v>
      </c>
      <c r="JQ212" s="15">
        <f t="shared" si="137"/>
        <v>0</v>
      </c>
      <c r="JR212" s="279">
        <f t="shared" si="138"/>
        <v>0</v>
      </c>
      <c r="JS212" s="17">
        <f t="shared" si="139"/>
        <v>0.50673568666583513</v>
      </c>
      <c r="JT212" s="18" t="str">
        <f t="shared" si="140"/>
        <v/>
      </c>
      <c r="JU212" s="280">
        <f t="shared" si="141"/>
        <v>16250</v>
      </c>
      <c r="JV212" s="280">
        <f t="shared" si="142"/>
        <v>0</v>
      </c>
      <c r="JW212" s="319">
        <f t="shared" si="143"/>
        <v>1</v>
      </c>
      <c r="JX212" s="15">
        <f t="shared" si="144"/>
        <v>32068</v>
      </c>
      <c r="JY212" s="15">
        <f t="shared" si="145"/>
        <v>0</v>
      </c>
      <c r="JZ212" s="19">
        <f t="shared" si="146"/>
        <v>0</v>
      </c>
      <c r="KA212" s="52" t="str">
        <f t="shared" si="147"/>
        <v/>
      </c>
      <c r="KB212" s="15">
        <f t="shared" si="148"/>
        <v>0</v>
      </c>
      <c r="KC212" s="15">
        <f t="shared" si="149"/>
        <v>0</v>
      </c>
      <c r="KD212" s="20" t="str">
        <f t="shared" si="150"/>
        <v/>
      </c>
      <c r="KE212" s="52" t="str">
        <f t="shared" si="151"/>
        <v/>
      </c>
      <c r="KF212" s="15">
        <f t="shared" si="152"/>
        <v>0</v>
      </c>
      <c r="KG212" s="15">
        <f t="shared" si="153"/>
        <v>0</v>
      </c>
      <c r="KH212" s="21" t="str">
        <f t="shared" si="154"/>
        <v/>
      </c>
      <c r="KI212" s="52" t="str">
        <f t="shared" si="155"/>
        <v/>
      </c>
      <c r="KJ212" s="15">
        <f t="shared" si="156"/>
        <v>0</v>
      </c>
      <c r="KK212" s="15">
        <f t="shared" si="157"/>
        <v>0</v>
      </c>
      <c r="KL212" s="19" t="str">
        <f t="shared" si="158"/>
        <v/>
      </c>
      <c r="KM212" s="52" t="str">
        <f t="shared" si="159"/>
        <v/>
      </c>
      <c r="KN212" s="22">
        <f t="shared" si="160"/>
        <v>0</v>
      </c>
      <c r="KO212" s="22">
        <f t="shared" si="161"/>
        <v>0</v>
      </c>
      <c r="KP212" s="19" t="str">
        <f t="shared" si="162"/>
        <v/>
      </c>
      <c r="KQ212" s="11" t="str">
        <f t="shared" si="163"/>
        <v>2. Sensitive</v>
      </c>
      <c r="KR212" s="11" t="str">
        <f t="shared" si="164"/>
        <v>2. Accommodating</v>
      </c>
      <c r="KS212" s="11" t="str">
        <f t="shared" si="165"/>
        <v>2. Sensitive</v>
      </c>
      <c r="KT212" s="11" t="str">
        <f t="shared" si="166"/>
        <v>It did not develop any specific innovation</v>
      </c>
      <c r="KU212" s="11" t="str">
        <f t="shared" si="167"/>
        <v>Little or no advocacy</v>
      </c>
      <c r="KV212" s="11" t="str">
        <f t="shared" si="168"/>
        <v>It did not take tested solutions to scale</v>
      </c>
      <c r="KW212" s="11" t="str">
        <f t="shared" si="169"/>
        <v>Ethiopia - Emergency WASH response for drought affected people of Borena zone, Oromiya National Regional State</v>
      </c>
      <c r="KX212" s="11" t="str">
        <f t="shared" si="170"/>
        <v>Emergency WASH response for drought affected people of Borena zone, Oromiya National Regional State</v>
      </c>
      <c r="KY212" s="11" t="str">
        <f t="shared" si="171"/>
        <v>Ethiopia</v>
      </c>
      <c r="KZ212" s="287">
        <v>212</v>
      </c>
    </row>
    <row r="213" spans="1:312" x14ac:dyDescent="0.3">
      <c r="A213" s="11" t="s">
        <v>3868</v>
      </c>
      <c r="B213" s="11" t="s">
        <v>1874</v>
      </c>
      <c r="C213" s="11">
        <v>2949</v>
      </c>
      <c r="D213" s="11" t="s">
        <v>4057</v>
      </c>
      <c r="E213" s="24" t="str">
        <f t="shared" si="129"/>
        <v>Ethiopia</v>
      </c>
      <c r="F213" s="11" t="s">
        <v>4058</v>
      </c>
      <c r="G213" s="11" t="s">
        <v>379</v>
      </c>
      <c r="H213" s="11" t="s">
        <v>383</v>
      </c>
      <c r="I213" s="11" t="s">
        <v>384</v>
      </c>
      <c r="J213" s="278" t="s">
        <v>4059</v>
      </c>
      <c r="BD213" s="23">
        <v>41821</v>
      </c>
      <c r="BE213" s="23">
        <v>42916</v>
      </c>
      <c r="BF213" s="23">
        <v>43039</v>
      </c>
      <c r="BG213" s="11" t="s">
        <v>312</v>
      </c>
      <c r="BH213" s="22">
        <v>2018356</v>
      </c>
      <c r="BI213" s="11" t="s">
        <v>4010</v>
      </c>
      <c r="BJ213" s="11" t="s">
        <v>4011</v>
      </c>
      <c r="BK213" s="11" t="s">
        <v>4060</v>
      </c>
      <c r="BL213" s="11" t="s">
        <v>4061</v>
      </c>
      <c r="BM213" s="11" t="s">
        <v>4062</v>
      </c>
      <c r="BN213" s="11" t="s">
        <v>4063</v>
      </c>
      <c r="BO213" s="12" t="s">
        <v>319</v>
      </c>
      <c r="BP213" s="12" t="s">
        <v>320</v>
      </c>
      <c r="BQ213" s="12" t="s">
        <v>319</v>
      </c>
      <c r="BR213" s="11" t="s">
        <v>4064</v>
      </c>
      <c r="BS213" s="11" t="s">
        <v>357</v>
      </c>
      <c r="BT213" s="11" t="s">
        <v>4065</v>
      </c>
      <c r="BU213" s="11" t="s">
        <v>3895</v>
      </c>
      <c r="BV213" s="22">
        <v>84430</v>
      </c>
      <c r="BW213" s="22">
        <v>81120</v>
      </c>
      <c r="BX213" s="22">
        <v>165550</v>
      </c>
      <c r="CB213" s="15" t="s">
        <v>4066</v>
      </c>
      <c r="CL213" s="18"/>
      <c r="CP213" s="18"/>
      <c r="CT213" s="18"/>
      <c r="CX213" s="18"/>
      <c r="DB213" s="18"/>
      <c r="DF213" s="18"/>
      <c r="DJ213" s="18"/>
      <c r="DN213" s="18"/>
      <c r="DR213" s="18"/>
      <c r="DV213" s="18"/>
      <c r="DZ213" s="18"/>
      <c r="ED213" s="18"/>
      <c r="EI213" s="18"/>
      <c r="EK213" s="22">
        <v>44251</v>
      </c>
      <c r="EL213" s="22">
        <v>42515</v>
      </c>
      <c r="EM213" s="22">
        <v>86766</v>
      </c>
      <c r="ES213" s="18"/>
      <c r="EW213" s="18"/>
      <c r="FA213" s="18"/>
      <c r="FE213" s="18"/>
      <c r="FI213" s="18"/>
      <c r="FM213" s="18"/>
      <c r="FQ213" s="18"/>
      <c r="FU213" s="18"/>
      <c r="FY213" s="18"/>
      <c r="GC213" s="18"/>
      <c r="GE213" s="11" t="s">
        <v>320</v>
      </c>
      <c r="GG213" s="18"/>
      <c r="GK213" s="18"/>
      <c r="GM213" s="11" t="s">
        <v>320</v>
      </c>
      <c r="GO213" s="18"/>
      <c r="GS213" s="18"/>
      <c r="GU213" s="12" t="s">
        <v>320</v>
      </c>
      <c r="GV213" s="22">
        <v>86766</v>
      </c>
      <c r="GW213" s="18">
        <v>0.51</v>
      </c>
      <c r="HA213" s="18"/>
      <c r="HF213" s="18"/>
      <c r="HH213" s="11" t="s">
        <v>319</v>
      </c>
      <c r="HL213" s="11" t="s">
        <v>320</v>
      </c>
      <c r="HM213" s="11" t="s">
        <v>619</v>
      </c>
      <c r="HN213" s="11">
        <v>2017</v>
      </c>
      <c r="HO213" s="11" t="s">
        <v>4067</v>
      </c>
      <c r="HP213" s="11" t="s">
        <v>418</v>
      </c>
      <c r="HQ213" s="11" t="s">
        <v>320</v>
      </c>
      <c r="HR213" s="11" t="s">
        <v>319</v>
      </c>
      <c r="HS213" s="11" t="s">
        <v>320</v>
      </c>
      <c r="HT213" s="11" t="s">
        <v>320</v>
      </c>
      <c r="HU213" s="11" t="s">
        <v>320</v>
      </c>
      <c r="HV213" s="11" t="s">
        <v>320</v>
      </c>
      <c r="HZ213" s="11" t="s">
        <v>331</v>
      </c>
      <c r="IA213" s="11" t="s">
        <v>4068</v>
      </c>
      <c r="IB213" s="11" t="s">
        <v>396</v>
      </c>
      <c r="IC213" s="11" t="s">
        <v>4069</v>
      </c>
      <c r="ID213" s="11" t="s">
        <v>364</v>
      </c>
      <c r="IE213" s="11" t="s">
        <v>335</v>
      </c>
      <c r="IF213" s="11" t="s">
        <v>320</v>
      </c>
      <c r="IG213" s="11" t="s">
        <v>320</v>
      </c>
      <c r="IH213" s="11" t="s">
        <v>320</v>
      </c>
      <c r="II213" s="11" t="s">
        <v>320</v>
      </c>
      <c r="IJ213" s="12" t="str">
        <f t="shared" si="130"/>
        <v>2. Sensitive</v>
      </c>
      <c r="IK213" s="12">
        <f t="shared" si="131"/>
        <v>4</v>
      </c>
      <c r="IL213" s="11" t="s">
        <v>336</v>
      </c>
      <c r="IM213" s="11" t="s">
        <v>320</v>
      </c>
      <c r="IN213" s="11" t="s">
        <v>320</v>
      </c>
      <c r="IO213" s="11" t="s">
        <v>320</v>
      </c>
      <c r="IP213" s="11" t="s">
        <v>320</v>
      </c>
      <c r="IQ213" s="12" t="str">
        <f t="shared" si="132"/>
        <v>2. Accommodating</v>
      </c>
      <c r="IR213" s="12">
        <f t="shared" si="133"/>
        <v>4</v>
      </c>
      <c r="IS213" s="11" t="s">
        <v>622</v>
      </c>
      <c r="IT213" s="11" t="s">
        <v>320</v>
      </c>
      <c r="IU213" s="11" t="s">
        <v>319</v>
      </c>
      <c r="IV213" s="11" t="s">
        <v>320</v>
      </c>
      <c r="IW213" s="11" t="str">
        <f t="shared" si="134"/>
        <v>3. Responsive</v>
      </c>
      <c r="IX213" s="12">
        <f t="shared" si="135"/>
        <v>2</v>
      </c>
      <c r="IY213" s="11" t="s">
        <v>419</v>
      </c>
      <c r="IZ213" s="11" t="s">
        <v>527</v>
      </c>
      <c r="JA213" s="11">
        <v>3</v>
      </c>
      <c r="JB213" s="11" t="s">
        <v>687</v>
      </c>
      <c r="JC213" s="11" t="s">
        <v>831</v>
      </c>
      <c r="JD213" s="12" t="s">
        <v>724</v>
      </c>
      <c r="JE213" s="11" t="s">
        <v>420</v>
      </c>
      <c r="JG213" s="11" t="s">
        <v>4070</v>
      </c>
      <c r="JH213" s="11" t="s">
        <v>4071</v>
      </c>
      <c r="JI213" s="11" t="s">
        <v>4072</v>
      </c>
      <c r="JJ213" s="11" t="s">
        <v>4073</v>
      </c>
      <c r="JK213" s="11" t="s">
        <v>4074</v>
      </c>
      <c r="JL213" s="11" t="s">
        <v>4075</v>
      </c>
      <c r="JM213" s="11" t="s">
        <v>4076</v>
      </c>
      <c r="JN213" s="11" t="s">
        <v>4077</v>
      </c>
      <c r="JP213" s="15">
        <f t="shared" si="136"/>
        <v>86766</v>
      </c>
      <c r="JQ213" s="15">
        <f t="shared" si="137"/>
        <v>0</v>
      </c>
      <c r="JR213" s="279">
        <f t="shared" si="138"/>
        <v>0</v>
      </c>
      <c r="JS213" s="17">
        <f t="shared" si="139"/>
        <v>0.51000391858562111</v>
      </c>
      <c r="JT213" s="18" t="str">
        <f t="shared" si="140"/>
        <v/>
      </c>
      <c r="JU213" s="280">
        <f t="shared" si="141"/>
        <v>44251</v>
      </c>
      <c r="JV213" s="280">
        <f t="shared" si="142"/>
        <v>0</v>
      </c>
      <c r="JW213" s="319" t="str">
        <f t="shared" si="143"/>
        <v/>
      </c>
      <c r="JX213" s="15">
        <f t="shared" si="144"/>
        <v>0</v>
      </c>
      <c r="JY213" s="15">
        <f t="shared" si="145"/>
        <v>0</v>
      </c>
      <c r="JZ213" s="19" t="str">
        <f t="shared" si="146"/>
        <v/>
      </c>
      <c r="KA213" s="52">
        <f t="shared" si="147"/>
        <v>1</v>
      </c>
      <c r="KB213" s="15">
        <f t="shared" si="148"/>
        <v>86766</v>
      </c>
      <c r="KC213" s="15">
        <f t="shared" si="149"/>
        <v>0</v>
      </c>
      <c r="KD213" s="20">
        <f t="shared" si="150"/>
        <v>0</v>
      </c>
      <c r="KE213" s="52" t="str">
        <f t="shared" si="151"/>
        <v/>
      </c>
      <c r="KF213" s="15">
        <f t="shared" si="152"/>
        <v>0</v>
      </c>
      <c r="KG213" s="15">
        <f t="shared" si="153"/>
        <v>0</v>
      </c>
      <c r="KH213" s="21" t="str">
        <f t="shared" si="154"/>
        <v/>
      </c>
      <c r="KI213" s="52" t="str">
        <f t="shared" si="155"/>
        <v/>
      </c>
      <c r="KJ213" s="15">
        <f t="shared" si="156"/>
        <v>0</v>
      </c>
      <c r="KK213" s="15">
        <f t="shared" si="157"/>
        <v>0</v>
      </c>
      <c r="KL213" s="19" t="str">
        <f t="shared" si="158"/>
        <v/>
      </c>
      <c r="KM213" s="52" t="str">
        <f t="shared" si="159"/>
        <v/>
      </c>
      <c r="KN213" s="22">
        <f t="shared" si="160"/>
        <v>0</v>
      </c>
      <c r="KO213" s="22">
        <f t="shared" si="161"/>
        <v>0</v>
      </c>
      <c r="KP213" s="19" t="str">
        <f t="shared" si="162"/>
        <v/>
      </c>
      <c r="KQ213" s="11" t="str">
        <f t="shared" si="163"/>
        <v>2. Sensitive</v>
      </c>
      <c r="KR213" s="11" t="str">
        <f t="shared" si="164"/>
        <v>2. Accommodating</v>
      </c>
      <c r="KS213" s="11" t="str">
        <f t="shared" si="165"/>
        <v>3. Responsive</v>
      </c>
      <c r="KT213" s="11" t="str">
        <f t="shared" si="166"/>
        <v>It tested new ways for fighting poverty and measured results of innovation</v>
      </c>
      <c r="KU213" s="11" t="str">
        <f t="shared" si="167"/>
        <v>Little or no advocacy</v>
      </c>
      <c r="KV213" s="11" t="str">
        <f t="shared" si="168"/>
        <v>It linked and worked with strategic alliances and partners to take tested and effective solutions to scale</v>
      </c>
      <c r="KW213" s="11" t="str">
        <f t="shared" si="169"/>
        <v>Ethiopia - Estie, Farta, Andabet and Dera (EFAD) Water and Sanitation Project</v>
      </c>
      <c r="KX213" s="11" t="str">
        <f t="shared" si="170"/>
        <v>Estie, Farta, Andabet and Dera (EFAD) Water and Sanitation Project</v>
      </c>
      <c r="KY213" s="11" t="str">
        <f t="shared" si="171"/>
        <v>Ethiopia</v>
      </c>
      <c r="KZ213" s="12">
        <v>213</v>
      </c>
    </row>
    <row r="214" spans="1:312" x14ac:dyDescent="0.3">
      <c r="A214" s="11" t="s">
        <v>3868</v>
      </c>
      <c r="B214" s="11" t="s">
        <v>1874</v>
      </c>
      <c r="C214" s="11" t="s">
        <v>3897</v>
      </c>
      <c r="D214" s="11" t="s">
        <v>3898</v>
      </c>
      <c r="E214" s="24" t="str">
        <f t="shared" si="129"/>
        <v>Ethiopia</v>
      </c>
      <c r="F214" s="11" t="s">
        <v>3897</v>
      </c>
      <c r="G214" s="11" t="s">
        <v>376</v>
      </c>
      <c r="H214" s="11" t="s">
        <v>310</v>
      </c>
      <c r="I214" s="11" t="s">
        <v>377</v>
      </c>
      <c r="J214" s="278" t="s">
        <v>14582</v>
      </c>
      <c r="BD214" s="23">
        <v>41402</v>
      </c>
      <c r="BE214" s="23">
        <v>43281</v>
      </c>
      <c r="BG214" s="11" t="s">
        <v>749</v>
      </c>
      <c r="BH214" s="22">
        <v>12000000</v>
      </c>
      <c r="BI214" s="11" t="s">
        <v>3899</v>
      </c>
      <c r="BJ214" s="11" t="s">
        <v>1309</v>
      </c>
      <c r="BK214" s="11" t="s">
        <v>3900</v>
      </c>
      <c r="BL214" s="11" t="s">
        <v>3901</v>
      </c>
      <c r="BM214" s="11" t="s">
        <v>3902</v>
      </c>
      <c r="BN214" s="11" t="s">
        <v>3903</v>
      </c>
      <c r="BO214" s="11" t="s">
        <v>319</v>
      </c>
      <c r="BP214" s="11" t="s">
        <v>320</v>
      </c>
      <c r="BQ214" s="11" t="s">
        <v>319</v>
      </c>
      <c r="BR214" s="11" t="s">
        <v>3904</v>
      </c>
      <c r="BS214" s="11" t="s">
        <v>357</v>
      </c>
      <c r="BT214" s="11" t="s">
        <v>3905</v>
      </c>
      <c r="BU214" s="11" t="s">
        <v>3895</v>
      </c>
      <c r="BV214" s="22">
        <v>8577</v>
      </c>
      <c r="BW214" s="22">
        <v>34309</v>
      </c>
      <c r="BX214" s="22">
        <v>42886</v>
      </c>
      <c r="BY214" s="22">
        <v>34308</v>
      </c>
      <c r="BZ214" s="22">
        <v>137236</v>
      </c>
      <c r="CA214" s="22">
        <v>171544</v>
      </c>
      <c r="CB214" s="15" t="s">
        <v>14625</v>
      </c>
      <c r="CL214" s="18"/>
      <c r="CP214" s="18"/>
      <c r="CT214" s="18"/>
      <c r="CX214" s="18"/>
      <c r="DB214" s="18"/>
      <c r="DF214" s="18"/>
      <c r="DJ214" s="18"/>
      <c r="DN214" s="18"/>
      <c r="DR214" s="18"/>
      <c r="DV214" s="18"/>
      <c r="DZ214" s="18"/>
      <c r="ED214" s="18"/>
      <c r="EI214" s="18"/>
      <c r="EQ214" s="12" t="s">
        <v>320</v>
      </c>
      <c r="ER214" s="22">
        <v>32636</v>
      </c>
      <c r="ES214" s="18">
        <v>0.71</v>
      </c>
      <c r="ET214" s="22">
        <v>130544</v>
      </c>
      <c r="EU214" s="11" t="s">
        <v>320</v>
      </c>
      <c r="EV214" s="22">
        <v>36845</v>
      </c>
      <c r="EW214" s="18">
        <v>0.68</v>
      </c>
      <c r="EX214" s="22">
        <v>147380</v>
      </c>
      <c r="EY214" s="12" t="s">
        <v>319</v>
      </c>
      <c r="FA214" s="18"/>
      <c r="FC214" s="12" t="s">
        <v>320</v>
      </c>
      <c r="FD214" s="22">
        <v>36845</v>
      </c>
      <c r="FE214" s="18">
        <v>0.68</v>
      </c>
      <c r="FF214" s="22">
        <v>147380</v>
      </c>
      <c r="FG214" s="12" t="s">
        <v>319</v>
      </c>
      <c r="FI214" s="18"/>
      <c r="FK214" s="11" t="s">
        <v>319</v>
      </c>
      <c r="FM214" s="18"/>
      <c r="FO214" s="11" t="s">
        <v>319</v>
      </c>
      <c r="FQ214" s="18"/>
      <c r="FS214" s="11" t="s">
        <v>319</v>
      </c>
      <c r="FU214" s="18"/>
      <c r="FW214" s="11" t="s">
        <v>320</v>
      </c>
      <c r="FX214" s="22">
        <v>67891</v>
      </c>
      <c r="FY214" s="18">
        <v>0.65</v>
      </c>
      <c r="FZ214" s="22">
        <v>271564</v>
      </c>
      <c r="GA214" s="11" t="s">
        <v>319</v>
      </c>
      <c r="GC214" s="18"/>
      <c r="GE214" s="11" t="s">
        <v>319</v>
      </c>
      <c r="GG214" s="18"/>
      <c r="GI214" s="11" t="s">
        <v>319</v>
      </c>
      <c r="GK214" s="18"/>
      <c r="GM214" s="11" t="s">
        <v>319</v>
      </c>
      <c r="GO214" s="18"/>
      <c r="GQ214" s="11" t="s">
        <v>319</v>
      </c>
      <c r="GS214" s="18"/>
      <c r="GU214" s="11" t="s">
        <v>319</v>
      </c>
      <c r="GW214" s="18"/>
      <c r="GY214" s="11" t="s">
        <v>320</v>
      </c>
      <c r="HA214" s="18"/>
      <c r="HF214" s="18"/>
      <c r="HH214" s="11" t="s">
        <v>320</v>
      </c>
      <c r="HI214" s="11" t="s">
        <v>431</v>
      </c>
      <c r="HJ214" s="11">
        <v>2017</v>
      </c>
      <c r="HK214" s="11" t="s">
        <v>320</v>
      </c>
      <c r="HL214" s="11" t="s">
        <v>320</v>
      </c>
      <c r="HM214" s="11" t="s">
        <v>1175</v>
      </c>
      <c r="HN214" s="11">
        <v>2018</v>
      </c>
      <c r="HO214" s="11" t="s">
        <v>3906</v>
      </c>
      <c r="HP214" s="11" t="s">
        <v>418</v>
      </c>
      <c r="HQ214" s="11" t="s">
        <v>319</v>
      </c>
      <c r="HR214" s="11" t="s">
        <v>319</v>
      </c>
      <c r="HS214" s="11" t="s">
        <v>320</v>
      </c>
      <c r="HT214" s="11" t="s">
        <v>320</v>
      </c>
      <c r="HU214" s="11" t="s">
        <v>319</v>
      </c>
      <c r="HV214" s="11" t="s">
        <v>319</v>
      </c>
      <c r="HW214" s="11" t="s">
        <v>319</v>
      </c>
      <c r="HX214" s="11" t="s">
        <v>319</v>
      </c>
      <c r="HZ214" s="11" t="s">
        <v>331</v>
      </c>
      <c r="IA214" s="11" t="s">
        <v>3907</v>
      </c>
      <c r="IB214" s="11" t="s">
        <v>667</v>
      </c>
      <c r="IC214" s="11" t="s">
        <v>3908</v>
      </c>
      <c r="ID214" s="11" t="s">
        <v>334</v>
      </c>
      <c r="IE214" s="11" t="s">
        <v>335</v>
      </c>
      <c r="IF214" s="11" t="s">
        <v>320</v>
      </c>
      <c r="IG214" s="11" t="s">
        <v>320</v>
      </c>
      <c r="IH214" s="11" t="s">
        <v>320</v>
      </c>
      <c r="II214" s="11" t="s">
        <v>320</v>
      </c>
      <c r="IJ214" s="12" t="str">
        <f t="shared" si="130"/>
        <v>2. Sensitive</v>
      </c>
      <c r="IK214" s="12">
        <f t="shared" si="131"/>
        <v>4</v>
      </c>
      <c r="IL214" s="11" t="s">
        <v>336</v>
      </c>
      <c r="IM214" s="11" t="s">
        <v>320</v>
      </c>
      <c r="IN214" s="11" t="s">
        <v>320</v>
      </c>
      <c r="IO214" s="11" t="s">
        <v>320</v>
      </c>
      <c r="IP214" s="11" t="s">
        <v>320</v>
      </c>
      <c r="IQ214" s="12" t="str">
        <f t="shared" si="132"/>
        <v>2. Accommodating</v>
      </c>
      <c r="IR214" s="12">
        <f t="shared" si="133"/>
        <v>4</v>
      </c>
      <c r="IS214" s="11" t="s">
        <v>622</v>
      </c>
      <c r="IT214" s="11" t="s">
        <v>320</v>
      </c>
      <c r="IU214" s="11" t="s">
        <v>320</v>
      </c>
      <c r="IV214" s="11" t="s">
        <v>320</v>
      </c>
      <c r="IW214" s="11" t="str">
        <f t="shared" si="134"/>
        <v>4. Transformative</v>
      </c>
      <c r="IX214" s="12">
        <f t="shared" si="135"/>
        <v>3</v>
      </c>
      <c r="IY214" s="11" t="s">
        <v>758</v>
      </c>
      <c r="IZ214" s="11" t="s">
        <v>527</v>
      </c>
      <c r="JB214" s="11" t="s">
        <v>623</v>
      </c>
      <c r="JC214" s="12" t="s">
        <v>651</v>
      </c>
      <c r="JD214" s="11" t="s">
        <v>585</v>
      </c>
      <c r="JE214" s="11" t="s">
        <v>365</v>
      </c>
      <c r="JF214" s="11" t="s">
        <v>3909</v>
      </c>
      <c r="JG214" s="11" t="s">
        <v>3910</v>
      </c>
      <c r="JH214" s="11" t="s">
        <v>3911</v>
      </c>
      <c r="JI214" s="11" t="s">
        <v>3912</v>
      </c>
      <c r="JJ214" s="11" t="s">
        <v>3913</v>
      </c>
      <c r="JK214" s="11" t="s">
        <v>3914</v>
      </c>
      <c r="JL214" s="11" t="s">
        <v>3915</v>
      </c>
      <c r="JN214" s="28" t="s">
        <v>14626</v>
      </c>
      <c r="JO214" s="11" t="s">
        <v>3916</v>
      </c>
      <c r="JP214" s="15">
        <f t="shared" si="136"/>
        <v>0</v>
      </c>
      <c r="JQ214" s="15">
        <f t="shared" si="137"/>
        <v>0</v>
      </c>
      <c r="JR214" s="279" t="str">
        <f t="shared" si="138"/>
        <v/>
      </c>
      <c r="JS214" s="17" t="str">
        <f t="shared" si="139"/>
        <v/>
      </c>
      <c r="JT214" s="18" t="str">
        <f t="shared" si="140"/>
        <v/>
      </c>
      <c r="JU214" s="280">
        <f t="shared" si="141"/>
        <v>0</v>
      </c>
      <c r="JV214" s="280">
        <f t="shared" si="142"/>
        <v>0</v>
      </c>
      <c r="JW214" s="319" t="str">
        <f t="shared" si="143"/>
        <v/>
      </c>
      <c r="JX214" s="15">
        <f t="shared" si="144"/>
        <v>0</v>
      </c>
      <c r="JY214" s="15">
        <f t="shared" si="145"/>
        <v>0</v>
      </c>
      <c r="JZ214" s="19" t="str">
        <f t="shared" si="146"/>
        <v/>
      </c>
      <c r="KA214" s="52">
        <f t="shared" si="147"/>
        <v>1</v>
      </c>
      <c r="KB214" s="15">
        <f t="shared" si="148"/>
        <v>36845</v>
      </c>
      <c r="KC214" s="15">
        <f t="shared" si="149"/>
        <v>147380</v>
      </c>
      <c r="KD214" s="20">
        <f t="shared" si="150"/>
        <v>4</v>
      </c>
      <c r="KE214" s="52" t="str">
        <f t="shared" si="151"/>
        <v/>
      </c>
      <c r="KF214" s="15">
        <f t="shared" si="152"/>
        <v>0</v>
      </c>
      <c r="KG214" s="15">
        <f t="shared" si="153"/>
        <v>0</v>
      </c>
      <c r="KH214" s="21" t="str">
        <f t="shared" si="154"/>
        <v/>
      </c>
      <c r="KI214" s="52" t="str">
        <f t="shared" si="155"/>
        <v/>
      </c>
      <c r="KJ214" s="15">
        <f t="shared" si="156"/>
        <v>0</v>
      </c>
      <c r="KK214" s="15">
        <f t="shared" si="157"/>
        <v>0</v>
      </c>
      <c r="KL214" s="19" t="str">
        <f t="shared" si="158"/>
        <v/>
      </c>
      <c r="KM214" s="52">
        <f t="shared" si="159"/>
        <v>1</v>
      </c>
      <c r="KN214" s="22">
        <f t="shared" si="160"/>
        <v>0</v>
      </c>
      <c r="KO214" s="22">
        <f t="shared" si="161"/>
        <v>0</v>
      </c>
      <c r="KP214" s="19" t="str">
        <f t="shared" si="162"/>
        <v/>
      </c>
      <c r="KQ214" s="11" t="str">
        <f t="shared" si="163"/>
        <v>2. Sensitive</v>
      </c>
      <c r="KR214" s="11" t="str">
        <f t="shared" si="164"/>
        <v>2. Accommodating</v>
      </c>
      <c r="KS214" s="11" t="str">
        <f t="shared" si="165"/>
        <v>4. Transformative</v>
      </c>
      <c r="KT214" s="11" t="str">
        <f t="shared" si="166"/>
        <v>It tested new ways for fighting poverty and measured results of innovation</v>
      </c>
      <c r="KU214" s="11" t="str">
        <f t="shared" si="167"/>
        <v>Little or no advocacy</v>
      </c>
      <c r="KV214" s="11" t="str">
        <f t="shared" si="168"/>
        <v>It took tested solutions to scale on its own</v>
      </c>
      <c r="KW214" s="11" t="str">
        <f t="shared" si="169"/>
        <v>Ethiopia - Food Sufficiency for Farmers (FSF)</v>
      </c>
      <c r="KX214" s="11" t="str">
        <f t="shared" si="170"/>
        <v>Food Sufficiency for Farmers (FSF)</v>
      </c>
      <c r="KY214" s="11" t="str">
        <f t="shared" si="171"/>
        <v>Ethiopia</v>
      </c>
      <c r="KZ214" s="12">
        <v>214</v>
      </c>
    </row>
    <row r="215" spans="1:312" x14ac:dyDescent="0.3">
      <c r="A215" s="28" t="s">
        <v>3868</v>
      </c>
      <c r="B215" s="28" t="s">
        <v>1874</v>
      </c>
      <c r="C215" s="28"/>
      <c r="D215" s="28" t="s">
        <v>4078</v>
      </c>
      <c r="E215" s="24" t="str">
        <f t="shared" si="129"/>
        <v>Ethiopia</v>
      </c>
      <c r="F215" s="28" t="s">
        <v>4079</v>
      </c>
      <c r="G215" s="28" t="s">
        <v>379</v>
      </c>
      <c r="H215" s="28" t="s">
        <v>310</v>
      </c>
      <c r="I215" s="28" t="s">
        <v>655</v>
      </c>
      <c r="J215" s="278" t="s">
        <v>4991</v>
      </c>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30">
        <v>40882</v>
      </c>
      <c r="BE215" s="30">
        <v>42708</v>
      </c>
      <c r="BF215" s="30"/>
      <c r="BG215" s="28" t="s">
        <v>749</v>
      </c>
      <c r="BH215" s="29">
        <v>25244680</v>
      </c>
      <c r="BI215" s="28" t="s">
        <v>4080</v>
      </c>
      <c r="BJ215" s="28" t="s">
        <v>1309</v>
      </c>
      <c r="BK215" s="28" t="s">
        <v>4081</v>
      </c>
      <c r="BL215" s="28" t="s">
        <v>4082</v>
      </c>
      <c r="BM215" s="28" t="s">
        <v>1312</v>
      </c>
      <c r="BN215" s="28" t="s">
        <v>4083</v>
      </c>
      <c r="BO215" s="12" t="s">
        <v>319</v>
      </c>
      <c r="BP215" s="12" t="s">
        <v>320</v>
      </c>
      <c r="BQ215" s="12" t="s">
        <v>319</v>
      </c>
      <c r="BR215" s="28" t="s">
        <v>4084</v>
      </c>
      <c r="BS215" s="28" t="s">
        <v>357</v>
      </c>
      <c r="BT215" s="28" t="s">
        <v>4085</v>
      </c>
      <c r="BU215" s="28" t="s">
        <v>4086</v>
      </c>
      <c r="BV215" s="29">
        <v>33150</v>
      </c>
      <c r="BW215" s="29">
        <v>31850</v>
      </c>
      <c r="BX215" s="29">
        <v>65000</v>
      </c>
      <c r="BY215" s="29">
        <v>132600</v>
      </c>
      <c r="BZ215" s="29">
        <v>127400</v>
      </c>
      <c r="CA215" s="29">
        <v>260000</v>
      </c>
      <c r="CB215" s="32" t="s">
        <v>4087</v>
      </c>
      <c r="CC215" s="32"/>
      <c r="CD215" s="29"/>
      <c r="CE215" s="29"/>
      <c r="CF215" s="29"/>
      <c r="CG215" s="29"/>
      <c r="CH215" s="29"/>
      <c r="CI215" s="29"/>
      <c r="CJ215" s="28"/>
      <c r="CK215" s="29"/>
      <c r="CL215" s="33"/>
      <c r="CM215" s="29"/>
      <c r="CN215" s="28"/>
      <c r="CO215" s="29"/>
      <c r="CP215" s="33"/>
      <c r="CQ215" s="29"/>
      <c r="CR215" s="28"/>
      <c r="CS215" s="29"/>
      <c r="CT215" s="33"/>
      <c r="CU215" s="29"/>
      <c r="CV215" s="28"/>
      <c r="CW215" s="29"/>
      <c r="CX215" s="33"/>
      <c r="CY215" s="29"/>
      <c r="CZ215" s="28"/>
      <c r="DA215" s="29"/>
      <c r="DB215" s="33"/>
      <c r="DC215" s="29"/>
      <c r="DD215" s="28"/>
      <c r="DE215" s="29"/>
      <c r="DF215" s="33"/>
      <c r="DG215" s="29"/>
      <c r="DH215" s="28"/>
      <c r="DI215" s="29"/>
      <c r="DJ215" s="33"/>
      <c r="DK215" s="29"/>
      <c r="DL215" s="28"/>
      <c r="DM215" s="29"/>
      <c r="DN215" s="33"/>
      <c r="DO215" s="29"/>
      <c r="DP215" s="28"/>
      <c r="DQ215" s="29"/>
      <c r="DR215" s="33"/>
      <c r="DS215" s="29"/>
      <c r="DT215" s="28"/>
      <c r="DU215" s="29"/>
      <c r="DV215" s="33"/>
      <c r="DW215" s="29"/>
      <c r="DX215" s="28"/>
      <c r="DY215" s="29"/>
      <c r="DZ215" s="33"/>
      <c r="EA215" s="29"/>
      <c r="EB215" s="28"/>
      <c r="EC215" s="29"/>
      <c r="ED215" s="33"/>
      <c r="EE215" s="29"/>
      <c r="EF215" s="32"/>
      <c r="EG215" s="32"/>
      <c r="EH215" s="29"/>
      <c r="EI215" s="33"/>
      <c r="EJ215" s="29"/>
      <c r="EK215" s="29">
        <v>6279</v>
      </c>
      <c r="EL215" s="29">
        <v>9962</v>
      </c>
      <c r="EM215" s="29">
        <v>16241</v>
      </c>
      <c r="EN215" s="29">
        <v>28255</v>
      </c>
      <c r="EO215" s="29">
        <v>44829</v>
      </c>
      <c r="EP215" s="29">
        <v>73084</v>
      </c>
      <c r="EQ215" s="12" t="s">
        <v>320</v>
      </c>
      <c r="ER215" s="29">
        <v>1940</v>
      </c>
      <c r="ES215" s="33">
        <v>0.24</v>
      </c>
      <c r="ET215" s="29">
        <v>8924</v>
      </c>
      <c r="EU215" s="11" t="s">
        <v>319</v>
      </c>
      <c r="EV215" s="29"/>
      <c r="EW215" s="33"/>
      <c r="EX215" s="29"/>
      <c r="EY215" s="12" t="s">
        <v>319</v>
      </c>
      <c r="EZ215" s="29"/>
      <c r="FA215" s="33"/>
      <c r="FB215" s="29"/>
      <c r="FC215" s="28" t="s">
        <v>320</v>
      </c>
      <c r="FD215" s="29"/>
      <c r="FE215" s="33"/>
      <c r="FF215" s="29"/>
      <c r="FG215" s="12" t="s">
        <v>320</v>
      </c>
      <c r="FH215" s="29">
        <v>3398</v>
      </c>
      <c r="FI215" s="33">
        <v>0.36</v>
      </c>
      <c r="FJ215" s="29">
        <v>15631</v>
      </c>
      <c r="FK215" s="28" t="s">
        <v>319</v>
      </c>
      <c r="FL215" s="29"/>
      <c r="FM215" s="33"/>
      <c r="FN215" s="29"/>
      <c r="FO215" s="12" t="s">
        <v>320</v>
      </c>
      <c r="FP215" s="29">
        <v>2546</v>
      </c>
      <c r="FQ215" s="33">
        <v>0.77</v>
      </c>
      <c r="FR215" s="29">
        <v>11712</v>
      </c>
      <c r="FS215" s="28" t="s">
        <v>319</v>
      </c>
      <c r="FT215" s="29"/>
      <c r="FU215" s="33"/>
      <c r="FV215" s="29"/>
      <c r="FW215" s="11" t="s">
        <v>320</v>
      </c>
      <c r="FX215" s="29">
        <v>321</v>
      </c>
      <c r="FY215" s="33">
        <v>0.5</v>
      </c>
      <c r="FZ215" s="29">
        <v>1477</v>
      </c>
      <c r="GA215" s="28" t="s">
        <v>319</v>
      </c>
      <c r="GB215" s="29"/>
      <c r="GC215" s="33"/>
      <c r="GD215" s="29"/>
      <c r="GE215" s="28" t="s">
        <v>319</v>
      </c>
      <c r="GF215" s="29"/>
      <c r="GG215" s="33"/>
      <c r="GH215" s="29"/>
      <c r="GI215" s="28" t="s">
        <v>319</v>
      </c>
      <c r="GJ215" s="29"/>
      <c r="GK215" s="33"/>
      <c r="GL215" s="29"/>
      <c r="GM215" s="28" t="s">
        <v>319</v>
      </c>
      <c r="GN215" s="29"/>
      <c r="GO215" s="33"/>
      <c r="GP215" s="29"/>
      <c r="GQ215" s="28" t="s">
        <v>319</v>
      </c>
      <c r="GR215" s="29"/>
      <c r="GS215" s="33"/>
      <c r="GT215" s="29"/>
      <c r="GU215" s="28" t="s">
        <v>319</v>
      </c>
      <c r="GV215" s="29"/>
      <c r="GW215" s="33"/>
      <c r="GX215" s="29"/>
      <c r="GY215" s="11" t="s">
        <v>320</v>
      </c>
      <c r="GZ215" s="29">
        <v>387</v>
      </c>
      <c r="HA215" s="33">
        <v>1</v>
      </c>
      <c r="HB215" s="29">
        <v>1651</v>
      </c>
      <c r="HC215" s="28"/>
      <c r="HD215" s="28"/>
      <c r="HE215" s="29"/>
      <c r="HF215" s="33"/>
      <c r="HG215" s="29"/>
      <c r="HH215" s="28" t="s">
        <v>320</v>
      </c>
      <c r="HI215" s="28" t="s">
        <v>416</v>
      </c>
      <c r="HJ215" s="28">
        <v>2017</v>
      </c>
      <c r="HK215" s="28" t="s">
        <v>320</v>
      </c>
      <c r="HL215" s="28" t="s">
        <v>319</v>
      </c>
      <c r="HM215" s="28"/>
      <c r="HN215" s="28"/>
      <c r="HO215" s="28" t="s">
        <v>4088</v>
      </c>
      <c r="HP215" s="28" t="s">
        <v>418</v>
      </c>
      <c r="HQ215" s="28"/>
      <c r="HR215" s="28"/>
      <c r="HS215" s="28"/>
      <c r="HT215" s="28" t="s">
        <v>320</v>
      </c>
      <c r="HU215" s="28" t="s">
        <v>320</v>
      </c>
      <c r="HV215" s="28" t="s">
        <v>320</v>
      </c>
      <c r="HW215" s="28"/>
      <c r="HX215" s="28"/>
      <c r="HY215" s="28"/>
      <c r="HZ215" s="28" t="s">
        <v>331</v>
      </c>
      <c r="IA215" s="28" t="s">
        <v>4089</v>
      </c>
      <c r="IB215" s="28" t="s">
        <v>396</v>
      </c>
      <c r="IC215" s="28" t="s">
        <v>4090</v>
      </c>
      <c r="ID215" s="28" t="s">
        <v>334</v>
      </c>
      <c r="IE215" s="28" t="s">
        <v>478</v>
      </c>
      <c r="IF215" s="28" t="s">
        <v>320</v>
      </c>
      <c r="IG215" s="28" t="s">
        <v>320</v>
      </c>
      <c r="IH215" s="28" t="s">
        <v>320</v>
      </c>
      <c r="II215" s="28" t="s">
        <v>320</v>
      </c>
      <c r="IJ215" s="12" t="str">
        <f t="shared" si="130"/>
        <v>4. Transformative</v>
      </c>
      <c r="IK215" s="12">
        <f t="shared" si="131"/>
        <v>4</v>
      </c>
      <c r="IL215" s="28" t="s">
        <v>336</v>
      </c>
      <c r="IM215" s="28" t="s">
        <v>320</v>
      </c>
      <c r="IN215" s="28" t="s">
        <v>320</v>
      </c>
      <c r="IO215" s="28" t="s">
        <v>320</v>
      </c>
      <c r="IP215" s="28" t="s">
        <v>320</v>
      </c>
      <c r="IQ215" s="12" t="str">
        <f t="shared" si="132"/>
        <v>2. Accommodating</v>
      </c>
      <c r="IR215" s="12">
        <f t="shared" si="133"/>
        <v>4</v>
      </c>
      <c r="IS215" s="12" t="s">
        <v>622</v>
      </c>
      <c r="IT215" s="28" t="s">
        <v>320</v>
      </c>
      <c r="IU215" s="28" t="s">
        <v>320</v>
      </c>
      <c r="IV215" s="28" t="s">
        <v>320</v>
      </c>
      <c r="IW215" s="11" t="str">
        <f t="shared" si="134"/>
        <v>4. Transformative</v>
      </c>
      <c r="IX215" s="12">
        <f t="shared" si="135"/>
        <v>3</v>
      </c>
      <c r="IY215" s="28" t="s">
        <v>758</v>
      </c>
      <c r="IZ215" s="28" t="s">
        <v>527</v>
      </c>
      <c r="JA215" s="28">
        <v>6</v>
      </c>
      <c r="JB215" s="31" t="s">
        <v>1570</v>
      </c>
      <c r="JC215" s="28" t="s">
        <v>433</v>
      </c>
      <c r="JD215" s="28" t="s">
        <v>585</v>
      </c>
      <c r="JE215" s="28" t="s">
        <v>420</v>
      </c>
      <c r="JF215" s="28"/>
      <c r="JG215" s="28"/>
      <c r="JH215" s="28" t="s">
        <v>4091</v>
      </c>
      <c r="JI215" s="28" t="s">
        <v>4092</v>
      </c>
      <c r="JJ215" s="28" t="s">
        <v>4093</v>
      </c>
      <c r="JK215" s="28" t="s">
        <v>4094</v>
      </c>
      <c r="JL215" s="28"/>
      <c r="JM215" s="28"/>
      <c r="JN215" s="28"/>
      <c r="JO215" s="28" t="s">
        <v>4095</v>
      </c>
      <c r="JP215" s="15">
        <f t="shared" si="136"/>
        <v>16241</v>
      </c>
      <c r="JQ215" s="15">
        <f t="shared" si="137"/>
        <v>73084</v>
      </c>
      <c r="JR215" s="279">
        <f t="shared" si="138"/>
        <v>4.4999692137183667</v>
      </c>
      <c r="JS215" s="17">
        <f t="shared" si="139"/>
        <v>0.3866141247460132</v>
      </c>
      <c r="JT215" s="18">
        <f t="shared" si="140"/>
        <v>0.38660992830168028</v>
      </c>
      <c r="JU215" s="280">
        <f t="shared" si="141"/>
        <v>6279</v>
      </c>
      <c r="JV215" s="280">
        <f t="shared" si="142"/>
        <v>28255</v>
      </c>
      <c r="JW215" s="319" t="str">
        <f t="shared" si="143"/>
        <v/>
      </c>
      <c r="JX215" s="32">
        <f t="shared" si="144"/>
        <v>0</v>
      </c>
      <c r="JY215" s="32">
        <f t="shared" si="145"/>
        <v>0</v>
      </c>
      <c r="JZ215" s="34" t="str">
        <f t="shared" si="146"/>
        <v/>
      </c>
      <c r="KA215" s="52">
        <f t="shared" si="147"/>
        <v>1</v>
      </c>
      <c r="KB215" s="32">
        <f t="shared" si="148"/>
        <v>3398</v>
      </c>
      <c r="KC215" s="32">
        <f t="shared" si="149"/>
        <v>15631</v>
      </c>
      <c r="KD215" s="35">
        <f t="shared" si="150"/>
        <v>4.6000588581518542</v>
      </c>
      <c r="KE215" s="52" t="str">
        <f t="shared" si="151"/>
        <v/>
      </c>
      <c r="KF215" s="32">
        <f t="shared" si="152"/>
        <v>0</v>
      </c>
      <c r="KG215" s="32">
        <f t="shared" si="153"/>
        <v>0</v>
      </c>
      <c r="KH215" s="36" t="str">
        <f t="shared" si="154"/>
        <v/>
      </c>
      <c r="KI215" s="52" t="str">
        <f t="shared" si="155"/>
        <v/>
      </c>
      <c r="KJ215" s="32">
        <f t="shared" si="156"/>
        <v>0</v>
      </c>
      <c r="KK215" s="32">
        <f t="shared" si="157"/>
        <v>0</v>
      </c>
      <c r="KL215" s="34" t="str">
        <f t="shared" si="158"/>
        <v/>
      </c>
      <c r="KM215" s="52">
        <f t="shared" si="159"/>
        <v>1</v>
      </c>
      <c r="KN215" s="29">
        <f t="shared" si="160"/>
        <v>1223.28</v>
      </c>
      <c r="KO215" s="29">
        <f t="shared" si="161"/>
        <v>5627.16</v>
      </c>
      <c r="KP215" s="34">
        <f t="shared" si="162"/>
        <v>4.6000588581518542</v>
      </c>
      <c r="KQ215" s="28" t="str">
        <f t="shared" si="163"/>
        <v>4. Transformative</v>
      </c>
      <c r="KR215" s="28" t="str">
        <f t="shared" si="164"/>
        <v>2. Accommodating</v>
      </c>
      <c r="KS215" s="28" t="str">
        <f t="shared" si="165"/>
        <v>4. Transformative</v>
      </c>
      <c r="KT215" s="28" t="str">
        <f t="shared" si="166"/>
        <v>It tested new ways for fighting poverty and measured results of innovation</v>
      </c>
      <c r="KU215" s="28" t="str">
        <f t="shared" si="167"/>
        <v>Little or no advocacy</v>
      </c>
      <c r="KV215" s="28" t="str">
        <f t="shared" si="168"/>
        <v>It linked and worked with strategic alliances and partners to take tested and effective solutions to scale</v>
      </c>
      <c r="KW215" s="11" t="str">
        <f t="shared" si="169"/>
        <v>Ethiopia - Graduation with Resilience to Achieve Sustanable Development (GRAD)</v>
      </c>
      <c r="KX215" s="11" t="str">
        <f t="shared" si="170"/>
        <v>Graduation with Resilience to Achieve Sustanable Development (GRAD)</v>
      </c>
      <c r="KY215" s="11" t="str">
        <f t="shared" si="171"/>
        <v>Ethiopia</v>
      </c>
      <c r="KZ215" s="12">
        <v>215</v>
      </c>
    </row>
    <row r="216" spans="1:312" x14ac:dyDescent="0.3">
      <c r="A216" s="11" t="s">
        <v>3868</v>
      </c>
      <c r="B216" s="11" t="s">
        <v>1874</v>
      </c>
      <c r="D216" s="11" t="s">
        <v>3917</v>
      </c>
      <c r="E216" s="24" t="str">
        <f t="shared" si="129"/>
        <v>Ethiopia</v>
      </c>
      <c r="G216" s="11" t="s">
        <v>376</v>
      </c>
      <c r="H216" s="11" t="s">
        <v>310</v>
      </c>
      <c r="I216" s="11" t="s">
        <v>377</v>
      </c>
      <c r="J216" s="278" t="s">
        <v>14564</v>
      </c>
      <c r="BD216" s="23">
        <v>42461</v>
      </c>
      <c r="BE216" s="23">
        <v>43891</v>
      </c>
      <c r="BG216" s="11" t="s">
        <v>749</v>
      </c>
      <c r="BH216" s="22">
        <v>27216000</v>
      </c>
      <c r="BI216" s="11" t="s">
        <v>3918</v>
      </c>
      <c r="BJ216" s="11" t="s">
        <v>1309</v>
      </c>
      <c r="BK216" s="11" t="s">
        <v>3919</v>
      </c>
      <c r="BL216" s="11" t="s">
        <v>3920</v>
      </c>
      <c r="BM216" s="11" t="s">
        <v>3921</v>
      </c>
      <c r="BN216" s="11" t="s">
        <v>3922</v>
      </c>
      <c r="BO216" s="11" t="s">
        <v>319</v>
      </c>
      <c r="BP216" s="11" t="s">
        <v>320</v>
      </c>
      <c r="BQ216" s="11" t="s">
        <v>319</v>
      </c>
      <c r="BR216" s="11" t="s">
        <v>3923</v>
      </c>
      <c r="BS216" s="11" t="s">
        <v>357</v>
      </c>
      <c r="BT216" s="11" t="s">
        <v>3924</v>
      </c>
      <c r="BU216" s="11" t="s">
        <v>3925</v>
      </c>
      <c r="BV216" s="22">
        <v>94765</v>
      </c>
      <c r="BW216" s="22">
        <v>93865</v>
      </c>
      <c r="BX216" s="22">
        <v>188630</v>
      </c>
      <c r="BY216" s="22">
        <v>422440</v>
      </c>
      <c r="BZ216" s="22">
        <v>402778</v>
      </c>
      <c r="CA216" s="22">
        <v>825218</v>
      </c>
      <c r="CB216" s="15" t="s">
        <v>3926</v>
      </c>
      <c r="CL216" s="18"/>
      <c r="CP216" s="18"/>
      <c r="CT216" s="18"/>
      <c r="CX216" s="18"/>
      <c r="DB216" s="18"/>
      <c r="DF216" s="18"/>
      <c r="DJ216" s="18"/>
      <c r="DN216" s="18"/>
      <c r="DR216" s="18"/>
      <c r="DV216" s="18"/>
      <c r="DZ216" s="18"/>
      <c r="ED216" s="18"/>
      <c r="EI216" s="18"/>
      <c r="EK216" s="22">
        <v>79265</v>
      </c>
      <c r="EL216" s="22">
        <v>70382</v>
      </c>
      <c r="EM216" s="22">
        <v>149647</v>
      </c>
      <c r="EN216" s="22">
        <v>217186</v>
      </c>
      <c r="EO216" s="22">
        <v>182289</v>
      </c>
      <c r="EP216" s="22">
        <v>399475</v>
      </c>
      <c r="ES216" s="18"/>
      <c r="EW216" s="18"/>
      <c r="FA216" s="18"/>
      <c r="FE216" s="18"/>
      <c r="FI216" s="18"/>
      <c r="FM216" s="18"/>
      <c r="FO216" s="12" t="s">
        <v>320</v>
      </c>
      <c r="FP216" s="22">
        <v>149674</v>
      </c>
      <c r="FQ216" s="18">
        <v>0.52900000000000003</v>
      </c>
      <c r="FR216" s="22">
        <v>399475</v>
      </c>
      <c r="FU216" s="18"/>
      <c r="FY216" s="18"/>
      <c r="GC216" s="18"/>
      <c r="GG216" s="18"/>
      <c r="GK216" s="18"/>
      <c r="GO216" s="18"/>
      <c r="GS216" s="18"/>
      <c r="GW216" s="18"/>
      <c r="HA216" s="18"/>
      <c r="HF216" s="18"/>
      <c r="HH216" s="11" t="s">
        <v>320</v>
      </c>
      <c r="HI216" s="11" t="s">
        <v>361</v>
      </c>
      <c r="HJ216" s="11">
        <v>2016</v>
      </c>
      <c r="HK216" s="11" t="s">
        <v>320</v>
      </c>
      <c r="HL216" s="11" t="s">
        <v>319</v>
      </c>
      <c r="HP216" s="11" t="s">
        <v>418</v>
      </c>
      <c r="HS216" s="11" t="s">
        <v>320</v>
      </c>
      <c r="HT216" s="11" t="s">
        <v>320</v>
      </c>
      <c r="HU216" s="11" t="s">
        <v>320</v>
      </c>
      <c r="HV216" s="11" t="s">
        <v>320</v>
      </c>
      <c r="HZ216" s="11" t="s">
        <v>363</v>
      </c>
      <c r="IB216" s="11" t="s">
        <v>396</v>
      </c>
      <c r="ID216" s="11" t="s">
        <v>364</v>
      </c>
      <c r="IE216" s="11" t="s">
        <v>335</v>
      </c>
      <c r="IF216" s="11" t="s">
        <v>320</v>
      </c>
      <c r="IG216" s="11" t="s">
        <v>320</v>
      </c>
      <c r="IH216" s="11" t="s">
        <v>320</v>
      </c>
      <c r="II216" s="11" t="s">
        <v>320</v>
      </c>
      <c r="IJ216" s="12" t="str">
        <f t="shared" si="130"/>
        <v>2. Sensitive</v>
      </c>
      <c r="IK216" s="12">
        <f t="shared" si="131"/>
        <v>4</v>
      </c>
      <c r="IL216" s="11" t="s">
        <v>336</v>
      </c>
      <c r="IM216" s="11" t="s">
        <v>320</v>
      </c>
      <c r="IN216" s="11" t="s">
        <v>320</v>
      </c>
      <c r="IO216" s="11" t="s">
        <v>320</v>
      </c>
      <c r="IP216" s="11" t="s">
        <v>320</v>
      </c>
      <c r="IQ216" s="12" t="str">
        <f t="shared" si="132"/>
        <v>2. Accommodating</v>
      </c>
      <c r="IR216" s="12">
        <f t="shared" si="133"/>
        <v>4</v>
      </c>
      <c r="IS216" s="11" t="s">
        <v>337</v>
      </c>
      <c r="IT216" s="11" t="s">
        <v>320</v>
      </c>
      <c r="IU216" s="11" t="s">
        <v>320</v>
      </c>
      <c r="IV216" s="11" t="s">
        <v>320</v>
      </c>
      <c r="IW216" s="11" t="str">
        <f t="shared" si="134"/>
        <v>2. Sensitive</v>
      </c>
      <c r="IX216" s="12">
        <f t="shared" si="135"/>
        <v>3</v>
      </c>
      <c r="IY216" s="11" t="s">
        <v>338</v>
      </c>
      <c r="IZ216" s="11" t="s">
        <v>527</v>
      </c>
      <c r="JA216" s="11">
        <v>1</v>
      </c>
      <c r="JB216" s="11" t="s">
        <v>623</v>
      </c>
      <c r="JC216" s="11" t="s">
        <v>687</v>
      </c>
      <c r="JD216" s="11" t="s">
        <v>585</v>
      </c>
      <c r="JE216" s="11" t="s">
        <v>365</v>
      </c>
      <c r="JG216" s="11" t="s">
        <v>3927</v>
      </c>
      <c r="JH216" s="11" t="s">
        <v>3928</v>
      </c>
      <c r="JI216" s="11" t="s">
        <v>3929</v>
      </c>
      <c r="JJ216" s="11" t="s">
        <v>3930</v>
      </c>
      <c r="JK216" s="11" t="s">
        <v>3931</v>
      </c>
      <c r="JL216" s="11" t="s">
        <v>3932</v>
      </c>
      <c r="JM216" s="11" t="s">
        <v>3933</v>
      </c>
      <c r="JN216" s="11" t="s">
        <v>3934</v>
      </c>
      <c r="JO216" s="11" t="s">
        <v>3935</v>
      </c>
      <c r="JP216" s="15">
        <f t="shared" si="136"/>
        <v>149647</v>
      </c>
      <c r="JQ216" s="15">
        <f t="shared" si="137"/>
        <v>399475</v>
      </c>
      <c r="JR216" s="279">
        <f t="shared" si="138"/>
        <v>2.6694487694374094</v>
      </c>
      <c r="JS216" s="17">
        <f t="shared" si="139"/>
        <v>0.52967984657226674</v>
      </c>
      <c r="JT216" s="18">
        <f t="shared" si="140"/>
        <v>0.54367857813380061</v>
      </c>
      <c r="JU216" s="280">
        <f t="shared" si="141"/>
        <v>79265</v>
      </c>
      <c r="JV216" s="280">
        <f t="shared" si="142"/>
        <v>217186</v>
      </c>
      <c r="JW216" s="319" t="str">
        <f t="shared" si="143"/>
        <v/>
      </c>
      <c r="JX216" s="15">
        <f t="shared" si="144"/>
        <v>0</v>
      </c>
      <c r="JY216" s="15">
        <f t="shared" si="145"/>
        <v>0</v>
      </c>
      <c r="JZ216" s="19" t="str">
        <f t="shared" si="146"/>
        <v/>
      </c>
      <c r="KA216" s="52">
        <f t="shared" si="147"/>
        <v>1</v>
      </c>
      <c r="KB216" s="15">
        <f t="shared" si="148"/>
        <v>149674</v>
      </c>
      <c r="KC216" s="15">
        <f t="shared" si="149"/>
        <v>399475</v>
      </c>
      <c r="KD216" s="20">
        <f t="shared" si="150"/>
        <v>2.6689672220960219</v>
      </c>
      <c r="KE216" s="52" t="str">
        <f t="shared" si="151"/>
        <v/>
      </c>
      <c r="KF216" s="15">
        <f t="shared" si="152"/>
        <v>0</v>
      </c>
      <c r="KG216" s="15">
        <f t="shared" si="153"/>
        <v>0</v>
      </c>
      <c r="KH216" s="21" t="str">
        <f t="shared" si="154"/>
        <v/>
      </c>
      <c r="KI216" s="52" t="str">
        <f t="shared" si="155"/>
        <v/>
      </c>
      <c r="KJ216" s="15">
        <f t="shared" si="156"/>
        <v>0</v>
      </c>
      <c r="KK216" s="15">
        <f t="shared" si="157"/>
        <v>0</v>
      </c>
      <c r="KL216" s="19" t="str">
        <f t="shared" si="158"/>
        <v/>
      </c>
      <c r="KM216" s="52" t="str">
        <f t="shared" si="159"/>
        <v/>
      </c>
      <c r="KN216" s="22">
        <f t="shared" si="160"/>
        <v>0</v>
      </c>
      <c r="KO216" s="22">
        <f t="shared" si="161"/>
        <v>0</v>
      </c>
      <c r="KP216" s="19" t="str">
        <f t="shared" si="162"/>
        <v/>
      </c>
      <c r="KQ216" s="11" t="str">
        <f t="shared" si="163"/>
        <v>2. Sensitive</v>
      </c>
      <c r="KR216" s="11" t="str">
        <f t="shared" si="164"/>
        <v>2. Accommodating</v>
      </c>
      <c r="KS216" s="11" t="str">
        <f t="shared" si="165"/>
        <v>2. Sensitive</v>
      </c>
      <c r="KT216" s="11" t="str">
        <f t="shared" si="166"/>
        <v>It did not develop any specific innovation</v>
      </c>
      <c r="KU216" s="11" t="str">
        <f t="shared" si="167"/>
        <v>Little or no advocacy</v>
      </c>
      <c r="KV216" s="11" t="str">
        <f t="shared" si="168"/>
        <v>It linked and worked with strategic alliances and partners to take tested and effective solutions to scale</v>
      </c>
      <c r="KW216" s="11" t="str">
        <f t="shared" si="169"/>
        <v>Ethiopia - Growing Nutrition for Mothers and Children (GROW)</v>
      </c>
      <c r="KX216" s="11" t="str">
        <f t="shared" si="170"/>
        <v>Growing Nutrition for Mothers and Children (GROW)</v>
      </c>
      <c r="KY216" s="11" t="str">
        <f t="shared" si="171"/>
        <v>Ethiopia</v>
      </c>
      <c r="KZ216" s="12">
        <v>216</v>
      </c>
    </row>
    <row r="217" spans="1:312" x14ac:dyDescent="0.3">
      <c r="A217" s="11" t="s">
        <v>3868</v>
      </c>
      <c r="B217" s="11" t="s">
        <v>1874</v>
      </c>
      <c r="D217" s="11" t="s">
        <v>4006</v>
      </c>
      <c r="E217" s="24" t="str">
        <f t="shared" si="129"/>
        <v>Ethiopia</v>
      </c>
      <c r="F217" s="11" t="s">
        <v>4007</v>
      </c>
      <c r="G217" s="11" t="s">
        <v>488</v>
      </c>
      <c r="H217" s="11" t="s">
        <v>310</v>
      </c>
      <c r="I217" s="11" t="s">
        <v>506</v>
      </c>
      <c r="J217" s="278" t="s">
        <v>9230</v>
      </c>
      <c r="K217" s="11" t="s">
        <v>4008</v>
      </c>
      <c r="L217" s="11" t="s">
        <v>488</v>
      </c>
      <c r="M217" s="11" t="s">
        <v>383</v>
      </c>
      <c r="O217" s="11" t="s">
        <v>4009</v>
      </c>
      <c r="BD217" s="23">
        <v>42644</v>
      </c>
      <c r="BE217" s="23">
        <v>43373</v>
      </c>
      <c r="BG217" s="11" t="s">
        <v>312</v>
      </c>
      <c r="BH217" s="22">
        <v>641090</v>
      </c>
      <c r="BI217" s="11" t="s">
        <v>4010</v>
      </c>
      <c r="BJ217" s="11" t="s">
        <v>4011</v>
      </c>
      <c r="BK217" s="11" t="s">
        <v>4012</v>
      </c>
      <c r="BL217" s="11" t="s">
        <v>4013</v>
      </c>
      <c r="BM217" s="11" t="s">
        <v>444</v>
      </c>
      <c r="BN217" s="11" t="s">
        <v>4014</v>
      </c>
      <c r="BO217" s="12" t="s">
        <v>319</v>
      </c>
      <c r="BP217" s="12" t="s">
        <v>320</v>
      </c>
      <c r="BQ217" s="12" t="s">
        <v>319</v>
      </c>
      <c r="BR217" s="11" t="s">
        <v>4015</v>
      </c>
      <c r="BS217" s="11" t="s">
        <v>357</v>
      </c>
      <c r="BT217" s="11" t="s">
        <v>4016</v>
      </c>
      <c r="BU217" s="11" t="s">
        <v>4017</v>
      </c>
      <c r="BV217" s="22">
        <v>8952</v>
      </c>
      <c r="BW217" s="22">
        <v>8848</v>
      </c>
      <c r="BX217" s="22">
        <v>17800</v>
      </c>
      <c r="BY217" s="22">
        <v>20910</v>
      </c>
      <c r="BZ217" s="22">
        <v>20090</v>
      </c>
      <c r="CA217" s="22">
        <v>41000</v>
      </c>
      <c r="CB217" s="15" t="s">
        <v>4018</v>
      </c>
      <c r="CL217" s="18"/>
      <c r="CP217" s="18"/>
      <c r="CT217" s="18"/>
      <c r="CX217" s="18"/>
      <c r="DB217" s="18"/>
      <c r="DF217" s="18"/>
      <c r="DJ217" s="18"/>
      <c r="DN217" s="18"/>
      <c r="DR217" s="18"/>
      <c r="DV217" s="18"/>
      <c r="DZ217" s="18"/>
      <c r="ED217" s="18"/>
      <c r="EI217" s="18"/>
      <c r="EK217" s="22">
        <v>93</v>
      </c>
      <c r="EL217" s="22">
        <v>67</v>
      </c>
      <c r="EM217" s="22">
        <v>160</v>
      </c>
      <c r="EN217" s="22">
        <v>1017</v>
      </c>
      <c r="EO217" s="22">
        <v>873</v>
      </c>
      <c r="EP217" s="22">
        <v>1890</v>
      </c>
      <c r="ES217" s="18"/>
      <c r="EW217" s="18"/>
      <c r="FA217" s="18"/>
      <c r="FE217" s="18"/>
      <c r="FI217" s="18"/>
      <c r="FM217" s="18"/>
      <c r="FQ217" s="18"/>
      <c r="FU217" s="18"/>
      <c r="FY217" s="18"/>
      <c r="GC217" s="18"/>
      <c r="GE217" s="11" t="s">
        <v>320</v>
      </c>
      <c r="GG217" s="18"/>
      <c r="GI217" s="11" t="s">
        <v>320</v>
      </c>
      <c r="GK217" s="18"/>
      <c r="GO217" s="18"/>
      <c r="GS217" s="18"/>
      <c r="GU217" s="12" t="s">
        <v>320</v>
      </c>
      <c r="GV217" s="22">
        <v>160</v>
      </c>
      <c r="GW217" s="18">
        <v>0.57999999999999996</v>
      </c>
      <c r="GX217" s="22">
        <v>1890</v>
      </c>
      <c r="HA217" s="18"/>
      <c r="HF217" s="18"/>
      <c r="HH217" s="11" t="s">
        <v>320</v>
      </c>
      <c r="HI217" s="11" t="s">
        <v>431</v>
      </c>
      <c r="HJ217" s="11">
        <v>2017</v>
      </c>
      <c r="HK217" s="11" t="s">
        <v>320</v>
      </c>
      <c r="HL217" s="11" t="s">
        <v>320</v>
      </c>
      <c r="HM217" s="11" t="s">
        <v>522</v>
      </c>
      <c r="HN217" s="11">
        <v>2018</v>
      </c>
      <c r="HO217" s="11" t="s">
        <v>4019</v>
      </c>
      <c r="HP217" s="11" t="s">
        <v>418</v>
      </c>
      <c r="HQ217" s="11" t="s">
        <v>320</v>
      </c>
      <c r="HR217" s="11" t="s">
        <v>320</v>
      </c>
      <c r="HS217" s="11" t="s">
        <v>320</v>
      </c>
      <c r="HT217" s="11" t="s">
        <v>320</v>
      </c>
      <c r="HU217" s="11" t="s">
        <v>320</v>
      </c>
      <c r="HV217" s="11" t="s">
        <v>319</v>
      </c>
      <c r="HW217" s="11" t="s">
        <v>319</v>
      </c>
      <c r="HZ217" s="11" t="s">
        <v>331</v>
      </c>
      <c r="IA217" s="11" t="s">
        <v>4020</v>
      </c>
      <c r="IB217" s="11" t="s">
        <v>396</v>
      </c>
      <c r="IC217" s="11" t="s">
        <v>4021</v>
      </c>
      <c r="ID217" s="11" t="s">
        <v>334</v>
      </c>
      <c r="IE217" s="11" t="s">
        <v>335</v>
      </c>
      <c r="IF217" s="11" t="s">
        <v>320</v>
      </c>
      <c r="IG217" s="11" t="s">
        <v>320</v>
      </c>
      <c r="IH217" s="11" t="s">
        <v>320</v>
      </c>
      <c r="II217" s="11" t="s">
        <v>320</v>
      </c>
      <c r="IJ217" s="12" t="str">
        <f t="shared" si="130"/>
        <v>2. Sensitive</v>
      </c>
      <c r="IK217" s="12">
        <f t="shared" si="131"/>
        <v>4</v>
      </c>
      <c r="IL217" s="11" t="s">
        <v>336</v>
      </c>
      <c r="IM217" s="11" t="s">
        <v>320</v>
      </c>
      <c r="IN217" s="11" t="s">
        <v>320</v>
      </c>
      <c r="IO217" s="11" t="s">
        <v>320</v>
      </c>
      <c r="IP217" s="11" t="s">
        <v>320</v>
      </c>
      <c r="IQ217" s="12" t="str">
        <f t="shared" si="132"/>
        <v>2. Accommodating</v>
      </c>
      <c r="IR217" s="12">
        <f t="shared" si="133"/>
        <v>4</v>
      </c>
      <c r="IS217" s="11" t="s">
        <v>337</v>
      </c>
      <c r="IT217" s="11" t="s">
        <v>320</v>
      </c>
      <c r="IU217" s="11" t="s">
        <v>320</v>
      </c>
      <c r="IV217" s="11" t="s">
        <v>320</v>
      </c>
      <c r="IW217" s="11" t="str">
        <f t="shared" si="134"/>
        <v>2. Sensitive</v>
      </c>
      <c r="IX217" s="12">
        <f t="shared" si="135"/>
        <v>3</v>
      </c>
      <c r="IY217" s="11" t="s">
        <v>419</v>
      </c>
      <c r="IZ217" s="11" t="s">
        <v>432</v>
      </c>
      <c r="JA217" s="11">
        <v>2</v>
      </c>
      <c r="JB217" s="11" t="s">
        <v>687</v>
      </c>
      <c r="JC217" s="11" t="s">
        <v>724</v>
      </c>
      <c r="JD217" s="11" t="s">
        <v>624</v>
      </c>
      <c r="JE217" s="11" t="s">
        <v>420</v>
      </c>
      <c r="JG217" s="11" t="s">
        <v>4022</v>
      </c>
      <c r="JH217" s="11" t="s">
        <v>4023</v>
      </c>
      <c r="JI217" s="11" t="s">
        <v>4024</v>
      </c>
      <c r="JJ217" s="11" t="s">
        <v>4025</v>
      </c>
      <c r="JK217" s="11" t="s">
        <v>4026</v>
      </c>
      <c r="JL217" s="11" t="s">
        <v>4027</v>
      </c>
      <c r="JM217" s="11" t="s">
        <v>4028</v>
      </c>
      <c r="JN217" s="11" t="s">
        <v>4029</v>
      </c>
      <c r="JO217" s="11" t="s">
        <v>4030</v>
      </c>
      <c r="JP217" s="15">
        <f t="shared" si="136"/>
        <v>160</v>
      </c>
      <c r="JQ217" s="15">
        <f t="shared" si="137"/>
        <v>1890</v>
      </c>
      <c r="JR217" s="279">
        <f t="shared" si="138"/>
        <v>11.8125</v>
      </c>
      <c r="JS217" s="17">
        <f t="shared" si="139"/>
        <v>0.58125000000000004</v>
      </c>
      <c r="JT217" s="18">
        <f t="shared" si="140"/>
        <v>0.53809523809523807</v>
      </c>
      <c r="JU217" s="280">
        <f t="shared" si="141"/>
        <v>93</v>
      </c>
      <c r="JV217" s="280">
        <f t="shared" si="142"/>
        <v>1017</v>
      </c>
      <c r="JW217" s="319" t="str">
        <f t="shared" si="143"/>
        <v/>
      </c>
      <c r="JX217" s="15">
        <f t="shared" si="144"/>
        <v>0</v>
      </c>
      <c r="JY217" s="15">
        <f t="shared" si="145"/>
        <v>0</v>
      </c>
      <c r="JZ217" s="19" t="str">
        <f t="shared" si="146"/>
        <v/>
      </c>
      <c r="KA217" s="52">
        <f t="shared" si="147"/>
        <v>1</v>
      </c>
      <c r="KB217" s="15">
        <f t="shared" si="148"/>
        <v>160</v>
      </c>
      <c r="KC217" s="15">
        <f t="shared" si="149"/>
        <v>1890</v>
      </c>
      <c r="KD217" s="20">
        <f t="shared" si="150"/>
        <v>11.8125</v>
      </c>
      <c r="KE217" s="52" t="str">
        <f t="shared" si="151"/>
        <v/>
      </c>
      <c r="KF217" s="15">
        <f t="shared" si="152"/>
        <v>0</v>
      </c>
      <c r="KG217" s="15">
        <f t="shared" si="153"/>
        <v>0</v>
      </c>
      <c r="KH217" s="21" t="str">
        <f t="shared" si="154"/>
        <v/>
      </c>
      <c r="KI217" s="52" t="str">
        <f t="shared" si="155"/>
        <v/>
      </c>
      <c r="KJ217" s="15">
        <f t="shared" si="156"/>
        <v>0</v>
      </c>
      <c r="KK217" s="15">
        <f t="shared" si="157"/>
        <v>0</v>
      </c>
      <c r="KL217" s="19" t="str">
        <f t="shared" si="158"/>
        <v/>
      </c>
      <c r="KM217" s="52" t="str">
        <f t="shared" si="159"/>
        <v/>
      </c>
      <c r="KN217" s="22">
        <f t="shared" si="160"/>
        <v>0</v>
      </c>
      <c r="KO217" s="22">
        <f t="shared" si="161"/>
        <v>0</v>
      </c>
      <c r="KP217" s="19" t="str">
        <f t="shared" si="162"/>
        <v/>
      </c>
      <c r="KQ217" s="11" t="str">
        <f t="shared" si="163"/>
        <v>2. Sensitive</v>
      </c>
      <c r="KR217" s="11" t="str">
        <f t="shared" si="164"/>
        <v>2. Accommodating</v>
      </c>
      <c r="KS217" s="11" t="str">
        <f t="shared" si="165"/>
        <v>2. Sensitive</v>
      </c>
      <c r="KT217" s="11" t="str">
        <f t="shared" si="166"/>
        <v>It tested new ways for fighting poverty and measured results of innovation</v>
      </c>
      <c r="KU217" s="11" t="str">
        <f t="shared" si="167"/>
        <v>Little or no advocacy</v>
      </c>
      <c r="KV217" s="11" t="str">
        <f t="shared" si="168"/>
        <v>It linked and worked with strategic alliances and partners to take tested and effective solutions to scale</v>
      </c>
      <c r="KW217" s="11" t="str">
        <f t="shared" si="169"/>
        <v>Ethiopia - Improved and Sustainable Water, Sanitation and Hygiene Plus Services within a Women and Girls’ Empowerment Programme in the Pastoral Lowlands of Dalifagie Woreda of Afar Region</v>
      </c>
      <c r="KX217" s="11" t="str">
        <f t="shared" si="170"/>
        <v>Improved and Sustainable Water, Sanitation and Hygiene Plus Services within a Women and Girls’ Empowerment Programme in the Pastoral Lowlands of Dalifagie Woreda of Afar Region</v>
      </c>
      <c r="KY217" s="11" t="str">
        <f t="shared" si="171"/>
        <v>Ethiopia</v>
      </c>
      <c r="KZ217" s="12">
        <v>217</v>
      </c>
    </row>
    <row r="218" spans="1:312" x14ac:dyDescent="0.3">
      <c r="A218" s="11" t="s">
        <v>3868</v>
      </c>
      <c r="B218" s="11" t="s">
        <v>1874</v>
      </c>
      <c r="D218" s="11" t="s">
        <v>4096</v>
      </c>
      <c r="E218" s="24" t="str">
        <f t="shared" si="129"/>
        <v>Ethiopia</v>
      </c>
      <c r="F218" s="11" t="s">
        <v>4097</v>
      </c>
      <c r="G218" s="11" t="s">
        <v>379</v>
      </c>
      <c r="H218" s="11" t="s">
        <v>383</v>
      </c>
      <c r="I218" s="11" t="s">
        <v>1102</v>
      </c>
      <c r="J218" s="278" t="s">
        <v>1102</v>
      </c>
      <c r="BD218" s="23">
        <v>42278</v>
      </c>
      <c r="BE218" s="23">
        <v>44043</v>
      </c>
      <c r="BG218" s="11" t="s">
        <v>490</v>
      </c>
      <c r="BH218" s="22">
        <v>3919781</v>
      </c>
      <c r="BI218" s="11" t="s">
        <v>4033</v>
      </c>
      <c r="BJ218" s="11" t="s">
        <v>4034</v>
      </c>
      <c r="BK218" s="11" t="s">
        <v>4035</v>
      </c>
      <c r="BL218" s="11" t="s">
        <v>4098</v>
      </c>
      <c r="BM218" s="11" t="s">
        <v>354</v>
      </c>
      <c r="BN218" s="11" t="s">
        <v>4099</v>
      </c>
      <c r="BO218" s="12" t="s">
        <v>319</v>
      </c>
      <c r="BP218" s="12" t="s">
        <v>320</v>
      </c>
      <c r="BQ218" s="12" t="s">
        <v>319</v>
      </c>
      <c r="BR218" s="11" t="s">
        <v>4100</v>
      </c>
      <c r="BS218" s="11" t="s">
        <v>357</v>
      </c>
      <c r="BT218" s="11" t="s">
        <v>4101</v>
      </c>
      <c r="BU218" s="11" t="s">
        <v>4102</v>
      </c>
      <c r="BV218" s="22">
        <v>26533</v>
      </c>
      <c r="BW218" s="22">
        <v>0</v>
      </c>
      <c r="BX218" s="22">
        <v>26533</v>
      </c>
      <c r="BY218" s="22">
        <v>67120</v>
      </c>
      <c r="BZ218" s="22">
        <v>55000</v>
      </c>
      <c r="CA218" s="22">
        <v>122120</v>
      </c>
      <c r="CB218" s="15" t="s">
        <v>4103</v>
      </c>
      <c r="CL218" s="18"/>
      <c r="CP218" s="18"/>
      <c r="CT218" s="18"/>
      <c r="CX218" s="18"/>
      <c r="DB218" s="18"/>
      <c r="DF218" s="18"/>
      <c r="DJ218" s="18"/>
      <c r="DN218" s="18"/>
      <c r="DR218" s="18"/>
      <c r="DV218" s="18"/>
      <c r="DZ218" s="18"/>
      <c r="ED218" s="18"/>
      <c r="EI218" s="18"/>
      <c r="EK218" s="22">
        <v>26533</v>
      </c>
      <c r="EL218" s="22">
        <v>0</v>
      </c>
      <c r="EM218" s="22">
        <v>26533</v>
      </c>
      <c r="EN218" s="22">
        <v>6300</v>
      </c>
      <c r="EO218" s="22">
        <v>6700</v>
      </c>
      <c r="EP218" s="22">
        <v>13000</v>
      </c>
      <c r="EQ218" s="12" t="s">
        <v>319</v>
      </c>
      <c r="ES218" s="18"/>
      <c r="EU218" s="11" t="s">
        <v>319</v>
      </c>
      <c r="EW218" s="18"/>
      <c r="EY218" s="12" t="s">
        <v>319</v>
      </c>
      <c r="FA218" s="18"/>
      <c r="FC218" s="12" t="s">
        <v>319</v>
      </c>
      <c r="FE218" s="18"/>
      <c r="FG218" s="12" t="s">
        <v>319</v>
      </c>
      <c r="FI218" s="18"/>
      <c r="FK218" s="12" t="s">
        <v>320</v>
      </c>
      <c r="FL218" s="22">
        <v>21226</v>
      </c>
      <c r="FM218" s="18">
        <v>1</v>
      </c>
      <c r="FO218" s="11" t="s">
        <v>319</v>
      </c>
      <c r="FQ218" s="18"/>
      <c r="FS218" s="12" t="s">
        <v>320</v>
      </c>
      <c r="FT218" s="22">
        <v>26533</v>
      </c>
      <c r="FU218" s="18">
        <v>1</v>
      </c>
      <c r="FW218" s="11" t="s">
        <v>320</v>
      </c>
      <c r="FX218" s="22">
        <v>41533</v>
      </c>
      <c r="FY218" s="18">
        <v>0.83</v>
      </c>
      <c r="GA218" s="11" t="s">
        <v>320</v>
      </c>
      <c r="GB218" s="22">
        <v>26533</v>
      </c>
      <c r="GC218" s="18">
        <v>1</v>
      </c>
      <c r="GE218" s="11" t="s">
        <v>319</v>
      </c>
      <c r="GG218" s="18"/>
      <c r="GI218" s="11" t="s">
        <v>319</v>
      </c>
      <c r="GK218" s="18"/>
      <c r="GM218" s="11" t="s">
        <v>320</v>
      </c>
      <c r="GO218" s="18"/>
      <c r="GQ218" s="11" t="s">
        <v>320</v>
      </c>
      <c r="GS218" s="18"/>
      <c r="GU218" s="11" t="s">
        <v>319</v>
      </c>
      <c r="GW218" s="18"/>
      <c r="GY218" s="11" t="s">
        <v>320</v>
      </c>
      <c r="GZ218" s="22">
        <v>21252</v>
      </c>
      <c r="HA218" s="18">
        <v>1</v>
      </c>
      <c r="HC218" s="11" t="s">
        <v>4104</v>
      </c>
      <c r="HD218" s="11" t="s">
        <v>320</v>
      </c>
      <c r="HF218" s="18"/>
      <c r="HH218" s="11" t="s">
        <v>319</v>
      </c>
      <c r="HK218" s="11" t="s">
        <v>319</v>
      </c>
      <c r="HL218" s="11" t="s">
        <v>320</v>
      </c>
      <c r="HM218" s="11" t="s">
        <v>619</v>
      </c>
      <c r="HN218" s="11">
        <v>2017</v>
      </c>
      <c r="HO218" s="11" t="s">
        <v>4105</v>
      </c>
      <c r="HP218" s="11" t="s">
        <v>418</v>
      </c>
      <c r="HQ218" s="11" t="s">
        <v>319</v>
      </c>
      <c r="HR218" s="11" t="s">
        <v>319</v>
      </c>
      <c r="HS218" s="11" t="s">
        <v>320</v>
      </c>
      <c r="HT218" s="11" t="s">
        <v>319</v>
      </c>
      <c r="HU218" s="11" t="s">
        <v>320</v>
      </c>
      <c r="HV218" s="11" t="s">
        <v>319</v>
      </c>
      <c r="HW218" s="11" t="s">
        <v>319</v>
      </c>
      <c r="HX218" s="11" t="s">
        <v>319</v>
      </c>
      <c r="HZ218" s="11" t="s">
        <v>363</v>
      </c>
      <c r="IB218" s="11" t="s">
        <v>396</v>
      </c>
      <c r="IC218" s="11" t="s">
        <v>4106</v>
      </c>
      <c r="ID218" s="11" t="s">
        <v>477</v>
      </c>
      <c r="IE218" s="11" t="s">
        <v>478</v>
      </c>
      <c r="IF218" s="11" t="s">
        <v>320</v>
      </c>
      <c r="IG218" s="11" t="s">
        <v>320</v>
      </c>
      <c r="IH218" s="11" t="s">
        <v>320</v>
      </c>
      <c r="II218" s="11" t="s">
        <v>320</v>
      </c>
      <c r="IJ218" s="12" t="str">
        <f t="shared" si="130"/>
        <v>4. Transformative</v>
      </c>
      <c r="IK218" s="12">
        <f t="shared" si="131"/>
        <v>4</v>
      </c>
      <c r="IL218" s="11" t="s">
        <v>621</v>
      </c>
      <c r="IM218" s="11" t="s">
        <v>320</v>
      </c>
      <c r="IN218" s="11" t="s">
        <v>320</v>
      </c>
      <c r="IO218" s="11" t="s">
        <v>320</v>
      </c>
      <c r="IP218" s="11" t="s">
        <v>320</v>
      </c>
      <c r="IQ218" s="12" t="str">
        <f t="shared" si="132"/>
        <v>4. Transformational</v>
      </c>
      <c r="IR218" s="12">
        <f t="shared" si="133"/>
        <v>4</v>
      </c>
      <c r="IS218" s="11" t="s">
        <v>337</v>
      </c>
      <c r="IT218" s="11" t="s">
        <v>320</v>
      </c>
      <c r="IU218" s="11" t="s">
        <v>320</v>
      </c>
      <c r="IV218" s="11" t="s">
        <v>320</v>
      </c>
      <c r="IW218" s="11" t="str">
        <f t="shared" si="134"/>
        <v>2. Sensitive</v>
      </c>
      <c r="IX218" s="12">
        <f t="shared" si="135"/>
        <v>3</v>
      </c>
      <c r="IY218" s="11" t="s">
        <v>338</v>
      </c>
      <c r="IZ218" s="11" t="s">
        <v>457</v>
      </c>
      <c r="JA218" s="11">
        <v>4</v>
      </c>
      <c r="JB218" s="11" t="s">
        <v>687</v>
      </c>
      <c r="JC218" s="11" t="s">
        <v>585</v>
      </c>
      <c r="JD218" s="12" t="s">
        <v>651</v>
      </c>
      <c r="JE218" s="11" t="s">
        <v>420</v>
      </c>
      <c r="JG218" s="11" t="s">
        <v>4107</v>
      </c>
      <c r="JH218" s="11" t="s">
        <v>4108</v>
      </c>
      <c r="JI218" s="11" t="s">
        <v>4109</v>
      </c>
      <c r="JJ218" s="11" t="s">
        <v>4110</v>
      </c>
      <c r="JK218" s="11" t="s">
        <v>4111</v>
      </c>
      <c r="JL218" s="11" t="s">
        <v>4112</v>
      </c>
      <c r="JM218" s="11" t="s">
        <v>4113</v>
      </c>
      <c r="JP218" s="15">
        <f t="shared" si="136"/>
        <v>26533</v>
      </c>
      <c r="JQ218" s="15">
        <f t="shared" si="137"/>
        <v>13000</v>
      </c>
      <c r="JR218" s="279">
        <f t="shared" si="138"/>
        <v>0.4899559039686428</v>
      </c>
      <c r="JS218" s="17">
        <f t="shared" si="139"/>
        <v>1</v>
      </c>
      <c r="JT218" s="18">
        <f t="shared" si="140"/>
        <v>0.48461538461538461</v>
      </c>
      <c r="JU218" s="280">
        <f t="shared" si="141"/>
        <v>26533</v>
      </c>
      <c r="JV218" s="280">
        <f t="shared" si="142"/>
        <v>6300</v>
      </c>
      <c r="JW218" s="319" t="str">
        <f t="shared" si="143"/>
        <v/>
      </c>
      <c r="JX218" s="15">
        <f t="shared" si="144"/>
        <v>0</v>
      </c>
      <c r="JY218" s="15">
        <f t="shared" si="145"/>
        <v>0</v>
      </c>
      <c r="JZ218" s="19" t="str">
        <f t="shared" si="146"/>
        <v/>
      </c>
      <c r="KA218" s="52" t="str">
        <f t="shared" si="147"/>
        <v/>
      </c>
      <c r="KB218" s="15">
        <f t="shared" si="148"/>
        <v>0</v>
      </c>
      <c r="KC218" s="15">
        <f t="shared" si="149"/>
        <v>0</v>
      </c>
      <c r="KD218" s="20" t="str">
        <f t="shared" si="150"/>
        <v/>
      </c>
      <c r="KE218" s="52">
        <f t="shared" si="151"/>
        <v>1</v>
      </c>
      <c r="KF218" s="15">
        <f t="shared" si="152"/>
        <v>0</v>
      </c>
      <c r="KG218" s="15">
        <f t="shared" si="153"/>
        <v>0</v>
      </c>
      <c r="KH218" s="21" t="str">
        <f t="shared" si="154"/>
        <v/>
      </c>
      <c r="KI218" s="52">
        <f t="shared" si="155"/>
        <v>1</v>
      </c>
      <c r="KJ218" s="15">
        <f t="shared" si="156"/>
        <v>26533</v>
      </c>
      <c r="KK218" s="15">
        <f t="shared" si="157"/>
        <v>0</v>
      </c>
      <c r="KL218" s="19">
        <f t="shared" si="158"/>
        <v>0</v>
      </c>
      <c r="KM218" s="52">
        <f t="shared" si="159"/>
        <v>1</v>
      </c>
      <c r="KN218" s="22">
        <f t="shared" si="160"/>
        <v>21252</v>
      </c>
      <c r="KO218" s="22">
        <f t="shared" si="161"/>
        <v>0</v>
      </c>
      <c r="KP218" s="19">
        <f t="shared" si="162"/>
        <v>0</v>
      </c>
      <c r="KQ218" s="11" t="str">
        <f t="shared" si="163"/>
        <v>4. Transformative</v>
      </c>
      <c r="KR218" s="11" t="str">
        <f t="shared" si="164"/>
        <v>4. Transformational</v>
      </c>
      <c r="KS218" s="11" t="str">
        <f t="shared" si="165"/>
        <v>2. Sensitive</v>
      </c>
      <c r="KT218" s="11" t="str">
        <f t="shared" si="166"/>
        <v>It did not develop any specific innovation</v>
      </c>
      <c r="KU218" s="11" t="str">
        <f t="shared" si="167"/>
        <v>Little or no advocacy</v>
      </c>
      <c r="KV218" s="11" t="str">
        <f t="shared" si="168"/>
        <v>It linked and worked with strategic alliances and partners to take tested and effective solutions to scale</v>
      </c>
      <c r="KW218" s="11" t="str">
        <f t="shared" si="169"/>
        <v>Ethiopia - Improving Adolescent Reproductive Health and Nutrition in Ethiopia through Structural solutions /Abdiboru/ Research Project</v>
      </c>
      <c r="KX218" s="11" t="str">
        <f t="shared" si="170"/>
        <v>Improving Adolescent Reproductive Health and Nutrition in Ethiopia through Structural solutions /Abdiboru/ Research Project</v>
      </c>
      <c r="KY218" s="11" t="str">
        <f t="shared" si="171"/>
        <v>Ethiopia</v>
      </c>
      <c r="KZ218" s="12">
        <v>218</v>
      </c>
    </row>
    <row r="219" spans="1:312" x14ac:dyDescent="0.3">
      <c r="A219" s="11" t="s">
        <v>3868</v>
      </c>
      <c r="B219" s="11" t="s">
        <v>1874</v>
      </c>
      <c r="D219" s="11" t="s">
        <v>4245</v>
      </c>
      <c r="E219" s="24" t="str">
        <f t="shared" si="129"/>
        <v>Ethiopia</v>
      </c>
      <c r="F219" s="11" t="s">
        <v>4246</v>
      </c>
      <c r="G219" s="11" t="s">
        <v>608</v>
      </c>
      <c r="H219" s="11" t="s">
        <v>310</v>
      </c>
      <c r="I219" s="11" t="s">
        <v>655</v>
      </c>
      <c r="J219" s="278" t="s">
        <v>4991</v>
      </c>
      <c r="BD219" s="23">
        <v>41122</v>
      </c>
      <c r="BE219" s="23">
        <v>42216</v>
      </c>
      <c r="BF219" s="23">
        <v>43008</v>
      </c>
      <c r="BG219" s="11" t="s">
        <v>908</v>
      </c>
      <c r="BH219" s="22">
        <v>54926521</v>
      </c>
      <c r="BI219" s="11" t="s">
        <v>3887</v>
      </c>
      <c r="BJ219" s="11" t="s">
        <v>3888</v>
      </c>
      <c r="BK219" s="11" t="s">
        <v>3889</v>
      </c>
      <c r="BL219" s="11" t="s">
        <v>3988</v>
      </c>
      <c r="BM219" s="11" t="s">
        <v>3989</v>
      </c>
      <c r="BN219" s="11" t="s">
        <v>3990</v>
      </c>
      <c r="BO219" s="11" t="s">
        <v>320</v>
      </c>
      <c r="BP219" s="11" t="s">
        <v>319</v>
      </c>
      <c r="BQ219" s="11" t="s">
        <v>319</v>
      </c>
      <c r="BR219" s="11" t="s">
        <v>4247</v>
      </c>
      <c r="BS219" s="11" t="s">
        <v>357</v>
      </c>
      <c r="BT219" s="11" t="s">
        <v>4248</v>
      </c>
      <c r="BU219" s="11" t="s">
        <v>4249</v>
      </c>
      <c r="BV219" s="22">
        <v>357237</v>
      </c>
      <c r="BW219" s="22">
        <v>378886</v>
      </c>
      <c r="BX219" s="22">
        <v>736123</v>
      </c>
      <c r="CB219" s="15" t="s">
        <v>4250</v>
      </c>
      <c r="CD219" s="22">
        <v>357237</v>
      </c>
      <c r="CE219" s="22">
        <v>378886</v>
      </c>
      <c r="CF219" s="22">
        <v>736123</v>
      </c>
      <c r="CJ219" s="11" t="s">
        <v>319</v>
      </c>
      <c r="CL219" s="18"/>
      <c r="CN219" s="11" t="s">
        <v>319</v>
      </c>
      <c r="CP219" s="18"/>
      <c r="CR219" s="11" t="s">
        <v>319</v>
      </c>
      <c r="CT219" s="18"/>
      <c r="CV219" s="11" t="s">
        <v>320</v>
      </c>
      <c r="CW219" s="22">
        <v>736123</v>
      </c>
      <c r="CX219" s="18">
        <v>0.49</v>
      </c>
      <c r="CZ219" s="11" t="s">
        <v>319</v>
      </c>
      <c r="DB219" s="18"/>
      <c r="DD219" s="11" t="s">
        <v>319</v>
      </c>
      <c r="DF219" s="18"/>
      <c r="DH219" s="11" t="s">
        <v>319</v>
      </c>
      <c r="DJ219" s="18"/>
      <c r="DL219" s="11" t="s">
        <v>319</v>
      </c>
      <c r="DN219" s="18"/>
      <c r="DP219" s="11" t="s">
        <v>319</v>
      </c>
      <c r="DR219" s="18"/>
      <c r="DT219" s="11" t="s">
        <v>319</v>
      </c>
      <c r="DV219" s="18"/>
      <c r="DX219" s="11" t="s">
        <v>319</v>
      </c>
      <c r="DZ219" s="18"/>
      <c r="EB219" s="11" t="s">
        <v>319</v>
      </c>
      <c r="ED219" s="18"/>
      <c r="EG219" s="15" t="s">
        <v>319</v>
      </c>
      <c r="EI219" s="18"/>
      <c r="ES219" s="18"/>
      <c r="EW219" s="18"/>
      <c r="FA219" s="18"/>
      <c r="FE219" s="18"/>
      <c r="FI219" s="18"/>
      <c r="FM219" s="18"/>
      <c r="FQ219" s="18"/>
      <c r="FU219" s="18"/>
      <c r="FY219" s="18"/>
      <c r="GC219" s="18"/>
      <c r="GG219" s="18"/>
      <c r="GK219" s="18"/>
      <c r="GO219" s="18"/>
      <c r="GS219" s="18"/>
      <c r="GW219" s="18"/>
      <c r="HA219" s="18"/>
      <c r="HF219" s="18"/>
      <c r="HH219" s="11" t="s">
        <v>319</v>
      </c>
      <c r="HL219" s="11" t="s">
        <v>320</v>
      </c>
      <c r="HM219" s="11" t="s">
        <v>415</v>
      </c>
      <c r="HN219" s="11">
        <v>2017</v>
      </c>
      <c r="HO219" s="11" t="s">
        <v>4251</v>
      </c>
      <c r="HP219" s="11" t="s">
        <v>418</v>
      </c>
      <c r="HQ219" s="11" t="s">
        <v>319</v>
      </c>
      <c r="HT219" s="11" t="s">
        <v>319</v>
      </c>
      <c r="HW219" s="11" t="s">
        <v>319</v>
      </c>
      <c r="HZ219" s="11" t="s">
        <v>363</v>
      </c>
      <c r="IB219" s="11" t="s">
        <v>333</v>
      </c>
      <c r="ID219" s="11" t="s">
        <v>364</v>
      </c>
      <c r="IE219" s="11" t="s">
        <v>335</v>
      </c>
      <c r="IF219" s="11" t="s">
        <v>320</v>
      </c>
      <c r="IG219" s="11" t="s">
        <v>320</v>
      </c>
      <c r="IH219" s="11" t="s">
        <v>320</v>
      </c>
      <c r="II219" s="11" t="s">
        <v>320</v>
      </c>
      <c r="IJ219" s="12" t="str">
        <f t="shared" si="130"/>
        <v>2. Sensitive</v>
      </c>
      <c r="IK219" s="12">
        <f t="shared" si="131"/>
        <v>4</v>
      </c>
      <c r="IL219" s="11" t="s">
        <v>336</v>
      </c>
      <c r="IM219" s="11" t="s">
        <v>320</v>
      </c>
      <c r="IN219" s="11" t="s">
        <v>320</v>
      </c>
      <c r="IO219" s="11" t="s">
        <v>320</v>
      </c>
      <c r="IP219" s="11" t="s">
        <v>320</v>
      </c>
      <c r="IQ219" s="12" t="str">
        <f t="shared" si="132"/>
        <v>2. Accommodating</v>
      </c>
      <c r="IR219" s="12">
        <f t="shared" si="133"/>
        <v>4</v>
      </c>
      <c r="IS219" s="11" t="s">
        <v>337</v>
      </c>
      <c r="IT219" s="11" t="s">
        <v>320</v>
      </c>
      <c r="IU219" s="11" t="s">
        <v>320</v>
      </c>
      <c r="IV219" s="11" t="s">
        <v>320</v>
      </c>
      <c r="IW219" s="11" t="str">
        <f t="shared" si="134"/>
        <v>2. Sensitive</v>
      </c>
      <c r="IX219" s="12">
        <f t="shared" si="135"/>
        <v>3</v>
      </c>
      <c r="IY219" s="11" t="s">
        <v>419</v>
      </c>
      <c r="IZ219" s="11" t="s">
        <v>457</v>
      </c>
      <c r="JA219" s="11">
        <v>5</v>
      </c>
      <c r="JB219" s="11" t="s">
        <v>623</v>
      </c>
      <c r="JC219" s="11" t="s">
        <v>687</v>
      </c>
      <c r="JD219" s="11" t="s">
        <v>831</v>
      </c>
      <c r="JE219" s="11" t="s">
        <v>420</v>
      </c>
      <c r="JK219" s="11" t="s">
        <v>4252</v>
      </c>
      <c r="JL219" s="11" t="s">
        <v>4253</v>
      </c>
      <c r="JP219" s="15">
        <f t="shared" si="136"/>
        <v>736123</v>
      </c>
      <c r="JQ219" s="15">
        <f t="shared" si="137"/>
        <v>0</v>
      </c>
      <c r="JR219" s="279">
        <f t="shared" si="138"/>
        <v>0</v>
      </c>
      <c r="JS219" s="17">
        <f t="shared" si="139"/>
        <v>0.48529525636340665</v>
      </c>
      <c r="JT219" s="18" t="str">
        <f t="shared" si="140"/>
        <v/>
      </c>
      <c r="JU219" s="280">
        <f t="shared" si="141"/>
        <v>357237</v>
      </c>
      <c r="JV219" s="280">
        <f t="shared" si="142"/>
        <v>0</v>
      </c>
      <c r="JW219" s="319">
        <f t="shared" si="143"/>
        <v>1</v>
      </c>
      <c r="JX219" s="15">
        <f t="shared" si="144"/>
        <v>736123</v>
      </c>
      <c r="JY219" s="15">
        <f t="shared" si="145"/>
        <v>0</v>
      </c>
      <c r="JZ219" s="19">
        <f t="shared" si="146"/>
        <v>0</v>
      </c>
      <c r="KA219" s="52">
        <f t="shared" si="147"/>
        <v>1</v>
      </c>
      <c r="KB219" s="15">
        <f t="shared" si="148"/>
        <v>736123</v>
      </c>
      <c r="KC219" s="15">
        <f t="shared" si="149"/>
        <v>0</v>
      </c>
      <c r="KD219" s="20">
        <f t="shared" si="150"/>
        <v>0</v>
      </c>
      <c r="KE219" s="52" t="str">
        <f t="shared" si="151"/>
        <v/>
      </c>
      <c r="KF219" s="15">
        <f t="shared" si="152"/>
        <v>0</v>
      </c>
      <c r="KG219" s="15">
        <f t="shared" si="153"/>
        <v>0</v>
      </c>
      <c r="KH219" s="21" t="str">
        <f t="shared" si="154"/>
        <v/>
      </c>
      <c r="KI219" s="52" t="str">
        <f t="shared" si="155"/>
        <v/>
      </c>
      <c r="KJ219" s="15">
        <f t="shared" si="156"/>
        <v>0</v>
      </c>
      <c r="KK219" s="15">
        <f t="shared" si="157"/>
        <v>0</v>
      </c>
      <c r="KL219" s="19" t="str">
        <f t="shared" si="158"/>
        <v/>
      </c>
      <c r="KM219" s="52" t="str">
        <f t="shared" si="159"/>
        <v/>
      </c>
      <c r="KN219" s="22">
        <f t="shared" si="160"/>
        <v>0</v>
      </c>
      <c r="KO219" s="22">
        <f t="shared" si="161"/>
        <v>0</v>
      </c>
      <c r="KP219" s="19" t="str">
        <f t="shared" si="162"/>
        <v/>
      </c>
      <c r="KQ219" s="11" t="str">
        <f t="shared" si="163"/>
        <v>2. Sensitive</v>
      </c>
      <c r="KR219" s="11" t="str">
        <f t="shared" si="164"/>
        <v>2. Accommodating</v>
      </c>
      <c r="KS219" s="11" t="str">
        <f t="shared" si="165"/>
        <v>2. Sensitive</v>
      </c>
      <c r="KT219" s="11" t="str">
        <f t="shared" si="166"/>
        <v>It did not develop any specific innovation</v>
      </c>
      <c r="KU219" s="11" t="str">
        <f t="shared" si="167"/>
        <v>Little or no advocacy</v>
      </c>
      <c r="KV219" s="11" t="str">
        <f t="shared" si="168"/>
        <v>It did not take tested solutions to scale</v>
      </c>
      <c r="KW219" s="11" t="str">
        <f t="shared" si="169"/>
        <v>Ethiopia - Joint Emergency Operation Plan (JEOP)</v>
      </c>
      <c r="KX219" s="11" t="str">
        <f t="shared" si="170"/>
        <v>Joint Emergency Operation Plan (JEOP)</v>
      </c>
      <c r="KY219" s="11" t="str">
        <f t="shared" si="171"/>
        <v>Ethiopia</v>
      </c>
      <c r="KZ219" s="12">
        <v>219</v>
      </c>
    </row>
    <row r="220" spans="1:312" s="28" customFormat="1" x14ac:dyDescent="0.3">
      <c r="A220" s="11" t="s">
        <v>3868</v>
      </c>
      <c r="B220" s="11" t="s">
        <v>1874</v>
      </c>
      <c r="C220" s="11"/>
      <c r="D220" s="11" t="s">
        <v>3869</v>
      </c>
      <c r="E220" s="24" t="str">
        <f t="shared" si="129"/>
        <v>Ethiopia</v>
      </c>
      <c r="F220" s="11" t="s">
        <v>3870</v>
      </c>
      <c r="G220" s="11" t="s">
        <v>605</v>
      </c>
      <c r="H220" s="11" t="s">
        <v>310</v>
      </c>
      <c r="I220" s="11" t="s">
        <v>606</v>
      </c>
      <c r="J220" s="278" t="s">
        <v>792</v>
      </c>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23">
        <v>42461</v>
      </c>
      <c r="BE220" s="23">
        <v>43555</v>
      </c>
      <c r="BF220" s="23"/>
      <c r="BG220" s="11" t="s">
        <v>312</v>
      </c>
      <c r="BH220" s="22">
        <v>1108000</v>
      </c>
      <c r="BI220" s="11" t="s">
        <v>3871</v>
      </c>
      <c r="BJ220" s="11" t="s">
        <v>2514</v>
      </c>
      <c r="BK220" s="11" t="s">
        <v>3872</v>
      </c>
      <c r="BL220" s="11" t="s">
        <v>3873</v>
      </c>
      <c r="BM220" s="11" t="s">
        <v>3874</v>
      </c>
      <c r="BN220" s="11" t="s">
        <v>3875</v>
      </c>
      <c r="BO220" s="12" t="s">
        <v>319</v>
      </c>
      <c r="BP220" s="12" t="s">
        <v>320</v>
      </c>
      <c r="BQ220" s="12" t="s">
        <v>319</v>
      </c>
      <c r="BR220" s="11" t="s">
        <v>3876</v>
      </c>
      <c r="BS220" s="11" t="s">
        <v>1535</v>
      </c>
      <c r="BT220" s="11" t="s">
        <v>3877</v>
      </c>
      <c r="BU220" s="11" t="s">
        <v>3878</v>
      </c>
      <c r="BV220" s="22"/>
      <c r="BW220" s="22"/>
      <c r="BX220" s="22"/>
      <c r="BY220" s="22"/>
      <c r="BZ220" s="22"/>
      <c r="CA220" s="22">
        <v>70000</v>
      </c>
      <c r="CB220" s="15" t="s">
        <v>3879</v>
      </c>
      <c r="CC220" s="15"/>
      <c r="CD220" s="22"/>
      <c r="CE220" s="22"/>
      <c r="CF220" s="22"/>
      <c r="CG220" s="22"/>
      <c r="CH220" s="22"/>
      <c r="CI220" s="22"/>
      <c r="CJ220" s="11"/>
      <c r="CK220" s="22"/>
      <c r="CL220" s="18"/>
      <c r="CM220" s="22"/>
      <c r="CN220" s="11"/>
      <c r="CO220" s="22"/>
      <c r="CP220" s="18"/>
      <c r="CQ220" s="22"/>
      <c r="CR220" s="11"/>
      <c r="CS220" s="22"/>
      <c r="CT220" s="18"/>
      <c r="CU220" s="22"/>
      <c r="CV220" s="11"/>
      <c r="CW220" s="22"/>
      <c r="CX220" s="18"/>
      <c r="CY220" s="22"/>
      <c r="CZ220" s="11"/>
      <c r="DA220" s="22"/>
      <c r="DB220" s="18"/>
      <c r="DC220" s="22"/>
      <c r="DD220" s="11"/>
      <c r="DE220" s="22"/>
      <c r="DF220" s="18"/>
      <c r="DG220" s="22"/>
      <c r="DH220" s="11"/>
      <c r="DI220" s="22"/>
      <c r="DJ220" s="18"/>
      <c r="DK220" s="22"/>
      <c r="DL220" s="11"/>
      <c r="DM220" s="22"/>
      <c r="DN220" s="18"/>
      <c r="DO220" s="22"/>
      <c r="DP220" s="11"/>
      <c r="DQ220" s="22"/>
      <c r="DR220" s="18"/>
      <c r="DS220" s="22"/>
      <c r="DT220" s="11"/>
      <c r="DU220" s="22"/>
      <c r="DV220" s="18"/>
      <c r="DW220" s="22"/>
      <c r="DX220" s="11"/>
      <c r="DY220" s="22"/>
      <c r="DZ220" s="18"/>
      <c r="EA220" s="22"/>
      <c r="EB220" s="11"/>
      <c r="EC220" s="22"/>
      <c r="ED220" s="18"/>
      <c r="EE220" s="22"/>
      <c r="EF220" s="15"/>
      <c r="EG220" s="15"/>
      <c r="EH220" s="22"/>
      <c r="EI220" s="18"/>
      <c r="EJ220" s="22"/>
      <c r="EK220" s="22">
        <v>64</v>
      </c>
      <c r="EL220" s="22">
        <v>39</v>
      </c>
      <c r="EM220" s="22">
        <v>103</v>
      </c>
      <c r="EN220" s="22">
        <v>3360</v>
      </c>
      <c r="EO220" s="22">
        <v>1892</v>
      </c>
      <c r="EP220" s="22">
        <v>5252</v>
      </c>
      <c r="EQ220" s="12" t="s">
        <v>319</v>
      </c>
      <c r="ER220" s="22"/>
      <c r="ES220" s="18"/>
      <c r="ET220" s="22"/>
      <c r="EU220" s="11" t="s">
        <v>319</v>
      </c>
      <c r="EV220" s="22"/>
      <c r="EW220" s="18"/>
      <c r="EX220" s="22"/>
      <c r="EY220" s="12" t="s">
        <v>319</v>
      </c>
      <c r="EZ220" s="22"/>
      <c r="FA220" s="18"/>
      <c r="FB220" s="22"/>
      <c r="FC220" s="12" t="s">
        <v>319</v>
      </c>
      <c r="FD220" s="22"/>
      <c r="FE220" s="18"/>
      <c r="FF220" s="22"/>
      <c r="FG220" s="12" t="s">
        <v>319</v>
      </c>
      <c r="FH220" s="22"/>
      <c r="FI220" s="18"/>
      <c r="FJ220" s="22"/>
      <c r="FK220" s="11" t="s">
        <v>319</v>
      </c>
      <c r="FL220" s="22"/>
      <c r="FM220" s="18"/>
      <c r="FN220" s="22"/>
      <c r="FO220" s="11" t="s">
        <v>319</v>
      </c>
      <c r="FP220" s="22"/>
      <c r="FQ220" s="18"/>
      <c r="FR220" s="22"/>
      <c r="FS220" s="11" t="s">
        <v>319</v>
      </c>
      <c r="FT220" s="22"/>
      <c r="FU220" s="18"/>
      <c r="FV220" s="22"/>
      <c r="FW220" s="11" t="s">
        <v>319</v>
      </c>
      <c r="FX220" s="22"/>
      <c r="FY220" s="18"/>
      <c r="FZ220" s="22"/>
      <c r="GA220" s="11" t="s">
        <v>319</v>
      </c>
      <c r="GB220" s="22"/>
      <c r="GC220" s="18"/>
      <c r="GD220" s="22"/>
      <c r="GE220" s="11" t="s">
        <v>319</v>
      </c>
      <c r="GF220" s="22"/>
      <c r="GG220" s="18"/>
      <c r="GH220" s="22"/>
      <c r="GI220" s="11" t="s">
        <v>319</v>
      </c>
      <c r="GJ220" s="22"/>
      <c r="GK220" s="18"/>
      <c r="GL220" s="22"/>
      <c r="GM220" s="11" t="s">
        <v>319</v>
      </c>
      <c r="GN220" s="22"/>
      <c r="GO220" s="18"/>
      <c r="GP220" s="22"/>
      <c r="GQ220" s="11" t="s">
        <v>319</v>
      </c>
      <c r="GR220" s="22"/>
      <c r="GS220" s="18"/>
      <c r="GT220" s="22"/>
      <c r="GU220" s="11" t="s">
        <v>319</v>
      </c>
      <c r="GV220" s="22"/>
      <c r="GW220" s="18"/>
      <c r="GX220" s="22"/>
      <c r="GY220" s="11" t="s">
        <v>319</v>
      </c>
      <c r="GZ220" s="22"/>
      <c r="HA220" s="18"/>
      <c r="HB220" s="22"/>
      <c r="HC220" s="11" t="s">
        <v>3880</v>
      </c>
      <c r="HD220" s="12" t="s">
        <v>320</v>
      </c>
      <c r="HE220" s="22"/>
      <c r="HF220" s="18"/>
      <c r="HG220" s="22"/>
      <c r="HH220" s="11" t="s">
        <v>320</v>
      </c>
      <c r="HI220" s="11" t="s">
        <v>361</v>
      </c>
      <c r="HJ220" s="11">
        <v>2016</v>
      </c>
      <c r="HK220" s="11" t="s">
        <v>320</v>
      </c>
      <c r="HL220" s="11" t="s">
        <v>319</v>
      </c>
      <c r="HM220" s="11"/>
      <c r="HN220" s="11"/>
      <c r="HO220" s="11"/>
      <c r="HP220" s="11"/>
      <c r="HQ220" s="11"/>
      <c r="HR220" s="11"/>
      <c r="HS220" s="11"/>
      <c r="HT220" s="11"/>
      <c r="HU220" s="11"/>
      <c r="HV220" s="11"/>
      <c r="HW220" s="11"/>
      <c r="HX220" s="11"/>
      <c r="HY220" s="11"/>
      <c r="HZ220" s="11"/>
      <c r="IA220" s="11"/>
      <c r="IB220" s="11" t="s">
        <v>396</v>
      </c>
      <c r="IC220" s="11" t="s">
        <v>3881</v>
      </c>
      <c r="ID220" s="11"/>
      <c r="IE220" s="11" t="s">
        <v>335</v>
      </c>
      <c r="IF220" s="11" t="s">
        <v>320</v>
      </c>
      <c r="IG220" s="11" t="s">
        <v>320</v>
      </c>
      <c r="IH220" s="11" t="s">
        <v>320</v>
      </c>
      <c r="II220" s="11" t="s">
        <v>320</v>
      </c>
      <c r="IJ220" s="12" t="str">
        <f t="shared" si="130"/>
        <v>2. Sensitive</v>
      </c>
      <c r="IK220" s="12">
        <f t="shared" si="131"/>
        <v>4</v>
      </c>
      <c r="IL220" s="11" t="s">
        <v>336</v>
      </c>
      <c r="IM220" s="11" t="s">
        <v>320</v>
      </c>
      <c r="IN220" s="11" t="s">
        <v>320</v>
      </c>
      <c r="IO220" s="11" t="s">
        <v>320</v>
      </c>
      <c r="IP220" s="11" t="s">
        <v>320</v>
      </c>
      <c r="IQ220" s="12" t="str">
        <f t="shared" si="132"/>
        <v>2. Accommodating</v>
      </c>
      <c r="IR220" s="12">
        <f t="shared" si="133"/>
        <v>4</v>
      </c>
      <c r="IS220" s="11" t="s">
        <v>622</v>
      </c>
      <c r="IT220" s="11" t="s">
        <v>320</v>
      </c>
      <c r="IU220" s="11" t="s">
        <v>320</v>
      </c>
      <c r="IV220" s="11"/>
      <c r="IW220" s="11" t="str">
        <f t="shared" si="134"/>
        <v>3. Responsive</v>
      </c>
      <c r="IX220" s="12">
        <f t="shared" si="135"/>
        <v>2</v>
      </c>
      <c r="IY220" s="11"/>
      <c r="IZ220" s="11" t="s">
        <v>527</v>
      </c>
      <c r="JA220" s="11">
        <v>5</v>
      </c>
      <c r="JB220" s="11" t="s">
        <v>687</v>
      </c>
      <c r="JC220" s="12" t="s">
        <v>651</v>
      </c>
      <c r="JD220" s="11" t="s">
        <v>384</v>
      </c>
      <c r="JE220" s="11"/>
      <c r="JF220" s="11"/>
      <c r="JG220" s="11" t="s">
        <v>3882</v>
      </c>
      <c r="JH220" s="11"/>
      <c r="JI220" s="11" t="s">
        <v>3883</v>
      </c>
      <c r="JJ220" s="11"/>
      <c r="JK220" s="11"/>
      <c r="JL220" s="11"/>
      <c r="JM220" s="11"/>
      <c r="JN220" s="11"/>
      <c r="JO220" s="11"/>
      <c r="JP220" s="15">
        <f t="shared" si="136"/>
        <v>103</v>
      </c>
      <c r="JQ220" s="15">
        <f t="shared" si="137"/>
        <v>5252</v>
      </c>
      <c r="JR220" s="279">
        <f t="shared" si="138"/>
        <v>50.990291262135919</v>
      </c>
      <c r="JS220" s="17">
        <f t="shared" si="139"/>
        <v>0.62135922330097082</v>
      </c>
      <c r="JT220" s="18">
        <f t="shared" si="140"/>
        <v>0.63975628332063972</v>
      </c>
      <c r="JU220" s="280">
        <f t="shared" si="141"/>
        <v>64</v>
      </c>
      <c r="JV220" s="280">
        <f t="shared" si="142"/>
        <v>3360</v>
      </c>
      <c r="JW220" s="319" t="str">
        <f t="shared" si="143"/>
        <v/>
      </c>
      <c r="JX220" s="15">
        <f t="shared" si="144"/>
        <v>0</v>
      </c>
      <c r="JY220" s="15">
        <f t="shared" si="145"/>
        <v>0</v>
      </c>
      <c r="JZ220" s="19" t="str">
        <f t="shared" si="146"/>
        <v/>
      </c>
      <c r="KA220" s="52" t="str">
        <f t="shared" si="147"/>
        <v/>
      </c>
      <c r="KB220" s="15">
        <f t="shared" si="148"/>
        <v>0</v>
      </c>
      <c r="KC220" s="15">
        <f t="shared" si="149"/>
        <v>0</v>
      </c>
      <c r="KD220" s="20" t="str">
        <f t="shared" si="150"/>
        <v/>
      </c>
      <c r="KE220" s="52" t="str">
        <f t="shared" si="151"/>
        <v/>
      </c>
      <c r="KF220" s="15">
        <f t="shared" si="152"/>
        <v>0</v>
      </c>
      <c r="KG220" s="15">
        <f t="shared" si="153"/>
        <v>0</v>
      </c>
      <c r="KH220" s="21" t="str">
        <f t="shared" si="154"/>
        <v/>
      </c>
      <c r="KI220" s="52" t="str">
        <f t="shared" si="155"/>
        <v/>
      </c>
      <c r="KJ220" s="15">
        <f t="shared" si="156"/>
        <v>0</v>
      </c>
      <c r="KK220" s="15">
        <f t="shared" si="157"/>
        <v>0</v>
      </c>
      <c r="KL220" s="19" t="str">
        <f t="shared" si="158"/>
        <v/>
      </c>
      <c r="KM220" s="52" t="str">
        <f t="shared" si="159"/>
        <v/>
      </c>
      <c r="KN220" s="22">
        <f t="shared" si="160"/>
        <v>0</v>
      </c>
      <c r="KO220" s="22">
        <f t="shared" si="161"/>
        <v>0</v>
      </c>
      <c r="KP220" s="19" t="str">
        <f t="shared" si="162"/>
        <v/>
      </c>
      <c r="KQ220" s="11" t="str">
        <f t="shared" si="163"/>
        <v>2. Sensitive</v>
      </c>
      <c r="KR220" s="11" t="str">
        <f t="shared" si="164"/>
        <v>2. Accommodating</v>
      </c>
      <c r="KS220" s="11" t="str">
        <f t="shared" si="165"/>
        <v>3. Responsive</v>
      </c>
      <c r="KT220" s="11">
        <f t="shared" si="166"/>
        <v>0</v>
      </c>
      <c r="KU220" s="11">
        <f t="shared" si="167"/>
        <v>0</v>
      </c>
      <c r="KV220" s="11" t="str">
        <f t="shared" si="168"/>
        <v>It linked and worked with strategic alliances and partners to take tested and effective solutions to scale</v>
      </c>
      <c r="KW220" s="11" t="str">
        <f t="shared" si="169"/>
        <v>Ethiopia - Learning for change ( L4C) strengthening Women's voices in East Africa</v>
      </c>
      <c r="KX220" s="11" t="str">
        <f t="shared" si="170"/>
        <v>Learning for change ( L4C) strengthening Women's voices in East Africa</v>
      </c>
      <c r="KY220" s="11" t="str">
        <f t="shared" si="171"/>
        <v>Ethiopia</v>
      </c>
      <c r="KZ220" s="12">
        <v>220</v>
      </c>
    </row>
    <row r="221" spans="1:312" x14ac:dyDescent="0.3">
      <c r="A221" s="11" t="s">
        <v>3868</v>
      </c>
      <c r="B221" s="11" t="s">
        <v>1874</v>
      </c>
      <c r="C221" s="11" t="s">
        <v>4114</v>
      </c>
      <c r="D221" s="11" t="s">
        <v>4115</v>
      </c>
      <c r="E221" s="24" t="str">
        <f t="shared" si="129"/>
        <v>Ethiopia</v>
      </c>
      <c r="F221" s="11" t="s">
        <v>4114</v>
      </c>
      <c r="G221" s="11" t="s">
        <v>379</v>
      </c>
      <c r="H221" s="11" t="s">
        <v>310</v>
      </c>
      <c r="I221" s="11" t="s">
        <v>384</v>
      </c>
      <c r="J221" s="278" t="s">
        <v>4991</v>
      </c>
      <c r="BD221" s="23">
        <v>42709</v>
      </c>
      <c r="BE221" s="23">
        <v>44533</v>
      </c>
      <c r="BG221" s="11" t="s">
        <v>749</v>
      </c>
      <c r="BH221" s="22">
        <v>47996597</v>
      </c>
      <c r="BI221" s="11" t="s">
        <v>4080</v>
      </c>
      <c r="BJ221" s="11" t="s">
        <v>1309</v>
      </c>
      <c r="BK221" s="11" t="s">
        <v>4081</v>
      </c>
      <c r="BL221" s="11" t="s">
        <v>4082</v>
      </c>
      <c r="BM221" s="11" t="s">
        <v>1312</v>
      </c>
      <c r="BN221" s="11" t="s">
        <v>4083</v>
      </c>
      <c r="BO221" s="12" t="s">
        <v>319</v>
      </c>
      <c r="BP221" s="12" t="s">
        <v>320</v>
      </c>
      <c r="BQ221" s="12" t="s">
        <v>319</v>
      </c>
      <c r="BR221" s="11" t="s">
        <v>4116</v>
      </c>
      <c r="BS221" s="11" t="s">
        <v>357</v>
      </c>
      <c r="BT221" s="11" t="s">
        <v>4117</v>
      </c>
      <c r="BU221" s="11" t="s">
        <v>4086</v>
      </c>
      <c r="BV221" s="22">
        <v>48950</v>
      </c>
      <c r="BW221" s="22">
        <v>48950</v>
      </c>
      <c r="BX221" s="22">
        <v>97900</v>
      </c>
      <c r="BY221" s="22">
        <v>244750</v>
      </c>
      <c r="BZ221" s="22">
        <v>244750</v>
      </c>
      <c r="CA221" s="22">
        <v>489500</v>
      </c>
      <c r="CB221" s="15" t="s">
        <v>4118</v>
      </c>
      <c r="CL221" s="18"/>
      <c r="CP221" s="18"/>
      <c r="CT221" s="18"/>
      <c r="CX221" s="18"/>
      <c r="DB221" s="18"/>
      <c r="DF221" s="18"/>
      <c r="DJ221" s="18"/>
      <c r="DN221" s="18"/>
      <c r="DR221" s="18"/>
      <c r="DV221" s="18"/>
      <c r="DZ221" s="18"/>
      <c r="ED221" s="18"/>
      <c r="EI221" s="18"/>
      <c r="EK221" s="22">
        <v>8672</v>
      </c>
      <c r="EL221" s="22">
        <v>10041</v>
      </c>
      <c r="EM221" s="22">
        <v>18713</v>
      </c>
      <c r="EN221" s="22">
        <v>43360</v>
      </c>
      <c r="EO221" s="22">
        <v>50205</v>
      </c>
      <c r="EP221" s="22">
        <v>93565</v>
      </c>
      <c r="EQ221" s="12" t="s">
        <v>319</v>
      </c>
      <c r="ES221" s="18"/>
      <c r="EU221" s="11" t="s">
        <v>319</v>
      </c>
      <c r="EW221" s="18"/>
      <c r="EY221" s="12" t="s">
        <v>319</v>
      </c>
      <c r="FA221" s="18"/>
      <c r="FC221" s="12" t="s">
        <v>319</v>
      </c>
      <c r="FE221" s="18"/>
      <c r="FG221" s="12" t="s">
        <v>320</v>
      </c>
      <c r="FH221" s="22">
        <v>11890</v>
      </c>
      <c r="FI221" s="18">
        <v>0.52</v>
      </c>
      <c r="FJ221" s="22">
        <v>59450</v>
      </c>
      <c r="FK221" s="11" t="s">
        <v>319</v>
      </c>
      <c r="FM221" s="18"/>
      <c r="FO221" s="11" t="s">
        <v>319</v>
      </c>
      <c r="FQ221" s="18"/>
      <c r="FS221" s="11" t="s">
        <v>319</v>
      </c>
      <c r="FU221" s="18"/>
      <c r="FW221" s="11" t="s">
        <v>319</v>
      </c>
      <c r="FY221" s="18"/>
      <c r="GA221" s="11" t="s">
        <v>319</v>
      </c>
      <c r="GC221" s="18"/>
      <c r="GE221" s="11" t="s">
        <v>319</v>
      </c>
      <c r="GG221" s="18"/>
      <c r="GI221" s="11" t="s">
        <v>319</v>
      </c>
      <c r="GK221" s="18"/>
      <c r="GM221" s="11" t="s">
        <v>319</v>
      </c>
      <c r="GO221" s="18"/>
      <c r="GQ221" s="11" t="s">
        <v>319</v>
      </c>
      <c r="GS221" s="18"/>
      <c r="GU221" s="11" t="s">
        <v>319</v>
      </c>
      <c r="GW221" s="18"/>
      <c r="GY221" s="11" t="s">
        <v>319</v>
      </c>
      <c r="HA221" s="18"/>
      <c r="HF221" s="18"/>
      <c r="HH221" s="11" t="s">
        <v>319</v>
      </c>
      <c r="HL221" s="11" t="s">
        <v>320</v>
      </c>
      <c r="HM221" s="11" t="s">
        <v>619</v>
      </c>
      <c r="HN221" s="11">
        <v>2017</v>
      </c>
      <c r="HO221" s="11" t="s">
        <v>4119</v>
      </c>
      <c r="HP221" s="11" t="s">
        <v>418</v>
      </c>
      <c r="HZ221" s="11" t="s">
        <v>363</v>
      </c>
      <c r="IB221" s="11" t="s">
        <v>333</v>
      </c>
      <c r="ID221" s="11" t="s">
        <v>334</v>
      </c>
      <c r="IE221" s="11" t="s">
        <v>478</v>
      </c>
      <c r="IF221" s="11" t="s">
        <v>320</v>
      </c>
      <c r="IG221" s="11" t="s">
        <v>320</v>
      </c>
      <c r="IH221" s="11" t="s">
        <v>320</v>
      </c>
      <c r="II221" s="11" t="s">
        <v>320</v>
      </c>
      <c r="IJ221" s="12" t="str">
        <f t="shared" si="130"/>
        <v>4. Transformative</v>
      </c>
      <c r="IK221" s="12">
        <f t="shared" si="131"/>
        <v>4</v>
      </c>
      <c r="IL221" s="11" t="s">
        <v>336</v>
      </c>
      <c r="IM221" s="11" t="s">
        <v>320</v>
      </c>
      <c r="IN221" s="11" t="s">
        <v>320</v>
      </c>
      <c r="IO221" s="11" t="s">
        <v>320</v>
      </c>
      <c r="IQ221" s="12" t="str">
        <f t="shared" si="132"/>
        <v>2. Accommodating</v>
      </c>
      <c r="IR221" s="12">
        <f t="shared" si="133"/>
        <v>3</v>
      </c>
      <c r="IS221" s="11" t="s">
        <v>337</v>
      </c>
      <c r="IT221" s="11" t="s">
        <v>320</v>
      </c>
      <c r="IU221" s="11" t="s">
        <v>320</v>
      </c>
      <c r="IV221" s="11" t="s">
        <v>320</v>
      </c>
      <c r="IW221" s="11" t="str">
        <f t="shared" si="134"/>
        <v>2. Sensitive</v>
      </c>
      <c r="IX221" s="12">
        <f t="shared" si="135"/>
        <v>3</v>
      </c>
      <c r="IY221" s="11" t="s">
        <v>419</v>
      </c>
      <c r="IZ221" s="11" t="s">
        <v>527</v>
      </c>
      <c r="JA221" s="11">
        <v>5</v>
      </c>
      <c r="JB221" s="11" t="s">
        <v>831</v>
      </c>
      <c r="JC221" s="11" t="s">
        <v>433</v>
      </c>
      <c r="JE221" s="11" t="s">
        <v>420</v>
      </c>
      <c r="JG221" s="11" t="s">
        <v>4120</v>
      </c>
      <c r="JH221" s="11" t="s">
        <v>4121</v>
      </c>
      <c r="JI221" s="11" t="s">
        <v>4122</v>
      </c>
      <c r="JJ221" s="11" t="s">
        <v>4123</v>
      </c>
      <c r="JK221" s="11" t="s">
        <v>4124</v>
      </c>
      <c r="JO221" s="11" t="s">
        <v>4125</v>
      </c>
      <c r="JP221" s="15">
        <f t="shared" si="136"/>
        <v>18713</v>
      </c>
      <c r="JQ221" s="15">
        <f t="shared" si="137"/>
        <v>93565</v>
      </c>
      <c r="JR221" s="279">
        <f t="shared" si="138"/>
        <v>5</v>
      </c>
      <c r="JS221" s="17">
        <f t="shared" si="139"/>
        <v>0.46342115107144766</v>
      </c>
      <c r="JT221" s="18">
        <f t="shared" si="140"/>
        <v>0.46342115107144766</v>
      </c>
      <c r="JU221" s="280">
        <f t="shared" si="141"/>
        <v>8672</v>
      </c>
      <c r="JV221" s="280">
        <f t="shared" si="142"/>
        <v>43360</v>
      </c>
      <c r="JW221" s="319" t="str">
        <f t="shared" si="143"/>
        <v/>
      </c>
      <c r="JX221" s="15">
        <f t="shared" si="144"/>
        <v>0</v>
      </c>
      <c r="JY221" s="15">
        <f t="shared" si="145"/>
        <v>0</v>
      </c>
      <c r="JZ221" s="19" t="str">
        <f t="shared" si="146"/>
        <v/>
      </c>
      <c r="KA221" s="52">
        <f t="shared" si="147"/>
        <v>1</v>
      </c>
      <c r="KB221" s="15">
        <f t="shared" si="148"/>
        <v>11890</v>
      </c>
      <c r="KC221" s="15">
        <f t="shared" si="149"/>
        <v>59450</v>
      </c>
      <c r="KD221" s="20">
        <f t="shared" si="150"/>
        <v>5</v>
      </c>
      <c r="KE221" s="52" t="str">
        <f t="shared" si="151"/>
        <v/>
      </c>
      <c r="KF221" s="15">
        <f t="shared" si="152"/>
        <v>0</v>
      </c>
      <c r="KG221" s="15">
        <f t="shared" si="153"/>
        <v>0</v>
      </c>
      <c r="KH221" s="21" t="str">
        <f t="shared" si="154"/>
        <v/>
      </c>
      <c r="KI221" s="52" t="str">
        <f t="shared" si="155"/>
        <v/>
      </c>
      <c r="KJ221" s="15">
        <f t="shared" si="156"/>
        <v>0</v>
      </c>
      <c r="KK221" s="15">
        <f t="shared" si="157"/>
        <v>0</v>
      </c>
      <c r="KL221" s="19" t="str">
        <f t="shared" si="158"/>
        <v/>
      </c>
      <c r="KM221" s="52">
        <f t="shared" si="159"/>
        <v>1</v>
      </c>
      <c r="KN221" s="22">
        <f t="shared" si="160"/>
        <v>6182.8</v>
      </c>
      <c r="KO221" s="22">
        <f t="shared" si="161"/>
        <v>30914</v>
      </c>
      <c r="KP221" s="19">
        <f t="shared" si="162"/>
        <v>5</v>
      </c>
      <c r="KQ221" s="11" t="str">
        <f t="shared" si="163"/>
        <v>4. Transformative</v>
      </c>
      <c r="KR221" s="11" t="str">
        <f t="shared" si="164"/>
        <v>2. Accommodating</v>
      </c>
      <c r="KS221" s="11" t="str">
        <f t="shared" si="165"/>
        <v>2. Sensitive</v>
      </c>
      <c r="KT221" s="11" t="str">
        <f t="shared" si="166"/>
        <v>It did not develop any specific innovation</v>
      </c>
      <c r="KU221" s="11" t="str">
        <f t="shared" si="167"/>
        <v>Little or no advocacy</v>
      </c>
      <c r="KV221" s="11" t="str">
        <f t="shared" si="168"/>
        <v>It did not take tested solutions to scale</v>
      </c>
      <c r="KW221" s="11" t="str">
        <f t="shared" si="169"/>
        <v xml:space="preserve">Ethiopia - Livelihoods for Resilience Activity (GRAD 2) </v>
      </c>
      <c r="KX221" s="11" t="str">
        <f t="shared" si="170"/>
        <v xml:space="preserve">Livelihoods for Resilience Activity (GRAD 2) </v>
      </c>
      <c r="KY221" s="11" t="str">
        <f t="shared" si="171"/>
        <v>Ethiopia</v>
      </c>
      <c r="KZ221" s="12">
        <v>221</v>
      </c>
    </row>
    <row r="222" spans="1:312" x14ac:dyDescent="0.3">
      <c r="A222" s="11" t="s">
        <v>3868</v>
      </c>
      <c r="B222" s="11" t="s">
        <v>1874</v>
      </c>
      <c r="D222" s="11" t="s">
        <v>4126</v>
      </c>
      <c r="E222" s="24" t="str">
        <f t="shared" si="129"/>
        <v>Ethiopia</v>
      </c>
      <c r="F222" s="11" t="s">
        <v>4127</v>
      </c>
      <c r="G222" s="11" t="s">
        <v>379</v>
      </c>
      <c r="H222" s="11" t="s">
        <v>383</v>
      </c>
      <c r="I222" s="11" t="s">
        <v>384</v>
      </c>
      <c r="J222" s="278" t="s">
        <v>1187</v>
      </c>
      <c r="BD222" s="23">
        <v>41640</v>
      </c>
      <c r="BE222" s="23">
        <v>43100</v>
      </c>
      <c r="BG222" s="11" t="s">
        <v>749</v>
      </c>
      <c r="BH222" s="22">
        <v>1296580</v>
      </c>
      <c r="BI222" s="11" t="s">
        <v>4033</v>
      </c>
      <c r="BJ222" s="11" t="s">
        <v>4128</v>
      </c>
      <c r="BK222" s="11" t="s">
        <v>4035</v>
      </c>
      <c r="BL222" s="11" t="s">
        <v>4129</v>
      </c>
      <c r="BM222" s="11" t="s">
        <v>4130</v>
      </c>
      <c r="BN222" s="11" t="s">
        <v>4131</v>
      </c>
      <c r="BO222" s="12" t="s">
        <v>319</v>
      </c>
      <c r="BP222" s="12" t="s">
        <v>320</v>
      </c>
      <c r="BQ222" s="12" t="s">
        <v>319</v>
      </c>
      <c r="BR222" s="11" t="s">
        <v>4132</v>
      </c>
      <c r="BS222" s="11" t="s">
        <v>357</v>
      </c>
      <c r="BT222" s="11" t="s">
        <v>4133</v>
      </c>
      <c r="BU222" s="11" t="s">
        <v>4134</v>
      </c>
      <c r="BV222" s="22">
        <v>75825</v>
      </c>
      <c r="BW222" s="22">
        <v>8482</v>
      </c>
      <c r="BX222" s="22">
        <v>84307</v>
      </c>
      <c r="BY222" s="22">
        <v>36576</v>
      </c>
      <c r="BZ222" s="22">
        <v>76866</v>
      </c>
      <c r="CA222" s="22">
        <v>113442</v>
      </c>
      <c r="CB222" s="15" t="s">
        <v>4135</v>
      </c>
      <c r="CL222" s="18"/>
      <c r="CP222" s="18"/>
      <c r="CT222" s="18"/>
      <c r="CX222" s="18"/>
      <c r="DB222" s="18"/>
      <c r="DF222" s="18"/>
      <c r="DJ222" s="18"/>
      <c r="DN222" s="18"/>
      <c r="DR222" s="18"/>
      <c r="DV222" s="18"/>
      <c r="DZ222" s="18"/>
      <c r="ED222" s="18"/>
      <c r="EI222" s="18"/>
      <c r="EK222" s="22">
        <v>48640</v>
      </c>
      <c r="EL222" s="22">
        <v>131</v>
      </c>
      <c r="EM222" s="22">
        <v>48771</v>
      </c>
      <c r="EN222" s="22">
        <v>5167</v>
      </c>
      <c r="EO222" s="22">
        <v>8958</v>
      </c>
      <c r="EP222" s="22">
        <v>14125</v>
      </c>
      <c r="EQ222" s="12" t="s">
        <v>320</v>
      </c>
      <c r="ER222" s="22">
        <v>291</v>
      </c>
      <c r="ES222" s="18">
        <v>1</v>
      </c>
      <c r="EU222" s="11" t="s">
        <v>319</v>
      </c>
      <c r="EW222" s="18"/>
      <c r="EY222" s="12" t="s">
        <v>319</v>
      </c>
      <c r="FA222" s="18"/>
      <c r="FC222" s="12" t="s">
        <v>319</v>
      </c>
      <c r="FE222" s="18"/>
      <c r="FG222" s="12" t="s">
        <v>319</v>
      </c>
      <c r="FI222" s="18"/>
      <c r="FK222" s="11" t="s">
        <v>319</v>
      </c>
      <c r="FM222" s="18"/>
      <c r="FO222" s="12" t="s">
        <v>320</v>
      </c>
      <c r="FP222" s="22">
        <v>1291</v>
      </c>
      <c r="FQ222" s="18">
        <v>1</v>
      </c>
      <c r="FS222" s="11" t="s">
        <v>319</v>
      </c>
      <c r="FU222" s="18"/>
      <c r="FW222" s="11" t="s">
        <v>320</v>
      </c>
      <c r="FX222" s="22">
        <v>51178</v>
      </c>
      <c r="FY222" s="18">
        <v>0.97</v>
      </c>
      <c r="GA222" s="11" t="s">
        <v>320</v>
      </c>
      <c r="GB222" s="22">
        <v>30</v>
      </c>
      <c r="GC222" s="18">
        <v>1</v>
      </c>
      <c r="GE222" s="11" t="s">
        <v>319</v>
      </c>
      <c r="GG222" s="18"/>
      <c r="GI222" s="11" t="s">
        <v>319</v>
      </c>
      <c r="GK222" s="18"/>
      <c r="GM222" s="11" t="s">
        <v>319</v>
      </c>
      <c r="GO222" s="18"/>
      <c r="GQ222" s="11" t="s">
        <v>319</v>
      </c>
      <c r="GS222" s="18"/>
      <c r="GU222" s="12" t="s">
        <v>320</v>
      </c>
      <c r="GV222" s="22">
        <v>2080</v>
      </c>
      <c r="GW222" s="18">
        <v>0.43</v>
      </c>
      <c r="GY222" s="11" t="s">
        <v>320</v>
      </c>
      <c r="GZ222" s="22">
        <v>18736</v>
      </c>
      <c r="HA222" s="18">
        <v>1</v>
      </c>
      <c r="HF222" s="18"/>
      <c r="HH222" s="11" t="s">
        <v>319</v>
      </c>
      <c r="HK222" s="11" t="s">
        <v>319</v>
      </c>
      <c r="HL222" s="11" t="s">
        <v>320</v>
      </c>
      <c r="HM222" s="11" t="s">
        <v>327</v>
      </c>
      <c r="HN222" s="11">
        <v>2017</v>
      </c>
      <c r="HO222" s="11" t="s">
        <v>4136</v>
      </c>
      <c r="HP222" s="11" t="s">
        <v>330</v>
      </c>
      <c r="HQ222" s="11" t="s">
        <v>319</v>
      </c>
      <c r="HR222" s="11" t="s">
        <v>319</v>
      </c>
      <c r="HS222" s="11" t="s">
        <v>320</v>
      </c>
      <c r="HT222" s="11" t="s">
        <v>320</v>
      </c>
      <c r="HU222" s="11" t="s">
        <v>319</v>
      </c>
      <c r="HV222" s="11" t="s">
        <v>319</v>
      </c>
      <c r="HW222" s="11" t="s">
        <v>319</v>
      </c>
      <c r="HX222" s="11" t="s">
        <v>319</v>
      </c>
      <c r="HZ222" s="11" t="s">
        <v>363</v>
      </c>
      <c r="IB222" s="11" t="s">
        <v>667</v>
      </c>
      <c r="IC222" s="11" t="s">
        <v>4137</v>
      </c>
      <c r="ID222" s="11" t="s">
        <v>364</v>
      </c>
      <c r="IE222" s="11" t="s">
        <v>478</v>
      </c>
      <c r="IF222" s="11" t="s">
        <v>320</v>
      </c>
      <c r="IG222" s="11" t="s">
        <v>320</v>
      </c>
      <c r="IH222" s="11" t="s">
        <v>320</v>
      </c>
      <c r="II222" s="11" t="s">
        <v>320</v>
      </c>
      <c r="IJ222" s="12" t="str">
        <f t="shared" si="130"/>
        <v>4. Transformative</v>
      </c>
      <c r="IK222" s="12">
        <f t="shared" si="131"/>
        <v>4</v>
      </c>
      <c r="IL222" s="11" t="s">
        <v>336</v>
      </c>
      <c r="IM222" s="11" t="s">
        <v>320</v>
      </c>
      <c r="IN222" s="11" t="s">
        <v>320</v>
      </c>
      <c r="IO222" s="11" t="s">
        <v>320</v>
      </c>
      <c r="IP222" s="11" t="s">
        <v>320</v>
      </c>
      <c r="IQ222" s="12" t="str">
        <f t="shared" si="132"/>
        <v>2. Accommodating</v>
      </c>
      <c r="IR222" s="12">
        <f t="shared" si="133"/>
        <v>4</v>
      </c>
      <c r="IS222" s="11" t="s">
        <v>337</v>
      </c>
      <c r="IT222" s="11" t="s">
        <v>320</v>
      </c>
      <c r="IU222" s="11" t="s">
        <v>320</v>
      </c>
      <c r="IV222" s="11" t="s">
        <v>320</v>
      </c>
      <c r="IW222" s="11" t="str">
        <f t="shared" si="134"/>
        <v>2. Sensitive</v>
      </c>
      <c r="IX222" s="12">
        <f t="shared" si="135"/>
        <v>3</v>
      </c>
      <c r="IY222" s="11" t="s">
        <v>338</v>
      </c>
      <c r="IZ222" s="11" t="s">
        <v>527</v>
      </c>
      <c r="JA222" s="11">
        <v>6</v>
      </c>
      <c r="JB222" s="11" t="s">
        <v>687</v>
      </c>
      <c r="JC222" s="11" t="s">
        <v>585</v>
      </c>
      <c r="JD222" s="11" t="s">
        <v>1113</v>
      </c>
      <c r="JE222" s="11" t="s">
        <v>420</v>
      </c>
      <c r="JG222" s="11" t="s">
        <v>4138</v>
      </c>
      <c r="JH222" s="11" t="s">
        <v>4139</v>
      </c>
      <c r="JI222" s="11" t="s">
        <v>4140</v>
      </c>
      <c r="JJ222" s="11" t="s">
        <v>4141</v>
      </c>
      <c r="JK222" s="11" t="s">
        <v>4142</v>
      </c>
      <c r="JL222" s="11" t="s">
        <v>4143</v>
      </c>
      <c r="JM222" s="11" t="s">
        <v>4144</v>
      </c>
      <c r="JP222" s="15">
        <f t="shared" si="136"/>
        <v>48771</v>
      </c>
      <c r="JQ222" s="15">
        <f t="shared" si="137"/>
        <v>14125</v>
      </c>
      <c r="JR222" s="279">
        <f t="shared" si="138"/>
        <v>0.28961883086260276</v>
      </c>
      <c r="JS222" s="17">
        <f t="shared" si="139"/>
        <v>0.99731397756863704</v>
      </c>
      <c r="JT222" s="18">
        <f t="shared" si="140"/>
        <v>0.36580530973451325</v>
      </c>
      <c r="JU222" s="280">
        <f t="shared" si="141"/>
        <v>48640</v>
      </c>
      <c r="JV222" s="280">
        <f t="shared" si="142"/>
        <v>5167</v>
      </c>
      <c r="JW222" s="319" t="str">
        <f t="shared" si="143"/>
        <v/>
      </c>
      <c r="JX222" s="15">
        <f t="shared" si="144"/>
        <v>0</v>
      </c>
      <c r="JY222" s="15">
        <f t="shared" si="145"/>
        <v>0</v>
      </c>
      <c r="JZ222" s="19" t="str">
        <f t="shared" si="146"/>
        <v/>
      </c>
      <c r="KA222" s="52">
        <f t="shared" si="147"/>
        <v>1</v>
      </c>
      <c r="KB222" s="15">
        <f t="shared" si="148"/>
        <v>2080</v>
      </c>
      <c r="KC222" s="15">
        <f t="shared" si="149"/>
        <v>0</v>
      </c>
      <c r="KD222" s="20">
        <f t="shared" si="150"/>
        <v>0</v>
      </c>
      <c r="KE222" s="52" t="str">
        <f t="shared" si="151"/>
        <v/>
      </c>
      <c r="KF222" s="15">
        <f t="shared" si="152"/>
        <v>0</v>
      </c>
      <c r="KG222" s="15">
        <f t="shared" si="153"/>
        <v>0</v>
      </c>
      <c r="KH222" s="21" t="str">
        <f t="shared" si="154"/>
        <v/>
      </c>
      <c r="KI222" s="52" t="str">
        <f t="shared" si="155"/>
        <v/>
      </c>
      <c r="KJ222" s="15">
        <f t="shared" si="156"/>
        <v>0</v>
      </c>
      <c r="KK222" s="15">
        <f t="shared" si="157"/>
        <v>0</v>
      </c>
      <c r="KL222" s="19" t="str">
        <f t="shared" si="158"/>
        <v/>
      </c>
      <c r="KM222" s="52">
        <f t="shared" si="159"/>
        <v>1</v>
      </c>
      <c r="KN222" s="22">
        <f t="shared" si="160"/>
        <v>18736</v>
      </c>
      <c r="KO222" s="22">
        <f t="shared" si="161"/>
        <v>0</v>
      </c>
      <c r="KP222" s="19">
        <f t="shared" si="162"/>
        <v>0</v>
      </c>
      <c r="KQ222" s="11" t="str">
        <f t="shared" si="163"/>
        <v>4. Transformative</v>
      </c>
      <c r="KR222" s="11" t="str">
        <f t="shared" si="164"/>
        <v>2. Accommodating</v>
      </c>
      <c r="KS222" s="11" t="str">
        <f t="shared" si="165"/>
        <v>2. Sensitive</v>
      </c>
      <c r="KT222" s="11" t="str">
        <f t="shared" si="166"/>
        <v>It did not develop any specific innovation</v>
      </c>
      <c r="KU222" s="11" t="str">
        <f t="shared" si="167"/>
        <v>Moderate advocacy</v>
      </c>
      <c r="KV222" s="11" t="str">
        <f t="shared" si="168"/>
        <v>It took tested solutions to scale on its own</v>
      </c>
      <c r="KW222" s="11" t="str">
        <f t="shared" si="169"/>
        <v>Ethiopia - Nutrition at the center</v>
      </c>
      <c r="KX222" s="11" t="str">
        <f t="shared" si="170"/>
        <v>Nutrition at the center</v>
      </c>
      <c r="KY222" s="11" t="str">
        <f t="shared" si="171"/>
        <v>Ethiopia</v>
      </c>
      <c r="KZ222" s="287">
        <v>222</v>
      </c>
    </row>
    <row r="223" spans="1:312" x14ac:dyDescent="0.3">
      <c r="A223" s="11" t="s">
        <v>3868</v>
      </c>
      <c r="B223" s="11" t="s">
        <v>1874</v>
      </c>
      <c r="D223" s="11" t="s">
        <v>4031</v>
      </c>
      <c r="E223" s="297" t="str">
        <f t="shared" si="129"/>
        <v>Ethiopia</v>
      </c>
      <c r="F223" s="11" t="s">
        <v>4032</v>
      </c>
      <c r="G223" s="11" t="s">
        <v>488</v>
      </c>
      <c r="H223" s="11" t="s">
        <v>310</v>
      </c>
      <c r="I223" s="11" t="s">
        <v>506</v>
      </c>
      <c r="J223" s="278" t="s">
        <v>9230</v>
      </c>
      <c r="BD223" s="23">
        <v>41334</v>
      </c>
      <c r="BE223" s="23">
        <v>42735</v>
      </c>
      <c r="BG223" s="11" t="s">
        <v>312</v>
      </c>
      <c r="BH223" s="22">
        <v>426131</v>
      </c>
      <c r="BI223" s="11" t="s">
        <v>4033</v>
      </c>
      <c r="BJ223" s="11" t="s">
        <v>4034</v>
      </c>
      <c r="BK223" s="11" t="s">
        <v>4035</v>
      </c>
      <c r="BL223" s="11" t="s">
        <v>4036</v>
      </c>
      <c r="BM223" s="11" t="s">
        <v>354</v>
      </c>
      <c r="BN223" s="11" t="s">
        <v>4037</v>
      </c>
      <c r="BO223" s="12" t="s">
        <v>319</v>
      </c>
      <c r="BP223" s="12" t="s">
        <v>320</v>
      </c>
      <c r="BQ223" s="12" t="s">
        <v>319</v>
      </c>
      <c r="BR223" s="11" t="s">
        <v>4038</v>
      </c>
      <c r="BS223" s="11" t="s">
        <v>357</v>
      </c>
      <c r="BT223" s="11" t="s">
        <v>4039</v>
      </c>
      <c r="BU223" s="11" t="s">
        <v>4040</v>
      </c>
      <c r="BV223" s="22">
        <v>18500</v>
      </c>
      <c r="BX223" s="22">
        <v>18500</v>
      </c>
      <c r="CL223" s="18"/>
      <c r="CP223" s="18"/>
      <c r="CT223" s="18"/>
      <c r="CX223" s="18"/>
      <c r="DB223" s="18"/>
      <c r="DF223" s="18"/>
      <c r="DJ223" s="18"/>
      <c r="DN223" s="18"/>
      <c r="DR223" s="18"/>
      <c r="DV223" s="18"/>
      <c r="DZ223" s="18"/>
      <c r="ED223" s="18"/>
      <c r="EI223" s="18"/>
      <c r="EQ223" s="12" t="s">
        <v>319</v>
      </c>
      <c r="ES223" s="18"/>
      <c r="EU223" s="11" t="s">
        <v>319</v>
      </c>
      <c r="EW223" s="18"/>
      <c r="EY223" s="12" t="s">
        <v>319</v>
      </c>
      <c r="FA223" s="18"/>
      <c r="FC223" s="12" t="s">
        <v>319</v>
      </c>
      <c r="FE223" s="18"/>
      <c r="FG223" s="12" t="s">
        <v>319</v>
      </c>
      <c r="FI223" s="18"/>
      <c r="FK223" s="11" t="s">
        <v>320</v>
      </c>
      <c r="FM223" s="18"/>
      <c r="FO223" s="11" t="s">
        <v>319</v>
      </c>
      <c r="FQ223" s="18"/>
      <c r="FS223" s="11" t="s">
        <v>320</v>
      </c>
      <c r="FU223" s="18"/>
      <c r="FW223" s="11" t="s">
        <v>320</v>
      </c>
      <c r="FX223" s="22">
        <v>625</v>
      </c>
      <c r="FY223" s="18">
        <v>1</v>
      </c>
      <c r="GA223" s="11" t="s">
        <v>319</v>
      </c>
      <c r="GC223" s="18"/>
      <c r="GE223" s="11" t="s">
        <v>319</v>
      </c>
      <c r="GG223" s="18"/>
      <c r="GI223" s="11" t="s">
        <v>319</v>
      </c>
      <c r="GK223" s="18"/>
      <c r="GM223" s="11" t="s">
        <v>319</v>
      </c>
      <c r="GO223" s="18"/>
      <c r="GQ223" s="11" t="s">
        <v>320</v>
      </c>
      <c r="GS223" s="18"/>
      <c r="GU223" s="11" t="s">
        <v>319</v>
      </c>
      <c r="GW223" s="18"/>
      <c r="GY223" s="11" t="s">
        <v>320</v>
      </c>
      <c r="GZ223" s="22">
        <v>1104</v>
      </c>
      <c r="HA223" s="18">
        <v>1</v>
      </c>
      <c r="HC223" s="11" t="s">
        <v>4041</v>
      </c>
      <c r="HD223" s="11" t="s">
        <v>320</v>
      </c>
      <c r="HF223" s="18"/>
      <c r="HH223" s="11" t="s">
        <v>320</v>
      </c>
      <c r="HI223" s="11" t="s">
        <v>327</v>
      </c>
      <c r="HJ223" s="11">
        <v>2016</v>
      </c>
      <c r="HZ223" s="11" t="s">
        <v>394</v>
      </c>
      <c r="IB223" s="11" t="s">
        <v>333</v>
      </c>
      <c r="IE223" s="11" t="s">
        <v>335</v>
      </c>
      <c r="IF223" s="11" t="s">
        <v>320</v>
      </c>
      <c r="IG223" s="11" t="s">
        <v>320</v>
      </c>
      <c r="IH223" s="11" t="s">
        <v>320</v>
      </c>
      <c r="II223" s="11" t="s">
        <v>320</v>
      </c>
      <c r="IJ223" s="12" t="str">
        <f t="shared" si="130"/>
        <v>2. Sensitive</v>
      </c>
      <c r="IK223" s="12">
        <f t="shared" si="131"/>
        <v>4</v>
      </c>
      <c r="IL223" s="11" t="s">
        <v>336</v>
      </c>
      <c r="IM223" s="11" t="s">
        <v>320</v>
      </c>
      <c r="IN223" s="11" t="s">
        <v>320</v>
      </c>
      <c r="IO223" s="11" t="s">
        <v>320</v>
      </c>
      <c r="IP223" s="11" t="s">
        <v>320</v>
      </c>
      <c r="IQ223" s="12" t="str">
        <f t="shared" si="132"/>
        <v>2. Accommodating</v>
      </c>
      <c r="IR223" s="12">
        <f t="shared" si="133"/>
        <v>4</v>
      </c>
      <c r="IS223" s="11" t="s">
        <v>337</v>
      </c>
      <c r="IT223" s="11" t="s">
        <v>320</v>
      </c>
      <c r="IU223" s="11" t="s">
        <v>320</v>
      </c>
      <c r="IV223" s="11" t="s">
        <v>320</v>
      </c>
      <c r="IW223" s="11" t="str">
        <f t="shared" si="134"/>
        <v>2. Sensitive</v>
      </c>
      <c r="IX223" s="12">
        <f t="shared" si="135"/>
        <v>3</v>
      </c>
      <c r="JH223" s="11" t="s">
        <v>4042</v>
      </c>
      <c r="JI223" s="11" t="s">
        <v>4043</v>
      </c>
      <c r="JK223" s="11" t="s">
        <v>4044</v>
      </c>
      <c r="JL223" s="11" t="s">
        <v>4045</v>
      </c>
      <c r="JM223" s="11" t="s">
        <v>4046</v>
      </c>
      <c r="JP223" s="15">
        <f t="shared" si="136"/>
        <v>0</v>
      </c>
      <c r="JQ223" s="15">
        <f t="shared" si="137"/>
        <v>0</v>
      </c>
      <c r="JR223" s="279" t="str">
        <f t="shared" si="138"/>
        <v/>
      </c>
      <c r="JS223" s="17" t="str">
        <f t="shared" si="139"/>
        <v/>
      </c>
      <c r="JT223" s="18" t="str">
        <f t="shared" si="140"/>
        <v/>
      </c>
      <c r="JU223" s="280">
        <f t="shared" si="141"/>
        <v>0</v>
      </c>
      <c r="JV223" s="280">
        <f t="shared" si="142"/>
        <v>0</v>
      </c>
      <c r="JW223" s="319" t="str">
        <f t="shared" si="143"/>
        <v/>
      </c>
      <c r="JX223" s="15">
        <f t="shared" si="144"/>
        <v>0</v>
      </c>
      <c r="JY223" s="15">
        <f t="shared" si="145"/>
        <v>0</v>
      </c>
      <c r="JZ223" s="19" t="str">
        <f t="shared" si="146"/>
        <v/>
      </c>
      <c r="KA223" s="52" t="str">
        <f t="shared" si="147"/>
        <v/>
      </c>
      <c r="KB223" s="15">
        <f t="shared" si="148"/>
        <v>0</v>
      </c>
      <c r="KC223" s="15">
        <f t="shared" si="149"/>
        <v>0</v>
      </c>
      <c r="KD223" s="20" t="str">
        <f t="shared" si="150"/>
        <v/>
      </c>
      <c r="KE223" s="52">
        <f t="shared" si="151"/>
        <v>1</v>
      </c>
      <c r="KF223" s="15">
        <f t="shared" si="152"/>
        <v>0</v>
      </c>
      <c r="KG223" s="15">
        <f t="shared" si="153"/>
        <v>0</v>
      </c>
      <c r="KH223" s="21" t="str">
        <f t="shared" si="154"/>
        <v/>
      </c>
      <c r="KI223" s="52">
        <f t="shared" si="155"/>
        <v>1</v>
      </c>
      <c r="KJ223" s="15">
        <f t="shared" si="156"/>
        <v>0</v>
      </c>
      <c r="KK223" s="15">
        <f t="shared" si="157"/>
        <v>0</v>
      </c>
      <c r="KL223" s="19" t="str">
        <f t="shared" si="158"/>
        <v/>
      </c>
      <c r="KM223" s="52">
        <f t="shared" si="159"/>
        <v>1</v>
      </c>
      <c r="KN223" s="22">
        <f t="shared" si="160"/>
        <v>1104</v>
      </c>
      <c r="KO223" s="22">
        <f t="shared" si="161"/>
        <v>0</v>
      </c>
      <c r="KP223" s="19">
        <f t="shared" si="162"/>
        <v>0</v>
      </c>
      <c r="KQ223" s="11" t="str">
        <f t="shared" si="163"/>
        <v>2. Sensitive</v>
      </c>
      <c r="KR223" s="11" t="str">
        <f t="shared" si="164"/>
        <v>2. Accommodating</v>
      </c>
      <c r="KS223" s="11" t="str">
        <f t="shared" si="165"/>
        <v>2. Sensitive</v>
      </c>
      <c r="KT223" s="11" t="str">
        <f t="shared" si="166"/>
        <v>It tested new ways for fighting poverty, but did not measure results of innovation</v>
      </c>
      <c r="KU223" s="11">
        <f t="shared" si="167"/>
        <v>0</v>
      </c>
      <c r="KV223" s="11" t="str">
        <f t="shared" si="168"/>
        <v>It did not take tested solutions to scale</v>
      </c>
      <c r="KW223" s="11" t="str">
        <f t="shared" si="169"/>
        <v>Ethiopia - Pastoralist Afar girls' education support (PAGES)</v>
      </c>
      <c r="KX223" s="11" t="str">
        <f t="shared" si="170"/>
        <v>Pastoralist Afar girls' education support (PAGES)</v>
      </c>
      <c r="KY223" s="11" t="str">
        <f t="shared" si="171"/>
        <v>Ethiopia</v>
      </c>
      <c r="KZ223" s="12">
        <v>223</v>
      </c>
    </row>
    <row r="224" spans="1:312" x14ac:dyDescent="0.3">
      <c r="A224" s="11" t="s">
        <v>3868</v>
      </c>
      <c r="B224" s="11" t="s">
        <v>1874</v>
      </c>
      <c r="C224" s="11" t="s">
        <v>3936</v>
      </c>
      <c r="D224" s="11" t="s">
        <v>3937</v>
      </c>
      <c r="E224" s="24" t="str">
        <f t="shared" si="129"/>
        <v>Ethiopia</v>
      </c>
      <c r="F224" s="11" t="s">
        <v>3936</v>
      </c>
      <c r="G224" s="11" t="s">
        <v>376</v>
      </c>
      <c r="H224" s="11" t="s">
        <v>383</v>
      </c>
      <c r="I224" s="11" t="s">
        <v>384</v>
      </c>
      <c r="J224" s="278" t="s">
        <v>14592</v>
      </c>
      <c r="BD224" s="23">
        <v>41579</v>
      </c>
      <c r="BE224" s="23">
        <v>43100</v>
      </c>
      <c r="BG224" s="11" t="s">
        <v>350</v>
      </c>
      <c r="BH224" s="22">
        <v>2156507.69</v>
      </c>
      <c r="BI224" s="11" t="s">
        <v>3938</v>
      </c>
      <c r="BJ224" s="11" t="s">
        <v>1309</v>
      </c>
      <c r="BK224" s="11" t="s">
        <v>3939</v>
      </c>
      <c r="BL224" s="11" t="s">
        <v>3940</v>
      </c>
      <c r="BM224" s="11" t="s">
        <v>3941</v>
      </c>
      <c r="BN224" s="11" t="s">
        <v>3903</v>
      </c>
      <c r="BO224" s="11" t="s">
        <v>319</v>
      </c>
      <c r="BP224" s="11" t="s">
        <v>320</v>
      </c>
      <c r="BQ224" s="11" t="s">
        <v>319</v>
      </c>
      <c r="BR224" s="11" t="s">
        <v>3942</v>
      </c>
      <c r="BS224" s="11" t="s">
        <v>615</v>
      </c>
      <c r="BT224" s="11" t="s">
        <v>3905</v>
      </c>
      <c r="BU224" s="11" t="s">
        <v>3895</v>
      </c>
      <c r="BV224" s="22">
        <v>52500</v>
      </c>
      <c r="BW224" s="22">
        <v>22500</v>
      </c>
      <c r="BX224" s="22">
        <v>75000</v>
      </c>
      <c r="BY224" s="22">
        <v>153000</v>
      </c>
      <c r="BZ224" s="22">
        <v>147000</v>
      </c>
      <c r="CA224" s="22">
        <v>300000</v>
      </c>
      <c r="CL224" s="18"/>
      <c r="CP224" s="18"/>
      <c r="CT224" s="18"/>
      <c r="CX224" s="18"/>
      <c r="DB224" s="18"/>
      <c r="DF224" s="18"/>
      <c r="DJ224" s="18"/>
      <c r="DN224" s="18"/>
      <c r="DR224" s="18"/>
      <c r="DV224" s="18"/>
      <c r="DZ224" s="18"/>
      <c r="ED224" s="18"/>
      <c r="EI224" s="18"/>
      <c r="EK224" s="22">
        <v>52500</v>
      </c>
      <c r="EL224" s="22">
        <v>22500</v>
      </c>
      <c r="EM224" s="22">
        <v>75000</v>
      </c>
      <c r="EN224" s="22">
        <v>175984</v>
      </c>
      <c r="EO224" s="22">
        <v>95580</v>
      </c>
      <c r="EP224" s="22">
        <v>271564</v>
      </c>
      <c r="EQ224" s="12" t="s">
        <v>319</v>
      </c>
      <c r="ES224" s="18"/>
      <c r="EU224" s="11" t="s">
        <v>319</v>
      </c>
      <c r="EW224" s="18"/>
      <c r="EY224" s="12" t="s">
        <v>319</v>
      </c>
      <c r="FA224" s="18"/>
      <c r="FC224" s="12" t="s">
        <v>319</v>
      </c>
      <c r="FE224" s="18"/>
      <c r="FG224" s="12" t="s">
        <v>320</v>
      </c>
      <c r="FH224" s="22">
        <v>67891</v>
      </c>
      <c r="FI224" s="18">
        <v>0.65</v>
      </c>
      <c r="FJ224" s="22">
        <v>271564</v>
      </c>
      <c r="FK224" s="11" t="s">
        <v>319</v>
      </c>
      <c r="FM224" s="18"/>
      <c r="FO224" s="11" t="s">
        <v>319</v>
      </c>
      <c r="FQ224" s="18"/>
      <c r="FS224" s="11" t="s">
        <v>319</v>
      </c>
      <c r="FU224" s="18"/>
      <c r="FW224" s="11" t="s">
        <v>319</v>
      </c>
      <c r="FY224" s="18"/>
      <c r="GA224" s="11" t="s">
        <v>319</v>
      </c>
      <c r="GC224" s="18"/>
      <c r="GE224" s="11" t="s">
        <v>319</v>
      </c>
      <c r="GG224" s="18"/>
      <c r="GI224" s="11" t="s">
        <v>319</v>
      </c>
      <c r="GK224" s="18"/>
      <c r="GM224" s="11" t="s">
        <v>319</v>
      </c>
      <c r="GO224" s="18"/>
      <c r="GQ224" s="11" t="s">
        <v>319</v>
      </c>
      <c r="GS224" s="18"/>
      <c r="GU224" s="11" t="s">
        <v>319</v>
      </c>
      <c r="GW224" s="18"/>
      <c r="GY224" s="11" t="s">
        <v>320</v>
      </c>
      <c r="GZ224" s="22">
        <v>67891</v>
      </c>
      <c r="HA224" s="18">
        <v>0.65</v>
      </c>
      <c r="HB224" s="22">
        <v>271564</v>
      </c>
      <c r="HF224" s="18"/>
      <c r="HH224" s="11" t="s">
        <v>319</v>
      </c>
      <c r="HK224" s="11" t="s">
        <v>319</v>
      </c>
      <c r="HL224" s="11" t="s">
        <v>320</v>
      </c>
      <c r="HM224" s="11" t="s">
        <v>328</v>
      </c>
      <c r="HN224" s="11">
        <v>2017</v>
      </c>
      <c r="HO224" s="11" t="s">
        <v>3943</v>
      </c>
      <c r="HP224" s="11" t="s">
        <v>418</v>
      </c>
      <c r="HQ224" s="11" t="s">
        <v>319</v>
      </c>
      <c r="HR224" s="11" t="s">
        <v>319</v>
      </c>
      <c r="HS224" s="11" t="s">
        <v>320</v>
      </c>
      <c r="HT224" s="11" t="s">
        <v>320</v>
      </c>
      <c r="HU224" s="11" t="s">
        <v>319</v>
      </c>
      <c r="HV224" s="11" t="s">
        <v>320</v>
      </c>
      <c r="HW224" s="11" t="s">
        <v>319</v>
      </c>
      <c r="HX224" s="11" t="s">
        <v>319</v>
      </c>
      <c r="HZ224" s="11" t="s">
        <v>331</v>
      </c>
      <c r="IB224" s="11" t="s">
        <v>667</v>
      </c>
      <c r="ID224" s="11" t="s">
        <v>334</v>
      </c>
      <c r="IE224" s="11" t="s">
        <v>335</v>
      </c>
      <c r="IF224" s="11" t="s">
        <v>320</v>
      </c>
      <c r="IG224" s="11" t="s">
        <v>320</v>
      </c>
      <c r="IH224" s="11" t="s">
        <v>320</v>
      </c>
      <c r="II224" s="11" t="s">
        <v>320</v>
      </c>
      <c r="IJ224" s="12" t="str">
        <f t="shared" si="130"/>
        <v>2. Sensitive</v>
      </c>
      <c r="IK224" s="12">
        <f t="shared" si="131"/>
        <v>4</v>
      </c>
      <c r="IL224" s="11" t="s">
        <v>336</v>
      </c>
      <c r="IM224" s="11" t="s">
        <v>320</v>
      </c>
      <c r="IN224" s="11" t="s">
        <v>320</v>
      </c>
      <c r="IO224" s="11" t="s">
        <v>320</v>
      </c>
      <c r="IP224" s="11" t="s">
        <v>320</v>
      </c>
      <c r="IQ224" s="12" t="str">
        <f t="shared" si="132"/>
        <v>2. Accommodating</v>
      </c>
      <c r="IR224" s="12">
        <f t="shared" si="133"/>
        <v>4</v>
      </c>
      <c r="IS224" s="11" t="s">
        <v>337</v>
      </c>
      <c r="IT224" s="11" t="s">
        <v>320</v>
      </c>
      <c r="IU224" s="11" t="s">
        <v>320</v>
      </c>
      <c r="IV224" s="11" t="s">
        <v>320</v>
      </c>
      <c r="IW224" s="11" t="str">
        <f t="shared" si="134"/>
        <v>2. Sensitive</v>
      </c>
      <c r="IX224" s="12">
        <f t="shared" si="135"/>
        <v>3</v>
      </c>
      <c r="IY224" s="11" t="s">
        <v>419</v>
      </c>
      <c r="IZ224" s="11" t="s">
        <v>432</v>
      </c>
      <c r="JB224" s="11" t="s">
        <v>687</v>
      </c>
      <c r="JC224" s="11" t="s">
        <v>433</v>
      </c>
      <c r="JE224" s="11" t="s">
        <v>365</v>
      </c>
      <c r="JF224" s="11" t="s">
        <v>3909</v>
      </c>
      <c r="JK224" s="11" t="s">
        <v>3944</v>
      </c>
      <c r="JL224" s="11" t="s">
        <v>3945</v>
      </c>
      <c r="JO224" s="11" t="s">
        <v>3946</v>
      </c>
      <c r="JP224" s="15">
        <f t="shared" si="136"/>
        <v>75000</v>
      </c>
      <c r="JQ224" s="15">
        <f t="shared" si="137"/>
        <v>271564</v>
      </c>
      <c r="JR224" s="279">
        <f t="shared" si="138"/>
        <v>3.6208533333333333</v>
      </c>
      <c r="JS224" s="17">
        <f t="shared" si="139"/>
        <v>0.7</v>
      </c>
      <c r="JT224" s="18">
        <f t="shared" si="140"/>
        <v>0.64803876802521687</v>
      </c>
      <c r="JU224" s="280">
        <f t="shared" si="141"/>
        <v>52500</v>
      </c>
      <c r="JV224" s="280">
        <f t="shared" si="142"/>
        <v>175984</v>
      </c>
      <c r="JW224" s="319" t="str">
        <f t="shared" si="143"/>
        <v/>
      </c>
      <c r="JX224" s="15">
        <f t="shared" si="144"/>
        <v>0</v>
      </c>
      <c r="JY224" s="15">
        <f t="shared" si="145"/>
        <v>0</v>
      </c>
      <c r="JZ224" s="19" t="str">
        <f t="shared" si="146"/>
        <v/>
      </c>
      <c r="KA224" s="52">
        <f t="shared" si="147"/>
        <v>1</v>
      </c>
      <c r="KB224" s="15">
        <f t="shared" si="148"/>
        <v>67891</v>
      </c>
      <c r="KC224" s="15">
        <f t="shared" si="149"/>
        <v>271564</v>
      </c>
      <c r="KD224" s="20">
        <f t="shared" si="150"/>
        <v>4</v>
      </c>
      <c r="KE224" s="52" t="str">
        <f t="shared" si="151"/>
        <v/>
      </c>
      <c r="KF224" s="15">
        <f t="shared" si="152"/>
        <v>0</v>
      </c>
      <c r="KG224" s="15">
        <f t="shared" si="153"/>
        <v>0</v>
      </c>
      <c r="KH224" s="21" t="str">
        <f t="shared" si="154"/>
        <v/>
      </c>
      <c r="KI224" s="52" t="str">
        <f t="shared" si="155"/>
        <v/>
      </c>
      <c r="KJ224" s="15">
        <f t="shared" si="156"/>
        <v>0</v>
      </c>
      <c r="KK224" s="15">
        <f t="shared" si="157"/>
        <v>0</v>
      </c>
      <c r="KL224" s="19" t="str">
        <f t="shared" si="158"/>
        <v/>
      </c>
      <c r="KM224" s="52">
        <f t="shared" si="159"/>
        <v>1</v>
      </c>
      <c r="KN224" s="22">
        <f t="shared" si="160"/>
        <v>67891</v>
      </c>
      <c r="KO224" s="22">
        <f t="shared" si="161"/>
        <v>271564</v>
      </c>
      <c r="KP224" s="19">
        <f t="shared" si="162"/>
        <v>4</v>
      </c>
      <c r="KQ224" s="11" t="str">
        <f t="shared" si="163"/>
        <v>2. Sensitive</v>
      </c>
      <c r="KR224" s="11" t="str">
        <f t="shared" si="164"/>
        <v>2. Accommodating</v>
      </c>
      <c r="KS224" s="11" t="str">
        <f t="shared" si="165"/>
        <v>2. Sensitive</v>
      </c>
      <c r="KT224" s="11" t="str">
        <f t="shared" si="166"/>
        <v>It tested new ways for fighting poverty and measured results of innovation</v>
      </c>
      <c r="KU224" s="11" t="str">
        <f t="shared" si="167"/>
        <v>Little or no advocacy</v>
      </c>
      <c r="KV224" s="11" t="str">
        <f t="shared" si="168"/>
        <v>It took tested solutions to scale on its own</v>
      </c>
      <c r="KW224" s="11" t="str">
        <f t="shared" si="169"/>
        <v>Ethiopia - POWER Africa: Promoting Opportunities for Women's Economic Empowerment in Rural Africa</v>
      </c>
      <c r="KX224" s="11" t="str">
        <f t="shared" si="170"/>
        <v>POWER Africa: Promoting Opportunities for Women's Economic Empowerment in Rural Africa</v>
      </c>
      <c r="KY224" s="11" t="str">
        <f t="shared" si="171"/>
        <v>Ethiopia</v>
      </c>
      <c r="KZ224" s="12">
        <v>224</v>
      </c>
    </row>
    <row r="225" spans="1:312" x14ac:dyDescent="0.3">
      <c r="A225" s="11" t="s">
        <v>3868</v>
      </c>
      <c r="B225" s="11" t="s">
        <v>1874</v>
      </c>
      <c r="D225" s="11" t="s">
        <v>4145</v>
      </c>
      <c r="E225" s="24" t="str">
        <f t="shared" si="129"/>
        <v>Ethiopia</v>
      </c>
      <c r="G225" s="11" t="s">
        <v>379</v>
      </c>
      <c r="H225" s="11" t="s">
        <v>310</v>
      </c>
      <c r="I225" s="11" t="s">
        <v>384</v>
      </c>
      <c r="J225" s="278" t="s">
        <v>4991</v>
      </c>
      <c r="BD225" s="23">
        <v>41196</v>
      </c>
      <c r="BE225" s="23">
        <v>43022</v>
      </c>
      <c r="BF225" s="23">
        <v>43311</v>
      </c>
      <c r="BG225" s="11" t="s">
        <v>749</v>
      </c>
      <c r="BH225" s="22">
        <v>11700000</v>
      </c>
      <c r="BI225" s="11" t="s">
        <v>3949</v>
      </c>
      <c r="BJ225" s="11" t="s">
        <v>4146</v>
      </c>
      <c r="BK225" s="11" t="s">
        <v>4147</v>
      </c>
      <c r="BO225" s="11" t="s">
        <v>319</v>
      </c>
      <c r="BP225" s="11" t="s">
        <v>320</v>
      </c>
      <c r="BQ225" s="11" t="s">
        <v>319</v>
      </c>
      <c r="BR225" s="11" t="s">
        <v>4148</v>
      </c>
      <c r="BS225" s="11" t="s">
        <v>357</v>
      </c>
      <c r="BT225" s="11" t="s">
        <v>4149</v>
      </c>
      <c r="BU225" s="11" t="s">
        <v>3957</v>
      </c>
      <c r="BV225" s="22">
        <v>892500</v>
      </c>
      <c r="BW225" s="22">
        <v>857500</v>
      </c>
      <c r="BX225" s="22">
        <v>1750000</v>
      </c>
      <c r="CA225" s="22">
        <v>1750000</v>
      </c>
      <c r="CB225" s="15" t="s">
        <v>4150</v>
      </c>
      <c r="CJ225" s="11" t="s">
        <v>319</v>
      </c>
      <c r="CL225" s="18"/>
      <c r="CN225" s="11" t="s">
        <v>319</v>
      </c>
      <c r="CP225" s="18"/>
      <c r="CR225" s="11" t="s">
        <v>319</v>
      </c>
      <c r="CT225" s="18"/>
      <c r="CV225" s="11" t="s">
        <v>319</v>
      </c>
      <c r="CX225" s="18"/>
      <c r="CZ225" s="11" t="s">
        <v>319</v>
      </c>
      <c r="DB225" s="18"/>
      <c r="DD225" s="11" t="s">
        <v>319</v>
      </c>
      <c r="DF225" s="18"/>
      <c r="DH225" s="11" t="s">
        <v>319</v>
      </c>
      <c r="DJ225" s="18"/>
      <c r="DL225" s="11" t="s">
        <v>319</v>
      </c>
      <c r="DN225" s="18"/>
      <c r="DP225" s="11" t="s">
        <v>319</v>
      </c>
      <c r="DR225" s="18"/>
      <c r="DT225" s="11" t="s">
        <v>319</v>
      </c>
      <c r="DV225" s="18"/>
      <c r="DX225" s="11" t="s">
        <v>319</v>
      </c>
      <c r="DZ225" s="18"/>
      <c r="EB225" s="11" t="s">
        <v>319</v>
      </c>
      <c r="ED225" s="18"/>
      <c r="EI225" s="18"/>
      <c r="EK225" s="22">
        <v>94619</v>
      </c>
      <c r="EL225" s="22">
        <v>62244</v>
      </c>
      <c r="EM225" s="22">
        <v>156863</v>
      </c>
      <c r="EQ225" s="12" t="s">
        <v>319</v>
      </c>
      <c r="ES225" s="18"/>
      <c r="EU225" s="11" t="s">
        <v>320</v>
      </c>
      <c r="EV225" s="22">
        <v>7553</v>
      </c>
      <c r="EW225" s="18">
        <v>0.25</v>
      </c>
      <c r="EY225" s="12" t="s">
        <v>319</v>
      </c>
      <c r="FA225" s="18"/>
      <c r="FC225" s="12" t="s">
        <v>320</v>
      </c>
      <c r="FD225" s="22">
        <v>7553</v>
      </c>
      <c r="FE225" s="18">
        <v>0.25</v>
      </c>
      <c r="FG225" s="12" t="s">
        <v>320</v>
      </c>
      <c r="FH225" s="22">
        <v>53886</v>
      </c>
      <c r="FI225" s="18">
        <v>0.59899999999999998</v>
      </c>
      <c r="FK225" s="11" t="s">
        <v>319</v>
      </c>
      <c r="FM225" s="18"/>
      <c r="FO225" s="12" t="s">
        <v>320</v>
      </c>
      <c r="FP225" s="22">
        <v>110222</v>
      </c>
      <c r="FQ225" s="18">
        <v>0.54</v>
      </c>
      <c r="FS225" s="11" t="s">
        <v>319</v>
      </c>
      <c r="FU225" s="18"/>
      <c r="FW225" s="11" t="s">
        <v>319</v>
      </c>
      <c r="FY225" s="18"/>
      <c r="GA225" s="11" t="s">
        <v>319</v>
      </c>
      <c r="GC225" s="18"/>
      <c r="GE225" s="11" t="s">
        <v>319</v>
      </c>
      <c r="GG225" s="18"/>
      <c r="GI225" s="11" t="s">
        <v>320</v>
      </c>
      <c r="GJ225" s="22">
        <v>777</v>
      </c>
      <c r="GK225" s="18">
        <v>0.24</v>
      </c>
      <c r="GM225" s="11" t="s">
        <v>319</v>
      </c>
      <c r="GO225" s="18"/>
      <c r="GQ225" s="11" t="s">
        <v>319</v>
      </c>
      <c r="GS225" s="18"/>
      <c r="GU225" s="11" t="s">
        <v>319</v>
      </c>
      <c r="GW225" s="18"/>
      <c r="GY225" s="11" t="s">
        <v>319</v>
      </c>
      <c r="HA225" s="18"/>
      <c r="HD225" s="11" t="s">
        <v>319</v>
      </c>
      <c r="HF225" s="18"/>
      <c r="HH225" s="11" t="s">
        <v>320</v>
      </c>
      <c r="HI225" s="11" t="s">
        <v>451</v>
      </c>
      <c r="HJ225" s="11">
        <v>2017</v>
      </c>
      <c r="HK225" s="11" t="s">
        <v>320</v>
      </c>
      <c r="HL225" s="11" t="s">
        <v>320</v>
      </c>
      <c r="HM225" s="11" t="s">
        <v>327</v>
      </c>
      <c r="HN225" s="11">
        <v>2017</v>
      </c>
      <c r="HO225" s="11" t="s">
        <v>4151</v>
      </c>
      <c r="HP225" s="11" t="s">
        <v>418</v>
      </c>
      <c r="HQ225" s="11" t="s">
        <v>319</v>
      </c>
      <c r="HR225" s="11" t="s">
        <v>319</v>
      </c>
      <c r="HS225" s="11" t="s">
        <v>320</v>
      </c>
      <c r="HT225" s="11" t="s">
        <v>319</v>
      </c>
      <c r="HU225" s="11" t="s">
        <v>320</v>
      </c>
      <c r="HV225" s="11" t="s">
        <v>319</v>
      </c>
      <c r="HW225" s="11" t="s">
        <v>319</v>
      </c>
      <c r="HX225" s="11" t="s">
        <v>319</v>
      </c>
      <c r="HZ225" s="11" t="s">
        <v>331</v>
      </c>
      <c r="IA225" s="11" t="s">
        <v>4152</v>
      </c>
      <c r="IB225" s="11" t="s">
        <v>667</v>
      </c>
      <c r="IC225" s="11" t="s">
        <v>4153</v>
      </c>
      <c r="IE225" s="11" t="s">
        <v>478</v>
      </c>
      <c r="IF225" s="11" t="s">
        <v>320</v>
      </c>
      <c r="IG225" s="11" t="s">
        <v>320</v>
      </c>
      <c r="IH225" s="11" t="s">
        <v>320</v>
      </c>
      <c r="II225" s="11" t="s">
        <v>319</v>
      </c>
      <c r="IJ225" s="12" t="str">
        <f t="shared" si="130"/>
        <v>3. Responsive</v>
      </c>
      <c r="IK225" s="12">
        <f t="shared" si="131"/>
        <v>3</v>
      </c>
      <c r="IL225" s="11" t="s">
        <v>621</v>
      </c>
      <c r="IM225" s="11" t="s">
        <v>320</v>
      </c>
      <c r="IO225" s="11" t="s">
        <v>320</v>
      </c>
      <c r="IP225" s="11" t="s">
        <v>320</v>
      </c>
      <c r="IQ225" s="12" t="str">
        <f t="shared" si="132"/>
        <v>3. Responsive</v>
      </c>
      <c r="IR225" s="12">
        <f t="shared" si="133"/>
        <v>3</v>
      </c>
      <c r="IS225" s="11" t="s">
        <v>622</v>
      </c>
      <c r="IT225" s="11" t="s">
        <v>320</v>
      </c>
      <c r="IU225" s="11" t="s">
        <v>320</v>
      </c>
      <c r="IV225" s="11" t="s">
        <v>320</v>
      </c>
      <c r="IW225" s="11" t="str">
        <f t="shared" si="134"/>
        <v>4. Transformative</v>
      </c>
      <c r="IX225" s="12">
        <f t="shared" si="135"/>
        <v>3</v>
      </c>
      <c r="IY225" s="11" t="s">
        <v>758</v>
      </c>
      <c r="IZ225" s="11" t="s">
        <v>457</v>
      </c>
      <c r="JA225" s="11">
        <v>9</v>
      </c>
      <c r="JB225" s="11" t="s">
        <v>433</v>
      </c>
      <c r="JC225" s="11" t="s">
        <v>624</v>
      </c>
      <c r="JD225" s="11" t="s">
        <v>687</v>
      </c>
      <c r="JE225" s="11" t="s">
        <v>340</v>
      </c>
      <c r="JF225" s="11" t="s">
        <v>4154</v>
      </c>
      <c r="JG225" s="11" t="s">
        <v>4155</v>
      </c>
      <c r="JH225" s="11" t="s">
        <v>4156</v>
      </c>
      <c r="JI225" s="11" t="s">
        <v>4157</v>
      </c>
      <c r="JJ225" s="11" t="s">
        <v>4158</v>
      </c>
      <c r="JK225" s="11" t="s">
        <v>4159</v>
      </c>
      <c r="JL225" s="11" t="s">
        <v>4160</v>
      </c>
      <c r="JM225" s="11" t="s">
        <v>4161</v>
      </c>
      <c r="JO225" s="11" t="s">
        <v>4162</v>
      </c>
      <c r="JP225" s="15">
        <f t="shared" si="136"/>
        <v>156863</v>
      </c>
      <c r="JQ225" s="15">
        <f t="shared" si="137"/>
        <v>0</v>
      </c>
      <c r="JR225" s="279">
        <f t="shared" si="138"/>
        <v>0</v>
      </c>
      <c r="JS225" s="17">
        <f t="shared" si="139"/>
        <v>0.60319514480788972</v>
      </c>
      <c r="JT225" s="18" t="str">
        <f t="shared" si="140"/>
        <v/>
      </c>
      <c r="JU225" s="280">
        <f t="shared" si="141"/>
        <v>94619</v>
      </c>
      <c r="JV225" s="280">
        <f t="shared" si="142"/>
        <v>0</v>
      </c>
      <c r="JW225" s="319" t="str">
        <f t="shared" si="143"/>
        <v/>
      </c>
      <c r="JX225" s="15">
        <f t="shared" si="144"/>
        <v>0</v>
      </c>
      <c r="JY225" s="15">
        <f t="shared" si="145"/>
        <v>0</v>
      </c>
      <c r="JZ225" s="19" t="str">
        <f t="shared" si="146"/>
        <v/>
      </c>
      <c r="KA225" s="52">
        <f t="shared" si="147"/>
        <v>1</v>
      </c>
      <c r="KB225" s="15">
        <f t="shared" si="148"/>
        <v>110222</v>
      </c>
      <c r="KC225" s="15">
        <f t="shared" si="149"/>
        <v>0</v>
      </c>
      <c r="KD225" s="20">
        <f t="shared" si="150"/>
        <v>0</v>
      </c>
      <c r="KE225" s="52" t="str">
        <f t="shared" si="151"/>
        <v/>
      </c>
      <c r="KF225" s="15">
        <f t="shared" si="152"/>
        <v>0</v>
      </c>
      <c r="KG225" s="15">
        <f t="shared" si="153"/>
        <v>0</v>
      </c>
      <c r="KH225" s="21" t="str">
        <f t="shared" si="154"/>
        <v/>
      </c>
      <c r="KI225" s="52" t="str">
        <f t="shared" si="155"/>
        <v/>
      </c>
      <c r="KJ225" s="15">
        <f t="shared" si="156"/>
        <v>0</v>
      </c>
      <c r="KK225" s="15">
        <f t="shared" si="157"/>
        <v>0</v>
      </c>
      <c r="KL225" s="19" t="str">
        <f t="shared" si="158"/>
        <v/>
      </c>
      <c r="KM225" s="52">
        <f t="shared" si="159"/>
        <v>1</v>
      </c>
      <c r="KN225" s="22">
        <f t="shared" si="160"/>
        <v>32277.714</v>
      </c>
      <c r="KO225" s="22">
        <f t="shared" si="161"/>
        <v>0</v>
      </c>
      <c r="KP225" s="19">
        <f t="shared" si="162"/>
        <v>0</v>
      </c>
      <c r="KQ225" s="11" t="str">
        <f t="shared" si="163"/>
        <v>3. Responsive</v>
      </c>
      <c r="KR225" s="11" t="str">
        <f t="shared" si="164"/>
        <v>3. Responsive</v>
      </c>
      <c r="KS225" s="11" t="str">
        <f t="shared" si="165"/>
        <v>4. Transformative</v>
      </c>
      <c r="KT225" s="11" t="str">
        <f t="shared" si="166"/>
        <v>It tested new ways for fighting poverty and measured results of innovation</v>
      </c>
      <c r="KU225" s="11" t="str">
        <f t="shared" si="167"/>
        <v>Little or no advocacy</v>
      </c>
      <c r="KV225" s="11" t="str">
        <f t="shared" si="168"/>
        <v>It took tested solutions to scale on its own</v>
      </c>
      <c r="KW225" s="11" t="str">
        <f t="shared" si="169"/>
        <v>Ethiopia - PRIME (Pastoralist Areas Resilience Improvement and Market Expansion)</v>
      </c>
      <c r="KX225" s="11" t="str">
        <f t="shared" si="170"/>
        <v>PRIME (Pastoralist Areas Resilience Improvement and Market Expansion)</v>
      </c>
      <c r="KY225" s="11" t="str">
        <f t="shared" si="171"/>
        <v>Ethiopia</v>
      </c>
      <c r="KZ225" s="12">
        <v>225</v>
      </c>
    </row>
    <row r="226" spans="1:312" x14ac:dyDescent="0.3">
      <c r="A226" s="11" t="s">
        <v>3868</v>
      </c>
      <c r="B226" s="11" t="s">
        <v>1874</v>
      </c>
      <c r="D226" s="11" t="s">
        <v>3947</v>
      </c>
      <c r="E226" s="24" t="str">
        <f t="shared" si="129"/>
        <v>Ethiopia</v>
      </c>
      <c r="F226" s="11" t="s">
        <v>3948</v>
      </c>
      <c r="G226" s="11" t="s">
        <v>425</v>
      </c>
      <c r="H226" s="11" t="s">
        <v>380</v>
      </c>
      <c r="I226" s="11" t="s">
        <v>517</v>
      </c>
      <c r="J226" s="278" t="s">
        <v>14578</v>
      </c>
      <c r="BD226" s="23">
        <v>42795</v>
      </c>
      <c r="BE226" s="23">
        <v>43890</v>
      </c>
      <c r="BF226" s="23">
        <v>44074</v>
      </c>
      <c r="BG226" s="11" t="s">
        <v>350</v>
      </c>
      <c r="BH226" s="22">
        <v>3341670.6</v>
      </c>
      <c r="BI226" s="11" t="s">
        <v>3949</v>
      </c>
      <c r="BJ226" s="11" t="s">
        <v>3950</v>
      </c>
      <c r="BK226" s="11" t="s">
        <v>3951</v>
      </c>
      <c r="BL226" s="11" t="s">
        <v>3952</v>
      </c>
      <c r="BM226" s="11" t="s">
        <v>3953</v>
      </c>
      <c r="BN226" s="11" t="s">
        <v>3954</v>
      </c>
      <c r="BO226" s="11" t="s">
        <v>319</v>
      </c>
      <c r="BP226" s="11" t="s">
        <v>320</v>
      </c>
      <c r="BQ226" s="11" t="s">
        <v>319</v>
      </c>
      <c r="BR226" s="11" t="s">
        <v>3955</v>
      </c>
      <c r="BS226" s="11" t="s">
        <v>1535</v>
      </c>
      <c r="BT226" s="11" t="s">
        <v>3956</v>
      </c>
      <c r="BU226" s="11" t="s">
        <v>3957</v>
      </c>
      <c r="BV226" s="22">
        <v>35000</v>
      </c>
      <c r="BW226" s="22">
        <v>15000</v>
      </c>
      <c r="BX226" s="22">
        <v>50000</v>
      </c>
      <c r="BY226" s="22">
        <v>92048</v>
      </c>
      <c r="BZ226" s="22">
        <v>39449</v>
      </c>
      <c r="CA226" s="22">
        <v>131497</v>
      </c>
      <c r="CL226" s="18"/>
      <c r="CP226" s="18"/>
      <c r="CT226" s="18"/>
      <c r="CX226" s="18"/>
      <c r="DB226" s="18"/>
      <c r="DF226" s="18"/>
      <c r="DJ226" s="18"/>
      <c r="DN226" s="18"/>
      <c r="DR226" s="18"/>
      <c r="DV226" s="18"/>
      <c r="DZ226" s="18"/>
      <c r="ED226" s="18"/>
      <c r="EI226" s="18"/>
      <c r="EK226" s="22">
        <v>11667</v>
      </c>
      <c r="EL226" s="22">
        <v>5000</v>
      </c>
      <c r="EM226" s="22">
        <v>16667</v>
      </c>
      <c r="EN226" s="22">
        <v>30682</v>
      </c>
      <c r="EO226" s="22">
        <v>13150</v>
      </c>
      <c r="EP226" s="22">
        <v>43832</v>
      </c>
      <c r="EQ226" s="12" t="s">
        <v>320</v>
      </c>
      <c r="ER226" s="22">
        <v>29975</v>
      </c>
      <c r="ES226" s="18">
        <v>0.31</v>
      </c>
      <c r="ET226" s="22">
        <v>149875</v>
      </c>
      <c r="EU226" s="11" t="s">
        <v>320</v>
      </c>
      <c r="EW226" s="18"/>
      <c r="EY226" s="12" t="s">
        <v>319</v>
      </c>
      <c r="FA226" s="18"/>
      <c r="FC226" s="11" t="s">
        <v>320</v>
      </c>
      <c r="FE226" s="18"/>
      <c r="FG226" s="12" t="s">
        <v>320</v>
      </c>
      <c r="FH226" s="22">
        <v>110</v>
      </c>
      <c r="FI226" s="18">
        <v>1</v>
      </c>
      <c r="FJ226" s="22">
        <v>550</v>
      </c>
      <c r="FK226" s="11" t="s">
        <v>319</v>
      </c>
      <c r="FM226" s="18"/>
      <c r="FO226" s="12" t="s">
        <v>320</v>
      </c>
      <c r="FP226" s="22">
        <v>45898</v>
      </c>
      <c r="FQ226" s="18">
        <v>0.39</v>
      </c>
      <c r="FR226" s="22">
        <v>229490</v>
      </c>
      <c r="FS226" s="11" t="s">
        <v>319</v>
      </c>
      <c r="FU226" s="18"/>
      <c r="FW226" s="11" t="s">
        <v>320</v>
      </c>
      <c r="FX226" s="22">
        <v>276</v>
      </c>
      <c r="FY226" s="18">
        <v>0.62</v>
      </c>
      <c r="FZ226" s="22">
        <v>1380</v>
      </c>
      <c r="GA226" s="11" t="s">
        <v>320</v>
      </c>
      <c r="GB226" s="22">
        <v>115</v>
      </c>
      <c r="GC226" s="18">
        <v>0.78</v>
      </c>
      <c r="GD226" s="22">
        <v>133752</v>
      </c>
      <c r="GE226" s="11" t="s">
        <v>319</v>
      </c>
      <c r="GG226" s="18"/>
      <c r="GI226" s="11" t="s">
        <v>320</v>
      </c>
      <c r="GJ226" s="22">
        <v>12785</v>
      </c>
      <c r="GK226" s="18">
        <v>0.54</v>
      </c>
      <c r="GL226" s="22">
        <v>63925</v>
      </c>
      <c r="GM226" s="11" t="s">
        <v>319</v>
      </c>
      <c r="GO226" s="18"/>
      <c r="GQ226" s="12" t="s">
        <v>320</v>
      </c>
      <c r="GR226" s="22">
        <v>115</v>
      </c>
      <c r="GS226" s="18">
        <v>0.78</v>
      </c>
      <c r="GT226" s="22">
        <v>133752</v>
      </c>
      <c r="GU226" s="12" t="s">
        <v>320</v>
      </c>
      <c r="GV226" s="22">
        <v>29023</v>
      </c>
      <c r="GW226" s="18">
        <v>0.55000000000000004</v>
      </c>
      <c r="GX226" s="22">
        <v>145115</v>
      </c>
      <c r="GY226" s="11" t="s">
        <v>319</v>
      </c>
      <c r="HA226" s="18"/>
      <c r="HF226" s="18"/>
      <c r="HH226" s="11" t="s">
        <v>319</v>
      </c>
      <c r="HK226" s="11" t="s">
        <v>319</v>
      </c>
      <c r="HL226" s="11" t="s">
        <v>320</v>
      </c>
      <c r="HM226" s="11" t="s">
        <v>416</v>
      </c>
      <c r="HN226" s="11">
        <v>2018</v>
      </c>
      <c r="HO226" s="11" t="s">
        <v>3958</v>
      </c>
      <c r="HP226" s="11" t="s">
        <v>418</v>
      </c>
      <c r="HQ226" s="11" t="s">
        <v>319</v>
      </c>
      <c r="HT226" s="11" t="s">
        <v>319</v>
      </c>
      <c r="HW226" s="11" t="s">
        <v>319</v>
      </c>
      <c r="HZ226" s="11" t="s">
        <v>331</v>
      </c>
      <c r="IA226" s="11" t="s">
        <v>3959</v>
      </c>
      <c r="IB226" s="11" t="s">
        <v>396</v>
      </c>
      <c r="IC226" s="11" t="s">
        <v>3960</v>
      </c>
      <c r="ID226" s="11" t="s">
        <v>364</v>
      </c>
      <c r="IE226" s="11" t="s">
        <v>335</v>
      </c>
      <c r="IF226" s="11" t="s">
        <v>320</v>
      </c>
      <c r="IG226" s="11" t="s">
        <v>320</v>
      </c>
      <c r="IH226" s="11" t="s">
        <v>320</v>
      </c>
      <c r="II226" s="11" t="s">
        <v>320</v>
      </c>
      <c r="IJ226" s="12" t="str">
        <f t="shared" si="130"/>
        <v>2. Sensitive</v>
      </c>
      <c r="IK226" s="12">
        <f t="shared" si="131"/>
        <v>4</v>
      </c>
      <c r="IL226" s="11" t="s">
        <v>336</v>
      </c>
      <c r="IM226" s="11" t="s">
        <v>320</v>
      </c>
      <c r="IN226" s="11" t="s">
        <v>319</v>
      </c>
      <c r="IO226" s="11" t="s">
        <v>320</v>
      </c>
      <c r="IP226" s="11" t="s">
        <v>320</v>
      </c>
      <c r="IQ226" s="12" t="str">
        <f t="shared" si="132"/>
        <v>2. Accommodating</v>
      </c>
      <c r="IR226" s="12">
        <f t="shared" si="133"/>
        <v>3</v>
      </c>
      <c r="IS226" s="11" t="s">
        <v>622</v>
      </c>
      <c r="IT226" s="11" t="s">
        <v>320</v>
      </c>
      <c r="IU226" s="11" t="s">
        <v>320</v>
      </c>
      <c r="IV226" s="11" t="s">
        <v>320</v>
      </c>
      <c r="IW226" s="11" t="str">
        <f t="shared" si="134"/>
        <v>4. Transformative</v>
      </c>
      <c r="IX226" s="12">
        <f t="shared" si="135"/>
        <v>3</v>
      </c>
      <c r="IY226" s="11" t="s">
        <v>419</v>
      </c>
      <c r="IZ226" s="11" t="s">
        <v>457</v>
      </c>
      <c r="JA226" s="11">
        <v>4</v>
      </c>
      <c r="JB226" s="11" t="s">
        <v>687</v>
      </c>
      <c r="JC226" s="11" t="s">
        <v>831</v>
      </c>
      <c r="JD226" s="11" t="s">
        <v>433</v>
      </c>
      <c r="JE226" s="11" t="s">
        <v>420</v>
      </c>
      <c r="JG226" s="11" t="s">
        <v>3961</v>
      </c>
      <c r="JH226" s="11" t="s">
        <v>3962</v>
      </c>
      <c r="JK226" s="11" t="s">
        <v>3963</v>
      </c>
      <c r="JL226" s="11" t="s">
        <v>3964</v>
      </c>
      <c r="JM226" s="11" t="s">
        <v>3965</v>
      </c>
      <c r="JP226" s="15">
        <f t="shared" si="136"/>
        <v>16667</v>
      </c>
      <c r="JQ226" s="15">
        <f t="shared" si="137"/>
        <v>43832</v>
      </c>
      <c r="JR226" s="279">
        <f t="shared" si="138"/>
        <v>2.6298674026519469</v>
      </c>
      <c r="JS226" s="17">
        <f t="shared" si="139"/>
        <v>0.70000599988000245</v>
      </c>
      <c r="JT226" s="18">
        <f t="shared" si="140"/>
        <v>0.69999087424712536</v>
      </c>
      <c r="JU226" s="280">
        <f t="shared" si="141"/>
        <v>11667</v>
      </c>
      <c r="JV226" s="280">
        <f t="shared" si="142"/>
        <v>30682</v>
      </c>
      <c r="JW226" s="319" t="str">
        <f t="shared" si="143"/>
        <v/>
      </c>
      <c r="JX226" s="15">
        <f t="shared" si="144"/>
        <v>0</v>
      </c>
      <c r="JY226" s="15">
        <f t="shared" si="145"/>
        <v>0</v>
      </c>
      <c r="JZ226" s="19" t="str">
        <f t="shared" si="146"/>
        <v/>
      </c>
      <c r="KA226" s="52">
        <f t="shared" si="147"/>
        <v>1</v>
      </c>
      <c r="KB226" s="15">
        <f t="shared" si="148"/>
        <v>45898</v>
      </c>
      <c r="KC226" s="15">
        <f t="shared" si="149"/>
        <v>229490</v>
      </c>
      <c r="KD226" s="20">
        <f t="shared" si="150"/>
        <v>5</v>
      </c>
      <c r="KE226" s="52">
        <f t="shared" si="151"/>
        <v>1</v>
      </c>
      <c r="KF226" s="15">
        <f t="shared" si="152"/>
        <v>115</v>
      </c>
      <c r="KG226" s="15">
        <f t="shared" si="153"/>
        <v>133752</v>
      </c>
      <c r="KH226" s="21">
        <f t="shared" si="154"/>
        <v>1163.0608695652174</v>
      </c>
      <c r="KI226" s="52" t="str">
        <f t="shared" si="155"/>
        <v/>
      </c>
      <c r="KJ226" s="15">
        <f t="shared" si="156"/>
        <v>0</v>
      </c>
      <c r="KK226" s="15">
        <f t="shared" si="157"/>
        <v>0</v>
      </c>
      <c r="KL226" s="19" t="str">
        <f t="shared" si="158"/>
        <v/>
      </c>
      <c r="KM226" s="52">
        <f t="shared" si="159"/>
        <v>1</v>
      </c>
      <c r="KN226" s="22">
        <f t="shared" si="160"/>
        <v>110</v>
      </c>
      <c r="KO226" s="22">
        <f t="shared" si="161"/>
        <v>550</v>
      </c>
      <c r="KP226" s="19">
        <f t="shared" si="162"/>
        <v>5</v>
      </c>
      <c r="KQ226" s="11" t="str">
        <f t="shared" si="163"/>
        <v>2. Sensitive</v>
      </c>
      <c r="KR226" s="11" t="str">
        <f t="shared" si="164"/>
        <v>2. Accommodating</v>
      </c>
      <c r="KS226" s="11" t="str">
        <f t="shared" si="165"/>
        <v>4. Transformative</v>
      </c>
      <c r="KT226" s="11" t="str">
        <f t="shared" si="166"/>
        <v>It tested new ways for fighting poverty and measured results of innovation</v>
      </c>
      <c r="KU226" s="11" t="str">
        <f t="shared" si="167"/>
        <v>Little or no advocacy</v>
      </c>
      <c r="KV226" s="11" t="str">
        <f t="shared" si="168"/>
        <v>It linked and worked with strategic alliances and partners to take tested and effective solutions to scale</v>
      </c>
      <c r="KW226" s="11" t="str">
        <f t="shared" si="169"/>
        <v>Ethiopia - Resilience building &amp; creation of Economic opportunities in Ethiopia</v>
      </c>
      <c r="KX226" s="11" t="str">
        <f t="shared" si="170"/>
        <v>Resilience building &amp; creation of Economic opportunities in Ethiopia</v>
      </c>
      <c r="KY226" s="11" t="str">
        <f t="shared" si="171"/>
        <v>Ethiopia</v>
      </c>
      <c r="KZ226" s="12">
        <v>226</v>
      </c>
    </row>
    <row r="227" spans="1:312" x14ac:dyDescent="0.3">
      <c r="A227" s="282" t="s">
        <v>3868</v>
      </c>
      <c r="B227" s="282" t="s">
        <v>1874</v>
      </c>
      <c r="C227" s="282"/>
      <c r="D227" s="282" t="s">
        <v>4163</v>
      </c>
      <c r="E227" s="24" t="str">
        <f t="shared" si="129"/>
        <v>Ethiopia</v>
      </c>
      <c r="F227" s="282" t="s">
        <v>4164</v>
      </c>
      <c r="G227" s="282" t="s">
        <v>379</v>
      </c>
      <c r="H227" s="282" t="s">
        <v>384</v>
      </c>
      <c r="I227" s="282" t="s">
        <v>384</v>
      </c>
      <c r="J227" s="278" t="s">
        <v>14627</v>
      </c>
      <c r="K227" s="282"/>
      <c r="L227" s="282"/>
      <c r="M227" s="282"/>
      <c r="N227" s="282"/>
      <c r="O227" s="282"/>
      <c r="P227" s="282"/>
      <c r="Q227" s="282"/>
      <c r="R227" s="282"/>
      <c r="S227" s="282"/>
      <c r="T227" s="282"/>
      <c r="U227" s="282"/>
      <c r="V227" s="282"/>
      <c r="W227" s="282"/>
      <c r="X227" s="282"/>
      <c r="Y227" s="282"/>
      <c r="Z227" s="282"/>
      <c r="AA227" s="282"/>
      <c r="AB227" s="282"/>
      <c r="AC227" s="282"/>
      <c r="AD227" s="282"/>
      <c r="AE227" s="282"/>
      <c r="AF227" s="282"/>
      <c r="AG227" s="282"/>
      <c r="AH227" s="282"/>
      <c r="AI227" s="282"/>
      <c r="AJ227" s="282"/>
      <c r="AK227" s="282"/>
      <c r="AL227" s="282"/>
      <c r="AM227" s="282"/>
      <c r="AN227" s="282"/>
      <c r="AO227" s="282"/>
      <c r="AP227" s="282"/>
      <c r="AQ227" s="282"/>
      <c r="AR227" s="282"/>
      <c r="AS227" s="282"/>
      <c r="AT227" s="282"/>
      <c r="AU227" s="282"/>
      <c r="AV227" s="282"/>
      <c r="AW227" s="282"/>
      <c r="AX227" s="282"/>
      <c r="AY227" s="282"/>
      <c r="AZ227" s="282"/>
      <c r="BA227" s="282"/>
      <c r="BB227" s="282"/>
      <c r="BC227" s="282"/>
      <c r="BD227" s="283">
        <v>42005</v>
      </c>
      <c r="BE227" s="283">
        <v>42735</v>
      </c>
      <c r="BF227" s="283"/>
      <c r="BG227" s="283" t="s">
        <v>908</v>
      </c>
      <c r="BH227" s="284">
        <v>466669</v>
      </c>
      <c r="BI227" s="282" t="s">
        <v>3887</v>
      </c>
      <c r="BJ227" s="282" t="s">
        <v>3888</v>
      </c>
      <c r="BK227" s="282" t="s">
        <v>3889</v>
      </c>
      <c r="BL227" s="282" t="s">
        <v>3998</v>
      </c>
      <c r="BM227" s="282" t="s">
        <v>3999</v>
      </c>
      <c r="BN227" s="282" t="s">
        <v>4000</v>
      </c>
      <c r="BO227" s="282" t="s">
        <v>320</v>
      </c>
      <c r="BP227" s="282" t="s">
        <v>319</v>
      </c>
      <c r="BQ227" s="282" t="s">
        <v>319</v>
      </c>
      <c r="BR227" s="282" t="s">
        <v>4165</v>
      </c>
      <c r="BS227" s="282" t="s">
        <v>357</v>
      </c>
      <c r="BT227" s="282" t="s">
        <v>4166</v>
      </c>
      <c r="BU227" s="282" t="s">
        <v>3957</v>
      </c>
      <c r="BV227" s="284">
        <v>96900</v>
      </c>
      <c r="BW227" s="284">
        <v>93100</v>
      </c>
      <c r="BX227" s="284">
        <v>190000</v>
      </c>
      <c r="BY227" s="284"/>
      <c r="BZ227" s="284"/>
      <c r="CA227" s="284"/>
      <c r="CB227" s="285" t="s">
        <v>4167</v>
      </c>
      <c r="CC227" s="285"/>
      <c r="CD227" s="284">
        <v>54996</v>
      </c>
      <c r="CE227" s="284">
        <v>79994</v>
      </c>
      <c r="CF227" s="284">
        <v>134990</v>
      </c>
      <c r="CG227" s="284"/>
      <c r="CH227" s="284"/>
      <c r="CI227" s="284"/>
      <c r="CJ227" s="282" t="s">
        <v>319</v>
      </c>
      <c r="CK227" s="284"/>
      <c r="CL227" s="286"/>
      <c r="CM227" s="284"/>
      <c r="CN227" s="287" t="s">
        <v>319</v>
      </c>
      <c r="CO227" s="284"/>
      <c r="CP227" s="286"/>
      <c r="CQ227" s="284"/>
      <c r="CR227" s="282" t="s">
        <v>319</v>
      </c>
      <c r="CS227" s="284"/>
      <c r="CT227" s="286"/>
      <c r="CU227" s="284"/>
      <c r="CV227" s="289" t="s">
        <v>320</v>
      </c>
      <c r="CW227" s="290">
        <v>134990</v>
      </c>
      <c r="CX227" s="291">
        <v>0.41</v>
      </c>
      <c r="CY227" s="290"/>
      <c r="CZ227" s="282" t="s">
        <v>319</v>
      </c>
      <c r="DA227" s="284"/>
      <c r="DB227" s="286"/>
      <c r="DC227" s="284"/>
      <c r="DD227" s="287" t="s">
        <v>319</v>
      </c>
      <c r="DE227" s="284"/>
      <c r="DF227" s="286"/>
      <c r="DG227" s="284"/>
      <c r="DH227" s="282" t="s">
        <v>319</v>
      </c>
      <c r="DI227" s="284"/>
      <c r="DJ227" s="286"/>
      <c r="DK227" s="284"/>
      <c r="DL227" s="282" t="s">
        <v>319</v>
      </c>
      <c r="DM227" s="284"/>
      <c r="DN227" s="286"/>
      <c r="DO227" s="284"/>
      <c r="DP227" s="282" t="s">
        <v>319</v>
      </c>
      <c r="DQ227" s="284"/>
      <c r="DR227" s="286"/>
      <c r="DS227" s="284"/>
      <c r="DT227" s="282" t="s">
        <v>319</v>
      </c>
      <c r="DU227" s="284"/>
      <c r="DV227" s="286"/>
      <c r="DW227" s="284"/>
      <c r="DX227" s="282" t="s">
        <v>319</v>
      </c>
      <c r="DY227" s="284"/>
      <c r="DZ227" s="286"/>
      <c r="EA227" s="284"/>
      <c r="EB227" s="282" t="s">
        <v>320</v>
      </c>
      <c r="EC227" s="284">
        <v>134990</v>
      </c>
      <c r="ED227" s="286">
        <v>0.41</v>
      </c>
      <c r="EE227" s="284"/>
      <c r="EF227" s="285"/>
      <c r="EG227" s="287" t="s">
        <v>319</v>
      </c>
      <c r="EH227" s="284"/>
      <c r="EI227" s="286"/>
      <c r="EJ227" s="284"/>
      <c r="EK227" s="284"/>
      <c r="EL227" s="284"/>
      <c r="EM227" s="284"/>
      <c r="EN227" s="284"/>
      <c r="EO227" s="284"/>
      <c r="EP227" s="284"/>
      <c r="EQ227" s="282"/>
      <c r="ER227" s="284"/>
      <c r="ES227" s="286"/>
      <c r="ET227" s="284"/>
      <c r="EU227" s="282"/>
      <c r="EV227" s="284"/>
      <c r="EW227" s="286"/>
      <c r="EX227" s="284"/>
      <c r="EY227" s="282"/>
      <c r="EZ227" s="284"/>
      <c r="FA227" s="286"/>
      <c r="FB227" s="284"/>
      <c r="FC227" s="282"/>
      <c r="FD227" s="284"/>
      <c r="FE227" s="286"/>
      <c r="FF227" s="284"/>
      <c r="FG227" s="282"/>
      <c r="FH227" s="284"/>
      <c r="FI227" s="286"/>
      <c r="FJ227" s="284"/>
      <c r="FK227" s="282"/>
      <c r="FL227" s="284"/>
      <c r="FM227" s="286"/>
      <c r="FN227" s="284"/>
      <c r="FO227" s="292"/>
      <c r="FP227" s="290"/>
      <c r="FQ227" s="291"/>
      <c r="FR227" s="290"/>
      <c r="FS227" s="282"/>
      <c r="FT227" s="284"/>
      <c r="FU227" s="286"/>
      <c r="FV227" s="284"/>
      <c r="FW227" s="282"/>
      <c r="FX227" s="284"/>
      <c r="FY227" s="286"/>
      <c r="FZ227" s="284"/>
      <c r="GA227" s="282"/>
      <c r="GB227" s="284"/>
      <c r="GC227" s="286"/>
      <c r="GD227" s="284"/>
      <c r="GE227" s="282"/>
      <c r="GF227" s="284"/>
      <c r="GG227" s="286"/>
      <c r="GH227" s="284"/>
      <c r="GI227" s="282"/>
      <c r="GJ227" s="284"/>
      <c r="GK227" s="286"/>
      <c r="GL227" s="284"/>
      <c r="GM227" s="282"/>
      <c r="GN227" s="284"/>
      <c r="GO227" s="286"/>
      <c r="GP227" s="284"/>
      <c r="GQ227" s="282"/>
      <c r="GR227" s="284"/>
      <c r="GS227" s="286"/>
      <c r="GT227" s="284"/>
      <c r="GU227" s="282"/>
      <c r="GV227" s="284"/>
      <c r="GW227" s="286"/>
      <c r="GX227" s="284"/>
      <c r="GY227" s="282"/>
      <c r="GZ227" s="284"/>
      <c r="HA227" s="286"/>
      <c r="HB227" s="284"/>
      <c r="HC227" s="282"/>
      <c r="HD227" s="282"/>
      <c r="HE227" s="284"/>
      <c r="HF227" s="286"/>
      <c r="HG227" s="284"/>
      <c r="HH227" s="282" t="s">
        <v>320</v>
      </c>
      <c r="HI227" s="282" t="s">
        <v>361</v>
      </c>
      <c r="HJ227" s="282">
        <v>2017</v>
      </c>
      <c r="HK227" s="282" t="s">
        <v>319</v>
      </c>
      <c r="HL227" s="282" t="s">
        <v>319</v>
      </c>
      <c r="HM227" s="282"/>
      <c r="HN227" s="282"/>
      <c r="HO227" s="282"/>
      <c r="HP227" s="282" t="s">
        <v>418</v>
      </c>
      <c r="HQ227" s="282" t="s">
        <v>319</v>
      </c>
      <c r="HR227" s="282" t="s">
        <v>319</v>
      </c>
      <c r="HS227" s="282" t="s">
        <v>319</v>
      </c>
      <c r="HT227" s="282" t="s">
        <v>319</v>
      </c>
      <c r="HU227" s="282" t="s">
        <v>319</v>
      </c>
      <c r="HV227" s="282" t="s">
        <v>319</v>
      </c>
      <c r="HW227" s="282" t="s">
        <v>319</v>
      </c>
      <c r="HX227" s="282" t="s">
        <v>319</v>
      </c>
      <c r="HY227" s="282"/>
      <c r="HZ227" s="282" t="s">
        <v>363</v>
      </c>
      <c r="IA227" s="282"/>
      <c r="IB227" s="282" t="s">
        <v>333</v>
      </c>
      <c r="IC227" s="282"/>
      <c r="ID227" s="282" t="s">
        <v>364</v>
      </c>
      <c r="IE227" s="282" t="s">
        <v>335</v>
      </c>
      <c r="IF227" s="282" t="s">
        <v>320</v>
      </c>
      <c r="IG227" s="282" t="s">
        <v>320</v>
      </c>
      <c r="IH227" s="282" t="s">
        <v>320</v>
      </c>
      <c r="II227" s="282" t="s">
        <v>320</v>
      </c>
      <c r="IJ227" s="12" t="str">
        <f t="shared" si="130"/>
        <v>2. Sensitive</v>
      </c>
      <c r="IK227" s="287">
        <f t="shared" si="131"/>
        <v>4</v>
      </c>
      <c r="IL227" s="282" t="s">
        <v>336</v>
      </c>
      <c r="IM227" s="282" t="s">
        <v>320</v>
      </c>
      <c r="IN227" s="282" t="s">
        <v>319</v>
      </c>
      <c r="IO227" s="282" t="s">
        <v>320</v>
      </c>
      <c r="IP227" s="282" t="s">
        <v>320</v>
      </c>
      <c r="IQ227" s="287" t="str">
        <f t="shared" si="132"/>
        <v>2. Accommodating</v>
      </c>
      <c r="IR227" s="287">
        <f t="shared" si="133"/>
        <v>3</v>
      </c>
      <c r="IS227" s="282" t="s">
        <v>337</v>
      </c>
      <c r="IT227" s="282" t="s">
        <v>320</v>
      </c>
      <c r="IU227" s="282" t="s">
        <v>320</v>
      </c>
      <c r="IV227" s="282" t="s">
        <v>320</v>
      </c>
      <c r="IW227" s="11" t="str">
        <f t="shared" si="134"/>
        <v>2. Sensitive</v>
      </c>
      <c r="IX227" s="287">
        <f t="shared" si="135"/>
        <v>3</v>
      </c>
      <c r="IY227" s="282" t="s">
        <v>419</v>
      </c>
      <c r="IZ227" s="282" t="s">
        <v>432</v>
      </c>
      <c r="JA227" s="282">
        <v>3</v>
      </c>
      <c r="JB227" s="282" t="s">
        <v>623</v>
      </c>
      <c r="JC227" s="282" t="s">
        <v>687</v>
      </c>
      <c r="JD227" s="282" t="s">
        <v>831</v>
      </c>
      <c r="JE227" s="282" t="s">
        <v>420</v>
      </c>
      <c r="JF227" s="282"/>
      <c r="JG227" s="282"/>
      <c r="JH227" s="282"/>
      <c r="JI227" s="282"/>
      <c r="JJ227" s="282"/>
      <c r="JK227" s="282" t="s">
        <v>4168</v>
      </c>
      <c r="JL227" s="282" t="s">
        <v>4169</v>
      </c>
      <c r="JM227" s="282"/>
      <c r="JN227" s="282"/>
      <c r="JO227" s="282"/>
      <c r="JP227" s="15">
        <f t="shared" si="136"/>
        <v>134990</v>
      </c>
      <c r="JQ227" s="15">
        <f t="shared" si="137"/>
        <v>0</v>
      </c>
      <c r="JR227" s="279">
        <f t="shared" si="138"/>
        <v>0</v>
      </c>
      <c r="JS227" s="17">
        <f t="shared" si="139"/>
        <v>0.40740795614489961</v>
      </c>
      <c r="JT227" s="18" t="str">
        <f t="shared" si="140"/>
        <v/>
      </c>
      <c r="JU227" s="280">
        <f t="shared" si="141"/>
        <v>54996</v>
      </c>
      <c r="JV227" s="280">
        <f t="shared" si="142"/>
        <v>0</v>
      </c>
      <c r="JW227" s="319">
        <f t="shared" si="143"/>
        <v>1</v>
      </c>
      <c r="JX227" s="15">
        <f t="shared" si="144"/>
        <v>134990</v>
      </c>
      <c r="JY227" s="15">
        <f t="shared" si="145"/>
        <v>0</v>
      </c>
      <c r="JZ227" s="19">
        <f t="shared" si="146"/>
        <v>0</v>
      </c>
      <c r="KA227" s="52">
        <f t="shared" si="147"/>
        <v>1</v>
      </c>
      <c r="KB227" s="15">
        <f t="shared" si="148"/>
        <v>134990</v>
      </c>
      <c r="KC227" s="15">
        <f t="shared" si="149"/>
        <v>0</v>
      </c>
      <c r="KD227" s="20">
        <f t="shared" si="150"/>
        <v>0</v>
      </c>
      <c r="KE227" s="52" t="str">
        <f t="shared" si="151"/>
        <v/>
      </c>
      <c r="KF227" s="15">
        <f t="shared" si="152"/>
        <v>0</v>
      </c>
      <c r="KG227" s="15">
        <f t="shared" si="153"/>
        <v>0</v>
      </c>
      <c r="KH227" s="21" t="str">
        <f t="shared" si="154"/>
        <v/>
      </c>
      <c r="KI227" s="52" t="str">
        <f t="shared" si="155"/>
        <v/>
      </c>
      <c r="KJ227" s="15">
        <f t="shared" si="156"/>
        <v>0</v>
      </c>
      <c r="KK227" s="15">
        <f t="shared" si="157"/>
        <v>0</v>
      </c>
      <c r="KL227" s="19" t="str">
        <f t="shared" si="158"/>
        <v/>
      </c>
      <c r="KM227" s="52" t="str">
        <f t="shared" si="159"/>
        <v/>
      </c>
      <c r="KN227" s="22">
        <f t="shared" si="160"/>
        <v>0</v>
      </c>
      <c r="KO227" s="22">
        <f t="shared" si="161"/>
        <v>0</v>
      </c>
      <c r="KP227" s="19" t="str">
        <f t="shared" si="162"/>
        <v/>
      </c>
      <c r="KQ227" s="11" t="str">
        <f t="shared" si="163"/>
        <v>2. Sensitive</v>
      </c>
      <c r="KR227" s="11" t="str">
        <f t="shared" si="164"/>
        <v>2. Accommodating</v>
      </c>
      <c r="KS227" s="11" t="str">
        <f t="shared" si="165"/>
        <v>2. Sensitive</v>
      </c>
      <c r="KT227" s="11" t="str">
        <f t="shared" si="166"/>
        <v>It did not develop any specific innovation</v>
      </c>
      <c r="KU227" s="11" t="str">
        <f t="shared" si="167"/>
        <v>Little or no advocacy</v>
      </c>
      <c r="KV227" s="11" t="str">
        <f t="shared" si="168"/>
        <v>It did not take tested solutions to scale</v>
      </c>
      <c r="KW227" s="11" t="str">
        <f t="shared" si="169"/>
        <v>Ethiopia - Safe Drinking Water for Vulnerable Communities in Afar region</v>
      </c>
      <c r="KX227" s="11" t="str">
        <f t="shared" si="170"/>
        <v>Safe Drinking Water for Vulnerable Communities in Afar region</v>
      </c>
      <c r="KY227" s="11" t="str">
        <f t="shared" si="171"/>
        <v>Ethiopia</v>
      </c>
      <c r="KZ227" s="12">
        <v>227</v>
      </c>
    </row>
    <row r="228" spans="1:312" x14ac:dyDescent="0.3">
      <c r="A228" s="11" t="s">
        <v>3868</v>
      </c>
      <c r="B228" s="11" t="s">
        <v>1874</v>
      </c>
      <c r="D228" s="11" t="s">
        <v>3986</v>
      </c>
      <c r="E228" s="24" t="str">
        <f t="shared" si="129"/>
        <v>Ethiopia</v>
      </c>
      <c r="F228" s="11" t="s">
        <v>3987</v>
      </c>
      <c r="G228" s="11" t="s">
        <v>605</v>
      </c>
      <c r="H228" s="11" t="s">
        <v>310</v>
      </c>
      <c r="I228" s="11" t="s">
        <v>384</v>
      </c>
      <c r="J228" s="278" t="s">
        <v>5183</v>
      </c>
      <c r="BD228" s="23">
        <v>42516</v>
      </c>
      <c r="BE228" s="23">
        <v>42819</v>
      </c>
      <c r="BG228" s="11" t="s">
        <v>908</v>
      </c>
      <c r="BH228" s="22">
        <v>2200000</v>
      </c>
      <c r="BI228" s="11" t="s">
        <v>3887</v>
      </c>
      <c r="BJ228" s="11" t="s">
        <v>3888</v>
      </c>
      <c r="BK228" s="11" t="s">
        <v>3889</v>
      </c>
      <c r="BL228" s="11" t="s">
        <v>3988</v>
      </c>
      <c r="BM228" s="11" t="s">
        <v>3989</v>
      </c>
      <c r="BN228" s="11" t="s">
        <v>3990</v>
      </c>
      <c r="BO228" s="11" t="s">
        <v>320</v>
      </c>
      <c r="BP228" s="11" t="s">
        <v>319</v>
      </c>
      <c r="BQ228" s="11" t="s">
        <v>319</v>
      </c>
      <c r="BR228" s="11" t="s">
        <v>3991</v>
      </c>
      <c r="BS228" s="11" t="s">
        <v>357</v>
      </c>
      <c r="BT228" s="11" t="s">
        <v>3992</v>
      </c>
      <c r="BU228" s="11" t="s">
        <v>3993</v>
      </c>
      <c r="BV228" s="22">
        <v>28768</v>
      </c>
      <c r="BW228" s="22">
        <v>159894</v>
      </c>
      <c r="BX228" s="22">
        <v>188662</v>
      </c>
      <c r="BY228" s="22">
        <v>115072</v>
      </c>
      <c r="BZ228" s="22">
        <v>639576</v>
      </c>
      <c r="CA228" s="22">
        <v>754648</v>
      </c>
      <c r="CB228" s="15" t="s">
        <v>3994</v>
      </c>
      <c r="CD228" s="22">
        <v>16584</v>
      </c>
      <c r="CE228" s="22">
        <v>94958</v>
      </c>
      <c r="CF228" s="22">
        <v>111542</v>
      </c>
      <c r="CG228" s="22">
        <v>66336</v>
      </c>
      <c r="CH228" s="22">
        <v>379832</v>
      </c>
      <c r="CI228" s="22">
        <v>446168</v>
      </c>
      <c r="CJ228" s="11" t="s">
        <v>319</v>
      </c>
      <c r="CL228" s="18"/>
      <c r="CN228" s="11" t="s">
        <v>320</v>
      </c>
      <c r="CP228" s="18"/>
      <c r="CR228" s="11" t="s">
        <v>319</v>
      </c>
      <c r="CT228" s="18"/>
      <c r="CV228" s="11" t="s">
        <v>319</v>
      </c>
      <c r="CX228" s="18"/>
      <c r="CZ228" s="11" t="s">
        <v>319</v>
      </c>
      <c r="DB228" s="18"/>
      <c r="DD228" s="11" t="s">
        <v>319</v>
      </c>
      <c r="DF228" s="18"/>
      <c r="DH228" s="11" t="s">
        <v>319</v>
      </c>
      <c r="DJ228" s="18"/>
      <c r="DL228" s="11" t="s">
        <v>320</v>
      </c>
      <c r="DM228" s="22">
        <v>111542</v>
      </c>
      <c r="DN228" s="18">
        <v>0.15</v>
      </c>
      <c r="DP228" s="11" t="s">
        <v>319</v>
      </c>
      <c r="DR228" s="18"/>
      <c r="DT228" s="11" t="s">
        <v>319</v>
      </c>
      <c r="DV228" s="18"/>
      <c r="DX228" s="11" t="s">
        <v>319</v>
      </c>
      <c r="DZ228" s="18"/>
      <c r="EB228" s="11" t="s">
        <v>319</v>
      </c>
      <c r="ED228" s="18"/>
      <c r="EG228" s="15" t="s">
        <v>319</v>
      </c>
      <c r="EI228" s="18"/>
      <c r="ES228" s="18"/>
      <c r="EW228" s="18"/>
      <c r="FA228" s="18"/>
      <c r="FE228" s="18"/>
      <c r="FI228" s="18"/>
      <c r="FM228" s="18"/>
      <c r="FQ228" s="18"/>
      <c r="FU228" s="18"/>
      <c r="FY228" s="18"/>
      <c r="GC228" s="18"/>
      <c r="GG228" s="18"/>
      <c r="GK228" s="18"/>
      <c r="GO228" s="18"/>
      <c r="GS228" s="18"/>
      <c r="GW228" s="18"/>
      <c r="HA228" s="18"/>
      <c r="HF228" s="18"/>
      <c r="HH228" s="11" t="s">
        <v>319</v>
      </c>
      <c r="HL228" s="11" t="s">
        <v>319</v>
      </c>
      <c r="HP228" s="11" t="s">
        <v>418</v>
      </c>
      <c r="HQ228" s="11" t="s">
        <v>319</v>
      </c>
      <c r="HT228" s="11" t="s">
        <v>319</v>
      </c>
      <c r="HW228" s="11" t="s">
        <v>319</v>
      </c>
      <c r="HZ228" s="11" t="s">
        <v>363</v>
      </c>
      <c r="IB228" s="11" t="s">
        <v>333</v>
      </c>
      <c r="ID228" s="11" t="s">
        <v>364</v>
      </c>
      <c r="IE228" s="11" t="s">
        <v>335</v>
      </c>
      <c r="IF228" s="11" t="s">
        <v>320</v>
      </c>
      <c r="IG228" s="11" t="s">
        <v>320</v>
      </c>
      <c r="IH228" s="11" t="s">
        <v>320</v>
      </c>
      <c r="II228" s="11" t="s">
        <v>320</v>
      </c>
      <c r="IJ228" s="12" t="str">
        <f t="shared" si="130"/>
        <v>2. Sensitive</v>
      </c>
      <c r="IK228" s="12">
        <f t="shared" si="131"/>
        <v>4</v>
      </c>
      <c r="IL228" s="11" t="s">
        <v>336</v>
      </c>
      <c r="IM228" s="11" t="s">
        <v>320</v>
      </c>
      <c r="IN228" s="11" t="s">
        <v>320</v>
      </c>
      <c r="IO228" s="11" t="s">
        <v>320</v>
      </c>
      <c r="IP228" s="11" t="s">
        <v>320</v>
      </c>
      <c r="IQ228" s="12" t="str">
        <f t="shared" si="132"/>
        <v>2. Accommodating</v>
      </c>
      <c r="IR228" s="12">
        <f t="shared" si="133"/>
        <v>4</v>
      </c>
      <c r="IS228" s="11" t="s">
        <v>337</v>
      </c>
      <c r="IT228" s="11" t="s">
        <v>320</v>
      </c>
      <c r="IU228" s="11" t="s">
        <v>320</v>
      </c>
      <c r="IV228" s="11" t="s">
        <v>320</v>
      </c>
      <c r="IW228" s="11" t="str">
        <f t="shared" si="134"/>
        <v>2. Sensitive</v>
      </c>
      <c r="IX228" s="12">
        <f t="shared" si="135"/>
        <v>3</v>
      </c>
      <c r="IY228" s="11" t="s">
        <v>419</v>
      </c>
      <c r="IZ228" s="11" t="s">
        <v>457</v>
      </c>
      <c r="JA228" s="11">
        <v>2</v>
      </c>
      <c r="JB228" s="11" t="s">
        <v>623</v>
      </c>
      <c r="JC228" s="11" t="s">
        <v>687</v>
      </c>
      <c r="JE228" s="11" t="s">
        <v>420</v>
      </c>
      <c r="JL228" s="11" t="s">
        <v>3995</v>
      </c>
      <c r="JP228" s="15">
        <f t="shared" si="136"/>
        <v>111542</v>
      </c>
      <c r="JQ228" s="15">
        <f t="shared" si="137"/>
        <v>446168</v>
      </c>
      <c r="JR228" s="279">
        <f t="shared" si="138"/>
        <v>4</v>
      </c>
      <c r="JS228" s="17">
        <f t="shared" si="139"/>
        <v>0.14867942120456867</v>
      </c>
      <c r="JT228" s="18">
        <f t="shared" si="140"/>
        <v>0.14867942120456867</v>
      </c>
      <c r="JU228" s="280">
        <f t="shared" si="141"/>
        <v>16584</v>
      </c>
      <c r="JV228" s="280">
        <f t="shared" si="142"/>
        <v>66336</v>
      </c>
      <c r="JW228" s="319">
        <f t="shared" si="143"/>
        <v>1</v>
      </c>
      <c r="JX228" s="15">
        <f t="shared" si="144"/>
        <v>111542</v>
      </c>
      <c r="JY228" s="15">
        <f t="shared" si="145"/>
        <v>446168</v>
      </c>
      <c r="JZ228" s="19">
        <f t="shared" si="146"/>
        <v>4</v>
      </c>
      <c r="KA228" s="52">
        <f t="shared" si="147"/>
        <v>1</v>
      </c>
      <c r="KB228" s="15">
        <f t="shared" si="148"/>
        <v>111542</v>
      </c>
      <c r="KC228" s="15">
        <f t="shared" si="149"/>
        <v>0</v>
      </c>
      <c r="KD228" s="20">
        <f t="shared" si="150"/>
        <v>0</v>
      </c>
      <c r="KE228" s="52" t="str">
        <f t="shared" si="151"/>
        <v/>
      </c>
      <c r="KF228" s="15">
        <f t="shared" si="152"/>
        <v>0</v>
      </c>
      <c r="KG228" s="15">
        <f t="shared" si="153"/>
        <v>0</v>
      </c>
      <c r="KH228" s="21" t="str">
        <f t="shared" si="154"/>
        <v/>
      </c>
      <c r="KI228" s="52" t="str">
        <f t="shared" si="155"/>
        <v/>
      </c>
      <c r="KJ228" s="15">
        <f t="shared" si="156"/>
        <v>0</v>
      </c>
      <c r="KK228" s="15">
        <f t="shared" si="157"/>
        <v>0</v>
      </c>
      <c r="KL228" s="19" t="str">
        <f t="shared" si="158"/>
        <v/>
      </c>
      <c r="KM228" s="52" t="str">
        <f t="shared" si="159"/>
        <v/>
      </c>
      <c r="KN228" s="22">
        <f t="shared" si="160"/>
        <v>0</v>
      </c>
      <c r="KO228" s="22">
        <f t="shared" si="161"/>
        <v>0</v>
      </c>
      <c r="KP228" s="19" t="str">
        <f t="shared" si="162"/>
        <v/>
      </c>
      <c r="KQ228" s="11" t="str">
        <f t="shared" si="163"/>
        <v>2. Sensitive</v>
      </c>
      <c r="KR228" s="11" t="str">
        <f t="shared" si="164"/>
        <v>2. Accommodating</v>
      </c>
      <c r="KS228" s="11" t="str">
        <f t="shared" si="165"/>
        <v>2. Sensitive</v>
      </c>
      <c r="KT228" s="11" t="str">
        <f t="shared" si="166"/>
        <v>It did not develop any specific innovation</v>
      </c>
      <c r="KU228" s="11" t="str">
        <f t="shared" si="167"/>
        <v>Little or no advocacy</v>
      </c>
      <c r="KV228" s="11" t="str">
        <f t="shared" si="168"/>
        <v>It did not take tested solutions to scale</v>
      </c>
      <c r="KW228" s="11" t="str">
        <f t="shared" si="169"/>
        <v>Ethiopia - Seed Emergency Response with the Government of Ethiopia (SERGE) Project</v>
      </c>
      <c r="KX228" s="11" t="str">
        <f t="shared" si="170"/>
        <v>Seed Emergency Response with the Government of Ethiopia (SERGE) Project</v>
      </c>
      <c r="KY228" s="11" t="str">
        <f t="shared" si="171"/>
        <v>Ethiopia</v>
      </c>
      <c r="KZ228" s="12">
        <v>228</v>
      </c>
    </row>
    <row r="229" spans="1:312" x14ac:dyDescent="0.3">
      <c r="A229" s="11" t="s">
        <v>3868</v>
      </c>
      <c r="B229" s="11" t="s">
        <v>1874</v>
      </c>
      <c r="D229" s="11" t="s">
        <v>4254</v>
      </c>
      <c r="E229" s="24" t="str">
        <f t="shared" si="129"/>
        <v>Ethiopia</v>
      </c>
      <c r="G229" s="11" t="s">
        <v>608</v>
      </c>
      <c r="H229" s="11" t="s">
        <v>310</v>
      </c>
      <c r="I229" s="11" t="s">
        <v>655</v>
      </c>
      <c r="J229" s="278" t="s">
        <v>4991</v>
      </c>
      <c r="BD229" s="23">
        <v>42644</v>
      </c>
      <c r="BE229" s="23">
        <v>44469</v>
      </c>
      <c r="BG229" s="11" t="s">
        <v>749</v>
      </c>
      <c r="BH229" s="22">
        <v>33194815</v>
      </c>
      <c r="BI229" s="11" t="s">
        <v>4255</v>
      </c>
      <c r="BJ229" s="11" t="s">
        <v>4256</v>
      </c>
      <c r="BK229" s="11" t="s">
        <v>4257</v>
      </c>
      <c r="BL229" s="11" t="s">
        <v>4258</v>
      </c>
      <c r="BM229" s="11" t="s">
        <v>4259</v>
      </c>
      <c r="BN229" s="11" t="s">
        <v>4260</v>
      </c>
      <c r="BO229" s="11" t="s">
        <v>320</v>
      </c>
      <c r="BP229" s="11" t="s">
        <v>320</v>
      </c>
      <c r="BQ229" s="12" t="s">
        <v>320</v>
      </c>
      <c r="BR229" s="11" t="s">
        <v>4261</v>
      </c>
      <c r="BS229" s="11" t="s">
        <v>357</v>
      </c>
      <c r="BT229" s="11" t="s">
        <v>4262</v>
      </c>
      <c r="BU229" s="11" t="s">
        <v>3895</v>
      </c>
      <c r="BV229" s="22">
        <v>53908</v>
      </c>
      <c r="BW229" s="22">
        <v>52273</v>
      </c>
      <c r="BX229" s="22">
        <v>106181</v>
      </c>
      <c r="CB229" s="15" t="s">
        <v>4263</v>
      </c>
      <c r="CL229" s="18"/>
      <c r="CP229" s="18"/>
      <c r="CT229" s="18"/>
      <c r="CX229" s="18"/>
      <c r="DB229" s="18"/>
      <c r="DF229" s="18"/>
      <c r="DJ229" s="18"/>
      <c r="DN229" s="18"/>
      <c r="DR229" s="18"/>
      <c r="DV229" s="18"/>
      <c r="DZ229" s="18"/>
      <c r="ED229" s="18"/>
      <c r="EI229" s="18"/>
      <c r="EK229" s="22">
        <v>53908</v>
      </c>
      <c r="EL229" s="22">
        <v>52273</v>
      </c>
      <c r="EM229" s="22">
        <v>106181</v>
      </c>
      <c r="EQ229" s="12" t="s">
        <v>320</v>
      </c>
      <c r="ER229" s="22">
        <v>305</v>
      </c>
      <c r="ES229" s="18">
        <v>0.54749999999999999</v>
      </c>
      <c r="EU229" s="11" t="s">
        <v>319</v>
      </c>
      <c r="EW229" s="18"/>
      <c r="EY229" s="12" t="s">
        <v>319</v>
      </c>
      <c r="FA229" s="18"/>
      <c r="FC229" s="12" t="s">
        <v>319</v>
      </c>
      <c r="FE229" s="18"/>
      <c r="FG229" s="12" t="s">
        <v>320</v>
      </c>
      <c r="FH229" s="22">
        <v>11935</v>
      </c>
      <c r="FI229" s="18">
        <v>0.53100000000000003</v>
      </c>
      <c r="FK229" s="11" t="s">
        <v>319</v>
      </c>
      <c r="FM229" s="18"/>
      <c r="FO229" s="12" t="s">
        <v>320</v>
      </c>
      <c r="FP229" s="22">
        <v>106181</v>
      </c>
      <c r="FQ229" s="18">
        <v>0.49</v>
      </c>
      <c r="FS229" s="11" t="s">
        <v>319</v>
      </c>
      <c r="FU229" s="18"/>
      <c r="FW229" s="11" t="s">
        <v>319</v>
      </c>
      <c r="FY229" s="18"/>
      <c r="GA229" s="11" t="s">
        <v>319</v>
      </c>
      <c r="GC229" s="18"/>
      <c r="GE229" s="12" t="s">
        <v>320</v>
      </c>
      <c r="GF229" s="22">
        <v>11480</v>
      </c>
      <c r="GG229" s="18">
        <v>0.53500000000000003</v>
      </c>
      <c r="GI229" s="11" t="s">
        <v>320</v>
      </c>
      <c r="GJ229" s="22">
        <v>168</v>
      </c>
      <c r="GK229" s="18">
        <v>0.255</v>
      </c>
      <c r="GM229" s="11" t="s">
        <v>319</v>
      </c>
      <c r="GO229" s="18"/>
      <c r="GQ229" s="11" t="s">
        <v>319</v>
      </c>
      <c r="GS229" s="18"/>
      <c r="GU229" s="12" t="s">
        <v>320</v>
      </c>
      <c r="GV229" s="22">
        <v>855</v>
      </c>
      <c r="GW229" s="18">
        <v>0.48499999999999999</v>
      </c>
      <c r="GY229" s="11" t="s">
        <v>319</v>
      </c>
      <c r="HA229" s="18"/>
      <c r="HF229" s="18"/>
      <c r="HH229" s="11" t="s">
        <v>319</v>
      </c>
      <c r="HL229" s="11" t="s">
        <v>320</v>
      </c>
      <c r="HM229" s="11" t="s">
        <v>522</v>
      </c>
      <c r="HN229" s="11">
        <v>2017</v>
      </c>
      <c r="HO229" s="11" t="s">
        <v>4264</v>
      </c>
      <c r="HP229" s="11" t="s">
        <v>330</v>
      </c>
      <c r="HT229" s="11" t="s">
        <v>320</v>
      </c>
      <c r="HU229" s="11" t="s">
        <v>320</v>
      </c>
      <c r="HV229" s="11" t="s">
        <v>320</v>
      </c>
      <c r="HZ229" s="11" t="s">
        <v>394</v>
      </c>
      <c r="IA229" s="11" t="s">
        <v>4265</v>
      </c>
      <c r="IB229" s="11" t="s">
        <v>396</v>
      </c>
      <c r="IC229" s="11" t="s">
        <v>4266</v>
      </c>
      <c r="ID229" s="11" t="s">
        <v>364</v>
      </c>
      <c r="IE229" s="11" t="s">
        <v>478</v>
      </c>
      <c r="IF229" s="11" t="s">
        <v>320</v>
      </c>
      <c r="IG229" s="11" t="s">
        <v>320</v>
      </c>
      <c r="IH229" s="11" t="s">
        <v>320</v>
      </c>
      <c r="II229" s="11" t="s">
        <v>320</v>
      </c>
      <c r="IJ229" s="12" t="str">
        <f t="shared" si="130"/>
        <v>4. Transformative</v>
      </c>
      <c r="IK229" s="12">
        <f t="shared" si="131"/>
        <v>4</v>
      </c>
      <c r="IL229" s="11" t="s">
        <v>336</v>
      </c>
      <c r="IM229" s="11" t="s">
        <v>320</v>
      </c>
      <c r="IN229" s="11" t="s">
        <v>320</v>
      </c>
      <c r="IO229" s="11" t="s">
        <v>320</v>
      </c>
      <c r="IP229" s="11" t="s">
        <v>320</v>
      </c>
      <c r="IQ229" s="12" t="str">
        <f t="shared" si="132"/>
        <v>2. Accommodating</v>
      </c>
      <c r="IR229" s="12">
        <f t="shared" si="133"/>
        <v>4</v>
      </c>
      <c r="IS229" s="11" t="s">
        <v>622</v>
      </c>
      <c r="IT229" s="11" t="s">
        <v>320</v>
      </c>
      <c r="IU229" s="11" t="s">
        <v>320</v>
      </c>
      <c r="IV229" s="11" t="s">
        <v>320</v>
      </c>
      <c r="IW229" s="11" t="str">
        <f t="shared" si="134"/>
        <v>4. Transformative</v>
      </c>
      <c r="IX229" s="12">
        <f t="shared" si="135"/>
        <v>3</v>
      </c>
      <c r="IY229" s="11" t="s">
        <v>758</v>
      </c>
      <c r="IZ229" s="11" t="s">
        <v>457</v>
      </c>
      <c r="JA229" s="11">
        <v>3</v>
      </c>
      <c r="JB229" s="11" t="s">
        <v>687</v>
      </c>
      <c r="JC229" s="11" t="s">
        <v>831</v>
      </c>
      <c r="JD229" s="12" t="s">
        <v>651</v>
      </c>
      <c r="JE229" s="11" t="s">
        <v>365</v>
      </c>
      <c r="JG229" s="11" t="s">
        <v>4267</v>
      </c>
      <c r="JP229" s="15">
        <f t="shared" si="136"/>
        <v>106181</v>
      </c>
      <c r="JQ229" s="15">
        <f t="shared" si="137"/>
        <v>0</v>
      </c>
      <c r="JR229" s="279">
        <f t="shared" si="138"/>
        <v>0</v>
      </c>
      <c r="JS229" s="17">
        <f t="shared" si="139"/>
        <v>0.50769911754457009</v>
      </c>
      <c r="JT229" s="18" t="str">
        <f t="shared" si="140"/>
        <v/>
      </c>
      <c r="JU229" s="280">
        <f t="shared" si="141"/>
        <v>53908</v>
      </c>
      <c r="JV229" s="280">
        <f t="shared" si="142"/>
        <v>0</v>
      </c>
      <c r="JW229" s="319">
        <f t="shared" si="143"/>
        <v>1</v>
      </c>
      <c r="JX229" s="15">
        <f t="shared" si="144"/>
        <v>0</v>
      </c>
      <c r="JY229" s="15">
        <f t="shared" si="145"/>
        <v>0</v>
      </c>
      <c r="JZ229" s="19" t="str">
        <f t="shared" si="146"/>
        <v/>
      </c>
      <c r="KA229" s="52">
        <f t="shared" si="147"/>
        <v>1</v>
      </c>
      <c r="KB229" s="15">
        <f t="shared" si="148"/>
        <v>106181</v>
      </c>
      <c r="KC229" s="15">
        <f t="shared" si="149"/>
        <v>0</v>
      </c>
      <c r="KD229" s="20">
        <f t="shared" si="150"/>
        <v>0</v>
      </c>
      <c r="KE229" s="52" t="str">
        <f t="shared" si="151"/>
        <v/>
      </c>
      <c r="KF229" s="15">
        <f t="shared" si="152"/>
        <v>0</v>
      </c>
      <c r="KG229" s="15">
        <f t="shared" si="153"/>
        <v>0</v>
      </c>
      <c r="KH229" s="21" t="str">
        <f t="shared" si="154"/>
        <v/>
      </c>
      <c r="KI229" s="52" t="str">
        <f t="shared" si="155"/>
        <v/>
      </c>
      <c r="KJ229" s="15">
        <f t="shared" si="156"/>
        <v>0</v>
      </c>
      <c r="KK229" s="15">
        <f t="shared" si="157"/>
        <v>0</v>
      </c>
      <c r="KL229" s="19" t="str">
        <f t="shared" si="158"/>
        <v/>
      </c>
      <c r="KM229" s="52">
        <f t="shared" si="159"/>
        <v>1</v>
      </c>
      <c r="KN229" s="22">
        <f t="shared" si="160"/>
        <v>6337.4850000000006</v>
      </c>
      <c r="KO229" s="22">
        <f t="shared" si="161"/>
        <v>0</v>
      </c>
      <c r="KP229" s="19">
        <f t="shared" si="162"/>
        <v>0</v>
      </c>
      <c r="KQ229" s="11" t="str">
        <f t="shared" si="163"/>
        <v>4. Transformative</v>
      </c>
      <c r="KR229" s="11" t="str">
        <f t="shared" si="164"/>
        <v>2. Accommodating</v>
      </c>
      <c r="KS229" s="11" t="str">
        <f t="shared" si="165"/>
        <v>4. Transformative</v>
      </c>
      <c r="KT229" s="11" t="str">
        <f t="shared" si="166"/>
        <v>It tested new ways for fighting poverty, but did not measure results of innovation</v>
      </c>
      <c r="KU229" s="11" t="str">
        <f t="shared" si="167"/>
        <v>Moderate advocacy</v>
      </c>
      <c r="KV229" s="11" t="str">
        <f t="shared" si="168"/>
        <v>It linked and worked with strategic alliances and partners to take tested and effective solutions to scale</v>
      </c>
      <c r="KW229" s="11" t="str">
        <f t="shared" si="169"/>
        <v>Ethiopia - Strengthining PSNP Institutions and Resilance</v>
      </c>
      <c r="KX229" s="11" t="str">
        <f t="shared" si="170"/>
        <v>Strengthining PSNP Institutions and Resilance</v>
      </c>
      <c r="KY229" s="11" t="str">
        <f t="shared" si="171"/>
        <v>Ethiopia</v>
      </c>
      <c r="KZ229" s="12">
        <v>229</v>
      </c>
    </row>
    <row r="230" spans="1:312" x14ac:dyDescent="0.3">
      <c r="A230" s="11" t="s">
        <v>3868</v>
      </c>
      <c r="B230" s="11" t="s">
        <v>1874</v>
      </c>
      <c r="C230" s="11" t="s">
        <v>4047</v>
      </c>
      <c r="D230" s="11" t="s">
        <v>4048</v>
      </c>
      <c r="E230" s="24" t="str">
        <f t="shared" si="129"/>
        <v>Ethiopia</v>
      </c>
      <c r="F230" s="11" t="s">
        <v>4047</v>
      </c>
      <c r="G230" s="11" t="s">
        <v>488</v>
      </c>
      <c r="H230" s="11" t="s">
        <v>310</v>
      </c>
      <c r="I230" s="11" t="s">
        <v>517</v>
      </c>
      <c r="J230" s="278" t="s">
        <v>14578</v>
      </c>
      <c r="BD230" s="23">
        <v>42384</v>
      </c>
      <c r="BE230" s="23">
        <v>42931</v>
      </c>
      <c r="BF230" s="23">
        <v>43115</v>
      </c>
      <c r="BG230" s="11" t="s">
        <v>908</v>
      </c>
      <c r="BH230" s="22">
        <v>10062583.59</v>
      </c>
      <c r="BI230" s="11" t="s">
        <v>4049</v>
      </c>
      <c r="BJ230" s="11" t="s">
        <v>4050</v>
      </c>
      <c r="BK230" s="11" t="s">
        <v>4051</v>
      </c>
      <c r="BO230" s="11" t="s">
        <v>320</v>
      </c>
      <c r="BP230" s="11" t="s">
        <v>320</v>
      </c>
      <c r="BQ230" s="11" t="s">
        <v>320</v>
      </c>
      <c r="BR230" s="11" t="s">
        <v>4052</v>
      </c>
      <c r="BS230" s="11" t="s">
        <v>357</v>
      </c>
      <c r="BT230" s="11" t="s">
        <v>4053</v>
      </c>
      <c r="BU230" s="11" t="s">
        <v>3895</v>
      </c>
      <c r="BV230" s="22">
        <v>1280926</v>
      </c>
      <c r="BW230" s="22">
        <v>1354726</v>
      </c>
      <c r="BX230" s="22">
        <v>2635652</v>
      </c>
      <c r="BY230" s="22">
        <v>42250</v>
      </c>
      <c r="BZ230" s="22">
        <v>158938</v>
      </c>
      <c r="CA230" s="22">
        <v>201188</v>
      </c>
      <c r="CD230" s="22">
        <v>342621</v>
      </c>
      <c r="CE230" s="22">
        <v>541113</v>
      </c>
      <c r="CF230" s="22">
        <v>883734</v>
      </c>
      <c r="CG230" s="22">
        <v>11301</v>
      </c>
      <c r="CH230" s="22">
        <v>63484</v>
      </c>
      <c r="CI230" s="22">
        <v>74785</v>
      </c>
      <c r="CJ230" s="11" t="s">
        <v>319</v>
      </c>
      <c r="CL230" s="18"/>
      <c r="CN230" s="11" t="s">
        <v>320</v>
      </c>
      <c r="CO230" s="22">
        <v>31034</v>
      </c>
      <c r="CP230" s="18">
        <v>0.60670000000000002</v>
      </c>
      <c r="CR230" s="11" t="s">
        <v>319</v>
      </c>
      <c r="CT230" s="18"/>
      <c r="CV230" s="11" t="s">
        <v>320</v>
      </c>
      <c r="CX230" s="18"/>
      <c r="CZ230" s="11" t="s">
        <v>319</v>
      </c>
      <c r="DB230" s="18"/>
      <c r="DD230" s="11" t="s">
        <v>320</v>
      </c>
      <c r="DF230" s="18"/>
      <c r="DH230" s="11" t="s">
        <v>319</v>
      </c>
      <c r="DJ230" s="18"/>
      <c r="DL230" s="11" t="s">
        <v>320</v>
      </c>
      <c r="DM230" s="22">
        <v>74785</v>
      </c>
      <c r="DN230" s="18"/>
      <c r="DP230" s="11" t="s">
        <v>319</v>
      </c>
      <c r="DR230" s="18"/>
      <c r="DT230" s="11" t="s">
        <v>319</v>
      </c>
      <c r="DV230" s="18"/>
      <c r="DX230" s="11" t="s">
        <v>319</v>
      </c>
      <c r="DZ230" s="18"/>
      <c r="EB230" s="11" t="s">
        <v>320</v>
      </c>
      <c r="ED230" s="18"/>
      <c r="EI230" s="18"/>
      <c r="EK230" s="22">
        <v>342621</v>
      </c>
      <c r="EL230" s="22">
        <v>541113</v>
      </c>
      <c r="EM230" s="22">
        <v>883734</v>
      </c>
      <c r="EN230" s="22">
        <v>11301</v>
      </c>
      <c r="EO230" s="22">
        <v>63484</v>
      </c>
      <c r="EP230" s="22">
        <v>74785</v>
      </c>
      <c r="EQ230" s="12" t="s">
        <v>320</v>
      </c>
      <c r="ER230" s="22">
        <v>74531</v>
      </c>
      <c r="ES230" s="18"/>
      <c r="EU230" s="11" t="s">
        <v>320</v>
      </c>
      <c r="EW230" s="18"/>
      <c r="EY230" s="12" t="s">
        <v>320</v>
      </c>
      <c r="FA230" s="18"/>
      <c r="FC230" s="12" t="s">
        <v>320</v>
      </c>
      <c r="FD230" s="22">
        <v>179</v>
      </c>
      <c r="FE230" s="18"/>
      <c r="FG230" s="12" t="s">
        <v>320</v>
      </c>
      <c r="FH230" s="22">
        <v>421</v>
      </c>
      <c r="FI230" s="18"/>
      <c r="FK230" s="11" t="s">
        <v>319</v>
      </c>
      <c r="FM230" s="18"/>
      <c r="FO230" s="11" t="s">
        <v>320</v>
      </c>
      <c r="FQ230" s="18"/>
      <c r="FS230" s="11" t="s">
        <v>319</v>
      </c>
      <c r="FU230" s="18"/>
      <c r="FW230" s="11" t="s">
        <v>320</v>
      </c>
      <c r="FX230" s="22">
        <v>30</v>
      </c>
      <c r="FY230" s="18"/>
      <c r="GA230" s="11" t="s">
        <v>319</v>
      </c>
      <c r="GC230" s="18"/>
      <c r="GE230" s="11" t="s">
        <v>320</v>
      </c>
      <c r="GG230" s="18"/>
      <c r="GI230" s="11" t="s">
        <v>320</v>
      </c>
      <c r="GJ230" s="22">
        <v>254</v>
      </c>
      <c r="GK230" s="18"/>
      <c r="GM230" s="11" t="s">
        <v>319</v>
      </c>
      <c r="GO230" s="18"/>
      <c r="GQ230" s="11" t="s">
        <v>319</v>
      </c>
      <c r="GS230" s="18"/>
      <c r="GU230" s="12" t="s">
        <v>320</v>
      </c>
      <c r="GV230" s="22">
        <v>60</v>
      </c>
      <c r="GW230" s="18"/>
      <c r="GY230" s="11" t="s">
        <v>320</v>
      </c>
      <c r="GZ230" s="22">
        <v>4313</v>
      </c>
      <c r="HA230" s="18"/>
      <c r="HF230" s="18"/>
      <c r="HH230" s="11" t="s">
        <v>320</v>
      </c>
      <c r="HI230" s="11" t="s">
        <v>415</v>
      </c>
      <c r="HJ230" s="11">
        <v>2017</v>
      </c>
      <c r="HK230" s="11" t="s">
        <v>320</v>
      </c>
      <c r="HL230" s="11" t="s">
        <v>320</v>
      </c>
      <c r="HM230" s="11" t="s">
        <v>619</v>
      </c>
      <c r="HN230" s="11">
        <v>2017</v>
      </c>
      <c r="HP230" s="11" t="s">
        <v>418</v>
      </c>
      <c r="HQ230" s="11" t="s">
        <v>319</v>
      </c>
      <c r="HR230" s="11" t="s">
        <v>319</v>
      </c>
      <c r="HT230" s="11" t="s">
        <v>320</v>
      </c>
      <c r="HU230" s="11" t="s">
        <v>320</v>
      </c>
      <c r="HV230" s="11" t="s">
        <v>320</v>
      </c>
      <c r="HW230" s="11" t="s">
        <v>319</v>
      </c>
      <c r="HZ230" s="11" t="s">
        <v>394</v>
      </c>
      <c r="IE230" s="11" t="s">
        <v>478</v>
      </c>
      <c r="IF230" s="11" t="s">
        <v>320</v>
      </c>
      <c r="IG230" s="11" t="s">
        <v>320</v>
      </c>
      <c r="IH230" s="11" t="s">
        <v>320</v>
      </c>
      <c r="II230" s="11" t="s">
        <v>320</v>
      </c>
      <c r="IJ230" s="12" t="str">
        <f t="shared" si="130"/>
        <v>4. Transformative</v>
      </c>
      <c r="IK230" s="12">
        <f t="shared" si="131"/>
        <v>4</v>
      </c>
      <c r="IL230" s="11" t="s">
        <v>336</v>
      </c>
      <c r="IM230" s="11" t="s">
        <v>320</v>
      </c>
      <c r="IN230" s="11" t="s">
        <v>320</v>
      </c>
      <c r="IO230" s="11" t="s">
        <v>320</v>
      </c>
      <c r="IP230" s="11" t="s">
        <v>319</v>
      </c>
      <c r="IQ230" s="12" t="str">
        <f t="shared" si="132"/>
        <v>2. Accommodating</v>
      </c>
      <c r="IR230" s="12">
        <f t="shared" si="133"/>
        <v>3</v>
      </c>
      <c r="IS230" s="11" t="s">
        <v>622</v>
      </c>
      <c r="IT230" s="11" t="s">
        <v>320</v>
      </c>
      <c r="IU230" s="11" t="s">
        <v>320</v>
      </c>
      <c r="IV230" s="11" t="s">
        <v>320</v>
      </c>
      <c r="IW230" s="11" t="str">
        <f t="shared" si="134"/>
        <v>4. Transformative</v>
      </c>
      <c r="IX230" s="12">
        <f t="shared" si="135"/>
        <v>3</v>
      </c>
      <c r="IY230" s="11" t="s">
        <v>419</v>
      </c>
      <c r="IZ230" s="11" t="s">
        <v>432</v>
      </c>
      <c r="JA230" s="11">
        <v>3</v>
      </c>
      <c r="JB230" s="11" t="s">
        <v>433</v>
      </c>
      <c r="JC230" s="11" t="s">
        <v>433</v>
      </c>
      <c r="JD230" s="11" t="s">
        <v>831</v>
      </c>
      <c r="JE230" s="11" t="s">
        <v>365</v>
      </c>
      <c r="JH230" s="11" t="s">
        <v>4054</v>
      </c>
      <c r="JI230" s="11" t="s">
        <v>4055</v>
      </c>
      <c r="JJ230" s="11" t="s">
        <v>4056</v>
      </c>
      <c r="JP230" s="15">
        <f t="shared" si="136"/>
        <v>883734</v>
      </c>
      <c r="JQ230" s="15">
        <f t="shared" si="137"/>
        <v>74785</v>
      </c>
      <c r="JR230" s="279">
        <f t="shared" si="138"/>
        <v>8.4623880036300517E-2</v>
      </c>
      <c r="JS230" s="17">
        <f t="shared" si="139"/>
        <v>0.38769697669208153</v>
      </c>
      <c r="JT230" s="18">
        <f t="shared" si="140"/>
        <v>0.15111319114795749</v>
      </c>
      <c r="JU230" s="280">
        <f t="shared" si="141"/>
        <v>342621</v>
      </c>
      <c r="JV230" s="280">
        <f t="shared" si="142"/>
        <v>11301</v>
      </c>
      <c r="JW230" s="319">
        <f t="shared" si="143"/>
        <v>1</v>
      </c>
      <c r="JX230" s="15">
        <f t="shared" si="144"/>
        <v>883734</v>
      </c>
      <c r="JY230" s="15">
        <f t="shared" si="145"/>
        <v>74785</v>
      </c>
      <c r="JZ230" s="19">
        <f t="shared" si="146"/>
        <v>8.4623880036300517E-2</v>
      </c>
      <c r="KA230" s="52">
        <f t="shared" si="147"/>
        <v>1</v>
      </c>
      <c r="KB230" s="15">
        <f t="shared" si="148"/>
        <v>74785</v>
      </c>
      <c r="KC230" s="15">
        <f t="shared" si="149"/>
        <v>0</v>
      </c>
      <c r="KD230" s="20">
        <f t="shared" si="150"/>
        <v>0</v>
      </c>
      <c r="KE230" s="52" t="str">
        <f t="shared" si="151"/>
        <v/>
      </c>
      <c r="KF230" s="15">
        <f t="shared" si="152"/>
        <v>0</v>
      </c>
      <c r="KG230" s="15">
        <f t="shared" si="153"/>
        <v>0</v>
      </c>
      <c r="KH230" s="21" t="str">
        <f t="shared" si="154"/>
        <v/>
      </c>
      <c r="KI230" s="52" t="str">
        <f t="shared" si="155"/>
        <v/>
      </c>
      <c r="KJ230" s="15">
        <f t="shared" si="156"/>
        <v>0</v>
      </c>
      <c r="KK230" s="15">
        <f t="shared" si="157"/>
        <v>0</v>
      </c>
      <c r="KL230" s="19" t="str">
        <f t="shared" si="158"/>
        <v/>
      </c>
      <c r="KM230" s="52">
        <f t="shared" si="159"/>
        <v>1</v>
      </c>
      <c r="KN230" s="22">
        <f t="shared" si="160"/>
        <v>4313</v>
      </c>
      <c r="KO230" s="22">
        <f t="shared" si="161"/>
        <v>0</v>
      </c>
      <c r="KP230" s="19">
        <f t="shared" si="162"/>
        <v>0</v>
      </c>
      <c r="KQ230" s="11" t="str">
        <f t="shared" si="163"/>
        <v>4. Transformative</v>
      </c>
      <c r="KR230" s="11" t="str">
        <f t="shared" si="164"/>
        <v>2. Accommodating</v>
      </c>
      <c r="KS230" s="11" t="str">
        <f t="shared" si="165"/>
        <v>4. Transformative</v>
      </c>
      <c r="KT230" s="11" t="str">
        <f t="shared" si="166"/>
        <v>It tested new ways for fighting poverty, but did not measure results of innovation</v>
      </c>
      <c r="KU230" s="11" t="str">
        <f t="shared" si="167"/>
        <v>Little or no advocacy</v>
      </c>
      <c r="KV230" s="11">
        <f t="shared" si="168"/>
        <v>0</v>
      </c>
      <c r="KW230" s="11" t="str">
        <f t="shared" si="169"/>
        <v>Ethiopia - Support to Early Recovery and Socio-Economic Stability of the Drought Affected Population in Ethiopia</v>
      </c>
      <c r="KX230" s="11" t="str">
        <f t="shared" si="170"/>
        <v>Support to Early Recovery and Socio-Economic Stability of the Drought Affected Population in Ethiopia</v>
      </c>
      <c r="KY230" s="11" t="str">
        <f t="shared" si="171"/>
        <v>Ethiopia</v>
      </c>
      <c r="KZ230" s="12">
        <v>230</v>
      </c>
    </row>
    <row r="231" spans="1:312" x14ac:dyDescent="0.3">
      <c r="A231" s="11" t="s">
        <v>3868</v>
      </c>
      <c r="B231" s="11" t="s">
        <v>1874</v>
      </c>
      <c r="D231" s="11" t="s">
        <v>4170</v>
      </c>
      <c r="E231" s="24" t="str">
        <f t="shared" si="129"/>
        <v>Ethiopia</v>
      </c>
      <c r="F231" s="11" t="s">
        <v>4171</v>
      </c>
      <c r="G231" s="11" t="s">
        <v>379</v>
      </c>
      <c r="H231" s="11" t="s">
        <v>489</v>
      </c>
      <c r="I231" s="11" t="s">
        <v>384</v>
      </c>
      <c r="J231" s="278" t="s">
        <v>14628</v>
      </c>
      <c r="BD231" s="23">
        <v>42005</v>
      </c>
      <c r="BE231" s="23">
        <v>43100</v>
      </c>
      <c r="BG231" s="11" t="s">
        <v>490</v>
      </c>
      <c r="BH231" s="22">
        <v>669000</v>
      </c>
      <c r="BI231" s="11" t="s">
        <v>4033</v>
      </c>
      <c r="BJ231" s="11" t="s">
        <v>4034</v>
      </c>
      <c r="BK231" s="11" t="s">
        <v>4035</v>
      </c>
      <c r="BL231" s="11" t="s">
        <v>4172</v>
      </c>
      <c r="BM231" s="11" t="s">
        <v>4173</v>
      </c>
      <c r="BN231" s="11" t="s">
        <v>4174</v>
      </c>
      <c r="BO231" s="12" t="s">
        <v>319</v>
      </c>
      <c r="BP231" s="12" t="s">
        <v>320</v>
      </c>
      <c r="BQ231" s="12" t="s">
        <v>319</v>
      </c>
      <c r="BR231" s="11" t="s">
        <v>4175</v>
      </c>
      <c r="BS231" s="11" t="s">
        <v>357</v>
      </c>
      <c r="BT231" s="11" t="s">
        <v>4176</v>
      </c>
      <c r="BU231" s="11" t="s">
        <v>4177</v>
      </c>
      <c r="BV231" s="22">
        <v>3590</v>
      </c>
      <c r="BW231" s="22">
        <v>850</v>
      </c>
      <c r="BX231" s="22">
        <v>4440</v>
      </c>
      <c r="BY231" s="22">
        <v>2950</v>
      </c>
      <c r="BZ231" s="22">
        <v>4250</v>
      </c>
      <c r="CA231" s="22">
        <v>7200</v>
      </c>
      <c r="CB231" s="15" t="s">
        <v>4178</v>
      </c>
      <c r="CL231" s="18"/>
      <c r="CP231" s="18"/>
      <c r="CT231" s="18"/>
      <c r="CX231" s="18"/>
      <c r="DB231" s="18"/>
      <c r="DF231" s="18"/>
      <c r="DJ231" s="18"/>
      <c r="DN231" s="18"/>
      <c r="DR231" s="18"/>
      <c r="DV231" s="18"/>
      <c r="DZ231" s="18"/>
      <c r="ED231" s="18"/>
      <c r="EI231" s="18"/>
      <c r="EK231" s="22">
        <v>2585</v>
      </c>
      <c r="EL231" s="22">
        <v>545</v>
      </c>
      <c r="EM231" s="22">
        <v>3130</v>
      </c>
      <c r="EN231" s="22">
        <v>2719</v>
      </c>
      <c r="EO231" s="22">
        <v>4888</v>
      </c>
      <c r="EP231" s="22">
        <v>7607</v>
      </c>
      <c r="EQ231" s="12" t="s">
        <v>319</v>
      </c>
      <c r="ES231" s="18"/>
      <c r="EU231" s="11" t="s">
        <v>319</v>
      </c>
      <c r="EW231" s="18"/>
      <c r="EY231" s="12" t="s">
        <v>319</v>
      </c>
      <c r="FA231" s="18"/>
      <c r="FC231" s="12" t="s">
        <v>319</v>
      </c>
      <c r="FE231" s="18"/>
      <c r="FG231" s="12" t="s">
        <v>320</v>
      </c>
      <c r="FH231" s="22">
        <v>3130</v>
      </c>
      <c r="FI231" s="18">
        <v>0.82589999999999997</v>
      </c>
      <c r="FK231" s="11" t="s">
        <v>320</v>
      </c>
      <c r="FM231" s="18"/>
      <c r="FO231" s="11" t="s">
        <v>319</v>
      </c>
      <c r="FQ231" s="18"/>
      <c r="FS231" s="12" t="s">
        <v>320</v>
      </c>
      <c r="FT231" s="22">
        <v>2212</v>
      </c>
      <c r="FU231" s="18">
        <v>1</v>
      </c>
      <c r="FW231" s="11" t="s">
        <v>320</v>
      </c>
      <c r="FX231" s="22">
        <v>3130</v>
      </c>
      <c r="FY231" s="18">
        <v>0.83</v>
      </c>
      <c r="GA231" s="11" t="s">
        <v>319</v>
      </c>
      <c r="GC231" s="18"/>
      <c r="GE231" s="11" t="s">
        <v>319</v>
      </c>
      <c r="GG231" s="18"/>
      <c r="GI231" s="11" t="s">
        <v>319</v>
      </c>
      <c r="GK231" s="18"/>
      <c r="GM231" s="11" t="s">
        <v>319</v>
      </c>
      <c r="GO231" s="18"/>
      <c r="GQ231" s="12" t="s">
        <v>320</v>
      </c>
      <c r="GR231" s="22">
        <v>1665</v>
      </c>
      <c r="GS231" s="18">
        <v>1</v>
      </c>
      <c r="GU231" s="11" t="s">
        <v>319</v>
      </c>
      <c r="GW231" s="18"/>
      <c r="GY231" s="11" t="s">
        <v>320</v>
      </c>
      <c r="GZ231" s="22">
        <v>2585</v>
      </c>
      <c r="HA231" s="18">
        <v>1</v>
      </c>
      <c r="HF231" s="18"/>
      <c r="HH231" s="11" t="s">
        <v>319</v>
      </c>
      <c r="HK231" s="11" t="s">
        <v>319</v>
      </c>
      <c r="HL231" s="11" t="s">
        <v>320</v>
      </c>
      <c r="HM231" s="11" t="s">
        <v>327</v>
      </c>
      <c r="HN231" s="11">
        <v>2017</v>
      </c>
      <c r="HO231" s="11" t="s">
        <v>4136</v>
      </c>
      <c r="HP231" s="11" t="s">
        <v>418</v>
      </c>
      <c r="HQ231" s="11" t="s">
        <v>319</v>
      </c>
      <c r="HR231" s="11" t="s">
        <v>319</v>
      </c>
      <c r="HS231" s="11" t="s">
        <v>320</v>
      </c>
      <c r="HT231" s="11" t="s">
        <v>320</v>
      </c>
      <c r="HU231" s="11" t="s">
        <v>320</v>
      </c>
      <c r="HV231" s="11" t="s">
        <v>319</v>
      </c>
      <c r="HW231" s="11" t="s">
        <v>319</v>
      </c>
      <c r="HZ231" s="11" t="s">
        <v>331</v>
      </c>
      <c r="IB231" s="11" t="s">
        <v>667</v>
      </c>
      <c r="IC231" s="11" t="s">
        <v>4179</v>
      </c>
      <c r="ID231" s="11" t="s">
        <v>334</v>
      </c>
      <c r="IE231" s="11" t="s">
        <v>478</v>
      </c>
      <c r="IF231" s="11" t="s">
        <v>320</v>
      </c>
      <c r="IG231" s="11" t="s">
        <v>320</v>
      </c>
      <c r="IH231" s="11" t="s">
        <v>320</v>
      </c>
      <c r="II231" s="11" t="s">
        <v>319</v>
      </c>
      <c r="IJ231" s="12" t="str">
        <f t="shared" si="130"/>
        <v>3. Responsive</v>
      </c>
      <c r="IK231" s="12">
        <f t="shared" si="131"/>
        <v>3</v>
      </c>
      <c r="IL231" s="11" t="s">
        <v>336</v>
      </c>
      <c r="IM231" s="11" t="s">
        <v>320</v>
      </c>
      <c r="IN231" s="11" t="s">
        <v>320</v>
      </c>
      <c r="IO231" s="11" t="s">
        <v>320</v>
      </c>
      <c r="IP231" s="11" t="s">
        <v>320</v>
      </c>
      <c r="IQ231" s="12" t="str">
        <f t="shared" si="132"/>
        <v>2. Accommodating</v>
      </c>
      <c r="IR231" s="12">
        <f t="shared" si="133"/>
        <v>4</v>
      </c>
      <c r="IW231" s="11" t="str">
        <f t="shared" si="134"/>
        <v>No marker score</v>
      </c>
      <c r="IX231" s="12">
        <f t="shared" si="135"/>
        <v>0</v>
      </c>
      <c r="IY231" s="11" t="s">
        <v>338</v>
      </c>
      <c r="IZ231" s="11" t="s">
        <v>527</v>
      </c>
      <c r="JA231" s="11">
        <v>5</v>
      </c>
      <c r="JB231" s="11" t="s">
        <v>687</v>
      </c>
      <c r="JC231" s="12" t="s">
        <v>651</v>
      </c>
      <c r="JD231" s="11" t="s">
        <v>725</v>
      </c>
      <c r="JE231" s="11" t="s">
        <v>420</v>
      </c>
      <c r="JH231" s="11" t="s">
        <v>4180</v>
      </c>
      <c r="JI231" s="11" t="s">
        <v>4181</v>
      </c>
      <c r="JJ231" s="11" t="s">
        <v>4182</v>
      </c>
      <c r="JK231" s="11" t="s">
        <v>4183</v>
      </c>
      <c r="JL231" s="11" t="s">
        <v>4184</v>
      </c>
      <c r="JM231" s="11" t="s">
        <v>4185</v>
      </c>
      <c r="JP231" s="15">
        <f t="shared" si="136"/>
        <v>3130</v>
      </c>
      <c r="JQ231" s="15">
        <f t="shared" si="137"/>
        <v>7607</v>
      </c>
      <c r="JR231" s="279">
        <f t="shared" si="138"/>
        <v>2.4303514376996804</v>
      </c>
      <c r="JS231" s="17">
        <f t="shared" si="139"/>
        <v>0.82587859424920129</v>
      </c>
      <c r="JT231" s="18">
        <f t="shared" si="140"/>
        <v>0.35743394242145393</v>
      </c>
      <c r="JU231" s="280">
        <f t="shared" si="141"/>
        <v>2585</v>
      </c>
      <c r="JV231" s="280">
        <f t="shared" si="142"/>
        <v>2719</v>
      </c>
      <c r="JW231" s="319" t="str">
        <f t="shared" si="143"/>
        <v/>
      </c>
      <c r="JX231" s="15">
        <f t="shared" si="144"/>
        <v>0</v>
      </c>
      <c r="JY231" s="15">
        <f t="shared" si="145"/>
        <v>0</v>
      </c>
      <c r="JZ231" s="19" t="str">
        <f t="shared" si="146"/>
        <v/>
      </c>
      <c r="KA231" s="52">
        <f t="shared" si="147"/>
        <v>1</v>
      </c>
      <c r="KB231" s="15">
        <f t="shared" si="148"/>
        <v>3130</v>
      </c>
      <c r="KC231" s="15">
        <f t="shared" si="149"/>
        <v>0</v>
      </c>
      <c r="KD231" s="20">
        <f t="shared" si="150"/>
        <v>0</v>
      </c>
      <c r="KE231" s="52">
        <f t="shared" si="151"/>
        <v>1</v>
      </c>
      <c r="KF231" s="15">
        <f t="shared" si="152"/>
        <v>1665</v>
      </c>
      <c r="KG231" s="15">
        <f t="shared" si="153"/>
        <v>0</v>
      </c>
      <c r="KH231" s="21">
        <f t="shared" si="154"/>
        <v>0</v>
      </c>
      <c r="KI231" s="52">
        <f t="shared" si="155"/>
        <v>1</v>
      </c>
      <c r="KJ231" s="15">
        <f t="shared" si="156"/>
        <v>2212</v>
      </c>
      <c r="KK231" s="15">
        <f t="shared" si="157"/>
        <v>0</v>
      </c>
      <c r="KL231" s="19">
        <f t="shared" si="158"/>
        <v>0</v>
      </c>
      <c r="KM231" s="52">
        <f t="shared" si="159"/>
        <v>1</v>
      </c>
      <c r="KN231" s="22">
        <f t="shared" si="160"/>
        <v>2585.067</v>
      </c>
      <c r="KO231" s="22">
        <f t="shared" si="161"/>
        <v>0</v>
      </c>
      <c r="KP231" s="19">
        <f t="shared" si="162"/>
        <v>0</v>
      </c>
      <c r="KQ231" s="11" t="str">
        <f t="shared" si="163"/>
        <v>3. Responsive</v>
      </c>
      <c r="KR231" s="11" t="str">
        <f t="shared" si="164"/>
        <v>2. Accommodating</v>
      </c>
      <c r="KS231" s="11" t="str">
        <f t="shared" si="165"/>
        <v>No marker score</v>
      </c>
      <c r="KT231" s="11" t="str">
        <f t="shared" si="166"/>
        <v>It tested new ways for fighting poverty and measured results of innovation</v>
      </c>
      <c r="KU231" s="11" t="str">
        <f t="shared" si="167"/>
        <v>Little or no advocacy</v>
      </c>
      <c r="KV231" s="11" t="str">
        <f t="shared" si="168"/>
        <v>It took tested solutions to scale on its own</v>
      </c>
      <c r="KW231" s="11" t="str">
        <f t="shared" si="169"/>
        <v>Ethiopia - Towards Improved Economic and Sexual Reproductive Health Outcomes for Adolescent Girls (TESFA ) in Ethiopia</v>
      </c>
      <c r="KX231" s="11" t="str">
        <f t="shared" si="170"/>
        <v>Towards Improved Economic and Sexual Reproductive Health Outcomes for Adolescent Girls (TESFA ) in Ethiopia</v>
      </c>
      <c r="KY231" s="11" t="str">
        <f t="shared" si="171"/>
        <v>Ethiopia</v>
      </c>
      <c r="KZ231" s="12">
        <v>231</v>
      </c>
    </row>
    <row r="232" spans="1:312" x14ac:dyDescent="0.3">
      <c r="A232" s="11" t="s">
        <v>3868</v>
      </c>
      <c r="B232" s="11" t="s">
        <v>1874</v>
      </c>
      <c r="D232" s="11" t="s">
        <v>4186</v>
      </c>
      <c r="E232" s="24" t="str">
        <f t="shared" si="129"/>
        <v>Ethiopia</v>
      </c>
      <c r="F232" s="11" t="s">
        <v>4187</v>
      </c>
      <c r="G232" s="11" t="s">
        <v>379</v>
      </c>
      <c r="H232" s="11" t="s">
        <v>310</v>
      </c>
      <c r="I232" s="11" t="s">
        <v>655</v>
      </c>
      <c r="J232" s="278" t="s">
        <v>4991</v>
      </c>
      <c r="BD232" s="23">
        <v>42309</v>
      </c>
      <c r="BE232" s="23">
        <v>43251</v>
      </c>
      <c r="BF232" s="23">
        <v>43799</v>
      </c>
      <c r="BG232" s="11" t="s">
        <v>312</v>
      </c>
      <c r="BH232" s="22">
        <v>4094539</v>
      </c>
      <c r="BI232" s="11" t="s">
        <v>4010</v>
      </c>
      <c r="BJ232" s="11" t="s">
        <v>4011</v>
      </c>
      <c r="BK232" s="11" t="s">
        <v>4060</v>
      </c>
      <c r="BL232" s="11" t="s">
        <v>4013</v>
      </c>
      <c r="BM232" s="11" t="s">
        <v>444</v>
      </c>
      <c r="BN232" s="11" t="s">
        <v>4014</v>
      </c>
      <c r="BO232" s="12" t="s">
        <v>319</v>
      </c>
      <c r="BP232" s="12" t="s">
        <v>320</v>
      </c>
      <c r="BQ232" s="12" t="s">
        <v>319</v>
      </c>
      <c r="BR232" s="11" t="s">
        <v>4188</v>
      </c>
      <c r="BS232" s="11" t="s">
        <v>357</v>
      </c>
      <c r="BT232" s="11" t="s">
        <v>4189</v>
      </c>
      <c r="BU232" s="11" t="s">
        <v>4017</v>
      </c>
      <c r="BV232" s="22">
        <v>23490</v>
      </c>
      <c r="BW232" s="22">
        <v>20010</v>
      </c>
      <c r="BX232" s="22">
        <v>43500</v>
      </c>
      <c r="BY232" s="22">
        <v>31050</v>
      </c>
      <c r="BZ232" s="22">
        <v>26450</v>
      </c>
      <c r="CA232" s="22">
        <v>57500</v>
      </c>
      <c r="CB232" s="15" t="s">
        <v>4190</v>
      </c>
      <c r="CL232" s="18"/>
      <c r="CP232" s="18"/>
      <c r="CT232" s="18"/>
      <c r="CX232" s="18"/>
      <c r="DB232" s="18"/>
      <c r="DF232" s="18"/>
      <c r="DJ232" s="18"/>
      <c r="DN232" s="18"/>
      <c r="DR232" s="18"/>
      <c r="DV232" s="18"/>
      <c r="DZ232" s="18"/>
      <c r="ED232" s="18"/>
      <c r="EI232" s="18"/>
      <c r="EK232" s="22">
        <v>11340</v>
      </c>
      <c r="EL232" s="22">
        <v>10973</v>
      </c>
      <c r="EM232" s="22">
        <v>22313</v>
      </c>
      <c r="EN232" s="22">
        <v>15545</v>
      </c>
      <c r="EO232" s="22">
        <v>14470</v>
      </c>
      <c r="EP232" s="22">
        <v>30015</v>
      </c>
      <c r="ES232" s="18"/>
      <c r="EW232" s="18"/>
      <c r="FA232" s="18"/>
      <c r="FE232" s="18"/>
      <c r="FI232" s="18"/>
      <c r="FM232" s="18"/>
      <c r="FQ232" s="18"/>
      <c r="FU232" s="18"/>
      <c r="FY232" s="18"/>
      <c r="GC232" s="18"/>
      <c r="GE232" s="11" t="s">
        <v>320</v>
      </c>
      <c r="GG232" s="18"/>
      <c r="GI232" s="11" t="s">
        <v>320</v>
      </c>
      <c r="GK232" s="18"/>
      <c r="GO232" s="18"/>
      <c r="GS232" s="18"/>
      <c r="GU232" s="12" t="s">
        <v>320</v>
      </c>
      <c r="GV232" s="22">
        <v>22313</v>
      </c>
      <c r="GW232" s="18">
        <v>0.51</v>
      </c>
      <c r="GX232" s="22">
        <v>30015</v>
      </c>
      <c r="HA232" s="18"/>
      <c r="HF232" s="18"/>
      <c r="HH232" s="11" t="s">
        <v>320</v>
      </c>
      <c r="HI232" s="11" t="s">
        <v>431</v>
      </c>
      <c r="HJ232" s="11">
        <v>2016</v>
      </c>
      <c r="HK232" s="11" t="s">
        <v>320</v>
      </c>
      <c r="HL232" s="11" t="s">
        <v>320</v>
      </c>
      <c r="HM232" s="11" t="s">
        <v>416</v>
      </c>
      <c r="HN232" s="11">
        <v>2018</v>
      </c>
      <c r="HO232" s="11" t="s">
        <v>4191</v>
      </c>
      <c r="HP232" s="11" t="s">
        <v>418</v>
      </c>
      <c r="HQ232" s="11" t="s">
        <v>320</v>
      </c>
      <c r="HR232" s="11" t="s">
        <v>320</v>
      </c>
      <c r="HS232" s="11" t="s">
        <v>320</v>
      </c>
      <c r="HT232" s="11" t="s">
        <v>320</v>
      </c>
      <c r="HV232" s="11" t="s">
        <v>320</v>
      </c>
      <c r="HW232" s="11" t="s">
        <v>319</v>
      </c>
      <c r="HZ232" s="11" t="s">
        <v>331</v>
      </c>
      <c r="IA232" s="11" t="s">
        <v>4192</v>
      </c>
      <c r="IB232" s="11" t="s">
        <v>396</v>
      </c>
      <c r="IC232" s="11" t="s">
        <v>4193</v>
      </c>
      <c r="ID232" s="11" t="s">
        <v>334</v>
      </c>
      <c r="IE232" s="11" t="s">
        <v>335</v>
      </c>
      <c r="IF232" s="11" t="s">
        <v>320</v>
      </c>
      <c r="IG232" s="11" t="s">
        <v>320</v>
      </c>
      <c r="IH232" s="11" t="s">
        <v>320</v>
      </c>
      <c r="II232" s="11" t="s">
        <v>320</v>
      </c>
      <c r="IJ232" s="12" t="str">
        <f t="shared" si="130"/>
        <v>2. Sensitive</v>
      </c>
      <c r="IK232" s="12">
        <f t="shared" si="131"/>
        <v>4</v>
      </c>
      <c r="IL232" s="11" t="s">
        <v>336</v>
      </c>
      <c r="IM232" s="11" t="s">
        <v>320</v>
      </c>
      <c r="IN232" s="11" t="s">
        <v>320</v>
      </c>
      <c r="IO232" s="11" t="s">
        <v>320</v>
      </c>
      <c r="IP232" s="11" t="s">
        <v>320</v>
      </c>
      <c r="IQ232" s="12" t="str">
        <f t="shared" si="132"/>
        <v>2. Accommodating</v>
      </c>
      <c r="IR232" s="12">
        <f t="shared" si="133"/>
        <v>4</v>
      </c>
      <c r="IS232" s="11" t="s">
        <v>337</v>
      </c>
      <c r="IT232" s="11" t="s">
        <v>320</v>
      </c>
      <c r="IU232" s="11" t="s">
        <v>320</v>
      </c>
      <c r="IV232" s="11" t="s">
        <v>320</v>
      </c>
      <c r="IW232" s="11" t="str">
        <f t="shared" si="134"/>
        <v>2. Sensitive</v>
      </c>
      <c r="IX232" s="12">
        <f t="shared" si="135"/>
        <v>3</v>
      </c>
      <c r="IY232" s="11" t="s">
        <v>419</v>
      </c>
      <c r="IZ232" s="11" t="s">
        <v>432</v>
      </c>
      <c r="JA232" s="11">
        <v>3</v>
      </c>
      <c r="JB232" s="11" t="s">
        <v>831</v>
      </c>
      <c r="JC232" s="11" t="s">
        <v>687</v>
      </c>
      <c r="JD232" s="12" t="s">
        <v>724</v>
      </c>
      <c r="JE232" s="11" t="s">
        <v>420</v>
      </c>
      <c r="JG232" s="11" t="s">
        <v>4194</v>
      </c>
      <c r="JH232" s="11" t="s">
        <v>4195</v>
      </c>
      <c r="JI232" s="11" t="s">
        <v>4196</v>
      </c>
      <c r="JJ232" s="11" t="s">
        <v>4197</v>
      </c>
      <c r="JK232" s="11" t="s">
        <v>4198</v>
      </c>
      <c r="JL232" s="11" t="s">
        <v>4199</v>
      </c>
      <c r="JM232" s="11" t="s">
        <v>4200</v>
      </c>
      <c r="JN232" s="11" t="s">
        <v>4201</v>
      </c>
      <c r="JP232" s="15">
        <f t="shared" si="136"/>
        <v>22313</v>
      </c>
      <c r="JQ232" s="15">
        <f t="shared" si="137"/>
        <v>30015</v>
      </c>
      <c r="JR232" s="279">
        <f t="shared" si="138"/>
        <v>1.3451799399453233</v>
      </c>
      <c r="JS232" s="17">
        <f t="shared" si="139"/>
        <v>0.50822390534665884</v>
      </c>
      <c r="JT232" s="18">
        <f t="shared" si="140"/>
        <v>0.51790771281026149</v>
      </c>
      <c r="JU232" s="280">
        <f t="shared" si="141"/>
        <v>11340</v>
      </c>
      <c r="JV232" s="280">
        <f t="shared" si="142"/>
        <v>15545</v>
      </c>
      <c r="JW232" s="319" t="str">
        <f t="shared" si="143"/>
        <v/>
      </c>
      <c r="JX232" s="15">
        <f t="shared" si="144"/>
        <v>0</v>
      </c>
      <c r="JY232" s="15">
        <f t="shared" si="145"/>
        <v>0</v>
      </c>
      <c r="JZ232" s="19" t="str">
        <f t="shared" si="146"/>
        <v/>
      </c>
      <c r="KA232" s="52">
        <f t="shared" si="147"/>
        <v>1</v>
      </c>
      <c r="KB232" s="15">
        <f t="shared" si="148"/>
        <v>22313</v>
      </c>
      <c r="KC232" s="15">
        <f t="shared" si="149"/>
        <v>30015</v>
      </c>
      <c r="KD232" s="20">
        <f t="shared" si="150"/>
        <v>1.3451799399453233</v>
      </c>
      <c r="KE232" s="52" t="str">
        <f t="shared" si="151"/>
        <v/>
      </c>
      <c r="KF232" s="15">
        <f t="shared" si="152"/>
        <v>0</v>
      </c>
      <c r="KG232" s="15">
        <f t="shared" si="153"/>
        <v>0</v>
      </c>
      <c r="KH232" s="21" t="str">
        <f t="shared" si="154"/>
        <v/>
      </c>
      <c r="KI232" s="52" t="str">
        <f t="shared" si="155"/>
        <v/>
      </c>
      <c r="KJ232" s="15">
        <f t="shared" si="156"/>
        <v>0</v>
      </c>
      <c r="KK232" s="15">
        <f t="shared" si="157"/>
        <v>0</v>
      </c>
      <c r="KL232" s="19" t="str">
        <f t="shared" si="158"/>
        <v/>
      </c>
      <c r="KM232" s="52" t="str">
        <f t="shared" si="159"/>
        <v/>
      </c>
      <c r="KN232" s="22">
        <f t="shared" si="160"/>
        <v>0</v>
      </c>
      <c r="KO232" s="22">
        <f t="shared" si="161"/>
        <v>0</v>
      </c>
      <c r="KP232" s="19" t="str">
        <f t="shared" si="162"/>
        <v/>
      </c>
      <c r="KQ232" s="11" t="str">
        <f t="shared" si="163"/>
        <v>2. Sensitive</v>
      </c>
      <c r="KR232" s="11" t="str">
        <f t="shared" si="164"/>
        <v>2. Accommodating</v>
      </c>
      <c r="KS232" s="11" t="str">
        <f t="shared" si="165"/>
        <v>2. Sensitive</v>
      </c>
      <c r="KT232" s="11" t="str">
        <f t="shared" si="166"/>
        <v>It tested new ways for fighting poverty and measured results of innovation</v>
      </c>
      <c r="KU232" s="11" t="str">
        <f t="shared" si="167"/>
        <v>Little or no advocacy</v>
      </c>
      <c r="KV232" s="11" t="str">
        <f t="shared" si="168"/>
        <v>It linked and worked with strategic alliances and partners to take tested and effective solutions to scale</v>
      </c>
      <c r="KW232" s="11" t="str">
        <f t="shared" si="169"/>
        <v>Ethiopia - USAID LOWLAND WATER, SANITATION, AND HYGIENE ACTIVITY</v>
      </c>
      <c r="KX232" s="11" t="str">
        <f t="shared" si="170"/>
        <v>USAID LOWLAND WATER, SANITATION, AND HYGIENE ACTIVITY</v>
      </c>
      <c r="KY232" s="11" t="str">
        <f t="shared" si="171"/>
        <v>Ethiopia</v>
      </c>
      <c r="KZ232" s="12">
        <v>232</v>
      </c>
    </row>
    <row r="233" spans="1:312" x14ac:dyDescent="0.3">
      <c r="A233" s="282" t="s">
        <v>3868</v>
      </c>
      <c r="B233" s="282" t="s">
        <v>1874</v>
      </c>
      <c r="C233" s="282"/>
      <c r="D233" s="282" t="s">
        <v>3996</v>
      </c>
      <c r="E233" s="24" t="str">
        <f t="shared" si="129"/>
        <v>Ethiopia</v>
      </c>
      <c r="F233" s="282" t="s">
        <v>3997</v>
      </c>
      <c r="G233" s="282" t="s">
        <v>605</v>
      </c>
      <c r="H233" s="282" t="s">
        <v>310</v>
      </c>
      <c r="I233" s="282" t="s">
        <v>384</v>
      </c>
      <c r="J233" s="278" t="s">
        <v>5183</v>
      </c>
      <c r="K233" s="282"/>
      <c r="L233" s="282"/>
      <c r="M233" s="282"/>
      <c r="N233" s="282"/>
      <c r="O233" s="282"/>
      <c r="P233" s="282"/>
      <c r="Q233" s="282"/>
      <c r="R233" s="282"/>
      <c r="S233" s="282"/>
      <c r="T233" s="282"/>
      <c r="U233" s="282"/>
      <c r="V233" s="282"/>
      <c r="W233" s="282"/>
      <c r="X233" s="282"/>
      <c r="Y233" s="282"/>
      <c r="Z233" s="282"/>
      <c r="AA233" s="282"/>
      <c r="AB233" s="282"/>
      <c r="AC233" s="282"/>
      <c r="AD233" s="282"/>
      <c r="AE233" s="282"/>
      <c r="AF233" s="282"/>
      <c r="AG233" s="282"/>
      <c r="AH233" s="282"/>
      <c r="AI233" s="282"/>
      <c r="AJ233" s="282"/>
      <c r="AK233" s="282"/>
      <c r="AL233" s="282"/>
      <c r="AM233" s="282"/>
      <c r="AN233" s="282"/>
      <c r="AO233" s="282"/>
      <c r="AP233" s="282"/>
      <c r="AQ233" s="282"/>
      <c r="AR233" s="282"/>
      <c r="AS233" s="282"/>
      <c r="AT233" s="282"/>
      <c r="AU233" s="282"/>
      <c r="AV233" s="282"/>
      <c r="AW233" s="282"/>
      <c r="AX233" s="282"/>
      <c r="AY233" s="282"/>
      <c r="AZ233" s="282"/>
      <c r="BA233" s="282"/>
      <c r="BB233" s="282"/>
      <c r="BC233" s="282"/>
      <c r="BD233" s="283">
        <v>42461</v>
      </c>
      <c r="BE233" s="283">
        <v>42766</v>
      </c>
      <c r="BF233" s="283"/>
      <c r="BG233" s="283" t="s">
        <v>908</v>
      </c>
      <c r="BH233" s="284">
        <v>1074489.8999999999</v>
      </c>
      <c r="BI233" s="282" t="s">
        <v>3887</v>
      </c>
      <c r="BJ233" s="282" t="s">
        <v>3888</v>
      </c>
      <c r="BK233" s="282" t="s">
        <v>3889</v>
      </c>
      <c r="BL233" s="282" t="s">
        <v>3998</v>
      </c>
      <c r="BM233" s="282" t="s">
        <v>3999</v>
      </c>
      <c r="BN233" s="282" t="s">
        <v>4000</v>
      </c>
      <c r="BO233" s="282" t="s">
        <v>320</v>
      </c>
      <c r="BP233" s="282" t="s">
        <v>319</v>
      </c>
      <c r="BQ233" s="282" t="s">
        <v>319</v>
      </c>
      <c r="BR233" s="282" t="s">
        <v>4001</v>
      </c>
      <c r="BS233" s="282" t="s">
        <v>357</v>
      </c>
      <c r="BT233" s="282" t="s">
        <v>4002</v>
      </c>
      <c r="BU233" s="282" t="s">
        <v>4003</v>
      </c>
      <c r="BV233" s="284">
        <v>12300</v>
      </c>
      <c r="BW233" s="284">
        <v>12485</v>
      </c>
      <c r="BX233" s="284">
        <v>24785</v>
      </c>
      <c r="BY233" s="284"/>
      <c r="BZ233" s="284"/>
      <c r="CA233" s="284"/>
      <c r="CB233" s="285" t="s">
        <v>4004</v>
      </c>
      <c r="CC233" s="285"/>
      <c r="CD233" s="284">
        <v>12300</v>
      </c>
      <c r="CE233" s="284">
        <v>12485</v>
      </c>
      <c r="CF233" s="284">
        <v>24785</v>
      </c>
      <c r="CG233" s="284"/>
      <c r="CH233" s="284"/>
      <c r="CI233" s="284"/>
      <c r="CJ233" s="282" t="s">
        <v>319</v>
      </c>
      <c r="CK233" s="284"/>
      <c r="CL233" s="286"/>
      <c r="CM233" s="284"/>
      <c r="CN233" s="287" t="s">
        <v>319</v>
      </c>
      <c r="CO233" s="284"/>
      <c r="CP233" s="286"/>
      <c r="CQ233" s="284"/>
      <c r="CR233" s="282" t="s">
        <v>319</v>
      </c>
      <c r="CS233" s="284"/>
      <c r="CT233" s="286"/>
      <c r="CU233" s="284"/>
      <c r="CV233" s="292" t="s">
        <v>320</v>
      </c>
      <c r="CW233" s="290">
        <v>24785</v>
      </c>
      <c r="CX233" s="291">
        <v>0.5</v>
      </c>
      <c r="CY233" s="290"/>
      <c r="CZ233" s="282" t="s">
        <v>319</v>
      </c>
      <c r="DA233" s="284"/>
      <c r="DB233" s="286"/>
      <c r="DC233" s="284"/>
      <c r="DD233" s="287" t="s">
        <v>319</v>
      </c>
      <c r="DE233" s="284"/>
      <c r="DF233" s="286"/>
      <c r="DG233" s="284"/>
      <c r="DH233" s="282" t="s">
        <v>319</v>
      </c>
      <c r="DI233" s="284"/>
      <c r="DJ233" s="286"/>
      <c r="DK233" s="284"/>
      <c r="DL233" s="282" t="s">
        <v>319</v>
      </c>
      <c r="DM233" s="284"/>
      <c r="DN233" s="286"/>
      <c r="DO233" s="284"/>
      <c r="DP233" s="282" t="s">
        <v>319</v>
      </c>
      <c r="DQ233" s="284"/>
      <c r="DR233" s="286"/>
      <c r="DS233" s="284"/>
      <c r="DT233" s="282" t="s">
        <v>319</v>
      </c>
      <c r="DU233" s="284"/>
      <c r="DV233" s="286"/>
      <c r="DW233" s="284"/>
      <c r="DX233" s="282" t="s">
        <v>319</v>
      </c>
      <c r="DY233" s="284"/>
      <c r="DZ233" s="286"/>
      <c r="EA233" s="284"/>
      <c r="EB233" s="282" t="s">
        <v>320</v>
      </c>
      <c r="EC233" s="284">
        <v>24785</v>
      </c>
      <c r="ED233" s="286">
        <v>0.5</v>
      </c>
      <c r="EE233" s="284"/>
      <c r="EF233" s="285"/>
      <c r="EG233" s="287" t="s">
        <v>319</v>
      </c>
      <c r="EH233" s="284"/>
      <c r="EI233" s="286"/>
      <c r="EJ233" s="284"/>
      <c r="EK233" s="284"/>
      <c r="EL233" s="284"/>
      <c r="EM233" s="284"/>
      <c r="EN233" s="284"/>
      <c r="EO233" s="284"/>
      <c r="EP233" s="284"/>
      <c r="EQ233" s="282"/>
      <c r="ER233" s="284"/>
      <c r="ES233" s="286"/>
      <c r="ET233" s="284"/>
      <c r="EU233" s="282"/>
      <c r="EV233" s="284"/>
      <c r="EW233" s="286"/>
      <c r="EX233" s="284"/>
      <c r="EY233" s="282"/>
      <c r="EZ233" s="284"/>
      <c r="FA233" s="286"/>
      <c r="FB233" s="284"/>
      <c r="FC233" s="282"/>
      <c r="FD233" s="284"/>
      <c r="FE233" s="286"/>
      <c r="FF233" s="284"/>
      <c r="FG233" s="282"/>
      <c r="FH233" s="284"/>
      <c r="FI233" s="286"/>
      <c r="FJ233" s="284"/>
      <c r="FK233" s="282"/>
      <c r="FL233" s="284"/>
      <c r="FM233" s="286"/>
      <c r="FN233" s="284"/>
      <c r="FO233" s="292"/>
      <c r="FP233" s="290"/>
      <c r="FQ233" s="291"/>
      <c r="FR233" s="290"/>
      <c r="FS233" s="282"/>
      <c r="FT233" s="284"/>
      <c r="FU233" s="286"/>
      <c r="FV233" s="284"/>
      <c r="FW233" s="282"/>
      <c r="FX233" s="284"/>
      <c r="FY233" s="286"/>
      <c r="FZ233" s="284"/>
      <c r="GA233" s="282"/>
      <c r="GB233" s="284"/>
      <c r="GC233" s="286"/>
      <c r="GD233" s="284"/>
      <c r="GE233" s="282"/>
      <c r="GF233" s="284"/>
      <c r="GG233" s="286"/>
      <c r="GH233" s="284"/>
      <c r="GI233" s="282"/>
      <c r="GJ233" s="284"/>
      <c r="GK233" s="286"/>
      <c r="GL233" s="284"/>
      <c r="GM233" s="282"/>
      <c r="GN233" s="284"/>
      <c r="GO233" s="286"/>
      <c r="GP233" s="284"/>
      <c r="GQ233" s="282"/>
      <c r="GR233" s="284"/>
      <c r="GS233" s="286"/>
      <c r="GT233" s="284"/>
      <c r="GU233" s="282"/>
      <c r="GV233" s="284"/>
      <c r="GW233" s="286"/>
      <c r="GX233" s="284"/>
      <c r="GY233" s="282"/>
      <c r="GZ233" s="284"/>
      <c r="HA233" s="286"/>
      <c r="HB233" s="284"/>
      <c r="HC233" s="282"/>
      <c r="HD233" s="282"/>
      <c r="HE233" s="284"/>
      <c r="HF233" s="286"/>
      <c r="HG233" s="284"/>
      <c r="HH233" s="282" t="s">
        <v>319</v>
      </c>
      <c r="HI233" s="282"/>
      <c r="HJ233" s="282"/>
      <c r="HK233" s="282"/>
      <c r="HL233" s="282" t="s">
        <v>319</v>
      </c>
      <c r="HM233" s="282"/>
      <c r="HN233" s="282"/>
      <c r="HO233" s="282"/>
      <c r="HP233" s="282" t="s">
        <v>418</v>
      </c>
      <c r="HQ233" s="282" t="s">
        <v>319</v>
      </c>
      <c r="HR233" s="282" t="s">
        <v>319</v>
      </c>
      <c r="HS233" s="282" t="s">
        <v>320</v>
      </c>
      <c r="HT233" s="282" t="s">
        <v>319</v>
      </c>
      <c r="HU233" s="282" t="s">
        <v>319</v>
      </c>
      <c r="HV233" s="282" t="s">
        <v>319</v>
      </c>
      <c r="HW233" s="282" t="s">
        <v>319</v>
      </c>
      <c r="HX233" s="282" t="s">
        <v>319</v>
      </c>
      <c r="HY233" s="282"/>
      <c r="HZ233" s="282" t="s">
        <v>363</v>
      </c>
      <c r="IA233" s="282"/>
      <c r="IB233" s="282" t="s">
        <v>333</v>
      </c>
      <c r="IC233" s="282"/>
      <c r="ID233" s="282" t="s">
        <v>364</v>
      </c>
      <c r="IE233" s="282" t="s">
        <v>335</v>
      </c>
      <c r="IF233" s="282" t="s">
        <v>320</v>
      </c>
      <c r="IG233" s="282" t="s">
        <v>320</v>
      </c>
      <c r="IH233" s="282" t="s">
        <v>320</v>
      </c>
      <c r="II233" s="282" t="s">
        <v>320</v>
      </c>
      <c r="IJ233" s="12" t="str">
        <f t="shared" si="130"/>
        <v>2. Sensitive</v>
      </c>
      <c r="IK233" s="287">
        <f t="shared" si="131"/>
        <v>4</v>
      </c>
      <c r="IL233" s="282" t="s">
        <v>336</v>
      </c>
      <c r="IM233" s="282" t="s">
        <v>320</v>
      </c>
      <c r="IN233" s="282" t="s">
        <v>320</v>
      </c>
      <c r="IO233" s="282" t="s">
        <v>319</v>
      </c>
      <c r="IP233" s="282" t="s">
        <v>320</v>
      </c>
      <c r="IQ233" s="287" t="str">
        <f t="shared" si="132"/>
        <v>2. Accommodating</v>
      </c>
      <c r="IR233" s="287">
        <f t="shared" si="133"/>
        <v>3</v>
      </c>
      <c r="IS233" s="282" t="s">
        <v>337</v>
      </c>
      <c r="IT233" s="282" t="s">
        <v>320</v>
      </c>
      <c r="IU233" s="282" t="s">
        <v>320</v>
      </c>
      <c r="IV233" s="282" t="s">
        <v>320</v>
      </c>
      <c r="IW233" s="11" t="str">
        <f t="shared" si="134"/>
        <v>2. Sensitive</v>
      </c>
      <c r="IX233" s="287">
        <f t="shared" si="135"/>
        <v>3</v>
      </c>
      <c r="IY233" s="282" t="s">
        <v>419</v>
      </c>
      <c r="IZ233" s="282" t="s">
        <v>432</v>
      </c>
      <c r="JA233" s="282">
        <v>3</v>
      </c>
      <c r="JB233" s="282" t="s">
        <v>623</v>
      </c>
      <c r="JC233" s="282" t="s">
        <v>687</v>
      </c>
      <c r="JD233" s="282" t="s">
        <v>384</v>
      </c>
      <c r="JE233" s="282" t="s">
        <v>420</v>
      </c>
      <c r="JF233" s="282"/>
      <c r="JG233" s="282"/>
      <c r="JH233" s="282"/>
      <c r="JI233" s="282" t="s">
        <v>4005</v>
      </c>
      <c r="JJ233" s="282"/>
      <c r="JK233" s="282"/>
      <c r="JL233" s="282"/>
      <c r="JM233" s="282"/>
      <c r="JN233" s="282"/>
      <c r="JO233" s="282"/>
      <c r="JP233" s="15">
        <f t="shared" si="136"/>
        <v>24785</v>
      </c>
      <c r="JQ233" s="15">
        <f t="shared" si="137"/>
        <v>0</v>
      </c>
      <c r="JR233" s="279">
        <f t="shared" si="138"/>
        <v>0</v>
      </c>
      <c r="JS233" s="17">
        <f t="shared" si="139"/>
        <v>0.49626790397417792</v>
      </c>
      <c r="JT233" s="18" t="str">
        <f t="shared" si="140"/>
        <v/>
      </c>
      <c r="JU233" s="280">
        <f t="shared" si="141"/>
        <v>12300</v>
      </c>
      <c r="JV233" s="280">
        <f t="shared" si="142"/>
        <v>0</v>
      </c>
      <c r="JW233" s="319">
        <f t="shared" si="143"/>
        <v>1</v>
      </c>
      <c r="JX233" s="15">
        <f t="shared" si="144"/>
        <v>24785</v>
      </c>
      <c r="JY233" s="15">
        <f t="shared" si="145"/>
        <v>0</v>
      </c>
      <c r="JZ233" s="19">
        <f t="shared" si="146"/>
        <v>0</v>
      </c>
      <c r="KA233" s="52">
        <f t="shared" si="147"/>
        <v>1</v>
      </c>
      <c r="KB233" s="15">
        <f t="shared" si="148"/>
        <v>24785</v>
      </c>
      <c r="KC233" s="15">
        <f t="shared" si="149"/>
        <v>0</v>
      </c>
      <c r="KD233" s="20">
        <f t="shared" si="150"/>
        <v>0</v>
      </c>
      <c r="KE233" s="52" t="str">
        <f t="shared" si="151"/>
        <v/>
      </c>
      <c r="KF233" s="15">
        <f t="shared" si="152"/>
        <v>0</v>
      </c>
      <c r="KG233" s="15">
        <f t="shared" si="153"/>
        <v>0</v>
      </c>
      <c r="KH233" s="21" t="str">
        <f t="shared" si="154"/>
        <v/>
      </c>
      <c r="KI233" s="52" t="str">
        <f t="shared" si="155"/>
        <v/>
      </c>
      <c r="KJ233" s="15">
        <f t="shared" si="156"/>
        <v>0</v>
      </c>
      <c r="KK233" s="15">
        <f t="shared" si="157"/>
        <v>0</v>
      </c>
      <c r="KL233" s="19" t="str">
        <f t="shared" si="158"/>
        <v/>
      </c>
      <c r="KM233" s="52" t="str">
        <f t="shared" si="159"/>
        <v/>
      </c>
      <c r="KN233" s="22">
        <f t="shared" si="160"/>
        <v>0</v>
      </c>
      <c r="KO233" s="22">
        <f t="shared" si="161"/>
        <v>0</v>
      </c>
      <c r="KP233" s="19" t="str">
        <f t="shared" si="162"/>
        <v/>
      </c>
      <c r="KQ233" s="11" t="str">
        <f t="shared" si="163"/>
        <v>2. Sensitive</v>
      </c>
      <c r="KR233" s="11" t="str">
        <f t="shared" si="164"/>
        <v>2. Accommodating</v>
      </c>
      <c r="KS233" s="11" t="str">
        <f t="shared" si="165"/>
        <v>2. Sensitive</v>
      </c>
      <c r="KT233" s="11" t="str">
        <f t="shared" si="166"/>
        <v>It did not develop any specific innovation</v>
      </c>
      <c r="KU233" s="11" t="str">
        <f t="shared" si="167"/>
        <v>Little or no advocacy</v>
      </c>
      <c r="KV233" s="11" t="str">
        <f t="shared" si="168"/>
        <v>It did not take tested solutions to scale</v>
      </c>
      <c r="KW233" s="11" t="str">
        <f t="shared" si="169"/>
        <v>Ethiopia - WASH and livelihood support to drought affected communities in  South Gondar</v>
      </c>
      <c r="KX233" s="11" t="str">
        <f t="shared" si="170"/>
        <v>WASH and livelihood support to drought affected communities in  South Gondar</v>
      </c>
      <c r="KY233" s="11" t="str">
        <f t="shared" si="171"/>
        <v>Ethiopia</v>
      </c>
      <c r="KZ233" s="12">
        <v>233</v>
      </c>
    </row>
    <row r="234" spans="1:312" x14ac:dyDescent="0.3">
      <c r="A234" s="11" t="s">
        <v>3868</v>
      </c>
      <c r="B234" s="11" t="s">
        <v>1874</v>
      </c>
      <c r="D234" s="11" t="s">
        <v>3966</v>
      </c>
      <c r="E234" s="24" t="str">
        <f t="shared" si="129"/>
        <v>Ethiopia</v>
      </c>
      <c r="G234" s="11" t="s">
        <v>425</v>
      </c>
      <c r="H234" s="11" t="s">
        <v>383</v>
      </c>
      <c r="I234" s="11" t="s">
        <v>384</v>
      </c>
      <c r="J234" s="278" t="s">
        <v>3967</v>
      </c>
      <c r="BD234" s="23">
        <v>42285</v>
      </c>
      <c r="BE234" s="23">
        <v>43131</v>
      </c>
      <c r="BF234" s="23">
        <v>43312</v>
      </c>
      <c r="BG234" s="11" t="s">
        <v>350</v>
      </c>
      <c r="BH234" s="22">
        <v>1501048</v>
      </c>
      <c r="BI234" s="11" t="s">
        <v>3968</v>
      </c>
      <c r="BJ234" s="11" t="s">
        <v>1602</v>
      </c>
      <c r="BK234" s="11" t="s">
        <v>3969</v>
      </c>
      <c r="BL234" s="11" t="s">
        <v>3970</v>
      </c>
      <c r="BM234" s="11" t="s">
        <v>354</v>
      </c>
      <c r="BN234" s="11" t="s">
        <v>3971</v>
      </c>
      <c r="BO234" s="12" t="s">
        <v>319</v>
      </c>
      <c r="BP234" s="12" t="s">
        <v>320</v>
      </c>
      <c r="BQ234" s="12" t="s">
        <v>319</v>
      </c>
      <c r="BR234" s="11" t="s">
        <v>3972</v>
      </c>
      <c r="BS234" s="11" t="s">
        <v>357</v>
      </c>
      <c r="BT234" s="11" t="s">
        <v>3973</v>
      </c>
      <c r="BU234" s="11" t="s">
        <v>3974</v>
      </c>
      <c r="BV234" s="22">
        <v>5000</v>
      </c>
      <c r="BX234" s="22">
        <v>5000</v>
      </c>
      <c r="BY234" s="22">
        <v>15000</v>
      </c>
      <c r="BZ234" s="22">
        <v>10000</v>
      </c>
      <c r="CA234" s="22">
        <v>25000</v>
      </c>
      <c r="CB234" s="15" t="s">
        <v>3975</v>
      </c>
      <c r="CL234" s="18"/>
      <c r="CP234" s="18"/>
      <c r="CT234" s="18"/>
      <c r="CX234" s="18"/>
      <c r="DB234" s="18"/>
      <c r="DF234" s="18"/>
      <c r="DJ234" s="18"/>
      <c r="DN234" s="18"/>
      <c r="DR234" s="18"/>
      <c r="DV234" s="18"/>
      <c r="DZ234" s="18"/>
      <c r="ED234" s="18"/>
      <c r="EI234" s="18"/>
      <c r="EK234" s="22">
        <v>4972</v>
      </c>
      <c r="EL234" s="22">
        <v>2448</v>
      </c>
      <c r="EM234" s="22">
        <v>7420</v>
      </c>
      <c r="EN234" s="22">
        <v>12750</v>
      </c>
      <c r="EO234" s="22">
        <v>12250</v>
      </c>
      <c r="EP234" s="22">
        <v>25000</v>
      </c>
      <c r="EQ234" s="12" t="s">
        <v>319</v>
      </c>
      <c r="ES234" s="18"/>
      <c r="EU234" s="11" t="s">
        <v>319</v>
      </c>
      <c r="EW234" s="18"/>
      <c r="EY234" s="12" t="s">
        <v>319</v>
      </c>
      <c r="FA234" s="18"/>
      <c r="FC234" s="12" t="s">
        <v>319</v>
      </c>
      <c r="FE234" s="18"/>
      <c r="FG234" s="12" t="s">
        <v>319</v>
      </c>
      <c r="FI234" s="18"/>
      <c r="FK234" s="11" t="s">
        <v>319</v>
      </c>
      <c r="FM234" s="18"/>
      <c r="FO234" s="11" t="s">
        <v>319</v>
      </c>
      <c r="FQ234" s="18"/>
      <c r="FS234" s="11" t="s">
        <v>319</v>
      </c>
      <c r="FU234" s="18"/>
      <c r="FW234" s="11" t="s">
        <v>320</v>
      </c>
      <c r="FY234" s="18"/>
      <c r="GA234" s="11" t="s">
        <v>319</v>
      </c>
      <c r="GC234" s="18"/>
      <c r="GE234" s="11" t="s">
        <v>319</v>
      </c>
      <c r="GG234" s="18"/>
      <c r="GI234" s="11" t="s">
        <v>319</v>
      </c>
      <c r="GK234" s="18"/>
      <c r="GM234" s="11" t="s">
        <v>319</v>
      </c>
      <c r="GO234" s="18"/>
      <c r="GQ234" s="11" t="s">
        <v>319</v>
      </c>
      <c r="GS234" s="18"/>
      <c r="GU234" s="11" t="s">
        <v>319</v>
      </c>
      <c r="GW234" s="18"/>
      <c r="GY234" s="11" t="s">
        <v>320</v>
      </c>
      <c r="GZ234" s="22">
        <v>4972</v>
      </c>
      <c r="HA234" s="18">
        <v>1</v>
      </c>
      <c r="HB234" s="22">
        <v>2448</v>
      </c>
      <c r="HD234" s="11" t="s">
        <v>319</v>
      </c>
      <c r="HF234" s="18"/>
      <c r="HH234" s="11" t="s">
        <v>320</v>
      </c>
      <c r="HI234" s="11" t="s">
        <v>560</v>
      </c>
      <c r="HJ234" s="11">
        <v>2017</v>
      </c>
      <c r="HK234" s="11" t="s">
        <v>320</v>
      </c>
      <c r="HL234" s="11" t="s">
        <v>320</v>
      </c>
      <c r="HM234" s="11" t="s">
        <v>415</v>
      </c>
      <c r="HN234" s="11">
        <v>2018</v>
      </c>
      <c r="HP234" s="11" t="s">
        <v>418</v>
      </c>
      <c r="HQ234" s="11" t="s">
        <v>319</v>
      </c>
      <c r="HR234" s="11" t="s">
        <v>319</v>
      </c>
      <c r="HS234" s="11" t="s">
        <v>320</v>
      </c>
      <c r="HT234" s="11" t="s">
        <v>320</v>
      </c>
      <c r="HU234" s="11" t="s">
        <v>319</v>
      </c>
      <c r="HX234" s="11" t="s">
        <v>319</v>
      </c>
      <c r="HZ234" s="11" t="s">
        <v>394</v>
      </c>
      <c r="IA234" s="11" t="s">
        <v>3976</v>
      </c>
      <c r="IB234" s="11" t="s">
        <v>396</v>
      </c>
      <c r="IC234" s="11" t="s">
        <v>3977</v>
      </c>
      <c r="ID234" s="11" t="s">
        <v>334</v>
      </c>
      <c r="IE234" s="11" t="s">
        <v>335</v>
      </c>
      <c r="IF234" s="11" t="s">
        <v>320</v>
      </c>
      <c r="IG234" s="11" t="s">
        <v>320</v>
      </c>
      <c r="IH234" s="11" t="s">
        <v>320</v>
      </c>
      <c r="II234" s="11" t="s">
        <v>320</v>
      </c>
      <c r="IJ234" s="12" t="str">
        <f t="shared" si="130"/>
        <v>2. Sensitive</v>
      </c>
      <c r="IK234" s="12">
        <f t="shared" si="131"/>
        <v>4</v>
      </c>
      <c r="IL234" s="11" t="s">
        <v>336</v>
      </c>
      <c r="IM234" s="11" t="s">
        <v>320</v>
      </c>
      <c r="IO234" s="11" t="s">
        <v>320</v>
      </c>
      <c r="IP234" s="11" t="s">
        <v>320</v>
      </c>
      <c r="IQ234" s="12" t="str">
        <f t="shared" si="132"/>
        <v>2. Accommodating</v>
      </c>
      <c r="IR234" s="12">
        <f t="shared" si="133"/>
        <v>3</v>
      </c>
      <c r="IS234" s="11" t="s">
        <v>337</v>
      </c>
      <c r="IT234" s="11" t="s">
        <v>320</v>
      </c>
      <c r="IU234" s="11" t="s">
        <v>320</v>
      </c>
      <c r="IV234" s="11" t="s">
        <v>320</v>
      </c>
      <c r="IW234" s="11" t="str">
        <f t="shared" si="134"/>
        <v>2. Sensitive</v>
      </c>
      <c r="IX234" s="12">
        <f t="shared" si="135"/>
        <v>3</v>
      </c>
      <c r="IY234" s="11" t="s">
        <v>338</v>
      </c>
      <c r="IZ234" s="11" t="s">
        <v>457</v>
      </c>
      <c r="JA234" s="11">
        <v>6</v>
      </c>
      <c r="JB234" s="11" t="s">
        <v>433</v>
      </c>
      <c r="JC234" s="11" t="s">
        <v>687</v>
      </c>
      <c r="JD234" s="12" t="s">
        <v>724</v>
      </c>
      <c r="JE234" s="11" t="s">
        <v>420</v>
      </c>
      <c r="JG234" s="11" t="s">
        <v>3978</v>
      </c>
      <c r="JH234" s="11" t="s">
        <v>3979</v>
      </c>
      <c r="JI234" s="11" t="s">
        <v>3980</v>
      </c>
      <c r="JJ234" s="11" t="s">
        <v>3981</v>
      </c>
      <c r="JK234" s="11" t="s">
        <v>3982</v>
      </c>
      <c r="JL234" s="11" t="s">
        <v>3983</v>
      </c>
      <c r="JM234" s="11" t="s">
        <v>3984</v>
      </c>
      <c r="JO234" s="11" t="s">
        <v>3985</v>
      </c>
      <c r="JP234" s="15">
        <f t="shared" si="136"/>
        <v>7420</v>
      </c>
      <c r="JQ234" s="15">
        <f t="shared" si="137"/>
        <v>25000</v>
      </c>
      <c r="JR234" s="279">
        <f t="shared" si="138"/>
        <v>3.3692722371967654</v>
      </c>
      <c r="JS234" s="17">
        <f t="shared" si="139"/>
        <v>0.6700808625336927</v>
      </c>
      <c r="JT234" s="18">
        <f t="shared" si="140"/>
        <v>0.51</v>
      </c>
      <c r="JU234" s="280">
        <f t="shared" si="141"/>
        <v>4972</v>
      </c>
      <c r="JV234" s="280">
        <f t="shared" si="142"/>
        <v>12750</v>
      </c>
      <c r="JW234" s="319" t="str">
        <f t="shared" si="143"/>
        <v/>
      </c>
      <c r="JX234" s="15">
        <f t="shared" si="144"/>
        <v>0</v>
      </c>
      <c r="JY234" s="15">
        <f t="shared" si="145"/>
        <v>0</v>
      </c>
      <c r="JZ234" s="19" t="str">
        <f t="shared" si="146"/>
        <v/>
      </c>
      <c r="KA234" s="52" t="str">
        <f t="shared" si="147"/>
        <v/>
      </c>
      <c r="KB234" s="15">
        <f t="shared" si="148"/>
        <v>0</v>
      </c>
      <c r="KC234" s="15">
        <f t="shared" si="149"/>
        <v>0</v>
      </c>
      <c r="KD234" s="20" t="str">
        <f t="shared" si="150"/>
        <v/>
      </c>
      <c r="KE234" s="52" t="str">
        <f t="shared" si="151"/>
        <v/>
      </c>
      <c r="KF234" s="15">
        <f t="shared" si="152"/>
        <v>0</v>
      </c>
      <c r="KG234" s="15">
        <f t="shared" si="153"/>
        <v>0</v>
      </c>
      <c r="KH234" s="21" t="str">
        <f t="shared" si="154"/>
        <v/>
      </c>
      <c r="KI234" s="52" t="str">
        <f t="shared" si="155"/>
        <v/>
      </c>
      <c r="KJ234" s="15">
        <f t="shared" si="156"/>
        <v>0</v>
      </c>
      <c r="KK234" s="15">
        <f t="shared" si="157"/>
        <v>0</v>
      </c>
      <c r="KL234" s="19" t="str">
        <f t="shared" si="158"/>
        <v/>
      </c>
      <c r="KM234" s="52">
        <f t="shared" si="159"/>
        <v>1</v>
      </c>
      <c r="KN234" s="22">
        <f t="shared" si="160"/>
        <v>4972</v>
      </c>
      <c r="KO234" s="22">
        <f t="shared" si="161"/>
        <v>2448</v>
      </c>
      <c r="KP234" s="19">
        <f t="shared" si="162"/>
        <v>0.49235720032180208</v>
      </c>
      <c r="KQ234" s="11" t="str">
        <f t="shared" si="163"/>
        <v>2. Sensitive</v>
      </c>
      <c r="KR234" s="11" t="str">
        <f t="shared" si="164"/>
        <v>2. Accommodating</v>
      </c>
      <c r="KS234" s="11" t="str">
        <f t="shared" si="165"/>
        <v>2. Sensitive</v>
      </c>
      <c r="KT234" s="11" t="str">
        <f t="shared" si="166"/>
        <v>It tested new ways for fighting poverty, but did not measure results of innovation</v>
      </c>
      <c r="KU234" s="11" t="str">
        <f t="shared" si="167"/>
        <v>Little or no advocacy</v>
      </c>
      <c r="KV234" s="11" t="str">
        <f t="shared" si="168"/>
        <v>It linked and worked with strategic alliances and partners to take tested and effective solutions to scale</v>
      </c>
      <c r="KW234" s="11" t="str">
        <f t="shared" si="169"/>
        <v>Ethiopia - Women for Women: Creating Opportunity for Women in Enterprise Development in Addis Ababa, Ethiopia</v>
      </c>
      <c r="KX234" s="11" t="str">
        <f t="shared" si="170"/>
        <v>Women for Women: Creating Opportunity for Women in Enterprise Development in Addis Ababa, Ethiopia</v>
      </c>
      <c r="KY234" s="11" t="str">
        <f t="shared" si="171"/>
        <v>Ethiopia</v>
      </c>
      <c r="KZ234" s="12">
        <v>234</v>
      </c>
    </row>
    <row r="235" spans="1:312" x14ac:dyDescent="0.3">
      <c r="A235" s="11" t="s">
        <v>4268</v>
      </c>
      <c r="B235" s="11" t="s">
        <v>306</v>
      </c>
      <c r="C235" s="11">
        <v>3564</v>
      </c>
      <c r="D235" s="11" t="s">
        <v>4269</v>
      </c>
      <c r="E235" s="24" t="str">
        <f t="shared" si="129"/>
        <v>Fiji</v>
      </c>
      <c r="F235" s="11" t="s">
        <v>4270</v>
      </c>
      <c r="G235" s="11" t="s">
        <v>309</v>
      </c>
      <c r="H235" s="11" t="s">
        <v>310</v>
      </c>
      <c r="I235" s="11" t="s">
        <v>311</v>
      </c>
      <c r="J235" s="278" t="s">
        <v>14565</v>
      </c>
      <c r="K235" s="11" t="s">
        <v>4271</v>
      </c>
      <c r="L235" s="11" t="s">
        <v>309</v>
      </c>
      <c r="M235" s="11" t="s">
        <v>384</v>
      </c>
      <c r="N235" s="11" t="s">
        <v>384</v>
      </c>
      <c r="O235" s="11" t="s">
        <v>309</v>
      </c>
      <c r="P235" s="11" t="s">
        <v>4272</v>
      </c>
      <c r="Q235" s="11" t="s">
        <v>309</v>
      </c>
      <c r="R235" s="11" t="s">
        <v>489</v>
      </c>
      <c r="S235" s="11" t="s">
        <v>384</v>
      </c>
      <c r="T235" s="11" t="s">
        <v>488</v>
      </c>
      <c r="BD235" s="23">
        <v>42401</v>
      </c>
      <c r="BE235" s="23">
        <v>42855</v>
      </c>
      <c r="BG235" s="11" t="s">
        <v>817</v>
      </c>
      <c r="BH235" s="22">
        <v>1658497</v>
      </c>
      <c r="BI235" s="11" t="s">
        <v>4273</v>
      </c>
      <c r="BJ235" s="11" t="s">
        <v>4274</v>
      </c>
      <c r="BK235" s="11" t="s">
        <v>4275</v>
      </c>
      <c r="BL235" s="11" t="s">
        <v>4276</v>
      </c>
      <c r="BM235" s="11" t="s">
        <v>4277</v>
      </c>
      <c r="BN235" s="11" t="s">
        <v>4278</v>
      </c>
      <c r="BO235" s="11" t="s">
        <v>320</v>
      </c>
      <c r="BP235" s="11" t="s">
        <v>319</v>
      </c>
      <c r="BQ235" s="11" t="s">
        <v>319</v>
      </c>
      <c r="BR235" s="11" t="s">
        <v>4279</v>
      </c>
      <c r="BS235" s="11" t="s">
        <v>357</v>
      </c>
      <c r="BT235" s="11" t="s">
        <v>4280</v>
      </c>
      <c r="BU235" s="11" t="s">
        <v>4281</v>
      </c>
      <c r="BV235" s="22">
        <v>12908</v>
      </c>
      <c r="BW235" s="22">
        <v>14184</v>
      </c>
      <c r="BX235" s="22">
        <v>27092</v>
      </c>
      <c r="CB235" s="15" t="s">
        <v>4282</v>
      </c>
      <c r="CD235" s="22">
        <v>12908</v>
      </c>
      <c r="CE235" s="22">
        <v>14184</v>
      </c>
      <c r="CF235" s="22">
        <v>27092</v>
      </c>
      <c r="CJ235" s="11" t="s">
        <v>319</v>
      </c>
      <c r="CL235" s="18"/>
      <c r="CN235" s="11" t="s">
        <v>319</v>
      </c>
      <c r="CP235" s="18"/>
      <c r="CR235" s="11" t="s">
        <v>319</v>
      </c>
      <c r="CT235" s="18"/>
      <c r="CV235" s="11" t="s">
        <v>319</v>
      </c>
      <c r="CX235" s="18"/>
      <c r="CZ235" s="11" t="s">
        <v>319</v>
      </c>
      <c r="DB235" s="18"/>
      <c r="DD235" s="11" t="s">
        <v>319</v>
      </c>
      <c r="DF235" s="18"/>
      <c r="DH235" s="11" t="s">
        <v>319</v>
      </c>
      <c r="DJ235" s="18"/>
      <c r="DL235" s="11" t="s">
        <v>320</v>
      </c>
      <c r="DM235" s="22">
        <v>21516</v>
      </c>
      <c r="DN235" s="18">
        <v>0.48</v>
      </c>
      <c r="DP235" s="11" t="s">
        <v>319</v>
      </c>
      <c r="DR235" s="18"/>
      <c r="DT235" s="11" t="s">
        <v>319</v>
      </c>
      <c r="DV235" s="18"/>
      <c r="DX235" s="11" t="s">
        <v>319</v>
      </c>
      <c r="DZ235" s="18"/>
      <c r="EB235" s="11" t="s">
        <v>320</v>
      </c>
      <c r="EC235" s="22">
        <v>24763</v>
      </c>
      <c r="ED235" s="18">
        <v>0.48</v>
      </c>
      <c r="EI235" s="18"/>
      <c r="ES235" s="18"/>
      <c r="EW235" s="18"/>
      <c r="FA235" s="18"/>
      <c r="FE235" s="18"/>
      <c r="FI235" s="18"/>
      <c r="FM235" s="18"/>
      <c r="FQ235" s="18"/>
      <c r="FU235" s="18"/>
      <c r="FY235" s="18"/>
      <c r="GC235" s="18"/>
      <c r="GG235" s="18"/>
      <c r="GK235" s="18"/>
      <c r="GO235" s="18"/>
      <c r="GS235" s="18"/>
      <c r="GW235" s="18"/>
      <c r="HA235" s="18"/>
      <c r="HF235" s="18"/>
      <c r="HH235" s="11" t="s">
        <v>320</v>
      </c>
      <c r="HI235" s="11" t="s">
        <v>522</v>
      </c>
      <c r="HJ235" s="11">
        <v>2016</v>
      </c>
      <c r="HK235" s="11" t="s">
        <v>319</v>
      </c>
      <c r="HL235" s="11" t="s">
        <v>319</v>
      </c>
      <c r="HP235" s="11" t="s">
        <v>330</v>
      </c>
      <c r="HQ235" s="11" t="s">
        <v>319</v>
      </c>
      <c r="HR235" s="11" t="s">
        <v>319</v>
      </c>
      <c r="HS235" s="11" t="s">
        <v>320</v>
      </c>
      <c r="HT235" s="11" t="s">
        <v>320</v>
      </c>
      <c r="HU235" s="11" t="s">
        <v>320</v>
      </c>
      <c r="HV235" s="11" t="s">
        <v>319</v>
      </c>
      <c r="HW235" s="11" t="s">
        <v>319</v>
      </c>
      <c r="HX235" s="11" t="s">
        <v>319</v>
      </c>
      <c r="HZ235" s="11" t="s">
        <v>394</v>
      </c>
      <c r="IA235" s="11" t="s">
        <v>4283</v>
      </c>
      <c r="IB235" s="11" t="s">
        <v>333</v>
      </c>
      <c r="ID235" s="11" t="s">
        <v>364</v>
      </c>
      <c r="IE235" s="11" t="s">
        <v>335</v>
      </c>
      <c r="IF235" s="11" t="s">
        <v>320</v>
      </c>
      <c r="IG235" s="11" t="s">
        <v>320</v>
      </c>
      <c r="IH235" s="11" t="s">
        <v>320</v>
      </c>
      <c r="II235" s="11" t="s">
        <v>320</v>
      </c>
      <c r="IJ235" s="12" t="str">
        <f t="shared" si="130"/>
        <v>2. Sensitive</v>
      </c>
      <c r="IK235" s="12">
        <f t="shared" si="131"/>
        <v>4</v>
      </c>
      <c r="IL235" s="11" t="s">
        <v>336</v>
      </c>
      <c r="IM235" s="11" t="s">
        <v>320</v>
      </c>
      <c r="IN235" s="11" t="s">
        <v>320</v>
      </c>
      <c r="IO235" s="11" t="s">
        <v>320</v>
      </c>
      <c r="IP235" s="11" t="s">
        <v>320</v>
      </c>
      <c r="IQ235" s="12" t="str">
        <f t="shared" si="132"/>
        <v>2. Accommodating</v>
      </c>
      <c r="IR235" s="12">
        <f t="shared" si="133"/>
        <v>4</v>
      </c>
      <c r="IS235" s="11" t="s">
        <v>337</v>
      </c>
      <c r="IT235" s="11" t="s">
        <v>320</v>
      </c>
      <c r="IU235" s="11" t="s">
        <v>320</v>
      </c>
      <c r="IV235" s="11" t="s">
        <v>320</v>
      </c>
      <c r="IW235" s="11" t="str">
        <f t="shared" si="134"/>
        <v>2. Sensitive</v>
      </c>
      <c r="IX235" s="12">
        <f t="shared" si="135"/>
        <v>3</v>
      </c>
      <c r="IY235" s="11" t="s">
        <v>419</v>
      </c>
      <c r="IZ235" s="11" t="s">
        <v>457</v>
      </c>
      <c r="JA235" s="11">
        <v>1</v>
      </c>
      <c r="JB235" s="12" t="s">
        <v>651</v>
      </c>
      <c r="JE235" s="11" t="s">
        <v>365</v>
      </c>
      <c r="JF235" s="11" t="s">
        <v>4284</v>
      </c>
      <c r="JG235" s="11" t="s">
        <v>4285</v>
      </c>
      <c r="JH235" s="11" t="s">
        <v>4286</v>
      </c>
      <c r="JI235" s="11" t="s">
        <v>4287</v>
      </c>
      <c r="JJ235" s="11" t="s">
        <v>4288</v>
      </c>
      <c r="JK235" s="11" t="s">
        <v>4289</v>
      </c>
      <c r="JL235" s="11" t="s">
        <v>4290</v>
      </c>
      <c r="JM235" s="11" t="s">
        <v>4291</v>
      </c>
      <c r="JO235" s="11" t="s">
        <v>4292</v>
      </c>
      <c r="JP235" s="15">
        <f t="shared" si="136"/>
        <v>27092</v>
      </c>
      <c r="JQ235" s="15">
        <f t="shared" si="137"/>
        <v>0</v>
      </c>
      <c r="JR235" s="279">
        <f t="shared" si="138"/>
        <v>0</v>
      </c>
      <c r="JS235" s="17">
        <f t="shared" si="139"/>
        <v>0.47645061272700429</v>
      </c>
      <c r="JT235" s="18" t="str">
        <f t="shared" si="140"/>
        <v/>
      </c>
      <c r="JU235" s="280">
        <f t="shared" si="141"/>
        <v>12908</v>
      </c>
      <c r="JV235" s="280">
        <f t="shared" si="142"/>
        <v>0</v>
      </c>
      <c r="JW235" s="319">
        <f t="shared" si="143"/>
        <v>1</v>
      </c>
      <c r="JX235" s="15">
        <f t="shared" si="144"/>
        <v>27092</v>
      </c>
      <c r="JY235" s="15">
        <f t="shared" si="145"/>
        <v>0</v>
      </c>
      <c r="JZ235" s="19">
        <f t="shared" si="146"/>
        <v>0</v>
      </c>
      <c r="KA235" s="52">
        <f t="shared" si="147"/>
        <v>1</v>
      </c>
      <c r="KB235" s="15">
        <f t="shared" si="148"/>
        <v>21516</v>
      </c>
      <c r="KC235" s="15">
        <f t="shared" si="149"/>
        <v>0</v>
      </c>
      <c r="KD235" s="20">
        <f t="shared" si="150"/>
        <v>0</v>
      </c>
      <c r="KE235" s="52" t="str">
        <f t="shared" si="151"/>
        <v/>
      </c>
      <c r="KF235" s="15">
        <f t="shared" si="152"/>
        <v>0</v>
      </c>
      <c r="KG235" s="15">
        <f t="shared" si="153"/>
        <v>0</v>
      </c>
      <c r="KH235" s="21" t="str">
        <f t="shared" si="154"/>
        <v/>
      </c>
      <c r="KI235" s="52" t="str">
        <f t="shared" si="155"/>
        <v/>
      </c>
      <c r="KJ235" s="15">
        <f t="shared" si="156"/>
        <v>0</v>
      </c>
      <c r="KK235" s="15">
        <f t="shared" si="157"/>
        <v>0</v>
      </c>
      <c r="KL235" s="19" t="str">
        <f t="shared" si="158"/>
        <v/>
      </c>
      <c r="KM235" s="52" t="str">
        <f t="shared" si="159"/>
        <v/>
      </c>
      <c r="KN235" s="22">
        <f t="shared" si="160"/>
        <v>0</v>
      </c>
      <c r="KO235" s="22">
        <f t="shared" si="161"/>
        <v>0</v>
      </c>
      <c r="KP235" s="19" t="str">
        <f t="shared" si="162"/>
        <v/>
      </c>
      <c r="KQ235" s="11" t="str">
        <f t="shared" si="163"/>
        <v>2. Sensitive</v>
      </c>
      <c r="KR235" s="11" t="str">
        <f t="shared" si="164"/>
        <v>2. Accommodating</v>
      </c>
      <c r="KS235" s="11" t="str">
        <f t="shared" si="165"/>
        <v>2. Sensitive</v>
      </c>
      <c r="KT235" s="11" t="str">
        <f t="shared" si="166"/>
        <v>It tested new ways for fighting poverty, but did not measure results of innovation</v>
      </c>
      <c r="KU235" s="11" t="str">
        <f t="shared" si="167"/>
        <v>Moderate advocacy</v>
      </c>
      <c r="KV235" s="11" t="str">
        <f t="shared" si="168"/>
        <v>It did not take tested solutions to scale</v>
      </c>
      <c r="KW235" s="11" t="str">
        <f t="shared" si="169"/>
        <v>Fiji - Tropical Cyclone Winston (Fiji) Response</v>
      </c>
      <c r="KX235" s="11" t="str">
        <f t="shared" si="170"/>
        <v>Tropical Cyclone Winston (Fiji) Response</v>
      </c>
      <c r="KY235" s="11" t="str">
        <f t="shared" si="171"/>
        <v>Fiji</v>
      </c>
      <c r="KZ235" s="12">
        <v>235</v>
      </c>
    </row>
    <row r="236" spans="1:312" x14ac:dyDescent="0.3">
      <c r="A236" s="11" t="s">
        <v>4293</v>
      </c>
      <c r="B236" s="11" t="s">
        <v>602</v>
      </c>
      <c r="D236" s="11" t="s">
        <v>4316</v>
      </c>
      <c r="E236" s="24" t="str">
        <f t="shared" si="129"/>
        <v>France</v>
      </c>
      <c r="F236" s="11" t="s">
        <v>4317</v>
      </c>
      <c r="G236" s="11" t="s">
        <v>379</v>
      </c>
      <c r="H236" s="11" t="s">
        <v>383</v>
      </c>
      <c r="J236" s="278" t="s">
        <v>1102</v>
      </c>
      <c r="BD236" s="23">
        <v>42088</v>
      </c>
      <c r="BE236" s="23">
        <v>42613</v>
      </c>
      <c r="BF236" s="23">
        <v>42766</v>
      </c>
      <c r="BG236" s="11" t="s">
        <v>312</v>
      </c>
      <c r="BH236" s="22">
        <v>170202</v>
      </c>
      <c r="BI236" s="11" t="s">
        <v>4318</v>
      </c>
      <c r="BJ236" s="11" t="s">
        <v>4319</v>
      </c>
      <c r="BK236" s="11" t="s">
        <v>4320</v>
      </c>
      <c r="BL236" s="11" t="s">
        <v>4321</v>
      </c>
      <c r="BM236" s="11" t="s">
        <v>4322</v>
      </c>
      <c r="BN236" s="11" t="s">
        <v>4323</v>
      </c>
      <c r="BO236" s="12" t="s">
        <v>319</v>
      </c>
      <c r="BP236" s="12" t="s">
        <v>320</v>
      </c>
      <c r="BQ236" s="12" t="s">
        <v>319</v>
      </c>
      <c r="BR236" s="11" t="s">
        <v>4324</v>
      </c>
      <c r="BS236" s="11" t="s">
        <v>615</v>
      </c>
      <c r="BT236" s="11" t="s">
        <v>4325</v>
      </c>
      <c r="BU236" s="11" t="s">
        <v>4326</v>
      </c>
      <c r="BV236" s="22">
        <v>5</v>
      </c>
      <c r="BW236" s="22">
        <v>5</v>
      </c>
      <c r="BX236" s="22">
        <v>10</v>
      </c>
      <c r="BY236" s="22">
        <v>12</v>
      </c>
      <c r="BZ236" s="22">
        <v>17</v>
      </c>
      <c r="CA236" s="22">
        <v>29</v>
      </c>
      <c r="CB236" s="15" t="s">
        <v>4327</v>
      </c>
      <c r="CJ236" s="11" t="s">
        <v>319</v>
      </c>
      <c r="CL236" s="18"/>
      <c r="CN236" s="11" t="s">
        <v>319</v>
      </c>
      <c r="CP236" s="18"/>
      <c r="CR236" s="11" t="s">
        <v>319</v>
      </c>
      <c r="CT236" s="18"/>
      <c r="CV236" s="11" t="s">
        <v>319</v>
      </c>
      <c r="CX236" s="18"/>
      <c r="CZ236" s="11" t="s">
        <v>319</v>
      </c>
      <c r="DB236" s="18"/>
      <c r="DD236" s="11" t="s">
        <v>319</v>
      </c>
      <c r="DF236" s="18"/>
      <c r="DH236" s="11" t="s">
        <v>319</v>
      </c>
      <c r="DJ236" s="18"/>
      <c r="DL236" s="11" t="s">
        <v>319</v>
      </c>
      <c r="DN236" s="18"/>
      <c r="DP236" s="11" t="s">
        <v>319</v>
      </c>
      <c r="DR236" s="18"/>
      <c r="DT236" s="11" t="s">
        <v>319</v>
      </c>
      <c r="DV236" s="18"/>
      <c r="DX236" s="11" t="s">
        <v>319</v>
      </c>
      <c r="DZ236" s="18"/>
      <c r="EB236" s="11" t="s">
        <v>319</v>
      </c>
      <c r="ED236" s="18"/>
      <c r="EG236" s="15" t="s">
        <v>319</v>
      </c>
      <c r="EI236" s="18"/>
      <c r="EK236" s="22">
        <v>3</v>
      </c>
      <c r="EL236" s="22">
        <v>3</v>
      </c>
      <c r="EM236" s="22">
        <v>6</v>
      </c>
      <c r="EN236" s="22">
        <v>8</v>
      </c>
      <c r="EO236" s="22">
        <v>12</v>
      </c>
      <c r="EP236" s="22">
        <v>20</v>
      </c>
      <c r="ES236" s="18"/>
      <c r="EW236" s="18"/>
      <c r="FA236" s="18"/>
      <c r="FE236" s="18"/>
      <c r="FI236" s="18"/>
      <c r="FM236" s="18"/>
      <c r="FQ236" s="18"/>
      <c r="FU236" s="18"/>
      <c r="FY236" s="18"/>
      <c r="GC236" s="18"/>
      <c r="GG236" s="18"/>
      <c r="GK236" s="18"/>
      <c r="GO236" s="18"/>
      <c r="GS236" s="18"/>
      <c r="GW236" s="18"/>
      <c r="HA236" s="18"/>
      <c r="HC236" s="11" t="s">
        <v>4328</v>
      </c>
      <c r="HD236" s="11" t="s">
        <v>320</v>
      </c>
      <c r="HE236" s="22">
        <v>6</v>
      </c>
      <c r="HF236" s="18">
        <v>0.5</v>
      </c>
      <c r="HG236" s="22">
        <v>20</v>
      </c>
      <c r="HH236" s="11" t="s">
        <v>319</v>
      </c>
      <c r="HK236" s="11" t="s">
        <v>319</v>
      </c>
      <c r="HL236" s="11" t="s">
        <v>319</v>
      </c>
      <c r="HP236" s="11" t="s">
        <v>453</v>
      </c>
      <c r="HQ236" s="11" t="s">
        <v>320</v>
      </c>
      <c r="HR236" s="11" t="s">
        <v>319</v>
      </c>
      <c r="HS236" s="11" t="s">
        <v>319</v>
      </c>
      <c r="HT236" s="11" t="s">
        <v>319</v>
      </c>
      <c r="HU236" s="11" t="s">
        <v>319</v>
      </c>
      <c r="HV236" s="11" t="s">
        <v>319</v>
      </c>
      <c r="HW236" s="11" t="s">
        <v>320</v>
      </c>
      <c r="HX236" s="11" t="s">
        <v>319</v>
      </c>
      <c r="HZ236" s="11" t="s">
        <v>363</v>
      </c>
      <c r="IB236" s="11" t="s">
        <v>667</v>
      </c>
      <c r="IC236" s="11" t="s">
        <v>4329</v>
      </c>
      <c r="ID236" s="11" t="s">
        <v>364</v>
      </c>
      <c r="IE236" s="11" t="s">
        <v>335</v>
      </c>
      <c r="IF236" s="11" t="s">
        <v>320</v>
      </c>
      <c r="IG236" s="11" t="s">
        <v>320</v>
      </c>
      <c r="IH236" s="11" t="s">
        <v>319</v>
      </c>
      <c r="II236" s="11" t="s">
        <v>319</v>
      </c>
      <c r="IJ236" s="12" t="str">
        <f t="shared" si="130"/>
        <v>1. Neutral</v>
      </c>
      <c r="IK236" s="12">
        <f t="shared" si="131"/>
        <v>2</v>
      </c>
      <c r="IL236" s="11" t="s">
        <v>336</v>
      </c>
      <c r="IM236" s="11" t="s">
        <v>320</v>
      </c>
      <c r="IN236" s="11" t="s">
        <v>319</v>
      </c>
      <c r="IO236" s="11" t="s">
        <v>320</v>
      </c>
      <c r="IP236" s="11" t="s">
        <v>319</v>
      </c>
      <c r="IQ236" s="12" t="str">
        <f t="shared" si="132"/>
        <v>1. Tokenistic</v>
      </c>
      <c r="IR236" s="12">
        <f t="shared" si="133"/>
        <v>2</v>
      </c>
      <c r="IS236" s="11" t="s">
        <v>337</v>
      </c>
      <c r="IT236" s="11" t="s">
        <v>319</v>
      </c>
      <c r="IU236" s="11" t="s">
        <v>319</v>
      </c>
      <c r="IV236" s="11" t="s">
        <v>319</v>
      </c>
      <c r="IW236" s="11" t="str">
        <f t="shared" si="134"/>
        <v>0. Harmful</v>
      </c>
      <c r="IX236" s="12">
        <f t="shared" si="135"/>
        <v>0</v>
      </c>
      <c r="IY236" s="11" t="s">
        <v>419</v>
      </c>
      <c r="IZ236" s="11" t="s">
        <v>339</v>
      </c>
      <c r="JE236" s="11" t="s">
        <v>365</v>
      </c>
      <c r="JF236" s="11" t="s">
        <v>4330</v>
      </c>
      <c r="JH236" s="11" t="s">
        <v>4331</v>
      </c>
      <c r="JI236" s="11" t="s">
        <v>4332</v>
      </c>
      <c r="JP236" s="15">
        <f t="shared" si="136"/>
        <v>6</v>
      </c>
      <c r="JQ236" s="15">
        <f t="shared" si="137"/>
        <v>20</v>
      </c>
      <c r="JR236" s="279">
        <f t="shared" si="138"/>
        <v>3.3333333333333335</v>
      </c>
      <c r="JS236" s="17">
        <f t="shared" si="139"/>
        <v>0.5</v>
      </c>
      <c r="JT236" s="18">
        <f t="shared" si="140"/>
        <v>0.4</v>
      </c>
      <c r="JU236" s="280">
        <f t="shared" si="141"/>
        <v>3</v>
      </c>
      <c r="JV236" s="280">
        <f t="shared" si="142"/>
        <v>8</v>
      </c>
      <c r="JW236" s="319" t="str">
        <f t="shared" si="143"/>
        <v/>
      </c>
      <c r="JX236" s="15">
        <f t="shared" si="144"/>
        <v>0</v>
      </c>
      <c r="JY236" s="15">
        <f t="shared" si="145"/>
        <v>0</v>
      </c>
      <c r="JZ236" s="19" t="str">
        <f t="shared" si="146"/>
        <v/>
      </c>
      <c r="KA236" s="52" t="str">
        <f t="shared" si="147"/>
        <v/>
      </c>
      <c r="KB236" s="15">
        <f t="shared" si="148"/>
        <v>0</v>
      </c>
      <c r="KC236" s="15">
        <f t="shared" si="149"/>
        <v>0</v>
      </c>
      <c r="KD236" s="20" t="str">
        <f t="shared" si="150"/>
        <v/>
      </c>
      <c r="KE236" s="52" t="str">
        <f t="shared" si="151"/>
        <v/>
      </c>
      <c r="KF236" s="15">
        <f t="shared" si="152"/>
        <v>0</v>
      </c>
      <c r="KG236" s="15">
        <f t="shared" si="153"/>
        <v>0</v>
      </c>
      <c r="KH236" s="21" t="str">
        <f t="shared" si="154"/>
        <v/>
      </c>
      <c r="KI236" s="52" t="str">
        <f t="shared" si="155"/>
        <v/>
      </c>
      <c r="KJ236" s="15">
        <f t="shared" si="156"/>
        <v>0</v>
      </c>
      <c r="KK236" s="15">
        <f t="shared" si="157"/>
        <v>0</v>
      </c>
      <c r="KL236" s="19" t="str">
        <f t="shared" si="158"/>
        <v/>
      </c>
      <c r="KM236" s="52" t="str">
        <f t="shared" si="159"/>
        <v/>
      </c>
      <c r="KN236" s="22">
        <f t="shared" si="160"/>
        <v>0</v>
      </c>
      <c r="KO236" s="22">
        <f t="shared" si="161"/>
        <v>0</v>
      </c>
      <c r="KP236" s="19" t="str">
        <f t="shared" si="162"/>
        <v/>
      </c>
      <c r="KQ236" s="11" t="str">
        <f t="shared" si="163"/>
        <v>1. Neutral</v>
      </c>
      <c r="KR236" s="11" t="str">
        <f t="shared" si="164"/>
        <v>1. Tokenistic</v>
      </c>
      <c r="KS236" s="11" t="str">
        <f t="shared" si="165"/>
        <v>0. Harmful</v>
      </c>
      <c r="KT236" s="11" t="str">
        <f t="shared" si="166"/>
        <v>It did not develop any specific innovation</v>
      </c>
      <c r="KU236" s="11" t="str">
        <f t="shared" si="167"/>
        <v>Intensive advocacy</v>
      </c>
      <c r="KV236" s="11" t="str">
        <f t="shared" si="168"/>
        <v>It took tested solutions to scale on its own</v>
      </c>
      <c r="KW236" s="11" t="str">
        <f t="shared" si="169"/>
        <v>France - CARE Learning Tours in Europe: Building Champions and Deepening the Connection for International Development Assistance</v>
      </c>
      <c r="KX236" s="11" t="str">
        <f t="shared" si="170"/>
        <v>CARE Learning Tours in Europe: Building Champions and Deepening the Connection for International Development Assistance</v>
      </c>
      <c r="KY236" s="11" t="str">
        <f t="shared" si="171"/>
        <v>France</v>
      </c>
      <c r="KZ236" s="12">
        <v>236</v>
      </c>
    </row>
    <row r="237" spans="1:312" x14ac:dyDescent="0.3">
      <c r="A237" s="11" t="s">
        <v>4293</v>
      </c>
      <c r="B237" s="11" t="s">
        <v>602</v>
      </c>
      <c r="D237" s="11" t="s">
        <v>4294</v>
      </c>
      <c r="E237" s="24" t="str">
        <f t="shared" si="129"/>
        <v>France</v>
      </c>
      <c r="G237" s="11" t="s">
        <v>714</v>
      </c>
      <c r="H237" s="11" t="s">
        <v>310</v>
      </c>
      <c r="I237" s="11" t="s">
        <v>2399</v>
      </c>
      <c r="J237" s="278" t="s">
        <v>14629</v>
      </c>
      <c r="BD237" s="23">
        <v>41456</v>
      </c>
      <c r="BE237" s="23">
        <v>42551</v>
      </c>
      <c r="BF237" s="23">
        <v>42735</v>
      </c>
      <c r="BG237" s="11" t="s">
        <v>312</v>
      </c>
      <c r="BH237" s="22">
        <v>96693</v>
      </c>
      <c r="BI237" s="11" t="s">
        <v>4295</v>
      </c>
      <c r="BJ237" s="11" t="s">
        <v>4296</v>
      </c>
      <c r="BK237" s="11" t="s">
        <v>4297</v>
      </c>
      <c r="BO237" s="12" t="s">
        <v>319</v>
      </c>
      <c r="BP237" s="12" t="s">
        <v>320</v>
      </c>
      <c r="BQ237" s="12" t="s">
        <v>319</v>
      </c>
      <c r="BR237" s="11" t="s">
        <v>4298</v>
      </c>
      <c r="BS237" s="11" t="s">
        <v>322</v>
      </c>
      <c r="BT237" s="11" t="s">
        <v>4299</v>
      </c>
      <c r="BU237" s="11" t="s">
        <v>4300</v>
      </c>
      <c r="BV237" s="22">
        <v>250</v>
      </c>
      <c r="BW237" s="22">
        <v>250</v>
      </c>
      <c r="BX237" s="22">
        <v>500</v>
      </c>
      <c r="CL237" s="18"/>
      <c r="CP237" s="18"/>
      <c r="CT237" s="18"/>
      <c r="CX237" s="18"/>
      <c r="DB237" s="18"/>
      <c r="DF237" s="18"/>
      <c r="DJ237" s="18"/>
      <c r="DN237" s="18"/>
      <c r="DR237" s="18"/>
      <c r="DV237" s="18"/>
      <c r="DZ237" s="18"/>
      <c r="ED237" s="18"/>
      <c r="EI237" s="18"/>
      <c r="EK237" s="22">
        <v>40</v>
      </c>
      <c r="EL237" s="22">
        <v>40</v>
      </c>
      <c r="EM237" s="22">
        <v>80</v>
      </c>
      <c r="EQ237" s="12" t="s">
        <v>320</v>
      </c>
      <c r="ER237" s="22">
        <v>40</v>
      </c>
      <c r="ES237" s="18">
        <v>0.5</v>
      </c>
      <c r="EU237" s="11" t="s">
        <v>320</v>
      </c>
      <c r="EV237" s="22">
        <v>40</v>
      </c>
      <c r="EW237" s="18">
        <v>0.5</v>
      </c>
      <c r="FA237" s="18"/>
      <c r="FC237" s="12" t="s">
        <v>320</v>
      </c>
      <c r="FD237" s="22">
        <v>40</v>
      </c>
      <c r="FE237" s="18">
        <v>0.5</v>
      </c>
      <c r="FI237" s="18"/>
      <c r="FM237" s="18"/>
      <c r="FO237" s="12" t="s">
        <v>320</v>
      </c>
      <c r="FP237" s="22">
        <v>40</v>
      </c>
      <c r="FQ237" s="18">
        <v>0.5</v>
      </c>
      <c r="FU237" s="18"/>
      <c r="FY237" s="18"/>
      <c r="GC237" s="18"/>
      <c r="GG237" s="18"/>
      <c r="GI237" s="11" t="s">
        <v>320</v>
      </c>
      <c r="GJ237" s="22">
        <v>40</v>
      </c>
      <c r="GK237" s="18">
        <v>0.5</v>
      </c>
      <c r="GM237" s="11" t="s">
        <v>320</v>
      </c>
      <c r="GN237" s="22">
        <v>40</v>
      </c>
      <c r="GO237" s="18">
        <v>0.5</v>
      </c>
      <c r="GS237" s="18"/>
      <c r="GW237" s="18"/>
      <c r="HA237" s="18"/>
      <c r="HF237" s="18"/>
      <c r="HH237" s="11" t="s">
        <v>319</v>
      </c>
      <c r="HK237" s="11" t="s">
        <v>319</v>
      </c>
      <c r="HL237" s="11" t="s">
        <v>319</v>
      </c>
      <c r="HP237" s="11" t="s">
        <v>330</v>
      </c>
      <c r="HU237" s="11" t="s">
        <v>320</v>
      </c>
      <c r="HZ237" s="11" t="s">
        <v>363</v>
      </c>
      <c r="IB237" s="12" t="s">
        <v>396</v>
      </c>
      <c r="IC237" s="11" t="s">
        <v>4301</v>
      </c>
      <c r="ID237" s="11" t="s">
        <v>364</v>
      </c>
      <c r="IE237" s="11" t="s">
        <v>335</v>
      </c>
      <c r="IF237" s="11" t="s">
        <v>319</v>
      </c>
      <c r="IG237" s="11" t="s">
        <v>319</v>
      </c>
      <c r="IH237" s="11" t="s">
        <v>320</v>
      </c>
      <c r="II237" s="11" t="s">
        <v>320</v>
      </c>
      <c r="IJ237" s="12" t="str">
        <f t="shared" si="130"/>
        <v>1. Neutral</v>
      </c>
      <c r="IK237" s="12">
        <f t="shared" si="131"/>
        <v>2</v>
      </c>
      <c r="IL237" s="11" t="s">
        <v>336</v>
      </c>
      <c r="IM237" s="11" t="s">
        <v>320</v>
      </c>
      <c r="IN237" s="11" t="s">
        <v>320</v>
      </c>
      <c r="IO237" s="11" t="s">
        <v>319</v>
      </c>
      <c r="IP237" s="11" t="s">
        <v>320</v>
      </c>
      <c r="IQ237" s="12" t="str">
        <f t="shared" si="132"/>
        <v>2. Accommodating</v>
      </c>
      <c r="IR237" s="12">
        <f t="shared" si="133"/>
        <v>3</v>
      </c>
      <c r="IS237" s="11" t="s">
        <v>622</v>
      </c>
      <c r="IT237" s="11" t="s">
        <v>320</v>
      </c>
      <c r="IU237" s="11" t="s">
        <v>320</v>
      </c>
      <c r="IV237" s="11" t="s">
        <v>319</v>
      </c>
      <c r="IW237" s="11" t="str">
        <f t="shared" si="134"/>
        <v>3. Responsive</v>
      </c>
      <c r="IX237" s="12">
        <f t="shared" si="135"/>
        <v>2</v>
      </c>
      <c r="IZ237" s="11" t="s">
        <v>527</v>
      </c>
      <c r="JA237" s="11">
        <v>7</v>
      </c>
      <c r="JB237" s="11" t="s">
        <v>433</v>
      </c>
      <c r="JE237" s="12" t="s">
        <v>340</v>
      </c>
      <c r="JF237" s="11" t="s">
        <v>4302</v>
      </c>
      <c r="JG237" s="11" t="s">
        <v>4303</v>
      </c>
      <c r="JH237" s="11" t="s">
        <v>4304</v>
      </c>
      <c r="JI237" s="11" t="s">
        <v>4305</v>
      </c>
      <c r="JK237" s="11" t="s">
        <v>4306</v>
      </c>
      <c r="JL237" s="11" t="s">
        <v>4307</v>
      </c>
      <c r="JP237" s="15">
        <f t="shared" si="136"/>
        <v>80</v>
      </c>
      <c r="JQ237" s="15">
        <f t="shared" si="137"/>
        <v>0</v>
      </c>
      <c r="JR237" s="279">
        <f t="shared" si="138"/>
        <v>0</v>
      </c>
      <c r="JS237" s="17">
        <f t="shared" si="139"/>
        <v>0.5</v>
      </c>
      <c r="JT237" s="18" t="str">
        <f t="shared" si="140"/>
        <v/>
      </c>
      <c r="JU237" s="280">
        <f t="shared" si="141"/>
        <v>40</v>
      </c>
      <c r="JV237" s="280">
        <f t="shared" si="142"/>
        <v>0</v>
      </c>
      <c r="JW237" s="319" t="str">
        <f t="shared" si="143"/>
        <v/>
      </c>
      <c r="JX237" s="15">
        <f t="shared" si="144"/>
        <v>0</v>
      </c>
      <c r="JY237" s="15">
        <f t="shared" si="145"/>
        <v>0</v>
      </c>
      <c r="JZ237" s="19" t="str">
        <f t="shared" si="146"/>
        <v/>
      </c>
      <c r="KA237" s="52">
        <f t="shared" si="147"/>
        <v>1</v>
      </c>
      <c r="KB237" s="15">
        <f t="shared" si="148"/>
        <v>40</v>
      </c>
      <c r="KC237" s="15">
        <f t="shared" si="149"/>
        <v>0</v>
      </c>
      <c r="KD237" s="20">
        <f t="shared" si="150"/>
        <v>0</v>
      </c>
      <c r="KE237" s="52" t="str">
        <f t="shared" si="151"/>
        <v/>
      </c>
      <c r="KF237" s="15">
        <f t="shared" si="152"/>
        <v>0</v>
      </c>
      <c r="KG237" s="15">
        <f t="shared" si="153"/>
        <v>0</v>
      </c>
      <c r="KH237" s="21" t="str">
        <f t="shared" si="154"/>
        <v/>
      </c>
      <c r="KI237" s="52" t="str">
        <f t="shared" si="155"/>
        <v/>
      </c>
      <c r="KJ237" s="15">
        <f t="shared" si="156"/>
        <v>0</v>
      </c>
      <c r="KK237" s="15">
        <f t="shared" si="157"/>
        <v>0</v>
      </c>
      <c r="KL237" s="19" t="str">
        <f t="shared" si="158"/>
        <v/>
      </c>
      <c r="KM237" s="52" t="str">
        <f t="shared" si="159"/>
        <v/>
      </c>
      <c r="KN237" s="22">
        <f t="shared" si="160"/>
        <v>0</v>
      </c>
      <c r="KO237" s="22">
        <f t="shared" si="161"/>
        <v>0</v>
      </c>
      <c r="KP237" s="19" t="str">
        <f t="shared" si="162"/>
        <v/>
      </c>
      <c r="KQ237" s="11" t="str">
        <f t="shared" si="163"/>
        <v>1. Neutral</v>
      </c>
      <c r="KR237" s="11" t="str">
        <f t="shared" si="164"/>
        <v>2. Accommodating</v>
      </c>
      <c r="KS237" s="11" t="str">
        <f t="shared" si="165"/>
        <v>3. Responsive</v>
      </c>
      <c r="KT237" s="11" t="str">
        <f t="shared" si="166"/>
        <v>It did not develop any specific innovation</v>
      </c>
      <c r="KU237" s="11" t="str">
        <f t="shared" si="167"/>
        <v>Moderate advocacy</v>
      </c>
      <c r="KV237" s="11" t="str">
        <f t="shared" si="168"/>
        <v>It linked and worked with strategic alliances and partners to take tested and effective solutions to scale</v>
      </c>
      <c r="KW237" s="11" t="str">
        <f t="shared" si="169"/>
        <v>France - PAMOC</v>
      </c>
      <c r="KX237" s="11" t="str">
        <f t="shared" si="170"/>
        <v>PAMOC</v>
      </c>
      <c r="KY237" s="11" t="str">
        <f t="shared" si="171"/>
        <v>France</v>
      </c>
      <c r="KZ237" s="12">
        <v>237</v>
      </c>
    </row>
    <row r="238" spans="1:312" x14ac:dyDescent="0.3">
      <c r="A238" s="11" t="s">
        <v>4293</v>
      </c>
      <c r="B238" s="11" t="s">
        <v>602</v>
      </c>
      <c r="D238" s="11" t="s">
        <v>4333</v>
      </c>
      <c r="E238" s="24" t="str">
        <f t="shared" si="129"/>
        <v>France</v>
      </c>
      <c r="G238" s="11" t="s">
        <v>608</v>
      </c>
      <c r="H238" s="11" t="s">
        <v>310</v>
      </c>
      <c r="J238" s="278"/>
      <c r="BD238" s="23">
        <v>41275</v>
      </c>
      <c r="BG238" s="11" t="s">
        <v>312</v>
      </c>
      <c r="BH238" s="22">
        <v>210000</v>
      </c>
      <c r="BI238" s="11" t="s">
        <v>4334</v>
      </c>
      <c r="BJ238" s="11" t="s">
        <v>4335</v>
      </c>
      <c r="BK238" s="11" t="s">
        <v>4336</v>
      </c>
      <c r="BO238" s="12" t="s">
        <v>319</v>
      </c>
      <c r="BP238" s="12" t="s">
        <v>320</v>
      </c>
      <c r="BQ238" s="12" t="s">
        <v>319</v>
      </c>
      <c r="BR238" s="11" t="s">
        <v>4337</v>
      </c>
      <c r="BS238" s="11" t="s">
        <v>322</v>
      </c>
      <c r="BT238" s="11" t="s">
        <v>4338</v>
      </c>
      <c r="BU238" s="11" t="s">
        <v>4339</v>
      </c>
      <c r="BV238" s="22">
        <v>37</v>
      </c>
      <c r="BW238" s="22">
        <v>47</v>
      </c>
      <c r="BX238" s="22">
        <v>84</v>
      </c>
      <c r="BY238" s="22">
        <v>148</v>
      </c>
      <c r="BZ238" s="22">
        <v>188</v>
      </c>
      <c r="CA238" s="22">
        <v>336</v>
      </c>
      <c r="CB238" s="15" t="s">
        <v>4340</v>
      </c>
      <c r="CL238" s="18"/>
      <c r="CP238" s="18"/>
      <c r="CT238" s="18"/>
      <c r="CX238" s="18"/>
      <c r="DB238" s="18"/>
      <c r="DF238" s="18"/>
      <c r="DJ238" s="18"/>
      <c r="DN238" s="18"/>
      <c r="DR238" s="18"/>
      <c r="DV238" s="18"/>
      <c r="DZ238" s="18"/>
      <c r="ED238" s="18"/>
      <c r="EI238" s="18"/>
      <c r="EK238" s="22">
        <v>37</v>
      </c>
      <c r="EL238" s="22">
        <v>47</v>
      </c>
      <c r="EM238" s="22">
        <v>84</v>
      </c>
      <c r="EN238" s="22">
        <v>148</v>
      </c>
      <c r="EO238" s="22">
        <v>188</v>
      </c>
      <c r="EP238" s="22">
        <v>336</v>
      </c>
      <c r="EQ238" s="12" t="s">
        <v>319</v>
      </c>
      <c r="ES238" s="18"/>
      <c r="EU238" s="11" t="s">
        <v>319</v>
      </c>
      <c r="EW238" s="18"/>
      <c r="EY238" s="12" t="s">
        <v>319</v>
      </c>
      <c r="FA238" s="18"/>
      <c r="FC238" s="12" t="s">
        <v>319</v>
      </c>
      <c r="FE238" s="18"/>
      <c r="FG238" s="12" t="s">
        <v>319</v>
      </c>
      <c r="FI238" s="18"/>
      <c r="FK238" s="11" t="s">
        <v>319</v>
      </c>
      <c r="FM238" s="18"/>
      <c r="FO238" s="11" t="s">
        <v>319</v>
      </c>
      <c r="FQ238" s="18"/>
      <c r="FS238" s="11" t="s">
        <v>319</v>
      </c>
      <c r="FU238" s="18"/>
      <c r="FW238" s="11" t="s">
        <v>319</v>
      </c>
      <c r="FY238" s="18"/>
      <c r="GA238" s="11" t="s">
        <v>320</v>
      </c>
      <c r="GB238" s="22">
        <v>84</v>
      </c>
      <c r="GC238" s="18">
        <v>0.44</v>
      </c>
      <c r="GD238" s="22">
        <v>336</v>
      </c>
      <c r="GE238" s="11" t="s">
        <v>319</v>
      </c>
      <c r="GG238" s="18"/>
      <c r="GI238" s="11" t="s">
        <v>319</v>
      </c>
      <c r="GK238" s="18"/>
      <c r="GM238" s="11" t="s">
        <v>319</v>
      </c>
      <c r="GO238" s="18"/>
      <c r="GQ238" s="11" t="s">
        <v>319</v>
      </c>
      <c r="GS238" s="18"/>
      <c r="GU238" s="11" t="s">
        <v>319</v>
      </c>
      <c r="GW238" s="18"/>
      <c r="GY238" s="11" t="s">
        <v>319</v>
      </c>
      <c r="HA238" s="18"/>
      <c r="HC238" s="11" t="s">
        <v>4341</v>
      </c>
      <c r="HD238" s="11" t="s">
        <v>320</v>
      </c>
      <c r="HF238" s="18"/>
      <c r="HH238" s="11" t="s">
        <v>319</v>
      </c>
      <c r="HK238" s="11" t="s">
        <v>319</v>
      </c>
      <c r="HL238" s="11" t="s">
        <v>319</v>
      </c>
      <c r="HP238" s="11" t="s">
        <v>418</v>
      </c>
      <c r="HQ238" s="11" t="s">
        <v>319</v>
      </c>
      <c r="HR238" s="11" t="s">
        <v>319</v>
      </c>
      <c r="HS238" s="11" t="s">
        <v>319</v>
      </c>
      <c r="HT238" s="11" t="s">
        <v>319</v>
      </c>
      <c r="HU238" s="11" t="s">
        <v>319</v>
      </c>
      <c r="HV238" s="11" t="s">
        <v>319</v>
      </c>
      <c r="HW238" s="11" t="s">
        <v>319</v>
      </c>
      <c r="HX238" s="11" t="s">
        <v>319</v>
      </c>
      <c r="HZ238" s="11" t="s">
        <v>363</v>
      </c>
      <c r="IA238" s="11" t="s">
        <v>4342</v>
      </c>
      <c r="IB238" s="12" t="s">
        <v>333</v>
      </c>
      <c r="IC238" s="11" t="s">
        <v>4343</v>
      </c>
      <c r="ID238" s="11" t="s">
        <v>364</v>
      </c>
      <c r="IE238" s="11" t="s">
        <v>335</v>
      </c>
      <c r="IF238" s="11" t="s">
        <v>319</v>
      </c>
      <c r="IG238" s="11" t="s">
        <v>320</v>
      </c>
      <c r="IH238" s="11" t="s">
        <v>320</v>
      </c>
      <c r="II238" s="11" t="s">
        <v>319</v>
      </c>
      <c r="IJ238" s="12" t="str">
        <f t="shared" si="130"/>
        <v>1. Neutral</v>
      </c>
      <c r="IK238" s="12">
        <f t="shared" si="131"/>
        <v>2</v>
      </c>
      <c r="IL238" s="11" t="s">
        <v>723</v>
      </c>
      <c r="IQ238" s="12" t="str">
        <f t="shared" si="132"/>
        <v>0. Unaware</v>
      </c>
      <c r="IR238" s="12">
        <f t="shared" si="133"/>
        <v>0</v>
      </c>
      <c r="IS238" s="11" t="s">
        <v>456</v>
      </c>
      <c r="IW238" s="11" t="str">
        <f t="shared" si="134"/>
        <v>0. Harmful</v>
      </c>
      <c r="IX238" s="12">
        <f t="shared" si="135"/>
        <v>0</v>
      </c>
      <c r="IY238" s="11" t="s">
        <v>338</v>
      </c>
      <c r="IZ238" s="12" t="s">
        <v>457</v>
      </c>
      <c r="JA238" s="11">
        <v>1</v>
      </c>
      <c r="JB238" s="11" t="s">
        <v>433</v>
      </c>
      <c r="JE238" s="12" t="s">
        <v>420</v>
      </c>
      <c r="JH238" s="11" t="s">
        <v>4344</v>
      </c>
      <c r="JN238" s="11" t="s">
        <v>4345</v>
      </c>
      <c r="JP238" s="15">
        <f t="shared" si="136"/>
        <v>84</v>
      </c>
      <c r="JQ238" s="15">
        <f t="shared" si="137"/>
        <v>336</v>
      </c>
      <c r="JR238" s="279">
        <f t="shared" si="138"/>
        <v>4</v>
      </c>
      <c r="JS238" s="17">
        <f t="shared" si="139"/>
        <v>0.44047619047619047</v>
      </c>
      <c r="JT238" s="18">
        <f t="shared" si="140"/>
        <v>0.44047619047619047</v>
      </c>
      <c r="JU238" s="280">
        <f t="shared" si="141"/>
        <v>37</v>
      </c>
      <c r="JV238" s="280">
        <f t="shared" si="142"/>
        <v>148</v>
      </c>
      <c r="JW238" s="319" t="str">
        <f t="shared" si="143"/>
        <v/>
      </c>
      <c r="JX238" s="15">
        <f t="shared" si="144"/>
        <v>0</v>
      </c>
      <c r="JY238" s="15">
        <f t="shared" si="145"/>
        <v>0</v>
      </c>
      <c r="JZ238" s="19" t="str">
        <f t="shared" si="146"/>
        <v/>
      </c>
      <c r="KA238" s="52" t="str">
        <f t="shared" si="147"/>
        <v/>
      </c>
      <c r="KB238" s="15">
        <f t="shared" si="148"/>
        <v>0</v>
      </c>
      <c r="KC238" s="15">
        <f t="shared" si="149"/>
        <v>0</v>
      </c>
      <c r="KD238" s="20" t="str">
        <f t="shared" si="150"/>
        <v/>
      </c>
      <c r="KE238" s="52" t="str">
        <f t="shared" si="151"/>
        <v/>
      </c>
      <c r="KF238" s="15">
        <f t="shared" si="152"/>
        <v>0</v>
      </c>
      <c r="KG238" s="15">
        <f t="shared" si="153"/>
        <v>0</v>
      </c>
      <c r="KH238" s="21" t="str">
        <f t="shared" si="154"/>
        <v/>
      </c>
      <c r="KI238" s="52" t="str">
        <f t="shared" si="155"/>
        <v/>
      </c>
      <c r="KJ238" s="15">
        <f t="shared" si="156"/>
        <v>0</v>
      </c>
      <c r="KK238" s="15">
        <f t="shared" si="157"/>
        <v>0</v>
      </c>
      <c r="KL238" s="19" t="str">
        <f t="shared" si="158"/>
        <v/>
      </c>
      <c r="KM238" s="52" t="str">
        <f t="shared" si="159"/>
        <v/>
      </c>
      <c r="KN238" s="22">
        <f t="shared" si="160"/>
        <v>0</v>
      </c>
      <c r="KO238" s="22">
        <f t="shared" si="161"/>
        <v>0</v>
      </c>
      <c r="KP238" s="19" t="str">
        <f t="shared" si="162"/>
        <v/>
      </c>
      <c r="KQ238" s="11" t="str">
        <f t="shared" si="163"/>
        <v>1. Neutral</v>
      </c>
      <c r="KR238" s="11" t="str">
        <f t="shared" si="164"/>
        <v>0. Unaware</v>
      </c>
      <c r="KS238" s="11" t="str">
        <f t="shared" si="165"/>
        <v>0. Harmful</v>
      </c>
      <c r="KT238" s="11" t="str">
        <f t="shared" si="166"/>
        <v>It did not develop any specific innovation</v>
      </c>
      <c r="KU238" s="11" t="str">
        <f t="shared" si="167"/>
        <v>Little or no advocacy</v>
      </c>
      <c r="KV238" s="11" t="str">
        <f t="shared" si="168"/>
        <v>It did not take tested solutions to scale</v>
      </c>
      <c r="KW238" s="11" t="str">
        <f t="shared" si="169"/>
        <v>France - Soutien au programme "Traitements médicaux en France pour enfants roumains"</v>
      </c>
      <c r="KX238" s="11" t="str">
        <f t="shared" si="170"/>
        <v>Soutien au programme "Traitements médicaux en France pour enfants roumains"</v>
      </c>
      <c r="KY238" s="11" t="str">
        <f t="shared" si="171"/>
        <v>France</v>
      </c>
      <c r="KZ238" s="12">
        <v>238</v>
      </c>
    </row>
    <row r="239" spans="1:312" x14ac:dyDescent="0.3">
      <c r="A239" s="11" t="s">
        <v>4293</v>
      </c>
      <c r="B239" s="11" t="s">
        <v>602</v>
      </c>
      <c r="D239" s="11" t="s">
        <v>4308</v>
      </c>
      <c r="E239" s="24" t="str">
        <f t="shared" si="129"/>
        <v>France</v>
      </c>
      <c r="G239" s="11" t="s">
        <v>714</v>
      </c>
      <c r="H239" s="11" t="s">
        <v>384</v>
      </c>
      <c r="J239" s="278" t="s">
        <v>714</v>
      </c>
      <c r="BG239" s="11" t="s">
        <v>312</v>
      </c>
      <c r="BI239" s="11" t="s">
        <v>4309</v>
      </c>
      <c r="BK239" s="11" t="s">
        <v>4310</v>
      </c>
      <c r="BO239" s="12" t="s">
        <v>319</v>
      </c>
      <c r="BP239" s="12" t="s">
        <v>320</v>
      </c>
      <c r="BQ239" s="12" t="s">
        <v>319</v>
      </c>
      <c r="BR239" s="11" t="s">
        <v>4311</v>
      </c>
      <c r="BS239" s="11" t="s">
        <v>357</v>
      </c>
      <c r="BT239" s="11" t="s">
        <v>4312</v>
      </c>
      <c r="BU239" s="11" t="s">
        <v>4313</v>
      </c>
      <c r="BV239" s="22">
        <v>100</v>
      </c>
      <c r="BW239" s="22">
        <v>100</v>
      </c>
      <c r="BX239" s="22">
        <v>200</v>
      </c>
      <c r="BY239" s="22">
        <v>450</v>
      </c>
      <c r="BZ239" s="22">
        <v>530</v>
      </c>
      <c r="CA239" s="22">
        <v>980</v>
      </c>
      <c r="CB239" s="15" t="s">
        <v>4314</v>
      </c>
      <c r="CL239" s="18"/>
      <c r="CP239" s="18"/>
      <c r="CT239" s="18"/>
      <c r="CX239" s="18"/>
      <c r="DB239" s="18"/>
      <c r="DF239" s="18"/>
      <c r="DJ239" s="18"/>
      <c r="DN239" s="18"/>
      <c r="DR239" s="18"/>
      <c r="DV239" s="18"/>
      <c r="DZ239" s="18"/>
      <c r="ED239" s="18"/>
      <c r="EI239" s="18"/>
      <c r="EK239" s="22">
        <v>100</v>
      </c>
      <c r="EL239" s="22">
        <v>100</v>
      </c>
      <c r="EM239" s="22">
        <v>200</v>
      </c>
      <c r="EN239" s="22">
        <v>450</v>
      </c>
      <c r="EO239" s="22">
        <v>530</v>
      </c>
      <c r="EP239" s="22">
        <v>980</v>
      </c>
      <c r="ES239" s="18"/>
      <c r="EW239" s="18"/>
      <c r="EY239" s="12" t="s">
        <v>320</v>
      </c>
      <c r="EZ239" s="22">
        <v>200</v>
      </c>
      <c r="FA239" s="18">
        <v>0.5</v>
      </c>
      <c r="FB239" s="22">
        <v>980</v>
      </c>
      <c r="FE239" s="18"/>
      <c r="FI239" s="18"/>
      <c r="FK239" s="12" t="s">
        <v>320</v>
      </c>
      <c r="FL239" s="22">
        <v>50</v>
      </c>
      <c r="FM239" s="18">
        <v>0.5</v>
      </c>
      <c r="FN239" s="22">
        <v>400</v>
      </c>
      <c r="FQ239" s="18"/>
      <c r="FU239" s="18"/>
      <c r="FW239" s="11" t="s">
        <v>320</v>
      </c>
      <c r="FX239" s="22">
        <v>100</v>
      </c>
      <c r="FY239" s="18">
        <v>0.7</v>
      </c>
      <c r="FZ239" s="22">
        <v>250</v>
      </c>
      <c r="GA239" s="11" t="s">
        <v>320</v>
      </c>
      <c r="GB239" s="22">
        <v>200</v>
      </c>
      <c r="GC239" s="18">
        <v>0.5</v>
      </c>
      <c r="GD239" s="22">
        <v>980</v>
      </c>
      <c r="GG239" s="18"/>
      <c r="GK239" s="18"/>
      <c r="GM239" s="11" t="s">
        <v>320</v>
      </c>
      <c r="GN239" s="22">
        <v>600</v>
      </c>
      <c r="GO239" s="18">
        <v>0.5</v>
      </c>
      <c r="GP239" s="22">
        <v>930</v>
      </c>
      <c r="GS239" s="18"/>
      <c r="GW239" s="18"/>
      <c r="HA239" s="18"/>
      <c r="HF239" s="18"/>
      <c r="HH239" s="11" t="s">
        <v>319</v>
      </c>
      <c r="HK239" s="11" t="s">
        <v>319</v>
      </c>
      <c r="HL239" s="11" t="s">
        <v>319</v>
      </c>
      <c r="HP239" s="11" t="s">
        <v>418</v>
      </c>
      <c r="HZ239" s="11" t="s">
        <v>394</v>
      </c>
      <c r="IB239" s="12" t="s">
        <v>333</v>
      </c>
      <c r="ID239" s="11" t="s">
        <v>364</v>
      </c>
      <c r="IE239" s="11" t="s">
        <v>335</v>
      </c>
      <c r="IF239" s="11" t="s">
        <v>320</v>
      </c>
      <c r="IG239" s="11" t="s">
        <v>320</v>
      </c>
      <c r="IH239" s="11" t="s">
        <v>320</v>
      </c>
      <c r="II239" s="11" t="s">
        <v>319</v>
      </c>
      <c r="IJ239" s="12" t="str">
        <f t="shared" si="130"/>
        <v>1. Neutral</v>
      </c>
      <c r="IK239" s="12">
        <f t="shared" si="131"/>
        <v>3</v>
      </c>
      <c r="IL239" s="11" t="s">
        <v>336</v>
      </c>
      <c r="IM239" s="11" t="s">
        <v>319</v>
      </c>
      <c r="IN239" s="11" t="s">
        <v>320</v>
      </c>
      <c r="IO239" s="11" t="s">
        <v>320</v>
      </c>
      <c r="IP239" s="11" t="s">
        <v>319</v>
      </c>
      <c r="IQ239" s="12" t="str">
        <f t="shared" si="132"/>
        <v>1. Tokenistic</v>
      </c>
      <c r="IR239" s="12">
        <f t="shared" si="133"/>
        <v>2</v>
      </c>
      <c r="IS239" s="11" t="s">
        <v>456</v>
      </c>
      <c r="IW239" s="11" t="str">
        <f t="shared" si="134"/>
        <v>0. Harmful</v>
      </c>
      <c r="IX239" s="12">
        <f t="shared" si="135"/>
        <v>0</v>
      </c>
      <c r="IY239" s="11" t="s">
        <v>338</v>
      </c>
      <c r="IZ239" s="12" t="s">
        <v>457</v>
      </c>
      <c r="JA239" s="11">
        <v>3</v>
      </c>
      <c r="JB239" s="12" t="s">
        <v>624</v>
      </c>
      <c r="JC239" s="12" t="s">
        <v>433</v>
      </c>
      <c r="JE239" s="12" t="s">
        <v>365</v>
      </c>
      <c r="JF239" s="11" t="s">
        <v>4315</v>
      </c>
      <c r="JP239" s="15">
        <f t="shared" si="136"/>
        <v>200</v>
      </c>
      <c r="JQ239" s="15">
        <f t="shared" si="137"/>
        <v>980</v>
      </c>
      <c r="JR239" s="279">
        <f t="shared" si="138"/>
        <v>4.9000000000000004</v>
      </c>
      <c r="JS239" s="17">
        <f t="shared" si="139"/>
        <v>0.5</v>
      </c>
      <c r="JT239" s="18">
        <f t="shared" si="140"/>
        <v>0.45918367346938777</v>
      </c>
      <c r="JU239" s="280">
        <f t="shared" si="141"/>
        <v>100</v>
      </c>
      <c r="JV239" s="280">
        <f t="shared" si="142"/>
        <v>450</v>
      </c>
      <c r="JW239" s="319" t="str">
        <f t="shared" si="143"/>
        <v/>
      </c>
      <c r="JX239" s="15">
        <f t="shared" si="144"/>
        <v>0</v>
      </c>
      <c r="JY239" s="15">
        <f t="shared" si="145"/>
        <v>0</v>
      </c>
      <c r="JZ239" s="19" t="str">
        <f t="shared" si="146"/>
        <v/>
      </c>
      <c r="KA239" s="52" t="str">
        <f t="shared" si="147"/>
        <v/>
      </c>
      <c r="KB239" s="15">
        <f t="shared" si="148"/>
        <v>0</v>
      </c>
      <c r="KC239" s="15">
        <f t="shared" si="149"/>
        <v>0</v>
      </c>
      <c r="KD239" s="20" t="str">
        <f t="shared" si="150"/>
        <v/>
      </c>
      <c r="KE239" s="52" t="str">
        <f t="shared" si="151"/>
        <v/>
      </c>
      <c r="KF239" s="15">
        <f t="shared" si="152"/>
        <v>0</v>
      </c>
      <c r="KG239" s="15">
        <f t="shared" si="153"/>
        <v>0</v>
      </c>
      <c r="KH239" s="21" t="str">
        <f t="shared" si="154"/>
        <v/>
      </c>
      <c r="KI239" s="52" t="str">
        <f t="shared" si="155"/>
        <v/>
      </c>
      <c r="KJ239" s="15">
        <f t="shared" si="156"/>
        <v>0</v>
      </c>
      <c r="KK239" s="15">
        <f t="shared" si="157"/>
        <v>0</v>
      </c>
      <c r="KL239" s="19" t="str">
        <f t="shared" si="158"/>
        <v/>
      </c>
      <c r="KM239" s="52" t="str">
        <f t="shared" si="159"/>
        <v/>
      </c>
      <c r="KN239" s="22">
        <f t="shared" si="160"/>
        <v>0</v>
      </c>
      <c r="KO239" s="22">
        <f t="shared" si="161"/>
        <v>0</v>
      </c>
      <c r="KP239" s="19" t="str">
        <f t="shared" si="162"/>
        <v/>
      </c>
      <c r="KQ239" s="11" t="str">
        <f t="shared" si="163"/>
        <v>1. Neutral</v>
      </c>
      <c r="KR239" s="11" t="str">
        <f t="shared" si="164"/>
        <v>1. Tokenistic</v>
      </c>
      <c r="KS239" s="11" t="str">
        <f t="shared" si="165"/>
        <v>0. Harmful</v>
      </c>
      <c r="KT239" s="11" t="str">
        <f t="shared" si="166"/>
        <v>It tested new ways for fighting poverty, but did not measure results of innovation</v>
      </c>
      <c r="KU239" s="11" t="str">
        <f t="shared" si="167"/>
        <v>Little or no advocacy</v>
      </c>
      <c r="KV239" s="11" t="str">
        <f t="shared" si="168"/>
        <v>It did not take tested solutions to scale</v>
      </c>
      <c r="KW239" s="11" t="str">
        <f t="shared" si="169"/>
        <v>France - Welcome jeunes</v>
      </c>
      <c r="KX239" s="11" t="str">
        <f t="shared" si="170"/>
        <v>Welcome jeunes</v>
      </c>
      <c r="KY239" s="11" t="str">
        <f t="shared" si="171"/>
        <v>France</v>
      </c>
      <c r="KZ239" s="12">
        <v>239</v>
      </c>
    </row>
    <row r="240" spans="1:312" x14ac:dyDescent="0.3">
      <c r="A240" s="11" t="s">
        <v>4346</v>
      </c>
      <c r="B240" s="11" t="s">
        <v>602</v>
      </c>
      <c r="C240" s="11">
        <v>3566</v>
      </c>
      <c r="D240" s="11" t="s">
        <v>4347</v>
      </c>
      <c r="E240" s="24" t="str">
        <f t="shared" si="129"/>
        <v>Georgia</v>
      </c>
      <c r="F240" s="11" t="s">
        <v>4348</v>
      </c>
      <c r="G240" s="11" t="s">
        <v>605</v>
      </c>
      <c r="H240" s="11" t="s">
        <v>380</v>
      </c>
      <c r="I240" s="11" t="s">
        <v>517</v>
      </c>
      <c r="J240" s="278" t="s">
        <v>14630</v>
      </c>
      <c r="K240" s="11" t="s">
        <v>4348</v>
      </c>
      <c r="L240" s="11" t="s">
        <v>605</v>
      </c>
      <c r="M240" s="11" t="s">
        <v>310</v>
      </c>
      <c r="N240" s="11" t="s">
        <v>606</v>
      </c>
      <c r="O240" s="278" t="s">
        <v>792</v>
      </c>
      <c r="P240" s="11" t="s">
        <v>4349</v>
      </c>
      <c r="Q240" s="11" t="s">
        <v>4350</v>
      </c>
      <c r="R240" s="11" t="s">
        <v>383</v>
      </c>
      <c r="S240" s="11" t="s">
        <v>384</v>
      </c>
      <c r="T240" s="11" t="s">
        <v>1672</v>
      </c>
      <c r="U240" s="11" t="s">
        <v>4351</v>
      </c>
      <c r="V240" s="11" t="s">
        <v>605</v>
      </c>
      <c r="W240" s="11" t="s">
        <v>384</v>
      </c>
      <c r="X240" s="11" t="s">
        <v>384</v>
      </c>
      <c r="Y240" s="11" t="s">
        <v>4352</v>
      </c>
      <c r="Z240" s="11" t="s">
        <v>4353</v>
      </c>
      <c r="AA240" s="11" t="s">
        <v>379</v>
      </c>
      <c r="AB240" s="11" t="s">
        <v>384</v>
      </c>
      <c r="AC240" s="11" t="s">
        <v>384</v>
      </c>
      <c r="AD240" s="11" t="s">
        <v>379</v>
      </c>
      <c r="BD240" s="23">
        <v>41640</v>
      </c>
      <c r="BE240" s="23">
        <v>43100</v>
      </c>
      <c r="BG240" s="11" t="s">
        <v>350</v>
      </c>
      <c r="BH240" s="22">
        <v>5119143</v>
      </c>
      <c r="BI240" s="11" t="s">
        <v>4354</v>
      </c>
      <c r="BJ240" s="11" t="s">
        <v>3532</v>
      </c>
      <c r="BK240" s="11" t="s">
        <v>4355</v>
      </c>
      <c r="BL240" s="11" t="s">
        <v>4356</v>
      </c>
      <c r="BM240" s="11" t="s">
        <v>4357</v>
      </c>
      <c r="BN240" s="11" t="s">
        <v>4358</v>
      </c>
      <c r="BO240" s="12" t="s">
        <v>319</v>
      </c>
      <c r="BP240" s="12" t="s">
        <v>320</v>
      </c>
      <c r="BQ240" s="12" t="s">
        <v>319</v>
      </c>
      <c r="BR240" s="11" t="s">
        <v>4359</v>
      </c>
      <c r="BS240" s="11" t="s">
        <v>322</v>
      </c>
      <c r="BT240" s="11" t="s">
        <v>4360</v>
      </c>
      <c r="BU240" s="11" t="s">
        <v>4361</v>
      </c>
      <c r="BV240" s="22">
        <v>678</v>
      </c>
      <c r="BW240" s="22">
        <v>1462</v>
      </c>
      <c r="BX240" s="22">
        <v>2140</v>
      </c>
      <c r="BY240" s="22">
        <v>6855</v>
      </c>
      <c r="BZ240" s="22">
        <v>14645</v>
      </c>
      <c r="CA240" s="22">
        <v>21500</v>
      </c>
      <c r="CB240" s="15" t="s">
        <v>4362</v>
      </c>
      <c r="CL240" s="18"/>
      <c r="CP240" s="18"/>
      <c r="CT240" s="18"/>
      <c r="CX240" s="18"/>
      <c r="DB240" s="18"/>
      <c r="DF240" s="18"/>
      <c r="DJ240" s="18"/>
      <c r="DN240" s="18"/>
      <c r="DR240" s="18"/>
      <c r="DV240" s="18"/>
      <c r="DZ240" s="18"/>
      <c r="ED240" s="18"/>
      <c r="EI240" s="18"/>
      <c r="EK240" s="22">
        <v>691</v>
      </c>
      <c r="EL240" s="22">
        <v>1107</v>
      </c>
      <c r="EM240" s="22">
        <v>1798</v>
      </c>
      <c r="EN240" s="22">
        <v>10327</v>
      </c>
      <c r="EO240" s="22">
        <v>18796</v>
      </c>
      <c r="EP240" s="22">
        <v>29123</v>
      </c>
      <c r="EQ240" s="12" t="s">
        <v>320</v>
      </c>
      <c r="ER240" s="22">
        <v>1798</v>
      </c>
      <c r="ES240" s="18">
        <v>0.38</v>
      </c>
      <c r="ET240" s="22">
        <v>19123</v>
      </c>
      <c r="EU240" s="11" t="s">
        <v>319</v>
      </c>
      <c r="EW240" s="18"/>
      <c r="EY240" s="12" t="s">
        <v>319</v>
      </c>
      <c r="FA240" s="18"/>
      <c r="FC240" s="12" t="s">
        <v>319</v>
      </c>
      <c r="FE240" s="18"/>
      <c r="FG240" s="12" t="s">
        <v>320</v>
      </c>
      <c r="FH240" s="22">
        <v>1798</v>
      </c>
      <c r="FI240" s="18">
        <v>0.38</v>
      </c>
      <c r="FJ240" s="22">
        <v>19123</v>
      </c>
      <c r="FK240" s="11" t="s">
        <v>319</v>
      </c>
      <c r="FM240" s="18"/>
      <c r="FO240" s="11" t="s">
        <v>319</v>
      </c>
      <c r="FQ240" s="18"/>
      <c r="FS240" s="11" t="s">
        <v>319</v>
      </c>
      <c r="FU240" s="18"/>
      <c r="FW240" s="11" t="s">
        <v>319</v>
      </c>
      <c r="FY240" s="18"/>
      <c r="GA240" s="11" t="s">
        <v>319</v>
      </c>
      <c r="GC240" s="18"/>
      <c r="GE240" s="11" t="s">
        <v>319</v>
      </c>
      <c r="GG240" s="18"/>
      <c r="GI240" s="11" t="s">
        <v>319</v>
      </c>
      <c r="GK240" s="18"/>
      <c r="GM240" s="11" t="s">
        <v>320</v>
      </c>
      <c r="GN240" s="22">
        <v>1798</v>
      </c>
      <c r="GO240" s="18">
        <v>0.38</v>
      </c>
      <c r="GP240" s="22">
        <v>29123</v>
      </c>
      <c r="GQ240" s="11" t="s">
        <v>319</v>
      </c>
      <c r="GS240" s="18"/>
      <c r="GU240" s="11" t="s">
        <v>319</v>
      </c>
      <c r="GW240" s="18"/>
      <c r="GY240" s="11" t="s">
        <v>320</v>
      </c>
      <c r="GZ240" s="22">
        <v>691</v>
      </c>
      <c r="HA240" s="18">
        <v>1</v>
      </c>
      <c r="HB240" s="22">
        <v>10327</v>
      </c>
      <c r="HD240" s="11" t="s">
        <v>319</v>
      </c>
      <c r="HF240" s="18"/>
      <c r="HH240" s="11" t="s">
        <v>319</v>
      </c>
      <c r="HL240" s="11" t="s">
        <v>320</v>
      </c>
      <c r="HM240" s="11" t="s">
        <v>327</v>
      </c>
      <c r="HN240" s="11">
        <v>2017</v>
      </c>
      <c r="HO240" s="11" t="s">
        <v>4363</v>
      </c>
      <c r="HP240" s="11" t="s">
        <v>453</v>
      </c>
      <c r="HQ240" s="11" t="s">
        <v>320</v>
      </c>
      <c r="HR240" s="11" t="s">
        <v>320</v>
      </c>
      <c r="HS240" s="11" t="s">
        <v>319</v>
      </c>
      <c r="HT240" s="11" t="s">
        <v>320</v>
      </c>
      <c r="HU240" s="11" t="s">
        <v>320</v>
      </c>
      <c r="HV240" s="11" t="s">
        <v>319</v>
      </c>
      <c r="HW240" s="11" t="s">
        <v>320</v>
      </c>
      <c r="HZ240" s="11" t="s">
        <v>331</v>
      </c>
      <c r="IA240" s="11" t="s">
        <v>4364</v>
      </c>
      <c r="IB240" s="11" t="s">
        <v>396</v>
      </c>
      <c r="IC240" s="11" t="s">
        <v>4365</v>
      </c>
      <c r="ID240" s="11" t="s">
        <v>364</v>
      </c>
      <c r="IE240" s="11" t="s">
        <v>335</v>
      </c>
      <c r="IF240" s="11" t="s">
        <v>320</v>
      </c>
      <c r="IG240" s="11" t="s">
        <v>320</v>
      </c>
      <c r="IH240" s="11" t="s">
        <v>320</v>
      </c>
      <c r="II240" s="11" t="s">
        <v>320</v>
      </c>
      <c r="IJ240" s="12" t="str">
        <f t="shared" si="130"/>
        <v>2. Sensitive</v>
      </c>
      <c r="IK240" s="12">
        <f t="shared" si="131"/>
        <v>4</v>
      </c>
      <c r="IL240" s="11" t="s">
        <v>621</v>
      </c>
      <c r="IM240" s="11" t="s">
        <v>320</v>
      </c>
      <c r="IN240" s="11" t="s">
        <v>320</v>
      </c>
      <c r="IO240" s="11" t="s">
        <v>320</v>
      </c>
      <c r="IP240" s="11" t="s">
        <v>320</v>
      </c>
      <c r="IQ240" s="12" t="str">
        <f t="shared" si="132"/>
        <v>4. Transformational</v>
      </c>
      <c r="IR240" s="12">
        <f t="shared" si="133"/>
        <v>4</v>
      </c>
      <c r="IS240" s="11" t="s">
        <v>622</v>
      </c>
      <c r="IT240" s="11" t="s">
        <v>320</v>
      </c>
      <c r="IU240" s="11" t="s">
        <v>320</v>
      </c>
      <c r="IV240" s="11" t="s">
        <v>320</v>
      </c>
      <c r="IW240" s="11" t="str">
        <f t="shared" si="134"/>
        <v>4. Transformative</v>
      </c>
      <c r="IX240" s="12">
        <f t="shared" si="135"/>
        <v>3</v>
      </c>
      <c r="IY240" s="11" t="s">
        <v>338</v>
      </c>
      <c r="IZ240" s="11" t="s">
        <v>457</v>
      </c>
      <c r="JA240" s="11">
        <v>3</v>
      </c>
      <c r="JB240" s="11" t="s">
        <v>433</v>
      </c>
      <c r="JC240" s="11" t="s">
        <v>585</v>
      </c>
      <c r="JE240" s="11" t="s">
        <v>340</v>
      </c>
      <c r="JF240" s="11" t="s">
        <v>4366</v>
      </c>
      <c r="JH240" s="11" t="s">
        <v>4367</v>
      </c>
      <c r="JI240" s="11" t="s">
        <v>4368</v>
      </c>
      <c r="JJ240" s="11" t="s">
        <v>4369</v>
      </c>
      <c r="JK240" s="11" t="s">
        <v>4370</v>
      </c>
      <c r="JL240" s="11" t="s">
        <v>4371</v>
      </c>
      <c r="JM240" s="11" t="s">
        <v>4372</v>
      </c>
      <c r="JO240" s="11" t="s">
        <v>4373</v>
      </c>
      <c r="JP240" s="15">
        <f t="shared" si="136"/>
        <v>1798</v>
      </c>
      <c r="JQ240" s="15">
        <f t="shared" si="137"/>
        <v>29123</v>
      </c>
      <c r="JR240" s="279">
        <f t="shared" si="138"/>
        <v>16.197441601779754</v>
      </c>
      <c r="JS240" s="17">
        <f t="shared" si="139"/>
        <v>0.38431590656284759</v>
      </c>
      <c r="JT240" s="18">
        <f t="shared" si="140"/>
        <v>0.3545994574734746</v>
      </c>
      <c r="JU240" s="280">
        <f t="shared" si="141"/>
        <v>691</v>
      </c>
      <c r="JV240" s="280">
        <f t="shared" si="142"/>
        <v>10327</v>
      </c>
      <c r="JW240" s="319" t="str">
        <f t="shared" si="143"/>
        <v/>
      </c>
      <c r="JX240" s="15">
        <f t="shared" si="144"/>
        <v>0</v>
      </c>
      <c r="JY240" s="15">
        <f t="shared" si="145"/>
        <v>0</v>
      </c>
      <c r="JZ240" s="19" t="str">
        <f t="shared" si="146"/>
        <v/>
      </c>
      <c r="KA240" s="52">
        <f t="shared" si="147"/>
        <v>1</v>
      </c>
      <c r="KB240" s="15">
        <f t="shared" si="148"/>
        <v>1798</v>
      </c>
      <c r="KC240" s="15">
        <f t="shared" si="149"/>
        <v>19123</v>
      </c>
      <c r="KD240" s="20">
        <f t="shared" si="150"/>
        <v>10.635706340378198</v>
      </c>
      <c r="KE240" s="52" t="str">
        <f t="shared" si="151"/>
        <v/>
      </c>
      <c r="KF240" s="15">
        <f t="shared" si="152"/>
        <v>0</v>
      </c>
      <c r="KG240" s="15">
        <f t="shared" si="153"/>
        <v>0</v>
      </c>
      <c r="KH240" s="21" t="str">
        <f t="shared" si="154"/>
        <v/>
      </c>
      <c r="KI240" s="52" t="str">
        <f t="shared" si="155"/>
        <v/>
      </c>
      <c r="KJ240" s="15">
        <f t="shared" si="156"/>
        <v>0</v>
      </c>
      <c r="KK240" s="15">
        <f t="shared" si="157"/>
        <v>0</v>
      </c>
      <c r="KL240" s="19" t="str">
        <f t="shared" si="158"/>
        <v/>
      </c>
      <c r="KM240" s="52">
        <f t="shared" si="159"/>
        <v>1</v>
      </c>
      <c r="KN240" s="22">
        <f t="shared" si="160"/>
        <v>691</v>
      </c>
      <c r="KO240" s="22">
        <f t="shared" si="161"/>
        <v>10327</v>
      </c>
      <c r="KP240" s="19">
        <f t="shared" si="162"/>
        <v>14.945007235890014</v>
      </c>
      <c r="KQ240" s="11" t="str">
        <f t="shared" si="163"/>
        <v>2. Sensitive</v>
      </c>
      <c r="KR240" s="11" t="str">
        <f t="shared" si="164"/>
        <v>4. Transformational</v>
      </c>
      <c r="KS240" s="11" t="str">
        <f t="shared" si="165"/>
        <v>4. Transformative</v>
      </c>
      <c r="KT240" s="11" t="str">
        <f t="shared" si="166"/>
        <v>It tested new ways for fighting poverty and measured results of innovation</v>
      </c>
      <c r="KU240" s="11" t="str">
        <f t="shared" si="167"/>
        <v>Intensive advocacy</v>
      </c>
      <c r="KV240" s="11" t="str">
        <f t="shared" si="168"/>
        <v>It linked and worked with strategic alliances and partners to take tested and effective solutions to scale</v>
      </c>
      <c r="KW240" s="11" t="str">
        <f t="shared" si="169"/>
        <v>Georgia - Cooperation for Rural Prosperity in Georgia</v>
      </c>
      <c r="KX240" s="11" t="str">
        <f t="shared" si="170"/>
        <v>Cooperation for Rural Prosperity in Georgia</v>
      </c>
      <c r="KY240" s="11" t="str">
        <f t="shared" si="171"/>
        <v>Georgia</v>
      </c>
      <c r="KZ240" s="12">
        <v>240</v>
      </c>
    </row>
    <row r="241" spans="1:312" x14ac:dyDescent="0.3">
      <c r="A241" s="11" t="s">
        <v>4346</v>
      </c>
      <c r="B241" s="11" t="s">
        <v>602</v>
      </c>
      <c r="C241" s="11">
        <v>3744</v>
      </c>
      <c r="D241" s="11" t="s">
        <v>4420</v>
      </c>
      <c r="E241" s="24" t="str">
        <f t="shared" si="129"/>
        <v>Georgia</v>
      </c>
      <c r="G241" s="11" t="s">
        <v>608</v>
      </c>
      <c r="J241" s="278"/>
      <c r="BD241" s="23">
        <v>40651</v>
      </c>
      <c r="BG241" s="11" t="s">
        <v>609</v>
      </c>
      <c r="BI241" s="11" t="s">
        <v>4421</v>
      </c>
      <c r="BJ241" s="26" t="s">
        <v>4422</v>
      </c>
      <c r="BK241" s="11" t="s">
        <v>4423</v>
      </c>
      <c r="BO241" s="11" t="s">
        <v>319</v>
      </c>
      <c r="BP241" s="11" t="s">
        <v>320</v>
      </c>
      <c r="BQ241" s="11" t="s">
        <v>319</v>
      </c>
      <c r="BR241" s="11" t="s">
        <v>4424</v>
      </c>
      <c r="BS241" s="11" t="s">
        <v>322</v>
      </c>
      <c r="BU241" s="11" t="s">
        <v>4425</v>
      </c>
      <c r="BV241" s="22">
        <v>400</v>
      </c>
      <c r="BW241" s="22">
        <v>200</v>
      </c>
      <c r="BX241" s="22">
        <v>600</v>
      </c>
      <c r="BY241" s="22">
        <v>1224000</v>
      </c>
      <c r="BZ241" s="22">
        <v>1176000</v>
      </c>
      <c r="CA241" s="22">
        <v>2400000</v>
      </c>
      <c r="CB241" s="15" t="s">
        <v>4426</v>
      </c>
      <c r="CL241" s="18"/>
      <c r="CP241" s="18"/>
      <c r="CT241" s="18"/>
      <c r="CX241" s="18"/>
      <c r="DB241" s="18"/>
      <c r="DF241" s="18"/>
      <c r="DJ241" s="18"/>
      <c r="DN241" s="18"/>
      <c r="DR241" s="18"/>
      <c r="DV241" s="18"/>
      <c r="DZ241" s="18"/>
      <c r="ED241" s="18"/>
      <c r="EI241" s="18"/>
      <c r="EK241" s="22">
        <v>300</v>
      </c>
      <c r="EL241" s="22">
        <v>150</v>
      </c>
      <c r="EM241" s="22">
        <v>450</v>
      </c>
      <c r="EN241" s="22">
        <v>1020000</v>
      </c>
      <c r="EO241" s="22">
        <v>980000</v>
      </c>
      <c r="EP241" s="22">
        <v>2000000</v>
      </c>
      <c r="ES241" s="18"/>
      <c r="EW241" s="18"/>
      <c r="EY241" s="12" t="s">
        <v>320</v>
      </c>
      <c r="EZ241" s="22">
        <v>30</v>
      </c>
      <c r="FA241" s="18">
        <v>1</v>
      </c>
      <c r="FB241" s="22">
        <v>200000</v>
      </c>
      <c r="FE241" s="18"/>
      <c r="FI241" s="18"/>
      <c r="FM241" s="18"/>
      <c r="FQ241" s="18"/>
      <c r="FS241" s="12" t="s">
        <v>320</v>
      </c>
      <c r="FT241" s="22">
        <v>80</v>
      </c>
      <c r="FU241" s="18">
        <v>0.7</v>
      </c>
      <c r="FV241" s="22">
        <v>500000</v>
      </c>
      <c r="FW241" s="11" t="s">
        <v>320</v>
      </c>
      <c r="FX241" s="22">
        <v>110</v>
      </c>
      <c r="FY241" s="18">
        <v>0.7</v>
      </c>
      <c r="FZ241" s="22">
        <v>700000</v>
      </c>
      <c r="GC241" s="18"/>
      <c r="GG241" s="18"/>
      <c r="GK241" s="18"/>
      <c r="GO241" s="18"/>
      <c r="GQ241" s="12" t="s">
        <v>320</v>
      </c>
      <c r="GR241" s="22">
        <v>35</v>
      </c>
      <c r="GS241" s="18">
        <v>1</v>
      </c>
      <c r="GT241" s="22">
        <v>300000</v>
      </c>
      <c r="GW241" s="18"/>
      <c r="GY241" s="11" t="s">
        <v>320</v>
      </c>
      <c r="GZ241" s="22">
        <v>45</v>
      </c>
      <c r="HA241" s="18">
        <v>0.7</v>
      </c>
      <c r="HB241" s="22">
        <v>300000</v>
      </c>
      <c r="HF241" s="18"/>
      <c r="HH241" s="11" t="s">
        <v>319</v>
      </c>
      <c r="HL241" s="11" t="s">
        <v>319</v>
      </c>
      <c r="HO241" s="11" t="s">
        <v>393</v>
      </c>
      <c r="HP241" s="11" t="s">
        <v>453</v>
      </c>
      <c r="HQ241" s="11" t="s">
        <v>320</v>
      </c>
      <c r="HT241" s="11" t="s">
        <v>320</v>
      </c>
      <c r="HV241" s="11" t="s">
        <v>320</v>
      </c>
      <c r="HW241" s="11" t="s">
        <v>320</v>
      </c>
      <c r="HZ241" s="11" t="s">
        <v>363</v>
      </c>
      <c r="IB241" s="11" t="s">
        <v>333</v>
      </c>
      <c r="ID241" s="11" t="s">
        <v>477</v>
      </c>
      <c r="IJ241" s="12" t="str">
        <f t="shared" si="130"/>
        <v>No marker score</v>
      </c>
      <c r="IK241" s="12">
        <f t="shared" si="131"/>
        <v>0</v>
      </c>
      <c r="IQ241" s="12" t="str">
        <f t="shared" si="132"/>
        <v>No marker score</v>
      </c>
      <c r="IR241" s="12">
        <f t="shared" si="133"/>
        <v>0</v>
      </c>
      <c r="IW241" s="11" t="str">
        <f t="shared" si="134"/>
        <v>No marker score</v>
      </c>
      <c r="IX241" s="12">
        <f t="shared" si="135"/>
        <v>0</v>
      </c>
      <c r="JE241" s="11" t="s">
        <v>420</v>
      </c>
      <c r="JG241" s="11" t="s">
        <v>4427</v>
      </c>
      <c r="JP241" s="15">
        <f t="shared" si="136"/>
        <v>450</v>
      </c>
      <c r="JQ241" s="15">
        <f t="shared" si="137"/>
        <v>2000000</v>
      </c>
      <c r="JR241" s="279">
        <f t="shared" si="138"/>
        <v>4444.4444444444443</v>
      </c>
      <c r="JS241" s="17">
        <f t="shared" si="139"/>
        <v>0.66666666666666663</v>
      </c>
      <c r="JT241" s="18">
        <f t="shared" si="140"/>
        <v>0.51</v>
      </c>
      <c r="JU241" s="280">
        <f t="shared" si="141"/>
        <v>300</v>
      </c>
      <c r="JV241" s="280">
        <f t="shared" si="142"/>
        <v>1020000</v>
      </c>
      <c r="JW241" s="319" t="str">
        <f t="shared" si="143"/>
        <v/>
      </c>
      <c r="JX241" s="15">
        <f t="shared" si="144"/>
        <v>0</v>
      </c>
      <c r="JY241" s="15">
        <f t="shared" si="145"/>
        <v>0</v>
      </c>
      <c r="JZ241" s="19" t="str">
        <f t="shared" si="146"/>
        <v/>
      </c>
      <c r="KA241" s="52" t="str">
        <f t="shared" si="147"/>
        <v/>
      </c>
      <c r="KB241" s="15">
        <f t="shared" si="148"/>
        <v>0</v>
      </c>
      <c r="KC241" s="15">
        <f t="shared" si="149"/>
        <v>0</v>
      </c>
      <c r="KD241" s="20" t="str">
        <f t="shared" si="150"/>
        <v/>
      </c>
      <c r="KE241" s="52">
        <f t="shared" si="151"/>
        <v>1</v>
      </c>
      <c r="KF241" s="15">
        <f t="shared" si="152"/>
        <v>35</v>
      </c>
      <c r="KG241" s="15">
        <f t="shared" si="153"/>
        <v>300000</v>
      </c>
      <c r="KH241" s="21">
        <f t="shared" si="154"/>
        <v>8571.4285714285706</v>
      </c>
      <c r="KI241" s="52">
        <f t="shared" si="155"/>
        <v>1</v>
      </c>
      <c r="KJ241" s="15">
        <f t="shared" si="156"/>
        <v>80</v>
      </c>
      <c r="KK241" s="15">
        <f t="shared" si="157"/>
        <v>500000</v>
      </c>
      <c r="KL241" s="19">
        <f t="shared" si="158"/>
        <v>6250</v>
      </c>
      <c r="KM241" s="52">
        <f t="shared" si="159"/>
        <v>1</v>
      </c>
      <c r="KN241" s="22">
        <f t="shared" si="160"/>
        <v>45</v>
      </c>
      <c r="KO241" s="22">
        <f t="shared" si="161"/>
        <v>300000</v>
      </c>
      <c r="KP241" s="19">
        <f t="shared" si="162"/>
        <v>6666.666666666667</v>
      </c>
      <c r="KQ241" s="11" t="str">
        <f t="shared" si="163"/>
        <v>No marker score</v>
      </c>
      <c r="KR241" s="11" t="str">
        <f t="shared" si="164"/>
        <v>No marker score</v>
      </c>
      <c r="KS241" s="11" t="str">
        <f t="shared" si="165"/>
        <v>No marker score</v>
      </c>
      <c r="KT241" s="11" t="str">
        <f t="shared" si="166"/>
        <v>It did not develop any specific innovation</v>
      </c>
      <c r="KU241" s="11" t="str">
        <f t="shared" si="167"/>
        <v>Intensive advocacy</v>
      </c>
      <c r="KV241" s="11" t="str">
        <f t="shared" si="168"/>
        <v>It did not take tested solutions to scale</v>
      </c>
      <c r="KW241" s="11" t="str">
        <f t="shared" si="169"/>
        <v>Georgia - Gender Theme Group in Georgia</v>
      </c>
      <c r="KX241" s="11" t="str">
        <f t="shared" si="170"/>
        <v>Gender Theme Group in Georgia</v>
      </c>
      <c r="KY241" s="11" t="str">
        <f t="shared" si="171"/>
        <v>Georgia</v>
      </c>
      <c r="KZ241" s="12">
        <v>241</v>
      </c>
    </row>
    <row r="242" spans="1:312" x14ac:dyDescent="0.3">
      <c r="A242" s="11" t="s">
        <v>4346</v>
      </c>
      <c r="B242" s="11" t="s">
        <v>602</v>
      </c>
      <c r="C242" s="11">
        <v>3569</v>
      </c>
      <c r="D242" s="11" t="s">
        <v>4374</v>
      </c>
      <c r="E242" s="24" t="str">
        <f t="shared" si="129"/>
        <v>Georgia</v>
      </c>
      <c r="F242" s="11" t="s">
        <v>4375</v>
      </c>
      <c r="G242" s="11" t="s">
        <v>605</v>
      </c>
      <c r="H242" s="11" t="s">
        <v>310</v>
      </c>
      <c r="I242" s="11" t="s">
        <v>384</v>
      </c>
      <c r="J242" s="278" t="s">
        <v>14612</v>
      </c>
      <c r="BD242" s="23">
        <v>42186</v>
      </c>
      <c r="BE242" s="23">
        <v>43100</v>
      </c>
      <c r="BG242" s="11" t="s">
        <v>350</v>
      </c>
      <c r="BH242" s="22">
        <v>223798</v>
      </c>
      <c r="BI242" s="11" t="s">
        <v>4376</v>
      </c>
      <c r="BJ242" s="11" t="s">
        <v>4377</v>
      </c>
      <c r="BK242" s="11" t="s">
        <v>4378</v>
      </c>
      <c r="BO242" s="12" t="s">
        <v>319</v>
      </c>
      <c r="BP242" s="12" t="s">
        <v>320</v>
      </c>
      <c r="BQ242" s="12" t="s">
        <v>319</v>
      </c>
      <c r="BR242" s="11" t="s">
        <v>4379</v>
      </c>
      <c r="BS242" s="11" t="s">
        <v>357</v>
      </c>
      <c r="BT242" s="11" t="s">
        <v>4380</v>
      </c>
      <c r="BU242" s="11" t="s">
        <v>4381</v>
      </c>
      <c r="BV242" s="22">
        <v>260</v>
      </c>
      <c r="BW242" s="22">
        <v>100</v>
      </c>
      <c r="BX242" s="22">
        <v>360</v>
      </c>
      <c r="BY242" s="22">
        <v>1500</v>
      </c>
      <c r="BZ242" s="22">
        <v>1000</v>
      </c>
      <c r="CA242" s="22">
        <v>2500</v>
      </c>
      <c r="CB242" s="15" t="s">
        <v>4382</v>
      </c>
      <c r="CL242" s="18"/>
      <c r="CP242" s="18"/>
      <c r="CT242" s="18"/>
      <c r="CX242" s="18"/>
      <c r="DB242" s="18"/>
      <c r="DF242" s="18"/>
      <c r="DJ242" s="18"/>
      <c r="DN242" s="18"/>
      <c r="DR242" s="18"/>
      <c r="DV242" s="18"/>
      <c r="DZ242" s="18"/>
      <c r="ED242" s="18"/>
      <c r="EI242" s="18"/>
      <c r="EK242" s="22">
        <v>334</v>
      </c>
      <c r="EL242" s="22">
        <v>170</v>
      </c>
      <c r="EM242" s="22">
        <v>504</v>
      </c>
      <c r="EN242" s="22">
        <v>835</v>
      </c>
      <c r="EO242" s="22">
        <v>425</v>
      </c>
      <c r="EP242" s="22">
        <v>1260</v>
      </c>
      <c r="EQ242" s="12" t="s">
        <v>319</v>
      </c>
      <c r="ES242" s="18"/>
      <c r="EU242" s="11" t="s">
        <v>319</v>
      </c>
      <c r="EW242" s="18"/>
      <c r="EY242" s="12" t="s">
        <v>319</v>
      </c>
      <c r="FA242" s="18"/>
      <c r="FC242" s="12" t="s">
        <v>319</v>
      </c>
      <c r="FE242" s="18"/>
      <c r="FG242" s="12" t="s">
        <v>319</v>
      </c>
      <c r="FI242" s="18"/>
      <c r="FK242" s="12" t="s">
        <v>320</v>
      </c>
      <c r="FL242" s="22">
        <v>477</v>
      </c>
      <c r="FM242" s="18">
        <v>0.55000000000000004</v>
      </c>
      <c r="FN242" s="22">
        <v>1193</v>
      </c>
      <c r="FO242" s="11" t="s">
        <v>319</v>
      </c>
      <c r="FQ242" s="18"/>
      <c r="FS242" s="11" t="s">
        <v>319</v>
      </c>
      <c r="FU242" s="18"/>
      <c r="FW242" s="11" t="s">
        <v>320</v>
      </c>
      <c r="FX242" s="22">
        <v>153</v>
      </c>
      <c r="FY242" s="18">
        <v>0.54</v>
      </c>
      <c r="FZ242" s="22">
        <v>383</v>
      </c>
      <c r="GA242" s="11" t="s">
        <v>319</v>
      </c>
      <c r="GC242" s="18"/>
      <c r="GE242" s="11" t="s">
        <v>319</v>
      </c>
      <c r="GG242" s="18"/>
      <c r="GI242" s="11" t="s">
        <v>319</v>
      </c>
      <c r="GK242" s="18"/>
      <c r="GM242" s="11" t="s">
        <v>319</v>
      </c>
      <c r="GO242" s="18"/>
      <c r="GQ242" s="11" t="s">
        <v>319</v>
      </c>
      <c r="GS242" s="18"/>
      <c r="GU242" s="11" t="s">
        <v>319</v>
      </c>
      <c r="GW242" s="18"/>
      <c r="GY242" s="11" t="s">
        <v>320</v>
      </c>
      <c r="GZ242" s="22">
        <v>65</v>
      </c>
      <c r="HA242" s="18">
        <v>0.9</v>
      </c>
      <c r="HB242" s="22">
        <v>163</v>
      </c>
      <c r="HF242" s="18"/>
      <c r="HH242" s="11" t="s">
        <v>319</v>
      </c>
      <c r="HK242" s="11" t="s">
        <v>319</v>
      </c>
      <c r="HL242" s="11" t="s">
        <v>320</v>
      </c>
      <c r="HM242" s="11" t="s">
        <v>328</v>
      </c>
      <c r="HN242" s="11">
        <v>2017</v>
      </c>
      <c r="HO242" s="11" t="s">
        <v>4383</v>
      </c>
      <c r="HP242" s="11" t="s">
        <v>418</v>
      </c>
      <c r="HQ242" s="11" t="s">
        <v>319</v>
      </c>
      <c r="HR242" s="11" t="s">
        <v>319</v>
      </c>
      <c r="HS242" s="11" t="s">
        <v>319</v>
      </c>
      <c r="HT242" s="11" t="s">
        <v>320</v>
      </c>
      <c r="HU242" s="11" t="s">
        <v>319</v>
      </c>
      <c r="HV242" s="11" t="s">
        <v>319</v>
      </c>
      <c r="HW242" s="11" t="s">
        <v>319</v>
      </c>
      <c r="HZ242" s="11" t="s">
        <v>394</v>
      </c>
      <c r="IA242" s="11" t="s">
        <v>4384</v>
      </c>
      <c r="IB242" s="11" t="s">
        <v>667</v>
      </c>
      <c r="IC242" s="11" t="s">
        <v>4385</v>
      </c>
      <c r="ID242" s="11" t="s">
        <v>334</v>
      </c>
      <c r="IE242" s="11" t="s">
        <v>478</v>
      </c>
      <c r="IF242" s="11" t="s">
        <v>320</v>
      </c>
      <c r="IG242" s="11" t="s">
        <v>320</v>
      </c>
      <c r="IH242" s="11" t="s">
        <v>320</v>
      </c>
      <c r="II242" s="11" t="s">
        <v>320</v>
      </c>
      <c r="IJ242" s="12" t="str">
        <f t="shared" si="130"/>
        <v>4. Transformative</v>
      </c>
      <c r="IK242" s="12">
        <f t="shared" si="131"/>
        <v>4</v>
      </c>
      <c r="IL242" s="11" t="s">
        <v>336</v>
      </c>
      <c r="IM242" s="11" t="s">
        <v>320</v>
      </c>
      <c r="IN242" s="11" t="s">
        <v>319</v>
      </c>
      <c r="IO242" s="11" t="s">
        <v>320</v>
      </c>
      <c r="IP242" s="11" t="s">
        <v>320</v>
      </c>
      <c r="IQ242" s="12" t="str">
        <f t="shared" si="132"/>
        <v>2. Accommodating</v>
      </c>
      <c r="IR242" s="12">
        <f t="shared" si="133"/>
        <v>3</v>
      </c>
      <c r="IS242" s="11" t="s">
        <v>622</v>
      </c>
      <c r="IT242" s="11" t="s">
        <v>320</v>
      </c>
      <c r="IU242" s="11" t="s">
        <v>320</v>
      </c>
      <c r="IV242" s="11" t="s">
        <v>320</v>
      </c>
      <c r="IW242" s="11" t="str">
        <f t="shared" si="134"/>
        <v>4. Transformative</v>
      </c>
      <c r="IX242" s="12">
        <f t="shared" si="135"/>
        <v>3</v>
      </c>
      <c r="IY242" s="11" t="s">
        <v>338</v>
      </c>
      <c r="IZ242" s="11" t="s">
        <v>339</v>
      </c>
      <c r="JG242" s="11" t="s">
        <v>4386</v>
      </c>
      <c r="JH242" s="11" t="s">
        <v>4387</v>
      </c>
      <c r="JI242" s="11" t="s">
        <v>4388</v>
      </c>
      <c r="JJ242" s="11" t="s">
        <v>4389</v>
      </c>
      <c r="JK242" s="11" t="s">
        <v>4390</v>
      </c>
      <c r="JL242" s="11" t="s">
        <v>4391</v>
      </c>
      <c r="JM242" s="11" t="s">
        <v>4392</v>
      </c>
      <c r="JN242" s="11" t="s">
        <v>4393</v>
      </c>
      <c r="JO242" s="11" t="s">
        <v>4394</v>
      </c>
      <c r="JP242" s="15">
        <f t="shared" si="136"/>
        <v>504</v>
      </c>
      <c r="JQ242" s="15">
        <f t="shared" si="137"/>
        <v>1260</v>
      </c>
      <c r="JR242" s="279">
        <f t="shared" si="138"/>
        <v>2.5</v>
      </c>
      <c r="JS242" s="17">
        <f t="shared" si="139"/>
        <v>0.66269841269841268</v>
      </c>
      <c r="JT242" s="18">
        <f t="shared" si="140"/>
        <v>0.66269841269841268</v>
      </c>
      <c r="JU242" s="280">
        <f t="shared" si="141"/>
        <v>334</v>
      </c>
      <c r="JV242" s="280">
        <f t="shared" si="142"/>
        <v>835</v>
      </c>
      <c r="JW242" s="319" t="str">
        <f t="shared" si="143"/>
        <v/>
      </c>
      <c r="JX242" s="15">
        <f t="shared" si="144"/>
        <v>0</v>
      </c>
      <c r="JY242" s="15">
        <f t="shared" si="145"/>
        <v>0</v>
      </c>
      <c r="JZ242" s="19" t="str">
        <f t="shared" si="146"/>
        <v/>
      </c>
      <c r="KA242" s="52" t="str">
        <f t="shared" si="147"/>
        <v/>
      </c>
      <c r="KB242" s="15">
        <f t="shared" si="148"/>
        <v>0</v>
      </c>
      <c r="KC242" s="15">
        <f t="shared" si="149"/>
        <v>0</v>
      </c>
      <c r="KD242" s="20" t="str">
        <f t="shared" si="150"/>
        <v/>
      </c>
      <c r="KE242" s="52" t="str">
        <f t="shared" si="151"/>
        <v/>
      </c>
      <c r="KF242" s="15">
        <f t="shared" si="152"/>
        <v>0</v>
      </c>
      <c r="KG242" s="15">
        <f t="shared" si="153"/>
        <v>0</v>
      </c>
      <c r="KH242" s="21" t="str">
        <f t="shared" si="154"/>
        <v/>
      </c>
      <c r="KI242" s="52" t="str">
        <f t="shared" si="155"/>
        <v/>
      </c>
      <c r="KJ242" s="15">
        <f t="shared" si="156"/>
        <v>0</v>
      </c>
      <c r="KK242" s="15">
        <f t="shared" si="157"/>
        <v>0</v>
      </c>
      <c r="KL242" s="19" t="str">
        <f t="shared" si="158"/>
        <v/>
      </c>
      <c r="KM242" s="52">
        <f t="shared" si="159"/>
        <v>1</v>
      </c>
      <c r="KN242" s="22">
        <f t="shared" si="160"/>
        <v>65</v>
      </c>
      <c r="KO242" s="22">
        <f t="shared" si="161"/>
        <v>163</v>
      </c>
      <c r="KP242" s="19">
        <f t="shared" si="162"/>
        <v>2.5076923076923077</v>
      </c>
      <c r="KQ242" s="11" t="str">
        <f t="shared" si="163"/>
        <v>4. Transformative</v>
      </c>
      <c r="KR242" s="11" t="str">
        <f t="shared" si="164"/>
        <v>2. Accommodating</v>
      </c>
      <c r="KS242" s="11" t="str">
        <f t="shared" si="165"/>
        <v>4. Transformative</v>
      </c>
      <c r="KT242" s="11" t="str">
        <f t="shared" si="166"/>
        <v>It tested new ways for fighting poverty, but did not measure results of innovation</v>
      </c>
      <c r="KU242" s="11" t="str">
        <f t="shared" si="167"/>
        <v>Little or no advocacy</v>
      </c>
      <c r="KV242" s="11" t="str">
        <f t="shared" si="168"/>
        <v>It took tested solutions to scale on its own</v>
      </c>
      <c r="KW242" s="11" t="str">
        <f t="shared" si="169"/>
        <v>Georgia - Increasing Quality and Work Opportunities for Women with Disabilities in Georgia</v>
      </c>
      <c r="KX242" s="11" t="str">
        <f t="shared" si="170"/>
        <v>Increasing Quality and Work Opportunities for Women with Disabilities in Georgia</v>
      </c>
      <c r="KY242" s="11" t="str">
        <f t="shared" si="171"/>
        <v>Georgia</v>
      </c>
      <c r="KZ242" s="12">
        <v>242</v>
      </c>
    </row>
    <row r="243" spans="1:312" x14ac:dyDescent="0.3">
      <c r="A243" s="11" t="s">
        <v>4346</v>
      </c>
      <c r="B243" s="11" t="s">
        <v>602</v>
      </c>
      <c r="C243" s="11">
        <v>3568</v>
      </c>
      <c r="D243" s="11" t="s">
        <v>4395</v>
      </c>
      <c r="E243" s="24" t="str">
        <f t="shared" si="129"/>
        <v>Georgia</v>
      </c>
      <c r="F243" s="11" t="s">
        <v>4396</v>
      </c>
      <c r="G243" s="11" t="s">
        <v>605</v>
      </c>
      <c r="H243" s="11" t="s">
        <v>384</v>
      </c>
      <c r="I243" s="11" t="s">
        <v>517</v>
      </c>
      <c r="J243" s="278" t="s">
        <v>14630</v>
      </c>
      <c r="K243" s="11" t="s">
        <v>4396</v>
      </c>
      <c r="L243" s="11" t="s">
        <v>605</v>
      </c>
      <c r="M243" s="11" t="s">
        <v>384</v>
      </c>
      <c r="N243" s="11" t="s">
        <v>606</v>
      </c>
      <c r="O243" s="278" t="s">
        <v>792</v>
      </c>
      <c r="BD243" s="23">
        <v>42186</v>
      </c>
      <c r="BE243" s="23">
        <v>43038</v>
      </c>
      <c r="BG243" s="11" t="s">
        <v>350</v>
      </c>
      <c r="BH243" s="22">
        <v>1402179</v>
      </c>
      <c r="BI243" s="11" t="s">
        <v>4397</v>
      </c>
      <c r="BJ243" s="11" t="s">
        <v>4398</v>
      </c>
      <c r="BK243" s="11" t="s">
        <v>4399</v>
      </c>
      <c r="BL243" s="11" t="s">
        <v>4400</v>
      </c>
      <c r="BM243" s="11" t="s">
        <v>4401</v>
      </c>
      <c r="BN243" s="11" t="s">
        <v>4402</v>
      </c>
      <c r="BO243" s="12" t="s">
        <v>319</v>
      </c>
      <c r="BP243" s="12" t="s">
        <v>320</v>
      </c>
      <c r="BQ243" s="12" t="s">
        <v>319</v>
      </c>
      <c r="BR243" s="11" t="s">
        <v>4403</v>
      </c>
      <c r="BS243" s="11" t="s">
        <v>357</v>
      </c>
      <c r="BT243" s="11" t="s">
        <v>4404</v>
      </c>
      <c r="BU243" s="11" t="s">
        <v>4405</v>
      </c>
      <c r="BV243" s="22">
        <v>1224</v>
      </c>
      <c r="BW243" s="22">
        <v>1176</v>
      </c>
      <c r="BX243" s="22">
        <v>2400</v>
      </c>
      <c r="BY243" s="22">
        <v>8381</v>
      </c>
      <c r="BZ243" s="22">
        <v>8290</v>
      </c>
      <c r="CA243" s="22">
        <v>16671</v>
      </c>
      <c r="CB243" s="15" t="s">
        <v>4406</v>
      </c>
      <c r="CJ243" s="11" t="s">
        <v>319</v>
      </c>
      <c r="CL243" s="18"/>
      <c r="CN243" s="11" t="s">
        <v>319</v>
      </c>
      <c r="CP243" s="18"/>
      <c r="CR243" s="11" t="s">
        <v>319</v>
      </c>
      <c r="CT243" s="18"/>
      <c r="CV243" s="11" t="s">
        <v>319</v>
      </c>
      <c r="CX243" s="18"/>
      <c r="CZ243" s="11" t="s">
        <v>319</v>
      </c>
      <c r="DB243" s="18"/>
      <c r="DD243" s="11" t="s">
        <v>319</v>
      </c>
      <c r="DF243" s="18"/>
      <c r="DH243" s="11" t="s">
        <v>319</v>
      </c>
      <c r="DJ243" s="18"/>
      <c r="DL243" s="11" t="s">
        <v>319</v>
      </c>
      <c r="DN243" s="18"/>
      <c r="DP243" s="11" t="s">
        <v>319</v>
      </c>
      <c r="DR243" s="18"/>
      <c r="DT243" s="11" t="s">
        <v>319</v>
      </c>
      <c r="DV243" s="18"/>
      <c r="DX243" s="11" t="s">
        <v>319</v>
      </c>
      <c r="DZ243" s="18"/>
      <c r="EB243" s="11" t="s">
        <v>319</v>
      </c>
      <c r="ED243" s="18"/>
      <c r="EI243" s="18"/>
      <c r="EK243" s="22">
        <v>4886</v>
      </c>
      <c r="EL243" s="22">
        <v>5736</v>
      </c>
      <c r="EM243" s="22">
        <v>10622</v>
      </c>
      <c r="EN243" s="22">
        <v>10644</v>
      </c>
      <c r="EO243" s="22">
        <v>12496</v>
      </c>
      <c r="EP243" s="22">
        <v>23140</v>
      </c>
      <c r="EQ243" s="12" t="s">
        <v>320</v>
      </c>
      <c r="ER243" s="22">
        <v>2695</v>
      </c>
      <c r="ES243" s="18">
        <v>0.38</v>
      </c>
      <c r="ET243" s="22">
        <v>9532</v>
      </c>
      <c r="EU243" s="11" t="s">
        <v>319</v>
      </c>
      <c r="EW243" s="18"/>
      <c r="EY243" s="12" t="s">
        <v>319</v>
      </c>
      <c r="FA243" s="18"/>
      <c r="FC243" s="12" t="s">
        <v>319</v>
      </c>
      <c r="FE243" s="18"/>
      <c r="FG243" s="12" t="s">
        <v>320</v>
      </c>
      <c r="FH243" s="22">
        <v>5154</v>
      </c>
      <c r="FI243" s="18">
        <v>0.45</v>
      </c>
      <c r="FJ243" s="22">
        <v>18037</v>
      </c>
      <c r="FK243" s="12" t="s">
        <v>320</v>
      </c>
      <c r="FL243" s="22">
        <v>3286</v>
      </c>
      <c r="FM243" s="18">
        <v>0.6</v>
      </c>
      <c r="FN243" s="22">
        <v>11501</v>
      </c>
      <c r="FO243" s="11" t="s">
        <v>319</v>
      </c>
      <c r="FQ243" s="18"/>
      <c r="FS243" s="12" t="s">
        <v>320</v>
      </c>
      <c r="FT243" s="22">
        <v>3650</v>
      </c>
      <c r="FU243" s="18">
        <v>0.65</v>
      </c>
      <c r="FV243" s="22">
        <v>12775</v>
      </c>
      <c r="FW243" s="11" t="s">
        <v>320</v>
      </c>
      <c r="FX243" s="22">
        <v>1741</v>
      </c>
      <c r="FY243" s="18">
        <v>0.55000000000000004</v>
      </c>
      <c r="FZ243" s="22">
        <v>6094</v>
      </c>
      <c r="GA243" s="11" t="s">
        <v>319</v>
      </c>
      <c r="GC243" s="18"/>
      <c r="GE243" s="12" t="s">
        <v>320</v>
      </c>
      <c r="GF243" s="22">
        <v>4393</v>
      </c>
      <c r="GG243" s="18">
        <v>0.4</v>
      </c>
      <c r="GH243" s="22">
        <v>15256</v>
      </c>
      <c r="GI243" s="11" t="s">
        <v>320</v>
      </c>
      <c r="GJ243" s="22">
        <v>1080</v>
      </c>
      <c r="GK243" s="18">
        <v>0.35</v>
      </c>
      <c r="GL243" s="22">
        <v>3780</v>
      </c>
      <c r="GM243" s="11" t="s">
        <v>320</v>
      </c>
      <c r="GN243" s="22">
        <v>2590</v>
      </c>
      <c r="GO243" s="18">
        <v>0.4</v>
      </c>
      <c r="GP243" s="22">
        <v>9065</v>
      </c>
      <c r="GQ243" s="11" t="s">
        <v>319</v>
      </c>
      <c r="GS243" s="18"/>
      <c r="GU243" s="11" t="s">
        <v>319</v>
      </c>
      <c r="GW243" s="18"/>
      <c r="GY243" s="11" t="s">
        <v>320</v>
      </c>
      <c r="GZ243" s="22">
        <v>1385</v>
      </c>
      <c r="HA243" s="18">
        <v>0.65</v>
      </c>
      <c r="HB243" s="22">
        <v>4848</v>
      </c>
      <c r="HD243" s="11" t="s">
        <v>319</v>
      </c>
      <c r="HF243" s="18"/>
      <c r="HH243" s="11" t="s">
        <v>319</v>
      </c>
      <c r="HK243" s="11" t="s">
        <v>320</v>
      </c>
      <c r="HL243" s="11" t="s">
        <v>319</v>
      </c>
      <c r="HM243" s="11" t="s">
        <v>619</v>
      </c>
      <c r="HN243" s="11">
        <v>2017</v>
      </c>
      <c r="HO243" s="11" t="s">
        <v>4407</v>
      </c>
      <c r="HP243" s="11" t="s">
        <v>453</v>
      </c>
      <c r="HQ243" s="11" t="s">
        <v>320</v>
      </c>
      <c r="HR243" s="11" t="s">
        <v>320</v>
      </c>
      <c r="HS243" s="11" t="s">
        <v>319</v>
      </c>
      <c r="HT243" s="11" t="s">
        <v>320</v>
      </c>
      <c r="HU243" s="11" t="s">
        <v>320</v>
      </c>
      <c r="HV243" s="11" t="s">
        <v>319</v>
      </c>
      <c r="HW243" s="11" t="s">
        <v>320</v>
      </c>
      <c r="HX243" s="11" t="s">
        <v>320</v>
      </c>
      <c r="HZ243" s="11" t="s">
        <v>331</v>
      </c>
      <c r="IA243" s="11" t="s">
        <v>4408</v>
      </c>
      <c r="IB243" s="11" t="s">
        <v>396</v>
      </c>
      <c r="IC243" s="11" t="s">
        <v>4409</v>
      </c>
      <c r="ID243" s="11" t="s">
        <v>334</v>
      </c>
      <c r="IE243" s="11" t="s">
        <v>335</v>
      </c>
      <c r="IF243" s="11" t="s">
        <v>320</v>
      </c>
      <c r="IG243" s="11" t="s">
        <v>320</v>
      </c>
      <c r="IH243" s="11" t="s">
        <v>320</v>
      </c>
      <c r="II243" s="11" t="s">
        <v>320</v>
      </c>
      <c r="IJ243" s="12" t="str">
        <f t="shared" si="130"/>
        <v>2. Sensitive</v>
      </c>
      <c r="IK243" s="12">
        <f t="shared" si="131"/>
        <v>4</v>
      </c>
      <c r="IL243" s="11" t="s">
        <v>621</v>
      </c>
      <c r="IM243" s="11" t="s">
        <v>320</v>
      </c>
      <c r="IN243" s="11" t="s">
        <v>320</v>
      </c>
      <c r="IO243" s="11" t="s">
        <v>320</v>
      </c>
      <c r="IP243" s="11" t="s">
        <v>320</v>
      </c>
      <c r="IQ243" s="12" t="str">
        <f t="shared" si="132"/>
        <v>4. Transformational</v>
      </c>
      <c r="IR243" s="12">
        <f t="shared" si="133"/>
        <v>4</v>
      </c>
      <c r="IS243" s="11" t="s">
        <v>622</v>
      </c>
      <c r="IT243" s="11" t="s">
        <v>320</v>
      </c>
      <c r="IU243" s="11" t="s">
        <v>320</v>
      </c>
      <c r="IV243" s="11" t="s">
        <v>320</v>
      </c>
      <c r="IW243" s="11" t="str">
        <f t="shared" si="134"/>
        <v>4. Transformative</v>
      </c>
      <c r="IX243" s="12">
        <f t="shared" si="135"/>
        <v>3</v>
      </c>
      <c r="IY243" s="11" t="s">
        <v>419</v>
      </c>
      <c r="IZ243" s="11" t="s">
        <v>432</v>
      </c>
      <c r="JA243" s="11">
        <v>3</v>
      </c>
      <c r="JB243" s="11" t="s">
        <v>687</v>
      </c>
      <c r="JC243" s="11" t="s">
        <v>831</v>
      </c>
      <c r="JD243" s="11" t="s">
        <v>433</v>
      </c>
      <c r="JE243" s="11" t="s">
        <v>340</v>
      </c>
      <c r="JF243" s="11" t="s">
        <v>4410</v>
      </c>
      <c r="JG243" s="11" t="s">
        <v>4411</v>
      </c>
      <c r="JH243" s="11" t="s">
        <v>4412</v>
      </c>
      <c r="JI243" s="11" t="s">
        <v>4413</v>
      </c>
      <c r="JJ243" s="11" t="s">
        <v>4414</v>
      </c>
      <c r="JK243" s="11" t="s">
        <v>4415</v>
      </c>
      <c r="JL243" s="11" t="s">
        <v>4416</v>
      </c>
      <c r="JM243" s="11" t="s">
        <v>4417</v>
      </c>
      <c r="JN243" s="11" t="s">
        <v>4418</v>
      </c>
      <c r="JO243" s="11" t="s">
        <v>4419</v>
      </c>
      <c r="JP243" s="15">
        <f t="shared" si="136"/>
        <v>10622</v>
      </c>
      <c r="JQ243" s="15">
        <f t="shared" si="137"/>
        <v>23140</v>
      </c>
      <c r="JR243" s="279">
        <f t="shared" si="138"/>
        <v>2.1784974581058183</v>
      </c>
      <c r="JS243" s="17">
        <f t="shared" si="139"/>
        <v>0.45998870269252495</v>
      </c>
      <c r="JT243" s="18">
        <f t="shared" si="140"/>
        <v>0.45998271391529816</v>
      </c>
      <c r="JU243" s="280">
        <f t="shared" si="141"/>
        <v>4886</v>
      </c>
      <c r="JV243" s="280">
        <f t="shared" si="142"/>
        <v>10644</v>
      </c>
      <c r="JW243" s="319" t="str">
        <f t="shared" si="143"/>
        <v/>
      </c>
      <c r="JX243" s="15">
        <f t="shared" si="144"/>
        <v>0</v>
      </c>
      <c r="JY243" s="15">
        <f t="shared" si="145"/>
        <v>0</v>
      </c>
      <c r="JZ243" s="19" t="str">
        <f t="shared" si="146"/>
        <v/>
      </c>
      <c r="KA243" s="52">
        <f t="shared" si="147"/>
        <v>1</v>
      </c>
      <c r="KB243" s="15">
        <f t="shared" si="148"/>
        <v>5154</v>
      </c>
      <c r="KC243" s="15">
        <f t="shared" si="149"/>
        <v>18037</v>
      </c>
      <c r="KD243" s="20">
        <f t="shared" si="150"/>
        <v>3.4996119518820334</v>
      </c>
      <c r="KE243" s="52" t="str">
        <f t="shared" si="151"/>
        <v/>
      </c>
      <c r="KF243" s="15">
        <f t="shared" si="152"/>
        <v>0</v>
      </c>
      <c r="KG243" s="15">
        <f t="shared" si="153"/>
        <v>0</v>
      </c>
      <c r="KH243" s="21" t="str">
        <f t="shared" si="154"/>
        <v/>
      </c>
      <c r="KI243" s="52">
        <f t="shared" si="155"/>
        <v>1</v>
      </c>
      <c r="KJ243" s="15">
        <f t="shared" si="156"/>
        <v>3650</v>
      </c>
      <c r="KK243" s="15">
        <f t="shared" si="157"/>
        <v>12775</v>
      </c>
      <c r="KL243" s="19">
        <f t="shared" si="158"/>
        <v>3.5</v>
      </c>
      <c r="KM243" s="52">
        <f t="shared" si="159"/>
        <v>1</v>
      </c>
      <c r="KN243" s="22">
        <f t="shared" si="160"/>
        <v>2319.3000000000002</v>
      </c>
      <c r="KO243" s="22">
        <f t="shared" si="161"/>
        <v>8116.6500000000005</v>
      </c>
      <c r="KP243" s="19">
        <f t="shared" si="162"/>
        <v>3.4996119518820334</v>
      </c>
      <c r="KQ243" s="11" t="str">
        <f t="shared" si="163"/>
        <v>2. Sensitive</v>
      </c>
      <c r="KR243" s="11" t="str">
        <f t="shared" si="164"/>
        <v>4. Transformational</v>
      </c>
      <c r="KS243" s="11" t="str">
        <f t="shared" si="165"/>
        <v>4. Transformative</v>
      </c>
      <c r="KT243" s="11" t="str">
        <f t="shared" si="166"/>
        <v>It tested new ways for fighting poverty and measured results of innovation</v>
      </c>
      <c r="KU243" s="11" t="str">
        <f t="shared" si="167"/>
        <v>Intensive advocacy</v>
      </c>
      <c r="KV243" s="11" t="str">
        <f t="shared" si="168"/>
        <v>It linked and worked with strategic alliances and partners to take tested and effective solutions to scale</v>
      </c>
      <c r="KW243" s="11" t="str">
        <f t="shared" si="169"/>
        <v>Georgia - Participatory Rural Development</v>
      </c>
      <c r="KX243" s="11" t="str">
        <f t="shared" si="170"/>
        <v>Participatory Rural Development</v>
      </c>
      <c r="KY243" s="11" t="str">
        <f t="shared" si="171"/>
        <v>Georgia</v>
      </c>
      <c r="KZ243" s="12">
        <v>243</v>
      </c>
    </row>
    <row r="244" spans="1:312" x14ac:dyDescent="0.3">
      <c r="A244" s="12" t="s">
        <v>4428</v>
      </c>
      <c r="B244" s="12" t="s">
        <v>602</v>
      </c>
      <c r="C244" s="12"/>
      <c r="D244" s="12" t="s">
        <v>4453</v>
      </c>
      <c r="E244" s="277" t="str">
        <f t="shared" si="129"/>
        <v>Germany</v>
      </c>
      <c r="F244" s="12" t="s">
        <v>4454</v>
      </c>
      <c r="G244" s="12" t="s">
        <v>1738</v>
      </c>
      <c r="H244" s="12" t="s">
        <v>384</v>
      </c>
      <c r="I244" s="12" t="s">
        <v>384</v>
      </c>
      <c r="J244" s="281" t="s">
        <v>14631</v>
      </c>
      <c r="K244" s="12"/>
      <c r="L244" s="12"/>
      <c r="M244" s="12"/>
      <c r="N244" s="12"/>
      <c r="O244" s="12"/>
      <c r="P244" s="12"/>
      <c r="Q244" s="12"/>
      <c r="R244" s="12"/>
      <c r="S244" s="12"/>
      <c r="T244" s="12"/>
      <c r="U244" s="12"/>
      <c r="V244" s="12"/>
      <c r="W244" s="12"/>
      <c r="X244" s="12"/>
      <c r="Y244" s="12"/>
      <c r="Z244" s="12"/>
      <c r="AA244" s="12"/>
      <c r="AB244" s="12"/>
      <c r="AC244" s="12"/>
      <c r="AD244" s="12"/>
      <c r="BD244" s="13">
        <v>42370</v>
      </c>
      <c r="BE244" s="13">
        <v>42643</v>
      </c>
      <c r="BF244" s="12"/>
      <c r="BG244" s="12" t="s">
        <v>312</v>
      </c>
      <c r="BH244" s="14">
        <v>220000</v>
      </c>
      <c r="BI244" s="12" t="s">
        <v>4455</v>
      </c>
      <c r="BJ244" s="12" t="s">
        <v>751</v>
      </c>
      <c r="BK244" s="12" t="s">
        <v>4456</v>
      </c>
      <c r="BL244" s="12"/>
      <c r="BM244" s="12"/>
      <c r="BN244" s="12"/>
      <c r="BO244" s="12" t="s">
        <v>319</v>
      </c>
      <c r="BP244" s="12" t="s">
        <v>320</v>
      </c>
      <c r="BQ244" s="12" t="s">
        <v>319</v>
      </c>
      <c r="BR244" s="12" t="s">
        <v>4457</v>
      </c>
      <c r="BS244" s="12" t="s">
        <v>357</v>
      </c>
      <c r="BT244" s="12" t="s">
        <v>4458</v>
      </c>
      <c r="BU244" s="12" t="s">
        <v>4459</v>
      </c>
      <c r="BV244" s="14">
        <v>500</v>
      </c>
      <c r="BW244" s="14">
        <v>500</v>
      </c>
      <c r="BX244" s="14"/>
      <c r="BY244" s="14">
        <v>300</v>
      </c>
      <c r="BZ244" s="14">
        <v>300</v>
      </c>
      <c r="CA244" s="14">
        <v>600</v>
      </c>
      <c r="CB244" s="12" t="s">
        <v>4460</v>
      </c>
      <c r="CD244" s="14"/>
      <c r="CE244" s="14"/>
      <c r="CF244" s="14"/>
      <c r="CG244" s="14"/>
      <c r="CH244" s="14"/>
      <c r="CI244" s="14"/>
      <c r="CJ244" s="12"/>
      <c r="CK244" s="14"/>
      <c r="CL244" s="16"/>
      <c r="CM244" s="14"/>
      <c r="CN244" s="12"/>
      <c r="CO244" s="14"/>
      <c r="CP244" s="16"/>
      <c r="CQ244" s="14"/>
      <c r="CR244" s="12"/>
      <c r="CS244" s="14"/>
      <c r="CT244" s="16"/>
      <c r="CU244" s="14"/>
      <c r="CV244" s="12"/>
      <c r="CW244" s="14"/>
      <c r="CX244" s="16"/>
      <c r="CY244" s="14"/>
      <c r="CZ244" s="12"/>
      <c r="DA244" s="14"/>
      <c r="DB244" s="16"/>
      <c r="DC244" s="14"/>
      <c r="DD244" s="12"/>
      <c r="DE244" s="14"/>
      <c r="DF244" s="16"/>
      <c r="DG244" s="14"/>
      <c r="DH244" s="12"/>
      <c r="DI244" s="14"/>
      <c r="DJ244" s="16"/>
      <c r="DK244" s="14"/>
      <c r="DL244" s="12"/>
      <c r="DM244" s="14"/>
      <c r="DN244" s="16"/>
      <c r="DO244" s="14"/>
      <c r="DP244" s="12"/>
      <c r="DQ244" s="14"/>
      <c r="DR244" s="16"/>
      <c r="DS244" s="14"/>
      <c r="DT244" s="12"/>
      <c r="DU244" s="14"/>
      <c r="DV244" s="16"/>
      <c r="DW244" s="14"/>
      <c r="DX244" s="12"/>
      <c r="DY244" s="14"/>
      <c r="DZ244" s="16"/>
      <c r="EA244" s="14"/>
      <c r="EB244" s="12"/>
      <c r="EC244" s="14"/>
      <c r="ED244" s="16"/>
      <c r="EE244" s="14"/>
      <c r="EF244" s="12"/>
      <c r="EG244" s="12"/>
      <c r="EH244" s="14"/>
      <c r="EI244" s="16"/>
      <c r="EJ244" s="14"/>
      <c r="EK244" s="14">
        <v>500</v>
      </c>
      <c r="EL244" s="14">
        <v>500</v>
      </c>
      <c r="EM244" s="14">
        <v>1000</v>
      </c>
      <c r="EN244" s="14">
        <v>300</v>
      </c>
      <c r="EO244" s="14">
        <v>300</v>
      </c>
      <c r="EP244" s="14">
        <v>600</v>
      </c>
      <c r="EQ244" s="12"/>
      <c r="ER244" s="14"/>
      <c r="ES244" s="16"/>
      <c r="ET244" s="14"/>
      <c r="EU244" s="12"/>
      <c r="EV244" s="14"/>
      <c r="EW244" s="16"/>
      <c r="EX244" s="14"/>
      <c r="EY244" s="12"/>
      <c r="EZ244" s="14"/>
      <c r="FA244" s="16"/>
      <c r="FB244" s="14"/>
      <c r="FC244" s="12"/>
      <c r="FD244" s="14"/>
      <c r="FE244" s="16"/>
      <c r="FF244" s="14"/>
      <c r="FG244" s="12"/>
      <c r="FH244" s="14"/>
      <c r="FI244" s="16"/>
      <c r="FJ244" s="14"/>
      <c r="FK244" s="12" t="s">
        <v>320</v>
      </c>
      <c r="FL244" s="14">
        <v>1000</v>
      </c>
      <c r="FM244" s="16">
        <v>0.5</v>
      </c>
      <c r="FN244" s="14">
        <v>500</v>
      </c>
      <c r="FO244" s="12"/>
      <c r="FP244" s="14"/>
      <c r="FQ244" s="16"/>
      <c r="FR244" s="14"/>
      <c r="FS244" s="12"/>
      <c r="FT244" s="14"/>
      <c r="FU244" s="16"/>
      <c r="FV244" s="14"/>
      <c r="FW244" s="12"/>
      <c r="FX244" s="14"/>
      <c r="FY244" s="16"/>
      <c r="FZ244" s="14"/>
      <c r="GA244" s="12"/>
      <c r="GB244" s="14"/>
      <c r="GC244" s="16"/>
      <c r="GD244" s="14"/>
      <c r="GE244" s="12"/>
      <c r="GF244" s="14"/>
      <c r="GG244" s="16"/>
      <c r="GH244" s="14"/>
      <c r="GI244" s="12"/>
      <c r="GJ244" s="14"/>
      <c r="GK244" s="16"/>
      <c r="GL244" s="14"/>
      <c r="GM244" s="12"/>
      <c r="GN244" s="14"/>
      <c r="GO244" s="16"/>
      <c r="GP244" s="14"/>
      <c r="GQ244" s="12"/>
      <c r="GR244" s="14"/>
      <c r="GS244" s="16"/>
      <c r="GT244" s="14"/>
      <c r="GU244" s="12"/>
      <c r="GV244" s="14"/>
      <c r="GW244" s="16"/>
      <c r="GX244" s="14"/>
      <c r="GY244" s="12"/>
      <c r="GZ244" s="14"/>
      <c r="HA244" s="16"/>
      <c r="HB244" s="14"/>
      <c r="HC244" s="12"/>
      <c r="HD244" s="12"/>
      <c r="HE244" s="14"/>
      <c r="HF244" s="16"/>
      <c r="HG244" s="14"/>
      <c r="HH244" s="12" t="s">
        <v>320</v>
      </c>
      <c r="HI244" s="12" t="s">
        <v>560</v>
      </c>
      <c r="HJ244" s="12">
        <v>2016</v>
      </c>
      <c r="HK244" s="12"/>
      <c r="HL244" s="12" t="s">
        <v>320</v>
      </c>
      <c r="HM244" s="12"/>
      <c r="HN244" s="12">
        <v>2017</v>
      </c>
      <c r="HO244" s="12"/>
      <c r="HP244" s="12" t="s">
        <v>330</v>
      </c>
      <c r="HQ244" s="12"/>
      <c r="HR244" s="12" t="s">
        <v>320</v>
      </c>
      <c r="HS244" s="12"/>
      <c r="HT244" s="12"/>
      <c r="HU244" s="12" t="s">
        <v>320</v>
      </c>
      <c r="HV244" s="12"/>
      <c r="HW244" s="12"/>
      <c r="HX244" s="12"/>
      <c r="HY244" s="12"/>
      <c r="HZ244" s="12" t="s">
        <v>394</v>
      </c>
      <c r="IA244" s="12" t="s">
        <v>4461</v>
      </c>
      <c r="IB244" s="12" t="s">
        <v>333</v>
      </c>
      <c r="IC244" s="12"/>
      <c r="ID244" s="12" t="s">
        <v>334</v>
      </c>
      <c r="IE244" s="12" t="s">
        <v>335</v>
      </c>
      <c r="IF244" s="12" t="s">
        <v>320</v>
      </c>
      <c r="IG244" s="12" t="s">
        <v>320</v>
      </c>
      <c r="IH244" s="12" t="s">
        <v>320</v>
      </c>
      <c r="II244" s="12" t="s">
        <v>320</v>
      </c>
      <c r="IJ244" s="12" t="str">
        <f t="shared" si="130"/>
        <v>2. Sensitive</v>
      </c>
      <c r="IK244" s="12">
        <f t="shared" si="131"/>
        <v>4</v>
      </c>
      <c r="IL244" s="11" t="s">
        <v>621</v>
      </c>
      <c r="IM244" s="12" t="s">
        <v>320</v>
      </c>
      <c r="IN244" s="12" t="s">
        <v>319</v>
      </c>
      <c r="IO244" s="12" t="s">
        <v>320</v>
      </c>
      <c r="IP244" s="12" t="s">
        <v>319</v>
      </c>
      <c r="IQ244" s="12" t="str">
        <f t="shared" si="132"/>
        <v>3. Responsive</v>
      </c>
      <c r="IR244" s="12">
        <f t="shared" si="133"/>
        <v>2</v>
      </c>
      <c r="IS244" s="12" t="s">
        <v>456</v>
      </c>
      <c r="IT244" s="12" t="s">
        <v>320</v>
      </c>
      <c r="IU244" s="12" t="s">
        <v>320</v>
      </c>
      <c r="IV244" s="12" t="s">
        <v>320</v>
      </c>
      <c r="IW244" s="11" t="str">
        <f t="shared" si="134"/>
        <v>0. Harmful</v>
      </c>
      <c r="IX244" s="12">
        <f t="shared" si="135"/>
        <v>3</v>
      </c>
      <c r="IY244" s="12" t="s">
        <v>338</v>
      </c>
      <c r="IZ244" s="12" t="s">
        <v>457</v>
      </c>
      <c r="JA244" s="12">
        <v>1</v>
      </c>
      <c r="JB244" s="12" t="s">
        <v>724</v>
      </c>
      <c r="JC244" s="12" t="s">
        <v>585</v>
      </c>
      <c r="JD244" s="12"/>
      <c r="JE244" s="12" t="s">
        <v>340</v>
      </c>
      <c r="JF244" s="12"/>
      <c r="JG244" s="12" t="s">
        <v>4462</v>
      </c>
      <c r="JH244" s="12" t="s">
        <v>4463</v>
      </c>
      <c r="JI244" s="12" t="s">
        <v>4464</v>
      </c>
      <c r="JJ244" s="12" t="s">
        <v>4465</v>
      </c>
      <c r="JK244" s="12" t="s">
        <v>4466</v>
      </c>
      <c r="JL244" s="12" t="s">
        <v>4467</v>
      </c>
      <c r="JM244" s="12" t="s">
        <v>4468</v>
      </c>
      <c r="JN244" s="12" t="s">
        <v>4469</v>
      </c>
      <c r="JO244" s="12" t="s">
        <v>4470</v>
      </c>
      <c r="JP244" s="15">
        <f t="shared" si="136"/>
        <v>1000</v>
      </c>
      <c r="JQ244" s="15">
        <f t="shared" si="137"/>
        <v>600</v>
      </c>
      <c r="JR244" s="279">
        <f t="shared" si="138"/>
        <v>0.6</v>
      </c>
      <c r="JS244" s="17">
        <f t="shared" si="139"/>
        <v>0.5</v>
      </c>
      <c r="JT244" s="18">
        <f t="shared" si="140"/>
        <v>0.5</v>
      </c>
      <c r="JU244" s="280">
        <f t="shared" si="141"/>
        <v>500</v>
      </c>
      <c r="JV244" s="280">
        <f t="shared" si="142"/>
        <v>300</v>
      </c>
      <c r="JW244" s="319" t="str">
        <f t="shared" si="143"/>
        <v/>
      </c>
      <c r="JX244" s="15">
        <f t="shared" si="144"/>
        <v>0</v>
      </c>
      <c r="JY244" s="15">
        <f t="shared" si="145"/>
        <v>0</v>
      </c>
      <c r="JZ244" s="19" t="str">
        <f t="shared" si="146"/>
        <v/>
      </c>
      <c r="KA244" s="52" t="str">
        <f t="shared" si="147"/>
        <v/>
      </c>
      <c r="KB244" s="15">
        <f t="shared" si="148"/>
        <v>0</v>
      </c>
      <c r="KC244" s="15">
        <f t="shared" si="149"/>
        <v>0</v>
      </c>
      <c r="KD244" s="20" t="str">
        <f t="shared" si="150"/>
        <v/>
      </c>
      <c r="KE244" s="52" t="str">
        <f t="shared" si="151"/>
        <v/>
      </c>
      <c r="KF244" s="15">
        <f t="shared" si="152"/>
        <v>0</v>
      </c>
      <c r="KG244" s="15">
        <f t="shared" si="153"/>
        <v>0</v>
      </c>
      <c r="KH244" s="21" t="str">
        <f t="shared" si="154"/>
        <v/>
      </c>
      <c r="KI244" s="52" t="str">
        <f t="shared" si="155"/>
        <v/>
      </c>
      <c r="KJ244" s="15">
        <f t="shared" si="156"/>
        <v>0</v>
      </c>
      <c r="KK244" s="15">
        <f t="shared" si="157"/>
        <v>0</v>
      </c>
      <c r="KL244" s="19" t="str">
        <f t="shared" si="158"/>
        <v/>
      </c>
      <c r="KM244" s="52" t="str">
        <f t="shared" si="159"/>
        <v/>
      </c>
      <c r="KN244" s="22">
        <f t="shared" si="160"/>
        <v>0</v>
      </c>
      <c r="KO244" s="22">
        <f t="shared" si="161"/>
        <v>0</v>
      </c>
      <c r="KP244" s="19" t="str">
        <f t="shared" si="162"/>
        <v/>
      </c>
      <c r="KQ244" s="11" t="str">
        <f t="shared" si="163"/>
        <v>2. Sensitive</v>
      </c>
      <c r="KR244" s="11" t="str">
        <f t="shared" si="164"/>
        <v>3. Responsive</v>
      </c>
      <c r="KS244" s="11" t="str">
        <f t="shared" si="165"/>
        <v>0. Harmful</v>
      </c>
      <c r="KT244" s="11" t="str">
        <f t="shared" si="166"/>
        <v>It tested new ways for fighting poverty, but did not measure results of innovation</v>
      </c>
      <c r="KU244" s="11" t="str">
        <f t="shared" si="167"/>
        <v>Moderate advocacy</v>
      </c>
      <c r="KV244" s="11" t="str">
        <f t="shared" si="168"/>
        <v>It did not take tested solutions to scale</v>
      </c>
      <c r="KW244" s="11" t="str">
        <f t="shared" si="169"/>
        <v>Germany - KIWI - Kids andYoungsters Welcome Initiative: Life skills, education and the promotion of integration of refugees in Germany</v>
      </c>
      <c r="KX244" s="11" t="str">
        <f t="shared" si="170"/>
        <v>KIWI - Kids andYoungsters Welcome Initiative: Life skills, education and the promotion of integration of refugees in Germany</v>
      </c>
      <c r="KY244" s="11" t="str">
        <f t="shared" si="171"/>
        <v>Germany</v>
      </c>
      <c r="KZ244" s="12">
        <v>244</v>
      </c>
    </row>
    <row r="245" spans="1:312" x14ac:dyDescent="0.3">
      <c r="A245" s="12" t="s">
        <v>4428</v>
      </c>
      <c r="B245" s="12" t="s">
        <v>602</v>
      </c>
      <c r="C245" s="12"/>
      <c r="D245" s="12" t="s">
        <v>4443</v>
      </c>
      <c r="E245" s="277" t="str">
        <f t="shared" si="129"/>
        <v>Germany</v>
      </c>
      <c r="F245" s="12" t="s">
        <v>4444</v>
      </c>
      <c r="G245" s="12" t="s">
        <v>1738</v>
      </c>
      <c r="H245" s="12" t="s">
        <v>384</v>
      </c>
      <c r="I245" s="12" t="s">
        <v>384</v>
      </c>
      <c r="J245" s="281" t="s">
        <v>14632</v>
      </c>
      <c r="K245" s="12"/>
      <c r="L245" s="12"/>
      <c r="M245" s="12"/>
      <c r="N245" s="12"/>
      <c r="O245" s="12"/>
      <c r="P245" s="12"/>
      <c r="Q245" s="12"/>
      <c r="R245" s="12"/>
      <c r="S245" s="12"/>
      <c r="T245" s="12"/>
      <c r="U245" s="12"/>
      <c r="V245" s="12"/>
      <c r="W245" s="12"/>
      <c r="X245" s="12"/>
      <c r="Y245" s="12"/>
      <c r="Z245" s="12"/>
      <c r="AA245" s="12"/>
      <c r="AB245" s="12"/>
      <c r="AC245" s="12"/>
      <c r="AD245" s="12"/>
      <c r="BD245" s="13">
        <v>42248</v>
      </c>
      <c r="BE245" s="13">
        <v>42674</v>
      </c>
      <c r="BF245" s="12"/>
      <c r="BG245" s="12" t="s">
        <v>312</v>
      </c>
      <c r="BH245" s="14">
        <v>22000</v>
      </c>
      <c r="BI245" s="12" t="s">
        <v>4431</v>
      </c>
      <c r="BJ245" s="12" t="s">
        <v>4432</v>
      </c>
      <c r="BK245" s="12" t="s">
        <v>4433</v>
      </c>
      <c r="BL245" s="12"/>
      <c r="BM245" s="12"/>
      <c r="BN245" s="12"/>
      <c r="BO245" s="12" t="s">
        <v>319</v>
      </c>
      <c r="BP245" s="12" t="s">
        <v>320</v>
      </c>
      <c r="BQ245" s="12" t="s">
        <v>319</v>
      </c>
      <c r="BR245" s="12" t="s">
        <v>4445</v>
      </c>
      <c r="BS245" s="12" t="s">
        <v>357</v>
      </c>
      <c r="BT245" s="12" t="s">
        <v>4446</v>
      </c>
      <c r="BU245" s="12" t="s">
        <v>4436</v>
      </c>
      <c r="BV245" s="14">
        <v>100</v>
      </c>
      <c r="BW245" s="14">
        <v>100</v>
      </c>
      <c r="BX245" s="14"/>
      <c r="BY245" s="14">
        <v>0</v>
      </c>
      <c r="BZ245" s="14">
        <v>0</v>
      </c>
      <c r="CA245" s="14"/>
      <c r="CB245" s="12" t="s">
        <v>4447</v>
      </c>
      <c r="CD245" s="14"/>
      <c r="CE245" s="14"/>
      <c r="CF245" s="14"/>
      <c r="CG245" s="14"/>
      <c r="CH245" s="14"/>
      <c r="CI245" s="14"/>
      <c r="CJ245" s="12"/>
      <c r="CK245" s="14"/>
      <c r="CL245" s="16"/>
      <c r="CM245" s="14"/>
      <c r="CN245" s="12"/>
      <c r="CO245" s="14"/>
      <c r="CP245" s="16"/>
      <c r="CQ245" s="14"/>
      <c r="CR245" s="12"/>
      <c r="CS245" s="14"/>
      <c r="CT245" s="16"/>
      <c r="CU245" s="14"/>
      <c r="CV245" s="12"/>
      <c r="CW245" s="14"/>
      <c r="CX245" s="16"/>
      <c r="CY245" s="14"/>
      <c r="CZ245" s="12"/>
      <c r="DA245" s="14"/>
      <c r="DB245" s="16"/>
      <c r="DC245" s="14"/>
      <c r="DD245" s="12"/>
      <c r="DE245" s="14"/>
      <c r="DF245" s="16"/>
      <c r="DG245" s="14"/>
      <c r="DH245" s="12"/>
      <c r="DI245" s="14"/>
      <c r="DJ245" s="16"/>
      <c r="DK245" s="14"/>
      <c r="DL245" s="12"/>
      <c r="DM245" s="14"/>
      <c r="DN245" s="16"/>
      <c r="DO245" s="14"/>
      <c r="DP245" s="12"/>
      <c r="DQ245" s="14"/>
      <c r="DR245" s="16"/>
      <c r="DS245" s="14"/>
      <c r="DT245" s="12"/>
      <c r="DU245" s="14"/>
      <c r="DV245" s="16"/>
      <c r="DW245" s="14"/>
      <c r="DX245" s="12"/>
      <c r="DY245" s="14"/>
      <c r="DZ245" s="16"/>
      <c r="EA245" s="14"/>
      <c r="EB245" s="12"/>
      <c r="EC245" s="14"/>
      <c r="ED245" s="16"/>
      <c r="EE245" s="14"/>
      <c r="EF245" s="12"/>
      <c r="EG245" s="12"/>
      <c r="EH245" s="14"/>
      <c r="EI245" s="16"/>
      <c r="EJ245" s="14"/>
      <c r="EK245" s="14">
        <v>100</v>
      </c>
      <c r="EL245" s="14">
        <v>100</v>
      </c>
      <c r="EM245" s="14">
        <v>200</v>
      </c>
      <c r="EN245" s="14"/>
      <c r="EO245" s="14"/>
      <c r="EP245" s="14"/>
      <c r="EQ245" s="12"/>
      <c r="ER245" s="14"/>
      <c r="ES245" s="16"/>
      <c r="ET245" s="14"/>
      <c r="EU245" s="12"/>
      <c r="EV245" s="14"/>
      <c r="EW245" s="16"/>
      <c r="EX245" s="14"/>
      <c r="EY245" s="12"/>
      <c r="EZ245" s="14"/>
      <c r="FA245" s="16"/>
      <c r="FB245" s="14"/>
      <c r="FC245" s="12"/>
      <c r="FD245" s="14"/>
      <c r="FE245" s="16"/>
      <c r="FF245" s="14"/>
      <c r="FG245" s="12"/>
      <c r="FH245" s="14"/>
      <c r="FI245" s="16"/>
      <c r="FJ245" s="14"/>
      <c r="FK245" s="12" t="s">
        <v>320</v>
      </c>
      <c r="FL245" s="14">
        <v>200</v>
      </c>
      <c r="FM245" s="16">
        <v>0.5</v>
      </c>
      <c r="FN245" s="14"/>
      <c r="FO245" s="12"/>
      <c r="FP245" s="14"/>
      <c r="FQ245" s="16"/>
      <c r="FR245" s="14"/>
      <c r="FS245" s="12"/>
      <c r="FT245" s="14"/>
      <c r="FU245" s="16"/>
      <c r="FV245" s="14"/>
      <c r="FW245" s="12"/>
      <c r="FX245" s="14"/>
      <c r="FY245" s="16"/>
      <c r="FZ245" s="14"/>
      <c r="GA245" s="12"/>
      <c r="GB245" s="14"/>
      <c r="GC245" s="16"/>
      <c r="GD245" s="14"/>
      <c r="GE245" s="12"/>
      <c r="GF245" s="14"/>
      <c r="GG245" s="16"/>
      <c r="GH245" s="14"/>
      <c r="GI245" s="12"/>
      <c r="GJ245" s="14"/>
      <c r="GK245" s="16"/>
      <c r="GL245" s="14"/>
      <c r="GM245" s="12"/>
      <c r="GN245" s="14"/>
      <c r="GO245" s="16"/>
      <c r="GP245" s="14"/>
      <c r="GQ245" s="12"/>
      <c r="GR245" s="14"/>
      <c r="GS245" s="16"/>
      <c r="GT245" s="14"/>
      <c r="GU245" s="12"/>
      <c r="GV245" s="14"/>
      <c r="GW245" s="16"/>
      <c r="GX245" s="14"/>
      <c r="GY245" s="12"/>
      <c r="GZ245" s="14"/>
      <c r="HA245" s="16"/>
      <c r="HB245" s="14"/>
      <c r="HC245" s="12"/>
      <c r="HD245" s="12"/>
      <c r="HE245" s="14"/>
      <c r="HF245" s="16"/>
      <c r="HG245" s="14"/>
      <c r="HH245" s="12" t="s">
        <v>319</v>
      </c>
      <c r="HI245" s="12"/>
      <c r="HJ245" s="12"/>
      <c r="HK245" s="12"/>
      <c r="HL245" s="12" t="s">
        <v>319</v>
      </c>
      <c r="HM245" s="12"/>
      <c r="HN245" s="12"/>
      <c r="HO245" s="12"/>
      <c r="HP245" s="12" t="s">
        <v>330</v>
      </c>
      <c r="HQ245" s="12" t="s">
        <v>319</v>
      </c>
      <c r="HR245" s="12" t="s">
        <v>320</v>
      </c>
      <c r="HS245" s="12" t="s">
        <v>319</v>
      </c>
      <c r="HT245" s="12" t="s">
        <v>319</v>
      </c>
      <c r="HU245" s="12"/>
      <c r="HV245" s="12" t="s">
        <v>319</v>
      </c>
      <c r="HW245" s="12" t="s">
        <v>319</v>
      </c>
      <c r="HX245" s="12"/>
      <c r="HY245" s="12"/>
      <c r="HZ245" s="12" t="s">
        <v>394</v>
      </c>
      <c r="IA245" s="12" t="s">
        <v>4448</v>
      </c>
      <c r="IB245" s="12" t="s">
        <v>333</v>
      </c>
      <c r="IC245" s="12"/>
      <c r="ID245" s="12" t="s">
        <v>334</v>
      </c>
      <c r="IE245" s="12" t="s">
        <v>335</v>
      </c>
      <c r="IF245" s="12" t="s">
        <v>320</v>
      </c>
      <c r="IG245" s="12" t="s">
        <v>320</v>
      </c>
      <c r="IH245" s="12" t="s">
        <v>320</v>
      </c>
      <c r="II245" s="12" t="s">
        <v>319</v>
      </c>
      <c r="IJ245" s="12" t="str">
        <f t="shared" si="130"/>
        <v>1. Neutral</v>
      </c>
      <c r="IK245" s="12">
        <f t="shared" si="131"/>
        <v>3</v>
      </c>
      <c r="IL245" s="11" t="s">
        <v>621</v>
      </c>
      <c r="IM245" s="12" t="s">
        <v>320</v>
      </c>
      <c r="IN245" s="12" t="s">
        <v>319</v>
      </c>
      <c r="IO245" s="12" t="s">
        <v>320</v>
      </c>
      <c r="IP245" s="12" t="s">
        <v>319</v>
      </c>
      <c r="IQ245" s="12" t="str">
        <f t="shared" si="132"/>
        <v>3. Responsive</v>
      </c>
      <c r="IR245" s="12">
        <f t="shared" si="133"/>
        <v>2</v>
      </c>
      <c r="IS245" s="12" t="s">
        <v>456</v>
      </c>
      <c r="IT245" s="12" t="s">
        <v>320</v>
      </c>
      <c r="IU245" s="12" t="s">
        <v>320</v>
      </c>
      <c r="IV245" s="12" t="s">
        <v>320</v>
      </c>
      <c r="IW245" s="11" t="str">
        <f t="shared" si="134"/>
        <v>0. Harmful</v>
      </c>
      <c r="IX245" s="12">
        <f t="shared" si="135"/>
        <v>3</v>
      </c>
      <c r="IY245" s="12" t="s">
        <v>338</v>
      </c>
      <c r="IZ245" s="12" t="s">
        <v>457</v>
      </c>
      <c r="JA245" s="12">
        <v>1</v>
      </c>
      <c r="JB245" s="12" t="s">
        <v>433</v>
      </c>
      <c r="JC245" s="12"/>
      <c r="JD245" s="12"/>
      <c r="JE245" s="12" t="s">
        <v>365</v>
      </c>
      <c r="JF245" s="12" t="s">
        <v>4449</v>
      </c>
      <c r="JG245" s="12" t="s">
        <v>4450</v>
      </c>
      <c r="JH245" s="12"/>
      <c r="JI245" s="12" t="s">
        <v>4440</v>
      </c>
      <c r="JJ245" s="12"/>
      <c r="JK245" s="12" t="s">
        <v>4451</v>
      </c>
      <c r="JL245" s="12" t="s">
        <v>4452</v>
      </c>
      <c r="JM245" s="12"/>
      <c r="JN245" s="12"/>
      <c r="JO245" s="12"/>
      <c r="JP245" s="15">
        <f t="shared" si="136"/>
        <v>200</v>
      </c>
      <c r="JQ245" s="15">
        <f t="shared" si="137"/>
        <v>0</v>
      </c>
      <c r="JR245" s="279">
        <f t="shared" si="138"/>
        <v>0</v>
      </c>
      <c r="JS245" s="17">
        <f t="shared" si="139"/>
        <v>0.5</v>
      </c>
      <c r="JT245" s="18" t="str">
        <f t="shared" si="140"/>
        <v/>
      </c>
      <c r="JU245" s="280">
        <f t="shared" si="141"/>
        <v>100</v>
      </c>
      <c r="JV245" s="280">
        <f t="shared" si="142"/>
        <v>0</v>
      </c>
      <c r="JW245" s="319" t="str">
        <f t="shared" si="143"/>
        <v/>
      </c>
      <c r="JX245" s="15">
        <f t="shared" si="144"/>
        <v>0</v>
      </c>
      <c r="JY245" s="15">
        <f t="shared" si="145"/>
        <v>0</v>
      </c>
      <c r="JZ245" s="19" t="str">
        <f t="shared" si="146"/>
        <v/>
      </c>
      <c r="KA245" s="52" t="str">
        <f t="shared" si="147"/>
        <v/>
      </c>
      <c r="KB245" s="15">
        <f t="shared" si="148"/>
        <v>0</v>
      </c>
      <c r="KC245" s="15">
        <f t="shared" si="149"/>
        <v>0</v>
      </c>
      <c r="KD245" s="20" t="str">
        <f t="shared" si="150"/>
        <v/>
      </c>
      <c r="KE245" s="52" t="str">
        <f t="shared" si="151"/>
        <v/>
      </c>
      <c r="KF245" s="15">
        <f t="shared" si="152"/>
        <v>0</v>
      </c>
      <c r="KG245" s="15">
        <f t="shared" si="153"/>
        <v>0</v>
      </c>
      <c r="KH245" s="21" t="str">
        <f t="shared" si="154"/>
        <v/>
      </c>
      <c r="KI245" s="52" t="str">
        <f t="shared" si="155"/>
        <v/>
      </c>
      <c r="KJ245" s="15">
        <f t="shared" si="156"/>
        <v>0</v>
      </c>
      <c r="KK245" s="15">
        <f t="shared" si="157"/>
        <v>0</v>
      </c>
      <c r="KL245" s="19" t="str">
        <f t="shared" si="158"/>
        <v/>
      </c>
      <c r="KM245" s="52" t="str">
        <f t="shared" si="159"/>
        <v/>
      </c>
      <c r="KN245" s="22">
        <f t="shared" si="160"/>
        <v>0</v>
      </c>
      <c r="KO245" s="22">
        <f t="shared" si="161"/>
        <v>0</v>
      </c>
      <c r="KP245" s="19" t="str">
        <f t="shared" si="162"/>
        <v/>
      </c>
      <c r="KQ245" s="11" t="str">
        <f t="shared" si="163"/>
        <v>1. Neutral</v>
      </c>
      <c r="KR245" s="11" t="str">
        <f t="shared" si="164"/>
        <v>3. Responsive</v>
      </c>
      <c r="KS245" s="11" t="str">
        <f t="shared" si="165"/>
        <v>0. Harmful</v>
      </c>
      <c r="KT245" s="11" t="str">
        <f t="shared" si="166"/>
        <v>It tested new ways for fighting poverty, but did not measure results of innovation</v>
      </c>
      <c r="KU245" s="11" t="str">
        <f t="shared" si="167"/>
        <v>Moderate advocacy</v>
      </c>
      <c r="KV245" s="11" t="str">
        <f t="shared" si="168"/>
        <v>It did not take tested solutions to scale</v>
      </c>
      <c r="KW245" s="11" t="str">
        <f t="shared" si="169"/>
        <v>Germany - Social support for refugees and migrants in Germany (Bonn)</v>
      </c>
      <c r="KX245" s="11" t="str">
        <f t="shared" si="170"/>
        <v>Social support for refugees and migrants in Germany (Bonn)</v>
      </c>
      <c r="KY245" s="11" t="str">
        <f t="shared" si="171"/>
        <v>Germany</v>
      </c>
      <c r="KZ245" s="12">
        <v>245</v>
      </c>
    </row>
    <row r="246" spans="1:312" x14ac:dyDescent="0.3">
      <c r="A246" s="12" t="s">
        <v>4428</v>
      </c>
      <c r="B246" s="12" t="s">
        <v>602</v>
      </c>
      <c r="C246" s="12"/>
      <c r="D246" s="12" t="s">
        <v>4429</v>
      </c>
      <c r="E246" s="277" t="str">
        <f t="shared" si="129"/>
        <v>Germany</v>
      </c>
      <c r="F246" s="12" t="s">
        <v>4430</v>
      </c>
      <c r="G246" s="12" t="s">
        <v>1738</v>
      </c>
      <c r="H246" s="12" t="s">
        <v>384</v>
      </c>
      <c r="I246" s="12" t="s">
        <v>384</v>
      </c>
      <c r="J246" s="281" t="s">
        <v>14632</v>
      </c>
      <c r="K246" s="12"/>
      <c r="L246" s="12"/>
      <c r="M246" s="12"/>
      <c r="N246" s="12"/>
      <c r="O246" s="12"/>
      <c r="P246" s="12"/>
      <c r="Q246" s="12"/>
      <c r="R246" s="12"/>
      <c r="S246" s="12"/>
      <c r="T246" s="12"/>
      <c r="U246" s="12"/>
      <c r="V246" s="12"/>
      <c r="W246" s="12"/>
      <c r="X246" s="12"/>
      <c r="Y246" s="12"/>
      <c r="Z246" s="12"/>
      <c r="AA246" s="12"/>
      <c r="AB246" s="12"/>
      <c r="AC246" s="12"/>
      <c r="AD246" s="12"/>
      <c r="BD246" s="13">
        <v>42248</v>
      </c>
      <c r="BE246" s="13">
        <v>42735</v>
      </c>
      <c r="BF246" s="12"/>
      <c r="BG246" s="12" t="s">
        <v>312</v>
      </c>
      <c r="BH246" s="14">
        <v>51000</v>
      </c>
      <c r="BI246" s="12" t="s">
        <v>4431</v>
      </c>
      <c r="BJ246" s="12" t="s">
        <v>4432</v>
      </c>
      <c r="BK246" s="12" t="s">
        <v>4433</v>
      </c>
      <c r="BL246" s="12"/>
      <c r="BM246" s="12"/>
      <c r="BN246" s="12"/>
      <c r="BO246" s="12" t="s">
        <v>319</v>
      </c>
      <c r="BP246" s="12" t="s">
        <v>320</v>
      </c>
      <c r="BQ246" s="12" t="s">
        <v>319</v>
      </c>
      <c r="BR246" s="12" t="s">
        <v>4434</v>
      </c>
      <c r="BS246" s="12" t="s">
        <v>357</v>
      </c>
      <c r="BT246" s="12" t="s">
        <v>4435</v>
      </c>
      <c r="BU246" s="12" t="s">
        <v>4436</v>
      </c>
      <c r="BV246" s="14">
        <v>65</v>
      </c>
      <c r="BW246" s="14">
        <v>65</v>
      </c>
      <c r="BX246" s="14"/>
      <c r="BY246" s="14">
        <v>0</v>
      </c>
      <c r="BZ246" s="14">
        <v>0</v>
      </c>
      <c r="CA246" s="14"/>
      <c r="CB246" s="12" t="s">
        <v>4437</v>
      </c>
      <c r="CD246" s="14"/>
      <c r="CE246" s="14"/>
      <c r="CF246" s="14"/>
      <c r="CG246" s="14"/>
      <c r="CH246" s="14"/>
      <c r="CI246" s="14"/>
      <c r="CJ246" s="12"/>
      <c r="CK246" s="14"/>
      <c r="CL246" s="16"/>
      <c r="CM246" s="14"/>
      <c r="CN246" s="12"/>
      <c r="CO246" s="14"/>
      <c r="CP246" s="16"/>
      <c r="CQ246" s="14"/>
      <c r="CR246" s="12"/>
      <c r="CS246" s="14"/>
      <c r="CT246" s="16"/>
      <c r="CU246" s="14"/>
      <c r="CV246" s="12"/>
      <c r="CW246" s="14"/>
      <c r="CX246" s="16"/>
      <c r="CY246" s="14"/>
      <c r="CZ246" s="12"/>
      <c r="DA246" s="14"/>
      <c r="DB246" s="16"/>
      <c r="DC246" s="14"/>
      <c r="DD246" s="12"/>
      <c r="DE246" s="14"/>
      <c r="DF246" s="16"/>
      <c r="DG246" s="14"/>
      <c r="DH246" s="12"/>
      <c r="DI246" s="14"/>
      <c r="DJ246" s="16"/>
      <c r="DK246" s="14"/>
      <c r="DL246" s="12"/>
      <c r="DM246" s="14"/>
      <c r="DN246" s="16"/>
      <c r="DO246" s="14"/>
      <c r="DP246" s="12"/>
      <c r="DQ246" s="14"/>
      <c r="DR246" s="16"/>
      <c r="DS246" s="14"/>
      <c r="DT246" s="12"/>
      <c r="DU246" s="14"/>
      <c r="DV246" s="16"/>
      <c r="DW246" s="14"/>
      <c r="DX246" s="12"/>
      <c r="DY246" s="14"/>
      <c r="DZ246" s="16"/>
      <c r="EA246" s="14"/>
      <c r="EB246" s="12"/>
      <c r="EC246" s="14"/>
      <c r="ED246" s="16"/>
      <c r="EE246" s="14"/>
      <c r="EF246" s="12"/>
      <c r="EG246" s="12"/>
      <c r="EH246" s="14"/>
      <c r="EI246" s="16"/>
      <c r="EJ246" s="14"/>
      <c r="EK246" s="14">
        <v>65</v>
      </c>
      <c r="EL246" s="14">
        <v>65</v>
      </c>
      <c r="EM246" s="14">
        <v>130</v>
      </c>
      <c r="EN246" s="14">
        <v>0</v>
      </c>
      <c r="EO246" s="14">
        <v>0</v>
      </c>
      <c r="EP246" s="14">
        <v>0</v>
      </c>
      <c r="EQ246" s="12"/>
      <c r="ER246" s="14"/>
      <c r="ES246" s="16"/>
      <c r="ET246" s="14"/>
      <c r="EU246" s="12"/>
      <c r="EV246" s="14"/>
      <c r="EW246" s="16"/>
      <c r="EX246" s="14"/>
      <c r="EY246" s="12"/>
      <c r="EZ246" s="14"/>
      <c r="FA246" s="16"/>
      <c r="FB246" s="14"/>
      <c r="FC246" s="12"/>
      <c r="FD246" s="14"/>
      <c r="FE246" s="16"/>
      <c r="FF246" s="14"/>
      <c r="FG246" s="12"/>
      <c r="FH246" s="14"/>
      <c r="FI246" s="16"/>
      <c r="FJ246" s="14"/>
      <c r="FK246" s="12" t="s">
        <v>320</v>
      </c>
      <c r="FL246" s="14">
        <v>130</v>
      </c>
      <c r="FM246" s="16">
        <v>0.5</v>
      </c>
      <c r="FN246" s="14"/>
      <c r="FO246" s="12"/>
      <c r="FP246" s="14"/>
      <c r="FQ246" s="16"/>
      <c r="FR246" s="14"/>
      <c r="FS246" s="12"/>
      <c r="FT246" s="14"/>
      <c r="FU246" s="16"/>
      <c r="FV246" s="14"/>
      <c r="FW246" s="12"/>
      <c r="FX246" s="14"/>
      <c r="FY246" s="16"/>
      <c r="FZ246" s="14"/>
      <c r="GA246" s="12"/>
      <c r="GB246" s="14"/>
      <c r="GC246" s="16"/>
      <c r="GD246" s="14"/>
      <c r="GE246" s="12"/>
      <c r="GF246" s="14"/>
      <c r="GG246" s="16"/>
      <c r="GH246" s="14"/>
      <c r="GI246" s="12"/>
      <c r="GJ246" s="14"/>
      <c r="GK246" s="16"/>
      <c r="GL246" s="14"/>
      <c r="GM246" s="12"/>
      <c r="GN246" s="14"/>
      <c r="GO246" s="16"/>
      <c r="GP246" s="14"/>
      <c r="GQ246" s="12"/>
      <c r="GR246" s="14"/>
      <c r="GS246" s="16"/>
      <c r="GT246" s="14"/>
      <c r="GU246" s="12"/>
      <c r="GV246" s="14"/>
      <c r="GW246" s="16"/>
      <c r="GX246" s="14"/>
      <c r="GY246" s="12"/>
      <c r="GZ246" s="14"/>
      <c r="HA246" s="16"/>
      <c r="HB246" s="14"/>
      <c r="HC246" s="12"/>
      <c r="HD246" s="12"/>
      <c r="HE246" s="14"/>
      <c r="HF246" s="16"/>
      <c r="HG246" s="14"/>
      <c r="HH246" s="12" t="s">
        <v>319</v>
      </c>
      <c r="HI246" s="12"/>
      <c r="HJ246" s="12"/>
      <c r="HK246" s="12"/>
      <c r="HL246" s="12" t="s">
        <v>319</v>
      </c>
      <c r="HM246" s="12"/>
      <c r="HN246" s="12"/>
      <c r="HO246" s="12"/>
      <c r="HP246" s="12" t="s">
        <v>330</v>
      </c>
      <c r="HQ246" s="12"/>
      <c r="HR246" s="12" t="s">
        <v>320</v>
      </c>
      <c r="HS246" s="12"/>
      <c r="HT246" s="12"/>
      <c r="HU246" s="12" t="s">
        <v>320</v>
      </c>
      <c r="HV246" s="12"/>
      <c r="HW246" s="12"/>
      <c r="HX246" s="12"/>
      <c r="HY246" s="12"/>
      <c r="HZ246" s="12" t="s">
        <v>394</v>
      </c>
      <c r="IA246" s="12" t="s">
        <v>4438</v>
      </c>
      <c r="IB246" s="12" t="s">
        <v>333</v>
      </c>
      <c r="IC246" s="12"/>
      <c r="ID246" s="12" t="s">
        <v>334</v>
      </c>
      <c r="IE246" s="12" t="s">
        <v>335</v>
      </c>
      <c r="IF246" s="12" t="s">
        <v>320</v>
      </c>
      <c r="IG246" s="12" t="s">
        <v>320</v>
      </c>
      <c r="IH246" s="12" t="s">
        <v>320</v>
      </c>
      <c r="II246" s="12" t="s">
        <v>319</v>
      </c>
      <c r="IJ246" s="12" t="str">
        <f t="shared" si="130"/>
        <v>1. Neutral</v>
      </c>
      <c r="IK246" s="12">
        <f t="shared" si="131"/>
        <v>3</v>
      </c>
      <c r="IL246" s="11" t="s">
        <v>621</v>
      </c>
      <c r="IM246" s="12" t="s">
        <v>320</v>
      </c>
      <c r="IN246" s="12" t="s">
        <v>319</v>
      </c>
      <c r="IO246" s="12" t="s">
        <v>320</v>
      </c>
      <c r="IP246" s="12" t="s">
        <v>319</v>
      </c>
      <c r="IQ246" s="12" t="str">
        <f t="shared" si="132"/>
        <v>3. Responsive</v>
      </c>
      <c r="IR246" s="12">
        <f t="shared" si="133"/>
        <v>2</v>
      </c>
      <c r="IS246" s="12" t="s">
        <v>456</v>
      </c>
      <c r="IT246" s="12" t="s">
        <v>320</v>
      </c>
      <c r="IU246" s="12" t="s">
        <v>320</v>
      </c>
      <c r="IV246" s="12" t="s">
        <v>320</v>
      </c>
      <c r="IW246" s="11" t="str">
        <f t="shared" si="134"/>
        <v>0. Harmful</v>
      </c>
      <c r="IX246" s="12">
        <f t="shared" si="135"/>
        <v>3</v>
      </c>
      <c r="IY246" s="12" t="s">
        <v>338</v>
      </c>
      <c r="IZ246" s="12" t="s">
        <v>457</v>
      </c>
      <c r="JA246" s="12">
        <v>1</v>
      </c>
      <c r="JB246" s="12" t="s">
        <v>433</v>
      </c>
      <c r="JC246" s="12"/>
      <c r="JD246" s="12"/>
      <c r="JE246" s="12" t="s">
        <v>365</v>
      </c>
      <c r="JF246" s="12"/>
      <c r="JG246" s="12" t="s">
        <v>4439</v>
      </c>
      <c r="JH246" s="12"/>
      <c r="JI246" s="12" t="s">
        <v>4440</v>
      </c>
      <c r="JJ246" s="12"/>
      <c r="JK246" s="12" t="s">
        <v>4441</v>
      </c>
      <c r="JL246" s="12" t="s">
        <v>4442</v>
      </c>
      <c r="JM246" s="12"/>
      <c r="JN246" s="12"/>
      <c r="JO246" s="12"/>
      <c r="JP246" s="15">
        <f t="shared" si="136"/>
        <v>130</v>
      </c>
      <c r="JQ246" s="15">
        <f t="shared" si="137"/>
        <v>0</v>
      </c>
      <c r="JR246" s="279">
        <f t="shared" si="138"/>
        <v>0</v>
      </c>
      <c r="JS246" s="17">
        <f t="shared" si="139"/>
        <v>0.5</v>
      </c>
      <c r="JT246" s="18" t="str">
        <f t="shared" si="140"/>
        <v/>
      </c>
      <c r="JU246" s="280">
        <f t="shared" si="141"/>
        <v>65</v>
      </c>
      <c r="JV246" s="280">
        <f t="shared" si="142"/>
        <v>0</v>
      </c>
      <c r="JW246" s="319" t="str">
        <f t="shared" si="143"/>
        <v/>
      </c>
      <c r="JX246" s="15">
        <f t="shared" si="144"/>
        <v>0</v>
      </c>
      <c r="JY246" s="15">
        <f t="shared" si="145"/>
        <v>0</v>
      </c>
      <c r="JZ246" s="19" t="str">
        <f t="shared" si="146"/>
        <v/>
      </c>
      <c r="KA246" s="52" t="str">
        <f t="shared" si="147"/>
        <v/>
      </c>
      <c r="KB246" s="15">
        <f t="shared" si="148"/>
        <v>0</v>
      </c>
      <c r="KC246" s="15">
        <f t="shared" si="149"/>
        <v>0</v>
      </c>
      <c r="KD246" s="20" t="str">
        <f t="shared" si="150"/>
        <v/>
      </c>
      <c r="KE246" s="52" t="str">
        <f t="shared" si="151"/>
        <v/>
      </c>
      <c r="KF246" s="15">
        <f t="shared" si="152"/>
        <v>0</v>
      </c>
      <c r="KG246" s="15">
        <f t="shared" si="153"/>
        <v>0</v>
      </c>
      <c r="KH246" s="21" t="str">
        <f t="shared" si="154"/>
        <v/>
      </c>
      <c r="KI246" s="52" t="str">
        <f t="shared" si="155"/>
        <v/>
      </c>
      <c r="KJ246" s="15">
        <f t="shared" si="156"/>
        <v>0</v>
      </c>
      <c r="KK246" s="15">
        <f t="shared" si="157"/>
        <v>0</v>
      </c>
      <c r="KL246" s="19" t="str">
        <f t="shared" si="158"/>
        <v/>
      </c>
      <c r="KM246" s="52" t="str">
        <f t="shared" si="159"/>
        <v/>
      </c>
      <c r="KN246" s="22">
        <f t="shared" si="160"/>
        <v>0</v>
      </c>
      <c r="KO246" s="22">
        <f t="shared" si="161"/>
        <v>0</v>
      </c>
      <c r="KP246" s="19" t="str">
        <f t="shared" si="162"/>
        <v/>
      </c>
      <c r="KQ246" s="11" t="str">
        <f t="shared" si="163"/>
        <v>1. Neutral</v>
      </c>
      <c r="KR246" s="11" t="str">
        <f t="shared" si="164"/>
        <v>3. Responsive</v>
      </c>
      <c r="KS246" s="11" t="str">
        <f t="shared" si="165"/>
        <v>0. Harmful</v>
      </c>
      <c r="KT246" s="11" t="str">
        <f t="shared" si="166"/>
        <v>It tested new ways for fighting poverty, but did not measure results of innovation</v>
      </c>
      <c r="KU246" s="11" t="str">
        <f t="shared" si="167"/>
        <v>Moderate advocacy</v>
      </c>
      <c r="KV246" s="11" t="str">
        <f t="shared" si="168"/>
        <v>It did not take tested solutions to scale</v>
      </c>
      <c r="KW246" s="11" t="str">
        <f t="shared" si="169"/>
        <v>Germany - Social support for refugees and migrants in Germany (Saxony)</v>
      </c>
      <c r="KX246" s="11" t="str">
        <f t="shared" si="170"/>
        <v>Social support for refugees and migrants in Germany (Saxony)</v>
      </c>
      <c r="KY246" s="11" t="str">
        <f t="shared" si="171"/>
        <v>Germany</v>
      </c>
      <c r="KZ246" s="12">
        <v>246</v>
      </c>
    </row>
    <row r="247" spans="1:312" x14ac:dyDescent="0.3">
      <c r="A247" s="11" t="s">
        <v>4471</v>
      </c>
      <c r="B247" s="11" t="s">
        <v>1596</v>
      </c>
      <c r="D247" s="11" t="s">
        <v>4472</v>
      </c>
      <c r="E247" s="24" t="str">
        <f t="shared" si="129"/>
        <v>Ghana</v>
      </c>
      <c r="F247" s="11" t="s">
        <v>4473</v>
      </c>
      <c r="G247" s="11" t="s">
        <v>1853</v>
      </c>
      <c r="H247" s="11" t="s">
        <v>310</v>
      </c>
      <c r="I247" s="11" t="s">
        <v>384</v>
      </c>
      <c r="J247" s="278" t="s">
        <v>9230</v>
      </c>
      <c r="BD247" s="23">
        <v>40360</v>
      </c>
      <c r="BE247" s="23">
        <v>41820</v>
      </c>
      <c r="BG247" s="11" t="s">
        <v>908</v>
      </c>
      <c r="BI247" s="11" t="s">
        <v>4474</v>
      </c>
      <c r="BJ247" s="11" t="s">
        <v>4475</v>
      </c>
      <c r="BK247" s="11" t="s">
        <v>4476</v>
      </c>
      <c r="BO247" s="11" t="s">
        <v>320</v>
      </c>
      <c r="BP247" s="11" t="s">
        <v>320</v>
      </c>
      <c r="BQ247" s="12" t="s">
        <v>320</v>
      </c>
      <c r="BR247" s="11" t="s">
        <v>4477</v>
      </c>
      <c r="BS247" s="11" t="s">
        <v>615</v>
      </c>
      <c r="BT247" s="11" t="s">
        <v>4478</v>
      </c>
      <c r="BU247" s="11" t="s">
        <v>4479</v>
      </c>
      <c r="BV247" s="22">
        <v>6224</v>
      </c>
      <c r="BW247" s="22">
        <v>1671</v>
      </c>
      <c r="BX247" s="22">
        <v>7895</v>
      </c>
      <c r="BY247" s="22">
        <v>11888</v>
      </c>
      <c r="BZ247" s="22">
        <v>12375</v>
      </c>
      <c r="CA247" s="22">
        <v>24263</v>
      </c>
      <c r="CB247" s="15" t="s">
        <v>4480</v>
      </c>
      <c r="CL247" s="18"/>
      <c r="CP247" s="18"/>
      <c r="CT247" s="18"/>
      <c r="CX247" s="18"/>
      <c r="DB247" s="18"/>
      <c r="DF247" s="18"/>
      <c r="DJ247" s="18"/>
      <c r="DN247" s="18"/>
      <c r="DR247" s="18"/>
      <c r="DV247" s="18"/>
      <c r="DZ247" s="18"/>
      <c r="ED247" s="18"/>
      <c r="EI247" s="18"/>
      <c r="EK247" s="22">
        <v>31</v>
      </c>
      <c r="EL247" s="22">
        <v>11</v>
      </c>
      <c r="EM247" s="22">
        <v>42</v>
      </c>
      <c r="EN247" s="22">
        <v>95</v>
      </c>
      <c r="EO247" s="22">
        <v>91</v>
      </c>
      <c r="EP247" s="22">
        <v>186</v>
      </c>
      <c r="EQ247" s="11" t="s">
        <v>320</v>
      </c>
      <c r="ES247" s="18"/>
      <c r="EU247" s="11" t="s">
        <v>320</v>
      </c>
      <c r="EV247" s="22">
        <v>457</v>
      </c>
      <c r="EW247" s="18">
        <v>0.36</v>
      </c>
      <c r="EX247" s="22">
        <v>2742</v>
      </c>
      <c r="EY247" s="12" t="s">
        <v>320</v>
      </c>
      <c r="EZ247" s="22">
        <v>21</v>
      </c>
      <c r="FA247" s="18">
        <v>0.24</v>
      </c>
      <c r="FB247" s="22">
        <v>126</v>
      </c>
      <c r="FC247" s="12" t="s">
        <v>320</v>
      </c>
      <c r="FD247" s="22">
        <v>2160</v>
      </c>
      <c r="FE247" s="18">
        <v>0.68</v>
      </c>
      <c r="FF247" s="22">
        <v>8748</v>
      </c>
      <c r="FG247" s="12" t="s">
        <v>320</v>
      </c>
      <c r="FH247" s="22">
        <v>207</v>
      </c>
      <c r="FI247" s="18">
        <v>0.9</v>
      </c>
      <c r="FJ247" s="22">
        <v>1122</v>
      </c>
      <c r="FM247" s="18"/>
      <c r="FQ247" s="18"/>
      <c r="FU247" s="18"/>
      <c r="FY247" s="18"/>
      <c r="GC247" s="18"/>
      <c r="GG247" s="18"/>
      <c r="GK247" s="18"/>
      <c r="GM247" s="11" t="s">
        <v>320</v>
      </c>
      <c r="GN247" s="22">
        <v>185</v>
      </c>
      <c r="GO247" s="18">
        <v>0.27</v>
      </c>
      <c r="GP247" s="22">
        <v>810</v>
      </c>
      <c r="GS247" s="18"/>
      <c r="GW247" s="18"/>
      <c r="HA247" s="18"/>
      <c r="HF247" s="18"/>
      <c r="HH247" s="11" t="s">
        <v>320</v>
      </c>
      <c r="HI247" s="11" t="s">
        <v>431</v>
      </c>
      <c r="HJ247" s="11">
        <v>2017</v>
      </c>
      <c r="HL247" s="11" t="s">
        <v>319</v>
      </c>
      <c r="HP247" s="11" t="s">
        <v>453</v>
      </c>
      <c r="HQ247" s="11" t="s">
        <v>320</v>
      </c>
      <c r="HR247" s="11" t="s">
        <v>320</v>
      </c>
      <c r="HT247" s="11" t="s">
        <v>320</v>
      </c>
      <c r="HU247" s="11" t="s">
        <v>320</v>
      </c>
      <c r="HX247" s="11" t="s">
        <v>320</v>
      </c>
      <c r="HZ247" s="11" t="s">
        <v>331</v>
      </c>
      <c r="IA247" s="11" t="s">
        <v>4481</v>
      </c>
      <c r="IB247" s="11" t="s">
        <v>396</v>
      </c>
      <c r="IC247" s="11" t="s">
        <v>4482</v>
      </c>
      <c r="IE247" s="11" t="s">
        <v>335</v>
      </c>
      <c r="IF247" s="11" t="s">
        <v>320</v>
      </c>
      <c r="IG247" s="11" t="s">
        <v>320</v>
      </c>
      <c r="IH247" s="11" t="s">
        <v>320</v>
      </c>
      <c r="II247" s="11" t="s">
        <v>320</v>
      </c>
      <c r="IJ247" s="12" t="str">
        <f t="shared" si="130"/>
        <v>2. Sensitive</v>
      </c>
      <c r="IK247" s="12">
        <f t="shared" si="131"/>
        <v>4</v>
      </c>
      <c r="IL247" s="11" t="s">
        <v>336</v>
      </c>
      <c r="IM247" s="11" t="s">
        <v>320</v>
      </c>
      <c r="IN247" s="11" t="s">
        <v>320</v>
      </c>
      <c r="IO247" s="11" t="s">
        <v>320</v>
      </c>
      <c r="IP247" s="11" t="s">
        <v>320</v>
      </c>
      <c r="IQ247" s="12" t="str">
        <f t="shared" si="132"/>
        <v>2. Accommodating</v>
      </c>
      <c r="IR247" s="12">
        <f t="shared" si="133"/>
        <v>4</v>
      </c>
      <c r="IS247" s="11" t="s">
        <v>622</v>
      </c>
      <c r="IT247" s="11" t="s">
        <v>320</v>
      </c>
      <c r="IU247" s="11" t="s">
        <v>320</v>
      </c>
      <c r="IV247" s="11" t="s">
        <v>320</v>
      </c>
      <c r="IW247" s="11" t="str">
        <f t="shared" si="134"/>
        <v>4. Transformative</v>
      </c>
      <c r="IX247" s="12">
        <f t="shared" si="135"/>
        <v>3</v>
      </c>
      <c r="IY247" s="11" t="s">
        <v>758</v>
      </c>
      <c r="IZ247" s="11" t="s">
        <v>527</v>
      </c>
      <c r="JA247" s="11">
        <v>1</v>
      </c>
      <c r="JB247" s="12" t="s">
        <v>1570</v>
      </c>
      <c r="JE247" s="11" t="s">
        <v>340</v>
      </c>
      <c r="JF247" s="11" t="s">
        <v>4483</v>
      </c>
      <c r="JG247" s="11" t="s">
        <v>4484</v>
      </c>
      <c r="JH247" s="11" t="s">
        <v>4485</v>
      </c>
      <c r="JI247" s="11" t="s">
        <v>4486</v>
      </c>
      <c r="JJ247" s="11" t="s">
        <v>4487</v>
      </c>
      <c r="JK247" s="11" t="s">
        <v>4488</v>
      </c>
      <c r="JL247" s="11" t="s">
        <v>4489</v>
      </c>
      <c r="JM247" s="11" t="s">
        <v>4490</v>
      </c>
      <c r="JN247" s="11" t="s">
        <v>4491</v>
      </c>
      <c r="JO247" s="11" t="s">
        <v>4492</v>
      </c>
      <c r="JP247" s="15">
        <f t="shared" si="136"/>
        <v>42</v>
      </c>
      <c r="JQ247" s="15">
        <f t="shared" si="137"/>
        <v>186</v>
      </c>
      <c r="JR247" s="279">
        <f t="shared" si="138"/>
        <v>4.4285714285714288</v>
      </c>
      <c r="JS247" s="17">
        <f t="shared" si="139"/>
        <v>0.73809523809523814</v>
      </c>
      <c r="JT247" s="18">
        <f t="shared" si="140"/>
        <v>0.510752688172043</v>
      </c>
      <c r="JU247" s="280">
        <f t="shared" si="141"/>
        <v>31</v>
      </c>
      <c r="JV247" s="280">
        <f t="shared" si="142"/>
        <v>95</v>
      </c>
      <c r="JW247" s="319">
        <f t="shared" si="143"/>
        <v>1</v>
      </c>
      <c r="JX247" s="15">
        <f t="shared" si="144"/>
        <v>0</v>
      </c>
      <c r="JY247" s="15">
        <f t="shared" si="145"/>
        <v>0</v>
      </c>
      <c r="JZ247" s="19" t="str">
        <f t="shared" si="146"/>
        <v/>
      </c>
      <c r="KA247" s="52">
        <f t="shared" si="147"/>
        <v>1</v>
      </c>
      <c r="KB247" s="15">
        <f t="shared" si="148"/>
        <v>2160</v>
      </c>
      <c r="KC247" s="15">
        <f t="shared" si="149"/>
        <v>8748</v>
      </c>
      <c r="KD247" s="20">
        <f t="shared" si="150"/>
        <v>4.05</v>
      </c>
      <c r="KE247" s="52" t="str">
        <f t="shared" si="151"/>
        <v/>
      </c>
      <c r="KF247" s="15">
        <f t="shared" si="152"/>
        <v>0</v>
      </c>
      <c r="KG247" s="15">
        <f t="shared" si="153"/>
        <v>0</v>
      </c>
      <c r="KH247" s="21" t="str">
        <f t="shared" si="154"/>
        <v/>
      </c>
      <c r="KI247" s="52" t="str">
        <f t="shared" si="155"/>
        <v/>
      </c>
      <c r="KJ247" s="15">
        <f t="shared" si="156"/>
        <v>0</v>
      </c>
      <c r="KK247" s="15">
        <f t="shared" si="157"/>
        <v>0</v>
      </c>
      <c r="KL247" s="19" t="str">
        <f t="shared" si="158"/>
        <v/>
      </c>
      <c r="KM247" s="52">
        <f t="shared" si="159"/>
        <v>1</v>
      </c>
      <c r="KN247" s="22">
        <f t="shared" si="160"/>
        <v>186.3</v>
      </c>
      <c r="KO247" s="22">
        <f t="shared" si="161"/>
        <v>1009.8000000000001</v>
      </c>
      <c r="KP247" s="19">
        <f t="shared" si="162"/>
        <v>5.4202898550724639</v>
      </c>
      <c r="KQ247" s="11" t="str">
        <f t="shared" si="163"/>
        <v>2. Sensitive</v>
      </c>
      <c r="KR247" s="11" t="str">
        <f t="shared" si="164"/>
        <v>2. Accommodating</v>
      </c>
      <c r="KS247" s="11" t="str">
        <f t="shared" si="165"/>
        <v>4. Transformative</v>
      </c>
      <c r="KT247" s="11" t="str">
        <f t="shared" si="166"/>
        <v>It tested new ways for fighting poverty and measured results of innovation</v>
      </c>
      <c r="KU247" s="11" t="str">
        <f t="shared" si="167"/>
        <v>Intensive advocacy</v>
      </c>
      <c r="KV247" s="11" t="str">
        <f t="shared" si="168"/>
        <v>It linked and worked with strategic alliances and partners to take tested and effective solutions to scale</v>
      </c>
      <c r="KW247" s="11" t="str">
        <f t="shared" si="169"/>
        <v>Ghana - Adaptation Learning Programme for Africa</v>
      </c>
      <c r="KX247" s="11" t="str">
        <f t="shared" si="170"/>
        <v>Adaptation Learning Programme for Africa</v>
      </c>
      <c r="KY247" s="11" t="str">
        <f t="shared" si="171"/>
        <v>Ghana</v>
      </c>
      <c r="KZ247" s="12">
        <v>247</v>
      </c>
    </row>
    <row r="248" spans="1:312" x14ac:dyDescent="0.3">
      <c r="A248" s="11" t="s">
        <v>4471</v>
      </c>
      <c r="B248" s="11" t="s">
        <v>1596</v>
      </c>
      <c r="D248" s="11" t="s">
        <v>4541</v>
      </c>
      <c r="E248" s="24" t="str">
        <f t="shared" si="129"/>
        <v>Ghana</v>
      </c>
      <c r="F248" s="11" t="s">
        <v>4542</v>
      </c>
      <c r="G248" s="11" t="s">
        <v>488</v>
      </c>
      <c r="H248" s="11" t="s">
        <v>489</v>
      </c>
      <c r="I248" s="11" t="s">
        <v>384</v>
      </c>
      <c r="J248" s="278" t="s">
        <v>3802</v>
      </c>
      <c r="BD248" s="23">
        <v>40057</v>
      </c>
      <c r="BE248" s="23">
        <v>42735</v>
      </c>
      <c r="BF248" s="23">
        <v>42794</v>
      </c>
      <c r="BG248" s="11" t="s">
        <v>350</v>
      </c>
      <c r="BH248" s="22">
        <v>3624630</v>
      </c>
      <c r="BI248" s="11" t="s">
        <v>4543</v>
      </c>
      <c r="BJ248" s="11" t="s">
        <v>4544</v>
      </c>
      <c r="BK248" s="11" t="s">
        <v>4545</v>
      </c>
      <c r="BL248" s="11" t="s">
        <v>4546</v>
      </c>
      <c r="BM248" s="11" t="s">
        <v>354</v>
      </c>
      <c r="BN248" s="11" t="s">
        <v>4547</v>
      </c>
      <c r="BO248" s="11" t="s">
        <v>319</v>
      </c>
      <c r="BP248" s="11" t="s">
        <v>320</v>
      </c>
      <c r="BQ248" s="11" t="s">
        <v>319</v>
      </c>
      <c r="BR248" s="11" t="s">
        <v>4548</v>
      </c>
      <c r="BS248" s="11" t="s">
        <v>357</v>
      </c>
      <c r="BT248" s="11" t="s">
        <v>4549</v>
      </c>
      <c r="BU248" s="11" t="s">
        <v>4550</v>
      </c>
      <c r="BV248" s="22">
        <v>13680</v>
      </c>
      <c r="BW248" s="22">
        <v>9120</v>
      </c>
      <c r="BX248" s="22">
        <v>22800</v>
      </c>
      <c r="BY248" s="22">
        <v>79104</v>
      </c>
      <c r="BZ248" s="22">
        <v>53136</v>
      </c>
      <c r="CA248" s="22">
        <v>132240</v>
      </c>
      <c r="CB248" s="15" t="s">
        <v>4551</v>
      </c>
      <c r="CL248" s="18"/>
      <c r="CP248" s="18"/>
      <c r="CT248" s="18"/>
      <c r="CX248" s="18"/>
      <c r="DB248" s="18"/>
      <c r="DF248" s="18"/>
      <c r="DJ248" s="18"/>
      <c r="DN248" s="18"/>
      <c r="DR248" s="18"/>
      <c r="DV248" s="18"/>
      <c r="DZ248" s="18"/>
      <c r="ED248" s="18"/>
      <c r="EI248" s="18"/>
      <c r="EK248" s="22">
        <v>16051</v>
      </c>
      <c r="EL248" s="22">
        <v>12715</v>
      </c>
      <c r="EM248" s="22">
        <v>28766</v>
      </c>
      <c r="EN248" s="22">
        <v>100106</v>
      </c>
      <c r="EO248" s="22">
        <v>66737</v>
      </c>
      <c r="EP248" s="22">
        <v>166843</v>
      </c>
      <c r="EQ248" s="12" t="s">
        <v>320</v>
      </c>
      <c r="ER248" s="22">
        <v>22438</v>
      </c>
      <c r="ES248" s="18">
        <v>0.63</v>
      </c>
      <c r="ET248" s="22">
        <v>130140</v>
      </c>
      <c r="EU248" s="11" t="s">
        <v>319</v>
      </c>
      <c r="EW248" s="18"/>
      <c r="EY248" s="12" t="s">
        <v>319</v>
      </c>
      <c r="FA248" s="18"/>
      <c r="FC248" s="12" t="s">
        <v>319</v>
      </c>
      <c r="FE248" s="18"/>
      <c r="FG248" s="12" t="s">
        <v>320</v>
      </c>
      <c r="FH248" s="22">
        <v>5421</v>
      </c>
      <c r="FI248" s="18">
        <v>0.71</v>
      </c>
      <c r="FJ248" s="22">
        <v>31442</v>
      </c>
      <c r="FK248" s="12" t="s">
        <v>320</v>
      </c>
      <c r="FL248" s="22">
        <v>100</v>
      </c>
      <c r="FM248" s="18">
        <v>0.4</v>
      </c>
      <c r="FN248" s="22">
        <v>5000</v>
      </c>
      <c r="FO248" s="12" t="s">
        <v>320</v>
      </c>
      <c r="FP248" s="22">
        <v>1061</v>
      </c>
      <c r="FQ248" s="18">
        <v>0.56000000000000005</v>
      </c>
      <c r="FR248" s="22">
        <v>11890</v>
      </c>
      <c r="FS248" s="11" t="s">
        <v>319</v>
      </c>
      <c r="FU248" s="18"/>
      <c r="FW248" s="11" t="s">
        <v>320</v>
      </c>
      <c r="FX248" s="22">
        <v>4100</v>
      </c>
      <c r="FY248" s="18">
        <v>0.8</v>
      </c>
      <c r="FZ248" s="22">
        <v>23780</v>
      </c>
      <c r="GA248" s="11" t="s">
        <v>319</v>
      </c>
      <c r="GC248" s="18"/>
      <c r="GE248" s="11" t="s">
        <v>319</v>
      </c>
      <c r="GG248" s="18"/>
      <c r="GI248" s="11" t="s">
        <v>319</v>
      </c>
      <c r="GK248" s="18"/>
      <c r="GM248" s="11" t="s">
        <v>320</v>
      </c>
      <c r="GN248" s="22">
        <v>132</v>
      </c>
      <c r="GO248" s="18">
        <v>0.3</v>
      </c>
      <c r="GP248" s="22">
        <v>22800</v>
      </c>
      <c r="GQ248" s="11" t="s">
        <v>319</v>
      </c>
      <c r="GS248" s="18"/>
      <c r="GW248" s="18"/>
      <c r="GY248" s="11" t="s">
        <v>320</v>
      </c>
      <c r="GZ248" s="22">
        <v>3844</v>
      </c>
      <c r="HA248" s="18">
        <v>1</v>
      </c>
      <c r="HB248" s="22">
        <v>22295</v>
      </c>
      <c r="HF248" s="18"/>
      <c r="HH248" s="11" t="s">
        <v>319</v>
      </c>
      <c r="HL248" s="11" t="s">
        <v>319</v>
      </c>
      <c r="HP248" s="11" t="s">
        <v>330</v>
      </c>
      <c r="HQ248" s="11" t="s">
        <v>319</v>
      </c>
      <c r="HR248" s="11" t="s">
        <v>319</v>
      </c>
      <c r="HS248" s="11" t="s">
        <v>320</v>
      </c>
      <c r="HT248" s="11" t="s">
        <v>320</v>
      </c>
      <c r="HU248" s="11" t="s">
        <v>320</v>
      </c>
      <c r="HV248" s="11" t="s">
        <v>319</v>
      </c>
      <c r="HW248" s="11" t="s">
        <v>319</v>
      </c>
      <c r="HZ248" s="11" t="s">
        <v>394</v>
      </c>
      <c r="IB248" s="11" t="s">
        <v>333</v>
      </c>
      <c r="ID248" s="11" t="s">
        <v>364</v>
      </c>
      <c r="IE248" s="11" t="s">
        <v>478</v>
      </c>
      <c r="IF248" s="11" t="s">
        <v>320</v>
      </c>
      <c r="IG248" s="11" t="s">
        <v>320</v>
      </c>
      <c r="IH248" s="11" t="s">
        <v>320</v>
      </c>
      <c r="II248" s="11" t="s">
        <v>320</v>
      </c>
      <c r="IJ248" s="12" t="str">
        <f t="shared" si="130"/>
        <v>4. Transformative</v>
      </c>
      <c r="IK248" s="12">
        <f t="shared" si="131"/>
        <v>4</v>
      </c>
      <c r="IL248" s="11" t="s">
        <v>621</v>
      </c>
      <c r="IM248" s="11" t="s">
        <v>320</v>
      </c>
      <c r="IN248" s="11" t="s">
        <v>320</v>
      </c>
      <c r="IO248" s="11" t="s">
        <v>320</v>
      </c>
      <c r="IP248" s="11" t="s">
        <v>320</v>
      </c>
      <c r="IQ248" s="12" t="str">
        <f t="shared" si="132"/>
        <v>4. Transformational</v>
      </c>
      <c r="IR248" s="12">
        <f t="shared" si="133"/>
        <v>4</v>
      </c>
      <c r="IS248" s="11" t="s">
        <v>337</v>
      </c>
      <c r="IT248" s="11" t="s">
        <v>319</v>
      </c>
      <c r="IU248" s="11" t="s">
        <v>320</v>
      </c>
      <c r="IV248" s="11" t="s">
        <v>319</v>
      </c>
      <c r="IW248" s="11" t="str">
        <f t="shared" si="134"/>
        <v>1. Neutral</v>
      </c>
      <c r="IX248" s="12">
        <f t="shared" si="135"/>
        <v>1</v>
      </c>
      <c r="IY248" s="11" t="s">
        <v>338</v>
      </c>
      <c r="IZ248" s="11" t="s">
        <v>527</v>
      </c>
      <c r="JA248" s="11">
        <v>1</v>
      </c>
      <c r="JB248" s="11" t="s">
        <v>687</v>
      </c>
      <c r="JC248" s="11" t="s">
        <v>624</v>
      </c>
      <c r="JE248" s="11" t="s">
        <v>340</v>
      </c>
      <c r="JG248" s="11" t="s">
        <v>4552</v>
      </c>
      <c r="JH248" s="11" t="s">
        <v>4553</v>
      </c>
      <c r="JI248" s="11" t="s">
        <v>4554</v>
      </c>
      <c r="JJ248" s="11" t="s">
        <v>4555</v>
      </c>
      <c r="JK248" s="11" t="s">
        <v>4556</v>
      </c>
      <c r="JL248" s="11" t="s">
        <v>4557</v>
      </c>
      <c r="JM248" s="11" t="s">
        <v>4558</v>
      </c>
      <c r="JN248" s="11" t="s">
        <v>4559</v>
      </c>
      <c r="JO248" s="11" t="s">
        <v>4560</v>
      </c>
      <c r="JP248" s="15">
        <f t="shared" si="136"/>
        <v>28766</v>
      </c>
      <c r="JQ248" s="15">
        <f t="shared" si="137"/>
        <v>166843</v>
      </c>
      <c r="JR248" s="279">
        <f t="shared" si="138"/>
        <v>5.8000069526524367</v>
      </c>
      <c r="JS248" s="17">
        <f t="shared" si="139"/>
        <v>0.55798512132378497</v>
      </c>
      <c r="JT248" s="18">
        <f t="shared" si="140"/>
        <v>0.60000119873174185</v>
      </c>
      <c r="JU248" s="280">
        <f t="shared" si="141"/>
        <v>16051</v>
      </c>
      <c r="JV248" s="280">
        <f t="shared" si="142"/>
        <v>100106</v>
      </c>
      <c r="JW248" s="319" t="str">
        <f t="shared" si="143"/>
        <v/>
      </c>
      <c r="JX248" s="15">
        <f t="shared" si="144"/>
        <v>0</v>
      </c>
      <c r="JY248" s="15">
        <f t="shared" si="145"/>
        <v>0</v>
      </c>
      <c r="JZ248" s="19" t="str">
        <f t="shared" si="146"/>
        <v/>
      </c>
      <c r="KA248" s="52">
        <f t="shared" si="147"/>
        <v>1</v>
      </c>
      <c r="KB248" s="15">
        <f t="shared" si="148"/>
        <v>22438</v>
      </c>
      <c r="KC248" s="15">
        <f t="shared" si="149"/>
        <v>130140</v>
      </c>
      <c r="KD248" s="20">
        <f t="shared" si="150"/>
        <v>5.7999821730992069</v>
      </c>
      <c r="KE248" s="52" t="str">
        <f t="shared" si="151"/>
        <v/>
      </c>
      <c r="KF248" s="15">
        <f t="shared" si="152"/>
        <v>0</v>
      </c>
      <c r="KG248" s="15">
        <f t="shared" si="153"/>
        <v>0</v>
      </c>
      <c r="KH248" s="21" t="str">
        <f t="shared" si="154"/>
        <v/>
      </c>
      <c r="KI248" s="52" t="str">
        <f t="shared" si="155"/>
        <v/>
      </c>
      <c r="KJ248" s="15">
        <f t="shared" si="156"/>
        <v>0</v>
      </c>
      <c r="KK248" s="15">
        <f t="shared" si="157"/>
        <v>0</v>
      </c>
      <c r="KL248" s="19" t="str">
        <f t="shared" si="158"/>
        <v/>
      </c>
      <c r="KM248" s="52">
        <f t="shared" si="159"/>
        <v>1</v>
      </c>
      <c r="KN248" s="22">
        <f t="shared" si="160"/>
        <v>3848.91</v>
      </c>
      <c r="KO248" s="22">
        <f t="shared" si="161"/>
        <v>22323.82</v>
      </c>
      <c r="KP248" s="19">
        <f t="shared" si="162"/>
        <v>5.8000368935620736</v>
      </c>
      <c r="KQ248" s="11" t="str">
        <f t="shared" si="163"/>
        <v>4. Transformative</v>
      </c>
      <c r="KR248" s="11" t="str">
        <f t="shared" si="164"/>
        <v>4. Transformational</v>
      </c>
      <c r="KS248" s="11" t="str">
        <f t="shared" si="165"/>
        <v>1. Neutral</v>
      </c>
      <c r="KT248" s="11" t="str">
        <f t="shared" si="166"/>
        <v>It tested new ways for fighting poverty, but did not measure results of innovation</v>
      </c>
      <c r="KU248" s="11" t="str">
        <f t="shared" si="167"/>
        <v>Moderate advocacy</v>
      </c>
      <c r="KV248" s="11" t="str">
        <f t="shared" si="168"/>
        <v>It did not take tested solutions to scale</v>
      </c>
      <c r="KW248" s="11" t="str">
        <f t="shared" si="169"/>
        <v>Ghana - COCOA LIFE</v>
      </c>
      <c r="KX248" s="11" t="str">
        <f t="shared" si="170"/>
        <v>COCOA LIFE</v>
      </c>
      <c r="KY248" s="11" t="str">
        <f t="shared" si="171"/>
        <v>Ghana</v>
      </c>
      <c r="KZ248" s="12">
        <v>248</v>
      </c>
    </row>
    <row r="249" spans="1:312" x14ac:dyDescent="0.3">
      <c r="A249" s="11" t="s">
        <v>4471</v>
      </c>
      <c r="B249" s="11" t="s">
        <v>1596</v>
      </c>
      <c r="C249" s="11" t="s">
        <v>4587</v>
      </c>
      <c r="D249" s="11" t="s">
        <v>4588</v>
      </c>
      <c r="E249" s="24" t="str">
        <f t="shared" si="129"/>
        <v>Ghana</v>
      </c>
      <c r="F249" s="11" t="s">
        <v>4589</v>
      </c>
      <c r="G249" s="11" t="s">
        <v>379</v>
      </c>
      <c r="H249" s="11" t="s">
        <v>380</v>
      </c>
      <c r="I249" s="11" t="s">
        <v>506</v>
      </c>
      <c r="J249" s="278" t="s">
        <v>14633</v>
      </c>
      <c r="M249" s="11" t="s">
        <v>380</v>
      </c>
      <c r="N249" s="11" t="s">
        <v>655</v>
      </c>
      <c r="O249" s="11" t="s">
        <v>4991</v>
      </c>
      <c r="BD249" s="23">
        <v>42491</v>
      </c>
      <c r="BE249" s="23">
        <v>42946</v>
      </c>
      <c r="BG249" s="11" t="s">
        <v>312</v>
      </c>
      <c r="BH249" s="22">
        <v>413307</v>
      </c>
      <c r="BI249" s="11" t="s">
        <v>4590</v>
      </c>
      <c r="BJ249" s="11" t="s">
        <v>4591</v>
      </c>
      <c r="BK249" s="11" t="s">
        <v>4592</v>
      </c>
      <c r="BL249" s="11" t="s">
        <v>4593</v>
      </c>
      <c r="BM249" s="11" t="s">
        <v>4594</v>
      </c>
      <c r="BN249" s="11" t="s">
        <v>4595</v>
      </c>
      <c r="BO249" s="12" t="s">
        <v>319</v>
      </c>
      <c r="BP249" s="12" t="s">
        <v>320</v>
      </c>
      <c r="BQ249" s="12" t="s">
        <v>319</v>
      </c>
      <c r="BR249" s="11" t="s">
        <v>4596</v>
      </c>
      <c r="BS249" s="11" t="s">
        <v>322</v>
      </c>
      <c r="BT249" s="11" t="s">
        <v>4597</v>
      </c>
      <c r="BU249" s="11" t="s">
        <v>4598</v>
      </c>
      <c r="BV249" s="22">
        <v>1951</v>
      </c>
      <c r="BW249" s="22">
        <v>2006</v>
      </c>
      <c r="BX249" s="22">
        <v>3957</v>
      </c>
      <c r="BY249" s="22">
        <v>6232</v>
      </c>
      <c r="BZ249" s="22">
        <v>6688</v>
      </c>
      <c r="CA249" s="22">
        <v>12920</v>
      </c>
      <c r="CB249" s="15" t="s">
        <v>4599</v>
      </c>
      <c r="CL249" s="18"/>
      <c r="CP249" s="18"/>
      <c r="CT249" s="18"/>
      <c r="CX249" s="18"/>
      <c r="DB249" s="18"/>
      <c r="DF249" s="18"/>
      <c r="DJ249" s="18"/>
      <c r="DN249" s="18"/>
      <c r="DR249" s="18"/>
      <c r="DV249" s="18"/>
      <c r="DZ249" s="18"/>
      <c r="ED249" s="18"/>
      <c r="EI249" s="18"/>
      <c r="EK249" s="22">
        <v>1951</v>
      </c>
      <c r="EL249" s="22">
        <v>2006</v>
      </c>
      <c r="EM249" s="22">
        <v>3957</v>
      </c>
      <c r="EN249" s="22">
        <v>6232</v>
      </c>
      <c r="EO249" s="22">
        <v>6688</v>
      </c>
      <c r="EP249" s="22">
        <v>12920</v>
      </c>
      <c r="ES249" s="18"/>
      <c r="EW249" s="18"/>
      <c r="FA249" s="18"/>
      <c r="FE249" s="18"/>
      <c r="FI249" s="18"/>
      <c r="FK249" s="12" t="s">
        <v>320</v>
      </c>
      <c r="FL249" s="22">
        <v>3957</v>
      </c>
      <c r="FM249" s="18">
        <v>0.49</v>
      </c>
      <c r="FN249" s="22">
        <v>12920</v>
      </c>
      <c r="FQ249" s="18"/>
      <c r="FU249" s="18"/>
      <c r="FY249" s="18"/>
      <c r="GC249" s="18"/>
      <c r="GG249" s="18"/>
      <c r="GK249" s="18"/>
      <c r="GO249" s="18"/>
      <c r="GS249" s="18"/>
      <c r="GW249" s="18"/>
      <c r="GY249" s="11" t="s">
        <v>320</v>
      </c>
      <c r="GZ249" s="22">
        <v>33</v>
      </c>
      <c r="HA249" s="18">
        <v>1</v>
      </c>
      <c r="HB249" s="22">
        <v>132</v>
      </c>
      <c r="HF249" s="18"/>
      <c r="HH249" s="11" t="s">
        <v>320</v>
      </c>
      <c r="HI249" s="11" t="s">
        <v>522</v>
      </c>
      <c r="HJ249" s="11">
        <v>2016</v>
      </c>
      <c r="HK249" s="11" t="s">
        <v>320</v>
      </c>
      <c r="HL249" s="11" t="s">
        <v>319</v>
      </c>
      <c r="HP249" s="11" t="s">
        <v>330</v>
      </c>
      <c r="HT249" s="11" t="s">
        <v>320</v>
      </c>
      <c r="HZ249" s="11" t="s">
        <v>363</v>
      </c>
      <c r="IB249" s="11" t="s">
        <v>396</v>
      </c>
      <c r="IC249" s="11" t="s">
        <v>4600</v>
      </c>
      <c r="ID249" s="11" t="s">
        <v>364</v>
      </c>
      <c r="IE249" s="11" t="s">
        <v>478</v>
      </c>
      <c r="IF249" s="11" t="s">
        <v>320</v>
      </c>
      <c r="IG249" s="11" t="s">
        <v>320</v>
      </c>
      <c r="IH249" s="11" t="s">
        <v>320</v>
      </c>
      <c r="II249" s="11" t="s">
        <v>320</v>
      </c>
      <c r="IJ249" s="12" t="str">
        <f t="shared" si="130"/>
        <v>4. Transformative</v>
      </c>
      <c r="IK249" s="12">
        <f t="shared" si="131"/>
        <v>4</v>
      </c>
      <c r="IL249" s="11" t="s">
        <v>336</v>
      </c>
      <c r="IM249" s="11" t="s">
        <v>320</v>
      </c>
      <c r="IN249" s="11" t="s">
        <v>320</v>
      </c>
      <c r="IO249" s="11" t="s">
        <v>320</v>
      </c>
      <c r="IP249" s="11" t="s">
        <v>320</v>
      </c>
      <c r="IQ249" s="12" t="str">
        <f t="shared" si="132"/>
        <v>2. Accommodating</v>
      </c>
      <c r="IR249" s="12">
        <f t="shared" si="133"/>
        <v>4</v>
      </c>
      <c r="IS249" s="11" t="s">
        <v>337</v>
      </c>
      <c r="IT249" s="11" t="s">
        <v>320</v>
      </c>
      <c r="IU249" s="11" t="s">
        <v>320</v>
      </c>
      <c r="IV249" s="11" t="s">
        <v>320</v>
      </c>
      <c r="IW249" s="11" t="str">
        <f t="shared" si="134"/>
        <v>2. Sensitive</v>
      </c>
      <c r="IX249" s="12">
        <f t="shared" si="135"/>
        <v>3</v>
      </c>
      <c r="IY249" s="11" t="s">
        <v>338</v>
      </c>
      <c r="IZ249" s="11" t="s">
        <v>457</v>
      </c>
      <c r="JA249" s="11">
        <v>3</v>
      </c>
      <c r="JB249" s="11" t="s">
        <v>623</v>
      </c>
      <c r="JC249" s="11" t="s">
        <v>687</v>
      </c>
      <c r="JE249" s="11" t="s">
        <v>420</v>
      </c>
      <c r="JG249" s="11" t="s">
        <v>4601</v>
      </c>
      <c r="JH249" s="11" t="s">
        <v>4602</v>
      </c>
      <c r="JI249" s="11" t="s">
        <v>4603</v>
      </c>
      <c r="JJ249" s="11" t="s">
        <v>4604</v>
      </c>
      <c r="JK249" s="11" t="s">
        <v>4605</v>
      </c>
      <c r="JL249" s="11" t="s">
        <v>4606</v>
      </c>
      <c r="JM249" s="11" t="s">
        <v>4607</v>
      </c>
      <c r="JN249" s="11" t="s">
        <v>4608</v>
      </c>
      <c r="JO249" s="11" t="s">
        <v>4609</v>
      </c>
      <c r="JP249" s="15">
        <f t="shared" si="136"/>
        <v>3957</v>
      </c>
      <c r="JQ249" s="15">
        <f t="shared" si="137"/>
        <v>12920</v>
      </c>
      <c r="JR249" s="279">
        <f t="shared" si="138"/>
        <v>3.2650998230983066</v>
      </c>
      <c r="JS249" s="17">
        <f t="shared" si="139"/>
        <v>0.49305029062421024</v>
      </c>
      <c r="JT249" s="18">
        <f t="shared" si="140"/>
        <v>0.4823529411764706</v>
      </c>
      <c r="JU249" s="280">
        <f t="shared" si="141"/>
        <v>1951</v>
      </c>
      <c r="JV249" s="280">
        <f t="shared" si="142"/>
        <v>6232</v>
      </c>
      <c r="JW249" s="319" t="str">
        <f t="shared" si="143"/>
        <v/>
      </c>
      <c r="JX249" s="15">
        <f t="shared" si="144"/>
        <v>0</v>
      </c>
      <c r="JY249" s="15">
        <f t="shared" si="145"/>
        <v>0</v>
      </c>
      <c r="JZ249" s="19" t="str">
        <f t="shared" si="146"/>
        <v/>
      </c>
      <c r="KA249" s="52" t="str">
        <f t="shared" si="147"/>
        <v/>
      </c>
      <c r="KB249" s="15">
        <f t="shared" si="148"/>
        <v>0</v>
      </c>
      <c r="KC249" s="15">
        <f t="shared" si="149"/>
        <v>0</v>
      </c>
      <c r="KD249" s="20" t="str">
        <f t="shared" si="150"/>
        <v/>
      </c>
      <c r="KE249" s="52" t="str">
        <f t="shared" si="151"/>
        <v/>
      </c>
      <c r="KF249" s="15">
        <f t="shared" si="152"/>
        <v>0</v>
      </c>
      <c r="KG249" s="15">
        <f t="shared" si="153"/>
        <v>0</v>
      </c>
      <c r="KH249" s="21" t="str">
        <f t="shared" si="154"/>
        <v/>
      </c>
      <c r="KI249" s="52" t="str">
        <f t="shared" si="155"/>
        <v/>
      </c>
      <c r="KJ249" s="15">
        <f t="shared" si="156"/>
        <v>0</v>
      </c>
      <c r="KK249" s="15">
        <f t="shared" si="157"/>
        <v>0</v>
      </c>
      <c r="KL249" s="19" t="str">
        <f t="shared" si="158"/>
        <v/>
      </c>
      <c r="KM249" s="52">
        <f t="shared" si="159"/>
        <v>1</v>
      </c>
      <c r="KN249" s="22">
        <f t="shared" si="160"/>
        <v>33</v>
      </c>
      <c r="KO249" s="22">
        <f t="shared" si="161"/>
        <v>132</v>
      </c>
      <c r="KP249" s="19">
        <f t="shared" si="162"/>
        <v>4</v>
      </c>
      <c r="KQ249" s="11" t="str">
        <f t="shared" si="163"/>
        <v>4. Transformative</v>
      </c>
      <c r="KR249" s="11" t="str">
        <f t="shared" si="164"/>
        <v>2. Accommodating</v>
      </c>
      <c r="KS249" s="11" t="str">
        <f t="shared" si="165"/>
        <v>2. Sensitive</v>
      </c>
      <c r="KT249" s="11" t="str">
        <f t="shared" si="166"/>
        <v>It did not develop any specific innovation</v>
      </c>
      <c r="KU249" s="11" t="str">
        <f t="shared" si="167"/>
        <v>Moderate advocacy</v>
      </c>
      <c r="KV249" s="11" t="str">
        <f t="shared" si="168"/>
        <v>It linked and worked with strategic alliances and partners to take tested and effective solutions to scale</v>
      </c>
      <c r="KW249" s="11" t="str">
        <f t="shared" si="169"/>
        <v>Ghana - COMPLEMENTARY BASIC EDUCATION (CBE)</v>
      </c>
      <c r="KX249" s="11" t="str">
        <f t="shared" si="170"/>
        <v>COMPLEMENTARY BASIC EDUCATION (CBE)</v>
      </c>
      <c r="KY249" s="11" t="str">
        <f t="shared" si="171"/>
        <v>Ghana</v>
      </c>
      <c r="KZ249" s="12">
        <v>249</v>
      </c>
    </row>
    <row r="250" spans="1:312" x14ac:dyDescent="0.3">
      <c r="A250" s="11" t="s">
        <v>4471</v>
      </c>
      <c r="B250" s="11" t="s">
        <v>1596</v>
      </c>
      <c r="D250" s="11" t="s">
        <v>4610</v>
      </c>
      <c r="E250" s="24" t="str">
        <f t="shared" si="129"/>
        <v>Ghana</v>
      </c>
      <c r="F250" s="11" t="s">
        <v>4611</v>
      </c>
      <c r="G250" s="11" t="s">
        <v>379</v>
      </c>
      <c r="H250" s="11" t="s">
        <v>380</v>
      </c>
      <c r="I250" s="11" t="s">
        <v>655</v>
      </c>
      <c r="J250" s="278" t="s">
        <v>4991</v>
      </c>
      <c r="BD250" s="23">
        <v>41946</v>
      </c>
      <c r="BE250" s="23">
        <v>43772</v>
      </c>
      <c r="BG250" s="11" t="s">
        <v>350</v>
      </c>
      <c r="BH250" s="22">
        <v>9340000</v>
      </c>
      <c r="BI250" s="11" t="s">
        <v>4612</v>
      </c>
      <c r="BJ250" s="11" t="s">
        <v>1309</v>
      </c>
      <c r="BK250" s="11" t="s">
        <v>4613</v>
      </c>
      <c r="BL250" s="11" t="s">
        <v>4614</v>
      </c>
      <c r="BM250" s="11" t="s">
        <v>4615</v>
      </c>
      <c r="BN250" s="11" t="s">
        <v>4616</v>
      </c>
      <c r="BO250" s="11" t="s">
        <v>319</v>
      </c>
      <c r="BP250" s="11" t="s">
        <v>320</v>
      </c>
      <c r="BQ250" s="11" t="s">
        <v>319</v>
      </c>
      <c r="BR250" s="11" t="s">
        <v>4617</v>
      </c>
      <c r="BS250" s="11" t="s">
        <v>322</v>
      </c>
      <c r="BT250" s="11" t="s">
        <v>4618</v>
      </c>
      <c r="BU250" s="11" t="s">
        <v>4619</v>
      </c>
      <c r="BV250" s="22">
        <v>108577</v>
      </c>
      <c r="BW250" s="22">
        <v>101437</v>
      </c>
      <c r="BX250" s="22">
        <v>210014</v>
      </c>
      <c r="BY250" s="22">
        <v>1072845</v>
      </c>
      <c r="BZ250" s="22">
        <v>1002291</v>
      </c>
      <c r="CA250" s="22">
        <v>2075136</v>
      </c>
      <c r="CB250" s="15" t="s">
        <v>4620</v>
      </c>
      <c r="CL250" s="18"/>
      <c r="CP250" s="18"/>
      <c r="CT250" s="18"/>
      <c r="CX250" s="18"/>
      <c r="DB250" s="18"/>
      <c r="DF250" s="18"/>
      <c r="DJ250" s="18"/>
      <c r="DN250" s="18"/>
      <c r="DR250" s="18"/>
      <c r="DV250" s="18"/>
      <c r="DZ250" s="18"/>
      <c r="ED250" s="18"/>
      <c r="EI250" s="18"/>
      <c r="EK250" s="22">
        <v>17285</v>
      </c>
      <c r="EL250" s="22">
        <v>21798</v>
      </c>
      <c r="EM250" s="22">
        <v>39083</v>
      </c>
      <c r="EN250" s="22">
        <v>1072845</v>
      </c>
      <c r="EO250" s="22">
        <v>1002291</v>
      </c>
      <c r="EP250" s="22">
        <v>2075136</v>
      </c>
      <c r="ES250" s="18"/>
      <c r="EW250" s="18"/>
      <c r="FA250" s="18"/>
      <c r="FE250" s="18"/>
      <c r="FI250" s="18"/>
      <c r="FM250" s="18"/>
      <c r="FQ250" s="18"/>
      <c r="FU250" s="18"/>
      <c r="FY250" s="18"/>
      <c r="GC250" s="18"/>
      <c r="GG250" s="18"/>
      <c r="GK250" s="18"/>
      <c r="GM250" s="11" t="s">
        <v>320</v>
      </c>
      <c r="GN250" s="22">
        <v>39083</v>
      </c>
      <c r="GO250" s="18">
        <v>0.44</v>
      </c>
      <c r="GP250" s="22">
        <v>2075136</v>
      </c>
      <c r="GS250" s="18"/>
      <c r="GW250" s="18"/>
      <c r="HA250" s="18"/>
      <c r="HF250" s="18"/>
      <c r="HH250" s="11" t="s">
        <v>320</v>
      </c>
      <c r="HI250" s="11" t="s">
        <v>416</v>
      </c>
      <c r="HJ250" s="11">
        <v>2017</v>
      </c>
      <c r="HK250" s="11" t="s">
        <v>319</v>
      </c>
      <c r="HL250" s="11" t="s">
        <v>319</v>
      </c>
      <c r="HO250" s="11" t="s">
        <v>4621</v>
      </c>
      <c r="HP250" s="11" t="s">
        <v>453</v>
      </c>
      <c r="HT250" s="11" t="s">
        <v>320</v>
      </c>
      <c r="HZ250" s="11" t="s">
        <v>331</v>
      </c>
      <c r="IA250" s="11" t="s">
        <v>4622</v>
      </c>
      <c r="IB250" s="11" t="s">
        <v>396</v>
      </c>
      <c r="IC250" s="11" t="s">
        <v>4623</v>
      </c>
      <c r="ID250" s="11" t="s">
        <v>364</v>
      </c>
      <c r="IE250" s="11" t="s">
        <v>335</v>
      </c>
      <c r="IF250" s="11" t="s">
        <v>320</v>
      </c>
      <c r="IG250" s="11" t="s">
        <v>320</v>
      </c>
      <c r="IH250" s="11" t="s">
        <v>320</v>
      </c>
      <c r="II250" s="11" t="s">
        <v>320</v>
      </c>
      <c r="IJ250" s="12" t="str">
        <f t="shared" si="130"/>
        <v>2. Sensitive</v>
      </c>
      <c r="IK250" s="12">
        <f t="shared" si="131"/>
        <v>4</v>
      </c>
      <c r="IL250" s="11" t="s">
        <v>621</v>
      </c>
      <c r="IM250" s="11" t="s">
        <v>320</v>
      </c>
      <c r="IN250" s="11" t="s">
        <v>320</v>
      </c>
      <c r="IO250" s="11" t="s">
        <v>320</v>
      </c>
      <c r="IP250" s="11" t="s">
        <v>320</v>
      </c>
      <c r="IQ250" s="12" t="str">
        <f t="shared" si="132"/>
        <v>4. Transformational</v>
      </c>
      <c r="IR250" s="12">
        <f t="shared" si="133"/>
        <v>4</v>
      </c>
      <c r="IS250" s="11" t="s">
        <v>337</v>
      </c>
      <c r="IT250" s="11" t="s">
        <v>320</v>
      </c>
      <c r="IU250" s="11" t="s">
        <v>320</v>
      </c>
      <c r="IV250" s="11" t="s">
        <v>320</v>
      </c>
      <c r="IW250" s="11" t="str">
        <f t="shared" si="134"/>
        <v>2. Sensitive</v>
      </c>
      <c r="IX250" s="12">
        <f t="shared" si="135"/>
        <v>3</v>
      </c>
      <c r="IY250" s="11" t="s">
        <v>338</v>
      </c>
      <c r="IZ250" s="11" t="s">
        <v>457</v>
      </c>
      <c r="JA250" s="11">
        <v>28</v>
      </c>
      <c r="JB250" s="11" t="s">
        <v>433</v>
      </c>
      <c r="JC250" s="11" t="s">
        <v>831</v>
      </c>
      <c r="JD250" s="11" t="s">
        <v>624</v>
      </c>
      <c r="JE250" s="11" t="s">
        <v>340</v>
      </c>
      <c r="JF250" s="11" t="s">
        <v>4624</v>
      </c>
      <c r="JG250" s="11" t="s">
        <v>4625</v>
      </c>
      <c r="JH250" s="11" t="s">
        <v>4626</v>
      </c>
      <c r="JI250" s="11" t="s">
        <v>4627</v>
      </c>
      <c r="JJ250" s="11" t="s">
        <v>4628</v>
      </c>
      <c r="JK250" s="11" t="s">
        <v>4629</v>
      </c>
      <c r="JL250" s="11" t="s">
        <v>4630</v>
      </c>
      <c r="JM250" s="11" t="s">
        <v>4631</v>
      </c>
      <c r="JN250" s="11" t="s">
        <v>4632</v>
      </c>
      <c r="JO250" s="11" t="s">
        <v>4633</v>
      </c>
      <c r="JP250" s="15">
        <f t="shared" si="136"/>
        <v>39083</v>
      </c>
      <c r="JQ250" s="15">
        <f t="shared" si="137"/>
        <v>2075136</v>
      </c>
      <c r="JR250" s="279">
        <f t="shared" si="138"/>
        <v>53.095617020187802</v>
      </c>
      <c r="JS250" s="17">
        <f t="shared" si="139"/>
        <v>0.44226389990532966</v>
      </c>
      <c r="JT250" s="18">
        <f t="shared" si="140"/>
        <v>0.51699984964840862</v>
      </c>
      <c r="JU250" s="280">
        <f t="shared" si="141"/>
        <v>17285</v>
      </c>
      <c r="JV250" s="280">
        <f t="shared" si="142"/>
        <v>1072845</v>
      </c>
      <c r="JW250" s="319" t="str">
        <f t="shared" si="143"/>
        <v/>
      </c>
      <c r="JX250" s="15">
        <f t="shared" si="144"/>
        <v>0</v>
      </c>
      <c r="JY250" s="15">
        <f t="shared" si="145"/>
        <v>0</v>
      </c>
      <c r="JZ250" s="19" t="str">
        <f t="shared" si="146"/>
        <v/>
      </c>
      <c r="KA250" s="52" t="str">
        <f t="shared" si="147"/>
        <v/>
      </c>
      <c r="KB250" s="15">
        <f t="shared" si="148"/>
        <v>0</v>
      </c>
      <c r="KC250" s="15">
        <f t="shared" si="149"/>
        <v>0</v>
      </c>
      <c r="KD250" s="20" t="str">
        <f t="shared" si="150"/>
        <v/>
      </c>
      <c r="KE250" s="52" t="str">
        <f t="shared" si="151"/>
        <v/>
      </c>
      <c r="KF250" s="15">
        <f t="shared" si="152"/>
        <v>0</v>
      </c>
      <c r="KG250" s="15">
        <f t="shared" si="153"/>
        <v>0</v>
      </c>
      <c r="KH250" s="21" t="str">
        <f t="shared" si="154"/>
        <v/>
      </c>
      <c r="KI250" s="52" t="str">
        <f t="shared" si="155"/>
        <v/>
      </c>
      <c r="KJ250" s="15">
        <f t="shared" si="156"/>
        <v>0</v>
      </c>
      <c r="KK250" s="15">
        <f t="shared" si="157"/>
        <v>0</v>
      </c>
      <c r="KL250" s="19" t="str">
        <f t="shared" si="158"/>
        <v/>
      </c>
      <c r="KM250" s="52" t="str">
        <f t="shared" si="159"/>
        <v/>
      </c>
      <c r="KN250" s="22">
        <f t="shared" si="160"/>
        <v>0</v>
      </c>
      <c r="KO250" s="22">
        <f t="shared" si="161"/>
        <v>0</v>
      </c>
      <c r="KP250" s="19" t="str">
        <f t="shared" si="162"/>
        <v/>
      </c>
      <c r="KQ250" s="11" t="str">
        <f t="shared" si="163"/>
        <v>2. Sensitive</v>
      </c>
      <c r="KR250" s="11" t="str">
        <f t="shared" si="164"/>
        <v>4. Transformational</v>
      </c>
      <c r="KS250" s="11" t="str">
        <f t="shared" si="165"/>
        <v>2. Sensitive</v>
      </c>
      <c r="KT250" s="11" t="str">
        <f t="shared" si="166"/>
        <v>It tested new ways for fighting poverty and measured results of innovation</v>
      </c>
      <c r="KU250" s="11" t="str">
        <f t="shared" si="167"/>
        <v>Intensive advocacy</v>
      </c>
      <c r="KV250" s="11" t="str">
        <f t="shared" si="168"/>
        <v>It linked and worked with strategic alliances and partners to take tested and effective solutions to scale</v>
      </c>
      <c r="KW250" s="11" t="str">
        <f t="shared" si="169"/>
        <v>Ghana - Ghana's  Strengthening Accountability Mechanisms(GSAM)  Project</v>
      </c>
      <c r="KX250" s="11" t="str">
        <f t="shared" si="170"/>
        <v>Ghana's  Strengthening Accountability Mechanisms(GSAM)  Project</v>
      </c>
      <c r="KY250" s="11" t="str">
        <f t="shared" si="171"/>
        <v>Ghana</v>
      </c>
      <c r="KZ250" s="12">
        <v>250</v>
      </c>
    </row>
    <row r="251" spans="1:312" x14ac:dyDescent="0.3">
      <c r="A251" s="11" t="s">
        <v>4471</v>
      </c>
      <c r="B251" s="11" t="s">
        <v>1596</v>
      </c>
      <c r="D251" s="11" t="s">
        <v>4516</v>
      </c>
      <c r="E251" s="24" t="str">
        <f t="shared" si="129"/>
        <v>Ghana</v>
      </c>
      <c r="F251" s="11" t="s">
        <v>4517</v>
      </c>
      <c r="G251" s="11" t="s">
        <v>4518</v>
      </c>
      <c r="H251" s="11" t="s">
        <v>310</v>
      </c>
      <c r="I251" s="11" t="s">
        <v>3742</v>
      </c>
      <c r="J251" s="278" t="s">
        <v>14634</v>
      </c>
      <c r="K251" s="11" t="s">
        <v>4519</v>
      </c>
      <c r="L251" s="11" t="s">
        <v>4518</v>
      </c>
      <c r="M251" s="11" t="s">
        <v>383</v>
      </c>
      <c r="N251" s="11" t="s">
        <v>384</v>
      </c>
      <c r="O251" s="11" t="s">
        <v>4520</v>
      </c>
      <c r="BD251" s="23">
        <v>42416</v>
      </c>
      <c r="BE251" s="23">
        <v>43511</v>
      </c>
      <c r="BG251" s="11" t="s">
        <v>312</v>
      </c>
      <c r="BI251" s="26" t="s">
        <v>4521</v>
      </c>
      <c r="BJ251" s="11" t="s">
        <v>4522</v>
      </c>
      <c r="BK251" s="11" t="s">
        <v>4523</v>
      </c>
      <c r="BL251" s="11" t="s">
        <v>4524</v>
      </c>
      <c r="BM251" s="11" t="s">
        <v>4525</v>
      </c>
      <c r="BN251" s="11" t="s">
        <v>4526</v>
      </c>
      <c r="BO251" s="12" t="s">
        <v>319</v>
      </c>
      <c r="BP251" s="12" t="s">
        <v>320</v>
      </c>
      <c r="BQ251" s="12" t="s">
        <v>319</v>
      </c>
      <c r="BR251" s="11" t="s">
        <v>4527</v>
      </c>
      <c r="BS251" s="11" t="s">
        <v>357</v>
      </c>
      <c r="BT251" s="11" t="s">
        <v>4528</v>
      </c>
      <c r="BU251" s="11" t="s">
        <v>4529</v>
      </c>
      <c r="BV251" s="22">
        <v>3265</v>
      </c>
      <c r="BW251" s="22">
        <v>817</v>
      </c>
      <c r="BX251" s="22">
        <v>4082</v>
      </c>
      <c r="BY251" s="22">
        <v>23892</v>
      </c>
      <c r="BZ251" s="22">
        <v>22955</v>
      </c>
      <c r="CA251" s="22">
        <v>46847</v>
      </c>
      <c r="CB251" s="15" t="s">
        <v>4530</v>
      </c>
      <c r="CL251" s="18"/>
      <c r="CP251" s="18"/>
      <c r="CT251" s="18"/>
      <c r="CX251" s="18"/>
      <c r="DB251" s="18"/>
      <c r="DF251" s="18"/>
      <c r="DJ251" s="18"/>
      <c r="DN251" s="18"/>
      <c r="DR251" s="18"/>
      <c r="DV251" s="18"/>
      <c r="DZ251" s="18"/>
      <c r="ED251" s="18"/>
      <c r="EI251" s="18"/>
      <c r="EK251" s="22">
        <v>3265</v>
      </c>
      <c r="EL251" s="22">
        <v>817</v>
      </c>
      <c r="EM251" s="22">
        <v>4082</v>
      </c>
      <c r="EN251" s="22">
        <v>19590</v>
      </c>
      <c r="EO251" s="22">
        <v>4902</v>
      </c>
      <c r="EP251" s="22">
        <v>24492</v>
      </c>
      <c r="ES251" s="18"/>
      <c r="EW251" s="18"/>
      <c r="FA251" s="18"/>
      <c r="FE251" s="18"/>
      <c r="FI251" s="18"/>
      <c r="FM251" s="18"/>
      <c r="FO251" s="12" t="s">
        <v>320</v>
      </c>
      <c r="FP251" s="22">
        <v>4082</v>
      </c>
      <c r="FQ251" s="18">
        <v>0.8</v>
      </c>
      <c r="FR251" s="22">
        <v>24492</v>
      </c>
      <c r="FU251" s="18"/>
      <c r="FY251" s="18"/>
      <c r="GC251" s="18"/>
      <c r="GG251" s="18"/>
      <c r="GK251" s="18"/>
      <c r="GO251" s="18"/>
      <c r="GS251" s="18"/>
      <c r="GW251" s="18"/>
      <c r="GY251" s="11" t="s">
        <v>320</v>
      </c>
      <c r="GZ251" s="22">
        <v>3802</v>
      </c>
      <c r="HA251" s="18">
        <v>0.84399999999999997</v>
      </c>
      <c r="HB251" s="22">
        <v>22812</v>
      </c>
      <c r="HF251" s="18"/>
      <c r="HH251" s="11" t="s">
        <v>320</v>
      </c>
      <c r="HI251" s="11" t="s">
        <v>327</v>
      </c>
      <c r="HJ251" s="11">
        <v>2016</v>
      </c>
      <c r="HK251" s="11" t="s">
        <v>319</v>
      </c>
      <c r="HL251" s="11" t="s">
        <v>319</v>
      </c>
      <c r="HO251" s="11" t="s">
        <v>4531</v>
      </c>
      <c r="HP251" s="11" t="s">
        <v>330</v>
      </c>
      <c r="HQ251" s="11" t="s">
        <v>319</v>
      </c>
      <c r="HR251" s="11" t="s">
        <v>319</v>
      </c>
      <c r="HT251" s="11" t="s">
        <v>319</v>
      </c>
      <c r="HU251" s="11" t="s">
        <v>319</v>
      </c>
      <c r="HW251" s="11" t="s">
        <v>319</v>
      </c>
      <c r="HX251" s="11" t="s">
        <v>320</v>
      </c>
      <c r="HY251" s="11" t="s">
        <v>4532</v>
      </c>
      <c r="HZ251" s="11" t="s">
        <v>363</v>
      </c>
      <c r="IB251" s="11" t="s">
        <v>396</v>
      </c>
      <c r="IC251" s="11" t="s">
        <v>4533</v>
      </c>
      <c r="ID251" s="11" t="s">
        <v>364</v>
      </c>
      <c r="IE251" s="11" t="s">
        <v>335</v>
      </c>
      <c r="IF251" s="11" t="s">
        <v>320</v>
      </c>
      <c r="IG251" s="11" t="s">
        <v>320</v>
      </c>
      <c r="IH251" s="11" t="s">
        <v>320</v>
      </c>
      <c r="II251" s="11" t="s">
        <v>320</v>
      </c>
      <c r="IJ251" s="12" t="str">
        <f t="shared" si="130"/>
        <v>2. Sensitive</v>
      </c>
      <c r="IK251" s="12">
        <f t="shared" si="131"/>
        <v>4</v>
      </c>
      <c r="IQ251" s="12" t="str">
        <f t="shared" si="132"/>
        <v>No marker score</v>
      </c>
      <c r="IR251" s="12">
        <f t="shared" si="133"/>
        <v>0</v>
      </c>
      <c r="IW251" s="11" t="str">
        <f t="shared" si="134"/>
        <v>No marker score</v>
      </c>
      <c r="IX251" s="12">
        <f t="shared" si="135"/>
        <v>0</v>
      </c>
      <c r="IY251" s="11" t="s">
        <v>338</v>
      </c>
      <c r="IZ251" s="11" t="s">
        <v>457</v>
      </c>
      <c r="JB251" s="11" t="s">
        <v>433</v>
      </c>
      <c r="JE251" s="11" t="s">
        <v>420</v>
      </c>
      <c r="JH251" s="11" t="s">
        <v>4534</v>
      </c>
      <c r="JI251" s="11" t="s">
        <v>4535</v>
      </c>
      <c r="JJ251" s="11" t="s">
        <v>4536</v>
      </c>
      <c r="JK251" s="11" t="s">
        <v>4537</v>
      </c>
      <c r="JL251" s="11" t="s">
        <v>4538</v>
      </c>
      <c r="JM251" s="11" t="s">
        <v>4539</v>
      </c>
      <c r="JO251" s="11" t="s">
        <v>4540</v>
      </c>
      <c r="JP251" s="15">
        <f t="shared" si="136"/>
        <v>4082</v>
      </c>
      <c r="JQ251" s="15">
        <f t="shared" si="137"/>
        <v>24492</v>
      </c>
      <c r="JR251" s="279">
        <f t="shared" si="138"/>
        <v>6</v>
      </c>
      <c r="JS251" s="17">
        <f t="shared" si="139"/>
        <v>0.79985301322880942</v>
      </c>
      <c r="JT251" s="18">
        <f t="shared" si="140"/>
        <v>0.79985301322880942</v>
      </c>
      <c r="JU251" s="280">
        <f t="shared" si="141"/>
        <v>3265</v>
      </c>
      <c r="JV251" s="280">
        <f t="shared" si="142"/>
        <v>19590</v>
      </c>
      <c r="JW251" s="319" t="str">
        <f t="shared" si="143"/>
        <v/>
      </c>
      <c r="JX251" s="15">
        <f t="shared" si="144"/>
        <v>0</v>
      </c>
      <c r="JY251" s="15">
        <f t="shared" si="145"/>
        <v>0</v>
      </c>
      <c r="JZ251" s="19" t="str">
        <f t="shared" si="146"/>
        <v/>
      </c>
      <c r="KA251" s="52">
        <f t="shared" si="147"/>
        <v>1</v>
      </c>
      <c r="KB251" s="15">
        <f t="shared" si="148"/>
        <v>4082</v>
      </c>
      <c r="KC251" s="15">
        <f t="shared" si="149"/>
        <v>24492</v>
      </c>
      <c r="KD251" s="20">
        <f t="shared" si="150"/>
        <v>6</v>
      </c>
      <c r="KE251" s="52" t="str">
        <f t="shared" si="151"/>
        <v/>
      </c>
      <c r="KF251" s="15">
        <f t="shared" si="152"/>
        <v>0</v>
      </c>
      <c r="KG251" s="15">
        <f t="shared" si="153"/>
        <v>0</v>
      </c>
      <c r="KH251" s="21" t="str">
        <f t="shared" si="154"/>
        <v/>
      </c>
      <c r="KI251" s="52" t="str">
        <f t="shared" si="155"/>
        <v/>
      </c>
      <c r="KJ251" s="15">
        <f t="shared" si="156"/>
        <v>0</v>
      </c>
      <c r="KK251" s="15">
        <f t="shared" si="157"/>
        <v>0</v>
      </c>
      <c r="KL251" s="19" t="str">
        <f t="shared" si="158"/>
        <v/>
      </c>
      <c r="KM251" s="52">
        <f t="shared" si="159"/>
        <v>1</v>
      </c>
      <c r="KN251" s="22">
        <f t="shared" si="160"/>
        <v>3802</v>
      </c>
      <c r="KO251" s="22">
        <f t="shared" si="161"/>
        <v>22812</v>
      </c>
      <c r="KP251" s="19">
        <f t="shared" si="162"/>
        <v>6</v>
      </c>
      <c r="KQ251" s="11" t="str">
        <f t="shared" si="163"/>
        <v>2. Sensitive</v>
      </c>
      <c r="KR251" s="11" t="str">
        <f t="shared" si="164"/>
        <v>No marker score</v>
      </c>
      <c r="KS251" s="11" t="str">
        <f t="shared" si="165"/>
        <v>No marker score</v>
      </c>
      <c r="KT251" s="11" t="str">
        <f t="shared" si="166"/>
        <v>It did not develop any specific innovation</v>
      </c>
      <c r="KU251" s="11" t="str">
        <f t="shared" si="167"/>
        <v>Moderate advocacy</v>
      </c>
      <c r="KV251" s="11" t="str">
        <f t="shared" si="168"/>
        <v>It linked and worked with strategic alliances and partners to take tested and effective solutions to scale</v>
      </c>
      <c r="KW251" s="11" t="str">
        <f t="shared" si="169"/>
        <v>Ghana - Good Growh Project</v>
      </c>
      <c r="KX251" s="11" t="str">
        <f t="shared" si="170"/>
        <v>Good Growh Project</v>
      </c>
      <c r="KY251" s="11" t="str">
        <f t="shared" si="171"/>
        <v>Ghana</v>
      </c>
      <c r="KZ251" s="12">
        <v>251</v>
      </c>
    </row>
    <row r="252" spans="1:312" x14ac:dyDescent="0.3">
      <c r="A252" s="11" t="s">
        <v>4471</v>
      </c>
      <c r="B252" s="11" t="s">
        <v>1596</v>
      </c>
      <c r="D252" s="11" t="s">
        <v>4561</v>
      </c>
      <c r="E252" s="24" t="str">
        <f t="shared" si="129"/>
        <v>Ghana</v>
      </c>
      <c r="F252" s="11" t="s">
        <v>4562</v>
      </c>
      <c r="G252" s="11" t="s">
        <v>488</v>
      </c>
      <c r="H252" s="11" t="s">
        <v>383</v>
      </c>
      <c r="I252" s="11" t="s">
        <v>384</v>
      </c>
      <c r="J252" s="278" t="s">
        <v>4563</v>
      </c>
      <c r="BD252" s="23">
        <v>42125</v>
      </c>
      <c r="BE252" s="23">
        <v>43220</v>
      </c>
      <c r="BG252" s="11" t="s">
        <v>749</v>
      </c>
      <c r="BH252" s="22">
        <v>587834</v>
      </c>
      <c r="BI252" s="11" t="s">
        <v>4564</v>
      </c>
      <c r="BJ252" s="11" t="s">
        <v>4565</v>
      </c>
      <c r="BK252" s="11" t="s">
        <v>4566</v>
      </c>
      <c r="BL252" s="11" t="s">
        <v>4567</v>
      </c>
      <c r="BM252" s="11" t="s">
        <v>4568</v>
      </c>
      <c r="BN252" s="11" t="s">
        <v>4569</v>
      </c>
      <c r="BO252" s="12" t="s">
        <v>319</v>
      </c>
      <c r="BP252" s="12" t="s">
        <v>320</v>
      </c>
      <c r="BQ252" s="12" t="s">
        <v>319</v>
      </c>
      <c r="BR252" s="11" t="s">
        <v>4570</v>
      </c>
      <c r="BS252" s="11" t="s">
        <v>357</v>
      </c>
      <c r="BT252" s="11" t="s">
        <v>4571</v>
      </c>
      <c r="BU252" s="11" t="s">
        <v>4572</v>
      </c>
      <c r="BV252" s="22">
        <v>3000</v>
      </c>
      <c r="BX252" s="22">
        <v>3000</v>
      </c>
      <c r="BY252" s="22">
        <v>9306</v>
      </c>
      <c r="BZ252" s="22">
        <v>8694</v>
      </c>
      <c r="CA252" s="22">
        <v>18000</v>
      </c>
      <c r="CB252" s="15" t="s">
        <v>4573</v>
      </c>
      <c r="CL252" s="18"/>
      <c r="CP252" s="18"/>
      <c r="CT252" s="18"/>
      <c r="CX252" s="18"/>
      <c r="DB252" s="18"/>
      <c r="DF252" s="18"/>
      <c r="DJ252" s="18"/>
      <c r="DN252" s="18"/>
      <c r="DR252" s="18"/>
      <c r="DV252" s="18"/>
      <c r="DZ252" s="18"/>
      <c r="ED252" s="18"/>
      <c r="EI252" s="18"/>
      <c r="EK252" s="22">
        <v>2559</v>
      </c>
      <c r="EL252" s="22">
        <v>387</v>
      </c>
      <c r="EM252" s="22">
        <v>2946</v>
      </c>
      <c r="EN252" s="22">
        <v>15354</v>
      </c>
      <c r="EO252" s="22">
        <v>2322</v>
      </c>
      <c r="EP252" s="22">
        <v>17676</v>
      </c>
      <c r="EQ252" s="12" t="s">
        <v>320</v>
      </c>
      <c r="ER252" s="22">
        <v>2559</v>
      </c>
      <c r="ES252" s="18">
        <v>0.85299999999999998</v>
      </c>
      <c r="ET252" s="22">
        <v>15354</v>
      </c>
      <c r="EU252" s="11" t="s">
        <v>320</v>
      </c>
      <c r="EV252" s="22">
        <v>2559</v>
      </c>
      <c r="EW252" s="18">
        <v>0.85</v>
      </c>
      <c r="EX252" s="22">
        <v>15354</v>
      </c>
      <c r="FA252" s="18"/>
      <c r="FE252" s="18"/>
      <c r="FI252" s="18"/>
      <c r="FM252" s="18"/>
      <c r="FO252" s="12" t="s">
        <v>320</v>
      </c>
      <c r="FP252" s="22">
        <v>2559</v>
      </c>
      <c r="FQ252" s="18">
        <v>0.85</v>
      </c>
      <c r="FR252" s="22">
        <v>15354</v>
      </c>
      <c r="FU252" s="18"/>
      <c r="FW252" s="11" t="s">
        <v>320</v>
      </c>
      <c r="FX252" s="22">
        <v>2559</v>
      </c>
      <c r="FY252" s="18">
        <v>0.85</v>
      </c>
      <c r="FZ252" s="22">
        <v>15354</v>
      </c>
      <c r="GC252" s="18"/>
      <c r="GG252" s="18"/>
      <c r="GK252" s="18"/>
      <c r="GO252" s="18"/>
      <c r="GS252" s="18"/>
      <c r="GW252" s="18"/>
      <c r="HA252" s="18"/>
      <c r="HF252" s="18"/>
      <c r="HL252" s="11" t="s">
        <v>320</v>
      </c>
      <c r="HM252" s="11" t="s">
        <v>560</v>
      </c>
      <c r="HN252" s="11">
        <v>2018</v>
      </c>
      <c r="HO252" s="11" t="s">
        <v>4574</v>
      </c>
      <c r="HP252" s="11" t="s">
        <v>330</v>
      </c>
      <c r="HQ252" s="11" t="s">
        <v>319</v>
      </c>
      <c r="HR252" s="11" t="s">
        <v>319</v>
      </c>
      <c r="HS252" s="11" t="s">
        <v>320</v>
      </c>
      <c r="HT252" s="11" t="s">
        <v>320</v>
      </c>
      <c r="HU252" s="11" t="s">
        <v>319</v>
      </c>
      <c r="HV252" s="11" t="s">
        <v>319</v>
      </c>
      <c r="HW252" s="11" t="s">
        <v>319</v>
      </c>
      <c r="HX252" s="11" t="s">
        <v>320</v>
      </c>
      <c r="HZ252" s="11" t="s">
        <v>394</v>
      </c>
      <c r="IA252" s="11" t="s">
        <v>4575</v>
      </c>
      <c r="IB252" s="11" t="s">
        <v>396</v>
      </c>
      <c r="IC252" s="11" t="s">
        <v>4576</v>
      </c>
      <c r="ID252" s="11" t="s">
        <v>334</v>
      </c>
      <c r="IE252" s="11" t="s">
        <v>478</v>
      </c>
      <c r="IF252" s="11" t="s">
        <v>320</v>
      </c>
      <c r="IG252" s="11" t="s">
        <v>320</v>
      </c>
      <c r="IH252" s="11" t="s">
        <v>320</v>
      </c>
      <c r="II252" s="11" t="s">
        <v>320</v>
      </c>
      <c r="IJ252" s="12" t="str">
        <f t="shared" si="130"/>
        <v>4. Transformative</v>
      </c>
      <c r="IK252" s="12">
        <f t="shared" si="131"/>
        <v>4</v>
      </c>
      <c r="IL252" s="11" t="s">
        <v>336</v>
      </c>
      <c r="IM252" s="11" t="s">
        <v>320</v>
      </c>
      <c r="IN252" s="11" t="s">
        <v>320</v>
      </c>
      <c r="IO252" s="11" t="s">
        <v>320</v>
      </c>
      <c r="IP252" s="11" t="s">
        <v>320</v>
      </c>
      <c r="IQ252" s="12" t="str">
        <f t="shared" si="132"/>
        <v>2. Accommodating</v>
      </c>
      <c r="IR252" s="12">
        <f t="shared" si="133"/>
        <v>4</v>
      </c>
      <c r="IS252" s="11" t="s">
        <v>337</v>
      </c>
      <c r="IT252" s="11" t="s">
        <v>320</v>
      </c>
      <c r="IU252" s="11" t="s">
        <v>320</v>
      </c>
      <c r="IV252" s="11" t="s">
        <v>320</v>
      </c>
      <c r="IW252" s="11" t="str">
        <f t="shared" si="134"/>
        <v>2. Sensitive</v>
      </c>
      <c r="IX252" s="12">
        <f t="shared" si="135"/>
        <v>3</v>
      </c>
      <c r="IY252" s="11" t="s">
        <v>758</v>
      </c>
      <c r="IZ252" s="11" t="s">
        <v>432</v>
      </c>
      <c r="JA252" s="11">
        <v>3</v>
      </c>
      <c r="JB252" s="11" t="s">
        <v>433</v>
      </c>
      <c r="JC252" s="11" t="s">
        <v>687</v>
      </c>
      <c r="JD252" s="11" t="s">
        <v>585</v>
      </c>
      <c r="JE252" s="11" t="s">
        <v>365</v>
      </c>
      <c r="JF252" s="11" t="s">
        <v>4577</v>
      </c>
      <c r="JG252" s="11" t="s">
        <v>4578</v>
      </c>
      <c r="JH252" s="11" t="s">
        <v>4579</v>
      </c>
      <c r="JI252" s="11" t="s">
        <v>4580</v>
      </c>
      <c r="JJ252" s="11" t="s">
        <v>4581</v>
      </c>
      <c r="JK252" s="11" t="s">
        <v>4582</v>
      </c>
      <c r="JL252" s="11" t="s">
        <v>4583</v>
      </c>
      <c r="JM252" s="11" t="s">
        <v>4584</v>
      </c>
      <c r="JN252" s="11" t="s">
        <v>4585</v>
      </c>
      <c r="JO252" s="11" t="s">
        <v>4586</v>
      </c>
      <c r="JP252" s="15">
        <f t="shared" si="136"/>
        <v>2946</v>
      </c>
      <c r="JQ252" s="15">
        <f t="shared" si="137"/>
        <v>17676</v>
      </c>
      <c r="JR252" s="279">
        <f t="shared" si="138"/>
        <v>6</v>
      </c>
      <c r="JS252" s="17">
        <f t="shared" si="139"/>
        <v>0.8686354378818737</v>
      </c>
      <c r="JT252" s="18">
        <f t="shared" si="140"/>
        <v>0.8686354378818737</v>
      </c>
      <c r="JU252" s="280">
        <f t="shared" si="141"/>
        <v>2559</v>
      </c>
      <c r="JV252" s="280">
        <f t="shared" si="142"/>
        <v>15354</v>
      </c>
      <c r="JW252" s="319" t="str">
        <f t="shared" si="143"/>
        <v/>
      </c>
      <c r="JX252" s="15">
        <f t="shared" si="144"/>
        <v>0</v>
      </c>
      <c r="JY252" s="15">
        <f t="shared" si="145"/>
        <v>0</v>
      </c>
      <c r="JZ252" s="19" t="str">
        <f t="shared" si="146"/>
        <v/>
      </c>
      <c r="KA252" s="52">
        <f t="shared" si="147"/>
        <v>1</v>
      </c>
      <c r="KB252" s="15">
        <f t="shared" si="148"/>
        <v>2559</v>
      </c>
      <c r="KC252" s="15">
        <f t="shared" si="149"/>
        <v>15354</v>
      </c>
      <c r="KD252" s="20">
        <f t="shared" si="150"/>
        <v>6</v>
      </c>
      <c r="KE252" s="52" t="str">
        <f t="shared" si="151"/>
        <v/>
      </c>
      <c r="KF252" s="15">
        <f t="shared" si="152"/>
        <v>0</v>
      </c>
      <c r="KG252" s="15">
        <f t="shared" si="153"/>
        <v>0</v>
      </c>
      <c r="KH252" s="21" t="str">
        <f t="shared" si="154"/>
        <v/>
      </c>
      <c r="KI252" s="52" t="str">
        <f t="shared" si="155"/>
        <v/>
      </c>
      <c r="KJ252" s="15">
        <f t="shared" si="156"/>
        <v>0</v>
      </c>
      <c r="KK252" s="15">
        <f t="shared" si="157"/>
        <v>0</v>
      </c>
      <c r="KL252" s="19" t="str">
        <f t="shared" si="158"/>
        <v/>
      </c>
      <c r="KM252" s="52" t="str">
        <f t="shared" si="159"/>
        <v/>
      </c>
      <c r="KN252" s="22">
        <f t="shared" si="160"/>
        <v>0</v>
      </c>
      <c r="KO252" s="22">
        <f t="shared" si="161"/>
        <v>0</v>
      </c>
      <c r="KP252" s="19" t="str">
        <f t="shared" si="162"/>
        <v/>
      </c>
      <c r="KQ252" s="11" t="str">
        <f t="shared" si="163"/>
        <v>4. Transformative</v>
      </c>
      <c r="KR252" s="11" t="str">
        <f t="shared" si="164"/>
        <v>2. Accommodating</v>
      </c>
      <c r="KS252" s="11" t="str">
        <f t="shared" si="165"/>
        <v>2. Sensitive</v>
      </c>
      <c r="KT252" s="11" t="str">
        <f t="shared" si="166"/>
        <v>It tested new ways for fighting poverty, but did not measure results of innovation</v>
      </c>
      <c r="KU252" s="11" t="str">
        <f t="shared" si="167"/>
        <v>Moderate advocacy</v>
      </c>
      <c r="KV252" s="11" t="str">
        <f t="shared" si="168"/>
        <v>It linked and worked with strategic alliances and partners to take tested and effective solutions to scale</v>
      </c>
      <c r="KW252" s="11" t="str">
        <f t="shared" si="169"/>
        <v>Ghana - Household Economic Security for Poor women (HESP)</v>
      </c>
      <c r="KX252" s="11" t="str">
        <f t="shared" si="170"/>
        <v>Household Economic Security for Poor women (HESP)</v>
      </c>
      <c r="KY252" s="11" t="str">
        <f t="shared" si="171"/>
        <v>Ghana</v>
      </c>
      <c r="KZ252" s="12">
        <v>252</v>
      </c>
    </row>
    <row r="253" spans="1:312" x14ac:dyDescent="0.3">
      <c r="A253" s="11" t="s">
        <v>4471</v>
      </c>
      <c r="B253" s="11" t="s">
        <v>1596</v>
      </c>
      <c r="D253" s="11" t="s">
        <v>4722</v>
      </c>
      <c r="E253" s="24" t="str">
        <f t="shared" si="129"/>
        <v>Ghana</v>
      </c>
      <c r="G253" s="12" t="s">
        <v>608</v>
      </c>
      <c r="H253" s="11" t="s">
        <v>380</v>
      </c>
      <c r="I253" s="11" t="s">
        <v>381</v>
      </c>
      <c r="J253" s="278" t="s">
        <v>14635</v>
      </c>
      <c r="BD253" s="23">
        <v>41791</v>
      </c>
      <c r="BE253" s="23">
        <v>42825</v>
      </c>
      <c r="BG253" s="11" t="s">
        <v>350</v>
      </c>
      <c r="BH253" s="22">
        <v>2070235</v>
      </c>
      <c r="BI253" s="11" t="s">
        <v>4543</v>
      </c>
      <c r="BJ253" s="11" t="s">
        <v>4723</v>
      </c>
      <c r="BK253" s="11" t="s">
        <v>4724</v>
      </c>
      <c r="BL253" s="11" t="s">
        <v>4725</v>
      </c>
      <c r="BM253" s="11" t="s">
        <v>1761</v>
      </c>
      <c r="BN253" s="11" t="s">
        <v>4726</v>
      </c>
      <c r="BO253" s="11" t="s">
        <v>319</v>
      </c>
      <c r="BP253" s="11" t="s">
        <v>320</v>
      </c>
      <c r="BQ253" s="11" t="s">
        <v>319</v>
      </c>
      <c r="BR253" s="11" t="s">
        <v>4727</v>
      </c>
      <c r="BS253" s="11" t="s">
        <v>357</v>
      </c>
      <c r="BT253" s="11" t="s">
        <v>4728</v>
      </c>
      <c r="BU253" s="11" t="s">
        <v>4729</v>
      </c>
      <c r="BV253" s="22">
        <v>55875</v>
      </c>
      <c r="BW253" s="22">
        <v>16625</v>
      </c>
      <c r="BX253" s="22">
        <v>72500</v>
      </c>
      <c r="BY253" s="22">
        <v>318487</v>
      </c>
      <c r="BZ253" s="22">
        <v>94762</v>
      </c>
      <c r="CA253" s="22">
        <v>413249</v>
      </c>
      <c r="CL253" s="18"/>
      <c r="CP253" s="18"/>
      <c r="CT253" s="18"/>
      <c r="CX253" s="18"/>
      <c r="DB253" s="18"/>
      <c r="DF253" s="18"/>
      <c r="DJ253" s="18"/>
      <c r="DN253" s="18"/>
      <c r="DR253" s="18"/>
      <c r="DV253" s="18"/>
      <c r="DZ253" s="18"/>
      <c r="ED253" s="18"/>
      <c r="EI253" s="18"/>
      <c r="EK253" s="22">
        <v>69074</v>
      </c>
      <c r="EL253" s="22">
        <v>20633</v>
      </c>
      <c r="EM253" s="22">
        <v>89707</v>
      </c>
      <c r="EN253" s="22">
        <v>393721</v>
      </c>
      <c r="EO253" s="22">
        <v>117608</v>
      </c>
      <c r="EP253" s="22">
        <v>511329</v>
      </c>
      <c r="EQ253" s="12" t="s">
        <v>319</v>
      </c>
      <c r="ES253" s="18"/>
      <c r="EU253" s="11" t="s">
        <v>319</v>
      </c>
      <c r="EW253" s="18"/>
      <c r="EY253" s="12" t="s">
        <v>319</v>
      </c>
      <c r="FA253" s="18"/>
      <c r="FC253" s="12" t="s">
        <v>319</v>
      </c>
      <c r="FE253" s="18"/>
      <c r="FG253" s="12" t="s">
        <v>319</v>
      </c>
      <c r="FI253" s="18"/>
      <c r="FK253" s="11" t="s">
        <v>319</v>
      </c>
      <c r="FM253" s="18"/>
      <c r="FO253" s="11" t="s">
        <v>319</v>
      </c>
      <c r="FQ253" s="18"/>
      <c r="FS253" s="11" t="s">
        <v>319</v>
      </c>
      <c r="FU253" s="18"/>
      <c r="FW253" s="11" t="s">
        <v>319</v>
      </c>
      <c r="FY253" s="18"/>
      <c r="GA253" s="11" t="s">
        <v>319</v>
      </c>
      <c r="GC253" s="18"/>
      <c r="GE253" s="11" t="s">
        <v>319</v>
      </c>
      <c r="GG253" s="18"/>
      <c r="GI253" s="11" t="s">
        <v>319</v>
      </c>
      <c r="GK253" s="18"/>
      <c r="GM253" s="11" t="s">
        <v>319</v>
      </c>
      <c r="GO253" s="18"/>
      <c r="GQ253" s="11" t="s">
        <v>319</v>
      </c>
      <c r="GS253" s="18"/>
      <c r="GU253" s="11" t="s">
        <v>319</v>
      </c>
      <c r="GW253" s="18"/>
      <c r="GY253" s="11" t="s">
        <v>320</v>
      </c>
      <c r="GZ253" s="22">
        <v>69074</v>
      </c>
      <c r="HA253" s="18">
        <v>0.77</v>
      </c>
      <c r="HB253" s="22">
        <v>393721</v>
      </c>
      <c r="HF253" s="18"/>
      <c r="HH253" s="11" t="s">
        <v>319</v>
      </c>
      <c r="HK253" s="11" t="s">
        <v>319</v>
      </c>
      <c r="HO253" s="11" t="s">
        <v>4730</v>
      </c>
      <c r="HP253" s="11" t="s">
        <v>330</v>
      </c>
      <c r="HQ253" s="11" t="s">
        <v>320</v>
      </c>
      <c r="HT253" s="11" t="s">
        <v>319</v>
      </c>
      <c r="HW253" s="11" t="s">
        <v>319</v>
      </c>
      <c r="HZ253" s="11" t="s">
        <v>331</v>
      </c>
      <c r="IA253" s="11" t="s">
        <v>4731</v>
      </c>
      <c r="IB253" s="11" t="s">
        <v>396</v>
      </c>
      <c r="IC253" s="11" t="s">
        <v>4732</v>
      </c>
      <c r="ID253" s="11" t="s">
        <v>364</v>
      </c>
      <c r="IE253" s="11" t="s">
        <v>335</v>
      </c>
      <c r="IF253" s="11" t="s">
        <v>320</v>
      </c>
      <c r="IG253" s="11" t="s">
        <v>320</v>
      </c>
      <c r="IH253" s="11" t="s">
        <v>320</v>
      </c>
      <c r="II253" s="11" t="s">
        <v>320</v>
      </c>
      <c r="IJ253" s="12" t="str">
        <f t="shared" si="130"/>
        <v>2. Sensitive</v>
      </c>
      <c r="IK253" s="12">
        <f t="shared" si="131"/>
        <v>4</v>
      </c>
      <c r="IL253" s="11" t="s">
        <v>336</v>
      </c>
      <c r="IM253" s="11" t="s">
        <v>319</v>
      </c>
      <c r="IN253" s="11" t="s">
        <v>319</v>
      </c>
      <c r="IO253" s="11" t="s">
        <v>319</v>
      </c>
      <c r="IP253" s="11" t="s">
        <v>319</v>
      </c>
      <c r="IQ253" s="12" t="str">
        <f t="shared" si="132"/>
        <v>0. Unaware</v>
      </c>
      <c r="IR253" s="12">
        <f t="shared" si="133"/>
        <v>0</v>
      </c>
      <c r="IS253" s="11" t="s">
        <v>337</v>
      </c>
      <c r="IT253" s="11" t="s">
        <v>320</v>
      </c>
      <c r="IU253" s="11" t="s">
        <v>320</v>
      </c>
      <c r="IV253" s="11" t="s">
        <v>320</v>
      </c>
      <c r="IW253" s="11" t="str">
        <f t="shared" si="134"/>
        <v>2. Sensitive</v>
      </c>
      <c r="IX253" s="12">
        <f t="shared" si="135"/>
        <v>3</v>
      </c>
      <c r="IY253" s="11" t="s">
        <v>338</v>
      </c>
      <c r="IZ253" s="11" t="s">
        <v>457</v>
      </c>
      <c r="JA253" s="11">
        <v>6</v>
      </c>
      <c r="JB253" s="11" t="s">
        <v>433</v>
      </c>
      <c r="JC253" s="11" t="s">
        <v>724</v>
      </c>
      <c r="JE253" s="11" t="s">
        <v>340</v>
      </c>
      <c r="JF253" s="11" t="s">
        <v>4733</v>
      </c>
      <c r="JG253" s="11" t="s">
        <v>4734</v>
      </c>
      <c r="JH253" s="11" t="s">
        <v>4735</v>
      </c>
      <c r="JI253" s="11" t="s">
        <v>4736</v>
      </c>
      <c r="JJ253" s="11" t="s">
        <v>4737</v>
      </c>
      <c r="JK253" s="11" t="s">
        <v>4738</v>
      </c>
      <c r="JL253" s="11" t="s">
        <v>4739</v>
      </c>
      <c r="JM253" s="11" t="s">
        <v>4740</v>
      </c>
      <c r="JN253" s="11" t="s">
        <v>4741</v>
      </c>
      <c r="JO253" s="11" t="s">
        <v>4742</v>
      </c>
      <c r="JP253" s="15">
        <f t="shared" si="136"/>
        <v>89707</v>
      </c>
      <c r="JQ253" s="15">
        <f t="shared" si="137"/>
        <v>511329</v>
      </c>
      <c r="JR253" s="279">
        <f t="shared" si="138"/>
        <v>5.6999899673381123</v>
      </c>
      <c r="JS253" s="17">
        <f t="shared" si="139"/>
        <v>0.76999565251318181</v>
      </c>
      <c r="JT253" s="18">
        <f t="shared" si="140"/>
        <v>0.76999544324691149</v>
      </c>
      <c r="JU253" s="280">
        <f t="shared" si="141"/>
        <v>69074</v>
      </c>
      <c r="JV253" s="280">
        <f t="shared" si="142"/>
        <v>393721</v>
      </c>
      <c r="JW253" s="319" t="str">
        <f t="shared" si="143"/>
        <v/>
      </c>
      <c r="JX253" s="15">
        <f t="shared" si="144"/>
        <v>0</v>
      </c>
      <c r="JY253" s="15">
        <f t="shared" si="145"/>
        <v>0</v>
      </c>
      <c r="JZ253" s="19" t="str">
        <f t="shared" si="146"/>
        <v/>
      </c>
      <c r="KA253" s="52" t="str">
        <f t="shared" si="147"/>
        <v/>
      </c>
      <c r="KB253" s="15">
        <f t="shared" si="148"/>
        <v>0</v>
      </c>
      <c r="KC253" s="15">
        <f t="shared" si="149"/>
        <v>0</v>
      </c>
      <c r="KD253" s="20" t="str">
        <f t="shared" si="150"/>
        <v/>
      </c>
      <c r="KE253" s="52" t="str">
        <f t="shared" si="151"/>
        <v/>
      </c>
      <c r="KF253" s="15">
        <f t="shared" si="152"/>
        <v>0</v>
      </c>
      <c r="KG253" s="15">
        <f t="shared" si="153"/>
        <v>0</v>
      </c>
      <c r="KH253" s="21" t="str">
        <f t="shared" si="154"/>
        <v/>
      </c>
      <c r="KI253" s="52" t="str">
        <f t="shared" si="155"/>
        <v/>
      </c>
      <c r="KJ253" s="15">
        <f t="shared" si="156"/>
        <v>0</v>
      </c>
      <c r="KK253" s="15">
        <f t="shared" si="157"/>
        <v>0</v>
      </c>
      <c r="KL253" s="19" t="str">
        <f t="shared" si="158"/>
        <v/>
      </c>
      <c r="KM253" s="52">
        <f t="shared" si="159"/>
        <v>1</v>
      </c>
      <c r="KN253" s="22">
        <f t="shared" si="160"/>
        <v>69074</v>
      </c>
      <c r="KO253" s="22">
        <f t="shared" si="161"/>
        <v>393721</v>
      </c>
      <c r="KP253" s="19">
        <f t="shared" si="162"/>
        <v>5.6999884182181431</v>
      </c>
      <c r="KQ253" s="11" t="str">
        <f t="shared" si="163"/>
        <v>2. Sensitive</v>
      </c>
      <c r="KR253" s="11" t="str">
        <f t="shared" si="164"/>
        <v>0. Unaware</v>
      </c>
      <c r="KS253" s="11" t="str">
        <f t="shared" si="165"/>
        <v>2. Sensitive</v>
      </c>
      <c r="KT253" s="11" t="str">
        <f t="shared" si="166"/>
        <v>It tested new ways for fighting poverty and measured results of innovation</v>
      </c>
      <c r="KU253" s="11" t="str">
        <f t="shared" si="167"/>
        <v>Moderate advocacy</v>
      </c>
      <c r="KV253" s="11" t="str">
        <f t="shared" si="168"/>
        <v>It linked and worked with strategic alliances and partners to take tested and effective solutions to scale</v>
      </c>
      <c r="KW253" s="11" t="str">
        <f t="shared" si="169"/>
        <v>Ghana - MICROLEAD EXPANSION PROGRAM</v>
      </c>
      <c r="KX253" s="11" t="str">
        <f t="shared" si="170"/>
        <v>MICROLEAD EXPANSION PROGRAM</v>
      </c>
      <c r="KY253" s="11" t="str">
        <f t="shared" si="171"/>
        <v>Ghana</v>
      </c>
      <c r="KZ253" s="12">
        <v>253</v>
      </c>
    </row>
    <row r="254" spans="1:312" x14ac:dyDescent="0.3">
      <c r="A254" s="11" t="s">
        <v>4471</v>
      </c>
      <c r="B254" s="11" t="s">
        <v>1596</v>
      </c>
      <c r="D254" s="11" t="s">
        <v>4634</v>
      </c>
      <c r="E254" s="24" t="str">
        <f t="shared" si="129"/>
        <v>Ghana</v>
      </c>
      <c r="F254" s="11" t="s">
        <v>4635</v>
      </c>
      <c r="G254" s="11" t="s">
        <v>379</v>
      </c>
      <c r="H254" s="11" t="s">
        <v>310</v>
      </c>
      <c r="I254" s="11" t="s">
        <v>655</v>
      </c>
      <c r="J254" s="278" t="s">
        <v>4991</v>
      </c>
      <c r="BD254" s="23">
        <v>42444</v>
      </c>
      <c r="BE254" s="23">
        <v>44255</v>
      </c>
      <c r="BG254" s="11" t="s">
        <v>312</v>
      </c>
      <c r="BH254" s="22">
        <v>11447513</v>
      </c>
      <c r="BI254" s="11" t="s">
        <v>4636</v>
      </c>
      <c r="BJ254" s="11" t="s">
        <v>1309</v>
      </c>
      <c r="BK254" s="11" t="s">
        <v>4637</v>
      </c>
      <c r="BL254" s="11" t="s">
        <v>4638</v>
      </c>
      <c r="BM254" s="11" t="s">
        <v>4615</v>
      </c>
      <c r="BN254" s="11" t="s">
        <v>4639</v>
      </c>
      <c r="BO254" s="12" t="s">
        <v>319</v>
      </c>
      <c r="BP254" s="12" t="s">
        <v>320</v>
      </c>
      <c r="BQ254" s="12" t="s">
        <v>319</v>
      </c>
      <c r="BR254" s="11" t="s">
        <v>4640</v>
      </c>
      <c r="BS254" s="11" t="s">
        <v>357</v>
      </c>
      <c r="BT254" s="11" t="s">
        <v>4641</v>
      </c>
      <c r="BU254" s="11" t="s">
        <v>4642</v>
      </c>
      <c r="BV254" s="22">
        <v>84000</v>
      </c>
      <c r="BW254" s="22">
        <v>56000</v>
      </c>
      <c r="BX254" s="22">
        <v>140000</v>
      </c>
      <c r="BY254" s="22">
        <v>478000</v>
      </c>
      <c r="BZ254" s="22">
        <v>319200</v>
      </c>
      <c r="CA254" s="22">
        <v>797200</v>
      </c>
      <c r="CB254" s="15" t="s">
        <v>4643</v>
      </c>
      <c r="CL254" s="18"/>
      <c r="CP254" s="18"/>
      <c r="CT254" s="18"/>
      <c r="CX254" s="18"/>
      <c r="DB254" s="18"/>
      <c r="DF254" s="18"/>
      <c r="DJ254" s="18"/>
      <c r="DN254" s="18"/>
      <c r="DR254" s="18"/>
      <c r="DV254" s="18"/>
      <c r="DZ254" s="18"/>
      <c r="ED254" s="18"/>
      <c r="EI254" s="18"/>
      <c r="EK254" s="22">
        <v>1766</v>
      </c>
      <c r="EL254" s="22">
        <v>1470</v>
      </c>
      <c r="EM254" s="22">
        <v>3236</v>
      </c>
      <c r="EN254" s="22">
        <v>8374</v>
      </c>
      <c r="EO254" s="22">
        <v>2094</v>
      </c>
      <c r="EP254" s="22">
        <v>10468</v>
      </c>
      <c r="EQ254" s="12" t="s">
        <v>320</v>
      </c>
      <c r="ER254" s="22">
        <v>3236</v>
      </c>
      <c r="ES254" s="18">
        <v>0.54569999999999996</v>
      </c>
      <c r="EU254" s="11" t="s">
        <v>319</v>
      </c>
      <c r="EW254" s="18"/>
      <c r="EY254" s="12" t="s">
        <v>320</v>
      </c>
      <c r="EZ254" s="22">
        <v>122</v>
      </c>
      <c r="FA254" s="18">
        <v>1</v>
      </c>
      <c r="FC254" s="12" t="s">
        <v>319</v>
      </c>
      <c r="FE254" s="18"/>
      <c r="FG254" s="12" t="s">
        <v>319</v>
      </c>
      <c r="FI254" s="18"/>
      <c r="FK254" s="11" t="s">
        <v>319</v>
      </c>
      <c r="FM254" s="18"/>
      <c r="FO254" s="12" t="s">
        <v>320</v>
      </c>
      <c r="FP254" s="22">
        <v>3236</v>
      </c>
      <c r="FQ254" s="18">
        <v>0.55000000000000004</v>
      </c>
      <c r="FS254" s="11" t="s">
        <v>319</v>
      </c>
      <c r="FU254" s="18"/>
      <c r="FW254" s="11" t="s">
        <v>320</v>
      </c>
      <c r="FX254" s="22">
        <v>161</v>
      </c>
      <c r="FY254" s="18">
        <v>0.85</v>
      </c>
      <c r="GA254" s="11" t="s">
        <v>319</v>
      </c>
      <c r="GC254" s="18"/>
      <c r="GE254" s="11" t="s">
        <v>319</v>
      </c>
      <c r="GG254" s="18"/>
      <c r="GI254" s="11" t="s">
        <v>319</v>
      </c>
      <c r="GK254" s="18"/>
      <c r="GM254" s="11" t="s">
        <v>320</v>
      </c>
      <c r="GN254" s="22">
        <v>3236</v>
      </c>
      <c r="GO254" s="18">
        <v>0.55000000000000004</v>
      </c>
      <c r="GQ254" s="11" t="s">
        <v>319</v>
      </c>
      <c r="GS254" s="18"/>
      <c r="GU254" s="11" t="s">
        <v>319</v>
      </c>
      <c r="GW254" s="18"/>
      <c r="GY254" s="11" t="s">
        <v>320</v>
      </c>
      <c r="GZ254" s="22">
        <v>2347</v>
      </c>
      <c r="HA254" s="18">
        <v>1</v>
      </c>
      <c r="HF254" s="18"/>
      <c r="HH254" s="11" t="s">
        <v>320</v>
      </c>
      <c r="HI254" s="11" t="s">
        <v>451</v>
      </c>
      <c r="HJ254" s="11">
        <v>2017</v>
      </c>
      <c r="HK254" s="11" t="s">
        <v>320</v>
      </c>
      <c r="HL254" s="11" t="s">
        <v>320</v>
      </c>
      <c r="HM254" s="11" t="s">
        <v>451</v>
      </c>
      <c r="HN254" s="11">
        <v>2018</v>
      </c>
      <c r="HO254" s="11" t="s">
        <v>4644</v>
      </c>
      <c r="HP254" s="11" t="s">
        <v>453</v>
      </c>
      <c r="HQ254" s="11" t="s">
        <v>319</v>
      </c>
      <c r="HR254" s="11" t="s">
        <v>319</v>
      </c>
      <c r="HS254" s="11" t="s">
        <v>320</v>
      </c>
      <c r="HT254" s="11" t="s">
        <v>320</v>
      </c>
      <c r="HU254" s="11" t="s">
        <v>319</v>
      </c>
      <c r="HV254" s="11" t="s">
        <v>319</v>
      </c>
      <c r="HW254" s="11" t="s">
        <v>320</v>
      </c>
      <c r="HZ254" s="11" t="s">
        <v>394</v>
      </c>
      <c r="IA254" s="11" t="s">
        <v>4645</v>
      </c>
      <c r="IB254" s="11" t="s">
        <v>396</v>
      </c>
      <c r="IC254" s="11" t="s">
        <v>4646</v>
      </c>
      <c r="ID254" s="11" t="s">
        <v>364</v>
      </c>
      <c r="IE254" s="11" t="s">
        <v>478</v>
      </c>
      <c r="IF254" s="11" t="s">
        <v>320</v>
      </c>
      <c r="IG254" s="11" t="s">
        <v>320</v>
      </c>
      <c r="IH254" s="11" t="s">
        <v>320</v>
      </c>
      <c r="II254" s="11" t="s">
        <v>320</v>
      </c>
      <c r="IJ254" s="12" t="str">
        <f t="shared" si="130"/>
        <v>4. Transformative</v>
      </c>
      <c r="IK254" s="12">
        <f t="shared" si="131"/>
        <v>4</v>
      </c>
      <c r="IL254" s="11" t="s">
        <v>336</v>
      </c>
      <c r="IM254" s="11" t="s">
        <v>320</v>
      </c>
      <c r="IN254" s="11" t="s">
        <v>320</v>
      </c>
      <c r="IO254" s="11" t="s">
        <v>320</v>
      </c>
      <c r="IP254" s="11" t="s">
        <v>320</v>
      </c>
      <c r="IQ254" s="12" t="str">
        <f t="shared" si="132"/>
        <v>2. Accommodating</v>
      </c>
      <c r="IR254" s="12">
        <f t="shared" si="133"/>
        <v>4</v>
      </c>
      <c r="IS254" s="11" t="s">
        <v>337</v>
      </c>
      <c r="IT254" s="11" t="s">
        <v>320</v>
      </c>
      <c r="IU254" s="11" t="s">
        <v>320</v>
      </c>
      <c r="IV254" s="11" t="s">
        <v>320</v>
      </c>
      <c r="IW254" s="11" t="str">
        <f t="shared" si="134"/>
        <v>2. Sensitive</v>
      </c>
      <c r="IX254" s="12">
        <f t="shared" si="135"/>
        <v>3</v>
      </c>
      <c r="IY254" s="11" t="s">
        <v>338</v>
      </c>
      <c r="IZ254" s="11" t="s">
        <v>457</v>
      </c>
      <c r="JA254" s="11">
        <v>4</v>
      </c>
      <c r="JB254" s="11" t="s">
        <v>687</v>
      </c>
      <c r="JC254" s="12" t="s">
        <v>651</v>
      </c>
      <c r="JD254" s="11" t="s">
        <v>623</v>
      </c>
      <c r="JE254" s="11" t="s">
        <v>340</v>
      </c>
      <c r="JF254" s="11" t="s">
        <v>4647</v>
      </c>
      <c r="JG254" s="11" t="s">
        <v>4648</v>
      </c>
      <c r="JH254" s="11" t="s">
        <v>4649</v>
      </c>
      <c r="JI254" s="11" t="s">
        <v>4650</v>
      </c>
      <c r="JJ254" s="11" t="s">
        <v>4651</v>
      </c>
      <c r="JK254" s="11" t="s">
        <v>4652</v>
      </c>
      <c r="JL254" s="11" t="s">
        <v>4653</v>
      </c>
      <c r="JO254" s="11" t="s">
        <v>4654</v>
      </c>
      <c r="JP254" s="15">
        <f t="shared" si="136"/>
        <v>3236</v>
      </c>
      <c r="JQ254" s="15">
        <f t="shared" si="137"/>
        <v>10468</v>
      </c>
      <c r="JR254" s="279">
        <f t="shared" si="138"/>
        <v>3.2348578491965387</v>
      </c>
      <c r="JS254" s="17">
        <f t="shared" si="139"/>
        <v>0.54573547589616811</v>
      </c>
      <c r="JT254" s="18">
        <f t="shared" si="140"/>
        <v>0.79996178830722198</v>
      </c>
      <c r="JU254" s="280">
        <f t="shared" si="141"/>
        <v>1766</v>
      </c>
      <c r="JV254" s="280">
        <f t="shared" si="142"/>
        <v>8374</v>
      </c>
      <c r="JW254" s="319" t="str">
        <f t="shared" si="143"/>
        <v/>
      </c>
      <c r="JX254" s="15">
        <f t="shared" si="144"/>
        <v>0</v>
      </c>
      <c r="JY254" s="15">
        <f t="shared" si="145"/>
        <v>0</v>
      </c>
      <c r="JZ254" s="19" t="str">
        <f t="shared" si="146"/>
        <v/>
      </c>
      <c r="KA254" s="52">
        <f t="shared" si="147"/>
        <v>1</v>
      </c>
      <c r="KB254" s="15">
        <f t="shared" si="148"/>
        <v>3236</v>
      </c>
      <c r="KC254" s="15">
        <f t="shared" si="149"/>
        <v>0</v>
      </c>
      <c r="KD254" s="20">
        <f t="shared" si="150"/>
        <v>0</v>
      </c>
      <c r="KE254" s="52" t="str">
        <f t="shared" si="151"/>
        <v/>
      </c>
      <c r="KF254" s="15">
        <f t="shared" si="152"/>
        <v>0</v>
      </c>
      <c r="KG254" s="15">
        <f t="shared" si="153"/>
        <v>0</v>
      </c>
      <c r="KH254" s="21" t="str">
        <f t="shared" si="154"/>
        <v/>
      </c>
      <c r="KI254" s="52" t="str">
        <f t="shared" si="155"/>
        <v/>
      </c>
      <c r="KJ254" s="15">
        <f t="shared" si="156"/>
        <v>0</v>
      </c>
      <c r="KK254" s="15">
        <f t="shared" si="157"/>
        <v>0</v>
      </c>
      <c r="KL254" s="19" t="str">
        <f t="shared" si="158"/>
        <v/>
      </c>
      <c r="KM254" s="52">
        <f t="shared" si="159"/>
        <v>1</v>
      </c>
      <c r="KN254" s="22">
        <f t="shared" si="160"/>
        <v>2347</v>
      </c>
      <c r="KO254" s="22">
        <f t="shared" si="161"/>
        <v>0</v>
      </c>
      <c r="KP254" s="19">
        <f t="shared" si="162"/>
        <v>0</v>
      </c>
      <c r="KQ254" s="11" t="str">
        <f t="shared" si="163"/>
        <v>4. Transformative</v>
      </c>
      <c r="KR254" s="11" t="str">
        <f t="shared" si="164"/>
        <v>2. Accommodating</v>
      </c>
      <c r="KS254" s="11" t="str">
        <f t="shared" si="165"/>
        <v>2. Sensitive</v>
      </c>
      <c r="KT254" s="11" t="str">
        <f t="shared" si="166"/>
        <v>It tested new ways for fighting poverty, but did not measure results of innovation</v>
      </c>
      <c r="KU254" s="11" t="str">
        <f t="shared" si="167"/>
        <v>Intensive advocacy</v>
      </c>
      <c r="KV254" s="11" t="str">
        <f t="shared" si="168"/>
        <v>It linked and worked with strategic alliances and partners to take tested and effective solutions to scale</v>
      </c>
      <c r="KW254" s="11" t="str">
        <f t="shared" si="169"/>
        <v>Ghana - NORTHERN GHANA GOVERNANCE ACTIVITY</v>
      </c>
      <c r="KX254" s="11" t="str">
        <f t="shared" si="170"/>
        <v>NORTHERN GHANA GOVERNANCE ACTIVITY</v>
      </c>
      <c r="KY254" s="11" t="str">
        <f t="shared" si="171"/>
        <v>Ghana</v>
      </c>
      <c r="KZ254" s="12">
        <v>254</v>
      </c>
    </row>
    <row r="255" spans="1:312" x14ac:dyDescent="0.3">
      <c r="A255" s="11" t="s">
        <v>4471</v>
      </c>
      <c r="B255" s="11" t="s">
        <v>1596</v>
      </c>
      <c r="D255" s="11" t="s">
        <v>4655</v>
      </c>
      <c r="E255" s="24" t="str">
        <f t="shared" si="129"/>
        <v>Ghana</v>
      </c>
      <c r="F255" s="11" t="s">
        <v>4656</v>
      </c>
      <c r="G255" s="11" t="s">
        <v>379</v>
      </c>
      <c r="H255" s="11" t="s">
        <v>383</v>
      </c>
      <c r="I255" s="11" t="s">
        <v>384</v>
      </c>
      <c r="J255" s="278" t="s">
        <v>4657</v>
      </c>
      <c r="BD255" s="23">
        <v>41944</v>
      </c>
      <c r="BE255" s="23">
        <v>42704</v>
      </c>
      <c r="BF255" s="23">
        <v>42885</v>
      </c>
      <c r="BG255" s="11" t="s">
        <v>749</v>
      </c>
      <c r="BH255" s="22">
        <v>654783</v>
      </c>
      <c r="BI255" s="11" t="s">
        <v>4564</v>
      </c>
      <c r="BJ255" s="11" t="s">
        <v>4658</v>
      </c>
      <c r="BK255" s="11" t="s">
        <v>4659</v>
      </c>
      <c r="BL255" s="11" t="s">
        <v>4567</v>
      </c>
      <c r="BM255" s="11" t="s">
        <v>4568</v>
      </c>
      <c r="BN255" s="11" t="s">
        <v>4660</v>
      </c>
      <c r="BO255" s="12" t="s">
        <v>319</v>
      </c>
      <c r="BP255" s="12" t="s">
        <v>320</v>
      </c>
      <c r="BQ255" s="12" t="s">
        <v>319</v>
      </c>
      <c r="BR255" s="11" t="s">
        <v>4661</v>
      </c>
      <c r="BS255" s="11" t="s">
        <v>357</v>
      </c>
      <c r="BT255" s="11" t="s">
        <v>4662</v>
      </c>
      <c r="BU255" s="11" t="s">
        <v>4663</v>
      </c>
      <c r="BV255" s="22">
        <v>3000</v>
      </c>
      <c r="BX255" s="22">
        <v>3000</v>
      </c>
      <c r="BY255" s="22">
        <v>18000</v>
      </c>
      <c r="CA255" s="22">
        <v>18000</v>
      </c>
      <c r="CB255" s="15" t="s">
        <v>4664</v>
      </c>
      <c r="CL255" s="18"/>
      <c r="CP255" s="18"/>
      <c r="CT255" s="18"/>
      <c r="CX255" s="18"/>
      <c r="DB255" s="18"/>
      <c r="DF255" s="18"/>
      <c r="DJ255" s="18"/>
      <c r="DN255" s="18"/>
      <c r="DR255" s="18"/>
      <c r="DV255" s="18"/>
      <c r="DZ255" s="18"/>
      <c r="ED255" s="18"/>
      <c r="EI255" s="18"/>
      <c r="EK255" s="22">
        <v>3112</v>
      </c>
      <c r="EL255" s="22">
        <v>527</v>
      </c>
      <c r="EM255" s="22">
        <v>3639</v>
      </c>
      <c r="EN255" s="22">
        <v>18672</v>
      </c>
      <c r="EO255" s="22">
        <v>3162</v>
      </c>
      <c r="EP255" s="22">
        <v>21834</v>
      </c>
      <c r="EQ255" s="12" t="s">
        <v>320</v>
      </c>
      <c r="ER255" s="22">
        <v>3639</v>
      </c>
      <c r="ES255" s="18">
        <v>0.86</v>
      </c>
      <c r="ET255" s="22">
        <v>21834</v>
      </c>
      <c r="EU255" s="11" t="s">
        <v>320</v>
      </c>
      <c r="EV255" s="22">
        <v>3639</v>
      </c>
      <c r="EW255" s="18">
        <v>0.86</v>
      </c>
      <c r="EX255" s="22">
        <v>21834</v>
      </c>
      <c r="FA255" s="18"/>
      <c r="FE255" s="18"/>
      <c r="FI255" s="18"/>
      <c r="FM255" s="18"/>
      <c r="FO255" s="12" t="s">
        <v>320</v>
      </c>
      <c r="FP255" s="22">
        <v>3639</v>
      </c>
      <c r="FQ255" s="18">
        <v>0.86</v>
      </c>
      <c r="FR255" s="22">
        <v>21834</v>
      </c>
      <c r="FU255" s="18"/>
      <c r="FY255" s="18"/>
      <c r="GC255" s="18"/>
      <c r="GG255" s="18"/>
      <c r="GK255" s="18"/>
      <c r="GO255" s="18"/>
      <c r="GS255" s="18"/>
      <c r="GW255" s="18"/>
      <c r="GY255" s="11" t="s">
        <v>320</v>
      </c>
      <c r="GZ255" s="22">
        <v>3639</v>
      </c>
      <c r="HA255" s="18">
        <v>0.86</v>
      </c>
      <c r="HB255" s="22">
        <v>21834</v>
      </c>
      <c r="HF255" s="18"/>
      <c r="HH255" s="11" t="s">
        <v>320</v>
      </c>
      <c r="HI255" s="11" t="s">
        <v>1175</v>
      </c>
      <c r="HJ255" s="11">
        <v>2017</v>
      </c>
      <c r="HK255" s="11" t="s">
        <v>320</v>
      </c>
      <c r="HL255" s="11" t="s">
        <v>319</v>
      </c>
      <c r="HP255" s="11" t="s">
        <v>330</v>
      </c>
      <c r="HQ255" s="11" t="s">
        <v>319</v>
      </c>
      <c r="HR255" s="11" t="s">
        <v>319</v>
      </c>
      <c r="HS255" s="11" t="s">
        <v>320</v>
      </c>
      <c r="HT255" s="11" t="s">
        <v>320</v>
      </c>
      <c r="HU255" s="11" t="s">
        <v>320</v>
      </c>
      <c r="HV255" s="11" t="s">
        <v>320</v>
      </c>
      <c r="HW255" s="11" t="s">
        <v>319</v>
      </c>
      <c r="HX255" s="11" t="s">
        <v>320</v>
      </c>
      <c r="HY255" s="11" t="s">
        <v>4665</v>
      </c>
      <c r="HZ255" s="11" t="s">
        <v>363</v>
      </c>
      <c r="IB255" s="11" t="s">
        <v>396</v>
      </c>
      <c r="IC255" s="11" t="s">
        <v>4666</v>
      </c>
      <c r="ID255" s="11" t="s">
        <v>334</v>
      </c>
      <c r="IE255" s="11" t="s">
        <v>478</v>
      </c>
      <c r="IF255" s="11" t="s">
        <v>320</v>
      </c>
      <c r="IG255" s="11" t="s">
        <v>320</v>
      </c>
      <c r="IH255" s="11" t="s">
        <v>320</v>
      </c>
      <c r="II255" s="11" t="s">
        <v>320</v>
      </c>
      <c r="IJ255" s="12" t="str">
        <f t="shared" si="130"/>
        <v>4. Transformative</v>
      </c>
      <c r="IK255" s="12">
        <f t="shared" si="131"/>
        <v>4</v>
      </c>
      <c r="IL255" s="11" t="s">
        <v>336</v>
      </c>
      <c r="IM255" s="11" t="s">
        <v>320</v>
      </c>
      <c r="IN255" s="11" t="s">
        <v>320</v>
      </c>
      <c r="IO255" s="11" t="s">
        <v>320</v>
      </c>
      <c r="IP255" s="11" t="s">
        <v>320</v>
      </c>
      <c r="IQ255" s="12" t="str">
        <f t="shared" si="132"/>
        <v>2. Accommodating</v>
      </c>
      <c r="IR255" s="12">
        <f t="shared" si="133"/>
        <v>4</v>
      </c>
      <c r="IS255" s="11" t="s">
        <v>337</v>
      </c>
      <c r="IT255" s="11" t="s">
        <v>320</v>
      </c>
      <c r="IU255" s="11" t="s">
        <v>320</v>
      </c>
      <c r="IV255" s="11" t="s">
        <v>320</v>
      </c>
      <c r="IW255" s="11" t="str">
        <f t="shared" si="134"/>
        <v>2. Sensitive</v>
      </c>
      <c r="IX255" s="12">
        <f t="shared" si="135"/>
        <v>3</v>
      </c>
      <c r="IY255" s="11" t="s">
        <v>758</v>
      </c>
      <c r="IZ255" s="11" t="s">
        <v>432</v>
      </c>
      <c r="JA255" s="11">
        <v>3</v>
      </c>
      <c r="JB255" s="11" t="s">
        <v>433</v>
      </c>
      <c r="JC255" s="11" t="s">
        <v>623</v>
      </c>
      <c r="JD255" s="11" t="s">
        <v>585</v>
      </c>
      <c r="JE255" s="11" t="s">
        <v>420</v>
      </c>
      <c r="JH255" s="11" t="s">
        <v>4667</v>
      </c>
      <c r="JI255" s="11" t="s">
        <v>4668</v>
      </c>
      <c r="JJ255" s="11" t="s">
        <v>4669</v>
      </c>
      <c r="JK255" s="11" t="s">
        <v>4670</v>
      </c>
      <c r="JL255" s="11" t="s">
        <v>4671</v>
      </c>
      <c r="JM255" s="11" t="s">
        <v>4672</v>
      </c>
      <c r="JO255" s="11" t="s">
        <v>4673</v>
      </c>
      <c r="JP255" s="15">
        <f t="shared" si="136"/>
        <v>3639</v>
      </c>
      <c r="JQ255" s="15">
        <f t="shared" si="137"/>
        <v>21834</v>
      </c>
      <c r="JR255" s="279">
        <f t="shared" si="138"/>
        <v>6</v>
      </c>
      <c r="JS255" s="17">
        <f t="shared" si="139"/>
        <v>0.85517999450398463</v>
      </c>
      <c r="JT255" s="18">
        <f t="shared" si="140"/>
        <v>0.85517999450398463</v>
      </c>
      <c r="JU255" s="280">
        <f t="shared" si="141"/>
        <v>3112</v>
      </c>
      <c r="JV255" s="280">
        <f t="shared" si="142"/>
        <v>18672</v>
      </c>
      <c r="JW255" s="319" t="str">
        <f t="shared" si="143"/>
        <v/>
      </c>
      <c r="JX255" s="15">
        <f t="shared" si="144"/>
        <v>0</v>
      </c>
      <c r="JY255" s="15">
        <f t="shared" si="145"/>
        <v>0</v>
      </c>
      <c r="JZ255" s="19" t="str">
        <f t="shared" si="146"/>
        <v/>
      </c>
      <c r="KA255" s="52">
        <f t="shared" si="147"/>
        <v>1</v>
      </c>
      <c r="KB255" s="15">
        <f t="shared" si="148"/>
        <v>3639</v>
      </c>
      <c r="KC255" s="15">
        <f t="shared" si="149"/>
        <v>21834</v>
      </c>
      <c r="KD255" s="20">
        <f t="shared" si="150"/>
        <v>6</v>
      </c>
      <c r="KE255" s="52" t="str">
        <f t="shared" si="151"/>
        <v/>
      </c>
      <c r="KF255" s="15">
        <f t="shared" si="152"/>
        <v>0</v>
      </c>
      <c r="KG255" s="15">
        <f t="shared" si="153"/>
        <v>0</v>
      </c>
      <c r="KH255" s="21" t="str">
        <f t="shared" si="154"/>
        <v/>
      </c>
      <c r="KI255" s="52" t="str">
        <f t="shared" si="155"/>
        <v/>
      </c>
      <c r="KJ255" s="15">
        <f t="shared" si="156"/>
        <v>0</v>
      </c>
      <c r="KK255" s="15">
        <f t="shared" si="157"/>
        <v>0</v>
      </c>
      <c r="KL255" s="19" t="str">
        <f t="shared" si="158"/>
        <v/>
      </c>
      <c r="KM255" s="52">
        <f t="shared" si="159"/>
        <v>1</v>
      </c>
      <c r="KN255" s="22">
        <f t="shared" si="160"/>
        <v>3639</v>
      </c>
      <c r="KO255" s="22">
        <f t="shared" si="161"/>
        <v>21834</v>
      </c>
      <c r="KP255" s="19">
        <f t="shared" si="162"/>
        <v>6</v>
      </c>
      <c r="KQ255" s="11" t="str">
        <f t="shared" si="163"/>
        <v>4. Transformative</v>
      </c>
      <c r="KR255" s="11" t="str">
        <f t="shared" si="164"/>
        <v>2. Accommodating</v>
      </c>
      <c r="KS255" s="11" t="str">
        <f t="shared" si="165"/>
        <v>2. Sensitive</v>
      </c>
      <c r="KT255" s="11" t="str">
        <f t="shared" si="166"/>
        <v>It did not develop any specific innovation</v>
      </c>
      <c r="KU255" s="11" t="str">
        <f t="shared" si="167"/>
        <v>Moderate advocacy</v>
      </c>
      <c r="KV255" s="11" t="str">
        <f t="shared" si="168"/>
        <v>It linked and worked with strategic alliances and partners to take tested and effective solutions to scale</v>
      </c>
      <c r="KW255" s="11" t="str">
        <f t="shared" si="169"/>
        <v>Ghana - Pathways to Secure  Resilient Livelihoods</v>
      </c>
      <c r="KX255" s="11" t="str">
        <f t="shared" si="170"/>
        <v>Pathways to Secure  Resilient Livelihoods</v>
      </c>
      <c r="KY255" s="11" t="str">
        <f t="shared" si="171"/>
        <v>Ghana</v>
      </c>
      <c r="KZ255" s="12">
        <v>255</v>
      </c>
    </row>
    <row r="256" spans="1:312" x14ac:dyDescent="0.3">
      <c r="A256" s="11" t="s">
        <v>4471</v>
      </c>
      <c r="B256" s="11" t="s">
        <v>1596</v>
      </c>
      <c r="D256" s="11" t="s">
        <v>4674</v>
      </c>
      <c r="E256" s="24" t="str">
        <f t="shared" si="129"/>
        <v>Ghana</v>
      </c>
      <c r="F256" s="11" t="s">
        <v>4675</v>
      </c>
      <c r="G256" s="11" t="s">
        <v>379</v>
      </c>
      <c r="H256" s="11" t="s">
        <v>383</v>
      </c>
      <c r="I256" s="11" t="s">
        <v>1102</v>
      </c>
      <c r="J256" s="278" t="s">
        <v>1102</v>
      </c>
      <c r="BD256" s="23">
        <v>40848</v>
      </c>
      <c r="BE256" s="23">
        <v>42460</v>
      </c>
      <c r="BF256" s="23">
        <v>43190</v>
      </c>
      <c r="BG256" s="11" t="s">
        <v>749</v>
      </c>
      <c r="BH256" s="22">
        <v>1891004</v>
      </c>
      <c r="BI256" s="11" t="s">
        <v>4564</v>
      </c>
      <c r="BJ256" s="11" t="s">
        <v>4676</v>
      </c>
      <c r="BK256" s="11" t="s">
        <v>4659</v>
      </c>
      <c r="BL256" s="11" t="s">
        <v>4567</v>
      </c>
      <c r="BM256" s="11" t="s">
        <v>4568</v>
      </c>
      <c r="BN256" s="11" t="s">
        <v>4660</v>
      </c>
      <c r="BO256" s="12" t="s">
        <v>319</v>
      </c>
      <c r="BP256" s="12" t="s">
        <v>320</v>
      </c>
      <c r="BQ256" s="12" t="s">
        <v>319</v>
      </c>
      <c r="BR256" s="11" t="s">
        <v>4677</v>
      </c>
      <c r="BS256" s="11" t="s">
        <v>357</v>
      </c>
      <c r="BT256" s="11" t="s">
        <v>4678</v>
      </c>
      <c r="BU256" s="11" t="s">
        <v>4679</v>
      </c>
      <c r="BV256" s="22">
        <v>7000</v>
      </c>
      <c r="BX256" s="22">
        <v>7000</v>
      </c>
      <c r="BY256" s="22">
        <v>42000</v>
      </c>
      <c r="CA256" s="22">
        <v>42000</v>
      </c>
      <c r="CB256" s="15" t="s">
        <v>4680</v>
      </c>
      <c r="CL256" s="18"/>
      <c r="CP256" s="18"/>
      <c r="CT256" s="18"/>
      <c r="CX256" s="18"/>
      <c r="DB256" s="18"/>
      <c r="DF256" s="18"/>
      <c r="DJ256" s="18"/>
      <c r="DN256" s="18"/>
      <c r="DR256" s="18"/>
      <c r="DV256" s="18"/>
      <c r="DZ256" s="18"/>
      <c r="ED256" s="18"/>
      <c r="EI256" s="18"/>
      <c r="EK256" s="22">
        <v>7014</v>
      </c>
      <c r="EL256" s="22">
        <v>2338</v>
      </c>
      <c r="EM256" s="22">
        <v>9352</v>
      </c>
      <c r="EN256" s="22">
        <v>42084</v>
      </c>
      <c r="EO256" s="22">
        <v>14028</v>
      </c>
      <c r="EP256" s="22">
        <v>56112</v>
      </c>
      <c r="EQ256" s="12" t="s">
        <v>320</v>
      </c>
      <c r="ER256" s="22">
        <v>9352</v>
      </c>
      <c r="ES256" s="18">
        <v>0.74</v>
      </c>
      <c r="ET256" s="22">
        <v>56112</v>
      </c>
      <c r="EU256" s="11" t="s">
        <v>320</v>
      </c>
      <c r="EV256" s="22">
        <v>9352</v>
      </c>
      <c r="EW256" s="18">
        <v>0.74</v>
      </c>
      <c r="EX256" s="22">
        <v>56112</v>
      </c>
      <c r="FA256" s="18"/>
      <c r="FE256" s="18"/>
      <c r="FI256" s="18"/>
      <c r="FM256" s="18"/>
      <c r="FO256" s="12" t="s">
        <v>320</v>
      </c>
      <c r="FP256" s="22">
        <v>9352</v>
      </c>
      <c r="FQ256" s="18">
        <v>0.74</v>
      </c>
      <c r="FR256" s="22">
        <v>56112</v>
      </c>
      <c r="FU256" s="18"/>
      <c r="FW256" s="11" t="s">
        <v>320</v>
      </c>
      <c r="FX256" s="22">
        <v>9352</v>
      </c>
      <c r="FY256" s="18">
        <v>0.74</v>
      </c>
      <c r="FZ256" s="22">
        <v>56112</v>
      </c>
      <c r="GC256" s="18"/>
      <c r="GG256" s="18"/>
      <c r="GK256" s="18"/>
      <c r="GO256" s="18"/>
      <c r="GS256" s="18"/>
      <c r="GW256" s="18"/>
      <c r="GY256" s="11" t="s">
        <v>320</v>
      </c>
      <c r="GZ256" s="22">
        <v>9352</v>
      </c>
      <c r="HA256" s="18"/>
      <c r="HB256" s="22">
        <v>56112</v>
      </c>
      <c r="HF256" s="18"/>
      <c r="HH256" s="11" t="s">
        <v>319</v>
      </c>
      <c r="HL256" s="11" t="s">
        <v>319</v>
      </c>
      <c r="HP256" s="11" t="s">
        <v>453</v>
      </c>
      <c r="HQ256" s="11" t="s">
        <v>319</v>
      </c>
      <c r="HR256" s="11" t="s">
        <v>319</v>
      </c>
      <c r="HS256" s="11" t="s">
        <v>320</v>
      </c>
      <c r="HT256" s="11" t="s">
        <v>320</v>
      </c>
      <c r="HU256" s="11" t="s">
        <v>320</v>
      </c>
      <c r="HV256" s="11" t="s">
        <v>320</v>
      </c>
      <c r="HW256" s="11" t="s">
        <v>319</v>
      </c>
      <c r="HX256" s="11" t="s">
        <v>320</v>
      </c>
      <c r="HY256" s="11" t="s">
        <v>4665</v>
      </c>
      <c r="HZ256" s="11" t="s">
        <v>331</v>
      </c>
      <c r="IA256" s="11" t="s">
        <v>4681</v>
      </c>
      <c r="IB256" s="11" t="s">
        <v>396</v>
      </c>
      <c r="IC256" s="11" t="s">
        <v>4666</v>
      </c>
      <c r="ID256" s="11" t="s">
        <v>334</v>
      </c>
      <c r="IE256" s="11" t="s">
        <v>478</v>
      </c>
      <c r="IF256" s="11" t="s">
        <v>320</v>
      </c>
      <c r="IG256" s="11" t="s">
        <v>320</v>
      </c>
      <c r="IH256" s="11" t="s">
        <v>320</v>
      </c>
      <c r="II256" s="11" t="s">
        <v>320</v>
      </c>
      <c r="IJ256" s="12" t="str">
        <f t="shared" si="130"/>
        <v>4. Transformative</v>
      </c>
      <c r="IK256" s="12">
        <f t="shared" si="131"/>
        <v>4</v>
      </c>
      <c r="IL256" s="11" t="s">
        <v>336</v>
      </c>
      <c r="IM256" s="11" t="s">
        <v>320</v>
      </c>
      <c r="IN256" s="11" t="s">
        <v>320</v>
      </c>
      <c r="IO256" s="11" t="s">
        <v>320</v>
      </c>
      <c r="IP256" s="11" t="s">
        <v>320</v>
      </c>
      <c r="IQ256" s="12" t="str">
        <f t="shared" si="132"/>
        <v>2. Accommodating</v>
      </c>
      <c r="IR256" s="12">
        <f t="shared" si="133"/>
        <v>4</v>
      </c>
      <c r="IS256" s="11" t="s">
        <v>337</v>
      </c>
      <c r="IT256" s="11" t="s">
        <v>320</v>
      </c>
      <c r="IU256" s="11" t="s">
        <v>320</v>
      </c>
      <c r="IV256" s="11" t="s">
        <v>320</v>
      </c>
      <c r="IW256" s="11" t="str">
        <f t="shared" si="134"/>
        <v>2. Sensitive</v>
      </c>
      <c r="IX256" s="12">
        <f t="shared" si="135"/>
        <v>3</v>
      </c>
      <c r="IY256" s="11" t="s">
        <v>758</v>
      </c>
      <c r="IZ256" s="11" t="s">
        <v>432</v>
      </c>
      <c r="JA256" s="11">
        <v>3</v>
      </c>
      <c r="JB256" s="11" t="s">
        <v>433</v>
      </c>
      <c r="JC256" s="11" t="s">
        <v>687</v>
      </c>
      <c r="JD256" s="11" t="s">
        <v>585</v>
      </c>
      <c r="JE256" s="11" t="s">
        <v>365</v>
      </c>
      <c r="JF256" s="11" t="s">
        <v>4682</v>
      </c>
      <c r="JH256" s="11" t="s">
        <v>4683</v>
      </c>
      <c r="JI256" s="11" t="s">
        <v>4684</v>
      </c>
      <c r="JJ256" s="11" t="s">
        <v>4685</v>
      </c>
      <c r="JK256" s="11" t="s">
        <v>4686</v>
      </c>
      <c r="JL256" s="11" t="s">
        <v>4687</v>
      </c>
      <c r="JM256" s="11" t="s">
        <v>4688</v>
      </c>
      <c r="JN256" s="11" t="s">
        <v>4689</v>
      </c>
      <c r="JO256" s="11" t="s">
        <v>4690</v>
      </c>
      <c r="JP256" s="15">
        <f t="shared" si="136"/>
        <v>9352</v>
      </c>
      <c r="JQ256" s="15">
        <f t="shared" si="137"/>
        <v>56112</v>
      </c>
      <c r="JR256" s="279">
        <f t="shared" si="138"/>
        <v>6</v>
      </c>
      <c r="JS256" s="17">
        <f t="shared" si="139"/>
        <v>0.75</v>
      </c>
      <c r="JT256" s="18">
        <f t="shared" si="140"/>
        <v>0.75</v>
      </c>
      <c r="JU256" s="280">
        <f t="shared" si="141"/>
        <v>7014</v>
      </c>
      <c r="JV256" s="280">
        <f t="shared" si="142"/>
        <v>42084</v>
      </c>
      <c r="JW256" s="319" t="str">
        <f t="shared" si="143"/>
        <v/>
      </c>
      <c r="JX256" s="15">
        <f t="shared" si="144"/>
        <v>0</v>
      </c>
      <c r="JY256" s="15">
        <f t="shared" si="145"/>
        <v>0</v>
      </c>
      <c r="JZ256" s="19" t="str">
        <f t="shared" si="146"/>
        <v/>
      </c>
      <c r="KA256" s="52">
        <f t="shared" si="147"/>
        <v>1</v>
      </c>
      <c r="KB256" s="15">
        <f t="shared" si="148"/>
        <v>9352</v>
      </c>
      <c r="KC256" s="15">
        <f t="shared" si="149"/>
        <v>56112</v>
      </c>
      <c r="KD256" s="20">
        <f t="shared" si="150"/>
        <v>6</v>
      </c>
      <c r="KE256" s="52" t="str">
        <f t="shared" si="151"/>
        <v/>
      </c>
      <c r="KF256" s="15">
        <f t="shared" si="152"/>
        <v>0</v>
      </c>
      <c r="KG256" s="15">
        <f t="shared" si="153"/>
        <v>0</v>
      </c>
      <c r="KH256" s="21" t="str">
        <f t="shared" si="154"/>
        <v/>
      </c>
      <c r="KI256" s="52" t="str">
        <f t="shared" si="155"/>
        <v/>
      </c>
      <c r="KJ256" s="15">
        <f t="shared" si="156"/>
        <v>0</v>
      </c>
      <c r="KK256" s="15">
        <f t="shared" si="157"/>
        <v>0</v>
      </c>
      <c r="KL256" s="19" t="str">
        <f t="shared" si="158"/>
        <v/>
      </c>
      <c r="KM256" s="52">
        <f t="shared" si="159"/>
        <v>1</v>
      </c>
      <c r="KN256" s="22">
        <f t="shared" si="160"/>
        <v>9352</v>
      </c>
      <c r="KO256" s="22">
        <f t="shared" si="161"/>
        <v>56112</v>
      </c>
      <c r="KP256" s="19">
        <f t="shared" si="162"/>
        <v>6</v>
      </c>
      <c r="KQ256" s="11" t="str">
        <f t="shared" si="163"/>
        <v>4. Transformative</v>
      </c>
      <c r="KR256" s="11" t="str">
        <f t="shared" si="164"/>
        <v>2. Accommodating</v>
      </c>
      <c r="KS256" s="11" t="str">
        <f t="shared" si="165"/>
        <v>2. Sensitive</v>
      </c>
      <c r="KT256" s="11" t="str">
        <f t="shared" si="166"/>
        <v>It tested new ways for fighting poverty and measured results of innovation</v>
      </c>
      <c r="KU256" s="11" t="str">
        <f t="shared" si="167"/>
        <v>Intensive advocacy</v>
      </c>
      <c r="KV256" s="11" t="str">
        <f t="shared" si="168"/>
        <v>It linked and worked with strategic alliances and partners to take tested and effective solutions to scale</v>
      </c>
      <c r="KW256" s="11" t="str">
        <f t="shared" si="169"/>
        <v>Ghana - Pathways to Secure Livelihoods</v>
      </c>
      <c r="KX256" s="11" t="str">
        <f t="shared" si="170"/>
        <v>Pathways to Secure Livelihoods</v>
      </c>
      <c r="KY256" s="11" t="str">
        <f t="shared" si="171"/>
        <v>Ghana</v>
      </c>
      <c r="KZ256" s="287">
        <v>256</v>
      </c>
    </row>
    <row r="257" spans="1:312" x14ac:dyDescent="0.3">
      <c r="A257" s="282" t="s">
        <v>4471</v>
      </c>
      <c r="B257" s="282" t="s">
        <v>1596</v>
      </c>
      <c r="C257" s="282"/>
      <c r="D257" s="282" t="s">
        <v>4691</v>
      </c>
      <c r="E257" s="24" t="str">
        <f t="shared" ref="E257:E320" si="172">A257</f>
        <v>Ghana</v>
      </c>
      <c r="F257" s="282" t="s">
        <v>4692</v>
      </c>
      <c r="G257" s="282" t="s">
        <v>379</v>
      </c>
      <c r="H257" s="282" t="s">
        <v>489</v>
      </c>
      <c r="I257" s="282" t="s">
        <v>384</v>
      </c>
      <c r="J257" s="278" t="s">
        <v>3781</v>
      </c>
      <c r="K257" s="282"/>
      <c r="L257" s="282"/>
      <c r="M257" s="282"/>
      <c r="N257" s="282"/>
      <c r="O257" s="282"/>
      <c r="P257" s="282"/>
      <c r="Q257" s="282"/>
      <c r="R257" s="282"/>
      <c r="S257" s="282"/>
      <c r="T257" s="282"/>
      <c r="U257" s="282"/>
      <c r="V257" s="282"/>
      <c r="W257" s="282"/>
      <c r="X257" s="282"/>
      <c r="Y257" s="282"/>
      <c r="Z257" s="282"/>
      <c r="AA257" s="282"/>
      <c r="AB257" s="282"/>
      <c r="AC257" s="282"/>
      <c r="AD257" s="282"/>
      <c r="AE257" s="282"/>
      <c r="AF257" s="282"/>
      <c r="AG257" s="282"/>
      <c r="AH257" s="282"/>
      <c r="AI257" s="282"/>
      <c r="AJ257" s="282"/>
      <c r="AK257" s="282"/>
      <c r="AL257" s="282"/>
      <c r="AM257" s="282"/>
      <c r="AN257" s="282"/>
      <c r="AO257" s="282"/>
      <c r="AP257" s="282"/>
      <c r="AQ257" s="282"/>
      <c r="AR257" s="282"/>
      <c r="AS257" s="282"/>
      <c r="AT257" s="282"/>
      <c r="AU257" s="282"/>
      <c r="AV257" s="282"/>
      <c r="AW257" s="282"/>
      <c r="AX257" s="282"/>
      <c r="AY257" s="282"/>
      <c r="AZ257" s="282"/>
      <c r="BA257" s="282"/>
      <c r="BB257" s="282"/>
      <c r="BC257" s="282"/>
      <c r="BD257" s="283">
        <v>42614</v>
      </c>
      <c r="BE257" s="283">
        <v>43707</v>
      </c>
      <c r="BF257" s="283"/>
      <c r="BG257" s="283" t="s">
        <v>749</v>
      </c>
      <c r="BH257" s="284">
        <v>900000</v>
      </c>
      <c r="BI257" s="282" t="s">
        <v>4546</v>
      </c>
      <c r="BJ257" s="282" t="s">
        <v>354</v>
      </c>
      <c r="BK257" s="282" t="s">
        <v>4547</v>
      </c>
      <c r="BL257" s="282" t="s">
        <v>4693</v>
      </c>
      <c r="BM257" s="282" t="s">
        <v>4694</v>
      </c>
      <c r="BN257" s="282" t="s">
        <v>4695</v>
      </c>
      <c r="BO257" s="12" t="s">
        <v>319</v>
      </c>
      <c r="BP257" s="12" t="s">
        <v>320</v>
      </c>
      <c r="BQ257" s="12" t="s">
        <v>319</v>
      </c>
      <c r="BR257" s="282" t="s">
        <v>4696</v>
      </c>
      <c r="BS257" s="282" t="s">
        <v>357</v>
      </c>
      <c r="BT257" s="282" t="s">
        <v>4697</v>
      </c>
      <c r="BU257" s="282" t="s">
        <v>4698</v>
      </c>
      <c r="BV257" s="284">
        <v>12960</v>
      </c>
      <c r="BW257" s="284">
        <v>8640</v>
      </c>
      <c r="BX257" s="284">
        <v>21600</v>
      </c>
      <c r="BY257" s="284">
        <v>44928</v>
      </c>
      <c r="BZ257" s="284">
        <v>41472</v>
      </c>
      <c r="CA257" s="284">
        <v>86400</v>
      </c>
      <c r="CB257" s="285" t="s">
        <v>4699</v>
      </c>
      <c r="CC257" s="285"/>
      <c r="CD257" s="284"/>
      <c r="CE257" s="284"/>
      <c r="CF257" s="284"/>
      <c r="CG257" s="284"/>
      <c r="CH257" s="284"/>
      <c r="CI257" s="284"/>
      <c r="CJ257" s="282"/>
      <c r="CK257" s="284"/>
      <c r="CL257" s="286"/>
      <c r="CM257" s="284"/>
      <c r="CN257" s="287"/>
      <c r="CO257" s="284"/>
      <c r="CP257" s="286"/>
      <c r="CQ257" s="284"/>
      <c r="CR257" s="282"/>
      <c r="CS257" s="284"/>
      <c r="CT257" s="286"/>
      <c r="CU257" s="284"/>
      <c r="CV257" s="289"/>
      <c r="CW257" s="290"/>
      <c r="CX257" s="291"/>
      <c r="CY257" s="290"/>
      <c r="CZ257" s="282"/>
      <c r="DA257" s="284"/>
      <c r="DB257" s="286"/>
      <c r="DC257" s="284"/>
      <c r="DD257" s="287"/>
      <c r="DE257" s="284"/>
      <c r="DF257" s="286"/>
      <c r="DG257" s="284"/>
      <c r="DH257" s="282"/>
      <c r="DI257" s="284"/>
      <c r="DJ257" s="286"/>
      <c r="DK257" s="284"/>
      <c r="DL257" s="282"/>
      <c r="DM257" s="284"/>
      <c r="DN257" s="286"/>
      <c r="DO257" s="284"/>
      <c r="DP257" s="282"/>
      <c r="DQ257" s="284"/>
      <c r="DR257" s="286"/>
      <c r="DS257" s="284"/>
      <c r="DT257" s="282"/>
      <c r="DU257" s="284"/>
      <c r="DV257" s="286"/>
      <c r="DW257" s="284"/>
      <c r="DX257" s="282"/>
      <c r="DY257" s="284"/>
      <c r="DZ257" s="286"/>
      <c r="EA257" s="284"/>
      <c r="EB257" s="282"/>
      <c r="EC257" s="284"/>
      <c r="ED257" s="286"/>
      <c r="EE257" s="284"/>
      <c r="EF257" s="285"/>
      <c r="EG257" s="287"/>
      <c r="EH257" s="284"/>
      <c r="EI257" s="286"/>
      <c r="EJ257" s="284"/>
      <c r="EK257" s="284">
        <v>8424</v>
      </c>
      <c r="EL257" s="284">
        <v>7776</v>
      </c>
      <c r="EM257" s="284">
        <v>16200</v>
      </c>
      <c r="EN257" s="284">
        <v>33696</v>
      </c>
      <c r="EO257" s="284">
        <v>31104</v>
      </c>
      <c r="EP257" s="284">
        <v>64800</v>
      </c>
      <c r="EQ257" s="282"/>
      <c r="ER257" s="284"/>
      <c r="ES257" s="286"/>
      <c r="ET257" s="284"/>
      <c r="EU257" s="282"/>
      <c r="EV257" s="284"/>
      <c r="EW257" s="286"/>
      <c r="EX257" s="284"/>
      <c r="EY257" s="282"/>
      <c r="EZ257" s="284"/>
      <c r="FA257" s="286"/>
      <c r="FB257" s="284"/>
      <c r="FC257" s="282"/>
      <c r="FD257" s="284"/>
      <c r="FE257" s="286"/>
      <c r="FF257" s="284"/>
      <c r="FG257" s="282"/>
      <c r="FH257" s="284"/>
      <c r="FI257" s="286"/>
      <c r="FJ257" s="284"/>
      <c r="FK257" s="282"/>
      <c r="FL257" s="284"/>
      <c r="FM257" s="286"/>
      <c r="FN257" s="284"/>
      <c r="FO257" s="292" t="s">
        <v>320</v>
      </c>
      <c r="FP257" s="290">
        <v>16200</v>
      </c>
      <c r="FQ257" s="291">
        <v>0.51700000000000002</v>
      </c>
      <c r="FR257" s="290">
        <v>64800</v>
      </c>
      <c r="FS257" s="282"/>
      <c r="FT257" s="284"/>
      <c r="FU257" s="286"/>
      <c r="FV257" s="284"/>
      <c r="FW257" s="282"/>
      <c r="FX257" s="284"/>
      <c r="FY257" s="286"/>
      <c r="FZ257" s="284"/>
      <c r="GA257" s="282"/>
      <c r="GB257" s="284"/>
      <c r="GC257" s="286"/>
      <c r="GD257" s="284"/>
      <c r="GE257" s="282"/>
      <c r="GF257" s="284"/>
      <c r="GG257" s="286"/>
      <c r="GH257" s="284"/>
      <c r="GI257" s="282"/>
      <c r="GJ257" s="284"/>
      <c r="GK257" s="286"/>
      <c r="GL257" s="284"/>
      <c r="GM257" s="282" t="s">
        <v>320</v>
      </c>
      <c r="GN257" s="284">
        <v>16200</v>
      </c>
      <c r="GO257" s="286">
        <v>0.51700000000000002</v>
      </c>
      <c r="GP257" s="284">
        <v>64800</v>
      </c>
      <c r="GQ257" s="282"/>
      <c r="GR257" s="284"/>
      <c r="GS257" s="286"/>
      <c r="GT257" s="284"/>
      <c r="GU257" s="282"/>
      <c r="GV257" s="284"/>
      <c r="GW257" s="286"/>
      <c r="GX257" s="284"/>
      <c r="GY257" s="282" t="s">
        <v>320</v>
      </c>
      <c r="GZ257" s="284">
        <v>5400</v>
      </c>
      <c r="HA257" s="286">
        <v>1</v>
      </c>
      <c r="HB257" s="284">
        <v>21600</v>
      </c>
      <c r="HC257" s="282"/>
      <c r="HD257" s="282"/>
      <c r="HE257" s="284"/>
      <c r="HF257" s="286"/>
      <c r="HG257" s="284"/>
      <c r="HH257" s="282" t="s">
        <v>319</v>
      </c>
      <c r="HI257" s="282"/>
      <c r="HJ257" s="282"/>
      <c r="HK257" s="282" t="s">
        <v>319</v>
      </c>
      <c r="HL257" s="282" t="s">
        <v>319</v>
      </c>
      <c r="HM257" s="282"/>
      <c r="HN257" s="282"/>
      <c r="HO257" s="282"/>
      <c r="HP257" s="282" t="s">
        <v>330</v>
      </c>
      <c r="HQ257" s="282" t="s">
        <v>319</v>
      </c>
      <c r="HR257" s="282" t="s">
        <v>319</v>
      </c>
      <c r="HS257" s="282" t="s">
        <v>320</v>
      </c>
      <c r="HT257" s="282" t="s">
        <v>320</v>
      </c>
      <c r="HU257" s="282" t="s">
        <v>320</v>
      </c>
      <c r="HV257" s="282" t="s">
        <v>319</v>
      </c>
      <c r="HW257" s="282" t="s">
        <v>319</v>
      </c>
      <c r="HX257" s="282" t="s">
        <v>319</v>
      </c>
      <c r="HY257" s="282"/>
      <c r="HZ257" s="282" t="s">
        <v>394</v>
      </c>
      <c r="IA257" s="282" t="s">
        <v>4700</v>
      </c>
      <c r="IB257" s="282" t="s">
        <v>396</v>
      </c>
      <c r="IC257" s="282" t="s">
        <v>4701</v>
      </c>
      <c r="ID257" s="282" t="s">
        <v>364</v>
      </c>
      <c r="IE257" s="282" t="s">
        <v>335</v>
      </c>
      <c r="IF257" s="282" t="s">
        <v>320</v>
      </c>
      <c r="IG257" s="282" t="s">
        <v>320</v>
      </c>
      <c r="IH257" s="282" t="s">
        <v>320</v>
      </c>
      <c r="II257" s="282" t="s">
        <v>320</v>
      </c>
      <c r="IJ257" s="12" t="str">
        <f t="shared" si="130"/>
        <v>2. Sensitive</v>
      </c>
      <c r="IK257" s="287">
        <f t="shared" si="131"/>
        <v>4</v>
      </c>
      <c r="IL257" s="282" t="s">
        <v>336</v>
      </c>
      <c r="IM257" s="282" t="s">
        <v>320</v>
      </c>
      <c r="IN257" s="282" t="s">
        <v>320</v>
      </c>
      <c r="IO257" s="282" t="s">
        <v>320</v>
      </c>
      <c r="IP257" s="282" t="s">
        <v>320</v>
      </c>
      <c r="IQ257" s="287" t="str">
        <f t="shared" si="132"/>
        <v>2. Accommodating</v>
      </c>
      <c r="IR257" s="287">
        <f t="shared" si="133"/>
        <v>4</v>
      </c>
      <c r="IS257" s="282" t="s">
        <v>337</v>
      </c>
      <c r="IT257" s="282" t="s">
        <v>320</v>
      </c>
      <c r="IU257" s="282" t="s">
        <v>320</v>
      </c>
      <c r="IV257" s="282" t="s">
        <v>320</v>
      </c>
      <c r="IW257" s="11" t="str">
        <f t="shared" si="134"/>
        <v>2. Sensitive</v>
      </c>
      <c r="IX257" s="287">
        <f t="shared" si="135"/>
        <v>3</v>
      </c>
      <c r="IY257" s="282" t="s">
        <v>338</v>
      </c>
      <c r="IZ257" s="282" t="s">
        <v>457</v>
      </c>
      <c r="JA257" s="282"/>
      <c r="JB257" s="282" t="s">
        <v>687</v>
      </c>
      <c r="JC257" s="282" t="s">
        <v>624</v>
      </c>
      <c r="JD257" s="282"/>
      <c r="JE257" s="282" t="s">
        <v>340</v>
      </c>
      <c r="JF257" s="282" t="s">
        <v>4702</v>
      </c>
      <c r="JG257" s="282" t="s">
        <v>4703</v>
      </c>
      <c r="JH257" s="282" t="s">
        <v>4704</v>
      </c>
      <c r="JI257" s="282" t="s">
        <v>4705</v>
      </c>
      <c r="JJ257" s="282" t="s">
        <v>4706</v>
      </c>
      <c r="JK257" s="282" t="s">
        <v>4707</v>
      </c>
      <c r="JL257" s="282" t="s">
        <v>4708</v>
      </c>
      <c r="JM257" s="282"/>
      <c r="JN257" s="282" t="s">
        <v>4709</v>
      </c>
      <c r="JO257" s="282" t="s">
        <v>4710</v>
      </c>
      <c r="JP257" s="15">
        <f t="shared" si="136"/>
        <v>16200</v>
      </c>
      <c r="JQ257" s="15">
        <f t="shared" si="137"/>
        <v>64800</v>
      </c>
      <c r="JR257" s="279">
        <f t="shared" si="138"/>
        <v>4</v>
      </c>
      <c r="JS257" s="17">
        <f t="shared" si="139"/>
        <v>0.52</v>
      </c>
      <c r="JT257" s="18">
        <f t="shared" si="140"/>
        <v>0.52</v>
      </c>
      <c r="JU257" s="280">
        <f t="shared" si="141"/>
        <v>8424</v>
      </c>
      <c r="JV257" s="280">
        <f t="shared" si="142"/>
        <v>33696</v>
      </c>
      <c r="JW257" s="319" t="str">
        <f t="shared" si="143"/>
        <v/>
      </c>
      <c r="JX257" s="15">
        <f t="shared" si="144"/>
        <v>0</v>
      </c>
      <c r="JY257" s="15">
        <f t="shared" si="145"/>
        <v>0</v>
      </c>
      <c r="JZ257" s="19" t="str">
        <f t="shared" si="146"/>
        <v/>
      </c>
      <c r="KA257" s="52">
        <f t="shared" si="147"/>
        <v>1</v>
      </c>
      <c r="KB257" s="15">
        <f t="shared" si="148"/>
        <v>16200</v>
      </c>
      <c r="KC257" s="15">
        <f t="shared" si="149"/>
        <v>64800</v>
      </c>
      <c r="KD257" s="20">
        <f t="shared" si="150"/>
        <v>4</v>
      </c>
      <c r="KE257" s="52" t="str">
        <f t="shared" si="151"/>
        <v/>
      </c>
      <c r="KF257" s="15">
        <f t="shared" si="152"/>
        <v>0</v>
      </c>
      <c r="KG257" s="15">
        <f t="shared" si="153"/>
        <v>0</v>
      </c>
      <c r="KH257" s="21" t="str">
        <f t="shared" si="154"/>
        <v/>
      </c>
      <c r="KI257" s="52" t="str">
        <f t="shared" si="155"/>
        <v/>
      </c>
      <c r="KJ257" s="15">
        <f t="shared" si="156"/>
        <v>0</v>
      </c>
      <c r="KK257" s="15">
        <f t="shared" si="157"/>
        <v>0</v>
      </c>
      <c r="KL257" s="19" t="str">
        <f t="shared" si="158"/>
        <v/>
      </c>
      <c r="KM257" s="52">
        <f t="shared" si="159"/>
        <v>1</v>
      </c>
      <c r="KN257" s="22">
        <f t="shared" si="160"/>
        <v>5400</v>
      </c>
      <c r="KO257" s="22">
        <f t="shared" si="161"/>
        <v>21600</v>
      </c>
      <c r="KP257" s="19">
        <f t="shared" si="162"/>
        <v>4</v>
      </c>
      <c r="KQ257" s="11" t="str">
        <f t="shared" si="163"/>
        <v>2. Sensitive</v>
      </c>
      <c r="KR257" s="11" t="str">
        <f t="shared" si="164"/>
        <v>2. Accommodating</v>
      </c>
      <c r="KS257" s="11" t="str">
        <f t="shared" si="165"/>
        <v>2. Sensitive</v>
      </c>
      <c r="KT257" s="11" t="str">
        <f t="shared" si="166"/>
        <v>It tested new ways for fighting poverty, but did not measure results of innovation</v>
      </c>
      <c r="KU257" s="11" t="str">
        <f t="shared" si="167"/>
        <v>Moderate advocacy</v>
      </c>
      <c r="KV257" s="11" t="str">
        <f t="shared" si="168"/>
        <v>It linked and worked with strategic alliances and partners to take tested and effective solutions to scale</v>
      </c>
      <c r="KW257" s="11" t="str">
        <f t="shared" si="169"/>
        <v>Ghana - Promoting a Sustainable and Food Secure World (PROSPER)</v>
      </c>
      <c r="KX257" s="11" t="str">
        <f t="shared" si="170"/>
        <v>Promoting a Sustainable and Food Secure World (PROSPER)</v>
      </c>
      <c r="KY257" s="11" t="str">
        <f t="shared" si="171"/>
        <v>Ghana</v>
      </c>
      <c r="KZ257" s="12">
        <v>257</v>
      </c>
    </row>
    <row r="258" spans="1:312" x14ac:dyDescent="0.3">
      <c r="A258" s="11" t="s">
        <v>4471</v>
      </c>
      <c r="B258" s="11" t="s">
        <v>1596</v>
      </c>
      <c r="D258" s="11" t="s">
        <v>4711</v>
      </c>
      <c r="E258" s="24" t="str">
        <f t="shared" si="172"/>
        <v>Ghana</v>
      </c>
      <c r="F258" s="11" t="s">
        <v>4692</v>
      </c>
      <c r="G258" s="11" t="s">
        <v>379</v>
      </c>
      <c r="H258" s="11" t="s">
        <v>489</v>
      </c>
      <c r="I258" s="11" t="s">
        <v>384</v>
      </c>
      <c r="J258" s="278" t="s">
        <v>3781</v>
      </c>
      <c r="BD258" s="23">
        <v>41518</v>
      </c>
      <c r="BE258" s="23">
        <v>42612</v>
      </c>
      <c r="BG258" s="11" t="s">
        <v>350</v>
      </c>
      <c r="BH258" s="22">
        <v>825000</v>
      </c>
      <c r="BI258" s="11" t="s">
        <v>4546</v>
      </c>
      <c r="BJ258" s="11" t="s">
        <v>354</v>
      </c>
      <c r="BK258" s="11" t="s">
        <v>4547</v>
      </c>
      <c r="BL258" s="11" t="s">
        <v>4693</v>
      </c>
      <c r="BM258" s="11" t="s">
        <v>4694</v>
      </c>
      <c r="BN258" s="11" t="s">
        <v>4695</v>
      </c>
      <c r="BO258" s="12" t="s">
        <v>319</v>
      </c>
      <c r="BP258" s="12" t="s">
        <v>320</v>
      </c>
      <c r="BQ258" s="12" t="s">
        <v>319</v>
      </c>
      <c r="BR258" s="11" t="s">
        <v>4712</v>
      </c>
      <c r="BS258" s="11" t="s">
        <v>357</v>
      </c>
      <c r="BT258" s="11" t="s">
        <v>4713</v>
      </c>
      <c r="BU258" s="11" t="s">
        <v>4714</v>
      </c>
      <c r="BV258" s="22">
        <v>4337</v>
      </c>
      <c r="BW258" s="22">
        <v>5806</v>
      </c>
      <c r="BX258" s="22">
        <v>10143</v>
      </c>
      <c r="BY258" s="22">
        <v>25317</v>
      </c>
      <c r="BZ258" s="22">
        <v>23369</v>
      </c>
      <c r="CA258" s="22">
        <v>48686</v>
      </c>
      <c r="CB258" s="15" t="s">
        <v>4715</v>
      </c>
      <c r="CL258" s="18"/>
      <c r="CP258" s="18"/>
      <c r="CT258" s="18"/>
      <c r="CX258" s="18"/>
      <c r="DB258" s="18"/>
      <c r="DF258" s="18"/>
      <c r="DJ258" s="18"/>
      <c r="DN258" s="18"/>
      <c r="DR258" s="18"/>
      <c r="DV258" s="18"/>
      <c r="DZ258" s="18"/>
      <c r="ED258" s="18"/>
      <c r="EI258" s="18"/>
      <c r="EK258" s="22">
        <v>4337</v>
      </c>
      <c r="EL258" s="22">
        <v>5806</v>
      </c>
      <c r="EM258" s="22">
        <v>10143</v>
      </c>
      <c r="EN258" s="22">
        <v>25317</v>
      </c>
      <c r="EO258" s="22">
        <v>23369</v>
      </c>
      <c r="EP258" s="22">
        <v>48686</v>
      </c>
      <c r="EQ258" s="12" t="s">
        <v>320</v>
      </c>
      <c r="ER258" s="22">
        <v>6454</v>
      </c>
      <c r="ES258" s="18">
        <v>0.39500000000000002</v>
      </c>
      <c r="ET258" s="22">
        <v>19362</v>
      </c>
      <c r="EW258" s="18"/>
      <c r="FA258" s="18"/>
      <c r="FE258" s="18"/>
      <c r="FG258" s="12" t="s">
        <v>320</v>
      </c>
      <c r="FH258" s="22">
        <v>2180</v>
      </c>
      <c r="FI258" s="18">
        <v>0.57999999999999996</v>
      </c>
      <c r="FJ258" s="22">
        <v>8720</v>
      </c>
      <c r="FK258" s="12" t="s">
        <v>320</v>
      </c>
      <c r="FL258" s="22">
        <v>1509</v>
      </c>
      <c r="FM258" s="18">
        <v>0.34</v>
      </c>
      <c r="FN258" s="22">
        <v>22000</v>
      </c>
      <c r="FO258" s="12" t="s">
        <v>320</v>
      </c>
      <c r="FP258" s="22">
        <v>8070</v>
      </c>
      <c r="FQ258" s="18">
        <v>0.65</v>
      </c>
      <c r="FR258" s="22">
        <v>32280</v>
      </c>
      <c r="FU258" s="18"/>
      <c r="FY258" s="18"/>
      <c r="GC258" s="18"/>
      <c r="GG258" s="18"/>
      <c r="GK258" s="18"/>
      <c r="GM258" s="11" t="s">
        <v>320</v>
      </c>
      <c r="GN258" s="22">
        <v>1100</v>
      </c>
      <c r="GO258" s="18">
        <v>0.3</v>
      </c>
      <c r="GP258" s="22">
        <v>55000</v>
      </c>
      <c r="GS258" s="18"/>
      <c r="GW258" s="18"/>
      <c r="GY258" s="11" t="s">
        <v>320</v>
      </c>
      <c r="GZ258" s="22">
        <v>2180</v>
      </c>
      <c r="HA258" s="18">
        <v>0.57999999999999996</v>
      </c>
      <c r="HB258" s="22">
        <v>8720</v>
      </c>
      <c r="HF258" s="18"/>
      <c r="HH258" s="11" t="s">
        <v>320</v>
      </c>
      <c r="HI258" s="11" t="s">
        <v>619</v>
      </c>
      <c r="HJ258" s="11">
        <v>2016</v>
      </c>
      <c r="HK258" s="11" t="s">
        <v>320</v>
      </c>
      <c r="HL258" s="11" t="s">
        <v>319</v>
      </c>
      <c r="HP258" s="11" t="s">
        <v>330</v>
      </c>
      <c r="HQ258" s="11" t="s">
        <v>319</v>
      </c>
      <c r="HR258" s="11" t="s">
        <v>319</v>
      </c>
      <c r="HS258" s="11" t="s">
        <v>320</v>
      </c>
      <c r="HT258" s="11" t="s">
        <v>320</v>
      </c>
      <c r="HU258" s="11" t="s">
        <v>319</v>
      </c>
      <c r="HV258" s="11" t="s">
        <v>319</v>
      </c>
      <c r="HW258" s="11" t="s">
        <v>319</v>
      </c>
      <c r="HX258" s="11" t="s">
        <v>319</v>
      </c>
      <c r="HZ258" s="11" t="s">
        <v>331</v>
      </c>
      <c r="IA258" s="11" t="s">
        <v>4716</v>
      </c>
      <c r="IB258" s="11" t="s">
        <v>396</v>
      </c>
      <c r="IC258" s="11" t="s">
        <v>4701</v>
      </c>
      <c r="ID258" s="11" t="s">
        <v>364</v>
      </c>
      <c r="IE258" s="11" t="s">
        <v>335</v>
      </c>
      <c r="IF258" s="11" t="s">
        <v>320</v>
      </c>
      <c r="IG258" s="11" t="s">
        <v>320</v>
      </c>
      <c r="IH258" s="11" t="s">
        <v>320</v>
      </c>
      <c r="II258" s="11" t="s">
        <v>320</v>
      </c>
      <c r="IJ258" s="12" t="str">
        <f t="shared" ref="IJ258:IJ321" si="173">IF(IE258="","No marker score",IF(ISNUMBER(SEARCH("select",IE258)),"",IF(ISNUMBER(SEARCH("Did NOT",IE258)),"0. Harmful",IF(ISNUMBER(SEARCH("CHALLENGED",IE258)),IF(IK258=4,"4. Transformative",IF(IK258&gt;1,"3. Responsive",IF(IK258&lt;=1,"No marker score",""))),IF(ISNUMBER(SEARCH("WORKED WITH",IE258)),IF(IK258=4,"2. Sensitive",IF(IK258&gt;1,"1. Neutral","0. Harmful")))))))</f>
        <v>2. Sensitive</v>
      </c>
      <c r="IK258" s="12">
        <f t="shared" ref="IK258:IK321" si="174">COUNTIF(IF258:II258,"=YES")</f>
        <v>4</v>
      </c>
      <c r="IL258" s="11" t="s">
        <v>336</v>
      </c>
      <c r="IM258" s="11" t="s">
        <v>320</v>
      </c>
      <c r="IN258" s="11" t="s">
        <v>320</v>
      </c>
      <c r="IO258" s="11" t="s">
        <v>320</v>
      </c>
      <c r="IP258" s="11" t="s">
        <v>320</v>
      </c>
      <c r="IQ258" s="12" t="str">
        <f t="shared" ref="IQ258:IQ321" si="175">IF(IL258="","No marker score",IF(ISNUMBER(SEARCH("select",IL258)),"",IF(ISNUMBER(SEARCH("Did NOT",IL258)),"0. Unaware",IF(ISNUMBER(SEARCH("CHALLENGED",IL258)),IF(IR258=4,"4. Transformational",IF(IR258&gt;1,"3. Responsive",IF(IR258&lt;=1,"No marker score",""))),IF(ISNUMBER(SEARCH("WORKED WITH",IL258)),IF(IR258&gt;=3,"2. Accommodating",IF(IR258&gt;=1,"1. Tokenistic","0. Unaware")))))))</f>
        <v>2. Accommodating</v>
      </c>
      <c r="IR258" s="12">
        <f t="shared" ref="IR258:IR321" si="176">COUNTIF(IM258:IP258,"=YES")</f>
        <v>4</v>
      </c>
      <c r="IS258" s="11" t="s">
        <v>337</v>
      </c>
      <c r="IT258" s="11" t="s">
        <v>320</v>
      </c>
      <c r="IU258" s="11" t="s">
        <v>320</v>
      </c>
      <c r="IV258" s="11" t="s">
        <v>320</v>
      </c>
      <c r="IW258" s="11" t="str">
        <f t="shared" ref="IW258:IW321" si="177">IF(IS258="","No marker score",IF(ISNUMBER(SEARCH("select",IS258)),"",IF(ISNUMBER(SEARCH("Did NOT",IS258)),"0. Harmful",IF(ISNUMBER(SEARCH("well",IS258)),IF(IX258=3,"4. Transformative",IF(IX258&gt;=1,"3. Responsive",IF(IX258=0,"No marker score",""))),IF(ISNUMBER(SEARCH(".",IS258)),IF(IX258&gt;=3,"2. Sensitive",IF(IX258&gt;=1,"1. Neutral","0. Harmful")))))))</f>
        <v>2. Sensitive</v>
      </c>
      <c r="IX258" s="12">
        <f t="shared" ref="IX258:IX321" si="178">COUNTIF(IT258:IV258,"=YES")</f>
        <v>3</v>
      </c>
      <c r="IY258" s="11" t="s">
        <v>338</v>
      </c>
      <c r="IZ258" s="11" t="s">
        <v>457</v>
      </c>
      <c r="JB258" s="11" t="s">
        <v>687</v>
      </c>
      <c r="JE258" s="11" t="s">
        <v>340</v>
      </c>
      <c r="JF258" s="11" t="s">
        <v>4717</v>
      </c>
      <c r="JH258" s="11" t="s">
        <v>4718</v>
      </c>
      <c r="JI258" s="11" t="s">
        <v>4719</v>
      </c>
      <c r="JJ258" s="11" t="s">
        <v>4720</v>
      </c>
      <c r="JK258" s="11" t="s">
        <v>4707</v>
      </c>
      <c r="JL258" s="11" t="s">
        <v>4708</v>
      </c>
      <c r="JO258" s="11" t="s">
        <v>4721</v>
      </c>
      <c r="JP258" s="15">
        <f t="shared" ref="JP258:JP321" si="179">MAX(CF258,EM258)</f>
        <v>10143</v>
      </c>
      <c r="JQ258" s="15">
        <f t="shared" ref="JQ258:JQ321" si="180">MAX(CI258,EP258)</f>
        <v>48686</v>
      </c>
      <c r="JR258" s="279">
        <f t="shared" ref="JR258:JR321" si="181">IFERROR(JQ258/JP258,"")</f>
        <v>4.799960563935719</v>
      </c>
      <c r="JS258" s="17">
        <f t="shared" ref="JS258:JS321" si="182">IFERROR(MAX(CD258,EK258)/JP258,"")</f>
        <v>0.42758552696440894</v>
      </c>
      <c r="JT258" s="18">
        <f t="shared" ref="JT258:JT321" si="183">IFERROR(MAX(CG258,EN258)/JQ258,"")</f>
        <v>0.52000575113995806</v>
      </c>
      <c r="JU258" s="280">
        <f t="shared" ref="JU258:JU321" si="184">IFERROR(MAX(CD258,EK258),"")</f>
        <v>4337</v>
      </c>
      <c r="JV258" s="280">
        <f t="shared" ref="JV258:JV321" si="185">IFERROR(MAX(CG258,EN258),"")</f>
        <v>25317</v>
      </c>
      <c r="JW258" s="319" t="str">
        <f t="shared" ref="JW258:JW321" si="186">IF(BO258="yes",1,"")</f>
        <v/>
      </c>
      <c r="JX258" s="15">
        <f t="shared" ref="JX258:JX321" si="187">CF258</f>
        <v>0</v>
      </c>
      <c r="JY258" s="15">
        <f t="shared" ref="JY258:JY321" si="188">CI258</f>
        <v>0</v>
      </c>
      <c r="JZ258" s="19" t="str">
        <f t="shared" ref="JZ258:JZ321" si="189">IFERROR(JY258/JX258,"")</f>
        <v/>
      </c>
      <c r="KA258" s="52">
        <f t="shared" ref="KA258:KA321" si="190">IF((OR(CV258="yes", DL258="yes", EQ258="yes", EU258="yes", FC258="yes", FG258="yes", FO258="yes", GI258="yes", GU258="yes")), 1, "")</f>
        <v>1</v>
      </c>
      <c r="KB258" s="15">
        <f t="shared" ref="KB258:KB321" si="191">MAX(CW258,DM258,ER258,EV258,FD258,FH258,FP258,GJ258,GV258)</f>
        <v>8070</v>
      </c>
      <c r="KC258" s="15">
        <f t="shared" ref="KC258:KC321" si="192">MAX(CY258,DO258,ET258,EX258,FF258,FJ258,FR258,GL258,GX258)</f>
        <v>32280</v>
      </c>
      <c r="KD258" s="20">
        <f t="shared" ref="KD258:KD321" si="193">IFERROR(KC258/KB258,"")</f>
        <v>4</v>
      </c>
      <c r="KE258" s="52" t="str">
        <f t="shared" ref="KE258:KE321" si="194">IF((OR(DT258="yes", GQ258="yes")), 1, "")</f>
        <v/>
      </c>
      <c r="KF258" s="15">
        <f t="shared" ref="KF258:KF321" si="195">MAX(DU258,GR258)</f>
        <v>0</v>
      </c>
      <c r="KG258" s="15">
        <f t="shared" ref="KG258:KG321" si="196">MAX(DW258,GT258)</f>
        <v>0</v>
      </c>
      <c r="KH258" s="21" t="str">
        <f t="shared" ref="KH258:KH321" si="197">IFERROR(KG258/KF258,"")</f>
        <v/>
      </c>
      <c r="KI258" s="52" t="str">
        <f t="shared" ref="KI258:KI321" si="198">IF((OR(CZ258="yes", FS258="yes")), 1, "")</f>
        <v/>
      </c>
      <c r="KJ258" s="15">
        <f t="shared" ref="KJ258:KJ321" si="199">MAX(DA258,FT258)</f>
        <v>0</v>
      </c>
      <c r="KK258" s="15">
        <f t="shared" ref="KK258:KK321" si="200">MAX(DC258,FV258)</f>
        <v>0</v>
      </c>
      <c r="KL258" s="19" t="str">
        <f t="shared" ref="KL258:KL321" si="201">IFERROR(KK258/KJ258,"")</f>
        <v/>
      </c>
      <c r="KM258" s="52">
        <f t="shared" ref="KM258:KM321" si="202">IF((OR(FG258="yes", GY258="yes")), 1, "")</f>
        <v>1</v>
      </c>
      <c r="KN258" s="22">
        <f t="shared" ref="KN258:KN321" si="203">IFERROR(MAX((FH258*FI258),GZ258),"")</f>
        <v>2180</v>
      </c>
      <c r="KO258" s="22">
        <f t="shared" ref="KO258:KO321" si="204">IFERROR(MAX((FJ258*FI258),HB258),"")</f>
        <v>8720</v>
      </c>
      <c r="KP258" s="19">
        <f t="shared" ref="KP258:KP321" si="205">IFERROR(KO258/KN258,"")</f>
        <v>4</v>
      </c>
      <c r="KQ258" s="11" t="str">
        <f t="shared" ref="KQ258:KQ321" si="206">IJ258</f>
        <v>2. Sensitive</v>
      </c>
      <c r="KR258" s="11" t="str">
        <f t="shared" ref="KR258:KR321" si="207">IQ258</f>
        <v>2. Accommodating</v>
      </c>
      <c r="KS258" s="11" t="str">
        <f t="shared" ref="KS258:KS321" si="208">IW258</f>
        <v>2. Sensitive</v>
      </c>
      <c r="KT258" s="11" t="str">
        <f t="shared" ref="KT258:KT321" si="209">HZ258</f>
        <v>It tested new ways for fighting poverty and measured results of innovation</v>
      </c>
      <c r="KU258" s="11" t="str">
        <f t="shared" ref="KU258:KU321" si="210">HP258</f>
        <v>Moderate advocacy</v>
      </c>
      <c r="KV258" s="11" t="str">
        <f t="shared" ref="KV258:KV321" si="211">IB258</f>
        <v>It linked and worked with strategic alliances and partners to take tested and effective solutions to scale</v>
      </c>
      <c r="KW258" s="11" t="str">
        <f t="shared" ref="KW258:KW321" si="212">A258&amp;" - "&amp;D258</f>
        <v>Ghana - Prosperous Cocoa Farming Communties (PROCOCO)</v>
      </c>
      <c r="KX258" s="11" t="str">
        <f t="shared" ref="KX258:KX321" si="213">D258</f>
        <v>Prosperous Cocoa Farming Communties (PROCOCO)</v>
      </c>
      <c r="KY258" s="11" t="str">
        <f t="shared" ref="KY258:KY321" si="214">A258</f>
        <v>Ghana</v>
      </c>
      <c r="KZ258" s="12">
        <v>258</v>
      </c>
    </row>
    <row r="259" spans="1:312" x14ac:dyDescent="0.3">
      <c r="A259" s="11" t="s">
        <v>4471</v>
      </c>
      <c r="B259" s="11" t="s">
        <v>1596</v>
      </c>
      <c r="D259" s="11" t="s">
        <v>4493</v>
      </c>
      <c r="E259" s="24" t="str">
        <f t="shared" si="172"/>
        <v>Ghana</v>
      </c>
      <c r="F259" s="11" t="s">
        <v>4494</v>
      </c>
      <c r="G259" s="11" t="s">
        <v>1853</v>
      </c>
      <c r="H259" s="11" t="s">
        <v>310</v>
      </c>
      <c r="I259" s="11" t="s">
        <v>1854</v>
      </c>
      <c r="J259" s="278" t="s">
        <v>4495</v>
      </c>
      <c r="BD259" s="23">
        <v>41640</v>
      </c>
      <c r="BE259" s="23" t="s">
        <v>4496</v>
      </c>
      <c r="BG259" s="11" t="s">
        <v>312</v>
      </c>
      <c r="BH259" s="22">
        <v>2435011</v>
      </c>
      <c r="BI259" s="11" t="s">
        <v>4497</v>
      </c>
      <c r="BJ259" s="11" t="s">
        <v>4498</v>
      </c>
      <c r="BK259" s="11" t="s">
        <v>4499</v>
      </c>
      <c r="BO259" s="11" t="s">
        <v>319</v>
      </c>
      <c r="BP259" s="11" t="s">
        <v>320</v>
      </c>
      <c r="BQ259" s="11" t="s">
        <v>319</v>
      </c>
      <c r="BR259" s="11" t="s">
        <v>4500</v>
      </c>
      <c r="BS259" s="11" t="s">
        <v>322</v>
      </c>
      <c r="BT259" s="11" t="s">
        <v>4501</v>
      </c>
      <c r="BU259" s="11" t="s">
        <v>4502</v>
      </c>
      <c r="BV259" s="22">
        <v>1040000</v>
      </c>
      <c r="BW259" s="22">
        <v>960000</v>
      </c>
      <c r="BX259" s="22">
        <v>2000000</v>
      </c>
      <c r="BY259" s="22">
        <v>2700000</v>
      </c>
      <c r="BZ259" s="22">
        <v>1300000</v>
      </c>
      <c r="CA259" s="22">
        <v>4000000</v>
      </c>
      <c r="CB259" s="15" t="s">
        <v>4503</v>
      </c>
      <c r="CL259" s="18"/>
      <c r="CP259" s="18"/>
      <c r="CT259" s="18"/>
      <c r="CX259" s="18"/>
      <c r="DB259" s="18"/>
      <c r="DF259" s="18"/>
      <c r="DJ259" s="18"/>
      <c r="DN259" s="18"/>
      <c r="DR259" s="18"/>
      <c r="DV259" s="18"/>
      <c r="DZ259" s="18"/>
      <c r="ED259" s="18"/>
      <c r="EI259" s="18"/>
      <c r="EK259" s="22">
        <v>669000</v>
      </c>
      <c r="EL259" s="22">
        <v>578200</v>
      </c>
      <c r="EM259" s="22">
        <v>1247200</v>
      </c>
      <c r="EN259" s="22">
        <v>2009800</v>
      </c>
      <c r="EO259" s="22">
        <v>1592100</v>
      </c>
      <c r="EP259" s="22">
        <v>3601900</v>
      </c>
      <c r="ES259" s="18"/>
      <c r="EU259" s="11" t="s">
        <v>320</v>
      </c>
      <c r="EV259" s="22">
        <v>1243200</v>
      </c>
      <c r="EW259" s="18">
        <v>0.54</v>
      </c>
      <c r="EX259" s="22">
        <v>3601900</v>
      </c>
      <c r="FA259" s="18"/>
      <c r="FE259" s="18"/>
      <c r="FI259" s="18"/>
      <c r="FM259" s="18"/>
      <c r="FQ259" s="18"/>
      <c r="FU259" s="18"/>
      <c r="FY259" s="18"/>
      <c r="GC259" s="18"/>
      <c r="GG259" s="18"/>
      <c r="GI259" s="11" t="s">
        <v>320</v>
      </c>
      <c r="GJ259" s="22">
        <v>1243200</v>
      </c>
      <c r="GK259" s="18">
        <v>0.54</v>
      </c>
      <c r="GL259" s="22">
        <v>3601900</v>
      </c>
      <c r="GM259" s="11" t="s">
        <v>320</v>
      </c>
      <c r="GN259" s="22">
        <v>1243200</v>
      </c>
      <c r="GO259" s="18">
        <v>0.54</v>
      </c>
      <c r="GP259" s="22">
        <v>3601900</v>
      </c>
      <c r="GS259" s="18"/>
      <c r="GW259" s="18"/>
      <c r="HA259" s="18"/>
      <c r="HF259" s="18"/>
      <c r="HH259" s="11" t="s">
        <v>319</v>
      </c>
      <c r="HK259" s="11" t="s">
        <v>319</v>
      </c>
      <c r="HL259" s="11" t="s">
        <v>320</v>
      </c>
      <c r="HM259" s="11" t="s">
        <v>361</v>
      </c>
      <c r="HN259" s="11">
        <v>2017</v>
      </c>
      <c r="HO259" s="11" t="s">
        <v>4504</v>
      </c>
      <c r="HP259" s="11" t="s">
        <v>453</v>
      </c>
      <c r="HQ259" s="11" t="s">
        <v>320</v>
      </c>
      <c r="HR259" s="11" t="s">
        <v>320</v>
      </c>
      <c r="HS259" s="11" t="s">
        <v>320</v>
      </c>
      <c r="HT259" s="11" t="s">
        <v>320</v>
      </c>
      <c r="HU259" s="11" t="s">
        <v>320</v>
      </c>
      <c r="HW259" s="11" t="s">
        <v>320</v>
      </c>
      <c r="HX259" s="11" t="s">
        <v>320</v>
      </c>
      <c r="HZ259" s="11" t="s">
        <v>394</v>
      </c>
      <c r="IA259" s="11" t="s">
        <v>4505</v>
      </c>
      <c r="IB259" s="11" t="s">
        <v>396</v>
      </c>
      <c r="IC259" s="11" t="s">
        <v>4506</v>
      </c>
      <c r="ID259" s="11" t="s">
        <v>364</v>
      </c>
      <c r="IE259" s="11" t="s">
        <v>478</v>
      </c>
      <c r="IF259" s="11" t="s">
        <v>320</v>
      </c>
      <c r="IG259" s="11" t="s">
        <v>320</v>
      </c>
      <c r="IH259" s="11" t="s">
        <v>320</v>
      </c>
      <c r="IJ259" s="12" t="str">
        <f t="shared" si="173"/>
        <v>3. Responsive</v>
      </c>
      <c r="IK259" s="12">
        <f t="shared" si="174"/>
        <v>3</v>
      </c>
      <c r="IL259" s="11" t="s">
        <v>621</v>
      </c>
      <c r="IM259" s="11" t="s">
        <v>320</v>
      </c>
      <c r="IN259" s="11" t="s">
        <v>320</v>
      </c>
      <c r="IO259" s="11" t="s">
        <v>320</v>
      </c>
      <c r="IP259" s="11" t="s">
        <v>320</v>
      </c>
      <c r="IQ259" s="12" t="str">
        <f t="shared" si="175"/>
        <v>4. Transformational</v>
      </c>
      <c r="IR259" s="12">
        <f t="shared" si="176"/>
        <v>4</v>
      </c>
      <c r="IS259" s="11" t="s">
        <v>337</v>
      </c>
      <c r="IT259" s="11" t="s">
        <v>320</v>
      </c>
      <c r="IU259" s="11" t="s">
        <v>320</v>
      </c>
      <c r="IV259" s="11" t="s">
        <v>320</v>
      </c>
      <c r="IW259" s="11" t="str">
        <f t="shared" si="177"/>
        <v>2. Sensitive</v>
      </c>
      <c r="IX259" s="12">
        <f t="shared" si="178"/>
        <v>3</v>
      </c>
      <c r="IY259" s="11" t="s">
        <v>758</v>
      </c>
      <c r="IZ259" s="11" t="s">
        <v>457</v>
      </c>
      <c r="JA259" s="11">
        <v>5</v>
      </c>
      <c r="JB259" s="12" t="s">
        <v>651</v>
      </c>
      <c r="JC259" s="11" t="s">
        <v>433</v>
      </c>
      <c r="JE259" s="11" t="s">
        <v>340</v>
      </c>
      <c r="JF259" s="11" t="s">
        <v>4507</v>
      </c>
      <c r="JG259" s="11" t="s">
        <v>4508</v>
      </c>
      <c r="JH259" s="11" t="s">
        <v>4509</v>
      </c>
      <c r="JI259" s="11" t="s">
        <v>4510</v>
      </c>
      <c r="JJ259" s="11" t="s">
        <v>4511</v>
      </c>
      <c r="JK259" s="11" t="s">
        <v>4512</v>
      </c>
      <c r="JL259" s="11" t="s">
        <v>4513</v>
      </c>
      <c r="JN259" s="11" t="s">
        <v>4514</v>
      </c>
      <c r="JO259" s="11" t="s">
        <v>4515</v>
      </c>
      <c r="JP259" s="15">
        <f t="shared" si="179"/>
        <v>1247200</v>
      </c>
      <c r="JQ259" s="15">
        <f t="shared" si="180"/>
        <v>3601900</v>
      </c>
      <c r="JR259" s="279">
        <f t="shared" si="181"/>
        <v>2.8879890955740861</v>
      </c>
      <c r="JS259" s="17">
        <f t="shared" si="182"/>
        <v>0.53640153944836433</v>
      </c>
      <c r="JT259" s="18">
        <f t="shared" si="183"/>
        <v>0.55798328659873953</v>
      </c>
      <c r="JU259" s="280">
        <f t="shared" si="184"/>
        <v>669000</v>
      </c>
      <c r="JV259" s="280">
        <f t="shared" si="185"/>
        <v>2009800</v>
      </c>
      <c r="JW259" s="319" t="str">
        <f t="shared" si="186"/>
        <v/>
      </c>
      <c r="JX259" s="15">
        <f t="shared" si="187"/>
        <v>0</v>
      </c>
      <c r="JY259" s="15">
        <f t="shared" si="188"/>
        <v>0</v>
      </c>
      <c r="JZ259" s="19" t="str">
        <f t="shared" si="189"/>
        <v/>
      </c>
      <c r="KA259" s="52">
        <f t="shared" si="190"/>
        <v>1</v>
      </c>
      <c r="KB259" s="15">
        <f t="shared" si="191"/>
        <v>1243200</v>
      </c>
      <c r="KC259" s="15">
        <f t="shared" si="192"/>
        <v>3601900</v>
      </c>
      <c r="KD259" s="20">
        <f t="shared" si="193"/>
        <v>2.8972812097812097</v>
      </c>
      <c r="KE259" s="52" t="str">
        <f t="shared" si="194"/>
        <v/>
      </c>
      <c r="KF259" s="15">
        <f t="shared" si="195"/>
        <v>0</v>
      </c>
      <c r="KG259" s="15">
        <f t="shared" si="196"/>
        <v>0</v>
      </c>
      <c r="KH259" s="21" t="str">
        <f t="shared" si="197"/>
        <v/>
      </c>
      <c r="KI259" s="52" t="str">
        <f t="shared" si="198"/>
        <v/>
      </c>
      <c r="KJ259" s="15">
        <f t="shared" si="199"/>
        <v>0</v>
      </c>
      <c r="KK259" s="15">
        <f t="shared" si="200"/>
        <v>0</v>
      </c>
      <c r="KL259" s="19" t="str">
        <f t="shared" si="201"/>
        <v/>
      </c>
      <c r="KM259" s="52" t="str">
        <f t="shared" si="202"/>
        <v/>
      </c>
      <c r="KN259" s="22">
        <f t="shared" si="203"/>
        <v>0</v>
      </c>
      <c r="KO259" s="22">
        <f t="shared" si="204"/>
        <v>0</v>
      </c>
      <c r="KP259" s="19" t="str">
        <f t="shared" si="205"/>
        <v/>
      </c>
      <c r="KQ259" s="11" t="str">
        <f t="shared" si="206"/>
        <v>3. Responsive</v>
      </c>
      <c r="KR259" s="11" t="str">
        <f t="shared" si="207"/>
        <v>4. Transformational</v>
      </c>
      <c r="KS259" s="11" t="str">
        <f t="shared" si="208"/>
        <v>2. Sensitive</v>
      </c>
      <c r="KT259" s="11" t="str">
        <f t="shared" si="209"/>
        <v>It tested new ways for fighting poverty, but did not measure results of innovation</v>
      </c>
      <c r="KU259" s="11" t="str">
        <f t="shared" si="210"/>
        <v>Intensive advocacy</v>
      </c>
      <c r="KV259" s="11" t="str">
        <f t="shared" si="211"/>
        <v>It linked and worked with strategic alliances and partners to take tested and effective solutions to scale</v>
      </c>
      <c r="KW259" s="11" t="str">
        <f t="shared" si="212"/>
        <v>Ghana - YenSore Programme</v>
      </c>
      <c r="KX259" s="11" t="str">
        <f t="shared" si="213"/>
        <v>YenSore Programme</v>
      </c>
      <c r="KY259" s="11" t="str">
        <f t="shared" si="214"/>
        <v>Ghana</v>
      </c>
      <c r="KZ259" s="12">
        <v>259</v>
      </c>
    </row>
    <row r="260" spans="1:312" x14ac:dyDescent="0.3">
      <c r="A260" s="11" t="s">
        <v>4743</v>
      </c>
      <c r="B260" s="11" t="s">
        <v>602</v>
      </c>
      <c r="D260" s="11" t="s">
        <v>4744</v>
      </c>
      <c r="E260" s="24" t="str">
        <f t="shared" si="172"/>
        <v>Greece</v>
      </c>
      <c r="F260" s="11" t="s">
        <v>4745</v>
      </c>
      <c r="G260" s="11" t="s">
        <v>1738</v>
      </c>
      <c r="H260" s="11" t="s">
        <v>380</v>
      </c>
      <c r="I260" s="11" t="s">
        <v>907</v>
      </c>
      <c r="J260" s="278" t="s">
        <v>5183</v>
      </c>
      <c r="K260" s="11" t="s">
        <v>4746</v>
      </c>
      <c r="L260" s="11" t="s">
        <v>1738</v>
      </c>
      <c r="M260" s="11" t="s">
        <v>380</v>
      </c>
      <c r="N260" s="11" t="s">
        <v>381</v>
      </c>
      <c r="O260" s="278" t="s">
        <v>11578</v>
      </c>
      <c r="P260" s="11" t="s">
        <v>4747</v>
      </c>
      <c r="Q260" s="11" t="s">
        <v>1738</v>
      </c>
      <c r="R260" s="11" t="s">
        <v>310</v>
      </c>
      <c r="S260" s="11" t="s">
        <v>2399</v>
      </c>
      <c r="T260" s="11" t="s">
        <v>4748</v>
      </c>
      <c r="U260" s="11" t="s">
        <v>4747</v>
      </c>
      <c r="V260" s="11" t="s">
        <v>1738</v>
      </c>
      <c r="W260" s="11" t="s">
        <v>489</v>
      </c>
      <c r="X260" s="11" t="s">
        <v>384</v>
      </c>
      <c r="Y260" s="11" t="s">
        <v>4749</v>
      </c>
      <c r="Z260" s="11" t="s">
        <v>4750</v>
      </c>
      <c r="AA260" s="11" t="s">
        <v>1738</v>
      </c>
      <c r="AB260" s="11" t="s">
        <v>383</v>
      </c>
      <c r="AC260" s="11" t="s">
        <v>384</v>
      </c>
      <c r="AD260" s="11" t="s">
        <v>4751</v>
      </c>
      <c r="AE260" s="11" t="s">
        <v>4752</v>
      </c>
      <c r="AF260" s="11" t="s">
        <v>1738</v>
      </c>
      <c r="AG260" s="11" t="s">
        <v>310</v>
      </c>
      <c r="AH260" s="11" t="s">
        <v>3316</v>
      </c>
      <c r="AI260" s="281" t="s">
        <v>14616</v>
      </c>
      <c r="AJ260" s="11" t="s">
        <v>4753</v>
      </c>
      <c r="AK260" s="11" t="s">
        <v>1738</v>
      </c>
      <c r="AL260" s="11" t="s">
        <v>310</v>
      </c>
      <c r="AM260" s="11" t="s">
        <v>506</v>
      </c>
      <c r="AN260" s="11" t="s">
        <v>9230</v>
      </c>
      <c r="AO260" s="11" t="s">
        <v>4754</v>
      </c>
      <c r="AP260" s="11" t="s">
        <v>1738</v>
      </c>
      <c r="AQ260" s="11" t="s">
        <v>384</v>
      </c>
      <c r="AR260" s="11" t="s">
        <v>384</v>
      </c>
      <c r="AS260" s="11" t="s">
        <v>4755</v>
      </c>
      <c r="AT260" s="11" t="s">
        <v>4756</v>
      </c>
      <c r="AU260" s="11" t="s">
        <v>1738</v>
      </c>
      <c r="AV260" s="11" t="s">
        <v>383</v>
      </c>
      <c r="AW260" s="11" t="s">
        <v>384</v>
      </c>
      <c r="AX260" s="11" t="s">
        <v>4757</v>
      </c>
      <c r="AY260" s="11" t="s">
        <v>4758</v>
      </c>
      <c r="AZ260" s="11" t="s">
        <v>1738</v>
      </c>
      <c r="BA260" s="11" t="s">
        <v>489</v>
      </c>
      <c r="BB260" s="11" t="s">
        <v>384</v>
      </c>
      <c r="BC260" s="11" t="s">
        <v>4759</v>
      </c>
      <c r="BD260" s="23">
        <v>42552</v>
      </c>
      <c r="BE260" s="23">
        <v>43100</v>
      </c>
      <c r="BG260" s="11" t="s">
        <v>817</v>
      </c>
      <c r="BH260" s="22">
        <v>6113628.1100000003</v>
      </c>
      <c r="BI260" s="11" t="s">
        <v>4760</v>
      </c>
      <c r="BJ260" s="11" t="s">
        <v>4761</v>
      </c>
      <c r="BK260" s="11" t="s">
        <v>4762</v>
      </c>
      <c r="BL260" s="11" t="s">
        <v>4763</v>
      </c>
      <c r="BM260" s="11" t="s">
        <v>4764</v>
      </c>
      <c r="BN260" s="11" t="s">
        <v>4765</v>
      </c>
      <c r="BO260" s="11" t="s">
        <v>320</v>
      </c>
      <c r="BP260" s="11" t="s">
        <v>319</v>
      </c>
      <c r="BQ260" s="11" t="s">
        <v>319</v>
      </c>
      <c r="BR260" s="11" t="s">
        <v>4766</v>
      </c>
      <c r="BS260" s="11" t="s">
        <v>322</v>
      </c>
      <c r="BT260" s="11" t="s">
        <v>4767</v>
      </c>
      <c r="BU260" s="11" t="s">
        <v>4768</v>
      </c>
      <c r="CF260" s="22">
        <v>12841</v>
      </c>
      <c r="CI260" s="22">
        <v>0</v>
      </c>
      <c r="CL260" s="18"/>
      <c r="CN260" s="12" t="s">
        <v>320</v>
      </c>
      <c r="CO260" s="22">
        <v>2763</v>
      </c>
      <c r="CP260" s="18"/>
      <c r="CT260" s="18"/>
      <c r="CX260" s="18"/>
      <c r="DB260" s="18"/>
      <c r="DF260" s="18"/>
      <c r="DH260" s="12" t="s">
        <v>320</v>
      </c>
      <c r="DI260" s="22">
        <v>927</v>
      </c>
      <c r="DJ260" s="18">
        <v>0.25</v>
      </c>
      <c r="DN260" s="18"/>
      <c r="DP260" s="12" t="s">
        <v>320</v>
      </c>
      <c r="DQ260" s="22">
        <v>7123</v>
      </c>
      <c r="DR260" s="18"/>
      <c r="DV260" s="18"/>
      <c r="DX260" s="12" t="s">
        <v>320</v>
      </c>
      <c r="DY260" s="22">
        <v>111</v>
      </c>
      <c r="DZ260" s="18">
        <v>0.54</v>
      </c>
      <c r="ED260" s="18"/>
      <c r="EI260" s="18"/>
      <c r="ES260" s="18"/>
      <c r="EW260" s="18"/>
      <c r="FA260" s="18"/>
      <c r="FE260" s="18"/>
      <c r="FI260" s="18"/>
      <c r="FM260" s="18"/>
      <c r="FQ260" s="18"/>
      <c r="FU260" s="18"/>
      <c r="FY260" s="18"/>
      <c r="GC260" s="18"/>
      <c r="GG260" s="18"/>
      <c r="GK260" s="18"/>
      <c r="GO260" s="18"/>
      <c r="GS260" s="18"/>
      <c r="GW260" s="18"/>
      <c r="HA260" s="18"/>
      <c r="HF260" s="18"/>
      <c r="HH260" s="11" t="s">
        <v>320</v>
      </c>
      <c r="HI260" s="11" t="s">
        <v>415</v>
      </c>
      <c r="HJ260" s="11">
        <v>2017</v>
      </c>
      <c r="HK260" s="11" t="s">
        <v>319</v>
      </c>
      <c r="HL260" s="11" t="s">
        <v>319</v>
      </c>
      <c r="HP260" s="11" t="s">
        <v>330</v>
      </c>
      <c r="HQ260" s="11" t="s">
        <v>320</v>
      </c>
      <c r="HR260" s="11" t="s">
        <v>320</v>
      </c>
      <c r="HS260" s="11" t="s">
        <v>320</v>
      </c>
      <c r="HT260" s="11" t="s">
        <v>320</v>
      </c>
      <c r="HU260" s="11" t="s">
        <v>320</v>
      </c>
      <c r="HV260" s="11" t="s">
        <v>319</v>
      </c>
      <c r="HW260" s="11" t="s">
        <v>319</v>
      </c>
      <c r="HZ260" s="11" t="s">
        <v>363</v>
      </c>
      <c r="IB260" s="11" t="s">
        <v>333</v>
      </c>
      <c r="ID260" s="11" t="s">
        <v>334</v>
      </c>
      <c r="IE260" s="11" t="s">
        <v>335</v>
      </c>
      <c r="IF260" s="11" t="s">
        <v>320</v>
      </c>
      <c r="IG260" s="11" t="s">
        <v>320</v>
      </c>
      <c r="IH260" s="11" t="s">
        <v>320</v>
      </c>
      <c r="II260" s="11" t="s">
        <v>320</v>
      </c>
      <c r="IJ260" s="12" t="str">
        <f t="shared" si="173"/>
        <v>2. Sensitive</v>
      </c>
      <c r="IK260" s="12">
        <f t="shared" si="174"/>
        <v>4</v>
      </c>
      <c r="IL260" s="11" t="s">
        <v>336</v>
      </c>
      <c r="IM260" s="11" t="s">
        <v>320</v>
      </c>
      <c r="IN260" s="11" t="s">
        <v>320</v>
      </c>
      <c r="IO260" s="11" t="s">
        <v>320</v>
      </c>
      <c r="IP260" s="11" t="s">
        <v>320</v>
      </c>
      <c r="IQ260" s="12" t="str">
        <f t="shared" si="175"/>
        <v>2. Accommodating</v>
      </c>
      <c r="IR260" s="12">
        <f t="shared" si="176"/>
        <v>4</v>
      </c>
      <c r="IS260" s="11" t="s">
        <v>456</v>
      </c>
      <c r="IT260" s="11" t="s">
        <v>319</v>
      </c>
      <c r="IU260" s="11" t="s">
        <v>320</v>
      </c>
      <c r="IV260" s="11" t="s">
        <v>319</v>
      </c>
      <c r="IW260" s="11" t="str">
        <f t="shared" si="177"/>
        <v>0. Harmful</v>
      </c>
      <c r="IX260" s="12">
        <f t="shared" si="178"/>
        <v>1</v>
      </c>
      <c r="IY260" s="11" t="s">
        <v>338</v>
      </c>
      <c r="IZ260" s="11" t="s">
        <v>432</v>
      </c>
      <c r="JA260" s="11">
        <v>3</v>
      </c>
      <c r="JB260" s="11" t="s">
        <v>433</v>
      </c>
      <c r="JC260" s="11" t="s">
        <v>624</v>
      </c>
      <c r="JE260" s="11" t="s">
        <v>340</v>
      </c>
      <c r="JF260" s="11" t="s">
        <v>4769</v>
      </c>
      <c r="JG260" s="11" t="s">
        <v>4770</v>
      </c>
      <c r="JH260" s="11" t="s">
        <v>4771</v>
      </c>
      <c r="JI260" s="11" t="s">
        <v>4772</v>
      </c>
      <c r="JJ260" s="11" t="s">
        <v>4773</v>
      </c>
      <c r="JK260" s="11" t="s">
        <v>4774</v>
      </c>
      <c r="JL260" s="11" t="s">
        <v>4775</v>
      </c>
      <c r="JM260" s="11" t="s">
        <v>4776</v>
      </c>
      <c r="JP260" s="15">
        <f t="shared" si="179"/>
        <v>12841</v>
      </c>
      <c r="JQ260" s="15">
        <f t="shared" si="180"/>
        <v>0</v>
      </c>
      <c r="JR260" s="279">
        <f t="shared" si="181"/>
        <v>0</v>
      </c>
      <c r="JS260" s="17">
        <f t="shared" si="182"/>
        <v>0</v>
      </c>
      <c r="JT260" s="18" t="str">
        <f t="shared" si="183"/>
        <v/>
      </c>
      <c r="JU260" s="280">
        <f t="shared" si="184"/>
        <v>0</v>
      </c>
      <c r="JV260" s="280">
        <f t="shared" si="185"/>
        <v>0</v>
      </c>
      <c r="JW260" s="319">
        <f t="shared" si="186"/>
        <v>1</v>
      </c>
      <c r="JX260" s="15">
        <f t="shared" si="187"/>
        <v>12841</v>
      </c>
      <c r="JY260" s="15">
        <f t="shared" si="188"/>
        <v>0</v>
      </c>
      <c r="JZ260" s="19">
        <f t="shared" si="189"/>
        <v>0</v>
      </c>
      <c r="KA260" s="52" t="str">
        <f t="shared" si="190"/>
        <v/>
      </c>
      <c r="KB260" s="15">
        <f t="shared" si="191"/>
        <v>0</v>
      </c>
      <c r="KC260" s="15">
        <f t="shared" si="192"/>
        <v>0</v>
      </c>
      <c r="KD260" s="20" t="str">
        <f t="shared" si="193"/>
        <v/>
      </c>
      <c r="KE260" s="52" t="str">
        <f t="shared" si="194"/>
        <v/>
      </c>
      <c r="KF260" s="15">
        <f t="shared" si="195"/>
        <v>0</v>
      </c>
      <c r="KG260" s="15">
        <f t="shared" si="196"/>
        <v>0</v>
      </c>
      <c r="KH260" s="21" t="str">
        <f t="shared" si="197"/>
        <v/>
      </c>
      <c r="KI260" s="52" t="str">
        <f t="shared" si="198"/>
        <v/>
      </c>
      <c r="KJ260" s="15">
        <f t="shared" si="199"/>
        <v>0</v>
      </c>
      <c r="KK260" s="15">
        <f t="shared" si="200"/>
        <v>0</v>
      </c>
      <c r="KL260" s="19" t="str">
        <f t="shared" si="201"/>
        <v/>
      </c>
      <c r="KM260" s="52" t="str">
        <f t="shared" si="202"/>
        <v/>
      </c>
      <c r="KN260" s="22">
        <f t="shared" si="203"/>
        <v>0</v>
      </c>
      <c r="KO260" s="22">
        <f t="shared" si="204"/>
        <v>0</v>
      </c>
      <c r="KP260" s="19" t="str">
        <f t="shared" si="205"/>
        <v/>
      </c>
      <c r="KQ260" s="11" t="str">
        <f t="shared" si="206"/>
        <v>2. Sensitive</v>
      </c>
      <c r="KR260" s="11" t="str">
        <f t="shared" si="207"/>
        <v>2. Accommodating</v>
      </c>
      <c r="KS260" s="11" t="str">
        <f t="shared" si="208"/>
        <v>0. Harmful</v>
      </c>
      <c r="KT260" s="11" t="str">
        <f t="shared" si="209"/>
        <v>It did not develop any specific innovation</v>
      </c>
      <c r="KU260" s="11" t="str">
        <f t="shared" si="210"/>
        <v>Moderate advocacy</v>
      </c>
      <c r="KV260" s="11" t="str">
        <f t="shared" si="211"/>
        <v>It did not take tested solutions to scale</v>
      </c>
      <c r="KW260" s="11" t="str">
        <f t="shared" si="212"/>
        <v>Greece - Refugee response in Greece</v>
      </c>
      <c r="KX260" s="11" t="str">
        <f t="shared" si="213"/>
        <v>Refugee response in Greece</v>
      </c>
      <c r="KY260" s="11" t="str">
        <f t="shared" si="214"/>
        <v>Greece</v>
      </c>
      <c r="KZ260" s="12">
        <v>260</v>
      </c>
    </row>
    <row r="261" spans="1:312" x14ac:dyDescent="0.3">
      <c r="A261" s="11" t="s">
        <v>4777</v>
      </c>
      <c r="B261" s="11" t="s">
        <v>2807</v>
      </c>
      <c r="D261" s="11" t="s">
        <v>3262</v>
      </c>
      <c r="E261" s="277" t="str">
        <f t="shared" si="172"/>
        <v>Guatemala</v>
      </c>
      <c r="G261" s="11" t="s">
        <v>379</v>
      </c>
      <c r="H261" s="11" t="s">
        <v>489</v>
      </c>
      <c r="I261" s="11" t="s">
        <v>384</v>
      </c>
      <c r="J261" s="278" t="s">
        <v>14613</v>
      </c>
      <c r="BD261" s="23">
        <v>41859</v>
      </c>
      <c r="BE261" s="23">
        <v>42735</v>
      </c>
      <c r="BF261" s="23">
        <v>43100</v>
      </c>
      <c r="BG261" s="11" t="s">
        <v>749</v>
      </c>
      <c r="BH261" s="22">
        <v>1127356</v>
      </c>
      <c r="BI261" s="11" t="s">
        <v>3263</v>
      </c>
      <c r="BJ261" s="11" t="s">
        <v>3264</v>
      </c>
      <c r="BK261" s="11" t="s">
        <v>3265</v>
      </c>
      <c r="BL261" s="11" t="s">
        <v>3266</v>
      </c>
      <c r="BM261" s="11" t="s">
        <v>3267</v>
      </c>
      <c r="BN261" s="11" t="s">
        <v>3268</v>
      </c>
      <c r="BO261" s="12" t="s">
        <v>319</v>
      </c>
      <c r="BP261" s="12" t="s">
        <v>320</v>
      </c>
      <c r="BQ261" s="12" t="s">
        <v>319</v>
      </c>
      <c r="BR261" s="11" t="s">
        <v>3269</v>
      </c>
      <c r="BS261" s="11" t="s">
        <v>615</v>
      </c>
      <c r="BT261" s="11" t="s">
        <v>3270</v>
      </c>
      <c r="BU261" s="11" t="s">
        <v>3271</v>
      </c>
      <c r="CL261" s="18"/>
      <c r="CP261" s="18"/>
      <c r="CT261" s="18"/>
      <c r="CX261" s="18"/>
      <c r="DB261" s="18"/>
      <c r="DF261" s="18"/>
      <c r="DJ261" s="18"/>
      <c r="DN261" s="18"/>
      <c r="DR261" s="18"/>
      <c r="DV261" s="18"/>
      <c r="DZ261" s="18"/>
      <c r="ED261" s="18"/>
      <c r="EI261" s="18"/>
      <c r="EM261" s="22">
        <v>143</v>
      </c>
      <c r="EQ261" s="12" t="s">
        <v>319</v>
      </c>
      <c r="ES261" s="18"/>
      <c r="EU261" s="11" t="s">
        <v>319</v>
      </c>
      <c r="EW261" s="18"/>
      <c r="EY261" s="12" t="s">
        <v>319</v>
      </c>
      <c r="FA261" s="18"/>
      <c r="FC261" s="12" t="s">
        <v>319</v>
      </c>
      <c r="FE261" s="18"/>
      <c r="FG261" s="12" t="s">
        <v>319</v>
      </c>
      <c r="FI261" s="18"/>
      <c r="FK261" s="11" t="s">
        <v>319</v>
      </c>
      <c r="FM261" s="18"/>
      <c r="FO261" s="12" t="s">
        <v>320</v>
      </c>
      <c r="FP261" s="22">
        <v>143</v>
      </c>
      <c r="FQ261" s="18"/>
      <c r="FS261" s="11" t="s">
        <v>319</v>
      </c>
      <c r="FU261" s="18"/>
      <c r="FW261" s="11" t="s">
        <v>319</v>
      </c>
      <c r="FY261" s="18"/>
      <c r="GA261" s="11" t="s">
        <v>319</v>
      </c>
      <c r="GC261" s="18"/>
      <c r="GE261" s="11" t="s">
        <v>319</v>
      </c>
      <c r="GG261" s="18"/>
      <c r="GI261" s="11" t="s">
        <v>319</v>
      </c>
      <c r="GK261" s="18"/>
      <c r="GM261" s="11" t="s">
        <v>319</v>
      </c>
      <c r="GO261" s="18"/>
      <c r="GQ261" s="11" t="s">
        <v>319</v>
      </c>
      <c r="GS261" s="18"/>
      <c r="GU261" s="11" t="s">
        <v>319</v>
      </c>
      <c r="GW261" s="18"/>
      <c r="GY261" s="11" t="s">
        <v>319</v>
      </c>
      <c r="HA261" s="18"/>
      <c r="HD261" s="11" t="s">
        <v>319</v>
      </c>
      <c r="HF261" s="18"/>
      <c r="IJ261" s="12" t="str">
        <f t="shared" si="173"/>
        <v>No marker score</v>
      </c>
      <c r="IK261" s="12">
        <f t="shared" si="174"/>
        <v>0</v>
      </c>
      <c r="IQ261" s="12" t="str">
        <f t="shared" si="175"/>
        <v>No marker score</v>
      </c>
      <c r="IR261" s="12">
        <f t="shared" si="176"/>
        <v>0</v>
      </c>
      <c r="IW261" s="11" t="str">
        <f t="shared" si="177"/>
        <v>No marker score</v>
      </c>
      <c r="IX261" s="12">
        <f t="shared" si="178"/>
        <v>0</v>
      </c>
      <c r="JP261" s="15">
        <f t="shared" si="179"/>
        <v>143</v>
      </c>
      <c r="JQ261" s="15">
        <f t="shared" si="180"/>
        <v>0</v>
      </c>
      <c r="JR261" s="279">
        <f t="shared" si="181"/>
        <v>0</v>
      </c>
      <c r="JS261" s="17">
        <f t="shared" si="182"/>
        <v>0</v>
      </c>
      <c r="JT261" s="18" t="str">
        <f t="shared" si="183"/>
        <v/>
      </c>
      <c r="JU261" s="280">
        <f t="shared" si="184"/>
        <v>0</v>
      </c>
      <c r="JV261" s="280">
        <f t="shared" si="185"/>
        <v>0</v>
      </c>
      <c r="JW261" s="319" t="str">
        <f t="shared" si="186"/>
        <v/>
      </c>
      <c r="JX261" s="15">
        <f t="shared" si="187"/>
        <v>0</v>
      </c>
      <c r="JY261" s="15">
        <f t="shared" si="188"/>
        <v>0</v>
      </c>
      <c r="JZ261" s="19" t="str">
        <f t="shared" si="189"/>
        <v/>
      </c>
      <c r="KA261" s="52">
        <f t="shared" si="190"/>
        <v>1</v>
      </c>
      <c r="KB261" s="15">
        <f t="shared" si="191"/>
        <v>143</v>
      </c>
      <c r="KC261" s="15">
        <f t="shared" si="192"/>
        <v>0</v>
      </c>
      <c r="KD261" s="20">
        <f t="shared" si="193"/>
        <v>0</v>
      </c>
      <c r="KE261" s="52" t="str">
        <f t="shared" si="194"/>
        <v/>
      </c>
      <c r="KF261" s="15">
        <f t="shared" si="195"/>
        <v>0</v>
      </c>
      <c r="KG261" s="15">
        <f t="shared" si="196"/>
        <v>0</v>
      </c>
      <c r="KH261" s="21" t="str">
        <f t="shared" si="197"/>
        <v/>
      </c>
      <c r="KI261" s="52" t="str">
        <f t="shared" si="198"/>
        <v/>
      </c>
      <c r="KJ261" s="15">
        <f t="shared" si="199"/>
        <v>0</v>
      </c>
      <c r="KK261" s="15">
        <f t="shared" si="200"/>
        <v>0</v>
      </c>
      <c r="KL261" s="19" t="str">
        <f t="shared" si="201"/>
        <v/>
      </c>
      <c r="KM261" s="52" t="str">
        <f t="shared" si="202"/>
        <v/>
      </c>
      <c r="KN261" s="22">
        <f t="shared" si="203"/>
        <v>0</v>
      </c>
      <c r="KO261" s="22">
        <f t="shared" si="204"/>
        <v>0</v>
      </c>
      <c r="KP261" s="19" t="str">
        <f t="shared" si="205"/>
        <v/>
      </c>
      <c r="KQ261" s="11" t="str">
        <f t="shared" si="206"/>
        <v>No marker score</v>
      </c>
      <c r="KR261" s="11" t="str">
        <f t="shared" si="207"/>
        <v>No marker score</v>
      </c>
      <c r="KS261" s="11" t="str">
        <f t="shared" si="208"/>
        <v>No marker score</v>
      </c>
      <c r="KT261" s="11">
        <f t="shared" si="209"/>
        <v>0</v>
      </c>
      <c r="KU261" s="11">
        <f t="shared" si="210"/>
        <v>0</v>
      </c>
      <c r="KV261" s="11">
        <f t="shared" si="211"/>
        <v>0</v>
      </c>
      <c r="KW261" s="11" t="str">
        <f t="shared" si="212"/>
        <v>Guatemala - Amway Nutrilite Little Bits</v>
      </c>
      <c r="KX261" s="11" t="str">
        <f t="shared" si="213"/>
        <v>Amway Nutrilite Little Bits</v>
      </c>
      <c r="KY261" s="11" t="str">
        <f t="shared" si="214"/>
        <v>Guatemala</v>
      </c>
      <c r="KZ261" s="12">
        <v>261</v>
      </c>
    </row>
    <row r="262" spans="1:312" x14ac:dyDescent="0.3">
      <c r="A262" s="11" t="s">
        <v>4777</v>
      </c>
      <c r="B262" s="11" t="s">
        <v>2807</v>
      </c>
      <c r="D262" s="11" t="s">
        <v>4890</v>
      </c>
      <c r="E262" s="24" t="str">
        <f t="shared" si="172"/>
        <v>Guatemala</v>
      </c>
      <c r="F262" s="11" t="s">
        <v>4891</v>
      </c>
      <c r="G262" s="11" t="s">
        <v>379</v>
      </c>
      <c r="H262" s="11" t="s">
        <v>383</v>
      </c>
      <c r="I262" s="11" t="s">
        <v>384</v>
      </c>
      <c r="J262" s="278" t="s">
        <v>14636</v>
      </c>
      <c r="BD262" s="23">
        <v>42552</v>
      </c>
      <c r="BE262" s="23">
        <v>43465</v>
      </c>
      <c r="BG262" s="11" t="s">
        <v>749</v>
      </c>
      <c r="BH262" s="22">
        <v>434787.28</v>
      </c>
      <c r="BI262" s="11" t="s">
        <v>4781</v>
      </c>
      <c r="BJ262" s="11" t="s">
        <v>4892</v>
      </c>
      <c r="BK262" s="11" t="s">
        <v>4783</v>
      </c>
      <c r="BL262" s="11" t="s">
        <v>4893</v>
      </c>
      <c r="BM262" s="11" t="s">
        <v>4894</v>
      </c>
      <c r="BN262" s="11" t="s">
        <v>4895</v>
      </c>
      <c r="BO262" s="12" t="s">
        <v>319</v>
      </c>
      <c r="BP262" s="12" t="s">
        <v>320</v>
      </c>
      <c r="BQ262" s="12" t="s">
        <v>319</v>
      </c>
      <c r="BR262" s="11" t="s">
        <v>4896</v>
      </c>
      <c r="BS262" s="11" t="s">
        <v>357</v>
      </c>
      <c r="BT262" s="11" t="s">
        <v>4897</v>
      </c>
      <c r="BU262" s="11" t="s">
        <v>4898</v>
      </c>
      <c r="BV262" s="22">
        <v>5426</v>
      </c>
      <c r="BW262" s="22">
        <v>4661</v>
      </c>
      <c r="BX262" s="22">
        <v>10087</v>
      </c>
      <c r="BY262" s="22">
        <v>39201</v>
      </c>
      <c r="BZ262" s="22">
        <v>33914</v>
      </c>
      <c r="CA262" s="22">
        <v>73115</v>
      </c>
      <c r="CB262" s="15" t="s">
        <v>4899</v>
      </c>
      <c r="CL262" s="18"/>
      <c r="CP262" s="18"/>
      <c r="CT262" s="18"/>
      <c r="CX262" s="18"/>
      <c r="DB262" s="18"/>
      <c r="DF262" s="18"/>
      <c r="DJ262" s="18"/>
      <c r="DN262" s="18"/>
      <c r="DR262" s="18"/>
      <c r="DV262" s="18"/>
      <c r="DZ262" s="18"/>
      <c r="ED262" s="18"/>
      <c r="EI262" s="18"/>
      <c r="EK262" s="22">
        <v>4981</v>
      </c>
      <c r="EL262" s="22">
        <v>5826</v>
      </c>
      <c r="EM262" s="22">
        <v>10807</v>
      </c>
      <c r="EN262" s="22">
        <v>36420</v>
      </c>
      <c r="EO262" s="22">
        <v>33273</v>
      </c>
      <c r="EP262" s="22">
        <v>69693</v>
      </c>
      <c r="EQ262" s="12" t="s">
        <v>320</v>
      </c>
      <c r="ER262" s="22">
        <v>555</v>
      </c>
      <c r="ES262" s="18">
        <v>0.81100000000000005</v>
      </c>
      <c r="ET262" s="22">
        <v>3330</v>
      </c>
      <c r="EU262" s="11" t="s">
        <v>320</v>
      </c>
      <c r="EV262" s="22">
        <v>858</v>
      </c>
      <c r="EW262" s="18">
        <v>0.52400000000000002</v>
      </c>
      <c r="EX262" s="22">
        <v>5148</v>
      </c>
      <c r="FA262" s="18"/>
      <c r="FC262" s="12" t="s">
        <v>320</v>
      </c>
      <c r="FD262" s="22">
        <v>70</v>
      </c>
      <c r="FE262" s="18">
        <v>0.129</v>
      </c>
      <c r="FF262" s="22">
        <v>420</v>
      </c>
      <c r="FI262" s="18"/>
      <c r="FM262" s="18"/>
      <c r="FQ262" s="18"/>
      <c r="FU262" s="18"/>
      <c r="FW262" s="11" t="s">
        <v>320</v>
      </c>
      <c r="FX262" s="22">
        <v>79</v>
      </c>
      <c r="FY262" s="18">
        <v>0.63300000000000001</v>
      </c>
      <c r="FZ262" s="22">
        <v>474</v>
      </c>
      <c r="GC262" s="18"/>
      <c r="GG262" s="18"/>
      <c r="GI262" s="11" t="s">
        <v>320</v>
      </c>
      <c r="GJ262" s="22">
        <v>10500</v>
      </c>
      <c r="GK262" s="18">
        <v>0.42899999999999999</v>
      </c>
      <c r="GL262" s="22">
        <v>63000</v>
      </c>
      <c r="GM262" s="11" t="s">
        <v>320</v>
      </c>
      <c r="GN262" s="22">
        <v>50</v>
      </c>
      <c r="GO262" s="18">
        <v>0.3</v>
      </c>
      <c r="GP262" s="22">
        <v>300</v>
      </c>
      <c r="GS262" s="18"/>
      <c r="GW262" s="18"/>
      <c r="HA262" s="18"/>
      <c r="HF262" s="18"/>
      <c r="HH262" s="11" t="s">
        <v>320</v>
      </c>
      <c r="HI262" s="11" t="s">
        <v>415</v>
      </c>
      <c r="HJ262" s="11">
        <v>2016</v>
      </c>
      <c r="HK262" s="11" t="s">
        <v>319</v>
      </c>
      <c r="HL262" s="11" t="s">
        <v>320</v>
      </c>
      <c r="HM262" s="11" t="s">
        <v>544</v>
      </c>
      <c r="HN262" s="11">
        <v>2018</v>
      </c>
      <c r="HO262" s="11" t="s">
        <v>4900</v>
      </c>
      <c r="HP262" s="11" t="s">
        <v>330</v>
      </c>
      <c r="HQ262" s="11" t="s">
        <v>319</v>
      </c>
      <c r="HS262" s="11" t="s">
        <v>320</v>
      </c>
      <c r="HT262" s="11" t="s">
        <v>320</v>
      </c>
      <c r="HW262" s="11" t="s">
        <v>320</v>
      </c>
      <c r="HZ262" s="12" t="s">
        <v>394</v>
      </c>
      <c r="IA262" s="11" t="s">
        <v>4901</v>
      </c>
      <c r="IB262" s="11" t="s">
        <v>667</v>
      </c>
      <c r="IC262" s="11" t="s">
        <v>4902</v>
      </c>
      <c r="ID262" s="11" t="s">
        <v>364</v>
      </c>
      <c r="IE262" s="11" t="s">
        <v>335</v>
      </c>
      <c r="IF262" s="11" t="s">
        <v>320</v>
      </c>
      <c r="IG262" s="11" t="s">
        <v>320</v>
      </c>
      <c r="IH262" s="11" t="s">
        <v>320</v>
      </c>
      <c r="II262" s="11" t="s">
        <v>319</v>
      </c>
      <c r="IJ262" s="12" t="str">
        <f t="shared" si="173"/>
        <v>1. Neutral</v>
      </c>
      <c r="IK262" s="12">
        <f t="shared" si="174"/>
        <v>3</v>
      </c>
      <c r="IL262" s="11" t="s">
        <v>336</v>
      </c>
      <c r="IM262" s="11" t="s">
        <v>320</v>
      </c>
      <c r="IN262" s="11" t="s">
        <v>320</v>
      </c>
      <c r="IO262" s="11" t="s">
        <v>320</v>
      </c>
      <c r="IP262" s="11" t="s">
        <v>320</v>
      </c>
      <c r="IQ262" s="12" t="str">
        <f t="shared" si="175"/>
        <v>2. Accommodating</v>
      </c>
      <c r="IR262" s="12">
        <f t="shared" si="176"/>
        <v>4</v>
      </c>
      <c r="IS262" s="11" t="s">
        <v>337</v>
      </c>
      <c r="IT262" s="11" t="s">
        <v>320</v>
      </c>
      <c r="IU262" s="11" t="s">
        <v>320</v>
      </c>
      <c r="IV262" s="11" t="s">
        <v>320</v>
      </c>
      <c r="IW262" s="11" t="str">
        <f t="shared" si="177"/>
        <v>2. Sensitive</v>
      </c>
      <c r="IX262" s="12">
        <f t="shared" si="178"/>
        <v>3</v>
      </c>
      <c r="IY262" s="11" t="s">
        <v>419</v>
      </c>
      <c r="IZ262" s="11" t="s">
        <v>457</v>
      </c>
      <c r="JA262" s="11">
        <v>4</v>
      </c>
      <c r="JB262" s="11" t="s">
        <v>687</v>
      </c>
      <c r="JC262" s="11" t="s">
        <v>585</v>
      </c>
      <c r="JD262" s="11" t="s">
        <v>624</v>
      </c>
      <c r="JE262" s="12" t="s">
        <v>365</v>
      </c>
      <c r="JF262" s="11" t="s">
        <v>4903</v>
      </c>
      <c r="JH262" s="11" t="s">
        <v>4904</v>
      </c>
      <c r="JI262" s="11" t="s">
        <v>4905</v>
      </c>
      <c r="JJ262" s="11" t="s">
        <v>4906</v>
      </c>
      <c r="JK262" s="11" t="s">
        <v>4907</v>
      </c>
      <c r="JL262" s="11" t="s">
        <v>4908</v>
      </c>
      <c r="JM262" s="11" t="s">
        <v>4909</v>
      </c>
      <c r="JN262" s="11" t="s">
        <v>4910</v>
      </c>
      <c r="JO262" s="11" t="s">
        <v>4911</v>
      </c>
      <c r="JP262" s="15">
        <f t="shared" si="179"/>
        <v>10807</v>
      </c>
      <c r="JQ262" s="15">
        <f t="shared" si="180"/>
        <v>69693</v>
      </c>
      <c r="JR262" s="279">
        <f t="shared" si="181"/>
        <v>6.4488757286943645</v>
      </c>
      <c r="JS262" s="17">
        <f t="shared" si="182"/>
        <v>0.46090496900157307</v>
      </c>
      <c r="JT262" s="18">
        <f t="shared" si="183"/>
        <v>0.52257759028883821</v>
      </c>
      <c r="JU262" s="280">
        <f t="shared" si="184"/>
        <v>4981</v>
      </c>
      <c r="JV262" s="280">
        <f t="shared" si="185"/>
        <v>36420</v>
      </c>
      <c r="JW262" s="319" t="str">
        <f t="shared" si="186"/>
        <v/>
      </c>
      <c r="JX262" s="15">
        <f t="shared" si="187"/>
        <v>0</v>
      </c>
      <c r="JY262" s="15">
        <f t="shared" si="188"/>
        <v>0</v>
      </c>
      <c r="JZ262" s="19" t="str">
        <f t="shared" si="189"/>
        <v/>
      </c>
      <c r="KA262" s="52">
        <f t="shared" si="190"/>
        <v>1</v>
      </c>
      <c r="KB262" s="15">
        <f t="shared" si="191"/>
        <v>10500</v>
      </c>
      <c r="KC262" s="15">
        <f t="shared" si="192"/>
        <v>63000</v>
      </c>
      <c r="KD262" s="20">
        <f t="shared" si="193"/>
        <v>6</v>
      </c>
      <c r="KE262" s="52" t="str">
        <f t="shared" si="194"/>
        <v/>
      </c>
      <c r="KF262" s="15">
        <f t="shared" si="195"/>
        <v>0</v>
      </c>
      <c r="KG262" s="15">
        <f t="shared" si="196"/>
        <v>0</v>
      </c>
      <c r="KH262" s="21" t="str">
        <f t="shared" si="197"/>
        <v/>
      </c>
      <c r="KI262" s="52" t="str">
        <f t="shared" si="198"/>
        <v/>
      </c>
      <c r="KJ262" s="15">
        <f t="shared" si="199"/>
        <v>0</v>
      </c>
      <c r="KK262" s="15">
        <f t="shared" si="200"/>
        <v>0</v>
      </c>
      <c r="KL262" s="19" t="str">
        <f t="shared" si="201"/>
        <v/>
      </c>
      <c r="KM262" s="52" t="str">
        <f t="shared" si="202"/>
        <v/>
      </c>
      <c r="KN262" s="22">
        <f t="shared" si="203"/>
        <v>0</v>
      </c>
      <c r="KO262" s="22">
        <f t="shared" si="204"/>
        <v>0</v>
      </c>
      <c r="KP262" s="19" t="str">
        <f t="shared" si="205"/>
        <v/>
      </c>
      <c r="KQ262" s="11" t="str">
        <f t="shared" si="206"/>
        <v>1. Neutral</v>
      </c>
      <c r="KR262" s="11" t="str">
        <f t="shared" si="207"/>
        <v>2. Accommodating</v>
      </c>
      <c r="KS262" s="11" t="str">
        <f t="shared" si="208"/>
        <v>2. Sensitive</v>
      </c>
      <c r="KT262" s="11" t="str">
        <f t="shared" si="209"/>
        <v>It tested new ways for fighting poverty, but did not measure results of innovation</v>
      </c>
      <c r="KU262" s="11" t="str">
        <f t="shared" si="210"/>
        <v>Moderate advocacy</v>
      </c>
      <c r="KV262" s="11" t="str">
        <f t="shared" si="211"/>
        <v>It took tested solutions to scale on its own</v>
      </c>
      <c r="KW262" s="11" t="str">
        <f t="shared" si="212"/>
        <v>Guatemala - Conservación y restauración de la biodiversidad y conectividad del bosque nuboso de la Sierra María Tecún para la provisión de bienes y servicios naturales de los municipios de Totonicapán y Santa María Chiquimula.</v>
      </c>
      <c r="KX262" s="11" t="str">
        <f t="shared" si="213"/>
        <v>Conservación y restauración de la biodiversidad y conectividad del bosque nuboso de la Sierra María Tecún para la provisión de bienes y servicios naturales de los municipios de Totonicapán y Santa María Chiquimula.</v>
      </c>
      <c r="KY262" s="11" t="str">
        <f t="shared" si="214"/>
        <v>Guatemala</v>
      </c>
      <c r="KZ262" s="12">
        <v>262</v>
      </c>
    </row>
    <row r="263" spans="1:312" x14ac:dyDescent="0.3">
      <c r="A263" s="11" t="s">
        <v>4777</v>
      </c>
      <c r="B263" s="11" t="s">
        <v>2807</v>
      </c>
      <c r="C263" s="11">
        <v>2970</v>
      </c>
      <c r="D263" s="11" t="s">
        <v>4843</v>
      </c>
      <c r="E263" s="24" t="str">
        <f t="shared" si="172"/>
        <v>Guatemala</v>
      </c>
      <c r="F263" s="11" t="s">
        <v>4844</v>
      </c>
      <c r="G263" s="11" t="s">
        <v>425</v>
      </c>
      <c r="H263" s="11" t="s">
        <v>383</v>
      </c>
      <c r="I263" s="11" t="s">
        <v>384</v>
      </c>
      <c r="J263" s="278" t="s">
        <v>3967</v>
      </c>
      <c r="BD263" s="23">
        <v>41974</v>
      </c>
      <c r="BE263" s="23">
        <v>42704</v>
      </c>
      <c r="BF263" s="23">
        <v>42824</v>
      </c>
      <c r="BG263" s="11" t="s">
        <v>350</v>
      </c>
      <c r="BH263" s="22">
        <v>121000</v>
      </c>
      <c r="BI263" s="11" t="s">
        <v>4845</v>
      </c>
      <c r="BJ263" s="11" t="s">
        <v>4846</v>
      </c>
      <c r="BK263" s="11" t="s">
        <v>4847</v>
      </c>
      <c r="BL263" s="11" t="s">
        <v>4848</v>
      </c>
      <c r="BM263" s="11" t="s">
        <v>4849</v>
      </c>
      <c r="BN263" s="11" t="s">
        <v>4850</v>
      </c>
      <c r="BO263" s="12" t="s">
        <v>319</v>
      </c>
      <c r="BP263" s="12" t="s">
        <v>320</v>
      </c>
      <c r="BQ263" s="12" t="s">
        <v>319</v>
      </c>
      <c r="BR263" s="11" t="s">
        <v>4851</v>
      </c>
      <c r="BS263" s="11" t="s">
        <v>357</v>
      </c>
      <c r="BT263" s="11" t="s">
        <v>4852</v>
      </c>
      <c r="BU263" s="11" t="s">
        <v>4853</v>
      </c>
      <c r="BV263" s="22">
        <v>1580</v>
      </c>
      <c r="BW263" s="22">
        <v>363</v>
      </c>
      <c r="BX263" s="22">
        <v>1943</v>
      </c>
      <c r="BY263" s="22">
        <v>7900</v>
      </c>
      <c r="BZ263" s="22">
        <v>1815</v>
      </c>
      <c r="CA263" s="22">
        <v>9715</v>
      </c>
      <c r="CB263" s="15" t="s">
        <v>4854</v>
      </c>
      <c r="CL263" s="18"/>
      <c r="CP263" s="18"/>
      <c r="CT263" s="18"/>
      <c r="CX263" s="18"/>
      <c r="DB263" s="18"/>
      <c r="DF263" s="18"/>
      <c r="DJ263" s="18"/>
      <c r="DN263" s="18"/>
      <c r="DR263" s="18"/>
      <c r="DV263" s="18"/>
      <c r="DZ263" s="18"/>
      <c r="ED263" s="18"/>
      <c r="EI263" s="18"/>
      <c r="EK263" s="22">
        <v>1000</v>
      </c>
      <c r="EL263" s="22">
        <v>150</v>
      </c>
      <c r="EM263" s="22">
        <v>1150</v>
      </c>
      <c r="EN263" s="22">
        <v>4000</v>
      </c>
      <c r="EO263" s="22">
        <v>650</v>
      </c>
      <c r="EP263" s="22">
        <v>4650</v>
      </c>
      <c r="EQ263" s="12" t="s">
        <v>320</v>
      </c>
      <c r="ER263" s="22">
        <v>1006</v>
      </c>
      <c r="ES263" s="18">
        <v>0.98</v>
      </c>
      <c r="ET263" s="22">
        <v>5030</v>
      </c>
      <c r="EU263" s="11" t="s">
        <v>319</v>
      </c>
      <c r="EW263" s="18"/>
      <c r="EY263" s="12" t="s">
        <v>319</v>
      </c>
      <c r="FA263" s="18"/>
      <c r="FC263" s="12" t="s">
        <v>319</v>
      </c>
      <c r="FE263" s="18"/>
      <c r="FG263" s="12" t="s">
        <v>320</v>
      </c>
      <c r="FH263" s="22">
        <v>850</v>
      </c>
      <c r="FI263" s="18">
        <v>1</v>
      </c>
      <c r="FJ263" s="22">
        <v>4250</v>
      </c>
      <c r="FK263" s="12" t="s">
        <v>320</v>
      </c>
      <c r="FL263" s="22">
        <v>850</v>
      </c>
      <c r="FM263" s="18">
        <v>1</v>
      </c>
      <c r="FN263" s="22">
        <v>4250</v>
      </c>
      <c r="FO263" s="11" t="s">
        <v>319</v>
      </c>
      <c r="FQ263" s="18"/>
      <c r="FS263" s="11" t="s">
        <v>319</v>
      </c>
      <c r="FU263" s="18"/>
      <c r="FW263" s="11" t="s">
        <v>320</v>
      </c>
      <c r="FX263" s="22">
        <v>1140</v>
      </c>
      <c r="FY263" s="18">
        <v>0.85</v>
      </c>
      <c r="FZ263" s="22">
        <v>5700</v>
      </c>
      <c r="GA263" s="11" t="s">
        <v>319</v>
      </c>
      <c r="GC263" s="18"/>
      <c r="GE263" s="11" t="s">
        <v>319</v>
      </c>
      <c r="GG263" s="18"/>
      <c r="GI263" s="11" t="s">
        <v>319</v>
      </c>
      <c r="GK263" s="18"/>
      <c r="GM263" s="11" t="s">
        <v>319</v>
      </c>
      <c r="GO263" s="18"/>
      <c r="GQ263" s="11" t="s">
        <v>319</v>
      </c>
      <c r="GS263" s="18"/>
      <c r="GU263" s="11" t="s">
        <v>319</v>
      </c>
      <c r="GW263" s="18"/>
      <c r="GY263" s="11" t="s">
        <v>320</v>
      </c>
      <c r="GZ263" s="22">
        <v>1275</v>
      </c>
      <c r="HA263" s="18">
        <v>1</v>
      </c>
      <c r="HB263" s="22">
        <v>6875</v>
      </c>
      <c r="HF263" s="18"/>
      <c r="HH263" s="11" t="s">
        <v>319</v>
      </c>
      <c r="HK263" s="11" t="s">
        <v>320</v>
      </c>
      <c r="HL263" s="11" t="s">
        <v>319</v>
      </c>
      <c r="HO263" s="11" t="s">
        <v>4855</v>
      </c>
      <c r="HP263" s="11" t="s">
        <v>330</v>
      </c>
      <c r="HQ263" s="11" t="s">
        <v>320</v>
      </c>
      <c r="HR263" s="11" t="s">
        <v>319</v>
      </c>
      <c r="HS263" s="11" t="s">
        <v>320</v>
      </c>
      <c r="HT263" s="11" t="s">
        <v>320</v>
      </c>
      <c r="HU263" s="11" t="s">
        <v>320</v>
      </c>
      <c r="HV263" s="11" t="s">
        <v>319</v>
      </c>
      <c r="HW263" s="11" t="s">
        <v>319</v>
      </c>
      <c r="HZ263" s="12" t="s">
        <v>394</v>
      </c>
      <c r="IA263" s="11" t="s">
        <v>4856</v>
      </c>
      <c r="IB263" s="11" t="s">
        <v>667</v>
      </c>
      <c r="IC263" s="11" t="s">
        <v>4857</v>
      </c>
      <c r="ID263" s="11" t="s">
        <v>364</v>
      </c>
      <c r="IE263" s="11" t="s">
        <v>478</v>
      </c>
      <c r="IF263" s="11" t="s">
        <v>320</v>
      </c>
      <c r="IG263" s="11" t="s">
        <v>320</v>
      </c>
      <c r="IH263" s="11" t="s">
        <v>320</v>
      </c>
      <c r="II263" s="11" t="s">
        <v>319</v>
      </c>
      <c r="IJ263" s="12" t="str">
        <f t="shared" si="173"/>
        <v>3. Responsive</v>
      </c>
      <c r="IK263" s="12">
        <f t="shared" si="174"/>
        <v>3</v>
      </c>
      <c r="IL263" s="11" t="s">
        <v>336</v>
      </c>
      <c r="IM263" s="11" t="s">
        <v>320</v>
      </c>
      <c r="IN263" s="11" t="s">
        <v>320</v>
      </c>
      <c r="IO263" s="11" t="s">
        <v>320</v>
      </c>
      <c r="IP263" s="11" t="s">
        <v>320</v>
      </c>
      <c r="IQ263" s="12" t="str">
        <f t="shared" si="175"/>
        <v>2. Accommodating</v>
      </c>
      <c r="IR263" s="12">
        <f t="shared" si="176"/>
        <v>4</v>
      </c>
      <c r="IS263" s="11" t="s">
        <v>337</v>
      </c>
      <c r="IT263" s="11" t="s">
        <v>319</v>
      </c>
      <c r="IU263" s="11" t="s">
        <v>320</v>
      </c>
      <c r="IV263" s="11" t="s">
        <v>320</v>
      </c>
      <c r="IW263" s="11" t="str">
        <f t="shared" si="177"/>
        <v>1. Neutral</v>
      </c>
      <c r="IX263" s="12">
        <f t="shared" si="178"/>
        <v>2</v>
      </c>
      <c r="IY263" s="11" t="s">
        <v>419</v>
      </c>
      <c r="IZ263" s="12" t="s">
        <v>432</v>
      </c>
      <c r="JA263" s="11">
        <v>1</v>
      </c>
      <c r="JB263" s="11" t="s">
        <v>724</v>
      </c>
      <c r="JC263" s="11" t="s">
        <v>624</v>
      </c>
      <c r="JD263" s="12" t="s">
        <v>687</v>
      </c>
      <c r="JE263" s="12" t="s">
        <v>365</v>
      </c>
      <c r="JG263" s="11" t="s">
        <v>4858</v>
      </c>
      <c r="JH263" s="11" t="s">
        <v>4859</v>
      </c>
      <c r="JI263" s="11" t="s">
        <v>4860</v>
      </c>
      <c r="JJ263" s="11" t="s">
        <v>4861</v>
      </c>
      <c r="JK263" s="11" t="s">
        <v>4862</v>
      </c>
      <c r="JL263" s="11" t="s">
        <v>4863</v>
      </c>
      <c r="JM263" s="11" t="s">
        <v>4864</v>
      </c>
      <c r="JO263" s="11" t="s">
        <v>4865</v>
      </c>
      <c r="JP263" s="15">
        <f t="shared" si="179"/>
        <v>1150</v>
      </c>
      <c r="JQ263" s="15">
        <f t="shared" si="180"/>
        <v>4650</v>
      </c>
      <c r="JR263" s="279">
        <f t="shared" si="181"/>
        <v>4.0434782608695654</v>
      </c>
      <c r="JS263" s="17">
        <f t="shared" si="182"/>
        <v>0.86956521739130432</v>
      </c>
      <c r="JT263" s="18">
        <f t="shared" si="183"/>
        <v>0.86021505376344087</v>
      </c>
      <c r="JU263" s="280">
        <f t="shared" si="184"/>
        <v>1000</v>
      </c>
      <c r="JV263" s="280">
        <f t="shared" si="185"/>
        <v>4000</v>
      </c>
      <c r="JW263" s="319" t="str">
        <f t="shared" si="186"/>
        <v/>
      </c>
      <c r="JX263" s="15">
        <f t="shared" si="187"/>
        <v>0</v>
      </c>
      <c r="JY263" s="15">
        <f t="shared" si="188"/>
        <v>0</v>
      </c>
      <c r="JZ263" s="19" t="str">
        <f t="shared" si="189"/>
        <v/>
      </c>
      <c r="KA263" s="52">
        <f t="shared" si="190"/>
        <v>1</v>
      </c>
      <c r="KB263" s="15">
        <f t="shared" si="191"/>
        <v>1006</v>
      </c>
      <c r="KC263" s="15">
        <f t="shared" si="192"/>
        <v>5030</v>
      </c>
      <c r="KD263" s="20">
        <f t="shared" si="193"/>
        <v>5</v>
      </c>
      <c r="KE263" s="52" t="str">
        <f t="shared" si="194"/>
        <v/>
      </c>
      <c r="KF263" s="15">
        <f t="shared" si="195"/>
        <v>0</v>
      </c>
      <c r="KG263" s="15">
        <f t="shared" si="196"/>
        <v>0</v>
      </c>
      <c r="KH263" s="21" t="str">
        <f t="shared" si="197"/>
        <v/>
      </c>
      <c r="KI263" s="52" t="str">
        <f t="shared" si="198"/>
        <v/>
      </c>
      <c r="KJ263" s="15">
        <f t="shared" si="199"/>
        <v>0</v>
      </c>
      <c r="KK263" s="15">
        <f t="shared" si="200"/>
        <v>0</v>
      </c>
      <c r="KL263" s="19" t="str">
        <f t="shared" si="201"/>
        <v/>
      </c>
      <c r="KM263" s="52">
        <f t="shared" si="202"/>
        <v>1</v>
      </c>
      <c r="KN263" s="22">
        <f t="shared" si="203"/>
        <v>1275</v>
      </c>
      <c r="KO263" s="22">
        <f t="shared" si="204"/>
        <v>6875</v>
      </c>
      <c r="KP263" s="19">
        <f t="shared" si="205"/>
        <v>5.3921568627450984</v>
      </c>
      <c r="KQ263" s="11" t="str">
        <f t="shared" si="206"/>
        <v>3. Responsive</v>
      </c>
      <c r="KR263" s="11" t="str">
        <f t="shared" si="207"/>
        <v>2. Accommodating</v>
      </c>
      <c r="KS263" s="11" t="str">
        <f t="shared" si="208"/>
        <v>1. Neutral</v>
      </c>
      <c r="KT263" s="11" t="str">
        <f t="shared" si="209"/>
        <v>It tested new ways for fighting poverty, but did not measure results of innovation</v>
      </c>
      <c r="KU263" s="11" t="str">
        <f t="shared" si="210"/>
        <v>Moderate advocacy</v>
      </c>
      <c r="KV263" s="11" t="str">
        <f t="shared" si="211"/>
        <v>It took tested solutions to scale on its own</v>
      </c>
      <c r="KW263" s="11" t="str">
        <f t="shared" si="212"/>
        <v>Guatemala - Empoderamiento  de pequeñas productoras rurales</v>
      </c>
      <c r="KX263" s="11" t="str">
        <f t="shared" si="213"/>
        <v>Empoderamiento  de pequeñas productoras rurales</v>
      </c>
      <c r="KY263" s="11" t="str">
        <f t="shared" si="214"/>
        <v>Guatemala</v>
      </c>
      <c r="KZ263" s="12">
        <v>263</v>
      </c>
    </row>
    <row r="264" spans="1:312" x14ac:dyDescent="0.3">
      <c r="A264" s="11" t="s">
        <v>4777</v>
      </c>
      <c r="B264" s="11" t="s">
        <v>2807</v>
      </c>
      <c r="C264" s="11">
        <v>2323</v>
      </c>
      <c r="D264" s="11" t="s">
        <v>4778</v>
      </c>
      <c r="E264" s="24" t="str">
        <f t="shared" si="172"/>
        <v>Guatemala</v>
      </c>
      <c r="F264" s="11" t="s">
        <v>4779</v>
      </c>
      <c r="G264" s="11" t="s">
        <v>379</v>
      </c>
      <c r="H264" s="11" t="s">
        <v>384</v>
      </c>
      <c r="I264" s="11" t="s">
        <v>655</v>
      </c>
      <c r="J264" s="281" t="s">
        <v>14637</v>
      </c>
      <c r="K264" s="11" t="s">
        <v>4780</v>
      </c>
      <c r="BD264" s="23">
        <v>42583</v>
      </c>
      <c r="BE264" s="23">
        <v>42855</v>
      </c>
      <c r="BF264" s="23">
        <v>42946</v>
      </c>
      <c r="BG264" s="11" t="s">
        <v>749</v>
      </c>
      <c r="BH264" s="22">
        <v>300000</v>
      </c>
      <c r="BI264" s="11" t="s">
        <v>4781</v>
      </c>
      <c r="BJ264" s="11" t="s">
        <v>4782</v>
      </c>
      <c r="BK264" s="11" t="s">
        <v>4783</v>
      </c>
      <c r="BL264" s="11" t="s">
        <v>4784</v>
      </c>
      <c r="BM264" s="11" t="s">
        <v>4785</v>
      </c>
      <c r="BN264" s="11" t="s">
        <v>4786</v>
      </c>
      <c r="BO264" s="11" t="s">
        <v>320</v>
      </c>
      <c r="BP264" s="11" t="s">
        <v>319</v>
      </c>
      <c r="BQ264" s="11" t="s">
        <v>319</v>
      </c>
      <c r="BR264" s="11" t="s">
        <v>4787</v>
      </c>
      <c r="BS264" s="11" t="s">
        <v>357</v>
      </c>
      <c r="BT264" s="11" t="s">
        <v>4788</v>
      </c>
      <c r="BU264" s="11" t="s">
        <v>4789</v>
      </c>
      <c r="BV264" s="22">
        <v>41387</v>
      </c>
      <c r="BW264" s="22">
        <v>40252</v>
      </c>
      <c r="BX264" s="22">
        <v>81639</v>
      </c>
      <c r="BY264" s="22">
        <v>207570</v>
      </c>
      <c r="BZ264" s="22">
        <v>199430</v>
      </c>
      <c r="CA264" s="22">
        <v>407000</v>
      </c>
      <c r="CB264" s="15" t="s">
        <v>4790</v>
      </c>
      <c r="CD264" s="22">
        <v>41387</v>
      </c>
      <c r="CE264" s="22">
        <v>40252</v>
      </c>
      <c r="CF264" s="29">
        <v>81639</v>
      </c>
      <c r="CG264" s="22">
        <v>207570</v>
      </c>
      <c r="CH264" s="22">
        <v>199430</v>
      </c>
      <c r="CI264" s="22">
        <v>407000</v>
      </c>
      <c r="CL264" s="18"/>
      <c r="CP264" s="18"/>
      <c r="CT264" s="18"/>
      <c r="CX264" s="18"/>
      <c r="DB264" s="18"/>
      <c r="DF264" s="18"/>
      <c r="DJ264" s="18"/>
      <c r="DN264" s="18"/>
      <c r="DR264" s="18"/>
      <c r="DV264" s="18"/>
      <c r="DZ264" s="18"/>
      <c r="ED264" s="18"/>
      <c r="EF264" s="15" t="s">
        <v>4791</v>
      </c>
      <c r="EG264" s="12" t="s">
        <v>320</v>
      </c>
      <c r="EH264" s="29">
        <v>81639</v>
      </c>
      <c r="EI264" s="18">
        <v>0.51</v>
      </c>
      <c r="EJ264" s="22">
        <v>407000</v>
      </c>
      <c r="ES264" s="18"/>
      <c r="EW264" s="18"/>
      <c r="FA264" s="18"/>
      <c r="FE264" s="18"/>
      <c r="FI264" s="18"/>
      <c r="FM264" s="18"/>
      <c r="FQ264" s="18"/>
      <c r="FU264" s="18"/>
      <c r="FY264" s="18"/>
      <c r="GC264" s="18"/>
      <c r="GG264" s="18"/>
      <c r="GK264" s="18"/>
      <c r="GO264" s="18"/>
      <c r="GS264" s="18"/>
      <c r="GW264" s="18"/>
      <c r="HA264" s="18"/>
      <c r="HF264" s="18"/>
      <c r="HH264" s="11" t="s">
        <v>319</v>
      </c>
      <c r="HK264" s="11" t="s">
        <v>319</v>
      </c>
      <c r="HL264" s="11" t="s">
        <v>319</v>
      </c>
      <c r="HO264" s="11" t="s">
        <v>4792</v>
      </c>
      <c r="HP264" s="11" t="s">
        <v>453</v>
      </c>
      <c r="HQ264" s="11" t="s">
        <v>319</v>
      </c>
      <c r="HR264" s="11" t="s">
        <v>319</v>
      </c>
      <c r="HS264" s="11" t="s">
        <v>320</v>
      </c>
      <c r="HT264" s="11" t="s">
        <v>319</v>
      </c>
      <c r="HU264" s="11" t="s">
        <v>320</v>
      </c>
      <c r="HV264" s="11" t="s">
        <v>319</v>
      </c>
      <c r="HW264" s="11" t="s">
        <v>319</v>
      </c>
      <c r="HZ264" s="12" t="s">
        <v>394</v>
      </c>
      <c r="IA264" s="11" t="s">
        <v>4793</v>
      </c>
      <c r="IB264" s="12" t="s">
        <v>396</v>
      </c>
      <c r="IC264" s="11" t="s">
        <v>4794</v>
      </c>
      <c r="ID264" s="11" t="s">
        <v>364</v>
      </c>
      <c r="IE264" s="11" t="s">
        <v>335</v>
      </c>
      <c r="IF264" s="11" t="s">
        <v>320</v>
      </c>
      <c r="IG264" s="11" t="s">
        <v>320</v>
      </c>
      <c r="IH264" s="11" t="s">
        <v>320</v>
      </c>
      <c r="II264" s="11" t="s">
        <v>320</v>
      </c>
      <c r="IJ264" s="12" t="str">
        <f t="shared" si="173"/>
        <v>2. Sensitive</v>
      </c>
      <c r="IK264" s="12">
        <f t="shared" si="174"/>
        <v>4</v>
      </c>
      <c r="IL264" s="11" t="s">
        <v>621</v>
      </c>
      <c r="IM264" s="11" t="s">
        <v>319</v>
      </c>
      <c r="IN264" s="11" t="s">
        <v>320</v>
      </c>
      <c r="IO264" s="11" t="s">
        <v>320</v>
      </c>
      <c r="IP264" s="11" t="s">
        <v>320</v>
      </c>
      <c r="IQ264" s="12" t="str">
        <f t="shared" si="175"/>
        <v>3. Responsive</v>
      </c>
      <c r="IR264" s="12">
        <f t="shared" si="176"/>
        <v>3</v>
      </c>
      <c r="IS264" s="11" t="s">
        <v>622</v>
      </c>
      <c r="IT264" s="11" t="s">
        <v>320</v>
      </c>
      <c r="IU264" s="11" t="s">
        <v>320</v>
      </c>
      <c r="IV264" s="11" t="s">
        <v>320</v>
      </c>
      <c r="IW264" s="11" t="str">
        <f t="shared" si="177"/>
        <v>4. Transformative</v>
      </c>
      <c r="IX264" s="12">
        <f t="shared" si="178"/>
        <v>3</v>
      </c>
      <c r="IY264" s="12" t="s">
        <v>758</v>
      </c>
      <c r="IZ264" s="11" t="s">
        <v>527</v>
      </c>
      <c r="JA264" s="11">
        <v>1</v>
      </c>
      <c r="JB264" s="12" t="s">
        <v>687</v>
      </c>
      <c r="JC264" s="11" t="s">
        <v>831</v>
      </c>
      <c r="JD264" s="12" t="s">
        <v>433</v>
      </c>
      <c r="JE264" s="12" t="s">
        <v>340</v>
      </c>
      <c r="JF264" s="11" t="s">
        <v>4795</v>
      </c>
      <c r="JH264" s="11" t="s">
        <v>4796</v>
      </c>
      <c r="JI264" s="11" t="s">
        <v>4797</v>
      </c>
      <c r="JJ264" s="11" t="s">
        <v>4798</v>
      </c>
      <c r="JK264" s="11" t="s">
        <v>4799</v>
      </c>
      <c r="JL264" s="11" t="s">
        <v>4800</v>
      </c>
      <c r="JO264" s="11" t="s">
        <v>4801</v>
      </c>
      <c r="JP264" s="15">
        <f t="shared" si="179"/>
        <v>81639</v>
      </c>
      <c r="JQ264" s="15">
        <f t="shared" si="180"/>
        <v>407000</v>
      </c>
      <c r="JR264" s="279">
        <f t="shared" si="181"/>
        <v>4.9853623880743276</v>
      </c>
      <c r="JS264" s="17">
        <f t="shared" si="182"/>
        <v>0.50695133453373997</v>
      </c>
      <c r="JT264" s="18">
        <f t="shared" si="183"/>
        <v>0.51</v>
      </c>
      <c r="JU264" s="280">
        <f t="shared" si="184"/>
        <v>41387</v>
      </c>
      <c r="JV264" s="280">
        <f t="shared" si="185"/>
        <v>207570</v>
      </c>
      <c r="JW264" s="319">
        <f t="shared" si="186"/>
        <v>1</v>
      </c>
      <c r="JX264" s="15">
        <f t="shared" si="187"/>
        <v>81639</v>
      </c>
      <c r="JY264" s="15">
        <f t="shared" si="188"/>
        <v>407000</v>
      </c>
      <c r="JZ264" s="19">
        <f t="shared" si="189"/>
        <v>4.9853623880743276</v>
      </c>
      <c r="KA264" s="52" t="str">
        <f t="shared" si="190"/>
        <v/>
      </c>
      <c r="KB264" s="15">
        <f t="shared" si="191"/>
        <v>0</v>
      </c>
      <c r="KC264" s="15">
        <f t="shared" si="192"/>
        <v>0</v>
      </c>
      <c r="KD264" s="20" t="str">
        <f t="shared" si="193"/>
        <v/>
      </c>
      <c r="KE264" s="52" t="str">
        <f t="shared" si="194"/>
        <v/>
      </c>
      <c r="KF264" s="15">
        <f t="shared" si="195"/>
        <v>0</v>
      </c>
      <c r="KG264" s="15">
        <f t="shared" si="196"/>
        <v>0</v>
      </c>
      <c r="KH264" s="21" t="str">
        <f t="shared" si="197"/>
        <v/>
      </c>
      <c r="KI264" s="52" t="str">
        <f t="shared" si="198"/>
        <v/>
      </c>
      <c r="KJ264" s="15">
        <f t="shared" si="199"/>
        <v>0</v>
      </c>
      <c r="KK264" s="15">
        <f t="shared" si="200"/>
        <v>0</v>
      </c>
      <c r="KL264" s="19" t="str">
        <f t="shared" si="201"/>
        <v/>
      </c>
      <c r="KM264" s="52" t="str">
        <f t="shared" si="202"/>
        <v/>
      </c>
      <c r="KN264" s="22">
        <f t="shared" si="203"/>
        <v>0</v>
      </c>
      <c r="KO264" s="22">
        <f t="shared" si="204"/>
        <v>0</v>
      </c>
      <c r="KP264" s="19" t="str">
        <f t="shared" si="205"/>
        <v/>
      </c>
      <c r="KQ264" s="11" t="str">
        <f t="shared" si="206"/>
        <v>2. Sensitive</v>
      </c>
      <c r="KR264" s="11" t="str">
        <f t="shared" si="207"/>
        <v>3. Responsive</v>
      </c>
      <c r="KS264" s="11" t="str">
        <f t="shared" si="208"/>
        <v>4. Transformative</v>
      </c>
      <c r="KT264" s="11" t="str">
        <f t="shared" si="209"/>
        <v>It tested new ways for fighting poverty, but did not measure results of innovation</v>
      </c>
      <c r="KU264" s="11" t="str">
        <f t="shared" si="210"/>
        <v>Intensive advocacy</v>
      </c>
      <c r="KV264" s="11" t="str">
        <f t="shared" si="211"/>
        <v>It linked and worked with strategic alliances and partners to take tested and effective solutions to scale</v>
      </c>
      <c r="KW264" s="11" t="str">
        <f t="shared" si="212"/>
        <v>Guatemala - Fortalecimiento al Sistema Nacional de Prevención y Control de Incendios Forestales -SIPECIF- en los Departamentos de Quiche y Totonicapan, Guatemala.</v>
      </c>
      <c r="KX264" s="11" t="str">
        <f t="shared" si="213"/>
        <v>Fortalecimiento al Sistema Nacional de Prevención y Control de Incendios Forestales -SIPECIF- en los Departamentos de Quiche y Totonicapan, Guatemala.</v>
      </c>
      <c r="KY264" s="11" t="str">
        <f t="shared" si="214"/>
        <v>Guatemala</v>
      </c>
      <c r="KZ264" s="12">
        <v>264</v>
      </c>
    </row>
    <row r="265" spans="1:312" x14ac:dyDescent="0.3">
      <c r="A265" s="11" t="s">
        <v>4777</v>
      </c>
      <c r="B265" s="11" t="s">
        <v>2807</v>
      </c>
      <c r="D265" s="11" t="s">
        <v>4912</v>
      </c>
      <c r="E265" s="24" t="str">
        <f t="shared" si="172"/>
        <v>Guatemala</v>
      </c>
      <c r="F265" s="11" t="s">
        <v>4913</v>
      </c>
      <c r="G265" s="11" t="s">
        <v>379</v>
      </c>
      <c r="H265" s="11" t="s">
        <v>383</v>
      </c>
      <c r="I265" s="11" t="s">
        <v>384</v>
      </c>
      <c r="J265" s="278" t="s">
        <v>4914</v>
      </c>
      <c r="K265" s="11" t="s">
        <v>4915</v>
      </c>
      <c r="L265" s="11" t="s">
        <v>379</v>
      </c>
      <c r="M265" s="11" t="s">
        <v>383</v>
      </c>
      <c r="N265" s="11" t="s">
        <v>384</v>
      </c>
      <c r="O265" s="11" t="s">
        <v>4916</v>
      </c>
      <c r="BD265" s="23">
        <v>42614</v>
      </c>
      <c r="BE265" s="23">
        <v>43343</v>
      </c>
      <c r="BG265" s="11" t="s">
        <v>749</v>
      </c>
      <c r="BH265" s="22">
        <v>191158.67</v>
      </c>
      <c r="BI265" s="11" t="s">
        <v>4917</v>
      </c>
      <c r="BJ265" s="11" t="s">
        <v>4918</v>
      </c>
      <c r="BK265" s="11" t="s">
        <v>4919</v>
      </c>
      <c r="BL265" s="11" t="s">
        <v>4920</v>
      </c>
      <c r="BM265" s="11" t="s">
        <v>4921</v>
      </c>
      <c r="BN265" s="11" t="s">
        <v>4922</v>
      </c>
      <c r="BO265" s="12" t="s">
        <v>319</v>
      </c>
      <c r="BP265" s="12" t="s">
        <v>320</v>
      </c>
      <c r="BQ265" s="12" t="s">
        <v>319</v>
      </c>
      <c r="BR265" s="11" t="s">
        <v>4923</v>
      </c>
      <c r="BS265" s="11" t="s">
        <v>357</v>
      </c>
      <c r="BT265" s="11" t="s">
        <v>4924</v>
      </c>
      <c r="BU265" s="11" t="s">
        <v>4925</v>
      </c>
      <c r="BV265" s="22">
        <v>2829</v>
      </c>
      <c r="BW265" s="22">
        <v>2728</v>
      </c>
      <c r="BX265" s="22">
        <v>5557</v>
      </c>
      <c r="BY265" s="22">
        <v>54065</v>
      </c>
      <c r="BZ265" s="22">
        <v>46546</v>
      </c>
      <c r="CA265" s="22">
        <v>100611</v>
      </c>
      <c r="CB265" s="15" t="s">
        <v>4926</v>
      </c>
      <c r="CL265" s="18"/>
      <c r="CP265" s="18"/>
      <c r="CT265" s="18"/>
      <c r="CX265" s="18"/>
      <c r="DB265" s="18"/>
      <c r="DF265" s="18"/>
      <c r="DJ265" s="18"/>
      <c r="DN265" s="18"/>
      <c r="DR265" s="18"/>
      <c r="DV265" s="18"/>
      <c r="DZ265" s="18"/>
      <c r="ED265" s="18"/>
      <c r="EI265" s="18"/>
      <c r="EK265" s="22">
        <v>2829</v>
      </c>
      <c r="EL265" s="22">
        <v>2728</v>
      </c>
      <c r="EM265" s="22">
        <v>5557</v>
      </c>
      <c r="EN265" s="22">
        <v>21626</v>
      </c>
      <c r="EO265" s="22">
        <v>18618</v>
      </c>
      <c r="EP265" s="22">
        <v>40244</v>
      </c>
      <c r="EQ265" s="12" t="s">
        <v>319</v>
      </c>
      <c r="ES265" s="18"/>
      <c r="EU265" s="11" t="s">
        <v>319</v>
      </c>
      <c r="EW265" s="18"/>
      <c r="EY265" s="12" t="s">
        <v>319</v>
      </c>
      <c r="FA265" s="18"/>
      <c r="FC265" s="12" t="s">
        <v>319</v>
      </c>
      <c r="FE265" s="18"/>
      <c r="FG265" s="12" t="s">
        <v>319</v>
      </c>
      <c r="FI265" s="18"/>
      <c r="FK265" s="11" t="s">
        <v>319</v>
      </c>
      <c r="FM265" s="18"/>
      <c r="FO265" s="11" t="s">
        <v>319</v>
      </c>
      <c r="FQ265" s="18"/>
      <c r="FS265" s="11" t="s">
        <v>319</v>
      </c>
      <c r="FU265" s="18"/>
      <c r="FW265" s="11" t="s">
        <v>319</v>
      </c>
      <c r="FY265" s="18"/>
      <c r="GA265" s="11" t="s">
        <v>319</v>
      </c>
      <c r="GC265" s="18"/>
      <c r="GE265" s="11" t="s">
        <v>319</v>
      </c>
      <c r="GG265" s="18"/>
      <c r="GI265" s="11" t="s">
        <v>319</v>
      </c>
      <c r="GK265" s="18"/>
      <c r="GM265" s="11" t="s">
        <v>320</v>
      </c>
      <c r="GN265" s="22">
        <v>52</v>
      </c>
      <c r="GO265" s="18">
        <v>0.44</v>
      </c>
      <c r="GP265" s="22">
        <v>40244</v>
      </c>
      <c r="GQ265" s="11" t="s">
        <v>319</v>
      </c>
      <c r="GS265" s="18"/>
      <c r="GU265" s="12" t="s">
        <v>320</v>
      </c>
      <c r="GV265" s="22">
        <v>5505</v>
      </c>
      <c r="GW265" s="18">
        <v>0.51</v>
      </c>
      <c r="GX265" s="22">
        <v>0</v>
      </c>
      <c r="GY265" s="11" t="s">
        <v>319</v>
      </c>
      <c r="HA265" s="18"/>
      <c r="HF265" s="18"/>
      <c r="HH265" s="11" t="s">
        <v>319</v>
      </c>
      <c r="HK265" s="11" t="s">
        <v>320</v>
      </c>
      <c r="HL265" s="11" t="s">
        <v>319</v>
      </c>
      <c r="HO265" s="11" t="s">
        <v>4927</v>
      </c>
      <c r="HP265" s="11" t="s">
        <v>418</v>
      </c>
      <c r="HQ265" s="11" t="s">
        <v>319</v>
      </c>
      <c r="HR265" s="11" t="s">
        <v>319</v>
      </c>
      <c r="HS265" s="11" t="s">
        <v>320</v>
      </c>
      <c r="HT265" s="11" t="s">
        <v>319</v>
      </c>
      <c r="HU265" s="11" t="s">
        <v>319</v>
      </c>
      <c r="HV265" s="11" t="s">
        <v>320</v>
      </c>
      <c r="HW265" s="11" t="s">
        <v>319</v>
      </c>
      <c r="HZ265" s="12" t="s">
        <v>394</v>
      </c>
      <c r="IA265" s="11" t="s">
        <v>4928</v>
      </c>
      <c r="IB265" s="12" t="s">
        <v>396</v>
      </c>
      <c r="IC265" s="11" t="s">
        <v>4929</v>
      </c>
      <c r="ID265" s="11" t="s">
        <v>364</v>
      </c>
      <c r="IE265" s="11" t="s">
        <v>335</v>
      </c>
      <c r="IF265" s="11" t="s">
        <v>320</v>
      </c>
      <c r="IG265" s="11" t="s">
        <v>320</v>
      </c>
      <c r="IH265" s="11" t="s">
        <v>320</v>
      </c>
      <c r="II265" s="11" t="s">
        <v>319</v>
      </c>
      <c r="IJ265" s="12" t="str">
        <f t="shared" si="173"/>
        <v>1. Neutral</v>
      </c>
      <c r="IK265" s="12">
        <f t="shared" si="174"/>
        <v>3</v>
      </c>
      <c r="IL265" s="11" t="s">
        <v>621</v>
      </c>
      <c r="IM265" s="11" t="s">
        <v>319</v>
      </c>
      <c r="IN265" s="11" t="s">
        <v>320</v>
      </c>
      <c r="IO265" s="11" t="s">
        <v>320</v>
      </c>
      <c r="IP265" s="11" t="s">
        <v>320</v>
      </c>
      <c r="IQ265" s="12" t="str">
        <f t="shared" si="175"/>
        <v>3. Responsive</v>
      </c>
      <c r="IR265" s="12">
        <f t="shared" si="176"/>
        <v>3</v>
      </c>
      <c r="IS265" s="11" t="s">
        <v>337</v>
      </c>
      <c r="IT265" s="11" t="s">
        <v>319</v>
      </c>
      <c r="IU265" s="11" t="s">
        <v>320</v>
      </c>
      <c r="IV265" s="11" t="s">
        <v>320</v>
      </c>
      <c r="IW265" s="11" t="str">
        <f t="shared" si="177"/>
        <v>1. Neutral</v>
      </c>
      <c r="IX265" s="12">
        <f t="shared" si="178"/>
        <v>2</v>
      </c>
      <c r="IY265" s="12" t="s">
        <v>338</v>
      </c>
      <c r="IZ265" s="11" t="s">
        <v>339</v>
      </c>
      <c r="JE265" s="12" t="s">
        <v>365</v>
      </c>
      <c r="JF265" s="11" t="s">
        <v>4930</v>
      </c>
      <c r="JH265" s="11" t="s">
        <v>4931</v>
      </c>
      <c r="JI265" s="11" t="s">
        <v>4932</v>
      </c>
      <c r="JJ265" s="11" t="s">
        <v>4933</v>
      </c>
      <c r="JK265" s="11" t="s">
        <v>4934</v>
      </c>
      <c r="JL265" s="11" t="s">
        <v>4935</v>
      </c>
      <c r="JM265" s="11" t="s">
        <v>4936</v>
      </c>
      <c r="JO265" s="11" t="s">
        <v>4937</v>
      </c>
      <c r="JP265" s="15">
        <f t="shared" si="179"/>
        <v>5557</v>
      </c>
      <c r="JQ265" s="15">
        <f t="shared" si="180"/>
        <v>40244</v>
      </c>
      <c r="JR265" s="279">
        <f t="shared" si="181"/>
        <v>7.2420370703617056</v>
      </c>
      <c r="JS265" s="17">
        <f t="shared" si="182"/>
        <v>0.50908763721432426</v>
      </c>
      <c r="JT265" s="18">
        <f t="shared" si="183"/>
        <v>0.53737203061325911</v>
      </c>
      <c r="JU265" s="280">
        <f t="shared" si="184"/>
        <v>2829</v>
      </c>
      <c r="JV265" s="280">
        <f t="shared" si="185"/>
        <v>21626</v>
      </c>
      <c r="JW265" s="319" t="str">
        <f t="shared" si="186"/>
        <v/>
      </c>
      <c r="JX265" s="15">
        <f t="shared" si="187"/>
        <v>0</v>
      </c>
      <c r="JY265" s="15">
        <f t="shared" si="188"/>
        <v>0</v>
      </c>
      <c r="JZ265" s="19" t="str">
        <f t="shared" si="189"/>
        <v/>
      </c>
      <c r="KA265" s="52">
        <f t="shared" si="190"/>
        <v>1</v>
      </c>
      <c r="KB265" s="15">
        <f t="shared" si="191"/>
        <v>5505</v>
      </c>
      <c r="KC265" s="15">
        <f t="shared" si="192"/>
        <v>0</v>
      </c>
      <c r="KD265" s="20">
        <f t="shared" si="193"/>
        <v>0</v>
      </c>
      <c r="KE265" s="52" t="str">
        <f t="shared" si="194"/>
        <v/>
      </c>
      <c r="KF265" s="15">
        <f t="shared" si="195"/>
        <v>0</v>
      </c>
      <c r="KG265" s="15">
        <f t="shared" si="196"/>
        <v>0</v>
      </c>
      <c r="KH265" s="21" t="str">
        <f t="shared" si="197"/>
        <v/>
      </c>
      <c r="KI265" s="52" t="str">
        <f t="shared" si="198"/>
        <v/>
      </c>
      <c r="KJ265" s="15">
        <f t="shared" si="199"/>
        <v>0</v>
      </c>
      <c r="KK265" s="15">
        <f t="shared" si="200"/>
        <v>0</v>
      </c>
      <c r="KL265" s="19" t="str">
        <f t="shared" si="201"/>
        <v/>
      </c>
      <c r="KM265" s="52" t="str">
        <f t="shared" si="202"/>
        <v/>
      </c>
      <c r="KN265" s="22">
        <f t="shared" si="203"/>
        <v>0</v>
      </c>
      <c r="KO265" s="22">
        <f t="shared" si="204"/>
        <v>0</v>
      </c>
      <c r="KP265" s="19" t="str">
        <f t="shared" si="205"/>
        <v/>
      </c>
      <c r="KQ265" s="11" t="str">
        <f t="shared" si="206"/>
        <v>1. Neutral</v>
      </c>
      <c r="KR265" s="11" t="str">
        <f t="shared" si="207"/>
        <v>3. Responsive</v>
      </c>
      <c r="KS265" s="11" t="str">
        <f t="shared" si="208"/>
        <v>1. Neutral</v>
      </c>
      <c r="KT265" s="11" t="str">
        <f t="shared" si="209"/>
        <v>It tested new ways for fighting poverty, but did not measure results of innovation</v>
      </c>
      <c r="KU265" s="11" t="str">
        <f t="shared" si="210"/>
        <v>Little or no advocacy</v>
      </c>
      <c r="KV265" s="11" t="str">
        <f t="shared" si="211"/>
        <v>It linked and worked with strategic alliances and partners to take tested and effective solutions to scale</v>
      </c>
      <c r="KW265" s="11" t="str">
        <f t="shared" si="212"/>
        <v>Guatemala - Gobernabilidad del Agua + Género</v>
      </c>
      <c r="KX265" s="11" t="str">
        <f t="shared" si="213"/>
        <v>Gobernabilidad del Agua + Género</v>
      </c>
      <c r="KY265" s="11" t="str">
        <f t="shared" si="214"/>
        <v>Guatemala</v>
      </c>
      <c r="KZ265" s="12">
        <v>265</v>
      </c>
    </row>
    <row r="266" spans="1:312" x14ac:dyDescent="0.3">
      <c r="A266" s="12" t="s">
        <v>4777</v>
      </c>
      <c r="B266" s="12" t="s">
        <v>2807</v>
      </c>
      <c r="C266" s="12"/>
      <c r="D266" s="12" t="s">
        <v>2808</v>
      </c>
      <c r="E266" s="24" t="str">
        <f t="shared" si="172"/>
        <v>Guatemala</v>
      </c>
      <c r="F266" s="12"/>
      <c r="G266" s="12" t="s">
        <v>379</v>
      </c>
      <c r="H266" s="12" t="s">
        <v>384</v>
      </c>
      <c r="I266" s="12" t="s">
        <v>384</v>
      </c>
      <c r="J266" s="281"/>
      <c r="K266" s="12"/>
      <c r="L266" s="12"/>
      <c r="M266" s="12"/>
      <c r="N266" s="12"/>
      <c r="O266" s="12"/>
      <c r="P266" s="12"/>
      <c r="Q266" s="12"/>
      <c r="R266" s="12"/>
      <c r="S266" s="12"/>
      <c r="T266" s="12"/>
      <c r="U266" s="12"/>
      <c r="V266" s="12"/>
      <c r="W266" s="12"/>
      <c r="X266" s="12"/>
      <c r="Y266" s="12"/>
      <c r="Z266" s="12"/>
      <c r="AA266" s="12"/>
      <c r="AB266" s="12"/>
      <c r="AC266" s="12"/>
      <c r="AD266" s="12"/>
      <c r="BD266" s="13">
        <v>42552</v>
      </c>
      <c r="BE266" s="13">
        <v>47818</v>
      </c>
      <c r="BF266" s="12"/>
      <c r="BG266" s="12" t="s">
        <v>312</v>
      </c>
      <c r="BH266" s="14"/>
      <c r="BI266" s="12" t="s">
        <v>2809</v>
      </c>
      <c r="BJ266" s="12" t="s">
        <v>2810</v>
      </c>
      <c r="BK266" s="12" t="s">
        <v>2811</v>
      </c>
      <c r="BL266" s="12" t="s">
        <v>2812</v>
      </c>
      <c r="BM266" s="12" t="s">
        <v>2813</v>
      </c>
      <c r="BN266" s="12" t="s">
        <v>2814</v>
      </c>
      <c r="BO266" s="12" t="s">
        <v>319</v>
      </c>
      <c r="BP266" s="12" t="s">
        <v>320</v>
      </c>
      <c r="BQ266" s="12" t="s">
        <v>319</v>
      </c>
      <c r="BR266" s="12" t="s">
        <v>2815</v>
      </c>
      <c r="BS266" s="12" t="s">
        <v>1535</v>
      </c>
      <c r="BT266" s="12" t="s">
        <v>2816</v>
      </c>
      <c r="BU266" s="12" t="s">
        <v>2817</v>
      </c>
      <c r="BV266" s="14"/>
      <c r="BW266" s="14"/>
      <c r="BX266" s="14"/>
      <c r="BY266" s="14"/>
      <c r="BZ266" s="14"/>
      <c r="CA266" s="14"/>
      <c r="CB266" s="12" t="s">
        <v>4938</v>
      </c>
      <c r="CD266" s="14"/>
      <c r="CE266" s="14"/>
      <c r="CF266" s="14"/>
      <c r="CG266" s="14"/>
      <c r="CH266" s="14"/>
      <c r="CI266" s="14"/>
      <c r="CJ266" s="12"/>
      <c r="CK266" s="14"/>
      <c r="CL266" s="16"/>
      <c r="CM266" s="14"/>
      <c r="CN266" s="12"/>
      <c r="CO266" s="14"/>
      <c r="CP266" s="16"/>
      <c r="CQ266" s="14"/>
      <c r="CR266" s="12"/>
      <c r="CS266" s="14"/>
      <c r="CT266" s="16"/>
      <c r="CU266" s="14"/>
      <c r="CV266" s="12"/>
      <c r="CW266" s="14"/>
      <c r="CX266" s="16"/>
      <c r="CY266" s="14"/>
      <c r="CZ266" s="12"/>
      <c r="DA266" s="14"/>
      <c r="DB266" s="16"/>
      <c r="DC266" s="14"/>
      <c r="DD266" s="12"/>
      <c r="DE266" s="14"/>
      <c r="DF266" s="16"/>
      <c r="DG266" s="14"/>
      <c r="DH266" s="12"/>
      <c r="DI266" s="14"/>
      <c r="DJ266" s="16"/>
      <c r="DK266" s="14"/>
      <c r="DL266" s="12"/>
      <c r="DM266" s="14"/>
      <c r="DN266" s="16"/>
      <c r="DO266" s="14"/>
      <c r="DP266" s="12"/>
      <c r="DQ266" s="14"/>
      <c r="DR266" s="16"/>
      <c r="DS266" s="14"/>
      <c r="DT266" s="12"/>
      <c r="DU266" s="14"/>
      <c r="DV266" s="16"/>
      <c r="DW266" s="14"/>
      <c r="DX266" s="12"/>
      <c r="DY266" s="14"/>
      <c r="DZ266" s="16"/>
      <c r="EA266" s="14"/>
      <c r="EB266" s="12"/>
      <c r="EC266" s="14"/>
      <c r="ED266" s="16"/>
      <c r="EE266" s="14"/>
      <c r="EF266" s="12"/>
      <c r="EG266" s="12"/>
      <c r="EH266" s="14"/>
      <c r="EI266" s="16"/>
      <c r="EJ266" s="14"/>
      <c r="EK266" s="14"/>
      <c r="EL266" s="14"/>
      <c r="EM266" s="14"/>
      <c r="EN266" s="14"/>
      <c r="EO266" s="14"/>
      <c r="EP266" s="14"/>
      <c r="EQ266" s="12"/>
      <c r="ER266" s="14"/>
      <c r="ES266" s="16"/>
      <c r="ET266" s="14"/>
      <c r="EU266" s="12"/>
      <c r="EV266" s="14"/>
      <c r="EW266" s="16"/>
      <c r="EX266" s="14"/>
      <c r="EY266" s="12"/>
      <c r="EZ266" s="14"/>
      <c r="FA266" s="16"/>
      <c r="FB266" s="14"/>
      <c r="FC266" s="12"/>
      <c r="FD266" s="14"/>
      <c r="FE266" s="16"/>
      <c r="FF266" s="14"/>
      <c r="FG266" s="12"/>
      <c r="FH266" s="14"/>
      <c r="FI266" s="16"/>
      <c r="FJ266" s="14"/>
      <c r="FK266" s="12"/>
      <c r="FL266" s="14"/>
      <c r="FM266" s="16"/>
      <c r="FN266" s="14"/>
      <c r="FO266" s="12"/>
      <c r="FP266" s="14"/>
      <c r="FQ266" s="16"/>
      <c r="FR266" s="14"/>
      <c r="FS266" s="12" t="s">
        <v>320</v>
      </c>
      <c r="FT266" s="14"/>
      <c r="FU266" s="16"/>
      <c r="FV266" s="14"/>
      <c r="FW266" s="12" t="s">
        <v>320</v>
      </c>
      <c r="FX266" s="14"/>
      <c r="FY266" s="16"/>
      <c r="FZ266" s="14"/>
      <c r="GA266" s="12"/>
      <c r="GB266" s="14"/>
      <c r="GC266" s="16"/>
      <c r="GD266" s="14"/>
      <c r="GE266" s="12"/>
      <c r="GF266" s="14"/>
      <c r="GG266" s="16"/>
      <c r="GH266" s="14"/>
      <c r="GI266" s="12"/>
      <c r="GJ266" s="14"/>
      <c r="GK266" s="16"/>
      <c r="GL266" s="14"/>
      <c r="GM266" s="12" t="s">
        <v>320</v>
      </c>
      <c r="GN266" s="14"/>
      <c r="GO266" s="16"/>
      <c r="GP266" s="14"/>
      <c r="GQ266" s="12"/>
      <c r="GR266" s="14"/>
      <c r="GS266" s="16"/>
      <c r="GT266" s="14"/>
      <c r="GU266" s="12"/>
      <c r="GV266" s="14"/>
      <c r="GW266" s="16"/>
      <c r="GX266" s="14"/>
      <c r="GY266" s="12" t="s">
        <v>320</v>
      </c>
      <c r="GZ266" s="14"/>
      <c r="HA266" s="16"/>
      <c r="HB266" s="14"/>
      <c r="HC266" s="12"/>
      <c r="HD266" s="12"/>
      <c r="HE266" s="14"/>
      <c r="HF266" s="16"/>
      <c r="HG266" s="14"/>
      <c r="HH266" s="12" t="s">
        <v>319</v>
      </c>
      <c r="HI266" s="12"/>
      <c r="HJ266" s="12"/>
      <c r="HK266" s="12"/>
      <c r="HL266" s="12" t="s">
        <v>320</v>
      </c>
      <c r="HM266" s="12" t="s">
        <v>451</v>
      </c>
      <c r="HN266" s="12">
        <v>2018</v>
      </c>
      <c r="HO266" s="12" t="s">
        <v>2819</v>
      </c>
      <c r="HP266" s="12" t="s">
        <v>330</v>
      </c>
      <c r="HQ266" s="12" t="s">
        <v>319</v>
      </c>
      <c r="HR266" s="12" t="s">
        <v>319</v>
      </c>
      <c r="HS266" s="12" t="s">
        <v>320</v>
      </c>
      <c r="HT266" s="12" t="s">
        <v>320</v>
      </c>
      <c r="HU266" s="12" t="s">
        <v>320</v>
      </c>
      <c r="HV266" s="12" t="s">
        <v>320</v>
      </c>
      <c r="HW266" s="12" t="s">
        <v>319</v>
      </c>
      <c r="HX266" s="12" t="s">
        <v>320</v>
      </c>
      <c r="HY266" s="12" t="s">
        <v>2820</v>
      </c>
      <c r="HZ266" s="12" t="s">
        <v>394</v>
      </c>
      <c r="IA266" s="12" t="s">
        <v>2821</v>
      </c>
      <c r="IB266" s="12" t="s">
        <v>396</v>
      </c>
      <c r="IC266" s="12" t="s">
        <v>2822</v>
      </c>
      <c r="ID266" s="12" t="s">
        <v>334</v>
      </c>
      <c r="IE266" s="12" t="s">
        <v>478</v>
      </c>
      <c r="IF266" s="12" t="s">
        <v>320</v>
      </c>
      <c r="IG266" s="12" t="s">
        <v>320</v>
      </c>
      <c r="IH266" s="12" t="s">
        <v>320</v>
      </c>
      <c r="II266" s="12" t="s">
        <v>319</v>
      </c>
      <c r="IJ266" s="12" t="str">
        <f t="shared" si="173"/>
        <v>3. Responsive</v>
      </c>
      <c r="IK266" s="12">
        <f t="shared" si="174"/>
        <v>3</v>
      </c>
      <c r="IL266" s="11" t="s">
        <v>621</v>
      </c>
      <c r="IM266" s="12" t="s">
        <v>320</v>
      </c>
      <c r="IN266" s="12" t="s">
        <v>320</v>
      </c>
      <c r="IO266" s="12" t="s">
        <v>320</v>
      </c>
      <c r="IP266" s="12" t="s">
        <v>320</v>
      </c>
      <c r="IQ266" s="12" t="str">
        <f t="shared" si="175"/>
        <v>4. Transformational</v>
      </c>
      <c r="IR266" s="12">
        <f t="shared" si="176"/>
        <v>4</v>
      </c>
      <c r="IS266" s="12" t="s">
        <v>337</v>
      </c>
      <c r="IT266" s="12" t="s">
        <v>319</v>
      </c>
      <c r="IU266" s="12" t="s">
        <v>320</v>
      </c>
      <c r="IV266" s="12" t="s">
        <v>319</v>
      </c>
      <c r="IW266" s="11" t="str">
        <f t="shared" si="177"/>
        <v>1. Neutral</v>
      </c>
      <c r="IX266" s="12">
        <f t="shared" si="178"/>
        <v>1</v>
      </c>
      <c r="IY266" s="12" t="s">
        <v>338</v>
      </c>
      <c r="IZ266" s="12" t="s">
        <v>457</v>
      </c>
      <c r="JA266" s="12"/>
      <c r="JB266" s="12" t="s">
        <v>2236</v>
      </c>
      <c r="JC266" s="11" t="s">
        <v>433</v>
      </c>
      <c r="JD266" s="12" t="s">
        <v>832</v>
      </c>
      <c r="JE266" s="12" t="s">
        <v>340</v>
      </c>
      <c r="JF266" s="12" t="s">
        <v>2823</v>
      </c>
      <c r="JG266" s="12" t="s">
        <v>2824</v>
      </c>
      <c r="JH266" s="12" t="s">
        <v>2825</v>
      </c>
      <c r="JI266" s="12" t="s">
        <v>2826</v>
      </c>
      <c r="JJ266" s="12" t="s">
        <v>2827</v>
      </c>
      <c r="JK266" s="12" t="s">
        <v>2828</v>
      </c>
      <c r="JL266" s="12" t="s">
        <v>2829</v>
      </c>
      <c r="JM266" s="12" t="s">
        <v>2830</v>
      </c>
      <c r="JN266" s="12" t="s">
        <v>2831</v>
      </c>
      <c r="JO266" s="12" t="s">
        <v>2832</v>
      </c>
      <c r="JP266" s="15">
        <f t="shared" si="179"/>
        <v>0</v>
      </c>
      <c r="JQ266" s="15">
        <f t="shared" si="180"/>
        <v>0</v>
      </c>
      <c r="JR266" s="279" t="str">
        <f t="shared" si="181"/>
        <v/>
      </c>
      <c r="JS266" s="17" t="str">
        <f t="shared" si="182"/>
        <v/>
      </c>
      <c r="JT266" s="18" t="str">
        <f t="shared" si="183"/>
        <v/>
      </c>
      <c r="JU266" s="280">
        <f t="shared" si="184"/>
        <v>0</v>
      </c>
      <c r="JV266" s="280">
        <f t="shared" si="185"/>
        <v>0</v>
      </c>
      <c r="JW266" s="319" t="str">
        <f t="shared" si="186"/>
        <v/>
      </c>
      <c r="JX266" s="15">
        <f t="shared" si="187"/>
        <v>0</v>
      </c>
      <c r="JY266" s="15">
        <f t="shared" si="188"/>
        <v>0</v>
      </c>
      <c r="JZ266" s="19" t="str">
        <f t="shared" si="189"/>
        <v/>
      </c>
      <c r="KA266" s="52" t="str">
        <f t="shared" si="190"/>
        <v/>
      </c>
      <c r="KB266" s="15">
        <f t="shared" si="191"/>
        <v>0</v>
      </c>
      <c r="KC266" s="15">
        <f t="shared" si="192"/>
        <v>0</v>
      </c>
      <c r="KD266" s="20" t="str">
        <f t="shared" si="193"/>
        <v/>
      </c>
      <c r="KE266" s="52" t="str">
        <f t="shared" si="194"/>
        <v/>
      </c>
      <c r="KF266" s="15">
        <f t="shared" si="195"/>
        <v>0</v>
      </c>
      <c r="KG266" s="15">
        <f t="shared" si="196"/>
        <v>0</v>
      </c>
      <c r="KH266" s="21" t="str">
        <f t="shared" si="197"/>
        <v/>
      </c>
      <c r="KI266" s="52">
        <f t="shared" si="198"/>
        <v>1</v>
      </c>
      <c r="KJ266" s="15">
        <f t="shared" si="199"/>
        <v>0</v>
      </c>
      <c r="KK266" s="15">
        <f t="shared" si="200"/>
        <v>0</v>
      </c>
      <c r="KL266" s="19" t="str">
        <f t="shared" si="201"/>
        <v/>
      </c>
      <c r="KM266" s="52">
        <f t="shared" si="202"/>
        <v>1</v>
      </c>
      <c r="KN266" s="22">
        <f t="shared" si="203"/>
        <v>0</v>
      </c>
      <c r="KO266" s="22">
        <f t="shared" si="204"/>
        <v>0</v>
      </c>
      <c r="KP266" s="19" t="str">
        <f t="shared" si="205"/>
        <v/>
      </c>
      <c r="KQ266" s="11" t="str">
        <f t="shared" si="206"/>
        <v>3. Responsive</v>
      </c>
      <c r="KR266" s="11" t="str">
        <f t="shared" si="207"/>
        <v>4. Transformational</v>
      </c>
      <c r="KS266" s="11" t="str">
        <f t="shared" si="208"/>
        <v>1. Neutral</v>
      </c>
      <c r="KT266" s="11" t="str">
        <f t="shared" si="209"/>
        <v>It tested new ways for fighting poverty, but did not measure results of innovation</v>
      </c>
      <c r="KU266" s="11" t="str">
        <f t="shared" si="210"/>
        <v>Moderate advocacy</v>
      </c>
      <c r="KV266" s="11" t="str">
        <f t="shared" si="211"/>
        <v>It linked and worked with strategic alliances and partners to take tested and effective solutions to scale</v>
      </c>
      <c r="KW266" s="11" t="str">
        <f t="shared" si="212"/>
        <v>Guatemala - INICIATIVA IGS LAC - Programa regional de Trabajo Digno</v>
      </c>
      <c r="KX266" s="11" t="str">
        <f t="shared" si="213"/>
        <v>INICIATIVA IGS LAC - Programa regional de Trabajo Digno</v>
      </c>
      <c r="KY266" s="11" t="str">
        <f t="shared" si="214"/>
        <v>Guatemala</v>
      </c>
      <c r="KZ266" s="12">
        <v>266</v>
      </c>
    </row>
    <row r="267" spans="1:312" x14ac:dyDescent="0.3">
      <c r="A267" s="11" t="s">
        <v>4777</v>
      </c>
      <c r="B267" s="11" t="s">
        <v>2807</v>
      </c>
      <c r="C267" s="11">
        <v>2977</v>
      </c>
      <c r="D267" s="11" t="s">
        <v>4939</v>
      </c>
      <c r="E267" s="24" t="str">
        <f t="shared" si="172"/>
        <v>Guatemala</v>
      </c>
      <c r="F267" s="11" t="s">
        <v>4940</v>
      </c>
      <c r="G267" s="11" t="s">
        <v>379</v>
      </c>
      <c r="H267" s="11" t="s">
        <v>310</v>
      </c>
      <c r="I267" s="11" t="s">
        <v>655</v>
      </c>
      <c r="J267" s="278" t="s">
        <v>9916</v>
      </c>
      <c r="BD267" s="23">
        <v>42278</v>
      </c>
      <c r="BE267" s="23">
        <v>43008</v>
      </c>
      <c r="BG267" s="11" t="s">
        <v>908</v>
      </c>
      <c r="BH267" s="22">
        <v>490033</v>
      </c>
      <c r="BI267" s="11" t="s">
        <v>4781</v>
      </c>
      <c r="BJ267" s="11" t="s">
        <v>4782</v>
      </c>
      <c r="BK267" s="11" t="s">
        <v>4783</v>
      </c>
      <c r="BL267" s="11" t="s">
        <v>4784</v>
      </c>
      <c r="BM267" s="11" t="s">
        <v>4804</v>
      </c>
      <c r="BN267" s="11" t="s">
        <v>4786</v>
      </c>
      <c r="BO267" s="11" t="s">
        <v>320</v>
      </c>
      <c r="BP267" s="11" t="s">
        <v>319</v>
      </c>
      <c r="BQ267" s="11" t="s">
        <v>319</v>
      </c>
      <c r="BR267" s="11" t="s">
        <v>4941</v>
      </c>
      <c r="BS267" s="11" t="s">
        <v>357</v>
      </c>
      <c r="BT267" s="11" t="s">
        <v>4806</v>
      </c>
      <c r="BU267" s="11" t="s">
        <v>4942</v>
      </c>
      <c r="BV267" s="22">
        <v>3000</v>
      </c>
      <c r="BW267" s="22">
        <v>3000</v>
      </c>
      <c r="BX267" s="22">
        <v>6000</v>
      </c>
      <c r="BY267" s="22">
        <v>21817</v>
      </c>
      <c r="BZ267" s="22">
        <v>20960</v>
      </c>
      <c r="CA267" s="22">
        <v>42777</v>
      </c>
      <c r="CB267" s="15" t="s">
        <v>4943</v>
      </c>
      <c r="CD267" s="22">
        <v>844</v>
      </c>
      <c r="CE267" s="22">
        <v>809</v>
      </c>
      <c r="CF267" s="22">
        <v>1653</v>
      </c>
      <c r="CG267" s="22">
        <v>6010</v>
      </c>
      <c r="CH267" s="22">
        <v>5775</v>
      </c>
      <c r="CI267" s="22">
        <v>11785</v>
      </c>
      <c r="CL267" s="18"/>
      <c r="CP267" s="18"/>
      <c r="CT267" s="18"/>
      <c r="CV267" s="12" t="s">
        <v>320</v>
      </c>
      <c r="CW267" s="22">
        <v>1653</v>
      </c>
      <c r="CX267" s="18">
        <v>0.51</v>
      </c>
      <c r="CY267" s="22">
        <v>11785</v>
      </c>
      <c r="DB267" s="18"/>
      <c r="DF267" s="18"/>
      <c r="DJ267" s="18"/>
      <c r="DL267" s="11" t="s">
        <v>320</v>
      </c>
      <c r="DM267" s="22">
        <v>252</v>
      </c>
      <c r="DN267" s="18">
        <v>0.93</v>
      </c>
      <c r="DO267" s="22">
        <v>1260</v>
      </c>
      <c r="DR267" s="18"/>
      <c r="DV267" s="18"/>
      <c r="DZ267" s="18"/>
      <c r="ED267" s="18"/>
      <c r="EI267" s="18"/>
      <c r="ES267" s="18"/>
      <c r="EW267" s="18"/>
      <c r="FA267" s="18"/>
      <c r="FE267" s="18"/>
      <c r="FI267" s="18"/>
      <c r="FM267" s="18"/>
      <c r="FQ267" s="18"/>
      <c r="FU267" s="18"/>
      <c r="FY267" s="18"/>
      <c r="GC267" s="18"/>
      <c r="GG267" s="18"/>
      <c r="GK267" s="18"/>
      <c r="GO267" s="18"/>
      <c r="GS267" s="18"/>
      <c r="GW267" s="18"/>
      <c r="HA267" s="18"/>
      <c r="HF267" s="18"/>
      <c r="HH267" s="11" t="s">
        <v>319</v>
      </c>
      <c r="HK267" s="11" t="s">
        <v>319</v>
      </c>
      <c r="HL267" s="11" t="s">
        <v>319</v>
      </c>
      <c r="HO267" s="11" t="s">
        <v>4944</v>
      </c>
      <c r="HP267" s="11" t="s">
        <v>418</v>
      </c>
      <c r="HQ267" s="11" t="s">
        <v>319</v>
      </c>
      <c r="HR267" s="11" t="s">
        <v>319</v>
      </c>
      <c r="HS267" s="11" t="s">
        <v>319</v>
      </c>
      <c r="HT267" s="11" t="s">
        <v>319</v>
      </c>
      <c r="HU267" s="11" t="s">
        <v>319</v>
      </c>
      <c r="HV267" s="11" t="s">
        <v>319</v>
      </c>
      <c r="HW267" s="11" t="s">
        <v>319</v>
      </c>
      <c r="HX267" s="11" t="s">
        <v>320</v>
      </c>
      <c r="HY267" s="11" t="s">
        <v>4945</v>
      </c>
      <c r="HZ267" s="12" t="s">
        <v>394</v>
      </c>
      <c r="IA267" s="11" t="s">
        <v>4946</v>
      </c>
      <c r="IB267" s="12" t="s">
        <v>396</v>
      </c>
      <c r="IC267" s="11" t="s">
        <v>4947</v>
      </c>
      <c r="ID267" s="12" t="s">
        <v>334</v>
      </c>
      <c r="IE267" s="11" t="s">
        <v>335</v>
      </c>
      <c r="IF267" s="11" t="s">
        <v>320</v>
      </c>
      <c r="IG267" s="11" t="s">
        <v>320</v>
      </c>
      <c r="IH267" s="11" t="s">
        <v>320</v>
      </c>
      <c r="II267" s="11" t="s">
        <v>320</v>
      </c>
      <c r="IJ267" s="12" t="str">
        <f t="shared" si="173"/>
        <v>2. Sensitive</v>
      </c>
      <c r="IK267" s="12">
        <f t="shared" si="174"/>
        <v>4</v>
      </c>
      <c r="IL267" s="11" t="s">
        <v>336</v>
      </c>
      <c r="IM267" s="11" t="s">
        <v>320</v>
      </c>
      <c r="IN267" s="11" t="s">
        <v>320</v>
      </c>
      <c r="IO267" s="11" t="s">
        <v>320</v>
      </c>
      <c r="IP267" s="11" t="s">
        <v>320</v>
      </c>
      <c r="IQ267" s="12" t="str">
        <f t="shared" si="175"/>
        <v>2. Accommodating</v>
      </c>
      <c r="IR267" s="12">
        <f t="shared" si="176"/>
        <v>4</v>
      </c>
      <c r="IS267" s="11" t="s">
        <v>622</v>
      </c>
      <c r="IT267" s="11" t="s">
        <v>320</v>
      </c>
      <c r="IU267" s="11" t="s">
        <v>319</v>
      </c>
      <c r="IV267" s="11" t="s">
        <v>320</v>
      </c>
      <c r="IW267" s="11" t="str">
        <f t="shared" si="177"/>
        <v>3. Responsive</v>
      </c>
      <c r="IX267" s="12">
        <f t="shared" si="178"/>
        <v>2</v>
      </c>
      <c r="IY267" s="11" t="s">
        <v>419</v>
      </c>
      <c r="IZ267" s="11" t="s">
        <v>527</v>
      </c>
      <c r="JA267" s="11">
        <v>3</v>
      </c>
      <c r="JB267" s="12" t="s">
        <v>687</v>
      </c>
      <c r="JE267" s="12" t="s">
        <v>365</v>
      </c>
      <c r="JF267" s="11" t="s">
        <v>4948</v>
      </c>
      <c r="JG267" s="11" t="s">
        <v>4949</v>
      </c>
      <c r="JH267" s="11" t="s">
        <v>4950</v>
      </c>
      <c r="JI267" s="11" t="s">
        <v>4951</v>
      </c>
      <c r="JJ267" s="11" t="s">
        <v>4952</v>
      </c>
      <c r="JK267" s="11" t="s">
        <v>4953</v>
      </c>
      <c r="JL267" s="11" t="s">
        <v>4954</v>
      </c>
      <c r="JM267" s="11" t="s">
        <v>4955</v>
      </c>
      <c r="JN267" s="11" t="s">
        <v>4956</v>
      </c>
      <c r="JO267" s="11" t="s">
        <v>4957</v>
      </c>
      <c r="JP267" s="15">
        <f t="shared" si="179"/>
        <v>1653</v>
      </c>
      <c r="JQ267" s="15">
        <f t="shared" si="180"/>
        <v>11785</v>
      </c>
      <c r="JR267" s="279">
        <f t="shared" si="181"/>
        <v>7.1294615849969754</v>
      </c>
      <c r="JS267" s="17">
        <f t="shared" si="182"/>
        <v>0.51058681185722932</v>
      </c>
      <c r="JT267" s="18">
        <f t="shared" si="183"/>
        <v>0.50997030123037757</v>
      </c>
      <c r="JU267" s="280">
        <f t="shared" si="184"/>
        <v>844</v>
      </c>
      <c r="JV267" s="280">
        <f t="shared" si="185"/>
        <v>6010</v>
      </c>
      <c r="JW267" s="319">
        <f t="shared" si="186"/>
        <v>1</v>
      </c>
      <c r="JX267" s="15">
        <f t="shared" si="187"/>
        <v>1653</v>
      </c>
      <c r="JY267" s="15">
        <f t="shared" si="188"/>
        <v>11785</v>
      </c>
      <c r="JZ267" s="19">
        <f t="shared" si="189"/>
        <v>7.1294615849969754</v>
      </c>
      <c r="KA267" s="52">
        <f t="shared" si="190"/>
        <v>1</v>
      </c>
      <c r="KB267" s="15">
        <f t="shared" si="191"/>
        <v>1653</v>
      </c>
      <c r="KC267" s="15">
        <f t="shared" si="192"/>
        <v>11785</v>
      </c>
      <c r="KD267" s="20">
        <f t="shared" si="193"/>
        <v>7.1294615849969754</v>
      </c>
      <c r="KE267" s="52" t="str">
        <f t="shared" si="194"/>
        <v/>
      </c>
      <c r="KF267" s="15">
        <f t="shared" si="195"/>
        <v>0</v>
      </c>
      <c r="KG267" s="15">
        <f t="shared" si="196"/>
        <v>0</v>
      </c>
      <c r="KH267" s="21" t="str">
        <f t="shared" si="197"/>
        <v/>
      </c>
      <c r="KI267" s="52" t="str">
        <f t="shared" si="198"/>
        <v/>
      </c>
      <c r="KJ267" s="15">
        <f t="shared" si="199"/>
        <v>0</v>
      </c>
      <c r="KK267" s="15">
        <f t="shared" si="200"/>
        <v>0</v>
      </c>
      <c r="KL267" s="19" t="str">
        <f t="shared" si="201"/>
        <v/>
      </c>
      <c r="KM267" s="52" t="str">
        <f t="shared" si="202"/>
        <v/>
      </c>
      <c r="KN267" s="22">
        <f t="shared" si="203"/>
        <v>0</v>
      </c>
      <c r="KO267" s="22">
        <f t="shared" si="204"/>
        <v>0</v>
      </c>
      <c r="KP267" s="19" t="str">
        <f t="shared" si="205"/>
        <v/>
      </c>
      <c r="KQ267" s="11" t="str">
        <f t="shared" si="206"/>
        <v>2. Sensitive</v>
      </c>
      <c r="KR267" s="11" t="str">
        <f t="shared" si="207"/>
        <v>2. Accommodating</v>
      </c>
      <c r="KS267" s="11" t="str">
        <f t="shared" si="208"/>
        <v>3. Responsive</v>
      </c>
      <c r="KT267" s="11" t="str">
        <f t="shared" si="209"/>
        <v>It tested new ways for fighting poverty, but did not measure results of innovation</v>
      </c>
      <c r="KU267" s="11" t="str">
        <f t="shared" si="210"/>
        <v>Little or no advocacy</v>
      </c>
      <c r="KV267" s="11" t="str">
        <f t="shared" si="211"/>
        <v>It linked and worked with strategic alliances and partners to take tested and effective solutions to scale</v>
      </c>
      <c r="KW267" s="11" t="str">
        <f t="shared" si="212"/>
        <v>Guatemala - Mejora de la Seguridad Alimentaria y la Resiliencia a traves de agricultura sostenible en comunidades rurales del corredor seco en El Quiché, Guatemala</v>
      </c>
      <c r="KX267" s="11" t="str">
        <f t="shared" si="213"/>
        <v>Mejora de la Seguridad Alimentaria y la Resiliencia a traves de agricultura sostenible en comunidades rurales del corredor seco en El Quiché, Guatemala</v>
      </c>
      <c r="KY267" s="11" t="str">
        <f t="shared" si="214"/>
        <v>Guatemala</v>
      </c>
      <c r="KZ267" s="12">
        <v>267</v>
      </c>
    </row>
    <row r="268" spans="1:312" x14ac:dyDescent="0.3">
      <c r="A268" s="11" t="s">
        <v>4777</v>
      </c>
      <c r="B268" s="11" t="s">
        <v>2807</v>
      </c>
      <c r="C268" s="11">
        <v>2966</v>
      </c>
      <c r="D268" s="11" t="s">
        <v>4802</v>
      </c>
      <c r="E268" s="24" t="str">
        <f t="shared" si="172"/>
        <v>Guatemala</v>
      </c>
      <c r="F268" s="11" t="s">
        <v>4803</v>
      </c>
      <c r="G268" s="11" t="s">
        <v>714</v>
      </c>
      <c r="H268" s="11" t="s">
        <v>310</v>
      </c>
      <c r="I268" s="11" t="s">
        <v>517</v>
      </c>
      <c r="J268" s="278" t="s">
        <v>5183</v>
      </c>
      <c r="BD268" s="23">
        <v>42826</v>
      </c>
      <c r="BE268" s="23">
        <v>43008</v>
      </c>
      <c r="BF268" s="23">
        <v>43039</v>
      </c>
      <c r="BG268" s="11" t="s">
        <v>908</v>
      </c>
      <c r="BH268" s="22">
        <v>670020</v>
      </c>
      <c r="BI268" s="11" t="s">
        <v>4781</v>
      </c>
      <c r="BJ268" s="11" t="s">
        <v>4782</v>
      </c>
      <c r="BK268" s="11" t="s">
        <v>4783</v>
      </c>
      <c r="BL268" s="11" t="s">
        <v>4784</v>
      </c>
      <c r="BM268" s="11" t="s">
        <v>4804</v>
      </c>
      <c r="BN268" s="11" t="s">
        <v>4786</v>
      </c>
      <c r="BO268" s="11" t="s">
        <v>320</v>
      </c>
      <c r="BP268" s="11" t="s">
        <v>319</v>
      </c>
      <c r="BQ268" s="11" t="s">
        <v>319</v>
      </c>
      <c r="BR268" s="11" t="s">
        <v>4805</v>
      </c>
      <c r="BS268" s="11" t="s">
        <v>357</v>
      </c>
      <c r="BT268" s="11" t="s">
        <v>4806</v>
      </c>
      <c r="BU268" s="11" t="s">
        <v>4807</v>
      </c>
      <c r="BV268" s="22">
        <v>10391</v>
      </c>
      <c r="BW268" s="22">
        <v>10139</v>
      </c>
      <c r="BX268" s="22">
        <v>20530</v>
      </c>
      <c r="BY268" s="22">
        <v>21817</v>
      </c>
      <c r="BZ268" s="22">
        <v>20960</v>
      </c>
      <c r="CA268" s="22">
        <v>42777</v>
      </c>
      <c r="CB268" s="15" t="s">
        <v>4808</v>
      </c>
      <c r="CD268" s="22">
        <v>10391</v>
      </c>
      <c r="CE268" s="22">
        <v>10139</v>
      </c>
      <c r="CF268" s="22">
        <v>20530</v>
      </c>
      <c r="CG268" s="22">
        <v>21817</v>
      </c>
      <c r="CH268" s="22">
        <v>20960</v>
      </c>
      <c r="CI268" s="22">
        <v>42777</v>
      </c>
      <c r="CJ268" s="11" t="s">
        <v>319</v>
      </c>
      <c r="CL268" s="18"/>
      <c r="CN268" s="11" t="s">
        <v>319</v>
      </c>
      <c r="CP268" s="18"/>
      <c r="CR268" s="11" t="s">
        <v>319</v>
      </c>
      <c r="CT268" s="18"/>
      <c r="CV268" s="11" t="s">
        <v>319</v>
      </c>
      <c r="CX268" s="18"/>
      <c r="CZ268" s="11" t="s">
        <v>319</v>
      </c>
      <c r="DB268" s="18"/>
      <c r="DD268" s="11" t="s">
        <v>320</v>
      </c>
      <c r="DE268" s="22">
        <v>20530</v>
      </c>
      <c r="DF268" s="18">
        <v>0.50600000000000001</v>
      </c>
      <c r="DG268" s="22">
        <v>42777</v>
      </c>
      <c r="DH268" s="11" t="s">
        <v>319</v>
      </c>
      <c r="DJ268" s="18"/>
      <c r="DL268" s="11" t="s">
        <v>320</v>
      </c>
      <c r="DM268" s="22">
        <v>20530</v>
      </c>
      <c r="DN268" s="18">
        <v>0.50600000000000001</v>
      </c>
      <c r="DO268" s="22">
        <v>42777</v>
      </c>
      <c r="DP268" s="11" t="s">
        <v>319</v>
      </c>
      <c r="DR268" s="18"/>
      <c r="DT268" s="11" t="s">
        <v>319</v>
      </c>
      <c r="DV268" s="18"/>
      <c r="DX268" s="11" t="s">
        <v>319</v>
      </c>
      <c r="DZ268" s="18"/>
      <c r="EB268" s="11" t="s">
        <v>319</v>
      </c>
      <c r="ED268" s="18"/>
      <c r="EG268" s="15" t="s">
        <v>319</v>
      </c>
      <c r="EI268" s="18"/>
      <c r="ES268" s="18"/>
      <c r="EW268" s="18"/>
      <c r="FA268" s="18"/>
      <c r="FE268" s="18"/>
      <c r="FI268" s="18"/>
      <c r="FM268" s="18"/>
      <c r="FQ268" s="18"/>
      <c r="FU268" s="18"/>
      <c r="FY268" s="18"/>
      <c r="GC268" s="18"/>
      <c r="GG268" s="18"/>
      <c r="GK268" s="18"/>
      <c r="GO268" s="18"/>
      <c r="GS268" s="18"/>
      <c r="GW268" s="18"/>
      <c r="HA268" s="18"/>
      <c r="HF268" s="18"/>
      <c r="HH268" s="11" t="s">
        <v>319</v>
      </c>
      <c r="HK268" s="11" t="s">
        <v>319</v>
      </c>
      <c r="HL268" s="11" t="s">
        <v>320</v>
      </c>
      <c r="HM268" s="11" t="s">
        <v>619</v>
      </c>
      <c r="HN268" s="11">
        <v>2017</v>
      </c>
      <c r="HO268" s="11" t="s">
        <v>4809</v>
      </c>
      <c r="HP268" s="11" t="s">
        <v>330</v>
      </c>
      <c r="HQ268" s="11" t="s">
        <v>319</v>
      </c>
      <c r="HR268" s="11" t="s">
        <v>319</v>
      </c>
      <c r="HS268" s="11" t="s">
        <v>319</v>
      </c>
      <c r="HT268" s="11" t="s">
        <v>320</v>
      </c>
      <c r="HU268" s="11" t="s">
        <v>319</v>
      </c>
      <c r="HV268" s="11" t="s">
        <v>319</v>
      </c>
      <c r="HW268" s="11" t="s">
        <v>320</v>
      </c>
      <c r="HX268" s="11" t="s">
        <v>320</v>
      </c>
      <c r="HY268" s="11" t="s">
        <v>4810</v>
      </c>
      <c r="HZ268" s="12" t="s">
        <v>394</v>
      </c>
      <c r="IA268" s="11" t="s">
        <v>4811</v>
      </c>
      <c r="IB268" s="12" t="s">
        <v>396</v>
      </c>
      <c r="IC268" s="11" t="s">
        <v>4812</v>
      </c>
      <c r="ID268" s="12" t="s">
        <v>334</v>
      </c>
      <c r="IE268" s="11" t="s">
        <v>335</v>
      </c>
      <c r="IF268" s="11" t="s">
        <v>320</v>
      </c>
      <c r="IG268" s="11" t="s">
        <v>320</v>
      </c>
      <c r="IH268" s="11" t="s">
        <v>320</v>
      </c>
      <c r="II268" s="11" t="s">
        <v>320</v>
      </c>
      <c r="IJ268" s="12" t="str">
        <f t="shared" si="173"/>
        <v>2. Sensitive</v>
      </c>
      <c r="IK268" s="12">
        <f t="shared" si="174"/>
        <v>4</v>
      </c>
      <c r="IL268" s="11" t="s">
        <v>336</v>
      </c>
      <c r="IM268" s="11" t="s">
        <v>320</v>
      </c>
      <c r="IN268" s="11" t="s">
        <v>320</v>
      </c>
      <c r="IO268" s="11" t="s">
        <v>320</v>
      </c>
      <c r="IP268" s="11" t="s">
        <v>320</v>
      </c>
      <c r="IQ268" s="12" t="str">
        <f t="shared" si="175"/>
        <v>2. Accommodating</v>
      </c>
      <c r="IR268" s="12">
        <f t="shared" si="176"/>
        <v>4</v>
      </c>
      <c r="IS268" s="11" t="s">
        <v>622</v>
      </c>
      <c r="IT268" s="11" t="s">
        <v>320</v>
      </c>
      <c r="IU268" s="11" t="s">
        <v>320</v>
      </c>
      <c r="IV268" s="11" t="s">
        <v>320</v>
      </c>
      <c r="IW268" s="11" t="str">
        <f t="shared" si="177"/>
        <v>4. Transformative</v>
      </c>
      <c r="IX268" s="12">
        <f t="shared" si="178"/>
        <v>3</v>
      </c>
      <c r="IY268" s="11" t="s">
        <v>419</v>
      </c>
      <c r="IZ268" s="11" t="s">
        <v>457</v>
      </c>
      <c r="JA268" s="11">
        <v>2</v>
      </c>
      <c r="JB268" s="12" t="s">
        <v>651</v>
      </c>
      <c r="JC268" s="11" t="s">
        <v>687</v>
      </c>
      <c r="JE268" s="12" t="s">
        <v>340</v>
      </c>
      <c r="JF268" s="11" t="s">
        <v>4813</v>
      </c>
      <c r="JG268" s="11" t="s">
        <v>4814</v>
      </c>
      <c r="JH268" s="11" t="s">
        <v>4815</v>
      </c>
      <c r="JI268" s="11" t="s">
        <v>4816</v>
      </c>
      <c r="JJ268" s="11" t="s">
        <v>4817</v>
      </c>
      <c r="JK268" s="11" t="s">
        <v>4818</v>
      </c>
      <c r="JL268" s="11" t="s">
        <v>4819</v>
      </c>
      <c r="JM268" s="11" t="s">
        <v>4820</v>
      </c>
      <c r="JN268" s="11" t="s">
        <v>4821</v>
      </c>
      <c r="JO268" s="11" t="s">
        <v>4822</v>
      </c>
      <c r="JP268" s="15">
        <f t="shared" si="179"/>
        <v>20530</v>
      </c>
      <c r="JQ268" s="15">
        <f t="shared" si="180"/>
        <v>42777</v>
      </c>
      <c r="JR268" s="279">
        <f t="shared" si="181"/>
        <v>2.0836337067705797</v>
      </c>
      <c r="JS268" s="17">
        <f t="shared" si="182"/>
        <v>0.5061373599610326</v>
      </c>
      <c r="JT268" s="18">
        <f t="shared" si="183"/>
        <v>0.51001706524534207</v>
      </c>
      <c r="JU268" s="280">
        <f t="shared" si="184"/>
        <v>10391</v>
      </c>
      <c r="JV268" s="280">
        <f t="shared" si="185"/>
        <v>21817</v>
      </c>
      <c r="JW268" s="319">
        <f t="shared" si="186"/>
        <v>1</v>
      </c>
      <c r="JX268" s="15">
        <f t="shared" si="187"/>
        <v>20530</v>
      </c>
      <c r="JY268" s="15">
        <f t="shared" si="188"/>
        <v>42777</v>
      </c>
      <c r="JZ268" s="19">
        <f t="shared" si="189"/>
        <v>2.0836337067705797</v>
      </c>
      <c r="KA268" s="52">
        <f t="shared" si="190"/>
        <v>1</v>
      </c>
      <c r="KB268" s="15">
        <f t="shared" si="191"/>
        <v>20530</v>
      </c>
      <c r="KC268" s="15">
        <f t="shared" si="192"/>
        <v>42777</v>
      </c>
      <c r="KD268" s="20">
        <f t="shared" si="193"/>
        <v>2.0836337067705797</v>
      </c>
      <c r="KE268" s="52" t="str">
        <f t="shared" si="194"/>
        <v/>
      </c>
      <c r="KF268" s="15">
        <f t="shared" si="195"/>
        <v>0</v>
      </c>
      <c r="KG268" s="15">
        <f t="shared" si="196"/>
        <v>0</v>
      </c>
      <c r="KH268" s="21" t="str">
        <f t="shared" si="197"/>
        <v/>
      </c>
      <c r="KI268" s="52" t="str">
        <f t="shared" si="198"/>
        <v/>
      </c>
      <c r="KJ268" s="15">
        <f t="shared" si="199"/>
        <v>0</v>
      </c>
      <c r="KK268" s="15">
        <f t="shared" si="200"/>
        <v>0</v>
      </c>
      <c r="KL268" s="19" t="str">
        <f t="shared" si="201"/>
        <v/>
      </c>
      <c r="KM268" s="52" t="str">
        <f t="shared" si="202"/>
        <v/>
      </c>
      <c r="KN268" s="22">
        <f t="shared" si="203"/>
        <v>0</v>
      </c>
      <c r="KO268" s="22">
        <f t="shared" si="204"/>
        <v>0</v>
      </c>
      <c r="KP268" s="19" t="str">
        <f t="shared" si="205"/>
        <v/>
      </c>
      <c r="KQ268" s="11" t="str">
        <f t="shared" si="206"/>
        <v>2. Sensitive</v>
      </c>
      <c r="KR268" s="11" t="str">
        <f t="shared" si="207"/>
        <v>2. Accommodating</v>
      </c>
      <c r="KS268" s="11" t="str">
        <f t="shared" si="208"/>
        <v>4. Transformative</v>
      </c>
      <c r="KT268" s="11" t="str">
        <f t="shared" si="209"/>
        <v>It tested new ways for fighting poverty, but did not measure results of innovation</v>
      </c>
      <c r="KU268" s="11" t="str">
        <f t="shared" si="210"/>
        <v>Moderate advocacy</v>
      </c>
      <c r="KV268" s="11" t="str">
        <f t="shared" si="211"/>
        <v>It linked and worked with strategic alliances and partners to take tested and effective solutions to scale</v>
      </c>
      <c r="KW268" s="11" t="str">
        <f t="shared" si="212"/>
        <v>Guatemala - Mejorando la Capacidad de Resisliencia y a la Respuesta a Desastres de Poblaciones expuestas a Multi-Amenazas en el Departamento de Quiché, Guatemala.</v>
      </c>
      <c r="KX268" s="11" t="str">
        <f t="shared" si="213"/>
        <v>Mejorando la Capacidad de Resisliencia y a la Respuesta a Desastres de Poblaciones expuestas a Multi-Amenazas en el Departamento de Quiché, Guatemala.</v>
      </c>
      <c r="KY268" s="11" t="str">
        <f t="shared" si="214"/>
        <v>Guatemala</v>
      </c>
      <c r="KZ268" s="12">
        <v>268</v>
      </c>
    </row>
    <row r="269" spans="1:312" x14ac:dyDescent="0.3">
      <c r="A269" s="11" t="s">
        <v>4777</v>
      </c>
      <c r="B269" s="11" t="s">
        <v>2807</v>
      </c>
      <c r="C269" s="11">
        <v>2973</v>
      </c>
      <c r="D269" s="11" t="s">
        <v>4958</v>
      </c>
      <c r="E269" s="24" t="str">
        <f t="shared" si="172"/>
        <v>Guatemala</v>
      </c>
      <c r="F269" s="11" t="s">
        <v>4959</v>
      </c>
      <c r="G269" s="11" t="s">
        <v>379</v>
      </c>
      <c r="H269" s="11" t="s">
        <v>383</v>
      </c>
      <c r="I269" s="11" t="s">
        <v>384</v>
      </c>
      <c r="J269" s="278" t="s">
        <v>5578</v>
      </c>
      <c r="BD269" s="23">
        <v>41518</v>
      </c>
      <c r="BE269" s="23">
        <v>42612</v>
      </c>
      <c r="BF269" s="23">
        <v>43708</v>
      </c>
      <c r="BG269" s="11" t="s">
        <v>749</v>
      </c>
      <c r="BH269" s="22">
        <v>1795214</v>
      </c>
      <c r="BI269" s="11" t="s">
        <v>4781</v>
      </c>
      <c r="BJ269" s="11" t="s">
        <v>4892</v>
      </c>
      <c r="BK269" s="11" t="s">
        <v>4783</v>
      </c>
      <c r="BL269" s="11" t="s">
        <v>4848</v>
      </c>
      <c r="BM269" s="11" t="s">
        <v>4894</v>
      </c>
      <c r="BN269" s="11" t="s">
        <v>4850</v>
      </c>
      <c r="BO269" s="11" t="s">
        <v>319</v>
      </c>
      <c r="BP269" s="11" t="s">
        <v>320</v>
      </c>
      <c r="BQ269" s="11" t="s">
        <v>319</v>
      </c>
      <c r="BR269" s="11" t="s">
        <v>4960</v>
      </c>
      <c r="BS269" s="11" t="s">
        <v>615</v>
      </c>
      <c r="BT269" s="11" t="s">
        <v>4961</v>
      </c>
      <c r="BU269" s="11" t="s">
        <v>4962</v>
      </c>
      <c r="BV269" s="22">
        <v>2907</v>
      </c>
      <c r="BW269" s="22">
        <v>2273</v>
      </c>
      <c r="BX269" s="22">
        <v>5180</v>
      </c>
      <c r="BY269" s="22">
        <v>9180</v>
      </c>
      <c r="BZ269" s="22">
        <v>8820</v>
      </c>
      <c r="CA269" s="22">
        <v>18000</v>
      </c>
      <c r="CB269" s="15" t="s">
        <v>4963</v>
      </c>
      <c r="CL269" s="18"/>
      <c r="CP269" s="18"/>
      <c r="CT269" s="18"/>
      <c r="CX269" s="18"/>
      <c r="DB269" s="18"/>
      <c r="DF269" s="18"/>
      <c r="DJ269" s="18"/>
      <c r="DN269" s="18"/>
      <c r="DR269" s="18"/>
      <c r="DV269" s="18"/>
      <c r="DZ269" s="18"/>
      <c r="ED269" s="18"/>
      <c r="EI269" s="18"/>
      <c r="EK269" s="22">
        <v>4873</v>
      </c>
      <c r="EL269" s="22">
        <v>3630</v>
      </c>
      <c r="EM269" s="22">
        <v>8503</v>
      </c>
      <c r="EN269" s="22">
        <v>124110</v>
      </c>
      <c r="EO269" s="22">
        <v>91903</v>
      </c>
      <c r="EP269" s="22">
        <v>216013</v>
      </c>
      <c r="EQ269" s="12" t="s">
        <v>320</v>
      </c>
      <c r="ER269" s="22">
        <v>2298</v>
      </c>
      <c r="ES269" s="18">
        <v>0.75470000000000004</v>
      </c>
      <c r="ET269" s="22">
        <v>8921</v>
      </c>
      <c r="EU269" s="11" t="s">
        <v>320</v>
      </c>
      <c r="EV269" s="22">
        <v>2298</v>
      </c>
      <c r="EW269" s="18">
        <v>0.75470000000000004</v>
      </c>
      <c r="EX269" s="22">
        <v>7813</v>
      </c>
      <c r="FA269" s="18"/>
      <c r="FC269" s="12" t="s">
        <v>320</v>
      </c>
      <c r="FD269" s="22">
        <v>5688</v>
      </c>
      <c r="FE269" s="18">
        <v>0.4899</v>
      </c>
      <c r="FF269" s="22">
        <v>66768</v>
      </c>
      <c r="FG269" s="12" t="s">
        <v>320</v>
      </c>
      <c r="FH269" s="22">
        <v>1647</v>
      </c>
      <c r="FI269" s="18">
        <v>0.88470000000000004</v>
      </c>
      <c r="FJ269" s="22">
        <v>8291</v>
      </c>
      <c r="FK269" s="12" t="s">
        <v>320</v>
      </c>
      <c r="FL269" s="22">
        <v>6394</v>
      </c>
      <c r="FM269" s="18">
        <v>0.48</v>
      </c>
      <c r="FN269" s="22">
        <v>22812</v>
      </c>
      <c r="FO269" s="12" t="s">
        <v>320</v>
      </c>
      <c r="FP269" s="22">
        <v>8505</v>
      </c>
      <c r="FQ269" s="18">
        <v>0.46789999999999998</v>
      </c>
      <c r="FR269" s="22">
        <v>121013</v>
      </c>
      <c r="FS269" s="12" t="s">
        <v>320</v>
      </c>
      <c r="FT269" s="22">
        <v>1647</v>
      </c>
      <c r="FU269" s="18">
        <v>0.88470000000000004</v>
      </c>
      <c r="FV269" s="22">
        <v>3981</v>
      </c>
      <c r="FW269" s="11" t="s">
        <v>320</v>
      </c>
      <c r="FX269" s="22">
        <v>8505</v>
      </c>
      <c r="FY269" s="18">
        <v>0.46789999999999998</v>
      </c>
      <c r="FZ269" s="22">
        <v>19382</v>
      </c>
      <c r="GC269" s="18"/>
      <c r="GG269" s="18"/>
      <c r="GK269" s="18"/>
      <c r="GM269" s="11" t="s">
        <v>320</v>
      </c>
      <c r="GN269" s="22">
        <v>2298</v>
      </c>
      <c r="GO269" s="18">
        <v>0.75470000000000004</v>
      </c>
      <c r="GP269" s="22">
        <v>12981</v>
      </c>
      <c r="GQ269" s="12" t="s">
        <v>320</v>
      </c>
      <c r="GR269" s="22">
        <v>1647</v>
      </c>
      <c r="GS269" s="18">
        <v>0.88470000000000004</v>
      </c>
      <c r="GT269" s="22">
        <v>16091</v>
      </c>
      <c r="GU269" s="12" t="s">
        <v>320</v>
      </c>
      <c r="GV269" s="22">
        <v>8505</v>
      </c>
      <c r="GW269" s="18">
        <v>0.46789999999999998</v>
      </c>
      <c r="GX269" s="22">
        <v>102113</v>
      </c>
      <c r="GY269" s="11" t="s">
        <v>320</v>
      </c>
      <c r="GZ269" s="22">
        <v>1647</v>
      </c>
      <c r="HA269" s="18">
        <v>0.88470000000000004</v>
      </c>
      <c r="HB269" s="22">
        <v>7921</v>
      </c>
      <c r="HF269" s="18"/>
      <c r="HH269" s="11" t="s">
        <v>320</v>
      </c>
      <c r="HI269" s="11" t="s">
        <v>431</v>
      </c>
      <c r="HJ269" s="11">
        <v>2016</v>
      </c>
      <c r="HK269" s="11" t="s">
        <v>319</v>
      </c>
      <c r="HP269" s="11" t="s">
        <v>453</v>
      </c>
      <c r="HQ269" s="11" t="s">
        <v>320</v>
      </c>
      <c r="HR269" s="11" t="s">
        <v>319</v>
      </c>
      <c r="HT269" s="11" t="s">
        <v>320</v>
      </c>
      <c r="HU269" s="11" t="s">
        <v>320</v>
      </c>
      <c r="HW269" s="11" t="s">
        <v>319</v>
      </c>
      <c r="HZ269" s="12" t="s">
        <v>394</v>
      </c>
      <c r="IB269" s="12" t="s">
        <v>396</v>
      </c>
      <c r="ID269" s="12" t="s">
        <v>334</v>
      </c>
      <c r="IE269" s="11" t="s">
        <v>478</v>
      </c>
      <c r="IF269" s="11" t="s">
        <v>320</v>
      </c>
      <c r="IG269" s="11" t="s">
        <v>320</v>
      </c>
      <c r="IH269" s="11" t="s">
        <v>320</v>
      </c>
      <c r="II269" s="11" t="s">
        <v>319</v>
      </c>
      <c r="IJ269" s="12" t="str">
        <f t="shared" si="173"/>
        <v>3. Responsive</v>
      </c>
      <c r="IK269" s="12">
        <f t="shared" si="174"/>
        <v>3</v>
      </c>
      <c r="IL269" s="11" t="s">
        <v>621</v>
      </c>
      <c r="IM269" s="11" t="s">
        <v>320</v>
      </c>
      <c r="IN269" s="11" t="s">
        <v>320</v>
      </c>
      <c r="IO269" s="11" t="s">
        <v>320</v>
      </c>
      <c r="IP269" s="11" t="s">
        <v>319</v>
      </c>
      <c r="IQ269" s="12" t="str">
        <f t="shared" si="175"/>
        <v>3. Responsive</v>
      </c>
      <c r="IR269" s="12">
        <f t="shared" si="176"/>
        <v>3</v>
      </c>
      <c r="IS269" s="11" t="s">
        <v>622</v>
      </c>
      <c r="IT269" s="11" t="s">
        <v>320</v>
      </c>
      <c r="IU269" s="11" t="s">
        <v>319</v>
      </c>
      <c r="IV269" s="11" t="s">
        <v>320</v>
      </c>
      <c r="IW269" s="11" t="str">
        <f t="shared" si="177"/>
        <v>3. Responsive</v>
      </c>
      <c r="IX269" s="12">
        <f t="shared" si="178"/>
        <v>2</v>
      </c>
      <c r="IY269" s="11" t="s">
        <v>419</v>
      </c>
      <c r="IZ269" s="11" t="s">
        <v>527</v>
      </c>
      <c r="JA269" s="11">
        <v>6</v>
      </c>
      <c r="JB269" s="11" t="s">
        <v>724</v>
      </c>
      <c r="JC269" s="11" t="s">
        <v>585</v>
      </c>
      <c r="JD269" s="11" t="s">
        <v>623</v>
      </c>
      <c r="JE269" s="12" t="s">
        <v>340</v>
      </c>
      <c r="JG269" s="11" t="s">
        <v>4964</v>
      </c>
      <c r="JH269" s="11" t="s">
        <v>4965</v>
      </c>
      <c r="JI269" s="11" t="s">
        <v>4966</v>
      </c>
      <c r="JJ269" s="11" t="s">
        <v>4967</v>
      </c>
      <c r="JK269" s="11" t="s">
        <v>4968</v>
      </c>
      <c r="JL269" s="11" t="s">
        <v>4969</v>
      </c>
      <c r="JM269" s="11" t="s">
        <v>4970</v>
      </c>
      <c r="JO269" s="11" t="s">
        <v>4971</v>
      </c>
      <c r="JP269" s="15">
        <f t="shared" si="179"/>
        <v>8503</v>
      </c>
      <c r="JQ269" s="15">
        <f t="shared" si="180"/>
        <v>216013</v>
      </c>
      <c r="JR269" s="279">
        <f t="shared" si="181"/>
        <v>25.404327884276139</v>
      </c>
      <c r="JS269" s="17">
        <f t="shared" si="182"/>
        <v>0.57309184993531692</v>
      </c>
      <c r="JT269" s="18">
        <f t="shared" si="183"/>
        <v>0.57454875401017536</v>
      </c>
      <c r="JU269" s="280">
        <f t="shared" si="184"/>
        <v>4873</v>
      </c>
      <c r="JV269" s="280">
        <f t="shared" si="185"/>
        <v>124110</v>
      </c>
      <c r="JW269" s="319" t="str">
        <f t="shared" si="186"/>
        <v/>
      </c>
      <c r="JX269" s="15">
        <f t="shared" si="187"/>
        <v>0</v>
      </c>
      <c r="JY269" s="15">
        <f t="shared" si="188"/>
        <v>0</v>
      </c>
      <c r="JZ269" s="19" t="str">
        <f t="shared" si="189"/>
        <v/>
      </c>
      <c r="KA269" s="52">
        <f t="shared" si="190"/>
        <v>1</v>
      </c>
      <c r="KB269" s="15">
        <f t="shared" si="191"/>
        <v>8505</v>
      </c>
      <c r="KC269" s="15">
        <f t="shared" si="192"/>
        <v>121013</v>
      </c>
      <c r="KD269" s="20">
        <f t="shared" si="193"/>
        <v>14.228453850676074</v>
      </c>
      <c r="KE269" s="52">
        <f t="shared" si="194"/>
        <v>1</v>
      </c>
      <c r="KF269" s="15">
        <f t="shared" si="195"/>
        <v>1647</v>
      </c>
      <c r="KG269" s="15">
        <f t="shared" si="196"/>
        <v>16091</v>
      </c>
      <c r="KH269" s="21">
        <f t="shared" si="197"/>
        <v>9.7698846387370981</v>
      </c>
      <c r="KI269" s="52">
        <f t="shared" si="198"/>
        <v>1</v>
      </c>
      <c r="KJ269" s="15">
        <f t="shared" si="199"/>
        <v>1647</v>
      </c>
      <c r="KK269" s="15">
        <f t="shared" si="200"/>
        <v>3981</v>
      </c>
      <c r="KL269" s="19">
        <f t="shared" si="201"/>
        <v>2.4171220400728597</v>
      </c>
      <c r="KM269" s="52">
        <f t="shared" si="202"/>
        <v>1</v>
      </c>
      <c r="KN269" s="22">
        <f t="shared" si="203"/>
        <v>1647</v>
      </c>
      <c r="KO269" s="22">
        <f t="shared" si="204"/>
        <v>7921</v>
      </c>
      <c r="KP269" s="19">
        <f t="shared" si="205"/>
        <v>4.8093503339404977</v>
      </c>
      <c r="KQ269" s="11" t="str">
        <f t="shared" si="206"/>
        <v>3. Responsive</v>
      </c>
      <c r="KR269" s="11" t="str">
        <f t="shared" si="207"/>
        <v>3. Responsive</v>
      </c>
      <c r="KS269" s="11" t="str">
        <f t="shared" si="208"/>
        <v>3. Responsive</v>
      </c>
      <c r="KT269" s="11" t="str">
        <f t="shared" si="209"/>
        <v>It tested new ways for fighting poverty, but did not measure results of innovation</v>
      </c>
      <c r="KU269" s="11" t="str">
        <f t="shared" si="210"/>
        <v>Intensive advocacy</v>
      </c>
      <c r="KV269" s="11" t="str">
        <f t="shared" si="211"/>
        <v>It linked and worked with strategic alliances and partners to take tested and effective solutions to scale</v>
      </c>
      <c r="KW269" s="11" t="str">
        <f t="shared" si="212"/>
        <v>Guatemala - Nutriendo el Futuro</v>
      </c>
      <c r="KX269" s="11" t="str">
        <f t="shared" si="213"/>
        <v>Nutriendo el Futuro</v>
      </c>
      <c r="KY269" s="11" t="str">
        <f t="shared" si="214"/>
        <v>Guatemala</v>
      </c>
      <c r="KZ269" s="12">
        <v>269</v>
      </c>
    </row>
    <row r="270" spans="1:312" x14ac:dyDescent="0.3">
      <c r="A270" s="11" t="s">
        <v>4777</v>
      </c>
      <c r="B270" s="11" t="s">
        <v>2807</v>
      </c>
      <c r="D270" s="11" t="s">
        <v>4866</v>
      </c>
      <c r="E270" s="24" t="str">
        <f t="shared" si="172"/>
        <v>Guatemala</v>
      </c>
      <c r="F270" s="11" t="s">
        <v>4867</v>
      </c>
      <c r="G270" s="11" t="s">
        <v>425</v>
      </c>
      <c r="H270" s="11" t="s">
        <v>310</v>
      </c>
      <c r="I270" s="11" t="s">
        <v>426</v>
      </c>
      <c r="J270" s="278" t="s">
        <v>14563</v>
      </c>
      <c r="BD270" s="23">
        <v>42370</v>
      </c>
      <c r="BE270" s="23">
        <v>43830</v>
      </c>
      <c r="BG270" s="11" t="s">
        <v>817</v>
      </c>
      <c r="BH270" s="22">
        <v>1020933</v>
      </c>
      <c r="BI270" s="11" t="s">
        <v>4868</v>
      </c>
      <c r="BJ270" s="11" t="s">
        <v>4869</v>
      </c>
      <c r="BK270" s="11" t="s">
        <v>4870</v>
      </c>
      <c r="BL270" s="11" t="s">
        <v>4871</v>
      </c>
      <c r="BM270" s="11" t="s">
        <v>4872</v>
      </c>
      <c r="BN270" s="11" t="s">
        <v>4873</v>
      </c>
      <c r="BO270" s="11" t="s">
        <v>320</v>
      </c>
      <c r="BP270" s="11" t="s">
        <v>320</v>
      </c>
      <c r="BQ270" s="11" t="s">
        <v>320</v>
      </c>
      <c r="BR270" s="11" t="s">
        <v>4874</v>
      </c>
      <c r="BS270" s="11" t="s">
        <v>615</v>
      </c>
      <c r="BT270" s="11" t="s">
        <v>4875</v>
      </c>
      <c r="BU270" s="11" t="s">
        <v>4876</v>
      </c>
      <c r="BV270" s="22">
        <v>334</v>
      </c>
      <c r="BW270" s="22">
        <v>309</v>
      </c>
      <c r="BX270" s="22">
        <v>643</v>
      </c>
      <c r="BY270" s="22">
        <v>308762</v>
      </c>
      <c r="BZ270" s="22">
        <v>299263</v>
      </c>
      <c r="CA270" s="22">
        <v>608025</v>
      </c>
      <c r="CB270" s="15" t="s">
        <v>4877</v>
      </c>
      <c r="CD270" s="22">
        <v>334</v>
      </c>
      <c r="CE270" s="22">
        <v>309</v>
      </c>
      <c r="CF270" s="22">
        <v>643</v>
      </c>
      <c r="CG270" s="22">
        <v>308762</v>
      </c>
      <c r="CH270" s="22">
        <v>299263</v>
      </c>
      <c r="CI270" s="22">
        <v>608025</v>
      </c>
      <c r="CJ270" s="11" t="s">
        <v>319</v>
      </c>
      <c r="CL270" s="18"/>
      <c r="CN270" s="11" t="s">
        <v>319</v>
      </c>
      <c r="CP270" s="18"/>
      <c r="CR270" s="11" t="s">
        <v>320</v>
      </c>
      <c r="CS270" s="22">
        <v>143</v>
      </c>
      <c r="CT270" s="18">
        <v>0.52</v>
      </c>
      <c r="CU270" s="22">
        <v>608025</v>
      </c>
      <c r="CV270" s="11" t="s">
        <v>319</v>
      </c>
      <c r="CX270" s="18"/>
      <c r="CZ270" s="11" t="s">
        <v>319</v>
      </c>
      <c r="DB270" s="18"/>
      <c r="DD270" s="11" t="s">
        <v>320</v>
      </c>
      <c r="DE270" s="22">
        <v>643</v>
      </c>
      <c r="DF270" s="18">
        <v>0.52</v>
      </c>
      <c r="DG270" s="22">
        <v>608025</v>
      </c>
      <c r="DH270" s="11" t="s">
        <v>319</v>
      </c>
      <c r="DJ270" s="18"/>
      <c r="DL270" s="11" t="s">
        <v>319</v>
      </c>
      <c r="DN270" s="18"/>
      <c r="DP270" s="12" t="s">
        <v>320</v>
      </c>
      <c r="DQ270" s="22">
        <v>643</v>
      </c>
      <c r="DR270" s="18">
        <v>0.52</v>
      </c>
      <c r="DS270" s="22">
        <v>608025</v>
      </c>
      <c r="DT270" s="11" t="s">
        <v>319</v>
      </c>
      <c r="DV270" s="18"/>
      <c r="DX270" s="11" t="s">
        <v>319</v>
      </c>
      <c r="DZ270" s="18"/>
      <c r="EB270" s="11" t="s">
        <v>319</v>
      </c>
      <c r="ED270" s="18"/>
      <c r="EI270" s="18"/>
      <c r="EK270" s="22">
        <v>334</v>
      </c>
      <c r="EL270" s="22">
        <v>309</v>
      </c>
      <c r="EM270" s="22">
        <v>643</v>
      </c>
      <c r="EN270" s="22">
        <v>308762</v>
      </c>
      <c r="EO270" s="22">
        <v>299263</v>
      </c>
      <c r="EP270" s="22">
        <v>608025</v>
      </c>
      <c r="EQ270" s="12" t="s">
        <v>319</v>
      </c>
      <c r="ES270" s="18"/>
      <c r="EU270" s="11" t="s">
        <v>320</v>
      </c>
      <c r="EV270" s="22">
        <v>643</v>
      </c>
      <c r="EW270" s="18">
        <v>0.52</v>
      </c>
      <c r="EX270" s="22">
        <v>608025</v>
      </c>
      <c r="EY270" s="12" t="s">
        <v>319</v>
      </c>
      <c r="FA270" s="18"/>
      <c r="FC270" s="12" t="s">
        <v>320</v>
      </c>
      <c r="FD270" s="22">
        <v>643</v>
      </c>
      <c r="FE270" s="18">
        <v>0.52</v>
      </c>
      <c r="FF270" s="22">
        <v>608025</v>
      </c>
      <c r="FG270" s="12" t="s">
        <v>319</v>
      </c>
      <c r="FI270" s="18"/>
      <c r="FK270" s="12" t="s">
        <v>320</v>
      </c>
      <c r="FL270" s="22">
        <v>143</v>
      </c>
      <c r="FM270" s="18">
        <v>0.52</v>
      </c>
      <c r="FN270" s="22">
        <v>608025</v>
      </c>
      <c r="FO270" s="11" t="s">
        <v>319</v>
      </c>
      <c r="FQ270" s="18"/>
      <c r="FS270" s="11" t="s">
        <v>319</v>
      </c>
      <c r="FU270" s="18"/>
      <c r="FW270" s="11" t="s">
        <v>320</v>
      </c>
      <c r="FX270" s="22">
        <v>643</v>
      </c>
      <c r="FY270" s="18">
        <v>0.52</v>
      </c>
      <c r="FZ270" s="22">
        <v>608025</v>
      </c>
      <c r="GA270" s="11" t="s">
        <v>319</v>
      </c>
      <c r="GC270" s="18"/>
      <c r="GE270" s="11" t="s">
        <v>319</v>
      </c>
      <c r="GG270" s="18"/>
      <c r="GI270" s="11" t="s">
        <v>320</v>
      </c>
      <c r="GJ270" s="22">
        <v>643</v>
      </c>
      <c r="GK270" s="18">
        <v>0.52</v>
      </c>
      <c r="GL270" s="22">
        <v>608025</v>
      </c>
      <c r="GM270" s="11" t="s">
        <v>320</v>
      </c>
      <c r="GN270" s="22">
        <v>643</v>
      </c>
      <c r="GO270" s="18">
        <v>0.52</v>
      </c>
      <c r="GP270" s="22">
        <v>608025</v>
      </c>
      <c r="GQ270" s="11" t="s">
        <v>319</v>
      </c>
      <c r="GS270" s="18"/>
      <c r="GU270" s="11" t="s">
        <v>319</v>
      </c>
      <c r="GW270" s="18"/>
      <c r="GY270" s="11" t="s">
        <v>319</v>
      </c>
      <c r="HA270" s="18"/>
      <c r="HF270" s="18"/>
      <c r="HH270" s="11" t="s">
        <v>319</v>
      </c>
      <c r="HK270" s="11" t="s">
        <v>320</v>
      </c>
      <c r="HL270" s="11" t="s">
        <v>320</v>
      </c>
      <c r="HM270" s="11" t="s">
        <v>451</v>
      </c>
      <c r="HN270" s="11">
        <v>2018</v>
      </c>
      <c r="HO270" s="11" t="s">
        <v>4878</v>
      </c>
      <c r="HP270" s="11" t="s">
        <v>453</v>
      </c>
      <c r="HQ270" s="11" t="s">
        <v>320</v>
      </c>
      <c r="HR270" s="11" t="s">
        <v>319</v>
      </c>
      <c r="HS270" s="11" t="s">
        <v>320</v>
      </c>
      <c r="HT270" s="11" t="s">
        <v>320</v>
      </c>
      <c r="HU270" s="11" t="s">
        <v>320</v>
      </c>
      <c r="HV270" s="11" t="s">
        <v>320</v>
      </c>
      <c r="HW270" s="11" t="s">
        <v>319</v>
      </c>
      <c r="HZ270" s="12" t="s">
        <v>394</v>
      </c>
      <c r="IA270" s="11" t="s">
        <v>4879</v>
      </c>
      <c r="IB270" s="12" t="s">
        <v>396</v>
      </c>
      <c r="IC270" s="11" t="s">
        <v>4880</v>
      </c>
      <c r="ID270" s="11" t="s">
        <v>364</v>
      </c>
      <c r="IE270" s="11" t="s">
        <v>478</v>
      </c>
      <c r="IF270" s="11" t="s">
        <v>319</v>
      </c>
      <c r="IG270" s="11" t="s">
        <v>320</v>
      </c>
      <c r="IH270" s="11" t="s">
        <v>320</v>
      </c>
      <c r="II270" s="11" t="s">
        <v>319</v>
      </c>
      <c r="IJ270" s="12" t="str">
        <f t="shared" si="173"/>
        <v>3. Responsive</v>
      </c>
      <c r="IK270" s="12">
        <f t="shared" si="174"/>
        <v>2</v>
      </c>
      <c r="IL270" s="11" t="s">
        <v>621</v>
      </c>
      <c r="IM270" s="11" t="s">
        <v>320</v>
      </c>
      <c r="IN270" s="11" t="s">
        <v>320</v>
      </c>
      <c r="IO270" s="11" t="s">
        <v>320</v>
      </c>
      <c r="IP270" s="11" t="s">
        <v>319</v>
      </c>
      <c r="IQ270" s="12" t="str">
        <f t="shared" si="175"/>
        <v>3. Responsive</v>
      </c>
      <c r="IR270" s="12">
        <f t="shared" si="176"/>
        <v>3</v>
      </c>
      <c r="IS270" s="11" t="s">
        <v>622</v>
      </c>
      <c r="IT270" s="11" t="s">
        <v>320</v>
      </c>
      <c r="IU270" s="11" t="s">
        <v>320</v>
      </c>
      <c r="IV270" s="11" t="s">
        <v>320</v>
      </c>
      <c r="IW270" s="11" t="str">
        <f t="shared" si="177"/>
        <v>4. Transformative</v>
      </c>
      <c r="IX270" s="12">
        <f t="shared" si="178"/>
        <v>3</v>
      </c>
      <c r="IY270" s="12" t="s">
        <v>758</v>
      </c>
      <c r="IZ270" s="11" t="s">
        <v>457</v>
      </c>
      <c r="JA270" s="11">
        <v>6</v>
      </c>
      <c r="JB270" s="12" t="s">
        <v>831</v>
      </c>
      <c r="JC270" s="12" t="s">
        <v>623</v>
      </c>
      <c r="JD270" s="12" t="s">
        <v>433</v>
      </c>
      <c r="JE270" s="12" t="s">
        <v>340</v>
      </c>
      <c r="JF270" s="11" t="s">
        <v>4881</v>
      </c>
      <c r="JH270" s="11" t="s">
        <v>4882</v>
      </c>
      <c r="JI270" s="11" t="s">
        <v>4883</v>
      </c>
      <c r="JJ270" s="11" t="s">
        <v>4884</v>
      </c>
      <c r="JK270" s="11" t="s">
        <v>4885</v>
      </c>
      <c r="JL270" s="11" t="s">
        <v>4886</v>
      </c>
      <c r="JM270" s="11" t="s">
        <v>4887</v>
      </c>
      <c r="JN270" s="11" t="s">
        <v>4888</v>
      </c>
      <c r="JO270" s="11" t="s">
        <v>4889</v>
      </c>
      <c r="JP270" s="15">
        <f t="shared" si="179"/>
        <v>643</v>
      </c>
      <c r="JQ270" s="15">
        <f t="shared" si="180"/>
        <v>608025</v>
      </c>
      <c r="JR270" s="279">
        <f t="shared" si="181"/>
        <v>945.60653188180402</v>
      </c>
      <c r="JS270" s="17">
        <f t="shared" si="182"/>
        <v>0.51944012441679632</v>
      </c>
      <c r="JT270" s="18">
        <f t="shared" si="183"/>
        <v>0.50781135644093578</v>
      </c>
      <c r="JU270" s="280">
        <f t="shared" si="184"/>
        <v>334</v>
      </c>
      <c r="JV270" s="280">
        <f t="shared" si="185"/>
        <v>308762</v>
      </c>
      <c r="JW270" s="319">
        <f t="shared" si="186"/>
        <v>1</v>
      </c>
      <c r="JX270" s="15">
        <f t="shared" si="187"/>
        <v>643</v>
      </c>
      <c r="JY270" s="15">
        <f t="shared" si="188"/>
        <v>608025</v>
      </c>
      <c r="JZ270" s="19">
        <f t="shared" si="189"/>
        <v>945.60653188180402</v>
      </c>
      <c r="KA270" s="52">
        <f t="shared" si="190"/>
        <v>1</v>
      </c>
      <c r="KB270" s="15">
        <f t="shared" si="191"/>
        <v>643</v>
      </c>
      <c r="KC270" s="15">
        <f t="shared" si="192"/>
        <v>608025</v>
      </c>
      <c r="KD270" s="20">
        <f t="shared" si="193"/>
        <v>945.60653188180402</v>
      </c>
      <c r="KE270" s="52" t="str">
        <f t="shared" si="194"/>
        <v/>
      </c>
      <c r="KF270" s="15">
        <f t="shared" si="195"/>
        <v>0</v>
      </c>
      <c r="KG270" s="15">
        <f t="shared" si="196"/>
        <v>0</v>
      </c>
      <c r="KH270" s="21" t="str">
        <f t="shared" si="197"/>
        <v/>
      </c>
      <c r="KI270" s="52" t="str">
        <f t="shared" si="198"/>
        <v/>
      </c>
      <c r="KJ270" s="15">
        <f t="shared" si="199"/>
        <v>0</v>
      </c>
      <c r="KK270" s="15">
        <f t="shared" si="200"/>
        <v>0</v>
      </c>
      <c r="KL270" s="19" t="str">
        <f t="shared" si="201"/>
        <v/>
      </c>
      <c r="KM270" s="52" t="str">
        <f t="shared" si="202"/>
        <v/>
      </c>
      <c r="KN270" s="22">
        <f t="shared" si="203"/>
        <v>0</v>
      </c>
      <c r="KO270" s="22">
        <f t="shared" si="204"/>
        <v>0</v>
      </c>
      <c r="KP270" s="19" t="str">
        <f t="shared" si="205"/>
        <v/>
      </c>
      <c r="KQ270" s="11" t="str">
        <f t="shared" si="206"/>
        <v>3. Responsive</v>
      </c>
      <c r="KR270" s="11" t="str">
        <f t="shared" si="207"/>
        <v>3. Responsive</v>
      </c>
      <c r="KS270" s="11" t="str">
        <f t="shared" si="208"/>
        <v>4. Transformative</v>
      </c>
      <c r="KT270" s="11" t="str">
        <f t="shared" si="209"/>
        <v>It tested new ways for fighting poverty, but did not measure results of innovation</v>
      </c>
      <c r="KU270" s="11" t="str">
        <f t="shared" si="210"/>
        <v>Intensive advocacy</v>
      </c>
      <c r="KV270" s="11" t="str">
        <f t="shared" si="211"/>
        <v>It linked and worked with strategic alliances and partners to take tested and effective solutions to scale</v>
      </c>
      <c r="KW270" s="11" t="str">
        <f t="shared" si="212"/>
        <v>Guatemala - Partners for Resilience Strategic Partnership</v>
      </c>
      <c r="KX270" s="11" t="str">
        <f t="shared" si="213"/>
        <v>Partners for Resilience Strategic Partnership</v>
      </c>
      <c r="KY270" s="11" t="str">
        <f t="shared" si="214"/>
        <v>Guatemala</v>
      </c>
      <c r="KZ270" s="12">
        <v>270</v>
      </c>
    </row>
    <row r="271" spans="1:312" x14ac:dyDescent="0.3">
      <c r="A271" s="282" t="s">
        <v>4777</v>
      </c>
      <c r="B271" s="282" t="s">
        <v>2807</v>
      </c>
      <c r="C271" s="282">
        <v>2972</v>
      </c>
      <c r="D271" s="282" t="s">
        <v>4972</v>
      </c>
      <c r="E271" s="24" t="str">
        <f t="shared" si="172"/>
        <v>Guatemala</v>
      </c>
      <c r="F271" s="282" t="s">
        <v>4973</v>
      </c>
      <c r="G271" s="282" t="s">
        <v>379</v>
      </c>
      <c r="H271" s="282" t="s">
        <v>383</v>
      </c>
      <c r="I271" s="282" t="s">
        <v>384</v>
      </c>
      <c r="J271" s="278" t="s">
        <v>10266</v>
      </c>
      <c r="K271" s="282"/>
      <c r="L271" s="282"/>
      <c r="M271" s="282"/>
      <c r="N271" s="282"/>
      <c r="O271" s="282"/>
      <c r="P271" s="282"/>
      <c r="Q271" s="282"/>
      <c r="R271" s="282"/>
      <c r="S271" s="282"/>
      <c r="T271" s="282"/>
      <c r="U271" s="282"/>
      <c r="V271" s="282"/>
      <c r="W271" s="282"/>
      <c r="X271" s="282"/>
      <c r="Y271" s="282"/>
      <c r="Z271" s="282"/>
      <c r="AA271" s="282"/>
      <c r="AB271" s="282"/>
      <c r="AC271" s="282"/>
      <c r="AD271" s="282"/>
      <c r="AE271" s="282"/>
      <c r="AF271" s="282"/>
      <c r="AG271" s="282"/>
      <c r="AH271" s="282"/>
      <c r="AI271" s="282"/>
      <c r="AJ271" s="282"/>
      <c r="AK271" s="282"/>
      <c r="AL271" s="282"/>
      <c r="AM271" s="282"/>
      <c r="AN271" s="282"/>
      <c r="AO271" s="282"/>
      <c r="AP271" s="282"/>
      <c r="AQ271" s="282"/>
      <c r="AR271" s="282"/>
      <c r="AS271" s="282"/>
      <c r="AT271" s="282"/>
      <c r="AU271" s="282"/>
      <c r="AV271" s="282"/>
      <c r="AW271" s="282"/>
      <c r="AX271" s="282"/>
      <c r="AY271" s="282"/>
      <c r="AZ271" s="282"/>
      <c r="BA271" s="282"/>
      <c r="BB271" s="282"/>
      <c r="BC271" s="282"/>
      <c r="BD271" s="283">
        <v>42217</v>
      </c>
      <c r="BE271" s="283">
        <v>42947</v>
      </c>
      <c r="BF271" s="283"/>
      <c r="BG271" s="283" t="s">
        <v>817</v>
      </c>
      <c r="BH271" s="284">
        <v>77000</v>
      </c>
      <c r="BI271" s="282" t="s">
        <v>4784</v>
      </c>
      <c r="BJ271" s="282" t="s">
        <v>4974</v>
      </c>
      <c r="BK271" s="282" t="s">
        <v>4786</v>
      </c>
      <c r="BL271" s="282" t="s">
        <v>4868</v>
      </c>
      <c r="BM271" s="282" t="s">
        <v>4975</v>
      </c>
      <c r="BN271" s="282" t="s">
        <v>4870</v>
      </c>
      <c r="BO271" s="282" t="s">
        <v>320</v>
      </c>
      <c r="BP271" s="282" t="s">
        <v>320</v>
      </c>
      <c r="BQ271" s="282" t="s">
        <v>320</v>
      </c>
      <c r="BR271" s="282" t="s">
        <v>4976</v>
      </c>
      <c r="BS271" s="282" t="s">
        <v>1535</v>
      </c>
      <c r="BT271" s="282" t="s">
        <v>4977</v>
      </c>
      <c r="BU271" s="282" t="s">
        <v>4978</v>
      </c>
      <c r="BV271" s="284">
        <v>708</v>
      </c>
      <c r="BW271" s="284">
        <v>480</v>
      </c>
      <c r="BX271" s="284">
        <v>1188</v>
      </c>
      <c r="BY271" s="284">
        <v>2500</v>
      </c>
      <c r="BZ271" s="284">
        <v>2000</v>
      </c>
      <c r="CA271" s="284">
        <v>4500</v>
      </c>
      <c r="CB271" s="285" t="s">
        <v>4979</v>
      </c>
      <c r="CC271" s="285"/>
      <c r="CD271" s="284">
        <v>177</v>
      </c>
      <c r="CE271" s="284">
        <v>179</v>
      </c>
      <c r="CF271" s="284">
        <v>356</v>
      </c>
      <c r="CG271" s="284">
        <v>1100</v>
      </c>
      <c r="CH271" s="284">
        <v>1200</v>
      </c>
      <c r="CI271" s="284">
        <v>2300</v>
      </c>
      <c r="CJ271" s="282" t="s">
        <v>319</v>
      </c>
      <c r="CK271" s="284"/>
      <c r="CL271" s="286"/>
      <c r="CM271" s="284"/>
      <c r="CN271" s="287" t="s">
        <v>319</v>
      </c>
      <c r="CO271" s="284"/>
      <c r="CP271" s="286"/>
      <c r="CQ271" s="284"/>
      <c r="CR271" s="282" t="s">
        <v>319</v>
      </c>
      <c r="CS271" s="284"/>
      <c r="CT271" s="286"/>
      <c r="CU271" s="284"/>
      <c r="CV271" s="289" t="s">
        <v>319</v>
      </c>
      <c r="CW271" s="290"/>
      <c r="CX271" s="291"/>
      <c r="CY271" s="290"/>
      <c r="CZ271" s="282" t="s">
        <v>319</v>
      </c>
      <c r="DA271" s="284"/>
      <c r="DB271" s="286"/>
      <c r="DC271" s="284"/>
      <c r="DD271" s="287" t="s">
        <v>320</v>
      </c>
      <c r="DE271" s="284">
        <v>356</v>
      </c>
      <c r="DF271" s="286">
        <v>0.49</v>
      </c>
      <c r="DG271" s="284">
        <v>2300</v>
      </c>
      <c r="DH271" s="282" t="s">
        <v>319</v>
      </c>
      <c r="DI271" s="284"/>
      <c r="DJ271" s="286"/>
      <c r="DK271" s="284"/>
      <c r="DL271" s="282" t="s">
        <v>319</v>
      </c>
      <c r="DM271" s="284"/>
      <c r="DN271" s="286"/>
      <c r="DO271" s="284"/>
      <c r="DP271" s="282" t="s">
        <v>320</v>
      </c>
      <c r="DQ271" s="284">
        <v>356</v>
      </c>
      <c r="DR271" s="286">
        <v>0.49</v>
      </c>
      <c r="DS271" s="284">
        <v>2300</v>
      </c>
      <c r="DT271" s="282" t="s">
        <v>319</v>
      </c>
      <c r="DU271" s="284"/>
      <c r="DV271" s="286"/>
      <c r="DW271" s="284"/>
      <c r="DX271" s="282" t="s">
        <v>319</v>
      </c>
      <c r="DY271" s="284"/>
      <c r="DZ271" s="286"/>
      <c r="EA271" s="284"/>
      <c r="EB271" s="282" t="s">
        <v>319</v>
      </c>
      <c r="EC271" s="284"/>
      <c r="ED271" s="286"/>
      <c r="EE271" s="284"/>
      <c r="EF271" s="285"/>
      <c r="EG271" s="287" t="s">
        <v>319</v>
      </c>
      <c r="EH271" s="284"/>
      <c r="EI271" s="286"/>
      <c r="EJ271" s="284"/>
      <c r="EK271" s="284"/>
      <c r="EL271" s="284"/>
      <c r="EM271" s="284"/>
      <c r="EN271" s="284"/>
      <c r="EO271" s="284"/>
      <c r="EP271" s="284"/>
      <c r="EQ271" s="282" t="s">
        <v>319</v>
      </c>
      <c r="ER271" s="284"/>
      <c r="ES271" s="286"/>
      <c r="ET271" s="284"/>
      <c r="EU271" s="282" t="s">
        <v>319</v>
      </c>
      <c r="EV271" s="284"/>
      <c r="EW271" s="286"/>
      <c r="EX271" s="284"/>
      <c r="EY271" s="282" t="s">
        <v>319</v>
      </c>
      <c r="EZ271" s="284"/>
      <c r="FA271" s="286"/>
      <c r="FB271" s="284"/>
      <c r="FC271" s="298" t="s">
        <v>320</v>
      </c>
      <c r="FD271" s="290">
        <v>356</v>
      </c>
      <c r="FE271" s="291">
        <v>0.49</v>
      </c>
      <c r="FF271" s="290">
        <v>2300</v>
      </c>
      <c r="FG271" s="282" t="s">
        <v>319</v>
      </c>
      <c r="FH271" s="284"/>
      <c r="FI271" s="286"/>
      <c r="FJ271" s="284"/>
      <c r="FK271" s="282" t="s">
        <v>319</v>
      </c>
      <c r="FL271" s="284"/>
      <c r="FM271" s="286"/>
      <c r="FN271" s="284"/>
      <c r="FO271" s="292" t="s">
        <v>319</v>
      </c>
      <c r="FP271" s="290"/>
      <c r="FQ271" s="291"/>
      <c r="FR271" s="290"/>
      <c r="FS271" s="282" t="s">
        <v>319</v>
      </c>
      <c r="FT271" s="284"/>
      <c r="FU271" s="286"/>
      <c r="FV271" s="284"/>
      <c r="FW271" s="282" t="s">
        <v>320</v>
      </c>
      <c r="FX271" s="284"/>
      <c r="FY271" s="286"/>
      <c r="FZ271" s="284"/>
      <c r="GA271" s="282" t="s">
        <v>319</v>
      </c>
      <c r="GB271" s="284"/>
      <c r="GC271" s="286"/>
      <c r="GD271" s="284"/>
      <c r="GE271" s="282" t="s">
        <v>319</v>
      </c>
      <c r="GF271" s="284"/>
      <c r="GG271" s="286"/>
      <c r="GH271" s="284"/>
      <c r="GI271" s="282" t="s">
        <v>319</v>
      </c>
      <c r="GJ271" s="284"/>
      <c r="GK271" s="286"/>
      <c r="GL271" s="284"/>
      <c r="GM271" s="282" t="s">
        <v>319</v>
      </c>
      <c r="GN271" s="284"/>
      <c r="GO271" s="286"/>
      <c r="GP271" s="284"/>
      <c r="GQ271" s="282" t="s">
        <v>319</v>
      </c>
      <c r="GR271" s="284"/>
      <c r="GS271" s="286"/>
      <c r="GT271" s="284"/>
      <c r="GU271" s="282" t="s">
        <v>319</v>
      </c>
      <c r="GV271" s="284"/>
      <c r="GW271" s="286"/>
      <c r="GX271" s="284"/>
      <c r="GY271" s="282" t="s">
        <v>319</v>
      </c>
      <c r="GZ271" s="284"/>
      <c r="HA271" s="286"/>
      <c r="HB271" s="284"/>
      <c r="HC271" s="282"/>
      <c r="HD271" s="282" t="s">
        <v>319</v>
      </c>
      <c r="HE271" s="284"/>
      <c r="HF271" s="286"/>
      <c r="HG271" s="284"/>
      <c r="HH271" s="282" t="s">
        <v>319</v>
      </c>
      <c r="HI271" s="282"/>
      <c r="HJ271" s="282"/>
      <c r="HK271" s="282" t="s">
        <v>319</v>
      </c>
      <c r="HL271" s="282" t="s">
        <v>319</v>
      </c>
      <c r="HM271" s="282"/>
      <c r="HN271" s="282"/>
      <c r="HO271" s="282"/>
      <c r="HP271" s="282" t="s">
        <v>330</v>
      </c>
      <c r="HQ271" s="282" t="s">
        <v>319</v>
      </c>
      <c r="HR271" s="282" t="s">
        <v>319</v>
      </c>
      <c r="HS271" s="282" t="s">
        <v>320</v>
      </c>
      <c r="HT271" s="282" t="s">
        <v>320</v>
      </c>
      <c r="HU271" s="282" t="s">
        <v>320</v>
      </c>
      <c r="HV271" s="282" t="s">
        <v>319</v>
      </c>
      <c r="HW271" s="282" t="s">
        <v>319</v>
      </c>
      <c r="HX271" s="282" t="s">
        <v>319</v>
      </c>
      <c r="HY271" s="282"/>
      <c r="HZ271" s="282" t="s">
        <v>394</v>
      </c>
      <c r="IA271" s="282" t="s">
        <v>4980</v>
      </c>
      <c r="IB271" s="282" t="s">
        <v>396</v>
      </c>
      <c r="IC271" s="282" t="s">
        <v>4981</v>
      </c>
      <c r="ID271" s="282" t="s">
        <v>334</v>
      </c>
      <c r="IE271" s="282" t="s">
        <v>478</v>
      </c>
      <c r="IF271" s="282" t="s">
        <v>320</v>
      </c>
      <c r="IG271" s="282" t="s">
        <v>320</v>
      </c>
      <c r="IH271" s="282" t="s">
        <v>320</v>
      </c>
      <c r="II271" s="282" t="s">
        <v>319</v>
      </c>
      <c r="IJ271" s="12" t="str">
        <f t="shared" si="173"/>
        <v>3. Responsive</v>
      </c>
      <c r="IK271" s="287">
        <f t="shared" si="174"/>
        <v>3</v>
      </c>
      <c r="IL271" s="282" t="s">
        <v>621</v>
      </c>
      <c r="IM271" s="282" t="s">
        <v>320</v>
      </c>
      <c r="IN271" s="282" t="s">
        <v>320</v>
      </c>
      <c r="IO271" s="282" t="s">
        <v>320</v>
      </c>
      <c r="IP271" s="282" t="s">
        <v>319</v>
      </c>
      <c r="IQ271" s="287" t="str">
        <f t="shared" si="175"/>
        <v>3. Responsive</v>
      </c>
      <c r="IR271" s="287">
        <f t="shared" si="176"/>
        <v>3</v>
      </c>
      <c r="IS271" s="282" t="s">
        <v>622</v>
      </c>
      <c r="IT271" s="282" t="s">
        <v>319</v>
      </c>
      <c r="IU271" s="282" t="s">
        <v>320</v>
      </c>
      <c r="IV271" s="282" t="s">
        <v>320</v>
      </c>
      <c r="IW271" s="11" t="str">
        <f t="shared" si="177"/>
        <v>3. Responsive</v>
      </c>
      <c r="IX271" s="287">
        <f t="shared" si="178"/>
        <v>2</v>
      </c>
      <c r="IY271" s="282" t="s">
        <v>338</v>
      </c>
      <c r="IZ271" s="282" t="s">
        <v>339</v>
      </c>
      <c r="JA271" s="282"/>
      <c r="JB271" s="282" t="s">
        <v>687</v>
      </c>
      <c r="JC271" s="282" t="s">
        <v>831</v>
      </c>
      <c r="JD271" s="282" t="s">
        <v>651</v>
      </c>
      <c r="JE271" s="282" t="s">
        <v>365</v>
      </c>
      <c r="JF271" s="282" t="s">
        <v>4982</v>
      </c>
      <c r="JG271" s="282" t="s">
        <v>4983</v>
      </c>
      <c r="JH271" s="282" t="s">
        <v>4984</v>
      </c>
      <c r="JI271" s="282"/>
      <c r="JJ271" s="282"/>
      <c r="JK271" s="282" t="s">
        <v>4985</v>
      </c>
      <c r="JL271" s="282" t="s">
        <v>4986</v>
      </c>
      <c r="JM271" s="282" t="s">
        <v>4987</v>
      </c>
      <c r="JN271" s="282"/>
      <c r="JO271" s="282" t="s">
        <v>4988</v>
      </c>
      <c r="JP271" s="15">
        <f t="shared" si="179"/>
        <v>356</v>
      </c>
      <c r="JQ271" s="15">
        <f t="shared" si="180"/>
        <v>2300</v>
      </c>
      <c r="JR271" s="279">
        <f t="shared" si="181"/>
        <v>6.4606741573033704</v>
      </c>
      <c r="JS271" s="17">
        <f t="shared" si="182"/>
        <v>0.49719101123595505</v>
      </c>
      <c r="JT271" s="18">
        <f t="shared" si="183"/>
        <v>0.47826086956521741</v>
      </c>
      <c r="JU271" s="280">
        <f t="shared" si="184"/>
        <v>177</v>
      </c>
      <c r="JV271" s="280">
        <f t="shared" si="185"/>
        <v>1100</v>
      </c>
      <c r="JW271" s="319">
        <f t="shared" si="186"/>
        <v>1</v>
      </c>
      <c r="JX271" s="15">
        <f t="shared" si="187"/>
        <v>356</v>
      </c>
      <c r="JY271" s="15">
        <f t="shared" si="188"/>
        <v>2300</v>
      </c>
      <c r="JZ271" s="19">
        <f t="shared" si="189"/>
        <v>6.4606741573033704</v>
      </c>
      <c r="KA271" s="52">
        <f t="shared" si="190"/>
        <v>1</v>
      </c>
      <c r="KB271" s="15">
        <f t="shared" si="191"/>
        <v>356</v>
      </c>
      <c r="KC271" s="15">
        <f t="shared" si="192"/>
        <v>2300</v>
      </c>
      <c r="KD271" s="20">
        <f t="shared" si="193"/>
        <v>6.4606741573033704</v>
      </c>
      <c r="KE271" s="52" t="str">
        <f t="shared" si="194"/>
        <v/>
      </c>
      <c r="KF271" s="15">
        <f t="shared" si="195"/>
        <v>0</v>
      </c>
      <c r="KG271" s="15">
        <f t="shared" si="196"/>
        <v>0</v>
      </c>
      <c r="KH271" s="21" t="str">
        <f t="shared" si="197"/>
        <v/>
      </c>
      <c r="KI271" s="52" t="str">
        <f t="shared" si="198"/>
        <v/>
      </c>
      <c r="KJ271" s="15">
        <f t="shared" si="199"/>
        <v>0</v>
      </c>
      <c r="KK271" s="15">
        <f t="shared" si="200"/>
        <v>0</v>
      </c>
      <c r="KL271" s="19" t="str">
        <f t="shared" si="201"/>
        <v/>
      </c>
      <c r="KM271" s="52" t="str">
        <f t="shared" si="202"/>
        <v/>
      </c>
      <c r="KN271" s="22">
        <f t="shared" si="203"/>
        <v>0</v>
      </c>
      <c r="KO271" s="22">
        <f t="shared" si="204"/>
        <v>0</v>
      </c>
      <c r="KP271" s="19" t="str">
        <f t="shared" si="205"/>
        <v/>
      </c>
      <c r="KQ271" s="11" t="str">
        <f t="shared" si="206"/>
        <v>3. Responsive</v>
      </c>
      <c r="KR271" s="11" t="str">
        <f t="shared" si="207"/>
        <v>3. Responsive</v>
      </c>
      <c r="KS271" s="11" t="str">
        <f t="shared" si="208"/>
        <v>3. Responsive</v>
      </c>
      <c r="KT271" s="11" t="str">
        <f t="shared" si="209"/>
        <v>It tested new ways for fighting poverty, but did not measure results of innovation</v>
      </c>
      <c r="KU271" s="11" t="str">
        <f t="shared" si="210"/>
        <v>Moderate advocacy</v>
      </c>
      <c r="KV271" s="11" t="str">
        <f t="shared" si="211"/>
        <v>It linked and worked with strategic alliances and partners to take tested and effective solutions to scale</v>
      </c>
      <c r="KW271" s="11" t="str">
        <f t="shared" si="212"/>
        <v>Guatemala - Preparativos para la reducción de riesgos a desastres/Catapult to impact</v>
      </c>
      <c r="KX271" s="11" t="str">
        <f t="shared" si="213"/>
        <v>Preparativos para la reducción de riesgos a desastres/Catapult to impact</v>
      </c>
      <c r="KY271" s="11" t="str">
        <f t="shared" si="214"/>
        <v>Guatemala</v>
      </c>
      <c r="KZ271" s="287">
        <v>271</v>
      </c>
    </row>
    <row r="272" spans="1:312" x14ac:dyDescent="0.3">
      <c r="A272" s="11" t="s">
        <v>4777</v>
      </c>
      <c r="B272" s="11" t="s">
        <v>2807</v>
      </c>
      <c r="C272" s="11">
        <v>2976</v>
      </c>
      <c r="D272" s="11" t="s">
        <v>4989</v>
      </c>
      <c r="E272" s="24" t="str">
        <f t="shared" si="172"/>
        <v>Guatemala</v>
      </c>
      <c r="F272" s="11" t="s">
        <v>4990</v>
      </c>
      <c r="G272" s="11" t="s">
        <v>379</v>
      </c>
      <c r="H272" s="11" t="s">
        <v>310</v>
      </c>
      <c r="I272" s="11" t="s">
        <v>655</v>
      </c>
      <c r="J272" s="278" t="s">
        <v>4991</v>
      </c>
      <c r="BD272" s="23">
        <v>41365</v>
      </c>
      <c r="BE272" s="23">
        <v>43190</v>
      </c>
      <c r="BG272" s="11" t="s">
        <v>908</v>
      </c>
      <c r="BH272" s="22">
        <v>643301</v>
      </c>
      <c r="BI272" s="11" t="s">
        <v>4781</v>
      </c>
      <c r="BJ272" s="11" t="s">
        <v>4892</v>
      </c>
      <c r="BK272" s="11" t="s">
        <v>4783</v>
      </c>
      <c r="BL272" s="11" t="s">
        <v>4893</v>
      </c>
      <c r="BM272" s="11" t="s">
        <v>4992</v>
      </c>
      <c r="BN272" s="11" t="s">
        <v>4895</v>
      </c>
      <c r="BO272" s="12" t="s">
        <v>319</v>
      </c>
      <c r="BP272" s="12" t="s">
        <v>320</v>
      </c>
      <c r="BQ272" s="12" t="s">
        <v>319</v>
      </c>
      <c r="BR272" s="11" t="s">
        <v>4993</v>
      </c>
      <c r="BS272" s="11" t="s">
        <v>615</v>
      </c>
      <c r="BT272" s="11" t="s">
        <v>4994</v>
      </c>
      <c r="BU272" s="11" t="s">
        <v>4995</v>
      </c>
      <c r="BV272" s="22">
        <v>300</v>
      </c>
      <c r="BW272" s="22">
        <v>600</v>
      </c>
      <c r="BX272" s="22">
        <v>900</v>
      </c>
      <c r="BY272" s="22">
        <v>1500</v>
      </c>
      <c r="BZ272" s="22">
        <v>1500</v>
      </c>
      <c r="CA272" s="22">
        <v>3000</v>
      </c>
      <c r="CB272" s="15" t="s">
        <v>4996</v>
      </c>
      <c r="CL272" s="18"/>
      <c r="CP272" s="18"/>
      <c r="CT272" s="18"/>
      <c r="CX272" s="18"/>
      <c r="DB272" s="18"/>
      <c r="DF272" s="18"/>
      <c r="DJ272" s="18"/>
      <c r="DN272" s="18"/>
      <c r="DR272" s="18"/>
      <c r="DV272" s="18"/>
      <c r="DZ272" s="18"/>
      <c r="ED272" s="18"/>
      <c r="EI272" s="18"/>
      <c r="EK272" s="22">
        <v>261</v>
      </c>
      <c r="EL272" s="22">
        <v>554</v>
      </c>
      <c r="EM272" s="22">
        <v>815</v>
      </c>
      <c r="EN272" s="22">
        <v>1400</v>
      </c>
      <c r="EO272" s="22">
        <v>1350</v>
      </c>
      <c r="EP272" s="22">
        <v>2750</v>
      </c>
      <c r="EQ272" s="12" t="s">
        <v>319</v>
      </c>
      <c r="ES272" s="18"/>
      <c r="EU272" s="11" t="s">
        <v>320</v>
      </c>
      <c r="EV272" s="22">
        <v>815</v>
      </c>
      <c r="EW272" s="18">
        <v>0.32</v>
      </c>
      <c r="EX272" s="22">
        <v>2750</v>
      </c>
      <c r="FA272" s="18"/>
      <c r="FC272" s="11" t="s">
        <v>319</v>
      </c>
      <c r="FE272" s="18"/>
      <c r="FI272" s="18"/>
      <c r="FM272" s="18"/>
      <c r="FQ272" s="18"/>
      <c r="FU272" s="18"/>
      <c r="FW272" s="11" t="s">
        <v>320</v>
      </c>
      <c r="FX272" s="22">
        <v>815</v>
      </c>
      <c r="FY272" s="18">
        <v>0.32</v>
      </c>
      <c r="FZ272" s="22">
        <v>2750</v>
      </c>
      <c r="GC272" s="18"/>
      <c r="GG272" s="18"/>
      <c r="GI272" s="11" t="s">
        <v>320</v>
      </c>
      <c r="GJ272" s="22">
        <v>815</v>
      </c>
      <c r="GK272" s="18">
        <v>0.32</v>
      </c>
      <c r="GL272" s="22">
        <v>2750</v>
      </c>
      <c r="GM272" s="11" t="s">
        <v>320</v>
      </c>
      <c r="GN272" s="22">
        <v>815</v>
      </c>
      <c r="GO272" s="18">
        <v>0.32</v>
      </c>
      <c r="GP272" s="22">
        <v>2750</v>
      </c>
      <c r="GS272" s="18"/>
      <c r="GW272" s="18"/>
      <c r="HA272" s="18"/>
      <c r="HF272" s="18"/>
      <c r="HH272" s="11" t="s">
        <v>320</v>
      </c>
      <c r="HI272" s="11" t="s">
        <v>451</v>
      </c>
      <c r="HJ272" s="11">
        <v>2017</v>
      </c>
      <c r="HK272" s="11" t="s">
        <v>319</v>
      </c>
      <c r="HL272" s="11" t="s">
        <v>320</v>
      </c>
      <c r="HM272" s="11" t="s">
        <v>1175</v>
      </c>
      <c r="HN272" s="11">
        <v>2018</v>
      </c>
      <c r="HO272" s="11" t="s">
        <v>4997</v>
      </c>
      <c r="HP272" s="11" t="s">
        <v>453</v>
      </c>
      <c r="HQ272" s="11" t="s">
        <v>320</v>
      </c>
      <c r="HS272" s="11" t="s">
        <v>320</v>
      </c>
      <c r="HT272" s="11" t="s">
        <v>320</v>
      </c>
      <c r="HU272" s="11" t="s">
        <v>320</v>
      </c>
      <c r="HV272" s="11" t="s">
        <v>320</v>
      </c>
      <c r="HW272" s="11" t="s">
        <v>320</v>
      </c>
      <c r="HZ272" s="12" t="s">
        <v>394</v>
      </c>
      <c r="IA272" s="11" t="s">
        <v>4998</v>
      </c>
      <c r="IB272" s="12" t="s">
        <v>396</v>
      </c>
      <c r="IC272" s="11" t="s">
        <v>4999</v>
      </c>
      <c r="ID272" s="11" t="s">
        <v>364</v>
      </c>
      <c r="IE272" s="11" t="s">
        <v>335</v>
      </c>
      <c r="IF272" s="11" t="s">
        <v>320</v>
      </c>
      <c r="IG272" s="11" t="s">
        <v>320</v>
      </c>
      <c r="IH272" s="11" t="s">
        <v>320</v>
      </c>
      <c r="II272" s="11" t="s">
        <v>320</v>
      </c>
      <c r="IJ272" s="12" t="str">
        <f t="shared" si="173"/>
        <v>2. Sensitive</v>
      </c>
      <c r="IK272" s="12">
        <f t="shared" si="174"/>
        <v>4</v>
      </c>
      <c r="IL272" s="11" t="s">
        <v>621</v>
      </c>
      <c r="IM272" s="11" t="s">
        <v>319</v>
      </c>
      <c r="IN272" s="11" t="s">
        <v>320</v>
      </c>
      <c r="IO272" s="11" t="s">
        <v>320</v>
      </c>
      <c r="IP272" s="11" t="s">
        <v>320</v>
      </c>
      <c r="IQ272" s="12" t="str">
        <f t="shared" si="175"/>
        <v>3. Responsive</v>
      </c>
      <c r="IR272" s="12">
        <f t="shared" si="176"/>
        <v>3</v>
      </c>
      <c r="IS272" s="11" t="s">
        <v>337</v>
      </c>
      <c r="IT272" s="11" t="s">
        <v>320</v>
      </c>
      <c r="IU272" s="11" t="s">
        <v>320</v>
      </c>
      <c r="IV272" s="11" t="s">
        <v>320</v>
      </c>
      <c r="IW272" s="11" t="str">
        <f t="shared" si="177"/>
        <v>2. Sensitive</v>
      </c>
      <c r="IX272" s="12">
        <f t="shared" si="178"/>
        <v>3</v>
      </c>
      <c r="IY272" s="12" t="s">
        <v>758</v>
      </c>
      <c r="IZ272" s="11" t="s">
        <v>457</v>
      </c>
      <c r="JA272" s="11">
        <v>5</v>
      </c>
      <c r="JB272" s="12" t="s">
        <v>687</v>
      </c>
      <c r="JC272" s="11" t="s">
        <v>433</v>
      </c>
      <c r="JE272" s="12" t="s">
        <v>365</v>
      </c>
      <c r="JF272" s="11" t="s">
        <v>4903</v>
      </c>
      <c r="JH272" s="11" t="s">
        <v>5000</v>
      </c>
      <c r="JI272" s="11" t="s">
        <v>5001</v>
      </c>
      <c r="JJ272" s="11" t="s">
        <v>5002</v>
      </c>
      <c r="JK272" s="11" t="s">
        <v>5003</v>
      </c>
      <c r="JL272" s="11" t="s">
        <v>5004</v>
      </c>
      <c r="JM272" s="11" t="s">
        <v>5005</v>
      </c>
      <c r="JN272" s="11" t="s">
        <v>5006</v>
      </c>
      <c r="JO272" s="11" t="s">
        <v>5007</v>
      </c>
      <c r="JP272" s="15">
        <f t="shared" si="179"/>
        <v>815</v>
      </c>
      <c r="JQ272" s="15">
        <f t="shared" si="180"/>
        <v>2750</v>
      </c>
      <c r="JR272" s="279">
        <f t="shared" si="181"/>
        <v>3.3742331288343559</v>
      </c>
      <c r="JS272" s="17">
        <f t="shared" si="182"/>
        <v>0.32024539877300612</v>
      </c>
      <c r="JT272" s="18">
        <f t="shared" si="183"/>
        <v>0.50909090909090904</v>
      </c>
      <c r="JU272" s="280">
        <f t="shared" si="184"/>
        <v>261</v>
      </c>
      <c r="JV272" s="280">
        <f t="shared" si="185"/>
        <v>1400</v>
      </c>
      <c r="JW272" s="319" t="str">
        <f t="shared" si="186"/>
        <v/>
      </c>
      <c r="JX272" s="15">
        <f t="shared" si="187"/>
        <v>0</v>
      </c>
      <c r="JY272" s="15">
        <f t="shared" si="188"/>
        <v>0</v>
      </c>
      <c r="JZ272" s="19" t="str">
        <f t="shared" si="189"/>
        <v/>
      </c>
      <c r="KA272" s="52">
        <f t="shared" si="190"/>
        <v>1</v>
      </c>
      <c r="KB272" s="15">
        <f t="shared" si="191"/>
        <v>815</v>
      </c>
      <c r="KC272" s="15">
        <f t="shared" si="192"/>
        <v>2750</v>
      </c>
      <c r="KD272" s="20">
        <f t="shared" si="193"/>
        <v>3.3742331288343559</v>
      </c>
      <c r="KE272" s="52" t="str">
        <f t="shared" si="194"/>
        <v/>
      </c>
      <c r="KF272" s="15">
        <f t="shared" si="195"/>
        <v>0</v>
      </c>
      <c r="KG272" s="15">
        <f t="shared" si="196"/>
        <v>0</v>
      </c>
      <c r="KH272" s="21" t="str">
        <f t="shared" si="197"/>
        <v/>
      </c>
      <c r="KI272" s="52" t="str">
        <f t="shared" si="198"/>
        <v/>
      </c>
      <c r="KJ272" s="15">
        <f t="shared" si="199"/>
        <v>0</v>
      </c>
      <c r="KK272" s="15">
        <f t="shared" si="200"/>
        <v>0</v>
      </c>
      <c r="KL272" s="19" t="str">
        <f t="shared" si="201"/>
        <v/>
      </c>
      <c r="KM272" s="52" t="str">
        <f t="shared" si="202"/>
        <v/>
      </c>
      <c r="KN272" s="22">
        <f t="shared" si="203"/>
        <v>0</v>
      </c>
      <c r="KO272" s="22">
        <f t="shared" si="204"/>
        <v>0</v>
      </c>
      <c r="KP272" s="19" t="str">
        <f t="shared" si="205"/>
        <v/>
      </c>
      <c r="KQ272" s="11" t="str">
        <f t="shared" si="206"/>
        <v>2. Sensitive</v>
      </c>
      <c r="KR272" s="11" t="str">
        <f t="shared" si="207"/>
        <v>3. Responsive</v>
      </c>
      <c r="KS272" s="11" t="str">
        <f t="shared" si="208"/>
        <v>2. Sensitive</v>
      </c>
      <c r="KT272" s="11" t="str">
        <f t="shared" si="209"/>
        <v>It tested new ways for fighting poverty, but did not measure results of innovation</v>
      </c>
      <c r="KU272" s="11" t="str">
        <f t="shared" si="210"/>
        <v>Intensive advocacy</v>
      </c>
      <c r="KV272" s="11" t="str">
        <f t="shared" si="211"/>
        <v>It linked and worked with strategic alliances and partners to take tested and effective solutions to scale</v>
      </c>
      <c r="KW272" s="11" t="str">
        <f t="shared" si="212"/>
        <v>Guatemala - Programa Regional de Cambio Climático -PRCC-</v>
      </c>
      <c r="KX272" s="11" t="str">
        <f t="shared" si="213"/>
        <v>Programa Regional de Cambio Climático -PRCC-</v>
      </c>
      <c r="KY272" s="11" t="str">
        <f t="shared" si="214"/>
        <v>Guatemala</v>
      </c>
      <c r="KZ272" s="12">
        <v>272</v>
      </c>
    </row>
    <row r="273" spans="1:312" x14ac:dyDescent="0.3">
      <c r="A273" s="11" t="s">
        <v>4777</v>
      </c>
      <c r="B273" s="11" t="s">
        <v>2807</v>
      </c>
      <c r="C273" s="11">
        <v>2967</v>
      </c>
      <c r="D273" s="11" t="s">
        <v>5008</v>
      </c>
      <c r="E273" s="24" t="str">
        <f t="shared" si="172"/>
        <v>Guatemala</v>
      </c>
      <c r="F273" s="11" t="s">
        <v>5009</v>
      </c>
      <c r="G273" s="11" t="s">
        <v>379</v>
      </c>
      <c r="H273" s="11" t="s">
        <v>489</v>
      </c>
      <c r="I273" s="11" t="s">
        <v>384</v>
      </c>
      <c r="J273" s="278" t="s">
        <v>14620</v>
      </c>
      <c r="BD273" s="23">
        <v>42186</v>
      </c>
      <c r="BE273" s="23">
        <v>42947</v>
      </c>
      <c r="BF273" s="23">
        <v>43100</v>
      </c>
      <c r="BG273" s="11" t="s">
        <v>312</v>
      </c>
      <c r="BH273" s="22">
        <v>202100</v>
      </c>
      <c r="BI273" s="11" t="s">
        <v>5010</v>
      </c>
      <c r="BJ273" s="11" t="s">
        <v>5011</v>
      </c>
      <c r="BK273" s="11" t="s">
        <v>5012</v>
      </c>
      <c r="BL273" s="11" t="s">
        <v>4784</v>
      </c>
      <c r="BM273" s="11" t="s">
        <v>5013</v>
      </c>
      <c r="BN273" s="11" t="s">
        <v>4786</v>
      </c>
      <c r="BO273" s="12" t="s">
        <v>319</v>
      </c>
      <c r="BP273" s="12" t="s">
        <v>320</v>
      </c>
      <c r="BQ273" s="12" t="s">
        <v>319</v>
      </c>
      <c r="BR273" s="11" t="s">
        <v>5014</v>
      </c>
      <c r="BS273" s="28" t="s">
        <v>357</v>
      </c>
      <c r="BT273" s="11" t="s">
        <v>5015</v>
      </c>
      <c r="BU273" s="11" t="s">
        <v>5016</v>
      </c>
      <c r="BV273" s="22">
        <v>500</v>
      </c>
      <c r="BW273" s="22">
        <v>0</v>
      </c>
      <c r="BX273" s="22">
        <v>500</v>
      </c>
      <c r="BY273" s="22">
        <v>1250</v>
      </c>
      <c r="BZ273" s="22">
        <v>1250</v>
      </c>
      <c r="CA273" s="22">
        <v>2500</v>
      </c>
      <c r="CB273" s="15" t="s">
        <v>5017</v>
      </c>
      <c r="CL273" s="18"/>
      <c r="CP273" s="18"/>
      <c r="CT273" s="18"/>
      <c r="CX273" s="18"/>
      <c r="DB273" s="18"/>
      <c r="DF273" s="18"/>
      <c r="DJ273" s="18"/>
      <c r="DN273" s="18"/>
      <c r="DR273" s="18"/>
      <c r="DV273" s="18"/>
      <c r="DZ273" s="18"/>
      <c r="ED273" s="18"/>
      <c r="EI273" s="18"/>
      <c r="EK273" s="22">
        <v>1261</v>
      </c>
      <c r="EL273" s="22">
        <v>1036</v>
      </c>
      <c r="EM273" s="22">
        <v>2297</v>
      </c>
      <c r="EN273" s="22">
        <v>2149</v>
      </c>
      <c r="EO273" s="22">
        <v>2662</v>
      </c>
      <c r="EP273" s="22">
        <v>4811</v>
      </c>
      <c r="ES273" s="18"/>
      <c r="EW273" s="18"/>
      <c r="FA273" s="18"/>
      <c r="FE273" s="18"/>
      <c r="FI273" s="18"/>
      <c r="FK273" s="12" t="s">
        <v>320</v>
      </c>
      <c r="FL273" s="22">
        <v>2297</v>
      </c>
      <c r="FM273" s="18">
        <v>0.55000000000000004</v>
      </c>
      <c r="FN273" s="22">
        <v>3169</v>
      </c>
      <c r="FQ273" s="18"/>
      <c r="FS273" s="12" t="s">
        <v>320</v>
      </c>
      <c r="FT273" s="22">
        <v>589</v>
      </c>
      <c r="FU273" s="18">
        <v>0.95</v>
      </c>
      <c r="FV273" s="22">
        <v>2945</v>
      </c>
      <c r="FW273" s="11" t="s">
        <v>320</v>
      </c>
      <c r="FX273" s="22">
        <v>589</v>
      </c>
      <c r="FY273" s="18">
        <v>1.95</v>
      </c>
      <c r="FZ273" s="22">
        <v>2945</v>
      </c>
      <c r="GA273" s="11" t="s">
        <v>319</v>
      </c>
      <c r="GC273" s="18"/>
      <c r="GG273" s="18"/>
      <c r="GK273" s="18"/>
      <c r="GO273" s="18"/>
      <c r="GS273" s="18"/>
      <c r="GW273" s="18"/>
      <c r="HA273" s="18"/>
      <c r="HC273" s="11" t="s">
        <v>5018</v>
      </c>
      <c r="HD273" s="12" t="s">
        <v>320</v>
      </c>
      <c r="HE273" s="22">
        <v>56</v>
      </c>
      <c r="HF273" s="18">
        <v>1</v>
      </c>
      <c r="HG273" s="22">
        <v>280</v>
      </c>
      <c r="HH273" s="11" t="s">
        <v>320</v>
      </c>
      <c r="HI273" s="11" t="s">
        <v>619</v>
      </c>
      <c r="HJ273" s="11">
        <v>2016</v>
      </c>
      <c r="HK273" s="11" t="s">
        <v>320</v>
      </c>
      <c r="HL273" s="11" t="s">
        <v>320</v>
      </c>
      <c r="HM273" s="11" t="s">
        <v>327</v>
      </c>
      <c r="HN273" s="11">
        <v>2017</v>
      </c>
      <c r="HO273" s="11" t="s">
        <v>5019</v>
      </c>
      <c r="HP273" s="11" t="s">
        <v>330</v>
      </c>
      <c r="HT273" s="11" t="s">
        <v>320</v>
      </c>
      <c r="HU273" s="11" t="s">
        <v>320</v>
      </c>
      <c r="HZ273" s="11" t="s">
        <v>331</v>
      </c>
      <c r="IB273" s="12" t="s">
        <v>396</v>
      </c>
      <c r="ID273" s="12" t="s">
        <v>334</v>
      </c>
      <c r="IE273" s="11" t="s">
        <v>335</v>
      </c>
      <c r="IF273" s="11" t="s">
        <v>320</v>
      </c>
      <c r="IG273" s="11" t="s">
        <v>320</v>
      </c>
      <c r="IH273" s="11" t="s">
        <v>320</v>
      </c>
      <c r="II273" s="11" t="s">
        <v>320</v>
      </c>
      <c r="IJ273" s="12" t="str">
        <f t="shared" si="173"/>
        <v>2. Sensitive</v>
      </c>
      <c r="IK273" s="12">
        <f t="shared" si="174"/>
        <v>4</v>
      </c>
      <c r="IL273" s="11" t="s">
        <v>336</v>
      </c>
      <c r="IM273" s="11" t="s">
        <v>320</v>
      </c>
      <c r="IN273" s="11" t="s">
        <v>320</v>
      </c>
      <c r="IO273" s="11" t="s">
        <v>320</v>
      </c>
      <c r="IP273" s="11" t="s">
        <v>320</v>
      </c>
      <c r="IQ273" s="12" t="str">
        <f t="shared" si="175"/>
        <v>2. Accommodating</v>
      </c>
      <c r="IR273" s="12">
        <f t="shared" si="176"/>
        <v>4</v>
      </c>
      <c r="IS273" s="11" t="s">
        <v>337</v>
      </c>
      <c r="IT273" s="11" t="s">
        <v>320</v>
      </c>
      <c r="IU273" s="11" t="s">
        <v>320</v>
      </c>
      <c r="IV273" s="11" t="s">
        <v>320</v>
      </c>
      <c r="IW273" s="11" t="str">
        <f t="shared" si="177"/>
        <v>2. Sensitive</v>
      </c>
      <c r="IX273" s="12">
        <f t="shared" si="178"/>
        <v>3</v>
      </c>
      <c r="IY273" s="12" t="s">
        <v>338</v>
      </c>
      <c r="IZ273" s="11" t="s">
        <v>527</v>
      </c>
      <c r="JA273" s="11">
        <v>4</v>
      </c>
      <c r="JB273" s="11" t="s">
        <v>624</v>
      </c>
      <c r="JC273" s="12" t="s">
        <v>651</v>
      </c>
      <c r="JD273" s="12" t="s">
        <v>687</v>
      </c>
      <c r="JE273" s="12" t="s">
        <v>365</v>
      </c>
      <c r="JF273" s="11" t="s">
        <v>5020</v>
      </c>
      <c r="JG273" s="11" t="s">
        <v>5021</v>
      </c>
      <c r="JH273" s="11" t="s">
        <v>5022</v>
      </c>
      <c r="JI273" s="11" t="s">
        <v>5023</v>
      </c>
      <c r="JJ273" s="11" t="s">
        <v>5024</v>
      </c>
      <c r="JK273" s="11" t="s">
        <v>5025</v>
      </c>
      <c r="JL273" s="11" t="s">
        <v>5026</v>
      </c>
      <c r="JM273" s="11" t="s">
        <v>5027</v>
      </c>
      <c r="JO273" s="11" t="s">
        <v>5028</v>
      </c>
      <c r="JP273" s="15">
        <f t="shared" si="179"/>
        <v>2297</v>
      </c>
      <c r="JQ273" s="15">
        <f t="shared" si="180"/>
        <v>4811</v>
      </c>
      <c r="JR273" s="279">
        <f t="shared" si="181"/>
        <v>2.0944710491946017</v>
      </c>
      <c r="JS273" s="17">
        <f t="shared" si="182"/>
        <v>0.54897692642577278</v>
      </c>
      <c r="JT273" s="18">
        <f t="shared" si="183"/>
        <v>0.44668468093951363</v>
      </c>
      <c r="JU273" s="280">
        <f t="shared" si="184"/>
        <v>1261</v>
      </c>
      <c r="JV273" s="280">
        <f t="shared" si="185"/>
        <v>2149</v>
      </c>
      <c r="JW273" s="319" t="str">
        <f t="shared" si="186"/>
        <v/>
      </c>
      <c r="JX273" s="15">
        <f t="shared" si="187"/>
        <v>0</v>
      </c>
      <c r="JY273" s="15">
        <f t="shared" si="188"/>
        <v>0</v>
      </c>
      <c r="JZ273" s="19" t="str">
        <f t="shared" si="189"/>
        <v/>
      </c>
      <c r="KA273" s="52" t="str">
        <f t="shared" si="190"/>
        <v/>
      </c>
      <c r="KB273" s="15">
        <f t="shared" si="191"/>
        <v>0</v>
      </c>
      <c r="KC273" s="15">
        <f t="shared" si="192"/>
        <v>0</v>
      </c>
      <c r="KD273" s="20" t="str">
        <f t="shared" si="193"/>
        <v/>
      </c>
      <c r="KE273" s="52" t="str">
        <f t="shared" si="194"/>
        <v/>
      </c>
      <c r="KF273" s="15">
        <f t="shared" si="195"/>
        <v>0</v>
      </c>
      <c r="KG273" s="15">
        <f t="shared" si="196"/>
        <v>0</v>
      </c>
      <c r="KH273" s="21" t="str">
        <f t="shared" si="197"/>
        <v/>
      </c>
      <c r="KI273" s="52">
        <f t="shared" si="198"/>
        <v>1</v>
      </c>
      <c r="KJ273" s="15">
        <f t="shared" si="199"/>
        <v>589</v>
      </c>
      <c r="KK273" s="15">
        <f t="shared" si="200"/>
        <v>2945</v>
      </c>
      <c r="KL273" s="19">
        <f t="shared" si="201"/>
        <v>5</v>
      </c>
      <c r="KM273" s="52" t="str">
        <f t="shared" si="202"/>
        <v/>
      </c>
      <c r="KN273" s="22">
        <f t="shared" si="203"/>
        <v>0</v>
      </c>
      <c r="KO273" s="22">
        <f t="shared" si="204"/>
        <v>0</v>
      </c>
      <c r="KP273" s="19" t="str">
        <f t="shared" si="205"/>
        <v/>
      </c>
      <c r="KQ273" s="11" t="str">
        <f t="shared" si="206"/>
        <v>2. Sensitive</v>
      </c>
      <c r="KR273" s="11" t="str">
        <f t="shared" si="207"/>
        <v>2. Accommodating</v>
      </c>
      <c r="KS273" s="11" t="str">
        <f t="shared" si="208"/>
        <v>2. Sensitive</v>
      </c>
      <c r="KT273" s="11" t="str">
        <f t="shared" si="209"/>
        <v>It tested new ways for fighting poverty and measured results of innovation</v>
      </c>
      <c r="KU273" s="11" t="str">
        <f t="shared" si="210"/>
        <v>Moderate advocacy</v>
      </c>
      <c r="KV273" s="11" t="str">
        <f t="shared" si="211"/>
        <v>It linked and worked with strategic alliances and partners to take tested and effective solutions to scale</v>
      </c>
      <c r="KW273" s="11" t="str">
        <f t="shared" si="212"/>
        <v>Guatemala - Proyecto Esperanza para Mujeres Jóvenes</v>
      </c>
      <c r="KX273" s="11" t="str">
        <f t="shared" si="213"/>
        <v>Proyecto Esperanza para Mujeres Jóvenes</v>
      </c>
      <c r="KY273" s="11" t="str">
        <f t="shared" si="214"/>
        <v>Guatemala</v>
      </c>
      <c r="KZ273" s="12">
        <v>273</v>
      </c>
    </row>
    <row r="274" spans="1:312" x14ac:dyDescent="0.3">
      <c r="A274" s="11" t="s">
        <v>4777</v>
      </c>
      <c r="B274" s="11" t="s">
        <v>2807</v>
      </c>
      <c r="C274" s="11">
        <v>2979</v>
      </c>
      <c r="D274" s="11" t="s">
        <v>4823</v>
      </c>
      <c r="E274" s="24" t="str">
        <f t="shared" si="172"/>
        <v>Guatemala</v>
      </c>
      <c r="F274" s="11" t="s">
        <v>4824</v>
      </c>
      <c r="G274" s="11" t="s">
        <v>714</v>
      </c>
      <c r="H274" s="11" t="s">
        <v>380</v>
      </c>
      <c r="I274" s="11" t="s">
        <v>517</v>
      </c>
      <c r="J274" s="278" t="s">
        <v>14578</v>
      </c>
      <c r="BD274" s="23">
        <v>42401</v>
      </c>
      <c r="BE274" s="23">
        <v>43343</v>
      </c>
      <c r="BG274" s="11" t="s">
        <v>609</v>
      </c>
      <c r="BH274" s="22">
        <v>320153</v>
      </c>
      <c r="BI274" s="11" t="s">
        <v>4781</v>
      </c>
      <c r="BJ274" s="11" t="s">
        <v>1899</v>
      </c>
      <c r="BK274" s="11" t="s">
        <v>4825</v>
      </c>
      <c r="BL274" s="11" t="s">
        <v>4826</v>
      </c>
      <c r="BM274" s="11" t="s">
        <v>4827</v>
      </c>
      <c r="BN274" s="11" t="s">
        <v>4828</v>
      </c>
      <c r="BO274" s="12" t="s">
        <v>319</v>
      </c>
      <c r="BP274" s="12" t="s">
        <v>320</v>
      </c>
      <c r="BQ274" s="12" t="s">
        <v>319</v>
      </c>
      <c r="BS274" s="11" t="s">
        <v>357</v>
      </c>
      <c r="BT274" s="11" t="s">
        <v>4829</v>
      </c>
      <c r="BU274" s="11" t="s">
        <v>4830</v>
      </c>
      <c r="BV274" s="22">
        <v>474</v>
      </c>
      <c r="BW274" s="22">
        <v>0</v>
      </c>
      <c r="BX274" s="22">
        <v>474</v>
      </c>
      <c r="BY274" s="22">
        <v>4000</v>
      </c>
      <c r="BZ274" s="22">
        <v>3500</v>
      </c>
      <c r="CA274" s="22">
        <v>7500</v>
      </c>
      <c r="CB274" s="15" t="s">
        <v>4831</v>
      </c>
      <c r="CL274" s="18"/>
      <c r="CP274" s="18"/>
      <c r="CT274" s="18"/>
      <c r="CX274" s="18"/>
      <c r="DB274" s="18"/>
      <c r="DF274" s="18"/>
      <c r="DJ274" s="18"/>
      <c r="DN274" s="18"/>
      <c r="DR274" s="18"/>
      <c r="DV274" s="18"/>
      <c r="DZ274" s="18"/>
      <c r="ED274" s="18"/>
      <c r="EI274" s="18"/>
      <c r="EK274" s="22">
        <v>537</v>
      </c>
      <c r="EL274" s="22">
        <v>0</v>
      </c>
      <c r="EM274" s="22">
        <v>537</v>
      </c>
      <c r="EN274" s="22">
        <v>4000</v>
      </c>
      <c r="EO274" s="22">
        <v>3000</v>
      </c>
      <c r="EP274" s="22">
        <v>7000</v>
      </c>
      <c r="ES274" s="18"/>
      <c r="EW274" s="18"/>
      <c r="FA274" s="18"/>
      <c r="FE274" s="18"/>
      <c r="FI274" s="18"/>
      <c r="FM274" s="18"/>
      <c r="FQ274" s="18"/>
      <c r="FS274" s="12" t="s">
        <v>320</v>
      </c>
      <c r="FT274" s="22">
        <v>537</v>
      </c>
      <c r="FU274" s="18">
        <v>1</v>
      </c>
      <c r="FV274" s="22">
        <v>7000</v>
      </c>
      <c r="FY274" s="18"/>
      <c r="GC274" s="18"/>
      <c r="GG274" s="18"/>
      <c r="GK274" s="18"/>
      <c r="GO274" s="18"/>
      <c r="GS274" s="18"/>
      <c r="GW274" s="18"/>
      <c r="HA274" s="18"/>
      <c r="HF274" s="18"/>
      <c r="HH274" s="11" t="s">
        <v>320</v>
      </c>
      <c r="HI274" s="11" t="s">
        <v>415</v>
      </c>
      <c r="HJ274" s="11">
        <v>2016</v>
      </c>
      <c r="HK274" s="11" t="s">
        <v>320</v>
      </c>
      <c r="HL274" s="11" t="s">
        <v>320</v>
      </c>
      <c r="HM274" s="11" t="s">
        <v>431</v>
      </c>
      <c r="HN274" s="11">
        <v>2018</v>
      </c>
      <c r="HO274" s="11" t="s">
        <v>4832</v>
      </c>
      <c r="HP274" s="11" t="s">
        <v>453</v>
      </c>
      <c r="HQ274" s="11" t="s">
        <v>320</v>
      </c>
      <c r="HR274" s="11" t="s">
        <v>320</v>
      </c>
      <c r="HS274" s="11" t="s">
        <v>319</v>
      </c>
      <c r="HT274" s="11" t="s">
        <v>320</v>
      </c>
      <c r="HU274" s="11" t="s">
        <v>320</v>
      </c>
      <c r="HV274" s="11" t="s">
        <v>319</v>
      </c>
      <c r="HW274" s="11" t="s">
        <v>319</v>
      </c>
      <c r="HX274" s="11" t="s">
        <v>319</v>
      </c>
      <c r="HZ274" s="11" t="s">
        <v>331</v>
      </c>
      <c r="IA274" s="11" t="s">
        <v>4833</v>
      </c>
      <c r="IB274" s="11" t="s">
        <v>396</v>
      </c>
      <c r="IC274" s="11" t="s">
        <v>4834</v>
      </c>
      <c r="ID274" s="11" t="s">
        <v>477</v>
      </c>
      <c r="IE274" s="11" t="s">
        <v>478</v>
      </c>
      <c r="IF274" s="11" t="s">
        <v>320</v>
      </c>
      <c r="IG274" s="11" t="s">
        <v>320</v>
      </c>
      <c r="IH274" s="11" t="s">
        <v>320</v>
      </c>
      <c r="II274" s="11" t="s">
        <v>320</v>
      </c>
      <c r="IJ274" s="12" t="str">
        <f t="shared" si="173"/>
        <v>4. Transformative</v>
      </c>
      <c r="IK274" s="12">
        <f t="shared" si="174"/>
        <v>4</v>
      </c>
      <c r="IL274" s="11" t="s">
        <v>621</v>
      </c>
      <c r="IM274" s="11" t="s">
        <v>320</v>
      </c>
      <c r="IN274" s="11" t="s">
        <v>320</v>
      </c>
      <c r="IO274" s="11" t="s">
        <v>320</v>
      </c>
      <c r="IP274" s="11" t="s">
        <v>320</v>
      </c>
      <c r="IQ274" s="12" t="str">
        <f t="shared" si="175"/>
        <v>4. Transformational</v>
      </c>
      <c r="IR274" s="12">
        <f t="shared" si="176"/>
        <v>4</v>
      </c>
      <c r="IS274" s="11" t="s">
        <v>622</v>
      </c>
      <c r="IT274" s="11" t="s">
        <v>320</v>
      </c>
      <c r="IU274" s="11" t="s">
        <v>320</v>
      </c>
      <c r="IV274" s="11" t="s">
        <v>320</v>
      </c>
      <c r="IW274" s="11" t="str">
        <f t="shared" si="177"/>
        <v>4. Transformative</v>
      </c>
      <c r="IX274" s="12">
        <f t="shared" si="178"/>
        <v>3</v>
      </c>
      <c r="IY274" s="11" t="s">
        <v>338</v>
      </c>
      <c r="IZ274" s="11" t="s">
        <v>457</v>
      </c>
      <c r="JA274" s="11">
        <v>4</v>
      </c>
      <c r="JB274" s="11" t="s">
        <v>624</v>
      </c>
      <c r="JC274" s="11" t="s">
        <v>623</v>
      </c>
      <c r="JD274" s="11" t="s">
        <v>1113</v>
      </c>
      <c r="JE274" s="11" t="s">
        <v>340</v>
      </c>
      <c r="JF274" s="11" t="s">
        <v>4835</v>
      </c>
      <c r="JG274" s="11" t="s">
        <v>4836</v>
      </c>
      <c r="JH274" s="11" t="s">
        <v>4837</v>
      </c>
      <c r="JI274" s="11" t="s">
        <v>4838</v>
      </c>
      <c r="JJ274" s="11" t="s">
        <v>4839</v>
      </c>
      <c r="JK274" s="11" t="s">
        <v>4840</v>
      </c>
      <c r="JL274" s="11" t="s">
        <v>4841</v>
      </c>
      <c r="JM274" s="11" t="s">
        <v>4842</v>
      </c>
      <c r="JP274" s="15">
        <f t="shared" si="179"/>
        <v>537</v>
      </c>
      <c r="JQ274" s="15">
        <f t="shared" si="180"/>
        <v>7000</v>
      </c>
      <c r="JR274" s="279">
        <f t="shared" si="181"/>
        <v>13.035381750465548</v>
      </c>
      <c r="JS274" s="17">
        <f t="shared" si="182"/>
        <v>1</v>
      </c>
      <c r="JT274" s="18">
        <f t="shared" si="183"/>
        <v>0.5714285714285714</v>
      </c>
      <c r="JU274" s="280">
        <f t="shared" si="184"/>
        <v>537</v>
      </c>
      <c r="JV274" s="280">
        <f t="shared" si="185"/>
        <v>4000</v>
      </c>
      <c r="JW274" s="319" t="str">
        <f t="shared" si="186"/>
        <v/>
      </c>
      <c r="JX274" s="15">
        <f t="shared" si="187"/>
        <v>0</v>
      </c>
      <c r="JY274" s="15">
        <f t="shared" si="188"/>
        <v>0</v>
      </c>
      <c r="JZ274" s="19" t="str">
        <f t="shared" si="189"/>
        <v/>
      </c>
      <c r="KA274" s="52" t="str">
        <f t="shared" si="190"/>
        <v/>
      </c>
      <c r="KB274" s="15">
        <f t="shared" si="191"/>
        <v>0</v>
      </c>
      <c r="KC274" s="15">
        <f t="shared" si="192"/>
        <v>0</v>
      </c>
      <c r="KD274" s="20" t="str">
        <f t="shared" si="193"/>
        <v/>
      </c>
      <c r="KE274" s="52" t="str">
        <f t="shared" si="194"/>
        <v/>
      </c>
      <c r="KF274" s="15">
        <f t="shared" si="195"/>
        <v>0</v>
      </c>
      <c r="KG274" s="15">
        <f t="shared" si="196"/>
        <v>0</v>
      </c>
      <c r="KH274" s="21" t="str">
        <f t="shared" si="197"/>
        <v/>
      </c>
      <c r="KI274" s="52">
        <f t="shared" si="198"/>
        <v>1</v>
      </c>
      <c r="KJ274" s="15">
        <f t="shared" si="199"/>
        <v>537</v>
      </c>
      <c r="KK274" s="15">
        <f t="shared" si="200"/>
        <v>7000</v>
      </c>
      <c r="KL274" s="19">
        <f t="shared" si="201"/>
        <v>13.035381750465548</v>
      </c>
      <c r="KM274" s="52" t="str">
        <f t="shared" si="202"/>
        <v/>
      </c>
      <c r="KN274" s="22">
        <f t="shared" si="203"/>
        <v>0</v>
      </c>
      <c r="KO274" s="22">
        <f t="shared" si="204"/>
        <v>0</v>
      </c>
      <c r="KP274" s="19" t="str">
        <f t="shared" si="205"/>
        <v/>
      </c>
      <c r="KQ274" s="11" t="str">
        <f t="shared" si="206"/>
        <v>4. Transformative</v>
      </c>
      <c r="KR274" s="11" t="str">
        <f t="shared" si="207"/>
        <v>4. Transformational</v>
      </c>
      <c r="KS274" s="11" t="str">
        <f t="shared" si="208"/>
        <v>4. Transformative</v>
      </c>
      <c r="KT274" s="11" t="str">
        <f t="shared" si="209"/>
        <v>It tested new ways for fighting poverty and measured results of innovation</v>
      </c>
      <c r="KU274" s="11" t="str">
        <f t="shared" si="210"/>
        <v>Intensive advocacy</v>
      </c>
      <c r="KV274" s="11" t="str">
        <f t="shared" si="211"/>
        <v>It linked and worked with strategic alliances and partners to take tested and effective solutions to scale</v>
      </c>
      <c r="KW274" s="11" t="str">
        <f t="shared" si="212"/>
        <v>Guatemala - Proyecto Mujeres Mayas y Garífunas, construyendo una vida digna y con justicia</v>
      </c>
      <c r="KX274" s="11" t="str">
        <f t="shared" si="213"/>
        <v>Proyecto Mujeres Mayas y Garífunas, construyendo una vida digna y con justicia</v>
      </c>
      <c r="KY274" s="11" t="str">
        <f t="shared" si="214"/>
        <v>Guatemala</v>
      </c>
      <c r="KZ274" s="12">
        <v>274</v>
      </c>
    </row>
    <row r="275" spans="1:312" x14ac:dyDescent="0.3">
      <c r="A275" s="11" t="s">
        <v>4777</v>
      </c>
      <c r="B275" s="11" t="s">
        <v>2807</v>
      </c>
      <c r="D275" s="11" t="s">
        <v>5029</v>
      </c>
      <c r="E275" s="24" t="str">
        <f t="shared" si="172"/>
        <v>Guatemala</v>
      </c>
      <c r="F275" s="11" t="s">
        <v>5030</v>
      </c>
      <c r="G275" s="11" t="s">
        <v>379</v>
      </c>
      <c r="H275" s="11" t="s">
        <v>383</v>
      </c>
      <c r="I275" s="11" t="s">
        <v>384</v>
      </c>
      <c r="J275" s="278" t="s">
        <v>5578</v>
      </c>
      <c r="BD275" s="23">
        <v>42614</v>
      </c>
      <c r="BE275" s="23">
        <v>43707</v>
      </c>
      <c r="BG275" s="11" t="s">
        <v>749</v>
      </c>
      <c r="BH275" s="22">
        <v>728532</v>
      </c>
      <c r="BI275" s="11" t="s">
        <v>4781</v>
      </c>
      <c r="BJ275" s="11" t="s">
        <v>4892</v>
      </c>
      <c r="BK275" s="11" t="s">
        <v>4783</v>
      </c>
      <c r="BL275" s="11" t="s">
        <v>4848</v>
      </c>
      <c r="BM275" s="11" t="s">
        <v>4894</v>
      </c>
      <c r="BN275" s="11" t="s">
        <v>4850</v>
      </c>
      <c r="BO275" s="12" t="s">
        <v>319</v>
      </c>
      <c r="BP275" s="12" t="s">
        <v>320</v>
      </c>
      <c r="BQ275" s="12" t="s">
        <v>319</v>
      </c>
      <c r="BR275" s="11" t="s">
        <v>5031</v>
      </c>
      <c r="BS275" s="11" t="s">
        <v>615</v>
      </c>
      <c r="BT275" s="11" t="s">
        <v>5032</v>
      </c>
      <c r="BU275" s="11" t="s">
        <v>5033</v>
      </c>
      <c r="BV275" s="22">
        <v>2972</v>
      </c>
      <c r="BW275" s="22">
        <v>2888</v>
      </c>
      <c r="BX275" s="22">
        <v>5860</v>
      </c>
      <c r="BY275" s="22">
        <v>14860</v>
      </c>
      <c r="BZ275" s="22">
        <v>14440</v>
      </c>
      <c r="CA275" s="22">
        <v>29300</v>
      </c>
      <c r="CB275" s="15" t="s">
        <v>5034</v>
      </c>
      <c r="CL275" s="18"/>
      <c r="CP275" s="18"/>
      <c r="CT275" s="18"/>
      <c r="CX275" s="18"/>
      <c r="DB275" s="18"/>
      <c r="DF275" s="18"/>
      <c r="DJ275" s="18"/>
      <c r="DN275" s="18"/>
      <c r="DR275" s="18"/>
      <c r="DV275" s="18"/>
      <c r="DZ275" s="18"/>
      <c r="ED275" s="18"/>
      <c r="EI275" s="18"/>
      <c r="EK275" s="22">
        <v>7410</v>
      </c>
      <c r="EL275" s="22">
        <v>5654</v>
      </c>
      <c r="EM275" s="22">
        <v>13064</v>
      </c>
      <c r="EN275" s="22">
        <v>3043</v>
      </c>
      <c r="EO275" s="22">
        <v>2980</v>
      </c>
      <c r="EP275" s="22">
        <v>6023</v>
      </c>
      <c r="EQ275" s="12" t="s">
        <v>320</v>
      </c>
      <c r="ER275" s="22">
        <v>425</v>
      </c>
      <c r="ES275" s="18">
        <v>0.55759999999999998</v>
      </c>
      <c r="ET275" s="22">
        <v>28</v>
      </c>
      <c r="EU275" s="11" t="s">
        <v>320</v>
      </c>
      <c r="EV275" s="22">
        <v>525</v>
      </c>
      <c r="EW275" s="18">
        <v>0.58479999999999999</v>
      </c>
      <c r="EX275" s="22">
        <v>92</v>
      </c>
      <c r="FA275" s="18"/>
      <c r="FC275" s="12" t="s">
        <v>320</v>
      </c>
      <c r="FD275" s="22">
        <v>700</v>
      </c>
      <c r="FE275" s="18">
        <v>0.68859999999999999</v>
      </c>
      <c r="FF275" s="22">
        <v>92</v>
      </c>
      <c r="FG275" s="12" t="s">
        <v>320</v>
      </c>
      <c r="FH275" s="22">
        <v>700</v>
      </c>
      <c r="FI275" s="18">
        <v>0.68859999999999999</v>
      </c>
      <c r="FJ275" s="22">
        <v>28</v>
      </c>
      <c r="FK275" s="12" t="s">
        <v>320</v>
      </c>
      <c r="FL275" s="22">
        <v>10515</v>
      </c>
      <c r="FM275" s="18">
        <v>0.48249999999999998</v>
      </c>
      <c r="FN275" s="22">
        <v>5804</v>
      </c>
      <c r="FO275" s="12" t="s">
        <v>320</v>
      </c>
      <c r="FP275" s="22">
        <v>1252</v>
      </c>
      <c r="FQ275" s="18">
        <v>0.87</v>
      </c>
      <c r="FR275" s="22">
        <v>169</v>
      </c>
      <c r="FS275" s="12" t="s">
        <v>320</v>
      </c>
      <c r="FT275" s="22">
        <v>313</v>
      </c>
      <c r="FU275" s="18">
        <v>0.85940000000000005</v>
      </c>
      <c r="FW275" s="11" t="s">
        <v>320</v>
      </c>
      <c r="FX275" s="22">
        <v>313</v>
      </c>
      <c r="FY275" s="18">
        <v>0.85940000000000005</v>
      </c>
      <c r="GC275" s="18"/>
      <c r="GG275" s="18"/>
      <c r="GK275" s="18"/>
      <c r="GM275" s="11" t="s">
        <v>320</v>
      </c>
      <c r="GN275" s="22">
        <v>182</v>
      </c>
      <c r="GO275" s="18">
        <v>0.65380000000000005</v>
      </c>
      <c r="GS275" s="18"/>
      <c r="GU275" s="12" t="s">
        <v>320</v>
      </c>
      <c r="GV275" s="22">
        <v>1252</v>
      </c>
      <c r="GW275" s="18">
        <v>0.87</v>
      </c>
      <c r="GY275" s="11" t="s">
        <v>320</v>
      </c>
      <c r="GZ275" s="22">
        <v>482</v>
      </c>
      <c r="HA275" s="18">
        <v>1</v>
      </c>
      <c r="HF275" s="18"/>
      <c r="HH275" s="11" t="s">
        <v>320</v>
      </c>
      <c r="HI275" s="11" t="s">
        <v>1175</v>
      </c>
      <c r="HJ275" s="11">
        <v>2017</v>
      </c>
      <c r="HK275" s="11" t="s">
        <v>320</v>
      </c>
      <c r="HL275" s="11" t="s">
        <v>319</v>
      </c>
      <c r="HP275" s="11" t="s">
        <v>330</v>
      </c>
      <c r="HQ275" s="11" t="s">
        <v>319</v>
      </c>
      <c r="HR275" s="11" t="s">
        <v>319</v>
      </c>
      <c r="HS275" s="11" t="s">
        <v>320</v>
      </c>
      <c r="HT275" s="11" t="s">
        <v>320</v>
      </c>
      <c r="HU275" s="11" t="s">
        <v>320</v>
      </c>
      <c r="HV275" s="11" t="s">
        <v>320</v>
      </c>
      <c r="HW275" s="11" t="s">
        <v>319</v>
      </c>
      <c r="HZ275" s="12" t="s">
        <v>394</v>
      </c>
      <c r="IA275" s="11" t="s">
        <v>5035</v>
      </c>
      <c r="IB275" s="12" t="s">
        <v>396</v>
      </c>
      <c r="IC275" s="11" t="s">
        <v>5036</v>
      </c>
      <c r="ID275" s="12" t="s">
        <v>334</v>
      </c>
      <c r="IE275" s="11" t="s">
        <v>478</v>
      </c>
      <c r="IF275" s="11" t="s">
        <v>320</v>
      </c>
      <c r="IG275" s="11" t="s">
        <v>320</v>
      </c>
      <c r="IH275" s="11" t="s">
        <v>320</v>
      </c>
      <c r="II275" s="11" t="s">
        <v>319</v>
      </c>
      <c r="IJ275" s="12" t="str">
        <f t="shared" si="173"/>
        <v>3. Responsive</v>
      </c>
      <c r="IK275" s="12">
        <f t="shared" si="174"/>
        <v>3</v>
      </c>
      <c r="IL275" s="11" t="s">
        <v>621</v>
      </c>
      <c r="IM275" s="11" t="s">
        <v>320</v>
      </c>
      <c r="IN275" s="11" t="s">
        <v>320</v>
      </c>
      <c r="IO275" s="11" t="s">
        <v>320</v>
      </c>
      <c r="IP275" s="11" t="s">
        <v>319</v>
      </c>
      <c r="IQ275" s="12" t="str">
        <f t="shared" si="175"/>
        <v>3. Responsive</v>
      </c>
      <c r="IR275" s="12">
        <f t="shared" si="176"/>
        <v>3</v>
      </c>
      <c r="IS275" s="11" t="s">
        <v>622</v>
      </c>
      <c r="IT275" s="11" t="s">
        <v>320</v>
      </c>
      <c r="IU275" s="11" t="s">
        <v>319</v>
      </c>
      <c r="IV275" s="11" t="s">
        <v>320</v>
      </c>
      <c r="IW275" s="11" t="str">
        <f t="shared" si="177"/>
        <v>3. Responsive</v>
      </c>
      <c r="IX275" s="12">
        <f t="shared" si="178"/>
        <v>2</v>
      </c>
      <c r="IY275" s="11" t="s">
        <v>419</v>
      </c>
      <c r="IZ275" s="12" t="s">
        <v>432</v>
      </c>
      <c r="JA275" s="11">
        <v>7</v>
      </c>
      <c r="JB275" s="11" t="s">
        <v>624</v>
      </c>
      <c r="JC275" s="11" t="s">
        <v>687</v>
      </c>
      <c r="JE275" s="12" t="s">
        <v>420</v>
      </c>
      <c r="JH275" s="11" t="s">
        <v>4967</v>
      </c>
      <c r="JI275" s="11" t="s">
        <v>5037</v>
      </c>
      <c r="JJ275" s="11" t="s">
        <v>5038</v>
      </c>
      <c r="JK275" s="11" t="s">
        <v>5039</v>
      </c>
      <c r="JL275" s="11" t="s">
        <v>5040</v>
      </c>
      <c r="JM275" s="11" t="s">
        <v>5041</v>
      </c>
      <c r="JO275" s="11" t="s">
        <v>5042</v>
      </c>
      <c r="JP275" s="15">
        <f t="shared" si="179"/>
        <v>13064</v>
      </c>
      <c r="JQ275" s="15">
        <f t="shared" si="180"/>
        <v>6023</v>
      </c>
      <c r="JR275" s="279">
        <f t="shared" si="181"/>
        <v>0.46103796693202692</v>
      </c>
      <c r="JS275" s="17">
        <f t="shared" si="182"/>
        <v>0.56720759338640536</v>
      </c>
      <c r="JT275" s="18">
        <f t="shared" si="183"/>
        <v>0.50522995185123698</v>
      </c>
      <c r="JU275" s="280">
        <f t="shared" si="184"/>
        <v>7410</v>
      </c>
      <c r="JV275" s="280">
        <f t="shared" si="185"/>
        <v>3043</v>
      </c>
      <c r="JW275" s="319" t="str">
        <f t="shared" si="186"/>
        <v/>
      </c>
      <c r="JX275" s="15">
        <f t="shared" si="187"/>
        <v>0</v>
      </c>
      <c r="JY275" s="15">
        <f t="shared" si="188"/>
        <v>0</v>
      </c>
      <c r="JZ275" s="19" t="str">
        <f t="shared" si="189"/>
        <v/>
      </c>
      <c r="KA275" s="52">
        <f t="shared" si="190"/>
        <v>1</v>
      </c>
      <c r="KB275" s="15">
        <f t="shared" si="191"/>
        <v>1252</v>
      </c>
      <c r="KC275" s="15">
        <f t="shared" si="192"/>
        <v>169</v>
      </c>
      <c r="KD275" s="20">
        <f t="shared" si="193"/>
        <v>0.13498402555910544</v>
      </c>
      <c r="KE275" s="52" t="str">
        <f t="shared" si="194"/>
        <v/>
      </c>
      <c r="KF275" s="15">
        <f t="shared" si="195"/>
        <v>0</v>
      </c>
      <c r="KG275" s="15">
        <f t="shared" si="196"/>
        <v>0</v>
      </c>
      <c r="KH275" s="21" t="str">
        <f t="shared" si="197"/>
        <v/>
      </c>
      <c r="KI275" s="52">
        <f t="shared" si="198"/>
        <v>1</v>
      </c>
      <c r="KJ275" s="15">
        <f t="shared" si="199"/>
        <v>313</v>
      </c>
      <c r="KK275" s="15">
        <f t="shared" si="200"/>
        <v>0</v>
      </c>
      <c r="KL275" s="19">
        <f t="shared" si="201"/>
        <v>0</v>
      </c>
      <c r="KM275" s="52">
        <f t="shared" si="202"/>
        <v>1</v>
      </c>
      <c r="KN275" s="22">
        <f t="shared" si="203"/>
        <v>482.02</v>
      </c>
      <c r="KO275" s="22">
        <f t="shared" si="204"/>
        <v>19.280799999999999</v>
      </c>
      <c r="KP275" s="19">
        <f t="shared" si="205"/>
        <v>0.04</v>
      </c>
      <c r="KQ275" s="11" t="str">
        <f t="shared" si="206"/>
        <v>3. Responsive</v>
      </c>
      <c r="KR275" s="11" t="str">
        <f t="shared" si="207"/>
        <v>3. Responsive</v>
      </c>
      <c r="KS275" s="11" t="str">
        <f t="shared" si="208"/>
        <v>3. Responsive</v>
      </c>
      <c r="KT275" s="11" t="str">
        <f t="shared" si="209"/>
        <v>It tested new ways for fighting poverty, but did not measure results of innovation</v>
      </c>
      <c r="KU275" s="11" t="str">
        <f t="shared" si="210"/>
        <v>Moderate advocacy</v>
      </c>
      <c r="KV275" s="11" t="str">
        <f t="shared" si="211"/>
        <v>It linked and worked with strategic alliances and partners to take tested and effective solutions to scale</v>
      </c>
      <c r="KW275" s="11" t="str">
        <f t="shared" si="212"/>
        <v>Guatemala - Proyecto Nutriendo el Futuro</v>
      </c>
      <c r="KX275" s="11" t="str">
        <f t="shared" si="213"/>
        <v>Proyecto Nutriendo el Futuro</v>
      </c>
      <c r="KY275" s="11" t="str">
        <f t="shared" si="214"/>
        <v>Guatemala</v>
      </c>
      <c r="KZ275" s="12">
        <v>275</v>
      </c>
    </row>
    <row r="276" spans="1:312" x14ac:dyDescent="0.3">
      <c r="A276" s="11" t="s">
        <v>4777</v>
      </c>
      <c r="B276" s="11" t="s">
        <v>2807</v>
      </c>
      <c r="C276" s="11">
        <v>2978</v>
      </c>
      <c r="D276" s="11" t="s">
        <v>5043</v>
      </c>
      <c r="E276" s="24" t="str">
        <f t="shared" si="172"/>
        <v>Guatemala</v>
      </c>
      <c r="F276" s="11" t="s">
        <v>5044</v>
      </c>
      <c r="G276" s="11" t="s">
        <v>379</v>
      </c>
      <c r="H276" s="11" t="s">
        <v>383</v>
      </c>
      <c r="I276" s="11" t="s">
        <v>384</v>
      </c>
      <c r="J276" s="278" t="s">
        <v>5045</v>
      </c>
      <c r="BD276" s="23">
        <v>41744</v>
      </c>
      <c r="BE276" s="23">
        <v>42839</v>
      </c>
      <c r="BG276" s="11" t="s">
        <v>749</v>
      </c>
      <c r="BH276" s="22">
        <v>705000</v>
      </c>
      <c r="BI276" s="11" t="s">
        <v>4784</v>
      </c>
      <c r="BJ276" s="11" t="s">
        <v>5046</v>
      </c>
      <c r="BK276" s="11" t="s">
        <v>4786</v>
      </c>
      <c r="BO276" s="12" t="s">
        <v>319</v>
      </c>
      <c r="BP276" s="12" t="s">
        <v>320</v>
      </c>
      <c r="BQ276" s="12" t="s">
        <v>319</v>
      </c>
      <c r="BR276" s="11" t="s">
        <v>5047</v>
      </c>
      <c r="BS276" s="11" t="s">
        <v>357</v>
      </c>
      <c r="BT276" s="11" t="s">
        <v>5048</v>
      </c>
      <c r="BU276" s="11" t="s">
        <v>5049</v>
      </c>
      <c r="BV276" s="22">
        <v>1200</v>
      </c>
      <c r="BW276" s="22">
        <v>1200</v>
      </c>
      <c r="BX276" s="22">
        <v>2400</v>
      </c>
      <c r="BY276" s="22">
        <v>7200</v>
      </c>
      <c r="BZ276" s="22">
        <v>7200</v>
      </c>
      <c r="CA276" s="22">
        <v>14400</v>
      </c>
      <c r="CB276" s="15" t="s">
        <v>5050</v>
      </c>
      <c r="CL276" s="18"/>
      <c r="CP276" s="18"/>
      <c r="CT276" s="18"/>
      <c r="CX276" s="18"/>
      <c r="DB276" s="18"/>
      <c r="DF276" s="18"/>
      <c r="DJ276" s="18"/>
      <c r="DN276" s="18"/>
      <c r="DR276" s="18"/>
      <c r="DV276" s="18"/>
      <c r="DZ276" s="18"/>
      <c r="ED276" s="18"/>
      <c r="EI276" s="18"/>
      <c r="EK276" s="22">
        <v>825</v>
      </c>
      <c r="EL276" s="22">
        <v>974</v>
      </c>
      <c r="EM276" s="22">
        <v>1799</v>
      </c>
      <c r="EN276" s="22">
        <v>1520</v>
      </c>
      <c r="EO276" s="22">
        <v>1608</v>
      </c>
      <c r="EP276" s="22">
        <v>3128</v>
      </c>
      <c r="EQ276" s="12" t="s">
        <v>320</v>
      </c>
      <c r="ER276" s="22">
        <v>559</v>
      </c>
      <c r="ES276" s="18">
        <v>7.0000000000000007E-2</v>
      </c>
      <c r="ET276" s="22">
        <v>2216</v>
      </c>
      <c r="EW276" s="18"/>
      <c r="FA276" s="18"/>
      <c r="FE276" s="18"/>
      <c r="FI276" s="18"/>
      <c r="FK276" s="12" t="s">
        <v>320</v>
      </c>
      <c r="FL276" s="22">
        <v>668</v>
      </c>
      <c r="FM276" s="18">
        <v>0.5</v>
      </c>
      <c r="FN276" s="22">
        <v>3340</v>
      </c>
      <c r="FO276" s="12" t="s">
        <v>320</v>
      </c>
      <c r="FP276" s="22">
        <v>2400</v>
      </c>
      <c r="FQ276" s="18">
        <v>0.5</v>
      </c>
      <c r="FR276" s="22">
        <v>12000</v>
      </c>
      <c r="FU276" s="18"/>
      <c r="FY276" s="18"/>
      <c r="GC276" s="18"/>
      <c r="GG276" s="18"/>
      <c r="GK276" s="18"/>
      <c r="GO276" s="18"/>
      <c r="GQ276" s="12" t="s">
        <v>320</v>
      </c>
      <c r="GR276" s="22">
        <v>206</v>
      </c>
      <c r="GS276" s="18">
        <v>0.5</v>
      </c>
      <c r="GT276" s="22">
        <v>824</v>
      </c>
      <c r="GW276" s="18"/>
      <c r="GY276" s="11" t="s">
        <v>320</v>
      </c>
      <c r="GZ276" s="22">
        <v>240</v>
      </c>
      <c r="HA276" s="18">
        <v>1</v>
      </c>
      <c r="HB276" s="22">
        <v>1440</v>
      </c>
      <c r="HF276" s="18"/>
      <c r="HH276" s="11" t="s">
        <v>320</v>
      </c>
      <c r="HI276" s="11" t="s">
        <v>416</v>
      </c>
      <c r="HJ276" s="11">
        <v>2017</v>
      </c>
      <c r="HK276" s="11" t="s">
        <v>320</v>
      </c>
      <c r="HL276" s="11" t="s">
        <v>319</v>
      </c>
      <c r="HP276" s="11" t="s">
        <v>418</v>
      </c>
      <c r="HQ276" s="11" t="s">
        <v>319</v>
      </c>
      <c r="HR276" s="11" t="s">
        <v>319</v>
      </c>
      <c r="HS276" s="11" t="s">
        <v>319</v>
      </c>
      <c r="HT276" s="11" t="s">
        <v>320</v>
      </c>
      <c r="HU276" s="11" t="s">
        <v>319</v>
      </c>
      <c r="HV276" s="11" t="s">
        <v>319</v>
      </c>
      <c r="HW276" s="11" t="s">
        <v>319</v>
      </c>
      <c r="HZ276" s="12" t="s">
        <v>394</v>
      </c>
      <c r="IA276" s="11" t="s">
        <v>5051</v>
      </c>
      <c r="IB276" s="11" t="s">
        <v>667</v>
      </c>
      <c r="IC276" s="11" t="s">
        <v>5052</v>
      </c>
      <c r="ID276" s="12" t="s">
        <v>334</v>
      </c>
      <c r="IE276" s="11" t="s">
        <v>335</v>
      </c>
      <c r="IF276" s="11" t="s">
        <v>320</v>
      </c>
      <c r="IG276" s="11" t="s">
        <v>320</v>
      </c>
      <c r="IH276" s="11" t="s">
        <v>320</v>
      </c>
      <c r="II276" s="11" t="s">
        <v>320</v>
      </c>
      <c r="IJ276" s="12" t="str">
        <f t="shared" si="173"/>
        <v>2. Sensitive</v>
      </c>
      <c r="IK276" s="12">
        <f t="shared" si="174"/>
        <v>4</v>
      </c>
      <c r="IL276" s="11" t="s">
        <v>336</v>
      </c>
      <c r="IM276" s="11" t="s">
        <v>320</v>
      </c>
      <c r="IN276" s="11" t="s">
        <v>320</v>
      </c>
      <c r="IO276" s="11" t="s">
        <v>320</v>
      </c>
      <c r="IP276" s="11" t="s">
        <v>320</v>
      </c>
      <c r="IQ276" s="12" t="str">
        <f t="shared" si="175"/>
        <v>2. Accommodating</v>
      </c>
      <c r="IR276" s="12">
        <f t="shared" si="176"/>
        <v>4</v>
      </c>
      <c r="IS276" s="11" t="s">
        <v>337</v>
      </c>
      <c r="IT276" s="11" t="s">
        <v>320</v>
      </c>
      <c r="IU276" s="11" t="s">
        <v>320</v>
      </c>
      <c r="IV276" s="11" t="s">
        <v>320</v>
      </c>
      <c r="IW276" s="11" t="str">
        <f t="shared" si="177"/>
        <v>2. Sensitive</v>
      </c>
      <c r="IX276" s="12">
        <f t="shared" si="178"/>
        <v>3</v>
      </c>
      <c r="IY276" s="11" t="s">
        <v>419</v>
      </c>
      <c r="IZ276" s="12" t="s">
        <v>432</v>
      </c>
      <c r="JA276" s="11">
        <v>6</v>
      </c>
      <c r="JB276" s="12" t="s">
        <v>687</v>
      </c>
      <c r="JC276" s="12" t="s">
        <v>651</v>
      </c>
      <c r="JD276" s="12" t="s">
        <v>433</v>
      </c>
      <c r="JE276" s="12" t="s">
        <v>420</v>
      </c>
      <c r="JH276" s="11" t="s">
        <v>5053</v>
      </c>
      <c r="JI276" s="11" t="s">
        <v>5054</v>
      </c>
      <c r="JJ276" s="11" t="s">
        <v>5055</v>
      </c>
      <c r="JK276" s="11" t="s">
        <v>5056</v>
      </c>
      <c r="JL276" s="11" t="s">
        <v>5057</v>
      </c>
      <c r="JM276" s="11" t="s">
        <v>5058</v>
      </c>
      <c r="JN276" s="11" t="s">
        <v>5059</v>
      </c>
      <c r="JO276" s="11" t="s">
        <v>5060</v>
      </c>
      <c r="JP276" s="15">
        <f t="shared" si="179"/>
        <v>1799</v>
      </c>
      <c r="JQ276" s="15">
        <f t="shared" si="180"/>
        <v>3128</v>
      </c>
      <c r="JR276" s="279">
        <f t="shared" si="181"/>
        <v>1.7387437465258477</v>
      </c>
      <c r="JS276" s="17">
        <f t="shared" si="182"/>
        <v>0.45858810450250137</v>
      </c>
      <c r="JT276" s="18">
        <f t="shared" si="183"/>
        <v>0.48593350383631712</v>
      </c>
      <c r="JU276" s="280">
        <f t="shared" si="184"/>
        <v>825</v>
      </c>
      <c r="JV276" s="280">
        <f t="shared" si="185"/>
        <v>1520</v>
      </c>
      <c r="JW276" s="319" t="str">
        <f t="shared" si="186"/>
        <v/>
      </c>
      <c r="JX276" s="15">
        <f t="shared" si="187"/>
        <v>0</v>
      </c>
      <c r="JY276" s="15">
        <f t="shared" si="188"/>
        <v>0</v>
      </c>
      <c r="JZ276" s="19" t="str">
        <f t="shared" si="189"/>
        <v/>
      </c>
      <c r="KA276" s="52">
        <f t="shared" si="190"/>
        <v>1</v>
      </c>
      <c r="KB276" s="15">
        <f t="shared" si="191"/>
        <v>2400</v>
      </c>
      <c r="KC276" s="15">
        <f t="shared" si="192"/>
        <v>12000</v>
      </c>
      <c r="KD276" s="20">
        <f t="shared" si="193"/>
        <v>5</v>
      </c>
      <c r="KE276" s="52">
        <f t="shared" si="194"/>
        <v>1</v>
      </c>
      <c r="KF276" s="15">
        <f t="shared" si="195"/>
        <v>206</v>
      </c>
      <c r="KG276" s="15">
        <f t="shared" si="196"/>
        <v>824</v>
      </c>
      <c r="KH276" s="21">
        <f t="shared" si="197"/>
        <v>4</v>
      </c>
      <c r="KI276" s="52" t="str">
        <f t="shared" si="198"/>
        <v/>
      </c>
      <c r="KJ276" s="15">
        <f t="shared" si="199"/>
        <v>0</v>
      </c>
      <c r="KK276" s="15">
        <f t="shared" si="200"/>
        <v>0</v>
      </c>
      <c r="KL276" s="19" t="str">
        <f t="shared" si="201"/>
        <v/>
      </c>
      <c r="KM276" s="52">
        <f t="shared" si="202"/>
        <v>1</v>
      </c>
      <c r="KN276" s="22">
        <f t="shared" si="203"/>
        <v>240</v>
      </c>
      <c r="KO276" s="22">
        <f t="shared" si="204"/>
        <v>1440</v>
      </c>
      <c r="KP276" s="19">
        <f t="shared" si="205"/>
        <v>6</v>
      </c>
      <c r="KQ276" s="11" t="str">
        <f t="shared" si="206"/>
        <v>2. Sensitive</v>
      </c>
      <c r="KR276" s="11" t="str">
        <f t="shared" si="207"/>
        <v>2. Accommodating</v>
      </c>
      <c r="KS276" s="11" t="str">
        <f t="shared" si="208"/>
        <v>2. Sensitive</v>
      </c>
      <c r="KT276" s="11" t="str">
        <f t="shared" si="209"/>
        <v>It tested new ways for fighting poverty, but did not measure results of innovation</v>
      </c>
      <c r="KU276" s="11" t="str">
        <f t="shared" si="210"/>
        <v>Little or no advocacy</v>
      </c>
      <c r="KV276" s="11" t="str">
        <f t="shared" si="211"/>
        <v>It took tested solutions to scale on its own</v>
      </c>
      <c r="KW276" s="11" t="str">
        <f t="shared" si="212"/>
        <v>Guatemala - Tres Pasos para la Salud</v>
      </c>
      <c r="KX276" s="11" t="str">
        <f t="shared" si="213"/>
        <v>Tres Pasos para la Salud</v>
      </c>
      <c r="KY276" s="11" t="str">
        <f t="shared" si="214"/>
        <v>Guatemala</v>
      </c>
      <c r="KZ276" s="287">
        <v>276</v>
      </c>
    </row>
    <row r="277" spans="1:312" x14ac:dyDescent="0.3">
      <c r="A277" s="12" t="s">
        <v>5061</v>
      </c>
      <c r="B277" s="12" t="s">
        <v>2807</v>
      </c>
      <c r="C277" s="12"/>
      <c r="D277" s="12" t="s">
        <v>5181</v>
      </c>
      <c r="E277" s="277" t="str">
        <f t="shared" si="172"/>
        <v>Haiti</v>
      </c>
      <c r="F277" s="12" t="s">
        <v>5182</v>
      </c>
      <c r="G277" s="12" t="s">
        <v>714</v>
      </c>
      <c r="H277" s="11" t="s">
        <v>310</v>
      </c>
      <c r="I277" s="12" t="s">
        <v>907</v>
      </c>
      <c r="J277" s="281" t="s">
        <v>5183</v>
      </c>
      <c r="K277" s="12"/>
      <c r="L277" s="12"/>
      <c r="M277" s="12"/>
      <c r="N277" s="12"/>
      <c r="O277" s="12"/>
      <c r="P277" s="12"/>
      <c r="Q277" s="12"/>
      <c r="R277" s="12"/>
      <c r="S277" s="12"/>
      <c r="T277" s="12"/>
      <c r="U277" s="12"/>
      <c r="V277" s="12"/>
      <c r="W277" s="12"/>
      <c r="X277" s="12"/>
      <c r="Y277" s="12"/>
      <c r="Z277" s="12"/>
      <c r="AA277" s="12"/>
      <c r="AB277" s="12"/>
      <c r="AC277" s="12"/>
      <c r="AD277" s="12"/>
      <c r="BD277" s="13">
        <v>42712</v>
      </c>
      <c r="BE277" s="13">
        <v>43015</v>
      </c>
      <c r="BF277" s="12"/>
      <c r="BG277" s="12" t="s">
        <v>908</v>
      </c>
      <c r="BH277" s="14">
        <v>2661503</v>
      </c>
      <c r="BI277" s="12" t="s">
        <v>5082</v>
      </c>
      <c r="BJ277" s="12" t="s">
        <v>5083</v>
      </c>
      <c r="BK277" s="12" t="s">
        <v>5165</v>
      </c>
      <c r="BL277" s="12" t="s">
        <v>5110</v>
      </c>
      <c r="BM277" s="12" t="s">
        <v>5111</v>
      </c>
      <c r="BN277" s="12" t="s">
        <v>5168</v>
      </c>
      <c r="BO277" s="12" t="s">
        <v>320</v>
      </c>
      <c r="BP277" s="12" t="s">
        <v>319</v>
      </c>
      <c r="BQ277" s="12" t="s">
        <v>319</v>
      </c>
      <c r="BR277" s="12" t="s">
        <v>5184</v>
      </c>
      <c r="BS277" s="12" t="s">
        <v>357</v>
      </c>
      <c r="BT277" s="12" t="s">
        <v>5185</v>
      </c>
      <c r="BU277" s="12" t="s">
        <v>5114</v>
      </c>
      <c r="BV277" s="14">
        <v>6852</v>
      </c>
      <c r="BW277" s="14">
        <v>5664</v>
      </c>
      <c r="BX277" s="14">
        <v>12405</v>
      </c>
      <c r="BY277" s="14"/>
      <c r="BZ277" s="14"/>
      <c r="CA277" s="14"/>
      <c r="CB277" s="12" t="s">
        <v>5186</v>
      </c>
      <c r="CD277" s="14">
        <v>6457</v>
      </c>
      <c r="CE277" s="14">
        <v>5426</v>
      </c>
      <c r="CF277" s="14">
        <v>11883</v>
      </c>
      <c r="CG277" s="14"/>
      <c r="CH277" s="14"/>
      <c r="CI277" s="14"/>
      <c r="CJ277" s="12" t="s">
        <v>319</v>
      </c>
      <c r="CK277" s="14"/>
      <c r="CL277" s="16"/>
      <c r="CM277" s="14"/>
      <c r="CN277" s="12" t="s">
        <v>320</v>
      </c>
      <c r="CO277" s="14">
        <v>6800</v>
      </c>
      <c r="CP277" s="16"/>
      <c r="CQ277" s="14"/>
      <c r="CR277" s="12" t="s">
        <v>320</v>
      </c>
      <c r="CS277" s="14">
        <v>553</v>
      </c>
      <c r="CT277" s="16"/>
      <c r="CU277" s="14">
        <v>0</v>
      </c>
      <c r="CV277" s="12" t="s">
        <v>320</v>
      </c>
      <c r="CW277" s="14">
        <v>10145</v>
      </c>
      <c r="CX277" s="16"/>
      <c r="CY277" s="14"/>
      <c r="CZ277" s="12" t="s">
        <v>320</v>
      </c>
      <c r="DA277" s="14"/>
      <c r="DB277" s="16"/>
      <c r="DC277" s="14"/>
      <c r="DD277" s="11" t="s">
        <v>320</v>
      </c>
      <c r="DE277" s="14">
        <v>70</v>
      </c>
      <c r="DF277" s="16"/>
      <c r="DG277" s="14">
        <v>700</v>
      </c>
      <c r="DH277" s="12" t="s">
        <v>319</v>
      </c>
      <c r="DI277" s="14"/>
      <c r="DJ277" s="16"/>
      <c r="DK277" s="14"/>
      <c r="DL277" s="11" t="s">
        <v>320</v>
      </c>
      <c r="DM277" s="14">
        <v>1360</v>
      </c>
      <c r="DN277" s="16"/>
      <c r="DO277" s="14">
        <v>0</v>
      </c>
      <c r="DP277" s="12" t="s">
        <v>320</v>
      </c>
      <c r="DQ277" s="14">
        <v>70</v>
      </c>
      <c r="DR277" s="16"/>
      <c r="DS277" s="14">
        <v>700</v>
      </c>
      <c r="DT277" s="12" t="s">
        <v>319</v>
      </c>
      <c r="DU277" s="14"/>
      <c r="DV277" s="16"/>
      <c r="DW277" s="14"/>
      <c r="DX277" s="12" t="s">
        <v>320</v>
      </c>
      <c r="DY277" s="14">
        <v>5640</v>
      </c>
      <c r="DZ277" s="16"/>
      <c r="EA277" s="14"/>
      <c r="EB277" s="12" t="s">
        <v>319</v>
      </c>
      <c r="EC277" s="14">
        <v>0</v>
      </c>
      <c r="ED277" s="16"/>
      <c r="EE277" s="14">
        <v>0</v>
      </c>
      <c r="EF277" s="12"/>
      <c r="EG277" s="12" t="s">
        <v>319</v>
      </c>
      <c r="EH277" s="14"/>
      <c r="EI277" s="16"/>
      <c r="EJ277" s="14"/>
      <c r="EK277" s="14"/>
      <c r="EL277" s="14"/>
      <c r="EM277" s="14"/>
      <c r="EN277" s="14"/>
      <c r="EO277" s="14"/>
      <c r="EP277" s="14"/>
      <c r="EQ277" s="12"/>
      <c r="ER277" s="14"/>
      <c r="ES277" s="16"/>
      <c r="ET277" s="14"/>
      <c r="EU277" s="12"/>
      <c r="EV277" s="14"/>
      <c r="EW277" s="16"/>
      <c r="EX277" s="14"/>
      <c r="EY277" s="12"/>
      <c r="EZ277" s="14"/>
      <c r="FA277" s="16"/>
      <c r="FB277" s="14"/>
      <c r="FC277" s="12"/>
      <c r="FD277" s="14"/>
      <c r="FE277" s="16"/>
      <c r="FF277" s="14"/>
      <c r="FG277" s="12"/>
      <c r="FH277" s="14"/>
      <c r="FI277" s="16"/>
      <c r="FJ277" s="14"/>
      <c r="FK277" s="12"/>
      <c r="FL277" s="14"/>
      <c r="FM277" s="16"/>
      <c r="FN277" s="14"/>
      <c r="FO277" s="12"/>
      <c r="FP277" s="14"/>
      <c r="FQ277" s="16"/>
      <c r="FR277" s="14"/>
      <c r="FS277" s="12"/>
      <c r="FT277" s="14"/>
      <c r="FU277" s="16"/>
      <c r="FV277" s="14"/>
      <c r="FW277" s="12"/>
      <c r="FX277" s="14"/>
      <c r="FY277" s="16"/>
      <c r="FZ277" s="14"/>
      <c r="GA277" s="12"/>
      <c r="GB277" s="14"/>
      <c r="GC277" s="16"/>
      <c r="GD277" s="14"/>
      <c r="GE277" s="12"/>
      <c r="GF277" s="14"/>
      <c r="GG277" s="16"/>
      <c r="GH277" s="14"/>
      <c r="GI277" s="12"/>
      <c r="GJ277" s="14"/>
      <c r="GK277" s="16"/>
      <c r="GL277" s="14"/>
      <c r="GM277" s="12"/>
      <c r="GN277" s="14"/>
      <c r="GO277" s="16"/>
      <c r="GP277" s="14"/>
      <c r="GQ277" s="12"/>
      <c r="GR277" s="14"/>
      <c r="GS277" s="16"/>
      <c r="GT277" s="14"/>
      <c r="GU277" s="12"/>
      <c r="GV277" s="14"/>
      <c r="GW277" s="16"/>
      <c r="GX277" s="14"/>
      <c r="GY277" s="12"/>
      <c r="GZ277" s="14"/>
      <c r="HA277" s="16"/>
      <c r="HB277" s="14"/>
      <c r="HC277" s="12"/>
      <c r="HD277" s="12"/>
      <c r="HE277" s="14"/>
      <c r="HF277" s="16"/>
      <c r="HG277" s="14"/>
      <c r="HH277" s="12" t="s">
        <v>320</v>
      </c>
      <c r="HI277" s="12" t="s">
        <v>451</v>
      </c>
      <c r="HJ277" s="12">
        <v>2017</v>
      </c>
      <c r="HK277" s="12" t="s">
        <v>319</v>
      </c>
      <c r="HL277" s="12" t="s">
        <v>320</v>
      </c>
      <c r="HM277" s="12" t="s">
        <v>361</v>
      </c>
      <c r="HN277" s="12"/>
      <c r="HO277" s="12" t="s">
        <v>5187</v>
      </c>
      <c r="HP277" s="12" t="s">
        <v>418</v>
      </c>
      <c r="HQ277" s="12" t="s">
        <v>319</v>
      </c>
      <c r="HR277" s="12" t="s">
        <v>319</v>
      </c>
      <c r="HS277" s="12" t="s">
        <v>319</v>
      </c>
      <c r="HT277" s="12" t="s">
        <v>319</v>
      </c>
      <c r="HU277" s="12" t="s">
        <v>319</v>
      </c>
      <c r="HV277" s="12" t="s">
        <v>319</v>
      </c>
      <c r="HW277" s="12" t="s">
        <v>319</v>
      </c>
      <c r="HX277" s="12" t="s">
        <v>319</v>
      </c>
      <c r="HY277" s="12"/>
      <c r="HZ277" s="11" t="s">
        <v>363</v>
      </c>
      <c r="IA277" s="12"/>
      <c r="IB277" s="12" t="s">
        <v>396</v>
      </c>
      <c r="IC277" s="12" t="s">
        <v>5173</v>
      </c>
      <c r="ID277" s="12" t="s">
        <v>334</v>
      </c>
      <c r="IE277" s="12" t="s">
        <v>335</v>
      </c>
      <c r="IF277" s="12" t="s">
        <v>320</v>
      </c>
      <c r="IG277" s="12" t="s">
        <v>320</v>
      </c>
      <c r="IH277" s="12" t="s">
        <v>320</v>
      </c>
      <c r="II277" s="12" t="s">
        <v>320</v>
      </c>
      <c r="IJ277" s="12" t="str">
        <f t="shared" si="173"/>
        <v>2. Sensitive</v>
      </c>
      <c r="IK277" s="12">
        <f t="shared" si="174"/>
        <v>4</v>
      </c>
      <c r="IL277" s="12" t="s">
        <v>336</v>
      </c>
      <c r="IM277" s="12" t="s">
        <v>320</v>
      </c>
      <c r="IN277" s="12" t="s">
        <v>320</v>
      </c>
      <c r="IO277" s="12" t="s">
        <v>320</v>
      </c>
      <c r="IP277" s="12" t="s">
        <v>320</v>
      </c>
      <c r="IQ277" s="12" t="str">
        <f t="shared" si="175"/>
        <v>2. Accommodating</v>
      </c>
      <c r="IR277" s="12">
        <f t="shared" si="176"/>
        <v>4</v>
      </c>
      <c r="IS277" s="12" t="s">
        <v>337</v>
      </c>
      <c r="IT277" s="12" t="s">
        <v>320</v>
      </c>
      <c r="IU277" s="12" t="s">
        <v>320</v>
      </c>
      <c r="IV277" s="12" t="s">
        <v>320</v>
      </c>
      <c r="IW277" s="11" t="str">
        <f t="shared" si="177"/>
        <v>2. Sensitive</v>
      </c>
      <c r="IX277" s="12">
        <f t="shared" si="178"/>
        <v>3</v>
      </c>
      <c r="IY277" s="11" t="s">
        <v>419</v>
      </c>
      <c r="IZ277" s="11" t="s">
        <v>527</v>
      </c>
      <c r="JA277" s="12">
        <v>2</v>
      </c>
      <c r="JB277" s="11" t="s">
        <v>623</v>
      </c>
      <c r="JC277" s="11" t="s">
        <v>687</v>
      </c>
      <c r="JD277" s="11" t="s">
        <v>624</v>
      </c>
      <c r="JE277" s="12" t="s">
        <v>365</v>
      </c>
      <c r="JF277" s="12" t="s">
        <v>5096</v>
      </c>
      <c r="JG277" s="12" t="s">
        <v>5188</v>
      </c>
      <c r="JH277" s="12" t="s">
        <v>5098</v>
      </c>
      <c r="JI277" s="12" t="s">
        <v>5099</v>
      </c>
      <c r="JJ277" s="12" t="s">
        <v>5118</v>
      </c>
      <c r="JK277" s="12" t="s">
        <v>5101</v>
      </c>
      <c r="JL277" s="12" t="s">
        <v>5189</v>
      </c>
      <c r="JM277" s="12" t="s">
        <v>5103</v>
      </c>
      <c r="JN277" s="12"/>
      <c r="JO277" s="12"/>
      <c r="JP277" s="15">
        <f t="shared" si="179"/>
        <v>11883</v>
      </c>
      <c r="JQ277" s="15">
        <f t="shared" si="180"/>
        <v>0</v>
      </c>
      <c r="JR277" s="279">
        <f t="shared" si="181"/>
        <v>0</v>
      </c>
      <c r="JS277" s="17">
        <f t="shared" si="182"/>
        <v>0.54338130101826143</v>
      </c>
      <c r="JT277" s="18" t="str">
        <f t="shared" si="183"/>
        <v/>
      </c>
      <c r="JU277" s="280">
        <f t="shared" si="184"/>
        <v>6457</v>
      </c>
      <c r="JV277" s="280">
        <f t="shared" si="185"/>
        <v>0</v>
      </c>
      <c r="JW277" s="319">
        <f t="shared" si="186"/>
        <v>1</v>
      </c>
      <c r="JX277" s="15">
        <f t="shared" si="187"/>
        <v>11883</v>
      </c>
      <c r="JY277" s="15">
        <f t="shared" si="188"/>
        <v>0</v>
      </c>
      <c r="JZ277" s="19">
        <f t="shared" si="189"/>
        <v>0</v>
      </c>
      <c r="KA277" s="52">
        <f t="shared" si="190"/>
        <v>1</v>
      </c>
      <c r="KB277" s="15">
        <f t="shared" si="191"/>
        <v>10145</v>
      </c>
      <c r="KC277" s="15">
        <f t="shared" si="192"/>
        <v>0</v>
      </c>
      <c r="KD277" s="20">
        <f t="shared" si="193"/>
        <v>0</v>
      </c>
      <c r="KE277" s="52" t="str">
        <f t="shared" si="194"/>
        <v/>
      </c>
      <c r="KF277" s="15">
        <f t="shared" si="195"/>
        <v>0</v>
      </c>
      <c r="KG277" s="15">
        <f t="shared" si="196"/>
        <v>0</v>
      </c>
      <c r="KH277" s="21" t="str">
        <f t="shared" si="197"/>
        <v/>
      </c>
      <c r="KI277" s="52">
        <f t="shared" si="198"/>
        <v>1</v>
      </c>
      <c r="KJ277" s="15">
        <f t="shared" si="199"/>
        <v>0</v>
      </c>
      <c r="KK277" s="15">
        <f t="shared" si="200"/>
        <v>0</v>
      </c>
      <c r="KL277" s="19" t="str">
        <f t="shared" si="201"/>
        <v/>
      </c>
      <c r="KM277" s="52" t="str">
        <f t="shared" si="202"/>
        <v/>
      </c>
      <c r="KN277" s="22">
        <f t="shared" si="203"/>
        <v>0</v>
      </c>
      <c r="KO277" s="22">
        <f t="shared" si="204"/>
        <v>0</v>
      </c>
      <c r="KP277" s="19" t="str">
        <f t="shared" si="205"/>
        <v/>
      </c>
      <c r="KQ277" s="11" t="str">
        <f t="shared" si="206"/>
        <v>2. Sensitive</v>
      </c>
      <c r="KR277" s="11" t="str">
        <f t="shared" si="207"/>
        <v>2. Accommodating</v>
      </c>
      <c r="KS277" s="11" t="str">
        <f t="shared" si="208"/>
        <v>2. Sensitive</v>
      </c>
      <c r="KT277" s="11" t="str">
        <f t="shared" si="209"/>
        <v>It did not develop any specific innovation</v>
      </c>
      <c r="KU277" s="11" t="str">
        <f t="shared" si="210"/>
        <v>Little or no advocacy</v>
      </c>
      <c r="KV277" s="11" t="str">
        <f t="shared" si="211"/>
        <v>It linked and worked with strategic alliances and partners to take tested and effective solutions to scale</v>
      </c>
      <c r="KW277" s="11" t="str">
        <f t="shared" si="212"/>
        <v>Haiti - Assistance durgence à la sécurité alimentaire, Education Abris aux personnes vulnérables affectées par lOuragan Matthew dans la Grande Anse</v>
      </c>
      <c r="KX277" s="11" t="str">
        <f t="shared" si="213"/>
        <v>Assistance durgence à la sécurité alimentaire, Education Abris aux personnes vulnérables affectées par lOuragan Matthew dans la Grande Anse</v>
      </c>
      <c r="KY277" s="11" t="str">
        <f t="shared" si="214"/>
        <v>Haiti</v>
      </c>
      <c r="KZ277" s="12">
        <v>277</v>
      </c>
    </row>
    <row r="278" spans="1:312" x14ac:dyDescent="0.3">
      <c r="A278" s="12" t="s">
        <v>5061</v>
      </c>
      <c r="B278" s="12" t="s">
        <v>2807</v>
      </c>
      <c r="C278" s="12">
        <v>3575</v>
      </c>
      <c r="D278" s="12" t="s">
        <v>5161</v>
      </c>
      <c r="E278" s="277" t="str">
        <f t="shared" si="172"/>
        <v>Haiti</v>
      </c>
      <c r="F278" s="12" t="s">
        <v>5162</v>
      </c>
      <c r="G278" s="12" t="s">
        <v>379</v>
      </c>
      <c r="H278" s="11" t="s">
        <v>310</v>
      </c>
      <c r="I278" s="12" t="s">
        <v>655</v>
      </c>
      <c r="J278" s="281" t="s">
        <v>4991</v>
      </c>
      <c r="K278" s="12"/>
      <c r="L278" s="12"/>
      <c r="M278" s="12"/>
      <c r="N278" s="12"/>
      <c r="O278" s="12"/>
      <c r="P278" s="12"/>
      <c r="Q278" s="12"/>
      <c r="R278" s="12"/>
      <c r="S278" s="12"/>
      <c r="T278" s="12"/>
      <c r="U278" s="12"/>
      <c r="V278" s="12"/>
      <c r="W278" s="12"/>
      <c r="X278" s="12"/>
      <c r="Y278" s="12"/>
      <c r="Z278" s="12"/>
      <c r="AA278" s="12"/>
      <c r="AB278" s="12"/>
      <c r="AC278" s="12"/>
      <c r="AD278" s="12"/>
      <c r="BD278" s="12"/>
      <c r="BE278" s="12"/>
      <c r="BF278" s="12"/>
      <c r="BG278" s="12" t="s">
        <v>908</v>
      </c>
      <c r="BH278" s="14">
        <v>5888597</v>
      </c>
      <c r="BI278" s="12" t="s">
        <v>5163</v>
      </c>
      <c r="BJ278" s="12" t="s">
        <v>5164</v>
      </c>
      <c r="BK278" s="12" t="s">
        <v>5165</v>
      </c>
      <c r="BL278" s="12" t="s">
        <v>5166</v>
      </c>
      <c r="BM278" s="12" t="s">
        <v>5167</v>
      </c>
      <c r="BN278" s="12" t="s">
        <v>5168</v>
      </c>
      <c r="BO278" s="12" t="s">
        <v>320</v>
      </c>
      <c r="BP278" s="12" t="s">
        <v>319</v>
      </c>
      <c r="BQ278" s="12" t="s">
        <v>319</v>
      </c>
      <c r="BR278" s="12" t="s">
        <v>5169</v>
      </c>
      <c r="BS278" s="12" t="s">
        <v>357</v>
      </c>
      <c r="BT278" s="12" t="s">
        <v>5170</v>
      </c>
      <c r="BU278" s="12" t="s">
        <v>5171</v>
      </c>
      <c r="BV278" s="14"/>
      <c r="BW278" s="14"/>
      <c r="BX278" s="14">
        <v>14785</v>
      </c>
      <c r="BY278" s="14"/>
      <c r="BZ278" s="14"/>
      <c r="CA278" s="14">
        <v>69490</v>
      </c>
      <c r="CB278" s="12" t="s">
        <v>5172</v>
      </c>
      <c r="CD278" s="14">
        <v>5767</v>
      </c>
      <c r="CE278" s="14">
        <v>8298</v>
      </c>
      <c r="CF278" s="14">
        <v>14065</v>
      </c>
      <c r="CG278" s="14"/>
      <c r="CH278" s="14"/>
      <c r="CI278" s="14">
        <v>66106</v>
      </c>
      <c r="CJ278" s="12" t="s">
        <v>319</v>
      </c>
      <c r="CK278" s="14"/>
      <c r="CL278" s="16"/>
      <c r="CM278" s="14"/>
      <c r="CN278" s="12" t="s">
        <v>319</v>
      </c>
      <c r="CO278" s="14"/>
      <c r="CP278" s="16"/>
      <c r="CQ278" s="14"/>
      <c r="CR278" s="12" t="s">
        <v>319</v>
      </c>
      <c r="CS278" s="14"/>
      <c r="CT278" s="16"/>
      <c r="CU278" s="14"/>
      <c r="CV278" s="12" t="s">
        <v>320</v>
      </c>
      <c r="CW278" s="14">
        <v>14065</v>
      </c>
      <c r="CX278" s="16">
        <v>0.41</v>
      </c>
      <c r="CY278" s="14">
        <v>66106</v>
      </c>
      <c r="CZ278" s="12" t="s">
        <v>319</v>
      </c>
      <c r="DA278" s="14"/>
      <c r="DB278" s="16"/>
      <c r="DC278" s="14"/>
      <c r="DD278" s="12" t="s">
        <v>319</v>
      </c>
      <c r="DE278" s="14"/>
      <c r="DF278" s="16"/>
      <c r="DG278" s="14"/>
      <c r="DH278" s="12" t="s">
        <v>319</v>
      </c>
      <c r="DI278" s="14"/>
      <c r="DJ278" s="16"/>
      <c r="DK278" s="14"/>
      <c r="DL278" s="12" t="s">
        <v>319</v>
      </c>
      <c r="DM278" s="14"/>
      <c r="DN278" s="16"/>
      <c r="DO278" s="14"/>
      <c r="DP278" s="12" t="s">
        <v>319</v>
      </c>
      <c r="DQ278" s="14"/>
      <c r="DR278" s="16"/>
      <c r="DS278" s="14"/>
      <c r="DT278" s="12" t="s">
        <v>319</v>
      </c>
      <c r="DU278" s="14"/>
      <c r="DV278" s="16"/>
      <c r="DW278" s="14"/>
      <c r="DX278" s="12" t="s">
        <v>319</v>
      </c>
      <c r="DY278" s="14"/>
      <c r="DZ278" s="16"/>
      <c r="EA278" s="14"/>
      <c r="EB278" s="11" t="s">
        <v>320</v>
      </c>
      <c r="EC278" s="14">
        <v>14065</v>
      </c>
      <c r="ED278" s="16">
        <v>0.41</v>
      </c>
      <c r="EE278" s="14">
        <v>66106</v>
      </c>
      <c r="EF278" s="12"/>
      <c r="EG278" s="12" t="s">
        <v>319</v>
      </c>
      <c r="EH278" s="14"/>
      <c r="EI278" s="16"/>
      <c r="EJ278" s="14"/>
      <c r="EK278" s="14"/>
      <c r="EL278" s="14"/>
      <c r="EM278" s="14"/>
      <c r="EN278" s="14"/>
      <c r="EO278" s="14"/>
      <c r="EP278" s="14"/>
      <c r="EQ278" s="12"/>
      <c r="ER278" s="14"/>
      <c r="ES278" s="16"/>
      <c r="ET278" s="14"/>
      <c r="EU278" s="12"/>
      <c r="EV278" s="14"/>
      <c r="EW278" s="16"/>
      <c r="EX278" s="14"/>
      <c r="EY278" s="12"/>
      <c r="EZ278" s="14"/>
      <c r="FA278" s="16"/>
      <c r="FB278" s="14"/>
      <c r="FC278" s="12"/>
      <c r="FD278" s="14"/>
      <c r="FE278" s="16"/>
      <c r="FF278" s="14"/>
      <c r="FG278" s="12"/>
      <c r="FH278" s="14"/>
      <c r="FI278" s="16"/>
      <c r="FJ278" s="14"/>
      <c r="FK278" s="12"/>
      <c r="FL278" s="14"/>
      <c r="FM278" s="16"/>
      <c r="FN278" s="14"/>
      <c r="FO278" s="12"/>
      <c r="FP278" s="14"/>
      <c r="FQ278" s="16"/>
      <c r="FR278" s="14"/>
      <c r="FS278" s="12"/>
      <c r="FT278" s="14"/>
      <c r="FU278" s="16"/>
      <c r="FV278" s="14"/>
      <c r="FW278" s="12"/>
      <c r="FX278" s="14"/>
      <c r="FY278" s="16"/>
      <c r="FZ278" s="14"/>
      <c r="GA278" s="12"/>
      <c r="GB278" s="14"/>
      <c r="GC278" s="16"/>
      <c r="GD278" s="14"/>
      <c r="GE278" s="12"/>
      <c r="GF278" s="14"/>
      <c r="GG278" s="16"/>
      <c r="GH278" s="14"/>
      <c r="GI278" s="12"/>
      <c r="GJ278" s="14"/>
      <c r="GK278" s="16"/>
      <c r="GL278" s="14"/>
      <c r="GM278" s="12"/>
      <c r="GN278" s="14"/>
      <c r="GO278" s="16"/>
      <c r="GP278" s="14"/>
      <c r="GQ278" s="12"/>
      <c r="GR278" s="14"/>
      <c r="GS278" s="16"/>
      <c r="GT278" s="14"/>
      <c r="GU278" s="12"/>
      <c r="GV278" s="14"/>
      <c r="GW278" s="16"/>
      <c r="GX278" s="14"/>
      <c r="GY278" s="12"/>
      <c r="GZ278" s="14"/>
      <c r="HA278" s="16"/>
      <c r="HB278" s="14"/>
      <c r="HC278" s="12"/>
      <c r="HD278" s="12"/>
      <c r="HE278" s="14"/>
      <c r="HF278" s="16"/>
      <c r="HG278" s="14"/>
      <c r="HH278" s="12" t="s">
        <v>320</v>
      </c>
      <c r="HI278" s="12" t="s">
        <v>327</v>
      </c>
      <c r="HJ278" s="12">
        <v>2016</v>
      </c>
      <c r="HK278" s="12" t="s">
        <v>319</v>
      </c>
      <c r="HL278" s="12" t="s">
        <v>319</v>
      </c>
      <c r="HM278" s="12"/>
      <c r="HN278" s="12"/>
      <c r="HO278" s="12"/>
      <c r="HP278" s="12" t="s">
        <v>418</v>
      </c>
      <c r="HQ278" s="12" t="s">
        <v>319</v>
      </c>
      <c r="HR278" s="12" t="s">
        <v>319</v>
      </c>
      <c r="HS278" s="12" t="s">
        <v>319</v>
      </c>
      <c r="HT278" s="12" t="s">
        <v>319</v>
      </c>
      <c r="HU278" s="12" t="s">
        <v>319</v>
      </c>
      <c r="HV278" s="12" t="s">
        <v>319</v>
      </c>
      <c r="HW278" s="12" t="s">
        <v>319</v>
      </c>
      <c r="HX278" s="12" t="s">
        <v>319</v>
      </c>
      <c r="HY278" s="12"/>
      <c r="HZ278" s="11" t="s">
        <v>363</v>
      </c>
      <c r="IA278" s="12"/>
      <c r="IB278" s="12" t="s">
        <v>396</v>
      </c>
      <c r="IC278" s="12" t="s">
        <v>5173</v>
      </c>
      <c r="ID278" s="12" t="s">
        <v>334</v>
      </c>
      <c r="IE278" s="12" t="s">
        <v>335</v>
      </c>
      <c r="IF278" s="12" t="s">
        <v>320</v>
      </c>
      <c r="IG278" s="12" t="s">
        <v>320</v>
      </c>
      <c r="IH278" s="12" t="s">
        <v>320</v>
      </c>
      <c r="II278" s="12" t="s">
        <v>320</v>
      </c>
      <c r="IJ278" s="12" t="str">
        <f t="shared" si="173"/>
        <v>2. Sensitive</v>
      </c>
      <c r="IK278" s="12">
        <f t="shared" si="174"/>
        <v>4</v>
      </c>
      <c r="IL278" s="12" t="s">
        <v>336</v>
      </c>
      <c r="IM278" s="12" t="s">
        <v>320</v>
      </c>
      <c r="IN278" s="12" t="s">
        <v>320</v>
      </c>
      <c r="IO278" s="12" t="s">
        <v>320</v>
      </c>
      <c r="IP278" s="12" t="s">
        <v>320</v>
      </c>
      <c r="IQ278" s="12" t="str">
        <f t="shared" si="175"/>
        <v>2. Accommodating</v>
      </c>
      <c r="IR278" s="12">
        <f t="shared" si="176"/>
        <v>4</v>
      </c>
      <c r="IS278" s="12" t="s">
        <v>337</v>
      </c>
      <c r="IT278" s="12" t="s">
        <v>320</v>
      </c>
      <c r="IU278" s="12" t="s">
        <v>320</v>
      </c>
      <c r="IV278" s="12" t="s">
        <v>320</v>
      </c>
      <c r="IW278" s="11" t="str">
        <f t="shared" si="177"/>
        <v>2. Sensitive</v>
      </c>
      <c r="IX278" s="12">
        <f t="shared" si="178"/>
        <v>3</v>
      </c>
      <c r="IY278" s="11" t="s">
        <v>419</v>
      </c>
      <c r="IZ278" s="11" t="s">
        <v>527</v>
      </c>
      <c r="JA278" s="12">
        <v>2</v>
      </c>
      <c r="JB278" s="11" t="s">
        <v>623</v>
      </c>
      <c r="JC278" s="11" t="s">
        <v>687</v>
      </c>
      <c r="JD278" s="11" t="s">
        <v>624</v>
      </c>
      <c r="JE278" s="12" t="s">
        <v>365</v>
      </c>
      <c r="JF278" s="12" t="s">
        <v>5174</v>
      </c>
      <c r="JG278" s="12"/>
      <c r="JH278" s="12" t="s">
        <v>5175</v>
      </c>
      <c r="JI278" s="12" t="s">
        <v>5176</v>
      </c>
      <c r="JJ278" s="12" t="s">
        <v>5177</v>
      </c>
      <c r="JK278" s="12" t="s">
        <v>5178</v>
      </c>
      <c r="JL278" s="12" t="s">
        <v>5179</v>
      </c>
      <c r="JM278" s="12" t="s">
        <v>5180</v>
      </c>
      <c r="JN278" s="12"/>
      <c r="JO278" s="12"/>
      <c r="JP278" s="15">
        <f t="shared" si="179"/>
        <v>14065</v>
      </c>
      <c r="JQ278" s="15">
        <f t="shared" si="180"/>
        <v>66106</v>
      </c>
      <c r="JR278" s="279">
        <f t="shared" si="181"/>
        <v>4.7000355492356913</v>
      </c>
      <c r="JS278" s="17">
        <f t="shared" si="182"/>
        <v>0.41002488446498403</v>
      </c>
      <c r="JT278" s="18">
        <f t="shared" si="183"/>
        <v>0</v>
      </c>
      <c r="JU278" s="280">
        <f t="shared" si="184"/>
        <v>5767</v>
      </c>
      <c r="JV278" s="280">
        <f t="shared" si="185"/>
        <v>0</v>
      </c>
      <c r="JW278" s="319">
        <f t="shared" si="186"/>
        <v>1</v>
      </c>
      <c r="JX278" s="15">
        <f t="shared" si="187"/>
        <v>14065</v>
      </c>
      <c r="JY278" s="15">
        <f t="shared" si="188"/>
        <v>66106</v>
      </c>
      <c r="JZ278" s="19">
        <f t="shared" si="189"/>
        <v>4.7000355492356913</v>
      </c>
      <c r="KA278" s="52">
        <f t="shared" si="190"/>
        <v>1</v>
      </c>
      <c r="KB278" s="15">
        <f t="shared" si="191"/>
        <v>14065</v>
      </c>
      <c r="KC278" s="15">
        <f t="shared" si="192"/>
        <v>66106</v>
      </c>
      <c r="KD278" s="20">
        <f t="shared" si="193"/>
        <v>4.7000355492356913</v>
      </c>
      <c r="KE278" s="52" t="str">
        <f t="shared" si="194"/>
        <v/>
      </c>
      <c r="KF278" s="15">
        <f t="shared" si="195"/>
        <v>0</v>
      </c>
      <c r="KG278" s="15">
        <f t="shared" si="196"/>
        <v>0</v>
      </c>
      <c r="KH278" s="21" t="str">
        <f t="shared" si="197"/>
        <v/>
      </c>
      <c r="KI278" s="52" t="str">
        <f t="shared" si="198"/>
        <v/>
      </c>
      <c r="KJ278" s="15">
        <f t="shared" si="199"/>
        <v>0</v>
      </c>
      <c r="KK278" s="15">
        <f t="shared" si="200"/>
        <v>0</v>
      </c>
      <c r="KL278" s="19" t="str">
        <f t="shared" si="201"/>
        <v/>
      </c>
      <c r="KM278" s="52" t="str">
        <f t="shared" si="202"/>
        <v/>
      </c>
      <c r="KN278" s="22">
        <f t="shared" si="203"/>
        <v>0</v>
      </c>
      <c r="KO278" s="22">
        <f t="shared" si="204"/>
        <v>0</v>
      </c>
      <c r="KP278" s="19" t="str">
        <f t="shared" si="205"/>
        <v/>
      </c>
      <c r="KQ278" s="11" t="str">
        <f t="shared" si="206"/>
        <v>2. Sensitive</v>
      </c>
      <c r="KR278" s="11" t="str">
        <f t="shared" si="207"/>
        <v>2. Accommodating</v>
      </c>
      <c r="KS278" s="11" t="str">
        <f t="shared" si="208"/>
        <v>2. Sensitive</v>
      </c>
      <c r="KT278" s="11" t="str">
        <f t="shared" si="209"/>
        <v>It did not develop any specific innovation</v>
      </c>
      <c r="KU278" s="11" t="str">
        <f t="shared" si="210"/>
        <v>Little or no advocacy</v>
      </c>
      <c r="KV278" s="11" t="str">
        <f t="shared" si="211"/>
        <v>It linked and worked with strategic alliances and partners to take tested and effective solutions to scale</v>
      </c>
      <c r="KW278" s="11" t="str">
        <f t="shared" si="212"/>
        <v>Haiti - Assistance Sociale dUrgence Sécheresse</v>
      </c>
      <c r="KX278" s="11" t="str">
        <f t="shared" si="213"/>
        <v>Assistance Sociale dUrgence Sécheresse</v>
      </c>
      <c r="KY278" s="11" t="str">
        <f t="shared" si="214"/>
        <v>Haiti</v>
      </c>
      <c r="KZ278" s="287">
        <v>278</v>
      </c>
    </row>
    <row r="279" spans="1:312" x14ac:dyDescent="0.3">
      <c r="A279" s="12" t="s">
        <v>5061</v>
      </c>
      <c r="B279" s="12" t="s">
        <v>2807</v>
      </c>
      <c r="C279" s="12"/>
      <c r="D279" s="12" t="s">
        <v>5080</v>
      </c>
      <c r="E279" s="277" t="str">
        <f t="shared" si="172"/>
        <v>Haiti</v>
      </c>
      <c r="F279" s="12" t="s">
        <v>5081</v>
      </c>
      <c r="G279" s="12" t="s">
        <v>379</v>
      </c>
      <c r="H279" s="11" t="s">
        <v>310</v>
      </c>
      <c r="I279" s="12" t="s">
        <v>655</v>
      </c>
      <c r="J279" s="281" t="s">
        <v>4991</v>
      </c>
      <c r="K279" s="12"/>
      <c r="L279" s="12"/>
      <c r="M279" s="12"/>
      <c r="N279" s="12"/>
      <c r="O279" s="12"/>
      <c r="P279" s="12"/>
      <c r="Q279" s="12"/>
      <c r="R279" s="12"/>
      <c r="S279" s="12"/>
      <c r="T279" s="12"/>
      <c r="U279" s="12"/>
      <c r="V279" s="12"/>
      <c r="W279" s="12"/>
      <c r="X279" s="12"/>
      <c r="Y279" s="12"/>
      <c r="Z279" s="12"/>
      <c r="AA279" s="12"/>
      <c r="AB279" s="12"/>
      <c r="AC279" s="12"/>
      <c r="AD279" s="12"/>
      <c r="BD279" s="13">
        <v>42660</v>
      </c>
      <c r="BE279" s="13">
        <v>42782</v>
      </c>
      <c r="BF279" s="13">
        <v>42979</v>
      </c>
      <c r="BG279" s="12" t="s">
        <v>908</v>
      </c>
      <c r="BH279" s="14">
        <v>14421000</v>
      </c>
      <c r="BI279" s="12" t="s">
        <v>5082</v>
      </c>
      <c r="BJ279" s="12" t="s">
        <v>5083</v>
      </c>
      <c r="BK279" s="12" t="s">
        <v>5084</v>
      </c>
      <c r="BL279" s="12" t="s">
        <v>5085</v>
      </c>
      <c r="BM279" s="12" t="s">
        <v>5086</v>
      </c>
      <c r="BN279" s="12" t="s">
        <v>5087</v>
      </c>
      <c r="BO279" s="12" t="s">
        <v>320</v>
      </c>
      <c r="BP279" s="12" t="s">
        <v>319</v>
      </c>
      <c r="BQ279" s="12" t="s">
        <v>319</v>
      </c>
      <c r="BR279" s="12" t="s">
        <v>5088</v>
      </c>
      <c r="BS279" s="12" t="s">
        <v>357</v>
      </c>
      <c r="BT279" s="12" t="s">
        <v>5089</v>
      </c>
      <c r="BU279" s="12" t="s">
        <v>5090</v>
      </c>
      <c r="BV279" s="14"/>
      <c r="BW279" s="14"/>
      <c r="BX279" s="14">
        <v>482916</v>
      </c>
      <c r="BY279" s="14"/>
      <c r="BZ279" s="14"/>
      <c r="CA279" s="14">
        <v>120729</v>
      </c>
      <c r="CB279" s="12" t="s">
        <v>5091</v>
      </c>
      <c r="CD279" s="14"/>
      <c r="CE279" s="14"/>
      <c r="CF279" s="14">
        <v>484502</v>
      </c>
      <c r="CG279" s="14"/>
      <c r="CH279" s="14"/>
      <c r="CI279" s="14">
        <v>120729</v>
      </c>
      <c r="CJ279" s="12" t="s">
        <v>319</v>
      </c>
      <c r="CK279" s="14"/>
      <c r="CL279" s="16"/>
      <c r="CM279" s="14"/>
      <c r="CN279" s="12" t="s">
        <v>320</v>
      </c>
      <c r="CO279" s="14">
        <v>484502</v>
      </c>
      <c r="CP279" s="16"/>
      <c r="CQ279" s="14"/>
      <c r="CR279" s="12" t="s">
        <v>319</v>
      </c>
      <c r="CS279" s="14"/>
      <c r="CT279" s="16"/>
      <c r="CU279" s="14"/>
      <c r="CV279" s="12" t="s">
        <v>320</v>
      </c>
      <c r="CW279" s="14">
        <v>484502</v>
      </c>
      <c r="CX279" s="16"/>
      <c r="CY279" s="14">
        <v>120729</v>
      </c>
      <c r="CZ279" s="12" t="s">
        <v>319</v>
      </c>
      <c r="DA279" s="14"/>
      <c r="DB279" s="16"/>
      <c r="DC279" s="14"/>
      <c r="DD279" s="12" t="s">
        <v>319</v>
      </c>
      <c r="DE279" s="14"/>
      <c r="DF279" s="16"/>
      <c r="DG279" s="14"/>
      <c r="DH279" s="11" t="s">
        <v>319</v>
      </c>
      <c r="DI279" s="14"/>
      <c r="DJ279" s="16"/>
      <c r="DK279" s="14"/>
      <c r="DL279" s="11" t="s">
        <v>320</v>
      </c>
      <c r="DM279" s="14">
        <v>484502</v>
      </c>
      <c r="DN279" s="16"/>
      <c r="DO279" s="14"/>
      <c r="DP279" s="12" t="s">
        <v>319</v>
      </c>
      <c r="DQ279" s="14"/>
      <c r="DR279" s="16"/>
      <c r="DS279" s="14"/>
      <c r="DT279" s="12" t="s">
        <v>319</v>
      </c>
      <c r="DU279" s="14"/>
      <c r="DV279" s="16"/>
      <c r="DW279" s="14"/>
      <c r="DX279" s="12" t="s">
        <v>319</v>
      </c>
      <c r="DY279" s="14"/>
      <c r="DZ279" s="16"/>
      <c r="EA279" s="14"/>
      <c r="EB279" s="12" t="s">
        <v>319</v>
      </c>
      <c r="EC279" s="14"/>
      <c r="ED279" s="16"/>
      <c r="EE279" s="14"/>
      <c r="EF279" s="12"/>
      <c r="EG279" s="12" t="s">
        <v>319</v>
      </c>
      <c r="EH279" s="14"/>
      <c r="EI279" s="16"/>
      <c r="EJ279" s="14"/>
      <c r="EK279" s="14"/>
      <c r="EL279" s="14"/>
      <c r="EM279" s="14"/>
      <c r="EN279" s="14"/>
      <c r="EO279" s="14"/>
      <c r="EP279" s="14"/>
      <c r="EQ279" s="12"/>
      <c r="ER279" s="14"/>
      <c r="ES279" s="16"/>
      <c r="ET279" s="14"/>
      <c r="EU279" s="12"/>
      <c r="EV279" s="14"/>
      <c r="EW279" s="16"/>
      <c r="EX279" s="14"/>
      <c r="EY279" s="12"/>
      <c r="EZ279" s="14"/>
      <c r="FA279" s="16"/>
      <c r="FB279" s="14"/>
      <c r="FC279" s="12"/>
      <c r="FD279" s="14"/>
      <c r="FE279" s="16"/>
      <c r="FF279" s="14"/>
      <c r="FG279" s="12"/>
      <c r="FH279" s="14"/>
      <c r="FI279" s="16"/>
      <c r="FJ279" s="14"/>
      <c r="FK279" s="12"/>
      <c r="FL279" s="14"/>
      <c r="FM279" s="16"/>
      <c r="FN279" s="14"/>
      <c r="FO279" s="12"/>
      <c r="FP279" s="14"/>
      <c r="FQ279" s="16"/>
      <c r="FR279" s="14"/>
      <c r="FS279" s="12"/>
      <c r="FT279" s="14"/>
      <c r="FU279" s="16"/>
      <c r="FV279" s="14"/>
      <c r="FW279" s="12"/>
      <c r="FX279" s="14"/>
      <c r="FY279" s="16"/>
      <c r="FZ279" s="14"/>
      <c r="GA279" s="12"/>
      <c r="GB279" s="14"/>
      <c r="GC279" s="16"/>
      <c r="GD279" s="14"/>
      <c r="GE279" s="12"/>
      <c r="GF279" s="14"/>
      <c r="GG279" s="16"/>
      <c r="GH279" s="14"/>
      <c r="GI279" s="12"/>
      <c r="GJ279" s="14"/>
      <c r="GK279" s="16"/>
      <c r="GL279" s="14"/>
      <c r="GM279" s="12"/>
      <c r="GN279" s="14"/>
      <c r="GO279" s="16"/>
      <c r="GP279" s="14"/>
      <c r="GQ279" s="12"/>
      <c r="GR279" s="14"/>
      <c r="GS279" s="16"/>
      <c r="GT279" s="14"/>
      <c r="GU279" s="12"/>
      <c r="GV279" s="14"/>
      <c r="GW279" s="16"/>
      <c r="GX279" s="14"/>
      <c r="GY279" s="12"/>
      <c r="GZ279" s="14"/>
      <c r="HA279" s="16"/>
      <c r="HB279" s="14"/>
      <c r="HC279" s="12"/>
      <c r="HD279" s="12"/>
      <c r="HE279" s="14"/>
      <c r="HF279" s="16"/>
      <c r="HG279" s="14"/>
      <c r="HH279" s="12" t="s">
        <v>320</v>
      </c>
      <c r="HI279" s="12" t="s">
        <v>560</v>
      </c>
      <c r="HJ279" s="12">
        <v>2017</v>
      </c>
      <c r="HK279" s="12" t="s">
        <v>319</v>
      </c>
      <c r="HL279" s="12" t="s">
        <v>320</v>
      </c>
      <c r="HM279" s="12" t="s">
        <v>415</v>
      </c>
      <c r="HN279" s="12">
        <v>2017</v>
      </c>
      <c r="HO279" s="12" t="s">
        <v>5092</v>
      </c>
      <c r="HP279" s="12" t="s">
        <v>330</v>
      </c>
      <c r="HQ279" s="12" t="s">
        <v>319</v>
      </c>
      <c r="HR279" s="12" t="s">
        <v>319</v>
      </c>
      <c r="HS279" s="12" t="s">
        <v>319</v>
      </c>
      <c r="HT279" s="12" t="s">
        <v>319</v>
      </c>
      <c r="HU279" s="12" t="s">
        <v>319</v>
      </c>
      <c r="HV279" s="12" t="s">
        <v>319</v>
      </c>
      <c r="HW279" s="12" t="s">
        <v>319</v>
      </c>
      <c r="HX279" s="12" t="s">
        <v>320</v>
      </c>
      <c r="HY279" s="12" t="s">
        <v>5093</v>
      </c>
      <c r="HZ279" s="11" t="s">
        <v>394</v>
      </c>
      <c r="IA279" s="12" t="s">
        <v>5094</v>
      </c>
      <c r="IB279" s="12" t="s">
        <v>396</v>
      </c>
      <c r="IC279" s="12" t="s">
        <v>5095</v>
      </c>
      <c r="ID279" s="12" t="s">
        <v>334</v>
      </c>
      <c r="IE279" s="12" t="s">
        <v>335</v>
      </c>
      <c r="IF279" s="12" t="s">
        <v>320</v>
      </c>
      <c r="IG279" s="12" t="s">
        <v>320</v>
      </c>
      <c r="IH279" s="12" t="s">
        <v>320</v>
      </c>
      <c r="II279" s="12" t="s">
        <v>320</v>
      </c>
      <c r="IJ279" s="12" t="str">
        <f t="shared" si="173"/>
        <v>2. Sensitive</v>
      </c>
      <c r="IK279" s="12">
        <f t="shared" si="174"/>
        <v>4</v>
      </c>
      <c r="IL279" s="12" t="s">
        <v>336</v>
      </c>
      <c r="IM279" s="12" t="s">
        <v>320</v>
      </c>
      <c r="IN279" s="12" t="s">
        <v>320</v>
      </c>
      <c r="IO279" s="12" t="s">
        <v>320</v>
      </c>
      <c r="IP279" s="12" t="s">
        <v>320</v>
      </c>
      <c r="IQ279" s="12" t="str">
        <f t="shared" si="175"/>
        <v>2. Accommodating</v>
      </c>
      <c r="IR279" s="12">
        <f t="shared" si="176"/>
        <v>4</v>
      </c>
      <c r="IS279" s="12" t="s">
        <v>337</v>
      </c>
      <c r="IT279" s="12" t="s">
        <v>320</v>
      </c>
      <c r="IU279" s="12" t="s">
        <v>320</v>
      </c>
      <c r="IV279" s="12" t="s">
        <v>320</v>
      </c>
      <c r="IW279" s="11" t="str">
        <f t="shared" si="177"/>
        <v>2. Sensitive</v>
      </c>
      <c r="IX279" s="12">
        <f t="shared" si="178"/>
        <v>3</v>
      </c>
      <c r="IY279" s="11" t="s">
        <v>419</v>
      </c>
      <c r="IZ279" s="12" t="s">
        <v>457</v>
      </c>
      <c r="JA279" s="12">
        <v>5</v>
      </c>
      <c r="JB279" s="11" t="s">
        <v>623</v>
      </c>
      <c r="JC279" s="11" t="s">
        <v>831</v>
      </c>
      <c r="JD279" s="11" t="s">
        <v>687</v>
      </c>
      <c r="JE279" s="12" t="s">
        <v>365</v>
      </c>
      <c r="JF279" s="12" t="s">
        <v>5096</v>
      </c>
      <c r="JG279" s="12" t="s">
        <v>5097</v>
      </c>
      <c r="JH279" s="12" t="s">
        <v>5098</v>
      </c>
      <c r="JI279" s="12" t="s">
        <v>5099</v>
      </c>
      <c r="JJ279" s="12" t="s">
        <v>5100</v>
      </c>
      <c r="JK279" s="12" t="s">
        <v>5101</v>
      </c>
      <c r="JL279" s="12" t="s">
        <v>5102</v>
      </c>
      <c r="JM279" s="12" t="s">
        <v>5103</v>
      </c>
      <c r="JN279" s="12"/>
      <c r="JO279" s="12"/>
      <c r="JP279" s="15">
        <f t="shared" si="179"/>
        <v>484502</v>
      </c>
      <c r="JQ279" s="15">
        <f t="shared" si="180"/>
        <v>120729</v>
      </c>
      <c r="JR279" s="279">
        <f t="shared" si="181"/>
        <v>0.24918163392514375</v>
      </c>
      <c r="JS279" s="17">
        <f t="shared" si="182"/>
        <v>0</v>
      </c>
      <c r="JT279" s="18">
        <f t="shared" si="183"/>
        <v>0</v>
      </c>
      <c r="JU279" s="280">
        <f t="shared" si="184"/>
        <v>0</v>
      </c>
      <c r="JV279" s="280">
        <f t="shared" si="185"/>
        <v>0</v>
      </c>
      <c r="JW279" s="319">
        <f t="shared" si="186"/>
        <v>1</v>
      </c>
      <c r="JX279" s="15">
        <f t="shared" si="187"/>
        <v>484502</v>
      </c>
      <c r="JY279" s="15">
        <f t="shared" si="188"/>
        <v>120729</v>
      </c>
      <c r="JZ279" s="19">
        <f t="shared" si="189"/>
        <v>0.24918163392514375</v>
      </c>
      <c r="KA279" s="52">
        <f t="shared" si="190"/>
        <v>1</v>
      </c>
      <c r="KB279" s="15">
        <f t="shared" si="191"/>
        <v>484502</v>
      </c>
      <c r="KC279" s="15">
        <f t="shared" si="192"/>
        <v>120729</v>
      </c>
      <c r="KD279" s="20">
        <f t="shared" si="193"/>
        <v>0.24918163392514375</v>
      </c>
      <c r="KE279" s="52" t="str">
        <f t="shared" si="194"/>
        <v/>
      </c>
      <c r="KF279" s="15">
        <f t="shared" si="195"/>
        <v>0</v>
      </c>
      <c r="KG279" s="15">
        <f t="shared" si="196"/>
        <v>0</v>
      </c>
      <c r="KH279" s="21" t="str">
        <f t="shared" si="197"/>
        <v/>
      </c>
      <c r="KI279" s="52" t="str">
        <f t="shared" si="198"/>
        <v/>
      </c>
      <c r="KJ279" s="15">
        <f t="shared" si="199"/>
        <v>0</v>
      </c>
      <c r="KK279" s="15">
        <f t="shared" si="200"/>
        <v>0</v>
      </c>
      <c r="KL279" s="19" t="str">
        <f t="shared" si="201"/>
        <v/>
      </c>
      <c r="KM279" s="52" t="str">
        <f t="shared" si="202"/>
        <v/>
      </c>
      <c r="KN279" s="22">
        <f t="shared" si="203"/>
        <v>0</v>
      </c>
      <c r="KO279" s="22">
        <f t="shared" si="204"/>
        <v>0</v>
      </c>
      <c r="KP279" s="19" t="str">
        <f t="shared" si="205"/>
        <v/>
      </c>
      <c r="KQ279" s="11" t="str">
        <f t="shared" si="206"/>
        <v>2. Sensitive</v>
      </c>
      <c r="KR279" s="11" t="str">
        <f t="shared" si="207"/>
        <v>2. Accommodating</v>
      </c>
      <c r="KS279" s="11" t="str">
        <f t="shared" si="208"/>
        <v>2. Sensitive</v>
      </c>
      <c r="KT279" s="11" t="str">
        <f t="shared" si="209"/>
        <v>It tested new ways for fighting poverty, but did not measure results of innovation</v>
      </c>
      <c r="KU279" s="11" t="str">
        <f t="shared" si="210"/>
        <v>Moderate advocacy</v>
      </c>
      <c r="KV279" s="11" t="str">
        <f t="shared" si="211"/>
        <v>It linked and worked with strategic alliances and partners to take tested and effective solutions to scale</v>
      </c>
      <c r="KW279" s="11" t="str">
        <f t="shared" si="212"/>
        <v>Haiti - Cash-based response to hurricane Matthew emergency project / Ansanm Nap Kanpe Ak Diyite (ANKAD)</v>
      </c>
      <c r="KX279" s="11" t="str">
        <f t="shared" si="213"/>
        <v>Cash-based response to hurricane Matthew emergency project / Ansanm Nap Kanpe Ak Diyite (ANKAD)</v>
      </c>
      <c r="KY279" s="11" t="str">
        <f t="shared" si="214"/>
        <v>Haiti</v>
      </c>
      <c r="KZ279" s="12">
        <v>279</v>
      </c>
    </row>
    <row r="280" spans="1:312" x14ac:dyDescent="0.3">
      <c r="A280" s="12" t="s">
        <v>5061</v>
      </c>
      <c r="B280" s="12" t="s">
        <v>2807</v>
      </c>
      <c r="C280" s="12"/>
      <c r="D280" s="12" t="s">
        <v>5144</v>
      </c>
      <c r="E280" s="277" t="str">
        <f t="shared" si="172"/>
        <v>Haiti</v>
      </c>
      <c r="F280" s="12" t="s">
        <v>5145</v>
      </c>
      <c r="G280" s="12" t="s">
        <v>379</v>
      </c>
      <c r="H280" s="12" t="s">
        <v>380</v>
      </c>
      <c r="I280" s="12" t="s">
        <v>381</v>
      </c>
      <c r="J280" s="281" t="s">
        <v>8430</v>
      </c>
      <c r="K280" s="12"/>
      <c r="L280" s="12"/>
      <c r="M280" s="12"/>
      <c r="N280" s="12"/>
      <c r="O280" s="12"/>
      <c r="P280" s="12"/>
      <c r="Q280" s="12"/>
      <c r="R280" s="12"/>
      <c r="S280" s="12"/>
      <c r="T280" s="12"/>
      <c r="U280" s="12"/>
      <c r="V280" s="12"/>
      <c r="W280" s="12"/>
      <c r="X280" s="12"/>
      <c r="Y280" s="12"/>
      <c r="Z280" s="12"/>
      <c r="AA280" s="12"/>
      <c r="AB280" s="12"/>
      <c r="AC280" s="12"/>
      <c r="AD280" s="12"/>
      <c r="BD280" s="13">
        <v>42736</v>
      </c>
      <c r="BE280" s="13">
        <v>43281</v>
      </c>
      <c r="BF280" s="12"/>
      <c r="BG280" s="12" t="s">
        <v>312</v>
      </c>
      <c r="BH280" s="14">
        <v>2820929</v>
      </c>
      <c r="BI280" s="12" t="s">
        <v>5146</v>
      </c>
      <c r="BJ280" s="12" t="s">
        <v>5147</v>
      </c>
      <c r="BK280" s="12" t="s">
        <v>5148</v>
      </c>
      <c r="BL280" s="12" t="s">
        <v>5149</v>
      </c>
      <c r="BM280" s="12" t="s">
        <v>5150</v>
      </c>
      <c r="BN280" s="12" t="s">
        <v>5151</v>
      </c>
      <c r="BO280" s="12" t="s">
        <v>319</v>
      </c>
      <c r="BP280" s="12" t="s">
        <v>320</v>
      </c>
      <c r="BQ280" s="12" t="s">
        <v>319</v>
      </c>
      <c r="BR280" s="12" t="s">
        <v>5152</v>
      </c>
      <c r="BS280" s="12" t="s">
        <v>357</v>
      </c>
      <c r="BT280" s="12" t="s">
        <v>5153</v>
      </c>
      <c r="BU280" s="12" t="s">
        <v>5154</v>
      </c>
      <c r="BV280" s="14"/>
      <c r="BW280" s="14"/>
      <c r="BX280" s="14">
        <v>16390</v>
      </c>
      <c r="BY280" s="14"/>
      <c r="BZ280" s="14"/>
      <c r="CA280" s="14">
        <v>376</v>
      </c>
      <c r="CB280" s="12" t="s">
        <v>5155</v>
      </c>
      <c r="CD280" s="14"/>
      <c r="CE280" s="14"/>
      <c r="CF280" s="14"/>
      <c r="CG280" s="14"/>
      <c r="CH280" s="14"/>
      <c r="CI280" s="14"/>
      <c r="CJ280" s="12"/>
      <c r="CK280" s="14"/>
      <c r="CL280" s="16"/>
      <c r="CM280" s="14"/>
      <c r="CN280" s="12"/>
      <c r="CO280" s="14"/>
      <c r="CP280" s="16"/>
      <c r="CQ280" s="14"/>
      <c r="CR280" s="12"/>
      <c r="CS280" s="14"/>
      <c r="CT280" s="16"/>
      <c r="CU280" s="14"/>
      <c r="CV280" s="12"/>
      <c r="CW280" s="14"/>
      <c r="CX280" s="16"/>
      <c r="CY280" s="14"/>
      <c r="CZ280" s="12"/>
      <c r="DA280" s="14"/>
      <c r="DB280" s="16"/>
      <c r="DC280" s="14"/>
      <c r="DD280" s="12"/>
      <c r="DE280" s="14"/>
      <c r="DF280" s="16"/>
      <c r="DG280" s="14"/>
      <c r="DH280" s="12"/>
      <c r="DI280" s="14"/>
      <c r="DJ280" s="16"/>
      <c r="DK280" s="14"/>
      <c r="DL280" s="12"/>
      <c r="DM280" s="14"/>
      <c r="DN280" s="16"/>
      <c r="DO280" s="14"/>
      <c r="DP280" s="12"/>
      <c r="DQ280" s="14"/>
      <c r="DR280" s="16"/>
      <c r="DS280" s="14"/>
      <c r="DT280" s="12"/>
      <c r="DU280" s="14"/>
      <c r="DV280" s="16"/>
      <c r="DW280" s="14"/>
      <c r="DX280" s="12"/>
      <c r="DY280" s="14"/>
      <c r="DZ280" s="16"/>
      <c r="EA280" s="14"/>
      <c r="EB280" s="12"/>
      <c r="EC280" s="14"/>
      <c r="ED280" s="16"/>
      <c r="EE280" s="14"/>
      <c r="EF280" s="12"/>
      <c r="EG280" s="12"/>
      <c r="EH280" s="14"/>
      <c r="EI280" s="16"/>
      <c r="EJ280" s="14"/>
      <c r="EK280" s="14"/>
      <c r="EL280" s="14"/>
      <c r="EM280" s="14"/>
      <c r="EN280" s="14"/>
      <c r="EO280" s="14"/>
      <c r="EP280" s="14"/>
      <c r="EQ280" s="12" t="s">
        <v>319</v>
      </c>
      <c r="ER280" s="14"/>
      <c r="ES280" s="16"/>
      <c r="ET280" s="14"/>
      <c r="EU280" s="11" t="s">
        <v>319</v>
      </c>
      <c r="EV280" s="14"/>
      <c r="EW280" s="16"/>
      <c r="EX280" s="14"/>
      <c r="EY280" s="12" t="s">
        <v>319</v>
      </c>
      <c r="EZ280" s="14"/>
      <c r="FA280" s="16"/>
      <c r="FB280" s="14"/>
      <c r="FC280" s="12" t="s">
        <v>319</v>
      </c>
      <c r="FD280" s="14"/>
      <c r="FE280" s="16"/>
      <c r="FF280" s="14"/>
      <c r="FG280" s="12" t="s">
        <v>319</v>
      </c>
      <c r="FH280" s="14"/>
      <c r="FI280" s="16"/>
      <c r="FJ280" s="14"/>
      <c r="FK280" s="12" t="s">
        <v>320</v>
      </c>
      <c r="FL280" s="14"/>
      <c r="FM280" s="16"/>
      <c r="FN280" s="14"/>
      <c r="FO280" s="12" t="s">
        <v>319</v>
      </c>
      <c r="FP280" s="14"/>
      <c r="FQ280" s="16"/>
      <c r="FR280" s="14"/>
      <c r="FS280" s="12" t="s">
        <v>319</v>
      </c>
      <c r="FT280" s="14"/>
      <c r="FU280" s="16"/>
      <c r="FV280" s="14"/>
      <c r="FW280" s="12" t="s">
        <v>320</v>
      </c>
      <c r="FX280" s="14"/>
      <c r="FY280" s="16"/>
      <c r="FZ280" s="14"/>
      <c r="GA280" s="12" t="s">
        <v>319</v>
      </c>
      <c r="GB280" s="14"/>
      <c r="GC280" s="16"/>
      <c r="GD280" s="14"/>
      <c r="GE280" s="12" t="s">
        <v>319</v>
      </c>
      <c r="GF280" s="14"/>
      <c r="GG280" s="16"/>
      <c r="GH280" s="14"/>
      <c r="GI280" s="12" t="s">
        <v>319</v>
      </c>
      <c r="GJ280" s="14"/>
      <c r="GK280" s="16"/>
      <c r="GL280" s="14"/>
      <c r="GM280" s="12" t="s">
        <v>319</v>
      </c>
      <c r="GN280" s="14"/>
      <c r="GO280" s="16"/>
      <c r="GP280" s="14"/>
      <c r="GQ280" s="12" t="s">
        <v>319</v>
      </c>
      <c r="GR280" s="14"/>
      <c r="GS280" s="16"/>
      <c r="GT280" s="14"/>
      <c r="GU280" s="12" t="s">
        <v>319</v>
      </c>
      <c r="GV280" s="14"/>
      <c r="GW280" s="16"/>
      <c r="GX280" s="14"/>
      <c r="GY280" s="12" t="s">
        <v>319</v>
      </c>
      <c r="GZ280" s="14"/>
      <c r="HA280" s="16"/>
      <c r="HB280" s="14"/>
      <c r="HC280" s="12"/>
      <c r="HD280" s="12"/>
      <c r="HE280" s="14"/>
      <c r="HF280" s="16"/>
      <c r="HG280" s="14"/>
      <c r="HH280" s="12" t="s">
        <v>320</v>
      </c>
      <c r="HI280" s="12" t="s">
        <v>451</v>
      </c>
      <c r="HJ280" s="12">
        <v>2017</v>
      </c>
      <c r="HK280" s="12" t="s">
        <v>319</v>
      </c>
      <c r="HL280" s="12" t="s">
        <v>320</v>
      </c>
      <c r="HM280" s="12" t="s">
        <v>431</v>
      </c>
      <c r="HN280" s="12">
        <v>2018</v>
      </c>
      <c r="HO280" s="12"/>
      <c r="HP280" s="12" t="s">
        <v>330</v>
      </c>
      <c r="HQ280" s="12" t="s">
        <v>319</v>
      </c>
      <c r="HR280" s="12" t="s">
        <v>319</v>
      </c>
      <c r="HS280" s="12" t="s">
        <v>319</v>
      </c>
      <c r="HT280" s="12" t="s">
        <v>319</v>
      </c>
      <c r="HU280" s="12" t="s">
        <v>319</v>
      </c>
      <c r="HV280" s="12" t="s">
        <v>319</v>
      </c>
      <c r="HW280" s="12" t="s">
        <v>319</v>
      </c>
      <c r="HX280" s="12" t="s">
        <v>320</v>
      </c>
      <c r="HY280" s="12"/>
      <c r="HZ280" s="11" t="s">
        <v>363</v>
      </c>
      <c r="IA280" s="12"/>
      <c r="IB280" s="12" t="s">
        <v>396</v>
      </c>
      <c r="IC280" s="12"/>
      <c r="ID280" s="12" t="s">
        <v>334</v>
      </c>
      <c r="IE280" s="12" t="s">
        <v>335</v>
      </c>
      <c r="IF280" s="12" t="s">
        <v>320</v>
      </c>
      <c r="IG280" s="12" t="s">
        <v>320</v>
      </c>
      <c r="IH280" s="12" t="s">
        <v>320</v>
      </c>
      <c r="II280" s="12" t="s">
        <v>320</v>
      </c>
      <c r="IJ280" s="12" t="str">
        <f t="shared" si="173"/>
        <v>2. Sensitive</v>
      </c>
      <c r="IK280" s="12">
        <f t="shared" si="174"/>
        <v>4</v>
      </c>
      <c r="IL280" s="12" t="s">
        <v>336</v>
      </c>
      <c r="IM280" s="12" t="s">
        <v>320</v>
      </c>
      <c r="IN280" s="12" t="s">
        <v>320</v>
      </c>
      <c r="IO280" s="12" t="s">
        <v>320</v>
      </c>
      <c r="IP280" s="12" t="s">
        <v>320</v>
      </c>
      <c r="IQ280" s="12" t="str">
        <f t="shared" si="175"/>
        <v>2. Accommodating</v>
      </c>
      <c r="IR280" s="12">
        <f t="shared" si="176"/>
        <v>4</v>
      </c>
      <c r="IS280" s="12" t="s">
        <v>337</v>
      </c>
      <c r="IT280" s="12" t="s">
        <v>320</v>
      </c>
      <c r="IU280" s="12" t="s">
        <v>319</v>
      </c>
      <c r="IV280" s="12"/>
      <c r="IW280" s="11" t="str">
        <f t="shared" si="177"/>
        <v>1. Neutral</v>
      </c>
      <c r="IX280" s="12">
        <f t="shared" si="178"/>
        <v>1</v>
      </c>
      <c r="IY280" s="11" t="s">
        <v>338</v>
      </c>
      <c r="IZ280" s="12" t="s">
        <v>432</v>
      </c>
      <c r="JA280" s="12">
        <v>3</v>
      </c>
      <c r="JB280" s="11" t="s">
        <v>623</v>
      </c>
      <c r="JC280" s="11" t="s">
        <v>831</v>
      </c>
      <c r="JD280" s="11" t="s">
        <v>687</v>
      </c>
      <c r="JE280" s="12" t="s">
        <v>420</v>
      </c>
      <c r="JF280" s="12"/>
      <c r="JG280" s="12" t="s">
        <v>5156</v>
      </c>
      <c r="JH280" s="12" t="s">
        <v>5157</v>
      </c>
      <c r="JI280" s="12" t="s">
        <v>5158</v>
      </c>
      <c r="JJ280" s="12"/>
      <c r="JK280" s="12" t="s">
        <v>5159</v>
      </c>
      <c r="JL280" s="12" t="s">
        <v>5160</v>
      </c>
      <c r="JM280" s="12"/>
      <c r="JN280" s="12"/>
      <c r="JO280" s="12"/>
      <c r="JP280" s="15">
        <f t="shared" si="179"/>
        <v>0</v>
      </c>
      <c r="JQ280" s="15">
        <f t="shared" si="180"/>
        <v>0</v>
      </c>
      <c r="JR280" s="279" t="str">
        <f t="shared" si="181"/>
        <v/>
      </c>
      <c r="JS280" s="17" t="str">
        <f t="shared" si="182"/>
        <v/>
      </c>
      <c r="JT280" s="18" t="str">
        <f t="shared" si="183"/>
        <v/>
      </c>
      <c r="JU280" s="280">
        <f t="shared" si="184"/>
        <v>0</v>
      </c>
      <c r="JV280" s="280">
        <f t="shared" si="185"/>
        <v>0</v>
      </c>
      <c r="JW280" s="319" t="str">
        <f t="shared" si="186"/>
        <v/>
      </c>
      <c r="JX280" s="15">
        <f t="shared" si="187"/>
        <v>0</v>
      </c>
      <c r="JY280" s="15">
        <f t="shared" si="188"/>
        <v>0</v>
      </c>
      <c r="JZ280" s="19" t="str">
        <f t="shared" si="189"/>
        <v/>
      </c>
      <c r="KA280" s="52" t="str">
        <f t="shared" si="190"/>
        <v/>
      </c>
      <c r="KB280" s="15">
        <f t="shared" si="191"/>
        <v>0</v>
      </c>
      <c r="KC280" s="15">
        <f t="shared" si="192"/>
        <v>0</v>
      </c>
      <c r="KD280" s="20" t="str">
        <f t="shared" si="193"/>
        <v/>
      </c>
      <c r="KE280" s="52" t="str">
        <f t="shared" si="194"/>
        <v/>
      </c>
      <c r="KF280" s="15">
        <f t="shared" si="195"/>
        <v>0</v>
      </c>
      <c r="KG280" s="15">
        <f t="shared" si="196"/>
        <v>0</v>
      </c>
      <c r="KH280" s="21" t="str">
        <f t="shared" si="197"/>
        <v/>
      </c>
      <c r="KI280" s="52" t="str">
        <f t="shared" si="198"/>
        <v/>
      </c>
      <c r="KJ280" s="15">
        <f t="shared" si="199"/>
        <v>0</v>
      </c>
      <c r="KK280" s="15">
        <f t="shared" si="200"/>
        <v>0</v>
      </c>
      <c r="KL280" s="19" t="str">
        <f t="shared" si="201"/>
        <v/>
      </c>
      <c r="KM280" s="52" t="str">
        <f t="shared" si="202"/>
        <v/>
      </c>
      <c r="KN280" s="22">
        <f t="shared" si="203"/>
        <v>0</v>
      </c>
      <c r="KO280" s="22">
        <f t="shared" si="204"/>
        <v>0</v>
      </c>
      <c r="KP280" s="19" t="str">
        <f t="shared" si="205"/>
        <v/>
      </c>
      <c r="KQ280" s="11" t="str">
        <f t="shared" si="206"/>
        <v>2. Sensitive</v>
      </c>
      <c r="KR280" s="11" t="str">
        <f t="shared" si="207"/>
        <v>2. Accommodating</v>
      </c>
      <c r="KS280" s="11" t="str">
        <f t="shared" si="208"/>
        <v>1. Neutral</v>
      </c>
      <c r="KT280" s="11" t="str">
        <f t="shared" si="209"/>
        <v>It did not develop any specific innovation</v>
      </c>
      <c r="KU280" s="11" t="str">
        <f t="shared" si="210"/>
        <v>Moderate advocacy</v>
      </c>
      <c r="KV280" s="11" t="str">
        <f t="shared" si="211"/>
        <v>It linked and worked with strategic alliances and partners to take tested and effective solutions to scale</v>
      </c>
      <c r="KW280" s="11" t="str">
        <f t="shared" si="212"/>
        <v>Haiti - Haiti Gagne: Lire, Ecrire et Reussir</v>
      </c>
      <c r="KX280" s="11" t="str">
        <f t="shared" si="213"/>
        <v>Haiti Gagne: Lire, Ecrire et Reussir</v>
      </c>
      <c r="KY280" s="11" t="str">
        <f t="shared" si="214"/>
        <v>Haiti</v>
      </c>
      <c r="KZ280" s="12">
        <v>280</v>
      </c>
    </row>
    <row r="281" spans="1:312" x14ac:dyDescent="0.3">
      <c r="A281" s="282" t="s">
        <v>5061</v>
      </c>
      <c r="B281" s="282" t="s">
        <v>2807</v>
      </c>
      <c r="C281" s="282"/>
      <c r="D281" s="282" t="s">
        <v>5104</v>
      </c>
      <c r="E281" s="277" t="str">
        <f t="shared" si="172"/>
        <v>Haiti</v>
      </c>
      <c r="F281" s="282" t="s">
        <v>5105</v>
      </c>
      <c r="G281" s="282" t="s">
        <v>379</v>
      </c>
      <c r="H281" s="282" t="s">
        <v>383</v>
      </c>
      <c r="I281" s="282" t="s">
        <v>1102</v>
      </c>
      <c r="J281" s="278" t="s">
        <v>1102</v>
      </c>
      <c r="K281" s="282" t="s">
        <v>5106</v>
      </c>
      <c r="L281" s="282" t="s">
        <v>379</v>
      </c>
      <c r="M281" s="282" t="s">
        <v>489</v>
      </c>
      <c r="N281" s="282" t="s">
        <v>384</v>
      </c>
      <c r="O281" s="282" t="s">
        <v>5107</v>
      </c>
      <c r="P281" s="282" t="s">
        <v>5108</v>
      </c>
      <c r="Q281" s="282" t="s">
        <v>379</v>
      </c>
      <c r="R281" s="282" t="s">
        <v>489</v>
      </c>
      <c r="S281" s="282" t="s">
        <v>384</v>
      </c>
      <c r="T281" s="282" t="s">
        <v>14638</v>
      </c>
      <c r="U281" s="282" t="s">
        <v>5109</v>
      </c>
      <c r="V281" s="282" t="s">
        <v>1738</v>
      </c>
      <c r="W281" s="282" t="s">
        <v>310</v>
      </c>
      <c r="X281" s="282" t="s">
        <v>3316</v>
      </c>
      <c r="Y281" s="281" t="s">
        <v>14616</v>
      </c>
      <c r="Z281" s="282"/>
      <c r="AA281" s="282"/>
      <c r="AB281" s="282"/>
      <c r="AC281" s="282"/>
      <c r="AD281" s="282"/>
      <c r="AE281" s="282"/>
      <c r="AF281" s="282"/>
      <c r="AG281" s="282"/>
      <c r="AH281" s="282"/>
      <c r="AI281" s="282"/>
      <c r="AJ281" s="282"/>
      <c r="AK281" s="282"/>
      <c r="AL281" s="282"/>
      <c r="AM281" s="282"/>
      <c r="AN281" s="282"/>
      <c r="AO281" s="282"/>
      <c r="AP281" s="282"/>
      <c r="AQ281" s="282"/>
      <c r="AR281" s="282"/>
      <c r="AS281" s="282"/>
      <c r="AT281" s="282"/>
      <c r="AU281" s="282"/>
      <c r="AV281" s="282"/>
      <c r="AW281" s="282"/>
      <c r="AX281" s="282"/>
      <c r="AY281" s="282"/>
      <c r="AZ281" s="282"/>
      <c r="BA281" s="282"/>
      <c r="BB281" s="282"/>
      <c r="BC281" s="282"/>
      <c r="BD281" s="283">
        <v>42660</v>
      </c>
      <c r="BE281" s="283">
        <v>42782</v>
      </c>
      <c r="BF281" s="283">
        <v>43403</v>
      </c>
      <c r="BG281" s="283" t="s">
        <v>817</v>
      </c>
      <c r="BH281" s="284">
        <v>1241067</v>
      </c>
      <c r="BI281" s="282" t="s">
        <v>5082</v>
      </c>
      <c r="BJ281" s="282" t="s">
        <v>14639</v>
      </c>
      <c r="BK281" s="299" t="s">
        <v>5084</v>
      </c>
      <c r="BL281" s="282" t="s">
        <v>5110</v>
      </c>
      <c r="BM281" s="282" t="s">
        <v>5111</v>
      </c>
      <c r="BN281" s="282" t="s">
        <v>5087</v>
      </c>
      <c r="BO281" s="282" t="s">
        <v>320</v>
      </c>
      <c r="BP281" s="282" t="s">
        <v>319</v>
      </c>
      <c r="BQ281" s="282" t="s">
        <v>319</v>
      </c>
      <c r="BR281" s="282" t="s">
        <v>5112</v>
      </c>
      <c r="BS281" s="282" t="s">
        <v>357</v>
      </c>
      <c r="BT281" s="282" t="s">
        <v>5113</v>
      </c>
      <c r="BU281" s="282" t="s">
        <v>5114</v>
      </c>
      <c r="BV281" s="284"/>
      <c r="BW281" s="284"/>
      <c r="BX281" s="284">
        <v>98000</v>
      </c>
      <c r="BY281" s="284"/>
      <c r="BZ281" s="284"/>
      <c r="CA281" s="284">
        <v>460600</v>
      </c>
      <c r="CB281" s="285" t="s">
        <v>14640</v>
      </c>
      <c r="CC281" s="285"/>
      <c r="CD281" s="284"/>
      <c r="CE281" s="284"/>
      <c r="CF281" s="284">
        <v>97625</v>
      </c>
      <c r="CG281" s="284"/>
      <c r="CH281" s="284"/>
      <c r="CI281" s="284">
        <v>458838</v>
      </c>
      <c r="CJ281" s="282" t="s">
        <v>319</v>
      </c>
      <c r="CK281" s="284"/>
      <c r="CL281" s="286"/>
      <c r="CM281" s="284"/>
      <c r="CN281" s="287" t="s">
        <v>319</v>
      </c>
      <c r="CO281" s="284"/>
      <c r="CP281" s="286"/>
      <c r="CQ281" s="284"/>
      <c r="CR281" s="287" t="s">
        <v>320</v>
      </c>
      <c r="CS281" s="284">
        <v>13202</v>
      </c>
      <c r="CT281" s="286"/>
      <c r="CU281" s="284">
        <v>62049</v>
      </c>
      <c r="CV281" s="282" t="s">
        <v>320</v>
      </c>
      <c r="CW281" s="284">
        <v>1894</v>
      </c>
      <c r="CX281" s="286"/>
      <c r="CY281" s="284">
        <v>8902</v>
      </c>
      <c r="CZ281" s="289" t="s">
        <v>320</v>
      </c>
      <c r="DA281" s="290">
        <v>3133</v>
      </c>
      <c r="DB281" s="291"/>
      <c r="DC281" s="290">
        <v>14725</v>
      </c>
      <c r="DD281" s="282" t="s">
        <v>319</v>
      </c>
      <c r="DE281" s="284"/>
      <c r="DF281" s="286"/>
      <c r="DG281" s="284"/>
      <c r="DH281" s="287" t="s">
        <v>319</v>
      </c>
      <c r="DI281" s="284"/>
      <c r="DJ281" s="286"/>
      <c r="DK281" s="284"/>
      <c r="DL281" s="282" t="s">
        <v>320</v>
      </c>
      <c r="DM281" s="284">
        <v>10500</v>
      </c>
      <c r="DN281" s="286"/>
      <c r="DO281" s="284">
        <v>49350</v>
      </c>
      <c r="DP281" s="282" t="s">
        <v>320</v>
      </c>
      <c r="DQ281" s="284">
        <v>3206</v>
      </c>
      <c r="DR281" s="286"/>
      <c r="DS281" s="284">
        <v>15068</v>
      </c>
      <c r="DT281" s="282" t="s">
        <v>319</v>
      </c>
      <c r="DU281" s="284"/>
      <c r="DV281" s="286"/>
      <c r="DW281" s="284"/>
      <c r="DX281" s="282" t="s">
        <v>320</v>
      </c>
      <c r="DY281" s="284">
        <v>4040</v>
      </c>
      <c r="DZ281" s="286"/>
      <c r="EA281" s="284">
        <v>18988</v>
      </c>
      <c r="EB281" s="282" t="s">
        <v>320</v>
      </c>
      <c r="EC281" s="284">
        <v>61656</v>
      </c>
      <c r="ED281" s="286"/>
      <c r="EE281" s="284">
        <v>289783</v>
      </c>
      <c r="EF281" s="282" t="s">
        <v>319</v>
      </c>
      <c r="EG281" s="287" t="s">
        <v>319</v>
      </c>
      <c r="EH281" s="284"/>
      <c r="EI281" s="286"/>
      <c r="EJ281" s="284"/>
      <c r="EK281" s="284"/>
      <c r="EL281" s="284"/>
      <c r="EM281" s="284"/>
      <c r="EN281" s="284"/>
      <c r="EO281" s="284"/>
      <c r="EP281" s="284"/>
      <c r="EQ281" s="282"/>
      <c r="ER281" s="284"/>
      <c r="ES281" s="286"/>
      <c r="ET281" s="284"/>
      <c r="EU281" s="282"/>
      <c r="EV281" s="284"/>
      <c r="EW281" s="286"/>
      <c r="EX281" s="284"/>
      <c r="EY281" s="282"/>
      <c r="EZ281" s="284"/>
      <c r="FA281" s="286"/>
      <c r="FB281" s="284"/>
      <c r="FC281" s="282"/>
      <c r="FD281" s="284"/>
      <c r="FE281" s="286"/>
      <c r="FF281" s="284"/>
      <c r="FG281" s="282"/>
      <c r="FH281" s="284"/>
      <c r="FI281" s="286"/>
      <c r="FJ281" s="284"/>
      <c r="FK281" s="282"/>
      <c r="FL281" s="284"/>
      <c r="FM281" s="286"/>
      <c r="FN281" s="284"/>
      <c r="FO281" s="289"/>
      <c r="FP281" s="300"/>
      <c r="FQ281" s="291"/>
      <c r="FR281" s="290"/>
      <c r="FS281" s="282"/>
      <c r="FT281" s="284"/>
      <c r="FU281" s="286"/>
      <c r="FV281" s="284"/>
      <c r="FW281" s="282"/>
      <c r="FX281" s="284"/>
      <c r="FY281" s="286"/>
      <c r="FZ281" s="284"/>
      <c r="GA281" s="282"/>
      <c r="GB281" s="284"/>
      <c r="GC281" s="286"/>
      <c r="GD281" s="284"/>
      <c r="GE281" s="282"/>
      <c r="GF281" s="284"/>
      <c r="GG281" s="286"/>
      <c r="GH281" s="284"/>
      <c r="GI281" s="282"/>
      <c r="GJ281" s="284"/>
      <c r="GK281" s="286"/>
      <c r="GL281" s="284"/>
      <c r="GM281" s="282"/>
      <c r="GN281" s="284"/>
      <c r="GO281" s="286"/>
      <c r="GP281" s="284"/>
      <c r="GQ281" s="282"/>
      <c r="GR281" s="284"/>
      <c r="GS281" s="286"/>
      <c r="GT281" s="284"/>
      <c r="GU281" s="282"/>
      <c r="GV281" s="284"/>
      <c r="GW281" s="286"/>
      <c r="GX281" s="284"/>
      <c r="GY281" s="282"/>
      <c r="GZ281" s="284"/>
      <c r="HA281" s="286"/>
      <c r="HB281" s="284"/>
      <c r="HC281" s="282"/>
      <c r="HD281" s="282"/>
      <c r="HE281" s="284"/>
      <c r="HF281" s="286"/>
      <c r="HG281" s="284"/>
      <c r="HH281" s="282" t="s">
        <v>320</v>
      </c>
      <c r="HI281" s="282" t="s">
        <v>14641</v>
      </c>
      <c r="HJ281" s="282">
        <v>2017</v>
      </c>
      <c r="HK281" s="282" t="s">
        <v>319</v>
      </c>
      <c r="HL281" s="282"/>
      <c r="HM281" s="282"/>
      <c r="HN281" s="282"/>
      <c r="HO281" s="282"/>
      <c r="HP281" s="282" t="s">
        <v>418</v>
      </c>
      <c r="HQ281" s="282" t="s">
        <v>319</v>
      </c>
      <c r="HR281" s="282" t="s">
        <v>319</v>
      </c>
      <c r="HS281" s="282" t="s">
        <v>319</v>
      </c>
      <c r="HT281" s="282" t="s">
        <v>319</v>
      </c>
      <c r="HU281" s="282" t="s">
        <v>319</v>
      </c>
      <c r="HV281" s="282" t="s">
        <v>319</v>
      </c>
      <c r="HW281" s="282" t="s">
        <v>319</v>
      </c>
      <c r="HX281" s="282" t="s">
        <v>319</v>
      </c>
      <c r="HY281" s="282"/>
      <c r="HZ281" s="282" t="s">
        <v>394</v>
      </c>
      <c r="IA281" s="282"/>
      <c r="IB281" s="282" t="s">
        <v>396</v>
      </c>
      <c r="IC281" s="282" t="s">
        <v>5115</v>
      </c>
      <c r="ID281" s="282" t="s">
        <v>334</v>
      </c>
      <c r="IE281" s="282" t="s">
        <v>335</v>
      </c>
      <c r="IF281" s="282" t="s">
        <v>320</v>
      </c>
      <c r="IG281" s="282" t="s">
        <v>320</v>
      </c>
      <c r="IH281" s="282" t="s">
        <v>320</v>
      </c>
      <c r="II281" s="282" t="s">
        <v>320</v>
      </c>
      <c r="IJ281" s="12" t="str">
        <f t="shared" si="173"/>
        <v>2. Sensitive</v>
      </c>
      <c r="IK281" s="287">
        <f t="shared" si="174"/>
        <v>4</v>
      </c>
      <c r="IL281" s="282" t="s">
        <v>336</v>
      </c>
      <c r="IM281" s="282" t="s">
        <v>320</v>
      </c>
      <c r="IN281" s="282" t="s">
        <v>320</v>
      </c>
      <c r="IO281" s="282" t="s">
        <v>320</v>
      </c>
      <c r="IP281" s="282" t="s">
        <v>320</v>
      </c>
      <c r="IQ281" s="287" t="str">
        <f t="shared" si="175"/>
        <v>2. Accommodating</v>
      </c>
      <c r="IR281" s="287">
        <f t="shared" si="176"/>
        <v>4</v>
      </c>
      <c r="IS281" s="282" t="s">
        <v>337</v>
      </c>
      <c r="IT281" s="282" t="s">
        <v>320</v>
      </c>
      <c r="IU281" s="282" t="s">
        <v>320</v>
      </c>
      <c r="IV281" s="282" t="s">
        <v>320</v>
      </c>
      <c r="IW281" s="11" t="str">
        <f t="shared" si="177"/>
        <v>2. Sensitive</v>
      </c>
      <c r="IX281" s="287">
        <f t="shared" si="178"/>
        <v>3</v>
      </c>
      <c r="IY281" s="282" t="s">
        <v>419</v>
      </c>
      <c r="IZ281" s="282" t="s">
        <v>527</v>
      </c>
      <c r="JA281" s="282">
        <v>3</v>
      </c>
      <c r="JB281" s="282" t="s">
        <v>623</v>
      </c>
      <c r="JC281" s="282" t="s">
        <v>831</v>
      </c>
      <c r="JD281" s="282" t="s">
        <v>687</v>
      </c>
      <c r="JE281" s="282" t="s">
        <v>365</v>
      </c>
      <c r="JF281" s="282" t="s">
        <v>5096</v>
      </c>
      <c r="JG281" s="282" t="s">
        <v>5116</v>
      </c>
      <c r="JH281" s="282" t="s">
        <v>5117</v>
      </c>
      <c r="JI281" s="282" t="s">
        <v>5099</v>
      </c>
      <c r="JJ281" s="282" t="s">
        <v>5118</v>
      </c>
      <c r="JK281" s="282" t="s">
        <v>5101</v>
      </c>
      <c r="JL281" s="282" t="s">
        <v>5119</v>
      </c>
      <c r="JM281" s="282" t="s">
        <v>5103</v>
      </c>
      <c r="JN281" s="282"/>
      <c r="JO281" s="282"/>
      <c r="JP281" s="15">
        <f t="shared" si="179"/>
        <v>97625</v>
      </c>
      <c r="JQ281" s="15">
        <f t="shared" si="180"/>
        <v>458838</v>
      </c>
      <c r="JR281" s="279">
        <f t="shared" si="181"/>
        <v>4.7000051216389247</v>
      </c>
      <c r="JS281" s="17">
        <f t="shared" si="182"/>
        <v>0</v>
      </c>
      <c r="JT281" s="18">
        <f t="shared" si="183"/>
        <v>0</v>
      </c>
      <c r="JU281" s="280">
        <f t="shared" si="184"/>
        <v>0</v>
      </c>
      <c r="JV281" s="280">
        <f t="shared" si="185"/>
        <v>0</v>
      </c>
      <c r="JW281" s="319">
        <f t="shared" si="186"/>
        <v>1</v>
      </c>
      <c r="JX281" s="15">
        <f t="shared" si="187"/>
        <v>97625</v>
      </c>
      <c r="JY281" s="15">
        <f t="shared" si="188"/>
        <v>458838</v>
      </c>
      <c r="JZ281" s="19">
        <f t="shared" si="189"/>
        <v>4.7000051216389247</v>
      </c>
      <c r="KA281" s="52">
        <f t="shared" si="190"/>
        <v>1</v>
      </c>
      <c r="KB281" s="15">
        <f t="shared" si="191"/>
        <v>10500</v>
      </c>
      <c r="KC281" s="15">
        <f t="shared" si="192"/>
        <v>49350</v>
      </c>
      <c r="KD281" s="20">
        <f t="shared" si="193"/>
        <v>4.7</v>
      </c>
      <c r="KE281" s="52" t="str">
        <f t="shared" si="194"/>
        <v/>
      </c>
      <c r="KF281" s="15">
        <f t="shared" si="195"/>
        <v>0</v>
      </c>
      <c r="KG281" s="15">
        <f t="shared" si="196"/>
        <v>0</v>
      </c>
      <c r="KH281" s="21" t="str">
        <f t="shared" si="197"/>
        <v/>
      </c>
      <c r="KI281" s="52">
        <f t="shared" si="198"/>
        <v>1</v>
      </c>
      <c r="KJ281" s="15">
        <f t="shared" si="199"/>
        <v>3133</v>
      </c>
      <c r="KK281" s="15">
        <f t="shared" si="200"/>
        <v>14725</v>
      </c>
      <c r="KL281" s="19">
        <f t="shared" si="201"/>
        <v>4.6999680817108205</v>
      </c>
      <c r="KM281" s="52" t="str">
        <f t="shared" si="202"/>
        <v/>
      </c>
      <c r="KN281" s="22">
        <f t="shared" si="203"/>
        <v>0</v>
      </c>
      <c r="KO281" s="22">
        <f t="shared" si="204"/>
        <v>0</v>
      </c>
      <c r="KP281" s="19" t="str">
        <f t="shared" si="205"/>
        <v/>
      </c>
      <c r="KQ281" s="11" t="str">
        <f t="shared" si="206"/>
        <v>2. Sensitive</v>
      </c>
      <c r="KR281" s="11" t="str">
        <f t="shared" si="207"/>
        <v>2. Accommodating</v>
      </c>
      <c r="KS281" s="11" t="str">
        <f t="shared" si="208"/>
        <v>2. Sensitive</v>
      </c>
      <c r="KT281" s="11" t="str">
        <f t="shared" si="209"/>
        <v>It tested new ways for fighting poverty, but did not measure results of innovation</v>
      </c>
      <c r="KU281" s="11" t="str">
        <f t="shared" si="210"/>
        <v>Little or no advocacy</v>
      </c>
      <c r="KV281" s="11" t="str">
        <f t="shared" si="211"/>
        <v>It linked and worked with strategic alliances and partners to take tested and effective solutions to scale</v>
      </c>
      <c r="KW281" s="11" t="str">
        <f t="shared" si="212"/>
        <v>Haiti - Hurricane Matthew Emergency Response and Recovery Project / Réponses d'urgence à l'ouragan Matthew</v>
      </c>
      <c r="KX281" s="11" t="str">
        <f t="shared" si="213"/>
        <v>Hurricane Matthew Emergency Response and Recovery Project / Réponses d'urgence à l'ouragan Matthew</v>
      </c>
      <c r="KY281" s="11" t="str">
        <f t="shared" si="214"/>
        <v>Haiti</v>
      </c>
      <c r="KZ281" s="12">
        <v>281</v>
      </c>
    </row>
    <row r="282" spans="1:312" x14ac:dyDescent="0.3">
      <c r="A282" s="282" t="s">
        <v>5061</v>
      </c>
      <c r="B282" s="282" t="s">
        <v>2807</v>
      </c>
      <c r="C282" s="282">
        <v>3577</v>
      </c>
      <c r="D282" s="282" t="s">
        <v>5062</v>
      </c>
      <c r="E282" s="277" t="str">
        <f t="shared" si="172"/>
        <v>Haiti</v>
      </c>
      <c r="F282" s="282" t="s">
        <v>5063</v>
      </c>
      <c r="G282" s="282" t="s">
        <v>379</v>
      </c>
      <c r="H282" s="282" t="s">
        <v>310</v>
      </c>
      <c r="I282" s="282" t="s">
        <v>655</v>
      </c>
      <c r="J282" s="281" t="s">
        <v>4991</v>
      </c>
      <c r="K282" s="282"/>
      <c r="L282" s="282"/>
      <c r="M282" s="282"/>
      <c r="N282" s="282"/>
      <c r="O282" s="282"/>
      <c r="P282" s="282"/>
      <c r="Q282" s="282"/>
      <c r="R282" s="282"/>
      <c r="S282" s="282"/>
      <c r="T282" s="282"/>
      <c r="U282" s="282"/>
      <c r="V282" s="282"/>
      <c r="W282" s="282"/>
      <c r="X282" s="282"/>
      <c r="Y282" s="282"/>
      <c r="Z282" s="282"/>
      <c r="AA282" s="282"/>
      <c r="AB282" s="282"/>
      <c r="AC282" s="282"/>
      <c r="AD282" s="282"/>
      <c r="AE282" s="282"/>
      <c r="AF282" s="282"/>
      <c r="AG282" s="282"/>
      <c r="AH282" s="282"/>
      <c r="AI282" s="282"/>
      <c r="AJ282" s="282"/>
      <c r="AK282" s="282"/>
      <c r="AL282" s="282"/>
      <c r="AM282" s="282"/>
      <c r="AN282" s="282"/>
      <c r="AO282" s="282"/>
      <c r="AP282" s="282"/>
      <c r="AQ282" s="282"/>
      <c r="AR282" s="282"/>
      <c r="AS282" s="282"/>
      <c r="AT282" s="282"/>
      <c r="AU282" s="282"/>
      <c r="AV282" s="282"/>
      <c r="AW282" s="282"/>
      <c r="AX282" s="282"/>
      <c r="AY282" s="282"/>
      <c r="AZ282" s="282"/>
      <c r="BA282" s="282"/>
      <c r="BB282" s="282"/>
      <c r="BC282" s="282"/>
      <c r="BD282" s="283">
        <v>41548</v>
      </c>
      <c r="BE282" s="283">
        <v>42979</v>
      </c>
      <c r="BF282" s="283">
        <v>43709</v>
      </c>
      <c r="BG282" s="283" t="s">
        <v>749</v>
      </c>
      <c r="BH282" s="284">
        <v>80000000</v>
      </c>
      <c r="BI282" s="11" t="s">
        <v>5163</v>
      </c>
      <c r="BJ282" s="282" t="s">
        <v>14642</v>
      </c>
      <c r="BK282" s="299" t="s">
        <v>14643</v>
      </c>
      <c r="BL282" s="282" t="s">
        <v>5064</v>
      </c>
      <c r="BM282" s="282" t="s">
        <v>1312</v>
      </c>
      <c r="BN282" s="282" t="s">
        <v>5065</v>
      </c>
      <c r="BO282" s="282" t="s">
        <v>320</v>
      </c>
      <c r="BP282" s="282" t="s">
        <v>320</v>
      </c>
      <c r="BQ282" s="282" t="s">
        <v>320</v>
      </c>
      <c r="BR282" s="282" t="s">
        <v>5066</v>
      </c>
      <c r="BS282" s="282" t="s">
        <v>357</v>
      </c>
      <c r="BT282" s="282" t="s">
        <v>5067</v>
      </c>
      <c r="BU282" s="282" t="s">
        <v>5068</v>
      </c>
      <c r="BV282" s="284"/>
      <c r="BW282" s="284"/>
      <c r="BX282" s="284">
        <v>482429</v>
      </c>
      <c r="BY282" s="284"/>
      <c r="BZ282" s="284"/>
      <c r="CA282" s="284">
        <v>821026</v>
      </c>
      <c r="CB282" s="285" t="s">
        <v>14644</v>
      </c>
      <c r="CC282" s="285"/>
      <c r="CD282" s="284">
        <v>57659</v>
      </c>
      <c r="CE282" s="284">
        <v>43395</v>
      </c>
      <c r="CF282" s="284">
        <v>101054</v>
      </c>
      <c r="CG282" s="284">
        <v>564706</v>
      </c>
      <c r="CH282" s="284">
        <v>241307.3</v>
      </c>
      <c r="CI282" s="284">
        <v>806013</v>
      </c>
      <c r="CJ282" s="282"/>
      <c r="CK282" s="284"/>
      <c r="CL282" s="286"/>
      <c r="CM282" s="284"/>
      <c r="CN282" s="287"/>
      <c r="CO282" s="284"/>
      <c r="CP282" s="286"/>
      <c r="CQ282" s="284"/>
      <c r="CR282" s="282"/>
      <c r="CS282" s="284"/>
      <c r="CT282" s="286"/>
      <c r="CU282" s="284"/>
      <c r="CV282" s="282" t="s">
        <v>320</v>
      </c>
      <c r="CW282" s="284">
        <v>101054</v>
      </c>
      <c r="CX282" s="291"/>
      <c r="CY282" s="284">
        <v>806013</v>
      </c>
      <c r="CZ282" s="282"/>
      <c r="DA282" s="284"/>
      <c r="DB282" s="286"/>
      <c r="DC282" s="284"/>
      <c r="DD282" s="287"/>
      <c r="DE282" s="284"/>
      <c r="DF282" s="286"/>
      <c r="DG282" s="284"/>
      <c r="DH282" s="282"/>
      <c r="DI282" s="284"/>
      <c r="DJ282" s="286"/>
      <c r="DK282" s="284"/>
      <c r="DL282" s="282"/>
      <c r="DM282" s="284"/>
      <c r="DN282" s="286"/>
      <c r="DO282" s="284"/>
      <c r="DP282" s="282"/>
      <c r="DQ282" s="284"/>
      <c r="DR282" s="286"/>
      <c r="DS282" s="284"/>
      <c r="DT282" s="282"/>
      <c r="DU282" s="284"/>
      <c r="DV282" s="286"/>
      <c r="DW282" s="284"/>
      <c r="DX282" s="282"/>
      <c r="DY282" s="284"/>
      <c r="DZ282" s="286"/>
      <c r="EA282" s="284"/>
      <c r="EB282" s="282" t="s">
        <v>320</v>
      </c>
      <c r="EC282" s="284">
        <v>13072</v>
      </c>
      <c r="ED282" s="286"/>
      <c r="EE282" s="284">
        <v>52288</v>
      </c>
      <c r="EF282" s="285"/>
      <c r="EG282" s="287"/>
      <c r="EH282" s="284"/>
      <c r="EI282" s="286"/>
      <c r="EJ282" s="284"/>
      <c r="EK282" s="284">
        <v>57659</v>
      </c>
      <c r="EL282" s="284">
        <v>43395</v>
      </c>
      <c r="EM282" s="284">
        <f>EI282+EK282</f>
        <v>57659</v>
      </c>
      <c r="EN282" s="284">
        <v>105302</v>
      </c>
      <c r="EO282" s="284">
        <v>42920</v>
      </c>
      <c r="EP282" s="284">
        <v>148222</v>
      </c>
      <c r="EQ282" s="282" t="s">
        <v>319</v>
      </c>
      <c r="ER282" s="284"/>
      <c r="ES282" s="286"/>
      <c r="ET282" s="284"/>
      <c r="EU282" s="282" t="s">
        <v>319</v>
      </c>
      <c r="EV282" s="284"/>
      <c r="EW282" s="286"/>
      <c r="EX282" s="284"/>
      <c r="EY282" s="282" t="s">
        <v>319</v>
      </c>
      <c r="EZ282" s="284"/>
      <c r="FA282" s="286"/>
      <c r="FB282" s="284"/>
      <c r="FC282" s="282" t="s">
        <v>319</v>
      </c>
      <c r="FD282" s="284"/>
      <c r="FE282" s="286"/>
      <c r="FF282" s="284"/>
      <c r="FG282" s="282" t="s">
        <v>320</v>
      </c>
      <c r="FH282" s="284">
        <v>1446</v>
      </c>
      <c r="FI282" s="286"/>
      <c r="FJ282" s="284">
        <v>5784</v>
      </c>
      <c r="FK282" s="282" t="s">
        <v>319</v>
      </c>
      <c r="FL282" s="284"/>
      <c r="FM282" s="286"/>
      <c r="FN282" s="284"/>
      <c r="FO282" s="282" t="s">
        <v>320</v>
      </c>
      <c r="FP282" s="284">
        <v>119720</v>
      </c>
      <c r="FQ282" s="286"/>
      <c r="FR282" s="284">
        <v>568600</v>
      </c>
      <c r="FS282" s="282" t="s">
        <v>319</v>
      </c>
      <c r="FT282" s="284"/>
      <c r="FU282" s="286"/>
      <c r="FV282" s="284"/>
      <c r="FW282" s="282" t="s">
        <v>320</v>
      </c>
      <c r="FX282" s="284">
        <v>3531</v>
      </c>
      <c r="FY282" s="286"/>
      <c r="FZ282" s="284">
        <v>3531</v>
      </c>
      <c r="GA282" s="282" t="s">
        <v>319</v>
      </c>
      <c r="GB282" s="284"/>
      <c r="GC282" s="286"/>
      <c r="GD282" s="284"/>
      <c r="GE282" s="282" t="s">
        <v>319</v>
      </c>
      <c r="GF282" s="284"/>
      <c r="GG282" s="286"/>
      <c r="GH282" s="284"/>
      <c r="GI282" s="282" t="s">
        <v>319</v>
      </c>
      <c r="GJ282" s="284"/>
      <c r="GK282" s="286"/>
      <c r="GL282" s="284"/>
      <c r="GM282" s="282" t="s">
        <v>320</v>
      </c>
      <c r="GN282" s="284">
        <v>395</v>
      </c>
      <c r="GO282" s="286"/>
      <c r="GP282" s="284">
        <v>395</v>
      </c>
      <c r="GQ282" s="282" t="s">
        <v>319</v>
      </c>
      <c r="GR282" s="284"/>
      <c r="GS282" s="286"/>
      <c r="GT282" s="284"/>
      <c r="GU282" s="282" t="s">
        <v>319</v>
      </c>
      <c r="GV282" s="284"/>
      <c r="GW282" s="286"/>
      <c r="GX282" s="284"/>
      <c r="GY282" s="282" t="s">
        <v>320</v>
      </c>
      <c r="GZ282" s="284">
        <v>36906</v>
      </c>
      <c r="HA282" s="286"/>
      <c r="HB282" s="284">
        <v>184530</v>
      </c>
      <c r="HC282" s="282"/>
      <c r="HD282" s="282"/>
      <c r="HE282" s="284"/>
      <c r="HF282" s="286"/>
      <c r="HG282" s="284"/>
      <c r="HH282" s="282" t="s">
        <v>319</v>
      </c>
      <c r="HI282" s="282"/>
      <c r="HJ282" s="282"/>
      <c r="HK282" s="282" t="s">
        <v>319</v>
      </c>
      <c r="HL282" s="282"/>
      <c r="HM282" s="282"/>
      <c r="HN282" s="282"/>
      <c r="HO282" s="282"/>
      <c r="HP282" s="282" t="s">
        <v>453</v>
      </c>
      <c r="HQ282" s="282" t="s">
        <v>319</v>
      </c>
      <c r="HR282" s="282" t="s">
        <v>320</v>
      </c>
      <c r="HS282" s="282" t="s">
        <v>320</v>
      </c>
      <c r="HT282" s="282" t="s">
        <v>319</v>
      </c>
      <c r="HU282" s="282" t="s">
        <v>319</v>
      </c>
      <c r="HV282" s="282" t="s">
        <v>319</v>
      </c>
      <c r="HW282" s="282" t="s">
        <v>320</v>
      </c>
      <c r="HX282" s="282" t="s">
        <v>319</v>
      </c>
      <c r="HY282" s="282"/>
      <c r="HZ282" s="282" t="s">
        <v>331</v>
      </c>
      <c r="IA282" s="282" t="s">
        <v>5069</v>
      </c>
      <c r="IB282" s="282" t="s">
        <v>396</v>
      </c>
      <c r="IC282" s="282" t="s">
        <v>5070</v>
      </c>
      <c r="ID282" s="282" t="s">
        <v>334</v>
      </c>
      <c r="IE282" s="282" t="s">
        <v>478</v>
      </c>
      <c r="IF282" s="282" t="s">
        <v>320</v>
      </c>
      <c r="IG282" s="282" t="s">
        <v>320</v>
      </c>
      <c r="IH282" s="282" t="s">
        <v>320</v>
      </c>
      <c r="II282" s="282" t="s">
        <v>320</v>
      </c>
      <c r="IJ282" s="12" t="str">
        <f t="shared" si="173"/>
        <v>4. Transformative</v>
      </c>
      <c r="IK282" s="287">
        <f t="shared" si="174"/>
        <v>4</v>
      </c>
      <c r="IL282" s="282" t="s">
        <v>336</v>
      </c>
      <c r="IM282" s="282" t="s">
        <v>320</v>
      </c>
      <c r="IN282" s="282" t="s">
        <v>320</v>
      </c>
      <c r="IO282" s="282" t="s">
        <v>320</v>
      </c>
      <c r="IP282" s="282" t="s">
        <v>320</v>
      </c>
      <c r="IQ282" s="287" t="str">
        <f t="shared" si="175"/>
        <v>2. Accommodating</v>
      </c>
      <c r="IR282" s="287">
        <f t="shared" si="176"/>
        <v>4</v>
      </c>
      <c r="IS282" s="282" t="s">
        <v>337</v>
      </c>
      <c r="IT282" s="282" t="s">
        <v>320</v>
      </c>
      <c r="IU282" s="282" t="s">
        <v>320</v>
      </c>
      <c r="IV282" s="282" t="s">
        <v>320</v>
      </c>
      <c r="IW282" s="11" t="str">
        <f t="shared" si="177"/>
        <v>2. Sensitive</v>
      </c>
      <c r="IX282" s="287">
        <f t="shared" si="178"/>
        <v>3</v>
      </c>
      <c r="IY282" s="282" t="s">
        <v>419</v>
      </c>
      <c r="IZ282" s="282" t="s">
        <v>457</v>
      </c>
      <c r="JA282" s="282">
        <v>5</v>
      </c>
      <c r="JB282" s="282" t="s">
        <v>623</v>
      </c>
      <c r="JC282" s="282" t="s">
        <v>651</v>
      </c>
      <c r="JD282" s="282" t="s">
        <v>687</v>
      </c>
      <c r="JE282" s="282" t="s">
        <v>340</v>
      </c>
      <c r="JF282" s="282" t="s">
        <v>5071</v>
      </c>
      <c r="JG282" s="282" t="s">
        <v>5072</v>
      </c>
      <c r="JH282" s="282" t="s">
        <v>5073</v>
      </c>
      <c r="JI282" s="282" t="s">
        <v>5074</v>
      </c>
      <c r="JJ282" s="282" t="s">
        <v>5075</v>
      </c>
      <c r="JK282" s="282" t="s">
        <v>5076</v>
      </c>
      <c r="JL282" s="282" t="s">
        <v>5077</v>
      </c>
      <c r="JM282" s="282" t="s">
        <v>5078</v>
      </c>
      <c r="JN282" s="282" t="s">
        <v>5079</v>
      </c>
      <c r="JO282" s="282"/>
      <c r="JP282" s="15">
        <f t="shared" si="179"/>
        <v>101054</v>
      </c>
      <c r="JQ282" s="15">
        <f t="shared" si="180"/>
        <v>806013</v>
      </c>
      <c r="JR282" s="279">
        <f t="shared" si="181"/>
        <v>7.9760623033229763</v>
      </c>
      <c r="JS282" s="17">
        <f t="shared" si="182"/>
        <v>0.57057612761493859</v>
      </c>
      <c r="JT282" s="18">
        <f t="shared" si="183"/>
        <v>0.70061649129728676</v>
      </c>
      <c r="JU282" s="280">
        <f t="shared" si="184"/>
        <v>57659</v>
      </c>
      <c r="JV282" s="280">
        <f t="shared" si="185"/>
        <v>564706</v>
      </c>
      <c r="JW282" s="319">
        <f t="shared" si="186"/>
        <v>1</v>
      </c>
      <c r="JX282" s="15">
        <f t="shared" si="187"/>
        <v>101054</v>
      </c>
      <c r="JY282" s="15">
        <f t="shared" si="188"/>
        <v>806013</v>
      </c>
      <c r="JZ282" s="19">
        <f t="shared" si="189"/>
        <v>7.9760623033229763</v>
      </c>
      <c r="KA282" s="52">
        <f t="shared" si="190"/>
        <v>1</v>
      </c>
      <c r="KB282" s="15">
        <f t="shared" si="191"/>
        <v>119720</v>
      </c>
      <c r="KC282" s="15">
        <f t="shared" si="192"/>
        <v>806013</v>
      </c>
      <c r="KD282" s="20">
        <f t="shared" si="193"/>
        <v>6.7324841296358171</v>
      </c>
      <c r="KE282" s="52" t="str">
        <f t="shared" si="194"/>
        <v/>
      </c>
      <c r="KF282" s="15">
        <f t="shared" si="195"/>
        <v>0</v>
      </c>
      <c r="KG282" s="15">
        <f t="shared" si="196"/>
        <v>0</v>
      </c>
      <c r="KH282" s="21" t="str">
        <f t="shared" si="197"/>
        <v/>
      </c>
      <c r="KI282" s="52" t="str">
        <f t="shared" si="198"/>
        <v/>
      </c>
      <c r="KJ282" s="15">
        <f t="shared" si="199"/>
        <v>0</v>
      </c>
      <c r="KK282" s="15">
        <f t="shared" si="200"/>
        <v>0</v>
      </c>
      <c r="KL282" s="19" t="str">
        <f t="shared" si="201"/>
        <v/>
      </c>
      <c r="KM282" s="52">
        <f t="shared" si="202"/>
        <v>1</v>
      </c>
      <c r="KN282" s="22">
        <f t="shared" si="203"/>
        <v>36906</v>
      </c>
      <c r="KO282" s="22">
        <f t="shared" si="204"/>
        <v>184530</v>
      </c>
      <c r="KP282" s="19">
        <f t="shared" si="205"/>
        <v>5</v>
      </c>
      <c r="KQ282" s="11" t="str">
        <f t="shared" si="206"/>
        <v>4. Transformative</v>
      </c>
      <c r="KR282" s="11" t="str">
        <f t="shared" si="207"/>
        <v>2. Accommodating</v>
      </c>
      <c r="KS282" s="11" t="str">
        <f t="shared" si="208"/>
        <v>2. Sensitive</v>
      </c>
      <c r="KT282" s="11" t="str">
        <f t="shared" si="209"/>
        <v>It tested new ways for fighting poverty and measured results of innovation</v>
      </c>
      <c r="KU282" s="11" t="str">
        <f t="shared" si="210"/>
        <v>Intensive advocacy</v>
      </c>
      <c r="KV282" s="11" t="str">
        <f t="shared" si="211"/>
        <v>It linked and worked with strategic alliances and partners to take tested and effective solutions to scale</v>
      </c>
      <c r="KW282" s="11" t="str">
        <f t="shared" si="212"/>
        <v>Haiti - KORE LAVI</v>
      </c>
      <c r="KX282" s="11" t="str">
        <f t="shared" si="213"/>
        <v>KORE LAVI</v>
      </c>
      <c r="KY282" s="11" t="str">
        <f t="shared" si="214"/>
        <v>Haiti</v>
      </c>
      <c r="KZ282" s="12">
        <v>282</v>
      </c>
    </row>
    <row r="283" spans="1:312" x14ac:dyDescent="0.3">
      <c r="A283" s="12" t="s">
        <v>5061</v>
      </c>
      <c r="B283" s="12" t="s">
        <v>2807</v>
      </c>
      <c r="C283" s="12"/>
      <c r="D283" s="12" t="s">
        <v>5136</v>
      </c>
      <c r="E283" s="277" t="str">
        <f t="shared" si="172"/>
        <v>Haiti</v>
      </c>
      <c r="F283" s="12" t="s">
        <v>5137</v>
      </c>
      <c r="G283" s="12" t="s">
        <v>379</v>
      </c>
      <c r="H283" s="12" t="s">
        <v>383</v>
      </c>
      <c r="I283" s="12" t="s">
        <v>384</v>
      </c>
      <c r="J283" s="281" t="s">
        <v>8583</v>
      </c>
      <c r="K283" s="12"/>
      <c r="L283" s="12"/>
      <c r="M283" s="12"/>
      <c r="N283" s="12"/>
      <c r="O283" s="12"/>
      <c r="P283" s="12"/>
      <c r="Q283" s="12"/>
      <c r="R283" s="12"/>
      <c r="S283" s="12"/>
      <c r="T283" s="12"/>
      <c r="U283" s="12"/>
      <c r="V283" s="12"/>
      <c r="W283" s="12"/>
      <c r="X283" s="12"/>
      <c r="Y283" s="12"/>
      <c r="Z283" s="12"/>
      <c r="AA283" s="12"/>
      <c r="AB283" s="12"/>
      <c r="AC283" s="12"/>
      <c r="AD283" s="12"/>
      <c r="BD283" s="13">
        <v>42736</v>
      </c>
      <c r="BE283" s="13">
        <v>43081</v>
      </c>
      <c r="BF283" s="13">
        <v>43220</v>
      </c>
      <c r="BH283" s="14">
        <v>150000</v>
      </c>
      <c r="BI283" s="12" t="s">
        <v>5082</v>
      </c>
      <c r="BJ283" s="12" t="s">
        <v>980</v>
      </c>
      <c r="BK283" s="301" t="s">
        <v>5084</v>
      </c>
      <c r="BL283" s="12" t="s">
        <v>5110</v>
      </c>
      <c r="BM283" s="12" t="s">
        <v>5111</v>
      </c>
      <c r="BN283" s="12" t="s">
        <v>5087</v>
      </c>
      <c r="BO283" s="12" t="s">
        <v>319</v>
      </c>
      <c r="BP283" s="31" t="s">
        <v>320</v>
      </c>
      <c r="BQ283" s="12" t="s">
        <v>319</v>
      </c>
      <c r="BR283" s="11" t="s">
        <v>5138</v>
      </c>
      <c r="BS283" s="28" t="s">
        <v>357</v>
      </c>
      <c r="BT283" s="12" t="s">
        <v>5139</v>
      </c>
      <c r="BU283" s="12" t="s">
        <v>5140</v>
      </c>
      <c r="BV283" s="14">
        <v>9900</v>
      </c>
      <c r="BW283" s="14"/>
      <c r="BX283" s="14">
        <v>9900</v>
      </c>
      <c r="BY283" s="14"/>
      <c r="BZ283" s="14"/>
      <c r="CA283" s="14">
        <v>49500</v>
      </c>
      <c r="CB283" s="12" t="s">
        <v>14645</v>
      </c>
      <c r="CD283" s="14"/>
      <c r="CE283" s="14"/>
      <c r="CF283" s="14"/>
      <c r="CG283" s="14"/>
      <c r="CH283" s="14"/>
      <c r="CI283" s="14"/>
      <c r="CJ283" s="12"/>
      <c r="CK283" s="14"/>
      <c r="CL283" s="16"/>
      <c r="CM283" s="14"/>
      <c r="CN283" s="12"/>
      <c r="CO283" s="14"/>
      <c r="CP283" s="16"/>
      <c r="CQ283" s="14"/>
      <c r="CR283" s="12"/>
      <c r="CS283" s="14"/>
      <c r="CT283" s="16"/>
      <c r="CU283" s="14"/>
      <c r="CV283" s="12"/>
      <c r="CW283" s="14"/>
      <c r="CX283" s="16"/>
      <c r="CY283" s="14"/>
      <c r="CZ283" s="12"/>
      <c r="DA283" s="14"/>
      <c r="DB283" s="16"/>
      <c r="DC283" s="14"/>
      <c r="DD283" s="12"/>
      <c r="DE283" s="14"/>
      <c r="DF283" s="16"/>
      <c r="DG283" s="14"/>
      <c r="DH283" s="12"/>
      <c r="DI283" s="14"/>
      <c r="DJ283" s="16"/>
      <c r="DK283" s="14"/>
      <c r="DL283" s="12"/>
      <c r="DM283" s="14"/>
      <c r="DN283" s="16"/>
      <c r="DO283" s="14"/>
      <c r="DP283" s="12"/>
      <c r="DQ283" s="14"/>
      <c r="DR283" s="16"/>
      <c r="DS283" s="14"/>
      <c r="DT283" s="12"/>
      <c r="DU283" s="14"/>
      <c r="DV283" s="16"/>
      <c r="DW283" s="14"/>
      <c r="DX283" s="12"/>
      <c r="DY283" s="14"/>
      <c r="DZ283" s="16"/>
      <c r="EA283" s="14"/>
      <c r="EB283" s="12"/>
      <c r="EC283" s="14"/>
      <c r="ED283" s="16"/>
      <c r="EE283" s="14"/>
      <c r="EF283" s="12"/>
      <c r="EG283" s="12"/>
      <c r="EH283" s="14"/>
      <c r="EI283" s="16"/>
      <c r="EJ283" s="14"/>
      <c r="EK283" s="14">
        <v>7290</v>
      </c>
      <c r="EL283" s="14">
        <v>2430</v>
      </c>
      <c r="EM283" s="14">
        <v>9720</v>
      </c>
      <c r="EN283" s="14"/>
      <c r="EO283" s="14"/>
      <c r="EP283" s="14">
        <v>48600</v>
      </c>
      <c r="EQ283" s="12"/>
      <c r="ER283" s="14"/>
      <c r="ES283" s="16"/>
      <c r="ET283" s="14"/>
      <c r="EU283" s="12"/>
      <c r="EV283" s="14"/>
      <c r="EW283" s="16"/>
      <c r="EX283" s="14"/>
      <c r="EY283" s="12"/>
      <c r="EZ283" s="14"/>
      <c r="FA283" s="16"/>
      <c r="FB283" s="14"/>
      <c r="FC283" s="12"/>
      <c r="FD283" s="14"/>
      <c r="FE283" s="16"/>
      <c r="FF283" s="14"/>
      <c r="FG283" s="12"/>
      <c r="FH283" s="14"/>
      <c r="FI283" s="16"/>
      <c r="FJ283" s="14"/>
      <c r="FK283" s="12"/>
      <c r="FL283" s="14"/>
      <c r="FM283" s="16"/>
      <c r="FN283" s="14"/>
      <c r="FO283" s="12"/>
      <c r="FP283" s="14"/>
      <c r="FQ283" s="16"/>
      <c r="FR283" s="14"/>
      <c r="FS283" s="12"/>
      <c r="FT283" s="14"/>
      <c r="FU283" s="16"/>
      <c r="FV283" s="14"/>
      <c r="FW283" s="12"/>
      <c r="FX283" s="14"/>
      <c r="FY283" s="16"/>
      <c r="FZ283" s="14"/>
      <c r="GA283" s="12"/>
      <c r="GB283" s="14"/>
      <c r="GC283" s="16"/>
      <c r="GD283" s="14"/>
      <c r="GE283" s="12"/>
      <c r="GF283" s="14"/>
      <c r="GG283" s="16"/>
      <c r="GH283" s="14"/>
      <c r="GI283" s="12"/>
      <c r="GJ283" s="14"/>
      <c r="GK283" s="16"/>
      <c r="GL283" s="14"/>
      <c r="GM283" s="12"/>
      <c r="GN283" s="14"/>
      <c r="GO283" s="16"/>
      <c r="GP283" s="14"/>
      <c r="GQ283" s="12"/>
      <c r="GR283" s="14"/>
      <c r="GS283" s="16"/>
      <c r="GT283" s="14"/>
      <c r="GU283" s="12"/>
      <c r="GV283" s="14"/>
      <c r="GW283" s="16"/>
      <c r="GX283" s="14"/>
      <c r="GY283" s="12"/>
      <c r="GZ283" s="14"/>
      <c r="HA283" s="16"/>
      <c r="HB283" s="14"/>
      <c r="HC283" s="12" t="s">
        <v>14646</v>
      </c>
      <c r="HD283" s="12" t="s">
        <v>320</v>
      </c>
      <c r="HE283" s="14"/>
      <c r="HF283" s="16"/>
      <c r="HG283" s="14"/>
      <c r="HH283" s="12" t="s">
        <v>319</v>
      </c>
      <c r="HI283" s="12"/>
      <c r="HJ283" s="12"/>
      <c r="HK283" s="12" t="s">
        <v>320</v>
      </c>
      <c r="HL283" s="12"/>
      <c r="HM283" s="12"/>
      <c r="HN283" s="12"/>
      <c r="HO283" s="12" t="s">
        <v>14647</v>
      </c>
      <c r="HP283" s="12" t="s">
        <v>418</v>
      </c>
      <c r="HQ283" s="12" t="s">
        <v>319</v>
      </c>
      <c r="HR283" s="12" t="s">
        <v>319</v>
      </c>
      <c r="HS283" s="12" t="s">
        <v>319</v>
      </c>
      <c r="HT283" s="12" t="s">
        <v>319</v>
      </c>
      <c r="HU283" s="12" t="s">
        <v>319</v>
      </c>
      <c r="HV283" s="12" t="s">
        <v>319</v>
      </c>
      <c r="HW283" s="12" t="s">
        <v>319</v>
      </c>
      <c r="HX283" s="12" t="s">
        <v>319</v>
      </c>
      <c r="HY283" s="12"/>
      <c r="HZ283" s="11" t="s">
        <v>363</v>
      </c>
      <c r="IA283" s="12"/>
      <c r="IB283" s="12" t="s">
        <v>333</v>
      </c>
      <c r="IC283" s="12"/>
      <c r="ID283" s="12" t="s">
        <v>334</v>
      </c>
      <c r="IE283" s="12" t="s">
        <v>335</v>
      </c>
      <c r="IF283" s="12" t="s">
        <v>320</v>
      </c>
      <c r="IG283" s="12" t="s">
        <v>320</v>
      </c>
      <c r="IH283" s="12" t="s">
        <v>320</v>
      </c>
      <c r="II283" s="12" t="s">
        <v>320</v>
      </c>
      <c r="IJ283" s="12" t="str">
        <f t="shared" si="173"/>
        <v>2. Sensitive</v>
      </c>
      <c r="IK283" s="12">
        <f t="shared" si="174"/>
        <v>4</v>
      </c>
      <c r="IL283" s="12" t="s">
        <v>336</v>
      </c>
      <c r="IM283" s="12" t="s">
        <v>320</v>
      </c>
      <c r="IN283" s="12" t="s">
        <v>320</v>
      </c>
      <c r="IO283" s="12" t="s">
        <v>320</v>
      </c>
      <c r="IP283" s="12" t="s">
        <v>320</v>
      </c>
      <c r="IQ283" s="12" t="str">
        <f t="shared" si="175"/>
        <v>2. Accommodating</v>
      </c>
      <c r="IR283" s="12">
        <f t="shared" si="176"/>
        <v>4</v>
      </c>
      <c r="IS283" s="12" t="s">
        <v>337</v>
      </c>
      <c r="IT283" s="12" t="s">
        <v>320</v>
      </c>
      <c r="IU283" s="12" t="s">
        <v>320</v>
      </c>
      <c r="IV283" s="12" t="s">
        <v>320</v>
      </c>
      <c r="IW283" s="11" t="str">
        <f t="shared" si="177"/>
        <v>2. Sensitive</v>
      </c>
      <c r="IX283" s="12">
        <f t="shared" si="178"/>
        <v>3</v>
      </c>
      <c r="IY283" s="11" t="s">
        <v>419</v>
      </c>
      <c r="IZ283" s="11" t="s">
        <v>527</v>
      </c>
      <c r="JA283" s="12">
        <v>3</v>
      </c>
      <c r="JB283" s="11" t="s">
        <v>623</v>
      </c>
      <c r="JC283" s="11" t="s">
        <v>831</v>
      </c>
      <c r="JD283" s="11" t="s">
        <v>687</v>
      </c>
      <c r="JE283" s="12" t="s">
        <v>365</v>
      </c>
      <c r="JF283" s="12" t="s">
        <v>5141</v>
      </c>
      <c r="JG283" s="12"/>
      <c r="JH283" s="12"/>
      <c r="JI283" s="12"/>
      <c r="JJ283" s="12"/>
      <c r="JK283" s="12"/>
      <c r="JL283" s="12"/>
      <c r="JM283" s="12"/>
      <c r="JN283" s="12" t="s">
        <v>5142</v>
      </c>
      <c r="JO283" s="12" t="s">
        <v>5143</v>
      </c>
      <c r="JP283" s="15">
        <f t="shared" si="179"/>
        <v>9720</v>
      </c>
      <c r="JQ283" s="15">
        <f t="shared" si="180"/>
        <v>48600</v>
      </c>
      <c r="JR283" s="279">
        <f t="shared" si="181"/>
        <v>5</v>
      </c>
      <c r="JS283" s="17">
        <f t="shared" si="182"/>
        <v>0.75</v>
      </c>
      <c r="JT283" s="18">
        <f t="shared" si="183"/>
        <v>0</v>
      </c>
      <c r="JU283" s="280">
        <f t="shared" si="184"/>
        <v>7290</v>
      </c>
      <c r="JV283" s="280">
        <f t="shared" si="185"/>
        <v>0</v>
      </c>
      <c r="JW283" s="319" t="str">
        <f t="shared" si="186"/>
        <v/>
      </c>
      <c r="JX283" s="15">
        <f t="shared" si="187"/>
        <v>0</v>
      </c>
      <c r="JY283" s="15">
        <f t="shared" si="188"/>
        <v>0</v>
      </c>
      <c r="JZ283" s="19" t="str">
        <f t="shared" si="189"/>
        <v/>
      </c>
      <c r="KA283" s="52" t="str">
        <f t="shared" si="190"/>
        <v/>
      </c>
      <c r="KB283" s="15">
        <f t="shared" si="191"/>
        <v>0</v>
      </c>
      <c r="KC283" s="15">
        <f t="shared" si="192"/>
        <v>0</v>
      </c>
      <c r="KD283" s="20" t="str">
        <f t="shared" si="193"/>
        <v/>
      </c>
      <c r="KE283" s="52" t="str">
        <f t="shared" si="194"/>
        <v/>
      </c>
      <c r="KF283" s="15">
        <f t="shared" si="195"/>
        <v>0</v>
      </c>
      <c r="KG283" s="15">
        <f t="shared" si="196"/>
        <v>0</v>
      </c>
      <c r="KH283" s="21" t="str">
        <f t="shared" si="197"/>
        <v/>
      </c>
      <c r="KI283" s="52" t="str">
        <f t="shared" si="198"/>
        <v/>
      </c>
      <c r="KJ283" s="15">
        <f t="shared" si="199"/>
        <v>0</v>
      </c>
      <c r="KK283" s="15">
        <f t="shared" si="200"/>
        <v>0</v>
      </c>
      <c r="KL283" s="19" t="str">
        <f t="shared" si="201"/>
        <v/>
      </c>
      <c r="KM283" s="52" t="str">
        <f t="shared" si="202"/>
        <v/>
      </c>
      <c r="KN283" s="22">
        <f t="shared" si="203"/>
        <v>0</v>
      </c>
      <c r="KO283" s="22">
        <f t="shared" si="204"/>
        <v>0</v>
      </c>
      <c r="KP283" s="19" t="str">
        <f t="shared" si="205"/>
        <v/>
      </c>
      <c r="KQ283" s="11" t="str">
        <f t="shared" si="206"/>
        <v>2. Sensitive</v>
      </c>
      <c r="KR283" s="11" t="str">
        <f t="shared" si="207"/>
        <v>2. Accommodating</v>
      </c>
      <c r="KS283" s="11" t="str">
        <f t="shared" si="208"/>
        <v>2. Sensitive</v>
      </c>
      <c r="KT283" s="11" t="str">
        <f t="shared" si="209"/>
        <v>It did not develop any specific innovation</v>
      </c>
      <c r="KU283" s="11" t="str">
        <f t="shared" si="210"/>
        <v>Little or no advocacy</v>
      </c>
      <c r="KV283" s="11" t="str">
        <f t="shared" si="211"/>
        <v>It did not take tested solutions to scale</v>
      </c>
      <c r="KW283" s="11" t="str">
        <f t="shared" si="212"/>
        <v>Haiti - PACE in the community - Haïti Phase III</v>
      </c>
      <c r="KX283" s="11" t="str">
        <f t="shared" si="213"/>
        <v>PACE in the community - Haïti Phase III</v>
      </c>
      <c r="KY283" s="11" t="str">
        <f t="shared" si="214"/>
        <v>Haiti</v>
      </c>
      <c r="KZ283" s="12">
        <v>283</v>
      </c>
    </row>
    <row r="284" spans="1:312" x14ac:dyDescent="0.3">
      <c r="A284" s="12" t="s">
        <v>5061</v>
      </c>
      <c r="B284" s="12" t="s">
        <v>2807</v>
      </c>
      <c r="C284" s="12">
        <v>3578</v>
      </c>
      <c r="D284" s="12" t="s">
        <v>5120</v>
      </c>
      <c r="E284" s="277" t="str">
        <f t="shared" si="172"/>
        <v>Haiti</v>
      </c>
      <c r="F284" s="12" t="s">
        <v>5121</v>
      </c>
      <c r="G284" s="12" t="s">
        <v>379</v>
      </c>
      <c r="H284" s="12" t="s">
        <v>383</v>
      </c>
      <c r="I284" s="12" t="s">
        <v>384</v>
      </c>
      <c r="J284" s="302" t="s">
        <v>14648</v>
      </c>
      <c r="K284" s="12"/>
      <c r="L284" s="12"/>
      <c r="M284" s="12"/>
      <c r="N284" s="12"/>
      <c r="O284" s="12"/>
      <c r="P284" s="12"/>
      <c r="Q284" s="12"/>
      <c r="R284" s="12"/>
      <c r="S284" s="12"/>
      <c r="T284" s="12"/>
      <c r="U284" s="12"/>
      <c r="V284" s="12"/>
      <c r="W284" s="12"/>
      <c r="X284" s="12"/>
      <c r="Y284" s="12"/>
      <c r="Z284" s="12"/>
      <c r="AA284" s="12"/>
      <c r="AB284" s="12"/>
      <c r="AC284" s="12"/>
      <c r="AD284" s="12"/>
      <c r="BD284" s="13">
        <v>41596</v>
      </c>
      <c r="BE284" s="13">
        <v>43421</v>
      </c>
      <c r="BF284" s="12"/>
      <c r="BG284" s="11" t="s">
        <v>312</v>
      </c>
      <c r="BH284" s="14">
        <v>11916751</v>
      </c>
      <c r="BI284" s="12" t="s">
        <v>5146</v>
      </c>
      <c r="BJ284" s="12" t="s">
        <v>5147</v>
      </c>
      <c r="BK284" s="301" t="s">
        <v>5148</v>
      </c>
      <c r="BL284" s="12" t="s">
        <v>5122</v>
      </c>
      <c r="BM284" s="12" t="s">
        <v>5123</v>
      </c>
      <c r="BN284" s="12"/>
      <c r="BO284" s="12" t="s">
        <v>319</v>
      </c>
      <c r="BP284" s="31" t="s">
        <v>320</v>
      </c>
      <c r="BQ284" s="12" t="s">
        <v>319</v>
      </c>
      <c r="BR284" s="12" t="s">
        <v>5124</v>
      </c>
      <c r="BS284" s="28" t="s">
        <v>357</v>
      </c>
      <c r="BT284" s="12" t="s">
        <v>5125</v>
      </c>
      <c r="BU284" s="12" t="s">
        <v>5126</v>
      </c>
      <c r="BV284" s="14"/>
      <c r="BW284" s="14"/>
      <c r="BX284" s="14">
        <v>50000</v>
      </c>
      <c r="BY284" s="14"/>
      <c r="BZ284" s="14"/>
      <c r="CA284" s="14">
        <v>189633</v>
      </c>
      <c r="CB284" s="12" t="s">
        <v>14649</v>
      </c>
      <c r="CD284" s="14"/>
      <c r="CE284" s="14"/>
      <c r="CF284" s="14"/>
      <c r="CG284" s="14"/>
      <c r="CH284" s="14"/>
      <c r="CI284" s="14"/>
      <c r="CJ284" s="12"/>
      <c r="CK284" s="14"/>
      <c r="CL284" s="16"/>
      <c r="CM284" s="14"/>
      <c r="CN284" s="12"/>
      <c r="CO284" s="14"/>
      <c r="CP284" s="16"/>
      <c r="CQ284" s="14"/>
      <c r="CR284" s="12"/>
      <c r="CS284" s="14"/>
      <c r="CT284" s="16"/>
      <c r="CU284" s="14"/>
      <c r="CV284" s="12"/>
      <c r="CW284" s="14"/>
      <c r="CX284" s="16"/>
      <c r="CY284" s="14"/>
      <c r="CZ284" s="12"/>
      <c r="DA284" s="14"/>
      <c r="DB284" s="16"/>
      <c r="DC284" s="14"/>
      <c r="DD284" s="12"/>
      <c r="DE284" s="14"/>
      <c r="DF284" s="16"/>
      <c r="DG284" s="14"/>
      <c r="DH284" s="12"/>
      <c r="DI284" s="14"/>
      <c r="DJ284" s="16"/>
      <c r="DK284" s="14"/>
      <c r="DL284" s="12"/>
      <c r="DM284" s="14"/>
      <c r="DN284" s="16"/>
      <c r="DO284" s="14"/>
      <c r="DP284" s="12"/>
      <c r="DQ284" s="14"/>
      <c r="DR284" s="16"/>
      <c r="DS284" s="14"/>
      <c r="DT284" s="12"/>
      <c r="DU284" s="14"/>
      <c r="DV284" s="16"/>
      <c r="DW284" s="14"/>
      <c r="DX284" s="12"/>
      <c r="DY284" s="14"/>
      <c r="DZ284" s="16"/>
      <c r="EA284" s="14"/>
      <c r="EB284" s="12"/>
      <c r="EC284" s="14"/>
      <c r="ED284" s="16"/>
      <c r="EE284" s="14"/>
      <c r="EF284" s="12"/>
      <c r="EG284" s="12"/>
      <c r="EH284" s="14"/>
      <c r="EI284" s="16"/>
      <c r="EJ284" s="14"/>
      <c r="EK284" s="14">
        <v>19797</v>
      </c>
      <c r="EL284" s="14">
        <v>22582</v>
      </c>
      <c r="EM284" s="14">
        <v>4237</v>
      </c>
      <c r="EN284" s="14">
        <v>575</v>
      </c>
      <c r="EO284" s="14">
        <v>1251</v>
      </c>
      <c r="EP284" s="14">
        <v>1826</v>
      </c>
      <c r="EQ284" s="12"/>
      <c r="ER284" s="14"/>
      <c r="ES284" s="16"/>
      <c r="ET284" s="14"/>
      <c r="EU284" s="12"/>
      <c r="EV284" s="14"/>
      <c r="EW284" s="16"/>
      <c r="EX284" s="14"/>
      <c r="EY284" s="12"/>
      <c r="EZ284" s="14"/>
      <c r="FA284" s="16"/>
      <c r="FB284" s="14"/>
      <c r="FC284" s="12"/>
      <c r="FD284" s="14"/>
      <c r="FE284" s="16"/>
      <c r="FF284" s="14"/>
      <c r="FK284" s="12" t="s">
        <v>320</v>
      </c>
      <c r="FL284" s="14">
        <v>42379</v>
      </c>
      <c r="FM284" s="16">
        <v>0.46700000000000003</v>
      </c>
      <c r="FN284" s="14">
        <v>1826</v>
      </c>
      <c r="FO284" s="12"/>
      <c r="FP284" s="14"/>
      <c r="FQ284" s="16"/>
      <c r="FR284" s="14"/>
      <c r="FW284" s="12" t="s">
        <v>320</v>
      </c>
      <c r="FX284" s="14">
        <v>42379</v>
      </c>
      <c r="FY284" s="16">
        <v>0.46700000000000003</v>
      </c>
      <c r="FZ284" s="14">
        <v>1826</v>
      </c>
      <c r="GC284" s="16"/>
      <c r="GD284" s="14"/>
      <c r="GE284" s="11" t="s">
        <v>320</v>
      </c>
      <c r="GF284" s="14">
        <v>1923</v>
      </c>
      <c r="GG284" s="16"/>
      <c r="GH284" s="14"/>
      <c r="GM284" s="11" t="s">
        <v>320</v>
      </c>
      <c r="GN284" s="14">
        <v>1075</v>
      </c>
      <c r="GO284" s="16"/>
      <c r="GP284" s="14">
        <v>269</v>
      </c>
      <c r="GQ284" s="12"/>
      <c r="GR284" s="14"/>
      <c r="GS284" s="16"/>
      <c r="GT284" s="14"/>
      <c r="GU284" s="12"/>
      <c r="GV284" s="14"/>
      <c r="GW284" s="16"/>
      <c r="GX284" s="14"/>
      <c r="GY284" s="12"/>
      <c r="GZ284" s="14"/>
      <c r="HA284" s="16"/>
      <c r="HB284" s="14"/>
      <c r="HC284" s="12"/>
      <c r="HD284" s="12"/>
      <c r="HE284" s="14"/>
      <c r="HF284" s="16"/>
      <c r="HG284" s="14"/>
      <c r="HH284" s="12" t="s">
        <v>320</v>
      </c>
      <c r="HI284" s="12" t="s">
        <v>431</v>
      </c>
      <c r="HJ284" s="12">
        <v>2017</v>
      </c>
      <c r="HK284" s="12"/>
      <c r="HL284" s="12" t="s">
        <v>320</v>
      </c>
      <c r="HM284" s="12" t="s">
        <v>416</v>
      </c>
      <c r="HN284" s="12">
        <v>2018</v>
      </c>
      <c r="HO284" s="12" t="s">
        <v>5127</v>
      </c>
      <c r="HP284" s="12" t="s">
        <v>453</v>
      </c>
      <c r="HQ284" s="12" t="s">
        <v>319</v>
      </c>
      <c r="HR284" s="12" t="s">
        <v>320</v>
      </c>
      <c r="HS284" s="12" t="s">
        <v>319</v>
      </c>
      <c r="HT284" s="12" t="s">
        <v>319</v>
      </c>
      <c r="HU284" s="12" t="s">
        <v>320</v>
      </c>
      <c r="HV284" s="12" t="s">
        <v>319</v>
      </c>
      <c r="HW284" s="12" t="s">
        <v>320</v>
      </c>
      <c r="HX284" s="12" t="s">
        <v>320</v>
      </c>
      <c r="HY284" s="12" t="s">
        <v>5128</v>
      </c>
      <c r="HZ284" s="11" t="s">
        <v>363</v>
      </c>
      <c r="IA284" s="12"/>
      <c r="IB284" s="12" t="s">
        <v>333</v>
      </c>
      <c r="IC284" s="12"/>
      <c r="ID284" s="12" t="s">
        <v>334</v>
      </c>
      <c r="IE284" s="12" t="s">
        <v>335</v>
      </c>
      <c r="IF284" s="12" t="s">
        <v>320</v>
      </c>
      <c r="IG284" s="12" t="s">
        <v>320</v>
      </c>
      <c r="IH284" s="12" t="s">
        <v>320</v>
      </c>
      <c r="II284" s="12" t="s">
        <v>320</v>
      </c>
      <c r="IJ284" s="12" t="str">
        <f t="shared" si="173"/>
        <v>2. Sensitive</v>
      </c>
      <c r="IK284" s="12">
        <f t="shared" si="174"/>
        <v>4</v>
      </c>
      <c r="IL284" s="12" t="s">
        <v>336</v>
      </c>
      <c r="IM284" s="12" t="s">
        <v>320</v>
      </c>
      <c r="IN284" s="12" t="s">
        <v>320</v>
      </c>
      <c r="IO284" s="12" t="s">
        <v>320</v>
      </c>
      <c r="IP284" s="12" t="s">
        <v>320</v>
      </c>
      <c r="IQ284" s="12" t="str">
        <f t="shared" si="175"/>
        <v>2. Accommodating</v>
      </c>
      <c r="IR284" s="12">
        <f t="shared" si="176"/>
        <v>4</v>
      </c>
      <c r="IS284" s="12" t="s">
        <v>337</v>
      </c>
      <c r="IT284" s="12" t="s">
        <v>320</v>
      </c>
      <c r="IU284" s="12" t="s">
        <v>319</v>
      </c>
      <c r="IV284" s="12" t="s">
        <v>320</v>
      </c>
      <c r="IW284" s="11" t="str">
        <f t="shared" si="177"/>
        <v>1. Neutral</v>
      </c>
      <c r="IX284" s="12">
        <f t="shared" si="178"/>
        <v>2</v>
      </c>
      <c r="IY284" s="11" t="s">
        <v>419</v>
      </c>
      <c r="IZ284" s="12" t="s">
        <v>457</v>
      </c>
      <c r="JA284" s="12">
        <v>20</v>
      </c>
      <c r="JB284" s="11" t="s">
        <v>623</v>
      </c>
      <c r="JC284" s="12" t="s">
        <v>651</v>
      </c>
      <c r="JD284" s="11" t="s">
        <v>687</v>
      </c>
      <c r="JE284" s="12" t="s">
        <v>340</v>
      </c>
      <c r="JF284" s="12" t="s">
        <v>5129</v>
      </c>
      <c r="JG284" s="12"/>
      <c r="JH284" s="12" t="s">
        <v>5130</v>
      </c>
      <c r="JI284" s="12" t="s">
        <v>5131</v>
      </c>
      <c r="JJ284" s="12" t="s">
        <v>5132</v>
      </c>
      <c r="JK284" s="12" t="s">
        <v>5133</v>
      </c>
      <c r="JL284" s="12" t="s">
        <v>5134</v>
      </c>
      <c r="JM284" s="12" t="s">
        <v>5135</v>
      </c>
      <c r="JN284" s="12"/>
      <c r="JO284" s="12"/>
      <c r="JP284" s="15">
        <f t="shared" si="179"/>
        <v>4237</v>
      </c>
      <c r="JQ284" s="15">
        <f t="shared" si="180"/>
        <v>1826</v>
      </c>
      <c r="JR284" s="279">
        <f t="shared" si="181"/>
        <v>0.43096530564078356</v>
      </c>
      <c r="JS284" s="17">
        <f t="shared" si="182"/>
        <v>4.6724097238612226</v>
      </c>
      <c r="JT284" s="18">
        <f t="shared" si="183"/>
        <v>0.31489594742606791</v>
      </c>
      <c r="JU284" s="280">
        <f t="shared" si="184"/>
        <v>19797</v>
      </c>
      <c r="JV284" s="280">
        <f t="shared" si="185"/>
        <v>575</v>
      </c>
      <c r="JW284" s="319" t="str">
        <f t="shared" si="186"/>
        <v/>
      </c>
      <c r="JX284" s="15">
        <f t="shared" si="187"/>
        <v>0</v>
      </c>
      <c r="JY284" s="15">
        <f t="shared" si="188"/>
        <v>0</v>
      </c>
      <c r="JZ284" s="19" t="str">
        <f t="shared" si="189"/>
        <v/>
      </c>
      <c r="KA284" s="52" t="str">
        <f t="shared" si="190"/>
        <v/>
      </c>
      <c r="KB284" s="15">
        <f t="shared" si="191"/>
        <v>0</v>
      </c>
      <c r="KC284" s="15">
        <f t="shared" si="192"/>
        <v>0</v>
      </c>
      <c r="KD284" s="20" t="str">
        <f t="shared" si="193"/>
        <v/>
      </c>
      <c r="KE284" s="52" t="str">
        <f t="shared" si="194"/>
        <v/>
      </c>
      <c r="KF284" s="15">
        <f t="shared" si="195"/>
        <v>0</v>
      </c>
      <c r="KG284" s="15">
        <f t="shared" si="196"/>
        <v>0</v>
      </c>
      <c r="KH284" s="21" t="str">
        <f t="shared" si="197"/>
        <v/>
      </c>
      <c r="KI284" s="52" t="str">
        <f t="shared" si="198"/>
        <v/>
      </c>
      <c r="KJ284" s="15">
        <f t="shared" si="199"/>
        <v>0</v>
      </c>
      <c r="KK284" s="15">
        <f t="shared" si="200"/>
        <v>0</v>
      </c>
      <c r="KL284" s="19" t="str">
        <f t="shared" si="201"/>
        <v/>
      </c>
      <c r="KM284" s="52" t="str">
        <f t="shared" si="202"/>
        <v/>
      </c>
      <c r="KN284" s="22">
        <f t="shared" si="203"/>
        <v>0</v>
      </c>
      <c r="KO284" s="22">
        <f t="shared" si="204"/>
        <v>0</v>
      </c>
      <c r="KP284" s="19" t="str">
        <f t="shared" si="205"/>
        <v/>
      </c>
      <c r="KQ284" s="11" t="str">
        <f t="shared" si="206"/>
        <v>2. Sensitive</v>
      </c>
      <c r="KR284" s="11" t="str">
        <f t="shared" si="207"/>
        <v>2. Accommodating</v>
      </c>
      <c r="KS284" s="11" t="str">
        <f t="shared" si="208"/>
        <v>1. Neutral</v>
      </c>
      <c r="KT284" s="11" t="str">
        <f t="shared" si="209"/>
        <v>It did not develop any specific innovation</v>
      </c>
      <c r="KU284" s="11" t="str">
        <f t="shared" si="210"/>
        <v>Intensive advocacy</v>
      </c>
      <c r="KV284" s="11" t="str">
        <f t="shared" si="211"/>
        <v>It did not take tested solutions to scale</v>
      </c>
      <c r="KW284" s="11" t="str">
        <f t="shared" si="212"/>
        <v>Haiti - Partners for Learning: Improving Quality, Equity, and Access to Primary Education for Out-of-School Girls and Boys in Haiti</v>
      </c>
      <c r="KX284" s="11" t="str">
        <f t="shared" si="213"/>
        <v>Partners for Learning: Improving Quality, Equity, and Access to Primary Education for Out-of-School Girls and Boys in Haiti</v>
      </c>
      <c r="KY284" s="11" t="str">
        <f t="shared" si="214"/>
        <v>Haiti</v>
      </c>
      <c r="KZ284" s="12">
        <v>284</v>
      </c>
    </row>
    <row r="285" spans="1:312" x14ac:dyDescent="0.3">
      <c r="A285" s="11" t="s">
        <v>5190</v>
      </c>
      <c r="B285" s="11" t="s">
        <v>2807</v>
      </c>
      <c r="D285" s="11" t="s">
        <v>5191</v>
      </c>
      <c r="E285" s="24" t="str">
        <f t="shared" si="172"/>
        <v>Honduras</v>
      </c>
      <c r="F285" s="11" t="s">
        <v>5192</v>
      </c>
      <c r="G285" s="11" t="s">
        <v>714</v>
      </c>
      <c r="H285" s="11" t="s">
        <v>384</v>
      </c>
      <c r="I285" s="11" t="s">
        <v>907</v>
      </c>
      <c r="J285" s="278" t="s">
        <v>5183</v>
      </c>
      <c r="BD285" s="23">
        <v>42461</v>
      </c>
      <c r="BE285" s="23">
        <v>43008</v>
      </c>
      <c r="BF285" s="23">
        <v>43100</v>
      </c>
      <c r="BG285" s="11" t="s">
        <v>817</v>
      </c>
      <c r="BI285" s="11" t="s">
        <v>5193</v>
      </c>
      <c r="BJ285" s="11" t="s">
        <v>5194</v>
      </c>
      <c r="BL285" s="11" t="s">
        <v>5195</v>
      </c>
      <c r="BM285" s="11" t="s">
        <v>5196</v>
      </c>
      <c r="BN285" s="11" t="s">
        <v>5197</v>
      </c>
      <c r="BO285" s="11" t="s">
        <v>320</v>
      </c>
      <c r="BP285" s="11" t="s">
        <v>319</v>
      </c>
      <c r="BQ285" s="11" t="s">
        <v>319</v>
      </c>
      <c r="BR285" s="11" t="s">
        <v>5198</v>
      </c>
      <c r="BS285" s="11" t="s">
        <v>357</v>
      </c>
      <c r="BT285" s="11" t="s">
        <v>5199</v>
      </c>
      <c r="BU285" s="11" t="s">
        <v>5200</v>
      </c>
      <c r="BV285" s="22">
        <v>5117</v>
      </c>
      <c r="BW285" s="22">
        <v>5838</v>
      </c>
      <c r="BX285" s="22">
        <v>10955</v>
      </c>
      <c r="BY285" s="22">
        <v>273000</v>
      </c>
      <c r="BZ285" s="22">
        <v>182000</v>
      </c>
      <c r="CA285" s="22">
        <v>455000</v>
      </c>
      <c r="CB285" s="15" t="s">
        <v>5201</v>
      </c>
      <c r="CD285" s="22">
        <v>653</v>
      </c>
      <c r="CE285" s="22">
        <v>711</v>
      </c>
      <c r="CF285" s="22">
        <v>1364</v>
      </c>
      <c r="CG285" s="22">
        <v>19010</v>
      </c>
      <c r="CH285" s="22">
        <v>23231</v>
      </c>
      <c r="CI285" s="22">
        <v>42241</v>
      </c>
      <c r="CJ285" s="11" t="s">
        <v>319</v>
      </c>
      <c r="CL285" s="18"/>
      <c r="CN285" s="12" t="s">
        <v>319</v>
      </c>
      <c r="CP285" s="18"/>
      <c r="CR285" s="11" t="s">
        <v>320</v>
      </c>
      <c r="CS285" s="22">
        <v>1080</v>
      </c>
      <c r="CT285" s="18">
        <v>0.6</v>
      </c>
      <c r="CU285" s="22">
        <v>2000</v>
      </c>
      <c r="CV285" s="12" t="s">
        <v>320</v>
      </c>
      <c r="CW285" s="22">
        <v>1040</v>
      </c>
      <c r="CX285" s="18">
        <v>0.55000000000000004</v>
      </c>
      <c r="CY285" s="22">
        <v>200</v>
      </c>
      <c r="CZ285" s="11" t="s">
        <v>319</v>
      </c>
      <c r="DB285" s="18"/>
      <c r="DD285" s="11" t="s">
        <v>320</v>
      </c>
      <c r="DE285" s="22">
        <v>72</v>
      </c>
      <c r="DF285" s="18">
        <v>0.8</v>
      </c>
      <c r="DG285" s="22">
        <v>432</v>
      </c>
      <c r="DH285" s="11" t="s">
        <v>319</v>
      </c>
      <c r="DJ285" s="18"/>
      <c r="DL285" s="11" t="s">
        <v>320</v>
      </c>
      <c r="DM285" s="22">
        <v>792</v>
      </c>
      <c r="DN285" s="18">
        <v>0.65</v>
      </c>
      <c r="DO285" s="22">
        <v>600</v>
      </c>
      <c r="DP285" s="11" t="s">
        <v>319</v>
      </c>
      <c r="DR285" s="18"/>
      <c r="DT285" s="11" t="s">
        <v>319</v>
      </c>
      <c r="DV285" s="18"/>
      <c r="DX285" s="11" t="s">
        <v>319</v>
      </c>
      <c r="DZ285" s="18"/>
      <c r="EB285" s="11" t="s">
        <v>319</v>
      </c>
      <c r="ED285" s="18"/>
      <c r="EF285" s="15" t="s">
        <v>5202</v>
      </c>
      <c r="EG285" s="12" t="s">
        <v>320</v>
      </c>
      <c r="EH285" s="22">
        <v>1364</v>
      </c>
      <c r="EI285" s="18">
        <v>0.45</v>
      </c>
      <c r="EJ285" s="22">
        <v>45474</v>
      </c>
      <c r="ES285" s="18"/>
      <c r="EW285" s="18"/>
      <c r="FA285" s="18"/>
      <c r="FE285" s="18"/>
      <c r="FI285" s="18"/>
      <c r="FM285" s="18"/>
      <c r="FQ285" s="18"/>
      <c r="FU285" s="18"/>
      <c r="FY285" s="18"/>
      <c r="GC285" s="18"/>
      <c r="GG285" s="18"/>
      <c r="GK285" s="18"/>
      <c r="GO285" s="18"/>
      <c r="GS285" s="18"/>
      <c r="GW285" s="18"/>
      <c r="HA285" s="18"/>
      <c r="HF285" s="18"/>
      <c r="HH285" s="11" t="s">
        <v>320</v>
      </c>
      <c r="HI285" s="11" t="s">
        <v>522</v>
      </c>
      <c r="HJ285" s="11">
        <v>2016</v>
      </c>
      <c r="HK285" s="11" t="s">
        <v>320</v>
      </c>
      <c r="HL285" s="11" t="s">
        <v>320</v>
      </c>
      <c r="HM285" s="11" t="s">
        <v>361</v>
      </c>
      <c r="HN285" s="11">
        <v>2017</v>
      </c>
      <c r="HO285" s="11" t="s">
        <v>5203</v>
      </c>
      <c r="HP285" s="11" t="s">
        <v>418</v>
      </c>
      <c r="HQ285" s="11" t="s">
        <v>319</v>
      </c>
      <c r="HR285" s="11" t="s">
        <v>319</v>
      </c>
      <c r="HS285" s="11" t="s">
        <v>319</v>
      </c>
      <c r="HT285" s="11" t="s">
        <v>319</v>
      </c>
      <c r="HU285" s="11" t="s">
        <v>319</v>
      </c>
      <c r="HV285" s="11" t="s">
        <v>319</v>
      </c>
      <c r="HW285" s="11" t="s">
        <v>319</v>
      </c>
      <c r="HX285" s="11" t="s">
        <v>319</v>
      </c>
      <c r="HZ285" s="12" t="s">
        <v>394</v>
      </c>
      <c r="IA285" s="11" t="s">
        <v>5204</v>
      </c>
      <c r="IB285" s="12" t="s">
        <v>396</v>
      </c>
      <c r="IC285" s="11" t="s">
        <v>5205</v>
      </c>
      <c r="ID285" s="12" t="s">
        <v>334</v>
      </c>
      <c r="IE285" s="11" t="s">
        <v>335</v>
      </c>
      <c r="IF285" s="11" t="s">
        <v>320</v>
      </c>
      <c r="IG285" s="11" t="s">
        <v>320</v>
      </c>
      <c r="IH285" s="11" t="s">
        <v>320</v>
      </c>
      <c r="II285" s="11" t="s">
        <v>320</v>
      </c>
      <c r="IJ285" s="12" t="str">
        <f t="shared" si="173"/>
        <v>2. Sensitive</v>
      </c>
      <c r="IK285" s="12">
        <f t="shared" si="174"/>
        <v>4</v>
      </c>
      <c r="IL285" s="11" t="s">
        <v>336</v>
      </c>
      <c r="IM285" s="11" t="s">
        <v>320</v>
      </c>
      <c r="IN285" s="11" t="s">
        <v>320</v>
      </c>
      <c r="IO285" s="11" t="s">
        <v>320</v>
      </c>
      <c r="IP285" s="11" t="s">
        <v>320</v>
      </c>
      <c r="IQ285" s="12" t="str">
        <f t="shared" si="175"/>
        <v>2. Accommodating</v>
      </c>
      <c r="IR285" s="12">
        <f t="shared" si="176"/>
        <v>4</v>
      </c>
      <c r="IS285" s="11" t="s">
        <v>622</v>
      </c>
      <c r="IT285" s="11" t="s">
        <v>320</v>
      </c>
      <c r="IU285" s="11" t="s">
        <v>320</v>
      </c>
      <c r="IV285" s="11" t="s">
        <v>320</v>
      </c>
      <c r="IW285" s="11" t="str">
        <f t="shared" si="177"/>
        <v>4. Transformative</v>
      </c>
      <c r="IX285" s="12">
        <f t="shared" si="178"/>
        <v>3</v>
      </c>
      <c r="IY285" s="12" t="s">
        <v>758</v>
      </c>
      <c r="IZ285" s="11" t="s">
        <v>527</v>
      </c>
      <c r="JA285" s="11">
        <v>4</v>
      </c>
      <c r="JB285" s="11" t="s">
        <v>623</v>
      </c>
      <c r="JC285" s="12" t="s">
        <v>624</v>
      </c>
      <c r="JD285" s="11" t="s">
        <v>831</v>
      </c>
      <c r="JE285" s="12" t="s">
        <v>340</v>
      </c>
      <c r="JF285" s="11" t="s">
        <v>5206</v>
      </c>
      <c r="JH285" s="11" t="s">
        <v>5207</v>
      </c>
      <c r="JI285" s="11" t="s">
        <v>5208</v>
      </c>
      <c r="JK285" s="11" t="s">
        <v>5209</v>
      </c>
      <c r="JL285" s="11" t="s">
        <v>5210</v>
      </c>
      <c r="JM285" s="11" t="s">
        <v>5211</v>
      </c>
      <c r="JP285" s="15">
        <f t="shared" si="179"/>
        <v>1364</v>
      </c>
      <c r="JQ285" s="15">
        <f t="shared" si="180"/>
        <v>42241</v>
      </c>
      <c r="JR285" s="279">
        <f t="shared" si="181"/>
        <v>30.968475073313783</v>
      </c>
      <c r="JS285" s="17">
        <f t="shared" si="182"/>
        <v>0.47873900293255134</v>
      </c>
      <c r="JT285" s="18">
        <f t="shared" si="183"/>
        <v>0.45003669420705</v>
      </c>
      <c r="JU285" s="280">
        <f t="shared" si="184"/>
        <v>653</v>
      </c>
      <c r="JV285" s="280">
        <f t="shared" si="185"/>
        <v>19010</v>
      </c>
      <c r="JW285" s="319">
        <f t="shared" si="186"/>
        <v>1</v>
      </c>
      <c r="JX285" s="15">
        <f t="shared" si="187"/>
        <v>1364</v>
      </c>
      <c r="JY285" s="15">
        <f t="shared" si="188"/>
        <v>42241</v>
      </c>
      <c r="JZ285" s="19">
        <f t="shared" si="189"/>
        <v>30.968475073313783</v>
      </c>
      <c r="KA285" s="52">
        <f t="shared" si="190"/>
        <v>1</v>
      </c>
      <c r="KB285" s="15">
        <f t="shared" si="191"/>
        <v>1040</v>
      </c>
      <c r="KC285" s="15">
        <f t="shared" si="192"/>
        <v>600</v>
      </c>
      <c r="KD285" s="20">
        <f t="shared" si="193"/>
        <v>0.57692307692307687</v>
      </c>
      <c r="KE285" s="52" t="str">
        <f t="shared" si="194"/>
        <v/>
      </c>
      <c r="KF285" s="15">
        <f t="shared" si="195"/>
        <v>0</v>
      </c>
      <c r="KG285" s="15">
        <f t="shared" si="196"/>
        <v>0</v>
      </c>
      <c r="KH285" s="21" t="str">
        <f t="shared" si="197"/>
        <v/>
      </c>
      <c r="KI285" s="52" t="str">
        <f t="shared" si="198"/>
        <v/>
      </c>
      <c r="KJ285" s="15">
        <f t="shared" si="199"/>
        <v>0</v>
      </c>
      <c r="KK285" s="15">
        <f t="shared" si="200"/>
        <v>0</v>
      </c>
      <c r="KL285" s="19" t="str">
        <f t="shared" si="201"/>
        <v/>
      </c>
      <c r="KM285" s="52" t="str">
        <f t="shared" si="202"/>
        <v/>
      </c>
      <c r="KN285" s="22">
        <f t="shared" si="203"/>
        <v>0</v>
      </c>
      <c r="KO285" s="22">
        <f t="shared" si="204"/>
        <v>0</v>
      </c>
      <c r="KP285" s="19" t="str">
        <f t="shared" si="205"/>
        <v/>
      </c>
      <c r="KQ285" s="11" t="str">
        <f t="shared" si="206"/>
        <v>2. Sensitive</v>
      </c>
      <c r="KR285" s="11" t="str">
        <f t="shared" si="207"/>
        <v>2. Accommodating</v>
      </c>
      <c r="KS285" s="11" t="str">
        <f t="shared" si="208"/>
        <v>4. Transformative</v>
      </c>
      <c r="KT285" s="11" t="str">
        <f t="shared" si="209"/>
        <v>It tested new ways for fighting poverty, but did not measure results of innovation</v>
      </c>
      <c r="KU285" s="11" t="str">
        <f t="shared" si="210"/>
        <v>Little or no advocacy</v>
      </c>
      <c r="KV285" s="11" t="str">
        <f t="shared" si="211"/>
        <v>It linked and worked with strategic alliances and partners to take tested and effective solutions to scale</v>
      </c>
      <c r="KW285" s="11" t="str">
        <f t="shared" si="212"/>
        <v>Honduras - “Contribuyendo al fortalecimiento de las estructuras del SINAGER y a la resiliencia de familias vulnerables ante los efectos de sequías en 15 comunidades de los municipios Langue, Aramecina, Caridad y San Francisco de Coray  del Departamento de Valle en el corredor seco de Honduras”.</v>
      </c>
      <c r="KX285" s="11" t="str">
        <f t="shared" si="213"/>
        <v>“Contribuyendo al fortalecimiento de las estructuras del SINAGER y a la resiliencia de familias vulnerables ante los efectos de sequías en 15 comunidades de los municipios Langue, Aramecina, Caridad y San Francisco de Coray  del Departamento de Valle en el corredor seco de Honduras”.</v>
      </c>
      <c r="KY285" s="11" t="str">
        <f t="shared" si="214"/>
        <v>Honduras</v>
      </c>
      <c r="KZ285" s="12">
        <v>285</v>
      </c>
    </row>
    <row r="286" spans="1:312" x14ac:dyDescent="0.3">
      <c r="A286" s="11" t="s">
        <v>5190</v>
      </c>
      <c r="B286" s="11" t="s">
        <v>2807</v>
      </c>
      <c r="C286" s="11">
        <v>2323</v>
      </c>
      <c r="D286" s="11" t="s">
        <v>5283</v>
      </c>
      <c r="E286" s="24" t="str">
        <f t="shared" si="172"/>
        <v>Honduras</v>
      </c>
      <c r="H286" s="11" t="s">
        <v>310</v>
      </c>
      <c r="I286" s="12" t="s">
        <v>381</v>
      </c>
      <c r="J286" s="278" t="s">
        <v>14650</v>
      </c>
      <c r="BD286" s="23">
        <v>42604</v>
      </c>
      <c r="BE286" s="23">
        <v>42969</v>
      </c>
      <c r="BG286" s="11" t="s">
        <v>749</v>
      </c>
      <c r="BH286" s="22">
        <v>199332</v>
      </c>
      <c r="BI286" s="11" t="s">
        <v>5244</v>
      </c>
      <c r="BJ286" s="11" t="s">
        <v>5284</v>
      </c>
      <c r="BK286" s="11" t="s">
        <v>5246</v>
      </c>
      <c r="BL286" s="11" t="s">
        <v>5285</v>
      </c>
      <c r="BM286" s="11" t="s">
        <v>5011</v>
      </c>
      <c r="BN286" s="11" t="s">
        <v>5286</v>
      </c>
      <c r="BO286" s="28" t="s">
        <v>319</v>
      </c>
      <c r="BP286" s="28" t="s">
        <v>320</v>
      </c>
      <c r="BQ286" s="31" t="s">
        <v>319</v>
      </c>
      <c r="BR286" s="11" t="s">
        <v>5287</v>
      </c>
      <c r="BS286" s="11" t="s">
        <v>322</v>
      </c>
      <c r="BT286" s="11" t="s">
        <v>5288</v>
      </c>
      <c r="BU286" s="11" t="s">
        <v>5289</v>
      </c>
      <c r="BV286" s="22">
        <v>75</v>
      </c>
      <c r="BW286" s="22">
        <v>97</v>
      </c>
      <c r="BX286" s="22">
        <v>172</v>
      </c>
      <c r="BY286" s="22">
        <v>1461309</v>
      </c>
      <c r="BZ286" s="22">
        <v>1583085</v>
      </c>
      <c r="CA286" s="22">
        <v>3044394</v>
      </c>
      <c r="CB286" s="32" t="s">
        <v>14651</v>
      </c>
      <c r="CL286" s="18"/>
      <c r="CP286" s="18"/>
      <c r="CT286" s="18"/>
      <c r="CX286" s="18"/>
      <c r="CZ286" s="28"/>
      <c r="DA286" s="29"/>
      <c r="DB286" s="33"/>
      <c r="DC286" s="29"/>
      <c r="DD286" s="28"/>
      <c r="DE286" s="29"/>
      <c r="DF286" s="33"/>
      <c r="DG286" s="29"/>
      <c r="DJ286" s="18"/>
      <c r="DN286" s="18"/>
      <c r="DR286" s="18"/>
      <c r="DV286" s="18"/>
      <c r="DZ286" s="18"/>
      <c r="ED286" s="18"/>
      <c r="EI286" s="18"/>
      <c r="EK286" s="22">
        <v>75</v>
      </c>
      <c r="EL286" s="22">
        <v>97</v>
      </c>
      <c r="EM286" s="22">
        <v>172</v>
      </c>
      <c r="EN286" s="22">
        <v>1461309</v>
      </c>
      <c r="EO286" s="22">
        <v>1583085</v>
      </c>
      <c r="EP286" s="22">
        <v>3044394</v>
      </c>
      <c r="EQ286" s="12" t="s">
        <v>319</v>
      </c>
      <c r="ES286" s="18"/>
      <c r="EU286" s="11" t="s">
        <v>320</v>
      </c>
      <c r="EV286" s="22">
        <v>172</v>
      </c>
      <c r="EW286" s="18">
        <v>0.44</v>
      </c>
      <c r="EX286" s="22">
        <v>3044394</v>
      </c>
      <c r="EY286" s="12" t="s">
        <v>319</v>
      </c>
      <c r="FA286" s="18"/>
      <c r="FC286" s="12" t="s">
        <v>319</v>
      </c>
      <c r="FE286" s="18"/>
      <c r="FG286" s="12" t="s">
        <v>319</v>
      </c>
      <c r="FI286" s="18"/>
      <c r="FK286" s="11" t="s">
        <v>319</v>
      </c>
      <c r="FM286" s="18"/>
      <c r="FO286" s="11" t="s">
        <v>319</v>
      </c>
      <c r="FQ286" s="18"/>
      <c r="FS286" s="12" t="s">
        <v>320</v>
      </c>
      <c r="FT286" s="22">
        <v>172</v>
      </c>
      <c r="FU286" s="18">
        <v>0.44</v>
      </c>
      <c r="FV286" s="22">
        <v>3044394</v>
      </c>
      <c r="FW286" s="11" t="s">
        <v>320</v>
      </c>
      <c r="FX286" s="22">
        <v>172</v>
      </c>
      <c r="FY286" s="18">
        <v>0.44</v>
      </c>
      <c r="FZ286" s="22">
        <v>3044394</v>
      </c>
      <c r="GA286" s="11" t="s">
        <v>319</v>
      </c>
      <c r="GC286" s="18"/>
      <c r="GE286" s="11" t="s">
        <v>319</v>
      </c>
      <c r="GG286" s="18"/>
      <c r="GI286" s="11" t="s">
        <v>320</v>
      </c>
      <c r="GJ286" s="22">
        <v>172</v>
      </c>
      <c r="GK286" s="18">
        <v>0.44</v>
      </c>
      <c r="GL286" s="22">
        <v>3044394</v>
      </c>
      <c r="GM286" s="11" t="s">
        <v>320</v>
      </c>
      <c r="GN286" s="22">
        <v>172</v>
      </c>
      <c r="GO286" s="18">
        <v>0.44</v>
      </c>
      <c r="GP286" s="22">
        <v>3044394</v>
      </c>
      <c r="GQ286" s="11" t="s">
        <v>319</v>
      </c>
      <c r="GS286" s="18"/>
      <c r="GU286" s="11" t="s">
        <v>319</v>
      </c>
      <c r="GW286" s="18"/>
      <c r="GY286" s="11" t="s">
        <v>320</v>
      </c>
      <c r="GZ286" s="22">
        <v>172</v>
      </c>
      <c r="HA286" s="18">
        <v>0.44</v>
      </c>
      <c r="HB286" s="22">
        <v>3044394</v>
      </c>
      <c r="HF286" s="18"/>
      <c r="HH286" s="11" t="s">
        <v>319</v>
      </c>
      <c r="HK286" s="11" t="s">
        <v>320</v>
      </c>
      <c r="HL286" s="11" t="s">
        <v>319</v>
      </c>
      <c r="HP286" s="11" t="s">
        <v>453</v>
      </c>
      <c r="HQ286" s="11" t="s">
        <v>320</v>
      </c>
      <c r="HR286" s="11" t="s">
        <v>320</v>
      </c>
      <c r="HS286" s="11" t="s">
        <v>319</v>
      </c>
      <c r="HT286" s="11" t="s">
        <v>320</v>
      </c>
      <c r="HU286" s="11" t="s">
        <v>320</v>
      </c>
      <c r="HW286" s="11" t="s">
        <v>319</v>
      </c>
      <c r="HZ286" s="11" t="s">
        <v>331</v>
      </c>
      <c r="IA286" s="11" t="s">
        <v>5290</v>
      </c>
      <c r="IB286" s="12" t="s">
        <v>396</v>
      </c>
      <c r="IC286" s="11" t="s">
        <v>5291</v>
      </c>
      <c r="ID286" s="12" t="s">
        <v>334</v>
      </c>
      <c r="IE286" s="11" t="s">
        <v>478</v>
      </c>
      <c r="IF286" s="11" t="s">
        <v>320</v>
      </c>
      <c r="IG286" s="11" t="s">
        <v>320</v>
      </c>
      <c r="IH286" s="11" t="s">
        <v>320</v>
      </c>
      <c r="II286" s="11" t="s">
        <v>320</v>
      </c>
      <c r="IJ286" s="12" t="str">
        <f t="shared" si="173"/>
        <v>4. Transformative</v>
      </c>
      <c r="IK286" s="12">
        <f t="shared" si="174"/>
        <v>4</v>
      </c>
      <c r="IL286" s="11" t="s">
        <v>621</v>
      </c>
      <c r="IM286" s="11" t="s">
        <v>320</v>
      </c>
      <c r="IN286" s="11" t="s">
        <v>320</v>
      </c>
      <c r="IO286" s="11" t="s">
        <v>320</v>
      </c>
      <c r="IP286" s="11" t="s">
        <v>320</v>
      </c>
      <c r="IQ286" s="12" t="str">
        <f t="shared" si="175"/>
        <v>4. Transformational</v>
      </c>
      <c r="IR286" s="12">
        <f t="shared" si="176"/>
        <v>4</v>
      </c>
      <c r="IS286" s="11" t="s">
        <v>337</v>
      </c>
      <c r="IT286" s="11" t="s">
        <v>320</v>
      </c>
      <c r="IV286" s="11" t="s">
        <v>320</v>
      </c>
      <c r="IW286" s="11" t="str">
        <f t="shared" si="177"/>
        <v>1. Neutral</v>
      </c>
      <c r="IX286" s="12">
        <f t="shared" si="178"/>
        <v>2</v>
      </c>
      <c r="IY286" s="12" t="s">
        <v>758</v>
      </c>
      <c r="IZ286" s="11" t="s">
        <v>457</v>
      </c>
      <c r="JA286" s="11">
        <v>36</v>
      </c>
      <c r="JB286" s="11" t="s">
        <v>623</v>
      </c>
      <c r="JC286" s="11" t="s">
        <v>433</v>
      </c>
      <c r="JD286" s="11" t="s">
        <v>624</v>
      </c>
      <c r="JE286" s="12" t="s">
        <v>340</v>
      </c>
      <c r="JF286" s="11" t="s">
        <v>5292</v>
      </c>
      <c r="JH286" s="11" t="s">
        <v>5293</v>
      </c>
      <c r="JI286" s="11" t="s">
        <v>5294</v>
      </c>
      <c r="JJ286" s="11" t="s">
        <v>5295</v>
      </c>
      <c r="JK286" s="11" t="s">
        <v>5296</v>
      </c>
      <c r="JL286" s="11" t="s">
        <v>5297</v>
      </c>
      <c r="JM286" s="11" t="s">
        <v>5298</v>
      </c>
      <c r="JO286" s="11" t="s">
        <v>5299</v>
      </c>
      <c r="JP286" s="15">
        <f t="shared" si="179"/>
        <v>172</v>
      </c>
      <c r="JQ286" s="15">
        <f t="shared" si="180"/>
        <v>3044394</v>
      </c>
      <c r="JR286" s="279">
        <f t="shared" si="181"/>
        <v>17699.965116279069</v>
      </c>
      <c r="JS286" s="17">
        <f t="shared" si="182"/>
        <v>0.43604651162790697</v>
      </c>
      <c r="JT286" s="18">
        <f t="shared" si="183"/>
        <v>0.47999996058328848</v>
      </c>
      <c r="JU286" s="280">
        <f t="shared" si="184"/>
        <v>75</v>
      </c>
      <c r="JV286" s="280">
        <f t="shared" si="185"/>
        <v>1461309</v>
      </c>
      <c r="JW286" s="319" t="str">
        <f t="shared" si="186"/>
        <v/>
      </c>
      <c r="JX286" s="15">
        <f t="shared" si="187"/>
        <v>0</v>
      </c>
      <c r="JY286" s="15">
        <f t="shared" si="188"/>
        <v>0</v>
      </c>
      <c r="JZ286" s="19" t="str">
        <f t="shared" si="189"/>
        <v/>
      </c>
      <c r="KA286" s="52">
        <f t="shared" si="190"/>
        <v>1</v>
      </c>
      <c r="KB286" s="15">
        <f t="shared" si="191"/>
        <v>172</v>
      </c>
      <c r="KC286" s="15">
        <f t="shared" si="192"/>
        <v>3044394</v>
      </c>
      <c r="KD286" s="20">
        <f t="shared" si="193"/>
        <v>17699.965116279069</v>
      </c>
      <c r="KE286" s="52" t="str">
        <f t="shared" si="194"/>
        <v/>
      </c>
      <c r="KF286" s="15">
        <f t="shared" si="195"/>
        <v>0</v>
      </c>
      <c r="KG286" s="15">
        <f t="shared" si="196"/>
        <v>0</v>
      </c>
      <c r="KH286" s="21" t="str">
        <f t="shared" si="197"/>
        <v/>
      </c>
      <c r="KI286" s="52">
        <f t="shared" si="198"/>
        <v>1</v>
      </c>
      <c r="KJ286" s="15">
        <f t="shared" si="199"/>
        <v>172</v>
      </c>
      <c r="KK286" s="15">
        <f t="shared" si="200"/>
        <v>3044394</v>
      </c>
      <c r="KL286" s="19">
        <f t="shared" si="201"/>
        <v>17699.965116279069</v>
      </c>
      <c r="KM286" s="52">
        <f t="shared" si="202"/>
        <v>1</v>
      </c>
      <c r="KN286" s="22">
        <f t="shared" si="203"/>
        <v>172</v>
      </c>
      <c r="KO286" s="22">
        <f t="shared" si="204"/>
        <v>3044394</v>
      </c>
      <c r="KP286" s="19">
        <f t="shared" si="205"/>
        <v>17699.965116279069</v>
      </c>
      <c r="KQ286" s="11" t="str">
        <f t="shared" si="206"/>
        <v>4. Transformative</v>
      </c>
      <c r="KR286" s="11" t="str">
        <f t="shared" si="207"/>
        <v>4. Transformational</v>
      </c>
      <c r="KS286" s="11" t="str">
        <f t="shared" si="208"/>
        <v>1. Neutral</v>
      </c>
      <c r="KT286" s="11" t="str">
        <f t="shared" si="209"/>
        <v>It tested new ways for fighting poverty and measured results of innovation</v>
      </c>
      <c r="KU286" s="11" t="str">
        <f t="shared" si="210"/>
        <v>Intensive advocacy</v>
      </c>
      <c r="KV286" s="11" t="str">
        <f t="shared" si="211"/>
        <v>It linked and worked with strategic alliances and partners to take tested and effective solutions to scale</v>
      </c>
      <c r="KW286" s="11" t="str">
        <f t="shared" si="212"/>
        <v>Honduras - DESARROLLO DEL ENFOQUE NACIONAL DE SALVAGUARDAS DE HONDURAS, DISEÑO DEL SISTEMA DE INFORMACIÓN DE SALVAGUARDAS (SIS) Y DESARROLLO DE LOS MECANISMOS DE QUEJAS PARA LAS SALVAGUARDAS EN EL MARCO DE LA ESTRATEGIA NACIONAL REDD+ DE HONDURAS</v>
      </c>
      <c r="KX286" s="11" t="str">
        <f t="shared" si="213"/>
        <v>DESARROLLO DEL ENFOQUE NACIONAL DE SALVAGUARDAS DE HONDURAS, DISEÑO DEL SISTEMA DE INFORMACIÓN DE SALVAGUARDAS (SIS) Y DESARROLLO DE LOS MECANISMOS DE QUEJAS PARA LAS SALVAGUARDAS EN EL MARCO DE LA ESTRATEGIA NACIONAL REDD+ DE HONDURAS</v>
      </c>
      <c r="KY286" s="11" t="str">
        <f t="shared" si="214"/>
        <v>Honduras</v>
      </c>
      <c r="KZ286" s="12">
        <v>286</v>
      </c>
    </row>
    <row r="287" spans="1:312" x14ac:dyDescent="0.3">
      <c r="A287" s="11" t="s">
        <v>5190</v>
      </c>
      <c r="B287" s="11" t="s">
        <v>2807</v>
      </c>
      <c r="C287" s="11">
        <v>2990</v>
      </c>
      <c r="D287" s="11" t="s">
        <v>5212</v>
      </c>
      <c r="E287" s="24" t="str">
        <f t="shared" si="172"/>
        <v>Honduras</v>
      </c>
      <c r="F287" s="11" t="s">
        <v>5213</v>
      </c>
      <c r="G287" s="11" t="s">
        <v>379</v>
      </c>
      <c r="H287" s="11" t="s">
        <v>310</v>
      </c>
      <c r="I287" s="11" t="s">
        <v>384</v>
      </c>
      <c r="J287" s="278" t="s">
        <v>14652</v>
      </c>
      <c r="BD287" s="23">
        <v>42736</v>
      </c>
      <c r="BE287" s="23">
        <v>43100</v>
      </c>
      <c r="BG287" s="11" t="s">
        <v>749</v>
      </c>
      <c r="BH287" s="22">
        <v>169000</v>
      </c>
      <c r="BI287" s="11" t="s">
        <v>5214</v>
      </c>
      <c r="BJ287" s="11" t="s">
        <v>5215</v>
      </c>
      <c r="BK287" s="11" t="s">
        <v>5216</v>
      </c>
      <c r="BL287" s="11" t="s">
        <v>5217</v>
      </c>
      <c r="BM287" s="11" t="s">
        <v>5218</v>
      </c>
      <c r="BN287" s="11" t="s">
        <v>5219</v>
      </c>
      <c r="BO287" s="11" t="s">
        <v>319</v>
      </c>
      <c r="BP287" s="11" t="s">
        <v>320</v>
      </c>
      <c r="BQ287" s="11" t="s">
        <v>319</v>
      </c>
      <c r="BR287" s="11" t="s">
        <v>5220</v>
      </c>
      <c r="BS287" s="11" t="s">
        <v>357</v>
      </c>
      <c r="BT287" s="11" t="s">
        <v>5221</v>
      </c>
      <c r="BU287" s="11" t="s">
        <v>5222</v>
      </c>
      <c r="BV287" s="22">
        <v>44226</v>
      </c>
      <c r="BW287" s="22">
        <v>38967</v>
      </c>
      <c r="BX287" s="22">
        <v>83193</v>
      </c>
      <c r="BY287" s="22">
        <v>66470</v>
      </c>
      <c r="BZ287" s="22">
        <v>70197</v>
      </c>
      <c r="CA287" s="22">
        <v>136667</v>
      </c>
      <c r="CB287" s="15" t="s">
        <v>5223</v>
      </c>
      <c r="CL287" s="18"/>
      <c r="CP287" s="18"/>
      <c r="CT287" s="18"/>
      <c r="CX287" s="18"/>
      <c r="DB287" s="18"/>
      <c r="DF287" s="18"/>
      <c r="DJ287" s="18"/>
      <c r="DN287" s="18"/>
      <c r="DR287" s="18"/>
      <c r="DV287" s="18"/>
      <c r="DZ287" s="18"/>
      <c r="ED287" s="18"/>
      <c r="EI287" s="18"/>
      <c r="EK287" s="22">
        <v>53749</v>
      </c>
      <c r="EL287" s="22">
        <v>47838</v>
      </c>
      <c r="EM287" s="22">
        <v>101587</v>
      </c>
      <c r="EN287" s="22">
        <v>82940</v>
      </c>
      <c r="EO287" s="22">
        <v>85318</v>
      </c>
      <c r="EP287" s="22">
        <v>168258</v>
      </c>
      <c r="ES287" s="18"/>
      <c r="EW287" s="18"/>
      <c r="FA287" s="18"/>
      <c r="FE287" s="18"/>
      <c r="FI287" s="18"/>
      <c r="FM287" s="18"/>
      <c r="FO287" s="12" t="s">
        <v>320</v>
      </c>
      <c r="FP287" s="22">
        <v>35013</v>
      </c>
      <c r="FQ287" s="18">
        <v>0.35</v>
      </c>
      <c r="FR287" s="22">
        <v>57208</v>
      </c>
      <c r="FU287" s="18"/>
      <c r="FY287" s="18"/>
      <c r="GA287" s="11" t="s">
        <v>320</v>
      </c>
      <c r="GB287" s="22">
        <v>2160</v>
      </c>
      <c r="GC287" s="18">
        <v>0.02</v>
      </c>
      <c r="GD287" s="22">
        <v>45430</v>
      </c>
      <c r="GG287" s="18"/>
      <c r="GK287" s="18"/>
      <c r="GO287" s="18"/>
      <c r="GQ287" s="12" t="s">
        <v>320</v>
      </c>
      <c r="GR287" s="22">
        <v>64414</v>
      </c>
      <c r="GS287" s="18">
        <v>0.63</v>
      </c>
      <c r="GT287" s="22">
        <v>65620</v>
      </c>
      <c r="GW287" s="18"/>
      <c r="HA287" s="18"/>
      <c r="HF287" s="18"/>
      <c r="HH287" s="11" t="s">
        <v>320</v>
      </c>
      <c r="HI287" s="11" t="s">
        <v>328</v>
      </c>
      <c r="HJ287" s="11">
        <v>2017</v>
      </c>
      <c r="HK287" s="11" t="s">
        <v>320</v>
      </c>
      <c r="HL287" s="11" t="s">
        <v>320</v>
      </c>
      <c r="HM287" s="11" t="s">
        <v>328</v>
      </c>
      <c r="HN287" s="11">
        <v>2018</v>
      </c>
      <c r="HO287" s="11" t="s">
        <v>5224</v>
      </c>
      <c r="HP287" s="11" t="s">
        <v>330</v>
      </c>
      <c r="HQ287" s="11" t="s">
        <v>319</v>
      </c>
      <c r="HR287" s="11" t="s">
        <v>319</v>
      </c>
      <c r="HS287" s="11" t="s">
        <v>320</v>
      </c>
      <c r="HT287" s="11" t="s">
        <v>320</v>
      </c>
      <c r="HU287" s="11" t="s">
        <v>320</v>
      </c>
      <c r="HV287" s="11" t="s">
        <v>319</v>
      </c>
      <c r="HW287" s="11" t="s">
        <v>320</v>
      </c>
      <c r="HX287" s="11" t="s">
        <v>319</v>
      </c>
      <c r="HZ287" s="11" t="s">
        <v>331</v>
      </c>
      <c r="IA287" s="11" t="s">
        <v>5225</v>
      </c>
      <c r="IB287" s="12" t="s">
        <v>396</v>
      </c>
      <c r="IC287" s="11" t="s">
        <v>5226</v>
      </c>
      <c r="ID287" s="12" t="s">
        <v>334</v>
      </c>
      <c r="IE287" s="11" t="s">
        <v>335</v>
      </c>
      <c r="IF287" s="11" t="s">
        <v>320</v>
      </c>
      <c r="IG287" s="11" t="s">
        <v>320</v>
      </c>
      <c r="IH287" s="11" t="s">
        <v>320</v>
      </c>
      <c r="II287" s="11" t="s">
        <v>320</v>
      </c>
      <c r="IJ287" s="12" t="str">
        <f t="shared" si="173"/>
        <v>2. Sensitive</v>
      </c>
      <c r="IK287" s="12">
        <f t="shared" si="174"/>
        <v>4</v>
      </c>
      <c r="IL287" s="11" t="s">
        <v>336</v>
      </c>
      <c r="IM287" s="11" t="s">
        <v>320</v>
      </c>
      <c r="IN287" s="11" t="s">
        <v>320</v>
      </c>
      <c r="IO287" s="11" t="s">
        <v>320</v>
      </c>
      <c r="IP287" s="11" t="s">
        <v>320</v>
      </c>
      <c r="IQ287" s="12" t="str">
        <f t="shared" si="175"/>
        <v>2. Accommodating</v>
      </c>
      <c r="IR287" s="12">
        <f t="shared" si="176"/>
        <v>4</v>
      </c>
      <c r="IS287" s="11" t="s">
        <v>337</v>
      </c>
      <c r="IT287" s="11" t="s">
        <v>320</v>
      </c>
      <c r="IU287" s="11" t="s">
        <v>320</v>
      </c>
      <c r="IV287" s="11" t="s">
        <v>320</v>
      </c>
      <c r="IW287" s="11" t="str">
        <f t="shared" si="177"/>
        <v>2. Sensitive</v>
      </c>
      <c r="IX287" s="12">
        <f t="shared" si="178"/>
        <v>3</v>
      </c>
      <c r="IY287" s="11" t="s">
        <v>419</v>
      </c>
      <c r="IZ287" s="11" t="s">
        <v>457</v>
      </c>
      <c r="JA287" s="11">
        <v>1</v>
      </c>
      <c r="JB287" s="12" t="s">
        <v>687</v>
      </c>
      <c r="JC287" s="12" t="s">
        <v>651</v>
      </c>
      <c r="JD287" s="11" t="s">
        <v>624</v>
      </c>
      <c r="JE287" s="12" t="s">
        <v>340</v>
      </c>
      <c r="JF287" s="11" t="s">
        <v>5227</v>
      </c>
      <c r="JG287" s="11" t="s">
        <v>5228</v>
      </c>
      <c r="JH287" s="11" t="s">
        <v>5229</v>
      </c>
      <c r="JI287" s="11" t="s">
        <v>5230</v>
      </c>
      <c r="JJ287" s="11" t="s">
        <v>5231</v>
      </c>
      <c r="JK287" s="11" t="s">
        <v>5232</v>
      </c>
      <c r="JL287" s="11" t="s">
        <v>5233</v>
      </c>
      <c r="JM287" s="11" t="s">
        <v>5234</v>
      </c>
      <c r="JN287" s="11" t="s">
        <v>5235</v>
      </c>
      <c r="JO287" s="11" t="s">
        <v>5236</v>
      </c>
      <c r="JP287" s="15">
        <f t="shared" si="179"/>
        <v>101587</v>
      </c>
      <c r="JQ287" s="15">
        <f t="shared" si="180"/>
        <v>168258</v>
      </c>
      <c r="JR287" s="279">
        <f t="shared" si="181"/>
        <v>1.6562946046246074</v>
      </c>
      <c r="JS287" s="17">
        <f t="shared" si="182"/>
        <v>0.52909328949570322</v>
      </c>
      <c r="JT287" s="18">
        <f t="shared" si="183"/>
        <v>0.49293347121682179</v>
      </c>
      <c r="JU287" s="280">
        <f t="shared" si="184"/>
        <v>53749</v>
      </c>
      <c r="JV287" s="280">
        <f t="shared" si="185"/>
        <v>82940</v>
      </c>
      <c r="JW287" s="319" t="str">
        <f t="shared" si="186"/>
        <v/>
      </c>
      <c r="JX287" s="15">
        <f t="shared" si="187"/>
        <v>0</v>
      </c>
      <c r="JY287" s="15">
        <f t="shared" si="188"/>
        <v>0</v>
      </c>
      <c r="JZ287" s="19" t="str">
        <f t="shared" si="189"/>
        <v/>
      </c>
      <c r="KA287" s="52">
        <f t="shared" si="190"/>
        <v>1</v>
      </c>
      <c r="KB287" s="15">
        <f t="shared" si="191"/>
        <v>35013</v>
      </c>
      <c r="KC287" s="15">
        <f t="shared" si="192"/>
        <v>57208</v>
      </c>
      <c r="KD287" s="20">
        <f t="shared" si="193"/>
        <v>1.6339074058206953</v>
      </c>
      <c r="KE287" s="52">
        <f t="shared" si="194"/>
        <v>1</v>
      </c>
      <c r="KF287" s="15">
        <f t="shared" si="195"/>
        <v>64414</v>
      </c>
      <c r="KG287" s="15">
        <f t="shared" si="196"/>
        <v>65620</v>
      </c>
      <c r="KH287" s="21">
        <f t="shared" si="197"/>
        <v>1.0187226379358525</v>
      </c>
      <c r="KI287" s="52" t="str">
        <f t="shared" si="198"/>
        <v/>
      </c>
      <c r="KJ287" s="15">
        <f t="shared" si="199"/>
        <v>0</v>
      </c>
      <c r="KK287" s="15">
        <f t="shared" si="200"/>
        <v>0</v>
      </c>
      <c r="KL287" s="19" t="str">
        <f t="shared" si="201"/>
        <v/>
      </c>
      <c r="KM287" s="52" t="str">
        <f t="shared" si="202"/>
        <v/>
      </c>
      <c r="KN287" s="22">
        <f t="shared" si="203"/>
        <v>0</v>
      </c>
      <c r="KO287" s="22">
        <f t="shared" si="204"/>
        <v>0</v>
      </c>
      <c r="KP287" s="19" t="str">
        <f t="shared" si="205"/>
        <v/>
      </c>
      <c r="KQ287" s="11" t="str">
        <f t="shared" si="206"/>
        <v>2. Sensitive</v>
      </c>
      <c r="KR287" s="11" t="str">
        <f t="shared" si="207"/>
        <v>2. Accommodating</v>
      </c>
      <c r="KS287" s="11" t="str">
        <f t="shared" si="208"/>
        <v>2. Sensitive</v>
      </c>
      <c r="KT287" s="11" t="str">
        <f t="shared" si="209"/>
        <v>It tested new ways for fighting poverty and measured results of innovation</v>
      </c>
      <c r="KU287" s="11" t="str">
        <f t="shared" si="210"/>
        <v>Moderate advocacy</v>
      </c>
      <c r="KV287" s="11" t="str">
        <f t="shared" si="211"/>
        <v>It linked and worked with strategic alliances and partners to take tested and effective solutions to scale</v>
      </c>
      <c r="KW287" s="11" t="str">
        <f t="shared" si="212"/>
        <v>Honduras - HOGARES GESTORES DE ATENCION EN SALUD (HOGASA)</v>
      </c>
      <c r="KX287" s="11" t="str">
        <f t="shared" si="213"/>
        <v>HOGARES GESTORES DE ATENCION EN SALUD (HOGASA)</v>
      </c>
      <c r="KY287" s="11" t="str">
        <f t="shared" si="214"/>
        <v>Honduras</v>
      </c>
      <c r="KZ287" s="12">
        <v>287</v>
      </c>
    </row>
    <row r="288" spans="1:312" x14ac:dyDescent="0.3">
      <c r="A288" s="12" t="s">
        <v>5190</v>
      </c>
      <c r="B288" s="12" t="s">
        <v>2807</v>
      </c>
      <c r="C288" s="12"/>
      <c r="D288" s="12" t="s">
        <v>2808</v>
      </c>
      <c r="E288" s="24" t="str">
        <f t="shared" si="172"/>
        <v>Honduras</v>
      </c>
      <c r="F288" s="12"/>
      <c r="G288" s="12" t="s">
        <v>379</v>
      </c>
      <c r="H288" s="12" t="s">
        <v>384</v>
      </c>
      <c r="I288" s="12" t="s">
        <v>384</v>
      </c>
      <c r="J288" s="281"/>
      <c r="K288" s="12"/>
      <c r="L288" s="12"/>
      <c r="M288" s="12"/>
      <c r="N288" s="12"/>
      <c r="O288" s="12"/>
      <c r="P288" s="12"/>
      <c r="Q288" s="12"/>
      <c r="R288" s="12"/>
      <c r="S288" s="12"/>
      <c r="T288" s="12"/>
      <c r="U288" s="12"/>
      <c r="V288" s="12"/>
      <c r="W288" s="12"/>
      <c r="X288" s="12"/>
      <c r="Y288" s="12"/>
      <c r="Z288" s="12"/>
      <c r="AA288" s="12"/>
      <c r="AB288" s="12"/>
      <c r="AC288" s="12"/>
      <c r="AD288" s="12"/>
      <c r="BD288" s="13">
        <v>42552</v>
      </c>
      <c r="BE288" s="13">
        <v>47818</v>
      </c>
      <c r="BF288" s="12"/>
      <c r="BG288" s="12" t="s">
        <v>312</v>
      </c>
      <c r="BH288" s="14"/>
      <c r="BI288" s="12" t="s">
        <v>2809</v>
      </c>
      <c r="BJ288" s="12" t="s">
        <v>2810</v>
      </c>
      <c r="BK288" s="12" t="s">
        <v>2811</v>
      </c>
      <c r="BL288" s="12" t="s">
        <v>2812</v>
      </c>
      <c r="BM288" s="12" t="s">
        <v>2813</v>
      </c>
      <c r="BN288" s="12" t="s">
        <v>2814</v>
      </c>
      <c r="BO288" s="12" t="s">
        <v>319</v>
      </c>
      <c r="BP288" s="12" t="s">
        <v>320</v>
      </c>
      <c r="BQ288" s="12" t="s">
        <v>319</v>
      </c>
      <c r="BR288" s="12" t="s">
        <v>2815</v>
      </c>
      <c r="BS288" s="12" t="s">
        <v>1535</v>
      </c>
      <c r="BT288" s="12" t="s">
        <v>2816</v>
      </c>
      <c r="BU288" s="12" t="s">
        <v>2817</v>
      </c>
      <c r="BV288" s="14"/>
      <c r="BW288" s="14"/>
      <c r="BX288" s="14"/>
      <c r="BY288" s="14"/>
      <c r="BZ288" s="14"/>
      <c r="CA288" s="14"/>
      <c r="CB288" s="12" t="s">
        <v>5237</v>
      </c>
      <c r="CD288" s="14"/>
      <c r="CE288" s="14"/>
      <c r="CF288" s="14"/>
      <c r="CG288" s="14"/>
      <c r="CH288" s="14"/>
      <c r="CI288" s="14"/>
      <c r="CJ288" s="12"/>
      <c r="CK288" s="14"/>
      <c r="CL288" s="16"/>
      <c r="CM288" s="14"/>
      <c r="CN288" s="12"/>
      <c r="CO288" s="14"/>
      <c r="CP288" s="16"/>
      <c r="CQ288" s="14"/>
      <c r="CR288" s="12"/>
      <c r="CS288" s="14"/>
      <c r="CT288" s="16"/>
      <c r="CU288" s="14"/>
      <c r="CV288" s="12"/>
      <c r="CW288" s="14"/>
      <c r="CX288" s="16"/>
      <c r="CY288" s="14"/>
      <c r="CZ288" s="12"/>
      <c r="DA288" s="14"/>
      <c r="DB288" s="16"/>
      <c r="DC288" s="14"/>
      <c r="DD288" s="12"/>
      <c r="DE288" s="14"/>
      <c r="DF288" s="16"/>
      <c r="DG288" s="14"/>
      <c r="DH288" s="12"/>
      <c r="DI288" s="14"/>
      <c r="DJ288" s="16"/>
      <c r="DK288" s="14"/>
      <c r="DL288" s="12"/>
      <c r="DM288" s="14"/>
      <c r="DN288" s="16"/>
      <c r="DO288" s="14"/>
      <c r="DP288" s="12"/>
      <c r="DQ288" s="14"/>
      <c r="DR288" s="16"/>
      <c r="DS288" s="14"/>
      <c r="DT288" s="12"/>
      <c r="DU288" s="14"/>
      <c r="DV288" s="16"/>
      <c r="DW288" s="14"/>
      <c r="DX288" s="12"/>
      <c r="DY288" s="14"/>
      <c r="DZ288" s="16"/>
      <c r="EA288" s="14"/>
      <c r="EB288" s="12"/>
      <c r="EC288" s="14"/>
      <c r="ED288" s="16"/>
      <c r="EE288" s="14"/>
      <c r="EF288" s="12"/>
      <c r="EG288" s="12"/>
      <c r="EH288" s="14"/>
      <c r="EI288" s="16"/>
      <c r="EJ288" s="14"/>
      <c r="EK288" s="14"/>
      <c r="EL288" s="14"/>
      <c r="EM288" s="14"/>
      <c r="EN288" s="14"/>
      <c r="EO288" s="14"/>
      <c r="EP288" s="14"/>
      <c r="EQ288" s="12"/>
      <c r="ER288" s="14"/>
      <c r="ES288" s="16"/>
      <c r="ET288" s="14"/>
      <c r="EU288" s="12"/>
      <c r="EV288" s="14"/>
      <c r="EW288" s="16"/>
      <c r="EX288" s="14"/>
      <c r="EY288" s="12"/>
      <c r="EZ288" s="14"/>
      <c r="FA288" s="16"/>
      <c r="FB288" s="14"/>
      <c r="FC288" s="12"/>
      <c r="FD288" s="14"/>
      <c r="FE288" s="16"/>
      <c r="FF288" s="14"/>
      <c r="FG288" s="12"/>
      <c r="FH288" s="14"/>
      <c r="FI288" s="16"/>
      <c r="FJ288" s="14"/>
      <c r="FK288" s="12"/>
      <c r="FL288" s="14"/>
      <c r="FM288" s="16"/>
      <c r="FN288" s="14"/>
      <c r="FO288" s="12"/>
      <c r="FP288" s="14"/>
      <c r="FQ288" s="16"/>
      <c r="FR288" s="14"/>
      <c r="FS288" s="12" t="s">
        <v>320</v>
      </c>
      <c r="FT288" s="14"/>
      <c r="FU288" s="16"/>
      <c r="FV288" s="14"/>
      <c r="FW288" s="12" t="s">
        <v>320</v>
      </c>
      <c r="FX288" s="14"/>
      <c r="FY288" s="16"/>
      <c r="FZ288" s="14"/>
      <c r="GA288" s="12"/>
      <c r="GB288" s="14"/>
      <c r="GC288" s="16"/>
      <c r="GD288" s="14"/>
      <c r="GE288" s="12"/>
      <c r="GF288" s="14"/>
      <c r="GG288" s="16"/>
      <c r="GH288" s="14"/>
      <c r="GI288" s="12"/>
      <c r="GJ288" s="14"/>
      <c r="GK288" s="16"/>
      <c r="GL288" s="14"/>
      <c r="GM288" s="12" t="s">
        <v>320</v>
      </c>
      <c r="GN288" s="14"/>
      <c r="GO288" s="16"/>
      <c r="GP288" s="14"/>
      <c r="GQ288" s="12"/>
      <c r="GR288" s="14"/>
      <c r="GS288" s="16"/>
      <c r="GT288" s="14"/>
      <c r="GU288" s="12"/>
      <c r="GV288" s="14"/>
      <c r="GW288" s="16"/>
      <c r="GX288" s="14"/>
      <c r="GY288" s="12" t="s">
        <v>320</v>
      </c>
      <c r="GZ288" s="14"/>
      <c r="HA288" s="16"/>
      <c r="HB288" s="14"/>
      <c r="HC288" s="12"/>
      <c r="HD288" s="12"/>
      <c r="HE288" s="14"/>
      <c r="HF288" s="16"/>
      <c r="HG288" s="14"/>
      <c r="HH288" s="12" t="s">
        <v>319</v>
      </c>
      <c r="HI288" s="12"/>
      <c r="HJ288" s="12"/>
      <c r="HK288" s="12"/>
      <c r="HL288" s="12" t="s">
        <v>320</v>
      </c>
      <c r="HM288" s="12" t="s">
        <v>451</v>
      </c>
      <c r="HN288" s="12">
        <v>2018</v>
      </c>
      <c r="HO288" s="12" t="s">
        <v>2819</v>
      </c>
      <c r="HP288" s="12" t="s">
        <v>330</v>
      </c>
      <c r="HQ288" s="12" t="s">
        <v>319</v>
      </c>
      <c r="HR288" s="12" t="s">
        <v>319</v>
      </c>
      <c r="HS288" s="12" t="s">
        <v>320</v>
      </c>
      <c r="HT288" s="12" t="s">
        <v>320</v>
      </c>
      <c r="HU288" s="12" t="s">
        <v>320</v>
      </c>
      <c r="HV288" s="12" t="s">
        <v>320</v>
      </c>
      <c r="HW288" s="12" t="s">
        <v>319</v>
      </c>
      <c r="HX288" s="12" t="s">
        <v>320</v>
      </c>
      <c r="HY288" s="12" t="s">
        <v>2820</v>
      </c>
      <c r="HZ288" s="12" t="s">
        <v>394</v>
      </c>
      <c r="IA288" s="12" t="s">
        <v>2821</v>
      </c>
      <c r="IB288" s="12" t="s">
        <v>396</v>
      </c>
      <c r="IC288" s="12" t="s">
        <v>2822</v>
      </c>
      <c r="ID288" s="12" t="s">
        <v>334</v>
      </c>
      <c r="IE288" s="12" t="s">
        <v>478</v>
      </c>
      <c r="IF288" s="12" t="s">
        <v>320</v>
      </c>
      <c r="IG288" s="12" t="s">
        <v>320</v>
      </c>
      <c r="IH288" s="12" t="s">
        <v>320</v>
      </c>
      <c r="II288" s="12" t="s">
        <v>319</v>
      </c>
      <c r="IJ288" s="12" t="str">
        <f t="shared" si="173"/>
        <v>3. Responsive</v>
      </c>
      <c r="IK288" s="12">
        <f t="shared" si="174"/>
        <v>3</v>
      </c>
      <c r="IL288" s="11" t="s">
        <v>621</v>
      </c>
      <c r="IM288" s="12" t="s">
        <v>320</v>
      </c>
      <c r="IN288" s="12" t="s">
        <v>320</v>
      </c>
      <c r="IO288" s="12" t="s">
        <v>320</v>
      </c>
      <c r="IP288" s="12" t="s">
        <v>320</v>
      </c>
      <c r="IQ288" s="12" t="str">
        <f t="shared" si="175"/>
        <v>4. Transformational</v>
      </c>
      <c r="IR288" s="12">
        <f t="shared" si="176"/>
        <v>4</v>
      </c>
      <c r="IS288" s="12" t="s">
        <v>337</v>
      </c>
      <c r="IT288" s="12" t="s">
        <v>319</v>
      </c>
      <c r="IU288" s="12" t="s">
        <v>320</v>
      </c>
      <c r="IV288" s="12" t="s">
        <v>319</v>
      </c>
      <c r="IW288" s="11" t="str">
        <f t="shared" si="177"/>
        <v>1. Neutral</v>
      </c>
      <c r="IX288" s="12">
        <f t="shared" si="178"/>
        <v>1</v>
      </c>
      <c r="IY288" s="12" t="s">
        <v>338</v>
      </c>
      <c r="IZ288" s="12" t="s">
        <v>457</v>
      </c>
      <c r="JA288" s="12"/>
      <c r="JB288" s="12" t="s">
        <v>2236</v>
      </c>
      <c r="JC288" s="11" t="s">
        <v>433</v>
      </c>
      <c r="JD288" s="12" t="s">
        <v>832</v>
      </c>
      <c r="JE288" s="12" t="s">
        <v>340</v>
      </c>
      <c r="JF288" s="12" t="s">
        <v>2823</v>
      </c>
      <c r="JG288" s="12" t="s">
        <v>2824</v>
      </c>
      <c r="JH288" s="12" t="s">
        <v>2825</v>
      </c>
      <c r="JI288" s="12" t="s">
        <v>2826</v>
      </c>
      <c r="JJ288" s="12" t="s">
        <v>2827</v>
      </c>
      <c r="JK288" s="12" t="s">
        <v>2828</v>
      </c>
      <c r="JL288" s="12" t="s">
        <v>2829</v>
      </c>
      <c r="JM288" s="12" t="s">
        <v>2830</v>
      </c>
      <c r="JN288" s="12" t="s">
        <v>2831</v>
      </c>
      <c r="JO288" s="12" t="s">
        <v>2832</v>
      </c>
      <c r="JP288" s="15">
        <f t="shared" si="179"/>
        <v>0</v>
      </c>
      <c r="JQ288" s="15">
        <f t="shared" si="180"/>
        <v>0</v>
      </c>
      <c r="JR288" s="279" t="str">
        <f t="shared" si="181"/>
        <v/>
      </c>
      <c r="JS288" s="17" t="str">
        <f t="shared" si="182"/>
        <v/>
      </c>
      <c r="JT288" s="18" t="str">
        <f t="shared" si="183"/>
        <v/>
      </c>
      <c r="JU288" s="280">
        <f t="shared" si="184"/>
        <v>0</v>
      </c>
      <c r="JV288" s="280">
        <f t="shared" si="185"/>
        <v>0</v>
      </c>
      <c r="JW288" s="319" t="str">
        <f t="shared" si="186"/>
        <v/>
      </c>
      <c r="JX288" s="15">
        <f t="shared" si="187"/>
        <v>0</v>
      </c>
      <c r="JY288" s="15">
        <f t="shared" si="188"/>
        <v>0</v>
      </c>
      <c r="JZ288" s="19" t="str">
        <f t="shared" si="189"/>
        <v/>
      </c>
      <c r="KA288" s="52" t="str">
        <f t="shared" si="190"/>
        <v/>
      </c>
      <c r="KB288" s="15">
        <f t="shared" si="191"/>
        <v>0</v>
      </c>
      <c r="KC288" s="15">
        <f t="shared" si="192"/>
        <v>0</v>
      </c>
      <c r="KD288" s="20" t="str">
        <f t="shared" si="193"/>
        <v/>
      </c>
      <c r="KE288" s="52" t="str">
        <f t="shared" si="194"/>
        <v/>
      </c>
      <c r="KF288" s="15">
        <f t="shared" si="195"/>
        <v>0</v>
      </c>
      <c r="KG288" s="15">
        <f t="shared" si="196"/>
        <v>0</v>
      </c>
      <c r="KH288" s="21" t="str">
        <f t="shared" si="197"/>
        <v/>
      </c>
      <c r="KI288" s="52">
        <f t="shared" si="198"/>
        <v>1</v>
      </c>
      <c r="KJ288" s="15">
        <f t="shared" si="199"/>
        <v>0</v>
      </c>
      <c r="KK288" s="15">
        <f t="shared" si="200"/>
        <v>0</v>
      </c>
      <c r="KL288" s="19" t="str">
        <f t="shared" si="201"/>
        <v/>
      </c>
      <c r="KM288" s="52">
        <f t="shared" si="202"/>
        <v>1</v>
      </c>
      <c r="KN288" s="22">
        <f t="shared" si="203"/>
        <v>0</v>
      </c>
      <c r="KO288" s="22">
        <f t="shared" si="204"/>
        <v>0</v>
      </c>
      <c r="KP288" s="19" t="str">
        <f t="shared" si="205"/>
        <v/>
      </c>
      <c r="KQ288" s="11" t="str">
        <f t="shared" si="206"/>
        <v>3. Responsive</v>
      </c>
      <c r="KR288" s="11" t="str">
        <f t="shared" si="207"/>
        <v>4. Transformational</v>
      </c>
      <c r="KS288" s="11" t="str">
        <f t="shared" si="208"/>
        <v>1. Neutral</v>
      </c>
      <c r="KT288" s="11" t="str">
        <f t="shared" si="209"/>
        <v>It tested new ways for fighting poverty, but did not measure results of innovation</v>
      </c>
      <c r="KU288" s="11" t="str">
        <f t="shared" si="210"/>
        <v>Moderate advocacy</v>
      </c>
      <c r="KV288" s="11" t="str">
        <f t="shared" si="211"/>
        <v>It linked and worked with strategic alliances and partners to take tested and effective solutions to scale</v>
      </c>
      <c r="KW288" s="11" t="str">
        <f t="shared" si="212"/>
        <v>Honduras - INICIATIVA IGS LAC - Programa regional de Trabajo Digno</v>
      </c>
      <c r="KX288" s="11" t="str">
        <f t="shared" si="213"/>
        <v>INICIATIVA IGS LAC - Programa regional de Trabajo Digno</v>
      </c>
      <c r="KY288" s="11" t="str">
        <f t="shared" si="214"/>
        <v>Honduras</v>
      </c>
      <c r="KZ288" s="12">
        <v>288</v>
      </c>
    </row>
    <row r="289" spans="1:312" x14ac:dyDescent="0.3">
      <c r="A289" s="11" t="s">
        <v>5190</v>
      </c>
      <c r="B289" s="11" t="s">
        <v>2807</v>
      </c>
      <c r="C289" s="11">
        <v>2983</v>
      </c>
      <c r="D289" s="11" t="s">
        <v>5238</v>
      </c>
      <c r="E289" s="277" t="str">
        <f t="shared" si="172"/>
        <v>Honduras</v>
      </c>
      <c r="F289" s="11" t="s">
        <v>5239</v>
      </c>
      <c r="G289" s="11" t="s">
        <v>379</v>
      </c>
      <c r="H289" s="11" t="s">
        <v>310</v>
      </c>
      <c r="I289" s="11" t="s">
        <v>384</v>
      </c>
      <c r="J289" s="278" t="s">
        <v>5240</v>
      </c>
      <c r="BD289" s="23">
        <v>42395</v>
      </c>
      <c r="BE289" s="23">
        <v>43100</v>
      </c>
      <c r="BG289" s="11" t="s">
        <v>908</v>
      </c>
      <c r="BH289" s="22">
        <v>5044952.1399999997</v>
      </c>
      <c r="BI289" s="11" t="s">
        <v>5241</v>
      </c>
      <c r="BJ289" s="11" t="s">
        <v>5242</v>
      </c>
      <c r="BK289" s="11" t="s">
        <v>5243</v>
      </c>
      <c r="BL289" s="11" t="s">
        <v>5244</v>
      </c>
      <c r="BM289" s="11" t="s">
        <v>5245</v>
      </c>
      <c r="BN289" s="11" t="s">
        <v>5246</v>
      </c>
      <c r="BO289" s="11" t="s">
        <v>320</v>
      </c>
      <c r="BP289" s="11" t="s">
        <v>320</v>
      </c>
      <c r="BQ289" s="11" t="s">
        <v>320</v>
      </c>
      <c r="BR289" s="11" t="s">
        <v>5247</v>
      </c>
      <c r="BS289" s="11" t="s">
        <v>357</v>
      </c>
      <c r="BT289" s="11" t="s">
        <v>5248</v>
      </c>
      <c r="BU289" s="11" t="s">
        <v>5249</v>
      </c>
      <c r="BV289" s="22">
        <v>39000</v>
      </c>
      <c r="BW289" s="22">
        <v>35247</v>
      </c>
      <c r="BX289" s="22">
        <v>74247</v>
      </c>
      <c r="BY289" s="22">
        <v>61023</v>
      </c>
      <c r="BZ289" s="22">
        <v>58630</v>
      </c>
      <c r="CA289" s="22">
        <v>119653</v>
      </c>
      <c r="CB289" s="15" t="s">
        <v>5250</v>
      </c>
      <c r="CJ289" s="11" t="s">
        <v>319</v>
      </c>
      <c r="CL289" s="18"/>
      <c r="CN289" s="11" t="s">
        <v>319</v>
      </c>
      <c r="CP289" s="18"/>
      <c r="CR289" s="11" t="s">
        <v>320</v>
      </c>
      <c r="CT289" s="18"/>
      <c r="CV289" s="11" t="s">
        <v>320</v>
      </c>
      <c r="CX289" s="18"/>
      <c r="CZ289" s="11" t="s">
        <v>320</v>
      </c>
      <c r="DB289" s="18"/>
      <c r="DD289" s="11" t="s">
        <v>320</v>
      </c>
      <c r="DF289" s="18"/>
      <c r="DH289" s="11" t="s">
        <v>320</v>
      </c>
      <c r="DJ289" s="18"/>
      <c r="DL289" s="11" t="s">
        <v>320</v>
      </c>
      <c r="DN289" s="18"/>
      <c r="DP289" s="11" t="s">
        <v>319</v>
      </c>
      <c r="DR289" s="18"/>
      <c r="DT289" s="11" t="s">
        <v>320</v>
      </c>
      <c r="DV289" s="18"/>
      <c r="DX289" s="11" t="s">
        <v>319</v>
      </c>
      <c r="DZ289" s="18"/>
      <c r="EB289" s="11" t="s">
        <v>319</v>
      </c>
      <c r="ED289" s="18"/>
      <c r="EI289" s="18"/>
      <c r="EK289" s="22">
        <v>39000</v>
      </c>
      <c r="EL289" s="22">
        <v>35247</v>
      </c>
      <c r="EM289" s="22">
        <v>74247</v>
      </c>
      <c r="EN289" s="22">
        <v>61023</v>
      </c>
      <c r="EO289" s="22">
        <v>58630</v>
      </c>
      <c r="EP289" s="22">
        <v>119653</v>
      </c>
      <c r="ES289" s="18"/>
      <c r="EU289" s="11" t="s">
        <v>320</v>
      </c>
      <c r="EV289" s="22">
        <v>29900</v>
      </c>
      <c r="EW289" s="18">
        <v>0.49159999999999998</v>
      </c>
      <c r="EX289" s="22">
        <v>48197</v>
      </c>
      <c r="FA289" s="18"/>
      <c r="FE289" s="18"/>
      <c r="FI289" s="18"/>
      <c r="FK289" s="12" t="s">
        <v>320</v>
      </c>
      <c r="FL289" s="22">
        <v>1755</v>
      </c>
      <c r="FM289" s="18">
        <v>0.49</v>
      </c>
      <c r="FN289" s="22">
        <v>2829</v>
      </c>
      <c r="FO289" s="12" t="s">
        <v>320</v>
      </c>
      <c r="FP289" s="22">
        <v>19773</v>
      </c>
      <c r="FQ289" s="18">
        <v>0.497</v>
      </c>
      <c r="FR289" s="22">
        <v>31873</v>
      </c>
      <c r="FU289" s="18"/>
      <c r="FW289" s="11" t="s">
        <v>320</v>
      </c>
      <c r="FX289" s="22">
        <v>1242</v>
      </c>
      <c r="FY289" s="18">
        <v>1</v>
      </c>
      <c r="FZ289" s="22">
        <v>2002</v>
      </c>
      <c r="GA289" s="11" t="s">
        <v>320</v>
      </c>
      <c r="GB289" s="22">
        <v>435</v>
      </c>
      <c r="GC289" s="18">
        <v>0.40229999999999999</v>
      </c>
      <c r="GD289" s="22">
        <v>701</v>
      </c>
      <c r="GG289" s="18"/>
      <c r="GK289" s="18"/>
      <c r="GO289" s="18"/>
      <c r="GQ289" s="12" t="s">
        <v>320</v>
      </c>
      <c r="GR289" s="22">
        <v>1150</v>
      </c>
      <c r="GS289" s="18">
        <v>0.48959999999999998</v>
      </c>
      <c r="GT289" s="22">
        <v>1854</v>
      </c>
      <c r="GW289" s="18"/>
      <c r="GY289" s="11" t="s">
        <v>320</v>
      </c>
      <c r="GZ289" s="22">
        <v>19992</v>
      </c>
      <c r="HA289" s="18">
        <v>0.503</v>
      </c>
      <c r="HB289" s="22">
        <v>32226</v>
      </c>
      <c r="HF289" s="18"/>
      <c r="HH289" s="11" t="s">
        <v>320</v>
      </c>
      <c r="HI289" s="11" t="s">
        <v>619</v>
      </c>
      <c r="HJ289" s="11">
        <v>2016</v>
      </c>
      <c r="HK289" s="11" t="s">
        <v>320</v>
      </c>
      <c r="HL289" s="11" t="s">
        <v>319</v>
      </c>
      <c r="HP289" s="11" t="s">
        <v>453</v>
      </c>
      <c r="HQ289" s="11" t="s">
        <v>319</v>
      </c>
      <c r="HR289" s="11" t="s">
        <v>319</v>
      </c>
      <c r="HS289" s="11" t="s">
        <v>320</v>
      </c>
      <c r="HT289" s="11" t="s">
        <v>320</v>
      </c>
      <c r="HU289" s="11" t="s">
        <v>319</v>
      </c>
      <c r="HV289" s="11" t="s">
        <v>320</v>
      </c>
      <c r="HW289" s="11" t="s">
        <v>320</v>
      </c>
      <c r="HX289" s="11" t="s">
        <v>319</v>
      </c>
      <c r="HZ289" s="11" t="s">
        <v>331</v>
      </c>
      <c r="IA289" s="11" t="s">
        <v>5251</v>
      </c>
      <c r="IB289" s="12" t="s">
        <v>396</v>
      </c>
      <c r="IC289" s="11" t="s">
        <v>5252</v>
      </c>
      <c r="ID289" s="12" t="s">
        <v>334</v>
      </c>
      <c r="IE289" s="11" t="s">
        <v>335</v>
      </c>
      <c r="IF289" s="11" t="s">
        <v>320</v>
      </c>
      <c r="IG289" s="11" t="s">
        <v>320</v>
      </c>
      <c r="IH289" s="11" t="s">
        <v>320</v>
      </c>
      <c r="II289" s="11" t="s">
        <v>320</v>
      </c>
      <c r="IJ289" s="12" t="str">
        <f t="shared" si="173"/>
        <v>2. Sensitive</v>
      </c>
      <c r="IK289" s="12">
        <f t="shared" si="174"/>
        <v>4</v>
      </c>
      <c r="IL289" s="11" t="s">
        <v>336</v>
      </c>
      <c r="IM289" s="11" t="s">
        <v>320</v>
      </c>
      <c r="IN289" s="11" t="s">
        <v>320</v>
      </c>
      <c r="IO289" s="11" t="s">
        <v>320</v>
      </c>
      <c r="IP289" s="11" t="s">
        <v>320</v>
      </c>
      <c r="IQ289" s="12" t="str">
        <f t="shared" si="175"/>
        <v>2. Accommodating</v>
      </c>
      <c r="IR289" s="12">
        <f t="shared" si="176"/>
        <v>4</v>
      </c>
      <c r="IS289" s="11" t="s">
        <v>622</v>
      </c>
      <c r="IT289" s="11" t="s">
        <v>320</v>
      </c>
      <c r="IU289" s="11" t="s">
        <v>320</v>
      </c>
      <c r="IV289" s="11" t="s">
        <v>320</v>
      </c>
      <c r="IW289" s="11" t="str">
        <f t="shared" si="177"/>
        <v>4. Transformative</v>
      </c>
      <c r="IX289" s="12">
        <f t="shared" si="178"/>
        <v>3</v>
      </c>
      <c r="IY289" s="12" t="s">
        <v>758</v>
      </c>
      <c r="IZ289" s="11" t="s">
        <v>457</v>
      </c>
      <c r="JA289" s="11">
        <v>7</v>
      </c>
      <c r="JB289" s="12" t="s">
        <v>687</v>
      </c>
      <c r="JC289" s="11" t="s">
        <v>433</v>
      </c>
      <c r="JE289" s="12" t="s">
        <v>340</v>
      </c>
      <c r="JF289" s="11" t="s">
        <v>5253</v>
      </c>
      <c r="JG289" s="11" t="s">
        <v>5254</v>
      </c>
      <c r="JH289" s="11" t="s">
        <v>5255</v>
      </c>
      <c r="JI289" s="11" t="s">
        <v>5256</v>
      </c>
      <c r="JJ289" s="11" t="s">
        <v>5257</v>
      </c>
      <c r="JK289" s="11" t="s">
        <v>5258</v>
      </c>
      <c r="JL289" s="11" t="s">
        <v>5259</v>
      </c>
      <c r="JM289" s="11" t="s">
        <v>5260</v>
      </c>
      <c r="JP289" s="15">
        <f t="shared" si="179"/>
        <v>74247</v>
      </c>
      <c r="JQ289" s="15">
        <f t="shared" si="180"/>
        <v>119653</v>
      </c>
      <c r="JR289" s="279">
        <f t="shared" si="181"/>
        <v>1.6115533287540238</v>
      </c>
      <c r="JS289" s="17">
        <f t="shared" si="182"/>
        <v>0.52527374843428021</v>
      </c>
      <c r="JT289" s="18">
        <f t="shared" si="183"/>
        <v>0.50999974927498681</v>
      </c>
      <c r="JU289" s="280">
        <f t="shared" si="184"/>
        <v>39000</v>
      </c>
      <c r="JV289" s="280">
        <f t="shared" si="185"/>
        <v>61023</v>
      </c>
      <c r="JW289" s="319">
        <f t="shared" si="186"/>
        <v>1</v>
      </c>
      <c r="JX289" s="15">
        <f t="shared" si="187"/>
        <v>0</v>
      </c>
      <c r="JY289" s="15">
        <f t="shared" si="188"/>
        <v>0</v>
      </c>
      <c r="JZ289" s="19" t="str">
        <f t="shared" si="189"/>
        <v/>
      </c>
      <c r="KA289" s="52">
        <f t="shared" si="190"/>
        <v>1</v>
      </c>
      <c r="KB289" s="15">
        <f t="shared" si="191"/>
        <v>29900</v>
      </c>
      <c r="KC289" s="15">
        <f t="shared" si="192"/>
        <v>48197</v>
      </c>
      <c r="KD289" s="20">
        <f t="shared" si="193"/>
        <v>1.6119397993311038</v>
      </c>
      <c r="KE289" s="52">
        <f t="shared" si="194"/>
        <v>1</v>
      </c>
      <c r="KF289" s="15">
        <f t="shared" si="195"/>
        <v>1150</v>
      </c>
      <c r="KG289" s="15">
        <f t="shared" si="196"/>
        <v>1854</v>
      </c>
      <c r="KH289" s="21">
        <f t="shared" si="197"/>
        <v>1.6121739130434782</v>
      </c>
      <c r="KI289" s="52">
        <f t="shared" si="198"/>
        <v>1</v>
      </c>
      <c r="KJ289" s="15">
        <f t="shared" si="199"/>
        <v>0</v>
      </c>
      <c r="KK289" s="15">
        <f t="shared" si="200"/>
        <v>0</v>
      </c>
      <c r="KL289" s="19" t="str">
        <f t="shared" si="201"/>
        <v/>
      </c>
      <c r="KM289" s="52">
        <f t="shared" si="202"/>
        <v>1</v>
      </c>
      <c r="KN289" s="22">
        <f t="shared" si="203"/>
        <v>19992</v>
      </c>
      <c r="KO289" s="22">
        <f t="shared" si="204"/>
        <v>32226</v>
      </c>
      <c r="KP289" s="19">
        <f t="shared" si="205"/>
        <v>1.6119447779111644</v>
      </c>
      <c r="KQ289" s="11" t="str">
        <f t="shared" si="206"/>
        <v>2. Sensitive</v>
      </c>
      <c r="KR289" s="11" t="str">
        <f t="shared" si="207"/>
        <v>2. Accommodating</v>
      </c>
      <c r="KS289" s="11" t="str">
        <f t="shared" si="208"/>
        <v>4. Transformative</v>
      </c>
      <c r="KT289" s="11" t="str">
        <f t="shared" si="209"/>
        <v>It tested new ways for fighting poverty and measured results of innovation</v>
      </c>
      <c r="KU289" s="11" t="str">
        <f t="shared" si="210"/>
        <v>Intensive advocacy</v>
      </c>
      <c r="KV289" s="11" t="str">
        <f t="shared" si="211"/>
        <v>It linked and worked with strategic alliances and partners to take tested and effective solutions to scale</v>
      </c>
      <c r="KW289" s="11" t="str">
        <f t="shared" si="212"/>
        <v>Honduras - PROMOCIÓN DE LA SEGURIDAD ALIMENTARIA E INCLUSIÓN SOCIAL EN LA REGION LEMPA DE HONDURAS</v>
      </c>
      <c r="KX289" s="11" t="str">
        <f t="shared" si="213"/>
        <v>PROMOCIÓN DE LA SEGURIDAD ALIMENTARIA E INCLUSIÓN SOCIAL EN LA REGION LEMPA DE HONDURAS</v>
      </c>
      <c r="KY289" s="11" t="str">
        <f t="shared" si="214"/>
        <v>Honduras</v>
      </c>
      <c r="KZ289" s="12">
        <v>289</v>
      </c>
    </row>
    <row r="290" spans="1:312" x14ac:dyDescent="0.3">
      <c r="A290" s="11" t="s">
        <v>5190</v>
      </c>
      <c r="B290" s="11" t="s">
        <v>2807</v>
      </c>
      <c r="D290" s="11" t="s">
        <v>5261</v>
      </c>
      <c r="E290" s="24" t="str">
        <f t="shared" si="172"/>
        <v>Honduras</v>
      </c>
      <c r="F290" s="11" t="s">
        <v>5262</v>
      </c>
      <c r="G290" s="11" t="s">
        <v>379</v>
      </c>
      <c r="H290" s="11" t="s">
        <v>310</v>
      </c>
      <c r="I290" s="11" t="s">
        <v>384</v>
      </c>
      <c r="J290" s="278" t="s">
        <v>14653</v>
      </c>
      <c r="BD290" s="23">
        <v>42736</v>
      </c>
      <c r="BE290" s="23">
        <v>43100</v>
      </c>
      <c r="BG290" s="11" t="s">
        <v>350</v>
      </c>
      <c r="BH290" s="22">
        <v>12955.49</v>
      </c>
      <c r="BI290" s="11" t="s">
        <v>5241</v>
      </c>
      <c r="BJ290" s="11" t="s">
        <v>5242</v>
      </c>
      <c r="BK290" s="11" t="s">
        <v>5243</v>
      </c>
      <c r="BL290" s="11" t="s">
        <v>5244</v>
      </c>
      <c r="BM290" s="11" t="s">
        <v>5245</v>
      </c>
      <c r="BN290" s="11" t="s">
        <v>5246</v>
      </c>
      <c r="BO290" s="11" t="s">
        <v>320</v>
      </c>
      <c r="BP290" s="11" t="s">
        <v>320</v>
      </c>
      <c r="BQ290" s="12" t="s">
        <v>320</v>
      </c>
      <c r="BR290" s="11" t="s">
        <v>5263</v>
      </c>
      <c r="BS290" s="11" t="s">
        <v>357</v>
      </c>
      <c r="BT290" s="11" t="s">
        <v>5264</v>
      </c>
      <c r="BU290" s="11" t="s">
        <v>5265</v>
      </c>
      <c r="BV290" s="22">
        <v>3300</v>
      </c>
      <c r="BW290" s="22">
        <v>2400</v>
      </c>
      <c r="BX290" s="22">
        <v>5700</v>
      </c>
      <c r="BY290" s="22">
        <v>19800</v>
      </c>
      <c r="BZ290" s="22">
        <v>14400</v>
      </c>
      <c r="CA290" s="22">
        <v>34200</v>
      </c>
      <c r="CB290" s="11" t="s">
        <v>5265</v>
      </c>
      <c r="CJ290" s="12" t="s">
        <v>319</v>
      </c>
      <c r="CL290" s="18"/>
      <c r="CN290" s="11" t="s">
        <v>319</v>
      </c>
      <c r="CP290" s="18"/>
      <c r="CR290" s="12" t="s">
        <v>319</v>
      </c>
      <c r="CT290" s="18"/>
      <c r="CV290" s="11" t="s">
        <v>320</v>
      </c>
      <c r="CX290" s="18"/>
      <c r="CZ290" s="11" t="s">
        <v>319</v>
      </c>
      <c r="DB290" s="18"/>
      <c r="DD290" s="11" t="s">
        <v>320</v>
      </c>
      <c r="DF290" s="18"/>
      <c r="DH290" s="11" t="s">
        <v>319</v>
      </c>
      <c r="DJ290" s="18"/>
      <c r="DL290" s="11" t="s">
        <v>319</v>
      </c>
      <c r="DN290" s="18"/>
      <c r="DP290" s="11" t="s">
        <v>319</v>
      </c>
      <c r="DR290" s="18"/>
      <c r="DT290" s="11" t="s">
        <v>319</v>
      </c>
      <c r="DV290" s="18"/>
      <c r="DX290" s="11" t="s">
        <v>319</v>
      </c>
      <c r="DZ290" s="18"/>
      <c r="EB290" s="11" t="s">
        <v>319</v>
      </c>
      <c r="ED290" s="18"/>
      <c r="EI290" s="18"/>
      <c r="EK290" s="22">
        <v>3300</v>
      </c>
      <c r="EL290" s="22">
        <v>2400</v>
      </c>
      <c r="EM290" s="22">
        <v>5700</v>
      </c>
      <c r="EN290" s="22">
        <v>19800</v>
      </c>
      <c r="EO290" s="22">
        <v>14400</v>
      </c>
      <c r="EP290" s="22">
        <v>34200</v>
      </c>
      <c r="ES290" s="18"/>
      <c r="EW290" s="18"/>
      <c r="FA290" s="18"/>
      <c r="FE290" s="18"/>
      <c r="FI290" s="18"/>
      <c r="FM290" s="18"/>
      <c r="FO290" s="12" t="s">
        <v>320</v>
      </c>
      <c r="FP290" s="22">
        <v>3300</v>
      </c>
      <c r="FQ290" s="18">
        <v>1</v>
      </c>
      <c r="FR290" s="22">
        <v>19800</v>
      </c>
      <c r="FU290" s="18"/>
      <c r="FW290" s="11" t="s">
        <v>320</v>
      </c>
      <c r="FY290" s="18"/>
      <c r="GC290" s="18"/>
      <c r="GG290" s="18"/>
      <c r="GK290" s="18"/>
      <c r="GO290" s="18"/>
      <c r="GS290" s="18"/>
      <c r="GW290" s="18"/>
      <c r="GY290" s="11" t="s">
        <v>320</v>
      </c>
      <c r="GZ290" s="22">
        <v>2400</v>
      </c>
      <c r="HA290" s="18">
        <v>0.49</v>
      </c>
      <c r="HB290" s="22">
        <v>14400</v>
      </c>
      <c r="HF290" s="18"/>
      <c r="HH290" s="11" t="s">
        <v>320</v>
      </c>
      <c r="HI290" s="11" t="s">
        <v>544</v>
      </c>
      <c r="HJ290" s="11">
        <v>2017</v>
      </c>
      <c r="HK290" s="11" t="s">
        <v>319</v>
      </c>
      <c r="HL290" s="11" t="s">
        <v>319</v>
      </c>
      <c r="HP290" s="11" t="s">
        <v>453</v>
      </c>
      <c r="HQ290" s="11" t="s">
        <v>320</v>
      </c>
      <c r="HR290" s="11" t="s">
        <v>319</v>
      </c>
      <c r="HS290" s="11" t="s">
        <v>320</v>
      </c>
      <c r="HT290" s="11" t="s">
        <v>320</v>
      </c>
      <c r="HU290" s="11" t="s">
        <v>320</v>
      </c>
      <c r="HV290" s="11" t="s">
        <v>320</v>
      </c>
      <c r="HW290" s="11" t="s">
        <v>320</v>
      </c>
      <c r="HX290" s="11" t="s">
        <v>319</v>
      </c>
      <c r="HZ290" s="11" t="s">
        <v>331</v>
      </c>
      <c r="IA290" s="11" t="s">
        <v>5266</v>
      </c>
      <c r="IB290" s="12" t="s">
        <v>396</v>
      </c>
      <c r="IC290" s="11" t="s">
        <v>5267</v>
      </c>
      <c r="ID290" s="12" t="s">
        <v>334</v>
      </c>
      <c r="IE290" s="11" t="s">
        <v>335</v>
      </c>
      <c r="IF290" s="11" t="s">
        <v>320</v>
      </c>
      <c r="IG290" s="11" t="s">
        <v>320</v>
      </c>
      <c r="IH290" s="11" t="s">
        <v>320</v>
      </c>
      <c r="II290" s="11" t="s">
        <v>320</v>
      </c>
      <c r="IJ290" s="12" t="str">
        <f t="shared" si="173"/>
        <v>2. Sensitive</v>
      </c>
      <c r="IK290" s="12">
        <f t="shared" si="174"/>
        <v>4</v>
      </c>
      <c r="IL290" s="11" t="s">
        <v>336</v>
      </c>
      <c r="IM290" s="11" t="s">
        <v>320</v>
      </c>
      <c r="IN290" s="11" t="s">
        <v>320</v>
      </c>
      <c r="IO290" s="11" t="s">
        <v>320</v>
      </c>
      <c r="IP290" s="11" t="s">
        <v>320</v>
      </c>
      <c r="IQ290" s="12" t="str">
        <f t="shared" si="175"/>
        <v>2. Accommodating</v>
      </c>
      <c r="IR290" s="12">
        <f t="shared" si="176"/>
        <v>4</v>
      </c>
      <c r="IS290" s="11" t="s">
        <v>622</v>
      </c>
      <c r="IT290" s="11" t="s">
        <v>320</v>
      </c>
      <c r="IU290" s="11" t="s">
        <v>319</v>
      </c>
      <c r="IV290" s="11" t="s">
        <v>319</v>
      </c>
      <c r="IW290" s="11" t="str">
        <f t="shared" si="177"/>
        <v>3. Responsive</v>
      </c>
      <c r="IX290" s="12">
        <f t="shared" si="178"/>
        <v>1</v>
      </c>
      <c r="IY290" s="12" t="s">
        <v>758</v>
      </c>
      <c r="IZ290" s="11" t="s">
        <v>457</v>
      </c>
      <c r="JA290" s="11">
        <v>1</v>
      </c>
      <c r="JB290" s="12" t="s">
        <v>687</v>
      </c>
      <c r="JC290" s="11" t="s">
        <v>433</v>
      </c>
      <c r="JD290" s="12" t="s">
        <v>623</v>
      </c>
      <c r="JE290" s="12" t="s">
        <v>340</v>
      </c>
      <c r="JF290" s="11" t="s">
        <v>5268</v>
      </c>
      <c r="JG290" s="11" t="s">
        <v>5269</v>
      </c>
      <c r="JH290" s="11" t="s">
        <v>5270</v>
      </c>
      <c r="JI290" s="11" t="s">
        <v>5271</v>
      </c>
      <c r="JJ290" s="11" t="s">
        <v>5272</v>
      </c>
      <c r="JK290" s="11" t="s">
        <v>5273</v>
      </c>
      <c r="JL290" s="11" t="s">
        <v>5274</v>
      </c>
      <c r="JM290" s="11" t="s">
        <v>5275</v>
      </c>
      <c r="JP290" s="15">
        <f t="shared" si="179"/>
        <v>5700</v>
      </c>
      <c r="JQ290" s="15">
        <f t="shared" si="180"/>
        <v>34200</v>
      </c>
      <c r="JR290" s="279">
        <f t="shared" si="181"/>
        <v>6</v>
      </c>
      <c r="JS290" s="17">
        <f t="shared" si="182"/>
        <v>0.57894736842105265</v>
      </c>
      <c r="JT290" s="18">
        <f t="shared" si="183"/>
        <v>0.57894736842105265</v>
      </c>
      <c r="JU290" s="280">
        <f t="shared" si="184"/>
        <v>3300</v>
      </c>
      <c r="JV290" s="280">
        <f t="shared" si="185"/>
        <v>19800</v>
      </c>
      <c r="JW290" s="319">
        <f t="shared" si="186"/>
        <v>1</v>
      </c>
      <c r="JX290" s="15">
        <f t="shared" si="187"/>
        <v>0</v>
      </c>
      <c r="JY290" s="15">
        <f t="shared" si="188"/>
        <v>0</v>
      </c>
      <c r="JZ290" s="19" t="str">
        <f t="shared" si="189"/>
        <v/>
      </c>
      <c r="KA290" s="52">
        <f t="shared" si="190"/>
        <v>1</v>
      </c>
      <c r="KB290" s="15">
        <f t="shared" si="191"/>
        <v>3300</v>
      </c>
      <c r="KC290" s="15">
        <f t="shared" si="192"/>
        <v>19800</v>
      </c>
      <c r="KD290" s="20">
        <f t="shared" si="193"/>
        <v>6</v>
      </c>
      <c r="KE290" s="52" t="str">
        <f t="shared" si="194"/>
        <v/>
      </c>
      <c r="KF290" s="15">
        <f t="shared" si="195"/>
        <v>0</v>
      </c>
      <c r="KG290" s="15">
        <f t="shared" si="196"/>
        <v>0</v>
      </c>
      <c r="KH290" s="21" t="str">
        <f t="shared" si="197"/>
        <v/>
      </c>
      <c r="KI290" s="52" t="str">
        <f t="shared" si="198"/>
        <v/>
      </c>
      <c r="KJ290" s="15">
        <f t="shared" si="199"/>
        <v>0</v>
      </c>
      <c r="KK290" s="15">
        <f t="shared" si="200"/>
        <v>0</v>
      </c>
      <c r="KL290" s="19" t="str">
        <f t="shared" si="201"/>
        <v/>
      </c>
      <c r="KM290" s="52">
        <f t="shared" si="202"/>
        <v>1</v>
      </c>
      <c r="KN290" s="22">
        <f t="shared" si="203"/>
        <v>2400</v>
      </c>
      <c r="KO290" s="22">
        <f t="shared" si="204"/>
        <v>14400</v>
      </c>
      <c r="KP290" s="19">
        <f t="shared" si="205"/>
        <v>6</v>
      </c>
      <c r="KQ290" s="11" t="str">
        <f t="shared" si="206"/>
        <v>2. Sensitive</v>
      </c>
      <c r="KR290" s="11" t="str">
        <f t="shared" si="207"/>
        <v>2. Accommodating</v>
      </c>
      <c r="KS290" s="11" t="str">
        <f t="shared" si="208"/>
        <v>3. Responsive</v>
      </c>
      <c r="KT290" s="11" t="str">
        <f t="shared" si="209"/>
        <v>It tested new ways for fighting poverty and measured results of innovation</v>
      </c>
      <c r="KU290" s="11" t="str">
        <f t="shared" si="210"/>
        <v>Intensive advocacy</v>
      </c>
      <c r="KV290" s="11" t="str">
        <f t="shared" si="211"/>
        <v>It linked and worked with strategic alliances and partners to take tested and effective solutions to scale</v>
      </c>
      <c r="KW290" s="11" t="str">
        <f t="shared" si="212"/>
        <v>Honduras - Proyecto de Oportunidades de Desarrollo y Empleo Rural "PODER"</v>
      </c>
      <c r="KX290" s="11" t="str">
        <f t="shared" si="213"/>
        <v>Proyecto de Oportunidades de Desarrollo y Empleo Rural "PODER"</v>
      </c>
      <c r="KY290" s="11" t="str">
        <f t="shared" si="214"/>
        <v>Honduras</v>
      </c>
      <c r="KZ290" s="12">
        <v>290</v>
      </c>
    </row>
    <row r="291" spans="1:312" x14ac:dyDescent="0.3">
      <c r="A291" s="11" t="s">
        <v>5190</v>
      </c>
      <c r="B291" s="11" t="s">
        <v>2807</v>
      </c>
      <c r="C291" s="11">
        <v>2323</v>
      </c>
      <c r="D291" s="11" t="s">
        <v>2932</v>
      </c>
      <c r="E291" s="24" t="str">
        <f t="shared" si="172"/>
        <v>Honduras</v>
      </c>
      <c r="G291" s="11" t="s">
        <v>379</v>
      </c>
      <c r="H291" s="11" t="s">
        <v>384</v>
      </c>
      <c r="I291" s="11" t="s">
        <v>384</v>
      </c>
      <c r="J291" s="278" t="s">
        <v>2933</v>
      </c>
      <c r="BD291" s="23">
        <v>42614</v>
      </c>
      <c r="BE291" s="23">
        <v>43708</v>
      </c>
      <c r="BG291" s="11" t="s">
        <v>749</v>
      </c>
      <c r="BH291" s="22">
        <v>2347468</v>
      </c>
      <c r="BI291" s="11" t="s">
        <v>2934</v>
      </c>
      <c r="BJ291" s="11" t="s">
        <v>2935</v>
      </c>
      <c r="BK291" s="11" t="s">
        <v>2936</v>
      </c>
      <c r="BL291" s="11" t="s">
        <v>2937</v>
      </c>
      <c r="BM291" s="11" t="s">
        <v>2938</v>
      </c>
      <c r="BN291" s="11" t="s">
        <v>2939</v>
      </c>
      <c r="BO291" s="12" t="s">
        <v>319</v>
      </c>
      <c r="BP291" s="12" t="s">
        <v>320</v>
      </c>
      <c r="BQ291" s="12" t="s">
        <v>319</v>
      </c>
      <c r="BR291" s="11" t="s">
        <v>2940</v>
      </c>
      <c r="BS291" s="11" t="s">
        <v>1535</v>
      </c>
      <c r="BT291" s="11" t="s">
        <v>5276</v>
      </c>
      <c r="BU291" s="11" t="s">
        <v>5277</v>
      </c>
      <c r="BV291" s="22">
        <v>15365</v>
      </c>
      <c r="BW291" s="22">
        <v>14512</v>
      </c>
      <c r="BX291" s="22">
        <v>29877</v>
      </c>
      <c r="BY291" s="22">
        <v>83988</v>
      </c>
      <c r="BZ291" s="22">
        <v>77995</v>
      </c>
      <c r="CA291" s="22">
        <v>161983</v>
      </c>
      <c r="CB291" s="15" t="s">
        <v>5278</v>
      </c>
      <c r="CL291" s="18"/>
      <c r="CP291" s="18"/>
      <c r="CT291" s="18"/>
      <c r="CX291" s="18"/>
      <c r="DB291" s="18"/>
      <c r="DF291" s="18"/>
      <c r="DJ291" s="18"/>
      <c r="DN291" s="18"/>
      <c r="DR291" s="18"/>
      <c r="DV291" s="18"/>
      <c r="DZ291" s="18"/>
      <c r="ED291" s="18"/>
      <c r="EI291" s="18"/>
      <c r="EK291" s="22">
        <v>3453</v>
      </c>
      <c r="EL291" s="22">
        <v>3268</v>
      </c>
      <c r="EM291" s="22">
        <v>6721</v>
      </c>
      <c r="EN291" s="22">
        <v>25171</v>
      </c>
      <c r="EO291" s="22">
        <v>23072</v>
      </c>
      <c r="EP291" s="22">
        <v>48243</v>
      </c>
      <c r="EQ291" s="12" t="s">
        <v>320</v>
      </c>
      <c r="ER291" s="22">
        <v>240</v>
      </c>
      <c r="ES291" s="18">
        <v>0.3</v>
      </c>
      <c r="ET291" s="22">
        <v>960</v>
      </c>
      <c r="EU291" s="11" t="s">
        <v>320</v>
      </c>
      <c r="EV291" s="22">
        <v>240</v>
      </c>
      <c r="EW291" s="18">
        <v>0.3</v>
      </c>
      <c r="EX291" s="22">
        <v>2960</v>
      </c>
      <c r="FA291" s="18"/>
      <c r="FE291" s="18"/>
      <c r="FG291" s="12" t="s">
        <v>320</v>
      </c>
      <c r="FH291" s="22">
        <v>280</v>
      </c>
      <c r="FI291" s="18">
        <v>0.5</v>
      </c>
      <c r="FJ291" s="22">
        <v>1120</v>
      </c>
      <c r="FM291" s="18"/>
      <c r="FO291" s="12" t="s">
        <v>320</v>
      </c>
      <c r="FP291" s="22">
        <v>3251</v>
      </c>
      <c r="FQ291" s="18">
        <v>0.52</v>
      </c>
      <c r="FR291" s="22">
        <v>13004</v>
      </c>
      <c r="FU291" s="18"/>
      <c r="FY291" s="18"/>
      <c r="GC291" s="18"/>
      <c r="GE291" s="12" t="s">
        <v>320</v>
      </c>
      <c r="GF291" s="22">
        <v>6430</v>
      </c>
      <c r="GG291" s="18">
        <v>0.52</v>
      </c>
      <c r="GH291" s="22">
        <v>12860</v>
      </c>
      <c r="GI291" s="11" t="s">
        <v>320</v>
      </c>
      <c r="GJ291" s="22">
        <v>240</v>
      </c>
      <c r="GK291" s="18">
        <v>0.3</v>
      </c>
      <c r="GL291" s="22">
        <v>2960</v>
      </c>
      <c r="GO291" s="18"/>
      <c r="GS291" s="18"/>
      <c r="GU291" s="12" t="s">
        <v>320</v>
      </c>
      <c r="GV291" s="22">
        <v>6100</v>
      </c>
      <c r="GW291" s="18">
        <v>0.52</v>
      </c>
      <c r="GX291" s="22">
        <v>28100</v>
      </c>
      <c r="GY291" s="11" t="s">
        <v>320</v>
      </c>
      <c r="GZ291" s="22">
        <v>60</v>
      </c>
      <c r="HA291" s="18">
        <v>1</v>
      </c>
      <c r="HB291" s="22">
        <v>1200</v>
      </c>
      <c r="HC291" s="11" t="s">
        <v>2944</v>
      </c>
      <c r="HD291" s="12" t="s">
        <v>320</v>
      </c>
      <c r="HE291" s="22">
        <v>80</v>
      </c>
      <c r="HF291" s="18">
        <v>0.5</v>
      </c>
      <c r="HG291" s="22">
        <v>12400</v>
      </c>
      <c r="HH291" s="11" t="s">
        <v>320</v>
      </c>
      <c r="HI291" s="11" t="s">
        <v>1175</v>
      </c>
      <c r="HJ291" s="11">
        <v>2017</v>
      </c>
      <c r="HK291" s="11" t="s">
        <v>320</v>
      </c>
      <c r="HL291" s="11" t="s">
        <v>320</v>
      </c>
      <c r="HM291" s="11" t="s">
        <v>451</v>
      </c>
      <c r="HN291" s="11">
        <v>2018</v>
      </c>
      <c r="HO291" s="11" t="s">
        <v>2945</v>
      </c>
      <c r="HP291" s="11" t="s">
        <v>330</v>
      </c>
      <c r="HQ291" s="11" t="s">
        <v>320</v>
      </c>
      <c r="HS291" s="11" t="s">
        <v>320</v>
      </c>
      <c r="HZ291" s="11" t="s">
        <v>331</v>
      </c>
      <c r="IA291" s="11" t="s">
        <v>5279</v>
      </c>
      <c r="IB291" s="12" t="s">
        <v>396</v>
      </c>
      <c r="IC291" s="11" t="s">
        <v>2947</v>
      </c>
      <c r="ID291" s="12" t="s">
        <v>334</v>
      </c>
      <c r="IE291" s="11" t="s">
        <v>478</v>
      </c>
      <c r="IF291" s="11" t="s">
        <v>320</v>
      </c>
      <c r="IG291" s="11" t="s">
        <v>320</v>
      </c>
      <c r="IH291" s="11" t="s">
        <v>320</v>
      </c>
      <c r="II291" s="11" t="s">
        <v>320</v>
      </c>
      <c r="IJ291" s="12" t="str">
        <f t="shared" si="173"/>
        <v>4. Transformative</v>
      </c>
      <c r="IK291" s="12">
        <f t="shared" si="174"/>
        <v>4</v>
      </c>
      <c r="IL291" s="11" t="s">
        <v>336</v>
      </c>
      <c r="IM291" s="11" t="s">
        <v>320</v>
      </c>
      <c r="IN291" s="11" t="s">
        <v>320</v>
      </c>
      <c r="IO291" s="11" t="s">
        <v>320</v>
      </c>
      <c r="IP291" s="11" t="s">
        <v>320</v>
      </c>
      <c r="IQ291" s="12" t="str">
        <f t="shared" si="175"/>
        <v>2. Accommodating</v>
      </c>
      <c r="IR291" s="12">
        <f t="shared" si="176"/>
        <v>4</v>
      </c>
      <c r="IS291" s="11" t="s">
        <v>622</v>
      </c>
      <c r="IT291" s="11" t="s">
        <v>319</v>
      </c>
      <c r="IU291" s="11" t="s">
        <v>320</v>
      </c>
      <c r="IV291" s="11" t="s">
        <v>320</v>
      </c>
      <c r="IW291" s="11" t="str">
        <f t="shared" si="177"/>
        <v>3. Responsive</v>
      </c>
      <c r="IX291" s="12">
        <f t="shared" si="178"/>
        <v>2</v>
      </c>
      <c r="IY291" s="12" t="s">
        <v>758</v>
      </c>
      <c r="IZ291" s="11" t="s">
        <v>457</v>
      </c>
      <c r="JA291" s="11">
        <v>2</v>
      </c>
      <c r="JB291" s="11" t="s">
        <v>433</v>
      </c>
      <c r="JC291" s="11" t="s">
        <v>687</v>
      </c>
      <c r="JD291" s="11" t="s">
        <v>624</v>
      </c>
      <c r="JE291" s="12" t="s">
        <v>365</v>
      </c>
      <c r="JF291" s="11" t="s">
        <v>2948</v>
      </c>
      <c r="JG291" s="11" t="s">
        <v>5280</v>
      </c>
      <c r="JH291" s="11" t="s">
        <v>5281</v>
      </c>
      <c r="JI291" s="11" t="s">
        <v>2951</v>
      </c>
      <c r="JJ291" s="11" t="s">
        <v>2952</v>
      </c>
      <c r="JK291" s="11" t="s">
        <v>2953</v>
      </c>
      <c r="JL291" s="11" t="s">
        <v>5282</v>
      </c>
      <c r="JP291" s="15">
        <f t="shared" si="179"/>
        <v>6721</v>
      </c>
      <c r="JQ291" s="15">
        <f t="shared" si="180"/>
        <v>48243</v>
      </c>
      <c r="JR291" s="279">
        <f t="shared" si="181"/>
        <v>7.1779497098646035</v>
      </c>
      <c r="JS291" s="17">
        <f t="shared" si="182"/>
        <v>0.51376283291176905</v>
      </c>
      <c r="JT291" s="18">
        <f t="shared" si="183"/>
        <v>0.52175445142300436</v>
      </c>
      <c r="JU291" s="280">
        <f t="shared" si="184"/>
        <v>3453</v>
      </c>
      <c r="JV291" s="280">
        <f t="shared" si="185"/>
        <v>25171</v>
      </c>
      <c r="JW291" s="319" t="str">
        <f t="shared" si="186"/>
        <v/>
      </c>
      <c r="JX291" s="15">
        <f t="shared" si="187"/>
        <v>0</v>
      </c>
      <c r="JY291" s="15">
        <f t="shared" si="188"/>
        <v>0</v>
      </c>
      <c r="JZ291" s="19" t="str">
        <f t="shared" si="189"/>
        <v/>
      </c>
      <c r="KA291" s="52">
        <f t="shared" si="190"/>
        <v>1</v>
      </c>
      <c r="KB291" s="15">
        <f t="shared" si="191"/>
        <v>6100</v>
      </c>
      <c r="KC291" s="15">
        <f t="shared" si="192"/>
        <v>28100</v>
      </c>
      <c r="KD291" s="20">
        <f t="shared" si="193"/>
        <v>4.6065573770491799</v>
      </c>
      <c r="KE291" s="52" t="str">
        <f t="shared" si="194"/>
        <v/>
      </c>
      <c r="KF291" s="15">
        <f t="shared" si="195"/>
        <v>0</v>
      </c>
      <c r="KG291" s="15">
        <f t="shared" si="196"/>
        <v>0</v>
      </c>
      <c r="KH291" s="21" t="str">
        <f t="shared" si="197"/>
        <v/>
      </c>
      <c r="KI291" s="52" t="str">
        <f t="shared" si="198"/>
        <v/>
      </c>
      <c r="KJ291" s="15">
        <f t="shared" si="199"/>
        <v>0</v>
      </c>
      <c r="KK291" s="15">
        <f t="shared" si="200"/>
        <v>0</v>
      </c>
      <c r="KL291" s="19" t="str">
        <f t="shared" si="201"/>
        <v/>
      </c>
      <c r="KM291" s="52">
        <f t="shared" si="202"/>
        <v>1</v>
      </c>
      <c r="KN291" s="22">
        <f t="shared" si="203"/>
        <v>140</v>
      </c>
      <c r="KO291" s="22">
        <f t="shared" si="204"/>
        <v>1200</v>
      </c>
      <c r="KP291" s="19">
        <f t="shared" si="205"/>
        <v>8.5714285714285712</v>
      </c>
      <c r="KQ291" s="11" t="str">
        <f t="shared" si="206"/>
        <v>4. Transformative</v>
      </c>
      <c r="KR291" s="11" t="str">
        <f t="shared" si="207"/>
        <v>2. Accommodating</v>
      </c>
      <c r="KS291" s="11" t="str">
        <f t="shared" si="208"/>
        <v>3. Responsive</v>
      </c>
      <c r="KT291" s="11" t="str">
        <f t="shared" si="209"/>
        <v>It tested new ways for fighting poverty and measured results of innovation</v>
      </c>
      <c r="KU291" s="11" t="str">
        <f t="shared" si="210"/>
        <v>Moderate advocacy</v>
      </c>
      <c r="KV291" s="11" t="str">
        <f t="shared" si="211"/>
        <v>It linked and worked with strategic alliances and partners to take tested and effective solutions to scale</v>
      </c>
      <c r="KW291" s="11" t="str">
        <f t="shared" si="212"/>
        <v>Honduras - Proyecto Nutriendo El Futuro</v>
      </c>
      <c r="KX291" s="11" t="str">
        <f t="shared" si="213"/>
        <v>Proyecto Nutriendo El Futuro</v>
      </c>
      <c r="KY291" s="11" t="str">
        <f t="shared" si="214"/>
        <v>Honduras</v>
      </c>
      <c r="KZ291" s="12">
        <v>291</v>
      </c>
    </row>
    <row r="292" spans="1:312" x14ac:dyDescent="0.3">
      <c r="A292" s="11" t="s">
        <v>5300</v>
      </c>
      <c r="B292" s="11" t="s">
        <v>306</v>
      </c>
      <c r="C292" s="11">
        <v>3008</v>
      </c>
      <c r="D292" s="11" t="s">
        <v>5393</v>
      </c>
      <c r="E292" s="24" t="str">
        <f t="shared" si="172"/>
        <v>India</v>
      </c>
      <c r="F292" s="11" t="s">
        <v>5394</v>
      </c>
      <c r="G292" s="11" t="s">
        <v>5302</v>
      </c>
      <c r="H292" s="11" t="s">
        <v>384</v>
      </c>
      <c r="I292" s="11" t="s">
        <v>384</v>
      </c>
      <c r="J292" s="278" t="s">
        <v>14654</v>
      </c>
      <c r="BD292" s="23">
        <v>40269</v>
      </c>
      <c r="BE292" s="23">
        <v>42277</v>
      </c>
      <c r="BF292" s="23">
        <v>43100</v>
      </c>
      <c r="BG292" s="11" t="s">
        <v>312</v>
      </c>
      <c r="BH292" s="22">
        <v>2596270</v>
      </c>
      <c r="BI292" s="11" t="s">
        <v>5395</v>
      </c>
      <c r="BJ292" s="11" t="s">
        <v>354</v>
      </c>
      <c r="BK292" s="11" t="s">
        <v>5396</v>
      </c>
      <c r="BL292" s="11" t="s">
        <v>5397</v>
      </c>
      <c r="BM292" s="11" t="s">
        <v>5398</v>
      </c>
      <c r="BN292" s="11" t="s">
        <v>5399</v>
      </c>
      <c r="BO292" s="11" t="s">
        <v>319</v>
      </c>
      <c r="BP292" s="11" t="s">
        <v>320</v>
      </c>
      <c r="BQ292" s="11" t="s">
        <v>319</v>
      </c>
      <c r="BR292" s="11" t="s">
        <v>5400</v>
      </c>
      <c r="BS292" s="11" t="s">
        <v>357</v>
      </c>
      <c r="BT292" s="11" t="s">
        <v>5401</v>
      </c>
      <c r="BU292" s="11" t="s">
        <v>5402</v>
      </c>
      <c r="BV292" s="22">
        <v>28694</v>
      </c>
      <c r="BW292" s="22">
        <v>43041</v>
      </c>
      <c r="BX292" s="22">
        <v>71735</v>
      </c>
      <c r="BY292" s="22">
        <v>1169264</v>
      </c>
      <c r="BZ292" s="22">
        <v>1753896</v>
      </c>
      <c r="CA292" s="22">
        <v>2923160</v>
      </c>
      <c r="CB292" s="15" t="s">
        <v>5403</v>
      </c>
      <c r="CL292" s="18"/>
      <c r="CP292" s="18"/>
      <c r="CT292" s="18"/>
      <c r="CX292" s="18"/>
      <c r="DB292" s="18"/>
      <c r="DF292" s="18"/>
      <c r="DJ292" s="18"/>
      <c r="DN292" s="18"/>
      <c r="DR292" s="18"/>
      <c r="DV292" s="18"/>
      <c r="DZ292" s="18"/>
      <c r="ED292" s="18"/>
      <c r="EI292" s="18"/>
      <c r="EK292" s="22">
        <v>14036</v>
      </c>
      <c r="EL292" s="22">
        <v>16938</v>
      </c>
      <c r="EM292" s="22">
        <v>30974</v>
      </c>
      <c r="EN292" s="22">
        <v>692603</v>
      </c>
      <c r="EO292" s="22">
        <v>816464</v>
      </c>
      <c r="EP292" s="22">
        <v>1509067</v>
      </c>
      <c r="ES292" s="18"/>
      <c r="EW292" s="18"/>
      <c r="FA292" s="18"/>
      <c r="FE292" s="18"/>
      <c r="FI292" s="18"/>
      <c r="FM292" s="18"/>
      <c r="FQ292" s="18"/>
      <c r="FU292" s="18"/>
      <c r="FY292" s="18"/>
      <c r="GA292" s="11" t="s">
        <v>320</v>
      </c>
      <c r="GB292" s="22">
        <v>30974</v>
      </c>
      <c r="GC292" s="18">
        <v>0.4531</v>
      </c>
      <c r="GD292" s="22">
        <v>1509068</v>
      </c>
      <c r="GG292" s="18"/>
      <c r="GK292" s="18"/>
      <c r="GO292" s="18"/>
      <c r="GS292" s="18"/>
      <c r="GW292" s="18"/>
      <c r="HA292" s="18"/>
      <c r="HF292" s="18"/>
      <c r="HH292" s="11" t="s">
        <v>319</v>
      </c>
      <c r="HK292" s="11" t="s">
        <v>319</v>
      </c>
      <c r="HL292" s="11" t="s">
        <v>319</v>
      </c>
      <c r="HP292" s="11" t="s">
        <v>330</v>
      </c>
      <c r="HT292" s="11" t="s">
        <v>320</v>
      </c>
      <c r="HZ292" s="11" t="s">
        <v>363</v>
      </c>
      <c r="IB292" s="11" t="s">
        <v>396</v>
      </c>
      <c r="ID292" s="11" t="s">
        <v>364</v>
      </c>
      <c r="IE292" s="11" t="s">
        <v>335</v>
      </c>
      <c r="IF292" s="11" t="s">
        <v>320</v>
      </c>
      <c r="IG292" s="11" t="s">
        <v>320</v>
      </c>
      <c r="IH292" s="11" t="s">
        <v>320</v>
      </c>
      <c r="II292" s="11" t="s">
        <v>320</v>
      </c>
      <c r="IJ292" s="12" t="str">
        <f t="shared" si="173"/>
        <v>2. Sensitive</v>
      </c>
      <c r="IK292" s="12">
        <f t="shared" si="174"/>
        <v>4</v>
      </c>
      <c r="IL292" s="11" t="s">
        <v>336</v>
      </c>
      <c r="IM292" s="11" t="s">
        <v>320</v>
      </c>
      <c r="IN292" s="11" t="s">
        <v>320</v>
      </c>
      <c r="IO292" s="11" t="s">
        <v>320</v>
      </c>
      <c r="IP292" s="11" t="s">
        <v>320</v>
      </c>
      <c r="IQ292" s="12" t="str">
        <f t="shared" si="175"/>
        <v>2. Accommodating</v>
      </c>
      <c r="IR292" s="12">
        <f t="shared" si="176"/>
        <v>4</v>
      </c>
      <c r="IS292" s="11" t="s">
        <v>337</v>
      </c>
      <c r="IT292" s="11" t="s">
        <v>320</v>
      </c>
      <c r="IU292" s="11" t="s">
        <v>320</v>
      </c>
      <c r="IV292" s="11" t="s">
        <v>320</v>
      </c>
      <c r="IW292" s="11" t="str">
        <f t="shared" si="177"/>
        <v>2. Sensitive</v>
      </c>
      <c r="IX292" s="12">
        <f t="shared" si="178"/>
        <v>3</v>
      </c>
      <c r="IY292" s="11" t="s">
        <v>338</v>
      </c>
      <c r="IZ292" s="11" t="s">
        <v>339</v>
      </c>
      <c r="JE292" s="11" t="s">
        <v>420</v>
      </c>
      <c r="JG292" s="11" t="s">
        <v>5404</v>
      </c>
      <c r="JH292" s="11" t="s">
        <v>5405</v>
      </c>
      <c r="JI292" s="11" t="s">
        <v>5406</v>
      </c>
      <c r="JJ292" s="11" t="s">
        <v>5407</v>
      </c>
      <c r="JK292" s="11" t="s">
        <v>5408</v>
      </c>
      <c r="JL292" s="11" t="s">
        <v>5409</v>
      </c>
      <c r="JN292" s="11" t="s">
        <v>5410</v>
      </c>
      <c r="JP292" s="15">
        <f t="shared" si="179"/>
        <v>30974</v>
      </c>
      <c r="JQ292" s="15">
        <f t="shared" si="180"/>
        <v>1509067</v>
      </c>
      <c r="JR292" s="279">
        <f t="shared" si="181"/>
        <v>48.720442952153419</v>
      </c>
      <c r="JS292" s="17">
        <f t="shared" si="182"/>
        <v>0.45315425841027956</v>
      </c>
      <c r="JT292" s="18">
        <f t="shared" si="183"/>
        <v>0.45896106667232139</v>
      </c>
      <c r="JU292" s="280">
        <f t="shared" si="184"/>
        <v>14036</v>
      </c>
      <c r="JV292" s="280">
        <f t="shared" si="185"/>
        <v>692603</v>
      </c>
      <c r="JW292" s="319" t="str">
        <f t="shared" si="186"/>
        <v/>
      </c>
      <c r="JX292" s="15">
        <f t="shared" si="187"/>
        <v>0</v>
      </c>
      <c r="JY292" s="15">
        <f t="shared" si="188"/>
        <v>0</v>
      </c>
      <c r="JZ292" s="19" t="str">
        <f t="shared" si="189"/>
        <v/>
      </c>
      <c r="KA292" s="52" t="str">
        <f t="shared" si="190"/>
        <v/>
      </c>
      <c r="KB292" s="15">
        <f t="shared" si="191"/>
        <v>0</v>
      </c>
      <c r="KC292" s="15">
        <f t="shared" si="192"/>
        <v>0</v>
      </c>
      <c r="KD292" s="20" t="str">
        <f t="shared" si="193"/>
        <v/>
      </c>
      <c r="KE292" s="52" t="str">
        <f t="shared" si="194"/>
        <v/>
      </c>
      <c r="KF292" s="15">
        <f t="shared" si="195"/>
        <v>0</v>
      </c>
      <c r="KG292" s="15">
        <f t="shared" si="196"/>
        <v>0</v>
      </c>
      <c r="KH292" s="21" t="str">
        <f t="shared" si="197"/>
        <v/>
      </c>
      <c r="KI292" s="52" t="str">
        <f t="shared" si="198"/>
        <v/>
      </c>
      <c r="KJ292" s="15">
        <f t="shared" si="199"/>
        <v>0</v>
      </c>
      <c r="KK292" s="15">
        <f t="shared" si="200"/>
        <v>0</v>
      </c>
      <c r="KL292" s="19" t="str">
        <f t="shared" si="201"/>
        <v/>
      </c>
      <c r="KN292" s="22">
        <f t="shared" si="203"/>
        <v>0</v>
      </c>
      <c r="KO292" s="22">
        <f t="shared" si="204"/>
        <v>0</v>
      </c>
      <c r="KP292" s="19" t="str">
        <f t="shared" si="205"/>
        <v/>
      </c>
      <c r="KQ292" s="11" t="str">
        <f t="shared" si="206"/>
        <v>2. Sensitive</v>
      </c>
      <c r="KR292" s="11" t="str">
        <f t="shared" si="207"/>
        <v>2. Accommodating</v>
      </c>
      <c r="KS292" s="11" t="str">
        <f t="shared" si="208"/>
        <v>2. Sensitive</v>
      </c>
      <c r="KT292" s="11" t="str">
        <f t="shared" si="209"/>
        <v>It did not develop any specific innovation</v>
      </c>
      <c r="KU292" s="11" t="str">
        <f t="shared" si="210"/>
        <v>Moderate advocacy</v>
      </c>
      <c r="KV292" s="11" t="str">
        <f t="shared" si="211"/>
        <v>It linked and worked with strategic alliances and partners to take tested and effective solutions to scale</v>
      </c>
      <c r="KW292" s="11" t="str">
        <f t="shared" si="212"/>
        <v>India - AXSHYA India Project</v>
      </c>
      <c r="KX292" s="11" t="str">
        <f t="shared" si="213"/>
        <v>AXSHYA India Project</v>
      </c>
      <c r="KY292" s="11" t="str">
        <f t="shared" si="214"/>
        <v>India</v>
      </c>
      <c r="KZ292" s="12">
        <v>292</v>
      </c>
    </row>
    <row r="293" spans="1:312" x14ac:dyDescent="0.3">
      <c r="A293" s="282" t="s">
        <v>5300</v>
      </c>
      <c r="B293" s="282" t="s">
        <v>306</v>
      </c>
      <c r="C293" s="282">
        <v>3008</v>
      </c>
      <c r="D293" s="282" t="s">
        <v>5411</v>
      </c>
      <c r="E293" s="24" t="str">
        <f t="shared" si="172"/>
        <v>India</v>
      </c>
      <c r="F293" s="282"/>
      <c r="G293" s="282" t="s">
        <v>5302</v>
      </c>
      <c r="H293" s="282" t="s">
        <v>383</v>
      </c>
      <c r="I293" s="282" t="s">
        <v>384</v>
      </c>
      <c r="J293" s="278" t="s">
        <v>5412</v>
      </c>
      <c r="K293" s="282"/>
      <c r="L293" s="282"/>
      <c r="M293" s="282"/>
      <c r="N293" s="282"/>
      <c r="O293" s="282"/>
      <c r="P293" s="282"/>
      <c r="Q293" s="282"/>
      <c r="R293" s="282"/>
      <c r="S293" s="282"/>
      <c r="T293" s="282"/>
      <c r="U293" s="282"/>
      <c r="V293" s="282"/>
      <c r="W293" s="282"/>
      <c r="X293" s="282"/>
      <c r="Y293" s="282"/>
      <c r="Z293" s="282"/>
      <c r="AA293" s="282"/>
      <c r="AB293" s="282"/>
      <c r="AC293" s="282"/>
      <c r="AD293" s="282"/>
      <c r="AE293" s="282"/>
      <c r="AF293" s="282"/>
      <c r="AG293" s="282"/>
      <c r="AH293" s="282"/>
      <c r="AI293" s="282"/>
      <c r="AJ293" s="282"/>
      <c r="AK293" s="282"/>
      <c r="AL293" s="282"/>
      <c r="AM293" s="282"/>
      <c r="AN293" s="282"/>
      <c r="AO293" s="282"/>
      <c r="AP293" s="282"/>
      <c r="AQ293" s="282"/>
      <c r="AR293" s="282"/>
      <c r="AS293" s="282"/>
      <c r="AT293" s="282"/>
      <c r="AU293" s="282"/>
      <c r="AV293" s="282"/>
      <c r="AW293" s="282"/>
      <c r="AX293" s="282"/>
      <c r="AY293" s="282"/>
      <c r="AZ293" s="282"/>
      <c r="BA293" s="282"/>
      <c r="BB293" s="282"/>
      <c r="BC293" s="282"/>
      <c r="BD293" s="283">
        <v>42856</v>
      </c>
      <c r="BE293" s="283">
        <v>43982</v>
      </c>
      <c r="BF293" s="283"/>
      <c r="BG293" s="283" t="s">
        <v>312</v>
      </c>
      <c r="BH293" s="284">
        <v>572587</v>
      </c>
      <c r="BI293" s="282" t="s">
        <v>5413</v>
      </c>
      <c r="BJ293" s="282" t="s">
        <v>5414</v>
      </c>
      <c r="BK293" s="282" t="s">
        <v>5415</v>
      </c>
      <c r="BL293" s="282"/>
      <c r="BM293" s="282"/>
      <c r="BN293" s="282"/>
      <c r="BO293" s="282" t="s">
        <v>319</v>
      </c>
      <c r="BP293" s="282" t="s">
        <v>320</v>
      </c>
      <c r="BQ293" s="282" t="s">
        <v>319</v>
      </c>
      <c r="BR293" s="282" t="s">
        <v>5416</v>
      </c>
      <c r="BS293" s="282" t="s">
        <v>357</v>
      </c>
      <c r="BT293" s="282" t="s">
        <v>5417</v>
      </c>
      <c r="BU293" s="282" t="s">
        <v>5418</v>
      </c>
      <c r="BV293" s="284">
        <v>5000</v>
      </c>
      <c r="BW293" s="284"/>
      <c r="BX293" s="284">
        <v>5000</v>
      </c>
      <c r="BY293" s="284"/>
      <c r="BZ293" s="284"/>
      <c r="CA293" s="284">
        <v>12500</v>
      </c>
      <c r="CB293" s="285" t="s">
        <v>5419</v>
      </c>
      <c r="CC293" s="285"/>
      <c r="CD293" s="284"/>
      <c r="CE293" s="284"/>
      <c r="CF293" s="284"/>
      <c r="CG293" s="284"/>
      <c r="CH293" s="284"/>
      <c r="CI293" s="284"/>
      <c r="CJ293" s="282"/>
      <c r="CK293" s="284"/>
      <c r="CL293" s="286"/>
      <c r="CM293" s="284"/>
      <c r="CN293" s="287"/>
      <c r="CO293" s="284"/>
      <c r="CP293" s="286"/>
      <c r="CQ293" s="284"/>
      <c r="CR293" s="282"/>
      <c r="CS293" s="284"/>
      <c r="CT293" s="286"/>
      <c r="CU293" s="284"/>
      <c r="CV293" s="289"/>
      <c r="CW293" s="290"/>
      <c r="CX293" s="291"/>
      <c r="CY293" s="290"/>
      <c r="CZ293" s="282"/>
      <c r="DA293" s="284"/>
      <c r="DB293" s="286"/>
      <c r="DC293" s="284"/>
      <c r="DD293" s="287"/>
      <c r="DE293" s="284"/>
      <c r="DF293" s="286"/>
      <c r="DG293" s="284"/>
      <c r="DH293" s="282"/>
      <c r="DI293" s="284"/>
      <c r="DJ293" s="286"/>
      <c r="DK293" s="284"/>
      <c r="DL293" s="282"/>
      <c r="DM293" s="284"/>
      <c r="DN293" s="286"/>
      <c r="DO293" s="284"/>
      <c r="DP293" s="282"/>
      <c r="DQ293" s="284"/>
      <c r="DR293" s="286"/>
      <c r="DS293" s="284"/>
      <c r="DT293" s="282"/>
      <c r="DU293" s="284"/>
      <c r="DV293" s="286"/>
      <c r="DW293" s="284"/>
      <c r="DX293" s="282"/>
      <c r="DY293" s="284"/>
      <c r="DZ293" s="286"/>
      <c r="EA293" s="284"/>
      <c r="EB293" s="282"/>
      <c r="EC293" s="284"/>
      <c r="ED293" s="286"/>
      <c r="EE293" s="284"/>
      <c r="EF293" s="285"/>
      <c r="EG293" s="287"/>
      <c r="EH293" s="284"/>
      <c r="EI293" s="286"/>
      <c r="EJ293" s="284"/>
      <c r="EK293" s="284"/>
      <c r="EL293" s="284"/>
      <c r="EM293" s="284"/>
      <c r="EN293" s="284"/>
      <c r="EO293" s="284"/>
      <c r="EP293" s="284"/>
      <c r="EQ293" s="282"/>
      <c r="ER293" s="284"/>
      <c r="ES293" s="286"/>
      <c r="ET293" s="284"/>
      <c r="EU293" s="282"/>
      <c r="EV293" s="284"/>
      <c r="EW293" s="286"/>
      <c r="EX293" s="284"/>
      <c r="EY293" s="282"/>
      <c r="EZ293" s="284"/>
      <c r="FA293" s="286"/>
      <c r="FB293" s="284"/>
      <c r="FC293" s="282"/>
      <c r="FD293" s="284"/>
      <c r="FE293" s="286"/>
      <c r="FF293" s="284"/>
      <c r="FG293" s="282"/>
      <c r="FH293" s="284"/>
      <c r="FI293" s="286"/>
      <c r="FJ293" s="284"/>
      <c r="FK293" s="282"/>
      <c r="FL293" s="284"/>
      <c r="FM293" s="286"/>
      <c r="FN293" s="284"/>
      <c r="FO293" s="289"/>
      <c r="FP293" s="300"/>
      <c r="FQ293" s="291"/>
      <c r="FR293" s="290"/>
      <c r="FS293" s="282"/>
      <c r="FT293" s="284"/>
      <c r="FU293" s="286"/>
      <c r="FV293" s="284"/>
      <c r="FW293" s="282"/>
      <c r="FX293" s="284"/>
      <c r="FY293" s="286"/>
      <c r="FZ293" s="284"/>
      <c r="GA293" s="282"/>
      <c r="GB293" s="284"/>
      <c r="GC293" s="286"/>
      <c r="GD293" s="284"/>
      <c r="GE293" s="282"/>
      <c r="GF293" s="284"/>
      <c r="GG293" s="286"/>
      <c r="GH293" s="284"/>
      <c r="GI293" s="282"/>
      <c r="GJ293" s="284"/>
      <c r="GK293" s="286"/>
      <c r="GL293" s="284"/>
      <c r="GM293" s="282"/>
      <c r="GN293" s="284"/>
      <c r="GO293" s="286"/>
      <c r="GP293" s="284"/>
      <c r="GQ293" s="282"/>
      <c r="GR293" s="284"/>
      <c r="GS293" s="286"/>
      <c r="GT293" s="284"/>
      <c r="GU293" s="282"/>
      <c r="GV293" s="284"/>
      <c r="GW293" s="286"/>
      <c r="GX293" s="284"/>
      <c r="GY293" s="282"/>
      <c r="GZ293" s="284"/>
      <c r="HA293" s="286"/>
      <c r="HB293" s="284"/>
      <c r="HC293" s="282"/>
      <c r="HD293" s="282"/>
      <c r="HE293" s="284"/>
      <c r="HF293" s="286"/>
      <c r="HG293" s="284"/>
      <c r="HH293" s="282" t="s">
        <v>319</v>
      </c>
      <c r="HI293" s="282"/>
      <c r="HJ293" s="282"/>
      <c r="HK293" s="282" t="s">
        <v>319</v>
      </c>
      <c r="HL293" s="282" t="s">
        <v>319</v>
      </c>
      <c r="HM293" s="282"/>
      <c r="HN293" s="282"/>
      <c r="HO293" s="282"/>
      <c r="HP293" s="282"/>
      <c r="HQ293" s="282"/>
      <c r="HR293" s="282"/>
      <c r="HS293" s="282"/>
      <c r="HT293" s="282"/>
      <c r="HU293" s="282"/>
      <c r="HV293" s="282"/>
      <c r="HW293" s="282"/>
      <c r="HX293" s="282"/>
      <c r="HY293" s="282"/>
      <c r="HZ293" s="282"/>
      <c r="IA293" s="282"/>
      <c r="IB293" s="282"/>
      <c r="IC293" s="282"/>
      <c r="ID293" s="282"/>
      <c r="IE293" s="282"/>
      <c r="IF293" s="282"/>
      <c r="IG293" s="282"/>
      <c r="IH293" s="282"/>
      <c r="II293" s="282"/>
      <c r="IJ293" s="12" t="str">
        <f t="shared" si="173"/>
        <v>No marker score</v>
      </c>
      <c r="IK293" s="287">
        <f t="shared" si="174"/>
        <v>0</v>
      </c>
      <c r="IL293" s="282"/>
      <c r="IM293" s="282"/>
      <c r="IN293" s="282"/>
      <c r="IO293" s="282"/>
      <c r="IP293" s="282"/>
      <c r="IQ293" s="287" t="str">
        <f t="shared" si="175"/>
        <v>No marker score</v>
      </c>
      <c r="IR293" s="287">
        <f t="shared" si="176"/>
        <v>0</v>
      </c>
      <c r="IS293" s="282"/>
      <c r="IT293" s="282"/>
      <c r="IU293" s="282"/>
      <c r="IV293" s="282"/>
      <c r="IW293" s="11" t="str">
        <f t="shared" si="177"/>
        <v>No marker score</v>
      </c>
      <c r="IX293" s="287">
        <f t="shared" si="178"/>
        <v>0</v>
      </c>
      <c r="IY293" s="282"/>
      <c r="IZ293" s="282"/>
      <c r="JA293" s="282"/>
      <c r="JB293" s="282"/>
      <c r="JC293" s="282"/>
      <c r="JD293" s="282"/>
      <c r="JE293" s="282"/>
      <c r="JF293" s="282"/>
      <c r="JG293" s="282"/>
      <c r="JH293" s="282"/>
      <c r="JI293" s="282"/>
      <c r="JJ293" s="282"/>
      <c r="JK293" s="282"/>
      <c r="JL293" s="282"/>
      <c r="JM293" s="282"/>
      <c r="JN293" s="282" t="s">
        <v>5420</v>
      </c>
      <c r="JO293" s="282"/>
      <c r="JP293" s="15">
        <f t="shared" si="179"/>
        <v>0</v>
      </c>
      <c r="JQ293" s="15">
        <f t="shared" si="180"/>
        <v>0</v>
      </c>
      <c r="JR293" s="279" t="str">
        <f t="shared" si="181"/>
        <v/>
      </c>
      <c r="JS293" s="17" t="str">
        <f t="shared" si="182"/>
        <v/>
      </c>
      <c r="JT293" s="18" t="str">
        <f t="shared" si="183"/>
        <v/>
      </c>
      <c r="JU293" s="280">
        <f t="shared" si="184"/>
        <v>0</v>
      </c>
      <c r="JV293" s="280">
        <f t="shared" si="185"/>
        <v>0</v>
      </c>
      <c r="JW293" s="319" t="str">
        <f t="shared" si="186"/>
        <v/>
      </c>
      <c r="JX293" s="15">
        <f t="shared" si="187"/>
        <v>0</v>
      </c>
      <c r="JY293" s="15">
        <f t="shared" si="188"/>
        <v>0</v>
      </c>
      <c r="JZ293" s="19" t="str">
        <f t="shared" si="189"/>
        <v/>
      </c>
      <c r="KA293" s="52" t="str">
        <f t="shared" si="190"/>
        <v/>
      </c>
      <c r="KB293" s="15">
        <f t="shared" si="191"/>
        <v>0</v>
      </c>
      <c r="KC293" s="15">
        <f t="shared" si="192"/>
        <v>0</v>
      </c>
      <c r="KD293" s="20" t="str">
        <f t="shared" si="193"/>
        <v/>
      </c>
      <c r="KE293" s="52" t="str">
        <f t="shared" si="194"/>
        <v/>
      </c>
      <c r="KF293" s="15">
        <f t="shared" si="195"/>
        <v>0</v>
      </c>
      <c r="KG293" s="15">
        <f t="shared" si="196"/>
        <v>0</v>
      </c>
      <c r="KH293" s="21" t="str">
        <f t="shared" si="197"/>
        <v/>
      </c>
      <c r="KI293" s="52" t="str">
        <f t="shared" si="198"/>
        <v/>
      </c>
      <c r="KJ293" s="15">
        <f t="shared" si="199"/>
        <v>0</v>
      </c>
      <c r="KK293" s="15">
        <f t="shared" si="200"/>
        <v>0</v>
      </c>
      <c r="KL293" s="19" t="str">
        <f t="shared" si="201"/>
        <v/>
      </c>
      <c r="KM293" s="52" t="str">
        <f t="shared" si="202"/>
        <v/>
      </c>
      <c r="KN293" s="22">
        <f t="shared" si="203"/>
        <v>0</v>
      </c>
      <c r="KO293" s="22">
        <f t="shared" si="204"/>
        <v>0</v>
      </c>
      <c r="KP293" s="19" t="str">
        <f t="shared" si="205"/>
        <v/>
      </c>
      <c r="KQ293" s="11" t="str">
        <f t="shared" si="206"/>
        <v>No marker score</v>
      </c>
      <c r="KR293" s="11" t="str">
        <f t="shared" si="207"/>
        <v>No marker score</v>
      </c>
      <c r="KS293" s="11" t="str">
        <f t="shared" si="208"/>
        <v>No marker score</v>
      </c>
      <c r="KT293" s="11">
        <f t="shared" si="209"/>
        <v>0</v>
      </c>
      <c r="KU293" s="11">
        <f t="shared" si="210"/>
        <v>0</v>
      </c>
      <c r="KV293" s="11">
        <f t="shared" si="211"/>
        <v>0</v>
      </c>
      <c r="KW293" s="11" t="str">
        <f t="shared" si="212"/>
        <v>India - Bihar - Employability, resilient livelihood and improved health for women and girls in Madhepura (B-ERLIH)</v>
      </c>
      <c r="KX293" s="11" t="str">
        <f t="shared" si="213"/>
        <v>Bihar - Employability, resilient livelihood and improved health for women and girls in Madhepura (B-ERLIH)</v>
      </c>
      <c r="KY293" s="11" t="str">
        <f t="shared" si="214"/>
        <v>India</v>
      </c>
      <c r="KZ293" s="12">
        <v>293</v>
      </c>
    </row>
    <row r="294" spans="1:312" x14ac:dyDescent="0.3">
      <c r="A294" s="11" t="s">
        <v>5300</v>
      </c>
      <c r="B294" s="11" t="s">
        <v>306</v>
      </c>
      <c r="D294" s="11" t="s">
        <v>5421</v>
      </c>
      <c r="E294" s="24" t="str">
        <f t="shared" si="172"/>
        <v>India</v>
      </c>
      <c r="F294" s="11" t="s">
        <v>5422</v>
      </c>
      <c r="G294" s="11" t="s">
        <v>5302</v>
      </c>
      <c r="H294" s="11" t="s">
        <v>383</v>
      </c>
      <c r="I294" s="11" t="s">
        <v>384</v>
      </c>
      <c r="J294" s="278" t="s">
        <v>5423</v>
      </c>
      <c r="BD294" s="23">
        <v>42826</v>
      </c>
      <c r="BE294" s="23">
        <v>43190</v>
      </c>
      <c r="BG294" s="11" t="s">
        <v>817</v>
      </c>
      <c r="BH294" s="22">
        <v>62744.5</v>
      </c>
      <c r="BI294" s="11" t="s">
        <v>5424</v>
      </c>
      <c r="BJ294" s="11" t="s">
        <v>5425</v>
      </c>
      <c r="BK294" s="11" t="s">
        <v>5426</v>
      </c>
      <c r="BL294" s="11" t="s">
        <v>5427</v>
      </c>
      <c r="BM294" s="11" t="s">
        <v>5428</v>
      </c>
      <c r="BN294" s="11" t="s">
        <v>5429</v>
      </c>
      <c r="BO294" s="12" t="s">
        <v>319</v>
      </c>
      <c r="BP294" s="12" t="s">
        <v>320</v>
      </c>
      <c r="BQ294" s="12" t="s">
        <v>319</v>
      </c>
      <c r="BR294" s="11" t="s">
        <v>5430</v>
      </c>
      <c r="BS294" s="11" t="s">
        <v>357</v>
      </c>
      <c r="BT294" s="11" t="s">
        <v>5431</v>
      </c>
      <c r="BU294" s="11" t="s">
        <v>5432</v>
      </c>
      <c r="BV294" s="22">
        <v>148</v>
      </c>
      <c r="BW294" s="22">
        <v>141</v>
      </c>
      <c r="BX294" s="22">
        <v>289</v>
      </c>
      <c r="BY294" s="22">
        <v>391</v>
      </c>
      <c r="BZ294" s="22">
        <v>417</v>
      </c>
      <c r="CA294" s="22">
        <v>808</v>
      </c>
      <c r="CB294" s="15" t="s">
        <v>5433</v>
      </c>
      <c r="CL294" s="18"/>
      <c r="CP294" s="18"/>
      <c r="CT294" s="18"/>
      <c r="CX294" s="18"/>
      <c r="DB294" s="18"/>
      <c r="DF294" s="18"/>
      <c r="DJ294" s="18"/>
      <c r="DN294" s="18"/>
      <c r="DR294" s="18"/>
      <c r="DV294" s="18"/>
      <c r="DZ294" s="18"/>
      <c r="ED294" s="18"/>
      <c r="EI294" s="18"/>
      <c r="EK294" s="22">
        <v>148</v>
      </c>
      <c r="EL294" s="22">
        <v>141</v>
      </c>
      <c r="EM294" s="22">
        <v>289</v>
      </c>
      <c r="EN294" s="22">
        <v>391</v>
      </c>
      <c r="EO294" s="22">
        <v>471</v>
      </c>
      <c r="EP294" s="22">
        <v>862</v>
      </c>
      <c r="EQ294" s="12" t="s">
        <v>319</v>
      </c>
      <c r="ES294" s="18"/>
      <c r="EU294" s="11" t="s">
        <v>319</v>
      </c>
      <c r="EW294" s="18"/>
      <c r="EY294" s="12" t="s">
        <v>319</v>
      </c>
      <c r="FA294" s="18"/>
      <c r="FC294" s="12" t="s">
        <v>320</v>
      </c>
      <c r="FD294" s="22">
        <v>289</v>
      </c>
      <c r="FE294" s="18">
        <v>0.51</v>
      </c>
      <c r="FF294" s="22">
        <v>325</v>
      </c>
      <c r="FG294" s="12" t="s">
        <v>319</v>
      </c>
      <c r="FI294" s="18"/>
      <c r="FK294" s="11" t="s">
        <v>319</v>
      </c>
      <c r="FM294" s="18"/>
      <c r="FO294" s="11" t="s">
        <v>319</v>
      </c>
      <c r="FQ294" s="18"/>
      <c r="FS294" s="11" t="s">
        <v>319</v>
      </c>
      <c r="FU294" s="18"/>
      <c r="FW294" s="11" t="s">
        <v>320</v>
      </c>
      <c r="FX294" s="22">
        <v>40</v>
      </c>
      <c r="FY294" s="18">
        <v>0.53</v>
      </c>
      <c r="FZ294" s="22">
        <v>160</v>
      </c>
      <c r="GA294" s="11" t="s">
        <v>319</v>
      </c>
      <c r="GC294" s="18"/>
      <c r="GE294" s="11" t="s">
        <v>319</v>
      </c>
      <c r="GG294" s="18"/>
      <c r="GI294" s="11" t="s">
        <v>319</v>
      </c>
      <c r="GK294" s="18"/>
      <c r="GM294" s="11" t="s">
        <v>319</v>
      </c>
      <c r="GO294" s="18"/>
      <c r="GQ294" s="11" t="s">
        <v>319</v>
      </c>
      <c r="GS294" s="18"/>
      <c r="GU294" s="12" t="s">
        <v>320</v>
      </c>
      <c r="GV294" s="22">
        <v>249</v>
      </c>
      <c r="GW294" s="18">
        <v>0.51</v>
      </c>
      <c r="GX294" s="22">
        <v>498</v>
      </c>
      <c r="GY294" s="11" t="s">
        <v>319</v>
      </c>
      <c r="HA294" s="18"/>
      <c r="HF294" s="18"/>
      <c r="HH294" s="11" t="s">
        <v>319</v>
      </c>
      <c r="HK294" s="11" t="s">
        <v>319</v>
      </c>
      <c r="HL294" s="11" t="s">
        <v>320</v>
      </c>
      <c r="HM294" s="11" t="s">
        <v>619</v>
      </c>
      <c r="HN294" s="11">
        <v>2017</v>
      </c>
      <c r="HP294" s="11" t="s">
        <v>418</v>
      </c>
      <c r="HQ294" s="11" t="s">
        <v>319</v>
      </c>
      <c r="HR294" s="11" t="s">
        <v>319</v>
      </c>
      <c r="HS294" s="11" t="s">
        <v>320</v>
      </c>
      <c r="HT294" s="11" t="s">
        <v>319</v>
      </c>
      <c r="HU294" s="11" t="s">
        <v>319</v>
      </c>
      <c r="HV294" s="11" t="s">
        <v>319</v>
      </c>
      <c r="HW294" s="11" t="s">
        <v>320</v>
      </c>
      <c r="HX294" s="11" t="s">
        <v>320</v>
      </c>
      <c r="HY294" s="11" t="s">
        <v>5434</v>
      </c>
      <c r="HZ294" s="11" t="s">
        <v>363</v>
      </c>
      <c r="IB294" s="11" t="s">
        <v>333</v>
      </c>
      <c r="ID294" s="11" t="s">
        <v>364</v>
      </c>
      <c r="IE294" s="11" t="s">
        <v>478</v>
      </c>
      <c r="IF294" s="11" t="s">
        <v>319</v>
      </c>
      <c r="IG294" s="11" t="s">
        <v>320</v>
      </c>
      <c r="IH294" s="11" t="s">
        <v>320</v>
      </c>
      <c r="II294" s="11" t="s">
        <v>320</v>
      </c>
      <c r="IJ294" s="12" t="str">
        <f t="shared" si="173"/>
        <v>3. Responsive</v>
      </c>
      <c r="IK294" s="12">
        <f t="shared" si="174"/>
        <v>3</v>
      </c>
      <c r="IL294" s="11" t="s">
        <v>621</v>
      </c>
      <c r="IM294" s="11" t="s">
        <v>320</v>
      </c>
      <c r="IN294" s="11" t="s">
        <v>319</v>
      </c>
      <c r="IO294" s="11" t="s">
        <v>319</v>
      </c>
      <c r="IP294" s="11" t="s">
        <v>320</v>
      </c>
      <c r="IQ294" s="12" t="str">
        <f t="shared" si="175"/>
        <v>3. Responsive</v>
      </c>
      <c r="IR294" s="12">
        <f t="shared" si="176"/>
        <v>2</v>
      </c>
      <c r="IS294" s="11" t="s">
        <v>622</v>
      </c>
      <c r="IT294" s="11" t="s">
        <v>319</v>
      </c>
      <c r="IU294" s="11" t="s">
        <v>319</v>
      </c>
      <c r="IV294" s="11" t="s">
        <v>320</v>
      </c>
      <c r="IW294" s="11" t="str">
        <f t="shared" si="177"/>
        <v>3. Responsive</v>
      </c>
      <c r="IX294" s="12">
        <f t="shared" si="178"/>
        <v>1</v>
      </c>
      <c r="IY294" s="11" t="s">
        <v>419</v>
      </c>
      <c r="IZ294" s="11" t="s">
        <v>457</v>
      </c>
      <c r="JA294" s="11">
        <v>1</v>
      </c>
      <c r="JB294" s="11" t="s">
        <v>433</v>
      </c>
      <c r="JC294" s="11" t="s">
        <v>687</v>
      </c>
      <c r="JD294" s="11" t="s">
        <v>1113</v>
      </c>
      <c r="JE294" s="11" t="s">
        <v>340</v>
      </c>
      <c r="JF294" s="11" t="s">
        <v>5435</v>
      </c>
      <c r="JG294" s="11" t="s">
        <v>5436</v>
      </c>
      <c r="JH294" s="11" t="s">
        <v>5437</v>
      </c>
      <c r="JI294" s="11" t="s">
        <v>5438</v>
      </c>
      <c r="JJ294" s="11" t="s">
        <v>5439</v>
      </c>
      <c r="JK294" s="11" t="s">
        <v>5440</v>
      </c>
      <c r="JL294" s="11" t="s">
        <v>5441</v>
      </c>
      <c r="JM294" s="11" t="s">
        <v>5442</v>
      </c>
      <c r="JP294" s="15">
        <f t="shared" si="179"/>
        <v>289</v>
      </c>
      <c r="JQ294" s="15">
        <f t="shared" si="180"/>
        <v>862</v>
      </c>
      <c r="JR294" s="279">
        <f t="shared" si="181"/>
        <v>2.9826989619377162</v>
      </c>
      <c r="JS294" s="17">
        <f t="shared" si="182"/>
        <v>0.51211072664359858</v>
      </c>
      <c r="JT294" s="18">
        <f t="shared" si="183"/>
        <v>0.45359628770301624</v>
      </c>
      <c r="JU294" s="280">
        <f t="shared" si="184"/>
        <v>148</v>
      </c>
      <c r="JV294" s="280">
        <f t="shared" si="185"/>
        <v>391</v>
      </c>
      <c r="JW294" s="319" t="str">
        <f t="shared" si="186"/>
        <v/>
      </c>
      <c r="JX294" s="15">
        <f t="shared" si="187"/>
        <v>0</v>
      </c>
      <c r="JY294" s="15">
        <f t="shared" si="188"/>
        <v>0</v>
      </c>
      <c r="JZ294" s="19" t="str">
        <f t="shared" si="189"/>
        <v/>
      </c>
      <c r="KA294" s="52">
        <f t="shared" si="190"/>
        <v>1</v>
      </c>
      <c r="KB294" s="15">
        <f t="shared" si="191"/>
        <v>289</v>
      </c>
      <c r="KC294" s="15">
        <f t="shared" si="192"/>
        <v>498</v>
      </c>
      <c r="KD294" s="20">
        <f t="shared" si="193"/>
        <v>1.7231833910034602</v>
      </c>
      <c r="KE294" s="52" t="str">
        <f t="shared" si="194"/>
        <v/>
      </c>
      <c r="KF294" s="15">
        <f t="shared" si="195"/>
        <v>0</v>
      </c>
      <c r="KG294" s="15">
        <f t="shared" si="196"/>
        <v>0</v>
      </c>
      <c r="KH294" s="21" t="str">
        <f t="shared" si="197"/>
        <v/>
      </c>
      <c r="KI294" s="52" t="str">
        <f t="shared" si="198"/>
        <v/>
      </c>
      <c r="KJ294" s="15">
        <f t="shared" si="199"/>
        <v>0</v>
      </c>
      <c r="KK294" s="15">
        <f t="shared" si="200"/>
        <v>0</v>
      </c>
      <c r="KL294" s="19" t="str">
        <f t="shared" si="201"/>
        <v/>
      </c>
      <c r="KM294" s="52" t="str">
        <f t="shared" si="202"/>
        <v/>
      </c>
      <c r="KN294" s="22">
        <f t="shared" si="203"/>
        <v>0</v>
      </c>
      <c r="KO294" s="22">
        <f t="shared" si="204"/>
        <v>0</v>
      </c>
      <c r="KP294" s="19" t="str">
        <f t="shared" si="205"/>
        <v/>
      </c>
      <c r="KQ294" s="11" t="str">
        <f t="shared" si="206"/>
        <v>3. Responsive</v>
      </c>
      <c r="KR294" s="11" t="str">
        <f t="shared" si="207"/>
        <v>3. Responsive</v>
      </c>
      <c r="KS294" s="11" t="str">
        <f t="shared" si="208"/>
        <v>3. Responsive</v>
      </c>
      <c r="KT294" s="11" t="str">
        <f t="shared" si="209"/>
        <v>It did not develop any specific innovation</v>
      </c>
      <c r="KU294" s="11" t="str">
        <f t="shared" si="210"/>
        <v>Little or no advocacy</v>
      </c>
      <c r="KV294" s="11" t="str">
        <f t="shared" si="211"/>
        <v>It did not take tested solutions to scale</v>
      </c>
      <c r="KW294" s="11" t="str">
        <f t="shared" si="212"/>
        <v>India - Disaster Preparedness and Resilience Project (DPRP)</v>
      </c>
      <c r="KX294" s="11" t="str">
        <f t="shared" si="213"/>
        <v>Disaster Preparedness and Resilience Project (DPRP)</v>
      </c>
      <c r="KY294" s="11" t="str">
        <f t="shared" si="214"/>
        <v>India</v>
      </c>
      <c r="KZ294" s="12">
        <v>294</v>
      </c>
    </row>
    <row r="295" spans="1:312" x14ac:dyDescent="0.3">
      <c r="A295" s="282" t="s">
        <v>5300</v>
      </c>
      <c r="B295" s="282" t="s">
        <v>306</v>
      </c>
      <c r="C295" s="282"/>
      <c r="D295" s="282" t="s">
        <v>5443</v>
      </c>
      <c r="E295" s="24" t="str">
        <f t="shared" si="172"/>
        <v>India</v>
      </c>
      <c r="F295" s="282"/>
      <c r="G295" s="282" t="s">
        <v>5302</v>
      </c>
      <c r="H295" s="282" t="s">
        <v>384</v>
      </c>
      <c r="I295" s="282" t="s">
        <v>384</v>
      </c>
      <c r="J295" s="278" t="s">
        <v>5444</v>
      </c>
      <c r="K295" s="282"/>
      <c r="L295" s="282" t="s">
        <v>5302</v>
      </c>
      <c r="M295" s="282" t="s">
        <v>384</v>
      </c>
      <c r="N295" s="282" t="s">
        <v>384</v>
      </c>
      <c r="O295" s="282" t="s">
        <v>5445</v>
      </c>
      <c r="P295" s="282"/>
      <c r="Q295" s="282"/>
      <c r="R295" s="282"/>
      <c r="S295" s="282"/>
      <c r="T295" s="282"/>
      <c r="U295" s="282"/>
      <c r="V295" s="282"/>
      <c r="W295" s="282"/>
      <c r="X295" s="282"/>
      <c r="Y295" s="282"/>
      <c r="Z295" s="282"/>
      <c r="AA295" s="282"/>
      <c r="AB295" s="282"/>
      <c r="AC295" s="282"/>
      <c r="AD295" s="282"/>
      <c r="AE295" s="282"/>
      <c r="AF295" s="282"/>
      <c r="AG295" s="282"/>
      <c r="AH295" s="282"/>
      <c r="AI295" s="282"/>
      <c r="AJ295" s="282"/>
      <c r="AK295" s="282"/>
      <c r="AL295" s="282"/>
      <c r="AM295" s="282"/>
      <c r="AN295" s="282"/>
      <c r="AO295" s="282"/>
      <c r="AP295" s="282"/>
      <c r="AQ295" s="282"/>
      <c r="AR295" s="282"/>
      <c r="AS295" s="282"/>
      <c r="AT295" s="282"/>
      <c r="AU295" s="282"/>
      <c r="AV295" s="282"/>
      <c r="AW295" s="282"/>
      <c r="AX295" s="282"/>
      <c r="AY295" s="282"/>
      <c r="AZ295" s="282"/>
      <c r="BA295" s="282"/>
      <c r="BB295" s="282"/>
      <c r="BC295" s="282"/>
      <c r="BD295" s="283">
        <v>42522</v>
      </c>
      <c r="BE295" s="283">
        <v>42582</v>
      </c>
      <c r="BF295" s="283"/>
      <c r="BG295" s="283" t="s">
        <v>817</v>
      </c>
      <c r="BH295" s="284">
        <v>14960</v>
      </c>
      <c r="BI295" s="282" t="s">
        <v>5446</v>
      </c>
      <c r="BJ295" s="282" t="s">
        <v>5447</v>
      </c>
      <c r="BK295" s="282" t="s">
        <v>5356</v>
      </c>
      <c r="BL295" s="282"/>
      <c r="BM295" s="282"/>
      <c r="BN295" s="282"/>
      <c r="BO295" s="282" t="s">
        <v>320</v>
      </c>
      <c r="BP295" s="282" t="s">
        <v>320</v>
      </c>
      <c r="BQ295" s="282" t="s">
        <v>320</v>
      </c>
      <c r="BR295" s="282" t="s">
        <v>5448</v>
      </c>
      <c r="BS295" s="282" t="s">
        <v>357</v>
      </c>
      <c r="BT295" s="282" t="s">
        <v>5449</v>
      </c>
      <c r="BU295" s="282" t="s">
        <v>5450</v>
      </c>
      <c r="BV295" s="284">
        <v>5419</v>
      </c>
      <c r="BW295" s="284">
        <v>5777</v>
      </c>
      <c r="BX295" s="284">
        <v>11196</v>
      </c>
      <c r="BY295" s="284"/>
      <c r="BZ295" s="284"/>
      <c r="CA295" s="284"/>
      <c r="CB295" s="285" t="s">
        <v>5451</v>
      </c>
      <c r="CC295" s="285"/>
      <c r="CD295" s="284">
        <v>5419</v>
      </c>
      <c r="CE295" s="284">
        <v>5777</v>
      </c>
      <c r="CF295" s="284">
        <v>11196</v>
      </c>
      <c r="CG295" s="284"/>
      <c r="CH295" s="284"/>
      <c r="CI295" s="284"/>
      <c r="CJ295" s="282"/>
      <c r="CK295" s="284"/>
      <c r="CL295" s="286"/>
      <c r="CM295" s="284"/>
      <c r="CN295" s="287"/>
      <c r="CO295" s="284"/>
      <c r="CP295" s="286"/>
      <c r="CQ295" s="284"/>
      <c r="CR295" s="282"/>
      <c r="CS295" s="284"/>
      <c r="CT295" s="286"/>
      <c r="CU295" s="284"/>
      <c r="CV295" s="289"/>
      <c r="CW295" s="290"/>
      <c r="CX295" s="291"/>
      <c r="CY295" s="290"/>
      <c r="CZ295" s="282"/>
      <c r="DA295" s="284"/>
      <c r="DB295" s="286"/>
      <c r="DC295" s="284"/>
      <c r="DD295" s="287"/>
      <c r="DE295" s="284"/>
      <c r="DF295" s="286"/>
      <c r="DG295" s="284"/>
      <c r="DH295" s="282"/>
      <c r="DI295" s="284"/>
      <c r="DJ295" s="286"/>
      <c r="DK295" s="284"/>
      <c r="DL295" s="282"/>
      <c r="DM295" s="284"/>
      <c r="DN295" s="286"/>
      <c r="DO295" s="284"/>
      <c r="DP295" s="282"/>
      <c r="DQ295" s="284"/>
      <c r="DR295" s="286"/>
      <c r="DS295" s="284"/>
      <c r="DT295" s="282"/>
      <c r="DU295" s="284"/>
      <c r="DV295" s="286"/>
      <c r="DW295" s="284"/>
      <c r="DX295" s="282"/>
      <c r="DY295" s="284"/>
      <c r="DZ295" s="286"/>
      <c r="EA295" s="284"/>
      <c r="EB295" s="282" t="s">
        <v>320</v>
      </c>
      <c r="EC295" s="284">
        <v>11196</v>
      </c>
      <c r="ED295" s="286">
        <v>0.48</v>
      </c>
      <c r="EE295" s="284"/>
      <c r="EF295" s="285"/>
      <c r="EG295" s="287"/>
      <c r="EH295" s="284"/>
      <c r="EI295" s="286"/>
      <c r="EJ295" s="284"/>
      <c r="EK295" s="284"/>
      <c r="EL295" s="284"/>
      <c r="EM295" s="284"/>
      <c r="EN295" s="284"/>
      <c r="EO295" s="284"/>
      <c r="EP295" s="284"/>
      <c r="EQ295" s="282"/>
      <c r="ER295" s="284"/>
      <c r="ES295" s="286"/>
      <c r="ET295" s="284"/>
      <c r="EU295" s="282"/>
      <c r="EV295" s="284"/>
      <c r="EW295" s="286"/>
      <c r="EX295" s="284"/>
      <c r="EY295" s="282"/>
      <c r="EZ295" s="284"/>
      <c r="FA295" s="286"/>
      <c r="FB295" s="284"/>
      <c r="FC295" s="282"/>
      <c r="FD295" s="284"/>
      <c r="FE295" s="286"/>
      <c r="FF295" s="284"/>
      <c r="FG295" s="282"/>
      <c r="FH295" s="284"/>
      <c r="FI295" s="286"/>
      <c r="FJ295" s="284"/>
      <c r="FK295" s="282"/>
      <c r="FL295" s="284"/>
      <c r="FM295" s="286"/>
      <c r="FN295" s="284"/>
      <c r="FO295" s="292"/>
      <c r="FP295" s="290"/>
      <c r="FQ295" s="291"/>
      <c r="FR295" s="290"/>
      <c r="FS295" s="282"/>
      <c r="FT295" s="284"/>
      <c r="FU295" s="286"/>
      <c r="FV295" s="284"/>
      <c r="FW295" s="282"/>
      <c r="FX295" s="284"/>
      <c r="FY295" s="286"/>
      <c r="FZ295" s="284"/>
      <c r="GA295" s="282"/>
      <c r="GB295" s="284"/>
      <c r="GC295" s="286"/>
      <c r="GD295" s="284"/>
      <c r="GE295" s="282"/>
      <c r="GF295" s="284"/>
      <c r="GG295" s="286"/>
      <c r="GH295" s="284"/>
      <c r="GI295" s="282"/>
      <c r="GJ295" s="284"/>
      <c r="GK295" s="286"/>
      <c r="GL295" s="284"/>
      <c r="GM295" s="282"/>
      <c r="GN295" s="284"/>
      <c r="GO295" s="286"/>
      <c r="GP295" s="284"/>
      <c r="GQ295" s="282"/>
      <c r="GR295" s="284"/>
      <c r="GS295" s="286"/>
      <c r="GT295" s="284"/>
      <c r="GU295" s="282"/>
      <c r="GV295" s="284"/>
      <c r="GW295" s="286"/>
      <c r="GX295" s="284"/>
      <c r="GY295" s="282"/>
      <c r="GZ295" s="284"/>
      <c r="HA295" s="286"/>
      <c r="HB295" s="284"/>
      <c r="HC295" s="282"/>
      <c r="HD295" s="282"/>
      <c r="HE295" s="284"/>
      <c r="HF295" s="286"/>
      <c r="HG295" s="284"/>
      <c r="HH295" s="282" t="s">
        <v>319</v>
      </c>
      <c r="HI295" s="282"/>
      <c r="HJ295" s="282"/>
      <c r="HK295" s="282"/>
      <c r="HL295" s="282" t="s">
        <v>319</v>
      </c>
      <c r="HM295" s="282"/>
      <c r="HN295" s="282"/>
      <c r="HO295" s="282"/>
      <c r="HP295" s="282" t="s">
        <v>330</v>
      </c>
      <c r="HQ295" s="282"/>
      <c r="HR295" s="282"/>
      <c r="HS295" s="282"/>
      <c r="HT295" s="282"/>
      <c r="HU295" s="282"/>
      <c r="HV295" s="282"/>
      <c r="HW295" s="282"/>
      <c r="HX295" s="282" t="s">
        <v>320</v>
      </c>
      <c r="HY295" s="282" t="s">
        <v>5452</v>
      </c>
      <c r="HZ295" s="282" t="s">
        <v>363</v>
      </c>
      <c r="IA295" s="282"/>
      <c r="IB295" s="282" t="s">
        <v>333</v>
      </c>
      <c r="IC295" s="282"/>
      <c r="ID295" s="282" t="s">
        <v>364</v>
      </c>
      <c r="IE295" s="282" t="s">
        <v>335</v>
      </c>
      <c r="IF295" s="282" t="s">
        <v>320</v>
      </c>
      <c r="IG295" s="282" t="s">
        <v>320</v>
      </c>
      <c r="IH295" s="282" t="s">
        <v>320</v>
      </c>
      <c r="II295" s="282" t="s">
        <v>320</v>
      </c>
      <c r="IJ295" s="12" t="str">
        <f t="shared" si="173"/>
        <v>2. Sensitive</v>
      </c>
      <c r="IK295" s="287">
        <f t="shared" si="174"/>
        <v>4</v>
      </c>
      <c r="IL295" s="282" t="s">
        <v>336</v>
      </c>
      <c r="IM295" s="282" t="s">
        <v>320</v>
      </c>
      <c r="IN295" s="282" t="s">
        <v>319</v>
      </c>
      <c r="IO295" s="282" t="s">
        <v>320</v>
      </c>
      <c r="IP295" s="282" t="s">
        <v>320</v>
      </c>
      <c r="IQ295" s="287" t="str">
        <f t="shared" si="175"/>
        <v>2. Accommodating</v>
      </c>
      <c r="IR295" s="287">
        <f t="shared" si="176"/>
        <v>3</v>
      </c>
      <c r="IS295" s="282" t="s">
        <v>337</v>
      </c>
      <c r="IT295" s="282" t="s">
        <v>320</v>
      </c>
      <c r="IU295" s="282" t="s">
        <v>320</v>
      </c>
      <c r="IV295" s="282" t="s">
        <v>319</v>
      </c>
      <c r="IW295" s="11" t="str">
        <f t="shared" si="177"/>
        <v>1. Neutral</v>
      </c>
      <c r="IX295" s="287">
        <f t="shared" si="178"/>
        <v>2</v>
      </c>
      <c r="IY295" s="282" t="s">
        <v>419</v>
      </c>
      <c r="IZ295" s="282" t="s">
        <v>527</v>
      </c>
      <c r="JA295" s="282">
        <v>1</v>
      </c>
      <c r="JB295" s="282" t="s">
        <v>624</v>
      </c>
      <c r="JC295" s="282"/>
      <c r="JD295" s="282"/>
      <c r="JE295" s="282" t="s">
        <v>365</v>
      </c>
      <c r="JF295" s="282" t="s">
        <v>5453</v>
      </c>
      <c r="JG295" s="282"/>
      <c r="JH295" s="282"/>
      <c r="JI295" s="282"/>
      <c r="JJ295" s="282"/>
      <c r="JK295" s="282"/>
      <c r="JL295" s="282"/>
      <c r="JM295" s="282"/>
      <c r="JN295" s="282"/>
      <c r="JO295" s="282"/>
      <c r="JP295" s="15">
        <f t="shared" si="179"/>
        <v>11196</v>
      </c>
      <c r="JQ295" s="15">
        <f t="shared" si="180"/>
        <v>0</v>
      </c>
      <c r="JR295" s="279">
        <f t="shared" si="181"/>
        <v>0</v>
      </c>
      <c r="JS295" s="17">
        <f t="shared" si="182"/>
        <v>0.48401214719542696</v>
      </c>
      <c r="JT295" s="18" t="str">
        <f t="shared" si="183"/>
        <v/>
      </c>
      <c r="JU295" s="280">
        <f t="shared" si="184"/>
        <v>5419</v>
      </c>
      <c r="JV295" s="280">
        <f t="shared" si="185"/>
        <v>0</v>
      </c>
      <c r="JW295" s="319">
        <f t="shared" si="186"/>
        <v>1</v>
      </c>
      <c r="JX295" s="15">
        <f t="shared" si="187"/>
        <v>11196</v>
      </c>
      <c r="JY295" s="15">
        <f t="shared" si="188"/>
        <v>0</v>
      </c>
      <c r="JZ295" s="19">
        <f t="shared" si="189"/>
        <v>0</v>
      </c>
      <c r="KA295" s="52" t="str">
        <f t="shared" si="190"/>
        <v/>
      </c>
      <c r="KB295" s="15">
        <f t="shared" si="191"/>
        <v>0</v>
      </c>
      <c r="KC295" s="15">
        <f t="shared" si="192"/>
        <v>0</v>
      </c>
      <c r="KD295" s="20" t="str">
        <f t="shared" si="193"/>
        <v/>
      </c>
      <c r="KE295" s="52" t="str">
        <f t="shared" si="194"/>
        <v/>
      </c>
      <c r="KF295" s="15">
        <f t="shared" si="195"/>
        <v>0</v>
      </c>
      <c r="KG295" s="15">
        <f t="shared" si="196"/>
        <v>0</v>
      </c>
      <c r="KH295" s="21" t="str">
        <f t="shared" si="197"/>
        <v/>
      </c>
      <c r="KI295" s="52" t="str">
        <f t="shared" si="198"/>
        <v/>
      </c>
      <c r="KJ295" s="15">
        <f t="shared" si="199"/>
        <v>0</v>
      </c>
      <c r="KK295" s="15">
        <f t="shared" si="200"/>
        <v>0</v>
      </c>
      <c r="KL295" s="19" t="str">
        <f t="shared" si="201"/>
        <v/>
      </c>
      <c r="KM295" s="52" t="str">
        <f t="shared" si="202"/>
        <v/>
      </c>
      <c r="KN295" s="22">
        <f t="shared" si="203"/>
        <v>0</v>
      </c>
      <c r="KO295" s="22">
        <f t="shared" si="204"/>
        <v>0</v>
      </c>
      <c r="KP295" s="19" t="str">
        <f t="shared" si="205"/>
        <v/>
      </c>
      <c r="KQ295" s="11" t="str">
        <f t="shared" si="206"/>
        <v>2. Sensitive</v>
      </c>
      <c r="KR295" s="11" t="str">
        <f t="shared" si="207"/>
        <v>2. Accommodating</v>
      </c>
      <c r="KS295" s="11" t="str">
        <f t="shared" si="208"/>
        <v>1. Neutral</v>
      </c>
      <c r="KT295" s="11" t="str">
        <f t="shared" si="209"/>
        <v>It did not develop any specific innovation</v>
      </c>
      <c r="KU295" s="11" t="str">
        <f t="shared" si="210"/>
        <v>Moderate advocacy</v>
      </c>
      <c r="KV295" s="11" t="str">
        <f t="shared" si="211"/>
        <v>It did not take tested solutions to scale</v>
      </c>
      <c r="KW295" s="11" t="str">
        <f t="shared" si="212"/>
        <v>India - Drought Response - Water Supply to Villages in Maharashtra</v>
      </c>
      <c r="KX295" s="11" t="str">
        <f t="shared" si="213"/>
        <v>Drought Response - Water Supply to Villages in Maharashtra</v>
      </c>
      <c r="KY295" s="11" t="str">
        <f t="shared" si="214"/>
        <v>India</v>
      </c>
      <c r="KZ295" s="12">
        <v>295</v>
      </c>
    </row>
    <row r="296" spans="1:312" x14ac:dyDescent="0.3">
      <c r="A296" s="11" t="s">
        <v>5300</v>
      </c>
      <c r="B296" s="11" t="s">
        <v>306</v>
      </c>
      <c r="C296" s="11">
        <v>2994</v>
      </c>
      <c r="D296" s="11" t="s">
        <v>5454</v>
      </c>
      <c r="E296" s="24" t="str">
        <f t="shared" si="172"/>
        <v>India</v>
      </c>
      <c r="F296" s="11" t="s">
        <v>5455</v>
      </c>
      <c r="G296" s="11" t="s">
        <v>5302</v>
      </c>
      <c r="H296" s="11" t="s">
        <v>489</v>
      </c>
      <c r="I296" s="11" t="s">
        <v>384</v>
      </c>
      <c r="J296" s="278" t="s">
        <v>5456</v>
      </c>
      <c r="BD296" s="23">
        <v>42250</v>
      </c>
      <c r="BE296" s="23">
        <v>42615</v>
      </c>
      <c r="BF296" s="23">
        <v>42647</v>
      </c>
      <c r="BG296" s="11" t="s">
        <v>312</v>
      </c>
      <c r="BH296" s="22">
        <v>34328</v>
      </c>
      <c r="BI296" s="11" t="s">
        <v>5446</v>
      </c>
      <c r="BJ296" s="11" t="s">
        <v>5457</v>
      </c>
      <c r="BK296" s="11" t="s">
        <v>5356</v>
      </c>
      <c r="BO296" s="12" t="s">
        <v>319</v>
      </c>
      <c r="BP296" s="12" t="s">
        <v>320</v>
      </c>
      <c r="BQ296" s="12" t="s">
        <v>319</v>
      </c>
      <c r="BR296" s="11" t="s">
        <v>5458</v>
      </c>
      <c r="BS296" s="11" t="s">
        <v>357</v>
      </c>
      <c r="BT296" s="11" t="s">
        <v>5459</v>
      </c>
      <c r="BU296" s="11" t="s">
        <v>5460</v>
      </c>
      <c r="CB296" s="15" t="s">
        <v>5461</v>
      </c>
      <c r="CL296" s="18"/>
      <c r="CP296" s="18"/>
      <c r="CT296" s="18"/>
      <c r="CX296" s="18"/>
      <c r="DB296" s="18"/>
      <c r="DF296" s="18"/>
      <c r="DJ296" s="18"/>
      <c r="DN296" s="18"/>
      <c r="DR296" s="18"/>
      <c r="DV296" s="18"/>
      <c r="DZ296" s="18"/>
      <c r="ED296" s="18"/>
      <c r="EI296" s="18"/>
      <c r="EK296" s="22">
        <v>31</v>
      </c>
      <c r="EL296" s="22">
        <v>43</v>
      </c>
      <c r="EM296" s="22">
        <v>74</v>
      </c>
      <c r="ES296" s="18"/>
      <c r="EW296" s="18"/>
      <c r="FA296" s="18"/>
      <c r="FC296" s="12" t="s">
        <v>320</v>
      </c>
      <c r="FD296" s="22">
        <v>74</v>
      </c>
      <c r="FE296" s="18">
        <v>0.42</v>
      </c>
      <c r="FF296" s="22">
        <v>0</v>
      </c>
      <c r="FI296" s="18"/>
      <c r="FM296" s="18"/>
      <c r="FQ296" s="18"/>
      <c r="FU296" s="18"/>
      <c r="FY296" s="18"/>
      <c r="GC296" s="18"/>
      <c r="GG296" s="18"/>
      <c r="GK296" s="18"/>
      <c r="GO296" s="18"/>
      <c r="GS296" s="18"/>
      <c r="GW296" s="18"/>
      <c r="HA296" s="18"/>
      <c r="HF296" s="18"/>
      <c r="HH296" s="11" t="s">
        <v>319</v>
      </c>
      <c r="HK296" s="11" t="s">
        <v>319</v>
      </c>
      <c r="HL296" s="11" t="s">
        <v>319</v>
      </c>
      <c r="HP296" s="11" t="s">
        <v>330</v>
      </c>
      <c r="HX296" s="11" t="s">
        <v>320</v>
      </c>
      <c r="HY296" s="11" t="s">
        <v>5462</v>
      </c>
      <c r="HZ296" s="11" t="s">
        <v>363</v>
      </c>
      <c r="IB296" s="11" t="s">
        <v>396</v>
      </c>
      <c r="ID296" s="11" t="s">
        <v>364</v>
      </c>
      <c r="IE296" s="11" t="s">
        <v>335</v>
      </c>
      <c r="IF296" s="11" t="s">
        <v>320</v>
      </c>
      <c r="IG296" s="11" t="s">
        <v>320</v>
      </c>
      <c r="IH296" s="11" t="s">
        <v>320</v>
      </c>
      <c r="II296" s="11" t="s">
        <v>320</v>
      </c>
      <c r="IJ296" s="12" t="str">
        <f t="shared" si="173"/>
        <v>2. Sensitive</v>
      </c>
      <c r="IK296" s="12">
        <f t="shared" si="174"/>
        <v>4</v>
      </c>
      <c r="IL296" s="11" t="s">
        <v>336</v>
      </c>
      <c r="IM296" s="11" t="s">
        <v>320</v>
      </c>
      <c r="IN296" s="11" t="s">
        <v>320</v>
      </c>
      <c r="IO296" s="11" t="s">
        <v>320</v>
      </c>
      <c r="IP296" s="11" t="s">
        <v>320</v>
      </c>
      <c r="IQ296" s="12" t="str">
        <f t="shared" si="175"/>
        <v>2. Accommodating</v>
      </c>
      <c r="IR296" s="12">
        <f t="shared" si="176"/>
        <v>4</v>
      </c>
      <c r="IS296" s="11" t="s">
        <v>622</v>
      </c>
      <c r="IT296" s="11" t="s">
        <v>320</v>
      </c>
      <c r="IU296" s="11" t="s">
        <v>319</v>
      </c>
      <c r="IV296" s="11" t="s">
        <v>320</v>
      </c>
      <c r="IW296" s="11" t="str">
        <f t="shared" si="177"/>
        <v>3. Responsive</v>
      </c>
      <c r="IX296" s="12">
        <f t="shared" si="178"/>
        <v>2</v>
      </c>
      <c r="IY296" s="11" t="s">
        <v>338</v>
      </c>
      <c r="IZ296" s="11" t="s">
        <v>339</v>
      </c>
      <c r="JE296" s="11" t="s">
        <v>340</v>
      </c>
      <c r="JF296" s="11" t="s">
        <v>5463</v>
      </c>
      <c r="JH296" s="11" t="s">
        <v>5464</v>
      </c>
      <c r="JI296" s="11" t="s">
        <v>5465</v>
      </c>
      <c r="JJ296" s="11" t="s">
        <v>5466</v>
      </c>
      <c r="JK296" s="11" t="s">
        <v>5467</v>
      </c>
      <c r="JL296" s="11" t="s">
        <v>5468</v>
      </c>
      <c r="JM296" s="11" t="s">
        <v>5469</v>
      </c>
      <c r="JP296" s="15">
        <f t="shared" si="179"/>
        <v>74</v>
      </c>
      <c r="JQ296" s="15">
        <f t="shared" si="180"/>
        <v>0</v>
      </c>
      <c r="JR296" s="279">
        <f t="shared" si="181"/>
        <v>0</v>
      </c>
      <c r="JS296" s="17">
        <f t="shared" si="182"/>
        <v>0.41891891891891891</v>
      </c>
      <c r="JT296" s="18" t="str">
        <f t="shared" si="183"/>
        <v/>
      </c>
      <c r="JU296" s="280">
        <f t="shared" si="184"/>
        <v>31</v>
      </c>
      <c r="JV296" s="280">
        <f t="shared" si="185"/>
        <v>0</v>
      </c>
      <c r="JW296" s="319" t="str">
        <f t="shared" si="186"/>
        <v/>
      </c>
      <c r="JX296" s="15">
        <f t="shared" si="187"/>
        <v>0</v>
      </c>
      <c r="JY296" s="15">
        <f t="shared" si="188"/>
        <v>0</v>
      </c>
      <c r="JZ296" s="19" t="str">
        <f t="shared" si="189"/>
        <v/>
      </c>
      <c r="KA296" s="52">
        <f t="shared" si="190"/>
        <v>1</v>
      </c>
      <c r="KB296" s="15">
        <f t="shared" si="191"/>
        <v>74</v>
      </c>
      <c r="KC296" s="15">
        <f t="shared" si="192"/>
        <v>0</v>
      </c>
      <c r="KD296" s="20">
        <f t="shared" si="193"/>
        <v>0</v>
      </c>
      <c r="KE296" s="52" t="str">
        <f t="shared" si="194"/>
        <v/>
      </c>
      <c r="KF296" s="15">
        <f t="shared" si="195"/>
        <v>0</v>
      </c>
      <c r="KG296" s="15">
        <f t="shared" si="196"/>
        <v>0</v>
      </c>
      <c r="KH296" s="21" t="str">
        <f t="shared" si="197"/>
        <v/>
      </c>
      <c r="KI296" s="52" t="str">
        <f t="shared" si="198"/>
        <v/>
      </c>
      <c r="KJ296" s="15">
        <f t="shared" si="199"/>
        <v>0</v>
      </c>
      <c r="KK296" s="15">
        <f t="shared" si="200"/>
        <v>0</v>
      </c>
      <c r="KL296" s="19" t="str">
        <f t="shared" si="201"/>
        <v/>
      </c>
      <c r="KM296" s="52" t="str">
        <f t="shared" si="202"/>
        <v/>
      </c>
      <c r="KN296" s="22">
        <f t="shared" si="203"/>
        <v>0</v>
      </c>
      <c r="KO296" s="22">
        <f t="shared" si="204"/>
        <v>0</v>
      </c>
      <c r="KP296" s="19" t="str">
        <f t="shared" si="205"/>
        <v/>
      </c>
      <c r="KQ296" s="11" t="str">
        <f t="shared" si="206"/>
        <v>2. Sensitive</v>
      </c>
      <c r="KR296" s="11" t="str">
        <f t="shared" si="207"/>
        <v>2. Accommodating</v>
      </c>
      <c r="KS296" s="11" t="str">
        <f t="shared" si="208"/>
        <v>3. Responsive</v>
      </c>
      <c r="KT296" s="11" t="str">
        <f t="shared" si="209"/>
        <v>It did not develop any specific innovation</v>
      </c>
      <c r="KU296" s="11" t="str">
        <f t="shared" si="210"/>
        <v>Moderate advocacy</v>
      </c>
      <c r="KV296" s="11" t="str">
        <f t="shared" si="211"/>
        <v>It linked and worked with strategic alliances and partners to take tested and effective solutions to scale</v>
      </c>
      <c r="KW296" s="11" t="str">
        <f t="shared" si="212"/>
        <v>India - Emergency Preparedness Project- Vulnerability and Capacity Assessment (VCA)</v>
      </c>
      <c r="KX296" s="11" t="str">
        <f t="shared" si="213"/>
        <v>Emergency Preparedness Project- Vulnerability and Capacity Assessment (VCA)</v>
      </c>
      <c r="KY296" s="11" t="str">
        <f t="shared" si="214"/>
        <v>India</v>
      </c>
      <c r="KZ296" s="12">
        <v>296</v>
      </c>
    </row>
    <row r="297" spans="1:312" x14ac:dyDescent="0.3">
      <c r="A297" s="11" t="s">
        <v>5300</v>
      </c>
      <c r="B297" s="11" t="s">
        <v>306</v>
      </c>
      <c r="D297" s="11" t="s">
        <v>5798</v>
      </c>
      <c r="E297" s="24" t="str">
        <f t="shared" si="172"/>
        <v>India</v>
      </c>
      <c r="G297" s="11" t="s">
        <v>488</v>
      </c>
      <c r="H297" s="11" t="s">
        <v>384</v>
      </c>
      <c r="I297" s="11" t="s">
        <v>384</v>
      </c>
      <c r="J297" s="278" t="s">
        <v>9836</v>
      </c>
      <c r="BD297" s="23">
        <v>42594</v>
      </c>
      <c r="BE297" s="23">
        <v>42639</v>
      </c>
      <c r="BG297" s="11" t="s">
        <v>817</v>
      </c>
      <c r="BH297" s="22">
        <v>140618</v>
      </c>
      <c r="BI297" s="11" t="s">
        <v>5446</v>
      </c>
      <c r="BJ297" s="11" t="s">
        <v>5799</v>
      </c>
      <c r="BK297" s="11" t="s">
        <v>5356</v>
      </c>
      <c r="BO297" s="11" t="s">
        <v>320</v>
      </c>
      <c r="BP297" s="11" t="s">
        <v>319</v>
      </c>
      <c r="BQ297" s="11" t="s">
        <v>319</v>
      </c>
      <c r="BR297" s="11" t="s">
        <v>5800</v>
      </c>
      <c r="BS297" s="11" t="s">
        <v>357</v>
      </c>
      <c r="BT297" s="11" t="s">
        <v>5801</v>
      </c>
      <c r="BU297" s="11" t="s">
        <v>5802</v>
      </c>
      <c r="BV297" s="22">
        <v>5724</v>
      </c>
      <c r="BW297" s="22">
        <v>5846</v>
      </c>
      <c r="BX297" s="22">
        <v>11570</v>
      </c>
      <c r="BY297" s="22">
        <v>3212</v>
      </c>
      <c r="BZ297" s="22">
        <v>3456</v>
      </c>
      <c r="CA297" s="22">
        <v>6668</v>
      </c>
      <c r="CB297" s="15" t="s">
        <v>5803</v>
      </c>
      <c r="CD297" s="22">
        <v>5724</v>
      </c>
      <c r="CE297" s="22">
        <v>5846</v>
      </c>
      <c r="CF297" s="22">
        <v>11570</v>
      </c>
      <c r="CG297" s="22">
        <v>3212</v>
      </c>
      <c r="CH297" s="22">
        <v>3456</v>
      </c>
      <c r="CI297" s="22">
        <v>6668</v>
      </c>
      <c r="CL297" s="18"/>
      <c r="CP297" s="18"/>
      <c r="CT297" s="18"/>
      <c r="CX297" s="18"/>
      <c r="DB297" s="18"/>
      <c r="DF297" s="18"/>
      <c r="DJ297" s="18"/>
      <c r="DN297" s="18"/>
      <c r="DR297" s="18"/>
      <c r="DV297" s="18"/>
      <c r="DX297" s="12" t="s">
        <v>320</v>
      </c>
      <c r="DY297" s="22">
        <v>11570</v>
      </c>
      <c r="DZ297" s="18">
        <v>0.5</v>
      </c>
      <c r="EB297" s="11" t="s">
        <v>320</v>
      </c>
      <c r="EC297" s="22">
        <v>11570</v>
      </c>
      <c r="ED297" s="18">
        <v>0.5</v>
      </c>
      <c r="EE297" s="22">
        <v>6668</v>
      </c>
      <c r="EI297" s="18"/>
      <c r="ES297" s="18"/>
      <c r="EW297" s="18"/>
      <c r="FA297" s="18"/>
      <c r="FE297" s="18"/>
      <c r="FI297" s="18"/>
      <c r="FM297" s="18"/>
      <c r="FQ297" s="18"/>
      <c r="FU297" s="18"/>
      <c r="FY297" s="18"/>
      <c r="GC297" s="18"/>
      <c r="GG297" s="18"/>
      <c r="GK297" s="18"/>
      <c r="GO297" s="18"/>
      <c r="GS297" s="18"/>
      <c r="GW297" s="18"/>
      <c r="HA297" s="18"/>
      <c r="HF297" s="18"/>
      <c r="HH297" s="11" t="s">
        <v>319</v>
      </c>
      <c r="HL297" s="11" t="s">
        <v>319</v>
      </c>
      <c r="HP297" s="11" t="s">
        <v>418</v>
      </c>
      <c r="HS297" s="11" t="s">
        <v>320</v>
      </c>
      <c r="HZ297" s="11" t="s">
        <v>363</v>
      </c>
      <c r="IB297" s="11" t="s">
        <v>333</v>
      </c>
      <c r="ID297" s="11" t="s">
        <v>364</v>
      </c>
      <c r="IE297" s="11" t="s">
        <v>335</v>
      </c>
      <c r="IF297" s="11" t="s">
        <v>320</v>
      </c>
      <c r="IG297" s="11" t="s">
        <v>320</v>
      </c>
      <c r="IH297" s="11" t="s">
        <v>320</v>
      </c>
      <c r="II297" s="11" t="s">
        <v>320</v>
      </c>
      <c r="IJ297" s="12" t="str">
        <f t="shared" si="173"/>
        <v>2. Sensitive</v>
      </c>
      <c r="IK297" s="12">
        <f t="shared" si="174"/>
        <v>4</v>
      </c>
      <c r="IL297" s="11" t="s">
        <v>336</v>
      </c>
      <c r="IM297" s="11" t="s">
        <v>320</v>
      </c>
      <c r="IN297" s="11" t="s">
        <v>320</v>
      </c>
      <c r="IO297" s="11" t="s">
        <v>320</v>
      </c>
      <c r="IP297" s="11" t="s">
        <v>320</v>
      </c>
      <c r="IQ297" s="12" t="str">
        <f t="shared" si="175"/>
        <v>2. Accommodating</v>
      </c>
      <c r="IR297" s="12">
        <f t="shared" si="176"/>
        <v>4</v>
      </c>
      <c r="IS297" s="11" t="s">
        <v>337</v>
      </c>
      <c r="IT297" s="11" t="s">
        <v>320</v>
      </c>
      <c r="IU297" s="11" t="s">
        <v>320</v>
      </c>
      <c r="IV297" s="11" t="s">
        <v>320</v>
      </c>
      <c r="IW297" s="11" t="str">
        <f t="shared" si="177"/>
        <v>2. Sensitive</v>
      </c>
      <c r="IX297" s="12">
        <f t="shared" si="178"/>
        <v>3</v>
      </c>
      <c r="IY297" s="11" t="s">
        <v>419</v>
      </c>
      <c r="IZ297" s="11" t="s">
        <v>527</v>
      </c>
      <c r="JA297" s="11">
        <v>1</v>
      </c>
      <c r="JB297" s="11" t="s">
        <v>624</v>
      </c>
      <c r="JE297" s="11" t="s">
        <v>340</v>
      </c>
      <c r="JF297" s="11" t="s">
        <v>5804</v>
      </c>
      <c r="JG297" s="11" t="s">
        <v>5805</v>
      </c>
      <c r="JH297" s="11" t="s">
        <v>5806</v>
      </c>
      <c r="JI297" s="11" t="s">
        <v>5807</v>
      </c>
      <c r="JJ297" s="11" t="s">
        <v>5808</v>
      </c>
      <c r="JK297" s="11" t="s">
        <v>5809</v>
      </c>
      <c r="JL297" s="11" t="s">
        <v>5810</v>
      </c>
      <c r="JM297" s="11" t="s">
        <v>5811</v>
      </c>
      <c r="JO297" s="11" t="s">
        <v>5812</v>
      </c>
      <c r="JP297" s="15">
        <f t="shared" si="179"/>
        <v>11570</v>
      </c>
      <c r="JQ297" s="15">
        <f t="shared" si="180"/>
        <v>6668</v>
      </c>
      <c r="JR297" s="279">
        <f t="shared" si="181"/>
        <v>0.57631806395851337</v>
      </c>
      <c r="JS297" s="17">
        <f t="shared" si="182"/>
        <v>0.49472774416594639</v>
      </c>
      <c r="JT297" s="18">
        <f t="shared" si="183"/>
        <v>0.48170365926814634</v>
      </c>
      <c r="JU297" s="280">
        <f t="shared" si="184"/>
        <v>5724</v>
      </c>
      <c r="JV297" s="280">
        <f t="shared" si="185"/>
        <v>3212</v>
      </c>
      <c r="JW297" s="319">
        <f t="shared" si="186"/>
        <v>1</v>
      </c>
      <c r="JX297" s="15">
        <f t="shared" si="187"/>
        <v>11570</v>
      </c>
      <c r="JY297" s="15">
        <f t="shared" si="188"/>
        <v>6668</v>
      </c>
      <c r="JZ297" s="19">
        <f t="shared" si="189"/>
        <v>0.57631806395851337</v>
      </c>
      <c r="KA297" s="52" t="str">
        <f t="shared" si="190"/>
        <v/>
      </c>
      <c r="KB297" s="15">
        <f t="shared" si="191"/>
        <v>0</v>
      </c>
      <c r="KC297" s="15">
        <f t="shared" si="192"/>
        <v>0</v>
      </c>
      <c r="KD297" s="20" t="str">
        <f t="shared" si="193"/>
        <v/>
      </c>
      <c r="KE297" s="52" t="str">
        <f t="shared" si="194"/>
        <v/>
      </c>
      <c r="KF297" s="15">
        <f t="shared" si="195"/>
        <v>0</v>
      </c>
      <c r="KG297" s="15">
        <f t="shared" si="196"/>
        <v>0</v>
      </c>
      <c r="KH297" s="21" t="str">
        <f t="shared" si="197"/>
        <v/>
      </c>
      <c r="KI297" s="52" t="str">
        <f t="shared" si="198"/>
        <v/>
      </c>
      <c r="KJ297" s="15">
        <f t="shared" si="199"/>
        <v>0</v>
      </c>
      <c r="KK297" s="15">
        <f t="shared" si="200"/>
        <v>0</v>
      </c>
      <c r="KL297" s="19" t="str">
        <f t="shared" si="201"/>
        <v/>
      </c>
      <c r="KM297" s="52" t="str">
        <f t="shared" si="202"/>
        <v/>
      </c>
      <c r="KN297" s="22">
        <f t="shared" si="203"/>
        <v>0</v>
      </c>
      <c r="KO297" s="22">
        <f t="shared" si="204"/>
        <v>0</v>
      </c>
      <c r="KP297" s="19" t="str">
        <f t="shared" si="205"/>
        <v/>
      </c>
      <c r="KQ297" s="11" t="str">
        <f t="shared" si="206"/>
        <v>2. Sensitive</v>
      </c>
      <c r="KR297" s="11" t="str">
        <f t="shared" si="207"/>
        <v>2. Accommodating</v>
      </c>
      <c r="KS297" s="11" t="str">
        <f t="shared" si="208"/>
        <v>2. Sensitive</v>
      </c>
      <c r="KT297" s="11" t="str">
        <f t="shared" si="209"/>
        <v>It did not develop any specific innovation</v>
      </c>
      <c r="KU297" s="11" t="str">
        <f t="shared" si="210"/>
        <v>Little or no advocacy</v>
      </c>
      <c r="KV297" s="11" t="str">
        <f t="shared" si="211"/>
        <v>It did not take tested solutions to scale</v>
      </c>
      <c r="KW297" s="11" t="str">
        <f t="shared" si="212"/>
        <v>India - Emergency Response to Bihar Floods</v>
      </c>
      <c r="KX297" s="11" t="str">
        <f t="shared" si="213"/>
        <v>Emergency Response to Bihar Floods</v>
      </c>
      <c r="KY297" s="11" t="str">
        <f t="shared" si="214"/>
        <v>India</v>
      </c>
      <c r="KZ297" s="287">
        <v>297</v>
      </c>
    </row>
    <row r="298" spans="1:312" x14ac:dyDescent="0.3">
      <c r="A298" s="11" t="s">
        <v>5300</v>
      </c>
      <c r="B298" s="11" t="s">
        <v>306</v>
      </c>
      <c r="D298" s="11" t="s">
        <v>5813</v>
      </c>
      <c r="E298" s="24" t="str">
        <f t="shared" si="172"/>
        <v>India</v>
      </c>
      <c r="G298" s="11" t="s">
        <v>488</v>
      </c>
      <c r="H298" s="11" t="s">
        <v>384</v>
      </c>
      <c r="I298" s="11" t="s">
        <v>384</v>
      </c>
      <c r="J298" s="278" t="s">
        <v>9836</v>
      </c>
      <c r="BD298" s="23">
        <v>42723</v>
      </c>
      <c r="BE298" s="23">
        <v>42768</v>
      </c>
      <c r="BG298" s="11" t="s">
        <v>817</v>
      </c>
      <c r="BH298" s="22">
        <v>60070</v>
      </c>
      <c r="BI298" s="11" t="s">
        <v>5446</v>
      </c>
      <c r="BJ298" s="11" t="s">
        <v>5814</v>
      </c>
      <c r="BK298" s="11" t="s">
        <v>5356</v>
      </c>
      <c r="BO298" s="11" t="s">
        <v>320</v>
      </c>
      <c r="BP298" s="11" t="s">
        <v>319</v>
      </c>
      <c r="BQ298" s="11" t="s">
        <v>319</v>
      </c>
      <c r="BR298" s="11" t="s">
        <v>5815</v>
      </c>
      <c r="BS298" s="11" t="s">
        <v>357</v>
      </c>
      <c r="BT298" s="11" t="s">
        <v>5816</v>
      </c>
      <c r="BU298" s="11" t="s">
        <v>5817</v>
      </c>
      <c r="BV298" s="22">
        <v>1342</v>
      </c>
      <c r="BW298" s="22">
        <v>1339</v>
      </c>
      <c r="BX298" s="22">
        <v>2681</v>
      </c>
      <c r="BY298" s="22">
        <v>2174</v>
      </c>
      <c r="BZ298" s="22">
        <v>1992</v>
      </c>
      <c r="CA298" s="22">
        <v>4166</v>
      </c>
      <c r="CB298" s="15" t="s">
        <v>5803</v>
      </c>
      <c r="CD298" s="22">
        <v>1342</v>
      </c>
      <c r="CE298" s="22">
        <v>1339</v>
      </c>
      <c r="CF298" s="22">
        <v>2681</v>
      </c>
      <c r="CG298" s="22">
        <v>2174</v>
      </c>
      <c r="CH298" s="22">
        <v>1992</v>
      </c>
      <c r="CI298" s="22">
        <v>4166</v>
      </c>
      <c r="CL298" s="18"/>
      <c r="CP298" s="18"/>
      <c r="CT298" s="18"/>
      <c r="CX298" s="18"/>
      <c r="DB298" s="18"/>
      <c r="DF298" s="18"/>
      <c r="DJ298" s="18"/>
      <c r="DN298" s="18"/>
      <c r="DR298" s="18"/>
      <c r="DV298" s="18"/>
      <c r="DX298" s="12" t="s">
        <v>320</v>
      </c>
      <c r="DY298" s="22">
        <v>700</v>
      </c>
      <c r="DZ298" s="18">
        <v>0.5</v>
      </c>
      <c r="EA298" s="22">
        <v>2681</v>
      </c>
      <c r="EB298" s="11" t="s">
        <v>320</v>
      </c>
      <c r="EC298" s="22">
        <v>2681</v>
      </c>
      <c r="ED298" s="18">
        <v>0.5</v>
      </c>
      <c r="EE298" s="22">
        <v>4166</v>
      </c>
      <c r="EI298" s="18"/>
      <c r="ES298" s="18"/>
      <c r="EW298" s="18"/>
      <c r="FA298" s="18"/>
      <c r="FE298" s="18"/>
      <c r="FI298" s="18"/>
      <c r="FM298" s="18"/>
      <c r="FQ298" s="18"/>
      <c r="FU298" s="18"/>
      <c r="FY298" s="18"/>
      <c r="GC298" s="18"/>
      <c r="GG298" s="18"/>
      <c r="GK298" s="18"/>
      <c r="GO298" s="18"/>
      <c r="GS298" s="18"/>
      <c r="GW298" s="18"/>
      <c r="HA298" s="18"/>
      <c r="HF298" s="18"/>
      <c r="HH298" s="11" t="s">
        <v>319</v>
      </c>
      <c r="HL298" s="11" t="s">
        <v>319</v>
      </c>
      <c r="HP298" s="11" t="s">
        <v>418</v>
      </c>
      <c r="HS298" s="11" t="s">
        <v>320</v>
      </c>
      <c r="HZ298" s="11" t="s">
        <v>363</v>
      </c>
      <c r="IB298" s="11" t="s">
        <v>333</v>
      </c>
      <c r="ID298" s="11" t="s">
        <v>364</v>
      </c>
      <c r="IE298" s="11" t="s">
        <v>335</v>
      </c>
      <c r="IF298" s="11" t="s">
        <v>320</v>
      </c>
      <c r="IG298" s="11" t="s">
        <v>320</v>
      </c>
      <c r="IH298" s="11" t="s">
        <v>320</v>
      </c>
      <c r="II298" s="11" t="s">
        <v>320</v>
      </c>
      <c r="IJ298" s="12" t="str">
        <f t="shared" si="173"/>
        <v>2. Sensitive</v>
      </c>
      <c r="IK298" s="12">
        <f t="shared" si="174"/>
        <v>4</v>
      </c>
      <c r="IL298" s="11" t="s">
        <v>336</v>
      </c>
      <c r="IM298" s="11" t="s">
        <v>320</v>
      </c>
      <c r="IN298" s="11" t="s">
        <v>320</v>
      </c>
      <c r="IO298" s="11" t="s">
        <v>320</v>
      </c>
      <c r="IP298" s="11" t="s">
        <v>320</v>
      </c>
      <c r="IQ298" s="12" t="str">
        <f t="shared" si="175"/>
        <v>2. Accommodating</v>
      </c>
      <c r="IR298" s="12">
        <f t="shared" si="176"/>
        <v>4</v>
      </c>
      <c r="IS298" s="11" t="s">
        <v>337</v>
      </c>
      <c r="IT298" s="11" t="s">
        <v>320</v>
      </c>
      <c r="IU298" s="11" t="s">
        <v>320</v>
      </c>
      <c r="IV298" s="11" t="s">
        <v>320</v>
      </c>
      <c r="IW298" s="11" t="str">
        <f t="shared" si="177"/>
        <v>2. Sensitive</v>
      </c>
      <c r="IX298" s="12">
        <f t="shared" si="178"/>
        <v>3</v>
      </c>
      <c r="IY298" s="11" t="s">
        <v>419</v>
      </c>
      <c r="IZ298" s="11" t="s">
        <v>527</v>
      </c>
      <c r="JA298" s="11">
        <v>1</v>
      </c>
      <c r="JB298" s="11" t="s">
        <v>624</v>
      </c>
      <c r="JE298" s="11" t="s">
        <v>340</v>
      </c>
      <c r="JF298" s="11" t="s">
        <v>5804</v>
      </c>
      <c r="JG298" s="11" t="s">
        <v>5805</v>
      </c>
      <c r="JK298" s="11" t="s">
        <v>5809</v>
      </c>
      <c r="JL298" s="11" t="s">
        <v>5810</v>
      </c>
      <c r="JM298" s="11" t="s">
        <v>5811</v>
      </c>
      <c r="JO298" s="11" t="s">
        <v>5812</v>
      </c>
      <c r="JP298" s="15">
        <f t="shared" si="179"/>
        <v>2681</v>
      </c>
      <c r="JQ298" s="15">
        <f t="shared" si="180"/>
        <v>4166</v>
      </c>
      <c r="JR298" s="279">
        <f t="shared" si="181"/>
        <v>1.5538977993286087</v>
      </c>
      <c r="JS298" s="17">
        <f t="shared" si="182"/>
        <v>0.5005594927265945</v>
      </c>
      <c r="JT298" s="18">
        <f t="shared" si="183"/>
        <v>0.52184349495919347</v>
      </c>
      <c r="JU298" s="280">
        <f t="shared" si="184"/>
        <v>1342</v>
      </c>
      <c r="JV298" s="280">
        <f t="shared" si="185"/>
        <v>2174</v>
      </c>
      <c r="JW298" s="319">
        <f t="shared" si="186"/>
        <v>1</v>
      </c>
      <c r="JX298" s="15">
        <f t="shared" si="187"/>
        <v>2681</v>
      </c>
      <c r="JY298" s="15">
        <f t="shared" si="188"/>
        <v>4166</v>
      </c>
      <c r="JZ298" s="19">
        <f t="shared" si="189"/>
        <v>1.5538977993286087</v>
      </c>
      <c r="KA298" s="52" t="str">
        <f t="shared" si="190"/>
        <v/>
      </c>
      <c r="KB298" s="15">
        <f t="shared" si="191"/>
        <v>0</v>
      </c>
      <c r="KC298" s="15">
        <f t="shared" si="192"/>
        <v>0</v>
      </c>
      <c r="KD298" s="20" t="str">
        <f t="shared" si="193"/>
        <v/>
      </c>
      <c r="KE298" s="52" t="str">
        <f t="shared" si="194"/>
        <v/>
      </c>
      <c r="KF298" s="15">
        <f t="shared" si="195"/>
        <v>0</v>
      </c>
      <c r="KG298" s="15">
        <f t="shared" si="196"/>
        <v>0</v>
      </c>
      <c r="KH298" s="21" t="str">
        <f t="shared" si="197"/>
        <v/>
      </c>
      <c r="KI298" s="52" t="str">
        <f t="shared" si="198"/>
        <v/>
      </c>
      <c r="KJ298" s="15">
        <f t="shared" si="199"/>
        <v>0</v>
      </c>
      <c r="KK298" s="15">
        <f t="shared" si="200"/>
        <v>0</v>
      </c>
      <c r="KL298" s="19" t="str">
        <f t="shared" si="201"/>
        <v/>
      </c>
      <c r="KM298" s="52" t="str">
        <f t="shared" si="202"/>
        <v/>
      </c>
      <c r="KN298" s="22">
        <f t="shared" si="203"/>
        <v>0</v>
      </c>
      <c r="KO298" s="22">
        <f t="shared" si="204"/>
        <v>0</v>
      </c>
      <c r="KP298" s="19" t="str">
        <f t="shared" si="205"/>
        <v/>
      </c>
      <c r="KQ298" s="11" t="str">
        <f t="shared" si="206"/>
        <v>2. Sensitive</v>
      </c>
      <c r="KR298" s="11" t="str">
        <f t="shared" si="207"/>
        <v>2. Accommodating</v>
      </c>
      <c r="KS298" s="11" t="str">
        <f t="shared" si="208"/>
        <v>2. Sensitive</v>
      </c>
      <c r="KT298" s="11" t="str">
        <f t="shared" si="209"/>
        <v>It did not develop any specific innovation</v>
      </c>
      <c r="KU298" s="11" t="str">
        <f t="shared" si="210"/>
        <v>Little or no advocacy</v>
      </c>
      <c r="KV298" s="11" t="str">
        <f t="shared" si="211"/>
        <v>It did not take tested solutions to scale</v>
      </c>
      <c r="KW298" s="11" t="str">
        <f t="shared" si="212"/>
        <v>India - Emergency Response to Cyclone Vardah in Tamil Nadu, India</v>
      </c>
      <c r="KX298" s="11" t="str">
        <f t="shared" si="213"/>
        <v>Emergency Response to Cyclone Vardah in Tamil Nadu, India</v>
      </c>
      <c r="KY298" s="11" t="str">
        <f t="shared" si="214"/>
        <v>India</v>
      </c>
      <c r="KZ298" s="12">
        <v>298</v>
      </c>
    </row>
    <row r="299" spans="1:312" x14ac:dyDescent="0.3">
      <c r="A299" s="11" t="s">
        <v>5300</v>
      </c>
      <c r="B299" s="11" t="s">
        <v>306</v>
      </c>
      <c r="D299" s="11" t="s">
        <v>5470</v>
      </c>
      <c r="E299" s="24" t="str">
        <f t="shared" si="172"/>
        <v>India</v>
      </c>
      <c r="G299" s="11" t="s">
        <v>5302</v>
      </c>
      <c r="H299" s="11" t="s">
        <v>384</v>
      </c>
      <c r="I299" s="11" t="s">
        <v>384</v>
      </c>
      <c r="J299" s="278" t="s">
        <v>5471</v>
      </c>
      <c r="BD299" s="23">
        <v>42522</v>
      </c>
      <c r="BE299" s="23">
        <v>43769</v>
      </c>
      <c r="BG299" s="11" t="s">
        <v>312</v>
      </c>
      <c r="BH299" s="22">
        <v>214306.93</v>
      </c>
      <c r="BI299" s="11" t="s">
        <v>5472</v>
      </c>
      <c r="BJ299" s="11" t="s">
        <v>444</v>
      </c>
      <c r="BK299" s="11" t="s">
        <v>5353</v>
      </c>
      <c r="BL299" s="11" t="s">
        <v>5473</v>
      </c>
      <c r="BM299" s="11" t="s">
        <v>4377</v>
      </c>
      <c r="BN299" s="11" t="s">
        <v>5474</v>
      </c>
      <c r="BO299" s="12" t="s">
        <v>319</v>
      </c>
      <c r="BP299" s="12" t="s">
        <v>320</v>
      </c>
      <c r="BQ299" s="12" t="s">
        <v>319</v>
      </c>
      <c r="BR299" s="11" t="s">
        <v>5475</v>
      </c>
      <c r="BS299" s="11" t="s">
        <v>357</v>
      </c>
      <c r="BT299" s="11" t="s">
        <v>5476</v>
      </c>
      <c r="BU299" s="11" t="s">
        <v>5477</v>
      </c>
      <c r="BV299" s="22">
        <v>1400</v>
      </c>
      <c r="BW299" s="22">
        <v>0</v>
      </c>
      <c r="BX299" s="22">
        <v>1400</v>
      </c>
      <c r="BY299" s="22">
        <v>0</v>
      </c>
      <c r="BZ299" s="22">
        <v>1400</v>
      </c>
      <c r="CA299" s="22">
        <v>1400</v>
      </c>
      <c r="CB299" s="15" t="s">
        <v>5478</v>
      </c>
      <c r="CL299" s="18"/>
      <c r="CP299" s="18"/>
      <c r="CT299" s="18"/>
      <c r="CX299" s="18"/>
      <c r="DB299" s="18"/>
      <c r="DF299" s="18"/>
      <c r="DJ299" s="18"/>
      <c r="DN299" s="18"/>
      <c r="DR299" s="18"/>
      <c r="DV299" s="18"/>
      <c r="DZ299" s="18"/>
      <c r="ED299" s="18"/>
      <c r="EI299" s="18"/>
      <c r="EK299" s="22">
        <v>1070</v>
      </c>
      <c r="EL299" s="22">
        <v>0</v>
      </c>
      <c r="EM299" s="22">
        <v>1070</v>
      </c>
      <c r="EN299" s="22">
        <v>0</v>
      </c>
      <c r="EO299" s="22">
        <v>1070</v>
      </c>
      <c r="EP299" s="22">
        <v>1070</v>
      </c>
      <c r="ES299" s="18"/>
      <c r="EW299" s="18"/>
      <c r="FA299" s="18"/>
      <c r="FE299" s="18"/>
      <c r="FI299" s="18"/>
      <c r="FM299" s="18"/>
      <c r="FQ299" s="18"/>
      <c r="FU299" s="18"/>
      <c r="FW299" s="11" t="s">
        <v>320</v>
      </c>
      <c r="FX299" s="22">
        <v>174</v>
      </c>
      <c r="FY299" s="18">
        <v>0.32</v>
      </c>
      <c r="FZ299" s="22">
        <v>696</v>
      </c>
      <c r="GC299" s="18"/>
      <c r="GG299" s="18"/>
      <c r="GK299" s="18"/>
      <c r="GO299" s="18"/>
      <c r="GS299" s="18"/>
      <c r="GU299" s="12" t="s">
        <v>320</v>
      </c>
      <c r="GV299" s="22">
        <v>163</v>
      </c>
      <c r="GW299" s="18">
        <v>0.3</v>
      </c>
      <c r="GX299" s="22">
        <v>652</v>
      </c>
      <c r="HA299" s="18"/>
      <c r="HF299" s="18"/>
      <c r="HH299" s="11" t="s">
        <v>320</v>
      </c>
      <c r="HI299" s="11" t="s">
        <v>451</v>
      </c>
      <c r="HJ299" s="11">
        <v>2017</v>
      </c>
      <c r="HK299" s="11" t="s">
        <v>320</v>
      </c>
      <c r="HL299" s="11" t="s">
        <v>320</v>
      </c>
      <c r="HM299" s="11" t="s">
        <v>416</v>
      </c>
      <c r="HN299" s="11">
        <v>2018</v>
      </c>
      <c r="HO299" s="11" t="s">
        <v>5479</v>
      </c>
      <c r="HP299" s="11" t="s">
        <v>418</v>
      </c>
      <c r="HQ299" s="11" t="s">
        <v>319</v>
      </c>
      <c r="HR299" s="11" t="s">
        <v>319</v>
      </c>
      <c r="HS299" s="11" t="s">
        <v>319</v>
      </c>
      <c r="HT299" s="11" t="s">
        <v>319</v>
      </c>
      <c r="HU299" s="11" t="s">
        <v>319</v>
      </c>
      <c r="HV299" s="11" t="s">
        <v>319</v>
      </c>
      <c r="HW299" s="11" t="s">
        <v>319</v>
      </c>
      <c r="HX299" s="11" t="s">
        <v>319</v>
      </c>
      <c r="HZ299" s="11" t="s">
        <v>394</v>
      </c>
      <c r="IA299" s="11" t="s">
        <v>5480</v>
      </c>
      <c r="IB299" s="11" t="s">
        <v>333</v>
      </c>
      <c r="ID299" s="11" t="s">
        <v>364</v>
      </c>
      <c r="IE299" s="11" t="s">
        <v>335</v>
      </c>
      <c r="IF299" s="11" t="s">
        <v>320</v>
      </c>
      <c r="IG299" s="11" t="s">
        <v>320</v>
      </c>
      <c r="IH299" s="11" t="s">
        <v>320</v>
      </c>
      <c r="II299" s="11" t="s">
        <v>320</v>
      </c>
      <c r="IJ299" s="12" t="str">
        <f t="shared" si="173"/>
        <v>2. Sensitive</v>
      </c>
      <c r="IK299" s="12">
        <f t="shared" si="174"/>
        <v>4</v>
      </c>
      <c r="IL299" s="11" t="s">
        <v>336</v>
      </c>
      <c r="IM299" s="11" t="s">
        <v>320</v>
      </c>
      <c r="IN299" s="11" t="s">
        <v>320</v>
      </c>
      <c r="IO299" s="11" t="s">
        <v>320</v>
      </c>
      <c r="IP299" s="11" t="s">
        <v>320</v>
      </c>
      <c r="IQ299" s="12" t="str">
        <f t="shared" si="175"/>
        <v>2. Accommodating</v>
      </c>
      <c r="IR299" s="12">
        <f t="shared" si="176"/>
        <v>4</v>
      </c>
      <c r="IS299" s="11" t="s">
        <v>622</v>
      </c>
      <c r="IT299" s="11" t="s">
        <v>320</v>
      </c>
      <c r="IU299" s="11" t="s">
        <v>320</v>
      </c>
      <c r="IV299" s="11" t="s">
        <v>320</v>
      </c>
      <c r="IW299" s="11" t="str">
        <f t="shared" si="177"/>
        <v>4. Transformative</v>
      </c>
      <c r="IX299" s="12">
        <f t="shared" si="178"/>
        <v>3</v>
      </c>
      <c r="IY299" s="11" t="s">
        <v>419</v>
      </c>
      <c r="IZ299" s="11" t="s">
        <v>432</v>
      </c>
      <c r="JA299" s="11">
        <v>1</v>
      </c>
      <c r="JB299" s="11" t="s">
        <v>433</v>
      </c>
      <c r="JE299" s="11" t="s">
        <v>340</v>
      </c>
      <c r="JF299" s="11" t="s">
        <v>5481</v>
      </c>
      <c r="JG299" s="11" t="s">
        <v>5482</v>
      </c>
      <c r="JH299" s="11" t="s">
        <v>5483</v>
      </c>
      <c r="JI299" s="11" t="s">
        <v>5484</v>
      </c>
      <c r="JJ299" s="11" t="s">
        <v>5485</v>
      </c>
      <c r="JK299" s="11" t="s">
        <v>5486</v>
      </c>
      <c r="JO299" s="11" t="s">
        <v>5487</v>
      </c>
      <c r="JP299" s="15">
        <f t="shared" si="179"/>
        <v>1070</v>
      </c>
      <c r="JQ299" s="15">
        <f t="shared" si="180"/>
        <v>1070</v>
      </c>
      <c r="JR299" s="279">
        <f t="shared" si="181"/>
        <v>1</v>
      </c>
      <c r="JS299" s="17">
        <f t="shared" si="182"/>
        <v>1</v>
      </c>
      <c r="JT299" s="18">
        <f t="shared" si="183"/>
        <v>0</v>
      </c>
      <c r="JU299" s="280">
        <f t="shared" si="184"/>
        <v>1070</v>
      </c>
      <c r="JV299" s="280">
        <f t="shared" si="185"/>
        <v>0</v>
      </c>
      <c r="JW299" s="319" t="str">
        <f t="shared" si="186"/>
        <v/>
      </c>
      <c r="JX299" s="15">
        <f t="shared" si="187"/>
        <v>0</v>
      </c>
      <c r="JY299" s="15">
        <f t="shared" si="188"/>
        <v>0</v>
      </c>
      <c r="JZ299" s="19" t="str">
        <f t="shared" si="189"/>
        <v/>
      </c>
      <c r="KA299" s="52">
        <f t="shared" si="190"/>
        <v>1</v>
      </c>
      <c r="KB299" s="15">
        <f t="shared" si="191"/>
        <v>163</v>
      </c>
      <c r="KC299" s="15">
        <f t="shared" si="192"/>
        <v>652</v>
      </c>
      <c r="KD299" s="20">
        <f t="shared" si="193"/>
        <v>4</v>
      </c>
      <c r="KE299" s="52" t="str">
        <f t="shared" si="194"/>
        <v/>
      </c>
      <c r="KF299" s="15">
        <f t="shared" si="195"/>
        <v>0</v>
      </c>
      <c r="KG299" s="15">
        <f t="shared" si="196"/>
        <v>0</v>
      </c>
      <c r="KH299" s="21" t="str">
        <f t="shared" si="197"/>
        <v/>
      </c>
      <c r="KI299" s="52" t="str">
        <f t="shared" si="198"/>
        <v/>
      </c>
      <c r="KJ299" s="15">
        <f t="shared" si="199"/>
        <v>0</v>
      </c>
      <c r="KK299" s="15">
        <f t="shared" si="200"/>
        <v>0</v>
      </c>
      <c r="KL299" s="19" t="str">
        <f t="shared" si="201"/>
        <v/>
      </c>
      <c r="KM299" s="52" t="str">
        <f t="shared" si="202"/>
        <v/>
      </c>
      <c r="KN299" s="22">
        <f t="shared" si="203"/>
        <v>0</v>
      </c>
      <c r="KO299" s="22">
        <f t="shared" si="204"/>
        <v>0</v>
      </c>
      <c r="KP299" s="19" t="str">
        <f t="shared" si="205"/>
        <v/>
      </c>
      <c r="KQ299" s="11" t="str">
        <f t="shared" si="206"/>
        <v>2. Sensitive</v>
      </c>
      <c r="KR299" s="11" t="str">
        <f t="shared" si="207"/>
        <v>2. Accommodating</v>
      </c>
      <c r="KS299" s="11" t="str">
        <f t="shared" si="208"/>
        <v>4. Transformative</v>
      </c>
      <c r="KT299" s="11" t="str">
        <f t="shared" si="209"/>
        <v>It tested new ways for fighting poverty, but did not measure results of innovation</v>
      </c>
      <c r="KU299" s="11" t="str">
        <f t="shared" si="210"/>
        <v>Little or no advocacy</v>
      </c>
      <c r="KV299" s="11" t="str">
        <f t="shared" si="211"/>
        <v>It did not take tested solutions to scale</v>
      </c>
      <c r="KW299" s="11" t="str">
        <f t="shared" si="212"/>
        <v>India - Enhancing Community Well Being in Rural Tamilnadu</v>
      </c>
      <c r="KX299" s="11" t="str">
        <f t="shared" si="213"/>
        <v>Enhancing Community Well Being in Rural Tamilnadu</v>
      </c>
      <c r="KY299" s="11" t="str">
        <f t="shared" si="214"/>
        <v>India</v>
      </c>
      <c r="KZ299" s="287">
        <v>299</v>
      </c>
    </row>
    <row r="300" spans="1:312" x14ac:dyDescent="0.3">
      <c r="A300" s="11" t="s">
        <v>5300</v>
      </c>
      <c r="B300" s="11" t="s">
        <v>306</v>
      </c>
      <c r="C300" s="11">
        <v>3028</v>
      </c>
      <c r="D300" s="11" t="s">
        <v>5912</v>
      </c>
      <c r="E300" s="24" t="str">
        <f t="shared" si="172"/>
        <v>India</v>
      </c>
      <c r="F300" s="11" t="s">
        <v>5913</v>
      </c>
      <c r="G300" s="11" t="s">
        <v>379</v>
      </c>
      <c r="H300" s="11" t="s">
        <v>380</v>
      </c>
      <c r="I300" s="11" t="s">
        <v>384</v>
      </c>
      <c r="J300" s="278" t="s">
        <v>5914</v>
      </c>
      <c r="BD300" s="23">
        <v>41791</v>
      </c>
      <c r="BE300" s="23">
        <v>42704</v>
      </c>
      <c r="BF300" s="23">
        <v>42735</v>
      </c>
      <c r="BG300" s="11" t="s">
        <v>749</v>
      </c>
      <c r="BH300" s="22">
        <v>350570</v>
      </c>
      <c r="BI300" s="11" t="s">
        <v>5915</v>
      </c>
      <c r="BJ300" s="11" t="s">
        <v>5916</v>
      </c>
      <c r="BK300" s="11" t="s">
        <v>5526</v>
      </c>
      <c r="BL300" s="11" t="s">
        <v>5917</v>
      </c>
      <c r="BM300" s="11" t="s">
        <v>5307</v>
      </c>
      <c r="BN300" s="11" t="s">
        <v>5308</v>
      </c>
      <c r="BO300" s="12" t="s">
        <v>319</v>
      </c>
      <c r="BP300" s="12" t="s">
        <v>320</v>
      </c>
      <c r="BQ300" s="12" t="s">
        <v>319</v>
      </c>
      <c r="BR300" s="11" t="s">
        <v>5918</v>
      </c>
      <c r="BS300" s="11" t="s">
        <v>357</v>
      </c>
      <c r="BT300" s="11" t="s">
        <v>5919</v>
      </c>
      <c r="BU300" s="11" t="s">
        <v>5920</v>
      </c>
      <c r="BV300" s="22">
        <v>504</v>
      </c>
      <c r="BW300" s="22">
        <v>0</v>
      </c>
      <c r="BY300" s="22">
        <v>5000</v>
      </c>
      <c r="BZ300" s="22">
        <v>1000</v>
      </c>
      <c r="CA300" s="22">
        <v>6000</v>
      </c>
      <c r="CB300" s="15" t="s">
        <v>5921</v>
      </c>
      <c r="CL300" s="18"/>
      <c r="CP300" s="18"/>
      <c r="CT300" s="18"/>
      <c r="CX300" s="18"/>
      <c r="DB300" s="18"/>
      <c r="DF300" s="18"/>
      <c r="DJ300" s="18"/>
      <c r="DN300" s="18"/>
      <c r="DR300" s="18"/>
      <c r="DV300" s="18"/>
      <c r="DZ300" s="18"/>
      <c r="ED300" s="18"/>
      <c r="EI300" s="18"/>
      <c r="EK300" s="22">
        <v>504</v>
      </c>
      <c r="EM300" s="22">
        <v>504</v>
      </c>
      <c r="EN300" s="22">
        <v>5000</v>
      </c>
      <c r="EO300" s="22">
        <v>1000</v>
      </c>
      <c r="EP300" s="22">
        <v>6000</v>
      </c>
      <c r="EQ300" s="12" t="s">
        <v>320</v>
      </c>
      <c r="ER300" s="22">
        <v>504</v>
      </c>
      <c r="ES300" s="18">
        <v>1</v>
      </c>
      <c r="ET300" s="22">
        <v>6000</v>
      </c>
      <c r="EW300" s="18"/>
      <c r="FA300" s="18"/>
      <c r="FE300" s="18"/>
      <c r="FG300" s="12" t="s">
        <v>320</v>
      </c>
      <c r="FH300" s="22">
        <v>504</v>
      </c>
      <c r="FI300" s="18">
        <v>1</v>
      </c>
      <c r="FJ300" s="22">
        <v>6000</v>
      </c>
      <c r="FM300" s="18"/>
      <c r="FO300" s="12" t="s">
        <v>320</v>
      </c>
      <c r="FP300" s="22">
        <v>504</v>
      </c>
      <c r="FQ300" s="18">
        <v>1</v>
      </c>
      <c r="FR300" s="22">
        <v>6000</v>
      </c>
      <c r="FU300" s="18"/>
      <c r="FY300" s="18"/>
      <c r="GC300" s="18"/>
      <c r="GG300" s="18"/>
      <c r="GK300" s="18"/>
      <c r="GO300" s="18"/>
      <c r="GS300" s="18"/>
      <c r="GW300" s="18"/>
      <c r="HA300" s="18"/>
      <c r="HF300" s="18"/>
      <c r="HH300" s="11" t="s">
        <v>320</v>
      </c>
      <c r="HI300" s="11" t="s">
        <v>361</v>
      </c>
      <c r="HJ300" s="11">
        <v>2016</v>
      </c>
      <c r="HK300" s="11" t="s">
        <v>320</v>
      </c>
      <c r="HL300" s="11" t="s">
        <v>319</v>
      </c>
      <c r="HP300" s="11" t="s">
        <v>418</v>
      </c>
      <c r="HZ300" s="11" t="s">
        <v>394</v>
      </c>
      <c r="IA300" s="11" t="s">
        <v>5922</v>
      </c>
      <c r="IB300" s="11" t="s">
        <v>333</v>
      </c>
      <c r="ID300" s="11" t="s">
        <v>364</v>
      </c>
      <c r="IE300" s="11" t="s">
        <v>478</v>
      </c>
      <c r="IF300" s="11" t="s">
        <v>320</v>
      </c>
      <c r="IG300" s="11" t="s">
        <v>320</v>
      </c>
      <c r="IH300" s="11" t="s">
        <v>320</v>
      </c>
      <c r="II300" s="11" t="s">
        <v>320</v>
      </c>
      <c r="IJ300" s="12" t="str">
        <f t="shared" si="173"/>
        <v>4. Transformative</v>
      </c>
      <c r="IK300" s="12">
        <f t="shared" si="174"/>
        <v>4</v>
      </c>
      <c r="IL300" s="11" t="s">
        <v>336</v>
      </c>
      <c r="IM300" s="11" t="s">
        <v>320</v>
      </c>
      <c r="IN300" s="11" t="s">
        <v>319</v>
      </c>
      <c r="IO300" s="11" t="s">
        <v>319</v>
      </c>
      <c r="IP300" s="11" t="s">
        <v>319</v>
      </c>
      <c r="IQ300" s="12" t="str">
        <f t="shared" si="175"/>
        <v>1. Tokenistic</v>
      </c>
      <c r="IR300" s="12">
        <f t="shared" si="176"/>
        <v>1</v>
      </c>
      <c r="IS300" s="11" t="s">
        <v>622</v>
      </c>
      <c r="IT300" s="11" t="s">
        <v>320</v>
      </c>
      <c r="IU300" s="11" t="s">
        <v>320</v>
      </c>
      <c r="IV300" s="11" t="s">
        <v>320</v>
      </c>
      <c r="IW300" s="11" t="str">
        <f t="shared" si="177"/>
        <v>4. Transformative</v>
      </c>
      <c r="IX300" s="12">
        <f t="shared" si="178"/>
        <v>3</v>
      </c>
      <c r="IY300" s="11" t="s">
        <v>338</v>
      </c>
      <c r="IZ300" s="11" t="s">
        <v>339</v>
      </c>
      <c r="JE300" s="11" t="s">
        <v>420</v>
      </c>
      <c r="JG300" s="11" t="s">
        <v>5923</v>
      </c>
      <c r="JH300" s="11" t="s">
        <v>5924</v>
      </c>
      <c r="JI300" s="11" t="s">
        <v>5925</v>
      </c>
      <c r="JJ300" s="11" t="s">
        <v>5926</v>
      </c>
      <c r="JK300" s="11" t="s">
        <v>5927</v>
      </c>
      <c r="JL300" s="11" t="s">
        <v>5928</v>
      </c>
      <c r="JM300" s="11" t="s">
        <v>5929</v>
      </c>
      <c r="JN300" s="11" t="s">
        <v>5930</v>
      </c>
      <c r="JO300" s="11" t="s">
        <v>5931</v>
      </c>
      <c r="JP300" s="15">
        <f t="shared" si="179"/>
        <v>504</v>
      </c>
      <c r="JQ300" s="15">
        <f t="shared" si="180"/>
        <v>6000</v>
      </c>
      <c r="JR300" s="279">
        <f t="shared" si="181"/>
        <v>11.904761904761905</v>
      </c>
      <c r="JS300" s="17">
        <f t="shared" si="182"/>
        <v>1</v>
      </c>
      <c r="JT300" s="18">
        <f t="shared" si="183"/>
        <v>0.83333333333333337</v>
      </c>
      <c r="JU300" s="280">
        <f t="shared" si="184"/>
        <v>504</v>
      </c>
      <c r="JV300" s="280">
        <f t="shared" si="185"/>
        <v>5000</v>
      </c>
      <c r="JW300" s="319" t="str">
        <f t="shared" si="186"/>
        <v/>
      </c>
      <c r="JX300" s="15">
        <f t="shared" si="187"/>
        <v>0</v>
      </c>
      <c r="JY300" s="15">
        <f t="shared" si="188"/>
        <v>0</v>
      </c>
      <c r="JZ300" s="19" t="str">
        <f t="shared" si="189"/>
        <v/>
      </c>
      <c r="KA300" s="52">
        <f t="shared" si="190"/>
        <v>1</v>
      </c>
      <c r="KB300" s="15">
        <f t="shared" si="191"/>
        <v>504</v>
      </c>
      <c r="KC300" s="15">
        <f t="shared" si="192"/>
        <v>6000</v>
      </c>
      <c r="KD300" s="20">
        <f t="shared" si="193"/>
        <v>11.904761904761905</v>
      </c>
      <c r="KE300" s="52" t="str">
        <f t="shared" si="194"/>
        <v/>
      </c>
      <c r="KF300" s="15">
        <f t="shared" si="195"/>
        <v>0</v>
      </c>
      <c r="KG300" s="15">
        <f t="shared" si="196"/>
        <v>0</v>
      </c>
      <c r="KH300" s="21" t="str">
        <f t="shared" si="197"/>
        <v/>
      </c>
      <c r="KI300" s="52" t="str">
        <f t="shared" si="198"/>
        <v/>
      </c>
      <c r="KJ300" s="15">
        <f t="shared" si="199"/>
        <v>0</v>
      </c>
      <c r="KK300" s="15">
        <f t="shared" si="200"/>
        <v>0</v>
      </c>
      <c r="KL300" s="19" t="str">
        <f t="shared" si="201"/>
        <v/>
      </c>
      <c r="KM300" s="52">
        <f t="shared" si="202"/>
        <v>1</v>
      </c>
      <c r="KN300" s="22">
        <f t="shared" si="203"/>
        <v>504</v>
      </c>
      <c r="KO300" s="22">
        <f t="shared" si="204"/>
        <v>6000</v>
      </c>
      <c r="KP300" s="19">
        <f t="shared" si="205"/>
        <v>11.904761904761905</v>
      </c>
      <c r="KQ300" s="11" t="str">
        <f t="shared" si="206"/>
        <v>4. Transformative</v>
      </c>
      <c r="KR300" s="11" t="str">
        <f t="shared" si="207"/>
        <v>1. Tokenistic</v>
      </c>
      <c r="KS300" s="11" t="str">
        <f t="shared" si="208"/>
        <v>4. Transformative</v>
      </c>
      <c r="KT300" s="11" t="str">
        <f t="shared" si="209"/>
        <v>It tested new ways for fighting poverty, but did not measure results of innovation</v>
      </c>
      <c r="KU300" s="11" t="str">
        <f t="shared" si="210"/>
        <v>Little or no advocacy</v>
      </c>
      <c r="KV300" s="11" t="str">
        <f t="shared" si="211"/>
        <v>It did not take tested solutions to scale</v>
      </c>
      <c r="KW300" s="11" t="str">
        <f t="shared" si="212"/>
        <v>India - Enhancing the Sustainable Farming Initiative through Gender &amp; Nutrition (EnSIGN)</v>
      </c>
      <c r="KX300" s="11" t="str">
        <f t="shared" si="213"/>
        <v>Enhancing the Sustainable Farming Initiative through Gender &amp; Nutrition (EnSIGN)</v>
      </c>
      <c r="KY300" s="11" t="str">
        <f t="shared" si="214"/>
        <v>India</v>
      </c>
      <c r="KZ300" s="12">
        <v>300</v>
      </c>
    </row>
    <row r="301" spans="1:312" x14ac:dyDescent="0.3">
      <c r="A301" s="11" t="s">
        <v>5300</v>
      </c>
      <c r="B301" s="11" t="s">
        <v>306</v>
      </c>
      <c r="C301" s="11">
        <v>3029</v>
      </c>
      <c r="D301" s="11" t="s">
        <v>5488</v>
      </c>
      <c r="E301" s="24" t="str">
        <f t="shared" si="172"/>
        <v>India</v>
      </c>
      <c r="F301" s="11" t="s">
        <v>5489</v>
      </c>
      <c r="G301" s="11" t="s">
        <v>5302</v>
      </c>
      <c r="H301" s="11" t="s">
        <v>384</v>
      </c>
      <c r="I301" s="11" t="s">
        <v>517</v>
      </c>
      <c r="J301" s="278" t="s">
        <v>14578</v>
      </c>
      <c r="BD301" s="23">
        <v>42370</v>
      </c>
      <c r="BE301" s="23">
        <v>43830</v>
      </c>
      <c r="BG301" s="11" t="s">
        <v>312</v>
      </c>
      <c r="BH301" s="22">
        <v>2800000</v>
      </c>
      <c r="BI301" s="11" t="s">
        <v>5490</v>
      </c>
      <c r="BJ301" s="11" t="s">
        <v>5398</v>
      </c>
      <c r="BK301" s="11" t="s">
        <v>5399</v>
      </c>
      <c r="BL301" s="11" t="s">
        <v>5491</v>
      </c>
      <c r="BM301" s="11" t="s">
        <v>354</v>
      </c>
      <c r="BN301" s="11" t="s">
        <v>5492</v>
      </c>
      <c r="BO301" s="12" t="s">
        <v>319</v>
      </c>
      <c r="BP301" s="12" t="s">
        <v>320</v>
      </c>
      <c r="BQ301" s="12" t="s">
        <v>319</v>
      </c>
      <c r="BR301" s="11" t="s">
        <v>5493</v>
      </c>
      <c r="BS301" s="11" t="s">
        <v>357</v>
      </c>
      <c r="BT301" s="11" t="s">
        <v>5494</v>
      </c>
      <c r="BU301" s="11" t="s">
        <v>5495</v>
      </c>
      <c r="BV301" s="22">
        <v>10000</v>
      </c>
      <c r="BW301" s="22">
        <v>0</v>
      </c>
      <c r="BX301" s="22">
        <v>10000</v>
      </c>
      <c r="BY301" s="22">
        <v>15000</v>
      </c>
      <c r="BZ301" s="22">
        <v>15100</v>
      </c>
      <c r="CA301" s="22">
        <v>30100</v>
      </c>
      <c r="CB301" s="15" t="s">
        <v>5496</v>
      </c>
      <c r="CL301" s="18"/>
      <c r="CP301" s="18"/>
      <c r="CT301" s="18"/>
      <c r="CX301" s="18"/>
      <c r="DB301" s="18"/>
      <c r="DF301" s="18"/>
      <c r="DJ301" s="18"/>
      <c r="DN301" s="18"/>
      <c r="DR301" s="18"/>
      <c r="DV301" s="18"/>
      <c r="DZ301" s="18"/>
      <c r="ED301" s="18"/>
      <c r="EI301" s="18"/>
      <c r="EK301" s="22">
        <v>19292</v>
      </c>
      <c r="EL301" s="22">
        <v>0</v>
      </c>
      <c r="EM301" s="22">
        <v>19292</v>
      </c>
      <c r="EN301" s="22">
        <v>4793</v>
      </c>
      <c r="EO301" s="22">
        <v>4901</v>
      </c>
      <c r="EP301" s="22">
        <v>9694</v>
      </c>
      <c r="ES301" s="18"/>
      <c r="EW301" s="18"/>
      <c r="FA301" s="18"/>
      <c r="FE301" s="18"/>
      <c r="FI301" s="18"/>
      <c r="FM301" s="18"/>
      <c r="FQ301" s="18"/>
      <c r="FU301" s="18"/>
      <c r="FY301" s="18"/>
      <c r="GC301" s="18"/>
      <c r="GG301" s="18"/>
      <c r="GK301" s="18"/>
      <c r="GO301" s="18"/>
      <c r="GS301" s="18"/>
      <c r="GW301" s="18"/>
      <c r="GY301" s="11" t="s">
        <v>320</v>
      </c>
      <c r="GZ301" s="22">
        <v>19292</v>
      </c>
      <c r="HA301" s="18">
        <v>1</v>
      </c>
      <c r="HB301" s="22">
        <v>9694</v>
      </c>
      <c r="HF301" s="18"/>
      <c r="HH301" s="11" t="s">
        <v>320</v>
      </c>
      <c r="HI301" s="11" t="s">
        <v>522</v>
      </c>
      <c r="HJ301" s="11">
        <v>2016</v>
      </c>
      <c r="HK301" s="11" t="s">
        <v>319</v>
      </c>
      <c r="HL301" s="11" t="s">
        <v>319</v>
      </c>
      <c r="HO301" s="11" t="s">
        <v>5497</v>
      </c>
      <c r="HP301" s="11" t="s">
        <v>330</v>
      </c>
      <c r="HT301" s="11" t="s">
        <v>320</v>
      </c>
      <c r="HZ301" s="11" t="s">
        <v>394</v>
      </c>
      <c r="IA301" s="11" t="s">
        <v>5498</v>
      </c>
      <c r="IB301" s="11" t="s">
        <v>333</v>
      </c>
      <c r="ID301" s="11" t="s">
        <v>364</v>
      </c>
      <c r="IE301" s="11" t="s">
        <v>478</v>
      </c>
      <c r="IF301" s="11" t="s">
        <v>320</v>
      </c>
      <c r="IG301" s="11" t="s">
        <v>320</v>
      </c>
      <c r="IH301" s="11" t="s">
        <v>320</v>
      </c>
      <c r="II301" s="11" t="s">
        <v>320</v>
      </c>
      <c r="IJ301" s="12" t="str">
        <f t="shared" si="173"/>
        <v>4. Transformative</v>
      </c>
      <c r="IK301" s="12">
        <f t="shared" si="174"/>
        <v>4</v>
      </c>
      <c r="IL301" s="11" t="s">
        <v>336</v>
      </c>
      <c r="IM301" s="11" t="s">
        <v>320</v>
      </c>
      <c r="IN301" s="11" t="s">
        <v>320</v>
      </c>
      <c r="IO301" s="11" t="s">
        <v>320</v>
      </c>
      <c r="IP301" s="11" t="s">
        <v>320</v>
      </c>
      <c r="IQ301" s="12" t="str">
        <f t="shared" si="175"/>
        <v>2. Accommodating</v>
      </c>
      <c r="IR301" s="12">
        <f t="shared" si="176"/>
        <v>4</v>
      </c>
      <c r="IS301" s="11" t="s">
        <v>337</v>
      </c>
      <c r="IT301" s="11" t="s">
        <v>320</v>
      </c>
      <c r="IU301" s="11" t="s">
        <v>320</v>
      </c>
      <c r="IV301" s="11" t="s">
        <v>319</v>
      </c>
      <c r="IW301" s="11" t="str">
        <f t="shared" si="177"/>
        <v>1. Neutral</v>
      </c>
      <c r="IX301" s="12">
        <f t="shared" si="178"/>
        <v>2</v>
      </c>
      <c r="IY301" s="11" t="s">
        <v>419</v>
      </c>
      <c r="IZ301" s="11" t="s">
        <v>339</v>
      </c>
      <c r="JE301" s="11" t="s">
        <v>420</v>
      </c>
      <c r="JH301" s="11" t="s">
        <v>5499</v>
      </c>
      <c r="JI301" s="11" t="s">
        <v>5500</v>
      </c>
      <c r="JJ301" s="11" t="s">
        <v>5501</v>
      </c>
      <c r="JK301" s="11" t="s">
        <v>5502</v>
      </c>
      <c r="JL301" s="11" t="s">
        <v>5503</v>
      </c>
      <c r="JM301" s="11" t="s">
        <v>5504</v>
      </c>
      <c r="JN301" s="11" t="s">
        <v>5505</v>
      </c>
      <c r="JO301" s="11" t="s">
        <v>5506</v>
      </c>
      <c r="JP301" s="15">
        <f t="shared" si="179"/>
        <v>19292</v>
      </c>
      <c r="JQ301" s="15">
        <f t="shared" si="180"/>
        <v>9694</v>
      </c>
      <c r="JR301" s="279">
        <f t="shared" si="181"/>
        <v>0.50248807795977612</v>
      </c>
      <c r="JS301" s="17">
        <f t="shared" si="182"/>
        <v>1</v>
      </c>
      <c r="JT301" s="18">
        <f t="shared" si="183"/>
        <v>0.49442954404786466</v>
      </c>
      <c r="JU301" s="280">
        <f t="shared" si="184"/>
        <v>19292</v>
      </c>
      <c r="JV301" s="280">
        <f t="shared" si="185"/>
        <v>4793</v>
      </c>
      <c r="JW301" s="319" t="str">
        <f t="shared" si="186"/>
        <v/>
      </c>
      <c r="JX301" s="15">
        <f t="shared" si="187"/>
        <v>0</v>
      </c>
      <c r="JY301" s="15">
        <f t="shared" si="188"/>
        <v>0</v>
      </c>
      <c r="JZ301" s="19" t="str">
        <f t="shared" si="189"/>
        <v/>
      </c>
      <c r="KA301" s="52" t="str">
        <f t="shared" si="190"/>
        <v/>
      </c>
      <c r="KB301" s="15">
        <f t="shared" si="191"/>
        <v>0</v>
      </c>
      <c r="KC301" s="15">
        <f t="shared" si="192"/>
        <v>0</v>
      </c>
      <c r="KD301" s="20" t="str">
        <f t="shared" si="193"/>
        <v/>
      </c>
      <c r="KE301" s="52" t="str">
        <f t="shared" si="194"/>
        <v/>
      </c>
      <c r="KF301" s="15">
        <f t="shared" si="195"/>
        <v>0</v>
      </c>
      <c r="KG301" s="15">
        <f t="shared" si="196"/>
        <v>0</v>
      </c>
      <c r="KH301" s="21" t="str">
        <f t="shared" si="197"/>
        <v/>
      </c>
      <c r="KI301" s="52" t="str">
        <f t="shared" si="198"/>
        <v/>
      </c>
      <c r="KJ301" s="15">
        <f t="shared" si="199"/>
        <v>0</v>
      </c>
      <c r="KK301" s="15">
        <f t="shared" si="200"/>
        <v>0</v>
      </c>
      <c r="KL301" s="19" t="str">
        <f t="shared" si="201"/>
        <v/>
      </c>
      <c r="KM301" s="52">
        <f t="shared" si="202"/>
        <v>1</v>
      </c>
      <c r="KN301" s="22">
        <f t="shared" si="203"/>
        <v>19292</v>
      </c>
      <c r="KO301" s="22">
        <f t="shared" si="204"/>
        <v>9694</v>
      </c>
      <c r="KP301" s="19">
        <f t="shared" si="205"/>
        <v>0.50248807795977612</v>
      </c>
      <c r="KQ301" s="11" t="str">
        <f t="shared" si="206"/>
        <v>4. Transformative</v>
      </c>
      <c r="KR301" s="11" t="str">
        <f t="shared" si="207"/>
        <v>2. Accommodating</v>
      </c>
      <c r="KS301" s="11" t="str">
        <f t="shared" si="208"/>
        <v>1. Neutral</v>
      </c>
      <c r="KT301" s="11" t="str">
        <f t="shared" si="209"/>
        <v>It tested new ways for fighting poverty, but did not measure results of innovation</v>
      </c>
      <c r="KU301" s="11" t="str">
        <f t="shared" si="210"/>
        <v>Moderate advocacy</v>
      </c>
      <c r="KV301" s="11" t="str">
        <f t="shared" si="211"/>
        <v>It did not take tested solutions to scale</v>
      </c>
      <c r="KW301" s="11" t="str">
        <f t="shared" si="212"/>
        <v>India - Evolving a Women-centered Model of Extension of Improved Cook Stoves (ICS) for Sustained Adoption at Scale</v>
      </c>
      <c r="KX301" s="11" t="str">
        <f t="shared" si="213"/>
        <v>Evolving a Women-centered Model of Extension of Improved Cook Stoves (ICS) for Sustained Adoption at Scale</v>
      </c>
      <c r="KY301" s="11" t="str">
        <f t="shared" si="214"/>
        <v>India</v>
      </c>
      <c r="KZ301" s="12">
        <v>301</v>
      </c>
    </row>
    <row r="302" spans="1:312" x14ac:dyDescent="0.3">
      <c r="A302" s="282" t="s">
        <v>5300</v>
      </c>
      <c r="B302" s="282" t="s">
        <v>306</v>
      </c>
      <c r="C302" s="282"/>
      <c r="D302" s="282" t="s">
        <v>5507</v>
      </c>
      <c r="E302" s="24" t="str">
        <f t="shared" si="172"/>
        <v>India</v>
      </c>
      <c r="F302" s="282" t="s">
        <v>5508</v>
      </c>
      <c r="G302" s="282" t="s">
        <v>5302</v>
      </c>
      <c r="H302" s="282" t="s">
        <v>383</v>
      </c>
      <c r="I302" s="282" t="s">
        <v>384</v>
      </c>
      <c r="J302" s="278" t="s">
        <v>14655</v>
      </c>
      <c r="K302" s="282"/>
      <c r="L302" s="282"/>
      <c r="M302" s="282"/>
      <c r="N302" s="282"/>
      <c r="O302" s="282"/>
      <c r="P302" s="282"/>
      <c r="Q302" s="282"/>
      <c r="R302" s="282"/>
      <c r="S302" s="282"/>
      <c r="T302" s="282"/>
      <c r="U302" s="282"/>
      <c r="V302" s="282"/>
      <c r="W302" s="282"/>
      <c r="X302" s="282"/>
      <c r="Y302" s="282"/>
      <c r="Z302" s="282"/>
      <c r="AA302" s="282"/>
      <c r="AB302" s="282"/>
      <c r="AC302" s="282"/>
      <c r="AD302" s="282"/>
      <c r="AE302" s="282"/>
      <c r="AF302" s="282"/>
      <c r="AG302" s="282"/>
      <c r="AH302" s="282"/>
      <c r="AI302" s="282"/>
      <c r="AJ302" s="282"/>
      <c r="AK302" s="282"/>
      <c r="AL302" s="282"/>
      <c r="AM302" s="282"/>
      <c r="AN302" s="282"/>
      <c r="AO302" s="282"/>
      <c r="AP302" s="282"/>
      <c r="AQ302" s="282"/>
      <c r="AR302" s="282"/>
      <c r="AS302" s="282"/>
      <c r="AT302" s="282"/>
      <c r="AU302" s="282"/>
      <c r="AV302" s="282"/>
      <c r="AW302" s="282"/>
      <c r="AX302" s="282"/>
      <c r="AY302" s="282"/>
      <c r="AZ302" s="282"/>
      <c r="BA302" s="282"/>
      <c r="BB302" s="282"/>
      <c r="BC302" s="282"/>
      <c r="BD302" s="283">
        <v>42840</v>
      </c>
      <c r="BE302" s="283">
        <v>43935</v>
      </c>
      <c r="BF302" s="283"/>
      <c r="BG302" s="283" t="s">
        <v>312</v>
      </c>
      <c r="BH302" s="284">
        <v>416338</v>
      </c>
      <c r="BI302" s="282" t="s">
        <v>5509</v>
      </c>
      <c r="BJ302" s="282" t="s">
        <v>912</v>
      </c>
      <c r="BK302" s="282" t="s">
        <v>5353</v>
      </c>
      <c r="BL302" s="282" t="s">
        <v>5510</v>
      </c>
      <c r="BM302" s="282" t="s">
        <v>354</v>
      </c>
      <c r="BN302" s="282" t="s">
        <v>5511</v>
      </c>
      <c r="BO302" s="282" t="s">
        <v>319</v>
      </c>
      <c r="BP302" s="282" t="s">
        <v>320</v>
      </c>
      <c r="BQ302" s="282" t="s">
        <v>319</v>
      </c>
      <c r="BR302" s="282" t="s">
        <v>5512</v>
      </c>
      <c r="BS302" s="282" t="s">
        <v>357</v>
      </c>
      <c r="BT302" s="282" t="s">
        <v>5513</v>
      </c>
      <c r="BU302" s="282" t="s">
        <v>5514</v>
      </c>
      <c r="BV302" s="284">
        <v>3000</v>
      </c>
      <c r="BW302" s="284">
        <v>0</v>
      </c>
      <c r="BX302" s="284">
        <v>3000</v>
      </c>
      <c r="BY302" s="284">
        <v>11500</v>
      </c>
      <c r="BZ302" s="284">
        <v>8852</v>
      </c>
      <c r="CA302" s="284">
        <v>20352</v>
      </c>
      <c r="CB302" s="285" t="s">
        <v>5515</v>
      </c>
      <c r="CC302" s="285"/>
      <c r="CD302" s="284">
        <v>0</v>
      </c>
      <c r="CE302" s="284">
        <v>0</v>
      </c>
      <c r="CF302" s="284">
        <v>0</v>
      </c>
      <c r="CG302" s="284">
        <v>0</v>
      </c>
      <c r="CH302" s="284">
        <v>0</v>
      </c>
      <c r="CI302" s="284">
        <v>0</v>
      </c>
      <c r="CJ302" s="282"/>
      <c r="CK302" s="284"/>
      <c r="CL302" s="286"/>
      <c r="CM302" s="284"/>
      <c r="CN302" s="287"/>
      <c r="CO302" s="284"/>
      <c r="CP302" s="286"/>
      <c r="CQ302" s="284"/>
      <c r="CR302" s="282"/>
      <c r="CS302" s="284"/>
      <c r="CT302" s="286"/>
      <c r="CU302" s="284"/>
      <c r="CV302" s="289"/>
      <c r="CW302" s="290"/>
      <c r="CX302" s="291"/>
      <c r="CY302" s="290"/>
      <c r="CZ302" s="282"/>
      <c r="DA302" s="284"/>
      <c r="DB302" s="286"/>
      <c r="DC302" s="284"/>
      <c r="DD302" s="287"/>
      <c r="DE302" s="284"/>
      <c r="DF302" s="286"/>
      <c r="DG302" s="284"/>
      <c r="DH302" s="282"/>
      <c r="DI302" s="284"/>
      <c r="DJ302" s="286"/>
      <c r="DK302" s="284"/>
      <c r="DL302" s="282"/>
      <c r="DM302" s="284"/>
      <c r="DN302" s="286"/>
      <c r="DO302" s="284"/>
      <c r="DP302" s="282"/>
      <c r="DQ302" s="284"/>
      <c r="DR302" s="286"/>
      <c r="DS302" s="284"/>
      <c r="DT302" s="282"/>
      <c r="DU302" s="284"/>
      <c r="DV302" s="286"/>
      <c r="DW302" s="284"/>
      <c r="DX302" s="282"/>
      <c r="DY302" s="284"/>
      <c r="DZ302" s="286"/>
      <c r="EA302" s="284"/>
      <c r="EB302" s="282"/>
      <c r="EC302" s="284"/>
      <c r="ED302" s="286"/>
      <c r="EE302" s="284"/>
      <c r="EF302" s="285"/>
      <c r="EG302" s="287"/>
      <c r="EH302" s="284"/>
      <c r="EI302" s="286"/>
      <c r="EJ302" s="284"/>
      <c r="EK302" s="284">
        <v>0</v>
      </c>
      <c r="EL302" s="284">
        <v>0</v>
      </c>
      <c r="EM302" s="284">
        <v>0</v>
      </c>
      <c r="EN302" s="284">
        <v>0</v>
      </c>
      <c r="EO302" s="284">
        <v>0</v>
      </c>
      <c r="EP302" s="284">
        <v>0</v>
      </c>
      <c r="EQ302" s="282"/>
      <c r="ER302" s="284"/>
      <c r="ES302" s="286"/>
      <c r="ET302" s="284"/>
      <c r="EU302" s="282"/>
      <c r="EV302" s="284"/>
      <c r="EW302" s="286"/>
      <c r="EX302" s="284"/>
      <c r="EY302" s="282"/>
      <c r="EZ302" s="284"/>
      <c r="FA302" s="286"/>
      <c r="FB302" s="284"/>
      <c r="FC302" s="282"/>
      <c r="FD302" s="284"/>
      <c r="FE302" s="286"/>
      <c r="FF302" s="284"/>
      <c r="FG302" s="282" t="s">
        <v>320</v>
      </c>
      <c r="FH302" s="284"/>
      <c r="FI302" s="286"/>
      <c r="FJ302" s="284"/>
      <c r="FK302" s="282"/>
      <c r="FL302" s="284"/>
      <c r="FM302" s="286"/>
      <c r="FN302" s="284"/>
      <c r="FO302" s="289"/>
      <c r="FP302" s="300"/>
      <c r="FQ302" s="291"/>
      <c r="FR302" s="290"/>
      <c r="FS302" s="282"/>
      <c r="FT302" s="284"/>
      <c r="FU302" s="286"/>
      <c r="FV302" s="284"/>
      <c r="FW302" s="282"/>
      <c r="FX302" s="284"/>
      <c r="FY302" s="286"/>
      <c r="FZ302" s="284"/>
      <c r="GA302" s="282"/>
      <c r="GB302" s="284"/>
      <c r="GC302" s="286"/>
      <c r="GD302" s="284"/>
      <c r="GE302" s="282"/>
      <c r="GF302" s="284"/>
      <c r="GG302" s="286"/>
      <c r="GH302" s="284"/>
      <c r="GI302" s="282"/>
      <c r="GJ302" s="284"/>
      <c r="GK302" s="286"/>
      <c r="GL302" s="284"/>
      <c r="GM302" s="282"/>
      <c r="GN302" s="284"/>
      <c r="GO302" s="286"/>
      <c r="GP302" s="284"/>
      <c r="GQ302" s="282"/>
      <c r="GR302" s="284"/>
      <c r="GS302" s="286"/>
      <c r="GT302" s="284"/>
      <c r="GU302" s="282"/>
      <c r="GV302" s="284"/>
      <c r="GW302" s="286"/>
      <c r="GX302" s="284"/>
      <c r="GY302" s="282" t="s">
        <v>320</v>
      </c>
      <c r="GZ302" s="284"/>
      <c r="HA302" s="286"/>
      <c r="HB302" s="284"/>
      <c r="HC302" s="282"/>
      <c r="HD302" s="282"/>
      <c r="HE302" s="284"/>
      <c r="HF302" s="286"/>
      <c r="HG302" s="284"/>
      <c r="HH302" s="282" t="s">
        <v>319</v>
      </c>
      <c r="HI302" s="282"/>
      <c r="HJ302" s="282"/>
      <c r="HK302" s="282" t="s">
        <v>319</v>
      </c>
      <c r="HL302" s="282" t="s">
        <v>320</v>
      </c>
      <c r="HM302" s="282" t="s">
        <v>619</v>
      </c>
      <c r="HN302" s="282">
        <v>2017</v>
      </c>
      <c r="HO302" s="282"/>
      <c r="HP302" s="282" t="s">
        <v>418</v>
      </c>
      <c r="HQ302" s="282"/>
      <c r="HR302" s="282"/>
      <c r="HS302" s="282"/>
      <c r="HT302" s="282"/>
      <c r="HU302" s="282"/>
      <c r="HV302" s="282"/>
      <c r="HW302" s="282"/>
      <c r="HX302" s="282"/>
      <c r="HY302" s="282"/>
      <c r="HZ302" s="282" t="s">
        <v>363</v>
      </c>
      <c r="IA302" s="282" t="s">
        <v>5516</v>
      </c>
      <c r="IB302" s="282" t="s">
        <v>333</v>
      </c>
      <c r="IC302" s="282" t="s">
        <v>5516</v>
      </c>
      <c r="ID302" s="282" t="s">
        <v>364</v>
      </c>
      <c r="IE302" s="282"/>
      <c r="IF302" s="282"/>
      <c r="IG302" s="282"/>
      <c r="IH302" s="282"/>
      <c r="II302" s="282"/>
      <c r="IJ302" s="12" t="str">
        <f t="shared" si="173"/>
        <v>No marker score</v>
      </c>
      <c r="IK302" s="287">
        <f t="shared" si="174"/>
        <v>0</v>
      </c>
      <c r="IL302" s="282"/>
      <c r="IM302" s="282"/>
      <c r="IN302" s="282"/>
      <c r="IO302" s="282"/>
      <c r="IP302" s="282"/>
      <c r="IQ302" s="287" t="str">
        <f t="shared" si="175"/>
        <v>No marker score</v>
      </c>
      <c r="IR302" s="287">
        <f t="shared" si="176"/>
        <v>0</v>
      </c>
      <c r="IS302" s="282"/>
      <c r="IT302" s="282"/>
      <c r="IU302" s="282"/>
      <c r="IV302" s="282"/>
      <c r="IW302" s="11" t="str">
        <f t="shared" si="177"/>
        <v>No marker score</v>
      </c>
      <c r="IX302" s="287">
        <f t="shared" si="178"/>
        <v>0</v>
      </c>
      <c r="IY302" s="282" t="s">
        <v>338</v>
      </c>
      <c r="IZ302" s="282"/>
      <c r="JA302" s="282"/>
      <c r="JB302" s="282" t="s">
        <v>724</v>
      </c>
      <c r="JC302" s="282"/>
      <c r="JD302" s="282"/>
      <c r="JE302" s="282" t="s">
        <v>420</v>
      </c>
      <c r="JF302" s="282"/>
      <c r="JG302" s="282" t="s">
        <v>5517</v>
      </c>
      <c r="JH302" s="282" t="s">
        <v>5518</v>
      </c>
      <c r="JI302" s="282"/>
      <c r="JJ302" s="282"/>
      <c r="JK302" s="282"/>
      <c r="JL302" s="282"/>
      <c r="JM302" s="282"/>
      <c r="JN302" s="282" t="s">
        <v>5519</v>
      </c>
      <c r="JO302" s="282" t="s">
        <v>5520</v>
      </c>
      <c r="JP302" s="15">
        <f t="shared" si="179"/>
        <v>0</v>
      </c>
      <c r="JQ302" s="15">
        <f t="shared" si="180"/>
        <v>0</v>
      </c>
      <c r="JR302" s="279" t="str">
        <f t="shared" si="181"/>
        <v/>
      </c>
      <c r="JS302" s="17" t="str">
        <f t="shared" si="182"/>
        <v/>
      </c>
      <c r="JT302" s="18" t="str">
        <f t="shared" si="183"/>
        <v/>
      </c>
      <c r="JU302" s="280">
        <f t="shared" si="184"/>
        <v>0</v>
      </c>
      <c r="JV302" s="280">
        <f t="shared" si="185"/>
        <v>0</v>
      </c>
      <c r="JW302" s="319" t="str">
        <f t="shared" si="186"/>
        <v/>
      </c>
      <c r="JX302" s="15">
        <f t="shared" si="187"/>
        <v>0</v>
      </c>
      <c r="JY302" s="15">
        <f t="shared" si="188"/>
        <v>0</v>
      </c>
      <c r="JZ302" s="19" t="str">
        <f t="shared" si="189"/>
        <v/>
      </c>
      <c r="KA302" s="52">
        <f t="shared" si="190"/>
        <v>1</v>
      </c>
      <c r="KB302" s="15">
        <f t="shared" si="191"/>
        <v>0</v>
      </c>
      <c r="KC302" s="15">
        <f t="shared" si="192"/>
        <v>0</v>
      </c>
      <c r="KD302" s="20" t="str">
        <f t="shared" si="193"/>
        <v/>
      </c>
      <c r="KE302" s="52" t="str">
        <f t="shared" si="194"/>
        <v/>
      </c>
      <c r="KF302" s="15">
        <f t="shared" si="195"/>
        <v>0</v>
      </c>
      <c r="KG302" s="15">
        <f t="shared" si="196"/>
        <v>0</v>
      </c>
      <c r="KH302" s="21" t="str">
        <f t="shared" si="197"/>
        <v/>
      </c>
      <c r="KI302" s="52" t="str">
        <f t="shared" si="198"/>
        <v/>
      </c>
      <c r="KJ302" s="15">
        <f t="shared" si="199"/>
        <v>0</v>
      </c>
      <c r="KK302" s="15">
        <f t="shared" si="200"/>
        <v>0</v>
      </c>
      <c r="KL302" s="19" t="str">
        <f t="shared" si="201"/>
        <v/>
      </c>
      <c r="KM302" s="52">
        <f t="shared" si="202"/>
        <v>1</v>
      </c>
      <c r="KN302" s="22">
        <f t="shared" si="203"/>
        <v>0</v>
      </c>
      <c r="KO302" s="22">
        <f t="shared" si="204"/>
        <v>0</v>
      </c>
      <c r="KP302" s="19" t="str">
        <f t="shared" si="205"/>
        <v/>
      </c>
      <c r="KQ302" s="11" t="str">
        <f t="shared" si="206"/>
        <v>No marker score</v>
      </c>
      <c r="KR302" s="11" t="str">
        <f t="shared" si="207"/>
        <v>No marker score</v>
      </c>
      <c r="KS302" s="11" t="str">
        <f t="shared" si="208"/>
        <v>No marker score</v>
      </c>
      <c r="KT302" s="11" t="str">
        <f t="shared" si="209"/>
        <v>It did not develop any specific innovation</v>
      </c>
      <c r="KU302" s="11" t="str">
        <f t="shared" si="210"/>
        <v>Little or no advocacy</v>
      </c>
      <c r="KV302" s="11" t="str">
        <f t="shared" si="211"/>
        <v>It did not take tested solutions to scale</v>
      </c>
      <c r="KW302" s="11" t="str">
        <f t="shared" si="212"/>
        <v>India - Improved Agriculture and Inclusive Dairy Value Chain Promotion (IAIDVC)</v>
      </c>
      <c r="KX302" s="11" t="str">
        <f t="shared" si="213"/>
        <v>Improved Agriculture and Inclusive Dairy Value Chain Promotion (IAIDVC)</v>
      </c>
      <c r="KY302" s="11" t="str">
        <f t="shared" si="214"/>
        <v>India</v>
      </c>
      <c r="KZ302" s="12">
        <v>302</v>
      </c>
    </row>
    <row r="303" spans="1:312" x14ac:dyDescent="0.3">
      <c r="A303" s="282" t="s">
        <v>5300</v>
      </c>
      <c r="B303" s="282" t="s">
        <v>306</v>
      </c>
      <c r="C303" s="282">
        <v>3018</v>
      </c>
      <c r="D303" s="282" t="s">
        <v>5826</v>
      </c>
      <c r="E303" s="24" t="str">
        <f t="shared" si="172"/>
        <v>India</v>
      </c>
      <c r="F303" s="282" t="s">
        <v>5827</v>
      </c>
      <c r="G303" s="282" t="s">
        <v>379</v>
      </c>
      <c r="H303" s="282" t="s">
        <v>383</v>
      </c>
      <c r="I303" s="282" t="s">
        <v>1102</v>
      </c>
      <c r="J303" s="278" t="s">
        <v>1102</v>
      </c>
      <c r="K303" s="282"/>
      <c r="L303" s="282"/>
      <c r="M303" s="282"/>
      <c r="N303" s="282"/>
      <c r="O303" s="282"/>
      <c r="P303" s="282"/>
      <c r="Q303" s="282"/>
      <c r="R303" s="282"/>
      <c r="S303" s="282"/>
      <c r="T303" s="282"/>
      <c r="U303" s="282"/>
      <c r="V303" s="282"/>
      <c r="W303" s="282"/>
      <c r="X303" s="282"/>
      <c r="Y303" s="282"/>
      <c r="Z303" s="282"/>
      <c r="AA303" s="282"/>
      <c r="AB303" s="282"/>
      <c r="AC303" s="282"/>
      <c r="AD303" s="282"/>
      <c r="AE303" s="282"/>
      <c r="AF303" s="282"/>
      <c r="AG303" s="282"/>
      <c r="AH303" s="282"/>
      <c r="AI303" s="282"/>
      <c r="AJ303" s="282"/>
      <c r="AK303" s="282"/>
      <c r="AL303" s="282"/>
      <c r="AM303" s="282"/>
      <c r="AN303" s="282"/>
      <c r="AO303" s="282"/>
      <c r="AP303" s="282"/>
      <c r="AQ303" s="282"/>
      <c r="AR303" s="282"/>
      <c r="AS303" s="282"/>
      <c r="AT303" s="282"/>
      <c r="AU303" s="282"/>
      <c r="AV303" s="282"/>
      <c r="AW303" s="282"/>
      <c r="AX303" s="282"/>
      <c r="AY303" s="282"/>
      <c r="AZ303" s="282"/>
      <c r="BA303" s="282"/>
      <c r="BB303" s="282"/>
      <c r="BC303" s="282"/>
      <c r="BD303" s="283">
        <v>41963</v>
      </c>
      <c r="BE303" s="283">
        <v>43039</v>
      </c>
      <c r="BF303" s="283">
        <v>43404</v>
      </c>
      <c r="BG303" s="283" t="s">
        <v>312</v>
      </c>
      <c r="BH303" s="284">
        <v>6299343</v>
      </c>
      <c r="BI303" s="282" t="s">
        <v>5333</v>
      </c>
      <c r="BJ303" s="282" t="s">
        <v>5334</v>
      </c>
      <c r="BK303" s="282" t="s">
        <v>5335</v>
      </c>
      <c r="BL303" s="282" t="s">
        <v>5336</v>
      </c>
      <c r="BM303" s="282" t="s">
        <v>5337</v>
      </c>
      <c r="BN303" s="282" t="s">
        <v>5338</v>
      </c>
      <c r="BO303" s="11" t="s">
        <v>319</v>
      </c>
      <c r="BP303" s="11" t="s">
        <v>320</v>
      </c>
      <c r="BQ303" s="11" t="s">
        <v>319</v>
      </c>
      <c r="BR303" s="282" t="s">
        <v>5828</v>
      </c>
      <c r="BS303" s="282" t="s">
        <v>357</v>
      </c>
      <c r="BT303" s="282" t="s">
        <v>5829</v>
      </c>
      <c r="BU303" s="282" t="s">
        <v>5830</v>
      </c>
      <c r="BV303" s="284">
        <v>103655</v>
      </c>
      <c r="BW303" s="284">
        <v>112060</v>
      </c>
      <c r="BX303" s="284">
        <v>215715</v>
      </c>
      <c r="BY303" s="284">
        <v>3801604</v>
      </c>
      <c r="BZ303" s="284">
        <v>4109843</v>
      </c>
      <c r="CA303" s="284">
        <v>7911447</v>
      </c>
      <c r="CB303" s="285" t="s">
        <v>14656</v>
      </c>
      <c r="CC303" s="285"/>
      <c r="CD303" s="284"/>
      <c r="CE303" s="284"/>
      <c r="CF303" s="284"/>
      <c r="CG303" s="284"/>
      <c r="CH303" s="284"/>
      <c r="CI303" s="284"/>
      <c r="CJ303" s="282"/>
      <c r="CK303" s="284"/>
      <c r="CL303" s="286"/>
      <c r="CM303" s="284"/>
      <c r="CN303" s="287"/>
      <c r="CO303" s="284"/>
      <c r="CP303" s="286"/>
      <c r="CQ303" s="284"/>
      <c r="CR303" s="282"/>
      <c r="CS303" s="284"/>
      <c r="CT303" s="286"/>
      <c r="CU303" s="284"/>
      <c r="CV303" s="289"/>
      <c r="CW303" s="290"/>
      <c r="CX303" s="291"/>
      <c r="CY303" s="290"/>
      <c r="CZ303" s="282"/>
      <c r="DA303" s="284"/>
      <c r="DB303" s="286"/>
      <c r="DC303" s="284"/>
      <c r="DD303" s="287"/>
      <c r="DE303" s="284"/>
      <c r="DF303" s="286"/>
      <c r="DG303" s="284"/>
      <c r="DH303" s="282"/>
      <c r="DI303" s="284"/>
      <c r="DJ303" s="286"/>
      <c r="DK303" s="284"/>
      <c r="DL303" s="282"/>
      <c r="DM303" s="284"/>
      <c r="DN303" s="286"/>
      <c r="DO303" s="284"/>
      <c r="DP303" s="282"/>
      <c r="DQ303" s="284"/>
      <c r="DR303" s="286"/>
      <c r="DS303" s="284"/>
      <c r="DT303" s="282"/>
      <c r="DU303" s="284"/>
      <c r="DV303" s="286"/>
      <c r="DW303" s="284"/>
      <c r="DX303" s="282"/>
      <c r="DY303" s="284"/>
      <c r="DZ303" s="286"/>
      <c r="EA303" s="284"/>
      <c r="EB303" s="282"/>
      <c r="EC303" s="284"/>
      <c r="ED303" s="286"/>
      <c r="EE303" s="284"/>
      <c r="EF303" s="285"/>
      <c r="EG303" s="287"/>
      <c r="EH303" s="284"/>
      <c r="EI303" s="286"/>
      <c r="EJ303" s="284"/>
      <c r="EK303" s="284">
        <v>74067</v>
      </c>
      <c r="EL303" s="284">
        <v>80240</v>
      </c>
      <c r="EM303" s="284">
        <v>154307</v>
      </c>
      <c r="EN303" s="284"/>
      <c r="EO303" s="284"/>
      <c r="EP303" s="284"/>
      <c r="EQ303" s="282"/>
      <c r="ER303" s="284"/>
      <c r="ES303" s="286"/>
      <c r="ET303" s="284"/>
      <c r="EU303" s="282"/>
      <c r="EV303" s="284"/>
      <c r="EW303" s="286"/>
      <c r="EX303" s="284"/>
      <c r="EY303" s="282"/>
      <c r="EZ303" s="284"/>
      <c r="FA303" s="286"/>
      <c r="FB303" s="284"/>
      <c r="FC303" s="282"/>
      <c r="FD303" s="284"/>
      <c r="FE303" s="286"/>
      <c r="FF303" s="284"/>
      <c r="FG303" s="282"/>
      <c r="FH303" s="284"/>
      <c r="FI303" s="286"/>
      <c r="FJ303" s="284"/>
      <c r="FK303" s="282"/>
      <c r="FL303" s="284"/>
      <c r="FM303" s="286"/>
      <c r="FN303" s="284"/>
      <c r="FO303" s="292"/>
      <c r="FP303" s="300"/>
      <c r="FQ303" s="291"/>
      <c r="FR303" s="290"/>
      <c r="FS303" s="282"/>
      <c r="FT303" s="284"/>
      <c r="FU303" s="286"/>
      <c r="FV303" s="284"/>
      <c r="FW303" s="282"/>
      <c r="FX303" s="284"/>
      <c r="FY303" s="286"/>
      <c r="FZ303" s="284"/>
      <c r="GA303" s="282" t="s">
        <v>320</v>
      </c>
      <c r="GB303" s="284">
        <v>154307</v>
      </c>
      <c r="GC303" s="286">
        <v>0.48</v>
      </c>
      <c r="GD303" s="284"/>
      <c r="GE303" s="282"/>
      <c r="GF303" s="284"/>
      <c r="GG303" s="286"/>
      <c r="GH303" s="284"/>
      <c r="GI303" s="282"/>
      <c r="GJ303" s="284"/>
      <c r="GK303" s="286"/>
      <c r="GL303" s="284"/>
      <c r="GM303" s="282"/>
      <c r="GN303" s="284"/>
      <c r="GO303" s="286"/>
      <c r="GP303" s="284"/>
      <c r="GQ303" s="282"/>
      <c r="GR303" s="284"/>
      <c r="GS303" s="286"/>
      <c r="GT303" s="284"/>
      <c r="GU303" s="282"/>
      <c r="GV303" s="284"/>
      <c r="GW303" s="286"/>
      <c r="GX303" s="284"/>
      <c r="GY303" s="282"/>
      <c r="GZ303" s="284"/>
      <c r="HA303" s="286"/>
      <c r="HB303" s="284"/>
      <c r="HC303" s="282"/>
      <c r="HD303" s="282"/>
      <c r="HE303" s="284"/>
      <c r="HF303" s="286"/>
      <c r="HG303" s="284"/>
      <c r="HH303" s="282" t="s">
        <v>319</v>
      </c>
      <c r="HI303" s="282"/>
      <c r="HJ303" s="282"/>
      <c r="HK303" s="282" t="s">
        <v>319</v>
      </c>
      <c r="HL303" s="282" t="s">
        <v>319</v>
      </c>
      <c r="HM303" s="282"/>
      <c r="HN303" s="282"/>
      <c r="HO303" s="282" t="s">
        <v>5831</v>
      </c>
      <c r="HP303" s="282" t="s">
        <v>418</v>
      </c>
      <c r="HQ303" s="282" t="s">
        <v>319</v>
      </c>
      <c r="HR303" s="282" t="s">
        <v>319</v>
      </c>
      <c r="HS303" s="282" t="s">
        <v>320</v>
      </c>
      <c r="HT303" s="282" t="s">
        <v>319</v>
      </c>
      <c r="HU303" s="282" t="s">
        <v>320</v>
      </c>
      <c r="HV303" s="282" t="s">
        <v>320</v>
      </c>
      <c r="HW303" s="282" t="s">
        <v>319</v>
      </c>
      <c r="HX303" s="282" t="s">
        <v>319</v>
      </c>
      <c r="HY303" s="282"/>
      <c r="HZ303" s="282" t="s">
        <v>363</v>
      </c>
      <c r="IA303" s="282"/>
      <c r="IB303" s="282" t="s">
        <v>333</v>
      </c>
      <c r="IC303" s="282"/>
      <c r="ID303" s="282" t="s">
        <v>364</v>
      </c>
      <c r="IE303" s="282" t="s">
        <v>335</v>
      </c>
      <c r="IF303" s="282" t="s">
        <v>320</v>
      </c>
      <c r="IG303" s="282" t="s">
        <v>320</v>
      </c>
      <c r="IH303" s="282" t="s">
        <v>320</v>
      </c>
      <c r="II303" s="282" t="s">
        <v>320</v>
      </c>
      <c r="IJ303" s="12" t="str">
        <f t="shared" si="173"/>
        <v>2. Sensitive</v>
      </c>
      <c r="IK303" s="287">
        <f t="shared" si="174"/>
        <v>4</v>
      </c>
      <c r="IL303" s="282" t="s">
        <v>336</v>
      </c>
      <c r="IM303" s="282" t="s">
        <v>320</v>
      </c>
      <c r="IN303" s="282" t="s">
        <v>320</v>
      </c>
      <c r="IO303" s="282" t="s">
        <v>320</v>
      </c>
      <c r="IP303" s="282" t="s">
        <v>320</v>
      </c>
      <c r="IQ303" s="287" t="str">
        <f t="shared" si="175"/>
        <v>2. Accommodating</v>
      </c>
      <c r="IR303" s="287">
        <f t="shared" si="176"/>
        <v>4</v>
      </c>
      <c r="IS303" s="282" t="s">
        <v>337</v>
      </c>
      <c r="IT303" s="282" t="s">
        <v>320</v>
      </c>
      <c r="IU303" s="282" t="s">
        <v>320</v>
      </c>
      <c r="IV303" s="282" t="s">
        <v>320</v>
      </c>
      <c r="IW303" s="11" t="str">
        <f t="shared" si="177"/>
        <v>2. Sensitive</v>
      </c>
      <c r="IX303" s="287">
        <f t="shared" si="178"/>
        <v>3</v>
      </c>
      <c r="IY303" s="282" t="s">
        <v>338</v>
      </c>
      <c r="IZ303" s="282" t="s">
        <v>432</v>
      </c>
      <c r="JA303" s="282">
        <v>2</v>
      </c>
      <c r="JB303" s="282" t="s">
        <v>687</v>
      </c>
      <c r="JC303" s="282" t="s">
        <v>724</v>
      </c>
      <c r="JD303" s="282"/>
      <c r="JE303" s="282" t="s">
        <v>420</v>
      </c>
      <c r="JF303" s="282"/>
      <c r="JG303" s="282"/>
      <c r="JH303" s="282" t="s">
        <v>5832</v>
      </c>
      <c r="JI303" s="282" t="s">
        <v>5833</v>
      </c>
      <c r="JJ303" s="282" t="s">
        <v>5834</v>
      </c>
      <c r="JK303" s="282" t="s">
        <v>5835</v>
      </c>
      <c r="JL303" s="282" t="s">
        <v>5836</v>
      </c>
      <c r="JM303" s="282" t="s">
        <v>5837</v>
      </c>
      <c r="JN303" s="282" t="s">
        <v>14657</v>
      </c>
      <c r="JO303" s="282" t="s">
        <v>5838</v>
      </c>
      <c r="JP303" s="15">
        <f t="shared" si="179"/>
        <v>154307</v>
      </c>
      <c r="JQ303" s="15">
        <f t="shared" si="180"/>
        <v>0</v>
      </c>
      <c r="JR303" s="279">
        <f t="shared" si="181"/>
        <v>0</v>
      </c>
      <c r="JS303" s="17">
        <f t="shared" si="182"/>
        <v>0.47999766698853585</v>
      </c>
      <c r="JT303" s="18" t="str">
        <f t="shared" si="183"/>
        <v/>
      </c>
      <c r="JU303" s="280">
        <f t="shared" si="184"/>
        <v>74067</v>
      </c>
      <c r="JV303" s="280">
        <f t="shared" si="185"/>
        <v>0</v>
      </c>
      <c r="JW303" s="319" t="str">
        <f t="shared" si="186"/>
        <v/>
      </c>
      <c r="JX303" s="15">
        <f t="shared" si="187"/>
        <v>0</v>
      </c>
      <c r="JY303" s="15">
        <f t="shared" si="188"/>
        <v>0</v>
      </c>
      <c r="JZ303" s="19" t="str">
        <f t="shared" si="189"/>
        <v/>
      </c>
      <c r="KA303" s="52" t="str">
        <f t="shared" si="190"/>
        <v/>
      </c>
      <c r="KB303" s="15">
        <f t="shared" si="191"/>
        <v>0</v>
      </c>
      <c r="KC303" s="15">
        <f t="shared" si="192"/>
        <v>0</v>
      </c>
      <c r="KD303" s="20" t="str">
        <f t="shared" si="193"/>
        <v/>
      </c>
      <c r="KE303" s="52" t="str">
        <f t="shared" si="194"/>
        <v/>
      </c>
      <c r="KF303" s="15">
        <f t="shared" si="195"/>
        <v>0</v>
      </c>
      <c r="KG303" s="15">
        <f t="shared" si="196"/>
        <v>0</v>
      </c>
      <c r="KH303" s="21" t="str">
        <f t="shared" si="197"/>
        <v/>
      </c>
      <c r="KI303" s="52" t="str">
        <f t="shared" si="198"/>
        <v/>
      </c>
      <c r="KJ303" s="15">
        <f t="shared" si="199"/>
        <v>0</v>
      </c>
      <c r="KK303" s="15">
        <f t="shared" si="200"/>
        <v>0</v>
      </c>
      <c r="KL303" s="19" t="str">
        <f t="shared" si="201"/>
        <v/>
      </c>
      <c r="KM303" s="52" t="str">
        <f t="shared" si="202"/>
        <v/>
      </c>
      <c r="KN303" s="22">
        <f t="shared" si="203"/>
        <v>0</v>
      </c>
      <c r="KO303" s="22">
        <f t="shared" si="204"/>
        <v>0</v>
      </c>
      <c r="KP303" s="19" t="str">
        <f t="shared" si="205"/>
        <v/>
      </c>
      <c r="KQ303" s="11" t="str">
        <f t="shared" si="206"/>
        <v>2. Sensitive</v>
      </c>
      <c r="KR303" s="11" t="str">
        <f t="shared" si="207"/>
        <v>2. Accommodating</v>
      </c>
      <c r="KS303" s="11" t="str">
        <f t="shared" si="208"/>
        <v>2. Sensitive</v>
      </c>
      <c r="KT303" s="11" t="str">
        <f t="shared" si="209"/>
        <v>It did not develop any specific innovation</v>
      </c>
      <c r="KU303" s="11" t="str">
        <f t="shared" si="210"/>
        <v>Little or no advocacy</v>
      </c>
      <c r="KV303" s="11" t="str">
        <f t="shared" si="211"/>
        <v>It did not take tested solutions to scale</v>
      </c>
      <c r="KW303" s="11" t="str">
        <f t="shared" si="212"/>
        <v>India - Improved quality of community and low level facility management of childhood pneumonia and diarrhea in Bihar (TCH)</v>
      </c>
      <c r="KX303" s="11" t="str">
        <f t="shared" si="213"/>
        <v>Improved quality of community and low level facility management of childhood pneumonia and diarrhea in Bihar (TCH)</v>
      </c>
      <c r="KY303" s="11" t="str">
        <f t="shared" si="214"/>
        <v>India</v>
      </c>
      <c r="KZ303" s="287">
        <v>303</v>
      </c>
    </row>
    <row r="304" spans="1:312" x14ac:dyDescent="0.3">
      <c r="A304" s="11" t="s">
        <v>5300</v>
      </c>
      <c r="B304" s="11" t="s">
        <v>306</v>
      </c>
      <c r="C304" s="11">
        <v>3010</v>
      </c>
      <c r="D304" s="11" t="s">
        <v>5521</v>
      </c>
      <c r="E304" s="24" t="str">
        <f t="shared" si="172"/>
        <v>India</v>
      </c>
      <c r="F304" s="11" t="s">
        <v>5522</v>
      </c>
      <c r="G304" s="11" t="s">
        <v>5302</v>
      </c>
      <c r="H304" s="11" t="s">
        <v>489</v>
      </c>
      <c r="I304" s="11" t="s">
        <v>384</v>
      </c>
      <c r="J304" s="278" t="s">
        <v>5523</v>
      </c>
      <c r="BD304" s="23">
        <v>42323</v>
      </c>
      <c r="BE304" s="23">
        <v>42658</v>
      </c>
      <c r="BG304" s="11" t="s">
        <v>490</v>
      </c>
      <c r="BI304" s="11" t="s">
        <v>5524</v>
      </c>
      <c r="BJ304" s="11" t="s">
        <v>5525</v>
      </c>
      <c r="BK304" s="11" t="s">
        <v>5526</v>
      </c>
      <c r="BO304" s="12" t="s">
        <v>319</v>
      </c>
      <c r="BP304" s="12" t="s">
        <v>320</v>
      </c>
      <c r="BQ304" s="12" t="s">
        <v>319</v>
      </c>
      <c r="BR304" s="11" t="s">
        <v>5527</v>
      </c>
      <c r="BS304" s="11" t="s">
        <v>357</v>
      </c>
      <c r="BT304" s="11" t="s">
        <v>5528</v>
      </c>
      <c r="BU304" s="11" t="s">
        <v>5529</v>
      </c>
      <c r="BV304" s="22">
        <v>770</v>
      </c>
      <c r="BW304" s="22">
        <v>515</v>
      </c>
      <c r="BX304" s="22">
        <v>1285</v>
      </c>
      <c r="BY304" s="22">
        <v>15297</v>
      </c>
      <c r="BZ304" s="22">
        <v>17091</v>
      </c>
      <c r="CA304" s="22">
        <v>32388</v>
      </c>
      <c r="CB304" s="15" t="s">
        <v>5530</v>
      </c>
      <c r="CL304" s="18"/>
      <c r="CP304" s="18"/>
      <c r="CT304" s="18"/>
      <c r="CX304" s="18"/>
      <c r="DB304" s="18"/>
      <c r="DF304" s="18"/>
      <c r="DJ304" s="18"/>
      <c r="DN304" s="18"/>
      <c r="DR304" s="18"/>
      <c r="DV304" s="18"/>
      <c r="DZ304" s="18"/>
      <c r="ED304" s="18"/>
      <c r="EI304" s="18"/>
      <c r="EK304" s="22">
        <v>770</v>
      </c>
      <c r="EL304" s="22">
        <v>515</v>
      </c>
      <c r="EM304" s="22">
        <v>1285</v>
      </c>
      <c r="EN304" s="22">
        <v>15297</v>
      </c>
      <c r="EO304" s="22">
        <v>17091</v>
      </c>
      <c r="EP304" s="22">
        <v>32388</v>
      </c>
      <c r="ES304" s="18"/>
      <c r="EW304" s="18"/>
      <c r="FA304" s="18"/>
      <c r="FE304" s="18"/>
      <c r="FI304" s="18"/>
      <c r="FM304" s="18"/>
      <c r="FQ304" s="18"/>
      <c r="FU304" s="18"/>
      <c r="FY304" s="18"/>
      <c r="GC304" s="18"/>
      <c r="GG304" s="18"/>
      <c r="GK304" s="18"/>
      <c r="GO304" s="18"/>
      <c r="GQ304" s="12" t="s">
        <v>320</v>
      </c>
      <c r="GR304" s="22">
        <v>1285</v>
      </c>
      <c r="GS304" s="18">
        <v>0.6</v>
      </c>
      <c r="GT304" s="22">
        <v>32388</v>
      </c>
      <c r="GW304" s="18"/>
      <c r="HA304" s="18"/>
      <c r="HF304" s="18"/>
      <c r="HH304" s="11" t="s">
        <v>319</v>
      </c>
      <c r="HK304" s="11" t="s">
        <v>319</v>
      </c>
      <c r="HL304" s="11" t="s">
        <v>319</v>
      </c>
      <c r="HP304" s="11" t="s">
        <v>330</v>
      </c>
      <c r="HZ304" s="11" t="s">
        <v>331</v>
      </c>
      <c r="IB304" s="11" t="s">
        <v>396</v>
      </c>
      <c r="ID304" s="11" t="s">
        <v>334</v>
      </c>
      <c r="IE304" s="11" t="s">
        <v>478</v>
      </c>
      <c r="IF304" s="11" t="s">
        <v>320</v>
      </c>
      <c r="IG304" s="11" t="s">
        <v>320</v>
      </c>
      <c r="IH304" s="11" t="s">
        <v>320</v>
      </c>
      <c r="II304" s="11" t="s">
        <v>320</v>
      </c>
      <c r="IJ304" s="12" t="str">
        <f t="shared" si="173"/>
        <v>4. Transformative</v>
      </c>
      <c r="IK304" s="12">
        <f t="shared" si="174"/>
        <v>4</v>
      </c>
      <c r="IL304" s="11" t="s">
        <v>336</v>
      </c>
      <c r="IM304" s="11" t="s">
        <v>319</v>
      </c>
      <c r="IN304" s="11" t="s">
        <v>320</v>
      </c>
      <c r="IO304" s="11" t="s">
        <v>320</v>
      </c>
      <c r="IP304" s="11" t="s">
        <v>319</v>
      </c>
      <c r="IQ304" s="12" t="str">
        <f t="shared" si="175"/>
        <v>1. Tokenistic</v>
      </c>
      <c r="IR304" s="12">
        <f t="shared" si="176"/>
        <v>2</v>
      </c>
      <c r="IS304" s="11" t="s">
        <v>337</v>
      </c>
      <c r="IT304" s="11" t="s">
        <v>320</v>
      </c>
      <c r="IU304" s="11" t="s">
        <v>320</v>
      </c>
      <c r="IV304" s="11" t="s">
        <v>320</v>
      </c>
      <c r="IW304" s="11" t="str">
        <f t="shared" si="177"/>
        <v>2. Sensitive</v>
      </c>
      <c r="IX304" s="12">
        <f t="shared" si="178"/>
        <v>3</v>
      </c>
      <c r="IY304" s="11" t="s">
        <v>338</v>
      </c>
      <c r="IZ304" s="11" t="s">
        <v>457</v>
      </c>
      <c r="JA304" s="11">
        <v>1</v>
      </c>
      <c r="JB304" s="11" t="s">
        <v>624</v>
      </c>
      <c r="JE304" s="11" t="s">
        <v>365</v>
      </c>
      <c r="JF304" s="11" t="s">
        <v>5531</v>
      </c>
      <c r="JG304" s="11" t="s">
        <v>5532</v>
      </c>
      <c r="JH304" s="11" t="s">
        <v>5533</v>
      </c>
      <c r="JI304" s="11" t="s">
        <v>5534</v>
      </c>
      <c r="JJ304" s="11" t="s">
        <v>5535</v>
      </c>
      <c r="JK304" s="11" t="s">
        <v>5536</v>
      </c>
      <c r="JL304" s="11" t="s">
        <v>5537</v>
      </c>
      <c r="JM304" s="11" t="s">
        <v>5538</v>
      </c>
      <c r="JN304" s="11" t="s">
        <v>5539</v>
      </c>
      <c r="JP304" s="15">
        <f t="shared" si="179"/>
        <v>1285</v>
      </c>
      <c r="JQ304" s="15">
        <f t="shared" si="180"/>
        <v>32388</v>
      </c>
      <c r="JR304" s="279">
        <f t="shared" si="181"/>
        <v>25.204669260700388</v>
      </c>
      <c r="JS304" s="17">
        <f t="shared" si="182"/>
        <v>0.59922178988326846</v>
      </c>
      <c r="JT304" s="18">
        <f t="shared" si="183"/>
        <v>0.47230455724342352</v>
      </c>
      <c r="JU304" s="280">
        <f t="shared" si="184"/>
        <v>770</v>
      </c>
      <c r="JV304" s="280">
        <f t="shared" si="185"/>
        <v>15297</v>
      </c>
      <c r="JW304" s="319" t="str">
        <f t="shared" si="186"/>
        <v/>
      </c>
      <c r="JX304" s="15">
        <f t="shared" si="187"/>
        <v>0</v>
      </c>
      <c r="JY304" s="15">
        <f t="shared" si="188"/>
        <v>0</v>
      </c>
      <c r="JZ304" s="19" t="str">
        <f t="shared" si="189"/>
        <v/>
      </c>
      <c r="KA304" s="52" t="str">
        <f t="shared" si="190"/>
        <v/>
      </c>
      <c r="KB304" s="15">
        <f t="shared" si="191"/>
        <v>0</v>
      </c>
      <c r="KC304" s="15">
        <f t="shared" si="192"/>
        <v>0</v>
      </c>
      <c r="KD304" s="20" t="str">
        <f t="shared" si="193"/>
        <v/>
      </c>
      <c r="KE304" s="52">
        <f t="shared" si="194"/>
        <v>1</v>
      </c>
      <c r="KF304" s="15">
        <f t="shared" si="195"/>
        <v>1285</v>
      </c>
      <c r="KG304" s="15">
        <f t="shared" si="196"/>
        <v>32388</v>
      </c>
      <c r="KH304" s="21">
        <f t="shared" si="197"/>
        <v>25.204669260700388</v>
      </c>
      <c r="KI304" s="52" t="str">
        <f t="shared" si="198"/>
        <v/>
      </c>
      <c r="KJ304" s="15">
        <f t="shared" si="199"/>
        <v>0</v>
      </c>
      <c r="KK304" s="15">
        <f t="shared" si="200"/>
        <v>0</v>
      </c>
      <c r="KL304" s="19" t="str">
        <f t="shared" si="201"/>
        <v/>
      </c>
      <c r="KM304" s="52" t="str">
        <f t="shared" si="202"/>
        <v/>
      </c>
      <c r="KN304" s="22">
        <f t="shared" si="203"/>
        <v>0</v>
      </c>
      <c r="KO304" s="22">
        <f t="shared" si="204"/>
        <v>0</v>
      </c>
      <c r="KP304" s="19" t="str">
        <f t="shared" si="205"/>
        <v/>
      </c>
      <c r="KQ304" s="11" t="str">
        <f t="shared" si="206"/>
        <v>4. Transformative</v>
      </c>
      <c r="KR304" s="11" t="str">
        <f t="shared" si="207"/>
        <v>1. Tokenistic</v>
      </c>
      <c r="KS304" s="11" t="str">
        <f t="shared" si="208"/>
        <v>2. Sensitive</v>
      </c>
      <c r="KT304" s="11" t="str">
        <f t="shared" si="209"/>
        <v>It tested new ways for fighting poverty and measured results of innovation</v>
      </c>
      <c r="KU304" s="11" t="str">
        <f t="shared" si="210"/>
        <v>Moderate advocacy</v>
      </c>
      <c r="KV304" s="11" t="str">
        <f t="shared" si="211"/>
        <v>It linked and worked with strategic alliances and partners to take tested and effective solutions to scale</v>
      </c>
      <c r="KW304" s="11" t="str">
        <f t="shared" si="212"/>
        <v>India - Improving Maternal Health through Engaging Family and Community</v>
      </c>
      <c r="KX304" s="11" t="str">
        <f t="shared" si="213"/>
        <v>Improving Maternal Health through Engaging Family and Community</v>
      </c>
      <c r="KY304" s="11" t="str">
        <f t="shared" si="214"/>
        <v>India</v>
      </c>
      <c r="KZ304" s="12">
        <v>304</v>
      </c>
    </row>
    <row r="305" spans="1:312" x14ac:dyDescent="0.3">
      <c r="A305" s="11" t="s">
        <v>5300</v>
      </c>
      <c r="B305" s="11" t="s">
        <v>306</v>
      </c>
      <c r="D305" s="11" t="s">
        <v>5839</v>
      </c>
      <c r="E305" s="24" t="str">
        <f t="shared" si="172"/>
        <v>India</v>
      </c>
      <c r="F305" s="11" t="s">
        <v>5840</v>
      </c>
      <c r="G305" s="11" t="s">
        <v>379</v>
      </c>
      <c r="H305" s="11" t="s">
        <v>383</v>
      </c>
      <c r="I305" s="11" t="s">
        <v>1102</v>
      </c>
      <c r="J305" s="278" t="s">
        <v>1102</v>
      </c>
      <c r="BD305" s="23">
        <v>40864</v>
      </c>
      <c r="BE305" s="23">
        <v>42460</v>
      </c>
      <c r="BF305" s="23">
        <v>42825</v>
      </c>
      <c r="BG305" s="11" t="s">
        <v>350</v>
      </c>
      <c r="BH305" s="22">
        <v>2980000</v>
      </c>
      <c r="BI305" s="11" t="s">
        <v>5706</v>
      </c>
      <c r="BJ305" s="11" t="s">
        <v>5841</v>
      </c>
      <c r="BK305" s="11" t="s">
        <v>5399</v>
      </c>
      <c r="BL305" s="11" t="s">
        <v>5708</v>
      </c>
      <c r="BM305" s="11" t="s">
        <v>5842</v>
      </c>
      <c r="BN305" s="11" t="s">
        <v>5710</v>
      </c>
      <c r="BO305" s="11" t="s">
        <v>319</v>
      </c>
      <c r="BP305" s="11" t="s">
        <v>320</v>
      </c>
      <c r="BQ305" s="11" t="s">
        <v>319</v>
      </c>
      <c r="BR305" s="11" t="s">
        <v>5843</v>
      </c>
      <c r="BS305" s="11" t="s">
        <v>357</v>
      </c>
      <c r="BT305" s="11" t="s">
        <v>5844</v>
      </c>
      <c r="BU305" s="11" t="s">
        <v>5845</v>
      </c>
      <c r="BV305" s="22">
        <v>13006</v>
      </c>
      <c r="BW305" s="22">
        <v>0</v>
      </c>
      <c r="BX305" s="22">
        <v>13006</v>
      </c>
      <c r="BY305" s="22">
        <v>26000</v>
      </c>
      <c r="BZ305" s="22">
        <v>40000</v>
      </c>
      <c r="CA305" s="22">
        <v>66000</v>
      </c>
      <c r="CB305" s="15" t="s">
        <v>5846</v>
      </c>
      <c r="CL305" s="18"/>
      <c r="CP305" s="18"/>
      <c r="CT305" s="18"/>
      <c r="CX305" s="18"/>
      <c r="DB305" s="18"/>
      <c r="DF305" s="18"/>
      <c r="DJ305" s="18"/>
      <c r="DN305" s="18"/>
      <c r="DR305" s="18"/>
      <c r="DV305" s="18"/>
      <c r="DZ305" s="18"/>
      <c r="ED305" s="18"/>
      <c r="EI305" s="18"/>
      <c r="EK305" s="22">
        <v>13006</v>
      </c>
      <c r="EL305" s="22">
        <v>0</v>
      </c>
      <c r="EM305" s="22">
        <v>13006</v>
      </c>
      <c r="EN305" s="22">
        <v>23500</v>
      </c>
      <c r="EO305" s="22">
        <v>24500</v>
      </c>
      <c r="EP305" s="22">
        <v>48000</v>
      </c>
      <c r="EQ305" s="12" t="s">
        <v>320</v>
      </c>
      <c r="ER305" s="22">
        <v>13006</v>
      </c>
      <c r="ES305" s="18">
        <v>1</v>
      </c>
      <c r="ET305" s="22">
        <v>48000</v>
      </c>
      <c r="EU305" s="11" t="s">
        <v>320</v>
      </c>
      <c r="EV305" s="22">
        <v>13006</v>
      </c>
      <c r="EW305" s="18">
        <v>1</v>
      </c>
      <c r="EX305" s="22">
        <v>48000</v>
      </c>
      <c r="FA305" s="18"/>
      <c r="FE305" s="18"/>
      <c r="FI305" s="18"/>
      <c r="FM305" s="18"/>
      <c r="FO305" s="12" t="s">
        <v>320</v>
      </c>
      <c r="FP305" s="22">
        <v>8000</v>
      </c>
      <c r="FQ305" s="18">
        <v>0.61509999999999998</v>
      </c>
      <c r="FR305" s="22">
        <v>32000</v>
      </c>
      <c r="FS305" s="12" t="s">
        <v>320</v>
      </c>
      <c r="FT305" s="22">
        <v>13006</v>
      </c>
      <c r="FU305" s="18">
        <v>1</v>
      </c>
      <c r="FV305" s="22">
        <v>48000</v>
      </c>
      <c r="FY305" s="18"/>
      <c r="GC305" s="18"/>
      <c r="GG305" s="18"/>
      <c r="GI305" s="11" t="s">
        <v>320</v>
      </c>
      <c r="GJ305" s="22">
        <v>13006</v>
      </c>
      <c r="GK305" s="18">
        <v>1</v>
      </c>
      <c r="GL305" s="22">
        <v>48000</v>
      </c>
      <c r="GM305" s="11" t="s">
        <v>320</v>
      </c>
      <c r="GN305" s="22">
        <v>8000</v>
      </c>
      <c r="GO305" s="18"/>
      <c r="GP305" s="22">
        <v>32000</v>
      </c>
      <c r="GS305" s="18"/>
      <c r="GW305" s="18"/>
      <c r="GY305" s="11" t="s">
        <v>320</v>
      </c>
      <c r="GZ305" s="22">
        <v>8000</v>
      </c>
      <c r="HA305" s="18"/>
      <c r="HB305" s="22">
        <v>32000</v>
      </c>
      <c r="HF305" s="18"/>
      <c r="HH305" s="11" t="s">
        <v>320</v>
      </c>
      <c r="HI305" s="11" t="s">
        <v>415</v>
      </c>
      <c r="HJ305" s="11">
        <v>2016</v>
      </c>
      <c r="HK305" s="11" t="s">
        <v>319</v>
      </c>
      <c r="HL305" s="11" t="s">
        <v>319</v>
      </c>
      <c r="HP305" s="11" t="s">
        <v>330</v>
      </c>
      <c r="HQ305" s="11" t="s">
        <v>319</v>
      </c>
      <c r="HR305" s="11" t="s">
        <v>319</v>
      </c>
      <c r="HS305" s="11" t="s">
        <v>320</v>
      </c>
      <c r="HT305" s="11" t="s">
        <v>319</v>
      </c>
      <c r="HU305" s="11" t="s">
        <v>319</v>
      </c>
      <c r="HV305" s="11" t="s">
        <v>320</v>
      </c>
      <c r="HW305" s="11" t="s">
        <v>319</v>
      </c>
      <c r="HX305" s="11" t="s">
        <v>320</v>
      </c>
      <c r="HY305" s="11" t="s">
        <v>5847</v>
      </c>
      <c r="HZ305" s="11" t="s">
        <v>394</v>
      </c>
      <c r="IB305" s="11" t="s">
        <v>396</v>
      </c>
      <c r="IC305" s="11" t="s">
        <v>5848</v>
      </c>
      <c r="ID305" s="11" t="s">
        <v>334</v>
      </c>
      <c r="IE305" s="11" t="s">
        <v>478</v>
      </c>
      <c r="IF305" s="11" t="s">
        <v>320</v>
      </c>
      <c r="IG305" s="11" t="s">
        <v>320</v>
      </c>
      <c r="IH305" s="11" t="s">
        <v>320</v>
      </c>
      <c r="II305" s="11" t="s">
        <v>319</v>
      </c>
      <c r="IJ305" s="12" t="str">
        <f t="shared" si="173"/>
        <v>3. Responsive</v>
      </c>
      <c r="IK305" s="12">
        <f t="shared" si="174"/>
        <v>3</v>
      </c>
      <c r="IL305" s="11" t="s">
        <v>336</v>
      </c>
      <c r="IM305" s="11" t="s">
        <v>320</v>
      </c>
      <c r="IN305" s="11" t="s">
        <v>320</v>
      </c>
      <c r="IO305" s="11" t="s">
        <v>320</v>
      </c>
      <c r="IP305" s="11" t="s">
        <v>320</v>
      </c>
      <c r="IQ305" s="12" t="str">
        <f t="shared" si="175"/>
        <v>2. Accommodating</v>
      </c>
      <c r="IR305" s="12">
        <f t="shared" si="176"/>
        <v>4</v>
      </c>
      <c r="IS305" s="11" t="s">
        <v>622</v>
      </c>
      <c r="IT305" s="11" t="s">
        <v>319</v>
      </c>
      <c r="IU305" s="11" t="s">
        <v>320</v>
      </c>
      <c r="IV305" s="11" t="s">
        <v>320</v>
      </c>
      <c r="IW305" s="11" t="str">
        <f t="shared" si="177"/>
        <v>3. Responsive</v>
      </c>
      <c r="IX305" s="12">
        <f t="shared" si="178"/>
        <v>2</v>
      </c>
      <c r="IY305" s="11" t="s">
        <v>338</v>
      </c>
      <c r="IZ305" s="11" t="s">
        <v>527</v>
      </c>
      <c r="JA305" s="11">
        <v>0</v>
      </c>
      <c r="JE305" s="11" t="s">
        <v>365</v>
      </c>
      <c r="JF305" s="11" t="s">
        <v>5849</v>
      </c>
      <c r="JH305" s="11" t="s">
        <v>5850</v>
      </c>
      <c r="JI305" s="11" t="s">
        <v>5851</v>
      </c>
      <c r="JJ305" s="11" t="s">
        <v>5852</v>
      </c>
      <c r="JK305" s="11" t="s">
        <v>5853</v>
      </c>
      <c r="JL305" s="11" t="s">
        <v>5854</v>
      </c>
      <c r="JM305" s="11" t="s">
        <v>5855</v>
      </c>
      <c r="JN305" s="11" t="s">
        <v>5856</v>
      </c>
      <c r="JP305" s="15">
        <f t="shared" si="179"/>
        <v>13006</v>
      </c>
      <c r="JQ305" s="15">
        <f t="shared" si="180"/>
        <v>48000</v>
      </c>
      <c r="JR305" s="279">
        <f t="shared" si="181"/>
        <v>3.6906043364600953</v>
      </c>
      <c r="JS305" s="17">
        <f t="shared" si="182"/>
        <v>1</v>
      </c>
      <c r="JT305" s="18">
        <f t="shared" si="183"/>
        <v>0.48958333333333331</v>
      </c>
      <c r="JU305" s="280">
        <f t="shared" si="184"/>
        <v>13006</v>
      </c>
      <c r="JV305" s="280">
        <f t="shared" si="185"/>
        <v>23500</v>
      </c>
      <c r="JW305" s="319" t="str">
        <f t="shared" si="186"/>
        <v/>
      </c>
      <c r="JX305" s="15">
        <f t="shared" si="187"/>
        <v>0</v>
      </c>
      <c r="JY305" s="15">
        <f t="shared" si="188"/>
        <v>0</v>
      </c>
      <c r="JZ305" s="19" t="str">
        <f t="shared" si="189"/>
        <v/>
      </c>
      <c r="KA305" s="52">
        <f t="shared" si="190"/>
        <v>1</v>
      </c>
      <c r="KB305" s="15">
        <f t="shared" si="191"/>
        <v>13006</v>
      </c>
      <c r="KC305" s="15">
        <f t="shared" si="192"/>
        <v>48000</v>
      </c>
      <c r="KD305" s="20">
        <f t="shared" si="193"/>
        <v>3.6906043364600953</v>
      </c>
      <c r="KE305" s="52" t="str">
        <f t="shared" si="194"/>
        <v/>
      </c>
      <c r="KF305" s="15">
        <f t="shared" si="195"/>
        <v>0</v>
      </c>
      <c r="KG305" s="15">
        <f t="shared" si="196"/>
        <v>0</v>
      </c>
      <c r="KH305" s="21" t="str">
        <f t="shared" si="197"/>
        <v/>
      </c>
      <c r="KI305" s="52">
        <f t="shared" si="198"/>
        <v>1</v>
      </c>
      <c r="KJ305" s="15">
        <f t="shared" si="199"/>
        <v>13006</v>
      </c>
      <c r="KK305" s="15">
        <f t="shared" si="200"/>
        <v>48000</v>
      </c>
      <c r="KL305" s="19">
        <f t="shared" si="201"/>
        <v>3.6906043364600953</v>
      </c>
      <c r="KM305" s="52">
        <f t="shared" si="202"/>
        <v>1</v>
      </c>
      <c r="KN305" s="22">
        <f t="shared" si="203"/>
        <v>8000</v>
      </c>
      <c r="KO305" s="22">
        <f t="shared" si="204"/>
        <v>32000</v>
      </c>
      <c r="KP305" s="19">
        <f t="shared" si="205"/>
        <v>4</v>
      </c>
      <c r="KQ305" s="11" t="str">
        <f t="shared" si="206"/>
        <v>3. Responsive</v>
      </c>
      <c r="KR305" s="11" t="str">
        <f t="shared" si="207"/>
        <v>2. Accommodating</v>
      </c>
      <c r="KS305" s="11" t="str">
        <f t="shared" si="208"/>
        <v>3. Responsive</v>
      </c>
      <c r="KT305" s="11" t="str">
        <f t="shared" si="209"/>
        <v>It tested new ways for fighting poverty, but did not measure results of innovation</v>
      </c>
      <c r="KU305" s="11" t="str">
        <f t="shared" si="210"/>
        <v>Moderate advocacy</v>
      </c>
      <c r="KV305" s="11" t="str">
        <f t="shared" si="211"/>
        <v>It linked and worked with strategic alliances and partners to take tested and effective solutions to scale</v>
      </c>
      <c r="KW305" s="11" t="str">
        <f t="shared" si="212"/>
        <v>India - Increase Women Farmers Productivity and Empowerment in more Equitable Agriculture Systems at Scale in India</v>
      </c>
      <c r="KX305" s="11" t="str">
        <f t="shared" si="213"/>
        <v>Increase Women Farmers Productivity and Empowerment in more Equitable Agriculture Systems at Scale in India</v>
      </c>
      <c r="KY305" s="11" t="str">
        <f t="shared" si="214"/>
        <v>India</v>
      </c>
      <c r="KZ305" s="12">
        <v>305</v>
      </c>
    </row>
    <row r="306" spans="1:312" x14ac:dyDescent="0.3">
      <c r="A306" s="282" t="s">
        <v>5300</v>
      </c>
      <c r="B306" s="282" t="s">
        <v>306</v>
      </c>
      <c r="C306" s="282">
        <v>3011</v>
      </c>
      <c r="D306" s="282" t="s">
        <v>5857</v>
      </c>
      <c r="E306" s="24" t="str">
        <f t="shared" si="172"/>
        <v>India</v>
      </c>
      <c r="F306" s="282" t="s">
        <v>5858</v>
      </c>
      <c r="G306" s="282" t="s">
        <v>379</v>
      </c>
      <c r="H306" s="282" t="s">
        <v>383</v>
      </c>
      <c r="I306" s="282" t="s">
        <v>1102</v>
      </c>
      <c r="J306" s="278" t="s">
        <v>1102</v>
      </c>
      <c r="K306" s="282"/>
      <c r="L306" s="282"/>
      <c r="M306" s="282"/>
      <c r="N306" s="282"/>
      <c r="O306" s="282"/>
      <c r="P306" s="282"/>
      <c r="Q306" s="282"/>
      <c r="R306" s="282"/>
      <c r="S306" s="282"/>
      <c r="T306" s="282"/>
      <c r="U306" s="282"/>
      <c r="V306" s="282"/>
      <c r="W306" s="282"/>
      <c r="X306" s="282"/>
      <c r="Y306" s="282"/>
      <c r="Z306" s="282"/>
      <c r="AA306" s="282"/>
      <c r="AB306" s="282"/>
      <c r="AC306" s="282"/>
      <c r="AD306" s="282"/>
      <c r="AE306" s="282"/>
      <c r="AF306" s="282"/>
      <c r="AG306" s="282"/>
      <c r="AH306" s="282"/>
      <c r="AI306" s="282"/>
      <c r="AJ306" s="282"/>
      <c r="AK306" s="282"/>
      <c r="AL306" s="282"/>
      <c r="AM306" s="282"/>
      <c r="AN306" s="282"/>
      <c r="AO306" s="282"/>
      <c r="AP306" s="282"/>
      <c r="AQ306" s="282"/>
      <c r="AR306" s="282"/>
      <c r="AS306" s="282"/>
      <c r="AT306" s="282"/>
      <c r="AU306" s="282"/>
      <c r="AV306" s="282"/>
      <c r="AW306" s="282"/>
      <c r="AX306" s="282"/>
      <c r="AY306" s="282"/>
      <c r="AZ306" s="282"/>
      <c r="BA306" s="282"/>
      <c r="BB306" s="282"/>
      <c r="BC306" s="282"/>
      <c r="BD306" s="283">
        <v>41964</v>
      </c>
      <c r="BE306" s="283">
        <v>42308</v>
      </c>
      <c r="BF306" s="283">
        <v>42825</v>
      </c>
      <c r="BG306" s="283" t="s">
        <v>490</v>
      </c>
      <c r="BH306" s="284">
        <v>1204212</v>
      </c>
      <c r="BI306" s="282" t="s">
        <v>5333</v>
      </c>
      <c r="BJ306" s="282" t="s">
        <v>5334</v>
      </c>
      <c r="BK306" s="282" t="s">
        <v>5335</v>
      </c>
      <c r="BL306" s="282" t="s">
        <v>5336</v>
      </c>
      <c r="BM306" s="282" t="s">
        <v>5337</v>
      </c>
      <c r="BN306" s="282" t="s">
        <v>5338</v>
      </c>
      <c r="BO306" s="282" t="s">
        <v>319</v>
      </c>
      <c r="BP306" s="282" t="s">
        <v>320</v>
      </c>
      <c r="BQ306" s="282" t="s">
        <v>319</v>
      </c>
      <c r="BR306" s="282" t="s">
        <v>5859</v>
      </c>
      <c r="BS306" s="282" t="s">
        <v>357</v>
      </c>
      <c r="BT306" s="282" t="s">
        <v>5860</v>
      </c>
      <c r="BU306" s="282" t="s">
        <v>5861</v>
      </c>
      <c r="BV306" s="284"/>
      <c r="BW306" s="284"/>
      <c r="BX306" s="284"/>
      <c r="BY306" s="284"/>
      <c r="BZ306" s="284"/>
      <c r="CA306" s="284"/>
      <c r="CB306" s="285" t="s">
        <v>14658</v>
      </c>
      <c r="CC306" s="285"/>
      <c r="CD306" s="284"/>
      <c r="CE306" s="284"/>
      <c r="CF306" s="284"/>
      <c r="CG306" s="284"/>
      <c r="CH306" s="284"/>
      <c r="CI306" s="284"/>
      <c r="CJ306" s="282"/>
      <c r="CK306" s="284"/>
      <c r="CL306" s="286"/>
      <c r="CM306" s="284"/>
      <c r="CN306" s="287"/>
      <c r="CO306" s="284"/>
      <c r="CP306" s="286"/>
      <c r="CQ306" s="284"/>
      <c r="CR306" s="282"/>
      <c r="CS306" s="284"/>
      <c r="CT306" s="286"/>
      <c r="CU306" s="284"/>
      <c r="CV306" s="289"/>
      <c r="CW306" s="290"/>
      <c r="CX306" s="291"/>
      <c r="CY306" s="290"/>
      <c r="CZ306" s="282"/>
      <c r="DA306" s="284"/>
      <c r="DB306" s="286"/>
      <c r="DC306" s="284"/>
      <c r="DD306" s="287"/>
      <c r="DE306" s="284"/>
      <c r="DF306" s="286"/>
      <c r="DG306" s="284"/>
      <c r="DH306" s="282"/>
      <c r="DI306" s="284"/>
      <c r="DJ306" s="286"/>
      <c r="DK306" s="284"/>
      <c r="DL306" s="282"/>
      <c r="DM306" s="284"/>
      <c r="DN306" s="286"/>
      <c r="DO306" s="284"/>
      <c r="DP306" s="282"/>
      <c r="DQ306" s="284"/>
      <c r="DR306" s="286"/>
      <c r="DS306" s="284"/>
      <c r="DT306" s="282"/>
      <c r="DU306" s="284"/>
      <c r="DV306" s="286"/>
      <c r="DW306" s="284"/>
      <c r="DX306" s="282"/>
      <c r="DY306" s="284"/>
      <c r="DZ306" s="286"/>
      <c r="EA306" s="284"/>
      <c r="EB306" s="282"/>
      <c r="EC306" s="284"/>
      <c r="ED306" s="286"/>
      <c r="EE306" s="284"/>
      <c r="EF306" s="285"/>
      <c r="EG306" s="287"/>
      <c r="EH306" s="284"/>
      <c r="EI306" s="286"/>
      <c r="EJ306" s="284"/>
      <c r="EK306" s="284"/>
      <c r="EL306" s="284"/>
      <c r="EM306" s="284">
        <v>0</v>
      </c>
      <c r="EN306" s="284"/>
      <c r="EO306" s="284"/>
      <c r="EP306" s="284"/>
      <c r="EQ306" s="282"/>
      <c r="ER306" s="284"/>
      <c r="ES306" s="286"/>
      <c r="ET306" s="284"/>
      <c r="EU306" s="282"/>
      <c r="EV306" s="284"/>
      <c r="EW306" s="286"/>
      <c r="EX306" s="284"/>
      <c r="EY306" s="282"/>
      <c r="EZ306" s="284"/>
      <c r="FA306" s="286"/>
      <c r="FB306" s="284"/>
      <c r="FC306" s="282"/>
      <c r="FD306" s="284"/>
      <c r="FE306" s="286"/>
      <c r="FF306" s="284"/>
      <c r="FG306" s="282"/>
      <c r="FH306" s="284"/>
      <c r="FI306" s="286"/>
      <c r="FJ306" s="284"/>
      <c r="FK306" s="282"/>
      <c r="FL306" s="284"/>
      <c r="FM306" s="286"/>
      <c r="FN306" s="284"/>
      <c r="FO306" s="289"/>
      <c r="FP306" s="300"/>
      <c r="FQ306" s="291"/>
      <c r="FR306" s="290"/>
      <c r="FS306" s="282"/>
      <c r="FT306" s="284"/>
      <c r="FU306" s="286"/>
      <c r="FV306" s="284"/>
      <c r="FW306" s="282"/>
      <c r="FX306" s="284"/>
      <c r="FY306" s="286"/>
      <c r="FZ306" s="284"/>
      <c r="GA306" s="282"/>
      <c r="GB306" s="284"/>
      <c r="GC306" s="286"/>
      <c r="GD306" s="284"/>
      <c r="GE306" s="282"/>
      <c r="GF306" s="284"/>
      <c r="GG306" s="286"/>
      <c r="GH306" s="284"/>
      <c r="GI306" s="282"/>
      <c r="GJ306" s="284"/>
      <c r="GK306" s="286"/>
      <c r="GL306" s="284"/>
      <c r="GM306" s="282"/>
      <c r="GN306" s="284"/>
      <c r="GO306" s="286"/>
      <c r="GP306" s="284"/>
      <c r="GQ306" s="282" t="s">
        <v>320</v>
      </c>
      <c r="GR306" s="284"/>
      <c r="GS306" s="286"/>
      <c r="GT306" s="284"/>
      <c r="GU306" s="282"/>
      <c r="GV306" s="284"/>
      <c r="GW306" s="286"/>
      <c r="GX306" s="284"/>
      <c r="GY306" s="282"/>
      <c r="GZ306" s="284"/>
      <c r="HA306" s="286"/>
      <c r="HB306" s="284"/>
      <c r="HC306" s="282"/>
      <c r="HD306" s="282"/>
      <c r="HE306" s="284"/>
      <c r="HF306" s="286"/>
      <c r="HG306" s="284"/>
      <c r="HH306" s="282" t="s">
        <v>320</v>
      </c>
      <c r="HI306" s="282"/>
      <c r="HJ306" s="282"/>
      <c r="HK306" s="282" t="s">
        <v>320</v>
      </c>
      <c r="HL306" s="282" t="s">
        <v>319</v>
      </c>
      <c r="HM306" s="282"/>
      <c r="HN306" s="282"/>
      <c r="HO306" s="282" t="s">
        <v>5862</v>
      </c>
      <c r="HP306" s="282" t="s">
        <v>418</v>
      </c>
      <c r="HQ306" s="282" t="s">
        <v>319</v>
      </c>
      <c r="HR306" s="282" t="s">
        <v>319</v>
      </c>
      <c r="HS306" s="282" t="s">
        <v>319</v>
      </c>
      <c r="HT306" s="282" t="s">
        <v>319</v>
      </c>
      <c r="HU306" s="282" t="s">
        <v>319</v>
      </c>
      <c r="HV306" s="282" t="s">
        <v>319</v>
      </c>
      <c r="HW306" s="282" t="s">
        <v>319</v>
      </c>
      <c r="HX306" s="282" t="s">
        <v>319</v>
      </c>
      <c r="HY306" s="282"/>
      <c r="HZ306" s="282" t="s">
        <v>394</v>
      </c>
      <c r="IA306" s="282"/>
      <c r="IB306" s="282" t="s">
        <v>396</v>
      </c>
      <c r="IC306" s="282"/>
      <c r="ID306" s="282" t="s">
        <v>364</v>
      </c>
      <c r="IE306" s="282" t="s">
        <v>335</v>
      </c>
      <c r="IF306" s="282" t="s">
        <v>320</v>
      </c>
      <c r="IG306" s="282" t="s">
        <v>320</v>
      </c>
      <c r="IH306" s="282" t="s">
        <v>320</v>
      </c>
      <c r="II306" s="282" t="s">
        <v>320</v>
      </c>
      <c r="IJ306" s="12" t="str">
        <f t="shared" si="173"/>
        <v>2. Sensitive</v>
      </c>
      <c r="IK306" s="287">
        <f t="shared" si="174"/>
        <v>4</v>
      </c>
      <c r="IL306" s="282" t="s">
        <v>336</v>
      </c>
      <c r="IM306" s="282"/>
      <c r="IN306" s="282" t="s">
        <v>320</v>
      </c>
      <c r="IO306" s="282" t="s">
        <v>320</v>
      </c>
      <c r="IP306" s="282" t="s">
        <v>320</v>
      </c>
      <c r="IQ306" s="287" t="str">
        <f t="shared" si="175"/>
        <v>2. Accommodating</v>
      </c>
      <c r="IR306" s="287">
        <f t="shared" si="176"/>
        <v>3</v>
      </c>
      <c r="IS306" s="282" t="s">
        <v>337</v>
      </c>
      <c r="IT306" s="282" t="s">
        <v>320</v>
      </c>
      <c r="IU306" s="282" t="s">
        <v>320</v>
      </c>
      <c r="IV306" s="282" t="s">
        <v>320</v>
      </c>
      <c r="IW306" s="11" t="str">
        <f t="shared" si="177"/>
        <v>2. Sensitive</v>
      </c>
      <c r="IX306" s="287">
        <f t="shared" si="178"/>
        <v>3</v>
      </c>
      <c r="IY306" s="282" t="s">
        <v>338</v>
      </c>
      <c r="IZ306" s="282" t="s">
        <v>432</v>
      </c>
      <c r="JA306" s="282"/>
      <c r="JB306" s="282" t="s">
        <v>831</v>
      </c>
      <c r="JC306" s="282" t="s">
        <v>651</v>
      </c>
      <c r="JD306" s="282" t="s">
        <v>687</v>
      </c>
      <c r="JE306" s="282" t="s">
        <v>365</v>
      </c>
      <c r="JF306" s="282"/>
      <c r="JG306" s="282"/>
      <c r="JH306" s="282"/>
      <c r="JI306" s="282"/>
      <c r="JJ306" s="282"/>
      <c r="JK306" s="282"/>
      <c r="JL306" s="282"/>
      <c r="JM306" s="282"/>
      <c r="JN306" s="282" t="s">
        <v>14659</v>
      </c>
      <c r="JO306" s="282"/>
      <c r="JP306" s="15">
        <f t="shared" si="179"/>
        <v>0</v>
      </c>
      <c r="JQ306" s="15">
        <f t="shared" si="180"/>
        <v>0</v>
      </c>
      <c r="JR306" s="279" t="str">
        <f t="shared" si="181"/>
        <v/>
      </c>
      <c r="JS306" s="17" t="str">
        <f t="shared" si="182"/>
        <v/>
      </c>
      <c r="JT306" s="18" t="str">
        <f t="shared" si="183"/>
        <v/>
      </c>
      <c r="JU306" s="280">
        <f t="shared" si="184"/>
        <v>0</v>
      </c>
      <c r="JV306" s="280">
        <f t="shared" si="185"/>
        <v>0</v>
      </c>
      <c r="JW306" s="319" t="str">
        <f t="shared" si="186"/>
        <v/>
      </c>
      <c r="JX306" s="15">
        <f t="shared" si="187"/>
        <v>0</v>
      </c>
      <c r="JY306" s="15">
        <f t="shared" si="188"/>
        <v>0</v>
      </c>
      <c r="JZ306" s="19" t="str">
        <f t="shared" si="189"/>
        <v/>
      </c>
      <c r="KA306" s="52" t="str">
        <f t="shared" si="190"/>
        <v/>
      </c>
      <c r="KB306" s="15">
        <f t="shared" si="191"/>
        <v>0</v>
      </c>
      <c r="KC306" s="15">
        <f t="shared" si="192"/>
        <v>0</v>
      </c>
      <c r="KD306" s="20" t="str">
        <f t="shared" si="193"/>
        <v/>
      </c>
      <c r="KE306" s="52">
        <f t="shared" si="194"/>
        <v>1</v>
      </c>
      <c r="KF306" s="15">
        <f t="shared" si="195"/>
        <v>0</v>
      </c>
      <c r="KG306" s="15">
        <f t="shared" si="196"/>
        <v>0</v>
      </c>
      <c r="KH306" s="21" t="str">
        <f t="shared" si="197"/>
        <v/>
      </c>
      <c r="KI306" s="52" t="str">
        <f t="shared" si="198"/>
        <v/>
      </c>
      <c r="KJ306" s="15">
        <f t="shared" si="199"/>
        <v>0</v>
      </c>
      <c r="KK306" s="15">
        <f t="shared" si="200"/>
        <v>0</v>
      </c>
      <c r="KL306" s="19" t="str">
        <f t="shared" si="201"/>
        <v/>
      </c>
      <c r="KM306" s="52" t="str">
        <f t="shared" si="202"/>
        <v/>
      </c>
      <c r="KN306" s="22">
        <f t="shared" si="203"/>
        <v>0</v>
      </c>
      <c r="KO306" s="22">
        <f t="shared" si="204"/>
        <v>0</v>
      </c>
      <c r="KP306" s="19" t="str">
        <f t="shared" si="205"/>
        <v/>
      </c>
      <c r="KQ306" s="11" t="str">
        <f t="shared" si="206"/>
        <v>2. Sensitive</v>
      </c>
      <c r="KR306" s="11" t="str">
        <f t="shared" si="207"/>
        <v>2. Accommodating</v>
      </c>
      <c r="KS306" s="11" t="str">
        <f t="shared" si="208"/>
        <v>2. Sensitive</v>
      </c>
      <c r="KT306" s="11" t="str">
        <f t="shared" si="209"/>
        <v>It tested new ways for fighting poverty, but did not measure results of innovation</v>
      </c>
      <c r="KU306" s="11" t="str">
        <f t="shared" si="210"/>
        <v>Little or no advocacy</v>
      </c>
      <c r="KV306" s="11" t="str">
        <f t="shared" si="211"/>
        <v>It linked and worked with strategic alliances and partners to take tested and effective solutions to scale</v>
      </c>
      <c r="KW306" s="11" t="str">
        <f t="shared" si="212"/>
        <v>India - Integrated Family Health Initiative (IFHI)</v>
      </c>
      <c r="KX306" s="11" t="str">
        <f t="shared" si="213"/>
        <v>Integrated Family Health Initiative (IFHI)</v>
      </c>
      <c r="KY306" s="11" t="str">
        <f t="shared" si="214"/>
        <v>India</v>
      </c>
      <c r="KZ306" s="12">
        <v>306</v>
      </c>
    </row>
    <row r="307" spans="1:312" x14ac:dyDescent="0.3">
      <c r="A307" s="11" t="s">
        <v>5300</v>
      </c>
      <c r="B307" s="11" t="s">
        <v>306</v>
      </c>
      <c r="C307" s="11">
        <v>3037</v>
      </c>
      <c r="D307" s="11" t="s">
        <v>5540</v>
      </c>
      <c r="E307" s="24" t="str">
        <f t="shared" si="172"/>
        <v>India</v>
      </c>
      <c r="F307" s="11" t="s">
        <v>5541</v>
      </c>
      <c r="G307" s="11" t="s">
        <v>5302</v>
      </c>
      <c r="H307" s="11" t="s">
        <v>383</v>
      </c>
      <c r="I307" s="11" t="s">
        <v>1102</v>
      </c>
      <c r="J307" s="278" t="s">
        <v>1102</v>
      </c>
      <c r="L307" s="11" t="s">
        <v>5302</v>
      </c>
      <c r="M307" s="11" t="s">
        <v>384</v>
      </c>
      <c r="N307" s="11" t="s">
        <v>384</v>
      </c>
      <c r="BD307" s="23">
        <v>42461</v>
      </c>
      <c r="BE307" s="23">
        <v>42735</v>
      </c>
      <c r="BF307" s="23">
        <v>42819</v>
      </c>
      <c r="BG307" s="11" t="s">
        <v>609</v>
      </c>
      <c r="BH307" s="22">
        <v>44994</v>
      </c>
      <c r="BI307" s="11" t="s">
        <v>5542</v>
      </c>
      <c r="BJ307" s="11" t="s">
        <v>5543</v>
      </c>
      <c r="BK307" s="11" t="s">
        <v>5544</v>
      </c>
      <c r="BL307" s="11" t="s">
        <v>5545</v>
      </c>
      <c r="BM307" s="11" t="s">
        <v>5546</v>
      </c>
      <c r="BN307" s="11" t="s">
        <v>5547</v>
      </c>
      <c r="BO307" s="12" t="s">
        <v>319</v>
      </c>
      <c r="BP307" s="12" t="s">
        <v>320</v>
      </c>
      <c r="BQ307" s="12" t="s">
        <v>319</v>
      </c>
      <c r="BR307" s="11" t="s">
        <v>5548</v>
      </c>
      <c r="BS307" s="11" t="s">
        <v>357</v>
      </c>
      <c r="BT307" s="11" t="s">
        <v>5549</v>
      </c>
      <c r="BU307" s="11" t="s">
        <v>5550</v>
      </c>
      <c r="CB307" s="15" t="s">
        <v>5551</v>
      </c>
      <c r="CL307" s="18"/>
      <c r="CP307" s="18"/>
      <c r="CT307" s="18"/>
      <c r="CX307" s="18"/>
      <c r="DB307" s="18"/>
      <c r="DF307" s="18"/>
      <c r="DJ307" s="18"/>
      <c r="DN307" s="18"/>
      <c r="DR307" s="18"/>
      <c r="DV307" s="18"/>
      <c r="DZ307" s="18"/>
      <c r="ED307" s="18"/>
      <c r="EI307" s="18"/>
      <c r="EK307" s="22">
        <v>480</v>
      </c>
      <c r="EL307" s="22">
        <v>400</v>
      </c>
      <c r="EM307" s="22">
        <v>880</v>
      </c>
      <c r="ES307" s="18"/>
      <c r="EW307" s="18"/>
      <c r="FA307" s="18"/>
      <c r="FE307" s="18"/>
      <c r="FI307" s="18"/>
      <c r="FM307" s="18"/>
      <c r="FQ307" s="18"/>
      <c r="FS307" s="12" t="s">
        <v>320</v>
      </c>
      <c r="FT307" s="22">
        <v>880</v>
      </c>
      <c r="FU307" s="18">
        <v>0.54</v>
      </c>
      <c r="FY307" s="18"/>
      <c r="GC307" s="18"/>
      <c r="GG307" s="18"/>
      <c r="GK307" s="18"/>
      <c r="GO307" s="18"/>
      <c r="GS307" s="18"/>
      <c r="GW307" s="18"/>
      <c r="HA307" s="18"/>
      <c r="HF307" s="18"/>
      <c r="HH307" s="11" t="s">
        <v>319</v>
      </c>
      <c r="HK307" s="11" t="s">
        <v>319</v>
      </c>
      <c r="HL307" s="11" t="s">
        <v>319</v>
      </c>
      <c r="HP307" s="11" t="s">
        <v>453</v>
      </c>
      <c r="HT307" s="11" t="s">
        <v>320</v>
      </c>
      <c r="HW307" s="11" t="s">
        <v>320</v>
      </c>
      <c r="HZ307" s="11" t="s">
        <v>394</v>
      </c>
      <c r="IA307" s="11" t="s">
        <v>5552</v>
      </c>
      <c r="IB307" s="11" t="s">
        <v>396</v>
      </c>
      <c r="IC307" s="11" t="s">
        <v>5553</v>
      </c>
      <c r="ID307" s="11" t="s">
        <v>477</v>
      </c>
      <c r="IE307" s="11" t="s">
        <v>478</v>
      </c>
      <c r="IF307" s="11" t="s">
        <v>320</v>
      </c>
      <c r="IG307" s="11" t="s">
        <v>320</v>
      </c>
      <c r="IH307" s="11" t="s">
        <v>320</v>
      </c>
      <c r="II307" s="11" t="s">
        <v>319</v>
      </c>
      <c r="IJ307" s="12" t="str">
        <f t="shared" si="173"/>
        <v>3. Responsive</v>
      </c>
      <c r="IK307" s="12">
        <f t="shared" si="174"/>
        <v>3</v>
      </c>
      <c r="IL307" s="11" t="s">
        <v>621</v>
      </c>
      <c r="IM307" s="11" t="s">
        <v>320</v>
      </c>
      <c r="IN307" s="11" t="s">
        <v>320</v>
      </c>
      <c r="IO307" s="11" t="s">
        <v>320</v>
      </c>
      <c r="IP307" s="11" t="s">
        <v>319</v>
      </c>
      <c r="IQ307" s="12" t="str">
        <f t="shared" si="175"/>
        <v>3. Responsive</v>
      </c>
      <c r="IR307" s="12">
        <f t="shared" si="176"/>
        <v>3</v>
      </c>
      <c r="IW307" s="11" t="str">
        <f t="shared" si="177"/>
        <v>No marker score</v>
      </c>
      <c r="IX307" s="12">
        <f t="shared" si="178"/>
        <v>0</v>
      </c>
      <c r="IY307" s="11" t="s">
        <v>338</v>
      </c>
      <c r="IZ307" s="11" t="s">
        <v>527</v>
      </c>
      <c r="JA307" s="11">
        <v>1</v>
      </c>
      <c r="JB307" s="11" t="s">
        <v>433</v>
      </c>
      <c r="JE307" s="11" t="s">
        <v>365</v>
      </c>
      <c r="JF307" s="11" t="s">
        <v>5554</v>
      </c>
      <c r="JG307" s="11" t="s">
        <v>5555</v>
      </c>
      <c r="JH307" s="11" t="s">
        <v>5556</v>
      </c>
      <c r="JI307" s="11" t="s">
        <v>5557</v>
      </c>
      <c r="JJ307" s="11" t="s">
        <v>5558</v>
      </c>
      <c r="JK307" s="11" t="s">
        <v>5559</v>
      </c>
      <c r="JL307" s="11" t="s">
        <v>5560</v>
      </c>
      <c r="JM307" s="11" t="s">
        <v>5561</v>
      </c>
      <c r="JN307" s="11" t="s">
        <v>5562</v>
      </c>
      <c r="JO307" s="11" t="s">
        <v>5563</v>
      </c>
      <c r="JP307" s="15">
        <f t="shared" si="179"/>
        <v>880</v>
      </c>
      <c r="JQ307" s="15">
        <f t="shared" si="180"/>
        <v>0</v>
      </c>
      <c r="JR307" s="279">
        <f t="shared" si="181"/>
        <v>0</v>
      </c>
      <c r="JS307" s="17">
        <f t="shared" si="182"/>
        <v>0.54545454545454541</v>
      </c>
      <c r="JT307" s="18" t="str">
        <f t="shared" si="183"/>
        <v/>
      </c>
      <c r="JU307" s="280">
        <f t="shared" si="184"/>
        <v>480</v>
      </c>
      <c r="JV307" s="280">
        <f t="shared" si="185"/>
        <v>0</v>
      </c>
      <c r="JW307" s="319" t="str">
        <f t="shared" si="186"/>
        <v/>
      </c>
      <c r="JX307" s="15">
        <f t="shared" si="187"/>
        <v>0</v>
      </c>
      <c r="JY307" s="15">
        <f t="shared" si="188"/>
        <v>0</v>
      </c>
      <c r="JZ307" s="19" t="str">
        <f t="shared" si="189"/>
        <v/>
      </c>
      <c r="KA307" s="52" t="str">
        <f t="shared" si="190"/>
        <v/>
      </c>
      <c r="KB307" s="15">
        <f t="shared" si="191"/>
        <v>0</v>
      </c>
      <c r="KC307" s="15">
        <f t="shared" si="192"/>
        <v>0</v>
      </c>
      <c r="KD307" s="20" t="str">
        <f t="shared" si="193"/>
        <v/>
      </c>
      <c r="KE307" s="52" t="str">
        <f t="shared" si="194"/>
        <v/>
      </c>
      <c r="KF307" s="15">
        <f t="shared" si="195"/>
        <v>0</v>
      </c>
      <c r="KG307" s="15">
        <f t="shared" si="196"/>
        <v>0</v>
      </c>
      <c r="KH307" s="21" t="str">
        <f t="shared" si="197"/>
        <v/>
      </c>
      <c r="KI307" s="52">
        <f t="shared" si="198"/>
        <v>1</v>
      </c>
      <c r="KJ307" s="15">
        <f t="shared" si="199"/>
        <v>880</v>
      </c>
      <c r="KK307" s="15">
        <f t="shared" si="200"/>
        <v>0</v>
      </c>
      <c r="KL307" s="19">
        <f t="shared" si="201"/>
        <v>0</v>
      </c>
      <c r="KM307" s="52" t="str">
        <f t="shared" si="202"/>
        <v/>
      </c>
      <c r="KN307" s="22">
        <f t="shared" si="203"/>
        <v>0</v>
      </c>
      <c r="KO307" s="22">
        <f t="shared" si="204"/>
        <v>0</v>
      </c>
      <c r="KP307" s="19" t="str">
        <f t="shared" si="205"/>
        <v/>
      </c>
      <c r="KQ307" s="11" t="str">
        <f t="shared" si="206"/>
        <v>3. Responsive</v>
      </c>
      <c r="KR307" s="11" t="str">
        <f t="shared" si="207"/>
        <v>3. Responsive</v>
      </c>
      <c r="KS307" s="11" t="str">
        <f t="shared" si="208"/>
        <v>No marker score</v>
      </c>
      <c r="KT307" s="11" t="str">
        <f t="shared" si="209"/>
        <v>It tested new ways for fighting poverty, but did not measure results of innovation</v>
      </c>
      <c r="KU307" s="11" t="str">
        <f t="shared" si="210"/>
        <v>Intensive advocacy</v>
      </c>
      <c r="KV307" s="11" t="str">
        <f t="shared" si="211"/>
        <v>It linked and worked with strategic alliances and partners to take tested and effective solutions to scale</v>
      </c>
      <c r="KW307" s="11" t="str">
        <f t="shared" si="212"/>
        <v>India - Justice for Domestic Violence Survivor in India</v>
      </c>
      <c r="KX307" s="11" t="str">
        <f t="shared" si="213"/>
        <v>Justice for Domestic Violence Survivor in India</v>
      </c>
      <c r="KY307" s="11" t="str">
        <f t="shared" si="214"/>
        <v>India</v>
      </c>
      <c r="KZ307" s="12">
        <v>307</v>
      </c>
    </row>
    <row r="308" spans="1:312" x14ac:dyDescent="0.3">
      <c r="A308" s="11" t="s">
        <v>5300</v>
      </c>
      <c r="B308" s="11" t="s">
        <v>306</v>
      </c>
      <c r="D308" s="11" t="s">
        <v>5301</v>
      </c>
      <c r="E308" s="24" t="str">
        <f t="shared" si="172"/>
        <v>India</v>
      </c>
      <c r="G308" s="11" t="s">
        <v>5302</v>
      </c>
      <c r="H308" s="11" t="s">
        <v>489</v>
      </c>
      <c r="I308" s="11" t="s">
        <v>384</v>
      </c>
      <c r="J308" s="278" t="s">
        <v>14660</v>
      </c>
      <c r="BD308" s="23">
        <v>42826</v>
      </c>
      <c r="BE308" s="23">
        <v>43921</v>
      </c>
      <c r="BG308" s="11" t="s">
        <v>312</v>
      </c>
      <c r="BH308" s="22">
        <v>1504293</v>
      </c>
      <c r="BI308" s="11" t="s">
        <v>5303</v>
      </c>
      <c r="BJ308" s="11" t="s">
        <v>5304</v>
      </c>
      <c r="BK308" s="11" t="s">
        <v>5305</v>
      </c>
      <c r="BL308" s="11" t="s">
        <v>5306</v>
      </c>
      <c r="BM308" s="11" t="s">
        <v>5307</v>
      </c>
      <c r="BN308" s="11" t="s">
        <v>5308</v>
      </c>
      <c r="BO308" s="11" t="s">
        <v>319</v>
      </c>
      <c r="BP308" s="11" t="s">
        <v>320</v>
      </c>
      <c r="BQ308" s="11" t="s">
        <v>319</v>
      </c>
      <c r="BR308" s="11" t="s">
        <v>5309</v>
      </c>
      <c r="BS308" s="11" t="s">
        <v>357</v>
      </c>
      <c r="BT308" s="11" t="s">
        <v>5310</v>
      </c>
      <c r="BU308" s="11" t="s">
        <v>5311</v>
      </c>
      <c r="BV308" s="22">
        <v>27196</v>
      </c>
      <c r="BW308" s="22">
        <v>11740</v>
      </c>
      <c r="BX308" s="22">
        <v>39836</v>
      </c>
      <c r="BY308" s="22">
        <v>54392</v>
      </c>
      <c r="BZ308" s="22">
        <v>23480</v>
      </c>
      <c r="CA308" s="22">
        <v>77872</v>
      </c>
      <c r="CB308" s="15" t="s">
        <v>5312</v>
      </c>
      <c r="CL308" s="18"/>
      <c r="CP308" s="18"/>
      <c r="CT308" s="18"/>
      <c r="CX308" s="18"/>
      <c r="DB308" s="18"/>
      <c r="DF308" s="18"/>
      <c r="DJ308" s="18"/>
      <c r="DN308" s="18"/>
      <c r="DR308" s="18"/>
      <c r="DV308" s="18"/>
      <c r="DZ308" s="18"/>
      <c r="ED308" s="18"/>
      <c r="EI308" s="18"/>
      <c r="ES308" s="18"/>
      <c r="EW308" s="18"/>
      <c r="FA308" s="18"/>
      <c r="FE308" s="18"/>
      <c r="FI308" s="18"/>
      <c r="FM308" s="18"/>
      <c r="FQ308" s="18"/>
      <c r="FU308" s="18"/>
      <c r="FY308" s="18"/>
      <c r="GC308" s="18"/>
      <c r="GG308" s="18"/>
      <c r="GK308" s="18"/>
      <c r="GO308" s="18"/>
      <c r="GS308" s="18"/>
      <c r="GW308" s="18"/>
      <c r="HA308" s="18"/>
      <c r="HF308" s="18"/>
      <c r="HH308" s="11" t="s">
        <v>319</v>
      </c>
      <c r="HL308" s="11" t="s">
        <v>320</v>
      </c>
      <c r="HM308" s="11" t="s">
        <v>361</v>
      </c>
      <c r="HN308" s="11">
        <v>2017</v>
      </c>
      <c r="IJ308" s="12" t="str">
        <f t="shared" si="173"/>
        <v>No marker score</v>
      </c>
      <c r="IK308" s="12">
        <f t="shared" si="174"/>
        <v>0</v>
      </c>
      <c r="IQ308" s="12" t="str">
        <f t="shared" si="175"/>
        <v>No marker score</v>
      </c>
      <c r="IR308" s="12">
        <f t="shared" si="176"/>
        <v>0</v>
      </c>
      <c r="IW308" s="11" t="str">
        <f t="shared" si="177"/>
        <v>No marker score</v>
      </c>
      <c r="IX308" s="12">
        <f t="shared" si="178"/>
        <v>0</v>
      </c>
      <c r="JG308" s="11" t="s">
        <v>5313</v>
      </c>
      <c r="JP308" s="15">
        <f t="shared" si="179"/>
        <v>0</v>
      </c>
      <c r="JQ308" s="15">
        <f t="shared" si="180"/>
        <v>0</v>
      </c>
      <c r="JR308" s="279" t="str">
        <f t="shared" si="181"/>
        <v/>
      </c>
      <c r="JS308" s="17" t="str">
        <f t="shared" si="182"/>
        <v/>
      </c>
      <c r="JT308" s="18" t="str">
        <f t="shared" si="183"/>
        <v/>
      </c>
      <c r="JU308" s="280">
        <f t="shared" si="184"/>
        <v>0</v>
      </c>
      <c r="JV308" s="280">
        <f t="shared" si="185"/>
        <v>0</v>
      </c>
      <c r="JW308" s="319" t="str">
        <f t="shared" si="186"/>
        <v/>
      </c>
      <c r="JX308" s="15">
        <f t="shared" si="187"/>
        <v>0</v>
      </c>
      <c r="JY308" s="15">
        <f t="shared" si="188"/>
        <v>0</v>
      </c>
      <c r="JZ308" s="19" t="str">
        <f t="shared" si="189"/>
        <v/>
      </c>
      <c r="KA308" s="52" t="str">
        <f t="shared" si="190"/>
        <v/>
      </c>
      <c r="KB308" s="15">
        <f t="shared" si="191"/>
        <v>0</v>
      </c>
      <c r="KC308" s="15">
        <f t="shared" si="192"/>
        <v>0</v>
      </c>
      <c r="KD308" s="20" t="str">
        <f t="shared" si="193"/>
        <v/>
      </c>
      <c r="KE308" s="52" t="str">
        <f t="shared" si="194"/>
        <v/>
      </c>
      <c r="KF308" s="15">
        <f t="shared" si="195"/>
        <v>0</v>
      </c>
      <c r="KG308" s="15">
        <f t="shared" si="196"/>
        <v>0</v>
      </c>
      <c r="KH308" s="21" t="str">
        <f t="shared" si="197"/>
        <v/>
      </c>
      <c r="KI308" s="52" t="str">
        <f t="shared" si="198"/>
        <v/>
      </c>
      <c r="KJ308" s="15">
        <f t="shared" si="199"/>
        <v>0</v>
      </c>
      <c r="KK308" s="15">
        <f t="shared" si="200"/>
        <v>0</v>
      </c>
      <c r="KL308" s="19" t="str">
        <f t="shared" si="201"/>
        <v/>
      </c>
      <c r="KM308" s="52" t="str">
        <f t="shared" si="202"/>
        <v/>
      </c>
      <c r="KN308" s="22">
        <f t="shared" si="203"/>
        <v>0</v>
      </c>
      <c r="KO308" s="22">
        <f t="shared" si="204"/>
        <v>0</v>
      </c>
      <c r="KP308" s="19" t="str">
        <f t="shared" si="205"/>
        <v/>
      </c>
      <c r="KQ308" s="11" t="str">
        <f t="shared" si="206"/>
        <v>No marker score</v>
      </c>
      <c r="KR308" s="11" t="str">
        <f t="shared" si="207"/>
        <v>No marker score</v>
      </c>
      <c r="KS308" s="11" t="str">
        <f t="shared" si="208"/>
        <v>No marker score</v>
      </c>
      <c r="KT308" s="11">
        <f t="shared" si="209"/>
        <v>0</v>
      </c>
      <c r="KU308" s="11">
        <f t="shared" si="210"/>
        <v>0</v>
      </c>
      <c r="KV308" s="11">
        <f t="shared" si="211"/>
        <v>0</v>
      </c>
      <c r="KW308" s="11" t="str">
        <f t="shared" si="212"/>
        <v>India - KHUSHI (Chittorgarh)</v>
      </c>
      <c r="KX308" s="11" t="str">
        <f t="shared" si="213"/>
        <v>KHUSHI (Chittorgarh)</v>
      </c>
      <c r="KY308" s="11" t="str">
        <f t="shared" si="214"/>
        <v>India</v>
      </c>
      <c r="KZ308" s="12">
        <v>308</v>
      </c>
    </row>
    <row r="309" spans="1:312" x14ac:dyDescent="0.3">
      <c r="A309" s="11" t="s">
        <v>5300</v>
      </c>
      <c r="B309" s="11" t="s">
        <v>306</v>
      </c>
      <c r="C309" s="11">
        <v>3012</v>
      </c>
      <c r="D309" s="11" t="s">
        <v>5564</v>
      </c>
      <c r="E309" s="24" t="str">
        <f t="shared" si="172"/>
        <v>India</v>
      </c>
      <c r="F309" s="11" t="s">
        <v>5565</v>
      </c>
      <c r="G309" s="11" t="s">
        <v>5302</v>
      </c>
      <c r="H309" s="11" t="s">
        <v>489</v>
      </c>
      <c r="I309" s="11" t="s">
        <v>384</v>
      </c>
      <c r="J309" s="278" t="s">
        <v>14660</v>
      </c>
      <c r="BD309" s="23">
        <v>42461</v>
      </c>
      <c r="BE309" s="23">
        <v>43921</v>
      </c>
      <c r="BF309" s="23">
        <v>43343</v>
      </c>
      <c r="BG309" s="11" t="s">
        <v>312</v>
      </c>
      <c r="BH309" s="22">
        <v>1350477</v>
      </c>
      <c r="BI309" s="11" t="s">
        <v>5303</v>
      </c>
      <c r="BJ309" s="11" t="s">
        <v>5304</v>
      </c>
      <c r="BK309" s="11" t="s">
        <v>5305</v>
      </c>
      <c r="BL309" s="11" t="s">
        <v>5306</v>
      </c>
      <c r="BM309" s="11" t="s">
        <v>5307</v>
      </c>
      <c r="BN309" s="11" t="s">
        <v>5308</v>
      </c>
      <c r="BO309" s="12" t="s">
        <v>319</v>
      </c>
      <c r="BP309" s="12" t="s">
        <v>320</v>
      </c>
      <c r="BQ309" s="12" t="s">
        <v>319</v>
      </c>
      <c r="BR309" s="11" t="s">
        <v>5566</v>
      </c>
      <c r="BS309" s="11" t="s">
        <v>357</v>
      </c>
      <c r="BT309" s="11" t="s">
        <v>5567</v>
      </c>
      <c r="BU309" s="11" t="s">
        <v>5311</v>
      </c>
      <c r="BV309" s="22">
        <v>78787</v>
      </c>
      <c r="BW309" s="22">
        <v>8000</v>
      </c>
      <c r="BX309" s="22">
        <v>86787</v>
      </c>
      <c r="BY309" s="22">
        <v>148381</v>
      </c>
      <c r="BZ309" s="22">
        <v>73926</v>
      </c>
      <c r="CA309" s="22">
        <v>222307</v>
      </c>
      <c r="CB309" s="15" t="s">
        <v>5568</v>
      </c>
      <c r="CL309" s="18"/>
      <c r="CP309" s="18"/>
      <c r="CT309" s="18"/>
      <c r="CX309" s="18"/>
      <c r="DB309" s="18"/>
      <c r="DF309" s="18"/>
      <c r="DJ309" s="18"/>
      <c r="DN309" s="18"/>
      <c r="DR309" s="18"/>
      <c r="DV309" s="18"/>
      <c r="DZ309" s="18"/>
      <c r="ED309" s="18"/>
      <c r="EI309" s="18"/>
      <c r="EK309" s="22">
        <v>7718</v>
      </c>
      <c r="EL309" s="22">
        <v>5714</v>
      </c>
      <c r="EM309" s="22">
        <v>13432</v>
      </c>
      <c r="EN309" s="22">
        <v>9436</v>
      </c>
      <c r="EO309" s="22">
        <v>11428</v>
      </c>
      <c r="EP309" s="22">
        <v>20864</v>
      </c>
      <c r="ES309" s="18"/>
      <c r="EW309" s="18"/>
      <c r="FA309" s="18"/>
      <c r="FE309" s="18"/>
      <c r="FI309" s="18"/>
      <c r="FK309" s="12" t="s">
        <v>320</v>
      </c>
      <c r="FL309" s="22">
        <v>10432</v>
      </c>
      <c r="FM309" s="18">
        <v>0.57450000000000001</v>
      </c>
      <c r="FN309" s="22">
        <v>20864</v>
      </c>
      <c r="FQ309" s="18"/>
      <c r="FU309" s="18"/>
      <c r="FW309" s="11" t="s">
        <v>320</v>
      </c>
      <c r="FX309" s="22">
        <v>3000</v>
      </c>
      <c r="FY309" s="18">
        <v>0.5</v>
      </c>
      <c r="FZ309" s="22">
        <v>20864</v>
      </c>
      <c r="GC309" s="18"/>
      <c r="GG309" s="18"/>
      <c r="GK309" s="18"/>
      <c r="GO309" s="18"/>
      <c r="GQ309" s="12" t="s">
        <v>320</v>
      </c>
      <c r="GR309" s="22">
        <v>3000</v>
      </c>
      <c r="GS309" s="18">
        <v>0.5</v>
      </c>
      <c r="GT309" s="22">
        <v>20864</v>
      </c>
      <c r="GW309" s="18"/>
      <c r="HA309" s="18"/>
      <c r="HF309" s="18"/>
      <c r="HH309" s="11" t="s">
        <v>320</v>
      </c>
      <c r="HI309" s="11" t="s">
        <v>361</v>
      </c>
      <c r="HJ309" s="11">
        <v>2016</v>
      </c>
      <c r="HK309" s="11" t="s">
        <v>319</v>
      </c>
      <c r="HL309" s="11" t="s">
        <v>319</v>
      </c>
      <c r="HP309" s="11" t="s">
        <v>418</v>
      </c>
      <c r="HQ309" s="11" t="s">
        <v>319</v>
      </c>
      <c r="HS309" s="11" t="s">
        <v>320</v>
      </c>
      <c r="HT309" s="11" t="s">
        <v>320</v>
      </c>
      <c r="HZ309" s="11" t="s">
        <v>363</v>
      </c>
      <c r="IB309" s="11" t="s">
        <v>333</v>
      </c>
      <c r="ID309" s="11" t="s">
        <v>364</v>
      </c>
      <c r="IE309" s="11" t="s">
        <v>335</v>
      </c>
      <c r="IF309" s="11" t="s">
        <v>320</v>
      </c>
      <c r="IG309" s="11" t="s">
        <v>320</v>
      </c>
      <c r="IH309" s="11" t="s">
        <v>320</v>
      </c>
      <c r="II309" s="11" t="s">
        <v>320</v>
      </c>
      <c r="IJ309" s="12" t="str">
        <f t="shared" si="173"/>
        <v>2. Sensitive</v>
      </c>
      <c r="IK309" s="12">
        <f t="shared" si="174"/>
        <v>4</v>
      </c>
      <c r="IL309" s="11" t="s">
        <v>723</v>
      </c>
      <c r="IM309" s="11" t="s">
        <v>320</v>
      </c>
      <c r="IN309" s="11" t="s">
        <v>320</v>
      </c>
      <c r="IO309" s="11" t="s">
        <v>319</v>
      </c>
      <c r="IP309" s="11" t="s">
        <v>319</v>
      </c>
      <c r="IQ309" s="12" t="str">
        <f t="shared" si="175"/>
        <v>0. Unaware</v>
      </c>
      <c r="IR309" s="12">
        <f t="shared" si="176"/>
        <v>2</v>
      </c>
      <c r="IS309" s="11" t="s">
        <v>337</v>
      </c>
      <c r="IT309" s="11" t="s">
        <v>320</v>
      </c>
      <c r="IU309" s="11" t="s">
        <v>319</v>
      </c>
      <c r="IV309" s="11" t="s">
        <v>320</v>
      </c>
      <c r="IW309" s="11" t="str">
        <f t="shared" si="177"/>
        <v>1. Neutral</v>
      </c>
      <c r="IX309" s="12">
        <f t="shared" si="178"/>
        <v>2</v>
      </c>
      <c r="IY309" s="11" t="s">
        <v>338</v>
      </c>
      <c r="IZ309" s="11" t="s">
        <v>457</v>
      </c>
      <c r="JA309" s="11">
        <v>1</v>
      </c>
      <c r="JB309" s="11" t="s">
        <v>433</v>
      </c>
      <c r="JE309" s="11" t="s">
        <v>420</v>
      </c>
      <c r="JG309" s="11" t="s">
        <v>5569</v>
      </c>
      <c r="JH309" s="11" t="s">
        <v>5570</v>
      </c>
      <c r="JI309" s="11" t="s">
        <v>5571</v>
      </c>
      <c r="JJ309" s="11" t="s">
        <v>5572</v>
      </c>
      <c r="JK309" s="11" t="s">
        <v>5573</v>
      </c>
      <c r="JL309" s="11" t="s">
        <v>5574</v>
      </c>
      <c r="JM309" s="11" t="s">
        <v>5575</v>
      </c>
      <c r="JO309" s="11" t="s">
        <v>5576</v>
      </c>
      <c r="JP309" s="15">
        <f t="shared" si="179"/>
        <v>13432</v>
      </c>
      <c r="JQ309" s="15">
        <f t="shared" si="180"/>
        <v>20864</v>
      </c>
      <c r="JR309" s="279">
        <f t="shared" si="181"/>
        <v>1.5533055390113162</v>
      </c>
      <c r="JS309" s="17">
        <f t="shared" si="182"/>
        <v>0.57459797498511023</v>
      </c>
      <c r="JT309" s="18">
        <f t="shared" si="183"/>
        <v>0.45226226993865032</v>
      </c>
      <c r="JU309" s="280">
        <f t="shared" si="184"/>
        <v>7718</v>
      </c>
      <c r="JV309" s="280">
        <f t="shared" si="185"/>
        <v>9436</v>
      </c>
      <c r="JW309" s="319" t="str">
        <f t="shared" si="186"/>
        <v/>
      </c>
      <c r="JX309" s="15">
        <f t="shared" si="187"/>
        <v>0</v>
      </c>
      <c r="JY309" s="15">
        <f t="shared" si="188"/>
        <v>0</v>
      </c>
      <c r="JZ309" s="19" t="str">
        <f t="shared" si="189"/>
        <v/>
      </c>
      <c r="KA309" s="52" t="str">
        <f t="shared" si="190"/>
        <v/>
      </c>
      <c r="KB309" s="15">
        <f t="shared" si="191"/>
        <v>0</v>
      </c>
      <c r="KC309" s="15">
        <f t="shared" si="192"/>
        <v>0</v>
      </c>
      <c r="KD309" s="20" t="str">
        <f t="shared" si="193"/>
        <v/>
      </c>
      <c r="KE309" s="52">
        <f t="shared" si="194"/>
        <v>1</v>
      </c>
      <c r="KF309" s="15">
        <f t="shared" si="195"/>
        <v>3000</v>
      </c>
      <c r="KG309" s="15">
        <f t="shared" si="196"/>
        <v>20864</v>
      </c>
      <c r="KH309" s="21">
        <f t="shared" si="197"/>
        <v>6.9546666666666663</v>
      </c>
      <c r="KI309" s="52" t="str">
        <f t="shared" si="198"/>
        <v/>
      </c>
      <c r="KJ309" s="15">
        <f t="shared" si="199"/>
        <v>0</v>
      </c>
      <c r="KK309" s="15">
        <f t="shared" si="200"/>
        <v>0</v>
      </c>
      <c r="KL309" s="19" t="str">
        <f t="shared" si="201"/>
        <v/>
      </c>
      <c r="KM309" s="52" t="str">
        <f t="shared" si="202"/>
        <v/>
      </c>
      <c r="KN309" s="22">
        <f t="shared" si="203"/>
        <v>0</v>
      </c>
      <c r="KO309" s="22">
        <f t="shared" si="204"/>
        <v>0</v>
      </c>
      <c r="KP309" s="19" t="str">
        <f t="shared" si="205"/>
        <v/>
      </c>
      <c r="KQ309" s="11" t="str">
        <f t="shared" si="206"/>
        <v>2. Sensitive</v>
      </c>
      <c r="KR309" s="11" t="str">
        <f t="shared" si="207"/>
        <v>0. Unaware</v>
      </c>
      <c r="KS309" s="11" t="str">
        <f t="shared" si="208"/>
        <v>1. Neutral</v>
      </c>
      <c r="KT309" s="11" t="str">
        <f t="shared" si="209"/>
        <v>It did not develop any specific innovation</v>
      </c>
      <c r="KU309" s="11" t="str">
        <f t="shared" si="210"/>
        <v>Little or no advocacy</v>
      </c>
      <c r="KV309" s="11" t="str">
        <f t="shared" si="211"/>
        <v>It did not take tested solutions to scale</v>
      </c>
      <c r="KW309" s="11" t="str">
        <f t="shared" si="212"/>
        <v>India - KHUSHI-Bhilwara</v>
      </c>
      <c r="KX309" s="11" t="str">
        <f t="shared" si="213"/>
        <v>KHUSHI-Bhilwara</v>
      </c>
      <c r="KY309" s="11" t="str">
        <f t="shared" si="214"/>
        <v>India</v>
      </c>
      <c r="KZ309" s="287">
        <v>309</v>
      </c>
    </row>
    <row r="310" spans="1:312" x14ac:dyDescent="0.3">
      <c r="A310" s="282" t="s">
        <v>5300</v>
      </c>
      <c r="B310" s="282" t="s">
        <v>306</v>
      </c>
      <c r="C310" s="282">
        <v>3022</v>
      </c>
      <c r="D310" s="282" t="s">
        <v>5863</v>
      </c>
      <c r="E310" s="24" t="str">
        <f t="shared" si="172"/>
        <v>India</v>
      </c>
      <c r="F310" s="282" t="s">
        <v>5864</v>
      </c>
      <c r="G310" s="282" t="s">
        <v>379</v>
      </c>
      <c r="H310" s="282" t="s">
        <v>383</v>
      </c>
      <c r="I310" s="282" t="s">
        <v>1102</v>
      </c>
      <c r="J310" s="278" t="s">
        <v>1102</v>
      </c>
      <c r="K310" s="282"/>
      <c r="L310" s="282"/>
      <c r="M310" s="282"/>
      <c r="N310" s="282"/>
      <c r="O310" s="282"/>
      <c r="P310" s="282"/>
      <c r="Q310" s="282"/>
      <c r="R310" s="282"/>
      <c r="S310" s="282"/>
      <c r="T310" s="282"/>
      <c r="U310" s="282"/>
      <c r="V310" s="282"/>
      <c r="W310" s="282"/>
      <c r="X310" s="282"/>
      <c r="Y310" s="282"/>
      <c r="Z310" s="282"/>
      <c r="AA310" s="282"/>
      <c r="AB310" s="282"/>
      <c r="AC310" s="282"/>
      <c r="AD310" s="282"/>
      <c r="AE310" s="282"/>
      <c r="AF310" s="282"/>
      <c r="AG310" s="282"/>
      <c r="AH310" s="282"/>
      <c r="AI310" s="282"/>
      <c r="AJ310" s="282"/>
      <c r="AK310" s="282"/>
      <c r="AL310" s="282"/>
      <c r="AM310" s="282"/>
      <c r="AN310" s="282"/>
      <c r="AO310" s="282"/>
      <c r="AP310" s="282"/>
      <c r="AQ310" s="282"/>
      <c r="AR310" s="282"/>
      <c r="AS310" s="282"/>
      <c r="AT310" s="282"/>
      <c r="AU310" s="282"/>
      <c r="AV310" s="282"/>
      <c r="AW310" s="282"/>
      <c r="AX310" s="282"/>
      <c r="AY310" s="282"/>
      <c r="AZ310" s="282"/>
      <c r="BA310" s="282"/>
      <c r="BB310" s="282"/>
      <c r="BC310" s="282"/>
      <c r="BD310" s="283">
        <v>41964</v>
      </c>
      <c r="BE310" s="283">
        <v>42308</v>
      </c>
      <c r="BF310" s="283">
        <v>43100</v>
      </c>
      <c r="BG310" s="283" t="s">
        <v>490</v>
      </c>
      <c r="BH310" s="284">
        <v>999580</v>
      </c>
      <c r="BI310" s="282" t="s">
        <v>5333</v>
      </c>
      <c r="BJ310" s="282" t="s">
        <v>5334</v>
      </c>
      <c r="BK310" s="282" t="s">
        <v>5335</v>
      </c>
      <c r="BL310" s="282" t="s">
        <v>5336</v>
      </c>
      <c r="BM310" s="282" t="s">
        <v>5337</v>
      </c>
      <c r="BN310" s="282" t="s">
        <v>5338</v>
      </c>
      <c r="BO310" s="11" t="s">
        <v>319</v>
      </c>
      <c r="BP310" s="11" t="s">
        <v>320</v>
      </c>
      <c r="BQ310" s="11" t="s">
        <v>319</v>
      </c>
      <c r="BR310" s="282" t="s">
        <v>5865</v>
      </c>
      <c r="BS310" s="282" t="s">
        <v>357</v>
      </c>
      <c r="BT310" s="282" t="s">
        <v>5866</v>
      </c>
      <c r="BU310" s="282" t="s">
        <v>5867</v>
      </c>
      <c r="BV310" s="284">
        <v>1028455</v>
      </c>
      <c r="BW310" s="284">
        <v>317915</v>
      </c>
      <c r="BX310" s="284">
        <v>1346370</v>
      </c>
      <c r="BY310" s="284">
        <v>19715376</v>
      </c>
      <c r="BZ310" s="284">
        <v>21313920</v>
      </c>
      <c r="CA310" s="284">
        <v>41029296</v>
      </c>
      <c r="CB310" s="285" t="s">
        <v>14661</v>
      </c>
      <c r="CC310" s="285"/>
      <c r="CD310" s="284"/>
      <c r="CE310" s="284"/>
      <c r="CF310" s="284"/>
      <c r="CG310" s="284"/>
      <c r="CH310" s="284"/>
      <c r="CI310" s="284"/>
      <c r="CJ310" s="282"/>
      <c r="CK310" s="284"/>
      <c r="CL310" s="286"/>
      <c r="CM310" s="284"/>
      <c r="CN310" s="287"/>
      <c r="CO310" s="284"/>
      <c r="CP310" s="286"/>
      <c r="CQ310" s="284"/>
      <c r="CR310" s="282"/>
      <c r="CS310" s="284"/>
      <c r="CT310" s="286"/>
      <c r="CU310" s="284"/>
      <c r="CV310" s="289"/>
      <c r="CW310" s="290"/>
      <c r="CX310" s="291"/>
      <c r="CY310" s="290"/>
      <c r="CZ310" s="282"/>
      <c r="DA310" s="284"/>
      <c r="DB310" s="286"/>
      <c r="DC310" s="284"/>
      <c r="DD310" s="287"/>
      <c r="DE310" s="284"/>
      <c r="DF310" s="286"/>
      <c r="DG310" s="284"/>
      <c r="DH310" s="282"/>
      <c r="DI310" s="284"/>
      <c r="DJ310" s="286"/>
      <c r="DK310" s="284"/>
      <c r="DL310" s="282"/>
      <c r="DM310" s="284"/>
      <c r="DN310" s="286"/>
      <c r="DO310" s="284"/>
      <c r="DP310" s="282"/>
      <c r="DQ310" s="284"/>
      <c r="DR310" s="286"/>
      <c r="DS310" s="284"/>
      <c r="DT310" s="282"/>
      <c r="DU310" s="284"/>
      <c r="DV310" s="286"/>
      <c r="DW310" s="284"/>
      <c r="DX310" s="282"/>
      <c r="DY310" s="284"/>
      <c r="DZ310" s="286"/>
      <c r="EA310" s="284"/>
      <c r="EB310" s="282"/>
      <c r="EC310" s="284"/>
      <c r="ED310" s="286"/>
      <c r="EE310" s="284"/>
      <c r="EF310" s="285"/>
      <c r="EG310" s="287"/>
      <c r="EH310" s="284"/>
      <c r="EI310" s="286"/>
      <c r="EJ310" s="284"/>
      <c r="EK310" s="284">
        <v>132401</v>
      </c>
      <c r="EL310" s="284">
        <v>41811</v>
      </c>
      <c r="EM310" s="284">
        <v>174212</v>
      </c>
      <c r="EN310" s="284"/>
      <c r="EO310" s="284"/>
      <c r="EP310" s="284"/>
      <c r="EQ310" s="282"/>
      <c r="ER310" s="284"/>
      <c r="ES310" s="286"/>
      <c r="ET310" s="284"/>
      <c r="EU310" s="282"/>
      <c r="EV310" s="284"/>
      <c r="EW310" s="286"/>
      <c r="EX310" s="284"/>
      <c r="EY310" s="282"/>
      <c r="EZ310" s="284"/>
      <c r="FA310" s="286"/>
      <c r="FB310" s="284"/>
      <c r="FC310" s="282"/>
      <c r="FD310" s="284"/>
      <c r="FE310" s="286"/>
      <c r="FF310" s="284"/>
      <c r="FG310" s="282"/>
      <c r="FH310" s="284"/>
      <c r="FI310" s="286"/>
      <c r="FJ310" s="284"/>
      <c r="FK310" s="282"/>
      <c r="FL310" s="284"/>
      <c r="FM310" s="286"/>
      <c r="FN310" s="284"/>
      <c r="FO310" s="292"/>
      <c r="FP310" s="290"/>
      <c r="FQ310" s="291"/>
      <c r="FR310" s="290"/>
      <c r="FS310" s="282"/>
      <c r="FT310" s="284"/>
      <c r="FU310" s="286"/>
      <c r="FV310" s="284"/>
      <c r="FW310" s="282"/>
      <c r="FX310" s="284"/>
      <c r="FY310" s="286"/>
      <c r="FZ310" s="284"/>
      <c r="GA310" s="282" t="s">
        <v>320</v>
      </c>
      <c r="GB310" s="284">
        <v>174212</v>
      </c>
      <c r="GC310" s="286">
        <v>0.76</v>
      </c>
      <c r="GD310" s="284"/>
      <c r="GE310" s="282"/>
      <c r="GF310" s="284"/>
      <c r="GG310" s="286"/>
      <c r="GH310" s="284"/>
      <c r="GI310" s="282"/>
      <c r="GJ310" s="284"/>
      <c r="GK310" s="286"/>
      <c r="GL310" s="284"/>
      <c r="GM310" s="282"/>
      <c r="GN310" s="284"/>
      <c r="GO310" s="286"/>
      <c r="GP310" s="284"/>
      <c r="GQ310" s="282"/>
      <c r="GR310" s="284"/>
      <c r="GS310" s="286"/>
      <c r="GT310" s="284"/>
      <c r="GU310" s="282"/>
      <c r="GV310" s="284"/>
      <c r="GW310" s="286"/>
      <c r="GX310" s="284"/>
      <c r="GY310" s="282"/>
      <c r="GZ310" s="284"/>
      <c r="HA310" s="286"/>
      <c r="HB310" s="284"/>
      <c r="HC310" s="282"/>
      <c r="HD310" s="282"/>
      <c r="HE310" s="284"/>
      <c r="HF310" s="286"/>
      <c r="HG310" s="284"/>
      <c r="HH310" s="282" t="s">
        <v>319</v>
      </c>
      <c r="HI310" s="282"/>
      <c r="HJ310" s="282"/>
      <c r="HK310" s="282" t="s">
        <v>319</v>
      </c>
      <c r="HL310" s="282" t="s">
        <v>319</v>
      </c>
      <c r="HM310" s="282"/>
      <c r="HN310" s="282"/>
      <c r="HO310" s="282" t="s">
        <v>5862</v>
      </c>
      <c r="HP310" s="282" t="s">
        <v>330</v>
      </c>
      <c r="HQ310" s="282" t="s">
        <v>319</v>
      </c>
      <c r="HR310" s="282" t="s">
        <v>320</v>
      </c>
      <c r="HS310" s="282" t="s">
        <v>320</v>
      </c>
      <c r="HT310" s="282" t="s">
        <v>320</v>
      </c>
      <c r="HU310" s="282" t="s">
        <v>320</v>
      </c>
      <c r="HV310" s="282" t="s">
        <v>320</v>
      </c>
      <c r="HW310" s="282" t="s">
        <v>319</v>
      </c>
      <c r="HX310" s="282" t="s">
        <v>319</v>
      </c>
      <c r="HY310" s="282"/>
      <c r="HZ310" s="282" t="s">
        <v>394</v>
      </c>
      <c r="IA310" s="282"/>
      <c r="IB310" s="282" t="s">
        <v>396</v>
      </c>
      <c r="IC310" s="282"/>
      <c r="ID310" s="282" t="s">
        <v>364</v>
      </c>
      <c r="IE310" s="282" t="s">
        <v>335</v>
      </c>
      <c r="IF310" s="282" t="s">
        <v>320</v>
      </c>
      <c r="IG310" s="282" t="s">
        <v>320</v>
      </c>
      <c r="IH310" s="282" t="s">
        <v>320</v>
      </c>
      <c r="II310" s="282" t="s">
        <v>320</v>
      </c>
      <c r="IJ310" s="12" t="str">
        <f t="shared" si="173"/>
        <v>2. Sensitive</v>
      </c>
      <c r="IK310" s="287">
        <f t="shared" si="174"/>
        <v>4</v>
      </c>
      <c r="IL310" s="282" t="s">
        <v>336</v>
      </c>
      <c r="IM310" s="282"/>
      <c r="IN310" s="282" t="s">
        <v>320</v>
      </c>
      <c r="IO310" s="282" t="s">
        <v>320</v>
      </c>
      <c r="IP310" s="282" t="s">
        <v>320</v>
      </c>
      <c r="IQ310" s="287" t="str">
        <f t="shared" si="175"/>
        <v>2. Accommodating</v>
      </c>
      <c r="IR310" s="287">
        <f t="shared" si="176"/>
        <v>3</v>
      </c>
      <c r="IS310" s="282" t="s">
        <v>337</v>
      </c>
      <c r="IT310" s="282" t="s">
        <v>320</v>
      </c>
      <c r="IU310" s="282" t="s">
        <v>320</v>
      </c>
      <c r="IV310" s="282" t="s">
        <v>320</v>
      </c>
      <c r="IW310" s="11" t="str">
        <f t="shared" si="177"/>
        <v>2. Sensitive</v>
      </c>
      <c r="IX310" s="287">
        <f t="shared" si="178"/>
        <v>3</v>
      </c>
      <c r="IY310" s="282" t="s">
        <v>338</v>
      </c>
      <c r="IZ310" s="282" t="s">
        <v>432</v>
      </c>
      <c r="JA310" s="282"/>
      <c r="JB310" s="282" t="s">
        <v>831</v>
      </c>
      <c r="JC310" s="282" t="s">
        <v>651</v>
      </c>
      <c r="JD310" s="282" t="s">
        <v>687</v>
      </c>
      <c r="JE310" s="282" t="s">
        <v>365</v>
      </c>
      <c r="JF310" s="282"/>
      <c r="JG310" s="282" t="s">
        <v>5868</v>
      </c>
      <c r="JH310" s="282"/>
      <c r="JI310" s="282"/>
      <c r="JJ310" s="282"/>
      <c r="JK310" s="282"/>
      <c r="JL310" s="282"/>
      <c r="JM310" s="282"/>
      <c r="JN310" s="282" t="s">
        <v>14662</v>
      </c>
      <c r="JO310" s="282" t="s">
        <v>5869</v>
      </c>
      <c r="JP310" s="15">
        <f t="shared" si="179"/>
        <v>174212</v>
      </c>
      <c r="JQ310" s="15">
        <f t="shared" si="180"/>
        <v>0</v>
      </c>
      <c r="JR310" s="279">
        <f t="shared" si="181"/>
        <v>0</v>
      </c>
      <c r="JS310" s="17">
        <f t="shared" si="182"/>
        <v>0.7599993111840746</v>
      </c>
      <c r="JT310" s="18" t="str">
        <f t="shared" si="183"/>
        <v/>
      </c>
      <c r="JU310" s="280">
        <f t="shared" si="184"/>
        <v>132401</v>
      </c>
      <c r="JV310" s="280">
        <f t="shared" si="185"/>
        <v>0</v>
      </c>
      <c r="JW310" s="319" t="str">
        <f t="shared" si="186"/>
        <v/>
      </c>
      <c r="JX310" s="15">
        <f t="shared" si="187"/>
        <v>0</v>
      </c>
      <c r="JY310" s="15">
        <f t="shared" si="188"/>
        <v>0</v>
      </c>
      <c r="JZ310" s="19" t="str">
        <f t="shared" si="189"/>
        <v/>
      </c>
      <c r="KA310" s="52" t="str">
        <f t="shared" si="190"/>
        <v/>
      </c>
      <c r="KB310" s="15">
        <f t="shared" si="191"/>
        <v>0</v>
      </c>
      <c r="KC310" s="15">
        <f t="shared" si="192"/>
        <v>0</v>
      </c>
      <c r="KD310" s="20" t="str">
        <f t="shared" si="193"/>
        <v/>
      </c>
      <c r="KE310" s="52" t="str">
        <f t="shared" si="194"/>
        <v/>
      </c>
      <c r="KF310" s="15">
        <f t="shared" si="195"/>
        <v>0</v>
      </c>
      <c r="KG310" s="15">
        <f t="shared" si="196"/>
        <v>0</v>
      </c>
      <c r="KH310" s="21" t="str">
        <f t="shared" si="197"/>
        <v/>
      </c>
      <c r="KI310" s="52" t="str">
        <f t="shared" si="198"/>
        <v/>
      </c>
      <c r="KJ310" s="15">
        <f t="shared" si="199"/>
        <v>0</v>
      </c>
      <c r="KK310" s="15">
        <f t="shared" si="200"/>
        <v>0</v>
      </c>
      <c r="KL310" s="19" t="str">
        <f t="shared" si="201"/>
        <v/>
      </c>
      <c r="KM310" s="52" t="str">
        <f t="shared" si="202"/>
        <v/>
      </c>
      <c r="KN310" s="22">
        <f t="shared" si="203"/>
        <v>0</v>
      </c>
      <c r="KO310" s="22">
        <f t="shared" si="204"/>
        <v>0</v>
      </c>
      <c r="KP310" s="19" t="str">
        <f t="shared" si="205"/>
        <v/>
      </c>
      <c r="KQ310" s="11" t="str">
        <f t="shared" si="206"/>
        <v>2. Sensitive</v>
      </c>
      <c r="KR310" s="11" t="str">
        <f t="shared" si="207"/>
        <v>2. Accommodating</v>
      </c>
      <c r="KS310" s="11" t="str">
        <f t="shared" si="208"/>
        <v>2. Sensitive</v>
      </c>
      <c r="KT310" s="11" t="str">
        <f t="shared" si="209"/>
        <v>It tested new ways for fighting poverty, but did not measure results of innovation</v>
      </c>
      <c r="KU310" s="11" t="str">
        <f t="shared" si="210"/>
        <v>Moderate advocacy</v>
      </c>
      <c r="KV310" s="11" t="str">
        <f t="shared" si="211"/>
        <v>It linked and worked with strategic alliances and partners to take tested and effective solutions to scale</v>
      </c>
      <c r="KW310" s="11" t="str">
        <f t="shared" si="212"/>
        <v>India - Leveraging the Village Health, Sanitation and Nutrition Days (VHSNDs) to improve the reach of Community Health Workers in Bihar</v>
      </c>
      <c r="KX310" s="11" t="str">
        <f t="shared" si="213"/>
        <v>Leveraging the Village Health, Sanitation and Nutrition Days (VHSNDs) to improve the reach of Community Health Workers in Bihar</v>
      </c>
      <c r="KY310" s="11" t="str">
        <f t="shared" si="214"/>
        <v>India</v>
      </c>
      <c r="KZ310" s="12">
        <v>310</v>
      </c>
    </row>
    <row r="311" spans="1:312" x14ac:dyDescent="0.3">
      <c r="A311" s="11" t="s">
        <v>5300</v>
      </c>
      <c r="B311" s="11" t="s">
        <v>306</v>
      </c>
      <c r="C311" s="11">
        <v>3015</v>
      </c>
      <c r="D311" s="11" t="s">
        <v>5577</v>
      </c>
      <c r="E311" s="24" t="str">
        <f t="shared" si="172"/>
        <v>India</v>
      </c>
      <c r="F311" s="11">
        <v>3015</v>
      </c>
      <c r="G311" s="11" t="s">
        <v>5302</v>
      </c>
      <c r="H311" s="11" t="s">
        <v>489</v>
      </c>
      <c r="I311" s="11" t="s">
        <v>384</v>
      </c>
      <c r="J311" s="278" t="s">
        <v>5578</v>
      </c>
      <c r="BD311" s="23">
        <v>41334</v>
      </c>
      <c r="BE311" s="23">
        <v>42063</v>
      </c>
      <c r="BF311" s="23">
        <v>42886</v>
      </c>
      <c r="BG311" s="11" t="s">
        <v>749</v>
      </c>
      <c r="BH311" s="22">
        <v>2013500</v>
      </c>
      <c r="BI311" s="11" t="s">
        <v>5524</v>
      </c>
      <c r="BJ311" s="11" t="s">
        <v>5579</v>
      </c>
      <c r="BK311" s="11" t="s">
        <v>5526</v>
      </c>
      <c r="BL311" s="11" t="s">
        <v>5580</v>
      </c>
      <c r="BM311" s="11" t="s">
        <v>354</v>
      </c>
      <c r="BN311" s="11" t="s">
        <v>5305</v>
      </c>
      <c r="BO311" s="11" t="s">
        <v>319</v>
      </c>
      <c r="BP311" s="11" t="s">
        <v>320</v>
      </c>
      <c r="BQ311" s="11" t="s">
        <v>319</v>
      </c>
      <c r="BR311" s="11" t="s">
        <v>5581</v>
      </c>
      <c r="BS311" s="11" t="s">
        <v>357</v>
      </c>
      <c r="BT311" s="11" t="s">
        <v>5582</v>
      </c>
      <c r="BU311" s="11" t="s">
        <v>5583</v>
      </c>
      <c r="BV311" s="22">
        <v>103575</v>
      </c>
      <c r="BW311" s="22">
        <v>73550</v>
      </c>
      <c r="BX311" s="22">
        <v>177125</v>
      </c>
      <c r="BY311" s="22">
        <v>475466</v>
      </c>
      <c r="BZ311" s="22">
        <v>240000</v>
      </c>
      <c r="CA311" s="22">
        <v>715466</v>
      </c>
      <c r="CB311" s="15" t="s">
        <v>5568</v>
      </c>
      <c r="CL311" s="18"/>
      <c r="CP311" s="18"/>
      <c r="CT311" s="18"/>
      <c r="CX311" s="18"/>
      <c r="DB311" s="18"/>
      <c r="DF311" s="18"/>
      <c r="DJ311" s="18"/>
      <c r="DN311" s="18"/>
      <c r="DR311" s="18"/>
      <c r="DV311" s="18"/>
      <c r="DZ311" s="18"/>
      <c r="ED311" s="18"/>
      <c r="EI311" s="18"/>
      <c r="EK311" s="22">
        <v>103575</v>
      </c>
      <c r="EL311" s="22">
        <v>73550</v>
      </c>
      <c r="EM311" s="22">
        <v>177125</v>
      </c>
      <c r="EN311" s="22">
        <v>475466</v>
      </c>
      <c r="EO311" s="22">
        <v>240000</v>
      </c>
      <c r="EP311" s="22">
        <v>715466</v>
      </c>
      <c r="ES311" s="18"/>
      <c r="EW311" s="18"/>
      <c r="FA311" s="18"/>
      <c r="FE311" s="18"/>
      <c r="FI311" s="18"/>
      <c r="FM311" s="18"/>
      <c r="FO311" s="12" t="s">
        <v>320</v>
      </c>
      <c r="FP311" s="22">
        <v>177125</v>
      </c>
      <c r="FQ311" s="18">
        <v>0.59</v>
      </c>
      <c r="FR311" s="22">
        <v>715466</v>
      </c>
      <c r="FU311" s="18"/>
      <c r="FW311" s="11" t="s">
        <v>320</v>
      </c>
      <c r="FX311" s="22">
        <v>177125</v>
      </c>
      <c r="FY311" s="18">
        <v>0.59</v>
      </c>
      <c r="FZ311" s="22">
        <v>715466</v>
      </c>
      <c r="GC311" s="18"/>
      <c r="GG311" s="18"/>
      <c r="GK311" s="18"/>
      <c r="GO311" s="18"/>
      <c r="GS311" s="18"/>
      <c r="GW311" s="18"/>
      <c r="HA311" s="18"/>
      <c r="HF311" s="18"/>
      <c r="HH311" s="11" t="s">
        <v>320</v>
      </c>
      <c r="HI311" s="11" t="s">
        <v>1175</v>
      </c>
      <c r="HJ311" s="11">
        <v>2017</v>
      </c>
      <c r="HK311" s="11" t="s">
        <v>319</v>
      </c>
      <c r="HL311" s="11" t="s">
        <v>319</v>
      </c>
      <c r="HO311" s="11" t="s">
        <v>5584</v>
      </c>
      <c r="HP311" s="11" t="s">
        <v>330</v>
      </c>
      <c r="HQ311" s="11" t="s">
        <v>319</v>
      </c>
      <c r="HS311" s="11" t="s">
        <v>320</v>
      </c>
      <c r="HT311" s="11" t="s">
        <v>320</v>
      </c>
      <c r="HZ311" s="11" t="s">
        <v>363</v>
      </c>
      <c r="IB311" s="11" t="s">
        <v>333</v>
      </c>
      <c r="ID311" s="11" t="s">
        <v>364</v>
      </c>
      <c r="IE311" s="11" t="s">
        <v>478</v>
      </c>
      <c r="IF311" s="11" t="s">
        <v>320</v>
      </c>
      <c r="IG311" s="11" t="s">
        <v>320</v>
      </c>
      <c r="IH311" s="11" t="s">
        <v>320</v>
      </c>
      <c r="II311" s="11" t="s">
        <v>319</v>
      </c>
      <c r="IJ311" s="12" t="str">
        <f t="shared" si="173"/>
        <v>3. Responsive</v>
      </c>
      <c r="IK311" s="12">
        <f t="shared" si="174"/>
        <v>3</v>
      </c>
      <c r="IL311" s="11" t="s">
        <v>336</v>
      </c>
      <c r="IM311" s="11" t="s">
        <v>320</v>
      </c>
      <c r="IN311" s="11" t="s">
        <v>320</v>
      </c>
      <c r="IO311" s="11" t="s">
        <v>320</v>
      </c>
      <c r="IP311" s="11" t="s">
        <v>320</v>
      </c>
      <c r="IQ311" s="12" t="str">
        <f t="shared" si="175"/>
        <v>2. Accommodating</v>
      </c>
      <c r="IR311" s="12">
        <f t="shared" si="176"/>
        <v>4</v>
      </c>
      <c r="IS311" s="11" t="s">
        <v>337</v>
      </c>
      <c r="IT311" s="11" t="s">
        <v>319</v>
      </c>
      <c r="IU311" s="11" t="s">
        <v>320</v>
      </c>
      <c r="IV311" s="11" t="s">
        <v>319</v>
      </c>
      <c r="IW311" s="11" t="str">
        <f t="shared" si="177"/>
        <v>1. Neutral</v>
      </c>
      <c r="IX311" s="12">
        <f t="shared" si="178"/>
        <v>1</v>
      </c>
      <c r="IY311" s="11" t="s">
        <v>338</v>
      </c>
      <c r="IZ311" s="11" t="s">
        <v>527</v>
      </c>
      <c r="JA311" s="11">
        <v>5</v>
      </c>
      <c r="JB311" s="11" t="s">
        <v>433</v>
      </c>
      <c r="JC311" s="11" t="s">
        <v>433</v>
      </c>
      <c r="JD311" s="11" t="s">
        <v>433</v>
      </c>
      <c r="JE311" s="11" t="s">
        <v>365</v>
      </c>
      <c r="JF311" s="11" t="s">
        <v>5585</v>
      </c>
      <c r="JG311" s="11" t="s">
        <v>5586</v>
      </c>
      <c r="JH311" s="11" t="s">
        <v>5587</v>
      </c>
      <c r="JI311" s="11" t="s">
        <v>5588</v>
      </c>
      <c r="JJ311" s="11" t="s">
        <v>5589</v>
      </c>
      <c r="JK311" s="11" t="s">
        <v>5590</v>
      </c>
      <c r="JL311" s="11" t="s">
        <v>5591</v>
      </c>
      <c r="JM311" s="11" t="s">
        <v>5592</v>
      </c>
      <c r="JN311" s="11" t="s">
        <v>5593</v>
      </c>
      <c r="JO311" s="11" t="s">
        <v>5594</v>
      </c>
      <c r="JP311" s="15">
        <f t="shared" si="179"/>
        <v>177125</v>
      </c>
      <c r="JQ311" s="15">
        <f t="shared" si="180"/>
        <v>715466</v>
      </c>
      <c r="JR311" s="279">
        <f t="shared" si="181"/>
        <v>4.0393281580804521</v>
      </c>
      <c r="JS311" s="17">
        <f t="shared" si="182"/>
        <v>0.58475652787579391</v>
      </c>
      <c r="JT311" s="18">
        <f t="shared" si="183"/>
        <v>0.66455429049039372</v>
      </c>
      <c r="JU311" s="280">
        <f t="shared" si="184"/>
        <v>103575</v>
      </c>
      <c r="JV311" s="280">
        <f t="shared" si="185"/>
        <v>475466</v>
      </c>
      <c r="JW311" s="319" t="str">
        <f t="shared" si="186"/>
        <v/>
      </c>
      <c r="JX311" s="15">
        <f t="shared" si="187"/>
        <v>0</v>
      </c>
      <c r="JY311" s="15">
        <f t="shared" si="188"/>
        <v>0</v>
      </c>
      <c r="JZ311" s="19" t="str">
        <f t="shared" si="189"/>
        <v/>
      </c>
      <c r="KA311" s="52">
        <f t="shared" si="190"/>
        <v>1</v>
      </c>
      <c r="KB311" s="15">
        <f t="shared" si="191"/>
        <v>177125</v>
      </c>
      <c r="KC311" s="15">
        <f t="shared" si="192"/>
        <v>715466</v>
      </c>
      <c r="KD311" s="20">
        <f t="shared" si="193"/>
        <v>4.0393281580804521</v>
      </c>
      <c r="KE311" s="52" t="str">
        <f t="shared" si="194"/>
        <v/>
      </c>
      <c r="KF311" s="15">
        <f t="shared" si="195"/>
        <v>0</v>
      </c>
      <c r="KG311" s="15">
        <f t="shared" si="196"/>
        <v>0</v>
      </c>
      <c r="KH311" s="21" t="str">
        <f t="shared" si="197"/>
        <v/>
      </c>
      <c r="KI311" s="52" t="str">
        <f t="shared" si="198"/>
        <v/>
      </c>
      <c r="KJ311" s="15">
        <f t="shared" si="199"/>
        <v>0</v>
      </c>
      <c r="KK311" s="15">
        <f t="shared" si="200"/>
        <v>0</v>
      </c>
      <c r="KL311" s="19" t="str">
        <f t="shared" si="201"/>
        <v/>
      </c>
      <c r="KM311" s="52" t="str">
        <f t="shared" si="202"/>
        <v/>
      </c>
      <c r="KN311" s="22">
        <f t="shared" si="203"/>
        <v>0</v>
      </c>
      <c r="KO311" s="22">
        <f t="shared" si="204"/>
        <v>0</v>
      </c>
      <c r="KP311" s="19" t="str">
        <f t="shared" si="205"/>
        <v/>
      </c>
      <c r="KQ311" s="11" t="str">
        <f t="shared" si="206"/>
        <v>3. Responsive</v>
      </c>
      <c r="KR311" s="11" t="str">
        <f t="shared" si="207"/>
        <v>2. Accommodating</v>
      </c>
      <c r="KS311" s="11" t="str">
        <f t="shared" si="208"/>
        <v>1. Neutral</v>
      </c>
      <c r="KT311" s="11" t="str">
        <f t="shared" si="209"/>
        <v>It did not develop any specific innovation</v>
      </c>
      <c r="KU311" s="11" t="str">
        <f t="shared" si="210"/>
        <v>Moderate advocacy</v>
      </c>
      <c r="KV311" s="11" t="str">
        <f t="shared" si="211"/>
        <v>It did not take tested solutions to scale</v>
      </c>
      <c r="KW311" s="11" t="str">
        <f t="shared" si="212"/>
        <v>India - Madhya Pradesh Nutrition Project (MPNP)</v>
      </c>
      <c r="KX311" s="11" t="str">
        <f t="shared" si="213"/>
        <v>Madhya Pradesh Nutrition Project (MPNP)</v>
      </c>
      <c r="KY311" s="11" t="str">
        <f t="shared" si="214"/>
        <v>India</v>
      </c>
      <c r="KZ311" s="12">
        <v>311</v>
      </c>
    </row>
    <row r="312" spans="1:312" x14ac:dyDescent="0.3">
      <c r="A312" s="11" t="s">
        <v>5300</v>
      </c>
      <c r="B312" s="11" t="s">
        <v>306</v>
      </c>
      <c r="D312" s="11" t="s">
        <v>5595</v>
      </c>
      <c r="E312" s="24" t="str">
        <f t="shared" si="172"/>
        <v>India</v>
      </c>
      <c r="F312" s="11" t="s">
        <v>5596</v>
      </c>
      <c r="G312" s="11" t="s">
        <v>5302</v>
      </c>
      <c r="H312" s="11" t="s">
        <v>383</v>
      </c>
      <c r="I312" s="11" t="s">
        <v>384</v>
      </c>
      <c r="J312" s="278" t="s">
        <v>10530</v>
      </c>
      <c r="BD312" s="23">
        <v>42583</v>
      </c>
      <c r="BE312" s="23">
        <v>43281</v>
      </c>
      <c r="BG312" s="11" t="s">
        <v>312</v>
      </c>
      <c r="BH312" s="22">
        <v>201642</v>
      </c>
      <c r="BI312" s="11" t="s">
        <v>5597</v>
      </c>
      <c r="BJ312" s="11" t="s">
        <v>5598</v>
      </c>
      <c r="BK312" s="11" t="s">
        <v>5599</v>
      </c>
      <c r="BL312" s="11" t="s">
        <v>5600</v>
      </c>
      <c r="BM312" s="11" t="s">
        <v>444</v>
      </c>
      <c r="BN312" s="11" t="s">
        <v>5601</v>
      </c>
      <c r="BO312" s="11" t="s">
        <v>319</v>
      </c>
      <c r="BP312" s="11" t="s">
        <v>320</v>
      </c>
      <c r="BQ312" s="11" t="s">
        <v>319</v>
      </c>
      <c r="BR312" s="11" t="s">
        <v>5602</v>
      </c>
      <c r="BS312" s="11" t="s">
        <v>1535</v>
      </c>
      <c r="BT312" s="11" t="s">
        <v>5603</v>
      </c>
      <c r="BU312" s="11" t="s">
        <v>5604</v>
      </c>
      <c r="BV312" s="22">
        <v>4075</v>
      </c>
      <c r="BW312" s="22">
        <v>2165</v>
      </c>
      <c r="BX312" s="22">
        <v>6240</v>
      </c>
      <c r="BY312" s="22">
        <v>73354</v>
      </c>
      <c r="BZ312" s="22">
        <v>77170</v>
      </c>
      <c r="CA312" s="22">
        <v>150524</v>
      </c>
      <c r="CB312" s="15" t="s">
        <v>5605</v>
      </c>
      <c r="CL312" s="18"/>
      <c r="CP312" s="18"/>
      <c r="CT312" s="18"/>
      <c r="CX312" s="18"/>
      <c r="DB312" s="18"/>
      <c r="DF312" s="18"/>
      <c r="DJ312" s="18"/>
      <c r="DN312" s="18"/>
      <c r="DR312" s="18"/>
      <c r="DV312" s="18"/>
      <c r="DZ312" s="18"/>
      <c r="ED312" s="18"/>
      <c r="EI312" s="18"/>
      <c r="EK312" s="22">
        <v>3351</v>
      </c>
      <c r="EL312" s="22">
        <v>2699</v>
      </c>
      <c r="EM312" s="22">
        <v>6050</v>
      </c>
      <c r="EN312" s="22">
        <v>73354</v>
      </c>
      <c r="EO312" s="22">
        <v>77170</v>
      </c>
      <c r="EP312" s="22">
        <v>150524</v>
      </c>
      <c r="ES312" s="18"/>
      <c r="EW312" s="18"/>
      <c r="FA312" s="18"/>
      <c r="FE312" s="18"/>
      <c r="FI312" s="18"/>
      <c r="FK312" s="12" t="s">
        <v>320</v>
      </c>
      <c r="FL312" s="22">
        <v>6050</v>
      </c>
      <c r="FM312" s="18">
        <v>0.55000000000000004</v>
      </c>
      <c r="FN312" s="22">
        <v>150524</v>
      </c>
      <c r="FQ312" s="18"/>
      <c r="FU312" s="18"/>
      <c r="FY312" s="18"/>
      <c r="GC312" s="18"/>
      <c r="GG312" s="18"/>
      <c r="GK312" s="18"/>
      <c r="GO312" s="18"/>
      <c r="GS312" s="18"/>
      <c r="GW312" s="18"/>
      <c r="HA312" s="18"/>
      <c r="HF312" s="18"/>
      <c r="HH312" s="11" t="s">
        <v>320</v>
      </c>
      <c r="HI312" s="11" t="s">
        <v>416</v>
      </c>
      <c r="HJ312" s="11">
        <v>2017</v>
      </c>
      <c r="HK312" s="11" t="s">
        <v>319</v>
      </c>
      <c r="HL312" s="11" t="s">
        <v>319</v>
      </c>
      <c r="HP312" s="11" t="s">
        <v>453</v>
      </c>
      <c r="HQ312" s="11" t="s">
        <v>320</v>
      </c>
      <c r="HS312" s="11" t="s">
        <v>320</v>
      </c>
      <c r="HT312" s="11" t="s">
        <v>320</v>
      </c>
      <c r="HZ312" s="11" t="s">
        <v>363</v>
      </c>
      <c r="IB312" s="11" t="s">
        <v>333</v>
      </c>
      <c r="ID312" s="11" t="s">
        <v>364</v>
      </c>
      <c r="IE312" s="11" t="s">
        <v>478</v>
      </c>
      <c r="IF312" s="11" t="s">
        <v>320</v>
      </c>
      <c r="IG312" s="11" t="s">
        <v>320</v>
      </c>
      <c r="IH312" s="11" t="s">
        <v>320</v>
      </c>
      <c r="II312" s="11" t="s">
        <v>320</v>
      </c>
      <c r="IJ312" s="12" t="str">
        <f t="shared" si="173"/>
        <v>4. Transformative</v>
      </c>
      <c r="IK312" s="12">
        <f t="shared" si="174"/>
        <v>4</v>
      </c>
      <c r="IL312" s="11" t="s">
        <v>621</v>
      </c>
      <c r="IM312" s="11" t="s">
        <v>320</v>
      </c>
      <c r="IN312" s="11" t="s">
        <v>320</v>
      </c>
      <c r="IO312" s="11" t="s">
        <v>320</v>
      </c>
      <c r="IP312" s="11" t="s">
        <v>319</v>
      </c>
      <c r="IQ312" s="12" t="str">
        <f t="shared" si="175"/>
        <v>3. Responsive</v>
      </c>
      <c r="IR312" s="12">
        <f t="shared" si="176"/>
        <v>3</v>
      </c>
      <c r="IS312" s="11" t="s">
        <v>622</v>
      </c>
      <c r="IT312" s="11" t="s">
        <v>319</v>
      </c>
      <c r="IU312" s="11" t="s">
        <v>320</v>
      </c>
      <c r="IV312" s="11" t="s">
        <v>320</v>
      </c>
      <c r="IW312" s="11" t="str">
        <f t="shared" si="177"/>
        <v>3. Responsive</v>
      </c>
      <c r="IX312" s="12">
        <f t="shared" si="178"/>
        <v>2</v>
      </c>
      <c r="IY312" s="11" t="s">
        <v>338</v>
      </c>
      <c r="IZ312" s="11" t="s">
        <v>339</v>
      </c>
      <c r="JA312" s="11">
        <v>1</v>
      </c>
      <c r="JB312" s="11" t="s">
        <v>687</v>
      </c>
      <c r="JE312" s="11" t="s">
        <v>420</v>
      </c>
      <c r="JH312" s="11" t="s">
        <v>5606</v>
      </c>
      <c r="JI312" s="11" t="s">
        <v>5607</v>
      </c>
      <c r="JJ312" s="11" t="s">
        <v>5608</v>
      </c>
      <c r="JK312" s="11" t="s">
        <v>5609</v>
      </c>
      <c r="JL312" s="11" t="s">
        <v>5610</v>
      </c>
      <c r="JM312" s="11" t="s">
        <v>5611</v>
      </c>
      <c r="JP312" s="15">
        <f t="shared" si="179"/>
        <v>6050</v>
      </c>
      <c r="JQ312" s="15">
        <f t="shared" si="180"/>
        <v>150524</v>
      </c>
      <c r="JR312" s="279">
        <f t="shared" si="181"/>
        <v>24.88</v>
      </c>
      <c r="JS312" s="17">
        <f t="shared" si="182"/>
        <v>0.55388429752066115</v>
      </c>
      <c r="JT312" s="18">
        <f t="shared" si="183"/>
        <v>0.48732428051340648</v>
      </c>
      <c r="JU312" s="280">
        <f t="shared" si="184"/>
        <v>3351</v>
      </c>
      <c r="JV312" s="280">
        <f t="shared" si="185"/>
        <v>73354</v>
      </c>
      <c r="JW312" s="319" t="str">
        <f t="shared" si="186"/>
        <v/>
      </c>
      <c r="JX312" s="15">
        <f t="shared" si="187"/>
        <v>0</v>
      </c>
      <c r="JY312" s="15">
        <f t="shared" si="188"/>
        <v>0</v>
      </c>
      <c r="JZ312" s="19" t="str">
        <f t="shared" si="189"/>
        <v/>
      </c>
      <c r="KA312" s="52" t="str">
        <f t="shared" si="190"/>
        <v/>
      </c>
      <c r="KB312" s="15">
        <f t="shared" si="191"/>
        <v>0</v>
      </c>
      <c r="KC312" s="15">
        <f t="shared" si="192"/>
        <v>0</v>
      </c>
      <c r="KD312" s="20" t="str">
        <f t="shared" si="193"/>
        <v/>
      </c>
      <c r="KE312" s="52" t="str">
        <f t="shared" si="194"/>
        <v/>
      </c>
      <c r="KF312" s="15">
        <f t="shared" si="195"/>
        <v>0</v>
      </c>
      <c r="KG312" s="15">
        <f t="shared" si="196"/>
        <v>0</v>
      </c>
      <c r="KH312" s="21" t="str">
        <f t="shared" si="197"/>
        <v/>
      </c>
      <c r="KI312" s="52" t="str">
        <f t="shared" si="198"/>
        <v/>
      </c>
      <c r="KJ312" s="15">
        <f t="shared" si="199"/>
        <v>0</v>
      </c>
      <c r="KK312" s="15">
        <f t="shared" si="200"/>
        <v>0</v>
      </c>
      <c r="KL312" s="19" t="str">
        <f t="shared" si="201"/>
        <v/>
      </c>
      <c r="KM312" s="52" t="str">
        <f t="shared" si="202"/>
        <v/>
      </c>
      <c r="KN312" s="22">
        <f t="shared" si="203"/>
        <v>0</v>
      </c>
      <c r="KO312" s="22">
        <f t="shared" si="204"/>
        <v>0</v>
      </c>
      <c r="KP312" s="19" t="str">
        <f t="shared" si="205"/>
        <v/>
      </c>
      <c r="KQ312" s="11" t="str">
        <f t="shared" si="206"/>
        <v>4. Transformative</v>
      </c>
      <c r="KR312" s="11" t="str">
        <f t="shared" si="207"/>
        <v>3. Responsive</v>
      </c>
      <c r="KS312" s="11" t="str">
        <f t="shared" si="208"/>
        <v>3. Responsive</v>
      </c>
      <c r="KT312" s="11" t="str">
        <f t="shared" si="209"/>
        <v>It did not develop any specific innovation</v>
      </c>
      <c r="KU312" s="11" t="str">
        <f t="shared" si="210"/>
        <v>Intensive advocacy</v>
      </c>
      <c r="KV312" s="11" t="str">
        <f t="shared" si="211"/>
        <v>It did not take tested solutions to scale</v>
      </c>
      <c r="KW312" s="11" t="str">
        <f t="shared" si="212"/>
        <v>India - Maitri - Regional Advocacy Project (PCTFI cohort 3)</v>
      </c>
      <c r="KX312" s="11" t="str">
        <f t="shared" si="213"/>
        <v>Maitri - Regional Advocacy Project (PCTFI cohort 3)</v>
      </c>
      <c r="KY312" s="11" t="str">
        <f t="shared" si="214"/>
        <v>India</v>
      </c>
      <c r="KZ312" s="12">
        <v>312</v>
      </c>
    </row>
    <row r="313" spans="1:312" x14ac:dyDescent="0.3">
      <c r="A313" s="282" t="s">
        <v>5300</v>
      </c>
      <c r="B313" s="282" t="s">
        <v>306</v>
      </c>
      <c r="C313" s="282">
        <v>3017</v>
      </c>
      <c r="D313" s="282" t="s">
        <v>5612</v>
      </c>
      <c r="E313" s="24" t="str">
        <f t="shared" si="172"/>
        <v>India</v>
      </c>
      <c r="F313" s="282" t="s">
        <v>5613</v>
      </c>
      <c r="G313" s="282" t="s">
        <v>5302</v>
      </c>
      <c r="H313" s="282" t="s">
        <v>383</v>
      </c>
      <c r="I313" s="282" t="s">
        <v>1102</v>
      </c>
      <c r="J313" s="278" t="s">
        <v>1102</v>
      </c>
      <c r="K313" s="282"/>
      <c r="L313" s="282"/>
      <c r="M313" s="282"/>
      <c r="N313" s="282"/>
      <c r="O313" s="282"/>
      <c r="P313" s="282"/>
      <c r="Q313" s="282"/>
      <c r="R313" s="282"/>
      <c r="S313" s="282"/>
      <c r="T313" s="282"/>
      <c r="U313" s="282"/>
      <c r="V313" s="282"/>
      <c r="W313" s="282"/>
      <c r="X313" s="282"/>
      <c r="Y313" s="282"/>
      <c r="Z313" s="282"/>
      <c r="AA313" s="282"/>
      <c r="AB313" s="282"/>
      <c r="AC313" s="282"/>
      <c r="AD313" s="282"/>
      <c r="AE313" s="282"/>
      <c r="AF313" s="282"/>
      <c r="AG313" s="282"/>
      <c r="AH313" s="282"/>
      <c r="AI313" s="282"/>
      <c r="AJ313" s="282"/>
      <c r="AK313" s="282"/>
      <c r="AL313" s="282"/>
      <c r="AM313" s="282"/>
      <c r="AN313" s="282"/>
      <c r="AO313" s="282"/>
      <c r="AP313" s="282"/>
      <c r="AQ313" s="282"/>
      <c r="AR313" s="282"/>
      <c r="AS313" s="282"/>
      <c r="AT313" s="282"/>
      <c r="AU313" s="282"/>
      <c r="AV313" s="282"/>
      <c r="AW313" s="282"/>
      <c r="AX313" s="282"/>
      <c r="AY313" s="282"/>
      <c r="AZ313" s="282"/>
      <c r="BA313" s="282"/>
      <c r="BB313" s="282"/>
      <c r="BC313" s="282"/>
      <c r="BD313" s="283">
        <v>41918</v>
      </c>
      <c r="BE313" s="283">
        <v>43008</v>
      </c>
      <c r="BF313" s="283">
        <v>43190</v>
      </c>
      <c r="BG313" s="283" t="s">
        <v>490</v>
      </c>
      <c r="BH313" s="284">
        <v>999986</v>
      </c>
      <c r="BI313" s="282" t="s">
        <v>5614</v>
      </c>
      <c r="BJ313" s="282" t="s">
        <v>5615</v>
      </c>
      <c r="BK313" s="282" t="s">
        <v>5616</v>
      </c>
      <c r="BL313" s="282" t="s">
        <v>5413</v>
      </c>
      <c r="BM313" s="282" t="s">
        <v>5617</v>
      </c>
      <c r="BN313" s="282" t="s">
        <v>5415</v>
      </c>
      <c r="BO313" s="282" t="s">
        <v>319</v>
      </c>
      <c r="BP313" s="282" t="s">
        <v>320</v>
      </c>
      <c r="BQ313" s="282" t="s">
        <v>319</v>
      </c>
      <c r="BR313" s="282" t="s">
        <v>5618</v>
      </c>
      <c r="BS313" s="282" t="s">
        <v>322</v>
      </c>
      <c r="BT313" s="282" t="s">
        <v>5619</v>
      </c>
      <c r="BU313" s="282" t="s">
        <v>5620</v>
      </c>
      <c r="BV313" s="284"/>
      <c r="BW313" s="284"/>
      <c r="BX313" s="284"/>
      <c r="BY313" s="284"/>
      <c r="BZ313" s="284"/>
      <c r="CA313" s="284"/>
      <c r="CB313" s="285"/>
      <c r="CC313" s="285"/>
      <c r="CD313" s="284"/>
      <c r="CE313" s="284"/>
      <c r="CF313" s="284"/>
      <c r="CG313" s="284"/>
      <c r="CH313" s="284"/>
      <c r="CI313" s="284"/>
      <c r="CJ313" s="282"/>
      <c r="CK313" s="284"/>
      <c r="CL313" s="286"/>
      <c r="CM313" s="284"/>
      <c r="CN313" s="287"/>
      <c r="CO313" s="284"/>
      <c r="CP313" s="286"/>
      <c r="CQ313" s="284"/>
      <c r="CR313" s="282"/>
      <c r="CS313" s="284"/>
      <c r="CT313" s="286"/>
      <c r="CU313" s="284"/>
      <c r="CV313" s="289"/>
      <c r="CW313" s="290"/>
      <c r="CX313" s="291"/>
      <c r="CY313" s="290"/>
      <c r="CZ313" s="282"/>
      <c r="DA313" s="284"/>
      <c r="DB313" s="286"/>
      <c r="DC313" s="284"/>
      <c r="DD313" s="287"/>
      <c r="DE313" s="284"/>
      <c r="DF313" s="286"/>
      <c r="DG313" s="284"/>
      <c r="DH313" s="282"/>
      <c r="DI313" s="284"/>
      <c r="DJ313" s="286"/>
      <c r="DK313" s="284"/>
      <c r="DL313" s="282"/>
      <c r="DM313" s="284"/>
      <c r="DN313" s="286"/>
      <c r="DO313" s="284"/>
      <c r="DP313" s="282"/>
      <c r="DQ313" s="284"/>
      <c r="DR313" s="286"/>
      <c r="DS313" s="284"/>
      <c r="DT313" s="282"/>
      <c r="DU313" s="284"/>
      <c r="DV313" s="286"/>
      <c r="DW313" s="284"/>
      <c r="DX313" s="282"/>
      <c r="DY313" s="284"/>
      <c r="DZ313" s="286"/>
      <c r="EA313" s="284"/>
      <c r="EB313" s="282"/>
      <c r="EC313" s="284"/>
      <c r="ED313" s="286"/>
      <c r="EE313" s="284"/>
      <c r="EF313" s="285"/>
      <c r="EG313" s="287"/>
      <c r="EH313" s="284"/>
      <c r="EI313" s="286"/>
      <c r="EJ313" s="284"/>
      <c r="EK313" s="284"/>
      <c r="EL313" s="284"/>
      <c r="EM313" s="284"/>
      <c r="EN313" s="284"/>
      <c r="EO313" s="284"/>
      <c r="EP313" s="284"/>
      <c r="EQ313" s="282"/>
      <c r="ER313" s="284"/>
      <c r="ES313" s="286"/>
      <c r="ET313" s="284"/>
      <c r="EU313" s="282"/>
      <c r="EV313" s="284"/>
      <c r="EW313" s="286"/>
      <c r="EX313" s="284"/>
      <c r="EY313" s="282"/>
      <c r="EZ313" s="284"/>
      <c r="FA313" s="286"/>
      <c r="FB313" s="284"/>
      <c r="FC313" s="282"/>
      <c r="FD313" s="284"/>
      <c r="FE313" s="286"/>
      <c r="FF313" s="284"/>
      <c r="FG313" s="282"/>
      <c r="FH313" s="284"/>
      <c r="FI313" s="286"/>
      <c r="FJ313" s="284"/>
      <c r="FK313" s="282"/>
      <c r="FL313" s="284"/>
      <c r="FM313" s="286"/>
      <c r="FN313" s="284"/>
      <c r="FO313" s="289" t="s">
        <v>320</v>
      </c>
      <c r="FP313" s="300"/>
      <c r="FQ313" s="291"/>
      <c r="FR313" s="290"/>
      <c r="FS313" s="282"/>
      <c r="FT313" s="284"/>
      <c r="FU313" s="286"/>
      <c r="FV313" s="284"/>
      <c r="FW313" s="282"/>
      <c r="FX313" s="284"/>
      <c r="FY313" s="286"/>
      <c r="FZ313" s="284"/>
      <c r="GA313" s="282" t="s">
        <v>320</v>
      </c>
      <c r="GB313" s="284"/>
      <c r="GC313" s="286"/>
      <c r="GD313" s="284"/>
      <c r="GE313" s="282"/>
      <c r="GF313" s="284"/>
      <c r="GG313" s="286"/>
      <c r="GH313" s="284"/>
      <c r="GI313" s="282"/>
      <c r="GJ313" s="284"/>
      <c r="GK313" s="286"/>
      <c r="GL313" s="284"/>
      <c r="GM313" s="282"/>
      <c r="GN313" s="284"/>
      <c r="GO313" s="286"/>
      <c r="GP313" s="284"/>
      <c r="GQ313" s="282" t="s">
        <v>320</v>
      </c>
      <c r="GR313" s="284"/>
      <c r="GS313" s="286"/>
      <c r="GT313" s="284"/>
      <c r="GU313" s="282" t="s">
        <v>320</v>
      </c>
      <c r="GV313" s="284"/>
      <c r="GW313" s="286"/>
      <c r="GX313" s="284"/>
      <c r="GY313" s="282"/>
      <c r="GZ313" s="284"/>
      <c r="HA313" s="286"/>
      <c r="HB313" s="284"/>
      <c r="HC313" s="282"/>
      <c r="HD313" s="282"/>
      <c r="HE313" s="284"/>
      <c r="HF313" s="286"/>
      <c r="HG313" s="284"/>
      <c r="HH313" s="282" t="s">
        <v>319</v>
      </c>
      <c r="HI313" s="282"/>
      <c r="HJ313" s="282"/>
      <c r="HK313" s="282" t="s">
        <v>319</v>
      </c>
      <c r="HL313" s="282" t="s">
        <v>319</v>
      </c>
      <c r="HM313" s="282"/>
      <c r="HN313" s="282"/>
      <c r="HO313" s="282"/>
      <c r="HP313" s="282" t="s">
        <v>453</v>
      </c>
      <c r="HQ313" s="282" t="s">
        <v>320</v>
      </c>
      <c r="HR313" s="282" t="s">
        <v>319</v>
      </c>
      <c r="HS313" s="282" t="s">
        <v>320</v>
      </c>
      <c r="HT313" s="282" t="s">
        <v>320</v>
      </c>
      <c r="HU313" s="282" t="s">
        <v>320</v>
      </c>
      <c r="HV313" s="282" t="s">
        <v>319</v>
      </c>
      <c r="HW313" s="282" t="s">
        <v>320</v>
      </c>
      <c r="HX313" s="282" t="s">
        <v>319</v>
      </c>
      <c r="HY313" s="282"/>
      <c r="HZ313" s="282" t="s">
        <v>363</v>
      </c>
      <c r="IA313" s="282"/>
      <c r="IB313" s="282" t="s">
        <v>396</v>
      </c>
      <c r="IC313" s="282"/>
      <c r="ID313" s="282" t="s">
        <v>364</v>
      </c>
      <c r="IE313" s="282" t="s">
        <v>478</v>
      </c>
      <c r="IF313" s="282" t="s">
        <v>319</v>
      </c>
      <c r="IG313" s="282" t="s">
        <v>320</v>
      </c>
      <c r="IH313" s="282" t="s">
        <v>320</v>
      </c>
      <c r="II313" s="282" t="s">
        <v>320</v>
      </c>
      <c r="IJ313" s="12" t="str">
        <f t="shared" si="173"/>
        <v>3. Responsive</v>
      </c>
      <c r="IK313" s="287">
        <f t="shared" si="174"/>
        <v>3</v>
      </c>
      <c r="IL313" s="282" t="s">
        <v>621</v>
      </c>
      <c r="IM313" s="282" t="s">
        <v>320</v>
      </c>
      <c r="IN313" s="282" t="s">
        <v>320</v>
      </c>
      <c r="IO313" s="282" t="s">
        <v>320</v>
      </c>
      <c r="IP313" s="282" t="s">
        <v>319</v>
      </c>
      <c r="IQ313" s="287" t="str">
        <f t="shared" si="175"/>
        <v>3. Responsive</v>
      </c>
      <c r="IR313" s="287">
        <f t="shared" si="176"/>
        <v>3</v>
      </c>
      <c r="IS313" s="282" t="s">
        <v>622</v>
      </c>
      <c r="IT313" s="282" t="s">
        <v>319</v>
      </c>
      <c r="IU313" s="282" t="s">
        <v>320</v>
      </c>
      <c r="IV313" s="282" t="s">
        <v>320</v>
      </c>
      <c r="IW313" s="11" t="str">
        <f t="shared" si="177"/>
        <v>3. Responsive</v>
      </c>
      <c r="IX313" s="287">
        <f t="shared" si="178"/>
        <v>2</v>
      </c>
      <c r="IY313" s="282" t="s">
        <v>338</v>
      </c>
      <c r="IZ313" s="282" t="s">
        <v>457</v>
      </c>
      <c r="JA313" s="282">
        <v>1</v>
      </c>
      <c r="JB313" s="282" t="s">
        <v>687</v>
      </c>
      <c r="JC313" s="282"/>
      <c r="JD313" s="282"/>
      <c r="JE313" s="282" t="s">
        <v>340</v>
      </c>
      <c r="JF313" s="282" t="s">
        <v>5621</v>
      </c>
      <c r="JG313" s="282" t="s">
        <v>5622</v>
      </c>
      <c r="JH313" s="282" t="s">
        <v>5623</v>
      </c>
      <c r="JI313" s="282" t="s">
        <v>5624</v>
      </c>
      <c r="JJ313" s="282" t="s">
        <v>5625</v>
      </c>
      <c r="JK313" s="282" t="s">
        <v>5626</v>
      </c>
      <c r="JL313" s="282" t="s">
        <v>5627</v>
      </c>
      <c r="JM313" s="282" t="s">
        <v>5628</v>
      </c>
      <c r="JN313" s="282" t="s">
        <v>5629</v>
      </c>
      <c r="JO313" s="282"/>
      <c r="JP313" s="15">
        <f t="shared" si="179"/>
        <v>0</v>
      </c>
      <c r="JQ313" s="15">
        <f t="shared" si="180"/>
        <v>0</v>
      </c>
      <c r="JR313" s="279" t="str">
        <f t="shared" si="181"/>
        <v/>
      </c>
      <c r="JS313" s="17" t="str">
        <f t="shared" si="182"/>
        <v/>
      </c>
      <c r="JT313" s="18" t="str">
        <f t="shared" si="183"/>
        <v/>
      </c>
      <c r="JU313" s="280">
        <f t="shared" si="184"/>
        <v>0</v>
      </c>
      <c r="JV313" s="280">
        <f t="shared" si="185"/>
        <v>0</v>
      </c>
      <c r="JW313" s="319" t="str">
        <f t="shared" si="186"/>
        <v/>
      </c>
      <c r="JX313" s="15">
        <f t="shared" si="187"/>
        <v>0</v>
      </c>
      <c r="JY313" s="15">
        <f t="shared" si="188"/>
        <v>0</v>
      </c>
      <c r="JZ313" s="19" t="str">
        <f t="shared" si="189"/>
        <v/>
      </c>
      <c r="KA313" s="52">
        <f t="shared" si="190"/>
        <v>1</v>
      </c>
      <c r="KB313" s="15">
        <f t="shared" si="191"/>
        <v>0</v>
      </c>
      <c r="KC313" s="15">
        <f t="shared" si="192"/>
        <v>0</v>
      </c>
      <c r="KD313" s="20" t="str">
        <f t="shared" si="193"/>
        <v/>
      </c>
      <c r="KE313" s="52">
        <f t="shared" si="194"/>
        <v>1</v>
      </c>
      <c r="KF313" s="15">
        <f t="shared" si="195"/>
        <v>0</v>
      </c>
      <c r="KG313" s="15">
        <f t="shared" si="196"/>
        <v>0</v>
      </c>
      <c r="KH313" s="21" t="str">
        <f t="shared" si="197"/>
        <v/>
      </c>
      <c r="KI313" s="52" t="str">
        <f t="shared" si="198"/>
        <v/>
      </c>
      <c r="KJ313" s="15">
        <f t="shared" si="199"/>
        <v>0</v>
      </c>
      <c r="KK313" s="15">
        <f t="shared" si="200"/>
        <v>0</v>
      </c>
      <c r="KL313" s="19" t="str">
        <f t="shared" si="201"/>
        <v/>
      </c>
      <c r="KM313" s="52" t="str">
        <f t="shared" si="202"/>
        <v/>
      </c>
      <c r="KN313" s="22">
        <f t="shared" si="203"/>
        <v>0</v>
      </c>
      <c r="KO313" s="22">
        <f t="shared" si="204"/>
        <v>0</v>
      </c>
      <c r="KP313" s="19" t="str">
        <f t="shared" si="205"/>
        <v/>
      </c>
      <c r="KQ313" s="11" t="str">
        <f t="shared" si="206"/>
        <v>3. Responsive</v>
      </c>
      <c r="KR313" s="11" t="str">
        <f t="shared" si="207"/>
        <v>3. Responsive</v>
      </c>
      <c r="KS313" s="11" t="str">
        <f t="shared" si="208"/>
        <v>3. Responsive</v>
      </c>
      <c r="KT313" s="11" t="str">
        <f t="shared" si="209"/>
        <v>It did not develop any specific innovation</v>
      </c>
      <c r="KU313" s="11" t="str">
        <f t="shared" si="210"/>
        <v>Intensive advocacy</v>
      </c>
      <c r="KV313" s="11" t="str">
        <f t="shared" si="211"/>
        <v>It linked and worked with strategic alliances and partners to take tested and effective solutions to scale</v>
      </c>
      <c r="KW313" s="11" t="str">
        <f t="shared" si="212"/>
        <v>India - National Level Technical Support to National Rural Livelihoods Mission (NRLM) to Integrate Health Interventions in Self-Help Groups</v>
      </c>
      <c r="KX313" s="11" t="str">
        <f t="shared" si="213"/>
        <v>National Level Technical Support to National Rural Livelihoods Mission (NRLM) to Integrate Health Interventions in Self-Help Groups</v>
      </c>
      <c r="KY313" s="11" t="str">
        <f t="shared" si="214"/>
        <v>India</v>
      </c>
      <c r="KZ313" s="287">
        <v>313</v>
      </c>
    </row>
    <row r="314" spans="1:312" x14ac:dyDescent="0.3">
      <c r="A314" s="11" t="s">
        <v>5300</v>
      </c>
      <c r="B314" s="11" t="s">
        <v>306</v>
      </c>
      <c r="C314" s="11">
        <v>3016</v>
      </c>
      <c r="D314" s="11" t="s">
        <v>5630</v>
      </c>
      <c r="E314" s="24" t="str">
        <f t="shared" si="172"/>
        <v>India</v>
      </c>
      <c r="F314" s="11" t="s">
        <v>5631</v>
      </c>
      <c r="G314" s="11" t="s">
        <v>5302</v>
      </c>
      <c r="H314" s="11" t="s">
        <v>489</v>
      </c>
      <c r="I314" s="11" t="s">
        <v>384</v>
      </c>
      <c r="J314" s="278" t="s">
        <v>2248</v>
      </c>
      <c r="BD314" s="23">
        <v>42278</v>
      </c>
      <c r="BE314" s="23">
        <v>43008</v>
      </c>
      <c r="BF314" s="23">
        <v>43100</v>
      </c>
      <c r="BG314" s="11" t="s">
        <v>490</v>
      </c>
      <c r="BH314" s="22">
        <v>325000</v>
      </c>
      <c r="BI314" s="11" t="s">
        <v>5632</v>
      </c>
      <c r="BJ314" s="11" t="s">
        <v>354</v>
      </c>
      <c r="BK314" s="11" t="s">
        <v>5633</v>
      </c>
      <c r="BL314" s="11" t="s">
        <v>5634</v>
      </c>
      <c r="BM314" s="11" t="s">
        <v>5635</v>
      </c>
      <c r="BN314" s="11" t="s">
        <v>5636</v>
      </c>
      <c r="BO314" s="12" t="s">
        <v>319</v>
      </c>
      <c r="BP314" s="12" t="s">
        <v>320</v>
      </c>
      <c r="BQ314" s="12" t="s">
        <v>319</v>
      </c>
      <c r="BR314" s="11" t="s">
        <v>5637</v>
      </c>
      <c r="BS314" s="11" t="s">
        <v>357</v>
      </c>
      <c r="BT314" s="11" t="s">
        <v>5638</v>
      </c>
      <c r="BU314" s="11" t="s">
        <v>5639</v>
      </c>
      <c r="BV314" s="22">
        <v>22000</v>
      </c>
      <c r="BX314" s="22">
        <v>22000</v>
      </c>
      <c r="BY314" s="22">
        <v>71914</v>
      </c>
      <c r="BZ314" s="22">
        <v>81887</v>
      </c>
      <c r="CA314" s="22">
        <v>153801</v>
      </c>
      <c r="CB314" s="15" t="s">
        <v>5640</v>
      </c>
      <c r="CL314" s="18"/>
      <c r="CP314" s="18"/>
      <c r="CT314" s="18"/>
      <c r="CX314" s="18"/>
      <c r="DB314" s="18"/>
      <c r="DF314" s="18"/>
      <c r="DJ314" s="18"/>
      <c r="DN314" s="18"/>
      <c r="DR314" s="18"/>
      <c r="DV314" s="18"/>
      <c r="DZ314" s="18"/>
      <c r="ED314" s="18"/>
      <c r="EI314" s="18"/>
      <c r="EK314" s="22">
        <v>13280</v>
      </c>
      <c r="EL314" s="22">
        <v>534</v>
      </c>
      <c r="EM314" s="22">
        <v>13814</v>
      </c>
      <c r="EN314" s="22">
        <v>32214</v>
      </c>
      <c r="EO314" s="22">
        <v>36856</v>
      </c>
      <c r="EP314" s="22">
        <v>69070</v>
      </c>
      <c r="EQ314" s="12" t="s">
        <v>319</v>
      </c>
      <c r="ES314" s="18"/>
      <c r="EU314" s="11" t="s">
        <v>319</v>
      </c>
      <c r="EW314" s="18"/>
      <c r="EY314" s="12" t="s">
        <v>319</v>
      </c>
      <c r="FA314" s="18"/>
      <c r="FC314" s="12" t="s">
        <v>319</v>
      </c>
      <c r="FE314" s="18"/>
      <c r="FG314" s="12" t="s">
        <v>319</v>
      </c>
      <c r="FI314" s="18"/>
      <c r="FK314" s="11" t="s">
        <v>319</v>
      </c>
      <c r="FM314" s="18"/>
      <c r="FO314" s="11" t="s">
        <v>319</v>
      </c>
      <c r="FQ314" s="18"/>
      <c r="FS314" s="11" t="s">
        <v>319</v>
      </c>
      <c r="FU314" s="18"/>
      <c r="FW314" s="11" t="s">
        <v>320</v>
      </c>
      <c r="FX314" s="22">
        <v>4223</v>
      </c>
      <c r="FY314" s="18">
        <v>0.87350000000000005</v>
      </c>
      <c r="FZ314" s="22">
        <v>21115</v>
      </c>
      <c r="GA314" s="11" t="s">
        <v>320</v>
      </c>
      <c r="GB314" s="22">
        <v>1170</v>
      </c>
      <c r="GC314" s="18">
        <v>1</v>
      </c>
      <c r="GD314" s="22">
        <v>5850</v>
      </c>
      <c r="GE314" s="11" t="s">
        <v>319</v>
      </c>
      <c r="GG314" s="18"/>
      <c r="GI314" s="11" t="s">
        <v>319</v>
      </c>
      <c r="GK314" s="18"/>
      <c r="GM314" s="11" t="s">
        <v>319</v>
      </c>
      <c r="GO314" s="18"/>
      <c r="GQ314" s="12" t="s">
        <v>320</v>
      </c>
      <c r="GR314" s="22">
        <v>13280</v>
      </c>
      <c r="GS314" s="18">
        <v>1</v>
      </c>
      <c r="GT314" s="22">
        <v>66400</v>
      </c>
      <c r="GU314" s="11" t="s">
        <v>319</v>
      </c>
      <c r="GW314" s="18"/>
      <c r="GY314" s="11" t="s">
        <v>319</v>
      </c>
      <c r="HA314" s="18"/>
      <c r="HF314" s="18"/>
      <c r="HH314" s="11" t="s">
        <v>319</v>
      </c>
      <c r="HK314" s="11" t="s">
        <v>319</v>
      </c>
      <c r="HL314" s="11" t="s">
        <v>320</v>
      </c>
      <c r="HM314" s="11" t="s">
        <v>328</v>
      </c>
      <c r="HN314" s="11">
        <v>2017</v>
      </c>
      <c r="HP314" s="11" t="s">
        <v>330</v>
      </c>
      <c r="HQ314" s="11" t="s">
        <v>319</v>
      </c>
      <c r="HR314" s="11" t="s">
        <v>319</v>
      </c>
      <c r="HS314" s="11" t="s">
        <v>320</v>
      </c>
      <c r="HT314" s="11" t="s">
        <v>320</v>
      </c>
      <c r="HU314" s="11" t="s">
        <v>320</v>
      </c>
      <c r="HV314" s="11" t="s">
        <v>320</v>
      </c>
      <c r="HW314" s="11" t="s">
        <v>319</v>
      </c>
      <c r="HZ314" s="11" t="s">
        <v>363</v>
      </c>
      <c r="IB314" s="11" t="s">
        <v>667</v>
      </c>
      <c r="IC314" s="11" t="s">
        <v>5641</v>
      </c>
      <c r="ID314" s="11" t="s">
        <v>334</v>
      </c>
      <c r="IE314" s="11" t="s">
        <v>478</v>
      </c>
      <c r="IF314" s="11" t="s">
        <v>320</v>
      </c>
      <c r="IG314" s="11" t="s">
        <v>320</v>
      </c>
      <c r="IH314" s="11" t="s">
        <v>319</v>
      </c>
      <c r="II314" s="11" t="s">
        <v>320</v>
      </c>
      <c r="IJ314" s="12" t="str">
        <f t="shared" si="173"/>
        <v>3. Responsive</v>
      </c>
      <c r="IK314" s="12">
        <f t="shared" si="174"/>
        <v>3</v>
      </c>
      <c r="IL314" s="11" t="s">
        <v>336</v>
      </c>
      <c r="IM314" s="11" t="s">
        <v>320</v>
      </c>
      <c r="IN314" s="11" t="s">
        <v>320</v>
      </c>
      <c r="IO314" s="11" t="s">
        <v>320</v>
      </c>
      <c r="IP314" s="11" t="s">
        <v>319</v>
      </c>
      <c r="IQ314" s="12" t="str">
        <f t="shared" si="175"/>
        <v>2. Accommodating</v>
      </c>
      <c r="IR314" s="12">
        <f t="shared" si="176"/>
        <v>3</v>
      </c>
      <c r="IS314" s="11" t="s">
        <v>622</v>
      </c>
      <c r="IT314" s="11" t="s">
        <v>320</v>
      </c>
      <c r="IU314" s="11" t="s">
        <v>319</v>
      </c>
      <c r="IV314" s="11" t="s">
        <v>320</v>
      </c>
      <c r="IW314" s="11" t="str">
        <f t="shared" si="177"/>
        <v>3. Responsive</v>
      </c>
      <c r="IX314" s="12">
        <f t="shared" si="178"/>
        <v>2</v>
      </c>
      <c r="IY314" s="11" t="s">
        <v>338</v>
      </c>
      <c r="IZ314" s="11" t="s">
        <v>339</v>
      </c>
      <c r="JE314" s="11" t="s">
        <v>365</v>
      </c>
      <c r="JF314" s="11" t="s">
        <v>5642</v>
      </c>
      <c r="JG314" s="11" t="s">
        <v>5643</v>
      </c>
      <c r="JH314" s="11" t="s">
        <v>5644</v>
      </c>
      <c r="JI314" s="11" t="s">
        <v>5645</v>
      </c>
      <c r="JJ314" s="11" t="s">
        <v>5646</v>
      </c>
      <c r="JK314" s="11" t="s">
        <v>5647</v>
      </c>
      <c r="JL314" s="11" t="s">
        <v>5648</v>
      </c>
      <c r="JM314" s="11" t="s">
        <v>5649</v>
      </c>
      <c r="JP314" s="15">
        <f t="shared" si="179"/>
        <v>13814</v>
      </c>
      <c r="JQ314" s="15">
        <f t="shared" si="180"/>
        <v>69070</v>
      </c>
      <c r="JR314" s="279">
        <f t="shared" si="181"/>
        <v>5</v>
      </c>
      <c r="JS314" s="17">
        <f t="shared" si="182"/>
        <v>0.96134356449978287</v>
      </c>
      <c r="JT314" s="18">
        <f t="shared" si="183"/>
        <v>0.46639640943969884</v>
      </c>
      <c r="JU314" s="280">
        <f t="shared" si="184"/>
        <v>13280</v>
      </c>
      <c r="JV314" s="280">
        <f t="shared" si="185"/>
        <v>32214</v>
      </c>
      <c r="JW314" s="319" t="str">
        <f t="shared" si="186"/>
        <v/>
      </c>
      <c r="JX314" s="15">
        <f t="shared" si="187"/>
        <v>0</v>
      </c>
      <c r="JY314" s="15">
        <f t="shared" si="188"/>
        <v>0</v>
      </c>
      <c r="JZ314" s="19" t="str">
        <f t="shared" si="189"/>
        <v/>
      </c>
      <c r="KA314" s="52" t="str">
        <f t="shared" si="190"/>
        <v/>
      </c>
      <c r="KB314" s="15">
        <f t="shared" si="191"/>
        <v>0</v>
      </c>
      <c r="KC314" s="15">
        <f t="shared" si="192"/>
        <v>0</v>
      </c>
      <c r="KD314" s="20" t="str">
        <f t="shared" si="193"/>
        <v/>
      </c>
      <c r="KE314" s="52">
        <f t="shared" si="194"/>
        <v>1</v>
      </c>
      <c r="KF314" s="15">
        <f t="shared" si="195"/>
        <v>13280</v>
      </c>
      <c r="KG314" s="15">
        <f t="shared" si="196"/>
        <v>66400</v>
      </c>
      <c r="KH314" s="21">
        <f t="shared" si="197"/>
        <v>5</v>
      </c>
      <c r="KI314" s="52" t="str">
        <f t="shared" si="198"/>
        <v/>
      </c>
      <c r="KJ314" s="15">
        <f t="shared" si="199"/>
        <v>0</v>
      </c>
      <c r="KK314" s="15">
        <f t="shared" si="200"/>
        <v>0</v>
      </c>
      <c r="KL314" s="19" t="str">
        <f t="shared" si="201"/>
        <v/>
      </c>
      <c r="KM314" s="52" t="str">
        <f t="shared" si="202"/>
        <v/>
      </c>
      <c r="KN314" s="22">
        <f t="shared" si="203"/>
        <v>0</v>
      </c>
      <c r="KO314" s="22">
        <f t="shared" si="204"/>
        <v>0</v>
      </c>
      <c r="KP314" s="19" t="str">
        <f t="shared" si="205"/>
        <v/>
      </c>
      <c r="KQ314" s="11" t="str">
        <f t="shared" si="206"/>
        <v>3. Responsive</v>
      </c>
      <c r="KR314" s="11" t="str">
        <f t="shared" si="207"/>
        <v>2. Accommodating</v>
      </c>
      <c r="KS314" s="11" t="str">
        <f t="shared" si="208"/>
        <v>3. Responsive</v>
      </c>
      <c r="KT314" s="11" t="str">
        <f t="shared" si="209"/>
        <v>It did not develop any specific innovation</v>
      </c>
      <c r="KU314" s="11" t="str">
        <f t="shared" si="210"/>
        <v>Moderate advocacy</v>
      </c>
      <c r="KV314" s="11" t="str">
        <f t="shared" si="211"/>
        <v>It took tested solutions to scale on its own</v>
      </c>
      <c r="KW314" s="11" t="str">
        <f t="shared" si="212"/>
        <v>India - New Born Survival Project (NBSP)</v>
      </c>
      <c r="KX314" s="11" t="str">
        <f t="shared" si="213"/>
        <v>New Born Survival Project (NBSP)</v>
      </c>
      <c r="KY314" s="11" t="str">
        <f t="shared" si="214"/>
        <v>India</v>
      </c>
      <c r="KZ314" s="287">
        <v>314</v>
      </c>
    </row>
    <row r="315" spans="1:312" x14ac:dyDescent="0.3">
      <c r="A315" s="11" t="s">
        <v>5300</v>
      </c>
      <c r="B315" s="11" t="s">
        <v>306</v>
      </c>
      <c r="C315" s="11">
        <v>3003</v>
      </c>
      <c r="D315" s="11" t="s">
        <v>5650</v>
      </c>
      <c r="E315" s="24" t="str">
        <f t="shared" si="172"/>
        <v>India</v>
      </c>
      <c r="F315" s="11" t="s">
        <v>5651</v>
      </c>
      <c r="G315" s="11" t="s">
        <v>5302</v>
      </c>
      <c r="H315" s="11" t="s">
        <v>383</v>
      </c>
      <c r="I315" s="11" t="s">
        <v>384</v>
      </c>
      <c r="J315" s="278" t="s">
        <v>5652</v>
      </c>
      <c r="BD315" s="23">
        <v>42339</v>
      </c>
      <c r="BE315" s="23">
        <v>42644</v>
      </c>
      <c r="BF315" s="23">
        <v>43008</v>
      </c>
      <c r="BG315" s="11" t="s">
        <v>312</v>
      </c>
      <c r="BH315" s="22">
        <v>263580</v>
      </c>
      <c r="BI315" s="11" t="s">
        <v>5653</v>
      </c>
      <c r="BJ315" s="11" t="s">
        <v>5654</v>
      </c>
      <c r="BK315" s="11" t="s">
        <v>5599</v>
      </c>
      <c r="BL315" s="11" t="s">
        <v>5655</v>
      </c>
      <c r="BM315" s="11" t="s">
        <v>444</v>
      </c>
      <c r="BN315" s="11" t="s">
        <v>5656</v>
      </c>
      <c r="BO315" s="12" t="s">
        <v>319</v>
      </c>
      <c r="BP315" s="12" t="s">
        <v>320</v>
      </c>
      <c r="BQ315" s="12" t="s">
        <v>319</v>
      </c>
      <c r="BR315" s="11" t="s">
        <v>5657</v>
      </c>
      <c r="BS315" s="11" t="s">
        <v>357</v>
      </c>
      <c r="BT315" s="11" t="s">
        <v>5658</v>
      </c>
      <c r="BU315" s="11" t="s">
        <v>5659</v>
      </c>
      <c r="BV315" s="22">
        <v>3898</v>
      </c>
      <c r="BW315" s="22">
        <v>2846</v>
      </c>
      <c r="BX315" s="22">
        <v>6744</v>
      </c>
      <c r="BY315" s="22">
        <v>6432</v>
      </c>
      <c r="BZ315" s="22">
        <v>6968</v>
      </c>
      <c r="CA315" s="22">
        <v>13400</v>
      </c>
      <c r="CB315" s="15" t="s">
        <v>5660</v>
      </c>
      <c r="CL315" s="18"/>
      <c r="CP315" s="18"/>
      <c r="CT315" s="18"/>
      <c r="CX315" s="18"/>
      <c r="DB315" s="18"/>
      <c r="DF315" s="18"/>
      <c r="DJ315" s="18"/>
      <c r="DN315" s="18"/>
      <c r="DR315" s="18"/>
      <c r="DV315" s="18"/>
      <c r="DZ315" s="18"/>
      <c r="ED315" s="18"/>
      <c r="EI315" s="18"/>
      <c r="EK315" s="22">
        <v>1669</v>
      </c>
      <c r="EL315" s="22">
        <v>742</v>
      </c>
      <c r="EM315" s="22">
        <v>2411</v>
      </c>
      <c r="EN315" s="22">
        <v>2893</v>
      </c>
      <c r="EO315" s="22">
        <v>2995</v>
      </c>
      <c r="EP315" s="22">
        <v>5888</v>
      </c>
      <c r="ES315" s="18"/>
      <c r="EW315" s="18"/>
      <c r="FA315" s="18"/>
      <c r="FE315" s="18"/>
      <c r="FI315" s="18"/>
      <c r="FK315" s="12" t="s">
        <v>320</v>
      </c>
      <c r="FL315" s="22">
        <v>2411</v>
      </c>
      <c r="FM315" s="18">
        <v>0.69</v>
      </c>
      <c r="FN315" s="22">
        <v>5888</v>
      </c>
      <c r="FQ315" s="18"/>
      <c r="FU315" s="18"/>
      <c r="FW315" s="11" t="s">
        <v>320</v>
      </c>
      <c r="FY315" s="18"/>
      <c r="GC315" s="18"/>
      <c r="GG315" s="18"/>
      <c r="GK315" s="18"/>
      <c r="GO315" s="18"/>
      <c r="GS315" s="18"/>
      <c r="GW315" s="18"/>
      <c r="HA315" s="18"/>
      <c r="HF315" s="18"/>
      <c r="HH315" s="11" t="s">
        <v>319</v>
      </c>
      <c r="HK315" s="11" t="s">
        <v>319</v>
      </c>
      <c r="HL315" s="11" t="s">
        <v>320</v>
      </c>
      <c r="HM315" s="11" t="s">
        <v>619</v>
      </c>
      <c r="HN315" s="11">
        <v>2017</v>
      </c>
      <c r="HO315" s="11" t="s">
        <v>5661</v>
      </c>
      <c r="HP315" s="11" t="s">
        <v>330</v>
      </c>
      <c r="HQ315" s="11" t="s">
        <v>319</v>
      </c>
      <c r="HR315" s="11" t="s">
        <v>319</v>
      </c>
      <c r="HS315" s="11" t="s">
        <v>320</v>
      </c>
      <c r="HT315" s="11" t="s">
        <v>320</v>
      </c>
      <c r="HU315" s="11" t="s">
        <v>319</v>
      </c>
      <c r="HV315" s="11" t="s">
        <v>319</v>
      </c>
      <c r="HW315" s="11" t="s">
        <v>319</v>
      </c>
      <c r="HX315" s="11" t="s">
        <v>319</v>
      </c>
      <c r="HZ315" s="11" t="s">
        <v>363</v>
      </c>
      <c r="IB315" s="11" t="s">
        <v>667</v>
      </c>
      <c r="IC315" s="11" t="s">
        <v>5662</v>
      </c>
      <c r="ID315" s="11" t="s">
        <v>364</v>
      </c>
      <c r="IE315" s="11" t="s">
        <v>335</v>
      </c>
      <c r="IF315" s="11" t="s">
        <v>320</v>
      </c>
      <c r="IG315" s="11" t="s">
        <v>320</v>
      </c>
      <c r="IH315" s="11" t="s">
        <v>320</v>
      </c>
      <c r="II315" s="11" t="s">
        <v>320</v>
      </c>
      <c r="IJ315" s="12" t="str">
        <f t="shared" si="173"/>
        <v>2. Sensitive</v>
      </c>
      <c r="IK315" s="12">
        <f t="shared" si="174"/>
        <v>4</v>
      </c>
      <c r="IL315" s="11" t="s">
        <v>336</v>
      </c>
      <c r="IM315" s="11" t="s">
        <v>320</v>
      </c>
      <c r="IN315" s="11" t="s">
        <v>320</v>
      </c>
      <c r="IO315" s="11" t="s">
        <v>320</v>
      </c>
      <c r="IP315" s="11" t="s">
        <v>320</v>
      </c>
      <c r="IQ315" s="12" t="str">
        <f t="shared" si="175"/>
        <v>2. Accommodating</v>
      </c>
      <c r="IR315" s="12">
        <f t="shared" si="176"/>
        <v>4</v>
      </c>
      <c r="IS315" s="11" t="s">
        <v>622</v>
      </c>
      <c r="IT315" s="11" t="s">
        <v>319</v>
      </c>
      <c r="IU315" s="11" t="s">
        <v>320</v>
      </c>
      <c r="IV315" s="11" t="s">
        <v>319</v>
      </c>
      <c r="IW315" s="11" t="str">
        <f t="shared" si="177"/>
        <v>3. Responsive</v>
      </c>
      <c r="IX315" s="12">
        <f t="shared" si="178"/>
        <v>1</v>
      </c>
      <c r="IY315" s="11" t="s">
        <v>338</v>
      </c>
      <c r="IZ315" s="11" t="s">
        <v>457</v>
      </c>
      <c r="JA315" s="11">
        <v>2</v>
      </c>
      <c r="JB315" s="11" t="s">
        <v>687</v>
      </c>
      <c r="JC315" s="12" t="s">
        <v>651</v>
      </c>
      <c r="JE315" s="11" t="s">
        <v>340</v>
      </c>
      <c r="JF315" s="11" t="s">
        <v>5663</v>
      </c>
      <c r="JG315" s="11" t="s">
        <v>5664</v>
      </c>
      <c r="JH315" s="11" t="s">
        <v>5665</v>
      </c>
      <c r="JI315" s="11" t="s">
        <v>5666</v>
      </c>
      <c r="JJ315" s="11" t="s">
        <v>5667</v>
      </c>
      <c r="JK315" s="11" t="s">
        <v>5668</v>
      </c>
      <c r="JL315" s="11" t="s">
        <v>5669</v>
      </c>
      <c r="JM315" s="11" t="s">
        <v>5670</v>
      </c>
      <c r="JN315" s="11" t="s">
        <v>5671</v>
      </c>
      <c r="JO315" s="11" t="s">
        <v>5672</v>
      </c>
      <c r="JP315" s="15">
        <f t="shared" si="179"/>
        <v>2411</v>
      </c>
      <c r="JQ315" s="15">
        <f t="shared" si="180"/>
        <v>5888</v>
      </c>
      <c r="JR315" s="279">
        <f t="shared" si="181"/>
        <v>2.4421401907922022</v>
      </c>
      <c r="JS315" s="17">
        <f t="shared" si="182"/>
        <v>0.69224388220655331</v>
      </c>
      <c r="JT315" s="18">
        <f t="shared" si="183"/>
        <v>0.4913383152173913</v>
      </c>
      <c r="JU315" s="280">
        <f t="shared" si="184"/>
        <v>1669</v>
      </c>
      <c r="JV315" s="280">
        <f t="shared" si="185"/>
        <v>2893</v>
      </c>
      <c r="JW315" s="319" t="str">
        <f t="shared" si="186"/>
        <v/>
      </c>
      <c r="JX315" s="15">
        <f t="shared" si="187"/>
        <v>0</v>
      </c>
      <c r="JY315" s="15">
        <f t="shared" si="188"/>
        <v>0</v>
      </c>
      <c r="JZ315" s="19" t="str">
        <f t="shared" si="189"/>
        <v/>
      </c>
      <c r="KA315" s="52" t="str">
        <f t="shared" si="190"/>
        <v/>
      </c>
      <c r="KB315" s="15">
        <f t="shared" si="191"/>
        <v>0</v>
      </c>
      <c r="KC315" s="15">
        <f t="shared" si="192"/>
        <v>0</v>
      </c>
      <c r="KD315" s="20" t="str">
        <f t="shared" si="193"/>
        <v/>
      </c>
      <c r="KE315" s="52" t="str">
        <f t="shared" si="194"/>
        <v/>
      </c>
      <c r="KF315" s="15">
        <f t="shared" si="195"/>
        <v>0</v>
      </c>
      <c r="KG315" s="15">
        <f t="shared" si="196"/>
        <v>0</v>
      </c>
      <c r="KH315" s="21" t="str">
        <f t="shared" si="197"/>
        <v/>
      </c>
      <c r="KI315" s="52" t="str">
        <f t="shared" si="198"/>
        <v/>
      </c>
      <c r="KJ315" s="15">
        <f t="shared" si="199"/>
        <v>0</v>
      </c>
      <c r="KK315" s="15">
        <f t="shared" si="200"/>
        <v>0</v>
      </c>
      <c r="KL315" s="19" t="str">
        <f t="shared" si="201"/>
        <v/>
      </c>
      <c r="KM315" s="52" t="str">
        <f t="shared" si="202"/>
        <v/>
      </c>
      <c r="KN315" s="22">
        <f t="shared" si="203"/>
        <v>0</v>
      </c>
      <c r="KO315" s="22">
        <f t="shared" si="204"/>
        <v>0</v>
      </c>
      <c r="KP315" s="19" t="str">
        <f t="shared" si="205"/>
        <v/>
      </c>
      <c r="KQ315" s="11" t="str">
        <f t="shared" si="206"/>
        <v>2. Sensitive</v>
      </c>
      <c r="KR315" s="11" t="str">
        <f t="shared" si="207"/>
        <v>2. Accommodating</v>
      </c>
      <c r="KS315" s="11" t="str">
        <f t="shared" si="208"/>
        <v>3. Responsive</v>
      </c>
      <c r="KT315" s="11" t="str">
        <f t="shared" si="209"/>
        <v>It did not develop any specific innovation</v>
      </c>
      <c r="KU315" s="11" t="str">
        <f t="shared" si="210"/>
        <v>Moderate advocacy</v>
      </c>
      <c r="KV315" s="11" t="str">
        <f t="shared" si="211"/>
        <v>It took tested solutions to scale on its own</v>
      </c>
      <c r="KW315" s="11" t="str">
        <f t="shared" si="212"/>
        <v>India - Pragathi</v>
      </c>
      <c r="KX315" s="11" t="str">
        <f t="shared" si="213"/>
        <v>Pragathi</v>
      </c>
      <c r="KY315" s="11" t="str">
        <f t="shared" si="214"/>
        <v>India</v>
      </c>
      <c r="KZ315" s="12">
        <v>315</v>
      </c>
    </row>
    <row r="316" spans="1:312" x14ac:dyDescent="0.3">
      <c r="A316" s="11" t="s">
        <v>5300</v>
      </c>
      <c r="B316" s="11" t="s">
        <v>306</v>
      </c>
      <c r="C316" s="11">
        <v>3038</v>
      </c>
      <c r="D316" s="11" t="s">
        <v>5818</v>
      </c>
      <c r="E316" s="24" t="str">
        <f t="shared" si="172"/>
        <v>India</v>
      </c>
      <c r="F316" s="11" t="s">
        <v>5819</v>
      </c>
      <c r="G316" s="11" t="s">
        <v>488</v>
      </c>
      <c r="H316" s="11" t="s">
        <v>310</v>
      </c>
      <c r="I316" s="11" t="s">
        <v>506</v>
      </c>
      <c r="J316" s="278" t="s">
        <v>9230</v>
      </c>
      <c r="BD316" s="23">
        <v>41913</v>
      </c>
      <c r="BE316" s="23">
        <v>42460</v>
      </c>
      <c r="BF316" s="23">
        <v>42735</v>
      </c>
      <c r="BG316" s="11" t="s">
        <v>312</v>
      </c>
      <c r="BH316" s="22">
        <v>388839</v>
      </c>
      <c r="BI316" s="11" t="s">
        <v>5352</v>
      </c>
      <c r="BJ316" s="11" t="s">
        <v>444</v>
      </c>
      <c r="BK316" s="11" t="s">
        <v>5353</v>
      </c>
      <c r="BO316" s="11" t="s">
        <v>319</v>
      </c>
      <c r="BP316" s="11" t="s">
        <v>320</v>
      </c>
      <c r="BQ316" s="11" t="s">
        <v>319</v>
      </c>
      <c r="BR316" s="11" t="s">
        <v>5820</v>
      </c>
      <c r="BS316" s="11" t="s">
        <v>357</v>
      </c>
      <c r="BT316" s="11" t="s">
        <v>5821</v>
      </c>
      <c r="BU316" s="11" t="s">
        <v>5822</v>
      </c>
      <c r="CB316" s="15" t="s">
        <v>5823</v>
      </c>
      <c r="CL316" s="18"/>
      <c r="CP316" s="18"/>
      <c r="CT316" s="18"/>
      <c r="CX316" s="18"/>
      <c r="DB316" s="18"/>
      <c r="DF316" s="18"/>
      <c r="DJ316" s="18"/>
      <c r="DN316" s="18"/>
      <c r="DR316" s="18"/>
      <c r="DV316" s="18"/>
      <c r="DZ316" s="18"/>
      <c r="ED316" s="18"/>
      <c r="EI316" s="18"/>
      <c r="ES316" s="18"/>
      <c r="EW316" s="18"/>
      <c r="FA316" s="18"/>
      <c r="FE316" s="18"/>
      <c r="FI316" s="18"/>
      <c r="FM316" s="18"/>
      <c r="FQ316" s="18"/>
      <c r="FU316" s="18"/>
      <c r="FY316" s="18"/>
      <c r="GC316" s="18"/>
      <c r="GG316" s="18"/>
      <c r="GK316" s="18"/>
      <c r="GM316" s="11" t="s">
        <v>320</v>
      </c>
      <c r="GO316" s="18"/>
      <c r="GS316" s="18"/>
      <c r="GW316" s="18"/>
      <c r="GY316" s="11" t="s">
        <v>320</v>
      </c>
      <c r="HA316" s="18"/>
      <c r="HF316" s="18"/>
      <c r="HH316" s="11" t="s">
        <v>319</v>
      </c>
      <c r="HK316" s="11" t="s">
        <v>319</v>
      </c>
      <c r="HL316" s="11" t="s">
        <v>319</v>
      </c>
      <c r="HP316" s="11" t="s">
        <v>418</v>
      </c>
      <c r="IJ316" s="12" t="str">
        <f t="shared" si="173"/>
        <v>No marker score</v>
      </c>
      <c r="IK316" s="12">
        <f t="shared" si="174"/>
        <v>0</v>
      </c>
      <c r="IQ316" s="12" t="str">
        <f t="shared" si="175"/>
        <v>No marker score</v>
      </c>
      <c r="IR316" s="12">
        <f t="shared" si="176"/>
        <v>0</v>
      </c>
      <c r="IW316" s="11" t="str">
        <f t="shared" si="177"/>
        <v>No marker score</v>
      </c>
      <c r="IX316" s="12">
        <f t="shared" si="178"/>
        <v>0</v>
      </c>
      <c r="IZ316" s="11" t="s">
        <v>339</v>
      </c>
      <c r="JE316" s="11" t="s">
        <v>420</v>
      </c>
      <c r="JN316" s="11" t="s">
        <v>5824</v>
      </c>
      <c r="JO316" s="11" t="s">
        <v>5825</v>
      </c>
      <c r="JP316" s="15">
        <f t="shared" si="179"/>
        <v>0</v>
      </c>
      <c r="JQ316" s="15">
        <f t="shared" si="180"/>
        <v>0</v>
      </c>
      <c r="JR316" s="279" t="str">
        <f t="shared" si="181"/>
        <v/>
      </c>
      <c r="JS316" s="17" t="str">
        <f t="shared" si="182"/>
        <v/>
      </c>
      <c r="JT316" s="18" t="str">
        <f t="shared" si="183"/>
        <v/>
      </c>
      <c r="JU316" s="280">
        <f t="shared" si="184"/>
        <v>0</v>
      </c>
      <c r="JV316" s="280">
        <f t="shared" si="185"/>
        <v>0</v>
      </c>
      <c r="JW316" s="319" t="str">
        <f t="shared" si="186"/>
        <v/>
      </c>
      <c r="JX316" s="15">
        <f t="shared" si="187"/>
        <v>0</v>
      </c>
      <c r="JY316" s="15">
        <f t="shared" si="188"/>
        <v>0</v>
      </c>
      <c r="JZ316" s="19" t="str">
        <f t="shared" si="189"/>
        <v/>
      </c>
      <c r="KA316" s="52" t="str">
        <f t="shared" si="190"/>
        <v/>
      </c>
      <c r="KB316" s="15">
        <f t="shared" si="191"/>
        <v>0</v>
      </c>
      <c r="KC316" s="15">
        <f t="shared" si="192"/>
        <v>0</v>
      </c>
      <c r="KD316" s="20" t="str">
        <f t="shared" si="193"/>
        <v/>
      </c>
      <c r="KE316" s="52" t="str">
        <f t="shared" si="194"/>
        <v/>
      </c>
      <c r="KF316" s="15">
        <f t="shared" si="195"/>
        <v>0</v>
      </c>
      <c r="KG316" s="15">
        <f t="shared" si="196"/>
        <v>0</v>
      </c>
      <c r="KH316" s="21" t="str">
        <f t="shared" si="197"/>
        <v/>
      </c>
      <c r="KI316" s="52" t="str">
        <f t="shared" si="198"/>
        <v/>
      </c>
      <c r="KJ316" s="15">
        <f t="shared" si="199"/>
        <v>0</v>
      </c>
      <c r="KK316" s="15">
        <f t="shared" si="200"/>
        <v>0</v>
      </c>
      <c r="KL316" s="19" t="str">
        <f t="shared" si="201"/>
        <v/>
      </c>
      <c r="KM316" s="52">
        <f t="shared" si="202"/>
        <v>1</v>
      </c>
      <c r="KN316" s="22">
        <f t="shared" si="203"/>
        <v>0</v>
      </c>
      <c r="KO316" s="22">
        <f t="shared" si="204"/>
        <v>0</v>
      </c>
      <c r="KP316" s="19" t="str">
        <f t="shared" si="205"/>
        <v/>
      </c>
      <c r="KQ316" s="11" t="str">
        <f t="shared" si="206"/>
        <v>No marker score</v>
      </c>
      <c r="KR316" s="11" t="str">
        <f t="shared" si="207"/>
        <v>No marker score</v>
      </c>
      <c r="KS316" s="11" t="str">
        <f t="shared" si="208"/>
        <v>No marker score</v>
      </c>
      <c r="KT316" s="11">
        <f t="shared" si="209"/>
        <v>0</v>
      </c>
      <c r="KU316" s="11" t="str">
        <f t="shared" si="210"/>
        <v>Little or no advocacy</v>
      </c>
      <c r="KV316" s="11">
        <f t="shared" si="211"/>
        <v>0</v>
      </c>
      <c r="KW316" s="11" t="str">
        <f t="shared" si="212"/>
        <v>India - Program Partnership Agreement (PPA) 4 Extension</v>
      </c>
      <c r="KX316" s="11" t="str">
        <f t="shared" si="213"/>
        <v>Program Partnership Agreement (PPA) 4 Extension</v>
      </c>
      <c r="KY316" s="11" t="str">
        <f t="shared" si="214"/>
        <v>India</v>
      </c>
      <c r="KZ316" s="12">
        <v>316</v>
      </c>
    </row>
    <row r="317" spans="1:312" x14ac:dyDescent="0.3">
      <c r="A317" s="11" t="s">
        <v>5300</v>
      </c>
      <c r="B317" s="11" t="s">
        <v>306</v>
      </c>
      <c r="D317" s="11" t="s">
        <v>5899</v>
      </c>
      <c r="E317" s="24" t="str">
        <f t="shared" si="172"/>
        <v>India</v>
      </c>
      <c r="G317" s="11" t="s">
        <v>5302</v>
      </c>
      <c r="H317" s="11" t="s">
        <v>384</v>
      </c>
      <c r="I317" s="11" t="s">
        <v>384</v>
      </c>
      <c r="J317" s="278" t="s">
        <v>5578</v>
      </c>
      <c r="BD317" s="23">
        <v>42736</v>
      </c>
      <c r="BE317" s="23">
        <v>43100</v>
      </c>
      <c r="BG317" s="11" t="s">
        <v>350</v>
      </c>
      <c r="BH317" s="22">
        <v>233625</v>
      </c>
      <c r="BI317" s="11" t="s">
        <v>5900</v>
      </c>
      <c r="BJ317" s="11" t="s">
        <v>354</v>
      </c>
      <c r="BK317" s="11" t="s">
        <v>5901</v>
      </c>
      <c r="BO317" s="12" t="s">
        <v>319</v>
      </c>
      <c r="BP317" s="12" t="s">
        <v>320</v>
      </c>
      <c r="BQ317" s="12" t="s">
        <v>319</v>
      </c>
      <c r="BR317" s="11" t="s">
        <v>5902</v>
      </c>
      <c r="BS317" s="11" t="s">
        <v>357</v>
      </c>
      <c r="BT317" s="11" t="s">
        <v>5903</v>
      </c>
      <c r="BU317" s="11" t="s">
        <v>5904</v>
      </c>
      <c r="BV317" s="22">
        <v>2824</v>
      </c>
      <c r="BW317" s="22">
        <v>2972</v>
      </c>
      <c r="BX317" s="22">
        <v>5382</v>
      </c>
      <c r="BY317" s="22">
        <v>3071</v>
      </c>
      <c r="BZ317" s="22">
        <v>3321</v>
      </c>
      <c r="CA317" s="22">
        <v>6392</v>
      </c>
      <c r="CB317" s="15" t="s">
        <v>5905</v>
      </c>
      <c r="CL317" s="18"/>
      <c r="CP317" s="18"/>
      <c r="CT317" s="18"/>
      <c r="CX317" s="18"/>
      <c r="DB317" s="18"/>
      <c r="DF317" s="18"/>
      <c r="DJ317" s="18"/>
      <c r="DN317" s="18"/>
      <c r="DR317" s="18"/>
      <c r="DV317" s="18"/>
      <c r="DZ317" s="18"/>
      <c r="ED317" s="18"/>
      <c r="EI317" s="18"/>
      <c r="EK317" s="22">
        <v>113</v>
      </c>
      <c r="EL317" s="22">
        <v>4</v>
      </c>
      <c r="EM317" s="22">
        <v>117</v>
      </c>
      <c r="EN317" s="22">
        <v>319</v>
      </c>
      <c r="EO317" s="22">
        <v>29</v>
      </c>
      <c r="EP317" s="22">
        <v>348</v>
      </c>
      <c r="ES317" s="18"/>
      <c r="EW317" s="18"/>
      <c r="FA317" s="18"/>
      <c r="FE317" s="18"/>
      <c r="FI317" s="18"/>
      <c r="FK317" s="12" t="s">
        <v>320</v>
      </c>
      <c r="FL317" s="22">
        <v>26</v>
      </c>
      <c r="FM317" s="18">
        <v>0.85</v>
      </c>
      <c r="FN317" s="22">
        <v>49</v>
      </c>
      <c r="FQ317" s="18"/>
      <c r="FU317" s="18"/>
      <c r="FY317" s="18"/>
      <c r="GA317" s="11" t="s">
        <v>320</v>
      </c>
      <c r="GB317" s="22">
        <v>107</v>
      </c>
      <c r="GC317" s="18">
        <v>1</v>
      </c>
      <c r="GG317" s="18"/>
      <c r="GK317" s="18"/>
      <c r="GO317" s="18"/>
      <c r="GQ317" s="12" t="s">
        <v>320</v>
      </c>
      <c r="GR317" s="22">
        <v>48</v>
      </c>
      <c r="GS317" s="18">
        <v>1</v>
      </c>
      <c r="GW317" s="18"/>
      <c r="GY317" s="11" t="s">
        <v>320</v>
      </c>
      <c r="GZ317" s="22">
        <v>43</v>
      </c>
      <c r="HA317" s="18">
        <v>1</v>
      </c>
      <c r="HF317" s="18"/>
      <c r="HH317" s="11" t="s">
        <v>320</v>
      </c>
      <c r="HI317" s="11" t="s">
        <v>431</v>
      </c>
      <c r="HJ317" s="11">
        <v>2017</v>
      </c>
      <c r="HK317" s="11" t="s">
        <v>319</v>
      </c>
      <c r="HL317" s="11" t="s">
        <v>319</v>
      </c>
      <c r="HP317" s="11" t="s">
        <v>418</v>
      </c>
      <c r="HQ317" s="11" t="s">
        <v>319</v>
      </c>
      <c r="HR317" s="11" t="s">
        <v>319</v>
      </c>
      <c r="HS317" s="11" t="s">
        <v>320</v>
      </c>
      <c r="HT317" s="11" t="s">
        <v>320</v>
      </c>
      <c r="HU317" s="11" t="s">
        <v>319</v>
      </c>
      <c r="HV317" s="11" t="s">
        <v>319</v>
      </c>
      <c r="HW317" s="11" t="s">
        <v>319</v>
      </c>
      <c r="HX317" s="11" t="s">
        <v>319</v>
      </c>
      <c r="HZ317" s="11" t="s">
        <v>363</v>
      </c>
      <c r="IB317" s="11" t="s">
        <v>333</v>
      </c>
      <c r="ID317" s="11" t="s">
        <v>364</v>
      </c>
      <c r="IE317" s="11" t="s">
        <v>478</v>
      </c>
      <c r="IF317" s="11" t="s">
        <v>320</v>
      </c>
      <c r="IG317" s="11" t="s">
        <v>320</v>
      </c>
      <c r="IH317" s="11" t="s">
        <v>320</v>
      </c>
      <c r="II317" s="11" t="s">
        <v>319</v>
      </c>
      <c r="IJ317" s="12" t="str">
        <f t="shared" si="173"/>
        <v>3. Responsive</v>
      </c>
      <c r="IK317" s="12">
        <f t="shared" si="174"/>
        <v>3</v>
      </c>
      <c r="IL317" s="11" t="s">
        <v>621</v>
      </c>
      <c r="IM317" s="11" t="s">
        <v>320</v>
      </c>
      <c r="IN317" s="11" t="s">
        <v>320</v>
      </c>
      <c r="IO317" s="11" t="s">
        <v>319</v>
      </c>
      <c r="IP317" s="11" t="s">
        <v>319</v>
      </c>
      <c r="IQ317" s="12" t="str">
        <f t="shared" si="175"/>
        <v>3. Responsive</v>
      </c>
      <c r="IR317" s="12">
        <f t="shared" si="176"/>
        <v>2</v>
      </c>
      <c r="IS317" s="11" t="s">
        <v>337</v>
      </c>
      <c r="IT317" s="11" t="s">
        <v>320</v>
      </c>
      <c r="IU317" s="11" t="s">
        <v>320</v>
      </c>
      <c r="IV317" s="11" t="s">
        <v>320</v>
      </c>
      <c r="IW317" s="11" t="str">
        <f t="shared" si="177"/>
        <v>2. Sensitive</v>
      </c>
      <c r="IX317" s="12">
        <f t="shared" si="178"/>
        <v>3</v>
      </c>
      <c r="IY317" s="11" t="s">
        <v>338</v>
      </c>
      <c r="IZ317" s="11" t="s">
        <v>527</v>
      </c>
      <c r="JA317" s="11">
        <v>1</v>
      </c>
      <c r="JB317" s="11" t="s">
        <v>433</v>
      </c>
      <c r="JC317" s="11" t="s">
        <v>687</v>
      </c>
      <c r="JD317" s="11" t="s">
        <v>832</v>
      </c>
      <c r="JE317" s="11" t="s">
        <v>365</v>
      </c>
      <c r="JF317" s="11" t="s">
        <v>5906</v>
      </c>
      <c r="JH317" s="11" t="s">
        <v>5907</v>
      </c>
      <c r="JI317" s="11" t="s">
        <v>5908</v>
      </c>
      <c r="JJ317" s="11" t="s">
        <v>5909</v>
      </c>
      <c r="JN317" s="11" t="s">
        <v>5910</v>
      </c>
      <c r="JO317" s="11" t="s">
        <v>5911</v>
      </c>
      <c r="JP317" s="15">
        <f t="shared" si="179"/>
        <v>117</v>
      </c>
      <c r="JQ317" s="15">
        <f t="shared" si="180"/>
        <v>348</v>
      </c>
      <c r="JR317" s="279">
        <f t="shared" si="181"/>
        <v>2.9743589743589745</v>
      </c>
      <c r="JS317" s="17">
        <f t="shared" si="182"/>
        <v>0.96581196581196582</v>
      </c>
      <c r="JT317" s="18">
        <f t="shared" si="183"/>
        <v>0.91666666666666663</v>
      </c>
      <c r="JU317" s="280">
        <f t="shared" si="184"/>
        <v>113</v>
      </c>
      <c r="JV317" s="280">
        <f t="shared" si="185"/>
        <v>319</v>
      </c>
      <c r="JW317" s="319" t="str">
        <f t="shared" si="186"/>
        <v/>
      </c>
      <c r="JX317" s="15">
        <f t="shared" si="187"/>
        <v>0</v>
      </c>
      <c r="JY317" s="15">
        <f t="shared" si="188"/>
        <v>0</v>
      </c>
      <c r="JZ317" s="19" t="str">
        <f t="shared" si="189"/>
        <v/>
      </c>
      <c r="KA317" s="52" t="str">
        <f t="shared" si="190"/>
        <v/>
      </c>
      <c r="KB317" s="15">
        <f t="shared" si="191"/>
        <v>0</v>
      </c>
      <c r="KC317" s="15">
        <f t="shared" si="192"/>
        <v>0</v>
      </c>
      <c r="KD317" s="20" t="str">
        <f t="shared" si="193"/>
        <v/>
      </c>
      <c r="KE317" s="52">
        <f t="shared" si="194"/>
        <v>1</v>
      </c>
      <c r="KF317" s="15">
        <f t="shared" si="195"/>
        <v>48</v>
      </c>
      <c r="KG317" s="15">
        <f t="shared" si="196"/>
        <v>0</v>
      </c>
      <c r="KH317" s="21">
        <f t="shared" si="197"/>
        <v>0</v>
      </c>
      <c r="KI317" s="52" t="str">
        <f t="shared" si="198"/>
        <v/>
      </c>
      <c r="KJ317" s="15">
        <f t="shared" si="199"/>
        <v>0</v>
      </c>
      <c r="KK317" s="15">
        <f t="shared" si="200"/>
        <v>0</v>
      </c>
      <c r="KL317" s="19" t="str">
        <f t="shared" si="201"/>
        <v/>
      </c>
      <c r="KM317" s="52">
        <f t="shared" si="202"/>
        <v>1</v>
      </c>
      <c r="KN317" s="22">
        <f t="shared" si="203"/>
        <v>43</v>
      </c>
      <c r="KO317" s="22">
        <f t="shared" si="204"/>
        <v>0</v>
      </c>
      <c r="KP317" s="19">
        <f t="shared" si="205"/>
        <v>0</v>
      </c>
      <c r="KQ317" s="11" t="str">
        <f t="shared" si="206"/>
        <v>3. Responsive</v>
      </c>
      <c r="KR317" s="11" t="str">
        <f t="shared" si="207"/>
        <v>3. Responsive</v>
      </c>
      <c r="KS317" s="11" t="str">
        <f t="shared" si="208"/>
        <v>2. Sensitive</v>
      </c>
      <c r="KT317" s="11" t="str">
        <f t="shared" si="209"/>
        <v>It did not develop any specific innovation</v>
      </c>
      <c r="KU317" s="11" t="str">
        <f t="shared" si="210"/>
        <v>Little or no advocacy</v>
      </c>
      <c r="KV317" s="11" t="str">
        <f t="shared" si="211"/>
        <v>It did not take tested solutions to scale</v>
      </c>
      <c r="KW317" s="11" t="str">
        <f t="shared" si="212"/>
        <v>India - Project  SAATHI</v>
      </c>
      <c r="KX317" s="11" t="str">
        <f t="shared" si="213"/>
        <v>Project  SAATHI</v>
      </c>
      <c r="KY317" s="11" t="str">
        <f t="shared" si="214"/>
        <v>India</v>
      </c>
      <c r="KZ317" s="12">
        <v>317</v>
      </c>
    </row>
    <row r="318" spans="1:312" x14ac:dyDescent="0.3">
      <c r="A318" s="11" t="s">
        <v>5300</v>
      </c>
      <c r="B318" s="11" t="s">
        <v>306</v>
      </c>
      <c r="C318" s="11">
        <v>3004</v>
      </c>
      <c r="D318" s="11" t="s">
        <v>5673</v>
      </c>
      <c r="E318" s="24" t="str">
        <f t="shared" si="172"/>
        <v>India</v>
      </c>
      <c r="F318" s="11" t="s">
        <v>5674</v>
      </c>
      <c r="G318" s="11" t="s">
        <v>5302</v>
      </c>
      <c r="H318" s="11" t="s">
        <v>383</v>
      </c>
      <c r="I318" s="11" t="s">
        <v>655</v>
      </c>
      <c r="J318" s="278" t="s">
        <v>5675</v>
      </c>
      <c r="BD318" s="23">
        <v>41821</v>
      </c>
      <c r="BE318" s="23">
        <v>42886</v>
      </c>
      <c r="BG318" s="11" t="s">
        <v>312</v>
      </c>
      <c r="BH318" s="22">
        <v>150000</v>
      </c>
      <c r="BI318" s="11" t="s">
        <v>5676</v>
      </c>
      <c r="BJ318" s="11" t="s">
        <v>751</v>
      </c>
      <c r="BK318" s="11" t="s">
        <v>5677</v>
      </c>
      <c r="BL318" s="11" t="s">
        <v>5600</v>
      </c>
      <c r="BM318" s="11" t="s">
        <v>444</v>
      </c>
      <c r="BN318" s="11" t="s">
        <v>5601</v>
      </c>
      <c r="BO318" s="12" t="s">
        <v>319</v>
      </c>
      <c r="BP318" s="12" t="s">
        <v>320</v>
      </c>
      <c r="BQ318" s="12" t="s">
        <v>319</v>
      </c>
      <c r="BR318" s="11" t="s">
        <v>5678</v>
      </c>
      <c r="BS318" s="11" t="s">
        <v>322</v>
      </c>
      <c r="BT318" s="11" t="s">
        <v>5679</v>
      </c>
      <c r="BU318" s="11" t="s">
        <v>5680</v>
      </c>
      <c r="BV318" s="22">
        <v>57004</v>
      </c>
      <c r="BW318" s="22">
        <v>47686</v>
      </c>
      <c r="BX318" s="22">
        <v>104690</v>
      </c>
      <c r="BY318" s="22">
        <v>214675</v>
      </c>
      <c r="BZ318" s="22">
        <v>231138</v>
      </c>
      <c r="CA318" s="22">
        <v>445813</v>
      </c>
      <c r="CB318" s="15" t="s">
        <v>14663</v>
      </c>
      <c r="CL318" s="18"/>
      <c r="CP318" s="18"/>
      <c r="CT318" s="18"/>
      <c r="CX318" s="18"/>
      <c r="DB318" s="18"/>
      <c r="DF318" s="18"/>
      <c r="DJ318" s="18"/>
      <c r="DN318" s="18"/>
      <c r="DR318" s="18"/>
      <c r="DV318" s="18"/>
      <c r="DZ318" s="18"/>
      <c r="ED318" s="18"/>
      <c r="EI318" s="18"/>
      <c r="EK318" s="29">
        <v>4972</v>
      </c>
      <c r="EL318" s="29">
        <v>4826</v>
      </c>
      <c r="EM318" s="29">
        <v>9798</v>
      </c>
      <c r="EN318" s="29"/>
      <c r="EO318" s="29"/>
      <c r="EP318" s="29"/>
      <c r="ES318" s="18"/>
      <c r="EW318" s="18"/>
      <c r="FA318" s="18"/>
      <c r="FE318" s="18"/>
      <c r="FI318" s="18"/>
      <c r="FK318" s="12" t="s">
        <v>320</v>
      </c>
      <c r="FL318" s="29">
        <v>9798</v>
      </c>
      <c r="FM318" s="18">
        <v>0.5</v>
      </c>
      <c r="FN318" s="29"/>
      <c r="FQ318" s="18"/>
      <c r="FU318" s="18"/>
      <c r="FY318" s="18"/>
      <c r="GC318" s="18"/>
      <c r="GG318" s="18"/>
      <c r="GK318" s="18"/>
      <c r="GO318" s="18"/>
      <c r="GS318" s="18"/>
      <c r="GW318" s="18"/>
      <c r="HA318" s="18"/>
      <c r="HF318" s="18"/>
      <c r="HH318" s="11" t="s">
        <v>319</v>
      </c>
      <c r="HK318" s="11" t="s">
        <v>319</v>
      </c>
      <c r="HL318" s="11" t="s">
        <v>319</v>
      </c>
      <c r="HO318" s="11" t="s">
        <v>5681</v>
      </c>
      <c r="HP318" s="11" t="s">
        <v>453</v>
      </c>
      <c r="HQ318" s="11" t="s">
        <v>320</v>
      </c>
      <c r="HS318" s="11" t="s">
        <v>320</v>
      </c>
      <c r="HT318" s="11" t="s">
        <v>320</v>
      </c>
      <c r="HZ318" s="11" t="s">
        <v>363</v>
      </c>
      <c r="IB318" s="11" t="s">
        <v>396</v>
      </c>
      <c r="IC318" s="11" t="s">
        <v>5682</v>
      </c>
      <c r="ID318" s="11" t="s">
        <v>364</v>
      </c>
      <c r="IE318" s="11" t="s">
        <v>478</v>
      </c>
      <c r="IF318" s="11" t="s">
        <v>320</v>
      </c>
      <c r="IG318" s="11" t="s">
        <v>320</v>
      </c>
      <c r="IH318" s="11" t="s">
        <v>320</v>
      </c>
      <c r="II318" s="11" t="s">
        <v>320</v>
      </c>
      <c r="IJ318" s="12" t="str">
        <f t="shared" si="173"/>
        <v>4. Transformative</v>
      </c>
      <c r="IK318" s="12">
        <f t="shared" si="174"/>
        <v>4</v>
      </c>
      <c r="IL318" s="11" t="s">
        <v>621</v>
      </c>
      <c r="IM318" s="11" t="s">
        <v>320</v>
      </c>
      <c r="IN318" s="11" t="s">
        <v>320</v>
      </c>
      <c r="IO318" s="11" t="s">
        <v>320</v>
      </c>
      <c r="IP318" s="11" t="s">
        <v>319</v>
      </c>
      <c r="IQ318" s="12" t="str">
        <f t="shared" si="175"/>
        <v>3. Responsive</v>
      </c>
      <c r="IR318" s="12">
        <f t="shared" si="176"/>
        <v>3</v>
      </c>
      <c r="IS318" s="11" t="s">
        <v>622</v>
      </c>
      <c r="IT318" s="11" t="s">
        <v>319</v>
      </c>
      <c r="IU318" s="11" t="s">
        <v>320</v>
      </c>
      <c r="IV318" s="11" t="s">
        <v>320</v>
      </c>
      <c r="IW318" s="11" t="str">
        <f t="shared" si="177"/>
        <v>3. Responsive</v>
      </c>
      <c r="IX318" s="12">
        <f t="shared" si="178"/>
        <v>2</v>
      </c>
      <c r="IY318" s="11" t="s">
        <v>338</v>
      </c>
      <c r="IZ318" s="11" t="s">
        <v>339</v>
      </c>
      <c r="JA318" s="11">
        <v>1</v>
      </c>
      <c r="JE318" s="11" t="s">
        <v>420</v>
      </c>
      <c r="JH318" s="11" t="s">
        <v>5683</v>
      </c>
      <c r="JI318" s="11" t="s">
        <v>5684</v>
      </c>
      <c r="JJ318" s="11" t="s">
        <v>5685</v>
      </c>
      <c r="JK318" s="11" t="s">
        <v>5686</v>
      </c>
      <c r="JL318" s="11" t="s">
        <v>5687</v>
      </c>
      <c r="JM318" s="11" t="s">
        <v>5688</v>
      </c>
      <c r="JN318" s="28" t="s">
        <v>14664</v>
      </c>
      <c r="JP318" s="15">
        <f t="shared" si="179"/>
        <v>9798</v>
      </c>
      <c r="JQ318" s="15">
        <f t="shared" si="180"/>
        <v>0</v>
      </c>
      <c r="JR318" s="279">
        <f t="shared" si="181"/>
        <v>0</v>
      </c>
      <c r="JS318" s="17">
        <f t="shared" si="182"/>
        <v>0.50745050010206161</v>
      </c>
      <c r="JT318" s="18" t="str">
        <f t="shared" si="183"/>
        <v/>
      </c>
      <c r="JU318" s="280">
        <f t="shared" si="184"/>
        <v>4972</v>
      </c>
      <c r="JV318" s="280">
        <f t="shared" si="185"/>
        <v>0</v>
      </c>
      <c r="JW318" s="319" t="str">
        <f t="shared" si="186"/>
        <v/>
      </c>
      <c r="JX318" s="15">
        <f t="shared" si="187"/>
        <v>0</v>
      </c>
      <c r="JY318" s="15">
        <f t="shared" si="188"/>
        <v>0</v>
      </c>
      <c r="JZ318" s="19" t="str">
        <f t="shared" si="189"/>
        <v/>
      </c>
      <c r="KA318" s="52" t="str">
        <f t="shared" si="190"/>
        <v/>
      </c>
      <c r="KB318" s="15">
        <f t="shared" si="191"/>
        <v>0</v>
      </c>
      <c r="KC318" s="15">
        <f t="shared" si="192"/>
        <v>0</v>
      </c>
      <c r="KD318" s="20" t="str">
        <f t="shared" si="193"/>
        <v/>
      </c>
      <c r="KE318" s="52" t="str">
        <f t="shared" si="194"/>
        <v/>
      </c>
      <c r="KF318" s="15">
        <f t="shared" si="195"/>
        <v>0</v>
      </c>
      <c r="KG318" s="15">
        <f t="shared" si="196"/>
        <v>0</v>
      </c>
      <c r="KH318" s="21" t="str">
        <f t="shared" si="197"/>
        <v/>
      </c>
      <c r="KI318" s="52" t="str">
        <f t="shared" si="198"/>
        <v/>
      </c>
      <c r="KJ318" s="15">
        <f t="shared" si="199"/>
        <v>0</v>
      </c>
      <c r="KK318" s="15">
        <f t="shared" si="200"/>
        <v>0</v>
      </c>
      <c r="KL318" s="19" t="str">
        <f t="shared" si="201"/>
        <v/>
      </c>
      <c r="KM318" s="52" t="str">
        <f t="shared" si="202"/>
        <v/>
      </c>
      <c r="KN318" s="22">
        <f t="shared" si="203"/>
        <v>0</v>
      </c>
      <c r="KO318" s="22">
        <f t="shared" si="204"/>
        <v>0</v>
      </c>
      <c r="KP318" s="19" t="str">
        <f t="shared" si="205"/>
        <v/>
      </c>
      <c r="KQ318" s="11" t="str">
        <f t="shared" si="206"/>
        <v>4. Transformative</v>
      </c>
      <c r="KR318" s="11" t="str">
        <f t="shared" si="207"/>
        <v>3. Responsive</v>
      </c>
      <c r="KS318" s="11" t="str">
        <f t="shared" si="208"/>
        <v>3. Responsive</v>
      </c>
      <c r="KT318" s="11" t="str">
        <f t="shared" si="209"/>
        <v>It did not develop any specific innovation</v>
      </c>
      <c r="KU318" s="11" t="str">
        <f t="shared" si="210"/>
        <v>Intensive advocacy</v>
      </c>
      <c r="KV318" s="11" t="str">
        <f t="shared" si="211"/>
        <v>It linked and worked with strategic alliances and partners to take tested and effective solutions to scale</v>
      </c>
      <c r="KW318" s="11" t="str">
        <f t="shared" si="212"/>
        <v>India - Read and Lead (RL)</v>
      </c>
      <c r="KX318" s="11" t="str">
        <f t="shared" si="213"/>
        <v>Read and Lead (RL)</v>
      </c>
      <c r="KY318" s="11" t="str">
        <f t="shared" si="214"/>
        <v>India</v>
      </c>
      <c r="KZ318" s="287">
        <v>318</v>
      </c>
    </row>
    <row r="319" spans="1:312" x14ac:dyDescent="0.3">
      <c r="A319" s="282" t="s">
        <v>5300</v>
      </c>
      <c r="B319" s="282" t="s">
        <v>306</v>
      </c>
      <c r="C319" s="282">
        <v>3019</v>
      </c>
      <c r="D319" s="282" t="s">
        <v>5689</v>
      </c>
      <c r="E319" s="24" t="str">
        <f t="shared" si="172"/>
        <v>India</v>
      </c>
      <c r="F319" s="282" t="s">
        <v>5690</v>
      </c>
      <c r="G319" s="282" t="s">
        <v>5302</v>
      </c>
      <c r="H319" s="282" t="s">
        <v>489</v>
      </c>
      <c r="I319" s="282" t="s">
        <v>384</v>
      </c>
      <c r="J319" s="278" t="s">
        <v>14665</v>
      </c>
      <c r="K319" s="282"/>
      <c r="L319" s="282"/>
      <c r="M319" s="282"/>
      <c r="N319" s="282"/>
      <c r="O319" s="282"/>
      <c r="P319" s="282"/>
      <c r="Q319" s="282"/>
      <c r="R319" s="282"/>
      <c r="S319" s="282"/>
      <c r="T319" s="282"/>
      <c r="U319" s="282"/>
      <c r="V319" s="282"/>
      <c r="W319" s="282"/>
      <c r="X319" s="282"/>
      <c r="Y319" s="282"/>
      <c r="Z319" s="282"/>
      <c r="AA319" s="282"/>
      <c r="AB319" s="282"/>
      <c r="AC319" s="282"/>
      <c r="AD319" s="282"/>
      <c r="AE319" s="282"/>
      <c r="AF319" s="282"/>
      <c r="AG319" s="282"/>
      <c r="AH319" s="282"/>
      <c r="AI319" s="282"/>
      <c r="AJ319" s="282"/>
      <c r="AK319" s="282"/>
      <c r="AL319" s="282"/>
      <c r="AM319" s="282"/>
      <c r="AN319" s="282"/>
      <c r="AO319" s="282"/>
      <c r="AP319" s="282"/>
      <c r="AQ319" s="282"/>
      <c r="AR319" s="282"/>
      <c r="AS319" s="282"/>
      <c r="AT319" s="282"/>
      <c r="AU319" s="282"/>
      <c r="AV319" s="282"/>
      <c r="AW319" s="282"/>
      <c r="AX319" s="282"/>
      <c r="AY319" s="282"/>
      <c r="AZ319" s="282"/>
      <c r="BA319" s="282"/>
      <c r="BB319" s="282"/>
      <c r="BC319" s="282"/>
      <c r="BD319" s="283">
        <v>41609</v>
      </c>
      <c r="BE319" s="283">
        <v>42551</v>
      </c>
      <c r="BF319" s="283">
        <v>42978</v>
      </c>
      <c r="BG319" s="283" t="s">
        <v>490</v>
      </c>
      <c r="BH319" s="284">
        <v>878012</v>
      </c>
      <c r="BI319" s="282" t="s">
        <v>5303</v>
      </c>
      <c r="BJ319" s="282" t="s">
        <v>5304</v>
      </c>
      <c r="BK319" s="282" t="s">
        <v>5305</v>
      </c>
      <c r="BL319" s="282"/>
      <c r="BM319" s="282"/>
      <c r="BN319" s="282"/>
      <c r="BO319" s="12" t="s">
        <v>319</v>
      </c>
      <c r="BP319" s="12" t="s">
        <v>320</v>
      </c>
      <c r="BQ319" s="12" t="s">
        <v>319</v>
      </c>
      <c r="BR319" s="282" t="s">
        <v>5691</v>
      </c>
      <c r="BS319" s="282" t="s">
        <v>357</v>
      </c>
      <c r="BT319" s="282" t="s">
        <v>5692</v>
      </c>
      <c r="BU319" s="282" t="s">
        <v>5693</v>
      </c>
      <c r="BV319" s="284">
        <v>5000</v>
      </c>
      <c r="BW319" s="284">
        <v>2000</v>
      </c>
      <c r="BX319" s="284">
        <v>7000</v>
      </c>
      <c r="BY319" s="284">
        <v>245000</v>
      </c>
      <c r="BZ319" s="284">
        <v>298000</v>
      </c>
      <c r="CA319" s="284">
        <v>543000</v>
      </c>
      <c r="CB319" s="285" t="s">
        <v>5694</v>
      </c>
      <c r="CC319" s="285"/>
      <c r="CD319" s="284"/>
      <c r="CE319" s="284"/>
      <c r="CF319" s="284"/>
      <c r="CG319" s="284"/>
      <c r="CH319" s="284"/>
      <c r="CI319" s="284"/>
      <c r="CJ319" s="282"/>
      <c r="CK319" s="284"/>
      <c r="CL319" s="286"/>
      <c r="CM319" s="284"/>
      <c r="CN319" s="287"/>
      <c r="CO319" s="284"/>
      <c r="CP319" s="286"/>
      <c r="CQ319" s="284"/>
      <c r="CR319" s="282"/>
      <c r="CS319" s="284"/>
      <c r="CT319" s="286"/>
      <c r="CU319" s="284"/>
      <c r="CV319" s="289"/>
      <c r="CW319" s="290"/>
      <c r="CX319" s="291"/>
      <c r="CY319" s="290"/>
      <c r="CZ319" s="282"/>
      <c r="DA319" s="284"/>
      <c r="DB319" s="286"/>
      <c r="DC319" s="284"/>
      <c r="DD319" s="287"/>
      <c r="DE319" s="284"/>
      <c r="DF319" s="286"/>
      <c r="DG319" s="284"/>
      <c r="DH319" s="282"/>
      <c r="DI319" s="284"/>
      <c r="DJ319" s="286"/>
      <c r="DK319" s="284"/>
      <c r="DL319" s="282"/>
      <c r="DM319" s="284"/>
      <c r="DN319" s="286"/>
      <c r="DO319" s="284"/>
      <c r="DP319" s="282"/>
      <c r="DQ319" s="284"/>
      <c r="DR319" s="286"/>
      <c r="DS319" s="284"/>
      <c r="DT319" s="282"/>
      <c r="DU319" s="284"/>
      <c r="DV319" s="286"/>
      <c r="DW319" s="284"/>
      <c r="DX319" s="282"/>
      <c r="DY319" s="284"/>
      <c r="DZ319" s="286"/>
      <c r="EA319" s="284"/>
      <c r="EB319" s="282"/>
      <c r="EC319" s="284"/>
      <c r="ED319" s="286"/>
      <c r="EE319" s="284"/>
      <c r="EF319" s="285"/>
      <c r="EG319" s="287"/>
      <c r="EH319" s="284"/>
      <c r="EI319" s="286"/>
      <c r="EJ319" s="284"/>
      <c r="EK319" s="284">
        <v>14115</v>
      </c>
      <c r="EL319" s="284">
        <v>4361</v>
      </c>
      <c r="EM319" s="284">
        <v>18476</v>
      </c>
      <c r="EN319" s="284">
        <v>25896</v>
      </c>
      <c r="EO319" s="284">
        <v>5000</v>
      </c>
      <c r="EP319" s="284">
        <v>30896</v>
      </c>
      <c r="EQ319" s="282"/>
      <c r="ER319" s="284"/>
      <c r="ES319" s="286"/>
      <c r="ET319" s="284"/>
      <c r="EU319" s="282"/>
      <c r="EV319" s="284"/>
      <c r="EW319" s="286"/>
      <c r="EX319" s="284"/>
      <c r="EY319" s="282"/>
      <c r="EZ319" s="284"/>
      <c r="FA319" s="286"/>
      <c r="FB319" s="284"/>
      <c r="FC319" s="282"/>
      <c r="FD319" s="284"/>
      <c r="FE319" s="286"/>
      <c r="FF319" s="284"/>
      <c r="FG319" s="282"/>
      <c r="FH319" s="284"/>
      <c r="FI319" s="286"/>
      <c r="FJ319" s="284"/>
      <c r="FK319" s="282"/>
      <c r="FL319" s="284"/>
      <c r="FM319" s="286"/>
      <c r="FN319" s="284"/>
      <c r="FO319" s="292"/>
      <c r="FP319" s="290"/>
      <c r="FQ319" s="291"/>
      <c r="FR319" s="290"/>
      <c r="FS319" s="282"/>
      <c r="FT319" s="284"/>
      <c r="FU319" s="286"/>
      <c r="FV319" s="284"/>
      <c r="FW319" s="282" t="s">
        <v>320</v>
      </c>
      <c r="FX319" s="284">
        <v>18476</v>
      </c>
      <c r="FY319" s="286">
        <v>0.76</v>
      </c>
      <c r="FZ319" s="284">
        <v>30896</v>
      </c>
      <c r="GA319" s="282"/>
      <c r="GB319" s="284"/>
      <c r="GC319" s="286"/>
      <c r="GD319" s="284"/>
      <c r="GE319" s="282"/>
      <c r="GF319" s="284"/>
      <c r="GG319" s="286"/>
      <c r="GH319" s="284"/>
      <c r="GI319" s="282"/>
      <c r="GJ319" s="284"/>
      <c r="GK319" s="286"/>
      <c r="GL319" s="284"/>
      <c r="GM319" s="282"/>
      <c r="GN319" s="284"/>
      <c r="GO319" s="286"/>
      <c r="GP319" s="284"/>
      <c r="GQ319" s="282" t="s">
        <v>320</v>
      </c>
      <c r="GR319" s="284">
        <v>18476</v>
      </c>
      <c r="GS319" s="286">
        <v>0.76</v>
      </c>
      <c r="GT319" s="284">
        <v>30896</v>
      </c>
      <c r="GU319" s="282"/>
      <c r="GV319" s="284"/>
      <c r="GW319" s="286"/>
      <c r="GX319" s="284"/>
      <c r="GY319" s="282"/>
      <c r="GZ319" s="284"/>
      <c r="HA319" s="286"/>
      <c r="HB319" s="284"/>
      <c r="HC319" s="282"/>
      <c r="HD319" s="282"/>
      <c r="HE319" s="284"/>
      <c r="HF319" s="286"/>
      <c r="HG319" s="284"/>
      <c r="HH319" s="282" t="s">
        <v>319</v>
      </c>
      <c r="HI319" s="282"/>
      <c r="HJ319" s="282"/>
      <c r="HK319" s="282" t="s">
        <v>319</v>
      </c>
      <c r="HL319" s="282" t="s">
        <v>319</v>
      </c>
      <c r="HM319" s="282"/>
      <c r="HN319" s="282"/>
      <c r="HO319" s="282" t="s">
        <v>5695</v>
      </c>
      <c r="HP319" s="282" t="s">
        <v>330</v>
      </c>
      <c r="HQ319" s="282" t="s">
        <v>319</v>
      </c>
      <c r="HR319" s="282"/>
      <c r="HS319" s="282" t="s">
        <v>320</v>
      </c>
      <c r="HT319" s="282" t="s">
        <v>320</v>
      </c>
      <c r="HU319" s="282"/>
      <c r="HV319" s="282"/>
      <c r="HW319" s="282"/>
      <c r="HX319" s="282"/>
      <c r="HY319" s="282"/>
      <c r="HZ319" s="282" t="s">
        <v>363</v>
      </c>
      <c r="IA319" s="282"/>
      <c r="IB319" s="282" t="s">
        <v>333</v>
      </c>
      <c r="IC319" s="282"/>
      <c r="ID319" s="282" t="s">
        <v>364</v>
      </c>
      <c r="IE319" s="282" t="s">
        <v>478</v>
      </c>
      <c r="IF319" s="282" t="s">
        <v>320</v>
      </c>
      <c r="IG319" s="282" t="s">
        <v>319</v>
      </c>
      <c r="IH319" s="282" t="s">
        <v>320</v>
      </c>
      <c r="II319" s="282" t="s">
        <v>320</v>
      </c>
      <c r="IJ319" s="12" t="str">
        <f t="shared" si="173"/>
        <v>3. Responsive</v>
      </c>
      <c r="IK319" s="287">
        <f t="shared" si="174"/>
        <v>3</v>
      </c>
      <c r="IL319" s="282" t="s">
        <v>336</v>
      </c>
      <c r="IM319" s="282" t="s">
        <v>320</v>
      </c>
      <c r="IN319" s="282" t="s">
        <v>320</v>
      </c>
      <c r="IO319" s="282" t="s">
        <v>320</v>
      </c>
      <c r="IP319" s="282" t="s">
        <v>319</v>
      </c>
      <c r="IQ319" s="287" t="str">
        <f t="shared" si="175"/>
        <v>2. Accommodating</v>
      </c>
      <c r="IR319" s="287">
        <f t="shared" si="176"/>
        <v>3</v>
      </c>
      <c r="IS319" s="282" t="s">
        <v>337</v>
      </c>
      <c r="IT319" s="282" t="s">
        <v>320</v>
      </c>
      <c r="IU319" s="282" t="s">
        <v>319</v>
      </c>
      <c r="IV319" s="282" t="s">
        <v>320</v>
      </c>
      <c r="IW319" s="11" t="str">
        <f t="shared" si="177"/>
        <v>1. Neutral</v>
      </c>
      <c r="IX319" s="287">
        <f t="shared" si="178"/>
        <v>2</v>
      </c>
      <c r="IY319" s="282" t="s">
        <v>338</v>
      </c>
      <c r="IZ319" s="282" t="s">
        <v>339</v>
      </c>
      <c r="JA319" s="282"/>
      <c r="JB319" s="282"/>
      <c r="JC319" s="282"/>
      <c r="JD319" s="282"/>
      <c r="JE319" s="282" t="s">
        <v>420</v>
      </c>
      <c r="JF319" s="282"/>
      <c r="JG319" s="282" t="s">
        <v>5696</v>
      </c>
      <c r="JH319" s="282" t="s">
        <v>5697</v>
      </c>
      <c r="JI319" s="282" t="s">
        <v>5698</v>
      </c>
      <c r="JJ319" s="282" t="s">
        <v>5699</v>
      </c>
      <c r="JK319" s="282" t="s">
        <v>5700</v>
      </c>
      <c r="JL319" s="282" t="s">
        <v>5701</v>
      </c>
      <c r="JM319" s="282" t="s">
        <v>5702</v>
      </c>
      <c r="JN319" s="282" t="s">
        <v>5703</v>
      </c>
      <c r="JO319" s="282" t="s">
        <v>5704</v>
      </c>
      <c r="JP319" s="15">
        <f t="shared" si="179"/>
        <v>18476</v>
      </c>
      <c r="JQ319" s="15">
        <f t="shared" si="180"/>
        <v>30896</v>
      </c>
      <c r="JR319" s="279">
        <f t="shared" si="181"/>
        <v>1.6722234249837626</v>
      </c>
      <c r="JS319" s="17">
        <f t="shared" si="182"/>
        <v>0.76396406148516993</v>
      </c>
      <c r="JT319" s="18">
        <f t="shared" si="183"/>
        <v>0.8381667529777318</v>
      </c>
      <c r="JU319" s="280">
        <f t="shared" si="184"/>
        <v>14115</v>
      </c>
      <c r="JV319" s="280">
        <f t="shared" si="185"/>
        <v>25896</v>
      </c>
      <c r="JW319" s="319" t="str">
        <f t="shared" si="186"/>
        <v/>
      </c>
      <c r="JX319" s="15">
        <f t="shared" si="187"/>
        <v>0</v>
      </c>
      <c r="JY319" s="15">
        <f t="shared" si="188"/>
        <v>0</v>
      </c>
      <c r="JZ319" s="19" t="str">
        <f t="shared" si="189"/>
        <v/>
      </c>
      <c r="KA319" s="52" t="str">
        <f t="shared" si="190"/>
        <v/>
      </c>
      <c r="KB319" s="15">
        <f t="shared" si="191"/>
        <v>0</v>
      </c>
      <c r="KC319" s="15">
        <f t="shared" si="192"/>
        <v>0</v>
      </c>
      <c r="KD319" s="20" t="str">
        <f t="shared" si="193"/>
        <v/>
      </c>
      <c r="KE319" s="52">
        <f t="shared" si="194"/>
        <v>1</v>
      </c>
      <c r="KF319" s="15">
        <f t="shared" si="195"/>
        <v>18476</v>
      </c>
      <c r="KG319" s="15">
        <f t="shared" si="196"/>
        <v>30896</v>
      </c>
      <c r="KH319" s="21">
        <f t="shared" si="197"/>
        <v>1.6722234249837626</v>
      </c>
      <c r="KI319" s="52" t="str">
        <f t="shared" si="198"/>
        <v/>
      </c>
      <c r="KJ319" s="15">
        <f t="shared" si="199"/>
        <v>0</v>
      </c>
      <c r="KK319" s="15">
        <f t="shared" si="200"/>
        <v>0</v>
      </c>
      <c r="KL319" s="19" t="str">
        <f t="shared" si="201"/>
        <v/>
      </c>
      <c r="KM319" s="52" t="str">
        <f t="shared" si="202"/>
        <v/>
      </c>
      <c r="KN319" s="22">
        <f t="shared" si="203"/>
        <v>0</v>
      </c>
      <c r="KO319" s="22">
        <f t="shared" si="204"/>
        <v>0</v>
      </c>
      <c r="KP319" s="19" t="str">
        <f t="shared" si="205"/>
        <v/>
      </c>
      <c r="KQ319" s="11" t="str">
        <f t="shared" si="206"/>
        <v>3. Responsive</v>
      </c>
      <c r="KR319" s="11" t="str">
        <f t="shared" si="207"/>
        <v>2. Accommodating</v>
      </c>
      <c r="KS319" s="11" t="str">
        <f t="shared" si="208"/>
        <v>1. Neutral</v>
      </c>
      <c r="KT319" s="11" t="str">
        <f t="shared" si="209"/>
        <v>It did not develop any specific innovation</v>
      </c>
      <c r="KU319" s="11" t="str">
        <f t="shared" si="210"/>
        <v>Moderate advocacy</v>
      </c>
      <c r="KV319" s="11" t="str">
        <f t="shared" si="211"/>
        <v>It did not take tested solutions to scale</v>
      </c>
      <c r="KW319" s="11" t="str">
        <f t="shared" si="212"/>
        <v>India - Reproductive and Child Health Nutrition Awareness (RACHNA)</v>
      </c>
      <c r="KX319" s="11" t="str">
        <f t="shared" si="213"/>
        <v>Reproductive and Child Health Nutrition Awareness (RACHNA)</v>
      </c>
      <c r="KY319" s="11" t="str">
        <f t="shared" si="214"/>
        <v>India</v>
      </c>
      <c r="KZ319" s="12">
        <v>319</v>
      </c>
    </row>
    <row r="320" spans="1:312" x14ac:dyDescent="0.3">
      <c r="A320" s="282" t="s">
        <v>5300</v>
      </c>
      <c r="B320" s="282" t="s">
        <v>306</v>
      </c>
      <c r="C320" s="282"/>
      <c r="D320" s="282" t="s">
        <v>5705</v>
      </c>
      <c r="E320" s="24" t="str">
        <f t="shared" si="172"/>
        <v>India</v>
      </c>
      <c r="F320" s="282"/>
      <c r="G320" s="282" t="s">
        <v>5302</v>
      </c>
      <c r="H320" s="282" t="s">
        <v>489</v>
      </c>
      <c r="I320" s="282" t="s">
        <v>384</v>
      </c>
      <c r="J320" s="278" t="s">
        <v>14666</v>
      </c>
      <c r="K320" s="282"/>
      <c r="L320" s="282"/>
      <c r="M320" s="282"/>
      <c r="N320" s="282"/>
      <c r="O320" s="282"/>
      <c r="P320" s="282"/>
      <c r="Q320" s="282"/>
      <c r="R320" s="282"/>
      <c r="S320" s="282"/>
      <c r="T320" s="282"/>
      <c r="U320" s="282"/>
      <c r="V320" s="282"/>
      <c r="W320" s="282"/>
      <c r="X320" s="282"/>
      <c r="Y320" s="282"/>
      <c r="Z320" s="282"/>
      <c r="AA320" s="282"/>
      <c r="AB320" s="282"/>
      <c r="AC320" s="282"/>
      <c r="AD320" s="282"/>
      <c r="AE320" s="282"/>
      <c r="AF320" s="282"/>
      <c r="AG320" s="282"/>
      <c r="AH320" s="282"/>
      <c r="AI320" s="282"/>
      <c r="AJ320" s="282"/>
      <c r="AK320" s="282"/>
      <c r="AL320" s="282"/>
      <c r="AM320" s="282"/>
      <c r="AN320" s="282"/>
      <c r="AO320" s="282"/>
      <c r="AP320" s="282"/>
      <c r="AQ320" s="282"/>
      <c r="AR320" s="282"/>
      <c r="AS320" s="282"/>
      <c r="AT320" s="282"/>
      <c r="AU320" s="282"/>
      <c r="AV320" s="282"/>
      <c r="AW320" s="282"/>
      <c r="AX320" s="282"/>
      <c r="AY320" s="282"/>
      <c r="AZ320" s="282"/>
      <c r="BA320" s="282"/>
      <c r="BB320" s="282"/>
      <c r="BC320" s="282"/>
      <c r="BD320" s="283">
        <v>42690</v>
      </c>
      <c r="BE320" s="283">
        <v>42848</v>
      </c>
      <c r="BF320" s="283"/>
      <c r="BG320" s="283" t="s">
        <v>350</v>
      </c>
      <c r="BH320" s="284">
        <v>30500</v>
      </c>
      <c r="BI320" s="282" t="s">
        <v>5706</v>
      </c>
      <c r="BJ320" s="282" t="s">
        <v>5707</v>
      </c>
      <c r="BK320" s="282" t="s">
        <v>5399</v>
      </c>
      <c r="BL320" s="282" t="s">
        <v>5708</v>
      </c>
      <c r="BM320" s="282" t="s">
        <v>5709</v>
      </c>
      <c r="BN320" s="282" t="s">
        <v>5710</v>
      </c>
      <c r="BO320" s="282" t="s">
        <v>319</v>
      </c>
      <c r="BP320" s="282" t="s">
        <v>320</v>
      </c>
      <c r="BQ320" s="282" t="s">
        <v>319</v>
      </c>
      <c r="BR320" s="282" t="s">
        <v>5711</v>
      </c>
      <c r="BS320" s="282" t="s">
        <v>357</v>
      </c>
      <c r="BT320" s="282" t="s">
        <v>5712</v>
      </c>
      <c r="BU320" s="282" t="s">
        <v>5713</v>
      </c>
      <c r="BV320" s="284">
        <v>0</v>
      </c>
      <c r="BW320" s="284">
        <v>0</v>
      </c>
      <c r="BX320" s="284">
        <v>0</v>
      </c>
      <c r="BY320" s="284">
        <v>0</v>
      </c>
      <c r="BZ320" s="284">
        <v>0</v>
      </c>
      <c r="CA320" s="284">
        <v>0</v>
      </c>
      <c r="CB320" s="285" t="s">
        <v>5714</v>
      </c>
      <c r="CC320" s="285"/>
      <c r="CD320" s="284"/>
      <c r="CE320" s="284"/>
      <c r="CF320" s="284"/>
      <c r="CG320" s="284"/>
      <c r="CH320" s="284"/>
      <c r="CI320" s="284"/>
      <c r="CJ320" s="282"/>
      <c r="CK320" s="284"/>
      <c r="CL320" s="286"/>
      <c r="CM320" s="284"/>
      <c r="CN320" s="287"/>
      <c r="CO320" s="284"/>
      <c r="CP320" s="286"/>
      <c r="CQ320" s="284"/>
      <c r="CR320" s="282"/>
      <c r="CS320" s="284"/>
      <c r="CT320" s="286"/>
      <c r="CU320" s="284"/>
      <c r="CV320" s="289"/>
      <c r="CW320" s="290"/>
      <c r="CX320" s="291"/>
      <c r="CY320" s="290"/>
      <c r="CZ320" s="282"/>
      <c r="DA320" s="284"/>
      <c r="DB320" s="286"/>
      <c r="DC320" s="284"/>
      <c r="DD320" s="287"/>
      <c r="DE320" s="284"/>
      <c r="DF320" s="286"/>
      <c r="DG320" s="284"/>
      <c r="DH320" s="282"/>
      <c r="DI320" s="284"/>
      <c r="DJ320" s="286"/>
      <c r="DK320" s="284"/>
      <c r="DL320" s="282"/>
      <c r="DM320" s="284"/>
      <c r="DN320" s="286"/>
      <c r="DO320" s="284"/>
      <c r="DP320" s="282"/>
      <c r="DQ320" s="284"/>
      <c r="DR320" s="286"/>
      <c r="DS320" s="284"/>
      <c r="DT320" s="282"/>
      <c r="DU320" s="284"/>
      <c r="DV320" s="286"/>
      <c r="DW320" s="284"/>
      <c r="DX320" s="282"/>
      <c r="DY320" s="284"/>
      <c r="DZ320" s="286"/>
      <c r="EA320" s="284"/>
      <c r="EB320" s="282"/>
      <c r="EC320" s="284"/>
      <c r="ED320" s="286"/>
      <c r="EE320" s="284"/>
      <c r="EF320" s="285"/>
      <c r="EG320" s="287"/>
      <c r="EH320" s="284"/>
      <c r="EI320" s="286"/>
      <c r="EJ320" s="284"/>
      <c r="EK320" s="284">
        <v>0</v>
      </c>
      <c r="EL320" s="284">
        <v>0</v>
      </c>
      <c r="EM320" s="284">
        <v>0</v>
      </c>
      <c r="EN320" s="284">
        <v>0</v>
      </c>
      <c r="EO320" s="284">
        <v>0</v>
      </c>
      <c r="EP320" s="284">
        <v>0</v>
      </c>
      <c r="EQ320" s="282" t="s">
        <v>320</v>
      </c>
      <c r="ER320" s="284"/>
      <c r="ES320" s="286"/>
      <c r="ET320" s="284"/>
      <c r="EU320" s="282" t="s">
        <v>320</v>
      </c>
      <c r="EV320" s="284"/>
      <c r="EW320" s="286"/>
      <c r="EX320" s="284"/>
      <c r="EY320" s="282"/>
      <c r="EZ320" s="284"/>
      <c r="FA320" s="286"/>
      <c r="FB320" s="284"/>
      <c r="FC320" s="282"/>
      <c r="FD320" s="284"/>
      <c r="FE320" s="286"/>
      <c r="FF320" s="284"/>
      <c r="FG320" s="282"/>
      <c r="FH320" s="284"/>
      <c r="FI320" s="286"/>
      <c r="FJ320" s="284"/>
      <c r="FK320" s="282"/>
      <c r="FL320" s="284"/>
      <c r="FM320" s="286"/>
      <c r="FN320" s="284"/>
      <c r="FO320" s="289"/>
      <c r="FP320" s="300"/>
      <c r="FQ320" s="291"/>
      <c r="FR320" s="290"/>
      <c r="FS320" s="282"/>
      <c r="FT320" s="284"/>
      <c r="FU320" s="286"/>
      <c r="FV320" s="284"/>
      <c r="FW320" s="282"/>
      <c r="FX320" s="284"/>
      <c r="FY320" s="286"/>
      <c r="FZ320" s="284"/>
      <c r="GA320" s="282"/>
      <c r="GB320" s="284"/>
      <c r="GC320" s="286"/>
      <c r="GD320" s="284"/>
      <c r="GE320" s="282"/>
      <c r="GF320" s="284"/>
      <c r="GG320" s="286"/>
      <c r="GH320" s="284"/>
      <c r="GI320" s="282"/>
      <c r="GJ320" s="284"/>
      <c r="GK320" s="286"/>
      <c r="GL320" s="284"/>
      <c r="GM320" s="282"/>
      <c r="GN320" s="284"/>
      <c r="GO320" s="286"/>
      <c r="GP320" s="284"/>
      <c r="GQ320" s="282"/>
      <c r="GR320" s="284"/>
      <c r="GS320" s="286"/>
      <c r="GT320" s="284"/>
      <c r="GU320" s="282"/>
      <c r="GV320" s="284"/>
      <c r="GW320" s="286"/>
      <c r="GX320" s="284"/>
      <c r="GY320" s="282" t="s">
        <v>320</v>
      </c>
      <c r="GZ320" s="284"/>
      <c r="HA320" s="286"/>
      <c r="HB320" s="284"/>
      <c r="HC320" s="282"/>
      <c r="HD320" s="282"/>
      <c r="HE320" s="284"/>
      <c r="HF320" s="286"/>
      <c r="HG320" s="284"/>
      <c r="HH320" s="282" t="s">
        <v>319</v>
      </c>
      <c r="HI320" s="282"/>
      <c r="HJ320" s="282"/>
      <c r="HK320" s="282" t="s">
        <v>319</v>
      </c>
      <c r="HL320" s="282" t="s">
        <v>319</v>
      </c>
      <c r="HM320" s="282"/>
      <c r="HN320" s="282"/>
      <c r="HO320" s="282"/>
      <c r="HP320" s="282"/>
      <c r="HQ320" s="282"/>
      <c r="HR320" s="282"/>
      <c r="HS320" s="282"/>
      <c r="HT320" s="282"/>
      <c r="HU320" s="282"/>
      <c r="HV320" s="282"/>
      <c r="HW320" s="282"/>
      <c r="HX320" s="282"/>
      <c r="HY320" s="282"/>
      <c r="HZ320" s="282"/>
      <c r="IA320" s="282"/>
      <c r="IB320" s="282"/>
      <c r="IC320" s="282"/>
      <c r="ID320" s="282"/>
      <c r="IE320" s="282"/>
      <c r="IF320" s="282"/>
      <c r="IG320" s="282"/>
      <c r="IH320" s="282"/>
      <c r="II320" s="282"/>
      <c r="IJ320" s="12" t="str">
        <f t="shared" si="173"/>
        <v>No marker score</v>
      </c>
      <c r="IK320" s="287">
        <f t="shared" si="174"/>
        <v>0</v>
      </c>
      <c r="IL320" s="282"/>
      <c r="IM320" s="282"/>
      <c r="IN320" s="282"/>
      <c r="IO320" s="282"/>
      <c r="IP320" s="282"/>
      <c r="IQ320" s="287" t="str">
        <f t="shared" si="175"/>
        <v>No marker score</v>
      </c>
      <c r="IR320" s="287">
        <f t="shared" si="176"/>
        <v>0</v>
      </c>
      <c r="IS320" s="282"/>
      <c r="IT320" s="282"/>
      <c r="IU320" s="282"/>
      <c r="IV320" s="282"/>
      <c r="IW320" s="11" t="str">
        <f t="shared" si="177"/>
        <v>No marker score</v>
      </c>
      <c r="IX320" s="287">
        <f t="shared" si="178"/>
        <v>0</v>
      </c>
      <c r="IY320" s="282"/>
      <c r="IZ320" s="282"/>
      <c r="JA320" s="282"/>
      <c r="JB320" s="282"/>
      <c r="JC320" s="282"/>
      <c r="JD320" s="282"/>
      <c r="JE320" s="282" t="s">
        <v>365</v>
      </c>
      <c r="JF320" s="282"/>
      <c r="JG320" s="282"/>
      <c r="JH320" s="282"/>
      <c r="JI320" s="282"/>
      <c r="JJ320" s="282"/>
      <c r="JK320" s="282"/>
      <c r="JL320" s="282"/>
      <c r="JM320" s="282"/>
      <c r="JN320" s="282" t="s">
        <v>5715</v>
      </c>
      <c r="JO320" s="282"/>
      <c r="JP320" s="15">
        <f t="shared" si="179"/>
        <v>0</v>
      </c>
      <c r="JQ320" s="15">
        <f t="shared" si="180"/>
        <v>0</v>
      </c>
      <c r="JR320" s="279" t="str">
        <f t="shared" si="181"/>
        <v/>
      </c>
      <c r="JS320" s="17" t="str">
        <f t="shared" si="182"/>
        <v/>
      </c>
      <c r="JT320" s="18" t="str">
        <f t="shared" si="183"/>
        <v/>
      </c>
      <c r="JU320" s="280">
        <f t="shared" si="184"/>
        <v>0</v>
      </c>
      <c r="JV320" s="280">
        <f t="shared" si="185"/>
        <v>0</v>
      </c>
      <c r="JW320" s="319" t="str">
        <f t="shared" si="186"/>
        <v/>
      </c>
      <c r="JX320" s="15">
        <f t="shared" si="187"/>
        <v>0</v>
      </c>
      <c r="JY320" s="15">
        <f t="shared" si="188"/>
        <v>0</v>
      </c>
      <c r="JZ320" s="19" t="str">
        <f t="shared" si="189"/>
        <v/>
      </c>
      <c r="KA320" s="52">
        <f t="shared" si="190"/>
        <v>1</v>
      </c>
      <c r="KB320" s="15">
        <f t="shared" si="191"/>
        <v>0</v>
      </c>
      <c r="KC320" s="15">
        <f t="shared" si="192"/>
        <v>0</v>
      </c>
      <c r="KD320" s="20" t="str">
        <f t="shared" si="193"/>
        <v/>
      </c>
      <c r="KE320" s="52" t="str">
        <f t="shared" si="194"/>
        <v/>
      </c>
      <c r="KF320" s="15">
        <f t="shared" si="195"/>
        <v>0</v>
      </c>
      <c r="KG320" s="15">
        <f t="shared" si="196"/>
        <v>0</v>
      </c>
      <c r="KH320" s="21" t="str">
        <f t="shared" si="197"/>
        <v/>
      </c>
      <c r="KI320" s="52" t="str">
        <f t="shared" si="198"/>
        <v/>
      </c>
      <c r="KJ320" s="15">
        <f t="shared" si="199"/>
        <v>0</v>
      </c>
      <c r="KK320" s="15">
        <f t="shared" si="200"/>
        <v>0</v>
      </c>
      <c r="KL320" s="19" t="str">
        <f t="shared" si="201"/>
        <v/>
      </c>
      <c r="KM320" s="52">
        <f t="shared" si="202"/>
        <v>1</v>
      </c>
      <c r="KN320" s="22">
        <f t="shared" si="203"/>
        <v>0</v>
      </c>
      <c r="KO320" s="22">
        <f t="shared" si="204"/>
        <v>0</v>
      </c>
      <c r="KP320" s="19" t="str">
        <f t="shared" si="205"/>
        <v/>
      </c>
      <c r="KQ320" s="11" t="str">
        <f t="shared" si="206"/>
        <v>No marker score</v>
      </c>
      <c r="KR320" s="11" t="str">
        <f t="shared" si="207"/>
        <v>No marker score</v>
      </c>
      <c r="KS320" s="11" t="str">
        <f t="shared" si="208"/>
        <v>No marker score</v>
      </c>
      <c r="KT320" s="11">
        <f t="shared" si="209"/>
        <v>0</v>
      </c>
      <c r="KU320" s="11">
        <f t="shared" si="210"/>
        <v>0</v>
      </c>
      <c r="KV320" s="11">
        <f t="shared" si="211"/>
        <v>0</v>
      </c>
      <c r="KW320" s="11" t="str">
        <f t="shared" si="212"/>
        <v>India - Research Study of Gender Roles in Basmati RiceValue Chain in Haryana (BRVC)</v>
      </c>
      <c r="KX320" s="11" t="str">
        <f t="shared" si="213"/>
        <v>Research Study of Gender Roles in Basmati RiceValue Chain in Haryana (BRVC)</v>
      </c>
      <c r="KY320" s="11" t="str">
        <f t="shared" si="214"/>
        <v>India</v>
      </c>
      <c r="KZ320" s="12">
        <v>320</v>
      </c>
    </row>
    <row r="321" spans="1:312" x14ac:dyDescent="0.3">
      <c r="A321" s="11" t="s">
        <v>5300</v>
      </c>
      <c r="B321" s="11" t="s">
        <v>306</v>
      </c>
      <c r="C321" s="11">
        <v>3023</v>
      </c>
      <c r="D321" s="11" t="s">
        <v>5331</v>
      </c>
      <c r="E321" s="24" t="str">
        <f t="shared" ref="E321:E384" si="215">A321</f>
        <v>India</v>
      </c>
      <c r="F321" s="11" t="s">
        <v>5332</v>
      </c>
      <c r="G321" s="11" t="s">
        <v>379</v>
      </c>
      <c r="H321" s="11" t="s">
        <v>383</v>
      </c>
      <c r="I321" s="11" t="s">
        <v>1102</v>
      </c>
      <c r="J321" s="278" t="s">
        <v>1102</v>
      </c>
      <c r="BD321" s="23">
        <v>41592</v>
      </c>
      <c r="BE321" s="23">
        <v>43039</v>
      </c>
      <c r="BG321" s="11" t="s">
        <v>312</v>
      </c>
      <c r="BH321" s="22">
        <v>17233282</v>
      </c>
      <c r="BI321" s="11" t="s">
        <v>5333</v>
      </c>
      <c r="BJ321" s="11" t="s">
        <v>5334</v>
      </c>
      <c r="BK321" s="11" t="s">
        <v>5335</v>
      </c>
      <c r="BL321" s="11" t="s">
        <v>5336</v>
      </c>
      <c r="BM321" s="11" t="s">
        <v>5337</v>
      </c>
      <c r="BN321" s="11" t="s">
        <v>5338</v>
      </c>
      <c r="BO321" s="12" t="s">
        <v>319</v>
      </c>
      <c r="BP321" s="12" t="s">
        <v>320</v>
      </c>
      <c r="BQ321" s="12" t="s">
        <v>319</v>
      </c>
      <c r="BR321" s="11" t="s">
        <v>5339</v>
      </c>
      <c r="BS321" s="11" t="s">
        <v>357</v>
      </c>
      <c r="BT321" s="11" t="s">
        <v>5340</v>
      </c>
      <c r="BU321" s="11" t="s">
        <v>5341</v>
      </c>
      <c r="BV321" s="22">
        <v>7687</v>
      </c>
      <c r="BW321" s="22">
        <v>8348</v>
      </c>
      <c r="BX321" s="22">
        <v>16036</v>
      </c>
      <c r="BY321" s="22">
        <v>15716021</v>
      </c>
      <c r="BZ321" s="22">
        <v>17067333</v>
      </c>
      <c r="CA321" s="22">
        <v>32783354</v>
      </c>
      <c r="CB321" s="32" t="s">
        <v>14667</v>
      </c>
      <c r="CL321" s="18"/>
      <c r="CP321" s="18"/>
      <c r="CT321" s="18"/>
      <c r="CX321" s="18"/>
      <c r="DB321" s="18"/>
      <c r="DF321" s="18"/>
      <c r="DJ321" s="18"/>
      <c r="DN321" s="18"/>
      <c r="DR321" s="18"/>
      <c r="DV321" s="18"/>
      <c r="DZ321" s="18"/>
      <c r="ED321" s="18"/>
      <c r="EI321" s="18"/>
      <c r="EK321" s="22">
        <v>2482</v>
      </c>
      <c r="EL321" s="22">
        <v>2639</v>
      </c>
      <c r="EM321" s="22">
        <v>5121</v>
      </c>
      <c r="EN321" s="29"/>
      <c r="EO321" s="29"/>
      <c r="EP321" s="29"/>
      <c r="ES321" s="18"/>
      <c r="EW321" s="18"/>
      <c r="FA321" s="18"/>
      <c r="FE321" s="18"/>
      <c r="FI321" s="18"/>
      <c r="FM321" s="18"/>
      <c r="FQ321" s="18"/>
      <c r="FU321" s="18"/>
      <c r="FY321" s="18"/>
      <c r="GA321" s="11" t="s">
        <v>320</v>
      </c>
      <c r="GB321" s="22">
        <v>5121</v>
      </c>
      <c r="GC321" s="18">
        <v>0.48</v>
      </c>
      <c r="GG321" s="18"/>
      <c r="GK321" s="18"/>
      <c r="GO321" s="18"/>
      <c r="GS321" s="18"/>
      <c r="GW321" s="18"/>
      <c r="HA321" s="18"/>
      <c r="HF321" s="18"/>
      <c r="HH321" s="11" t="s">
        <v>320</v>
      </c>
      <c r="HI321" s="11" t="s">
        <v>522</v>
      </c>
      <c r="HJ321" s="11">
        <v>2016</v>
      </c>
      <c r="HK321" s="11" t="s">
        <v>319</v>
      </c>
      <c r="HL321" s="11" t="s">
        <v>319</v>
      </c>
      <c r="HP321" s="11" t="s">
        <v>330</v>
      </c>
      <c r="HQ321" s="11" t="s">
        <v>319</v>
      </c>
      <c r="HR321" s="11" t="s">
        <v>320</v>
      </c>
      <c r="HS321" s="11" t="s">
        <v>320</v>
      </c>
      <c r="HT321" s="11" t="s">
        <v>320</v>
      </c>
      <c r="HU321" s="11" t="s">
        <v>320</v>
      </c>
      <c r="HV321" s="11" t="s">
        <v>320</v>
      </c>
      <c r="HW321" s="11" t="s">
        <v>319</v>
      </c>
      <c r="HX321" s="11" t="s">
        <v>319</v>
      </c>
      <c r="HZ321" s="11" t="s">
        <v>363</v>
      </c>
      <c r="IB321" s="11" t="s">
        <v>667</v>
      </c>
      <c r="IC321" s="11" t="s">
        <v>5342</v>
      </c>
      <c r="ID321" s="11" t="s">
        <v>364</v>
      </c>
      <c r="IE321" s="11" t="s">
        <v>335</v>
      </c>
      <c r="IF321" s="11" t="s">
        <v>320</v>
      </c>
      <c r="IG321" s="11" t="s">
        <v>320</v>
      </c>
      <c r="IH321" s="11" t="s">
        <v>320</v>
      </c>
      <c r="II321" s="11" t="s">
        <v>320</v>
      </c>
      <c r="IJ321" s="12" t="str">
        <f t="shared" si="173"/>
        <v>2. Sensitive</v>
      </c>
      <c r="IK321" s="12">
        <f t="shared" si="174"/>
        <v>4</v>
      </c>
      <c r="IL321" s="11" t="s">
        <v>336</v>
      </c>
      <c r="IM321" s="11" t="s">
        <v>320</v>
      </c>
      <c r="IN321" s="11" t="s">
        <v>320</v>
      </c>
      <c r="IO321" s="11" t="s">
        <v>320</v>
      </c>
      <c r="IP321" s="11" t="s">
        <v>320</v>
      </c>
      <c r="IQ321" s="12" t="str">
        <f t="shared" si="175"/>
        <v>2. Accommodating</v>
      </c>
      <c r="IR321" s="12">
        <f t="shared" si="176"/>
        <v>4</v>
      </c>
      <c r="IS321" s="11" t="s">
        <v>337</v>
      </c>
      <c r="IT321" s="11" t="s">
        <v>320</v>
      </c>
      <c r="IU321" s="11" t="s">
        <v>320</v>
      </c>
      <c r="IV321" s="11" t="s">
        <v>320</v>
      </c>
      <c r="IW321" s="11" t="str">
        <f t="shared" si="177"/>
        <v>2. Sensitive</v>
      </c>
      <c r="IX321" s="12">
        <f t="shared" si="178"/>
        <v>3</v>
      </c>
      <c r="IY321" s="11" t="s">
        <v>338</v>
      </c>
      <c r="IZ321" s="11" t="s">
        <v>339</v>
      </c>
      <c r="JA321" s="11">
        <v>3</v>
      </c>
      <c r="JB321" s="11" t="s">
        <v>687</v>
      </c>
      <c r="JC321" s="11" t="s">
        <v>623</v>
      </c>
      <c r="JD321" s="11" t="s">
        <v>585</v>
      </c>
      <c r="JE321" s="11" t="s">
        <v>420</v>
      </c>
      <c r="JG321" s="11" t="s">
        <v>5343</v>
      </c>
      <c r="JH321" s="11" t="s">
        <v>5344</v>
      </c>
      <c r="JI321" s="11" t="s">
        <v>5345</v>
      </c>
      <c r="JJ321" s="11" t="s">
        <v>5346</v>
      </c>
      <c r="JK321" s="11" t="s">
        <v>5347</v>
      </c>
      <c r="JL321" s="11" t="s">
        <v>5348</v>
      </c>
      <c r="JM321" s="11" t="s">
        <v>5349</v>
      </c>
      <c r="JN321" s="28" t="s">
        <v>14668</v>
      </c>
      <c r="JP321" s="15">
        <f t="shared" si="179"/>
        <v>5121</v>
      </c>
      <c r="JQ321" s="15">
        <f t="shared" si="180"/>
        <v>0</v>
      </c>
      <c r="JR321" s="279">
        <f t="shared" si="181"/>
        <v>0</v>
      </c>
      <c r="JS321" s="17">
        <f t="shared" si="182"/>
        <v>0.48467096270259713</v>
      </c>
      <c r="JT321" s="18" t="str">
        <f t="shared" si="183"/>
        <v/>
      </c>
      <c r="JU321" s="280">
        <f t="shared" si="184"/>
        <v>2482</v>
      </c>
      <c r="JV321" s="280">
        <f t="shared" si="185"/>
        <v>0</v>
      </c>
      <c r="JW321" s="319" t="str">
        <f t="shared" si="186"/>
        <v/>
      </c>
      <c r="JX321" s="15">
        <f t="shared" si="187"/>
        <v>0</v>
      </c>
      <c r="JY321" s="15">
        <f t="shared" si="188"/>
        <v>0</v>
      </c>
      <c r="JZ321" s="19" t="str">
        <f t="shared" si="189"/>
        <v/>
      </c>
      <c r="KA321" s="52" t="str">
        <f t="shared" si="190"/>
        <v/>
      </c>
      <c r="KB321" s="15">
        <f t="shared" si="191"/>
        <v>0</v>
      </c>
      <c r="KC321" s="15">
        <f t="shared" si="192"/>
        <v>0</v>
      </c>
      <c r="KD321" s="20" t="str">
        <f t="shared" si="193"/>
        <v/>
      </c>
      <c r="KE321" s="52" t="str">
        <f t="shared" si="194"/>
        <v/>
      </c>
      <c r="KF321" s="15">
        <f t="shared" si="195"/>
        <v>0</v>
      </c>
      <c r="KG321" s="15">
        <f t="shared" si="196"/>
        <v>0</v>
      </c>
      <c r="KH321" s="21" t="str">
        <f t="shared" si="197"/>
        <v/>
      </c>
      <c r="KI321" s="52" t="str">
        <f t="shared" si="198"/>
        <v/>
      </c>
      <c r="KJ321" s="15">
        <f t="shared" si="199"/>
        <v>0</v>
      </c>
      <c r="KK321" s="15">
        <f t="shared" si="200"/>
        <v>0</v>
      </c>
      <c r="KL321" s="19" t="str">
        <f t="shared" si="201"/>
        <v/>
      </c>
      <c r="KM321" s="52" t="str">
        <f t="shared" si="202"/>
        <v/>
      </c>
      <c r="KN321" s="22">
        <f t="shared" si="203"/>
        <v>0</v>
      </c>
      <c r="KO321" s="22">
        <f t="shared" si="204"/>
        <v>0</v>
      </c>
      <c r="KP321" s="19" t="str">
        <f t="shared" si="205"/>
        <v/>
      </c>
      <c r="KQ321" s="11" t="str">
        <f t="shared" si="206"/>
        <v>2. Sensitive</v>
      </c>
      <c r="KR321" s="11" t="str">
        <f t="shared" si="207"/>
        <v>2. Accommodating</v>
      </c>
      <c r="KS321" s="11" t="str">
        <f t="shared" si="208"/>
        <v>2. Sensitive</v>
      </c>
      <c r="KT321" s="11" t="str">
        <f t="shared" si="209"/>
        <v>It did not develop any specific innovation</v>
      </c>
      <c r="KU321" s="11" t="str">
        <f t="shared" si="210"/>
        <v>Moderate advocacy</v>
      </c>
      <c r="KV321" s="11" t="str">
        <f t="shared" si="211"/>
        <v>It took tested solutions to scale on its own</v>
      </c>
      <c r="KW321" s="11" t="str">
        <f t="shared" si="212"/>
        <v>India - Scale up of Visceral Leishmaniasis control activities (VL)</v>
      </c>
      <c r="KX321" s="11" t="str">
        <f t="shared" si="213"/>
        <v>Scale up of Visceral Leishmaniasis control activities (VL)</v>
      </c>
      <c r="KY321" s="11" t="str">
        <f t="shared" si="214"/>
        <v>India</v>
      </c>
      <c r="KZ321" s="12">
        <v>321</v>
      </c>
    </row>
    <row r="322" spans="1:312" x14ac:dyDescent="0.3">
      <c r="A322" s="11" t="s">
        <v>5300</v>
      </c>
      <c r="B322" s="11" t="s">
        <v>306</v>
      </c>
      <c r="C322" s="11">
        <v>3002</v>
      </c>
      <c r="D322" s="11" t="s">
        <v>5716</v>
      </c>
      <c r="E322" s="24" t="str">
        <f t="shared" si="215"/>
        <v>India</v>
      </c>
      <c r="F322" s="11" t="s">
        <v>5717</v>
      </c>
      <c r="G322" s="11" t="s">
        <v>5302</v>
      </c>
      <c r="H322" s="11" t="s">
        <v>383</v>
      </c>
      <c r="I322" s="11" t="s">
        <v>384</v>
      </c>
      <c r="J322" s="278" t="s">
        <v>10530</v>
      </c>
      <c r="BD322" s="23">
        <v>41821</v>
      </c>
      <c r="BE322" s="23">
        <v>42673</v>
      </c>
      <c r="BG322" s="11" t="s">
        <v>312</v>
      </c>
      <c r="BH322" s="22">
        <v>306340</v>
      </c>
      <c r="BI322" s="11" t="s">
        <v>5718</v>
      </c>
      <c r="BJ322" s="11" t="s">
        <v>5719</v>
      </c>
      <c r="BK322" s="11" t="s">
        <v>5720</v>
      </c>
      <c r="BL322" s="11" t="s">
        <v>5600</v>
      </c>
      <c r="BM322" s="11" t="s">
        <v>444</v>
      </c>
      <c r="BN322" s="11" t="s">
        <v>5601</v>
      </c>
      <c r="BO322" s="11" t="s">
        <v>319</v>
      </c>
      <c r="BP322" s="11" t="s">
        <v>320</v>
      </c>
      <c r="BQ322" s="11" t="s">
        <v>319</v>
      </c>
      <c r="BR322" s="11" t="s">
        <v>5721</v>
      </c>
      <c r="BS322" s="11" t="s">
        <v>357</v>
      </c>
      <c r="BT322" s="11" t="s">
        <v>5679</v>
      </c>
      <c r="BU322" s="11" t="s">
        <v>5722</v>
      </c>
      <c r="BV322" s="22">
        <v>35501</v>
      </c>
      <c r="BW322" s="22">
        <v>34721</v>
      </c>
      <c r="BX322" s="22">
        <v>70222</v>
      </c>
      <c r="BY322" s="22">
        <v>214675</v>
      </c>
      <c r="BZ322" s="22">
        <v>231138</v>
      </c>
      <c r="CA322" s="22">
        <v>445813</v>
      </c>
      <c r="CB322" s="32" t="s">
        <v>14669</v>
      </c>
      <c r="CL322" s="18"/>
      <c r="CP322" s="18"/>
      <c r="CT322" s="18"/>
      <c r="CX322" s="18"/>
      <c r="DB322" s="18"/>
      <c r="DF322" s="18"/>
      <c r="DJ322" s="18"/>
      <c r="DN322" s="18"/>
      <c r="DR322" s="18"/>
      <c r="DV322" s="18"/>
      <c r="DZ322" s="18"/>
      <c r="ED322" s="18"/>
      <c r="EI322" s="18"/>
      <c r="EK322" s="29">
        <v>9394</v>
      </c>
      <c r="EL322" s="29">
        <v>7099</v>
      </c>
      <c r="EM322" s="29">
        <v>16493</v>
      </c>
      <c r="EN322" s="29"/>
      <c r="EO322" s="29"/>
      <c r="EP322" s="29"/>
      <c r="ES322" s="18"/>
      <c r="EW322" s="18"/>
      <c r="FA322" s="18"/>
      <c r="FE322" s="18"/>
      <c r="FI322" s="18"/>
      <c r="FK322" s="12" t="s">
        <v>320</v>
      </c>
      <c r="FL322" s="22">
        <v>70222</v>
      </c>
      <c r="FM322" s="18">
        <v>0.51</v>
      </c>
      <c r="FN322" s="22">
        <v>445813</v>
      </c>
      <c r="FQ322" s="18"/>
      <c r="FU322" s="18"/>
      <c r="FY322" s="18"/>
      <c r="GC322" s="18"/>
      <c r="GG322" s="18"/>
      <c r="GK322" s="18"/>
      <c r="GO322" s="18"/>
      <c r="GS322" s="18"/>
      <c r="GW322" s="18"/>
      <c r="HA322" s="18"/>
      <c r="HF322" s="18"/>
      <c r="HH322" s="11" t="s">
        <v>319</v>
      </c>
      <c r="HK322" s="11" t="s">
        <v>319</v>
      </c>
      <c r="HL322" s="11" t="s">
        <v>319</v>
      </c>
      <c r="HO322" s="11" t="s">
        <v>5723</v>
      </c>
      <c r="HP322" s="11" t="s">
        <v>453</v>
      </c>
      <c r="HQ322" s="11" t="s">
        <v>320</v>
      </c>
      <c r="HS322" s="11" t="s">
        <v>320</v>
      </c>
      <c r="HT322" s="11" t="s">
        <v>320</v>
      </c>
      <c r="HZ322" s="11" t="s">
        <v>363</v>
      </c>
      <c r="IB322" s="11" t="s">
        <v>396</v>
      </c>
      <c r="IC322" s="11" t="s">
        <v>5724</v>
      </c>
      <c r="ID322" s="11" t="s">
        <v>364</v>
      </c>
      <c r="IE322" s="11" t="s">
        <v>478</v>
      </c>
      <c r="IF322" s="11" t="s">
        <v>320</v>
      </c>
      <c r="IG322" s="11" t="s">
        <v>320</v>
      </c>
      <c r="IH322" s="11" t="s">
        <v>320</v>
      </c>
      <c r="II322" s="11" t="s">
        <v>320</v>
      </c>
      <c r="IJ322" s="12" t="str">
        <f t="shared" ref="IJ322:IJ385" si="216">IF(IE322="","No marker score",IF(ISNUMBER(SEARCH("select",IE322)),"",IF(ISNUMBER(SEARCH("Did NOT",IE322)),"0. Harmful",IF(ISNUMBER(SEARCH("CHALLENGED",IE322)),IF(IK322=4,"4. Transformative",IF(IK322&gt;1,"3. Responsive",IF(IK322&lt;=1,"No marker score",""))),IF(ISNUMBER(SEARCH("WORKED WITH",IE322)),IF(IK322=4,"2. Sensitive",IF(IK322&gt;1,"1. Neutral","0. Harmful")))))))</f>
        <v>4. Transformative</v>
      </c>
      <c r="IK322" s="12">
        <f t="shared" ref="IK322:IK385" si="217">COUNTIF(IF322:II322,"=YES")</f>
        <v>4</v>
      </c>
      <c r="IL322" s="11" t="s">
        <v>621</v>
      </c>
      <c r="IM322" s="11" t="s">
        <v>320</v>
      </c>
      <c r="IN322" s="11" t="s">
        <v>320</v>
      </c>
      <c r="IO322" s="11" t="s">
        <v>320</v>
      </c>
      <c r="IP322" s="11" t="s">
        <v>319</v>
      </c>
      <c r="IQ322" s="12" t="str">
        <f t="shared" ref="IQ322:IQ385" si="218">IF(IL322="","No marker score",IF(ISNUMBER(SEARCH("select",IL322)),"",IF(ISNUMBER(SEARCH("Did NOT",IL322)),"0. Unaware",IF(ISNUMBER(SEARCH("CHALLENGED",IL322)),IF(IR322=4,"4. Transformational",IF(IR322&gt;1,"3. Responsive",IF(IR322&lt;=1,"No marker score",""))),IF(ISNUMBER(SEARCH("WORKED WITH",IL322)),IF(IR322&gt;=3,"2. Accommodating",IF(IR322&gt;=1,"1. Tokenistic","0. Unaware")))))))</f>
        <v>3. Responsive</v>
      </c>
      <c r="IR322" s="12">
        <f t="shared" ref="IR322:IR385" si="219">COUNTIF(IM322:IP322,"=YES")</f>
        <v>3</v>
      </c>
      <c r="IS322" s="11" t="s">
        <v>622</v>
      </c>
      <c r="IU322" s="11" t="s">
        <v>320</v>
      </c>
      <c r="IV322" s="11" t="s">
        <v>320</v>
      </c>
      <c r="IW322" s="11" t="str">
        <f t="shared" ref="IW322:IW385" si="220">IF(IS322="","No marker score",IF(ISNUMBER(SEARCH("select",IS322)),"",IF(ISNUMBER(SEARCH("Did NOT",IS322)),"0. Harmful",IF(ISNUMBER(SEARCH("well",IS322)),IF(IX322=3,"4. Transformative",IF(IX322&gt;=1,"3. Responsive",IF(IX322=0,"No marker score",""))),IF(ISNUMBER(SEARCH(".",IS322)),IF(IX322&gt;=3,"2. Sensitive",IF(IX322&gt;=1,"1. Neutral","0. Harmful")))))))</f>
        <v>3. Responsive</v>
      </c>
      <c r="IX322" s="12">
        <f t="shared" ref="IX322:IX385" si="221">COUNTIF(IT322:IV322,"=YES")</f>
        <v>2</v>
      </c>
      <c r="IY322" s="11" t="s">
        <v>338</v>
      </c>
      <c r="IZ322" s="11" t="s">
        <v>339</v>
      </c>
      <c r="JA322" s="11">
        <v>1</v>
      </c>
      <c r="JB322" s="11" t="s">
        <v>687</v>
      </c>
      <c r="JE322" s="11" t="s">
        <v>420</v>
      </c>
      <c r="JH322" s="11" t="s">
        <v>5725</v>
      </c>
      <c r="JI322" s="11" t="s">
        <v>5726</v>
      </c>
      <c r="JJ322" s="11" t="s">
        <v>5727</v>
      </c>
      <c r="JK322" s="11" t="s">
        <v>5728</v>
      </c>
      <c r="JL322" s="11" t="s">
        <v>5729</v>
      </c>
      <c r="JM322" s="11" t="s">
        <v>5730</v>
      </c>
      <c r="JN322" s="28" t="s">
        <v>14670</v>
      </c>
      <c r="JP322" s="15">
        <f t="shared" ref="JP322:JP385" si="222">MAX(CF322,EM322)</f>
        <v>16493</v>
      </c>
      <c r="JQ322" s="15">
        <f t="shared" ref="JQ322:JQ385" si="223">MAX(CI322,EP322)</f>
        <v>0</v>
      </c>
      <c r="JR322" s="279">
        <f t="shared" ref="JR322:JR385" si="224">IFERROR(JQ322/JP322,"")</f>
        <v>0</v>
      </c>
      <c r="JS322" s="17">
        <f t="shared" ref="JS322:JS385" si="225">IFERROR(MAX(CD322,EK322)/JP322,"")</f>
        <v>0.56957497119990297</v>
      </c>
      <c r="JT322" s="18" t="str">
        <f t="shared" ref="JT322:JT385" si="226">IFERROR(MAX(CG322,EN322)/JQ322,"")</f>
        <v/>
      </c>
      <c r="JU322" s="280">
        <f t="shared" ref="JU322:JU385" si="227">IFERROR(MAX(CD322,EK322),"")</f>
        <v>9394</v>
      </c>
      <c r="JV322" s="280">
        <f t="shared" ref="JV322:JV385" si="228">IFERROR(MAX(CG322,EN322),"")</f>
        <v>0</v>
      </c>
      <c r="JW322" s="319" t="str">
        <f t="shared" ref="JW322:JW385" si="229">IF(BO322="yes",1,"")</f>
        <v/>
      </c>
      <c r="JX322" s="15">
        <f t="shared" ref="JX322:JX385" si="230">CF322</f>
        <v>0</v>
      </c>
      <c r="JY322" s="15">
        <f t="shared" ref="JY322:JY385" si="231">CI322</f>
        <v>0</v>
      </c>
      <c r="JZ322" s="19" t="str">
        <f t="shared" ref="JZ322:JZ385" si="232">IFERROR(JY322/JX322,"")</f>
        <v/>
      </c>
      <c r="KA322" s="52" t="str">
        <f t="shared" ref="KA322:KA385" si="233">IF((OR(CV322="yes", DL322="yes", EQ322="yes", EU322="yes", FC322="yes", FG322="yes", FO322="yes", GI322="yes", GU322="yes")), 1, "")</f>
        <v/>
      </c>
      <c r="KB322" s="15">
        <f t="shared" ref="KB322:KB385" si="234">MAX(CW322,DM322,ER322,EV322,FD322,FH322,FP322,GJ322,GV322)</f>
        <v>0</v>
      </c>
      <c r="KC322" s="15">
        <f t="shared" ref="KC322:KC385" si="235">MAX(CY322,DO322,ET322,EX322,FF322,FJ322,FR322,GL322,GX322)</f>
        <v>0</v>
      </c>
      <c r="KD322" s="20" t="str">
        <f t="shared" ref="KD322:KD385" si="236">IFERROR(KC322/KB322,"")</f>
        <v/>
      </c>
      <c r="KE322" s="52" t="str">
        <f t="shared" ref="KE322:KE385" si="237">IF((OR(DT322="yes", GQ322="yes")), 1, "")</f>
        <v/>
      </c>
      <c r="KF322" s="15">
        <f t="shared" ref="KF322:KF385" si="238">MAX(DU322,GR322)</f>
        <v>0</v>
      </c>
      <c r="KG322" s="15">
        <f t="shared" ref="KG322:KG385" si="239">MAX(DW322,GT322)</f>
        <v>0</v>
      </c>
      <c r="KH322" s="21" t="str">
        <f t="shared" ref="KH322:KH385" si="240">IFERROR(KG322/KF322,"")</f>
        <v/>
      </c>
      <c r="KI322" s="52" t="str">
        <f t="shared" ref="KI322:KI385" si="241">IF((OR(CZ322="yes", FS322="yes")), 1, "")</f>
        <v/>
      </c>
      <c r="KJ322" s="15">
        <f t="shared" ref="KJ322:KJ385" si="242">MAX(DA322,FT322)</f>
        <v>0</v>
      </c>
      <c r="KK322" s="15">
        <f t="shared" ref="KK322:KK385" si="243">MAX(DC322,FV322)</f>
        <v>0</v>
      </c>
      <c r="KL322" s="19" t="str">
        <f t="shared" ref="KL322:KL385" si="244">IFERROR(KK322/KJ322,"")</f>
        <v/>
      </c>
      <c r="KM322" s="52" t="str">
        <f t="shared" ref="KM322:KM385" si="245">IF((OR(FG322="yes", GY322="yes")), 1, "")</f>
        <v/>
      </c>
      <c r="KN322" s="22">
        <f t="shared" ref="KN322:KN385" si="246">IFERROR(MAX((FH322*FI322),GZ322),"")</f>
        <v>0</v>
      </c>
      <c r="KO322" s="22">
        <f t="shared" ref="KO322:KO385" si="247">IFERROR(MAX((FJ322*FI322),HB322),"")</f>
        <v>0</v>
      </c>
      <c r="KP322" s="19" t="str">
        <f t="shared" ref="KP322:KP385" si="248">IFERROR(KO322/KN322,"")</f>
        <v/>
      </c>
      <c r="KQ322" s="11" t="str">
        <f t="shared" ref="KQ322:KQ385" si="249">IJ322</f>
        <v>4. Transformative</v>
      </c>
      <c r="KR322" s="11" t="str">
        <f t="shared" ref="KR322:KR385" si="250">IQ322</f>
        <v>3. Responsive</v>
      </c>
      <c r="KS322" s="11" t="str">
        <f t="shared" ref="KS322:KS385" si="251">IW322</f>
        <v>3. Responsive</v>
      </c>
      <c r="KT322" s="11" t="str">
        <f t="shared" ref="KT322:KT385" si="252">HZ322</f>
        <v>It did not develop any specific innovation</v>
      </c>
      <c r="KU322" s="11" t="str">
        <f t="shared" ref="KU322:KU385" si="253">HP322</f>
        <v>Intensive advocacy</v>
      </c>
      <c r="KV322" s="11" t="str">
        <f t="shared" ref="KV322:KV385" si="254">IB322</f>
        <v>It linked and worked with strategic alliances and partners to take tested and effective solutions to scale</v>
      </c>
      <c r="KW322" s="11" t="str">
        <f t="shared" ref="KW322:KW385" si="255">A322&amp;" - "&amp;D322</f>
        <v>India - School Improvement Program (Pasty Collins Trust Fund Initiative -Cohort 2)</v>
      </c>
      <c r="KX322" s="11" t="str">
        <f t="shared" ref="KX322:KX385" si="256">D322</f>
        <v>School Improvement Program (Pasty Collins Trust Fund Initiative -Cohort 2)</v>
      </c>
      <c r="KY322" s="11" t="str">
        <f t="shared" ref="KY322:KY385" si="257">A322</f>
        <v>India</v>
      </c>
      <c r="KZ322" s="12">
        <v>322</v>
      </c>
    </row>
    <row r="323" spans="1:312" x14ac:dyDescent="0.3">
      <c r="A323" s="11" t="s">
        <v>5300</v>
      </c>
      <c r="B323" s="11" t="s">
        <v>306</v>
      </c>
      <c r="C323" s="11">
        <v>3005</v>
      </c>
      <c r="D323" s="11" t="s">
        <v>5731</v>
      </c>
      <c r="E323" s="24" t="str">
        <f t="shared" si="215"/>
        <v>India</v>
      </c>
      <c r="F323" s="11" t="s">
        <v>5732</v>
      </c>
      <c r="G323" s="11" t="s">
        <v>5302</v>
      </c>
      <c r="H323" s="11" t="s">
        <v>310</v>
      </c>
      <c r="I323" s="11" t="s">
        <v>655</v>
      </c>
      <c r="J323" s="278" t="s">
        <v>4991</v>
      </c>
      <c r="BD323" s="23">
        <v>42880</v>
      </c>
      <c r="BE323" s="23">
        <v>43305</v>
      </c>
      <c r="BG323" s="11" t="s">
        <v>312</v>
      </c>
      <c r="BH323" s="22">
        <v>2400000</v>
      </c>
      <c r="BI323" s="11" t="s">
        <v>5676</v>
      </c>
      <c r="BJ323" s="11" t="s">
        <v>751</v>
      </c>
      <c r="BK323" s="11" t="s">
        <v>5677</v>
      </c>
      <c r="BL323" s="11" t="s">
        <v>5600</v>
      </c>
      <c r="BM323" s="11" t="s">
        <v>444</v>
      </c>
      <c r="BN323" s="11" t="s">
        <v>5601</v>
      </c>
      <c r="BO323" s="11" t="s">
        <v>319</v>
      </c>
      <c r="BP323" s="11" t="s">
        <v>320</v>
      </c>
      <c r="BQ323" s="11" t="s">
        <v>319</v>
      </c>
      <c r="BR323" s="11" t="s">
        <v>5733</v>
      </c>
      <c r="BS323" s="11" t="s">
        <v>357</v>
      </c>
      <c r="BT323" s="11" t="s">
        <v>5734</v>
      </c>
      <c r="BU323" s="11" t="s">
        <v>5735</v>
      </c>
      <c r="BV323" s="22">
        <v>50353</v>
      </c>
      <c r="BW323" s="22">
        <v>53000</v>
      </c>
      <c r="BX323" s="22">
        <v>103353</v>
      </c>
      <c r="BY323" s="22">
        <v>692258</v>
      </c>
      <c r="BZ323" s="22">
        <v>791399</v>
      </c>
      <c r="CA323" s="22">
        <v>1483657</v>
      </c>
      <c r="CB323" s="15" t="s">
        <v>5736</v>
      </c>
      <c r="CL323" s="18"/>
      <c r="CP323" s="18"/>
      <c r="CT323" s="18"/>
      <c r="CX323" s="18"/>
      <c r="DB323" s="18"/>
      <c r="DF323" s="18"/>
      <c r="DJ323" s="18"/>
      <c r="DN323" s="18"/>
      <c r="DR323" s="18"/>
      <c r="DV323" s="18"/>
      <c r="DZ323" s="18"/>
      <c r="ED323" s="18"/>
      <c r="EI323" s="18"/>
      <c r="EK323" s="22">
        <v>38249</v>
      </c>
      <c r="EL323" s="22">
        <v>40349</v>
      </c>
      <c r="EM323" s="22">
        <v>78598</v>
      </c>
      <c r="EN323" s="22">
        <v>292548</v>
      </c>
      <c r="EO323" s="22">
        <v>311580</v>
      </c>
      <c r="EP323" s="22">
        <v>604128</v>
      </c>
      <c r="ES323" s="18"/>
      <c r="EW323" s="18"/>
      <c r="FA323" s="18"/>
      <c r="FE323" s="18"/>
      <c r="FI323" s="18"/>
      <c r="FK323" s="12" t="s">
        <v>320</v>
      </c>
      <c r="FL323" s="22">
        <v>78598</v>
      </c>
      <c r="FM323" s="18">
        <v>0.49</v>
      </c>
      <c r="FN323" s="22">
        <v>604128</v>
      </c>
      <c r="FQ323" s="18"/>
      <c r="FU323" s="18"/>
      <c r="FY323" s="18"/>
      <c r="GC323" s="18"/>
      <c r="GG323" s="18"/>
      <c r="GK323" s="18"/>
      <c r="GO323" s="18"/>
      <c r="GS323" s="18"/>
      <c r="GW323" s="18"/>
      <c r="HA323" s="18"/>
      <c r="HF323" s="18"/>
      <c r="HH323" s="11" t="s">
        <v>320</v>
      </c>
      <c r="HI323" s="11" t="s">
        <v>416</v>
      </c>
      <c r="HJ323" s="11">
        <v>2017</v>
      </c>
      <c r="HK323" s="11" t="s">
        <v>319</v>
      </c>
      <c r="HL323" s="11" t="s">
        <v>320</v>
      </c>
      <c r="HM323" s="11" t="s">
        <v>416</v>
      </c>
      <c r="HN323" s="11">
        <v>2018</v>
      </c>
      <c r="HO323" s="11" t="s">
        <v>5737</v>
      </c>
      <c r="HP323" s="11" t="s">
        <v>453</v>
      </c>
      <c r="HQ323" s="11" t="s">
        <v>320</v>
      </c>
      <c r="HS323" s="11" t="s">
        <v>320</v>
      </c>
      <c r="HT323" s="11" t="s">
        <v>320</v>
      </c>
      <c r="HW323" s="11" t="s">
        <v>319</v>
      </c>
      <c r="HZ323" s="11" t="s">
        <v>363</v>
      </c>
      <c r="IB323" s="11" t="s">
        <v>396</v>
      </c>
      <c r="IC323" s="11" t="s">
        <v>5738</v>
      </c>
      <c r="ID323" s="11" t="s">
        <v>364</v>
      </c>
      <c r="IE323" s="11" t="s">
        <v>478</v>
      </c>
      <c r="IF323" s="11" t="s">
        <v>320</v>
      </c>
      <c r="IG323" s="11" t="s">
        <v>320</v>
      </c>
      <c r="IH323" s="11" t="s">
        <v>320</v>
      </c>
      <c r="II323" s="11" t="s">
        <v>320</v>
      </c>
      <c r="IJ323" s="12" t="str">
        <f t="shared" si="216"/>
        <v>4. Transformative</v>
      </c>
      <c r="IK323" s="12">
        <f t="shared" si="217"/>
        <v>4</v>
      </c>
      <c r="IL323" s="11" t="s">
        <v>621</v>
      </c>
      <c r="IM323" s="11" t="s">
        <v>320</v>
      </c>
      <c r="IN323" s="11" t="s">
        <v>320</v>
      </c>
      <c r="IO323" s="11" t="s">
        <v>320</v>
      </c>
      <c r="IP323" s="11" t="s">
        <v>319</v>
      </c>
      <c r="IQ323" s="12" t="str">
        <f t="shared" si="218"/>
        <v>3. Responsive</v>
      </c>
      <c r="IR323" s="12">
        <f t="shared" si="219"/>
        <v>3</v>
      </c>
      <c r="IS323" s="11" t="s">
        <v>622</v>
      </c>
      <c r="IT323" s="11" t="s">
        <v>319</v>
      </c>
      <c r="IU323" s="11" t="s">
        <v>320</v>
      </c>
      <c r="IV323" s="11" t="s">
        <v>320</v>
      </c>
      <c r="IW323" s="11" t="str">
        <f t="shared" si="220"/>
        <v>3. Responsive</v>
      </c>
      <c r="IX323" s="12">
        <f t="shared" si="221"/>
        <v>2</v>
      </c>
      <c r="IY323" s="11" t="s">
        <v>338</v>
      </c>
      <c r="IZ323" s="11" t="s">
        <v>339</v>
      </c>
      <c r="JA323" s="11">
        <v>1</v>
      </c>
      <c r="JB323" s="11" t="s">
        <v>687</v>
      </c>
      <c r="JE323" s="11" t="s">
        <v>420</v>
      </c>
      <c r="JH323" s="11" t="s">
        <v>5739</v>
      </c>
      <c r="JI323" s="11" t="s">
        <v>5740</v>
      </c>
      <c r="JJ323" s="11" t="s">
        <v>5741</v>
      </c>
      <c r="JK323" s="11" t="s">
        <v>5742</v>
      </c>
      <c r="JL323" s="11" t="s">
        <v>5743</v>
      </c>
      <c r="JM323" s="11" t="s">
        <v>5744</v>
      </c>
      <c r="JN323" s="11" t="s">
        <v>5745</v>
      </c>
      <c r="JO323" s="11" t="s">
        <v>5746</v>
      </c>
      <c r="JP323" s="15">
        <f t="shared" si="222"/>
        <v>78598</v>
      </c>
      <c r="JQ323" s="15">
        <f t="shared" si="223"/>
        <v>604128</v>
      </c>
      <c r="JR323" s="279">
        <f t="shared" si="224"/>
        <v>7.6863024504440318</v>
      </c>
      <c r="JS323" s="17">
        <f t="shared" si="225"/>
        <v>0.48664088144736506</v>
      </c>
      <c r="JT323" s="18">
        <f t="shared" si="226"/>
        <v>0.48424837120610204</v>
      </c>
      <c r="JU323" s="280">
        <f t="shared" si="227"/>
        <v>38249</v>
      </c>
      <c r="JV323" s="280">
        <f t="shared" si="228"/>
        <v>292548</v>
      </c>
      <c r="JW323" s="319" t="str">
        <f t="shared" si="229"/>
        <v/>
      </c>
      <c r="JX323" s="15">
        <f t="shared" si="230"/>
        <v>0</v>
      </c>
      <c r="JY323" s="15">
        <f t="shared" si="231"/>
        <v>0</v>
      </c>
      <c r="JZ323" s="19" t="str">
        <f t="shared" si="232"/>
        <v/>
      </c>
      <c r="KA323" s="52" t="str">
        <f t="shared" si="233"/>
        <v/>
      </c>
      <c r="KB323" s="15">
        <f t="shared" si="234"/>
        <v>0</v>
      </c>
      <c r="KC323" s="15">
        <f t="shared" si="235"/>
        <v>0</v>
      </c>
      <c r="KD323" s="20" t="str">
        <f t="shared" si="236"/>
        <v/>
      </c>
      <c r="KE323" s="52" t="str">
        <f t="shared" si="237"/>
        <v/>
      </c>
      <c r="KF323" s="15">
        <f t="shared" si="238"/>
        <v>0</v>
      </c>
      <c r="KG323" s="15">
        <f t="shared" si="239"/>
        <v>0</v>
      </c>
      <c r="KH323" s="21" t="str">
        <f t="shared" si="240"/>
        <v/>
      </c>
      <c r="KI323" s="52" t="str">
        <f t="shared" si="241"/>
        <v/>
      </c>
      <c r="KJ323" s="15">
        <f t="shared" si="242"/>
        <v>0</v>
      </c>
      <c r="KK323" s="15">
        <f t="shared" si="243"/>
        <v>0</v>
      </c>
      <c r="KL323" s="19" t="str">
        <f t="shared" si="244"/>
        <v/>
      </c>
      <c r="KM323" s="52" t="str">
        <f t="shared" si="245"/>
        <v/>
      </c>
      <c r="KN323" s="22">
        <f t="shared" si="246"/>
        <v>0</v>
      </c>
      <c r="KO323" s="22">
        <f t="shared" si="247"/>
        <v>0</v>
      </c>
      <c r="KP323" s="19" t="str">
        <f t="shared" si="248"/>
        <v/>
      </c>
      <c r="KQ323" s="11" t="str">
        <f t="shared" si="249"/>
        <v>4. Transformative</v>
      </c>
      <c r="KR323" s="11" t="str">
        <f t="shared" si="250"/>
        <v>3. Responsive</v>
      </c>
      <c r="KS323" s="11" t="str">
        <f t="shared" si="251"/>
        <v>3. Responsive</v>
      </c>
      <c r="KT323" s="11" t="str">
        <f t="shared" si="252"/>
        <v>It did not develop any specific innovation</v>
      </c>
      <c r="KU323" s="11" t="str">
        <f t="shared" si="253"/>
        <v>Intensive advocacy</v>
      </c>
      <c r="KV323" s="11" t="str">
        <f t="shared" si="254"/>
        <v>It linked and worked with strategic alliances and partners to take tested and effective solutions to scale</v>
      </c>
      <c r="KW323" s="11" t="str">
        <f t="shared" si="255"/>
        <v>India - Start Early:Read in Time</v>
      </c>
      <c r="KX323" s="11" t="str">
        <f t="shared" si="256"/>
        <v>Start Early:Read in Time</v>
      </c>
      <c r="KY323" s="11" t="str">
        <f t="shared" si="257"/>
        <v>India</v>
      </c>
      <c r="KZ323" s="287">
        <v>323</v>
      </c>
    </row>
    <row r="324" spans="1:312" x14ac:dyDescent="0.3">
      <c r="A324" s="11" t="s">
        <v>5300</v>
      </c>
      <c r="B324" s="11" t="s">
        <v>306</v>
      </c>
      <c r="D324" s="11" t="s">
        <v>5350</v>
      </c>
      <c r="E324" s="24" t="str">
        <f t="shared" si="215"/>
        <v>India</v>
      </c>
      <c r="G324" s="11" t="s">
        <v>714</v>
      </c>
      <c r="H324" s="11" t="s">
        <v>489</v>
      </c>
      <c r="I324" s="11" t="s">
        <v>384</v>
      </c>
      <c r="J324" s="278" t="s">
        <v>5351</v>
      </c>
      <c r="BD324" s="23">
        <v>42562</v>
      </c>
      <c r="BE324" s="23">
        <v>42916</v>
      </c>
      <c r="BF324" s="23">
        <v>42978</v>
      </c>
      <c r="BG324" s="11" t="s">
        <v>817</v>
      </c>
      <c r="BH324" s="22">
        <v>56404</v>
      </c>
      <c r="BI324" s="11" t="s">
        <v>5352</v>
      </c>
      <c r="BJ324" s="11" t="s">
        <v>444</v>
      </c>
      <c r="BK324" s="11" t="s">
        <v>5353</v>
      </c>
      <c r="BL324" s="11" t="s">
        <v>5354</v>
      </c>
      <c r="BM324" s="11" t="s">
        <v>5355</v>
      </c>
      <c r="BN324" s="11" t="s">
        <v>5356</v>
      </c>
      <c r="BO324" s="11" t="s">
        <v>320</v>
      </c>
      <c r="BP324" s="11" t="s">
        <v>319</v>
      </c>
      <c r="BQ324" s="11" t="s">
        <v>319</v>
      </c>
      <c r="BR324" s="11" t="s">
        <v>5357</v>
      </c>
      <c r="BS324" s="11" t="s">
        <v>357</v>
      </c>
      <c r="BT324" s="11" t="s">
        <v>5358</v>
      </c>
      <c r="BU324" s="11" t="s">
        <v>5359</v>
      </c>
      <c r="BV324" s="22">
        <v>235</v>
      </c>
      <c r="BW324" s="22">
        <v>55</v>
      </c>
      <c r="BX324" s="22">
        <v>290</v>
      </c>
      <c r="BY324" s="22">
        <v>556</v>
      </c>
      <c r="BZ324" s="22">
        <v>614</v>
      </c>
      <c r="CA324" s="22">
        <v>1170</v>
      </c>
      <c r="CB324" s="15" t="s">
        <v>5360</v>
      </c>
      <c r="CD324" s="22">
        <v>235</v>
      </c>
      <c r="CE324" s="22">
        <v>55</v>
      </c>
      <c r="CF324" s="22">
        <v>290</v>
      </c>
      <c r="CG324" s="22">
        <v>556</v>
      </c>
      <c r="CH324" s="22">
        <v>614</v>
      </c>
      <c r="CI324" s="22">
        <v>1170</v>
      </c>
      <c r="CL324" s="18"/>
      <c r="CP324" s="18"/>
      <c r="CT324" s="18"/>
      <c r="CX324" s="18"/>
      <c r="DB324" s="18"/>
      <c r="DF324" s="18"/>
      <c r="DJ324" s="18"/>
      <c r="DL324" s="11" t="s">
        <v>320</v>
      </c>
      <c r="DM324" s="22">
        <v>130</v>
      </c>
      <c r="DN324" s="18">
        <v>0.81</v>
      </c>
      <c r="DO324" s="22">
        <v>585</v>
      </c>
      <c r="DR324" s="18"/>
      <c r="DV324" s="18"/>
      <c r="DX324" s="12" t="s">
        <v>320</v>
      </c>
      <c r="DY324" s="22">
        <v>130</v>
      </c>
      <c r="DZ324" s="18">
        <v>0.85</v>
      </c>
      <c r="EA324" s="22">
        <v>585</v>
      </c>
      <c r="EB324" s="11" t="s">
        <v>320</v>
      </c>
      <c r="ED324" s="18">
        <v>0.5</v>
      </c>
      <c r="EE324" s="22">
        <v>1170</v>
      </c>
      <c r="EI324" s="18"/>
      <c r="ES324" s="18"/>
      <c r="EW324" s="18"/>
      <c r="FA324" s="18"/>
      <c r="FE324" s="18"/>
      <c r="FI324" s="18"/>
      <c r="FM324" s="18"/>
      <c r="FQ324" s="18"/>
      <c r="FU324" s="18"/>
      <c r="FY324" s="18"/>
      <c r="GC324" s="18"/>
      <c r="GG324" s="18"/>
      <c r="GK324" s="18"/>
      <c r="GO324" s="18"/>
      <c r="GS324" s="18"/>
      <c r="GW324" s="18"/>
      <c r="HA324" s="18"/>
      <c r="HF324" s="18"/>
      <c r="HH324" s="11" t="s">
        <v>320</v>
      </c>
      <c r="HI324" s="11" t="s">
        <v>451</v>
      </c>
      <c r="HJ324" s="11">
        <v>2017</v>
      </c>
      <c r="HK324" s="11" t="s">
        <v>320</v>
      </c>
      <c r="HL324" s="11" t="s">
        <v>319</v>
      </c>
      <c r="HO324" s="11" t="s">
        <v>1164</v>
      </c>
      <c r="HP324" s="11" t="s">
        <v>418</v>
      </c>
      <c r="HS324" s="11" t="s">
        <v>320</v>
      </c>
      <c r="HZ324" s="11" t="s">
        <v>363</v>
      </c>
      <c r="IB324" s="11" t="s">
        <v>333</v>
      </c>
      <c r="ID324" s="11" t="s">
        <v>334</v>
      </c>
      <c r="IE324" s="11" t="s">
        <v>478</v>
      </c>
      <c r="IF324" s="11" t="s">
        <v>319</v>
      </c>
      <c r="IG324" s="11" t="s">
        <v>320</v>
      </c>
      <c r="IH324" s="11" t="s">
        <v>320</v>
      </c>
      <c r="II324" s="11" t="s">
        <v>320</v>
      </c>
      <c r="IJ324" s="12" t="str">
        <f t="shared" si="216"/>
        <v>3. Responsive</v>
      </c>
      <c r="IK324" s="12">
        <f t="shared" si="217"/>
        <v>3</v>
      </c>
      <c r="IL324" s="11" t="s">
        <v>336</v>
      </c>
      <c r="IM324" s="11" t="s">
        <v>319</v>
      </c>
      <c r="IN324" s="11" t="s">
        <v>320</v>
      </c>
      <c r="IO324" s="11" t="s">
        <v>319</v>
      </c>
      <c r="IP324" s="11" t="s">
        <v>320</v>
      </c>
      <c r="IQ324" s="12" t="str">
        <f t="shared" si="218"/>
        <v>1. Tokenistic</v>
      </c>
      <c r="IR324" s="12">
        <f t="shared" si="219"/>
        <v>2</v>
      </c>
      <c r="IS324" s="11" t="s">
        <v>622</v>
      </c>
      <c r="IT324" s="11" t="s">
        <v>319</v>
      </c>
      <c r="IU324" s="11" t="s">
        <v>320</v>
      </c>
      <c r="IV324" s="11" t="s">
        <v>320</v>
      </c>
      <c r="IW324" s="11" t="str">
        <f t="shared" si="220"/>
        <v>3. Responsive</v>
      </c>
      <c r="IX324" s="12">
        <f t="shared" si="221"/>
        <v>2</v>
      </c>
      <c r="IY324" s="11" t="s">
        <v>419</v>
      </c>
      <c r="IZ324" s="11" t="s">
        <v>527</v>
      </c>
      <c r="JA324" s="11">
        <v>1</v>
      </c>
      <c r="JB324" s="11" t="s">
        <v>433</v>
      </c>
      <c r="JE324" s="11" t="s">
        <v>340</v>
      </c>
      <c r="JF324" s="11" t="s">
        <v>5361</v>
      </c>
      <c r="JG324" s="11" t="s">
        <v>5362</v>
      </c>
      <c r="JH324" s="11" t="s">
        <v>5363</v>
      </c>
      <c r="JI324" s="11" t="s">
        <v>5364</v>
      </c>
      <c r="JK324" s="11" t="s">
        <v>5365</v>
      </c>
      <c r="JL324" s="11" t="s">
        <v>5366</v>
      </c>
      <c r="JO324" s="11" t="s">
        <v>5367</v>
      </c>
      <c r="JP324" s="15">
        <f t="shared" si="222"/>
        <v>290</v>
      </c>
      <c r="JQ324" s="15">
        <f t="shared" si="223"/>
        <v>1170</v>
      </c>
      <c r="JR324" s="279">
        <f t="shared" si="224"/>
        <v>4.0344827586206895</v>
      </c>
      <c r="JS324" s="17">
        <f t="shared" si="225"/>
        <v>0.81034482758620685</v>
      </c>
      <c r="JT324" s="18">
        <f t="shared" si="226"/>
        <v>0.47521367521367519</v>
      </c>
      <c r="JU324" s="280">
        <f t="shared" si="227"/>
        <v>235</v>
      </c>
      <c r="JV324" s="280">
        <f t="shared" si="228"/>
        <v>556</v>
      </c>
      <c r="JW324" s="319">
        <f t="shared" si="229"/>
        <v>1</v>
      </c>
      <c r="JX324" s="15">
        <f t="shared" si="230"/>
        <v>290</v>
      </c>
      <c r="JY324" s="15">
        <f t="shared" si="231"/>
        <v>1170</v>
      </c>
      <c r="JZ324" s="19">
        <f t="shared" si="232"/>
        <v>4.0344827586206895</v>
      </c>
      <c r="KA324" s="52">
        <f t="shared" si="233"/>
        <v>1</v>
      </c>
      <c r="KB324" s="15">
        <f t="shared" si="234"/>
        <v>130</v>
      </c>
      <c r="KC324" s="15">
        <f t="shared" si="235"/>
        <v>585</v>
      </c>
      <c r="KD324" s="20">
        <f t="shared" si="236"/>
        <v>4.5</v>
      </c>
      <c r="KE324" s="52" t="str">
        <f t="shared" si="237"/>
        <v/>
      </c>
      <c r="KF324" s="15">
        <f t="shared" si="238"/>
        <v>0</v>
      </c>
      <c r="KG324" s="15">
        <f t="shared" si="239"/>
        <v>0</v>
      </c>
      <c r="KH324" s="21" t="str">
        <f t="shared" si="240"/>
        <v/>
      </c>
      <c r="KI324" s="52" t="str">
        <f t="shared" si="241"/>
        <v/>
      </c>
      <c r="KJ324" s="15">
        <f t="shared" si="242"/>
        <v>0</v>
      </c>
      <c r="KK324" s="15">
        <f t="shared" si="243"/>
        <v>0</v>
      </c>
      <c r="KL324" s="19" t="str">
        <f t="shared" si="244"/>
        <v/>
      </c>
      <c r="KM324" s="52" t="str">
        <f t="shared" si="245"/>
        <v/>
      </c>
      <c r="KN324" s="22">
        <f t="shared" si="246"/>
        <v>0</v>
      </c>
      <c r="KO324" s="22">
        <f t="shared" si="247"/>
        <v>0</v>
      </c>
      <c r="KP324" s="19" t="str">
        <f t="shared" si="248"/>
        <v/>
      </c>
      <c r="KQ324" s="11" t="str">
        <f t="shared" si="249"/>
        <v>3. Responsive</v>
      </c>
      <c r="KR324" s="11" t="str">
        <f t="shared" si="250"/>
        <v>1. Tokenistic</v>
      </c>
      <c r="KS324" s="11" t="str">
        <f t="shared" si="251"/>
        <v>3. Responsive</v>
      </c>
      <c r="KT324" s="11" t="str">
        <f t="shared" si="252"/>
        <v>It did not develop any specific innovation</v>
      </c>
      <c r="KU324" s="11" t="str">
        <f t="shared" si="253"/>
        <v>Little or no advocacy</v>
      </c>
      <c r="KV324" s="11" t="str">
        <f t="shared" si="254"/>
        <v>It did not take tested solutions to scale</v>
      </c>
      <c r="KW324" s="11" t="str">
        <f t="shared" si="255"/>
        <v>India - Tamil Nadu Flood Recovery Project</v>
      </c>
      <c r="KX324" s="11" t="str">
        <f t="shared" si="256"/>
        <v>Tamil Nadu Flood Recovery Project</v>
      </c>
      <c r="KY324" s="11" t="str">
        <f t="shared" si="257"/>
        <v>India</v>
      </c>
      <c r="KZ324" s="12">
        <v>324</v>
      </c>
    </row>
    <row r="325" spans="1:312" x14ac:dyDescent="0.3">
      <c r="A325" s="11" t="s">
        <v>5300</v>
      </c>
      <c r="B325" s="11" t="s">
        <v>306</v>
      </c>
      <c r="C325" s="11">
        <v>3006</v>
      </c>
      <c r="D325" s="11" t="s">
        <v>5747</v>
      </c>
      <c r="E325" s="24" t="str">
        <f t="shared" si="215"/>
        <v>India</v>
      </c>
      <c r="F325" s="11" t="s">
        <v>5748</v>
      </c>
      <c r="G325" s="11" t="s">
        <v>5302</v>
      </c>
      <c r="H325" s="11" t="s">
        <v>489</v>
      </c>
      <c r="I325" s="11" t="s">
        <v>384</v>
      </c>
      <c r="J325" s="278" t="s">
        <v>5749</v>
      </c>
      <c r="BD325" s="23">
        <v>42461</v>
      </c>
      <c r="BE325" s="23">
        <v>42825</v>
      </c>
      <c r="BF325" s="23">
        <v>43190</v>
      </c>
      <c r="BG325" s="11" t="s">
        <v>312</v>
      </c>
      <c r="BH325" s="22">
        <v>105537</v>
      </c>
      <c r="BI325" s="11" t="s">
        <v>5718</v>
      </c>
      <c r="BJ325" s="11" t="s">
        <v>5750</v>
      </c>
      <c r="BK325" s="11" t="s">
        <v>5720</v>
      </c>
      <c r="BL325" s="11" t="s">
        <v>5600</v>
      </c>
      <c r="BM325" s="11" t="s">
        <v>444</v>
      </c>
      <c r="BN325" s="11" t="s">
        <v>5601</v>
      </c>
      <c r="BO325" s="12" t="s">
        <v>319</v>
      </c>
      <c r="BP325" s="12" t="s">
        <v>320</v>
      </c>
      <c r="BQ325" s="12" t="s">
        <v>319</v>
      </c>
      <c r="BR325" s="11" t="s">
        <v>5751</v>
      </c>
      <c r="BS325" s="11" t="s">
        <v>357</v>
      </c>
      <c r="BT325" s="11" t="s">
        <v>5752</v>
      </c>
      <c r="BU325" s="11" t="s">
        <v>5753</v>
      </c>
      <c r="BV325" s="22">
        <v>4155</v>
      </c>
      <c r="BW325" s="22">
        <v>3970</v>
      </c>
      <c r="BX325" s="22">
        <v>8125</v>
      </c>
      <c r="BY325" s="22">
        <v>111000</v>
      </c>
      <c r="BZ325" s="22">
        <v>35000</v>
      </c>
      <c r="CA325" s="22">
        <v>146000</v>
      </c>
      <c r="CB325" s="15" t="s">
        <v>14671</v>
      </c>
      <c r="CL325" s="18"/>
      <c r="CP325" s="18"/>
      <c r="CT325" s="18"/>
      <c r="CX325" s="18"/>
      <c r="DB325" s="18"/>
      <c r="DF325" s="18"/>
      <c r="DJ325" s="18"/>
      <c r="DN325" s="18"/>
      <c r="DR325" s="18"/>
      <c r="DV325" s="18"/>
      <c r="DZ325" s="18"/>
      <c r="ED325" s="18"/>
      <c r="EI325" s="18"/>
      <c r="EK325" s="29">
        <v>2296</v>
      </c>
      <c r="EL325" s="29">
        <v>2288</v>
      </c>
      <c r="EM325" s="29">
        <v>4584</v>
      </c>
      <c r="EN325" s="22">
        <v>104365</v>
      </c>
      <c r="EO325" s="22">
        <v>33456</v>
      </c>
      <c r="EP325" s="22">
        <v>137821</v>
      </c>
      <c r="ES325" s="18"/>
      <c r="EW325" s="18"/>
      <c r="FA325" s="18"/>
      <c r="FE325" s="18"/>
      <c r="FI325" s="18"/>
      <c r="FK325" s="12" t="s">
        <v>320</v>
      </c>
      <c r="FL325" s="29">
        <v>4584</v>
      </c>
      <c r="FM325" s="18">
        <v>0.61</v>
      </c>
      <c r="FN325" s="22">
        <v>137821</v>
      </c>
      <c r="FQ325" s="18"/>
      <c r="FU325" s="18"/>
      <c r="FY325" s="18"/>
      <c r="GC325" s="18"/>
      <c r="GG325" s="18"/>
      <c r="GK325" s="18"/>
      <c r="GO325" s="18"/>
      <c r="GS325" s="18"/>
      <c r="GW325" s="18"/>
      <c r="HA325" s="18"/>
      <c r="HF325" s="18"/>
      <c r="HH325" s="11" t="s">
        <v>319</v>
      </c>
      <c r="HK325" s="11" t="s">
        <v>319</v>
      </c>
      <c r="HL325" s="11" t="s">
        <v>319</v>
      </c>
      <c r="HP325" s="11" t="s">
        <v>453</v>
      </c>
      <c r="HQ325" s="11" t="s">
        <v>320</v>
      </c>
      <c r="HS325" s="11" t="s">
        <v>320</v>
      </c>
      <c r="HT325" s="11" t="s">
        <v>320</v>
      </c>
      <c r="HW325" s="11" t="s">
        <v>319</v>
      </c>
      <c r="HZ325" s="11" t="s">
        <v>394</v>
      </c>
      <c r="IB325" s="11" t="s">
        <v>396</v>
      </c>
      <c r="IC325" s="11" t="s">
        <v>5754</v>
      </c>
      <c r="ID325" s="11" t="s">
        <v>364</v>
      </c>
      <c r="IE325" s="11" t="s">
        <v>478</v>
      </c>
      <c r="IF325" s="11" t="s">
        <v>320</v>
      </c>
      <c r="IG325" s="11" t="s">
        <v>320</v>
      </c>
      <c r="IH325" s="11" t="s">
        <v>320</v>
      </c>
      <c r="II325" s="11" t="s">
        <v>320</v>
      </c>
      <c r="IJ325" s="12" t="str">
        <f t="shared" si="216"/>
        <v>4. Transformative</v>
      </c>
      <c r="IK325" s="12">
        <f t="shared" si="217"/>
        <v>4</v>
      </c>
      <c r="IL325" s="11" t="s">
        <v>621</v>
      </c>
      <c r="IM325" s="11" t="s">
        <v>320</v>
      </c>
      <c r="IN325" s="11" t="s">
        <v>320</v>
      </c>
      <c r="IO325" s="11" t="s">
        <v>320</v>
      </c>
      <c r="IP325" s="11" t="s">
        <v>319</v>
      </c>
      <c r="IQ325" s="12" t="str">
        <f t="shared" si="218"/>
        <v>3. Responsive</v>
      </c>
      <c r="IR325" s="12">
        <f t="shared" si="219"/>
        <v>3</v>
      </c>
      <c r="IS325" s="11" t="s">
        <v>622</v>
      </c>
      <c r="IT325" s="11" t="s">
        <v>319</v>
      </c>
      <c r="IU325" s="11" t="s">
        <v>320</v>
      </c>
      <c r="IV325" s="11" t="s">
        <v>320</v>
      </c>
      <c r="IW325" s="11" t="str">
        <f t="shared" si="220"/>
        <v>3. Responsive</v>
      </c>
      <c r="IX325" s="12">
        <f t="shared" si="221"/>
        <v>2</v>
      </c>
      <c r="IY325" s="11" t="s">
        <v>338</v>
      </c>
      <c r="IZ325" s="11" t="s">
        <v>339</v>
      </c>
      <c r="JA325" s="11">
        <v>1</v>
      </c>
      <c r="JB325" s="11" t="s">
        <v>687</v>
      </c>
      <c r="JE325" s="11" t="s">
        <v>420</v>
      </c>
      <c r="JH325" s="11" t="s">
        <v>5755</v>
      </c>
      <c r="JI325" s="11" t="s">
        <v>5756</v>
      </c>
      <c r="JJ325" s="11" t="s">
        <v>5757</v>
      </c>
      <c r="JK325" s="11" t="s">
        <v>5758</v>
      </c>
      <c r="JL325" s="11" t="s">
        <v>5759</v>
      </c>
      <c r="JM325" s="11" t="s">
        <v>5760</v>
      </c>
      <c r="JN325" s="28" t="s">
        <v>14672</v>
      </c>
      <c r="JP325" s="15">
        <f t="shared" si="222"/>
        <v>4584</v>
      </c>
      <c r="JQ325" s="15">
        <f t="shared" si="223"/>
        <v>137821</v>
      </c>
      <c r="JR325" s="279">
        <f t="shared" si="224"/>
        <v>30.065663176265272</v>
      </c>
      <c r="JS325" s="17">
        <f t="shared" si="225"/>
        <v>0.50087260034904013</v>
      </c>
      <c r="JT325" s="18">
        <f t="shared" si="226"/>
        <v>0.75725034646389155</v>
      </c>
      <c r="JU325" s="280">
        <f t="shared" si="227"/>
        <v>2296</v>
      </c>
      <c r="JV325" s="280">
        <f t="shared" si="228"/>
        <v>104365</v>
      </c>
      <c r="JW325" s="319" t="str">
        <f t="shared" si="229"/>
        <v/>
      </c>
      <c r="JX325" s="15">
        <f t="shared" si="230"/>
        <v>0</v>
      </c>
      <c r="JY325" s="15">
        <f t="shared" si="231"/>
        <v>0</v>
      </c>
      <c r="JZ325" s="19" t="str">
        <f t="shared" si="232"/>
        <v/>
      </c>
      <c r="KA325" s="52" t="str">
        <f t="shared" si="233"/>
        <v/>
      </c>
      <c r="KB325" s="15">
        <f t="shared" si="234"/>
        <v>0</v>
      </c>
      <c r="KC325" s="15">
        <f t="shared" si="235"/>
        <v>0</v>
      </c>
      <c r="KD325" s="20" t="str">
        <f t="shared" si="236"/>
        <v/>
      </c>
      <c r="KE325" s="52" t="str">
        <f t="shared" si="237"/>
        <v/>
      </c>
      <c r="KF325" s="15">
        <f t="shared" si="238"/>
        <v>0</v>
      </c>
      <c r="KG325" s="15">
        <f t="shared" si="239"/>
        <v>0</v>
      </c>
      <c r="KH325" s="21" t="str">
        <f t="shared" si="240"/>
        <v/>
      </c>
      <c r="KI325" s="52" t="str">
        <f t="shared" si="241"/>
        <v/>
      </c>
      <c r="KJ325" s="15">
        <f t="shared" si="242"/>
        <v>0</v>
      </c>
      <c r="KK325" s="15">
        <f t="shared" si="243"/>
        <v>0</v>
      </c>
      <c r="KL325" s="19" t="str">
        <f t="shared" si="244"/>
        <v/>
      </c>
      <c r="KM325" s="52" t="str">
        <f t="shared" si="245"/>
        <v/>
      </c>
      <c r="KN325" s="22">
        <f t="shared" si="246"/>
        <v>0</v>
      </c>
      <c r="KO325" s="22">
        <f t="shared" si="247"/>
        <v>0</v>
      </c>
      <c r="KP325" s="19" t="str">
        <f t="shared" si="248"/>
        <v/>
      </c>
      <c r="KQ325" s="11" t="str">
        <f t="shared" si="249"/>
        <v>4. Transformative</v>
      </c>
      <c r="KR325" s="11" t="str">
        <f t="shared" si="250"/>
        <v>3. Responsive</v>
      </c>
      <c r="KS325" s="11" t="str">
        <f t="shared" si="251"/>
        <v>3. Responsive</v>
      </c>
      <c r="KT325" s="11" t="str">
        <f t="shared" si="252"/>
        <v>It tested new ways for fighting poverty, but did not measure results of innovation</v>
      </c>
      <c r="KU325" s="11" t="str">
        <f t="shared" si="253"/>
        <v>Intensive advocacy</v>
      </c>
      <c r="KV325" s="11" t="str">
        <f t="shared" si="254"/>
        <v>It linked and worked with strategic alliances and partners to take tested and effective solutions to scale</v>
      </c>
      <c r="KW325" s="11" t="str">
        <f t="shared" si="255"/>
        <v>India - Teacher Resource Lab (TRL)</v>
      </c>
      <c r="KX325" s="11" t="str">
        <f t="shared" si="256"/>
        <v>Teacher Resource Lab (TRL)</v>
      </c>
      <c r="KY325" s="11" t="str">
        <f t="shared" si="257"/>
        <v>India</v>
      </c>
      <c r="KZ325" s="287">
        <v>325</v>
      </c>
    </row>
    <row r="326" spans="1:312" x14ac:dyDescent="0.3">
      <c r="A326" s="11" t="s">
        <v>5300</v>
      </c>
      <c r="B326" s="11" t="s">
        <v>306</v>
      </c>
      <c r="C326" s="11">
        <v>3034</v>
      </c>
      <c r="D326" s="11" t="s">
        <v>5314</v>
      </c>
      <c r="E326" s="24" t="str">
        <f t="shared" si="215"/>
        <v>India</v>
      </c>
      <c r="F326" s="11" t="s">
        <v>5315</v>
      </c>
      <c r="G326" s="11" t="s">
        <v>5302</v>
      </c>
      <c r="H326" s="11" t="s">
        <v>383</v>
      </c>
      <c r="I326" s="11" t="s">
        <v>1102</v>
      </c>
      <c r="J326" s="278" t="s">
        <v>1102</v>
      </c>
      <c r="BD326" s="23">
        <v>42339</v>
      </c>
      <c r="BE326" s="23">
        <v>43799</v>
      </c>
      <c r="BG326" s="11" t="s">
        <v>749</v>
      </c>
      <c r="BH326" s="22">
        <v>2500000</v>
      </c>
      <c r="BI326" s="11" t="s">
        <v>5316</v>
      </c>
      <c r="BJ326" s="11" t="s">
        <v>5317</v>
      </c>
      <c r="BK326" s="11" t="s">
        <v>5318</v>
      </c>
      <c r="BO326" s="12" t="s">
        <v>319</v>
      </c>
      <c r="BP326" s="12" t="s">
        <v>320</v>
      </c>
      <c r="BQ326" s="12" t="s">
        <v>319</v>
      </c>
      <c r="BR326" s="11" t="s">
        <v>5319</v>
      </c>
      <c r="BS326" s="11" t="s">
        <v>357</v>
      </c>
      <c r="BT326" s="11" t="s">
        <v>5320</v>
      </c>
      <c r="BU326" s="11" t="s">
        <v>5321</v>
      </c>
      <c r="BV326" s="22">
        <v>6084</v>
      </c>
      <c r="BW326" s="22">
        <v>4031</v>
      </c>
      <c r="BX326" s="22">
        <v>10875</v>
      </c>
      <c r="BY326" s="22">
        <v>14140</v>
      </c>
      <c r="BZ326" s="22">
        <v>12134</v>
      </c>
      <c r="CA326" s="22">
        <v>26274</v>
      </c>
      <c r="CB326" s="15" t="s">
        <v>5322</v>
      </c>
      <c r="CL326" s="18"/>
      <c r="CP326" s="18"/>
      <c r="CT326" s="18"/>
      <c r="CX326" s="18"/>
      <c r="DB326" s="18"/>
      <c r="DF326" s="18"/>
      <c r="DJ326" s="18"/>
      <c r="DN326" s="18"/>
      <c r="DR326" s="18"/>
      <c r="DV326" s="18"/>
      <c r="DZ326" s="18"/>
      <c r="ED326" s="18"/>
      <c r="EI326" s="18"/>
      <c r="EK326" s="22">
        <v>2134</v>
      </c>
      <c r="EL326" s="22">
        <v>782</v>
      </c>
      <c r="EM326" s="22">
        <v>2916</v>
      </c>
      <c r="EN326" s="22">
        <v>4003</v>
      </c>
      <c r="EO326" s="22">
        <v>502</v>
      </c>
      <c r="EP326" s="22">
        <v>4505</v>
      </c>
      <c r="ES326" s="18"/>
      <c r="EW326" s="18"/>
      <c r="FA326" s="18"/>
      <c r="FE326" s="18"/>
      <c r="FI326" s="18"/>
      <c r="FM326" s="18"/>
      <c r="FO326" s="12" t="s">
        <v>320</v>
      </c>
      <c r="FP326" s="22">
        <v>2916</v>
      </c>
      <c r="FQ326" s="18">
        <v>0.73</v>
      </c>
      <c r="FR326" s="22">
        <v>4505</v>
      </c>
      <c r="FU326" s="18"/>
      <c r="FY326" s="18"/>
      <c r="GC326" s="18"/>
      <c r="GG326" s="18"/>
      <c r="GK326" s="18"/>
      <c r="GO326" s="18"/>
      <c r="GS326" s="18"/>
      <c r="GW326" s="18"/>
      <c r="HA326" s="18"/>
      <c r="HF326" s="18"/>
      <c r="HH326" s="11" t="s">
        <v>319</v>
      </c>
      <c r="HL326" s="11" t="s">
        <v>320</v>
      </c>
      <c r="HM326" s="11" t="s">
        <v>327</v>
      </c>
      <c r="HN326" s="11">
        <v>2017</v>
      </c>
      <c r="HO326" s="11" t="s">
        <v>5323</v>
      </c>
      <c r="HP326" s="11" t="s">
        <v>330</v>
      </c>
      <c r="HQ326" s="11" t="s">
        <v>319</v>
      </c>
      <c r="HR326" s="11" t="s">
        <v>319</v>
      </c>
      <c r="HS326" s="11" t="s">
        <v>320</v>
      </c>
      <c r="HT326" s="11" t="s">
        <v>319</v>
      </c>
      <c r="HU326" s="11" t="s">
        <v>319</v>
      </c>
      <c r="HV326" s="11" t="s">
        <v>319</v>
      </c>
      <c r="HW326" s="11" t="s">
        <v>319</v>
      </c>
      <c r="HX326" s="11" t="s">
        <v>319</v>
      </c>
      <c r="HZ326" s="11" t="s">
        <v>363</v>
      </c>
      <c r="IB326" s="11" t="s">
        <v>333</v>
      </c>
      <c r="ID326" s="11" t="s">
        <v>364</v>
      </c>
      <c r="IE326" s="11" t="s">
        <v>478</v>
      </c>
      <c r="IF326" s="11" t="s">
        <v>320</v>
      </c>
      <c r="IG326" s="11" t="s">
        <v>320</v>
      </c>
      <c r="IH326" s="11" t="s">
        <v>320</v>
      </c>
      <c r="II326" s="11" t="s">
        <v>320</v>
      </c>
      <c r="IJ326" s="12" t="str">
        <f t="shared" si="216"/>
        <v>4. Transformative</v>
      </c>
      <c r="IK326" s="12">
        <f t="shared" si="217"/>
        <v>4</v>
      </c>
      <c r="IL326" s="11" t="s">
        <v>621</v>
      </c>
      <c r="IM326" s="11" t="s">
        <v>320</v>
      </c>
      <c r="IN326" s="11" t="s">
        <v>319</v>
      </c>
      <c r="IO326" s="11" t="s">
        <v>320</v>
      </c>
      <c r="IP326" s="11" t="s">
        <v>319</v>
      </c>
      <c r="IQ326" s="12" t="str">
        <f t="shared" si="218"/>
        <v>3. Responsive</v>
      </c>
      <c r="IR326" s="12">
        <f t="shared" si="219"/>
        <v>2</v>
      </c>
      <c r="IS326" s="11" t="s">
        <v>622</v>
      </c>
      <c r="IT326" s="11" t="s">
        <v>320</v>
      </c>
      <c r="IU326" s="11" t="s">
        <v>320</v>
      </c>
      <c r="IV326" s="11" t="s">
        <v>320</v>
      </c>
      <c r="IW326" s="11" t="str">
        <f t="shared" si="220"/>
        <v>4. Transformative</v>
      </c>
      <c r="IX326" s="12">
        <f t="shared" si="221"/>
        <v>3</v>
      </c>
      <c r="IY326" s="11" t="s">
        <v>419</v>
      </c>
      <c r="IZ326" s="11" t="s">
        <v>339</v>
      </c>
      <c r="JE326" s="11" t="s">
        <v>420</v>
      </c>
      <c r="JH326" s="11" t="s">
        <v>5324</v>
      </c>
      <c r="JI326" s="11" t="s">
        <v>5325</v>
      </c>
      <c r="JJ326" s="11" t="s">
        <v>5326</v>
      </c>
      <c r="JK326" s="11" t="s">
        <v>5327</v>
      </c>
      <c r="JL326" s="11" t="s">
        <v>5328</v>
      </c>
      <c r="JM326" s="11" t="s">
        <v>5329</v>
      </c>
      <c r="JN326" s="11" t="s">
        <v>5330</v>
      </c>
      <c r="JP326" s="15">
        <f t="shared" si="222"/>
        <v>2916</v>
      </c>
      <c r="JQ326" s="15">
        <f t="shared" si="223"/>
        <v>4505</v>
      </c>
      <c r="JR326" s="279">
        <f t="shared" si="224"/>
        <v>1.5449245541838135</v>
      </c>
      <c r="JS326" s="17">
        <f t="shared" si="225"/>
        <v>0.73182441700960221</v>
      </c>
      <c r="JT326" s="18">
        <f t="shared" si="226"/>
        <v>0.88856825749167589</v>
      </c>
      <c r="JU326" s="280">
        <f t="shared" si="227"/>
        <v>2134</v>
      </c>
      <c r="JV326" s="280">
        <f t="shared" si="228"/>
        <v>4003</v>
      </c>
      <c r="JW326" s="319" t="str">
        <f t="shared" si="229"/>
        <v/>
      </c>
      <c r="JX326" s="15">
        <f t="shared" si="230"/>
        <v>0</v>
      </c>
      <c r="JY326" s="15">
        <f t="shared" si="231"/>
        <v>0</v>
      </c>
      <c r="JZ326" s="19" t="str">
        <f t="shared" si="232"/>
        <v/>
      </c>
      <c r="KA326" s="52">
        <f t="shared" si="233"/>
        <v>1</v>
      </c>
      <c r="KB326" s="15">
        <f t="shared" si="234"/>
        <v>2916</v>
      </c>
      <c r="KC326" s="15">
        <f t="shared" si="235"/>
        <v>4505</v>
      </c>
      <c r="KD326" s="20">
        <f t="shared" si="236"/>
        <v>1.5449245541838135</v>
      </c>
      <c r="KE326" s="52" t="str">
        <f t="shared" si="237"/>
        <v/>
      </c>
      <c r="KF326" s="15">
        <f t="shared" si="238"/>
        <v>0</v>
      </c>
      <c r="KG326" s="15">
        <f t="shared" si="239"/>
        <v>0</v>
      </c>
      <c r="KH326" s="21" t="str">
        <f t="shared" si="240"/>
        <v/>
      </c>
      <c r="KI326" s="52" t="str">
        <f t="shared" si="241"/>
        <v/>
      </c>
      <c r="KJ326" s="15">
        <f t="shared" si="242"/>
        <v>0</v>
      </c>
      <c r="KK326" s="15">
        <f t="shared" si="243"/>
        <v>0</v>
      </c>
      <c r="KL326" s="19" t="str">
        <f t="shared" si="244"/>
        <v/>
      </c>
      <c r="KM326" s="52" t="str">
        <f t="shared" si="245"/>
        <v/>
      </c>
      <c r="KN326" s="22">
        <f t="shared" si="246"/>
        <v>0</v>
      </c>
      <c r="KO326" s="22">
        <f t="shared" si="247"/>
        <v>0</v>
      </c>
      <c r="KP326" s="19" t="str">
        <f t="shared" si="248"/>
        <v/>
      </c>
      <c r="KQ326" s="11" t="str">
        <f t="shared" si="249"/>
        <v>4. Transformative</v>
      </c>
      <c r="KR326" s="11" t="str">
        <f t="shared" si="250"/>
        <v>3. Responsive</v>
      </c>
      <c r="KS326" s="11" t="str">
        <f t="shared" si="251"/>
        <v>4. Transformative</v>
      </c>
      <c r="KT326" s="11" t="str">
        <f t="shared" si="252"/>
        <v>It did not develop any specific innovation</v>
      </c>
      <c r="KU326" s="11" t="str">
        <f t="shared" si="253"/>
        <v>Moderate advocacy</v>
      </c>
      <c r="KV326" s="11" t="str">
        <f t="shared" si="254"/>
        <v>It did not take tested solutions to scale</v>
      </c>
      <c r="KW326" s="11" t="str">
        <f t="shared" si="255"/>
        <v>India - Technical Assistance and Research for Indian Nutrition and Agriculture (TARINA)</v>
      </c>
      <c r="KX326" s="11" t="str">
        <f t="shared" si="256"/>
        <v>Technical Assistance and Research for Indian Nutrition and Agriculture (TARINA)</v>
      </c>
      <c r="KY326" s="11" t="str">
        <f t="shared" si="257"/>
        <v>India</v>
      </c>
      <c r="KZ326" s="287">
        <v>326</v>
      </c>
    </row>
    <row r="327" spans="1:312" x14ac:dyDescent="0.3">
      <c r="A327" s="282" t="s">
        <v>5300</v>
      </c>
      <c r="B327" s="282" t="s">
        <v>306</v>
      </c>
      <c r="C327" s="282"/>
      <c r="D327" s="282" t="s">
        <v>5761</v>
      </c>
      <c r="E327" s="24" t="str">
        <f t="shared" si="215"/>
        <v>India</v>
      </c>
      <c r="F327" s="282"/>
      <c r="G327" s="282" t="s">
        <v>5302</v>
      </c>
      <c r="H327" s="282" t="s">
        <v>384</v>
      </c>
      <c r="I327" s="282" t="s">
        <v>952</v>
      </c>
      <c r="J327" s="278" t="s">
        <v>952</v>
      </c>
      <c r="K327" s="282"/>
      <c r="L327" s="282"/>
      <c r="M327" s="282"/>
      <c r="N327" s="282"/>
      <c r="O327" s="282"/>
      <c r="P327" s="282"/>
      <c r="Q327" s="282"/>
      <c r="R327" s="282"/>
      <c r="S327" s="282"/>
      <c r="T327" s="282"/>
      <c r="U327" s="282"/>
      <c r="V327" s="282"/>
      <c r="W327" s="282"/>
      <c r="X327" s="282"/>
      <c r="Y327" s="282"/>
      <c r="Z327" s="282"/>
      <c r="AA327" s="282"/>
      <c r="AB327" s="282"/>
      <c r="AC327" s="282"/>
      <c r="AD327" s="282"/>
      <c r="AE327" s="282"/>
      <c r="AF327" s="282"/>
      <c r="AG327" s="282"/>
      <c r="AH327" s="282"/>
      <c r="AI327" s="282"/>
      <c r="AJ327" s="282"/>
      <c r="AK327" s="282"/>
      <c r="AL327" s="282"/>
      <c r="AM327" s="282"/>
      <c r="AN327" s="282"/>
      <c r="AO327" s="282"/>
      <c r="AP327" s="282"/>
      <c r="AQ327" s="282"/>
      <c r="AR327" s="282"/>
      <c r="AS327" s="282"/>
      <c r="AT327" s="282"/>
      <c r="AU327" s="282"/>
      <c r="AV327" s="282"/>
      <c r="AW327" s="282"/>
      <c r="AX327" s="282"/>
      <c r="AY327" s="282"/>
      <c r="AZ327" s="282"/>
      <c r="BA327" s="282"/>
      <c r="BB327" s="282"/>
      <c r="BC327" s="282"/>
      <c r="BD327" s="283">
        <v>42385</v>
      </c>
      <c r="BE327" s="283">
        <v>43190</v>
      </c>
      <c r="BF327" s="283"/>
      <c r="BG327" s="283" t="s">
        <v>312</v>
      </c>
      <c r="BH327" s="284">
        <v>499392</v>
      </c>
      <c r="BI327" s="282" t="s">
        <v>5762</v>
      </c>
      <c r="BJ327" s="282" t="s">
        <v>5334</v>
      </c>
      <c r="BK327" s="282" t="s">
        <v>5335</v>
      </c>
      <c r="BL327" s="282" t="s">
        <v>5336</v>
      </c>
      <c r="BM327" s="282" t="s">
        <v>5763</v>
      </c>
      <c r="BN327" s="282" t="s">
        <v>5338</v>
      </c>
      <c r="BO327" s="282" t="s">
        <v>319</v>
      </c>
      <c r="BP327" s="282" t="s">
        <v>320</v>
      </c>
      <c r="BQ327" s="282" t="s">
        <v>319</v>
      </c>
      <c r="BR327" s="282" t="s">
        <v>5764</v>
      </c>
      <c r="BS327" s="282" t="s">
        <v>357</v>
      </c>
      <c r="BT327" s="282" t="s">
        <v>5765</v>
      </c>
      <c r="BU327" s="282" t="s">
        <v>5766</v>
      </c>
      <c r="BV327" s="284"/>
      <c r="BW327" s="284"/>
      <c r="BX327" s="284"/>
      <c r="BY327" s="284">
        <v>100128205</v>
      </c>
      <c r="BZ327" s="284">
        <v>23803224</v>
      </c>
      <c r="CA327" s="284">
        <v>123931429</v>
      </c>
      <c r="CB327" s="285" t="s">
        <v>5767</v>
      </c>
      <c r="CC327" s="285"/>
      <c r="CD327" s="284"/>
      <c r="CE327" s="284"/>
      <c r="CF327" s="284"/>
      <c r="CG327" s="284"/>
      <c r="CH327" s="284"/>
      <c r="CI327" s="284"/>
      <c r="CJ327" s="282"/>
      <c r="CK327" s="284"/>
      <c r="CL327" s="286"/>
      <c r="CM327" s="284"/>
      <c r="CN327" s="287"/>
      <c r="CO327" s="284"/>
      <c r="CP327" s="286"/>
      <c r="CQ327" s="284"/>
      <c r="CR327" s="282"/>
      <c r="CS327" s="284"/>
      <c r="CT327" s="286"/>
      <c r="CU327" s="284"/>
      <c r="CV327" s="289"/>
      <c r="CW327" s="290"/>
      <c r="CX327" s="291"/>
      <c r="CY327" s="290"/>
      <c r="CZ327" s="282"/>
      <c r="DA327" s="284"/>
      <c r="DB327" s="286"/>
      <c r="DC327" s="284"/>
      <c r="DD327" s="287"/>
      <c r="DE327" s="284"/>
      <c r="DF327" s="286"/>
      <c r="DG327" s="284"/>
      <c r="DH327" s="282"/>
      <c r="DI327" s="284"/>
      <c r="DJ327" s="286"/>
      <c r="DK327" s="284"/>
      <c r="DL327" s="282"/>
      <c r="DM327" s="284"/>
      <c r="DN327" s="286"/>
      <c r="DO327" s="284"/>
      <c r="DP327" s="282"/>
      <c r="DQ327" s="284"/>
      <c r="DR327" s="286"/>
      <c r="DS327" s="284"/>
      <c r="DT327" s="282"/>
      <c r="DU327" s="284"/>
      <c r="DV327" s="286"/>
      <c r="DW327" s="284"/>
      <c r="DX327" s="282"/>
      <c r="DY327" s="284"/>
      <c r="DZ327" s="286"/>
      <c r="EA327" s="284"/>
      <c r="EB327" s="282"/>
      <c r="EC327" s="284"/>
      <c r="ED327" s="286"/>
      <c r="EE327" s="284"/>
      <c r="EF327" s="285"/>
      <c r="EG327" s="287"/>
      <c r="EH327" s="284"/>
      <c r="EI327" s="286"/>
      <c r="EJ327" s="284"/>
      <c r="EK327" s="284"/>
      <c r="EL327" s="284"/>
      <c r="EM327" s="284"/>
      <c r="EN327" s="284"/>
      <c r="EO327" s="284"/>
      <c r="EP327" s="284"/>
      <c r="EQ327" s="282"/>
      <c r="ER327" s="284"/>
      <c r="ES327" s="286"/>
      <c r="ET327" s="284"/>
      <c r="EU327" s="282"/>
      <c r="EV327" s="284"/>
      <c r="EW327" s="286"/>
      <c r="EX327" s="284"/>
      <c r="EY327" s="282"/>
      <c r="EZ327" s="284"/>
      <c r="FA327" s="286"/>
      <c r="FB327" s="284"/>
      <c r="FC327" s="282"/>
      <c r="FD327" s="284"/>
      <c r="FE327" s="286"/>
      <c r="FF327" s="284"/>
      <c r="FG327" s="282"/>
      <c r="FH327" s="284"/>
      <c r="FI327" s="286"/>
      <c r="FJ327" s="284"/>
      <c r="FK327" s="282"/>
      <c r="FL327" s="284"/>
      <c r="FM327" s="286"/>
      <c r="FN327" s="284"/>
      <c r="FO327" s="289" t="s">
        <v>320</v>
      </c>
      <c r="FR327" s="290"/>
      <c r="FS327" s="282"/>
      <c r="FT327" s="284"/>
      <c r="FU327" s="286"/>
      <c r="FV327" s="284"/>
      <c r="FW327" s="282"/>
      <c r="FX327" s="284"/>
      <c r="FY327" s="286"/>
      <c r="FZ327" s="284"/>
      <c r="GA327" s="282"/>
      <c r="GB327" s="284"/>
      <c r="GC327" s="286"/>
      <c r="GD327" s="284"/>
      <c r="GE327" s="282"/>
      <c r="GF327" s="284"/>
      <c r="GG327" s="286"/>
      <c r="GH327" s="284"/>
      <c r="GI327" s="282"/>
      <c r="GJ327" s="284"/>
      <c r="GK327" s="286"/>
      <c r="GL327" s="284"/>
      <c r="GM327" s="282"/>
      <c r="GN327" s="284"/>
      <c r="GO327" s="286"/>
      <c r="GP327" s="284"/>
      <c r="GQ327" s="282"/>
      <c r="GR327" s="284"/>
      <c r="GS327" s="286"/>
      <c r="GT327" s="284"/>
      <c r="GU327" s="282"/>
      <c r="GV327" s="284"/>
      <c r="GW327" s="286"/>
      <c r="GX327" s="284"/>
      <c r="GY327" s="282"/>
      <c r="GZ327" s="284"/>
      <c r="HA327" s="286"/>
      <c r="HB327" s="284"/>
      <c r="HC327" s="282"/>
      <c r="HD327" s="282"/>
      <c r="HE327" s="284"/>
      <c r="HF327" s="286"/>
      <c r="HG327" s="284"/>
      <c r="HH327" s="282" t="s">
        <v>319</v>
      </c>
      <c r="HI327" s="282"/>
      <c r="HJ327" s="282"/>
      <c r="HK327" s="282" t="s">
        <v>319</v>
      </c>
      <c r="HL327" s="282" t="s">
        <v>319</v>
      </c>
      <c r="HM327" s="282"/>
      <c r="HN327" s="282"/>
      <c r="HO327" s="282" t="s">
        <v>5768</v>
      </c>
      <c r="HP327" s="282" t="s">
        <v>330</v>
      </c>
      <c r="HQ327" s="282" t="s">
        <v>320</v>
      </c>
      <c r="HR327" s="282"/>
      <c r="HS327" s="282" t="s">
        <v>320</v>
      </c>
      <c r="HT327" s="282" t="s">
        <v>320</v>
      </c>
      <c r="HU327" s="282" t="s">
        <v>320</v>
      </c>
      <c r="HV327" s="282" t="s">
        <v>320</v>
      </c>
      <c r="HW327" s="282" t="s">
        <v>320</v>
      </c>
      <c r="HX327" s="282"/>
      <c r="HY327" s="282"/>
      <c r="HZ327" s="282" t="s">
        <v>363</v>
      </c>
      <c r="IA327" s="282"/>
      <c r="IB327" s="282" t="s">
        <v>333</v>
      </c>
      <c r="IC327" s="282"/>
      <c r="ID327" s="282" t="s">
        <v>364</v>
      </c>
      <c r="IE327" s="282" t="s">
        <v>335</v>
      </c>
      <c r="IF327" s="282" t="s">
        <v>320</v>
      </c>
      <c r="IG327" s="282" t="s">
        <v>320</v>
      </c>
      <c r="IH327" s="282" t="s">
        <v>320</v>
      </c>
      <c r="II327" s="282" t="s">
        <v>320</v>
      </c>
      <c r="IJ327" s="12" t="str">
        <f t="shared" si="216"/>
        <v>2. Sensitive</v>
      </c>
      <c r="IK327" s="287">
        <f t="shared" si="217"/>
        <v>4</v>
      </c>
      <c r="IL327" s="282" t="s">
        <v>336</v>
      </c>
      <c r="IM327" s="282" t="s">
        <v>320</v>
      </c>
      <c r="IN327" s="282" t="s">
        <v>320</v>
      </c>
      <c r="IO327" s="282" t="s">
        <v>320</v>
      </c>
      <c r="IP327" s="282" t="s">
        <v>320</v>
      </c>
      <c r="IQ327" s="287" t="str">
        <f t="shared" si="218"/>
        <v>2. Accommodating</v>
      </c>
      <c r="IR327" s="287">
        <f t="shared" si="219"/>
        <v>4</v>
      </c>
      <c r="IS327" s="282" t="s">
        <v>337</v>
      </c>
      <c r="IT327" s="282" t="s">
        <v>320</v>
      </c>
      <c r="IU327" s="282" t="s">
        <v>320</v>
      </c>
      <c r="IV327" s="282" t="s">
        <v>320</v>
      </c>
      <c r="IW327" s="11" t="str">
        <f t="shared" si="220"/>
        <v>2. Sensitive</v>
      </c>
      <c r="IX327" s="287">
        <f t="shared" si="221"/>
        <v>3</v>
      </c>
      <c r="IY327" s="282" t="s">
        <v>338</v>
      </c>
      <c r="IZ327" s="282" t="s">
        <v>339</v>
      </c>
      <c r="JA327" s="282">
        <v>1</v>
      </c>
      <c r="JB327" s="282" t="s">
        <v>585</v>
      </c>
      <c r="JC327" s="282"/>
      <c r="JD327" s="282"/>
      <c r="JE327" s="282" t="s">
        <v>420</v>
      </c>
      <c r="JF327" s="282"/>
      <c r="JG327" s="282"/>
      <c r="JH327" s="282" t="s">
        <v>5769</v>
      </c>
      <c r="JI327" s="282" t="s">
        <v>5770</v>
      </c>
      <c r="JJ327" s="282"/>
      <c r="JK327" s="282" t="s">
        <v>5771</v>
      </c>
      <c r="JL327" s="282" t="s">
        <v>5772</v>
      </c>
      <c r="JM327" s="282"/>
      <c r="JN327" s="282" t="s">
        <v>5773</v>
      </c>
      <c r="JO327" s="282"/>
      <c r="JP327" s="15">
        <f t="shared" si="222"/>
        <v>0</v>
      </c>
      <c r="JQ327" s="15">
        <f t="shared" si="223"/>
        <v>0</v>
      </c>
      <c r="JR327" s="279" t="str">
        <f t="shared" si="224"/>
        <v/>
      </c>
      <c r="JS327" s="17" t="str">
        <f t="shared" si="225"/>
        <v/>
      </c>
      <c r="JT327" s="18" t="str">
        <f t="shared" si="226"/>
        <v/>
      </c>
      <c r="JU327" s="280">
        <f t="shared" si="227"/>
        <v>0</v>
      </c>
      <c r="JV327" s="280">
        <f t="shared" si="228"/>
        <v>0</v>
      </c>
      <c r="JW327" s="319" t="str">
        <f t="shared" si="229"/>
        <v/>
      </c>
      <c r="JX327" s="15">
        <f t="shared" si="230"/>
        <v>0</v>
      </c>
      <c r="JY327" s="15">
        <f t="shared" si="231"/>
        <v>0</v>
      </c>
      <c r="JZ327" s="19" t="str">
        <f t="shared" si="232"/>
        <v/>
      </c>
      <c r="KA327" s="52">
        <f t="shared" si="233"/>
        <v>1</v>
      </c>
      <c r="KB327" s="15">
        <f t="shared" si="234"/>
        <v>0</v>
      </c>
      <c r="KC327" s="15">
        <f t="shared" si="235"/>
        <v>0</v>
      </c>
      <c r="KD327" s="20" t="str">
        <f t="shared" si="236"/>
        <v/>
      </c>
      <c r="KE327" s="52" t="str">
        <f t="shared" si="237"/>
        <v/>
      </c>
      <c r="KF327" s="15">
        <f t="shared" si="238"/>
        <v>0</v>
      </c>
      <c r="KG327" s="15">
        <f t="shared" si="239"/>
        <v>0</v>
      </c>
      <c r="KH327" s="21" t="str">
        <f t="shared" si="240"/>
        <v/>
      </c>
      <c r="KI327" s="52" t="str">
        <f t="shared" si="241"/>
        <v/>
      </c>
      <c r="KJ327" s="15">
        <f t="shared" si="242"/>
        <v>0</v>
      </c>
      <c r="KK327" s="15">
        <f t="shared" si="243"/>
        <v>0</v>
      </c>
      <c r="KL327" s="19" t="str">
        <f t="shared" si="244"/>
        <v/>
      </c>
      <c r="KM327" s="52" t="str">
        <f t="shared" si="245"/>
        <v/>
      </c>
      <c r="KN327" s="22">
        <f t="shared" si="246"/>
        <v>0</v>
      </c>
      <c r="KO327" s="22">
        <f t="shared" si="247"/>
        <v>0</v>
      </c>
      <c r="KP327" s="19" t="str">
        <f t="shared" si="248"/>
        <v/>
      </c>
      <c r="KQ327" s="11" t="str">
        <f t="shared" si="249"/>
        <v>2. Sensitive</v>
      </c>
      <c r="KR327" s="11" t="str">
        <f t="shared" si="250"/>
        <v>2. Accommodating</v>
      </c>
      <c r="KS327" s="11" t="str">
        <f t="shared" si="251"/>
        <v>2. Sensitive</v>
      </c>
      <c r="KT327" s="11" t="str">
        <f t="shared" si="252"/>
        <v>It did not develop any specific innovation</v>
      </c>
      <c r="KU327" s="11" t="str">
        <f t="shared" si="253"/>
        <v>Moderate advocacy</v>
      </c>
      <c r="KV327" s="11" t="str">
        <f t="shared" si="254"/>
        <v>It did not take tested solutions to scale</v>
      </c>
      <c r="KW327" s="11" t="str">
        <f t="shared" si="255"/>
        <v>India - Technical Assistance for ICDS Systems Strengthening and Nutrition Improvement Project (ISSNIP)</v>
      </c>
      <c r="KX327" s="11" t="str">
        <f t="shared" si="256"/>
        <v>Technical Assistance for ICDS Systems Strengthening and Nutrition Improvement Project (ISSNIP)</v>
      </c>
      <c r="KY327" s="11" t="str">
        <f t="shared" si="257"/>
        <v>India</v>
      </c>
      <c r="KZ327" s="12">
        <v>327</v>
      </c>
    </row>
    <row r="328" spans="1:312" x14ac:dyDescent="0.3">
      <c r="A328" s="11" t="s">
        <v>5300</v>
      </c>
      <c r="B328" s="11" t="s">
        <v>306</v>
      </c>
      <c r="C328" s="11">
        <v>3024</v>
      </c>
      <c r="D328" s="11" t="s">
        <v>5870</v>
      </c>
      <c r="E328" s="24" t="str">
        <f t="shared" si="215"/>
        <v>India</v>
      </c>
      <c r="F328" s="11" t="s">
        <v>5871</v>
      </c>
      <c r="G328" s="11" t="s">
        <v>379</v>
      </c>
      <c r="H328" s="11" t="s">
        <v>383</v>
      </c>
      <c r="I328" s="11" t="s">
        <v>1102</v>
      </c>
      <c r="J328" s="278" t="s">
        <v>1102</v>
      </c>
      <c r="BD328" s="23">
        <v>41497</v>
      </c>
      <c r="BE328" s="23">
        <v>43404</v>
      </c>
      <c r="BG328" s="11" t="s">
        <v>312</v>
      </c>
      <c r="BH328" s="22">
        <v>47652289.68</v>
      </c>
      <c r="BI328" s="11" t="s">
        <v>5333</v>
      </c>
      <c r="BJ328" s="11" t="s">
        <v>5334</v>
      </c>
      <c r="BK328" s="11" t="s">
        <v>5335</v>
      </c>
      <c r="BL328" s="11" t="s">
        <v>5336</v>
      </c>
      <c r="BM328" s="11" t="s">
        <v>5337</v>
      </c>
      <c r="BN328" s="11" t="s">
        <v>5338</v>
      </c>
      <c r="BO328" s="11" t="s">
        <v>319</v>
      </c>
      <c r="BP328" s="11" t="s">
        <v>320</v>
      </c>
      <c r="BQ328" s="11" t="s">
        <v>319</v>
      </c>
      <c r="BR328" s="11" t="s">
        <v>5872</v>
      </c>
      <c r="BS328" s="11" t="s">
        <v>357</v>
      </c>
      <c r="BT328" s="11" t="s">
        <v>5873</v>
      </c>
      <c r="BU328" s="11" t="s">
        <v>5874</v>
      </c>
      <c r="BV328" s="22">
        <v>21229755</v>
      </c>
      <c r="BW328" s="22">
        <v>2362390</v>
      </c>
      <c r="BX328" s="22">
        <v>23592145</v>
      </c>
      <c r="BY328" s="22">
        <v>39568264</v>
      </c>
      <c r="BZ328" s="22">
        <v>44952908</v>
      </c>
      <c r="CA328" s="22">
        <v>84521172</v>
      </c>
      <c r="CB328" s="32" t="s">
        <v>14673</v>
      </c>
      <c r="CL328" s="18"/>
      <c r="CP328" s="18"/>
      <c r="CT328" s="18"/>
      <c r="CX328" s="18"/>
      <c r="DB328" s="18"/>
      <c r="DF328" s="18"/>
      <c r="DJ328" s="18"/>
      <c r="DN328" s="18"/>
      <c r="DR328" s="18"/>
      <c r="DV328" s="18"/>
      <c r="DZ328" s="18"/>
      <c r="ED328" s="18"/>
      <c r="EI328" s="18"/>
      <c r="EK328" s="22">
        <v>21229755</v>
      </c>
      <c r="EL328" s="22">
        <v>2362390</v>
      </c>
      <c r="EM328" s="22">
        <v>23592145</v>
      </c>
      <c r="EN328" s="22">
        <v>39568264</v>
      </c>
      <c r="EO328" s="22">
        <v>42776500</v>
      </c>
      <c r="EP328" s="22">
        <v>82344764</v>
      </c>
      <c r="ES328" s="18"/>
      <c r="EW328" s="18"/>
      <c r="FA328" s="18"/>
      <c r="FE328" s="18"/>
      <c r="FI328" s="18"/>
      <c r="FM328" s="18"/>
      <c r="FO328" s="289" t="s">
        <v>320</v>
      </c>
      <c r="FP328" s="303">
        <v>4614043</v>
      </c>
      <c r="FQ328" s="304">
        <v>0.48</v>
      </c>
      <c r="FU328" s="18"/>
      <c r="FY328" s="18"/>
      <c r="GC328" s="18"/>
      <c r="GG328" s="18"/>
      <c r="GK328" s="18"/>
      <c r="GO328" s="18"/>
      <c r="GQ328" s="11" t="s">
        <v>320</v>
      </c>
      <c r="GR328" s="22">
        <v>23592145</v>
      </c>
      <c r="GS328" s="18">
        <v>0.9</v>
      </c>
      <c r="GT328" s="22">
        <v>82344764</v>
      </c>
      <c r="GW328" s="18"/>
      <c r="HA328" s="18"/>
      <c r="HF328" s="18"/>
      <c r="HH328" s="11" t="s">
        <v>319</v>
      </c>
      <c r="HK328" s="11" t="s">
        <v>319</v>
      </c>
      <c r="HL328" s="11" t="s">
        <v>319</v>
      </c>
      <c r="HO328" s="11" t="s">
        <v>5875</v>
      </c>
      <c r="HP328" s="11" t="s">
        <v>330</v>
      </c>
      <c r="HQ328" s="11" t="s">
        <v>320</v>
      </c>
      <c r="HR328" s="11" t="s">
        <v>320</v>
      </c>
      <c r="HS328" s="11" t="s">
        <v>320</v>
      </c>
      <c r="HT328" s="11" t="s">
        <v>320</v>
      </c>
      <c r="HU328" s="11" t="s">
        <v>320</v>
      </c>
      <c r="HV328" s="11" t="s">
        <v>320</v>
      </c>
      <c r="HW328" s="11" t="s">
        <v>320</v>
      </c>
      <c r="HX328" s="11" t="s">
        <v>320</v>
      </c>
      <c r="HZ328" s="11" t="s">
        <v>363</v>
      </c>
      <c r="IB328" s="11" t="s">
        <v>333</v>
      </c>
      <c r="ID328" s="11" t="s">
        <v>364</v>
      </c>
      <c r="IE328" s="11" t="s">
        <v>335</v>
      </c>
      <c r="IF328" s="11" t="s">
        <v>320</v>
      </c>
      <c r="IG328" s="11" t="s">
        <v>320</v>
      </c>
      <c r="IH328" s="11" t="s">
        <v>320</v>
      </c>
      <c r="II328" s="11" t="s">
        <v>320</v>
      </c>
      <c r="IJ328" s="12" t="str">
        <f t="shared" si="216"/>
        <v>2. Sensitive</v>
      </c>
      <c r="IK328" s="12">
        <f t="shared" si="217"/>
        <v>4</v>
      </c>
      <c r="IL328" s="11" t="s">
        <v>336</v>
      </c>
      <c r="IM328" s="11" t="s">
        <v>320</v>
      </c>
      <c r="IN328" s="11" t="s">
        <v>320</v>
      </c>
      <c r="IO328" s="11" t="s">
        <v>320</v>
      </c>
      <c r="IP328" s="11" t="s">
        <v>320</v>
      </c>
      <c r="IQ328" s="12" t="str">
        <f t="shared" si="218"/>
        <v>2. Accommodating</v>
      </c>
      <c r="IR328" s="12">
        <f t="shared" si="219"/>
        <v>4</v>
      </c>
      <c r="IS328" s="11" t="s">
        <v>337</v>
      </c>
      <c r="IT328" s="11" t="s">
        <v>320</v>
      </c>
      <c r="IU328" s="11" t="s">
        <v>320</v>
      </c>
      <c r="IV328" s="11" t="s">
        <v>320</v>
      </c>
      <c r="IW328" s="11" t="str">
        <f t="shared" si="220"/>
        <v>2. Sensitive</v>
      </c>
      <c r="IX328" s="12">
        <f t="shared" si="221"/>
        <v>3</v>
      </c>
      <c r="IY328" s="11" t="s">
        <v>338</v>
      </c>
      <c r="IZ328" s="11" t="s">
        <v>432</v>
      </c>
      <c r="JA328" s="11">
        <v>3</v>
      </c>
      <c r="JB328" s="11" t="s">
        <v>831</v>
      </c>
      <c r="JC328" s="11" t="s">
        <v>687</v>
      </c>
      <c r="JD328" s="11" t="s">
        <v>831</v>
      </c>
      <c r="JE328" s="11" t="s">
        <v>420</v>
      </c>
      <c r="JG328" s="11" t="s">
        <v>5876</v>
      </c>
      <c r="JH328" s="11" t="s">
        <v>5877</v>
      </c>
      <c r="JI328" s="11" t="s">
        <v>5878</v>
      </c>
      <c r="JJ328" s="11" t="s">
        <v>5879</v>
      </c>
      <c r="JK328" s="11" t="s">
        <v>5880</v>
      </c>
      <c r="JL328" s="11" t="s">
        <v>5881</v>
      </c>
      <c r="JO328" s="11" t="s">
        <v>5882</v>
      </c>
      <c r="JP328" s="15">
        <f t="shared" si="222"/>
        <v>23592145</v>
      </c>
      <c r="JQ328" s="15">
        <f t="shared" si="223"/>
        <v>82344764</v>
      </c>
      <c r="JR328" s="279">
        <f t="shared" si="224"/>
        <v>3.4903466386799504</v>
      </c>
      <c r="JS328" s="17">
        <f t="shared" si="225"/>
        <v>0.89986540011516547</v>
      </c>
      <c r="JT328" s="18">
        <f t="shared" si="226"/>
        <v>0.48051948998238675</v>
      </c>
      <c r="JU328" s="280">
        <f t="shared" si="227"/>
        <v>21229755</v>
      </c>
      <c r="JV328" s="280">
        <f t="shared" si="228"/>
        <v>39568264</v>
      </c>
      <c r="JW328" s="319" t="str">
        <f t="shared" si="229"/>
        <v/>
      </c>
      <c r="JX328" s="15">
        <f t="shared" si="230"/>
        <v>0</v>
      </c>
      <c r="JY328" s="15">
        <f t="shared" si="231"/>
        <v>0</v>
      </c>
      <c r="JZ328" s="19" t="str">
        <f t="shared" si="232"/>
        <v/>
      </c>
      <c r="KA328" s="52">
        <f t="shared" si="233"/>
        <v>1</v>
      </c>
      <c r="KB328" s="15">
        <f t="shared" si="234"/>
        <v>4614043</v>
      </c>
      <c r="KC328" s="15">
        <f t="shared" si="235"/>
        <v>0</v>
      </c>
      <c r="KD328" s="20">
        <f t="shared" si="236"/>
        <v>0</v>
      </c>
      <c r="KE328" s="52">
        <f t="shared" si="237"/>
        <v>1</v>
      </c>
      <c r="KF328" s="15">
        <f t="shared" si="238"/>
        <v>23592145</v>
      </c>
      <c r="KG328" s="15">
        <f t="shared" si="239"/>
        <v>82344764</v>
      </c>
      <c r="KH328" s="21">
        <f t="shared" si="240"/>
        <v>3.4903466386799504</v>
      </c>
      <c r="KI328" s="52" t="str">
        <f t="shared" si="241"/>
        <v/>
      </c>
      <c r="KJ328" s="15">
        <f t="shared" si="242"/>
        <v>0</v>
      </c>
      <c r="KK328" s="15">
        <f t="shared" si="243"/>
        <v>0</v>
      </c>
      <c r="KL328" s="19" t="str">
        <f t="shared" si="244"/>
        <v/>
      </c>
      <c r="KM328" s="52" t="str">
        <f t="shared" si="245"/>
        <v/>
      </c>
      <c r="KN328" s="22">
        <f t="shared" si="246"/>
        <v>0</v>
      </c>
      <c r="KO328" s="22">
        <f t="shared" si="247"/>
        <v>0</v>
      </c>
      <c r="KP328" s="19" t="str">
        <f t="shared" si="248"/>
        <v/>
      </c>
      <c r="KQ328" s="11" t="str">
        <f t="shared" si="249"/>
        <v>2. Sensitive</v>
      </c>
      <c r="KR328" s="11" t="str">
        <f t="shared" si="250"/>
        <v>2. Accommodating</v>
      </c>
      <c r="KS328" s="11" t="str">
        <f t="shared" si="251"/>
        <v>2. Sensitive</v>
      </c>
      <c r="KT328" s="11" t="str">
        <f t="shared" si="252"/>
        <v>It did not develop any specific innovation</v>
      </c>
      <c r="KU328" s="11" t="str">
        <f t="shared" si="253"/>
        <v>Moderate advocacy</v>
      </c>
      <c r="KV328" s="11" t="str">
        <f t="shared" si="254"/>
        <v>It did not take tested solutions to scale</v>
      </c>
      <c r="KW328" s="11" t="str">
        <f t="shared" si="255"/>
        <v>India - Technical Support to the Government of Bihar: Improving Health, Nutrition Coverage and Outcome (TSU)</v>
      </c>
      <c r="KX328" s="11" t="str">
        <f t="shared" si="256"/>
        <v>Technical Support to the Government of Bihar: Improving Health, Nutrition Coverage and Outcome (TSU)</v>
      </c>
      <c r="KY328" s="11" t="str">
        <f t="shared" si="257"/>
        <v>India</v>
      </c>
      <c r="KZ328" s="12">
        <v>328</v>
      </c>
    </row>
    <row r="329" spans="1:312" x14ac:dyDescent="0.3">
      <c r="A329" s="11" t="s">
        <v>5300</v>
      </c>
      <c r="B329" s="11" t="s">
        <v>306</v>
      </c>
      <c r="C329" s="11">
        <v>3007</v>
      </c>
      <c r="D329" s="11" t="s">
        <v>5774</v>
      </c>
      <c r="E329" s="24" t="str">
        <f t="shared" si="215"/>
        <v>India</v>
      </c>
      <c r="F329" s="11" t="s">
        <v>5775</v>
      </c>
      <c r="G329" s="11" t="s">
        <v>5302</v>
      </c>
      <c r="H329" s="11" t="s">
        <v>383</v>
      </c>
      <c r="I329" s="11" t="s">
        <v>384</v>
      </c>
      <c r="J329" s="278" t="s">
        <v>14674</v>
      </c>
      <c r="K329" s="11" t="s">
        <v>5776</v>
      </c>
      <c r="L329" s="11" t="s">
        <v>5302</v>
      </c>
      <c r="M329" s="11" t="s">
        <v>489</v>
      </c>
      <c r="N329" s="11" t="s">
        <v>384</v>
      </c>
      <c r="O329" s="11" t="s">
        <v>5777</v>
      </c>
      <c r="P329" s="11" t="s">
        <v>5778</v>
      </c>
      <c r="Q329" s="11" t="s">
        <v>5302</v>
      </c>
      <c r="R329" s="11" t="s">
        <v>383</v>
      </c>
      <c r="S329" s="11" t="s">
        <v>384</v>
      </c>
      <c r="T329" s="11" t="s">
        <v>1672</v>
      </c>
      <c r="U329" s="11" t="s">
        <v>5779</v>
      </c>
      <c r="V329" s="11" t="s">
        <v>5302</v>
      </c>
      <c r="W329" s="11" t="s">
        <v>489</v>
      </c>
      <c r="X329" s="11" t="s">
        <v>384</v>
      </c>
      <c r="Y329" s="11" t="s">
        <v>5780</v>
      </c>
      <c r="Z329" s="11" t="s">
        <v>5781</v>
      </c>
      <c r="AA329" s="11" t="s">
        <v>5302</v>
      </c>
      <c r="AB329" s="11" t="s">
        <v>383</v>
      </c>
      <c r="AC329" s="11" t="s">
        <v>384</v>
      </c>
      <c r="AD329" s="11" t="s">
        <v>5782</v>
      </c>
      <c r="BD329" s="23">
        <v>42399</v>
      </c>
      <c r="BE329" s="23">
        <v>42916</v>
      </c>
      <c r="BG329" s="11" t="s">
        <v>312</v>
      </c>
      <c r="BH329" s="22">
        <v>300910</v>
      </c>
      <c r="BI329" s="11" t="s">
        <v>5597</v>
      </c>
      <c r="BJ329" s="11" t="s">
        <v>5598</v>
      </c>
      <c r="BK329" s="11" t="s">
        <v>5599</v>
      </c>
      <c r="BL329" s="11" t="s">
        <v>5783</v>
      </c>
      <c r="BM329" s="11" t="s">
        <v>5784</v>
      </c>
      <c r="BN329" s="11" t="s">
        <v>5785</v>
      </c>
      <c r="BO329" s="12" t="s">
        <v>319</v>
      </c>
      <c r="BP329" s="12" t="s">
        <v>320</v>
      </c>
      <c r="BQ329" s="12" t="s">
        <v>319</v>
      </c>
      <c r="BR329" s="11" t="s">
        <v>5786</v>
      </c>
      <c r="BS329" s="11" t="s">
        <v>357</v>
      </c>
      <c r="BT329" s="11" t="s">
        <v>5787</v>
      </c>
      <c r="BU329" s="11" t="s">
        <v>5788</v>
      </c>
      <c r="BV329" s="22">
        <v>300</v>
      </c>
      <c r="BW329" s="22">
        <v>0</v>
      </c>
      <c r="BX329" s="22">
        <v>300</v>
      </c>
      <c r="BY329" s="22">
        <v>724</v>
      </c>
      <c r="BZ329" s="22">
        <v>932</v>
      </c>
      <c r="CA329" s="22">
        <v>1656</v>
      </c>
      <c r="CB329" s="15" t="s">
        <v>5789</v>
      </c>
      <c r="CL329" s="18"/>
      <c r="CP329" s="18"/>
      <c r="CT329" s="18"/>
      <c r="CX329" s="18"/>
      <c r="DB329" s="18"/>
      <c r="DF329" s="18"/>
      <c r="DJ329" s="18"/>
      <c r="DN329" s="18"/>
      <c r="DR329" s="18"/>
      <c r="DV329" s="18"/>
      <c r="DZ329" s="18"/>
      <c r="ED329" s="18"/>
      <c r="EI329" s="18"/>
      <c r="EK329" s="22">
        <v>262</v>
      </c>
      <c r="EL329" s="22">
        <v>0</v>
      </c>
      <c r="EM329" s="22">
        <v>262</v>
      </c>
      <c r="EN329" s="22">
        <v>672</v>
      </c>
      <c r="EO329" s="22">
        <v>874</v>
      </c>
      <c r="EP329" s="22">
        <v>1546</v>
      </c>
      <c r="ES329" s="18"/>
      <c r="EW329" s="18"/>
      <c r="FA329" s="18"/>
      <c r="FE329" s="18"/>
      <c r="FI329" s="18"/>
      <c r="FK329" s="12" t="s">
        <v>320</v>
      </c>
      <c r="FL329" s="22">
        <v>262</v>
      </c>
      <c r="FM329" s="18">
        <v>1</v>
      </c>
      <c r="FN329" s="22">
        <v>1546</v>
      </c>
      <c r="FQ329" s="18"/>
      <c r="FU329" s="18"/>
      <c r="FY329" s="18"/>
      <c r="GC329" s="18"/>
      <c r="GG329" s="18"/>
      <c r="GK329" s="18"/>
      <c r="GO329" s="18"/>
      <c r="GS329" s="18"/>
      <c r="GW329" s="18"/>
      <c r="HA329" s="18"/>
      <c r="HF329" s="18"/>
      <c r="HH329" s="11" t="s">
        <v>320</v>
      </c>
      <c r="HI329" s="11" t="s">
        <v>1175</v>
      </c>
      <c r="HJ329" s="11">
        <v>2016</v>
      </c>
      <c r="HK329" s="11" t="s">
        <v>319</v>
      </c>
      <c r="HL329" s="11" t="s">
        <v>320</v>
      </c>
      <c r="HM329" s="11" t="s">
        <v>416</v>
      </c>
      <c r="HN329" s="11">
        <v>2018</v>
      </c>
      <c r="HO329" s="11" t="s">
        <v>5790</v>
      </c>
      <c r="HP329" s="11" t="s">
        <v>453</v>
      </c>
      <c r="HQ329" s="11" t="s">
        <v>320</v>
      </c>
      <c r="HR329" s="11" t="s">
        <v>319</v>
      </c>
      <c r="HS329" s="11" t="s">
        <v>320</v>
      </c>
      <c r="HT329" s="11" t="s">
        <v>320</v>
      </c>
      <c r="HU329" s="11" t="s">
        <v>320</v>
      </c>
      <c r="HW329" s="11" t="s">
        <v>319</v>
      </c>
      <c r="HX329" s="11" t="s">
        <v>319</v>
      </c>
      <c r="HZ329" s="11" t="s">
        <v>363</v>
      </c>
      <c r="IB329" s="11" t="s">
        <v>396</v>
      </c>
      <c r="IC329" s="11" t="s">
        <v>5791</v>
      </c>
      <c r="ID329" s="11" t="s">
        <v>364</v>
      </c>
      <c r="IE329" s="11" t="s">
        <v>478</v>
      </c>
      <c r="IF329" s="11" t="s">
        <v>320</v>
      </c>
      <c r="IG329" s="11" t="s">
        <v>320</v>
      </c>
      <c r="IH329" s="11" t="s">
        <v>320</v>
      </c>
      <c r="II329" s="11" t="s">
        <v>320</v>
      </c>
      <c r="IJ329" s="12" t="str">
        <f t="shared" si="216"/>
        <v>4. Transformative</v>
      </c>
      <c r="IK329" s="12">
        <f t="shared" si="217"/>
        <v>4</v>
      </c>
      <c r="IL329" s="11" t="s">
        <v>621</v>
      </c>
      <c r="IM329" s="11" t="s">
        <v>320</v>
      </c>
      <c r="IN329" s="11" t="s">
        <v>320</v>
      </c>
      <c r="IO329" s="11" t="s">
        <v>320</v>
      </c>
      <c r="IP329" s="11" t="s">
        <v>319</v>
      </c>
      <c r="IQ329" s="12" t="str">
        <f t="shared" si="218"/>
        <v>3. Responsive</v>
      </c>
      <c r="IR329" s="12">
        <f t="shared" si="219"/>
        <v>3</v>
      </c>
      <c r="IS329" s="11" t="s">
        <v>622</v>
      </c>
      <c r="IT329" s="11" t="s">
        <v>319</v>
      </c>
      <c r="IU329" s="11" t="s">
        <v>320</v>
      </c>
      <c r="IV329" s="11" t="s">
        <v>320</v>
      </c>
      <c r="IW329" s="11" t="str">
        <f t="shared" si="220"/>
        <v>3. Responsive</v>
      </c>
      <c r="IX329" s="12">
        <f t="shared" si="221"/>
        <v>2</v>
      </c>
      <c r="IY329" s="11" t="s">
        <v>338</v>
      </c>
      <c r="IZ329" s="11" t="s">
        <v>457</v>
      </c>
      <c r="JA329" s="11">
        <v>3</v>
      </c>
      <c r="JB329" s="11" t="s">
        <v>433</v>
      </c>
      <c r="JE329" s="11" t="s">
        <v>365</v>
      </c>
      <c r="JH329" s="11" t="s">
        <v>5792</v>
      </c>
      <c r="JI329" s="11" t="s">
        <v>5793</v>
      </c>
      <c r="JJ329" s="11" t="s">
        <v>5794</v>
      </c>
      <c r="JK329" s="11" t="s">
        <v>5795</v>
      </c>
      <c r="JL329" s="11" t="s">
        <v>5796</v>
      </c>
      <c r="JM329" s="11" t="s">
        <v>5797</v>
      </c>
      <c r="JP329" s="15">
        <f t="shared" si="222"/>
        <v>262</v>
      </c>
      <c r="JQ329" s="15">
        <f t="shared" si="223"/>
        <v>1546</v>
      </c>
      <c r="JR329" s="279">
        <f t="shared" si="224"/>
        <v>5.9007633587786259</v>
      </c>
      <c r="JS329" s="17">
        <f t="shared" si="225"/>
        <v>1</v>
      </c>
      <c r="JT329" s="18">
        <f t="shared" si="226"/>
        <v>0.43467011642949549</v>
      </c>
      <c r="JU329" s="280">
        <f t="shared" si="227"/>
        <v>262</v>
      </c>
      <c r="JV329" s="280">
        <f t="shared" si="228"/>
        <v>672</v>
      </c>
      <c r="JW329" s="319" t="str">
        <f t="shared" si="229"/>
        <v/>
      </c>
      <c r="JX329" s="15">
        <f t="shared" si="230"/>
        <v>0</v>
      </c>
      <c r="JY329" s="15">
        <f t="shared" si="231"/>
        <v>0</v>
      </c>
      <c r="JZ329" s="19" t="str">
        <f t="shared" si="232"/>
        <v/>
      </c>
      <c r="KA329" s="52" t="str">
        <f t="shared" si="233"/>
        <v/>
      </c>
      <c r="KB329" s="15">
        <f t="shared" si="234"/>
        <v>0</v>
      </c>
      <c r="KC329" s="15">
        <f t="shared" si="235"/>
        <v>0</v>
      </c>
      <c r="KD329" s="20" t="str">
        <f t="shared" si="236"/>
        <v/>
      </c>
      <c r="KE329" s="52" t="str">
        <f t="shared" si="237"/>
        <v/>
      </c>
      <c r="KF329" s="15">
        <f t="shared" si="238"/>
        <v>0</v>
      </c>
      <c r="KG329" s="15">
        <f t="shared" si="239"/>
        <v>0</v>
      </c>
      <c r="KH329" s="21" t="str">
        <f t="shared" si="240"/>
        <v/>
      </c>
      <c r="KI329" s="52" t="str">
        <f t="shared" si="241"/>
        <v/>
      </c>
      <c r="KJ329" s="15">
        <f t="shared" si="242"/>
        <v>0</v>
      </c>
      <c r="KK329" s="15">
        <f t="shared" si="243"/>
        <v>0</v>
      </c>
      <c r="KL329" s="19" t="str">
        <f t="shared" si="244"/>
        <v/>
      </c>
      <c r="KM329" s="52" t="str">
        <f t="shared" si="245"/>
        <v/>
      </c>
      <c r="KN329" s="22">
        <f t="shared" si="246"/>
        <v>0</v>
      </c>
      <c r="KO329" s="22">
        <f t="shared" si="247"/>
        <v>0</v>
      </c>
      <c r="KP329" s="19" t="str">
        <f t="shared" si="248"/>
        <v/>
      </c>
      <c r="KQ329" s="11" t="str">
        <f t="shared" si="249"/>
        <v>4. Transformative</v>
      </c>
      <c r="KR329" s="11" t="str">
        <f t="shared" si="250"/>
        <v>3. Responsive</v>
      </c>
      <c r="KS329" s="11" t="str">
        <f t="shared" si="251"/>
        <v>3. Responsive</v>
      </c>
      <c r="KT329" s="11" t="str">
        <f t="shared" si="252"/>
        <v>It did not develop any specific innovation</v>
      </c>
      <c r="KU329" s="11" t="str">
        <f t="shared" si="253"/>
        <v>Intensive advocacy</v>
      </c>
      <c r="KV329" s="11" t="str">
        <f t="shared" si="254"/>
        <v>It linked and worked with strategic alliances and partners to take tested and effective solutions to scale</v>
      </c>
      <c r="KW329" s="11" t="str">
        <f t="shared" si="255"/>
        <v>India - Udaan - Accelerating Learning Program For Dropout Girls</v>
      </c>
      <c r="KX329" s="11" t="str">
        <f t="shared" si="256"/>
        <v>Udaan - Accelerating Learning Program For Dropout Girls</v>
      </c>
      <c r="KY329" s="11" t="str">
        <f t="shared" si="257"/>
        <v>India</v>
      </c>
      <c r="KZ329" s="12">
        <v>329</v>
      </c>
    </row>
    <row r="330" spans="1:312" x14ac:dyDescent="0.3">
      <c r="A330" s="11" t="s">
        <v>5300</v>
      </c>
      <c r="B330" s="11" t="s">
        <v>306</v>
      </c>
      <c r="C330" s="11">
        <v>3036</v>
      </c>
      <c r="D330" s="11" t="s">
        <v>5368</v>
      </c>
      <c r="E330" s="24" t="str">
        <f t="shared" si="215"/>
        <v>India</v>
      </c>
      <c r="F330" s="11" t="s">
        <v>5369</v>
      </c>
      <c r="G330" s="11" t="s">
        <v>714</v>
      </c>
      <c r="H330" s="11" t="s">
        <v>489</v>
      </c>
      <c r="I330" s="11" t="s">
        <v>384</v>
      </c>
      <c r="J330" s="278" t="s">
        <v>5370</v>
      </c>
      <c r="M330" s="11" t="s">
        <v>489</v>
      </c>
      <c r="BD330" s="23">
        <v>42736</v>
      </c>
      <c r="BE330" s="23">
        <v>43830</v>
      </c>
      <c r="BG330" s="342" t="s">
        <v>749</v>
      </c>
      <c r="BH330" s="22">
        <v>605920</v>
      </c>
      <c r="BI330" s="11" t="s">
        <v>5371</v>
      </c>
      <c r="BJ330" s="11" t="s">
        <v>5372</v>
      </c>
      <c r="BK330" s="11" t="s">
        <v>5373</v>
      </c>
      <c r="BL330" s="11" t="s">
        <v>5374</v>
      </c>
      <c r="BM330" s="11" t="s">
        <v>354</v>
      </c>
      <c r="BN330" s="11" t="s">
        <v>5375</v>
      </c>
      <c r="BO330" s="12" t="s">
        <v>319</v>
      </c>
      <c r="BP330" s="12" t="s">
        <v>320</v>
      </c>
      <c r="BQ330" s="12" t="s">
        <v>319</v>
      </c>
      <c r="BR330" s="11" t="s">
        <v>5376</v>
      </c>
      <c r="BS330" s="11" t="s">
        <v>357</v>
      </c>
      <c r="BT330" s="11" t="s">
        <v>5377</v>
      </c>
      <c r="BU330" s="11" t="s">
        <v>5378</v>
      </c>
      <c r="BV330" s="22">
        <v>3000</v>
      </c>
      <c r="BW330" s="22">
        <v>1422</v>
      </c>
      <c r="BX330" s="22">
        <v>4422</v>
      </c>
      <c r="BY330" s="22">
        <v>4806</v>
      </c>
      <c r="BZ330" s="22">
        <v>4780</v>
      </c>
      <c r="CA330" s="22">
        <v>9586</v>
      </c>
      <c r="CB330" s="15" t="s">
        <v>5379</v>
      </c>
      <c r="CL330" s="18"/>
      <c r="CP330" s="18"/>
      <c r="CT330" s="18"/>
      <c r="CX330" s="18"/>
      <c r="DB330" s="18"/>
      <c r="DF330" s="18"/>
      <c r="DJ330" s="18"/>
      <c r="DN330" s="18"/>
      <c r="DR330" s="18"/>
      <c r="DV330" s="18"/>
      <c r="DZ330" s="18"/>
      <c r="ED330" s="18"/>
      <c r="EI330" s="18"/>
      <c r="EK330" s="22">
        <v>3055</v>
      </c>
      <c r="EL330" s="22">
        <v>1422</v>
      </c>
      <c r="EM330" s="22">
        <v>4477</v>
      </c>
      <c r="EN330" s="22">
        <v>4806</v>
      </c>
      <c r="EO330" s="22">
        <v>4780</v>
      </c>
      <c r="EP330" s="22">
        <v>9586</v>
      </c>
      <c r="EQ330" s="12" t="s">
        <v>320</v>
      </c>
      <c r="ER330" s="22">
        <v>1750</v>
      </c>
      <c r="ES330" s="18">
        <v>0.8</v>
      </c>
      <c r="ET330" s="22">
        <v>1305</v>
      </c>
      <c r="EU330" s="11" t="s">
        <v>320</v>
      </c>
      <c r="EV330" s="22">
        <v>3379</v>
      </c>
      <c r="EW330" s="18">
        <v>0.57999999999999996</v>
      </c>
      <c r="EX330" s="22">
        <v>9586</v>
      </c>
      <c r="FA330" s="18"/>
      <c r="FC330" s="12" t="s">
        <v>320</v>
      </c>
      <c r="FD330" s="22">
        <v>950</v>
      </c>
      <c r="FE330" s="18">
        <v>0.53</v>
      </c>
      <c r="FF330" s="22">
        <v>2105</v>
      </c>
      <c r="FI330" s="18"/>
      <c r="FM330" s="18"/>
      <c r="FQ330" s="18"/>
      <c r="FU330" s="18"/>
      <c r="FW330" s="11" t="s">
        <v>320</v>
      </c>
      <c r="FX330" s="22">
        <v>1788</v>
      </c>
      <c r="FY330" s="18">
        <v>1</v>
      </c>
      <c r="FZ330" s="22">
        <v>1267</v>
      </c>
      <c r="GC330" s="18"/>
      <c r="GG330" s="18"/>
      <c r="GI330" s="11" t="s">
        <v>320</v>
      </c>
      <c r="GJ330" s="22">
        <v>192</v>
      </c>
      <c r="GK330" s="18">
        <v>0.28000000000000003</v>
      </c>
      <c r="GL330" s="22">
        <v>1200</v>
      </c>
      <c r="GO330" s="18"/>
      <c r="GS330" s="18"/>
      <c r="GU330" s="12" t="s">
        <v>320</v>
      </c>
      <c r="GV330" s="22">
        <v>3641</v>
      </c>
      <c r="GW330" s="18">
        <v>0.8</v>
      </c>
      <c r="GX330" s="22">
        <v>4241</v>
      </c>
      <c r="HA330" s="18"/>
      <c r="HF330" s="18"/>
      <c r="HH330" s="11" t="s">
        <v>320</v>
      </c>
      <c r="HI330" s="11" t="s">
        <v>544</v>
      </c>
      <c r="HJ330" s="11">
        <v>2017</v>
      </c>
      <c r="HK330" s="11" t="s">
        <v>320</v>
      </c>
      <c r="HL330" s="11" t="s">
        <v>320</v>
      </c>
      <c r="HM330" s="11" t="s">
        <v>328</v>
      </c>
      <c r="HN330" s="11">
        <v>2017</v>
      </c>
      <c r="HO330" s="11" t="s">
        <v>5380</v>
      </c>
      <c r="HP330" s="11" t="s">
        <v>330</v>
      </c>
      <c r="HS330" s="11" t="s">
        <v>320</v>
      </c>
      <c r="HT330" s="11" t="s">
        <v>320</v>
      </c>
      <c r="HV330" s="11" t="s">
        <v>320</v>
      </c>
      <c r="HW330" s="11" t="s">
        <v>320</v>
      </c>
      <c r="HZ330" s="11" t="s">
        <v>394</v>
      </c>
      <c r="IA330" s="11" t="s">
        <v>5381</v>
      </c>
      <c r="IB330" s="11" t="s">
        <v>396</v>
      </c>
      <c r="IC330" s="11" t="s">
        <v>5382</v>
      </c>
      <c r="ID330" s="11" t="s">
        <v>334</v>
      </c>
      <c r="IE330" s="11" t="s">
        <v>478</v>
      </c>
      <c r="IF330" s="11" t="s">
        <v>320</v>
      </c>
      <c r="IG330" s="11" t="s">
        <v>320</v>
      </c>
      <c r="IH330" s="11" t="s">
        <v>320</v>
      </c>
      <c r="II330" s="11" t="s">
        <v>320</v>
      </c>
      <c r="IJ330" s="12" t="str">
        <f t="shared" si="216"/>
        <v>4. Transformative</v>
      </c>
      <c r="IK330" s="12">
        <f t="shared" si="217"/>
        <v>4</v>
      </c>
      <c r="IL330" s="11" t="s">
        <v>621</v>
      </c>
      <c r="IM330" s="11" t="s">
        <v>320</v>
      </c>
      <c r="IN330" s="11" t="s">
        <v>320</v>
      </c>
      <c r="IO330" s="11" t="s">
        <v>320</v>
      </c>
      <c r="IP330" s="11" t="s">
        <v>320</v>
      </c>
      <c r="IQ330" s="12" t="str">
        <f t="shared" si="218"/>
        <v>4. Transformational</v>
      </c>
      <c r="IR330" s="12">
        <f t="shared" si="219"/>
        <v>4</v>
      </c>
      <c r="IS330" s="11" t="s">
        <v>622</v>
      </c>
      <c r="IT330" s="11" t="s">
        <v>320</v>
      </c>
      <c r="IU330" s="11" t="s">
        <v>320</v>
      </c>
      <c r="IV330" s="11" t="s">
        <v>320</v>
      </c>
      <c r="IW330" s="11" t="str">
        <f t="shared" si="220"/>
        <v>4. Transformative</v>
      </c>
      <c r="IX330" s="12">
        <f t="shared" si="221"/>
        <v>3</v>
      </c>
      <c r="IY330" s="11" t="s">
        <v>758</v>
      </c>
      <c r="IZ330" s="11" t="s">
        <v>457</v>
      </c>
      <c r="JA330" s="11">
        <v>3</v>
      </c>
      <c r="JB330" s="11" t="s">
        <v>624</v>
      </c>
      <c r="JC330" s="11" t="s">
        <v>433</v>
      </c>
      <c r="JD330" s="11" t="s">
        <v>687</v>
      </c>
      <c r="JE330" s="11" t="s">
        <v>340</v>
      </c>
      <c r="JF330" s="11" t="s">
        <v>5383</v>
      </c>
      <c r="JG330" s="11" t="s">
        <v>5384</v>
      </c>
      <c r="JH330" s="11" t="s">
        <v>5385</v>
      </c>
      <c r="JI330" s="11" t="s">
        <v>5386</v>
      </c>
      <c r="JJ330" s="11" t="s">
        <v>5387</v>
      </c>
      <c r="JK330" s="11" t="s">
        <v>5388</v>
      </c>
      <c r="JL330" s="11" t="s">
        <v>5389</v>
      </c>
      <c r="JM330" s="11" t="s">
        <v>5390</v>
      </c>
      <c r="JN330" s="11" t="s">
        <v>5391</v>
      </c>
      <c r="JO330" s="11" t="s">
        <v>5392</v>
      </c>
      <c r="JP330" s="15">
        <f t="shared" si="222"/>
        <v>4477</v>
      </c>
      <c r="JQ330" s="15">
        <f t="shared" si="223"/>
        <v>9586</v>
      </c>
      <c r="JR330" s="279">
        <f t="shared" si="224"/>
        <v>2.1411659593477776</v>
      </c>
      <c r="JS330" s="17">
        <f t="shared" si="225"/>
        <v>0.68237659146750052</v>
      </c>
      <c r="JT330" s="18">
        <f t="shared" si="226"/>
        <v>0.50135614437721676</v>
      </c>
      <c r="JU330" s="280">
        <f t="shared" si="227"/>
        <v>3055</v>
      </c>
      <c r="JV330" s="280">
        <f t="shared" si="228"/>
        <v>4806</v>
      </c>
      <c r="JW330" s="319" t="str">
        <f t="shared" si="229"/>
        <v/>
      </c>
      <c r="JX330" s="15">
        <f t="shared" si="230"/>
        <v>0</v>
      </c>
      <c r="JY330" s="15">
        <f t="shared" si="231"/>
        <v>0</v>
      </c>
      <c r="JZ330" s="19" t="str">
        <f t="shared" si="232"/>
        <v/>
      </c>
      <c r="KA330" s="52">
        <f t="shared" si="233"/>
        <v>1</v>
      </c>
      <c r="KB330" s="15">
        <f t="shared" si="234"/>
        <v>3641</v>
      </c>
      <c r="KC330" s="15">
        <f t="shared" si="235"/>
        <v>9586</v>
      </c>
      <c r="KD330" s="20">
        <f t="shared" si="236"/>
        <v>2.6327931886844276</v>
      </c>
      <c r="KE330" s="52" t="str">
        <f t="shared" si="237"/>
        <v/>
      </c>
      <c r="KF330" s="15">
        <f t="shared" si="238"/>
        <v>0</v>
      </c>
      <c r="KG330" s="15">
        <f t="shared" si="239"/>
        <v>0</v>
      </c>
      <c r="KH330" s="21" t="str">
        <f t="shared" si="240"/>
        <v/>
      </c>
      <c r="KI330" s="52" t="str">
        <f t="shared" si="241"/>
        <v/>
      </c>
      <c r="KJ330" s="15">
        <f t="shared" si="242"/>
        <v>0</v>
      </c>
      <c r="KK330" s="15">
        <f t="shared" si="243"/>
        <v>0</v>
      </c>
      <c r="KL330" s="19" t="str">
        <f t="shared" si="244"/>
        <v/>
      </c>
      <c r="KM330" s="52" t="str">
        <f t="shared" si="245"/>
        <v/>
      </c>
      <c r="KN330" s="22">
        <f t="shared" si="246"/>
        <v>0</v>
      </c>
      <c r="KO330" s="22">
        <f t="shared" si="247"/>
        <v>0</v>
      </c>
      <c r="KP330" s="19" t="str">
        <f t="shared" si="248"/>
        <v/>
      </c>
      <c r="KQ330" s="11" t="str">
        <f t="shared" si="249"/>
        <v>4. Transformative</v>
      </c>
      <c r="KR330" s="11" t="str">
        <f t="shared" si="250"/>
        <v>4. Transformational</v>
      </c>
      <c r="KS330" s="11" t="str">
        <f t="shared" si="251"/>
        <v>4. Transformative</v>
      </c>
      <c r="KT330" s="11" t="str">
        <f t="shared" si="252"/>
        <v>It tested new ways for fighting poverty, but did not measure results of innovation</v>
      </c>
      <c r="KU330" s="11" t="str">
        <f t="shared" si="253"/>
        <v>Moderate advocacy</v>
      </c>
      <c r="KV330" s="11" t="str">
        <f t="shared" si="254"/>
        <v>It linked and worked with strategic alliances and partners to take tested and effective solutions to scale</v>
      </c>
      <c r="KW330" s="11" t="str">
        <f t="shared" si="255"/>
        <v>India - Where the Rain Falls (WtRF) II-III</v>
      </c>
      <c r="KX330" s="11" t="str">
        <f t="shared" si="256"/>
        <v>Where the Rain Falls (WtRF) II-III</v>
      </c>
      <c r="KY330" s="11" t="str">
        <f t="shared" si="257"/>
        <v>India</v>
      </c>
      <c r="KZ330" s="12">
        <v>330</v>
      </c>
    </row>
    <row r="331" spans="1:312" x14ac:dyDescent="0.3">
      <c r="A331" s="11" t="s">
        <v>5300</v>
      </c>
      <c r="B331" s="11" t="s">
        <v>306</v>
      </c>
      <c r="C331" s="11">
        <v>3035</v>
      </c>
      <c r="D331" s="11" t="s">
        <v>5883</v>
      </c>
      <c r="E331" s="24" t="str">
        <f t="shared" si="215"/>
        <v>India</v>
      </c>
      <c r="F331" s="11" t="s">
        <v>5884</v>
      </c>
      <c r="G331" s="11" t="s">
        <v>379</v>
      </c>
      <c r="H331" s="11" t="s">
        <v>310</v>
      </c>
      <c r="I331" s="11" t="s">
        <v>655</v>
      </c>
      <c r="J331" s="278" t="s">
        <v>4991</v>
      </c>
      <c r="BD331" s="23">
        <v>41180</v>
      </c>
      <c r="BE331" s="23">
        <v>42274</v>
      </c>
      <c r="BF331" s="23">
        <v>42735</v>
      </c>
      <c r="BG331" s="11" t="s">
        <v>350</v>
      </c>
      <c r="BH331" s="22">
        <v>1497973</v>
      </c>
      <c r="BI331" s="11" t="s">
        <v>5371</v>
      </c>
      <c r="BJ331" s="11" t="s">
        <v>5372</v>
      </c>
      <c r="BK331" s="11" t="s">
        <v>5373</v>
      </c>
      <c r="BO331" s="12" t="s">
        <v>319</v>
      </c>
      <c r="BP331" s="12" t="s">
        <v>320</v>
      </c>
      <c r="BQ331" s="12" t="s">
        <v>319</v>
      </c>
      <c r="BR331" s="11" t="s">
        <v>5885</v>
      </c>
      <c r="BS331" s="11" t="s">
        <v>357</v>
      </c>
      <c r="BT331" s="11" t="s">
        <v>5886</v>
      </c>
      <c r="BU331" s="11" t="s">
        <v>5887</v>
      </c>
      <c r="BV331" s="22">
        <v>210</v>
      </c>
      <c r="BW331" s="22">
        <v>30</v>
      </c>
      <c r="BX331" s="22">
        <v>240</v>
      </c>
      <c r="BY331" s="22">
        <v>10125</v>
      </c>
      <c r="BZ331" s="22">
        <v>3870</v>
      </c>
      <c r="CA331" s="22">
        <v>13995</v>
      </c>
      <c r="CB331" s="15" t="s">
        <v>5888</v>
      </c>
      <c r="CL331" s="18"/>
      <c r="CP331" s="18"/>
      <c r="CT331" s="18"/>
      <c r="CX331" s="18"/>
      <c r="DB331" s="18"/>
      <c r="DF331" s="18"/>
      <c r="DJ331" s="18"/>
      <c r="DN331" s="18"/>
      <c r="DR331" s="18"/>
      <c r="DV331" s="18"/>
      <c r="DZ331" s="18"/>
      <c r="ED331" s="18"/>
      <c r="EI331" s="18"/>
      <c r="EK331" s="22">
        <v>210</v>
      </c>
      <c r="EL331" s="22">
        <v>30</v>
      </c>
      <c r="EM331" s="22">
        <v>240</v>
      </c>
      <c r="EN331" s="22">
        <v>10125</v>
      </c>
      <c r="EO331" s="22">
        <v>3870</v>
      </c>
      <c r="EP331" s="22">
        <v>13995</v>
      </c>
      <c r="ES331" s="18"/>
      <c r="EW331" s="18"/>
      <c r="FA331" s="18"/>
      <c r="FE331" s="18"/>
      <c r="FG331" s="12" t="s">
        <v>320</v>
      </c>
      <c r="FH331" s="22">
        <v>240</v>
      </c>
      <c r="FI331" s="18">
        <v>0.88</v>
      </c>
      <c r="FJ331" s="22">
        <v>13995</v>
      </c>
      <c r="FM331" s="18"/>
      <c r="FQ331" s="18"/>
      <c r="FU331" s="18"/>
      <c r="FY331" s="18"/>
      <c r="GC331" s="18"/>
      <c r="GG331" s="18"/>
      <c r="GK331" s="18"/>
      <c r="GM331" s="11" t="s">
        <v>320</v>
      </c>
      <c r="GN331" s="22">
        <v>106</v>
      </c>
      <c r="GO331" s="18">
        <v>1</v>
      </c>
      <c r="GP331" s="22">
        <v>13995</v>
      </c>
      <c r="GS331" s="18"/>
      <c r="GW331" s="18"/>
      <c r="GY331" s="11" t="s">
        <v>320</v>
      </c>
      <c r="GZ331" s="22">
        <v>240</v>
      </c>
      <c r="HA331" s="18">
        <v>0.88</v>
      </c>
      <c r="HB331" s="280">
        <v>13995</v>
      </c>
      <c r="HF331" s="18"/>
      <c r="HH331" s="11" t="s">
        <v>319</v>
      </c>
      <c r="HK331" s="11" t="s">
        <v>319</v>
      </c>
      <c r="HL331" s="11" t="s">
        <v>320</v>
      </c>
      <c r="HO331" s="11" t="s">
        <v>5889</v>
      </c>
      <c r="HP331" s="11" t="s">
        <v>418</v>
      </c>
      <c r="HZ331" s="11" t="s">
        <v>394</v>
      </c>
      <c r="IA331" s="11" t="s">
        <v>5890</v>
      </c>
      <c r="IB331" s="11" t="s">
        <v>333</v>
      </c>
      <c r="ID331" s="11" t="s">
        <v>477</v>
      </c>
      <c r="IE331" s="11" t="s">
        <v>478</v>
      </c>
      <c r="IF331" s="11" t="s">
        <v>320</v>
      </c>
      <c r="IG331" s="11" t="s">
        <v>320</v>
      </c>
      <c r="IH331" s="11" t="s">
        <v>320</v>
      </c>
      <c r="II331" s="11" t="s">
        <v>320</v>
      </c>
      <c r="IJ331" s="12" t="str">
        <f t="shared" si="216"/>
        <v>4. Transformative</v>
      </c>
      <c r="IK331" s="12">
        <f t="shared" si="217"/>
        <v>4</v>
      </c>
      <c r="IL331" s="11" t="s">
        <v>621</v>
      </c>
      <c r="IM331" s="11" t="s">
        <v>320</v>
      </c>
      <c r="IN331" s="11" t="s">
        <v>320</v>
      </c>
      <c r="IO331" s="11" t="s">
        <v>320</v>
      </c>
      <c r="IP331" s="11" t="s">
        <v>320</v>
      </c>
      <c r="IQ331" s="12" t="str">
        <f t="shared" si="218"/>
        <v>4. Transformational</v>
      </c>
      <c r="IR331" s="12">
        <f t="shared" si="219"/>
        <v>4</v>
      </c>
      <c r="IS331" s="11" t="s">
        <v>337</v>
      </c>
      <c r="IT331" s="11" t="s">
        <v>320</v>
      </c>
      <c r="IU331" s="11" t="s">
        <v>320</v>
      </c>
      <c r="IV331" s="11" t="s">
        <v>320</v>
      </c>
      <c r="IW331" s="11" t="str">
        <f t="shared" si="220"/>
        <v>2. Sensitive</v>
      </c>
      <c r="IX331" s="12">
        <f t="shared" si="221"/>
        <v>3</v>
      </c>
      <c r="IY331" s="11" t="s">
        <v>338</v>
      </c>
      <c r="IZ331" s="11" t="s">
        <v>432</v>
      </c>
      <c r="JA331" s="11">
        <v>1</v>
      </c>
      <c r="JB331" s="11" t="s">
        <v>585</v>
      </c>
      <c r="JE331" s="11" t="s">
        <v>365</v>
      </c>
      <c r="JG331" s="11" t="s">
        <v>5891</v>
      </c>
      <c r="JH331" s="11" t="s">
        <v>5892</v>
      </c>
      <c r="JI331" s="11" t="s">
        <v>5893</v>
      </c>
      <c r="JJ331" s="11" t="s">
        <v>5894</v>
      </c>
      <c r="JK331" s="11" t="s">
        <v>5895</v>
      </c>
      <c r="JL331" s="11" t="s">
        <v>5896</v>
      </c>
      <c r="JM331" s="11" t="s">
        <v>5897</v>
      </c>
      <c r="JN331" s="11" t="s">
        <v>5898</v>
      </c>
      <c r="JP331" s="15">
        <f t="shared" si="222"/>
        <v>240</v>
      </c>
      <c r="JQ331" s="15">
        <f t="shared" si="223"/>
        <v>13995</v>
      </c>
      <c r="JR331" s="279">
        <f t="shared" si="224"/>
        <v>58.3125</v>
      </c>
      <c r="JS331" s="17">
        <f t="shared" si="225"/>
        <v>0.875</v>
      </c>
      <c r="JT331" s="18">
        <f t="shared" si="226"/>
        <v>0.72347266881028938</v>
      </c>
      <c r="JU331" s="280">
        <f t="shared" si="227"/>
        <v>210</v>
      </c>
      <c r="JV331" s="280">
        <f t="shared" si="228"/>
        <v>10125</v>
      </c>
      <c r="JW331" s="319" t="str">
        <f t="shared" si="229"/>
        <v/>
      </c>
      <c r="JX331" s="15">
        <f t="shared" si="230"/>
        <v>0</v>
      </c>
      <c r="JY331" s="15">
        <f t="shared" si="231"/>
        <v>0</v>
      </c>
      <c r="JZ331" s="19" t="str">
        <f t="shared" si="232"/>
        <v/>
      </c>
      <c r="KA331" s="52">
        <f t="shared" si="233"/>
        <v>1</v>
      </c>
      <c r="KB331" s="15">
        <f t="shared" si="234"/>
        <v>240</v>
      </c>
      <c r="KC331" s="15">
        <f t="shared" si="235"/>
        <v>13995</v>
      </c>
      <c r="KD331" s="20">
        <f t="shared" si="236"/>
        <v>58.3125</v>
      </c>
      <c r="KE331" s="52" t="str">
        <f t="shared" si="237"/>
        <v/>
      </c>
      <c r="KF331" s="15">
        <f t="shared" si="238"/>
        <v>0</v>
      </c>
      <c r="KG331" s="15">
        <f t="shared" si="239"/>
        <v>0</v>
      </c>
      <c r="KH331" s="21" t="str">
        <f t="shared" si="240"/>
        <v/>
      </c>
      <c r="KI331" s="52" t="str">
        <f t="shared" si="241"/>
        <v/>
      </c>
      <c r="KJ331" s="15">
        <f t="shared" si="242"/>
        <v>0</v>
      </c>
      <c r="KK331" s="15">
        <f t="shared" si="243"/>
        <v>0</v>
      </c>
      <c r="KL331" s="19" t="str">
        <f t="shared" si="244"/>
        <v/>
      </c>
      <c r="KM331" s="52">
        <f t="shared" si="245"/>
        <v>1</v>
      </c>
      <c r="KN331" s="22">
        <f t="shared" si="246"/>
        <v>240</v>
      </c>
      <c r="KO331" s="22">
        <f t="shared" si="247"/>
        <v>13995</v>
      </c>
      <c r="KP331" s="19">
        <f t="shared" si="248"/>
        <v>58.3125</v>
      </c>
      <c r="KQ331" s="11" t="str">
        <f t="shared" si="249"/>
        <v>4. Transformative</v>
      </c>
      <c r="KR331" s="11" t="str">
        <f t="shared" si="250"/>
        <v>4. Transformational</v>
      </c>
      <c r="KS331" s="11" t="str">
        <f t="shared" si="251"/>
        <v>2. Sensitive</v>
      </c>
      <c r="KT331" s="11" t="str">
        <f t="shared" si="252"/>
        <v>It tested new ways for fighting poverty, but did not measure results of innovation</v>
      </c>
      <c r="KU331" s="11" t="str">
        <f t="shared" si="253"/>
        <v>Little or no advocacy</v>
      </c>
      <c r="KV331" s="11" t="str">
        <f t="shared" si="254"/>
        <v>It did not take tested solutions to scale</v>
      </c>
      <c r="KW331" s="11" t="str">
        <f t="shared" si="255"/>
        <v>India - Women Leadership in Small and Medium Enterprises (WLSME)</v>
      </c>
      <c r="KX331" s="11" t="str">
        <f t="shared" si="256"/>
        <v>Women Leadership in Small and Medium Enterprises (WLSME)</v>
      </c>
      <c r="KY331" s="11" t="str">
        <f t="shared" si="257"/>
        <v>India</v>
      </c>
      <c r="KZ331" s="12">
        <v>331</v>
      </c>
    </row>
    <row r="332" spans="1:312" x14ac:dyDescent="0.3">
      <c r="A332" s="11" t="s">
        <v>5932</v>
      </c>
      <c r="B332" s="11" t="s">
        <v>306</v>
      </c>
      <c r="D332" s="11" t="s">
        <v>5947</v>
      </c>
      <c r="E332" s="24" t="str">
        <f t="shared" si="215"/>
        <v>Indonesia</v>
      </c>
      <c r="F332" s="11" t="s">
        <v>5948</v>
      </c>
      <c r="G332" s="11" t="s">
        <v>425</v>
      </c>
      <c r="H332" s="11" t="s">
        <v>489</v>
      </c>
      <c r="I332" s="11" t="s">
        <v>384</v>
      </c>
      <c r="J332" s="278" t="s">
        <v>3967</v>
      </c>
      <c r="BD332" s="23">
        <v>42170</v>
      </c>
      <c r="BE332" s="23">
        <v>42613</v>
      </c>
      <c r="BF332" s="23">
        <v>42794</v>
      </c>
      <c r="BG332" s="11" t="s">
        <v>312</v>
      </c>
      <c r="BH332" s="22">
        <v>165061</v>
      </c>
      <c r="BI332" s="11" t="s">
        <v>5934</v>
      </c>
      <c r="BJ332" s="11" t="s">
        <v>5949</v>
      </c>
      <c r="BK332" s="11" t="s">
        <v>5936</v>
      </c>
      <c r="BL332" s="11" t="s">
        <v>5950</v>
      </c>
      <c r="BM332" s="11" t="s">
        <v>1761</v>
      </c>
      <c r="BN332" s="11" t="s">
        <v>5951</v>
      </c>
      <c r="BO332" s="12" t="s">
        <v>319</v>
      </c>
      <c r="BP332" s="12" t="s">
        <v>320</v>
      </c>
      <c r="BQ332" s="12" t="s">
        <v>319</v>
      </c>
      <c r="BR332" s="11" t="s">
        <v>5952</v>
      </c>
      <c r="BS332" s="11" t="s">
        <v>357</v>
      </c>
      <c r="BT332" s="11" t="s">
        <v>5953</v>
      </c>
      <c r="BU332" s="11" t="s">
        <v>5954</v>
      </c>
      <c r="BV332" s="22">
        <v>2200</v>
      </c>
      <c r="BW332" s="22">
        <v>0</v>
      </c>
      <c r="BX332" s="22">
        <v>2200</v>
      </c>
      <c r="BY332" s="22">
        <v>4400</v>
      </c>
      <c r="BZ332" s="22">
        <v>4400</v>
      </c>
      <c r="CA332" s="22">
        <v>8800</v>
      </c>
      <c r="CB332" s="15" t="s">
        <v>5955</v>
      </c>
      <c r="CL332" s="18"/>
      <c r="CP332" s="18"/>
      <c r="CT332" s="18"/>
      <c r="CX332" s="18"/>
      <c r="DB332" s="18"/>
      <c r="DF332" s="18"/>
      <c r="DJ332" s="18"/>
      <c r="DN332" s="18"/>
      <c r="DR332" s="18"/>
      <c r="DV332" s="18"/>
      <c r="DZ332" s="18"/>
      <c r="ED332" s="18"/>
      <c r="EI332" s="18"/>
      <c r="EK332" s="22">
        <v>2255</v>
      </c>
      <c r="EL332" s="22">
        <v>50</v>
      </c>
      <c r="EM332" s="22">
        <v>2305</v>
      </c>
      <c r="EN332" s="22">
        <v>4930</v>
      </c>
      <c r="EO332" s="22">
        <v>4770</v>
      </c>
      <c r="EP332" s="22">
        <v>9700</v>
      </c>
      <c r="EQ332" s="12" t="s">
        <v>319</v>
      </c>
      <c r="ES332" s="18"/>
      <c r="EU332" s="11" t="s">
        <v>319</v>
      </c>
      <c r="EW332" s="18"/>
      <c r="EY332" s="12" t="s">
        <v>319</v>
      </c>
      <c r="FA332" s="18"/>
      <c r="FC332" s="12" t="s">
        <v>319</v>
      </c>
      <c r="FE332" s="18"/>
      <c r="FG332" s="12" t="s">
        <v>319</v>
      </c>
      <c r="FI332" s="18"/>
      <c r="FK332" s="12" t="s">
        <v>320</v>
      </c>
      <c r="FL332" s="22">
        <v>2200</v>
      </c>
      <c r="FM332" s="18">
        <v>1</v>
      </c>
      <c r="FN332" s="22">
        <v>9700</v>
      </c>
      <c r="FO332" s="11" t="s">
        <v>319</v>
      </c>
      <c r="FQ332" s="18"/>
      <c r="FS332" s="11" t="s">
        <v>319</v>
      </c>
      <c r="FU332" s="18"/>
      <c r="FW332" s="11" t="s">
        <v>320</v>
      </c>
      <c r="FX332" s="22">
        <v>200</v>
      </c>
      <c r="FY332" s="18">
        <v>1</v>
      </c>
      <c r="FZ332" s="22">
        <v>600</v>
      </c>
      <c r="GA332" s="11" t="s">
        <v>319</v>
      </c>
      <c r="GC332" s="18"/>
      <c r="GE332" s="11" t="s">
        <v>319</v>
      </c>
      <c r="GG332" s="18"/>
      <c r="GI332" s="11" t="s">
        <v>319</v>
      </c>
      <c r="GK332" s="18"/>
      <c r="GM332" s="11" t="s">
        <v>319</v>
      </c>
      <c r="GO332" s="18"/>
      <c r="GQ332" s="11" t="s">
        <v>319</v>
      </c>
      <c r="GS332" s="18"/>
      <c r="GU332" s="11" t="s">
        <v>319</v>
      </c>
      <c r="GW332" s="18"/>
      <c r="GY332" s="11" t="s">
        <v>320</v>
      </c>
      <c r="GZ332" s="22">
        <v>205</v>
      </c>
      <c r="HA332" s="18">
        <v>1</v>
      </c>
      <c r="HB332" s="22">
        <v>615</v>
      </c>
      <c r="HF332" s="18"/>
      <c r="HH332" s="11" t="s">
        <v>320</v>
      </c>
      <c r="HI332" s="11" t="s">
        <v>451</v>
      </c>
      <c r="HJ332" s="11">
        <v>2017</v>
      </c>
      <c r="HK332" s="11" t="s">
        <v>320</v>
      </c>
      <c r="HL332" s="11" t="s">
        <v>320</v>
      </c>
      <c r="HM332" s="11" t="s">
        <v>544</v>
      </c>
      <c r="HN332" s="11">
        <v>2018</v>
      </c>
      <c r="HP332" s="11" t="s">
        <v>418</v>
      </c>
      <c r="HS332" s="11" t="s">
        <v>320</v>
      </c>
      <c r="HZ332" s="11" t="s">
        <v>363</v>
      </c>
      <c r="IB332" s="11" t="s">
        <v>333</v>
      </c>
      <c r="ID332" s="11" t="s">
        <v>364</v>
      </c>
      <c r="IE332" s="11" t="s">
        <v>335</v>
      </c>
      <c r="IF332" s="11" t="s">
        <v>320</v>
      </c>
      <c r="IG332" s="11" t="s">
        <v>320</v>
      </c>
      <c r="IH332" s="11" t="s">
        <v>320</v>
      </c>
      <c r="II332" s="11" t="s">
        <v>320</v>
      </c>
      <c r="IJ332" s="12" t="str">
        <f t="shared" si="216"/>
        <v>2. Sensitive</v>
      </c>
      <c r="IK332" s="12">
        <f t="shared" si="217"/>
        <v>4</v>
      </c>
      <c r="IL332" s="11" t="s">
        <v>336</v>
      </c>
      <c r="IM332" s="11" t="s">
        <v>320</v>
      </c>
      <c r="IN332" s="11" t="s">
        <v>320</v>
      </c>
      <c r="IO332" s="11" t="s">
        <v>320</v>
      </c>
      <c r="IP332" s="11" t="s">
        <v>320</v>
      </c>
      <c r="IQ332" s="12" t="str">
        <f t="shared" si="218"/>
        <v>2. Accommodating</v>
      </c>
      <c r="IR332" s="12">
        <f t="shared" si="219"/>
        <v>4</v>
      </c>
      <c r="IS332" s="11" t="s">
        <v>337</v>
      </c>
      <c r="IT332" s="11" t="s">
        <v>320</v>
      </c>
      <c r="IU332" s="11" t="s">
        <v>320</v>
      </c>
      <c r="IV332" s="11" t="s">
        <v>320</v>
      </c>
      <c r="IW332" s="11" t="str">
        <f t="shared" si="220"/>
        <v>2. Sensitive</v>
      </c>
      <c r="IX332" s="12">
        <f t="shared" si="221"/>
        <v>3</v>
      </c>
      <c r="IY332" s="11" t="s">
        <v>338</v>
      </c>
      <c r="IZ332" s="11" t="s">
        <v>432</v>
      </c>
      <c r="JA332" s="11">
        <v>1</v>
      </c>
      <c r="JB332" s="12" t="s">
        <v>651</v>
      </c>
      <c r="JC332" s="11" t="s">
        <v>433</v>
      </c>
      <c r="JD332" s="11" t="s">
        <v>831</v>
      </c>
      <c r="JE332" s="11" t="s">
        <v>340</v>
      </c>
      <c r="JF332" s="11" t="s">
        <v>5956</v>
      </c>
      <c r="JH332" s="11" t="s">
        <v>5957</v>
      </c>
      <c r="JK332" s="11" t="s">
        <v>5958</v>
      </c>
      <c r="JL332" s="11" t="s">
        <v>5959</v>
      </c>
      <c r="JP332" s="15">
        <f t="shared" si="222"/>
        <v>2305</v>
      </c>
      <c r="JQ332" s="15">
        <f t="shared" si="223"/>
        <v>9700</v>
      </c>
      <c r="JR332" s="279">
        <f t="shared" si="224"/>
        <v>4.2082429501084597</v>
      </c>
      <c r="JS332" s="17">
        <f t="shared" si="225"/>
        <v>0.97830802603036882</v>
      </c>
      <c r="JT332" s="18">
        <f t="shared" si="226"/>
        <v>0.50824742268041234</v>
      </c>
      <c r="JU332" s="280">
        <f t="shared" si="227"/>
        <v>2255</v>
      </c>
      <c r="JV332" s="280">
        <f t="shared" si="228"/>
        <v>4930</v>
      </c>
      <c r="JW332" s="319" t="str">
        <f t="shared" si="229"/>
        <v/>
      </c>
      <c r="JX332" s="15">
        <f t="shared" si="230"/>
        <v>0</v>
      </c>
      <c r="JY332" s="15">
        <f t="shared" si="231"/>
        <v>0</v>
      </c>
      <c r="JZ332" s="19" t="str">
        <f t="shared" si="232"/>
        <v/>
      </c>
      <c r="KA332" s="52" t="str">
        <f t="shared" si="233"/>
        <v/>
      </c>
      <c r="KB332" s="15">
        <f t="shared" si="234"/>
        <v>0</v>
      </c>
      <c r="KC332" s="15">
        <f t="shared" si="235"/>
        <v>0</v>
      </c>
      <c r="KD332" s="20" t="str">
        <f t="shared" si="236"/>
        <v/>
      </c>
      <c r="KE332" s="52" t="str">
        <f t="shared" si="237"/>
        <v/>
      </c>
      <c r="KF332" s="15">
        <f t="shared" si="238"/>
        <v>0</v>
      </c>
      <c r="KG332" s="15">
        <f t="shared" si="239"/>
        <v>0</v>
      </c>
      <c r="KH332" s="21" t="str">
        <f t="shared" si="240"/>
        <v/>
      </c>
      <c r="KI332" s="52" t="str">
        <f t="shared" si="241"/>
        <v/>
      </c>
      <c r="KJ332" s="15">
        <f t="shared" si="242"/>
        <v>0</v>
      </c>
      <c r="KK332" s="15">
        <f t="shared" si="243"/>
        <v>0</v>
      </c>
      <c r="KL332" s="19" t="str">
        <f t="shared" si="244"/>
        <v/>
      </c>
      <c r="KM332" s="52">
        <f t="shared" si="245"/>
        <v>1</v>
      </c>
      <c r="KN332" s="22">
        <f t="shared" si="246"/>
        <v>205</v>
      </c>
      <c r="KO332" s="22">
        <f t="shared" si="247"/>
        <v>615</v>
      </c>
      <c r="KP332" s="19">
        <f t="shared" si="248"/>
        <v>3</v>
      </c>
      <c r="KQ332" s="11" t="str">
        <f t="shared" si="249"/>
        <v>2. Sensitive</v>
      </c>
      <c r="KR332" s="11" t="str">
        <f t="shared" si="250"/>
        <v>2. Accommodating</v>
      </c>
      <c r="KS332" s="11" t="str">
        <f t="shared" si="251"/>
        <v>2. Sensitive</v>
      </c>
      <c r="KT332" s="11" t="str">
        <f t="shared" si="252"/>
        <v>It did not develop any specific innovation</v>
      </c>
      <c r="KU332" s="11" t="str">
        <f t="shared" si="253"/>
        <v>Little or no advocacy</v>
      </c>
      <c r="KV332" s="11" t="str">
        <f t="shared" si="254"/>
        <v>It did not take tested solutions to scale</v>
      </c>
      <c r="KW332" s="11" t="str">
        <f t="shared" si="255"/>
        <v>Indonesia - Bintang Muda (Young Star)</v>
      </c>
      <c r="KX332" s="11" t="str">
        <f t="shared" si="256"/>
        <v>Bintang Muda (Young Star)</v>
      </c>
      <c r="KY332" s="11" t="str">
        <f t="shared" si="257"/>
        <v>Indonesia</v>
      </c>
      <c r="KZ332" s="12">
        <v>332</v>
      </c>
    </row>
    <row r="333" spans="1:312" x14ac:dyDescent="0.3">
      <c r="A333" s="11" t="s">
        <v>5932</v>
      </c>
      <c r="B333" s="11" t="s">
        <v>306</v>
      </c>
      <c r="D333" s="11" t="s">
        <v>5947</v>
      </c>
      <c r="E333" s="24" t="str">
        <f t="shared" si="215"/>
        <v>Indonesia</v>
      </c>
      <c r="F333" s="11" t="s">
        <v>5948</v>
      </c>
      <c r="G333" s="11" t="s">
        <v>425</v>
      </c>
      <c r="H333" s="11" t="s">
        <v>489</v>
      </c>
      <c r="I333" s="11" t="s">
        <v>384</v>
      </c>
      <c r="J333" s="278" t="s">
        <v>3967</v>
      </c>
      <c r="BD333" s="23">
        <v>41578</v>
      </c>
      <c r="BE333" s="23">
        <v>42460</v>
      </c>
      <c r="BF333" s="23">
        <v>42794</v>
      </c>
      <c r="BG333" s="11" t="s">
        <v>312</v>
      </c>
      <c r="BH333" s="22">
        <v>1045641</v>
      </c>
      <c r="BI333" s="11" t="s">
        <v>5960</v>
      </c>
      <c r="BJ333" s="11" t="s">
        <v>354</v>
      </c>
      <c r="BK333" s="11" t="s">
        <v>5961</v>
      </c>
      <c r="BL333" s="11" t="s">
        <v>5934</v>
      </c>
      <c r="BM333" s="11" t="s">
        <v>5949</v>
      </c>
      <c r="BN333" s="11" t="s">
        <v>5936</v>
      </c>
      <c r="BO333" s="12" t="s">
        <v>319</v>
      </c>
      <c r="BP333" s="12" t="s">
        <v>320</v>
      </c>
      <c r="BQ333" s="12" t="s">
        <v>319</v>
      </c>
      <c r="BR333" s="11" t="s">
        <v>5962</v>
      </c>
      <c r="BS333" s="11" t="s">
        <v>357</v>
      </c>
      <c r="BT333" s="11" t="s">
        <v>5963</v>
      </c>
      <c r="BU333" s="11" t="s">
        <v>5964</v>
      </c>
      <c r="BV333" s="22">
        <v>910</v>
      </c>
      <c r="BW333" s="22">
        <v>910</v>
      </c>
      <c r="BX333" s="22">
        <v>1820</v>
      </c>
      <c r="BY333" s="22">
        <v>3650</v>
      </c>
      <c r="BZ333" s="22">
        <v>3650</v>
      </c>
      <c r="CA333" s="22">
        <v>7300</v>
      </c>
      <c r="CB333" s="15" t="s">
        <v>5965</v>
      </c>
      <c r="CL333" s="18"/>
      <c r="CP333" s="18"/>
      <c r="CT333" s="18"/>
      <c r="CX333" s="18"/>
      <c r="DB333" s="18"/>
      <c r="DF333" s="18"/>
      <c r="DJ333" s="18"/>
      <c r="DN333" s="18"/>
      <c r="DR333" s="18"/>
      <c r="DV333" s="18"/>
      <c r="DZ333" s="18"/>
      <c r="ED333" s="18"/>
      <c r="EI333" s="18"/>
      <c r="EK333" s="22">
        <v>2259</v>
      </c>
      <c r="EL333" s="22">
        <v>1263</v>
      </c>
      <c r="EM333" s="22">
        <v>3522</v>
      </c>
      <c r="EN333" s="22">
        <v>7144</v>
      </c>
      <c r="EO333" s="22">
        <v>7144</v>
      </c>
      <c r="EP333" s="22">
        <v>14288</v>
      </c>
      <c r="EQ333" s="12" t="s">
        <v>320</v>
      </c>
      <c r="ER333" s="22">
        <v>302</v>
      </c>
      <c r="ES333" s="18">
        <v>0.65</v>
      </c>
      <c r="ET333" s="22">
        <v>604</v>
      </c>
      <c r="EU333" s="11" t="s">
        <v>319</v>
      </c>
      <c r="EW333" s="18"/>
      <c r="EY333" s="12" t="s">
        <v>319</v>
      </c>
      <c r="FA333" s="18"/>
      <c r="FC333" s="12" t="s">
        <v>319</v>
      </c>
      <c r="FE333" s="18"/>
      <c r="FG333" s="12" t="s">
        <v>320</v>
      </c>
      <c r="FH333" s="22">
        <v>302</v>
      </c>
      <c r="FI333" s="18">
        <v>0.65</v>
      </c>
      <c r="FJ333" s="22">
        <v>604</v>
      </c>
      <c r="FK333" s="11" t="s">
        <v>319</v>
      </c>
      <c r="FM333" s="18"/>
      <c r="FO333" s="11" t="s">
        <v>319</v>
      </c>
      <c r="FQ333" s="18"/>
      <c r="FS333" s="11" t="s">
        <v>319</v>
      </c>
      <c r="FU333" s="18"/>
      <c r="FW333" s="11" t="s">
        <v>320</v>
      </c>
      <c r="FX333" s="22">
        <v>196</v>
      </c>
      <c r="FY333" s="18">
        <v>1</v>
      </c>
      <c r="FZ333" s="22">
        <v>784</v>
      </c>
      <c r="GA333" s="11" t="s">
        <v>319</v>
      </c>
      <c r="GC333" s="18"/>
      <c r="GE333" s="11" t="s">
        <v>319</v>
      </c>
      <c r="GG333" s="18"/>
      <c r="GI333" s="11" t="s">
        <v>319</v>
      </c>
      <c r="GK333" s="18"/>
      <c r="GM333" s="11" t="s">
        <v>319</v>
      </c>
      <c r="GO333" s="18"/>
      <c r="GQ333" s="11" t="s">
        <v>319</v>
      </c>
      <c r="GS333" s="18"/>
      <c r="GU333" s="11" t="s">
        <v>319</v>
      </c>
      <c r="GW333" s="18"/>
      <c r="GY333" s="11" t="s">
        <v>320</v>
      </c>
      <c r="GZ333" s="22">
        <v>50</v>
      </c>
      <c r="HA333" s="18">
        <v>1</v>
      </c>
      <c r="HB333" s="22">
        <v>200</v>
      </c>
      <c r="HF333" s="18"/>
      <c r="HH333" s="11" t="s">
        <v>320</v>
      </c>
      <c r="HI333" s="11" t="s">
        <v>451</v>
      </c>
      <c r="HJ333" s="11">
        <v>2017</v>
      </c>
      <c r="HK333" s="11" t="s">
        <v>320</v>
      </c>
      <c r="HL333" s="11" t="s">
        <v>320</v>
      </c>
      <c r="HM333" s="11" t="s">
        <v>544</v>
      </c>
      <c r="HN333" s="11">
        <v>2018</v>
      </c>
      <c r="HP333" s="11" t="s">
        <v>418</v>
      </c>
      <c r="HS333" s="11" t="s">
        <v>320</v>
      </c>
      <c r="HT333" s="11" t="s">
        <v>320</v>
      </c>
      <c r="HW333" s="11" t="s">
        <v>320</v>
      </c>
      <c r="HZ333" s="11" t="s">
        <v>331</v>
      </c>
      <c r="IA333" s="11" t="s">
        <v>5966</v>
      </c>
      <c r="IB333" s="11" t="s">
        <v>396</v>
      </c>
      <c r="IC333" s="11" t="s">
        <v>5967</v>
      </c>
      <c r="ID333" s="11" t="s">
        <v>364</v>
      </c>
      <c r="IE333" s="11" t="s">
        <v>335</v>
      </c>
      <c r="IF333" s="11" t="s">
        <v>320</v>
      </c>
      <c r="IG333" s="11" t="s">
        <v>320</v>
      </c>
      <c r="IH333" s="11" t="s">
        <v>320</v>
      </c>
      <c r="II333" s="11" t="s">
        <v>320</v>
      </c>
      <c r="IJ333" s="12" t="str">
        <f t="shared" si="216"/>
        <v>2. Sensitive</v>
      </c>
      <c r="IK333" s="12">
        <f t="shared" si="217"/>
        <v>4</v>
      </c>
      <c r="IL333" s="11" t="s">
        <v>336</v>
      </c>
      <c r="IM333" s="11" t="s">
        <v>320</v>
      </c>
      <c r="IN333" s="11" t="s">
        <v>320</v>
      </c>
      <c r="IO333" s="11" t="s">
        <v>320</v>
      </c>
      <c r="IP333" s="11" t="s">
        <v>320</v>
      </c>
      <c r="IQ333" s="12" t="str">
        <f t="shared" si="218"/>
        <v>2. Accommodating</v>
      </c>
      <c r="IR333" s="12">
        <f t="shared" si="219"/>
        <v>4</v>
      </c>
      <c r="IS333" s="11" t="s">
        <v>337</v>
      </c>
      <c r="IT333" s="11" t="s">
        <v>320</v>
      </c>
      <c r="IU333" s="11" t="s">
        <v>320</v>
      </c>
      <c r="IV333" s="11" t="s">
        <v>320</v>
      </c>
      <c r="IW333" s="11" t="str">
        <f t="shared" si="220"/>
        <v>2. Sensitive</v>
      </c>
      <c r="IX333" s="12">
        <f t="shared" si="221"/>
        <v>3</v>
      </c>
      <c r="IY333" s="11" t="s">
        <v>758</v>
      </c>
      <c r="IZ333" s="11" t="s">
        <v>457</v>
      </c>
      <c r="JA333" s="11">
        <v>3</v>
      </c>
      <c r="JB333" s="12" t="s">
        <v>651</v>
      </c>
      <c r="JC333" s="11" t="s">
        <v>433</v>
      </c>
      <c r="JD333" s="11" t="s">
        <v>831</v>
      </c>
      <c r="JE333" s="11" t="s">
        <v>340</v>
      </c>
      <c r="JF333" s="11" t="s">
        <v>5956</v>
      </c>
      <c r="JG333" s="11" t="s">
        <v>5968</v>
      </c>
      <c r="JH333" s="11" t="s">
        <v>5969</v>
      </c>
      <c r="JI333" s="11" t="s">
        <v>5968</v>
      </c>
      <c r="JJ333" s="11" t="s">
        <v>5970</v>
      </c>
      <c r="JK333" s="11" t="s">
        <v>5971</v>
      </c>
      <c r="JL333" s="11" t="s">
        <v>5972</v>
      </c>
      <c r="JP333" s="15">
        <f t="shared" si="222"/>
        <v>3522</v>
      </c>
      <c r="JQ333" s="15">
        <f t="shared" si="223"/>
        <v>14288</v>
      </c>
      <c r="JR333" s="279">
        <f t="shared" si="224"/>
        <v>4.0567859170925606</v>
      </c>
      <c r="JS333" s="17">
        <f t="shared" si="225"/>
        <v>0.641396933560477</v>
      </c>
      <c r="JT333" s="18">
        <f t="shared" si="226"/>
        <v>0.5</v>
      </c>
      <c r="JU333" s="280">
        <f t="shared" si="227"/>
        <v>2259</v>
      </c>
      <c r="JV333" s="280">
        <f t="shared" si="228"/>
        <v>7144</v>
      </c>
      <c r="JW333" s="319" t="str">
        <f t="shared" si="229"/>
        <v/>
      </c>
      <c r="JX333" s="15">
        <f t="shared" si="230"/>
        <v>0</v>
      </c>
      <c r="JY333" s="15">
        <f t="shared" si="231"/>
        <v>0</v>
      </c>
      <c r="JZ333" s="19" t="str">
        <f t="shared" si="232"/>
        <v/>
      </c>
      <c r="KA333" s="52">
        <f t="shared" si="233"/>
        <v>1</v>
      </c>
      <c r="KB333" s="15">
        <f t="shared" si="234"/>
        <v>302</v>
      </c>
      <c r="KC333" s="15">
        <f t="shared" si="235"/>
        <v>604</v>
      </c>
      <c r="KD333" s="20">
        <f t="shared" si="236"/>
        <v>2</v>
      </c>
      <c r="KE333" s="52" t="str">
        <f t="shared" si="237"/>
        <v/>
      </c>
      <c r="KF333" s="15">
        <f t="shared" si="238"/>
        <v>0</v>
      </c>
      <c r="KG333" s="15">
        <f t="shared" si="239"/>
        <v>0</v>
      </c>
      <c r="KH333" s="21" t="str">
        <f t="shared" si="240"/>
        <v/>
      </c>
      <c r="KI333" s="52" t="str">
        <f t="shared" si="241"/>
        <v/>
      </c>
      <c r="KJ333" s="15">
        <f t="shared" si="242"/>
        <v>0</v>
      </c>
      <c r="KK333" s="15">
        <f t="shared" si="243"/>
        <v>0</v>
      </c>
      <c r="KL333" s="19" t="str">
        <f t="shared" si="244"/>
        <v/>
      </c>
      <c r="KM333" s="52">
        <f t="shared" si="245"/>
        <v>1</v>
      </c>
      <c r="KN333" s="22">
        <f t="shared" si="246"/>
        <v>196.3</v>
      </c>
      <c r="KO333" s="22">
        <f t="shared" si="247"/>
        <v>392.6</v>
      </c>
      <c r="KP333" s="19">
        <f t="shared" si="248"/>
        <v>2</v>
      </c>
      <c r="KQ333" s="11" t="str">
        <f t="shared" si="249"/>
        <v>2. Sensitive</v>
      </c>
      <c r="KR333" s="11" t="str">
        <f t="shared" si="250"/>
        <v>2. Accommodating</v>
      </c>
      <c r="KS333" s="11" t="str">
        <f t="shared" si="251"/>
        <v>2. Sensitive</v>
      </c>
      <c r="KT333" s="11" t="str">
        <f t="shared" si="252"/>
        <v>It tested new ways for fighting poverty and measured results of innovation</v>
      </c>
      <c r="KU333" s="11" t="str">
        <f t="shared" si="253"/>
        <v>Little or no advocacy</v>
      </c>
      <c r="KV333" s="11" t="str">
        <f t="shared" si="254"/>
        <v>It linked and worked with strategic alliances and partners to take tested and effective solutions to scale</v>
      </c>
      <c r="KW333" s="11" t="str">
        <f t="shared" si="255"/>
        <v>Indonesia - Bintang Muda (Young Star)</v>
      </c>
      <c r="KX333" s="11" t="str">
        <f t="shared" si="256"/>
        <v>Bintang Muda (Young Star)</v>
      </c>
      <c r="KY333" s="11" t="str">
        <f t="shared" si="257"/>
        <v>Indonesia</v>
      </c>
      <c r="KZ333" s="12">
        <v>333</v>
      </c>
    </row>
    <row r="334" spans="1:312" x14ac:dyDescent="0.3">
      <c r="A334" s="11" t="s">
        <v>5932</v>
      </c>
      <c r="B334" s="11" t="s">
        <v>306</v>
      </c>
      <c r="C334" s="11">
        <v>565</v>
      </c>
      <c r="D334" s="11" t="s">
        <v>4866</v>
      </c>
      <c r="E334" s="24" t="str">
        <f t="shared" si="215"/>
        <v>Indonesia</v>
      </c>
      <c r="F334" s="11" t="s">
        <v>5973</v>
      </c>
      <c r="G334" s="11" t="s">
        <v>425</v>
      </c>
      <c r="H334" s="11" t="s">
        <v>310</v>
      </c>
      <c r="I334" s="11" t="s">
        <v>426</v>
      </c>
      <c r="J334" s="278" t="s">
        <v>14675</v>
      </c>
      <c r="BD334" s="23">
        <v>42379</v>
      </c>
      <c r="BE334" s="23">
        <v>44196</v>
      </c>
      <c r="BG334" s="11" t="s">
        <v>749</v>
      </c>
      <c r="BH334" s="22">
        <v>378770</v>
      </c>
      <c r="BI334" s="11" t="s">
        <v>5974</v>
      </c>
      <c r="BJ334" s="11" t="s">
        <v>444</v>
      </c>
      <c r="BK334" s="11" t="s">
        <v>5975</v>
      </c>
      <c r="BO334" s="12" t="s">
        <v>319</v>
      </c>
      <c r="BP334" s="12" t="s">
        <v>320</v>
      </c>
      <c r="BQ334" s="12" t="s">
        <v>319</v>
      </c>
      <c r="BR334" s="11" t="s">
        <v>5976</v>
      </c>
      <c r="BS334" s="11" t="s">
        <v>322</v>
      </c>
      <c r="BT334" s="11" t="s">
        <v>5977</v>
      </c>
      <c r="BU334" s="11" t="s">
        <v>5978</v>
      </c>
      <c r="BV334" s="22">
        <v>20567</v>
      </c>
      <c r="BW334" s="22">
        <v>22383</v>
      </c>
      <c r="BX334" s="22">
        <v>42950</v>
      </c>
      <c r="BY334" s="22">
        <v>78053</v>
      </c>
      <c r="BZ334" s="22">
        <v>182123</v>
      </c>
      <c r="CA334" s="22">
        <v>260176</v>
      </c>
      <c r="CB334" s="15" t="s">
        <v>5979</v>
      </c>
      <c r="CL334" s="18"/>
      <c r="CP334" s="18"/>
      <c r="CT334" s="18"/>
      <c r="CX334" s="18"/>
      <c r="DB334" s="18"/>
      <c r="DF334" s="18"/>
      <c r="DJ334" s="18"/>
      <c r="DN334" s="18"/>
      <c r="DR334" s="18"/>
      <c r="DV334" s="18"/>
      <c r="DZ334" s="18"/>
      <c r="ED334" s="18"/>
      <c r="EI334" s="18"/>
      <c r="EK334" s="22">
        <v>345</v>
      </c>
      <c r="EL334" s="22">
        <v>711</v>
      </c>
      <c r="EM334" s="22">
        <v>1056</v>
      </c>
      <c r="EN334" s="22">
        <v>3367</v>
      </c>
      <c r="EO334" s="22">
        <v>6789</v>
      </c>
      <c r="EP334" s="22">
        <v>10156</v>
      </c>
      <c r="EQ334" s="12" t="s">
        <v>320</v>
      </c>
      <c r="ER334" s="22">
        <v>65</v>
      </c>
      <c r="ES334" s="18">
        <v>0.23</v>
      </c>
      <c r="ET334" s="22">
        <v>130</v>
      </c>
      <c r="EU334" s="11" t="s">
        <v>320</v>
      </c>
      <c r="EV334" s="22">
        <v>409</v>
      </c>
      <c r="EW334" s="18">
        <v>0.28999999999999998</v>
      </c>
      <c r="EX334" s="22">
        <v>1227</v>
      </c>
      <c r="EY334" s="12" t="s">
        <v>319</v>
      </c>
      <c r="FA334" s="18"/>
      <c r="FC334" s="12" t="s">
        <v>320</v>
      </c>
      <c r="FD334" s="22">
        <v>21</v>
      </c>
      <c r="FE334" s="18">
        <v>0.1</v>
      </c>
      <c r="FF334" s="22">
        <v>63</v>
      </c>
      <c r="FG334" s="12" t="s">
        <v>319</v>
      </c>
      <c r="FI334" s="18"/>
      <c r="FK334" s="11" t="s">
        <v>319</v>
      </c>
      <c r="FM334" s="18"/>
      <c r="FO334" s="12" t="s">
        <v>320</v>
      </c>
      <c r="FP334" s="22">
        <v>65</v>
      </c>
      <c r="FQ334" s="18">
        <v>0.23</v>
      </c>
      <c r="FR334" s="22">
        <v>260</v>
      </c>
      <c r="FS334" s="12" t="s">
        <v>320</v>
      </c>
      <c r="FT334" s="22">
        <v>60</v>
      </c>
      <c r="FU334" s="18">
        <v>0.2</v>
      </c>
      <c r="FV334" s="22">
        <v>120</v>
      </c>
      <c r="FW334" s="11" t="s">
        <v>320</v>
      </c>
      <c r="FX334" s="22">
        <v>117</v>
      </c>
      <c r="FY334" s="18">
        <v>0.61</v>
      </c>
      <c r="FZ334" s="22">
        <v>468</v>
      </c>
      <c r="GA334" s="11" t="s">
        <v>319</v>
      </c>
      <c r="GC334" s="18"/>
      <c r="GE334" s="11" t="s">
        <v>319</v>
      </c>
      <c r="GG334" s="18"/>
      <c r="GI334" s="11" t="s">
        <v>320</v>
      </c>
      <c r="GJ334" s="22">
        <v>12</v>
      </c>
      <c r="GK334" s="18">
        <v>0.42</v>
      </c>
      <c r="GL334" s="22">
        <v>24</v>
      </c>
      <c r="GM334" s="11" t="s">
        <v>320</v>
      </c>
      <c r="GN334" s="22">
        <v>391</v>
      </c>
      <c r="GO334" s="18">
        <v>0.34</v>
      </c>
      <c r="GP334" s="22">
        <v>1564</v>
      </c>
      <c r="GQ334" s="11" t="s">
        <v>319</v>
      </c>
      <c r="GS334" s="18"/>
      <c r="GU334" s="11" t="s">
        <v>319</v>
      </c>
      <c r="GW334" s="18"/>
      <c r="GY334" s="11" t="s">
        <v>319</v>
      </c>
      <c r="HA334" s="18"/>
      <c r="HF334" s="18"/>
      <c r="HH334" s="11" t="s">
        <v>320</v>
      </c>
      <c r="HI334" s="11" t="s">
        <v>451</v>
      </c>
      <c r="HJ334" s="11">
        <v>2017</v>
      </c>
      <c r="HK334" s="11" t="s">
        <v>320</v>
      </c>
      <c r="HL334" s="11" t="s">
        <v>320</v>
      </c>
      <c r="HM334" s="11" t="s">
        <v>416</v>
      </c>
      <c r="HN334" s="11">
        <v>2018</v>
      </c>
      <c r="HP334" s="11" t="s">
        <v>330</v>
      </c>
      <c r="HS334" s="11" t="s">
        <v>320</v>
      </c>
      <c r="HT334" s="11" t="s">
        <v>320</v>
      </c>
      <c r="HU334" s="11" t="s">
        <v>320</v>
      </c>
      <c r="HV334" s="11" t="s">
        <v>320</v>
      </c>
      <c r="HW334" s="11" t="s">
        <v>320</v>
      </c>
      <c r="HX334" s="11" t="s">
        <v>319</v>
      </c>
      <c r="HZ334" s="11" t="s">
        <v>363</v>
      </c>
      <c r="IA334" s="11" t="s">
        <v>5980</v>
      </c>
      <c r="IB334" s="11" t="s">
        <v>396</v>
      </c>
      <c r="IC334" s="11" t="s">
        <v>5981</v>
      </c>
      <c r="ID334" s="11" t="s">
        <v>334</v>
      </c>
      <c r="IE334" s="11" t="s">
        <v>335</v>
      </c>
      <c r="IF334" s="11" t="s">
        <v>320</v>
      </c>
      <c r="IG334" s="11" t="s">
        <v>320</v>
      </c>
      <c r="IH334" s="11" t="s">
        <v>320</v>
      </c>
      <c r="II334" s="11" t="s">
        <v>320</v>
      </c>
      <c r="IJ334" s="12" t="str">
        <f t="shared" si="216"/>
        <v>2. Sensitive</v>
      </c>
      <c r="IK334" s="12">
        <f t="shared" si="217"/>
        <v>4</v>
      </c>
      <c r="IL334" s="11" t="s">
        <v>621</v>
      </c>
      <c r="IM334" s="11" t="s">
        <v>320</v>
      </c>
      <c r="IN334" s="11" t="s">
        <v>320</v>
      </c>
      <c r="IO334" s="11" t="s">
        <v>320</v>
      </c>
      <c r="IP334" s="11" t="s">
        <v>319</v>
      </c>
      <c r="IQ334" s="12" t="str">
        <f t="shared" si="218"/>
        <v>3. Responsive</v>
      </c>
      <c r="IR334" s="12">
        <f t="shared" si="219"/>
        <v>3</v>
      </c>
      <c r="IS334" s="11" t="s">
        <v>622</v>
      </c>
      <c r="IT334" s="11" t="s">
        <v>320</v>
      </c>
      <c r="IU334" s="11" t="s">
        <v>319</v>
      </c>
      <c r="IV334" s="11" t="s">
        <v>320</v>
      </c>
      <c r="IW334" s="11" t="str">
        <f t="shared" si="220"/>
        <v>3. Responsive</v>
      </c>
      <c r="IX334" s="12">
        <f t="shared" si="221"/>
        <v>2</v>
      </c>
      <c r="IY334" s="11" t="s">
        <v>338</v>
      </c>
      <c r="IZ334" s="11" t="s">
        <v>432</v>
      </c>
      <c r="JA334" s="11">
        <v>1</v>
      </c>
      <c r="JB334" s="12" t="s">
        <v>651</v>
      </c>
      <c r="JC334" s="11" t="s">
        <v>623</v>
      </c>
      <c r="JD334" s="11" t="s">
        <v>687</v>
      </c>
      <c r="JE334" s="11" t="s">
        <v>340</v>
      </c>
      <c r="JF334" s="11" t="s">
        <v>5982</v>
      </c>
      <c r="JG334" s="11" t="s">
        <v>5983</v>
      </c>
      <c r="JH334" s="11" t="s">
        <v>5984</v>
      </c>
      <c r="JI334" s="11" t="s">
        <v>5985</v>
      </c>
      <c r="JK334" s="11" t="s">
        <v>5986</v>
      </c>
      <c r="JL334" s="11" t="s">
        <v>5987</v>
      </c>
      <c r="JM334" s="11" t="s">
        <v>5988</v>
      </c>
      <c r="JN334" s="11" t="s">
        <v>5989</v>
      </c>
      <c r="JO334" s="11" t="s">
        <v>5990</v>
      </c>
      <c r="JP334" s="15">
        <f t="shared" si="222"/>
        <v>1056</v>
      </c>
      <c r="JQ334" s="15">
        <f t="shared" si="223"/>
        <v>10156</v>
      </c>
      <c r="JR334" s="279">
        <f t="shared" si="224"/>
        <v>9.6174242424242422</v>
      </c>
      <c r="JS334" s="17">
        <f t="shared" si="225"/>
        <v>0.32670454545454547</v>
      </c>
      <c r="JT334" s="18">
        <f t="shared" si="226"/>
        <v>0.3315281606931863</v>
      </c>
      <c r="JU334" s="280">
        <f t="shared" si="227"/>
        <v>345</v>
      </c>
      <c r="JV334" s="280">
        <f t="shared" si="228"/>
        <v>3367</v>
      </c>
      <c r="JW334" s="319" t="str">
        <f t="shared" si="229"/>
        <v/>
      </c>
      <c r="JX334" s="15">
        <f t="shared" si="230"/>
        <v>0</v>
      </c>
      <c r="JY334" s="15">
        <f t="shared" si="231"/>
        <v>0</v>
      </c>
      <c r="JZ334" s="19" t="str">
        <f t="shared" si="232"/>
        <v/>
      </c>
      <c r="KA334" s="52">
        <f t="shared" si="233"/>
        <v>1</v>
      </c>
      <c r="KB334" s="15">
        <f t="shared" si="234"/>
        <v>409</v>
      </c>
      <c r="KC334" s="15">
        <f t="shared" si="235"/>
        <v>1227</v>
      </c>
      <c r="KD334" s="20">
        <f t="shared" si="236"/>
        <v>3</v>
      </c>
      <c r="KE334" s="52" t="str">
        <f t="shared" si="237"/>
        <v/>
      </c>
      <c r="KF334" s="15">
        <f t="shared" si="238"/>
        <v>0</v>
      </c>
      <c r="KG334" s="15">
        <f t="shared" si="239"/>
        <v>0</v>
      </c>
      <c r="KH334" s="21" t="str">
        <f t="shared" si="240"/>
        <v/>
      </c>
      <c r="KI334" s="52">
        <f t="shared" si="241"/>
        <v>1</v>
      </c>
      <c r="KJ334" s="15">
        <f t="shared" si="242"/>
        <v>60</v>
      </c>
      <c r="KK334" s="15">
        <f t="shared" si="243"/>
        <v>120</v>
      </c>
      <c r="KL334" s="19">
        <f t="shared" si="244"/>
        <v>2</v>
      </c>
      <c r="KM334" s="52" t="str">
        <f t="shared" si="245"/>
        <v/>
      </c>
      <c r="KN334" s="22">
        <f t="shared" si="246"/>
        <v>0</v>
      </c>
      <c r="KO334" s="22">
        <f t="shared" si="247"/>
        <v>0</v>
      </c>
      <c r="KP334" s="19" t="str">
        <f t="shared" si="248"/>
        <v/>
      </c>
      <c r="KQ334" s="11" t="str">
        <f t="shared" si="249"/>
        <v>2. Sensitive</v>
      </c>
      <c r="KR334" s="11" t="str">
        <f t="shared" si="250"/>
        <v>3. Responsive</v>
      </c>
      <c r="KS334" s="11" t="str">
        <f t="shared" si="251"/>
        <v>3. Responsive</v>
      </c>
      <c r="KT334" s="11" t="str">
        <f t="shared" si="252"/>
        <v>It did not develop any specific innovation</v>
      </c>
      <c r="KU334" s="11" t="str">
        <f t="shared" si="253"/>
        <v>Moderate advocacy</v>
      </c>
      <c r="KV334" s="11" t="str">
        <f t="shared" si="254"/>
        <v>It linked and worked with strategic alliances and partners to take tested and effective solutions to scale</v>
      </c>
      <c r="KW334" s="11" t="str">
        <f t="shared" si="255"/>
        <v>Indonesia - Partners for Resilience Strategic Partnership</v>
      </c>
      <c r="KX334" s="11" t="str">
        <f t="shared" si="256"/>
        <v>Partners for Resilience Strategic Partnership</v>
      </c>
      <c r="KY334" s="11" t="str">
        <f t="shared" si="257"/>
        <v>Indonesia</v>
      </c>
      <c r="KZ334" s="12">
        <v>334</v>
      </c>
    </row>
    <row r="335" spans="1:312" x14ac:dyDescent="0.3">
      <c r="A335" s="11" t="s">
        <v>5932</v>
      </c>
      <c r="B335" s="11" t="s">
        <v>306</v>
      </c>
      <c r="D335" s="11" t="s">
        <v>6001</v>
      </c>
      <c r="E335" s="24" t="str">
        <f t="shared" si="215"/>
        <v>Indonesia</v>
      </c>
      <c r="F335" s="11" t="s">
        <v>6002</v>
      </c>
      <c r="G335" s="11" t="s">
        <v>379</v>
      </c>
      <c r="H335" s="11" t="s">
        <v>489</v>
      </c>
      <c r="I335" s="11" t="s">
        <v>384</v>
      </c>
      <c r="J335" s="278" t="s">
        <v>6003</v>
      </c>
      <c r="BD335" s="23">
        <v>42401</v>
      </c>
      <c r="BE335" s="23">
        <v>42766</v>
      </c>
      <c r="BF335" s="23">
        <v>42794</v>
      </c>
      <c r="BG335" s="11" t="s">
        <v>312</v>
      </c>
      <c r="BH335" s="22">
        <v>124440</v>
      </c>
      <c r="BI335" s="11" t="s">
        <v>5934</v>
      </c>
      <c r="BJ335" s="11" t="s">
        <v>5949</v>
      </c>
      <c r="BK335" s="11" t="s">
        <v>5936</v>
      </c>
      <c r="BL335" s="11" t="s">
        <v>6004</v>
      </c>
      <c r="BM335" s="11" t="s">
        <v>1761</v>
      </c>
      <c r="BN335" s="11" t="s">
        <v>6005</v>
      </c>
      <c r="BO335" s="12" t="s">
        <v>319</v>
      </c>
      <c r="BP335" s="12" t="s">
        <v>320</v>
      </c>
      <c r="BQ335" s="12" t="s">
        <v>319</v>
      </c>
      <c r="BR335" s="11" t="s">
        <v>6006</v>
      </c>
      <c r="BS335" s="11" t="s">
        <v>357</v>
      </c>
      <c r="BT335" s="11" t="s">
        <v>6007</v>
      </c>
      <c r="BU335" s="11" t="s">
        <v>6008</v>
      </c>
      <c r="BV335" s="22">
        <v>1320</v>
      </c>
      <c r="BW335" s="22">
        <v>100</v>
      </c>
      <c r="BX335" s="22">
        <v>1420</v>
      </c>
      <c r="BY335" s="22">
        <v>3640</v>
      </c>
      <c r="BZ335" s="22">
        <v>1640</v>
      </c>
      <c r="CA335" s="22">
        <v>5280</v>
      </c>
      <c r="CB335" s="15" t="s">
        <v>5955</v>
      </c>
      <c r="CL335" s="18"/>
      <c r="CP335" s="18"/>
      <c r="CT335" s="18"/>
      <c r="CX335" s="18"/>
      <c r="DB335" s="18"/>
      <c r="DF335" s="18"/>
      <c r="DJ335" s="18"/>
      <c r="DN335" s="18"/>
      <c r="DR335" s="18"/>
      <c r="DV335" s="18"/>
      <c r="DZ335" s="18"/>
      <c r="ED335" s="18"/>
      <c r="EI335" s="18"/>
      <c r="EK335" s="22">
        <v>1626</v>
      </c>
      <c r="EL335" s="22">
        <v>100</v>
      </c>
      <c r="EM335" s="22">
        <v>1726</v>
      </c>
      <c r="EN335" s="22">
        <v>4507</v>
      </c>
      <c r="EO335" s="22">
        <v>1997</v>
      </c>
      <c r="EP335" s="22">
        <v>6504</v>
      </c>
      <c r="EQ335" s="12" t="s">
        <v>319</v>
      </c>
      <c r="ES335" s="18"/>
      <c r="EU335" s="11" t="s">
        <v>319</v>
      </c>
      <c r="EW335" s="18"/>
      <c r="EY335" s="12" t="s">
        <v>319</v>
      </c>
      <c r="FA335" s="18"/>
      <c r="FC335" s="12" t="s">
        <v>319</v>
      </c>
      <c r="FE335" s="18"/>
      <c r="FG335" s="12" t="s">
        <v>319</v>
      </c>
      <c r="FI335" s="18"/>
      <c r="FK335" s="12" t="s">
        <v>320</v>
      </c>
      <c r="FL335" s="22">
        <v>271</v>
      </c>
      <c r="FM335" s="18">
        <v>1</v>
      </c>
      <c r="FN335" s="22">
        <v>542</v>
      </c>
      <c r="FO335" s="11" t="s">
        <v>319</v>
      </c>
      <c r="FQ335" s="18"/>
      <c r="FS335" s="11" t="s">
        <v>319</v>
      </c>
      <c r="FU335" s="18"/>
      <c r="FW335" s="11" t="s">
        <v>320</v>
      </c>
      <c r="FX335" s="22">
        <v>271</v>
      </c>
      <c r="FY335" s="18">
        <v>1</v>
      </c>
      <c r="FZ335" s="22">
        <v>542</v>
      </c>
      <c r="GA335" s="11" t="s">
        <v>319</v>
      </c>
      <c r="GC335" s="18"/>
      <c r="GE335" s="11" t="s">
        <v>319</v>
      </c>
      <c r="GG335" s="18"/>
      <c r="GI335" s="11" t="s">
        <v>319</v>
      </c>
      <c r="GK335" s="18"/>
      <c r="GM335" s="11" t="s">
        <v>319</v>
      </c>
      <c r="GO335" s="18"/>
      <c r="GQ335" s="11" t="s">
        <v>319</v>
      </c>
      <c r="GS335" s="18"/>
      <c r="GU335" s="11" t="s">
        <v>319</v>
      </c>
      <c r="GW335" s="18"/>
      <c r="GY335" s="11" t="s">
        <v>320</v>
      </c>
      <c r="GZ335" s="22">
        <v>54</v>
      </c>
      <c r="HA335" s="18">
        <v>1</v>
      </c>
      <c r="HB335" s="22">
        <v>216</v>
      </c>
      <c r="HF335" s="18"/>
      <c r="HH335" s="11" t="s">
        <v>320</v>
      </c>
      <c r="HI335" s="11" t="s">
        <v>451</v>
      </c>
      <c r="HJ335" s="11">
        <v>2017</v>
      </c>
      <c r="HK335" s="11" t="s">
        <v>320</v>
      </c>
      <c r="HL335" s="11" t="s">
        <v>320</v>
      </c>
      <c r="HM335" s="11" t="s">
        <v>544</v>
      </c>
      <c r="HN335" s="11">
        <v>2018</v>
      </c>
      <c r="HP335" s="11" t="s">
        <v>418</v>
      </c>
      <c r="HS335" s="11" t="s">
        <v>320</v>
      </c>
      <c r="HZ335" s="11" t="s">
        <v>363</v>
      </c>
      <c r="IB335" s="11" t="s">
        <v>333</v>
      </c>
      <c r="ID335" s="11" t="s">
        <v>364</v>
      </c>
      <c r="IE335" s="11" t="s">
        <v>478</v>
      </c>
      <c r="IF335" s="11" t="s">
        <v>320</v>
      </c>
      <c r="IG335" s="11" t="s">
        <v>320</v>
      </c>
      <c r="IH335" s="11" t="s">
        <v>320</v>
      </c>
      <c r="II335" s="11" t="s">
        <v>319</v>
      </c>
      <c r="IJ335" s="12" t="str">
        <f t="shared" si="216"/>
        <v>3. Responsive</v>
      </c>
      <c r="IK335" s="12">
        <f t="shared" si="217"/>
        <v>3</v>
      </c>
      <c r="IL335" s="11" t="s">
        <v>336</v>
      </c>
      <c r="IM335" s="11" t="s">
        <v>320</v>
      </c>
      <c r="IN335" s="11" t="s">
        <v>320</v>
      </c>
      <c r="IO335" s="11" t="s">
        <v>320</v>
      </c>
      <c r="IP335" s="11" t="s">
        <v>320</v>
      </c>
      <c r="IQ335" s="12" t="str">
        <f t="shared" si="218"/>
        <v>2. Accommodating</v>
      </c>
      <c r="IR335" s="12">
        <f t="shared" si="219"/>
        <v>4</v>
      </c>
      <c r="IS335" s="11" t="s">
        <v>337</v>
      </c>
      <c r="IT335" s="11" t="s">
        <v>320</v>
      </c>
      <c r="IU335" s="11" t="s">
        <v>320</v>
      </c>
      <c r="IV335" s="11" t="s">
        <v>319</v>
      </c>
      <c r="IW335" s="11" t="str">
        <f t="shared" si="220"/>
        <v>1. Neutral</v>
      </c>
      <c r="IX335" s="12">
        <f t="shared" si="221"/>
        <v>2</v>
      </c>
      <c r="IY335" s="11" t="s">
        <v>338</v>
      </c>
      <c r="IZ335" s="11" t="s">
        <v>432</v>
      </c>
      <c r="JA335" s="11">
        <v>1</v>
      </c>
      <c r="JB335" s="12" t="s">
        <v>651</v>
      </c>
      <c r="JC335" s="11" t="s">
        <v>433</v>
      </c>
      <c r="JD335" s="11" t="s">
        <v>831</v>
      </c>
      <c r="JE335" s="11" t="s">
        <v>365</v>
      </c>
      <c r="JF335" s="11" t="s">
        <v>5956</v>
      </c>
      <c r="JH335" s="11" t="s">
        <v>6009</v>
      </c>
      <c r="JK335" s="11" t="s">
        <v>5944</v>
      </c>
      <c r="JL335" s="11" t="s">
        <v>5945</v>
      </c>
      <c r="JM335" s="11" t="s">
        <v>5946</v>
      </c>
      <c r="JP335" s="15">
        <f t="shared" si="222"/>
        <v>1726</v>
      </c>
      <c r="JQ335" s="15">
        <f t="shared" si="223"/>
        <v>6504</v>
      </c>
      <c r="JR335" s="279">
        <f t="shared" si="224"/>
        <v>3.7682502896871379</v>
      </c>
      <c r="JS335" s="17">
        <f t="shared" si="225"/>
        <v>0.94206257242178448</v>
      </c>
      <c r="JT335" s="18">
        <f t="shared" si="226"/>
        <v>0.69295817958179584</v>
      </c>
      <c r="JU335" s="280">
        <f t="shared" si="227"/>
        <v>1626</v>
      </c>
      <c r="JV335" s="280">
        <f t="shared" si="228"/>
        <v>4507</v>
      </c>
      <c r="JW335" s="319" t="str">
        <f t="shared" si="229"/>
        <v/>
      </c>
      <c r="JX335" s="15">
        <f t="shared" si="230"/>
        <v>0</v>
      </c>
      <c r="JY335" s="15">
        <f t="shared" si="231"/>
        <v>0</v>
      </c>
      <c r="JZ335" s="19" t="str">
        <f t="shared" si="232"/>
        <v/>
      </c>
      <c r="KA335" s="52" t="str">
        <f t="shared" si="233"/>
        <v/>
      </c>
      <c r="KB335" s="15">
        <f t="shared" si="234"/>
        <v>0</v>
      </c>
      <c r="KC335" s="15">
        <f t="shared" si="235"/>
        <v>0</v>
      </c>
      <c r="KD335" s="20" t="str">
        <f t="shared" si="236"/>
        <v/>
      </c>
      <c r="KE335" s="52" t="str">
        <f t="shared" si="237"/>
        <v/>
      </c>
      <c r="KF335" s="15">
        <f t="shared" si="238"/>
        <v>0</v>
      </c>
      <c r="KG335" s="15">
        <f t="shared" si="239"/>
        <v>0</v>
      </c>
      <c r="KH335" s="21" t="str">
        <f t="shared" si="240"/>
        <v/>
      </c>
      <c r="KI335" s="52" t="str">
        <f t="shared" si="241"/>
        <v/>
      </c>
      <c r="KJ335" s="15">
        <f t="shared" si="242"/>
        <v>0</v>
      </c>
      <c r="KK335" s="15">
        <f t="shared" si="243"/>
        <v>0</v>
      </c>
      <c r="KL335" s="19" t="str">
        <f t="shared" si="244"/>
        <v/>
      </c>
      <c r="KM335" s="52">
        <f t="shared" si="245"/>
        <v>1</v>
      </c>
      <c r="KN335" s="22">
        <f t="shared" si="246"/>
        <v>54</v>
      </c>
      <c r="KO335" s="22">
        <f t="shared" si="247"/>
        <v>216</v>
      </c>
      <c r="KP335" s="19">
        <f t="shared" si="248"/>
        <v>4</v>
      </c>
      <c r="KQ335" s="11" t="str">
        <f t="shared" si="249"/>
        <v>3. Responsive</v>
      </c>
      <c r="KR335" s="11" t="str">
        <f t="shared" si="250"/>
        <v>2. Accommodating</v>
      </c>
      <c r="KS335" s="11" t="str">
        <f t="shared" si="251"/>
        <v>1. Neutral</v>
      </c>
      <c r="KT335" s="11" t="str">
        <f t="shared" si="252"/>
        <v>It did not develop any specific innovation</v>
      </c>
      <c r="KU335" s="11" t="str">
        <f t="shared" si="253"/>
        <v>Little or no advocacy</v>
      </c>
      <c r="KV335" s="11" t="str">
        <f t="shared" si="254"/>
        <v>It did not take tested solutions to scale</v>
      </c>
      <c r="KW335" s="11" t="str">
        <f t="shared" si="255"/>
        <v>Indonesia - Personal Advancement and Carrer Enhancement (PACE)</v>
      </c>
      <c r="KX335" s="11" t="str">
        <f t="shared" si="256"/>
        <v>Personal Advancement and Carrer Enhancement (PACE)</v>
      </c>
      <c r="KY335" s="11" t="str">
        <f t="shared" si="257"/>
        <v>Indonesia</v>
      </c>
      <c r="KZ335" s="12">
        <v>335</v>
      </c>
    </row>
    <row r="336" spans="1:312" x14ac:dyDescent="0.3">
      <c r="A336" s="11" t="s">
        <v>5932</v>
      </c>
      <c r="B336" s="11" t="s">
        <v>306</v>
      </c>
      <c r="D336" s="11" t="s">
        <v>6010</v>
      </c>
      <c r="E336" s="24" t="str">
        <f t="shared" si="215"/>
        <v>Indonesia</v>
      </c>
      <c r="F336" s="11" t="s">
        <v>6002</v>
      </c>
      <c r="G336" s="11" t="s">
        <v>379</v>
      </c>
      <c r="H336" s="11" t="s">
        <v>489</v>
      </c>
      <c r="I336" s="11" t="s">
        <v>384</v>
      </c>
      <c r="J336" s="278" t="s">
        <v>6003</v>
      </c>
      <c r="BD336" s="23">
        <v>42795</v>
      </c>
      <c r="BE336" s="23">
        <v>43159</v>
      </c>
      <c r="BG336" s="11" t="s">
        <v>312</v>
      </c>
      <c r="BH336" s="22">
        <v>94990</v>
      </c>
      <c r="BI336" s="11" t="s">
        <v>5934</v>
      </c>
      <c r="BJ336" s="11" t="s">
        <v>5949</v>
      </c>
      <c r="BK336" s="11" t="s">
        <v>5936</v>
      </c>
      <c r="BL336" s="11" t="s">
        <v>6004</v>
      </c>
      <c r="BM336" s="11" t="s">
        <v>6004</v>
      </c>
      <c r="BN336" s="11" t="s">
        <v>6011</v>
      </c>
      <c r="BO336" s="12" t="s">
        <v>319</v>
      </c>
      <c r="BP336" s="12" t="s">
        <v>320</v>
      </c>
      <c r="BQ336" s="12" t="s">
        <v>319</v>
      </c>
      <c r="BR336" s="11" t="s">
        <v>6006</v>
      </c>
      <c r="BS336" s="11" t="s">
        <v>357</v>
      </c>
      <c r="BT336" s="11" t="s">
        <v>6007</v>
      </c>
      <c r="BU336" s="11" t="s">
        <v>6008</v>
      </c>
      <c r="BV336" s="22">
        <v>2520</v>
      </c>
      <c r="BW336" s="22">
        <v>100</v>
      </c>
      <c r="BX336" s="22">
        <v>2620</v>
      </c>
      <c r="BY336" s="22">
        <v>7040</v>
      </c>
      <c r="BZ336" s="22">
        <v>3040</v>
      </c>
      <c r="CA336" s="22">
        <v>10080</v>
      </c>
      <c r="CB336" s="15" t="s">
        <v>6012</v>
      </c>
      <c r="CL336" s="18"/>
      <c r="CP336" s="18"/>
      <c r="CT336" s="18"/>
      <c r="CX336" s="18"/>
      <c r="DB336" s="18"/>
      <c r="DF336" s="18"/>
      <c r="DJ336" s="18"/>
      <c r="DN336" s="18"/>
      <c r="DR336" s="18"/>
      <c r="DV336" s="18"/>
      <c r="DZ336" s="18"/>
      <c r="ED336" s="18"/>
      <c r="EI336" s="18"/>
      <c r="EK336" s="22">
        <v>1706</v>
      </c>
      <c r="EL336" s="22">
        <v>0</v>
      </c>
      <c r="EM336" s="22">
        <v>1706</v>
      </c>
      <c r="EN336" s="22">
        <v>4817</v>
      </c>
      <c r="EO336" s="22">
        <v>2007</v>
      </c>
      <c r="EP336" s="22">
        <v>6824</v>
      </c>
      <c r="EQ336" s="12" t="s">
        <v>319</v>
      </c>
      <c r="ES336" s="18"/>
      <c r="EU336" s="11" t="s">
        <v>319</v>
      </c>
      <c r="EW336" s="18"/>
      <c r="EY336" s="12" t="s">
        <v>319</v>
      </c>
      <c r="FA336" s="18"/>
      <c r="FC336" s="12" t="s">
        <v>319</v>
      </c>
      <c r="FE336" s="18"/>
      <c r="FG336" s="12" t="s">
        <v>319</v>
      </c>
      <c r="FI336" s="18"/>
      <c r="FK336" s="12" t="s">
        <v>320</v>
      </c>
      <c r="FL336" s="22">
        <v>1706</v>
      </c>
      <c r="FM336" s="18">
        <v>1</v>
      </c>
      <c r="FN336" s="22">
        <v>4817</v>
      </c>
      <c r="FO336" s="11" t="s">
        <v>319</v>
      </c>
      <c r="FQ336" s="18"/>
      <c r="FS336" s="11" t="s">
        <v>319</v>
      </c>
      <c r="FU336" s="18"/>
      <c r="FW336" s="11" t="s">
        <v>320</v>
      </c>
      <c r="FX336" s="22">
        <v>1706</v>
      </c>
      <c r="FY336" s="18">
        <v>1</v>
      </c>
      <c r="FZ336" s="22">
        <v>4817</v>
      </c>
      <c r="GA336" s="11" t="s">
        <v>319</v>
      </c>
      <c r="GC336" s="18"/>
      <c r="GE336" s="11" t="s">
        <v>319</v>
      </c>
      <c r="GG336" s="18"/>
      <c r="GI336" s="11" t="s">
        <v>319</v>
      </c>
      <c r="GK336" s="18"/>
      <c r="GM336" s="11" t="s">
        <v>319</v>
      </c>
      <c r="GO336" s="18"/>
      <c r="GQ336" s="11" t="s">
        <v>319</v>
      </c>
      <c r="GS336" s="18"/>
      <c r="GU336" s="11" t="s">
        <v>319</v>
      </c>
      <c r="GW336" s="18"/>
      <c r="GY336" s="11" t="s">
        <v>320</v>
      </c>
      <c r="HA336" s="18"/>
      <c r="HF336" s="18"/>
      <c r="HH336" s="11" t="s">
        <v>320</v>
      </c>
      <c r="HI336" s="11" t="s">
        <v>431</v>
      </c>
      <c r="HJ336" s="11">
        <v>2017</v>
      </c>
      <c r="HK336" s="11" t="s">
        <v>320</v>
      </c>
      <c r="HL336" s="11" t="s">
        <v>320</v>
      </c>
      <c r="HM336" s="11" t="s">
        <v>544</v>
      </c>
      <c r="HN336" s="11">
        <v>2018</v>
      </c>
      <c r="HP336" s="11" t="s">
        <v>418</v>
      </c>
      <c r="HS336" s="11" t="s">
        <v>320</v>
      </c>
      <c r="HZ336" s="11" t="s">
        <v>363</v>
      </c>
      <c r="IB336" s="11" t="s">
        <v>333</v>
      </c>
      <c r="ID336" s="11" t="s">
        <v>364</v>
      </c>
      <c r="IE336" s="11" t="s">
        <v>478</v>
      </c>
      <c r="IF336" s="11" t="s">
        <v>320</v>
      </c>
      <c r="IG336" s="11" t="s">
        <v>320</v>
      </c>
      <c r="IH336" s="11" t="s">
        <v>320</v>
      </c>
      <c r="II336" s="11" t="s">
        <v>319</v>
      </c>
      <c r="IJ336" s="12" t="str">
        <f t="shared" si="216"/>
        <v>3. Responsive</v>
      </c>
      <c r="IK336" s="12">
        <f t="shared" si="217"/>
        <v>3</v>
      </c>
      <c r="IL336" s="11" t="s">
        <v>336</v>
      </c>
      <c r="IM336" s="11" t="s">
        <v>320</v>
      </c>
      <c r="IN336" s="11" t="s">
        <v>320</v>
      </c>
      <c r="IO336" s="11" t="s">
        <v>320</v>
      </c>
      <c r="IP336" s="11" t="s">
        <v>320</v>
      </c>
      <c r="IQ336" s="12" t="str">
        <f t="shared" si="218"/>
        <v>2. Accommodating</v>
      </c>
      <c r="IR336" s="12">
        <f t="shared" si="219"/>
        <v>4</v>
      </c>
      <c r="IS336" s="11" t="s">
        <v>337</v>
      </c>
      <c r="IT336" s="11" t="s">
        <v>320</v>
      </c>
      <c r="IU336" s="11" t="s">
        <v>320</v>
      </c>
      <c r="IV336" s="11" t="s">
        <v>319</v>
      </c>
      <c r="IW336" s="11" t="str">
        <f t="shared" si="220"/>
        <v>1. Neutral</v>
      </c>
      <c r="IX336" s="12">
        <f t="shared" si="221"/>
        <v>2</v>
      </c>
      <c r="IY336" s="11" t="s">
        <v>338</v>
      </c>
      <c r="IZ336" s="11" t="s">
        <v>432</v>
      </c>
      <c r="JA336" s="11">
        <v>1</v>
      </c>
      <c r="JB336" s="12" t="s">
        <v>651</v>
      </c>
      <c r="JC336" s="11" t="s">
        <v>433</v>
      </c>
      <c r="JD336" s="11" t="s">
        <v>831</v>
      </c>
      <c r="JE336" s="11" t="s">
        <v>365</v>
      </c>
      <c r="JF336" s="11" t="s">
        <v>5956</v>
      </c>
      <c r="JH336" s="11" t="s">
        <v>6009</v>
      </c>
      <c r="JK336" s="11" t="s">
        <v>5944</v>
      </c>
      <c r="JL336" s="11" t="s">
        <v>5945</v>
      </c>
      <c r="JM336" s="11" t="s">
        <v>5946</v>
      </c>
      <c r="JP336" s="15">
        <f t="shared" si="222"/>
        <v>1706</v>
      </c>
      <c r="JQ336" s="15">
        <f t="shared" si="223"/>
        <v>6824</v>
      </c>
      <c r="JR336" s="279">
        <f t="shared" si="224"/>
        <v>4</v>
      </c>
      <c r="JS336" s="17">
        <f t="shared" si="225"/>
        <v>1</v>
      </c>
      <c r="JT336" s="18">
        <f t="shared" si="226"/>
        <v>0.7058909730363423</v>
      </c>
      <c r="JU336" s="280">
        <f t="shared" si="227"/>
        <v>1706</v>
      </c>
      <c r="JV336" s="280">
        <f t="shared" si="228"/>
        <v>4817</v>
      </c>
      <c r="JW336" s="319" t="str">
        <f t="shared" si="229"/>
        <v/>
      </c>
      <c r="JX336" s="15">
        <f t="shared" si="230"/>
        <v>0</v>
      </c>
      <c r="JY336" s="15">
        <f t="shared" si="231"/>
        <v>0</v>
      </c>
      <c r="JZ336" s="19" t="str">
        <f t="shared" si="232"/>
        <v/>
      </c>
      <c r="KA336" s="52" t="str">
        <f t="shared" si="233"/>
        <v/>
      </c>
      <c r="KB336" s="15">
        <f t="shared" si="234"/>
        <v>0</v>
      </c>
      <c r="KC336" s="15">
        <f t="shared" si="235"/>
        <v>0</v>
      </c>
      <c r="KD336" s="20" t="str">
        <f t="shared" si="236"/>
        <v/>
      </c>
      <c r="KE336" s="52" t="str">
        <f t="shared" si="237"/>
        <v/>
      </c>
      <c r="KF336" s="15">
        <f t="shared" si="238"/>
        <v>0</v>
      </c>
      <c r="KG336" s="15">
        <f t="shared" si="239"/>
        <v>0</v>
      </c>
      <c r="KH336" s="21" t="str">
        <f t="shared" si="240"/>
        <v/>
      </c>
      <c r="KI336" s="52" t="str">
        <f t="shared" si="241"/>
        <v/>
      </c>
      <c r="KJ336" s="15">
        <f t="shared" si="242"/>
        <v>0</v>
      </c>
      <c r="KK336" s="15">
        <f t="shared" si="243"/>
        <v>0</v>
      </c>
      <c r="KL336" s="19" t="str">
        <f t="shared" si="244"/>
        <v/>
      </c>
      <c r="KM336" s="52">
        <f t="shared" si="245"/>
        <v>1</v>
      </c>
      <c r="KN336" s="22">
        <f t="shared" si="246"/>
        <v>0</v>
      </c>
      <c r="KO336" s="22">
        <f t="shared" si="247"/>
        <v>0</v>
      </c>
      <c r="KP336" s="19" t="str">
        <f t="shared" si="248"/>
        <v/>
      </c>
      <c r="KQ336" s="11" t="str">
        <f t="shared" si="249"/>
        <v>3. Responsive</v>
      </c>
      <c r="KR336" s="11" t="str">
        <f t="shared" si="250"/>
        <v>2. Accommodating</v>
      </c>
      <c r="KS336" s="11" t="str">
        <f t="shared" si="251"/>
        <v>1. Neutral</v>
      </c>
      <c r="KT336" s="11" t="str">
        <f t="shared" si="252"/>
        <v>It did not develop any specific innovation</v>
      </c>
      <c r="KU336" s="11" t="str">
        <f t="shared" si="253"/>
        <v>Little or no advocacy</v>
      </c>
      <c r="KV336" s="11" t="str">
        <f t="shared" si="254"/>
        <v>It did not take tested solutions to scale</v>
      </c>
      <c r="KW336" s="11" t="str">
        <f t="shared" si="255"/>
        <v>Indonesia - Personal Advancement and Carrer Enhancement (PACE) - River Side Community 2</v>
      </c>
      <c r="KX336" s="11" t="str">
        <f t="shared" si="256"/>
        <v>Personal Advancement and Carrer Enhancement (PACE) - River Side Community 2</v>
      </c>
      <c r="KY336" s="11" t="str">
        <f t="shared" si="257"/>
        <v>Indonesia</v>
      </c>
      <c r="KZ336" s="12">
        <v>336</v>
      </c>
    </row>
    <row r="337" spans="1:312" x14ac:dyDescent="0.3">
      <c r="A337" s="11" t="s">
        <v>5932</v>
      </c>
      <c r="B337" s="11" t="s">
        <v>306</v>
      </c>
      <c r="D337" s="11" t="s">
        <v>5991</v>
      </c>
      <c r="E337" s="24" t="str">
        <f t="shared" si="215"/>
        <v>Indonesia</v>
      </c>
      <c r="F337" s="11">
        <v>572</v>
      </c>
      <c r="G337" s="11" t="s">
        <v>488</v>
      </c>
      <c r="H337" s="11" t="s">
        <v>383</v>
      </c>
      <c r="J337" s="278" t="s">
        <v>5992</v>
      </c>
      <c r="K337" s="11">
        <v>562</v>
      </c>
      <c r="L337" s="11" t="s">
        <v>379</v>
      </c>
      <c r="M337" s="11" t="s">
        <v>383</v>
      </c>
      <c r="O337" s="278" t="s">
        <v>10266</v>
      </c>
      <c r="P337" s="11">
        <v>559</v>
      </c>
      <c r="Q337" s="11" t="s">
        <v>309</v>
      </c>
      <c r="R337" s="11" t="s">
        <v>310</v>
      </c>
      <c r="S337" s="11" t="s">
        <v>311</v>
      </c>
      <c r="T337" s="281" t="s">
        <v>14565</v>
      </c>
      <c r="BD337" s="23">
        <v>42712</v>
      </c>
      <c r="BE337" s="23">
        <v>42855</v>
      </c>
      <c r="BG337" s="11" t="s">
        <v>817</v>
      </c>
      <c r="BH337" s="22">
        <v>20000</v>
      </c>
      <c r="BI337" s="11" t="s">
        <v>5993</v>
      </c>
      <c r="BO337" s="11" t="s">
        <v>320</v>
      </c>
      <c r="BP337" s="11" t="s">
        <v>319</v>
      </c>
      <c r="BQ337" s="11" t="s">
        <v>319</v>
      </c>
      <c r="BR337" s="11" t="s">
        <v>5994</v>
      </c>
      <c r="BS337" s="11" t="s">
        <v>357</v>
      </c>
      <c r="BT337" s="11" t="s">
        <v>5995</v>
      </c>
      <c r="BU337" s="11" t="s">
        <v>5996</v>
      </c>
      <c r="BV337" s="22">
        <v>500</v>
      </c>
      <c r="BW337" s="22">
        <v>0</v>
      </c>
      <c r="BX337" s="22">
        <v>500</v>
      </c>
      <c r="BY337" s="22">
        <v>500</v>
      </c>
      <c r="BZ337" s="22">
        <v>1000</v>
      </c>
      <c r="CA337" s="22">
        <v>1500</v>
      </c>
      <c r="CB337" s="15" t="s">
        <v>5997</v>
      </c>
      <c r="CD337" s="22">
        <v>500</v>
      </c>
      <c r="CE337" s="22">
        <v>0</v>
      </c>
      <c r="CF337" s="22">
        <v>500</v>
      </c>
      <c r="CG337" s="22">
        <v>500</v>
      </c>
      <c r="CH337" s="22">
        <v>1000</v>
      </c>
      <c r="CI337" s="22">
        <v>1500</v>
      </c>
      <c r="CL337" s="18"/>
      <c r="CP337" s="18"/>
      <c r="CT337" s="18"/>
      <c r="CX337" s="18"/>
      <c r="DB337" s="18"/>
      <c r="DF337" s="18"/>
      <c r="DJ337" s="18"/>
      <c r="DN337" s="18"/>
      <c r="DR337" s="18"/>
      <c r="DV337" s="18"/>
      <c r="DZ337" s="18"/>
      <c r="EB337" s="11" t="s">
        <v>320</v>
      </c>
      <c r="EC337" s="22">
        <v>500</v>
      </c>
      <c r="ED337" s="18">
        <v>1</v>
      </c>
      <c r="EE337" s="22">
        <v>1500</v>
      </c>
      <c r="EI337" s="18"/>
      <c r="EQ337" s="12" t="s">
        <v>319</v>
      </c>
      <c r="ES337" s="18"/>
      <c r="EU337" s="11" t="s">
        <v>319</v>
      </c>
      <c r="EW337" s="18"/>
      <c r="EY337" s="12" t="s">
        <v>319</v>
      </c>
      <c r="FA337" s="18"/>
      <c r="FC337" s="12" t="s">
        <v>319</v>
      </c>
      <c r="FE337" s="18"/>
      <c r="FG337" s="12" t="s">
        <v>319</v>
      </c>
      <c r="FI337" s="18"/>
      <c r="FK337" s="11" t="s">
        <v>319</v>
      </c>
      <c r="FM337" s="18"/>
      <c r="FO337" s="11" t="s">
        <v>319</v>
      </c>
      <c r="FQ337" s="18"/>
      <c r="FS337" s="11" t="s">
        <v>319</v>
      </c>
      <c r="FU337" s="18"/>
      <c r="FW337" s="11" t="s">
        <v>319</v>
      </c>
      <c r="FY337" s="18"/>
      <c r="GA337" s="11" t="s">
        <v>319</v>
      </c>
      <c r="GC337" s="18"/>
      <c r="GE337" s="11" t="s">
        <v>319</v>
      </c>
      <c r="GG337" s="18"/>
      <c r="GI337" s="11" t="s">
        <v>319</v>
      </c>
      <c r="GK337" s="18"/>
      <c r="GM337" s="11" t="s">
        <v>319</v>
      </c>
      <c r="GO337" s="18"/>
      <c r="GQ337" s="11" t="s">
        <v>319</v>
      </c>
      <c r="GS337" s="18"/>
      <c r="GU337" s="11" t="s">
        <v>319</v>
      </c>
      <c r="GW337" s="18"/>
      <c r="GY337" s="11" t="s">
        <v>319</v>
      </c>
      <c r="HA337" s="18"/>
      <c r="HF337" s="18"/>
      <c r="HH337" s="11" t="s">
        <v>319</v>
      </c>
      <c r="HK337" s="11" t="s">
        <v>319</v>
      </c>
      <c r="HL337" s="11" t="s">
        <v>319</v>
      </c>
      <c r="HP337" s="11" t="s">
        <v>418</v>
      </c>
      <c r="HS337" s="11" t="s">
        <v>320</v>
      </c>
      <c r="HZ337" s="11" t="s">
        <v>363</v>
      </c>
      <c r="IB337" s="11" t="s">
        <v>333</v>
      </c>
      <c r="ID337" s="11" t="s">
        <v>364</v>
      </c>
      <c r="IE337" s="11" t="s">
        <v>335</v>
      </c>
      <c r="IF337" s="11" t="s">
        <v>320</v>
      </c>
      <c r="IG337" s="11" t="s">
        <v>320</v>
      </c>
      <c r="IH337" s="11" t="s">
        <v>320</v>
      </c>
      <c r="II337" s="11" t="s">
        <v>320</v>
      </c>
      <c r="IJ337" s="12" t="str">
        <f t="shared" si="216"/>
        <v>2. Sensitive</v>
      </c>
      <c r="IK337" s="12">
        <f t="shared" si="217"/>
        <v>4</v>
      </c>
      <c r="IL337" s="11" t="s">
        <v>336</v>
      </c>
      <c r="IM337" s="11" t="s">
        <v>320</v>
      </c>
      <c r="IN337" s="11" t="s">
        <v>320</v>
      </c>
      <c r="IO337" s="11" t="s">
        <v>320</v>
      </c>
      <c r="IP337" s="11" t="s">
        <v>319</v>
      </c>
      <c r="IQ337" s="12" t="str">
        <f t="shared" si="218"/>
        <v>2. Accommodating</v>
      </c>
      <c r="IR337" s="12">
        <f t="shared" si="219"/>
        <v>3</v>
      </c>
      <c r="IS337" s="11" t="s">
        <v>337</v>
      </c>
      <c r="IT337" s="11" t="s">
        <v>320</v>
      </c>
      <c r="IU337" s="11" t="s">
        <v>320</v>
      </c>
      <c r="IV337" s="11" t="s">
        <v>320</v>
      </c>
      <c r="IW337" s="11" t="str">
        <f t="shared" si="220"/>
        <v>2. Sensitive</v>
      </c>
      <c r="IX337" s="12">
        <f t="shared" si="221"/>
        <v>3</v>
      </c>
      <c r="IY337" s="11" t="s">
        <v>338</v>
      </c>
      <c r="IZ337" s="11" t="s">
        <v>527</v>
      </c>
      <c r="JA337" s="11">
        <v>1</v>
      </c>
      <c r="JB337" s="11" t="s">
        <v>433</v>
      </c>
      <c r="JE337" s="11" t="s">
        <v>365</v>
      </c>
      <c r="JF337" s="11" t="s">
        <v>5956</v>
      </c>
      <c r="JH337" s="11" t="s">
        <v>5998</v>
      </c>
      <c r="JK337" s="11" t="s">
        <v>5999</v>
      </c>
      <c r="JN337" s="11" t="s">
        <v>6000</v>
      </c>
      <c r="JP337" s="15">
        <f t="shared" si="222"/>
        <v>500</v>
      </c>
      <c r="JQ337" s="15">
        <f t="shared" si="223"/>
        <v>1500</v>
      </c>
      <c r="JR337" s="279">
        <f t="shared" si="224"/>
        <v>3</v>
      </c>
      <c r="JS337" s="17">
        <f t="shared" si="225"/>
        <v>1</v>
      </c>
      <c r="JT337" s="18">
        <f t="shared" si="226"/>
        <v>0.33333333333333331</v>
      </c>
      <c r="JU337" s="280">
        <f t="shared" si="227"/>
        <v>500</v>
      </c>
      <c r="JV337" s="280">
        <f t="shared" si="228"/>
        <v>500</v>
      </c>
      <c r="JW337" s="319">
        <f t="shared" si="229"/>
        <v>1</v>
      </c>
      <c r="JX337" s="15">
        <f t="shared" si="230"/>
        <v>500</v>
      </c>
      <c r="JY337" s="15">
        <f t="shared" si="231"/>
        <v>1500</v>
      </c>
      <c r="JZ337" s="19">
        <f t="shared" si="232"/>
        <v>3</v>
      </c>
      <c r="KA337" s="52" t="str">
        <f t="shared" si="233"/>
        <v/>
      </c>
      <c r="KB337" s="15">
        <f t="shared" si="234"/>
        <v>0</v>
      </c>
      <c r="KC337" s="15">
        <f t="shared" si="235"/>
        <v>0</v>
      </c>
      <c r="KD337" s="20" t="str">
        <f t="shared" si="236"/>
        <v/>
      </c>
      <c r="KE337" s="52" t="str">
        <f t="shared" si="237"/>
        <v/>
      </c>
      <c r="KF337" s="15">
        <f t="shared" si="238"/>
        <v>0</v>
      </c>
      <c r="KG337" s="15">
        <f t="shared" si="239"/>
        <v>0</v>
      </c>
      <c r="KH337" s="21" t="str">
        <f t="shared" si="240"/>
        <v/>
      </c>
      <c r="KI337" s="52" t="str">
        <f t="shared" si="241"/>
        <v/>
      </c>
      <c r="KJ337" s="15">
        <f t="shared" si="242"/>
        <v>0</v>
      </c>
      <c r="KK337" s="15">
        <f t="shared" si="243"/>
        <v>0</v>
      </c>
      <c r="KL337" s="19" t="str">
        <f t="shared" si="244"/>
        <v/>
      </c>
      <c r="KM337" s="52" t="str">
        <f t="shared" si="245"/>
        <v/>
      </c>
      <c r="KN337" s="22">
        <f t="shared" si="246"/>
        <v>0</v>
      </c>
      <c r="KO337" s="22">
        <f t="shared" si="247"/>
        <v>0</v>
      </c>
      <c r="KP337" s="19" t="str">
        <f t="shared" si="248"/>
        <v/>
      </c>
      <c r="KQ337" s="11" t="str">
        <f t="shared" si="249"/>
        <v>2. Sensitive</v>
      </c>
      <c r="KR337" s="11" t="str">
        <f t="shared" si="250"/>
        <v>2. Accommodating</v>
      </c>
      <c r="KS337" s="11" t="str">
        <f t="shared" si="251"/>
        <v>2. Sensitive</v>
      </c>
      <c r="KT337" s="11" t="str">
        <f t="shared" si="252"/>
        <v>It did not develop any specific innovation</v>
      </c>
      <c r="KU337" s="11" t="str">
        <f t="shared" si="253"/>
        <v>Little or no advocacy</v>
      </c>
      <c r="KV337" s="11" t="str">
        <f t="shared" si="254"/>
        <v>It did not take tested solutions to scale</v>
      </c>
      <c r="KW337" s="11" t="str">
        <f t="shared" si="255"/>
        <v>Indonesia - Pidie Jaya Aceh Response (PiJAR)</v>
      </c>
      <c r="KX337" s="11" t="str">
        <f t="shared" si="256"/>
        <v>Pidie Jaya Aceh Response (PiJAR)</v>
      </c>
      <c r="KY337" s="11" t="str">
        <f t="shared" si="257"/>
        <v>Indonesia</v>
      </c>
      <c r="KZ337" s="12">
        <v>337</v>
      </c>
    </row>
    <row r="338" spans="1:312" x14ac:dyDescent="0.3">
      <c r="A338" s="282" t="s">
        <v>5932</v>
      </c>
      <c r="B338" s="282" t="s">
        <v>306</v>
      </c>
      <c r="C338" s="282"/>
      <c r="D338" s="282" t="s">
        <v>6013</v>
      </c>
      <c r="E338" s="24" t="str">
        <f t="shared" si="215"/>
        <v>Indonesia</v>
      </c>
      <c r="F338" s="282" t="s">
        <v>6014</v>
      </c>
      <c r="G338" s="282" t="s">
        <v>379</v>
      </c>
      <c r="H338" s="282" t="s">
        <v>489</v>
      </c>
      <c r="I338" s="282"/>
      <c r="J338" s="278" t="s">
        <v>3781</v>
      </c>
      <c r="K338" s="282"/>
      <c r="L338" s="282"/>
      <c r="M338" s="282"/>
      <c r="N338" s="282"/>
      <c r="O338" s="282"/>
      <c r="P338" s="282"/>
      <c r="Q338" s="282"/>
      <c r="R338" s="282"/>
      <c r="S338" s="282"/>
      <c r="T338" s="282"/>
      <c r="U338" s="282"/>
      <c r="V338" s="282"/>
      <c r="W338" s="282"/>
      <c r="X338" s="282"/>
      <c r="Y338" s="282"/>
      <c r="Z338" s="282"/>
      <c r="AA338" s="282"/>
      <c r="AB338" s="282"/>
      <c r="AC338" s="282"/>
      <c r="AD338" s="282"/>
      <c r="AE338" s="282"/>
      <c r="AF338" s="282"/>
      <c r="AG338" s="282"/>
      <c r="AH338" s="282"/>
      <c r="AI338" s="282"/>
      <c r="AJ338" s="282"/>
      <c r="AK338" s="282"/>
      <c r="AL338" s="282"/>
      <c r="AM338" s="282"/>
      <c r="AN338" s="282"/>
      <c r="AO338" s="282"/>
      <c r="AP338" s="282"/>
      <c r="AQ338" s="282"/>
      <c r="AR338" s="282"/>
      <c r="AS338" s="282"/>
      <c r="AT338" s="282"/>
      <c r="AU338" s="282"/>
      <c r="AV338" s="282"/>
      <c r="AW338" s="282"/>
      <c r="AX338" s="282"/>
      <c r="AY338" s="282"/>
      <c r="AZ338" s="282"/>
      <c r="BA338" s="282"/>
      <c r="BB338" s="282"/>
      <c r="BC338" s="282"/>
      <c r="BD338" s="283">
        <v>42644</v>
      </c>
      <c r="BE338" s="283">
        <v>43464</v>
      </c>
      <c r="BF338" s="283"/>
      <c r="BG338" s="283" t="s">
        <v>749</v>
      </c>
      <c r="BH338" s="284">
        <v>920916</v>
      </c>
      <c r="BI338" s="282" t="s">
        <v>5934</v>
      </c>
      <c r="BJ338" s="282" t="s">
        <v>6015</v>
      </c>
      <c r="BK338" s="282" t="s">
        <v>5936</v>
      </c>
      <c r="BL338" s="282" t="s">
        <v>6016</v>
      </c>
      <c r="BM338" s="282" t="s">
        <v>354</v>
      </c>
      <c r="BN338" s="282" t="s">
        <v>6017</v>
      </c>
      <c r="BO338" s="12" t="s">
        <v>319</v>
      </c>
      <c r="BP338" s="12" t="s">
        <v>320</v>
      </c>
      <c r="BQ338" s="12" t="s">
        <v>319</v>
      </c>
      <c r="BR338" s="282" t="s">
        <v>6018</v>
      </c>
      <c r="BS338" s="282" t="s">
        <v>357</v>
      </c>
      <c r="BT338" s="282" t="s">
        <v>6019</v>
      </c>
      <c r="BU338" s="282" t="s">
        <v>6020</v>
      </c>
      <c r="BV338" s="284">
        <v>4408</v>
      </c>
      <c r="BW338" s="284">
        <v>3404</v>
      </c>
      <c r="BX338" s="284">
        <v>7812</v>
      </c>
      <c r="BY338" s="284">
        <v>12800</v>
      </c>
      <c r="BZ338" s="284">
        <v>12800</v>
      </c>
      <c r="CA338" s="284">
        <v>25600</v>
      </c>
      <c r="CB338" s="285" t="s">
        <v>6021</v>
      </c>
      <c r="CC338" s="285"/>
      <c r="CD338" s="284"/>
      <c r="CE338" s="284"/>
      <c r="CF338" s="284"/>
      <c r="CG338" s="284"/>
      <c r="CH338" s="284"/>
      <c r="CI338" s="284"/>
      <c r="CJ338" s="282"/>
      <c r="CK338" s="284"/>
      <c r="CL338" s="286"/>
      <c r="CM338" s="284"/>
      <c r="CN338" s="287"/>
      <c r="CO338" s="284"/>
      <c r="CP338" s="286"/>
      <c r="CQ338" s="284"/>
      <c r="CR338" s="282"/>
      <c r="CS338" s="284"/>
      <c r="CT338" s="286"/>
      <c r="CU338" s="284"/>
      <c r="CV338" s="289"/>
      <c r="CW338" s="290"/>
      <c r="CX338" s="291"/>
      <c r="CY338" s="290"/>
      <c r="CZ338" s="282"/>
      <c r="DA338" s="284"/>
      <c r="DB338" s="286"/>
      <c r="DC338" s="284"/>
      <c r="DD338" s="287"/>
      <c r="DE338" s="284"/>
      <c r="DF338" s="286"/>
      <c r="DG338" s="284"/>
      <c r="DH338" s="282"/>
      <c r="DI338" s="284"/>
      <c r="DJ338" s="286"/>
      <c r="DK338" s="284"/>
      <c r="DL338" s="282"/>
      <c r="DM338" s="284"/>
      <c r="DN338" s="286"/>
      <c r="DO338" s="284"/>
      <c r="DP338" s="282"/>
      <c r="DQ338" s="284"/>
      <c r="DR338" s="286"/>
      <c r="DS338" s="284"/>
      <c r="DT338" s="282"/>
      <c r="DU338" s="284"/>
      <c r="DV338" s="286"/>
      <c r="DW338" s="284"/>
      <c r="DX338" s="282"/>
      <c r="DY338" s="284"/>
      <c r="DZ338" s="286"/>
      <c r="EA338" s="284"/>
      <c r="EB338" s="282"/>
      <c r="EC338" s="284"/>
      <c r="ED338" s="286"/>
      <c r="EE338" s="284"/>
      <c r="EF338" s="285"/>
      <c r="EG338" s="287"/>
      <c r="EH338" s="284"/>
      <c r="EI338" s="286"/>
      <c r="EJ338" s="284"/>
      <c r="EK338" s="284">
        <v>492</v>
      </c>
      <c r="EL338" s="284">
        <v>266</v>
      </c>
      <c r="EM338" s="284">
        <v>758</v>
      </c>
      <c r="EN338" s="284"/>
      <c r="EO338" s="284"/>
      <c r="EP338" s="284"/>
      <c r="EQ338" s="282" t="s">
        <v>319</v>
      </c>
      <c r="ER338" s="284"/>
      <c r="ES338" s="286"/>
      <c r="ET338" s="284"/>
      <c r="EU338" s="282" t="s">
        <v>319</v>
      </c>
      <c r="EV338" s="284"/>
      <c r="EW338" s="286"/>
      <c r="EX338" s="284"/>
      <c r="EY338" s="282" t="s">
        <v>319</v>
      </c>
      <c r="EZ338" s="284"/>
      <c r="FA338" s="286"/>
      <c r="FB338" s="284"/>
      <c r="FC338" s="282" t="s">
        <v>319</v>
      </c>
      <c r="FD338" s="284"/>
      <c r="FE338" s="286"/>
      <c r="FF338" s="284"/>
      <c r="FG338" s="282" t="s">
        <v>319</v>
      </c>
      <c r="FH338" s="284"/>
      <c r="FI338" s="286"/>
      <c r="FJ338" s="284"/>
      <c r="FK338" s="282" t="s">
        <v>320</v>
      </c>
      <c r="FL338" s="284">
        <v>758</v>
      </c>
      <c r="FM338" s="286">
        <v>0.65</v>
      </c>
      <c r="FN338" s="284"/>
      <c r="FO338" s="305" t="s">
        <v>320</v>
      </c>
      <c r="FP338" s="290">
        <v>758</v>
      </c>
      <c r="FQ338" s="291">
        <v>0.65</v>
      </c>
      <c r="FR338" s="290"/>
      <c r="FS338" s="282" t="s">
        <v>319</v>
      </c>
      <c r="FT338" s="284"/>
      <c r="FU338" s="286"/>
      <c r="FV338" s="284"/>
      <c r="FW338" s="282" t="s">
        <v>320</v>
      </c>
      <c r="FX338" s="284"/>
      <c r="FY338" s="286"/>
      <c r="FZ338" s="284"/>
      <c r="GA338" s="282" t="s">
        <v>320</v>
      </c>
      <c r="GB338" s="284">
        <v>758</v>
      </c>
      <c r="GC338" s="286">
        <v>0.65</v>
      </c>
      <c r="GD338" s="284"/>
      <c r="GE338" s="282" t="s">
        <v>320</v>
      </c>
      <c r="GF338" s="284"/>
      <c r="GG338" s="286"/>
      <c r="GH338" s="284"/>
      <c r="GI338" s="282" t="s">
        <v>319</v>
      </c>
      <c r="GJ338" s="284"/>
      <c r="GK338" s="286"/>
      <c r="GL338" s="284"/>
      <c r="GM338" s="282" t="s">
        <v>320</v>
      </c>
      <c r="GN338" s="284">
        <v>150</v>
      </c>
      <c r="GO338" s="286">
        <v>0.5</v>
      </c>
      <c r="GP338" s="284"/>
      <c r="GQ338" s="282" t="s">
        <v>319</v>
      </c>
      <c r="GR338" s="284"/>
      <c r="GS338" s="286"/>
      <c r="GT338" s="284"/>
      <c r="GU338" s="282" t="s">
        <v>320</v>
      </c>
      <c r="GV338" s="284"/>
      <c r="GW338" s="286"/>
      <c r="GX338" s="284"/>
      <c r="GY338" s="282" t="s">
        <v>319</v>
      </c>
      <c r="GZ338" s="284"/>
      <c r="HA338" s="286"/>
      <c r="HB338" s="284"/>
      <c r="HC338" s="282"/>
      <c r="HD338" s="282"/>
      <c r="HE338" s="284"/>
      <c r="HF338" s="286"/>
      <c r="HG338" s="284"/>
      <c r="HH338" s="282" t="s">
        <v>320</v>
      </c>
      <c r="HI338" s="282" t="s">
        <v>1175</v>
      </c>
      <c r="HJ338" s="282">
        <v>2017</v>
      </c>
      <c r="HK338" s="282" t="s">
        <v>320</v>
      </c>
      <c r="HL338" s="282" t="s">
        <v>319</v>
      </c>
      <c r="HM338" s="282"/>
      <c r="HN338" s="282"/>
      <c r="HO338" s="282"/>
      <c r="HP338" s="282" t="s">
        <v>418</v>
      </c>
      <c r="HQ338" s="282" t="s">
        <v>319</v>
      </c>
      <c r="HR338" s="282" t="s">
        <v>319</v>
      </c>
      <c r="HS338" s="282" t="s">
        <v>320</v>
      </c>
      <c r="HT338" s="282" t="s">
        <v>319</v>
      </c>
      <c r="HU338" s="282" t="s">
        <v>319</v>
      </c>
      <c r="HV338" s="282" t="s">
        <v>319</v>
      </c>
      <c r="HW338" s="282" t="s">
        <v>319</v>
      </c>
      <c r="HX338" s="282" t="s">
        <v>319</v>
      </c>
      <c r="HY338" s="282"/>
      <c r="HZ338" s="282" t="s">
        <v>363</v>
      </c>
      <c r="IA338" s="282"/>
      <c r="IB338" s="282" t="s">
        <v>333</v>
      </c>
      <c r="IC338" s="282"/>
      <c r="ID338" s="282" t="s">
        <v>364</v>
      </c>
      <c r="IE338" s="282" t="s">
        <v>335</v>
      </c>
      <c r="IF338" s="282" t="s">
        <v>320</v>
      </c>
      <c r="IG338" s="282" t="s">
        <v>320</v>
      </c>
      <c r="IH338" s="282" t="s">
        <v>320</v>
      </c>
      <c r="II338" s="282" t="s">
        <v>320</v>
      </c>
      <c r="IJ338" s="12" t="str">
        <f t="shared" si="216"/>
        <v>2. Sensitive</v>
      </c>
      <c r="IK338" s="287">
        <f t="shared" si="217"/>
        <v>4</v>
      </c>
      <c r="IL338" s="282" t="s">
        <v>336</v>
      </c>
      <c r="IM338" s="282" t="s">
        <v>320</v>
      </c>
      <c r="IN338" s="282" t="s">
        <v>320</v>
      </c>
      <c r="IO338" s="282" t="s">
        <v>320</v>
      </c>
      <c r="IP338" s="282" t="s">
        <v>320</v>
      </c>
      <c r="IQ338" s="287" t="str">
        <f t="shared" si="218"/>
        <v>2. Accommodating</v>
      </c>
      <c r="IR338" s="287">
        <f t="shared" si="219"/>
        <v>4</v>
      </c>
      <c r="IS338" s="282" t="s">
        <v>337</v>
      </c>
      <c r="IT338" s="282" t="s">
        <v>320</v>
      </c>
      <c r="IU338" s="282" t="s">
        <v>319</v>
      </c>
      <c r="IV338" s="282" t="s">
        <v>319</v>
      </c>
      <c r="IW338" s="11" t="str">
        <f t="shared" si="220"/>
        <v>1. Neutral</v>
      </c>
      <c r="IX338" s="287">
        <f t="shared" si="221"/>
        <v>1</v>
      </c>
      <c r="IY338" s="282" t="s">
        <v>338</v>
      </c>
      <c r="IZ338" s="282" t="s">
        <v>457</v>
      </c>
      <c r="JA338" s="282">
        <v>4</v>
      </c>
      <c r="JB338" s="282" t="s">
        <v>687</v>
      </c>
      <c r="JC338" s="282" t="s">
        <v>433</v>
      </c>
      <c r="JD338" s="282"/>
      <c r="JE338" s="282" t="s">
        <v>420</v>
      </c>
      <c r="JF338" s="282"/>
      <c r="JG338" s="282"/>
      <c r="JH338" s="282" t="s">
        <v>6009</v>
      </c>
      <c r="JI338" s="282"/>
      <c r="JJ338" s="282"/>
      <c r="JK338" s="282" t="s">
        <v>6022</v>
      </c>
      <c r="JL338" s="282" t="s">
        <v>6023</v>
      </c>
      <c r="JM338" s="282"/>
      <c r="JN338" s="282"/>
      <c r="JO338" s="282"/>
      <c r="JP338" s="15">
        <f t="shared" si="222"/>
        <v>758</v>
      </c>
      <c r="JQ338" s="15">
        <f t="shared" si="223"/>
        <v>0</v>
      </c>
      <c r="JR338" s="279">
        <f t="shared" si="224"/>
        <v>0</v>
      </c>
      <c r="JS338" s="17">
        <f t="shared" si="225"/>
        <v>0.64907651715039583</v>
      </c>
      <c r="JT338" s="18" t="str">
        <f t="shared" si="226"/>
        <v/>
      </c>
      <c r="JU338" s="280">
        <f t="shared" si="227"/>
        <v>492</v>
      </c>
      <c r="JV338" s="280">
        <f t="shared" si="228"/>
        <v>0</v>
      </c>
      <c r="JW338" s="319" t="str">
        <f t="shared" si="229"/>
        <v/>
      </c>
      <c r="JX338" s="15">
        <f t="shared" si="230"/>
        <v>0</v>
      </c>
      <c r="JY338" s="15">
        <f t="shared" si="231"/>
        <v>0</v>
      </c>
      <c r="JZ338" s="19" t="str">
        <f t="shared" si="232"/>
        <v/>
      </c>
      <c r="KA338" s="52">
        <f t="shared" si="233"/>
        <v>1</v>
      </c>
      <c r="KB338" s="15">
        <f t="shared" si="234"/>
        <v>758</v>
      </c>
      <c r="KC338" s="15">
        <f t="shared" si="235"/>
        <v>0</v>
      </c>
      <c r="KD338" s="20">
        <f t="shared" si="236"/>
        <v>0</v>
      </c>
      <c r="KE338" s="52" t="str">
        <f t="shared" si="237"/>
        <v/>
      </c>
      <c r="KF338" s="15">
        <f t="shared" si="238"/>
        <v>0</v>
      </c>
      <c r="KG338" s="15">
        <f t="shared" si="239"/>
        <v>0</v>
      </c>
      <c r="KH338" s="21" t="str">
        <f t="shared" si="240"/>
        <v/>
      </c>
      <c r="KI338" s="52" t="str">
        <f t="shared" si="241"/>
        <v/>
      </c>
      <c r="KJ338" s="15">
        <f t="shared" si="242"/>
        <v>0</v>
      </c>
      <c r="KK338" s="15">
        <f t="shared" si="243"/>
        <v>0</v>
      </c>
      <c r="KL338" s="19" t="str">
        <f t="shared" si="244"/>
        <v/>
      </c>
      <c r="KM338" s="52" t="str">
        <f t="shared" si="245"/>
        <v/>
      </c>
      <c r="KN338" s="22">
        <f t="shared" si="246"/>
        <v>0</v>
      </c>
      <c r="KO338" s="22">
        <f t="shared" si="247"/>
        <v>0</v>
      </c>
      <c r="KP338" s="19" t="str">
        <f t="shared" si="248"/>
        <v/>
      </c>
      <c r="KQ338" s="11" t="str">
        <f t="shared" si="249"/>
        <v>2. Sensitive</v>
      </c>
      <c r="KR338" s="11" t="str">
        <f t="shared" si="250"/>
        <v>2. Accommodating</v>
      </c>
      <c r="KS338" s="11" t="str">
        <f t="shared" si="251"/>
        <v>1. Neutral</v>
      </c>
      <c r="KT338" s="11" t="str">
        <f t="shared" si="252"/>
        <v>It did not develop any specific innovation</v>
      </c>
      <c r="KU338" s="11" t="str">
        <f t="shared" si="253"/>
        <v>Little or no advocacy</v>
      </c>
      <c r="KV338" s="11" t="str">
        <f t="shared" si="254"/>
        <v>It did not take tested solutions to scale</v>
      </c>
      <c r="KW338" s="11" t="str">
        <f t="shared" si="255"/>
        <v>Indonesia - Promoting  a Sustainable and Food Secure World (PROSPER)</v>
      </c>
      <c r="KX338" s="11" t="str">
        <f t="shared" si="256"/>
        <v>Promoting  a Sustainable and Food Secure World (PROSPER)</v>
      </c>
      <c r="KY338" s="11" t="str">
        <f t="shared" si="257"/>
        <v>Indonesia</v>
      </c>
      <c r="KZ338" s="287">
        <v>338</v>
      </c>
    </row>
    <row r="339" spans="1:312" x14ac:dyDescent="0.3">
      <c r="A339" s="11" t="s">
        <v>5932</v>
      </c>
      <c r="B339" s="11" t="s">
        <v>306</v>
      </c>
      <c r="D339" s="11" t="s">
        <v>5933</v>
      </c>
      <c r="E339" s="24" t="str">
        <f t="shared" si="215"/>
        <v>Indonesia</v>
      </c>
      <c r="G339" s="11" t="s">
        <v>714</v>
      </c>
      <c r="H339" s="11" t="s">
        <v>489</v>
      </c>
      <c r="I339" s="11" t="s">
        <v>384</v>
      </c>
      <c r="J339" s="278" t="s">
        <v>3702</v>
      </c>
      <c r="BD339" s="23">
        <v>42461</v>
      </c>
      <c r="BE339" s="23">
        <v>42825</v>
      </c>
      <c r="BF339" s="23">
        <v>42916</v>
      </c>
      <c r="BG339" s="11" t="s">
        <v>350</v>
      </c>
      <c r="BH339" s="22">
        <v>348700</v>
      </c>
      <c r="BI339" s="11" t="s">
        <v>5934</v>
      </c>
      <c r="BJ339" s="11" t="s">
        <v>5935</v>
      </c>
      <c r="BK339" s="11" t="s">
        <v>5936</v>
      </c>
      <c r="BL339" s="11" t="s">
        <v>5937</v>
      </c>
      <c r="BM339" s="11" t="s">
        <v>5938</v>
      </c>
      <c r="BN339" s="11" t="s">
        <v>5939</v>
      </c>
      <c r="BO339" s="12" t="s">
        <v>319</v>
      </c>
      <c r="BP339" s="12" t="s">
        <v>320</v>
      </c>
      <c r="BQ339" s="12" t="s">
        <v>319</v>
      </c>
      <c r="BR339" s="11" t="s">
        <v>5940</v>
      </c>
      <c r="BS339" s="11" t="s">
        <v>357</v>
      </c>
      <c r="BT339" s="11" t="s">
        <v>5941</v>
      </c>
      <c r="BU339" s="11" t="s">
        <v>5942</v>
      </c>
      <c r="BV339" s="22">
        <v>20370</v>
      </c>
      <c r="BW339" s="22">
        <v>13512</v>
      </c>
      <c r="BX339" s="22">
        <v>33882</v>
      </c>
      <c r="BY339" s="22">
        <v>54135</v>
      </c>
      <c r="BZ339" s="22">
        <v>51755</v>
      </c>
      <c r="CA339" s="22">
        <v>105890</v>
      </c>
      <c r="CB339" s="15" t="s">
        <v>5943</v>
      </c>
      <c r="CL339" s="18"/>
      <c r="CP339" s="18"/>
      <c r="CT339" s="18"/>
      <c r="CX339" s="18"/>
      <c r="DB339" s="18"/>
      <c r="DF339" s="18"/>
      <c r="DJ339" s="18"/>
      <c r="DN339" s="18"/>
      <c r="DR339" s="18"/>
      <c r="DV339" s="18"/>
      <c r="DZ339" s="18"/>
      <c r="ED339" s="18"/>
      <c r="EI339" s="18"/>
      <c r="EK339" s="22">
        <v>20370</v>
      </c>
      <c r="EL339" s="22">
        <v>13512</v>
      </c>
      <c r="EM339" s="22">
        <v>33882</v>
      </c>
      <c r="EN339" s="22">
        <v>54135</v>
      </c>
      <c r="EO339" s="22">
        <v>51755</v>
      </c>
      <c r="EP339" s="22">
        <v>105890</v>
      </c>
      <c r="EQ339" s="12" t="s">
        <v>319</v>
      </c>
      <c r="ES339" s="18"/>
      <c r="EU339" s="11" t="s">
        <v>319</v>
      </c>
      <c r="EW339" s="18"/>
      <c r="EY339" s="12" t="s">
        <v>319</v>
      </c>
      <c r="FA339" s="18"/>
      <c r="FC339" s="12" t="s">
        <v>319</v>
      </c>
      <c r="FE339" s="18"/>
      <c r="FG339" s="12" t="s">
        <v>319</v>
      </c>
      <c r="FI339" s="18"/>
      <c r="FK339" s="11" t="s">
        <v>319</v>
      </c>
      <c r="FM339" s="18"/>
      <c r="FO339" s="11" t="s">
        <v>319</v>
      </c>
      <c r="FQ339" s="18"/>
      <c r="FS339" s="11" t="s">
        <v>319</v>
      </c>
      <c r="FU339" s="18"/>
      <c r="FW339" s="11" t="s">
        <v>319</v>
      </c>
      <c r="FY339" s="18"/>
      <c r="GA339" s="11" t="s">
        <v>320</v>
      </c>
      <c r="GB339" s="22">
        <v>33882</v>
      </c>
      <c r="GC339" s="18">
        <v>0.6</v>
      </c>
      <c r="GD339" s="22">
        <v>92596</v>
      </c>
      <c r="GE339" s="11" t="s">
        <v>319</v>
      </c>
      <c r="GG339" s="18"/>
      <c r="GI339" s="11" t="s">
        <v>319</v>
      </c>
      <c r="GK339" s="18"/>
      <c r="GM339" s="11" t="s">
        <v>319</v>
      </c>
      <c r="GO339" s="18"/>
      <c r="GQ339" s="11" t="s">
        <v>319</v>
      </c>
      <c r="GS339" s="18"/>
      <c r="GU339" s="11" t="s">
        <v>319</v>
      </c>
      <c r="GW339" s="18"/>
      <c r="GY339" s="11" t="s">
        <v>320</v>
      </c>
      <c r="GZ339" s="22">
        <v>339</v>
      </c>
      <c r="HA339" s="18">
        <v>0.97</v>
      </c>
      <c r="HB339" s="22">
        <v>12244</v>
      </c>
      <c r="HF339" s="18"/>
      <c r="HH339" s="11" t="s">
        <v>320</v>
      </c>
      <c r="HI339" s="11" t="s">
        <v>451</v>
      </c>
      <c r="HJ339" s="11">
        <v>2016</v>
      </c>
      <c r="HK339" s="11" t="s">
        <v>319</v>
      </c>
      <c r="HL339" s="11" t="s">
        <v>320</v>
      </c>
      <c r="HM339" s="11" t="s">
        <v>451</v>
      </c>
      <c r="HN339" s="11">
        <v>2017</v>
      </c>
      <c r="HP339" s="11" t="s">
        <v>330</v>
      </c>
      <c r="HQ339" s="11" t="s">
        <v>319</v>
      </c>
      <c r="HR339" s="11" t="s">
        <v>319</v>
      </c>
      <c r="HS339" s="11" t="s">
        <v>320</v>
      </c>
      <c r="HT339" s="11" t="s">
        <v>320</v>
      </c>
      <c r="HU339" s="11" t="s">
        <v>319</v>
      </c>
      <c r="HV339" s="11" t="s">
        <v>319</v>
      </c>
      <c r="HW339" s="11" t="s">
        <v>320</v>
      </c>
      <c r="HZ339" s="11" t="s">
        <v>363</v>
      </c>
      <c r="IB339" s="11" t="s">
        <v>333</v>
      </c>
      <c r="ID339" s="11" t="s">
        <v>364</v>
      </c>
      <c r="IE339" s="11" t="s">
        <v>335</v>
      </c>
      <c r="IF339" s="11" t="s">
        <v>320</v>
      </c>
      <c r="IG339" s="11" t="s">
        <v>320</v>
      </c>
      <c r="IH339" s="11" t="s">
        <v>320</v>
      </c>
      <c r="II339" s="11" t="s">
        <v>320</v>
      </c>
      <c r="IJ339" s="12" t="str">
        <f t="shared" si="216"/>
        <v>2. Sensitive</v>
      </c>
      <c r="IK339" s="12">
        <f t="shared" si="217"/>
        <v>4</v>
      </c>
      <c r="IL339" s="11" t="s">
        <v>336</v>
      </c>
      <c r="IM339" s="11" t="s">
        <v>320</v>
      </c>
      <c r="IN339" s="11" t="s">
        <v>320</v>
      </c>
      <c r="IO339" s="11" t="s">
        <v>320</v>
      </c>
      <c r="IP339" s="11" t="s">
        <v>320</v>
      </c>
      <c r="IQ339" s="12" t="str">
        <f t="shared" si="218"/>
        <v>2. Accommodating</v>
      </c>
      <c r="IR339" s="12">
        <f t="shared" si="219"/>
        <v>4</v>
      </c>
      <c r="IS339" s="11" t="s">
        <v>337</v>
      </c>
      <c r="IT339" s="11" t="s">
        <v>319</v>
      </c>
      <c r="IU339" s="11" t="s">
        <v>320</v>
      </c>
      <c r="IV339" s="11" t="s">
        <v>319</v>
      </c>
      <c r="IW339" s="11" t="str">
        <f t="shared" si="220"/>
        <v>1. Neutral</v>
      </c>
      <c r="IX339" s="12">
        <f t="shared" si="221"/>
        <v>1</v>
      </c>
      <c r="IY339" s="11" t="s">
        <v>338</v>
      </c>
      <c r="IZ339" s="11" t="s">
        <v>527</v>
      </c>
      <c r="JA339" s="11">
        <v>1</v>
      </c>
      <c r="JB339" s="11" t="s">
        <v>687</v>
      </c>
      <c r="JC339" s="11" t="s">
        <v>724</v>
      </c>
      <c r="JD339" s="11" t="s">
        <v>384</v>
      </c>
      <c r="JE339" s="11" t="s">
        <v>420</v>
      </c>
      <c r="JK339" s="11" t="s">
        <v>5944</v>
      </c>
      <c r="JL339" s="11" t="s">
        <v>5945</v>
      </c>
      <c r="JM339" s="11" t="s">
        <v>5946</v>
      </c>
      <c r="JP339" s="15">
        <f t="shared" si="222"/>
        <v>33882</v>
      </c>
      <c r="JQ339" s="15">
        <f t="shared" si="223"/>
        <v>105890</v>
      </c>
      <c r="JR339" s="279">
        <f t="shared" si="224"/>
        <v>3.125258249217874</v>
      </c>
      <c r="JS339" s="17">
        <f t="shared" si="225"/>
        <v>0.60120417921020008</v>
      </c>
      <c r="JT339" s="18">
        <f t="shared" si="226"/>
        <v>0.51123807724997639</v>
      </c>
      <c r="JU339" s="280">
        <f t="shared" si="227"/>
        <v>20370</v>
      </c>
      <c r="JV339" s="280">
        <f t="shared" si="228"/>
        <v>54135</v>
      </c>
      <c r="JW339" s="319" t="str">
        <f t="shared" si="229"/>
        <v/>
      </c>
      <c r="JX339" s="15">
        <f t="shared" si="230"/>
        <v>0</v>
      </c>
      <c r="JY339" s="15">
        <f t="shared" si="231"/>
        <v>0</v>
      </c>
      <c r="JZ339" s="19" t="str">
        <f t="shared" si="232"/>
        <v/>
      </c>
      <c r="KA339" s="52" t="str">
        <f t="shared" si="233"/>
        <v/>
      </c>
      <c r="KB339" s="15">
        <f t="shared" si="234"/>
        <v>0</v>
      </c>
      <c r="KC339" s="15">
        <f t="shared" si="235"/>
        <v>0</v>
      </c>
      <c r="KD339" s="20" t="str">
        <f t="shared" si="236"/>
        <v/>
      </c>
      <c r="KE339" s="52" t="str">
        <f t="shared" si="237"/>
        <v/>
      </c>
      <c r="KF339" s="15">
        <f t="shared" si="238"/>
        <v>0</v>
      </c>
      <c r="KG339" s="15">
        <f t="shared" si="239"/>
        <v>0</v>
      </c>
      <c r="KH339" s="21" t="str">
        <f t="shared" si="240"/>
        <v/>
      </c>
      <c r="KI339" s="52" t="str">
        <f t="shared" si="241"/>
        <v/>
      </c>
      <c r="KJ339" s="15">
        <f t="shared" si="242"/>
        <v>0</v>
      </c>
      <c r="KK339" s="15">
        <f t="shared" si="243"/>
        <v>0</v>
      </c>
      <c r="KL339" s="19" t="str">
        <f t="shared" si="244"/>
        <v/>
      </c>
      <c r="KM339" s="52">
        <f t="shared" si="245"/>
        <v>1</v>
      </c>
      <c r="KN339" s="22">
        <f t="shared" si="246"/>
        <v>339</v>
      </c>
      <c r="KO339" s="22">
        <f t="shared" si="247"/>
        <v>12244</v>
      </c>
      <c r="KP339" s="19">
        <f t="shared" si="248"/>
        <v>36.117994100294986</v>
      </c>
      <c r="KQ339" s="11" t="str">
        <f t="shared" si="249"/>
        <v>2. Sensitive</v>
      </c>
      <c r="KR339" s="11" t="str">
        <f t="shared" si="250"/>
        <v>2. Accommodating</v>
      </c>
      <c r="KS339" s="11" t="str">
        <f t="shared" si="251"/>
        <v>1. Neutral</v>
      </c>
      <c r="KT339" s="11" t="str">
        <f t="shared" si="252"/>
        <v>It did not develop any specific innovation</v>
      </c>
      <c r="KU339" s="11" t="str">
        <f t="shared" si="253"/>
        <v>Moderate advocacy</v>
      </c>
      <c r="KV339" s="11" t="str">
        <f t="shared" si="254"/>
        <v>It did not take tested solutions to scale</v>
      </c>
      <c r="KW339" s="11" t="str">
        <f t="shared" si="255"/>
        <v>Indonesia - Warung Anak Sehat</v>
      </c>
      <c r="KX339" s="11" t="str">
        <f t="shared" si="256"/>
        <v>Warung Anak Sehat</v>
      </c>
      <c r="KY339" s="11" t="str">
        <f t="shared" si="257"/>
        <v>Indonesia</v>
      </c>
      <c r="KZ339" s="12">
        <v>339</v>
      </c>
    </row>
    <row r="340" spans="1:312" x14ac:dyDescent="0.3">
      <c r="A340" s="11" t="s">
        <v>6024</v>
      </c>
      <c r="B340" s="11" t="s">
        <v>602</v>
      </c>
      <c r="C340" s="11">
        <v>2429</v>
      </c>
      <c r="D340" s="11" t="s">
        <v>6025</v>
      </c>
      <c r="E340" s="24" t="str">
        <f t="shared" si="215"/>
        <v>Iraq</v>
      </c>
      <c r="F340" s="11" t="s">
        <v>6026</v>
      </c>
      <c r="G340" s="11" t="s">
        <v>1738</v>
      </c>
      <c r="H340" s="11" t="s">
        <v>310</v>
      </c>
      <c r="I340" s="11" t="s">
        <v>2595</v>
      </c>
      <c r="J340" s="278" t="s">
        <v>14604</v>
      </c>
      <c r="BD340" s="23">
        <v>42491</v>
      </c>
      <c r="BE340" s="23">
        <v>43465</v>
      </c>
      <c r="BG340" s="11" t="s">
        <v>947</v>
      </c>
      <c r="BH340" s="22">
        <v>3465500</v>
      </c>
      <c r="BI340" s="11" t="s">
        <v>6027</v>
      </c>
      <c r="BJ340" s="11" t="s">
        <v>6028</v>
      </c>
      <c r="BK340" s="11" t="s">
        <v>6029</v>
      </c>
      <c r="BL340" s="11" t="s">
        <v>6030</v>
      </c>
      <c r="BM340" s="11" t="s">
        <v>6031</v>
      </c>
      <c r="BN340" s="11" t="s">
        <v>6032</v>
      </c>
      <c r="BO340" s="11" t="s">
        <v>320</v>
      </c>
      <c r="BP340" s="11" t="s">
        <v>320</v>
      </c>
      <c r="BQ340" s="11" t="s">
        <v>320</v>
      </c>
      <c r="BR340" s="11" t="s">
        <v>6033</v>
      </c>
      <c r="BS340" s="11" t="s">
        <v>357</v>
      </c>
      <c r="BT340" s="11" t="s">
        <v>6034</v>
      </c>
      <c r="BU340" s="11" t="s">
        <v>6035</v>
      </c>
      <c r="BV340" s="22">
        <v>10750</v>
      </c>
      <c r="BW340" s="22">
        <v>2650</v>
      </c>
      <c r="BX340" s="22">
        <v>13400</v>
      </c>
      <c r="BY340" s="22">
        <v>120000</v>
      </c>
      <c r="BZ340" s="22">
        <v>50000</v>
      </c>
      <c r="CA340" s="22">
        <v>170000</v>
      </c>
      <c r="CB340" s="15" t="s">
        <v>6036</v>
      </c>
      <c r="CD340" s="22">
        <v>4050</v>
      </c>
      <c r="CE340" s="22">
        <v>750</v>
      </c>
      <c r="CF340" s="22">
        <v>4800</v>
      </c>
      <c r="CG340" s="22">
        <v>10000</v>
      </c>
      <c r="CH340" s="22">
        <v>15000</v>
      </c>
      <c r="CI340" s="22">
        <v>25000</v>
      </c>
      <c r="CL340" s="18"/>
      <c r="CP340" s="18"/>
      <c r="CT340" s="18"/>
      <c r="CX340" s="18"/>
      <c r="DB340" s="18"/>
      <c r="DF340" s="18"/>
      <c r="DH340" s="12" t="s">
        <v>320</v>
      </c>
      <c r="DI340" s="22">
        <v>4800</v>
      </c>
      <c r="DJ340" s="18">
        <v>0.84375</v>
      </c>
      <c r="DK340" s="22">
        <v>25000</v>
      </c>
      <c r="DN340" s="18"/>
      <c r="DR340" s="18"/>
      <c r="DT340" s="12" t="s">
        <v>320</v>
      </c>
      <c r="DU340" s="22">
        <v>4800</v>
      </c>
      <c r="DV340" s="18">
        <v>0.84375</v>
      </c>
      <c r="DW340" s="22">
        <v>25000</v>
      </c>
      <c r="DZ340" s="18"/>
      <c r="ED340" s="18"/>
      <c r="EI340" s="18"/>
      <c r="EK340" s="22">
        <v>2965</v>
      </c>
      <c r="EL340" s="22">
        <v>118</v>
      </c>
      <c r="EM340" s="22">
        <v>3083</v>
      </c>
      <c r="EN340" s="22">
        <v>10400</v>
      </c>
      <c r="EO340" s="22">
        <v>3350</v>
      </c>
      <c r="EP340" s="22">
        <v>13750</v>
      </c>
      <c r="ES340" s="18"/>
      <c r="EW340" s="18"/>
      <c r="FA340" s="18"/>
      <c r="FE340" s="18"/>
      <c r="FI340" s="18"/>
      <c r="FM340" s="18"/>
      <c r="FQ340" s="18"/>
      <c r="FU340" s="18"/>
      <c r="FY340" s="18"/>
      <c r="GA340" s="11" t="s">
        <v>320</v>
      </c>
      <c r="GB340" s="22">
        <v>3083</v>
      </c>
      <c r="GC340" s="18">
        <v>0.96</v>
      </c>
      <c r="GD340" s="22">
        <v>13750</v>
      </c>
      <c r="GG340" s="18"/>
      <c r="GK340" s="18"/>
      <c r="GO340" s="18"/>
      <c r="GS340" s="18"/>
      <c r="GW340" s="18"/>
      <c r="HA340" s="18"/>
      <c r="HF340" s="18"/>
      <c r="HH340" s="11" t="s">
        <v>320</v>
      </c>
      <c r="HI340" s="11" t="s">
        <v>328</v>
      </c>
      <c r="HJ340" s="11">
        <v>2016</v>
      </c>
      <c r="HK340" s="11" t="s">
        <v>320</v>
      </c>
      <c r="HL340" s="11" t="s">
        <v>320</v>
      </c>
      <c r="HM340" s="11" t="s">
        <v>619</v>
      </c>
      <c r="HN340" s="11">
        <v>2018</v>
      </c>
      <c r="HO340" s="11" t="s">
        <v>6037</v>
      </c>
      <c r="HP340" s="11" t="s">
        <v>330</v>
      </c>
      <c r="HQ340" s="11" t="s">
        <v>320</v>
      </c>
      <c r="HR340" s="11" t="s">
        <v>320</v>
      </c>
      <c r="HS340" s="11" t="s">
        <v>320</v>
      </c>
      <c r="HT340" s="11" t="s">
        <v>320</v>
      </c>
      <c r="HU340" s="11" t="s">
        <v>320</v>
      </c>
      <c r="HV340" s="11" t="s">
        <v>319</v>
      </c>
      <c r="HW340" s="11" t="s">
        <v>320</v>
      </c>
      <c r="HZ340" s="11" t="s">
        <v>394</v>
      </c>
      <c r="IA340" s="11" t="s">
        <v>6038</v>
      </c>
      <c r="IB340" s="11" t="s">
        <v>396</v>
      </c>
      <c r="ID340" s="11" t="s">
        <v>334</v>
      </c>
      <c r="IE340" s="11" t="s">
        <v>478</v>
      </c>
      <c r="IF340" s="11" t="s">
        <v>320</v>
      </c>
      <c r="IG340" s="11" t="s">
        <v>320</v>
      </c>
      <c r="IH340" s="11" t="s">
        <v>320</v>
      </c>
      <c r="II340" s="11" t="s">
        <v>320</v>
      </c>
      <c r="IJ340" s="12" t="str">
        <f t="shared" si="216"/>
        <v>4. Transformative</v>
      </c>
      <c r="IK340" s="12">
        <f t="shared" si="217"/>
        <v>4</v>
      </c>
      <c r="IL340" s="11" t="s">
        <v>723</v>
      </c>
      <c r="IM340" s="11" t="s">
        <v>319</v>
      </c>
      <c r="IN340" s="11" t="s">
        <v>319</v>
      </c>
      <c r="IO340" s="11" t="s">
        <v>319</v>
      </c>
      <c r="IP340" s="11" t="s">
        <v>319</v>
      </c>
      <c r="IQ340" s="12" t="str">
        <f t="shared" si="218"/>
        <v>0. Unaware</v>
      </c>
      <c r="IR340" s="12">
        <f t="shared" si="219"/>
        <v>0</v>
      </c>
      <c r="IS340" s="11" t="s">
        <v>622</v>
      </c>
      <c r="IT340" s="11" t="s">
        <v>320</v>
      </c>
      <c r="IU340" s="11" t="s">
        <v>319</v>
      </c>
      <c r="IV340" s="11" t="s">
        <v>320</v>
      </c>
      <c r="IW340" s="11" t="str">
        <f t="shared" si="220"/>
        <v>3. Responsive</v>
      </c>
      <c r="IX340" s="12">
        <f t="shared" si="221"/>
        <v>2</v>
      </c>
      <c r="IY340" s="11" t="s">
        <v>338</v>
      </c>
      <c r="IZ340" s="11" t="s">
        <v>457</v>
      </c>
      <c r="JA340" s="11">
        <v>3</v>
      </c>
      <c r="JB340" s="11" t="s">
        <v>433</v>
      </c>
      <c r="JC340" s="11" t="s">
        <v>623</v>
      </c>
      <c r="JD340" s="11" t="s">
        <v>687</v>
      </c>
      <c r="JE340" s="11" t="s">
        <v>365</v>
      </c>
      <c r="JF340" s="11" t="s">
        <v>6039</v>
      </c>
      <c r="JH340" s="11" t="s">
        <v>6040</v>
      </c>
      <c r="JI340" s="11" t="s">
        <v>6041</v>
      </c>
      <c r="JJ340" s="11" t="s">
        <v>6042</v>
      </c>
      <c r="JK340" s="11" t="s">
        <v>6043</v>
      </c>
      <c r="JL340" s="11" t="s">
        <v>6044</v>
      </c>
      <c r="JM340" s="11" t="s">
        <v>6045</v>
      </c>
      <c r="JP340" s="15">
        <f t="shared" si="222"/>
        <v>4800</v>
      </c>
      <c r="JQ340" s="15">
        <f t="shared" si="223"/>
        <v>25000</v>
      </c>
      <c r="JR340" s="279">
        <f t="shared" si="224"/>
        <v>5.208333333333333</v>
      </c>
      <c r="JS340" s="17">
        <f t="shared" si="225"/>
        <v>0.84375</v>
      </c>
      <c r="JT340" s="18">
        <f t="shared" si="226"/>
        <v>0.41599999999999998</v>
      </c>
      <c r="JU340" s="280">
        <f t="shared" si="227"/>
        <v>4050</v>
      </c>
      <c r="JV340" s="280">
        <f t="shared" si="228"/>
        <v>10400</v>
      </c>
      <c r="JW340" s="319">
        <f t="shared" si="229"/>
        <v>1</v>
      </c>
      <c r="JX340" s="15">
        <f t="shared" si="230"/>
        <v>4800</v>
      </c>
      <c r="JY340" s="15">
        <f t="shared" si="231"/>
        <v>25000</v>
      </c>
      <c r="JZ340" s="19">
        <f t="shared" si="232"/>
        <v>5.208333333333333</v>
      </c>
      <c r="KA340" s="52" t="str">
        <f t="shared" si="233"/>
        <v/>
      </c>
      <c r="KB340" s="15">
        <f t="shared" si="234"/>
        <v>0</v>
      </c>
      <c r="KC340" s="15">
        <f t="shared" si="235"/>
        <v>0</v>
      </c>
      <c r="KD340" s="20" t="str">
        <f t="shared" si="236"/>
        <v/>
      </c>
      <c r="KE340" s="52">
        <f t="shared" si="237"/>
        <v>1</v>
      </c>
      <c r="KF340" s="15">
        <f t="shared" si="238"/>
        <v>4800</v>
      </c>
      <c r="KG340" s="15">
        <f t="shared" si="239"/>
        <v>25000</v>
      </c>
      <c r="KH340" s="21">
        <f t="shared" si="240"/>
        <v>5.208333333333333</v>
      </c>
      <c r="KI340" s="52" t="str">
        <f t="shared" si="241"/>
        <v/>
      </c>
      <c r="KJ340" s="15">
        <f t="shared" si="242"/>
        <v>0</v>
      </c>
      <c r="KK340" s="15">
        <f t="shared" si="243"/>
        <v>0</v>
      </c>
      <c r="KL340" s="19" t="str">
        <f t="shared" si="244"/>
        <v/>
      </c>
      <c r="KM340" s="52" t="str">
        <f t="shared" si="245"/>
        <v/>
      </c>
      <c r="KN340" s="22">
        <f t="shared" si="246"/>
        <v>0</v>
      </c>
      <c r="KO340" s="22">
        <f t="shared" si="247"/>
        <v>0</v>
      </c>
      <c r="KP340" s="19" t="str">
        <f t="shared" si="248"/>
        <v/>
      </c>
      <c r="KQ340" s="11" t="str">
        <f t="shared" si="249"/>
        <v>4. Transformative</v>
      </c>
      <c r="KR340" s="11" t="str">
        <f t="shared" si="250"/>
        <v>0. Unaware</v>
      </c>
      <c r="KS340" s="11" t="str">
        <f t="shared" si="251"/>
        <v>3. Responsive</v>
      </c>
      <c r="KT340" s="11" t="str">
        <f t="shared" si="252"/>
        <v>It tested new ways for fighting poverty, but did not measure results of innovation</v>
      </c>
      <c r="KU340" s="11" t="str">
        <f t="shared" si="253"/>
        <v>Moderate advocacy</v>
      </c>
      <c r="KV340" s="11" t="str">
        <f t="shared" si="254"/>
        <v>It linked and worked with strategic alliances and partners to take tested and effective solutions to scale</v>
      </c>
      <c r="KW340" s="11" t="str">
        <f t="shared" si="255"/>
        <v>Iraq - Improvement of Maternal and Child Health in return Areas, North Iraq</v>
      </c>
      <c r="KX340" s="11" t="str">
        <f t="shared" si="256"/>
        <v>Improvement of Maternal and Child Health in return Areas, North Iraq</v>
      </c>
      <c r="KY340" s="11" t="str">
        <f t="shared" si="257"/>
        <v>Iraq</v>
      </c>
      <c r="KZ340" s="12">
        <v>340</v>
      </c>
    </row>
    <row r="341" spans="1:312" x14ac:dyDescent="0.3">
      <c r="A341" s="11" t="s">
        <v>6024</v>
      </c>
      <c r="B341" s="11" t="s">
        <v>602</v>
      </c>
      <c r="C341" s="11">
        <v>6134</v>
      </c>
      <c r="D341" s="11" t="s">
        <v>6046</v>
      </c>
      <c r="E341" s="24" t="str">
        <f t="shared" si="215"/>
        <v>Iraq</v>
      </c>
      <c r="G341" s="11" t="s">
        <v>1738</v>
      </c>
      <c r="H341" s="11" t="s">
        <v>310</v>
      </c>
      <c r="I341" s="11" t="s">
        <v>381</v>
      </c>
      <c r="J341" s="278" t="s">
        <v>14676</v>
      </c>
      <c r="BD341" s="23">
        <v>42664</v>
      </c>
      <c r="BE341" s="23">
        <v>42906</v>
      </c>
      <c r="BF341" s="23">
        <v>42968</v>
      </c>
      <c r="BG341" s="11" t="s">
        <v>817</v>
      </c>
      <c r="BH341" s="22">
        <v>1014586.49</v>
      </c>
      <c r="BI341" s="11" t="s">
        <v>6047</v>
      </c>
      <c r="BJ341" s="11" t="s">
        <v>4723</v>
      </c>
      <c r="BK341" s="11" t="s">
        <v>6048</v>
      </c>
      <c r="BL341" s="11" t="s">
        <v>6049</v>
      </c>
      <c r="BM341" s="11" t="s">
        <v>6050</v>
      </c>
      <c r="BN341" s="11" t="s">
        <v>6051</v>
      </c>
      <c r="BO341" s="11" t="s">
        <v>320</v>
      </c>
      <c r="BP341" s="11" t="s">
        <v>319</v>
      </c>
      <c r="BQ341" s="11" t="s">
        <v>319</v>
      </c>
      <c r="BR341" s="11" t="s">
        <v>6052</v>
      </c>
      <c r="BS341" s="11" t="s">
        <v>357</v>
      </c>
      <c r="BT341" s="11" t="s">
        <v>6053</v>
      </c>
      <c r="BU341" s="11" t="s">
        <v>6054</v>
      </c>
      <c r="BV341" s="22">
        <v>45093</v>
      </c>
      <c r="BW341" s="22">
        <v>48445</v>
      </c>
      <c r="BX341" s="22">
        <v>93538</v>
      </c>
      <c r="CB341" s="15" t="s">
        <v>6055</v>
      </c>
      <c r="CD341" s="22">
        <v>45093</v>
      </c>
      <c r="CE341" s="22">
        <v>48445</v>
      </c>
      <c r="CF341" s="22">
        <v>93538</v>
      </c>
      <c r="CL341" s="18"/>
      <c r="CP341" s="18"/>
      <c r="CT341" s="18"/>
      <c r="CX341" s="18"/>
      <c r="DB341" s="18"/>
      <c r="DF341" s="18"/>
      <c r="DJ341" s="18"/>
      <c r="DN341" s="18"/>
      <c r="DR341" s="18"/>
      <c r="DV341" s="18"/>
      <c r="DX341" s="12" t="s">
        <v>320</v>
      </c>
      <c r="DY341" s="22">
        <v>28863</v>
      </c>
      <c r="DZ341" s="18">
        <v>0.49</v>
      </c>
      <c r="EB341" s="11" t="s">
        <v>320</v>
      </c>
      <c r="EC341" s="22">
        <v>64743</v>
      </c>
      <c r="ED341" s="18">
        <v>0.48</v>
      </c>
      <c r="EI341" s="18"/>
      <c r="ES341" s="18"/>
      <c r="EW341" s="18"/>
      <c r="FA341" s="18"/>
      <c r="FE341" s="18"/>
      <c r="FI341" s="18"/>
      <c r="FM341" s="18"/>
      <c r="FQ341" s="18"/>
      <c r="FU341" s="18"/>
      <c r="FY341" s="18"/>
      <c r="GC341" s="18"/>
      <c r="GG341" s="18"/>
      <c r="GK341" s="18"/>
      <c r="GO341" s="18"/>
      <c r="GS341" s="18"/>
      <c r="GW341" s="18"/>
      <c r="HA341" s="18"/>
      <c r="HF341" s="18"/>
      <c r="HH341" s="11" t="s">
        <v>319</v>
      </c>
      <c r="HK341" s="11" t="s">
        <v>319</v>
      </c>
      <c r="HL341" s="11" t="s">
        <v>319</v>
      </c>
      <c r="HP341" s="11" t="s">
        <v>418</v>
      </c>
      <c r="HQ341" s="11" t="s">
        <v>319</v>
      </c>
      <c r="HR341" s="11" t="s">
        <v>320</v>
      </c>
      <c r="HS341" s="11" t="s">
        <v>319</v>
      </c>
      <c r="HT341" s="11" t="s">
        <v>320</v>
      </c>
      <c r="HU341" s="11" t="s">
        <v>320</v>
      </c>
      <c r="HV341" s="11" t="s">
        <v>320</v>
      </c>
      <c r="HW341" s="11" t="s">
        <v>320</v>
      </c>
      <c r="HZ341" s="11" t="s">
        <v>363</v>
      </c>
      <c r="IB341" s="11" t="s">
        <v>667</v>
      </c>
      <c r="ID341" s="11" t="s">
        <v>334</v>
      </c>
      <c r="IE341" s="11" t="s">
        <v>335</v>
      </c>
      <c r="IF341" s="11" t="s">
        <v>319</v>
      </c>
      <c r="IG341" s="11" t="s">
        <v>320</v>
      </c>
      <c r="IH341" s="11" t="s">
        <v>320</v>
      </c>
      <c r="II341" s="11" t="s">
        <v>320</v>
      </c>
      <c r="IJ341" s="12" t="str">
        <f t="shared" si="216"/>
        <v>1. Neutral</v>
      </c>
      <c r="IK341" s="12">
        <f t="shared" si="217"/>
        <v>3</v>
      </c>
      <c r="IL341" s="11" t="s">
        <v>336</v>
      </c>
      <c r="IM341" s="11" t="s">
        <v>319</v>
      </c>
      <c r="IN341" s="11" t="s">
        <v>320</v>
      </c>
      <c r="IO341" s="11" t="s">
        <v>320</v>
      </c>
      <c r="IP341" s="11" t="s">
        <v>320</v>
      </c>
      <c r="IQ341" s="12" t="str">
        <f t="shared" si="218"/>
        <v>2. Accommodating</v>
      </c>
      <c r="IR341" s="12">
        <f t="shared" si="219"/>
        <v>3</v>
      </c>
      <c r="IS341" s="11" t="s">
        <v>456</v>
      </c>
      <c r="IT341" s="11" t="s">
        <v>320</v>
      </c>
      <c r="IU341" s="11" t="s">
        <v>319</v>
      </c>
      <c r="IV341" s="11" t="s">
        <v>319</v>
      </c>
      <c r="IW341" s="11" t="str">
        <f t="shared" si="220"/>
        <v>0. Harmful</v>
      </c>
      <c r="IX341" s="12">
        <f t="shared" si="221"/>
        <v>1</v>
      </c>
      <c r="IY341" s="11" t="s">
        <v>338</v>
      </c>
      <c r="IZ341" s="11" t="s">
        <v>457</v>
      </c>
      <c r="JA341" s="11">
        <v>3</v>
      </c>
      <c r="JB341" s="11" t="s">
        <v>433</v>
      </c>
      <c r="JC341" s="11" t="s">
        <v>433</v>
      </c>
      <c r="JD341" s="11" t="s">
        <v>433</v>
      </c>
      <c r="JE341" s="11" t="s">
        <v>365</v>
      </c>
      <c r="JF341" s="11" t="s">
        <v>6056</v>
      </c>
      <c r="JG341" s="11" t="s">
        <v>6057</v>
      </c>
      <c r="JH341" s="11" t="s">
        <v>6058</v>
      </c>
      <c r="JI341" s="11" t="s">
        <v>6059</v>
      </c>
      <c r="JJ341" s="11" t="s">
        <v>6060</v>
      </c>
      <c r="JK341" s="11" t="s">
        <v>6061</v>
      </c>
      <c r="JL341" s="11" t="s">
        <v>6062</v>
      </c>
      <c r="JM341" s="11" t="s">
        <v>6063</v>
      </c>
      <c r="JN341" s="11" t="s">
        <v>6064</v>
      </c>
      <c r="JO341" s="11" t="s">
        <v>6065</v>
      </c>
      <c r="JP341" s="15">
        <f t="shared" si="222"/>
        <v>93538</v>
      </c>
      <c r="JQ341" s="15">
        <f t="shared" si="223"/>
        <v>0</v>
      </c>
      <c r="JR341" s="279">
        <f t="shared" si="224"/>
        <v>0</v>
      </c>
      <c r="JS341" s="17">
        <f t="shared" si="225"/>
        <v>0.48208214843165342</v>
      </c>
      <c r="JT341" s="18" t="str">
        <f t="shared" si="226"/>
        <v/>
      </c>
      <c r="JU341" s="280">
        <f t="shared" si="227"/>
        <v>45093</v>
      </c>
      <c r="JV341" s="280">
        <f t="shared" si="228"/>
        <v>0</v>
      </c>
      <c r="JW341" s="319">
        <f t="shared" si="229"/>
        <v>1</v>
      </c>
      <c r="JX341" s="15">
        <f t="shared" si="230"/>
        <v>93538</v>
      </c>
      <c r="JY341" s="15">
        <f t="shared" si="231"/>
        <v>0</v>
      </c>
      <c r="JZ341" s="19">
        <f t="shared" si="232"/>
        <v>0</v>
      </c>
      <c r="KA341" s="52" t="str">
        <f t="shared" si="233"/>
        <v/>
      </c>
      <c r="KB341" s="15">
        <f t="shared" si="234"/>
        <v>0</v>
      </c>
      <c r="KC341" s="15">
        <f t="shared" si="235"/>
        <v>0</v>
      </c>
      <c r="KD341" s="20" t="str">
        <f t="shared" si="236"/>
        <v/>
      </c>
      <c r="KE341" s="52" t="str">
        <f t="shared" si="237"/>
        <v/>
      </c>
      <c r="KF341" s="15">
        <f t="shared" si="238"/>
        <v>0</v>
      </c>
      <c r="KG341" s="15">
        <f t="shared" si="239"/>
        <v>0</v>
      </c>
      <c r="KH341" s="21" t="str">
        <f t="shared" si="240"/>
        <v/>
      </c>
      <c r="KI341" s="52" t="str">
        <f t="shared" si="241"/>
        <v/>
      </c>
      <c r="KJ341" s="15">
        <f t="shared" si="242"/>
        <v>0</v>
      </c>
      <c r="KK341" s="15">
        <f t="shared" si="243"/>
        <v>0</v>
      </c>
      <c r="KL341" s="19" t="str">
        <f t="shared" si="244"/>
        <v/>
      </c>
      <c r="KM341" s="52" t="str">
        <f t="shared" si="245"/>
        <v/>
      </c>
      <c r="KN341" s="22">
        <f t="shared" si="246"/>
        <v>0</v>
      </c>
      <c r="KO341" s="22">
        <f t="shared" si="247"/>
        <v>0</v>
      </c>
      <c r="KP341" s="19" t="str">
        <f t="shared" si="248"/>
        <v/>
      </c>
      <c r="KQ341" s="11" t="str">
        <f t="shared" si="249"/>
        <v>1. Neutral</v>
      </c>
      <c r="KR341" s="11" t="str">
        <f t="shared" si="250"/>
        <v>2. Accommodating</v>
      </c>
      <c r="KS341" s="11" t="str">
        <f t="shared" si="251"/>
        <v>0. Harmful</v>
      </c>
      <c r="KT341" s="11" t="str">
        <f t="shared" si="252"/>
        <v>It did not develop any specific innovation</v>
      </c>
      <c r="KU341" s="11" t="str">
        <f t="shared" si="253"/>
        <v>Little or no advocacy</v>
      </c>
      <c r="KV341" s="11" t="str">
        <f t="shared" si="254"/>
        <v>It took tested solutions to scale on its own</v>
      </c>
      <c r="KW341" s="11" t="str">
        <f t="shared" si="255"/>
        <v>Iraq - Prepared to Respond: Prepositioning of WASH items. Enabling a quick response to alleviate suffering of IDPs affected by displacement caused by fighting in and around Mosul
Prepositioning of emergency shelter and NFI items for a quick response to the needs of vulnerable IDPs in Northern Iraq after Mosul offensive</v>
      </c>
      <c r="KX341" s="11" t="str">
        <f t="shared" si="256"/>
        <v>Prepared to Respond: Prepositioning of WASH items. Enabling a quick response to alleviate suffering of IDPs affected by displacement caused by fighting in and around Mosul
Prepositioning of emergency shelter and NFI items for a quick response to the needs of vulnerable IDPs in Northern Iraq after Mosul offensive</v>
      </c>
      <c r="KY341" s="11" t="str">
        <f t="shared" si="257"/>
        <v>Iraq</v>
      </c>
      <c r="KZ341" s="12">
        <v>341</v>
      </c>
    </row>
    <row r="342" spans="1:312" x14ac:dyDescent="0.3">
      <c r="A342" s="11" t="s">
        <v>6024</v>
      </c>
      <c r="B342" s="11" t="s">
        <v>602</v>
      </c>
      <c r="C342" s="11">
        <v>6129</v>
      </c>
      <c r="D342" s="11" t="s">
        <v>6066</v>
      </c>
      <c r="E342" s="24" t="str">
        <f t="shared" si="215"/>
        <v>Iraq</v>
      </c>
      <c r="F342" s="11">
        <v>6129</v>
      </c>
      <c r="G342" s="11" t="s">
        <v>1738</v>
      </c>
      <c r="H342" s="11" t="s">
        <v>310</v>
      </c>
      <c r="I342" s="11" t="s">
        <v>426</v>
      </c>
      <c r="J342" s="278" t="s">
        <v>6067</v>
      </c>
      <c r="BD342" s="23">
        <v>42278</v>
      </c>
      <c r="BE342" s="23">
        <v>42736</v>
      </c>
      <c r="BF342" s="23">
        <v>42767</v>
      </c>
      <c r="BG342" s="11" t="s">
        <v>817</v>
      </c>
      <c r="BH342" s="22">
        <v>670000</v>
      </c>
      <c r="BI342" s="11" t="s">
        <v>6047</v>
      </c>
      <c r="BJ342" s="11" t="s">
        <v>4723</v>
      </c>
      <c r="BK342" s="11" t="s">
        <v>6048</v>
      </c>
      <c r="BL342" s="11" t="s">
        <v>6049</v>
      </c>
      <c r="BM342" s="11" t="s">
        <v>6050</v>
      </c>
      <c r="BN342" s="11" t="s">
        <v>6051</v>
      </c>
      <c r="BO342" s="11" t="s">
        <v>320</v>
      </c>
      <c r="BP342" s="11" t="s">
        <v>319</v>
      </c>
      <c r="BQ342" s="11" t="s">
        <v>319</v>
      </c>
      <c r="BR342" s="11" t="s">
        <v>6068</v>
      </c>
      <c r="BS342" s="11" t="s">
        <v>615</v>
      </c>
      <c r="BT342" s="11" t="s">
        <v>6069</v>
      </c>
      <c r="BU342" s="11" t="s">
        <v>6054</v>
      </c>
      <c r="BV342" s="22">
        <v>5552</v>
      </c>
      <c r="BW342" s="22">
        <v>5535</v>
      </c>
      <c r="BX342" s="22">
        <v>11087</v>
      </c>
      <c r="CB342" s="15" t="s">
        <v>6070</v>
      </c>
      <c r="CD342" s="22">
        <v>5552</v>
      </c>
      <c r="CE342" s="22">
        <v>5535</v>
      </c>
      <c r="CF342" s="22">
        <v>11087</v>
      </c>
      <c r="CL342" s="18"/>
      <c r="CP342" s="18"/>
      <c r="CT342" s="18"/>
      <c r="CX342" s="18"/>
      <c r="DB342" s="18"/>
      <c r="DF342" s="18"/>
      <c r="DJ342" s="18"/>
      <c r="DN342" s="18"/>
      <c r="DR342" s="18"/>
      <c r="DV342" s="18"/>
      <c r="DZ342" s="18"/>
      <c r="EB342" s="11" t="s">
        <v>320</v>
      </c>
      <c r="EC342" s="22">
        <v>11087</v>
      </c>
      <c r="ED342" s="18">
        <v>0.5</v>
      </c>
      <c r="EI342" s="18"/>
      <c r="ES342" s="18"/>
      <c r="EW342" s="18"/>
      <c r="FA342" s="18"/>
      <c r="FE342" s="18"/>
      <c r="FI342" s="18"/>
      <c r="FM342" s="18"/>
      <c r="FQ342" s="18"/>
      <c r="FU342" s="18"/>
      <c r="FY342" s="18"/>
      <c r="GC342" s="18"/>
      <c r="GG342" s="18"/>
      <c r="GK342" s="18"/>
      <c r="GO342" s="18"/>
      <c r="GS342" s="18"/>
      <c r="GW342" s="18"/>
      <c r="HA342" s="18"/>
      <c r="HF342" s="18"/>
      <c r="HH342" s="11" t="s">
        <v>319</v>
      </c>
      <c r="HK342" s="11" t="s">
        <v>319</v>
      </c>
      <c r="HL342" s="11" t="s">
        <v>320</v>
      </c>
      <c r="HM342" s="11" t="s">
        <v>451</v>
      </c>
      <c r="HN342" s="11">
        <v>2018</v>
      </c>
      <c r="HP342" s="11" t="s">
        <v>418</v>
      </c>
      <c r="HQ342" s="11" t="s">
        <v>319</v>
      </c>
      <c r="HR342" s="11" t="s">
        <v>320</v>
      </c>
      <c r="HS342" s="11" t="s">
        <v>319</v>
      </c>
      <c r="HT342" s="11" t="s">
        <v>320</v>
      </c>
      <c r="HU342" s="11" t="s">
        <v>320</v>
      </c>
      <c r="HV342" s="11" t="s">
        <v>320</v>
      </c>
      <c r="HW342" s="11" t="s">
        <v>320</v>
      </c>
      <c r="HZ342" s="11" t="s">
        <v>363</v>
      </c>
      <c r="IB342" s="11" t="s">
        <v>667</v>
      </c>
      <c r="ID342" s="11" t="s">
        <v>334</v>
      </c>
      <c r="IE342" s="11" t="s">
        <v>335</v>
      </c>
      <c r="IF342" s="11" t="s">
        <v>319</v>
      </c>
      <c r="IG342" s="11" t="s">
        <v>320</v>
      </c>
      <c r="IH342" s="11" t="s">
        <v>320</v>
      </c>
      <c r="II342" s="11" t="s">
        <v>320</v>
      </c>
      <c r="IJ342" s="12" t="str">
        <f t="shared" si="216"/>
        <v>1. Neutral</v>
      </c>
      <c r="IK342" s="12">
        <f t="shared" si="217"/>
        <v>3</v>
      </c>
      <c r="IL342" s="11" t="s">
        <v>336</v>
      </c>
      <c r="IM342" s="11" t="s">
        <v>319</v>
      </c>
      <c r="IN342" s="11" t="s">
        <v>320</v>
      </c>
      <c r="IO342" s="11" t="s">
        <v>320</v>
      </c>
      <c r="IP342" s="11" t="s">
        <v>320</v>
      </c>
      <c r="IQ342" s="12" t="str">
        <f t="shared" si="218"/>
        <v>2. Accommodating</v>
      </c>
      <c r="IR342" s="12">
        <f t="shared" si="219"/>
        <v>3</v>
      </c>
      <c r="IS342" s="11" t="s">
        <v>456</v>
      </c>
      <c r="IT342" s="11" t="s">
        <v>320</v>
      </c>
      <c r="IU342" s="11" t="s">
        <v>319</v>
      </c>
      <c r="IV342" s="11" t="s">
        <v>319</v>
      </c>
      <c r="IW342" s="11" t="str">
        <f t="shared" si="220"/>
        <v>0. Harmful</v>
      </c>
      <c r="IX342" s="12">
        <f t="shared" si="221"/>
        <v>1</v>
      </c>
      <c r="IY342" s="11" t="s">
        <v>338</v>
      </c>
      <c r="IZ342" s="11" t="s">
        <v>457</v>
      </c>
      <c r="JA342" s="11">
        <v>2</v>
      </c>
      <c r="JB342" s="11" t="s">
        <v>433</v>
      </c>
      <c r="JC342" s="11" t="s">
        <v>433</v>
      </c>
      <c r="JE342" s="11" t="s">
        <v>365</v>
      </c>
      <c r="JF342" s="11" t="s">
        <v>6056</v>
      </c>
      <c r="JH342" s="11" t="s">
        <v>6071</v>
      </c>
      <c r="JI342" s="11" t="s">
        <v>6072</v>
      </c>
      <c r="JJ342" s="11" t="s">
        <v>3980</v>
      </c>
      <c r="JK342" s="11" t="s">
        <v>6073</v>
      </c>
      <c r="JL342" s="11" t="s">
        <v>6074</v>
      </c>
      <c r="JM342" s="11" t="s">
        <v>6075</v>
      </c>
      <c r="JN342" s="11" t="s">
        <v>6076</v>
      </c>
      <c r="JP342" s="15">
        <f t="shared" si="222"/>
        <v>11087</v>
      </c>
      <c r="JQ342" s="15">
        <f t="shared" si="223"/>
        <v>0</v>
      </c>
      <c r="JR342" s="279">
        <f t="shared" si="224"/>
        <v>0</v>
      </c>
      <c r="JS342" s="17">
        <f t="shared" si="225"/>
        <v>0.50076666366014255</v>
      </c>
      <c r="JT342" s="18" t="str">
        <f t="shared" si="226"/>
        <v/>
      </c>
      <c r="JU342" s="280">
        <f t="shared" si="227"/>
        <v>5552</v>
      </c>
      <c r="JV342" s="280">
        <f t="shared" si="228"/>
        <v>0</v>
      </c>
      <c r="JW342" s="319">
        <f t="shared" si="229"/>
        <v>1</v>
      </c>
      <c r="JX342" s="15">
        <f t="shared" si="230"/>
        <v>11087</v>
      </c>
      <c r="JY342" s="15">
        <f t="shared" si="231"/>
        <v>0</v>
      </c>
      <c r="JZ342" s="19">
        <f t="shared" si="232"/>
        <v>0</v>
      </c>
      <c r="KA342" s="52" t="str">
        <f t="shared" si="233"/>
        <v/>
      </c>
      <c r="KB342" s="15">
        <f t="shared" si="234"/>
        <v>0</v>
      </c>
      <c r="KC342" s="15">
        <f t="shared" si="235"/>
        <v>0</v>
      </c>
      <c r="KD342" s="20" t="str">
        <f t="shared" si="236"/>
        <v/>
      </c>
      <c r="KE342" s="52" t="str">
        <f t="shared" si="237"/>
        <v/>
      </c>
      <c r="KF342" s="15">
        <f t="shared" si="238"/>
        <v>0</v>
      </c>
      <c r="KG342" s="15">
        <f t="shared" si="239"/>
        <v>0</v>
      </c>
      <c r="KH342" s="21" t="str">
        <f t="shared" si="240"/>
        <v/>
      </c>
      <c r="KI342" s="52" t="str">
        <f t="shared" si="241"/>
        <v/>
      </c>
      <c r="KJ342" s="15">
        <f t="shared" si="242"/>
        <v>0</v>
      </c>
      <c r="KK342" s="15">
        <f t="shared" si="243"/>
        <v>0</v>
      </c>
      <c r="KL342" s="19" t="str">
        <f t="shared" si="244"/>
        <v/>
      </c>
      <c r="KM342" s="52" t="str">
        <f t="shared" si="245"/>
        <v/>
      </c>
      <c r="KN342" s="22">
        <f t="shared" si="246"/>
        <v>0</v>
      </c>
      <c r="KO342" s="22">
        <f t="shared" si="247"/>
        <v>0</v>
      </c>
      <c r="KP342" s="19" t="str">
        <f t="shared" si="248"/>
        <v/>
      </c>
      <c r="KQ342" s="11" t="str">
        <f t="shared" si="249"/>
        <v>1. Neutral</v>
      </c>
      <c r="KR342" s="11" t="str">
        <f t="shared" si="250"/>
        <v>2. Accommodating</v>
      </c>
      <c r="KS342" s="11" t="str">
        <f t="shared" si="251"/>
        <v>0. Harmful</v>
      </c>
      <c r="KT342" s="11" t="str">
        <f t="shared" si="252"/>
        <v>It did not develop any specific innovation</v>
      </c>
      <c r="KU342" s="11" t="str">
        <f t="shared" si="253"/>
        <v>Little or no advocacy</v>
      </c>
      <c r="KV342" s="11" t="str">
        <f t="shared" si="254"/>
        <v>It took tested solutions to scale on its own</v>
      </c>
      <c r="KW342" s="11" t="str">
        <f t="shared" si="255"/>
        <v>Iraq - Reduction of vulnerability of conflict-affected persons, especially women and children through improvement of WASH and Shelter in Bersive 1, Chamishku and Sheikhan Camps</v>
      </c>
      <c r="KX342" s="11" t="str">
        <f t="shared" si="256"/>
        <v>Reduction of vulnerability of conflict-affected persons, especially women and children through improvement of WASH and Shelter in Bersive 1, Chamishku and Sheikhan Camps</v>
      </c>
      <c r="KY342" s="11" t="str">
        <f t="shared" si="257"/>
        <v>Iraq</v>
      </c>
      <c r="KZ342" s="287">
        <v>342</v>
      </c>
    </row>
    <row r="343" spans="1:312" x14ac:dyDescent="0.3">
      <c r="A343" s="282" t="s">
        <v>6024</v>
      </c>
      <c r="B343" s="282" t="s">
        <v>602</v>
      </c>
      <c r="C343" s="282">
        <v>1256</v>
      </c>
      <c r="D343" s="282" t="s">
        <v>6077</v>
      </c>
      <c r="E343" s="24" t="str">
        <f t="shared" si="215"/>
        <v>Iraq</v>
      </c>
      <c r="F343" s="282">
        <v>1256</v>
      </c>
      <c r="G343" s="282" t="s">
        <v>1738</v>
      </c>
      <c r="H343" s="282" t="s">
        <v>310</v>
      </c>
      <c r="I343" s="282" t="s">
        <v>2595</v>
      </c>
      <c r="J343" s="278" t="s">
        <v>14677</v>
      </c>
      <c r="K343" s="282"/>
      <c r="L343" s="282"/>
      <c r="M343" s="282"/>
      <c r="N343" s="282"/>
      <c r="O343" s="282"/>
      <c r="P343" s="282"/>
      <c r="Q343" s="282"/>
      <c r="R343" s="282"/>
      <c r="S343" s="282"/>
      <c r="T343" s="282"/>
      <c r="U343" s="282"/>
      <c r="V343" s="282"/>
      <c r="W343" s="282"/>
      <c r="X343" s="282"/>
      <c r="Y343" s="282"/>
      <c r="Z343" s="282"/>
      <c r="AA343" s="282"/>
      <c r="AB343" s="282"/>
      <c r="AC343" s="282"/>
      <c r="AD343" s="282"/>
      <c r="AE343" s="282"/>
      <c r="AF343" s="282"/>
      <c r="AG343" s="282"/>
      <c r="AH343" s="282"/>
      <c r="AI343" s="282"/>
      <c r="AJ343" s="282"/>
      <c r="AK343" s="282"/>
      <c r="AL343" s="282"/>
      <c r="AM343" s="282"/>
      <c r="AN343" s="282"/>
      <c r="AO343" s="282"/>
      <c r="AP343" s="282"/>
      <c r="AQ343" s="282"/>
      <c r="AR343" s="282"/>
      <c r="AS343" s="282"/>
      <c r="AT343" s="282"/>
      <c r="AU343" s="282"/>
      <c r="AV343" s="282"/>
      <c r="AW343" s="282"/>
      <c r="AX343" s="282"/>
      <c r="AY343" s="282"/>
      <c r="AZ343" s="282"/>
      <c r="BA343" s="282"/>
      <c r="BB343" s="282"/>
      <c r="BC343" s="282"/>
      <c r="BD343" s="283">
        <v>42552</v>
      </c>
      <c r="BE343" s="283">
        <v>43100</v>
      </c>
      <c r="BF343" s="283"/>
      <c r="BG343" s="283" t="s">
        <v>817</v>
      </c>
      <c r="BH343" s="284">
        <v>3511744.5</v>
      </c>
      <c r="BI343" s="282" t="s">
        <v>6049</v>
      </c>
      <c r="BJ343" s="282" t="s">
        <v>6050</v>
      </c>
      <c r="BK343" s="282" t="s">
        <v>6051</v>
      </c>
      <c r="BL343" s="282" t="s">
        <v>6047</v>
      </c>
      <c r="BM343" s="282" t="s">
        <v>4723</v>
      </c>
      <c r="BN343" s="282" t="s">
        <v>6048</v>
      </c>
      <c r="BO343" s="282" t="s">
        <v>320</v>
      </c>
      <c r="BP343" s="282" t="s">
        <v>319</v>
      </c>
      <c r="BQ343" s="282" t="s">
        <v>319</v>
      </c>
      <c r="BR343" s="282" t="s">
        <v>6068</v>
      </c>
      <c r="BS343" s="282" t="s">
        <v>357</v>
      </c>
      <c r="BT343" s="282" t="s">
        <v>6078</v>
      </c>
      <c r="BU343" s="282" t="s">
        <v>6054</v>
      </c>
      <c r="BV343" s="284">
        <v>23042</v>
      </c>
      <c r="BW343" s="284">
        <v>23199</v>
      </c>
      <c r="BX343" s="284">
        <v>46241</v>
      </c>
      <c r="BY343" s="284"/>
      <c r="BZ343" s="284"/>
      <c r="CA343" s="284"/>
      <c r="CB343" s="285" t="s">
        <v>6079</v>
      </c>
      <c r="CC343" s="285"/>
      <c r="CD343" s="284">
        <v>23042</v>
      </c>
      <c r="CE343" s="284">
        <v>23199</v>
      </c>
      <c r="CF343" s="284">
        <v>46241</v>
      </c>
      <c r="CG343" s="284"/>
      <c r="CH343" s="284"/>
      <c r="CI343" s="284"/>
      <c r="CJ343" s="282"/>
      <c r="CK343" s="284"/>
      <c r="CL343" s="286"/>
      <c r="CM343" s="284"/>
      <c r="CN343" s="287"/>
      <c r="CO343" s="284"/>
      <c r="CP343" s="286"/>
      <c r="CQ343" s="284"/>
      <c r="CR343" s="282"/>
      <c r="CS343" s="284"/>
      <c r="CT343" s="286"/>
      <c r="CU343" s="284"/>
      <c r="CV343" s="292" t="s">
        <v>320</v>
      </c>
      <c r="CW343" s="290">
        <v>46241</v>
      </c>
      <c r="CX343" s="291">
        <v>0.5</v>
      </c>
      <c r="CY343" s="306"/>
      <c r="CZ343" s="282"/>
      <c r="DA343" s="284"/>
      <c r="DB343" s="286"/>
      <c r="DC343" s="284"/>
      <c r="DD343" s="287"/>
      <c r="DE343" s="284"/>
      <c r="DF343" s="286"/>
      <c r="DG343" s="284"/>
      <c r="DH343" s="282"/>
      <c r="DI343" s="284"/>
      <c r="DJ343" s="286"/>
      <c r="DK343" s="284"/>
      <c r="DL343" s="282"/>
      <c r="DM343" s="284"/>
      <c r="DN343" s="286"/>
      <c r="DO343" s="284"/>
      <c r="DP343" s="282"/>
      <c r="DQ343" s="284"/>
      <c r="DR343" s="286"/>
      <c r="DS343" s="284"/>
      <c r="DT343" s="282"/>
      <c r="DU343" s="284"/>
      <c r="DV343" s="286"/>
      <c r="DW343" s="284"/>
      <c r="DX343" s="282"/>
      <c r="DY343" s="284"/>
      <c r="DZ343" s="286"/>
      <c r="EA343" s="284"/>
      <c r="EB343" s="282" t="s">
        <v>320</v>
      </c>
      <c r="EC343" s="284">
        <v>46241</v>
      </c>
      <c r="ED343" s="286">
        <v>0.5</v>
      </c>
      <c r="EE343" s="284"/>
      <c r="EF343" s="285"/>
      <c r="EG343" s="287"/>
      <c r="EH343" s="284"/>
      <c r="EI343" s="286"/>
      <c r="EJ343" s="284"/>
      <c r="EK343" s="284"/>
      <c r="EL343" s="284"/>
      <c r="EM343" s="284"/>
      <c r="EN343" s="284"/>
      <c r="EO343" s="284"/>
      <c r="EP343" s="284"/>
      <c r="EQ343" s="282"/>
      <c r="ER343" s="284"/>
      <c r="ES343" s="286"/>
      <c r="ET343" s="284"/>
      <c r="EU343" s="282"/>
      <c r="EV343" s="284"/>
      <c r="EW343" s="286"/>
      <c r="EX343" s="284"/>
      <c r="EY343" s="282"/>
      <c r="EZ343" s="284"/>
      <c r="FA343" s="286"/>
      <c r="FB343" s="284"/>
      <c r="FC343" s="282"/>
      <c r="FD343" s="284"/>
      <c r="FE343" s="286"/>
      <c r="FF343" s="284"/>
      <c r="FG343" s="282"/>
      <c r="FH343" s="284"/>
      <c r="FI343" s="286"/>
      <c r="FJ343" s="284"/>
      <c r="FK343" s="282"/>
      <c r="FL343" s="284"/>
      <c r="FM343" s="286"/>
      <c r="FN343" s="284"/>
      <c r="FO343" s="292"/>
      <c r="FP343" s="290"/>
      <c r="FQ343" s="291"/>
      <c r="FR343" s="290"/>
      <c r="FS343" s="282"/>
      <c r="FT343" s="284"/>
      <c r="FU343" s="286"/>
      <c r="FV343" s="284"/>
      <c r="FW343" s="282"/>
      <c r="FX343" s="284"/>
      <c r="FY343" s="286"/>
      <c r="FZ343" s="284"/>
      <c r="GA343" s="282"/>
      <c r="GB343" s="284"/>
      <c r="GC343" s="286"/>
      <c r="GD343" s="284"/>
      <c r="GE343" s="282"/>
      <c r="GF343" s="284"/>
      <c r="GG343" s="286"/>
      <c r="GH343" s="284"/>
      <c r="GI343" s="282"/>
      <c r="GJ343" s="284"/>
      <c r="GK343" s="286"/>
      <c r="GL343" s="284"/>
      <c r="GM343" s="282"/>
      <c r="GN343" s="284"/>
      <c r="GO343" s="286"/>
      <c r="GP343" s="284"/>
      <c r="GQ343" s="282"/>
      <c r="GR343" s="284"/>
      <c r="GS343" s="286"/>
      <c r="GT343" s="284"/>
      <c r="GU343" s="282"/>
      <c r="GV343" s="284"/>
      <c r="GW343" s="286"/>
      <c r="GX343" s="284"/>
      <c r="GY343" s="282"/>
      <c r="GZ343" s="284"/>
      <c r="HA343" s="286"/>
      <c r="HB343" s="284"/>
      <c r="HC343" s="282"/>
      <c r="HD343" s="282"/>
      <c r="HE343" s="284"/>
      <c r="HF343" s="286"/>
      <c r="HG343" s="284"/>
      <c r="HH343" s="282" t="s">
        <v>319</v>
      </c>
      <c r="HI343" s="282"/>
      <c r="HJ343" s="282"/>
      <c r="HK343" s="282" t="s">
        <v>319</v>
      </c>
      <c r="HL343" s="282" t="s">
        <v>320</v>
      </c>
      <c r="HM343" s="282" t="s">
        <v>451</v>
      </c>
      <c r="HN343" s="282">
        <v>2018</v>
      </c>
      <c r="HO343" s="282"/>
      <c r="HP343" s="282" t="s">
        <v>418</v>
      </c>
      <c r="HQ343" s="282" t="s">
        <v>319</v>
      </c>
      <c r="HR343" s="282" t="s">
        <v>320</v>
      </c>
      <c r="HS343" s="282" t="s">
        <v>320</v>
      </c>
      <c r="HT343" s="282" t="s">
        <v>320</v>
      </c>
      <c r="HU343" s="282" t="s">
        <v>320</v>
      </c>
      <c r="HV343" s="282" t="s">
        <v>320</v>
      </c>
      <c r="HW343" s="282" t="s">
        <v>320</v>
      </c>
      <c r="HX343" s="282"/>
      <c r="HY343" s="282"/>
      <c r="HZ343" s="282" t="s">
        <v>363</v>
      </c>
      <c r="IA343" s="282"/>
      <c r="IB343" s="282" t="s">
        <v>396</v>
      </c>
      <c r="IC343" s="282"/>
      <c r="ID343" s="282" t="s">
        <v>334</v>
      </c>
      <c r="IE343" s="282" t="s">
        <v>335</v>
      </c>
      <c r="IF343" s="282" t="s">
        <v>319</v>
      </c>
      <c r="IG343" s="282" t="s">
        <v>320</v>
      </c>
      <c r="IH343" s="282" t="s">
        <v>320</v>
      </c>
      <c r="II343" s="282" t="s">
        <v>320</v>
      </c>
      <c r="IJ343" s="12" t="str">
        <f t="shared" si="216"/>
        <v>1. Neutral</v>
      </c>
      <c r="IK343" s="287">
        <f t="shared" si="217"/>
        <v>3</v>
      </c>
      <c r="IL343" s="282" t="s">
        <v>336</v>
      </c>
      <c r="IM343" s="282" t="s">
        <v>320</v>
      </c>
      <c r="IN343" s="282" t="s">
        <v>320</v>
      </c>
      <c r="IO343" s="282" t="s">
        <v>320</v>
      </c>
      <c r="IP343" s="282" t="s">
        <v>320</v>
      </c>
      <c r="IQ343" s="287" t="str">
        <f t="shared" si="218"/>
        <v>2. Accommodating</v>
      </c>
      <c r="IR343" s="287">
        <f t="shared" si="219"/>
        <v>4</v>
      </c>
      <c r="IS343" s="282" t="s">
        <v>456</v>
      </c>
      <c r="IT343" s="282" t="s">
        <v>320</v>
      </c>
      <c r="IU343" s="282" t="s">
        <v>319</v>
      </c>
      <c r="IV343" s="282" t="s">
        <v>320</v>
      </c>
      <c r="IW343" s="11" t="str">
        <f t="shared" si="220"/>
        <v>0. Harmful</v>
      </c>
      <c r="IX343" s="287">
        <f t="shared" si="221"/>
        <v>2</v>
      </c>
      <c r="IY343" s="282" t="s">
        <v>338</v>
      </c>
      <c r="IZ343" s="282" t="s">
        <v>457</v>
      </c>
      <c r="JA343" s="282">
        <v>1</v>
      </c>
      <c r="JB343" s="282" t="s">
        <v>433</v>
      </c>
      <c r="JC343" s="282"/>
      <c r="JD343" s="282"/>
      <c r="JE343" s="282" t="s">
        <v>365</v>
      </c>
      <c r="JF343" s="282" t="s">
        <v>6080</v>
      </c>
      <c r="JG343" s="282" t="s">
        <v>6081</v>
      </c>
      <c r="JH343" s="282" t="s">
        <v>6071</v>
      </c>
      <c r="JI343" s="282" t="s">
        <v>6072</v>
      </c>
      <c r="JJ343" s="282" t="s">
        <v>3980</v>
      </c>
      <c r="JK343" s="282" t="s">
        <v>6082</v>
      </c>
      <c r="JL343" s="282" t="s">
        <v>6083</v>
      </c>
      <c r="JM343" s="282" t="s">
        <v>6084</v>
      </c>
      <c r="JN343" s="282" t="s">
        <v>6085</v>
      </c>
      <c r="JO343" s="282" t="s">
        <v>6065</v>
      </c>
      <c r="JP343" s="15">
        <f t="shared" si="222"/>
        <v>46241</v>
      </c>
      <c r="JQ343" s="15">
        <f t="shared" si="223"/>
        <v>0</v>
      </c>
      <c r="JR343" s="279">
        <f t="shared" si="224"/>
        <v>0</v>
      </c>
      <c r="JS343" s="17">
        <f t="shared" si="225"/>
        <v>0.49830237235353908</v>
      </c>
      <c r="JT343" s="18" t="str">
        <f t="shared" si="226"/>
        <v/>
      </c>
      <c r="JU343" s="280">
        <f t="shared" si="227"/>
        <v>23042</v>
      </c>
      <c r="JV343" s="280">
        <f t="shared" si="228"/>
        <v>0</v>
      </c>
      <c r="JW343" s="319">
        <f t="shared" si="229"/>
        <v>1</v>
      </c>
      <c r="JX343" s="15">
        <f t="shared" si="230"/>
        <v>46241</v>
      </c>
      <c r="JY343" s="15">
        <f t="shared" si="231"/>
        <v>0</v>
      </c>
      <c r="JZ343" s="19">
        <f t="shared" si="232"/>
        <v>0</v>
      </c>
      <c r="KA343" s="52">
        <f t="shared" si="233"/>
        <v>1</v>
      </c>
      <c r="KB343" s="15">
        <f t="shared" si="234"/>
        <v>46241</v>
      </c>
      <c r="KC343" s="15">
        <f t="shared" si="235"/>
        <v>0</v>
      </c>
      <c r="KD343" s="20">
        <f t="shared" si="236"/>
        <v>0</v>
      </c>
      <c r="KE343" s="52" t="str">
        <f t="shared" si="237"/>
        <v/>
      </c>
      <c r="KF343" s="15">
        <f t="shared" si="238"/>
        <v>0</v>
      </c>
      <c r="KG343" s="15">
        <f t="shared" si="239"/>
        <v>0</v>
      </c>
      <c r="KH343" s="21" t="str">
        <f t="shared" si="240"/>
        <v/>
      </c>
      <c r="KI343" s="52" t="str">
        <f t="shared" si="241"/>
        <v/>
      </c>
      <c r="KJ343" s="15">
        <f t="shared" si="242"/>
        <v>0</v>
      </c>
      <c r="KK343" s="15">
        <f t="shared" si="243"/>
        <v>0</v>
      </c>
      <c r="KL343" s="19" t="str">
        <f t="shared" si="244"/>
        <v/>
      </c>
      <c r="KM343" s="52" t="str">
        <f t="shared" si="245"/>
        <v/>
      </c>
      <c r="KN343" s="22">
        <f t="shared" si="246"/>
        <v>0</v>
      </c>
      <c r="KO343" s="22">
        <f t="shared" si="247"/>
        <v>0</v>
      </c>
      <c r="KP343" s="19" t="str">
        <f t="shared" si="248"/>
        <v/>
      </c>
      <c r="KQ343" s="11" t="str">
        <f t="shared" si="249"/>
        <v>1. Neutral</v>
      </c>
      <c r="KR343" s="11" t="str">
        <f t="shared" si="250"/>
        <v>2. Accommodating</v>
      </c>
      <c r="KS343" s="11" t="str">
        <f t="shared" si="251"/>
        <v>0. Harmful</v>
      </c>
      <c r="KT343" s="11" t="str">
        <f t="shared" si="252"/>
        <v>It did not develop any specific innovation</v>
      </c>
      <c r="KU343" s="11" t="str">
        <f t="shared" si="253"/>
        <v>Little or no advocacy</v>
      </c>
      <c r="KV343" s="11" t="str">
        <f t="shared" si="254"/>
        <v>It linked and worked with strategic alliances and partners to take tested and effective solutions to scale</v>
      </c>
      <c r="KW343" s="11" t="str">
        <f t="shared" si="255"/>
        <v>Iraq - WASH and Shelter support to vulnerable IDPs in North Iraq in 2016 throughout 2017</v>
      </c>
      <c r="KX343" s="11" t="str">
        <f t="shared" si="256"/>
        <v>WASH and Shelter support to vulnerable IDPs in North Iraq in 2016 throughout 2017</v>
      </c>
      <c r="KY343" s="11" t="str">
        <f t="shared" si="257"/>
        <v>Iraq</v>
      </c>
      <c r="KZ343" s="287">
        <v>343</v>
      </c>
    </row>
    <row r="344" spans="1:312" x14ac:dyDescent="0.3">
      <c r="A344" s="282" t="s">
        <v>6024</v>
      </c>
      <c r="B344" s="282" t="s">
        <v>602</v>
      </c>
      <c r="C344" s="282">
        <v>6136</v>
      </c>
      <c r="D344" s="282" t="s">
        <v>6086</v>
      </c>
      <c r="E344" s="24" t="str">
        <f t="shared" si="215"/>
        <v>Iraq</v>
      </c>
      <c r="F344" s="282"/>
      <c r="G344" s="282" t="s">
        <v>1738</v>
      </c>
      <c r="H344" s="282" t="s">
        <v>310</v>
      </c>
      <c r="I344" s="282" t="s">
        <v>377</v>
      </c>
      <c r="J344" s="278" t="s">
        <v>3886</v>
      </c>
      <c r="K344" s="282"/>
      <c r="L344" s="282"/>
      <c r="M344" s="282"/>
      <c r="N344" s="282"/>
      <c r="O344" s="282"/>
      <c r="P344" s="282"/>
      <c r="Q344" s="282"/>
      <c r="R344" s="282"/>
      <c r="S344" s="282"/>
      <c r="T344" s="282"/>
      <c r="U344" s="282"/>
      <c r="V344" s="282"/>
      <c r="W344" s="282"/>
      <c r="X344" s="282"/>
      <c r="Y344" s="282"/>
      <c r="Z344" s="282"/>
      <c r="AA344" s="282"/>
      <c r="AB344" s="282"/>
      <c r="AC344" s="282"/>
      <c r="AD344" s="282"/>
      <c r="AE344" s="282"/>
      <c r="AF344" s="282"/>
      <c r="AG344" s="282"/>
      <c r="AH344" s="282"/>
      <c r="AI344" s="282"/>
      <c r="AJ344" s="282"/>
      <c r="AK344" s="282"/>
      <c r="AL344" s="282"/>
      <c r="AM344" s="282"/>
      <c r="AN344" s="282"/>
      <c r="AO344" s="282"/>
      <c r="AP344" s="282"/>
      <c r="AQ344" s="282"/>
      <c r="AR344" s="282"/>
      <c r="AS344" s="282"/>
      <c r="AT344" s="282"/>
      <c r="AU344" s="282"/>
      <c r="AV344" s="282"/>
      <c r="AW344" s="282"/>
      <c r="AX344" s="282"/>
      <c r="AY344" s="282"/>
      <c r="AZ344" s="282"/>
      <c r="BA344" s="282"/>
      <c r="BB344" s="282"/>
      <c r="BC344" s="282"/>
      <c r="BD344" s="283">
        <v>42736</v>
      </c>
      <c r="BE344" s="283">
        <v>43830</v>
      </c>
      <c r="BF344" s="283"/>
      <c r="BG344" s="283" t="s">
        <v>817</v>
      </c>
      <c r="BH344" s="284">
        <v>6169954</v>
      </c>
      <c r="BI344" s="282" t="s">
        <v>6047</v>
      </c>
      <c r="BJ344" s="282" t="s">
        <v>4723</v>
      </c>
      <c r="BK344" s="282" t="s">
        <v>6048</v>
      </c>
      <c r="BL344" s="282" t="s">
        <v>6049</v>
      </c>
      <c r="BM344" s="282" t="s">
        <v>6050</v>
      </c>
      <c r="BN344" s="282" t="s">
        <v>6051</v>
      </c>
      <c r="BO344" s="282" t="s">
        <v>320</v>
      </c>
      <c r="BP344" s="282" t="s">
        <v>319</v>
      </c>
      <c r="BQ344" s="282" t="s">
        <v>319</v>
      </c>
      <c r="BR344" s="282" t="s">
        <v>6087</v>
      </c>
      <c r="BS344" s="282" t="s">
        <v>849</v>
      </c>
      <c r="BT344" s="282" t="s">
        <v>6088</v>
      </c>
      <c r="BU344" s="282" t="s">
        <v>6054</v>
      </c>
      <c r="BV344" s="284">
        <v>16233</v>
      </c>
      <c r="BW344" s="284">
        <v>17674</v>
      </c>
      <c r="BX344" s="284">
        <v>33907</v>
      </c>
      <c r="BY344" s="284">
        <v>6224</v>
      </c>
      <c r="BZ344" s="284">
        <v>7018</v>
      </c>
      <c r="CA344" s="284">
        <v>13242</v>
      </c>
      <c r="CB344" s="285" t="s">
        <v>6089</v>
      </c>
      <c r="CC344" s="285"/>
      <c r="CD344" s="284">
        <v>16233</v>
      </c>
      <c r="CE344" s="284">
        <v>17674</v>
      </c>
      <c r="CF344" s="284">
        <v>33907</v>
      </c>
      <c r="CG344" s="284">
        <v>6224</v>
      </c>
      <c r="CH344" s="284">
        <v>7018</v>
      </c>
      <c r="CI344" s="284">
        <v>13242</v>
      </c>
      <c r="CJ344" s="282"/>
      <c r="CK344" s="284"/>
      <c r="CL344" s="286"/>
      <c r="CM344" s="284"/>
      <c r="CN344" s="287"/>
      <c r="CO344" s="284"/>
      <c r="CP344" s="286"/>
      <c r="CQ344" s="284"/>
      <c r="CR344" s="282"/>
      <c r="CS344" s="284"/>
      <c r="CT344" s="286"/>
      <c r="CU344" s="284"/>
      <c r="CV344" s="292" t="s">
        <v>320</v>
      </c>
      <c r="CW344" s="290">
        <v>33907</v>
      </c>
      <c r="CX344" s="291">
        <v>0.48</v>
      </c>
      <c r="CY344" s="290">
        <v>13242</v>
      </c>
      <c r="CZ344" s="282"/>
      <c r="DA344" s="284"/>
      <c r="DB344" s="286"/>
      <c r="DC344" s="284"/>
      <c r="DD344" s="287"/>
      <c r="DE344" s="284"/>
      <c r="DF344" s="286"/>
      <c r="DG344" s="284"/>
      <c r="DH344" s="282"/>
      <c r="DI344" s="284"/>
      <c r="DJ344" s="286"/>
      <c r="DK344" s="284"/>
      <c r="DL344" s="282"/>
      <c r="DM344" s="284"/>
      <c r="DN344" s="286"/>
      <c r="DO344" s="284"/>
      <c r="DP344" s="282"/>
      <c r="DQ344" s="284"/>
      <c r="DR344" s="286"/>
      <c r="DS344" s="284"/>
      <c r="DT344" s="282"/>
      <c r="DU344" s="284"/>
      <c r="DV344" s="286"/>
      <c r="DW344" s="284"/>
      <c r="DX344" s="282"/>
      <c r="DY344" s="284"/>
      <c r="DZ344" s="286"/>
      <c r="EA344" s="284"/>
      <c r="EB344" s="282" t="s">
        <v>320</v>
      </c>
      <c r="EC344" s="284">
        <v>33907</v>
      </c>
      <c r="ED344" s="286">
        <v>0.48</v>
      </c>
      <c r="EE344" s="284">
        <v>13242</v>
      </c>
      <c r="EF344" s="285"/>
      <c r="EG344" s="287"/>
      <c r="EH344" s="284"/>
      <c r="EI344" s="286"/>
      <c r="EJ344" s="284"/>
      <c r="EK344" s="284"/>
      <c r="EL344" s="284"/>
      <c r="EM344" s="284"/>
      <c r="EN344" s="284"/>
      <c r="EO344" s="284"/>
      <c r="EP344" s="284"/>
      <c r="EQ344" s="282"/>
      <c r="ER344" s="284"/>
      <c r="ES344" s="286"/>
      <c r="ET344" s="284"/>
      <c r="EU344" s="282"/>
      <c r="EV344" s="284"/>
      <c r="EW344" s="286"/>
      <c r="EX344" s="284"/>
      <c r="EY344" s="282"/>
      <c r="EZ344" s="284"/>
      <c r="FA344" s="286"/>
      <c r="FB344" s="284"/>
      <c r="FC344" s="282"/>
      <c r="FD344" s="284"/>
      <c r="FE344" s="286"/>
      <c r="FF344" s="284"/>
      <c r="FG344" s="282"/>
      <c r="FH344" s="284"/>
      <c r="FI344" s="286"/>
      <c r="FJ344" s="284"/>
      <c r="FK344" s="282"/>
      <c r="FL344" s="284"/>
      <c r="FM344" s="286"/>
      <c r="FN344" s="284"/>
      <c r="FO344" s="292"/>
      <c r="FP344" s="290"/>
      <c r="FQ344" s="291"/>
      <c r="FR344" s="290"/>
      <c r="FS344" s="282"/>
      <c r="FT344" s="284"/>
      <c r="FU344" s="286"/>
      <c r="FV344" s="284"/>
      <c r="FW344" s="282"/>
      <c r="FX344" s="284"/>
      <c r="FY344" s="286"/>
      <c r="FZ344" s="284"/>
      <c r="GA344" s="282"/>
      <c r="GB344" s="284"/>
      <c r="GC344" s="286"/>
      <c r="GD344" s="284"/>
      <c r="GE344" s="282"/>
      <c r="GF344" s="284"/>
      <c r="GG344" s="286"/>
      <c r="GH344" s="284"/>
      <c r="GI344" s="282"/>
      <c r="GJ344" s="284"/>
      <c r="GK344" s="286"/>
      <c r="GL344" s="284"/>
      <c r="GM344" s="282"/>
      <c r="GN344" s="284"/>
      <c r="GO344" s="286"/>
      <c r="GP344" s="284"/>
      <c r="GQ344" s="282"/>
      <c r="GR344" s="284"/>
      <c r="GS344" s="286"/>
      <c r="GT344" s="284"/>
      <c r="GU344" s="282"/>
      <c r="GV344" s="284"/>
      <c r="GW344" s="286"/>
      <c r="GX344" s="284"/>
      <c r="GY344" s="282"/>
      <c r="GZ344" s="284"/>
      <c r="HA344" s="286"/>
      <c r="HB344" s="284"/>
      <c r="HC344" s="282"/>
      <c r="HD344" s="282"/>
      <c r="HE344" s="284"/>
      <c r="HF344" s="286"/>
      <c r="HG344" s="284"/>
      <c r="HH344" s="282" t="s">
        <v>320</v>
      </c>
      <c r="HI344" s="282" t="s">
        <v>560</v>
      </c>
      <c r="HJ344" s="282">
        <v>2017</v>
      </c>
      <c r="HK344" s="282" t="s">
        <v>320</v>
      </c>
      <c r="HL344" s="282" t="s">
        <v>320</v>
      </c>
      <c r="HM344" s="282" t="s">
        <v>451</v>
      </c>
      <c r="HN344" s="282">
        <v>2018</v>
      </c>
      <c r="HO344" s="282" t="s">
        <v>6090</v>
      </c>
      <c r="HP344" s="282" t="s">
        <v>418</v>
      </c>
      <c r="HQ344" s="282" t="s">
        <v>319</v>
      </c>
      <c r="HR344" s="282" t="s">
        <v>320</v>
      </c>
      <c r="HS344" s="282" t="s">
        <v>320</v>
      </c>
      <c r="HT344" s="282" t="s">
        <v>320</v>
      </c>
      <c r="HU344" s="282" t="s">
        <v>320</v>
      </c>
      <c r="HV344" s="282" t="s">
        <v>320</v>
      </c>
      <c r="HW344" s="282" t="s">
        <v>320</v>
      </c>
      <c r="HX344" s="282"/>
      <c r="HY344" s="282"/>
      <c r="HZ344" s="282" t="s">
        <v>363</v>
      </c>
      <c r="IA344" s="282"/>
      <c r="IB344" s="282" t="s">
        <v>396</v>
      </c>
      <c r="IC344" s="282"/>
      <c r="ID344" s="282" t="s">
        <v>334</v>
      </c>
      <c r="IE344" s="282" t="s">
        <v>335</v>
      </c>
      <c r="IF344" s="282" t="s">
        <v>319</v>
      </c>
      <c r="IG344" s="282" t="s">
        <v>320</v>
      </c>
      <c r="IH344" s="282" t="s">
        <v>320</v>
      </c>
      <c r="II344" s="282" t="s">
        <v>320</v>
      </c>
      <c r="IJ344" s="12" t="str">
        <f t="shared" si="216"/>
        <v>1. Neutral</v>
      </c>
      <c r="IK344" s="287">
        <f t="shared" si="217"/>
        <v>3</v>
      </c>
      <c r="IL344" s="282" t="s">
        <v>336</v>
      </c>
      <c r="IM344" s="282" t="s">
        <v>320</v>
      </c>
      <c r="IN344" s="282" t="s">
        <v>320</v>
      </c>
      <c r="IO344" s="282" t="s">
        <v>320</v>
      </c>
      <c r="IP344" s="282" t="s">
        <v>320</v>
      </c>
      <c r="IQ344" s="287" t="str">
        <f t="shared" si="218"/>
        <v>2. Accommodating</v>
      </c>
      <c r="IR344" s="287">
        <f t="shared" si="219"/>
        <v>4</v>
      </c>
      <c r="IS344" s="282" t="s">
        <v>456</v>
      </c>
      <c r="IT344" s="282" t="s">
        <v>320</v>
      </c>
      <c r="IU344" s="282" t="s">
        <v>320</v>
      </c>
      <c r="IV344" s="282" t="s">
        <v>319</v>
      </c>
      <c r="IW344" s="11" t="str">
        <f t="shared" si="220"/>
        <v>0. Harmful</v>
      </c>
      <c r="IX344" s="287">
        <f t="shared" si="221"/>
        <v>2</v>
      </c>
      <c r="IY344" s="282" t="s">
        <v>338</v>
      </c>
      <c r="IZ344" s="282" t="s">
        <v>457</v>
      </c>
      <c r="JA344" s="282">
        <v>2</v>
      </c>
      <c r="JB344" s="282" t="s">
        <v>433</v>
      </c>
      <c r="JC344" s="282" t="s">
        <v>433</v>
      </c>
      <c r="JD344" s="282"/>
      <c r="JE344" s="282" t="s">
        <v>365</v>
      </c>
      <c r="JF344" s="282" t="s">
        <v>6056</v>
      </c>
      <c r="JG344" s="282" t="s">
        <v>6091</v>
      </c>
      <c r="JH344" s="282" t="s">
        <v>6092</v>
      </c>
      <c r="JI344" s="282" t="s">
        <v>6093</v>
      </c>
      <c r="JJ344" s="282"/>
      <c r="JK344" s="282" t="s">
        <v>6094</v>
      </c>
      <c r="JL344" s="282"/>
      <c r="JM344" s="282"/>
      <c r="JN344" s="282" t="s">
        <v>6065</v>
      </c>
      <c r="JO344" s="282"/>
      <c r="JP344" s="15">
        <f t="shared" si="222"/>
        <v>33907</v>
      </c>
      <c r="JQ344" s="15">
        <f t="shared" si="223"/>
        <v>13242</v>
      </c>
      <c r="JR344" s="279">
        <f t="shared" si="224"/>
        <v>0.39053882679092811</v>
      </c>
      <c r="JS344" s="17">
        <f t="shared" si="225"/>
        <v>0.4787507004453358</v>
      </c>
      <c r="JT344" s="18">
        <f t="shared" si="226"/>
        <v>0.47001963449629963</v>
      </c>
      <c r="JU344" s="280">
        <f t="shared" si="227"/>
        <v>16233</v>
      </c>
      <c r="JV344" s="280">
        <f t="shared" si="228"/>
        <v>6224</v>
      </c>
      <c r="JW344" s="319">
        <f t="shared" si="229"/>
        <v>1</v>
      </c>
      <c r="JX344" s="15">
        <f t="shared" si="230"/>
        <v>33907</v>
      </c>
      <c r="JY344" s="15">
        <f t="shared" si="231"/>
        <v>13242</v>
      </c>
      <c r="JZ344" s="19">
        <f t="shared" si="232"/>
        <v>0.39053882679092811</v>
      </c>
      <c r="KA344" s="52">
        <f t="shared" si="233"/>
        <v>1</v>
      </c>
      <c r="KB344" s="15">
        <f t="shared" si="234"/>
        <v>33907</v>
      </c>
      <c r="KC344" s="15">
        <f t="shared" si="235"/>
        <v>13242</v>
      </c>
      <c r="KD344" s="20">
        <f t="shared" si="236"/>
        <v>0.39053882679092811</v>
      </c>
      <c r="KE344" s="52" t="str">
        <f t="shared" si="237"/>
        <v/>
      </c>
      <c r="KF344" s="15">
        <f t="shared" si="238"/>
        <v>0</v>
      </c>
      <c r="KG344" s="15">
        <f t="shared" si="239"/>
        <v>0</v>
      </c>
      <c r="KH344" s="21" t="str">
        <f t="shared" si="240"/>
        <v/>
      </c>
      <c r="KI344" s="52" t="str">
        <f t="shared" si="241"/>
        <v/>
      </c>
      <c r="KJ344" s="15">
        <f t="shared" si="242"/>
        <v>0</v>
      </c>
      <c r="KK344" s="15">
        <f t="shared" si="243"/>
        <v>0</v>
      </c>
      <c r="KL344" s="19" t="str">
        <f t="shared" si="244"/>
        <v/>
      </c>
      <c r="KM344" s="52" t="str">
        <f t="shared" si="245"/>
        <v/>
      </c>
      <c r="KN344" s="22">
        <f t="shared" si="246"/>
        <v>0</v>
      </c>
      <c r="KO344" s="22">
        <f t="shared" si="247"/>
        <v>0</v>
      </c>
      <c r="KP344" s="19" t="str">
        <f t="shared" si="248"/>
        <v/>
      </c>
      <c r="KQ344" s="11" t="str">
        <f t="shared" si="249"/>
        <v>1. Neutral</v>
      </c>
      <c r="KR344" s="11" t="str">
        <f t="shared" si="250"/>
        <v>2. Accommodating</v>
      </c>
      <c r="KS344" s="11" t="str">
        <f t="shared" si="251"/>
        <v>0. Harmful</v>
      </c>
      <c r="KT344" s="11" t="str">
        <f t="shared" si="252"/>
        <v>It did not develop any specific innovation</v>
      </c>
      <c r="KU344" s="11" t="str">
        <f t="shared" si="253"/>
        <v>Little or no advocacy</v>
      </c>
      <c r="KV344" s="11" t="str">
        <f t="shared" si="254"/>
        <v>It linked and worked with strategic alliances and partners to take tested and effective solutions to scale</v>
      </c>
      <c r="KW344" s="11" t="str">
        <f t="shared" si="255"/>
        <v>Iraq - WASH support to IDPs &amp; host communities in Dohuk &amp; Ninewa 2017-19</v>
      </c>
      <c r="KX344" s="11" t="str">
        <f t="shared" si="256"/>
        <v>WASH support to IDPs &amp; host communities in Dohuk &amp; Ninewa 2017-19</v>
      </c>
      <c r="KY344" s="11" t="str">
        <f t="shared" si="257"/>
        <v>Iraq</v>
      </c>
      <c r="KZ344" s="287">
        <v>344</v>
      </c>
    </row>
    <row r="345" spans="1:312" x14ac:dyDescent="0.3">
      <c r="A345" s="282" t="s">
        <v>6024</v>
      </c>
      <c r="B345" s="282" t="s">
        <v>602</v>
      </c>
      <c r="C345" s="282">
        <v>6131</v>
      </c>
      <c r="D345" s="282" t="s">
        <v>6095</v>
      </c>
      <c r="E345" s="24" t="str">
        <f t="shared" si="215"/>
        <v>Iraq</v>
      </c>
      <c r="F345" s="282">
        <v>3161</v>
      </c>
      <c r="G345" s="282" t="s">
        <v>1738</v>
      </c>
      <c r="H345" s="282" t="s">
        <v>310</v>
      </c>
      <c r="I345" s="282" t="s">
        <v>377</v>
      </c>
      <c r="J345" s="278" t="s">
        <v>14564</v>
      </c>
      <c r="K345" s="282"/>
      <c r="L345" s="282"/>
      <c r="M345" s="282"/>
      <c r="N345" s="282"/>
      <c r="O345" s="282"/>
      <c r="P345" s="282"/>
      <c r="Q345" s="282"/>
      <c r="R345" s="282"/>
      <c r="S345" s="282"/>
      <c r="T345" s="282"/>
      <c r="U345" s="282"/>
      <c r="V345" s="282"/>
      <c r="W345" s="282"/>
      <c r="X345" s="282"/>
      <c r="Y345" s="282"/>
      <c r="Z345" s="282"/>
      <c r="AA345" s="282"/>
      <c r="AB345" s="282"/>
      <c r="AC345" s="282"/>
      <c r="AD345" s="282"/>
      <c r="AE345" s="282"/>
      <c r="AF345" s="282"/>
      <c r="AG345" s="282"/>
      <c r="AH345" s="282"/>
      <c r="AI345" s="282"/>
      <c r="AJ345" s="282"/>
      <c r="AK345" s="282"/>
      <c r="AL345" s="282"/>
      <c r="AM345" s="282"/>
      <c r="AN345" s="282"/>
      <c r="AO345" s="282"/>
      <c r="AP345" s="282"/>
      <c r="AQ345" s="282"/>
      <c r="AR345" s="282"/>
      <c r="AS345" s="282"/>
      <c r="AT345" s="282"/>
      <c r="AU345" s="282"/>
      <c r="AV345" s="282"/>
      <c r="AW345" s="282"/>
      <c r="AX345" s="282"/>
      <c r="AY345" s="282"/>
      <c r="AZ345" s="282"/>
      <c r="BA345" s="282"/>
      <c r="BB345" s="282"/>
      <c r="BC345" s="282"/>
      <c r="BD345" s="283">
        <v>42461</v>
      </c>
      <c r="BE345" s="283">
        <v>42825</v>
      </c>
      <c r="BF345" s="283"/>
      <c r="BG345" s="283" t="s">
        <v>817</v>
      </c>
      <c r="BH345" s="284"/>
      <c r="BI345" s="282" t="s">
        <v>6047</v>
      </c>
      <c r="BJ345" s="282" t="s">
        <v>4723</v>
      </c>
      <c r="BK345" s="282" t="s">
        <v>6048</v>
      </c>
      <c r="BL345" s="282" t="s">
        <v>6049</v>
      </c>
      <c r="BM345" s="282" t="s">
        <v>6050</v>
      </c>
      <c r="BN345" s="282" t="s">
        <v>6051</v>
      </c>
      <c r="BO345" s="282" t="s">
        <v>320</v>
      </c>
      <c r="BP345" s="282" t="s">
        <v>319</v>
      </c>
      <c r="BQ345" s="282" t="s">
        <v>319</v>
      </c>
      <c r="BR345" s="282" t="s">
        <v>6096</v>
      </c>
      <c r="BS345" s="282" t="s">
        <v>849</v>
      </c>
      <c r="BT345" s="282" t="s">
        <v>6097</v>
      </c>
      <c r="BU345" s="282" t="s">
        <v>6054</v>
      </c>
      <c r="BV345" s="284">
        <v>13303</v>
      </c>
      <c r="BW345" s="284">
        <v>13112</v>
      </c>
      <c r="BX345" s="284">
        <v>26415</v>
      </c>
      <c r="BY345" s="284"/>
      <c r="BZ345" s="284"/>
      <c r="CA345" s="284"/>
      <c r="CB345" s="285" t="s">
        <v>6079</v>
      </c>
      <c r="CC345" s="285"/>
      <c r="CD345" s="284">
        <v>13303</v>
      </c>
      <c r="CE345" s="284">
        <v>13112</v>
      </c>
      <c r="CF345" s="284">
        <v>26415</v>
      </c>
      <c r="CG345" s="284"/>
      <c r="CH345" s="284"/>
      <c r="CI345" s="284"/>
      <c r="CJ345" s="282"/>
      <c r="CK345" s="284"/>
      <c r="CL345" s="286"/>
      <c r="CM345" s="284"/>
      <c r="CN345" s="287"/>
      <c r="CO345" s="284"/>
      <c r="CP345" s="286"/>
      <c r="CQ345" s="284"/>
      <c r="CR345" s="282"/>
      <c r="CS345" s="284"/>
      <c r="CT345" s="286"/>
      <c r="CU345" s="284"/>
      <c r="CV345" s="292" t="s">
        <v>320</v>
      </c>
      <c r="CW345" s="290">
        <v>26415</v>
      </c>
      <c r="CX345" s="291">
        <v>0.5</v>
      </c>
      <c r="CY345" s="306"/>
      <c r="CZ345" s="282"/>
      <c r="DA345" s="284"/>
      <c r="DB345" s="286"/>
      <c r="DC345" s="284"/>
      <c r="DD345" s="287"/>
      <c r="DE345" s="284"/>
      <c r="DF345" s="286"/>
      <c r="DG345" s="284"/>
      <c r="DH345" s="282"/>
      <c r="DI345" s="284"/>
      <c r="DJ345" s="286"/>
      <c r="DK345" s="284"/>
      <c r="DL345" s="282"/>
      <c r="DM345" s="284"/>
      <c r="DN345" s="286"/>
      <c r="DO345" s="284"/>
      <c r="DP345" s="282"/>
      <c r="DQ345" s="284"/>
      <c r="DR345" s="286"/>
      <c r="DS345" s="284"/>
      <c r="DT345" s="282"/>
      <c r="DU345" s="284"/>
      <c r="DV345" s="286"/>
      <c r="DW345" s="284"/>
      <c r="DX345" s="282" t="s">
        <v>319</v>
      </c>
      <c r="DY345" s="284"/>
      <c r="DZ345" s="286"/>
      <c r="EA345" s="284"/>
      <c r="EB345" s="282" t="s">
        <v>320</v>
      </c>
      <c r="EC345" s="284">
        <v>26415</v>
      </c>
      <c r="ED345" s="286">
        <v>0.5</v>
      </c>
      <c r="EE345" s="284"/>
      <c r="EF345" s="285"/>
      <c r="EG345" s="287"/>
      <c r="EH345" s="284"/>
      <c r="EI345" s="286"/>
      <c r="EJ345" s="284"/>
      <c r="EK345" s="284"/>
      <c r="EL345" s="284"/>
      <c r="EM345" s="284"/>
      <c r="EN345" s="284"/>
      <c r="EO345" s="284"/>
      <c r="EP345" s="284"/>
      <c r="EQ345" s="282"/>
      <c r="ER345" s="284"/>
      <c r="ES345" s="286"/>
      <c r="ET345" s="284"/>
      <c r="EU345" s="282"/>
      <c r="EV345" s="284"/>
      <c r="EW345" s="286"/>
      <c r="EX345" s="284"/>
      <c r="EY345" s="282"/>
      <c r="EZ345" s="284"/>
      <c r="FA345" s="286"/>
      <c r="FB345" s="284"/>
      <c r="FC345" s="282"/>
      <c r="FD345" s="284"/>
      <c r="FE345" s="286"/>
      <c r="FF345" s="284"/>
      <c r="FG345" s="282"/>
      <c r="FH345" s="284"/>
      <c r="FI345" s="286"/>
      <c r="FJ345" s="284"/>
      <c r="FK345" s="282"/>
      <c r="FL345" s="284"/>
      <c r="FM345" s="286"/>
      <c r="FN345" s="284"/>
      <c r="FO345" s="292"/>
      <c r="FP345" s="290"/>
      <c r="FQ345" s="291"/>
      <c r="FR345" s="290"/>
      <c r="FS345" s="282"/>
      <c r="FT345" s="284"/>
      <c r="FU345" s="286"/>
      <c r="FV345" s="284"/>
      <c r="FW345" s="282"/>
      <c r="FX345" s="284"/>
      <c r="FY345" s="286"/>
      <c r="FZ345" s="284"/>
      <c r="GA345" s="282"/>
      <c r="GB345" s="284"/>
      <c r="GC345" s="286"/>
      <c r="GD345" s="284"/>
      <c r="GE345" s="282"/>
      <c r="GF345" s="284"/>
      <c r="GG345" s="286"/>
      <c r="GH345" s="284"/>
      <c r="GI345" s="282"/>
      <c r="GJ345" s="284"/>
      <c r="GK345" s="286"/>
      <c r="GL345" s="284"/>
      <c r="GM345" s="282"/>
      <c r="GN345" s="284"/>
      <c r="GO345" s="286"/>
      <c r="GP345" s="284"/>
      <c r="GQ345" s="282"/>
      <c r="GR345" s="284"/>
      <c r="GS345" s="286"/>
      <c r="GT345" s="284"/>
      <c r="GU345" s="282"/>
      <c r="GV345" s="284"/>
      <c r="GW345" s="286"/>
      <c r="GX345" s="284"/>
      <c r="GY345" s="282"/>
      <c r="GZ345" s="284"/>
      <c r="HA345" s="286"/>
      <c r="HB345" s="284"/>
      <c r="HC345" s="282"/>
      <c r="HD345" s="282"/>
      <c r="HE345" s="284"/>
      <c r="HF345" s="286"/>
      <c r="HG345" s="284"/>
      <c r="HH345" s="282" t="s">
        <v>320</v>
      </c>
      <c r="HI345" s="282" t="s">
        <v>560</v>
      </c>
      <c r="HJ345" s="282">
        <v>2017</v>
      </c>
      <c r="HK345" s="282" t="s">
        <v>320</v>
      </c>
      <c r="HL345" s="282" t="s">
        <v>320</v>
      </c>
      <c r="HM345" s="282" t="s">
        <v>451</v>
      </c>
      <c r="HN345" s="282">
        <v>2018</v>
      </c>
      <c r="HO345" s="282"/>
      <c r="HP345" s="282" t="s">
        <v>418</v>
      </c>
      <c r="HQ345" s="282" t="s">
        <v>319</v>
      </c>
      <c r="HR345" s="282" t="s">
        <v>320</v>
      </c>
      <c r="HS345" s="282" t="s">
        <v>320</v>
      </c>
      <c r="HT345" s="282" t="s">
        <v>320</v>
      </c>
      <c r="HU345" s="282" t="s">
        <v>320</v>
      </c>
      <c r="HV345" s="282" t="s">
        <v>320</v>
      </c>
      <c r="HW345" s="282" t="s">
        <v>320</v>
      </c>
      <c r="HX345" s="282"/>
      <c r="HY345" s="282"/>
      <c r="HZ345" s="282" t="s">
        <v>363</v>
      </c>
      <c r="IA345" s="282"/>
      <c r="IB345" s="282" t="s">
        <v>396</v>
      </c>
      <c r="IC345" s="282"/>
      <c r="ID345" s="282" t="s">
        <v>334</v>
      </c>
      <c r="IE345" s="282" t="s">
        <v>335</v>
      </c>
      <c r="IF345" s="282" t="s">
        <v>319</v>
      </c>
      <c r="IG345" s="282" t="s">
        <v>320</v>
      </c>
      <c r="IH345" s="282" t="s">
        <v>320</v>
      </c>
      <c r="II345" s="282" t="s">
        <v>320</v>
      </c>
      <c r="IJ345" s="12" t="str">
        <f t="shared" si="216"/>
        <v>1. Neutral</v>
      </c>
      <c r="IK345" s="287">
        <f t="shared" si="217"/>
        <v>3</v>
      </c>
      <c r="IL345" s="282" t="s">
        <v>336</v>
      </c>
      <c r="IM345" s="282" t="s">
        <v>320</v>
      </c>
      <c r="IN345" s="282" t="s">
        <v>320</v>
      </c>
      <c r="IO345" s="282" t="s">
        <v>320</v>
      </c>
      <c r="IP345" s="282" t="s">
        <v>320</v>
      </c>
      <c r="IQ345" s="287" t="str">
        <f t="shared" si="218"/>
        <v>2. Accommodating</v>
      </c>
      <c r="IR345" s="287">
        <f t="shared" si="219"/>
        <v>4</v>
      </c>
      <c r="IS345" s="282" t="s">
        <v>456</v>
      </c>
      <c r="IT345" s="282" t="s">
        <v>320</v>
      </c>
      <c r="IU345" s="282" t="s">
        <v>320</v>
      </c>
      <c r="IV345" s="282" t="s">
        <v>319</v>
      </c>
      <c r="IW345" s="11" t="str">
        <f t="shared" si="220"/>
        <v>0. Harmful</v>
      </c>
      <c r="IX345" s="287">
        <f t="shared" si="221"/>
        <v>2</v>
      </c>
      <c r="IY345" s="282" t="s">
        <v>338</v>
      </c>
      <c r="IZ345" s="282" t="s">
        <v>457</v>
      </c>
      <c r="JA345" s="282">
        <v>1</v>
      </c>
      <c r="JB345" s="282" t="s">
        <v>433</v>
      </c>
      <c r="JC345" s="282"/>
      <c r="JD345" s="282"/>
      <c r="JE345" s="282" t="s">
        <v>365</v>
      </c>
      <c r="JF345" s="282" t="s">
        <v>6056</v>
      </c>
      <c r="JG345" s="282"/>
      <c r="JH345" s="282" t="s">
        <v>6092</v>
      </c>
      <c r="JI345" s="282"/>
      <c r="JJ345" s="282"/>
      <c r="JK345" s="282" t="s">
        <v>6098</v>
      </c>
      <c r="JL345" s="282" t="s">
        <v>6099</v>
      </c>
      <c r="JM345" s="282" t="s">
        <v>6100</v>
      </c>
      <c r="JN345" s="282" t="s">
        <v>6085</v>
      </c>
      <c r="JO345" s="282" t="s">
        <v>6065</v>
      </c>
      <c r="JP345" s="15">
        <f t="shared" si="222"/>
        <v>26415</v>
      </c>
      <c r="JQ345" s="15">
        <f t="shared" si="223"/>
        <v>0</v>
      </c>
      <c r="JR345" s="279">
        <f t="shared" si="224"/>
        <v>0</v>
      </c>
      <c r="JS345" s="17">
        <f t="shared" si="225"/>
        <v>0.5036153700548931</v>
      </c>
      <c r="JT345" s="18" t="str">
        <f t="shared" si="226"/>
        <v/>
      </c>
      <c r="JU345" s="280">
        <f t="shared" si="227"/>
        <v>13303</v>
      </c>
      <c r="JV345" s="280">
        <f t="shared" si="228"/>
        <v>0</v>
      </c>
      <c r="JW345" s="319">
        <f t="shared" si="229"/>
        <v>1</v>
      </c>
      <c r="JX345" s="15">
        <f t="shared" si="230"/>
        <v>26415</v>
      </c>
      <c r="JY345" s="15">
        <f t="shared" si="231"/>
        <v>0</v>
      </c>
      <c r="JZ345" s="19">
        <f t="shared" si="232"/>
        <v>0</v>
      </c>
      <c r="KA345" s="52">
        <f t="shared" si="233"/>
        <v>1</v>
      </c>
      <c r="KB345" s="15">
        <f t="shared" si="234"/>
        <v>26415</v>
      </c>
      <c r="KC345" s="15">
        <f t="shared" si="235"/>
        <v>0</v>
      </c>
      <c r="KD345" s="20">
        <f t="shared" si="236"/>
        <v>0</v>
      </c>
      <c r="KE345" s="52" t="str">
        <f t="shared" si="237"/>
        <v/>
      </c>
      <c r="KF345" s="15">
        <f t="shared" si="238"/>
        <v>0</v>
      </c>
      <c r="KG345" s="15">
        <f t="shared" si="239"/>
        <v>0</v>
      </c>
      <c r="KH345" s="21" t="str">
        <f t="shared" si="240"/>
        <v/>
      </c>
      <c r="KI345" s="52" t="str">
        <f t="shared" si="241"/>
        <v/>
      </c>
      <c r="KJ345" s="15">
        <f t="shared" si="242"/>
        <v>0</v>
      </c>
      <c r="KK345" s="15">
        <f t="shared" si="243"/>
        <v>0</v>
      </c>
      <c r="KL345" s="19" t="str">
        <f t="shared" si="244"/>
        <v/>
      </c>
      <c r="KM345" s="52" t="str">
        <f t="shared" si="245"/>
        <v/>
      </c>
      <c r="KN345" s="22">
        <f t="shared" si="246"/>
        <v>0</v>
      </c>
      <c r="KO345" s="22">
        <f t="shared" si="247"/>
        <v>0</v>
      </c>
      <c r="KP345" s="19" t="str">
        <f t="shared" si="248"/>
        <v/>
      </c>
      <c r="KQ345" s="11" t="str">
        <f t="shared" si="249"/>
        <v>1. Neutral</v>
      </c>
      <c r="KR345" s="11" t="str">
        <f t="shared" si="250"/>
        <v>2. Accommodating</v>
      </c>
      <c r="KS345" s="11" t="str">
        <f t="shared" si="251"/>
        <v>0. Harmful</v>
      </c>
      <c r="KT345" s="11" t="str">
        <f t="shared" si="252"/>
        <v>It did not develop any specific innovation</v>
      </c>
      <c r="KU345" s="11" t="str">
        <f t="shared" si="253"/>
        <v>Little or no advocacy</v>
      </c>
      <c r="KV345" s="11" t="str">
        <f t="shared" si="254"/>
        <v>It linked and worked with strategic alliances and partners to take tested and effective solutions to scale</v>
      </c>
      <c r="KW345" s="11" t="str">
        <f t="shared" si="255"/>
        <v>Iraq - WASH support to vulnerable IDPs and host communities in Duhok</v>
      </c>
      <c r="KX345" s="11" t="str">
        <f t="shared" si="256"/>
        <v>WASH support to vulnerable IDPs and host communities in Duhok</v>
      </c>
      <c r="KY345" s="11" t="str">
        <f t="shared" si="257"/>
        <v>Iraq</v>
      </c>
      <c r="KZ345" s="12">
        <v>345</v>
      </c>
    </row>
    <row r="346" spans="1:312" x14ac:dyDescent="0.3">
      <c r="A346" s="11" t="s">
        <v>6024</v>
      </c>
      <c r="B346" s="11" t="s">
        <v>602</v>
      </c>
      <c r="D346" s="11" t="s">
        <v>6101</v>
      </c>
      <c r="E346" s="24" t="str">
        <f t="shared" si="215"/>
        <v>Iraq</v>
      </c>
      <c r="G346" s="11" t="s">
        <v>1738</v>
      </c>
      <c r="H346" s="11" t="s">
        <v>310</v>
      </c>
      <c r="I346" s="11" t="s">
        <v>384</v>
      </c>
      <c r="J346" s="278" t="s">
        <v>10341</v>
      </c>
      <c r="BD346" s="23">
        <v>42566</v>
      </c>
      <c r="BE346" s="23">
        <v>42953</v>
      </c>
      <c r="BG346" s="11" t="s">
        <v>817</v>
      </c>
      <c r="BH346" s="22">
        <v>34500</v>
      </c>
      <c r="BI346" s="11" t="s">
        <v>6047</v>
      </c>
      <c r="BJ346" s="11" t="s">
        <v>4723</v>
      </c>
      <c r="BK346" s="11" t="s">
        <v>6048</v>
      </c>
      <c r="BL346" s="11" t="s">
        <v>6049</v>
      </c>
      <c r="BM346" s="11" t="s">
        <v>6050</v>
      </c>
      <c r="BN346" s="11" t="s">
        <v>6051</v>
      </c>
      <c r="BO346" s="11" t="s">
        <v>320</v>
      </c>
      <c r="BP346" s="11" t="s">
        <v>319</v>
      </c>
      <c r="BQ346" s="11" t="s">
        <v>319</v>
      </c>
      <c r="BR346" s="11" t="s">
        <v>6102</v>
      </c>
      <c r="BS346" s="11" t="s">
        <v>322</v>
      </c>
      <c r="BT346" s="11" t="s">
        <v>6053</v>
      </c>
      <c r="BU346" s="11" t="s">
        <v>6054</v>
      </c>
      <c r="BV346" s="22">
        <v>1663</v>
      </c>
      <c r="BW346" s="22">
        <v>1952</v>
      </c>
      <c r="BX346" s="22">
        <v>3615</v>
      </c>
      <c r="CB346" s="15" t="s">
        <v>6103</v>
      </c>
      <c r="CD346" s="22">
        <v>1663</v>
      </c>
      <c r="CE346" s="22">
        <v>1952</v>
      </c>
      <c r="CF346" s="22">
        <v>3615</v>
      </c>
      <c r="CL346" s="18"/>
      <c r="CP346" s="18"/>
      <c r="CT346" s="18"/>
      <c r="CX346" s="18"/>
      <c r="DB346" s="18"/>
      <c r="DF346" s="18"/>
      <c r="DJ346" s="18"/>
      <c r="DN346" s="18"/>
      <c r="DR346" s="18"/>
      <c r="DV346" s="18"/>
      <c r="DZ346" s="18"/>
      <c r="EB346" s="11" t="s">
        <v>320</v>
      </c>
      <c r="EC346" s="22">
        <v>3615</v>
      </c>
      <c r="ED346" s="18">
        <v>0.46</v>
      </c>
      <c r="EI346" s="18"/>
      <c r="ES346" s="18"/>
      <c r="EW346" s="18"/>
      <c r="FA346" s="18"/>
      <c r="FE346" s="18"/>
      <c r="FI346" s="18"/>
      <c r="FM346" s="18"/>
      <c r="FQ346" s="18"/>
      <c r="FU346" s="18"/>
      <c r="FY346" s="18"/>
      <c r="GC346" s="18"/>
      <c r="GG346" s="18"/>
      <c r="GK346" s="18"/>
      <c r="GO346" s="18"/>
      <c r="GS346" s="18"/>
      <c r="GW346" s="18"/>
      <c r="HA346" s="18"/>
      <c r="HF346" s="18"/>
      <c r="HH346" s="11" t="s">
        <v>319</v>
      </c>
      <c r="HK346" s="11" t="s">
        <v>319</v>
      </c>
      <c r="HL346" s="11" t="s">
        <v>319</v>
      </c>
      <c r="HP346" s="11" t="s">
        <v>418</v>
      </c>
      <c r="HQ346" s="11" t="s">
        <v>319</v>
      </c>
      <c r="HR346" s="11" t="s">
        <v>320</v>
      </c>
      <c r="HS346" s="11" t="s">
        <v>319</v>
      </c>
      <c r="HT346" s="11" t="s">
        <v>320</v>
      </c>
      <c r="HU346" s="11" t="s">
        <v>320</v>
      </c>
      <c r="HV346" s="11" t="s">
        <v>320</v>
      </c>
      <c r="HW346" s="11" t="s">
        <v>320</v>
      </c>
      <c r="HZ346" s="11" t="s">
        <v>363</v>
      </c>
      <c r="IB346" s="11" t="s">
        <v>667</v>
      </c>
      <c r="ID346" s="11" t="s">
        <v>334</v>
      </c>
      <c r="IE346" s="11" t="s">
        <v>335</v>
      </c>
      <c r="IF346" s="11" t="s">
        <v>319</v>
      </c>
      <c r="IG346" s="11" t="s">
        <v>320</v>
      </c>
      <c r="IH346" s="11" t="s">
        <v>320</v>
      </c>
      <c r="II346" s="11" t="s">
        <v>320</v>
      </c>
      <c r="IJ346" s="12" t="str">
        <f t="shared" si="216"/>
        <v>1. Neutral</v>
      </c>
      <c r="IK346" s="12">
        <f t="shared" si="217"/>
        <v>3</v>
      </c>
      <c r="IL346" s="11" t="s">
        <v>336</v>
      </c>
      <c r="IM346" s="11" t="s">
        <v>319</v>
      </c>
      <c r="IN346" s="11" t="s">
        <v>320</v>
      </c>
      <c r="IO346" s="11" t="s">
        <v>320</v>
      </c>
      <c r="IP346" s="11" t="s">
        <v>320</v>
      </c>
      <c r="IQ346" s="12" t="str">
        <f t="shared" si="218"/>
        <v>2. Accommodating</v>
      </c>
      <c r="IR346" s="12">
        <f t="shared" si="219"/>
        <v>3</v>
      </c>
      <c r="IS346" s="11" t="s">
        <v>456</v>
      </c>
      <c r="IT346" s="11" t="s">
        <v>320</v>
      </c>
      <c r="IU346" s="11" t="s">
        <v>319</v>
      </c>
      <c r="IV346" s="11" t="s">
        <v>319</v>
      </c>
      <c r="IW346" s="11" t="str">
        <f t="shared" si="220"/>
        <v>0. Harmful</v>
      </c>
      <c r="IX346" s="12">
        <f t="shared" si="221"/>
        <v>1</v>
      </c>
      <c r="IY346" s="11" t="s">
        <v>338</v>
      </c>
      <c r="IZ346" s="11" t="s">
        <v>457</v>
      </c>
      <c r="JA346" s="11">
        <v>3</v>
      </c>
      <c r="JB346" s="11" t="s">
        <v>433</v>
      </c>
      <c r="JC346" s="11" t="s">
        <v>433</v>
      </c>
      <c r="JD346" s="11" t="s">
        <v>433</v>
      </c>
      <c r="JE346" s="11" t="s">
        <v>365</v>
      </c>
      <c r="JF346" s="11" t="s">
        <v>6056</v>
      </c>
      <c r="JG346" s="11" t="s">
        <v>6057</v>
      </c>
      <c r="JH346" s="11" t="s">
        <v>6058</v>
      </c>
      <c r="JI346" s="11" t="s">
        <v>6059</v>
      </c>
      <c r="JJ346" s="11" t="s">
        <v>6060</v>
      </c>
      <c r="JK346" s="11" t="s">
        <v>6061</v>
      </c>
      <c r="JL346" s="11" t="s">
        <v>6062</v>
      </c>
      <c r="JM346" s="11" t="s">
        <v>6063</v>
      </c>
      <c r="JN346" s="11" t="s">
        <v>6104</v>
      </c>
      <c r="JO346" s="11" t="s">
        <v>6065</v>
      </c>
      <c r="JP346" s="15">
        <f t="shared" si="222"/>
        <v>3615</v>
      </c>
      <c r="JQ346" s="15">
        <f t="shared" si="223"/>
        <v>0</v>
      </c>
      <c r="JR346" s="279">
        <f t="shared" si="224"/>
        <v>0</v>
      </c>
      <c r="JS346" s="17">
        <f t="shared" si="225"/>
        <v>0.46002766251728905</v>
      </c>
      <c r="JT346" s="18" t="str">
        <f t="shared" si="226"/>
        <v/>
      </c>
      <c r="JU346" s="280">
        <f t="shared" si="227"/>
        <v>1663</v>
      </c>
      <c r="JV346" s="280">
        <f t="shared" si="228"/>
        <v>0</v>
      </c>
      <c r="JW346" s="319">
        <f t="shared" si="229"/>
        <v>1</v>
      </c>
      <c r="JX346" s="15">
        <f t="shared" si="230"/>
        <v>3615</v>
      </c>
      <c r="JY346" s="15">
        <f t="shared" si="231"/>
        <v>0</v>
      </c>
      <c r="JZ346" s="19">
        <f t="shared" si="232"/>
        <v>0</v>
      </c>
      <c r="KA346" s="52" t="str">
        <f t="shared" si="233"/>
        <v/>
      </c>
      <c r="KB346" s="15">
        <f t="shared" si="234"/>
        <v>0</v>
      </c>
      <c r="KC346" s="15">
        <f t="shared" si="235"/>
        <v>0</v>
      </c>
      <c r="KD346" s="20" t="str">
        <f t="shared" si="236"/>
        <v/>
      </c>
      <c r="KE346" s="52" t="str">
        <f t="shared" si="237"/>
        <v/>
      </c>
      <c r="KF346" s="15">
        <f t="shared" si="238"/>
        <v>0</v>
      </c>
      <c r="KG346" s="15">
        <f t="shared" si="239"/>
        <v>0</v>
      </c>
      <c r="KH346" s="21" t="str">
        <f t="shared" si="240"/>
        <v/>
      </c>
      <c r="KI346" s="52" t="str">
        <f t="shared" si="241"/>
        <v/>
      </c>
      <c r="KJ346" s="15">
        <f t="shared" si="242"/>
        <v>0</v>
      </c>
      <c r="KK346" s="15">
        <f t="shared" si="243"/>
        <v>0</v>
      </c>
      <c r="KL346" s="19" t="str">
        <f t="shared" si="244"/>
        <v/>
      </c>
      <c r="KM346" s="52" t="str">
        <f t="shared" si="245"/>
        <v/>
      </c>
      <c r="KN346" s="22">
        <f t="shared" si="246"/>
        <v>0</v>
      </c>
      <c r="KO346" s="22">
        <f t="shared" si="247"/>
        <v>0</v>
      </c>
      <c r="KP346" s="19" t="str">
        <f t="shared" si="248"/>
        <v/>
      </c>
      <c r="KQ346" s="11" t="str">
        <f t="shared" si="249"/>
        <v>1. Neutral</v>
      </c>
      <c r="KR346" s="11" t="str">
        <f t="shared" si="250"/>
        <v>2. Accommodating</v>
      </c>
      <c r="KS346" s="11" t="str">
        <f t="shared" si="251"/>
        <v>0. Harmful</v>
      </c>
      <c r="KT346" s="11" t="str">
        <f t="shared" si="252"/>
        <v>It did not develop any specific innovation</v>
      </c>
      <c r="KU346" s="11" t="str">
        <f t="shared" si="253"/>
        <v>Little or no advocacy</v>
      </c>
      <c r="KV346" s="11" t="str">
        <f t="shared" si="254"/>
        <v>It took tested solutions to scale on its own</v>
      </c>
      <c r="KW346" s="11" t="str">
        <f t="shared" si="255"/>
        <v>Iraq - West Mosul emergancy response(ERF)</v>
      </c>
      <c r="KX346" s="11" t="str">
        <f t="shared" si="256"/>
        <v>West Mosul emergancy response(ERF)</v>
      </c>
      <c r="KY346" s="11" t="str">
        <f t="shared" si="257"/>
        <v>Iraq</v>
      </c>
      <c r="KZ346" s="12">
        <v>346</v>
      </c>
    </row>
    <row r="347" spans="1:312" x14ac:dyDescent="0.3">
      <c r="A347" s="11" t="s">
        <v>6105</v>
      </c>
      <c r="B347" s="11" t="s">
        <v>602</v>
      </c>
      <c r="C347" s="11">
        <v>3043</v>
      </c>
      <c r="D347" s="11" t="s">
        <v>6327</v>
      </c>
      <c r="E347" s="24" t="str">
        <f t="shared" si="215"/>
        <v>Jordan</v>
      </c>
      <c r="F347" s="11" t="s">
        <v>6328</v>
      </c>
      <c r="G347" s="11" t="s">
        <v>488</v>
      </c>
      <c r="H347" s="11" t="s">
        <v>310</v>
      </c>
      <c r="I347" s="11" t="s">
        <v>506</v>
      </c>
      <c r="J347" s="278" t="s">
        <v>9230</v>
      </c>
      <c r="BD347" s="23">
        <v>42005</v>
      </c>
      <c r="BE347" s="23">
        <v>42735</v>
      </c>
      <c r="BF347" s="23">
        <v>42735</v>
      </c>
      <c r="BG347" s="11" t="s">
        <v>817</v>
      </c>
      <c r="BH347" s="22">
        <v>7020437</v>
      </c>
      <c r="BI347" s="11" t="s">
        <v>6329</v>
      </c>
      <c r="BJ347" s="11" t="s">
        <v>6330</v>
      </c>
      <c r="BK347" s="11" t="s">
        <v>6331</v>
      </c>
      <c r="BL347" s="11" t="s">
        <v>6332</v>
      </c>
      <c r="BM347" s="11" t="s">
        <v>1899</v>
      </c>
      <c r="BN347" s="11" t="s">
        <v>6333</v>
      </c>
      <c r="BO347" s="11" t="s">
        <v>320</v>
      </c>
      <c r="BP347" s="11" t="s">
        <v>320</v>
      </c>
      <c r="BQ347" s="11" t="s">
        <v>320</v>
      </c>
      <c r="BR347" s="11" t="s">
        <v>6334</v>
      </c>
      <c r="BS347" s="11" t="s">
        <v>322</v>
      </c>
      <c r="BT347" s="11" t="s">
        <v>6335</v>
      </c>
      <c r="BU347" s="11" t="s">
        <v>6336</v>
      </c>
      <c r="BV347" s="22">
        <v>2100</v>
      </c>
      <c r="BW347" s="22">
        <v>2400</v>
      </c>
      <c r="BX347" s="22">
        <v>4500</v>
      </c>
      <c r="BY347" s="22">
        <v>8400</v>
      </c>
      <c r="BZ347" s="22">
        <v>8400</v>
      </c>
      <c r="CA347" s="22">
        <v>16800</v>
      </c>
      <c r="CB347" s="15" t="s">
        <v>6337</v>
      </c>
      <c r="CD347" s="22">
        <v>2125</v>
      </c>
      <c r="CE347" s="22">
        <v>2419</v>
      </c>
      <c r="CF347" s="22">
        <v>4544</v>
      </c>
      <c r="CG347" s="22">
        <v>9171</v>
      </c>
      <c r="CH347" s="22">
        <v>8967</v>
      </c>
      <c r="CI347" s="22">
        <v>18138</v>
      </c>
      <c r="CJ347" s="11" t="s">
        <v>319</v>
      </c>
      <c r="CL347" s="18"/>
      <c r="CN347" s="11" t="s">
        <v>320</v>
      </c>
      <c r="CO347" s="22">
        <v>1494</v>
      </c>
      <c r="CP347" s="18">
        <v>0.43169999999999997</v>
      </c>
      <c r="CQ347" s="22">
        <v>5939</v>
      </c>
      <c r="CR347" s="11" t="s">
        <v>319</v>
      </c>
      <c r="CT347" s="18"/>
      <c r="CV347" s="11" t="s">
        <v>319</v>
      </c>
      <c r="CX347" s="18"/>
      <c r="CZ347" s="11" t="s">
        <v>319</v>
      </c>
      <c r="DB347" s="18"/>
      <c r="DD347" s="11" t="s">
        <v>319</v>
      </c>
      <c r="DF347" s="18"/>
      <c r="DH347" s="11" t="s">
        <v>319</v>
      </c>
      <c r="DJ347" s="18"/>
      <c r="DL347" s="11" t="s">
        <v>320</v>
      </c>
      <c r="DM347" s="22">
        <v>560</v>
      </c>
      <c r="DN347" s="18">
        <v>0.4405</v>
      </c>
      <c r="DO347" s="22">
        <v>1374</v>
      </c>
      <c r="DP347" s="12" t="s">
        <v>320</v>
      </c>
      <c r="DQ347" s="22">
        <v>2654</v>
      </c>
      <c r="DR347" s="18">
        <v>0.49959999999999999</v>
      </c>
      <c r="DS347" s="22">
        <v>11622</v>
      </c>
      <c r="DT347" s="11" t="s">
        <v>319</v>
      </c>
      <c r="DV347" s="18"/>
      <c r="DX347" s="11" t="s">
        <v>319</v>
      </c>
      <c r="DZ347" s="18"/>
      <c r="EB347" s="11" t="s">
        <v>319</v>
      </c>
      <c r="ED347" s="18"/>
      <c r="EG347" s="15" t="s">
        <v>319</v>
      </c>
      <c r="EI347" s="18"/>
      <c r="EK347" s="22">
        <v>245</v>
      </c>
      <c r="EL347" s="22">
        <v>315</v>
      </c>
      <c r="EM347" s="22">
        <v>560</v>
      </c>
      <c r="EN347" s="22">
        <v>687</v>
      </c>
      <c r="EO347" s="22">
        <v>687</v>
      </c>
      <c r="EP347" s="22">
        <v>1374</v>
      </c>
      <c r="EQ347" s="12" t="s">
        <v>319</v>
      </c>
      <c r="ES347" s="18"/>
      <c r="EU347" s="11" t="s">
        <v>319</v>
      </c>
      <c r="EW347" s="18"/>
      <c r="EY347" s="12" t="s">
        <v>319</v>
      </c>
      <c r="FA347" s="18"/>
      <c r="FC347" s="12" t="s">
        <v>319</v>
      </c>
      <c r="FE347" s="18"/>
      <c r="FG347" s="12" t="s">
        <v>320</v>
      </c>
      <c r="FH347" s="22">
        <v>560</v>
      </c>
      <c r="FI347" s="18">
        <v>0.44</v>
      </c>
      <c r="FJ347" s="22">
        <v>1374</v>
      </c>
      <c r="FK347" s="11" t="s">
        <v>319</v>
      </c>
      <c r="FM347" s="18"/>
      <c r="FO347" s="11" t="s">
        <v>319</v>
      </c>
      <c r="FQ347" s="18"/>
      <c r="FS347" s="11" t="s">
        <v>319</v>
      </c>
      <c r="FU347" s="18"/>
      <c r="FW347" s="11" t="s">
        <v>319</v>
      </c>
      <c r="FY347" s="18"/>
      <c r="GA347" s="11" t="s">
        <v>319</v>
      </c>
      <c r="GC347" s="18"/>
      <c r="GE347" s="11" t="s">
        <v>319</v>
      </c>
      <c r="GG347" s="18"/>
      <c r="GI347" s="11" t="s">
        <v>319</v>
      </c>
      <c r="GK347" s="18"/>
      <c r="GM347" s="11" t="s">
        <v>319</v>
      </c>
      <c r="GO347" s="18"/>
      <c r="GQ347" s="11" t="s">
        <v>319</v>
      </c>
      <c r="GS347" s="18"/>
      <c r="GU347" s="11" t="s">
        <v>319</v>
      </c>
      <c r="GW347" s="18"/>
      <c r="GY347" s="11" t="s">
        <v>319</v>
      </c>
      <c r="HA347" s="18"/>
      <c r="HD347" s="11" t="s">
        <v>319</v>
      </c>
      <c r="HF347" s="18"/>
      <c r="HH347" s="11" t="s">
        <v>320</v>
      </c>
      <c r="HK347" s="11" t="s">
        <v>319</v>
      </c>
      <c r="HL347" s="11" t="s">
        <v>319</v>
      </c>
      <c r="HO347" s="11" t="s">
        <v>6338</v>
      </c>
      <c r="HP347" s="11" t="s">
        <v>330</v>
      </c>
      <c r="HQ347" s="11" t="s">
        <v>320</v>
      </c>
      <c r="HR347" s="11" t="s">
        <v>319</v>
      </c>
      <c r="HS347" s="11" t="s">
        <v>320</v>
      </c>
      <c r="HT347" s="11" t="s">
        <v>320</v>
      </c>
      <c r="HU347" s="11" t="s">
        <v>320</v>
      </c>
      <c r="HV347" s="11" t="s">
        <v>319</v>
      </c>
      <c r="HW347" s="11" t="s">
        <v>320</v>
      </c>
      <c r="HX347" s="11" t="s">
        <v>319</v>
      </c>
      <c r="HZ347" s="11" t="s">
        <v>331</v>
      </c>
      <c r="IA347" s="11" t="s">
        <v>6339</v>
      </c>
      <c r="IB347" s="11" t="s">
        <v>667</v>
      </c>
      <c r="IC347" s="11" t="s">
        <v>6340</v>
      </c>
      <c r="ID347" s="11" t="s">
        <v>334</v>
      </c>
      <c r="IE347" s="11" t="s">
        <v>478</v>
      </c>
      <c r="IF347" s="11" t="s">
        <v>320</v>
      </c>
      <c r="IG347" s="11" t="s">
        <v>320</v>
      </c>
      <c r="IH347" s="11" t="s">
        <v>320</v>
      </c>
      <c r="II347" s="11" t="s">
        <v>320</v>
      </c>
      <c r="IJ347" s="12" t="str">
        <f t="shared" si="216"/>
        <v>4. Transformative</v>
      </c>
      <c r="IK347" s="12">
        <f t="shared" si="217"/>
        <v>4</v>
      </c>
      <c r="IL347" s="11" t="s">
        <v>336</v>
      </c>
      <c r="IM347" s="11" t="s">
        <v>319</v>
      </c>
      <c r="IN347" s="11" t="s">
        <v>320</v>
      </c>
      <c r="IO347" s="11" t="s">
        <v>320</v>
      </c>
      <c r="IP347" s="11" t="s">
        <v>320</v>
      </c>
      <c r="IQ347" s="12" t="str">
        <f t="shared" si="218"/>
        <v>2. Accommodating</v>
      </c>
      <c r="IR347" s="12">
        <f t="shared" si="219"/>
        <v>3</v>
      </c>
      <c r="IS347" s="11" t="s">
        <v>622</v>
      </c>
      <c r="IT347" s="11" t="s">
        <v>320</v>
      </c>
      <c r="IU347" s="11" t="s">
        <v>320</v>
      </c>
      <c r="IV347" s="11" t="s">
        <v>320</v>
      </c>
      <c r="IW347" s="11" t="str">
        <f t="shared" si="220"/>
        <v>4. Transformative</v>
      </c>
      <c r="IX347" s="12">
        <f t="shared" si="221"/>
        <v>3</v>
      </c>
      <c r="IY347" s="11" t="s">
        <v>419</v>
      </c>
      <c r="IZ347" s="11" t="s">
        <v>339</v>
      </c>
      <c r="JA347" s="11">
        <v>3</v>
      </c>
      <c r="JB347" s="11" t="s">
        <v>433</v>
      </c>
      <c r="JC347" s="11" t="s">
        <v>687</v>
      </c>
      <c r="JE347" s="11" t="s">
        <v>340</v>
      </c>
      <c r="JF347" s="11" t="s">
        <v>6341</v>
      </c>
      <c r="JG347" s="11" t="s">
        <v>6342</v>
      </c>
      <c r="JH347" s="11" t="s">
        <v>6343</v>
      </c>
      <c r="JI347" s="11" t="s">
        <v>6344</v>
      </c>
      <c r="JJ347" s="11" t="s">
        <v>6345</v>
      </c>
      <c r="JK347" s="11" t="s">
        <v>6346</v>
      </c>
      <c r="JL347" s="11" t="s">
        <v>6347</v>
      </c>
      <c r="JM347" s="11" t="s">
        <v>6348</v>
      </c>
      <c r="JN347" s="11" t="s">
        <v>6349</v>
      </c>
      <c r="JO347" s="11" t="s">
        <v>6350</v>
      </c>
      <c r="JP347" s="15">
        <f t="shared" si="222"/>
        <v>4544</v>
      </c>
      <c r="JQ347" s="15">
        <f t="shared" si="223"/>
        <v>18138</v>
      </c>
      <c r="JR347" s="279">
        <f t="shared" si="224"/>
        <v>3.991637323943662</v>
      </c>
      <c r="JS347" s="17">
        <f t="shared" si="225"/>
        <v>0.46764964788732394</v>
      </c>
      <c r="JT347" s="18">
        <f t="shared" si="226"/>
        <v>0.50562355276215676</v>
      </c>
      <c r="JU347" s="280">
        <f t="shared" si="227"/>
        <v>2125</v>
      </c>
      <c r="JV347" s="280">
        <f t="shared" si="228"/>
        <v>9171</v>
      </c>
      <c r="JW347" s="319">
        <f t="shared" si="229"/>
        <v>1</v>
      </c>
      <c r="JX347" s="15">
        <f t="shared" si="230"/>
        <v>4544</v>
      </c>
      <c r="JY347" s="15">
        <f t="shared" si="231"/>
        <v>18138</v>
      </c>
      <c r="JZ347" s="19">
        <f t="shared" si="232"/>
        <v>3.991637323943662</v>
      </c>
      <c r="KA347" s="52">
        <f t="shared" si="233"/>
        <v>1</v>
      </c>
      <c r="KB347" s="15">
        <f t="shared" si="234"/>
        <v>560</v>
      </c>
      <c r="KC347" s="15">
        <f t="shared" si="235"/>
        <v>1374</v>
      </c>
      <c r="KD347" s="20">
        <f t="shared" si="236"/>
        <v>2.4535714285714287</v>
      </c>
      <c r="KE347" s="52" t="str">
        <f t="shared" si="237"/>
        <v/>
      </c>
      <c r="KF347" s="15">
        <f t="shared" si="238"/>
        <v>0</v>
      </c>
      <c r="KG347" s="15">
        <f t="shared" si="239"/>
        <v>0</v>
      </c>
      <c r="KH347" s="21" t="str">
        <f t="shared" si="240"/>
        <v/>
      </c>
      <c r="KI347" s="52" t="str">
        <f t="shared" si="241"/>
        <v/>
      </c>
      <c r="KJ347" s="15">
        <f t="shared" si="242"/>
        <v>0</v>
      </c>
      <c r="KK347" s="15">
        <f t="shared" si="243"/>
        <v>0</v>
      </c>
      <c r="KL347" s="19" t="str">
        <f t="shared" si="244"/>
        <v/>
      </c>
      <c r="KM347" s="52">
        <f t="shared" si="245"/>
        <v>1</v>
      </c>
      <c r="KN347" s="22">
        <f t="shared" si="246"/>
        <v>246.4</v>
      </c>
      <c r="KO347" s="22">
        <f t="shared" si="247"/>
        <v>604.56000000000006</v>
      </c>
      <c r="KP347" s="19">
        <f t="shared" si="248"/>
        <v>2.4535714285714287</v>
      </c>
      <c r="KQ347" s="11" t="str">
        <f t="shared" si="249"/>
        <v>4. Transformative</v>
      </c>
      <c r="KR347" s="11" t="str">
        <f t="shared" si="250"/>
        <v>2. Accommodating</v>
      </c>
      <c r="KS347" s="11" t="str">
        <f t="shared" si="251"/>
        <v>4. Transformative</v>
      </c>
      <c r="KT347" s="11" t="str">
        <f t="shared" si="252"/>
        <v>It tested new ways for fighting poverty and measured results of innovation</v>
      </c>
      <c r="KU347" s="11" t="str">
        <f t="shared" si="253"/>
        <v>Moderate advocacy</v>
      </c>
      <c r="KV347" s="11" t="str">
        <f t="shared" si="254"/>
        <v>It took tested solutions to scale on its own</v>
      </c>
      <c r="KW347" s="11" t="str">
        <f t="shared" si="255"/>
        <v>Jordan - Emergency Assistance and Longer Term Recovery from the Impact of the Syria Crisis in Jordan</v>
      </c>
      <c r="KX347" s="11" t="str">
        <f t="shared" si="256"/>
        <v>Emergency Assistance and Longer Term Recovery from the Impact of the Syria Crisis in Jordan</v>
      </c>
      <c r="KY347" s="11" t="str">
        <f t="shared" si="257"/>
        <v>Jordan</v>
      </c>
      <c r="KZ347" s="12">
        <v>347</v>
      </c>
    </row>
    <row r="348" spans="1:312" x14ac:dyDescent="0.3">
      <c r="A348" s="11" t="s">
        <v>6105</v>
      </c>
      <c r="B348" s="11" t="s">
        <v>602</v>
      </c>
      <c r="D348" s="11" t="s">
        <v>6106</v>
      </c>
      <c r="E348" s="24" t="str">
        <f t="shared" si="215"/>
        <v>Jordan</v>
      </c>
      <c r="F348" s="11" t="s">
        <v>6107</v>
      </c>
      <c r="G348" s="11" t="s">
        <v>309</v>
      </c>
      <c r="H348" s="11" t="s">
        <v>310</v>
      </c>
      <c r="I348" s="11" t="s">
        <v>311</v>
      </c>
      <c r="J348" s="278" t="s">
        <v>14678</v>
      </c>
      <c r="BD348" s="23">
        <v>42564</v>
      </c>
      <c r="BE348" s="23">
        <v>43293</v>
      </c>
      <c r="BG348" s="11" t="s">
        <v>817</v>
      </c>
      <c r="BH348" s="22">
        <v>1587172</v>
      </c>
      <c r="BI348" s="11" t="s">
        <v>6108</v>
      </c>
      <c r="BJ348" s="11" t="s">
        <v>6109</v>
      </c>
      <c r="BK348" s="11" t="s">
        <v>6110</v>
      </c>
      <c r="BO348" s="11" t="s">
        <v>320</v>
      </c>
      <c r="BP348" s="11" t="s">
        <v>320</v>
      </c>
      <c r="BQ348" s="11" t="s">
        <v>320</v>
      </c>
      <c r="BR348" s="11" t="s">
        <v>6111</v>
      </c>
      <c r="BS348" s="11" t="s">
        <v>322</v>
      </c>
      <c r="BT348" s="11" t="s">
        <v>6112</v>
      </c>
      <c r="BU348" s="11" t="s">
        <v>6113</v>
      </c>
      <c r="BV348" s="22">
        <v>11429</v>
      </c>
      <c r="BW348" s="22">
        <v>11428</v>
      </c>
      <c r="BX348" s="22">
        <v>22857</v>
      </c>
      <c r="BY348" s="22">
        <v>62857</v>
      </c>
      <c r="BZ348" s="22">
        <v>62857</v>
      </c>
      <c r="CA348" s="22">
        <v>125714</v>
      </c>
      <c r="CB348" s="15" t="s">
        <v>6114</v>
      </c>
      <c r="CD348" s="22">
        <v>7199</v>
      </c>
      <c r="CE348" s="22">
        <v>7321</v>
      </c>
      <c r="CF348" s="22">
        <v>14520</v>
      </c>
      <c r="CG348" s="22">
        <v>35995</v>
      </c>
      <c r="CH348" s="22">
        <v>36605</v>
      </c>
      <c r="CI348" s="22">
        <v>72600</v>
      </c>
      <c r="CJ348" s="11" t="s">
        <v>319</v>
      </c>
      <c r="CL348" s="18"/>
      <c r="CN348" s="12" t="s">
        <v>320</v>
      </c>
      <c r="CO348" s="22">
        <v>802</v>
      </c>
      <c r="CP348" s="18">
        <v>0.4027</v>
      </c>
      <c r="CQ348" s="22">
        <v>4010</v>
      </c>
      <c r="CR348" s="11" t="s">
        <v>319</v>
      </c>
      <c r="CT348" s="18"/>
      <c r="CV348" s="11" t="s">
        <v>319</v>
      </c>
      <c r="CX348" s="18"/>
      <c r="CZ348" s="11" t="s">
        <v>319</v>
      </c>
      <c r="DB348" s="18"/>
      <c r="DD348" s="11" t="s">
        <v>319</v>
      </c>
      <c r="DF348" s="18"/>
      <c r="DH348" s="11" t="s">
        <v>319</v>
      </c>
      <c r="DJ348" s="18"/>
      <c r="DL348" s="11" t="s">
        <v>320</v>
      </c>
      <c r="DM348" s="22">
        <v>300</v>
      </c>
      <c r="DN348" s="18">
        <v>0.99650000000000005</v>
      </c>
      <c r="DO348" s="22">
        <v>1500</v>
      </c>
      <c r="DP348" s="12" t="s">
        <v>320</v>
      </c>
      <c r="DQ348" s="22">
        <v>13975</v>
      </c>
      <c r="DR348" s="18">
        <v>0.49180000000000001</v>
      </c>
      <c r="DS348" s="22">
        <v>69875</v>
      </c>
      <c r="DT348" s="11" t="s">
        <v>319</v>
      </c>
      <c r="DV348" s="18"/>
      <c r="DX348" s="11" t="s">
        <v>319</v>
      </c>
      <c r="DZ348" s="18"/>
      <c r="EB348" s="11" t="s">
        <v>319</v>
      </c>
      <c r="ED348" s="18"/>
      <c r="EG348" s="15" t="s">
        <v>319</v>
      </c>
      <c r="EI348" s="18"/>
      <c r="EK348" s="22">
        <v>300</v>
      </c>
      <c r="EL348" s="22">
        <v>0</v>
      </c>
      <c r="EM348" s="22">
        <v>300</v>
      </c>
      <c r="EN348" s="22">
        <v>750</v>
      </c>
      <c r="EO348" s="22">
        <v>750</v>
      </c>
      <c r="EP348" s="22">
        <v>1500</v>
      </c>
      <c r="EQ348" s="12" t="s">
        <v>319</v>
      </c>
      <c r="ES348" s="18"/>
      <c r="EU348" s="11" t="s">
        <v>319</v>
      </c>
      <c r="EW348" s="18"/>
      <c r="EY348" s="12" t="s">
        <v>319</v>
      </c>
      <c r="FA348" s="18"/>
      <c r="FC348" s="12" t="s">
        <v>319</v>
      </c>
      <c r="FE348" s="18"/>
      <c r="FG348" s="12" t="s">
        <v>320</v>
      </c>
      <c r="FH348" s="22">
        <v>300</v>
      </c>
      <c r="FI348" s="18">
        <v>0.99650000000000005</v>
      </c>
      <c r="FJ348" s="22">
        <v>1500</v>
      </c>
      <c r="FK348" s="11" t="s">
        <v>319</v>
      </c>
      <c r="FM348" s="18"/>
      <c r="FO348" s="11" t="s">
        <v>319</v>
      </c>
      <c r="FQ348" s="18"/>
      <c r="FS348" s="11" t="s">
        <v>319</v>
      </c>
      <c r="FU348" s="18"/>
      <c r="FW348" s="11" t="s">
        <v>319</v>
      </c>
      <c r="FY348" s="18"/>
      <c r="GA348" s="11" t="s">
        <v>319</v>
      </c>
      <c r="GC348" s="18"/>
      <c r="GE348" s="11" t="s">
        <v>319</v>
      </c>
      <c r="GG348" s="18"/>
      <c r="GI348" s="11" t="s">
        <v>319</v>
      </c>
      <c r="GK348" s="18"/>
      <c r="GM348" s="11" t="s">
        <v>319</v>
      </c>
      <c r="GO348" s="18"/>
      <c r="GQ348" s="11" t="s">
        <v>319</v>
      </c>
      <c r="GS348" s="18"/>
      <c r="GU348" s="11" t="s">
        <v>319</v>
      </c>
      <c r="GW348" s="18"/>
      <c r="GY348" s="11" t="s">
        <v>319</v>
      </c>
      <c r="HA348" s="18"/>
      <c r="HD348" s="11" t="s">
        <v>319</v>
      </c>
      <c r="HF348" s="18"/>
      <c r="HH348" s="11" t="s">
        <v>320</v>
      </c>
      <c r="HI348" s="11" t="s">
        <v>361</v>
      </c>
      <c r="HJ348" s="11">
        <v>2016</v>
      </c>
      <c r="HK348" s="11" t="s">
        <v>320</v>
      </c>
      <c r="HL348" s="11" t="s">
        <v>320</v>
      </c>
      <c r="HM348" s="11" t="s">
        <v>415</v>
      </c>
      <c r="HN348" s="11">
        <v>2018</v>
      </c>
      <c r="HO348" s="11" t="s">
        <v>6115</v>
      </c>
      <c r="HP348" s="11" t="s">
        <v>330</v>
      </c>
      <c r="HQ348" s="11" t="s">
        <v>319</v>
      </c>
      <c r="HR348" s="11" t="s">
        <v>319</v>
      </c>
      <c r="HS348" s="11" t="s">
        <v>320</v>
      </c>
      <c r="HT348" s="11" t="s">
        <v>320</v>
      </c>
      <c r="HU348" s="11" t="s">
        <v>320</v>
      </c>
      <c r="HV348" s="11" t="s">
        <v>319</v>
      </c>
      <c r="HW348" s="11" t="s">
        <v>320</v>
      </c>
      <c r="HX348" s="11" t="s">
        <v>319</v>
      </c>
      <c r="HZ348" s="11" t="s">
        <v>331</v>
      </c>
      <c r="IA348" s="11" t="s">
        <v>6116</v>
      </c>
      <c r="IB348" s="11" t="s">
        <v>396</v>
      </c>
      <c r="IC348" s="11" t="s">
        <v>6117</v>
      </c>
      <c r="ID348" s="11" t="s">
        <v>334</v>
      </c>
      <c r="IE348" s="11" t="s">
        <v>335</v>
      </c>
      <c r="IF348" s="11" t="s">
        <v>320</v>
      </c>
      <c r="IG348" s="11" t="s">
        <v>320</v>
      </c>
      <c r="IH348" s="11" t="s">
        <v>320</v>
      </c>
      <c r="II348" s="11" t="s">
        <v>320</v>
      </c>
      <c r="IJ348" s="12" t="str">
        <f t="shared" si="216"/>
        <v>2. Sensitive</v>
      </c>
      <c r="IK348" s="12">
        <f t="shared" si="217"/>
        <v>4</v>
      </c>
      <c r="IL348" s="11" t="s">
        <v>621</v>
      </c>
      <c r="IM348" s="11" t="s">
        <v>320</v>
      </c>
      <c r="IN348" s="11" t="s">
        <v>320</v>
      </c>
      <c r="IO348" s="11" t="s">
        <v>320</v>
      </c>
      <c r="IP348" s="11" t="s">
        <v>320</v>
      </c>
      <c r="IQ348" s="12" t="str">
        <f t="shared" si="218"/>
        <v>4. Transformational</v>
      </c>
      <c r="IR348" s="12">
        <f t="shared" si="219"/>
        <v>4</v>
      </c>
      <c r="IS348" s="11" t="s">
        <v>622</v>
      </c>
      <c r="IT348" s="11" t="s">
        <v>320</v>
      </c>
      <c r="IU348" s="11" t="s">
        <v>320</v>
      </c>
      <c r="IV348" s="11" t="s">
        <v>320</v>
      </c>
      <c r="IW348" s="11" t="str">
        <f t="shared" si="220"/>
        <v>4. Transformative</v>
      </c>
      <c r="IX348" s="12">
        <f t="shared" si="221"/>
        <v>3</v>
      </c>
      <c r="IY348" s="11" t="s">
        <v>338</v>
      </c>
      <c r="IZ348" s="11" t="s">
        <v>432</v>
      </c>
      <c r="JA348" s="11">
        <v>3</v>
      </c>
      <c r="JB348" s="11" t="s">
        <v>433</v>
      </c>
      <c r="JC348" s="11" t="s">
        <v>724</v>
      </c>
      <c r="JD348" s="11" t="s">
        <v>623</v>
      </c>
      <c r="JE348" s="11" t="s">
        <v>340</v>
      </c>
      <c r="JF348" s="11" t="s">
        <v>6118</v>
      </c>
      <c r="JH348" s="11" t="s">
        <v>6119</v>
      </c>
      <c r="JI348" s="11" t="s">
        <v>6120</v>
      </c>
      <c r="JJ348" s="11" t="s">
        <v>6121</v>
      </c>
      <c r="JK348" s="11" t="s">
        <v>6122</v>
      </c>
      <c r="JL348" s="11" t="s">
        <v>6123</v>
      </c>
      <c r="JM348" s="11" t="s">
        <v>6124</v>
      </c>
      <c r="JO348" s="11" t="s">
        <v>6125</v>
      </c>
      <c r="JP348" s="15">
        <f t="shared" si="222"/>
        <v>14520</v>
      </c>
      <c r="JQ348" s="15">
        <f t="shared" si="223"/>
        <v>72600</v>
      </c>
      <c r="JR348" s="279">
        <f t="shared" si="224"/>
        <v>5</v>
      </c>
      <c r="JS348" s="17">
        <f t="shared" si="225"/>
        <v>0.49579889807162536</v>
      </c>
      <c r="JT348" s="18">
        <f t="shared" si="226"/>
        <v>0.49579889807162536</v>
      </c>
      <c r="JU348" s="280">
        <f t="shared" si="227"/>
        <v>7199</v>
      </c>
      <c r="JV348" s="280">
        <f t="shared" si="228"/>
        <v>35995</v>
      </c>
      <c r="JW348" s="319">
        <f t="shared" si="229"/>
        <v>1</v>
      </c>
      <c r="JX348" s="15">
        <f t="shared" si="230"/>
        <v>14520</v>
      </c>
      <c r="JY348" s="15">
        <f t="shared" si="231"/>
        <v>72600</v>
      </c>
      <c r="JZ348" s="19">
        <f t="shared" si="232"/>
        <v>5</v>
      </c>
      <c r="KA348" s="52">
        <f t="shared" si="233"/>
        <v>1</v>
      </c>
      <c r="KB348" s="15">
        <f t="shared" si="234"/>
        <v>300</v>
      </c>
      <c r="KC348" s="15">
        <f t="shared" si="235"/>
        <v>1500</v>
      </c>
      <c r="KD348" s="20">
        <f t="shared" si="236"/>
        <v>5</v>
      </c>
      <c r="KE348" s="52" t="str">
        <f t="shared" si="237"/>
        <v/>
      </c>
      <c r="KF348" s="15">
        <f t="shared" si="238"/>
        <v>0</v>
      </c>
      <c r="KG348" s="15">
        <f t="shared" si="239"/>
        <v>0</v>
      </c>
      <c r="KH348" s="21" t="str">
        <f t="shared" si="240"/>
        <v/>
      </c>
      <c r="KI348" s="52" t="str">
        <f t="shared" si="241"/>
        <v/>
      </c>
      <c r="KJ348" s="15">
        <f t="shared" si="242"/>
        <v>0</v>
      </c>
      <c r="KK348" s="15">
        <f t="shared" si="243"/>
        <v>0</v>
      </c>
      <c r="KL348" s="19" t="str">
        <f t="shared" si="244"/>
        <v/>
      </c>
      <c r="KM348" s="52">
        <f t="shared" si="245"/>
        <v>1</v>
      </c>
      <c r="KN348" s="22">
        <f t="shared" si="246"/>
        <v>298.95</v>
      </c>
      <c r="KO348" s="22">
        <f t="shared" si="247"/>
        <v>1494.75</v>
      </c>
      <c r="KP348" s="19">
        <f t="shared" si="248"/>
        <v>5</v>
      </c>
      <c r="KQ348" s="11" t="str">
        <f t="shared" si="249"/>
        <v>2. Sensitive</v>
      </c>
      <c r="KR348" s="11" t="str">
        <f t="shared" si="250"/>
        <v>4. Transformational</v>
      </c>
      <c r="KS348" s="11" t="str">
        <f t="shared" si="251"/>
        <v>4. Transformative</v>
      </c>
      <c r="KT348" s="11" t="str">
        <f t="shared" si="252"/>
        <v>It tested new ways for fighting poverty and measured results of innovation</v>
      </c>
      <c r="KU348" s="11" t="str">
        <f t="shared" si="253"/>
        <v>Moderate advocacy</v>
      </c>
      <c r="KV348" s="11" t="str">
        <f t="shared" si="254"/>
        <v>It linked and worked with strategic alliances and partners to take tested and effective solutions to scale</v>
      </c>
      <c r="KW348" s="11" t="str">
        <f t="shared" si="255"/>
        <v>Jordan - Emergency Assistance and Safe Spaces for Crisis Affected People in Jordan</v>
      </c>
      <c r="KX348" s="11" t="str">
        <f t="shared" si="256"/>
        <v>Emergency Assistance and Safe Spaces for Crisis Affected People in Jordan</v>
      </c>
      <c r="KY348" s="11" t="str">
        <f t="shared" si="257"/>
        <v>Jordan</v>
      </c>
      <c r="KZ348" s="12">
        <v>348</v>
      </c>
    </row>
    <row r="349" spans="1:312" x14ac:dyDescent="0.3">
      <c r="A349" s="11" t="s">
        <v>6105</v>
      </c>
      <c r="B349" s="11" t="s">
        <v>602</v>
      </c>
      <c r="D349" s="11" t="s">
        <v>6351</v>
      </c>
      <c r="E349" s="24" t="str">
        <f t="shared" si="215"/>
        <v>Jordan</v>
      </c>
      <c r="F349" s="11" t="s">
        <v>6352</v>
      </c>
      <c r="G349" s="11" t="s">
        <v>488</v>
      </c>
      <c r="H349" s="11" t="s">
        <v>310</v>
      </c>
      <c r="I349" s="11" t="s">
        <v>506</v>
      </c>
      <c r="J349" s="278" t="s">
        <v>9230</v>
      </c>
      <c r="BD349" s="23">
        <v>42736</v>
      </c>
      <c r="BE349" s="23">
        <v>43131</v>
      </c>
      <c r="BG349" s="11" t="s">
        <v>817</v>
      </c>
      <c r="BH349" s="22">
        <v>3600000</v>
      </c>
      <c r="BI349" s="11" t="s">
        <v>6353</v>
      </c>
      <c r="BJ349" s="11" t="s">
        <v>6354</v>
      </c>
      <c r="BK349" s="11" t="s">
        <v>6355</v>
      </c>
      <c r="BO349" s="11" t="s">
        <v>320</v>
      </c>
      <c r="BP349" s="11" t="s">
        <v>320</v>
      </c>
      <c r="BQ349" s="12" t="s">
        <v>320</v>
      </c>
      <c r="BR349" s="11" t="s">
        <v>6356</v>
      </c>
      <c r="BS349" s="11" t="s">
        <v>322</v>
      </c>
      <c r="BT349" s="11" t="s">
        <v>6357</v>
      </c>
      <c r="BU349" s="11" t="s">
        <v>6358</v>
      </c>
      <c r="BV349" s="22">
        <v>10000</v>
      </c>
      <c r="BW349" s="22">
        <v>10000</v>
      </c>
      <c r="BX349" s="22">
        <v>20000</v>
      </c>
      <c r="BY349" s="22">
        <v>37000</v>
      </c>
      <c r="BZ349" s="22">
        <v>37000</v>
      </c>
      <c r="CA349" s="22">
        <v>74000</v>
      </c>
      <c r="CB349" s="15" t="s">
        <v>6359</v>
      </c>
      <c r="CD349" s="22">
        <v>4341</v>
      </c>
      <c r="CE349" s="22">
        <v>3644</v>
      </c>
      <c r="CF349" s="22">
        <v>7985</v>
      </c>
      <c r="CG349" s="22">
        <v>20040</v>
      </c>
      <c r="CH349" s="22">
        <v>17126</v>
      </c>
      <c r="CI349" s="22">
        <v>37166</v>
      </c>
      <c r="CJ349" s="11" t="s">
        <v>319</v>
      </c>
      <c r="CL349" s="18"/>
      <c r="CN349" s="11" t="s">
        <v>320</v>
      </c>
      <c r="CO349" s="22">
        <v>1590</v>
      </c>
      <c r="CP349" s="18">
        <v>0.438</v>
      </c>
      <c r="CQ349" s="22">
        <v>7473</v>
      </c>
      <c r="CR349" s="11" t="s">
        <v>319</v>
      </c>
      <c r="CT349" s="18"/>
      <c r="CV349" s="11" t="s">
        <v>319</v>
      </c>
      <c r="CX349" s="18"/>
      <c r="CZ349" s="11" t="s">
        <v>319</v>
      </c>
      <c r="DB349" s="18"/>
      <c r="DD349" s="11" t="s">
        <v>319</v>
      </c>
      <c r="DF349" s="18"/>
      <c r="DH349" s="11" t="s">
        <v>319</v>
      </c>
      <c r="DJ349" s="18"/>
      <c r="DL349" s="11" t="s">
        <v>319</v>
      </c>
      <c r="DN349" s="18"/>
      <c r="DP349" s="12" t="s">
        <v>320</v>
      </c>
      <c r="DQ349" s="22">
        <v>6711</v>
      </c>
      <c r="DR349" s="18">
        <v>0.56379999999999997</v>
      </c>
      <c r="DS349" s="22">
        <v>31541</v>
      </c>
      <c r="DT349" s="11" t="s">
        <v>319</v>
      </c>
      <c r="DV349" s="18"/>
      <c r="DX349" s="11" t="s">
        <v>319</v>
      </c>
      <c r="DZ349" s="18"/>
      <c r="EB349" s="11" t="s">
        <v>319</v>
      </c>
      <c r="ED349" s="18"/>
      <c r="EG349" s="15" t="s">
        <v>319</v>
      </c>
      <c r="EI349" s="18"/>
      <c r="EQ349" s="12" t="s">
        <v>319</v>
      </c>
      <c r="ES349" s="18"/>
      <c r="EU349" s="11" t="s">
        <v>319</v>
      </c>
      <c r="EW349" s="18"/>
      <c r="EY349" s="12" t="s">
        <v>319</v>
      </c>
      <c r="FA349" s="18"/>
      <c r="FC349" s="12" t="s">
        <v>319</v>
      </c>
      <c r="FE349" s="18"/>
      <c r="FG349" s="12" t="s">
        <v>319</v>
      </c>
      <c r="FI349" s="18"/>
      <c r="FK349" s="11" t="s">
        <v>319</v>
      </c>
      <c r="FM349" s="18"/>
      <c r="FO349" s="11" t="s">
        <v>319</v>
      </c>
      <c r="FQ349" s="18"/>
      <c r="FS349" s="11" t="s">
        <v>319</v>
      </c>
      <c r="FU349" s="18"/>
      <c r="FW349" s="11" t="s">
        <v>319</v>
      </c>
      <c r="FY349" s="18"/>
      <c r="GA349" s="11" t="s">
        <v>319</v>
      </c>
      <c r="GC349" s="18"/>
      <c r="GE349" s="11" t="s">
        <v>319</v>
      </c>
      <c r="GG349" s="18"/>
      <c r="GI349" s="11" t="s">
        <v>319</v>
      </c>
      <c r="GK349" s="18"/>
      <c r="GM349" s="11" t="s">
        <v>319</v>
      </c>
      <c r="GO349" s="18"/>
      <c r="GQ349" s="11" t="s">
        <v>319</v>
      </c>
      <c r="GS349" s="18"/>
      <c r="GU349" s="11" t="s">
        <v>319</v>
      </c>
      <c r="GW349" s="18"/>
      <c r="GY349" s="11" t="s">
        <v>319</v>
      </c>
      <c r="HA349" s="18"/>
      <c r="HD349" s="11" t="s">
        <v>319</v>
      </c>
      <c r="HF349" s="18"/>
      <c r="HH349" s="11" t="s">
        <v>319</v>
      </c>
      <c r="HK349" s="11" t="s">
        <v>319</v>
      </c>
      <c r="HL349" s="11" t="s">
        <v>320</v>
      </c>
      <c r="HM349" s="11" t="s">
        <v>560</v>
      </c>
      <c r="HN349" s="11">
        <v>2018</v>
      </c>
      <c r="HO349" s="11" t="s">
        <v>6360</v>
      </c>
      <c r="HP349" s="11" t="s">
        <v>418</v>
      </c>
      <c r="HQ349" s="11" t="s">
        <v>319</v>
      </c>
      <c r="HR349" s="11" t="s">
        <v>319</v>
      </c>
      <c r="HS349" s="11" t="s">
        <v>320</v>
      </c>
      <c r="HT349" s="11" t="s">
        <v>320</v>
      </c>
      <c r="HU349" s="11" t="s">
        <v>320</v>
      </c>
      <c r="HV349" s="11" t="s">
        <v>319</v>
      </c>
      <c r="HW349" s="11" t="s">
        <v>320</v>
      </c>
      <c r="HX349" s="11" t="s">
        <v>319</v>
      </c>
      <c r="HZ349" s="11" t="s">
        <v>394</v>
      </c>
      <c r="IA349" s="11" t="s">
        <v>6361</v>
      </c>
      <c r="IB349" s="11" t="s">
        <v>396</v>
      </c>
      <c r="IC349" s="11" t="s">
        <v>6362</v>
      </c>
      <c r="ID349" s="11" t="s">
        <v>334</v>
      </c>
      <c r="IE349" s="11" t="s">
        <v>335</v>
      </c>
      <c r="IF349" s="11" t="s">
        <v>320</v>
      </c>
      <c r="IG349" s="11" t="s">
        <v>320</v>
      </c>
      <c r="IH349" s="11" t="s">
        <v>320</v>
      </c>
      <c r="II349" s="11" t="s">
        <v>320</v>
      </c>
      <c r="IJ349" s="12" t="str">
        <f t="shared" si="216"/>
        <v>2. Sensitive</v>
      </c>
      <c r="IK349" s="12">
        <f t="shared" si="217"/>
        <v>4</v>
      </c>
      <c r="IL349" s="11" t="s">
        <v>336</v>
      </c>
      <c r="IM349" s="11" t="s">
        <v>320</v>
      </c>
      <c r="IN349" s="11" t="s">
        <v>320</v>
      </c>
      <c r="IO349" s="11" t="s">
        <v>320</v>
      </c>
      <c r="IP349" s="11" t="s">
        <v>320</v>
      </c>
      <c r="IQ349" s="12" t="str">
        <f t="shared" si="218"/>
        <v>2. Accommodating</v>
      </c>
      <c r="IR349" s="12">
        <f t="shared" si="219"/>
        <v>4</v>
      </c>
      <c r="IS349" s="11" t="s">
        <v>622</v>
      </c>
      <c r="IT349" s="11" t="s">
        <v>320</v>
      </c>
      <c r="IU349" s="11" t="s">
        <v>320</v>
      </c>
      <c r="IV349" s="11" t="s">
        <v>320</v>
      </c>
      <c r="IW349" s="11" t="str">
        <f t="shared" si="220"/>
        <v>4. Transformative</v>
      </c>
      <c r="IX349" s="12">
        <f t="shared" si="221"/>
        <v>3</v>
      </c>
      <c r="IY349" s="11" t="s">
        <v>338</v>
      </c>
      <c r="IZ349" s="11" t="s">
        <v>432</v>
      </c>
      <c r="JA349" s="11">
        <v>3</v>
      </c>
      <c r="JB349" s="11" t="s">
        <v>433</v>
      </c>
      <c r="JC349" s="11" t="s">
        <v>433</v>
      </c>
      <c r="JD349" s="11" t="s">
        <v>433</v>
      </c>
      <c r="JE349" s="11" t="s">
        <v>365</v>
      </c>
      <c r="JF349" s="11" t="s">
        <v>6363</v>
      </c>
      <c r="JG349" s="11" t="s">
        <v>6364</v>
      </c>
      <c r="JH349" s="11" t="s">
        <v>6365</v>
      </c>
      <c r="JI349" s="11" t="s">
        <v>6361</v>
      </c>
      <c r="JJ349" s="11" t="s">
        <v>6366</v>
      </c>
      <c r="JK349" s="11" t="s">
        <v>6367</v>
      </c>
      <c r="JL349" s="11" t="s">
        <v>6368</v>
      </c>
      <c r="JM349" s="11" t="s">
        <v>6369</v>
      </c>
      <c r="JO349" s="11" t="s">
        <v>6370</v>
      </c>
      <c r="JP349" s="15">
        <f t="shared" si="222"/>
        <v>7985</v>
      </c>
      <c r="JQ349" s="15">
        <f t="shared" si="223"/>
        <v>37166</v>
      </c>
      <c r="JR349" s="279">
        <f t="shared" si="224"/>
        <v>4.6544771446462114</v>
      </c>
      <c r="JS349" s="17">
        <f t="shared" si="225"/>
        <v>0.54364433312460869</v>
      </c>
      <c r="JT349" s="18">
        <f t="shared" si="226"/>
        <v>0.53920249690577404</v>
      </c>
      <c r="JU349" s="280">
        <f t="shared" si="227"/>
        <v>4341</v>
      </c>
      <c r="JV349" s="280">
        <f t="shared" si="228"/>
        <v>20040</v>
      </c>
      <c r="JW349" s="319">
        <f t="shared" si="229"/>
        <v>1</v>
      </c>
      <c r="JX349" s="15">
        <f t="shared" si="230"/>
        <v>7985</v>
      </c>
      <c r="JY349" s="15">
        <f t="shared" si="231"/>
        <v>37166</v>
      </c>
      <c r="JZ349" s="19">
        <f t="shared" si="232"/>
        <v>4.6544771446462114</v>
      </c>
      <c r="KA349" s="52" t="str">
        <f t="shared" si="233"/>
        <v/>
      </c>
      <c r="KB349" s="15">
        <f t="shared" si="234"/>
        <v>0</v>
      </c>
      <c r="KC349" s="15">
        <f t="shared" si="235"/>
        <v>0</v>
      </c>
      <c r="KD349" s="20" t="str">
        <f t="shared" si="236"/>
        <v/>
      </c>
      <c r="KE349" s="52" t="str">
        <f t="shared" si="237"/>
        <v/>
      </c>
      <c r="KF349" s="15">
        <f t="shared" si="238"/>
        <v>0</v>
      </c>
      <c r="KG349" s="15">
        <f t="shared" si="239"/>
        <v>0</v>
      </c>
      <c r="KH349" s="21" t="str">
        <f t="shared" si="240"/>
        <v/>
      </c>
      <c r="KI349" s="52" t="str">
        <f t="shared" si="241"/>
        <v/>
      </c>
      <c r="KJ349" s="15">
        <f t="shared" si="242"/>
        <v>0</v>
      </c>
      <c r="KK349" s="15">
        <f t="shared" si="243"/>
        <v>0</v>
      </c>
      <c r="KL349" s="19" t="str">
        <f t="shared" si="244"/>
        <v/>
      </c>
      <c r="KM349" s="52" t="str">
        <f t="shared" si="245"/>
        <v/>
      </c>
      <c r="KN349" s="22">
        <f t="shared" si="246"/>
        <v>0</v>
      </c>
      <c r="KO349" s="22">
        <f t="shared" si="247"/>
        <v>0</v>
      </c>
      <c r="KP349" s="19" t="str">
        <f t="shared" si="248"/>
        <v/>
      </c>
      <c r="KQ349" s="11" t="str">
        <f t="shared" si="249"/>
        <v>2. Sensitive</v>
      </c>
      <c r="KR349" s="11" t="str">
        <f t="shared" si="250"/>
        <v>2. Accommodating</v>
      </c>
      <c r="KS349" s="11" t="str">
        <f t="shared" si="251"/>
        <v>4. Transformative</v>
      </c>
      <c r="KT349" s="11" t="str">
        <f t="shared" si="252"/>
        <v>It tested new ways for fighting poverty, but did not measure results of innovation</v>
      </c>
      <c r="KU349" s="11" t="str">
        <f t="shared" si="253"/>
        <v>Little or no advocacy</v>
      </c>
      <c r="KV349" s="11" t="str">
        <f t="shared" si="254"/>
        <v>It linked and worked with strategic alliances and partners to take tested and effective solutions to scale</v>
      </c>
      <c r="KW349" s="11" t="str">
        <f t="shared" si="255"/>
        <v>Jordan - Emergency Assistance for Refugees and Host Communities Affected by the Syrian Crisis in Jordan</v>
      </c>
      <c r="KX349" s="11" t="str">
        <f t="shared" si="256"/>
        <v>Emergency Assistance for Refugees and Host Communities Affected by the Syrian Crisis in Jordan</v>
      </c>
      <c r="KY349" s="11" t="str">
        <f t="shared" si="257"/>
        <v>Jordan</v>
      </c>
      <c r="KZ349" s="12">
        <v>349</v>
      </c>
    </row>
    <row r="350" spans="1:312" x14ac:dyDescent="0.3">
      <c r="A350" s="11" t="s">
        <v>6105</v>
      </c>
      <c r="B350" s="11" t="s">
        <v>602</v>
      </c>
      <c r="C350" s="11">
        <v>3048</v>
      </c>
      <c r="D350" s="11" t="s">
        <v>6258</v>
      </c>
      <c r="E350" s="24" t="str">
        <f t="shared" si="215"/>
        <v>Jordan</v>
      </c>
      <c r="F350" s="11" t="s">
        <v>6259</v>
      </c>
      <c r="G350" s="11" t="s">
        <v>605</v>
      </c>
      <c r="H350" s="11" t="s">
        <v>310</v>
      </c>
      <c r="I350" s="11" t="s">
        <v>517</v>
      </c>
      <c r="J350" s="278" t="s">
        <v>14578</v>
      </c>
      <c r="BD350" s="23">
        <v>42036</v>
      </c>
      <c r="BE350" s="23">
        <v>42919</v>
      </c>
      <c r="BG350" s="11" t="s">
        <v>609</v>
      </c>
      <c r="BH350" s="22">
        <v>633658.51133999997</v>
      </c>
      <c r="BI350" s="11" t="s">
        <v>6260</v>
      </c>
      <c r="BJ350" s="11" t="s">
        <v>6261</v>
      </c>
      <c r="BK350" s="11" t="s">
        <v>6243</v>
      </c>
      <c r="BL350" s="11" t="s">
        <v>6149</v>
      </c>
      <c r="BM350" s="11" t="s">
        <v>354</v>
      </c>
      <c r="BN350" s="11" t="s">
        <v>6150</v>
      </c>
      <c r="BO350" s="11" t="s">
        <v>320</v>
      </c>
      <c r="BP350" s="11" t="s">
        <v>320</v>
      </c>
      <c r="BQ350" s="12" t="s">
        <v>320</v>
      </c>
      <c r="BR350" s="11" t="s">
        <v>6262</v>
      </c>
      <c r="BS350" s="11" t="s">
        <v>322</v>
      </c>
      <c r="BT350" s="11" t="s">
        <v>6263</v>
      </c>
      <c r="BU350" s="11" t="s">
        <v>6264</v>
      </c>
      <c r="BV350" s="22">
        <v>730</v>
      </c>
      <c r="BW350" s="22">
        <v>390</v>
      </c>
      <c r="BX350" s="22">
        <v>1120</v>
      </c>
      <c r="BY350" s="22">
        <v>3650</v>
      </c>
      <c r="BZ350" s="22">
        <v>1950</v>
      </c>
      <c r="CA350" s="22">
        <v>5600</v>
      </c>
      <c r="CB350" s="15" t="s">
        <v>6265</v>
      </c>
      <c r="CJ350" s="11" t="s">
        <v>319</v>
      </c>
      <c r="CL350" s="18"/>
      <c r="CN350" s="11" t="s">
        <v>319</v>
      </c>
      <c r="CP350" s="18"/>
      <c r="CR350" s="11" t="s">
        <v>319</v>
      </c>
      <c r="CT350" s="18"/>
      <c r="CV350" s="11" t="s">
        <v>319</v>
      </c>
      <c r="CX350" s="18"/>
      <c r="CZ350" s="11" t="s">
        <v>319</v>
      </c>
      <c r="DB350" s="18"/>
      <c r="DD350" s="11" t="s">
        <v>319</v>
      </c>
      <c r="DF350" s="18"/>
      <c r="DH350" s="11" t="s">
        <v>319</v>
      </c>
      <c r="DJ350" s="18"/>
      <c r="DL350" s="11" t="s">
        <v>319</v>
      </c>
      <c r="DN350" s="18"/>
      <c r="DP350" s="11" t="s">
        <v>319</v>
      </c>
      <c r="DR350" s="18"/>
      <c r="DT350" s="11" t="s">
        <v>319</v>
      </c>
      <c r="DV350" s="18"/>
      <c r="DX350" s="11" t="s">
        <v>319</v>
      </c>
      <c r="DZ350" s="18"/>
      <c r="EB350" s="11" t="s">
        <v>319</v>
      </c>
      <c r="ED350" s="18"/>
      <c r="EG350" s="15" t="s">
        <v>319</v>
      </c>
      <c r="EI350" s="18"/>
      <c r="EK350" s="22">
        <v>808</v>
      </c>
      <c r="EL350" s="22">
        <v>390</v>
      </c>
      <c r="EM350" s="22">
        <v>1198</v>
      </c>
      <c r="EN350" s="22">
        <v>4040</v>
      </c>
      <c r="EO350" s="22">
        <v>1950</v>
      </c>
      <c r="EP350" s="22">
        <v>5990</v>
      </c>
      <c r="EQ350" s="12" t="s">
        <v>319</v>
      </c>
      <c r="ES350" s="18"/>
      <c r="EU350" s="11" t="s">
        <v>319</v>
      </c>
      <c r="EW350" s="18"/>
      <c r="EY350" s="12" t="s">
        <v>319</v>
      </c>
      <c r="FA350" s="18"/>
      <c r="FC350" s="12" t="s">
        <v>319</v>
      </c>
      <c r="FE350" s="18"/>
      <c r="FG350" s="12" t="s">
        <v>320</v>
      </c>
      <c r="FH350" s="22">
        <v>140</v>
      </c>
      <c r="FI350" s="18">
        <v>1</v>
      </c>
      <c r="FJ350" s="22">
        <v>700</v>
      </c>
      <c r="FK350" s="11" t="s">
        <v>319</v>
      </c>
      <c r="FM350" s="18"/>
      <c r="FO350" s="11" t="s">
        <v>319</v>
      </c>
      <c r="FQ350" s="18"/>
      <c r="FS350" s="12" t="s">
        <v>320</v>
      </c>
      <c r="FT350" s="22">
        <v>974</v>
      </c>
      <c r="FU350" s="18">
        <v>0.65</v>
      </c>
      <c r="FV350" s="22">
        <v>4870</v>
      </c>
      <c r="FW350" s="11" t="s">
        <v>320</v>
      </c>
      <c r="FX350" s="22">
        <v>84</v>
      </c>
      <c r="FY350" s="18">
        <v>0.5</v>
      </c>
      <c r="FZ350" s="22">
        <v>420</v>
      </c>
      <c r="GA350" s="11" t="s">
        <v>319</v>
      </c>
      <c r="GC350" s="18"/>
      <c r="GE350" s="11" t="s">
        <v>319</v>
      </c>
      <c r="GG350" s="18"/>
      <c r="GI350" s="11" t="s">
        <v>319</v>
      </c>
      <c r="GK350" s="18"/>
      <c r="GM350" s="11" t="s">
        <v>319</v>
      </c>
      <c r="GO350" s="18"/>
      <c r="GQ350" s="11" t="s">
        <v>319</v>
      </c>
      <c r="GS350" s="18"/>
      <c r="GU350" s="11" t="s">
        <v>319</v>
      </c>
      <c r="GW350" s="18"/>
      <c r="GY350" s="11" t="s">
        <v>319</v>
      </c>
      <c r="HA350" s="18"/>
      <c r="HD350" s="11" t="s">
        <v>319</v>
      </c>
      <c r="HF350" s="18"/>
      <c r="HH350" s="11" t="s">
        <v>320</v>
      </c>
      <c r="HI350" s="11" t="s">
        <v>522</v>
      </c>
      <c r="HJ350" s="11">
        <v>2017</v>
      </c>
      <c r="HK350" s="11" t="s">
        <v>320</v>
      </c>
      <c r="HL350" s="11" t="s">
        <v>319</v>
      </c>
      <c r="HP350" s="11" t="s">
        <v>453</v>
      </c>
      <c r="HQ350" s="11" t="s">
        <v>319</v>
      </c>
      <c r="HR350" s="11" t="s">
        <v>320</v>
      </c>
      <c r="HS350" s="11" t="s">
        <v>320</v>
      </c>
      <c r="HT350" s="11" t="s">
        <v>320</v>
      </c>
      <c r="HU350" s="11" t="s">
        <v>320</v>
      </c>
      <c r="HV350" s="11" t="s">
        <v>319</v>
      </c>
      <c r="HW350" s="11" t="s">
        <v>319</v>
      </c>
      <c r="HZ350" s="11" t="s">
        <v>331</v>
      </c>
      <c r="IA350" s="11" t="s">
        <v>6266</v>
      </c>
      <c r="IB350" s="11" t="s">
        <v>396</v>
      </c>
      <c r="ID350" s="11" t="s">
        <v>477</v>
      </c>
      <c r="IE350" s="11" t="s">
        <v>478</v>
      </c>
      <c r="IF350" s="11" t="s">
        <v>320</v>
      </c>
      <c r="IG350" s="11" t="s">
        <v>320</v>
      </c>
      <c r="IH350" s="11" t="s">
        <v>320</v>
      </c>
      <c r="II350" s="11" t="s">
        <v>320</v>
      </c>
      <c r="IJ350" s="12" t="str">
        <f t="shared" si="216"/>
        <v>4. Transformative</v>
      </c>
      <c r="IK350" s="12">
        <f t="shared" si="217"/>
        <v>4</v>
      </c>
      <c r="IL350" s="11" t="s">
        <v>336</v>
      </c>
      <c r="IM350" s="11" t="s">
        <v>320</v>
      </c>
      <c r="IN350" s="11" t="s">
        <v>320</v>
      </c>
      <c r="IO350" s="11" t="s">
        <v>320</v>
      </c>
      <c r="IP350" s="11" t="s">
        <v>320</v>
      </c>
      <c r="IQ350" s="12" t="str">
        <f t="shared" si="218"/>
        <v>2. Accommodating</v>
      </c>
      <c r="IR350" s="12">
        <f t="shared" si="219"/>
        <v>4</v>
      </c>
      <c r="IS350" s="11" t="s">
        <v>622</v>
      </c>
      <c r="IT350" s="11" t="s">
        <v>320</v>
      </c>
      <c r="IU350" s="11" t="s">
        <v>320</v>
      </c>
      <c r="IV350" s="11" t="s">
        <v>320</v>
      </c>
      <c r="IW350" s="11" t="str">
        <f t="shared" si="220"/>
        <v>4. Transformative</v>
      </c>
      <c r="IX350" s="12">
        <f t="shared" si="221"/>
        <v>3</v>
      </c>
      <c r="IY350" s="11" t="s">
        <v>419</v>
      </c>
      <c r="IZ350" s="11" t="s">
        <v>432</v>
      </c>
      <c r="JA350" s="11">
        <v>6</v>
      </c>
      <c r="JB350" s="11" t="s">
        <v>433</v>
      </c>
      <c r="JC350" s="11" t="s">
        <v>687</v>
      </c>
      <c r="JE350" s="11" t="s">
        <v>340</v>
      </c>
      <c r="JF350" s="11" t="s">
        <v>6267</v>
      </c>
      <c r="JG350" s="11" t="s">
        <v>6252</v>
      </c>
      <c r="JH350" s="11" t="s">
        <v>6268</v>
      </c>
      <c r="JI350" s="11" t="s">
        <v>6269</v>
      </c>
      <c r="JJ350" s="11" t="s">
        <v>6270</v>
      </c>
      <c r="JK350" s="11" t="s">
        <v>6271</v>
      </c>
      <c r="JL350" s="11" t="s">
        <v>6272</v>
      </c>
      <c r="JM350" s="11" t="s">
        <v>6273</v>
      </c>
      <c r="JO350" s="11" t="s">
        <v>6274</v>
      </c>
      <c r="JP350" s="15">
        <f t="shared" si="222"/>
        <v>1198</v>
      </c>
      <c r="JQ350" s="15">
        <f t="shared" si="223"/>
        <v>5990</v>
      </c>
      <c r="JR350" s="279">
        <f t="shared" si="224"/>
        <v>5</v>
      </c>
      <c r="JS350" s="17">
        <f t="shared" si="225"/>
        <v>0.67445742904841399</v>
      </c>
      <c r="JT350" s="18">
        <f t="shared" si="226"/>
        <v>0.67445742904841399</v>
      </c>
      <c r="JU350" s="280">
        <f t="shared" si="227"/>
        <v>808</v>
      </c>
      <c r="JV350" s="280">
        <f t="shared" si="228"/>
        <v>4040</v>
      </c>
      <c r="JW350" s="319">
        <f t="shared" si="229"/>
        <v>1</v>
      </c>
      <c r="JX350" s="15">
        <f t="shared" si="230"/>
        <v>0</v>
      </c>
      <c r="JY350" s="15">
        <f t="shared" si="231"/>
        <v>0</v>
      </c>
      <c r="JZ350" s="19" t="str">
        <f t="shared" si="232"/>
        <v/>
      </c>
      <c r="KA350" s="52">
        <f t="shared" si="233"/>
        <v>1</v>
      </c>
      <c r="KB350" s="15">
        <f t="shared" si="234"/>
        <v>140</v>
      </c>
      <c r="KC350" s="15">
        <f t="shared" si="235"/>
        <v>700</v>
      </c>
      <c r="KD350" s="20">
        <f t="shared" si="236"/>
        <v>5</v>
      </c>
      <c r="KE350" s="52" t="str">
        <f t="shared" si="237"/>
        <v/>
      </c>
      <c r="KF350" s="15">
        <f t="shared" si="238"/>
        <v>0</v>
      </c>
      <c r="KG350" s="15">
        <f t="shared" si="239"/>
        <v>0</v>
      </c>
      <c r="KH350" s="21" t="str">
        <f t="shared" si="240"/>
        <v/>
      </c>
      <c r="KI350" s="52">
        <f t="shared" si="241"/>
        <v>1</v>
      </c>
      <c r="KJ350" s="15">
        <f t="shared" si="242"/>
        <v>974</v>
      </c>
      <c r="KK350" s="15">
        <f t="shared" si="243"/>
        <v>4870</v>
      </c>
      <c r="KL350" s="19">
        <f t="shared" si="244"/>
        <v>5</v>
      </c>
      <c r="KM350" s="52">
        <f t="shared" si="245"/>
        <v>1</v>
      </c>
      <c r="KN350" s="22">
        <f t="shared" si="246"/>
        <v>140</v>
      </c>
      <c r="KO350" s="22">
        <f t="shared" si="247"/>
        <v>700</v>
      </c>
      <c r="KP350" s="19">
        <f t="shared" si="248"/>
        <v>5</v>
      </c>
      <c r="KQ350" s="11" t="str">
        <f t="shared" si="249"/>
        <v>4. Transformative</v>
      </c>
      <c r="KR350" s="11" t="str">
        <f t="shared" si="250"/>
        <v>2. Accommodating</v>
      </c>
      <c r="KS350" s="11" t="str">
        <f t="shared" si="251"/>
        <v>4. Transformative</v>
      </c>
      <c r="KT350" s="11" t="str">
        <f t="shared" si="252"/>
        <v>It tested new ways for fighting poverty and measured results of innovation</v>
      </c>
      <c r="KU350" s="11" t="str">
        <f t="shared" si="253"/>
        <v>Intensive advocacy</v>
      </c>
      <c r="KV350" s="11" t="str">
        <f t="shared" si="254"/>
        <v>It linked and worked with strategic alliances and partners to take tested and effective solutions to scale</v>
      </c>
      <c r="KW350" s="11" t="str">
        <f t="shared" si="255"/>
        <v>Jordan - Hemaya II for Girls and Young women in Jordan</v>
      </c>
      <c r="KX350" s="11" t="str">
        <f t="shared" si="256"/>
        <v>Hemaya II for Girls and Young women in Jordan</v>
      </c>
      <c r="KY350" s="11" t="str">
        <f t="shared" si="257"/>
        <v>Jordan</v>
      </c>
      <c r="KZ350" s="12">
        <v>350</v>
      </c>
    </row>
    <row r="351" spans="1:312" x14ac:dyDescent="0.3">
      <c r="A351" s="11" t="s">
        <v>6105</v>
      </c>
      <c r="B351" s="11" t="s">
        <v>602</v>
      </c>
      <c r="C351" s="11">
        <v>3047</v>
      </c>
      <c r="D351" s="11" t="s">
        <v>6126</v>
      </c>
      <c r="E351" s="24" t="str">
        <f t="shared" si="215"/>
        <v>Jordan</v>
      </c>
      <c r="F351" s="11" t="s">
        <v>6127</v>
      </c>
      <c r="G351" s="11" t="s">
        <v>376</v>
      </c>
      <c r="H351" s="11" t="s">
        <v>310</v>
      </c>
      <c r="I351" s="11" t="s">
        <v>377</v>
      </c>
      <c r="J351" s="278" t="s">
        <v>14564</v>
      </c>
      <c r="BD351" s="23">
        <v>42093</v>
      </c>
      <c r="BE351" s="23">
        <v>42735</v>
      </c>
      <c r="BG351" s="11" t="s">
        <v>817</v>
      </c>
      <c r="BH351" s="22">
        <v>3533239</v>
      </c>
      <c r="BI351" s="11" t="s">
        <v>6128</v>
      </c>
      <c r="BJ351" s="11" t="s">
        <v>6129</v>
      </c>
      <c r="BK351" s="11" t="s">
        <v>6130</v>
      </c>
      <c r="BO351" s="11" t="s">
        <v>320</v>
      </c>
      <c r="BP351" s="11" t="s">
        <v>320</v>
      </c>
      <c r="BQ351" s="11" t="s">
        <v>320</v>
      </c>
      <c r="BR351" s="11" t="s">
        <v>6131</v>
      </c>
      <c r="BS351" s="11" t="s">
        <v>322</v>
      </c>
      <c r="BT351" s="11" t="s">
        <v>6132</v>
      </c>
      <c r="BU351" s="11" t="s">
        <v>6133</v>
      </c>
      <c r="BV351" s="22">
        <v>8475</v>
      </c>
      <c r="BW351" s="22">
        <v>8475</v>
      </c>
      <c r="BX351" s="22">
        <v>16950</v>
      </c>
      <c r="BY351" s="22">
        <v>30988</v>
      </c>
      <c r="BZ351" s="22">
        <v>30987</v>
      </c>
      <c r="CA351" s="22">
        <v>61975</v>
      </c>
      <c r="CB351" s="15" t="s">
        <v>6134</v>
      </c>
      <c r="CD351" s="22">
        <v>3255</v>
      </c>
      <c r="CE351" s="22">
        <v>3354</v>
      </c>
      <c r="CF351" s="22">
        <v>6609</v>
      </c>
      <c r="CG351" s="22">
        <v>13280</v>
      </c>
      <c r="CH351" s="22">
        <v>12358</v>
      </c>
      <c r="CI351" s="22">
        <v>25638</v>
      </c>
      <c r="CJ351" s="11" t="s">
        <v>319</v>
      </c>
      <c r="CL351" s="18"/>
      <c r="CN351" s="12" t="s">
        <v>320</v>
      </c>
      <c r="CO351" s="22">
        <v>1366</v>
      </c>
      <c r="CP351" s="18">
        <v>0.43259999999999998</v>
      </c>
      <c r="CQ351" s="22">
        <v>4067</v>
      </c>
      <c r="CR351" s="11" t="s">
        <v>319</v>
      </c>
      <c r="CT351" s="18"/>
      <c r="CV351" s="11" t="s">
        <v>319</v>
      </c>
      <c r="CX351" s="18"/>
      <c r="CZ351" s="11" t="s">
        <v>319</v>
      </c>
      <c r="DB351" s="18"/>
      <c r="DD351" s="11" t="s">
        <v>319</v>
      </c>
      <c r="DF351" s="18"/>
      <c r="DH351" s="11" t="s">
        <v>319</v>
      </c>
      <c r="DJ351" s="18"/>
      <c r="DL351" s="11" t="s">
        <v>320</v>
      </c>
      <c r="DM351" s="22">
        <v>450</v>
      </c>
      <c r="DN351" s="18">
        <v>1</v>
      </c>
      <c r="DO351" s="22">
        <v>1674</v>
      </c>
      <c r="DP351" s="12" t="s">
        <v>320</v>
      </c>
      <c r="DQ351" s="22">
        <v>5002</v>
      </c>
      <c r="DR351" s="18">
        <v>0.46089999999999998</v>
      </c>
      <c r="DS351" s="22">
        <v>20831</v>
      </c>
      <c r="DT351" s="11" t="s">
        <v>319</v>
      </c>
      <c r="DV351" s="18"/>
      <c r="DX351" s="11" t="s">
        <v>319</v>
      </c>
      <c r="DZ351" s="18"/>
      <c r="EB351" s="11" t="s">
        <v>319</v>
      </c>
      <c r="ED351" s="18"/>
      <c r="EG351" s="15" t="s">
        <v>319</v>
      </c>
      <c r="EI351" s="18"/>
      <c r="EK351" s="22">
        <v>450</v>
      </c>
      <c r="EL351" s="22">
        <v>0</v>
      </c>
      <c r="EM351" s="22">
        <v>450</v>
      </c>
      <c r="EN351" s="22">
        <v>837</v>
      </c>
      <c r="EO351" s="22">
        <v>837</v>
      </c>
      <c r="EP351" s="22">
        <v>1674</v>
      </c>
      <c r="EQ351" s="12" t="s">
        <v>319</v>
      </c>
      <c r="ES351" s="18"/>
      <c r="EU351" s="11" t="s">
        <v>319</v>
      </c>
      <c r="EW351" s="18"/>
      <c r="EY351" s="12" t="s">
        <v>319</v>
      </c>
      <c r="FA351" s="18"/>
      <c r="FC351" s="12" t="s">
        <v>319</v>
      </c>
      <c r="FE351" s="18"/>
      <c r="FG351" s="12" t="s">
        <v>320</v>
      </c>
      <c r="FH351" s="22">
        <v>450</v>
      </c>
      <c r="FI351" s="18">
        <v>1</v>
      </c>
      <c r="FJ351" s="22">
        <v>1674</v>
      </c>
      <c r="FK351" s="11" t="s">
        <v>319</v>
      </c>
      <c r="FM351" s="18"/>
      <c r="FO351" s="11" t="s">
        <v>319</v>
      </c>
      <c r="FQ351" s="18"/>
      <c r="FS351" s="11" t="s">
        <v>319</v>
      </c>
      <c r="FU351" s="18"/>
      <c r="FW351" s="11" t="s">
        <v>319</v>
      </c>
      <c r="FY351" s="18"/>
      <c r="GA351" s="11" t="s">
        <v>319</v>
      </c>
      <c r="GC351" s="18"/>
      <c r="GE351" s="11" t="s">
        <v>319</v>
      </c>
      <c r="GG351" s="18"/>
      <c r="GI351" s="11" t="s">
        <v>319</v>
      </c>
      <c r="GK351" s="18"/>
      <c r="GM351" s="11" t="s">
        <v>319</v>
      </c>
      <c r="GO351" s="18"/>
      <c r="GQ351" s="11" t="s">
        <v>319</v>
      </c>
      <c r="GS351" s="18"/>
      <c r="GU351" s="11" t="s">
        <v>319</v>
      </c>
      <c r="GW351" s="18"/>
      <c r="GY351" s="11" t="s">
        <v>319</v>
      </c>
      <c r="HA351" s="18"/>
      <c r="HD351" s="11" t="s">
        <v>319</v>
      </c>
      <c r="HF351" s="18"/>
      <c r="HH351" s="11" t="s">
        <v>320</v>
      </c>
      <c r="HI351" s="11" t="s">
        <v>560</v>
      </c>
      <c r="HJ351" s="11">
        <v>2017</v>
      </c>
      <c r="HL351" s="11" t="s">
        <v>319</v>
      </c>
      <c r="HO351" s="11" t="s">
        <v>6135</v>
      </c>
      <c r="HP351" s="11" t="s">
        <v>418</v>
      </c>
      <c r="HQ351" s="11" t="s">
        <v>319</v>
      </c>
      <c r="HR351" s="11" t="s">
        <v>319</v>
      </c>
      <c r="HS351" s="11" t="s">
        <v>320</v>
      </c>
      <c r="HT351" s="11" t="s">
        <v>320</v>
      </c>
      <c r="HU351" s="11" t="s">
        <v>320</v>
      </c>
      <c r="HV351" s="11" t="s">
        <v>319</v>
      </c>
      <c r="HW351" s="11" t="s">
        <v>320</v>
      </c>
      <c r="HZ351" s="11" t="s">
        <v>331</v>
      </c>
      <c r="IA351" s="11" t="s">
        <v>6136</v>
      </c>
      <c r="IB351" s="11" t="s">
        <v>396</v>
      </c>
      <c r="IC351" s="11" t="s">
        <v>6137</v>
      </c>
      <c r="ID351" s="11" t="s">
        <v>334</v>
      </c>
      <c r="IE351" s="11" t="s">
        <v>478</v>
      </c>
      <c r="IF351" s="11" t="s">
        <v>320</v>
      </c>
      <c r="IG351" s="11" t="s">
        <v>320</v>
      </c>
      <c r="IH351" s="11" t="s">
        <v>320</v>
      </c>
      <c r="II351" s="11" t="s">
        <v>320</v>
      </c>
      <c r="IJ351" s="12" t="str">
        <f t="shared" si="216"/>
        <v>4. Transformative</v>
      </c>
      <c r="IK351" s="12">
        <f t="shared" si="217"/>
        <v>4</v>
      </c>
      <c r="IL351" s="11" t="s">
        <v>336</v>
      </c>
      <c r="IM351" s="11" t="s">
        <v>320</v>
      </c>
      <c r="IN351" s="11" t="s">
        <v>320</v>
      </c>
      <c r="IO351" s="11" t="s">
        <v>320</v>
      </c>
      <c r="IP351" s="11" t="s">
        <v>320</v>
      </c>
      <c r="IQ351" s="12" t="str">
        <f t="shared" si="218"/>
        <v>2. Accommodating</v>
      </c>
      <c r="IR351" s="12">
        <f t="shared" si="219"/>
        <v>4</v>
      </c>
      <c r="IS351" s="11" t="s">
        <v>622</v>
      </c>
      <c r="IT351" s="11" t="s">
        <v>320</v>
      </c>
      <c r="IU351" s="11" t="s">
        <v>320</v>
      </c>
      <c r="IV351" s="11" t="s">
        <v>320</v>
      </c>
      <c r="IW351" s="11" t="str">
        <f t="shared" si="220"/>
        <v>4. Transformative</v>
      </c>
      <c r="IX351" s="12">
        <f t="shared" si="221"/>
        <v>3</v>
      </c>
      <c r="IY351" s="11" t="s">
        <v>338</v>
      </c>
      <c r="IZ351" s="11" t="s">
        <v>432</v>
      </c>
      <c r="JA351" s="11">
        <v>7</v>
      </c>
      <c r="JB351" s="11" t="s">
        <v>433</v>
      </c>
      <c r="JE351" s="11" t="s">
        <v>340</v>
      </c>
      <c r="JF351" s="11" t="s">
        <v>6138</v>
      </c>
      <c r="JG351" s="11" t="s">
        <v>6139</v>
      </c>
      <c r="JH351" s="11" t="s">
        <v>6140</v>
      </c>
      <c r="JI351" s="11" t="s">
        <v>6141</v>
      </c>
      <c r="JJ351" s="11" t="s">
        <v>6142</v>
      </c>
      <c r="JK351" s="11" t="s">
        <v>6143</v>
      </c>
      <c r="JL351" s="11" t="s">
        <v>6144</v>
      </c>
      <c r="JM351" s="11" t="s">
        <v>6145</v>
      </c>
      <c r="JO351" s="11" t="s">
        <v>6146</v>
      </c>
      <c r="JP351" s="15">
        <f t="shared" si="222"/>
        <v>6609</v>
      </c>
      <c r="JQ351" s="15">
        <f t="shared" si="223"/>
        <v>25638</v>
      </c>
      <c r="JR351" s="279">
        <f t="shared" si="224"/>
        <v>3.8792555605991828</v>
      </c>
      <c r="JS351" s="17">
        <f t="shared" si="225"/>
        <v>0.49251021334543804</v>
      </c>
      <c r="JT351" s="18">
        <f t="shared" si="226"/>
        <v>0.5179811217723691</v>
      </c>
      <c r="JU351" s="280">
        <f t="shared" si="227"/>
        <v>3255</v>
      </c>
      <c r="JV351" s="280">
        <f t="shared" si="228"/>
        <v>13280</v>
      </c>
      <c r="JW351" s="319">
        <f t="shared" si="229"/>
        <v>1</v>
      </c>
      <c r="JX351" s="15">
        <f t="shared" si="230"/>
        <v>6609</v>
      </c>
      <c r="JY351" s="15">
        <f t="shared" si="231"/>
        <v>25638</v>
      </c>
      <c r="JZ351" s="19">
        <f t="shared" si="232"/>
        <v>3.8792555605991828</v>
      </c>
      <c r="KA351" s="52">
        <f t="shared" si="233"/>
        <v>1</v>
      </c>
      <c r="KB351" s="15">
        <f t="shared" si="234"/>
        <v>450</v>
      </c>
      <c r="KC351" s="15">
        <f t="shared" si="235"/>
        <v>1674</v>
      </c>
      <c r="KD351" s="20">
        <f t="shared" si="236"/>
        <v>3.72</v>
      </c>
      <c r="KE351" s="52" t="str">
        <f t="shared" si="237"/>
        <v/>
      </c>
      <c r="KF351" s="15">
        <f t="shared" si="238"/>
        <v>0</v>
      </c>
      <c r="KG351" s="15">
        <f t="shared" si="239"/>
        <v>0</v>
      </c>
      <c r="KH351" s="21" t="str">
        <f t="shared" si="240"/>
        <v/>
      </c>
      <c r="KI351" s="52" t="str">
        <f t="shared" si="241"/>
        <v/>
      </c>
      <c r="KJ351" s="15">
        <f t="shared" si="242"/>
        <v>0</v>
      </c>
      <c r="KK351" s="15">
        <f t="shared" si="243"/>
        <v>0</v>
      </c>
      <c r="KL351" s="19" t="str">
        <f t="shared" si="244"/>
        <v/>
      </c>
      <c r="KM351" s="52">
        <f t="shared" si="245"/>
        <v>1</v>
      </c>
      <c r="KN351" s="22">
        <f t="shared" si="246"/>
        <v>450</v>
      </c>
      <c r="KO351" s="22">
        <f t="shared" si="247"/>
        <v>1674</v>
      </c>
      <c r="KP351" s="19">
        <f t="shared" si="248"/>
        <v>3.72</v>
      </c>
      <c r="KQ351" s="11" t="str">
        <f t="shared" si="249"/>
        <v>4. Transformative</v>
      </c>
      <c r="KR351" s="11" t="str">
        <f t="shared" si="250"/>
        <v>2. Accommodating</v>
      </c>
      <c r="KS351" s="11" t="str">
        <f t="shared" si="251"/>
        <v>4. Transformative</v>
      </c>
      <c r="KT351" s="11" t="str">
        <f t="shared" si="252"/>
        <v>It tested new ways for fighting poverty and measured results of innovation</v>
      </c>
      <c r="KU351" s="11" t="str">
        <f t="shared" si="253"/>
        <v>Little or no advocacy</v>
      </c>
      <c r="KV351" s="11" t="str">
        <f t="shared" si="254"/>
        <v>It linked and worked with strategic alliances and partners to take tested and effective solutions to scale</v>
      </c>
      <c r="KW351" s="11" t="str">
        <f t="shared" si="255"/>
        <v>Jordan - Humanitarian Assistance for Crisis-Affected People in Jordan, with a Focus on Women and Children</v>
      </c>
      <c r="KX351" s="11" t="str">
        <f t="shared" si="256"/>
        <v>Humanitarian Assistance for Crisis-Affected People in Jordan, with a Focus on Women and Children</v>
      </c>
      <c r="KY351" s="11" t="str">
        <f t="shared" si="257"/>
        <v>Jordan</v>
      </c>
      <c r="KZ351" s="12">
        <v>351</v>
      </c>
    </row>
    <row r="352" spans="1:312" x14ac:dyDescent="0.3">
      <c r="A352" s="11" t="s">
        <v>6105</v>
      </c>
      <c r="B352" s="11" t="s">
        <v>602</v>
      </c>
      <c r="C352" s="11">
        <v>3050</v>
      </c>
      <c r="D352" s="11" t="s">
        <v>6240</v>
      </c>
      <c r="E352" s="24" t="str">
        <f t="shared" si="215"/>
        <v>Jordan</v>
      </c>
      <c r="F352" s="11" t="s">
        <v>1933</v>
      </c>
      <c r="G352" s="11" t="s">
        <v>425</v>
      </c>
      <c r="H352" s="11" t="s">
        <v>489</v>
      </c>
      <c r="I352" s="11" t="s">
        <v>384</v>
      </c>
      <c r="J352" s="278" t="s">
        <v>3967</v>
      </c>
      <c r="BD352" s="23">
        <v>41974</v>
      </c>
      <c r="BE352" s="23">
        <v>42704</v>
      </c>
      <c r="BG352" s="11" t="s">
        <v>312</v>
      </c>
      <c r="BH352" s="22">
        <v>191115</v>
      </c>
      <c r="BI352" s="11" t="s">
        <v>6241</v>
      </c>
      <c r="BJ352" s="11" t="s">
        <v>6242</v>
      </c>
      <c r="BK352" s="11" t="s">
        <v>6243</v>
      </c>
      <c r="BO352" s="12" t="s">
        <v>319</v>
      </c>
      <c r="BP352" s="12" t="s">
        <v>320</v>
      </c>
      <c r="BQ352" s="12" t="s">
        <v>319</v>
      </c>
      <c r="BR352" s="11" t="s">
        <v>6244</v>
      </c>
      <c r="BS352" s="11" t="s">
        <v>322</v>
      </c>
      <c r="BT352" s="11" t="s">
        <v>6245</v>
      </c>
      <c r="BU352" s="11" t="s">
        <v>6246</v>
      </c>
      <c r="BV352" s="22">
        <v>3200</v>
      </c>
      <c r="BW352" s="22">
        <v>0</v>
      </c>
      <c r="BX352" s="22">
        <v>3200</v>
      </c>
      <c r="BY352" s="22">
        <v>8000</v>
      </c>
      <c r="BZ352" s="22">
        <v>8000</v>
      </c>
      <c r="CA352" s="22">
        <v>16000</v>
      </c>
      <c r="CB352" s="15" t="s">
        <v>6247</v>
      </c>
      <c r="CJ352" s="11" t="s">
        <v>319</v>
      </c>
      <c r="CL352" s="18"/>
      <c r="CN352" s="11" t="s">
        <v>319</v>
      </c>
      <c r="CP352" s="18"/>
      <c r="CR352" s="11" t="s">
        <v>319</v>
      </c>
      <c r="CT352" s="18"/>
      <c r="CV352" s="11" t="s">
        <v>319</v>
      </c>
      <c r="CX352" s="18"/>
      <c r="CZ352" s="11" t="s">
        <v>319</v>
      </c>
      <c r="DB352" s="18"/>
      <c r="DD352" s="11" t="s">
        <v>319</v>
      </c>
      <c r="DF352" s="18"/>
      <c r="DH352" s="11" t="s">
        <v>319</v>
      </c>
      <c r="DJ352" s="18"/>
      <c r="DL352" s="11" t="s">
        <v>319</v>
      </c>
      <c r="DN352" s="18"/>
      <c r="DP352" s="11" t="s">
        <v>319</v>
      </c>
      <c r="DR352" s="18"/>
      <c r="DT352" s="11" t="s">
        <v>319</v>
      </c>
      <c r="DV352" s="18"/>
      <c r="DX352" s="11" t="s">
        <v>319</v>
      </c>
      <c r="DZ352" s="18"/>
      <c r="EB352" s="11" t="s">
        <v>319</v>
      </c>
      <c r="ED352" s="18"/>
      <c r="EG352" s="15" t="s">
        <v>319</v>
      </c>
      <c r="EI352" s="18"/>
      <c r="EK352" s="22">
        <v>2084</v>
      </c>
      <c r="EL352" s="22">
        <v>0</v>
      </c>
      <c r="EM352" s="22">
        <v>2084</v>
      </c>
      <c r="EN352" s="22">
        <v>5210</v>
      </c>
      <c r="EO352" s="22">
        <v>5210</v>
      </c>
      <c r="EP352" s="22">
        <v>10420</v>
      </c>
      <c r="EQ352" s="12" t="s">
        <v>319</v>
      </c>
      <c r="ES352" s="18"/>
      <c r="EU352" s="11" t="s">
        <v>319</v>
      </c>
      <c r="EW352" s="18"/>
      <c r="EY352" s="12" t="s">
        <v>319</v>
      </c>
      <c r="FA352" s="18"/>
      <c r="FC352" s="12" t="s">
        <v>319</v>
      </c>
      <c r="FE352" s="18"/>
      <c r="FG352" s="12" t="s">
        <v>320</v>
      </c>
      <c r="FH352" s="22">
        <v>836</v>
      </c>
      <c r="FI352" s="18">
        <v>1</v>
      </c>
      <c r="FJ352" s="22">
        <v>4180</v>
      </c>
      <c r="FK352" s="11" t="s">
        <v>319</v>
      </c>
      <c r="FM352" s="18"/>
      <c r="FO352" s="11" t="s">
        <v>319</v>
      </c>
      <c r="FQ352" s="18"/>
      <c r="FS352" s="11" t="s">
        <v>319</v>
      </c>
      <c r="FU352" s="18"/>
      <c r="FW352" s="11" t="s">
        <v>319</v>
      </c>
      <c r="FY352" s="18"/>
      <c r="GA352" s="11" t="s">
        <v>319</v>
      </c>
      <c r="GC352" s="18"/>
      <c r="GE352" s="11" t="s">
        <v>319</v>
      </c>
      <c r="GG352" s="18"/>
      <c r="GI352" s="11" t="s">
        <v>319</v>
      </c>
      <c r="GK352" s="18"/>
      <c r="GM352" s="11" t="s">
        <v>319</v>
      </c>
      <c r="GO352" s="18"/>
      <c r="GQ352" s="11" t="s">
        <v>319</v>
      </c>
      <c r="GS352" s="18"/>
      <c r="GU352" s="11" t="s">
        <v>319</v>
      </c>
      <c r="GW352" s="18"/>
      <c r="GY352" s="11" t="s">
        <v>320</v>
      </c>
      <c r="GZ352" s="22">
        <v>1248</v>
      </c>
      <c r="HA352" s="18">
        <v>1</v>
      </c>
      <c r="HB352" s="22">
        <v>6240</v>
      </c>
      <c r="HD352" s="11" t="s">
        <v>319</v>
      </c>
      <c r="HF352" s="18"/>
      <c r="HH352" s="11" t="s">
        <v>320</v>
      </c>
      <c r="HI352" s="11" t="s">
        <v>328</v>
      </c>
      <c r="HJ352" s="11">
        <v>2016</v>
      </c>
      <c r="HK352" s="11" t="s">
        <v>320</v>
      </c>
      <c r="HL352" s="11" t="s">
        <v>319</v>
      </c>
      <c r="HO352" s="11" t="s">
        <v>6248</v>
      </c>
      <c r="HP352" s="11" t="s">
        <v>418</v>
      </c>
      <c r="HQ352" s="11" t="s">
        <v>319</v>
      </c>
      <c r="HR352" s="11" t="s">
        <v>319</v>
      </c>
      <c r="HS352" s="11" t="s">
        <v>320</v>
      </c>
      <c r="HT352" s="11" t="s">
        <v>319</v>
      </c>
      <c r="HU352" s="11" t="s">
        <v>319</v>
      </c>
      <c r="HV352" s="11" t="s">
        <v>319</v>
      </c>
      <c r="HW352" s="11" t="s">
        <v>319</v>
      </c>
      <c r="HX352" s="11" t="s">
        <v>319</v>
      </c>
      <c r="HZ352" s="11" t="s">
        <v>394</v>
      </c>
      <c r="IA352" s="11" t="s">
        <v>6249</v>
      </c>
      <c r="IB352" s="11" t="s">
        <v>396</v>
      </c>
      <c r="IC352" s="11" t="s">
        <v>6250</v>
      </c>
      <c r="ID352" s="11" t="s">
        <v>334</v>
      </c>
      <c r="IE352" s="11" t="s">
        <v>478</v>
      </c>
      <c r="IF352" s="11" t="s">
        <v>320</v>
      </c>
      <c r="IG352" s="11" t="s">
        <v>320</v>
      </c>
      <c r="IH352" s="11" t="s">
        <v>320</v>
      </c>
      <c r="II352" s="11" t="s">
        <v>320</v>
      </c>
      <c r="IJ352" s="12" t="str">
        <f t="shared" si="216"/>
        <v>4. Transformative</v>
      </c>
      <c r="IK352" s="12">
        <f t="shared" si="217"/>
        <v>4</v>
      </c>
      <c r="IL352" s="11" t="s">
        <v>336</v>
      </c>
      <c r="IM352" s="11" t="s">
        <v>320</v>
      </c>
      <c r="IO352" s="11" t="s">
        <v>320</v>
      </c>
      <c r="IP352" s="11" t="s">
        <v>320</v>
      </c>
      <c r="IQ352" s="12" t="str">
        <f t="shared" si="218"/>
        <v>2. Accommodating</v>
      </c>
      <c r="IR352" s="12">
        <f t="shared" si="219"/>
        <v>3</v>
      </c>
      <c r="IS352" s="11" t="s">
        <v>622</v>
      </c>
      <c r="IT352" s="11" t="s">
        <v>320</v>
      </c>
      <c r="IU352" s="11" t="s">
        <v>320</v>
      </c>
      <c r="IV352" s="11" t="s">
        <v>320</v>
      </c>
      <c r="IW352" s="11" t="str">
        <f t="shared" si="220"/>
        <v>4. Transformative</v>
      </c>
      <c r="IX352" s="12">
        <f t="shared" si="221"/>
        <v>3</v>
      </c>
      <c r="IY352" s="11" t="s">
        <v>338</v>
      </c>
      <c r="IZ352" s="11" t="s">
        <v>432</v>
      </c>
      <c r="JA352" s="11">
        <v>3</v>
      </c>
      <c r="JB352" s="11" t="s">
        <v>433</v>
      </c>
      <c r="JE352" s="11" t="s">
        <v>340</v>
      </c>
      <c r="JF352" s="11" t="s">
        <v>6251</v>
      </c>
      <c r="JG352" s="11" t="s">
        <v>6252</v>
      </c>
      <c r="JH352" s="11" t="s">
        <v>6253</v>
      </c>
      <c r="JI352" s="11" t="s">
        <v>6254</v>
      </c>
      <c r="JJ352" s="11" t="s">
        <v>3980</v>
      </c>
      <c r="JK352" s="11" t="s">
        <v>6255</v>
      </c>
      <c r="JL352" s="11" t="s">
        <v>6256</v>
      </c>
      <c r="JM352" s="11" t="s">
        <v>6257</v>
      </c>
      <c r="JO352" s="11" t="s">
        <v>362</v>
      </c>
      <c r="JP352" s="15">
        <f t="shared" si="222"/>
        <v>2084</v>
      </c>
      <c r="JQ352" s="15">
        <f t="shared" si="223"/>
        <v>10420</v>
      </c>
      <c r="JR352" s="279">
        <f t="shared" si="224"/>
        <v>5</v>
      </c>
      <c r="JS352" s="17">
        <f t="shared" si="225"/>
        <v>1</v>
      </c>
      <c r="JT352" s="18">
        <f t="shared" si="226"/>
        <v>0.5</v>
      </c>
      <c r="JU352" s="280">
        <f t="shared" si="227"/>
        <v>2084</v>
      </c>
      <c r="JV352" s="280">
        <f t="shared" si="228"/>
        <v>5210</v>
      </c>
      <c r="JW352" s="319" t="str">
        <f t="shared" si="229"/>
        <v/>
      </c>
      <c r="JX352" s="15">
        <f t="shared" si="230"/>
        <v>0</v>
      </c>
      <c r="JY352" s="15">
        <f t="shared" si="231"/>
        <v>0</v>
      </c>
      <c r="JZ352" s="19" t="str">
        <f t="shared" si="232"/>
        <v/>
      </c>
      <c r="KA352" s="52">
        <f t="shared" si="233"/>
        <v>1</v>
      </c>
      <c r="KB352" s="15">
        <f t="shared" si="234"/>
        <v>836</v>
      </c>
      <c r="KC352" s="15">
        <f t="shared" si="235"/>
        <v>4180</v>
      </c>
      <c r="KD352" s="20">
        <f t="shared" si="236"/>
        <v>5</v>
      </c>
      <c r="KE352" s="52" t="str">
        <f t="shared" si="237"/>
        <v/>
      </c>
      <c r="KF352" s="15">
        <f t="shared" si="238"/>
        <v>0</v>
      </c>
      <c r="KG352" s="15">
        <f t="shared" si="239"/>
        <v>0</v>
      </c>
      <c r="KH352" s="21" t="str">
        <f t="shared" si="240"/>
        <v/>
      </c>
      <c r="KI352" s="52" t="str">
        <f t="shared" si="241"/>
        <v/>
      </c>
      <c r="KJ352" s="15">
        <f t="shared" si="242"/>
        <v>0</v>
      </c>
      <c r="KK352" s="15">
        <f t="shared" si="243"/>
        <v>0</v>
      </c>
      <c r="KL352" s="19" t="str">
        <f t="shared" si="244"/>
        <v/>
      </c>
      <c r="KM352" s="52">
        <f t="shared" si="245"/>
        <v>1</v>
      </c>
      <c r="KN352" s="22">
        <f t="shared" si="246"/>
        <v>1248</v>
      </c>
      <c r="KO352" s="22">
        <f t="shared" si="247"/>
        <v>6240</v>
      </c>
      <c r="KP352" s="19">
        <f t="shared" si="248"/>
        <v>5</v>
      </c>
      <c r="KQ352" s="11" t="str">
        <f t="shared" si="249"/>
        <v>4. Transformative</v>
      </c>
      <c r="KR352" s="11" t="str">
        <f t="shared" si="250"/>
        <v>2. Accommodating</v>
      </c>
      <c r="KS352" s="11" t="str">
        <f t="shared" si="251"/>
        <v>4. Transformative</v>
      </c>
      <c r="KT352" s="11" t="str">
        <f t="shared" si="252"/>
        <v>It tested new ways for fighting poverty, but did not measure results of innovation</v>
      </c>
      <c r="KU352" s="11" t="str">
        <f t="shared" si="253"/>
        <v>Little or no advocacy</v>
      </c>
      <c r="KV352" s="11" t="str">
        <f t="shared" si="254"/>
        <v>It linked and worked with strategic alliances and partners to take tested and effective solutions to scale</v>
      </c>
      <c r="KW352" s="11" t="str">
        <f t="shared" si="255"/>
        <v>Jordan - Investing in Women’s Economic Empowerment – a catalyst for positive change (H&amp;M CF Flagship Program) - KHATWA</v>
      </c>
      <c r="KX352" s="11" t="str">
        <f t="shared" si="256"/>
        <v>Investing in Women’s Economic Empowerment – a catalyst for positive change (H&amp;M CF Flagship Program) - KHATWA</v>
      </c>
      <c r="KY352" s="11" t="str">
        <f t="shared" si="257"/>
        <v>Jordan</v>
      </c>
      <c r="KZ352" s="12">
        <v>352</v>
      </c>
    </row>
    <row r="353" spans="1:312" x14ac:dyDescent="0.3">
      <c r="A353" s="11" t="s">
        <v>6105</v>
      </c>
      <c r="B353" s="11" t="s">
        <v>602</v>
      </c>
      <c r="C353" s="11">
        <v>3046</v>
      </c>
      <c r="D353" s="11" t="s">
        <v>6147</v>
      </c>
      <c r="E353" s="24" t="str">
        <f t="shared" si="215"/>
        <v>Jordan</v>
      </c>
      <c r="F353" s="11" t="s">
        <v>6148</v>
      </c>
      <c r="G353" s="11" t="s">
        <v>376</v>
      </c>
      <c r="H353" s="11" t="s">
        <v>310</v>
      </c>
      <c r="I353" s="11" t="s">
        <v>377</v>
      </c>
      <c r="J353" s="278" t="s">
        <v>14564</v>
      </c>
      <c r="BD353" s="23">
        <v>41921</v>
      </c>
      <c r="BE353" s="23">
        <v>43100</v>
      </c>
      <c r="BG353" s="11" t="s">
        <v>312</v>
      </c>
      <c r="BH353" s="22">
        <v>3397497</v>
      </c>
      <c r="BI353" s="11" t="s">
        <v>6149</v>
      </c>
      <c r="BJ353" s="11" t="s">
        <v>354</v>
      </c>
      <c r="BK353" s="11" t="s">
        <v>6150</v>
      </c>
      <c r="BO353" s="11" t="s">
        <v>320</v>
      </c>
      <c r="BP353" s="11" t="s">
        <v>320</v>
      </c>
      <c r="BQ353" s="11" t="s">
        <v>320</v>
      </c>
      <c r="BR353" s="11" t="s">
        <v>6151</v>
      </c>
      <c r="BS353" s="11" t="s">
        <v>322</v>
      </c>
      <c r="BT353" s="11" t="s">
        <v>6152</v>
      </c>
      <c r="BU353" s="11" t="s">
        <v>6153</v>
      </c>
      <c r="BV353" s="22">
        <v>9027</v>
      </c>
      <c r="BW353" s="22">
        <v>6019</v>
      </c>
      <c r="BX353" s="22">
        <v>15046</v>
      </c>
      <c r="BY353" s="22">
        <v>49658</v>
      </c>
      <c r="BZ353" s="22">
        <v>33106</v>
      </c>
      <c r="CA353" s="22">
        <v>82764</v>
      </c>
      <c r="CB353" s="15" t="s">
        <v>6154</v>
      </c>
      <c r="CD353" s="22">
        <v>3500</v>
      </c>
      <c r="CE353" s="22">
        <v>2100</v>
      </c>
      <c r="CF353" s="22">
        <v>5600</v>
      </c>
      <c r="CG353" s="22">
        <v>4950</v>
      </c>
      <c r="CH353" s="22">
        <v>3470</v>
      </c>
      <c r="CI353" s="22">
        <v>8420</v>
      </c>
      <c r="CJ353" s="11" t="s">
        <v>319</v>
      </c>
      <c r="CL353" s="18"/>
      <c r="CN353" s="12" t="s">
        <v>320</v>
      </c>
      <c r="CO353" s="22">
        <v>2250</v>
      </c>
      <c r="CP353" s="18">
        <v>0.75</v>
      </c>
      <c r="CQ353" s="22">
        <v>4151</v>
      </c>
      <c r="CR353" s="11" t="s">
        <v>319</v>
      </c>
      <c r="CT353" s="18"/>
      <c r="CV353" s="11" t="s">
        <v>319</v>
      </c>
      <c r="CX353" s="18"/>
      <c r="CZ353" s="11" t="s">
        <v>319</v>
      </c>
      <c r="DB353" s="18"/>
      <c r="DD353" s="11" t="s">
        <v>319</v>
      </c>
      <c r="DF353" s="18"/>
      <c r="DH353" s="11" t="s">
        <v>319</v>
      </c>
      <c r="DJ353" s="18"/>
      <c r="DL353" s="11" t="s">
        <v>319</v>
      </c>
      <c r="DN353" s="18"/>
      <c r="DP353" s="12" t="s">
        <v>320</v>
      </c>
      <c r="DQ353" s="22">
        <v>5363</v>
      </c>
      <c r="DR353" s="18">
        <v>0.62</v>
      </c>
      <c r="DS353" s="22">
        <v>7678</v>
      </c>
      <c r="DT353" s="11" t="s">
        <v>319</v>
      </c>
      <c r="DV353" s="18"/>
      <c r="DX353" s="11" t="s">
        <v>319</v>
      </c>
      <c r="DZ353" s="18"/>
      <c r="EB353" s="11" t="s">
        <v>319</v>
      </c>
      <c r="ED353" s="18"/>
      <c r="EG353" s="15" t="s">
        <v>319</v>
      </c>
      <c r="EI353" s="18"/>
      <c r="EK353" s="22">
        <v>3840</v>
      </c>
      <c r="EL353" s="22">
        <v>2354</v>
      </c>
      <c r="EM353" s="22">
        <v>6194</v>
      </c>
      <c r="EN353" s="22">
        <v>21120</v>
      </c>
      <c r="EO353" s="22">
        <v>12948</v>
      </c>
      <c r="EP353" s="22">
        <v>34068</v>
      </c>
      <c r="EQ353" s="12" t="s">
        <v>319</v>
      </c>
      <c r="ES353" s="18"/>
      <c r="EU353" s="11" t="s">
        <v>319</v>
      </c>
      <c r="EW353" s="18"/>
      <c r="EY353" s="12" t="s">
        <v>319</v>
      </c>
      <c r="FA353" s="18"/>
      <c r="FC353" s="12" t="s">
        <v>319</v>
      </c>
      <c r="FE353" s="18"/>
      <c r="FG353" s="12" t="s">
        <v>320</v>
      </c>
      <c r="FH353" s="22">
        <v>1870</v>
      </c>
      <c r="FI353" s="18">
        <v>0.69</v>
      </c>
      <c r="FJ353" s="22">
        <v>10285</v>
      </c>
      <c r="FK353" s="11" t="s">
        <v>319</v>
      </c>
      <c r="FM353" s="18"/>
      <c r="FO353" s="11" t="s">
        <v>319</v>
      </c>
      <c r="FQ353" s="18"/>
      <c r="FS353" s="11" t="s">
        <v>319</v>
      </c>
      <c r="FU353" s="18"/>
      <c r="FW353" s="11" t="s">
        <v>319</v>
      </c>
      <c r="FY353" s="18"/>
      <c r="GA353" s="11" t="s">
        <v>319</v>
      </c>
      <c r="GC353" s="18"/>
      <c r="GE353" s="11" t="s">
        <v>319</v>
      </c>
      <c r="GG353" s="18"/>
      <c r="GI353" s="11" t="s">
        <v>319</v>
      </c>
      <c r="GK353" s="18"/>
      <c r="GM353" s="11" t="s">
        <v>319</v>
      </c>
      <c r="GO353" s="18"/>
      <c r="GQ353" s="11" t="s">
        <v>319</v>
      </c>
      <c r="GS353" s="18"/>
      <c r="GU353" s="11" t="s">
        <v>319</v>
      </c>
      <c r="GW353" s="18"/>
      <c r="GY353" s="11" t="s">
        <v>319</v>
      </c>
      <c r="HA353" s="18"/>
      <c r="HC353" s="11" t="s">
        <v>6155</v>
      </c>
      <c r="HD353" s="12" t="s">
        <v>320</v>
      </c>
      <c r="HE353" s="22">
        <v>5065</v>
      </c>
      <c r="HF353" s="18">
        <v>0.6</v>
      </c>
      <c r="HG353" s="22">
        <v>27858</v>
      </c>
      <c r="HH353" s="11" t="s">
        <v>319</v>
      </c>
      <c r="HK353" s="11" t="s">
        <v>319</v>
      </c>
      <c r="HL353" s="11" t="s">
        <v>320</v>
      </c>
      <c r="HM353" s="11" t="s">
        <v>544</v>
      </c>
      <c r="HN353" s="11">
        <v>2017</v>
      </c>
      <c r="HP353" s="11" t="s">
        <v>418</v>
      </c>
      <c r="HQ353" s="11" t="s">
        <v>319</v>
      </c>
      <c r="HR353" s="11" t="s">
        <v>319</v>
      </c>
      <c r="HS353" s="11" t="s">
        <v>320</v>
      </c>
      <c r="HT353" s="11" t="s">
        <v>320</v>
      </c>
      <c r="HU353" s="11" t="s">
        <v>320</v>
      </c>
      <c r="HV353" s="11" t="s">
        <v>320</v>
      </c>
      <c r="HW353" s="11" t="s">
        <v>320</v>
      </c>
      <c r="HZ353" s="11" t="s">
        <v>363</v>
      </c>
      <c r="IB353" s="11" t="s">
        <v>333</v>
      </c>
      <c r="ID353" s="11" t="s">
        <v>334</v>
      </c>
      <c r="IE353" s="11" t="s">
        <v>478</v>
      </c>
      <c r="IF353" s="11" t="s">
        <v>320</v>
      </c>
      <c r="IG353" s="11" t="s">
        <v>320</v>
      </c>
      <c r="IH353" s="11" t="s">
        <v>320</v>
      </c>
      <c r="II353" s="11" t="s">
        <v>320</v>
      </c>
      <c r="IJ353" s="12" t="str">
        <f t="shared" si="216"/>
        <v>4. Transformative</v>
      </c>
      <c r="IK353" s="12">
        <f t="shared" si="217"/>
        <v>4</v>
      </c>
      <c r="IL353" s="11" t="s">
        <v>336</v>
      </c>
      <c r="IM353" s="11" t="s">
        <v>320</v>
      </c>
      <c r="IN353" s="11" t="s">
        <v>320</v>
      </c>
      <c r="IO353" s="11" t="s">
        <v>320</v>
      </c>
      <c r="IP353" s="11" t="s">
        <v>320</v>
      </c>
      <c r="IQ353" s="12" t="str">
        <f t="shared" si="218"/>
        <v>2. Accommodating</v>
      </c>
      <c r="IR353" s="12">
        <f t="shared" si="219"/>
        <v>4</v>
      </c>
      <c r="IS353" s="11" t="s">
        <v>337</v>
      </c>
      <c r="IT353" s="11" t="s">
        <v>320</v>
      </c>
      <c r="IU353" s="11" t="s">
        <v>320</v>
      </c>
      <c r="IV353" s="11" t="s">
        <v>320</v>
      </c>
      <c r="IW353" s="11" t="str">
        <f t="shared" si="220"/>
        <v>2. Sensitive</v>
      </c>
      <c r="IX353" s="12">
        <f t="shared" si="221"/>
        <v>3</v>
      </c>
      <c r="IY353" s="11" t="s">
        <v>338</v>
      </c>
      <c r="IZ353" s="11" t="s">
        <v>457</v>
      </c>
      <c r="JA353" s="11">
        <v>20</v>
      </c>
      <c r="JB353" s="11" t="s">
        <v>687</v>
      </c>
      <c r="JC353" s="11" t="s">
        <v>433</v>
      </c>
      <c r="JD353" s="11" t="s">
        <v>1113</v>
      </c>
      <c r="JE353" s="11" t="s">
        <v>340</v>
      </c>
      <c r="JH353" s="11" t="s">
        <v>6156</v>
      </c>
      <c r="JI353" s="11" t="s">
        <v>6157</v>
      </c>
      <c r="JJ353" s="11" t="s">
        <v>6158</v>
      </c>
      <c r="JK353" s="11" t="s">
        <v>6159</v>
      </c>
      <c r="JL353" s="11" t="s">
        <v>6160</v>
      </c>
      <c r="JO353" s="11" t="s">
        <v>6146</v>
      </c>
      <c r="JP353" s="15">
        <f t="shared" si="222"/>
        <v>6194</v>
      </c>
      <c r="JQ353" s="15">
        <f t="shared" si="223"/>
        <v>34068</v>
      </c>
      <c r="JR353" s="279">
        <f t="shared" si="224"/>
        <v>5.5001614465611883</v>
      </c>
      <c r="JS353" s="17">
        <f t="shared" si="225"/>
        <v>0.61995479496286732</v>
      </c>
      <c r="JT353" s="18">
        <f t="shared" si="226"/>
        <v>0.61993659739344842</v>
      </c>
      <c r="JU353" s="280">
        <f t="shared" si="227"/>
        <v>3840</v>
      </c>
      <c r="JV353" s="280">
        <f t="shared" si="228"/>
        <v>21120</v>
      </c>
      <c r="JW353" s="319">
        <f t="shared" si="229"/>
        <v>1</v>
      </c>
      <c r="JX353" s="15">
        <f t="shared" si="230"/>
        <v>5600</v>
      </c>
      <c r="JY353" s="15">
        <f t="shared" si="231"/>
        <v>8420</v>
      </c>
      <c r="JZ353" s="19">
        <f t="shared" si="232"/>
        <v>1.5035714285714286</v>
      </c>
      <c r="KA353" s="52">
        <f t="shared" si="233"/>
        <v>1</v>
      </c>
      <c r="KB353" s="15">
        <f t="shared" si="234"/>
        <v>1870</v>
      </c>
      <c r="KC353" s="15">
        <f t="shared" si="235"/>
        <v>10285</v>
      </c>
      <c r="KD353" s="20">
        <f t="shared" si="236"/>
        <v>5.5</v>
      </c>
      <c r="KE353" s="52" t="str">
        <f t="shared" si="237"/>
        <v/>
      </c>
      <c r="KF353" s="15">
        <f t="shared" si="238"/>
        <v>0</v>
      </c>
      <c r="KG353" s="15">
        <f t="shared" si="239"/>
        <v>0</v>
      </c>
      <c r="KH353" s="21" t="str">
        <f t="shared" si="240"/>
        <v/>
      </c>
      <c r="KI353" s="52" t="str">
        <f t="shared" si="241"/>
        <v/>
      </c>
      <c r="KJ353" s="15">
        <f t="shared" si="242"/>
        <v>0</v>
      </c>
      <c r="KK353" s="15">
        <f t="shared" si="243"/>
        <v>0</v>
      </c>
      <c r="KL353" s="19" t="str">
        <f t="shared" si="244"/>
        <v/>
      </c>
      <c r="KM353" s="52">
        <f t="shared" si="245"/>
        <v>1</v>
      </c>
      <c r="KN353" s="22">
        <f t="shared" si="246"/>
        <v>1290.3</v>
      </c>
      <c r="KO353" s="22">
        <f t="shared" si="247"/>
        <v>7096.65</v>
      </c>
      <c r="KP353" s="19">
        <f t="shared" si="248"/>
        <v>5.5</v>
      </c>
      <c r="KQ353" s="11" t="str">
        <f t="shared" si="249"/>
        <v>4. Transformative</v>
      </c>
      <c r="KR353" s="11" t="str">
        <f t="shared" si="250"/>
        <v>2. Accommodating</v>
      </c>
      <c r="KS353" s="11" t="str">
        <f t="shared" si="251"/>
        <v>2. Sensitive</v>
      </c>
      <c r="KT353" s="11" t="str">
        <f t="shared" si="252"/>
        <v>It did not develop any specific innovation</v>
      </c>
      <c r="KU353" s="11" t="str">
        <f t="shared" si="253"/>
        <v>Little or no advocacy</v>
      </c>
      <c r="KV353" s="11" t="str">
        <f t="shared" si="254"/>
        <v>It did not take tested solutions to scale</v>
      </c>
      <c r="KW353" s="11" t="str">
        <f t="shared" si="255"/>
        <v>Jordan - Jordanian Community Development and Support Program</v>
      </c>
      <c r="KX353" s="11" t="str">
        <f t="shared" si="256"/>
        <v>Jordanian Community Development and Support Program</v>
      </c>
      <c r="KY353" s="11" t="str">
        <f t="shared" si="257"/>
        <v>Jordan</v>
      </c>
      <c r="KZ353" s="12">
        <v>353</v>
      </c>
    </row>
    <row r="354" spans="1:312" x14ac:dyDescent="0.3">
      <c r="A354" s="11" t="s">
        <v>6105</v>
      </c>
      <c r="B354" s="11" t="s">
        <v>602</v>
      </c>
      <c r="D354" s="11" t="s">
        <v>6275</v>
      </c>
      <c r="E354" s="24" t="str">
        <f t="shared" si="215"/>
        <v>Jordan</v>
      </c>
      <c r="F354" s="11" t="s">
        <v>6276</v>
      </c>
      <c r="G354" s="11" t="s">
        <v>605</v>
      </c>
      <c r="H354" s="11" t="s">
        <v>383</v>
      </c>
      <c r="I354" s="11" t="s">
        <v>384</v>
      </c>
      <c r="J354" s="278" t="s">
        <v>6277</v>
      </c>
      <c r="BD354" s="23">
        <v>41072</v>
      </c>
      <c r="BE354" s="23">
        <v>42917</v>
      </c>
      <c r="BF354" s="23">
        <v>43313</v>
      </c>
      <c r="BG354" s="11" t="s">
        <v>817</v>
      </c>
      <c r="BH354" s="22">
        <v>84700</v>
      </c>
      <c r="BI354" s="11" t="s">
        <v>6278</v>
      </c>
      <c r="BJ354" s="11" t="s">
        <v>6279</v>
      </c>
      <c r="BK354" s="11" t="s">
        <v>6280</v>
      </c>
      <c r="BO354" s="11" t="s">
        <v>320</v>
      </c>
      <c r="BP354" s="11" t="s">
        <v>319</v>
      </c>
      <c r="BQ354" s="11" t="s">
        <v>319</v>
      </c>
      <c r="BR354" s="11" t="s">
        <v>6281</v>
      </c>
      <c r="BS354" s="11" t="s">
        <v>322</v>
      </c>
      <c r="BT354" s="11" t="s">
        <v>6282</v>
      </c>
      <c r="BU354" s="11" t="s">
        <v>6283</v>
      </c>
      <c r="BV354" s="22">
        <v>350</v>
      </c>
      <c r="BW354" s="22">
        <v>350</v>
      </c>
      <c r="BX354" s="22">
        <v>700</v>
      </c>
      <c r="BY354" s="22">
        <v>1750</v>
      </c>
      <c r="BZ354" s="22">
        <v>1750</v>
      </c>
      <c r="CA354" s="22">
        <v>3500</v>
      </c>
      <c r="CB354" s="15" t="s">
        <v>6284</v>
      </c>
      <c r="CD354" s="22">
        <v>504</v>
      </c>
      <c r="CE354" s="22">
        <v>719</v>
      </c>
      <c r="CF354" s="22">
        <v>1223</v>
      </c>
      <c r="CG354" s="22">
        <v>2685</v>
      </c>
      <c r="CH354" s="22">
        <v>2562</v>
      </c>
      <c r="CI354" s="22">
        <v>5247</v>
      </c>
      <c r="CJ354" s="11" t="s">
        <v>319</v>
      </c>
      <c r="CL354" s="18"/>
      <c r="CN354" s="12" t="s">
        <v>320</v>
      </c>
      <c r="CO354" s="22">
        <v>375</v>
      </c>
      <c r="CP354" s="33">
        <v>0.41</v>
      </c>
      <c r="CQ354" s="22">
        <v>1292</v>
      </c>
      <c r="CR354" s="11" t="s">
        <v>319</v>
      </c>
      <c r="CT354" s="18"/>
      <c r="CV354" s="11" t="s">
        <v>319</v>
      </c>
      <c r="CX354" s="18"/>
      <c r="CZ354" s="11" t="s">
        <v>319</v>
      </c>
      <c r="DB354" s="18"/>
      <c r="DD354" s="11" t="s">
        <v>319</v>
      </c>
      <c r="DF354" s="18"/>
      <c r="DH354" s="11" t="s">
        <v>319</v>
      </c>
      <c r="DJ354" s="18"/>
      <c r="DL354" s="11" t="s">
        <v>319</v>
      </c>
      <c r="DN354" s="18"/>
      <c r="DP354" s="12" t="s">
        <v>320</v>
      </c>
      <c r="DQ354" s="22">
        <v>875</v>
      </c>
      <c r="DR354" s="18">
        <v>0.42</v>
      </c>
      <c r="DS354" s="22">
        <v>4071</v>
      </c>
      <c r="DT354" s="11" t="s">
        <v>319</v>
      </c>
      <c r="DV354" s="18"/>
      <c r="DX354" s="11" t="s">
        <v>319</v>
      </c>
      <c r="DZ354" s="18"/>
      <c r="EB354" s="11" t="s">
        <v>319</v>
      </c>
      <c r="ED354" s="18"/>
      <c r="EG354" s="15" t="s">
        <v>319</v>
      </c>
      <c r="EI354" s="18"/>
      <c r="EQ354" s="12" t="s">
        <v>319</v>
      </c>
      <c r="ES354" s="18"/>
      <c r="EU354" s="11" t="s">
        <v>319</v>
      </c>
      <c r="EW354" s="18"/>
      <c r="EY354" s="12" t="s">
        <v>319</v>
      </c>
      <c r="FA354" s="18"/>
      <c r="FC354" s="12" t="s">
        <v>319</v>
      </c>
      <c r="FE354" s="18"/>
      <c r="FG354" s="12" t="s">
        <v>319</v>
      </c>
      <c r="FI354" s="18"/>
      <c r="FK354" s="11" t="s">
        <v>319</v>
      </c>
      <c r="FM354" s="18"/>
      <c r="FO354" s="11" t="s">
        <v>319</v>
      </c>
      <c r="FQ354" s="18"/>
      <c r="FS354" s="11" t="s">
        <v>319</v>
      </c>
      <c r="FU354" s="18"/>
      <c r="FW354" s="11" t="s">
        <v>319</v>
      </c>
      <c r="FY354" s="18"/>
      <c r="GA354" s="11" t="s">
        <v>319</v>
      </c>
      <c r="GC354" s="18"/>
      <c r="GE354" s="11" t="s">
        <v>319</v>
      </c>
      <c r="GG354" s="18"/>
      <c r="GI354" s="11" t="s">
        <v>319</v>
      </c>
      <c r="GK354" s="18"/>
      <c r="GM354" s="11" t="s">
        <v>319</v>
      </c>
      <c r="GO354" s="18"/>
      <c r="GQ354" s="11" t="s">
        <v>319</v>
      </c>
      <c r="GS354" s="18"/>
      <c r="GU354" s="11" t="s">
        <v>319</v>
      </c>
      <c r="GW354" s="18"/>
      <c r="GY354" s="11" t="s">
        <v>319</v>
      </c>
      <c r="HA354" s="18"/>
      <c r="HD354" s="11" t="s">
        <v>319</v>
      </c>
      <c r="HF354" s="18"/>
      <c r="HH354" s="11" t="s">
        <v>320</v>
      </c>
      <c r="HI354" s="11" t="s">
        <v>1175</v>
      </c>
      <c r="HJ354" s="11">
        <v>2017</v>
      </c>
      <c r="HK354" s="11" t="s">
        <v>320</v>
      </c>
      <c r="HL354" s="11" t="s">
        <v>319</v>
      </c>
      <c r="HO354" s="11" t="s">
        <v>6285</v>
      </c>
      <c r="HP354" s="11" t="s">
        <v>418</v>
      </c>
      <c r="HQ354" s="11" t="s">
        <v>319</v>
      </c>
      <c r="HR354" s="11" t="s">
        <v>319</v>
      </c>
      <c r="HS354" s="11" t="s">
        <v>320</v>
      </c>
      <c r="HT354" s="11" t="s">
        <v>320</v>
      </c>
      <c r="HU354" s="11" t="s">
        <v>319</v>
      </c>
      <c r="HV354" s="11" t="s">
        <v>319</v>
      </c>
      <c r="HW354" s="11" t="s">
        <v>320</v>
      </c>
      <c r="HZ354" s="11" t="s">
        <v>363</v>
      </c>
      <c r="IB354" s="11" t="s">
        <v>333</v>
      </c>
      <c r="ID354" s="11" t="s">
        <v>334</v>
      </c>
      <c r="IE354" s="11" t="s">
        <v>478</v>
      </c>
      <c r="IF354" s="11" t="s">
        <v>320</v>
      </c>
      <c r="IG354" s="11" t="s">
        <v>320</v>
      </c>
      <c r="IH354" s="11" t="s">
        <v>320</v>
      </c>
      <c r="II354" s="11" t="s">
        <v>320</v>
      </c>
      <c r="IJ354" s="12" t="str">
        <f t="shared" si="216"/>
        <v>4. Transformative</v>
      </c>
      <c r="IK354" s="12">
        <f t="shared" si="217"/>
        <v>4</v>
      </c>
      <c r="IL354" s="11" t="s">
        <v>336</v>
      </c>
      <c r="IM354" s="11" t="s">
        <v>319</v>
      </c>
      <c r="IN354" s="11" t="s">
        <v>319</v>
      </c>
      <c r="IO354" s="11" t="s">
        <v>319</v>
      </c>
      <c r="IP354" s="11" t="s">
        <v>320</v>
      </c>
      <c r="IQ354" s="12" t="str">
        <f t="shared" si="218"/>
        <v>1. Tokenistic</v>
      </c>
      <c r="IR354" s="12">
        <f t="shared" si="219"/>
        <v>1</v>
      </c>
      <c r="IS354" s="11" t="s">
        <v>337</v>
      </c>
      <c r="IT354" s="11" t="s">
        <v>320</v>
      </c>
      <c r="IU354" s="11" t="s">
        <v>320</v>
      </c>
      <c r="IV354" s="11" t="s">
        <v>320</v>
      </c>
      <c r="IW354" s="11" t="str">
        <f t="shared" si="220"/>
        <v>2. Sensitive</v>
      </c>
      <c r="IX354" s="12">
        <f t="shared" si="221"/>
        <v>3</v>
      </c>
      <c r="IY354" s="11" t="s">
        <v>338</v>
      </c>
      <c r="IZ354" s="11" t="s">
        <v>432</v>
      </c>
      <c r="JA354" s="11">
        <v>1</v>
      </c>
      <c r="JB354" s="11" t="s">
        <v>687</v>
      </c>
      <c r="JE354" s="11" t="s">
        <v>420</v>
      </c>
      <c r="JG354" s="11" t="s">
        <v>6286</v>
      </c>
      <c r="JH354" s="11" t="s">
        <v>6287</v>
      </c>
      <c r="JI354" s="11" t="s">
        <v>6288</v>
      </c>
      <c r="JJ354" s="11" t="s">
        <v>6289</v>
      </c>
      <c r="JK354" s="11" t="s">
        <v>6290</v>
      </c>
      <c r="JN354" s="11" t="s">
        <v>6291</v>
      </c>
      <c r="JO354" s="11" t="s">
        <v>1519</v>
      </c>
      <c r="JP354" s="15">
        <f t="shared" si="222"/>
        <v>1223</v>
      </c>
      <c r="JQ354" s="15">
        <f t="shared" si="223"/>
        <v>5247</v>
      </c>
      <c r="JR354" s="279">
        <f t="shared" si="224"/>
        <v>4.2902698282910876</v>
      </c>
      <c r="JS354" s="17">
        <f t="shared" si="225"/>
        <v>0.41210139002452983</v>
      </c>
      <c r="JT354" s="18">
        <f t="shared" si="226"/>
        <v>0.51172098341909666</v>
      </c>
      <c r="JU354" s="280">
        <f t="shared" si="227"/>
        <v>504</v>
      </c>
      <c r="JV354" s="280">
        <f t="shared" si="228"/>
        <v>2685</v>
      </c>
      <c r="JW354" s="319">
        <f t="shared" si="229"/>
        <v>1</v>
      </c>
      <c r="JX354" s="15">
        <f t="shared" si="230"/>
        <v>1223</v>
      </c>
      <c r="JY354" s="15">
        <f t="shared" si="231"/>
        <v>5247</v>
      </c>
      <c r="JZ354" s="19">
        <f t="shared" si="232"/>
        <v>4.2902698282910876</v>
      </c>
      <c r="KA354" s="52" t="str">
        <f t="shared" si="233"/>
        <v/>
      </c>
      <c r="KB354" s="15">
        <f t="shared" si="234"/>
        <v>0</v>
      </c>
      <c r="KC354" s="15">
        <f t="shared" si="235"/>
        <v>0</v>
      </c>
      <c r="KD354" s="20" t="str">
        <f t="shared" si="236"/>
        <v/>
      </c>
      <c r="KE354" s="52" t="str">
        <f t="shared" si="237"/>
        <v/>
      </c>
      <c r="KF354" s="15">
        <f t="shared" si="238"/>
        <v>0</v>
      </c>
      <c r="KG354" s="15">
        <f t="shared" si="239"/>
        <v>0</v>
      </c>
      <c r="KH354" s="21" t="str">
        <f t="shared" si="240"/>
        <v/>
      </c>
      <c r="KI354" s="52" t="str">
        <f t="shared" si="241"/>
        <v/>
      </c>
      <c r="KJ354" s="15">
        <f t="shared" si="242"/>
        <v>0</v>
      </c>
      <c r="KK354" s="15">
        <f t="shared" si="243"/>
        <v>0</v>
      </c>
      <c r="KL354" s="19" t="str">
        <f t="shared" si="244"/>
        <v/>
      </c>
      <c r="KM354" s="52" t="str">
        <f t="shared" si="245"/>
        <v/>
      </c>
      <c r="KN354" s="22">
        <f t="shared" si="246"/>
        <v>0</v>
      </c>
      <c r="KO354" s="22">
        <f t="shared" si="247"/>
        <v>0</v>
      </c>
      <c r="KP354" s="19" t="str">
        <f t="shared" si="248"/>
        <v/>
      </c>
      <c r="KQ354" s="11" t="str">
        <f t="shared" si="249"/>
        <v>4. Transformative</v>
      </c>
      <c r="KR354" s="11" t="str">
        <f t="shared" si="250"/>
        <v>1. Tokenistic</v>
      </c>
      <c r="KS354" s="11" t="str">
        <f t="shared" si="251"/>
        <v>2. Sensitive</v>
      </c>
      <c r="KT354" s="11" t="str">
        <f t="shared" si="252"/>
        <v>It did not develop any specific innovation</v>
      </c>
      <c r="KU354" s="11" t="str">
        <f t="shared" si="253"/>
        <v>Little or no advocacy</v>
      </c>
      <c r="KV354" s="11" t="str">
        <f t="shared" si="254"/>
        <v>It did not take tested solutions to scale</v>
      </c>
      <c r="KW354" s="11" t="str">
        <f t="shared" si="255"/>
        <v>Jordan - Life-saving Assistance to Population in Jordan Affected by the Syria Crisis</v>
      </c>
      <c r="KX354" s="11" t="str">
        <f t="shared" si="256"/>
        <v>Life-saving Assistance to Population in Jordan Affected by the Syria Crisis</v>
      </c>
      <c r="KY354" s="11" t="str">
        <f t="shared" si="257"/>
        <v>Jordan</v>
      </c>
      <c r="KZ354" s="12">
        <v>354</v>
      </c>
    </row>
    <row r="355" spans="1:312" x14ac:dyDescent="0.3">
      <c r="A355" s="11" t="s">
        <v>6105</v>
      </c>
      <c r="B355" s="11" t="s">
        <v>602</v>
      </c>
      <c r="D355" s="11" t="s">
        <v>6292</v>
      </c>
      <c r="E355" s="24" t="str">
        <f t="shared" si="215"/>
        <v>Jordan</v>
      </c>
      <c r="F355" s="11" t="s">
        <v>6293</v>
      </c>
      <c r="G355" s="11" t="s">
        <v>605</v>
      </c>
      <c r="H355" s="11" t="s">
        <v>380</v>
      </c>
      <c r="I355" s="11" t="s">
        <v>907</v>
      </c>
      <c r="J355" s="278" t="s">
        <v>5183</v>
      </c>
      <c r="BD355" s="23">
        <v>42522</v>
      </c>
      <c r="BE355" s="23">
        <v>42886</v>
      </c>
      <c r="BG355" s="11" t="s">
        <v>817</v>
      </c>
      <c r="BH355" s="22">
        <v>1166300</v>
      </c>
      <c r="BI355" s="11" t="s">
        <v>6294</v>
      </c>
      <c r="BJ355" s="11" t="s">
        <v>6295</v>
      </c>
      <c r="BK355" s="11" t="s">
        <v>6296</v>
      </c>
      <c r="BO355" s="11" t="s">
        <v>320</v>
      </c>
      <c r="BP355" s="11" t="s">
        <v>319</v>
      </c>
      <c r="BQ355" s="11" t="s">
        <v>319</v>
      </c>
      <c r="BR355" s="11" t="s">
        <v>6297</v>
      </c>
      <c r="BS355" s="11" t="s">
        <v>322</v>
      </c>
      <c r="BT355" s="11" t="s">
        <v>6298</v>
      </c>
      <c r="BU355" s="11" t="s">
        <v>6299</v>
      </c>
      <c r="BV355" s="22">
        <v>11592</v>
      </c>
      <c r="BW355" s="22">
        <v>4968</v>
      </c>
      <c r="BX355" s="22">
        <v>16560</v>
      </c>
      <c r="BY355" s="22">
        <v>57960</v>
      </c>
      <c r="BZ355" s="22">
        <v>24840</v>
      </c>
      <c r="CA355" s="22">
        <v>82800</v>
      </c>
      <c r="CB355" s="15" t="s">
        <v>6300</v>
      </c>
      <c r="CD355" s="22">
        <v>11401</v>
      </c>
      <c r="CE355" s="22">
        <v>8960</v>
      </c>
      <c r="CF355" s="22">
        <v>20361</v>
      </c>
      <c r="CG355" s="22">
        <v>57005</v>
      </c>
      <c r="CH355" s="22">
        <v>38528</v>
      </c>
      <c r="CI355" s="22">
        <v>95533</v>
      </c>
      <c r="CJ355" s="11" t="s">
        <v>319</v>
      </c>
      <c r="CL355" s="18"/>
      <c r="CN355" s="11" t="s">
        <v>320</v>
      </c>
      <c r="CO355" s="22">
        <v>2724</v>
      </c>
      <c r="CP355" s="18">
        <v>0.42</v>
      </c>
      <c r="CQ355" s="22">
        <v>13620</v>
      </c>
      <c r="CR355" s="11" t="s">
        <v>320</v>
      </c>
      <c r="CS355" s="22">
        <v>257</v>
      </c>
      <c r="CT355" s="18">
        <v>0</v>
      </c>
      <c r="CU355" s="22">
        <v>1285</v>
      </c>
      <c r="CV355" s="11" t="s">
        <v>319</v>
      </c>
      <c r="CX355" s="18"/>
      <c r="CZ355" s="11" t="s">
        <v>319</v>
      </c>
      <c r="DB355" s="18"/>
      <c r="DD355" s="11" t="s">
        <v>319</v>
      </c>
      <c r="DF355" s="18"/>
      <c r="DH355" s="11" t="s">
        <v>319</v>
      </c>
      <c r="DJ355" s="18"/>
      <c r="DL355" s="11" t="s">
        <v>319</v>
      </c>
      <c r="DN355" s="18"/>
      <c r="DP355" s="12" t="s">
        <v>320</v>
      </c>
      <c r="DQ355" s="22">
        <v>18859</v>
      </c>
      <c r="DR355" s="18">
        <v>0.56999999999999995</v>
      </c>
      <c r="DS355" s="22">
        <v>94295</v>
      </c>
      <c r="DT355" s="11" t="s">
        <v>319</v>
      </c>
      <c r="DV355" s="18"/>
      <c r="DX355" s="11" t="s">
        <v>319</v>
      </c>
      <c r="DZ355" s="18"/>
      <c r="EB355" s="11" t="s">
        <v>319</v>
      </c>
      <c r="ED355" s="18"/>
      <c r="EG355" s="15" t="s">
        <v>319</v>
      </c>
      <c r="EI355" s="18"/>
      <c r="EQ355" s="12" t="s">
        <v>319</v>
      </c>
      <c r="ES355" s="18"/>
      <c r="EU355" s="11" t="s">
        <v>319</v>
      </c>
      <c r="EW355" s="18"/>
      <c r="EY355" s="12" t="s">
        <v>319</v>
      </c>
      <c r="FA355" s="18"/>
      <c r="FC355" s="12" t="s">
        <v>319</v>
      </c>
      <c r="FE355" s="18"/>
      <c r="FG355" s="12" t="s">
        <v>319</v>
      </c>
      <c r="FI355" s="18"/>
      <c r="FK355" s="11" t="s">
        <v>319</v>
      </c>
      <c r="FM355" s="18"/>
      <c r="FO355" s="11" t="s">
        <v>319</v>
      </c>
      <c r="FQ355" s="18"/>
      <c r="FS355" s="11" t="s">
        <v>319</v>
      </c>
      <c r="FU355" s="18"/>
      <c r="FW355" s="11" t="s">
        <v>319</v>
      </c>
      <c r="FY355" s="18"/>
      <c r="GA355" s="11" t="s">
        <v>319</v>
      </c>
      <c r="GC355" s="18"/>
      <c r="GE355" s="11" t="s">
        <v>319</v>
      </c>
      <c r="GG355" s="18"/>
      <c r="GI355" s="11" t="s">
        <v>319</v>
      </c>
      <c r="GK355" s="18"/>
      <c r="GM355" s="11" t="s">
        <v>319</v>
      </c>
      <c r="GO355" s="18"/>
      <c r="GQ355" s="11" t="s">
        <v>319</v>
      </c>
      <c r="GS355" s="18"/>
      <c r="GU355" s="11" t="s">
        <v>319</v>
      </c>
      <c r="GW355" s="18"/>
      <c r="GY355" s="11" t="s">
        <v>319</v>
      </c>
      <c r="HA355" s="18"/>
      <c r="HD355" s="11" t="s">
        <v>319</v>
      </c>
      <c r="HF355" s="18"/>
      <c r="HH355" s="11" t="s">
        <v>320</v>
      </c>
      <c r="HI355" s="11" t="s">
        <v>1175</v>
      </c>
      <c r="HJ355" s="11">
        <v>2017</v>
      </c>
      <c r="HK355" s="11" t="s">
        <v>320</v>
      </c>
      <c r="HL355" s="11" t="s">
        <v>319</v>
      </c>
      <c r="HO355" s="11" t="s">
        <v>6301</v>
      </c>
      <c r="HP355" s="11" t="s">
        <v>418</v>
      </c>
      <c r="HQ355" s="11" t="s">
        <v>319</v>
      </c>
      <c r="HR355" s="11" t="s">
        <v>319</v>
      </c>
      <c r="HS355" s="11" t="s">
        <v>320</v>
      </c>
      <c r="HT355" s="11" t="s">
        <v>320</v>
      </c>
      <c r="HU355" s="11" t="s">
        <v>320</v>
      </c>
      <c r="HV355" s="11" t="s">
        <v>319</v>
      </c>
      <c r="HW355" s="11" t="s">
        <v>320</v>
      </c>
      <c r="HX355" s="11" t="s">
        <v>319</v>
      </c>
      <c r="HZ355" s="11" t="s">
        <v>331</v>
      </c>
      <c r="IA355" s="11" t="s">
        <v>6302</v>
      </c>
      <c r="IB355" s="11" t="s">
        <v>396</v>
      </c>
      <c r="IC355" s="11" t="s">
        <v>6303</v>
      </c>
      <c r="ID355" s="11" t="s">
        <v>334</v>
      </c>
      <c r="IE355" s="11" t="s">
        <v>478</v>
      </c>
      <c r="IF355" s="11" t="s">
        <v>320</v>
      </c>
      <c r="IG355" s="11" t="s">
        <v>320</v>
      </c>
      <c r="IH355" s="11" t="s">
        <v>320</v>
      </c>
      <c r="II355" s="11" t="s">
        <v>320</v>
      </c>
      <c r="IJ355" s="12" t="str">
        <f t="shared" si="216"/>
        <v>4. Transformative</v>
      </c>
      <c r="IK355" s="12">
        <f t="shared" si="217"/>
        <v>4</v>
      </c>
      <c r="IL355" s="11" t="s">
        <v>336</v>
      </c>
      <c r="IM355" s="11" t="s">
        <v>320</v>
      </c>
      <c r="IN355" s="11" t="s">
        <v>319</v>
      </c>
      <c r="IO355" s="11" t="s">
        <v>320</v>
      </c>
      <c r="IP355" s="11" t="s">
        <v>320</v>
      </c>
      <c r="IQ355" s="12" t="str">
        <f t="shared" si="218"/>
        <v>2. Accommodating</v>
      </c>
      <c r="IR355" s="12">
        <f t="shared" si="219"/>
        <v>3</v>
      </c>
      <c r="IS355" s="11" t="s">
        <v>337</v>
      </c>
      <c r="IT355" s="11" t="s">
        <v>320</v>
      </c>
      <c r="IU355" s="11" t="s">
        <v>320</v>
      </c>
      <c r="IV355" s="11" t="s">
        <v>320</v>
      </c>
      <c r="IW355" s="11" t="str">
        <f t="shared" si="220"/>
        <v>2. Sensitive</v>
      </c>
      <c r="IX355" s="12">
        <f t="shared" si="221"/>
        <v>3</v>
      </c>
      <c r="IY355" s="11" t="s">
        <v>338</v>
      </c>
      <c r="IZ355" s="11" t="s">
        <v>432</v>
      </c>
      <c r="JA355" s="11">
        <v>1</v>
      </c>
      <c r="JB355" s="11" t="s">
        <v>687</v>
      </c>
      <c r="JE355" s="11" t="s">
        <v>420</v>
      </c>
      <c r="JG355" s="11" t="s">
        <v>6304</v>
      </c>
      <c r="JH355" s="11" t="s">
        <v>6287</v>
      </c>
      <c r="JI355" s="11" t="s">
        <v>6305</v>
      </c>
      <c r="JJ355" s="11" t="s">
        <v>6306</v>
      </c>
      <c r="JK355" s="11" t="s">
        <v>6307</v>
      </c>
      <c r="JL355" s="11" t="s">
        <v>6308</v>
      </c>
      <c r="JM355" s="11" t="s">
        <v>6309</v>
      </c>
      <c r="JN355" s="11" t="s">
        <v>6310</v>
      </c>
      <c r="JO355" s="11" t="s">
        <v>6311</v>
      </c>
      <c r="JP355" s="15">
        <f t="shared" si="222"/>
        <v>20361</v>
      </c>
      <c r="JQ355" s="15">
        <f t="shared" si="223"/>
        <v>95533</v>
      </c>
      <c r="JR355" s="279">
        <f t="shared" si="224"/>
        <v>4.6919601198369429</v>
      </c>
      <c r="JS355" s="17">
        <f t="shared" si="225"/>
        <v>0.5599430283384903</v>
      </c>
      <c r="JT355" s="18">
        <f t="shared" si="226"/>
        <v>0.59670480357572775</v>
      </c>
      <c r="JU355" s="280">
        <f t="shared" si="227"/>
        <v>11401</v>
      </c>
      <c r="JV355" s="280">
        <f t="shared" si="228"/>
        <v>57005</v>
      </c>
      <c r="JW355" s="319">
        <f t="shared" si="229"/>
        <v>1</v>
      </c>
      <c r="JX355" s="15">
        <f t="shared" si="230"/>
        <v>20361</v>
      </c>
      <c r="JY355" s="15">
        <f t="shared" si="231"/>
        <v>95533</v>
      </c>
      <c r="JZ355" s="19">
        <f t="shared" si="232"/>
        <v>4.6919601198369429</v>
      </c>
      <c r="KA355" s="52" t="str">
        <f t="shared" si="233"/>
        <v/>
      </c>
      <c r="KB355" s="15">
        <f t="shared" si="234"/>
        <v>0</v>
      </c>
      <c r="KC355" s="15">
        <f t="shared" si="235"/>
        <v>0</v>
      </c>
      <c r="KD355" s="20" t="str">
        <f t="shared" si="236"/>
        <v/>
      </c>
      <c r="KE355" s="52" t="str">
        <f t="shared" si="237"/>
        <v/>
      </c>
      <c r="KF355" s="15">
        <f t="shared" si="238"/>
        <v>0</v>
      </c>
      <c r="KG355" s="15">
        <f t="shared" si="239"/>
        <v>0</v>
      </c>
      <c r="KH355" s="21" t="str">
        <f t="shared" si="240"/>
        <v/>
      </c>
      <c r="KI355" s="52" t="str">
        <f t="shared" si="241"/>
        <v/>
      </c>
      <c r="KJ355" s="15">
        <f t="shared" si="242"/>
        <v>0</v>
      </c>
      <c r="KK355" s="15">
        <f t="shared" si="243"/>
        <v>0</v>
      </c>
      <c r="KL355" s="19" t="str">
        <f t="shared" si="244"/>
        <v/>
      </c>
      <c r="KM355" s="52" t="str">
        <f t="shared" si="245"/>
        <v/>
      </c>
      <c r="KN355" s="22">
        <f t="shared" si="246"/>
        <v>0</v>
      </c>
      <c r="KO355" s="22">
        <f t="shared" si="247"/>
        <v>0</v>
      </c>
      <c r="KP355" s="19" t="str">
        <f t="shared" si="248"/>
        <v/>
      </c>
      <c r="KQ355" s="11" t="str">
        <f t="shared" si="249"/>
        <v>4. Transformative</v>
      </c>
      <c r="KR355" s="11" t="str">
        <f t="shared" si="250"/>
        <v>2. Accommodating</v>
      </c>
      <c r="KS355" s="11" t="str">
        <f t="shared" si="251"/>
        <v>2. Sensitive</v>
      </c>
      <c r="KT355" s="11" t="str">
        <f t="shared" si="252"/>
        <v>It tested new ways for fighting poverty and measured results of innovation</v>
      </c>
      <c r="KU355" s="11" t="str">
        <f t="shared" si="253"/>
        <v>Little or no advocacy</v>
      </c>
      <c r="KV355" s="11" t="str">
        <f t="shared" si="254"/>
        <v>It linked and worked with strategic alliances and partners to take tested and effective solutions to scale</v>
      </c>
      <c r="KW355" s="11" t="str">
        <f t="shared" si="255"/>
        <v>Jordan - Life-saving ssistance to population in Jordan Affected by the Syria Crisis</v>
      </c>
      <c r="KX355" s="11" t="str">
        <f t="shared" si="256"/>
        <v>Life-saving ssistance to population in Jordan Affected by the Syria Crisis</v>
      </c>
      <c r="KY355" s="11" t="str">
        <f t="shared" si="257"/>
        <v>Jordan</v>
      </c>
      <c r="KZ355" s="12">
        <v>355</v>
      </c>
    </row>
    <row r="356" spans="1:312" x14ac:dyDescent="0.3">
      <c r="A356" s="11" t="s">
        <v>6105</v>
      </c>
      <c r="B356" s="11" t="s">
        <v>602</v>
      </c>
      <c r="C356" s="11">
        <v>3052</v>
      </c>
      <c r="D356" s="11" t="s">
        <v>6179</v>
      </c>
      <c r="E356" s="24" t="str">
        <f t="shared" si="215"/>
        <v>Jordan</v>
      </c>
      <c r="F356" s="11" t="s">
        <v>6180</v>
      </c>
      <c r="G356" s="11" t="s">
        <v>1738</v>
      </c>
      <c r="H356" s="11" t="s">
        <v>310</v>
      </c>
      <c r="I356" s="11" t="s">
        <v>2595</v>
      </c>
      <c r="J356" s="278" t="s">
        <v>14603</v>
      </c>
      <c r="BD356" s="23">
        <v>42491</v>
      </c>
      <c r="BE356" s="23">
        <v>43130</v>
      </c>
      <c r="BG356" s="11" t="s">
        <v>817</v>
      </c>
      <c r="BH356" s="22">
        <v>3470384</v>
      </c>
      <c r="BI356" s="11" t="s">
        <v>6181</v>
      </c>
      <c r="BJ356" s="11" t="s">
        <v>6182</v>
      </c>
      <c r="BK356" s="11" t="s">
        <v>6183</v>
      </c>
      <c r="BO356" s="11" t="s">
        <v>320</v>
      </c>
      <c r="BP356" s="11" t="s">
        <v>320</v>
      </c>
      <c r="BQ356" s="12" t="s">
        <v>320</v>
      </c>
      <c r="BR356" s="11" t="s">
        <v>6184</v>
      </c>
      <c r="BS356" s="11" t="s">
        <v>322</v>
      </c>
      <c r="BT356" s="11" t="s">
        <v>6185</v>
      </c>
      <c r="BU356" s="11" t="s">
        <v>6186</v>
      </c>
      <c r="BV356" s="22">
        <v>8575</v>
      </c>
      <c r="BW356" s="22">
        <v>8575</v>
      </c>
      <c r="BX356" s="22">
        <v>17150</v>
      </c>
      <c r="BY356" s="22">
        <v>38588</v>
      </c>
      <c r="BZ356" s="22">
        <v>38587</v>
      </c>
      <c r="CA356" s="22">
        <v>77175</v>
      </c>
      <c r="CB356" s="15" t="s">
        <v>6187</v>
      </c>
      <c r="CD356" s="22">
        <v>7546</v>
      </c>
      <c r="CE356" s="22">
        <v>8348</v>
      </c>
      <c r="CF356" s="22">
        <v>15894</v>
      </c>
      <c r="CG356" s="22">
        <v>33957</v>
      </c>
      <c r="CH356" s="22">
        <v>37566</v>
      </c>
      <c r="CI356" s="22">
        <v>71523</v>
      </c>
      <c r="CJ356" s="11" t="s">
        <v>319</v>
      </c>
      <c r="CL356" s="18"/>
      <c r="CN356" s="11" t="s">
        <v>320</v>
      </c>
      <c r="CO356" s="22">
        <v>4702</v>
      </c>
      <c r="CP356" s="18">
        <v>0.46610000000000001</v>
      </c>
      <c r="CQ356" s="22">
        <v>15992</v>
      </c>
      <c r="CR356" s="11" t="s">
        <v>320</v>
      </c>
      <c r="CS356" s="22">
        <v>250</v>
      </c>
      <c r="CT356" s="18">
        <v>0</v>
      </c>
      <c r="CU356" s="22">
        <v>1741</v>
      </c>
      <c r="CV356" s="11" t="s">
        <v>319</v>
      </c>
      <c r="CX356" s="18"/>
      <c r="CZ356" s="11" t="s">
        <v>319</v>
      </c>
      <c r="DB356" s="18"/>
      <c r="DD356" s="11" t="s">
        <v>319</v>
      </c>
      <c r="DF356" s="18"/>
      <c r="DH356" s="11" t="s">
        <v>319</v>
      </c>
      <c r="DJ356" s="18"/>
      <c r="DL356" s="11" t="s">
        <v>319</v>
      </c>
      <c r="DN356" s="18"/>
      <c r="DP356" s="12" t="s">
        <v>320</v>
      </c>
      <c r="DQ356" s="22">
        <v>12256</v>
      </c>
      <c r="DR356" s="18">
        <v>0.47510000000000002</v>
      </c>
      <c r="DS356" s="22">
        <v>55152</v>
      </c>
      <c r="DT356" s="11" t="s">
        <v>319</v>
      </c>
      <c r="DV356" s="18"/>
      <c r="DX356" s="11" t="s">
        <v>319</v>
      </c>
      <c r="DZ356" s="18"/>
      <c r="EB356" s="11" t="s">
        <v>319</v>
      </c>
      <c r="ED356" s="18"/>
      <c r="EG356" s="15" t="s">
        <v>319</v>
      </c>
      <c r="EI356" s="18"/>
      <c r="EQ356" s="12" t="s">
        <v>319</v>
      </c>
      <c r="ES356" s="18"/>
      <c r="EU356" s="11" t="s">
        <v>319</v>
      </c>
      <c r="EW356" s="18"/>
      <c r="EY356" s="12" t="s">
        <v>319</v>
      </c>
      <c r="FA356" s="18"/>
      <c r="FC356" s="12" t="s">
        <v>319</v>
      </c>
      <c r="FE356" s="18"/>
      <c r="FG356" s="12" t="s">
        <v>319</v>
      </c>
      <c r="FI356" s="18"/>
      <c r="FK356" s="11" t="s">
        <v>319</v>
      </c>
      <c r="FM356" s="18"/>
      <c r="FO356" s="11" t="s">
        <v>319</v>
      </c>
      <c r="FQ356" s="18"/>
      <c r="FS356" s="11" t="s">
        <v>319</v>
      </c>
      <c r="FU356" s="18"/>
      <c r="FW356" s="11" t="s">
        <v>319</v>
      </c>
      <c r="FY356" s="18"/>
      <c r="GA356" s="11" t="s">
        <v>319</v>
      </c>
      <c r="GC356" s="18"/>
      <c r="GE356" s="11" t="s">
        <v>319</v>
      </c>
      <c r="GG356" s="18"/>
      <c r="GI356" s="11" t="s">
        <v>319</v>
      </c>
      <c r="GK356" s="18"/>
      <c r="GM356" s="11" t="s">
        <v>319</v>
      </c>
      <c r="GO356" s="18"/>
      <c r="GQ356" s="11" t="s">
        <v>319</v>
      </c>
      <c r="GS356" s="18"/>
      <c r="GU356" s="11" t="s">
        <v>319</v>
      </c>
      <c r="GW356" s="18"/>
      <c r="GY356" s="11" t="s">
        <v>319</v>
      </c>
      <c r="HA356" s="18"/>
      <c r="HD356" s="11" t="s">
        <v>319</v>
      </c>
      <c r="HF356" s="18"/>
      <c r="HH356" s="11" t="s">
        <v>319</v>
      </c>
      <c r="HK356" s="11" t="s">
        <v>319</v>
      </c>
      <c r="HL356" s="11" t="s">
        <v>320</v>
      </c>
      <c r="HM356" s="11" t="s">
        <v>416</v>
      </c>
      <c r="HN356" s="11">
        <v>2018</v>
      </c>
      <c r="HO356" s="11" t="s">
        <v>6188</v>
      </c>
      <c r="HP356" s="11" t="s">
        <v>418</v>
      </c>
      <c r="HQ356" s="11" t="s">
        <v>319</v>
      </c>
      <c r="HR356" s="11" t="s">
        <v>319</v>
      </c>
      <c r="HS356" s="11" t="s">
        <v>320</v>
      </c>
      <c r="HT356" s="11" t="s">
        <v>320</v>
      </c>
      <c r="HU356" s="11" t="s">
        <v>320</v>
      </c>
      <c r="HV356" s="11" t="s">
        <v>319</v>
      </c>
      <c r="HW356" s="11" t="s">
        <v>320</v>
      </c>
      <c r="HX356" s="11" t="s">
        <v>319</v>
      </c>
      <c r="HZ356" s="11" t="s">
        <v>331</v>
      </c>
      <c r="IA356" s="11" t="s">
        <v>6189</v>
      </c>
      <c r="IB356" s="11" t="s">
        <v>667</v>
      </c>
      <c r="IC356" s="11" t="s">
        <v>6190</v>
      </c>
      <c r="ID356" s="11" t="s">
        <v>334</v>
      </c>
      <c r="IE356" s="11" t="s">
        <v>478</v>
      </c>
      <c r="IF356" s="11" t="s">
        <v>320</v>
      </c>
      <c r="IG356" s="11" t="s">
        <v>320</v>
      </c>
      <c r="IH356" s="11" t="s">
        <v>320</v>
      </c>
      <c r="II356" s="11" t="s">
        <v>320</v>
      </c>
      <c r="IJ356" s="12" t="str">
        <f t="shared" si="216"/>
        <v>4. Transformative</v>
      </c>
      <c r="IK356" s="12">
        <f t="shared" si="217"/>
        <v>4</v>
      </c>
      <c r="IL356" s="11" t="s">
        <v>336</v>
      </c>
      <c r="IM356" s="11" t="s">
        <v>319</v>
      </c>
      <c r="IN356" s="11" t="s">
        <v>319</v>
      </c>
      <c r="IO356" s="11" t="s">
        <v>319</v>
      </c>
      <c r="IP356" s="11" t="s">
        <v>320</v>
      </c>
      <c r="IQ356" s="12" t="str">
        <f t="shared" si="218"/>
        <v>1. Tokenistic</v>
      </c>
      <c r="IR356" s="12">
        <f t="shared" si="219"/>
        <v>1</v>
      </c>
      <c r="IS356" s="11" t="s">
        <v>337</v>
      </c>
      <c r="IT356" s="11" t="s">
        <v>320</v>
      </c>
      <c r="IU356" s="11" t="s">
        <v>320</v>
      </c>
      <c r="IV356" s="11" t="s">
        <v>320</v>
      </c>
      <c r="IW356" s="11" t="str">
        <f t="shared" si="220"/>
        <v>2. Sensitive</v>
      </c>
      <c r="IX356" s="12">
        <f t="shared" si="221"/>
        <v>3</v>
      </c>
      <c r="IY356" s="11" t="s">
        <v>419</v>
      </c>
      <c r="IZ356" s="11" t="s">
        <v>339</v>
      </c>
      <c r="JA356" s="11">
        <v>1</v>
      </c>
      <c r="JB356" s="11" t="s">
        <v>687</v>
      </c>
      <c r="JE356" s="11" t="s">
        <v>340</v>
      </c>
      <c r="JF356" s="11" t="s">
        <v>6191</v>
      </c>
      <c r="JG356" s="11" t="s">
        <v>6192</v>
      </c>
      <c r="JH356" s="11" t="s">
        <v>6193</v>
      </c>
      <c r="JI356" s="11" t="s">
        <v>6194</v>
      </c>
      <c r="JJ356" s="11" t="s">
        <v>6195</v>
      </c>
      <c r="JK356" s="11" t="s">
        <v>6196</v>
      </c>
      <c r="JL356" s="11" t="s">
        <v>6197</v>
      </c>
      <c r="JM356" s="11" t="s">
        <v>6198</v>
      </c>
      <c r="JN356" s="11" t="s">
        <v>6199</v>
      </c>
      <c r="JO356" s="11" t="s">
        <v>6200</v>
      </c>
      <c r="JP356" s="15">
        <f t="shared" si="222"/>
        <v>15894</v>
      </c>
      <c r="JQ356" s="15">
        <f t="shared" si="223"/>
        <v>71523</v>
      </c>
      <c r="JR356" s="279">
        <f t="shared" si="224"/>
        <v>4.5</v>
      </c>
      <c r="JS356" s="17">
        <f t="shared" si="225"/>
        <v>0.47477035359255065</v>
      </c>
      <c r="JT356" s="18">
        <f t="shared" si="226"/>
        <v>0.47477035359255065</v>
      </c>
      <c r="JU356" s="280">
        <f t="shared" si="227"/>
        <v>7546</v>
      </c>
      <c r="JV356" s="280">
        <f t="shared" si="228"/>
        <v>33957</v>
      </c>
      <c r="JW356" s="319">
        <f t="shared" si="229"/>
        <v>1</v>
      </c>
      <c r="JX356" s="15">
        <f t="shared" si="230"/>
        <v>15894</v>
      </c>
      <c r="JY356" s="15">
        <f t="shared" si="231"/>
        <v>71523</v>
      </c>
      <c r="JZ356" s="19">
        <f t="shared" si="232"/>
        <v>4.5</v>
      </c>
      <c r="KA356" s="52" t="str">
        <f t="shared" si="233"/>
        <v/>
      </c>
      <c r="KB356" s="15">
        <f t="shared" si="234"/>
        <v>0</v>
      </c>
      <c r="KC356" s="15">
        <f t="shared" si="235"/>
        <v>0</v>
      </c>
      <c r="KD356" s="20" t="str">
        <f t="shared" si="236"/>
        <v/>
      </c>
      <c r="KE356" s="52" t="str">
        <f t="shared" si="237"/>
        <v/>
      </c>
      <c r="KF356" s="15">
        <f t="shared" si="238"/>
        <v>0</v>
      </c>
      <c r="KG356" s="15">
        <f t="shared" si="239"/>
        <v>0</v>
      </c>
      <c r="KH356" s="21" t="str">
        <f t="shared" si="240"/>
        <v/>
      </c>
      <c r="KI356" s="52" t="str">
        <f t="shared" si="241"/>
        <v/>
      </c>
      <c r="KJ356" s="15">
        <f t="shared" si="242"/>
        <v>0</v>
      </c>
      <c r="KK356" s="15">
        <f t="shared" si="243"/>
        <v>0</v>
      </c>
      <c r="KL356" s="19" t="str">
        <f t="shared" si="244"/>
        <v/>
      </c>
      <c r="KM356" s="52" t="str">
        <f t="shared" si="245"/>
        <v/>
      </c>
      <c r="KN356" s="22">
        <f t="shared" si="246"/>
        <v>0</v>
      </c>
      <c r="KO356" s="22">
        <f t="shared" si="247"/>
        <v>0</v>
      </c>
      <c r="KP356" s="19" t="str">
        <f t="shared" si="248"/>
        <v/>
      </c>
      <c r="KQ356" s="11" t="str">
        <f t="shared" si="249"/>
        <v>4. Transformative</v>
      </c>
      <c r="KR356" s="11" t="str">
        <f t="shared" si="250"/>
        <v>1. Tokenistic</v>
      </c>
      <c r="KS356" s="11" t="str">
        <f t="shared" si="251"/>
        <v>2. Sensitive</v>
      </c>
      <c r="KT356" s="11" t="str">
        <f t="shared" si="252"/>
        <v>It tested new ways for fighting poverty and measured results of innovation</v>
      </c>
      <c r="KU356" s="11" t="str">
        <f t="shared" si="253"/>
        <v>Little or no advocacy</v>
      </c>
      <c r="KV356" s="11" t="str">
        <f t="shared" si="254"/>
        <v>It took tested solutions to scale on its own</v>
      </c>
      <c r="KW356" s="11" t="str">
        <f t="shared" si="255"/>
        <v>Jordan - MoFa Emergency Assistance and Protection for Crisis-Affected People in Jordan</v>
      </c>
      <c r="KX356" s="11" t="str">
        <f t="shared" si="256"/>
        <v>MoFa Emergency Assistance and Protection for Crisis-Affected People in Jordan</v>
      </c>
      <c r="KY356" s="11" t="str">
        <f t="shared" si="257"/>
        <v>Jordan</v>
      </c>
      <c r="KZ356" s="12">
        <v>356</v>
      </c>
    </row>
    <row r="357" spans="1:312" x14ac:dyDescent="0.3">
      <c r="A357" s="11" t="s">
        <v>6105</v>
      </c>
      <c r="B357" s="11" t="s">
        <v>602</v>
      </c>
      <c r="D357" s="11" t="s">
        <v>6312</v>
      </c>
      <c r="E357" s="24" t="str">
        <f t="shared" si="215"/>
        <v>Jordan</v>
      </c>
      <c r="F357" s="11" t="s">
        <v>6313</v>
      </c>
      <c r="G357" s="11" t="s">
        <v>605</v>
      </c>
      <c r="H357" s="11" t="s">
        <v>380</v>
      </c>
      <c r="I357" s="11" t="s">
        <v>907</v>
      </c>
      <c r="J357" s="278" t="s">
        <v>14624</v>
      </c>
      <c r="BD357" s="23">
        <v>42719</v>
      </c>
      <c r="BE357" s="23">
        <v>42900</v>
      </c>
      <c r="BG357" s="11" t="s">
        <v>817</v>
      </c>
      <c r="BH357" s="22">
        <v>400000</v>
      </c>
      <c r="BI357" s="11" t="s">
        <v>6314</v>
      </c>
      <c r="BJ357" s="11" t="s">
        <v>6315</v>
      </c>
      <c r="BK357" s="11" t="s">
        <v>6316</v>
      </c>
      <c r="BO357" s="11" t="s">
        <v>320</v>
      </c>
      <c r="BP357" s="11" t="s">
        <v>319</v>
      </c>
      <c r="BQ357" s="11" t="s">
        <v>319</v>
      </c>
      <c r="BR357" s="11" t="s">
        <v>6317</v>
      </c>
      <c r="BS357" s="11" t="s">
        <v>322</v>
      </c>
      <c r="BT357" s="11" t="s">
        <v>6318</v>
      </c>
      <c r="BU357" s="11" t="s">
        <v>6319</v>
      </c>
      <c r="BV357" s="22">
        <v>2160</v>
      </c>
      <c r="BW357" s="22">
        <v>2160</v>
      </c>
      <c r="BX357" s="22">
        <v>4320</v>
      </c>
      <c r="BY357" s="22">
        <v>10800</v>
      </c>
      <c r="BZ357" s="22">
        <v>10800</v>
      </c>
      <c r="CA357" s="22">
        <v>21600</v>
      </c>
      <c r="CB357" s="15" t="s">
        <v>6320</v>
      </c>
      <c r="CD357" s="22">
        <v>2128</v>
      </c>
      <c r="CE357" s="22">
        <v>2050</v>
      </c>
      <c r="CF357" s="22">
        <v>4178</v>
      </c>
      <c r="CG357" s="22">
        <v>10642</v>
      </c>
      <c r="CH357" s="22">
        <v>10253</v>
      </c>
      <c r="CI357" s="22">
        <v>20895</v>
      </c>
      <c r="CJ357" s="11" t="s">
        <v>320</v>
      </c>
      <c r="CK357" s="22">
        <v>1350</v>
      </c>
      <c r="CL357" s="18">
        <v>0.4</v>
      </c>
      <c r="CM357" s="22">
        <v>6748</v>
      </c>
      <c r="CN357" s="11" t="s">
        <v>320</v>
      </c>
      <c r="CO357" s="22">
        <v>4178</v>
      </c>
      <c r="CP357" s="18">
        <v>0.5</v>
      </c>
      <c r="CQ357" s="22">
        <v>20895</v>
      </c>
      <c r="CR357" s="11" t="s">
        <v>319</v>
      </c>
      <c r="CT357" s="18"/>
      <c r="CV357" s="11" t="s">
        <v>319</v>
      </c>
      <c r="CX357" s="18"/>
      <c r="CZ357" s="11" t="s">
        <v>319</v>
      </c>
      <c r="DB357" s="18"/>
      <c r="DD357" s="11" t="s">
        <v>319</v>
      </c>
      <c r="DF357" s="18"/>
      <c r="DH357" s="11" t="s">
        <v>319</v>
      </c>
      <c r="DJ357" s="18"/>
      <c r="DL357" s="11" t="s">
        <v>319</v>
      </c>
      <c r="DN357" s="18"/>
      <c r="DP357" s="12" t="s">
        <v>320</v>
      </c>
      <c r="DQ357" s="22">
        <v>1350</v>
      </c>
      <c r="DR357" s="18">
        <v>0.4</v>
      </c>
      <c r="DS357" s="22">
        <v>6748</v>
      </c>
      <c r="DT357" s="11" t="s">
        <v>319</v>
      </c>
      <c r="DV357" s="18"/>
      <c r="DX357" s="11" t="s">
        <v>319</v>
      </c>
      <c r="DZ357" s="18"/>
      <c r="EB357" s="11" t="s">
        <v>319</v>
      </c>
      <c r="ED357" s="18"/>
      <c r="EG357" s="15" t="s">
        <v>319</v>
      </c>
      <c r="EI357" s="18"/>
      <c r="EQ357" s="12" t="s">
        <v>319</v>
      </c>
      <c r="ES357" s="18"/>
      <c r="EU357" s="11" t="s">
        <v>319</v>
      </c>
      <c r="EW357" s="18"/>
      <c r="EY357" s="12" t="s">
        <v>319</v>
      </c>
      <c r="FA357" s="18"/>
      <c r="FC357" s="12" t="s">
        <v>319</v>
      </c>
      <c r="FE357" s="18"/>
      <c r="FG357" s="12" t="s">
        <v>319</v>
      </c>
      <c r="FI357" s="18"/>
      <c r="FK357" s="11" t="s">
        <v>319</v>
      </c>
      <c r="FM357" s="18"/>
      <c r="FO357" s="11" t="s">
        <v>319</v>
      </c>
      <c r="FQ357" s="18"/>
      <c r="FS357" s="11" t="s">
        <v>319</v>
      </c>
      <c r="FU357" s="18"/>
      <c r="FW357" s="11" t="s">
        <v>319</v>
      </c>
      <c r="FY357" s="18"/>
      <c r="GA357" s="11" t="s">
        <v>319</v>
      </c>
      <c r="GC357" s="18"/>
      <c r="GE357" s="11" t="s">
        <v>319</v>
      </c>
      <c r="GG357" s="18"/>
      <c r="GI357" s="11" t="s">
        <v>319</v>
      </c>
      <c r="GK357" s="18"/>
      <c r="GM357" s="11" t="s">
        <v>319</v>
      </c>
      <c r="GO357" s="18"/>
      <c r="GQ357" s="11" t="s">
        <v>319</v>
      </c>
      <c r="GS357" s="18"/>
      <c r="GU357" s="11" t="s">
        <v>319</v>
      </c>
      <c r="GW357" s="18"/>
      <c r="GY357" s="11" t="s">
        <v>319</v>
      </c>
      <c r="HA357" s="18"/>
      <c r="HD357" s="11" t="s">
        <v>319</v>
      </c>
      <c r="HF357" s="18"/>
      <c r="HH357" s="11" t="s">
        <v>319</v>
      </c>
      <c r="HK357" s="11" t="s">
        <v>319</v>
      </c>
      <c r="HL357" s="11" t="s">
        <v>320</v>
      </c>
      <c r="HM357" s="11" t="s">
        <v>522</v>
      </c>
      <c r="HN357" s="11">
        <v>2017</v>
      </c>
      <c r="HP357" s="11" t="s">
        <v>330</v>
      </c>
      <c r="HQ357" s="11" t="s">
        <v>319</v>
      </c>
      <c r="HR357" s="11" t="s">
        <v>319</v>
      </c>
      <c r="HS357" s="11" t="s">
        <v>320</v>
      </c>
      <c r="HT357" s="11" t="s">
        <v>320</v>
      </c>
      <c r="HU357" s="11" t="s">
        <v>319</v>
      </c>
      <c r="HV357" s="11" t="s">
        <v>319</v>
      </c>
      <c r="HW357" s="11" t="s">
        <v>319</v>
      </c>
      <c r="HX357" s="11" t="s">
        <v>320</v>
      </c>
      <c r="HY357" s="11" t="s">
        <v>6321</v>
      </c>
      <c r="HZ357" s="11" t="s">
        <v>363</v>
      </c>
      <c r="IB357" s="11" t="s">
        <v>396</v>
      </c>
      <c r="ID357" s="11" t="s">
        <v>334</v>
      </c>
      <c r="IE357" s="11" t="s">
        <v>478</v>
      </c>
      <c r="IF357" s="11" t="s">
        <v>320</v>
      </c>
      <c r="IG357" s="11" t="s">
        <v>320</v>
      </c>
      <c r="IH357" s="11" t="s">
        <v>320</v>
      </c>
      <c r="II357" s="11" t="s">
        <v>320</v>
      </c>
      <c r="IJ357" s="12" t="str">
        <f t="shared" si="216"/>
        <v>4. Transformative</v>
      </c>
      <c r="IK357" s="12">
        <f t="shared" si="217"/>
        <v>4</v>
      </c>
      <c r="IL357" s="11" t="s">
        <v>621</v>
      </c>
      <c r="IM357" s="11" t="s">
        <v>319</v>
      </c>
      <c r="IN357" s="11" t="s">
        <v>320</v>
      </c>
      <c r="IO357" s="11" t="s">
        <v>320</v>
      </c>
      <c r="IP357" s="11" t="s">
        <v>320</v>
      </c>
      <c r="IQ357" s="12" t="str">
        <f t="shared" si="218"/>
        <v>3. Responsive</v>
      </c>
      <c r="IR357" s="12">
        <f t="shared" si="219"/>
        <v>3</v>
      </c>
      <c r="IS357" s="11" t="s">
        <v>622</v>
      </c>
      <c r="IT357" s="11" t="s">
        <v>320</v>
      </c>
      <c r="IU357" s="11" t="s">
        <v>320</v>
      </c>
      <c r="IV357" s="11" t="s">
        <v>320</v>
      </c>
      <c r="IW357" s="11" t="str">
        <f t="shared" si="220"/>
        <v>4. Transformative</v>
      </c>
      <c r="IX357" s="12">
        <f t="shared" si="221"/>
        <v>3</v>
      </c>
      <c r="IY357" s="11" t="s">
        <v>338</v>
      </c>
      <c r="IZ357" s="11" t="s">
        <v>432</v>
      </c>
      <c r="JA357" s="11">
        <v>3</v>
      </c>
      <c r="JB357" s="11" t="s">
        <v>433</v>
      </c>
      <c r="JC357" s="11" t="s">
        <v>623</v>
      </c>
      <c r="JD357" s="11" t="s">
        <v>623</v>
      </c>
      <c r="JE357" s="11" t="s">
        <v>420</v>
      </c>
      <c r="JH357" s="11" t="s">
        <v>6322</v>
      </c>
      <c r="JI357" s="11" t="s">
        <v>6323</v>
      </c>
      <c r="JK357" s="11" t="s">
        <v>6324</v>
      </c>
      <c r="JL357" s="11" t="s">
        <v>6325</v>
      </c>
      <c r="JM357" s="11" t="s">
        <v>6326</v>
      </c>
      <c r="JO357" s="11" t="s">
        <v>6146</v>
      </c>
      <c r="JP357" s="15">
        <f t="shared" si="222"/>
        <v>4178</v>
      </c>
      <c r="JQ357" s="15">
        <f t="shared" si="223"/>
        <v>20895</v>
      </c>
      <c r="JR357" s="279">
        <f t="shared" si="224"/>
        <v>5.0011967448539973</v>
      </c>
      <c r="JS357" s="17">
        <f t="shared" si="225"/>
        <v>0.50933460986117762</v>
      </c>
      <c r="JT357" s="18">
        <f t="shared" si="226"/>
        <v>0.50930844699688915</v>
      </c>
      <c r="JU357" s="280">
        <f t="shared" si="227"/>
        <v>2128</v>
      </c>
      <c r="JV357" s="280">
        <f t="shared" si="228"/>
        <v>10642</v>
      </c>
      <c r="JW357" s="319">
        <f t="shared" si="229"/>
        <v>1</v>
      </c>
      <c r="JX357" s="15">
        <f t="shared" si="230"/>
        <v>4178</v>
      </c>
      <c r="JY357" s="15">
        <f t="shared" si="231"/>
        <v>20895</v>
      </c>
      <c r="JZ357" s="19">
        <f t="shared" si="232"/>
        <v>5.0011967448539973</v>
      </c>
      <c r="KA357" s="52" t="str">
        <f t="shared" si="233"/>
        <v/>
      </c>
      <c r="KB357" s="15">
        <f t="shared" si="234"/>
        <v>0</v>
      </c>
      <c r="KC357" s="15">
        <f t="shared" si="235"/>
        <v>0</v>
      </c>
      <c r="KD357" s="20" t="str">
        <f t="shared" si="236"/>
        <v/>
      </c>
      <c r="KE357" s="52" t="str">
        <f t="shared" si="237"/>
        <v/>
      </c>
      <c r="KF357" s="15">
        <f t="shared" si="238"/>
        <v>0</v>
      </c>
      <c r="KG357" s="15">
        <f t="shared" si="239"/>
        <v>0</v>
      </c>
      <c r="KH357" s="21" t="str">
        <f t="shared" si="240"/>
        <v/>
      </c>
      <c r="KI357" s="52" t="str">
        <f t="shared" si="241"/>
        <v/>
      </c>
      <c r="KJ357" s="15">
        <f t="shared" si="242"/>
        <v>0</v>
      </c>
      <c r="KK357" s="15">
        <f t="shared" si="243"/>
        <v>0</v>
      </c>
      <c r="KL357" s="19" t="str">
        <f t="shared" si="244"/>
        <v/>
      </c>
      <c r="KM357" s="52" t="str">
        <f t="shared" si="245"/>
        <v/>
      </c>
      <c r="KN357" s="22">
        <f t="shared" si="246"/>
        <v>0</v>
      </c>
      <c r="KO357" s="22">
        <f t="shared" si="247"/>
        <v>0</v>
      </c>
      <c r="KP357" s="19" t="str">
        <f t="shared" si="248"/>
        <v/>
      </c>
      <c r="KQ357" s="11" t="str">
        <f t="shared" si="249"/>
        <v>4. Transformative</v>
      </c>
      <c r="KR357" s="11" t="str">
        <f t="shared" si="250"/>
        <v>3. Responsive</v>
      </c>
      <c r="KS357" s="11" t="str">
        <f t="shared" si="251"/>
        <v>4. Transformative</v>
      </c>
      <c r="KT357" s="11" t="str">
        <f t="shared" si="252"/>
        <v>It did not develop any specific innovation</v>
      </c>
      <c r="KU357" s="11" t="str">
        <f t="shared" si="253"/>
        <v>Moderate advocacy</v>
      </c>
      <c r="KV357" s="11" t="str">
        <f t="shared" si="254"/>
        <v>It linked and worked with strategic alliances and partners to take tested and effective solutions to scale</v>
      </c>
      <c r="KW357" s="11" t="str">
        <f t="shared" si="255"/>
        <v>Jordan - OCHA Protecting the dignity of Syrian refugees in Azraq camp: Winterization Support/ Enhance access to social protection in camp.</v>
      </c>
      <c r="KX357" s="11" t="str">
        <f t="shared" si="256"/>
        <v>OCHA Protecting the dignity of Syrian refugees in Azraq camp: Winterization Support/ Enhance access to social protection in camp.</v>
      </c>
      <c r="KY357" s="11" t="str">
        <f t="shared" si="257"/>
        <v>Jordan</v>
      </c>
      <c r="KZ357" s="12">
        <v>357</v>
      </c>
    </row>
    <row r="358" spans="1:312" x14ac:dyDescent="0.3">
      <c r="A358" s="11" t="s">
        <v>6105</v>
      </c>
      <c r="B358" s="11" t="s">
        <v>602</v>
      </c>
      <c r="C358" s="11">
        <v>3056</v>
      </c>
      <c r="D358" s="11" t="s">
        <v>6371</v>
      </c>
      <c r="E358" s="24" t="str">
        <f t="shared" si="215"/>
        <v>Jordan</v>
      </c>
      <c r="F358" s="11" t="s">
        <v>6372</v>
      </c>
      <c r="G358" s="11" t="s">
        <v>379</v>
      </c>
      <c r="H358" s="11" t="s">
        <v>383</v>
      </c>
      <c r="I358" s="11" t="s">
        <v>384</v>
      </c>
      <c r="J358" s="278" t="s">
        <v>6373</v>
      </c>
      <c r="BD358" s="23">
        <v>42461</v>
      </c>
      <c r="BE358" s="23">
        <v>42794</v>
      </c>
      <c r="BG358" s="11" t="s">
        <v>817</v>
      </c>
      <c r="BH358" s="22">
        <v>554054</v>
      </c>
      <c r="BI358" s="11" t="s">
        <v>6163</v>
      </c>
      <c r="BJ358" s="11" t="s">
        <v>6164</v>
      </c>
      <c r="BK358" s="11" t="s">
        <v>6165</v>
      </c>
      <c r="BO358" s="11" t="s">
        <v>320</v>
      </c>
      <c r="BP358" s="11" t="s">
        <v>319</v>
      </c>
      <c r="BQ358" s="11" t="s">
        <v>319</v>
      </c>
      <c r="BR358" s="11" t="s">
        <v>6374</v>
      </c>
      <c r="BS358" s="11" t="s">
        <v>322</v>
      </c>
      <c r="BT358" s="11" t="s">
        <v>6375</v>
      </c>
      <c r="BU358" s="11" t="s">
        <v>6376</v>
      </c>
      <c r="BV358" s="22">
        <v>1512</v>
      </c>
      <c r="BW358" s="22">
        <v>1511</v>
      </c>
      <c r="BX358" s="22">
        <v>3023</v>
      </c>
      <c r="BY358" s="22">
        <v>5895</v>
      </c>
      <c r="BZ358" s="22">
        <v>5895</v>
      </c>
      <c r="CA358" s="22">
        <v>11790</v>
      </c>
      <c r="CB358" s="15" t="s">
        <v>6377</v>
      </c>
      <c r="CD358" s="22">
        <v>2064</v>
      </c>
      <c r="CE358" s="22">
        <v>2689</v>
      </c>
      <c r="CF358" s="22">
        <v>4753</v>
      </c>
      <c r="CG358" s="22">
        <v>9615</v>
      </c>
      <c r="CH358" s="22">
        <v>9016</v>
      </c>
      <c r="CI358" s="22">
        <v>18631</v>
      </c>
      <c r="CJ358" s="11" t="s">
        <v>319</v>
      </c>
      <c r="CL358" s="18"/>
      <c r="CN358" s="12" t="s">
        <v>320</v>
      </c>
      <c r="CO358" s="22">
        <v>1361</v>
      </c>
      <c r="CP358" s="18">
        <v>0.4224</v>
      </c>
      <c r="CQ358" s="22">
        <v>4903</v>
      </c>
      <c r="CR358" s="11" t="s">
        <v>319</v>
      </c>
      <c r="CT358" s="18"/>
      <c r="CV358" s="11" t="s">
        <v>319</v>
      </c>
      <c r="CX358" s="18"/>
      <c r="CZ358" s="11" t="s">
        <v>319</v>
      </c>
      <c r="DB358" s="18"/>
      <c r="DD358" s="11" t="s">
        <v>319</v>
      </c>
      <c r="DF358" s="18"/>
      <c r="DH358" s="11" t="s">
        <v>319</v>
      </c>
      <c r="DJ358" s="18"/>
      <c r="DL358" s="11" t="s">
        <v>319</v>
      </c>
      <c r="DN358" s="18"/>
      <c r="DP358" s="12" t="s">
        <v>320</v>
      </c>
      <c r="DQ358" s="22">
        <v>3630</v>
      </c>
      <c r="DR358" s="18">
        <v>0.44180000000000003</v>
      </c>
      <c r="DS358" s="22">
        <v>14734</v>
      </c>
      <c r="DT358" s="11" t="s">
        <v>319</v>
      </c>
      <c r="DV358" s="18"/>
      <c r="DX358" s="11" t="s">
        <v>319</v>
      </c>
      <c r="DZ358" s="18"/>
      <c r="EB358" s="11" t="s">
        <v>319</v>
      </c>
      <c r="ED358" s="18"/>
      <c r="EG358" s="15" t="s">
        <v>319</v>
      </c>
      <c r="EI358" s="18"/>
      <c r="EQ358" s="12" t="s">
        <v>319</v>
      </c>
      <c r="ES358" s="18"/>
      <c r="EU358" s="11" t="s">
        <v>319</v>
      </c>
      <c r="EW358" s="18"/>
      <c r="EY358" s="12" t="s">
        <v>319</v>
      </c>
      <c r="FA358" s="18"/>
      <c r="FC358" s="12" t="s">
        <v>319</v>
      </c>
      <c r="FE358" s="18"/>
      <c r="FG358" s="12" t="s">
        <v>319</v>
      </c>
      <c r="FI358" s="18"/>
      <c r="FK358" s="11" t="s">
        <v>319</v>
      </c>
      <c r="FM358" s="18"/>
      <c r="FO358" s="11" t="s">
        <v>319</v>
      </c>
      <c r="FQ358" s="18"/>
      <c r="FS358" s="11" t="s">
        <v>319</v>
      </c>
      <c r="FU358" s="18"/>
      <c r="FW358" s="11" t="s">
        <v>319</v>
      </c>
      <c r="FY358" s="18"/>
      <c r="GA358" s="11" t="s">
        <v>319</v>
      </c>
      <c r="GC358" s="18"/>
      <c r="GE358" s="11" t="s">
        <v>319</v>
      </c>
      <c r="GG358" s="18"/>
      <c r="GI358" s="11" t="s">
        <v>319</v>
      </c>
      <c r="GK358" s="18"/>
      <c r="GM358" s="11" t="s">
        <v>319</v>
      </c>
      <c r="GO358" s="18"/>
      <c r="GQ358" s="11" t="s">
        <v>319</v>
      </c>
      <c r="GS358" s="18"/>
      <c r="GU358" s="11" t="s">
        <v>319</v>
      </c>
      <c r="GW358" s="18"/>
      <c r="GY358" s="11" t="s">
        <v>319</v>
      </c>
      <c r="HA358" s="18"/>
      <c r="HD358" s="11" t="s">
        <v>319</v>
      </c>
      <c r="HF358" s="18"/>
      <c r="HH358" s="11" t="s">
        <v>319</v>
      </c>
      <c r="HK358" s="11" t="s">
        <v>319</v>
      </c>
      <c r="HL358" s="11" t="s">
        <v>319</v>
      </c>
      <c r="HO358" s="11" t="s">
        <v>6378</v>
      </c>
      <c r="HP358" s="11" t="s">
        <v>330</v>
      </c>
      <c r="HQ358" s="11" t="s">
        <v>319</v>
      </c>
      <c r="HR358" s="11" t="s">
        <v>319</v>
      </c>
      <c r="HS358" s="11" t="s">
        <v>320</v>
      </c>
      <c r="HT358" s="11" t="s">
        <v>320</v>
      </c>
      <c r="HU358" s="11" t="s">
        <v>320</v>
      </c>
      <c r="HV358" s="11" t="s">
        <v>319</v>
      </c>
      <c r="HW358" s="11" t="s">
        <v>319</v>
      </c>
      <c r="HZ358" s="11" t="s">
        <v>394</v>
      </c>
      <c r="IB358" s="11" t="s">
        <v>396</v>
      </c>
      <c r="IC358" s="11" t="s">
        <v>6379</v>
      </c>
      <c r="ID358" s="11" t="s">
        <v>334</v>
      </c>
      <c r="IE358" s="11" t="s">
        <v>335</v>
      </c>
      <c r="IF358" s="11" t="s">
        <v>320</v>
      </c>
      <c r="IG358" s="11" t="s">
        <v>320</v>
      </c>
      <c r="IH358" s="11" t="s">
        <v>320</v>
      </c>
      <c r="II358" s="11" t="s">
        <v>320</v>
      </c>
      <c r="IJ358" s="12" t="str">
        <f t="shared" si="216"/>
        <v>2. Sensitive</v>
      </c>
      <c r="IK358" s="12">
        <f t="shared" si="217"/>
        <v>4</v>
      </c>
      <c r="IL358" s="11" t="s">
        <v>336</v>
      </c>
      <c r="IM358" s="11" t="s">
        <v>320</v>
      </c>
      <c r="IN358" s="11" t="s">
        <v>320</v>
      </c>
      <c r="IO358" s="11" t="s">
        <v>320</v>
      </c>
      <c r="IP358" s="11" t="s">
        <v>320</v>
      </c>
      <c r="IQ358" s="12" t="str">
        <f t="shared" si="218"/>
        <v>2. Accommodating</v>
      </c>
      <c r="IR358" s="12">
        <f t="shared" si="219"/>
        <v>4</v>
      </c>
      <c r="IS358" s="11" t="s">
        <v>337</v>
      </c>
      <c r="IT358" s="11" t="s">
        <v>320</v>
      </c>
      <c r="IU358" s="11" t="s">
        <v>320</v>
      </c>
      <c r="IV358" s="11" t="s">
        <v>320</v>
      </c>
      <c r="IW358" s="11" t="str">
        <f t="shared" si="220"/>
        <v>2. Sensitive</v>
      </c>
      <c r="IX358" s="12">
        <f t="shared" si="221"/>
        <v>3</v>
      </c>
      <c r="IY358" s="11" t="s">
        <v>338</v>
      </c>
      <c r="IZ358" s="11" t="s">
        <v>432</v>
      </c>
      <c r="JA358" s="11">
        <v>1</v>
      </c>
      <c r="JB358" s="11" t="s">
        <v>687</v>
      </c>
      <c r="JE358" s="11" t="s">
        <v>340</v>
      </c>
      <c r="JF358" s="11" t="s">
        <v>6380</v>
      </c>
      <c r="JG358" s="11" t="s">
        <v>6381</v>
      </c>
      <c r="JH358" s="11" t="s">
        <v>6382</v>
      </c>
      <c r="JI358" s="11" t="s">
        <v>6383</v>
      </c>
      <c r="JJ358" s="11" t="s">
        <v>6384</v>
      </c>
      <c r="JK358" s="11" t="s">
        <v>6385</v>
      </c>
      <c r="JL358" s="11" t="s">
        <v>6386</v>
      </c>
      <c r="JO358" s="11" t="s">
        <v>6219</v>
      </c>
      <c r="JP358" s="15">
        <f t="shared" si="222"/>
        <v>4753</v>
      </c>
      <c r="JQ358" s="15">
        <f t="shared" si="223"/>
        <v>18631</v>
      </c>
      <c r="JR358" s="279">
        <f t="shared" si="224"/>
        <v>3.9198401009888491</v>
      </c>
      <c r="JS358" s="17">
        <f t="shared" si="225"/>
        <v>0.43425205133599831</v>
      </c>
      <c r="JT358" s="18">
        <f t="shared" si="226"/>
        <v>0.51607535827384465</v>
      </c>
      <c r="JU358" s="280">
        <f t="shared" si="227"/>
        <v>2064</v>
      </c>
      <c r="JV358" s="280">
        <f t="shared" si="228"/>
        <v>9615</v>
      </c>
      <c r="JW358" s="319">
        <f t="shared" si="229"/>
        <v>1</v>
      </c>
      <c r="JX358" s="15">
        <f t="shared" si="230"/>
        <v>4753</v>
      </c>
      <c r="JY358" s="15">
        <f t="shared" si="231"/>
        <v>18631</v>
      </c>
      <c r="JZ358" s="19">
        <f t="shared" si="232"/>
        <v>3.9198401009888491</v>
      </c>
      <c r="KA358" s="52" t="str">
        <f t="shared" si="233"/>
        <v/>
      </c>
      <c r="KB358" s="15">
        <f t="shared" si="234"/>
        <v>0</v>
      </c>
      <c r="KC358" s="15">
        <f t="shared" si="235"/>
        <v>0</v>
      </c>
      <c r="KD358" s="20" t="str">
        <f t="shared" si="236"/>
        <v/>
      </c>
      <c r="KE358" s="52" t="str">
        <f t="shared" si="237"/>
        <v/>
      </c>
      <c r="KF358" s="15">
        <f t="shared" si="238"/>
        <v>0</v>
      </c>
      <c r="KG358" s="15">
        <f t="shared" si="239"/>
        <v>0</v>
      </c>
      <c r="KH358" s="21" t="str">
        <f t="shared" si="240"/>
        <v/>
      </c>
      <c r="KI358" s="52" t="str">
        <f t="shared" si="241"/>
        <v/>
      </c>
      <c r="KJ358" s="15">
        <f t="shared" si="242"/>
        <v>0</v>
      </c>
      <c r="KK358" s="15">
        <f t="shared" si="243"/>
        <v>0</v>
      </c>
      <c r="KL358" s="19" t="str">
        <f t="shared" si="244"/>
        <v/>
      </c>
      <c r="KM358" s="52" t="str">
        <f t="shared" si="245"/>
        <v/>
      </c>
      <c r="KN358" s="22">
        <f t="shared" si="246"/>
        <v>0</v>
      </c>
      <c r="KO358" s="22">
        <f t="shared" si="247"/>
        <v>0</v>
      </c>
      <c r="KP358" s="19" t="str">
        <f t="shared" si="248"/>
        <v/>
      </c>
      <c r="KQ358" s="11" t="str">
        <f t="shared" si="249"/>
        <v>2. Sensitive</v>
      </c>
      <c r="KR358" s="11" t="str">
        <f t="shared" si="250"/>
        <v>2. Accommodating</v>
      </c>
      <c r="KS358" s="11" t="str">
        <f t="shared" si="251"/>
        <v>2. Sensitive</v>
      </c>
      <c r="KT358" s="11" t="str">
        <f t="shared" si="252"/>
        <v>It tested new ways for fighting poverty, but did not measure results of innovation</v>
      </c>
      <c r="KU358" s="11" t="str">
        <f t="shared" si="253"/>
        <v>Moderate advocacy</v>
      </c>
      <c r="KV358" s="11" t="str">
        <f t="shared" si="254"/>
        <v>It linked and worked with strategic alliances and partners to take tested and effective solutions to scale</v>
      </c>
      <c r="KW358" s="11" t="str">
        <f t="shared" si="255"/>
        <v>Jordan - Olayan Protecting the Dignity of Syrian Refugees and Vulnerable Host Communities in Jordan</v>
      </c>
      <c r="KX358" s="11" t="str">
        <f t="shared" si="256"/>
        <v>Olayan Protecting the Dignity of Syrian Refugees and Vulnerable Host Communities in Jordan</v>
      </c>
      <c r="KY358" s="11" t="str">
        <f t="shared" si="257"/>
        <v>Jordan</v>
      </c>
      <c r="KZ358" s="12">
        <v>358</v>
      </c>
    </row>
    <row r="359" spans="1:312" x14ac:dyDescent="0.3">
      <c r="A359" s="11" t="s">
        <v>6105</v>
      </c>
      <c r="B359" s="11" t="s">
        <v>602</v>
      </c>
      <c r="D359" s="11" t="s">
        <v>6387</v>
      </c>
      <c r="E359" s="24" t="str">
        <f t="shared" si="215"/>
        <v>Jordan</v>
      </c>
      <c r="F359" s="11" t="s">
        <v>6388</v>
      </c>
      <c r="G359" s="11" t="s">
        <v>379</v>
      </c>
      <c r="H359" s="11" t="s">
        <v>489</v>
      </c>
      <c r="I359" s="11" t="s">
        <v>384</v>
      </c>
      <c r="J359" s="278" t="s">
        <v>6003</v>
      </c>
      <c r="BD359" s="23">
        <v>42736</v>
      </c>
      <c r="BE359" s="23">
        <v>43100</v>
      </c>
      <c r="BG359" s="11" t="s">
        <v>312</v>
      </c>
      <c r="BH359" s="22">
        <v>150000</v>
      </c>
      <c r="BI359" s="11" t="s">
        <v>6181</v>
      </c>
      <c r="BJ359" s="11" t="s">
        <v>6389</v>
      </c>
      <c r="BK359" s="11" t="s">
        <v>6390</v>
      </c>
      <c r="BO359" s="12" t="s">
        <v>319</v>
      </c>
      <c r="BP359" s="12" t="s">
        <v>320</v>
      </c>
      <c r="BQ359" s="12" t="s">
        <v>319</v>
      </c>
      <c r="BR359" s="11" t="s">
        <v>6391</v>
      </c>
      <c r="BS359" s="11" t="s">
        <v>322</v>
      </c>
      <c r="BT359" s="11" t="s">
        <v>6392</v>
      </c>
      <c r="BU359" s="11" t="s">
        <v>6393</v>
      </c>
      <c r="BV359" s="22">
        <v>200</v>
      </c>
      <c r="BW359" s="22">
        <v>0</v>
      </c>
      <c r="BX359" s="22">
        <v>200</v>
      </c>
      <c r="BY359" s="22">
        <v>700</v>
      </c>
      <c r="BZ359" s="22">
        <v>300</v>
      </c>
      <c r="CA359" s="22">
        <v>1000</v>
      </c>
      <c r="CB359" s="15" t="s">
        <v>6394</v>
      </c>
      <c r="CJ359" s="11" t="s">
        <v>319</v>
      </c>
      <c r="CL359" s="18"/>
      <c r="CN359" s="11" t="s">
        <v>319</v>
      </c>
      <c r="CP359" s="18"/>
      <c r="CR359" s="11" t="s">
        <v>319</v>
      </c>
      <c r="CT359" s="18"/>
      <c r="CV359" s="11" t="s">
        <v>319</v>
      </c>
      <c r="CX359" s="18"/>
      <c r="CZ359" s="11" t="s">
        <v>319</v>
      </c>
      <c r="DB359" s="18"/>
      <c r="DD359" s="11" t="s">
        <v>319</v>
      </c>
      <c r="DF359" s="18"/>
      <c r="DH359" s="11" t="s">
        <v>319</v>
      </c>
      <c r="DJ359" s="18"/>
      <c r="DL359" s="11" t="s">
        <v>319</v>
      </c>
      <c r="DN359" s="18"/>
      <c r="DP359" s="11" t="s">
        <v>319</v>
      </c>
      <c r="DR359" s="18"/>
      <c r="DT359" s="11" t="s">
        <v>319</v>
      </c>
      <c r="DV359" s="18"/>
      <c r="DX359" s="11" t="s">
        <v>319</v>
      </c>
      <c r="DZ359" s="18"/>
      <c r="EB359" s="11" t="s">
        <v>319</v>
      </c>
      <c r="ED359" s="18"/>
      <c r="EG359" s="15" t="s">
        <v>319</v>
      </c>
      <c r="EI359" s="18"/>
      <c r="EK359" s="22">
        <v>100</v>
      </c>
      <c r="EL359" s="22">
        <v>0</v>
      </c>
      <c r="EM359" s="22">
        <v>100</v>
      </c>
      <c r="EN359" s="22">
        <v>350</v>
      </c>
      <c r="EO359" s="22">
        <v>150</v>
      </c>
      <c r="EP359" s="22">
        <v>500</v>
      </c>
      <c r="EQ359" s="12" t="s">
        <v>319</v>
      </c>
      <c r="ES359" s="18"/>
      <c r="EU359" s="11" t="s">
        <v>319</v>
      </c>
      <c r="EW359" s="18"/>
      <c r="EY359" s="12" t="s">
        <v>319</v>
      </c>
      <c r="FA359" s="18"/>
      <c r="FC359" s="12" t="s">
        <v>319</v>
      </c>
      <c r="FE359" s="18"/>
      <c r="FG359" s="12" t="s">
        <v>319</v>
      </c>
      <c r="FI359" s="18"/>
      <c r="FK359" s="11" t="s">
        <v>319</v>
      </c>
      <c r="FM359" s="18"/>
      <c r="FO359" s="11" t="s">
        <v>319</v>
      </c>
      <c r="FQ359" s="18"/>
      <c r="FS359" s="11" t="s">
        <v>319</v>
      </c>
      <c r="FU359" s="18"/>
      <c r="FW359" s="11" t="s">
        <v>319</v>
      </c>
      <c r="FY359" s="18"/>
      <c r="GA359" s="11" t="s">
        <v>319</v>
      </c>
      <c r="GC359" s="18"/>
      <c r="GE359" s="11" t="s">
        <v>319</v>
      </c>
      <c r="GG359" s="18"/>
      <c r="GI359" s="11" t="s">
        <v>319</v>
      </c>
      <c r="GK359" s="18"/>
      <c r="GM359" s="11" t="s">
        <v>319</v>
      </c>
      <c r="GO359" s="18"/>
      <c r="GQ359" s="11" t="s">
        <v>319</v>
      </c>
      <c r="GS359" s="18"/>
      <c r="GU359" s="11" t="s">
        <v>319</v>
      </c>
      <c r="GW359" s="18"/>
      <c r="GY359" s="11" t="s">
        <v>320</v>
      </c>
      <c r="GZ359" s="22">
        <v>100</v>
      </c>
      <c r="HA359" s="18">
        <v>1</v>
      </c>
      <c r="HB359" s="22">
        <v>200</v>
      </c>
      <c r="HF359" s="18"/>
      <c r="HH359" s="11" t="s">
        <v>320</v>
      </c>
      <c r="HK359" s="11" t="s">
        <v>320</v>
      </c>
      <c r="HL359" s="11" t="s">
        <v>320</v>
      </c>
      <c r="HM359" s="11" t="s">
        <v>328</v>
      </c>
      <c r="HN359" s="11">
        <v>2017</v>
      </c>
      <c r="HO359" s="11" t="s">
        <v>6395</v>
      </c>
      <c r="HP359" s="11" t="s">
        <v>330</v>
      </c>
      <c r="HQ359" s="11" t="s">
        <v>319</v>
      </c>
      <c r="HR359" s="11" t="s">
        <v>319</v>
      </c>
      <c r="HS359" s="11" t="s">
        <v>320</v>
      </c>
      <c r="HT359" s="11" t="s">
        <v>320</v>
      </c>
      <c r="HU359" s="11" t="s">
        <v>320</v>
      </c>
      <c r="HV359" s="11" t="s">
        <v>319</v>
      </c>
      <c r="HW359" s="11" t="s">
        <v>320</v>
      </c>
      <c r="HX359" s="11" t="s">
        <v>319</v>
      </c>
      <c r="HZ359" s="11" t="s">
        <v>394</v>
      </c>
      <c r="IA359" s="11" t="s">
        <v>6396</v>
      </c>
      <c r="IB359" s="11" t="s">
        <v>396</v>
      </c>
      <c r="IC359" s="11" t="s">
        <v>6397</v>
      </c>
      <c r="ID359" s="11" t="s">
        <v>334</v>
      </c>
      <c r="IE359" s="11" t="s">
        <v>478</v>
      </c>
      <c r="IF359" s="11" t="s">
        <v>320</v>
      </c>
      <c r="IG359" s="11" t="s">
        <v>320</v>
      </c>
      <c r="IH359" s="11" t="s">
        <v>320</v>
      </c>
      <c r="II359" s="11" t="s">
        <v>320</v>
      </c>
      <c r="IJ359" s="12" t="str">
        <f t="shared" si="216"/>
        <v>4. Transformative</v>
      </c>
      <c r="IK359" s="12">
        <f t="shared" si="217"/>
        <v>4</v>
      </c>
      <c r="IL359" s="11" t="s">
        <v>336</v>
      </c>
      <c r="IM359" s="11" t="s">
        <v>320</v>
      </c>
      <c r="IN359" s="11" t="s">
        <v>320</v>
      </c>
      <c r="IO359" s="11" t="s">
        <v>320</v>
      </c>
      <c r="IP359" s="11" t="s">
        <v>320</v>
      </c>
      <c r="IQ359" s="12" t="str">
        <f t="shared" si="218"/>
        <v>2. Accommodating</v>
      </c>
      <c r="IR359" s="12">
        <f t="shared" si="219"/>
        <v>4</v>
      </c>
      <c r="IS359" s="11" t="s">
        <v>622</v>
      </c>
      <c r="IT359" s="11" t="s">
        <v>320</v>
      </c>
      <c r="IU359" s="11" t="s">
        <v>320</v>
      </c>
      <c r="IV359" s="11" t="s">
        <v>320</v>
      </c>
      <c r="IW359" s="11" t="str">
        <f t="shared" si="220"/>
        <v>4. Transformative</v>
      </c>
      <c r="IX359" s="12">
        <f t="shared" si="221"/>
        <v>3</v>
      </c>
      <c r="IY359" s="11" t="s">
        <v>338</v>
      </c>
      <c r="IZ359" s="11" t="s">
        <v>527</v>
      </c>
      <c r="JA359" s="11">
        <v>5</v>
      </c>
      <c r="JB359" s="11" t="s">
        <v>433</v>
      </c>
      <c r="JC359" s="11" t="s">
        <v>724</v>
      </c>
      <c r="JE359" s="11" t="s">
        <v>365</v>
      </c>
      <c r="JF359" s="11" t="s">
        <v>6398</v>
      </c>
      <c r="JG359" s="11" t="s">
        <v>6399</v>
      </c>
      <c r="JH359" s="11" t="s">
        <v>6254</v>
      </c>
      <c r="JI359" s="11" t="s">
        <v>6400</v>
      </c>
      <c r="JJ359" s="11" t="s">
        <v>6401</v>
      </c>
      <c r="JK359" s="11" t="s">
        <v>6402</v>
      </c>
      <c r="JO359" s="11" t="s">
        <v>1519</v>
      </c>
      <c r="JP359" s="15">
        <f t="shared" si="222"/>
        <v>100</v>
      </c>
      <c r="JQ359" s="15">
        <f t="shared" si="223"/>
        <v>500</v>
      </c>
      <c r="JR359" s="279">
        <f t="shared" si="224"/>
        <v>5</v>
      </c>
      <c r="JS359" s="17">
        <f t="shared" si="225"/>
        <v>1</v>
      </c>
      <c r="JT359" s="18">
        <f t="shared" si="226"/>
        <v>0.7</v>
      </c>
      <c r="JU359" s="280">
        <f t="shared" si="227"/>
        <v>100</v>
      </c>
      <c r="JV359" s="280">
        <f t="shared" si="228"/>
        <v>350</v>
      </c>
      <c r="JW359" s="319" t="str">
        <f t="shared" si="229"/>
        <v/>
      </c>
      <c r="JX359" s="15">
        <f t="shared" si="230"/>
        <v>0</v>
      </c>
      <c r="JY359" s="15">
        <f t="shared" si="231"/>
        <v>0</v>
      </c>
      <c r="JZ359" s="19" t="str">
        <f t="shared" si="232"/>
        <v/>
      </c>
      <c r="KA359" s="52" t="str">
        <f t="shared" si="233"/>
        <v/>
      </c>
      <c r="KB359" s="15">
        <f t="shared" si="234"/>
        <v>0</v>
      </c>
      <c r="KC359" s="15">
        <f t="shared" si="235"/>
        <v>0</v>
      </c>
      <c r="KD359" s="20" t="str">
        <f t="shared" si="236"/>
        <v/>
      </c>
      <c r="KE359" s="52" t="str">
        <f t="shared" si="237"/>
        <v/>
      </c>
      <c r="KF359" s="15">
        <f t="shared" si="238"/>
        <v>0</v>
      </c>
      <c r="KG359" s="15">
        <f t="shared" si="239"/>
        <v>0</v>
      </c>
      <c r="KH359" s="21" t="str">
        <f t="shared" si="240"/>
        <v/>
      </c>
      <c r="KI359" s="52" t="str">
        <f t="shared" si="241"/>
        <v/>
      </c>
      <c r="KJ359" s="15">
        <f t="shared" si="242"/>
        <v>0</v>
      </c>
      <c r="KK359" s="15">
        <f t="shared" si="243"/>
        <v>0</v>
      </c>
      <c r="KL359" s="19" t="str">
        <f t="shared" si="244"/>
        <v/>
      </c>
      <c r="KM359" s="52">
        <f t="shared" si="245"/>
        <v>1</v>
      </c>
      <c r="KN359" s="22">
        <f t="shared" si="246"/>
        <v>100</v>
      </c>
      <c r="KO359" s="22">
        <f t="shared" si="247"/>
        <v>200</v>
      </c>
      <c r="KP359" s="19">
        <f t="shared" si="248"/>
        <v>2</v>
      </c>
      <c r="KQ359" s="11" t="str">
        <f t="shared" si="249"/>
        <v>4. Transformative</v>
      </c>
      <c r="KR359" s="11" t="str">
        <f t="shared" si="250"/>
        <v>2. Accommodating</v>
      </c>
      <c r="KS359" s="11" t="str">
        <f t="shared" si="251"/>
        <v>4. Transformative</v>
      </c>
      <c r="KT359" s="11" t="str">
        <f t="shared" si="252"/>
        <v>It tested new ways for fighting poverty, but did not measure results of innovation</v>
      </c>
      <c r="KU359" s="11" t="str">
        <f t="shared" si="253"/>
        <v>Moderate advocacy</v>
      </c>
      <c r="KV359" s="11" t="str">
        <f t="shared" si="254"/>
        <v>It linked and worked with strategic alliances and partners to take tested and effective solutions to scale</v>
      </c>
      <c r="KW359" s="11" t="str">
        <f t="shared" si="255"/>
        <v>Jordan - P.A.C.E. in the Community – Skills Development for Women’s Empowerment &amp; Business Development – Phase II  - Azraq camp</v>
      </c>
      <c r="KX359" s="11" t="str">
        <f t="shared" si="256"/>
        <v>P.A.C.E. in the Community – Skills Development for Women’s Empowerment &amp; Business Development – Phase II  - Azraq camp</v>
      </c>
      <c r="KY359" s="11" t="str">
        <f t="shared" si="257"/>
        <v>Jordan</v>
      </c>
      <c r="KZ359" s="12">
        <v>359</v>
      </c>
    </row>
    <row r="360" spans="1:312" x14ac:dyDescent="0.3">
      <c r="A360" s="11" t="s">
        <v>6105</v>
      </c>
      <c r="B360" s="11" t="s">
        <v>602</v>
      </c>
      <c r="D360" s="11" t="s">
        <v>6220</v>
      </c>
      <c r="E360" s="24" t="str">
        <f t="shared" si="215"/>
        <v>Jordan</v>
      </c>
      <c r="F360" s="11" t="s">
        <v>6221</v>
      </c>
      <c r="G360" s="11" t="s">
        <v>714</v>
      </c>
      <c r="H360" s="11" t="s">
        <v>380</v>
      </c>
      <c r="I360" s="11" t="s">
        <v>517</v>
      </c>
      <c r="J360" s="278" t="s">
        <v>6222</v>
      </c>
      <c r="BD360" s="23">
        <v>42522</v>
      </c>
      <c r="BE360" s="23">
        <v>43069</v>
      </c>
      <c r="BG360" s="11" t="s">
        <v>312</v>
      </c>
      <c r="BH360" s="22">
        <v>150000</v>
      </c>
      <c r="BI360" s="11" t="s">
        <v>6223</v>
      </c>
      <c r="BJ360" s="11" t="s">
        <v>6224</v>
      </c>
      <c r="BK360" s="11" t="s">
        <v>6225</v>
      </c>
      <c r="BO360" s="12" t="s">
        <v>319</v>
      </c>
      <c r="BP360" s="12" t="s">
        <v>320</v>
      </c>
      <c r="BQ360" s="12" t="s">
        <v>319</v>
      </c>
      <c r="BR360" s="11" t="s">
        <v>6226</v>
      </c>
      <c r="BS360" s="11" t="s">
        <v>615</v>
      </c>
      <c r="BT360" s="11" t="s">
        <v>6227</v>
      </c>
      <c r="BU360" s="11" t="s">
        <v>6228</v>
      </c>
      <c r="BV360" s="22">
        <v>1050</v>
      </c>
      <c r="BW360" s="22">
        <v>1050</v>
      </c>
      <c r="BX360" s="22">
        <v>2100</v>
      </c>
      <c r="BY360" s="22">
        <v>5250</v>
      </c>
      <c r="BZ360" s="22">
        <v>5250</v>
      </c>
      <c r="CA360" s="22">
        <v>10500</v>
      </c>
      <c r="CB360" s="15" t="s">
        <v>6229</v>
      </c>
      <c r="CJ360" s="11" t="s">
        <v>319</v>
      </c>
      <c r="CL360" s="18"/>
      <c r="CN360" s="11" t="s">
        <v>319</v>
      </c>
      <c r="CP360" s="18"/>
      <c r="CR360" s="11" t="s">
        <v>319</v>
      </c>
      <c r="CT360" s="18"/>
      <c r="CV360" s="11" t="s">
        <v>319</v>
      </c>
      <c r="CX360" s="18"/>
      <c r="CZ360" s="11" t="s">
        <v>319</v>
      </c>
      <c r="DB360" s="18"/>
      <c r="DD360" s="11" t="s">
        <v>319</v>
      </c>
      <c r="DF360" s="18"/>
      <c r="DH360" s="11" t="s">
        <v>319</v>
      </c>
      <c r="DJ360" s="18"/>
      <c r="DL360" s="11" t="s">
        <v>319</v>
      </c>
      <c r="DN360" s="18"/>
      <c r="DP360" s="11" t="s">
        <v>319</v>
      </c>
      <c r="DR360" s="18"/>
      <c r="DT360" s="11" t="s">
        <v>319</v>
      </c>
      <c r="DV360" s="18"/>
      <c r="DX360" s="11" t="s">
        <v>319</v>
      </c>
      <c r="DZ360" s="18"/>
      <c r="EB360" s="11" t="s">
        <v>319</v>
      </c>
      <c r="ED360" s="18"/>
      <c r="EG360" s="15" t="s">
        <v>319</v>
      </c>
      <c r="EI360" s="18"/>
      <c r="EK360" s="22">
        <v>887</v>
      </c>
      <c r="EL360" s="22">
        <v>406</v>
      </c>
      <c r="EM360" s="22">
        <v>1293</v>
      </c>
      <c r="EN360" s="22">
        <v>4435</v>
      </c>
      <c r="EO360" s="22">
        <v>2030</v>
      </c>
      <c r="EP360" s="22">
        <v>6465</v>
      </c>
      <c r="EQ360" s="12" t="s">
        <v>319</v>
      </c>
      <c r="ES360" s="18"/>
      <c r="EU360" s="11" t="s">
        <v>319</v>
      </c>
      <c r="EW360" s="18"/>
      <c r="EY360" s="12" t="s">
        <v>319</v>
      </c>
      <c r="FA360" s="18"/>
      <c r="FC360" s="12" t="s">
        <v>319</v>
      </c>
      <c r="FE360" s="18"/>
      <c r="FG360" s="12" t="s">
        <v>320</v>
      </c>
      <c r="FH360" s="22">
        <v>1293</v>
      </c>
      <c r="FI360" s="18">
        <v>0.7</v>
      </c>
      <c r="FJ360" s="22">
        <v>6465</v>
      </c>
      <c r="FK360" s="11" t="s">
        <v>319</v>
      </c>
      <c r="FM360" s="18"/>
      <c r="FO360" s="11" t="s">
        <v>319</v>
      </c>
      <c r="FQ360" s="18"/>
      <c r="FS360" s="11" t="s">
        <v>319</v>
      </c>
      <c r="FU360" s="18"/>
      <c r="FW360" s="11" t="s">
        <v>319</v>
      </c>
      <c r="FY360" s="18"/>
      <c r="GA360" s="11" t="s">
        <v>319</v>
      </c>
      <c r="GC360" s="18"/>
      <c r="GE360" s="11" t="s">
        <v>319</v>
      </c>
      <c r="GG360" s="18"/>
      <c r="GI360" s="11" t="s">
        <v>319</v>
      </c>
      <c r="GK360" s="18"/>
      <c r="GM360" s="11" t="s">
        <v>319</v>
      </c>
      <c r="GO360" s="18"/>
      <c r="GQ360" s="11" t="s">
        <v>319</v>
      </c>
      <c r="GS360" s="18"/>
      <c r="GU360" s="11" t="s">
        <v>319</v>
      </c>
      <c r="GW360" s="18"/>
      <c r="GY360" s="11" t="s">
        <v>319</v>
      </c>
      <c r="HA360" s="18"/>
      <c r="HD360" s="11" t="s">
        <v>319</v>
      </c>
      <c r="HF360" s="18"/>
      <c r="HH360" s="11" t="s">
        <v>320</v>
      </c>
      <c r="HI360" s="11" t="s">
        <v>328</v>
      </c>
      <c r="HJ360" s="11">
        <v>2016</v>
      </c>
      <c r="HK360" s="11" t="s">
        <v>320</v>
      </c>
      <c r="HL360" s="11" t="s">
        <v>320</v>
      </c>
      <c r="HM360" s="11" t="s">
        <v>328</v>
      </c>
      <c r="HN360" s="11">
        <v>2017</v>
      </c>
      <c r="HO360" s="11" t="s">
        <v>6230</v>
      </c>
      <c r="HP360" s="11" t="s">
        <v>418</v>
      </c>
      <c r="HQ360" s="11" t="s">
        <v>319</v>
      </c>
      <c r="HR360" s="11" t="s">
        <v>319</v>
      </c>
      <c r="HS360" s="11" t="s">
        <v>320</v>
      </c>
      <c r="HT360" s="11" t="s">
        <v>320</v>
      </c>
      <c r="HU360" s="11" t="s">
        <v>320</v>
      </c>
      <c r="HV360" s="11" t="s">
        <v>319</v>
      </c>
      <c r="HW360" s="11" t="s">
        <v>320</v>
      </c>
      <c r="HX360" s="11" t="s">
        <v>319</v>
      </c>
      <c r="HZ360" s="11" t="s">
        <v>331</v>
      </c>
      <c r="IA360" s="11" t="s">
        <v>6231</v>
      </c>
      <c r="IB360" s="11" t="s">
        <v>396</v>
      </c>
      <c r="IC360" s="11" t="s">
        <v>6232</v>
      </c>
      <c r="ID360" s="11" t="s">
        <v>364</v>
      </c>
      <c r="IE360" s="11" t="s">
        <v>478</v>
      </c>
      <c r="IF360" s="11" t="s">
        <v>320</v>
      </c>
      <c r="IG360" s="11" t="s">
        <v>320</v>
      </c>
      <c r="IH360" s="11" t="s">
        <v>320</v>
      </c>
      <c r="II360" s="11" t="s">
        <v>320</v>
      </c>
      <c r="IJ360" s="12" t="str">
        <f t="shared" si="216"/>
        <v>4. Transformative</v>
      </c>
      <c r="IK360" s="12">
        <f t="shared" si="217"/>
        <v>4</v>
      </c>
      <c r="IL360" s="11" t="s">
        <v>621</v>
      </c>
      <c r="IM360" s="11" t="s">
        <v>320</v>
      </c>
      <c r="IN360" s="11" t="s">
        <v>320</v>
      </c>
      <c r="IO360" s="11" t="s">
        <v>320</v>
      </c>
      <c r="IP360" s="11" t="s">
        <v>320</v>
      </c>
      <c r="IQ360" s="12" t="str">
        <f t="shared" si="218"/>
        <v>4. Transformational</v>
      </c>
      <c r="IR360" s="12">
        <f t="shared" si="219"/>
        <v>4</v>
      </c>
      <c r="IS360" s="11" t="s">
        <v>622</v>
      </c>
      <c r="IT360" s="11" t="s">
        <v>320</v>
      </c>
      <c r="IU360" s="11" t="s">
        <v>320</v>
      </c>
      <c r="IV360" s="11" t="s">
        <v>320</v>
      </c>
      <c r="IW360" s="11" t="str">
        <f t="shared" si="220"/>
        <v>4. Transformative</v>
      </c>
      <c r="IX360" s="12">
        <f t="shared" si="221"/>
        <v>3</v>
      </c>
      <c r="IY360" s="11" t="s">
        <v>338</v>
      </c>
      <c r="IZ360" s="11" t="s">
        <v>527</v>
      </c>
      <c r="JA360" s="11">
        <v>20</v>
      </c>
      <c r="JB360" s="11" t="s">
        <v>831</v>
      </c>
      <c r="JC360" s="11" t="s">
        <v>433</v>
      </c>
      <c r="JE360" s="11" t="s">
        <v>365</v>
      </c>
      <c r="JF360" s="11" t="s">
        <v>6233</v>
      </c>
      <c r="JH360" s="11" t="s">
        <v>6234</v>
      </c>
      <c r="JI360" s="11" t="s">
        <v>6235</v>
      </c>
      <c r="JJ360" s="11" t="s">
        <v>6236</v>
      </c>
      <c r="JK360" s="11" t="s">
        <v>6237</v>
      </c>
      <c r="JL360" s="11" t="s">
        <v>6238</v>
      </c>
      <c r="JM360" s="11" t="s">
        <v>6239</v>
      </c>
      <c r="JO360" s="11" t="s">
        <v>6146</v>
      </c>
      <c r="JP360" s="15">
        <f t="shared" si="222"/>
        <v>1293</v>
      </c>
      <c r="JQ360" s="15">
        <f t="shared" si="223"/>
        <v>6465</v>
      </c>
      <c r="JR360" s="279">
        <f t="shared" si="224"/>
        <v>5</v>
      </c>
      <c r="JS360" s="17">
        <f t="shared" si="225"/>
        <v>0.68600154679040992</v>
      </c>
      <c r="JT360" s="18">
        <f t="shared" si="226"/>
        <v>0.68600154679040992</v>
      </c>
      <c r="JU360" s="280">
        <f t="shared" si="227"/>
        <v>887</v>
      </c>
      <c r="JV360" s="280">
        <f t="shared" si="228"/>
        <v>4435</v>
      </c>
      <c r="JW360" s="319" t="str">
        <f t="shared" si="229"/>
        <v/>
      </c>
      <c r="JX360" s="15">
        <f t="shared" si="230"/>
        <v>0</v>
      </c>
      <c r="JY360" s="15">
        <f t="shared" si="231"/>
        <v>0</v>
      </c>
      <c r="JZ360" s="19" t="str">
        <f t="shared" si="232"/>
        <v/>
      </c>
      <c r="KA360" s="52">
        <f t="shared" si="233"/>
        <v>1</v>
      </c>
      <c r="KB360" s="15">
        <f t="shared" si="234"/>
        <v>1293</v>
      </c>
      <c r="KC360" s="15">
        <f t="shared" si="235"/>
        <v>6465</v>
      </c>
      <c r="KD360" s="20">
        <f t="shared" si="236"/>
        <v>5</v>
      </c>
      <c r="KE360" s="52" t="str">
        <f t="shared" si="237"/>
        <v/>
      </c>
      <c r="KF360" s="15">
        <f t="shared" si="238"/>
        <v>0</v>
      </c>
      <c r="KG360" s="15">
        <f t="shared" si="239"/>
        <v>0</v>
      </c>
      <c r="KH360" s="21" t="str">
        <f t="shared" si="240"/>
        <v/>
      </c>
      <c r="KI360" s="52" t="str">
        <f t="shared" si="241"/>
        <v/>
      </c>
      <c r="KJ360" s="15">
        <f t="shared" si="242"/>
        <v>0</v>
      </c>
      <c r="KK360" s="15">
        <f t="shared" si="243"/>
        <v>0</v>
      </c>
      <c r="KL360" s="19" t="str">
        <f t="shared" si="244"/>
        <v/>
      </c>
      <c r="KM360" s="52">
        <f t="shared" si="245"/>
        <v>1</v>
      </c>
      <c r="KN360" s="22">
        <f t="shared" si="246"/>
        <v>905.09999999999991</v>
      </c>
      <c r="KO360" s="22">
        <f t="shared" si="247"/>
        <v>4525.5</v>
      </c>
      <c r="KP360" s="19">
        <f t="shared" si="248"/>
        <v>5.0000000000000009</v>
      </c>
      <c r="KQ360" s="11" t="str">
        <f t="shared" si="249"/>
        <v>4. Transformative</v>
      </c>
      <c r="KR360" s="11" t="str">
        <f t="shared" si="250"/>
        <v>4. Transformational</v>
      </c>
      <c r="KS360" s="11" t="str">
        <f t="shared" si="251"/>
        <v>4. Transformative</v>
      </c>
      <c r="KT360" s="11" t="str">
        <f t="shared" si="252"/>
        <v>It tested new ways for fighting poverty and measured results of innovation</v>
      </c>
      <c r="KU360" s="11" t="str">
        <f t="shared" si="253"/>
        <v>Little or no advocacy</v>
      </c>
      <c r="KV360" s="11" t="str">
        <f t="shared" si="254"/>
        <v>It linked and worked with strategic alliances and partners to take tested and effective solutions to scale</v>
      </c>
      <c r="KW360" s="11" t="str">
        <f t="shared" si="255"/>
        <v>Jordan - Promoting inclusive local economic empowerment and development to enhance resilience and social stability</v>
      </c>
      <c r="KX360" s="11" t="str">
        <f t="shared" si="256"/>
        <v>Promoting inclusive local economic empowerment and development to enhance resilience and social stability</v>
      </c>
      <c r="KY360" s="11" t="str">
        <f t="shared" si="257"/>
        <v>Jordan</v>
      </c>
      <c r="KZ360" s="12">
        <v>360</v>
      </c>
    </row>
    <row r="361" spans="1:312" x14ac:dyDescent="0.3">
      <c r="A361" s="11" t="s">
        <v>6105</v>
      </c>
      <c r="B361" s="11" t="s">
        <v>602</v>
      </c>
      <c r="D361" s="11" t="s">
        <v>6161</v>
      </c>
      <c r="E361" s="24" t="str">
        <f t="shared" si="215"/>
        <v>Jordan</v>
      </c>
      <c r="F361" s="11" t="s">
        <v>6162</v>
      </c>
      <c r="G361" s="11" t="s">
        <v>376</v>
      </c>
      <c r="H361" s="11" t="s">
        <v>310</v>
      </c>
      <c r="I361" s="11" t="s">
        <v>377</v>
      </c>
      <c r="J361" s="278" t="s">
        <v>14564</v>
      </c>
      <c r="BD361" s="23">
        <v>42726</v>
      </c>
      <c r="BE361" s="23">
        <v>43830</v>
      </c>
      <c r="BG361" s="11" t="s">
        <v>817</v>
      </c>
      <c r="BH361" s="22">
        <v>5530287</v>
      </c>
      <c r="BI361" s="11" t="s">
        <v>6163</v>
      </c>
      <c r="BJ361" s="11" t="s">
        <v>6164</v>
      </c>
      <c r="BK361" s="11" t="s">
        <v>6165</v>
      </c>
      <c r="BO361" s="11" t="s">
        <v>320</v>
      </c>
      <c r="BP361" s="11" t="s">
        <v>320</v>
      </c>
      <c r="BQ361" s="11" t="s">
        <v>320</v>
      </c>
      <c r="BR361" s="11" t="s">
        <v>6166</v>
      </c>
      <c r="BS361" s="11" t="s">
        <v>322</v>
      </c>
      <c r="BT361" s="11" t="s">
        <v>6167</v>
      </c>
      <c r="BU361" s="11" t="s">
        <v>6168</v>
      </c>
      <c r="BV361" s="22">
        <v>6000</v>
      </c>
      <c r="BW361" s="22">
        <v>6000</v>
      </c>
      <c r="BX361" s="22">
        <v>12000</v>
      </c>
      <c r="BY361" s="22">
        <v>22200</v>
      </c>
      <c r="BZ361" s="22">
        <v>22200</v>
      </c>
      <c r="CA361" s="22">
        <v>44400</v>
      </c>
      <c r="CB361" s="15" t="s">
        <v>6169</v>
      </c>
      <c r="CD361" s="22">
        <v>4584</v>
      </c>
      <c r="CE361" s="22">
        <v>3519</v>
      </c>
      <c r="CF361" s="22">
        <v>8103</v>
      </c>
      <c r="CG361" s="22">
        <v>15019</v>
      </c>
      <c r="CH361" s="22">
        <v>13071</v>
      </c>
      <c r="CI361" s="22">
        <v>28090</v>
      </c>
      <c r="CJ361" s="11" t="s">
        <v>319</v>
      </c>
      <c r="CL361" s="18"/>
      <c r="CN361" s="11" t="s">
        <v>320</v>
      </c>
      <c r="CO361" s="22">
        <v>2008</v>
      </c>
      <c r="CP361" s="18">
        <v>0.46660000000000001</v>
      </c>
      <c r="CQ361" s="22">
        <v>6176</v>
      </c>
      <c r="CR361" s="11" t="s">
        <v>319</v>
      </c>
      <c r="CT361" s="18"/>
      <c r="CV361" s="11" t="s">
        <v>319</v>
      </c>
      <c r="CX361" s="18"/>
      <c r="CZ361" s="11" t="s">
        <v>319</v>
      </c>
      <c r="DB361" s="18"/>
      <c r="DD361" s="11" t="s">
        <v>320</v>
      </c>
      <c r="DE361" s="22">
        <v>48</v>
      </c>
      <c r="DF361" s="18">
        <v>1</v>
      </c>
      <c r="DG361" s="22">
        <v>240</v>
      </c>
      <c r="DH361" s="11" t="s">
        <v>319</v>
      </c>
      <c r="DJ361" s="18"/>
      <c r="DL361" s="11" t="s">
        <v>320</v>
      </c>
      <c r="DM361" s="22">
        <v>100</v>
      </c>
      <c r="DN361" s="18">
        <v>1</v>
      </c>
      <c r="DO361" s="22">
        <v>450</v>
      </c>
      <c r="DP361" s="12" t="s">
        <v>320</v>
      </c>
      <c r="DQ361" s="22">
        <v>6290</v>
      </c>
      <c r="DR361" s="18">
        <v>0.59030000000000005</v>
      </c>
      <c r="DS361" s="22">
        <v>22677</v>
      </c>
      <c r="DT361" s="11" t="s">
        <v>319</v>
      </c>
      <c r="DV361" s="18"/>
      <c r="DX361" s="11" t="s">
        <v>319</v>
      </c>
      <c r="DZ361" s="18"/>
      <c r="EB361" s="11" t="s">
        <v>319</v>
      </c>
      <c r="ED361" s="18"/>
      <c r="EG361" s="15" t="s">
        <v>319</v>
      </c>
      <c r="EI361" s="18"/>
      <c r="EK361" s="22">
        <v>100</v>
      </c>
      <c r="EL361" s="22">
        <v>0</v>
      </c>
      <c r="EM361" s="22">
        <v>100</v>
      </c>
      <c r="EN361" s="22">
        <v>250</v>
      </c>
      <c r="EO361" s="22">
        <v>200</v>
      </c>
      <c r="EP361" s="22">
        <v>450</v>
      </c>
      <c r="EQ361" s="12" t="s">
        <v>319</v>
      </c>
      <c r="ES361" s="18"/>
      <c r="EU361" s="11" t="s">
        <v>319</v>
      </c>
      <c r="EW361" s="18"/>
      <c r="EY361" s="12" t="s">
        <v>319</v>
      </c>
      <c r="FA361" s="18"/>
      <c r="FC361" s="12" t="s">
        <v>319</v>
      </c>
      <c r="FE361" s="18"/>
      <c r="FG361" s="12" t="s">
        <v>320</v>
      </c>
      <c r="FH361" s="22">
        <v>100</v>
      </c>
      <c r="FI361" s="18">
        <v>1</v>
      </c>
      <c r="FJ361" s="22">
        <v>450</v>
      </c>
      <c r="FK361" s="11" t="s">
        <v>319</v>
      </c>
      <c r="FM361" s="18"/>
      <c r="FO361" s="11" t="s">
        <v>319</v>
      </c>
      <c r="FQ361" s="18"/>
      <c r="FS361" s="11" t="s">
        <v>319</v>
      </c>
      <c r="FU361" s="18"/>
      <c r="FW361" s="11" t="s">
        <v>319</v>
      </c>
      <c r="FY361" s="18"/>
      <c r="GA361" s="11" t="s">
        <v>319</v>
      </c>
      <c r="GC361" s="18"/>
      <c r="GE361" s="11" t="s">
        <v>319</v>
      </c>
      <c r="GG361" s="18"/>
      <c r="GI361" s="11" t="s">
        <v>319</v>
      </c>
      <c r="GK361" s="18"/>
      <c r="GM361" s="11" t="s">
        <v>319</v>
      </c>
      <c r="GO361" s="18"/>
      <c r="GQ361" s="11" t="s">
        <v>319</v>
      </c>
      <c r="GS361" s="18"/>
      <c r="GU361" s="11" t="s">
        <v>319</v>
      </c>
      <c r="GW361" s="18"/>
      <c r="GY361" s="11" t="s">
        <v>319</v>
      </c>
      <c r="HA361" s="18"/>
      <c r="HD361" s="11" t="s">
        <v>319</v>
      </c>
      <c r="HF361" s="18"/>
      <c r="HH361" s="11" t="s">
        <v>319</v>
      </c>
      <c r="HK361" s="11" t="s">
        <v>319</v>
      </c>
      <c r="HL361" s="11" t="s">
        <v>319</v>
      </c>
      <c r="HP361" s="11" t="s">
        <v>453</v>
      </c>
      <c r="HQ361" s="11" t="s">
        <v>320</v>
      </c>
      <c r="HR361" s="11" t="s">
        <v>320</v>
      </c>
      <c r="HS361" s="11" t="s">
        <v>320</v>
      </c>
      <c r="HT361" s="11" t="s">
        <v>320</v>
      </c>
      <c r="HU361" s="11" t="s">
        <v>320</v>
      </c>
      <c r="HV361" s="11" t="s">
        <v>320</v>
      </c>
      <c r="HW361" s="11" t="s">
        <v>320</v>
      </c>
      <c r="HZ361" s="11" t="s">
        <v>331</v>
      </c>
      <c r="IA361" s="11" t="s">
        <v>6170</v>
      </c>
      <c r="IB361" s="11" t="s">
        <v>396</v>
      </c>
      <c r="IC361" s="11" t="s">
        <v>6171</v>
      </c>
      <c r="ID361" s="11" t="s">
        <v>477</v>
      </c>
      <c r="IE361" s="11" t="s">
        <v>478</v>
      </c>
      <c r="IF361" s="11" t="s">
        <v>320</v>
      </c>
      <c r="IG361" s="11" t="s">
        <v>320</v>
      </c>
      <c r="IH361" s="11" t="s">
        <v>320</v>
      </c>
      <c r="II361" s="11" t="s">
        <v>320</v>
      </c>
      <c r="IJ361" s="12" t="str">
        <f t="shared" si="216"/>
        <v>4. Transformative</v>
      </c>
      <c r="IK361" s="12">
        <f t="shared" si="217"/>
        <v>4</v>
      </c>
      <c r="IL361" s="11" t="s">
        <v>621</v>
      </c>
      <c r="IM361" s="11" t="s">
        <v>320</v>
      </c>
      <c r="IN361" s="11" t="s">
        <v>320</v>
      </c>
      <c r="IO361" s="11" t="s">
        <v>320</v>
      </c>
      <c r="IP361" s="11" t="s">
        <v>320</v>
      </c>
      <c r="IQ361" s="12" t="str">
        <f t="shared" si="218"/>
        <v>4. Transformational</v>
      </c>
      <c r="IR361" s="12">
        <f t="shared" si="219"/>
        <v>4</v>
      </c>
      <c r="IS361" s="11" t="s">
        <v>622</v>
      </c>
      <c r="IT361" s="11" t="s">
        <v>320</v>
      </c>
      <c r="IU361" s="11" t="s">
        <v>320</v>
      </c>
      <c r="IV361" s="11" t="s">
        <v>320</v>
      </c>
      <c r="IW361" s="11" t="str">
        <f t="shared" si="220"/>
        <v>4. Transformative</v>
      </c>
      <c r="IX361" s="12">
        <f t="shared" si="221"/>
        <v>3</v>
      </c>
      <c r="IY361" s="11" t="s">
        <v>338</v>
      </c>
      <c r="IZ361" s="11" t="s">
        <v>527</v>
      </c>
      <c r="JA361" s="11">
        <v>12</v>
      </c>
      <c r="JB361" s="11" t="s">
        <v>724</v>
      </c>
      <c r="JC361" s="11" t="s">
        <v>624</v>
      </c>
      <c r="JD361" s="11" t="s">
        <v>623</v>
      </c>
      <c r="JE361" s="11" t="s">
        <v>340</v>
      </c>
      <c r="JF361" s="11" t="s">
        <v>6172</v>
      </c>
      <c r="JG361" s="11" t="s">
        <v>6173</v>
      </c>
      <c r="JH361" s="11" t="s">
        <v>6174</v>
      </c>
      <c r="JI361" s="11" t="s">
        <v>6175</v>
      </c>
      <c r="JJ361" s="11" t="s">
        <v>6176</v>
      </c>
      <c r="JK361" s="11" t="s">
        <v>6177</v>
      </c>
      <c r="JL361" s="11" t="s">
        <v>6178</v>
      </c>
      <c r="JO361" s="11" t="s">
        <v>1519</v>
      </c>
      <c r="JP361" s="15">
        <f t="shared" si="222"/>
        <v>8103</v>
      </c>
      <c r="JQ361" s="15">
        <f t="shared" si="223"/>
        <v>28090</v>
      </c>
      <c r="JR361" s="279">
        <f t="shared" si="224"/>
        <v>3.4666173022337405</v>
      </c>
      <c r="JS361" s="17">
        <f t="shared" si="225"/>
        <v>0.56571640133283974</v>
      </c>
      <c r="JT361" s="18">
        <f t="shared" si="226"/>
        <v>0.53467426130295481</v>
      </c>
      <c r="JU361" s="280">
        <f t="shared" si="227"/>
        <v>4584</v>
      </c>
      <c r="JV361" s="280">
        <f t="shared" si="228"/>
        <v>15019</v>
      </c>
      <c r="JW361" s="319">
        <f t="shared" si="229"/>
        <v>1</v>
      </c>
      <c r="JX361" s="15">
        <f t="shared" si="230"/>
        <v>8103</v>
      </c>
      <c r="JY361" s="15">
        <f t="shared" si="231"/>
        <v>28090</v>
      </c>
      <c r="JZ361" s="19">
        <f t="shared" si="232"/>
        <v>3.4666173022337405</v>
      </c>
      <c r="KA361" s="52">
        <f t="shared" si="233"/>
        <v>1</v>
      </c>
      <c r="KB361" s="15">
        <f t="shared" si="234"/>
        <v>100</v>
      </c>
      <c r="KC361" s="15">
        <f t="shared" si="235"/>
        <v>450</v>
      </c>
      <c r="KD361" s="20">
        <f t="shared" si="236"/>
        <v>4.5</v>
      </c>
      <c r="KE361" s="52" t="str">
        <f t="shared" si="237"/>
        <v/>
      </c>
      <c r="KF361" s="15">
        <f t="shared" si="238"/>
        <v>0</v>
      </c>
      <c r="KG361" s="15">
        <f t="shared" si="239"/>
        <v>0</v>
      </c>
      <c r="KH361" s="21" t="str">
        <f t="shared" si="240"/>
        <v/>
      </c>
      <c r="KI361" s="52" t="str">
        <f t="shared" si="241"/>
        <v/>
      </c>
      <c r="KJ361" s="15">
        <f t="shared" si="242"/>
        <v>0</v>
      </c>
      <c r="KK361" s="15">
        <f t="shared" si="243"/>
        <v>0</v>
      </c>
      <c r="KL361" s="19" t="str">
        <f t="shared" si="244"/>
        <v/>
      </c>
      <c r="KM361" s="52">
        <f t="shared" si="245"/>
        <v>1</v>
      </c>
      <c r="KN361" s="22">
        <f t="shared" si="246"/>
        <v>100</v>
      </c>
      <c r="KO361" s="22">
        <f t="shared" si="247"/>
        <v>450</v>
      </c>
      <c r="KP361" s="19">
        <f t="shared" si="248"/>
        <v>4.5</v>
      </c>
      <c r="KQ361" s="11" t="str">
        <f t="shared" si="249"/>
        <v>4. Transformative</v>
      </c>
      <c r="KR361" s="11" t="str">
        <f t="shared" si="250"/>
        <v>4. Transformational</v>
      </c>
      <c r="KS361" s="11" t="str">
        <f t="shared" si="251"/>
        <v>4. Transformative</v>
      </c>
      <c r="KT361" s="11" t="str">
        <f t="shared" si="252"/>
        <v>It tested new ways for fighting poverty and measured results of innovation</v>
      </c>
      <c r="KU361" s="11" t="str">
        <f t="shared" si="253"/>
        <v>Intensive advocacy</v>
      </c>
      <c r="KV361" s="11" t="str">
        <f t="shared" si="254"/>
        <v>It linked and worked with strategic alliances and partners to take tested and effective solutions to scale</v>
      </c>
      <c r="KW361" s="11" t="str">
        <f t="shared" si="255"/>
        <v>Jordan - Protecting and Building Resilience Among the Crisis-Affected in Jordan</v>
      </c>
      <c r="KX361" s="11" t="str">
        <f t="shared" si="256"/>
        <v>Protecting and Building Resilience Among the Crisis-Affected in Jordan</v>
      </c>
      <c r="KY361" s="11" t="str">
        <f t="shared" si="257"/>
        <v>Jordan</v>
      </c>
      <c r="KZ361" s="12">
        <v>361</v>
      </c>
    </row>
    <row r="362" spans="1:312" x14ac:dyDescent="0.3">
      <c r="A362" s="11" t="s">
        <v>6105</v>
      </c>
      <c r="B362" s="11" t="s">
        <v>602</v>
      </c>
      <c r="D362" s="11" t="s">
        <v>6403</v>
      </c>
      <c r="E362" s="24" t="str">
        <f t="shared" si="215"/>
        <v>Jordan</v>
      </c>
      <c r="F362" s="11" t="s">
        <v>6404</v>
      </c>
      <c r="G362" s="11" t="s">
        <v>379</v>
      </c>
      <c r="H362" s="11" t="s">
        <v>310</v>
      </c>
      <c r="I362" s="11" t="s">
        <v>384</v>
      </c>
      <c r="J362" s="278" t="s">
        <v>14602</v>
      </c>
      <c r="BD362" s="23">
        <v>42635</v>
      </c>
      <c r="BE362" s="23">
        <v>43364</v>
      </c>
      <c r="BG362" s="11" t="s">
        <v>817</v>
      </c>
      <c r="BH362" s="22">
        <v>2100000</v>
      </c>
      <c r="BI362" s="11" t="s">
        <v>6128</v>
      </c>
      <c r="BJ362" s="11" t="s">
        <v>6129</v>
      </c>
      <c r="BK362" s="11" t="s">
        <v>6130</v>
      </c>
      <c r="BO362" s="11" t="s">
        <v>320</v>
      </c>
      <c r="BP362" s="11" t="s">
        <v>320</v>
      </c>
      <c r="BQ362" s="11" t="s">
        <v>320</v>
      </c>
      <c r="BR362" s="11" t="s">
        <v>6405</v>
      </c>
      <c r="BS362" s="11" t="s">
        <v>322</v>
      </c>
      <c r="BT362" s="11" t="s">
        <v>6406</v>
      </c>
      <c r="BU362" s="11" t="s">
        <v>6407</v>
      </c>
      <c r="BV362" s="22">
        <v>18000</v>
      </c>
      <c r="BW362" s="22">
        <v>18000</v>
      </c>
      <c r="BX362" s="22">
        <v>36000</v>
      </c>
      <c r="BY362" s="22">
        <v>99000</v>
      </c>
      <c r="BZ362" s="22">
        <v>99000</v>
      </c>
      <c r="CA362" s="22">
        <v>198000</v>
      </c>
      <c r="CB362" s="15" t="s">
        <v>6408</v>
      </c>
      <c r="CD362" s="22">
        <v>9521</v>
      </c>
      <c r="CE362" s="22">
        <v>11449</v>
      </c>
      <c r="CF362" s="22">
        <v>20970</v>
      </c>
      <c r="CG362" s="22">
        <v>37033</v>
      </c>
      <c r="CH362" s="22">
        <v>35671</v>
      </c>
      <c r="CI362" s="22">
        <v>72704</v>
      </c>
      <c r="CJ362" s="11" t="s">
        <v>319</v>
      </c>
      <c r="CL362" s="18"/>
      <c r="CN362" s="12" t="s">
        <v>320</v>
      </c>
      <c r="CO362" s="22">
        <v>1622</v>
      </c>
      <c r="CP362" s="18">
        <v>0.43459999999999999</v>
      </c>
      <c r="CQ362" s="22">
        <v>5278</v>
      </c>
      <c r="CR362" s="11" t="s">
        <v>320</v>
      </c>
      <c r="CS362" s="22">
        <v>170</v>
      </c>
      <c r="CT362" s="18">
        <v>0</v>
      </c>
      <c r="CU362" s="22">
        <v>850</v>
      </c>
      <c r="CV362" s="11" t="s">
        <v>319</v>
      </c>
      <c r="CX362" s="18"/>
      <c r="CZ362" s="11" t="s">
        <v>319</v>
      </c>
      <c r="DB362" s="18"/>
      <c r="DD362" s="11" t="s">
        <v>319</v>
      </c>
      <c r="DF362" s="18"/>
      <c r="DH362" s="11" t="s">
        <v>319</v>
      </c>
      <c r="DJ362" s="18"/>
      <c r="DL362" s="11" t="s">
        <v>320</v>
      </c>
      <c r="DM362" s="22">
        <v>250</v>
      </c>
      <c r="DN362" s="18">
        <v>0.5</v>
      </c>
      <c r="DO362" s="22">
        <v>1250</v>
      </c>
      <c r="DP362" s="12" t="s">
        <v>320</v>
      </c>
      <c r="DQ362" s="22">
        <v>19769</v>
      </c>
      <c r="DR362" s="18">
        <v>0.45329999999999998</v>
      </c>
      <c r="DS362" s="22">
        <v>69453</v>
      </c>
      <c r="DT362" s="11" t="s">
        <v>319</v>
      </c>
      <c r="DV362" s="18"/>
      <c r="DX362" s="11" t="s">
        <v>319</v>
      </c>
      <c r="DZ362" s="18"/>
      <c r="EB362" s="11" t="s">
        <v>319</v>
      </c>
      <c r="ED362" s="18"/>
      <c r="EG362" s="15" t="s">
        <v>319</v>
      </c>
      <c r="EI362" s="18"/>
      <c r="EK362" s="22">
        <v>125</v>
      </c>
      <c r="EL362" s="22">
        <v>125</v>
      </c>
      <c r="EM362" s="22">
        <v>250</v>
      </c>
      <c r="EN362" s="22">
        <v>625</v>
      </c>
      <c r="EO362" s="22">
        <v>625</v>
      </c>
      <c r="EP362" s="22">
        <v>1250</v>
      </c>
      <c r="EQ362" s="12" t="s">
        <v>319</v>
      </c>
      <c r="ES362" s="18"/>
      <c r="EU362" s="11" t="s">
        <v>319</v>
      </c>
      <c r="EW362" s="18"/>
      <c r="EY362" s="12" t="s">
        <v>319</v>
      </c>
      <c r="FA362" s="18"/>
      <c r="FC362" s="12" t="s">
        <v>319</v>
      </c>
      <c r="FE362" s="18"/>
      <c r="FG362" s="12" t="s">
        <v>320</v>
      </c>
      <c r="FH362" s="22">
        <v>250</v>
      </c>
      <c r="FI362" s="18">
        <v>0.5</v>
      </c>
      <c r="FJ362" s="22">
        <v>1250</v>
      </c>
      <c r="FK362" s="11" t="s">
        <v>319</v>
      </c>
      <c r="FM362" s="18"/>
      <c r="FO362" s="11" t="s">
        <v>319</v>
      </c>
      <c r="FQ362" s="18"/>
      <c r="FS362" s="11" t="s">
        <v>319</v>
      </c>
      <c r="FU362" s="18"/>
      <c r="FW362" s="11" t="s">
        <v>319</v>
      </c>
      <c r="FY362" s="18"/>
      <c r="GA362" s="11" t="s">
        <v>319</v>
      </c>
      <c r="GC362" s="18"/>
      <c r="GE362" s="11" t="s">
        <v>319</v>
      </c>
      <c r="GG362" s="18"/>
      <c r="GI362" s="11" t="s">
        <v>319</v>
      </c>
      <c r="GK362" s="18"/>
      <c r="GM362" s="11" t="s">
        <v>319</v>
      </c>
      <c r="GO362" s="18"/>
      <c r="GQ362" s="11" t="s">
        <v>319</v>
      </c>
      <c r="GS362" s="18"/>
      <c r="GU362" s="11" t="s">
        <v>319</v>
      </c>
      <c r="GW362" s="18"/>
      <c r="GY362" s="11" t="s">
        <v>319</v>
      </c>
      <c r="HA362" s="18"/>
      <c r="HD362" s="11" t="s">
        <v>319</v>
      </c>
      <c r="HF362" s="18"/>
      <c r="HH362" s="11" t="s">
        <v>319</v>
      </c>
      <c r="HL362" s="11" t="s">
        <v>320</v>
      </c>
      <c r="HM362" s="11" t="s">
        <v>361</v>
      </c>
      <c r="HN362" s="11">
        <v>2017</v>
      </c>
      <c r="HO362" s="11" t="s">
        <v>6409</v>
      </c>
      <c r="HP362" s="11" t="s">
        <v>330</v>
      </c>
      <c r="HQ362" s="11" t="s">
        <v>319</v>
      </c>
      <c r="HR362" s="11" t="s">
        <v>320</v>
      </c>
      <c r="HS362" s="11" t="s">
        <v>320</v>
      </c>
      <c r="HT362" s="11" t="s">
        <v>320</v>
      </c>
      <c r="HU362" s="11" t="s">
        <v>320</v>
      </c>
      <c r="HV362" s="11" t="s">
        <v>319</v>
      </c>
      <c r="HW362" s="11" t="s">
        <v>320</v>
      </c>
      <c r="HX362" s="11" t="s">
        <v>320</v>
      </c>
      <c r="HY362" s="11" t="s">
        <v>6410</v>
      </c>
      <c r="HZ362" s="11" t="s">
        <v>331</v>
      </c>
      <c r="IA362" s="11" t="s">
        <v>6411</v>
      </c>
      <c r="IB362" s="11" t="s">
        <v>396</v>
      </c>
      <c r="IC362" s="11" t="s">
        <v>6412</v>
      </c>
      <c r="ID362" s="11" t="s">
        <v>334</v>
      </c>
      <c r="IE362" s="11" t="s">
        <v>478</v>
      </c>
      <c r="IF362" s="11" t="s">
        <v>320</v>
      </c>
      <c r="IG362" s="11" t="s">
        <v>320</v>
      </c>
      <c r="IH362" s="11" t="s">
        <v>320</v>
      </c>
      <c r="II362" s="11" t="s">
        <v>320</v>
      </c>
      <c r="IJ362" s="12" t="str">
        <f t="shared" si="216"/>
        <v>4. Transformative</v>
      </c>
      <c r="IK362" s="12">
        <f t="shared" si="217"/>
        <v>4</v>
      </c>
      <c r="IL362" s="11" t="s">
        <v>336</v>
      </c>
      <c r="IM362" s="11" t="s">
        <v>320</v>
      </c>
      <c r="IN362" s="11" t="s">
        <v>320</v>
      </c>
      <c r="IO362" s="11" t="s">
        <v>320</v>
      </c>
      <c r="IP362" s="11" t="s">
        <v>320</v>
      </c>
      <c r="IQ362" s="12" t="str">
        <f t="shared" si="218"/>
        <v>2. Accommodating</v>
      </c>
      <c r="IR362" s="12">
        <f t="shared" si="219"/>
        <v>4</v>
      </c>
      <c r="IS362" s="11" t="s">
        <v>622</v>
      </c>
      <c r="IT362" s="11" t="s">
        <v>320</v>
      </c>
      <c r="IU362" s="11" t="s">
        <v>320</v>
      </c>
      <c r="IV362" s="11" t="s">
        <v>320</v>
      </c>
      <c r="IW362" s="11" t="str">
        <f t="shared" si="220"/>
        <v>4. Transformative</v>
      </c>
      <c r="IX362" s="12">
        <f t="shared" si="221"/>
        <v>3</v>
      </c>
      <c r="IY362" s="11" t="s">
        <v>338</v>
      </c>
      <c r="IZ362" s="11" t="s">
        <v>527</v>
      </c>
      <c r="JA362" s="11">
        <v>4</v>
      </c>
      <c r="JB362" s="11" t="s">
        <v>433</v>
      </c>
      <c r="JC362" s="11" t="s">
        <v>624</v>
      </c>
      <c r="JE362" s="11" t="s">
        <v>340</v>
      </c>
      <c r="JF362" s="11" t="s">
        <v>6413</v>
      </c>
      <c r="JG362" s="11" t="s">
        <v>6414</v>
      </c>
      <c r="JH362" s="11" t="s">
        <v>6415</v>
      </c>
      <c r="JI362" s="11" t="s">
        <v>6141</v>
      </c>
      <c r="JJ362" s="11" t="s">
        <v>6416</v>
      </c>
      <c r="JK362" s="11" t="s">
        <v>6417</v>
      </c>
      <c r="JL362" s="11" t="s">
        <v>6418</v>
      </c>
      <c r="JM362" s="11" t="s">
        <v>6419</v>
      </c>
      <c r="JO362" s="11" t="s">
        <v>6146</v>
      </c>
      <c r="JP362" s="15">
        <f t="shared" si="222"/>
        <v>20970</v>
      </c>
      <c r="JQ362" s="15">
        <f t="shared" si="223"/>
        <v>72704</v>
      </c>
      <c r="JR362" s="279">
        <f t="shared" si="224"/>
        <v>3.4670481640438724</v>
      </c>
      <c r="JS362" s="17">
        <f t="shared" si="225"/>
        <v>0.45402956604673345</v>
      </c>
      <c r="JT362" s="18">
        <f t="shared" si="226"/>
        <v>0.50936674735915488</v>
      </c>
      <c r="JU362" s="280">
        <f t="shared" si="227"/>
        <v>9521</v>
      </c>
      <c r="JV362" s="280">
        <f t="shared" si="228"/>
        <v>37033</v>
      </c>
      <c r="JW362" s="319">
        <f t="shared" si="229"/>
        <v>1</v>
      </c>
      <c r="JX362" s="15">
        <f t="shared" si="230"/>
        <v>20970</v>
      </c>
      <c r="JY362" s="15">
        <f t="shared" si="231"/>
        <v>72704</v>
      </c>
      <c r="JZ362" s="19">
        <f t="shared" si="232"/>
        <v>3.4670481640438724</v>
      </c>
      <c r="KA362" s="52">
        <f t="shared" si="233"/>
        <v>1</v>
      </c>
      <c r="KB362" s="15">
        <f t="shared" si="234"/>
        <v>250</v>
      </c>
      <c r="KC362" s="15">
        <f t="shared" si="235"/>
        <v>1250</v>
      </c>
      <c r="KD362" s="20">
        <f t="shared" si="236"/>
        <v>5</v>
      </c>
      <c r="KE362" s="52" t="str">
        <f t="shared" si="237"/>
        <v/>
      </c>
      <c r="KF362" s="15">
        <f t="shared" si="238"/>
        <v>0</v>
      </c>
      <c r="KG362" s="15">
        <f t="shared" si="239"/>
        <v>0</v>
      </c>
      <c r="KH362" s="21" t="str">
        <f t="shared" si="240"/>
        <v/>
      </c>
      <c r="KI362" s="52" t="str">
        <f t="shared" si="241"/>
        <v/>
      </c>
      <c r="KJ362" s="15">
        <f t="shared" si="242"/>
        <v>0</v>
      </c>
      <c r="KK362" s="15">
        <f t="shared" si="243"/>
        <v>0</v>
      </c>
      <c r="KL362" s="19" t="str">
        <f t="shared" si="244"/>
        <v/>
      </c>
      <c r="KM362" s="52">
        <f t="shared" si="245"/>
        <v>1</v>
      </c>
      <c r="KN362" s="22">
        <f t="shared" si="246"/>
        <v>125</v>
      </c>
      <c r="KO362" s="22">
        <f t="shared" si="247"/>
        <v>625</v>
      </c>
      <c r="KP362" s="19">
        <f t="shared" si="248"/>
        <v>5</v>
      </c>
      <c r="KQ362" s="11" t="str">
        <f t="shared" si="249"/>
        <v>4. Transformative</v>
      </c>
      <c r="KR362" s="11" t="str">
        <f t="shared" si="250"/>
        <v>2. Accommodating</v>
      </c>
      <c r="KS362" s="11" t="str">
        <f t="shared" si="251"/>
        <v>4. Transformative</v>
      </c>
      <c r="KT362" s="11" t="str">
        <f t="shared" si="252"/>
        <v>It tested new ways for fighting poverty and measured results of innovation</v>
      </c>
      <c r="KU362" s="11" t="str">
        <f t="shared" si="253"/>
        <v>Moderate advocacy</v>
      </c>
      <c r="KV362" s="11" t="str">
        <f t="shared" si="254"/>
        <v>It linked and worked with strategic alliances and partners to take tested and effective solutions to scale</v>
      </c>
      <c r="KW362" s="11" t="str">
        <f t="shared" si="255"/>
        <v>Jordan - Protecting and Supporting Vulnerable Populations, in particular Refugees and Host Community Members</v>
      </c>
      <c r="KX362" s="11" t="str">
        <f t="shared" si="256"/>
        <v>Protecting and Supporting Vulnerable Populations, in particular Refugees and Host Community Members</v>
      </c>
      <c r="KY362" s="11" t="str">
        <f t="shared" si="257"/>
        <v>Jordan</v>
      </c>
      <c r="KZ362" s="12">
        <v>362</v>
      </c>
    </row>
    <row r="363" spans="1:312" x14ac:dyDescent="0.3">
      <c r="A363" s="11" t="s">
        <v>6105</v>
      </c>
      <c r="B363" s="11" t="s">
        <v>602</v>
      </c>
      <c r="C363" s="11">
        <v>3059</v>
      </c>
      <c r="D363" s="11" t="s">
        <v>6420</v>
      </c>
      <c r="E363" s="24" t="str">
        <f t="shared" si="215"/>
        <v>Jordan</v>
      </c>
      <c r="F363" s="11" t="s">
        <v>6421</v>
      </c>
      <c r="G363" s="11" t="s">
        <v>379</v>
      </c>
      <c r="H363" s="11" t="s">
        <v>310</v>
      </c>
      <c r="I363" s="11" t="s">
        <v>384</v>
      </c>
      <c r="J363" s="278" t="s">
        <v>14602</v>
      </c>
      <c r="BD363" s="23">
        <v>42269</v>
      </c>
      <c r="BE363" s="23">
        <v>42634</v>
      </c>
      <c r="BG363" s="11" t="s">
        <v>817</v>
      </c>
      <c r="BH363" s="22">
        <v>1487265</v>
      </c>
      <c r="BI363" s="11" t="s">
        <v>6128</v>
      </c>
      <c r="BJ363" s="11" t="s">
        <v>6422</v>
      </c>
      <c r="BK363" s="11" t="s">
        <v>6130</v>
      </c>
      <c r="BO363" s="11" t="s">
        <v>320</v>
      </c>
      <c r="BP363" s="11" t="s">
        <v>320</v>
      </c>
      <c r="BQ363" s="11" t="s">
        <v>320</v>
      </c>
      <c r="BR363" s="11" t="s">
        <v>6423</v>
      </c>
      <c r="BS363" s="11" t="s">
        <v>322</v>
      </c>
      <c r="BT363" s="11" t="s">
        <v>6424</v>
      </c>
      <c r="BU363" s="11" t="s">
        <v>6425</v>
      </c>
      <c r="BV363" s="22">
        <v>12900</v>
      </c>
      <c r="BW363" s="22">
        <v>12900</v>
      </c>
      <c r="BX363" s="22">
        <v>25800</v>
      </c>
      <c r="BY363" s="22">
        <v>64500</v>
      </c>
      <c r="BZ363" s="22">
        <v>64500</v>
      </c>
      <c r="CA363" s="22">
        <v>129000</v>
      </c>
      <c r="CB363" s="15" t="s">
        <v>6426</v>
      </c>
      <c r="CD363" s="22">
        <v>3409</v>
      </c>
      <c r="CE363" s="22">
        <v>5072</v>
      </c>
      <c r="CF363" s="22">
        <v>8481</v>
      </c>
      <c r="CG363" s="22">
        <v>15757</v>
      </c>
      <c r="CH363" s="22">
        <v>15485</v>
      </c>
      <c r="CI363" s="22">
        <v>31242</v>
      </c>
      <c r="CJ363" s="11" t="s">
        <v>319</v>
      </c>
      <c r="CL363" s="18"/>
      <c r="CN363" s="12" t="s">
        <v>320</v>
      </c>
      <c r="CO363" s="22">
        <v>340</v>
      </c>
      <c r="CP363" s="18">
        <v>0.44409999999999999</v>
      </c>
      <c r="CQ363" s="22">
        <v>1333</v>
      </c>
      <c r="CR363" s="11" t="s">
        <v>320</v>
      </c>
      <c r="CS363" s="22">
        <v>200</v>
      </c>
      <c r="CT363" s="18">
        <v>0</v>
      </c>
      <c r="CU363" s="22">
        <v>1091</v>
      </c>
      <c r="CV363" s="11" t="s">
        <v>319</v>
      </c>
      <c r="CX363" s="18"/>
      <c r="CZ363" s="11" t="s">
        <v>319</v>
      </c>
      <c r="DB363" s="18"/>
      <c r="DD363" s="11" t="s">
        <v>319</v>
      </c>
      <c r="DF363" s="18"/>
      <c r="DH363" s="11" t="s">
        <v>319</v>
      </c>
      <c r="DJ363" s="18"/>
      <c r="DL363" s="11" t="s">
        <v>320</v>
      </c>
      <c r="DM363" s="22">
        <v>150</v>
      </c>
      <c r="DN363" s="18">
        <v>0.5</v>
      </c>
      <c r="DO363" s="22">
        <v>600</v>
      </c>
      <c r="DP363" s="12" t="s">
        <v>320</v>
      </c>
      <c r="DQ363" s="22">
        <v>8022</v>
      </c>
      <c r="DR363" s="18">
        <v>0.38879999999999998</v>
      </c>
      <c r="DS363" s="22">
        <v>29279</v>
      </c>
      <c r="DT363" s="11" t="s">
        <v>319</v>
      </c>
      <c r="DV363" s="18"/>
      <c r="DX363" s="11" t="s">
        <v>319</v>
      </c>
      <c r="DZ363" s="18"/>
      <c r="EB363" s="11" t="s">
        <v>319</v>
      </c>
      <c r="ED363" s="18"/>
      <c r="EG363" s="15" t="s">
        <v>319</v>
      </c>
      <c r="EI363" s="18"/>
      <c r="EK363" s="22">
        <v>75</v>
      </c>
      <c r="EL363" s="22">
        <v>75</v>
      </c>
      <c r="EM363" s="22">
        <v>150</v>
      </c>
      <c r="EN363" s="22">
        <v>300</v>
      </c>
      <c r="EO363" s="22">
        <v>300</v>
      </c>
      <c r="EP363" s="22">
        <v>600</v>
      </c>
      <c r="EQ363" s="12" t="s">
        <v>319</v>
      </c>
      <c r="ES363" s="18"/>
      <c r="EU363" s="11" t="s">
        <v>319</v>
      </c>
      <c r="EW363" s="18"/>
      <c r="EY363" s="12" t="s">
        <v>319</v>
      </c>
      <c r="FA363" s="18"/>
      <c r="FC363" s="12" t="s">
        <v>319</v>
      </c>
      <c r="FE363" s="18"/>
      <c r="FG363" s="12" t="s">
        <v>320</v>
      </c>
      <c r="FH363" s="22">
        <v>150</v>
      </c>
      <c r="FI363" s="18">
        <v>0.50339999999999996</v>
      </c>
      <c r="FJ363" s="22">
        <v>600</v>
      </c>
      <c r="FK363" s="11" t="s">
        <v>319</v>
      </c>
      <c r="FM363" s="18"/>
      <c r="FO363" s="11" t="s">
        <v>319</v>
      </c>
      <c r="FQ363" s="18"/>
      <c r="FS363" s="11" t="s">
        <v>319</v>
      </c>
      <c r="FU363" s="18"/>
      <c r="FW363" s="11" t="s">
        <v>319</v>
      </c>
      <c r="FY363" s="18"/>
      <c r="GA363" s="11" t="s">
        <v>319</v>
      </c>
      <c r="GC363" s="18"/>
      <c r="GE363" s="11" t="s">
        <v>319</v>
      </c>
      <c r="GG363" s="18"/>
      <c r="GI363" s="11" t="s">
        <v>319</v>
      </c>
      <c r="GK363" s="18"/>
      <c r="GM363" s="11" t="s">
        <v>319</v>
      </c>
      <c r="GO363" s="18"/>
      <c r="GQ363" s="11" t="s">
        <v>319</v>
      </c>
      <c r="GS363" s="18"/>
      <c r="GU363" s="11" t="s">
        <v>319</v>
      </c>
      <c r="GW363" s="18"/>
      <c r="GY363" s="11" t="s">
        <v>319</v>
      </c>
      <c r="HA363" s="18"/>
      <c r="HD363" s="11" t="s">
        <v>319</v>
      </c>
      <c r="HF363" s="18"/>
      <c r="HH363" s="11" t="s">
        <v>319</v>
      </c>
      <c r="HK363" s="11" t="s">
        <v>319</v>
      </c>
      <c r="HL363" s="11" t="s">
        <v>319</v>
      </c>
      <c r="HO363" s="11" t="s">
        <v>6427</v>
      </c>
      <c r="HP363" s="11" t="s">
        <v>418</v>
      </c>
      <c r="HQ363" s="11" t="s">
        <v>319</v>
      </c>
      <c r="HR363" s="11" t="s">
        <v>319</v>
      </c>
      <c r="HS363" s="11" t="s">
        <v>320</v>
      </c>
      <c r="HT363" s="11" t="s">
        <v>320</v>
      </c>
      <c r="HU363" s="11" t="s">
        <v>320</v>
      </c>
      <c r="HV363" s="11" t="s">
        <v>320</v>
      </c>
      <c r="HW363" s="11" t="s">
        <v>320</v>
      </c>
      <c r="HX363" s="11" t="s">
        <v>320</v>
      </c>
      <c r="HY363" s="11" t="s">
        <v>6428</v>
      </c>
      <c r="HZ363" s="11" t="s">
        <v>331</v>
      </c>
      <c r="IA363" s="11" t="s">
        <v>6429</v>
      </c>
      <c r="IB363" s="11" t="s">
        <v>396</v>
      </c>
      <c r="IC363" s="11" t="s">
        <v>6430</v>
      </c>
      <c r="ID363" s="11" t="s">
        <v>334</v>
      </c>
      <c r="IE363" s="11" t="s">
        <v>335</v>
      </c>
      <c r="IF363" s="11" t="s">
        <v>320</v>
      </c>
      <c r="IG363" s="11" t="s">
        <v>320</v>
      </c>
      <c r="IH363" s="11" t="s">
        <v>320</v>
      </c>
      <c r="II363" s="11" t="s">
        <v>320</v>
      </c>
      <c r="IJ363" s="12" t="str">
        <f t="shared" si="216"/>
        <v>2. Sensitive</v>
      </c>
      <c r="IK363" s="12">
        <f t="shared" si="217"/>
        <v>4</v>
      </c>
      <c r="IL363" s="11" t="s">
        <v>336</v>
      </c>
      <c r="IM363" s="11" t="s">
        <v>320</v>
      </c>
      <c r="IN363" s="11" t="s">
        <v>320</v>
      </c>
      <c r="IO363" s="11" t="s">
        <v>320</v>
      </c>
      <c r="IP363" s="11" t="s">
        <v>320</v>
      </c>
      <c r="IQ363" s="12" t="str">
        <f t="shared" si="218"/>
        <v>2. Accommodating</v>
      </c>
      <c r="IR363" s="12">
        <f t="shared" si="219"/>
        <v>4</v>
      </c>
      <c r="IS363" s="11" t="s">
        <v>622</v>
      </c>
      <c r="IT363" s="11" t="s">
        <v>320</v>
      </c>
      <c r="IU363" s="11" t="s">
        <v>320</v>
      </c>
      <c r="IV363" s="11" t="s">
        <v>320</v>
      </c>
      <c r="IW363" s="11" t="str">
        <f t="shared" si="220"/>
        <v>4. Transformative</v>
      </c>
      <c r="IX363" s="12">
        <f t="shared" si="221"/>
        <v>3</v>
      </c>
      <c r="IY363" s="11" t="s">
        <v>338</v>
      </c>
      <c r="IZ363" s="11" t="s">
        <v>432</v>
      </c>
      <c r="JA363" s="11">
        <v>4</v>
      </c>
      <c r="JB363" s="11" t="s">
        <v>433</v>
      </c>
      <c r="JE363" s="11" t="s">
        <v>340</v>
      </c>
      <c r="JF363" s="11" t="s">
        <v>6431</v>
      </c>
      <c r="JG363" s="11" t="s">
        <v>6432</v>
      </c>
      <c r="JH363" s="11" t="s">
        <v>6433</v>
      </c>
      <c r="JI363" s="11" t="s">
        <v>6434</v>
      </c>
      <c r="JJ363" s="11" t="s">
        <v>6435</v>
      </c>
      <c r="JK363" s="11" t="s">
        <v>6436</v>
      </c>
      <c r="JL363" s="11" t="s">
        <v>6437</v>
      </c>
      <c r="JM363" s="11" t="s">
        <v>6438</v>
      </c>
      <c r="JO363" s="11" t="s">
        <v>6146</v>
      </c>
      <c r="JP363" s="15">
        <f t="shared" si="222"/>
        <v>8481</v>
      </c>
      <c r="JQ363" s="15">
        <f t="shared" si="223"/>
        <v>31242</v>
      </c>
      <c r="JR363" s="279">
        <f t="shared" si="224"/>
        <v>3.6837637071100104</v>
      </c>
      <c r="JS363" s="17">
        <f t="shared" si="225"/>
        <v>0.40195731635420351</v>
      </c>
      <c r="JT363" s="18">
        <f t="shared" si="226"/>
        <v>0.5043531143972857</v>
      </c>
      <c r="JU363" s="280">
        <f t="shared" si="227"/>
        <v>3409</v>
      </c>
      <c r="JV363" s="280">
        <f t="shared" si="228"/>
        <v>15757</v>
      </c>
      <c r="JW363" s="319">
        <f t="shared" si="229"/>
        <v>1</v>
      </c>
      <c r="JX363" s="15">
        <f t="shared" si="230"/>
        <v>8481</v>
      </c>
      <c r="JY363" s="15">
        <f t="shared" si="231"/>
        <v>31242</v>
      </c>
      <c r="JZ363" s="19">
        <f t="shared" si="232"/>
        <v>3.6837637071100104</v>
      </c>
      <c r="KA363" s="52">
        <f t="shared" si="233"/>
        <v>1</v>
      </c>
      <c r="KB363" s="15">
        <f t="shared" si="234"/>
        <v>150</v>
      </c>
      <c r="KC363" s="15">
        <f t="shared" si="235"/>
        <v>600</v>
      </c>
      <c r="KD363" s="20">
        <f t="shared" si="236"/>
        <v>4</v>
      </c>
      <c r="KE363" s="52" t="str">
        <f t="shared" si="237"/>
        <v/>
      </c>
      <c r="KF363" s="15">
        <f t="shared" si="238"/>
        <v>0</v>
      </c>
      <c r="KG363" s="15">
        <f t="shared" si="239"/>
        <v>0</v>
      </c>
      <c r="KH363" s="21" t="str">
        <f t="shared" si="240"/>
        <v/>
      </c>
      <c r="KI363" s="52" t="str">
        <f t="shared" si="241"/>
        <v/>
      </c>
      <c r="KJ363" s="15">
        <f t="shared" si="242"/>
        <v>0</v>
      </c>
      <c r="KK363" s="15">
        <f t="shared" si="243"/>
        <v>0</v>
      </c>
      <c r="KL363" s="19" t="str">
        <f t="shared" si="244"/>
        <v/>
      </c>
      <c r="KM363" s="52">
        <f t="shared" si="245"/>
        <v>1</v>
      </c>
      <c r="KN363" s="22">
        <f t="shared" si="246"/>
        <v>75.509999999999991</v>
      </c>
      <c r="KO363" s="22">
        <f t="shared" si="247"/>
        <v>302.03999999999996</v>
      </c>
      <c r="KP363" s="19">
        <f t="shared" si="248"/>
        <v>4</v>
      </c>
      <c r="KQ363" s="11" t="str">
        <f t="shared" si="249"/>
        <v>2. Sensitive</v>
      </c>
      <c r="KR363" s="11" t="str">
        <f t="shared" si="250"/>
        <v>2. Accommodating</v>
      </c>
      <c r="KS363" s="11" t="str">
        <f t="shared" si="251"/>
        <v>4. Transformative</v>
      </c>
      <c r="KT363" s="11" t="str">
        <f t="shared" si="252"/>
        <v>It tested new ways for fighting poverty and measured results of innovation</v>
      </c>
      <c r="KU363" s="11" t="str">
        <f t="shared" si="253"/>
        <v>Little or no advocacy</v>
      </c>
      <c r="KV363" s="11" t="str">
        <f t="shared" si="254"/>
        <v>It linked and worked with strategic alliances and partners to take tested and effective solutions to scale</v>
      </c>
      <c r="KW363" s="11" t="str">
        <f t="shared" si="255"/>
        <v>Jordan - Protecting the Vulnerable in Jordan's Urban Refugee Communities</v>
      </c>
      <c r="KX363" s="11" t="str">
        <f t="shared" si="256"/>
        <v>Protecting the Vulnerable in Jordan's Urban Refugee Communities</v>
      </c>
      <c r="KY363" s="11" t="str">
        <f t="shared" si="257"/>
        <v>Jordan</v>
      </c>
      <c r="KZ363" s="12">
        <v>363</v>
      </c>
    </row>
    <row r="364" spans="1:312" x14ac:dyDescent="0.3">
      <c r="A364" s="11" t="s">
        <v>6105</v>
      </c>
      <c r="B364" s="11" t="s">
        <v>602</v>
      </c>
      <c r="C364" s="11">
        <v>3061</v>
      </c>
      <c r="D364" s="11" t="s">
        <v>6439</v>
      </c>
      <c r="E364" s="24" t="str">
        <f t="shared" si="215"/>
        <v>Jordan</v>
      </c>
      <c r="F364" s="11" t="s">
        <v>6440</v>
      </c>
      <c r="G364" s="11" t="s">
        <v>379</v>
      </c>
      <c r="H364" s="11" t="s">
        <v>380</v>
      </c>
      <c r="I364" s="11" t="s">
        <v>381</v>
      </c>
      <c r="J364" s="278" t="s">
        <v>11578</v>
      </c>
      <c r="BD364" s="23">
        <v>42370</v>
      </c>
      <c r="BE364" s="23">
        <v>42735</v>
      </c>
      <c r="BG364" s="11" t="s">
        <v>817</v>
      </c>
      <c r="BH364" s="22">
        <v>2443957</v>
      </c>
      <c r="BI364" s="11" t="s">
        <v>6314</v>
      </c>
      <c r="BJ364" s="11" t="s">
        <v>6315</v>
      </c>
      <c r="BK364" s="11" t="s">
        <v>6316</v>
      </c>
      <c r="BO364" s="11" t="s">
        <v>320</v>
      </c>
      <c r="BP364" s="11" t="s">
        <v>320</v>
      </c>
      <c r="BQ364" s="12" t="s">
        <v>320</v>
      </c>
      <c r="BR364" s="11" t="s">
        <v>6441</v>
      </c>
      <c r="BS364" s="11" t="s">
        <v>322</v>
      </c>
      <c r="BT364" s="11" t="s">
        <v>6442</v>
      </c>
      <c r="BU364" s="11" t="s">
        <v>6443</v>
      </c>
      <c r="BV364" s="22">
        <v>5545</v>
      </c>
      <c r="BW364" s="22">
        <v>5545</v>
      </c>
      <c r="BX364" s="22">
        <v>11090</v>
      </c>
      <c r="BY364" s="22">
        <v>27725</v>
      </c>
      <c r="BZ364" s="22">
        <v>27725</v>
      </c>
      <c r="CA364" s="22">
        <v>55450</v>
      </c>
      <c r="CB364" s="15" t="s">
        <v>6444</v>
      </c>
      <c r="CD364" s="22">
        <v>1888</v>
      </c>
      <c r="CE364" s="22">
        <v>1258</v>
      </c>
      <c r="CF364" s="22">
        <v>3146</v>
      </c>
      <c r="CG364" s="22">
        <v>9438</v>
      </c>
      <c r="CH364" s="22">
        <v>6292</v>
      </c>
      <c r="CI364" s="22">
        <v>15730</v>
      </c>
      <c r="CJ364" s="11" t="s">
        <v>320</v>
      </c>
      <c r="CK364" s="22">
        <v>3146</v>
      </c>
      <c r="CL364" s="18">
        <v>0.6</v>
      </c>
      <c r="CM364" s="22">
        <v>15730</v>
      </c>
      <c r="CN364" s="11" t="s">
        <v>319</v>
      </c>
      <c r="CP364" s="18"/>
      <c r="CR364" s="11" t="s">
        <v>320</v>
      </c>
      <c r="CS364" s="22">
        <v>257</v>
      </c>
      <c r="CT364" s="18">
        <v>0.6</v>
      </c>
      <c r="CU364" s="22">
        <v>1285</v>
      </c>
      <c r="CV364" s="11" t="s">
        <v>319</v>
      </c>
      <c r="CX364" s="18"/>
      <c r="CZ364" s="11" t="s">
        <v>319</v>
      </c>
      <c r="DB364" s="18"/>
      <c r="DD364" s="11" t="s">
        <v>319</v>
      </c>
      <c r="DF364" s="18"/>
      <c r="DH364" s="11" t="s">
        <v>319</v>
      </c>
      <c r="DJ364" s="18"/>
      <c r="DL364" s="11" t="s">
        <v>320</v>
      </c>
      <c r="DM364" s="22">
        <v>1310</v>
      </c>
      <c r="DN364" s="18">
        <v>0.6</v>
      </c>
      <c r="DO364" s="22">
        <v>6550</v>
      </c>
      <c r="DP364" s="12" t="s">
        <v>320</v>
      </c>
      <c r="DQ364" s="22">
        <v>3146</v>
      </c>
      <c r="DR364" s="18">
        <v>0.6</v>
      </c>
      <c r="DS364" s="22">
        <v>15730</v>
      </c>
      <c r="DT364" s="11" t="s">
        <v>319</v>
      </c>
      <c r="DV364" s="18"/>
      <c r="DX364" s="11" t="s">
        <v>319</v>
      </c>
      <c r="DZ364" s="18"/>
      <c r="EB364" s="11" t="s">
        <v>319</v>
      </c>
      <c r="ED364" s="18"/>
      <c r="EG364" s="15" t="s">
        <v>319</v>
      </c>
      <c r="EI364" s="18"/>
      <c r="EQ364" s="12" t="s">
        <v>319</v>
      </c>
      <c r="ES364" s="18"/>
      <c r="EU364" s="11" t="s">
        <v>319</v>
      </c>
      <c r="EW364" s="18"/>
      <c r="EY364" s="12" t="s">
        <v>319</v>
      </c>
      <c r="FA364" s="18"/>
      <c r="FC364" s="12" t="s">
        <v>319</v>
      </c>
      <c r="FE364" s="18"/>
      <c r="FG364" s="12" t="s">
        <v>319</v>
      </c>
      <c r="FI364" s="18"/>
      <c r="FK364" s="11" t="s">
        <v>319</v>
      </c>
      <c r="FM364" s="18"/>
      <c r="FO364" s="11" t="s">
        <v>319</v>
      </c>
      <c r="FQ364" s="18"/>
      <c r="FS364" s="11" t="s">
        <v>319</v>
      </c>
      <c r="FU364" s="18"/>
      <c r="FW364" s="11" t="s">
        <v>319</v>
      </c>
      <c r="FY364" s="18"/>
      <c r="GA364" s="11" t="s">
        <v>319</v>
      </c>
      <c r="GC364" s="18"/>
      <c r="GE364" s="11" t="s">
        <v>319</v>
      </c>
      <c r="GG364" s="18"/>
      <c r="GI364" s="11" t="s">
        <v>319</v>
      </c>
      <c r="GK364" s="18"/>
      <c r="GM364" s="11" t="s">
        <v>319</v>
      </c>
      <c r="GO364" s="18"/>
      <c r="GQ364" s="11" t="s">
        <v>319</v>
      </c>
      <c r="GS364" s="18"/>
      <c r="GU364" s="11" t="s">
        <v>319</v>
      </c>
      <c r="GW364" s="18"/>
      <c r="GY364" s="11" t="s">
        <v>319</v>
      </c>
      <c r="HA364" s="18"/>
      <c r="HD364" s="11" t="s">
        <v>319</v>
      </c>
      <c r="HF364" s="18"/>
      <c r="HH364" s="11" t="s">
        <v>320</v>
      </c>
      <c r="HI364" s="11" t="s">
        <v>560</v>
      </c>
      <c r="HJ364" s="11">
        <v>2017</v>
      </c>
      <c r="HK364" s="11" t="s">
        <v>319</v>
      </c>
      <c r="HL364" s="11" t="s">
        <v>319</v>
      </c>
      <c r="HP364" s="11" t="s">
        <v>330</v>
      </c>
      <c r="HQ364" s="11" t="s">
        <v>319</v>
      </c>
      <c r="HR364" s="11" t="s">
        <v>319</v>
      </c>
      <c r="HS364" s="11" t="s">
        <v>320</v>
      </c>
      <c r="HT364" s="11" t="s">
        <v>320</v>
      </c>
      <c r="HU364" s="11" t="s">
        <v>319</v>
      </c>
      <c r="HV364" s="11" t="s">
        <v>319</v>
      </c>
      <c r="HW364" s="11" t="s">
        <v>319</v>
      </c>
      <c r="HX364" s="11" t="s">
        <v>320</v>
      </c>
      <c r="HY364" s="11" t="s">
        <v>6321</v>
      </c>
      <c r="HZ364" s="11" t="s">
        <v>363</v>
      </c>
      <c r="IB364" s="11" t="s">
        <v>396</v>
      </c>
      <c r="ID364" s="11" t="s">
        <v>334</v>
      </c>
      <c r="IE364" s="11" t="s">
        <v>478</v>
      </c>
      <c r="IF364" s="11" t="s">
        <v>320</v>
      </c>
      <c r="IG364" s="11" t="s">
        <v>320</v>
      </c>
      <c r="IH364" s="11" t="s">
        <v>320</v>
      </c>
      <c r="II364" s="11" t="s">
        <v>320</v>
      </c>
      <c r="IJ364" s="12" t="str">
        <f t="shared" si="216"/>
        <v>4. Transformative</v>
      </c>
      <c r="IK364" s="12">
        <f t="shared" si="217"/>
        <v>4</v>
      </c>
      <c r="IL364" s="11" t="s">
        <v>621</v>
      </c>
      <c r="IM364" s="11" t="s">
        <v>319</v>
      </c>
      <c r="IN364" s="11" t="s">
        <v>320</v>
      </c>
      <c r="IO364" s="11" t="s">
        <v>320</v>
      </c>
      <c r="IP364" s="11" t="s">
        <v>320</v>
      </c>
      <c r="IQ364" s="12" t="str">
        <f t="shared" si="218"/>
        <v>3. Responsive</v>
      </c>
      <c r="IR364" s="12">
        <f t="shared" si="219"/>
        <v>3</v>
      </c>
      <c r="IS364" s="11" t="s">
        <v>622</v>
      </c>
      <c r="IT364" s="11" t="s">
        <v>320</v>
      </c>
      <c r="IU364" s="11" t="s">
        <v>320</v>
      </c>
      <c r="IV364" s="11" t="s">
        <v>320</v>
      </c>
      <c r="IW364" s="11" t="str">
        <f t="shared" si="220"/>
        <v>4. Transformative</v>
      </c>
      <c r="IX364" s="12">
        <f t="shared" si="221"/>
        <v>3</v>
      </c>
      <c r="IY364" s="11" t="s">
        <v>338</v>
      </c>
      <c r="IZ364" s="11" t="s">
        <v>432</v>
      </c>
      <c r="JA364" s="11">
        <v>3</v>
      </c>
      <c r="JB364" s="11" t="s">
        <v>433</v>
      </c>
      <c r="JC364" s="11" t="s">
        <v>623</v>
      </c>
      <c r="JD364" s="11" t="s">
        <v>623</v>
      </c>
      <c r="JE364" s="11" t="s">
        <v>420</v>
      </c>
      <c r="JH364" s="11" t="s">
        <v>6445</v>
      </c>
      <c r="JI364" s="11" t="s">
        <v>6446</v>
      </c>
      <c r="JK364" s="11" t="s">
        <v>6324</v>
      </c>
      <c r="JL364" s="11" t="s">
        <v>6325</v>
      </c>
      <c r="JM364" s="11" t="s">
        <v>6447</v>
      </c>
      <c r="JO364" s="11" t="s">
        <v>1519</v>
      </c>
      <c r="JP364" s="15">
        <f t="shared" si="222"/>
        <v>3146</v>
      </c>
      <c r="JQ364" s="15">
        <f t="shared" si="223"/>
        <v>15730</v>
      </c>
      <c r="JR364" s="279">
        <f t="shared" si="224"/>
        <v>5</v>
      </c>
      <c r="JS364" s="17">
        <f t="shared" si="225"/>
        <v>0.600127145581691</v>
      </c>
      <c r="JT364" s="18">
        <f t="shared" si="226"/>
        <v>0.6</v>
      </c>
      <c r="JU364" s="280">
        <f t="shared" si="227"/>
        <v>1888</v>
      </c>
      <c r="JV364" s="280">
        <f t="shared" si="228"/>
        <v>9438</v>
      </c>
      <c r="JW364" s="319">
        <f t="shared" si="229"/>
        <v>1</v>
      </c>
      <c r="JX364" s="15">
        <f t="shared" si="230"/>
        <v>3146</v>
      </c>
      <c r="JY364" s="15">
        <f t="shared" si="231"/>
        <v>15730</v>
      </c>
      <c r="JZ364" s="19">
        <f t="shared" si="232"/>
        <v>5</v>
      </c>
      <c r="KA364" s="52">
        <f t="shared" si="233"/>
        <v>1</v>
      </c>
      <c r="KB364" s="15">
        <f t="shared" si="234"/>
        <v>1310</v>
      </c>
      <c r="KC364" s="15">
        <f t="shared" si="235"/>
        <v>6550</v>
      </c>
      <c r="KD364" s="20">
        <f t="shared" si="236"/>
        <v>5</v>
      </c>
      <c r="KE364" s="52" t="str">
        <f t="shared" si="237"/>
        <v/>
      </c>
      <c r="KF364" s="15">
        <f t="shared" si="238"/>
        <v>0</v>
      </c>
      <c r="KG364" s="15">
        <f t="shared" si="239"/>
        <v>0</v>
      </c>
      <c r="KH364" s="21" t="str">
        <f t="shared" si="240"/>
        <v/>
      </c>
      <c r="KI364" s="52" t="str">
        <f t="shared" si="241"/>
        <v/>
      </c>
      <c r="KJ364" s="15">
        <f t="shared" si="242"/>
        <v>0</v>
      </c>
      <c r="KK364" s="15">
        <f t="shared" si="243"/>
        <v>0</v>
      </c>
      <c r="KL364" s="19" t="str">
        <f t="shared" si="244"/>
        <v/>
      </c>
      <c r="KM364" s="52" t="str">
        <f t="shared" si="245"/>
        <v/>
      </c>
      <c r="KN364" s="22">
        <f t="shared" si="246"/>
        <v>0</v>
      </c>
      <c r="KO364" s="22">
        <f t="shared" si="247"/>
        <v>0</v>
      </c>
      <c r="KP364" s="19" t="str">
        <f t="shared" si="248"/>
        <v/>
      </c>
      <c r="KQ364" s="11" t="str">
        <f t="shared" si="249"/>
        <v>4. Transformative</v>
      </c>
      <c r="KR364" s="11" t="str">
        <f t="shared" si="250"/>
        <v>3. Responsive</v>
      </c>
      <c r="KS364" s="11" t="str">
        <f t="shared" si="251"/>
        <v>4. Transformative</v>
      </c>
      <c r="KT364" s="11" t="str">
        <f t="shared" si="252"/>
        <v>It did not develop any specific innovation</v>
      </c>
      <c r="KU364" s="11" t="str">
        <f t="shared" si="253"/>
        <v>Moderate advocacy</v>
      </c>
      <c r="KV364" s="11" t="str">
        <f t="shared" si="254"/>
        <v>It linked and worked with strategic alliances and partners to take tested and effective solutions to scale</v>
      </c>
      <c r="KW364" s="11" t="str">
        <f t="shared" si="255"/>
        <v>Jordan - UNHCR Assistance to Syrian, non –Syrian Persons of Concern (PoC) and host community members in Azraq camp and urban areas of Jordan</v>
      </c>
      <c r="KX364" s="11" t="str">
        <f t="shared" si="256"/>
        <v>UNHCR Assistance to Syrian, non –Syrian Persons of Concern (PoC) and host community members in Azraq camp and urban areas of Jordan</v>
      </c>
      <c r="KY364" s="11" t="str">
        <f t="shared" si="257"/>
        <v>Jordan</v>
      </c>
      <c r="KZ364" s="12">
        <v>364</v>
      </c>
    </row>
    <row r="365" spans="1:312" x14ac:dyDescent="0.3">
      <c r="A365" s="11" t="s">
        <v>6105</v>
      </c>
      <c r="B365" s="11" t="s">
        <v>602</v>
      </c>
      <c r="D365" s="11" t="s">
        <v>6439</v>
      </c>
      <c r="E365" s="24" t="str">
        <f t="shared" si="215"/>
        <v>Jordan</v>
      </c>
      <c r="F365" s="11" t="s">
        <v>6448</v>
      </c>
      <c r="G365" s="11" t="s">
        <v>379</v>
      </c>
      <c r="H365" s="11" t="s">
        <v>380</v>
      </c>
      <c r="I365" s="11" t="s">
        <v>381</v>
      </c>
      <c r="J365" s="278" t="s">
        <v>11578</v>
      </c>
      <c r="BD365" s="23">
        <v>42736</v>
      </c>
      <c r="BE365" s="23">
        <v>43100</v>
      </c>
      <c r="BG365" s="11" t="s">
        <v>817</v>
      </c>
      <c r="BH365" s="22">
        <v>2402557</v>
      </c>
      <c r="BI365" s="11" t="s">
        <v>6314</v>
      </c>
      <c r="BJ365" s="11" t="s">
        <v>6315</v>
      </c>
      <c r="BK365" s="11" t="s">
        <v>6316</v>
      </c>
      <c r="BO365" s="11" t="s">
        <v>320</v>
      </c>
      <c r="BP365" s="11" t="s">
        <v>320</v>
      </c>
      <c r="BQ365" s="12" t="s">
        <v>320</v>
      </c>
      <c r="BR365" s="11" t="s">
        <v>6449</v>
      </c>
      <c r="BS365" s="11" t="s">
        <v>322</v>
      </c>
      <c r="BT365" s="11" t="s">
        <v>6450</v>
      </c>
      <c r="BU365" s="11" t="s">
        <v>6451</v>
      </c>
      <c r="BV365" s="22">
        <v>3375</v>
      </c>
      <c r="BW365" s="22">
        <v>3375</v>
      </c>
      <c r="BX365" s="22">
        <v>6750</v>
      </c>
      <c r="BY365" s="22">
        <v>16875</v>
      </c>
      <c r="BZ365" s="22">
        <v>16875</v>
      </c>
      <c r="CA365" s="22">
        <v>33750</v>
      </c>
      <c r="CB365" s="15" t="s">
        <v>6452</v>
      </c>
      <c r="CD365" s="22">
        <v>1603</v>
      </c>
      <c r="CE365" s="22">
        <v>2384</v>
      </c>
      <c r="CF365" s="22">
        <v>3987</v>
      </c>
      <c r="CG365" s="22">
        <v>7518</v>
      </c>
      <c r="CH365" s="22">
        <v>12424</v>
      </c>
      <c r="CI365" s="22">
        <v>19942</v>
      </c>
      <c r="CJ365" s="11" t="s">
        <v>320</v>
      </c>
      <c r="CK365" s="22">
        <v>3987</v>
      </c>
      <c r="CL365" s="18">
        <v>0.4</v>
      </c>
      <c r="CM365" s="22">
        <v>19942</v>
      </c>
      <c r="CN365" s="11" t="s">
        <v>319</v>
      </c>
      <c r="CP365" s="18"/>
      <c r="CR365" s="11" t="s">
        <v>320</v>
      </c>
      <c r="CS365" s="22">
        <v>150</v>
      </c>
      <c r="CT365" s="18">
        <v>0.5</v>
      </c>
      <c r="CU365" s="22">
        <v>750</v>
      </c>
      <c r="CV365" s="11" t="s">
        <v>319</v>
      </c>
      <c r="CX365" s="18"/>
      <c r="CZ365" s="11" t="s">
        <v>319</v>
      </c>
      <c r="DB365" s="18"/>
      <c r="DD365" s="11" t="s">
        <v>319</v>
      </c>
      <c r="DF365" s="18"/>
      <c r="DH365" s="11" t="s">
        <v>319</v>
      </c>
      <c r="DJ365" s="18"/>
      <c r="DL365" s="11" t="s">
        <v>320</v>
      </c>
      <c r="DM365" s="22">
        <v>702</v>
      </c>
      <c r="DN365" s="18">
        <v>0.7</v>
      </c>
      <c r="DO365" s="22">
        <v>3510</v>
      </c>
      <c r="DP365" s="12" t="s">
        <v>320</v>
      </c>
      <c r="DQ365" s="22">
        <v>3987</v>
      </c>
      <c r="DR365" s="18">
        <v>0.4</v>
      </c>
      <c r="DS365" s="22">
        <v>19942</v>
      </c>
      <c r="DT365" s="11" t="s">
        <v>319</v>
      </c>
      <c r="DV365" s="18"/>
      <c r="DX365" s="11" t="s">
        <v>319</v>
      </c>
      <c r="DZ365" s="18"/>
      <c r="EB365" s="11" t="s">
        <v>319</v>
      </c>
      <c r="ED365" s="18"/>
      <c r="EG365" s="15" t="s">
        <v>319</v>
      </c>
      <c r="EI365" s="18"/>
      <c r="EQ365" s="12" t="s">
        <v>319</v>
      </c>
      <c r="ES365" s="18"/>
      <c r="EU365" s="11" t="s">
        <v>319</v>
      </c>
      <c r="EW365" s="18"/>
      <c r="EY365" s="12" t="s">
        <v>319</v>
      </c>
      <c r="FA365" s="18"/>
      <c r="FC365" s="12" t="s">
        <v>319</v>
      </c>
      <c r="FE365" s="18"/>
      <c r="FG365" s="12" t="s">
        <v>319</v>
      </c>
      <c r="FI365" s="18"/>
      <c r="FK365" s="11" t="s">
        <v>319</v>
      </c>
      <c r="FM365" s="18"/>
      <c r="FO365" s="11" t="s">
        <v>319</v>
      </c>
      <c r="FQ365" s="18"/>
      <c r="FS365" s="11" t="s">
        <v>319</v>
      </c>
      <c r="FU365" s="18"/>
      <c r="FW365" s="11" t="s">
        <v>319</v>
      </c>
      <c r="FY365" s="18"/>
      <c r="GA365" s="11" t="s">
        <v>319</v>
      </c>
      <c r="GC365" s="18"/>
      <c r="GE365" s="11" t="s">
        <v>319</v>
      </c>
      <c r="GG365" s="18"/>
      <c r="GI365" s="11" t="s">
        <v>319</v>
      </c>
      <c r="GK365" s="18"/>
      <c r="GM365" s="11" t="s">
        <v>319</v>
      </c>
      <c r="GO365" s="18"/>
      <c r="GQ365" s="11" t="s">
        <v>319</v>
      </c>
      <c r="GS365" s="18"/>
      <c r="GU365" s="11" t="s">
        <v>319</v>
      </c>
      <c r="GW365" s="18"/>
      <c r="GY365" s="11" t="s">
        <v>319</v>
      </c>
      <c r="HA365" s="18"/>
      <c r="HD365" s="11" t="s">
        <v>319</v>
      </c>
      <c r="HF365" s="18"/>
      <c r="HH365" s="11" t="s">
        <v>319</v>
      </c>
      <c r="HK365" s="11" t="s">
        <v>319</v>
      </c>
      <c r="HL365" s="11" t="s">
        <v>320</v>
      </c>
      <c r="HM365" s="11" t="s">
        <v>522</v>
      </c>
      <c r="HN365" s="11">
        <v>2017</v>
      </c>
      <c r="HP365" s="11" t="s">
        <v>330</v>
      </c>
      <c r="HQ365" s="11" t="s">
        <v>319</v>
      </c>
      <c r="HR365" s="11" t="s">
        <v>319</v>
      </c>
      <c r="HS365" s="11" t="s">
        <v>320</v>
      </c>
      <c r="HT365" s="11" t="s">
        <v>320</v>
      </c>
      <c r="HU365" s="11" t="s">
        <v>319</v>
      </c>
      <c r="HV365" s="11" t="s">
        <v>319</v>
      </c>
      <c r="HW365" s="11" t="s">
        <v>319</v>
      </c>
      <c r="HX365" s="11" t="s">
        <v>320</v>
      </c>
      <c r="HY365" s="11" t="s">
        <v>6321</v>
      </c>
      <c r="HZ365" s="11" t="s">
        <v>363</v>
      </c>
      <c r="IB365" s="11" t="s">
        <v>396</v>
      </c>
      <c r="ID365" s="11" t="s">
        <v>334</v>
      </c>
      <c r="IE365" s="11" t="s">
        <v>478</v>
      </c>
      <c r="IF365" s="11" t="s">
        <v>320</v>
      </c>
      <c r="IG365" s="11" t="s">
        <v>320</v>
      </c>
      <c r="IH365" s="11" t="s">
        <v>320</v>
      </c>
      <c r="II365" s="11" t="s">
        <v>320</v>
      </c>
      <c r="IJ365" s="12" t="str">
        <f t="shared" si="216"/>
        <v>4. Transformative</v>
      </c>
      <c r="IK365" s="12">
        <f t="shared" si="217"/>
        <v>4</v>
      </c>
      <c r="IL365" s="11" t="s">
        <v>621</v>
      </c>
      <c r="IM365" s="11" t="s">
        <v>319</v>
      </c>
      <c r="IN365" s="11" t="s">
        <v>320</v>
      </c>
      <c r="IO365" s="11" t="s">
        <v>320</v>
      </c>
      <c r="IP365" s="11" t="s">
        <v>320</v>
      </c>
      <c r="IQ365" s="12" t="str">
        <f t="shared" si="218"/>
        <v>3. Responsive</v>
      </c>
      <c r="IR365" s="12">
        <f t="shared" si="219"/>
        <v>3</v>
      </c>
      <c r="IS365" s="11" t="s">
        <v>622</v>
      </c>
      <c r="IT365" s="11" t="s">
        <v>320</v>
      </c>
      <c r="IU365" s="11" t="s">
        <v>320</v>
      </c>
      <c r="IV365" s="11" t="s">
        <v>320</v>
      </c>
      <c r="IW365" s="11" t="str">
        <f t="shared" si="220"/>
        <v>4. Transformative</v>
      </c>
      <c r="IX365" s="12">
        <f t="shared" si="221"/>
        <v>3</v>
      </c>
      <c r="IY365" s="11" t="s">
        <v>338</v>
      </c>
      <c r="IZ365" s="11" t="s">
        <v>432</v>
      </c>
      <c r="JA365" s="11">
        <v>3</v>
      </c>
      <c r="JB365" s="11" t="s">
        <v>433</v>
      </c>
      <c r="JC365" s="11" t="s">
        <v>623</v>
      </c>
      <c r="JD365" s="11" t="s">
        <v>623</v>
      </c>
      <c r="JE365" s="11" t="s">
        <v>340</v>
      </c>
      <c r="JF365" s="11" t="s">
        <v>6453</v>
      </c>
      <c r="JH365" s="11" t="s">
        <v>6445</v>
      </c>
      <c r="JI365" s="11" t="s">
        <v>6446</v>
      </c>
      <c r="JJ365" s="11" t="s">
        <v>6454</v>
      </c>
      <c r="JK365" s="11" t="s">
        <v>6455</v>
      </c>
      <c r="JL365" s="11" t="s">
        <v>6325</v>
      </c>
      <c r="JM365" s="11" t="s">
        <v>6326</v>
      </c>
      <c r="JO365" s="11" t="s">
        <v>6456</v>
      </c>
      <c r="JP365" s="15">
        <f t="shared" si="222"/>
        <v>3987</v>
      </c>
      <c r="JQ365" s="15">
        <f t="shared" si="223"/>
        <v>19942</v>
      </c>
      <c r="JR365" s="279">
        <f t="shared" si="224"/>
        <v>5.0017557060446451</v>
      </c>
      <c r="JS365" s="17">
        <f t="shared" si="225"/>
        <v>0.40205668422372709</v>
      </c>
      <c r="JT365" s="18">
        <f t="shared" si="226"/>
        <v>0.37699328051348913</v>
      </c>
      <c r="JU365" s="280">
        <f t="shared" si="227"/>
        <v>1603</v>
      </c>
      <c r="JV365" s="280">
        <f t="shared" si="228"/>
        <v>7518</v>
      </c>
      <c r="JW365" s="319">
        <f t="shared" si="229"/>
        <v>1</v>
      </c>
      <c r="JX365" s="15">
        <f t="shared" si="230"/>
        <v>3987</v>
      </c>
      <c r="JY365" s="15">
        <f t="shared" si="231"/>
        <v>19942</v>
      </c>
      <c r="JZ365" s="19">
        <f t="shared" si="232"/>
        <v>5.0017557060446451</v>
      </c>
      <c r="KA365" s="52">
        <f t="shared" si="233"/>
        <v>1</v>
      </c>
      <c r="KB365" s="15">
        <f t="shared" si="234"/>
        <v>702</v>
      </c>
      <c r="KC365" s="15">
        <f t="shared" si="235"/>
        <v>3510</v>
      </c>
      <c r="KD365" s="20">
        <f t="shared" si="236"/>
        <v>5</v>
      </c>
      <c r="KE365" s="52" t="str">
        <f t="shared" si="237"/>
        <v/>
      </c>
      <c r="KF365" s="15">
        <f t="shared" si="238"/>
        <v>0</v>
      </c>
      <c r="KG365" s="15">
        <f t="shared" si="239"/>
        <v>0</v>
      </c>
      <c r="KH365" s="21" t="str">
        <f t="shared" si="240"/>
        <v/>
      </c>
      <c r="KI365" s="52" t="str">
        <f t="shared" si="241"/>
        <v/>
      </c>
      <c r="KJ365" s="15">
        <f t="shared" si="242"/>
        <v>0</v>
      </c>
      <c r="KK365" s="15">
        <f t="shared" si="243"/>
        <v>0</v>
      </c>
      <c r="KL365" s="19" t="str">
        <f t="shared" si="244"/>
        <v/>
      </c>
      <c r="KM365" s="52" t="str">
        <f t="shared" si="245"/>
        <v/>
      </c>
      <c r="KN365" s="22">
        <f t="shared" si="246"/>
        <v>0</v>
      </c>
      <c r="KO365" s="22">
        <f t="shared" si="247"/>
        <v>0</v>
      </c>
      <c r="KP365" s="19" t="str">
        <f t="shared" si="248"/>
        <v/>
      </c>
      <c r="KQ365" s="11" t="str">
        <f t="shared" si="249"/>
        <v>4. Transformative</v>
      </c>
      <c r="KR365" s="11" t="str">
        <f t="shared" si="250"/>
        <v>3. Responsive</v>
      </c>
      <c r="KS365" s="11" t="str">
        <f t="shared" si="251"/>
        <v>4. Transformative</v>
      </c>
      <c r="KT365" s="11" t="str">
        <f t="shared" si="252"/>
        <v>It did not develop any specific innovation</v>
      </c>
      <c r="KU365" s="11" t="str">
        <f t="shared" si="253"/>
        <v>Moderate advocacy</v>
      </c>
      <c r="KV365" s="11" t="str">
        <f t="shared" si="254"/>
        <v>It linked and worked with strategic alliances and partners to take tested and effective solutions to scale</v>
      </c>
      <c r="KW365" s="11" t="str">
        <f t="shared" si="255"/>
        <v>Jordan - UNHCR Assistance to Syrian, non –Syrian Persons of Concern (PoC) and host community members in Azraq camp and urban areas of Jordan</v>
      </c>
      <c r="KX365" s="11" t="str">
        <f t="shared" si="256"/>
        <v>UNHCR Assistance to Syrian, non –Syrian Persons of Concern (PoC) and host community members in Azraq camp and urban areas of Jordan</v>
      </c>
      <c r="KY365" s="11" t="str">
        <f t="shared" si="257"/>
        <v>Jordan</v>
      </c>
      <c r="KZ365" s="12">
        <v>365</v>
      </c>
    </row>
    <row r="366" spans="1:312" x14ac:dyDescent="0.3">
      <c r="A366" s="11" t="s">
        <v>6105</v>
      </c>
      <c r="B366" s="11" t="s">
        <v>602</v>
      </c>
      <c r="D366" s="11" t="s">
        <v>6201</v>
      </c>
      <c r="E366" s="24" t="str">
        <f t="shared" si="215"/>
        <v>Jordan</v>
      </c>
      <c r="F366" s="11" t="s">
        <v>6202</v>
      </c>
      <c r="G366" s="11" t="s">
        <v>1738</v>
      </c>
      <c r="H366" s="11" t="s">
        <v>310</v>
      </c>
      <c r="I366" s="11" t="s">
        <v>2595</v>
      </c>
      <c r="J366" s="278" t="s">
        <v>6203</v>
      </c>
      <c r="BD366" s="23">
        <v>42593</v>
      </c>
      <c r="BE366" s="23">
        <v>42794</v>
      </c>
      <c r="BG366" s="11" t="s">
        <v>817</v>
      </c>
      <c r="BH366" s="22">
        <v>72746</v>
      </c>
      <c r="BI366" s="11" t="s">
        <v>6128</v>
      </c>
      <c r="BJ366" s="11" t="s">
        <v>6204</v>
      </c>
      <c r="BK366" s="11" t="s">
        <v>6130</v>
      </c>
      <c r="BO366" s="11" t="s">
        <v>320</v>
      </c>
      <c r="BP366" s="11" t="s">
        <v>320</v>
      </c>
      <c r="BQ366" s="11" t="s">
        <v>320</v>
      </c>
      <c r="BR366" s="11" t="s">
        <v>6205</v>
      </c>
      <c r="BS366" s="11" t="s">
        <v>322</v>
      </c>
      <c r="BT366" s="11" t="s">
        <v>6206</v>
      </c>
      <c r="BU366" s="11" t="s">
        <v>6207</v>
      </c>
      <c r="BV366" s="22">
        <v>79</v>
      </c>
      <c r="BW366" s="22">
        <v>56</v>
      </c>
      <c r="BX366" s="22">
        <v>135</v>
      </c>
      <c r="BY366" s="22">
        <v>292</v>
      </c>
      <c r="BZ366" s="22">
        <v>184</v>
      </c>
      <c r="CA366" s="22">
        <v>476</v>
      </c>
      <c r="CB366" s="15" t="s">
        <v>6208</v>
      </c>
      <c r="CD366" s="22">
        <v>79</v>
      </c>
      <c r="CE366" s="22">
        <v>56</v>
      </c>
      <c r="CF366" s="22">
        <v>135</v>
      </c>
      <c r="CG366" s="22">
        <v>292</v>
      </c>
      <c r="CH366" s="22">
        <v>184</v>
      </c>
      <c r="CI366" s="22">
        <v>476</v>
      </c>
      <c r="CJ366" s="11" t="s">
        <v>319</v>
      </c>
      <c r="CL366" s="18"/>
      <c r="CN366" s="11" t="s">
        <v>319</v>
      </c>
      <c r="CP366" s="18"/>
      <c r="CR366" s="11" t="s">
        <v>319</v>
      </c>
      <c r="CT366" s="18"/>
      <c r="CV366" s="11" t="s">
        <v>319</v>
      </c>
      <c r="CX366" s="18"/>
      <c r="CZ366" s="11" t="s">
        <v>319</v>
      </c>
      <c r="DB366" s="18"/>
      <c r="DD366" s="11" t="s">
        <v>319</v>
      </c>
      <c r="DF366" s="18"/>
      <c r="DH366" s="11" t="s">
        <v>319</v>
      </c>
      <c r="DJ366" s="18"/>
      <c r="DL366" s="11" t="s">
        <v>319</v>
      </c>
      <c r="DN366" s="18"/>
      <c r="DP366" s="12" t="s">
        <v>320</v>
      </c>
      <c r="DQ366" s="22">
        <v>135</v>
      </c>
      <c r="DR366" s="18">
        <v>0.57999999999999996</v>
      </c>
      <c r="DS366" s="22">
        <v>476</v>
      </c>
      <c r="DT366" s="12" t="s">
        <v>319</v>
      </c>
      <c r="DV366" s="18"/>
      <c r="DX366" s="12" t="s">
        <v>319</v>
      </c>
      <c r="DZ366" s="18"/>
      <c r="EB366" s="11" t="s">
        <v>319</v>
      </c>
      <c r="ED366" s="18"/>
      <c r="EG366" s="15" t="s">
        <v>319</v>
      </c>
      <c r="EI366" s="18"/>
      <c r="EK366" s="22">
        <v>79</v>
      </c>
      <c r="EL366" s="22">
        <v>56</v>
      </c>
      <c r="EM366" s="22">
        <v>135</v>
      </c>
      <c r="EN366" s="22">
        <v>292</v>
      </c>
      <c r="EO366" s="22">
        <v>184</v>
      </c>
      <c r="EP366" s="22">
        <v>476</v>
      </c>
      <c r="EQ366" s="12" t="s">
        <v>319</v>
      </c>
      <c r="ES366" s="18"/>
      <c r="EU366" s="11" t="s">
        <v>319</v>
      </c>
      <c r="EW366" s="18"/>
      <c r="EY366" s="12" t="s">
        <v>319</v>
      </c>
      <c r="FA366" s="18"/>
      <c r="FC366" s="12" t="s">
        <v>319</v>
      </c>
      <c r="FE366" s="18"/>
      <c r="FG366" s="12" t="s">
        <v>320</v>
      </c>
      <c r="FH366" s="22">
        <v>135</v>
      </c>
      <c r="FI366" s="18">
        <v>0.57999999999999996</v>
      </c>
      <c r="FJ366" s="22">
        <v>476</v>
      </c>
      <c r="FK366" s="11" t="s">
        <v>319</v>
      </c>
      <c r="FM366" s="18"/>
      <c r="FO366" s="11" t="s">
        <v>319</v>
      </c>
      <c r="FQ366" s="18"/>
      <c r="FS366" s="11" t="s">
        <v>319</v>
      </c>
      <c r="FU366" s="18"/>
      <c r="FW366" s="11" t="s">
        <v>319</v>
      </c>
      <c r="FY366" s="18"/>
      <c r="GA366" s="11" t="s">
        <v>319</v>
      </c>
      <c r="GC366" s="18"/>
      <c r="GE366" s="11" t="s">
        <v>319</v>
      </c>
      <c r="GG366" s="18"/>
      <c r="GI366" s="11" t="s">
        <v>319</v>
      </c>
      <c r="GK366" s="18"/>
      <c r="GM366" s="11" t="s">
        <v>319</v>
      </c>
      <c r="GO366" s="18"/>
      <c r="GQ366" s="11" t="s">
        <v>319</v>
      </c>
      <c r="GS366" s="18"/>
      <c r="GU366" s="11" t="s">
        <v>319</v>
      </c>
      <c r="GW366" s="18"/>
      <c r="GY366" s="11" t="s">
        <v>319</v>
      </c>
      <c r="HA366" s="18"/>
      <c r="HD366" s="11" t="s">
        <v>319</v>
      </c>
      <c r="HF366" s="18"/>
      <c r="HH366" s="11" t="s">
        <v>319</v>
      </c>
      <c r="HK366" s="11" t="s">
        <v>319</v>
      </c>
      <c r="HL366" s="11" t="s">
        <v>319</v>
      </c>
      <c r="HO366" s="11" t="s">
        <v>6209</v>
      </c>
      <c r="HP366" s="11" t="s">
        <v>418</v>
      </c>
      <c r="HQ366" s="11" t="s">
        <v>319</v>
      </c>
      <c r="HR366" s="11" t="s">
        <v>319</v>
      </c>
      <c r="HS366" s="11" t="s">
        <v>320</v>
      </c>
      <c r="HT366" s="11" t="s">
        <v>320</v>
      </c>
      <c r="HU366" s="11" t="s">
        <v>319</v>
      </c>
      <c r="HV366" s="11" t="s">
        <v>319</v>
      </c>
      <c r="HW366" s="11" t="s">
        <v>320</v>
      </c>
      <c r="HY366" s="11" t="s">
        <v>6210</v>
      </c>
      <c r="HZ366" s="11" t="s">
        <v>394</v>
      </c>
      <c r="IA366" s="11" t="s">
        <v>6211</v>
      </c>
      <c r="IB366" s="11" t="s">
        <v>396</v>
      </c>
      <c r="IC366" s="11" t="s">
        <v>6212</v>
      </c>
      <c r="ID366" s="11" t="s">
        <v>334</v>
      </c>
      <c r="IE366" s="11" t="s">
        <v>478</v>
      </c>
      <c r="IF366" s="11" t="s">
        <v>320</v>
      </c>
      <c r="IG366" s="11" t="s">
        <v>320</v>
      </c>
      <c r="IH366" s="11" t="s">
        <v>320</v>
      </c>
      <c r="II366" s="11" t="s">
        <v>320</v>
      </c>
      <c r="IJ366" s="12" t="str">
        <f t="shared" si="216"/>
        <v>4. Transformative</v>
      </c>
      <c r="IK366" s="12">
        <f t="shared" si="217"/>
        <v>4</v>
      </c>
      <c r="IL366" s="11" t="s">
        <v>336</v>
      </c>
      <c r="IM366" s="11" t="s">
        <v>320</v>
      </c>
      <c r="IN366" s="11" t="s">
        <v>319</v>
      </c>
      <c r="IO366" s="11" t="s">
        <v>320</v>
      </c>
      <c r="IP366" s="11" t="s">
        <v>320</v>
      </c>
      <c r="IQ366" s="12" t="str">
        <f t="shared" si="218"/>
        <v>2. Accommodating</v>
      </c>
      <c r="IR366" s="12">
        <f t="shared" si="219"/>
        <v>3</v>
      </c>
      <c r="IS366" s="11" t="s">
        <v>622</v>
      </c>
      <c r="IT366" s="11" t="s">
        <v>320</v>
      </c>
      <c r="IU366" s="11" t="s">
        <v>320</v>
      </c>
      <c r="IV366" s="11" t="s">
        <v>320</v>
      </c>
      <c r="IW366" s="11" t="str">
        <f t="shared" si="220"/>
        <v>4. Transformative</v>
      </c>
      <c r="IX366" s="12">
        <f t="shared" si="221"/>
        <v>3</v>
      </c>
      <c r="IY366" s="11" t="s">
        <v>338</v>
      </c>
      <c r="IZ366" s="11" t="s">
        <v>457</v>
      </c>
      <c r="JA366" s="11">
        <v>3</v>
      </c>
      <c r="JB366" s="11" t="s">
        <v>433</v>
      </c>
      <c r="JE366" s="11" t="s">
        <v>365</v>
      </c>
      <c r="JF366" s="11" t="s">
        <v>6213</v>
      </c>
      <c r="JH366" s="11" t="s">
        <v>6214</v>
      </c>
      <c r="JI366" s="11" t="s">
        <v>6215</v>
      </c>
      <c r="JJ366" s="11" t="s">
        <v>6140</v>
      </c>
      <c r="JK366" s="11" t="s">
        <v>6216</v>
      </c>
      <c r="JL366" s="11" t="s">
        <v>6217</v>
      </c>
      <c r="JM366" s="11" t="s">
        <v>6218</v>
      </c>
      <c r="JO366" s="11" t="s">
        <v>6219</v>
      </c>
      <c r="JP366" s="15">
        <f t="shared" si="222"/>
        <v>135</v>
      </c>
      <c r="JQ366" s="15">
        <f t="shared" si="223"/>
        <v>476</v>
      </c>
      <c r="JR366" s="279">
        <f t="shared" si="224"/>
        <v>3.5259259259259261</v>
      </c>
      <c r="JS366" s="17">
        <f t="shared" si="225"/>
        <v>0.58518518518518514</v>
      </c>
      <c r="JT366" s="18">
        <f t="shared" si="226"/>
        <v>0.61344537815126055</v>
      </c>
      <c r="JU366" s="280">
        <f t="shared" si="227"/>
        <v>79</v>
      </c>
      <c r="JV366" s="280">
        <f t="shared" si="228"/>
        <v>292</v>
      </c>
      <c r="JW366" s="319">
        <f t="shared" si="229"/>
        <v>1</v>
      </c>
      <c r="JX366" s="15">
        <f t="shared" si="230"/>
        <v>135</v>
      </c>
      <c r="JY366" s="15">
        <f t="shared" si="231"/>
        <v>476</v>
      </c>
      <c r="JZ366" s="19">
        <f t="shared" si="232"/>
        <v>3.5259259259259261</v>
      </c>
      <c r="KA366" s="52">
        <f t="shared" si="233"/>
        <v>1</v>
      </c>
      <c r="KB366" s="15">
        <f t="shared" si="234"/>
        <v>135</v>
      </c>
      <c r="KC366" s="15">
        <f t="shared" si="235"/>
        <v>476</v>
      </c>
      <c r="KD366" s="20">
        <f t="shared" si="236"/>
        <v>3.5259259259259261</v>
      </c>
      <c r="KE366" s="52" t="str">
        <f t="shared" si="237"/>
        <v/>
      </c>
      <c r="KF366" s="15">
        <f t="shared" si="238"/>
        <v>0</v>
      </c>
      <c r="KG366" s="15">
        <f t="shared" si="239"/>
        <v>0</v>
      </c>
      <c r="KH366" s="21" t="str">
        <f t="shared" si="240"/>
        <v/>
      </c>
      <c r="KI366" s="52" t="str">
        <f t="shared" si="241"/>
        <v/>
      </c>
      <c r="KJ366" s="15">
        <f t="shared" si="242"/>
        <v>0</v>
      </c>
      <c r="KK366" s="15">
        <f t="shared" si="243"/>
        <v>0</v>
      </c>
      <c r="KL366" s="19" t="str">
        <f t="shared" si="244"/>
        <v/>
      </c>
      <c r="KM366" s="52">
        <f t="shared" si="245"/>
        <v>1</v>
      </c>
      <c r="KN366" s="22">
        <f t="shared" si="246"/>
        <v>78.3</v>
      </c>
      <c r="KO366" s="22">
        <f t="shared" si="247"/>
        <v>276.08</v>
      </c>
      <c r="KP366" s="19">
        <f t="shared" si="248"/>
        <v>3.5259259259259257</v>
      </c>
      <c r="KQ366" s="11" t="str">
        <f t="shared" si="249"/>
        <v>4. Transformative</v>
      </c>
      <c r="KR366" s="11" t="str">
        <f t="shared" si="250"/>
        <v>2. Accommodating</v>
      </c>
      <c r="KS366" s="11" t="str">
        <f t="shared" si="251"/>
        <v>4. Transformative</v>
      </c>
      <c r="KT366" s="11" t="str">
        <f t="shared" si="252"/>
        <v>It tested new ways for fighting poverty, but did not measure results of innovation</v>
      </c>
      <c r="KU366" s="11" t="str">
        <f t="shared" si="253"/>
        <v>Little or no advocacy</v>
      </c>
      <c r="KV366" s="11" t="str">
        <f t="shared" si="254"/>
        <v>It linked and worked with strategic alliances and partners to take tested and effective solutions to scale</v>
      </c>
      <c r="KW366" s="11" t="str">
        <f t="shared" si="255"/>
        <v>Jordan - Vocational Training for Vulnerable Jordanians and Syrian Refugees in Jordan</v>
      </c>
      <c r="KX366" s="11" t="str">
        <f t="shared" si="256"/>
        <v>Vocational Training for Vulnerable Jordanians and Syrian Refugees in Jordan</v>
      </c>
      <c r="KY366" s="11" t="str">
        <f t="shared" si="257"/>
        <v>Jordan</v>
      </c>
      <c r="KZ366" s="12">
        <v>366</v>
      </c>
    </row>
    <row r="367" spans="1:312" x14ac:dyDescent="0.3">
      <c r="A367" s="11" t="s">
        <v>6457</v>
      </c>
      <c r="B367" s="11" t="s">
        <v>1874</v>
      </c>
      <c r="D367" s="11" t="s">
        <v>6552</v>
      </c>
      <c r="E367" s="24" t="str">
        <f t="shared" si="215"/>
        <v>Kenya</v>
      </c>
      <c r="F367" s="11" t="s">
        <v>6553</v>
      </c>
      <c r="G367" s="11" t="s">
        <v>1853</v>
      </c>
      <c r="H367" s="11" t="s">
        <v>310</v>
      </c>
      <c r="I367" s="11" t="s">
        <v>506</v>
      </c>
      <c r="J367" s="278" t="s">
        <v>14679</v>
      </c>
      <c r="BD367" s="23">
        <v>42156</v>
      </c>
      <c r="BE367" s="23">
        <v>42916</v>
      </c>
      <c r="BG367" s="11" t="s">
        <v>749</v>
      </c>
      <c r="BH367" s="22">
        <v>868611</v>
      </c>
      <c r="BI367" s="11" t="s">
        <v>6554</v>
      </c>
      <c r="BJ367" s="11" t="s">
        <v>6555</v>
      </c>
      <c r="BK367" s="11" t="s">
        <v>6556</v>
      </c>
      <c r="BL367" s="11" t="s">
        <v>6557</v>
      </c>
      <c r="BM367" s="11" t="s">
        <v>6558</v>
      </c>
      <c r="BN367" s="11" t="s">
        <v>6559</v>
      </c>
      <c r="BO367" s="12" t="s">
        <v>319</v>
      </c>
      <c r="BP367" s="12" t="s">
        <v>320</v>
      </c>
      <c r="BQ367" s="12" t="s">
        <v>319</v>
      </c>
      <c r="BR367" s="11" t="s">
        <v>6560</v>
      </c>
      <c r="BS367" s="11" t="s">
        <v>357</v>
      </c>
      <c r="BT367" s="11" t="s">
        <v>6561</v>
      </c>
      <c r="BU367" s="11" t="s">
        <v>6562</v>
      </c>
      <c r="BV367" s="22">
        <v>2652</v>
      </c>
      <c r="BW367" s="22">
        <v>1362</v>
      </c>
      <c r="BX367" s="22">
        <v>4014</v>
      </c>
      <c r="CL367" s="18"/>
      <c r="CP367" s="18"/>
      <c r="CT367" s="18"/>
      <c r="CX367" s="18"/>
      <c r="DB367" s="18"/>
      <c r="DF367" s="18"/>
      <c r="DJ367" s="18"/>
      <c r="DN367" s="18"/>
      <c r="DR367" s="18"/>
      <c r="DV367" s="18"/>
      <c r="DZ367" s="18"/>
      <c r="ED367" s="18"/>
      <c r="EI367" s="18"/>
      <c r="EK367" s="22">
        <v>2632</v>
      </c>
      <c r="EL367" s="22">
        <v>1362</v>
      </c>
      <c r="EM367" s="22">
        <v>3994</v>
      </c>
      <c r="ES367" s="18"/>
      <c r="EU367" s="11" t="s">
        <v>320</v>
      </c>
      <c r="EV367" s="22">
        <v>4014</v>
      </c>
      <c r="EW367" s="18">
        <v>0.62</v>
      </c>
      <c r="FA367" s="18"/>
      <c r="FE367" s="18"/>
      <c r="FI367" s="18"/>
      <c r="FM367" s="18"/>
      <c r="FQ367" s="18"/>
      <c r="FU367" s="18"/>
      <c r="FY367" s="18"/>
      <c r="GC367" s="18"/>
      <c r="GG367" s="18"/>
      <c r="GK367" s="18"/>
      <c r="GO367" s="18"/>
      <c r="GS367" s="18"/>
      <c r="GW367" s="18"/>
      <c r="HA367" s="18"/>
      <c r="HF367" s="18"/>
      <c r="HH367" s="11" t="s">
        <v>320</v>
      </c>
      <c r="HI367" s="11" t="s">
        <v>431</v>
      </c>
      <c r="HJ367" s="11">
        <v>2017</v>
      </c>
      <c r="HK367" s="11" t="s">
        <v>320</v>
      </c>
      <c r="HP367" s="11" t="s">
        <v>330</v>
      </c>
      <c r="HQ367" s="11" t="s">
        <v>319</v>
      </c>
      <c r="HS367" s="11" t="s">
        <v>320</v>
      </c>
      <c r="HT367" s="11" t="s">
        <v>319</v>
      </c>
      <c r="HU367" s="11" t="s">
        <v>320</v>
      </c>
      <c r="HV367" s="11" t="s">
        <v>320</v>
      </c>
      <c r="HW367" s="11" t="s">
        <v>319</v>
      </c>
      <c r="HZ367" s="11" t="s">
        <v>331</v>
      </c>
      <c r="IB367" s="11" t="s">
        <v>396</v>
      </c>
      <c r="IC367" s="11" t="s">
        <v>6563</v>
      </c>
      <c r="ID367" s="11" t="s">
        <v>364</v>
      </c>
      <c r="IE367" s="11" t="s">
        <v>335</v>
      </c>
      <c r="IF367" s="11" t="s">
        <v>320</v>
      </c>
      <c r="IG367" s="11" t="s">
        <v>320</v>
      </c>
      <c r="IH367" s="11" t="s">
        <v>320</v>
      </c>
      <c r="II367" s="11" t="s">
        <v>320</v>
      </c>
      <c r="IJ367" s="12" t="str">
        <f t="shared" si="216"/>
        <v>2. Sensitive</v>
      </c>
      <c r="IK367" s="12">
        <f t="shared" si="217"/>
        <v>4</v>
      </c>
      <c r="IQ367" s="12" t="str">
        <f t="shared" si="218"/>
        <v>No marker score</v>
      </c>
      <c r="IR367" s="12">
        <f t="shared" si="219"/>
        <v>0</v>
      </c>
      <c r="IS367" s="11" t="s">
        <v>337</v>
      </c>
      <c r="IT367" s="11" t="s">
        <v>320</v>
      </c>
      <c r="IU367" s="11" t="s">
        <v>320</v>
      </c>
      <c r="IV367" s="11" t="s">
        <v>320</v>
      </c>
      <c r="IW367" s="11" t="str">
        <f t="shared" si="220"/>
        <v>2. Sensitive</v>
      </c>
      <c r="IX367" s="12">
        <f t="shared" si="221"/>
        <v>3</v>
      </c>
      <c r="IY367" s="11" t="s">
        <v>419</v>
      </c>
      <c r="IZ367" s="11" t="s">
        <v>432</v>
      </c>
      <c r="JA367" s="11">
        <v>1</v>
      </c>
      <c r="JB367" s="12" t="s">
        <v>651</v>
      </c>
      <c r="JE367" s="11" t="s">
        <v>340</v>
      </c>
      <c r="JH367" s="11" t="s">
        <v>6563</v>
      </c>
      <c r="JI367" s="11" t="s">
        <v>6564</v>
      </c>
      <c r="JJ367" s="11" t="s">
        <v>6565</v>
      </c>
      <c r="JP367" s="15">
        <f t="shared" si="222"/>
        <v>3994</v>
      </c>
      <c r="JQ367" s="15">
        <f t="shared" si="223"/>
        <v>0</v>
      </c>
      <c r="JR367" s="279">
        <f t="shared" si="224"/>
        <v>0</v>
      </c>
      <c r="JS367" s="17">
        <f t="shared" si="225"/>
        <v>0.65898848272408617</v>
      </c>
      <c r="JT367" s="18" t="str">
        <f t="shared" si="226"/>
        <v/>
      </c>
      <c r="JU367" s="280">
        <f t="shared" si="227"/>
        <v>2632</v>
      </c>
      <c r="JV367" s="280">
        <f t="shared" si="228"/>
        <v>0</v>
      </c>
      <c r="JW367" s="319" t="str">
        <f t="shared" si="229"/>
        <v/>
      </c>
      <c r="JX367" s="15">
        <f t="shared" si="230"/>
        <v>0</v>
      </c>
      <c r="JY367" s="15">
        <f t="shared" si="231"/>
        <v>0</v>
      </c>
      <c r="JZ367" s="19" t="str">
        <f t="shared" si="232"/>
        <v/>
      </c>
      <c r="KA367" s="52">
        <f t="shared" si="233"/>
        <v>1</v>
      </c>
      <c r="KB367" s="15">
        <f t="shared" si="234"/>
        <v>4014</v>
      </c>
      <c r="KC367" s="15">
        <f t="shared" si="235"/>
        <v>0</v>
      </c>
      <c r="KD367" s="20">
        <f t="shared" si="236"/>
        <v>0</v>
      </c>
      <c r="KE367" s="52" t="str">
        <f t="shared" si="237"/>
        <v/>
      </c>
      <c r="KF367" s="15">
        <f t="shared" si="238"/>
        <v>0</v>
      </c>
      <c r="KG367" s="15">
        <f t="shared" si="239"/>
        <v>0</v>
      </c>
      <c r="KH367" s="21" t="str">
        <f t="shared" si="240"/>
        <v/>
      </c>
      <c r="KI367" s="52" t="str">
        <f t="shared" si="241"/>
        <v/>
      </c>
      <c r="KJ367" s="15">
        <f t="shared" si="242"/>
        <v>0</v>
      </c>
      <c r="KK367" s="15">
        <f t="shared" si="243"/>
        <v>0</v>
      </c>
      <c r="KL367" s="19" t="str">
        <f t="shared" si="244"/>
        <v/>
      </c>
      <c r="KM367" s="52" t="str">
        <f t="shared" si="245"/>
        <v/>
      </c>
      <c r="KN367" s="22">
        <f t="shared" si="246"/>
        <v>0</v>
      </c>
      <c r="KO367" s="22">
        <f t="shared" si="247"/>
        <v>0</v>
      </c>
      <c r="KP367" s="19" t="str">
        <f t="shared" si="248"/>
        <v/>
      </c>
      <c r="KQ367" s="11" t="str">
        <f t="shared" si="249"/>
        <v>2. Sensitive</v>
      </c>
      <c r="KR367" s="11" t="str">
        <f t="shared" si="250"/>
        <v>No marker score</v>
      </c>
      <c r="KS367" s="11" t="str">
        <f t="shared" si="251"/>
        <v>2. Sensitive</v>
      </c>
      <c r="KT367" s="11" t="str">
        <f t="shared" si="252"/>
        <v>It tested new ways for fighting poverty and measured results of innovation</v>
      </c>
      <c r="KU367" s="11" t="str">
        <f t="shared" si="253"/>
        <v>Moderate advocacy</v>
      </c>
      <c r="KV367" s="11" t="str">
        <f t="shared" si="254"/>
        <v>It linked and worked with strategic alliances and partners to take tested and effective solutions to scale</v>
      </c>
      <c r="KW367" s="11" t="str">
        <f t="shared" si="255"/>
        <v>Kenya - Adaptation Learning Program</v>
      </c>
      <c r="KX367" s="11" t="str">
        <f t="shared" si="256"/>
        <v>Adaptation Learning Program</v>
      </c>
      <c r="KY367" s="11" t="str">
        <f t="shared" si="257"/>
        <v>Kenya</v>
      </c>
      <c r="KZ367" s="12">
        <v>367</v>
      </c>
    </row>
    <row r="368" spans="1:312" x14ac:dyDescent="0.3">
      <c r="A368" s="11" t="s">
        <v>6457</v>
      </c>
      <c r="B368" s="11" t="s">
        <v>1874</v>
      </c>
      <c r="C368" s="11">
        <v>935</v>
      </c>
      <c r="D368" s="11" t="s">
        <v>6693</v>
      </c>
      <c r="E368" s="24" t="str">
        <f t="shared" si="215"/>
        <v>Kenya</v>
      </c>
      <c r="F368" s="11" t="s">
        <v>6694</v>
      </c>
      <c r="G368" s="11" t="s">
        <v>379</v>
      </c>
      <c r="H368" s="11" t="s">
        <v>310</v>
      </c>
      <c r="I368" s="11" t="s">
        <v>655</v>
      </c>
      <c r="J368" s="278" t="s">
        <v>6695</v>
      </c>
      <c r="BE368" s="23">
        <v>42735</v>
      </c>
      <c r="BG368" s="11" t="s">
        <v>947</v>
      </c>
      <c r="BH368" s="22">
        <v>10385867</v>
      </c>
      <c r="BI368" s="11" t="s">
        <v>6696</v>
      </c>
      <c r="BJ368" s="11" t="s">
        <v>6697</v>
      </c>
      <c r="BK368" s="11" t="s">
        <v>6698</v>
      </c>
      <c r="BL368" s="11" t="s">
        <v>6517</v>
      </c>
      <c r="BM368" s="11" t="s">
        <v>6699</v>
      </c>
      <c r="BN368" s="11" t="s">
        <v>6518</v>
      </c>
      <c r="BO368" s="11" t="s">
        <v>319</v>
      </c>
      <c r="BP368" s="11" t="s">
        <v>320</v>
      </c>
      <c r="BQ368" s="11" t="s">
        <v>319</v>
      </c>
      <c r="BR368" s="11" t="s">
        <v>6700</v>
      </c>
      <c r="BS368" s="11" t="s">
        <v>357</v>
      </c>
      <c r="BT368" s="11" t="s">
        <v>6701</v>
      </c>
      <c r="BU368" s="11" t="s">
        <v>6702</v>
      </c>
      <c r="BV368" s="22">
        <v>450000</v>
      </c>
      <c r="BW368" s="22">
        <v>300000</v>
      </c>
      <c r="BX368" s="22">
        <v>750000</v>
      </c>
      <c r="BY368" s="22">
        <v>900000</v>
      </c>
      <c r="BZ368" s="22">
        <v>600000</v>
      </c>
      <c r="CA368" s="22">
        <v>1500000</v>
      </c>
      <c r="CB368" s="15" t="s">
        <v>6703</v>
      </c>
      <c r="CL368" s="18"/>
      <c r="CP368" s="18"/>
      <c r="CT368" s="18"/>
      <c r="CX368" s="18"/>
      <c r="DB368" s="18"/>
      <c r="DF368" s="18"/>
      <c r="DJ368" s="18"/>
      <c r="DN368" s="18"/>
      <c r="DR368" s="18"/>
      <c r="DV368" s="18"/>
      <c r="DZ368" s="18"/>
      <c r="ED368" s="18"/>
      <c r="EI368" s="18"/>
      <c r="EK368" s="22">
        <v>475369</v>
      </c>
      <c r="EL368" s="22">
        <v>297428</v>
      </c>
      <c r="EM368" s="22">
        <v>772797</v>
      </c>
      <c r="EN368" s="22">
        <v>750738</v>
      </c>
      <c r="EO368" s="22">
        <v>594856</v>
      </c>
      <c r="EP368" s="22">
        <v>1345594</v>
      </c>
      <c r="ES368" s="18"/>
      <c r="EW368" s="18"/>
      <c r="FA368" s="18"/>
      <c r="FE368" s="18"/>
      <c r="FI368" s="18"/>
      <c r="FM368" s="18"/>
      <c r="FQ368" s="18"/>
      <c r="FU368" s="18"/>
      <c r="FY368" s="18"/>
      <c r="GC368" s="18"/>
      <c r="GG368" s="18"/>
      <c r="GK368" s="18"/>
      <c r="GO368" s="18"/>
      <c r="GQ368" s="12" t="s">
        <v>320</v>
      </c>
      <c r="GR368" s="22">
        <v>772797</v>
      </c>
      <c r="GS368" s="18">
        <v>0.6</v>
      </c>
      <c r="GT368" s="22">
        <v>1545594</v>
      </c>
      <c r="GW368" s="18"/>
      <c r="HA368" s="18"/>
      <c r="HF368" s="18"/>
      <c r="HH368" s="11" t="s">
        <v>319</v>
      </c>
      <c r="HL368" s="11" t="s">
        <v>319</v>
      </c>
      <c r="HO368" s="11" t="s">
        <v>6704</v>
      </c>
      <c r="HP368" s="11" t="s">
        <v>418</v>
      </c>
      <c r="HQ368" s="11" t="s">
        <v>319</v>
      </c>
      <c r="HR368" s="11" t="s">
        <v>319</v>
      </c>
      <c r="HS368" s="11" t="s">
        <v>319</v>
      </c>
      <c r="HT368" s="11" t="s">
        <v>320</v>
      </c>
      <c r="HU368" s="11" t="s">
        <v>319</v>
      </c>
      <c r="HV368" s="11" t="s">
        <v>320</v>
      </c>
      <c r="HW368" s="11" t="s">
        <v>319</v>
      </c>
      <c r="HX368" s="11" t="s">
        <v>319</v>
      </c>
      <c r="HZ368" s="11" t="s">
        <v>363</v>
      </c>
      <c r="IB368" s="11" t="s">
        <v>396</v>
      </c>
      <c r="IC368" s="11" t="s">
        <v>6705</v>
      </c>
      <c r="ID368" s="11" t="s">
        <v>334</v>
      </c>
      <c r="IE368" s="11" t="s">
        <v>478</v>
      </c>
      <c r="IF368" s="11" t="s">
        <v>320</v>
      </c>
      <c r="IG368" s="11" t="s">
        <v>319</v>
      </c>
      <c r="IH368" s="11" t="s">
        <v>320</v>
      </c>
      <c r="II368" s="11" t="s">
        <v>319</v>
      </c>
      <c r="IJ368" s="12" t="str">
        <f t="shared" si="216"/>
        <v>3. Responsive</v>
      </c>
      <c r="IK368" s="12">
        <f t="shared" si="217"/>
        <v>2</v>
      </c>
      <c r="IL368" s="11" t="s">
        <v>336</v>
      </c>
      <c r="IM368" s="11" t="s">
        <v>320</v>
      </c>
      <c r="IN368" s="11" t="s">
        <v>319</v>
      </c>
      <c r="IO368" s="11" t="s">
        <v>320</v>
      </c>
      <c r="IP368" s="11" t="s">
        <v>319</v>
      </c>
      <c r="IQ368" s="12" t="str">
        <f t="shared" si="218"/>
        <v>1. Tokenistic</v>
      </c>
      <c r="IR368" s="12">
        <f t="shared" si="219"/>
        <v>2</v>
      </c>
      <c r="IS368" s="11" t="s">
        <v>337</v>
      </c>
      <c r="IT368" s="11" t="s">
        <v>320</v>
      </c>
      <c r="IU368" s="11" t="s">
        <v>319</v>
      </c>
      <c r="IV368" s="11" t="s">
        <v>320</v>
      </c>
      <c r="IW368" s="11" t="str">
        <f t="shared" si="220"/>
        <v>1. Neutral</v>
      </c>
      <c r="IX368" s="12">
        <f t="shared" si="221"/>
        <v>2</v>
      </c>
      <c r="IY368" s="11" t="s">
        <v>338</v>
      </c>
      <c r="IZ368" s="11" t="s">
        <v>527</v>
      </c>
      <c r="JA368" s="11">
        <v>10</v>
      </c>
      <c r="JB368" s="11" t="s">
        <v>624</v>
      </c>
      <c r="JC368" s="11" t="s">
        <v>831</v>
      </c>
      <c r="JD368" s="11" t="s">
        <v>433</v>
      </c>
      <c r="JE368" s="11" t="s">
        <v>420</v>
      </c>
      <c r="JG368" s="11" t="s">
        <v>6706</v>
      </c>
      <c r="JH368" s="11" t="s">
        <v>6707</v>
      </c>
      <c r="JI368" s="11" t="s">
        <v>6708</v>
      </c>
      <c r="JJ368" s="11" t="s">
        <v>6709</v>
      </c>
      <c r="JK368" s="11" t="s">
        <v>6707</v>
      </c>
      <c r="JL368" s="11" t="s">
        <v>6708</v>
      </c>
      <c r="JM368" s="11" t="s">
        <v>6709</v>
      </c>
      <c r="JN368" s="11" t="s">
        <v>6710</v>
      </c>
      <c r="JP368" s="15">
        <f t="shared" si="222"/>
        <v>772797</v>
      </c>
      <c r="JQ368" s="15">
        <f t="shared" si="223"/>
        <v>1345594</v>
      </c>
      <c r="JR368" s="279">
        <f t="shared" si="224"/>
        <v>1.7411998234982797</v>
      </c>
      <c r="JS368" s="17">
        <f t="shared" si="225"/>
        <v>0.61512790551723151</v>
      </c>
      <c r="JT368" s="18">
        <f t="shared" si="226"/>
        <v>0.55792311796871863</v>
      </c>
      <c r="JU368" s="280">
        <f t="shared" si="227"/>
        <v>475369</v>
      </c>
      <c r="JV368" s="280">
        <f t="shared" si="228"/>
        <v>750738</v>
      </c>
      <c r="JW368" s="319" t="str">
        <f t="shared" si="229"/>
        <v/>
      </c>
      <c r="JX368" s="15">
        <f t="shared" si="230"/>
        <v>0</v>
      </c>
      <c r="JY368" s="15">
        <f t="shared" si="231"/>
        <v>0</v>
      </c>
      <c r="JZ368" s="19" t="str">
        <f t="shared" si="232"/>
        <v/>
      </c>
      <c r="KA368" s="52" t="str">
        <f t="shared" si="233"/>
        <v/>
      </c>
      <c r="KB368" s="15">
        <f t="shared" si="234"/>
        <v>0</v>
      </c>
      <c r="KC368" s="15">
        <f t="shared" si="235"/>
        <v>0</v>
      </c>
      <c r="KD368" s="20" t="str">
        <f t="shared" si="236"/>
        <v/>
      </c>
      <c r="KE368" s="52">
        <f t="shared" si="237"/>
        <v>1</v>
      </c>
      <c r="KF368" s="15">
        <f t="shared" si="238"/>
        <v>772797</v>
      </c>
      <c r="KG368" s="15">
        <f t="shared" si="239"/>
        <v>1545594</v>
      </c>
      <c r="KH368" s="21">
        <f t="shared" si="240"/>
        <v>2</v>
      </c>
      <c r="KI368" s="52" t="str">
        <f t="shared" si="241"/>
        <v/>
      </c>
      <c r="KJ368" s="15">
        <f t="shared" si="242"/>
        <v>0</v>
      </c>
      <c r="KK368" s="15">
        <f t="shared" si="243"/>
        <v>0</v>
      </c>
      <c r="KL368" s="19" t="str">
        <f t="shared" si="244"/>
        <v/>
      </c>
      <c r="KM368" s="52" t="str">
        <f t="shared" si="245"/>
        <v/>
      </c>
      <c r="KN368" s="22">
        <f t="shared" si="246"/>
        <v>0</v>
      </c>
      <c r="KO368" s="22">
        <f t="shared" si="247"/>
        <v>0</v>
      </c>
      <c r="KP368" s="19" t="str">
        <f t="shared" si="248"/>
        <v/>
      </c>
      <c r="KQ368" s="11" t="str">
        <f t="shared" si="249"/>
        <v>3. Responsive</v>
      </c>
      <c r="KR368" s="11" t="str">
        <f t="shared" si="250"/>
        <v>1. Tokenistic</v>
      </c>
      <c r="KS368" s="11" t="str">
        <f t="shared" si="251"/>
        <v>1. Neutral</v>
      </c>
      <c r="KT368" s="11" t="str">
        <f t="shared" si="252"/>
        <v>It did not develop any specific innovation</v>
      </c>
      <c r="KU368" s="11" t="str">
        <f t="shared" si="253"/>
        <v>Little or no advocacy</v>
      </c>
      <c r="KV368" s="11" t="str">
        <f t="shared" si="254"/>
        <v>It linked and worked with strategic alliances and partners to take tested and effective solutions to scale</v>
      </c>
      <c r="KW368" s="11" t="str">
        <f t="shared" si="255"/>
        <v>Kenya - Chagua Maisha Project - Supporting the Implementation and Expansion of High Quality HIV Prevention, Care and Treatment Activities at Facility and Community Level in Nyanza Province under the President’s Emergency Plan for AIDS Relief (PEPFAR) Kenya</v>
      </c>
      <c r="KX368" s="11" t="str">
        <f t="shared" si="256"/>
        <v>Chagua Maisha Project - Supporting the Implementation and Expansion of High Quality HIV Prevention, Care and Treatment Activities at Facility and Community Level in Nyanza Province under the President’s Emergency Plan for AIDS Relief (PEPFAR) Kenya</v>
      </c>
      <c r="KY368" s="11" t="str">
        <f t="shared" si="257"/>
        <v>Kenya</v>
      </c>
      <c r="KZ368" s="12">
        <v>368</v>
      </c>
    </row>
    <row r="369" spans="1:312" x14ac:dyDescent="0.3">
      <c r="A369" s="12" t="s">
        <v>6457</v>
      </c>
      <c r="B369" s="12" t="s">
        <v>1874</v>
      </c>
      <c r="C369" s="12"/>
      <c r="D369" s="12" t="s">
        <v>6471</v>
      </c>
      <c r="E369" s="24" t="str">
        <f t="shared" si="215"/>
        <v>Kenya</v>
      </c>
      <c r="F369" s="12" t="s">
        <v>6472</v>
      </c>
      <c r="G369" s="12" t="s">
        <v>376</v>
      </c>
      <c r="H369" s="12" t="s">
        <v>380</v>
      </c>
      <c r="I369" s="12" t="s">
        <v>381</v>
      </c>
      <c r="J369" s="281" t="s">
        <v>11578</v>
      </c>
      <c r="K369" s="12" t="s">
        <v>6473</v>
      </c>
      <c r="L369" s="12" t="s">
        <v>376</v>
      </c>
      <c r="M369" s="12" t="s">
        <v>380</v>
      </c>
      <c r="N369" s="12" t="s">
        <v>381</v>
      </c>
      <c r="O369" s="278" t="s">
        <v>11578</v>
      </c>
      <c r="P369" s="12"/>
      <c r="Q369" s="12"/>
      <c r="R369" s="12"/>
      <c r="S369" s="12"/>
      <c r="T369" s="12"/>
      <c r="U369" s="12"/>
      <c r="V369" s="12"/>
      <c r="W369" s="12"/>
      <c r="X369" s="12"/>
      <c r="Y369" s="12"/>
      <c r="Z369" s="12"/>
      <c r="AA369" s="12"/>
      <c r="AB369" s="12"/>
      <c r="AC369" s="12"/>
      <c r="AD369" s="12"/>
      <c r="AE369" s="39"/>
      <c r="BD369" s="13">
        <v>42736</v>
      </c>
      <c r="BE369" s="13">
        <v>43100</v>
      </c>
      <c r="BF369" s="12"/>
      <c r="BG369" s="12" t="s">
        <v>817</v>
      </c>
      <c r="BH369" s="14">
        <v>2684310</v>
      </c>
      <c r="BI369" s="12"/>
      <c r="BJ369" s="12"/>
      <c r="BK369" s="12"/>
      <c r="BL369" s="12" t="s">
        <v>6474</v>
      </c>
      <c r="BM369" s="12" t="s">
        <v>6475</v>
      </c>
      <c r="BN369" s="12">
        <v>733637294</v>
      </c>
      <c r="BO369" s="12" t="s">
        <v>320</v>
      </c>
      <c r="BP369" s="12" t="s">
        <v>319</v>
      </c>
      <c r="BQ369" s="12" t="s">
        <v>319</v>
      </c>
      <c r="BR369" s="12" t="s">
        <v>6476</v>
      </c>
      <c r="BS369" s="31" t="s">
        <v>357</v>
      </c>
      <c r="BT369" s="12" t="s">
        <v>6477</v>
      </c>
      <c r="BU369" s="12" t="s">
        <v>6478</v>
      </c>
      <c r="BV369" s="14">
        <v>80235</v>
      </c>
      <c r="BW369" s="14">
        <v>78076</v>
      </c>
      <c r="BX369" s="14">
        <v>158311</v>
      </c>
      <c r="BY369" s="14"/>
      <c r="BZ369" s="14"/>
      <c r="CA369" s="14"/>
      <c r="CB369" s="31" t="s">
        <v>14680</v>
      </c>
      <c r="CC369" s="39"/>
      <c r="CD369" s="38">
        <v>80235</v>
      </c>
      <c r="CE369" s="38">
        <v>78076</v>
      </c>
      <c r="CF369" s="38">
        <v>158311</v>
      </c>
      <c r="CG369" s="14"/>
      <c r="CH369" s="14"/>
      <c r="CI369" s="14"/>
      <c r="CJ369" s="12" t="s">
        <v>319</v>
      </c>
      <c r="CK369" s="14"/>
      <c r="CL369" s="16"/>
      <c r="CM369" s="14"/>
      <c r="CN369" s="12" t="s">
        <v>319</v>
      </c>
      <c r="CO369" s="14"/>
      <c r="CP369" s="16"/>
      <c r="CQ369" s="14"/>
      <c r="CR369" s="12" t="s">
        <v>320</v>
      </c>
      <c r="CS369" s="14">
        <v>11451</v>
      </c>
      <c r="CT369" s="16">
        <v>0.44500000000000001</v>
      </c>
      <c r="CU369" s="14">
        <v>57635</v>
      </c>
      <c r="CV369" s="12" t="s">
        <v>320</v>
      </c>
      <c r="CW369" s="14"/>
      <c r="CX369" s="16"/>
      <c r="CY369" s="14"/>
      <c r="CZ369" s="12" t="s">
        <v>320</v>
      </c>
      <c r="DA369" s="14"/>
      <c r="DB369" s="16"/>
      <c r="DC369" s="14"/>
      <c r="DD369" s="12" t="s">
        <v>319</v>
      </c>
      <c r="DE369" s="14"/>
      <c r="DF369" s="16"/>
      <c r="DG369" s="14"/>
      <c r="DH369" s="12" t="s">
        <v>319</v>
      </c>
      <c r="DI369" s="14"/>
      <c r="DJ369" s="16"/>
      <c r="DK369" s="14"/>
      <c r="DL369" s="11" t="s">
        <v>320</v>
      </c>
      <c r="DM369" s="14">
        <v>200</v>
      </c>
      <c r="DN369" s="16">
        <v>0.57999999999999996</v>
      </c>
      <c r="DO369" s="14">
        <v>68886</v>
      </c>
      <c r="DP369" s="12" t="s">
        <v>320</v>
      </c>
      <c r="DQ369" s="14">
        <v>373</v>
      </c>
      <c r="DR369" s="16">
        <v>0.6</v>
      </c>
      <c r="DS369" s="14">
        <v>68713</v>
      </c>
      <c r="DT369" s="12" t="s">
        <v>319</v>
      </c>
      <c r="DU369" s="14"/>
      <c r="DV369" s="16"/>
      <c r="DW369" s="14"/>
      <c r="DX369" s="12" t="s">
        <v>319</v>
      </c>
      <c r="DY369" s="14"/>
      <c r="DZ369" s="16"/>
      <c r="EA369" s="14"/>
      <c r="EB369" s="11" t="s">
        <v>320</v>
      </c>
      <c r="EC369" s="14">
        <v>133734</v>
      </c>
      <c r="ED369" s="16">
        <v>0.50960000000000005</v>
      </c>
      <c r="EE369" s="14"/>
      <c r="EF369" s="12" t="s">
        <v>6479</v>
      </c>
      <c r="EG369" s="12" t="s">
        <v>320</v>
      </c>
      <c r="EH369" s="14">
        <v>158311</v>
      </c>
      <c r="EI369" s="16">
        <v>0.51</v>
      </c>
      <c r="EJ369" s="14"/>
      <c r="EK369" s="14"/>
      <c r="EL369" s="14"/>
      <c r="EM369" s="14"/>
      <c r="EN369" s="14"/>
      <c r="EO369" s="14"/>
      <c r="EP369" s="14"/>
      <c r="EQ369" s="12"/>
      <c r="ER369" s="14"/>
      <c r="ES369" s="16"/>
      <c r="ET369" s="14"/>
      <c r="EU369" s="12"/>
      <c r="EV369" s="14"/>
      <c r="EW369" s="16"/>
      <c r="EX369" s="14"/>
      <c r="EY369" s="12"/>
      <c r="EZ369" s="14"/>
      <c r="FA369" s="16"/>
      <c r="FB369" s="14"/>
      <c r="FC369" s="12"/>
      <c r="FD369" s="14"/>
      <c r="FE369" s="16"/>
      <c r="FF369" s="14"/>
      <c r="FG369" s="12"/>
      <c r="FH369" s="14"/>
      <c r="FI369" s="16"/>
      <c r="FJ369" s="14"/>
      <c r="FK369" s="12"/>
      <c r="FL369" s="14"/>
      <c r="FM369" s="16"/>
      <c r="FN369" s="14"/>
      <c r="FO369" s="12"/>
      <c r="FP369" s="14"/>
      <c r="FQ369" s="16"/>
      <c r="FR369" s="14"/>
      <c r="FS369" s="12"/>
      <c r="FT369" s="14"/>
      <c r="FU369" s="16"/>
      <c r="FV369" s="14"/>
      <c r="FW369" s="12"/>
      <c r="FX369" s="14"/>
      <c r="FY369" s="16"/>
      <c r="FZ369" s="14"/>
      <c r="GA369" s="12"/>
      <c r="GB369" s="14"/>
      <c r="GC369" s="16"/>
      <c r="GD369" s="14"/>
      <c r="GE369" s="12"/>
      <c r="GF369" s="14"/>
      <c r="GG369" s="16"/>
      <c r="GH369" s="14"/>
      <c r="GI369" s="12"/>
      <c r="GJ369" s="14"/>
      <c r="GK369" s="16"/>
      <c r="GL369" s="14"/>
      <c r="GM369" s="12"/>
      <c r="GN369" s="14"/>
      <c r="GO369" s="16"/>
      <c r="GP369" s="14"/>
      <c r="GQ369" s="12"/>
      <c r="GR369" s="14"/>
      <c r="GS369" s="16"/>
      <c r="GT369" s="14"/>
      <c r="GU369" s="12"/>
      <c r="GV369" s="14"/>
      <c r="GW369" s="16"/>
      <c r="GX369" s="14"/>
      <c r="GY369" s="12"/>
      <c r="GZ369" s="14"/>
      <c r="HA369" s="16"/>
      <c r="HB369" s="14"/>
      <c r="HC369" s="39"/>
      <c r="HD369" s="12"/>
      <c r="HE369" s="14"/>
      <c r="HF369" s="16"/>
      <c r="HG369" s="14"/>
      <c r="HH369" s="12" t="s">
        <v>319</v>
      </c>
      <c r="HI369" s="12"/>
      <c r="HJ369" s="12"/>
      <c r="HK369" s="12" t="s">
        <v>319</v>
      </c>
      <c r="HL369" s="12" t="s">
        <v>319</v>
      </c>
      <c r="HM369" s="12"/>
      <c r="HN369" s="12"/>
      <c r="HO369" s="12"/>
      <c r="HP369" s="12" t="s">
        <v>418</v>
      </c>
      <c r="HQ369" s="12" t="s">
        <v>319</v>
      </c>
      <c r="HR369" s="12" t="s">
        <v>320</v>
      </c>
      <c r="HS369" s="12" t="s">
        <v>320</v>
      </c>
      <c r="HT369" s="12" t="s">
        <v>320</v>
      </c>
      <c r="HU369" s="12" t="s">
        <v>319</v>
      </c>
      <c r="HV369" s="12" t="s">
        <v>319</v>
      </c>
      <c r="HW369" s="12" t="s">
        <v>319</v>
      </c>
      <c r="HX369" s="12"/>
      <c r="HZ369" s="12" t="s">
        <v>363</v>
      </c>
      <c r="IA369" s="12"/>
      <c r="IB369" s="12" t="s">
        <v>333</v>
      </c>
      <c r="IC369" s="12"/>
      <c r="ID369" s="12" t="s">
        <v>334</v>
      </c>
      <c r="IE369" s="12" t="s">
        <v>335</v>
      </c>
      <c r="IF369" s="12" t="s">
        <v>320</v>
      </c>
      <c r="IG369" s="12" t="s">
        <v>320</v>
      </c>
      <c r="IH369" s="12" t="s">
        <v>320</v>
      </c>
      <c r="II369" s="12" t="s">
        <v>320</v>
      </c>
      <c r="IJ369" s="12" t="str">
        <f t="shared" si="216"/>
        <v>2. Sensitive</v>
      </c>
      <c r="IK369" s="12">
        <f t="shared" si="217"/>
        <v>4</v>
      </c>
      <c r="IL369" s="12" t="s">
        <v>336</v>
      </c>
      <c r="IM369" s="12" t="s">
        <v>320</v>
      </c>
      <c r="IN369" s="12" t="s">
        <v>320</v>
      </c>
      <c r="IO369" s="12" t="s">
        <v>320</v>
      </c>
      <c r="IP369" s="12" t="s">
        <v>320</v>
      </c>
      <c r="IQ369" s="12" t="str">
        <f t="shared" si="218"/>
        <v>2. Accommodating</v>
      </c>
      <c r="IR369" s="12">
        <f t="shared" si="219"/>
        <v>4</v>
      </c>
      <c r="IS369" s="12" t="s">
        <v>337</v>
      </c>
      <c r="IT369" s="12" t="s">
        <v>320</v>
      </c>
      <c r="IU369" s="12" t="s">
        <v>320</v>
      </c>
      <c r="IV369" s="12" t="s">
        <v>320</v>
      </c>
      <c r="IW369" s="11" t="str">
        <f t="shared" si="220"/>
        <v>2. Sensitive</v>
      </c>
      <c r="IX369" s="12">
        <f t="shared" si="221"/>
        <v>3</v>
      </c>
      <c r="IY369" s="12" t="s">
        <v>338</v>
      </c>
      <c r="IZ369" s="12" t="s">
        <v>339</v>
      </c>
      <c r="JA369" s="12"/>
      <c r="JB369" s="12"/>
      <c r="JC369" s="12"/>
      <c r="JD369" s="12"/>
      <c r="JE369" s="12" t="s">
        <v>420</v>
      </c>
      <c r="JF369" s="12"/>
      <c r="JG369" s="12"/>
      <c r="JH369" s="12"/>
      <c r="JI369" s="12"/>
      <c r="JJ369" s="12"/>
      <c r="JK369" s="12"/>
      <c r="JL369" s="12"/>
      <c r="JM369" s="12"/>
      <c r="JN369" s="31" t="s">
        <v>14681</v>
      </c>
      <c r="JO369" s="12" t="s">
        <v>6480</v>
      </c>
      <c r="JP369" s="15">
        <f t="shared" si="222"/>
        <v>158311</v>
      </c>
      <c r="JQ369" s="15">
        <f t="shared" si="223"/>
        <v>0</v>
      </c>
      <c r="JR369" s="279">
        <f t="shared" si="224"/>
        <v>0</v>
      </c>
      <c r="JS369" s="17">
        <f t="shared" si="225"/>
        <v>0.50681885655450343</v>
      </c>
      <c r="JT369" s="18" t="str">
        <f t="shared" si="226"/>
        <v/>
      </c>
      <c r="JU369" s="280">
        <f t="shared" si="227"/>
        <v>80235</v>
      </c>
      <c r="JV369" s="280">
        <f t="shared" si="228"/>
        <v>0</v>
      </c>
      <c r="JW369" s="319">
        <f t="shared" si="229"/>
        <v>1</v>
      </c>
      <c r="JX369" s="15">
        <f t="shared" si="230"/>
        <v>158311</v>
      </c>
      <c r="JY369" s="15">
        <f t="shared" si="231"/>
        <v>0</v>
      </c>
      <c r="JZ369" s="19">
        <f t="shared" si="232"/>
        <v>0</v>
      </c>
      <c r="KA369" s="52">
        <f t="shared" si="233"/>
        <v>1</v>
      </c>
      <c r="KB369" s="15">
        <f t="shared" si="234"/>
        <v>200</v>
      </c>
      <c r="KC369" s="15">
        <f t="shared" si="235"/>
        <v>68886</v>
      </c>
      <c r="KD369" s="20">
        <f t="shared" si="236"/>
        <v>344.43</v>
      </c>
      <c r="KE369" s="52" t="str">
        <f t="shared" si="237"/>
        <v/>
      </c>
      <c r="KF369" s="15">
        <f t="shared" si="238"/>
        <v>0</v>
      </c>
      <c r="KG369" s="15">
        <f t="shared" si="239"/>
        <v>0</v>
      </c>
      <c r="KH369" s="21" t="str">
        <f t="shared" si="240"/>
        <v/>
      </c>
      <c r="KI369" s="52">
        <f t="shared" si="241"/>
        <v>1</v>
      </c>
      <c r="KJ369" s="15">
        <f t="shared" si="242"/>
        <v>0</v>
      </c>
      <c r="KK369" s="15">
        <f t="shared" si="243"/>
        <v>0</v>
      </c>
      <c r="KL369" s="19" t="str">
        <f t="shared" si="244"/>
        <v/>
      </c>
      <c r="KM369" s="52" t="str">
        <f t="shared" si="245"/>
        <v/>
      </c>
      <c r="KN369" s="22">
        <f t="shared" si="246"/>
        <v>0</v>
      </c>
      <c r="KO369" s="22">
        <f t="shared" si="247"/>
        <v>0</v>
      </c>
      <c r="KP369" s="19" t="str">
        <f t="shared" si="248"/>
        <v/>
      </c>
      <c r="KQ369" s="11" t="str">
        <f t="shared" si="249"/>
        <v>2. Sensitive</v>
      </c>
      <c r="KR369" s="11" t="str">
        <f t="shared" si="250"/>
        <v>2. Accommodating</v>
      </c>
      <c r="KS369" s="11" t="str">
        <f t="shared" si="251"/>
        <v>2. Sensitive</v>
      </c>
      <c r="KT369" s="11" t="str">
        <f t="shared" si="252"/>
        <v>It did not develop any specific innovation</v>
      </c>
      <c r="KU369" s="11" t="str">
        <f t="shared" si="253"/>
        <v>Little or no advocacy</v>
      </c>
      <c r="KV369" s="11" t="str">
        <f t="shared" si="254"/>
        <v>It did not take tested solutions to scale</v>
      </c>
      <c r="KW369" s="11" t="str">
        <f t="shared" si="255"/>
        <v>Kenya - Emergency Assistance for Somali Refugees Hosted in Dadaab as well as the surrounding host population</v>
      </c>
      <c r="KX369" s="11" t="str">
        <f t="shared" si="256"/>
        <v>Emergency Assistance for Somali Refugees Hosted in Dadaab as well as the surrounding host population</v>
      </c>
      <c r="KY369" s="11" t="str">
        <f t="shared" si="257"/>
        <v>Kenya</v>
      </c>
      <c r="KZ369" s="12">
        <v>369</v>
      </c>
    </row>
    <row r="370" spans="1:312" x14ac:dyDescent="0.3">
      <c r="A370" s="12" t="s">
        <v>6457</v>
      </c>
      <c r="B370" s="12" t="s">
        <v>1874</v>
      </c>
      <c r="C370" s="12"/>
      <c r="D370" s="12" t="s">
        <v>6481</v>
      </c>
      <c r="E370" s="277" t="str">
        <f t="shared" si="215"/>
        <v>Kenya</v>
      </c>
      <c r="F370" s="12" t="s">
        <v>14682</v>
      </c>
      <c r="G370" s="12" t="s">
        <v>376</v>
      </c>
      <c r="H370" s="12" t="s">
        <v>383</v>
      </c>
      <c r="I370" s="12" t="s">
        <v>384</v>
      </c>
      <c r="J370" s="281" t="s">
        <v>14683</v>
      </c>
      <c r="K370" s="12"/>
      <c r="L370" s="12"/>
      <c r="M370" s="12"/>
      <c r="N370" s="12"/>
      <c r="O370" s="12"/>
      <c r="P370" s="12"/>
      <c r="Q370" s="12"/>
      <c r="R370" s="12"/>
      <c r="S370" s="12"/>
      <c r="T370" s="12"/>
      <c r="U370" s="12"/>
      <c r="V370" s="12"/>
      <c r="W370" s="12"/>
      <c r="X370" s="12"/>
      <c r="Y370" s="12"/>
      <c r="Z370" s="12"/>
      <c r="AA370" s="12"/>
      <c r="AB370" s="12"/>
      <c r="AC370" s="12"/>
      <c r="AD370" s="12"/>
      <c r="BD370" s="13">
        <v>42217</v>
      </c>
      <c r="BE370" s="13">
        <v>43312</v>
      </c>
      <c r="BF370" s="12"/>
      <c r="BG370" s="12" t="s">
        <v>350</v>
      </c>
      <c r="BH370" s="14">
        <v>530575</v>
      </c>
      <c r="BI370" s="12" t="s">
        <v>6482</v>
      </c>
      <c r="BJ370" s="12" t="s">
        <v>6483</v>
      </c>
      <c r="BK370" s="12" t="s">
        <v>6462</v>
      </c>
      <c r="BL370" s="12" t="s">
        <v>6484</v>
      </c>
      <c r="BM370" s="12" t="s">
        <v>354</v>
      </c>
      <c r="BN370" s="12" t="s">
        <v>6485</v>
      </c>
      <c r="BO370" s="12" t="s">
        <v>319</v>
      </c>
      <c r="BP370" s="12" t="s">
        <v>320</v>
      </c>
      <c r="BQ370" s="12" t="s">
        <v>319</v>
      </c>
      <c r="BR370" s="12" t="s">
        <v>6486</v>
      </c>
      <c r="BS370" s="12" t="s">
        <v>357</v>
      </c>
      <c r="BT370" s="12" t="s">
        <v>6487</v>
      </c>
      <c r="BU370" s="12" t="s">
        <v>6488</v>
      </c>
      <c r="BV370" s="14">
        <v>1104</v>
      </c>
      <c r="BW370" s="14">
        <v>96</v>
      </c>
      <c r="BX370" s="14">
        <v>1200</v>
      </c>
      <c r="BY370" s="14">
        <v>3744</v>
      </c>
      <c r="BZ370" s="14">
        <v>3456</v>
      </c>
      <c r="CA370" s="14">
        <v>7200</v>
      </c>
      <c r="CB370" s="12" t="s">
        <v>6489</v>
      </c>
      <c r="CD370" s="14"/>
      <c r="CE370" s="14"/>
      <c r="CF370" s="14"/>
      <c r="CG370" s="14"/>
      <c r="CH370" s="14"/>
      <c r="CI370" s="14"/>
      <c r="CJ370" s="12"/>
      <c r="CK370" s="14"/>
      <c r="CL370" s="16"/>
      <c r="CM370" s="14"/>
      <c r="CN370" s="12"/>
      <c r="CO370" s="14"/>
      <c r="CP370" s="16"/>
      <c r="CQ370" s="14"/>
      <c r="CR370" s="12"/>
      <c r="CS370" s="14"/>
      <c r="CT370" s="16"/>
      <c r="CU370" s="14"/>
      <c r="CV370" s="12"/>
      <c r="CW370" s="14"/>
      <c r="CX370" s="16"/>
      <c r="CY370" s="14"/>
      <c r="CZ370" s="12"/>
      <c r="DA370" s="14"/>
      <c r="DB370" s="16"/>
      <c r="DC370" s="14"/>
      <c r="DD370" s="12"/>
      <c r="DE370" s="14"/>
      <c r="DF370" s="16"/>
      <c r="DG370" s="14"/>
      <c r="DH370" s="12"/>
      <c r="DI370" s="14"/>
      <c r="DJ370" s="16"/>
      <c r="DK370" s="14"/>
      <c r="DL370" s="12"/>
      <c r="DM370" s="14"/>
      <c r="DN370" s="16"/>
      <c r="DO370" s="14"/>
      <c r="DP370" s="12"/>
      <c r="DQ370" s="14"/>
      <c r="DR370" s="16"/>
      <c r="DS370" s="14"/>
      <c r="DT370" s="12"/>
      <c r="DU370" s="14"/>
      <c r="DV370" s="16"/>
      <c r="DW370" s="14"/>
      <c r="DX370" s="12"/>
      <c r="DY370" s="14"/>
      <c r="DZ370" s="16"/>
      <c r="EA370" s="14"/>
      <c r="EB370" s="12"/>
      <c r="EC370" s="14"/>
      <c r="ED370" s="16"/>
      <c r="EE370" s="14"/>
      <c r="EF370" s="12"/>
      <c r="EG370" s="12"/>
      <c r="EH370" s="14"/>
      <c r="EI370" s="16"/>
      <c r="EJ370" s="14"/>
      <c r="EK370" s="14">
        <v>1104</v>
      </c>
      <c r="EL370" s="14">
        <v>96</v>
      </c>
      <c r="EM370" s="14">
        <v>1200</v>
      </c>
      <c r="EN370" s="14">
        <v>3744</v>
      </c>
      <c r="EO370" s="14">
        <v>3456</v>
      </c>
      <c r="EP370" s="14">
        <v>7200</v>
      </c>
      <c r="EQ370" s="12"/>
      <c r="ER370" s="14"/>
      <c r="ES370" s="16"/>
      <c r="ET370" s="14"/>
      <c r="EU370" s="12"/>
      <c r="EV370" s="14"/>
      <c r="EW370" s="16"/>
      <c r="EX370" s="14"/>
      <c r="EY370" s="12"/>
      <c r="EZ370" s="14"/>
      <c r="FA370" s="16"/>
      <c r="FB370" s="14"/>
      <c r="FC370" s="12"/>
      <c r="FD370" s="14"/>
      <c r="FE370" s="16"/>
      <c r="FF370" s="14"/>
      <c r="FG370" s="12" t="s">
        <v>320</v>
      </c>
      <c r="FH370" s="14">
        <v>1133</v>
      </c>
      <c r="FI370" s="16">
        <v>0.94</v>
      </c>
      <c r="FJ370" s="14">
        <v>6798</v>
      </c>
      <c r="FK370" s="12"/>
      <c r="FL370" s="14"/>
      <c r="FM370" s="16"/>
      <c r="FN370" s="14"/>
      <c r="FO370" s="12"/>
      <c r="FP370" s="14"/>
      <c r="FQ370" s="16"/>
      <c r="FR370" s="14"/>
      <c r="FS370" s="12"/>
      <c r="FT370" s="14"/>
      <c r="FU370" s="16"/>
      <c r="FV370" s="14"/>
      <c r="FW370" s="12"/>
      <c r="FX370" s="14"/>
      <c r="FY370" s="16"/>
      <c r="FZ370" s="14"/>
      <c r="GA370" s="12"/>
      <c r="GB370" s="14"/>
      <c r="GC370" s="16"/>
      <c r="GD370" s="14"/>
      <c r="GE370" s="12"/>
      <c r="GF370" s="14"/>
      <c r="GG370" s="16"/>
      <c r="GH370" s="14"/>
      <c r="GI370" s="12"/>
      <c r="GJ370" s="14"/>
      <c r="GK370" s="16"/>
      <c r="GL370" s="14"/>
      <c r="GM370" s="12"/>
      <c r="GN370" s="14"/>
      <c r="GO370" s="16"/>
      <c r="GP370" s="14"/>
      <c r="GQ370" s="12"/>
      <c r="GR370" s="14"/>
      <c r="GS370" s="16"/>
      <c r="GT370" s="14"/>
      <c r="GU370" s="12"/>
      <c r="GV370" s="14"/>
      <c r="GW370" s="16"/>
      <c r="GX370" s="14"/>
      <c r="GY370" s="11" t="s">
        <v>320</v>
      </c>
      <c r="GZ370" s="14">
        <v>1133</v>
      </c>
      <c r="HA370" s="16">
        <v>0.94</v>
      </c>
      <c r="HB370" s="14">
        <v>6798</v>
      </c>
      <c r="HC370" s="12"/>
      <c r="HD370" s="12"/>
      <c r="HE370" s="14"/>
      <c r="HF370" s="16"/>
      <c r="HG370" s="14"/>
      <c r="HH370" s="12" t="s">
        <v>319</v>
      </c>
      <c r="HI370" s="12"/>
      <c r="HJ370" s="12"/>
      <c r="HK370" s="12" t="s">
        <v>319</v>
      </c>
      <c r="HL370" s="12" t="s">
        <v>319</v>
      </c>
      <c r="HM370" s="12"/>
      <c r="HN370" s="12"/>
      <c r="HO370" s="12"/>
      <c r="HP370" s="12" t="s">
        <v>418</v>
      </c>
      <c r="HQ370" s="12"/>
      <c r="HR370" s="12"/>
      <c r="HS370" s="12"/>
      <c r="HT370" s="12"/>
      <c r="HU370" s="12"/>
      <c r="HV370" s="12"/>
      <c r="HW370" s="12"/>
      <c r="HX370" s="12"/>
      <c r="HY370" s="12"/>
      <c r="HZ370" s="12" t="s">
        <v>394</v>
      </c>
      <c r="IA370" s="12" t="s">
        <v>6490</v>
      </c>
      <c r="IB370" s="12" t="s">
        <v>396</v>
      </c>
      <c r="IC370" s="12" t="s">
        <v>6491</v>
      </c>
      <c r="ID370" s="12" t="s">
        <v>364</v>
      </c>
      <c r="IE370" s="12" t="s">
        <v>335</v>
      </c>
      <c r="IF370" s="12" t="s">
        <v>320</v>
      </c>
      <c r="IG370" s="12" t="s">
        <v>320</v>
      </c>
      <c r="IH370" s="12" t="s">
        <v>320</v>
      </c>
      <c r="II370" s="12" t="s">
        <v>320</v>
      </c>
      <c r="IJ370" s="12" t="str">
        <f t="shared" si="216"/>
        <v>2. Sensitive</v>
      </c>
      <c r="IK370" s="12">
        <f t="shared" si="217"/>
        <v>4</v>
      </c>
      <c r="IL370" s="12" t="s">
        <v>336</v>
      </c>
      <c r="IM370" s="12" t="s">
        <v>320</v>
      </c>
      <c r="IN370" s="12" t="s">
        <v>320</v>
      </c>
      <c r="IO370" s="12" t="s">
        <v>320</v>
      </c>
      <c r="IP370" s="12" t="s">
        <v>320</v>
      </c>
      <c r="IQ370" s="12" t="str">
        <f t="shared" si="218"/>
        <v>2. Accommodating</v>
      </c>
      <c r="IR370" s="12">
        <f t="shared" si="219"/>
        <v>4</v>
      </c>
      <c r="IS370" s="12" t="s">
        <v>337</v>
      </c>
      <c r="IT370" s="12" t="s">
        <v>320</v>
      </c>
      <c r="IU370" s="12" t="s">
        <v>320</v>
      </c>
      <c r="IV370" s="12" t="s">
        <v>320</v>
      </c>
      <c r="IW370" s="11" t="str">
        <f t="shared" si="220"/>
        <v>2. Sensitive</v>
      </c>
      <c r="IX370" s="12">
        <f t="shared" si="221"/>
        <v>3</v>
      </c>
      <c r="IY370" s="12" t="s">
        <v>419</v>
      </c>
      <c r="IZ370" s="12" t="s">
        <v>339</v>
      </c>
      <c r="JA370" s="12">
        <v>4</v>
      </c>
      <c r="JB370" s="12" t="s">
        <v>687</v>
      </c>
      <c r="JC370" s="12" t="s">
        <v>384</v>
      </c>
      <c r="JD370" s="12" t="s">
        <v>384</v>
      </c>
      <c r="JE370" s="12" t="s">
        <v>420</v>
      </c>
      <c r="JF370" s="12"/>
      <c r="JG370" s="12"/>
      <c r="JH370" s="12" t="s">
        <v>6492</v>
      </c>
      <c r="JI370" s="12" t="s">
        <v>6493</v>
      </c>
      <c r="JJ370" s="12" t="s">
        <v>6494</v>
      </c>
      <c r="JK370" s="12" t="s">
        <v>6495</v>
      </c>
      <c r="JL370" s="12" t="s">
        <v>6496</v>
      </c>
      <c r="JM370" s="12" t="s">
        <v>6497</v>
      </c>
      <c r="JN370" s="12"/>
      <c r="JO370" s="12"/>
      <c r="JP370" s="15">
        <f t="shared" si="222"/>
        <v>1200</v>
      </c>
      <c r="JQ370" s="15">
        <f t="shared" si="223"/>
        <v>7200</v>
      </c>
      <c r="JR370" s="279">
        <f t="shared" si="224"/>
        <v>6</v>
      </c>
      <c r="JS370" s="17">
        <f t="shared" si="225"/>
        <v>0.92</v>
      </c>
      <c r="JT370" s="18">
        <f t="shared" si="226"/>
        <v>0.52</v>
      </c>
      <c r="JU370" s="280">
        <f t="shared" si="227"/>
        <v>1104</v>
      </c>
      <c r="JV370" s="280">
        <f t="shared" si="228"/>
        <v>3744</v>
      </c>
      <c r="JW370" s="319" t="str">
        <f t="shared" si="229"/>
        <v/>
      </c>
      <c r="JX370" s="15">
        <f t="shared" si="230"/>
        <v>0</v>
      </c>
      <c r="JY370" s="15">
        <f t="shared" si="231"/>
        <v>0</v>
      </c>
      <c r="JZ370" s="19" t="str">
        <f t="shared" si="232"/>
        <v/>
      </c>
      <c r="KA370" s="52">
        <f t="shared" si="233"/>
        <v>1</v>
      </c>
      <c r="KB370" s="15">
        <f t="shared" si="234"/>
        <v>1133</v>
      </c>
      <c r="KC370" s="15">
        <f t="shared" si="235"/>
        <v>6798</v>
      </c>
      <c r="KD370" s="20">
        <f t="shared" si="236"/>
        <v>6</v>
      </c>
      <c r="KE370" s="52" t="str">
        <f t="shared" si="237"/>
        <v/>
      </c>
      <c r="KF370" s="15">
        <f t="shared" si="238"/>
        <v>0</v>
      </c>
      <c r="KG370" s="15">
        <f t="shared" si="239"/>
        <v>0</v>
      </c>
      <c r="KH370" s="21" t="str">
        <f t="shared" si="240"/>
        <v/>
      </c>
      <c r="KI370" s="52" t="str">
        <f t="shared" si="241"/>
        <v/>
      </c>
      <c r="KJ370" s="15">
        <f t="shared" si="242"/>
        <v>0</v>
      </c>
      <c r="KK370" s="15">
        <f t="shared" si="243"/>
        <v>0</v>
      </c>
      <c r="KL370" s="19" t="str">
        <f t="shared" si="244"/>
        <v/>
      </c>
      <c r="KM370" s="52">
        <f t="shared" si="245"/>
        <v>1</v>
      </c>
      <c r="KN370" s="22">
        <f t="shared" si="246"/>
        <v>1133</v>
      </c>
      <c r="KO370" s="22">
        <f t="shared" si="247"/>
        <v>6798</v>
      </c>
      <c r="KP370" s="19">
        <f t="shared" si="248"/>
        <v>6</v>
      </c>
      <c r="KQ370" s="11" t="str">
        <f t="shared" si="249"/>
        <v>2. Sensitive</v>
      </c>
      <c r="KR370" s="11" t="str">
        <f t="shared" si="250"/>
        <v>2. Accommodating</v>
      </c>
      <c r="KS370" s="11" t="str">
        <f t="shared" si="251"/>
        <v>2. Sensitive</v>
      </c>
      <c r="KT370" s="11" t="str">
        <f t="shared" si="252"/>
        <v>It tested new ways for fighting poverty, but did not measure results of innovation</v>
      </c>
      <c r="KU370" s="11" t="str">
        <f t="shared" si="253"/>
        <v>Little or no advocacy</v>
      </c>
      <c r="KV370" s="11" t="str">
        <f t="shared" si="254"/>
        <v>It linked and worked with strategic alliances and partners to take tested and effective solutions to scale</v>
      </c>
      <c r="KW370" s="11" t="str">
        <f t="shared" si="255"/>
        <v>Kenya - FSD Graduation Project</v>
      </c>
      <c r="KX370" s="11" t="str">
        <f t="shared" si="256"/>
        <v>FSD Graduation Project</v>
      </c>
      <c r="KY370" s="11" t="str">
        <f t="shared" si="257"/>
        <v>Kenya</v>
      </c>
      <c r="KZ370" s="12">
        <v>370</v>
      </c>
    </row>
    <row r="371" spans="1:312" x14ac:dyDescent="0.3">
      <c r="A371" s="12" t="s">
        <v>6457</v>
      </c>
      <c r="B371" s="12" t="s">
        <v>1874</v>
      </c>
      <c r="C371" s="12"/>
      <c r="D371" s="12" t="s">
        <v>6498</v>
      </c>
      <c r="E371" s="277" t="str">
        <f t="shared" si="215"/>
        <v>Kenya</v>
      </c>
      <c r="F371" s="12" t="s">
        <v>6499</v>
      </c>
      <c r="G371" s="12" t="s">
        <v>376</v>
      </c>
      <c r="H371" s="12" t="s">
        <v>380</v>
      </c>
      <c r="I371" s="12" t="s">
        <v>381</v>
      </c>
      <c r="J371" s="281" t="s">
        <v>7763</v>
      </c>
      <c r="K371" s="12"/>
      <c r="L371" s="12"/>
      <c r="M371" s="12"/>
      <c r="N371" s="12"/>
      <c r="O371" s="12"/>
      <c r="P371" s="12"/>
      <c r="Q371" s="12"/>
      <c r="R371" s="12"/>
      <c r="S371" s="12"/>
      <c r="T371" s="12"/>
      <c r="U371" s="12"/>
      <c r="V371" s="12"/>
      <c r="W371" s="12"/>
      <c r="X371" s="12"/>
      <c r="Y371" s="12"/>
      <c r="Z371" s="12"/>
      <c r="AA371" s="12"/>
      <c r="AB371" s="12"/>
      <c r="AC371" s="12"/>
      <c r="AD371" s="12"/>
      <c r="AE371" s="39"/>
      <c r="BD371" s="13">
        <v>42826</v>
      </c>
      <c r="BE371" s="13">
        <v>43281</v>
      </c>
      <c r="BF371" s="12"/>
      <c r="BG371" s="12" t="s">
        <v>908</v>
      </c>
      <c r="BH371" s="14">
        <v>1134557</v>
      </c>
      <c r="BI371" s="12" t="s">
        <v>6500</v>
      </c>
      <c r="BJ371" s="12" t="s">
        <v>6501</v>
      </c>
      <c r="BK371" s="12" t="s">
        <v>6502</v>
      </c>
      <c r="BL371" s="12"/>
      <c r="BM371" s="12"/>
      <c r="BN371" s="12"/>
      <c r="BO371" s="12" t="s">
        <v>320</v>
      </c>
      <c r="BP371" s="12" t="s">
        <v>319</v>
      </c>
      <c r="BQ371" s="12" t="s">
        <v>319</v>
      </c>
      <c r="BR371" s="12" t="s">
        <v>6503</v>
      </c>
      <c r="BS371" s="12" t="s">
        <v>357</v>
      </c>
      <c r="BT371" s="12" t="s">
        <v>6504</v>
      </c>
      <c r="BU371" s="12" t="s">
        <v>6505</v>
      </c>
      <c r="BV371" s="14">
        <v>80235</v>
      </c>
      <c r="BW371" s="14">
        <v>78076</v>
      </c>
      <c r="BX371" s="14">
        <v>158311</v>
      </c>
      <c r="BY371" s="14"/>
      <c r="BZ371" s="14"/>
      <c r="CA371" s="14"/>
      <c r="CB371" s="31" t="s">
        <v>14684</v>
      </c>
      <c r="CC371" s="39"/>
      <c r="CD371" s="14"/>
      <c r="CE371" s="14"/>
      <c r="CF371" s="14"/>
      <c r="CG371" s="14"/>
      <c r="CH371" s="14"/>
      <c r="CI371" s="14"/>
      <c r="CJ371" s="12"/>
      <c r="CK371" s="14"/>
      <c r="CL371" s="16"/>
      <c r="CM371" s="14"/>
      <c r="CN371" s="12"/>
      <c r="CO371" s="14"/>
      <c r="CP371" s="16"/>
      <c r="CQ371" s="14"/>
      <c r="CR371" s="12"/>
      <c r="CS371" s="14"/>
      <c r="CT371" s="16"/>
      <c r="CU371" s="14"/>
      <c r="CV371" s="12" t="s">
        <v>320</v>
      </c>
      <c r="CW371" s="14"/>
      <c r="CX371" s="16"/>
      <c r="CY371" s="14"/>
      <c r="CZ371" s="12"/>
      <c r="DA371" s="14"/>
      <c r="DB371" s="16"/>
      <c r="DC371" s="14"/>
      <c r="DD371" s="12"/>
      <c r="DE371" s="14"/>
      <c r="DF371" s="16"/>
      <c r="DG371" s="14"/>
      <c r="DH371" s="12"/>
      <c r="DI371" s="14"/>
      <c r="DJ371" s="16"/>
      <c r="DK371" s="14"/>
      <c r="DL371" s="12"/>
      <c r="DM371" s="14"/>
      <c r="DN371" s="16"/>
      <c r="DO371" s="14"/>
      <c r="DP371" s="12"/>
      <c r="DQ371" s="14"/>
      <c r="DR371" s="16"/>
      <c r="DS371" s="14"/>
      <c r="DT371" s="12"/>
      <c r="DU371" s="14"/>
      <c r="DV371" s="16"/>
      <c r="DW371" s="14"/>
      <c r="DX371" s="12"/>
      <c r="DY371" s="14"/>
      <c r="DZ371" s="16"/>
      <c r="EA371" s="14"/>
      <c r="EB371" s="12"/>
      <c r="EC371" s="14"/>
      <c r="ED371" s="16"/>
      <c r="EE371" s="14"/>
      <c r="EF371" s="12"/>
      <c r="EG371" s="12"/>
      <c r="EH371" s="14"/>
      <c r="EI371" s="16"/>
      <c r="EJ371" s="14"/>
      <c r="EK371" s="14"/>
      <c r="EL371" s="14"/>
      <c r="EM371" s="14"/>
      <c r="EN371" s="14"/>
      <c r="EO371" s="14"/>
      <c r="EP371" s="14"/>
      <c r="EQ371" s="12"/>
      <c r="ER371" s="14"/>
      <c r="ES371" s="16"/>
      <c r="ET371" s="14"/>
      <c r="EU371" s="12"/>
      <c r="EV371" s="14"/>
      <c r="EW371" s="16"/>
      <c r="EX371" s="14"/>
      <c r="EY371" s="12"/>
      <c r="EZ371" s="14"/>
      <c r="FA371" s="16"/>
      <c r="FB371" s="14"/>
      <c r="FC371" s="12"/>
      <c r="FD371" s="14"/>
      <c r="FE371" s="16"/>
      <c r="FF371" s="14"/>
      <c r="FG371" s="12"/>
      <c r="FH371" s="14"/>
      <c r="FI371" s="16"/>
      <c r="FJ371" s="14"/>
      <c r="FK371" s="12"/>
      <c r="FL371" s="14"/>
      <c r="FM371" s="16"/>
      <c r="FN371" s="14"/>
      <c r="FO371" s="12"/>
      <c r="FP371" s="14"/>
      <c r="FQ371" s="16"/>
      <c r="FR371" s="14"/>
      <c r="FS371" s="12"/>
      <c r="FT371" s="14"/>
      <c r="FU371" s="16"/>
      <c r="FV371" s="14"/>
      <c r="FW371" s="12"/>
      <c r="FX371" s="14"/>
      <c r="FY371" s="16"/>
      <c r="FZ371" s="14"/>
      <c r="GA371" s="12"/>
      <c r="GB371" s="14"/>
      <c r="GC371" s="16"/>
      <c r="GD371" s="14"/>
      <c r="GE371" s="12"/>
      <c r="GF371" s="14"/>
      <c r="GG371" s="16"/>
      <c r="GH371" s="14"/>
      <c r="GI371" s="12"/>
      <c r="GJ371" s="14"/>
      <c r="GK371" s="16"/>
      <c r="GL371" s="14"/>
      <c r="GM371" s="12"/>
      <c r="GN371" s="14"/>
      <c r="GO371" s="16"/>
      <c r="GP371" s="14"/>
      <c r="GQ371" s="12"/>
      <c r="GR371" s="14"/>
      <c r="GS371" s="16"/>
      <c r="GT371" s="14"/>
      <c r="GU371" s="12"/>
      <c r="GV371" s="14"/>
      <c r="GW371" s="16"/>
      <c r="GX371" s="14"/>
      <c r="GY371" s="12"/>
      <c r="GZ371" s="14"/>
      <c r="HA371" s="16"/>
      <c r="HB371" s="14"/>
      <c r="HC371" s="39"/>
      <c r="HD371" s="12"/>
      <c r="HE371" s="14"/>
      <c r="HF371" s="16"/>
      <c r="HG371" s="14"/>
      <c r="HH371" s="12" t="s">
        <v>319</v>
      </c>
      <c r="HI371" s="12"/>
      <c r="HJ371" s="12"/>
      <c r="HK371" s="12" t="s">
        <v>319</v>
      </c>
      <c r="HL371" s="12" t="s">
        <v>319</v>
      </c>
      <c r="HM371" s="12"/>
      <c r="HN371" s="12"/>
      <c r="HO371" s="12"/>
      <c r="HP371" s="12" t="s">
        <v>418</v>
      </c>
      <c r="HQ371" s="12" t="s">
        <v>319</v>
      </c>
      <c r="HR371" s="12" t="s">
        <v>319</v>
      </c>
      <c r="HS371" s="12" t="s">
        <v>319</v>
      </c>
      <c r="HT371" s="12" t="s">
        <v>320</v>
      </c>
      <c r="HU371" s="12" t="s">
        <v>319</v>
      </c>
      <c r="HV371" s="12" t="s">
        <v>319</v>
      </c>
      <c r="HW371" s="12" t="s">
        <v>319</v>
      </c>
      <c r="HX371" s="12"/>
      <c r="HZ371" s="12" t="s">
        <v>363</v>
      </c>
      <c r="IA371" s="12"/>
      <c r="IB371" s="12" t="s">
        <v>333</v>
      </c>
      <c r="IC371" s="12"/>
      <c r="ID371" s="12" t="s">
        <v>334</v>
      </c>
      <c r="IE371" s="12" t="s">
        <v>335</v>
      </c>
      <c r="IF371" s="12" t="s">
        <v>320</v>
      </c>
      <c r="IG371" s="12" t="s">
        <v>320</v>
      </c>
      <c r="IH371" s="12" t="s">
        <v>320</v>
      </c>
      <c r="II371" s="12" t="s">
        <v>320</v>
      </c>
      <c r="IJ371" s="12" t="str">
        <f t="shared" si="216"/>
        <v>2. Sensitive</v>
      </c>
      <c r="IK371" s="12">
        <f t="shared" si="217"/>
        <v>4</v>
      </c>
      <c r="IL371" s="12" t="s">
        <v>336</v>
      </c>
      <c r="IM371" s="12" t="s">
        <v>320</v>
      </c>
      <c r="IN371" s="12" t="s">
        <v>320</v>
      </c>
      <c r="IO371" s="12" t="s">
        <v>320</v>
      </c>
      <c r="IP371" s="12" t="s">
        <v>320</v>
      </c>
      <c r="IQ371" s="12" t="str">
        <f t="shared" si="218"/>
        <v>2. Accommodating</v>
      </c>
      <c r="IR371" s="12">
        <f t="shared" si="219"/>
        <v>4</v>
      </c>
      <c r="IS371" s="12" t="s">
        <v>337</v>
      </c>
      <c r="IT371" s="12" t="s">
        <v>320</v>
      </c>
      <c r="IU371" s="12" t="s">
        <v>319</v>
      </c>
      <c r="IV371" s="12" t="s">
        <v>320</v>
      </c>
      <c r="IW371" s="11" t="str">
        <f t="shared" si="220"/>
        <v>1. Neutral</v>
      </c>
      <c r="IX371" s="12">
        <f t="shared" si="221"/>
        <v>2</v>
      </c>
      <c r="IY371" s="12" t="s">
        <v>338</v>
      </c>
      <c r="IZ371" s="12" t="s">
        <v>339</v>
      </c>
      <c r="JA371" s="12"/>
      <c r="JB371" s="12"/>
      <c r="JC371" s="12"/>
      <c r="JD371" s="12"/>
      <c r="JE371" s="12" t="s">
        <v>420</v>
      </c>
      <c r="JF371" s="12"/>
      <c r="JG371" s="12"/>
      <c r="JH371" s="12"/>
      <c r="JI371" s="12"/>
      <c r="JJ371" s="12"/>
      <c r="JK371" s="12"/>
      <c r="JL371" s="12"/>
      <c r="JM371" s="12"/>
      <c r="JN371" s="31" t="s">
        <v>14685</v>
      </c>
      <c r="JO371" s="12" t="s">
        <v>6506</v>
      </c>
      <c r="JP371" s="15">
        <f t="shared" si="222"/>
        <v>0</v>
      </c>
      <c r="JQ371" s="15">
        <f t="shared" si="223"/>
        <v>0</v>
      </c>
      <c r="JR371" s="279" t="str">
        <f t="shared" si="224"/>
        <v/>
      </c>
      <c r="JS371" s="17" t="str">
        <f t="shared" si="225"/>
        <v/>
      </c>
      <c r="JT371" s="18" t="str">
        <f t="shared" si="226"/>
        <v/>
      </c>
      <c r="JU371" s="280">
        <f t="shared" si="227"/>
        <v>0</v>
      </c>
      <c r="JV371" s="280">
        <f t="shared" si="228"/>
        <v>0</v>
      </c>
      <c r="JW371" s="319">
        <f t="shared" si="229"/>
        <v>1</v>
      </c>
      <c r="JX371" s="15">
        <f t="shared" si="230"/>
        <v>0</v>
      </c>
      <c r="JY371" s="15">
        <f t="shared" si="231"/>
        <v>0</v>
      </c>
      <c r="JZ371" s="19" t="str">
        <f t="shared" si="232"/>
        <v/>
      </c>
      <c r="KA371" s="52">
        <f t="shared" si="233"/>
        <v>1</v>
      </c>
      <c r="KB371" s="15">
        <f t="shared" si="234"/>
        <v>0</v>
      </c>
      <c r="KC371" s="15">
        <f t="shared" si="235"/>
        <v>0</v>
      </c>
      <c r="KD371" s="20" t="str">
        <f t="shared" si="236"/>
        <v/>
      </c>
      <c r="KE371" s="52" t="str">
        <f t="shared" si="237"/>
        <v/>
      </c>
      <c r="KF371" s="15">
        <f t="shared" si="238"/>
        <v>0</v>
      </c>
      <c r="KG371" s="15">
        <f t="shared" si="239"/>
        <v>0</v>
      </c>
      <c r="KH371" s="21" t="str">
        <f t="shared" si="240"/>
        <v/>
      </c>
      <c r="KI371" s="52" t="str">
        <f t="shared" si="241"/>
        <v/>
      </c>
      <c r="KJ371" s="15">
        <f t="shared" si="242"/>
        <v>0</v>
      </c>
      <c r="KK371" s="15">
        <f t="shared" si="243"/>
        <v>0</v>
      </c>
      <c r="KL371" s="19" t="str">
        <f t="shared" si="244"/>
        <v/>
      </c>
      <c r="KM371" s="52" t="str">
        <f t="shared" si="245"/>
        <v/>
      </c>
      <c r="KN371" s="22">
        <f t="shared" si="246"/>
        <v>0</v>
      </c>
      <c r="KO371" s="22">
        <f t="shared" si="247"/>
        <v>0</v>
      </c>
      <c r="KP371" s="19" t="str">
        <f t="shared" si="248"/>
        <v/>
      </c>
      <c r="KQ371" s="11" t="str">
        <f t="shared" si="249"/>
        <v>2. Sensitive</v>
      </c>
      <c r="KR371" s="11" t="str">
        <f t="shared" si="250"/>
        <v>2. Accommodating</v>
      </c>
      <c r="KS371" s="11" t="str">
        <f t="shared" si="251"/>
        <v>1. Neutral</v>
      </c>
      <c r="KT371" s="11" t="str">
        <f t="shared" si="252"/>
        <v>It did not develop any specific innovation</v>
      </c>
      <c r="KU371" s="11" t="str">
        <f t="shared" si="253"/>
        <v>Little or no advocacy</v>
      </c>
      <c r="KV371" s="11" t="str">
        <f t="shared" si="254"/>
        <v>It did not take tested solutions to scale</v>
      </c>
      <c r="KW371" s="11" t="str">
        <f t="shared" si="255"/>
        <v>Kenya - General food distirbution in Ifo,Ifo 2 and Dagahaley camps.</v>
      </c>
      <c r="KX371" s="11" t="str">
        <f t="shared" si="256"/>
        <v>General food distirbution in Ifo,Ifo 2 and Dagahaley camps.</v>
      </c>
      <c r="KY371" s="11" t="str">
        <f t="shared" si="257"/>
        <v>Kenya</v>
      </c>
      <c r="KZ371" s="12">
        <v>371</v>
      </c>
    </row>
    <row r="372" spans="1:312" x14ac:dyDescent="0.3">
      <c r="A372" s="12" t="s">
        <v>6457</v>
      </c>
      <c r="B372" s="12" t="s">
        <v>1874</v>
      </c>
      <c r="C372" s="12"/>
      <c r="D372" s="12" t="s">
        <v>6507</v>
      </c>
      <c r="E372" s="277" t="str">
        <f t="shared" si="215"/>
        <v>Kenya</v>
      </c>
      <c r="F372" s="12" t="s">
        <v>6508</v>
      </c>
      <c r="G372" s="12" t="s">
        <v>376</v>
      </c>
      <c r="H372" s="12" t="s">
        <v>380</v>
      </c>
      <c r="I372" s="12" t="s">
        <v>381</v>
      </c>
      <c r="J372" s="281" t="s">
        <v>7763</v>
      </c>
      <c r="K372" s="12"/>
      <c r="L372" s="12"/>
      <c r="M372" s="12"/>
      <c r="N372" s="12"/>
      <c r="O372" s="12"/>
      <c r="P372" s="12"/>
      <c r="Q372" s="12"/>
      <c r="R372" s="12"/>
      <c r="S372" s="12"/>
      <c r="T372" s="12"/>
      <c r="U372" s="12"/>
      <c r="V372" s="12"/>
      <c r="W372" s="12"/>
      <c r="X372" s="12"/>
      <c r="Y372" s="12"/>
      <c r="Z372" s="12"/>
      <c r="AA372" s="12"/>
      <c r="AB372" s="12"/>
      <c r="AC372" s="12"/>
      <c r="AD372" s="12"/>
      <c r="AE372" s="39"/>
      <c r="BD372" s="13">
        <v>42461</v>
      </c>
      <c r="BE372" s="13">
        <v>42825</v>
      </c>
      <c r="BF372" s="12"/>
      <c r="BG372" s="12" t="s">
        <v>908</v>
      </c>
      <c r="BH372" s="14">
        <v>1077211</v>
      </c>
      <c r="BI372" s="12" t="s">
        <v>6500</v>
      </c>
      <c r="BJ372" s="12" t="s">
        <v>6509</v>
      </c>
      <c r="BK372" s="12" t="s">
        <v>6502</v>
      </c>
      <c r="BL372" s="12"/>
      <c r="BM372" s="12"/>
      <c r="BN372" s="12"/>
      <c r="BO372" s="12" t="s">
        <v>320</v>
      </c>
      <c r="BP372" s="12" t="s">
        <v>319</v>
      </c>
      <c r="BQ372" s="12" t="s">
        <v>319</v>
      </c>
      <c r="BR372" s="12" t="s">
        <v>6510</v>
      </c>
      <c r="BS372" s="12" t="s">
        <v>357</v>
      </c>
      <c r="BT372" s="12" t="s">
        <v>6504</v>
      </c>
      <c r="BU372" s="12" t="s">
        <v>6505</v>
      </c>
      <c r="BV372" s="14">
        <v>82885</v>
      </c>
      <c r="BW372" s="14">
        <v>80851</v>
      </c>
      <c r="BX372" s="14">
        <v>163736</v>
      </c>
      <c r="BY372" s="14"/>
      <c r="BZ372" s="14"/>
      <c r="CA372" s="14"/>
      <c r="CB372" s="31" t="s">
        <v>14686</v>
      </c>
      <c r="CC372" s="39"/>
      <c r="CD372" s="14"/>
      <c r="CE372" s="14"/>
      <c r="CF372" s="14"/>
      <c r="CG372" s="14"/>
      <c r="CH372" s="14"/>
      <c r="CI372" s="14"/>
      <c r="CJ372" s="12"/>
      <c r="CK372" s="14"/>
      <c r="CL372" s="16"/>
      <c r="CM372" s="14"/>
      <c r="CN372" s="12"/>
      <c r="CO372" s="14"/>
      <c r="CP372" s="16"/>
      <c r="CQ372" s="14"/>
      <c r="CR372" s="12"/>
      <c r="CS372" s="14"/>
      <c r="CT372" s="16"/>
      <c r="CU372" s="14"/>
      <c r="CV372" s="12" t="s">
        <v>320</v>
      </c>
      <c r="CW372" s="14">
        <v>163736</v>
      </c>
      <c r="CX372" s="16">
        <v>0.51</v>
      </c>
      <c r="CY372" s="14"/>
      <c r="CZ372" s="12"/>
      <c r="DA372" s="14"/>
      <c r="DB372" s="16"/>
      <c r="DC372" s="14"/>
      <c r="DD372" s="12"/>
      <c r="DE372" s="14"/>
      <c r="DF372" s="16"/>
      <c r="DG372" s="14"/>
      <c r="DH372" s="12"/>
      <c r="DI372" s="14"/>
      <c r="DJ372" s="16"/>
      <c r="DK372" s="14"/>
      <c r="DL372" s="12"/>
      <c r="DM372" s="14"/>
      <c r="DN372" s="16"/>
      <c r="DO372" s="14"/>
      <c r="DP372" s="12"/>
      <c r="DQ372" s="14"/>
      <c r="DR372" s="16"/>
      <c r="DS372" s="14"/>
      <c r="DT372" s="12"/>
      <c r="DU372" s="14"/>
      <c r="DV372" s="16"/>
      <c r="DW372" s="14"/>
      <c r="DX372" s="12"/>
      <c r="DY372" s="14"/>
      <c r="DZ372" s="16"/>
      <c r="EA372" s="14"/>
      <c r="EB372" s="12"/>
      <c r="EC372" s="14"/>
      <c r="ED372" s="16"/>
      <c r="EE372" s="14"/>
      <c r="EF372" s="12"/>
      <c r="EG372" s="12"/>
      <c r="EH372" s="14"/>
      <c r="EI372" s="16"/>
      <c r="EJ372" s="14"/>
      <c r="EK372" s="14"/>
      <c r="EL372" s="14"/>
      <c r="EM372" s="14"/>
      <c r="EN372" s="14"/>
      <c r="EO372" s="14"/>
      <c r="EP372" s="14"/>
      <c r="EQ372" s="12"/>
      <c r="ER372" s="14"/>
      <c r="ES372" s="16"/>
      <c r="ET372" s="14"/>
      <c r="EU372" s="12"/>
      <c r="EV372" s="14"/>
      <c r="EW372" s="16"/>
      <c r="EX372" s="14"/>
      <c r="EY372" s="12"/>
      <c r="EZ372" s="14"/>
      <c r="FA372" s="16"/>
      <c r="FB372" s="14"/>
      <c r="FC372" s="12"/>
      <c r="FD372" s="14"/>
      <c r="FE372" s="16"/>
      <c r="FF372" s="14"/>
      <c r="FG372" s="12"/>
      <c r="FH372" s="14"/>
      <c r="FI372" s="16"/>
      <c r="FJ372" s="14"/>
      <c r="FK372" s="12"/>
      <c r="FL372" s="14"/>
      <c r="FM372" s="16"/>
      <c r="FN372" s="14"/>
      <c r="FO372" s="12"/>
      <c r="FP372" s="14"/>
      <c r="FQ372" s="16"/>
      <c r="FR372" s="14"/>
      <c r="FS372" s="12"/>
      <c r="FT372" s="14"/>
      <c r="FU372" s="16"/>
      <c r="FV372" s="14"/>
      <c r="FW372" s="12"/>
      <c r="FX372" s="14"/>
      <c r="FY372" s="16"/>
      <c r="FZ372" s="14"/>
      <c r="GA372" s="12"/>
      <c r="GB372" s="14"/>
      <c r="GC372" s="16"/>
      <c r="GD372" s="14"/>
      <c r="GE372" s="12"/>
      <c r="GF372" s="14"/>
      <c r="GG372" s="16"/>
      <c r="GH372" s="14"/>
      <c r="GI372" s="12"/>
      <c r="GJ372" s="14"/>
      <c r="GK372" s="16"/>
      <c r="GL372" s="14"/>
      <c r="GM372" s="12"/>
      <c r="GN372" s="14"/>
      <c r="GO372" s="16"/>
      <c r="GP372" s="14"/>
      <c r="GQ372" s="12"/>
      <c r="GR372" s="14"/>
      <c r="GS372" s="16"/>
      <c r="GT372" s="14"/>
      <c r="GU372" s="12"/>
      <c r="GV372" s="14"/>
      <c r="GW372" s="16"/>
      <c r="GX372" s="14"/>
      <c r="GY372" s="12"/>
      <c r="GZ372" s="14"/>
      <c r="HA372" s="16"/>
      <c r="HB372" s="14"/>
      <c r="HC372" s="39"/>
      <c r="HD372" s="12"/>
      <c r="HE372" s="14"/>
      <c r="HF372" s="16"/>
      <c r="HG372" s="14"/>
      <c r="HH372" s="12" t="s">
        <v>319</v>
      </c>
      <c r="HI372" s="12"/>
      <c r="HJ372" s="12"/>
      <c r="HK372" s="12" t="s">
        <v>319</v>
      </c>
      <c r="HL372" s="12" t="s">
        <v>319</v>
      </c>
      <c r="HM372" s="12"/>
      <c r="HN372" s="12"/>
      <c r="HO372" s="12"/>
      <c r="HP372" s="12" t="s">
        <v>418</v>
      </c>
      <c r="HQ372" s="12" t="s">
        <v>319</v>
      </c>
      <c r="HR372" s="12" t="s">
        <v>319</v>
      </c>
      <c r="HS372" s="12" t="s">
        <v>319</v>
      </c>
      <c r="HT372" s="12" t="s">
        <v>320</v>
      </c>
      <c r="HU372" s="12" t="s">
        <v>319</v>
      </c>
      <c r="HV372" s="12" t="s">
        <v>319</v>
      </c>
      <c r="HW372" s="12" t="s">
        <v>319</v>
      </c>
      <c r="HX372" s="12"/>
      <c r="HZ372" s="12" t="s">
        <v>363</v>
      </c>
      <c r="IA372" s="12"/>
      <c r="IB372" s="12" t="s">
        <v>333</v>
      </c>
      <c r="IC372" s="12"/>
      <c r="ID372" s="12" t="s">
        <v>334</v>
      </c>
      <c r="IE372" s="12" t="s">
        <v>335</v>
      </c>
      <c r="IF372" s="12" t="s">
        <v>320</v>
      </c>
      <c r="IG372" s="12" t="s">
        <v>320</v>
      </c>
      <c r="IH372" s="12" t="s">
        <v>320</v>
      </c>
      <c r="II372" s="12" t="s">
        <v>320</v>
      </c>
      <c r="IJ372" s="12" t="str">
        <f t="shared" si="216"/>
        <v>2. Sensitive</v>
      </c>
      <c r="IK372" s="12">
        <f t="shared" si="217"/>
        <v>4</v>
      </c>
      <c r="IL372" s="12" t="s">
        <v>336</v>
      </c>
      <c r="IM372" s="12" t="s">
        <v>320</v>
      </c>
      <c r="IN372" s="12" t="s">
        <v>319</v>
      </c>
      <c r="IO372" s="12" t="s">
        <v>320</v>
      </c>
      <c r="IP372" s="12" t="s">
        <v>320</v>
      </c>
      <c r="IQ372" s="12" t="str">
        <f t="shared" si="218"/>
        <v>2. Accommodating</v>
      </c>
      <c r="IR372" s="12">
        <f t="shared" si="219"/>
        <v>3</v>
      </c>
      <c r="IS372" s="12" t="s">
        <v>337</v>
      </c>
      <c r="IT372" s="12" t="s">
        <v>320</v>
      </c>
      <c r="IU372" s="12" t="s">
        <v>319</v>
      </c>
      <c r="IV372" s="12" t="s">
        <v>319</v>
      </c>
      <c r="IW372" s="11" t="str">
        <f t="shared" si="220"/>
        <v>1. Neutral</v>
      </c>
      <c r="IX372" s="12">
        <f t="shared" si="221"/>
        <v>1</v>
      </c>
      <c r="IY372" s="12" t="s">
        <v>338</v>
      </c>
      <c r="IZ372" s="12" t="s">
        <v>339</v>
      </c>
      <c r="JA372" s="12"/>
      <c r="JB372" s="12"/>
      <c r="JC372" s="12"/>
      <c r="JD372" s="12"/>
      <c r="JE372" s="12" t="s">
        <v>420</v>
      </c>
      <c r="JF372" s="12"/>
      <c r="JG372" s="12"/>
      <c r="JH372" s="12" t="s">
        <v>6511</v>
      </c>
      <c r="JI372" s="12" t="s">
        <v>6512</v>
      </c>
      <c r="JJ372" s="12"/>
      <c r="JK372" s="12" t="s">
        <v>6513</v>
      </c>
      <c r="JL372" s="12" t="s">
        <v>6514</v>
      </c>
      <c r="JM372" s="12"/>
      <c r="JN372" s="31" t="s">
        <v>14687</v>
      </c>
      <c r="JO372" s="12" t="s">
        <v>6515</v>
      </c>
      <c r="JP372" s="15">
        <f t="shared" si="222"/>
        <v>0</v>
      </c>
      <c r="JQ372" s="15">
        <f t="shared" si="223"/>
        <v>0</v>
      </c>
      <c r="JR372" s="279" t="str">
        <f t="shared" si="224"/>
        <v/>
      </c>
      <c r="JS372" s="17" t="str">
        <f t="shared" si="225"/>
        <v/>
      </c>
      <c r="JT372" s="18" t="str">
        <f t="shared" si="226"/>
        <v/>
      </c>
      <c r="JU372" s="280">
        <f t="shared" si="227"/>
        <v>0</v>
      </c>
      <c r="JV372" s="280">
        <f t="shared" si="228"/>
        <v>0</v>
      </c>
      <c r="JW372" s="319">
        <f t="shared" si="229"/>
        <v>1</v>
      </c>
      <c r="JX372" s="15">
        <f t="shared" si="230"/>
        <v>0</v>
      </c>
      <c r="JY372" s="15">
        <f t="shared" si="231"/>
        <v>0</v>
      </c>
      <c r="JZ372" s="19" t="str">
        <f t="shared" si="232"/>
        <v/>
      </c>
      <c r="KA372" s="52">
        <f t="shared" si="233"/>
        <v>1</v>
      </c>
      <c r="KB372" s="15">
        <f t="shared" si="234"/>
        <v>163736</v>
      </c>
      <c r="KC372" s="15">
        <f t="shared" si="235"/>
        <v>0</v>
      </c>
      <c r="KD372" s="20">
        <f t="shared" si="236"/>
        <v>0</v>
      </c>
      <c r="KE372" s="52" t="str">
        <f t="shared" si="237"/>
        <v/>
      </c>
      <c r="KF372" s="15">
        <f t="shared" si="238"/>
        <v>0</v>
      </c>
      <c r="KG372" s="15">
        <f t="shared" si="239"/>
        <v>0</v>
      </c>
      <c r="KH372" s="21" t="str">
        <f t="shared" si="240"/>
        <v/>
      </c>
      <c r="KI372" s="52" t="str">
        <f t="shared" si="241"/>
        <v/>
      </c>
      <c r="KJ372" s="15">
        <f t="shared" si="242"/>
        <v>0</v>
      </c>
      <c r="KK372" s="15">
        <f t="shared" si="243"/>
        <v>0</v>
      </c>
      <c r="KL372" s="19" t="str">
        <f t="shared" si="244"/>
        <v/>
      </c>
      <c r="KM372" s="52" t="str">
        <f t="shared" si="245"/>
        <v/>
      </c>
      <c r="KN372" s="22">
        <f t="shared" si="246"/>
        <v>0</v>
      </c>
      <c r="KO372" s="22">
        <f t="shared" si="247"/>
        <v>0</v>
      </c>
      <c r="KP372" s="19" t="str">
        <f t="shared" si="248"/>
        <v/>
      </c>
      <c r="KQ372" s="11" t="str">
        <f t="shared" si="249"/>
        <v>2. Sensitive</v>
      </c>
      <c r="KR372" s="11" t="str">
        <f t="shared" si="250"/>
        <v>2. Accommodating</v>
      </c>
      <c r="KS372" s="11" t="str">
        <f t="shared" si="251"/>
        <v>1. Neutral</v>
      </c>
      <c r="KT372" s="11" t="str">
        <f t="shared" si="252"/>
        <v>It did not develop any specific innovation</v>
      </c>
      <c r="KU372" s="11" t="str">
        <f t="shared" si="253"/>
        <v>Little or no advocacy</v>
      </c>
      <c r="KV372" s="11" t="str">
        <f t="shared" si="254"/>
        <v>It did not take tested solutions to scale</v>
      </c>
      <c r="KW372" s="11" t="str">
        <f t="shared" si="255"/>
        <v>Kenya - General Food Distribution</v>
      </c>
      <c r="KX372" s="11" t="str">
        <f t="shared" si="256"/>
        <v>General Food Distribution</v>
      </c>
      <c r="KY372" s="11" t="str">
        <f t="shared" si="257"/>
        <v>Kenya</v>
      </c>
      <c r="KZ372" s="12">
        <v>372</v>
      </c>
    </row>
    <row r="373" spans="1:312" x14ac:dyDescent="0.3">
      <c r="A373" s="11" t="s">
        <v>6457</v>
      </c>
      <c r="B373" s="11" t="s">
        <v>1874</v>
      </c>
      <c r="D373" s="11" t="s">
        <v>6711</v>
      </c>
      <c r="E373" s="24" t="str">
        <f t="shared" si="215"/>
        <v>Kenya</v>
      </c>
      <c r="G373" s="11" t="s">
        <v>379</v>
      </c>
      <c r="H373" s="11" t="s">
        <v>383</v>
      </c>
      <c r="I373" s="11" t="s">
        <v>384</v>
      </c>
      <c r="J373" s="278" t="s">
        <v>14688</v>
      </c>
      <c r="BD373" s="23">
        <v>41820</v>
      </c>
      <c r="BE373" s="23">
        <v>43465</v>
      </c>
      <c r="BG373" s="11" t="s">
        <v>312</v>
      </c>
      <c r="BH373" s="22">
        <v>29486</v>
      </c>
      <c r="BI373" s="11" t="s">
        <v>6712</v>
      </c>
      <c r="BJ373" s="11" t="s">
        <v>6713</v>
      </c>
      <c r="BK373" s="11" t="s">
        <v>6518</v>
      </c>
      <c r="BL373" s="11" t="s">
        <v>6714</v>
      </c>
      <c r="BM373" s="11" t="s">
        <v>6715</v>
      </c>
      <c r="BN373" s="11" t="s">
        <v>6716</v>
      </c>
      <c r="BO373" s="12" t="s">
        <v>319</v>
      </c>
      <c r="BP373" s="12" t="s">
        <v>320</v>
      </c>
      <c r="BQ373" s="12" t="s">
        <v>319</v>
      </c>
      <c r="BR373" s="11" t="s">
        <v>6717</v>
      </c>
      <c r="BS373" s="28" t="s">
        <v>357</v>
      </c>
      <c r="BT373" s="11" t="s">
        <v>6718</v>
      </c>
      <c r="BU373" s="11" t="s">
        <v>6719</v>
      </c>
      <c r="BV373" s="22">
        <v>4</v>
      </c>
      <c r="BW373" s="22">
        <v>0</v>
      </c>
      <c r="BX373" s="22">
        <v>4</v>
      </c>
      <c r="BY373" s="22">
        <v>13</v>
      </c>
      <c r="BZ373" s="22">
        <v>12</v>
      </c>
      <c r="CA373" s="22">
        <v>25</v>
      </c>
      <c r="CB373" s="15" t="s">
        <v>6720</v>
      </c>
      <c r="CL373" s="18"/>
      <c r="CP373" s="18"/>
      <c r="CT373" s="18"/>
      <c r="CX373" s="18"/>
      <c r="DB373" s="18"/>
      <c r="DF373" s="18"/>
      <c r="DJ373" s="18"/>
      <c r="DN373" s="18"/>
      <c r="DR373" s="18"/>
      <c r="DV373" s="18"/>
      <c r="DZ373" s="18"/>
      <c r="ED373" s="18"/>
      <c r="EI373" s="18"/>
      <c r="EK373" s="22">
        <v>4</v>
      </c>
      <c r="EL373" s="22">
        <v>0</v>
      </c>
      <c r="EM373" s="22">
        <v>4</v>
      </c>
      <c r="EN373" s="22">
        <v>13</v>
      </c>
      <c r="EO373" s="22">
        <v>12</v>
      </c>
      <c r="EP373" s="22">
        <v>25</v>
      </c>
      <c r="ES373" s="18"/>
      <c r="EW373" s="18"/>
      <c r="FA373" s="18"/>
      <c r="FE373" s="18"/>
      <c r="FI373" s="18"/>
      <c r="FK373" s="12" t="s">
        <v>320</v>
      </c>
      <c r="FL373" s="22">
        <v>4</v>
      </c>
      <c r="FM373" s="18">
        <v>1</v>
      </c>
      <c r="FN373" s="22">
        <v>25</v>
      </c>
      <c r="FQ373" s="18"/>
      <c r="FU373" s="18"/>
      <c r="FY373" s="18"/>
      <c r="GC373" s="18"/>
      <c r="GG373" s="18"/>
      <c r="GK373" s="18"/>
      <c r="GO373" s="18"/>
      <c r="GQ373" s="12" t="s">
        <v>320</v>
      </c>
      <c r="GR373" s="22">
        <v>4</v>
      </c>
      <c r="GS373" s="18">
        <v>1</v>
      </c>
      <c r="GT373" s="22">
        <v>25</v>
      </c>
      <c r="GW373" s="18"/>
      <c r="HA373" s="18"/>
      <c r="HF373" s="18"/>
      <c r="HH373" s="11" t="s">
        <v>319</v>
      </c>
      <c r="HL373" s="11" t="s">
        <v>319</v>
      </c>
      <c r="HP373" s="11" t="s">
        <v>418</v>
      </c>
      <c r="HQ373" s="11" t="s">
        <v>319</v>
      </c>
      <c r="HR373" s="11" t="s">
        <v>319</v>
      </c>
      <c r="HT373" s="11" t="s">
        <v>319</v>
      </c>
      <c r="HU373" s="11" t="s">
        <v>319</v>
      </c>
      <c r="HW373" s="11" t="s">
        <v>319</v>
      </c>
      <c r="HZ373" s="11" t="s">
        <v>363</v>
      </c>
      <c r="IB373" s="11" t="s">
        <v>333</v>
      </c>
      <c r="ID373" s="11" t="s">
        <v>364</v>
      </c>
      <c r="IE373" s="11" t="s">
        <v>335</v>
      </c>
      <c r="IF373" s="11" t="s">
        <v>320</v>
      </c>
      <c r="IG373" s="11" t="s">
        <v>320</v>
      </c>
      <c r="IH373" s="11" t="s">
        <v>320</v>
      </c>
      <c r="II373" s="11" t="s">
        <v>320</v>
      </c>
      <c r="IJ373" s="12" t="str">
        <f t="shared" si="216"/>
        <v>2. Sensitive</v>
      </c>
      <c r="IK373" s="12">
        <f t="shared" si="217"/>
        <v>4</v>
      </c>
      <c r="IL373" s="11" t="s">
        <v>336</v>
      </c>
      <c r="IM373" s="11" t="s">
        <v>320</v>
      </c>
      <c r="IN373" s="11" t="s">
        <v>319</v>
      </c>
      <c r="IO373" s="11" t="s">
        <v>320</v>
      </c>
      <c r="IP373" s="11" t="s">
        <v>320</v>
      </c>
      <c r="IQ373" s="12" t="str">
        <f t="shared" si="218"/>
        <v>2. Accommodating</v>
      </c>
      <c r="IR373" s="12">
        <f t="shared" si="219"/>
        <v>3</v>
      </c>
      <c r="IS373" s="11" t="s">
        <v>337</v>
      </c>
      <c r="IT373" s="11" t="s">
        <v>319</v>
      </c>
      <c r="IU373" s="11" t="s">
        <v>320</v>
      </c>
      <c r="IV373" s="11" t="s">
        <v>319</v>
      </c>
      <c r="IW373" s="11" t="str">
        <f t="shared" si="220"/>
        <v>1. Neutral</v>
      </c>
      <c r="IX373" s="12">
        <f t="shared" si="221"/>
        <v>1</v>
      </c>
      <c r="IY373" s="11" t="s">
        <v>338</v>
      </c>
      <c r="IZ373" s="11" t="s">
        <v>432</v>
      </c>
      <c r="JA373" s="11">
        <v>4</v>
      </c>
      <c r="JB373" s="11" t="s">
        <v>384</v>
      </c>
      <c r="JE373" s="11" t="s">
        <v>420</v>
      </c>
      <c r="JH373" s="11" t="s">
        <v>6721</v>
      </c>
      <c r="JI373" s="11" t="s">
        <v>6722</v>
      </c>
      <c r="JJ373" s="11" t="s">
        <v>6723</v>
      </c>
      <c r="JK373" s="11" t="s">
        <v>6724</v>
      </c>
      <c r="JP373" s="15">
        <f t="shared" si="222"/>
        <v>4</v>
      </c>
      <c r="JQ373" s="15">
        <f t="shared" si="223"/>
        <v>25</v>
      </c>
      <c r="JR373" s="279">
        <f t="shared" si="224"/>
        <v>6.25</v>
      </c>
      <c r="JS373" s="17">
        <f t="shared" si="225"/>
        <v>1</v>
      </c>
      <c r="JT373" s="18">
        <f t="shared" si="226"/>
        <v>0.52</v>
      </c>
      <c r="JU373" s="280">
        <f t="shared" si="227"/>
        <v>4</v>
      </c>
      <c r="JV373" s="280">
        <f t="shared" si="228"/>
        <v>13</v>
      </c>
      <c r="JW373" s="319" t="str">
        <f t="shared" si="229"/>
        <v/>
      </c>
      <c r="JX373" s="15">
        <f t="shared" si="230"/>
        <v>0</v>
      </c>
      <c r="JY373" s="15">
        <f t="shared" si="231"/>
        <v>0</v>
      </c>
      <c r="JZ373" s="19" t="str">
        <f t="shared" si="232"/>
        <v/>
      </c>
      <c r="KA373" s="52" t="str">
        <f t="shared" si="233"/>
        <v/>
      </c>
      <c r="KB373" s="15">
        <f t="shared" si="234"/>
        <v>0</v>
      </c>
      <c r="KC373" s="15">
        <f t="shared" si="235"/>
        <v>0</v>
      </c>
      <c r="KD373" s="20" t="str">
        <f t="shared" si="236"/>
        <v/>
      </c>
      <c r="KE373" s="52">
        <f t="shared" si="237"/>
        <v>1</v>
      </c>
      <c r="KF373" s="15">
        <f t="shared" si="238"/>
        <v>4</v>
      </c>
      <c r="KG373" s="15">
        <f t="shared" si="239"/>
        <v>25</v>
      </c>
      <c r="KH373" s="21">
        <f t="shared" si="240"/>
        <v>6.25</v>
      </c>
      <c r="KI373" s="52" t="str">
        <f t="shared" si="241"/>
        <v/>
      </c>
      <c r="KJ373" s="15">
        <f t="shared" si="242"/>
        <v>0</v>
      </c>
      <c r="KK373" s="15">
        <f t="shared" si="243"/>
        <v>0</v>
      </c>
      <c r="KL373" s="19" t="str">
        <f t="shared" si="244"/>
        <v/>
      </c>
      <c r="KM373" s="52" t="str">
        <f t="shared" si="245"/>
        <v/>
      </c>
      <c r="KN373" s="22">
        <f t="shared" si="246"/>
        <v>0</v>
      </c>
      <c r="KO373" s="22">
        <f t="shared" si="247"/>
        <v>0</v>
      </c>
      <c r="KP373" s="19" t="str">
        <f t="shared" si="248"/>
        <v/>
      </c>
      <c r="KQ373" s="11" t="str">
        <f t="shared" si="249"/>
        <v>2. Sensitive</v>
      </c>
      <c r="KR373" s="11" t="str">
        <f t="shared" si="250"/>
        <v>2. Accommodating</v>
      </c>
      <c r="KS373" s="11" t="str">
        <f t="shared" si="251"/>
        <v>1. Neutral</v>
      </c>
      <c r="KT373" s="11" t="str">
        <f t="shared" si="252"/>
        <v>It did not develop any specific innovation</v>
      </c>
      <c r="KU373" s="11" t="str">
        <f t="shared" si="253"/>
        <v>Little or no advocacy</v>
      </c>
      <c r="KV373" s="11" t="str">
        <f t="shared" si="254"/>
        <v>It did not take tested solutions to scale</v>
      </c>
      <c r="KW373" s="11" t="str">
        <f t="shared" si="255"/>
        <v>Kenya - GIRLS SCHOLARSHIP PROJECT</v>
      </c>
      <c r="KX373" s="11" t="str">
        <f t="shared" si="256"/>
        <v>GIRLS SCHOLARSHIP PROJECT</v>
      </c>
      <c r="KY373" s="11" t="str">
        <f t="shared" si="257"/>
        <v>Kenya</v>
      </c>
      <c r="KZ373" s="12">
        <v>373</v>
      </c>
    </row>
    <row r="374" spans="1:312" x14ac:dyDescent="0.3">
      <c r="A374" s="282" t="s">
        <v>6457</v>
      </c>
      <c r="B374" s="282" t="s">
        <v>1874</v>
      </c>
      <c r="C374" s="282">
        <v>961</v>
      </c>
      <c r="D374" s="282" t="s">
        <v>6800</v>
      </c>
      <c r="E374" s="277" t="str">
        <f t="shared" si="215"/>
        <v>Kenya</v>
      </c>
      <c r="F374" s="282" t="s">
        <v>14689</v>
      </c>
      <c r="G374" s="282" t="s">
        <v>1738</v>
      </c>
      <c r="H374" s="282" t="s">
        <v>383</v>
      </c>
      <c r="I374" s="282" t="s">
        <v>384</v>
      </c>
      <c r="J374" s="281" t="s">
        <v>14690</v>
      </c>
      <c r="K374" s="282"/>
      <c r="L374" s="282"/>
      <c r="M374" s="282"/>
      <c r="N374" s="282"/>
      <c r="O374" s="282"/>
      <c r="P374" s="282"/>
      <c r="Q374" s="282"/>
      <c r="R374" s="282"/>
      <c r="S374" s="282"/>
      <c r="T374" s="282"/>
      <c r="U374" s="282"/>
      <c r="V374" s="282"/>
      <c r="W374" s="282"/>
      <c r="X374" s="282"/>
      <c r="Y374" s="282"/>
      <c r="Z374" s="282"/>
      <c r="AA374" s="282"/>
      <c r="AB374" s="282"/>
      <c r="AC374" s="282"/>
      <c r="AD374" s="282"/>
      <c r="AE374" s="282"/>
      <c r="AF374" s="282"/>
      <c r="AG374" s="282"/>
      <c r="AH374" s="282"/>
      <c r="AI374" s="282"/>
      <c r="AJ374" s="282"/>
      <c r="AK374" s="282"/>
      <c r="AL374" s="282"/>
      <c r="AM374" s="282"/>
      <c r="AN374" s="282"/>
      <c r="AO374" s="282"/>
      <c r="AP374" s="282"/>
      <c r="AQ374" s="282"/>
      <c r="AR374" s="282"/>
      <c r="AS374" s="282"/>
      <c r="AT374" s="282"/>
      <c r="AU374" s="282"/>
      <c r="AV374" s="282"/>
      <c r="AW374" s="282"/>
      <c r="AX374" s="282"/>
      <c r="AY374" s="282"/>
      <c r="AZ374" s="282"/>
      <c r="BA374" s="282"/>
      <c r="BB374" s="282"/>
      <c r="BC374" s="282"/>
      <c r="BD374" s="283">
        <v>42156</v>
      </c>
      <c r="BE374" s="283">
        <v>43252</v>
      </c>
      <c r="BF374" s="283"/>
      <c r="BG374" s="283" t="s">
        <v>947</v>
      </c>
      <c r="BH374" s="284">
        <v>300</v>
      </c>
      <c r="BI374" s="282" t="s">
        <v>6778</v>
      </c>
      <c r="BJ374" s="282"/>
      <c r="BK374" s="282"/>
      <c r="BL374" s="282"/>
      <c r="BM374" s="282"/>
      <c r="BN374" s="282"/>
      <c r="BO374" s="282" t="s">
        <v>320</v>
      </c>
      <c r="BP374" s="282" t="s">
        <v>320</v>
      </c>
      <c r="BQ374" s="282" t="s">
        <v>320</v>
      </c>
      <c r="BR374" s="282" t="s">
        <v>6801</v>
      </c>
      <c r="BS374" s="282" t="s">
        <v>357</v>
      </c>
      <c r="BT374" s="282" t="s">
        <v>6802</v>
      </c>
      <c r="BU374" s="282" t="s">
        <v>6803</v>
      </c>
      <c r="BV374" s="284">
        <v>11100</v>
      </c>
      <c r="BW374" s="284"/>
      <c r="BX374" s="284"/>
      <c r="BY374" s="284">
        <v>2275</v>
      </c>
      <c r="BZ374" s="284"/>
      <c r="CA374" s="284">
        <v>2275</v>
      </c>
      <c r="CB374" s="285" t="s">
        <v>6803</v>
      </c>
      <c r="CC374" s="285"/>
      <c r="CD374" s="284">
        <v>11100</v>
      </c>
      <c r="CE374" s="284"/>
      <c r="CF374" s="284">
        <v>11100</v>
      </c>
      <c r="CG374" s="284">
        <v>2275</v>
      </c>
      <c r="CH374" s="284"/>
      <c r="CI374" s="284">
        <v>2275</v>
      </c>
      <c r="CJ374" s="282"/>
      <c r="CK374" s="284"/>
      <c r="CL374" s="286"/>
      <c r="CM374" s="284"/>
      <c r="CN374" s="287"/>
      <c r="CO374" s="284"/>
      <c r="CP374" s="286"/>
      <c r="CQ374" s="284"/>
      <c r="CR374" s="282"/>
      <c r="CS374" s="284"/>
      <c r="CT374" s="286"/>
      <c r="CU374" s="284"/>
      <c r="CV374" s="292"/>
      <c r="CW374" s="290"/>
      <c r="CX374" s="291"/>
      <c r="CY374" s="306"/>
      <c r="CZ374" s="282"/>
      <c r="DA374" s="284"/>
      <c r="DB374" s="286"/>
      <c r="DC374" s="284"/>
      <c r="DD374" s="287" t="s">
        <v>320</v>
      </c>
      <c r="DE374" s="284"/>
      <c r="DF374" s="286"/>
      <c r="DG374" s="284"/>
      <c r="DH374" s="282"/>
      <c r="DI374" s="284"/>
      <c r="DJ374" s="286"/>
      <c r="DK374" s="284"/>
      <c r="DL374" s="282"/>
      <c r="DM374" s="284"/>
      <c r="DN374" s="286"/>
      <c r="DO374" s="284"/>
      <c r="DP374" s="282"/>
      <c r="DQ374" s="284"/>
      <c r="DR374" s="286"/>
      <c r="DS374" s="284"/>
      <c r="DT374" s="282" t="s">
        <v>320</v>
      </c>
      <c r="DU374" s="284"/>
      <c r="DV374" s="286"/>
      <c r="DW374" s="284"/>
      <c r="DX374" s="282"/>
      <c r="DY374" s="284"/>
      <c r="DZ374" s="286"/>
      <c r="EA374" s="284"/>
      <c r="EB374" s="282"/>
      <c r="EC374" s="284"/>
      <c r="ED374" s="286"/>
      <c r="EE374" s="284"/>
      <c r="EF374" s="285" t="s">
        <v>6782</v>
      </c>
      <c r="EG374" s="287" t="s">
        <v>320</v>
      </c>
      <c r="EH374" s="284"/>
      <c r="EI374" s="286"/>
      <c r="EJ374" s="284"/>
      <c r="EK374" s="284">
        <v>2275</v>
      </c>
      <c r="EL374" s="284"/>
      <c r="EM374" s="284">
        <v>2275</v>
      </c>
      <c r="EN374" s="284">
        <v>11100</v>
      </c>
      <c r="EO374" s="284"/>
      <c r="EP374" s="284">
        <v>11100</v>
      </c>
      <c r="EQ374" s="282"/>
      <c r="ER374" s="284"/>
      <c r="ES374" s="286"/>
      <c r="ET374" s="284"/>
      <c r="EU374" s="282"/>
      <c r="EV374" s="284"/>
      <c r="EW374" s="286"/>
      <c r="EX374" s="284"/>
      <c r="EY374" s="282"/>
      <c r="EZ374" s="284"/>
      <c r="FA374" s="286"/>
      <c r="FB374" s="284"/>
      <c r="FC374" s="282"/>
      <c r="FD374" s="284"/>
      <c r="FE374" s="286"/>
      <c r="FF374" s="284"/>
      <c r="FG374" s="282"/>
      <c r="FH374" s="284"/>
      <c r="FI374" s="286"/>
      <c r="FJ374" s="284"/>
      <c r="FK374" s="282"/>
      <c r="FL374" s="284"/>
      <c r="FM374" s="286"/>
      <c r="FN374" s="284"/>
      <c r="FO374" s="289" t="s">
        <v>320</v>
      </c>
      <c r="FP374" s="300">
        <v>11100</v>
      </c>
      <c r="FQ374" s="307"/>
      <c r="FR374" s="300">
        <v>11100</v>
      </c>
      <c r="FS374" s="282"/>
      <c r="FT374" s="284"/>
      <c r="FU374" s="286"/>
      <c r="FV374" s="284"/>
      <c r="FW374" s="282" t="s">
        <v>320</v>
      </c>
      <c r="FX374" s="284"/>
      <c r="FY374" s="286"/>
      <c r="FZ374" s="284"/>
      <c r="GA374" s="282"/>
      <c r="GB374" s="284"/>
      <c r="GC374" s="286"/>
      <c r="GD374" s="284"/>
      <c r="GE374" s="282"/>
      <c r="GF374" s="284"/>
      <c r="GG374" s="286"/>
      <c r="GH374" s="284"/>
      <c r="GI374" s="282"/>
      <c r="GJ374" s="284"/>
      <c r="GK374" s="286"/>
      <c r="GL374" s="284"/>
      <c r="GM374" s="282"/>
      <c r="GN374" s="284"/>
      <c r="GO374" s="286"/>
      <c r="GP374" s="284"/>
      <c r="GQ374" s="282" t="s">
        <v>320</v>
      </c>
      <c r="GR374" s="284"/>
      <c r="GS374" s="286"/>
      <c r="GT374" s="284"/>
      <c r="GU374" s="282"/>
      <c r="GV374" s="284"/>
      <c r="GW374" s="286"/>
      <c r="GX374" s="284"/>
      <c r="GY374" s="282"/>
      <c r="GZ374" s="284"/>
      <c r="HA374" s="286"/>
      <c r="HB374" s="284"/>
      <c r="HC374" s="282"/>
      <c r="HD374" s="282"/>
      <c r="HE374" s="284"/>
      <c r="HF374" s="286"/>
      <c r="HG374" s="284"/>
      <c r="HH374" s="282" t="s">
        <v>319</v>
      </c>
      <c r="HI374" s="282"/>
      <c r="HJ374" s="282">
        <v>2016</v>
      </c>
      <c r="HK374" s="282"/>
      <c r="HL374" s="282" t="s">
        <v>319</v>
      </c>
      <c r="HM374" s="282"/>
      <c r="HN374" s="282"/>
      <c r="HO374" s="282"/>
      <c r="HP374" s="282" t="s">
        <v>330</v>
      </c>
      <c r="HQ374" s="282"/>
      <c r="HR374" s="282"/>
      <c r="HS374" s="282" t="s">
        <v>320</v>
      </c>
      <c r="HT374" s="282" t="s">
        <v>320</v>
      </c>
      <c r="HU374" s="282" t="s">
        <v>320</v>
      </c>
      <c r="HV374" s="282"/>
      <c r="HW374" s="282"/>
      <c r="HX374" s="282"/>
      <c r="HY374" s="282"/>
      <c r="HZ374" s="282"/>
      <c r="IA374" s="282"/>
      <c r="IB374" s="282" t="s">
        <v>396</v>
      </c>
      <c r="IC374" s="282" t="s">
        <v>6784</v>
      </c>
      <c r="ID374" s="282"/>
      <c r="IE374" s="282" t="s">
        <v>478</v>
      </c>
      <c r="IF374" s="282" t="s">
        <v>320</v>
      </c>
      <c r="IG374" s="282" t="s">
        <v>320</v>
      </c>
      <c r="IH374" s="282" t="s">
        <v>320</v>
      </c>
      <c r="II374" s="282" t="s">
        <v>320</v>
      </c>
      <c r="IJ374" s="12" t="str">
        <f t="shared" si="216"/>
        <v>4. Transformative</v>
      </c>
      <c r="IK374" s="287">
        <f t="shared" si="217"/>
        <v>4</v>
      </c>
      <c r="IL374" s="282" t="s">
        <v>336</v>
      </c>
      <c r="IM374" s="282"/>
      <c r="IN374" s="282"/>
      <c r="IO374" s="282"/>
      <c r="IP374" s="282"/>
      <c r="IQ374" s="287" t="str">
        <f t="shared" si="218"/>
        <v>0. Unaware</v>
      </c>
      <c r="IR374" s="287">
        <f t="shared" si="219"/>
        <v>0</v>
      </c>
      <c r="IS374" s="282"/>
      <c r="IT374" s="282"/>
      <c r="IU374" s="282"/>
      <c r="IV374" s="282"/>
      <c r="IW374" s="11" t="str">
        <f t="shared" si="220"/>
        <v>No marker score</v>
      </c>
      <c r="IX374" s="287">
        <f t="shared" si="221"/>
        <v>0</v>
      </c>
      <c r="IY374" s="282"/>
      <c r="IZ374" s="282"/>
      <c r="JA374" s="282"/>
      <c r="JB374" s="282"/>
      <c r="JC374" s="282"/>
      <c r="JD374" s="282"/>
      <c r="JE374" s="282"/>
      <c r="JF374" s="282"/>
      <c r="JG374" s="282"/>
      <c r="JH374" s="282"/>
      <c r="JI374" s="282"/>
      <c r="JJ374" s="282"/>
      <c r="JK374" s="282" t="s">
        <v>6785</v>
      </c>
      <c r="JL374" s="282"/>
      <c r="JM374" s="282"/>
      <c r="JN374" s="282"/>
      <c r="JO374" s="282" t="s">
        <v>6804</v>
      </c>
      <c r="JP374" s="15">
        <f t="shared" si="222"/>
        <v>11100</v>
      </c>
      <c r="JQ374" s="15">
        <f t="shared" si="223"/>
        <v>11100</v>
      </c>
      <c r="JR374" s="279">
        <f t="shared" si="224"/>
        <v>1</v>
      </c>
      <c r="JS374" s="17">
        <f t="shared" si="225"/>
        <v>1</v>
      </c>
      <c r="JT374" s="18">
        <f t="shared" si="226"/>
        <v>1</v>
      </c>
      <c r="JU374" s="280">
        <f t="shared" si="227"/>
        <v>11100</v>
      </c>
      <c r="JV374" s="280">
        <f t="shared" si="228"/>
        <v>11100</v>
      </c>
      <c r="JW374" s="319">
        <f t="shared" si="229"/>
        <v>1</v>
      </c>
      <c r="JX374" s="15">
        <f t="shared" si="230"/>
        <v>11100</v>
      </c>
      <c r="JY374" s="15">
        <f t="shared" si="231"/>
        <v>2275</v>
      </c>
      <c r="JZ374" s="19">
        <f t="shared" si="232"/>
        <v>0.20495495495495494</v>
      </c>
      <c r="KA374" s="52">
        <f t="shared" si="233"/>
        <v>1</v>
      </c>
      <c r="KB374" s="15">
        <f t="shared" si="234"/>
        <v>11100</v>
      </c>
      <c r="KC374" s="15">
        <f t="shared" si="235"/>
        <v>11100</v>
      </c>
      <c r="KD374" s="20">
        <f t="shared" si="236"/>
        <v>1</v>
      </c>
      <c r="KE374" s="52">
        <f t="shared" si="237"/>
        <v>1</v>
      </c>
      <c r="KF374" s="15">
        <f t="shared" si="238"/>
        <v>0</v>
      </c>
      <c r="KG374" s="15">
        <f t="shared" si="239"/>
        <v>0</v>
      </c>
      <c r="KH374" s="21" t="str">
        <f t="shared" si="240"/>
        <v/>
      </c>
      <c r="KI374" s="52" t="str">
        <f t="shared" si="241"/>
        <v/>
      </c>
      <c r="KJ374" s="15">
        <f t="shared" si="242"/>
        <v>0</v>
      </c>
      <c r="KK374" s="15">
        <f t="shared" si="243"/>
        <v>0</v>
      </c>
      <c r="KL374" s="19" t="str">
        <f t="shared" si="244"/>
        <v/>
      </c>
      <c r="KM374" s="52" t="str">
        <f t="shared" si="245"/>
        <v/>
      </c>
      <c r="KN374" s="22">
        <f t="shared" si="246"/>
        <v>0</v>
      </c>
      <c r="KO374" s="22">
        <f t="shared" si="247"/>
        <v>0</v>
      </c>
      <c r="KP374" s="19" t="str">
        <f t="shared" si="248"/>
        <v/>
      </c>
      <c r="KQ374" s="11" t="str">
        <f t="shared" si="249"/>
        <v>4. Transformative</v>
      </c>
      <c r="KR374" s="11" t="str">
        <f t="shared" si="250"/>
        <v>0. Unaware</v>
      </c>
      <c r="KS374" s="11" t="str">
        <f t="shared" si="251"/>
        <v>No marker score</v>
      </c>
      <c r="KT374" s="11">
        <f t="shared" si="252"/>
        <v>0</v>
      </c>
      <c r="KU374" s="11" t="str">
        <f t="shared" si="253"/>
        <v>Moderate advocacy</v>
      </c>
      <c r="KV374" s="11" t="str">
        <f t="shared" si="254"/>
        <v>It linked and worked with strategic alliances and partners to take tested and effective solutions to scale</v>
      </c>
      <c r="KW374" s="11" t="str">
        <f t="shared" si="255"/>
        <v>Kenya - Improving maternal and child health 'UZAZI WEMA' Project.</v>
      </c>
      <c r="KX374" s="11" t="str">
        <f t="shared" si="256"/>
        <v>Improving maternal and child health 'UZAZI WEMA' Project.</v>
      </c>
      <c r="KY374" s="11" t="str">
        <f t="shared" si="257"/>
        <v>Kenya</v>
      </c>
      <c r="KZ374" s="12">
        <v>374</v>
      </c>
    </row>
    <row r="375" spans="1:312" x14ac:dyDescent="0.3">
      <c r="A375" s="11" t="s">
        <v>6457</v>
      </c>
      <c r="B375" s="11" t="s">
        <v>1874</v>
      </c>
      <c r="D375" s="11" t="s">
        <v>6516</v>
      </c>
      <c r="E375" s="277" t="str">
        <f t="shared" si="215"/>
        <v>Kenya</v>
      </c>
      <c r="F375" s="11" t="s">
        <v>14691</v>
      </c>
      <c r="G375" s="11" t="s">
        <v>376</v>
      </c>
      <c r="H375" s="11" t="s">
        <v>384</v>
      </c>
      <c r="I375" s="11" t="s">
        <v>384</v>
      </c>
      <c r="J375" s="278" t="s">
        <v>10530</v>
      </c>
      <c r="BD375" s="23">
        <v>42186</v>
      </c>
      <c r="BE375" s="23">
        <v>44012</v>
      </c>
      <c r="BG375" s="11" t="s">
        <v>312</v>
      </c>
      <c r="BH375" s="22">
        <v>1349937</v>
      </c>
      <c r="BI375" s="11" t="s">
        <v>6517</v>
      </c>
      <c r="BJ375" s="11" t="s">
        <v>6483</v>
      </c>
      <c r="BK375" s="11" t="s">
        <v>6518</v>
      </c>
      <c r="BL375" s="11" t="s">
        <v>6519</v>
      </c>
      <c r="BM375" s="11" t="s">
        <v>6520</v>
      </c>
      <c r="BN375" s="11" t="s">
        <v>6521</v>
      </c>
      <c r="BO375" s="12" t="s">
        <v>320</v>
      </c>
      <c r="BP375" s="12" t="s">
        <v>320</v>
      </c>
      <c r="BQ375" s="12" t="s">
        <v>320</v>
      </c>
      <c r="BR375" s="11" t="s">
        <v>6522</v>
      </c>
      <c r="BS375" s="11" t="s">
        <v>357</v>
      </c>
      <c r="BT375" s="11" t="s">
        <v>6523</v>
      </c>
      <c r="BU375" s="11" t="s">
        <v>6524</v>
      </c>
      <c r="BV375" s="22">
        <v>7568</v>
      </c>
      <c r="BW375" s="22">
        <v>6828</v>
      </c>
      <c r="BX375" s="22">
        <v>14396</v>
      </c>
      <c r="CB375" s="15" t="s">
        <v>6525</v>
      </c>
      <c r="CD375" s="22">
        <v>464</v>
      </c>
      <c r="CE375" s="22">
        <v>287</v>
      </c>
      <c r="CF375" s="22">
        <v>751</v>
      </c>
      <c r="CL375" s="18"/>
      <c r="CP375" s="18"/>
      <c r="CT375" s="18"/>
      <c r="CX375" s="18"/>
      <c r="DB375" s="18"/>
      <c r="DF375" s="18"/>
      <c r="DJ375" s="18"/>
      <c r="DN375" s="18"/>
      <c r="DR375" s="18"/>
      <c r="DV375" s="18"/>
      <c r="DZ375" s="18"/>
      <c r="ED375" s="18"/>
      <c r="EI375" s="18"/>
      <c r="ES375" s="18"/>
      <c r="EW375" s="18"/>
      <c r="FA375" s="18"/>
      <c r="FE375" s="18"/>
      <c r="FI375" s="18"/>
      <c r="FM375" s="18"/>
      <c r="FQ375" s="18"/>
      <c r="FU375" s="18"/>
      <c r="FW375" s="11" t="s">
        <v>320</v>
      </c>
      <c r="FX375" s="22">
        <v>751</v>
      </c>
      <c r="FY375" s="18">
        <v>0.62</v>
      </c>
      <c r="GC375" s="18"/>
      <c r="GG375" s="18"/>
      <c r="GK375" s="18"/>
      <c r="GO375" s="18"/>
      <c r="GS375" s="18"/>
      <c r="GW375" s="18"/>
      <c r="HA375" s="18"/>
      <c r="HF375" s="18"/>
      <c r="HH375" s="11" t="s">
        <v>320</v>
      </c>
      <c r="HI375" s="11" t="s">
        <v>327</v>
      </c>
      <c r="HJ375" s="11">
        <v>2016</v>
      </c>
      <c r="HK375" s="11" t="s">
        <v>320</v>
      </c>
      <c r="HL375" s="11" t="s">
        <v>319</v>
      </c>
      <c r="HP375" s="11" t="s">
        <v>453</v>
      </c>
      <c r="HQ375" s="11" t="s">
        <v>319</v>
      </c>
      <c r="HR375" s="11" t="s">
        <v>320</v>
      </c>
      <c r="HS375" s="11" t="s">
        <v>320</v>
      </c>
      <c r="HT375" s="11" t="s">
        <v>320</v>
      </c>
      <c r="HU375" s="11" t="s">
        <v>320</v>
      </c>
      <c r="HV375" s="11" t="s">
        <v>320</v>
      </c>
      <c r="HW375" s="11" t="s">
        <v>320</v>
      </c>
      <c r="HX375" s="11" t="s">
        <v>319</v>
      </c>
      <c r="HZ375" s="11" t="s">
        <v>363</v>
      </c>
      <c r="IB375" s="11" t="s">
        <v>333</v>
      </c>
      <c r="ID375" s="11" t="s">
        <v>364</v>
      </c>
      <c r="IE375" s="11" t="s">
        <v>478</v>
      </c>
      <c r="IF375" s="11" t="s">
        <v>320</v>
      </c>
      <c r="IG375" s="11" t="s">
        <v>320</v>
      </c>
      <c r="IH375" s="11" t="s">
        <v>320</v>
      </c>
      <c r="II375" s="11" t="s">
        <v>320</v>
      </c>
      <c r="IJ375" s="12" t="str">
        <f t="shared" si="216"/>
        <v>4. Transformative</v>
      </c>
      <c r="IK375" s="12">
        <f t="shared" si="217"/>
        <v>4</v>
      </c>
      <c r="IQ375" s="12" t="str">
        <f t="shared" si="218"/>
        <v>No marker score</v>
      </c>
      <c r="IR375" s="12">
        <f t="shared" si="219"/>
        <v>0</v>
      </c>
      <c r="IW375" s="11" t="str">
        <f t="shared" si="220"/>
        <v>No marker score</v>
      </c>
      <c r="IX375" s="12">
        <f t="shared" si="221"/>
        <v>0</v>
      </c>
      <c r="IY375" s="11" t="s">
        <v>338</v>
      </c>
      <c r="JB375" s="11" t="s">
        <v>687</v>
      </c>
      <c r="JC375" s="11" t="s">
        <v>433</v>
      </c>
      <c r="JD375" s="11" t="s">
        <v>687</v>
      </c>
      <c r="JE375" s="11" t="s">
        <v>365</v>
      </c>
      <c r="JF375" s="11" t="s">
        <v>6526</v>
      </c>
      <c r="JG375" s="11" t="s">
        <v>6527</v>
      </c>
      <c r="JH375" s="11" t="s">
        <v>6528</v>
      </c>
      <c r="JK375" s="11" t="s">
        <v>6529</v>
      </c>
      <c r="JN375" s="11" t="s">
        <v>6530</v>
      </c>
      <c r="JO375" s="11" t="s">
        <v>6146</v>
      </c>
      <c r="JP375" s="15">
        <f t="shared" si="222"/>
        <v>751</v>
      </c>
      <c r="JQ375" s="15">
        <f t="shared" si="223"/>
        <v>0</v>
      </c>
      <c r="JR375" s="279">
        <f t="shared" si="224"/>
        <v>0</v>
      </c>
      <c r="JS375" s="17">
        <f t="shared" si="225"/>
        <v>0.61784287616511313</v>
      </c>
      <c r="JT375" s="18" t="str">
        <f t="shared" si="226"/>
        <v/>
      </c>
      <c r="JU375" s="280">
        <f t="shared" si="227"/>
        <v>464</v>
      </c>
      <c r="JV375" s="280">
        <f t="shared" si="228"/>
        <v>0</v>
      </c>
      <c r="JW375" s="319">
        <f t="shared" si="229"/>
        <v>1</v>
      </c>
      <c r="JX375" s="15">
        <f t="shared" si="230"/>
        <v>751</v>
      </c>
      <c r="JY375" s="15">
        <f t="shared" si="231"/>
        <v>0</v>
      </c>
      <c r="JZ375" s="19">
        <f t="shared" si="232"/>
        <v>0</v>
      </c>
      <c r="KA375" s="52" t="str">
        <f t="shared" si="233"/>
        <v/>
      </c>
      <c r="KB375" s="15">
        <f t="shared" si="234"/>
        <v>0</v>
      </c>
      <c r="KC375" s="15">
        <f t="shared" si="235"/>
        <v>0</v>
      </c>
      <c r="KD375" s="20" t="str">
        <f t="shared" si="236"/>
        <v/>
      </c>
      <c r="KE375" s="52" t="str">
        <f t="shared" si="237"/>
        <v/>
      </c>
      <c r="KF375" s="15">
        <f t="shared" si="238"/>
        <v>0</v>
      </c>
      <c r="KG375" s="15">
        <f t="shared" si="239"/>
        <v>0</v>
      </c>
      <c r="KH375" s="21" t="str">
        <f t="shared" si="240"/>
        <v/>
      </c>
      <c r="KI375" s="52" t="str">
        <f t="shared" si="241"/>
        <v/>
      </c>
      <c r="KJ375" s="15">
        <f t="shared" si="242"/>
        <v>0</v>
      </c>
      <c r="KK375" s="15">
        <f t="shared" si="243"/>
        <v>0</v>
      </c>
      <c r="KL375" s="19" t="str">
        <f t="shared" si="244"/>
        <v/>
      </c>
      <c r="KM375" s="52" t="str">
        <f t="shared" si="245"/>
        <v/>
      </c>
      <c r="KN375" s="22">
        <f t="shared" si="246"/>
        <v>0</v>
      </c>
      <c r="KO375" s="22">
        <f t="shared" si="247"/>
        <v>0</v>
      </c>
      <c r="KP375" s="19" t="str">
        <f t="shared" si="248"/>
        <v/>
      </c>
      <c r="KQ375" s="11" t="str">
        <f t="shared" si="249"/>
        <v>4. Transformative</v>
      </c>
      <c r="KR375" s="11" t="str">
        <f t="shared" si="250"/>
        <v>No marker score</v>
      </c>
      <c r="KS375" s="11" t="str">
        <f t="shared" si="251"/>
        <v>No marker score</v>
      </c>
      <c r="KT375" s="11" t="str">
        <f t="shared" si="252"/>
        <v>It did not develop any specific innovation</v>
      </c>
      <c r="KU375" s="11" t="str">
        <f t="shared" si="253"/>
        <v>Intensive advocacy</v>
      </c>
      <c r="KV375" s="11" t="str">
        <f t="shared" si="254"/>
        <v>It did not take tested solutions to scale</v>
      </c>
      <c r="KW375" s="11" t="str">
        <f t="shared" si="255"/>
        <v>Kenya - Kenya Adolescent Empowerment Program</v>
      </c>
      <c r="KX375" s="11" t="str">
        <f t="shared" si="256"/>
        <v>Kenya Adolescent Empowerment Program</v>
      </c>
      <c r="KY375" s="11" t="str">
        <f t="shared" si="257"/>
        <v>Kenya</v>
      </c>
      <c r="KZ375" s="12">
        <v>375</v>
      </c>
    </row>
    <row r="376" spans="1:312" x14ac:dyDescent="0.3">
      <c r="A376" s="282" t="s">
        <v>6457</v>
      </c>
      <c r="B376" s="282" t="s">
        <v>1874</v>
      </c>
      <c r="C376" s="282"/>
      <c r="D376" s="282" t="s">
        <v>6725</v>
      </c>
      <c r="E376" s="277" t="str">
        <f t="shared" si="215"/>
        <v>Kenya</v>
      </c>
      <c r="F376" s="282" t="s">
        <v>6726</v>
      </c>
      <c r="G376" s="282" t="s">
        <v>379</v>
      </c>
      <c r="H376" s="282" t="s">
        <v>310</v>
      </c>
      <c r="I376" s="282" t="s">
        <v>655</v>
      </c>
      <c r="J376" s="278" t="s">
        <v>4991</v>
      </c>
      <c r="K376" s="282" t="s">
        <v>6726</v>
      </c>
      <c r="L376" s="282" t="s">
        <v>379</v>
      </c>
      <c r="M376" s="282" t="s">
        <v>310</v>
      </c>
      <c r="N376" s="282" t="s">
        <v>1285</v>
      </c>
      <c r="O376" s="281" t="s">
        <v>1334</v>
      </c>
      <c r="P376" s="282" t="s">
        <v>6726</v>
      </c>
      <c r="Q376" s="282" t="s">
        <v>379</v>
      </c>
      <c r="R376" s="282" t="s">
        <v>554</v>
      </c>
      <c r="S376" s="282" t="s">
        <v>384</v>
      </c>
      <c r="T376" s="282" t="s">
        <v>6727</v>
      </c>
      <c r="U376" s="282"/>
      <c r="V376" s="282"/>
      <c r="W376" s="282"/>
      <c r="X376" s="282"/>
      <c r="Y376" s="282"/>
      <c r="Z376" s="282"/>
      <c r="AA376" s="282"/>
      <c r="AB376" s="282"/>
      <c r="AC376" s="282"/>
      <c r="AD376" s="282"/>
      <c r="AE376" s="282"/>
      <c r="AF376" s="282"/>
      <c r="AG376" s="282"/>
      <c r="AH376" s="282"/>
      <c r="AI376" s="282"/>
      <c r="AJ376" s="282"/>
      <c r="AK376" s="282"/>
      <c r="AL376" s="282"/>
      <c r="AM376" s="282"/>
      <c r="AN376" s="282"/>
      <c r="AO376" s="282"/>
      <c r="AP376" s="282"/>
      <c r="AQ376" s="282"/>
      <c r="AR376" s="282"/>
      <c r="AS376" s="282"/>
      <c r="AT376" s="282"/>
      <c r="AU376" s="282"/>
      <c r="AV376" s="282"/>
      <c r="AW376" s="282"/>
      <c r="AX376" s="282"/>
      <c r="AY376" s="282"/>
      <c r="AZ376" s="282"/>
      <c r="BA376" s="282"/>
      <c r="BB376" s="282"/>
      <c r="BC376" s="282"/>
      <c r="BD376" s="283"/>
      <c r="BE376" s="283">
        <v>44098</v>
      </c>
      <c r="BF376" s="283"/>
      <c r="BG376" s="283" t="s">
        <v>908</v>
      </c>
      <c r="BH376" s="284">
        <v>2581287</v>
      </c>
      <c r="BI376" s="282" t="s">
        <v>6728</v>
      </c>
      <c r="BJ376" s="282" t="s">
        <v>6729</v>
      </c>
      <c r="BK376" s="282" t="s">
        <v>6730</v>
      </c>
      <c r="BL376" s="282" t="s">
        <v>6731</v>
      </c>
      <c r="BM376" s="282" t="s">
        <v>6732</v>
      </c>
      <c r="BN376" s="282" t="s">
        <v>6733</v>
      </c>
      <c r="BO376" s="12" t="s">
        <v>319</v>
      </c>
      <c r="BP376" s="12" t="s">
        <v>320</v>
      </c>
      <c r="BQ376" s="12" t="s">
        <v>319</v>
      </c>
      <c r="BR376" s="282" t="s">
        <v>6734</v>
      </c>
      <c r="BS376" s="282" t="s">
        <v>357</v>
      </c>
      <c r="BT376" s="282" t="s">
        <v>6735</v>
      </c>
      <c r="BU376" s="282" t="s">
        <v>6736</v>
      </c>
      <c r="BV376" s="284">
        <v>33600</v>
      </c>
      <c r="BW376" s="284">
        <v>36400</v>
      </c>
      <c r="BX376" s="284">
        <v>70000</v>
      </c>
      <c r="BY376" s="284">
        <v>14400</v>
      </c>
      <c r="BZ376" s="284">
        <v>15600</v>
      </c>
      <c r="CA376" s="284">
        <v>30000</v>
      </c>
      <c r="CB376" s="285" t="s">
        <v>6737</v>
      </c>
      <c r="CC376" s="285"/>
      <c r="CD376" s="284"/>
      <c r="CE376" s="284"/>
      <c r="CF376" s="284"/>
      <c r="CG376" s="284"/>
      <c r="CH376" s="284"/>
      <c r="CI376" s="284"/>
      <c r="CJ376" s="282"/>
      <c r="CK376" s="284"/>
      <c r="CL376" s="286"/>
      <c r="CM376" s="284"/>
      <c r="CN376" s="287"/>
      <c r="CO376" s="284"/>
      <c r="CP376" s="286"/>
      <c r="CQ376" s="284"/>
      <c r="CR376" s="282"/>
      <c r="CS376" s="284"/>
      <c r="CT376" s="286"/>
      <c r="CU376" s="284"/>
      <c r="CV376" s="292"/>
      <c r="CW376" s="290"/>
      <c r="CX376" s="291"/>
      <c r="CY376" s="306"/>
      <c r="CZ376" s="282"/>
      <c r="DA376" s="284"/>
      <c r="DB376" s="286"/>
      <c r="DC376" s="284"/>
      <c r="DD376" s="287"/>
      <c r="DE376" s="284"/>
      <c r="DF376" s="286"/>
      <c r="DG376" s="284"/>
      <c r="DH376" s="282"/>
      <c r="DI376" s="284"/>
      <c r="DJ376" s="286"/>
      <c r="DK376" s="284"/>
      <c r="DL376" s="282"/>
      <c r="DM376" s="284"/>
      <c r="DN376" s="286"/>
      <c r="DO376" s="284"/>
      <c r="DP376" s="282"/>
      <c r="DQ376" s="284"/>
      <c r="DR376" s="286"/>
      <c r="DS376" s="284"/>
      <c r="DT376" s="282"/>
      <c r="DU376" s="284"/>
      <c r="DV376" s="286"/>
      <c r="DW376" s="284"/>
      <c r="DX376" s="282"/>
      <c r="DY376" s="284"/>
      <c r="DZ376" s="286"/>
      <c r="EA376" s="284"/>
      <c r="EB376" s="282"/>
      <c r="EC376" s="284"/>
      <c r="ED376" s="286"/>
      <c r="EE376" s="284"/>
      <c r="EF376" s="285"/>
      <c r="EG376" s="287"/>
      <c r="EH376" s="284"/>
      <c r="EI376" s="286"/>
      <c r="EJ376" s="284"/>
      <c r="EK376" s="284">
        <v>14160</v>
      </c>
      <c r="EL376" s="284">
        <v>15340</v>
      </c>
      <c r="EM376" s="284">
        <v>29500</v>
      </c>
      <c r="EN376" s="284">
        <v>4248</v>
      </c>
      <c r="EO376" s="284">
        <v>4602</v>
      </c>
      <c r="EP376" s="284">
        <v>8850</v>
      </c>
      <c r="EQ376" s="282" t="s">
        <v>320</v>
      </c>
      <c r="ER376" s="284"/>
      <c r="ES376" s="286"/>
      <c r="ET376" s="284"/>
      <c r="EU376" s="282"/>
      <c r="EV376" s="284"/>
      <c r="EW376" s="286"/>
      <c r="EX376" s="284"/>
      <c r="EY376" s="282"/>
      <c r="EZ376" s="284"/>
      <c r="FA376" s="286"/>
      <c r="FB376" s="284"/>
      <c r="FC376" s="282"/>
      <c r="FD376" s="284"/>
      <c r="FE376" s="286"/>
      <c r="FF376" s="284"/>
      <c r="FG376" s="282"/>
      <c r="FH376" s="284"/>
      <c r="FI376" s="286"/>
      <c r="FJ376" s="284"/>
      <c r="FK376" s="282"/>
      <c r="FL376" s="284"/>
      <c r="FM376" s="286"/>
      <c r="FN376" s="284"/>
      <c r="FO376" s="298" t="s">
        <v>320</v>
      </c>
      <c r="FP376" s="290">
        <v>29500</v>
      </c>
      <c r="FQ376" s="291">
        <v>0.48</v>
      </c>
      <c r="FR376" s="290">
        <v>8850</v>
      </c>
      <c r="FS376" s="282"/>
      <c r="FT376" s="284"/>
      <c r="FU376" s="286"/>
      <c r="FV376" s="284"/>
      <c r="FW376" s="282"/>
      <c r="FX376" s="284"/>
      <c r="FY376" s="286"/>
      <c r="FZ376" s="284"/>
      <c r="GA376" s="282"/>
      <c r="GB376" s="284"/>
      <c r="GC376" s="286"/>
      <c r="GD376" s="284"/>
      <c r="GE376" s="282"/>
      <c r="GF376" s="284"/>
      <c r="GG376" s="286"/>
      <c r="GH376" s="284"/>
      <c r="GI376" s="282" t="s">
        <v>320</v>
      </c>
      <c r="GJ376" s="284"/>
      <c r="GK376" s="286"/>
      <c r="GL376" s="284"/>
      <c r="GM376" s="282" t="s">
        <v>320</v>
      </c>
      <c r="GN376" s="284"/>
      <c r="GO376" s="286"/>
      <c r="GP376" s="284"/>
      <c r="GQ376" s="282"/>
      <c r="GR376" s="284"/>
      <c r="GS376" s="286"/>
      <c r="GT376" s="284"/>
      <c r="GU376" s="282" t="s">
        <v>320</v>
      </c>
      <c r="GV376" s="284"/>
      <c r="GW376" s="286"/>
      <c r="GX376" s="284"/>
      <c r="GY376" s="282"/>
      <c r="GZ376" s="284"/>
      <c r="HA376" s="286"/>
      <c r="HB376" s="284"/>
      <c r="HC376" s="282"/>
      <c r="HD376" s="282"/>
      <c r="HE376" s="284"/>
      <c r="HF376" s="286"/>
      <c r="HG376" s="284"/>
      <c r="HH376" s="282" t="s">
        <v>319</v>
      </c>
      <c r="HI376" s="282"/>
      <c r="HJ376" s="282"/>
      <c r="HK376" s="282"/>
      <c r="HL376" s="282" t="s">
        <v>320</v>
      </c>
      <c r="HM376" s="282" t="s">
        <v>451</v>
      </c>
      <c r="HN376" s="282">
        <v>2018</v>
      </c>
      <c r="HO376" s="282" t="s">
        <v>6738</v>
      </c>
      <c r="HP376" s="282" t="s">
        <v>330</v>
      </c>
      <c r="HQ376" s="282" t="s">
        <v>320</v>
      </c>
      <c r="HR376" s="282"/>
      <c r="HS376" s="282" t="s">
        <v>320</v>
      </c>
      <c r="HT376" s="282"/>
      <c r="HU376" s="282"/>
      <c r="HV376" s="282"/>
      <c r="HW376" s="282"/>
      <c r="HX376" s="282"/>
      <c r="HY376" s="282"/>
      <c r="HZ376" s="282" t="s">
        <v>363</v>
      </c>
      <c r="IA376" s="282"/>
      <c r="IB376" s="282" t="s">
        <v>333</v>
      </c>
      <c r="IC376" s="282"/>
      <c r="ID376" s="282" t="s">
        <v>364</v>
      </c>
      <c r="IE376" s="282" t="s">
        <v>335</v>
      </c>
      <c r="IF376" s="282" t="s">
        <v>320</v>
      </c>
      <c r="IG376" s="282" t="s">
        <v>320</v>
      </c>
      <c r="IH376" s="282" t="s">
        <v>319</v>
      </c>
      <c r="II376" s="282" t="s">
        <v>319</v>
      </c>
      <c r="IJ376" s="12" t="str">
        <f t="shared" si="216"/>
        <v>1. Neutral</v>
      </c>
      <c r="IK376" s="287">
        <f t="shared" si="217"/>
        <v>2</v>
      </c>
      <c r="IL376" s="282" t="s">
        <v>336</v>
      </c>
      <c r="IM376" s="282" t="s">
        <v>320</v>
      </c>
      <c r="IN376" s="282" t="s">
        <v>320</v>
      </c>
      <c r="IO376" s="282" t="s">
        <v>320</v>
      </c>
      <c r="IP376" s="282" t="s">
        <v>319</v>
      </c>
      <c r="IQ376" s="287" t="str">
        <f t="shared" si="218"/>
        <v>2. Accommodating</v>
      </c>
      <c r="IR376" s="287">
        <f t="shared" si="219"/>
        <v>3</v>
      </c>
      <c r="IS376" s="282" t="s">
        <v>622</v>
      </c>
      <c r="IT376" s="282" t="s">
        <v>319</v>
      </c>
      <c r="IU376" s="282" t="s">
        <v>320</v>
      </c>
      <c r="IV376" s="282" t="s">
        <v>320</v>
      </c>
      <c r="IW376" s="11" t="str">
        <f t="shared" si="220"/>
        <v>3. Responsive</v>
      </c>
      <c r="IX376" s="287">
        <f t="shared" si="221"/>
        <v>2</v>
      </c>
      <c r="IY376" s="282" t="s">
        <v>338</v>
      </c>
      <c r="IZ376" s="282" t="s">
        <v>527</v>
      </c>
      <c r="JA376" s="282">
        <v>1</v>
      </c>
      <c r="JB376" s="282" t="s">
        <v>687</v>
      </c>
      <c r="JC376" s="282"/>
      <c r="JD376" s="282"/>
      <c r="JE376" s="282" t="s">
        <v>420</v>
      </c>
      <c r="JF376" s="282"/>
      <c r="JG376" s="282"/>
      <c r="JH376" s="282" t="s">
        <v>6739</v>
      </c>
      <c r="JI376" s="282" t="s">
        <v>6740</v>
      </c>
      <c r="JJ376" s="282"/>
      <c r="JK376" s="282" t="s">
        <v>6741</v>
      </c>
      <c r="JL376" s="282" t="s">
        <v>6742</v>
      </c>
      <c r="JM376" s="282"/>
      <c r="JN376" s="282"/>
      <c r="JO376" s="282"/>
      <c r="JP376" s="15">
        <f t="shared" si="222"/>
        <v>29500</v>
      </c>
      <c r="JQ376" s="15">
        <f t="shared" si="223"/>
        <v>8850</v>
      </c>
      <c r="JR376" s="279">
        <f t="shared" si="224"/>
        <v>0.3</v>
      </c>
      <c r="JS376" s="17">
        <f t="shared" si="225"/>
        <v>0.48</v>
      </c>
      <c r="JT376" s="18">
        <f t="shared" si="226"/>
        <v>0.48</v>
      </c>
      <c r="JU376" s="280">
        <f t="shared" si="227"/>
        <v>14160</v>
      </c>
      <c r="JV376" s="280">
        <f t="shared" si="228"/>
        <v>4248</v>
      </c>
      <c r="JW376" s="319" t="str">
        <f t="shared" si="229"/>
        <v/>
      </c>
      <c r="JX376" s="15">
        <f t="shared" si="230"/>
        <v>0</v>
      </c>
      <c r="JY376" s="15">
        <f t="shared" si="231"/>
        <v>0</v>
      </c>
      <c r="JZ376" s="19" t="str">
        <f t="shared" si="232"/>
        <v/>
      </c>
      <c r="KA376" s="52">
        <f t="shared" si="233"/>
        <v>1</v>
      </c>
      <c r="KB376" s="15">
        <f t="shared" si="234"/>
        <v>29500</v>
      </c>
      <c r="KC376" s="15">
        <f t="shared" si="235"/>
        <v>8850</v>
      </c>
      <c r="KD376" s="20">
        <f t="shared" si="236"/>
        <v>0.3</v>
      </c>
      <c r="KE376" s="52" t="str">
        <f t="shared" si="237"/>
        <v/>
      </c>
      <c r="KF376" s="15">
        <f t="shared" si="238"/>
        <v>0</v>
      </c>
      <c r="KG376" s="15">
        <f t="shared" si="239"/>
        <v>0</v>
      </c>
      <c r="KH376" s="21" t="str">
        <f t="shared" si="240"/>
        <v/>
      </c>
      <c r="KI376" s="52" t="str">
        <f t="shared" si="241"/>
        <v/>
      </c>
      <c r="KJ376" s="15">
        <f t="shared" si="242"/>
        <v>0</v>
      </c>
      <c r="KK376" s="15">
        <f t="shared" si="243"/>
        <v>0</v>
      </c>
      <c r="KL376" s="19" t="str">
        <f t="shared" si="244"/>
        <v/>
      </c>
      <c r="KM376" s="52" t="str">
        <f t="shared" si="245"/>
        <v/>
      </c>
      <c r="KN376" s="22">
        <f t="shared" si="246"/>
        <v>0</v>
      </c>
      <c r="KO376" s="22">
        <f t="shared" si="247"/>
        <v>0</v>
      </c>
      <c r="KP376" s="19" t="str">
        <f t="shared" si="248"/>
        <v/>
      </c>
      <c r="KQ376" s="11" t="str">
        <f t="shared" si="249"/>
        <v>1. Neutral</v>
      </c>
      <c r="KR376" s="11" t="str">
        <f t="shared" si="250"/>
        <v>2. Accommodating</v>
      </c>
      <c r="KS376" s="11" t="str">
        <f t="shared" si="251"/>
        <v>3. Responsive</v>
      </c>
      <c r="KT376" s="11" t="str">
        <f t="shared" si="252"/>
        <v>It did not develop any specific innovation</v>
      </c>
      <c r="KU376" s="11" t="str">
        <f t="shared" si="253"/>
        <v>Moderate advocacy</v>
      </c>
      <c r="KV376" s="11" t="str">
        <f t="shared" si="254"/>
        <v>It did not take tested solutions to scale</v>
      </c>
      <c r="KW376" s="11" t="str">
        <f t="shared" si="255"/>
        <v>Kenya - KENYA RESILIENT ARID LANDS PARTNERSHIP FOR INTEGRATED DEVELOPMENT (KENYA RAPID) PROGRAM</v>
      </c>
      <c r="KX376" s="11" t="str">
        <f t="shared" si="256"/>
        <v>KENYA RESILIENT ARID LANDS PARTNERSHIP FOR INTEGRATED DEVELOPMENT (KENYA RAPID) PROGRAM</v>
      </c>
      <c r="KY376" s="11" t="str">
        <f t="shared" si="257"/>
        <v>Kenya</v>
      </c>
      <c r="KZ376" s="12">
        <v>376</v>
      </c>
    </row>
    <row r="377" spans="1:312" x14ac:dyDescent="0.3">
      <c r="A377" s="11" t="s">
        <v>6457</v>
      </c>
      <c r="B377" s="11" t="s">
        <v>1874</v>
      </c>
      <c r="D377" s="11" t="s">
        <v>6566</v>
      </c>
      <c r="E377" s="24" t="str">
        <f t="shared" si="215"/>
        <v>Kenya</v>
      </c>
      <c r="F377" s="11" t="s">
        <v>6567</v>
      </c>
      <c r="G377" s="11" t="s">
        <v>1853</v>
      </c>
      <c r="H377" s="11" t="s">
        <v>384</v>
      </c>
      <c r="I377" s="11" t="s">
        <v>384</v>
      </c>
      <c r="J377" s="278" t="s">
        <v>14692</v>
      </c>
      <c r="BD377" s="23">
        <v>42005</v>
      </c>
      <c r="BE377" s="23">
        <v>42735</v>
      </c>
      <c r="BG377" s="11" t="s">
        <v>749</v>
      </c>
      <c r="BI377" s="26" t="s">
        <v>6554</v>
      </c>
      <c r="BJ377" s="11" t="s">
        <v>6568</v>
      </c>
      <c r="BK377" s="11" t="s">
        <v>6556</v>
      </c>
      <c r="BL377" s="11" t="s">
        <v>6569</v>
      </c>
      <c r="BM377" s="11" t="s">
        <v>444</v>
      </c>
      <c r="BN377" s="11" t="s">
        <v>6570</v>
      </c>
      <c r="BO377" s="12" t="s">
        <v>319</v>
      </c>
      <c r="BP377" s="12" t="s">
        <v>320</v>
      </c>
      <c r="BQ377" s="12" t="s">
        <v>319</v>
      </c>
      <c r="BR377" s="11" t="s">
        <v>6571</v>
      </c>
      <c r="BS377" s="11" t="s">
        <v>357</v>
      </c>
      <c r="BT377" s="11" t="s">
        <v>6572</v>
      </c>
      <c r="BU377" s="11" t="s">
        <v>6573</v>
      </c>
      <c r="BV377" s="22">
        <v>1125</v>
      </c>
      <c r="BW377" s="22">
        <v>1125</v>
      </c>
      <c r="BX377" s="22">
        <v>2250</v>
      </c>
      <c r="BY377" s="22">
        <v>4500</v>
      </c>
      <c r="BZ377" s="22">
        <v>4500</v>
      </c>
      <c r="CA377" s="22">
        <v>9000</v>
      </c>
      <c r="CB377" s="15" t="s">
        <v>6574</v>
      </c>
      <c r="CL377" s="18"/>
      <c r="CP377" s="18"/>
      <c r="CT377" s="18"/>
      <c r="CX377" s="18"/>
      <c r="DB377" s="18"/>
      <c r="DF377" s="18"/>
      <c r="DJ377" s="18"/>
      <c r="DN377" s="18"/>
      <c r="DR377" s="18"/>
      <c r="DV377" s="18"/>
      <c r="DZ377" s="18"/>
      <c r="ED377" s="18"/>
      <c r="EI377" s="18"/>
      <c r="EK377" s="22">
        <v>1343</v>
      </c>
      <c r="EL377" s="22">
        <v>671</v>
      </c>
      <c r="EM377" s="22">
        <v>2014</v>
      </c>
      <c r="EN377" s="22">
        <v>5372</v>
      </c>
      <c r="EO377" s="22">
        <v>2684</v>
      </c>
      <c r="EP377" s="22">
        <v>8056</v>
      </c>
      <c r="EQ377" s="12" t="s">
        <v>320</v>
      </c>
      <c r="ER377" s="22">
        <v>294</v>
      </c>
      <c r="ES377" s="18">
        <v>0.35699999999999998</v>
      </c>
      <c r="ET377" s="22">
        <v>1176</v>
      </c>
      <c r="EW377" s="18"/>
      <c r="FA377" s="18"/>
      <c r="FE377" s="18"/>
      <c r="FG377" s="12" t="s">
        <v>319</v>
      </c>
      <c r="FI377" s="18"/>
      <c r="FM377" s="18"/>
      <c r="FQ377" s="18"/>
      <c r="FU377" s="18"/>
      <c r="FY377" s="18"/>
      <c r="GC377" s="18"/>
      <c r="GG377" s="18"/>
      <c r="GK377" s="18"/>
      <c r="GO377" s="18"/>
      <c r="GS377" s="18"/>
      <c r="GW377" s="18"/>
      <c r="HA377" s="18"/>
      <c r="HF377" s="18"/>
      <c r="HH377" s="11" t="s">
        <v>320</v>
      </c>
      <c r="HI377" s="11" t="s">
        <v>327</v>
      </c>
      <c r="HJ377" s="11">
        <v>2016</v>
      </c>
      <c r="HK377" s="11" t="s">
        <v>320</v>
      </c>
      <c r="HL377" s="11" t="s">
        <v>319</v>
      </c>
      <c r="HP377" s="11" t="s">
        <v>418</v>
      </c>
      <c r="HZ377" s="11" t="s">
        <v>363</v>
      </c>
      <c r="IB377" s="11" t="s">
        <v>333</v>
      </c>
      <c r="ID377" s="11" t="s">
        <v>364</v>
      </c>
      <c r="IE377" s="11" t="s">
        <v>1909</v>
      </c>
      <c r="IF377" s="11" t="s">
        <v>319</v>
      </c>
      <c r="IG377" s="11" t="s">
        <v>319</v>
      </c>
      <c r="IH377" s="11" t="s">
        <v>319</v>
      </c>
      <c r="II377" s="11" t="s">
        <v>320</v>
      </c>
      <c r="IJ377" s="12" t="str">
        <f t="shared" si="216"/>
        <v>0. Harmful</v>
      </c>
      <c r="IK377" s="12">
        <f t="shared" si="217"/>
        <v>1</v>
      </c>
      <c r="IL377" s="11" t="s">
        <v>336</v>
      </c>
      <c r="IM377" s="11" t="s">
        <v>320</v>
      </c>
      <c r="IN377" s="11" t="s">
        <v>320</v>
      </c>
      <c r="IO377" s="11" t="s">
        <v>320</v>
      </c>
      <c r="IP377" s="11" t="s">
        <v>320</v>
      </c>
      <c r="IQ377" s="12" t="str">
        <f t="shared" si="218"/>
        <v>2. Accommodating</v>
      </c>
      <c r="IR377" s="12">
        <f t="shared" si="219"/>
        <v>4</v>
      </c>
      <c r="IS377" s="11" t="s">
        <v>456</v>
      </c>
      <c r="IT377" s="11" t="s">
        <v>320</v>
      </c>
      <c r="IU377" s="11" t="s">
        <v>319</v>
      </c>
      <c r="IV377" s="11" t="s">
        <v>319</v>
      </c>
      <c r="IW377" s="11" t="str">
        <f t="shared" si="220"/>
        <v>0. Harmful</v>
      </c>
      <c r="IX377" s="12">
        <f t="shared" si="221"/>
        <v>1</v>
      </c>
      <c r="IY377" s="11" t="s">
        <v>758</v>
      </c>
      <c r="IZ377" s="11" t="s">
        <v>432</v>
      </c>
      <c r="JA377" s="11">
        <v>2</v>
      </c>
      <c r="JE377" s="11" t="s">
        <v>420</v>
      </c>
      <c r="JG377" s="11" t="s">
        <v>6575</v>
      </c>
      <c r="JH377" s="11" t="s">
        <v>6576</v>
      </c>
      <c r="JI377" s="11" t="s">
        <v>6577</v>
      </c>
      <c r="JK377" s="11" t="s">
        <v>6578</v>
      </c>
      <c r="JL377" s="11" t="s">
        <v>6579</v>
      </c>
      <c r="JP377" s="15">
        <f t="shared" si="222"/>
        <v>2014</v>
      </c>
      <c r="JQ377" s="15">
        <f t="shared" si="223"/>
        <v>8056</v>
      </c>
      <c r="JR377" s="279">
        <f t="shared" si="224"/>
        <v>4</v>
      </c>
      <c r="JS377" s="17">
        <f t="shared" si="225"/>
        <v>0.66683217477656409</v>
      </c>
      <c r="JT377" s="18">
        <f t="shared" si="226"/>
        <v>0.66683217477656409</v>
      </c>
      <c r="JU377" s="280">
        <f t="shared" si="227"/>
        <v>1343</v>
      </c>
      <c r="JV377" s="280">
        <f t="shared" si="228"/>
        <v>5372</v>
      </c>
      <c r="JW377" s="319" t="str">
        <f t="shared" si="229"/>
        <v/>
      </c>
      <c r="JX377" s="15">
        <f t="shared" si="230"/>
        <v>0</v>
      </c>
      <c r="JY377" s="15">
        <f t="shared" si="231"/>
        <v>0</v>
      </c>
      <c r="JZ377" s="19" t="str">
        <f t="shared" si="232"/>
        <v/>
      </c>
      <c r="KA377" s="52">
        <f t="shared" si="233"/>
        <v>1</v>
      </c>
      <c r="KB377" s="15">
        <f t="shared" si="234"/>
        <v>294</v>
      </c>
      <c r="KC377" s="15">
        <f t="shared" si="235"/>
        <v>1176</v>
      </c>
      <c r="KD377" s="20">
        <f t="shared" si="236"/>
        <v>4</v>
      </c>
      <c r="KE377" s="52" t="str">
        <f t="shared" si="237"/>
        <v/>
      </c>
      <c r="KF377" s="15">
        <f t="shared" si="238"/>
        <v>0</v>
      </c>
      <c r="KG377" s="15">
        <f t="shared" si="239"/>
        <v>0</v>
      </c>
      <c r="KH377" s="21" t="str">
        <f t="shared" si="240"/>
        <v/>
      </c>
      <c r="KI377" s="52" t="str">
        <f t="shared" si="241"/>
        <v/>
      </c>
      <c r="KJ377" s="15">
        <f t="shared" si="242"/>
        <v>0</v>
      </c>
      <c r="KK377" s="15">
        <f t="shared" si="243"/>
        <v>0</v>
      </c>
      <c r="KL377" s="19" t="str">
        <f t="shared" si="244"/>
        <v/>
      </c>
      <c r="KM377" s="52" t="str">
        <f t="shared" si="245"/>
        <v/>
      </c>
      <c r="KN377" s="22">
        <f t="shared" si="246"/>
        <v>0</v>
      </c>
      <c r="KO377" s="22">
        <f t="shared" si="247"/>
        <v>0</v>
      </c>
      <c r="KP377" s="19" t="str">
        <f t="shared" si="248"/>
        <v/>
      </c>
      <c r="KQ377" s="11" t="str">
        <f t="shared" si="249"/>
        <v>0. Harmful</v>
      </c>
      <c r="KR377" s="11" t="str">
        <f t="shared" si="250"/>
        <v>2. Accommodating</v>
      </c>
      <c r="KS377" s="11" t="str">
        <f t="shared" si="251"/>
        <v>0. Harmful</v>
      </c>
      <c r="KT377" s="11" t="str">
        <f t="shared" si="252"/>
        <v>It did not develop any specific innovation</v>
      </c>
      <c r="KU377" s="11" t="str">
        <f t="shared" si="253"/>
        <v>Little or no advocacy</v>
      </c>
      <c r="KV377" s="11" t="str">
        <f t="shared" si="254"/>
        <v>It did not take tested solutions to scale</v>
      </c>
      <c r="KW377" s="11" t="str">
        <f t="shared" si="255"/>
        <v>Kenya - Kilimo Biashara II</v>
      </c>
      <c r="KX377" s="11" t="str">
        <f t="shared" si="256"/>
        <v>Kilimo Biashara II</v>
      </c>
      <c r="KY377" s="11" t="str">
        <f t="shared" si="257"/>
        <v>Kenya</v>
      </c>
      <c r="KZ377" s="12">
        <v>377</v>
      </c>
    </row>
    <row r="378" spans="1:312" x14ac:dyDescent="0.3">
      <c r="A378" s="12" t="s">
        <v>6457</v>
      </c>
      <c r="B378" s="12" t="s">
        <v>1874</v>
      </c>
      <c r="C378" s="12"/>
      <c r="D378" s="12" t="s">
        <v>6776</v>
      </c>
      <c r="E378" s="277" t="str">
        <f t="shared" si="215"/>
        <v>Kenya</v>
      </c>
      <c r="F378" s="12" t="s">
        <v>6777</v>
      </c>
      <c r="G378" s="12" t="s">
        <v>605</v>
      </c>
      <c r="H378" s="12" t="s">
        <v>380</v>
      </c>
      <c r="I378" s="12" t="s">
        <v>606</v>
      </c>
      <c r="J378" s="281" t="s">
        <v>14693</v>
      </c>
      <c r="K378" s="12"/>
      <c r="L378" s="12"/>
      <c r="M378" s="12"/>
      <c r="N378" s="12"/>
      <c r="O378" s="12"/>
      <c r="P378" s="12"/>
      <c r="Q378" s="12"/>
      <c r="R378" s="12"/>
      <c r="S378" s="12"/>
      <c r="T378" s="12"/>
      <c r="U378" s="12"/>
      <c r="V378" s="12"/>
      <c r="W378" s="12"/>
      <c r="X378" s="12"/>
      <c r="Y378" s="12"/>
      <c r="Z378" s="12"/>
      <c r="AA378" s="12"/>
      <c r="AB378" s="12"/>
      <c r="AC378" s="12"/>
      <c r="AD378" s="12"/>
      <c r="AE378" s="39"/>
      <c r="BD378" s="13">
        <v>41944</v>
      </c>
      <c r="BE378" s="13">
        <v>43009</v>
      </c>
      <c r="BF378" s="12"/>
      <c r="BG378" s="12" t="s">
        <v>947</v>
      </c>
      <c r="BH378" s="14">
        <v>1163807.97</v>
      </c>
      <c r="BI378" s="12" t="s">
        <v>6778</v>
      </c>
      <c r="BJ378" s="12"/>
      <c r="BK378" s="12"/>
      <c r="BL378" s="12"/>
      <c r="BM378" s="12"/>
      <c r="BN378" s="12"/>
      <c r="BO378" s="12" t="s">
        <v>320</v>
      </c>
      <c r="BP378" s="12" t="s">
        <v>320</v>
      </c>
      <c r="BQ378" s="12" t="s">
        <v>320</v>
      </c>
      <c r="BR378" s="12" t="s">
        <v>6779</v>
      </c>
      <c r="BS378" s="12" t="s">
        <v>357</v>
      </c>
      <c r="BT378" s="12" t="s">
        <v>6780</v>
      </c>
      <c r="BU378" s="12" t="s">
        <v>6781</v>
      </c>
      <c r="BV378" s="14">
        <v>1</v>
      </c>
      <c r="BW378" s="14"/>
      <c r="BX378" s="14"/>
      <c r="BY378" s="14">
        <v>125000</v>
      </c>
      <c r="BZ378" s="14"/>
      <c r="CA378" s="14">
        <v>125000</v>
      </c>
      <c r="CB378" s="12" t="s">
        <v>6781</v>
      </c>
      <c r="CC378" s="39"/>
      <c r="CD378" s="14">
        <v>68000</v>
      </c>
      <c r="CE378" s="14"/>
      <c r="CF378" s="14">
        <v>68000</v>
      </c>
      <c r="CG378" s="14">
        <v>125000</v>
      </c>
      <c r="CH378" s="14"/>
      <c r="CI378" s="14">
        <v>125000</v>
      </c>
      <c r="CJ378" s="12"/>
      <c r="CK378" s="14"/>
      <c r="CL378" s="16"/>
      <c r="CM378" s="14"/>
      <c r="CN378" s="12"/>
      <c r="CO378" s="14"/>
      <c r="CP378" s="16"/>
      <c r="CQ378" s="14"/>
      <c r="CR378" s="12"/>
      <c r="CS378" s="14"/>
      <c r="CT378" s="16"/>
      <c r="CU378" s="14"/>
      <c r="CV378" s="12"/>
      <c r="CW378" s="14"/>
      <c r="CX378" s="16"/>
      <c r="CY378" s="14"/>
      <c r="CZ378" s="12"/>
      <c r="DA378" s="14"/>
      <c r="DB378" s="16"/>
      <c r="DC378" s="14"/>
      <c r="DD378" s="12"/>
      <c r="DE378" s="14"/>
      <c r="DF378" s="16"/>
      <c r="DG378" s="14"/>
      <c r="DH378" s="12"/>
      <c r="DI378" s="14"/>
      <c r="DJ378" s="16"/>
      <c r="DK378" s="14"/>
      <c r="DL378" s="12"/>
      <c r="DM378" s="14"/>
      <c r="DN378" s="16"/>
      <c r="DO378" s="14"/>
      <c r="DP378" s="12"/>
      <c r="DQ378" s="14"/>
      <c r="DR378" s="16"/>
      <c r="DS378" s="14"/>
      <c r="DT378" s="12" t="s">
        <v>320</v>
      </c>
      <c r="DU378" s="14"/>
      <c r="DV378" s="16"/>
      <c r="DW378" s="14"/>
      <c r="DX378" s="12"/>
      <c r="DY378" s="14"/>
      <c r="DZ378" s="16"/>
      <c r="EA378" s="14"/>
      <c r="EB378" s="12"/>
      <c r="EC378" s="14"/>
      <c r="ED378" s="16"/>
      <c r="EE378" s="14"/>
      <c r="EF378" s="12" t="s">
        <v>6782</v>
      </c>
      <c r="EG378" s="12" t="s">
        <v>320</v>
      </c>
      <c r="EH378" s="14"/>
      <c r="EI378" s="16"/>
      <c r="EJ378" s="14"/>
      <c r="EK378" s="14"/>
      <c r="EL378" s="14"/>
      <c r="EM378" s="14"/>
      <c r="EN378" s="14"/>
      <c r="EO378" s="14"/>
      <c r="EP378" s="14"/>
      <c r="EQ378" s="12"/>
      <c r="ER378" s="14"/>
      <c r="ES378" s="16"/>
      <c r="ET378" s="14"/>
      <c r="EU378" s="12"/>
      <c r="EV378" s="14"/>
      <c r="EW378" s="16"/>
      <c r="EX378" s="14"/>
      <c r="EY378" s="12"/>
      <c r="EZ378" s="14"/>
      <c r="FA378" s="16"/>
      <c r="FB378" s="14"/>
      <c r="FC378" s="12"/>
      <c r="FD378" s="14"/>
      <c r="FE378" s="16"/>
      <c r="FF378" s="14"/>
      <c r="FG378" s="12"/>
      <c r="FH378" s="14"/>
      <c r="FI378" s="16"/>
      <c r="FJ378" s="14"/>
      <c r="FK378" s="12"/>
      <c r="FL378" s="14"/>
      <c r="FM378" s="16"/>
      <c r="FN378" s="14"/>
      <c r="FO378" s="12"/>
      <c r="FP378" s="14"/>
      <c r="FQ378" s="16"/>
      <c r="FR378" s="14"/>
      <c r="FS378" s="12"/>
      <c r="FT378" s="14"/>
      <c r="FU378" s="16"/>
      <c r="FV378" s="14"/>
      <c r="FW378" s="12"/>
      <c r="FX378" s="14"/>
      <c r="FY378" s="16"/>
      <c r="FZ378" s="14"/>
      <c r="GA378" s="12"/>
      <c r="GB378" s="14"/>
      <c r="GC378" s="16"/>
      <c r="GD378" s="14"/>
      <c r="GE378" s="12"/>
      <c r="GF378" s="14"/>
      <c r="GG378" s="16"/>
      <c r="GH378" s="14"/>
      <c r="GI378" s="12"/>
      <c r="GJ378" s="14"/>
      <c r="GK378" s="16"/>
      <c r="GL378" s="14"/>
      <c r="GM378" s="12"/>
      <c r="GN378" s="14"/>
      <c r="GO378" s="16"/>
      <c r="GP378" s="14"/>
      <c r="GQ378" s="12"/>
      <c r="GR378" s="14"/>
      <c r="GS378" s="16"/>
      <c r="GT378" s="14"/>
      <c r="GU378" s="12"/>
      <c r="GV378" s="14"/>
      <c r="GW378" s="16"/>
      <c r="GX378" s="14"/>
      <c r="GY378" s="12"/>
      <c r="GZ378" s="14"/>
      <c r="HA378" s="16"/>
      <c r="HB378" s="14"/>
      <c r="HC378" s="39"/>
      <c r="HD378" s="12"/>
      <c r="HE378" s="14"/>
      <c r="HF378" s="16"/>
      <c r="HG378" s="14"/>
      <c r="HH378" s="12" t="s">
        <v>320</v>
      </c>
      <c r="HI378" s="12" t="s">
        <v>361</v>
      </c>
      <c r="HJ378" s="12">
        <v>2016</v>
      </c>
      <c r="HK378" s="12" t="s">
        <v>320</v>
      </c>
      <c r="HL378" s="12" t="s">
        <v>320</v>
      </c>
      <c r="HM378" s="12" t="s">
        <v>327</v>
      </c>
      <c r="HN378" s="12"/>
      <c r="HO378" s="12" t="s">
        <v>6783</v>
      </c>
      <c r="HP378" s="12" t="s">
        <v>330</v>
      </c>
      <c r="HQ378" s="12"/>
      <c r="HR378" s="12"/>
      <c r="HS378" s="12" t="s">
        <v>320</v>
      </c>
      <c r="HT378" s="12" t="s">
        <v>320</v>
      </c>
      <c r="HU378" s="12" t="s">
        <v>320</v>
      </c>
      <c r="HV378" s="12"/>
      <c r="HW378" s="12"/>
      <c r="HX378" s="12"/>
      <c r="HZ378" s="12"/>
      <c r="IA378" s="12"/>
      <c r="IB378" s="12" t="s">
        <v>396</v>
      </c>
      <c r="IC378" s="12" t="s">
        <v>6784</v>
      </c>
      <c r="ID378" s="12"/>
      <c r="IE378" s="12" t="s">
        <v>478</v>
      </c>
      <c r="IF378" s="12" t="s">
        <v>320</v>
      </c>
      <c r="IG378" s="12" t="s">
        <v>320</v>
      </c>
      <c r="IH378" s="12" t="s">
        <v>320</v>
      </c>
      <c r="II378" s="12" t="s">
        <v>320</v>
      </c>
      <c r="IJ378" s="12" t="str">
        <f t="shared" si="216"/>
        <v>4. Transformative</v>
      </c>
      <c r="IK378" s="12">
        <f t="shared" si="217"/>
        <v>4</v>
      </c>
      <c r="IL378" s="12"/>
      <c r="IM378" s="12"/>
      <c r="IN378" s="12"/>
      <c r="IO378" s="12"/>
      <c r="IP378" s="12"/>
      <c r="IQ378" s="12" t="str">
        <f t="shared" si="218"/>
        <v>No marker score</v>
      </c>
      <c r="IR378" s="12">
        <f t="shared" si="219"/>
        <v>0</v>
      </c>
      <c r="IS378" s="12"/>
      <c r="IT378" s="12"/>
      <c r="IU378" s="12"/>
      <c r="IV378" s="12"/>
      <c r="IW378" s="11" t="str">
        <f t="shared" si="220"/>
        <v>No marker score</v>
      </c>
      <c r="IX378" s="12">
        <f t="shared" si="221"/>
        <v>0</v>
      </c>
      <c r="IY378" s="12"/>
      <c r="IZ378" s="12"/>
      <c r="JA378" s="12"/>
      <c r="JB378" s="12"/>
      <c r="JC378" s="12"/>
      <c r="JD378" s="12"/>
      <c r="JE378" s="12"/>
      <c r="JF378" s="12"/>
      <c r="JG378" s="12"/>
      <c r="JH378" s="12"/>
      <c r="JI378" s="12"/>
      <c r="JJ378" s="12"/>
      <c r="JK378" s="12" t="s">
        <v>6785</v>
      </c>
      <c r="JL378" s="12"/>
      <c r="JM378" s="12"/>
      <c r="JN378" s="12"/>
      <c r="JO378" s="12" t="s">
        <v>6786</v>
      </c>
      <c r="JP378" s="15">
        <f t="shared" si="222"/>
        <v>68000</v>
      </c>
      <c r="JQ378" s="15">
        <f t="shared" si="223"/>
        <v>125000</v>
      </c>
      <c r="JR378" s="279">
        <f t="shared" si="224"/>
        <v>1.838235294117647</v>
      </c>
      <c r="JS378" s="17">
        <f t="shared" si="225"/>
        <v>1</v>
      </c>
      <c r="JT378" s="18">
        <f t="shared" si="226"/>
        <v>1</v>
      </c>
      <c r="JU378" s="280">
        <f t="shared" si="227"/>
        <v>68000</v>
      </c>
      <c r="JV378" s="280">
        <f t="shared" si="228"/>
        <v>125000</v>
      </c>
      <c r="JW378" s="319">
        <f t="shared" si="229"/>
        <v>1</v>
      </c>
      <c r="JX378" s="15">
        <f t="shared" si="230"/>
        <v>68000</v>
      </c>
      <c r="JY378" s="15">
        <f t="shared" si="231"/>
        <v>125000</v>
      </c>
      <c r="JZ378" s="19">
        <f t="shared" si="232"/>
        <v>1.838235294117647</v>
      </c>
      <c r="KA378" s="52" t="str">
        <f t="shared" si="233"/>
        <v/>
      </c>
      <c r="KB378" s="15">
        <f t="shared" si="234"/>
        <v>0</v>
      </c>
      <c r="KC378" s="15">
        <f t="shared" si="235"/>
        <v>0</v>
      </c>
      <c r="KD378" s="20" t="str">
        <f t="shared" si="236"/>
        <v/>
      </c>
      <c r="KE378" s="52">
        <f t="shared" si="237"/>
        <v>1</v>
      </c>
      <c r="KF378" s="15">
        <f t="shared" si="238"/>
        <v>0</v>
      </c>
      <c r="KG378" s="15">
        <f t="shared" si="239"/>
        <v>0</v>
      </c>
      <c r="KH378" s="21" t="str">
        <f t="shared" si="240"/>
        <v/>
      </c>
      <c r="KI378" s="52" t="str">
        <f t="shared" si="241"/>
        <v/>
      </c>
      <c r="KJ378" s="15">
        <f t="shared" si="242"/>
        <v>0</v>
      </c>
      <c r="KK378" s="15">
        <f t="shared" si="243"/>
        <v>0</v>
      </c>
      <c r="KL378" s="19" t="str">
        <f t="shared" si="244"/>
        <v/>
      </c>
      <c r="KM378" s="52" t="str">
        <f t="shared" si="245"/>
        <v/>
      </c>
      <c r="KN378" s="22">
        <f t="shared" si="246"/>
        <v>0</v>
      </c>
      <c r="KO378" s="22">
        <f t="shared" si="247"/>
        <v>0</v>
      </c>
      <c r="KP378" s="19" t="str">
        <f t="shared" si="248"/>
        <v/>
      </c>
      <c r="KQ378" s="11" t="str">
        <f t="shared" si="249"/>
        <v>4. Transformative</v>
      </c>
      <c r="KR378" s="11" t="str">
        <f t="shared" si="250"/>
        <v>No marker score</v>
      </c>
      <c r="KS378" s="11" t="str">
        <f t="shared" si="251"/>
        <v>No marker score</v>
      </c>
      <c r="KT378" s="11">
        <f t="shared" si="252"/>
        <v>0</v>
      </c>
      <c r="KU378" s="11" t="str">
        <f t="shared" si="253"/>
        <v>Moderate advocacy</v>
      </c>
      <c r="KV378" s="11" t="str">
        <f t="shared" si="254"/>
        <v>It linked and worked with strategic alliances and partners to take tested and effective solutions to scale</v>
      </c>
      <c r="KW378" s="11" t="str">
        <f t="shared" si="255"/>
        <v>Kenya - Kisumu Intergrated Health Project</v>
      </c>
      <c r="KX378" s="11" t="str">
        <f t="shared" si="256"/>
        <v>Kisumu Intergrated Health Project</v>
      </c>
      <c r="KY378" s="11" t="str">
        <f t="shared" si="257"/>
        <v>Kenya</v>
      </c>
      <c r="KZ378" s="12">
        <v>378</v>
      </c>
    </row>
    <row r="379" spans="1:312" x14ac:dyDescent="0.3">
      <c r="A379" s="11" t="s">
        <v>6457</v>
      </c>
      <c r="B379" s="11" t="s">
        <v>1874</v>
      </c>
      <c r="D379" s="11" t="s">
        <v>6743</v>
      </c>
      <c r="E379" s="24" t="str">
        <f t="shared" si="215"/>
        <v>Kenya</v>
      </c>
      <c r="F379" s="11" t="s">
        <v>6744</v>
      </c>
      <c r="G379" s="11" t="s">
        <v>379</v>
      </c>
      <c r="H379" s="11" t="s">
        <v>383</v>
      </c>
      <c r="I379" s="11" t="s">
        <v>1102</v>
      </c>
      <c r="J379" s="278" t="s">
        <v>1102</v>
      </c>
      <c r="BD379" s="23">
        <v>41571</v>
      </c>
      <c r="BE379" s="23">
        <v>42855</v>
      </c>
      <c r="BF379" s="23">
        <v>42916</v>
      </c>
      <c r="BG379" s="11" t="s">
        <v>312</v>
      </c>
      <c r="BH379" s="22">
        <v>1622678.8</v>
      </c>
      <c r="BI379" s="11" t="s">
        <v>6745</v>
      </c>
      <c r="BJ379" s="11" t="s">
        <v>6746</v>
      </c>
      <c r="BK379" s="11" t="s">
        <v>6746</v>
      </c>
      <c r="BL379" s="11" t="s">
        <v>6747</v>
      </c>
      <c r="BM379" s="11" t="s">
        <v>6617</v>
      </c>
      <c r="BN379" s="11" t="s">
        <v>6748</v>
      </c>
      <c r="BO379" s="11" t="s">
        <v>319</v>
      </c>
      <c r="BP379" s="11" t="s">
        <v>320</v>
      </c>
      <c r="BQ379" s="11" t="s">
        <v>319</v>
      </c>
      <c r="BR379" s="11" t="s">
        <v>6749</v>
      </c>
      <c r="BS379" s="11" t="s">
        <v>615</v>
      </c>
      <c r="BT379" s="11" t="s">
        <v>6750</v>
      </c>
      <c r="BU379" s="11" t="s">
        <v>6751</v>
      </c>
      <c r="BV379" s="22">
        <v>93750</v>
      </c>
      <c r="BW379" s="22">
        <v>31250</v>
      </c>
      <c r="BX379" s="22">
        <v>125000</v>
      </c>
      <c r="BY379" s="22">
        <v>375000</v>
      </c>
      <c r="BZ379" s="22">
        <v>125000</v>
      </c>
      <c r="CA379" s="22">
        <v>500000</v>
      </c>
      <c r="CB379" s="15" t="s">
        <v>6752</v>
      </c>
      <c r="CL379" s="18"/>
      <c r="CP379" s="18"/>
      <c r="CT379" s="18"/>
      <c r="CX379" s="18"/>
      <c r="DB379" s="18"/>
      <c r="DF379" s="18"/>
      <c r="DJ379" s="18"/>
      <c r="DN379" s="18"/>
      <c r="DR379" s="18"/>
      <c r="DV379" s="18"/>
      <c r="DZ379" s="18"/>
      <c r="ED379" s="18"/>
      <c r="EI379" s="18"/>
      <c r="EK379" s="22">
        <v>109485</v>
      </c>
      <c r="EL379" s="22">
        <v>19975</v>
      </c>
      <c r="EM379" s="22">
        <v>129460</v>
      </c>
      <c r="EN379" s="22">
        <v>437940</v>
      </c>
      <c r="EO379" s="22">
        <v>79900</v>
      </c>
      <c r="EP379" s="22">
        <v>517840</v>
      </c>
      <c r="ES379" s="18"/>
      <c r="EW379" s="18"/>
      <c r="FA379" s="18"/>
      <c r="FE379" s="18"/>
      <c r="FI379" s="18"/>
      <c r="FM379" s="18"/>
      <c r="FQ379" s="18"/>
      <c r="FU379" s="18"/>
      <c r="FW379" s="11" t="s">
        <v>320</v>
      </c>
      <c r="FX379" s="22">
        <v>84000</v>
      </c>
      <c r="FY379" s="18">
        <v>0.78</v>
      </c>
      <c r="FZ379" s="22">
        <v>336</v>
      </c>
      <c r="GC379" s="18"/>
      <c r="GG379" s="18"/>
      <c r="GK379" s="18"/>
      <c r="GO379" s="18"/>
      <c r="GS379" s="18"/>
      <c r="GW379" s="18"/>
      <c r="GY379" s="11" t="s">
        <v>320</v>
      </c>
      <c r="GZ379" s="22">
        <v>84000</v>
      </c>
      <c r="HA379" s="18">
        <v>0.85</v>
      </c>
      <c r="HB379" s="22">
        <v>336000</v>
      </c>
      <c r="HF379" s="18"/>
      <c r="HH379" s="11" t="s">
        <v>320</v>
      </c>
      <c r="HI379" s="11" t="s">
        <v>1175</v>
      </c>
      <c r="HJ379" s="11">
        <v>2017</v>
      </c>
      <c r="HK379" s="11" t="s">
        <v>320</v>
      </c>
      <c r="HL379" s="11" t="s">
        <v>319</v>
      </c>
      <c r="HP379" s="11" t="s">
        <v>330</v>
      </c>
      <c r="HQ379" s="11" t="s">
        <v>319</v>
      </c>
      <c r="HR379" s="11" t="s">
        <v>319</v>
      </c>
      <c r="HS379" s="11" t="s">
        <v>319</v>
      </c>
      <c r="HT379" s="11" t="s">
        <v>320</v>
      </c>
      <c r="HU379" s="11" t="s">
        <v>320</v>
      </c>
      <c r="HV379" s="11" t="s">
        <v>319</v>
      </c>
      <c r="HW379" s="11" t="s">
        <v>320</v>
      </c>
      <c r="HX379" s="11" t="s">
        <v>320</v>
      </c>
      <c r="HZ379" s="11" t="s">
        <v>331</v>
      </c>
      <c r="IA379" s="11" t="s">
        <v>6753</v>
      </c>
      <c r="IB379" s="11" t="s">
        <v>396</v>
      </c>
      <c r="IC379" s="11" t="s">
        <v>6754</v>
      </c>
      <c r="IE379" s="11" t="s">
        <v>478</v>
      </c>
      <c r="IF379" s="11" t="s">
        <v>320</v>
      </c>
      <c r="IG379" s="11" t="s">
        <v>320</v>
      </c>
      <c r="IH379" s="11" t="s">
        <v>320</v>
      </c>
      <c r="II379" s="11" t="s">
        <v>319</v>
      </c>
      <c r="IJ379" s="12" t="str">
        <f t="shared" si="216"/>
        <v>3. Responsive</v>
      </c>
      <c r="IK379" s="12">
        <f t="shared" si="217"/>
        <v>3</v>
      </c>
      <c r="IL379" s="11" t="s">
        <v>336</v>
      </c>
      <c r="IM379" s="11" t="s">
        <v>319</v>
      </c>
      <c r="IN379" s="11" t="s">
        <v>320</v>
      </c>
      <c r="IO379" s="11" t="s">
        <v>320</v>
      </c>
      <c r="IP379" s="11" t="s">
        <v>320</v>
      </c>
      <c r="IQ379" s="12" t="str">
        <f t="shared" si="218"/>
        <v>2. Accommodating</v>
      </c>
      <c r="IR379" s="12">
        <f t="shared" si="219"/>
        <v>3</v>
      </c>
      <c r="IS379" s="11" t="s">
        <v>337</v>
      </c>
      <c r="IT379" s="11" t="s">
        <v>320</v>
      </c>
      <c r="IU379" s="11" t="s">
        <v>319</v>
      </c>
      <c r="IV379" s="11" t="s">
        <v>319</v>
      </c>
      <c r="IW379" s="11" t="str">
        <f t="shared" si="220"/>
        <v>1. Neutral</v>
      </c>
      <c r="IX379" s="12">
        <f t="shared" si="221"/>
        <v>1</v>
      </c>
      <c r="IY379" s="11" t="s">
        <v>338</v>
      </c>
      <c r="IZ379" s="11" t="s">
        <v>527</v>
      </c>
      <c r="JA379" s="11">
        <v>100</v>
      </c>
      <c r="JB379" s="11" t="s">
        <v>724</v>
      </c>
      <c r="JC379" s="11" t="s">
        <v>624</v>
      </c>
      <c r="JD379" s="11" t="s">
        <v>384</v>
      </c>
      <c r="JE379" s="11" t="s">
        <v>365</v>
      </c>
      <c r="JF379" s="11" t="s">
        <v>6755</v>
      </c>
      <c r="JN379" s="11" t="s">
        <v>6756</v>
      </c>
      <c r="JP379" s="15">
        <f t="shared" si="222"/>
        <v>129460</v>
      </c>
      <c r="JQ379" s="15">
        <f t="shared" si="223"/>
        <v>517840</v>
      </c>
      <c r="JR379" s="279">
        <f t="shared" si="224"/>
        <v>4</v>
      </c>
      <c r="JS379" s="17">
        <f t="shared" si="225"/>
        <v>0.84570523713888457</v>
      </c>
      <c r="JT379" s="18">
        <f t="shared" si="226"/>
        <v>0.84570523713888457</v>
      </c>
      <c r="JU379" s="280">
        <f t="shared" si="227"/>
        <v>109485</v>
      </c>
      <c r="JV379" s="280">
        <f t="shared" si="228"/>
        <v>437940</v>
      </c>
      <c r="JW379" s="319" t="str">
        <f t="shared" si="229"/>
        <v/>
      </c>
      <c r="JX379" s="15">
        <f t="shared" si="230"/>
        <v>0</v>
      </c>
      <c r="JY379" s="15">
        <f t="shared" si="231"/>
        <v>0</v>
      </c>
      <c r="JZ379" s="19" t="str">
        <f t="shared" si="232"/>
        <v/>
      </c>
      <c r="KA379" s="52" t="str">
        <f t="shared" si="233"/>
        <v/>
      </c>
      <c r="KB379" s="15">
        <f t="shared" si="234"/>
        <v>0</v>
      </c>
      <c r="KC379" s="15">
        <f t="shared" si="235"/>
        <v>0</v>
      </c>
      <c r="KD379" s="20" t="str">
        <f t="shared" si="236"/>
        <v/>
      </c>
      <c r="KE379" s="52" t="str">
        <f t="shared" si="237"/>
        <v/>
      </c>
      <c r="KF379" s="15">
        <f t="shared" si="238"/>
        <v>0</v>
      </c>
      <c r="KG379" s="15">
        <f t="shared" si="239"/>
        <v>0</v>
      </c>
      <c r="KH379" s="21" t="str">
        <f t="shared" si="240"/>
        <v/>
      </c>
      <c r="KI379" s="52" t="str">
        <f t="shared" si="241"/>
        <v/>
      </c>
      <c r="KJ379" s="15">
        <f t="shared" si="242"/>
        <v>0</v>
      </c>
      <c r="KK379" s="15">
        <f t="shared" si="243"/>
        <v>0</v>
      </c>
      <c r="KL379" s="19" t="str">
        <f t="shared" si="244"/>
        <v/>
      </c>
      <c r="KM379" s="52">
        <f t="shared" si="245"/>
        <v>1</v>
      </c>
      <c r="KN379" s="22">
        <f t="shared" si="246"/>
        <v>84000</v>
      </c>
      <c r="KO379" s="22">
        <f t="shared" si="247"/>
        <v>336000</v>
      </c>
      <c r="KP379" s="19">
        <f t="shared" si="248"/>
        <v>4</v>
      </c>
      <c r="KQ379" s="11" t="str">
        <f t="shared" si="249"/>
        <v>3. Responsive</v>
      </c>
      <c r="KR379" s="11" t="str">
        <f t="shared" si="250"/>
        <v>2. Accommodating</v>
      </c>
      <c r="KS379" s="11" t="str">
        <f t="shared" si="251"/>
        <v>1. Neutral</v>
      </c>
      <c r="KT379" s="11" t="str">
        <f t="shared" si="252"/>
        <v>It tested new ways for fighting poverty and measured results of innovation</v>
      </c>
      <c r="KU379" s="11" t="str">
        <f t="shared" si="253"/>
        <v>Moderate advocacy</v>
      </c>
      <c r="KV379" s="11" t="str">
        <f t="shared" si="254"/>
        <v>It linked and worked with strategic alliances and partners to take tested and effective solutions to scale</v>
      </c>
      <c r="KW379" s="11" t="str">
        <f t="shared" si="255"/>
        <v>Kenya - Link Up Kenya</v>
      </c>
      <c r="KX379" s="11" t="str">
        <f t="shared" si="256"/>
        <v>Link Up Kenya</v>
      </c>
      <c r="KY379" s="11" t="str">
        <f t="shared" si="257"/>
        <v>Kenya</v>
      </c>
      <c r="KZ379" s="12">
        <v>379</v>
      </c>
    </row>
    <row r="380" spans="1:312" x14ac:dyDescent="0.3">
      <c r="A380" s="11" t="s">
        <v>6457</v>
      </c>
      <c r="B380" s="11" t="s">
        <v>1874</v>
      </c>
      <c r="D380" s="11" t="s">
        <v>6634</v>
      </c>
      <c r="E380" s="24" t="str">
        <f t="shared" si="215"/>
        <v>Kenya</v>
      </c>
      <c r="F380" s="11" t="s">
        <v>6635</v>
      </c>
      <c r="G380" s="11" t="s">
        <v>488</v>
      </c>
      <c r="H380" s="11" t="s">
        <v>310</v>
      </c>
      <c r="I380" s="11" t="s">
        <v>506</v>
      </c>
      <c r="J380" s="278" t="s">
        <v>9230</v>
      </c>
      <c r="BD380" s="23">
        <v>42005</v>
      </c>
      <c r="BE380" s="23">
        <v>43100</v>
      </c>
      <c r="BF380" s="23">
        <v>43465</v>
      </c>
      <c r="BG380" s="11" t="s">
        <v>490</v>
      </c>
      <c r="BH380" s="22">
        <v>628999.5</v>
      </c>
      <c r="BI380" s="11" t="s">
        <v>6636</v>
      </c>
      <c r="BJ380" s="11" t="s">
        <v>6637</v>
      </c>
      <c r="BK380" s="11" t="s">
        <v>6638</v>
      </c>
      <c r="BL380" s="11" t="s">
        <v>6517</v>
      </c>
      <c r="BM380" s="11" t="s">
        <v>6639</v>
      </c>
      <c r="BN380" s="11" t="s">
        <v>6518</v>
      </c>
      <c r="BO380" s="11" t="s">
        <v>319</v>
      </c>
      <c r="BP380" s="11" t="s">
        <v>320</v>
      </c>
      <c r="BQ380" s="11" t="s">
        <v>319</v>
      </c>
      <c r="BR380" s="11" t="s">
        <v>6640</v>
      </c>
      <c r="BS380" s="11" t="s">
        <v>357</v>
      </c>
      <c r="BT380" s="11" t="s">
        <v>6641</v>
      </c>
      <c r="BU380" s="11" t="s">
        <v>6642</v>
      </c>
      <c r="BV380" s="22">
        <v>209367</v>
      </c>
      <c r="BW380" s="22">
        <v>63237</v>
      </c>
      <c r="BX380" s="22">
        <v>272604</v>
      </c>
      <c r="BY380" s="22">
        <v>223332</v>
      </c>
      <c r="BZ380" s="22">
        <v>203034</v>
      </c>
      <c r="CA380" s="22">
        <v>426366</v>
      </c>
      <c r="CB380" s="15" t="s">
        <v>6643</v>
      </c>
      <c r="CL380" s="18"/>
      <c r="CP380" s="18"/>
      <c r="CT380" s="18"/>
      <c r="CX380" s="18"/>
      <c r="DB380" s="18"/>
      <c r="DF380" s="18"/>
      <c r="DJ380" s="18"/>
      <c r="DN380" s="18"/>
      <c r="DR380" s="18"/>
      <c r="DV380" s="18"/>
      <c r="DZ380" s="18"/>
      <c r="ED380" s="18"/>
      <c r="EI380" s="18"/>
      <c r="EK380" s="22">
        <v>69789</v>
      </c>
      <c r="EL380" s="22">
        <v>21079</v>
      </c>
      <c r="EM380" s="22">
        <v>90868</v>
      </c>
      <c r="EN380" s="22">
        <v>74444</v>
      </c>
      <c r="EO380" s="22">
        <v>67677</v>
      </c>
      <c r="EP380" s="22">
        <v>142121</v>
      </c>
      <c r="ES380" s="18"/>
      <c r="EW380" s="18"/>
      <c r="FA380" s="18"/>
      <c r="FE380" s="18"/>
      <c r="FI380" s="18"/>
      <c r="FM380" s="18"/>
      <c r="FQ380" s="18"/>
      <c r="FU380" s="18"/>
      <c r="FY380" s="18"/>
      <c r="GC380" s="18"/>
      <c r="GG380" s="18"/>
      <c r="GK380" s="18"/>
      <c r="GM380" s="11" t="s">
        <v>320</v>
      </c>
      <c r="GN380" s="22">
        <v>3030</v>
      </c>
      <c r="GO380" s="18">
        <v>0.8</v>
      </c>
      <c r="GP380" s="22">
        <v>12120</v>
      </c>
      <c r="GQ380" s="12" t="s">
        <v>320</v>
      </c>
      <c r="GR380" s="22">
        <v>90868</v>
      </c>
      <c r="GS380" s="18">
        <v>0.51</v>
      </c>
      <c r="GT380" s="22">
        <v>142122</v>
      </c>
      <c r="GW380" s="18"/>
      <c r="GY380" s="11" t="s">
        <v>320</v>
      </c>
      <c r="GZ380" s="22">
        <v>305</v>
      </c>
      <c r="HA380" s="18">
        <v>0.99</v>
      </c>
      <c r="HB380" s="22">
        <v>1222</v>
      </c>
      <c r="HF380" s="18"/>
      <c r="HH380" s="11" t="s">
        <v>319</v>
      </c>
      <c r="HK380" s="11" t="s">
        <v>319</v>
      </c>
      <c r="HL380" s="11" t="s">
        <v>319</v>
      </c>
      <c r="HP380" s="11" t="s">
        <v>330</v>
      </c>
      <c r="HQ380" s="11" t="s">
        <v>320</v>
      </c>
      <c r="HR380" s="11" t="s">
        <v>319</v>
      </c>
      <c r="HS380" s="11" t="s">
        <v>320</v>
      </c>
      <c r="HT380" s="11" t="s">
        <v>320</v>
      </c>
      <c r="HU380" s="11" t="s">
        <v>319</v>
      </c>
      <c r="HV380" s="11" t="s">
        <v>319</v>
      </c>
      <c r="HW380" s="11" t="s">
        <v>320</v>
      </c>
      <c r="HX380" s="11" t="s">
        <v>319</v>
      </c>
      <c r="HZ380" s="11" t="s">
        <v>394</v>
      </c>
      <c r="IA380" s="11" t="s">
        <v>6644</v>
      </c>
      <c r="IB380" s="11" t="s">
        <v>333</v>
      </c>
      <c r="ID380" s="11" t="s">
        <v>334</v>
      </c>
      <c r="IE380" s="11" t="s">
        <v>478</v>
      </c>
      <c r="IF380" s="11" t="s">
        <v>319</v>
      </c>
      <c r="IG380" s="11" t="s">
        <v>320</v>
      </c>
      <c r="IH380" s="11" t="s">
        <v>320</v>
      </c>
      <c r="II380" s="11" t="s">
        <v>319</v>
      </c>
      <c r="IJ380" s="12" t="str">
        <f t="shared" si="216"/>
        <v>3. Responsive</v>
      </c>
      <c r="IK380" s="12">
        <f t="shared" si="217"/>
        <v>2</v>
      </c>
      <c r="IL380" s="11" t="s">
        <v>621</v>
      </c>
      <c r="IN380" s="11" t="s">
        <v>320</v>
      </c>
      <c r="IO380" s="11" t="s">
        <v>320</v>
      </c>
      <c r="IP380" s="11" t="s">
        <v>320</v>
      </c>
      <c r="IQ380" s="12" t="str">
        <f t="shared" si="218"/>
        <v>3. Responsive</v>
      </c>
      <c r="IR380" s="12">
        <f t="shared" si="219"/>
        <v>3</v>
      </c>
      <c r="IS380" s="11" t="s">
        <v>622</v>
      </c>
      <c r="IT380" s="11" t="s">
        <v>320</v>
      </c>
      <c r="IU380" s="11" t="s">
        <v>320</v>
      </c>
      <c r="IV380" s="11" t="s">
        <v>320</v>
      </c>
      <c r="IW380" s="11" t="str">
        <f t="shared" si="220"/>
        <v>4. Transformative</v>
      </c>
      <c r="IX380" s="12">
        <f t="shared" si="221"/>
        <v>3</v>
      </c>
      <c r="IY380" s="11" t="s">
        <v>338</v>
      </c>
      <c r="IZ380" s="11" t="s">
        <v>457</v>
      </c>
      <c r="JA380" s="11">
        <v>3</v>
      </c>
      <c r="JB380" s="11" t="s">
        <v>687</v>
      </c>
      <c r="JC380" s="12" t="s">
        <v>651</v>
      </c>
      <c r="JD380" s="11" t="s">
        <v>1113</v>
      </c>
      <c r="JE380" s="11" t="s">
        <v>365</v>
      </c>
      <c r="JF380" s="11" t="s">
        <v>6645</v>
      </c>
      <c r="JG380" s="11" t="s">
        <v>6646</v>
      </c>
      <c r="JH380" s="11" t="s">
        <v>6647</v>
      </c>
      <c r="JI380" s="11" t="s">
        <v>6648</v>
      </c>
      <c r="JJ380" s="11" t="s">
        <v>6649</v>
      </c>
      <c r="JK380" s="11" t="s">
        <v>6650</v>
      </c>
      <c r="JL380" s="11" t="s">
        <v>6651</v>
      </c>
      <c r="JM380" s="11" t="s">
        <v>6652</v>
      </c>
      <c r="JN380" s="11" t="s">
        <v>6653</v>
      </c>
      <c r="JO380" s="11" t="s">
        <v>6654</v>
      </c>
      <c r="JP380" s="15">
        <f t="shared" si="222"/>
        <v>90868</v>
      </c>
      <c r="JQ380" s="15">
        <f t="shared" si="223"/>
        <v>142121</v>
      </c>
      <c r="JR380" s="279">
        <f t="shared" si="224"/>
        <v>1.5640379451512083</v>
      </c>
      <c r="JS380" s="17">
        <f t="shared" si="225"/>
        <v>0.76802614781881406</v>
      </c>
      <c r="JT380" s="18">
        <f t="shared" si="226"/>
        <v>0.52380717839024493</v>
      </c>
      <c r="JU380" s="280">
        <f t="shared" si="227"/>
        <v>69789</v>
      </c>
      <c r="JV380" s="280">
        <f t="shared" si="228"/>
        <v>74444</v>
      </c>
      <c r="JW380" s="319" t="str">
        <f t="shared" si="229"/>
        <v/>
      </c>
      <c r="JX380" s="15">
        <f t="shared" si="230"/>
        <v>0</v>
      </c>
      <c r="JY380" s="15">
        <f t="shared" si="231"/>
        <v>0</v>
      </c>
      <c r="JZ380" s="19" t="str">
        <f t="shared" si="232"/>
        <v/>
      </c>
      <c r="KA380" s="52" t="str">
        <f t="shared" si="233"/>
        <v/>
      </c>
      <c r="KB380" s="15">
        <f t="shared" si="234"/>
        <v>0</v>
      </c>
      <c r="KC380" s="15">
        <f t="shared" si="235"/>
        <v>0</v>
      </c>
      <c r="KD380" s="20" t="str">
        <f t="shared" si="236"/>
        <v/>
      </c>
      <c r="KE380" s="52">
        <f t="shared" si="237"/>
        <v>1</v>
      </c>
      <c r="KF380" s="15">
        <f t="shared" si="238"/>
        <v>90868</v>
      </c>
      <c r="KG380" s="15">
        <f t="shared" si="239"/>
        <v>142122</v>
      </c>
      <c r="KH380" s="21">
        <f t="shared" si="240"/>
        <v>1.5640489501254566</v>
      </c>
      <c r="KI380" s="52" t="str">
        <f t="shared" si="241"/>
        <v/>
      </c>
      <c r="KJ380" s="15">
        <f t="shared" si="242"/>
        <v>0</v>
      </c>
      <c r="KK380" s="15">
        <f t="shared" si="243"/>
        <v>0</v>
      </c>
      <c r="KL380" s="19" t="str">
        <f t="shared" si="244"/>
        <v/>
      </c>
      <c r="KM380" s="52">
        <f t="shared" si="245"/>
        <v>1</v>
      </c>
      <c r="KN380" s="22">
        <f t="shared" si="246"/>
        <v>305</v>
      </c>
      <c r="KO380" s="22">
        <f t="shared" si="247"/>
        <v>1222</v>
      </c>
      <c r="KP380" s="19">
        <f t="shared" si="248"/>
        <v>4.0065573770491802</v>
      </c>
      <c r="KQ380" s="11" t="str">
        <f t="shared" si="249"/>
        <v>3. Responsive</v>
      </c>
      <c r="KR380" s="11" t="str">
        <f t="shared" si="250"/>
        <v>3. Responsive</v>
      </c>
      <c r="KS380" s="11" t="str">
        <f t="shared" si="251"/>
        <v>4. Transformative</v>
      </c>
      <c r="KT380" s="11" t="str">
        <f t="shared" si="252"/>
        <v>It tested new ways for fighting poverty, but did not measure results of innovation</v>
      </c>
      <c r="KU380" s="11" t="str">
        <f t="shared" si="253"/>
        <v>Moderate advocacy</v>
      </c>
      <c r="KV380" s="11" t="str">
        <f t="shared" si="254"/>
        <v>It did not take tested solutions to scale</v>
      </c>
      <c r="KW380" s="11" t="str">
        <f t="shared" si="255"/>
        <v>Kenya - Maternal and Neonatal Health Improvement (MANI)</v>
      </c>
      <c r="KX380" s="11" t="str">
        <f t="shared" si="256"/>
        <v>Maternal and Neonatal Health Improvement (MANI)</v>
      </c>
      <c r="KY380" s="11" t="str">
        <f t="shared" si="257"/>
        <v>Kenya</v>
      </c>
      <c r="KZ380" s="287">
        <v>380</v>
      </c>
    </row>
    <row r="381" spans="1:312" x14ac:dyDescent="0.3">
      <c r="A381" s="12" t="s">
        <v>6457</v>
      </c>
      <c r="B381" s="12" t="s">
        <v>1874</v>
      </c>
      <c r="C381" s="12"/>
      <c r="D381" s="12" t="s">
        <v>6757</v>
      </c>
      <c r="E381" s="24" t="str">
        <f t="shared" si="215"/>
        <v>Kenya</v>
      </c>
      <c r="F381" s="12" t="s">
        <v>6758</v>
      </c>
      <c r="G381" s="12" t="s">
        <v>379</v>
      </c>
      <c r="H381" s="12" t="s">
        <v>489</v>
      </c>
      <c r="I381" s="12" t="s">
        <v>384</v>
      </c>
      <c r="J381" s="281" t="s">
        <v>14627</v>
      </c>
      <c r="K381" s="12"/>
      <c r="L381" s="12"/>
      <c r="M381" s="12"/>
      <c r="N381" s="12"/>
      <c r="O381" s="12"/>
      <c r="P381" s="12"/>
      <c r="Q381" s="12"/>
      <c r="R381" s="12"/>
      <c r="S381" s="12"/>
      <c r="T381" s="12"/>
      <c r="U381" s="12"/>
      <c r="V381" s="12"/>
      <c r="W381" s="12"/>
      <c r="X381" s="12"/>
      <c r="Y381" s="12"/>
      <c r="Z381" s="12"/>
      <c r="AA381" s="12"/>
      <c r="AB381" s="12"/>
      <c r="AC381" s="12"/>
      <c r="AD381" s="12"/>
      <c r="AE381" s="39"/>
      <c r="BD381" s="13">
        <v>42736</v>
      </c>
      <c r="BE381" s="13">
        <v>43435</v>
      </c>
      <c r="BF381" s="12"/>
      <c r="BG381" s="12" t="s">
        <v>312</v>
      </c>
      <c r="BH381" s="14">
        <v>5737580</v>
      </c>
      <c r="BI381" s="12" t="s">
        <v>6759</v>
      </c>
      <c r="BJ381" s="12" t="s">
        <v>354</v>
      </c>
      <c r="BK381" s="12" t="s">
        <v>6760</v>
      </c>
      <c r="BL381" s="12" t="s">
        <v>6554</v>
      </c>
      <c r="BM381" s="12" t="s">
        <v>6568</v>
      </c>
      <c r="BN381" s="12" t="s">
        <v>6556</v>
      </c>
      <c r="BO381" s="12" t="s">
        <v>320</v>
      </c>
      <c r="BP381" s="12" t="s">
        <v>320</v>
      </c>
      <c r="BQ381" s="12" t="s">
        <v>320</v>
      </c>
      <c r="BR381" s="12" t="s">
        <v>6761</v>
      </c>
      <c r="BS381" s="12" t="s">
        <v>357</v>
      </c>
      <c r="BT381" s="12" t="s">
        <v>6762</v>
      </c>
      <c r="BU381" s="12" t="s">
        <v>6763</v>
      </c>
      <c r="BV381" s="14">
        <v>28821</v>
      </c>
      <c r="BW381" s="14">
        <v>17288</v>
      </c>
      <c r="BX381" s="14">
        <v>46109</v>
      </c>
      <c r="BY381" s="14">
        <v>33469</v>
      </c>
      <c r="BZ381" s="14">
        <v>32156</v>
      </c>
      <c r="CA381" s="14">
        <v>65625</v>
      </c>
      <c r="CB381" s="12" t="s">
        <v>6764</v>
      </c>
      <c r="CC381" s="39"/>
      <c r="CD381" s="14">
        <v>0</v>
      </c>
      <c r="CE381" s="14">
        <v>0</v>
      </c>
      <c r="CF381" s="14">
        <v>0</v>
      </c>
      <c r="CG381" s="14">
        <v>0</v>
      </c>
      <c r="CH381" s="14">
        <v>0</v>
      </c>
      <c r="CI381" s="14">
        <v>0</v>
      </c>
      <c r="CJ381" s="12" t="s">
        <v>319</v>
      </c>
      <c r="CK381" s="14"/>
      <c r="CL381" s="16"/>
      <c r="CM381" s="14"/>
      <c r="CN381" s="12" t="s">
        <v>319</v>
      </c>
      <c r="CO381" s="14"/>
      <c r="CP381" s="16"/>
      <c r="CQ381" s="14"/>
      <c r="CR381" s="12" t="s">
        <v>319</v>
      </c>
      <c r="CS381" s="14"/>
      <c r="CT381" s="16"/>
      <c r="CU381" s="14"/>
      <c r="CV381" s="12" t="s">
        <v>319</v>
      </c>
      <c r="CW381" s="14"/>
      <c r="CX381" s="16"/>
      <c r="CY381" s="14"/>
      <c r="CZ381" s="12" t="s">
        <v>319</v>
      </c>
      <c r="DA381" s="14"/>
      <c r="DB381" s="16"/>
      <c r="DC381" s="14"/>
      <c r="DD381" s="12" t="s">
        <v>319</v>
      </c>
      <c r="DE381" s="14"/>
      <c r="DF381" s="16"/>
      <c r="DG381" s="14"/>
      <c r="DH381" s="12" t="s">
        <v>319</v>
      </c>
      <c r="DI381" s="14"/>
      <c r="DJ381" s="16"/>
      <c r="DK381" s="14"/>
      <c r="DL381" s="12" t="s">
        <v>319</v>
      </c>
      <c r="DM381" s="14"/>
      <c r="DN381" s="16"/>
      <c r="DO381" s="14"/>
      <c r="DP381" s="12" t="s">
        <v>319</v>
      </c>
      <c r="DQ381" s="14"/>
      <c r="DR381" s="16"/>
      <c r="DS381" s="14"/>
      <c r="DT381" s="12" t="s">
        <v>319</v>
      </c>
      <c r="DU381" s="14"/>
      <c r="DV381" s="16"/>
      <c r="DW381" s="14"/>
      <c r="DX381" s="12" t="s">
        <v>319</v>
      </c>
      <c r="DY381" s="14"/>
      <c r="DZ381" s="16"/>
      <c r="EA381" s="14"/>
      <c r="EB381" s="12" t="s">
        <v>319</v>
      </c>
      <c r="EC381" s="14"/>
      <c r="ED381" s="16"/>
      <c r="EE381" s="14"/>
      <c r="EF381" s="12"/>
      <c r="EG381" s="12"/>
      <c r="EH381" s="14"/>
      <c r="EI381" s="16"/>
      <c r="EJ381" s="14"/>
      <c r="EK381" s="14">
        <v>14411</v>
      </c>
      <c r="EL381" s="14">
        <v>8644</v>
      </c>
      <c r="EM381" s="14">
        <v>23055</v>
      </c>
      <c r="EN381" s="14">
        <v>16735</v>
      </c>
      <c r="EO381" s="14">
        <v>16078</v>
      </c>
      <c r="EP381" s="14">
        <v>32813</v>
      </c>
      <c r="EQ381" s="12" t="s">
        <v>319</v>
      </c>
      <c r="ER381" s="14"/>
      <c r="ES381" s="16"/>
      <c r="ET381" s="14"/>
      <c r="EU381" s="11" t="s">
        <v>319</v>
      </c>
      <c r="EV381" s="14"/>
      <c r="EW381" s="16"/>
      <c r="EX381" s="14"/>
      <c r="EY381" s="12" t="s">
        <v>319</v>
      </c>
      <c r="EZ381" s="14"/>
      <c r="FA381" s="16"/>
      <c r="FB381" s="14"/>
      <c r="FC381" s="12" t="s">
        <v>319</v>
      </c>
      <c r="FD381" s="14"/>
      <c r="FE381" s="16"/>
      <c r="FF381" s="14"/>
      <c r="FG381" s="12" t="s">
        <v>319</v>
      </c>
      <c r="FH381" s="14"/>
      <c r="FI381" s="16"/>
      <c r="FJ381" s="14"/>
      <c r="FK381" s="12" t="s">
        <v>319</v>
      </c>
      <c r="FL381" s="14"/>
      <c r="FM381" s="16"/>
      <c r="FN381" s="14"/>
      <c r="FO381" s="12" t="s">
        <v>319</v>
      </c>
      <c r="FP381" s="14"/>
      <c r="FQ381" s="16"/>
      <c r="FR381" s="14"/>
      <c r="FS381" s="12" t="s">
        <v>319</v>
      </c>
      <c r="FT381" s="14"/>
      <c r="FU381" s="16"/>
      <c r="FV381" s="14"/>
      <c r="FW381" s="12" t="s">
        <v>319</v>
      </c>
      <c r="FX381" s="14"/>
      <c r="FY381" s="16"/>
      <c r="FZ381" s="14"/>
      <c r="GA381" s="12" t="s">
        <v>319</v>
      </c>
      <c r="GB381" s="14"/>
      <c r="GC381" s="16"/>
      <c r="GD381" s="14"/>
      <c r="GE381" s="12" t="s">
        <v>319</v>
      </c>
      <c r="GF381" s="14"/>
      <c r="GG381" s="16"/>
      <c r="GH381" s="14"/>
      <c r="GI381" s="12" t="s">
        <v>319</v>
      </c>
      <c r="GJ381" s="14"/>
      <c r="GK381" s="16"/>
      <c r="GL381" s="14"/>
      <c r="GM381" s="12" t="s">
        <v>319</v>
      </c>
      <c r="GN381" s="14"/>
      <c r="GO381" s="16"/>
      <c r="GP381" s="14"/>
      <c r="GQ381" s="12" t="s">
        <v>319</v>
      </c>
      <c r="GR381" s="14"/>
      <c r="GS381" s="16"/>
      <c r="GT381" s="14"/>
      <c r="GU381" s="12" t="s">
        <v>320</v>
      </c>
      <c r="GV381" s="14">
        <v>3850</v>
      </c>
      <c r="GW381" s="16">
        <v>0.8</v>
      </c>
      <c r="GX381" s="14">
        <v>26540</v>
      </c>
      <c r="GY381" s="12" t="s">
        <v>319</v>
      </c>
      <c r="GZ381" s="14"/>
      <c r="HA381" s="16"/>
      <c r="HB381" s="14"/>
      <c r="HC381" s="39"/>
      <c r="HD381" s="12"/>
      <c r="HE381" s="14"/>
      <c r="HF381" s="16"/>
      <c r="HG381" s="14"/>
      <c r="HH381" s="12" t="s">
        <v>320</v>
      </c>
      <c r="HI381" s="12" t="s">
        <v>1175</v>
      </c>
      <c r="HJ381" s="12">
        <v>2017</v>
      </c>
      <c r="HK381" s="12" t="s">
        <v>320</v>
      </c>
      <c r="HL381" s="12" t="s">
        <v>319</v>
      </c>
      <c r="HM381" s="12"/>
      <c r="HN381" s="12"/>
      <c r="HO381" s="12" t="s">
        <v>6765</v>
      </c>
      <c r="HP381" s="12" t="s">
        <v>330</v>
      </c>
      <c r="HQ381" s="12" t="s">
        <v>320</v>
      </c>
      <c r="HR381" s="12" t="s">
        <v>319</v>
      </c>
      <c r="HS381" s="12" t="s">
        <v>319</v>
      </c>
      <c r="HT381" s="12" t="s">
        <v>320</v>
      </c>
      <c r="HU381" s="12" t="s">
        <v>320</v>
      </c>
      <c r="HV381" s="12" t="s">
        <v>319</v>
      </c>
      <c r="HW381" s="12" t="s">
        <v>320</v>
      </c>
      <c r="HX381" s="12"/>
      <c r="HZ381" s="12" t="s">
        <v>363</v>
      </c>
      <c r="IA381" s="12"/>
      <c r="IB381" s="12" t="s">
        <v>333</v>
      </c>
      <c r="IC381" s="12"/>
      <c r="ID381" s="12" t="s">
        <v>364</v>
      </c>
      <c r="IE381" s="12" t="s">
        <v>335</v>
      </c>
      <c r="IF381" s="12" t="s">
        <v>320</v>
      </c>
      <c r="IG381" s="12" t="s">
        <v>320</v>
      </c>
      <c r="IH381" s="12" t="s">
        <v>320</v>
      </c>
      <c r="II381" s="12" t="s">
        <v>320</v>
      </c>
      <c r="IJ381" s="12" t="str">
        <f t="shared" si="216"/>
        <v>2. Sensitive</v>
      </c>
      <c r="IK381" s="12">
        <f t="shared" si="217"/>
        <v>4</v>
      </c>
      <c r="IL381" s="12" t="s">
        <v>336</v>
      </c>
      <c r="IM381" s="12" t="s">
        <v>320</v>
      </c>
      <c r="IN381" s="12" t="s">
        <v>320</v>
      </c>
      <c r="IO381" s="12" t="s">
        <v>320</v>
      </c>
      <c r="IP381" s="12" t="s">
        <v>320</v>
      </c>
      <c r="IQ381" s="12" t="str">
        <f t="shared" si="218"/>
        <v>2. Accommodating</v>
      </c>
      <c r="IR381" s="12">
        <f t="shared" si="219"/>
        <v>4</v>
      </c>
      <c r="IS381" s="12" t="s">
        <v>337</v>
      </c>
      <c r="IT381" s="12" t="s">
        <v>319</v>
      </c>
      <c r="IU381" s="12" t="s">
        <v>320</v>
      </c>
      <c r="IV381" s="12" t="s">
        <v>320</v>
      </c>
      <c r="IW381" s="11" t="str">
        <f t="shared" si="220"/>
        <v>1. Neutral</v>
      </c>
      <c r="IX381" s="12">
        <f t="shared" si="221"/>
        <v>2</v>
      </c>
      <c r="IY381" s="12" t="s">
        <v>419</v>
      </c>
      <c r="IZ381" s="12" t="s">
        <v>432</v>
      </c>
      <c r="JA381" s="12">
        <v>4</v>
      </c>
      <c r="JB381" s="12" t="s">
        <v>687</v>
      </c>
      <c r="JC381" s="12" t="s">
        <v>831</v>
      </c>
      <c r="JD381" s="12" t="s">
        <v>651</v>
      </c>
      <c r="JE381" s="12" t="s">
        <v>340</v>
      </c>
      <c r="JF381" s="12" t="s">
        <v>6766</v>
      </c>
      <c r="JG381" s="12" t="s">
        <v>6767</v>
      </c>
      <c r="JH381" s="12" t="s">
        <v>6768</v>
      </c>
      <c r="JI381" s="12" t="s">
        <v>6769</v>
      </c>
      <c r="JJ381" s="12"/>
      <c r="JK381" s="12" t="s">
        <v>6770</v>
      </c>
      <c r="JL381" s="12" t="s">
        <v>6771</v>
      </c>
      <c r="JM381" s="12"/>
      <c r="JN381" s="12"/>
      <c r="JO381" s="12"/>
      <c r="JP381" s="15">
        <f t="shared" si="222"/>
        <v>23055</v>
      </c>
      <c r="JQ381" s="15">
        <f t="shared" si="223"/>
        <v>32813</v>
      </c>
      <c r="JR381" s="279">
        <f t="shared" si="224"/>
        <v>1.4232487529819995</v>
      </c>
      <c r="JS381" s="17">
        <f t="shared" si="225"/>
        <v>0.62507048362611151</v>
      </c>
      <c r="JT381" s="18">
        <f t="shared" si="226"/>
        <v>0.51001127601865115</v>
      </c>
      <c r="JU381" s="280">
        <f t="shared" si="227"/>
        <v>14411</v>
      </c>
      <c r="JV381" s="280">
        <f t="shared" si="228"/>
        <v>16735</v>
      </c>
      <c r="JW381" s="319">
        <f t="shared" si="229"/>
        <v>1</v>
      </c>
      <c r="JX381" s="15">
        <f t="shared" si="230"/>
        <v>0</v>
      </c>
      <c r="JY381" s="15">
        <f t="shared" si="231"/>
        <v>0</v>
      </c>
      <c r="JZ381" s="19" t="str">
        <f t="shared" si="232"/>
        <v/>
      </c>
      <c r="KA381" s="52">
        <f t="shared" si="233"/>
        <v>1</v>
      </c>
      <c r="KB381" s="15">
        <f t="shared" si="234"/>
        <v>3850</v>
      </c>
      <c r="KC381" s="15">
        <f t="shared" si="235"/>
        <v>26540</v>
      </c>
      <c r="KD381" s="20">
        <f t="shared" si="236"/>
        <v>6.8935064935064938</v>
      </c>
      <c r="KE381" s="52" t="str">
        <f t="shared" si="237"/>
        <v/>
      </c>
      <c r="KF381" s="15">
        <f t="shared" si="238"/>
        <v>0</v>
      </c>
      <c r="KG381" s="15">
        <f t="shared" si="239"/>
        <v>0</v>
      </c>
      <c r="KH381" s="21" t="str">
        <f t="shared" si="240"/>
        <v/>
      </c>
      <c r="KI381" s="52" t="str">
        <f t="shared" si="241"/>
        <v/>
      </c>
      <c r="KJ381" s="15">
        <f t="shared" si="242"/>
        <v>0</v>
      </c>
      <c r="KK381" s="15">
        <f t="shared" si="243"/>
        <v>0</v>
      </c>
      <c r="KL381" s="19" t="str">
        <f t="shared" si="244"/>
        <v/>
      </c>
      <c r="KM381" s="52" t="str">
        <f t="shared" si="245"/>
        <v/>
      </c>
      <c r="KN381" s="22">
        <f t="shared" si="246"/>
        <v>0</v>
      </c>
      <c r="KO381" s="22">
        <f t="shared" si="247"/>
        <v>0</v>
      </c>
      <c r="KP381" s="19" t="str">
        <f t="shared" si="248"/>
        <v/>
      </c>
      <c r="KQ381" s="11" t="str">
        <f t="shared" si="249"/>
        <v>2. Sensitive</v>
      </c>
      <c r="KR381" s="11" t="str">
        <f t="shared" si="250"/>
        <v>2. Accommodating</v>
      </c>
      <c r="KS381" s="11" t="str">
        <f t="shared" si="251"/>
        <v>1. Neutral</v>
      </c>
      <c r="KT381" s="11" t="str">
        <f t="shared" si="252"/>
        <v>It did not develop any specific innovation</v>
      </c>
      <c r="KU381" s="11" t="str">
        <f t="shared" si="253"/>
        <v>Moderate advocacy</v>
      </c>
      <c r="KV381" s="11" t="str">
        <f t="shared" si="254"/>
        <v>It did not take tested solutions to scale</v>
      </c>
      <c r="KW381" s="11" t="str">
        <f t="shared" si="255"/>
        <v>Kenya - Nyanza Healthy Water</v>
      </c>
      <c r="KX381" s="11" t="str">
        <f t="shared" si="256"/>
        <v>Nyanza Healthy Water</v>
      </c>
      <c r="KY381" s="11" t="str">
        <f t="shared" si="257"/>
        <v>Kenya</v>
      </c>
      <c r="KZ381" s="12">
        <v>381</v>
      </c>
    </row>
    <row r="382" spans="1:312" x14ac:dyDescent="0.3">
      <c r="A382" s="11" t="s">
        <v>6457</v>
      </c>
      <c r="B382" s="11" t="s">
        <v>1874</v>
      </c>
      <c r="D382" s="11" t="s">
        <v>6458</v>
      </c>
      <c r="E382" s="24" t="str">
        <f t="shared" si="215"/>
        <v>Kenya</v>
      </c>
      <c r="F382" s="11" t="s">
        <v>14694</v>
      </c>
      <c r="G382" s="11" t="s">
        <v>376</v>
      </c>
      <c r="H382" s="11" t="s">
        <v>310</v>
      </c>
      <c r="J382" s="278" t="s">
        <v>6459</v>
      </c>
      <c r="BD382" s="23">
        <v>42614</v>
      </c>
      <c r="BE382" s="23">
        <v>43555</v>
      </c>
      <c r="BG382" s="11" t="s">
        <v>312</v>
      </c>
      <c r="BH382" s="22">
        <v>1806562</v>
      </c>
      <c r="BI382" s="11" t="s">
        <v>6460</v>
      </c>
      <c r="BJ382" s="11" t="s">
        <v>6461</v>
      </c>
      <c r="BK382" s="11" t="s">
        <v>6462</v>
      </c>
      <c r="BL382" s="11" t="s">
        <v>6463</v>
      </c>
      <c r="BM382" s="11" t="s">
        <v>4377</v>
      </c>
      <c r="BN382" s="11" t="s">
        <v>6464</v>
      </c>
      <c r="BO382" s="12" t="s">
        <v>319</v>
      </c>
      <c r="BP382" s="12" t="s">
        <v>320</v>
      </c>
      <c r="BQ382" s="12" t="s">
        <v>319</v>
      </c>
      <c r="BR382" s="11" t="s">
        <v>6465</v>
      </c>
      <c r="BS382" s="11" t="s">
        <v>357</v>
      </c>
      <c r="BT382" s="11" t="s">
        <v>6466</v>
      </c>
      <c r="BU382" s="11" t="s">
        <v>6467</v>
      </c>
      <c r="BX382" s="22">
        <v>6000</v>
      </c>
      <c r="CA382" s="22">
        <v>163280</v>
      </c>
      <c r="CB382" s="15" t="s">
        <v>6468</v>
      </c>
      <c r="CL382" s="18"/>
      <c r="CP382" s="18"/>
      <c r="CT382" s="18"/>
      <c r="CX382" s="18"/>
      <c r="DB382" s="18"/>
      <c r="DF382" s="18"/>
      <c r="DJ382" s="18"/>
      <c r="DN382" s="18"/>
      <c r="DR382" s="18"/>
      <c r="DV382" s="18"/>
      <c r="DZ382" s="18"/>
      <c r="ED382" s="18"/>
      <c r="EI382" s="18"/>
      <c r="EM382" s="22">
        <v>6025</v>
      </c>
      <c r="EP382" s="22">
        <v>163280</v>
      </c>
      <c r="ES382" s="18"/>
      <c r="EW382" s="18"/>
      <c r="FA382" s="18"/>
      <c r="FE382" s="18"/>
      <c r="FG382" s="11" t="s">
        <v>320</v>
      </c>
      <c r="FI382" s="18"/>
      <c r="FM382" s="18"/>
      <c r="FO382" s="11" t="s">
        <v>320</v>
      </c>
      <c r="FQ382" s="18"/>
      <c r="FU382" s="18"/>
      <c r="FW382" s="11" t="s">
        <v>320</v>
      </c>
      <c r="FY382" s="18"/>
      <c r="GC382" s="18"/>
      <c r="GG382" s="18"/>
      <c r="GK382" s="18"/>
      <c r="GO382" s="18"/>
      <c r="GS382" s="18"/>
      <c r="GW382" s="18"/>
      <c r="GY382" s="11" t="s">
        <v>320</v>
      </c>
      <c r="HA382" s="18"/>
      <c r="HF382" s="18"/>
      <c r="HH382" s="11" t="s">
        <v>320</v>
      </c>
      <c r="HI382" s="11" t="s">
        <v>431</v>
      </c>
      <c r="HJ382" s="11">
        <v>2017</v>
      </c>
      <c r="HK382" s="11" t="s">
        <v>319</v>
      </c>
      <c r="HL382" s="11" t="s">
        <v>319</v>
      </c>
      <c r="HP382" s="11" t="s">
        <v>418</v>
      </c>
      <c r="HQ382" s="11" t="s">
        <v>319</v>
      </c>
      <c r="HR382" s="11" t="s">
        <v>319</v>
      </c>
      <c r="HS382" s="11" t="s">
        <v>319</v>
      </c>
      <c r="HT382" s="11" t="s">
        <v>319</v>
      </c>
      <c r="HU382" s="11" t="s">
        <v>319</v>
      </c>
      <c r="HV382" s="11" t="s">
        <v>319</v>
      </c>
      <c r="HW382" s="11" t="s">
        <v>319</v>
      </c>
      <c r="HX382" s="11" t="s">
        <v>319</v>
      </c>
      <c r="HZ382" s="11" t="s">
        <v>363</v>
      </c>
      <c r="IA382" s="11" t="s">
        <v>6469</v>
      </c>
      <c r="IB382" s="11" t="s">
        <v>333</v>
      </c>
      <c r="IC382" s="11" t="s">
        <v>6470</v>
      </c>
      <c r="ID382" s="11" t="s">
        <v>334</v>
      </c>
      <c r="IE382" s="11" t="s">
        <v>335</v>
      </c>
      <c r="IF382" s="11" t="s">
        <v>319</v>
      </c>
      <c r="IG382" s="11" t="s">
        <v>319</v>
      </c>
      <c r="IH382" s="11" t="s">
        <v>320</v>
      </c>
      <c r="II382" s="11" t="s">
        <v>320</v>
      </c>
      <c r="IJ382" s="12" t="str">
        <f t="shared" si="216"/>
        <v>1. Neutral</v>
      </c>
      <c r="IK382" s="12">
        <f t="shared" si="217"/>
        <v>2</v>
      </c>
      <c r="IL382" s="11" t="s">
        <v>336</v>
      </c>
      <c r="IM382" s="11" t="s">
        <v>320</v>
      </c>
      <c r="IN382" s="11" t="s">
        <v>319</v>
      </c>
      <c r="IO382" s="11" t="s">
        <v>320</v>
      </c>
      <c r="IP382" s="11" t="s">
        <v>320</v>
      </c>
      <c r="IQ382" s="12" t="str">
        <f t="shared" si="218"/>
        <v>2. Accommodating</v>
      </c>
      <c r="IR382" s="12">
        <f t="shared" si="219"/>
        <v>3</v>
      </c>
      <c r="IW382" s="11" t="str">
        <f t="shared" si="220"/>
        <v>No marker score</v>
      </c>
      <c r="IX382" s="12">
        <f t="shared" si="221"/>
        <v>0</v>
      </c>
      <c r="IY382" s="11" t="s">
        <v>338</v>
      </c>
      <c r="IZ382" s="11" t="s">
        <v>339</v>
      </c>
      <c r="JP382" s="15">
        <f t="shared" si="222"/>
        <v>6025</v>
      </c>
      <c r="JQ382" s="15">
        <f t="shared" si="223"/>
        <v>163280</v>
      </c>
      <c r="JR382" s="279">
        <f t="shared" si="224"/>
        <v>27.100414937759336</v>
      </c>
      <c r="JS382" s="17">
        <f t="shared" si="225"/>
        <v>0</v>
      </c>
      <c r="JT382" s="18">
        <f t="shared" si="226"/>
        <v>0</v>
      </c>
      <c r="JU382" s="280">
        <f t="shared" si="227"/>
        <v>0</v>
      </c>
      <c r="JV382" s="280">
        <f t="shared" si="228"/>
        <v>0</v>
      </c>
      <c r="JW382" s="319" t="str">
        <f t="shared" si="229"/>
        <v/>
      </c>
      <c r="JX382" s="15">
        <f t="shared" si="230"/>
        <v>0</v>
      </c>
      <c r="JY382" s="15">
        <f t="shared" si="231"/>
        <v>0</v>
      </c>
      <c r="JZ382" s="19" t="str">
        <f t="shared" si="232"/>
        <v/>
      </c>
      <c r="KA382" s="52">
        <f t="shared" si="233"/>
        <v>1</v>
      </c>
      <c r="KB382" s="15">
        <f t="shared" si="234"/>
        <v>0</v>
      </c>
      <c r="KC382" s="15">
        <f t="shared" si="235"/>
        <v>0</v>
      </c>
      <c r="KD382" s="20" t="str">
        <f t="shared" si="236"/>
        <v/>
      </c>
      <c r="KE382" s="52" t="str">
        <f t="shared" si="237"/>
        <v/>
      </c>
      <c r="KF382" s="15">
        <f t="shared" si="238"/>
        <v>0</v>
      </c>
      <c r="KG382" s="15">
        <f t="shared" si="239"/>
        <v>0</v>
      </c>
      <c r="KH382" s="21" t="str">
        <f t="shared" si="240"/>
        <v/>
      </c>
      <c r="KI382" s="52" t="str">
        <f t="shared" si="241"/>
        <v/>
      </c>
      <c r="KJ382" s="15">
        <f t="shared" si="242"/>
        <v>0</v>
      </c>
      <c r="KK382" s="15">
        <f t="shared" si="243"/>
        <v>0</v>
      </c>
      <c r="KL382" s="19" t="str">
        <f t="shared" si="244"/>
        <v/>
      </c>
      <c r="KM382" s="52">
        <f t="shared" si="245"/>
        <v>1</v>
      </c>
      <c r="KN382" s="22">
        <f t="shared" si="246"/>
        <v>0</v>
      </c>
      <c r="KO382" s="22">
        <f t="shared" si="247"/>
        <v>0</v>
      </c>
      <c r="KP382" s="19" t="str">
        <f t="shared" si="248"/>
        <v/>
      </c>
      <c r="KQ382" s="11" t="str">
        <f t="shared" si="249"/>
        <v>1. Neutral</v>
      </c>
      <c r="KR382" s="11" t="str">
        <f t="shared" si="250"/>
        <v>2. Accommodating</v>
      </c>
      <c r="KS382" s="11" t="str">
        <f t="shared" si="251"/>
        <v>No marker score</v>
      </c>
      <c r="KT382" s="11" t="str">
        <f t="shared" si="252"/>
        <v>It did not develop any specific innovation</v>
      </c>
      <c r="KU382" s="11" t="str">
        <f t="shared" si="253"/>
        <v>Little or no advocacy</v>
      </c>
      <c r="KV382" s="11" t="str">
        <f t="shared" si="254"/>
        <v>It did not take tested solutions to scale</v>
      </c>
      <c r="KW382" s="11" t="str">
        <f t="shared" si="255"/>
        <v>Kenya - Pilot for the Financial Graduation Sub-component of the Program for Rural Outreach of Financial innovations</v>
      </c>
      <c r="KX382" s="11" t="str">
        <f t="shared" si="256"/>
        <v>Pilot for the Financial Graduation Sub-component of the Program for Rural Outreach of Financial innovations</v>
      </c>
      <c r="KY382" s="11" t="str">
        <f t="shared" si="257"/>
        <v>Kenya</v>
      </c>
      <c r="KZ382" s="12">
        <v>382</v>
      </c>
    </row>
    <row r="383" spans="1:312" x14ac:dyDescent="0.3">
      <c r="A383" s="12" t="s">
        <v>6457</v>
      </c>
      <c r="B383" s="12" t="s">
        <v>1874</v>
      </c>
      <c r="C383" s="12"/>
      <c r="D383" s="12" t="s">
        <v>6531</v>
      </c>
      <c r="E383" s="24" t="str">
        <f t="shared" si="215"/>
        <v>Kenya</v>
      </c>
      <c r="F383" s="12" t="s">
        <v>6532</v>
      </c>
      <c r="G383" s="12" t="s">
        <v>376</v>
      </c>
      <c r="H383" s="12" t="s">
        <v>380</v>
      </c>
      <c r="I383" s="12" t="s">
        <v>381</v>
      </c>
      <c r="J383" s="281" t="s">
        <v>11578</v>
      </c>
      <c r="K383" s="12" t="s">
        <v>6533</v>
      </c>
      <c r="L383" s="12" t="s">
        <v>376</v>
      </c>
      <c r="M383" s="12" t="s">
        <v>380</v>
      </c>
      <c r="N383" s="12" t="s">
        <v>381</v>
      </c>
      <c r="O383" s="278" t="s">
        <v>11578</v>
      </c>
      <c r="P383" s="12"/>
      <c r="Q383" s="12"/>
      <c r="R383" s="12"/>
      <c r="S383" s="12"/>
      <c r="T383" s="12"/>
      <c r="U383" s="12"/>
      <c r="V383" s="12"/>
      <c r="W383" s="12"/>
      <c r="X383" s="12"/>
      <c r="Y383" s="12"/>
      <c r="Z383" s="12"/>
      <c r="AA383" s="12"/>
      <c r="AB383" s="12"/>
      <c r="AC383" s="12"/>
      <c r="AD383" s="12"/>
      <c r="AE383" s="39"/>
      <c r="BD383" s="13">
        <v>42370</v>
      </c>
      <c r="BE383" s="13">
        <v>42735</v>
      </c>
      <c r="BF383" s="12"/>
      <c r="BG383" s="12" t="s">
        <v>817</v>
      </c>
      <c r="BH383" s="14">
        <v>2604506</v>
      </c>
      <c r="BI383" s="12" t="s">
        <v>6474</v>
      </c>
      <c r="BJ383" s="12" t="s">
        <v>6534</v>
      </c>
      <c r="BK383" s="12" t="s">
        <v>6535</v>
      </c>
      <c r="BL383" s="12"/>
      <c r="BM383" s="12"/>
      <c r="BN383" s="12"/>
      <c r="BO383" s="12" t="s">
        <v>320</v>
      </c>
      <c r="BP383" s="12" t="s">
        <v>319</v>
      </c>
      <c r="BQ383" s="12" t="s">
        <v>319</v>
      </c>
      <c r="BR383" s="12" t="s">
        <v>6536</v>
      </c>
      <c r="BS383" s="12" t="s">
        <v>357</v>
      </c>
      <c r="BT383" s="12" t="s">
        <v>6537</v>
      </c>
      <c r="BU383" s="12" t="s">
        <v>6538</v>
      </c>
      <c r="BV383" s="14">
        <v>89460</v>
      </c>
      <c r="BW383" s="14">
        <v>87318</v>
      </c>
      <c r="BX383" s="14">
        <v>176778</v>
      </c>
      <c r="BY383" s="14"/>
      <c r="BZ383" s="14"/>
      <c r="CA383" s="14"/>
      <c r="CB383" s="31" t="s">
        <v>14695</v>
      </c>
      <c r="CC383" s="39"/>
      <c r="CD383" s="14"/>
      <c r="CE383" s="14"/>
      <c r="CF383" s="14"/>
      <c r="CG383" s="14"/>
      <c r="CH383" s="14"/>
      <c r="CI383" s="14"/>
      <c r="CJ383" s="12"/>
      <c r="CK383" s="14"/>
      <c r="CL383" s="16"/>
      <c r="CM383" s="14"/>
      <c r="CN383" s="12"/>
      <c r="CO383" s="14"/>
      <c r="CP383" s="16"/>
      <c r="CQ383" s="14"/>
      <c r="CR383" s="12" t="s">
        <v>320</v>
      </c>
      <c r="CS383" s="14"/>
      <c r="CT383" s="16"/>
      <c r="CU383" s="14"/>
      <c r="CV383" s="12"/>
      <c r="CW383" s="14"/>
      <c r="CX383" s="16"/>
      <c r="CY383" s="14"/>
      <c r="CZ383" s="12" t="s">
        <v>320</v>
      </c>
      <c r="DA383" s="14">
        <v>4201</v>
      </c>
      <c r="DB383" s="16">
        <v>0.57999999999999996</v>
      </c>
      <c r="DC383" s="14">
        <v>67446</v>
      </c>
      <c r="DD383" s="12"/>
      <c r="DE383" s="14"/>
      <c r="DF383" s="16"/>
      <c r="DG383" s="14"/>
      <c r="DH383" s="12"/>
      <c r="DI383" s="14"/>
      <c r="DJ383" s="16"/>
      <c r="DK383" s="14"/>
      <c r="DL383" s="12"/>
      <c r="DM383" s="14"/>
      <c r="DN383" s="16"/>
      <c r="DO383" s="14"/>
      <c r="DP383" s="12" t="s">
        <v>320</v>
      </c>
      <c r="DQ383" s="14"/>
      <c r="DR383" s="16"/>
      <c r="DS383" s="14"/>
      <c r="DT383" s="12"/>
      <c r="DU383" s="14"/>
      <c r="DV383" s="16"/>
      <c r="DW383" s="14"/>
      <c r="DX383" s="12"/>
      <c r="DY383" s="14"/>
      <c r="DZ383" s="16"/>
      <c r="EA383" s="14"/>
      <c r="EB383" s="11" t="s">
        <v>320</v>
      </c>
      <c r="EC383" s="14"/>
      <c r="ED383" s="16"/>
      <c r="EE383" s="14"/>
      <c r="EF383" s="12" t="s">
        <v>6539</v>
      </c>
      <c r="EG383" s="12" t="s">
        <v>320</v>
      </c>
      <c r="EH383" s="14"/>
      <c r="EI383" s="16"/>
      <c r="EJ383" s="14"/>
      <c r="EK383" s="14"/>
      <c r="EL383" s="14"/>
      <c r="EM383" s="14"/>
      <c r="EN383" s="14"/>
      <c r="EO383" s="14"/>
      <c r="EP383" s="14"/>
      <c r="EQ383" s="12"/>
      <c r="ER383" s="14"/>
      <c r="ES383" s="16"/>
      <c r="ET383" s="14"/>
      <c r="EU383" s="12"/>
      <c r="EV383" s="14"/>
      <c r="EW383" s="16"/>
      <c r="EX383" s="14"/>
      <c r="EY383" s="12"/>
      <c r="EZ383" s="14"/>
      <c r="FA383" s="16"/>
      <c r="FB383" s="14"/>
      <c r="FC383" s="12"/>
      <c r="FD383" s="14"/>
      <c r="FE383" s="16"/>
      <c r="FF383" s="14"/>
      <c r="FG383" s="12"/>
      <c r="FH383" s="14"/>
      <c r="FI383" s="16"/>
      <c r="FJ383" s="14"/>
      <c r="FK383" s="12"/>
      <c r="FL383" s="14"/>
      <c r="FM383" s="16"/>
      <c r="FN383" s="14"/>
      <c r="FO383" s="12"/>
      <c r="FP383" s="14"/>
      <c r="FQ383" s="16"/>
      <c r="FR383" s="14"/>
      <c r="FS383" s="12"/>
      <c r="FT383" s="14"/>
      <c r="FU383" s="16"/>
      <c r="FV383" s="14"/>
      <c r="FW383" s="12"/>
      <c r="FX383" s="14"/>
      <c r="FY383" s="16"/>
      <c r="FZ383" s="14"/>
      <c r="GA383" s="12"/>
      <c r="GB383" s="14"/>
      <c r="GC383" s="16"/>
      <c r="GD383" s="14"/>
      <c r="GE383" s="12"/>
      <c r="GF383" s="14"/>
      <c r="GG383" s="16"/>
      <c r="GH383" s="14"/>
      <c r="GI383" s="12"/>
      <c r="GJ383" s="14"/>
      <c r="GK383" s="16"/>
      <c r="GL383" s="14"/>
      <c r="GM383" s="12"/>
      <c r="GN383" s="14"/>
      <c r="GO383" s="16"/>
      <c r="GP383" s="14"/>
      <c r="GQ383" s="12"/>
      <c r="GR383" s="14"/>
      <c r="GS383" s="16"/>
      <c r="GT383" s="14"/>
      <c r="GU383" s="12"/>
      <c r="GV383" s="14"/>
      <c r="GW383" s="16"/>
      <c r="GX383" s="14"/>
      <c r="GY383" s="12"/>
      <c r="GZ383" s="14"/>
      <c r="HA383" s="16"/>
      <c r="HB383" s="14"/>
      <c r="HC383" s="39"/>
      <c r="HD383" s="12"/>
      <c r="HE383" s="14"/>
      <c r="HF383" s="16"/>
      <c r="HG383" s="14"/>
      <c r="HH383" s="12" t="s">
        <v>319</v>
      </c>
      <c r="HI383" s="12"/>
      <c r="HJ383" s="12"/>
      <c r="HK383" s="12" t="s">
        <v>319</v>
      </c>
      <c r="HL383" s="12" t="s">
        <v>319</v>
      </c>
      <c r="HM383" s="12"/>
      <c r="HN383" s="12"/>
      <c r="HO383" s="12"/>
      <c r="HP383" s="12" t="s">
        <v>418</v>
      </c>
      <c r="HQ383" s="12" t="s">
        <v>319</v>
      </c>
      <c r="HR383" s="12" t="s">
        <v>319</v>
      </c>
      <c r="HS383" s="12" t="s">
        <v>320</v>
      </c>
      <c r="HT383" s="12" t="s">
        <v>320</v>
      </c>
      <c r="HU383" s="12" t="s">
        <v>319</v>
      </c>
      <c r="HV383" s="12" t="s">
        <v>319</v>
      </c>
      <c r="HW383" s="12" t="s">
        <v>319</v>
      </c>
      <c r="HX383" s="12"/>
      <c r="HZ383" s="12" t="s">
        <v>363</v>
      </c>
      <c r="IA383" s="12"/>
      <c r="IB383" s="12" t="s">
        <v>333</v>
      </c>
      <c r="IC383" s="12"/>
      <c r="ID383" s="12" t="s">
        <v>334</v>
      </c>
      <c r="IE383" s="12" t="s">
        <v>335</v>
      </c>
      <c r="IF383" s="12" t="s">
        <v>320</v>
      </c>
      <c r="IG383" s="12" t="s">
        <v>320</v>
      </c>
      <c r="IH383" s="12" t="s">
        <v>320</v>
      </c>
      <c r="II383" s="12" t="s">
        <v>320</v>
      </c>
      <c r="IJ383" s="12" t="str">
        <f t="shared" si="216"/>
        <v>2. Sensitive</v>
      </c>
      <c r="IK383" s="12">
        <f t="shared" si="217"/>
        <v>4</v>
      </c>
      <c r="IL383" s="12" t="s">
        <v>336</v>
      </c>
      <c r="IM383" s="12" t="s">
        <v>320</v>
      </c>
      <c r="IN383" s="12" t="s">
        <v>320</v>
      </c>
      <c r="IO383" s="12" t="s">
        <v>320</v>
      </c>
      <c r="IP383" s="12" t="s">
        <v>320</v>
      </c>
      <c r="IQ383" s="12" t="str">
        <f t="shared" si="218"/>
        <v>2. Accommodating</v>
      </c>
      <c r="IR383" s="12">
        <f t="shared" si="219"/>
        <v>4</v>
      </c>
      <c r="IS383" s="12" t="s">
        <v>337</v>
      </c>
      <c r="IT383" s="12" t="s">
        <v>320</v>
      </c>
      <c r="IU383" s="12" t="s">
        <v>320</v>
      </c>
      <c r="IV383" s="12" t="s">
        <v>320</v>
      </c>
      <c r="IW383" s="11" t="str">
        <f t="shared" si="220"/>
        <v>2. Sensitive</v>
      </c>
      <c r="IX383" s="12">
        <f t="shared" si="221"/>
        <v>3</v>
      </c>
      <c r="IY383" s="12" t="s">
        <v>338</v>
      </c>
      <c r="IZ383" s="12" t="s">
        <v>339</v>
      </c>
      <c r="JA383" s="12"/>
      <c r="JB383" s="12"/>
      <c r="JC383" s="12"/>
      <c r="JD383" s="12"/>
      <c r="JE383" s="12" t="s">
        <v>420</v>
      </c>
      <c r="JF383" s="12"/>
      <c r="JG383" s="12"/>
      <c r="JH383" s="12" t="s">
        <v>6540</v>
      </c>
      <c r="JI383" s="12"/>
      <c r="JJ383" s="12"/>
      <c r="JK383" s="12"/>
      <c r="JL383" s="12"/>
      <c r="JM383" s="12"/>
      <c r="JN383" s="31" t="s">
        <v>14696</v>
      </c>
      <c r="JO383" s="12" t="s">
        <v>6541</v>
      </c>
      <c r="JP383" s="15">
        <f t="shared" si="222"/>
        <v>0</v>
      </c>
      <c r="JQ383" s="15">
        <f t="shared" si="223"/>
        <v>0</v>
      </c>
      <c r="JR383" s="279" t="str">
        <f t="shared" si="224"/>
        <v/>
      </c>
      <c r="JS383" s="17" t="str">
        <f t="shared" si="225"/>
        <v/>
      </c>
      <c r="JT383" s="18" t="str">
        <f t="shared" si="226"/>
        <v/>
      </c>
      <c r="JU383" s="280">
        <f t="shared" si="227"/>
        <v>0</v>
      </c>
      <c r="JV383" s="280">
        <f t="shared" si="228"/>
        <v>0</v>
      </c>
      <c r="JW383" s="319">
        <f t="shared" si="229"/>
        <v>1</v>
      </c>
      <c r="JX383" s="15">
        <f t="shared" si="230"/>
        <v>0</v>
      </c>
      <c r="JY383" s="15">
        <f t="shared" si="231"/>
        <v>0</v>
      </c>
      <c r="JZ383" s="19" t="str">
        <f t="shared" si="232"/>
        <v/>
      </c>
      <c r="KA383" s="52" t="str">
        <f t="shared" si="233"/>
        <v/>
      </c>
      <c r="KB383" s="15">
        <f t="shared" si="234"/>
        <v>0</v>
      </c>
      <c r="KC383" s="15">
        <f t="shared" si="235"/>
        <v>0</v>
      </c>
      <c r="KD383" s="20" t="str">
        <f t="shared" si="236"/>
        <v/>
      </c>
      <c r="KE383" s="52" t="str">
        <f t="shared" si="237"/>
        <v/>
      </c>
      <c r="KF383" s="15">
        <f t="shared" si="238"/>
        <v>0</v>
      </c>
      <c r="KG383" s="15">
        <f t="shared" si="239"/>
        <v>0</v>
      </c>
      <c r="KH383" s="21" t="str">
        <f t="shared" si="240"/>
        <v/>
      </c>
      <c r="KI383" s="52">
        <f t="shared" si="241"/>
        <v>1</v>
      </c>
      <c r="KJ383" s="15">
        <f t="shared" si="242"/>
        <v>4201</v>
      </c>
      <c r="KK383" s="15">
        <f t="shared" si="243"/>
        <v>67446</v>
      </c>
      <c r="KL383" s="19">
        <f t="shared" si="244"/>
        <v>16.054748869316828</v>
      </c>
      <c r="KM383" s="52" t="str">
        <f t="shared" si="245"/>
        <v/>
      </c>
      <c r="KN383" s="22">
        <f t="shared" si="246"/>
        <v>0</v>
      </c>
      <c r="KO383" s="22">
        <f t="shared" si="247"/>
        <v>0</v>
      </c>
      <c r="KP383" s="19" t="str">
        <f t="shared" si="248"/>
        <v/>
      </c>
      <c r="KQ383" s="11" t="str">
        <f t="shared" si="249"/>
        <v>2. Sensitive</v>
      </c>
      <c r="KR383" s="11" t="str">
        <f t="shared" si="250"/>
        <v>2. Accommodating</v>
      </c>
      <c r="KS383" s="11" t="str">
        <f t="shared" si="251"/>
        <v>2. Sensitive</v>
      </c>
      <c r="KT383" s="11" t="str">
        <f t="shared" si="252"/>
        <v>It did not develop any specific innovation</v>
      </c>
      <c r="KU383" s="11" t="str">
        <f t="shared" si="253"/>
        <v>Little or no advocacy</v>
      </c>
      <c r="KV383" s="11" t="str">
        <f t="shared" si="254"/>
        <v>It did not take tested solutions to scale</v>
      </c>
      <c r="KW383" s="11" t="str">
        <f t="shared" si="255"/>
        <v>Kenya - Protection and Assistance to Somali Refugees in Dadaab</v>
      </c>
      <c r="KX383" s="11" t="str">
        <f t="shared" si="256"/>
        <v>Protection and Assistance to Somali Refugees in Dadaab</v>
      </c>
      <c r="KY383" s="11" t="str">
        <f t="shared" si="257"/>
        <v>Kenya</v>
      </c>
      <c r="KZ383" s="12">
        <v>383</v>
      </c>
    </row>
    <row r="384" spans="1:312" x14ac:dyDescent="0.3">
      <c r="A384" s="11" t="s">
        <v>6457</v>
      </c>
      <c r="B384" s="11" t="s">
        <v>1874</v>
      </c>
      <c r="D384" s="11" t="s">
        <v>6592</v>
      </c>
      <c r="E384" s="277" t="str">
        <f t="shared" si="215"/>
        <v>Kenya</v>
      </c>
      <c r="F384" s="11" t="s">
        <v>14697</v>
      </c>
      <c r="G384" s="11" t="s">
        <v>1738</v>
      </c>
      <c r="H384" s="11" t="s">
        <v>384</v>
      </c>
      <c r="I384" s="11" t="s">
        <v>384</v>
      </c>
      <c r="J384" s="278" t="s">
        <v>6593</v>
      </c>
      <c r="BD384" s="23">
        <v>42522</v>
      </c>
      <c r="BE384" s="23">
        <v>42886</v>
      </c>
      <c r="BG384" s="11" t="s">
        <v>817</v>
      </c>
      <c r="BH384" s="22">
        <v>111616</v>
      </c>
      <c r="BI384" s="11" t="s">
        <v>6474</v>
      </c>
      <c r="BJ384" s="11" t="s">
        <v>6534</v>
      </c>
      <c r="BK384" s="11" t="s">
        <v>6594</v>
      </c>
      <c r="BO384" s="11" t="s">
        <v>320</v>
      </c>
      <c r="BP384" s="11" t="s">
        <v>319</v>
      </c>
      <c r="BQ384" s="11" t="s">
        <v>319</v>
      </c>
      <c r="BR384" s="11" t="s">
        <v>6595</v>
      </c>
      <c r="BS384" s="11" t="s">
        <v>357</v>
      </c>
      <c r="BT384" s="11" t="s">
        <v>6596</v>
      </c>
      <c r="BU384" s="11" t="s">
        <v>6597</v>
      </c>
      <c r="BV384" s="22">
        <v>6687</v>
      </c>
      <c r="BW384" s="22">
        <v>7877</v>
      </c>
      <c r="BX384" s="22">
        <v>14564</v>
      </c>
      <c r="BY384" s="22">
        <v>29007</v>
      </c>
      <c r="BZ384" s="22">
        <v>26161</v>
      </c>
      <c r="CA384" s="22">
        <v>55168</v>
      </c>
      <c r="CB384" s="32" t="s">
        <v>14698</v>
      </c>
      <c r="CL384" s="18"/>
      <c r="CP384" s="18"/>
      <c r="CR384" s="11" t="s">
        <v>320</v>
      </c>
      <c r="CT384" s="18"/>
      <c r="CX384" s="18"/>
      <c r="DB384" s="18"/>
      <c r="DF384" s="18"/>
      <c r="DJ384" s="18"/>
      <c r="DN384" s="18"/>
      <c r="DR384" s="18"/>
      <c r="DV384" s="18"/>
      <c r="DZ384" s="18"/>
      <c r="ED384" s="18"/>
      <c r="EI384" s="18"/>
      <c r="ES384" s="18"/>
      <c r="EW384" s="18"/>
      <c r="FA384" s="18"/>
      <c r="FE384" s="18"/>
      <c r="FI384" s="18"/>
      <c r="FM384" s="18"/>
      <c r="FQ384" s="18"/>
      <c r="FU384" s="18"/>
      <c r="FY384" s="18"/>
      <c r="GC384" s="18"/>
      <c r="GG384" s="18"/>
      <c r="GK384" s="18"/>
      <c r="GO384" s="18"/>
      <c r="GS384" s="18"/>
      <c r="GW384" s="18"/>
      <c r="HA384" s="18"/>
      <c r="HF384" s="18"/>
      <c r="HH384" s="11" t="s">
        <v>319</v>
      </c>
      <c r="HK384" s="11" t="s">
        <v>319</v>
      </c>
      <c r="HL384" s="11" t="s">
        <v>319</v>
      </c>
      <c r="HP384" s="11" t="s">
        <v>418</v>
      </c>
      <c r="HQ384" s="11" t="s">
        <v>319</v>
      </c>
      <c r="HR384" s="11" t="s">
        <v>319</v>
      </c>
      <c r="HS384" s="11" t="s">
        <v>319</v>
      </c>
      <c r="HT384" s="11" t="s">
        <v>319</v>
      </c>
      <c r="HU384" s="11" t="s">
        <v>319</v>
      </c>
      <c r="HV384" s="11" t="s">
        <v>319</v>
      </c>
      <c r="HW384" s="11" t="s">
        <v>319</v>
      </c>
      <c r="HX384" s="11" t="s">
        <v>319</v>
      </c>
      <c r="HZ384" s="11" t="s">
        <v>363</v>
      </c>
      <c r="IB384" s="11" t="s">
        <v>333</v>
      </c>
      <c r="ID384" s="11" t="s">
        <v>334</v>
      </c>
      <c r="IE384" s="11" t="s">
        <v>335</v>
      </c>
      <c r="IF384" s="11" t="s">
        <v>320</v>
      </c>
      <c r="IG384" s="11" t="s">
        <v>320</v>
      </c>
      <c r="IH384" s="11" t="s">
        <v>320</v>
      </c>
      <c r="II384" s="11" t="s">
        <v>320</v>
      </c>
      <c r="IJ384" s="12" t="str">
        <f t="shared" si="216"/>
        <v>2. Sensitive</v>
      </c>
      <c r="IK384" s="12">
        <f t="shared" si="217"/>
        <v>4</v>
      </c>
      <c r="IL384" s="11" t="s">
        <v>336</v>
      </c>
      <c r="IM384" s="11" t="s">
        <v>320</v>
      </c>
      <c r="IN384" s="11" t="s">
        <v>320</v>
      </c>
      <c r="IO384" s="11" t="s">
        <v>319</v>
      </c>
      <c r="IP384" s="11" t="s">
        <v>320</v>
      </c>
      <c r="IQ384" s="12" t="str">
        <f t="shared" si="218"/>
        <v>2. Accommodating</v>
      </c>
      <c r="IR384" s="12">
        <f t="shared" si="219"/>
        <v>3</v>
      </c>
      <c r="IS384" s="11" t="s">
        <v>337</v>
      </c>
      <c r="IT384" s="11" t="s">
        <v>320</v>
      </c>
      <c r="IU384" s="11" t="s">
        <v>320</v>
      </c>
      <c r="IV384" s="11" t="s">
        <v>319</v>
      </c>
      <c r="IW384" s="11" t="str">
        <f t="shared" si="220"/>
        <v>1. Neutral</v>
      </c>
      <c r="IX384" s="12">
        <f t="shared" si="221"/>
        <v>2</v>
      </c>
      <c r="IY384" s="11" t="s">
        <v>338</v>
      </c>
      <c r="IZ384" s="11" t="s">
        <v>339</v>
      </c>
      <c r="JE384" s="11" t="s">
        <v>420</v>
      </c>
      <c r="JH384" s="11" t="s">
        <v>6598</v>
      </c>
      <c r="JI384" s="11" t="s">
        <v>6599</v>
      </c>
      <c r="JJ384" s="11" t="s">
        <v>6600</v>
      </c>
      <c r="JK384" s="11" t="s">
        <v>6601</v>
      </c>
      <c r="JL384" s="11" t="s">
        <v>6602</v>
      </c>
      <c r="JM384" s="11" t="s">
        <v>6603</v>
      </c>
      <c r="JN384" s="28" t="s">
        <v>14699</v>
      </c>
      <c r="JO384" s="11" t="s">
        <v>6604</v>
      </c>
      <c r="JP384" s="15">
        <f t="shared" si="222"/>
        <v>0</v>
      </c>
      <c r="JQ384" s="15">
        <f t="shared" si="223"/>
        <v>0</v>
      </c>
      <c r="JR384" s="279" t="str">
        <f t="shared" si="224"/>
        <v/>
      </c>
      <c r="JS384" s="17" t="str">
        <f t="shared" si="225"/>
        <v/>
      </c>
      <c r="JT384" s="18" t="str">
        <f t="shared" si="226"/>
        <v/>
      </c>
      <c r="JU384" s="280">
        <f t="shared" si="227"/>
        <v>0</v>
      </c>
      <c r="JV384" s="280">
        <f t="shared" si="228"/>
        <v>0</v>
      </c>
      <c r="JW384" s="319">
        <f t="shared" si="229"/>
        <v>1</v>
      </c>
      <c r="JX384" s="15">
        <f t="shared" si="230"/>
        <v>0</v>
      </c>
      <c r="JY384" s="15">
        <f t="shared" si="231"/>
        <v>0</v>
      </c>
      <c r="JZ384" s="19" t="str">
        <f t="shared" si="232"/>
        <v/>
      </c>
      <c r="KA384" s="52" t="str">
        <f t="shared" si="233"/>
        <v/>
      </c>
      <c r="KB384" s="15">
        <f t="shared" si="234"/>
        <v>0</v>
      </c>
      <c r="KC384" s="15">
        <f t="shared" si="235"/>
        <v>0</v>
      </c>
      <c r="KD384" s="20" t="str">
        <f t="shared" si="236"/>
        <v/>
      </c>
      <c r="KE384" s="52" t="str">
        <f t="shared" si="237"/>
        <v/>
      </c>
      <c r="KF384" s="15">
        <f t="shared" si="238"/>
        <v>0</v>
      </c>
      <c r="KG384" s="15">
        <f t="shared" si="239"/>
        <v>0</v>
      </c>
      <c r="KH384" s="21" t="str">
        <f t="shared" si="240"/>
        <v/>
      </c>
      <c r="KI384" s="52" t="str">
        <f t="shared" si="241"/>
        <v/>
      </c>
      <c r="KJ384" s="15">
        <f t="shared" si="242"/>
        <v>0</v>
      </c>
      <c r="KK384" s="15">
        <f t="shared" si="243"/>
        <v>0</v>
      </c>
      <c r="KL384" s="19" t="str">
        <f t="shared" si="244"/>
        <v/>
      </c>
      <c r="KM384" s="52" t="str">
        <f t="shared" si="245"/>
        <v/>
      </c>
      <c r="KN384" s="22">
        <f t="shared" si="246"/>
        <v>0</v>
      </c>
      <c r="KO384" s="22">
        <f t="shared" si="247"/>
        <v>0</v>
      </c>
      <c r="KP384" s="19" t="str">
        <f t="shared" si="248"/>
        <v/>
      </c>
      <c r="KQ384" s="11" t="str">
        <f t="shared" si="249"/>
        <v>2. Sensitive</v>
      </c>
      <c r="KR384" s="11" t="str">
        <f t="shared" si="250"/>
        <v>2. Accommodating</v>
      </c>
      <c r="KS384" s="11" t="str">
        <f t="shared" si="251"/>
        <v>1. Neutral</v>
      </c>
      <c r="KT384" s="11" t="str">
        <f t="shared" si="252"/>
        <v>It did not develop any specific innovation</v>
      </c>
      <c r="KU384" s="11" t="str">
        <f t="shared" si="253"/>
        <v>Little or no advocacy</v>
      </c>
      <c r="KV384" s="11" t="str">
        <f t="shared" si="254"/>
        <v>It did not take tested solutions to scale</v>
      </c>
      <c r="KW384" s="11" t="str">
        <f t="shared" si="255"/>
        <v>Kenya - Provision of teaching/learning resources for Dagahaley refugee camp schools</v>
      </c>
      <c r="KX384" s="11" t="str">
        <f t="shared" si="256"/>
        <v>Provision of teaching/learning resources for Dagahaley refugee camp schools</v>
      </c>
      <c r="KY384" s="11" t="str">
        <f t="shared" si="257"/>
        <v>Kenya</v>
      </c>
      <c r="KZ384" s="12">
        <v>384</v>
      </c>
    </row>
    <row r="385" spans="1:312" x14ac:dyDescent="0.3">
      <c r="A385" s="11" t="s">
        <v>6457</v>
      </c>
      <c r="B385" s="11" t="s">
        <v>1874</v>
      </c>
      <c r="D385" s="11" t="s">
        <v>6655</v>
      </c>
      <c r="E385" s="277" t="str">
        <f t="shared" ref="E385:E448" si="258">A385</f>
        <v>Kenya</v>
      </c>
      <c r="F385" s="11" t="s">
        <v>14700</v>
      </c>
      <c r="G385" s="11" t="s">
        <v>488</v>
      </c>
      <c r="H385" s="11" t="s">
        <v>489</v>
      </c>
      <c r="I385" s="11" t="s">
        <v>384</v>
      </c>
      <c r="J385" s="278" t="s">
        <v>6656</v>
      </c>
      <c r="BD385" s="23">
        <v>42339</v>
      </c>
      <c r="BE385" s="23">
        <v>43069</v>
      </c>
      <c r="BG385" s="11" t="s">
        <v>350</v>
      </c>
      <c r="BH385" s="22">
        <v>152000</v>
      </c>
      <c r="BI385" s="11" t="s">
        <v>6482</v>
      </c>
      <c r="BJ385" s="11" t="s">
        <v>6657</v>
      </c>
      <c r="BK385" s="11" t="s">
        <v>6462</v>
      </c>
      <c r="BL385" s="11" t="s">
        <v>6658</v>
      </c>
      <c r="BM385" s="11" t="s">
        <v>354</v>
      </c>
      <c r="BN385" s="11" t="s">
        <v>6659</v>
      </c>
      <c r="BO385" s="12" t="s">
        <v>319</v>
      </c>
      <c r="BP385" s="12" t="s">
        <v>320</v>
      </c>
      <c r="BQ385" s="12" t="s">
        <v>319</v>
      </c>
      <c r="BR385" s="11" t="s">
        <v>6660</v>
      </c>
      <c r="BS385" s="11" t="s">
        <v>357</v>
      </c>
      <c r="BT385" s="11" t="s">
        <v>6661</v>
      </c>
      <c r="BU385" s="11" t="s">
        <v>6155</v>
      </c>
      <c r="BV385" s="22">
        <v>29250</v>
      </c>
      <c r="BW385" s="22">
        <v>9750</v>
      </c>
      <c r="BX385" s="22">
        <v>39000</v>
      </c>
      <c r="BY385" s="22">
        <v>146250</v>
      </c>
      <c r="BZ385" s="22">
        <v>48750</v>
      </c>
      <c r="CA385" s="22">
        <v>195000</v>
      </c>
      <c r="CB385" s="15" t="s">
        <v>6662</v>
      </c>
      <c r="CL385" s="18"/>
      <c r="CP385" s="18"/>
      <c r="CT385" s="18"/>
      <c r="CX385" s="18"/>
      <c r="DB385" s="18"/>
      <c r="DF385" s="18"/>
      <c r="DJ385" s="18"/>
      <c r="DN385" s="18"/>
      <c r="DR385" s="18"/>
      <c r="DV385" s="18"/>
      <c r="DZ385" s="18"/>
      <c r="ED385" s="18"/>
      <c r="EI385" s="18"/>
      <c r="EK385" s="22">
        <v>12319</v>
      </c>
      <c r="EL385" s="22">
        <v>4106</v>
      </c>
      <c r="EM385" s="22">
        <v>16425</v>
      </c>
      <c r="EN385" s="22">
        <v>61596</v>
      </c>
      <c r="EO385" s="22">
        <v>20532</v>
      </c>
      <c r="EP385" s="22">
        <v>82128</v>
      </c>
      <c r="EQ385" s="12" t="s">
        <v>319</v>
      </c>
      <c r="ES385" s="18"/>
      <c r="EU385" s="11" t="s">
        <v>319</v>
      </c>
      <c r="EW385" s="18"/>
      <c r="EY385" s="12" t="s">
        <v>319</v>
      </c>
      <c r="FA385" s="18"/>
      <c r="FC385" s="12" t="s">
        <v>319</v>
      </c>
      <c r="FE385" s="18"/>
      <c r="FG385" s="12" t="s">
        <v>320</v>
      </c>
      <c r="FH385" s="22">
        <v>32851</v>
      </c>
      <c r="FI385" s="18">
        <v>0.75</v>
      </c>
      <c r="FJ385" s="22">
        <v>123191</v>
      </c>
      <c r="FK385" s="11" t="s">
        <v>319</v>
      </c>
      <c r="FM385" s="18"/>
      <c r="FO385" s="11" t="s">
        <v>319</v>
      </c>
      <c r="FQ385" s="18"/>
      <c r="FS385" s="11" t="s">
        <v>319</v>
      </c>
      <c r="FU385" s="18"/>
      <c r="FW385" s="11" t="s">
        <v>319</v>
      </c>
      <c r="FY385" s="18"/>
      <c r="GA385" s="11" t="s">
        <v>319</v>
      </c>
      <c r="GC385" s="18"/>
      <c r="GE385" s="11" t="s">
        <v>319</v>
      </c>
      <c r="GG385" s="18"/>
      <c r="GI385" s="11" t="s">
        <v>319</v>
      </c>
      <c r="GK385" s="18"/>
      <c r="GM385" s="11" t="s">
        <v>319</v>
      </c>
      <c r="GO385" s="18"/>
      <c r="GQ385" s="11" t="s">
        <v>319</v>
      </c>
      <c r="GS385" s="18"/>
      <c r="GU385" s="11" t="s">
        <v>319</v>
      </c>
      <c r="GW385" s="18"/>
      <c r="GY385" s="11" t="s">
        <v>319</v>
      </c>
      <c r="HA385" s="18"/>
      <c r="HD385" s="11" t="s">
        <v>319</v>
      </c>
      <c r="HF385" s="18"/>
      <c r="HH385" s="11" t="s">
        <v>319</v>
      </c>
      <c r="HO385" s="11" t="s">
        <v>6663</v>
      </c>
      <c r="HP385" s="11" t="s">
        <v>418</v>
      </c>
      <c r="HQ385" s="11" t="s">
        <v>319</v>
      </c>
      <c r="HR385" s="11" t="s">
        <v>320</v>
      </c>
      <c r="HS385" s="11" t="s">
        <v>320</v>
      </c>
      <c r="HT385" s="11" t="s">
        <v>320</v>
      </c>
      <c r="HU385" s="11" t="s">
        <v>319</v>
      </c>
      <c r="HV385" s="11" t="s">
        <v>319</v>
      </c>
      <c r="HW385" s="11" t="s">
        <v>319</v>
      </c>
      <c r="HX385" s="11" t="s">
        <v>319</v>
      </c>
      <c r="HZ385" s="11" t="s">
        <v>394</v>
      </c>
      <c r="IA385" s="11" t="s">
        <v>6664</v>
      </c>
      <c r="IB385" s="11" t="s">
        <v>396</v>
      </c>
      <c r="IC385" s="11" t="s">
        <v>6665</v>
      </c>
      <c r="ID385" s="11" t="s">
        <v>364</v>
      </c>
      <c r="IE385" s="11" t="s">
        <v>335</v>
      </c>
      <c r="IF385" s="11" t="s">
        <v>320</v>
      </c>
      <c r="IG385" s="11" t="s">
        <v>320</v>
      </c>
      <c r="IH385" s="11" t="s">
        <v>320</v>
      </c>
      <c r="II385" s="11" t="s">
        <v>319</v>
      </c>
      <c r="IJ385" s="12" t="str">
        <f t="shared" si="216"/>
        <v>1. Neutral</v>
      </c>
      <c r="IK385" s="12">
        <f t="shared" si="217"/>
        <v>3</v>
      </c>
      <c r="IL385" s="11" t="s">
        <v>336</v>
      </c>
      <c r="IM385" s="11" t="s">
        <v>320</v>
      </c>
      <c r="IN385" s="11" t="s">
        <v>320</v>
      </c>
      <c r="IO385" s="11" t="s">
        <v>320</v>
      </c>
      <c r="IP385" s="11" t="s">
        <v>320</v>
      </c>
      <c r="IQ385" s="12" t="str">
        <f t="shared" si="218"/>
        <v>2. Accommodating</v>
      </c>
      <c r="IR385" s="12">
        <f t="shared" si="219"/>
        <v>4</v>
      </c>
      <c r="IS385" s="11" t="s">
        <v>622</v>
      </c>
      <c r="IT385" s="11" t="s">
        <v>319</v>
      </c>
      <c r="IU385" s="11" t="s">
        <v>320</v>
      </c>
      <c r="IV385" s="11" t="s">
        <v>320</v>
      </c>
      <c r="IW385" s="11" t="str">
        <f t="shared" si="220"/>
        <v>3. Responsive</v>
      </c>
      <c r="IX385" s="12">
        <f t="shared" si="221"/>
        <v>2</v>
      </c>
      <c r="IY385" s="11" t="s">
        <v>419</v>
      </c>
      <c r="IZ385" s="11" t="s">
        <v>457</v>
      </c>
      <c r="JA385" s="11">
        <v>13</v>
      </c>
      <c r="JB385" s="11" t="s">
        <v>724</v>
      </c>
      <c r="JC385" s="11" t="s">
        <v>624</v>
      </c>
      <c r="JD385" s="11" t="s">
        <v>384</v>
      </c>
      <c r="JE385" s="11" t="s">
        <v>420</v>
      </c>
      <c r="JG385" s="11" t="s">
        <v>6666</v>
      </c>
      <c r="JH385" s="11" t="s">
        <v>6667</v>
      </c>
      <c r="JK385" s="11" t="s">
        <v>6668</v>
      </c>
      <c r="JL385" s="11" t="s">
        <v>6669</v>
      </c>
      <c r="JN385" s="11" t="s">
        <v>6670</v>
      </c>
      <c r="JO385" s="11" t="s">
        <v>6671</v>
      </c>
      <c r="JP385" s="15">
        <f t="shared" si="222"/>
        <v>16425</v>
      </c>
      <c r="JQ385" s="15">
        <f t="shared" si="223"/>
        <v>82128</v>
      </c>
      <c r="JR385" s="279">
        <f t="shared" si="224"/>
        <v>5.0001826484018261</v>
      </c>
      <c r="JS385" s="17">
        <f t="shared" si="225"/>
        <v>0.75001522070015225</v>
      </c>
      <c r="JT385" s="18">
        <f t="shared" si="226"/>
        <v>0.75</v>
      </c>
      <c r="JU385" s="280">
        <f t="shared" si="227"/>
        <v>12319</v>
      </c>
      <c r="JV385" s="280">
        <f t="shared" si="228"/>
        <v>61596</v>
      </c>
      <c r="JW385" s="319" t="str">
        <f t="shared" si="229"/>
        <v/>
      </c>
      <c r="JX385" s="15">
        <f t="shared" si="230"/>
        <v>0</v>
      </c>
      <c r="JY385" s="15">
        <f t="shared" si="231"/>
        <v>0</v>
      </c>
      <c r="JZ385" s="19" t="str">
        <f t="shared" si="232"/>
        <v/>
      </c>
      <c r="KA385" s="52">
        <f t="shared" si="233"/>
        <v>1</v>
      </c>
      <c r="KB385" s="15">
        <f t="shared" si="234"/>
        <v>32851</v>
      </c>
      <c r="KC385" s="15">
        <f t="shared" si="235"/>
        <v>123191</v>
      </c>
      <c r="KD385" s="20">
        <f t="shared" si="236"/>
        <v>3.7499923898815863</v>
      </c>
      <c r="KE385" s="52" t="str">
        <f t="shared" si="237"/>
        <v/>
      </c>
      <c r="KF385" s="15">
        <f t="shared" si="238"/>
        <v>0</v>
      </c>
      <c r="KG385" s="15">
        <f t="shared" si="239"/>
        <v>0</v>
      </c>
      <c r="KH385" s="21" t="str">
        <f t="shared" si="240"/>
        <v/>
      </c>
      <c r="KI385" s="52" t="str">
        <f t="shared" si="241"/>
        <v/>
      </c>
      <c r="KJ385" s="15">
        <f t="shared" si="242"/>
        <v>0</v>
      </c>
      <c r="KK385" s="15">
        <f t="shared" si="243"/>
        <v>0</v>
      </c>
      <c r="KL385" s="19" t="str">
        <f t="shared" si="244"/>
        <v/>
      </c>
      <c r="KM385" s="52">
        <f t="shared" si="245"/>
        <v>1</v>
      </c>
      <c r="KN385" s="22">
        <f t="shared" si="246"/>
        <v>24638.25</v>
      </c>
      <c r="KO385" s="22">
        <f t="shared" si="247"/>
        <v>92393.25</v>
      </c>
      <c r="KP385" s="19">
        <f t="shared" si="248"/>
        <v>3.7499923898815863</v>
      </c>
      <c r="KQ385" s="11" t="str">
        <f t="shared" si="249"/>
        <v>1. Neutral</v>
      </c>
      <c r="KR385" s="11" t="str">
        <f t="shared" si="250"/>
        <v>2. Accommodating</v>
      </c>
      <c r="KS385" s="11" t="str">
        <f t="shared" si="251"/>
        <v>3. Responsive</v>
      </c>
      <c r="KT385" s="11" t="str">
        <f t="shared" si="252"/>
        <v>It tested new ways for fighting poverty, but did not measure results of innovation</v>
      </c>
      <c r="KU385" s="11" t="str">
        <f t="shared" si="253"/>
        <v>Little or no advocacy</v>
      </c>
      <c r="KV385" s="11" t="str">
        <f t="shared" si="254"/>
        <v>It linked and worked with strategic alliances and partners to take tested and effective solutions to scale</v>
      </c>
      <c r="KW385" s="11" t="str">
        <f t="shared" si="255"/>
        <v>Kenya - Rural Sales Kenya</v>
      </c>
      <c r="KX385" s="11" t="str">
        <f t="shared" si="256"/>
        <v>Rural Sales Kenya</v>
      </c>
      <c r="KY385" s="11" t="str">
        <f t="shared" si="257"/>
        <v>Kenya</v>
      </c>
      <c r="KZ385" s="12">
        <v>385</v>
      </c>
    </row>
    <row r="386" spans="1:312" x14ac:dyDescent="0.3">
      <c r="A386" s="11" t="s">
        <v>6457</v>
      </c>
      <c r="B386" s="11" t="s">
        <v>1874</v>
      </c>
      <c r="D386" s="11" t="s">
        <v>6655</v>
      </c>
      <c r="E386" s="24" t="str">
        <f t="shared" si="258"/>
        <v>Kenya</v>
      </c>
      <c r="F386" s="11" t="s">
        <v>6772</v>
      </c>
      <c r="G386" s="11" t="s">
        <v>379</v>
      </c>
      <c r="H386" s="11" t="s">
        <v>489</v>
      </c>
      <c r="I386" s="11" t="s">
        <v>384</v>
      </c>
      <c r="J386" s="278" t="s">
        <v>14627</v>
      </c>
      <c r="BD386" s="23">
        <v>42278</v>
      </c>
      <c r="BE386" s="23">
        <v>43008</v>
      </c>
      <c r="BG386" s="11" t="s">
        <v>350</v>
      </c>
      <c r="BH386" s="22">
        <v>288571</v>
      </c>
      <c r="BI386" s="11" t="s">
        <v>6482</v>
      </c>
      <c r="BJ386" s="11" t="s">
        <v>6657</v>
      </c>
      <c r="BK386" s="11" t="s">
        <v>6462</v>
      </c>
      <c r="BL386" s="11" t="s">
        <v>6658</v>
      </c>
      <c r="BM386" s="11" t="s">
        <v>354</v>
      </c>
      <c r="BN386" s="11" t="s">
        <v>6659</v>
      </c>
      <c r="BO386" s="12" t="s">
        <v>319</v>
      </c>
      <c r="BP386" s="12" t="s">
        <v>320</v>
      </c>
      <c r="BQ386" s="12" t="s">
        <v>319</v>
      </c>
      <c r="BR386" s="11" t="s">
        <v>6773</v>
      </c>
      <c r="BS386" s="11" t="s">
        <v>357</v>
      </c>
      <c r="BT386" s="11" t="s">
        <v>6774</v>
      </c>
      <c r="BU386" s="11" t="s">
        <v>6751</v>
      </c>
      <c r="BV386" s="22">
        <v>24833</v>
      </c>
      <c r="BW386" s="22">
        <v>0</v>
      </c>
      <c r="BX386" s="22">
        <v>24833</v>
      </c>
      <c r="BY386" s="22">
        <v>124165</v>
      </c>
      <c r="BZ386" s="22">
        <v>0</v>
      </c>
      <c r="CA386" s="22">
        <v>124165</v>
      </c>
      <c r="CB386" s="15" t="s">
        <v>6662</v>
      </c>
      <c r="CL386" s="18"/>
      <c r="CP386" s="18"/>
      <c r="CT386" s="18"/>
      <c r="CX386" s="18"/>
      <c r="DB386" s="18"/>
      <c r="DF386" s="18"/>
      <c r="DJ386" s="18"/>
      <c r="DN386" s="18"/>
      <c r="DR386" s="18"/>
      <c r="DV386" s="18"/>
      <c r="DZ386" s="18"/>
      <c r="ED386" s="18"/>
      <c r="EI386" s="18"/>
      <c r="EK386" s="22">
        <v>4600</v>
      </c>
      <c r="EL386" s="22">
        <v>0</v>
      </c>
      <c r="EM386" s="22">
        <v>4600</v>
      </c>
      <c r="EN386" s="22">
        <v>21500</v>
      </c>
      <c r="EO386" s="22">
        <v>0</v>
      </c>
      <c r="EP386" s="22">
        <v>21500</v>
      </c>
      <c r="EQ386" s="12" t="s">
        <v>319</v>
      </c>
      <c r="ES386" s="18"/>
      <c r="EU386" s="11" t="s">
        <v>319</v>
      </c>
      <c r="EW386" s="18"/>
      <c r="EY386" s="12" t="s">
        <v>319</v>
      </c>
      <c r="FA386" s="18"/>
      <c r="FC386" s="12" t="s">
        <v>319</v>
      </c>
      <c r="FE386" s="18"/>
      <c r="FG386" s="12" t="s">
        <v>320</v>
      </c>
      <c r="FH386" s="22">
        <v>4600</v>
      </c>
      <c r="FI386" s="18">
        <v>1</v>
      </c>
      <c r="FJ386" s="22">
        <v>21500</v>
      </c>
      <c r="FK386" s="11" t="s">
        <v>319</v>
      </c>
      <c r="FM386" s="18"/>
      <c r="FO386" s="11" t="s">
        <v>319</v>
      </c>
      <c r="FQ386" s="18"/>
      <c r="FS386" s="11" t="s">
        <v>319</v>
      </c>
      <c r="FU386" s="18"/>
      <c r="FW386" s="11" t="s">
        <v>319</v>
      </c>
      <c r="FY386" s="18"/>
      <c r="GA386" s="11" t="s">
        <v>319</v>
      </c>
      <c r="GC386" s="18"/>
      <c r="GE386" s="11" t="s">
        <v>319</v>
      </c>
      <c r="GG386" s="18"/>
      <c r="GI386" s="11" t="s">
        <v>319</v>
      </c>
      <c r="GK386" s="18"/>
      <c r="GM386" s="11" t="s">
        <v>319</v>
      </c>
      <c r="GO386" s="18"/>
      <c r="GQ386" s="11" t="s">
        <v>319</v>
      </c>
      <c r="GS386" s="18"/>
      <c r="GU386" s="11" t="s">
        <v>319</v>
      </c>
      <c r="GW386" s="18"/>
      <c r="GY386" s="11" t="s">
        <v>319</v>
      </c>
      <c r="HA386" s="18"/>
      <c r="HD386" s="11" t="s">
        <v>319</v>
      </c>
      <c r="HF386" s="18"/>
      <c r="HH386" s="11" t="s">
        <v>319</v>
      </c>
      <c r="HO386" s="11" t="s">
        <v>6775</v>
      </c>
      <c r="HP386" s="11" t="s">
        <v>418</v>
      </c>
      <c r="HQ386" s="11" t="s">
        <v>319</v>
      </c>
      <c r="HR386" s="11" t="s">
        <v>320</v>
      </c>
      <c r="HS386" s="11" t="s">
        <v>320</v>
      </c>
      <c r="HT386" s="11" t="s">
        <v>320</v>
      </c>
      <c r="HU386" s="11" t="s">
        <v>319</v>
      </c>
      <c r="HV386" s="11" t="s">
        <v>319</v>
      </c>
      <c r="HW386" s="11" t="s">
        <v>319</v>
      </c>
      <c r="HX386" s="11" t="s">
        <v>319</v>
      </c>
      <c r="HZ386" s="11" t="s">
        <v>394</v>
      </c>
      <c r="IA386" s="11" t="s">
        <v>6664</v>
      </c>
      <c r="IB386" s="11" t="s">
        <v>396</v>
      </c>
      <c r="IC386" s="11" t="s">
        <v>6665</v>
      </c>
      <c r="ID386" s="11" t="s">
        <v>364</v>
      </c>
      <c r="IE386" s="11" t="s">
        <v>335</v>
      </c>
      <c r="IF386" s="11" t="s">
        <v>320</v>
      </c>
      <c r="IG386" s="11" t="s">
        <v>320</v>
      </c>
      <c r="IH386" s="11" t="s">
        <v>320</v>
      </c>
      <c r="II386" s="11" t="s">
        <v>319</v>
      </c>
      <c r="IJ386" s="12" t="str">
        <f t="shared" ref="IJ386:IJ449" si="259">IF(IE386="","No marker score",IF(ISNUMBER(SEARCH("select",IE386)),"",IF(ISNUMBER(SEARCH("Did NOT",IE386)),"0. Harmful",IF(ISNUMBER(SEARCH("CHALLENGED",IE386)),IF(IK386=4,"4. Transformative",IF(IK386&gt;1,"3. Responsive",IF(IK386&lt;=1,"No marker score",""))),IF(ISNUMBER(SEARCH("WORKED WITH",IE386)),IF(IK386=4,"2. Sensitive",IF(IK386&gt;1,"1. Neutral","0. Harmful")))))))</f>
        <v>1. Neutral</v>
      </c>
      <c r="IK386" s="12">
        <f t="shared" ref="IK386:IK449" si="260">COUNTIF(IF386:II386,"=YES")</f>
        <v>3</v>
      </c>
      <c r="IL386" s="11" t="s">
        <v>336</v>
      </c>
      <c r="IM386" s="11" t="s">
        <v>320</v>
      </c>
      <c r="IN386" s="11" t="s">
        <v>320</v>
      </c>
      <c r="IO386" s="11" t="s">
        <v>320</v>
      </c>
      <c r="IP386" s="11" t="s">
        <v>320</v>
      </c>
      <c r="IQ386" s="12" t="str">
        <f t="shared" ref="IQ386:IQ449" si="261">IF(IL386="","No marker score",IF(ISNUMBER(SEARCH("select",IL386)),"",IF(ISNUMBER(SEARCH("Did NOT",IL386)),"0. Unaware",IF(ISNUMBER(SEARCH("CHALLENGED",IL386)),IF(IR386=4,"4. Transformational",IF(IR386&gt;1,"3. Responsive",IF(IR386&lt;=1,"No marker score",""))),IF(ISNUMBER(SEARCH("WORKED WITH",IL386)),IF(IR386&gt;=3,"2. Accommodating",IF(IR386&gt;=1,"1. Tokenistic","0. Unaware")))))))</f>
        <v>2. Accommodating</v>
      </c>
      <c r="IR386" s="12">
        <f t="shared" ref="IR386:IR449" si="262">COUNTIF(IM386:IP386,"=YES")</f>
        <v>4</v>
      </c>
      <c r="IS386" s="11" t="s">
        <v>622</v>
      </c>
      <c r="IT386" s="11" t="s">
        <v>319</v>
      </c>
      <c r="IU386" s="11" t="s">
        <v>320</v>
      </c>
      <c r="IV386" s="11" t="s">
        <v>320</v>
      </c>
      <c r="IW386" s="11" t="str">
        <f t="shared" ref="IW386:IW449" si="263">IF(IS386="","No marker score",IF(ISNUMBER(SEARCH("select",IS386)),"",IF(ISNUMBER(SEARCH("Did NOT",IS386)),"0. Harmful",IF(ISNUMBER(SEARCH("well",IS386)),IF(IX386=3,"4. Transformative",IF(IX386&gt;=1,"3. Responsive",IF(IX386=0,"No marker score",""))),IF(ISNUMBER(SEARCH(".",IS386)),IF(IX386&gt;=3,"2. Sensitive",IF(IX386&gt;=1,"1. Neutral","0. Harmful")))))))</f>
        <v>3. Responsive</v>
      </c>
      <c r="IX386" s="12">
        <f t="shared" ref="IX386:IX449" si="264">COUNTIF(IT386:IV386,"=YES")</f>
        <v>2</v>
      </c>
      <c r="IY386" s="11" t="s">
        <v>419</v>
      </c>
      <c r="IZ386" s="11" t="s">
        <v>457</v>
      </c>
      <c r="JA386" s="11">
        <v>13</v>
      </c>
      <c r="JB386" s="11" t="s">
        <v>724</v>
      </c>
      <c r="JC386" s="11" t="s">
        <v>624</v>
      </c>
      <c r="JD386" s="11" t="s">
        <v>384</v>
      </c>
      <c r="JE386" s="11" t="s">
        <v>420</v>
      </c>
      <c r="JG386" s="11" t="s">
        <v>6666</v>
      </c>
      <c r="JH386" s="11" t="s">
        <v>6667</v>
      </c>
      <c r="JK386" s="11" t="s">
        <v>6668</v>
      </c>
      <c r="JL386" s="11" t="s">
        <v>6669</v>
      </c>
      <c r="JP386" s="15">
        <f t="shared" ref="JP386:JP449" si="265">MAX(CF386,EM386)</f>
        <v>4600</v>
      </c>
      <c r="JQ386" s="15">
        <f t="shared" ref="JQ386:JQ449" si="266">MAX(CI386,EP386)</f>
        <v>21500</v>
      </c>
      <c r="JR386" s="279">
        <f t="shared" ref="JR386:JR449" si="267">IFERROR(JQ386/JP386,"")</f>
        <v>4.6739130434782608</v>
      </c>
      <c r="JS386" s="17">
        <f t="shared" ref="JS386:JS449" si="268">IFERROR(MAX(CD386,EK386)/JP386,"")</f>
        <v>1</v>
      </c>
      <c r="JT386" s="18">
        <f t="shared" ref="JT386:JT449" si="269">IFERROR(MAX(CG386,EN386)/JQ386,"")</f>
        <v>1</v>
      </c>
      <c r="JU386" s="280">
        <f t="shared" ref="JU386:JU449" si="270">IFERROR(MAX(CD386,EK386),"")</f>
        <v>4600</v>
      </c>
      <c r="JV386" s="280">
        <f t="shared" ref="JV386:JV449" si="271">IFERROR(MAX(CG386,EN386),"")</f>
        <v>21500</v>
      </c>
      <c r="JW386" s="319" t="str">
        <f t="shared" ref="JW386:JW449" si="272">IF(BO386="yes",1,"")</f>
        <v/>
      </c>
      <c r="JX386" s="15">
        <f t="shared" ref="JX386:JX449" si="273">CF386</f>
        <v>0</v>
      </c>
      <c r="JY386" s="15">
        <f t="shared" ref="JY386:JY449" si="274">CI386</f>
        <v>0</v>
      </c>
      <c r="JZ386" s="19" t="str">
        <f t="shared" ref="JZ386:JZ449" si="275">IFERROR(JY386/JX386,"")</f>
        <v/>
      </c>
      <c r="KA386" s="52">
        <f t="shared" ref="KA386:KA449" si="276">IF((OR(CV386="yes", DL386="yes", EQ386="yes", EU386="yes", FC386="yes", FG386="yes", FO386="yes", GI386="yes", GU386="yes")), 1, "")</f>
        <v>1</v>
      </c>
      <c r="KB386" s="15">
        <f t="shared" ref="KB386:KB449" si="277">MAX(CW386,DM386,ER386,EV386,FD386,FH386,FP386,GJ386,GV386)</f>
        <v>4600</v>
      </c>
      <c r="KC386" s="15">
        <f t="shared" ref="KC386:KC449" si="278">MAX(CY386,DO386,ET386,EX386,FF386,FJ386,FR386,GL386,GX386)</f>
        <v>21500</v>
      </c>
      <c r="KD386" s="20">
        <f t="shared" ref="KD386:KD449" si="279">IFERROR(KC386/KB386,"")</f>
        <v>4.6739130434782608</v>
      </c>
      <c r="KE386" s="52" t="str">
        <f t="shared" ref="KE386:KE449" si="280">IF((OR(DT386="yes", GQ386="yes")), 1, "")</f>
        <v/>
      </c>
      <c r="KF386" s="15">
        <f t="shared" ref="KF386:KF449" si="281">MAX(DU386,GR386)</f>
        <v>0</v>
      </c>
      <c r="KG386" s="15">
        <f t="shared" ref="KG386:KG449" si="282">MAX(DW386,GT386)</f>
        <v>0</v>
      </c>
      <c r="KH386" s="21" t="str">
        <f t="shared" ref="KH386:KH449" si="283">IFERROR(KG386/KF386,"")</f>
        <v/>
      </c>
      <c r="KI386" s="52" t="str">
        <f t="shared" ref="KI386:KI449" si="284">IF((OR(CZ386="yes", FS386="yes")), 1, "")</f>
        <v/>
      </c>
      <c r="KJ386" s="15">
        <f t="shared" ref="KJ386:KJ449" si="285">MAX(DA386,FT386)</f>
        <v>0</v>
      </c>
      <c r="KK386" s="15">
        <f t="shared" ref="KK386:KK449" si="286">MAX(DC386,FV386)</f>
        <v>0</v>
      </c>
      <c r="KL386" s="19" t="str">
        <f t="shared" ref="KL386:KL449" si="287">IFERROR(KK386/KJ386,"")</f>
        <v/>
      </c>
      <c r="KM386" s="52">
        <f t="shared" ref="KM386:KM449" si="288">IF((OR(FG386="yes", GY386="yes")), 1, "")</f>
        <v>1</v>
      </c>
      <c r="KN386" s="22">
        <f t="shared" ref="KN386:KN449" si="289">IFERROR(MAX((FH386*FI386),GZ386),"")</f>
        <v>4600</v>
      </c>
      <c r="KO386" s="22">
        <f t="shared" ref="KO386:KO449" si="290">IFERROR(MAX((FJ386*FI386),HB386),"")</f>
        <v>21500</v>
      </c>
      <c r="KP386" s="19">
        <f t="shared" ref="KP386:KP449" si="291">IFERROR(KO386/KN386,"")</f>
        <v>4.6739130434782608</v>
      </c>
      <c r="KQ386" s="11" t="str">
        <f t="shared" ref="KQ386:KQ449" si="292">IJ386</f>
        <v>1. Neutral</v>
      </c>
      <c r="KR386" s="11" t="str">
        <f t="shared" ref="KR386:KR449" si="293">IQ386</f>
        <v>2. Accommodating</v>
      </c>
      <c r="KS386" s="11" t="str">
        <f t="shared" ref="KS386:KS449" si="294">IW386</f>
        <v>3. Responsive</v>
      </c>
      <c r="KT386" s="11" t="str">
        <f t="shared" ref="KT386:KT449" si="295">HZ386</f>
        <v>It tested new ways for fighting poverty, but did not measure results of innovation</v>
      </c>
      <c r="KU386" s="11" t="str">
        <f t="shared" ref="KU386:KU449" si="296">HP386</f>
        <v>Little or no advocacy</v>
      </c>
      <c r="KV386" s="11" t="str">
        <f t="shared" ref="KV386:KV449" si="297">IB386</f>
        <v>It linked and worked with strategic alliances and partners to take tested and effective solutions to scale</v>
      </c>
      <c r="KW386" s="11" t="str">
        <f t="shared" ref="KW386:KW449" si="298">A386&amp;" - "&amp;D386</f>
        <v>Kenya - Rural Sales Kenya</v>
      </c>
      <c r="KX386" s="11" t="str">
        <f t="shared" ref="KX386:KX449" si="299">D386</f>
        <v>Rural Sales Kenya</v>
      </c>
      <c r="KY386" s="11" t="str">
        <f t="shared" ref="KY386:KY449" si="300">A386</f>
        <v>Kenya</v>
      </c>
      <c r="KZ386" s="12">
        <v>386</v>
      </c>
    </row>
    <row r="387" spans="1:312" x14ac:dyDescent="0.3">
      <c r="A387" s="11" t="s">
        <v>6457</v>
      </c>
      <c r="B387" s="11" t="s">
        <v>1874</v>
      </c>
      <c r="D387" s="11" t="s">
        <v>6580</v>
      </c>
      <c r="E387" s="24" t="str">
        <f t="shared" si="258"/>
        <v>Kenya</v>
      </c>
      <c r="F387" s="11" t="s">
        <v>6581</v>
      </c>
      <c r="G387" s="11" t="s">
        <v>1853</v>
      </c>
      <c r="H387" s="11" t="s">
        <v>383</v>
      </c>
      <c r="I387" s="11" t="s">
        <v>384</v>
      </c>
      <c r="J387" s="278" t="s">
        <v>6582</v>
      </c>
      <c r="BD387" s="23">
        <v>42186</v>
      </c>
      <c r="BE387" s="23">
        <v>43281</v>
      </c>
      <c r="BG387" s="11" t="s">
        <v>749</v>
      </c>
      <c r="BI387" s="11" t="s">
        <v>6554</v>
      </c>
      <c r="BJ387" s="11" t="s">
        <v>6568</v>
      </c>
      <c r="BK387" s="11" t="s">
        <v>6556</v>
      </c>
      <c r="BL387" s="11" t="s">
        <v>6569</v>
      </c>
      <c r="BM387" s="11" t="s">
        <v>444</v>
      </c>
      <c r="BN387" s="11" t="s">
        <v>6570</v>
      </c>
      <c r="BO387" s="12" t="s">
        <v>319</v>
      </c>
      <c r="BP387" s="12" t="s">
        <v>320</v>
      </c>
      <c r="BQ387" s="12" t="s">
        <v>319</v>
      </c>
      <c r="BR387" s="11" t="s">
        <v>6583</v>
      </c>
      <c r="BS387" s="11" t="s">
        <v>1535</v>
      </c>
      <c r="BT387" s="11" t="s">
        <v>6584</v>
      </c>
      <c r="BU387" s="11" t="s">
        <v>6585</v>
      </c>
      <c r="BV387" s="22">
        <v>1200</v>
      </c>
      <c r="BW387" s="22">
        <v>800</v>
      </c>
      <c r="BX387" s="22">
        <v>2000</v>
      </c>
      <c r="BY387" s="22">
        <v>4800</v>
      </c>
      <c r="BZ387" s="22">
        <v>3200</v>
      </c>
      <c r="CA387" s="22">
        <v>8000</v>
      </c>
      <c r="CB387" s="15" t="s">
        <v>6586</v>
      </c>
      <c r="CL387" s="18"/>
      <c r="CP387" s="18"/>
      <c r="CT387" s="18"/>
      <c r="CX387" s="18"/>
      <c r="DB387" s="18"/>
      <c r="DF387" s="18"/>
      <c r="DJ387" s="18"/>
      <c r="DN387" s="18"/>
      <c r="DR387" s="18"/>
      <c r="DV387" s="18"/>
      <c r="DZ387" s="18"/>
      <c r="ED387" s="18"/>
      <c r="EI387" s="18"/>
      <c r="EK387" s="22">
        <v>1179</v>
      </c>
      <c r="EL387" s="22">
        <v>589</v>
      </c>
      <c r="EM387" s="22">
        <v>1768</v>
      </c>
      <c r="EN387" s="22">
        <v>4716</v>
      </c>
      <c r="EO387" s="22">
        <v>2356</v>
      </c>
      <c r="EP387" s="22">
        <v>7072</v>
      </c>
      <c r="EQ387" s="12" t="s">
        <v>320</v>
      </c>
      <c r="ER387" s="22">
        <v>861</v>
      </c>
      <c r="ES387" s="18">
        <v>0.48599999999999999</v>
      </c>
      <c r="ET387" s="22">
        <v>3444</v>
      </c>
      <c r="EW387" s="18"/>
      <c r="FA387" s="18"/>
      <c r="FE387" s="18"/>
      <c r="FG387" s="12" t="s">
        <v>320</v>
      </c>
      <c r="FH387" s="22">
        <v>907</v>
      </c>
      <c r="FI387" s="18">
        <v>0.51300000000000001</v>
      </c>
      <c r="FJ387" s="22">
        <v>3628</v>
      </c>
      <c r="FM387" s="18"/>
      <c r="FQ387" s="18"/>
      <c r="FU387" s="18"/>
      <c r="FY387" s="18"/>
      <c r="GC387" s="18"/>
      <c r="GG387" s="18"/>
      <c r="GK387" s="18"/>
      <c r="GO387" s="18"/>
      <c r="GS387" s="18"/>
      <c r="GW387" s="18"/>
      <c r="HA387" s="18"/>
      <c r="HF387" s="18"/>
      <c r="HH387" s="11" t="s">
        <v>319</v>
      </c>
      <c r="HL387" s="11" t="s">
        <v>320</v>
      </c>
      <c r="HM387" s="11" t="s">
        <v>619</v>
      </c>
      <c r="HN387" s="11">
        <v>2017</v>
      </c>
      <c r="HP387" s="11" t="s">
        <v>418</v>
      </c>
      <c r="HZ387" s="11" t="s">
        <v>363</v>
      </c>
      <c r="IB387" s="11" t="s">
        <v>667</v>
      </c>
      <c r="ID387" s="11" t="s">
        <v>364</v>
      </c>
      <c r="IE387" s="11" t="s">
        <v>335</v>
      </c>
      <c r="IF387" s="11" t="s">
        <v>320</v>
      </c>
      <c r="IG387" s="11" t="s">
        <v>320</v>
      </c>
      <c r="IH387" s="11" t="s">
        <v>320</v>
      </c>
      <c r="II387" s="11" t="s">
        <v>320</v>
      </c>
      <c r="IJ387" s="12" t="str">
        <f t="shared" si="259"/>
        <v>2. Sensitive</v>
      </c>
      <c r="IK387" s="12">
        <f t="shared" si="260"/>
        <v>4</v>
      </c>
      <c r="IL387" s="11" t="s">
        <v>336</v>
      </c>
      <c r="IM387" s="11" t="s">
        <v>319</v>
      </c>
      <c r="IN387" s="11" t="s">
        <v>319</v>
      </c>
      <c r="IO387" s="11" t="s">
        <v>320</v>
      </c>
      <c r="IP387" s="11" t="s">
        <v>320</v>
      </c>
      <c r="IQ387" s="12" t="str">
        <f t="shared" si="261"/>
        <v>1. Tokenistic</v>
      </c>
      <c r="IR387" s="12">
        <f t="shared" si="262"/>
        <v>2</v>
      </c>
      <c r="IS387" s="11" t="s">
        <v>337</v>
      </c>
      <c r="IT387" s="11" t="s">
        <v>319</v>
      </c>
      <c r="IU387" s="11" t="s">
        <v>320</v>
      </c>
      <c r="IV387" s="11" t="s">
        <v>319</v>
      </c>
      <c r="IW387" s="11" t="str">
        <f t="shared" si="263"/>
        <v>1. Neutral</v>
      </c>
      <c r="IX387" s="12">
        <f t="shared" si="264"/>
        <v>1</v>
      </c>
      <c r="IY387" s="11" t="s">
        <v>419</v>
      </c>
      <c r="IZ387" s="11" t="s">
        <v>432</v>
      </c>
      <c r="JA387" s="11">
        <v>1</v>
      </c>
      <c r="JE387" s="11" t="s">
        <v>420</v>
      </c>
      <c r="JH387" s="11" t="s">
        <v>6587</v>
      </c>
      <c r="JI387" s="11" t="s">
        <v>6588</v>
      </c>
      <c r="JJ387" s="11" t="s">
        <v>6589</v>
      </c>
      <c r="JK387" s="11" t="s">
        <v>6590</v>
      </c>
      <c r="JL387" s="11" t="s">
        <v>6591</v>
      </c>
      <c r="JP387" s="15">
        <f t="shared" si="265"/>
        <v>1768</v>
      </c>
      <c r="JQ387" s="15">
        <f t="shared" si="266"/>
        <v>7072</v>
      </c>
      <c r="JR387" s="279">
        <f t="shared" si="267"/>
        <v>4</v>
      </c>
      <c r="JS387" s="17">
        <f t="shared" si="268"/>
        <v>0.66685520361990946</v>
      </c>
      <c r="JT387" s="18">
        <f t="shared" si="269"/>
        <v>0.66685520361990946</v>
      </c>
      <c r="JU387" s="280">
        <f t="shared" si="270"/>
        <v>1179</v>
      </c>
      <c r="JV387" s="280">
        <f t="shared" si="271"/>
        <v>4716</v>
      </c>
      <c r="JW387" s="319" t="str">
        <f t="shared" si="272"/>
        <v/>
      </c>
      <c r="JX387" s="15">
        <f t="shared" si="273"/>
        <v>0</v>
      </c>
      <c r="JY387" s="15">
        <f t="shared" si="274"/>
        <v>0</v>
      </c>
      <c r="JZ387" s="19" t="str">
        <f t="shared" si="275"/>
        <v/>
      </c>
      <c r="KA387" s="52">
        <f t="shared" si="276"/>
        <v>1</v>
      </c>
      <c r="KB387" s="15">
        <f t="shared" si="277"/>
        <v>907</v>
      </c>
      <c r="KC387" s="15">
        <f t="shared" si="278"/>
        <v>3628</v>
      </c>
      <c r="KD387" s="20">
        <f t="shared" si="279"/>
        <v>4</v>
      </c>
      <c r="KE387" s="52" t="str">
        <f t="shared" si="280"/>
        <v/>
      </c>
      <c r="KF387" s="15">
        <f t="shared" si="281"/>
        <v>0</v>
      </c>
      <c r="KG387" s="15">
        <f t="shared" si="282"/>
        <v>0</v>
      </c>
      <c r="KH387" s="21" t="str">
        <f t="shared" si="283"/>
        <v/>
      </c>
      <c r="KI387" s="52" t="str">
        <f t="shared" si="284"/>
        <v/>
      </c>
      <c r="KJ387" s="15">
        <f t="shared" si="285"/>
        <v>0</v>
      </c>
      <c r="KK387" s="15">
        <f t="shared" si="286"/>
        <v>0</v>
      </c>
      <c r="KL387" s="19" t="str">
        <f t="shared" si="287"/>
        <v/>
      </c>
      <c r="KM387" s="52">
        <f t="shared" si="288"/>
        <v>1</v>
      </c>
      <c r="KN387" s="22">
        <f t="shared" si="289"/>
        <v>465.291</v>
      </c>
      <c r="KO387" s="22">
        <f t="shared" si="290"/>
        <v>1861.164</v>
      </c>
      <c r="KP387" s="19">
        <f t="shared" si="291"/>
        <v>4</v>
      </c>
      <c r="KQ387" s="11" t="str">
        <f t="shared" si="292"/>
        <v>2. Sensitive</v>
      </c>
      <c r="KR387" s="11" t="str">
        <f t="shared" si="293"/>
        <v>1. Tokenistic</v>
      </c>
      <c r="KS387" s="11" t="str">
        <f t="shared" si="294"/>
        <v>1. Neutral</v>
      </c>
      <c r="KT387" s="11" t="str">
        <f t="shared" si="295"/>
        <v>It did not develop any specific innovation</v>
      </c>
      <c r="KU387" s="11" t="str">
        <f t="shared" si="296"/>
        <v>Little or no advocacy</v>
      </c>
      <c r="KV387" s="11" t="str">
        <f t="shared" si="297"/>
        <v>It took tested solutions to scale on its own</v>
      </c>
      <c r="KW387" s="11" t="str">
        <f t="shared" si="298"/>
        <v>Kenya - Rural Youth Business Development Project</v>
      </c>
      <c r="KX387" s="11" t="str">
        <f t="shared" si="299"/>
        <v>Rural Youth Business Development Project</v>
      </c>
      <c r="KY387" s="11" t="str">
        <f t="shared" si="300"/>
        <v>Kenya</v>
      </c>
      <c r="KZ387" s="287">
        <v>387</v>
      </c>
    </row>
    <row r="388" spans="1:312" x14ac:dyDescent="0.3">
      <c r="A388" s="282" t="s">
        <v>6457</v>
      </c>
      <c r="B388" s="282" t="s">
        <v>1874</v>
      </c>
      <c r="C388" s="282"/>
      <c r="D388" s="282" t="s">
        <v>6614</v>
      </c>
      <c r="E388" s="277" t="str">
        <f t="shared" si="258"/>
        <v>Kenya</v>
      </c>
      <c r="F388" s="282" t="s">
        <v>6615</v>
      </c>
      <c r="G388" s="282" t="s">
        <v>605</v>
      </c>
      <c r="H388" s="282" t="s">
        <v>380</v>
      </c>
      <c r="I388" s="282" t="s">
        <v>606</v>
      </c>
      <c r="J388" s="281" t="s">
        <v>14693</v>
      </c>
      <c r="K388" s="282"/>
      <c r="L388" s="282"/>
      <c r="M388" s="282"/>
      <c r="N388" s="282"/>
      <c r="O388" s="282"/>
      <c r="P388" s="282"/>
      <c r="Q388" s="282"/>
      <c r="R388" s="282"/>
      <c r="S388" s="282"/>
      <c r="T388" s="282"/>
      <c r="U388" s="282"/>
      <c r="V388" s="282"/>
      <c r="W388" s="282"/>
      <c r="X388" s="282"/>
      <c r="Y388" s="282"/>
      <c r="Z388" s="282"/>
      <c r="AA388" s="282"/>
      <c r="AB388" s="282"/>
      <c r="AC388" s="282"/>
      <c r="AD388" s="282"/>
      <c r="AE388" s="282"/>
      <c r="AF388" s="282"/>
      <c r="AG388" s="282"/>
      <c r="AH388" s="282"/>
      <c r="AI388" s="282"/>
      <c r="AJ388" s="282"/>
      <c r="AK388" s="282"/>
      <c r="AL388" s="282"/>
      <c r="AM388" s="282"/>
      <c r="AN388" s="282"/>
      <c r="AO388" s="282"/>
      <c r="AP388" s="282"/>
      <c r="AQ388" s="282"/>
      <c r="AR388" s="282"/>
      <c r="AS388" s="282"/>
      <c r="AT388" s="282"/>
      <c r="AU388" s="282"/>
      <c r="AV388" s="282"/>
      <c r="AW388" s="282"/>
      <c r="AX388" s="282"/>
      <c r="AY388" s="282"/>
      <c r="AZ388" s="282"/>
      <c r="BA388" s="282"/>
      <c r="BB388" s="282"/>
      <c r="BC388" s="282"/>
      <c r="BD388" s="283">
        <v>42491</v>
      </c>
      <c r="BE388" s="283">
        <v>43585</v>
      </c>
      <c r="BF388" s="283"/>
      <c r="BG388" s="283" t="s">
        <v>749</v>
      </c>
      <c r="BH388" s="284"/>
      <c r="BI388" s="282" t="s">
        <v>6616</v>
      </c>
      <c r="BJ388" s="282" t="s">
        <v>6617</v>
      </c>
      <c r="BK388" s="282" t="s">
        <v>6618</v>
      </c>
      <c r="BL388" s="282"/>
      <c r="BM388" s="282"/>
      <c r="BN388" s="282"/>
      <c r="BO388" s="11" t="s">
        <v>319</v>
      </c>
      <c r="BP388" s="11" t="s">
        <v>320</v>
      </c>
      <c r="BQ388" s="11" t="s">
        <v>319</v>
      </c>
      <c r="BR388" s="282" t="s">
        <v>6619</v>
      </c>
      <c r="BS388" s="282" t="s">
        <v>357</v>
      </c>
      <c r="BT388" s="282" t="s">
        <v>6620</v>
      </c>
      <c r="BU388" s="282" t="s">
        <v>6621</v>
      </c>
      <c r="BV388" s="284">
        <v>169065</v>
      </c>
      <c r="BW388" s="284">
        <v>20000</v>
      </c>
      <c r="BX388" s="284">
        <v>189065</v>
      </c>
      <c r="BY388" s="284">
        <v>845325</v>
      </c>
      <c r="BZ388" s="284">
        <v>100000</v>
      </c>
      <c r="CA388" s="284">
        <v>945325</v>
      </c>
      <c r="CB388" s="285" t="s">
        <v>6622</v>
      </c>
      <c r="CC388" s="285"/>
      <c r="CD388" s="284"/>
      <c r="CE388" s="284"/>
      <c r="CF388" s="284"/>
      <c r="CG388" s="284"/>
      <c r="CH388" s="284"/>
      <c r="CI388" s="284"/>
      <c r="CJ388" s="282"/>
      <c r="CK388" s="284"/>
      <c r="CL388" s="286"/>
      <c r="CM388" s="284"/>
      <c r="CN388" s="287"/>
      <c r="CO388" s="284"/>
      <c r="CP388" s="286"/>
      <c r="CQ388" s="284"/>
      <c r="CR388" s="282"/>
      <c r="CS388" s="284"/>
      <c r="CT388" s="286"/>
      <c r="CU388" s="284"/>
      <c r="CV388" s="292"/>
      <c r="CW388" s="290"/>
      <c r="CX388" s="291"/>
      <c r="CY388" s="306"/>
      <c r="CZ388" s="282"/>
      <c r="DA388" s="284"/>
      <c r="DB388" s="286"/>
      <c r="DC388" s="284"/>
      <c r="DD388" s="287"/>
      <c r="DE388" s="284"/>
      <c r="DF388" s="286"/>
      <c r="DG388" s="284"/>
      <c r="DH388" s="282"/>
      <c r="DI388" s="284"/>
      <c r="DJ388" s="286"/>
      <c r="DK388" s="284"/>
      <c r="DL388" s="282"/>
      <c r="DM388" s="284"/>
      <c r="DN388" s="286"/>
      <c r="DO388" s="284"/>
      <c r="DP388" s="282"/>
      <c r="DQ388" s="284"/>
      <c r="DR388" s="286"/>
      <c r="DS388" s="284"/>
      <c r="DT388" s="282"/>
      <c r="DU388" s="284"/>
      <c r="DV388" s="286"/>
      <c r="DW388" s="284"/>
      <c r="DX388" s="282"/>
      <c r="DY388" s="284"/>
      <c r="DZ388" s="286"/>
      <c r="EA388" s="284"/>
      <c r="EB388" s="282"/>
      <c r="EC388" s="284"/>
      <c r="ED388" s="286"/>
      <c r="EE388" s="284"/>
      <c r="EF388" s="285"/>
      <c r="EG388" s="287"/>
      <c r="EH388" s="284"/>
      <c r="EI388" s="286"/>
      <c r="EJ388" s="284"/>
      <c r="EK388" s="284">
        <v>56355</v>
      </c>
      <c r="EL388" s="284">
        <v>6667</v>
      </c>
      <c r="EM388" s="284">
        <v>63022</v>
      </c>
      <c r="EN388" s="284">
        <v>281775</v>
      </c>
      <c r="EO388" s="284">
        <v>33335</v>
      </c>
      <c r="EP388" s="284">
        <v>315110</v>
      </c>
      <c r="EQ388" s="282" t="s">
        <v>319</v>
      </c>
      <c r="ER388" s="284"/>
      <c r="ES388" s="286"/>
      <c r="ET388" s="284"/>
      <c r="EU388" s="282" t="s">
        <v>319</v>
      </c>
      <c r="EV388" s="284"/>
      <c r="EW388" s="286"/>
      <c r="EX388" s="284"/>
      <c r="EY388" s="282" t="s">
        <v>319</v>
      </c>
      <c r="EZ388" s="284"/>
      <c r="FA388" s="286"/>
      <c r="FB388" s="284"/>
      <c r="FC388" s="282" t="s">
        <v>319</v>
      </c>
      <c r="FD388" s="284"/>
      <c r="FE388" s="286"/>
      <c r="FF388" s="284"/>
      <c r="FG388" s="282" t="s">
        <v>319</v>
      </c>
      <c r="FH388" s="284"/>
      <c r="FI388" s="286"/>
      <c r="FJ388" s="284"/>
      <c r="FK388" s="282" t="s">
        <v>320</v>
      </c>
      <c r="FL388" s="284">
        <v>45</v>
      </c>
      <c r="FM388" s="286">
        <v>0.89</v>
      </c>
      <c r="FN388" s="284">
        <v>900</v>
      </c>
      <c r="FO388" s="292" t="s">
        <v>320</v>
      </c>
      <c r="FP388" s="290">
        <v>35</v>
      </c>
      <c r="FQ388" s="291">
        <v>0.71</v>
      </c>
      <c r="FR388" s="290"/>
      <c r="FS388" s="282" t="s">
        <v>319</v>
      </c>
      <c r="FT388" s="284"/>
      <c r="FU388" s="286"/>
      <c r="FV388" s="284"/>
      <c r="FW388" s="282" t="s">
        <v>320</v>
      </c>
      <c r="FX388" s="284">
        <v>30</v>
      </c>
      <c r="FY388" s="286">
        <v>0.63</v>
      </c>
      <c r="FZ388" s="284">
        <v>20800</v>
      </c>
      <c r="GA388" s="282" t="s">
        <v>319</v>
      </c>
      <c r="GB388" s="284"/>
      <c r="GC388" s="286"/>
      <c r="GD388" s="284"/>
      <c r="GE388" s="282" t="s">
        <v>319</v>
      </c>
      <c r="GF388" s="284"/>
      <c r="GG388" s="286"/>
      <c r="GH388" s="284"/>
      <c r="GI388" s="282" t="s">
        <v>319</v>
      </c>
      <c r="GJ388" s="284"/>
      <c r="GK388" s="286"/>
      <c r="GL388" s="284"/>
      <c r="GM388" s="282" t="s">
        <v>320</v>
      </c>
      <c r="GN388" s="284">
        <v>41</v>
      </c>
      <c r="GO388" s="286">
        <v>0.60899999999999999</v>
      </c>
      <c r="GP388" s="284">
        <v>525</v>
      </c>
      <c r="GQ388" s="282" t="s">
        <v>319</v>
      </c>
      <c r="GR388" s="284"/>
      <c r="GS388" s="286"/>
      <c r="GT388" s="284"/>
      <c r="GU388" s="282" t="s">
        <v>319</v>
      </c>
      <c r="GV388" s="284"/>
      <c r="GW388" s="286"/>
      <c r="GX388" s="284"/>
      <c r="GY388" s="282" t="s">
        <v>319</v>
      </c>
      <c r="GZ388" s="284"/>
      <c r="HA388" s="286"/>
      <c r="HB388" s="284"/>
      <c r="HC388" s="282"/>
      <c r="HD388" s="282"/>
      <c r="HE388" s="284"/>
      <c r="HF388" s="286"/>
      <c r="HG388" s="284"/>
      <c r="HH388" s="282" t="s">
        <v>320</v>
      </c>
      <c r="HI388" s="282" t="s">
        <v>619</v>
      </c>
      <c r="HJ388" s="282">
        <v>2016</v>
      </c>
      <c r="HK388" s="282" t="s">
        <v>320</v>
      </c>
      <c r="HL388" s="282" t="s">
        <v>320</v>
      </c>
      <c r="HM388" s="282" t="s">
        <v>619</v>
      </c>
      <c r="HN388" s="282">
        <v>2017</v>
      </c>
      <c r="HO388" s="282" t="s">
        <v>6623</v>
      </c>
      <c r="HP388" s="282" t="s">
        <v>330</v>
      </c>
      <c r="HQ388" s="282" t="s">
        <v>319</v>
      </c>
      <c r="HR388" s="282" t="s">
        <v>319</v>
      </c>
      <c r="HS388" s="282" t="s">
        <v>319</v>
      </c>
      <c r="HT388" s="282" t="s">
        <v>320</v>
      </c>
      <c r="HU388" s="282" t="s">
        <v>319</v>
      </c>
      <c r="HV388" s="282" t="s">
        <v>319</v>
      </c>
      <c r="HW388" s="282" t="s">
        <v>320</v>
      </c>
      <c r="HX388" s="282"/>
      <c r="HY388" s="282"/>
      <c r="HZ388" s="282" t="s">
        <v>394</v>
      </c>
      <c r="IA388" s="282" t="s">
        <v>6624</v>
      </c>
      <c r="IB388" s="282" t="s">
        <v>396</v>
      </c>
      <c r="IC388" s="282" t="s">
        <v>6625</v>
      </c>
      <c r="ID388" s="282" t="s">
        <v>364</v>
      </c>
      <c r="IE388" s="282" t="s">
        <v>478</v>
      </c>
      <c r="IF388" s="282" t="s">
        <v>320</v>
      </c>
      <c r="IG388" s="282" t="s">
        <v>319</v>
      </c>
      <c r="IH388" s="282" t="s">
        <v>320</v>
      </c>
      <c r="II388" s="282" t="s">
        <v>320</v>
      </c>
      <c r="IJ388" s="12" t="str">
        <f t="shared" si="259"/>
        <v>3. Responsive</v>
      </c>
      <c r="IK388" s="287">
        <f t="shared" si="260"/>
        <v>3</v>
      </c>
      <c r="IL388" s="282" t="s">
        <v>336</v>
      </c>
      <c r="IM388" s="282" t="s">
        <v>320</v>
      </c>
      <c r="IN388" s="282" t="s">
        <v>320</v>
      </c>
      <c r="IO388" s="282" t="s">
        <v>320</v>
      </c>
      <c r="IP388" s="282" t="s">
        <v>320</v>
      </c>
      <c r="IQ388" s="287" t="str">
        <f t="shared" si="261"/>
        <v>2. Accommodating</v>
      </c>
      <c r="IR388" s="287">
        <f t="shared" si="262"/>
        <v>4</v>
      </c>
      <c r="IS388" s="282" t="s">
        <v>622</v>
      </c>
      <c r="IT388" s="282" t="s">
        <v>320</v>
      </c>
      <c r="IU388" s="282" t="s">
        <v>320</v>
      </c>
      <c r="IV388" s="282" t="s">
        <v>320</v>
      </c>
      <c r="IW388" s="11" t="str">
        <f t="shared" si="263"/>
        <v>4. Transformative</v>
      </c>
      <c r="IX388" s="287">
        <f t="shared" si="264"/>
        <v>3</v>
      </c>
      <c r="IY388" s="282" t="s">
        <v>338</v>
      </c>
      <c r="IZ388" s="282" t="s">
        <v>457</v>
      </c>
      <c r="JA388" s="282"/>
      <c r="JB388" s="282" t="s">
        <v>687</v>
      </c>
      <c r="JC388" s="282" t="s">
        <v>433</v>
      </c>
      <c r="JD388" s="282" t="s">
        <v>831</v>
      </c>
      <c r="JE388" s="282" t="s">
        <v>340</v>
      </c>
      <c r="JF388" s="282"/>
      <c r="JG388" s="282"/>
      <c r="JH388" s="282" t="s">
        <v>6626</v>
      </c>
      <c r="JI388" s="282" t="s">
        <v>6627</v>
      </c>
      <c r="JJ388" s="282" t="s">
        <v>6628</v>
      </c>
      <c r="JK388" s="282" t="s">
        <v>6629</v>
      </c>
      <c r="JL388" s="282" t="s">
        <v>6630</v>
      </c>
      <c r="JM388" s="282" t="s">
        <v>6631</v>
      </c>
      <c r="JN388" s="282" t="s">
        <v>6632</v>
      </c>
      <c r="JO388" s="282" t="s">
        <v>6633</v>
      </c>
      <c r="JP388" s="15">
        <f t="shared" si="265"/>
        <v>63022</v>
      </c>
      <c r="JQ388" s="15">
        <f t="shared" si="266"/>
        <v>315110</v>
      </c>
      <c r="JR388" s="279">
        <f t="shared" si="267"/>
        <v>5</v>
      </c>
      <c r="JS388" s="17">
        <f t="shared" si="268"/>
        <v>0.89421154517470092</v>
      </c>
      <c r="JT388" s="18">
        <f t="shared" si="269"/>
        <v>0.89421154517470092</v>
      </c>
      <c r="JU388" s="280">
        <f t="shared" si="270"/>
        <v>56355</v>
      </c>
      <c r="JV388" s="280">
        <f t="shared" si="271"/>
        <v>281775</v>
      </c>
      <c r="JW388" s="319" t="str">
        <f t="shared" si="272"/>
        <v/>
      </c>
      <c r="JX388" s="15">
        <f t="shared" si="273"/>
        <v>0</v>
      </c>
      <c r="JY388" s="15">
        <f t="shared" si="274"/>
        <v>0</v>
      </c>
      <c r="JZ388" s="19" t="str">
        <f t="shared" si="275"/>
        <v/>
      </c>
      <c r="KA388" s="52">
        <f t="shared" si="276"/>
        <v>1</v>
      </c>
      <c r="KB388" s="15">
        <f t="shared" si="277"/>
        <v>35</v>
      </c>
      <c r="KC388" s="15">
        <f t="shared" si="278"/>
        <v>0</v>
      </c>
      <c r="KD388" s="20">
        <f t="shared" si="279"/>
        <v>0</v>
      </c>
      <c r="KE388" s="52" t="str">
        <f t="shared" si="280"/>
        <v/>
      </c>
      <c r="KF388" s="15">
        <f t="shared" si="281"/>
        <v>0</v>
      </c>
      <c r="KG388" s="15">
        <f t="shared" si="282"/>
        <v>0</v>
      </c>
      <c r="KH388" s="21" t="str">
        <f t="shared" si="283"/>
        <v/>
      </c>
      <c r="KI388" s="52" t="str">
        <f t="shared" si="284"/>
        <v/>
      </c>
      <c r="KJ388" s="15">
        <f t="shared" si="285"/>
        <v>0</v>
      </c>
      <c r="KK388" s="15">
        <f t="shared" si="286"/>
        <v>0</v>
      </c>
      <c r="KL388" s="19" t="str">
        <f t="shared" si="287"/>
        <v/>
      </c>
      <c r="KM388" s="52" t="str">
        <f t="shared" si="288"/>
        <v/>
      </c>
      <c r="KN388" s="22">
        <f t="shared" si="289"/>
        <v>0</v>
      </c>
      <c r="KO388" s="22">
        <f t="shared" si="290"/>
        <v>0</v>
      </c>
      <c r="KP388" s="19" t="str">
        <f t="shared" si="291"/>
        <v/>
      </c>
      <c r="KQ388" s="11" t="str">
        <f t="shared" si="292"/>
        <v>3. Responsive</v>
      </c>
      <c r="KR388" s="11" t="str">
        <f t="shared" si="293"/>
        <v>2. Accommodating</v>
      </c>
      <c r="KS388" s="11" t="str">
        <f t="shared" si="294"/>
        <v>4. Transformative</v>
      </c>
      <c r="KT388" s="11" t="str">
        <f t="shared" si="295"/>
        <v>It tested new ways for fighting poverty, but did not measure results of innovation</v>
      </c>
      <c r="KU388" s="11" t="str">
        <f t="shared" si="296"/>
        <v>Moderate advocacy</v>
      </c>
      <c r="KV388" s="11" t="str">
        <f t="shared" si="297"/>
        <v>It linked and worked with strategic alliances and partners to take tested and effective solutions to scale</v>
      </c>
      <c r="KW388" s="11" t="str">
        <f t="shared" si="298"/>
        <v>Kenya - SIAYA MATERNAL AND CHILD NUTRITION NAWIRI PROJECT</v>
      </c>
      <c r="KX388" s="11" t="str">
        <f t="shared" si="299"/>
        <v>SIAYA MATERNAL AND CHILD NUTRITION NAWIRI PROJECT</v>
      </c>
      <c r="KY388" s="11" t="str">
        <f t="shared" si="300"/>
        <v>Kenya</v>
      </c>
      <c r="KZ388" s="12">
        <v>388</v>
      </c>
    </row>
    <row r="389" spans="1:312" x14ac:dyDescent="0.3">
      <c r="A389" s="11" t="s">
        <v>6457</v>
      </c>
      <c r="B389" s="11" t="s">
        <v>1874</v>
      </c>
      <c r="D389" s="11" t="s">
        <v>6605</v>
      </c>
      <c r="E389" s="24" t="str">
        <f t="shared" si="258"/>
        <v>Kenya</v>
      </c>
      <c r="F389" s="11" t="s">
        <v>6606</v>
      </c>
      <c r="G389" s="11" t="s">
        <v>1738</v>
      </c>
      <c r="H389" s="11" t="s">
        <v>380</v>
      </c>
      <c r="I389" s="11" t="s">
        <v>907</v>
      </c>
      <c r="J389" s="278" t="s">
        <v>5183</v>
      </c>
      <c r="BD389" s="23">
        <v>42461</v>
      </c>
      <c r="BE389" s="23">
        <v>42825</v>
      </c>
      <c r="BG389" s="11" t="s">
        <v>817</v>
      </c>
      <c r="BH389" s="22">
        <v>2665700</v>
      </c>
      <c r="BI389" s="11" t="s">
        <v>6474</v>
      </c>
      <c r="BJ389" s="11" t="s">
        <v>6607</v>
      </c>
      <c r="BK389" s="11" t="s">
        <v>6535</v>
      </c>
      <c r="BO389" s="11" t="s">
        <v>320</v>
      </c>
      <c r="BP389" s="11" t="s">
        <v>319</v>
      </c>
      <c r="BQ389" s="11" t="s">
        <v>319</v>
      </c>
      <c r="BR389" s="11" t="s">
        <v>6608</v>
      </c>
      <c r="BS389" s="11" t="s">
        <v>357</v>
      </c>
      <c r="BT389" s="11" t="s">
        <v>6609</v>
      </c>
      <c r="BU389" s="11" t="s">
        <v>6610</v>
      </c>
      <c r="BV389" s="22">
        <v>68893</v>
      </c>
      <c r="BW389" s="22">
        <v>66300</v>
      </c>
      <c r="BX389" s="22">
        <v>135193</v>
      </c>
      <c r="CB389" s="32" t="s">
        <v>14701</v>
      </c>
      <c r="CL389" s="18"/>
      <c r="CP389" s="18"/>
      <c r="CT389" s="18"/>
      <c r="CX389" s="18"/>
      <c r="DB389" s="18"/>
      <c r="DF389" s="18"/>
      <c r="DJ389" s="18"/>
      <c r="DN389" s="18"/>
      <c r="DR389" s="18"/>
      <c r="DV389" s="18"/>
      <c r="DZ389" s="18"/>
      <c r="EB389" s="11" t="s">
        <v>320</v>
      </c>
      <c r="ED389" s="18"/>
      <c r="EI389" s="18"/>
      <c r="ES389" s="18"/>
      <c r="EW389" s="18"/>
      <c r="FA389" s="18"/>
      <c r="FE389" s="18"/>
      <c r="FI389" s="18"/>
      <c r="FM389" s="18"/>
      <c r="FQ389" s="18"/>
      <c r="FU389" s="18"/>
      <c r="FY389" s="18"/>
      <c r="GC389" s="18"/>
      <c r="GG389" s="18"/>
      <c r="GK389" s="18"/>
      <c r="GO389" s="18"/>
      <c r="GS389" s="18"/>
      <c r="GW389" s="18"/>
      <c r="HA389" s="18"/>
      <c r="HF389" s="18"/>
      <c r="HH389" s="11" t="s">
        <v>320</v>
      </c>
      <c r="HI389" s="11" t="s">
        <v>560</v>
      </c>
      <c r="HJ389" s="11">
        <v>2017</v>
      </c>
      <c r="HK389" s="11" t="s">
        <v>320</v>
      </c>
      <c r="HL389" s="11" t="s">
        <v>319</v>
      </c>
      <c r="HP389" s="11" t="s">
        <v>418</v>
      </c>
      <c r="HQ389" s="11" t="s">
        <v>319</v>
      </c>
      <c r="HR389" s="11" t="s">
        <v>319</v>
      </c>
      <c r="HS389" s="11" t="s">
        <v>320</v>
      </c>
      <c r="HT389" s="11" t="s">
        <v>320</v>
      </c>
      <c r="HU389" s="11" t="s">
        <v>319</v>
      </c>
      <c r="HV389" s="11" t="s">
        <v>319</v>
      </c>
      <c r="HW389" s="11" t="s">
        <v>319</v>
      </c>
      <c r="HZ389" s="11" t="s">
        <v>363</v>
      </c>
      <c r="IB389" s="11" t="s">
        <v>333</v>
      </c>
      <c r="ID389" s="11" t="s">
        <v>334</v>
      </c>
      <c r="IE389" s="11" t="s">
        <v>335</v>
      </c>
      <c r="IF389" s="11" t="s">
        <v>320</v>
      </c>
      <c r="IG389" s="11" t="s">
        <v>320</v>
      </c>
      <c r="IH389" s="11" t="s">
        <v>320</v>
      </c>
      <c r="II389" s="11" t="s">
        <v>320</v>
      </c>
      <c r="IJ389" s="12" t="str">
        <f t="shared" si="259"/>
        <v>2. Sensitive</v>
      </c>
      <c r="IK389" s="12">
        <f t="shared" si="260"/>
        <v>4</v>
      </c>
      <c r="IL389" s="11" t="s">
        <v>336</v>
      </c>
      <c r="IM389" s="11" t="s">
        <v>320</v>
      </c>
      <c r="IN389" s="11" t="s">
        <v>320</v>
      </c>
      <c r="IO389" s="11" t="s">
        <v>320</v>
      </c>
      <c r="IP389" s="11" t="s">
        <v>320</v>
      </c>
      <c r="IQ389" s="12" t="str">
        <f t="shared" si="261"/>
        <v>2. Accommodating</v>
      </c>
      <c r="IR389" s="12">
        <f t="shared" si="262"/>
        <v>4</v>
      </c>
      <c r="IS389" s="11" t="s">
        <v>337</v>
      </c>
      <c r="IT389" s="11" t="s">
        <v>320</v>
      </c>
      <c r="IU389" s="11" t="s">
        <v>320</v>
      </c>
      <c r="IV389" s="11" t="s">
        <v>320</v>
      </c>
      <c r="IW389" s="11" t="str">
        <f t="shared" si="263"/>
        <v>2. Sensitive</v>
      </c>
      <c r="IX389" s="12">
        <f t="shared" si="264"/>
        <v>3</v>
      </c>
      <c r="IY389" s="11" t="s">
        <v>338</v>
      </c>
      <c r="IZ389" s="11" t="s">
        <v>339</v>
      </c>
      <c r="JA389" s="11">
        <v>1</v>
      </c>
      <c r="JB389" s="11" t="s">
        <v>831</v>
      </c>
      <c r="JE389" s="11" t="s">
        <v>420</v>
      </c>
      <c r="JN389" s="28" t="s">
        <v>14702</v>
      </c>
      <c r="JO389" s="11" t="s">
        <v>6611</v>
      </c>
      <c r="JP389" s="15">
        <f t="shared" si="265"/>
        <v>0</v>
      </c>
      <c r="JQ389" s="15">
        <f t="shared" si="266"/>
        <v>0</v>
      </c>
      <c r="JR389" s="279" t="str">
        <f t="shared" si="267"/>
        <v/>
      </c>
      <c r="JS389" s="17" t="str">
        <f t="shared" si="268"/>
        <v/>
      </c>
      <c r="JT389" s="18" t="str">
        <f t="shared" si="269"/>
        <v/>
      </c>
      <c r="JU389" s="280">
        <f t="shared" si="270"/>
        <v>0</v>
      </c>
      <c r="JV389" s="280">
        <f t="shared" si="271"/>
        <v>0</v>
      </c>
      <c r="JW389" s="319">
        <f t="shared" si="272"/>
        <v>1</v>
      </c>
      <c r="JX389" s="15">
        <f t="shared" si="273"/>
        <v>0</v>
      </c>
      <c r="JY389" s="15">
        <f t="shared" si="274"/>
        <v>0</v>
      </c>
      <c r="JZ389" s="19" t="str">
        <f t="shared" si="275"/>
        <v/>
      </c>
      <c r="KA389" s="52" t="str">
        <f t="shared" si="276"/>
        <v/>
      </c>
      <c r="KB389" s="15">
        <f t="shared" si="277"/>
        <v>0</v>
      </c>
      <c r="KC389" s="15">
        <f t="shared" si="278"/>
        <v>0</v>
      </c>
      <c r="KD389" s="20" t="str">
        <f t="shared" si="279"/>
        <v/>
      </c>
      <c r="KE389" s="52" t="str">
        <f t="shared" si="280"/>
        <v/>
      </c>
      <c r="KF389" s="15">
        <f t="shared" si="281"/>
        <v>0</v>
      </c>
      <c r="KG389" s="15">
        <f t="shared" si="282"/>
        <v>0</v>
      </c>
      <c r="KH389" s="21" t="str">
        <f t="shared" si="283"/>
        <v/>
      </c>
      <c r="KI389" s="52" t="str">
        <f t="shared" si="284"/>
        <v/>
      </c>
      <c r="KJ389" s="15">
        <f t="shared" si="285"/>
        <v>0</v>
      </c>
      <c r="KK389" s="15">
        <f t="shared" si="286"/>
        <v>0</v>
      </c>
      <c r="KL389" s="19" t="str">
        <f t="shared" si="287"/>
        <v/>
      </c>
      <c r="KM389" s="52" t="str">
        <f t="shared" si="288"/>
        <v/>
      </c>
      <c r="KN389" s="22">
        <f t="shared" si="289"/>
        <v>0</v>
      </c>
      <c r="KO389" s="22">
        <f t="shared" si="290"/>
        <v>0</v>
      </c>
      <c r="KP389" s="19" t="str">
        <f t="shared" si="291"/>
        <v/>
      </c>
      <c r="KQ389" s="11" t="str">
        <f t="shared" si="292"/>
        <v>2. Sensitive</v>
      </c>
      <c r="KR389" s="11" t="str">
        <f t="shared" si="293"/>
        <v>2. Accommodating</v>
      </c>
      <c r="KS389" s="11" t="str">
        <f t="shared" si="294"/>
        <v>2. Sensitive</v>
      </c>
      <c r="KT389" s="11" t="str">
        <f t="shared" si="295"/>
        <v>It did not develop any specific innovation</v>
      </c>
      <c r="KU389" s="11" t="str">
        <f t="shared" si="296"/>
        <v>Little or no advocacy</v>
      </c>
      <c r="KV389" s="11" t="str">
        <f t="shared" si="297"/>
        <v>It did not take tested solutions to scale</v>
      </c>
      <c r="KW389" s="11" t="str">
        <f t="shared" si="298"/>
        <v>Kenya - Support to improvement and maintainance of safe Water supply, Sanitation and Hygiene for refugees living in Dadaab camps.</v>
      </c>
      <c r="KX389" s="11" t="str">
        <f t="shared" si="299"/>
        <v>Support to improvement and maintainance of safe Water supply, Sanitation and Hygiene for refugees living in Dadaab camps.</v>
      </c>
      <c r="KY389" s="11" t="str">
        <f t="shared" si="300"/>
        <v>Kenya</v>
      </c>
      <c r="KZ389" s="12">
        <v>389</v>
      </c>
    </row>
    <row r="390" spans="1:312" x14ac:dyDescent="0.3">
      <c r="A390" s="11" t="s">
        <v>6457</v>
      </c>
      <c r="B390" s="11" t="s">
        <v>1874</v>
      </c>
      <c r="D390" s="11" t="s">
        <v>6612</v>
      </c>
      <c r="E390" s="24" t="str">
        <f t="shared" si="258"/>
        <v>Kenya</v>
      </c>
      <c r="F390" s="11" t="s">
        <v>14703</v>
      </c>
      <c r="G390" s="11" t="s">
        <v>1738</v>
      </c>
      <c r="H390" s="11" t="s">
        <v>380</v>
      </c>
      <c r="I390" s="11" t="s">
        <v>907</v>
      </c>
      <c r="J390" s="278" t="s">
        <v>5183</v>
      </c>
      <c r="BD390" s="23">
        <v>42826</v>
      </c>
      <c r="BE390" s="23">
        <v>43190</v>
      </c>
      <c r="BG390" s="11" t="s">
        <v>817</v>
      </c>
      <c r="BH390" s="22">
        <v>712740</v>
      </c>
      <c r="BI390" s="11" t="s">
        <v>6474</v>
      </c>
      <c r="BJ390" s="11" t="s">
        <v>6607</v>
      </c>
      <c r="BK390" s="11" t="s">
        <v>6535</v>
      </c>
      <c r="BO390" s="11" t="s">
        <v>320</v>
      </c>
      <c r="BP390" s="11" t="s">
        <v>319</v>
      </c>
      <c r="BQ390" s="11" t="s">
        <v>319</v>
      </c>
      <c r="BR390" s="11" t="s">
        <v>6613</v>
      </c>
      <c r="BS390" s="11" t="s">
        <v>357</v>
      </c>
      <c r="BT390" s="11" t="s">
        <v>6609</v>
      </c>
      <c r="BU390" s="11" t="s">
        <v>6610</v>
      </c>
      <c r="BV390" s="22">
        <v>68158</v>
      </c>
      <c r="BW390" s="22">
        <v>65576</v>
      </c>
      <c r="BX390" s="22">
        <v>133734</v>
      </c>
      <c r="CB390" s="32" t="s">
        <v>14704</v>
      </c>
      <c r="CL390" s="18"/>
      <c r="CP390" s="18"/>
      <c r="CT390" s="18"/>
      <c r="CX390" s="18"/>
      <c r="DB390" s="18"/>
      <c r="DF390" s="18"/>
      <c r="DJ390" s="18"/>
      <c r="DN390" s="18"/>
      <c r="DR390" s="18"/>
      <c r="DV390" s="18"/>
      <c r="DZ390" s="18"/>
      <c r="EB390" s="11" t="s">
        <v>320</v>
      </c>
      <c r="ED390" s="18"/>
      <c r="EI390" s="18"/>
      <c r="ES390" s="18"/>
      <c r="EW390" s="18"/>
      <c r="FA390" s="18"/>
      <c r="FE390" s="18"/>
      <c r="FI390" s="18"/>
      <c r="FM390" s="18"/>
      <c r="FQ390" s="18"/>
      <c r="FU390" s="18"/>
      <c r="FY390" s="18"/>
      <c r="GC390" s="18"/>
      <c r="GG390" s="18"/>
      <c r="GK390" s="18"/>
      <c r="GO390" s="18"/>
      <c r="GS390" s="18"/>
      <c r="GW390" s="18"/>
      <c r="HA390" s="18"/>
      <c r="HF390" s="18"/>
      <c r="HH390" s="11" t="s">
        <v>319</v>
      </c>
      <c r="HK390" s="11" t="s">
        <v>319</v>
      </c>
      <c r="HL390" s="11" t="s">
        <v>320</v>
      </c>
      <c r="HM390" s="11" t="s">
        <v>560</v>
      </c>
      <c r="HN390" s="11">
        <v>2018</v>
      </c>
      <c r="HP390" s="11" t="s">
        <v>418</v>
      </c>
      <c r="HQ390" s="11" t="s">
        <v>319</v>
      </c>
      <c r="HR390" s="11" t="s">
        <v>319</v>
      </c>
      <c r="HS390" s="11" t="s">
        <v>320</v>
      </c>
      <c r="HT390" s="11" t="s">
        <v>320</v>
      </c>
      <c r="HU390" s="11" t="s">
        <v>319</v>
      </c>
      <c r="HV390" s="11" t="s">
        <v>319</v>
      </c>
      <c r="HW390" s="11" t="s">
        <v>319</v>
      </c>
      <c r="HZ390" s="11" t="s">
        <v>363</v>
      </c>
      <c r="IB390" s="11" t="s">
        <v>333</v>
      </c>
      <c r="ID390" s="11" t="s">
        <v>334</v>
      </c>
      <c r="IE390" s="11" t="s">
        <v>335</v>
      </c>
      <c r="IF390" s="11" t="s">
        <v>320</v>
      </c>
      <c r="IG390" s="11" t="s">
        <v>320</v>
      </c>
      <c r="IH390" s="11" t="s">
        <v>320</v>
      </c>
      <c r="II390" s="11" t="s">
        <v>320</v>
      </c>
      <c r="IJ390" s="12" t="str">
        <f t="shared" si="259"/>
        <v>2. Sensitive</v>
      </c>
      <c r="IK390" s="12">
        <f t="shared" si="260"/>
        <v>4</v>
      </c>
      <c r="IL390" s="11" t="s">
        <v>336</v>
      </c>
      <c r="IM390" s="11" t="s">
        <v>320</v>
      </c>
      <c r="IN390" s="11" t="s">
        <v>320</v>
      </c>
      <c r="IO390" s="11" t="s">
        <v>320</v>
      </c>
      <c r="IP390" s="11" t="s">
        <v>320</v>
      </c>
      <c r="IQ390" s="12" t="str">
        <f t="shared" si="261"/>
        <v>2. Accommodating</v>
      </c>
      <c r="IR390" s="12">
        <f t="shared" si="262"/>
        <v>4</v>
      </c>
      <c r="IS390" s="11" t="s">
        <v>337</v>
      </c>
      <c r="IT390" s="11" t="s">
        <v>320</v>
      </c>
      <c r="IU390" s="11" t="s">
        <v>320</v>
      </c>
      <c r="IV390" s="11" t="s">
        <v>320</v>
      </c>
      <c r="IW390" s="11" t="str">
        <f t="shared" si="263"/>
        <v>2. Sensitive</v>
      </c>
      <c r="IX390" s="12">
        <f t="shared" si="264"/>
        <v>3</v>
      </c>
      <c r="IY390" s="11" t="s">
        <v>338</v>
      </c>
      <c r="IZ390" s="11" t="s">
        <v>339</v>
      </c>
      <c r="JA390" s="11">
        <v>1</v>
      </c>
      <c r="JB390" s="11" t="s">
        <v>831</v>
      </c>
      <c r="JE390" s="11" t="s">
        <v>420</v>
      </c>
      <c r="JN390" s="28" t="s">
        <v>14705</v>
      </c>
      <c r="JO390" s="11" t="s">
        <v>6604</v>
      </c>
      <c r="JP390" s="15">
        <f t="shared" si="265"/>
        <v>0</v>
      </c>
      <c r="JQ390" s="15">
        <f t="shared" si="266"/>
        <v>0</v>
      </c>
      <c r="JR390" s="279" t="str">
        <f t="shared" si="267"/>
        <v/>
      </c>
      <c r="JS390" s="17" t="str">
        <f t="shared" si="268"/>
        <v/>
      </c>
      <c r="JT390" s="18" t="str">
        <f t="shared" si="269"/>
        <v/>
      </c>
      <c r="JU390" s="280">
        <f t="shared" si="270"/>
        <v>0</v>
      </c>
      <c r="JV390" s="280">
        <f t="shared" si="271"/>
        <v>0</v>
      </c>
      <c r="JW390" s="319">
        <f t="shared" si="272"/>
        <v>1</v>
      </c>
      <c r="JX390" s="15">
        <f t="shared" si="273"/>
        <v>0</v>
      </c>
      <c r="JY390" s="15">
        <f t="shared" si="274"/>
        <v>0</v>
      </c>
      <c r="JZ390" s="19" t="str">
        <f t="shared" si="275"/>
        <v/>
      </c>
      <c r="KA390" s="52" t="str">
        <f t="shared" si="276"/>
        <v/>
      </c>
      <c r="KB390" s="15">
        <f t="shared" si="277"/>
        <v>0</v>
      </c>
      <c r="KC390" s="15">
        <f t="shared" si="278"/>
        <v>0</v>
      </c>
      <c r="KD390" s="20" t="str">
        <f t="shared" si="279"/>
        <v/>
      </c>
      <c r="KE390" s="52" t="str">
        <f t="shared" si="280"/>
        <v/>
      </c>
      <c r="KF390" s="15">
        <f t="shared" si="281"/>
        <v>0</v>
      </c>
      <c r="KG390" s="15">
        <f t="shared" si="282"/>
        <v>0</v>
      </c>
      <c r="KH390" s="21" t="str">
        <f t="shared" si="283"/>
        <v/>
      </c>
      <c r="KI390" s="52" t="str">
        <f t="shared" si="284"/>
        <v/>
      </c>
      <c r="KJ390" s="15">
        <f t="shared" si="285"/>
        <v>0</v>
      </c>
      <c r="KK390" s="15">
        <f t="shared" si="286"/>
        <v>0</v>
      </c>
      <c r="KL390" s="19" t="str">
        <f t="shared" si="287"/>
        <v/>
      </c>
      <c r="KM390" s="52" t="str">
        <f t="shared" si="288"/>
        <v/>
      </c>
      <c r="KN390" s="22">
        <f t="shared" si="289"/>
        <v>0</v>
      </c>
      <c r="KO390" s="22">
        <f t="shared" si="290"/>
        <v>0</v>
      </c>
      <c r="KP390" s="19" t="str">
        <f t="shared" si="291"/>
        <v/>
      </c>
      <c r="KQ390" s="11" t="str">
        <f t="shared" si="292"/>
        <v>2. Sensitive</v>
      </c>
      <c r="KR390" s="11" t="str">
        <f t="shared" si="293"/>
        <v>2. Accommodating</v>
      </c>
      <c r="KS390" s="11" t="str">
        <f t="shared" si="294"/>
        <v>2. Sensitive</v>
      </c>
      <c r="KT390" s="11" t="str">
        <f t="shared" si="295"/>
        <v>It did not develop any specific innovation</v>
      </c>
      <c r="KU390" s="11" t="str">
        <f t="shared" si="296"/>
        <v>Little or no advocacy</v>
      </c>
      <c r="KV390" s="11" t="str">
        <f t="shared" si="297"/>
        <v>It did not take tested solutions to scale</v>
      </c>
      <c r="KW390" s="11" t="str">
        <f t="shared" si="298"/>
        <v>Kenya - Sustaining the supply of Water, Sanitation and Hygiene (WASH)  for refugees living in Dadaab camps.</v>
      </c>
      <c r="KX390" s="11" t="str">
        <f t="shared" si="299"/>
        <v>Sustaining the supply of Water, Sanitation and Hygiene (WASH)  for refugees living in Dadaab camps.</v>
      </c>
      <c r="KY390" s="11" t="str">
        <f t="shared" si="300"/>
        <v>Kenya</v>
      </c>
      <c r="KZ390" s="12">
        <v>390</v>
      </c>
    </row>
    <row r="391" spans="1:312" x14ac:dyDescent="0.3">
      <c r="A391" s="11" t="s">
        <v>6457</v>
      </c>
      <c r="B391" s="11" t="s">
        <v>1874</v>
      </c>
      <c r="D391" s="27" t="s">
        <v>6542</v>
      </c>
      <c r="E391" s="277" t="str">
        <f t="shared" si="258"/>
        <v>Kenya</v>
      </c>
      <c r="F391" s="11" t="s">
        <v>6543</v>
      </c>
      <c r="G391" s="11" t="s">
        <v>376</v>
      </c>
      <c r="H391" s="11" t="s">
        <v>380</v>
      </c>
      <c r="I391" s="11" t="s">
        <v>381</v>
      </c>
      <c r="J391" s="278" t="s">
        <v>14706</v>
      </c>
      <c r="BD391" s="23">
        <v>42309</v>
      </c>
      <c r="BE391" s="23">
        <v>42735</v>
      </c>
      <c r="BF391" s="23">
        <v>43281</v>
      </c>
      <c r="BG391" s="11" t="s">
        <v>908</v>
      </c>
      <c r="BH391" s="22">
        <v>275881</v>
      </c>
      <c r="BI391" s="11" t="s">
        <v>6500</v>
      </c>
      <c r="BJ391" s="11" t="s">
        <v>6509</v>
      </c>
      <c r="BK391" s="11" t="s">
        <v>6502</v>
      </c>
      <c r="BO391" s="11" t="s">
        <v>320</v>
      </c>
      <c r="BP391" s="11" t="s">
        <v>319</v>
      </c>
      <c r="BQ391" s="11" t="s">
        <v>319</v>
      </c>
      <c r="BR391" s="11" t="s">
        <v>6544</v>
      </c>
      <c r="BS391" s="11" t="s">
        <v>357</v>
      </c>
      <c r="BT391" s="11" t="s">
        <v>6545</v>
      </c>
      <c r="BU391" s="11" t="s">
        <v>6546</v>
      </c>
      <c r="BV391" s="22">
        <v>80720</v>
      </c>
      <c r="BW391" s="22">
        <v>78544</v>
      </c>
      <c r="BX391" s="22">
        <v>159264</v>
      </c>
      <c r="CB391" s="32" t="s">
        <v>14707</v>
      </c>
      <c r="CL391" s="18"/>
      <c r="CN391" s="11" t="s">
        <v>320</v>
      </c>
      <c r="CO391" s="22">
        <v>159264</v>
      </c>
      <c r="CP391" s="18">
        <v>0.51</v>
      </c>
      <c r="CT391" s="18"/>
      <c r="CX391" s="18"/>
      <c r="DB391" s="18"/>
      <c r="DF391" s="18"/>
      <c r="DJ391" s="18"/>
      <c r="DL391" s="11" t="s">
        <v>320</v>
      </c>
      <c r="DN391" s="18"/>
      <c r="DR391" s="18"/>
      <c r="DV391" s="18"/>
      <c r="DZ391" s="18"/>
      <c r="ED391" s="18"/>
      <c r="EI391" s="18"/>
      <c r="ES391" s="18"/>
      <c r="EW391" s="18"/>
      <c r="FA391" s="18"/>
      <c r="FE391" s="18"/>
      <c r="FI391" s="18"/>
      <c r="FM391" s="18"/>
      <c r="FQ391" s="18"/>
      <c r="FU391" s="18"/>
      <c r="FY391" s="18"/>
      <c r="GC391" s="18"/>
      <c r="GG391" s="18"/>
      <c r="GK391" s="18"/>
      <c r="GO391" s="18"/>
      <c r="GS391" s="18"/>
      <c r="GW391" s="18"/>
      <c r="HA391" s="18"/>
      <c r="HF391" s="18"/>
      <c r="HH391" s="11" t="s">
        <v>320</v>
      </c>
      <c r="HI391" s="11" t="s">
        <v>431</v>
      </c>
      <c r="HJ391" s="11">
        <v>2017</v>
      </c>
      <c r="HK391" s="11" t="s">
        <v>319</v>
      </c>
      <c r="HL391" s="11" t="s">
        <v>319</v>
      </c>
      <c r="HP391" s="11" t="s">
        <v>418</v>
      </c>
      <c r="HQ391" s="11" t="s">
        <v>319</v>
      </c>
      <c r="HZ391" s="11" t="s">
        <v>394</v>
      </c>
      <c r="IA391" s="11" t="s">
        <v>6547</v>
      </c>
      <c r="IB391" s="11" t="s">
        <v>396</v>
      </c>
      <c r="IC391" s="11" t="s">
        <v>6548</v>
      </c>
      <c r="ID391" s="11" t="s">
        <v>334</v>
      </c>
      <c r="IE391" s="11" t="s">
        <v>335</v>
      </c>
      <c r="IF391" s="11" t="s">
        <v>320</v>
      </c>
      <c r="IG391" s="11" t="s">
        <v>320</v>
      </c>
      <c r="IH391" s="11" t="s">
        <v>320</v>
      </c>
      <c r="II391" s="11" t="s">
        <v>320</v>
      </c>
      <c r="IJ391" s="12" t="str">
        <f t="shared" si="259"/>
        <v>2. Sensitive</v>
      </c>
      <c r="IK391" s="12">
        <f t="shared" si="260"/>
        <v>4</v>
      </c>
      <c r="IL391" s="11" t="s">
        <v>336</v>
      </c>
      <c r="IM391" s="11" t="s">
        <v>320</v>
      </c>
      <c r="IN391" s="11" t="s">
        <v>320</v>
      </c>
      <c r="IO391" s="11" t="s">
        <v>320</v>
      </c>
      <c r="IP391" s="11" t="s">
        <v>320</v>
      </c>
      <c r="IQ391" s="12" t="str">
        <f t="shared" si="261"/>
        <v>2. Accommodating</v>
      </c>
      <c r="IR391" s="12">
        <f t="shared" si="262"/>
        <v>4</v>
      </c>
      <c r="IS391" s="11" t="s">
        <v>337</v>
      </c>
      <c r="IT391" s="11" t="s">
        <v>320</v>
      </c>
      <c r="IU391" s="11" t="s">
        <v>320</v>
      </c>
      <c r="IV391" s="11" t="s">
        <v>320</v>
      </c>
      <c r="IW391" s="11" t="str">
        <f t="shared" si="263"/>
        <v>2. Sensitive</v>
      </c>
      <c r="IX391" s="12">
        <f t="shared" si="264"/>
        <v>3</v>
      </c>
      <c r="IY391" s="11" t="s">
        <v>338</v>
      </c>
      <c r="IZ391" s="11" t="s">
        <v>339</v>
      </c>
      <c r="JE391" s="11" t="s">
        <v>420</v>
      </c>
      <c r="JG391" s="11" t="s">
        <v>6549</v>
      </c>
      <c r="JH391" s="11" t="s">
        <v>6511</v>
      </c>
      <c r="JK391" s="11" t="s">
        <v>6513</v>
      </c>
      <c r="JL391" s="11" t="s">
        <v>6550</v>
      </c>
      <c r="JN391" s="28" t="s">
        <v>14708</v>
      </c>
      <c r="JO391" s="11" t="s">
        <v>6551</v>
      </c>
      <c r="JP391" s="15">
        <f t="shared" si="265"/>
        <v>0</v>
      </c>
      <c r="JQ391" s="15">
        <f t="shared" si="266"/>
        <v>0</v>
      </c>
      <c r="JR391" s="279" t="str">
        <f t="shared" si="267"/>
        <v/>
      </c>
      <c r="JS391" s="17" t="str">
        <f t="shared" si="268"/>
        <v/>
      </c>
      <c r="JT391" s="18" t="str">
        <f t="shared" si="269"/>
        <v/>
      </c>
      <c r="JU391" s="280">
        <f t="shared" si="270"/>
        <v>0</v>
      </c>
      <c r="JV391" s="280">
        <f t="shared" si="271"/>
        <v>0</v>
      </c>
      <c r="JW391" s="319">
        <f t="shared" si="272"/>
        <v>1</v>
      </c>
      <c r="JX391" s="15">
        <f t="shared" si="273"/>
        <v>0</v>
      </c>
      <c r="JY391" s="15">
        <f t="shared" si="274"/>
        <v>0</v>
      </c>
      <c r="JZ391" s="19" t="str">
        <f t="shared" si="275"/>
        <v/>
      </c>
      <c r="KA391" s="52">
        <f t="shared" si="276"/>
        <v>1</v>
      </c>
      <c r="KB391" s="15">
        <f t="shared" si="277"/>
        <v>0</v>
      </c>
      <c r="KC391" s="15">
        <f t="shared" si="278"/>
        <v>0</v>
      </c>
      <c r="KD391" s="20" t="str">
        <f t="shared" si="279"/>
        <v/>
      </c>
      <c r="KE391" s="52" t="str">
        <f t="shared" si="280"/>
        <v/>
      </c>
      <c r="KF391" s="15">
        <f t="shared" si="281"/>
        <v>0</v>
      </c>
      <c r="KG391" s="15">
        <f t="shared" si="282"/>
        <v>0</v>
      </c>
      <c r="KH391" s="21" t="str">
        <f t="shared" si="283"/>
        <v/>
      </c>
      <c r="KI391" s="52" t="str">
        <f t="shared" si="284"/>
        <v/>
      </c>
      <c r="KJ391" s="15">
        <f t="shared" si="285"/>
        <v>0</v>
      </c>
      <c r="KK391" s="15">
        <f t="shared" si="286"/>
        <v>0</v>
      </c>
      <c r="KL391" s="19" t="str">
        <f t="shared" si="287"/>
        <v/>
      </c>
      <c r="KM391" s="52" t="str">
        <f t="shared" si="288"/>
        <v/>
      </c>
      <c r="KN391" s="22">
        <f t="shared" si="289"/>
        <v>0</v>
      </c>
      <c r="KO391" s="22">
        <f t="shared" si="290"/>
        <v>0</v>
      </c>
      <c r="KP391" s="19" t="str">
        <f t="shared" si="291"/>
        <v/>
      </c>
      <c r="KQ391" s="11" t="str">
        <f t="shared" si="292"/>
        <v>2. Sensitive</v>
      </c>
      <c r="KR391" s="11" t="str">
        <f t="shared" si="293"/>
        <v>2. Accommodating</v>
      </c>
      <c r="KS391" s="11" t="str">
        <f t="shared" si="294"/>
        <v>2. Sensitive</v>
      </c>
      <c r="KT391" s="11" t="str">
        <f t="shared" si="295"/>
        <v>It tested new ways for fighting poverty, but did not measure results of innovation</v>
      </c>
      <c r="KU391" s="11" t="str">
        <f t="shared" si="296"/>
        <v>Little or no advocacy</v>
      </c>
      <c r="KV391" s="11" t="str">
        <f t="shared" si="297"/>
        <v>It linked and worked with strategic alliances and partners to take tested and effective solutions to scale</v>
      </c>
      <c r="KW391" s="11" t="str">
        <f t="shared" si="298"/>
        <v>Kenya - Trader Mapping and Market Monitoring in Dadaab refugee camps</v>
      </c>
      <c r="KX391" s="11" t="str">
        <f t="shared" si="299"/>
        <v>Trader Mapping and Market Monitoring in Dadaab refugee camps</v>
      </c>
      <c r="KY391" s="11" t="str">
        <f t="shared" si="300"/>
        <v>Kenya</v>
      </c>
      <c r="KZ391" s="12">
        <v>391</v>
      </c>
    </row>
    <row r="392" spans="1:312" x14ac:dyDescent="0.3">
      <c r="A392" s="12" t="s">
        <v>6457</v>
      </c>
      <c r="B392" s="12" t="s">
        <v>1874</v>
      </c>
      <c r="C392" s="12"/>
      <c r="D392" s="12" t="s">
        <v>6787</v>
      </c>
      <c r="E392" s="277" t="str">
        <f t="shared" si="258"/>
        <v>Kenya</v>
      </c>
      <c r="F392" s="12" t="s">
        <v>6788</v>
      </c>
      <c r="G392" s="12" t="s">
        <v>488</v>
      </c>
      <c r="H392" s="12" t="s">
        <v>384</v>
      </c>
      <c r="I392" s="12" t="s">
        <v>384</v>
      </c>
      <c r="J392" s="281"/>
      <c r="K392" s="12"/>
      <c r="L392" s="12"/>
      <c r="M392" s="12"/>
      <c r="N392" s="12"/>
      <c r="O392" s="12"/>
      <c r="P392" s="12"/>
      <c r="Q392" s="12"/>
      <c r="R392" s="12"/>
      <c r="S392" s="12"/>
      <c r="T392" s="12"/>
      <c r="U392" s="12"/>
      <c r="V392" s="12"/>
      <c r="W392" s="12"/>
      <c r="X392" s="12"/>
      <c r="Y392" s="12"/>
      <c r="Z392" s="12"/>
      <c r="AA392" s="12"/>
      <c r="AB392" s="12"/>
      <c r="AC392" s="12"/>
      <c r="AD392" s="12"/>
      <c r="AE392" s="39"/>
      <c r="BD392" s="13">
        <v>42248</v>
      </c>
      <c r="BE392" s="13">
        <v>42853</v>
      </c>
      <c r="BF392" s="13">
        <v>43008</v>
      </c>
      <c r="BG392" s="12" t="s">
        <v>312</v>
      </c>
      <c r="BH392" s="14">
        <v>22427</v>
      </c>
      <c r="BI392" s="12" t="s">
        <v>6460</v>
      </c>
      <c r="BJ392" s="12" t="s">
        <v>6789</v>
      </c>
      <c r="BK392" s="12" t="s">
        <v>6462</v>
      </c>
      <c r="BL392" s="12"/>
      <c r="BM392" s="12"/>
      <c r="BN392" s="12"/>
      <c r="BO392" s="12" t="s">
        <v>320</v>
      </c>
      <c r="BP392" s="12" t="s">
        <v>320</v>
      </c>
      <c r="BQ392" s="12" t="s">
        <v>320</v>
      </c>
      <c r="BR392" s="12" t="s">
        <v>6790</v>
      </c>
      <c r="BS392" s="12" t="s">
        <v>1535</v>
      </c>
      <c r="BT392" s="12" t="s">
        <v>6791</v>
      </c>
      <c r="BU392" s="12" t="s">
        <v>6792</v>
      </c>
      <c r="BV392" s="14">
        <v>3000</v>
      </c>
      <c r="BW392" s="14">
        <v>200</v>
      </c>
      <c r="BX392" s="14"/>
      <c r="BY392" s="14">
        <v>18000</v>
      </c>
      <c r="BZ392" s="14">
        <v>1200</v>
      </c>
      <c r="CA392" s="14">
        <v>19200</v>
      </c>
      <c r="CB392" s="12" t="s">
        <v>6793</v>
      </c>
      <c r="CC392" s="39"/>
      <c r="CD392" s="14"/>
      <c r="CE392" s="14"/>
      <c r="CF392" s="14"/>
      <c r="CG392" s="14"/>
      <c r="CH392" s="14"/>
      <c r="CI392" s="14"/>
      <c r="CJ392" s="12"/>
      <c r="CK392" s="14"/>
      <c r="CL392" s="16"/>
      <c r="CM392" s="14"/>
      <c r="CN392" s="12"/>
      <c r="CO392" s="14"/>
      <c r="CP392" s="16"/>
      <c r="CQ392" s="14"/>
      <c r="CR392" s="12"/>
      <c r="CS392" s="14"/>
      <c r="CT392" s="16"/>
      <c r="CU392" s="14"/>
      <c r="CV392" s="12"/>
      <c r="CW392" s="14"/>
      <c r="CX392" s="16"/>
      <c r="CY392" s="14"/>
      <c r="CZ392" s="12"/>
      <c r="DA392" s="14"/>
      <c r="DB392" s="16"/>
      <c r="DC392" s="14"/>
      <c r="DD392" s="12"/>
      <c r="DE392" s="14"/>
      <c r="DF392" s="16"/>
      <c r="DG392" s="14"/>
      <c r="DH392" s="12"/>
      <c r="DI392" s="14"/>
      <c r="DJ392" s="16"/>
      <c r="DK392" s="14"/>
      <c r="DL392" s="12"/>
      <c r="DM392" s="14"/>
      <c r="DN392" s="16"/>
      <c r="DO392" s="14"/>
      <c r="DP392" s="12"/>
      <c r="DQ392" s="14"/>
      <c r="DR392" s="16"/>
      <c r="DS392" s="14"/>
      <c r="DT392" s="12"/>
      <c r="DU392" s="14"/>
      <c r="DV392" s="16"/>
      <c r="DW392" s="14"/>
      <c r="DX392" s="12"/>
      <c r="DY392" s="14"/>
      <c r="DZ392" s="16"/>
      <c r="EA392" s="14"/>
      <c r="EB392" s="12"/>
      <c r="EC392" s="14"/>
      <c r="ED392" s="16"/>
      <c r="EE392" s="14"/>
      <c r="EF392" s="12"/>
      <c r="EG392" s="12"/>
      <c r="EH392" s="14"/>
      <c r="EI392" s="16"/>
      <c r="EJ392" s="14"/>
      <c r="EK392" s="14"/>
      <c r="EL392" s="14"/>
      <c r="EM392" s="14"/>
      <c r="EN392" s="14"/>
      <c r="EO392" s="14"/>
      <c r="EP392" s="14"/>
      <c r="EQ392" s="12"/>
      <c r="ER392" s="14"/>
      <c r="ES392" s="16"/>
      <c r="ET392" s="14"/>
      <c r="EU392" s="12"/>
      <c r="EV392" s="14"/>
      <c r="EW392" s="16"/>
      <c r="EX392" s="14"/>
      <c r="EY392" s="12"/>
      <c r="EZ392" s="14"/>
      <c r="FA392" s="16"/>
      <c r="FB392" s="14"/>
      <c r="FC392" s="12"/>
      <c r="FD392" s="14"/>
      <c r="FE392" s="16"/>
      <c r="FF392" s="14"/>
      <c r="FG392" s="12" t="s">
        <v>320</v>
      </c>
      <c r="FH392" s="14">
        <v>3000</v>
      </c>
      <c r="FI392" s="16">
        <v>0.9</v>
      </c>
      <c r="FJ392" s="14">
        <v>15000</v>
      </c>
      <c r="FK392" s="12"/>
      <c r="FL392" s="14"/>
      <c r="FM392" s="16"/>
      <c r="FN392" s="14"/>
      <c r="FO392" s="12"/>
      <c r="FP392" s="14"/>
      <c r="FQ392" s="16"/>
      <c r="FR392" s="14"/>
      <c r="FS392" s="12"/>
      <c r="FT392" s="14"/>
      <c r="FU392" s="16"/>
      <c r="FV392" s="14"/>
      <c r="FW392" s="12"/>
      <c r="FX392" s="14"/>
      <c r="FY392" s="16"/>
      <c r="FZ392" s="14"/>
      <c r="GA392" s="12"/>
      <c r="GB392" s="14"/>
      <c r="GC392" s="16"/>
      <c r="GD392" s="14"/>
      <c r="GE392" s="12"/>
      <c r="GF392" s="14"/>
      <c r="GG392" s="16"/>
      <c r="GH392" s="14"/>
      <c r="GI392" s="12"/>
      <c r="GJ392" s="14"/>
      <c r="GK392" s="16"/>
      <c r="GL392" s="14"/>
      <c r="GM392" s="12"/>
      <c r="GN392" s="14"/>
      <c r="GO392" s="16"/>
      <c r="GP392" s="14"/>
      <c r="GQ392" s="12"/>
      <c r="GR392" s="14"/>
      <c r="GS392" s="16"/>
      <c r="GT392" s="14"/>
      <c r="GU392" s="12"/>
      <c r="GV392" s="14"/>
      <c r="GW392" s="16"/>
      <c r="GX392" s="14"/>
      <c r="GY392" s="11" t="s">
        <v>320</v>
      </c>
      <c r="GZ392" s="14">
        <v>3000</v>
      </c>
      <c r="HA392" s="16">
        <v>0.9</v>
      </c>
      <c r="HB392" s="14">
        <v>200</v>
      </c>
      <c r="HC392" s="39"/>
      <c r="HD392" s="12" t="s">
        <v>320</v>
      </c>
      <c r="HE392" s="14"/>
      <c r="HF392" s="16"/>
      <c r="HG392" s="14"/>
      <c r="HH392" s="12" t="s">
        <v>319</v>
      </c>
      <c r="HI392" s="12"/>
      <c r="HJ392" s="12"/>
      <c r="HK392" s="12"/>
      <c r="HL392" s="12"/>
      <c r="HM392" s="12"/>
      <c r="HN392" s="12"/>
      <c r="HO392" s="12"/>
      <c r="HP392" s="12" t="s">
        <v>418</v>
      </c>
      <c r="HQ392" s="12"/>
      <c r="HR392" s="12"/>
      <c r="HS392" s="12"/>
      <c r="HT392" s="12" t="s">
        <v>319</v>
      </c>
      <c r="HU392" s="12"/>
      <c r="HV392" s="12"/>
      <c r="HW392" s="12"/>
      <c r="HX392" s="12"/>
      <c r="HZ392" s="12" t="s">
        <v>394</v>
      </c>
      <c r="IA392" s="12"/>
      <c r="IB392" s="12" t="s">
        <v>396</v>
      </c>
      <c r="IC392" s="12"/>
      <c r="ID392" s="12" t="s">
        <v>364</v>
      </c>
      <c r="IE392" s="12" t="s">
        <v>335</v>
      </c>
      <c r="IF392" s="12" t="s">
        <v>320</v>
      </c>
      <c r="IG392" s="12" t="s">
        <v>320</v>
      </c>
      <c r="IH392" s="12" t="s">
        <v>320</v>
      </c>
      <c r="II392" s="12" t="s">
        <v>320</v>
      </c>
      <c r="IJ392" s="12" t="str">
        <f t="shared" si="259"/>
        <v>2. Sensitive</v>
      </c>
      <c r="IK392" s="12">
        <f t="shared" si="260"/>
        <v>4</v>
      </c>
      <c r="IL392" s="12" t="s">
        <v>336</v>
      </c>
      <c r="IM392" s="12" t="s">
        <v>320</v>
      </c>
      <c r="IN392" s="12" t="s">
        <v>320</v>
      </c>
      <c r="IO392" s="12" t="s">
        <v>320</v>
      </c>
      <c r="IP392" s="12" t="s">
        <v>320</v>
      </c>
      <c r="IQ392" s="12" t="str">
        <f t="shared" si="261"/>
        <v>2. Accommodating</v>
      </c>
      <c r="IR392" s="12">
        <f t="shared" si="262"/>
        <v>4</v>
      </c>
      <c r="IS392" s="12"/>
      <c r="IT392" s="12"/>
      <c r="IU392" s="12"/>
      <c r="IV392" s="12"/>
      <c r="IW392" s="11" t="str">
        <f t="shared" si="263"/>
        <v>No marker score</v>
      </c>
      <c r="IX392" s="12">
        <f t="shared" si="264"/>
        <v>0</v>
      </c>
      <c r="IY392" s="12"/>
      <c r="IZ392" s="12"/>
      <c r="JA392" s="12"/>
      <c r="JB392" s="12"/>
      <c r="JC392" s="12"/>
      <c r="JD392" s="12"/>
      <c r="JE392" s="12"/>
      <c r="JF392" s="12"/>
      <c r="JG392" s="12"/>
      <c r="JH392" s="12" t="s">
        <v>6794</v>
      </c>
      <c r="JI392" s="12" t="s">
        <v>6795</v>
      </c>
      <c r="JJ392" s="12" t="s">
        <v>6796</v>
      </c>
      <c r="JK392" s="12" t="s">
        <v>6797</v>
      </c>
      <c r="JL392" s="12" t="s">
        <v>6798</v>
      </c>
      <c r="JM392" s="12" t="s">
        <v>6799</v>
      </c>
      <c r="JN392" s="12"/>
      <c r="JO392" s="12"/>
      <c r="JP392" s="15">
        <f t="shared" si="265"/>
        <v>0</v>
      </c>
      <c r="JQ392" s="15">
        <f t="shared" si="266"/>
        <v>0</v>
      </c>
      <c r="JR392" s="279" t="str">
        <f t="shared" si="267"/>
        <v/>
      </c>
      <c r="JS392" s="17" t="str">
        <f t="shared" si="268"/>
        <v/>
      </c>
      <c r="JT392" s="18" t="str">
        <f t="shared" si="269"/>
        <v/>
      </c>
      <c r="JU392" s="280">
        <f t="shared" si="270"/>
        <v>0</v>
      </c>
      <c r="JV392" s="280">
        <f t="shared" si="271"/>
        <v>0</v>
      </c>
      <c r="JW392" s="319">
        <f t="shared" si="272"/>
        <v>1</v>
      </c>
      <c r="JX392" s="15">
        <f t="shared" si="273"/>
        <v>0</v>
      </c>
      <c r="JY392" s="15">
        <f t="shared" si="274"/>
        <v>0</v>
      </c>
      <c r="JZ392" s="19" t="str">
        <f t="shared" si="275"/>
        <v/>
      </c>
      <c r="KA392" s="52">
        <f t="shared" si="276"/>
        <v>1</v>
      </c>
      <c r="KB392" s="15">
        <f t="shared" si="277"/>
        <v>3000</v>
      </c>
      <c r="KC392" s="15">
        <f t="shared" si="278"/>
        <v>15000</v>
      </c>
      <c r="KD392" s="20">
        <f t="shared" si="279"/>
        <v>5</v>
      </c>
      <c r="KE392" s="52" t="str">
        <f t="shared" si="280"/>
        <v/>
      </c>
      <c r="KF392" s="15">
        <f t="shared" si="281"/>
        <v>0</v>
      </c>
      <c r="KG392" s="15">
        <f t="shared" si="282"/>
        <v>0</v>
      </c>
      <c r="KH392" s="21" t="str">
        <f t="shared" si="283"/>
        <v/>
      </c>
      <c r="KI392" s="52" t="str">
        <f t="shared" si="284"/>
        <v/>
      </c>
      <c r="KJ392" s="15">
        <f t="shared" si="285"/>
        <v>0</v>
      </c>
      <c r="KK392" s="15">
        <f t="shared" si="286"/>
        <v>0</v>
      </c>
      <c r="KL392" s="19" t="str">
        <f t="shared" si="287"/>
        <v/>
      </c>
      <c r="KM392" s="52">
        <f t="shared" si="288"/>
        <v>1</v>
      </c>
      <c r="KN392" s="22">
        <f t="shared" si="289"/>
        <v>3000</v>
      </c>
      <c r="KO392" s="22">
        <f t="shared" si="290"/>
        <v>13500</v>
      </c>
      <c r="KP392" s="19">
        <f t="shared" si="291"/>
        <v>4.5</v>
      </c>
      <c r="KQ392" s="11" t="str">
        <f t="shared" si="292"/>
        <v>2. Sensitive</v>
      </c>
      <c r="KR392" s="11" t="str">
        <f t="shared" si="293"/>
        <v>2. Accommodating</v>
      </c>
      <c r="KS392" s="11" t="str">
        <f t="shared" si="294"/>
        <v>No marker score</v>
      </c>
      <c r="KT392" s="11" t="str">
        <f t="shared" si="295"/>
        <v>It tested new ways for fighting poverty, but did not measure results of innovation</v>
      </c>
      <c r="KU392" s="11" t="str">
        <f t="shared" si="296"/>
        <v>Little or no advocacy</v>
      </c>
      <c r="KV392" s="11" t="str">
        <f t="shared" si="297"/>
        <v>It linked and worked with strategic alliances and partners to take tested and effective solutions to scale</v>
      </c>
      <c r="KW392" s="11" t="str">
        <f t="shared" si="298"/>
        <v>Kenya - VISA  PROJECT</v>
      </c>
      <c r="KX392" s="11" t="str">
        <f t="shared" si="299"/>
        <v>VISA  PROJECT</v>
      </c>
      <c r="KY392" s="11" t="str">
        <f t="shared" si="300"/>
        <v>Kenya</v>
      </c>
      <c r="KZ392" s="12">
        <v>392</v>
      </c>
    </row>
    <row r="393" spans="1:312" x14ac:dyDescent="0.3">
      <c r="A393" s="12" t="s">
        <v>6457</v>
      </c>
      <c r="B393" s="12" t="s">
        <v>1874</v>
      </c>
      <c r="C393" s="12"/>
      <c r="D393" s="12" t="s">
        <v>6672</v>
      </c>
      <c r="E393" s="24" t="str">
        <f t="shared" si="258"/>
        <v>Kenya</v>
      </c>
      <c r="F393" s="12" t="s">
        <v>14709</v>
      </c>
      <c r="G393" s="12" t="s">
        <v>488</v>
      </c>
      <c r="H393" s="12" t="s">
        <v>310</v>
      </c>
      <c r="I393" s="12" t="s">
        <v>506</v>
      </c>
      <c r="J393" s="281" t="s">
        <v>9230</v>
      </c>
      <c r="K393" s="12"/>
      <c r="L393" s="12"/>
      <c r="M393" s="12"/>
      <c r="N393" s="12"/>
      <c r="O393" s="12"/>
      <c r="P393" s="12"/>
      <c r="Q393" s="12"/>
      <c r="R393" s="12"/>
      <c r="S393" s="12"/>
      <c r="T393" s="12"/>
      <c r="U393" s="12"/>
      <c r="V393" s="12"/>
      <c r="W393" s="12"/>
      <c r="X393" s="12"/>
      <c r="Y393" s="12"/>
      <c r="Z393" s="12"/>
      <c r="AA393" s="12"/>
      <c r="AB393" s="12"/>
      <c r="AC393" s="12"/>
      <c r="AD393" s="12"/>
      <c r="AE393" s="39"/>
      <c r="BD393" s="13">
        <v>42370</v>
      </c>
      <c r="BE393" s="13">
        <v>42735</v>
      </c>
      <c r="BF393" s="12"/>
      <c r="BG393" s="12" t="s">
        <v>749</v>
      </c>
      <c r="BH393" s="14">
        <v>360161</v>
      </c>
      <c r="BI393" s="12" t="s">
        <v>6554</v>
      </c>
      <c r="BJ393" s="12" t="s">
        <v>6555</v>
      </c>
      <c r="BK393" s="12" t="s">
        <v>6556</v>
      </c>
      <c r="BL393" s="12" t="s">
        <v>6673</v>
      </c>
      <c r="BM393" s="12" t="s">
        <v>6674</v>
      </c>
      <c r="BN393" s="12" t="s">
        <v>6675</v>
      </c>
      <c r="BO393" s="11" t="s">
        <v>319</v>
      </c>
      <c r="BP393" s="11" t="s">
        <v>320</v>
      </c>
      <c r="BQ393" s="11" t="s">
        <v>319</v>
      </c>
      <c r="BR393" s="12" t="s">
        <v>6676</v>
      </c>
      <c r="BS393" s="12" t="s">
        <v>357</v>
      </c>
      <c r="BT393" s="12" t="s">
        <v>6677</v>
      </c>
      <c r="BU393" s="12" t="s">
        <v>6678</v>
      </c>
      <c r="BV393" s="14">
        <v>174000</v>
      </c>
      <c r="BW393" s="14">
        <v>126000</v>
      </c>
      <c r="BX393" s="14">
        <v>300000</v>
      </c>
      <c r="BY393" s="14"/>
      <c r="BZ393" s="14"/>
      <c r="CA393" s="14"/>
      <c r="CB393" s="12"/>
      <c r="CC393" s="39"/>
      <c r="CD393" s="14"/>
      <c r="CE393" s="14"/>
      <c r="CF393" s="14"/>
      <c r="CG393" s="14"/>
      <c r="CH393" s="14"/>
      <c r="CI393" s="14"/>
      <c r="CJ393" s="12"/>
      <c r="CK393" s="14"/>
      <c r="CL393" s="16"/>
      <c r="CM393" s="14"/>
      <c r="CN393" s="12"/>
      <c r="CO393" s="14"/>
      <c r="CP393" s="16"/>
      <c r="CQ393" s="14"/>
      <c r="CR393" s="12"/>
      <c r="CS393" s="14"/>
      <c r="CT393" s="16"/>
      <c r="CU393" s="14"/>
      <c r="CV393" s="12"/>
      <c r="CW393" s="14"/>
      <c r="CX393" s="16"/>
      <c r="CY393" s="14"/>
      <c r="CZ393" s="12"/>
      <c r="DA393" s="14"/>
      <c r="DB393" s="16"/>
      <c r="DC393" s="14"/>
      <c r="DD393" s="12"/>
      <c r="DE393" s="14"/>
      <c r="DF393" s="16"/>
      <c r="DG393" s="14"/>
      <c r="DH393" s="12"/>
      <c r="DI393" s="14"/>
      <c r="DJ393" s="16"/>
      <c r="DK393" s="14"/>
      <c r="DL393" s="12"/>
      <c r="DM393" s="14"/>
      <c r="DN393" s="16"/>
      <c r="DO393" s="14"/>
      <c r="DP393" s="12"/>
      <c r="DQ393" s="14"/>
      <c r="DR393" s="16"/>
      <c r="DS393" s="14"/>
      <c r="DT393" s="12"/>
      <c r="DU393" s="14"/>
      <c r="DV393" s="16"/>
      <c r="DW393" s="14"/>
      <c r="DX393" s="12"/>
      <c r="DY393" s="14"/>
      <c r="DZ393" s="16"/>
      <c r="EA393" s="14"/>
      <c r="EB393" s="12"/>
      <c r="EC393" s="14"/>
      <c r="ED393" s="16"/>
      <c r="EE393" s="14"/>
      <c r="EF393" s="12"/>
      <c r="EG393" s="12"/>
      <c r="EH393" s="14"/>
      <c r="EI393" s="16"/>
      <c r="EJ393" s="14"/>
      <c r="EK393" s="14">
        <v>174000</v>
      </c>
      <c r="EL393" s="14">
        <v>126000</v>
      </c>
      <c r="EM393" s="14">
        <v>300000</v>
      </c>
      <c r="EN393" s="14"/>
      <c r="EO393" s="14"/>
      <c r="EP393" s="14"/>
      <c r="EQ393" s="12"/>
      <c r="ER393" s="14"/>
      <c r="ES393" s="16"/>
      <c r="ET393" s="14"/>
      <c r="EU393" s="11" t="s">
        <v>320</v>
      </c>
      <c r="EV393" s="14">
        <v>300000</v>
      </c>
      <c r="EW393" s="16">
        <v>0.57999999999999996</v>
      </c>
      <c r="EX393" s="14"/>
      <c r="EY393" s="12"/>
      <c r="EZ393" s="14"/>
      <c r="FA393" s="16"/>
      <c r="FB393" s="14"/>
      <c r="FC393" s="12"/>
      <c r="FD393" s="14"/>
      <c r="FE393" s="16"/>
      <c r="FF393" s="14"/>
      <c r="FG393" s="12"/>
      <c r="FH393" s="14"/>
      <c r="FI393" s="16"/>
      <c r="FJ393" s="14"/>
      <c r="FK393" s="12"/>
      <c r="FL393" s="14"/>
      <c r="FM393" s="16"/>
      <c r="FN393" s="14"/>
      <c r="FO393" s="12"/>
      <c r="FP393" s="14"/>
      <c r="FQ393" s="16"/>
      <c r="FR393" s="14"/>
      <c r="FS393" s="12"/>
      <c r="FT393" s="14"/>
      <c r="FU393" s="16"/>
      <c r="FV393" s="14"/>
      <c r="FW393" s="12"/>
      <c r="FX393" s="14"/>
      <c r="FY393" s="16"/>
      <c r="FZ393" s="14"/>
      <c r="GA393" s="12"/>
      <c r="GB393" s="14"/>
      <c r="GC393" s="16"/>
      <c r="GD393" s="14"/>
      <c r="GE393" s="12"/>
      <c r="GF393" s="14"/>
      <c r="GG393" s="16"/>
      <c r="GH393" s="14"/>
      <c r="GI393" s="12"/>
      <c r="GJ393" s="14"/>
      <c r="GK393" s="16"/>
      <c r="GL393" s="14"/>
      <c r="GM393" s="12"/>
      <c r="GN393" s="14"/>
      <c r="GO393" s="16"/>
      <c r="GP393" s="14"/>
      <c r="GQ393" s="12"/>
      <c r="GR393" s="14"/>
      <c r="GS393" s="16"/>
      <c r="GT393" s="14"/>
      <c r="GU393" s="12"/>
      <c r="GV393" s="14"/>
      <c r="GW393" s="16"/>
      <c r="GX393" s="14"/>
      <c r="GY393" s="12"/>
      <c r="GZ393" s="14"/>
      <c r="HA393" s="16"/>
      <c r="HB393" s="14"/>
      <c r="HC393" s="39"/>
      <c r="HD393" s="12"/>
      <c r="HE393" s="14"/>
      <c r="HF393" s="16"/>
      <c r="HG393" s="14"/>
      <c r="HH393" s="12" t="s">
        <v>320</v>
      </c>
      <c r="HI393" s="12" t="s">
        <v>560</v>
      </c>
      <c r="HJ393" s="12">
        <v>2016</v>
      </c>
      <c r="HK393" s="12" t="s">
        <v>320</v>
      </c>
      <c r="HL393" s="12"/>
      <c r="HM393" s="12"/>
      <c r="HN393" s="12"/>
      <c r="HO393" s="12"/>
      <c r="HP393" s="12" t="s">
        <v>330</v>
      </c>
      <c r="HQ393" s="12" t="s">
        <v>319</v>
      </c>
      <c r="HR393" s="12"/>
      <c r="HS393" s="12" t="s">
        <v>320</v>
      </c>
      <c r="HT393" s="12" t="s">
        <v>319</v>
      </c>
      <c r="HU393" s="12" t="s">
        <v>320</v>
      </c>
      <c r="HV393" s="12"/>
      <c r="HW393" s="12" t="s">
        <v>319</v>
      </c>
      <c r="HX393" s="12"/>
      <c r="HZ393" s="12" t="s">
        <v>394</v>
      </c>
      <c r="IA393" s="12"/>
      <c r="IB393" s="12" t="s">
        <v>396</v>
      </c>
      <c r="IC393" s="12"/>
      <c r="ID393" s="12" t="s">
        <v>364</v>
      </c>
      <c r="IE393" s="12" t="s">
        <v>1909</v>
      </c>
      <c r="IF393" s="12"/>
      <c r="IG393" s="12"/>
      <c r="IH393" s="12"/>
      <c r="II393" s="12"/>
      <c r="IJ393" s="12" t="str">
        <f t="shared" si="259"/>
        <v>0. Harmful</v>
      </c>
      <c r="IK393" s="12">
        <f t="shared" si="260"/>
        <v>0</v>
      </c>
      <c r="IL393" s="12"/>
      <c r="IM393" s="12"/>
      <c r="IN393" s="12"/>
      <c r="IO393" s="12"/>
      <c r="IP393" s="12"/>
      <c r="IQ393" s="12" t="str">
        <f t="shared" si="261"/>
        <v>No marker score</v>
      </c>
      <c r="IR393" s="12">
        <f t="shared" si="262"/>
        <v>0</v>
      </c>
      <c r="IS393" s="12"/>
      <c r="IT393" s="12"/>
      <c r="IU393" s="12"/>
      <c r="IV393" s="12"/>
      <c r="IW393" s="11" t="str">
        <f t="shared" si="263"/>
        <v>No marker score</v>
      </c>
      <c r="IX393" s="12">
        <f t="shared" si="264"/>
        <v>0</v>
      </c>
      <c r="IY393" s="12"/>
      <c r="IZ393" s="12"/>
      <c r="JA393" s="12"/>
      <c r="JB393" s="12"/>
      <c r="JC393" s="12"/>
      <c r="JD393" s="12"/>
      <c r="JE393" s="12"/>
      <c r="JF393" s="12"/>
      <c r="JG393" s="12"/>
      <c r="JH393" s="12"/>
      <c r="JI393" s="12"/>
      <c r="JJ393" s="12"/>
      <c r="JK393" s="12"/>
      <c r="JL393" s="12"/>
      <c r="JM393" s="12"/>
      <c r="JN393" s="12"/>
      <c r="JO393" s="12"/>
      <c r="JP393" s="15">
        <f t="shared" si="265"/>
        <v>300000</v>
      </c>
      <c r="JQ393" s="15">
        <f t="shared" si="266"/>
        <v>0</v>
      </c>
      <c r="JR393" s="279">
        <f t="shared" si="267"/>
        <v>0</v>
      </c>
      <c r="JS393" s="17">
        <f t="shared" si="268"/>
        <v>0.57999999999999996</v>
      </c>
      <c r="JT393" s="18" t="str">
        <f t="shared" si="269"/>
        <v/>
      </c>
      <c r="JU393" s="280">
        <f t="shared" si="270"/>
        <v>174000</v>
      </c>
      <c r="JV393" s="280">
        <f t="shared" si="271"/>
        <v>0</v>
      </c>
      <c r="JW393" s="319" t="str">
        <f t="shared" si="272"/>
        <v/>
      </c>
      <c r="JX393" s="15">
        <f t="shared" si="273"/>
        <v>0</v>
      </c>
      <c r="JY393" s="15">
        <f t="shared" si="274"/>
        <v>0</v>
      </c>
      <c r="JZ393" s="19" t="str">
        <f t="shared" si="275"/>
        <v/>
      </c>
      <c r="KA393" s="52">
        <f t="shared" si="276"/>
        <v>1</v>
      </c>
      <c r="KB393" s="15">
        <f t="shared" si="277"/>
        <v>300000</v>
      </c>
      <c r="KC393" s="15">
        <f t="shared" si="278"/>
        <v>0</v>
      </c>
      <c r="KD393" s="20">
        <f t="shared" si="279"/>
        <v>0</v>
      </c>
      <c r="KE393" s="52" t="str">
        <f t="shared" si="280"/>
        <v/>
      </c>
      <c r="KF393" s="15">
        <f t="shared" si="281"/>
        <v>0</v>
      </c>
      <c r="KG393" s="15">
        <f t="shared" si="282"/>
        <v>0</v>
      </c>
      <c r="KH393" s="21" t="str">
        <f t="shared" si="283"/>
        <v/>
      </c>
      <c r="KI393" s="52" t="str">
        <f t="shared" si="284"/>
        <v/>
      </c>
      <c r="KJ393" s="15">
        <f t="shared" si="285"/>
        <v>0</v>
      </c>
      <c r="KK393" s="15">
        <f t="shared" si="286"/>
        <v>0</v>
      </c>
      <c r="KL393" s="19" t="str">
        <f t="shared" si="287"/>
        <v/>
      </c>
      <c r="KM393" s="52" t="str">
        <f t="shared" si="288"/>
        <v/>
      </c>
      <c r="KN393" s="22">
        <f t="shared" si="289"/>
        <v>0</v>
      </c>
      <c r="KO393" s="22">
        <f t="shared" si="290"/>
        <v>0</v>
      </c>
      <c r="KP393" s="19" t="str">
        <f t="shared" si="291"/>
        <v/>
      </c>
      <c r="KQ393" s="11" t="str">
        <f t="shared" si="292"/>
        <v>0. Harmful</v>
      </c>
      <c r="KR393" s="11" t="str">
        <f t="shared" si="293"/>
        <v>No marker score</v>
      </c>
      <c r="KS393" s="11" t="str">
        <f t="shared" si="294"/>
        <v>No marker score</v>
      </c>
      <c r="KT393" s="11" t="str">
        <f t="shared" si="295"/>
        <v>It tested new ways for fighting poverty, but did not measure results of innovation</v>
      </c>
      <c r="KU393" s="11" t="str">
        <f t="shared" si="296"/>
        <v>Moderate advocacy</v>
      </c>
      <c r="KV393" s="11" t="str">
        <f t="shared" si="297"/>
        <v>It linked and worked with strategic alliances and partners to take tested and effective solutions to scale</v>
      </c>
      <c r="KW393" s="11" t="str">
        <f t="shared" si="298"/>
        <v>Kenya - Weather Information Services (WISER)-Decentralised Climate Information Services for Decision Making in Western Kenya</v>
      </c>
      <c r="KX393" s="11" t="str">
        <f t="shared" si="299"/>
        <v>Weather Information Services (WISER)-Decentralised Climate Information Services for Decision Making in Western Kenya</v>
      </c>
      <c r="KY393" s="11" t="str">
        <f t="shared" si="300"/>
        <v>Kenya</v>
      </c>
      <c r="KZ393" s="287">
        <v>393</v>
      </c>
    </row>
    <row r="394" spans="1:312" x14ac:dyDescent="0.3">
      <c r="A394" s="12" t="s">
        <v>6457</v>
      </c>
      <c r="B394" s="12" t="s">
        <v>1874</v>
      </c>
      <c r="C394" s="12"/>
      <c r="D394" s="12" t="s">
        <v>6679</v>
      </c>
      <c r="E394" s="24" t="str">
        <f t="shared" si="258"/>
        <v>Kenya</v>
      </c>
      <c r="F394" s="12" t="s">
        <v>6680</v>
      </c>
      <c r="G394" s="12" t="s">
        <v>488</v>
      </c>
      <c r="H394" s="12" t="s">
        <v>310</v>
      </c>
      <c r="I394" s="12" t="s">
        <v>506</v>
      </c>
      <c r="J394" s="281" t="s">
        <v>9230</v>
      </c>
      <c r="K394" s="12"/>
      <c r="L394" s="12"/>
      <c r="M394" s="12"/>
      <c r="N394" s="12"/>
      <c r="O394" s="12"/>
      <c r="P394" s="12"/>
      <c r="Q394" s="12"/>
      <c r="R394" s="12"/>
      <c r="S394" s="12"/>
      <c r="T394" s="12"/>
      <c r="U394" s="12"/>
      <c r="V394" s="12"/>
      <c r="W394" s="12"/>
      <c r="X394" s="12"/>
      <c r="Y394" s="12"/>
      <c r="Z394" s="12"/>
      <c r="AA394" s="12"/>
      <c r="AB394" s="12"/>
      <c r="AC394" s="12"/>
      <c r="AD394" s="12"/>
      <c r="AE394" s="39"/>
      <c r="BD394" s="13">
        <v>41944</v>
      </c>
      <c r="BE394" s="13">
        <v>43039</v>
      </c>
      <c r="BF394" s="12"/>
      <c r="BG394" s="12" t="s">
        <v>1757</v>
      </c>
      <c r="BH394" s="14">
        <v>32526</v>
      </c>
      <c r="BI394" s="12" t="s">
        <v>6474</v>
      </c>
      <c r="BJ394" s="12" t="s">
        <v>6607</v>
      </c>
      <c r="BK394" s="12" t="s">
        <v>6681</v>
      </c>
      <c r="BL394" s="12" t="s">
        <v>6682</v>
      </c>
      <c r="BM394" s="12" t="s">
        <v>6683</v>
      </c>
      <c r="BN394" s="12" t="s">
        <v>6684</v>
      </c>
      <c r="BO394" s="12" t="s">
        <v>320</v>
      </c>
      <c r="BP394" s="12" t="s">
        <v>319</v>
      </c>
      <c r="BQ394" s="12" t="s">
        <v>319</v>
      </c>
      <c r="BR394" s="12" t="s">
        <v>6685</v>
      </c>
      <c r="BS394" s="12" t="s">
        <v>357</v>
      </c>
      <c r="BT394" s="12" t="s">
        <v>6686</v>
      </c>
      <c r="BU394" s="12" t="s">
        <v>6687</v>
      </c>
      <c r="BV394" s="14">
        <v>100</v>
      </c>
      <c r="BW394" s="14">
        <v>15</v>
      </c>
      <c r="BX394" s="14">
        <v>115</v>
      </c>
      <c r="BY394" s="14">
        <v>35356</v>
      </c>
      <c r="BZ394" s="14">
        <v>33730</v>
      </c>
      <c r="CA394" s="14">
        <v>69086</v>
      </c>
      <c r="CB394" s="31" t="s">
        <v>14710</v>
      </c>
      <c r="CC394" s="39"/>
      <c r="CD394" s="14"/>
      <c r="CE394" s="14"/>
      <c r="CF394" s="14"/>
      <c r="CG394" s="14"/>
      <c r="CH394" s="14"/>
      <c r="CI394" s="14"/>
      <c r="CJ394" s="12"/>
      <c r="CK394" s="14"/>
      <c r="CL394" s="16"/>
      <c r="CM394" s="14"/>
      <c r="CN394" s="12"/>
      <c r="CO394" s="14"/>
      <c r="CP394" s="16"/>
      <c r="CQ394" s="14"/>
      <c r="CR394" s="12"/>
      <c r="CS394" s="14"/>
      <c r="CT394" s="16"/>
      <c r="CU394" s="14"/>
      <c r="CV394" s="12"/>
      <c r="CW394" s="14"/>
      <c r="CX394" s="16"/>
      <c r="CY394" s="14"/>
      <c r="CZ394" s="12" t="s">
        <v>320</v>
      </c>
      <c r="DA394" s="14"/>
      <c r="DB394" s="16"/>
      <c r="DC394" s="14"/>
      <c r="DD394" s="12"/>
      <c r="DE394" s="14"/>
      <c r="DF394" s="16"/>
      <c r="DG394" s="14"/>
      <c r="DH394" s="12"/>
      <c r="DI394" s="14"/>
      <c r="DJ394" s="16"/>
      <c r="DK394" s="14"/>
      <c r="DL394" s="12"/>
      <c r="DM394" s="14"/>
      <c r="DN394" s="16"/>
      <c r="DO394" s="14"/>
      <c r="DP394" s="12"/>
      <c r="DQ394" s="14"/>
      <c r="DR394" s="16"/>
      <c r="DS394" s="14"/>
      <c r="DT394" s="12"/>
      <c r="DU394" s="14"/>
      <c r="DV394" s="16"/>
      <c r="DW394" s="14"/>
      <c r="DX394" s="12"/>
      <c r="DY394" s="14"/>
      <c r="DZ394" s="16"/>
      <c r="EA394" s="14"/>
      <c r="EB394" s="12"/>
      <c r="EC394" s="14"/>
      <c r="ED394" s="16"/>
      <c r="EE394" s="14"/>
      <c r="EF394" s="12"/>
      <c r="EG394" s="12"/>
      <c r="EH394" s="14"/>
      <c r="EI394" s="16"/>
      <c r="EJ394" s="14"/>
      <c r="EK394" s="14"/>
      <c r="EL394" s="14"/>
      <c r="EM394" s="14"/>
      <c r="EN394" s="14"/>
      <c r="EO394" s="14"/>
      <c r="EP394" s="14"/>
      <c r="EQ394" s="12"/>
      <c r="ER394" s="14"/>
      <c r="ES394" s="16"/>
      <c r="ET394" s="14"/>
      <c r="EU394" s="12"/>
      <c r="EV394" s="14"/>
      <c r="EW394" s="16"/>
      <c r="EX394" s="14"/>
      <c r="EY394" s="12"/>
      <c r="EZ394" s="14"/>
      <c r="FA394" s="16"/>
      <c r="FB394" s="14"/>
      <c r="FC394" s="12"/>
      <c r="FD394" s="14"/>
      <c r="FE394" s="16"/>
      <c r="FF394" s="14"/>
      <c r="FG394" s="12"/>
      <c r="FH394" s="14"/>
      <c r="FI394" s="16"/>
      <c r="FJ394" s="14"/>
      <c r="FK394" s="12"/>
      <c r="FL394" s="14"/>
      <c r="FM394" s="16"/>
      <c r="FN394" s="14"/>
      <c r="FO394" s="12"/>
      <c r="FP394" s="14"/>
      <c r="FQ394" s="16"/>
      <c r="FR394" s="14"/>
      <c r="FS394" s="12"/>
      <c r="FT394" s="14"/>
      <c r="FU394" s="16"/>
      <c r="FV394" s="14"/>
      <c r="FW394" s="12"/>
      <c r="FX394" s="14"/>
      <c r="FY394" s="16"/>
      <c r="FZ394" s="14"/>
      <c r="GA394" s="12"/>
      <c r="GB394" s="14"/>
      <c r="GC394" s="16"/>
      <c r="GD394" s="14"/>
      <c r="GE394" s="12"/>
      <c r="GF394" s="14"/>
      <c r="GG394" s="16"/>
      <c r="GH394" s="14"/>
      <c r="GI394" s="12"/>
      <c r="GJ394" s="14"/>
      <c r="GK394" s="16"/>
      <c r="GL394" s="14"/>
      <c r="GM394" s="12"/>
      <c r="GN394" s="14"/>
      <c r="GO394" s="16"/>
      <c r="GP394" s="14"/>
      <c r="GQ394" s="12"/>
      <c r="GR394" s="14"/>
      <c r="GS394" s="16"/>
      <c r="GT394" s="14"/>
      <c r="GU394" s="12"/>
      <c r="GV394" s="14"/>
      <c r="GW394" s="16"/>
      <c r="GX394" s="14"/>
      <c r="GY394" s="12"/>
      <c r="GZ394" s="14"/>
      <c r="HA394" s="16"/>
      <c r="HB394" s="14"/>
      <c r="HC394" s="39"/>
      <c r="HD394" s="12"/>
      <c r="HE394" s="14"/>
      <c r="HF394" s="16"/>
      <c r="HG394" s="14"/>
      <c r="HH394" s="12" t="s">
        <v>319</v>
      </c>
      <c r="HI394" s="12"/>
      <c r="HJ394" s="12"/>
      <c r="HK394" s="12" t="s">
        <v>319</v>
      </c>
      <c r="HL394" s="12" t="s">
        <v>319</v>
      </c>
      <c r="HM394" s="12"/>
      <c r="HN394" s="12"/>
      <c r="HO394" s="12" t="s">
        <v>6688</v>
      </c>
      <c r="HP394" s="12" t="s">
        <v>418</v>
      </c>
      <c r="HQ394" s="12"/>
      <c r="HR394" s="12"/>
      <c r="HS394" s="12"/>
      <c r="HT394" s="12"/>
      <c r="HU394" s="12"/>
      <c r="HV394" s="12"/>
      <c r="HW394" s="12"/>
      <c r="HX394" s="12"/>
      <c r="HZ394" s="12" t="s">
        <v>363</v>
      </c>
      <c r="IA394" s="12"/>
      <c r="IB394" s="12" t="s">
        <v>333</v>
      </c>
      <c r="IC394" s="12"/>
      <c r="ID394" s="12" t="s">
        <v>477</v>
      </c>
      <c r="IE394" s="12" t="s">
        <v>335</v>
      </c>
      <c r="IF394" s="12" t="s">
        <v>320</v>
      </c>
      <c r="IG394" s="12" t="s">
        <v>320</v>
      </c>
      <c r="IH394" s="12" t="s">
        <v>320</v>
      </c>
      <c r="II394" s="12" t="s">
        <v>320</v>
      </c>
      <c r="IJ394" s="12" t="str">
        <f t="shared" si="259"/>
        <v>2. Sensitive</v>
      </c>
      <c r="IK394" s="12">
        <f t="shared" si="260"/>
        <v>4</v>
      </c>
      <c r="IL394" s="12" t="s">
        <v>336</v>
      </c>
      <c r="IM394" s="12" t="s">
        <v>320</v>
      </c>
      <c r="IN394" s="12" t="s">
        <v>320</v>
      </c>
      <c r="IO394" s="12" t="s">
        <v>319</v>
      </c>
      <c r="IP394" s="12" t="s">
        <v>320</v>
      </c>
      <c r="IQ394" s="12" t="str">
        <f t="shared" si="261"/>
        <v>2. Accommodating</v>
      </c>
      <c r="IR394" s="12">
        <f t="shared" si="262"/>
        <v>3</v>
      </c>
      <c r="IS394" s="12" t="s">
        <v>337</v>
      </c>
      <c r="IT394" s="12" t="s">
        <v>320</v>
      </c>
      <c r="IU394" s="12" t="s">
        <v>320</v>
      </c>
      <c r="IV394" s="12" t="s">
        <v>320</v>
      </c>
      <c r="IW394" s="11" t="str">
        <f t="shared" si="263"/>
        <v>2. Sensitive</v>
      </c>
      <c r="IX394" s="12">
        <f t="shared" si="264"/>
        <v>3</v>
      </c>
      <c r="IY394" s="12" t="s">
        <v>338</v>
      </c>
      <c r="IZ394" s="12" t="s">
        <v>457</v>
      </c>
      <c r="JA394" s="12"/>
      <c r="JB394" s="12"/>
      <c r="JC394" s="12"/>
      <c r="JD394" s="12"/>
      <c r="JE394" s="12" t="s">
        <v>420</v>
      </c>
      <c r="JF394" s="12"/>
      <c r="JG394" s="12"/>
      <c r="JH394" s="12"/>
      <c r="JI394" s="12" t="s">
        <v>3608</v>
      </c>
      <c r="JJ394" s="12"/>
      <c r="JK394" s="12" t="s">
        <v>6689</v>
      </c>
      <c r="JL394" s="12" t="s">
        <v>6690</v>
      </c>
      <c r="JM394" s="12" t="s">
        <v>6691</v>
      </c>
      <c r="JN394" s="31" t="s">
        <v>14711</v>
      </c>
      <c r="JO394" s="12" t="s">
        <v>6692</v>
      </c>
      <c r="JP394" s="15">
        <f t="shared" si="265"/>
        <v>0</v>
      </c>
      <c r="JQ394" s="15">
        <f t="shared" si="266"/>
        <v>0</v>
      </c>
      <c r="JR394" s="279" t="str">
        <f t="shared" si="267"/>
        <v/>
      </c>
      <c r="JS394" s="17" t="str">
        <f t="shared" si="268"/>
        <v/>
      </c>
      <c r="JT394" s="18" t="str">
        <f t="shared" si="269"/>
        <v/>
      </c>
      <c r="JU394" s="280">
        <f t="shared" si="270"/>
        <v>0</v>
      </c>
      <c r="JV394" s="280">
        <f t="shared" si="271"/>
        <v>0</v>
      </c>
      <c r="JW394" s="319">
        <f t="shared" si="272"/>
        <v>1</v>
      </c>
      <c r="JX394" s="15">
        <f t="shared" si="273"/>
        <v>0</v>
      </c>
      <c r="JY394" s="15">
        <f t="shared" si="274"/>
        <v>0</v>
      </c>
      <c r="JZ394" s="19" t="str">
        <f t="shared" si="275"/>
        <v/>
      </c>
      <c r="KA394" s="52" t="str">
        <f t="shared" si="276"/>
        <v/>
      </c>
      <c r="KB394" s="15">
        <f t="shared" si="277"/>
        <v>0</v>
      </c>
      <c r="KC394" s="15">
        <f t="shared" si="278"/>
        <v>0</v>
      </c>
      <c r="KD394" s="20" t="str">
        <f t="shared" si="279"/>
        <v/>
      </c>
      <c r="KE394" s="52" t="str">
        <f t="shared" si="280"/>
        <v/>
      </c>
      <c r="KF394" s="15">
        <f t="shared" si="281"/>
        <v>0</v>
      </c>
      <c r="KG394" s="15">
        <f t="shared" si="282"/>
        <v>0</v>
      </c>
      <c r="KH394" s="21" t="str">
        <f t="shared" si="283"/>
        <v/>
      </c>
      <c r="KI394" s="52">
        <f t="shared" si="284"/>
        <v>1</v>
      </c>
      <c r="KJ394" s="15">
        <f t="shared" si="285"/>
        <v>0</v>
      </c>
      <c r="KK394" s="15">
        <f t="shared" si="286"/>
        <v>0</v>
      </c>
      <c r="KL394" s="19" t="str">
        <f t="shared" si="287"/>
        <v/>
      </c>
      <c r="KM394" s="52" t="str">
        <f t="shared" si="288"/>
        <v/>
      </c>
      <c r="KN394" s="22">
        <f t="shared" si="289"/>
        <v>0</v>
      </c>
      <c r="KO394" s="22">
        <f t="shared" si="290"/>
        <v>0</v>
      </c>
      <c r="KP394" s="19" t="str">
        <f t="shared" si="291"/>
        <v/>
      </c>
      <c r="KQ394" s="11" t="str">
        <f t="shared" si="292"/>
        <v>2. Sensitive</v>
      </c>
      <c r="KR394" s="11" t="str">
        <f t="shared" si="293"/>
        <v>2. Accommodating</v>
      </c>
      <c r="KS394" s="11" t="str">
        <f t="shared" si="294"/>
        <v>2. Sensitive</v>
      </c>
      <c r="KT394" s="11" t="str">
        <f t="shared" si="295"/>
        <v>It did not develop any specific innovation</v>
      </c>
      <c r="KU394" s="11" t="str">
        <f t="shared" si="296"/>
        <v>Little or no advocacy</v>
      </c>
      <c r="KV394" s="11" t="str">
        <f t="shared" si="297"/>
        <v>It did not take tested solutions to scale</v>
      </c>
      <c r="KW394" s="11" t="str">
        <f t="shared" si="298"/>
        <v>Kenya - What Works to Prevent Violence Against Women and Girls Research</v>
      </c>
      <c r="KX394" s="11" t="str">
        <f t="shared" si="299"/>
        <v>What Works to Prevent Violence Against Women and Girls Research</v>
      </c>
      <c r="KY394" s="11" t="str">
        <f t="shared" si="300"/>
        <v>Kenya</v>
      </c>
      <c r="KZ394" s="12">
        <v>394</v>
      </c>
    </row>
    <row r="395" spans="1:312" x14ac:dyDescent="0.3">
      <c r="A395" s="12" t="s">
        <v>6805</v>
      </c>
      <c r="B395" s="12" t="s">
        <v>602</v>
      </c>
      <c r="C395" s="12"/>
      <c r="D395" s="12" t="s">
        <v>6827</v>
      </c>
      <c r="E395" s="277" t="str">
        <f t="shared" si="258"/>
        <v>Kosovo</v>
      </c>
      <c r="F395" s="12" t="s">
        <v>6828</v>
      </c>
      <c r="G395" s="12" t="s">
        <v>605</v>
      </c>
      <c r="H395" s="12" t="s">
        <v>310</v>
      </c>
      <c r="I395" s="12" t="s">
        <v>606</v>
      </c>
      <c r="J395" s="281" t="s">
        <v>792</v>
      </c>
      <c r="K395" s="12"/>
      <c r="L395" s="12"/>
      <c r="M395" s="12"/>
      <c r="N395" s="12"/>
      <c r="O395" s="12"/>
      <c r="P395" s="12"/>
      <c r="Q395" s="12"/>
      <c r="R395" s="12"/>
      <c r="S395" s="12"/>
      <c r="T395" s="12"/>
      <c r="U395" s="12"/>
      <c r="V395" s="12"/>
      <c r="W395" s="12"/>
      <c r="X395" s="12"/>
      <c r="Y395" s="12"/>
      <c r="Z395" s="12"/>
      <c r="AA395" s="12"/>
      <c r="AB395" s="12"/>
      <c r="AC395" s="12"/>
      <c r="AD395" s="12"/>
      <c r="BD395" s="13">
        <v>42614</v>
      </c>
      <c r="BE395" s="13">
        <v>43708</v>
      </c>
      <c r="BF395" s="12"/>
      <c r="BG395" s="12" t="s">
        <v>312</v>
      </c>
      <c r="BH395" s="14">
        <v>3890498.4183863802</v>
      </c>
      <c r="BI395" s="12" t="s">
        <v>6829</v>
      </c>
      <c r="BJ395" s="12" t="s">
        <v>354</v>
      </c>
      <c r="BK395" s="12" t="s">
        <v>6830</v>
      </c>
      <c r="BL395" s="12" t="s">
        <v>6810</v>
      </c>
      <c r="BM395" s="12" t="s">
        <v>1783</v>
      </c>
      <c r="BN395" s="12" t="s">
        <v>1784</v>
      </c>
      <c r="BO395" s="12" t="s">
        <v>319</v>
      </c>
      <c r="BP395" s="12" t="s">
        <v>320</v>
      </c>
      <c r="BQ395" s="12" t="s">
        <v>319</v>
      </c>
      <c r="BR395" s="12" t="s">
        <v>6831</v>
      </c>
      <c r="BS395" s="12" t="s">
        <v>322</v>
      </c>
      <c r="BT395" s="12" t="s">
        <v>6832</v>
      </c>
      <c r="BU395" s="12" t="s">
        <v>6833</v>
      </c>
      <c r="BV395" s="14">
        <v>125</v>
      </c>
      <c r="BW395" s="14">
        <v>250</v>
      </c>
      <c r="BX395" s="14">
        <v>375</v>
      </c>
      <c r="BY395" s="14">
        <v>4500</v>
      </c>
      <c r="BZ395" s="14">
        <v>5500</v>
      </c>
      <c r="CA395" s="14">
        <v>10000</v>
      </c>
      <c r="CB395" s="12" t="s">
        <v>6834</v>
      </c>
      <c r="CD395" s="14"/>
      <c r="CE395" s="14"/>
      <c r="CF395" s="14"/>
      <c r="CG395" s="14"/>
      <c r="CH395" s="14"/>
      <c r="CI395" s="14"/>
      <c r="CJ395" s="12" t="s">
        <v>319</v>
      </c>
      <c r="CK395" s="14"/>
      <c r="CL395" s="16"/>
      <c r="CM395" s="14"/>
      <c r="CN395" s="12" t="s">
        <v>319</v>
      </c>
      <c r="CO395" s="14"/>
      <c r="CP395" s="16"/>
      <c r="CQ395" s="14"/>
      <c r="CR395" s="12" t="s">
        <v>319</v>
      </c>
      <c r="CS395" s="14"/>
      <c r="CT395" s="16"/>
      <c r="CU395" s="14"/>
      <c r="CV395" s="12" t="s">
        <v>319</v>
      </c>
      <c r="CW395" s="14"/>
      <c r="CX395" s="16"/>
      <c r="CY395" s="14"/>
      <c r="CZ395" s="12" t="s">
        <v>319</v>
      </c>
      <c r="DA395" s="14"/>
      <c r="DB395" s="16"/>
      <c r="DC395" s="14"/>
      <c r="DD395" s="12" t="s">
        <v>319</v>
      </c>
      <c r="DE395" s="14"/>
      <c r="DF395" s="16"/>
      <c r="DG395" s="14"/>
      <c r="DH395" s="12" t="s">
        <v>319</v>
      </c>
      <c r="DI395" s="14"/>
      <c r="DJ395" s="16"/>
      <c r="DK395" s="14"/>
      <c r="DL395" s="12" t="s">
        <v>319</v>
      </c>
      <c r="DM395" s="14"/>
      <c r="DN395" s="16"/>
      <c r="DO395" s="14"/>
      <c r="DP395" s="12" t="s">
        <v>319</v>
      </c>
      <c r="DQ395" s="14"/>
      <c r="DR395" s="16"/>
      <c r="DS395" s="14"/>
      <c r="DT395" s="12" t="s">
        <v>319</v>
      </c>
      <c r="DU395" s="14"/>
      <c r="DV395" s="16"/>
      <c r="DW395" s="14"/>
      <c r="DX395" s="12" t="s">
        <v>319</v>
      </c>
      <c r="DY395" s="14"/>
      <c r="DZ395" s="16"/>
      <c r="EA395" s="14"/>
      <c r="EB395" s="12" t="s">
        <v>319</v>
      </c>
      <c r="EC395" s="14"/>
      <c r="ED395" s="16"/>
      <c r="EE395" s="14"/>
      <c r="EF395" s="12"/>
      <c r="EG395" s="12"/>
      <c r="EH395" s="14"/>
      <c r="EI395" s="16"/>
      <c r="EJ395" s="14"/>
      <c r="EK395" s="14">
        <v>125</v>
      </c>
      <c r="EL395" s="14">
        <v>250</v>
      </c>
      <c r="EM395" s="14">
        <v>375</v>
      </c>
      <c r="EN395" s="14">
        <v>4500</v>
      </c>
      <c r="EO395" s="14">
        <v>5500</v>
      </c>
      <c r="EP395" s="14">
        <v>10000</v>
      </c>
      <c r="EQ395" s="12" t="s">
        <v>320</v>
      </c>
      <c r="ER395" s="14">
        <v>115</v>
      </c>
      <c r="ES395" s="16">
        <v>0.37</v>
      </c>
      <c r="ET395" s="14">
        <v>472</v>
      </c>
      <c r="EU395" s="12"/>
      <c r="EV395" s="14"/>
      <c r="EW395" s="16"/>
      <c r="EX395" s="14"/>
      <c r="EY395" s="12"/>
      <c r="EZ395" s="14"/>
      <c r="FA395" s="16"/>
      <c r="FB395" s="14"/>
      <c r="FC395" s="12"/>
      <c r="FD395" s="14"/>
      <c r="FE395" s="16"/>
      <c r="FF395" s="14"/>
      <c r="FG395" s="12"/>
      <c r="FH395" s="14"/>
      <c r="FI395" s="16"/>
      <c r="FJ395" s="14"/>
      <c r="FK395" s="12"/>
      <c r="FL395" s="14"/>
      <c r="FM395" s="16"/>
      <c r="FN395" s="14"/>
      <c r="FO395" s="12"/>
      <c r="FP395" s="14"/>
      <c r="FQ395" s="16"/>
      <c r="FR395" s="14"/>
      <c r="FS395" s="12"/>
      <c r="FT395" s="14"/>
      <c r="FU395" s="16"/>
      <c r="FV395" s="14"/>
      <c r="FW395" s="12"/>
      <c r="FX395" s="14"/>
      <c r="FY395" s="16"/>
      <c r="FZ395" s="14"/>
      <c r="GA395" s="12"/>
      <c r="GB395" s="14"/>
      <c r="GC395" s="16"/>
      <c r="GD395" s="14"/>
      <c r="GE395" s="12"/>
      <c r="GF395" s="14"/>
      <c r="GG395" s="16"/>
      <c r="GH395" s="14"/>
      <c r="GI395" s="12"/>
      <c r="GJ395" s="14"/>
      <c r="GK395" s="16"/>
      <c r="GL395" s="14"/>
      <c r="GM395" s="12"/>
      <c r="GN395" s="14"/>
      <c r="GO395" s="16"/>
      <c r="GP395" s="14"/>
      <c r="GQ395" s="12"/>
      <c r="GR395" s="14"/>
      <c r="GS395" s="16"/>
      <c r="GT395" s="14"/>
      <c r="GU395" s="12"/>
      <c r="GV395" s="14"/>
      <c r="GW395" s="16"/>
      <c r="GX395" s="14"/>
      <c r="GY395" s="11" t="s">
        <v>320</v>
      </c>
      <c r="GZ395" s="14">
        <v>58</v>
      </c>
      <c r="HA395" s="16">
        <v>0.36</v>
      </c>
      <c r="HB395" s="14">
        <v>192</v>
      </c>
      <c r="HC395" s="12"/>
      <c r="HD395" s="12"/>
      <c r="HE395" s="14"/>
      <c r="HF395" s="16"/>
      <c r="HG395" s="14"/>
      <c r="HH395" s="12" t="s">
        <v>320</v>
      </c>
      <c r="HI395" s="12" t="s">
        <v>1175</v>
      </c>
      <c r="HJ395" s="12">
        <v>2017</v>
      </c>
      <c r="HK395" s="12" t="s">
        <v>319</v>
      </c>
      <c r="HL395" s="12" t="s">
        <v>319</v>
      </c>
      <c r="HM395" s="12"/>
      <c r="HN395" s="12"/>
      <c r="HO395" s="12"/>
      <c r="HP395" s="12" t="s">
        <v>330</v>
      </c>
      <c r="HQ395" s="12" t="s">
        <v>320</v>
      </c>
      <c r="HR395" s="12" t="s">
        <v>320</v>
      </c>
      <c r="HS395" s="12" t="s">
        <v>320</v>
      </c>
      <c r="HT395" s="12" t="s">
        <v>320</v>
      </c>
      <c r="HU395" s="12"/>
      <c r="HV395" s="12"/>
      <c r="HW395" s="12"/>
      <c r="HX395" s="12" t="s">
        <v>320</v>
      </c>
      <c r="HY395" s="12" t="s">
        <v>6835</v>
      </c>
      <c r="HZ395" s="12" t="s">
        <v>363</v>
      </c>
      <c r="IA395" s="12"/>
      <c r="IB395" s="12" t="s">
        <v>667</v>
      </c>
      <c r="IC395" s="12" t="s">
        <v>6836</v>
      </c>
      <c r="ID395" s="12" t="s">
        <v>364</v>
      </c>
      <c r="IE395" s="12" t="s">
        <v>335</v>
      </c>
      <c r="IF395" s="12" t="s">
        <v>320</v>
      </c>
      <c r="IG395" s="12" t="s">
        <v>320</v>
      </c>
      <c r="IH395" s="12" t="s">
        <v>320</v>
      </c>
      <c r="II395" s="12" t="s">
        <v>320</v>
      </c>
      <c r="IJ395" s="12" t="str">
        <f t="shared" si="259"/>
        <v>2. Sensitive</v>
      </c>
      <c r="IK395" s="12">
        <f t="shared" si="260"/>
        <v>4</v>
      </c>
      <c r="IL395" s="12" t="s">
        <v>336</v>
      </c>
      <c r="IM395" s="12" t="s">
        <v>320</v>
      </c>
      <c r="IN395" s="12" t="s">
        <v>320</v>
      </c>
      <c r="IO395" s="12" t="s">
        <v>320</v>
      </c>
      <c r="IP395" s="12" t="s">
        <v>319</v>
      </c>
      <c r="IQ395" s="12" t="str">
        <f t="shared" si="261"/>
        <v>2. Accommodating</v>
      </c>
      <c r="IR395" s="12">
        <f t="shared" si="262"/>
        <v>3</v>
      </c>
      <c r="IS395" s="12" t="s">
        <v>337</v>
      </c>
      <c r="IT395" s="12" t="s">
        <v>320</v>
      </c>
      <c r="IU395" s="12" t="s">
        <v>319</v>
      </c>
      <c r="IV395" s="12" t="s">
        <v>320</v>
      </c>
      <c r="IW395" s="11" t="str">
        <f t="shared" si="263"/>
        <v>1. Neutral</v>
      </c>
      <c r="IX395" s="12">
        <f t="shared" si="264"/>
        <v>2</v>
      </c>
      <c r="IY395" s="12" t="s">
        <v>338</v>
      </c>
      <c r="IZ395" s="12" t="s">
        <v>527</v>
      </c>
      <c r="JA395" s="12">
        <v>4</v>
      </c>
      <c r="JB395" s="12" t="s">
        <v>624</v>
      </c>
      <c r="JC395" s="12" t="s">
        <v>687</v>
      </c>
      <c r="JD395" s="12" t="s">
        <v>433</v>
      </c>
      <c r="JE395" s="12" t="s">
        <v>365</v>
      </c>
      <c r="JF395" s="12" t="s">
        <v>6837</v>
      </c>
      <c r="JG395" s="12"/>
      <c r="JH395" s="12" t="s">
        <v>6838</v>
      </c>
      <c r="JI395" s="12" t="s">
        <v>6839</v>
      </c>
      <c r="JJ395" s="12"/>
      <c r="JK395" s="12" t="s">
        <v>6840</v>
      </c>
      <c r="JL395" s="12"/>
      <c r="JM395" s="12"/>
      <c r="JN395" s="12"/>
      <c r="JO395" s="12"/>
      <c r="JP395" s="15">
        <f t="shared" si="265"/>
        <v>375</v>
      </c>
      <c r="JQ395" s="15">
        <f t="shared" si="266"/>
        <v>10000</v>
      </c>
      <c r="JR395" s="279">
        <f t="shared" si="267"/>
        <v>26.666666666666668</v>
      </c>
      <c r="JS395" s="17">
        <f t="shared" si="268"/>
        <v>0.33333333333333331</v>
      </c>
      <c r="JT395" s="18">
        <f t="shared" si="269"/>
        <v>0.45</v>
      </c>
      <c r="JU395" s="280">
        <f t="shared" si="270"/>
        <v>125</v>
      </c>
      <c r="JV395" s="280">
        <f t="shared" si="271"/>
        <v>4500</v>
      </c>
      <c r="JW395" s="319" t="str">
        <f t="shared" si="272"/>
        <v/>
      </c>
      <c r="JX395" s="15">
        <f t="shared" si="273"/>
        <v>0</v>
      </c>
      <c r="JY395" s="15">
        <f t="shared" si="274"/>
        <v>0</v>
      </c>
      <c r="JZ395" s="19" t="str">
        <f t="shared" si="275"/>
        <v/>
      </c>
      <c r="KA395" s="52">
        <f t="shared" si="276"/>
        <v>1</v>
      </c>
      <c r="KB395" s="15">
        <f t="shared" si="277"/>
        <v>115</v>
      </c>
      <c r="KC395" s="15">
        <f t="shared" si="278"/>
        <v>472</v>
      </c>
      <c r="KD395" s="20">
        <f t="shared" si="279"/>
        <v>4.1043478260869568</v>
      </c>
      <c r="KE395" s="52" t="str">
        <f t="shared" si="280"/>
        <v/>
      </c>
      <c r="KF395" s="15">
        <f t="shared" si="281"/>
        <v>0</v>
      </c>
      <c r="KG395" s="15">
        <f t="shared" si="282"/>
        <v>0</v>
      </c>
      <c r="KH395" s="21" t="str">
        <f t="shared" si="283"/>
        <v/>
      </c>
      <c r="KI395" s="52" t="str">
        <f t="shared" si="284"/>
        <v/>
      </c>
      <c r="KJ395" s="15">
        <f t="shared" si="285"/>
        <v>0</v>
      </c>
      <c r="KK395" s="15">
        <f t="shared" si="286"/>
        <v>0</v>
      </c>
      <c r="KL395" s="19" t="str">
        <f t="shared" si="287"/>
        <v/>
      </c>
      <c r="KM395" s="52">
        <f t="shared" si="288"/>
        <v>1</v>
      </c>
      <c r="KN395" s="22">
        <f t="shared" si="289"/>
        <v>58</v>
      </c>
      <c r="KO395" s="22">
        <f t="shared" si="290"/>
        <v>192</v>
      </c>
      <c r="KP395" s="19">
        <f t="shared" si="291"/>
        <v>3.3103448275862069</v>
      </c>
      <c r="KQ395" s="11" t="str">
        <f t="shared" si="292"/>
        <v>2. Sensitive</v>
      </c>
      <c r="KR395" s="11" t="str">
        <f t="shared" si="293"/>
        <v>2. Accommodating</v>
      </c>
      <c r="KS395" s="11" t="str">
        <f t="shared" si="294"/>
        <v>1. Neutral</v>
      </c>
      <c r="KT395" s="11" t="str">
        <f t="shared" si="295"/>
        <v>It did not develop any specific innovation</v>
      </c>
      <c r="KU395" s="11" t="str">
        <f t="shared" si="296"/>
        <v>Moderate advocacy</v>
      </c>
      <c r="KV395" s="11" t="str">
        <f t="shared" si="297"/>
        <v>It took tested solutions to scale on its own</v>
      </c>
      <c r="KW395" s="11" t="str">
        <f t="shared" si="298"/>
        <v>Kosovo - Rural Economic Sustainability Inititative (RESI) project</v>
      </c>
      <c r="KX395" s="11" t="str">
        <f t="shared" si="299"/>
        <v>Rural Economic Sustainability Inititative (RESI) project</v>
      </c>
      <c r="KY395" s="11" t="str">
        <f t="shared" si="300"/>
        <v>Kosovo</v>
      </c>
      <c r="KZ395" s="12">
        <v>395</v>
      </c>
    </row>
    <row r="396" spans="1:312" x14ac:dyDescent="0.3">
      <c r="A396" s="12" t="s">
        <v>6805</v>
      </c>
      <c r="B396" s="12" t="s">
        <v>602</v>
      </c>
      <c r="C396" s="12">
        <v>3086</v>
      </c>
      <c r="D396" s="12" t="s">
        <v>6806</v>
      </c>
      <c r="E396" s="277" t="str">
        <f t="shared" si="258"/>
        <v>Kosovo</v>
      </c>
      <c r="F396" s="12" t="s">
        <v>6807</v>
      </c>
      <c r="G396" s="12" t="s">
        <v>1738</v>
      </c>
      <c r="H396" s="12" t="s">
        <v>380</v>
      </c>
      <c r="I396" s="12" t="s">
        <v>517</v>
      </c>
      <c r="J396" s="281" t="s">
        <v>14578</v>
      </c>
      <c r="K396" s="12"/>
      <c r="L396" s="12"/>
      <c r="M396" s="12"/>
      <c r="N396" s="12"/>
      <c r="O396" s="12"/>
      <c r="P396" s="12"/>
      <c r="Q396" s="12"/>
      <c r="R396" s="12"/>
      <c r="S396" s="12"/>
      <c r="T396" s="12"/>
      <c r="U396" s="12"/>
      <c r="V396" s="12"/>
      <c r="W396" s="12"/>
      <c r="X396" s="12"/>
      <c r="Y396" s="12"/>
      <c r="Z396" s="12"/>
      <c r="AA396" s="12"/>
      <c r="AB396" s="12"/>
      <c r="AC396" s="12"/>
      <c r="AD396" s="12"/>
      <c r="BD396" s="13">
        <v>41989</v>
      </c>
      <c r="BE396" s="13">
        <v>42445</v>
      </c>
      <c r="BF396" s="13">
        <v>42582</v>
      </c>
      <c r="BG396" s="12" t="s">
        <v>350</v>
      </c>
      <c r="BH396" s="14">
        <v>624584.88</v>
      </c>
      <c r="BI396" s="12" t="s">
        <v>6808</v>
      </c>
      <c r="BJ396" s="12" t="s">
        <v>354</v>
      </c>
      <c r="BK396" s="12" t="s">
        <v>6809</v>
      </c>
      <c r="BL396" s="12" t="s">
        <v>6810</v>
      </c>
      <c r="BM396" s="12" t="s">
        <v>1783</v>
      </c>
      <c r="BN396" s="12" t="s">
        <v>1784</v>
      </c>
      <c r="BO396" s="12" t="s">
        <v>319</v>
      </c>
      <c r="BP396" s="12" t="s">
        <v>320</v>
      </c>
      <c r="BQ396" s="12" t="s">
        <v>319</v>
      </c>
      <c r="BR396" s="12" t="s">
        <v>6811</v>
      </c>
      <c r="BS396" s="12" t="s">
        <v>322</v>
      </c>
      <c r="BT396" s="12" t="s">
        <v>6812</v>
      </c>
      <c r="BU396" s="12" t="s">
        <v>6813</v>
      </c>
      <c r="BV396" s="14">
        <v>150</v>
      </c>
      <c r="BW396" s="14">
        <v>200</v>
      </c>
      <c r="BX396" s="14">
        <v>350</v>
      </c>
      <c r="BY396" s="14">
        <v>1000</v>
      </c>
      <c r="BZ396" s="14">
        <v>1500</v>
      </c>
      <c r="CA396" s="14">
        <v>2500</v>
      </c>
      <c r="CB396" s="12" t="s">
        <v>6814</v>
      </c>
      <c r="CD396" s="14"/>
      <c r="CE396" s="14"/>
      <c r="CF396" s="14"/>
      <c r="CG396" s="14"/>
      <c r="CH396" s="14"/>
      <c r="CI396" s="14"/>
      <c r="CJ396" s="12"/>
      <c r="CK396" s="14"/>
      <c r="CL396" s="16"/>
      <c r="CM396" s="14"/>
      <c r="CN396" s="12"/>
      <c r="CO396" s="14"/>
      <c r="CP396" s="16"/>
      <c r="CQ396" s="14"/>
      <c r="CR396" s="12"/>
      <c r="CS396" s="14"/>
      <c r="CT396" s="16"/>
      <c r="CU396" s="14"/>
      <c r="CV396" s="12"/>
      <c r="CW396" s="14"/>
      <c r="CX396" s="16"/>
      <c r="CY396" s="14"/>
      <c r="CZ396" s="12"/>
      <c r="DA396" s="14"/>
      <c r="DB396" s="16"/>
      <c r="DC396" s="14"/>
      <c r="DD396" s="12"/>
      <c r="DE396" s="14"/>
      <c r="DF396" s="16"/>
      <c r="DG396" s="14"/>
      <c r="DH396" s="12"/>
      <c r="DI396" s="14"/>
      <c r="DJ396" s="16"/>
      <c r="DK396" s="14"/>
      <c r="DL396" s="12"/>
      <c r="DM396" s="14"/>
      <c r="DN396" s="16"/>
      <c r="DO396" s="14"/>
      <c r="DP396" s="12"/>
      <c r="DQ396" s="14"/>
      <c r="DR396" s="16"/>
      <c r="DS396" s="14"/>
      <c r="DT396" s="12"/>
      <c r="DU396" s="14"/>
      <c r="DV396" s="16"/>
      <c r="DW396" s="14"/>
      <c r="DX396" s="12"/>
      <c r="DY396" s="14"/>
      <c r="DZ396" s="16"/>
      <c r="EA396" s="14"/>
      <c r="EB396" s="12"/>
      <c r="EC396" s="14"/>
      <c r="ED396" s="16"/>
      <c r="EE396" s="14"/>
      <c r="EF396" s="12"/>
      <c r="EG396" s="12"/>
      <c r="EH396" s="14"/>
      <c r="EI396" s="16"/>
      <c r="EJ396" s="14"/>
      <c r="EK396" s="14"/>
      <c r="EL396" s="14"/>
      <c r="EM396" s="14"/>
      <c r="EN396" s="14"/>
      <c r="EO396" s="14"/>
      <c r="EP396" s="14"/>
      <c r="EQ396" s="12" t="s">
        <v>320</v>
      </c>
      <c r="ER396" s="14">
        <v>50</v>
      </c>
      <c r="ES396" s="16">
        <v>0.2</v>
      </c>
      <c r="ET396" s="14">
        <v>600</v>
      </c>
      <c r="EU396" s="12"/>
      <c r="EV396" s="14"/>
      <c r="EW396" s="16"/>
      <c r="EX396" s="14"/>
      <c r="EY396" s="12"/>
      <c r="EZ396" s="14"/>
      <c r="FA396" s="16"/>
      <c r="FB396" s="14"/>
      <c r="FC396" s="12"/>
      <c r="FD396" s="14"/>
      <c r="FE396" s="16"/>
      <c r="FF396" s="14"/>
      <c r="FG396" s="12" t="s">
        <v>320</v>
      </c>
      <c r="FH396" s="14">
        <v>110</v>
      </c>
      <c r="FI396" s="16">
        <v>0.7</v>
      </c>
      <c r="FJ396" s="14">
        <v>1500</v>
      </c>
      <c r="FK396" s="12"/>
      <c r="FL396" s="14"/>
      <c r="FM396" s="16"/>
      <c r="FN396" s="14"/>
      <c r="FO396" s="12"/>
      <c r="FP396" s="14"/>
      <c r="FQ396" s="16"/>
      <c r="FR396" s="14"/>
      <c r="FS396" s="12"/>
      <c r="FT396" s="14"/>
      <c r="FU396" s="16"/>
      <c r="FV396" s="14"/>
      <c r="FW396" s="12"/>
      <c r="FX396" s="14"/>
      <c r="FY396" s="16"/>
      <c r="FZ396" s="14"/>
      <c r="GA396" s="12"/>
      <c r="GB396" s="14"/>
      <c r="GC396" s="16"/>
      <c r="GD396" s="14"/>
      <c r="GE396" s="12"/>
      <c r="GF396" s="14"/>
      <c r="GG396" s="16"/>
      <c r="GH396" s="14"/>
      <c r="GI396" s="12"/>
      <c r="GJ396" s="14"/>
      <c r="GK396" s="16"/>
      <c r="GL396" s="14"/>
      <c r="GM396" s="11" t="s">
        <v>320</v>
      </c>
      <c r="GN396" s="14">
        <v>200</v>
      </c>
      <c r="GO396" s="16">
        <v>0.3</v>
      </c>
      <c r="GP396" s="14">
        <v>400</v>
      </c>
      <c r="GQ396" s="12"/>
      <c r="GR396" s="14"/>
      <c r="GS396" s="16"/>
      <c r="GT396" s="14"/>
      <c r="GU396" s="12"/>
      <c r="GV396" s="14"/>
      <c r="GW396" s="16"/>
      <c r="GX396" s="14"/>
      <c r="GY396" s="12"/>
      <c r="GZ396" s="14"/>
      <c r="HA396" s="16"/>
      <c r="HB396" s="14"/>
      <c r="HC396" s="12"/>
      <c r="HD396" s="12"/>
      <c r="HE396" s="14"/>
      <c r="HF396" s="16"/>
      <c r="HG396" s="14"/>
      <c r="HH396" s="12" t="s">
        <v>320</v>
      </c>
      <c r="HI396" s="12" t="s">
        <v>619</v>
      </c>
      <c r="HJ396" s="12">
        <v>2016</v>
      </c>
      <c r="HK396" s="12" t="s">
        <v>319</v>
      </c>
      <c r="HL396" s="12" t="s">
        <v>319</v>
      </c>
      <c r="HM396" s="12"/>
      <c r="HN396" s="12"/>
      <c r="HO396" s="12" t="s">
        <v>6815</v>
      </c>
      <c r="HP396" s="12" t="s">
        <v>330</v>
      </c>
      <c r="HQ396" s="12"/>
      <c r="HR396" s="12" t="s">
        <v>320</v>
      </c>
      <c r="HS396" s="12" t="s">
        <v>320</v>
      </c>
      <c r="HT396" s="12"/>
      <c r="HU396" s="12" t="s">
        <v>320</v>
      </c>
      <c r="HV396" s="12"/>
      <c r="HW396" s="12"/>
      <c r="HX396" s="12"/>
      <c r="HY396" s="12"/>
      <c r="HZ396" s="12" t="s">
        <v>394</v>
      </c>
      <c r="IA396" s="12" t="s">
        <v>6816</v>
      </c>
      <c r="IB396" s="12" t="s">
        <v>333</v>
      </c>
      <c r="IC396" s="12" t="s">
        <v>6817</v>
      </c>
      <c r="ID396" s="12" t="s">
        <v>364</v>
      </c>
      <c r="IE396" s="12" t="s">
        <v>335</v>
      </c>
      <c r="IF396" s="12" t="s">
        <v>320</v>
      </c>
      <c r="IG396" s="12" t="s">
        <v>319</v>
      </c>
      <c r="IH396" s="12" t="s">
        <v>320</v>
      </c>
      <c r="II396" s="12" t="s">
        <v>319</v>
      </c>
      <c r="IJ396" s="12" t="str">
        <f t="shared" si="259"/>
        <v>1. Neutral</v>
      </c>
      <c r="IK396" s="12">
        <f t="shared" si="260"/>
        <v>2</v>
      </c>
      <c r="IL396" s="12" t="s">
        <v>336</v>
      </c>
      <c r="IM396" s="12" t="s">
        <v>320</v>
      </c>
      <c r="IN396" s="12" t="s">
        <v>320</v>
      </c>
      <c r="IO396" s="12" t="s">
        <v>320</v>
      </c>
      <c r="IP396" s="12" t="s">
        <v>320</v>
      </c>
      <c r="IQ396" s="12" t="str">
        <f t="shared" si="261"/>
        <v>2. Accommodating</v>
      </c>
      <c r="IR396" s="12">
        <f t="shared" si="262"/>
        <v>4</v>
      </c>
      <c r="IS396" s="12" t="s">
        <v>337</v>
      </c>
      <c r="IT396" s="12" t="s">
        <v>320</v>
      </c>
      <c r="IU396" s="12"/>
      <c r="IV396" s="12"/>
      <c r="IW396" s="11" t="str">
        <f t="shared" si="263"/>
        <v>1. Neutral</v>
      </c>
      <c r="IX396" s="12">
        <f t="shared" si="264"/>
        <v>1</v>
      </c>
      <c r="IY396" s="12" t="s">
        <v>419</v>
      </c>
      <c r="IZ396" s="12" t="s">
        <v>457</v>
      </c>
      <c r="JA396" s="12">
        <v>2</v>
      </c>
      <c r="JB396" s="12" t="s">
        <v>687</v>
      </c>
      <c r="JC396" s="12" t="s">
        <v>433</v>
      </c>
      <c r="JD396" s="12" t="s">
        <v>724</v>
      </c>
      <c r="JE396" s="12" t="s">
        <v>365</v>
      </c>
      <c r="JF396" s="12" t="s">
        <v>6818</v>
      </c>
      <c r="JG396" s="12" t="s">
        <v>6819</v>
      </c>
      <c r="JH396" s="12" t="s">
        <v>6820</v>
      </c>
      <c r="JI396" s="12" t="s">
        <v>6821</v>
      </c>
      <c r="JJ396" s="12" t="s">
        <v>6822</v>
      </c>
      <c r="JK396" s="12" t="s">
        <v>6823</v>
      </c>
      <c r="JL396" s="12" t="s">
        <v>6824</v>
      </c>
      <c r="JM396" s="12" t="s">
        <v>6825</v>
      </c>
      <c r="JN396" s="12" t="s">
        <v>6826</v>
      </c>
      <c r="JO396" s="12"/>
      <c r="JP396" s="15">
        <f t="shared" si="265"/>
        <v>0</v>
      </c>
      <c r="JQ396" s="15">
        <f t="shared" si="266"/>
        <v>0</v>
      </c>
      <c r="JR396" s="279" t="str">
        <f t="shared" si="267"/>
        <v/>
      </c>
      <c r="JS396" s="17" t="str">
        <f t="shared" si="268"/>
        <v/>
      </c>
      <c r="JT396" s="18" t="str">
        <f t="shared" si="269"/>
        <v/>
      </c>
      <c r="JU396" s="280">
        <f t="shared" si="270"/>
        <v>0</v>
      </c>
      <c r="JV396" s="280">
        <f t="shared" si="271"/>
        <v>0</v>
      </c>
      <c r="JW396" s="319" t="str">
        <f t="shared" si="272"/>
        <v/>
      </c>
      <c r="JX396" s="15">
        <f t="shared" si="273"/>
        <v>0</v>
      </c>
      <c r="JY396" s="15">
        <f t="shared" si="274"/>
        <v>0</v>
      </c>
      <c r="JZ396" s="19" t="str">
        <f t="shared" si="275"/>
        <v/>
      </c>
      <c r="KA396" s="52">
        <f t="shared" si="276"/>
        <v>1</v>
      </c>
      <c r="KB396" s="15">
        <f t="shared" si="277"/>
        <v>110</v>
      </c>
      <c r="KC396" s="15">
        <f t="shared" si="278"/>
        <v>1500</v>
      </c>
      <c r="KD396" s="20">
        <f t="shared" si="279"/>
        <v>13.636363636363637</v>
      </c>
      <c r="KE396" s="52" t="str">
        <f t="shared" si="280"/>
        <v/>
      </c>
      <c r="KF396" s="15">
        <f t="shared" si="281"/>
        <v>0</v>
      </c>
      <c r="KG396" s="15">
        <f t="shared" si="282"/>
        <v>0</v>
      </c>
      <c r="KH396" s="21" t="str">
        <f t="shared" si="283"/>
        <v/>
      </c>
      <c r="KI396" s="52" t="str">
        <f t="shared" si="284"/>
        <v/>
      </c>
      <c r="KJ396" s="15">
        <f t="shared" si="285"/>
        <v>0</v>
      </c>
      <c r="KK396" s="15">
        <f t="shared" si="286"/>
        <v>0</v>
      </c>
      <c r="KL396" s="19" t="str">
        <f t="shared" si="287"/>
        <v/>
      </c>
      <c r="KM396" s="52">
        <f t="shared" si="288"/>
        <v>1</v>
      </c>
      <c r="KN396" s="22">
        <f t="shared" si="289"/>
        <v>77</v>
      </c>
      <c r="KO396" s="22">
        <f t="shared" si="290"/>
        <v>1050</v>
      </c>
      <c r="KP396" s="19">
        <f t="shared" si="291"/>
        <v>13.636363636363637</v>
      </c>
      <c r="KQ396" s="11" t="str">
        <f t="shared" si="292"/>
        <v>1. Neutral</v>
      </c>
      <c r="KR396" s="11" t="str">
        <f t="shared" si="293"/>
        <v>2. Accommodating</v>
      </c>
      <c r="KS396" s="11" t="str">
        <f t="shared" si="294"/>
        <v>1. Neutral</v>
      </c>
      <c r="KT396" s="11" t="str">
        <f t="shared" si="295"/>
        <v>It tested new ways for fighting poverty, but did not measure results of innovation</v>
      </c>
      <c r="KU396" s="11" t="str">
        <f t="shared" si="296"/>
        <v>Moderate advocacy</v>
      </c>
      <c r="KV396" s="11" t="str">
        <f t="shared" si="297"/>
        <v>It did not take tested solutions to scale</v>
      </c>
      <c r="KW396" s="11" t="str">
        <f t="shared" si="298"/>
        <v>Kosovo - Support to Agribusiness of the Gjilan/Gnjilane Region</v>
      </c>
      <c r="KX396" s="11" t="str">
        <f t="shared" si="299"/>
        <v>Support to Agribusiness of the Gjilan/Gnjilane Region</v>
      </c>
      <c r="KY396" s="11" t="str">
        <f t="shared" si="300"/>
        <v>Kosovo</v>
      </c>
      <c r="KZ396" s="12">
        <v>396</v>
      </c>
    </row>
    <row r="397" spans="1:312" x14ac:dyDescent="0.3">
      <c r="A397" s="12" t="s">
        <v>6805</v>
      </c>
      <c r="B397" s="12" t="s">
        <v>602</v>
      </c>
      <c r="C397" s="12">
        <v>2806</v>
      </c>
      <c r="D397" s="12" t="s">
        <v>603</v>
      </c>
      <c r="E397" s="277" t="str">
        <f t="shared" si="258"/>
        <v>Kosovo</v>
      </c>
      <c r="F397" s="12" t="s">
        <v>604</v>
      </c>
      <c r="G397" s="12" t="s">
        <v>605</v>
      </c>
      <c r="H397" s="12" t="s">
        <v>310</v>
      </c>
      <c r="I397" s="12" t="s">
        <v>606</v>
      </c>
      <c r="J397" s="281" t="s">
        <v>792</v>
      </c>
      <c r="K397" s="12" t="s">
        <v>607</v>
      </c>
      <c r="L397" s="12" t="s">
        <v>608</v>
      </c>
      <c r="M397" s="12" t="s">
        <v>383</v>
      </c>
      <c r="N397" s="12" t="s">
        <v>384</v>
      </c>
      <c r="O397" s="278" t="s">
        <v>8164</v>
      </c>
      <c r="P397" s="12"/>
      <c r="Q397" s="12"/>
      <c r="R397" s="12" t="s">
        <v>383</v>
      </c>
      <c r="S397" s="12" t="s">
        <v>384</v>
      </c>
      <c r="T397" s="12"/>
      <c r="U397" s="12"/>
      <c r="V397" s="12"/>
      <c r="W397" s="12"/>
      <c r="X397" s="12"/>
      <c r="Y397" s="12"/>
      <c r="Z397" s="12"/>
      <c r="AA397" s="12"/>
      <c r="AB397" s="12"/>
      <c r="AC397" s="12"/>
      <c r="AD397" s="12"/>
      <c r="BD397" s="13">
        <v>41609</v>
      </c>
      <c r="BE397" s="13">
        <v>42704</v>
      </c>
      <c r="BF397" s="12"/>
      <c r="BG397" s="12" t="s">
        <v>609</v>
      </c>
      <c r="BH397" s="14">
        <v>1471221</v>
      </c>
      <c r="BI397" s="12" t="s">
        <v>6841</v>
      </c>
      <c r="BJ397" s="12" t="s">
        <v>611</v>
      </c>
      <c r="BK397" s="12" t="s">
        <v>612</v>
      </c>
      <c r="BL397" s="12" t="s">
        <v>6842</v>
      </c>
      <c r="BM397" s="12" t="s">
        <v>354</v>
      </c>
      <c r="BN397" s="12" t="s">
        <v>613</v>
      </c>
      <c r="BO397" s="12" t="s">
        <v>319</v>
      </c>
      <c r="BP397" s="12" t="s">
        <v>320</v>
      </c>
      <c r="BQ397" s="12" t="s">
        <v>319</v>
      </c>
      <c r="BR397" s="12" t="s">
        <v>614</v>
      </c>
      <c r="BS397" s="12" t="s">
        <v>615</v>
      </c>
      <c r="BT397" s="12" t="s">
        <v>616</v>
      </c>
      <c r="BU397" s="12" t="s">
        <v>617</v>
      </c>
      <c r="BV397" s="14">
        <v>31</v>
      </c>
      <c r="BW397" s="14">
        <v>123</v>
      </c>
      <c r="BX397" s="14">
        <v>154</v>
      </c>
      <c r="BY397" s="14">
        <v>1000</v>
      </c>
      <c r="BZ397" s="14">
        <v>4400</v>
      </c>
      <c r="CA397" s="14">
        <v>5400</v>
      </c>
      <c r="CB397" s="12" t="s">
        <v>6843</v>
      </c>
      <c r="CD397" s="14"/>
      <c r="CE397" s="14"/>
      <c r="CF397" s="14"/>
      <c r="CG397" s="14"/>
      <c r="CH397" s="14"/>
      <c r="CI397" s="14"/>
      <c r="CJ397" s="12"/>
      <c r="CK397" s="14"/>
      <c r="CL397" s="16"/>
      <c r="CM397" s="14"/>
      <c r="CN397" s="12"/>
      <c r="CO397" s="14"/>
      <c r="CP397" s="16"/>
      <c r="CQ397" s="14"/>
      <c r="CR397" s="12"/>
      <c r="CS397" s="14"/>
      <c r="CT397" s="16"/>
      <c r="CU397" s="14"/>
      <c r="CV397" s="12"/>
      <c r="CW397" s="14"/>
      <c r="CX397" s="16"/>
      <c r="CY397" s="14"/>
      <c r="CZ397" s="12"/>
      <c r="DA397" s="14"/>
      <c r="DB397" s="16"/>
      <c r="DC397" s="14"/>
      <c r="DD397" s="12"/>
      <c r="DE397" s="14"/>
      <c r="DF397" s="16"/>
      <c r="DG397" s="14"/>
      <c r="DH397" s="12"/>
      <c r="DI397" s="14"/>
      <c r="DJ397" s="16"/>
      <c r="DK397" s="14"/>
      <c r="DL397" s="12"/>
      <c r="DM397" s="14"/>
      <c r="DN397" s="16"/>
      <c r="DO397" s="14"/>
      <c r="DP397" s="12"/>
      <c r="DQ397" s="14"/>
      <c r="DR397" s="16"/>
      <c r="DS397" s="14"/>
      <c r="DT397" s="12"/>
      <c r="DU397" s="14"/>
      <c r="DV397" s="16"/>
      <c r="DW397" s="14"/>
      <c r="DX397" s="12"/>
      <c r="DY397" s="14"/>
      <c r="DZ397" s="16"/>
      <c r="EA397" s="14"/>
      <c r="EB397" s="12"/>
      <c r="EC397" s="14"/>
      <c r="ED397" s="16"/>
      <c r="EE397" s="14"/>
      <c r="EF397" s="12"/>
      <c r="EG397" s="12"/>
      <c r="EH397" s="14"/>
      <c r="EI397" s="16"/>
      <c r="EJ397" s="14"/>
      <c r="EK397" s="14">
        <v>140</v>
      </c>
      <c r="EL397" s="14">
        <v>502</v>
      </c>
      <c r="EM397" s="14">
        <v>642</v>
      </c>
      <c r="EN397" s="14">
        <v>2119</v>
      </c>
      <c r="EO397" s="14">
        <v>3329</v>
      </c>
      <c r="EP397" s="14">
        <v>5448</v>
      </c>
      <c r="EQ397" s="12"/>
      <c r="ER397" s="14"/>
      <c r="ES397" s="16"/>
      <c r="ET397" s="14"/>
      <c r="EU397" s="12"/>
      <c r="EV397" s="14"/>
      <c r="EW397" s="16"/>
      <c r="EX397" s="14"/>
      <c r="EY397" s="12"/>
      <c r="EZ397" s="14"/>
      <c r="FA397" s="16"/>
      <c r="FB397" s="14"/>
      <c r="FC397" s="12"/>
      <c r="FD397" s="14"/>
      <c r="FE397" s="16"/>
      <c r="FF397" s="14"/>
      <c r="FG397" s="12"/>
      <c r="FH397" s="14"/>
      <c r="FI397" s="16"/>
      <c r="FJ397" s="14"/>
      <c r="FK397" s="12" t="s">
        <v>320</v>
      </c>
      <c r="FL397" s="14">
        <v>642</v>
      </c>
      <c r="FM397" s="16">
        <v>0.22</v>
      </c>
      <c r="FN397" s="14"/>
      <c r="FO397" s="12"/>
      <c r="FP397" s="14"/>
      <c r="FQ397" s="16"/>
      <c r="FR397" s="14"/>
      <c r="FS397" s="12" t="s">
        <v>320</v>
      </c>
      <c r="FT397" s="14">
        <v>5448</v>
      </c>
      <c r="FU397" s="16">
        <v>0.39</v>
      </c>
      <c r="FV397" s="14"/>
      <c r="FW397" s="11" t="s">
        <v>320</v>
      </c>
      <c r="FX397" s="14">
        <v>5448</v>
      </c>
      <c r="FY397" s="16">
        <v>0.39</v>
      </c>
      <c r="FZ397" s="14"/>
      <c r="GA397" s="12"/>
      <c r="GB397" s="14"/>
      <c r="GC397" s="16"/>
      <c r="GD397" s="14"/>
      <c r="GE397" s="12"/>
      <c r="GF397" s="14"/>
      <c r="GG397" s="16"/>
      <c r="GH397" s="14"/>
      <c r="GI397" s="12"/>
      <c r="GJ397" s="14"/>
      <c r="GK397" s="16"/>
      <c r="GL397" s="14"/>
      <c r="GM397" s="12"/>
      <c r="GN397" s="14"/>
      <c r="GO397" s="16"/>
      <c r="GP397" s="14"/>
      <c r="GQ397" s="12" t="s">
        <v>320</v>
      </c>
      <c r="GR397" s="14">
        <v>642</v>
      </c>
      <c r="GS397" s="16">
        <v>0.3</v>
      </c>
      <c r="GT397" s="14"/>
      <c r="GU397" s="12"/>
      <c r="GV397" s="14"/>
      <c r="GW397" s="16"/>
      <c r="GX397" s="14"/>
      <c r="GY397" s="12"/>
      <c r="GZ397" s="14"/>
      <c r="HA397" s="16"/>
      <c r="HB397" s="14"/>
      <c r="HC397" s="12"/>
      <c r="HD397" s="12"/>
      <c r="HE397" s="14"/>
      <c r="HF397" s="16"/>
      <c r="HG397" s="14"/>
      <c r="HH397" s="12" t="s">
        <v>319</v>
      </c>
      <c r="HI397" s="12"/>
      <c r="HJ397" s="12"/>
      <c r="HK397" s="12" t="s">
        <v>320</v>
      </c>
      <c r="HL397" s="12" t="s">
        <v>319</v>
      </c>
      <c r="HM397" s="12" t="s">
        <v>619</v>
      </c>
      <c r="HN397" s="12"/>
      <c r="HO397" s="12" t="s">
        <v>620</v>
      </c>
      <c r="HP397" s="12" t="s">
        <v>453</v>
      </c>
      <c r="HQ397" s="12"/>
      <c r="HR397" s="12"/>
      <c r="HS397" s="12"/>
      <c r="HT397" s="12"/>
      <c r="HU397" s="12"/>
      <c r="HV397" s="12"/>
      <c r="HW397" s="12"/>
      <c r="HX397" s="12"/>
      <c r="HY397" s="12"/>
      <c r="HZ397" s="12" t="s">
        <v>394</v>
      </c>
      <c r="IA397" s="12" t="s">
        <v>6844</v>
      </c>
      <c r="IB397" s="12" t="s">
        <v>396</v>
      </c>
      <c r="IC397" s="12"/>
      <c r="ID397" s="12" t="s">
        <v>477</v>
      </c>
      <c r="IE397" s="12" t="s">
        <v>478</v>
      </c>
      <c r="IF397" s="12" t="s">
        <v>320</v>
      </c>
      <c r="IG397" s="12" t="s">
        <v>320</v>
      </c>
      <c r="IH397" s="12" t="s">
        <v>320</v>
      </c>
      <c r="II397" s="12" t="s">
        <v>320</v>
      </c>
      <c r="IJ397" s="12" t="str">
        <f t="shared" si="259"/>
        <v>4. Transformative</v>
      </c>
      <c r="IK397" s="12">
        <f t="shared" si="260"/>
        <v>4</v>
      </c>
      <c r="IL397" s="11" t="s">
        <v>621</v>
      </c>
      <c r="IM397" s="12" t="s">
        <v>320</v>
      </c>
      <c r="IN397" s="12" t="s">
        <v>320</v>
      </c>
      <c r="IO397" s="12" t="s">
        <v>320</v>
      </c>
      <c r="IP397" s="12" t="s">
        <v>320</v>
      </c>
      <c r="IQ397" s="12" t="str">
        <f t="shared" si="261"/>
        <v>4. Transformational</v>
      </c>
      <c r="IR397" s="12">
        <f t="shared" si="262"/>
        <v>4</v>
      </c>
      <c r="IS397" s="12" t="s">
        <v>622</v>
      </c>
      <c r="IT397" s="12" t="s">
        <v>320</v>
      </c>
      <c r="IU397" s="12" t="s">
        <v>320</v>
      </c>
      <c r="IV397" s="12" t="s">
        <v>320</v>
      </c>
      <c r="IW397" s="11" t="str">
        <f t="shared" si="263"/>
        <v>4. Transformative</v>
      </c>
      <c r="IX397" s="12">
        <f t="shared" si="264"/>
        <v>3</v>
      </c>
      <c r="IY397" s="12" t="s">
        <v>338</v>
      </c>
      <c r="IZ397" s="12" t="s">
        <v>527</v>
      </c>
      <c r="JA397" s="12">
        <v>2</v>
      </c>
      <c r="JB397" s="12" t="s">
        <v>433</v>
      </c>
      <c r="JC397" s="12" t="s">
        <v>623</v>
      </c>
      <c r="JD397" s="12" t="s">
        <v>624</v>
      </c>
      <c r="JE397" s="12" t="s">
        <v>340</v>
      </c>
      <c r="JF397" s="12" t="s">
        <v>3144</v>
      </c>
      <c r="JG397" s="12" t="s">
        <v>626</v>
      </c>
      <c r="JH397" s="12" t="s">
        <v>6845</v>
      </c>
      <c r="JI397" s="12" t="s">
        <v>6846</v>
      </c>
      <c r="JJ397" s="12" t="s">
        <v>6847</v>
      </c>
      <c r="JK397" s="12" t="s">
        <v>630</v>
      </c>
      <c r="JL397" s="12" t="s">
        <v>6848</v>
      </c>
      <c r="JM397" s="12" t="s">
        <v>632</v>
      </c>
      <c r="JN397" s="12" t="s">
        <v>6849</v>
      </c>
      <c r="JO397" s="12" t="s">
        <v>634</v>
      </c>
      <c r="JP397" s="15">
        <f t="shared" si="265"/>
        <v>642</v>
      </c>
      <c r="JQ397" s="15">
        <f t="shared" si="266"/>
        <v>5448</v>
      </c>
      <c r="JR397" s="279">
        <f t="shared" si="267"/>
        <v>8.4859813084112155</v>
      </c>
      <c r="JS397" s="17">
        <f t="shared" si="268"/>
        <v>0.21806853582554517</v>
      </c>
      <c r="JT397" s="18">
        <f t="shared" si="269"/>
        <v>0.38895007342143906</v>
      </c>
      <c r="JU397" s="280">
        <f t="shared" si="270"/>
        <v>140</v>
      </c>
      <c r="JV397" s="280">
        <f t="shared" si="271"/>
        <v>2119</v>
      </c>
      <c r="JW397" s="319" t="str">
        <f t="shared" si="272"/>
        <v/>
      </c>
      <c r="JX397" s="15">
        <f t="shared" si="273"/>
        <v>0</v>
      </c>
      <c r="JY397" s="15">
        <f t="shared" si="274"/>
        <v>0</v>
      </c>
      <c r="JZ397" s="19" t="str">
        <f t="shared" si="275"/>
        <v/>
      </c>
      <c r="KA397" s="52" t="str">
        <f t="shared" si="276"/>
        <v/>
      </c>
      <c r="KB397" s="15">
        <f t="shared" si="277"/>
        <v>0</v>
      </c>
      <c r="KC397" s="15">
        <f t="shared" si="278"/>
        <v>0</v>
      </c>
      <c r="KD397" s="20" t="str">
        <f t="shared" si="279"/>
        <v/>
      </c>
      <c r="KE397" s="52">
        <f t="shared" si="280"/>
        <v>1</v>
      </c>
      <c r="KF397" s="15">
        <f t="shared" si="281"/>
        <v>642</v>
      </c>
      <c r="KG397" s="15">
        <f t="shared" si="282"/>
        <v>0</v>
      </c>
      <c r="KH397" s="21">
        <f t="shared" si="283"/>
        <v>0</v>
      </c>
      <c r="KI397" s="52">
        <f t="shared" si="284"/>
        <v>1</v>
      </c>
      <c r="KJ397" s="15">
        <f t="shared" si="285"/>
        <v>5448</v>
      </c>
      <c r="KK397" s="15">
        <f t="shared" si="286"/>
        <v>0</v>
      </c>
      <c r="KL397" s="19">
        <f t="shared" si="287"/>
        <v>0</v>
      </c>
      <c r="KM397" s="52" t="str">
        <f t="shared" si="288"/>
        <v/>
      </c>
      <c r="KN397" s="22">
        <f t="shared" si="289"/>
        <v>0</v>
      </c>
      <c r="KO397" s="22">
        <f t="shared" si="290"/>
        <v>0</v>
      </c>
      <c r="KP397" s="19" t="str">
        <f t="shared" si="291"/>
        <v/>
      </c>
      <c r="KQ397" s="11" t="str">
        <f t="shared" si="292"/>
        <v>4. Transformative</v>
      </c>
      <c r="KR397" s="11" t="str">
        <f t="shared" si="293"/>
        <v>4. Transformational</v>
      </c>
      <c r="KS397" s="11" t="str">
        <f t="shared" si="294"/>
        <v>4. Transformative</v>
      </c>
      <c r="KT397" s="11" t="str">
        <f t="shared" si="295"/>
        <v>It tested new ways for fighting poverty, but did not measure results of innovation</v>
      </c>
      <c r="KU397" s="11" t="str">
        <f t="shared" si="296"/>
        <v>Intensive advocacy</v>
      </c>
      <c r="KV397" s="11" t="str">
        <f t="shared" si="297"/>
        <v>It linked and worked with strategic alliances and partners to take tested and effective solutions to scale</v>
      </c>
      <c r="KW397" s="11" t="str">
        <f t="shared" si="298"/>
        <v>Kosovo - The Boys and Men as Allies in Violence Prevention and Gender Transformation in the Western Balkans</v>
      </c>
      <c r="KX397" s="11" t="str">
        <f t="shared" si="299"/>
        <v>The Boys and Men as Allies in Violence Prevention and Gender Transformation in the Western Balkans</v>
      </c>
      <c r="KY397" s="11" t="str">
        <f t="shared" si="300"/>
        <v>Kosovo</v>
      </c>
      <c r="KZ397" s="12">
        <v>397</v>
      </c>
    </row>
    <row r="398" spans="1:312" x14ac:dyDescent="0.3">
      <c r="A398" s="12" t="s">
        <v>6850</v>
      </c>
      <c r="B398" s="12" t="s">
        <v>306</v>
      </c>
      <c r="C398" s="12"/>
      <c r="D398" s="12" t="s">
        <v>6910</v>
      </c>
      <c r="E398" s="277" t="str">
        <f t="shared" si="258"/>
        <v>Laos</v>
      </c>
      <c r="F398" s="12" t="s">
        <v>6911</v>
      </c>
      <c r="G398" s="12" t="s">
        <v>1853</v>
      </c>
      <c r="H398" s="12" t="s">
        <v>384</v>
      </c>
      <c r="I398" s="12" t="s">
        <v>384</v>
      </c>
      <c r="J398" s="281" t="s">
        <v>14712</v>
      </c>
      <c r="K398" s="12"/>
      <c r="L398" s="12"/>
      <c r="M398" s="12"/>
      <c r="N398" s="12"/>
      <c r="O398" s="12"/>
      <c r="P398" s="12"/>
      <c r="Q398" s="12"/>
      <c r="R398" s="12"/>
      <c r="S398" s="12"/>
      <c r="T398" s="12"/>
      <c r="U398" s="12"/>
      <c r="V398" s="12"/>
      <c r="W398" s="12"/>
      <c r="X398" s="12"/>
      <c r="Y398" s="12"/>
      <c r="Z398" s="12"/>
      <c r="AA398" s="12"/>
      <c r="AB398" s="12"/>
      <c r="AC398" s="12"/>
      <c r="AD398" s="12"/>
      <c r="BD398" s="13">
        <v>42283</v>
      </c>
      <c r="BE398" s="13">
        <v>43465</v>
      </c>
      <c r="BF398" s="12"/>
      <c r="BG398" s="12" t="s">
        <v>749</v>
      </c>
      <c r="BH398" s="14">
        <v>493184</v>
      </c>
      <c r="BI398" s="12" t="s">
        <v>6896</v>
      </c>
      <c r="BJ398" s="12" t="s">
        <v>6912</v>
      </c>
      <c r="BK398" s="12" t="s">
        <v>6880</v>
      </c>
      <c r="BL398" s="12" t="s">
        <v>6913</v>
      </c>
      <c r="BM398" s="12" t="s">
        <v>6914</v>
      </c>
      <c r="BN398" s="12" t="s">
        <v>6915</v>
      </c>
      <c r="BO398" s="12" t="s">
        <v>319</v>
      </c>
      <c r="BP398" s="12" t="s">
        <v>320</v>
      </c>
      <c r="BQ398" s="12" t="s">
        <v>319</v>
      </c>
      <c r="BR398" s="12" t="s">
        <v>6916</v>
      </c>
      <c r="BS398" s="12" t="s">
        <v>357</v>
      </c>
      <c r="BT398" s="12" t="s">
        <v>6917</v>
      </c>
      <c r="BU398" s="12" t="s">
        <v>6918</v>
      </c>
      <c r="BV398" s="14">
        <v>262</v>
      </c>
      <c r="BW398" s="14">
        <v>42</v>
      </c>
      <c r="BX398" s="14">
        <v>304</v>
      </c>
      <c r="BY398" s="14">
        <v>524</v>
      </c>
      <c r="BZ398" s="14">
        <v>84</v>
      </c>
      <c r="CA398" s="14">
        <v>608</v>
      </c>
      <c r="CB398" s="12" t="s">
        <v>6919</v>
      </c>
      <c r="CD398" s="14"/>
      <c r="CE398" s="14"/>
      <c r="CF398" s="14"/>
      <c r="CG398" s="14"/>
      <c r="CH398" s="14"/>
      <c r="CI398" s="14"/>
      <c r="CJ398" s="12"/>
      <c r="CK398" s="14"/>
      <c r="CL398" s="16"/>
      <c r="CM398" s="14"/>
      <c r="CN398" s="12"/>
      <c r="CO398" s="14"/>
      <c r="CP398" s="16"/>
      <c r="CQ398" s="14"/>
      <c r="CR398" s="12"/>
      <c r="CS398" s="14"/>
      <c r="CT398" s="16"/>
      <c r="CU398" s="14"/>
      <c r="CV398" s="12"/>
      <c r="CW398" s="14"/>
      <c r="CX398" s="16"/>
      <c r="CY398" s="14"/>
      <c r="CZ398" s="12"/>
      <c r="DA398" s="14"/>
      <c r="DB398" s="16"/>
      <c r="DC398" s="14"/>
      <c r="DD398" s="12"/>
      <c r="DE398" s="14"/>
      <c r="DF398" s="16"/>
      <c r="DG398" s="14"/>
      <c r="DH398" s="12"/>
      <c r="DI398" s="14"/>
      <c r="DJ398" s="16"/>
      <c r="DK398" s="14"/>
      <c r="DL398" s="12"/>
      <c r="DM398" s="14"/>
      <c r="DN398" s="16"/>
      <c r="DO398" s="14"/>
      <c r="DP398" s="12"/>
      <c r="DQ398" s="14"/>
      <c r="DR398" s="16"/>
      <c r="DS398" s="14"/>
      <c r="DT398" s="12"/>
      <c r="DU398" s="14"/>
      <c r="DV398" s="16"/>
      <c r="DW398" s="14"/>
      <c r="DX398" s="12"/>
      <c r="DY398" s="14"/>
      <c r="DZ398" s="16"/>
      <c r="EA398" s="14"/>
      <c r="EB398" s="12"/>
      <c r="EC398" s="14"/>
      <c r="ED398" s="16"/>
      <c r="EE398" s="14"/>
      <c r="EF398" s="12"/>
      <c r="EG398" s="12"/>
      <c r="EH398" s="14"/>
      <c r="EI398" s="16"/>
      <c r="EJ398" s="14"/>
      <c r="EK398" s="14">
        <v>262</v>
      </c>
      <c r="EL398" s="14">
        <v>42</v>
      </c>
      <c r="EM398" s="14">
        <v>304</v>
      </c>
      <c r="EN398" s="14">
        <v>524</v>
      </c>
      <c r="EO398" s="14">
        <v>84</v>
      </c>
      <c r="EP398" s="14">
        <v>608</v>
      </c>
      <c r="EQ398" s="12" t="s">
        <v>320</v>
      </c>
      <c r="ER398" s="14">
        <v>304</v>
      </c>
      <c r="ES398" s="16">
        <v>0.86</v>
      </c>
      <c r="ET398" s="14">
        <v>608</v>
      </c>
      <c r="EU398" s="11" t="s">
        <v>320</v>
      </c>
      <c r="EV398" s="14">
        <v>304</v>
      </c>
      <c r="EW398" s="16">
        <v>0.86</v>
      </c>
      <c r="EX398" s="14">
        <v>608</v>
      </c>
      <c r="EY398" s="12"/>
      <c r="EZ398" s="14"/>
      <c r="FA398" s="16"/>
      <c r="FB398" s="14"/>
      <c r="FC398" s="12"/>
      <c r="FD398" s="14"/>
      <c r="FE398" s="16"/>
      <c r="FF398" s="14"/>
      <c r="FG398" s="12"/>
      <c r="FH398" s="14"/>
      <c r="FI398" s="16"/>
      <c r="FJ398" s="14"/>
      <c r="FK398" s="12"/>
      <c r="FL398" s="14"/>
      <c r="FM398" s="16"/>
      <c r="FN398" s="14"/>
      <c r="FO398" s="12"/>
      <c r="FP398" s="14"/>
      <c r="FQ398" s="16"/>
      <c r="FR398" s="14"/>
      <c r="FS398" s="12"/>
      <c r="FT398" s="14"/>
      <c r="FU398" s="16"/>
      <c r="FV398" s="14"/>
      <c r="FW398" s="12"/>
      <c r="FX398" s="14"/>
      <c r="FY398" s="16"/>
      <c r="FZ398" s="14"/>
      <c r="GA398" s="12"/>
      <c r="GB398" s="14"/>
      <c r="GC398" s="16"/>
      <c r="GD398" s="14"/>
      <c r="GE398" s="12"/>
      <c r="GF398" s="14"/>
      <c r="GG398" s="16"/>
      <c r="GH398" s="14"/>
      <c r="GI398" s="12"/>
      <c r="GJ398" s="14"/>
      <c r="GK398" s="16"/>
      <c r="GL398" s="14"/>
      <c r="GM398" s="12"/>
      <c r="GN398" s="14"/>
      <c r="GO398" s="16"/>
      <c r="GP398" s="14"/>
      <c r="GQ398" s="12"/>
      <c r="GR398" s="14"/>
      <c r="GS398" s="16"/>
      <c r="GT398" s="14"/>
      <c r="GU398" s="12"/>
      <c r="GV398" s="14"/>
      <c r="GW398" s="16"/>
      <c r="GX398" s="14"/>
      <c r="GY398" s="12"/>
      <c r="GZ398" s="14"/>
      <c r="HA398" s="16"/>
      <c r="HB398" s="14"/>
      <c r="HC398" s="12"/>
      <c r="HD398" s="12"/>
      <c r="HE398" s="14"/>
      <c r="HF398" s="16"/>
      <c r="HG398" s="14"/>
      <c r="HH398" s="12" t="s">
        <v>319</v>
      </c>
      <c r="HI398" s="12"/>
      <c r="HJ398" s="12"/>
      <c r="HK398" s="12" t="s">
        <v>319</v>
      </c>
      <c r="HL398" s="12" t="s">
        <v>319</v>
      </c>
      <c r="HM398" s="12"/>
      <c r="HN398" s="12"/>
      <c r="HO398" s="12"/>
      <c r="HP398" s="12" t="s">
        <v>418</v>
      </c>
      <c r="HQ398" s="12" t="s">
        <v>319</v>
      </c>
      <c r="HR398" s="12" t="s">
        <v>319</v>
      </c>
      <c r="HS398" s="12" t="s">
        <v>320</v>
      </c>
      <c r="HT398" s="12" t="s">
        <v>319</v>
      </c>
      <c r="HU398" s="12" t="s">
        <v>319</v>
      </c>
      <c r="HV398" s="12" t="s">
        <v>319</v>
      </c>
      <c r="HW398" s="12" t="s">
        <v>319</v>
      </c>
      <c r="HX398" s="12" t="s">
        <v>319</v>
      </c>
      <c r="HY398" s="12"/>
      <c r="HZ398" s="12" t="s">
        <v>394</v>
      </c>
      <c r="IA398" s="12" t="s">
        <v>6920</v>
      </c>
      <c r="IB398" s="12" t="s">
        <v>333</v>
      </c>
      <c r="IC398" s="12"/>
      <c r="ID398" s="12" t="s">
        <v>364</v>
      </c>
      <c r="IE398" s="12" t="s">
        <v>335</v>
      </c>
      <c r="IF398" s="12" t="s">
        <v>320</v>
      </c>
      <c r="IG398" s="12" t="s">
        <v>319</v>
      </c>
      <c r="IH398" s="12" t="s">
        <v>320</v>
      </c>
      <c r="II398" s="12" t="s">
        <v>319</v>
      </c>
      <c r="IJ398" s="12" t="str">
        <f t="shared" si="259"/>
        <v>1. Neutral</v>
      </c>
      <c r="IK398" s="12">
        <f t="shared" si="260"/>
        <v>2</v>
      </c>
      <c r="IL398" s="12" t="s">
        <v>336</v>
      </c>
      <c r="IM398" s="12" t="s">
        <v>320</v>
      </c>
      <c r="IN398" s="12" t="s">
        <v>320</v>
      </c>
      <c r="IO398" s="12" t="s">
        <v>320</v>
      </c>
      <c r="IP398" s="12" t="s">
        <v>320</v>
      </c>
      <c r="IQ398" s="12" t="str">
        <f t="shared" si="261"/>
        <v>2. Accommodating</v>
      </c>
      <c r="IR398" s="12">
        <f t="shared" si="262"/>
        <v>4</v>
      </c>
      <c r="IS398" s="12" t="s">
        <v>337</v>
      </c>
      <c r="IT398" s="12" t="s">
        <v>320</v>
      </c>
      <c r="IU398" s="12" t="s">
        <v>320</v>
      </c>
      <c r="IV398" s="12" t="s">
        <v>319</v>
      </c>
      <c r="IW398" s="11" t="str">
        <f t="shared" si="263"/>
        <v>1. Neutral</v>
      </c>
      <c r="IX398" s="12">
        <f t="shared" si="264"/>
        <v>2</v>
      </c>
      <c r="IY398" s="12" t="s">
        <v>758</v>
      </c>
      <c r="IZ398" s="12" t="s">
        <v>432</v>
      </c>
      <c r="JA398" s="12">
        <v>2</v>
      </c>
      <c r="JB398" s="12" t="s">
        <v>623</v>
      </c>
      <c r="JC398" s="12" t="s">
        <v>687</v>
      </c>
      <c r="JD398" s="12"/>
      <c r="JE398" s="12" t="s">
        <v>420</v>
      </c>
      <c r="JF398" s="12"/>
      <c r="JG398" s="12" t="s">
        <v>6921</v>
      </c>
      <c r="JH398" s="12" t="s">
        <v>6589</v>
      </c>
      <c r="JI398" s="12" t="s">
        <v>6922</v>
      </c>
      <c r="JJ398" s="12" t="s">
        <v>6923</v>
      </c>
      <c r="JK398" s="12" t="s">
        <v>6924</v>
      </c>
      <c r="JL398" s="12" t="s">
        <v>6925</v>
      </c>
      <c r="JM398" s="12" t="s">
        <v>6926</v>
      </c>
      <c r="JN398" s="12" t="s">
        <v>6927</v>
      </c>
      <c r="JO398" s="12"/>
      <c r="JP398" s="15">
        <f t="shared" si="265"/>
        <v>304</v>
      </c>
      <c r="JQ398" s="15">
        <f t="shared" si="266"/>
        <v>608</v>
      </c>
      <c r="JR398" s="279">
        <f t="shared" si="267"/>
        <v>2</v>
      </c>
      <c r="JS398" s="17">
        <f t="shared" si="268"/>
        <v>0.86184210526315785</v>
      </c>
      <c r="JT398" s="18">
        <f t="shared" si="269"/>
        <v>0.86184210526315785</v>
      </c>
      <c r="JU398" s="280">
        <f t="shared" si="270"/>
        <v>262</v>
      </c>
      <c r="JV398" s="280">
        <f t="shared" si="271"/>
        <v>524</v>
      </c>
      <c r="JW398" s="319" t="str">
        <f t="shared" si="272"/>
        <v/>
      </c>
      <c r="JX398" s="15">
        <f t="shared" si="273"/>
        <v>0</v>
      </c>
      <c r="JY398" s="15">
        <f t="shared" si="274"/>
        <v>0</v>
      </c>
      <c r="JZ398" s="19" t="str">
        <f t="shared" si="275"/>
        <v/>
      </c>
      <c r="KA398" s="52">
        <f t="shared" si="276"/>
        <v>1</v>
      </c>
      <c r="KB398" s="15">
        <f t="shared" si="277"/>
        <v>304</v>
      </c>
      <c r="KC398" s="15">
        <f t="shared" si="278"/>
        <v>608</v>
      </c>
      <c r="KD398" s="20">
        <f t="shared" si="279"/>
        <v>2</v>
      </c>
      <c r="KE398" s="52" t="str">
        <f t="shared" si="280"/>
        <v/>
      </c>
      <c r="KF398" s="15">
        <f t="shared" si="281"/>
        <v>0</v>
      </c>
      <c r="KG398" s="15">
        <f t="shared" si="282"/>
        <v>0</v>
      </c>
      <c r="KH398" s="21" t="str">
        <f t="shared" si="283"/>
        <v/>
      </c>
      <c r="KI398" s="52" t="str">
        <f t="shared" si="284"/>
        <v/>
      </c>
      <c r="KJ398" s="15">
        <f t="shared" si="285"/>
        <v>0</v>
      </c>
      <c r="KK398" s="15">
        <f t="shared" si="286"/>
        <v>0</v>
      </c>
      <c r="KL398" s="19" t="str">
        <f t="shared" si="287"/>
        <v/>
      </c>
      <c r="KM398" s="52" t="str">
        <f t="shared" si="288"/>
        <v/>
      </c>
      <c r="KN398" s="22">
        <f t="shared" si="289"/>
        <v>0</v>
      </c>
      <c r="KO398" s="22">
        <f t="shared" si="290"/>
        <v>0</v>
      </c>
      <c r="KP398" s="19" t="str">
        <f t="shared" si="291"/>
        <v/>
      </c>
      <c r="KQ398" s="11" t="str">
        <f t="shared" si="292"/>
        <v>1. Neutral</v>
      </c>
      <c r="KR398" s="11" t="str">
        <f t="shared" si="293"/>
        <v>2. Accommodating</v>
      </c>
      <c r="KS398" s="11" t="str">
        <f t="shared" si="294"/>
        <v>1. Neutral</v>
      </c>
      <c r="KT398" s="11" t="str">
        <f t="shared" si="295"/>
        <v>It tested new ways for fighting poverty, but did not measure results of innovation</v>
      </c>
      <c r="KU398" s="11" t="str">
        <f t="shared" si="296"/>
        <v>Little or no advocacy</v>
      </c>
      <c r="KV398" s="11" t="str">
        <f t="shared" si="297"/>
        <v>It did not take tested solutions to scale</v>
      </c>
      <c r="KW398" s="11" t="str">
        <f t="shared" si="298"/>
        <v>Laos - Enhancing adaptive capacity of women and ethnic minority smallholder farmers through improved agro-climate information in South-East Asia (ACIS)</v>
      </c>
      <c r="KX398" s="11" t="str">
        <f t="shared" si="299"/>
        <v>Enhancing adaptive capacity of women and ethnic minority smallholder farmers through improved agro-climate information in South-East Asia (ACIS)</v>
      </c>
      <c r="KY398" s="11" t="str">
        <f t="shared" si="300"/>
        <v>Laos</v>
      </c>
      <c r="KZ398" s="12">
        <v>398</v>
      </c>
    </row>
    <row r="399" spans="1:312" x14ac:dyDescent="0.3">
      <c r="A399" s="12" t="s">
        <v>6850</v>
      </c>
      <c r="B399" s="12" t="s">
        <v>306</v>
      </c>
      <c r="C399" s="12"/>
      <c r="D399" s="12" t="s">
        <v>7057</v>
      </c>
      <c r="E399" s="277" t="str">
        <f t="shared" si="258"/>
        <v>Laos</v>
      </c>
      <c r="F399" s="12" t="s">
        <v>7058</v>
      </c>
      <c r="G399" s="12" t="s">
        <v>488</v>
      </c>
      <c r="H399" s="12" t="s">
        <v>384</v>
      </c>
      <c r="I399" s="12" t="s">
        <v>384</v>
      </c>
      <c r="J399" s="281" t="s">
        <v>2248</v>
      </c>
      <c r="K399" s="12"/>
      <c r="L399" s="12"/>
      <c r="M399" s="12"/>
      <c r="N399" s="12"/>
      <c r="O399" s="12"/>
      <c r="P399" s="12"/>
      <c r="Q399" s="12"/>
      <c r="R399" s="12"/>
      <c r="S399" s="12"/>
      <c r="T399" s="12"/>
      <c r="U399" s="12"/>
      <c r="V399" s="12"/>
      <c r="W399" s="12"/>
      <c r="X399" s="12"/>
      <c r="Y399" s="12"/>
      <c r="Z399" s="12"/>
      <c r="AA399" s="12"/>
      <c r="AB399" s="12"/>
      <c r="AC399" s="12"/>
      <c r="AD399" s="12"/>
      <c r="BD399" s="13">
        <v>42461</v>
      </c>
      <c r="BE399" s="13">
        <v>43555</v>
      </c>
      <c r="BF399" s="12"/>
      <c r="BG399" s="12" t="s">
        <v>490</v>
      </c>
      <c r="BH399" s="14">
        <v>286000</v>
      </c>
      <c r="BI399" s="12" t="s">
        <v>6855</v>
      </c>
      <c r="BJ399" s="12" t="s">
        <v>7059</v>
      </c>
      <c r="BK399" s="12" t="s">
        <v>6982</v>
      </c>
      <c r="BL399" s="12" t="s">
        <v>6896</v>
      </c>
      <c r="BM399" s="12" t="s">
        <v>6912</v>
      </c>
      <c r="BN399" s="12" t="s">
        <v>6880</v>
      </c>
      <c r="BO399" s="12" t="s">
        <v>319</v>
      </c>
      <c r="BP399" s="12" t="s">
        <v>320</v>
      </c>
      <c r="BQ399" s="12" t="s">
        <v>319</v>
      </c>
      <c r="BR399" s="12" t="s">
        <v>7060</v>
      </c>
      <c r="BS399" s="12" t="s">
        <v>357</v>
      </c>
      <c r="BT399" s="12" t="s">
        <v>7061</v>
      </c>
      <c r="BU399" s="12" t="s">
        <v>7062</v>
      </c>
      <c r="BV399" s="14">
        <v>5320</v>
      </c>
      <c r="BW399" s="14">
        <v>1320</v>
      </c>
      <c r="BX399" s="14">
        <v>6640</v>
      </c>
      <c r="BY399" s="14">
        <v>10640</v>
      </c>
      <c r="BZ399" s="14">
        <v>2640</v>
      </c>
      <c r="CA399" s="14">
        <v>13280</v>
      </c>
      <c r="CB399" s="12" t="s">
        <v>7063</v>
      </c>
      <c r="CD399" s="14"/>
      <c r="CE399" s="14"/>
      <c r="CF399" s="14"/>
      <c r="CG399" s="14"/>
      <c r="CH399" s="14"/>
      <c r="CI399" s="14"/>
      <c r="CJ399" s="12"/>
      <c r="CK399" s="14"/>
      <c r="CL399" s="16"/>
      <c r="CM399" s="14"/>
      <c r="CN399" s="12"/>
      <c r="CO399" s="14"/>
      <c r="CP399" s="16"/>
      <c r="CQ399" s="14"/>
      <c r="CR399" s="12"/>
      <c r="CS399" s="14"/>
      <c r="CT399" s="16"/>
      <c r="CU399" s="14"/>
      <c r="CV399" s="12"/>
      <c r="CW399" s="14"/>
      <c r="CX399" s="16"/>
      <c r="CY399" s="14"/>
      <c r="CZ399" s="12"/>
      <c r="DA399" s="14"/>
      <c r="DB399" s="16"/>
      <c r="DC399" s="14"/>
      <c r="DD399" s="12"/>
      <c r="DE399" s="14"/>
      <c r="DF399" s="16"/>
      <c r="DG399" s="14"/>
      <c r="DH399" s="12"/>
      <c r="DI399" s="14"/>
      <c r="DJ399" s="16"/>
      <c r="DK399" s="14"/>
      <c r="DL399" s="12"/>
      <c r="DM399" s="14"/>
      <c r="DN399" s="16"/>
      <c r="DO399" s="14"/>
      <c r="DP399" s="12"/>
      <c r="DQ399" s="14"/>
      <c r="DR399" s="16"/>
      <c r="DS399" s="14"/>
      <c r="DT399" s="12"/>
      <c r="DU399" s="14"/>
      <c r="DV399" s="16"/>
      <c r="DW399" s="14"/>
      <c r="DX399" s="12"/>
      <c r="DY399" s="14"/>
      <c r="DZ399" s="16"/>
      <c r="EA399" s="14"/>
      <c r="EB399" s="12"/>
      <c r="EC399" s="14"/>
      <c r="ED399" s="16"/>
      <c r="EE399" s="14"/>
      <c r="EF399" s="12"/>
      <c r="EG399" s="12"/>
      <c r="EH399" s="14"/>
      <c r="EI399" s="16"/>
      <c r="EJ399" s="14"/>
      <c r="EK399" s="14">
        <v>2378</v>
      </c>
      <c r="EL399" s="14">
        <v>169</v>
      </c>
      <c r="EM399" s="14">
        <v>2547</v>
      </c>
      <c r="EN399" s="14">
        <v>4756</v>
      </c>
      <c r="EO399" s="14">
        <v>338</v>
      </c>
      <c r="EP399" s="14">
        <v>5094</v>
      </c>
      <c r="EQ399" s="12" t="s">
        <v>319</v>
      </c>
      <c r="ER399" s="14"/>
      <c r="ES399" s="16"/>
      <c r="ET399" s="14"/>
      <c r="EU399" s="11" t="s">
        <v>319</v>
      </c>
      <c r="EV399" s="14"/>
      <c r="EW399" s="16"/>
      <c r="EX399" s="14"/>
      <c r="EY399" s="12" t="s">
        <v>319</v>
      </c>
      <c r="EZ399" s="14"/>
      <c r="FA399" s="16"/>
      <c r="FB399" s="14"/>
      <c r="FC399" s="12" t="s">
        <v>319</v>
      </c>
      <c r="FD399" s="14"/>
      <c r="FE399" s="16"/>
      <c r="FF399" s="14"/>
      <c r="FG399" s="12" t="s">
        <v>319</v>
      </c>
      <c r="FH399" s="14"/>
      <c r="FI399" s="16"/>
      <c r="FJ399" s="14"/>
      <c r="FK399" s="12" t="s">
        <v>319</v>
      </c>
      <c r="FL399" s="14"/>
      <c r="FM399" s="16"/>
      <c r="FN399" s="14"/>
      <c r="FO399" s="12" t="s">
        <v>319</v>
      </c>
      <c r="FP399" s="14"/>
      <c r="FQ399" s="16"/>
      <c r="FR399" s="14"/>
      <c r="FS399" s="12" t="s">
        <v>319</v>
      </c>
      <c r="FT399" s="14"/>
      <c r="FU399" s="16"/>
      <c r="FV399" s="14"/>
      <c r="FW399" s="12" t="s">
        <v>319</v>
      </c>
      <c r="FX399" s="14"/>
      <c r="FY399" s="16"/>
      <c r="FZ399" s="14"/>
      <c r="GA399" s="12" t="s">
        <v>319</v>
      </c>
      <c r="GB399" s="14"/>
      <c r="GC399" s="16"/>
      <c r="GD399" s="14"/>
      <c r="GE399" s="12" t="s">
        <v>319</v>
      </c>
      <c r="GF399" s="14"/>
      <c r="GG399" s="16"/>
      <c r="GH399" s="14"/>
      <c r="GI399" s="12" t="s">
        <v>319</v>
      </c>
      <c r="GJ399" s="14"/>
      <c r="GK399" s="16"/>
      <c r="GL399" s="14"/>
      <c r="GM399" s="12" t="s">
        <v>319</v>
      </c>
      <c r="GN399" s="14"/>
      <c r="GO399" s="16"/>
      <c r="GP399" s="14"/>
      <c r="GQ399" s="12" t="s">
        <v>320</v>
      </c>
      <c r="GR399" s="14">
        <v>2547</v>
      </c>
      <c r="GS399" s="16">
        <v>0.94</v>
      </c>
      <c r="GT399" s="14">
        <v>5094</v>
      </c>
      <c r="GU399" s="12" t="s">
        <v>319</v>
      </c>
      <c r="GV399" s="14"/>
      <c r="GW399" s="16"/>
      <c r="GX399" s="14"/>
      <c r="GY399" s="12" t="s">
        <v>319</v>
      </c>
      <c r="GZ399" s="14"/>
      <c r="HA399" s="16"/>
      <c r="HB399" s="14"/>
      <c r="HC399" s="12"/>
      <c r="HD399" s="12"/>
      <c r="HE399" s="14"/>
      <c r="HF399" s="16"/>
      <c r="HG399" s="14"/>
      <c r="HH399" s="12" t="s">
        <v>319</v>
      </c>
      <c r="HI399" s="12"/>
      <c r="HJ399" s="12"/>
      <c r="HK399" s="12" t="s">
        <v>319</v>
      </c>
      <c r="HL399" s="12" t="s">
        <v>319</v>
      </c>
      <c r="HM399" s="12"/>
      <c r="HN399" s="12"/>
      <c r="HO399" s="12"/>
      <c r="HP399" s="12" t="s">
        <v>418</v>
      </c>
      <c r="HQ399" s="12" t="s">
        <v>319</v>
      </c>
      <c r="HR399" s="12" t="s">
        <v>319</v>
      </c>
      <c r="HS399" s="12" t="s">
        <v>319</v>
      </c>
      <c r="HT399" s="12" t="s">
        <v>320</v>
      </c>
      <c r="HU399" s="12" t="s">
        <v>319</v>
      </c>
      <c r="HV399" s="12" t="s">
        <v>319</v>
      </c>
      <c r="HW399" s="12" t="s">
        <v>319</v>
      </c>
      <c r="HX399" s="12" t="s">
        <v>319</v>
      </c>
      <c r="HY399" s="12"/>
      <c r="HZ399" s="12" t="s">
        <v>363</v>
      </c>
      <c r="IA399" s="12"/>
      <c r="IB399" s="12" t="s">
        <v>333</v>
      </c>
      <c r="IC399" s="12"/>
      <c r="ID399" s="12" t="s">
        <v>364</v>
      </c>
      <c r="IE399" s="12" t="s">
        <v>335</v>
      </c>
      <c r="IF399" s="12" t="s">
        <v>320</v>
      </c>
      <c r="IG399" s="12" t="s">
        <v>320</v>
      </c>
      <c r="IH399" s="12" t="s">
        <v>320</v>
      </c>
      <c r="II399" s="12" t="s">
        <v>320</v>
      </c>
      <c r="IJ399" s="12" t="str">
        <f t="shared" si="259"/>
        <v>2. Sensitive</v>
      </c>
      <c r="IK399" s="12">
        <f t="shared" si="260"/>
        <v>4</v>
      </c>
      <c r="IL399" s="12" t="s">
        <v>336</v>
      </c>
      <c r="IM399" s="12" t="s">
        <v>320</v>
      </c>
      <c r="IN399" s="12" t="s">
        <v>320</v>
      </c>
      <c r="IO399" s="12" t="s">
        <v>320</v>
      </c>
      <c r="IP399" s="12" t="s">
        <v>320</v>
      </c>
      <c r="IQ399" s="12" t="str">
        <f t="shared" si="261"/>
        <v>2. Accommodating</v>
      </c>
      <c r="IR399" s="12">
        <f t="shared" si="262"/>
        <v>4</v>
      </c>
      <c r="IS399" s="12" t="s">
        <v>456</v>
      </c>
      <c r="IT399" s="12" t="s">
        <v>319</v>
      </c>
      <c r="IU399" s="12" t="s">
        <v>319</v>
      </c>
      <c r="IV399" s="12" t="s">
        <v>319</v>
      </c>
      <c r="IW399" s="11" t="str">
        <f t="shared" si="263"/>
        <v>0. Harmful</v>
      </c>
      <c r="IX399" s="12">
        <f t="shared" si="264"/>
        <v>0</v>
      </c>
      <c r="IY399" s="12" t="s">
        <v>338</v>
      </c>
      <c r="IZ399" s="12" t="s">
        <v>527</v>
      </c>
      <c r="JA399" s="12">
        <v>2</v>
      </c>
      <c r="JB399" s="12" t="s">
        <v>687</v>
      </c>
      <c r="JC399" s="12" t="s">
        <v>433</v>
      </c>
      <c r="JD399" s="12"/>
      <c r="JE399" s="12" t="s">
        <v>340</v>
      </c>
      <c r="JF399" s="12" t="s">
        <v>7064</v>
      </c>
      <c r="JG399" s="12"/>
      <c r="JH399" s="12" t="s">
        <v>7065</v>
      </c>
      <c r="JI399" s="12" t="s">
        <v>7066</v>
      </c>
      <c r="JJ399" s="12" t="s">
        <v>7067</v>
      </c>
      <c r="JK399" s="12" t="s">
        <v>7068</v>
      </c>
      <c r="JL399" s="12"/>
      <c r="JM399" s="12"/>
      <c r="JN399" s="12"/>
      <c r="JO399" s="12" t="s">
        <v>7069</v>
      </c>
      <c r="JP399" s="15">
        <f t="shared" si="265"/>
        <v>2547</v>
      </c>
      <c r="JQ399" s="15">
        <f t="shared" si="266"/>
        <v>5094</v>
      </c>
      <c r="JR399" s="279">
        <f t="shared" si="267"/>
        <v>2</v>
      </c>
      <c r="JS399" s="17">
        <f t="shared" si="268"/>
        <v>0.93364742834707504</v>
      </c>
      <c r="JT399" s="18">
        <f t="shared" si="269"/>
        <v>0.93364742834707504</v>
      </c>
      <c r="JU399" s="280">
        <f t="shared" si="270"/>
        <v>2378</v>
      </c>
      <c r="JV399" s="280">
        <f t="shared" si="271"/>
        <v>4756</v>
      </c>
      <c r="JW399" s="319" t="str">
        <f t="shared" si="272"/>
        <v/>
      </c>
      <c r="JX399" s="15">
        <f t="shared" si="273"/>
        <v>0</v>
      </c>
      <c r="JY399" s="15">
        <f t="shared" si="274"/>
        <v>0</v>
      </c>
      <c r="JZ399" s="19" t="str">
        <f t="shared" si="275"/>
        <v/>
      </c>
      <c r="KA399" s="52" t="str">
        <f t="shared" si="276"/>
        <v/>
      </c>
      <c r="KB399" s="15">
        <f t="shared" si="277"/>
        <v>0</v>
      </c>
      <c r="KC399" s="15">
        <f t="shared" si="278"/>
        <v>0</v>
      </c>
      <c r="KD399" s="20" t="str">
        <f t="shared" si="279"/>
        <v/>
      </c>
      <c r="KE399" s="52">
        <f t="shared" si="280"/>
        <v>1</v>
      </c>
      <c r="KF399" s="15">
        <f t="shared" si="281"/>
        <v>2547</v>
      </c>
      <c r="KG399" s="15">
        <f t="shared" si="282"/>
        <v>5094</v>
      </c>
      <c r="KH399" s="21">
        <f t="shared" si="283"/>
        <v>2</v>
      </c>
      <c r="KI399" s="52" t="str">
        <f t="shared" si="284"/>
        <v/>
      </c>
      <c r="KJ399" s="15">
        <f t="shared" si="285"/>
        <v>0</v>
      </c>
      <c r="KK399" s="15">
        <f t="shared" si="286"/>
        <v>0</v>
      </c>
      <c r="KL399" s="19" t="str">
        <f t="shared" si="287"/>
        <v/>
      </c>
      <c r="KM399" s="52" t="str">
        <f t="shared" si="288"/>
        <v/>
      </c>
      <c r="KN399" s="22">
        <f t="shared" si="289"/>
        <v>0</v>
      </c>
      <c r="KO399" s="22">
        <f t="shared" si="290"/>
        <v>0</v>
      </c>
      <c r="KP399" s="19" t="str">
        <f t="shared" si="291"/>
        <v/>
      </c>
      <c r="KQ399" s="11" t="str">
        <f t="shared" si="292"/>
        <v>2. Sensitive</v>
      </c>
      <c r="KR399" s="11" t="str">
        <f t="shared" si="293"/>
        <v>2. Accommodating</v>
      </c>
      <c r="KS399" s="11" t="str">
        <f t="shared" si="294"/>
        <v>0. Harmful</v>
      </c>
      <c r="KT399" s="11" t="str">
        <f t="shared" si="295"/>
        <v>It did not develop any specific innovation</v>
      </c>
      <c r="KU399" s="11" t="str">
        <f t="shared" si="296"/>
        <v>Little or no advocacy</v>
      </c>
      <c r="KV399" s="11" t="str">
        <f t="shared" si="297"/>
        <v>It did not take tested solutions to scale</v>
      </c>
      <c r="KW399" s="11" t="str">
        <f t="shared" si="298"/>
        <v>Laos - GSK (GlaxoSmithKline) 20% Reinvestment</v>
      </c>
      <c r="KX399" s="11" t="str">
        <f t="shared" si="299"/>
        <v>GSK (GlaxoSmithKline) 20% Reinvestment</v>
      </c>
      <c r="KY399" s="11" t="str">
        <f t="shared" si="300"/>
        <v>Laos</v>
      </c>
      <c r="KZ399" s="12">
        <v>399</v>
      </c>
    </row>
    <row r="400" spans="1:312" x14ac:dyDescent="0.3">
      <c r="A400" s="12" t="s">
        <v>6850</v>
      </c>
      <c r="B400" s="12" t="s">
        <v>306</v>
      </c>
      <c r="C400" s="12">
        <v>3095</v>
      </c>
      <c r="D400" s="12" t="s">
        <v>6928</v>
      </c>
      <c r="E400" s="277" t="str">
        <f t="shared" si="258"/>
        <v>Laos</v>
      </c>
      <c r="F400" s="12" t="s">
        <v>6929</v>
      </c>
      <c r="G400" s="12" t="s">
        <v>1853</v>
      </c>
      <c r="H400" s="12" t="s">
        <v>310</v>
      </c>
      <c r="I400" s="12" t="s">
        <v>517</v>
      </c>
      <c r="J400" s="281" t="s">
        <v>14621</v>
      </c>
      <c r="K400" s="12" t="s">
        <v>6929</v>
      </c>
      <c r="L400" s="12" t="s">
        <v>1853</v>
      </c>
      <c r="M400" s="12" t="s">
        <v>384</v>
      </c>
      <c r="N400" s="12" t="s">
        <v>384</v>
      </c>
      <c r="O400" s="12" t="s">
        <v>6930</v>
      </c>
      <c r="P400" s="12"/>
      <c r="Q400" s="12"/>
      <c r="R400" s="12"/>
      <c r="S400" s="12"/>
      <c r="T400" s="12"/>
      <c r="U400" s="12"/>
      <c r="V400" s="12"/>
      <c r="W400" s="12"/>
      <c r="X400" s="12"/>
      <c r="Y400" s="12"/>
      <c r="Z400" s="12"/>
      <c r="AA400" s="12"/>
      <c r="AB400" s="12"/>
      <c r="AC400" s="12"/>
      <c r="AD400" s="12"/>
      <c r="BD400" s="13">
        <v>41710</v>
      </c>
      <c r="BE400" s="13">
        <v>43170</v>
      </c>
      <c r="BF400" s="12"/>
      <c r="BG400" s="12" t="s">
        <v>749</v>
      </c>
      <c r="BH400" s="14">
        <v>2720551</v>
      </c>
      <c r="BI400" s="12" t="s">
        <v>6931</v>
      </c>
      <c r="BJ400" s="12" t="s">
        <v>354</v>
      </c>
      <c r="BK400" s="12" t="s">
        <v>6932</v>
      </c>
      <c r="BL400" s="12" t="s">
        <v>6933</v>
      </c>
      <c r="BM400" s="12" t="s">
        <v>6934</v>
      </c>
      <c r="BN400" s="12" t="s">
        <v>6935</v>
      </c>
      <c r="BO400" s="12" t="s">
        <v>319</v>
      </c>
      <c r="BP400" s="12" t="s">
        <v>320</v>
      </c>
      <c r="BQ400" s="12" t="s">
        <v>319</v>
      </c>
      <c r="BR400" s="12" t="s">
        <v>6936</v>
      </c>
      <c r="BS400" s="12" t="s">
        <v>357</v>
      </c>
      <c r="BT400" s="12" t="s">
        <v>6937</v>
      </c>
      <c r="BU400" s="12" t="s">
        <v>6938</v>
      </c>
      <c r="BV400" s="14">
        <v>1205</v>
      </c>
      <c r="BW400" s="14">
        <v>1255</v>
      </c>
      <c r="BX400" s="14">
        <v>2460</v>
      </c>
      <c r="BY400" s="14">
        <v>8438</v>
      </c>
      <c r="BZ400" s="14">
        <v>8782</v>
      </c>
      <c r="CA400" s="14">
        <v>17220</v>
      </c>
      <c r="CB400" s="12" t="s">
        <v>6939</v>
      </c>
      <c r="CD400" s="14"/>
      <c r="CE400" s="14"/>
      <c r="CF400" s="14"/>
      <c r="CG400" s="14"/>
      <c r="CH400" s="14"/>
      <c r="CI400" s="14"/>
      <c r="CJ400" s="12"/>
      <c r="CK400" s="14"/>
      <c r="CL400" s="16"/>
      <c r="CM400" s="14"/>
      <c r="CN400" s="12"/>
      <c r="CO400" s="14"/>
      <c r="CP400" s="16"/>
      <c r="CQ400" s="14"/>
      <c r="CR400" s="12"/>
      <c r="CS400" s="14"/>
      <c r="CT400" s="16"/>
      <c r="CU400" s="14"/>
      <c r="CV400" s="12"/>
      <c r="CW400" s="14"/>
      <c r="CX400" s="16"/>
      <c r="CY400" s="14"/>
      <c r="CZ400" s="12"/>
      <c r="DA400" s="14"/>
      <c r="DB400" s="16"/>
      <c r="DC400" s="14"/>
      <c r="DD400" s="12"/>
      <c r="DE400" s="14"/>
      <c r="DF400" s="16"/>
      <c r="DG400" s="14"/>
      <c r="DH400" s="12"/>
      <c r="DI400" s="14"/>
      <c r="DJ400" s="16"/>
      <c r="DK400" s="14"/>
      <c r="DL400" s="12"/>
      <c r="DM400" s="14"/>
      <c r="DN400" s="16"/>
      <c r="DO400" s="14"/>
      <c r="DP400" s="12"/>
      <c r="DQ400" s="14"/>
      <c r="DR400" s="16"/>
      <c r="DS400" s="14"/>
      <c r="DT400" s="12"/>
      <c r="DU400" s="14"/>
      <c r="DV400" s="16"/>
      <c r="DW400" s="14"/>
      <c r="DX400" s="12"/>
      <c r="DY400" s="14"/>
      <c r="DZ400" s="16"/>
      <c r="EA400" s="14"/>
      <c r="EB400" s="12"/>
      <c r="EC400" s="14"/>
      <c r="ED400" s="16"/>
      <c r="EE400" s="14"/>
      <c r="EF400" s="12"/>
      <c r="EG400" s="12"/>
      <c r="EH400" s="14"/>
      <c r="EI400" s="16"/>
      <c r="EJ400" s="14"/>
      <c r="EK400" s="14">
        <v>5243</v>
      </c>
      <c r="EL400" s="14">
        <v>1553</v>
      </c>
      <c r="EM400" s="14">
        <v>6796</v>
      </c>
      <c r="EN400" s="14">
        <v>2700</v>
      </c>
      <c r="EO400" s="14">
        <v>2160</v>
      </c>
      <c r="EP400" s="14">
        <v>4860</v>
      </c>
      <c r="EQ400" s="12" t="s">
        <v>320</v>
      </c>
      <c r="ER400" s="14">
        <v>1254</v>
      </c>
      <c r="ES400" s="16">
        <v>0.71</v>
      </c>
      <c r="ET400" s="14">
        <v>1160</v>
      </c>
      <c r="EU400" s="11" t="s">
        <v>320</v>
      </c>
      <c r="EV400" s="14">
        <v>6700</v>
      </c>
      <c r="EW400" s="16">
        <v>0.47</v>
      </c>
      <c r="EX400" s="14">
        <v>5025</v>
      </c>
      <c r="EY400" s="12" t="s">
        <v>319</v>
      </c>
      <c r="EZ400" s="14"/>
      <c r="FA400" s="16"/>
      <c r="FB400" s="14"/>
      <c r="FC400" s="12" t="s">
        <v>319</v>
      </c>
      <c r="FD400" s="14"/>
      <c r="FE400" s="16"/>
      <c r="FF400" s="14"/>
      <c r="FG400" s="12" t="s">
        <v>320</v>
      </c>
      <c r="FH400" s="14">
        <v>1185</v>
      </c>
      <c r="FI400" s="16">
        <v>0.5</v>
      </c>
      <c r="FJ400" s="14">
        <v>7110</v>
      </c>
      <c r="FK400" s="12" t="s">
        <v>319</v>
      </c>
      <c r="FL400" s="14"/>
      <c r="FM400" s="16"/>
      <c r="FN400" s="14"/>
      <c r="FO400" s="12" t="s">
        <v>319</v>
      </c>
      <c r="FP400" s="14"/>
      <c r="FQ400" s="16"/>
      <c r="FR400" s="14"/>
      <c r="FS400" s="12" t="s">
        <v>319</v>
      </c>
      <c r="FT400" s="14"/>
      <c r="FU400" s="16"/>
      <c r="FV400" s="14"/>
      <c r="FW400" s="12" t="s">
        <v>319</v>
      </c>
      <c r="FX400" s="14"/>
      <c r="FY400" s="16"/>
      <c r="FZ400" s="14"/>
      <c r="GA400" s="12" t="s">
        <v>319</v>
      </c>
      <c r="GB400" s="14"/>
      <c r="GC400" s="16"/>
      <c r="GD400" s="14"/>
      <c r="GE400" s="12" t="s">
        <v>319</v>
      </c>
      <c r="GF400" s="14"/>
      <c r="GG400" s="16"/>
      <c r="GH400" s="14"/>
      <c r="GI400" s="11" t="s">
        <v>320</v>
      </c>
      <c r="GJ400" s="14">
        <v>3476</v>
      </c>
      <c r="GK400" s="16">
        <v>0.49</v>
      </c>
      <c r="GL400" s="14"/>
      <c r="GM400" s="12" t="s">
        <v>319</v>
      </c>
      <c r="GN400" s="14"/>
      <c r="GO400" s="16"/>
      <c r="GP400" s="14"/>
      <c r="GQ400" s="12" t="s">
        <v>319</v>
      </c>
      <c r="GR400" s="14"/>
      <c r="GS400" s="16"/>
      <c r="GT400" s="14"/>
      <c r="GU400" s="12" t="s">
        <v>319</v>
      </c>
      <c r="GV400" s="14"/>
      <c r="GW400" s="16"/>
      <c r="GX400" s="14"/>
      <c r="GY400" s="11" t="s">
        <v>320</v>
      </c>
      <c r="GZ400" s="14">
        <v>238</v>
      </c>
      <c r="HA400" s="16">
        <v>1</v>
      </c>
      <c r="HB400" s="14">
        <v>1428</v>
      </c>
      <c r="HC400" s="12"/>
      <c r="HD400" s="12"/>
      <c r="HE400" s="14"/>
      <c r="HF400" s="16"/>
      <c r="HG400" s="14"/>
      <c r="HH400" s="12" t="s">
        <v>319</v>
      </c>
      <c r="HI400" s="12"/>
      <c r="HJ400" s="12"/>
      <c r="HK400" s="12" t="s">
        <v>319</v>
      </c>
      <c r="HL400" s="12" t="s">
        <v>320</v>
      </c>
      <c r="HM400" s="12" t="s">
        <v>544</v>
      </c>
      <c r="HN400" s="12">
        <v>2018</v>
      </c>
      <c r="HO400" s="12" t="s">
        <v>6940</v>
      </c>
      <c r="HP400" s="12" t="s">
        <v>418</v>
      </c>
      <c r="HQ400" s="12" t="s">
        <v>319</v>
      </c>
      <c r="HR400" s="12" t="s">
        <v>319</v>
      </c>
      <c r="HS400" s="12" t="s">
        <v>319</v>
      </c>
      <c r="HT400" s="12" t="s">
        <v>320</v>
      </c>
      <c r="HU400" s="12" t="s">
        <v>320</v>
      </c>
      <c r="HV400" s="12" t="s">
        <v>319</v>
      </c>
      <c r="HW400" s="12" t="s">
        <v>319</v>
      </c>
      <c r="HX400" s="12"/>
      <c r="HY400" s="12"/>
      <c r="HZ400" s="12" t="s">
        <v>363</v>
      </c>
      <c r="IA400" s="12"/>
      <c r="IB400" s="12" t="s">
        <v>333</v>
      </c>
      <c r="IC400" s="12"/>
      <c r="ID400" s="12" t="s">
        <v>364</v>
      </c>
      <c r="IE400" s="12" t="s">
        <v>335</v>
      </c>
      <c r="IF400" s="12" t="s">
        <v>320</v>
      </c>
      <c r="IG400" s="12" t="s">
        <v>320</v>
      </c>
      <c r="IH400" s="12" t="s">
        <v>320</v>
      </c>
      <c r="II400" s="12" t="s">
        <v>320</v>
      </c>
      <c r="IJ400" s="12" t="str">
        <f t="shared" si="259"/>
        <v>2. Sensitive</v>
      </c>
      <c r="IK400" s="12">
        <f t="shared" si="260"/>
        <v>4</v>
      </c>
      <c r="IL400" s="12" t="s">
        <v>336</v>
      </c>
      <c r="IM400" s="12" t="s">
        <v>320</v>
      </c>
      <c r="IN400" s="12" t="s">
        <v>320</v>
      </c>
      <c r="IO400" s="12" t="s">
        <v>320</v>
      </c>
      <c r="IP400" s="12" t="s">
        <v>320</v>
      </c>
      <c r="IQ400" s="12" t="str">
        <f t="shared" si="261"/>
        <v>2. Accommodating</v>
      </c>
      <c r="IR400" s="12">
        <f t="shared" si="262"/>
        <v>4</v>
      </c>
      <c r="IS400" s="12" t="s">
        <v>622</v>
      </c>
      <c r="IT400" s="12" t="s">
        <v>320</v>
      </c>
      <c r="IU400" s="12" t="s">
        <v>320</v>
      </c>
      <c r="IV400" s="12" t="s">
        <v>320</v>
      </c>
      <c r="IW400" s="11" t="str">
        <f t="shared" si="263"/>
        <v>4. Transformative</v>
      </c>
      <c r="IX400" s="12">
        <f t="shared" si="264"/>
        <v>3</v>
      </c>
      <c r="IY400" s="12" t="s">
        <v>758</v>
      </c>
      <c r="IZ400" s="12" t="s">
        <v>527</v>
      </c>
      <c r="JA400" s="12">
        <v>5</v>
      </c>
      <c r="JB400" s="12" t="s">
        <v>687</v>
      </c>
      <c r="JC400" s="12" t="s">
        <v>433</v>
      </c>
      <c r="JD400" s="12" t="s">
        <v>624</v>
      </c>
      <c r="JE400" s="12" t="s">
        <v>340</v>
      </c>
      <c r="JF400" s="12" t="s">
        <v>6941</v>
      </c>
      <c r="JG400" s="12"/>
      <c r="JH400" s="12" t="s">
        <v>6942</v>
      </c>
      <c r="JI400" s="12" t="s">
        <v>6905</v>
      </c>
      <c r="JJ400" s="12" t="s">
        <v>6943</v>
      </c>
      <c r="JK400" s="12" t="s">
        <v>6944</v>
      </c>
      <c r="JL400" s="12" t="s">
        <v>6945</v>
      </c>
      <c r="JM400" s="12" t="s">
        <v>6946</v>
      </c>
      <c r="JN400" s="12" t="s">
        <v>6947</v>
      </c>
      <c r="JO400" s="12" t="s">
        <v>6948</v>
      </c>
      <c r="JP400" s="15">
        <f t="shared" si="265"/>
        <v>6796</v>
      </c>
      <c r="JQ400" s="15">
        <f t="shared" si="266"/>
        <v>4860</v>
      </c>
      <c r="JR400" s="279">
        <f t="shared" si="267"/>
        <v>0.7151265450264862</v>
      </c>
      <c r="JS400" s="17">
        <f t="shared" si="268"/>
        <v>0.77148322542672165</v>
      </c>
      <c r="JT400" s="18">
        <f t="shared" si="269"/>
        <v>0.55555555555555558</v>
      </c>
      <c r="JU400" s="280">
        <f t="shared" si="270"/>
        <v>5243</v>
      </c>
      <c r="JV400" s="280">
        <f t="shared" si="271"/>
        <v>2700</v>
      </c>
      <c r="JW400" s="319" t="str">
        <f t="shared" si="272"/>
        <v/>
      </c>
      <c r="JX400" s="15">
        <f t="shared" si="273"/>
        <v>0</v>
      </c>
      <c r="JY400" s="15">
        <f t="shared" si="274"/>
        <v>0</v>
      </c>
      <c r="JZ400" s="19" t="str">
        <f t="shared" si="275"/>
        <v/>
      </c>
      <c r="KA400" s="52">
        <f t="shared" si="276"/>
        <v>1</v>
      </c>
      <c r="KB400" s="15">
        <f t="shared" si="277"/>
        <v>6700</v>
      </c>
      <c r="KC400" s="15">
        <f t="shared" si="278"/>
        <v>7110</v>
      </c>
      <c r="KD400" s="20">
        <f t="shared" si="279"/>
        <v>1.0611940298507463</v>
      </c>
      <c r="KE400" s="52" t="str">
        <f t="shared" si="280"/>
        <v/>
      </c>
      <c r="KF400" s="15">
        <f t="shared" si="281"/>
        <v>0</v>
      </c>
      <c r="KG400" s="15">
        <f t="shared" si="282"/>
        <v>0</v>
      </c>
      <c r="KH400" s="21" t="str">
        <f t="shared" si="283"/>
        <v/>
      </c>
      <c r="KI400" s="52" t="str">
        <f t="shared" si="284"/>
        <v/>
      </c>
      <c r="KJ400" s="15">
        <f t="shared" si="285"/>
        <v>0</v>
      </c>
      <c r="KK400" s="15">
        <f t="shared" si="286"/>
        <v>0</v>
      </c>
      <c r="KL400" s="19" t="str">
        <f t="shared" si="287"/>
        <v/>
      </c>
      <c r="KM400" s="52">
        <f t="shared" si="288"/>
        <v>1</v>
      </c>
      <c r="KN400" s="22">
        <f t="shared" si="289"/>
        <v>592.5</v>
      </c>
      <c r="KO400" s="22">
        <f t="shared" si="290"/>
        <v>3555</v>
      </c>
      <c r="KP400" s="19">
        <f t="shared" si="291"/>
        <v>6</v>
      </c>
      <c r="KQ400" s="11" t="str">
        <f t="shared" si="292"/>
        <v>2. Sensitive</v>
      </c>
      <c r="KR400" s="11" t="str">
        <f t="shared" si="293"/>
        <v>2. Accommodating</v>
      </c>
      <c r="KS400" s="11" t="str">
        <f t="shared" si="294"/>
        <v>4. Transformative</v>
      </c>
      <c r="KT400" s="11" t="str">
        <f t="shared" si="295"/>
        <v>It did not develop any specific innovation</v>
      </c>
      <c r="KU400" s="11" t="str">
        <f t="shared" si="296"/>
        <v>Little or no advocacy</v>
      </c>
      <c r="KV400" s="11" t="str">
        <f t="shared" si="297"/>
        <v>It did not take tested solutions to scale</v>
      </c>
      <c r="KW400" s="11" t="str">
        <f t="shared" si="298"/>
        <v>Laos - Northern Uplands - Promoting Climate Resilience (NU-PCR)</v>
      </c>
      <c r="KX400" s="11" t="str">
        <f t="shared" si="299"/>
        <v>Northern Uplands - Promoting Climate Resilience (NU-PCR)</v>
      </c>
      <c r="KY400" s="11" t="str">
        <f t="shared" si="300"/>
        <v>Laos</v>
      </c>
      <c r="KZ400" s="12">
        <v>400</v>
      </c>
    </row>
    <row r="401" spans="1:312" x14ac:dyDescent="0.3">
      <c r="A401" s="12" t="s">
        <v>6850</v>
      </c>
      <c r="B401" s="12" t="s">
        <v>306</v>
      </c>
      <c r="C401" s="12">
        <v>3094</v>
      </c>
      <c r="D401" s="12" t="s">
        <v>6949</v>
      </c>
      <c r="E401" s="277" t="str">
        <f t="shared" si="258"/>
        <v>Laos</v>
      </c>
      <c r="F401" s="12" t="s">
        <v>6950</v>
      </c>
      <c r="G401" s="12" t="s">
        <v>1853</v>
      </c>
      <c r="H401" s="12" t="s">
        <v>310</v>
      </c>
      <c r="I401" s="12" t="s">
        <v>907</v>
      </c>
      <c r="J401" s="281" t="s">
        <v>14621</v>
      </c>
      <c r="K401" s="12"/>
      <c r="L401" s="12"/>
      <c r="M401" s="12"/>
      <c r="N401" s="12"/>
      <c r="O401" s="12"/>
      <c r="P401" s="12"/>
      <c r="Q401" s="12"/>
      <c r="R401" s="12"/>
      <c r="S401" s="12"/>
      <c r="T401" s="12"/>
      <c r="U401" s="12"/>
      <c r="V401" s="12"/>
      <c r="W401" s="12"/>
      <c r="X401" s="12"/>
      <c r="Y401" s="12"/>
      <c r="Z401" s="12"/>
      <c r="AA401" s="12"/>
      <c r="AB401" s="12"/>
      <c r="AC401" s="12"/>
      <c r="AD401" s="12"/>
      <c r="BD401" s="13">
        <v>41730</v>
      </c>
      <c r="BE401" s="13">
        <v>42643</v>
      </c>
      <c r="BF401" s="13">
        <v>42735</v>
      </c>
      <c r="BG401" s="12" t="s">
        <v>312</v>
      </c>
      <c r="BH401" s="14">
        <v>460474</v>
      </c>
      <c r="BI401" s="12" t="s">
        <v>6896</v>
      </c>
      <c r="BJ401" s="12" t="s">
        <v>6912</v>
      </c>
      <c r="BK401" s="12" t="s">
        <v>6880</v>
      </c>
      <c r="BL401" s="12"/>
      <c r="BM401" s="12"/>
      <c r="BN401" s="12"/>
      <c r="BO401" s="12" t="s">
        <v>319</v>
      </c>
      <c r="BP401" s="12" t="s">
        <v>320</v>
      </c>
      <c r="BQ401" s="12" t="s">
        <v>319</v>
      </c>
      <c r="BR401" s="12" t="s">
        <v>6951</v>
      </c>
      <c r="BS401" s="12" t="s">
        <v>322</v>
      </c>
      <c r="BT401" s="12" t="s">
        <v>6952</v>
      </c>
      <c r="BU401" s="12" t="s">
        <v>6953</v>
      </c>
      <c r="BV401" s="14">
        <v>1925</v>
      </c>
      <c r="BW401" s="14">
        <v>1575</v>
      </c>
      <c r="BX401" s="14">
        <v>3500</v>
      </c>
      <c r="BY401" s="14">
        <v>24913</v>
      </c>
      <c r="BZ401" s="14">
        <v>20383</v>
      </c>
      <c r="CA401" s="14">
        <v>45296</v>
      </c>
      <c r="CB401" s="12" t="s">
        <v>6954</v>
      </c>
      <c r="CD401" s="14"/>
      <c r="CE401" s="14"/>
      <c r="CF401" s="14"/>
      <c r="CG401" s="14"/>
      <c r="CH401" s="14"/>
      <c r="CI401" s="14"/>
      <c r="CJ401" s="12"/>
      <c r="CK401" s="14"/>
      <c r="CL401" s="16"/>
      <c r="CM401" s="14"/>
      <c r="CN401" s="12"/>
      <c r="CO401" s="14"/>
      <c r="CP401" s="16"/>
      <c r="CQ401" s="14"/>
      <c r="CR401" s="12"/>
      <c r="CS401" s="14"/>
      <c r="CT401" s="16"/>
      <c r="CU401" s="14"/>
      <c r="CV401" s="12"/>
      <c r="CW401" s="14"/>
      <c r="CX401" s="16"/>
      <c r="CY401" s="14"/>
      <c r="CZ401" s="12"/>
      <c r="DA401" s="14"/>
      <c r="DB401" s="16"/>
      <c r="DC401" s="14"/>
      <c r="DD401" s="12"/>
      <c r="DE401" s="14"/>
      <c r="DF401" s="16"/>
      <c r="DG401" s="14"/>
      <c r="DH401" s="12"/>
      <c r="DI401" s="14"/>
      <c r="DJ401" s="16"/>
      <c r="DK401" s="14"/>
      <c r="DL401" s="12"/>
      <c r="DM401" s="14"/>
      <c r="DN401" s="16"/>
      <c r="DO401" s="14"/>
      <c r="DP401" s="12"/>
      <c r="DQ401" s="14"/>
      <c r="DR401" s="16"/>
      <c r="DS401" s="14"/>
      <c r="DT401" s="12"/>
      <c r="DU401" s="14"/>
      <c r="DV401" s="16"/>
      <c r="DW401" s="14"/>
      <c r="DX401" s="12"/>
      <c r="DY401" s="14"/>
      <c r="DZ401" s="16"/>
      <c r="EA401" s="14"/>
      <c r="EB401" s="12"/>
      <c r="EC401" s="14"/>
      <c r="ED401" s="16"/>
      <c r="EE401" s="14"/>
      <c r="EF401" s="12"/>
      <c r="EG401" s="12"/>
      <c r="EH401" s="14"/>
      <c r="EI401" s="16"/>
      <c r="EJ401" s="14"/>
      <c r="EK401" s="14">
        <v>354</v>
      </c>
      <c r="EL401" s="14">
        <v>236</v>
      </c>
      <c r="EM401" s="14">
        <v>590</v>
      </c>
      <c r="EN401" s="14">
        <v>46020</v>
      </c>
      <c r="EO401" s="14">
        <v>30680</v>
      </c>
      <c r="EP401" s="14">
        <v>76700</v>
      </c>
      <c r="EQ401" s="12" t="s">
        <v>319</v>
      </c>
      <c r="ER401" s="14"/>
      <c r="ES401" s="16"/>
      <c r="ET401" s="14"/>
      <c r="EU401" s="11" t="s">
        <v>319</v>
      </c>
      <c r="EV401" s="14"/>
      <c r="EW401" s="16"/>
      <c r="EX401" s="14"/>
      <c r="EY401" s="12" t="s">
        <v>319</v>
      </c>
      <c r="EZ401" s="14"/>
      <c r="FA401" s="16"/>
      <c r="FB401" s="14"/>
      <c r="FC401" s="12" t="s">
        <v>319</v>
      </c>
      <c r="FD401" s="14"/>
      <c r="FE401" s="16"/>
      <c r="FF401" s="14"/>
      <c r="FG401" s="12" t="s">
        <v>319</v>
      </c>
      <c r="FH401" s="14"/>
      <c r="FI401" s="16"/>
      <c r="FJ401" s="14"/>
      <c r="FK401" s="12" t="s">
        <v>319</v>
      </c>
      <c r="FL401" s="14"/>
      <c r="FM401" s="16"/>
      <c r="FN401" s="14"/>
      <c r="FO401" s="12" t="s">
        <v>319</v>
      </c>
      <c r="FP401" s="14"/>
      <c r="FQ401" s="16"/>
      <c r="FR401" s="14"/>
      <c r="FS401" s="12" t="s">
        <v>319</v>
      </c>
      <c r="FT401" s="14"/>
      <c r="FU401" s="16"/>
      <c r="FV401" s="14"/>
      <c r="FW401" s="12" t="s">
        <v>319</v>
      </c>
      <c r="FX401" s="14"/>
      <c r="FY401" s="16"/>
      <c r="FZ401" s="14"/>
      <c r="GA401" s="12" t="s">
        <v>319</v>
      </c>
      <c r="GB401" s="14"/>
      <c r="GC401" s="16"/>
      <c r="GD401" s="14"/>
      <c r="GE401" s="12" t="s">
        <v>319</v>
      </c>
      <c r="GF401" s="14"/>
      <c r="GG401" s="16"/>
      <c r="GH401" s="14"/>
      <c r="GI401" s="11" t="s">
        <v>320</v>
      </c>
      <c r="GJ401" s="14">
        <v>590</v>
      </c>
      <c r="GK401" s="16">
        <v>0.6</v>
      </c>
      <c r="GL401" s="14">
        <v>76700</v>
      </c>
      <c r="GM401" s="11" t="s">
        <v>320</v>
      </c>
      <c r="GN401" s="14">
        <v>590</v>
      </c>
      <c r="GO401" s="16">
        <v>0.6</v>
      </c>
      <c r="GP401" s="14">
        <v>76700</v>
      </c>
      <c r="GQ401" s="12" t="s">
        <v>319</v>
      </c>
      <c r="GR401" s="14"/>
      <c r="GS401" s="16"/>
      <c r="GT401" s="14"/>
      <c r="GU401" s="12" t="s">
        <v>319</v>
      </c>
      <c r="GV401" s="14"/>
      <c r="GW401" s="16"/>
      <c r="GX401" s="14"/>
      <c r="GY401" s="12" t="s">
        <v>319</v>
      </c>
      <c r="GZ401" s="14"/>
      <c r="HA401" s="16"/>
      <c r="HB401" s="14"/>
      <c r="HC401" s="12"/>
      <c r="HD401" s="12" t="s">
        <v>319</v>
      </c>
      <c r="HE401" s="14"/>
      <c r="HF401" s="16"/>
      <c r="HG401" s="14"/>
      <c r="HH401" s="12" t="s">
        <v>320</v>
      </c>
      <c r="HI401" s="12" t="s">
        <v>544</v>
      </c>
      <c r="HJ401" s="12">
        <v>2017</v>
      </c>
      <c r="HK401" s="12" t="s">
        <v>319</v>
      </c>
      <c r="HL401" s="12" t="s">
        <v>319</v>
      </c>
      <c r="HM401" s="12"/>
      <c r="HN401" s="12"/>
      <c r="HO401" s="12"/>
      <c r="HP401" s="12" t="s">
        <v>330</v>
      </c>
      <c r="HQ401" s="12" t="s">
        <v>319</v>
      </c>
      <c r="HR401" s="12" t="s">
        <v>319</v>
      </c>
      <c r="HS401" s="12" t="s">
        <v>319</v>
      </c>
      <c r="HT401" s="12" t="s">
        <v>320</v>
      </c>
      <c r="HU401" s="12" t="s">
        <v>319</v>
      </c>
      <c r="HV401" s="12" t="s">
        <v>319</v>
      </c>
      <c r="HW401" s="12" t="s">
        <v>320</v>
      </c>
      <c r="HX401" s="12" t="s">
        <v>319</v>
      </c>
      <c r="HY401" s="12"/>
      <c r="HZ401" s="12" t="s">
        <v>363</v>
      </c>
      <c r="IA401" s="12"/>
      <c r="IB401" s="12" t="s">
        <v>333</v>
      </c>
      <c r="IC401" s="12"/>
      <c r="ID401" s="12" t="s">
        <v>364</v>
      </c>
      <c r="IE401" s="12" t="s">
        <v>335</v>
      </c>
      <c r="IF401" s="12" t="s">
        <v>320</v>
      </c>
      <c r="IG401" s="12" t="s">
        <v>320</v>
      </c>
      <c r="IH401" s="12" t="s">
        <v>320</v>
      </c>
      <c r="II401" s="12" t="s">
        <v>320</v>
      </c>
      <c r="IJ401" s="12" t="str">
        <f t="shared" si="259"/>
        <v>2. Sensitive</v>
      </c>
      <c r="IK401" s="12">
        <f t="shared" si="260"/>
        <v>4</v>
      </c>
      <c r="IL401" s="12" t="s">
        <v>336</v>
      </c>
      <c r="IM401" s="12" t="s">
        <v>320</v>
      </c>
      <c r="IN401" s="12" t="s">
        <v>320</v>
      </c>
      <c r="IO401" s="12" t="s">
        <v>320</v>
      </c>
      <c r="IP401" s="12" t="s">
        <v>320</v>
      </c>
      <c r="IQ401" s="12" t="str">
        <f t="shared" si="261"/>
        <v>2. Accommodating</v>
      </c>
      <c r="IR401" s="12">
        <f t="shared" si="262"/>
        <v>4</v>
      </c>
      <c r="IS401" s="12" t="s">
        <v>337</v>
      </c>
      <c r="IT401" s="12" t="s">
        <v>320</v>
      </c>
      <c r="IU401" s="12" t="s">
        <v>320</v>
      </c>
      <c r="IV401" s="12" t="s">
        <v>319</v>
      </c>
      <c r="IW401" s="11" t="str">
        <f t="shared" si="263"/>
        <v>1. Neutral</v>
      </c>
      <c r="IX401" s="12">
        <f t="shared" si="264"/>
        <v>2</v>
      </c>
      <c r="IY401" s="12" t="s">
        <v>338</v>
      </c>
      <c r="IZ401" s="12" t="s">
        <v>527</v>
      </c>
      <c r="JA401" s="12">
        <v>5</v>
      </c>
      <c r="JB401" s="12" t="s">
        <v>624</v>
      </c>
      <c r="JC401" s="12" t="s">
        <v>687</v>
      </c>
      <c r="JD401" s="12" t="s">
        <v>623</v>
      </c>
      <c r="JE401" s="12" t="s">
        <v>340</v>
      </c>
      <c r="JF401" s="12" t="s">
        <v>6955</v>
      </c>
      <c r="JG401" s="12" t="s">
        <v>6956</v>
      </c>
      <c r="JH401" s="12" t="s">
        <v>6957</v>
      </c>
      <c r="JI401" s="12" t="s">
        <v>6958</v>
      </c>
      <c r="JJ401" s="12" t="s">
        <v>6959</v>
      </c>
      <c r="JK401" s="12" t="s">
        <v>6960</v>
      </c>
      <c r="JL401" s="12" t="s">
        <v>6961</v>
      </c>
      <c r="JM401" s="12" t="s">
        <v>6962</v>
      </c>
      <c r="JN401" s="12"/>
      <c r="JO401" s="12" t="s">
        <v>6963</v>
      </c>
      <c r="JP401" s="15">
        <f t="shared" si="265"/>
        <v>590</v>
      </c>
      <c r="JQ401" s="15">
        <f t="shared" si="266"/>
        <v>76700</v>
      </c>
      <c r="JR401" s="279">
        <f t="shared" si="267"/>
        <v>130</v>
      </c>
      <c r="JS401" s="17">
        <f t="shared" si="268"/>
        <v>0.6</v>
      </c>
      <c r="JT401" s="18">
        <f t="shared" si="269"/>
        <v>0.6</v>
      </c>
      <c r="JU401" s="280">
        <f t="shared" si="270"/>
        <v>354</v>
      </c>
      <c r="JV401" s="280">
        <f t="shared" si="271"/>
        <v>46020</v>
      </c>
      <c r="JW401" s="319" t="str">
        <f t="shared" si="272"/>
        <v/>
      </c>
      <c r="JX401" s="15">
        <f t="shared" si="273"/>
        <v>0</v>
      </c>
      <c r="JY401" s="15">
        <f t="shared" si="274"/>
        <v>0</v>
      </c>
      <c r="JZ401" s="19" t="str">
        <f t="shared" si="275"/>
        <v/>
      </c>
      <c r="KA401" s="52">
        <f t="shared" si="276"/>
        <v>1</v>
      </c>
      <c r="KB401" s="15">
        <f t="shared" si="277"/>
        <v>590</v>
      </c>
      <c r="KC401" s="15">
        <f t="shared" si="278"/>
        <v>76700</v>
      </c>
      <c r="KD401" s="20">
        <f t="shared" si="279"/>
        <v>130</v>
      </c>
      <c r="KE401" s="52" t="str">
        <f t="shared" si="280"/>
        <v/>
      </c>
      <c r="KF401" s="15">
        <f t="shared" si="281"/>
        <v>0</v>
      </c>
      <c r="KG401" s="15">
        <f t="shared" si="282"/>
        <v>0</v>
      </c>
      <c r="KH401" s="21" t="str">
        <f t="shared" si="283"/>
        <v/>
      </c>
      <c r="KI401" s="52" t="str">
        <f t="shared" si="284"/>
        <v/>
      </c>
      <c r="KJ401" s="15">
        <f t="shared" si="285"/>
        <v>0</v>
      </c>
      <c r="KK401" s="15">
        <f t="shared" si="286"/>
        <v>0</v>
      </c>
      <c r="KL401" s="19" t="str">
        <f t="shared" si="287"/>
        <v/>
      </c>
      <c r="KM401" s="52" t="str">
        <f t="shared" si="288"/>
        <v/>
      </c>
      <c r="KN401" s="22">
        <f t="shared" si="289"/>
        <v>0</v>
      </c>
      <c r="KO401" s="22">
        <f t="shared" si="290"/>
        <v>0</v>
      </c>
      <c r="KP401" s="19" t="str">
        <f t="shared" si="291"/>
        <v/>
      </c>
      <c r="KQ401" s="11" t="str">
        <f t="shared" si="292"/>
        <v>2. Sensitive</v>
      </c>
      <c r="KR401" s="11" t="str">
        <f t="shared" si="293"/>
        <v>2. Accommodating</v>
      </c>
      <c r="KS401" s="11" t="str">
        <f t="shared" si="294"/>
        <v>1. Neutral</v>
      </c>
      <c r="KT401" s="11" t="str">
        <f t="shared" si="295"/>
        <v>It did not develop any specific innovation</v>
      </c>
      <c r="KU401" s="11" t="str">
        <f t="shared" si="296"/>
        <v>Moderate advocacy</v>
      </c>
      <c r="KV401" s="11" t="str">
        <f t="shared" si="297"/>
        <v>It did not take tested solutions to scale</v>
      </c>
      <c r="KW401" s="11" t="str">
        <f t="shared" si="298"/>
        <v>Laos - Participation of remote ethnic groups for good forest governance (Go-Fo-Go)</v>
      </c>
      <c r="KX401" s="11" t="str">
        <f t="shared" si="299"/>
        <v>Participation of remote ethnic groups for good forest governance (Go-Fo-Go)</v>
      </c>
      <c r="KY401" s="11" t="str">
        <f t="shared" si="300"/>
        <v>Laos</v>
      </c>
      <c r="KZ401" s="12">
        <v>401</v>
      </c>
    </row>
    <row r="402" spans="1:312" x14ac:dyDescent="0.3">
      <c r="A402" s="12" t="s">
        <v>6850</v>
      </c>
      <c r="B402" s="12" t="s">
        <v>306</v>
      </c>
      <c r="C402" s="12">
        <v>3093</v>
      </c>
      <c r="D402" s="12" t="s">
        <v>6993</v>
      </c>
      <c r="E402" s="277" t="str">
        <f t="shared" si="258"/>
        <v>Laos</v>
      </c>
      <c r="F402" s="12" t="s">
        <v>6994</v>
      </c>
      <c r="G402" s="12" t="s">
        <v>1738</v>
      </c>
      <c r="H402" s="12" t="s">
        <v>310</v>
      </c>
      <c r="I402" s="12" t="s">
        <v>907</v>
      </c>
      <c r="J402" s="281" t="s">
        <v>14621</v>
      </c>
      <c r="K402" s="12" t="s">
        <v>6995</v>
      </c>
      <c r="L402" s="12" t="s">
        <v>1738</v>
      </c>
      <c r="M402" s="12" t="s">
        <v>384</v>
      </c>
      <c r="N402" s="12" t="s">
        <v>384</v>
      </c>
      <c r="O402" s="12" t="s">
        <v>6996</v>
      </c>
      <c r="P402" s="12"/>
      <c r="Q402" s="12"/>
      <c r="R402" s="12"/>
      <c r="S402" s="12"/>
      <c r="T402" s="12"/>
      <c r="U402" s="12"/>
      <c r="V402" s="12"/>
      <c r="W402" s="12"/>
      <c r="X402" s="12"/>
      <c r="Y402" s="12"/>
      <c r="Z402" s="12"/>
      <c r="AA402" s="12"/>
      <c r="AB402" s="12"/>
      <c r="AC402" s="12"/>
      <c r="AD402" s="12"/>
      <c r="BD402" s="13">
        <v>41365</v>
      </c>
      <c r="BE402" s="13">
        <v>42916</v>
      </c>
      <c r="BF402" s="12"/>
      <c r="BG402" s="12" t="s">
        <v>312</v>
      </c>
      <c r="BH402" s="14">
        <v>1865841</v>
      </c>
      <c r="BI402" s="12" t="s">
        <v>6997</v>
      </c>
      <c r="BJ402" s="12" t="s">
        <v>6877</v>
      </c>
      <c r="BK402" s="12" t="s">
        <v>6998</v>
      </c>
      <c r="BL402" s="12" t="s">
        <v>6896</v>
      </c>
      <c r="BM402" s="12" t="s">
        <v>980</v>
      </c>
      <c r="BN402" s="12" t="s">
        <v>6880</v>
      </c>
      <c r="BO402" s="12" t="s">
        <v>319</v>
      </c>
      <c r="BP402" s="12" t="s">
        <v>320</v>
      </c>
      <c r="BQ402" s="12" t="s">
        <v>319</v>
      </c>
      <c r="BR402" s="12" t="s">
        <v>6999</v>
      </c>
      <c r="BS402" s="12" t="s">
        <v>357</v>
      </c>
      <c r="BT402" s="12" t="s">
        <v>7000</v>
      </c>
      <c r="BU402" s="12" t="s">
        <v>7001</v>
      </c>
      <c r="BV402" s="14">
        <v>4000</v>
      </c>
      <c r="BW402" s="14">
        <v>3800</v>
      </c>
      <c r="BX402" s="14">
        <v>7800</v>
      </c>
      <c r="BY402" s="14">
        <v>4200</v>
      </c>
      <c r="BZ402" s="14">
        <v>5100</v>
      </c>
      <c r="CA402" s="14">
        <v>9300</v>
      </c>
      <c r="CB402" s="12" t="s">
        <v>7002</v>
      </c>
      <c r="CD402" s="14"/>
      <c r="CE402" s="14"/>
      <c r="CF402" s="14"/>
      <c r="CG402" s="14"/>
      <c r="CH402" s="14"/>
      <c r="CI402" s="14"/>
      <c r="CJ402" s="12"/>
      <c r="CK402" s="14"/>
      <c r="CL402" s="16"/>
      <c r="CM402" s="14"/>
      <c r="CN402" s="12"/>
      <c r="CO402" s="14"/>
      <c r="CP402" s="16"/>
      <c r="CQ402" s="14"/>
      <c r="CR402" s="12"/>
      <c r="CS402" s="14"/>
      <c r="CT402" s="16"/>
      <c r="CU402" s="14"/>
      <c r="CV402" s="12"/>
      <c r="CW402" s="14"/>
      <c r="CX402" s="16"/>
      <c r="CY402" s="14"/>
      <c r="CZ402" s="12"/>
      <c r="DA402" s="14"/>
      <c r="DB402" s="16"/>
      <c r="DC402" s="14"/>
      <c r="DD402" s="12"/>
      <c r="DE402" s="14"/>
      <c r="DF402" s="16"/>
      <c r="DG402" s="14"/>
      <c r="DH402" s="12"/>
      <c r="DI402" s="14"/>
      <c r="DJ402" s="16"/>
      <c r="DK402" s="14"/>
      <c r="DL402" s="12"/>
      <c r="DM402" s="14"/>
      <c r="DN402" s="16"/>
      <c r="DO402" s="14"/>
      <c r="DP402" s="12"/>
      <c r="DQ402" s="14"/>
      <c r="DR402" s="16"/>
      <c r="DS402" s="14"/>
      <c r="DT402" s="12"/>
      <c r="DU402" s="14"/>
      <c r="DV402" s="16"/>
      <c r="DW402" s="14"/>
      <c r="DX402" s="12"/>
      <c r="DY402" s="14"/>
      <c r="DZ402" s="16"/>
      <c r="EA402" s="14"/>
      <c r="EB402" s="12"/>
      <c r="EC402" s="14"/>
      <c r="ED402" s="16"/>
      <c r="EE402" s="14"/>
      <c r="EF402" s="12"/>
      <c r="EG402" s="12"/>
      <c r="EH402" s="14"/>
      <c r="EI402" s="16"/>
      <c r="EJ402" s="14"/>
      <c r="EK402" s="14">
        <v>1976</v>
      </c>
      <c r="EL402" s="14">
        <v>1411</v>
      </c>
      <c r="EM402" s="14">
        <v>3387</v>
      </c>
      <c r="EN402" s="14">
        <v>3441</v>
      </c>
      <c r="EO402" s="14">
        <v>2295</v>
      </c>
      <c r="EP402" s="14">
        <v>5736</v>
      </c>
      <c r="EQ402" s="12" t="s">
        <v>320</v>
      </c>
      <c r="ER402" s="14">
        <v>2286</v>
      </c>
      <c r="ES402" s="16">
        <v>0.6</v>
      </c>
      <c r="ET402" s="14">
        <v>1828</v>
      </c>
      <c r="EU402" s="11" t="s">
        <v>319</v>
      </c>
      <c r="EV402" s="14"/>
      <c r="EW402" s="16"/>
      <c r="EX402" s="14"/>
      <c r="EY402" s="12" t="s">
        <v>319</v>
      </c>
      <c r="EZ402" s="14"/>
      <c r="FA402" s="16"/>
      <c r="FB402" s="14"/>
      <c r="FC402" s="12" t="s">
        <v>319</v>
      </c>
      <c r="FD402" s="14"/>
      <c r="FE402" s="16"/>
      <c r="FF402" s="14"/>
      <c r="FG402" s="12" t="s">
        <v>320</v>
      </c>
      <c r="FH402" s="14">
        <v>3387</v>
      </c>
      <c r="FI402" s="16">
        <v>0.6</v>
      </c>
      <c r="FJ402" s="14">
        <v>2710</v>
      </c>
      <c r="FK402" s="12" t="s">
        <v>319</v>
      </c>
      <c r="FL402" s="14"/>
      <c r="FM402" s="16"/>
      <c r="FN402" s="14"/>
      <c r="FO402" s="12" t="s">
        <v>320</v>
      </c>
      <c r="FP402" s="14">
        <v>3387</v>
      </c>
      <c r="FQ402" s="16">
        <v>0.6</v>
      </c>
      <c r="FR402" s="14">
        <v>2710</v>
      </c>
      <c r="FS402" s="12" t="s">
        <v>319</v>
      </c>
      <c r="FT402" s="14"/>
      <c r="FU402" s="16"/>
      <c r="FV402" s="14"/>
      <c r="FW402" s="11" t="s">
        <v>320</v>
      </c>
      <c r="FX402" s="14">
        <v>200</v>
      </c>
      <c r="FY402" s="16">
        <v>0.5</v>
      </c>
      <c r="FZ402" s="14">
        <v>2710</v>
      </c>
      <c r="GA402" s="12" t="s">
        <v>319</v>
      </c>
      <c r="GB402" s="14"/>
      <c r="GC402" s="16"/>
      <c r="GD402" s="14"/>
      <c r="GE402" s="12" t="s">
        <v>320</v>
      </c>
      <c r="GF402" s="14">
        <v>358</v>
      </c>
      <c r="GG402" s="16">
        <v>0.55000000000000004</v>
      </c>
      <c r="GH402" s="14">
        <v>0</v>
      </c>
      <c r="GI402" s="12" t="s">
        <v>319</v>
      </c>
      <c r="GJ402" s="14"/>
      <c r="GK402" s="16"/>
      <c r="GL402" s="14"/>
      <c r="GM402" s="12" t="s">
        <v>319</v>
      </c>
      <c r="GN402" s="14"/>
      <c r="GO402" s="16"/>
      <c r="GP402" s="14"/>
      <c r="GQ402" s="12" t="s">
        <v>319</v>
      </c>
      <c r="GR402" s="14"/>
      <c r="GS402" s="16"/>
      <c r="GT402" s="14"/>
      <c r="GU402" s="12" t="s">
        <v>319</v>
      </c>
      <c r="GV402" s="14"/>
      <c r="GW402" s="16"/>
      <c r="GX402" s="14"/>
      <c r="GY402" s="11" t="s">
        <v>320</v>
      </c>
      <c r="GZ402" s="14">
        <v>956</v>
      </c>
      <c r="HA402" s="16">
        <v>1</v>
      </c>
      <c r="HB402" s="14">
        <v>5736</v>
      </c>
      <c r="HC402" s="12"/>
      <c r="HD402" s="12" t="s">
        <v>319</v>
      </c>
      <c r="HE402" s="14"/>
      <c r="HF402" s="16"/>
      <c r="HG402" s="14"/>
      <c r="HH402" s="12" t="s">
        <v>320</v>
      </c>
      <c r="HI402" s="12" t="s">
        <v>451</v>
      </c>
      <c r="HJ402" s="12">
        <v>2017</v>
      </c>
      <c r="HK402" s="12" t="s">
        <v>319</v>
      </c>
      <c r="HL402" s="12" t="s">
        <v>319</v>
      </c>
      <c r="HM402" s="12"/>
      <c r="HN402" s="12"/>
      <c r="HO402" s="12"/>
      <c r="HP402" s="12" t="s">
        <v>418</v>
      </c>
      <c r="HQ402" s="12" t="s">
        <v>319</v>
      </c>
      <c r="HR402" s="12" t="s">
        <v>319</v>
      </c>
      <c r="HS402" s="12" t="s">
        <v>319</v>
      </c>
      <c r="HT402" s="12" t="s">
        <v>319</v>
      </c>
      <c r="HU402" s="12" t="s">
        <v>319</v>
      </c>
      <c r="HV402" s="12" t="s">
        <v>319</v>
      </c>
      <c r="HW402" s="12" t="s">
        <v>319</v>
      </c>
      <c r="HX402" s="12" t="s">
        <v>319</v>
      </c>
      <c r="HY402" s="12"/>
      <c r="HZ402" s="12" t="s">
        <v>363</v>
      </c>
      <c r="IA402" s="12"/>
      <c r="IB402" s="12" t="s">
        <v>333</v>
      </c>
      <c r="IC402" s="12"/>
      <c r="ID402" s="12" t="s">
        <v>364</v>
      </c>
      <c r="IE402" s="12" t="s">
        <v>335</v>
      </c>
      <c r="IF402" s="12" t="s">
        <v>320</v>
      </c>
      <c r="IG402" s="12" t="s">
        <v>320</v>
      </c>
      <c r="IH402" s="12" t="s">
        <v>320</v>
      </c>
      <c r="II402" s="12" t="s">
        <v>320</v>
      </c>
      <c r="IJ402" s="12" t="str">
        <f t="shared" si="259"/>
        <v>2. Sensitive</v>
      </c>
      <c r="IK402" s="12">
        <f t="shared" si="260"/>
        <v>4</v>
      </c>
      <c r="IL402" s="12" t="s">
        <v>336</v>
      </c>
      <c r="IM402" s="12" t="s">
        <v>320</v>
      </c>
      <c r="IN402" s="12" t="s">
        <v>320</v>
      </c>
      <c r="IO402" s="12" t="s">
        <v>320</v>
      </c>
      <c r="IP402" s="12" t="s">
        <v>320</v>
      </c>
      <c r="IQ402" s="12" t="str">
        <f t="shared" si="261"/>
        <v>2. Accommodating</v>
      </c>
      <c r="IR402" s="12">
        <f t="shared" si="262"/>
        <v>4</v>
      </c>
      <c r="IS402" s="12" t="s">
        <v>456</v>
      </c>
      <c r="IT402" s="12" t="s">
        <v>319</v>
      </c>
      <c r="IU402" s="12" t="s">
        <v>319</v>
      </c>
      <c r="IV402" s="12"/>
      <c r="IW402" s="11" t="str">
        <f t="shared" si="263"/>
        <v>0. Harmful</v>
      </c>
      <c r="IX402" s="12">
        <f t="shared" si="264"/>
        <v>0</v>
      </c>
      <c r="IY402" s="12" t="s">
        <v>419</v>
      </c>
      <c r="IZ402" s="12" t="s">
        <v>527</v>
      </c>
      <c r="JA402" s="12">
        <v>8</v>
      </c>
      <c r="JB402" s="12" t="s">
        <v>687</v>
      </c>
      <c r="JC402" s="12" t="s">
        <v>624</v>
      </c>
      <c r="JD402" s="12" t="s">
        <v>384</v>
      </c>
      <c r="JE402" s="12" t="s">
        <v>420</v>
      </c>
      <c r="JF402" s="12"/>
      <c r="JG402" s="12" t="s">
        <v>7003</v>
      </c>
      <c r="JH402" s="12" t="s">
        <v>7004</v>
      </c>
      <c r="JI402" s="12" t="s">
        <v>7005</v>
      </c>
      <c r="JJ402" s="12" t="s">
        <v>7006</v>
      </c>
      <c r="JK402" s="12" t="s">
        <v>7007</v>
      </c>
      <c r="JL402" s="12" t="s">
        <v>7008</v>
      </c>
      <c r="JM402" s="12" t="s">
        <v>7009</v>
      </c>
      <c r="JN402" s="12" t="s">
        <v>7010</v>
      </c>
      <c r="JO402" s="12"/>
      <c r="JP402" s="15">
        <f t="shared" si="265"/>
        <v>3387</v>
      </c>
      <c r="JQ402" s="15">
        <f t="shared" si="266"/>
        <v>5736</v>
      </c>
      <c r="JR402" s="279">
        <f t="shared" si="267"/>
        <v>1.6935341009743134</v>
      </c>
      <c r="JS402" s="17">
        <f t="shared" si="268"/>
        <v>0.58340714496604662</v>
      </c>
      <c r="JT402" s="18">
        <f t="shared" si="269"/>
        <v>0.59989539748953979</v>
      </c>
      <c r="JU402" s="280">
        <f t="shared" si="270"/>
        <v>1976</v>
      </c>
      <c r="JV402" s="280">
        <f t="shared" si="271"/>
        <v>3441</v>
      </c>
      <c r="JW402" s="319" t="str">
        <f t="shared" si="272"/>
        <v/>
      </c>
      <c r="JX402" s="15">
        <f t="shared" si="273"/>
        <v>0</v>
      </c>
      <c r="JY402" s="15">
        <f t="shared" si="274"/>
        <v>0</v>
      </c>
      <c r="JZ402" s="19" t="str">
        <f t="shared" si="275"/>
        <v/>
      </c>
      <c r="KA402" s="52">
        <f t="shared" si="276"/>
        <v>1</v>
      </c>
      <c r="KB402" s="15">
        <f t="shared" si="277"/>
        <v>3387</v>
      </c>
      <c r="KC402" s="15">
        <f t="shared" si="278"/>
        <v>2710</v>
      </c>
      <c r="KD402" s="20">
        <f t="shared" si="279"/>
        <v>0.80011809861234129</v>
      </c>
      <c r="KE402" s="52" t="str">
        <f t="shared" si="280"/>
        <v/>
      </c>
      <c r="KF402" s="15">
        <f t="shared" si="281"/>
        <v>0</v>
      </c>
      <c r="KG402" s="15">
        <f t="shared" si="282"/>
        <v>0</v>
      </c>
      <c r="KH402" s="21" t="str">
        <f t="shared" si="283"/>
        <v/>
      </c>
      <c r="KI402" s="52" t="str">
        <f t="shared" si="284"/>
        <v/>
      </c>
      <c r="KJ402" s="15">
        <f t="shared" si="285"/>
        <v>0</v>
      </c>
      <c r="KK402" s="15">
        <f t="shared" si="286"/>
        <v>0</v>
      </c>
      <c r="KL402" s="19" t="str">
        <f t="shared" si="287"/>
        <v/>
      </c>
      <c r="KM402" s="52">
        <f t="shared" si="288"/>
        <v>1</v>
      </c>
      <c r="KN402" s="22">
        <f t="shared" si="289"/>
        <v>2032.1999999999998</v>
      </c>
      <c r="KO402" s="22">
        <f t="shared" si="290"/>
        <v>5736</v>
      </c>
      <c r="KP402" s="19">
        <f t="shared" si="291"/>
        <v>2.8225568349571897</v>
      </c>
      <c r="KQ402" s="11" t="str">
        <f t="shared" si="292"/>
        <v>2. Sensitive</v>
      </c>
      <c r="KR402" s="11" t="str">
        <f t="shared" si="293"/>
        <v>2. Accommodating</v>
      </c>
      <c r="KS402" s="11" t="str">
        <f t="shared" si="294"/>
        <v>0. Harmful</v>
      </c>
      <c r="KT402" s="11" t="str">
        <f t="shared" si="295"/>
        <v>It did not develop any specific innovation</v>
      </c>
      <c r="KU402" s="11" t="str">
        <f t="shared" si="296"/>
        <v>Little or no advocacy</v>
      </c>
      <c r="KV402" s="11" t="str">
        <f t="shared" si="297"/>
        <v>It did not take tested solutions to scale</v>
      </c>
      <c r="KW402" s="11" t="str">
        <f t="shared" si="298"/>
        <v>Laos - Partnerships for poverty reduction and womens empowerment in Dakcheung (PWED) Project</v>
      </c>
      <c r="KX402" s="11" t="str">
        <f t="shared" si="299"/>
        <v>Partnerships for poverty reduction and womens empowerment in Dakcheung (PWED) Project</v>
      </c>
      <c r="KY402" s="11" t="str">
        <f t="shared" si="300"/>
        <v>Laos</v>
      </c>
      <c r="KZ402" s="12">
        <v>402</v>
      </c>
    </row>
    <row r="403" spans="1:312" x14ac:dyDescent="0.3">
      <c r="A403" s="12" t="s">
        <v>6850</v>
      </c>
      <c r="B403" s="12" t="s">
        <v>306</v>
      </c>
      <c r="C403" s="12">
        <v>3088</v>
      </c>
      <c r="D403" s="12" t="s">
        <v>6851</v>
      </c>
      <c r="E403" s="277" t="str">
        <f t="shared" si="258"/>
        <v>Laos</v>
      </c>
      <c r="F403" s="12" t="s">
        <v>6852</v>
      </c>
      <c r="G403" s="12" t="s">
        <v>309</v>
      </c>
      <c r="H403" s="12" t="s">
        <v>310</v>
      </c>
      <c r="I403" s="12" t="s">
        <v>311</v>
      </c>
      <c r="J403" s="281" t="s">
        <v>14565</v>
      </c>
      <c r="K403" s="12"/>
      <c r="L403" s="12"/>
      <c r="M403" s="12"/>
      <c r="N403" s="12"/>
      <c r="O403" s="12"/>
      <c r="P403" s="12"/>
      <c r="Q403" s="12"/>
      <c r="R403" s="12"/>
      <c r="S403" s="12"/>
      <c r="T403" s="12"/>
      <c r="U403" s="12"/>
      <c r="V403" s="12"/>
      <c r="W403" s="12"/>
      <c r="X403" s="12"/>
      <c r="Y403" s="12"/>
      <c r="Z403" s="12"/>
      <c r="AA403" s="12"/>
      <c r="AB403" s="12"/>
      <c r="AC403" s="12"/>
      <c r="AD403" s="12"/>
      <c r="BD403" s="13">
        <v>41456</v>
      </c>
      <c r="BE403" s="13">
        <v>42916</v>
      </c>
      <c r="BF403" s="12"/>
      <c r="BG403" s="12" t="s">
        <v>609</v>
      </c>
      <c r="BH403" s="14">
        <v>902765</v>
      </c>
      <c r="BI403" s="12" t="s">
        <v>6853</v>
      </c>
      <c r="BJ403" s="12" t="s">
        <v>1899</v>
      </c>
      <c r="BK403" s="12" t="s">
        <v>6854</v>
      </c>
      <c r="BL403" s="12" t="s">
        <v>6855</v>
      </c>
      <c r="BM403" s="12" t="s">
        <v>6856</v>
      </c>
      <c r="BN403" s="12" t="s">
        <v>6857</v>
      </c>
      <c r="BO403" s="12" t="s">
        <v>320</v>
      </c>
      <c r="BP403" s="12" t="s">
        <v>320</v>
      </c>
      <c r="BQ403" s="12" t="s">
        <v>320</v>
      </c>
      <c r="BR403" s="12" t="s">
        <v>6858</v>
      </c>
      <c r="BS403" s="12" t="s">
        <v>322</v>
      </c>
      <c r="BT403" s="12" t="s">
        <v>6859</v>
      </c>
      <c r="BU403" s="12" t="s">
        <v>6860</v>
      </c>
      <c r="BV403" s="14">
        <v>9000</v>
      </c>
      <c r="BW403" s="14">
        <v>450</v>
      </c>
      <c r="BX403" s="14">
        <v>9450</v>
      </c>
      <c r="BY403" s="14">
        <v>18000</v>
      </c>
      <c r="BZ403" s="14">
        <v>450</v>
      </c>
      <c r="CA403" s="14">
        <v>18450</v>
      </c>
      <c r="CB403" s="12" t="s">
        <v>6861</v>
      </c>
      <c r="CD403" s="14">
        <v>7270</v>
      </c>
      <c r="CE403" s="14">
        <v>430</v>
      </c>
      <c r="CF403" s="14">
        <v>7700</v>
      </c>
      <c r="CG403" s="14">
        <v>14540</v>
      </c>
      <c r="CH403" s="14">
        <v>860</v>
      </c>
      <c r="CI403" s="14">
        <v>15400</v>
      </c>
      <c r="CJ403" s="12" t="s">
        <v>319</v>
      </c>
      <c r="CK403" s="14"/>
      <c r="CL403" s="16"/>
      <c r="CM403" s="14"/>
      <c r="CN403" s="12"/>
      <c r="CO403" s="14"/>
      <c r="CP403" s="16"/>
      <c r="CQ403" s="14"/>
      <c r="CR403" s="12"/>
      <c r="CS403" s="14"/>
      <c r="CT403" s="16"/>
      <c r="CU403" s="14"/>
      <c r="CV403" s="12"/>
      <c r="CW403" s="14"/>
      <c r="CX403" s="16"/>
      <c r="CY403" s="14"/>
      <c r="CZ403" s="12"/>
      <c r="DA403" s="14"/>
      <c r="DB403" s="16"/>
      <c r="DC403" s="14"/>
      <c r="DD403" s="12"/>
      <c r="DE403" s="14"/>
      <c r="DF403" s="16"/>
      <c r="DG403" s="14"/>
      <c r="DH403" s="12"/>
      <c r="DI403" s="14"/>
      <c r="DJ403" s="16"/>
      <c r="DK403" s="14"/>
      <c r="DL403" s="12"/>
      <c r="DM403" s="14"/>
      <c r="DN403" s="16"/>
      <c r="DO403" s="14"/>
      <c r="DP403" s="12"/>
      <c r="DQ403" s="14"/>
      <c r="DR403" s="16"/>
      <c r="DS403" s="14"/>
      <c r="DT403" s="12"/>
      <c r="DU403" s="14"/>
      <c r="DV403" s="16"/>
      <c r="DW403" s="14"/>
      <c r="DX403" s="12"/>
      <c r="DY403" s="14"/>
      <c r="DZ403" s="16"/>
      <c r="EA403" s="14"/>
      <c r="EB403" s="12"/>
      <c r="EC403" s="14"/>
      <c r="ED403" s="16"/>
      <c r="EE403" s="14"/>
      <c r="EF403" s="12"/>
      <c r="EG403" s="12"/>
      <c r="EH403" s="14"/>
      <c r="EI403" s="16"/>
      <c r="EJ403" s="14"/>
      <c r="EK403" s="14">
        <v>7270</v>
      </c>
      <c r="EL403" s="14">
        <v>430</v>
      </c>
      <c r="EM403" s="14">
        <v>7700</v>
      </c>
      <c r="EN403" s="14">
        <v>14540</v>
      </c>
      <c r="EO403" s="14">
        <v>860</v>
      </c>
      <c r="EP403" s="14">
        <v>15400</v>
      </c>
      <c r="EQ403" s="12" t="s">
        <v>319</v>
      </c>
      <c r="ER403" s="14"/>
      <c r="ES403" s="16"/>
      <c r="ET403" s="14"/>
      <c r="EU403" s="11" t="s">
        <v>319</v>
      </c>
      <c r="EV403" s="14"/>
      <c r="EW403" s="16"/>
      <c r="EX403" s="14"/>
      <c r="EY403" s="12" t="s">
        <v>319</v>
      </c>
      <c r="EZ403" s="14"/>
      <c r="FA403" s="16"/>
      <c r="FB403" s="14"/>
      <c r="FC403" s="12" t="s">
        <v>319</v>
      </c>
      <c r="FD403" s="14"/>
      <c r="FE403" s="16"/>
      <c r="FF403" s="14"/>
      <c r="FG403" s="12" t="s">
        <v>319</v>
      </c>
      <c r="FH403" s="14"/>
      <c r="FI403" s="16"/>
      <c r="FJ403" s="14"/>
      <c r="FK403" s="12" t="s">
        <v>319</v>
      </c>
      <c r="FL403" s="14"/>
      <c r="FM403" s="16"/>
      <c r="FN403" s="14"/>
      <c r="FO403" s="12" t="s">
        <v>319</v>
      </c>
      <c r="FP403" s="14"/>
      <c r="FQ403" s="16"/>
      <c r="FR403" s="14"/>
      <c r="FS403" s="12" t="s">
        <v>320</v>
      </c>
      <c r="FT403" s="14">
        <v>7700</v>
      </c>
      <c r="FU403" s="16">
        <v>0.94</v>
      </c>
      <c r="FV403" s="14">
        <v>15400</v>
      </c>
      <c r="FW403" s="11" t="s">
        <v>320</v>
      </c>
      <c r="FX403" s="14">
        <v>7700</v>
      </c>
      <c r="FY403" s="16">
        <v>0.94</v>
      </c>
      <c r="FZ403" s="14">
        <v>15400</v>
      </c>
      <c r="GA403" s="12" t="s">
        <v>319</v>
      </c>
      <c r="GB403" s="14"/>
      <c r="GC403" s="16"/>
      <c r="GD403" s="14"/>
      <c r="GE403" s="12" t="s">
        <v>319</v>
      </c>
      <c r="GF403" s="14"/>
      <c r="GG403" s="16"/>
      <c r="GH403" s="14"/>
      <c r="GI403" s="12" t="s">
        <v>319</v>
      </c>
      <c r="GJ403" s="14"/>
      <c r="GK403" s="16"/>
      <c r="GL403" s="14"/>
      <c r="GM403" s="12" t="s">
        <v>319</v>
      </c>
      <c r="GN403" s="14"/>
      <c r="GO403" s="16"/>
      <c r="GP403" s="14"/>
      <c r="GQ403" s="12" t="s">
        <v>320</v>
      </c>
      <c r="GR403" s="14">
        <v>7270</v>
      </c>
      <c r="GS403" s="16">
        <v>1</v>
      </c>
      <c r="GT403" s="14">
        <v>14540</v>
      </c>
      <c r="GU403" s="12" t="s">
        <v>319</v>
      </c>
      <c r="GV403" s="14"/>
      <c r="GW403" s="16"/>
      <c r="GX403" s="14"/>
      <c r="GY403" s="12" t="s">
        <v>319</v>
      </c>
      <c r="GZ403" s="14"/>
      <c r="HA403" s="16"/>
      <c r="HB403" s="14"/>
      <c r="HC403" s="12"/>
      <c r="HD403" s="12" t="s">
        <v>319</v>
      </c>
      <c r="HE403" s="14"/>
      <c r="HF403" s="16"/>
      <c r="HG403" s="14"/>
      <c r="HH403" s="12" t="s">
        <v>320</v>
      </c>
      <c r="HI403" s="12" t="s">
        <v>431</v>
      </c>
      <c r="HJ403" s="12">
        <v>2017</v>
      </c>
      <c r="HK403" s="12" t="s">
        <v>319</v>
      </c>
      <c r="HL403" s="12" t="s">
        <v>319</v>
      </c>
      <c r="HM403" s="12"/>
      <c r="HN403" s="12"/>
      <c r="HO403" s="12" t="s">
        <v>6862</v>
      </c>
      <c r="HP403" s="12" t="s">
        <v>330</v>
      </c>
      <c r="HQ403" s="12" t="s">
        <v>319</v>
      </c>
      <c r="HR403" s="12" t="s">
        <v>319</v>
      </c>
      <c r="HS403" s="12" t="s">
        <v>319</v>
      </c>
      <c r="HT403" s="12" t="s">
        <v>320</v>
      </c>
      <c r="HU403" s="12" t="s">
        <v>320</v>
      </c>
      <c r="HV403" s="12" t="s">
        <v>319</v>
      </c>
      <c r="HW403" s="12" t="s">
        <v>319</v>
      </c>
      <c r="HX403" s="12" t="s">
        <v>319</v>
      </c>
      <c r="HY403" s="12"/>
      <c r="HZ403" s="12" t="s">
        <v>394</v>
      </c>
      <c r="IA403" s="12" t="s">
        <v>6863</v>
      </c>
      <c r="IB403" s="12" t="s">
        <v>333</v>
      </c>
      <c r="IC403" s="12"/>
      <c r="ID403" s="12" t="s">
        <v>334</v>
      </c>
      <c r="IE403" s="12" t="s">
        <v>478</v>
      </c>
      <c r="IF403" s="12" t="s">
        <v>320</v>
      </c>
      <c r="IG403" s="12" t="s">
        <v>320</v>
      </c>
      <c r="IH403" s="12" t="s">
        <v>320</v>
      </c>
      <c r="II403" s="12" t="s">
        <v>320</v>
      </c>
      <c r="IJ403" s="12" t="str">
        <f t="shared" si="259"/>
        <v>4. Transformative</v>
      </c>
      <c r="IK403" s="12">
        <f t="shared" si="260"/>
        <v>4</v>
      </c>
      <c r="IL403" s="12" t="s">
        <v>723</v>
      </c>
      <c r="IM403" s="12" t="s">
        <v>319</v>
      </c>
      <c r="IN403" s="12" t="s">
        <v>319</v>
      </c>
      <c r="IO403" s="12" t="s">
        <v>319</v>
      </c>
      <c r="IP403" s="12" t="s">
        <v>319</v>
      </c>
      <c r="IQ403" s="12" t="str">
        <f t="shared" si="261"/>
        <v>0. Unaware</v>
      </c>
      <c r="IR403" s="12">
        <f t="shared" si="262"/>
        <v>0</v>
      </c>
      <c r="IS403" s="12" t="s">
        <v>456</v>
      </c>
      <c r="IT403" s="12" t="s">
        <v>320</v>
      </c>
      <c r="IU403" s="12" t="s">
        <v>320</v>
      </c>
      <c r="IV403" s="12" t="s">
        <v>319</v>
      </c>
      <c r="IW403" s="11" t="str">
        <f t="shared" si="263"/>
        <v>0. Harmful</v>
      </c>
      <c r="IX403" s="12">
        <f t="shared" si="264"/>
        <v>2</v>
      </c>
      <c r="IY403" s="12" t="s">
        <v>338</v>
      </c>
      <c r="IZ403" s="12" t="s">
        <v>527</v>
      </c>
      <c r="JA403" s="12">
        <v>5</v>
      </c>
      <c r="JB403" s="12" t="s">
        <v>2236</v>
      </c>
      <c r="JC403" s="12" t="s">
        <v>687</v>
      </c>
      <c r="JD403" s="12" t="s">
        <v>433</v>
      </c>
      <c r="JE403" s="12" t="s">
        <v>340</v>
      </c>
      <c r="JF403" s="12" t="s">
        <v>6864</v>
      </c>
      <c r="JG403" s="12" t="s">
        <v>6865</v>
      </c>
      <c r="JH403" s="12" t="s">
        <v>6866</v>
      </c>
      <c r="JI403" s="12" t="s">
        <v>6867</v>
      </c>
      <c r="JJ403" s="12" t="s">
        <v>6868</v>
      </c>
      <c r="JK403" s="12" t="s">
        <v>6869</v>
      </c>
      <c r="JL403" s="12" t="s">
        <v>6870</v>
      </c>
      <c r="JM403" s="12" t="s">
        <v>6871</v>
      </c>
      <c r="JN403" s="12" t="s">
        <v>6872</v>
      </c>
      <c r="JO403" s="12" t="s">
        <v>6873</v>
      </c>
      <c r="JP403" s="15">
        <f t="shared" si="265"/>
        <v>7700</v>
      </c>
      <c r="JQ403" s="15">
        <f t="shared" si="266"/>
        <v>15400</v>
      </c>
      <c r="JR403" s="279">
        <f t="shared" si="267"/>
        <v>2</v>
      </c>
      <c r="JS403" s="17">
        <f t="shared" si="268"/>
        <v>0.94415584415584419</v>
      </c>
      <c r="JT403" s="18">
        <f t="shared" si="269"/>
        <v>0.94415584415584419</v>
      </c>
      <c r="JU403" s="280">
        <f t="shared" si="270"/>
        <v>7270</v>
      </c>
      <c r="JV403" s="280">
        <f t="shared" si="271"/>
        <v>14540</v>
      </c>
      <c r="JW403" s="319">
        <f t="shared" si="272"/>
        <v>1</v>
      </c>
      <c r="JX403" s="15">
        <f t="shared" si="273"/>
        <v>7700</v>
      </c>
      <c r="JY403" s="15">
        <f t="shared" si="274"/>
        <v>15400</v>
      </c>
      <c r="JZ403" s="19">
        <f t="shared" si="275"/>
        <v>2</v>
      </c>
      <c r="KA403" s="52" t="str">
        <f t="shared" si="276"/>
        <v/>
      </c>
      <c r="KB403" s="15">
        <f t="shared" si="277"/>
        <v>0</v>
      </c>
      <c r="KC403" s="15">
        <f t="shared" si="278"/>
        <v>0</v>
      </c>
      <c r="KD403" s="20" t="str">
        <f t="shared" si="279"/>
        <v/>
      </c>
      <c r="KE403" s="52">
        <f t="shared" si="280"/>
        <v>1</v>
      </c>
      <c r="KF403" s="15">
        <f t="shared" si="281"/>
        <v>7270</v>
      </c>
      <c r="KG403" s="15">
        <f t="shared" si="282"/>
        <v>14540</v>
      </c>
      <c r="KH403" s="21">
        <f t="shared" si="283"/>
        <v>2</v>
      </c>
      <c r="KI403" s="52">
        <f t="shared" si="284"/>
        <v>1</v>
      </c>
      <c r="KJ403" s="15">
        <f t="shared" si="285"/>
        <v>7700</v>
      </c>
      <c r="KK403" s="15">
        <f t="shared" si="286"/>
        <v>15400</v>
      </c>
      <c r="KL403" s="19">
        <f t="shared" si="287"/>
        <v>2</v>
      </c>
      <c r="KM403" s="52" t="str">
        <f t="shared" si="288"/>
        <v/>
      </c>
      <c r="KN403" s="22">
        <f t="shared" si="289"/>
        <v>0</v>
      </c>
      <c r="KO403" s="22">
        <f t="shared" si="290"/>
        <v>0</v>
      </c>
      <c r="KP403" s="19" t="str">
        <f t="shared" si="291"/>
        <v/>
      </c>
      <c r="KQ403" s="11" t="str">
        <f t="shared" si="292"/>
        <v>4. Transformative</v>
      </c>
      <c r="KR403" s="11" t="str">
        <f t="shared" si="293"/>
        <v>0. Unaware</v>
      </c>
      <c r="KS403" s="11" t="str">
        <f t="shared" si="294"/>
        <v>0. Harmful</v>
      </c>
      <c r="KT403" s="11" t="str">
        <f t="shared" si="295"/>
        <v>It tested new ways for fighting poverty, but did not measure results of innovation</v>
      </c>
      <c r="KU403" s="11" t="str">
        <f t="shared" si="296"/>
        <v>Moderate advocacy</v>
      </c>
      <c r="KV403" s="11" t="str">
        <f t="shared" si="297"/>
        <v>It did not take tested solutions to scale</v>
      </c>
      <c r="KW403" s="11" t="str">
        <f t="shared" si="298"/>
        <v>Laos - Protections and Choice for Marginalised Urban Women (PACMUW)</v>
      </c>
      <c r="KX403" s="11" t="str">
        <f t="shared" si="299"/>
        <v>Protections and Choice for Marginalised Urban Women (PACMUW)</v>
      </c>
      <c r="KY403" s="11" t="str">
        <f t="shared" si="300"/>
        <v>Laos</v>
      </c>
      <c r="KZ403" s="12">
        <v>403</v>
      </c>
    </row>
    <row r="404" spans="1:312" x14ac:dyDescent="0.3">
      <c r="A404" s="12" t="s">
        <v>6850</v>
      </c>
      <c r="B404" s="12" t="s">
        <v>306</v>
      </c>
      <c r="C404" s="12"/>
      <c r="D404" s="12" t="s">
        <v>7070</v>
      </c>
      <c r="E404" s="277" t="str">
        <f t="shared" si="258"/>
        <v>Laos</v>
      </c>
      <c r="F404" s="12" t="s">
        <v>7071</v>
      </c>
      <c r="G404" s="12" t="s">
        <v>608</v>
      </c>
      <c r="H404" s="12"/>
      <c r="I404" s="12"/>
      <c r="J404" s="281" t="s">
        <v>5183</v>
      </c>
      <c r="K404" s="12"/>
      <c r="L404" s="12"/>
      <c r="M404" s="12"/>
      <c r="N404" s="12"/>
      <c r="O404" s="12"/>
      <c r="P404" s="12"/>
      <c r="Q404" s="12"/>
      <c r="R404" s="12"/>
      <c r="S404" s="12"/>
      <c r="T404" s="12"/>
      <c r="U404" s="12"/>
      <c r="V404" s="12"/>
      <c r="W404" s="12"/>
      <c r="X404" s="12"/>
      <c r="Y404" s="12"/>
      <c r="Z404" s="12"/>
      <c r="AA404" s="12"/>
      <c r="AB404" s="12"/>
      <c r="AC404" s="12"/>
      <c r="AD404" s="12"/>
      <c r="BD404" s="13">
        <v>41791</v>
      </c>
      <c r="BE404" s="13">
        <v>42338</v>
      </c>
      <c r="BF404" s="13">
        <v>43039</v>
      </c>
      <c r="BG404" s="12" t="s">
        <v>312</v>
      </c>
      <c r="BH404" s="14">
        <v>670197</v>
      </c>
      <c r="BI404" s="12" t="s">
        <v>6997</v>
      </c>
      <c r="BJ404" s="12" t="s">
        <v>6877</v>
      </c>
      <c r="BK404" s="12" t="s">
        <v>6998</v>
      </c>
      <c r="BL404" s="12" t="s">
        <v>6896</v>
      </c>
      <c r="BM404" s="12" t="s">
        <v>7072</v>
      </c>
      <c r="BN404" s="12" t="s">
        <v>6880</v>
      </c>
      <c r="BO404" s="12" t="s">
        <v>319</v>
      </c>
      <c r="BP404" s="12" t="s">
        <v>320</v>
      </c>
      <c r="BQ404" s="12" t="s">
        <v>319</v>
      </c>
      <c r="BR404" s="12" t="s">
        <v>7073</v>
      </c>
      <c r="BS404" s="12" t="s">
        <v>322</v>
      </c>
      <c r="BT404" s="12" t="s">
        <v>7074</v>
      </c>
      <c r="BU404" s="12" t="s">
        <v>7030</v>
      </c>
      <c r="BV404" s="14">
        <v>2500</v>
      </c>
      <c r="BW404" s="14">
        <v>3500</v>
      </c>
      <c r="BX404" s="14">
        <v>6000</v>
      </c>
      <c r="BY404" s="14">
        <v>5000</v>
      </c>
      <c r="BZ404" s="14">
        <v>7000</v>
      </c>
      <c r="CA404" s="14">
        <v>12000</v>
      </c>
      <c r="CB404" s="12" t="s">
        <v>7075</v>
      </c>
      <c r="CD404" s="14"/>
      <c r="CE404" s="14"/>
      <c r="CF404" s="14"/>
      <c r="CG404" s="14"/>
      <c r="CH404" s="14"/>
      <c r="CI404" s="14"/>
      <c r="CJ404" s="12"/>
      <c r="CK404" s="14"/>
      <c r="CL404" s="16"/>
      <c r="CM404" s="14"/>
      <c r="CN404" s="12"/>
      <c r="CO404" s="14"/>
      <c r="CP404" s="16"/>
      <c r="CQ404" s="14"/>
      <c r="CR404" s="12"/>
      <c r="CS404" s="14"/>
      <c r="CT404" s="16"/>
      <c r="CU404" s="14"/>
      <c r="CV404" s="12"/>
      <c r="CW404" s="14"/>
      <c r="CX404" s="16"/>
      <c r="CY404" s="14"/>
      <c r="CZ404" s="12"/>
      <c r="DA404" s="14"/>
      <c r="DB404" s="16"/>
      <c r="DC404" s="14"/>
      <c r="DD404" s="12"/>
      <c r="DE404" s="14"/>
      <c r="DF404" s="16"/>
      <c r="DG404" s="14"/>
      <c r="DH404" s="12"/>
      <c r="DI404" s="14"/>
      <c r="DJ404" s="16"/>
      <c r="DK404" s="14"/>
      <c r="DL404" s="12"/>
      <c r="DM404" s="14"/>
      <c r="DN404" s="16"/>
      <c r="DO404" s="14"/>
      <c r="DP404" s="12"/>
      <c r="DQ404" s="14"/>
      <c r="DR404" s="16"/>
      <c r="DS404" s="14"/>
      <c r="DT404" s="12"/>
      <c r="DU404" s="14"/>
      <c r="DV404" s="16"/>
      <c r="DW404" s="14"/>
      <c r="DX404" s="12"/>
      <c r="DY404" s="14"/>
      <c r="DZ404" s="16"/>
      <c r="EA404" s="14"/>
      <c r="EB404" s="12"/>
      <c r="EC404" s="14"/>
      <c r="ED404" s="16"/>
      <c r="EE404" s="14"/>
      <c r="EF404" s="12"/>
      <c r="EG404" s="12"/>
      <c r="EH404" s="14"/>
      <c r="EI404" s="16"/>
      <c r="EJ404" s="14"/>
      <c r="EK404" s="14">
        <v>1073</v>
      </c>
      <c r="EL404" s="14">
        <v>838</v>
      </c>
      <c r="EM404" s="14">
        <v>1911</v>
      </c>
      <c r="EN404" s="14">
        <v>2146</v>
      </c>
      <c r="EO404" s="14">
        <v>1676</v>
      </c>
      <c r="EP404" s="14">
        <v>3822</v>
      </c>
      <c r="EQ404" s="12" t="s">
        <v>319</v>
      </c>
      <c r="ER404" s="14"/>
      <c r="ES404" s="16"/>
      <c r="ET404" s="14"/>
      <c r="EU404" s="11" t="s">
        <v>320</v>
      </c>
      <c r="EV404" s="14">
        <v>124</v>
      </c>
      <c r="EW404" s="16">
        <v>0.45</v>
      </c>
      <c r="EX404" s="14">
        <v>248</v>
      </c>
      <c r="EY404" s="12" t="s">
        <v>319</v>
      </c>
      <c r="EZ404" s="14"/>
      <c r="FA404" s="16"/>
      <c r="FB404" s="14"/>
      <c r="FC404" s="12" t="s">
        <v>320</v>
      </c>
      <c r="FD404" s="14">
        <v>1911</v>
      </c>
      <c r="FE404" s="16">
        <v>0.56148613291470395</v>
      </c>
      <c r="FF404" s="14">
        <v>3822</v>
      </c>
      <c r="FG404" s="12" t="s">
        <v>319</v>
      </c>
      <c r="FH404" s="14"/>
      <c r="FI404" s="16"/>
      <c r="FJ404" s="14"/>
      <c r="FK404" s="12" t="s">
        <v>319</v>
      </c>
      <c r="FL404" s="14"/>
      <c r="FM404" s="16"/>
      <c r="FN404" s="14"/>
      <c r="FO404" s="12" t="s">
        <v>319</v>
      </c>
      <c r="FP404" s="14"/>
      <c r="FQ404" s="16"/>
      <c r="FR404" s="14"/>
      <c r="FS404" s="12" t="s">
        <v>319</v>
      </c>
      <c r="FT404" s="14"/>
      <c r="FU404" s="16"/>
      <c r="FV404" s="14"/>
      <c r="FW404" s="12" t="s">
        <v>319</v>
      </c>
      <c r="FX404" s="14"/>
      <c r="FY404" s="16"/>
      <c r="FZ404" s="14"/>
      <c r="GA404" s="12" t="s">
        <v>319</v>
      </c>
      <c r="GB404" s="14"/>
      <c r="GC404" s="16"/>
      <c r="GD404" s="14"/>
      <c r="GE404" s="12" t="s">
        <v>319</v>
      </c>
      <c r="GF404" s="14"/>
      <c r="GG404" s="16"/>
      <c r="GH404" s="14"/>
      <c r="GI404" s="11" t="s">
        <v>320</v>
      </c>
      <c r="GJ404" s="14">
        <v>1560</v>
      </c>
      <c r="GK404" s="16">
        <v>0.6</v>
      </c>
      <c r="GL404" s="14">
        <v>3120</v>
      </c>
      <c r="GM404" s="11" t="s">
        <v>320</v>
      </c>
      <c r="GN404" s="14">
        <v>227</v>
      </c>
      <c r="GO404" s="16">
        <v>0.5</v>
      </c>
      <c r="GP404" s="14">
        <v>454</v>
      </c>
      <c r="GQ404" s="12" t="s">
        <v>319</v>
      </c>
      <c r="GR404" s="14"/>
      <c r="GS404" s="16"/>
      <c r="GT404" s="14"/>
      <c r="GU404" s="12" t="s">
        <v>319</v>
      </c>
      <c r="GV404" s="14"/>
      <c r="GW404" s="16"/>
      <c r="GX404" s="14"/>
      <c r="GY404" s="12" t="s">
        <v>319</v>
      </c>
      <c r="GZ404" s="14"/>
      <c r="HA404" s="16"/>
      <c r="HB404" s="14"/>
      <c r="HC404" s="12"/>
      <c r="HD404" s="12" t="s">
        <v>319</v>
      </c>
      <c r="HE404" s="14"/>
      <c r="HF404" s="16"/>
      <c r="HG404" s="14"/>
      <c r="HH404" s="12" t="s">
        <v>319</v>
      </c>
      <c r="HI404" s="12"/>
      <c r="HJ404" s="12"/>
      <c r="HK404" s="12" t="s">
        <v>319</v>
      </c>
      <c r="HL404" s="12" t="s">
        <v>319</v>
      </c>
      <c r="HM404" s="12"/>
      <c r="HN404" s="12"/>
      <c r="HO404" s="12"/>
      <c r="HP404" s="12" t="s">
        <v>330</v>
      </c>
      <c r="HQ404" s="12" t="s">
        <v>320</v>
      </c>
      <c r="HR404" s="12" t="s">
        <v>319</v>
      </c>
      <c r="HS404" s="12" t="s">
        <v>320</v>
      </c>
      <c r="HT404" s="12" t="s">
        <v>320</v>
      </c>
      <c r="HU404" s="12" t="s">
        <v>320</v>
      </c>
      <c r="HV404" s="12" t="s">
        <v>319</v>
      </c>
      <c r="HW404" s="12" t="s">
        <v>320</v>
      </c>
      <c r="HX404" s="12" t="s">
        <v>319</v>
      </c>
      <c r="HY404" s="12"/>
      <c r="HZ404" s="12" t="s">
        <v>363</v>
      </c>
      <c r="IA404" s="12"/>
      <c r="IB404" s="12" t="s">
        <v>333</v>
      </c>
      <c r="IC404" s="12"/>
      <c r="ID404" s="12" t="s">
        <v>364</v>
      </c>
      <c r="IE404" s="12" t="s">
        <v>335</v>
      </c>
      <c r="IF404" s="12" t="s">
        <v>320</v>
      </c>
      <c r="IG404" s="12" t="s">
        <v>320</v>
      </c>
      <c r="IH404" s="12" t="s">
        <v>320</v>
      </c>
      <c r="II404" s="12" t="s">
        <v>320</v>
      </c>
      <c r="IJ404" s="12" t="str">
        <f t="shared" si="259"/>
        <v>2. Sensitive</v>
      </c>
      <c r="IK404" s="12">
        <f t="shared" si="260"/>
        <v>4</v>
      </c>
      <c r="IL404" s="11" t="s">
        <v>621</v>
      </c>
      <c r="IM404" s="12" t="s">
        <v>320</v>
      </c>
      <c r="IN404" s="12" t="s">
        <v>320</v>
      </c>
      <c r="IO404" s="12" t="s">
        <v>320</v>
      </c>
      <c r="IP404" s="12" t="s">
        <v>320</v>
      </c>
      <c r="IQ404" s="12" t="str">
        <f t="shared" si="261"/>
        <v>4. Transformational</v>
      </c>
      <c r="IR404" s="12">
        <f t="shared" si="262"/>
        <v>4</v>
      </c>
      <c r="IS404" s="12" t="s">
        <v>622</v>
      </c>
      <c r="IT404" s="12" t="s">
        <v>320</v>
      </c>
      <c r="IU404" s="12" t="s">
        <v>320</v>
      </c>
      <c r="IV404" s="12" t="s">
        <v>320</v>
      </c>
      <c r="IW404" s="11" t="str">
        <f t="shared" si="263"/>
        <v>4. Transformative</v>
      </c>
      <c r="IX404" s="12">
        <f t="shared" si="264"/>
        <v>3</v>
      </c>
      <c r="IY404" s="12" t="s">
        <v>419</v>
      </c>
      <c r="IZ404" s="12" t="s">
        <v>457</v>
      </c>
      <c r="JA404" s="12">
        <v>15</v>
      </c>
      <c r="JB404" s="12" t="s">
        <v>687</v>
      </c>
      <c r="JC404" s="12" t="s">
        <v>623</v>
      </c>
      <c r="JD404" s="12" t="s">
        <v>624</v>
      </c>
      <c r="JE404" s="12" t="s">
        <v>420</v>
      </c>
      <c r="JF404" s="12"/>
      <c r="JG404" s="12" t="s">
        <v>7076</v>
      </c>
      <c r="JH404" s="12" t="s">
        <v>7077</v>
      </c>
      <c r="JI404" s="12" t="s">
        <v>7078</v>
      </c>
      <c r="JJ404" s="12" t="s">
        <v>7079</v>
      </c>
      <c r="JK404" s="12" t="s">
        <v>7080</v>
      </c>
      <c r="JL404" s="12" t="s">
        <v>7081</v>
      </c>
      <c r="JM404" s="12"/>
      <c r="JN404" s="12"/>
      <c r="JO404" s="12" t="s">
        <v>7082</v>
      </c>
      <c r="JP404" s="15">
        <f t="shared" si="265"/>
        <v>1911</v>
      </c>
      <c r="JQ404" s="15">
        <f t="shared" si="266"/>
        <v>3822</v>
      </c>
      <c r="JR404" s="279">
        <f t="shared" si="267"/>
        <v>2</v>
      </c>
      <c r="JS404" s="17">
        <f t="shared" si="268"/>
        <v>0.56148613291470439</v>
      </c>
      <c r="JT404" s="18">
        <f t="shared" si="269"/>
        <v>0.56148613291470439</v>
      </c>
      <c r="JU404" s="280">
        <f t="shared" si="270"/>
        <v>1073</v>
      </c>
      <c r="JV404" s="280">
        <f t="shared" si="271"/>
        <v>2146</v>
      </c>
      <c r="JW404" s="319" t="str">
        <f t="shared" si="272"/>
        <v/>
      </c>
      <c r="JX404" s="15">
        <f t="shared" si="273"/>
        <v>0</v>
      </c>
      <c r="JY404" s="15">
        <f t="shared" si="274"/>
        <v>0</v>
      </c>
      <c r="JZ404" s="19" t="str">
        <f t="shared" si="275"/>
        <v/>
      </c>
      <c r="KA404" s="52">
        <f t="shared" si="276"/>
        <v>1</v>
      </c>
      <c r="KB404" s="15">
        <f t="shared" si="277"/>
        <v>1911</v>
      </c>
      <c r="KC404" s="15">
        <f t="shared" si="278"/>
        <v>3822</v>
      </c>
      <c r="KD404" s="20">
        <f t="shared" si="279"/>
        <v>2</v>
      </c>
      <c r="KE404" s="52" t="str">
        <f t="shared" si="280"/>
        <v/>
      </c>
      <c r="KF404" s="15">
        <f t="shared" si="281"/>
        <v>0</v>
      </c>
      <c r="KG404" s="15">
        <f t="shared" si="282"/>
        <v>0</v>
      </c>
      <c r="KH404" s="21" t="str">
        <f t="shared" si="283"/>
        <v/>
      </c>
      <c r="KI404" s="52" t="str">
        <f t="shared" si="284"/>
        <v/>
      </c>
      <c r="KJ404" s="15">
        <f t="shared" si="285"/>
        <v>0</v>
      </c>
      <c r="KK404" s="15">
        <f t="shared" si="286"/>
        <v>0</v>
      </c>
      <c r="KL404" s="19" t="str">
        <f t="shared" si="287"/>
        <v/>
      </c>
      <c r="KM404" s="52" t="str">
        <f t="shared" si="288"/>
        <v/>
      </c>
      <c r="KN404" s="22">
        <f t="shared" si="289"/>
        <v>0</v>
      </c>
      <c r="KO404" s="22">
        <f t="shared" si="290"/>
        <v>0</v>
      </c>
      <c r="KP404" s="19" t="str">
        <f t="shared" si="291"/>
        <v/>
      </c>
      <c r="KQ404" s="11" t="str">
        <f t="shared" si="292"/>
        <v>2. Sensitive</v>
      </c>
      <c r="KR404" s="11" t="str">
        <f t="shared" si="293"/>
        <v>4. Transformational</v>
      </c>
      <c r="KS404" s="11" t="str">
        <f t="shared" si="294"/>
        <v>4. Transformative</v>
      </c>
      <c r="KT404" s="11" t="str">
        <f t="shared" si="295"/>
        <v>It did not develop any specific innovation</v>
      </c>
      <c r="KU404" s="11" t="str">
        <f t="shared" si="296"/>
        <v>Moderate advocacy</v>
      </c>
      <c r="KV404" s="11" t="str">
        <f t="shared" si="297"/>
        <v>It did not take tested solutions to scale</v>
      </c>
      <c r="KW404" s="11" t="str">
        <f t="shared" si="298"/>
        <v>Laos - Scailing-up CBDRR  and School Safety in Lao PDR</v>
      </c>
      <c r="KX404" s="11" t="str">
        <f t="shared" si="299"/>
        <v>Scailing-up CBDRR  and School Safety in Lao PDR</v>
      </c>
      <c r="KY404" s="11" t="str">
        <f t="shared" si="300"/>
        <v>Laos</v>
      </c>
      <c r="KZ404" s="12">
        <v>404</v>
      </c>
    </row>
    <row r="405" spans="1:312" x14ac:dyDescent="0.3">
      <c r="A405" s="12" t="s">
        <v>6850</v>
      </c>
      <c r="B405" s="12" t="s">
        <v>306</v>
      </c>
      <c r="C405" s="12">
        <v>3102</v>
      </c>
      <c r="D405" s="12" t="s">
        <v>6964</v>
      </c>
      <c r="E405" s="277" t="str">
        <f t="shared" si="258"/>
        <v>Laos</v>
      </c>
      <c r="F405" s="12" t="s">
        <v>6965</v>
      </c>
      <c r="G405" s="12" t="s">
        <v>1853</v>
      </c>
      <c r="H405" s="12" t="s">
        <v>310</v>
      </c>
      <c r="I405" s="12" t="s">
        <v>517</v>
      </c>
      <c r="J405" s="281" t="s">
        <v>14578</v>
      </c>
      <c r="K405" s="12" t="s">
        <v>6965</v>
      </c>
      <c r="L405" s="12" t="s">
        <v>1853</v>
      </c>
      <c r="M405" s="12" t="s">
        <v>384</v>
      </c>
      <c r="N405" s="12" t="s">
        <v>384</v>
      </c>
      <c r="O405" s="12" t="s">
        <v>6930</v>
      </c>
      <c r="P405" s="12"/>
      <c r="Q405" s="12"/>
      <c r="R405" s="12"/>
      <c r="S405" s="12"/>
      <c r="T405" s="12"/>
      <c r="U405" s="12"/>
      <c r="V405" s="12"/>
      <c r="W405" s="12"/>
      <c r="X405" s="12"/>
      <c r="Y405" s="12"/>
      <c r="Z405" s="12"/>
      <c r="AA405" s="12"/>
      <c r="AB405" s="12"/>
      <c r="AC405" s="12"/>
      <c r="AD405" s="12"/>
      <c r="BD405" s="13">
        <v>42401</v>
      </c>
      <c r="BE405" s="13">
        <v>43861</v>
      </c>
      <c r="BF405" s="12"/>
      <c r="BG405" s="12" t="s">
        <v>749</v>
      </c>
      <c r="BH405" s="14">
        <v>3237500</v>
      </c>
      <c r="BI405" s="12" t="s">
        <v>6933</v>
      </c>
      <c r="BJ405" s="12" t="s">
        <v>6934</v>
      </c>
      <c r="BK405" s="12" t="s">
        <v>6935</v>
      </c>
      <c r="BL405" s="12" t="s">
        <v>6896</v>
      </c>
      <c r="BM405" s="12" t="s">
        <v>6966</v>
      </c>
      <c r="BN405" s="12" t="s">
        <v>6967</v>
      </c>
      <c r="BO405" s="12" t="s">
        <v>319</v>
      </c>
      <c r="BP405" s="12" t="s">
        <v>320</v>
      </c>
      <c r="BQ405" s="12" t="s">
        <v>319</v>
      </c>
      <c r="BR405" s="12" t="s">
        <v>6968</v>
      </c>
      <c r="BS405" s="12" t="s">
        <v>357</v>
      </c>
      <c r="BT405" s="12" t="s">
        <v>6969</v>
      </c>
      <c r="BU405" s="12" t="s">
        <v>6970</v>
      </c>
      <c r="BV405" s="14">
        <v>2500</v>
      </c>
      <c r="BW405" s="14">
        <v>2500</v>
      </c>
      <c r="BX405" s="14">
        <v>5000</v>
      </c>
      <c r="BY405" s="14">
        <v>7500</v>
      </c>
      <c r="BZ405" s="14">
        <v>7500</v>
      </c>
      <c r="CA405" s="14">
        <v>15000</v>
      </c>
      <c r="CB405" s="12" t="s">
        <v>6971</v>
      </c>
      <c r="CD405" s="14"/>
      <c r="CE405" s="14"/>
      <c r="CF405" s="14"/>
      <c r="CG405" s="14"/>
      <c r="CH405" s="14"/>
      <c r="CI405" s="14"/>
      <c r="CJ405" s="12"/>
      <c r="CK405" s="14"/>
      <c r="CL405" s="16"/>
      <c r="CM405" s="14"/>
      <c r="CN405" s="12"/>
      <c r="CO405" s="14"/>
      <c r="CP405" s="16"/>
      <c r="CQ405" s="14"/>
      <c r="CR405" s="12"/>
      <c r="CS405" s="14"/>
      <c r="CT405" s="16"/>
      <c r="CU405" s="14"/>
      <c r="CV405" s="12"/>
      <c r="CW405" s="14"/>
      <c r="CX405" s="16"/>
      <c r="CY405" s="14"/>
      <c r="CZ405" s="12"/>
      <c r="DA405" s="14"/>
      <c r="DB405" s="16"/>
      <c r="DC405" s="14"/>
      <c r="DD405" s="12"/>
      <c r="DE405" s="14"/>
      <c r="DF405" s="16"/>
      <c r="DG405" s="14"/>
      <c r="DH405" s="12"/>
      <c r="DI405" s="14"/>
      <c r="DJ405" s="16"/>
      <c r="DK405" s="14"/>
      <c r="DL405" s="12"/>
      <c r="DM405" s="14"/>
      <c r="DN405" s="16"/>
      <c r="DO405" s="14"/>
      <c r="DP405" s="12"/>
      <c r="DQ405" s="14"/>
      <c r="DR405" s="16"/>
      <c r="DS405" s="14"/>
      <c r="DT405" s="12"/>
      <c r="DU405" s="14"/>
      <c r="DV405" s="16"/>
      <c r="DW405" s="14"/>
      <c r="DX405" s="12"/>
      <c r="DY405" s="14"/>
      <c r="DZ405" s="16"/>
      <c r="EA405" s="14"/>
      <c r="EB405" s="12"/>
      <c r="EC405" s="14"/>
      <c r="ED405" s="16"/>
      <c r="EE405" s="14"/>
      <c r="EF405" s="12"/>
      <c r="EG405" s="12"/>
      <c r="EH405" s="14"/>
      <c r="EI405" s="16"/>
      <c r="EJ405" s="14"/>
      <c r="EK405" s="14">
        <v>1629</v>
      </c>
      <c r="EL405" s="14">
        <v>1359</v>
      </c>
      <c r="EM405" s="14">
        <v>2988</v>
      </c>
      <c r="EN405" s="14">
        <v>7214</v>
      </c>
      <c r="EO405" s="14">
        <v>7386</v>
      </c>
      <c r="EP405" s="14">
        <v>14600</v>
      </c>
      <c r="EQ405" s="12" t="s">
        <v>320</v>
      </c>
      <c r="ER405" s="14">
        <v>1152</v>
      </c>
      <c r="ES405" s="16">
        <v>0.5</v>
      </c>
      <c r="ET405" s="14">
        <v>3456</v>
      </c>
      <c r="EU405" s="11" t="s">
        <v>319</v>
      </c>
      <c r="EV405" s="14"/>
      <c r="EW405" s="16"/>
      <c r="EX405" s="14"/>
      <c r="EY405" s="12" t="s">
        <v>319</v>
      </c>
      <c r="EZ405" s="14"/>
      <c r="FA405" s="16"/>
      <c r="FB405" s="14"/>
      <c r="FC405" s="12" t="s">
        <v>319</v>
      </c>
      <c r="FD405" s="14"/>
      <c r="FE405" s="16"/>
      <c r="FF405" s="14"/>
      <c r="FG405" s="12" t="s">
        <v>319</v>
      </c>
      <c r="FH405" s="14"/>
      <c r="FI405" s="16"/>
      <c r="FJ405" s="14"/>
      <c r="FK405" s="12" t="s">
        <v>319</v>
      </c>
      <c r="FL405" s="14"/>
      <c r="FM405" s="16"/>
      <c r="FN405" s="14"/>
      <c r="FO405" s="12" t="s">
        <v>320</v>
      </c>
      <c r="FP405" s="14">
        <v>2987</v>
      </c>
      <c r="FQ405" s="16">
        <v>0.54</v>
      </c>
      <c r="FR405" s="14">
        <v>14600</v>
      </c>
      <c r="FS405" s="12" t="s">
        <v>319</v>
      </c>
      <c r="FT405" s="14"/>
      <c r="FU405" s="16"/>
      <c r="FV405" s="14"/>
      <c r="FW405" s="12" t="s">
        <v>319</v>
      </c>
      <c r="FX405" s="14"/>
      <c r="FY405" s="16"/>
      <c r="FZ405" s="14"/>
      <c r="GA405" s="12" t="s">
        <v>319</v>
      </c>
      <c r="GB405" s="14"/>
      <c r="GC405" s="16"/>
      <c r="GD405" s="14"/>
      <c r="GE405" s="12" t="s">
        <v>319</v>
      </c>
      <c r="GF405" s="14"/>
      <c r="GG405" s="16"/>
      <c r="GH405" s="14"/>
      <c r="GI405" s="12" t="s">
        <v>319</v>
      </c>
      <c r="GJ405" s="14"/>
      <c r="GK405" s="16"/>
      <c r="GL405" s="14"/>
      <c r="GM405" s="12" t="s">
        <v>319</v>
      </c>
      <c r="GN405" s="14"/>
      <c r="GO405" s="16"/>
      <c r="GP405" s="14"/>
      <c r="GQ405" s="12" t="s">
        <v>319</v>
      </c>
      <c r="GR405" s="14"/>
      <c r="GS405" s="16"/>
      <c r="GT405" s="14"/>
      <c r="GU405" s="12" t="s">
        <v>319</v>
      </c>
      <c r="GV405" s="14"/>
      <c r="GW405" s="16"/>
      <c r="GX405" s="14"/>
      <c r="GY405" s="12" t="s">
        <v>319</v>
      </c>
      <c r="GZ405" s="14"/>
      <c r="HA405" s="16"/>
      <c r="HB405" s="14"/>
      <c r="HC405" s="12"/>
      <c r="HD405" s="12"/>
      <c r="HE405" s="14"/>
      <c r="HF405" s="16"/>
      <c r="HG405" s="14"/>
      <c r="HH405" s="12" t="s">
        <v>320</v>
      </c>
      <c r="HI405" s="12" t="s">
        <v>560</v>
      </c>
      <c r="HJ405" s="12">
        <v>2017</v>
      </c>
      <c r="HK405" s="12" t="s">
        <v>319</v>
      </c>
      <c r="HL405" s="12" t="s">
        <v>320</v>
      </c>
      <c r="HM405" s="12" t="s">
        <v>361</v>
      </c>
      <c r="HN405" s="12">
        <v>2017</v>
      </c>
      <c r="HO405" s="12" t="s">
        <v>6972</v>
      </c>
      <c r="HP405" s="12" t="s">
        <v>418</v>
      </c>
      <c r="HQ405" s="12" t="s">
        <v>319</v>
      </c>
      <c r="HR405" s="12" t="s">
        <v>319</v>
      </c>
      <c r="HS405" s="12" t="s">
        <v>320</v>
      </c>
      <c r="HT405" s="12" t="s">
        <v>320</v>
      </c>
      <c r="HU405" s="12" t="s">
        <v>320</v>
      </c>
      <c r="HV405" s="12" t="s">
        <v>319</v>
      </c>
      <c r="HW405" s="12" t="s">
        <v>320</v>
      </c>
      <c r="HX405" s="12" t="s">
        <v>319</v>
      </c>
      <c r="HY405" s="12"/>
      <c r="HZ405" s="12" t="s">
        <v>363</v>
      </c>
      <c r="IA405" s="12"/>
      <c r="IB405" s="12" t="s">
        <v>333</v>
      </c>
      <c r="IC405" s="12"/>
      <c r="ID405" s="12" t="s">
        <v>364</v>
      </c>
      <c r="IE405" s="12" t="s">
        <v>335</v>
      </c>
      <c r="IF405" s="12" t="s">
        <v>320</v>
      </c>
      <c r="IG405" s="12" t="s">
        <v>320</v>
      </c>
      <c r="IH405" s="12" t="s">
        <v>320</v>
      </c>
      <c r="II405" s="12" t="s">
        <v>320</v>
      </c>
      <c r="IJ405" s="12" t="str">
        <f t="shared" si="259"/>
        <v>2. Sensitive</v>
      </c>
      <c r="IK405" s="12">
        <f t="shared" si="260"/>
        <v>4</v>
      </c>
      <c r="IL405" s="12" t="s">
        <v>336</v>
      </c>
      <c r="IM405" s="12" t="s">
        <v>320</v>
      </c>
      <c r="IN405" s="12" t="s">
        <v>320</v>
      </c>
      <c r="IO405" s="12" t="s">
        <v>320</v>
      </c>
      <c r="IP405" s="12" t="s">
        <v>320</v>
      </c>
      <c r="IQ405" s="12" t="str">
        <f t="shared" si="261"/>
        <v>2. Accommodating</v>
      </c>
      <c r="IR405" s="12">
        <f t="shared" si="262"/>
        <v>4</v>
      </c>
      <c r="IS405" s="12" t="s">
        <v>456</v>
      </c>
      <c r="IT405" s="12" t="s">
        <v>320</v>
      </c>
      <c r="IU405" s="12" t="s">
        <v>320</v>
      </c>
      <c r="IV405" s="12" t="s">
        <v>319</v>
      </c>
      <c r="IW405" s="11" t="str">
        <f t="shared" si="263"/>
        <v>0. Harmful</v>
      </c>
      <c r="IX405" s="12">
        <f t="shared" si="264"/>
        <v>2</v>
      </c>
      <c r="IY405" s="12" t="s">
        <v>419</v>
      </c>
      <c r="IZ405" s="12" t="s">
        <v>527</v>
      </c>
      <c r="JA405" s="12">
        <v>4</v>
      </c>
      <c r="JB405" s="12" t="s">
        <v>433</v>
      </c>
      <c r="JC405" s="12" t="s">
        <v>687</v>
      </c>
      <c r="JD405" s="12" t="s">
        <v>624</v>
      </c>
      <c r="JE405" s="12" t="s">
        <v>340</v>
      </c>
      <c r="JF405" s="12" t="s">
        <v>6973</v>
      </c>
      <c r="JG405" s="12" t="s">
        <v>6974</v>
      </c>
      <c r="JH405" s="12"/>
      <c r="JI405" s="12"/>
      <c r="JJ405" s="12"/>
      <c r="JK405" s="12" t="s">
        <v>6975</v>
      </c>
      <c r="JL405" s="12" t="s">
        <v>6976</v>
      </c>
      <c r="JM405" s="12" t="s">
        <v>6977</v>
      </c>
      <c r="JN405" s="12"/>
      <c r="JO405" s="12" t="s">
        <v>6978</v>
      </c>
      <c r="JP405" s="15">
        <f t="shared" si="265"/>
        <v>2988</v>
      </c>
      <c r="JQ405" s="15">
        <f t="shared" si="266"/>
        <v>14600</v>
      </c>
      <c r="JR405" s="279">
        <f t="shared" si="267"/>
        <v>4.8862115127175372</v>
      </c>
      <c r="JS405" s="17">
        <f t="shared" si="268"/>
        <v>0.54518072289156627</v>
      </c>
      <c r="JT405" s="18">
        <f t="shared" si="269"/>
        <v>0.49410958904109586</v>
      </c>
      <c r="JU405" s="280">
        <f t="shared" si="270"/>
        <v>1629</v>
      </c>
      <c r="JV405" s="280">
        <f t="shared" si="271"/>
        <v>7214</v>
      </c>
      <c r="JW405" s="319" t="str">
        <f t="shared" si="272"/>
        <v/>
      </c>
      <c r="JX405" s="15">
        <f t="shared" si="273"/>
        <v>0</v>
      </c>
      <c r="JY405" s="15">
        <f t="shared" si="274"/>
        <v>0</v>
      </c>
      <c r="JZ405" s="19" t="str">
        <f t="shared" si="275"/>
        <v/>
      </c>
      <c r="KA405" s="52">
        <f t="shared" si="276"/>
        <v>1</v>
      </c>
      <c r="KB405" s="15">
        <f t="shared" si="277"/>
        <v>2987</v>
      </c>
      <c r="KC405" s="15">
        <f t="shared" si="278"/>
        <v>14600</v>
      </c>
      <c r="KD405" s="20">
        <f t="shared" si="279"/>
        <v>4.8878473384666892</v>
      </c>
      <c r="KE405" s="52" t="str">
        <f t="shared" si="280"/>
        <v/>
      </c>
      <c r="KF405" s="15">
        <f t="shared" si="281"/>
        <v>0</v>
      </c>
      <c r="KG405" s="15">
        <f t="shared" si="282"/>
        <v>0</v>
      </c>
      <c r="KH405" s="21" t="str">
        <f t="shared" si="283"/>
        <v/>
      </c>
      <c r="KI405" s="52" t="str">
        <f t="shared" si="284"/>
        <v/>
      </c>
      <c r="KJ405" s="15">
        <f t="shared" si="285"/>
        <v>0</v>
      </c>
      <c r="KK405" s="15">
        <f t="shared" si="286"/>
        <v>0</v>
      </c>
      <c r="KL405" s="19" t="str">
        <f t="shared" si="287"/>
        <v/>
      </c>
      <c r="KM405" s="52" t="str">
        <f t="shared" si="288"/>
        <v/>
      </c>
      <c r="KN405" s="22">
        <f t="shared" si="289"/>
        <v>0</v>
      </c>
      <c r="KO405" s="22">
        <f t="shared" si="290"/>
        <v>0</v>
      </c>
      <c r="KP405" s="19" t="str">
        <f t="shared" si="291"/>
        <v/>
      </c>
      <c r="KQ405" s="11" t="str">
        <f t="shared" si="292"/>
        <v>2. Sensitive</v>
      </c>
      <c r="KR405" s="11" t="str">
        <f t="shared" si="293"/>
        <v>2. Accommodating</v>
      </c>
      <c r="KS405" s="11" t="str">
        <f t="shared" si="294"/>
        <v>0. Harmful</v>
      </c>
      <c r="KT405" s="11" t="str">
        <f t="shared" si="295"/>
        <v>It did not develop any specific innovation</v>
      </c>
      <c r="KU405" s="11" t="str">
        <f t="shared" si="296"/>
        <v>Little or no advocacy</v>
      </c>
      <c r="KV405" s="11" t="str">
        <f t="shared" si="297"/>
        <v>It did not take tested solutions to scale</v>
      </c>
      <c r="KW405" s="11" t="str">
        <f t="shared" si="298"/>
        <v>Laos - Scaling Up Convergent Programme Approaches to improve food and nutrition seecurity in the northern uplands (SUPA)</v>
      </c>
      <c r="KX405" s="11" t="str">
        <f t="shared" si="299"/>
        <v>Scaling Up Convergent Programme Approaches to improve food and nutrition seecurity in the northern uplands (SUPA)</v>
      </c>
      <c r="KY405" s="11" t="str">
        <f t="shared" si="300"/>
        <v>Laos</v>
      </c>
      <c r="KZ405" s="12">
        <v>405</v>
      </c>
    </row>
    <row r="406" spans="1:312" x14ac:dyDescent="0.3">
      <c r="A406" s="12" t="s">
        <v>6850</v>
      </c>
      <c r="B406" s="12" t="s">
        <v>306</v>
      </c>
      <c r="C406" s="12">
        <v>3092</v>
      </c>
      <c r="D406" s="12" t="s">
        <v>7011</v>
      </c>
      <c r="E406" s="277" t="str">
        <f t="shared" si="258"/>
        <v>Laos</v>
      </c>
      <c r="F406" s="12" t="s">
        <v>7012</v>
      </c>
      <c r="G406" s="12" t="s">
        <v>1738</v>
      </c>
      <c r="H406" s="12" t="s">
        <v>310</v>
      </c>
      <c r="I406" s="12" t="s">
        <v>3316</v>
      </c>
      <c r="J406" s="281" t="s">
        <v>14616</v>
      </c>
      <c r="K406" s="12" t="s">
        <v>7012</v>
      </c>
      <c r="L406" s="12" t="s">
        <v>1738</v>
      </c>
      <c r="M406" s="12" t="s">
        <v>384</v>
      </c>
      <c r="N406" s="12" t="s">
        <v>384</v>
      </c>
      <c r="O406" s="12" t="s">
        <v>6996</v>
      </c>
      <c r="P406" s="12"/>
      <c r="Q406" s="12"/>
      <c r="R406" s="12"/>
      <c r="S406" s="12"/>
      <c r="T406" s="12"/>
      <c r="U406" s="12"/>
      <c r="V406" s="12"/>
      <c r="W406" s="12"/>
      <c r="X406" s="12"/>
      <c r="Y406" s="12"/>
      <c r="Z406" s="12"/>
      <c r="AA406" s="12"/>
      <c r="AB406" s="12"/>
      <c r="AC406" s="12"/>
      <c r="AD406" s="12"/>
      <c r="BD406" s="13">
        <v>42339</v>
      </c>
      <c r="BE406" s="13">
        <v>43434</v>
      </c>
      <c r="BF406" s="12"/>
      <c r="BG406" s="12" t="s">
        <v>749</v>
      </c>
      <c r="BH406" s="14">
        <v>778134.58</v>
      </c>
      <c r="BI406" s="12" t="s">
        <v>6997</v>
      </c>
      <c r="BJ406" s="12" t="s">
        <v>6877</v>
      </c>
      <c r="BK406" s="12" t="s">
        <v>6998</v>
      </c>
      <c r="BL406" s="12" t="s">
        <v>7013</v>
      </c>
      <c r="BM406" s="12" t="s">
        <v>354</v>
      </c>
      <c r="BN406" s="12" t="s">
        <v>7014</v>
      </c>
      <c r="BO406" s="12" t="s">
        <v>319</v>
      </c>
      <c r="BP406" s="12" t="s">
        <v>320</v>
      </c>
      <c r="BQ406" s="12" t="s">
        <v>319</v>
      </c>
      <c r="BR406" s="12" t="s">
        <v>7015</v>
      </c>
      <c r="BS406" s="12" t="s">
        <v>357</v>
      </c>
      <c r="BT406" s="12" t="s">
        <v>7016</v>
      </c>
      <c r="BU406" s="12" t="s">
        <v>7017</v>
      </c>
      <c r="BV406" s="14">
        <v>4554</v>
      </c>
      <c r="BW406" s="14">
        <v>3036</v>
      </c>
      <c r="BX406" s="14">
        <v>7590</v>
      </c>
      <c r="BY406" s="14">
        <v>1821</v>
      </c>
      <c r="BZ406" s="14">
        <v>1214</v>
      </c>
      <c r="CA406" s="14">
        <v>3035</v>
      </c>
      <c r="CB406" s="12" t="s">
        <v>7018</v>
      </c>
      <c r="CD406" s="14"/>
      <c r="CE406" s="14"/>
      <c r="CF406" s="14"/>
      <c r="CG406" s="14"/>
      <c r="CH406" s="14"/>
      <c r="CI406" s="14"/>
      <c r="CJ406" s="12"/>
      <c r="CK406" s="14"/>
      <c r="CL406" s="16"/>
      <c r="CM406" s="14"/>
      <c r="CN406" s="12"/>
      <c r="CO406" s="14"/>
      <c r="CP406" s="16"/>
      <c r="CQ406" s="14"/>
      <c r="CR406" s="12"/>
      <c r="CS406" s="14"/>
      <c r="CT406" s="16"/>
      <c r="CU406" s="14"/>
      <c r="CV406" s="12"/>
      <c r="CW406" s="14"/>
      <c r="CX406" s="16"/>
      <c r="CY406" s="14"/>
      <c r="CZ406" s="12"/>
      <c r="DA406" s="14"/>
      <c r="DB406" s="16"/>
      <c r="DC406" s="14"/>
      <c r="DD406" s="12"/>
      <c r="DE406" s="14"/>
      <c r="DF406" s="16"/>
      <c r="DG406" s="14"/>
      <c r="DH406" s="12"/>
      <c r="DI406" s="14"/>
      <c r="DJ406" s="16"/>
      <c r="DK406" s="14"/>
      <c r="DL406" s="12"/>
      <c r="DM406" s="14"/>
      <c r="DN406" s="16"/>
      <c r="DO406" s="14"/>
      <c r="DP406" s="12"/>
      <c r="DQ406" s="14"/>
      <c r="DR406" s="16"/>
      <c r="DS406" s="14"/>
      <c r="DT406" s="12"/>
      <c r="DU406" s="14"/>
      <c r="DV406" s="16"/>
      <c r="DW406" s="14"/>
      <c r="DX406" s="12"/>
      <c r="DY406" s="14"/>
      <c r="DZ406" s="16"/>
      <c r="EA406" s="14"/>
      <c r="EB406" s="12"/>
      <c r="EC406" s="14"/>
      <c r="ED406" s="16"/>
      <c r="EE406" s="14"/>
      <c r="EF406" s="12"/>
      <c r="EG406" s="12"/>
      <c r="EH406" s="14"/>
      <c r="EI406" s="16"/>
      <c r="EJ406" s="14"/>
      <c r="EK406" s="14">
        <v>3975</v>
      </c>
      <c r="EL406" s="14">
        <v>2650</v>
      </c>
      <c r="EM406" s="14">
        <v>6625</v>
      </c>
      <c r="EN406" s="14">
        <v>1590</v>
      </c>
      <c r="EO406" s="14">
        <v>1060</v>
      </c>
      <c r="EP406" s="14">
        <v>2650</v>
      </c>
      <c r="EQ406" s="12" t="s">
        <v>320</v>
      </c>
      <c r="ER406" s="14">
        <v>6625</v>
      </c>
      <c r="ES406" s="16">
        <v>0.6</v>
      </c>
      <c r="ET406" s="14">
        <v>2650</v>
      </c>
      <c r="EU406" s="11" t="s">
        <v>319</v>
      </c>
      <c r="EV406" s="14"/>
      <c r="EW406" s="16"/>
      <c r="EX406" s="14"/>
      <c r="EY406" s="12" t="s">
        <v>319</v>
      </c>
      <c r="EZ406" s="14"/>
      <c r="FA406" s="16"/>
      <c r="FB406" s="14"/>
      <c r="FC406" s="12" t="s">
        <v>319</v>
      </c>
      <c r="FD406" s="14"/>
      <c r="FE406" s="16"/>
      <c r="FF406" s="14"/>
      <c r="FG406" s="12" t="s">
        <v>319</v>
      </c>
      <c r="FH406" s="14"/>
      <c r="FI406" s="16"/>
      <c r="FJ406" s="14"/>
      <c r="FK406" s="12" t="s">
        <v>319</v>
      </c>
      <c r="FL406" s="14"/>
      <c r="FM406" s="16"/>
      <c r="FN406" s="14"/>
      <c r="FO406" s="12" t="s">
        <v>320</v>
      </c>
      <c r="FP406" s="14">
        <v>6625</v>
      </c>
      <c r="FQ406" s="16">
        <v>0.6</v>
      </c>
      <c r="FR406" s="14">
        <v>2650</v>
      </c>
      <c r="FS406" s="12" t="s">
        <v>319</v>
      </c>
      <c r="FT406" s="14"/>
      <c r="FU406" s="16"/>
      <c r="FV406" s="14"/>
      <c r="FW406" s="11" t="s">
        <v>320</v>
      </c>
      <c r="FX406" s="14">
        <v>500</v>
      </c>
      <c r="FY406" s="16">
        <v>0.5</v>
      </c>
      <c r="FZ406" s="14">
        <v>6625</v>
      </c>
      <c r="GA406" s="12" t="s">
        <v>319</v>
      </c>
      <c r="GB406" s="14"/>
      <c r="GC406" s="16"/>
      <c r="GD406" s="14"/>
      <c r="GE406" s="12" t="s">
        <v>319</v>
      </c>
      <c r="GF406" s="14"/>
      <c r="GG406" s="16"/>
      <c r="GH406" s="14"/>
      <c r="GI406" s="12" t="s">
        <v>319</v>
      </c>
      <c r="GJ406" s="14"/>
      <c r="GK406" s="16"/>
      <c r="GL406" s="14"/>
      <c r="GM406" s="11" t="s">
        <v>320</v>
      </c>
      <c r="GN406" s="14">
        <v>1060</v>
      </c>
      <c r="GO406" s="16">
        <v>0.6</v>
      </c>
      <c r="GP406" s="14">
        <v>0</v>
      </c>
      <c r="GQ406" s="12" t="s">
        <v>319</v>
      </c>
      <c r="GR406" s="14"/>
      <c r="GS406" s="16"/>
      <c r="GT406" s="14"/>
      <c r="GU406" s="12" t="s">
        <v>319</v>
      </c>
      <c r="GV406" s="14"/>
      <c r="GW406" s="16"/>
      <c r="GX406" s="14"/>
      <c r="GY406" s="11" t="s">
        <v>320</v>
      </c>
      <c r="GZ406" s="14">
        <v>239</v>
      </c>
      <c r="HA406" s="16">
        <v>1</v>
      </c>
      <c r="HB406" s="14">
        <v>1434</v>
      </c>
      <c r="HC406" s="12"/>
      <c r="HD406" s="12" t="s">
        <v>319</v>
      </c>
      <c r="HE406" s="14"/>
      <c r="HF406" s="16"/>
      <c r="HG406" s="14"/>
      <c r="HH406" s="12" t="s">
        <v>320</v>
      </c>
      <c r="HI406" s="12" t="s">
        <v>1175</v>
      </c>
      <c r="HJ406" s="12">
        <v>2016</v>
      </c>
      <c r="HK406" s="12" t="s">
        <v>319</v>
      </c>
      <c r="HL406" s="12" t="s">
        <v>319</v>
      </c>
      <c r="HM406" s="12"/>
      <c r="HN406" s="12"/>
      <c r="HO406" s="12"/>
      <c r="HP406" s="12" t="s">
        <v>418</v>
      </c>
      <c r="HQ406" s="12" t="s">
        <v>319</v>
      </c>
      <c r="HR406" s="12" t="s">
        <v>319</v>
      </c>
      <c r="HS406" s="12" t="s">
        <v>319</v>
      </c>
      <c r="HT406" s="12" t="s">
        <v>319</v>
      </c>
      <c r="HU406" s="12" t="s">
        <v>319</v>
      </c>
      <c r="HV406" s="12" t="s">
        <v>319</v>
      </c>
      <c r="HW406" s="12" t="s">
        <v>319</v>
      </c>
      <c r="HX406" s="12" t="s">
        <v>319</v>
      </c>
      <c r="HY406" s="12"/>
      <c r="HZ406" s="12" t="s">
        <v>363</v>
      </c>
      <c r="IA406" s="12"/>
      <c r="IB406" s="12" t="s">
        <v>333</v>
      </c>
      <c r="IC406" s="12"/>
      <c r="ID406" s="12" t="s">
        <v>334</v>
      </c>
      <c r="IE406" s="12" t="s">
        <v>335</v>
      </c>
      <c r="IF406" s="12" t="s">
        <v>320</v>
      </c>
      <c r="IG406" s="12" t="s">
        <v>320</v>
      </c>
      <c r="IH406" s="12" t="s">
        <v>320</v>
      </c>
      <c r="II406" s="12" t="s">
        <v>320</v>
      </c>
      <c r="IJ406" s="12" t="str">
        <f t="shared" si="259"/>
        <v>2. Sensitive</v>
      </c>
      <c r="IK406" s="12">
        <f t="shared" si="260"/>
        <v>4</v>
      </c>
      <c r="IL406" s="12" t="s">
        <v>336</v>
      </c>
      <c r="IM406" s="12" t="s">
        <v>320</v>
      </c>
      <c r="IN406" s="12" t="s">
        <v>320</v>
      </c>
      <c r="IO406" s="12" t="s">
        <v>320</v>
      </c>
      <c r="IP406" s="12" t="s">
        <v>320</v>
      </c>
      <c r="IQ406" s="12" t="str">
        <f t="shared" si="261"/>
        <v>2. Accommodating</v>
      </c>
      <c r="IR406" s="12">
        <f t="shared" si="262"/>
        <v>4</v>
      </c>
      <c r="IS406" s="12" t="s">
        <v>456</v>
      </c>
      <c r="IT406" s="12" t="s">
        <v>319</v>
      </c>
      <c r="IU406" s="12" t="s">
        <v>319</v>
      </c>
      <c r="IV406" s="12" t="s">
        <v>319</v>
      </c>
      <c r="IW406" s="11" t="str">
        <f t="shared" si="263"/>
        <v>0. Harmful</v>
      </c>
      <c r="IX406" s="12">
        <f t="shared" si="264"/>
        <v>0</v>
      </c>
      <c r="IY406" s="12" t="s">
        <v>419</v>
      </c>
      <c r="IZ406" s="12" t="s">
        <v>457</v>
      </c>
      <c r="JA406" s="12">
        <v>8</v>
      </c>
      <c r="JB406" s="12" t="s">
        <v>687</v>
      </c>
      <c r="JC406" s="12" t="s">
        <v>624</v>
      </c>
      <c r="JD406" s="12" t="s">
        <v>384</v>
      </c>
      <c r="JE406" s="12" t="s">
        <v>420</v>
      </c>
      <c r="JF406" s="12"/>
      <c r="JG406" s="12"/>
      <c r="JH406" s="12" t="s">
        <v>7019</v>
      </c>
      <c r="JI406" s="12" t="s">
        <v>7020</v>
      </c>
      <c r="JJ406" s="12" t="s">
        <v>7021</v>
      </c>
      <c r="JK406" s="12" t="s">
        <v>7022</v>
      </c>
      <c r="JL406" s="12" t="s">
        <v>7023</v>
      </c>
      <c r="JM406" s="12" t="s">
        <v>7024</v>
      </c>
      <c r="JN406" s="12" t="s">
        <v>7025</v>
      </c>
      <c r="JO406" s="12" t="s">
        <v>7026</v>
      </c>
      <c r="JP406" s="15">
        <f t="shared" si="265"/>
        <v>6625</v>
      </c>
      <c r="JQ406" s="15">
        <f t="shared" si="266"/>
        <v>2650</v>
      </c>
      <c r="JR406" s="279">
        <f t="shared" si="267"/>
        <v>0.4</v>
      </c>
      <c r="JS406" s="17">
        <f t="shared" si="268"/>
        <v>0.6</v>
      </c>
      <c r="JT406" s="18">
        <f t="shared" si="269"/>
        <v>0.6</v>
      </c>
      <c r="JU406" s="280">
        <f t="shared" si="270"/>
        <v>3975</v>
      </c>
      <c r="JV406" s="280">
        <f t="shared" si="271"/>
        <v>1590</v>
      </c>
      <c r="JW406" s="319" t="str">
        <f t="shared" si="272"/>
        <v/>
      </c>
      <c r="JX406" s="15">
        <f t="shared" si="273"/>
        <v>0</v>
      </c>
      <c r="JY406" s="15">
        <f t="shared" si="274"/>
        <v>0</v>
      </c>
      <c r="JZ406" s="19" t="str">
        <f t="shared" si="275"/>
        <v/>
      </c>
      <c r="KA406" s="52">
        <f t="shared" si="276"/>
        <v>1</v>
      </c>
      <c r="KB406" s="15">
        <f t="shared" si="277"/>
        <v>6625</v>
      </c>
      <c r="KC406" s="15">
        <f t="shared" si="278"/>
        <v>2650</v>
      </c>
      <c r="KD406" s="20">
        <f t="shared" si="279"/>
        <v>0.4</v>
      </c>
      <c r="KE406" s="52" t="str">
        <f t="shared" si="280"/>
        <v/>
      </c>
      <c r="KF406" s="15">
        <f t="shared" si="281"/>
        <v>0</v>
      </c>
      <c r="KG406" s="15">
        <f t="shared" si="282"/>
        <v>0</v>
      </c>
      <c r="KH406" s="21" t="str">
        <f t="shared" si="283"/>
        <v/>
      </c>
      <c r="KI406" s="52" t="str">
        <f t="shared" si="284"/>
        <v/>
      </c>
      <c r="KJ406" s="15">
        <f t="shared" si="285"/>
        <v>0</v>
      </c>
      <c r="KK406" s="15">
        <f t="shared" si="286"/>
        <v>0</v>
      </c>
      <c r="KL406" s="19" t="str">
        <f t="shared" si="287"/>
        <v/>
      </c>
      <c r="KM406" s="52">
        <f t="shared" si="288"/>
        <v>1</v>
      </c>
      <c r="KN406" s="22">
        <f t="shared" si="289"/>
        <v>239</v>
      </c>
      <c r="KO406" s="22">
        <f t="shared" si="290"/>
        <v>1434</v>
      </c>
      <c r="KP406" s="19">
        <f t="shared" si="291"/>
        <v>6</v>
      </c>
      <c r="KQ406" s="11" t="str">
        <f t="shared" si="292"/>
        <v>2. Sensitive</v>
      </c>
      <c r="KR406" s="11" t="str">
        <f t="shared" si="293"/>
        <v>2. Accommodating</v>
      </c>
      <c r="KS406" s="11" t="str">
        <f t="shared" si="294"/>
        <v>0. Harmful</v>
      </c>
      <c r="KT406" s="11" t="str">
        <f t="shared" si="295"/>
        <v>It did not develop any specific innovation</v>
      </c>
      <c r="KU406" s="11" t="str">
        <f t="shared" si="296"/>
        <v>Little or no advocacy</v>
      </c>
      <c r="KV406" s="11" t="str">
        <f t="shared" si="297"/>
        <v>It did not take tested solutions to scale</v>
      </c>
      <c r="KW406" s="11" t="str">
        <f t="shared" si="298"/>
        <v>Laos - Sekong Food Security Project - Phase II (SFSP II)</v>
      </c>
      <c r="KX406" s="11" t="str">
        <f t="shared" si="299"/>
        <v>Sekong Food Security Project - Phase II (SFSP II)</v>
      </c>
      <c r="KY406" s="11" t="str">
        <f t="shared" si="300"/>
        <v>Laos</v>
      </c>
      <c r="KZ406" s="12">
        <v>406</v>
      </c>
    </row>
    <row r="407" spans="1:312" x14ac:dyDescent="0.3">
      <c r="A407" s="12" t="s">
        <v>6850</v>
      </c>
      <c r="B407" s="12" t="s">
        <v>306</v>
      </c>
      <c r="C407" s="12">
        <v>3096</v>
      </c>
      <c r="D407" s="12" t="s">
        <v>6874</v>
      </c>
      <c r="E407" s="277" t="str">
        <f t="shared" si="258"/>
        <v>Laos</v>
      </c>
      <c r="F407" s="12" t="s">
        <v>6875</v>
      </c>
      <c r="G407" s="12" t="s">
        <v>309</v>
      </c>
      <c r="H407" s="12" t="s">
        <v>310</v>
      </c>
      <c r="I407" s="12" t="s">
        <v>311</v>
      </c>
      <c r="J407" s="281" t="s">
        <v>14565</v>
      </c>
      <c r="K407" s="12"/>
      <c r="L407" s="12"/>
      <c r="M407" s="12"/>
      <c r="N407" s="12"/>
      <c r="O407" s="12"/>
      <c r="P407" s="12"/>
      <c r="Q407" s="12"/>
      <c r="R407" s="12"/>
      <c r="S407" s="12"/>
      <c r="T407" s="12"/>
      <c r="U407" s="12"/>
      <c r="V407" s="12"/>
      <c r="W407" s="12"/>
      <c r="X407" s="12"/>
      <c r="Y407" s="12"/>
      <c r="Z407" s="12"/>
      <c r="AA407" s="12"/>
      <c r="AB407" s="12"/>
      <c r="AC407" s="12"/>
      <c r="AD407" s="12"/>
      <c r="BD407" s="13">
        <v>41791</v>
      </c>
      <c r="BE407" s="13">
        <v>42947</v>
      </c>
      <c r="BF407" s="12"/>
      <c r="BG407" s="12" t="s">
        <v>312</v>
      </c>
      <c r="BH407" s="14"/>
      <c r="BI407" s="12" t="s">
        <v>6876</v>
      </c>
      <c r="BJ407" s="12" t="s">
        <v>6877</v>
      </c>
      <c r="BK407" s="12" t="s">
        <v>6878</v>
      </c>
      <c r="BL407" s="12" t="s">
        <v>6879</v>
      </c>
      <c r="BM407" s="12" t="s">
        <v>980</v>
      </c>
      <c r="BN407" s="12" t="s">
        <v>6880</v>
      </c>
      <c r="BO407" s="12" t="s">
        <v>319</v>
      </c>
      <c r="BP407" s="12" t="s">
        <v>320</v>
      </c>
      <c r="BQ407" s="12" t="s">
        <v>319</v>
      </c>
      <c r="BR407" s="12" t="s">
        <v>6881</v>
      </c>
      <c r="BS407" s="12" t="s">
        <v>357</v>
      </c>
      <c r="BT407" s="12" t="s">
        <v>6882</v>
      </c>
      <c r="BU407" s="12" t="s">
        <v>6883</v>
      </c>
      <c r="BV407" s="14">
        <v>1308</v>
      </c>
      <c r="BW407" s="14">
        <v>1530</v>
      </c>
      <c r="BX407" s="14">
        <v>2838</v>
      </c>
      <c r="BY407" s="14">
        <v>1431</v>
      </c>
      <c r="BZ407" s="14">
        <v>1768</v>
      </c>
      <c r="CA407" s="14">
        <v>3199</v>
      </c>
      <c r="CB407" s="12" t="s">
        <v>6884</v>
      </c>
      <c r="CD407" s="14"/>
      <c r="CE407" s="14"/>
      <c r="CF407" s="14"/>
      <c r="CG407" s="14"/>
      <c r="CH407" s="14"/>
      <c r="CI407" s="14"/>
      <c r="CJ407" s="12"/>
      <c r="CK407" s="14"/>
      <c r="CL407" s="16"/>
      <c r="CM407" s="14"/>
      <c r="CN407" s="12"/>
      <c r="CO407" s="14"/>
      <c r="CP407" s="16"/>
      <c r="CQ407" s="14"/>
      <c r="CR407" s="12"/>
      <c r="CS407" s="14"/>
      <c r="CT407" s="16"/>
      <c r="CU407" s="14"/>
      <c r="CV407" s="12"/>
      <c r="CW407" s="14"/>
      <c r="CX407" s="16"/>
      <c r="CY407" s="14"/>
      <c r="CZ407" s="12"/>
      <c r="DA407" s="14"/>
      <c r="DB407" s="16"/>
      <c r="DC407" s="14"/>
      <c r="DD407" s="12"/>
      <c r="DE407" s="14"/>
      <c r="DF407" s="16"/>
      <c r="DG407" s="14"/>
      <c r="DH407" s="12"/>
      <c r="DI407" s="14"/>
      <c r="DJ407" s="16"/>
      <c r="DK407" s="14"/>
      <c r="DL407" s="12"/>
      <c r="DM407" s="14"/>
      <c r="DN407" s="16"/>
      <c r="DO407" s="14"/>
      <c r="DP407" s="12"/>
      <c r="DQ407" s="14"/>
      <c r="DR407" s="16"/>
      <c r="DS407" s="14"/>
      <c r="DT407" s="12"/>
      <c r="DU407" s="14"/>
      <c r="DV407" s="16"/>
      <c r="DW407" s="14"/>
      <c r="DX407" s="12"/>
      <c r="DY407" s="14"/>
      <c r="DZ407" s="16"/>
      <c r="EA407" s="14"/>
      <c r="EB407" s="12"/>
      <c r="EC407" s="14"/>
      <c r="ED407" s="16"/>
      <c r="EE407" s="14"/>
      <c r="EF407" s="12"/>
      <c r="EG407" s="12"/>
      <c r="EH407" s="14"/>
      <c r="EI407" s="16"/>
      <c r="EJ407" s="14"/>
      <c r="EK407" s="14">
        <v>436</v>
      </c>
      <c r="EL407" s="14">
        <v>441</v>
      </c>
      <c r="EM407" s="14">
        <v>877</v>
      </c>
      <c r="EN407" s="14">
        <v>1854</v>
      </c>
      <c r="EO407" s="14">
        <v>2281</v>
      </c>
      <c r="EP407" s="14">
        <v>4135</v>
      </c>
      <c r="EQ407" s="12" t="s">
        <v>320</v>
      </c>
      <c r="ER407" s="14">
        <v>1560</v>
      </c>
      <c r="ES407" s="16">
        <v>0.49</v>
      </c>
      <c r="ET407" s="14">
        <v>0</v>
      </c>
      <c r="EU407" s="11" t="s">
        <v>319</v>
      </c>
      <c r="EV407" s="14"/>
      <c r="EW407" s="16"/>
      <c r="EX407" s="14"/>
      <c r="EY407" s="12" t="s">
        <v>319</v>
      </c>
      <c r="EZ407" s="14"/>
      <c r="FA407" s="16"/>
      <c r="FB407" s="14"/>
      <c r="FC407" s="12" t="s">
        <v>319</v>
      </c>
      <c r="FD407" s="14"/>
      <c r="FE407" s="16"/>
      <c r="FF407" s="14"/>
      <c r="FG407" s="12" t="s">
        <v>320</v>
      </c>
      <c r="FH407" s="14">
        <v>1560</v>
      </c>
      <c r="FI407" s="16">
        <v>0.49</v>
      </c>
      <c r="FJ407" s="14">
        <v>0</v>
      </c>
      <c r="FK407" s="12" t="s">
        <v>319</v>
      </c>
      <c r="FL407" s="14"/>
      <c r="FM407" s="16"/>
      <c r="FN407" s="14"/>
      <c r="FO407" s="12" t="s">
        <v>320</v>
      </c>
      <c r="FP407" s="14">
        <v>570</v>
      </c>
      <c r="FQ407" s="16">
        <v>0.46</v>
      </c>
      <c r="FR407" s="14">
        <v>1710</v>
      </c>
      <c r="FS407" s="12" t="s">
        <v>319</v>
      </c>
      <c r="FT407" s="14"/>
      <c r="FU407" s="16"/>
      <c r="FV407" s="14"/>
      <c r="FW407" s="11" t="s">
        <v>320</v>
      </c>
      <c r="FX407" s="14">
        <v>120</v>
      </c>
      <c r="FY407" s="16">
        <v>0.5</v>
      </c>
      <c r="FZ407" s="14">
        <v>180</v>
      </c>
      <c r="GA407" s="12" t="s">
        <v>319</v>
      </c>
      <c r="GB407" s="14"/>
      <c r="GC407" s="16"/>
      <c r="GD407" s="14"/>
      <c r="GE407" s="12" t="s">
        <v>319</v>
      </c>
      <c r="GF407" s="14"/>
      <c r="GG407" s="16"/>
      <c r="GH407" s="14"/>
      <c r="GI407" s="12" t="s">
        <v>319</v>
      </c>
      <c r="GJ407" s="14"/>
      <c r="GK407" s="16"/>
      <c r="GL407" s="14"/>
      <c r="GM407" s="12" t="s">
        <v>319</v>
      </c>
      <c r="GN407" s="14"/>
      <c r="GO407" s="16"/>
      <c r="GP407" s="14"/>
      <c r="GQ407" s="12" t="s">
        <v>319</v>
      </c>
      <c r="GR407" s="14"/>
      <c r="GS407" s="16"/>
      <c r="GT407" s="14"/>
      <c r="GU407" s="12" t="s">
        <v>320</v>
      </c>
      <c r="GV407" s="14">
        <v>570</v>
      </c>
      <c r="GW407" s="16">
        <v>0.46</v>
      </c>
      <c r="GX407" s="14">
        <v>1710</v>
      </c>
      <c r="GY407" s="11" t="s">
        <v>320</v>
      </c>
      <c r="GZ407" s="14">
        <v>759</v>
      </c>
      <c r="HA407" s="16">
        <v>1</v>
      </c>
      <c r="HB407" s="14"/>
      <c r="HC407" s="12"/>
      <c r="HD407" s="12" t="s">
        <v>319</v>
      </c>
      <c r="HE407" s="14"/>
      <c r="HF407" s="16"/>
      <c r="HG407" s="14"/>
      <c r="HH407" s="12" t="s">
        <v>320</v>
      </c>
      <c r="HI407" s="12" t="s">
        <v>619</v>
      </c>
      <c r="HJ407" s="12">
        <v>2016</v>
      </c>
      <c r="HK407" s="12" t="s">
        <v>319</v>
      </c>
      <c r="HL407" s="12" t="s">
        <v>320</v>
      </c>
      <c r="HM407" s="12" t="s">
        <v>522</v>
      </c>
      <c r="HN407" s="12">
        <v>2017</v>
      </c>
      <c r="HO407" s="12" t="s">
        <v>6885</v>
      </c>
      <c r="HP407" s="12" t="s">
        <v>418</v>
      </c>
      <c r="HQ407" s="12" t="s">
        <v>319</v>
      </c>
      <c r="HR407" s="12" t="s">
        <v>319</v>
      </c>
      <c r="HS407" s="12" t="s">
        <v>319</v>
      </c>
      <c r="HT407" s="12" t="s">
        <v>319</v>
      </c>
      <c r="HU407" s="12" t="s">
        <v>319</v>
      </c>
      <c r="HV407" s="12" t="s">
        <v>319</v>
      </c>
      <c r="HW407" s="12" t="s">
        <v>319</v>
      </c>
      <c r="HX407" s="12" t="s">
        <v>319</v>
      </c>
      <c r="HY407" s="12"/>
      <c r="HZ407" s="12" t="s">
        <v>363</v>
      </c>
      <c r="IA407" s="12"/>
      <c r="IB407" s="12" t="s">
        <v>396</v>
      </c>
      <c r="IC407" s="12" t="s">
        <v>6886</v>
      </c>
      <c r="ID407" s="12" t="s">
        <v>364</v>
      </c>
      <c r="IE407" s="12" t="s">
        <v>335</v>
      </c>
      <c r="IF407" s="12" t="s">
        <v>320</v>
      </c>
      <c r="IG407" s="12" t="s">
        <v>320</v>
      </c>
      <c r="IH407" s="12" t="s">
        <v>320</v>
      </c>
      <c r="II407" s="12" t="s">
        <v>320</v>
      </c>
      <c r="IJ407" s="12" t="str">
        <f t="shared" si="259"/>
        <v>2. Sensitive</v>
      </c>
      <c r="IK407" s="12">
        <f t="shared" si="260"/>
        <v>4</v>
      </c>
      <c r="IL407" s="12" t="s">
        <v>336</v>
      </c>
      <c r="IM407" s="12" t="s">
        <v>320</v>
      </c>
      <c r="IN407" s="12" t="s">
        <v>319</v>
      </c>
      <c r="IO407" s="12" t="s">
        <v>320</v>
      </c>
      <c r="IP407" s="12" t="s">
        <v>320</v>
      </c>
      <c r="IQ407" s="12" t="str">
        <f t="shared" si="261"/>
        <v>2. Accommodating</v>
      </c>
      <c r="IR407" s="12">
        <f t="shared" si="262"/>
        <v>3</v>
      </c>
      <c r="IS407" s="12" t="s">
        <v>456</v>
      </c>
      <c r="IT407" s="12" t="s">
        <v>319</v>
      </c>
      <c r="IU407" s="12" t="s">
        <v>319</v>
      </c>
      <c r="IV407" s="12" t="s">
        <v>319</v>
      </c>
      <c r="IW407" s="11" t="str">
        <f t="shared" si="263"/>
        <v>0. Harmful</v>
      </c>
      <c r="IX407" s="12">
        <f t="shared" si="264"/>
        <v>0</v>
      </c>
      <c r="IY407" s="12" t="s">
        <v>338</v>
      </c>
      <c r="IZ407" s="12" t="s">
        <v>527</v>
      </c>
      <c r="JA407" s="12">
        <v>4</v>
      </c>
      <c r="JB407" s="12" t="s">
        <v>687</v>
      </c>
      <c r="JC407" s="12" t="s">
        <v>831</v>
      </c>
      <c r="JD407" s="12" t="s">
        <v>433</v>
      </c>
      <c r="JE407" s="12" t="s">
        <v>420</v>
      </c>
      <c r="JF407" s="12"/>
      <c r="JG407" s="12"/>
      <c r="JH407" s="12" t="s">
        <v>6887</v>
      </c>
      <c r="JI407" s="12" t="s">
        <v>6888</v>
      </c>
      <c r="JJ407" s="12" t="s">
        <v>6889</v>
      </c>
      <c r="JK407" s="12" t="s">
        <v>6890</v>
      </c>
      <c r="JL407" s="12" t="s">
        <v>6891</v>
      </c>
      <c r="JM407" s="12" t="s">
        <v>6892</v>
      </c>
      <c r="JN407" s="12" t="s">
        <v>6893</v>
      </c>
      <c r="JO407" s="12"/>
      <c r="JP407" s="15">
        <f t="shared" si="265"/>
        <v>877</v>
      </c>
      <c r="JQ407" s="15">
        <f t="shared" si="266"/>
        <v>4135</v>
      </c>
      <c r="JR407" s="279">
        <f t="shared" si="267"/>
        <v>4.7149372862029644</v>
      </c>
      <c r="JS407" s="17">
        <f t="shared" si="268"/>
        <v>0.49714937286202965</v>
      </c>
      <c r="JT407" s="18">
        <f t="shared" si="269"/>
        <v>0.4483675937122128</v>
      </c>
      <c r="JU407" s="280">
        <f t="shared" si="270"/>
        <v>436</v>
      </c>
      <c r="JV407" s="280">
        <f t="shared" si="271"/>
        <v>1854</v>
      </c>
      <c r="JW407" s="319" t="str">
        <f t="shared" si="272"/>
        <v/>
      </c>
      <c r="JX407" s="15">
        <f t="shared" si="273"/>
        <v>0</v>
      </c>
      <c r="JY407" s="15">
        <f t="shared" si="274"/>
        <v>0</v>
      </c>
      <c r="JZ407" s="19" t="str">
        <f t="shared" si="275"/>
        <v/>
      </c>
      <c r="KA407" s="52">
        <f t="shared" si="276"/>
        <v>1</v>
      </c>
      <c r="KB407" s="15">
        <f t="shared" si="277"/>
        <v>1560</v>
      </c>
      <c r="KC407" s="15">
        <f t="shared" si="278"/>
        <v>1710</v>
      </c>
      <c r="KD407" s="20">
        <f t="shared" si="279"/>
        <v>1.0961538461538463</v>
      </c>
      <c r="KE407" s="52" t="str">
        <f t="shared" si="280"/>
        <v/>
      </c>
      <c r="KF407" s="15">
        <f t="shared" si="281"/>
        <v>0</v>
      </c>
      <c r="KG407" s="15">
        <f t="shared" si="282"/>
        <v>0</v>
      </c>
      <c r="KH407" s="21" t="str">
        <f t="shared" si="283"/>
        <v/>
      </c>
      <c r="KI407" s="52" t="str">
        <f t="shared" si="284"/>
        <v/>
      </c>
      <c r="KJ407" s="15">
        <f t="shared" si="285"/>
        <v>0</v>
      </c>
      <c r="KK407" s="15">
        <f t="shared" si="286"/>
        <v>0</v>
      </c>
      <c r="KL407" s="19" t="str">
        <f t="shared" si="287"/>
        <v/>
      </c>
      <c r="KM407" s="52">
        <f t="shared" si="288"/>
        <v>1</v>
      </c>
      <c r="KN407" s="22">
        <f t="shared" si="289"/>
        <v>764.4</v>
      </c>
      <c r="KO407" s="22">
        <f t="shared" si="290"/>
        <v>0</v>
      </c>
      <c r="KP407" s="19">
        <f t="shared" si="291"/>
        <v>0</v>
      </c>
      <c r="KQ407" s="11" t="str">
        <f t="shared" si="292"/>
        <v>2. Sensitive</v>
      </c>
      <c r="KR407" s="11" t="str">
        <f t="shared" si="293"/>
        <v>2. Accommodating</v>
      </c>
      <c r="KS407" s="11" t="str">
        <f t="shared" si="294"/>
        <v>0. Harmful</v>
      </c>
      <c r="KT407" s="11" t="str">
        <f t="shared" si="295"/>
        <v>It did not develop any specific innovation</v>
      </c>
      <c r="KU407" s="11" t="str">
        <f t="shared" si="296"/>
        <v>Little or no advocacy</v>
      </c>
      <c r="KV407" s="11" t="str">
        <f t="shared" si="297"/>
        <v>It linked and worked with strategic alliances and partners to take tested and effective solutions to scale</v>
      </c>
      <c r="KW407" s="11" t="str">
        <f t="shared" si="298"/>
        <v>Laos - Social Protection Activity -Resilient Livelihoods for the Poor (SPA-RLP)</v>
      </c>
      <c r="KX407" s="11" t="str">
        <f t="shared" si="299"/>
        <v>Social Protection Activity -Resilient Livelihoods for the Poor (SPA-RLP)</v>
      </c>
      <c r="KY407" s="11" t="str">
        <f t="shared" si="300"/>
        <v>Laos</v>
      </c>
      <c r="KZ407" s="12">
        <v>407</v>
      </c>
    </row>
    <row r="408" spans="1:312" x14ac:dyDescent="0.3">
      <c r="A408" s="12" t="s">
        <v>6850</v>
      </c>
      <c r="B408" s="12" t="s">
        <v>306</v>
      </c>
      <c r="C408" s="12"/>
      <c r="D408" s="12" t="s">
        <v>6979</v>
      </c>
      <c r="E408" s="277" t="str">
        <f t="shared" si="258"/>
        <v>Laos</v>
      </c>
      <c r="F408" s="12" t="s">
        <v>6980</v>
      </c>
      <c r="G408" s="12" t="s">
        <v>1853</v>
      </c>
      <c r="H408" s="12" t="s">
        <v>310</v>
      </c>
      <c r="I408" s="12" t="s">
        <v>517</v>
      </c>
      <c r="J408" s="281" t="s">
        <v>14578</v>
      </c>
      <c r="K408" s="12"/>
      <c r="L408" s="12"/>
      <c r="M408" s="12"/>
      <c r="N408" s="12"/>
      <c r="O408" s="12"/>
      <c r="P408" s="12"/>
      <c r="Q408" s="12"/>
      <c r="R408" s="12"/>
      <c r="S408" s="12"/>
      <c r="T408" s="12"/>
      <c r="U408" s="12"/>
      <c r="V408" s="12"/>
      <c r="W408" s="12"/>
      <c r="X408" s="12"/>
      <c r="Y408" s="12"/>
      <c r="Z408" s="12"/>
      <c r="AA408" s="12"/>
      <c r="AB408" s="12"/>
      <c r="AC408" s="12"/>
      <c r="AD408" s="12"/>
      <c r="BD408" s="13">
        <v>42614</v>
      </c>
      <c r="BE408" s="13">
        <v>43890</v>
      </c>
      <c r="BF408" s="12"/>
      <c r="BG408" s="12" t="s">
        <v>609</v>
      </c>
      <c r="BH408" s="14">
        <v>591035.86</v>
      </c>
      <c r="BI408" s="12" t="s">
        <v>6855</v>
      </c>
      <c r="BJ408" s="12" t="s">
        <v>6981</v>
      </c>
      <c r="BK408" s="12" t="s">
        <v>6982</v>
      </c>
      <c r="BL408" s="12" t="s">
        <v>6896</v>
      </c>
      <c r="BM408" s="12" t="s">
        <v>6912</v>
      </c>
      <c r="BN408" s="12" t="s">
        <v>6880</v>
      </c>
      <c r="BO408" s="12" t="s">
        <v>319</v>
      </c>
      <c r="BP408" s="12" t="s">
        <v>320</v>
      </c>
      <c r="BQ408" s="12" t="s">
        <v>319</v>
      </c>
      <c r="BR408" s="12" t="s">
        <v>6983</v>
      </c>
      <c r="BS408" s="12" t="s">
        <v>357</v>
      </c>
      <c r="BT408" s="12" t="s">
        <v>6984</v>
      </c>
      <c r="BU408" s="12" t="s">
        <v>6985</v>
      </c>
      <c r="BV408" s="14">
        <v>5003</v>
      </c>
      <c r="BW408" s="14">
        <v>3550</v>
      </c>
      <c r="BX408" s="14">
        <v>8553</v>
      </c>
      <c r="BY408" s="14">
        <v>13659</v>
      </c>
      <c r="BZ408" s="14">
        <v>10400</v>
      </c>
      <c r="CA408" s="14">
        <v>24059</v>
      </c>
      <c r="CB408" s="12" t="s">
        <v>6986</v>
      </c>
      <c r="CD408" s="14"/>
      <c r="CE408" s="14"/>
      <c r="CF408" s="14"/>
      <c r="CG408" s="14"/>
      <c r="CH408" s="14"/>
      <c r="CI408" s="14"/>
      <c r="CJ408" s="12"/>
      <c r="CK408" s="14"/>
      <c r="CL408" s="16"/>
      <c r="CM408" s="14"/>
      <c r="CN408" s="12"/>
      <c r="CO408" s="14"/>
      <c r="CP408" s="16"/>
      <c r="CQ408" s="14"/>
      <c r="CR408" s="12"/>
      <c r="CS408" s="14"/>
      <c r="CT408" s="16"/>
      <c r="CU408" s="14"/>
      <c r="CV408" s="12"/>
      <c r="CW408" s="14"/>
      <c r="CX408" s="16"/>
      <c r="CY408" s="14"/>
      <c r="CZ408" s="12"/>
      <c r="DA408" s="14"/>
      <c r="DB408" s="16"/>
      <c r="DC408" s="14"/>
      <c r="DD408" s="12"/>
      <c r="DE408" s="14"/>
      <c r="DF408" s="16"/>
      <c r="DG408" s="14"/>
      <c r="DH408" s="12"/>
      <c r="DI408" s="14"/>
      <c r="DJ408" s="16"/>
      <c r="DK408" s="14"/>
      <c r="DL408" s="12"/>
      <c r="DM408" s="14"/>
      <c r="DN408" s="16"/>
      <c r="DO408" s="14"/>
      <c r="DP408" s="12"/>
      <c r="DQ408" s="14"/>
      <c r="DR408" s="16"/>
      <c r="DS408" s="14"/>
      <c r="DT408" s="12"/>
      <c r="DU408" s="14"/>
      <c r="DV408" s="16"/>
      <c r="DW408" s="14"/>
      <c r="DX408" s="12"/>
      <c r="DY408" s="14"/>
      <c r="DZ408" s="16"/>
      <c r="EA408" s="14"/>
      <c r="EB408" s="12"/>
      <c r="EC408" s="14"/>
      <c r="ED408" s="16"/>
      <c r="EE408" s="14"/>
      <c r="EF408" s="12"/>
      <c r="EG408" s="12"/>
      <c r="EH408" s="14"/>
      <c r="EI408" s="16"/>
      <c r="EJ408" s="14"/>
      <c r="EK408" s="14">
        <v>14</v>
      </c>
      <c r="EL408" s="14">
        <v>6</v>
      </c>
      <c r="EM408" s="14">
        <v>20</v>
      </c>
      <c r="EN408" s="14">
        <v>28</v>
      </c>
      <c r="EO408" s="14">
        <v>12</v>
      </c>
      <c r="EP408" s="14">
        <v>40</v>
      </c>
      <c r="EQ408" s="12" t="s">
        <v>319</v>
      </c>
      <c r="ER408" s="14"/>
      <c r="ES408" s="16"/>
      <c r="ET408" s="14"/>
      <c r="EU408" s="11" t="s">
        <v>319</v>
      </c>
      <c r="EV408" s="14"/>
      <c r="EW408" s="16"/>
      <c r="EX408" s="14"/>
      <c r="EY408" s="12" t="s">
        <v>319</v>
      </c>
      <c r="EZ408" s="14"/>
      <c r="FA408" s="16"/>
      <c r="FB408" s="14"/>
      <c r="FC408" s="12" t="s">
        <v>319</v>
      </c>
      <c r="FD408" s="14"/>
      <c r="FE408" s="16"/>
      <c r="FF408" s="14"/>
      <c r="FG408" s="12" t="s">
        <v>319</v>
      </c>
      <c r="FH408" s="14"/>
      <c r="FI408" s="16"/>
      <c r="FJ408" s="14"/>
      <c r="FK408" s="12" t="s">
        <v>319</v>
      </c>
      <c r="FL408" s="14"/>
      <c r="FM408" s="16"/>
      <c r="FN408" s="14"/>
      <c r="FO408" s="12" t="s">
        <v>319</v>
      </c>
      <c r="FP408" s="14"/>
      <c r="FQ408" s="16"/>
      <c r="FR408" s="14"/>
      <c r="FS408" s="12" t="s">
        <v>320</v>
      </c>
      <c r="FT408" s="14">
        <v>20</v>
      </c>
      <c r="FU408" s="16">
        <v>0.7</v>
      </c>
      <c r="FV408" s="14">
        <v>40</v>
      </c>
      <c r="FW408" s="11" t="s">
        <v>320</v>
      </c>
      <c r="FX408" s="14">
        <v>20</v>
      </c>
      <c r="FY408" s="16">
        <v>0.7</v>
      </c>
      <c r="FZ408" s="14">
        <v>40</v>
      </c>
      <c r="GA408" s="12" t="s">
        <v>319</v>
      </c>
      <c r="GB408" s="14"/>
      <c r="GC408" s="16"/>
      <c r="GD408" s="14"/>
      <c r="GE408" s="12" t="s">
        <v>319</v>
      </c>
      <c r="GF408" s="14"/>
      <c r="GG408" s="16"/>
      <c r="GH408" s="14"/>
      <c r="GI408" s="12" t="s">
        <v>319</v>
      </c>
      <c r="GJ408" s="14"/>
      <c r="GK408" s="16"/>
      <c r="GL408" s="14"/>
      <c r="GM408" s="12" t="s">
        <v>319</v>
      </c>
      <c r="GN408" s="14"/>
      <c r="GO408" s="16"/>
      <c r="GP408" s="14"/>
      <c r="GQ408" s="12" t="s">
        <v>319</v>
      </c>
      <c r="GR408" s="14"/>
      <c r="GS408" s="16"/>
      <c r="GT408" s="14"/>
      <c r="GU408" s="12" t="s">
        <v>319</v>
      </c>
      <c r="GV408" s="14"/>
      <c r="GW408" s="16"/>
      <c r="GX408" s="14"/>
      <c r="GY408" s="12" t="s">
        <v>319</v>
      </c>
      <c r="GZ408" s="14"/>
      <c r="HA408" s="16"/>
      <c r="HB408" s="14"/>
      <c r="HC408" s="12"/>
      <c r="HD408" s="12" t="s">
        <v>319</v>
      </c>
      <c r="HE408" s="14"/>
      <c r="HF408" s="16"/>
      <c r="HG408" s="14"/>
      <c r="HH408" s="12" t="s">
        <v>319</v>
      </c>
      <c r="HI408" s="12"/>
      <c r="HJ408" s="12"/>
      <c r="HK408" s="12" t="s">
        <v>319</v>
      </c>
      <c r="HL408" s="12" t="s">
        <v>320</v>
      </c>
      <c r="HM408" s="12" t="s">
        <v>327</v>
      </c>
      <c r="HN408" s="12">
        <v>2017</v>
      </c>
      <c r="HO408" s="12" t="s">
        <v>6987</v>
      </c>
      <c r="HP408" s="12" t="s">
        <v>418</v>
      </c>
      <c r="HQ408" s="12" t="s">
        <v>319</v>
      </c>
      <c r="HR408" s="12" t="s">
        <v>319</v>
      </c>
      <c r="HS408" s="12" t="s">
        <v>319</v>
      </c>
      <c r="HT408" s="12" t="s">
        <v>319</v>
      </c>
      <c r="HU408" s="12" t="s">
        <v>319</v>
      </c>
      <c r="HV408" s="12" t="s">
        <v>319</v>
      </c>
      <c r="HW408" s="12" t="s">
        <v>319</v>
      </c>
      <c r="HX408" s="12"/>
      <c r="HY408" s="12"/>
      <c r="HZ408" s="12" t="s">
        <v>394</v>
      </c>
      <c r="IA408" s="12" t="s">
        <v>6988</v>
      </c>
      <c r="IB408" s="12" t="s">
        <v>333</v>
      </c>
      <c r="IC408" s="12"/>
      <c r="ID408" s="12" t="s">
        <v>477</v>
      </c>
      <c r="IE408" s="12" t="s">
        <v>335</v>
      </c>
      <c r="IF408" s="12" t="s">
        <v>320</v>
      </c>
      <c r="IG408" s="12" t="s">
        <v>320</v>
      </c>
      <c r="IH408" s="12" t="s">
        <v>320</v>
      </c>
      <c r="II408" s="12" t="s">
        <v>320</v>
      </c>
      <c r="IJ408" s="12" t="str">
        <f t="shared" si="259"/>
        <v>2. Sensitive</v>
      </c>
      <c r="IK408" s="12">
        <f t="shared" si="260"/>
        <v>4</v>
      </c>
      <c r="IL408" s="12" t="s">
        <v>336</v>
      </c>
      <c r="IM408" s="12" t="s">
        <v>320</v>
      </c>
      <c r="IN408" s="12" t="s">
        <v>320</v>
      </c>
      <c r="IO408" s="12" t="s">
        <v>320</v>
      </c>
      <c r="IP408" s="12" t="s">
        <v>320</v>
      </c>
      <c r="IQ408" s="12" t="str">
        <f t="shared" si="261"/>
        <v>2. Accommodating</v>
      </c>
      <c r="IR408" s="12">
        <f t="shared" si="262"/>
        <v>4</v>
      </c>
      <c r="IS408" s="12" t="s">
        <v>456</v>
      </c>
      <c r="IT408" s="12" t="s">
        <v>319</v>
      </c>
      <c r="IU408" s="12" t="s">
        <v>319</v>
      </c>
      <c r="IV408" s="12" t="s">
        <v>319</v>
      </c>
      <c r="IW408" s="11" t="str">
        <f t="shared" si="263"/>
        <v>0. Harmful</v>
      </c>
      <c r="IX408" s="12">
        <f t="shared" si="264"/>
        <v>0</v>
      </c>
      <c r="IY408" s="12" t="s">
        <v>338</v>
      </c>
      <c r="IZ408" s="12" t="s">
        <v>527</v>
      </c>
      <c r="JA408" s="12">
        <v>2</v>
      </c>
      <c r="JB408" s="12" t="s">
        <v>433</v>
      </c>
      <c r="JC408" s="12" t="s">
        <v>687</v>
      </c>
      <c r="JD408" s="12"/>
      <c r="JE408" s="12" t="s">
        <v>340</v>
      </c>
      <c r="JF408" s="12" t="s">
        <v>6989</v>
      </c>
      <c r="JG408" s="12"/>
      <c r="JH408" s="12" t="s">
        <v>6990</v>
      </c>
      <c r="JI408" s="12"/>
      <c r="JJ408" s="12"/>
      <c r="JK408" s="12"/>
      <c r="JL408" s="12"/>
      <c r="JM408" s="12"/>
      <c r="JN408" s="12" t="s">
        <v>6991</v>
      </c>
      <c r="JO408" s="12" t="s">
        <v>6992</v>
      </c>
      <c r="JP408" s="15">
        <f t="shared" si="265"/>
        <v>20</v>
      </c>
      <c r="JQ408" s="15">
        <f t="shared" si="266"/>
        <v>40</v>
      </c>
      <c r="JR408" s="279">
        <f t="shared" si="267"/>
        <v>2</v>
      </c>
      <c r="JS408" s="17">
        <f t="shared" si="268"/>
        <v>0.7</v>
      </c>
      <c r="JT408" s="18">
        <f t="shared" si="269"/>
        <v>0.7</v>
      </c>
      <c r="JU408" s="280">
        <f t="shared" si="270"/>
        <v>14</v>
      </c>
      <c r="JV408" s="280">
        <f t="shared" si="271"/>
        <v>28</v>
      </c>
      <c r="JW408" s="319" t="str">
        <f t="shared" si="272"/>
        <v/>
      </c>
      <c r="JX408" s="15">
        <f t="shared" si="273"/>
        <v>0</v>
      </c>
      <c r="JY408" s="15">
        <f t="shared" si="274"/>
        <v>0</v>
      </c>
      <c r="JZ408" s="19" t="str">
        <f t="shared" si="275"/>
        <v/>
      </c>
      <c r="KA408" s="52" t="str">
        <f t="shared" si="276"/>
        <v/>
      </c>
      <c r="KB408" s="15">
        <f t="shared" si="277"/>
        <v>0</v>
      </c>
      <c r="KC408" s="15">
        <f t="shared" si="278"/>
        <v>0</v>
      </c>
      <c r="KD408" s="20" t="str">
        <f t="shared" si="279"/>
        <v/>
      </c>
      <c r="KE408" s="52" t="str">
        <f t="shared" si="280"/>
        <v/>
      </c>
      <c r="KF408" s="15">
        <f t="shared" si="281"/>
        <v>0</v>
      </c>
      <c r="KG408" s="15">
        <f t="shared" si="282"/>
        <v>0</v>
      </c>
      <c r="KH408" s="21" t="str">
        <f t="shared" si="283"/>
        <v/>
      </c>
      <c r="KI408" s="52">
        <f t="shared" si="284"/>
        <v>1</v>
      </c>
      <c r="KJ408" s="15">
        <f t="shared" si="285"/>
        <v>20</v>
      </c>
      <c r="KK408" s="15">
        <f t="shared" si="286"/>
        <v>40</v>
      </c>
      <c r="KL408" s="19">
        <f t="shared" si="287"/>
        <v>2</v>
      </c>
      <c r="KM408" s="52" t="str">
        <f t="shared" si="288"/>
        <v/>
      </c>
      <c r="KN408" s="22">
        <f t="shared" si="289"/>
        <v>0</v>
      </c>
      <c r="KO408" s="22">
        <f t="shared" si="290"/>
        <v>0</v>
      </c>
      <c r="KP408" s="19" t="str">
        <f t="shared" si="291"/>
        <v/>
      </c>
      <c r="KQ408" s="11" t="str">
        <f t="shared" si="292"/>
        <v>2. Sensitive</v>
      </c>
      <c r="KR408" s="11" t="str">
        <f t="shared" si="293"/>
        <v>2. Accommodating</v>
      </c>
      <c r="KS408" s="11" t="str">
        <f t="shared" si="294"/>
        <v>0. Harmful</v>
      </c>
      <c r="KT408" s="11" t="str">
        <f t="shared" si="295"/>
        <v>It tested new ways for fighting poverty, but did not measure results of innovation</v>
      </c>
      <c r="KU408" s="11" t="str">
        <f t="shared" si="296"/>
        <v>Little or no advocacy</v>
      </c>
      <c r="KV408" s="11" t="str">
        <f t="shared" si="297"/>
        <v>It did not take tested solutions to scale</v>
      </c>
      <c r="KW408" s="11" t="str">
        <f t="shared" si="298"/>
        <v>Laos - Strengthening Civil Society Engagement Against Gender Based Violence</v>
      </c>
      <c r="KX408" s="11" t="str">
        <f t="shared" si="299"/>
        <v>Strengthening Civil Society Engagement Against Gender Based Violence</v>
      </c>
      <c r="KY408" s="11" t="str">
        <f t="shared" si="300"/>
        <v>Laos</v>
      </c>
      <c r="KZ408" s="12">
        <v>408</v>
      </c>
    </row>
    <row r="409" spans="1:312" x14ac:dyDescent="0.3">
      <c r="A409" s="12" t="s">
        <v>6850</v>
      </c>
      <c r="B409" s="12" t="s">
        <v>306</v>
      </c>
      <c r="C409" s="12">
        <v>3097</v>
      </c>
      <c r="D409" s="12" t="s">
        <v>7027</v>
      </c>
      <c r="E409" s="277" t="str">
        <f t="shared" si="258"/>
        <v>Laos</v>
      </c>
      <c r="F409" s="12" t="s">
        <v>7028</v>
      </c>
      <c r="G409" s="12" t="s">
        <v>1738</v>
      </c>
      <c r="H409" s="12" t="s">
        <v>310</v>
      </c>
      <c r="I409" s="12" t="s">
        <v>3316</v>
      </c>
      <c r="J409" s="281" t="s">
        <v>14616</v>
      </c>
      <c r="K409" s="12"/>
      <c r="L409" s="12"/>
      <c r="M409" s="12"/>
      <c r="N409" s="12"/>
      <c r="O409" s="12"/>
      <c r="P409" s="12"/>
      <c r="Q409" s="12"/>
      <c r="R409" s="12"/>
      <c r="S409" s="12"/>
      <c r="T409" s="12"/>
      <c r="U409" s="12"/>
      <c r="V409" s="12"/>
      <c r="W409" s="12"/>
      <c r="X409" s="12"/>
      <c r="Y409" s="12"/>
      <c r="Z409" s="12"/>
      <c r="AA409" s="12"/>
      <c r="AB409" s="12"/>
      <c r="AC409" s="12"/>
      <c r="AD409" s="12"/>
      <c r="BD409" s="13">
        <v>41852</v>
      </c>
      <c r="BE409" s="13">
        <v>42947</v>
      </c>
      <c r="BF409" s="12"/>
      <c r="BG409" s="12" t="s">
        <v>312</v>
      </c>
      <c r="BH409" s="14">
        <v>195051</v>
      </c>
      <c r="BI409" s="12" t="s">
        <v>6997</v>
      </c>
      <c r="BJ409" s="12" t="s">
        <v>6877</v>
      </c>
      <c r="BK409" s="12" t="s">
        <v>6998</v>
      </c>
      <c r="BL409" s="12" t="s">
        <v>6896</v>
      </c>
      <c r="BM409" s="12" t="s">
        <v>6912</v>
      </c>
      <c r="BN409" s="12" t="s">
        <v>6880</v>
      </c>
      <c r="BO409" s="12" t="s">
        <v>319</v>
      </c>
      <c r="BP409" s="12" t="s">
        <v>320</v>
      </c>
      <c r="BQ409" s="12" t="s">
        <v>319</v>
      </c>
      <c r="BR409" s="12" t="s">
        <v>7027</v>
      </c>
      <c r="BS409" s="12" t="s">
        <v>357</v>
      </c>
      <c r="BT409" s="12" t="s">
        <v>7029</v>
      </c>
      <c r="BU409" s="12" t="s">
        <v>7030</v>
      </c>
      <c r="BV409" s="14">
        <v>2000</v>
      </c>
      <c r="BW409" s="14">
        <v>1646</v>
      </c>
      <c r="BX409" s="14">
        <v>3646</v>
      </c>
      <c r="BY409" s="14">
        <v>7290</v>
      </c>
      <c r="BZ409" s="14">
        <v>6900</v>
      </c>
      <c r="CA409" s="14">
        <v>14190</v>
      </c>
      <c r="CB409" s="12" t="s">
        <v>7031</v>
      </c>
      <c r="CD409" s="14"/>
      <c r="CE409" s="14"/>
      <c r="CF409" s="14"/>
      <c r="CG409" s="14"/>
      <c r="CH409" s="14"/>
      <c r="CI409" s="14"/>
      <c r="CJ409" s="12"/>
      <c r="CK409" s="14"/>
      <c r="CL409" s="16"/>
      <c r="CM409" s="14"/>
      <c r="CN409" s="12"/>
      <c r="CO409" s="14"/>
      <c r="CP409" s="16"/>
      <c r="CQ409" s="14"/>
      <c r="CR409" s="12"/>
      <c r="CS409" s="14"/>
      <c r="CT409" s="16"/>
      <c r="CU409" s="14"/>
      <c r="CV409" s="12"/>
      <c r="CW409" s="14"/>
      <c r="CX409" s="16"/>
      <c r="CY409" s="14"/>
      <c r="CZ409" s="12"/>
      <c r="DA409" s="14"/>
      <c r="DB409" s="16"/>
      <c r="DC409" s="14"/>
      <c r="DD409" s="12"/>
      <c r="DE409" s="14"/>
      <c r="DF409" s="16"/>
      <c r="DG409" s="14"/>
      <c r="DH409" s="12"/>
      <c r="DI409" s="14"/>
      <c r="DJ409" s="16"/>
      <c r="DK409" s="14"/>
      <c r="DL409" s="12"/>
      <c r="DM409" s="14"/>
      <c r="DN409" s="16"/>
      <c r="DO409" s="14"/>
      <c r="DP409" s="12"/>
      <c r="DQ409" s="14"/>
      <c r="DR409" s="16"/>
      <c r="DS409" s="14"/>
      <c r="DT409" s="12"/>
      <c r="DU409" s="14"/>
      <c r="DV409" s="16"/>
      <c r="DW409" s="14"/>
      <c r="DX409" s="12"/>
      <c r="DY409" s="14"/>
      <c r="DZ409" s="16"/>
      <c r="EA409" s="14"/>
      <c r="EB409" s="12"/>
      <c r="EC409" s="14"/>
      <c r="ED409" s="16"/>
      <c r="EE409" s="14"/>
      <c r="EF409" s="12"/>
      <c r="EG409" s="12"/>
      <c r="EH409" s="14"/>
      <c r="EI409" s="16"/>
      <c r="EJ409" s="14"/>
      <c r="EK409" s="14">
        <v>2272</v>
      </c>
      <c r="EL409" s="14">
        <v>2249</v>
      </c>
      <c r="EM409" s="14">
        <v>4521</v>
      </c>
      <c r="EN409" s="14">
        <v>4544</v>
      </c>
      <c r="EO409" s="14">
        <v>4498</v>
      </c>
      <c r="EP409" s="14">
        <v>9042</v>
      </c>
      <c r="EQ409" s="12" t="s">
        <v>319</v>
      </c>
      <c r="ER409" s="14"/>
      <c r="ES409" s="16"/>
      <c r="ET409" s="14"/>
      <c r="EU409" s="11" t="s">
        <v>320</v>
      </c>
      <c r="EV409" s="14">
        <v>1330</v>
      </c>
      <c r="EW409" s="16">
        <v>0.54</v>
      </c>
      <c r="EX409" s="14">
        <v>2660</v>
      </c>
      <c r="EY409" s="12" t="s">
        <v>319</v>
      </c>
      <c r="EZ409" s="14"/>
      <c r="FA409" s="16"/>
      <c r="FB409" s="14"/>
      <c r="FC409" s="12" t="s">
        <v>320</v>
      </c>
      <c r="FD409" s="14">
        <v>4521</v>
      </c>
      <c r="FE409" s="16">
        <v>0.5</v>
      </c>
      <c r="FF409" s="14">
        <v>9024</v>
      </c>
      <c r="FG409" s="12" t="s">
        <v>319</v>
      </c>
      <c r="FH409" s="14"/>
      <c r="FI409" s="16"/>
      <c r="FJ409" s="14"/>
      <c r="FK409" s="12" t="s">
        <v>319</v>
      </c>
      <c r="FL409" s="14"/>
      <c r="FM409" s="16"/>
      <c r="FN409" s="14"/>
      <c r="FO409" s="12" t="s">
        <v>319</v>
      </c>
      <c r="FP409" s="14"/>
      <c r="FQ409" s="16"/>
      <c r="FR409" s="14"/>
      <c r="FS409" s="12" t="s">
        <v>319</v>
      </c>
      <c r="FT409" s="14"/>
      <c r="FU409" s="16"/>
      <c r="FV409" s="14"/>
      <c r="FW409" s="12" t="s">
        <v>319</v>
      </c>
      <c r="FX409" s="14"/>
      <c r="FY409" s="16"/>
      <c r="FZ409" s="14"/>
      <c r="GA409" s="12" t="s">
        <v>319</v>
      </c>
      <c r="GB409" s="14"/>
      <c r="GC409" s="16"/>
      <c r="GD409" s="14"/>
      <c r="GE409" s="12" t="s">
        <v>319</v>
      </c>
      <c r="GF409" s="14"/>
      <c r="GG409" s="16"/>
      <c r="GH409" s="14"/>
      <c r="GI409" s="11" t="s">
        <v>320</v>
      </c>
      <c r="GJ409" s="14">
        <v>4521</v>
      </c>
      <c r="GK409" s="16">
        <v>0.5</v>
      </c>
      <c r="GL409" s="14">
        <v>9024</v>
      </c>
      <c r="GM409" s="11" t="s">
        <v>320</v>
      </c>
      <c r="GN409" s="14">
        <v>94</v>
      </c>
      <c r="GO409" s="16">
        <v>0.4</v>
      </c>
      <c r="GP409" s="14">
        <v>188</v>
      </c>
      <c r="GQ409" s="12" t="s">
        <v>319</v>
      </c>
      <c r="GR409" s="14"/>
      <c r="GS409" s="16"/>
      <c r="GT409" s="14"/>
      <c r="GU409" s="12" t="s">
        <v>319</v>
      </c>
      <c r="GV409" s="14"/>
      <c r="GW409" s="16"/>
      <c r="GX409" s="14"/>
      <c r="GY409" s="12" t="s">
        <v>319</v>
      </c>
      <c r="GZ409" s="14"/>
      <c r="HA409" s="16"/>
      <c r="HB409" s="14"/>
      <c r="HC409" s="12"/>
      <c r="HD409" s="12" t="s">
        <v>319</v>
      </c>
      <c r="HE409" s="14"/>
      <c r="HF409" s="16"/>
      <c r="HG409" s="14"/>
      <c r="HH409" s="12" t="s">
        <v>319</v>
      </c>
      <c r="HI409" s="12"/>
      <c r="HJ409" s="12"/>
      <c r="HK409" s="12" t="s">
        <v>319</v>
      </c>
      <c r="HL409" s="12" t="s">
        <v>319</v>
      </c>
      <c r="HM409" s="12"/>
      <c r="HN409" s="12"/>
      <c r="HO409" s="12"/>
      <c r="HP409" s="12" t="s">
        <v>418</v>
      </c>
      <c r="HQ409" s="12" t="s">
        <v>319</v>
      </c>
      <c r="HR409" s="12" t="s">
        <v>319</v>
      </c>
      <c r="HS409" s="12" t="s">
        <v>319</v>
      </c>
      <c r="HT409" s="12" t="s">
        <v>319</v>
      </c>
      <c r="HU409" s="12" t="s">
        <v>319</v>
      </c>
      <c r="HV409" s="12" t="s">
        <v>319</v>
      </c>
      <c r="HW409" s="12" t="s">
        <v>319</v>
      </c>
      <c r="HX409" s="12" t="s">
        <v>319</v>
      </c>
      <c r="HY409" s="12"/>
      <c r="HZ409" s="12" t="s">
        <v>363</v>
      </c>
      <c r="IA409" s="12"/>
      <c r="IB409" s="12" t="s">
        <v>333</v>
      </c>
      <c r="IC409" s="12"/>
      <c r="ID409" s="12" t="s">
        <v>364</v>
      </c>
      <c r="IE409" s="12" t="s">
        <v>335</v>
      </c>
      <c r="IF409" s="12" t="s">
        <v>320</v>
      </c>
      <c r="IG409" s="12" t="s">
        <v>320</v>
      </c>
      <c r="IH409" s="12" t="s">
        <v>320</v>
      </c>
      <c r="II409" s="12" t="s">
        <v>320</v>
      </c>
      <c r="IJ409" s="12" t="str">
        <f t="shared" si="259"/>
        <v>2. Sensitive</v>
      </c>
      <c r="IK409" s="12">
        <f t="shared" si="260"/>
        <v>4</v>
      </c>
      <c r="IL409" s="12" t="s">
        <v>336</v>
      </c>
      <c r="IM409" s="12" t="s">
        <v>320</v>
      </c>
      <c r="IN409" s="12" t="s">
        <v>320</v>
      </c>
      <c r="IO409" s="12" t="s">
        <v>320</v>
      </c>
      <c r="IP409" s="12" t="s">
        <v>320</v>
      </c>
      <c r="IQ409" s="12" t="str">
        <f t="shared" si="261"/>
        <v>2. Accommodating</v>
      </c>
      <c r="IR409" s="12">
        <f t="shared" si="262"/>
        <v>4</v>
      </c>
      <c r="IS409" s="12" t="s">
        <v>337</v>
      </c>
      <c r="IT409" s="12" t="s">
        <v>320</v>
      </c>
      <c r="IU409" s="12" t="s">
        <v>320</v>
      </c>
      <c r="IV409" s="12" t="s">
        <v>320</v>
      </c>
      <c r="IW409" s="11" t="str">
        <f t="shared" si="263"/>
        <v>2. Sensitive</v>
      </c>
      <c r="IX409" s="12">
        <f t="shared" si="264"/>
        <v>3</v>
      </c>
      <c r="IY409" s="12" t="s">
        <v>419</v>
      </c>
      <c r="IZ409" s="12" t="s">
        <v>527</v>
      </c>
      <c r="JA409" s="12">
        <v>15</v>
      </c>
      <c r="JB409" s="12" t="s">
        <v>687</v>
      </c>
      <c r="JC409" s="12" t="s">
        <v>624</v>
      </c>
      <c r="JD409" s="12" t="s">
        <v>623</v>
      </c>
      <c r="JE409" s="12" t="s">
        <v>420</v>
      </c>
      <c r="JF409" s="12"/>
      <c r="JG409" s="12" t="s">
        <v>7032</v>
      </c>
      <c r="JH409" s="12" t="s">
        <v>7033</v>
      </c>
      <c r="JI409" s="12" t="s">
        <v>7034</v>
      </c>
      <c r="JJ409" s="12" t="s">
        <v>7035</v>
      </c>
      <c r="JK409" s="12" t="s">
        <v>7036</v>
      </c>
      <c r="JL409" s="12" t="s">
        <v>7037</v>
      </c>
      <c r="JM409" s="12"/>
      <c r="JN409" s="12"/>
      <c r="JO409" s="12" t="s">
        <v>7038</v>
      </c>
      <c r="JP409" s="15">
        <f t="shared" si="265"/>
        <v>4521</v>
      </c>
      <c r="JQ409" s="15">
        <f t="shared" si="266"/>
        <v>9042</v>
      </c>
      <c r="JR409" s="279">
        <f t="shared" si="267"/>
        <v>2</v>
      </c>
      <c r="JS409" s="17">
        <f t="shared" si="268"/>
        <v>0.50254368502543689</v>
      </c>
      <c r="JT409" s="18">
        <f t="shared" si="269"/>
        <v>0.50254368502543689</v>
      </c>
      <c r="JU409" s="280">
        <f t="shared" si="270"/>
        <v>2272</v>
      </c>
      <c r="JV409" s="280">
        <f t="shared" si="271"/>
        <v>4544</v>
      </c>
      <c r="JW409" s="319" t="str">
        <f t="shared" si="272"/>
        <v/>
      </c>
      <c r="JX409" s="15">
        <f t="shared" si="273"/>
        <v>0</v>
      </c>
      <c r="JY409" s="15">
        <f t="shared" si="274"/>
        <v>0</v>
      </c>
      <c r="JZ409" s="19" t="str">
        <f t="shared" si="275"/>
        <v/>
      </c>
      <c r="KA409" s="52">
        <f t="shared" si="276"/>
        <v>1</v>
      </c>
      <c r="KB409" s="15">
        <f t="shared" si="277"/>
        <v>4521</v>
      </c>
      <c r="KC409" s="15">
        <f t="shared" si="278"/>
        <v>9024</v>
      </c>
      <c r="KD409" s="20">
        <f t="shared" si="279"/>
        <v>1.9960185799601857</v>
      </c>
      <c r="KE409" s="52" t="str">
        <f t="shared" si="280"/>
        <v/>
      </c>
      <c r="KF409" s="15">
        <f t="shared" si="281"/>
        <v>0</v>
      </c>
      <c r="KG409" s="15">
        <f t="shared" si="282"/>
        <v>0</v>
      </c>
      <c r="KH409" s="21" t="str">
        <f t="shared" si="283"/>
        <v/>
      </c>
      <c r="KI409" s="52" t="str">
        <f t="shared" si="284"/>
        <v/>
      </c>
      <c r="KJ409" s="15">
        <f t="shared" si="285"/>
        <v>0</v>
      </c>
      <c r="KK409" s="15">
        <f t="shared" si="286"/>
        <v>0</v>
      </c>
      <c r="KL409" s="19" t="str">
        <f t="shared" si="287"/>
        <v/>
      </c>
      <c r="KM409" s="52" t="str">
        <f t="shared" si="288"/>
        <v/>
      </c>
      <c r="KN409" s="22">
        <f t="shared" si="289"/>
        <v>0</v>
      </c>
      <c r="KO409" s="22">
        <f t="shared" si="290"/>
        <v>0</v>
      </c>
      <c r="KP409" s="19" t="str">
        <f t="shared" si="291"/>
        <v/>
      </c>
      <c r="KQ409" s="11" t="str">
        <f t="shared" si="292"/>
        <v>2. Sensitive</v>
      </c>
      <c r="KR409" s="11" t="str">
        <f t="shared" si="293"/>
        <v>2. Accommodating</v>
      </c>
      <c r="KS409" s="11" t="str">
        <f t="shared" si="294"/>
        <v>2. Sensitive</v>
      </c>
      <c r="KT409" s="11" t="str">
        <f t="shared" si="295"/>
        <v>It did not develop any specific innovation</v>
      </c>
      <c r="KU409" s="11" t="str">
        <f t="shared" si="296"/>
        <v>Little or no advocacy</v>
      </c>
      <c r="KV409" s="11" t="str">
        <f t="shared" si="297"/>
        <v>It did not take tested solutions to scale</v>
      </c>
      <c r="KW409" s="11" t="str">
        <f t="shared" si="298"/>
        <v>Laos - Strengthening Local Capacity for Community Based DRR</v>
      </c>
      <c r="KX409" s="11" t="str">
        <f t="shared" si="299"/>
        <v>Strengthening Local Capacity for Community Based DRR</v>
      </c>
      <c r="KY409" s="11" t="str">
        <f t="shared" si="300"/>
        <v>Laos</v>
      </c>
      <c r="KZ409" s="12">
        <v>409</v>
      </c>
    </row>
    <row r="410" spans="1:312" x14ac:dyDescent="0.3">
      <c r="A410" s="12" t="s">
        <v>6850</v>
      </c>
      <c r="B410" s="12" t="s">
        <v>306</v>
      </c>
      <c r="C410" s="12">
        <v>3099</v>
      </c>
      <c r="D410" s="12" t="s">
        <v>7039</v>
      </c>
      <c r="E410" s="277" t="str">
        <f t="shared" si="258"/>
        <v>Laos</v>
      </c>
      <c r="F410" s="12" t="s">
        <v>7040</v>
      </c>
      <c r="G410" s="12" t="s">
        <v>1738</v>
      </c>
      <c r="H410" s="12" t="s">
        <v>310</v>
      </c>
      <c r="I410" s="12" t="s">
        <v>3316</v>
      </c>
      <c r="J410" s="281" t="s">
        <v>14616</v>
      </c>
      <c r="K410" s="12" t="s">
        <v>7040</v>
      </c>
      <c r="L410" s="12" t="s">
        <v>1738</v>
      </c>
      <c r="M410" s="12" t="s">
        <v>384</v>
      </c>
      <c r="N410" s="12" t="s">
        <v>384</v>
      </c>
      <c r="O410" s="12" t="s">
        <v>6996</v>
      </c>
      <c r="P410" s="12"/>
      <c r="Q410" s="12"/>
      <c r="R410" s="12"/>
      <c r="S410" s="12"/>
      <c r="T410" s="12"/>
      <c r="U410" s="12"/>
      <c r="V410" s="12"/>
      <c r="W410" s="12"/>
      <c r="X410" s="12"/>
      <c r="Y410" s="12"/>
      <c r="Z410" s="12"/>
      <c r="AA410" s="12"/>
      <c r="AB410" s="12"/>
      <c r="AC410" s="12"/>
      <c r="AD410" s="12"/>
      <c r="BD410" s="13">
        <v>41883</v>
      </c>
      <c r="BE410" s="13">
        <v>42978</v>
      </c>
      <c r="BF410" s="12"/>
      <c r="BG410" s="12" t="s">
        <v>490</v>
      </c>
      <c r="BH410" s="14">
        <v>689076</v>
      </c>
      <c r="BI410" s="12" t="s">
        <v>7041</v>
      </c>
      <c r="BJ410" s="12" t="s">
        <v>354</v>
      </c>
      <c r="BK410" s="12" t="s">
        <v>7042</v>
      </c>
      <c r="BL410" s="12" t="s">
        <v>6933</v>
      </c>
      <c r="BM410" s="12" t="s">
        <v>6877</v>
      </c>
      <c r="BN410" s="12" t="s">
        <v>6935</v>
      </c>
      <c r="BO410" s="12" t="s">
        <v>319</v>
      </c>
      <c r="BP410" s="12" t="s">
        <v>320</v>
      </c>
      <c r="BQ410" s="12" t="s">
        <v>319</v>
      </c>
      <c r="BR410" s="12" t="s">
        <v>7043</v>
      </c>
      <c r="BS410" s="12" t="s">
        <v>357</v>
      </c>
      <c r="BT410" s="12" t="s">
        <v>7044</v>
      </c>
      <c r="BU410" s="12" t="s">
        <v>7045</v>
      </c>
      <c r="BV410" s="14">
        <v>18788</v>
      </c>
      <c r="BW410" s="14">
        <v>8053</v>
      </c>
      <c r="BX410" s="14">
        <v>26841</v>
      </c>
      <c r="BY410" s="14">
        <v>31500</v>
      </c>
      <c r="BZ410" s="14">
        <v>13500</v>
      </c>
      <c r="CA410" s="14">
        <v>45000</v>
      </c>
      <c r="CB410" s="12" t="s">
        <v>7046</v>
      </c>
      <c r="CD410" s="14"/>
      <c r="CE410" s="14"/>
      <c r="CF410" s="14"/>
      <c r="CG410" s="14"/>
      <c r="CH410" s="14"/>
      <c r="CI410" s="14"/>
      <c r="CJ410" s="12"/>
      <c r="CK410" s="14"/>
      <c r="CL410" s="16"/>
      <c r="CM410" s="14"/>
      <c r="CN410" s="12"/>
      <c r="CO410" s="14"/>
      <c r="CP410" s="16"/>
      <c r="CQ410" s="14"/>
      <c r="CR410" s="12"/>
      <c r="CS410" s="14"/>
      <c r="CT410" s="16"/>
      <c r="CU410" s="14"/>
      <c r="CV410" s="12"/>
      <c r="CW410" s="14"/>
      <c r="CX410" s="16"/>
      <c r="CY410" s="14"/>
      <c r="CZ410" s="12"/>
      <c r="DA410" s="14"/>
      <c r="DB410" s="16"/>
      <c r="DC410" s="14"/>
      <c r="DD410" s="12"/>
      <c r="DE410" s="14"/>
      <c r="DF410" s="16"/>
      <c r="DG410" s="14"/>
      <c r="DH410" s="12"/>
      <c r="DI410" s="14"/>
      <c r="DJ410" s="16"/>
      <c r="DK410" s="14"/>
      <c r="DL410" s="12"/>
      <c r="DM410" s="14"/>
      <c r="DN410" s="16"/>
      <c r="DO410" s="14"/>
      <c r="DP410" s="12"/>
      <c r="DQ410" s="14"/>
      <c r="DR410" s="16"/>
      <c r="DS410" s="14"/>
      <c r="DT410" s="12"/>
      <c r="DU410" s="14"/>
      <c r="DV410" s="16"/>
      <c r="DW410" s="14"/>
      <c r="DX410" s="12"/>
      <c r="DY410" s="14"/>
      <c r="DZ410" s="16"/>
      <c r="EA410" s="14"/>
      <c r="EB410" s="12"/>
      <c r="EC410" s="14"/>
      <c r="ED410" s="16"/>
      <c r="EE410" s="14"/>
      <c r="EF410" s="12"/>
      <c r="EG410" s="12"/>
      <c r="EH410" s="14"/>
      <c r="EI410" s="16"/>
      <c r="EJ410" s="14"/>
      <c r="EK410" s="14">
        <v>857</v>
      </c>
      <c r="EL410" s="14">
        <v>412</v>
      </c>
      <c r="EM410" s="14">
        <v>1269</v>
      </c>
      <c r="EN410" s="14">
        <v>1705</v>
      </c>
      <c r="EO410" s="14">
        <v>826</v>
      </c>
      <c r="EP410" s="14">
        <v>2531</v>
      </c>
      <c r="EQ410" s="12" t="s">
        <v>319</v>
      </c>
      <c r="ER410" s="14"/>
      <c r="ES410" s="16"/>
      <c r="ET410" s="14"/>
      <c r="EU410" s="11" t="s">
        <v>319</v>
      </c>
      <c r="EV410" s="14"/>
      <c r="EW410" s="16"/>
      <c r="EX410" s="14"/>
      <c r="EY410" s="12" t="s">
        <v>319</v>
      </c>
      <c r="EZ410" s="14"/>
      <c r="FA410" s="16"/>
      <c r="FB410" s="14"/>
      <c r="FC410" s="12" t="s">
        <v>319</v>
      </c>
      <c r="FD410" s="14"/>
      <c r="FE410" s="16"/>
      <c r="FF410" s="14"/>
      <c r="FG410" s="12" t="s">
        <v>319</v>
      </c>
      <c r="FH410" s="14"/>
      <c r="FI410" s="16"/>
      <c r="FJ410" s="14"/>
      <c r="FK410" s="12" t="s">
        <v>319</v>
      </c>
      <c r="FL410" s="14"/>
      <c r="FM410" s="16"/>
      <c r="FN410" s="14"/>
      <c r="FO410" s="12" t="s">
        <v>319</v>
      </c>
      <c r="FP410" s="14"/>
      <c r="FQ410" s="16"/>
      <c r="FR410" s="14"/>
      <c r="FS410" s="12" t="s">
        <v>320</v>
      </c>
      <c r="FT410" s="14">
        <v>99</v>
      </c>
      <c r="FU410" s="16">
        <v>0.99</v>
      </c>
      <c r="FV410" s="14">
        <v>297</v>
      </c>
      <c r="FW410" s="12" t="s">
        <v>319</v>
      </c>
      <c r="FX410" s="14"/>
      <c r="FY410" s="16"/>
      <c r="FZ410" s="14"/>
      <c r="GA410" s="12" t="s">
        <v>319</v>
      </c>
      <c r="GB410" s="14"/>
      <c r="GC410" s="16"/>
      <c r="GD410" s="14"/>
      <c r="GE410" s="12" t="s">
        <v>319</v>
      </c>
      <c r="GF410" s="14"/>
      <c r="GG410" s="16"/>
      <c r="GH410" s="14"/>
      <c r="GI410" s="12" t="s">
        <v>319</v>
      </c>
      <c r="GJ410" s="14"/>
      <c r="GK410" s="16"/>
      <c r="GL410" s="14"/>
      <c r="GM410" s="12" t="s">
        <v>319</v>
      </c>
      <c r="GN410" s="14"/>
      <c r="GO410" s="16"/>
      <c r="GP410" s="14"/>
      <c r="GQ410" s="12" t="s">
        <v>320</v>
      </c>
      <c r="GR410" s="14">
        <v>1269</v>
      </c>
      <c r="GS410" s="16">
        <v>0.68</v>
      </c>
      <c r="GT410" s="14">
        <v>2531</v>
      </c>
      <c r="GU410" s="12" t="s">
        <v>319</v>
      </c>
      <c r="GV410" s="14"/>
      <c r="GW410" s="16"/>
      <c r="GX410" s="14"/>
      <c r="GY410" s="12" t="s">
        <v>319</v>
      </c>
      <c r="GZ410" s="14"/>
      <c r="HA410" s="16"/>
      <c r="HB410" s="14"/>
      <c r="HC410" s="12"/>
      <c r="HD410" s="12"/>
      <c r="HE410" s="14"/>
      <c r="HF410" s="16"/>
      <c r="HG410" s="14"/>
      <c r="HH410" s="12" t="s">
        <v>320</v>
      </c>
      <c r="HI410" s="12" t="s">
        <v>1175</v>
      </c>
      <c r="HJ410" s="12">
        <v>2017</v>
      </c>
      <c r="HK410" s="12" t="s">
        <v>319</v>
      </c>
      <c r="HL410" s="12" t="s">
        <v>319</v>
      </c>
      <c r="HM410" s="12"/>
      <c r="HN410" s="12"/>
      <c r="HO410" s="12"/>
      <c r="HP410" s="12" t="s">
        <v>418</v>
      </c>
      <c r="HQ410" s="12" t="s">
        <v>319</v>
      </c>
      <c r="HR410" s="12" t="s">
        <v>319</v>
      </c>
      <c r="HS410" s="12" t="s">
        <v>319</v>
      </c>
      <c r="HT410" s="12" t="s">
        <v>320</v>
      </c>
      <c r="HU410" s="12" t="s">
        <v>320</v>
      </c>
      <c r="HV410" s="12" t="s">
        <v>319</v>
      </c>
      <c r="HW410" s="12" t="s">
        <v>320</v>
      </c>
      <c r="HX410" s="12"/>
      <c r="HY410" s="12"/>
      <c r="HZ410" s="12" t="s">
        <v>331</v>
      </c>
      <c r="IA410" s="12" t="s">
        <v>7047</v>
      </c>
      <c r="IB410" s="12" t="s">
        <v>667</v>
      </c>
      <c r="IC410" s="12" t="s">
        <v>7048</v>
      </c>
      <c r="ID410" s="12" t="s">
        <v>334</v>
      </c>
      <c r="IE410" s="12" t="s">
        <v>335</v>
      </c>
      <c r="IF410" s="12" t="s">
        <v>320</v>
      </c>
      <c r="IG410" s="12" t="s">
        <v>320</v>
      </c>
      <c r="IH410" s="12" t="s">
        <v>320</v>
      </c>
      <c r="II410" s="12" t="s">
        <v>320</v>
      </c>
      <c r="IJ410" s="12" t="str">
        <f t="shared" si="259"/>
        <v>2. Sensitive</v>
      </c>
      <c r="IK410" s="12">
        <f t="shared" si="260"/>
        <v>4</v>
      </c>
      <c r="IL410" s="12" t="s">
        <v>336</v>
      </c>
      <c r="IM410" s="12" t="s">
        <v>320</v>
      </c>
      <c r="IN410" s="12" t="s">
        <v>320</v>
      </c>
      <c r="IO410" s="12" t="s">
        <v>320</v>
      </c>
      <c r="IP410" s="12" t="s">
        <v>320</v>
      </c>
      <c r="IQ410" s="12" t="str">
        <f t="shared" si="261"/>
        <v>2. Accommodating</v>
      </c>
      <c r="IR410" s="12">
        <f t="shared" si="262"/>
        <v>4</v>
      </c>
      <c r="IS410" s="12" t="s">
        <v>456</v>
      </c>
      <c r="IT410" s="12" t="s">
        <v>320</v>
      </c>
      <c r="IU410" s="12" t="s">
        <v>320</v>
      </c>
      <c r="IV410" s="12" t="s">
        <v>320</v>
      </c>
      <c r="IW410" s="11" t="str">
        <f t="shared" si="263"/>
        <v>0. Harmful</v>
      </c>
      <c r="IX410" s="12">
        <f t="shared" si="264"/>
        <v>3</v>
      </c>
      <c r="IY410" s="12" t="s">
        <v>338</v>
      </c>
      <c r="IZ410" s="12" t="s">
        <v>457</v>
      </c>
      <c r="JA410" s="12">
        <v>2</v>
      </c>
      <c r="JB410" s="12" t="s">
        <v>687</v>
      </c>
      <c r="JC410" s="12" t="s">
        <v>623</v>
      </c>
      <c r="JD410" s="12"/>
      <c r="JE410" s="12" t="s">
        <v>365</v>
      </c>
      <c r="JF410" s="12"/>
      <c r="JG410" s="12"/>
      <c r="JH410" s="12" t="s">
        <v>7049</v>
      </c>
      <c r="JI410" s="12" t="s">
        <v>7050</v>
      </c>
      <c r="JJ410" s="12" t="s">
        <v>7051</v>
      </c>
      <c r="JK410" s="12" t="s">
        <v>7052</v>
      </c>
      <c r="JL410" s="12" t="s">
        <v>7053</v>
      </c>
      <c r="JM410" s="12" t="s">
        <v>7054</v>
      </c>
      <c r="JN410" s="12" t="s">
        <v>7055</v>
      </c>
      <c r="JO410" s="12" t="s">
        <v>7056</v>
      </c>
      <c r="JP410" s="15">
        <f t="shared" si="265"/>
        <v>1269</v>
      </c>
      <c r="JQ410" s="15">
        <f t="shared" si="266"/>
        <v>2531</v>
      </c>
      <c r="JR410" s="279">
        <f t="shared" si="267"/>
        <v>1.9944838455476754</v>
      </c>
      <c r="JS410" s="17">
        <f t="shared" si="268"/>
        <v>0.67533490937746254</v>
      </c>
      <c r="JT410" s="18">
        <f t="shared" si="269"/>
        <v>0.67364677992888189</v>
      </c>
      <c r="JU410" s="280">
        <f t="shared" si="270"/>
        <v>857</v>
      </c>
      <c r="JV410" s="280">
        <f t="shared" si="271"/>
        <v>1705</v>
      </c>
      <c r="JW410" s="319" t="str">
        <f t="shared" si="272"/>
        <v/>
      </c>
      <c r="JX410" s="15">
        <f t="shared" si="273"/>
        <v>0</v>
      </c>
      <c r="JY410" s="15">
        <f t="shared" si="274"/>
        <v>0</v>
      </c>
      <c r="JZ410" s="19" t="str">
        <f t="shared" si="275"/>
        <v/>
      </c>
      <c r="KA410" s="52" t="str">
        <f t="shared" si="276"/>
        <v/>
      </c>
      <c r="KB410" s="15">
        <f t="shared" si="277"/>
        <v>0</v>
      </c>
      <c r="KC410" s="15">
        <f t="shared" si="278"/>
        <v>0</v>
      </c>
      <c r="KD410" s="20" t="str">
        <f t="shared" si="279"/>
        <v/>
      </c>
      <c r="KE410" s="52">
        <f t="shared" si="280"/>
        <v>1</v>
      </c>
      <c r="KF410" s="15">
        <f t="shared" si="281"/>
        <v>1269</v>
      </c>
      <c r="KG410" s="15">
        <f t="shared" si="282"/>
        <v>2531</v>
      </c>
      <c r="KH410" s="21">
        <f t="shared" si="283"/>
        <v>1.9944838455476754</v>
      </c>
      <c r="KI410" s="52">
        <f t="shared" si="284"/>
        <v>1</v>
      </c>
      <c r="KJ410" s="15">
        <f t="shared" si="285"/>
        <v>99</v>
      </c>
      <c r="KK410" s="15">
        <f t="shared" si="286"/>
        <v>297</v>
      </c>
      <c r="KL410" s="19">
        <f t="shared" si="287"/>
        <v>3</v>
      </c>
      <c r="KM410" s="52" t="str">
        <f t="shared" si="288"/>
        <v/>
      </c>
      <c r="KN410" s="22">
        <f t="shared" si="289"/>
        <v>0</v>
      </c>
      <c r="KO410" s="22">
        <f t="shared" si="290"/>
        <v>0</v>
      </c>
      <c r="KP410" s="19" t="str">
        <f t="shared" si="291"/>
        <v/>
      </c>
      <c r="KQ410" s="11" t="str">
        <f t="shared" si="292"/>
        <v>2. Sensitive</v>
      </c>
      <c r="KR410" s="11" t="str">
        <f t="shared" si="293"/>
        <v>2. Accommodating</v>
      </c>
      <c r="KS410" s="11" t="str">
        <f t="shared" si="294"/>
        <v>0. Harmful</v>
      </c>
      <c r="KT410" s="11" t="str">
        <f t="shared" si="295"/>
        <v>It tested new ways for fighting poverty and measured results of innovation</v>
      </c>
      <c r="KU410" s="11" t="str">
        <f t="shared" si="296"/>
        <v>Little or no advocacy</v>
      </c>
      <c r="KV410" s="11" t="str">
        <f t="shared" si="297"/>
        <v>It took tested solutions to scale on its own</v>
      </c>
      <c r="KW410" s="11" t="str">
        <f t="shared" si="298"/>
        <v>Laos - To strengthen the Quality of Maternal, Newborn and Child Health Services in Phongsaly Province (MNCH)</v>
      </c>
      <c r="KX410" s="11" t="str">
        <f t="shared" si="299"/>
        <v>To strengthen the Quality of Maternal, Newborn and Child Health Services in Phongsaly Province (MNCH)</v>
      </c>
      <c r="KY410" s="11" t="str">
        <f t="shared" si="300"/>
        <v>Laos</v>
      </c>
      <c r="KZ410" s="12">
        <v>410</v>
      </c>
    </row>
    <row r="411" spans="1:312" x14ac:dyDescent="0.3">
      <c r="A411" s="12" t="s">
        <v>6850</v>
      </c>
      <c r="B411" s="12" t="s">
        <v>306</v>
      </c>
      <c r="C411" s="12">
        <v>3089</v>
      </c>
      <c r="D411" s="12" t="s">
        <v>6894</v>
      </c>
      <c r="E411" s="277" t="str">
        <f t="shared" si="258"/>
        <v>Laos</v>
      </c>
      <c r="F411" s="12" t="s">
        <v>6895</v>
      </c>
      <c r="G411" s="12" t="s">
        <v>309</v>
      </c>
      <c r="H411" s="12" t="s">
        <v>310</v>
      </c>
      <c r="I411" s="12" t="s">
        <v>311</v>
      </c>
      <c r="J411" s="281" t="s">
        <v>14565</v>
      </c>
      <c r="K411" s="12" t="s">
        <v>6895</v>
      </c>
      <c r="L411" s="12" t="s">
        <v>309</v>
      </c>
      <c r="M411" s="12" t="s">
        <v>384</v>
      </c>
      <c r="N411" s="12" t="s">
        <v>384</v>
      </c>
      <c r="O411" s="12" t="s">
        <v>309</v>
      </c>
      <c r="P411" s="12"/>
      <c r="Q411" s="12"/>
      <c r="R411" s="12"/>
      <c r="S411" s="12"/>
      <c r="T411" s="12"/>
      <c r="U411" s="12"/>
      <c r="V411" s="12"/>
      <c r="W411" s="12"/>
      <c r="X411" s="12"/>
      <c r="Y411" s="12"/>
      <c r="Z411" s="12"/>
      <c r="AA411" s="12"/>
      <c r="AB411" s="12"/>
      <c r="AC411" s="12"/>
      <c r="AD411" s="12"/>
      <c r="BD411" s="13">
        <v>41456</v>
      </c>
      <c r="BE411" s="13">
        <v>42916</v>
      </c>
      <c r="BF411" s="12"/>
      <c r="BG411" s="12" t="s">
        <v>312</v>
      </c>
      <c r="BH411" s="14">
        <v>1273644</v>
      </c>
      <c r="BI411" s="12" t="s">
        <v>6896</v>
      </c>
      <c r="BJ411" s="12" t="s">
        <v>6897</v>
      </c>
      <c r="BK411" s="12" t="s">
        <v>6880</v>
      </c>
      <c r="BL411" s="12"/>
      <c r="BM411" s="12"/>
      <c r="BN411" s="12"/>
      <c r="BO411" s="12" t="s">
        <v>319</v>
      </c>
      <c r="BP411" s="12" t="s">
        <v>320</v>
      </c>
      <c r="BQ411" s="12" t="s">
        <v>319</v>
      </c>
      <c r="BR411" s="12" t="s">
        <v>6898</v>
      </c>
      <c r="BS411" s="12" t="s">
        <v>357</v>
      </c>
      <c r="BT411" s="12" t="s">
        <v>6899</v>
      </c>
      <c r="BU411" s="12" t="s">
        <v>6900</v>
      </c>
      <c r="BV411" s="14">
        <v>322</v>
      </c>
      <c r="BW411" s="14">
        <v>228</v>
      </c>
      <c r="BX411" s="14">
        <v>550</v>
      </c>
      <c r="BY411" s="14">
        <v>7567</v>
      </c>
      <c r="BZ411" s="14">
        <v>7818</v>
      </c>
      <c r="CA411" s="14">
        <v>15385</v>
      </c>
      <c r="CB411" s="12" t="s">
        <v>6901</v>
      </c>
      <c r="CD411" s="14"/>
      <c r="CE411" s="14"/>
      <c r="CF411" s="14"/>
      <c r="CG411" s="14"/>
      <c r="CH411" s="14"/>
      <c r="CI411" s="14"/>
      <c r="CJ411" s="12"/>
      <c r="CK411" s="14"/>
      <c r="CL411" s="16"/>
      <c r="CM411" s="14"/>
      <c r="CN411" s="12"/>
      <c r="CO411" s="14"/>
      <c r="CP411" s="16"/>
      <c r="CQ411" s="14"/>
      <c r="CR411" s="12"/>
      <c r="CS411" s="14"/>
      <c r="CT411" s="16"/>
      <c r="CU411" s="14"/>
      <c r="CV411" s="12"/>
      <c r="CW411" s="14"/>
      <c r="CX411" s="16"/>
      <c r="CY411" s="14"/>
      <c r="CZ411" s="12"/>
      <c r="DA411" s="14"/>
      <c r="DB411" s="16"/>
      <c r="DC411" s="14"/>
      <c r="DD411" s="12"/>
      <c r="DE411" s="14"/>
      <c r="DF411" s="16"/>
      <c r="DG411" s="14"/>
      <c r="DH411" s="12"/>
      <c r="DI411" s="14"/>
      <c r="DJ411" s="16"/>
      <c r="DK411" s="14"/>
      <c r="DL411" s="12"/>
      <c r="DM411" s="14"/>
      <c r="DN411" s="16"/>
      <c r="DO411" s="14"/>
      <c r="DP411" s="12"/>
      <c r="DQ411" s="14"/>
      <c r="DR411" s="16"/>
      <c r="DS411" s="14"/>
      <c r="DT411" s="12"/>
      <c r="DU411" s="14"/>
      <c r="DV411" s="16"/>
      <c r="DW411" s="14"/>
      <c r="DX411" s="12"/>
      <c r="DY411" s="14"/>
      <c r="DZ411" s="16"/>
      <c r="EA411" s="14"/>
      <c r="EB411" s="12"/>
      <c r="EC411" s="14"/>
      <c r="ED411" s="16"/>
      <c r="EE411" s="14"/>
      <c r="EF411" s="12"/>
      <c r="EG411" s="12"/>
      <c r="EH411" s="14"/>
      <c r="EI411" s="16"/>
      <c r="EJ411" s="14"/>
      <c r="EK411" s="14">
        <v>1267</v>
      </c>
      <c r="EL411" s="14">
        <v>984</v>
      </c>
      <c r="EM411" s="14">
        <v>2251</v>
      </c>
      <c r="EN411" s="14">
        <v>1755</v>
      </c>
      <c r="EO411" s="14">
        <v>1632</v>
      </c>
      <c r="EP411" s="14">
        <v>3387</v>
      </c>
      <c r="EQ411" s="12" t="s">
        <v>319</v>
      </c>
      <c r="ER411" s="14"/>
      <c r="ES411" s="16"/>
      <c r="ET411" s="14"/>
      <c r="EU411" s="11" t="s">
        <v>319</v>
      </c>
      <c r="EV411" s="14"/>
      <c r="EW411" s="16"/>
      <c r="EX411" s="14"/>
      <c r="EY411" s="12" t="s">
        <v>319</v>
      </c>
      <c r="EZ411" s="14"/>
      <c r="FA411" s="16"/>
      <c r="FB411" s="14"/>
      <c r="FC411" s="12" t="s">
        <v>319</v>
      </c>
      <c r="FD411" s="14"/>
      <c r="FE411" s="16"/>
      <c r="FF411" s="14"/>
      <c r="FG411" s="12" t="s">
        <v>319</v>
      </c>
      <c r="FH411" s="14"/>
      <c r="FI411" s="16"/>
      <c r="FJ411" s="14"/>
      <c r="FK411" s="12" t="s">
        <v>319</v>
      </c>
      <c r="FL411" s="14"/>
      <c r="FM411" s="16"/>
      <c r="FN411" s="14"/>
      <c r="FO411" s="12" t="s">
        <v>319</v>
      </c>
      <c r="FP411" s="14"/>
      <c r="FQ411" s="16"/>
      <c r="FR411" s="14"/>
      <c r="FS411" s="12" t="s">
        <v>319</v>
      </c>
      <c r="FT411" s="14"/>
      <c r="FU411" s="16"/>
      <c r="FV411" s="14"/>
      <c r="FW411" s="11" t="s">
        <v>320</v>
      </c>
      <c r="FX411" s="14">
        <v>300</v>
      </c>
      <c r="FY411" s="16">
        <v>0.5</v>
      </c>
      <c r="FZ411" s="14">
        <v>900</v>
      </c>
      <c r="GA411" s="12" t="s">
        <v>319</v>
      </c>
      <c r="GB411" s="14"/>
      <c r="GC411" s="16"/>
      <c r="GD411" s="14"/>
      <c r="GE411" s="12" t="s">
        <v>320</v>
      </c>
      <c r="GF411" s="14">
        <v>1274</v>
      </c>
      <c r="GG411" s="16">
        <v>0.53</v>
      </c>
      <c r="GH411" s="14"/>
      <c r="GI411" s="11" t="s">
        <v>320</v>
      </c>
      <c r="GJ411" s="14">
        <v>525</v>
      </c>
      <c r="GK411" s="16">
        <v>0.54</v>
      </c>
      <c r="GL411" s="14">
        <v>1575</v>
      </c>
      <c r="GM411" s="12" t="s">
        <v>319</v>
      </c>
      <c r="GN411" s="14"/>
      <c r="GO411" s="16"/>
      <c r="GP411" s="14"/>
      <c r="GQ411" s="12" t="s">
        <v>319</v>
      </c>
      <c r="GR411" s="14"/>
      <c r="GS411" s="16"/>
      <c r="GT411" s="14"/>
      <c r="GU411" s="12" t="s">
        <v>320</v>
      </c>
      <c r="GV411" s="14">
        <v>154</v>
      </c>
      <c r="GW411" s="16">
        <v>0.45</v>
      </c>
      <c r="GX411" s="14"/>
      <c r="GY411" s="11" t="s">
        <v>320</v>
      </c>
      <c r="GZ411" s="14">
        <v>153</v>
      </c>
      <c r="HA411" s="16">
        <v>1</v>
      </c>
      <c r="HB411" s="14">
        <v>912</v>
      </c>
      <c r="HC411" s="12"/>
      <c r="HD411" s="12"/>
      <c r="HE411" s="14"/>
      <c r="HF411" s="16"/>
      <c r="HG411" s="14"/>
      <c r="HH411" s="12" t="s">
        <v>320</v>
      </c>
      <c r="HI411" s="12" t="s">
        <v>451</v>
      </c>
      <c r="HJ411" s="12">
        <v>2017</v>
      </c>
      <c r="HK411" s="12" t="s">
        <v>319</v>
      </c>
      <c r="HL411" s="12" t="s">
        <v>319</v>
      </c>
      <c r="HM411" s="12"/>
      <c r="HN411" s="12"/>
      <c r="HO411" s="12"/>
      <c r="HP411" s="12" t="s">
        <v>418</v>
      </c>
      <c r="HQ411" s="12" t="s">
        <v>319</v>
      </c>
      <c r="HR411" s="12" t="s">
        <v>319</v>
      </c>
      <c r="HS411" s="12" t="s">
        <v>319</v>
      </c>
      <c r="HT411" s="12" t="s">
        <v>320</v>
      </c>
      <c r="HU411" s="12" t="s">
        <v>319</v>
      </c>
      <c r="HV411" s="12" t="s">
        <v>319</v>
      </c>
      <c r="HW411" s="12" t="s">
        <v>320</v>
      </c>
      <c r="HX411" s="12"/>
      <c r="HY411" s="12"/>
      <c r="HZ411" s="12" t="s">
        <v>363</v>
      </c>
      <c r="IA411" s="12"/>
      <c r="IB411" s="12" t="s">
        <v>333</v>
      </c>
      <c r="IC411" s="12"/>
      <c r="ID411" s="12" t="s">
        <v>364</v>
      </c>
      <c r="IE411" s="12" t="s">
        <v>335</v>
      </c>
      <c r="IF411" s="12" t="s">
        <v>320</v>
      </c>
      <c r="IG411" s="12" t="s">
        <v>320</v>
      </c>
      <c r="IH411" s="12" t="s">
        <v>320</v>
      </c>
      <c r="II411" s="12" t="s">
        <v>320</v>
      </c>
      <c r="IJ411" s="12" t="str">
        <f t="shared" si="259"/>
        <v>2. Sensitive</v>
      </c>
      <c r="IK411" s="12">
        <f t="shared" si="260"/>
        <v>4</v>
      </c>
      <c r="IL411" s="12" t="s">
        <v>336</v>
      </c>
      <c r="IM411" s="12" t="s">
        <v>320</v>
      </c>
      <c r="IN411" s="12" t="s">
        <v>320</v>
      </c>
      <c r="IO411" s="12" t="s">
        <v>320</v>
      </c>
      <c r="IP411" s="12" t="s">
        <v>320</v>
      </c>
      <c r="IQ411" s="12" t="str">
        <f t="shared" si="261"/>
        <v>2. Accommodating</v>
      </c>
      <c r="IR411" s="12">
        <f t="shared" si="262"/>
        <v>4</v>
      </c>
      <c r="IS411" s="12" t="s">
        <v>456</v>
      </c>
      <c r="IT411" s="12" t="s">
        <v>320</v>
      </c>
      <c r="IU411" s="12" t="s">
        <v>320</v>
      </c>
      <c r="IV411" s="12" t="s">
        <v>320</v>
      </c>
      <c r="IW411" s="11" t="str">
        <f t="shared" si="263"/>
        <v>0. Harmful</v>
      </c>
      <c r="IX411" s="12">
        <f t="shared" si="264"/>
        <v>3</v>
      </c>
      <c r="IY411" s="12" t="s">
        <v>419</v>
      </c>
      <c r="IZ411" s="12" t="s">
        <v>527</v>
      </c>
      <c r="JA411" s="12">
        <v>4</v>
      </c>
      <c r="JB411" s="12" t="s">
        <v>687</v>
      </c>
      <c r="JC411" s="12" t="s">
        <v>624</v>
      </c>
      <c r="JD411" s="12" t="s">
        <v>623</v>
      </c>
      <c r="JE411" s="12" t="s">
        <v>340</v>
      </c>
      <c r="JF411" s="12"/>
      <c r="JG411" s="12" t="s">
        <v>6902</v>
      </c>
      <c r="JH411" s="12" t="s">
        <v>6903</v>
      </c>
      <c r="JI411" s="12" t="s">
        <v>6904</v>
      </c>
      <c r="JJ411" s="12" t="s">
        <v>6905</v>
      </c>
      <c r="JK411" s="12" t="s">
        <v>6906</v>
      </c>
      <c r="JL411" s="12" t="s">
        <v>6907</v>
      </c>
      <c r="JM411" s="12" t="s">
        <v>6908</v>
      </c>
      <c r="JN411" s="12"/>
      <c r="JO411" s="12" t="s">
        <v>6909</v>
      </c>
      <c r="JP411" s="15">
        <f t="shared" si="265"/>
        <v>2251</v>
      </c>
      <c r="JQ411" s="15">
        <f t="shared" si="266"/>
        <v>3387</v>
      </c>
      <c r="JR411" s="279">
        <f t="shared" si="267"/>
        <v>1.5046645935139937</v>
      </c>
      <c r="JS411" s="17">
        <f t="shared" si="268"/>
        <v>0.56286095068858288</v>
      </c>
      <c r="JT411" s="18">
        <f t="shared" si="269"/>
        <v>0.51815766164747568</v>
      </c>
      <c r="JU411" s="280">
        <f t="shared" si="270"/>
        <v>1267</v>
      </c>
      <c r="JV411" s="280">
        <f t="shared" si="271"/>
        <v>1755</v>
      </c>
      <c r="JW411" s="319" t="str">
        <f t="shared" si="272"/>
        <v/>
      </c>
      <c r="JX411" s="15">
        <f t="shared" si="273"/>
        <v>0</v>
      </c>
      <c r="JY411" s="15">
        <f t="shared" si="274"/>
        <v>0</v>
      </c>
      <c r="JZ411" s="19" t="str">
        <f t="shared" si="275"/>
        <v/>
      </c>
      <c r="KA411" s="52">
        <f t="shared" si="276"/>
        <v>1</v>
      </c>
      <c r="KB411" s="15">
        <f t="shared" si="277"/>
        <v>525</v>
      </c>
      <c r="KC411" s="15">
        <f t="shared" si="278"/>
        <v>1575</v>
      </c>
      <c r="KD411" s="20">
        <f t="shared" si="279"/>
        <v>3</v>
      </c>
      <c r="KE411" s="52" t="str">
        <f t="shared" si="280"/>
        <v/>
      </c>
      <c r="KF411" s="15">
        <f t="shared" si="281"/>
        <v>0</v>
      </c>
      <c r="KG411" s="15">
        <f t="shared" si="282"/>
        <v>0</v>
      </c>
      <c r="KH411" s="21" t="str">
        <f t="shared" si="283"/>
        <v/>
      </c>
      <c r="KI411" s="52" t="str">
        <f t="shared" si="284"/>
        <v/>
      </c>
      <c r="KJ411" s="15">
        <f t="shared" si="285"/>
        <v>0</v>
      </c>
      <c r="KK411" s="15">
        <f t="shared" si="286"/>
        <v>0</v>
      </c>
      <c r="KL411" s="19" t="str">
        <f t="shared" si="287"/>
        <v/>
      </c>
      <c r="KM411" s="52">
        <f t="shared" si="288"/>
        <v>1</v>
      </c>
      <c r="KN411" s="22">
        <f t="shared" si="289"/>
        <v>153</v>
      </c>
      <c r="KO411" s="22">
        <f t="shared" si="290"/>
        <v>912</v>
      </c>
      <c r="KP411" s="19">
        <f t="shared" si="291"/>
        <v>5.9607843137254903</v>
      </c>
      <c r="KQ411" s="11" t="str">
        <f t="shared" si="292"/>
        <v>2. Sensitive</v>
      </c>
      <c r="KR411" s="11" t="str">
        <f t="shared" si="293"/>
        <v>2. Accommodating</v>
      </c>
      <c r="KS411" s="11" t="str">
        <f t="shared" si="294"/>
        <v>0. Harmful</v>
      </c>
      <c r="KT411" s="11" t="str">
        <f t="shared" si="295"/>
        <v>It did not develop any specific innovation</v>
      </c>
      <c r="KU411" s="11" t="str">
        <f t="shared" si="296"/>
        <v>Little or no advocacy</v>
      </c>
      <c r="KV411" s="11" t="str">
        <f t="shared" si="297"/>
        <v>It did not take tested solutions to scale</v>
      </c>
      <c r="KW411" s="11" t="str">
        <f t="shared" si="298"/>
        <v>Laos - Women Organization Rural Development Project (WORD)</v>
      </c>
      <c r="KX411" s="11" t="str">
        <f t="shared" si="299"/>
        <v>Women Organization Rural Development Project (WORD)</v>
      </c>
      <c r="KY411" s="11" t="str">
        <f t="shared" si="300"/>
        <v>Laos</v>
      </c>
      <c r="KZ411" s="287">
        <v>411</v>
      </c>
    </row>
    <row r="412" spans="1:312" x14ac:dyDescent="0.3">
      <c r="A412" s="12" t="s">
        <v>7083</v>
      </c>
      <c r="B412" s="12" t="s">
        <v>602</v>
      </c>
      <c r="C412" s="12"/>
      <c r="D412" s="12" t="s">
        <v>7143</v>
      </c>
      <c r="E412" s="277" t="str">
        <f t="shared" si="258"/>
        <v>Lebanon</v>
      </c>
      <c r="F412" s="12" t="s">
        <v>7144</v>
      </c>
      <c r="G412" s="12" t="s">
        <v>714</v>
      </c>
      <c r="H412" s="12" t="s">
        <v>383</v>
      </c>
      <c r="I412" s="12" t="s">
        <v>384</v>
      </c>
      <c r="J412" s="281" t="s">
        <v>7145</v>
      </c>
      <c r="K412" s="12"/>
      <c r="L412" s="12"/>
      <c r="M412" s="12"/>
      <c r="N412" s="12"/>
      <c r="O412" s="12"/>
      <c r="P412" s="12"/>
      <c r="Q412" s="12"/>
      <c r="R412" s="12"/>
      <c r="S412" s="12"/>
      <c r="T412" s="12"/>
      <c r="U412" s="12"/>
      <c r="V412" s="12"/>
      <c r="W412" s="12"/>
      <c r="X412" s="12"/>
      <c r="Y412" s="12"/>
      <c r="Z412" s="12"/>
      <c r="AA412" s="12"/>
      <c r="AB412" s="12"/>
      <c r="AC412" s="12"/>
      <c r="AD412" s="12"/>
      <c r="BD412" s="12"/>
      <c r="BE412" s="12"/>
      <c r="BF412" s="12"/>
      <c r="BG412" s="12" t="s">
        <v>908</v>
      </c>
      <c r="BH412" s="14">
        <v>491000</v>
      </c>
      <c r="BI412" s="12" t="s">
        <v>7089</v>
      </c>
      <c r="BJ412" s="12" t="s">
        <v>7090</v>
      </c>
      <c r="BK412" s="12" t="s">
        <v>7146</v>
      </c>
      <c r="BL412" s="12"/>
      <c r="BM412" s="12"/>
      <c r="BN412" s="12"/>
      <c r="BO412" s="12" t="s">
        <v>320</v>
      </c>
      <c r="BP412" s="12" t="s">
        <v>319</v>
      </c>
      <c r="BQ412" s="12" t="s">
        <v>319</v>
      </c>
      <c r="BR412" s="12" t="s">
        <v>7147</v>
      </c>
      <c r="BS412" s="12" t="s">
        <v>357</v>
      </c>
      <c r="BT412" s="12" t="s">
        <v>7148</v>
      </c>
      <c r="BU412" s="12" t="s">
        <v>7149</v>
      </c>
      <c r="BV412" s="14"/>
      <c r="BW412" s="14"/>
      <c r="BX412" s="14">
        <v>201</v>
      </c>
      <c r="BY412" s="14">
        <v>890</v>
      </c>
      <c r="BZ412" s="14">
        <v>894</v>
      </c>
      <c r="CA412" s="14">
        <v>1784</v>
      </c>
      <c r="CB412" s="12" t="s">
        <v>7150</v>
      </c>
      <c r="CD412" s="14"/>
      <c r="CE412" s="14"/>
      <c r="CF412" s="14">
        <v>201</v>
      </c>
      <c r="CG412" s="14"/>
      <c r="CH412" s="14"/>
      <c r="CI412" s="14">
        <v>1784</v>
      </c>
      <c r="CJ412" s="12" t="s">
        <v>319</v>
      </c>
      <c r="CK412" s="14"/>
      <c r="CL412" s="16"/>
      <c r="CM412" s="14"/>
      <c r="CN412" s="12" t="s">
        <v>319</v>
      </c>
      <c r="CO412" s="14"/>
      <c r="CP412" s="16"/>
      <c r="CQ412" s="14"/>
      <c r="CR412" s="12" t="s">
        <v>319</v>
      </c>
      <c r="CS412" s="14"/>
      <c r="CT412" s="16"/>
      <c r="CU412" s="14"/>
      <c r="CV412" s="12" t="s">
        <v>319</v>
      </c>
      <c r="CW412" s="14"/>
      <c r="CX412" s="16"/>
      <c r="CY412" s="14"/>
      <c r="CZ412" s="12" t="s">
        <v>319</v>
      </c>
      <c r="DA412" s="14"/>
      <c r="DB412" s="16"/>
      <c r="DC412" s="14"/>
      <c r="DD412" s="12" t="s">
        <v>319</v>
      </c>
      <c r="DE412" s="14"/>
      <c r="DF412" s="16"/>
      <c r="DG412" s="14"/>
      <c r="DH412" s="12" t="s">
        <v>319</v>
      </c>
      <c r="DI412" s="14"/>
      <c r="DJ412" s="16"/>
      <c r="DK412" s="14"/>
      <c r="DL412" s="12" t="s">
        <v>319</v>
      </c>
      <c r="DM412" s="14"/>
      <c r="DN412" s="16"/>
      <c r="DO412" s="14"/>
      <c r="DP412" s="12" t="s">
        <v>320</v>
      </c>
      <c r="DQ412" s="14"/>
      <c r="DR412" s="16"/>
      <c r="DS412" s="14"/>
      <c r="DT412" s="12" t="s">
        <v>319</v>
      </c>
      <c r="DU412" s="14"/>
      <c r="DV412" s="16"/>
      <c r="DW412" s="14"/>
      <c r="DX412" s="12" t="s">
        <v>320</v>
      </c>
      <c r="DY412" s="14">
        <v>201</v>
      </c>
      <c r="DZ412" s="16"/>
      <c r="EA412" s="14">
        <v>1784</v>
      </c>
      <c r="EB412" s="12" t="s">
        <v>320</v>
      </c>
      <c r="EC412" s="14"/>
      <c r="ED412" s="16"/>
      <c r="EE412" s="14"/>
      <c r="EF412" s="12"/>
      <c r="EG412" s="12" t="s">
        <v>319</v>
      </c>
      <c r="EH412" s="14"/>
      <c r="EI412" s="16"/>
      <c r="EJ412" s="14"/>
      <c r="EK412" s="14"/>
      <c r="EL412" s="14"/>
      <c r="EM412" s="14"/>
      <c r="EN412" s="14"/>
      <c r="EO412" s="14"/>
      <c r="EP412" s="14"/>
      <c r="EQ412" s="12"/>
      <c r="ER412" s="14"/>
      <c r="ES412" s="16"/>
      <c r="ET412" s="14"/>
      <c r="EU412" s="12"/>
      <c r="EV412" s="14"/>
      <c r="EW412" s="16"/>
      <c r="EX412" s="14"/>
      <c r="EY412" s="12"/>
      <c r="EZ412" s="14"/>
      <c r="FA412" s="16"/>
      <c r="FB412" s="14"/>
      <c r="FC412" s="12"/>
      <c r="FD412" s="14"/>
      <c r="FE412" s="16"/>
      <c r="FF412" s="14"/>
      <c r="FG412" s="12"/>
      <c r="FH412" s="14"/>
      <c r="FI412" s="16"/>
      <c r="FJ412" s="14"/>
      <c r="FK412" s="12"/>
      <c r="FL412" s="14"/>
      <c r="FM412" s="16"/>
      <c r="FN412" s="14"/>
      <c r="FO412" s="12"/>
      <c r="FP412" s="14"/>
      <c r="FQ412" s="16"/>
      <c r="FR412" s="14"/>
      <c r="FS412" s="12"/>
      <c r="FT412" s="14"/>
      <c r="FU412" s="16"/>
      <c r="FV412" s="14"/>
      <c r="FW412" s="12"/>
      <c r="FX412" s="14"/>
      <c r="FY412" s="16"/>
      <c r="FZ412" s="14"/>
      <c r="GA412" s="12"/>
      <c r="GB412" s="14"/>
      <c r="GC412" s="16"/>
      <c r="GD412" s="14"/>
      <c r="GE412" s="12"/>
      <c r="GF412" s="14"/>
      <c r="GG412" s="16"/>
      <c r="GH412" s="14"/>
      <c r="GI412" s="12"/>
      <c r="GJ412" s="14"/>
      <c r="GK412" s="16"/>
      <c r="GL412" s="14"/>
      <c r="GM412" s="12"/>
      <c r="GN412" s="14"/>
      <c r="GO412" s="16"/>
      <c r="GP412" s="14"/>
      <c r="GQ412" s="12"/>
      <c r="GR412" s="14"/>
      <c r="GS412" s="16"/>
      <c r="GT412" s="14"/>
      <c r="GU412" s="12"/>
      <c r="GV412" s="14"/>
      <c r="GW412" s="16"/>
      <c r="GX412" s="14"/>
      <c r="GY412" s="12"/>
      <c r="GZ412" s="14"/>
      <c r="HA412" s="16"/>
      <c r="HB412" s="14"/>
      <c r="HC412" s="12"/>
      <c r="HD412" s="12"/>
      <c r="HE412" s="14"/>
      <c r="HF412" s="16"/>
      <c r="HG412" s="14"/>
      <c r="HH412" s="12" t="s">
        <v>320</v>
      </c>
      <c r="HI412" s="12" t="s">
        <v>431</v>
      </c>
      <c r="HJ412" s="12">
        <v>2016</v>
      </c>
      <c r="HK412" s="12" t="s">
        <v>320</v>
      </c>
      <c r="HL412" s="12" t="s">
        <v>319</v>
      </c>
      <c r="HM412" s="12"/>
      <c r="HN412" s="12"/>
      <c r="HO412" s="12"/>
      <c r="HP412" s="12" t="s">
        <v>418</v>
      </c>
      <c r="HQ412" s="12" t="s">
        <v>319</v>
      </c>
      <c r="HR412" s="12" t="s">
        <v>319</v>
      </c>
      <c r="HS412" s="12" t="s">
        <v>319</v>
      </c>
      <c r="HT412" s="12" t="s">
        <v>319</v>
      </c>
      <c r="HU412" s="12" t="s">
        <v>319</v>
      </c>
      <c r="HV412" s="12" t="s">
        <v>319</v>
      </c>
      <c r="HW412" s="12" t="s">
        <v>319</v>
      </c>
      <c r="HX412" s="12" t="s">
        <v>319</v>
      </c>
      <c r="HY412" s="12"/>
      <c r="HZ412" s="12" t="s">
        <v>363</v>
      </c>
      <c r="IA412" s="12"/>
      <c r="IB412" s="12" t="s">
        <v>396</v>
      </c>
      <c r="IC412" s="12" t="s">
        <v>7151</v>
      </c>
      <c r="ID412" s="12" t="s">
        <v>364</v>
      </c>
      <c r="IE412" s="12" t="s">
        <v>1909</v>
      </c>
      <c r="IF412" s="12" t="s">
        <v>320</v>
      </c>
      <c r="IG412" s="12" t="s">
        <v>319</v>
      </c>
      <c r="IH412" s="12" t="s">
        <v>319</v>
      </c>
      <c r="II412" s="12" t="s">
        <v>319</v>
      </c>
      <c r="IJ412" s="12" t="str">
        <f t="shared" si="259"/>
        <v>0. Harmful</v>
      </c>
      <c r="IK412" s="12">
        <f t="shared" si="260"/>
        <v>1</v>
      </c>
      <c r="IL412" s="12" t="s">
        <v>336</v>
      </c>
      <c r="IM412" s="12" t="s">
        <v>320</v>
      </c>
      <c r="IN412" s="12" t="s">
        <v>320</v>
      </c>
      <c r="IO412" s="12" t="s">
        <v>319</v>
      </c>
      <c r="IP412" s="12" t="s">
        <v>320</v>
      </c>
      <c r="IQ412" s="12" t="str">
        <f t="shared" si="261"/>
        <v>2. Accommodating</v>
      </c>
      <c r="IR412" s="12">
        <f t="shared" si="262"/>
        <v>3</v>
      </c>
      <c r="IS412" s="12" t="s">
        <v>337</v>
      </c>
      <c r="IT412" s="12" t="s">
        <v>320</v>
      </c>
      <c r="IU412" s="12" t="s">
        <v>320</v>
      </c>
      <c r="IV412" s="12" t="s">
        <v>319</v>
      </c>
      <c r="IW412" s="11" t="str">
        <f t="shared" si="263"/>
        <v>1. Neutral</v>
      </c>
      <c r="IX412" s="12">
        <f t="shared" si="264"/>
        <v>2</v>
      </c>
      <c r="IY412" s="12" t="s">
        <v>338</v>
      </c>
      <c r="IZ412" s="12" t="s">
        <v>432</v>
      </c>
      <c r="JA412" s="12">
        <v>0</v>
      </c>
      <c r="JB412" s="12" t="s">
        <v>831</v>
      </c>
      <c r="JC412" s="12"/>
      <c r="JD412" s="12"/>
      <c r="JE412" s="12" t="s">
        <v>420</v>
      </c>
      <c r="JF412" s="12"/>
      <c r="JG412" s="12"/>
      <c r="JH412" s="12"/>
      <c r="JI412" s="12"/>
      <c r="JJ412" s="12"/>
      <c r="JK412" s="12"/>
      <c r="JL412" s="12"/>
      <c r="JM412" s="12"/>
      <c r="JN412" s="12" t="s">
        <v>7152</v>
      </c>
      <c r="JO412" s="12" t="s">
        <v>7153</v>
      </c>
      <c r="JP412" s="15">
        <f t="shared" si="265"/>
        <v>201</v>
      </c>
      <c r="JQ412" s="15">
        <f t="shared" si="266"/>
        <v>1784</v>
      </c>
      <c r="JR412" s="279">
        <f t="shared" si="267"/>
        <v>8.8756218905472632</v>
      </c>
      <c r="JS412" s="17">
        <f t="shared" si="268"/>
        <v>0</v>
      </c>
      <c r="JT412" s="18">
        <f t="shared" si="269"/>
        <v>0</v>
      </c>
      <c r="JU412" s="280">
        <f t="shared" si="270"/>
        <v>0</v>
      </c>
      <c r="JV412" s="280">
        <f t="shared" si="271"/>
        <v>0</v>
      </c>
      <c r="JW412" s="319">
        <f t="shared" si="272"/>
        <v>1</v>
      </c>
      <c r="JX412" s="15">
        <f t="shared" si="273"/>
        <v>201</v>
      </c>
      <c r="JY412" s="15">
        <f t="shared" si="274"/>
        <v>1784</v>
      </c>
      <c r="JZ412" s="19">
        <f t="shared" si="275"/>
        <v>8.8756218905472632</v>
      </c>
      <c r="KA412" s="52" t="str">
        <f t="shared" si="276"/>
        <v/>
      </c>
      <c r="KB412" s="15">
        <f t="shared" si="277"/>
        <v>0</v>
      </c>
      <c r="KC412" s="15">
        <f t="shared" si="278"/>
        <v>0</v>
      </c>
      <c r="KD412" s="20" t="str">
        <f t="shared" si="279"/>
        <v/>
      </c>
      <c r="KE412" s="52" t="str">
        <f t="shared" si="280"/>
        <v/>
      </c>
      <c r="KF412" s="15">
        <f t="shared" si="281"/>
        <v>0</v>
      </c>
      <c r="KG412" s="15">
        <f t="shared" si="282"/>
        <v>0</v>
      </c>
      <c r="KH412" s="21" t="str">
        <f t="shared" si="283"/>
        <v/>
      </c>
      <c r="KI412" s="52" t="str">
        <f t="shared" si="284"/>
        <v/>
      </c>
      <c r="KJ412" s="15">
        <f t="shared" si="285"/>
        <v>0</v>
      </c>
      <c r="KK412" s="15">
        <f t="shared" si="286"/>
        <v>0</v>
      </c>
      <c r="KL412" s="19" t="str">
        <f t="shared" si="287"/>
        <v/>
      </c>
      <c r="KM412" s="52" t="str">
        <f t="shared" si="288"/>
        <v/>
      </c>
      <c r="KN412" s="22">
        <f t="shared" si="289"/>
        <v>0</v>
      </c>
      <c r="KO412" s="22">
        <f t="shared" si="290"/>
        <v>0</v>
      </c>
      <c r="KP412" s="19" t="str">
        <f t="shared" si="291"/>
        <v/>
      </c>
      <c r="KQ412" s="11" t="str">
        <f t="shared" si="292"/>
        <v>0. Harmful</v>
      </c>
      <c r="KR412" s="11" t="str">
        <f t="shared" si="293"/>
        <v>2. Accommodating</v>
      </c>
      <c r="KS412" s="11" t="str">
        <f t="shared" si="294"/>
        <v>1. Neutral</v>
      </c>
      <c r="KT412" s="11" t="str">
        <f t="shared" si="295"/>
        <v>It did not develop any specific innovation</v>
      </c>
      <c r="KU412" s="11" t="str">
        <f t="shared" si="296"/>
        <v>Little or no advocacy</v>
      </c>
      <c r="KV412" s="11" t="str">
        <f t="shared" si="297"/>
        <v>It linked and worked with strategic alliances and partners to take tested and effective solutions to scale</v>
      </c>
      <c r="KW412" s="11" t="str">
        <f t="shared" si="298"/>
        <v>Lebanon - Beirut Urban /Habitat for Humanity Partnership</v>
      </c>
      <c r="KX412" s="11" t="str">
        <f t="shared" si="299"/>
        <v>Beirut Urban /Habitat for Humanity Partnership</v>
      </c>
      <c r="KY412" s="11" t="str">
        <f t="shared" si="300"/>
        <v>Lebanon</v>
      </c>
      <c r="KZ412" s="12">
        <v>412</v>
      </c>
    </row>
    <row r="413" spans="1:312" x14ac:dyDescent="0.3">
      <c r="A413" s="282" t="s">
        <v>7083</v>
      </c>
      <c r="B413" s="282" t="s">
        <v>602</v>
      </c>
      <c r="C413" s="282"/>
      <c r="D413" s="282" t="s">
        <v>7084</v>
      </c>
      <c r="E413" s="277" t="str">
        <f t="shared" si="258"/>
        <v>Lebanon</v>
      </c>
      <c r="F413" s="282" t="s">
        <v>7085</v>
      </c>
      <c r="G413" s="282" t="s">
        <v>714</v>
      </c>
      <c r="H413" s="282" t="s">
        <v>380</v>
      </c>
      <c r="I413" s="282" t="s">
        <v>517</v>
      </c>
      <c r="J413" s="281" t="s">
        <v>6222</v>
      </c>
      <c r="K413" s="282" t="s">
        <v>7086</v>
      </c>
      <c r="L413" s="282" t="s">
        <v>714</v>
      </c>
      <c r="M413" s="282" t="s">
        <v>383</v>
      </c>
      <c r="N413" s="282" t="s">
        <v>384</v>
      </c>
      <c r="O413" s="282" t="s">
        <v>7087</v>
      </c>
      <c r="P413" s="282" t="s">
        <v>7088</v>
      </c>
      <c r="Q413" s="282" t="s">
        <v>714</v>
      </c>
      <c r="R413" s="282" t="s">
        <v>384</v>
      </c>
      <c r="S413" s="282" t="s">
        <v>384</v>
      </c>
      <c r="T413" s="278" t="s">
        <v>5370</v>
      </c>
      <c r="U413" s="282"/>
      <c r="V413" s="282"/>
      <c r="W413" s="282"/>
      <c r="X413" s="282"/>
      <c r="Y413" s="282"/>
      <c r="Z413" s="282"/>
      <c r="AA413" s="282"/>
      <c r="AB413" s="282"/>
      <c r="AC413" s="282"/>
      <c r="AD413" s="282"/>
      <c r="AE413" s="282"/>
      <c r="AF413" s="282"/>
      <c r="AG413" s="282"/>
      <c r="AH413" s="282"/>
      <c r="AI413" s="282"/>
      <c r="AJ413" s="282"/>
      <c r="AK413" s="282"/>
      <c r="AL413" s="282"/>
      <c r="AM413" s="282"/>
      <c r="AN413" s="282"/>
      <c r="AO413" s="282"/>
      <c r="AP413" s="282"/>
      <c r="AQ413" s="282"/>
      <c r="AR413" s="282"/>
      <c r="AS413" s="282"/>
      <c r="AT413" s="282"/>
      <c r="AU413" s="282"/>
      <c r="AV413" s="282"/>
      <c r="AW413" s="282"/>
      <c r="AX413" s="282"/>
      <c r="AY413" s="282"/>
      <c r="AZ413" s="282"/>
      <c r="BA413" s="282"/>
      <c r="BB413" s="282"/>
      <c r="BC413" s="282"/>
      <c r="BD413" s="283">
        <v>42264</v>
      </c>
      <c r="BE413" s="283">
        <v>42994</v>
      </c>
      <c r="BF413" s="283"/>
      <c r="BG413" s="283" t="s">
        <v>817</v>
      </c>
      <c r="BH413" s="284">
        <v>2629932.9700000002</v>
      </c>
      <c r="BI413" s="282" t="s">
        <v>7089</v>
      </c>
      <c r="BJ413" s="282" t="s">
        <v>7090</v>
      </c>
      <c r="BK413" s="282" t="s">
        <v>7091</v>
      </c>
      <c r="BL413" s="282" t="s">
        <v>7092</v>
      </c>
      <c r="BM413" s="282" t="s">
        <v>7093</v>
      </c>
      <c r="BN413" s="282" t="s">
        <v>7094</v>
      </c>
      <c r="BO413" s="282" t="s">
        <v>320</v>
      </c>
      <c r="BP413" s="282" t="s">
        <v>320</v>
      </c>
      <c r="BQ413" s="282" t="s">
        <v>320</v>
      </c>
      <c r="BR413" s="282" t="s">
        <v>7095</v>
      </c>
      <c r="BS413" s="282" t="s">
        <v>357</v>
      </c>
      <c r="BT413" s="282" t="s">
        <v>7096</v>
      </c>
      <c r="BU413" s="282" t="s">
        <v>7097</v>
      </c>
      <c r="BV413" s="284"/>
      <c r="BW413" s="284"/>
      <c r="BX413" s="284">
        <v>194364</v>
      </c>
      <c r="BY413" s="284"/>
      <c r="BZ413" s="284"/>
      <c r="CA413" s="284">
        <v>7133</v>
      </c>
      <c r="CB413" s="285" t="s">
        <v>7098</v>
      </c>
      <c r="CC413" s="285"/>
      <c r="CD413" s="284"/>
      <c r="CE413" s="284"/>
      <c r="CF413" s="284">
        <v>194262</v>
      </c>
      <c r="CG413" s="284"/>
      <c r="CH413" s="284"/>
      <c r="CI413" s="284">
        <v>7133</v>
      </c>
      <c r="CJ413" s="282" t="s">
        <v>319</v>
      </c>
      <c r="CK413" s="284"/>
      <c r="CL413" s="286"/>
      <c r="CM413" s="284"/>
      <c r="CN413" s="287" t="s">
        <v>319</v>
      </c>
      <c r="CO413" s="284"/>
      <c r="CP413" s="286"/>
      <c r="CQ413" s="284"/>
      <c r="CR413" s="282" t="s">
        <v>319</v>
      </c>
      <c r="CS413" s="284"/>
      <c r="CT413" s="286"/>
      <c r="CU413" s="284"/>
      <c r="CV413" s="292" t="s">
        <v>319</v>
      </c>
      <c r="CW413" s="290"/>
      <c r="CX413" s="291"/>
      <c r="CY413" s="306"/>
      <c r="CZ413" s="282" t="s">
        <v>319</v>
      </c>
      <c r="DA413" s="284"/>
      <c r="DB413" s="286"/>
      <c r="DC413" s="284"/>
      <c r="DD413" s="287" t="s">
        <v>319</v>
      </c>
      <c r="DE413" s="284"/>
      <c r="DF413" s="286"/>
      <c r="DG413" s="284"/>
      <c r="DH413" s="282" t="s">
        <v>319</v>
      </c>
      <c r="DI413" s="284"/>
      <c r="DJ413" s="286"/>
      <c r="DK413" s="284"/>
      <c r="DL413" s="282" t="s">
        <v>319</v>
      </c>
      <c r="DM413" s="284"/>
      <c r="DN413" s="286"/>
      <c r="DO413" s="284"/>
      <c r="DP413" s="282" t="s">
        <v>319</v>
      </c>
      <c r="DQ413" s="284"/>
      <c r="DR413" s="286"/>
      <c r="DS413" s="284"/>
      <c r="DT413" s="282" t="s">
        <v>319</v>
      </c>
      <c r="DU413" s="284"/>
      <c r="DV413" s="286"/>
      <c r="DW413" s="284"/>
      <c r="DX413" s="282" t="s">
        <v>319</v>
      </c>
      <c r="DY413" s="284"/>
      <c r="DZ413" s="286"/>
      <c r="EA413" s="284"/>
      <c r="EB413" s="282" t="s">
        <v>320</v>
      </c>
      <c r="EC413" s="284">
        <v>194212</v>
      </c>
      <c r="ED413" s="286"/>
      <c r="EE413" s="284">
        <v>7113</v>
      </c>
      <c r="EF413" s="285" t="s">
        <v>7099</v>
      </c>
      <c r="EG413" s="287" t="s">
        <v>320</v>
      </c>
      <c r="EH413" s="284">
        <v>13596</v>
      </c>
      <c r="EI413" s="286"/>
      <c r="EJ413" s="284"/>
      <c r="EK413" s="284"/>
      <c r="EL413" s="284"/>
      <c r="EM413" s="284">
        <v>194110</v>
      </c>
      <c r="EN413" s="284"/>
      <c r="EO413" s="284"/>
      <c r="EP413" s="284">
        <v>7133</v>
      </c>
      <c r="EQ413" s="282"/>
      <c r="ER413" s="284"/>
      <c r="ES413" s="286"/>
      <c r="ET413" s="284"/>
      <c r="EU413" s="282"/>
      <c r="EV413" s="284"/>
      <c r="EW413" s="286"/>
      <c r="EX413" s="284"/>
      <c r="EY413" s="282"/>
      <c r="EZ413" s="284"/>
      <c r="FA413" s="286"/>
      <c r="FB413" s="284"/>
      <c r="FC413" s="282"/>
      <c r="FD413" s="284"/>
      <c r="FE413" s="286"/>
      <c r="FF413" s="284"/>
      <c r="FG413" s="282"/>
      <c r="FH413" s="284"/>
      <c r="FI413" s="286"/>
      <c r="FJ413" s="284"/>
      <c r="FK413" s="282"/>
      <c r="FL413" s="284"/>
      <c r="FM413" s="286"/>
      <c r="FN413" s="284"/>
      <c r="FO413" s="289" t="s">
        <v>320</v>
      </c>
      <c r="FP413" s="300">
        <v>194212</v>
      </c>
      <c r="FQ413" s="307"/>
      <c r="FR413" s="300">
        <v>7113</v>
      </c>
      <c r="FS413" s="282"/>
      <c r="FT413" s="284"/>
      <c r="FU413" s="286"/>
      <c r="FV413" s="284"/>
      <c r="FW413" s="282"/>
      <c r="FX413" s="284"/>
      <c r="FY413" s="286"/>
      <c r="FZ413" s="284"/>
      <c r="GA413" s="282"/>
      <c r="GB413" s="284"/>
      <c r="GC413" s="286"/>
      <c r="GD413" s="284"/>
      <c r="GE413" s="282"/>
      <c r="GF413" s="284"/>
      <c r="GG413" s="286"/>
      <c r="GH413" s="284"/>
      <c r="GI413" s="282"/>
      <c r="GJ413" s="284"/>
      <c r="GK413" s="286"/>
      <c r="GL413" s="284"/>
      <c r="GM413" s="282"/>
      <c r="GN413" s="284"/>
      <c r="GO413" s="286"/>
      <c r="GP413" s="284"/>
      <c r="GQ413" s="282"/>
      <c r="GR413" s="284"/>
      <c r="GS413" s="286"/>
      <c r="GT413" s="284"/>
      <c r="GU413" s="282"/>
      <c r="GV413" s="284"/>
      <c r="GW413" s="286"/>
      <c r="GX413" s="284"/>
      <c r="GY413" s="282"/>
      <c r="GZ413" s="284"/>
      <c r="HA413" s="286"/>
      <c r="HB413" s="284"/>
      <c r="HC413" s="282"/>
      <c r="HD413" s="282"/>
      <c r="HE413" s="284"/>
      <c r="HF413" s="286"/>
      <c r="HG413" s="284"/>
      <c r="HH413" s="282" t="s">
        <v>319</v>
      </c>
      <c r="HI413" s="282"/>
      <c r="HJ413" s="282"/>
      <c r="HK413" s="282" t="s">
        <v>319</v>
      </c>
      <c r="HL413" s="282" t="s">
        <v>320</v>
      </c>
      <c r="HM413" s="282" t="s">
        <v>327</v>
      </c>
      <c r="HN413" s="282"/>
      <c r="HO413" s="282" t="s">
        <v>7100</v>
      </c>
      <c r="HP413" s="282" t="s">
        <v>418</v>
      </c>
      <c r="HQ413" s="282" t="s">
        <v>319</v>
      </c>
      <c r="HR413" s="282" t="s">
        <v>319</v>
      </c>
      <c r="HS413" s="282" t="s">
        <v>319</v>
      </c>
      <c r="HT413" s="282" t="s">
        <v>319</v>
      </c>
      <c r="HU413" s="282" t="s">
        <v>319</v>
      </c>
      <c r="HV413" s="282" t="s">
        <v>319</v>
      </c>
      <c r="HW413" s="282" t="s">
        <v>319</v>
      </c>
      <c r="HX413" s="282" t="s">
        <v>319</v>
      </c>
      <c r="HY413" s="282"/>
      <c r="HZ413" s="282" t="s">
        <v>363</v>
      </c>
      <c r="IA413" s="282"/>
      <c r="IB413" s="282" t="s">
        <v>333</v>
      </c>
      <c r="IC413" s="282"/>
      <c r="ID413" s="282" t="s">
        <v>364</v>
      </c>
      <c r="IE413" s="282" t="s">
        <v>1909</v>
      </c>
      <c r="IF413" s="282" t="s">
        <v>320</v>
      </c>
      <c r="IG413" s="282" t="s">
        <v>319</v>
      </c>
      <c r="IH413" s="282" t="s">
        <v>319</v>
      </c>
      <c r="II413" s="282" t="s">
        <v>320</v>
      </c>
      <c r="IJ413" s="12" t="str">
        <f t="shared" si="259"/>
        <v>0. Harmful</v>
      </c>
      <c r="IK413" s="287">
        <f t="shared" si="260"/>
        <v>2</v>
      </c>
      <c r="IL413" s="282" t="s">
        <v>336</v>
      </c>
      <c r="IM413" s="282" t="s">
        <v>320</v>
      </c>
      <c r="IN413" s="282" t="s">
        <v>319</v>
      </c>
      <c r="IO413" s="282" t="s">
        <v>320</v>
      </c>
      <c r="IP413" s="282" t="s">
        <v>320</v>
      </c>
      <c r="IQ413" s="287" t="str">
        <f t="shared" si="261"/>
        <v>2. Accommodating</v>
      </c>
      <c r="IR413" s="287">
        <f t="shared" si="262"/>
        <v>3</v>
      </c>
      <c r="IS413" s="282" t="s">
        <v>337</v>
      </c>
      <c r="IT413" s="282" t="s">
        <v>320</v>
      </c>
      <c r="IU413" s="282" t="s">
        <v>320</v>
      </c>
      <c r="IV413" s="282" t="s">
        <v>319</v>
      </c>
      <c r="IW413" s="11" t="str">
        <f t="shared" si="263"/>
        <v>1. Neutral</v>
      </c>
      <c r="IX413" s="287">
        <f t="shared" si="264"/>
        <v>2</v>
      </c>
      <c r="IY413" s="282" t="s">
        <v>338</v>
      </c>
      <c r="IZ413" s="282" t="s">
        <v>432</v>
      </c>
      <c r="JA413" s="282">
        <v>2</v>
      </c>
      <c r="JB413" s="282" t="s">
        <v>433</v>
      </c>
      <c r="JC413" s="282" t="s">
        <v>624</v>
      </c>
      <c r="JD413" s="282"/>
      <c r="JE413" s="282" t="s">
        <v>420</v>
      </c>
      <c r="JF413" s="282"/>
      <c r="JG413" s="282"/>
      <c r="JH413" s="282" t="s">
        <v>7101</v>
      </c>
      <c r="JI413" s="282" t="s">
        <v>7102</v>
      </c>
      <c r="JJ413" s="282"/>
      <c r="JK413" s="282" t="s">
        <v>7103</v>
      </c>
      <c r="JL413" s="282" t="s">
        <v>7104</v>
      </c>
      <c r="JM413" s="282" t="s">
        <v>7105</v>
      </c>
      <c r="JN413" s="282" t="s">
        <v>7106</v>
      </c>
      <c r="JO413" s="282" t="s">
        <v>7107</v>
      </c>
      <c r="JP413" s="15">
        <f t="shared" si="265"/>
        <v>194262</v>
      </c>
      <c r="JQ413" s="15">
        <f t="shared" si="266"/>
        <v>7133</v>
      </c>
      <c r="JR413" s="279">
        <f t="shared" si="267"/>
        <v>3.6718452399336979E-2</v>
      </c>
      <c r="JS413" s="17">
        <f t="shared" si="268"/>
        <v>0</v>
      </c>
      <c r="JT413" s="18">
        <f t="shared" si="269"/>
        <v>0</v>
      </c>
      <c r="JU413" s="280">
        <f t="shared" si="270"/>
        <v>0</v>
      </c>
      <c r="JV413" s="280">
        <f t="shared" si="271"/>
        <v>0</v>
      </c>
      <c r="JW413" s="319">
        <f t="shared" si="272"/>
        <v>1</v>
      </c>
      <c r="JX413" s="15">
        <f t="shared" si="273"/>
        <v>194262</v>
      </c>
      <c r="JY413" s="15">
        <f t="shared" si="274"/>
        <v>7133</v>
      </c>
      <c r="JZ413" s="19">
        <f t="shared" si="275"/>
        <v>3.6718452399336979E-2</v>
      </c>
      <c r="KA413" s="52">
        <f t="shared" si="276"/>
        <v>1</v>
      </c>
      <c r="KB413" s="15">
        <f t="shared" si="277"/>
        <v>194212</v>
      </c>
      <c r="KC413" s="15">
        <f t="shared" si="278"/>
        <v>7113</v>
      </c>
      <c r="KD413" s="20">
        <f t="shared" si="279"/>
        <v>3.6624925339319915E-2</v>
      </c>
      <c r="KE413" s="52" t="str">
        <f t="shared" si="280"/>
        <v/>
      </c>
      <c r="KF413" s="15">
        <f t="shared" si="281"/>
        <v>0</v>
      </c>
      <c r="KG413" s="15">
        <f t="shared" si="282"/>
        <v>0</v>
      </c>
      <c r="KH413" s="21" t="str">
        <f t="shared" si="283"/>
        <v/>
      </c>
      <c r="KI413" s="52" t="str">
        <f t="shared" si="284"/>
        <v/>
      </c>
      <c r="KJ413" s="15">
        <f t="shared" si="285"/>
        <v>0</v>
      </c>
      <c r="KK413" s="15">
        <f t="shared" si="286"/>
        <v>0</v>
      </c>
      <c r="KL413" s="19" t="str">
        <f t="shared" si="287"/>
        <v/>
      </c>
      <c r="KM413" s="52" t="str">
        <f t="shared" si="288"/>
        <v/>
      </c>
      <c r="KN413" s="22">
        <f t="shared" si="289"/>
        <v>0</v>
      </c>
      <c r="KO413" s="22">
        <f t="shared" si="290"/>
        <v>0</v>
      </c>
      <c r="KP413" s="19" t="str">
        <f t="shared" si="291"/>
        <v/>
      </c>
      <c r="KQ413" s="11" t="str">
        <f t="shared" si="292"/>
        <v>0. Harmful</v>
      </c>
      <c r="KR413" s="11" t="str">
        <f t="shared" si="293"/>
        <v>2. Accommodating</v>
      </c>
      <c r="KS413" s="11" t="str">
        <f t="shared" si="294"/>
        <v>1. Neutral</v>
      </c>
      <c r="KT413" s="11" t="str">
        <f t="shared" si="295"/>
        <v>It did not develop any specific innovation</v>
      </c>
      <c r="KU413" s="11" t="str">
        <f t="shared" si="296"/>
        <v>Little or no advocacy</v>
      </c>
      <c r="KV413" s="11" t="str">
        <f t="shared" si="297"/>
        <v>It did not take tested solutions to scale</v>
      </c>
      <c r="KW413" s="11" t="str">
        <f t="shared" si="298"/>
        <v>Lebanon - Enhancing safe water supply and waste management for the vulnerable population affected by the Syria crisis in South Lebanon</v>
      </c>
      <c r="KX413" s="11" t="str">
        <f t="shared" si="299"/>
        <v>Enhancing safe water supply and waste management for the vulnerable population affected by the Syria crisis in South Lebanon</v>
      </c>
      <c r="KY413" s="11" t="str">
        <f t="shared" si="300"/>
        <v>Lebanon</v>
      </c>
      <c r="KZ413" s="12">
        <v>413</v>
      </c>
    </row>
    <row r="414" spans="1:312" x14ac:dyDescent="0.3">
      <c r="A414" s="12" t="s">
        <v>7083</v>
      </c>
      <c r="B414" s="12" t="s">
        <v>602</v>
      </c>
      <c r="C414" s="12"/>
      <c r="D414" s="12" t="s">
        <v>7108</v>
      </c>
      <c r="E414" s="277" t="str">
        <f t="shared" si="258"/>
        <v>Lebanon</v>
      </c>
      <c r="F414" s="12" t="s">
        <v>7109</v>
      </c>
      <c r="G414" s="12" t="s">
        <v>379</v>
      </c>
      <c r="H414" s="12" t="s">
        <v>310</v>
      </c>
      <c r="I414" s="12" t="s">
        <v>655</v>
      </c>
      <c r="J414" s="281" t="s">
        <v>14602</v>
      </c>
      <c r="K414" s="12"/>
      <c r="L414" s="12"/>
      <c r="M414" s="12"/>
      <c r="N414" s="12"/>
      <c r="O414" s="12"/>
      <c r="P414" s="12"/>
      <c r="Q414" s="12"/>
      <c r="R414" s="12"/>
      <c r="S414" s="12"/>
      <c r="T414" s="12"/>
      <c r="U414" s="12"/>
      <c r="V414" s="12"/>
      <c r="W414" s="12"/>
      <c r="X414" s="12"/>
      <c r="Y414" s="12"/>
      <c r="Z414" s="12"/>
      <c r="AA414" s="12"/>
      <c r="AB414" s="12"/>
      <c r="AC414" s="12"/>
      <c r="AD414" s="12"/>
      <c r="BD414" s="13">
        <v>42614</v>
      </c>
      <c r="BE414" s="13">
        <v>42978</v>
      </c>
      <c r="BF414" s="12"/>
      <c r="BG414" s="12" t="s">
        <v>407</v>
      </c>
      <c r="BH414" s="14">
        <v>2399116</v>
      </c>
      <c r="BI414" s="12" t="s">
        <v>7089</v>
      </c>
      <c r="BJ414" s="12" t="s">
        <v>7090</v>
      </c>
      <c r="BK414" s="12" t="s">
        <v>7091</v>
      </c>
      <c r="BL414" s="12" t="s">
        <v>7110</v>
      </c>
      <c r="BM414" s="12" t="s">
        <v>354</v>
      </c>
      <c r="BN414" s="12" t="s">
        <v>7111</v>
      </c>
      <c r="BO414" s="12" t="s">
        <v>320</v>
      </c>
      <c r="BP414" s="12" t="s">
        <v>319</v>
      </c>
      <c r="BQ414" s="12" t="s">
        <v>319</v>
      </c>
      <c r="BR414" s="12" t="s">
        <v>7112</v>
      </c>
      <c r="BS414" s="12" t="s">
        <v>357</v>
      </c>
      <c r="BT414" s="12" t="s">
        <v>7113</v>
      </c>
      <c r="BU414" s="12" t="s">
        <v>7114</v>
      </c>
      <c r="BV414" s="14"/>
      <c r="BW414" s="14"/>
      <c r="BX414" s="14">
        <v>7707</v>
      </c>
      <c r="BY414" s="14"/>
      <c r="BZ414" s="14"/>
      <c r="CA414" s="14">
        <v>53415</v>
      </c>
      <c r="CB414" s="12" t="s">
        <v>7115</v>
      </c>
      <c r="CD414" s="14"/>
      <c r="CE414" s="14"/>
      <c r="CF414" s="14">
        <v>4140</v>
      </c>
      <c r="CG414" s="14"/>
      <c r="CH414" s="14"/>
      <c r="CI414" s="14">
        <v>53415</v>
      </c>
      <c r="CJ414" s="12" t="s">
        <v>319</v>
      </c>
      <c r="CK414" s="14"/>
      <c r="CL414" s="16"/>
      <c r="CM414" s="14"/>
      <c r="CN414" s="12" t="s">
        <v>319</v>
      </c>
      <c r="CO414" s="14"/>
      <c r="CP414" s="16"/>
      <c r="CQ414" s="14"/>
      <c r="CR414" s="12" t="s">
        <v>319</v>
      </c>
      <c r="CS414" s="14"/>
      <c r="CT414" s="16"/>
      <c r="CU414" s="14"/>
      <c r="CV414" s="12" t="s">
        <v>319</v>
      </c>
      <c r="CW414" s="14"/>
      <c r="CX414" s="16"/>
      <c r="CY414" s="14"/>
      <c r="CZ414" s="12" t="s">
        <v>319</v>
      </c>
      <c r="DA414" s="14"/>
      <c r="DB414" s="16"/>
      <c r="DC414" s="14"/>
      <c r="DD414" s="12" t="s">
        <v>319</v>
      </c>
      <c r="DE414" s="14"/>
      <c r="DF414" s="16"/>
      <c r="DG414" s="14"/>
      <c r="DH414" s="12" t="s">
        <v>319</v>
      </c>
      <c r="DI414" s="14"/>
      <c r="DJ414" s="16"/>
      <c r="DK414" s="14"/>
      <c r="DL414" s="12" t="s">
        <v>319</v>
      </c>
      <c r="DM414" s="14"/>
      <c r="DN414" s="16"/>
      <c r="DO414" s="14"/>
      <c r="DP414" s="12" t="s">
        <v>320</v>
      </c>
      <c r="DQ414" s="14">
        <v>2567</v>
      </c>
      <c r="DR414" s="16">
        <v>0.67469999999999997</v>
      </c>
      <c r="DS414" s="14"/>
      <c r="DT414" s="12" t="s">
        <v>319</v>
      </c>
      <c r="DU414" s="14"/>
      <c r="DV414" s="16"/>
      <c r="DW414" s="14"/>
      <c r="DX414" s="12" t="s">
        <v>320</v>
      </c>
      <c r="DY414" s="14">
        <v>388</v>
      </c>
      <c r="DZ414" s="16"/>
      <c r="EA414" s="14">
        <v>1940</v>
      </c>
      <c r="EB414" s="12" t="s">
        <v>320</v>
      </c>
      <c r="EC414" s="14"/>
      <c r="ED414" s="16"/>
      <c r="EE414" s="14"/>
      <c r="EF414" s="12"/>
      <c r="EG414" s="12" t="s">
        <v>319</v>
      </c>
      <c r="EH414" s="14"/>
      <c r="EI414" s="16"/>
      <c r="EJ414" s="14"/>
      <c r="EK414" s="14"/>
      <c r="EL414" s="14"/>
      <c r="EM414" s="14"/>
      <c r="EN414" s="14"/>
      <c r="EO414" s="14"/>
      <c r="EP414" s="14"/>
      <c r="EQ414" s="12"/>
      <c r="ER414" s="14"/>
      <c r="ES414" s="16"/>
      <c r="ET414" s="14"/>
      <c r="EU414" s="12"/>
      <c r="EV414" s="14"/>
      <c r="EW414" s="16"/>
      <c r="EX414" s="14"/>
      <c r="EY414" s="12"/>
      <c r="EZ414" s="14"/>
      <c r="FA414" s="16"/>
      <c r="FB414" s="14"/>
      <c r="FC414" s="12"/>
      <c r="FD414" s="14"/>
      <c r="FE414" s="16"/>
      <c r="FF414" s="14"/>
      <c r="FG414" s="12"/>
      <c r="FH414" s="14"/>
      <c r="FI414" s="16"/>
      <c r="FJ414" s="14"/>
      <c r="FK414" s="12"/>
      <c r="FL414" s="14"/>
      <c r="FM414" s="16"/>
      <c r="FN414" s="14"/>
      <c r="FO414" s="12"/>
      <c r="FP414" s="14"/>
      <c r="FQ414" s="16"/>
      <c r="FR414" s="14"/>
      <c r="FS414" s="12"/>
      <c r="FT414" s="14"/>
      <c r="FU414" s="16"/>
      <c r="FV414" s="14"/>
      <c r="FW414" s="12"/>
      <c r="FX414" s="14"/>
      <c r="FY414" s="16"/>
      <c r="FZ414" s="14"/>
      <c r="GA414" s="12"/>
      <c r="GB414" s="14"/>
      <c r="GC414" s="16"/>
      <c r="GD414" s="14"/>
      <c r="GE414" s="12"/>
      <c r="GF414" s="14"/>
      <c r="GG414" s="16"/>
      <c r="GH414" s="14"/>
      <c r="GI414" s="12"/>
      <c r="GJ414" s="14"/>
      <c r="GK414" s="16"/>
      <c r="GL414" s="14"/>
      <c r="GM414" s="12"/>
      <c r="GN414" s="14"/>
      <c r="GO414" s="16"/>
      <c r="GP414" s="14"/>
      <c r="GQ414" s="12"/>
      <c r="GR414" s="14"/>
      <c r="GS414" s="16"/>
      <c r="GT414" s="14"/>
      <c r="GU414" s="12"/>
      <c r="GV414" s="14"/>
      <c r="GW414" s="16"/>
      <c r="GX414" s="14"/>
      <c r="GY414" s="12"/>
      <c r="GZ414" s="14"/>
      <c r="HA414" s="16"/>
      <c r="HB414" s="14"/>
      <c r="HC414" s="12"/>
      <c r="HD414" s="12"/>
      <c r="HE414" s="14"/>
      <c r="HF414" s="16"/>
      <c r="HG414" s="14"/>
      <c r="HH414" s="12" t="s">
        <v>320</v>
      </c>
      <c r="HI414" s="12" t="s">
        <v>361</v>
      </c>
      <c r="HJ414" s="12">
        <v>2016</v>
      </c>
      <c r="HK414" s="12" t="s">
        <v>320</v>
      </c>
      <c r="HL414" s="12" t="s">
        <v>320</v>
      </c>
      <c r="HM414" s="12" t="s">
        <v>327</v>
      </c>
      <c r="HN414" s="12">
        <v>2017</v>
      </c>
      <c r="HO414" s="12" t="s">
        <v>7116</v>
      </c>
      <c r="HP414" s="12" t="s">
        <v>418</v>
      </c>
      <c r="HQ414" s="12" t="s">
        <v>319</v>
      </c>
      <c r="HR414" s="12" t="s">
        <v>319</v>
      </c>
      <c r="HS414" s="12" t="s">
        <v>320</v>
      </c>
      <c r="HT414" s="12" t="s">
        <v>319</v>
      </c>
      <c r="HU414" s="12" t="s">
        <v>319</v>
      </c>
      <c r="HV414" s="12" t="s">
        <v>319</v>
      </c>
      <c r="HW414" s="12" t="s">
        <v>319</v>
      </c>
      <c r="HX414" s="12" t="s">
        <v>319</v>
      </c>
      <c r="HY414" s="12"/>
      <c r="HZ414" s="12" t="s">
        <v>394</v>
      </c>
      <c r="IA414" s="12" t="s">
        <v>7117</v>
      </c>
      <c r="IB414" s="12" t="s">
        <v>396</v>
      </c>
      <c r="IC414" s="12" t="s">
        <v>7118</v>
      </c>
      <c r="ID414" s="12" t="s">
        <v>334</v>
      </c>
      <c r="IE414" s="12" t="s">
        <v>335</v>
      </c>
      <c r="IF414" s="12" t="s">
        <v>320</v>
      </c>
      <c r="IG414" s="12" t="s">
        <v>320</v>
      </c>
      <c r="IH414" s="12" t="s">
        <v>320</v>
      </c>
      <c r="II414" s="12" t="s">
        <v>320</v>
      </c>
      <c r="IJ414" s="12" t="str">
        <f t="shared" si="259"/>
        <v>2. Sensitive</v>
      </c>
      <c r="IK414" s="12">
        <f t="shared" si="260"/>
        <v>4</v>
      </c>
      <c r="IL414" s="12" t="s">
        <v>336</v>
      </c>
      <c r="IM414" s="12" t="s">
        <v>320</v>
      </c>
      <c r="IN414" s="12" t="s">
        <v>320</v>
      </c>
      <c r="IO414" s="12" t="s">
        <v>319</v>
      </c>
      <c r="IP414" s="12" t="s">
        <v>320</v>
      </c>
      <c r="IQ414" s="12" t="str">
        <f t="shared" si="261"/>
        <v>2. Accommodating</v>
      </c>
      <c r="IR414" s="12">
        <f t="shared" si="262"/>
        <v>3</v>
      </c>
      <c r="IS414" s="12" t="s">
        <v>622</v>
      </c>
      <c r="IT414" s="12" t="s">
        <v>320</v>
      </c>
      <c r="IU414" s="12" t="s">
        <v>320</v>
      </c>
      <c r="IV414" s="12" t="s">
        <v>320</v>
      </c>
      <c r="IW414" s="11" t="str">
        <f t="shared" si="263"/>
        <v>4. Transformative</v>
      </c>
      <c r="IX414" s="12">
        <f t="shared" si="264"/>
        <v>3</v>
      </c>
      <c r="IY414" s="12" t="s">
        <v>338</v>
      </c>
      <c r="IZ414" s="12" t="s">
        <v>457</v>
      </c>
      <c r="JA414" s="12">
        <v>1</v>
      </c>
      <c r="JB414" s="12" t="s">
        <v>433</v>
      </c>
      <c r="JC414" s="12" t="s">
        <v>624</v>
      </c>
      <c r="JD414" s="12"/>
      <c r="JE414" s="12" t="s">
        <v>420</v>
      </c>
      <c r="JF414" s="12"/>
      <c r="JG414" s="12"/>
      <c r="JH414" s="12" t="s">
        <v>7119</v>
      </c>
      <c r="JI414" s="12" t="s">
        <v>7120</v>
      </c>
      <c r="JJ414" s="12" t="s">
        <v>7121</v>
      </c>
      <c r="JK414" s="12" t="s">
        <v>7122</v>
      </c>
      <c r="JL414" s="12" t="s">
        <v>7123</v>
      </c>
      <c r="JM414" s="12" t="s">
        <v>7124</v>
      </c>
      <c r="JN414" s="12" t="s">
        <v>7125</v>
      </c>
      <c r="JO414" s="12" t="s">
        <v>7126</v>
      </c>
      <c r="JP414" s="15">
        <f t="shared" si="265"/>
        <v>4140</v>
      </c>
      <c r="JQ414" s="15">
        <f t="shared" si="266"/>
        <v>53415</v>
      </c>
      <c r="JR414" s="279">
        <f t="shared" si="267"/>
        <v>12.902173913043478</v>
      </c>
      <c r="JS414" s="17">
        <f t="shared" si="268"/>
        <v>0</v>
      </c>
      <c r="JT414" s="18">
        <f t="shared" si="269"/>
        <v>0</v>
      </c>
      <c r="JU414" s="280">
        <f t="shared" si="270"/>
        <v>0</v>
      </c>
      <c r="JV414" s="280">
        <f t="shared" si="271"/>
        <v>0</v>
      </c>
      <c r="JW414" s="319">
        <f t="shared" si="272"/>
        <v>1</v>
      </c>
      <c r="JX414" s="15">
        <f t="shared" si="273"/>
        <v>4140</v>
      </c>
      <c r="JY414" s="15">
        <f t="shared" si="274"/>
        <v>53415</v>
      </c>
      <c r="JZ414" s="19">
        <f t="shared" si="275"/>
        <v>12.902173913043478</v>
      </c>
      <c r="KA414" s="52" t="str">
        <f t="shared" si="276"/>
        <v/>
      </c>
      <c r="KB414" s="15">
        <f t="shared" si="277"/>
        <v>0</v>
      </c>
      <c r="KC414" s="15">
        <f t="shared" si="278"/>
        <v>0</v>
      </c>
      <c r="KD414" s="20" t="str">
        <f t="shared" si="279"/>
        <v/>
      </c>
      <c r="KE414" s="52" t="str">
        <f t="shared" si="280"/>
        <v/>
      </c>
      <c r="KF414" s="15">
        <f t="shared" si="281"/>
        <v>0</v>
      </c>
      <c r="KG414" s="15">
        <f t="shared" si="282"/>
        <v>0</v>
      </c>
      <c r="KH414" s="21" t="str">
        <f t="shared" si="283"/>
        <v/>
      </c>
      <c r="KI414" s="52" t="str">
        <f t="shared" si="284"/>
        <v/>
      </c>
      <c r="KJ414" s="15">
        <f t="shared" si="285"/>
        <v>0</v>
      </c>
      <c r="KK414" s="15">
        <f t="shared" si="286"/>
        <v>0</v>
      </c>
      <c r="KL414" s="19" t="str">
        <f t="shared" si="287"/>
        <v/>
      </c>
      <c r="KM414" s="52" t="str">
        <f t="shared" si="288"/>
        <v/>
      </c>
      <c r="KN414" s="22">
        <f t="shared" si="289"/>
        <v>0</v>
      </c>
      <c r="KO414" s="22">
        <f t="shared" si="290"/>
        <v>0</v>
      </c>
      <c r="KP414" s="19" t="str">
        <f t="shared" si="291"/>
        <v/>
      </c>
      <c r="KQ414" s="11" t="str">
        <f t="shared" si="292"/>
        <v>2. Sensitive</v>
      </c>
      <c r="KR414" s="11" t="str">
        <f t="shared" si="293"/>
        <v>2. Accommodating</v>
      </c>
      <c r="KS414" s="11" t="str">
        <f t="shared" si="294"/>
        <v>4. Transformative</v>
      </c>
      <c r="KT414" s="11" t="str">
        <f t="shared" si="295"/>
        <v>It tested new ways for fighting poverty, but did not measure results of innovation</v>
      </c>
      <c r="KU414" s="11" t="str">
        <f t="shared" si="296"/>
        <v>Little or no advocacy</v>
      </c>
      <c r="KV414" s="11" t="str">
        <f t="shared" si="297"/>
        <v>It linked and worked with strategic alliances and partners to take tested and effective solutions to scale</v>
      </c>
      <c r="KW414" s="11" t="str">
        <f t="shared" si="298"/>
        <v>Lebanon - Integrated Shelter Improvements for Syrian Refugees and Host Communities in Tripoli, Lebanon: Phase II</v>
      </c>
      <c r="KX414" s="11" t="str">
        <f t="shared" si="299"/>
        <v>Integrated Shelter Improvements for Syrian Refugees and Host Communities in Tripoli, Lebanon: Phase II</v>
      </c>
      <c r="KY414" s="11" t="str">
        <f t="shared" si="300"/>
        <v>Lebanon</v>
      </c>
      <c r="KZ414" s="12">
        <v>414</v>
      </c>
    </row>
    <row r="415" spans="1:312" x14ac:dyDescent="0.3">
      <c r="A415" s="12" t="s">
        <v>7083</v>
      </c>
      <c r="B415" s="12" t="s">
        <v>602</v>
      </c>
      <c r="C415" s="12"/>
      <c r="D415" s="12" t="s">
        <v>7127</v>
      </c>
      <c r="E415" s="277" t="str">
        <f t="shared" si="258"/>
        <v>Lebanon</v>
      </c>
      <c r="F415" s="12" t="s">
        <v>7128</v>
      </c>
      <c r="G415" s="12" t="s">
        <v>714</v>
      </c>
      <c r="H415" s="12" t="s">
        <v>380</v>
      </c>
      <c r="I415" s="12" t="s">
        <v>517</v>
      </c>
      <c r="J415" s="281" t="s">
        <v>14578</v>
      </c>
      <c r="K415" s="12"/>
      <c r="L415" s="12"/>
      <c r="M415" s="12"/>
      <c r="N415" s="12"/>
      <c r="O415" s="12"/>
      <c r="P415" s="12"/>
      <c r="Q415" s="12"/>
      <c r="R415" s="12"/>
      <c r="S415" s="12"/>
      <c r="T415" s="12"/>
      <c r="U415" s="12"/>
      <c r="V415" s="12"/>
      <c r="W415" s="12"/>
      <c r="X415" s="12"/>
      <c r="Y415" s="12"/>
      <c r="Z415" s="12"/>
      <c r="AA415" s="12"/>
      <c r="AB415" s="12"/>
      <c r="AC415" s="12"/>
      <c r="AD415" s="12"/>
      <c r="BD415" s="13">
        <v>42461</v>
      </c>
      <c r="BE415" s="13">
        <v>43039</v>
      </c>
      <c r="BF415" s="12"/>
      <c r="BG415" s="12" t="s">
        <v>407</v>
      </c>
      <c r="BH415" s="14">
        <v>906358.75</v>
      </c>
      <c r="BI415" s="12" t="s">
        <v>7129</v>
      </c>
      <c r="BJ415" s="12" t="s">
        <v>7130</v>
      </c>
      <c r="BK415" s="12" t="s">
        <v>7131</v>
      </c>
      <c r="BL415" s="12" t="s">
        <v>7132</v>
      </c>
      <c r="BM415" s="12" t="s">
        <v>354</v>
      </c>
      <c r="BN415" s="12" t="s">
        <v>7133</v>
      </c>
      <c r="BO415" s="12" t="s">
        <v>320</v>
      </c>
      <c r="BP415" s="12" t="s">
        <v>319</v>
      </c>
      <c r="BQ415" s="12" t="s">
        <v>319</v>
      </c>
      <c r="BR415" s="12" t="s">
        <v>7134</v>
      </c>
      <c r="BS415" s="12" t="s">
        <v>357</v>
      </c>
      <c r="BT415" s="12" t="s">
        <v>7135</v>
      </c>
      <c r="BU415" s="12" t="s">
        <v>7136</v>
      </c>
      <c r="BV415" s="14"/>
      <c r="BW415" s="14"/>
      <c r="BX415" s="14">
        <v>447</v>
      </c>
      <c r="BY415" s="14"/>
      <c r="BZ415" s="14"/>
      <c r="CA415" s="14"/>
      <c r="CB415" s="12"/>
      <c r="CD415" s="14"/>
      <c r="CE415" s="14"/>
      <c r="CF415" s="14">
        <v>447</v>
      </c>
      <c r="CG415" s="14"/>
      <c r="CH415" s="14"/>
      <c r="CI415" s="14"/>
      <c r="CJ415" s="12" t="s">
        <v>319</v>
      </c>
      <c r="CK415" s="14"/>
      <c r="CL415" s="16"/>
      <c r="CM415" s="14"/>
      <c r="CN415" s="12" t="s">
        <v>319</v>
      </c>
      <c r="CO415" s="14"/>
      <c r="CP415" s="16"/>
      <c r="CQ415" s="14"/>
      <c r="CR415" s="12" t="s">
        <v>319</v>
      </c>
      <c r="CS415" s="14"/>
      <c r="CT415" s="16"/>
      <c r="CU415" s="14"/>
      <c r="CV415" s="12" t="s">
        <v>319</v>
      </c>
      <c r="CW415" s="14"/>
      <c r="CX415" s="16"/>
      <c r="CY415" s="14"/>
      <c r="CZ415" s="12" t="s">
        <v>319</v>
      </c>
      <c r="DA415" s="14"/>
      <c r="DB415" s="16"/>
      <c r="DC415" s="14"/>
      <c r="DD415" s="12" t="s">
        <v>319</v>
      </c>
      <c r="DE415" s="14"/>
      <c r="DF415" s="16"/>
      <c r="DG415" s="14"/>
      <c r="DH415" s="12" t="s">
        <v>319</v>
      </c>
      <c r="DI415" s="14"/>
      <c r="DJ415" s="16"/>
      <c r="DK415" s="14"/>
      <c r="DL415" s="12" t="s">
        <v>320</v>
      </c>
      <c r="DM415" s="14"/>
      <c r="DN415" s="16"/>
      <c r="DO415" s="14"/>
      <c r="DP415" s="12" t="s">
        <v>319</v>
      </c>
      <c r="DQ415" s="14"/>
      <c r="DR415" s="16"/>
      <c r="DS415" s="14"/>
      <c r="DT415" s="12" t="s">
        <v>319</v>
      </c>
      <c r="DU415" s="14"/>
      <c r="DV415" s="16"/>
      <c r="DW415" s="14"/>
      <c r="DX415" s="12" t="s">
        <v>319</v>
      </c>
      <c r="DY415" s="14"/>
      <c r="DZ415" s="16"/>
      <c r="EA415" s="14"/>
      <c r="EB415" s="12" t="s">
        <v>319</v>
      </c>
      <c r="EC415" s="14"/>
      <c r="ED415" s="16"/>
      <c r="EE415" s="14"/>
      <c r="EF415" s="12"/>
      <c r="EG415" s="12" t="s">
        <v>319</v>
      </c>
      <c r="EH415" s="14"/>
      <c r="EI415" s="16"/>
      <c r="EJ415" s="14"/>
      <c r="EK415" s="14"/>
      <c r="EL415" s="14"/>
      <c r="EM415" s="14"/>
      <c r="EN415" s="14"/>
      <c r="EO415" s="14"/>
      <c r="EP415" s="14"/>
      <c r="EQ415" s="12"/>
      <c r="ER415" s="14"/>
      <c r="ES415" s="16"/>
      <c r="ET415" s="14"/>
      <c r="EU415" s="12"/>
      <c r="EV415" s="14"/>
      <c r="EW415" s="16"/>
      <c r="EX415" s="14"/>
      <c r="EY415" s="12"/>
      <c r="EZ415" s="14"/>
      <c r="FA415" s="16"/>
      <c r="FB415" s="14"/>
      <c r="FC415" s="12"/>
      <c r="FD415" s="14"/>
      <c r="FE415" s="16"/>
      <c r="FF415" s="14"/>
      <c r="FG415" s="12"/>
      <c r="FH415" s="14"/>
      <c r="FI415" s="16"/>
      <c r="FJ415" s="14"/>
      <c r="FK415" s="12"/>
      <c r="FL415" s="14"/>
      <c r="FM415" s="16"/>
      <c r="FN415" s="14"/>
      <c r="FO415" s="12"/>
      <c r="FP415" s="14"/>
      <c r="FQ415" s="16"/>
      <c r="FR415" s="14"/>
      <c r="FS415" s="12"/>
      <c r="FT415" s="14"/>
      <c r="FU415" s="16"/>
      <c r="FV415" s="14"/>
      <c r="FW415" s="12"/>
      <c r="FX415" s="14"/>
      <c r="FY415" s="16"/>
      <c r="FZ415" s="14"/>
      <c r="GA415" s="12"/>
      <c r="GB415" s="14"/>
      <c r="GC415" s="16"/>
      <c r="GD415" s="14"/>
      <c r="GE415" s="12"/>
      <c r="GF415" s="14"/>
      <c r="GG415" s="16"/>
      <c r="GH415" s="14"/>
      <c r="GI415" s="12"/>
      <c r="GJ415" s="14"/>
      <c r="GK415" s="16"/>
      <c r="GL415" s="14"/>
      <c r="GM415" s="12"/>
      <c r="GN415" s="14"/>
      <c r="GO415" s="16"/>
      <c r="GP415" s="14"/>
      <c r="GQ415" s="12"/>
      <c r="GR415" s="14"/>
      <c r="GS415" s="16"/>
      <c r="GT415" s="14"/>
      <c r="GU415" s="12"/>
      <c r="GV415" s="14"/>
      <c r="GW415" s="16"/>
      <c r="GX415" s="14"/>
      <c r="GY415" s="12"/>
      <c r="GZ415" s="14"/>
      <c r="HA415" s="16"/>
      <c r="HB415" s="14"/>
      <c r="HC415" s="12"/>
      <c r="HD415" s="12"/>
      <c r="HE415" s="14"/>
      <c r="HF415" s="16"/>
      <c r="HG415" s="14"/>
      <c r="HH415" s="12" t="s">
        <v>320</v>
      </c>
      <c r="HI415" s="12" t="s">
        <v>560</v>
      </c>
      <c r="HJ415" s="12">
        <v>2017</v>
      </c>
      <c r="HK415" s="12" t="s">
        <v>319</v>
      </c>
      <c r="HL415" s="12" t="s">
        <v>320</v>
      </c>
      <c r="HM415" s="12" t="s">
        <v>328</v>
      </c>
      <c r="HN415" s="12">
        <v>2017</v>
      </c>
      <c r="HO415" s="12" t="s">
        <v>7137</v>
      </c>
      <c r="HP415" s="12" t="s">
        <v>330</v>
      </c>
      <c r="HQ415" s="12" t="s">
        <v>319</v>
      </c>
      <c r="HR415" s="12" t="s">
        <v>319</v>
      </c>
      <c r="HS415" s="12" t="s">
        <v>319</v>
      </c>
      <c r="HT415" s="12" t="s">
        <v>319</v>
      </c>
      <c r="HU415" s="12" t="s">
        <v>320</v>
      </c>
      <c r="HV415" s="12" t="s">
        <v>320</v>
      </c>
      <c r="HW415" s="12" t="s">
        <v>319</v>
      </c>
      <c r="HX415" s="12" t="s">
        <v>319</v>
      </c>
      <c r="HY415" s="12"/>
      <c r="HZ415" s="12" t="s">
        <v>363</v>
      </c>
      <c r="IA415" s="12"/>
      <c r="IB415" s="12" t="s">
        <v>396</v>
      </c>
      <c r="IC415" s="12"/>
      <c r="ID415" s="12" t="s">
        <v>364</v>
      </c>
      <c r="IE415" s="12" t="s">
        <v>1909</v>
      </c>
      <c r="IF415" s="12" t="s">
        <v>320</v>
      </c>
      <c r="IG415" s="12" t="s">
        <v>320</v>
      </c>
      <c r="IH415" s="12" t="s">
        <v>320</v>
      </c>
      <c r="II415" s="12" t="s">
        <v>320</v>
      </c>
      <c r="IJ415" s="12" t="str">
        <f t="shared" si="259"/>
        <v>0. Harmful</v>
      </c>
      <c r="IK415" s="12">
        <f t="shared" si="260"/>
        <v>4</v>
      </c>
      <c r="IL415" s="12" t="s">
        <v>336</v>
      </c>
      <c r="IM415" s="12" t="s">
        <v>320</v>
      </c>
      <c r="IN415" s="12" t="s">
        <v>319</v>
      </c>
      <c r="IO415" s="12" t="s">
        <v>320</v>
      </c>
      <c r="IP415" s="12" t="s">
        <v>320</v>
      </c>
      <c r="IQ415" s="12" t="str">
        <f t="shared" si="261"/>
        <v>2. Accommodating</v>
      </c>
      <c r="IR415" s="12">
        <f t="shared" si="262"/>
        <v>3</v>
      </c>
      <c r="IS415" s="12" t="s">
        <v>622</v>
      </c>
      <c r="IT415" s="12" t="s">
        <v>319</v>
      </c>
      <c r="IU415" s="12" t="s">
        <v>320</v>
      </c>
      <c r="IV415" s="12" t="s">
        <v>320</v>
      </c>
      <c r="IW415" s="11" t="str">
        <f t="shared" si="263"/>
        <v>3. Responsive</v>
      </c>
      <c r="IX415" s="12">
        <f t="shared" si="264"/>
        <v>2</v>
      </c>
      <c r="IY415" s="12" t="s">
        <v>338</v>
      </c>
      <c r="IZ415" s="12" t="s">
        <v>432</v>
      </c>
      <c r="JA415" s="12">
        <v>5</v>
      </c>
      <c r="JB415" s="12" t="s">
        <v>831</v>
      </c>
      <c r="JC415" s="12" t="s">
        <v>433</v>
      </c>
      <c r="JD415" s="12"/>
      <c r="JE415" s="12" t="s">
        <v>420</v>
      </c>
      <c r="JF415" s="12"/>
      <c r="JG415" s="12"/>
      <c r="JH415" s="12" t="s">
        <v>7138</v>
      </c>
      <c r="JI415" s="12" t="s">
        <v>7139</v>
      </c>
      <c r="JJ415" s="12" t="s">
        <v>7140</v>
      </c>
      <c r="JK415" s="12"/>
      <c r="JL415" s="12"/>
      <c r="JM415" s="12"/>
      <c r="JN415" s="12" t="s">
        <v>7141</v>
      </c>
      <c r="JO415" s="12" t="s">
        <v>7142</v>
      </c>
      <c r="JP415" s="15">
        <f t="shared" si="265"/>
        <v>447</v>
      </c>
      <c r="JQ415" s="15">
        <f t="shared" si="266"/>
        <v>0</v>
      </c>
      <c r="JR415" s="279">
        <f t="shared" si="267"/>
        <v>0</v>
      </c>
      <c r="JS415" s="17">
        <f t="shared" si="268"/>
        <v>0</v>
      </c>
      <c r="JT415" s="18" t="str">
        <f t="shared" si="269"/>
        <v/>
      </c>
      <c r="JU415" s="280">
        <f t="shared" si="270"/>
        <v>0</v>
      </c>
      <c r="JV415" s="280">
        <f t="shared" si="271"/>
        <v>0</v>
      </c>
      <c r="JW415" s="319">
        <f t="shared" si="272"/>
        <v>1</v>
      </c>
      <c r="JX415" s="15">
        <f t="shared" si="273"/>
        <v>447</v>
      </c>
      <c r="JY415" s="15">
        <f t="shared" si="274"/>
        <v>0</v>
      </c>
      <c r="JZ415" s="19">
        <f t="shared" si="275"/>
        <v>0</v>
      </c>
      <c r="KA415" s="52">
        <f t="shared" si="276"/>
        <v>1</v>
      </c>
      <c r="KB415" s="15">
        <f t="shared" si="277"/>
        <v>0</v>
      </c>
      <c r="KC415" s="15">
        <f t="shared" si="278"/>
        <v>0</v>
      </c>
      <c r="KD415" s="20" t="str">
        <f t="shared" si="279"/>
        <v/>
      </c>
      <c r="KE415" s="52" t="str">
        <f t="shared" si="280"/>
        <v/>
      </c>
      <c r="KF415" s="15">
        <f t="shared" si="281"/>
        <v>0</v>
      </c>
      <c r="KG415" s="15">
        <f t="shared" si="282"/>
        <v>0</v>
      </c>
      <c r="KH415" s="21" t="str">
        <f t="shared" si="283"/>
        <v/>
      </c>
      <c r="KI415" s="52" t="str">
        <f t="shared" si="284"/>
        <v/>
      </c>
      <c r="KJ415" s="15">
        <f t="shared" si="285"/>
        <v>0</v>
      </c>
      <c r="KK415" s="15">
        <f t="shared" si="286"/>
        <v>0</v>
      </c>
      <c r="KL415" s="19" t="str">
        <f t="shared" si="287"/>
        <v/>
      </c>
      <c r="KM415" s="52" t="str">
        <f t="shared" si="288"/>
        <v/>
      </c>
      <c r="KN415" s="22">
        <f t="shared" si="289"/>
        <v>0</v>
      </c>
      <c r="KO415" s="22">
        <f t="shared" si="290"/>
        <v>0</v>
      </c>
      <c r="KP415" s="19" t="str">
        <f t="shared" si="291"/>
        <v/>
      </c>
      <c r="KQ415" s="11" t="str">
        <f t="shared" si="292"/>
        <v>0. Harmful</v>
      </c>
      <c r="KR415" s="11" t="str">
        <f t="shared" si="293"/>
        <v>2. Accommodating</v>
      </c>
      <c r="KS415" s="11" t="str">
        <f t="shared" si="294"/>
        <v>3. Responsive</v>
      </c>
      <c r="KT415" s="11" t="str">
        <f t="shared" si="295"/>
        <v>It did not develop any specific innovation</v>
      </c>
      <c r="KU415" s="11" t="str">
        <f t="shared" si="296"/>
        <v>Moderate advocacy</v>
      </c>
      <c r="KV415" s="11" t="str">
        <f t="shared" si="297"/>
        <v>It linked and worked with strategic alliances and partners to take tested and effective solutions to scale</v>
      </c>
      <c r="KW415" s="11" t="str">
        <f t="shared" si="298"/>
        <v>Lebanon - LEADERS Consortium Promoting Inclusive Local Economic Empowerment and Development to Enhance Resilience and Social Stability</v>
      </c>
      <c r="KX415" s="11" t="str">
        <f t="shared" si="299"/>
        <v>LEADERS Consortium Promoting Inclusive Local Economic Empowerment and Development to Enhance Resilience and Social Stability</v>
      </c>
      <c r="KY415" s="11" t="str">
        <f t="shared" si="300"/>
        <v>Lebanon</v>
      </c>
      <c r="KZ415" s="12">
        <v>415</v>
      </c>
    </row>
    <row r="416" spans="1:312" x14ac:dyDescent="0.3">
      <c r="A416" s="12" t="s">
        <v>7083</v>
      </c>
      <c r="B416" s="12" t="s">
        <v>602</v>
      </c>
      <c r="C416" s="12"/>
      <c r="D416" s="12" t="s">
        <v>7154</v>
      </c>
      <c r="E416" s="277" t="str">
        <f t="shared" si="258"/>
        <v>Lebanon</v>
      </c>
      <c r="F416" s="12" t="s">
        <v>7155</v>
      </c>
      <c r="G416" s="12" t="s">
        <v>714</v>
      </c>
      <c r="H416" s="12" t="s">
        <v>380</v>
      </c>
      <c r="I416" s="12" t="s">
        <v>907</v>
      </c>
      <c r="J416" s="281" t="s">
        <v>5183</v>
      </c>
      <c r="K416" s="12"/>
      <c r="L416" s="12"/>
      <c r="M416" s="12"/>
      <c r="N416" s="12"/>
      <c r="O416" s="12"/>
      <c r="P416" s="12"/>
      <c r="Q416" s="12"/>
      <c r="R416" s="12"/>
      <c r="S416" s="12"/>
      <c r="T416" s="12"/>
      <c r="U416" s="12"/>
      <c r="V416" s="12"/>
      <c r="W416" s="12"/>
      <c r="X416" s="12"/>
      <c r="Y416" s="12"/>
      <c r="Z416" s="12"/>
      <c r="AA416" s="12"/>
      <c r="AB416" s="12"/>
      <c r="AC416" s="12"/>
      <c r="AD416" s="12"/>
      <c r="BD416" s="13">
        <v>42339</v>
      </c>
      <c r="BE416" s="13">
        <v>42825</v>
      </c>
      <c r="BF416" s="12"/>
      <c r="BG416" s="12" t="s">
        <v>407</v>
      </c>
      <c r="BH416" s="14">
        <v>3349456.0419999999</v>
      </c>
      <c r="BI416" s="12" t="s">
        <v>7089</v>
      </c>
      <c r="BJ416" s="12" t="s">
        <v>7156</v>
      </c>
      <c r="BK416" s="12" t="s">
        <v>7091</v>
      </c>
      <c r="BL416" s="12"/>
      <c r="BM416" s="12"/>
      <c r="BN416" s="12"/>
      <c r="BO416" s="12" t="s">
        <v>320</v>
      </c>
      <c r="BP416" s="12" t="s">
        <v>319</v>
      </c>
      <c r="BQ416" s="12" t="s">
        <v>319</v>
      </c>
      <c r="BR416" s="12" t="s">
        <v>7157</v>
      </c>
      <c r="BS416" s="12" t="s">
        <v>322</v>
      </c>
      <c r="BT416" s="12" t="s">
        <v>7158</v>
      </c>
      <c r="BU416" s="12" t="s">
        <v>7159</v>
      </c>
      <c r="BV416" s="14">
        <v>6406</v>
      </c>
      <c r="BW416" s="14">
        <v>5914</v>
      </c>
      <c r="BX416" s="14">
        <v>12320</v>
      </c>
      <c r="BY416" s="14"/>
      <c r="BZ416" s="14"/>
      <c r="CA416" s="14">
        <v>61600</v>
      </c>
      <c r="CB416" s="12" t="s">
        <v>7160</v>
      </c>
      <c r="CD416" s="14">
        <v>245</v>
      </c>
      <c r="CE416" s="14">
        <v>726</v>
      </c>
      <c r="CF416" s="14">
        <v>971</v>
      </c>
      <c r="CG416" s="14"/>
      <c r="CH416" s="14"/>
      <c r="CI416" s="14">
        <v>4114</v>
      </c>
      <c r="CJ416" s="12" t="s">
        <v>319</v>
      </c>
      <c r="CK416" s="14"/>
      <c r="CL416" s="16"/>
      <c r="CM416" s="14"/>
      <c r="CN416" s="12" t="s">
        <v>320</v>
      </c>
      <c r="CO416" s="14">
        <v>971</v>
      </c>
      <c r="CP416" s="16">
        <v>0.33700000000000002</v>
      </c>
      <c r="CQ416" s="14">
        <v>4114</v>
      </c>
      <c r="CR416" s="12" t="s">
        <v>319</v>
      </c>
      <c r="CS416" s="14"/>
      <c r="CT416" s="16"/>
      <c r="CU416" s="14"/>
      <c r="CV416" s="12" t="s">
        <v>319</v>
      </c>
      <c r="CW416" s="14"/>
      <c r="CX416" s="16"/>
      <c r="CY416" s="14"/>
      <c r="CZ416" s="12" t="s">
        <v>319</v>
      </c>
      <c r="DA416" s="14"/>
      <c r="DB416" s="16"/>
      <c r="DC416" s="14"/>
      <c r="DD416" s="12" t="s">
        <v>319</v>
      </c>
      <c r="DE416" s="14"/>
      <c r="DF416" s="16"/>
      <c r="DG416" s="14"/>
      <c r="DH416" s="12" t="s">
        <v>319</v>
      </c>
      <c r="DI416" s="14"/>
      <c r="DJ416" s="16"/>
      <c r="DK416" s="14"/>
      <c r="DL416" s="12" t="s">
        <v>319</v>
      </c>
      <c r="DM416" s="14"/>
      <c r="DN416" s="16"/>
      <c r="DO416" s="14"/>
      <c r="DP416" s="12" t="s">
        <v>319</v>
      </c>
      <c r="DQ416" s="14"/>
      <c r="DR416" s="16"/>
      <c r="DS416" s="14"/>
      <c r="DT416" s="12" t="s">
        <v>319</v>
      </c>
      <c r="DU416" s="14"/>
      <c r="DV416" s="16"/>
      <c r="DW416" s="14"/>
      <c r="DX416" s="12" t="s">
        <v>319</v>
      </c>
      <c r="DY416" s="14"/>
      <c r="DZ416" s="16"/>
      <c r="EA416" s="14"/>
      <c r="EB416" s="12"/>
      <c r="EC416" s="14"/>
      <c r="ED416" s="16"/>
      <c r="EE416" s="14"/>
      <c r="EF416" s="12"/>
      <c r="EG416" s="12"/>
      <c r="EH416" s="14"/>
      <c r="EI416" s="16"/>
      <c r="EJ416" s="14"/>
      <c r="EK416" s="14"/>
      <c r="EL416" s="14"/>
      <c r="EM416" s="14"/>
      <c r="EN416" s="14"/>
      <c r="EO416" s="14"/>
      <c r="EP416" s="14"/>
      <c r="EQ416" s="12"/>
      <c r="ER416" s="14"/>
      <c r="ES416" s="16"/>
      <c r="ET416" s="14"/>
      <c r="EU416" s="12"/>
      <c r="EV416" s="14"/>
      <c r="EW416" s="16"/>
      <c r="EX416" s="14"/>
      <c r="EY416" s="12"/>
      <c r="EZ416" s="14"/>
      <c r="FA416" s="16"/>
      <c r="FB416" s="14"/>
      <c r="FC416" s="12"/>
      <c r="FD416" s="14"/>
      <c r="FE416" s="16"/>
      <c r="FF416" s="14"/>
      <c r="FG416" s="12"/>
      <c r="FH416" s="14"/>
      <c r="FI416" s="16"/>
      <c r="FJ416" s="14"/>
      <c r="FK416" s="12"/>
      <c r="FL416" s="14"/>
      <c r="FM416" s="16"/>
      <c r="FN416" s="14"/>
      <c r="FO416" s="12"/>
      <c r="FP416" s="14"/>
      <c r="FQ416" s="16"/>
      <c r="FR416" s="14"/>
      <c r="FS416" s="12"/>
      <c r="FT416" s="14"/>
      <c r="FU416" s="16"/>
      <c r="FV416" s="14"/>
      <c r="FW416" s="12"/>
      <c r="FX416" s="14"/>
      <c r="FY416" s="16"/>
      <c r="FZ416" s="14"/>
      <c r="GA416" s="12"/>
      <c r="GB416" s="14"/>
      <c r="GC416" s="16"/>
      <c r="GD416" s="14"/>
      <c r="GE416" s="12"/>
      <c r="GF416" s="14"/>
      <c r="GG416" s="16"/>
      <c r="GH416" s="14"/>
      <c r="GI416" s="12"/>
      <c r="GJ416" s="14"/>
      <c r="GK416" s="16"/>
      <c r="GL416" s="14"/>
      <c r="GM416" s="12"/>
      <c r="GN416" s="14"/>
      <c r="GO416" s="16"/>
      <c r="GP416" s="14"/>
      <c r="GQ416" s="12"/>
      <c r="GR416" s="14"/>
      <c r="GS416" s="16"/>
      <c r="GT416" s="14"/>
      <c r="GU416" s="12"/>
      <c r="GV416" s="14"/>
      <c r="GW416" s="16"/>
      <c r="GX416" s="14"/>
      <c r="GY416" s="12"/>
      <c r="GZ416" s="14"/>
      <c r="HA416" s="16"/>
      <c r="HB416" s="14"/>
      <c r="HC416" s="12"/>
      <c r="HD416" s="12"/>
      <c r="HE416" s="14"/>
      <c r="HF416" s="16"/>
      <c r="HG416" s="14"/>
      <c r="HH416" s="12" t="s">
        <v>319</v>
      </c>
      <c r="HI416" s="12"/>
      <c r="HJ416" s="12"/>
      <c r="HK416" s="12"/>
      <c r="HL416" s="12" t="s">
        <v>319</v>
      </c>
      <c r="HM416" s="12"/>
      <c r="HN416" s="12"/>
      <c r="HO416" s="12" t="s">
        <v>7161</v>
      </c>
      <c r="HP416" s="12" t="s">
        <v>418</v>
      </c>
      <c r="HQ416" s="12" t="s">
        <v>319</v>
      </c>
      <c r="HR416" s="12" t="s">
        <v>319</v>
      </c>
      <c r="HS416" s="12" t="s">
        <v>319</v>
      </c>
      <c r="HT416" s="12" t="s">
        <v>319</v>
      </c>
      <c r="HU416" s="12" t="s">
        <v>319</v>
      </c>
      <c r="HV416" s="12" t="s">
        <v>319</v>
      </c>
      <c r="HW416" s="12" t="s">
        <v>319</v>
      </c>
      <c r="HX416" s="12" t="s">
        <v>319</v>
      </c>
      <c r="HY416" s="12"/>
      <c r="HZ416" s="12" t="s">
        <v>394</v>
      </c>
      <c r="IA416" s="12" t="s">
        <v>7162</v>
      </c>
      <c r="IB416" s="12" t="s">
        <v>396</v>
      </c>
      <c r="IC416" s="12" t="s">
        <v>7163</v>
      </c>
      <c r="ID416" s="12" t="s">
        <v>334</v>
      </c>
      <c r="IE416" s="12" t="s">
        <v>335</v>
      </c>
      <c r="IF416" s="12" t="s">
        <v>320</v>
      </c>
      <c r="IG416" s="12" t="s">
        <v>320</v>
      </c>
      <c r="IH416" s="12" t="s">
        <v>320</v>
      </c>
      <c r="II416" s="12" t="s">
        <v>320</v>
      </c>
      <c r="IJ416" s="12" t="str">
        <f t="shared" si="259"/>
        <v>2. Sensitive</v>
      </c>
      <c r="IK416" s="12">
        <f t="shared" si="260"/>
        <v>4</v>
      </c>
      <c r="IL416" s="12" t="s">
        <v>336</v>
      </c>
      <c r="IM416" s="12" t="s">
        <v>320</v>
      </c>
      <c r="IN416" s="12" t="s">
        <v>319</v>
      </c>
      <c r="IO416" s="12" t="s">
        <v>320</v>
      </c>
      <c r="IP416" s="12" t="s">
        <v>320</v>
      </c>
      <c r="IQ416" s="12" t="str">
        <f t="shared" si="261"/>
        <v>2. Accommodating</v>
      </c>
      <c r="IR416" s="12">
        <f t="shared" si="262"/>
        <v>3</v>
      </c>
      <c r="IS416" s="12" t="s">
        <v>622</v>
      </c>
      <c r="IT416" s="12" t="s">
        <v>320</v>
      </c>
      <c r="IU416" s="12" t="s">
        <v>320</v>
      </c>
      <c r="IV416" s="12" t="s">
        <v>319</v>
      </c>
      <c r="IW416" s="11" t="str">
        <f t="shared" si="263"/>
        <v>3. Responsive</v>
      </c>
      <c r="IX416" s="12">
        <f t="shared" si="264"/>
        <v>2</v>
      </c>
      <c r="IY416" s="12" t="s">
        <v>338</v>
      </c>
      <c r="IZ416" s="12" t="s">
        <v>339</v>
      </c>
      <c r="JA416" s="12">
        <v>6</v>
      </c>
      <c r="JB416" s="12" t="s">
        <v>831</v>
      </c>
      <c r="JC416" s="12" t="s">
        <v>651</v>
      </c>
      <c r="JD416" s="12" t="s">
        <v>687</v>
      </c>
      <c r="JE416" s="12" t="s">
        <v>420</v>
      </c>
      <c r="JF416" s="12"/>
      <c r="JG416" s="12" t="s">
        <v>7164</v>
      </c>
      <c r="JH416" s="12"/>
      <c r="JI416" s="12"/>
      <c r="JJ416" s="12"/>
      <c r="JK416" s="12" t="s">
        <v>7165</v>
      </c>
      <c r="JL416" s="12" t="s">
        <v>7166</v>
      </c>
      <c r="JM416" s="12" t="s">
        <v>7167</v>
      </c>
      <c r="JN416" s="12" t="s">
        <v>7168</v>
      </c>
      <c r="JO416" s="12" t="s">
        <v>7169</v>
      </c>
      <c r="JP416" s="15">
        <f t="shared" si="265"/>
        <v>971</v>
      </c>
      <c r="JQ416" s="15">
        <f t="shared" si="266"/>
        <v>4114</v>
      </c>
      <c r="JR416" s="279">
        <f t="shared" si="267"/>
        <v>4.2368692070030898</v>
      </c>
      <c r="JS416" s="17">
        <f t="shared" si="268"/>
        <v>0.25231719876416064</v>
      </c>
      <c r="JT416" s="18">
        <f t="shared" si="269"/>
        <v>0</v>
      </c>
      <c r="JU416" s="280">
        <f t="shared" si="270"/>
        <v>245</v>
      </c>
      <c r="JV416" s="280">
        <f t="shared" si="271"/>
        <v>0</v>
      </c>
      <c r="JW416" s="319">
        <f t="shared" si="272"/>
        <v>1</v>
      </c>
      <c r="JX416" s="15">
        <f t="shared" si="273"/>
        <v>971</v>
      </c>
      <c r="JY416" s="15">
        <f t="shared" si="274"/>
        <v>4114</v>
      </c>
      <c r="JZ416" s="19">
        <f t="shared" si="275"/>
        <v>4.2368692070030898</v>
      </c>
      <c r="KA416" s="52" t="str">
        <f t="shared" si="276"/>
        <v/>
      </c>
      <c r="KB416" s="15">
        <f t="shared" si="277"/>
        <v>0</v>
      </c>
      <c r="KC416" s="15">
        <f t="shared" si="278"/>
        <v>0</v>
      </c>
      <c r="KD416" s="20" t="str">
        <f t="shared" si="279"/>
        <v/>
      </c>
      <c r="KE416" s="52" t="str">
        <f t="shared" si="280"/>
        <v/>
      </c>
      <c r="KF416" s="15">
        <f t="shared" si="281"/>
        <v>0</v>
      </c>
      <c r="KG416" s="15">
        <f t="shared" si="282"/>
        <v>0</v>
      </c>
      <c r="KH416" s="21" t="str">
        <f t="shared" si="283"/>
        <v/>
      </c>
      <c r="KI416" s="52" t="str">
        <f t="shared" si="284"/>
        <v/>
      </c>
      <c r="KJ416" s="15">
        <f t="shared" si="285"/>
        <v>0</v>
      </c>
      <c r="KK416" s="15">
        <f t="shared" si="286"/>
        <v>0</v>
      </c>
      <c r="KL416" s="19" t="str">
        <f t="shared" si="287"/>
        <v/>
      </c>
      <c r="KM416" s="52" t="str">
        <f t="shared" si="288"/>
        <v/>
      </c>
      <c r="KN416" s="22">
        <f t="shared" si="289"/>
        <v>0</v>
      </c>
      <c r="KO416" s="22">
        <f t="shared" si="290"/>
        <v>0</v>
      </c>
      <c r="KP416" s="19" t="str">
        <f t="shared" si="291"/>
        <v/>
      </c>
      <c r="KQ416" s="11" t="str">
        <f t="shared" si="292"/>
        <v>2. Sensitive</v>
      </c>
      <c r="KR416" s="11" t="str">
        <f t="shared" si="293"/>
        <v>2. Accommodating</v>
      </c>
      <c r="KS416" s="11" t="str">
        <f t="shared" si="294"/>
        <v>3. Responsive</v>
      </c>
      <c r="KT416" s="11" t="str">
        <f t="shared" si="295"/>
        <v>It tested new ways for fighting poverty, but did not measure results of innovation</v>
      </c>
      <c r="KU416" s="11" t="str">
        <f t="shared" si="296"/>
        <v>Little or no advocacy</v>
      </c>
      <c r="KV416" s="11" t="str">
        <f t="shared" si="297"/>
        <v>It linked and worked with strategic alliances and partners to take tested and effective solutions to scale</v>
      </c>
      <c r="KW416" s="11" t="str">
        <f t="shared" si="298"/>
        <v>Lebanon - Multi-purpose cash assistance to meet the needs of vulnerable Syrian refugees in Lebanon</v>
      </c>
      <c r="KX416" s="11" t="str">
        <f t="shared" si="299"/>
        <v>Multi-purpose cash assistance to meet the needs of vulnerable Syrian refugees in Lebanon</v>
      </c>
      <c r="KY416" s="11" t="str">
        <f t="shared" si="300"/>
        <v>Lebanon</v>
      </c>
      <c r="KZ416" s="12">
        <v>416</v>
      </c>
    </row>
    <row r="417" spans="1:312" x14ac:dyDescent="0.3">
      <c r="A417" s="12" t="s">
        <v>7083</v>
      </c>
      <c r="B417" s="12" t="s">
        <v>602</v>
      </c>
      <c r="C417" s="12"/>
      <c r="D417" s="12" t="s">
        <v>7170</v>
      </c>
      <c r="E417" s="277" t="str">
        <f t="shared" si="258"/>
        <v>Lebanon</v>
      </c>
      <c r="F417" s="12" t="s">
        <v>7171</v>
      </c>
      <c r="G417" s="12" t="s">
        <v>379</v>
      </c>
      <c r="H417" s="12" t="s">
        <v>384</v>
      </c>
      <c r="I417" s="12" t="s">
        <v>384</v>
      </c>
      <c r="J417" s="281" t="s">
        <v>379</v>
      </c>
      <c r="K417" s="12"/>
      <c r="L417" s="12"/>
      <c r="M417" s="12"/>
      <c r="N417" s="12"/>
      <c r="O417" s="12"/>
      <c r="P417" s="12"/>
      <c r="Q417" s="12"/>
      <c r="R417" s="12"/>
      <c r="S417" s="12"/>
      <c r="T417" s="12"/>
      <c r="U417" s="12"/>
      <c r="V417" s="12"/>
      <c r="W417" s="12"/>
      <c r="X417" s="12"/>
      <c r="Y417" s="12"/>
      <c r="Z417" s="12"/>
      <c r="AA417" s="12"/>
      <c r="AB417" s="12"/>
      <c r="AC417" s="12"/>
      <c r="AD417" s="12"/>
      <c r="BD417" s="12"/>
      <c r="BE417" s="12"/>
      <c r="BF417" s="12"/>
      <c r="BG417" s="12" t="s">
        <v>908</v>
      </c>
      <c r="BH417" s="14">
        <v>299958</v>
      </c>
      <c r="BI417" s="12" t="s">
        <v>7089</v>
      </c>
      <c r="BJ417" s="12" t="s">
        <v>7090</v>
      </c>
      <c r="BK417" s="12" t="s">
        <v>7091</v>
      </c>
      <c r="BL417" s="12" t="s">
        <v>7110</v>
      </c>
      <c r="BM417" s="12" t="s">
        <v>354</v>
      </c>
      <c r="BN417" s="12" t="s">
        <v>7111</v>
      </c>
      <c r="BO417" s="12" t="s">
        <v>320</v>
      </c>
      <c r="BP417" s="12" t="s">
        <v>319</v>
      </c>
      <c r="BQ417" s="12" t="s">
        <v>319</v>
      </c>
      <c r="BR417" s="12" t="s">
        <v>7172</v>
      </c>
      <c r="BS417" s="12" t="s">
        <v>357</v>
      </c>
      <c r="BT417" s="12" t="s">
        <v>7173</v>
      </c>
      <c r="BU417" s="12" t="s">
        <v>7174</v>
      </c>
      <c r="BV417" s="14">
        <v>192</v>
      </c>
      <c r="BW417" s="14">
        <v>1041</v>
      </c>
      <c r="BX417" s="14">
        <v>1233</v>
      </c>
      <c r="BY417" s="14"/>
      <c r="BZ417" s="14"/>
      <c r="CA417" s="14">
        <v>5976</v>
      </c>
      <c r="CB417" s="12" t="s">
        <v>7175</v>
      </c>
      <c r="CD417" s="14"/>
      <c r="CE417" s="14"/>
      <c r="CF417" s="14">
        <v>1233</v>
      </c>
      <c r="CG417" s="14"/>
      <c r="CH417" s="14"/>
      <c r="CI417" s="14">
        <v>5976</v>
      </c>
      <c r="CJ417" s="12" t="s">
        <v>319</v>
      </c>
      <c r="CK417" s="14"/>
      <c r="CL417" s="16"/>
      <c r="CM417" s="14"/>
      <c r="CN417" s="12" t="s">
        <v>319</v>
      </c>
      <c r="CO417" s="14"/>
      <c r="CP417" s="16"/>
      <c r="CQ417" s="14"/>
      <c r="CR417" s="12" t="s">
        <v>319</v>
      </c>
      <c r="CS417" s="14"/>
      <c r="CT417" s="16"/>
      <c r="CU417" s="14"/>
      <c r="CV417" s="12" t="s">
        <v>319</v>
      </c>
      <c r="CW417" s="14"/>
      <c r="CX417" s="16"/>
      <c r="CY417" s="14"/>
      <c r="CZ417" s="12" t="s">
        <v>319</v>
      </c>
      <c r="DA417" s="14"/>
      <c r="DB417" s="16"/>
      <c r="DC417" s="14"/>
      <c r="DD417" s="12" t="s">
        <v>319</v>
      </c>
      <c r="DE417" s="14"/>
      <c r="DF417" s="16"/>
      <c r="DG417" s="14"/>
      <c r="DH417" s="12" t="s">
        <v>319</v>
      </c>
      <c r="DI417" s="14"/>
      <c r="DJ417" s="16"/>
      <c r="DK417" s="14"/>
      <c r="DL417" s="12" t="s">
        <v>319</v>
      </c>
      <c r="DM417" s="14"/>
      <c r="DN417" s="16"/>
      <c r="DO417" s="14"/>
      <c r="DP417" s="12" t="s">
        <v>320</v>
      </c>
      <c r="DQ417" s="14">
        <v>1233</v>
      </c>
      <c r="DR417" s="16">
        <v>0.15571776155717701</v>
      </c>
      <c r="DS417" s="14">
        <v>5976</v>
      </c>
      <c r="DT417" s="12" t="s">
        <v>319</v>
      </c>
      <c r="DU417" s="14"/>
      <c r="DV417" s="16"/>
      <c r="DW417" s="14"/>
      <c r="DX417" s="12" t="s">
        <v>320</v>
      </c>
      <c r="DY417" s="14"/>
      <c r="DZ417" s="16"/>
      <c r="EA417" s="14"/>
      <c r="EB417" s="12" t="s">
        <v>319</v>
      </c>
      <c r="EC417" s="14"/>
      <c r="ED417" s="16"/>
      <c r="EE417" s="14"/>
      <c r="EF417" s="12"/>
      <c r="EG417" s="12" t="s">
        <v>319</v>
      </c>
      <c r="EH417" s="14"/>
      <c r="EI417" s="16"/>
      <c r="EJ417" s="14"/>
      <c r="EK417" s="14"/>
      <c r="EL417" s="14"/>
      <c r="EM417" s="14"/>
      <c r="EN417" s="14"/>
      <c r="EO417" s="14"/>
      <c r="EP417" s="14"/>
      <c r="EQ417" s="12"/>
      <c r="ER417" s="14"/>
      <c r="ES417" s="16"/>
      <c r="ET417" s="14"/>
      <c r="EU417" s="12"/>
      <c r="EV417" s="14"/>
      <c r="EW417" s="16"/>
      <c r="EX417" s="14"/>
      <c r="EY417" s="12"/>
      <c r="EZ417" s="14"/>
      <c r="FA417" s="16"/>
      <c r="FB417" s="14"/>
      <c r="FC417" s="12"/>
      <c r="FD417" s="14"/>
      <c r="FE417" s="16"/>
      <c r="FF417" s="14"/>
      <c r="FG417" s="12"/>
      <c r="FH417" s="14"/>
      <c r="FI417" s="16"/>
      <c r="FJ417" s="14"/>
      <c r="FK417" s="12"/>
      <c r="FL417" s="14"/>
      <c r="FM417" s="16"/>
      <c r="FN417" s="14"/>
      <c r="FO417" s="12"/>
      <c r="FP417" s="14"/>
      <c r="FQ417" s="16"/>
      <c r="FR417" s="14"/>
      <c r="FS417" s="12"/>
      <c r="FT417" s="14"/>
      <c r="FU417" s="16"/>
      <c r="FV417" s="14"/>
      <c r="FW417" s="12"/>
      <c r="FX417" s="14"/>
      <c r="FY417" s="16"/>
      <c r="FZ417" s="14"/>
      <c r="GA417" s="12"/>
      <c r="GB417" s="14"/>
      <c r="GC417" s="16"/>
      <c r="GD417" s="14"/>
      <c r="GE417" s="12"/>
      <c r="GF417" s="14"/>
      <c r="GG417" s="16"/>
      <c r="GH417" s="14"/>
      <c r="GI417" s="12"/>
      <c r="GJ417" s="14"/>
      <c r="GK417" s="16"/>
      <c r="GL417" s="14"/>
      <c r="GM417" s="12"/>
      <c r="GN417" s="14"/>
      <c r="GO417" s="16"/>
      <c r="GP417" s="14"/>
      <c r="GQ417" s="12"/>
      <c r="GR417" s="14"/>
      <c r="GS417" s="16"/>
      <c r="GT417" s="14"/>
      <c r="GU417" s="12"/>
      <c r="GV417" s="14"/>
      <c r="GW417" s="16"/>
      <c r="GX417" s="14"/>
      <c r="GY417" s="12"/>
      <c r="GZ417" s="14"/>
      <c r="HA417" s="16"/>
      <c r="HB417" s="14"/>
      <c r="HC417" s="12"/>
      <c r="HD417" s="12"/>
      <c r="HE417" s="14"/>
      <c r="HF417" s="16"/>
      <c r="HG417" s="14"/>
      <c r="HH417" s="12" t="s">
        <v>320</v>
      </c>
      <c r="HI417" s="12" t="s">
        <v>361</v>
      </c>
      <c r="HJ417" s="12">
        <v>2016</v>
      </c>
      <c r="HK417" s="12" t="s">
        <v>320</v>
      </c>
      <c r="HL417" s="12" t="s">
        <v>319</v>
      </c>
      <c r="HM417" s="12"/>
      <c r="HN417" s="12"/>
      <c r="HO417" s="12"/>
      <c r="HP417" s="12" t="s">
        <v>418</v>
      </c>
      <c r="HQ417" s="12" t="s">
        <v>319</v>
      </c>
      <c r="HR417" s="12" t="s">
        <v>319</v>
      </c>
      <c r="HS417" s="12" t="s">
        <v>319</v>
      </c>
      <c r="HT417" s="12" t="s">
        <v>319</v>
      </c>
      <c r="HU417" s="12" t="s">
        <v>319</v>
      </c>
      <c r="HV417" s="12" t="s">
        <v>319</v>
      </c>
      <c r="HW417" s="12" t="s">
        <v>319</v>
      </c>
      <c r="HX417" s="12" t="s">
        <v>319</v>
      </c>
      <c r="HY417" s="12"/>
      <c r="HZ417" s="12" t="s">
        <v>363</v>
      </c>
      <c r="IA417" s="12"/>
      <c r="IB417" s="12" t="s">
        <v>333</v>
      </c>
      <c r="IC417" s="12"/>
      <c r="ID417" s="12" t="s">
        <v>364</v>
      </c>
      <c r="IE417" s="12" t="s">
        <v>1909</v>
      </c>
      <c r="IF417" s="12" t="s">
        <v>319</v>
      </c>
      <c r="IG417" s="12" t="s">
        <v>319</v>
      </c>
      <c r="IH417" s="12" t="s">
        <v>319</v>
      </c>
      <c r="II417" s="12" t="s">
        <v>319</v>
      </c>
      <c r="IJ417" s="12" t="str">
        <f t="shared" si="259"/>
        <v>0. Harmful</v>
      </c>
      <c r="IK417" s="12">
        <f t="shared" si="260"/>
        <v>0</v>
      </c>
      <c r="IL417" s="12" t="s">
        <v>336</v>
      </c>
      <c r="IM417" s="12" t="s">
        <v>320</v>
      </c>
      <c r="IN417" s="12" t="s">
        <v>320</v>
      </c>
      <c r="IO417" s="12" t="s">
        <v>319</v>
      </c>
      <c r="IP417" s="12" t="s">
        <v>320</v>
      </c>
      <c r="IQ417" s="12" t="str">
        <f t="shared" si="261"/>
        <v>2. Accommodating</v>
      </c>
      <c r="IR417" s="12">
        <f t="shared" si="262"/>
        <v>3</v>
      </c>
      <c r="IS417" s="12" t="s">
        <v>337</v>
      </c>
      <c r="IT417" s="12" t="s">
        <v>320</v>
      </c>
      <c r="IU417" s="12" t="s">
        <v>320</v>
      </c>
      <c r="IV417" s="12" t="s">
        <v>319</v>
      </c>
      <c r="IW417" s="11" t="str">
        <f t="shared" si="263"/>
        <v>1. Neutral</v>
      </c>
      <c r="IX417" s="12">
        <f t="shared" si="264"/>
        <v>2</v>
      </c>
      <c r="IY417" s="12" t="s">
        <v>338</v>
      </c>
      <c r="IZ417" s="12" t="s">
        <v>339</v>
      </c>
      <c r="JA417" s="12"/>
      <c r="JB417" s="12"/>
      <c r="JC417" s="12"/>
      <c r="JD417" s="12"/>
      <c r="JE417" s="12" t="s">
        <v>420</v>
      </c>
      <c r="JF417" s="12"/>
      <c r="JG417" s="12"/>
      <c r="JH417" s="12" t="s">
        <v>7176</v>
      </c>
      <c r="JI417" s="12"/>
      <c r="JJ417" s="12"/>
      <c r="JK417" s="12"/>
      <c r="JL417" s="12"/>
      <c r="JM417" s="12"/>
      <c r="JN417" s="12" t="s">
        <v>7177</v>
      </c>
      <c r="JO417" s="12" t="s">
        <v>7178</v>
      </c>
      <c r="JP417" s="15">
        <f t="shared" si="265"/>
        <v>1233</v>
      </c>
      <c r="JQ417" s="15">
        <f t="shared" si="266"/>
        <v>5976</v>
      </c>
      <c r="JR417" s="279">
        <f t="shared" si="267"/>
        <v>4.8467153284671536</v>
      </c>
      <c r="JS417" s="17">
        <f t="shared" si="268"/>
        <v>0</v>
      </c>
      <c r="JT417" s="18">
        <f t="shared" si="269"/>
        <v>0</v>
      </c>
      <c r="JU417" s="280">
        <f t="shared" si="270"/>
        <v>0</v>
      </c>
      <c r="JV417" s="280">
        <f t="shared" si="271"/>
        <v>0</v>
      </c>
      <c r="JW417" s="319">
        <f t="shared" si="272"/>
        <v>1</v>
      </c>
      <c r="JX417" s="15">
        <f t="shared" si="273"/>
        <v>1233</v>
      </c>
      <c r="JY417" s="15">
        <f t="shared" si="274"/>
        <v>5976</v>
      </c>
      <c r="JZ417" s="19">
        <f t="shared" si="275"/>
        <v>4.8467153284671536</v>
      </c>
      <c r="KA417" s="52" t="str">
        <f t="shared" si="276"/>
        <v/>
      </c>
      <c r="KB417" s="15">
        <f t="shared" si="277"/>
        <v>0</v>
      </c>
      <c r="KC417" s="15">
        <f t="shared" si="278"/>
        <v>0</v>
      </c>
      <c r="KD417" s="20" t="str">
        <f t="shared" si="279"/>
        <v/>
      </c>
      <c r="KE417" s="52" t="str">
        <f t="shared" si="280"/>
        <v/>
      </c>
      <c r="KF417" s="15">
        <f t="shared" si="281"/>
        <v>0</v>
      </c>
      <c r="KG417" s="15">
        <f t="shared" si="282"/>
        <v>0</v>
      </c>
      <c r="KH417" s="21" t="str">
        <f t="shared" si="283"/>
        <v/>
      </c>
      <c r="KI417" s="52" t="str">
        <f t="shared" si="284"/>
        <v/>
      </c>
      <c r="KJ417" s="15">
        <f t="shared" si="285"/>
        <v>0</v>
      </c>
      <c r="KK417" s="15">
        <f t="shared" si="286"/>
        <v>0</v>
      </c>
      <c r="KL417" s="19" t="str">
        <f t="shared" si="287"/>
        <v/>
      </c>
      <c r="KM417" s="52" t="str">
        <f t="shared" si="288"/>
        <v/>
      </c>
      <c r="KN417" s="22">
        <f t="shared" si="289"/>
        <v>0</v>
      </c>
      <c r="KO417" s="22">
        <f t="shared" si="290"/>
        <v>0</v>
      </c>
      <c r="KP417" s="19" t="str">
        <f t="shared" si="291"/>
        <v/>
      </c>
      <c r="KQ417" s="11" t="str">
        <f t="shared" si="292"/>
        <v>0. Harmful</v>
      </c>
      <c r="KR417" s="11" t="str">
        <f t="shared" si="293"/>
        <v>2. Accommodating</v>
      </c>
      <c r="KS417" s="11" t="str">
        <f t="shared" si="294"/>
        <v>1. Neutral</v>
      </c>
      <c r="KT417" s="11" t="str">
        <f t="shared" si="295"/>
        <v>It did not develop any specific innovation</v>
      </c>
      <c r="KU417" s="11" t="str">
        <f t="shared" si="296"/>
        <v>Little or no advocacy</v>
      </c>
      <c r="KV417" s="11" t="str">
        <f t="shared" si="297"/>
        <v>It did not take tested solutions to scale</v>
      </c>
      <c r="KW417" s="11" t="str">
        <f t="shared" si="298"/>
        <v>Lebanon - Winterization Assistance for the Most Vulnerable Lebanese and Syrian Refugees</v>
      </c>
      <c r="KX417" s="11" t="str">
        <f t="shared" si="299"/>
        <v>Winterization Assistance for the Most Vulnerable Lebanese and Syrian Refugees</v>
      </c>
      <c r="KY417" s="11" t="str">
        <f t="shared" si="300"/>
        <v>Lebanon</v>
      </c>
      <c r="KZ417" s="12">
        <v>417</v>
      </c>
    </row>
    <row r="418" spans="1:312" x14ac:dyDescent="0.3">
      <c r="A418" s="12" t="s">
        <v>7179</v>
      </c>
      <c r="B418" s="12" t="s">
        <v>1596</v>
      </c>
      <c r="C418" s="12"/>
      <c r="D418" s="12" t="s">
        <v>7180</v>
      </c>
      <c r="E418" s="277" t="str">
        <f t="shared" si="258"/>
        <v>Liberia</v>
      </c>
      <c r="F418" s="12"/>
      <c r="G418" s="12" t="s">
        <v>379</v>
      </c>
      <c r="H418" s="12" t="s">
        <v>383</v>
      </c>
      <c r="I418" s="12" t="s">
        <v>384</v>
      </c>
      <c r="J418" s="281" t="s">
        <v>12008</v>
      </c>
      <c r="K418" s="12"/>
      <c r="L418" s="12"/>
      <c r="M418" s="12"/>
      <c r="N418" s="12"/>
      <c r="O418" s="12"/>
      <c r="P418" s="12"/>
      <c r="Q418" s="12"/>
      <c r="R418" s="12"/>
      <c r="S418" s="12"/>
      <c r="T418" s="12"/>
      <c r="U418" s="12"/>
      <c r="V418" s="12"/>
      <c r="W418" s="12"/>
      <c r="X418" s="12"/>
      <c r="Y418" s="12"/>
      <c r="Z418" s="12"/>
      <c r="AA418" s="12"/>
      <c r="AB418" s="12"/>
      <c r="AC418" s="12"/>
      <c r="AD418" s="12"/>
      <c r="BD418" s="13">
        <v>42736</v>
      </c>
      <c r="BE418" s="13">
        <v>43054</v>
      </c>
      <c r="BF418" s="12"/>
      <c r="BG418" s="12" t="s">
        <v>817</v>
      </c>
      <c r="BH418" s="14">
        <v>300000</v>
      </c>
      <c r="BI418" s="12" t="s">
        <v>7181</v>
      </c>
      <c r="BJ418" s="12" t="s">
        <v>354</v>
      </c>
      <c r="BK418" s="12" t="s">
        <v>7182</v>
      </c>
      <c r="BL418" s="12"/>
      <c r="BM418" s="12"/>
      <c r="BN418" s="12"/>
      <c r="BO418" s="12" t="s">
        <v>320</v>
      </c>
      <c r="BP418" s="12" t="s">
        <v>319</v>
      </c>
      <c r="BQ418" s="12" t="s">
        <v>319</v>
      </c>
      <c r="BR418" s="12" t="s">
        <v>7183</v>
      </c>
      <c r="BS418" s="12" t="s">
        <v>357</v>
      </c>
      <c r="BT418" s="12" t="s">
        <v>7184</v>
      </c>
      <c r="BU418" s="12" t="s">
        <v>7185</v>
      </c>
      <c r="BV418" s="14">
        <v>958</v>
      </c>
      <c r="BW418" s="14">
        <v>672</v>
      </c>
      <c r="BX418" s="14">
        <v>1630</v>
      </c>
      <c r="BY418" s="14">
        <v>2700</v>
      </c>
      <c r="BZ418" s="14">
        <v>1800</v>
      </c>
      <c r="CA418" s="14">
        <v>4500</v>
      </c>
      <c r="CB418" s="12" t="s">
        <v>7186</v>
      </c>
      <c r="CD418" s="14">
        <v>958</v>
      </c>
      <c r="CE418" s="14">
        <v>672</v>
      </c>
      <c r="CF418" s="14">
        <v>1630</v>
      </c>
      <c r="CG418" s="14">
        <v>2700</v>
      </c>
      <c r="CH418" s="14">
        <v>1800</v>
      </c>
      <c r="CI418" s="14">
        <v>4500</v>
      </c>
      <c r="CJ418" s="12" t="s">
        <v>319</v>
      </c>
      <c r="CK418" s="14"/>
      <c r="CL418" s="16"/>
      <c r="CM418" s="14"/>
      <c r="CN418" s="12" t="s">
        <v>319</v>
      </c>
      <c r="CO418" s="14"/>
      <c r="CP418" s="16"/>
      <c r="CQ418" s="14"/>
      <c r="CR418" s="12" t="s">
        <v>320</v>
      </c>
      <c r="CS418" s="14"/>
      <c r="CT418" s="16"/>
      <c r="CU418" s="14"/>
      <c r="CV418" s="12" t="s">
        <v>319</v>
      </c>
      <c r="CW418" s="14"/>
      <c r="CX418" s="16"/>
      <c r="CY418" s="14"/>
      <c r="CZ418" s="12" t="s">
        <v>319</v>
      </c>
      <c r="DA418" s="14"/>
      <c r="DB418" s="16"/>
      <c r="DC418" s="14"/>
      <c r="DD418" s="12" t="s">
        <v>319</v>
      </c>
      <c r="DE418" s="14"/>
      <c r="DF418" s="16"/>
      <c r="DG418" s="14"/>
      <c r="DH418" s="12" t="s">
        <v>319</v>
      </c>
      <c r="DI418" s="14"/>
      <c r="DJ418" s="16"/>
      <c r="DK418" s="14"/>
      <c r="DL418" s="12" t="s">
        <v>319</v>
      </c>
      <c r="DM418" s="14"/>
      <c r="DN418" s="16"/>
      <c r="DO418" s="14"/>
      <c r="DP418" s="12" t="s">
        <v>319</v>
      </c>
      <c r="DQ418" s="14"/>
      <c r="DR418" s="16"/>
      <c r="DS418" s="14"/>
      <c r="DT418" s="12" t="s">
        <v>319</v>
      </c>
      <c r="DU418" s="14"/>
      <c r="DV418" s="16"/>
      <c r="DW418" s="14"/>
      <c r="DX418" s="12" t="s">
        <v>319</v>
      </c>
      <c r="DY418" s="14"/>
      <c r="DZ418" s="16"/>
      <c r="EA418" s="14"/>
      <c r="EB418" s="12" t="s">
        <v>320</v>
      </c>
      <c r="EC418" s="14"/>
      <c r="ED418" s="16"/>
      <c r="EE418" s="14"/>
      <c r="EF418" s="12"/>
      <c r="EG418" s="12"/>
      <c r="EH418" s="14"/>
      <c r="EI418" s="16"/>
      <c r="EJ418" s="14"/>
      <c r="EK418" s="14"/>
      <c r="EL418" s="14"/>
      <c r="EM418" s="14"/>
      <c r="EN418" s="14"/>
      <c r="EO418" s="14"/>
      <c r="EP418" s="14"/>
      <c r="EQ418" s="12" t="s">
        <v>319</v>
      </c>
      <c r="ER418" s="14"/>
      <c r="ES418" s="16"/>
      <c r="ET418" s="14"/>
      <c r="EU418" s="11" t="s">
        <v>319</v>
      </c>
      <c r="EV418" s="14"/>
      <c r="EW418" s="16"/>
      <c r="EX418" s="14"/>
      <c r="EY418" s="12" t="s">
        <v>319</v>
      </c>
      <c r="EZ418" s="14"/>
      <c r="FA418" s="16"/>
      <c r="FB418" s="14"/>
      <c r="FC418" s="12" t="s">
        <v>319</v>
      </c>
      <c r="FD418" s="14"/>
      <c r="FE418" s="16"/>
      <c r="FF418" s="14"/>
      <c r="FG418" s="12" t="s">
        <v>319</v>
      </c>
      <c r="FH418" s="14"/>
      <c r="FI418" s="16"/>
      <c r="FJ418" s="14"/>
      <c r="FK418" s="12" t="s">
        <v>319</v>
      </c>
      <c r="FL418" s="14"/>
      <c r="FM418" s="16"/>
      <c r="FN418" s="14"/>
      <c r="FO418" s="12" t="s">
        <v>319</v>
      </c>
      <c r="FP418" s="14"/>
      <c r="FQ418" s="16"/>
      <c r="FR418" s="14"/>
      <c r="FS418" s="12" t="s">
        <v>319</v>
      </c>
      <c r="FT418" s="14"/>
      <c r="FU418" s="16"/>
      <c r="FV418" s="14"/>
      <c r="FW418" s="12" t="s">
        <v>319</v>
      </c>
      <c r="FX418" s="14"/>
      <c r="FY418" s="16"/>
      <c r="FZ418" s="14"/>
      <c r="GA418" s="12" t="s">
        <v>319</v>
      </c>
      <c r="GB418" s="14"/>
      <c r="GC418" s="16"/>
      <c r="GD418" s="14"/>
      <c r="GE418" s="12" t="s">
        <v>319</v>
      </c>
      <c r="GF418" s="14"/>
      <c r="GG418" s="16"/>
      <c r="GH418" s="14"/>
      <c r="GI418" s="12" t="s">
        <v>319</v>
      </c>
      <c r="GJ418" s="14"/>
      <c r="GK418" s="16"/>
      <c r="GL418" s="14"/>
      <c r="GM418" s="12" t="s">
        <v>319</v>
      </c>
      <c r="GN418" s="14"/>
      <c r="GO418" s="16"/>
      <c r="GP418" s="14"/>
      <c r="GQ418" s="12" t="s">
        <v>319</v>
      </c>
      <c r="GR418" s="14"/>
      <c r="GS418" s="16"/>
      <c r="GT418" s="14"/>
      <c r="GU418" s="12" t="s">
        <v>319</v>
      </c>
      <c r="GV418" s="14"/>
      <c r="GW418" s="16"/>
      <c r="GX418" s="14"/>
      <c r="GY418" s="12" t="s">
        <v>319</v>
      </c>
      <c r="GZ418" s="14"/>
      <c r="HA418" s="16"/>
      <c r="HB418" s="14"/>
      <c r="HC418" s="12"/>
      <c r="HD418" s="12"/>
      <c r="HE418" s="14"/>
      <c r="HF418" s="16"/>
      <c r="HG418" s="14"/>
      <c r="HH418" s="12" t="s">
        <v>320</v>
      </c>
      <c r="HI418" s="12" t="s">
        <v>1175</v>
      </c>
      <c r="HJ418" s="12">
        <v>2017</v>
      </c>
      <c r="HK418" s="12" t="s">
        <v>320</v>
      </c>
      <c r="HL418" s="12" t="s">
        <v>320</v>
      </c>
      <c r="HM418" s="12" t="s">
        <v>560</v>
      </c>
      <c r="HN418" s="12">
        <v>2018</v>
      </c>
      <c r="HO418" s="12" t="s">
        <v>393</v>
      </c>
      <c r="HP418" s="12" t="s">
        <v>418</v>
      </c>
      <c r="HQ418" s="12" t="s">
        <v>319</v>
      </c>
      <c r="HR418" s="12" t="s">
        <v>319</v>
      </c>
      <c r="HS418" s="12" t="s">
        <v>319</v>
      </c>
      <c r="HT418" s="12" t="s">
        <v>319</v>
      </c>
      <c r="HU418" s="12" t="s">
        <v>319</v>
      </c>
      <c r="HV418" s="12" t="s">
        <v>319</v>
      </c>
      <c r="HW418" s="12" t="s">
        <v>319</v>
      </c>
      <c r="HX418" s="12" t="s">
        <v>319</v>
      </c>
      <c r="HY418" s="12"/>
      <c r="HZ418" s="12" t="s">
        <v>331</v>
      </c>
      <c r="IA418" s="12" t="s">
        <v>7187</v>
      </c>
      <c r="IB418" s="12" t="s">
        <v>396</v>
      </c>
      <c r="IC418" s="12" t="s">
        <v>7188</v>
      </c>
      <c r="ID418" s="12" t="s">
        <v>364</v>
      </c>
      <c r="IE418" s="12" t="s">
        <v>335</v>
      </c>
      <c r="IF418" s="12" t="s">
        <v>320</v>
      </c>
      <c r="IG418" s="12" t="s">
        <v>320</v>
      </c>
      <c r="IH418" s="12" t="s">
        <v>319</v>
      </c>
      <c r="II418" s="12" t="s">
        <v>320</v>
      </c>
      <c r="IJ418" s="12" t="str">
        <f t="shared" si="259"/>
        <v>1. Neutral</v>
      </c>
      <c r="IK418" s="12">
        <f t="shared" si="260"/>
        <v>3</v>
      </c>
      <c r="IL418" s="12" t="s">
        <v>723</v>
      </c>
      <c r="IM418" s="12" t="s">
        <v>319</v>
      </c>
      <c r="IN418" s="12" t="s">
        <v>319</v>
      </c>
      <c r="IO418" s="12" t="s">
        <v>319</v>
      </c>
      <c r="IP418" s="12" t="s">
        <v>319</v>
      </c>
      <c r="IQ418" s="12" t="str">
        <f t="shared" si="261"/>
        <v>0. Unaware</v>
      </c>
      <c r="IR418" s="12">
        <f t="shared" si="262"/>
        <v>0</v>
      </c>
      <c r="IS418" s="12" t="s">
        <v>337</v>
      </c>
      <c r="IT418" s="12" t="s">
        <v>320</v>
      </c>
      <c r="IU418" s="12" t="s">
        <v>320</v>
      </c>
      <c r="IV418" s="12" t="s">
        <v>319</v>
      </c>
      <c r="IW418" s="11" t="str">
        <f t="shared" si="263"/>
        <v>1. Neutral</v>
      </c>
      <c r="IX418" s="12">
        <f t="shared" si="264"/>
        <v>2</v>
      </c>
      <c r="IY418" s="12" t="s">
        <v>338</v>
      </c>
      <c r="IZ418" s="12" t="s">
        <v>457</v>
      </c>
      <c r="JA418" s="12">
        <v>1</v>
      </c>
      <c r="JB418" s="12" t="s">
        <v>433</v>
      </c>
      <c r="JC418" s="12"/>
      <c r="JD418" s="12"/>
      <c r="JE418" s="12" t="s">
        <v>420</v>
      </c>
      <c r="JF418" s="12"/>
      <c r="JG418" s="12"/>
      <c r="JH418" s="12" t="s">
        <v>7189</v>
      </c>
      <c r="JI418" s="12" t="s">
        <v>7190</v>
      </c>
      <c r="JJ418" s="12" t="s">
        <v>7191</v>
      </c>
      <c r="JK418" s="12" t="s">
        <v>7192</v>
      </c>
      <c r="JL418" s="12" t="s">
        <v>7193</v>
      </c>
      <c r="JM418" s="12"/>
      <c r="JN418" s="12"/>
      <c r="JO418" s="12"/>
      <c r="JP418" s="15">
        <f t="shared" si="265"/>
        <v>1630</v>
      </c>
      <c r="JQ418" s="15">
        <f t="shared" si="266"/>
        <v>4500</v>
      </c>
      <c r="JR418" s="279">
        <f t="shared" si="267"/>
        <v>2.7607361963190185</v>
      </c>
      <c r="JS418" s="17">
        <f t="shared" si="268"/>
        <v>0.5877300613496933</v>
      </c>
      <c r="JT418" s="18">
        <f t="shared" si="269"/>
        <v>0.6</v>
      </c>
      <c r="JU418" s="280">
        <f t="shared" si="270"/>
        <v>958</v>
      </c>
      <c r="JV418" s="280">
        <f t="shared" si="271"/>
        <v>2700</v>
      </c>
      <c r="JW418" s="319">
        <f t="shared" si="272"/>
        <v>1</v>
      </c>
      <c r="JX418" s="15">
        <f t="shared" si="273"/>
        <v>1630</v>
      </c>
      <c r="JY418" s="15">
        <f t="shared" si="274"/>
        <v>4500</v>
      </c>
      <c r="JZ418" s="19">
        <f t="shared" si="275"/>
        <v>2.7607361963190185</v>
      </c>
      <c r="KA418" s="52" t="str">
        <f t="shared" si="276"/>
        <v/>
      </c>
      <c r="KB418" s="15">
        <f t="shared" si="277"/>
        <v>0</v>
      </c>
      <c r="KC418" s="15">
        <f t="shared" si="278"/>
        <v>0</v>
      </c>
      <c r="KD418" s="20" t="str">
        <f t="shared" si="279"/>
        <v/>
      </c>
      <c r="KE418" s="52" t="str">
        <f t="shared" si="280"/>
        <v/>
      </c>
      <c r="KF418" s="15">
        <f t="shared" si="281"/>
        <v>0</v>
      </c>
      <c r="KG418" s="15">
        <f t="shared" si="282"/>
        <v>0</v>
      </c>
      <c r="KH418" s="21" t="str">
        <f t="shared" si="283"/>
        <v/>
      </c>
      <c r="KI418" s="52" t="str">
        <f t="shared" si="284"/>
        <v/>
      </c>
      <c r="KJ418" s="15">
        <f t="shared" si="285"/>
        <v>0</v>
      </c>
      <c r="KK418" s="15">
        <f t="shared" si="286"/>
        <v>0</v>
      </c>
      <c r="KL418" s="19" t="str">
        <f t="shared" si="287"/>
        <v/>
      </c>
      <c r="KM418" s="52" t="str">
        <f t="shared" si="288"/>
        <v/>
      </c>
      <c r="KN418" s="22">
        <f t="shared" si="289"/>
        <v>0</v>
      </c>
      <c r="KO418" s="22">
        <f t="shared" si="290"/>
        <v>0</v>
      </c>
      <c r="KP418" s="19" t="str">
        <f t="shared" si="291"/>
        <v/>
      </c>
      <c r="KQ418" s="11" t="str">
        <f t="shared" si="292"/>
        <v>1. Neutral</v>
      </c>
      <c r="KR418" s="11" t="str">
        <f t="shared" si="293"/>
        <v>0. Unaware</v>
      </c>
      <c r="KS418" s="11" t="str">
        <f t="shared" si="294"/>
        <v>1. Neutral</v>
      </c>
      <c r="KT418" s="11" t="str">
        <f t="shared" si="295"/>
        <v>It tested new ways for fighting poverty and measured results of innovation</v>
      </c>
      <c r="KU418" s="11" t="str">
        <f t="shared" si="296"/>
        <v>Little or no advocacy</v>
      </c>
      <c r="KV418" s="11" t="str">
        <f t="shared" si="297"/>
        <v>It linked and worked with strategic alliances and partners to take tested and effective solutions to scale</v>
      </c>
      <c r="KW418" s="11" t="str">
        <f t="shared" si="298"/>
        <v>Liberia - Refugess Assistance Initiative in Liberia (RAIL)</v>
      </c>
      <c r="KX418" s="11" t="str">
        <f t="shared" si="299"/>
        <v>Refugess Assistance Initiative in Liberia (RAIL)</v>
      </c>
      <c r="KY418" s="11" t="str">
        <f t="shared" si="300"/>
        <v>Liberia</v>
      </c>
      <c r="KZ418" s="12">
        <v>418</v>
      </c>
    </row>
    <row r="419" spans="1:312" x14ac:dyDescent="0.3">
      <c r="A419" s="12" t="s">
        <v>7194</v>
      </c>
      <c r="B419" s="12" t="s">
        <v>602</v>
      </c>
      <c r="C419" s="12">
        <v>3103</v>
      </c>
      <c r="D419" s="12" t="s">
        <v>7195</v>
      </c>
      <c r="E419" s="277" t="str">
        <f t="shared" si="258"/>
        <v>Macedonia</v>
      </c>
      <c r="F419" s="12" t="s">
        <v>7196</v>
      </c>
      <c r="G419" s="12" t="s">
        <v>1738</v>
      </c>
      <c r="H419" s="12" t="s">
        <v>380</v>
      </c>
      <c r="I419" s="12" t="s">
        <v>517</v>
      </c>
      <c r="J419" s="281" t="s">
        <v>14578</v>
      </c>
      <c r="K419" s="12"/>
      <c r="L419" s="12"/>
      <c r="M419" s="12"/>
      <c r="N419" s="12"/>
      <c r="O419" s="12"/>
      <c r="P419" s="12"/>
      <c r="Q419" s="12"/>
      <c r="R419" s="12"/>
      <c r="S419" s="12"/>
      <c r="T419" s="12"/>
      <c r="U419" s="12"/>
      <c r="V419" s="12"/>
      <c r="W419" s="12"/>
      <c r="X419" s="12"/>
      <c r="Y419" s="12"/>
      <c r="Z419" s="12"/>
      <c r="AA419" s="12"/>
      <c r="AB419" s="12"/>
      <c r="AC419" s="12"/>
      <c r="AD419" s="12"/>
      <c r="BD419" s="13">
        <v>42389</v>
      </c>
      <c r="BE419" s="13">
        <v>42936</v>
      </c>
      <c r="BF419" s="12"/>
      <c r="BG419" s="12" t="s">
        <v>350</v>
      </c>
      <c r="BH419" s="14">
        <v>240470.46</v>
      </c>
      <c r="BI419" s="12" t="s">
        <v>7197</v>
      </c>
      <c r="BJ419" s="12" t="s">
        <v>354</v>
      </c>
      <c r="BK419" s="12" t="s">
        <v>7198</v>
      </c>
      <c r="BL419" s="12" t="s">
        <v>1782</v>
      </c>
      <c r="BM419" s="12" t="s">
        <v>1783</v>
      </c>
      <c r="BN419" s="12" t="s">
        <v>1784</v>
      </c>
      <c r="BO419" s="12" t="s">
        <v>319</v>
      </c>
      <c r="BP419" s="12" t="s">
        <v>320</v>
      </c>
      <c r="BQ419" s="12" t="s">
        <v>319</v>
      </c>
      <c r="BR419" s="12" t="s">
        <v>7199</v>
      </c>
      <c r="BS419" s="12" t="s">
        <v>322</v>
      </c>
      <c r="BT419" s="12" t="s">
        <v>7200</v>
      </c>
      <c r="BU419" s="12" t="s">
        <v>7201</v>
      </c>
      <c r="BV419" s="14">
        <v>716</v>
      </c>
      <c r="BW419" s="14">
        <v>360</v>
      </c>
      <c r="BX419" s="14">
        <v>1076</v>
      </c>
      <c r="BY419" s="14">
        <v>2500</v>
      </c>
      <c r="BZ419" s="14">
        <v>700</v>
      </c>
      <c r="CA419" s="14">
        <v>3200</v>
      </c>
      <c r="CB419" s="12" t="s">
        <v>7202</v>
      </c>
      <c r="CD419" s="14"/>
      <c r="CE419" s="14"/>
      <c r="CF419" s="14"/>
      <c r="CG419" s="14"/>
      <c r="CH419" s="14"/>
      <c r="CI419" s="14"/>
      <c r="CJ419" s="12"/>
      <c r="CK419" s="14"/>
      <c r="CL419" s="16"/>
      <c r="CM419" s="14"/>
      <c r="CN419" s="12"/>
      <c r="CO419" s="14"/>
      <c r="CP419" s="16"/>
      <c r="CQ419" s="14"/>
      <c r="CR419" s="12"/>
      <c r="CS419" s="14"/>
      <c r="CT419" s="16"/>
      <c r="CU419" s="14"/>
      <c r="CV419" s="12"/>
      <c r="CW419" s="14"/>
      <c r="CX419" s="16"/>
      <c r="CY419" s="14"/>
      <c r="CZ419" s="12"/>
      <c r="DA419" s="14"/>
      <c r="DB419" s="16"/>
      <c r="DC419" s="14"/>
      <c r="DD419" s="12"/>
      <c r="DE419" s="14"/>
      <c r="DF419" s="16"/>
      <c r="DG419" s="14"/>
      <c r="DH419" s="12"/>
      <c r="DI419" s="14"/>
      <c r="DJ419" s="16"/>
      <c r="DK419" s="14"/>
      <c r="DL419" s="12"/>
      <c r="DM419" s="14"/>
      <c r="DN419" s="16"/>
      <c r="DO419" s="14"/>
      <c r="DP419" s="12"/>
      <c r="DQ419" s="14"/>
      <c r="DR419" s="16"/>
      <c r="DS419" s="14"/>
      <c r="DT419" s="12"/>
      <c r="DU419" s="14"/>
      <c r="DV419" s="16"/>
      <c r="DW419" s="14"/>
      <c r="DX419" s="12"/>
      <c r="DY419" s="14"/>
      <c r="DZ419" s="16"/>
      <c r="EA419" s="14"/>
      <c r="EB419" s="12"/>
      <c r="EC419" s="14"/>
      <c r="ED419" s="16"/>
      <c r="EE419" s="14"/>
      <c r="EF419" s="12"/>
      <c r="EG419" s="12"/>
      <c r="EH419" s="14"/>
      <c r="EI419" s="16"/>
      <c r="EJ419" s="14"/>
      <c r="EK419" s="14">
        <v>620</v>
      </c>
      <c r="EL419" s="14">
        <v>100</v>
      </c>
      <c r="EM419" s="14">
        <v>720</v>
      </c>
      <c r="EN419" s="14">
        <v>2200</v>
      </c>
      <c r="EO419" s="14">
        <v>600</v>
      </c>
      <c r="EP419" s="14">
        <v>2800</v>
      </c>
      <c r="EQ419" s="12"/>
      <c r="ER419" s="14"/>
      <c r="ES419" s="16"/>
      <c r="ET419" s="14"/>
      <c r="EU419" s="12"/>
      <c r="EV419" s="14"/>
      <c r="EW419" s="16"/>
      <c r="EX419" s="14"/>
      <c r="EY419" s="12"/>
      <c r="EZ419" s="14"/>
      <c r="FA419" s="16"/>
      <c r="FB419" s="14"/>
      <c r="FC419" s="12"/>
      <c r="FD419" s="14"/>
      <c r="FE419" s="16"/>
      <c r="FF419" s="14"/>
      <c r="FG419" s="12"/>
      <c r="FH419" s="14"/>
      <c r="FI419" s="16"/>
      <c r="FJ419" s="14"/>
      <c r="FK419" s="12" t="s">
        <v>320</v>
      </c>
      <c r="FL419" s="14">
        <v>326</v>
      </c>
      <c r="FM419" s="16">
        <v>1</v>
      </c>
      <c r="FN419" s="14">
        <v>1200</v>
      </c>
      <c r="FO419" s="12"/>
      <c r="FP419" s="14"/>
      <c r="FQ419" s="16"/>
      <c r="FR419" s="14"/>
      <c r="FS419" s="12"/>
      <c r="FT419" s="14"/>
      <c r="FU419" s="16"/>
      <c r="FV419" s="14"/>
      <c r="FW419" s="11" t="s">
        <v>320</v>
      </c>
      <c r="FX419" s="14">
        <v>366</v>
      </c>
      <c r="FY419" s="16">
        <v>0.95</v>
      </c>
      <c r="FZ419" s="14">
        <v>1200</v>
      </c>
      <c r="GA419" s="12"/>
      <c r="GB419" s="14"/>
      <c r="GC419" s="16"/>
      <c r="GD419" s="14"/>
      <c r="GE419" s="12"/>
      <c r="GF419" s="14"/>
      <c r="GG419" s="16"/>
      <c r="GH419" s="14"/>
      <c r="GI419" s="12"/>
      <c r="GJ419" s="14"/>
      <c r="GK419" s="16"/>
      <c r="GL419" s="14"/>
      <c r="GM419" s="12"/>
      <c r="GN419" s="14"/>
      <c r="GO419" s="16"/>
      <c r="GP419" s="14"/>
      <c r="GQ419" s="12"/>
      <c r="GR419" s="14"/>
      <c r="GS419" s="16"/>
      <c r="GT419" s="14"/>
      <c r="GU419" s="12"/>
      <c r="GV419" s="14"/>
      <c r="GW419" s="16"/>
      <c r="GX419" s="14"/>
      <c r="GY419" s="11" t="s">
        <v>320</v>
      </c>
      <c r="GZ419" s="14">
        <v>326</v>
      </c>
      <c r="HA419" s="16">
        <v>1</v>
      </c>
      <c r="HB419" s="14">
        <v>1200</v>
      </c>
      <c r="HC419" s="12"/>
      <c r="HD419" s="12"/>
      <c r="HE419" s="14"/>
      <c r="HF419" s="16"/>
      <c r="HG419" s="14"/>
      <c r="HH419" s="12" t="s">
        <v>320</v>
      </c>
      <c r="HI419" s="12" t="s">
        <v>522</v>
      </c>
      <c r="HJ419" s="12">
        <v>2016</v>
      </c>
      <c r="HK419" s="12"/>
      <c r="HL419" s="12" t="s">
        <v>319</v>
      </c>
      <c r="HM419" s="12"/>
      <c r="HN419" s="12"/>
      <c r="HO419" s="12" t="s">
        <v>7203</v>
      </c>
      <c r="HP419" s="12" t="s">
        <v>330</v>
      </c>
      <c r="HQ419" s="12"/>
      <c r="HR419" s="12"/>
      <c r="HS419" s="12" t="s">
        <v>320</v>
      </c>
      <c r="HT419" s="12" t="s">
        <v>320</v>
      </c>
      <c r="HU419" s="12" t="s">
        <v>320</v>
      </c>
      <c r="HV419" s="12" t="s">
        <v>319</v>
      </c>
      <c r="HW419" s="12"/>
      <c r="HX419" s="12" t="s">
        <v>320</v>
      </c>
      <c r="HY419" s="12" t="s">
        <v>7204</v>
      </c>
      <c r="HZ419" s="12" t="s">
        <v>394</v>
      </c>
      <c r="IA419" s="12" t="s">
        <v>7205</v>
      </c>
      <c r="IB419" s="12" t="s">
        <v>333</v>
      </c>
      <c r="IC419" s="12" t="s">
        <v>7206</v>
      </c>
      <c r="ID419" s="12" t="s">
        <v>334</v>
      </c>
      <c r="IE419" s="12" t="s">
        <v>478</v>
      </c>
      <c r="IF419" s="12" t="s">
        <v>320</v>
      </c>
      <c r="IG419" s="12" t="s">
        <v>320</v>
      </c>
      <c r="IH419" s="12" t="s">
        <v>320</v>
      </c>
      <c r="II419" s="12" t="s">
        <v>320</v>
      </c>
      <c r="IJ419" s="12" t="str">
        <f t="shared" si="259"/>
        <v>4. Transformative</v>
      </c>
      <c r="IK419" s="12">
        <f t="shared" si="260"/>
        <v>4</v>
      </c>
      <c r="IL419" s="11" t="s">
        <v>621</v>
      </c>
      <c r="IM419" s="12" t="s">
        <v>320</v>
      </c>
      <c r="IN419" s="12"/>
      <c r="IO419" s="12" t="s">
        <v>320</v>
      </c>
      <c r="IP419" s="12" t="s">
        <v>320</v>
      </c>
      <c r="IQ419" s="12" t="str">
        <f t="shared" si="261"/>
        <v>3. Responsive</v>
      </c>
      <c r="IR419" s="12">
        <f t="shared" si="262"/>
        <v>3</v>
      </c>
      <c r="IS419" s="12" t="s">
        <v>337</v>
      </c>
      <c r="IT419" s="12" t="s">
        <v>320</v>
      </c>
      <c r="IU419" s="12" t="s">
        <v>319</v>
      </c>
      <c r="IV419" s="12" t="s">
        <v>320</v>
      </c>
      <c r="IW419" s="11" t="str">
        <f t="shared" si="263"/>
        <v>1. Neutral</v>
      </c>
      <c r="IX419" s="12">
        <f t="shared" si="264"/>
        <v>2</v>
      </c>
      <c r="IY419" s="12" t="s">
        <v>338</v>
      </c>
      <c r="IZ419" s="12" t="s">
        <v>457</v>
      </c>
      <c r="JA419" s="12">
        <v>1</v>
      </c>
      <c r="JB419" s="12" t="s">
        <v>651</v>
      </c>
      <c r="JC419" s="12" t="s">
        <v>624</v>
      </c>
      <c r="JD419" s="12" t="s">
        <v>687</v>
      </c>
      <c r="JE419" s="12" t="s">
        <v>365</v>
      </c>
      <c r="JF419" s="12" t="s">
        <v>7207</v>
      </c>
      <c r="JG419" s="12"/>
      <c r="JH419" s="12" t="s">
        <v>7208</v>
      </c>
      <c r="JI419" s="12" t="s">
        <v>7209</v>
      </c>
      <c r="JJ419" s="12" t="s">
        <v>7210</v>
      </c>
      <c r="JK419" s="12" t="s">
        <v>7211</v>
      </c>
      <c r="JL419" s="12" t="s">
        <v>7212</v>
      </c>
      <c r="JM419" s="12" t="s">
        <v>7213</v>
      </c>
      <c r="JN419" s="12" t="s">
        <v>7214</v>
      </c>
      <c r="JO419" s="12" t="s">
        <v>7215</v>
      </c>
      <c r="JP419" s="15">
        <f t="shared" si="265"/>
        <v>720</v>
      </c>
      <c r="JQ419" s="15">
        <f t="shared" si="266"/>
        <v>2800</v>
      </c>
      <c r="JR419" s="279">
        <f t="shared" si="267"/>
        <v>3.8888888888888888</v>
      </c>
      <c r="JS419" s="17">
        <f t="shared" si="268"/>
        <v>0.86111111111111116</v>
      </c>
      <c r="JT419" s="18">
        <f t="shared" si="269"/>
        <v>0.7857142857142857</v>
      </c>
      <c r="JU419" s="280">
        <f t="shared" si="270"/>
        <v>620</v>
      </c>
      <c r="JV419" s="280">
        <f t="shared" si="271"/>
        <v>2200</v>
      </c>
      <c r="JW419" s="319" t="str">
        <f t="shared" si="272"/>
        <v/>
      </c>
      <c r="JX419" s="15">
        <f t="shared" si="273"/>
        <v>0</v>
      </c>
      <c r="JY419" s="15">
        <f t="shared" si="274"/>
        <v>0</v>
      </c>
      <c r="JZ419" s="19" t="str">
        <f t="shared" si="275"/>
        <v/>
      </c>
      <c r="KA419" s="52" t="str">
        <f t="shared" si="276"/>
        <v/>
      </c>
      <c r="KB419" s="15">
        <f t="shared" si="277"/>
        <v>0</v>
      </c>
      <c r="KC419" s="15">
        <f t="shared" si="278"/>
        <v>0</v>
      </c>
      <c r="KD419" s="20" t="str">
        <f t="shared" si="279"/>
        <v/>
      </c>
      <c r="KE419" s="52" t="str">
        <f t="shared" si="280"/>
        <v/>
      </c>
      <c r="KF419" s="15">
        <f t="shared" si="281"/>
        <v>0</v>
      </c>
      <c r="KG419" s="15">
        <f t="shared" si="282"/>
        <v>0</v>
      </c>
      <c r="KH419" s="21" t="str">
        <f t="shared" si="283"/>
        <v/>
      </c>
      <c r="KI419" s="52" t="str">
        <f t="shared" si="284"/>
        <v/>
      </c>
      <c r="KJ419" s="15">
        <f t="shared" si="285"/>
        <v>0</v>
      </c>
      <c r="KK419" s="15">
        <f t="shared" si="286"/>
        <v>0</v>
      </c>
      <c r="KL419" s="19" t="str">
        <f t="shared" si="287"/>
        <v/>
      </c>
      <c r="KM419" s="52">
        <f t="shared" si="288"/>
        <v>1</v>
      </c>
      <c r="KN419" s="22">
        <f t="shared" si="289"/>
        <v>326</v>
      </c>
      <c r="KO419" s="22">
        <f t="shared" si="290"/>
        <v>1200</v>
      </c>
      <c r="KP419" s="19">
        <f t="shared" si="291"/>
        <v>3.6809815950920246</v>
      </c>
      <c r="KQ419" s="11" t="str">
        <f t="shared" si="292"/>
        <v>4. Transformative</v>
      </c>
      <c r="KR419" s="11" t="str">
        <f t="shared" si="293"/>
        <v>3. Responsive</v>
      </c>
      <c r="KS419" s="11" t="str">
        <f t="shared" si="294"/>
        <v>1. Neutral</v>
      </c>
      <c r="KT419" s="11" t="str">
        <f t="shared" si="295"/>
        <v>It tested new ways for fighting poverty, but did not measure results of innovation</v>
      </c>
      <c r="KU419" s="11" t="str">
        <f t="shared" si="296"/>
        <v>Moderate advocacy</v>
      </c>
      <c r="KV419" s="11" t="str">
        <f t="shared" si="297"/>
        <v>It did not take tested solutions to scale</v>
      </c>
      <c r="KW419" s="11" t="str">
        <f t="shared" si="298"/>
        <v>Macedonia - Inclusion fo Ethnic Minority Women in Labour Market</v>
      </c>
      <c r="KX419" s="11" t="str">
        <f t="shared" si="299"/>
        <v>Inclusion fo Ethnic Minority Women in Labour Market</v>
      </c>
      <c r="KY419" s="11" t="str">
        <f t="shared" si="300"/>
        <v>Macedonia</v>
      </c>
      <c r="KZ419" s="12">
        <v>419</v>
      </c>
    </row>
    <row r="420" spans="1:312" x14ac:dyDescent="0.3">
      <c r="A420" s="12" t="s">
        <v>7216</v>
      </c>
      <c r="B420" s="12" t="s">
        <v>7217</v>
      </c>
      <c r="C420" s="12">
        <v>3104</v>
      </c>
      <c r="D420" s="12" t="s">
        <v>7366</v>
      </c>
      <c r="E420" s="277" t="str">
        <f t="shared" si="258"/>
        <v>Madagascar</v>
      </c>
      <c r="F420" s="12" t="s">
        <v>7367</v>
      </c>
      <c r="G420" s="12" t="s">
        <v>425</v>
      </c>
      <c r="H420" s="11" t="s">
        <v>310</v>
      </c>
      <c r="I420" s="12" t="s">
        <v>517</v>
      </c>
      <c r="J420" s="281" t="s">
        <v>14578</v>
      </c>
      <c r="K420" s="12"/>
      <c r="L420" s="12"/>
      <c r="M420" s="12"/>
      <c r="N420" s="12"/>
      <c r="O420" s="12"/>
      <c r="P420" s="12"/>
      <c r="Q420" s="12"/>
      <c r="R420" s="12"/>
      <c r="S420" s="12"/>
      <c r="T420" s="12"/>
      <c r="U420" s="12"/>
      <c r="V420" s="12"/>
      <c r="W420" s="12"/>
      <c r="X420" s="12"/>
      <c r="Y420" s="12"/>
      <c r="Z420" s="12"/>
      <c r="AA420" s="12"/>
      <c r="AB420" s="12"/>
      <c r="AC420" s="12"/>
      <c r="AD420" s="12"/>
      <c r="BD420" s="13">
        <v>41395</v>
      </c>
      <c r="BE420" s="13">
        <v>42521</v>
      </c>
      <c r="BF420" s="13">
        <v>42735</v>
      </c>
      <c r="BG420" s="12" t="s">
        <v>749</v>
      </c>
      <c r="BH420" s="14">
        <v>2013454</v>
      </c>
      <c r="BI420" s="12" t="s">
        <v>7245</v>
      </c>
      <c r="BJ420" s="12" t="s">
        <v>7368</v>
      </c>
      <c r="BK420" s="12" t="s">
        <v>7369</v>
      </c>
      <c r="BL420" s="12" t="s">
        <v>7370</v>
      </c>
      <c r="BM420" s="12" t="s">
        <v>1834</v>
      </c>
      <c r="BN420" s="12" t="s">
        <v>7371</v>
      </c>
      <c r="BO420" s="11" t="s">
        <v>319</v>
      </c>
      <c r="BP420" s="11" t="s">
        <v>320</v>
      </c>
      <c r="BQ420" s="11" t="s">
        <v>319</v>
      </c>
      <c r="BR420" s="12" t="s">
        <v>7372</v>
      </c>
      <c r="BS420" s="12" t="s">
        <v>357</v>
      </c>
      <c r="BT420" s="12" t="s">
        <v>7373</v>
      </c>
      <c r="BU420" s="12" t="s">
        <v>7374</v>
      </c>
      <c r="BV420" s="14">
        <v>32400</v>
      </c>
      <c r="BW420" s="14">
        <v>21600</v>
      </c>
      <c r="BX420" s="14">
        <v>54000</v>
      </c>
      <c r="BY420" s="14">
        <v>53000</v>
      </c>
      <c r="BZ420" s="14">
        <v>47000</v>
      </c>
      <c r="CA420" s="14">
        <v>100000</v>
      </c>
      <c r="CB420" s="12" t="s">
        <v>7375</v>
      </c>
      <c r="CD420" s="14"/>
      <c r="CE420" s="14"/>
      <c r="CF420" s="14"/>
      <c r="CG420" s="14"/>
      <c r="CH420" s="14"/>
      <c r="CI420" s="14"/>
      <c r="CJ420" s="12"/>
      <c r="CK420" s="14"/>
      <c r="CL420" s="16"/>
      <c r="CM420" s="14"/>
      <c r="CN420" s="12"/>
      <c r="CO420" s="14"/>
      <c r="CP420" s="16"/>
      <c r="CQ420" s="14"/>
      <c r="CR420" s="12"/>
      <c r="CS420" s="14"/>
      <c r="CT420" s="16"/>
      <c r="CU420" s="14"/>
      <c r="CV420" s="12"/>
      <c r="CW420" s="14"/>
      <c r="CX420" s="16"/>
      <c r="CY420" s="14"/>
      <c r="CZ420" s="12"/>
      <c r="DA420" s="14"/>
      <c r="DB420" s="16"/>
      <c r="DC420" s="14"/>
      <c r="DD420" s="12"/>
      <c r="DE420" s="14"/>
      <c r="DF420" s="16"/>
      <c r="DG420" s="14"/>
      <c r="DH420" s="12"/>
      <c r="DI420" s="14"/>
      <c r="DJ420" s="16"/>
      <c r="DK420" s="14"/>
      <c r="DL420" s="12"/>
      <c r="DM420" s="14"/>
      <c r="DN420" s="16"/>
      <c r="DO420" s="14"/>
      <c r="DP420" s="12"/>
      <c r="DQ420" s="14"/>
      <c r="DR420" s="16"/>
      <c r="DS420" s="14"/>
      <c r="DT420" s="12"/>
      <c r="DU420" s="14"/>
      <c r="DV420" s="16"/>
      <c r="DW420" s="14"/>
      <c r="DX420" s="12"/>
      <c r="DY420" s="14"/>
      <c r="DZ420" s="16"/>
      <c r="EA420" s="14"/>
      <c r="EB420" s="12"/>
      <c r="EC420" s="14"/>
      <c r="ED420" s="16"/>
      <c r="EE420" s="14"/>
      <c r="EF420" s="12"/>
      <c r="EG420" s="12"/>
      <c r="EH420" s="14"/>
      <c r="EI420" s="16"/>
      <c r="EJ420" s="14"/>
      <c r="EK420" s="14">
        <v>38130</v>
      </c>
      <c r="EL420" s="14">
        <v>23270</v>
      </c>
      <c r="EM420" s="14">
        <v>61400</v>
      </c>
      <c r="EN420" s="14">
        <v>53000</v>
      </c>
      <c r="EO420" s="14">
        <v>47000</v>
      </c>
      <c r="EP420" s="14">
        <v>100000</v>
      </c>
      <c r="EQ420" s="12" t="s">
        <v>320</v>
      </c>
      <c r="ER420" s="14">
        <v>49400</v>
      </c>
      <c r="ES420" s="16">
        <v>0.58199999999999996</v>
      </c>
      <c r="ET420" s="14">
        <v>100000</v>
      </c>
      <c r="EU420" s="12"/>
      <c r="EV420" s="14"/>
      <c r="EW420" s="16"/>
      <c r="EX420" s="14"/>
      <c r="EY420" s="12"/>
      <c r="EZ420" s="14"/>
      <c r="FA420" s="16"/>
      <c r="FB420" s="14"/>
      <c r="FC420" s="12"/>
      <c r="FD420" s="14"/>
      <c r="FE420" s="16"/>
      <c r="FF420" s="14"/>
      <c r="FG420" s="12"/>
      <c r="FH420" s="14"/>
      <c r="FI420" s="16"/>
      <c r="FJ420" s="14"/>
      <c r="FK420" s="12"/>
      <c r="FL420" s="14"/>
      <c r="FM420" s="16"/>
      <c r="FN420" s="14"/>
      <c r="FO420" s="12" t="s">
        <v>320</v>
      </c>
      <c r="FP420" s="14">
        <v>55342</v>
      </c>
      <c r="FQ420" s="16">
        <v>0.80500000000000005</v>
      </c>
      <c r="FR420" s="14">
        <v>85000</v>
      </c>
      <c r="FS420" s="12"/>
      <c r="FT420" s="14"/>
      <c r="FU420" s="16"/>
      <c r="FV420" s="14"/>
      <c r="FW420" s="12"/>
      <c r="FX420" s="14"/>
      <c r="FY420" s="16"/>
      <c r="FZ420" s="14"/>
      <c r="GA420" s="12"/>
      <c r="GB420" s="14"/>
      <c r="GC420" s="16"/>
      <c r="GD420" s="14"/>
      <c r="GE420" s="12" t="s">
        <v>320</v>
      </c>
      <c r="GF420" s="14">
        <v>30175</v>
      </c>
      <c r="GG420" s="16">
        <v>0.6</v>
      </c>
      <c r="GH420" s="14"/>
      <c r="GI420" s="12"/>
      <c r="GJ420" s="14"/>
      <c r="GK420" s="16"/>
      <c r="GL420" s="14"/>
      <c r="GM420" s="12"/>
      <c r="GN420" s="14"/>
      <c r="GO420" s="16"/>
      <c r="GP420" s="14"/>
      <c r="GQ420" s="12"/>
      <c r="GR420" s="14"/>
      <c r="GS420" s="16"/>
      <c r="GT420" s="14"/>
      <c r="GU420" s="12" t="s">
        <v>320</v>
      </c>
      <c r="GV420" s="14">
        <v>18800</v>
      </c>
      <c r="GW420" s="16">
        <v>0.73</v>
      </c>
      <c r="GX420" s="14"/>
      <c r="GY420" s="12" t="s">
        <v>320</v>
      </c>
      <c r="GZ420" s="14"/>
      <c r="HA420" s="16"/>
      <c r="HB420" s="14"/>
      <c r="HC420" s="12"/>
      <c r="HD420" s="12"/>
      <c r="HE420" s="14"/>
      <c r="HF420" s="16"/>
      <c r="HG420" s="14"/>
      <c r="HH420" s="12" t="s">
        <v>320</v>
      </c>
      <c r="HI420" s="12" t="s">
        <v>416</v>
      </c>
      <c r="HJ420" s="12">
        <v>2017</v>
      </c>
      <c r="HK420" s="12" t="s">
        <v>320</v>
      </c>
      <c r="HL420" s="12" t="s">
        <v>319</v>
      </c>
      <c r="HM420" s="12"/>
      <c r="HN420" s="12"/>
      <c r="HO420" s="12" t="s">
        <v>7376</v>
      </c>
      <c r="HP420" s="12" t="s">
        <v>330</v>
      </c>
      <c r="HQ420" s="12" t="s">
        <v>319</v>
      </c>
      <c r="HR420" s="12" t="s">
        <v>319</v>
      </c>
      <c r="HS420" s="12" t="s">
        <v>320</v>
      </c>
      <c r="HT420" s="12" t="s">
        <v>320</v>
      </c>
      <c r="HU420" s="12" t="s">
        <v>320</v>
      </c>
      <c r="HV420" s="12" t="s">
        <v>320</v>
      </c>
      <c r="HW420" s="12" t="s">
        <v>319</v>
      </c>
      <c r="HX420" s="12"/>
      <c r="HY420" s="12"/>
      <c r="HZ420" s="11" t="s">
        <v>394</v>
      </c>
      <c r="IA420" s="12" t="s">
        <v>7377</v>
      </c>
      <c r="IB420" s="12" t="s">
        <v>396</v>
      </c>
      <c r="IC420" s="12" t="s">
        <v>7378</v>
      </c>
      <c r="ID420" s="11" t="s">
        <v>364</v>
      </c>
      <c r="IE420" s="12" t="s">
        <v>478</v>
      </c>
      <c r="IF420" s="12" t="s">
        <v>320</v>
      </c>
      <c r="IG420" s="12" t="s">
        <v>320</v>
      </c>
      <c r="IH420" s="12" t="s">
        <v>320</v>
      </c>
      <c r="II420" s="12" t="s">
        <v>320</v>
      </c>
      <c r="IJ420" s="12" t="str">
        <f t="shared" si="259"/>
        <v>4. Transformative</v>
      </c>
      <c r="IK420" s="12">
        <f t="shared" si="260"/>
        <v>4</v>
      </c>
      <c r="IL420" s="12" t="s">
        <v>336</v>
      </c>
      <c r="IM420" s="12" t="s">
        <v>320</v>
      </c>
      <c r="IN420" s="12" t="s">
        <v>320</v>
      </c>
      <c r="IO420" s="12" t="s">
        <v>320</v>
      </c>
      <c r="IP420" s="12" t="s">
        <v>320</v>
      </c>
      <c r="IQ420" s="12" t="str">
        <f t="shared" si="261"/>
        <v>2. Accommodating</v>
      </c>
      <c r="IR420" s="12">
        <f t="shared" si="262"/>
        <v>4</v>
      </c>
      <c r="IS420" s="12" t="s">
        <v>337</v>
      </c>
      <c r="IT420" s="12" t="s">
        <v>320</v>
      </c>
      <c r="IU420" s="12" t="s">
        <v>320</v>
      </c>
      <c r="IV420" s="12" t="s">
        <v>320</v>
      </c>
      <c r="IW420" s="11" t="str">
        <f t="shared" si="263"/>
        <v>2. Sensitive</v>
      </c>
      <c r="IX420" s="12">
        <f t="shared" si="264"/>
        <v>3</v>
      </c>
      <c r="IY420" s="11" t="s">
        <v>419</v>
      </c>
      <c r="IZ420" s="12" t="s">
        <v>432</v>
      </c>
      <c r="JA420" s="12">
        <v>4</v>
      </c>
      <c r="JB420" s="12" t="s">
        <v>624</v>
      </c>
      <c r="JC420" s="11" t="s">
        <v>687</v>
      </c>
      <c r="JD420" s="12" t="s">
        <v>651</v>
      </c>
      <c r="JE420" s="12" t="s">
        <v>365</v>
      </c>
      <c r="JF420" s="12" t="s">
        <v>7379</v>
      </c>
      <c r="JG420" s="12"/>
      <c r="JH420" s="12" t="s">
        <v>7380</v>
      </c>
      <c r="JI420" s="12" t="s">
        <v>7381</v>
      </c>
      <c r="JJ420" s="12" t="s">
        <v>7382</v>
      </c>
      <c r="JK420" s="12" t="s">
        <v>7383</v>
      </c>
      <c r="JL420" s="12" t="s">
        <v>7384</v>
      </c>
      <c r="JM420" s="12" t="s">
        <v>7385</v>
      </c>
      <c r="JN420" s="12"/>
      <c r="JO420" s="12" t="s">
        <v>7386</v>
      </c>
      <c r="JP420" s="15">
        <f t="shared" si="265"/>
        <v>61400</v>
      </c>
      <c r="JQ420" s="15">
        <f t="shared" si="266"/>
        <v>100000</v>
      </c>
      <c r="JR420" s="279">
        <f t="shared" si="267"/>
        <v>1.6286644951140066</v>
      </c>
      <c r="JS420" s="17">
        <f t="shared" si="268"/>
        <v>0.62100977198697072</v>
      </c>
      <c r="JT420" s="18">
        <f t="shared" si="269"/>
        <v>0.53</v>
      </c>
      <c r="JU420" s="280">
        <f t="shared" si="270"/>
        <v>38130</v>
      </c>
      <c r="JV420" s="280">
        <f t="shared" si="271"/>
        <v>53000</v>
      </c>
      <c r="JW420" s="319" t="str">
        <f t="shared" si="272"/>
        <v/>
      </c>
      <c r="JX420" s="15">
        <f t="shared" si="273"/>
        <v>0</v>
      </c>
      <c r="JY420" s="15">
        <f t="shared" si="274"/>
        <v>0</v>
      </c>
      <c r="JZ420" s="19" t="str">
        <f t="shared" si="275"/>
        <v/>
      </c>
      <c r="KA420" s="52">
        <f t="shared" si="276"/>
        <v>1</v>
      </c>
      <c r="KB420" s="15">
        <f t="shared" si="277"/>
        <v>55342</v>
      </c>
      <c r="KC420" s="15">
        <f t="shared" si="278"/>
        <v>100000</v>
      </c>
      <c r="KD420" s="20">
        <f t="shared" si="279"/>
        <v>1.8069459000397528</v>
      </c>
      <c r="KE420" s="52" t="str">
        <f t="shared" si="280"/>
        <v/>
      </c>
      <c r="KF420" s="15">
        <f t="shared" si="281"/>
        <v>0</v>
      </c>
      <c r="KG420" s="15">
        <f t="shared" si="282"/>
        <v>0</v>
      </c>
      <c r="KH420" s="21" t="str">
        <f t="shared" si="283"/>
        <v/>
      </c>
      <c r="KI420" s="52" t="str">
        <f t="shared" si="284"/>
        <v/>
      </c>
      <c r="KJ420" s="15">
        <f t="shared" si="285"/>
        <v>0</v>
      </c>
      <c r="KK420" s="15">
        <f t="shared" si="286"/>
        <v>0</v>
      </c>
      <c r="KL420" s="19" t="str">
        <f t="shared" si="287"/>
        <v/>
      </c>
      <c r="KM420" s="52">
        <f t="shared" si="288"/>
        <v>1</v>
      </c>
      <c r="KN420" s="22">
        <f t="shared" si="289"/>
        <v>0</v>
      </c>
      <c r="KO420" s="22">
        <f t="shared" si="290"/>
        <v>0</v>
      </c>
      <c r="KP420" s="19" t="str">
        <f t="shared" si="291"/>
        <v/>
      </c>
      <c r="KQ420" s="11" t="str">
        <f t="shared" si="292"/>
        <v>4. Transformative</v>
      </c>
      <c r="KR420" s="11" t="str">
        <f t="shared" si="293"/>
        <v>2. Accommodating</v>
      </c>
      <c r="KS420" s="11" t="str">
        <f t="shared" si="294"/>
        <v>2. Sensitive</v>
      </c>
      <c r="KT420" s="11" t="str">
        <f t="shared" si="295"/>
        <v>It tested new ways for fighting poverty, but did not measure results of innovation</v>
      </c>
      <c r="KU420" s="11" t="str">
        <f t="shared" si="296"/>
        <v>Moderate advocacy</v>
      </c>
      <c r="KV420" s="11" t="str">
        <f t="shared" si="297"/>
        <v>It linked and worked with strategic alliances and partners to take tested and effective solutions to scale</v>
      </c>
      <c r="KW420" s="11" t="str">
        <f t="shared" si="298"/>
        <v>Madagascar - Action Intégrée en Nutrition et Alimentation (AINA)</v>
      </c>
      <c r="KX420" s="11" t="str">
        <f t="shared" si="299"/>
        <v>Action Intégrée en Nutrition et Alimentation (AINA)</v>
      </c>
      <c r="KY420" s="11" t="str">
        <f t="shared" si="300"/>
        <v>Madagascar</v>
      </c>
      <c r="KZ420" s="12">
        <v>420</v>
      </c>
    </row>
    <row r="421" spans="1:312" x14ac:dyDescent="0.3">
      <c r="A421" s="12" t="s">
        <v>7216</v>
      </c>
      <c r="B421" s="12" t="s">
        <v>7217</v>
      </c>
      <c r="C421" s="12">
        <v>3106</v>
      </c>
      <c r="D421" s="12" t="s">
        <v>7387</v>
      </c>
      <c r="E421" s="277" t="str">
        <f t="shared" si="258"/>
        <v>Madagascar</v>
      </c>
      <c r="F421" s="12" t="s">
        <v>7388</v>
      </c>
      <c r="G421" s="12" t="s">
        <v>425</v>
      </c>
      <c r="H421" s="11" t="s">
        <v>310</v>
      </c>
      <c r="I421" s="12" t="s">
        <v>517</v>
      </c>
      <c r="J421" s="281" t="s">
        <v>14578</v>
      </c>
      <c r="K421" s="12"/>
      <c r="L421" s="12"/>
      <c r="M421" s="12"/>
      <c r="N421" s="12"/>
      <c r="O421" s="12"/>
      <c r="P421" s="12"/>
      <c r="Q421" s="12"/>
      <c r="R421" s="12"/>
      <c r="S421" s="12"/>
      <c r="T421" s="12"/>
      <c r="U421" s="12"/>
      <c r="V421" s="12"/>
      <c r="W421" s="12"/>
      <c r="X421" s="12"/>
      <c r="Y421" s="12"/>
      <c r="Z421" s="12"/>
      <c r="AA421" s="12"/>
      <c r="AB421" s="12"/>
      <c r="AC421" s="12"/>
      <c r="AD421" s="12"/>
      <c r="BD421" s="13">
        <v>41645</v>
      </c>
      <c r="BE421" s="13">
        <v>42921</v>
      </c>
      <c r="BF421" s="13">
        <v>43105</v>
      </c>
      <c r="BG421" s="12" t="s">
        <v>312</v>
      </c>
      <c r="BH421" s="14">
        <v>3216710.25</v>
      </c>
      <c r="BI421" s="12" t="s">
        <v>7389</v>
      </c>
      <c r="BJ421" s="12" t="s">
        <v>7390</v>
      </c>
      <c r="BK421" s="12" t="s">
        <v>7267</v>
      </c>
      <c r="BL421" s="12" t="s">
        <v>7391</v>
      </c>
      <c r="BM421" s="12" t="s">
        <v>2775</v>
      </c>
      <c r="BN421" s="12" t="s">
        <v>7392</v>
      </c>
      <c r="BO421" s="12" t="s">
        <v>319</v>
      </c>
      <c r="BP421" s="12" t="s">
        <v>320</v>
      </c>
      <c r="BQ421" s="12" t="s">
        <v>319</v>
      </c>
      <c r="BR421" s="12" t="s">
        <v>7393</v>
      </c>
      <c r="BS421" s="12" t="s">
        <v>357</v>
      </c>
      <c r="BT421" s="12" t="s">
        <v>7394</v>
      </c>
      <c r="BU421" s="12" t="s">
        <v>7395</v>
      </c>
      <c r="BV421" s="14">
        <v>45000</v>
      </c>
      <c r="BW421" s="14">
        <v>105000</v>
      </c>
      <c r="BX421" s="14">
        <v>150000</v>
      </c>
      <c r="BY421" s="14">
        <v>157500</v>
      </c>
      <c r="BZ421" s="14">
        <v>472500</v>
      </c>
      <c r="CA421" s="14">
        <v>630000</v>
      </c>
      <c r="CB421" s="12" t="s">
        <v>7396</v>
      </c>
      <c r="CD421" s="14"/>
      <c r="CE421" s="14"/>
      <c r="CF421" s="14"/>
      <c r="CG421" s="14"/>
      <c r="CH421" s="14"/>
      <c r="CI421" s="14"/>
      <c r="CJ421" s="12"/>
      <c r="CK421" s="14"/>
      <c r="CL421" s="16"/>
      <c r="CM421" s="14"/>
      <c r="CN421" s="12"/>
      <c r="CO421" s="14"/>
      <c r="CP421" s="16"/>
      <c r="CQ421" s="14"/>
      <c r="CR421" s="12"/>
      <c r="CS421" s="14"/>
      <c r="CT421" s="16"/>
      <c r="CU421" s="14"/>
      <c r="CV421" s="12"/>
      <c r="CW421" s="14"/>
      <c r="CX421" s="16"/>
      <c r="CY421" s="14"/>
      <c r="CZ421" s="12"/>
      <c r="DA421" s="14"/>
      <c r="DB421" s="16"/>
      <c r="DC421" s="14"/>
      <c r="DD421" s="12"/>
      <c r="DE421" s="14"/>
      <c r="DF421" s="16"/>
      <c r="DG421" s="14"/>
      <c r="DH421" s="12"/>
      <c r="DI421" s="14"/>
      <c r="DJ421" s="16"/>
      <c r="DK421" s="14"/>
      <c r="DL421" s="12"/>
      <c r="DM421" s="14"/>
      <c r="DN421" s="16"/>
      <c r="DO421" s="14"/>
      <c r="DP421" s="12"/>
      <c r="DQ421" s="14"/>
      <c r="DR421" s="16"/>
      <c r="DS421" s="14"/>
      <c r="DT421" s="12"/>
      <c r="DU421" s="14"/>
      <c r="DV421" s="16"/>
      <c r="DW421" s="14"/>
      <c r="DX421" s="12"/>
      <c r="DY421" s="14"/>
      <c r="DZ421" s="16"/>
      <c r="EA421" s="14"/>
      <c r="EB421" s="12"/>
      <c r="EC421" s="14"/>
      <c r="ED421" s="16"/>
      <c r="EE421" s="14"/>
      <c r="EF421" s="12"/>
      <c r="EG421" s="12"/>
      <c r="EH421" s="14"/>
      <c r="EI421" s="16"/>
      <c r="EJ421" s="14"/>
      <c r="EK421" s="14">
        <v>6212</v>
      </c>
      <c r="EL421" s="14">
        <v>4551</v>
      </c>
      <c r="EM421" s="14">
        <v>10763</v>
      </c>
      <c r="EN421" s="14">
        <v>24848</v>
      </c>
      <c r="EO421" s="14">
        <v>18204</v>
      </c>
      <c r="EP421" s="14">
        <v>43052</v>
      </c>
      <c r="EQ421" s="12" t="s">
        <v>320</v>
      </c>
      <c r="ER421" s="14">
        <v>7449</v>
      </c>
      <c r="ES421" s="16">
        <v>0.4</v>
      </c>
      <c r="ET421" s="14">
        <v>29796</v>
      </c>
      <c r="EU421" s="12"/>
      <c r="EV421" s="14"/>
      <c r="EW421" s="16"/>
      <c r="EX421" s="14"/>
      <c r="EY421" s="12"/>
      <c r="EZ421" s="14"/>
      <c r="FA421" s="16"/>
      <c r="FB421" s="14"/>
      <c r="FC421" s="12"/>
      <c r="FD421" s="14"/>
      <c r="FE421" s="16"/>
      <c r="FF421" s="14"/>
      <c r="FG421" s="12"/>
      <c r="FH421" s="14"/>
      <c r="FI421" s="16"/>
      <c r="FJ421" s="14"/>
      <c r="FK421" s="12"/>
      <c r="FL421" s="14"/>
      <c r="FM421" s="16"/>
      <c r="FN421" s="14"/>
      <c r="FO421" s="12"/>
      <c r="FP421" s="14"/>
      <c r="FQ421" s="16"/>
      <c r="FR421" s="14"/>
      <c r="FS421" s="12"/>
      <c r="FT421" s="14"/>
      <c r="FU421" s="16"/>
      <c r="FV421" s="14"/>
      <c r="FW421" s="12"/>
      <c r="FX421" s="14"/>
      <c r="FY421" s="16"/>
      <c r="FZ421" s="14"/>
      <c r="GA421" s="12"/>
      <c r="GB421" s="14"/>
      <c r="GC421" s="16"/>
      <c r="GD421" s="14"/>
      <c r="GE421" s="12" t="s">
        <v>320</v>
      </c>
      <c r="GF421" s="14">
        <v>3927</v>
      </c>
      <c r="GG421" s="16">
        <v>0.25</v>
      </c>
      <c r="GH421" s="14">
        <v>15700</v>
      </c>
      <c r="GI421" s="12"/>
      <c r="GJ421" s="14"/>
      <c r="GK421" s="16"/>
      <c r="GL421" s="14"/>
      <c r="GM421" s="12"/>
      <c r="GN421" s="14"/>
      <c r="GO421" s="16"/>
      <c r="GP421" s="14"/>
      <c r="GQ421" s="12"/>
      <c r="GR421" s="14"/>
      <c r="GS421" s="16"/>
      <c r="GT421" s="14"/>
      <c r="GU421" s="12"/>
      <c r="GV421" s="14"/>
      <c r="GW421" s="16"/>
      <c r="GX421" s="14"/>
      <c r="GY421" s="11" t="s">
        <v>320</v>
      </c>
      <c r="GZ421" s="14">
        <v>810</v>
      </c>
      <c r="HA421" s="16">
        <v>0.4</v>
      </c>
      <c r="HB421" s="14">
        <v>3240</v>
      </c>
      <c r="HC421" s="12"/>
      <c r="HD421" s="12"/>
      <c r="HE421" s="14"/>
      <c r="HF421" s="16"/>
      <c r="HG421" s="14"/>
      <c r="HH421" s="12" t="s">
        <v>319</v>
      </c>
      <c r="HI421" s="12"/>
      <c r="HJ421" s="12"/>
      <c r="HK421" s="12"/>
      <c r="HL421" s="12" t="s">
        <v>320</v>
      </c>
      <c r="HM421" s="12" t="s">
        <v>328</v>
      </c>
      <c r="HN421" s="12">
        <v>2017</v>
      </c>
      <c r="HO421" s="12" t="s">
        <v>7397</v>
      </c>
      <c r="HP421" s="12" t="s">
        <v>330</v>
      </c>
      <c r="HQ421" s="12" t="s">
        <v>320</v>
      </c>
      <c r="HR421" s="12" t="s">
        <v>319</v>
      </c>
      <c r="HS421" s="12" t="s">
        <v>320</v>
      </c>
      <c r="HT421" s="12" t="s">
        <v>320</v>
      </c>
      <c r="HU421" s="12" t="s">
        <v>320</v>
      </c>
      <c r="HV421" s="12" t="s">
        <v>320</v>
      </c>
      <c r="HW421" s="12" t="s">
        <v>320</v>
      </c>
      <c r="HX421" s="12"/>
      <c r="HY421" s="12"/>
      <c r="HZ421" s="12" t="s">
        <v>331</v>
      </c>
      <c r="IA421" s="12" t="s">
        <v>7398</v>
      </c>
      <c r="IB421" s="12" t="s">
        <v>396</v>
      </c>
      <c r="IC421" s="12" t="s">
        <v>7399</v>
      </c>
      <c r="ID421" s="11" t="s">
        <v>364</v>
      </c>
      <c r="IE421" s="12" t="s">
        <v>335</v>
      </c>
      <c r="IF421" s="12" t="s">
        <v>320</v>
      </c>
      <c r="IG421" s="12" t="s">
        <v>320</v>
      </c>
      <c r="IH421" s="12" t="s">
        <v>320</v>
      </c>
      <c r="II421" s="12" t="s">
        <v>320</v>
      </c>
      <c r="IJ421" s="12" t="str">
        <f t="shared" si="259"/>
        <v>2. Sensitive</v>
      </c>
      <c r="IK421" s="12">
        <f t="shared" si="260"/>
        <v>4</v>
      </c>
      <c r="IL421" s="12" t="s">
        <v>336</v>
      </c>
      <c r="IM421" s="12" t="s">
        <v>320</v>
      </c>
      <c r="IN421" s="12" t="s">
        <v>320</v>
      </c>
      <c r="IO421" s="12" t="s">
        <v>320</v>
      </c>
      <c r="IP421" s="12" t="s">
        <v>320</v>
      </c>
      <c r="IQ421" s="12" t="str">
        <f t="shared" si="261"/>
        <v>2. Accommodating</v>
      </c>
      <c r="IR421" s="12">
        <f t="shared" si="262"/>
        <v>4</v>
      </c>
      <c r="IS421" s="12" t="s">
        <v>337</v>
      </c>
      <c r="IT421" s="12" t="s">
        <v>319</v>
      </c>
      <c r="IU421" s="12" t="s">
        <v>320</v>
      </c>
      <c r="IV421" s="12" t="s">
        <v>320</v>
      </c>
      <c r="IW421" s="11" t="str">
        <f t="shared" si="263"/>
        <v>1. Neutral</v>
      </c>
      <c r="IX421" s="12">
        <f t="shared" si="264"/>
        <v>2</v>
      </c>
      <c r="IY421" s="11" t="s">
        <v>419</v>
      </c>
      <c r="IZ421" s="12" t="s">
        <v>457</v>
      </c>
      <c r="JA421" s="12">
        <v>12</v>
      </c>
      <c r="JB421" s="12" t="s">
        <v>624</v>
      </c>
      <c r="JC421" s="12" t="s">
        <v>433</v>
      </c>
      <c r="JD421" s="11" t="s">
        <v>687</v>
      </c>
      <c r="JE421" s="12" t="s">
        <v>365</v>
      </c>
      <c r="JF421" s="12" t="s">
        <v>7400</v>
      </c>
      <c r="JG421" s="12"/>
      <c r="JH421" s="12" t="s">
        <v>7401</v>
      </c>
      <c r="JI421" s="12" t="s">
        <v>7402</v>
      </c>
      <c r="JJ421" s="12" t="s">
        <v>7403</v>
      </c>
      <c r="JK421" s="12" t="s">
        <v>7404</v>
      </c>
      <c r="JL421" s="12" t="s">
        <v>7405</v>
      </c>
      <c r="JM421" s="12" t="s">
        <v>7406</v>
      </c>
      <c r="JN421" s="12" t="s">
        <v>7407</v>
      </c>
      <c r="JO421" s="12"/>
      <c r="JP421" s="15">
        <f t="shared" si="265"/>
        <v>10763</v>
      </c>
      <c r="JQ421" s="15">
        <f t="shared" si="266"/>
        <v>43052</v>
      </c>
      <c r="JR421" s="279">
        <f t="shared" si="267"/>
        <v>4</v>
      </c>
      <c r="JS421" s="17">
        <f t="shared" si="268"/>
        <v>0.57716250116138623</v>
      </c>
      <c r="JT421" s="18">
        <f t="shared" si="269"/>
        <v>0.57716250116138623</v>
      </c>
      <c r="JU421" s="280">
        <f t="shared" si="270"/>
        <v>6212</v>
      </c>
      <c r="JV421" s="280">
        <f t="shared" si="271"/>
        <v>24848</v>
      </c>
      <c r="JW421" s="319" t="str">
        <f t="shared" si="272"/>
        <v/>
      </c>
      <c r="JX421" s="15">
        <f t="shared" si="273"/>
        <v>0</v>
      </c>
      <c r="JY421" s="15">
        <f t="shared" si="274"/>
        <v>0</v>
      </c>
      <c r="JZ421" s="19" t="str">
        <f t="shared" si="275"/>
        <v/>
      </c>
      <c r="KA421" s="52">
        <f t="shared" si="276"/>
        <v>1</v>
      </c>
      <c r="KB421" s="15">
        <f t="shared" si="277"/>
        <v>7449</v>
      </c>
      <c r="KC421" s="15">
        <f t="shared" si="278"/>
        <v>29796</v>
      </c>
      <c r="KD421" s="20">
        <f t="shared" si="279"/>
        <v>4</v>
      </c>
      <c r="KE421" s="52" t="str">
        <f t="shared" si="280"/>
        <v/>
      </c>
      <c r="KF421" s="15">
        <f t="shared" si="281"/>
        <v>0</v>
      </c>
      <c r="KG421" s="15">
        <f t="shared" si="282"/>
        <v>0</v>
      </c>
      <c r="KH421" s="21" t="str">
        <f t="shared" si="283"/>
        <v/>
      </c>
      <c r="KI421" s="52" t="str">
        <f t="shared" si="284"/>
        <v/>
      </c>
      <c r="KJ421" s="15">
        <f t="shared" si="285"/>
        <v>0</v>
      </c>
      <c r="KK421" s="15">
        <f t="shared" si="286"/>
        <v>0</v>
      </c>
      <c r="KL421" s="19" t="str">
        <f t="shared" si="287"/>
        <v/>
      </c>
      <c r="KM421" s="52">
        <f t="shared" si="288"/>
        <v>1</v>
      </c>
      <c r="KN421" s="22">
        <f t="shared" si="289"/>
        <v>810</v>
      </c>
      <c r="KO421" s="22">
        <f t="shared" si="290"/>
        <v>3240</v>
      </c>
      <c r="KP421" s="19">
        <f t="shared" si="291"/>
        <v>4</v>
      </c>
      <c r="KQ421" s="11" t="str">
        <f t="shared" si="292"/>
        <v>2. Sensitive</v>
      </c>
      <c r="KR421" s="11" t="str">
        <f t="shared" si="293"/>
        <v>2. Accommodating</v>
      </c>
      <c r="KS421" s="11" t="str">
        <f t="shared" si="294"/>
        <v>1. Neutral</v>
      </c>
      <c r="KT421" s="11" t="str">
        <f t="shared" si="295"/>
        <v>It tested new ways for fighting poverty and measured results of innovation</v>
      </c>
      <c r="KU421" s="11" t="str">
        <f t="shared" si="296"/>
        <v>Moderate advocacy</v>
      </c>
      <c r="KV421" s="11" t="str">
        <f t="shared" si="297"/>
        <v>It linked and worked with strategic alliances and partners to take tested and effective solutions to scale</v>
      </c>
      <c r="KW421" s="11" t="str">
        <f t="shared" si="298"/>
        <v>Madagascar - ASARA - FRDA Anosy (Amélioration de la Sécurité Alimentaire et Augmentation des Revenus Agricoles/Fonds Régional de Développement Agricole dans la Région Anosy)</v>
      </c>
      <c r="KX421" s="11" t="str">
        <f t="shared" si="299"/>
        <v>ASARA - FRDA Anosy (Amélioration de la Sécurité Alimentaire et Augmentation des Revenus Agricoles/Fonds Régional de Développement Agricole dans la Région Anosy)</v>
      </c>
      <c r="KY421" s="11" t="str">
        <f t="shared" si="300"/>
        <v>Madagascar</v>
      </c>
      <c r="KZ421" s="12">
        <v>421</v>
      </c>
    </row>
    <row r="422" spans="1:312" x14ac:dyDescent="0.3">
      <c r="A422" s="12" t="s">
        <v>7216</v>
      </c>
      <c r="B422" s="12" t="s">
        <v>7217</v>
      </c>
      <c r="C422" s="12">
        <v>3113</v>
      </c>
      <c r="D422" s="12" t="s">
        <v>7218</v>
      </c>
      <c r="E422" s="277" t="str">
        <f t="shared" si="258"/>
        <v>Madagascar</v>
      </c>
      <c r="F422" s="12" t="s">
        <v>7219</v>
      </c>
      <c r="G422" s="12" t="s">
        <v>1738</v>
      </c>
      <c r="H422" s="11" t="s">
        <v>310</v>
      </c>
      <c r="I422" s="12" t="s">
        <v>2595</v>
      </c>
      <c r="J422" s="281" t="s">
        <v>14604</v>
      </c>
      <c r="K422" s="12" t="s">
        <v>7220</v>
      </c>
      <c r="L422" s="12" t="s">
        <v>714</v>
      </c>
      <c r="M422" s="11" t="s">
        <v>310</v>
      </c>
      <c r="N422" s="12" t="s">
        <v>655</v>
      </c>
      <c r="O422" s="281" t="s">
        <v>9916</v>
      </c>
      <c r="P422" s="12" t="s">
        <v>7221</v>
      </c>
      <c r="Q422" s="12" t="s">
        <v>376</v>
      </c>
      <c r="R422" s="12" t="s">
        <v>380</v>
      </c>
      <c r="S422" s="12" t="s">
        <v>384</v>
      </c>
      <c r="T422" s="12" t="s">
        <v>698</v>
      </c>
      <c r="U422" s="12" t="s">
        <v>7222</v>
      </c>
      <c r="V422" s="12" t="s">
        <v>714</v>
      </c>
      <c r="W422" s="12" t="s">
        <v>310</v>
      </c>
      <c r="X422" s="12" t="s">
        <v>384</v>
      </c>
      <c r="Y422" s="12" t="s">
        <v>7223</v>
      </c>
      <c r="Z422" s="12" t="s">
        <v>7224</v>
      </c>
      <c r="AA422" s="12" t="s">
        <v>714</v>
      </c>
      <c r="AB422" s="12" t="s">
        <v>310</v>
      </c>
      <c r="AC422" s="12" t="s">
        <v>517</v>
      </c>
      <c r="AD422" s="12" t="s">
        <v>14578</v>
      </c>
      <c r="BD422" s="13">
        <v>42005</v>
      </c>
      <c r="BE422" s="12"/>
      <c r="BF422" s="12"/>
      <c r="BG422" s="12" t="s">
        <v>908</v>
      </c>
      <c r="BH422" s="14">
        <v>1924204.23</v>
      </c>
      <c r="BI422" s="12" t="s">
        <v>7225</v>
      </c>
      <c r="BJ422" s="12" t="s">
        <v>7226</v>
      </c>
      <c r="BK422" s="12" t="s">
        <v>7227</v>
      </c>
      <c r="BL422" s="12" t="s">
        <v>7228</v>
      </c>
      <c r="BM422" s="12" t="s">
        <v>1834</v>
      </c>
      <c r="BN422" s="12" t="s">
        <v>7229</v>
      </c>
      <c r="BO422" s="12" t="s">
        <v>320</v>
      </c>
      <c r="BP422" s="12" t="s">
        <v>320</v>
      </c>
      <c r="BQ422" s="12" t="s">
        <v>320</v>
      </c>
      <c r="BR422" s="12" t="s">
        <v>7230</v>
      </c>
      <c r="BS422" s="12" t="s">
        <v>357</v>
      </c>
      <c r="BT422" s="12" t="s">
        <v>7231</v>
      </c>
      <c r="BU422" s="12" t="s">
        <v>7232</v>
      </c>
      <c r="BV422" s="14">
        <v>14625</v>
      </c>
      <c r="BW422" s="14">
        <v>7875</v>
      </c>
      <c r="BX422" s="14">
        <v>22500</v>
      </c>
      <c r="BY422" s="14">
        <v>162500</v>
      </c>
      <c r="BZ422" s="14">
        <v>87500</v>
      </c>
      <c r="CA422" s="14">
        <v>250000</v>
      </c>
      <c r="CB422" s="12"/>
      <c r="CD422" s="14"/>
      <c r="CE422" s="14"/>
      <c r="CF422" s="14"/>
      <c r="CG422" s="14"/>
      <c r="CH422" s="14"/>
      <c r="CI422" s="14"/>
      <c r="CJ422" s="12"/>
      <c r="CK422" s="14"/>
      <c r="CL422" s="16"/>
      <c r="CM422" s="14"/>
      <c r="CN422" s="12" t="s">
        <v>320</v>
      </c>
      <c r="CO422" s="14">
        <v>3630</v>
      </c>
      <c r="CP422" s="16">
        <v>0.63700000000000001</v>
      </c>
      <c r="CQ422" s="14">
        <v>18150</v>
      </c>
      <c r="CR422" s="12"/>
      <c r="CS422" s="14"/>
      <c r="CT422" s="16"/>
      <c r="CU422" s="14"/>
      <c r="CV422" s="12" t="s">
        <v>320</v>
      </c>
      <c r="CW422" s="14">
        <v>17214</v>
      </c>
      <c r="CX422" s="16">
        <v>0.64329999999999998</v>
      </c>
      <c r="CY422" s="14">
        <v>86070</v>
      </c>
      <c r="CZ422" s="12"/>
      <c r="DA422" s="14"/>
      <c r="DB422" s="16"/>
      <c r="DC422" s="14"/>
      <c r="DD422" s="12"/>
      <c r="DE422" s="14"/>
      <c r="DF422" s="16"/>
      <c r="DG422" s="14"/>
      <c r="DH422" s="12"/>
      <c r="DI422" s="14"/>
      <c r="DJ422" s="16"/>
      <c r="DK422" s="14"/>
      <c r="DL422" s="12"/>
      <c r="DM422" s="14"/>
      <c r="DN422" s="16"/>
      <c r="DO422" s="14"/>
      <c r="DP422" s="12"/>
      <c r="DQ422" s="14"/>
      <c r="DR422" s="16"/>
      <c r="DS422" s="14"/>
      <c r="DT422" s="12"/>
      <c r="DU422" s="14"/>
      <c r="DV422" s="16"/>
      <c r="DW422" s="14"/>
      <c r="DX422" s="12" t="s">
        <v>320</v>
      </c>
      <c r="DY422" s="14">
        <v>4058</v>
      </c>
      <c r="DZ422" s="16">
        <v>0.55469999999999997</v>
      </c>
      <c r="EA422" s="14">
        <v>16530</v>
      </c>
      <c r="EB422" s="12"/>
      <c r="EC422" s="14"/>
      <c r="ED422" s="16"/>
      <c r="EE422" s="14"/>
      <c r="EF422" s="12" t="s">
        <v>7233</v>
      </c>
      <c r="EG422" s="12" t="s">
        <v>320</v>
      </c>
      <c r="EH422" s="14">
        <v>2020</v>
      </c>
      <c r="EI422" s="16">
        <v>0.54300000000000004</v>
      </c>
      <c r="EJ422" s="14">
        <v>10100</v>
      </c>
      <c r="EK422" s="14">
        <v>5015</v>
      </c>
      <c r="EL422" s="14">
        <v>4507</v>
      </c>
      <c r="EM422" s="14">
        <v>9522</v>
      </c>
      <c r="EN422" s="14">
        <v>162500</v>
      </c>
      <c r="EO422" s="14">
        <v>87500</v>
      </c>
      <c r="EP422" s="14">
        <v>250000</v>
      </c>
      <c r="EQ422" s="12" t="s">
        <v>320</v>
      </c>
      <c r="ER422" s="14">
        <v>9522</v>
      </c>
      <c r="ES422" s="16">
        <v>0.55659999999999998</v>
      </c>
      <c r="ET422" s="14">
        <v>47610</v>
      </c>
      <c r="EU422" s="11" t="s">
        <v>320</v>
      </c>
      <c r="EV422" s="14">
        <v>9522</v>
      </c>
      <c r="EW422" s="16">
        <v>0.55659999999999998</v>
      </c>
      <c r="EX422" s="14">
        <v>47610</v>
      </c>
      <c r="EY422" s="12" t="s">
        <v>319</v>
      </c>
      <c r="EZ422" s="14"/>
      <c r="FA422" s="16"/>
      <c r="FB422" s="14"/>
      <c r="FC422" s="12" t="s">
        <v>320</v>
      </c>
      <c r="FD422" s="14">
        <v>2155</v>
      </c>
      <c r="FE422" s="16">
        <v>0.32379999999999998</v>
      </c>
      <c r="FF422" s="14">
        <v>250000</v>
      </c>
      <c r="FG422" s="12" t="s">
        <v>320</v>
      </c>
      <c r="FH422" s="14">
        <v>5080</v>
      </c>
      <c r="FI422" s="16">
        <v>0.81699999999999995</v>
      </c>
      <c r="FJ422" s="14">
        <v>25400</v>
      </c>
      <c r="FK422" s="12" t="s">
        <v>319</v>
      </c>
      <c r="FL422" s="14"/>
      <c r="FM422" s="16"/>
      <c r="FN422" s="14"/>
      <c r="FO422" s="12" t="s">
        <v>320</v>
      </c>
      <c r="FP422" s="14">
        <v>9522</v>
      </c>
      <c r="FQ422" s="16">
        <v>0.55659999999999998</v>
      </c>
      <c r="FR422" s="14">
        <v>47610</v>
      </c>
      <c r="FS422" s="12" t="s">
        <v>319</v>
      </c>
      <c r="FT422" s="14"/>
      <c r="FU422" s="16"/>
      <c r="FV422" s="14"/>
      <c r="FW422" s="12" t="s">
        <v>319</v>
      </c>
      <c r="FX422" s="14"/>
      <c r="FY422" s="16"/>
      <c r="FZ422" s="14"/>
      <c r="GA422" s="12" t="s">
        <v>319</v>
      </c>
      <c r="GB422" s="14"/>
      <c r="GC422" s="16"/>
      <c r="GD422" s="14"/>
      <c r="GE422" s="12" t="s">
        <v>320</v>
      </c>
      <c r="GF422" s="14">
        <v>9522</v>
      </c>
      <c r="GG422" s="16">
        <v>0.55659999999999998</v>
      </c>
      <c r="GH422" s="14">
        <v>47610</v>
      </c>
      <c r="GI422" s="11" t="s">
        <v>320</v>
      </c>
      <c r="GJ422" s="14">
        <v>48059</v>
      </c>
      <c r="GK422" s="16">
        <v>0.79</v>
      </c>
      <c r="GL422" s="14">
        <v>250000</v>
      </c>
      <c r="GM422" s="11" t="s">
        <v>320</v>
      </c>
      <c r="GN422" s="14">
        <v>2155</v>
      </c>
      <c r="GO422" s="16">
        <v>0.32379999999999998</v>
      </c>
      <c r="GP422" s="14">
        <v>250000</v>
      </c>
      <c r="GQ422" s="12" t="s">
        <v>319</v>
      </c>
      <c r="GR422" s="14"/>
      <c r="GS422" s="16"/>
      <c r="GT422" s="14"/>
      <c r="GU422" s="12" t="s">
        <v>319</v>
      </c>
      <c r="GV422" s="14"/>
      <c r="GW422" s="16"/>
      <c r="GX422" s="14"/>
      <c r="GY422" s="11" t="s">
        <v>320</v>
      </c>
      <c r="GZ422" s="14">
        <v>5080</v>
      </c>
      <c r="HA422" s="16">
        <v>0.81699999999999995</v>
      </c>
      <c r="HB422" s="14">
        <v>25400</v>
      </c>
      <c r="HC422" s="12"/>
      <c r="HD422" s="12"/>
      <c r="HE422" s="14"/>
      <c r="HF422" s="16"/>
      <c r="HG422" s="14"/>
      <c r="HH422" s="12" t="s">
        <v>320</v>
      </c>
      <c r="HI422" s="12" t="s">
        <v>544</v>
      </c>
      <c r="HJ422" s="12">
        <v>2017</v>
      </c>
      <c r="HK422" s="12" t="s">
        <v>320</v>
      </c>
      <c r="HL422" s="12" t="s">
        <v>320</v>
      </c>
      <c r="HM422" s="12" t="s">
        <v>619</v>
      </c>
      <c r="HN422" s="12">
        <v>2017</v>
      </c>
      <c r="HO422" s="12" t="s">
        <v>7234</v>
      </c>
      <c r="HP422" s="12" t="s">
        <v>330</v>
      </c>
      <c r="HQ422" s="12" t="s">
        <v>319</v>
      </c>
      <c r="HR422" s="12" t="s">
        <v>319</v>
      </c>
      <c r="HS422" s="12" t="s">
        <v>320</v>
      </c>
      <c r="HT422" s="12" t="s">
        <v>320</v>
      </c>
      <c r="HU422" s="12" t="s">
        <v>319</v>
      </c>
      <c r="HV422" s="12" t="s">
        <v>320</v>
      </c>
      <c r="HW422" s="12" t="s">
        <v>320</v>
      </c>
      <c r="HX422" s="12" t="s">
        <v>319</v>
      </c>
      <c r="HY422" s="12"/>
      <c r="HZ422" s="11" t="s">
        <v>394</v>
      </c>
      <c r="IA422" s="12" t="s">
        <v>7235</v>
      </c>
      <c r="IB422" s="12" t="s">
        <v>667</v>
      </c>
      <c r="IC422" s="12"/>
      <c r="ID422" s="11" t="s">
        <v>364</v>
      </c>
      <c r="IE422" s="12" t="s">
        <v>335</v>
      </c>
      <c r="IF422" s="12" t="s">
        <v>320</v>
      </c>
      <c r="IG422" s="12" t="s">
        <v>320</v>
      </c>
      <c r="IH422" s="12" t="s">
        <v>320</v>
      </c>
      <c r="II422" s="12" t="s">
        <v>320</v>
      </c>
      <c r="IJ422" s="12" t="str">
        <f t="shared" si="259"/>
        <v>2. Sensitive</v>
      </c>
      <c r="IK422" s="12">
        <f t="shared" si="260"/>
        <v>4</v>
      </c>
      <c r="IL422" s="12" t="s">
        <v>336</v>
      </c>
      <c r="IM422" s="12" t="s">
        <v>319</v>
      </c>
      <c r="IN422" s="12" t="s">
        <v>320</v>
      </c>
      <c r="IO422" s="12" t="s">
        <v>320</v>
      </c>
      <c r="IP422" s="12" t="s">
        <v>320</v>
      </c>
      <c r="IQ422" s="12" t="str">
        <f t="shared" si="261"/>
        <v>2. Accommodating</v>
      </c>
      <c r="IR422" s="12">
        <f t="shared" si="262"/>
        <v>3</v>
      </c>
      <c r="IS422" s="12" t="s">
        <v>622</v>
      </c>
      <c r="IT422" s="12" t="s">
        <v>320</v>
      </c>
      <c r="IU422" s="12" t="s">
        <v>320</v>
      </c>
      <c r="IV422" s="12" t="s">
        <v>320</v>
      </c>
      <c r="IW422" s="11" t="str">
        <f t="shared" si="263"/>
        <v>4. Transformative</v>
      </c>
      <c r="IX422" s="12">
        <f t="shared" si="264"/>
        <v>3</v>
      </c>
      <c r="IY422" s="11" t="s">
        <v>758</v>
      </c>
      <c r="IZ422" s="12" t="s">
        <v>432</v>
      </c>
      <c r="JA422" s="12">
        <v>1</v>
      </c>
      <c r="JB422" s="11" t="s">
        <v>623</v>
      </c>
      <c r="JC422" s="11" t="s">
        <v>624</v>
      </c>
      <c r="JD422" s="11" t="s">
        <v>687</v>
      </c>
      <c r="JE422" s="12" t="s">
        <v>340</v>
      </c>
      <c r="JF422" s="12" t="s">
        <v>7236</v>
      </c>
      <c r="JG422" s="12"/>
      <c r="JH422" s="12" t="s">
        <v>1323</v>
      </c>
      <c r="JI422" s="12" t="s">
        <v>7237</v>
      </c>
      <c r="JJ422" s="12" t="s">
        <v>7238</v>
      </c>
      <c r="JK422" s="12" t="s">
        <v>7239</v>
      </c>
      <c r="JL422" s="12" t="s">
        <v>7240</v>
      </c>
      <c r="JM422" s="12" t="s">
        <v>7241</v>
      </c>
      <c r="JN422" s="12"/>
      <c r="JO422" s="12" t="s">
        <v>7242</v>
      </c>
      <c r="JP422" s="15">
        <f t="shared" si="265"/>
        <v>9522</v>
      </c>
      <c r="JQ422" s="15">
        <f t="shared" si="266"/>
        <v>250000</v>
      </c>
      <c r="JR422" s="279">
        <f t="shared" si="267"/>
        <v>26.254988447805083</v>
      </c>
      <c r="JS422" s="17">
        <f t="shared" si="268"/>
        <v>0.52667506826296995</v>
      </c>
      <c r="JT422" s="18">
        <f t="shared" si="269"/>
        <v>0.65</v>
      </c>
      <c r="JU422" s="280">
        <f t="shared" si="270"/>
        <v>5015</v>
      </c>
      <c r="JV422" s="280">
        <f t="shared" si="271"/>
        <v>162500</v>
      </c>
      <c r="JW422" s="319">
        <f t="shared" si="272"/>
        <v>1</v>
      </c>
      <c r="JX422" s="15">
        <f t="shared" si="273"/>
        <v>0</v>
      </c>
      <c r="JY422" s="15">
        <f t="shared" si="274"/>
        <v>0</v>
      </c>
      <c r="JZ422" s="19" t="str">
        <f t="shared" si="275"/>
        <v/>
      </c>
      <c r="KA422" s="52">
        <f t="shared" si="276"/>
        <v>1</v>
      </c>
      <c r="KB422" s="15">
        <f t="shared" si="277"/>
        <v>48059</v>
      </c>
      <c r="KC422" s="15">
        <f t="shared" si="278"/>
        <v>250000</v>
      </c>
      <c r="KD422" s="20">
        <f t="shared" si="279"/>
        <v>5.2019392829646893</v>
      </c>
      <c r="KE422" s="52" t="str">
        <f t="shared" si="280"/>
        <v/>
      </c>
      <c r="KF422" s="15">
        <f t="shared" si="281"/>
        <v>0</v>
      </c>
      <c r="KG422" s="15">
        <f t="shared" si="282"/>
        <v>0</v>
      </c>
      <c r="KH422" s="21" t="str">
        <f t="shared" si="283"/>
        <v/>
      </c>
      <c r="KI422" s="52" t="str">
        <f t="shared" si="284"/>
        <v/>
      </c>
      <c r="KJ422" s="15">
        <f t="shared" si="285"/>
        <v>0</v>
      </c>
      <c r="KK422" s="15">
        <f t="shared" si="286"/>
        <v>0</v>
      </c>
      <c r="KL422" s="19" t="str">
        <f t="shared" si="287"/>
        <v/>
      </c>
      <c r="KM422" s="52">
        <f t="shared" si="288"/>
        <v>1</v>
      </c>
      <c r="KN422" s="22">
        <f t="shared" si="289"/>
        <v>5080</v>
      </c>
      <c r="KO422" s="22">
        <f t="shared" si="290"/>
        <v>25400</v>
      </c>
      <c r="KP422" s="19">
        <f t="shared" si="291"/>
        <v>5</v>
      </c>
      <c r="KQ422" s="11" t="str">
        <f t="shared" si="292"/>
        <v>2. Sensitive</v>
      </c>
      <c r="KR422" s="11" t="str">
        <f t="shared" si="293"/>
        <v>2. Accommodating</v>
      </c>
      <c r="KS422" s="11" t="str">
        <f t="shared" si="294"/>
        <v>4. Transformative</v>
      </c>
      <c r="KT422" s="11" t="str">
        <f t="shared" si="295"/>
        <v>It tested new ways for fighting poverty, but did not measure results of innovation</v>
      </c>
      <c r="KU422" s="11" t="str">
        <f t="shared" si="296"/>
        <v>Moderate advocacy</v>
      </c>
      <c r="KV422" s="11" t="str">
        <f t="shared" si="297"/>
        <v>It took tested solutions to scale on its own</v>
      </c>
      <c r="KW422" s="11" t="str">
        <f t="shared" si="298"/>
        <v>Madagascar - MAHAFATOKY - Protection and adaptation against the implication of climate change on the east coast of Madagascar.</v>
      </c>
      <c r="KX422" s="11" t="str">
        <f t="shared" si="299"/>
        <v>MAHAFATOKY - Protection and adaptation against the implication of climate change on the east coast of Madagascar.</v>
      </c>
      <c r="KY422" s="11" t="str">
        <f t="shared" si="300"/>
        <v>Madagascar</v>
      </c>
      <c r="KZ422" s="12">
        <v>422</v>
      </c>
    </row>
    <row r="423" spans="1:312" x14ac:dyDescent="0.3">
      <c r="A423" s="12" t="s">
        <v>7216</v>
      </c>
      <c r="B423" s="12" t="s">
        <v>7217</v>
      </c>
      <c r="C423" s="12">
        <v>3109</v>
      </c>
      <c r="D423" s="12" t="s">
        <v>7263</v>
      </c>
      <c r="E423" s="277" t="str">
        <f t="shared" si="258"/>
        <v>Madagascar</v>
      </c>
      <c r="F423" s="12" t="s">
        <v>7264</v>
      </c>
      <c r="G423" s="12" t="s">
        <v>714</v>
      </c>
      <c r="H423" s="11" t="s">
        <v>489</v>
      </c>
      <c r="I423" s="12" t="s">
        <v>384</v>
      </c>
      <c r="J423" s="281" t="s">
        <v>14713</v>
      </c>
      <c r="K423" s="12"/>
      <c r="L423" s="12"/>
      <c r="M423" s="12"/>
      <c r="N423" s="12"/>
      <c r="O423" s="12"/>
      <c r="P423" s="12"/>
      <c r="Q423" s="12"/>
      <c r="R423" s="12"/>
      <c r="S423" s="12"/>
      <c r="T423" s="12"/>
      <c r="U423" s="12"/>
      <c r="V423" s="12"/>
      <c r="W423" s="12"/>
      <c r="X423" s="12"/>
      <c r="Y423" s="12"/>
      <c r="Z423" s="12"/>
      <c r="AA423" s="12"/>
      <c r="AB423" s="12"/>
      <c r="AC423" s="12"/>
      <c r="AD423" s="12"/>
      <c r="BD423" s="13">
        <v>41821</v>
      </c>
      <c r="BE423" s="13">
        <v>43281</v>
      </c>
      <c r="BF423" s="12"/>
      <c r="BG423" s="12" t="s">
        <v>312</v>
      </c>
      <c r="BH423" s="14">
        <v>1170000</v>
      </c>
      <c r="BI423" s="12" t="s">
        <v>7265</v>
      </c>
      <c r="BJ423" s="12" t="s">
        <v>7266</v>
      </c>
      <c r="BK423" s="12" t="s">
        <v>7267</v>
      </c>
      <c r="BL423" s="12" t="s">
        <v>7268</v>
      </c>
      <c r="BM423" s="12" t="s">
        <v>7269</v>
      </c>
      <c r="BN423" s="12" t="s">
        <v>7270</v>
      </c>
      <c r="BO423" s="11" t="s">
        <v>319</v>
      </c>
      <c r="BP423" s="11" t="s">
        <v>320</v>
      </c>
      <c r="BQ423" s="11" t="s">
        <v>319</v>
      </c>
      <c r="BR423" s="12" t="s">
        <v>7271</v>
      </c>
      <c r="BS423" s="12" t="s">
        <v>357</v>
      </c>
      <c r="BT423" s="12" t="s">
        <v>7272</v>
      </c>
      <c r="BU423" s="12" t="s">
        <v>7273</v>
      </c>
      <c r="BV423" s="14">
        <v>25450</v>
      </c>
      <c r="BW423" s="14">
        <v>25550</v>
      </c>
      <c r="BX423" s="14">
        <v>51000</v>
      </c>
      <c r="BY423" s="14">
        <v>63221</v>
      </c>
      <c r="BZ423" s="14">
        <v>61140</v>
      </c>
      <c r="CA423" s="14">
        <v>124361</v>
      </c>
      <c r="CB423" s="12" t="s">
        <v>7274</v>
      </c>
      <c r="CD423" s="14"/>
      <c r="CE423" s="14"/>
      <c r="CF423" s="14"/>
      <c r="CG423" s="14"/>
      <c r="CH423" s="14"/>
      <c r="CI423" s="14"/>
      <c r="CJ423" s="12" t="s">
        <v>319</v>
      </c>
      <c r="CK423" s="14"/>
      <c r="CL423" s="16"/>
      <c r="CM423" s="14"/>
      <c r="CN423" s="12" t="s">
        <v>319</v>
      </c>
      <c r="CO423" s="14"/>
      <c r="CP423" s="16"/>
      <c r="CQ423" s="14"/>
      <c r="CR423" s="12" t="s">
        <v>319</v>
      </c>
      <c r="CS423" s="14"/>
      <c r="CT423" s="16"/>
      <c r="CU423" s="14"/>
      <c r="CV423" s="12" t="s">
        <v>319</v>
      </c>
      <c r="CW423" s="14"/>
      <c r="CX423" s="16"/>
      <c r="CY423" s="14"/>
      <c r="CZ423" s="12" t="s">
        <v>319</v>
      </c>
      <c r="DA423" s="14"/>
      <c r="DB423" s="16"/>
      <c r="DC423" s="14"/>
      <c r="DD423" s="12" t="s">
        <v>319</v>
      </c>
      <c r="DE423" s="14"/>
      <c r="DF423" s="16"/>
      <c r="DG423" s="14"/>
      <c r="DH423" s="12" t="s">
        <v>319</v>
      </c>
      <c r="DI423" s="14"/>
      <c r="DJ423" s="16"/>
      <c r="DK423" s="14"/>
      <c r="DL423" s="12" t="s">
        <v>319</v>
      </c>
      <c r="DM423" s="14"/>
      <c r="DN423" s="16"/>
      <c r="DO423" s="14"/>
      <c r="DP423" s="12" t="s">
        <v>319</v>
      </c>
      <c r="DQ423" s="14"/>
      <c r="DR423" s="16"/>
      <c r="DS423" s="14"/>
      <c r="DT423" s="12" t="s">
        <v>319</v>
      </c>
      <c r="DU423" s="14"/>
      <c r="DV423" s="16"/>
      <c r="DW423" s="14"/>
      <c r="DX423" s="12" t="s">
        <v>319</v>
      </c>
      <c r="DY423" s="14"/>
      <c r="DZ423" s="16"/>
      <c r="EA423" s="14"/>
      <c r="EB423" s="12" t="s">
        <v>319</v>
      </c>
      <c r="EC423" s="14"/>
      <c r="ED423" s="16"/>
      <c r="EE423" s="14"/>
      <c r="EF423" s="12"/>
      <c r="EG423" s="12" t="s">
        <v>319</v>
      </c>
      <c r="EH423" s="14"/>
      <c r="EI423" s="16"/>
      <c r="EJ423" s="14"/>
      <c r="EK423" s="14">
        <v>28785</v>
      </c>
      <c r="EL423" s="14">
        <v>20964</v>
      </c>
      <c r="EM423" s="14">
        <v>49749</v>
      </c>
      <c r="EN423" s="14">
        <v>63221</v>
      </c>
      <c r="EO423" s="14">
        <v>61140</v>
      </c>
      <c r="EP423" s="14">
        <v>124361</v>
      </c>
      <c r="EQ423" s="12"/>
      <c r="ER423" s="14"/>
      <c r="ES423" s="16"/>
      <c r="ET423" s="14"/>
      <c r="EU423" s="11" t="s">
        <v>320</v>
      </c>
      <c r="EV423" s="14">
        <v>180</v>
      </c>
      <c r="EW423" s="16">
        <v>0.56000000000000005</v>
      </c>
      <c r="EX423" s="14">
        <v>117679</v>
      </c>
      <c r="EY423" s="12"/>
      <c r="EZ423" s="14"/>
      <c r="FA423" s="16"/>
      <c r="FB423" s="14"/>
      <c r="FC423" s="12"/>
      <c r="FD423" s="14"/>
      <c r="FE423" s="16"/>
      <c r="FF423" s="14"/>
      <c r="FG423" s="12"/>
      <c r="FH423" s="14"/>
      <c r="FI423" s="16"/>
      <c r="FJ423" s="14"/>
      <c r="FK423" s="12" t="s">
        <v>320</v>
      </c>
      <c r="FL423" s="14">
        <v>49749</v>
      </c>
      <c r="FM423" s="16">
        <v>0.57799999999999996</v>
      </c>
      <c r="FN423" s="14"/>
      <c r="FO423" s="12"/>
      <c r="FP423" s="14"/>
      <c r="FQ423" s="16"/>
      <c r="FR423" s="14"/>
      <c r="FS423" s="12"/>
      <c r="FT423" s="14"/>
      <c r="FU423" s="16"/>
      <c r="FV423" s="14"/>
      <c r="FW423" s="12"/>
      <c r="FX423" s="14"/>
      <c r="FY423" s="16"/>
      <c r="FZ423" s="14"/>
      <c r="GA423" s="12"/>
      <c r="GB423" s="14"/>
      <c r="GC423" s="16"/>
      <c r="GD423" s="14"/>
      <c r="GE423" s="12" t="s">
        <v>320</v>
      </c>
      <c r="GF423" s="14">
        <v>10837</v>
      </c>
      <c r="GG423" s="16">
        <v>0.49</v>
      </c>
      <c r="GH423" s="14">
        <v>117679</v>
      </c>
      <c r="GI423" s="12"/>
      <c r="GJ423" s="14"/>
      <c r="GK423" s="16"/>
      <c r="GL423" s="14"/>
      <c r="GM423" s="12"/>
      <c r="GN423" s="14"/>
      <c r="GO423" s="16"/>
      <c r="GP423" s="14"/>
      <c r="GQ423" s="12"/>
      <c r="GR423" s="14"/>
      <c r="GS423" s="16"/>
      <c r="GT423" s="14"/>
      <c r="GU423" s="12"/>
      <c r="GV423" s="14"/>
      <c r="GW423" s="16"/>
      <c r="GX423" s="14"/>
      <c r="GY423" s="12"/>
      <c r="GZ423" s="14"/>
      <c r="HA423" s="16"/>
      <c r="HB423" s="14"/>
      <c r="HC423" s="12"/>
      <c r="HD423" s="12"/>
      <c r="HE423" s="14"/>
      <c r="HF423" s="16"/>
      <c r="HG423" s="14"/>
      <c r="HH423" s="12" t="s">
        <v>319</v>
      </c>
      <c r="HI423" s="12"/>
      <c r="HJ423" s="12"/>
      <c r="HK423" s="12" t="s">
        <v>320</v>
      </c>
      <c r="HL423" s="12" t="s">
        <v>320</v>
      </c>
      <c r="HM423" s="12" t="s">
        <v>431</v>
      </c>
      <c r="HN423" s="12">
        <v>2018</v>
      </c>
      <c r="HO423" s="12" t="s">
        <v>7275</v>
      </c>
      <c r="HP423" s="12" t="s">
        <v>330</v>
      </c>
      <c r="HQ423" s="12" t="s">
        <v>319</v>
      </c>
      <c r="HR423" s="12" t="s">
        <v>319</v>
      </c>
      <c r="HS423" s="12" t="s">
        <v>320</v>
      </c>
      <c r="HT423" s="12" t="s">
        <v>320</v>
      </c>
      <c r="HU423" s="12" t="s">
        <v>319</v>
      </c>
      <c r="HV423" s="12" t="s">
        <v>320</v>
      </c>
      <c r="HW423" s="12" t="s">
        <v>320</v>
      </c>
      <c r="HX423" s="12"/>
      <c r="HY423" s="12"/>
      <c r="HZ423" s="11" t="s">
        <v>394</v>
      </c>
      <c r="IA423" s="12" t="s">
        <v>7276</v>
      </c>
      <c r="IB423" s="12" t="s">
        <v>396</v>
      </c>
      <c r="IC423" s="12"/>
      <c r="ID423" s="12" t="s">
        <v>334</v>
      </c>
      <c r="IE423" s="12" t="s">
        <v>335</v>
      </c>
      <c r="IF423" s="12" t="s">
        <v>320</v>
      </c>
      <c r="IG423" s="12" t="s">
        <v>320</v>
      </c>
      <c r="IH423" s="12" t="s">
        <v>320</v>
      </c>
      <c r="II423" s="12" t="s">
        <v>320</v>
      </c>
      <c r="IJ423" s="12" t="str">
        <f t="shared" si="259"/>
        <v>2. Sensitive</v>
      </c>
      <c r="IK423" s="12">
        <f t="shared" si="260"/>
        <v>4</v>
      </c>
      <c r="IL423" s="12"/>
      <c r="IM423" s="12"/>
      <c r="IN423" s="12"/>
      <c r="IO423" s="12"/>
      <c r="IP423" s="12"/>
      <c r="IQ423" s="12" t="str">
        <f t="shared" si="261"/>
        <v>No marker score</v>
      </c>
      <c r="IR423" s="12">
        <f t="shared" si="262"/>
        <v>0</v>
      </c>
      <c r="IS423" s="12"/>
      <c r="IT423" s="12"/>
      <c r="IU423" s="12"/>
      <c r="IV423" s="12"/>
      <c r="IW423" s="11" t="str">
        <f t="shared" si="263"/>
        <v>No marker score</v>
      </c>
      <c r="IX423" s="12">
        <f t="shared" si="264"/>
        <v>0</v>
      </c>
      <c r="IY423" s="11" t="s">
        <v>419</v>
      </c>
      <c r="IZ423" s="11" t="s">
        <v>527</v>
      </c>
      <c r="JA423" s="12">
        <v>1</v>
      </c>
      <c r="JB423" s="12" t="s">
        <v>687</v>
      </c>
      <c r="JC423" s="12"/>
      <c r="JD423" s="12"/>
      <c r="JE423" s="12" t="s">
        <v>340</v>
      </c>
      <c r="JF423" s="12" t="s">
        <v>7277</v>
      </c>
      <c r="JG423" s="12" t="s">
        <v>7278</v>
      </c>
      <c r="JH423" s="12" t="s">
        <v>1323</v>
      </c>
      <c r="JI423" s="12" t="s">
        <v>2747</v>
      </c>
      <c r="JJ423" s="12" t="s">
        <v>7279</v>
      </c>
      <c r="JK423" s="12" t="s">
        <v>7280</v>
      </c>
      <c r="JL423" s="12" t="s">
        <v>7281</v>
      </c>
      <c r="JM423" s="12" t="s">
        <v>7282</v>
      </c>
      <c r="JN423" s="12"/>
      <c r="JO423" s="12" t="s">
        <v>7283</v>
      </c>
      <c r="JP423" s="15">
        <f t="shared" si="265"/>
        <v>49749</v>
      </c>
      <c r="JQ423" s="15">
        <f t="shared" si="266"/>
        <v>124361</v>
      </c>
      <c r="JR423" s="279">
        <f t="shared" si="267"/>
        <v>2.4997688395746649</v>
      </c>
      <c r="JS423" s="17">
        <f t="shared" si="268"/>
        <v>0.57860459506723749</v>
      </c>
      <c r="JT423" s="18">
        <f t="shared" si="269"/>
        <v>0.50836677093300953</v>
      </c>
      <c r="JU423" s="280">
        <f t="shared" si="270"/>
        <v>28785</v>
      </c>
      <c r="JV423" s="280">
        <f t="shared" si="271"/>
        <v>63221</v>
      </c>
      <c r="JW423" s="319" t="str">
        <f t="shared" si="272"/>
        <v/>
      </c>
      <c r="JX423" s="15">
        <f t="shared" si="273"/>
        <v>0</v>
      </c>
      <c r="JY423" s="15">
        <f t="shared" si="274"/>
        <v>0</v>
      </c>
      <c r="JZ423" s="19" t="str">
        <f t="shared" si="275"/>
        <v/>
      </c>
      <c r="KA423" s="52">
        <f t="shared" si="276"/>
        <v>1</v>
      </c>
      <c r="KB423" s="15">
        <f t="shared" si="277"/>
        <v>180</v>
      </c>
      <c r="KC423" s="15">
        <f t="shared" si="278"/>
        <v>117679</v>
      </c>
      <c r="KD423" s="20">
        <f t="shared" si="279"/>
        <v>653.77222222222224</v>
      </c>
      <c r="KE423" s="52" t="str">
        <f t="shared" si="280"/>
        <v/>
      </c>
      <c r="KF423" s="15">
        <f t="shared" si="281"/>
        <v>0</v>
      </c>
      <c r="KG423" s="15">
        <f t="shared" si="282"/>
        <v>0</v>
      </c>
      <c r="KH423" s="21" t="str">
        <f t="shared" si="283"/>
        <v/>
      </c>
      <c r="KI423" s="52" t="str">
        <f t="shared" si="284"/>
        <v/>
      </c>
      <c r="KJ423" s="15">
        <f t="shared" si="285"/>
        <v>0</v>
      </c>
      <c r="KK423" s="15">
        <f t="shared" si="286"/>
        <v>0</v>
      </c>
      <c r="KL423" s="19" t="str">
        <f t="shared" si="287"/>
        <v/>
      </c>
      <c r="KM423" s="52" t="str">
        <f t="shared" si="288"/>
        <v/>
      </c>
      <c r="KN423" s="22">
        <f t="shared" si="289"/>
        <v>0</v>
      </c>
      <c r="KO423" s="22">
        <f t="shared" si="290"/>
        <v>0</v>
      </c>
      <c r="KP423" s="19" t="str">
        <f t="shared" si="291"/>
        <v/>
      </c>
      <c r="KQ423" s="11" t="str">
        <f t="shared" si="292"/>
        <v>2. Sensitive</v>
      </c>
      <c r="KR423" s="11" t="str">
        <f t="shared" si="293"/>
        <v>No marker score</v>
      </c>
      <c r="KS423" s="11" t="str">
        <f t="shared" si="294"/>
        <v>No marker score</v>
      </c>
      <c r="KT423" s="11" t="str">
        <f t="shared" si="295"/>
        <v>It tested new ways for fighting poverty, but did not measure results of innovation</v>
      </c>
      <c r="KU423" s="11" t="str">
        <f t="shared" si="296"/>
        <v>Moderate advocacy</v>
      </c>
      <c r="KV423" s="11" t="str">
        <f t="shared" si="297"/>
        <v>It linked and worked with strategic alliances and partners to take tested and effective solutions to scale</v>
      </c>
      <c r="KW423" s="11" t="str">
        <f t="shared" si="298"/>
        <v>Madagascar - PATHWAYS TO QUALITY EDUCATION MADAGASCAR (FANAMBY)</v>
      </c>
      <c r="KX423" s="11" t="str">
        <f t="shared" si="299"/>
        <v>PATHWAYS TO QUALITY EDUCATION MADAGASCAR (FANAMBY)</v>
      </c>
      <c r="KY423" s="11" t="str">
        <f t="shared" si="300"/>
        <v>Madagascar</v>
      </c>
      <c r="KZ423" s="12">
        <v>423</v>
      </c>
    </row>
    <row r="424" spans="1:312" x14ac:dyDescent="0.3">
      <c r="A424" s="12" t="s">
        <v>7216</v>
      </c>
      <c r="B424" s="12" t="s">
        <v>7217</v>
      </c>
      <c r="C424" s="12">
        <v>3108</v>
      </c>
      <c r="D424" s="12" t="s">
        <v>7431</v>
      </c>
      <c r="E424" s="277" t="str">
        <f t="shared" si="258"/>
        <v>Madagascar</v>
      </c>
      <c r="F424" s="12" t="s">
        <v>7432</v>
      </c>
      <c r="G424" s="12" t="s">
        <v>379</v>
      </c>
      <c r="H424" s="11" t="s">
        <v>310</v>
      </c>
      <c r="I424" s="12" t="s">
        <v>655</v>
      </c>
      <c r="J424" s="281" t="s">
        <v>9916</v>
      </c>
      <c r="K424" s="12"/>
      <c r="L424" s="12"/>
      <c r="M424" s="12"/>
      <c r="N424" s="12"/>
      <c r="O424" s="12"/>
      <c r="P424" s="12"/>
      <c r="Q424" s="12"/>
      <c r="R424" s="12"/>
      <c r="S424" s="12"/>
      <c r="T424" s="12"/>
      <c r="U424" s="12"/>
      <c r="V424" s="12"/>
      <c r="W424" s="12"/>
      <c r="X424" s="12"/>
      <c r="Y424" s="12"/>
      <c r="Z424" s="12"/>
      <c r="AA424" s="12"/>
      <c r="AB424" s="12"/>
      <c r="AC424" s="12"/>
      <c r="AD424" s="12"/>
      <c r="BD424" s="13">
        <v>42208</v>
      </c>
      <c r="BE424" s="13">
        <v>42573</v>
      </c>
      <c r="BF424" s="13">
        <v>42666</v>
      </c>
      <c r="BG424" s="12" t="s">
        <v>312</v>
      </c>
      <c r="BH424" s="14">
        <v>835475</v>
      </c>
      <c r="BI424" s="12" t="s">
        <v>7433</v>
      </c>
      <c r="BJ424" s="12" t="s">
        <v>7434</v>
      </c>
      <c r="BK424" s="12" t="s">
        <v>7435</v>
      </c>
      <c r="BL424" s="12" t="s">
        <v>7436</v>
      </c>
      <c r="BM424" s="12" t="s">
        <v>7437</v>
      </c>
      <c r="BN424" s="12" t="s">
        <v>7438</v>
      </c>
      <c r="BO424" s="11" t="s">
        <v>319</v>
      </c>
      <c r="BP424" s="11" t="s">
        <v>320</v>
      </c>
      <c r="BQ424" s="11" t="s">
        <v>319</v>
      </c>
      <c r="BR424" s="12" t="s">
        <v>7439</v>
      </c>
      <c r="BS424" s="12" t="s">
        <v>357</v>
      </c>
      <c r="BT424" s="12" t="s">
        <v>7440</v>
      </c>
      <c r="BU424" s="12" t="s">
        <v>7441</v>
      </c>
      <c r="BV424" s="14">
        <v>602</v>
      </c>
      <c r="BW424" s="14">
        <v>493</v>
      </c>
      <c r="BX424" s="14">
        <v>1095</v>
      </c>
      <c r="BY424" s="14">
        <v>50050</v>
      </c>
      <c r="BZ424" s="14">
        <v>40950</v>
      </c>
      <c r="CA424" s="14">
        <v>91000</v>
      </c>
      <c r="CB424" s="12" t="s">
        <v>7442</v>
      </c>
      <c r="CD424" s="14"/>
      <c r="CE424" s="14"/>
      <c r="CF424" s="14"/>
      <c r="CG424" s="14"/>
      <c r="CH424" s="14"/>
      <c r="CI424" s="14"/>
      <c r="CJ424" s="12"/>
      <c r="CK424" s="14"/>
      <c r="CL424" s="16"/>
      <c r="CM424" s="14"/>
      <c r="CN424" s="12"/>
      <c r="CO424" s="14"/>
      <c r="CP424" s="16"/>
      <c r="CQ424" s="14"/>
      <c r="CR424" s="12"/>
      <c r="CS424" s="14"/>
      <c r="CT424" s="16"/>
      <c r="CU424" s="14"/>
      <c r="CV424" s="12"/>
      <c r="CW424" s="14"/>
      <c r="CX424" s="16"/>
      <c r="CY424" s="14"/>
      <c r="CZ424" s="12"/>
      <c r="DA424" s="14"/>
      <c r="DB424" s="16"/>
      <c r="DC424" s="14"/>
      <c r="DD424" s="12"/>
      <c r="DE424" s="14"/>
      <c r="DF424" s="16"/>
      <c r="DG424" s="14"/>
      <c r="DH424" s="12"/>
      <c r="DI424" s="14"/>
      <c r="DJ424" s="16"/>
      <c r="DK424" s="14"/>
      <c r="DL424" s="12"/>
      <c r="DM424" s="14"/>
      <c r="DN424" s="16"/>
      <c r="DO424" s="14"/>
      <c r="DP424" s="12"/>
      <c r="DQ424" s="14"/>
      <c r="DR424" s="16"/>
      <c r="DS424" s="14"/>
      <c r="DT424" s="12"/>
      <c r="DU424" s="14"/>
      <c r="DV424" s="16"/>
      <c r="DW424" s="14"/>
      <c r="DX424" s="12"/>
      <c r="DY424" s="14"/>
      <c r="DZ424" s="16"/>
      <c r="EA424" s="14"/>
      <c r="EB424" s="12"/>
      <c r="EC424" s="14"/>
      <c r="ED424" s="16"/>
      <c r="EE424" s="14"/>
      <c r="EF424" s="12"/>
      <c r="EG424" s="12"/>
      <c r="EH424" s="14"/>
      <c r="EI424" s="16"/>
      <c r="EJ424" s="14"/>
      <c r="EK424" s="14">
        <v>6131</v>
      </c>
      <c r="EL424" s="14">
        <v>5437</v>
      </c>
      <c r="EM424" s="14">
        <v>11568</v>
      </c>
      <c r="EN424" s="14">
        <v>69945</v>
      </c>
      <c r="EO424" s="14">
        <v>54956</v>
      </c>
      <c r="EP424" s="14">
        <v>124901</v>
      </c>
      <c r="EQ424" s="12" t="s">
        <v>319</v>
      </c>
      <c r="ER424" s="14"/>
      <c r="ES424" s="16"/>
      <c r="ET424" s="14"/>
      <c r="EU424" s="11" t="s">
        <v>320</v>
      </c>
      <c r="EV424" s="14">
        <v>1101</v>
      </c>
      <c r="EW424" s="16">
        <v>0.60029999999999994</v>
      </c>
      <c r="EX424" s="14">
        <v>124901</v>
      </c>
      <c r="EY424" s="12" t="s">
        <v>319</v>
      </c>
      <c r="EZ424" s="14"/>
      <c r="FA424" s="16"/>
      <c r="FB424" s="14"/>
      <c r="FC424" s="12" t="s">
        <v>320</v>
      </c>
      <c r="FD424" s="14">
        <v>11568</v>
      </c>
      <c r="FE424" s="16">
        <v>0.53</v>
      </c>
      <c r="FF424" s="14">
        <v>124901</v>
      </c>
      <c r="FG424" s="12" t="s">
        <v>319</v>
      </c>
      <c r="FH424" s="14"/>
      <c r="FI424" s="16"/>
      <c r="FJ424" s="14"/>
      <c r="FK424" s="12" t="s">
        <v>319</v>
      </c>
      <c r="FL424" s="14"/>
      <c r="FM424" s="16"/>
      <c r="FN424" s="14"/>
      <c r="FO424" s="12" t="s">
        <v>319</v>
      </c>
      <c r="FP424" s="14"/>
      <c r="FQ424" s="16"/>
      <c r="FR424" s="14"/>
      <c r="FS424" s="12" t="s">
        <v>319</v>
      </c>
      <c r="FT424" s="14"/>
      <c r="FU424" s="16"/>
      <c r="FV424" s="14"/>
      <c r="FW424" s="12" t="s">
        <v>319</v>
      </c>
      <c r="FX424" s="14"/>
      <c r="FY424" s="16"/>
      <c r="FZ424" s="14"/>
      <c r="GA424" s="12" t="s">
        <v>319</v>
      </c>
      <c r="GB424" s="14"/>
      <c r="GC424" s="16"/>
      <c r="GD424" s="14"/>
      <c r="GE424" s="12" t="s">
        <v>320</v>
      </c>
      <c r="GF424" s="14">
        <v>113333</v>
      </c>
      <c r="GG424" s="16"/>
      <c r="GH424" s="14"/>
      <c r="GI424" s="12" t="s">
        <v>319</v>
      </c>
      <c r="GJ424" s="14"/>
      <c r="GK424" s="16"/>
      <c r="GL424" s="14"/>
      <c r="GM424" s="12" t="s">
        <v>320</v>
      </c>
      <c r="GN424" s="14"/>
      <c r="GO424" s="16"/>
      <c r="GP424" s="14"/>
      <c r="GQ424" s="12" t="s">
        <v>319</v>
      </c>
      <c r="GR424" s="14"/>
      <c r="GS424" s="16"/>
      <c r="GT424" s="14"/>
      <c r="GU424" s="12" t="s">
        <v>319</v>
      </c>
      <c r="GV424" s="14"/>
      <c r="GW424" s="16"/>
      <c r="GX424" s="14"/>
      <c r="GY424" s="12" t="s">
        <v>319</v>
      </c>
      <c r="GZ424" s="14"/>
      <c r="HA424" s="16"/>
      <c r="HB424" s="14"/>
      <c r="HC424" s="12"/>
      <c r="HD424" s="12"/>
      <c r="HE424" s="14"/>
      <c r="HF424" s="16"/>
      <c r="HG424" s="14"/>
      <c r="HH424" s="12" t="s">
        <v>320</v>
      </c>
      <c r="HI424" s="12" t="s">
        <v>327</v>
      </c>
      <c r="HJ424" s="12">
        <v>2016</v>
      </c>
      <c r="HK424" s="12" t="s">
        <v>320</v>
      </c>
      <c r="HL424" s="12" t="s">
        <v>319</v>
      </c>
      <c r="HM424" s="12"/>
      <c r="HN424" s="12"/>
      <c r="HO424" s="12" t="s">
        <v>7443</v>
      </c>
      <c r="HP424" s="12" t="s">
        <v>330</v>
      </c>
      <c r="HQ424" s="12" t="s">
        <v>319</v>
      </c>
      <c r="HR424" s="12" t="s">
        <v>319</v>
      </c>
      <c r="HS424" s="12" t="s">
        <v>320</v>
      </c>
      <c r="HT424" s="12" t="s">
        <v>320</v>
      </c>
      <c r="HU424" s="12" t="s">
        <v>320</v>
      </c>
      <c r="HV424" s="12" t="s">
        <v>320</v>
      </c>
      <c r="HW424" s="12" t="s">
        <v>319</v>
      </c>
      <c r="HX424" s="12" t="s">
        <v>319</v>
      </c>
      <c r="HY424" s="12"/>
      <c r="HZ424" s="11" t="s">
        <v>394</v>
      </c>
      <c r="IA424" s="12"/>
      <c r="IB424" s="12" t="s">
        <v>396</v>
      </c>
      <c r="IC424" s="12" t="s">
        <v>7444</v>
      </c>
      <c r="ID424" s="11" t="s">
        <v>364</v>
      </c>
      <c r="IE424" s="12" t="s">
        <v>335</v>
      </c>
      <c r="IF424" s="12" t="s">
        <v>320</v>
      </c>
      <c r="IG424" s="12" t="s">
        <v>320</v>
      </c>
      <c r="IH424" s="12" t="s">
        <v>320</v>
      </c>
      <c r="II424" s="12" t="s">
        <v>320</v>
      </c>
      <c r="IJ424" s="12" t="str">
        <f t="shared" si="259"/>
        <v>2. Sensitive</v>
      </c>
      <c r="IK424" s="12">
        <f t="shared" si="260"/>
        <v>4</v>
      </c>
      <c r="IL424" s="12" t="s">
        <v>336</v>
      </c>
      <c r="IM424" s="12" t="s">
        <v>320</v>
      </c>
      <c r="IN424" s="12" t="s">
        <v>320</v>
      </c>
      <c r="IO424" s="12" t="s">
        <v>320</v>
      </c>
      <c r="IP424" s="12" t="s">
        <v>320</v>
      </c>
      <c r="IQ424" s="12" t="str">
        <f t="shared" si="261"/>
        <v>2. Accommodating</v>
      </c>
      <c r="IR424" s="12">
        <f t="shared" si="262"/>
        <v>4</v>
      </c>
      <c r="IS424" s="12" t="s">
        <v>622</v>
      </c>
      <c r="IT424" s="12" t="s">
        <v>320</v>
      </c>
      <c r="IU424" s="12" t="s">
        <v>320</v>
      </c>
      <c r="IV424" s="12" t="s">
        <v>320</v>
      </c>
      <c r="IW424" s="11" t="str">
        <f t="shared" si="263"/>
        <v>4. Transformative</v>
      </c>
      <c r="IX424" s="12">
        <f t="shared" si="264"/>
        <v>3</v>
      </c>
      <c r="IY424" s="11" t="s">
        <v>758</v>
      </c>
      <c r="IZ424" s="12" t="s">
        <v>432</v>
      </c>
      <c r="JA424" s="12">
        <v>3</v>
      </c>
      <c r="JB424" s="12" t="s">
        <v>687</v>
      </c>
      <c r="JC424" s="12" t="s">
        <v>585</v>
      </c>
      <c r="JD424" s="12" t="s">
        <v>724</v>
      </c>
      <c r="JE424" s="12" t="s">
        <v>340</v>
      </c>
      <c r="JF424" s="12" t="s">
        <v>7445</v>
      </c>
      <c r="JG424" s="12"/>
      <c r="JH424" s="12" t="s">
        <v>7446</v>
      </c>
      <c r="JI424" s="12" t="s">
        <v>7447</v>
      </c>
      <c r="JJ424" s="12" t="s">
        <v>7444</v>
      </c>
      <c r="JK424" s="12" t="s">
        <v>7448</v>
      </c>
      <c r="JL424" s="12" t="s">
        <v>7449</v>
      </c>
      <c r="JM424" s="12" t="s">
        <v>7450</v>
      </c>
      <c r="JN424" s="12"/>
      <c r="JO424" s="12"/>
      <c r="JP424" s="15">
        <f t="shared" si="265"/>
        <v>11568</v>
      </c>
      <c r="JQ424" s="15">
        <f t="shared" si="266"/>
        <v>124901</v>
      </c>
      <c r="JR424" s="279">
        <f t="shared" si="267"/>
        <v>10.797112724757953</v>
      </c>
      <c r="JS424" s="17">
        <f t="shared" si="268"/>
        <v>0.52999654218533887</v>
      </c>
      <c r="JT424" s="18">
        <f t="shared" si="269"/>
        <v>0.56000352279004972</v>
      </c>
      <c r="JU424" s="280">
        <f t="shared" si="270"/>
        <v>6131</v>
      </c>
      <c r="JV424" s="280">
        <f t="shared" si="271"/>
        <v>69945</v>
      </c>
      <c r="JW424" s="319" t="str">
        <f t="shared" si="272"/>
        <v/>
      </c>
      <c r="JX424" s="15">
        <f t="shared" si="273"/>
        <v>0</v>
      </c>
      <c r="JY424" s="15">
        <f t="shared" si="274"/>
        <v>0</v>
      </c>
      <c r="JZ424" s="19" t="str">
        <f t="shared" si="275"/>
        <v/>
      </c>
      <c r="KA424" s="52">
        <f t="shared" si="276"/>
        <v>1</v>
      </c>
      <c r="KB424" s="15">
        <f t="shared" si="277"/>
        <v>11568</v>
      </c>
      <c r="KC424" s="15">
        <f t="shared" si="278"/>
        <v>124901</v>
      </c>
      <c r="KD424" s="20">
        <f t="shared" si="279"/>
        <v>10.797112724757953</v>
      </c>
      <c r="KE424" s="52" t="str">
        <f t="shared" si="280"/>
        <v/>
      </c>
      <c r="KF424" s="15">
        <f t="shared" si="281"/>
        <v>0</v>
      </c>
      <c r="KG424" s="15">
        <f t="shared" si="282"/>
        <v>0</v>
      </c>
      <c r="KH424" s="21" t="str">
        <f t="shared" si="283"/>
        <v/>
      </c>
      <c r="KI424" s="52" t="str">
        <f t="shared" si="284"/>
        <v/>
      </c>
      <c r="KJ424" s="15">
        <f t="shared" si="285"/>
        <v>0</v>
      </c>
      <c r="KK424" s="15">
        <f t="shared" si="286"/>
        <v>0</v>
      </c>
      <c r="KL424" s="19" t="str">
        <f t="shared" si="287"/>
        <v/>
      </c>
      <c r="KM424" s="52" t="str">
        <f t="shared" si="288"/>
        <v/>
      </c>
      <c r="KN424" s="22">
        <f t="shared" si="289"/>
        <v>0</v>
      </c>
      <c r="KO424" s="22">
        <f t="shared" si="290"/>
        <v>0</v>
      </c>
      <c r="KP424" s="19" t="str">
        <f t="shared" si="291"/>
        <v/>
      </c>
      <c r="KQ424" s="11" t="str">
        <f t="shared" si="292"/>
        <v>2. Sensitive</v>
      </c>
      <c r="KR424" s="11" t="str">
        <f t="shared" si="293"/>
        <v>2. Accommodating</v>
      </c>
      <c r="KS424" s="11" t="str">
        <f t="shared" si="294"/>
        <v>4. Transformative</v>
      </c>
      <c r="KT424" s="11" t="str">
        <f t="shared" si="295"/>
        <v>It tested new ways for fighting poverty, but did not measure results of innovation</v>
      </c>
      <c r="KU424" s="11" t="str">
        <f t="shared" si="296"/>
        <v>Moderate advocacy</v>
      </c>
      <c r="KV424" s="11" t="str">
        <f t="shared" si="297"/>
        <v>It linked and worked with strategic alliances and partners to take tested and effective solutions to scale</v>
      </c>
      <c r="KW424" s="11" t="str">
        <f t="shared" si="298"/>
        <v>Madagascar - Project to strengthen the most flood-vulnerable communities of the Urban Commune of Antananarivo (CUA)</v>
      </c>
      <c r="KX424" s="11" t="str">
        <f t="shared" si="299"/>
        <v>Project to strengthen the most flood-vulnerable communities of the Urban Commune of Antananarivo (CUA)</v>
      </c>
      <c r="KY424" s="11" t="str">
        <f t="shared" si="300"/>
        <v>Madagascar</v>
      </c>
      <c r="KZ424" s="12">
        <v>424</v>
      </c>
    </row>
    <row r="425" spans="1:312" x14ac:dyDescent="0.3">
      <c r="A425" s="12" t="s">
        <v>7216</v>
      </c>
      <c r="B425" s="12" t="s">
        <v>7217</v>
      </c>
      <c r="C425" s="12">
        <v>3107</v>
      </c>
      <c r="D425" s="12" t="s">
        <v>7284</v>
      </c>
      <c r="E425" s="277" t="str">
        <f t="shared" si="258"/>
        <v>Madagascar</v>
      </c>
      <c r="F425" s="12" t="s">
        <v>7285</v>
      </c>
      <c r="G425" s="12" t="s">
        <v>714</v>
      </c>
      <c r="H425" s="11" t="s">
        <v>310</v>
      </c>
      <c r="I425" s="12" t="s">
        <v>384</v>
      </c>
      <c r="J425" s="281" t="s">
        <v>14629</v>
      </c>
      <c r="K425" s="12"/>
      <c r="L425" s="12"/>
      <c r="M425" s="12"/>
      <c r="N425" s="12"/>
      <c r="O425" s="12"/>
      <c r="P425" s="12"/>
      <c r="Q425" s="12"/>
      <c r="R425" s="12"/>
      <c r="S425" s="12"/>
      <c r="T425" s="12"/>
      <c r="U425" s="12"/>
      <c r="V425" s="12"/>
      <c r="W425" s="12"/>
      <c r="X425" s="12"/>
      <c r="Y425" s="12"/>
      <c r="Z425" s="12"/>
      <c r="AA425" s="12"/>
      <c r="AB425" s="12"/>
      <c r="AC425" s="12"/>
      <c r="AD425" s="12"/>
      <c r="BD425" s="13">
        <v>41365</v>
      </c>
      <c r="BE425" s="13">
        <v>42461</v>
      </c>
      <c r="BF425" s="13">
        <v>42674</v>
      </c>
      <c r="BG425" s="12" t="s">
        <v>350</v>
      </c>
      <c r="BH425" s="14">
        <f>560990*1.17</f>
        <v>656358.29999999993</v>
      </c>
      <c r="BI425" s="12" t="s">
        <v>7286</v>
      </c>
      <c r="BJ425" s="12" t="s">
        <v>7287</v>
      </c>
      <c r="BK425" s="12" t="s">
        <v>7288</v>
      </c>
      <c r="BL425" s="12" t="s">
        <v>7289</v>
      </c>
      <c r="BM425" s="12" t="s">
        <v>1834</v>
      </c>
      <c r="BN425" s="12" t="s">
        <v>7290</v>
      </c>
      <c r="BO425" s="12" t="s">
        <v>319</v>
      </c>
      <c r="BP425" s="12" t="s">
        <v>320</v>
      </c>
      <c r="BQ425" s="12" t="s">
        <v>319</v>
      </c>
      <c r="BR425" s="12" t="s">
        <v>7291</v>
      </c>
      <c r="BS425" s="12" t="s">
        <v>357</v>
      </c>
      <c r="BT425" s="12" t="s">
        <v>7292</v>
      </c>
      <c r="BU425" s="12" t="s">
        <v>7293</v>
      </c>
      <c r="BV425" s="14">
        <v>196</v>
      </c>
      <c r="BW425" s="14">
        <v>53</v>
      </c>
      <c r="BX425" s="14">
        <v>249</v>
      </c>
      <c r="BY425" s="14">
        <v>28186</v>
      </c>
      <c r="BZ425" s="14">
        <v>27080</v>
      </c>
      <c r="CA425" s="14">
        <v>55266</v>
      </c>
      <c r="CB425" s="12" t="s">
        <v>7294</v>
      </c>
      <c r="CD425" s="14"/>
      <c r="CE425" s="14"/>
      <c r="CF425" s="14"/>
      <c r="CG425" s="14"/>
      <c r="CH425" s="14"/>
      <c r="CI425" s="14"/>
      <c r="CJ425" s="12"/>
      <c r="CK425" s="14"/>
      <c r="CL425" s="16"/>
      <c r="CM425" s="14"/>
      <c r="CN425" s="12"/>
      <c r="CO425" s="14"/>
      <c r="CP425" s="16"/>
      <c r="CQ425" s="14"/>
      <c r="CR425" s="12"/>
      <c r="CS425" s="14"/>
      <c r="CT425" s="16"/>
      <c r="CU425" s="14"/>
      <c r="CV425" s="12"/>
      <c r="CW425" s="14"/>
      <c r="CX425" s="16"/>
      <c r="CY425" s="14"/>
      <c r="CZ425" s="12"/>
      <c r="DA425" s="14"/>
      <c r="DB425" s="16"/>
      <c r="DC425" s="14"/>
      <c r="DD425" s="12"/>
      <c r="DE425" s="14"/>
      <c r="DF425" s="16"/>
      <c r="DG425" s="14"/>
      <c r="DH425" s="12"/>
      <c r="DI425" s="14"/>
      <c r="DJ425" s="16"/>
      <c r="DK425" s="14"/>
      <c r="DL425" s="12"/>
      <c r="DM425" s="14"/>
      <c r="DN425" s="16"/>
      <c r="DO425" s="14"/>
      <c r="DP425" s="12"/>
      <c r="DQ425" s="14"/>
      <c r="DR425" s="16"/>
      <c r="DS425" s="14"/>
      <c r="DT425" s="12"/>
      <c r="DU425" s="14"/>
      <c r="DV425" s="16"/>
      <c r="DW425" s="14"/>
      <c r="DX425" s="12"/>
      <c r="DY425" s="14"/>
      <c r="DZ425" s="16"/>
      <c r="EA425" s="14"/>
      <c r="EB425" s="12"/>
      <c r="EC425" s="14"/>
      <c r="ED425" s="16"/>
      <c r="EE425" s="14"/>
      <c r="EF425" s="12"/>
      <c r="EG425" s="12"/>
      <c r="EH425" s="14"/>
      <c r="EI425" s="16"/>
      <c r="EJ425" s="14"/>
      <c r="EK425" s="14">
        <v>162</v>
      </c>
      <c r="EL425" s="14">
        <v>118</v>
      </c>
      <c r="EM425" s="14">
        <v>280</v>
      </c>
      <c r="EN425" s="14">
        <v>61200</v>
      </c>
      <c r="EO425" s="14">
        <v>58800</v>
      </c>
      <c r="EP425" s="14">
        <v>120000</v>
      </c>
      <c r="EQ425" s="12"/>
      <c r="ER425" s="14"/>
      <c r="ES425" s="16"/>
      <c r="ET425" s="14"/>
      <c r="EU425" s="12"/>
      <c r="EV425" s="14"/>
      <c r="EW425" s="16"/>
      <c r="EX425" s="14"/>
      <c r="EY425" s="12"/>
      <c r="EZ425" s="14"/>
      <c r="FA425" s="16"/>
      <c r="FB425" s="14"/>
      <c r="FC425" s="12"/>
      <c r="FD425" s="14"/>
      <c r="FE425" s="16"/>
      <c r="FF425" s="14"/>
      <c r="FG425" s="12"/>
      <c r="FH425" s="14"/>
      <c r="FI425" s="16"/>
      <c r="FJ425" s="14"/>
      <c r="FK425" s="12"/>
      <c r="FL425" s="14"/>
      <c r="FM425" s="16"/>
      <c r="FN425" s="14"/>
      <c r="FO425" s="12"/>
      <c r="FP425" s="14"/>
      <c r="FQ425" s="16"/>
      <c r="FR425" s="14"/>
      <c r="FS425" s="12"/>
      <c r="FT425" s="14"/>
      <c r="FU425" s="16"/>
      <c r="FV425" s="14"/>
      <c r="FW425" s="12"/>
      <c r="FX425" s="14"/>
      <c r="FY425" s="16"/>
      <c r="FZ425" s="14"/>
      <c r="GA425" s="12"/>
      <c r="GB425" s="14"/>
      <c r="GC425" s="16"/>
      <c r="GD425" s="14"/>
      <c r="GE425" s="12"/>
      <c r="GF425" s="14"/>
      <c r="GG425" s="16"/>
      <c r="GH425" s="14"/>
      <c r="GI425" s="12"/>
      <c r="GJ425" s="14"/>
      <c r="GK425" s="16"/>
      <c r="GL425" s="14"/>
      <c r="GM425" s="12"/>
      <c r="GN425" s="14"/>
      <c r="GO425" s="16"/>
      <c r="GP425" s="14"/>
      <c r="GQ425" s="12"/>
      <c r="GR425" s="14"/>
      <c r="GS425" s="16"/>
      <c r="GT425" s="14"/>
      <c r="GU425" s="12" t="s">
        <v>320</v>
      </c>
      <c r="GV425" s="14">
        <v>280</v>
      </c>
      <c r="GW425" s="16">
        <v>0.82653061224489799</v>
      </c>
      <c r="GX425" s="14">
        <v>120000</v>
      </c>
      <c r="GY425" s="12"/>
      <c r="GZ425" s="14"/>
      <c r="HA425" s="16"/>
      <c r="HB425" s="14"/>
      <c r="HC425" s="12"/>
      <c r="HD425" s="12"/>
      <c r="HE425" s="14"/>
      <c r="HF425" s="16"/>
      <c r="HG425" s="14"/>
      <c r="HH425" s="12" t="s">
        <v>320</v>
      </c>
      <c r="HI425" s="12" t="s">
        <v>328</v>
      </c>
      <c r="HJ425" s="12">
        <v>2016</v>
      </c>
      <c r="HK425" s="12" t="s">
        <v>320</v>
      </c>
      <c r="HL425" s="12" t="s">
        <v>319</v>
      </c>
      <c r="HM425" s="12"/>
      <c r="HN425" s="12"/>
      <c r="HO425" s="12"/>
      <c r="HP425" s="12" t="s">
        <v>330</v>
      </c>
      <c r="HQ425" s="12" t="s">
        <v>320</v>
      </c>
      <c r="HR425" s="12" t="s">
        <v>320</v>
      </c>
      <c r="HS425" s="12" t="s">
        <v>320</v>
      </c>
      <c r="HT425" s="12" t="s">
        <v>320</v>
      </c>
      <c r="HU425" s="12" t="s">
        <v>320</v>
      </c>
      <c r="HV425" s="12" t="s">
        <v>320</v>
      </c>
      <c r="HW425" s="12" t="s">
        <v>319</v>
      </c>
      <c r="HX425" s="12"/>
      <c r="HY425" s="12"/>
      <c r="HZ425" s="12" t="s">
        <v>331</v>
      </c>
      <c r="IA425" s="12" t="s">
        <v>7295</v>
      </c>
      <c r="IB425" s="12" t="s">
        <v>396</v>
      </c>
      <c r="IC425" s="12" t="s">
        <v>7296</v>
      </c>
      <c r="ID425" s="12" t="s">
        <v>334</v>
      </c>
      <c r="IE425" s="12" t="s">
        <v>335</v>
      </c>
      <c r="IF425" s="12" t="s">
        <v>320</v>
      </c>
      <c r="IG425" s="12" t="s">
        <v>320</v>
      </c>
      <c r="IH425" s="12" t="s">
        <v>320</v>
      </c>
      <c r="II425" s="12" t="s">
        <v>320</v>
      </c>
      <c r="IJ425" s="12" t="str">
        <f t="shared" si="259"/>
        <v>2. Sensitive</v>
      </c>
      <c r="IK425" s="12">
        <f t="shared" si="260"/>
        <v>4</v>
      </c>
      <c r="IL425" s="12" t="s">
        <v>336</v>
      </c>
      <c r="IM425" s="12" t="s">
        <v>320</v>
      </c>
      <c r="IN425" s="12" t="s">
        <v>320</v>
      </c>
      <c r="IO425" s="12" t="s">
        <v>320</v>
      </c>
      <c r="IP425" s="12" t="s">
        <v>320</v>
      </c>
      <c r="IQ425" s="12" t="str">
        <f t="shared" si="261"/>
        <v>2. Accommodating</v>
      </c>
      <c r="IR425" s="12">
        <f t="shared" si="262"/>
        <v>4</v>
      </c>
      <c r="IS425" s="12" t="s">
        <v>337</v>
      </c>
      <c r="IT425" s="12" t="s">
        <v>320</v>
      </c>
      <c r="IU425" s="12" t="s">
        <v>320</v>
      </c>
      <c r="IV425" s="12" t="s">
        <v>320</v>
      </c>
      <c r="IW425" s="11" t="str">
        <f t="shared" si="263"/>
        <v>2. Sensitive</v>
      </c>
      <c r="IX425" s="12">
        <f t="shared" si="264"/>
        <v>3</v>
      </c>
      <c r="IY425" s="11" t="s">
        <v>419</v>
      </c>
      <c r="IZ425" s="12" t="s">
        <v>457</v>
      </c>
      <c r="JA425" s="12">
        <v>18</v>
      </c>
      <c r="JB425" s="12" t="s">
        <v>624</v>
      </c>
      <c r="JC425" s="12" t="s">
        <v>433</v>
      </c>
      <c r="JD425" s="11" t="s">
        <v>831</v>
      </c>
      <c r="JE425" s="12" t="s">
        <v>340</v>
      </c>
      <c r="JF425" s="12" t="s">
        <v>7297</v>
      </c>
      <c r="JG425" s="12" t="s">
        <v>7298</v>
      </c>
      <c r="JH425" s="12" t="s">
        <v>7299</v>
      </c>
      <c r="JI425" s="12" t="s">
        <v>7300</v>
      </c>
      <c r="JJ425" s="12" t="s">
        <v>7301</v>
      </c>
      <c r="JK425" s="12" t="s">
        <v>7302</v>
      </c>
      <c r="JL425" s="12" t="s">
        <v>7303</v>
      </c>
      <c r="JM425" s="12" t="s">
        <v>7304</v>
      </c>
      <c r="JN425" s="12" t="s">
        <v>7305</v>
      </c>
      <c r="JO425" s="12" t="s">
        <v>7306</v>
      </c>
      <c r="JP425" s="15">
        <f t="shared" si="265"/>
        <v>280</v>
      </c>
      <c r="JQ425" s="15">
        <f t="shared" si="266"/>
        <v>120000</v>
      </c>
      <c r="JR425" s="279">
        <f t="shared" si="267"/>
        <v>428.57142857142856</v>
      </c>
      <c r="JS425" s="17">
        <f t="shared" si="268"/>
        <v>0.57857142857142863</v>
      </c>
      <c r="JT425" s="18">
        <f t="shared" si="269"/>
        <v>0.51</v>
      </c>
      <c r="JU425" s="280">
        <f t="shared" si="270"/>
        <v>162</v>
      </c>
      <c r="JV425" s="280">
        <f t="shared" si="271"/>
        <v>61200</v>
      </c>
      <c r="JW425" s="319" t="str">
        <f t="shared" si="272"/>
        <v/>
      </c>
      <c r="JX425" s="15">
        <f t="shared" si="273"/>
        <v>0</v>
      </c>
      <c r="JY425" s="15">
        <f t="shared" si="274"/>
        <v>0</v>
      </c>
      <c r="JZ425" s="19" t="str">
        <f t="shared" si="275"/>
        <v/>
      </c>
      <c r="KA425" s="52">
        <f t="shared" si="276"/>
        <v>1</v>
      </c>
      <c r="KB425" s="15">
        <f t="shared" si="277"/>
        <v>280</v>
      </c>
      <c r="KC425" s="15">
        <f t="shared" si="278"/>
        <v>120000</v>
      </c>
      <c r="KD425" s="20">
        <f t="shared" si="279"/>
        <v>428.57142857142856</v>
      </c>
      <c r="KE425" s="52" t="str">
        <f t="shared" si="280"/>
        <v/>
      </c>
      <c r="KF425" s="15">
        <f t="shared" si="281"/>
        <v>0</v>
      </c>
      <c r="KG425" s="15">
        <f t="shared" si="282"/>
        <v>0</v>
      </c>
      <c r="KH425" s="21" t="str">
        <f t="shared" si="283"/>
        <v/>
      </c>
      <c r="KI425" s="52" t="str">
        <f t="shared" si="284"/>
        <v/>
      </c>
      <c r="KJ425" s="15">
        <f t="shared" si="285"/>
        <v>0</v>
      </c>
      <c r="KK425" s="15">
        <f t="shared" si="286"/>
        <v>0</v>
      </c>
      <c r="KL425" s="19" t="str">
        <f t="shared" si="287"/>
        <v/>
      </c>
      <c r="KM425" s="52" t="str">
        <f t="shared" si="288"/>
        <v/>
      </c>
      <c r="KN425" s="22">
        <f t="shared" si="289"/>
        <v>0</v>
      </c>
      <c r="KO425" s="22">
        <f t="shared" si="290"/>
        <v>0</v>
      </c>
      <c r="KP425" s="19" t="str">
        <f t="shared" si="291"/>
        <v/>
      </c>
      <c r="KQ425" s="11" t="str">
        <f t="shared" si="292"/>
        <v>2. Sensitive</v>
      </c>
      <c r="KR425" s="11" t="str">
        <f t="shared" si="293"/>
        <v>2. Accommodating</v>
      </c>
      <c r="KS425" s="11" t="str">
        <f t="shared" si="294"/>
        <v>2. Sensitive</v>
      </c>
      <c r="KT425" s="11" t="str">
        <f t="shared" si="295"/>
        <v>It tested new ways for fighting poverty and measured results of innovation</v>
      </c>
      <c r="KU425" s="11" t="str">
        <f t="shared" si="296"/>
        <v>Moderate advocacy</v>
      </c>
      <c r="KV425" s="11" t="str">
        <f t="shared" si="297"/>
        <v>It linked and worked with strategic alliances and partners to take tested and effective solutions to scale</v>
      </c>
      <c r="KW425" s="11" t="str">
        <f t="shared" si="298"/>
        <v>Madagascar - Projet Assainissement Innovant en milieu Urbain PAIU/Projet  Fanatsaràna ny Faripiainanny Mponina Andrenivohitra aminny Fandrindràna ny Fidiovana sy ny Fahadiovana (FAMAFA)</v>
      </c>
      <c r="KX425" s="11" t="str">
        <f t="shared" si="299"/>
        <v>Projet Assainissement Innovant en milieu Urbain PAIU/Projet  Fanatsaràna ny Faripiainanny Mponina Andrenivohitra aminny Fandrindràna ny Fidiovana sy ny Fahadiovana (FAMAFA)</v>
      </c>
      <c r="KY425" s="11" t="str">
        <f t="shared" si="300"/>
        <v>Madagascar</v>
      </c>
      <c r="KZ425" s="12">
        <v>425</v>
      </c>
    </row>
    <row r="426" spans="1:312" x14ac:dyDescent="0.3">
      <c r="A426" s="12" t="s">
        <v>7216</v>
      </c>
      <c r="B426" s="12" t="s">
        <v>7217</v>
      </c>
      <c r="C426" s="12">
        <v>3105</v>
      </c>
      <c r="D426" s="12" t="s">
        <v>7408</v>
      </c>
      <c r="E426" s="277" t="str">
        <f t="shared" si="258"/>
        <v>Madagascar</v>
      </c>
      <c r="F426" s="12" t="s">
        <v>7409</v>
      </c>
      <c r="G426" s="12" t="s">
        <v>425</v>
      </c>
      <c r="H426" s="11" t="s">
        <v>310</v>
      </c>
      <c r="I426" s="12" t="s">
        <v>517</v>
      </c>
      <c r="J426" s="281" t="s">
        <v>14578</v>
      </c>
      <c r="K426" s="12"/>
      <c r="L426" s="12"/>
      <c r="M426" s="12"/>
      <c r="N426" s="12"/>
      <c r="O426" s="12"/>
      <c r="P426" s="12"/>
      <c r="Q426" s="12"/>
      <c r="R426" s="12"/>
      <c r="S426" s="12"/>
      <c r="T426" s="12"/>
      <c r="U426" s="12"/>
      <c r="V426" s="12"/>
      <c r="W426" s="12"/>
      <c r="X426" s="12"/>
      <c r="Y426" s="12"/>
      <c r="Z426" s="12"/>
      <c r="AA426" s="12"/>
      <c r="AB426" s="12"/>
      <c r="AC426" s="12"/>
      <c r="AD426" s="12"/>
      <c r="BD426" s="13">
        <v>41988</v>
      </c>
      <c r="BE426" s="13">
        <v>43083</v>
      </c>
      <c r="BF426" s="12"/>
      <c r="BG426" s="12" t="s">
        <v>749</v>
      </c>
      <c r="BH426" s="14">
        <v>1229797.53</v>
      </c>
      <c r="BI426" s="12" t="s">
        <v>7286</v>
      </c>
      <c r="BJ426" s="12" t="s">
        <v>7410</v>
      </c>
      <c r="BK426" s="12" t="s">
        <v>7288</v>
      </c>
      <c r="BL426" s="12" t="s">
        <v>7411</v>
      </c>
      <c r="BM426" s="12" t="s">
        <v>7412</v>
      </c>
      <c r="BN426" s="12" t="s">
        <v>7413</v>
      </c>
      <c r="BO426" s="12" t="s">
        <v>320</v>
      </c>
      <c r="BP426" s="12" t="s">
        <v>320</v>
      </c>
      <c r="BQ426" s="12" t="s">
        <v>320</v>
      </c>
      <c r="BR426" s="12" t="s">
        <v>7414</v>
      </c>
      <c r="BS426" s="12" t="s">
        <v>357</v>
      </c>
      <c r="BT426" s="12" t="s">
        <v>7415</v>
      </c>
      <c r="BU426" s="12" t="s">
        <v>7416</v>
      </c>
      <c r="BV426" s="14">
        <v>6864</v>
      </c>
      <c r="BW426" s="14">
        <v>11136</v>
      </c>
      <c r="BX426" s="14">
        <v>18000</v>
      </c>
      <c r="BY426" s="14">
        <v>43270</v>
      </c>
      <c r="BZ426" s="14">
        <v>38798</v>
      </c>
      <c r="CA426" s="14">
        <v>82068</v>
      </c>
      <c r="CB426" s="12" t="s">
        <v>7417</v>
      </c>
      <c r="CD426" s="14">
        <v>22494</v>
      </c>
      <c r="CE426" s="14">
        <v>7496</v>
      </c>
      <c r="CF426" s="14">
        <v>29990</v>
      </c>
      <c r="CG426" s="14"/>
      <c r="CH426" s="14"/>
      <c r="CI426" s="14"/>
      <c r="CJ426" s="12"/>
      <c r="CK426" s="14"/>
      <c r="CL426" s="16"/>
      <c r="CM426" s="14"/>
      <c r="CN426" s="12"/>
      <c r="CO426" s="14"/>
      <c r="CP426" s="16"/>
      <c r="CQ426" s="14"/>
      <c r="CR426" s="12"/>
      <c r="CS426" s="14"/>
      <c r="CT426" s="16"/>
      <c r="CU426" s="14"/>
      <c r="CV426" s="12" t="s">
        <v>320</v>
      </c>
      <c r="CW426" s="14">
        <v>29990</v>
      </c>
      <c r="CX426" s="16">
        <v>0.89</v>
      </c>
      <c r="CY426" s="14"/>
      <c r="CZ426" s="12"/>
      <c r="DA426" s="14"/>
      <c r="DB426" s="16"/>
      <c r="DC426" s="14"/>
      <c r="DD426" s="12"/>
      <c r="DE426" s="14"/>
      <c r="DF426" s="16"/>
      <c r="DG426" s="14"/>
      <c r="DH426" s="12" t="s">
        <v>320</v>
      </c>
      <c r="DI426" s="14">
        <v>13334</v>
      </c>
      <c r="DJ426" s="16">
        <v>1</v>
      </c>
      <c r="DK426" s="14"/>
      <c r="DL426" s="12"/>
      <c r="DM426" s="14"/>
      <c r="DN426" s="16"/>
      <c r="DO426" s="14"/>
      <c r="DP426" s="12"/>
      <c r="DQ426" s="14"/>
      <c r="DR426" s="16"/>
      <c r="DS426" s="14"/>
      <c r="DT426" s="12"/>
      <c r="DU426" s="14"/>
      <c r="DV426" s="16"/>
      <c r="DW426" s="14"/>
      <c r="DX426" s="12"/>
      <c r="DY426" s="14"/>
      <c r="DZ426" s="16"/>
      <c r="EA426" s="14"/>
      <c r="EB426" s="12"/>
      <c r="EC426" s="14"/>
      <c r="ED426" s="16"/>
      <c r="EE426" s="14"/>
      <c r="EF426" s="12"/>
      <c r="EG426" s="12"/>
      <c r="EH426" s="14"/>
      <c r="EI426" s="16"/>
      <c r="EJ426" s="14"/>
      <c r="EK426" s="14">
        <v>21806</v>
      </c>
      <c r="EL426" s="14">
        <v>19001</v>
      </c>
      <c r="EM426" s="14">
        <v>40807</v>
      </c>
      <c r="EN426" s="14">
        <v>25705</v>
      </c>
      <c r="EO426" s="14">
        <v>22431</v>
      </c>
      <c r="EP426" s="14">
        <v>48136</v>
      </c>
      <c r="EQ426" s="12"/>
      <c r="ER426" s="14"/>
      <c r="ES426" s="16"/>
      <c r="ET426" s="14"/>
      <c r="EU426" s="12"/>
      <c r="EV426" s="14"/>
      <c r="EW426" s="16"/>
      <c r="EX426" s="14"/>
      <c r="EY426" s="12"/>
      <c r="EZ426" s="14"/>
      <c r="FA426" s="16"/>
      <c r="FB426" s="14"/>
      <c r="FC426" s="12"/>
      <c r="FD426" s="14"/>
      <c r="FE426" s="16"/>
      <c r="FF426" s="14"/>
      <c r="FG426" s="12"/>
      <c r="FH426" s="14"/>
      <c r="FI426" s="16"/>
      <c r="FJ426" s="14"/>
      <c r="FK426" s="12"/>
      <c r="FL426" s="14"/>
      <c r="FM426" s="16"/>
      <c r="FN426" s="14"/>
      <c r="FO426" s="12" t="s">
        <v>320</v>
      </c>
      <c r="FP426" s="14">
        <v>33914</v>
      </c>
      <c r="FQ426" s="16">
        <v>0.64290000000000003</v>
      </c>
      <c r="FR426" s="14"/>
      <c r="FS426" s="12"/>
      <c r="FT426" s="14"/>
      <c r="FU426" s="16"/>
      <c r="FV426" s="14"/>
      <c r="FW426" s="12"/>
      <c r="FX426" s="14"/>
      <c r="FY426" s="16"/>
      <c r="FZ426" s="14"/>
      <c r="GA426" s="11" t="s">
        <v>320</v>
      </c>
      <c r="GB426" s="14">
        <v>39336</v>
      </c>
      <c r="GC426" s="16">
        <v>0.64300000000000002</v>
      </c>
      <c r="GD426" s="14"/>
      <c r="GE426" s="12"/>
      <c r="GF426" s="14"/>
      <c r="GG426" s="16"/>
      <c r="GH426" s="14"/>
      <c r="GI426" s="12"/>
      <c r="GJ426" s="14"/>
      <c r="GK426" s="16"/>
      <c r="GL426" s="14"/>
      <c r="GM426" s="12"/>
      <c r="GN426" s="14"/>
      <c r="GO426" s="16"/>
      <c r="GP426" s="14"/>
      <c r="GQ426" s="12"/>
      <c r="GR426" s="14"/>
      <c r="GS426" s="16"/>
      <c r="GT426" s="14"/>
      <c r="GU426" s="12" t="s">
        <v>320</v>
      </c>
      <c r="GV426" s="14">
        <v>40807</v>
      </c>
      <c r="GW426" s="16">
        <v>0.5343</v>
      </c>
      <c r="GX426" s="14"/>
      <c r="GY426" s="12"/>
      <c r="GZ426" s="14"/>
      <c r="HA426" s="16"/>
      <c r="HB426" s="14"/>
      <c r="HC426" s="12"/>
      <c r="HD426" s="12"/>
      <c r="HE426" s="14"/>
      <c r="HF426" s="16"/>
      <c r="HG426" s="14"/>
      <c r="HH426" s="12" t="s">
        <v>320</v>
      </c>
      <c r="HI426" s="12" t="s">
        <v>544</v>
      </c>
      <c r="HJ426" s="12">
        <v>2017</v>
      </c>
      <c r="HK426" s="12"/>
      <c r="HL426" s="12" t="s">
        <v>320</v>
      </c>
      <c r="HM426" s="12" t="s">
        <v>328</v>
      </c>
      <c r="HN426" s="12">
        <v>2017</v>
      </c>
      <c r="HO426" s="12" t="s">
        <v>7418</v>
      </c>
      <c r="HP426" s="12" t="s">
        <v>330</v>
      </c>
      <c r="HQ426" s="12"/>
      <c r="HR426" s="12"/>
      <c r="HS426" s="12" t="s">
        <v>320</v>
      </c>
      <c r="HT426" s="12" t="s">
        <v>320</v>
      </c>
      <c r="HU426" s="12"/>
      <c r="HV426" s="12"/>
      <c r="HW426" s="12" t="s">
        <v>320</v>
      </c>
      <c r="HX426" s="12"/>
      <c r="HY426" s="12"/>
      <c r="HZ426" s="12" t="s">
        <v>331</v>
      </c>
      <c r="IA426" s="12" t="s">
        <v>7419</v>
      </c>
      <c r="IB426" s="12" t="s">
        <v>396</v>
      </c>
      <c r="IC426" s="12" t="s">
        <v>7420</v>
      </c>
      <c r="ID426" s="12"/>
      <c r="IE426" s="12" t="s">
        <v>478</v>
      </c>
      <c r="IF426" s="12" t="s">
        <v>320</v>
      </c>
      <c r="IG426" s="12" t="s">
        <v>320</v>
      </c>
      <c r="IH426" s="12" t="s">
        <v>320</v>
      </c>
      <c r="II426" s="12" t="s">
        <v>320</v>
      </c>
      <c r="IJ426" s="12" t="str">
        <f t="shared" si="259"/>
        <v>4. Transformative</v>
      </c>
      <c r="IK426" s="12">
        <f t="shared" si="260"/>
        <v>4</v>
      </c>
      <c r="IL426" s="12" t="s">
        <v>336</v>
      </c>
      <c r="IM426" s="12" t="s">
        <v>320</v>
      </c>
      <c r="IN426" s="12" t="s">
        <v>320</v>
      </c>
      <c r="IO426" s="12" t="s">
        <v>320</v>
      </c>
      <c r="IP426" s="12" t="s">
        <v>320</v>
      </c>
      <c r="IQ426" s="12" t="str">
        <f t="shared" si="261"/>
        <v>2. Accommodating</v>
      </c>
      <c r="IR426" s="12">
        <f t="shared" si="262"/>
        <v>4</v>
      </c>
      <c r="IS426" s="12" t="s">
        <v>337</v>
      </c>
      <c r="IT426" s="12" t="s">
        <v>320</v>
      </c>
      <c r="IU426" s="12" t="s">
        <v>320</v>
      </c>
      <c r="IV426" s="12" t="s">
        <v>319</v>
      </c>
      <c r="IW426" s="11" t="str">
        <f t="shared" si="263"/>
        <v>1. Neutral</v>
      </c>
      <c r="IX426" s="12">
        <f t="shared" si="264"/>
        <v>2</v>
      </c>
      <c r="IY426" s="11" t="s">
        <v>419</v>
      </c>
      <c r="IZ426" s="12" t="s">
        <v>432</v>
      </c>
      <c r="JA426" s="12">
        <v>2</v>
      </c>
      <c r="JB426" s="12" t="s">
        <v>687</v>
      </c>
      <c r="JC426" s="11" t="s">
        <v>624</v>
      </c>
      <c r="JD426" s="12"/>
      <c r="JE426" s="12" t="s">
        <v>340</v>
      </c>
      <c r="JF426" s="12" t="s">
        <v>7421</v>
      </c>
      <c r="JG426" s="12" t="s">
        <v>7422</v>
      </c>
      <c r="JH426" s="12" t="s">
        <v>7423</v>
      </c>
      <c r="JI426" s="12" t="s">
        <v>7424</v>
      </c>
      <c r="JJ426" s="12" t="s">
        <v>7425</v>
      </c>
      <c r="JK426" s="12" t="s">
        <v>7426</v>
      </c>
      <c r="JL426" s="12" t="s">
        <v>7427</v>
      </c>
      <c r="JM426" s="12" t="s">
        <v>7428</v>
      </c>
      <c r="JN426" s="12" t="s">
        <v>7429</v>
      </c>
      <c r="JO426" s="12" t="s">
        <v>7430</v>
      </c>
      <c r="JP426" s="15">
        <f t="shared" si="265"/>
        <v>40807</v>
      </c>
      <c r="JQ426" s="15">
        <f t="shared" si="266"/>
        <v>48136</v>
      </c>
      <c r="JR426" s="279">
        <f t="shared" si="267"/>
        <v>1.1796015389516505</v>
      </c>
      <c r="JS426" s="17">
        <f t="shared" si="268"/>
        <v>0.55122895581640408</v>
      </c>
      <c r="JT426" s="18">
        <f t="shared" si="269"/>
        <v>0.53400781120159546</v>
      </c>
      <c r="JU426" s="280">
        <f t="shared" si="270"/>
        <v>22494</v>
      </c>
      <c r="JV426" s="280">
        <f t="shared" si="271"/>
        <v>25705</v>
      </c>
      <c r="JW426" s="319">
        <f t="shared" si="272"/>
        <v>1</v>
      </c>
      <c r="JX426" s="15">
        <f t="shared" si="273"/>
        <v>29990</v>
      </c>
      <c r="JY426" s="15">
        <f t="shared" si="274"/>
        <v>0</v>
      </c>
      <c r="JZ426" s="19">
        <f t="shared" si="275"/>
        <v>0</v>
      </c>
      <c r="KA426" s="52">
        <f t="shared" si="276"/>
        <v>1</v>
      </c>
      <c r="KB426" s="15">
        <f t="shared" si="277"/>
        <v>40807</v>
      </c>
      <c r="KC426" s="15">
        <f t="shared" si="278"/>
        <v>0</v>
      </c>
      <c r="KD426" s="20">
        <f t="shared" si="279"/>
        <v>0</v>
      </c>
      <c r="KE426" s="52" t="str">
        <f t="shared" si="280"/>
        <v/>
      </c>
      <c r="KF426" s="15">
        <f t="shared" si="281"/>
        <v>0</v>
      </c>
      <c r="KG426" s="15">
        <f t="shared" si="282"/>
        <v>0</v>
      </c>
      <c r="KH426" s="21" t="str">
        <f t="shared" si="283"/>
        <v/>
      </c>
      <c r="KI426" s="52" t="str">
        <f t="shared" si="284"/>
        <v/>
      </c>
      <c r="KJ426" s="15">
        <f t="shared" si="285"/>
        <v>0</v>
      </c>
      <c r="KK426" s="15">
        <f t="shared" si="286"/>
        <v>0</v>
      </c>
      <c r="KL426" s="19" t="str">
        <f t="shared" si="287"/>
        <v/>
      </c>
      <c r="KM426" s="52" t="str">
        <f t="shared" si="288"/>
        <v/>
      </c>
      <c r="KN426" s="22">
        <f t="shared" si="289"/>
        <v>0</v>
      </c>
      <c r="KO426" s="22">
        <f t="shared" si="290"/>
        <v>0</v>
      </c>
      <c r="KP426" s="19" t="str">
        <f t="shared" si="291"/>
        <v/>
      </c>
      <c r="KQ426" s="11" t="str">
        <f t="shared" si="292"/>
        <v>4. Transformative</v>
      </c>
      <c r="KR426" s="11" t="str">
        <f t="shared" si="293"/>
        <v>2. Accommodating</v>
      </c>
      <c r="KS426" s="11" t="str">
        <f t="shared" si="294"/>
        <v>1. Neutral</v>
      </c>
      <c r="KT426" s="11" t="str">
        <f t="shared" si="295"/>
        <v>It tested new ways for fighting poverty and measured results of innovation</v>
      </c>
      <c r="KU426" s="11" t="str">
        <f t="shared" si="296"/>
        <v>Moderate advocacy</v>
      </c>
      <c r="KV426" s="11" t="str">
        <f t="shared" si="297"/>
        <v>It linked and worked with strategic alliances and partners to take tested and effective solutions to scale</v>
      </c>
      <c r="KW426" s="11" t="str">
        <f t="shared" si="298"/>
        <v>Madagascar - Renforcement des Actions de Nutrition AINA (RAN-AINA)</v>
      </c>
      <c r="KX426" s="11" t="str">
        <f t="shared" si="299"/>
        <v>Renforcement des Actions de Nutrition AINA (RAN-AINA)</v>
      </c>
      <c r="KY426" s="11" t="str">
        <f t="shared" si="300"/>
        <v>Madagascar</v>
      </c>
      <c r="KZ426" s="12">
        <v>426</v>
      </c>
    </row>
    <row r="427" spans="1:312" x14ac:dyDescent="0.3">
      <c r="A427" s="12" t="s">
        <v>7216</v>
      </c>
      <c r="B427" s="12" t="s">
        <v>7217</v>
      </c>
      <c r="C427" s="12"/>
      <c r="D427" s="12" t="s">
        <v>7307</v>
      </c>
      <c r="E427" s="277" t="str">
        <f t="shared" si="258"/>
        <v>Madagascar</v>
      </c>
      <c r="F427" s="12" t="s">
        <v>7308</v>
      </c>
      <c r="G427" s="12" t="s">
        <v>714</v>
      </c>
      <c r="H427" s="11" t="s">
        <v>310</v>
      </c>
      <c r="I427" s="12" t="s">
        <v>907</v>
      </c>
      <c r="J427" s="281" t="s">
        <v>5183</v>
      </c>
      <c r="K427" s="12"/>
      <c r="L427" s="12"/>
      <c r="M427" s="12"/>
      <c r="N427" s="12"/>
      <c r="O427" s="12"/>
      <c r="P427" s="12"/>
      <c r="Q427" s="12"/>
      <c r="R427" s="12"/>
      <c r="S427" s="12"/>
      <c r="T427" s="12"/>
      <c r="U427" s="12"/>
      <c r="V427" s="12"/>
      <c r="W427" s="12"/>
      <c r="X427" s="12"/>
      <c r="Y427" s="12"/>
      <c r="Z427" s="12"/>
      <c r="AA427" s="12"/>
      <c r="AB427" s="12"/>
      <c r="AC427" s="12"/>
      <c r="AD427" s="12"/>
      <c r="BD427" s="13">
        <v>42614</v>
      </c>
      <c r="BE427" s="13">
        <v>43069</v>
      </c>
      <c r="BF427" s="12"/>
      <c r="BG427" s="12" t="s">
        <v>908</v>
      </c>
      <c r="BH427" s="14">
        <v>1404000</v>
      </c>
      <c r="BI427" s="12" t="s">
        <v>7309</v>
      </c>
      <c r="BJ427" s="12" t="s">
        <v>7310</v>
      </c>
      <c r="BK427" s="12" t="s">
        <v>7311</v>
      </c>
      <c r="BL427" s="12" t="s">
        <v>7312</v>
      </c>
      <c r="BM427" s="12" t="s">
        <v>7269</v>
      </c>
      <c r="BN427" s="12" t="s">
        <v>7313</v>
      </c>
      <c r="BO427" s="12" t="s">
        <v>320</v>
      </c>
      <c r="BP427" s="12" t="s">
        <v>319</v>
      </c>
      <c r="BQ427" s="12" t="s">
        <v>319</v>
      </c>
      <c r="BR427" s="12" t="s">
        <v>7314</v>
      </c>
      <c r="BS427" s="12" t="s">
        <v>357</v>
      </c>
      <c r="BT427" s="12" t="s">
        <v>7315</v>
      </c>
      <c r="BU427" s="12" t="s">
        <v>7316</v>
      </c>
      <c r="BV427" s="14">
        <v>2220</v>
      </c>
      <c r="BW427" s="14">
        <v>1480</v>
      </c>
      <c r="BX427" s="14">
        <v>3700</v>
      </c>
      <c r="BY427" s="14">
        <v>11100</v>
      </c>
      <c r="BZ427" s="14">
        <v>7400</v>
      </c>
      <c r="CA427" s="14">
        <v>18500</v>
      </c>
      <c r="CB427" s="12" t="s">
        <v>7317</v>
      </c>
      <c r="CD427" s="14">
        <v>2052</v>
      </c>
      <c r="CE427" s="14">
        <v>1697</v>
      </c>
      <c r="CF427" s="14">
        <v>3749</v>
      </c>
      <c r="CG427" s="14">
        <v>12390</v>
      </c>
      <c r="CH427" s="14">
        <v>12460</v>
      </c>
      <c r="CI427" s="14">
        <v>24850</v>
      </c>
      <c r="CJ427" s="12" t="s">
        <v>319</v>
      </c>
      <c r="CK427" s="14"/>
      <c r="CL427" s="16"/>
      <c r="CM427" s="14"/>
      <c r="CN427" s="12" t="s">
        <v>320</v>
      </c>
      <c r="CO427" s="14">
        <v>3700</v>
      </c>
      <c r="CP427" s="16">
        <v>0.55000000000000004</v>
      </c>
      <c r="CQ427" s="14">
        <v>24649</v>
      </c>
      <c r="CR427" s="12" t="s">
        <v>319</v>
      </c>
      <c r="CS427" s="14"/>
      <c r="CT427" s="16"/>
      <c r="CU427" s="14"/>
      <c r="CV427" s="12" t="s">
        <v>320</v>
      </c>
      <c r="CW427" s="14">
        <v>1000</v>
      </c>
      <c r="CX427" s="16">
        <v>0.6</v>
      </c>
      <c r="CY427" s="14">
        <v>7003</v>
      </c>
      <c r="CZ427" s="12" t="s">
        <v>319</v>
      </c>
      <c r="DA427" s="14"/>
      <c r="DB427" s="16"/>
      <c r="DC427" s="14"/>
      <c r="DD427" s="12" t="s">
        <v>319</v>
      </c>
      <c r="DE427" s="14"/>
      <c r="DF427" s="16"/>
      <c r="DG427" s="14"/>
      <c r="DH427" s="12" t="s">
        <v>319</v>
      </c>
      <c r="DI427" s="14"/>
      <c r="DJ427" s="16"/>
      <c r="DK427" s="14"/>
      <c r="DL427" s="12" t="s">
        <v>319</v>
      </c>
      <c r="DM427" s="14"/>
      <c r="DN427" s="16"/>
      <c r="DO427" s="14"/>
      <c r="DP427" s="12" t="s">
        <v>319</v>
      </c>
      <c r="DQ427" s="14"/>
      <c r="DR427" s="16"/>
      <c r="DS427" s="14"/>
      <c r="DT427" s="12" t="s">
        <v>319</v>
      </c>
      <c r="DU427" s="14"/>
      <c r="DV427" s="16"/>
      <c r="DW427" s="14"/>
      <c r="DX427" s="12" t="s">
        <v>319</v>
      </c>
      <c r="DY427" s="14"/>
      <c r="DZ427" s="16"/>
      <c r="EA427" s="14"/>
      <c r="EB427" s="11" t="s">
        <v>320</v>
      </c>
      <c r="EC427" s="14">
        <v>211</v>
      </c>
      <c r="ED427" s="16">
        <v>0.45</v>
      </c>
      <c r="EE427" s="14">
        <v>1695</v>
      </c>
      <c r="EF427" s="12"/>
      <c r="EG427" s="12"/>
      <c r="EH427" s="14"/>
      <c r="EI427" s="16"/>
      <c r="EJ427" s="14"/>
      <c r="EK427" s="14"/>
      <c r="EL427" s="14"/>
      <c r="EM427" s="14"/>
      <c r="EN427" s="14"/>
      <c r="EO427" s="14"/>
      <c r="EP427" s="14"/>
      <c r="EQ427" s="12"/>
      <c r="ER427" s="14"/>
      <c r="ES427" s="16"/>
      <c r="ET427" s="14"/>
      <c r="EU427" s="12"/>
      <c r="EV427" s="14"/>
      <c r="EW427" s="16"/>
      <c r="EX427" s="14"/>
      <c r="EY427" s="12"/>
      <c r="EZ427" s="14"/>
      <c r="FA427" s="16"/>
      <c r="FB427" s="14"/>
      <c r="FC427" s="12"/>
      <c r="FD427" s="14"/>
      <c r="FE427" s="16"/>
      <c r="FF427" s="14"/>
      <c r="FG427" s="12"/>
      <c r="FH427" s="14"/>
      <c r="FI427" s="16"/>
      <c r="FJ427" s="14"/>
      <c r="FK427" s="12"/>
      <c r="FL427" s="14"/>
      <c r="FM427" s="16"/>
      <c r="FN427" s="14"/>
      <c r="FO427" s="12"/>
      <c r="FP427" s="14"/>
      <c r="FQ427" s="16"/>
      <c r="FR427" s="14"/>
      <c r="FS427" s="12"/>
      <c r="FT427" s="14"/>
      <c r="FU427" s="16"/>
      <c r="FV427" s="14"/>
      <c r="FW427" s="12"/>
      <c r="FX427" s="14"/>
      <c r="FY427" s="16"/>
      <c r="FZ427" s="14"/>
      <c r="GA427" s="12"/>
      <c r="GB427" s="14"/>
      <c r="GC427" s="16"/>
      <c r="GD427" s="14"/>
      <c r="GE427" s="12"/>
      <c r="GF427" s="14"/>
      <c r="GG427" s="16"/>
      <c r="GH427" s="14"/>
      <c r="GI427" s="12"/>
      <c r="GJ427" s="14"/>
      <c r="GK427" s="16"/>
      <c r="GL427" s="14"/>
      <c r="GM427" s="12"/>
      <c r="GN427" s="14"/>
      <c r="GO427" s="16"/>
      <c r="GP427" s="14"/>
      <c r="GQ427" s="12"/>
      <c r="GR427" s="14"/>
      <c r="GS427" s="16"/>
      <c r="GT427" s="14"/>
      <c r="GU427" s="12"/>
      <c r="GV427" s="14"/>
      <c r="GW427" s="16"/>
      <c r="GX427" s="14"/>
      <c r="GY427" s="12"/>
      <c r="GZ427" s="14"/>
      <c r="HA427" s="16"/>
      <c r="HB427" s="14"/>
      <c r="HC427" s="12"/>
      <c r="HD427" s="12"/>
      <c r="HE427" s="14"/>
      <c r="HF427" s="16"/>
      <c r="HG427" s="14"/>
      <c r="HH427" s="12" t="s">
        <v>320</v>
      </c>
      <c r="HI427" s="12" t="s">
        <v>619</v>
      </c>
      <c r="HJ427" s="12">
        <v>2016</v>
      </c>
      <c r="HK427" s="12" t="s">
        <v>320</v>
      </c>
      <c r="HL427" s="12" t="s">
        <v>320</v>
      </c>
      <c r="HM427" s="12" t="s">
        <v>328</v>
      </c>
      <c r="HN427" s="12">
        <v>2017</v>
      </c>
      <c r="HO427" s="12" t="s">
        <v>7318</v>
      </c>
      <c r="HP427" s="12" t="s">
        <v>330</v>
      </c>
      <c r="HQ427" s="12" t="s">
        <v>319</v>
      </c>
      <c r="HR427" s="12" t="s">
        <v>319</v>
      </c>
      <c r="HS427" s="12" t="s">
        <v>320</v>
      </c>
      <c r="HT427" s="12" t="s">
        <v>319</v>
      </c>
      <c r="HU427" s="12" t="s">
        <v>320</v>
      </c>
      <c r="HV427" s="12" t="s">
        <v>320</v>
      </c>
      <c r="HW427" s="12" t="s">
        <v>319</v>
      </c>
      <c r="HX427" s="12" t="s">
        <v>319</v>
      </c>
      <c r="HY427" s="12"/>
      <c r="HZ427" s="11" t="s">
        <v>394</v>
      </c>
      <c r="IA427" s="12" t="s">
        <v>7319</v>
      </c>
      <c r="IB427" s="12" t="s">
        <v>396</v>
      </c>
      <c r="IC427" s="12"/>
      <c r="ID427" s="11" t="s">
        <v>364</v>
      </c>
      <c r="IE427" s="12" t="s">
        <v>335</v>
      </c>
      <c r="IF427" s="12" t="s">
        <v>320</v>
      </c>
      <c r="IG427" s="12" t="s">
        <v>320</v>
      </c>
      <c r="IH427" s="12" t="s">
        <v>320</v>
      </c>
      <c r="II427" s="12" t="s">
        <v>320</v>
      </c>
      <c r="IJ427" s="12" t="str">
        <f t="shared" si="259"/>
        <v>2. Sensitive</v>
      </c>
      <c r="IK427" s="12">
        <f t="shared" si="260"/>
        <v>4</v>
      </c>
      <c r="IL427" s="12" t="s">
        <v>336</v>
      </c>
      <c r="IM427" s="12" t="s">
        <v>320</v>
      </c>
      <c r="IN427" s="12" t="s">
        <v>320</v>
      </c>
      <c r="IO427" s="12" t="s">
        <v>319</v>
      </c>
      <c r="IP427" s="12" t="s">
        <v>320</v>
      </c>
      <c r="IQ427" s="12" t="str">
        <f t="shared" si="261"/>
        <v>2. Accommodating</v>
      </c>
      <c r="IR427" s="12">
        <f t="shared" si="262"/>
        <v>3</v>
      </c>
      <c r="IS427" s="12" t="s">
        <v>337</v>
      </c>
      <c r="IT427" s="12" t="s">
        <v>320</v>
      </c>
      <c r="IU427" s="12" t="s">
        <v>320</v>
      </c>
      <c r="IV427" s="12" t="s">
        <v>319</v>
      </c>
      <c r="IW427" s="11" t="str">
        <f t="shared" si="263"/>
        <v>1. Neutral</v>
      </c>
      <c r="IX427" s="12">
        <f t="shared" si="264"/>
        <v>2</v>
      </c>
      <c r="IY427" s="11" t="s">
        <v>758</v>
      </c>
      <c r="IZ427" s="12" t="s">
        <v>432</v>
      </c>
      <c r="JA427" s="12">
        <v>1</v>
      </c>
      <c r="JB427" s="12" t="s">
        <v>724</v>
      </c>
      <c r="JC427" s="11" t="s">
        <v>687</v>
      </c>
      <c r="JD427" s="11" t="s">
        <v>624</v>
      </c>
      <c r="JE427" s="12" t="s">
        <v>340</v>
      </c>
      <c r="JF427" s="12" t="s">
        <v>7320</v>
      </c>
      <c r="JG427" s="12"/>
      <c r="JH427" s="12" t="s">
        <v>7321</v>
      </c>
      <c r="JI427" s="12" t="s">
        <v>7322</v>
      </c>
      <c r="JJ427" s="12" t="s">
        <v>7323</v>
      </c>
      <c r="JK427" s="12" t="s">
        <v>7324</v>
      </c>
      <c r="JL427" s="12" t="s">
        <v>7325</v>
      </c>
      <c r="JM427" s="12" t="s">
        <v>7326</v>
      </c>
      <c r="JN427" s="12" t="s">
        <v>7327</v>
      </c>
      <c r="JO427" s="12" t="s">
        <v>7328</v>
      </c>
      <c r="JP427" s="15">
        <f t="shared" si="265"/>
        <v>3749</v>
      </c>
      <c r="JQ427" s="15">
        <f t="shared" si="266"/>
        <v>24850</v>
      </c>
      <c r="JR427" s="279">
        <f t="shared" si="267"/>
        <v>6.6284342491331021</v>
      </c>
      <c r="JS427" s="17">
        <f t="shared" si="268"/>
        <v>0.54734595892237925</v>
      </c>
      <c r="JT427" s="18">
        <f t="shared" si="269"/>
        <v>0.49859154929577465</v>
      </c>
      <c r="JU427" s="280">
        <f t="shared" si="270"/>
        <v>2052</v>
      </c>
      <c r="JV427" s="280">
        <f t="shared" si="271"/>
        <v>12390</v>
      </c>
      <c r="JW427" s="319">
        <f t="shared" si="272"/>
        <v>1</v>
      </c>
      <c r="JX427" s="15">
        <f t="shared" si="273"/>
        <v>3749</v>
      </c>
      <c r="JY427" s="15">
        <f t="shared" si="274"/>
        <v>24850</v>
      </c>
      <c r="JZ427" s="19">
        <f t="shared" si="275"/>
        <v>6.6284342491331021</v>
      </c>
      <c r="KA427" s="52">
        <f t="shared" si="276"/>
        <v>1</v>
      </c>
      <c r="KB427" s="15">
        <f t="shared" si="277"/>
        <v>1000</v>
      </c>
      <c r="KC427" s="15">
        <f t="shared" si="278"/>
        <v>7003</v>
      </c>
      <c r="KD427" s="20">
        <f t="shared" si="279"/>
        <v>7.0030000000000001</v>
      </c>
      <c r="KE427" s="52" t="str">
        <f t="shared" si="280"/>
        <v/>
      </c>
      <c r="KF427" s="15">
        <f t="shared" si="281"/>
        <v>0</v>
      </c>
      <c r="KG427" s="15">
        <f t="shared" si="282"/>
        <v>0</v>
      </c>
      <c r="KH427" s="21" t="str">
        <f t="shared" si="283"/>
        <v/>
      </c>
      <c r="KI427" s="52" t="str">
        <f t="shared" si="284"/>
        <v/>
      </c>
      <c r="KJ427" s="15">
        <f t="shared" si="285"/>
        <v>0</v>
      </c>
      <c r="KK427" s="15">
        <f t="shared" si="286"/>
        <v>0</v>
      </c>
      <c r="KL427" s="19" t="str">
        <f t="shared" si="287"/>
        <v/>
      </c>
      <c r="KM427" s="52" t="str">
        <f t="shared" si="288"/>
        <v/>
      </c>
      <c r="KN427" s="22">
        <f t="shared" si="289"/>
        <v>0</v>
      </c>
      <c r="KO427" s="22">
        <f t="shared" si="290"/>
        <v>0</v>
      </c>
      <c r="KP427" s="19" t="str">
        <f t="shared" si="291"/>
        <v/>
      </c>
      <c r="KQ427" s="11" t="str">
        <f t="shared" si="292"/>
        <v>2. Sensitive</v>
      </c>
      <c r="KR427" s="11" t="str">
        <f t="shared" si="293"/>
        <v>2. Accommodating</v>
      </c>
      <c r="KS427" s="11" t="str">
        <f t="shared" si="294"/>
        <v>1. Neutral</v>
      </c>
      <c r="KT427" s="11" t="str">
        <f t="shared" si="295"/>
        <v>It tested new ways for fighting poverty, but did not measure results of innovation</v>
      </c>
      <c r="KU427" s="11" t="str">
        <f t="shared" si="296"/>
        <v>Moderate advocacy</v>
      </c>
      <c r="KV427" s="11" t="str">
        <f t="shared" si="297"/>
        <v>It linked and worked with strategic alliances and partners to take tested and effective solutions to scale</v>
      </c>
      <c r="KW427" s="11" t="str">
        <f t="shared" si="298"/>
        <v>Madagascar - Réponse durgence pour soutenir les personnes vulnérables victimes dEl Niño dans le Grand Sud de Madagascar</v>
      </c>
      <c r="KX427" s="11" t="str">
        <f t="shared" si="299"/>
        <v>Réponse durgence pour soutenir les personnes vulnérables victimes dEl Niño dans le Grand Sud de Madagascar</v>
      </c>
      <c r="KY427" s="11" t="str">
        <f t="shared" si="300"/>
        <v>Madagascar</v>
      </c>
      <c r="KZ427" s="12">
        <v>427</v>
      </c>
    </row>
    <row r="428" spans="1:312" x14ac:dyDescent="0.3">
      <c r="A428" s="12" t="s">
        <v>7216</v>
      </c>
      <c r="B428" s="12" t="s">
        <v>7217</v>
      </c>
      <c r="C428" s="12"/>
      <c r="D428" s="12" t="s">
        <v>7329</v>
      </c>
      <c r="E428" s="277" t="str">
        <f t="shared" si="258"/>
        <v>Madagascar</v>
      </c>
      <c r="F428" s="12" t="s">
        <v>7330</v>
      </c>
      <c r="G428" s="12" t="s">
        <v>714</v>
      </c>
      <c r="H428" s="11" t="s">
        <v>310</v>
      </c>
      <c r="I428" s="12" t="s">
        <v>655</v>
      </c>
      <c r="J428" s="281" t="s">
        <v>9916</v>
      </c>
      <c r="K428" s="12"/>
      <c r="L428" s="12"/>
      <c r="M428" s="12"/>
      <c r="N428" s="12"/>
      <c r="O428" s="12"/>
      <c r="P428" s="12"/>
      <c r="Q428" s="12"/>
      <c r="R428" s="12"/>
      <c r="S428" s="12"/>
      <c r="T428" s="12"/>
      <c r="U428" s="12"/>
      <c r="V428" s="12"/>
      <c r="W428" s="12"/>
      <c r="X428" s="12"/>
      <c r="Y428" s="12"/>
      <c r="Z428" s="12"/>
      <c r="AA428" s="12"/>
      <c r="AB428" s="12"/>
      <c r="AC428" s="12"/>
      <c r="AD428" s="12"/>
      <c r="BD428" s="13">
        <v>42566</v>
      </c>
      <c r="BE428" s="13">
        <v>43114</v>
      </c>
      <c r="BF428" s="12"/>
      <c r="BG428" s="12" t="s">
        <v>908</v>
      </c>
      <c r="BH428" s="14">
        <v>1290122</v>
      </c>
      <c r="BI428" s="12" t="s">
        <v>7331</v>
      </c>
      <c r="BJ428" s="12" t="s">
        <v>7332</v>
      </c>
      <c r="BK428" s="12" t="s">
        <v>7311</v>
      </c>
      <c r="BL428" s="12" t="s">
        <v>7333</v>
      </c>
      <c r="BM428" s="12" t="s">
        <v>2775</v>
      </c>
      <c r="BN428" s="12" t="s">
        <v>7334</v>
      </c>
      <c r="BO428" s="12" t="s">
        <v>320</v>
      </c>
      <c r="BP428" s="12" t="s">
        <v>319</v>
      </c>
      <c r="BQ428" s="12" t="s">
        <v>319</v>
      </c>
      <c r="BR428" s="12" t="s">
        <v>7335</v>
      </c>
      <c r="BS428" s="12" t="s">
        <v>357</v>
      </c>
      <c r="BT428" s="12" t="s">
        <v>7336</v>
      </c>
      <c r="BU428" s="12" t="s">
        <v>7337</v>
      </c>
      <c r="BV428" s="14">
        <v>25200</v>
      </c>
      <c r="BW428" s="14">
        <v>16800</v>
      </c>
      <c r="BX428" s="14">
        <v>42000</v>
      </c>
      <c r="BY428" s="14">
        <v>203989</v>
      </c>
      <c r="BZ428" s="14">
        <v>135993</v>
      </c>
      <c r="CA428" s="14">
        <v>339982</v>
      </c>
      <c r="CB428" s="12" t="s">
        <v>7338</v>
      </c>
      <c r="CD428" s="14">
        <v>14117</v>
      </c>
      <c r="CE428" s="14">
        <v>13184</v>
      </c>
      <c r="CF428" s="14">
        <v>27301</v>
      </c>
      <c r="CG428" s="14">
        <v>128513</v>
      </c>
      <c r="CH428" s="14">
        <v>85676</v>
      </c>
      <c r="CI428" s="14">
        <v>214189</v>
      </c>
      <c r="CJ428" s="12" t="s">
        <v>319</v>
      </c>
      <c r="CK428" s="14"/>
      <c r="CL428" s="16"/>
      <c r="CM428" s="14"/>
      <c r="CN428" s="12" t="s">
        <v>320</v>
      </c>
      <c r="CO428" s="14">
        <v>16330</v>
      </c>
      <c r="CP428" s="16">
        <v>0.54620000000000002</v>
      </c>
      <c r="CQ428" s="14">
        <v>214189</v>
      </c>
      <c r="CR428" s="12" t="s">
        <v>319</v>
      </c>
      <c r="CS428" s="14"/>
      <c r="CT428" s="16"/>
      <c r="CU428" s="14"/>
      <c r="CV428" s="12" t="s">
        <v>320</v>
      </c>
      <c r="CW428" s="14">
        <v>11086</v>
      </c>
      <c r="CX428" s="16">
        <v>0.51659999999999995</v>
      </c>
      <c r="CY428" s="14">
        <v>214189</v>
      </c>
      <c r="CZ428" s="12" t="s">
        <v>319</v>
      </c>
      <c r="DA428" s="14"/>
      <c r="DB428" s="16"/>
      <c r="DC428" s="14"/>
      <c r="DD428" s="12" t="s">
        <v>319</v>
      </c>
      <c r="DE428" s="14"/>
      <c r="DF428" s="16"/>
      <c r="DG428" s="14"/>
      <c r="DH428" s="11" t="s">
        <v>319</v>
      </c>
      <c r="DI428" s="14"/>
      <c r="DJ428" s="16"/>
      <c r="DK428" s="14"/>
      <c r="DL428" s="11" t="s">
        <v>320</v>
      </c>
      <c r="DM428" s="14">
        <v>13046</v>
      </c>
      <c r="DN428" s="16">
        <v>0.45</v>
      </c>
      <c r="DO428" s="14">
        <v>214189</v>
      </c>
      <c r="DP428" s="12" t="s">
        <v>319</v>
      </c>
      <c r="DQ428" s="14"/>
      <c r="DR428" s="16"/>
      <c r="DS428" s="14"/>
      <c r="DT428" s="12" t="s">
        <v>319</v>
      </c>
      <c r="DU428" s="14"/>
      <c r="DV428" s="16"/>
      <c r="DW428" s="14"/>
      <c r="DX428" s="12" t="s">
        <v>319</v>
      </c>
      <c r="DY428" s="14"/>
      <c r="DZ428" s="16"/>
      <c r="EA428" s="14"/>
      <c r="EB428" s="11" t="s">
        <v>320</v>
      </c>
      <c r="EC428" s="14">
        <v>13046</v>
      </c>
      <c r="ED428" s="16">
        <v>0.55969999999999998</v>
      </c>
      <c r="EE428" s="14">
        <v>78136</v>
      </c>
      <c r="EF428" s="12"/>
      <c r="EG428" s="12"/>
      <c r="EH428" s="14"/>
      <c r="EI428" s="16"/>
      <c r="EJ428" s="14"/>
      <c r="EK428" s="14"/>
      <c r="EL428" s="14"/>
      <c r="EM428" s="14"/>
      <c r="EN428" s="14"/>
      <c r="EO428" s="14"/>
      <c r="EP428" s="14"/>
      <c r="EQ428" s="12"/>
      <c r="ER428" s="14"/>
      <c r="ES428" s="16"/>
      <c r="ET428" s="14"/>
      <c r="EU428" s="12"/>
      <c r="EV428" s="14"/>
      <c r="EW428" s="16"/>
      <c r="EX428" s="14"/>
      <c r="EY428" s="12"/>
      <c r="EZ428" s="14"/>
      <c r="FA428" s="16"/>
      <c r="FB428" s="14"/>
      <c r="FC428" s="12"/>
      <c r="FD428" s="14"/>
      <c r="FE428" s="16"/>
      <c r="FF428" s="14"/>
      <c r="FG428" s="12"/>
      <c r="FH428" s="14"/>
      <c r="FI428" s="16"/>
      <c r="FJ428" s="14"/>
      <c r="FK428" s="12"/>
      <c r="FL428" s="14"/>
      <c r="FM428" s="16"/>
      <c r="FN428" s="14"/>
      <c r="FO428" s="12"/>
      <c r="FP428" s="14"/>
      <c r="FQ428" s="16"/>
      <c r="FR428" s="14"/>
      <c r="FS428" s="12"/>
      <c r="FT428" s="14"/>
      <c r="FU428" s="16"/>
      <c r="FV428" s="14"/>
      <c r="FW428" s="12"/>
      <c r="FX428" s="14"/>
      <c r="FY428" s="16"/>
      <c r="FZ428" s="14"/>
      <c r="GA428" s="12"/>
      <c r="GB428" s="14"/>
      <c r="GC428" s="16"/>
      <c r="GD428" s="14"/>
      <c r="GE428" s="12"/>
      <c r="GF428" s="14"/>
      <c r="GG428" s="16"/>
      <c r="GH428" s="14"/>
      <c r="GI428" s="12"/>
      <c r="GJ428" s="14"/>
      <c r="GK428" s="16"/>
      <c r="GL428" s="14"/>
      <c r="GM428" s="12"/>
      <c r="GN428" s="14"/>
      <c r="GO428" s="16"/>
      <c r="GP428" s="14"/>
      <c r="GQ428" s="12"/>
      <c r="GR428" s="14"/>
      <c r="GS428" s="16"/>
      <c r="GT428" s="14"/>
      <c r="GU428" s="12"/>
      <c r="GV428" s="14"/>
      <c r="GW428" s="16"/>
      <c r="GX428" s="14"/>
      <c r="GY428" s="12"/>
      <c r="GZ428" s="14"/>
      <c r="HA428" s="16"/>
      <c r="HB428" s="14"/>
      <c r="HC428" s="12"/>
      <c r="HD428" s="12"/>
      <c r="HE428" s="14"/>
      <c r="HF428" s="16"/>
      <c r="HG428" s="14"/>
      <c r="HH428" s="12" t="s">
        <v>319</v>
      </c>
      <c r="HI428" s="12"/>
      <c r="HJ428" s="12"/>
      <c r="HK428" s="12"/>
      <c r="HL428" s="12" t="s">
        <v>320</v>
      </c>
      <c r="HM428" s="12" t="s">
        <v>361</v>
      </c>
      <c r="HN428" s="12"/>
      <c r="HO428" s="12" t="s">
        <v>7339</v>
      </c>
      <c r="HP428" s="12" t="s">
        <v>330</v>
      </c>
      <c r="HQ428" s="12" t="s">
        <v>319</v>
      </c>
      <c r="HR428" s="12" t="s">
        <v>319</v>
      </c>
      <c r="HS428" s="12" t="s">
        <v>320</v>
      </c>
      <c r="HT428" s="12" t="s">
        <v>320</v>
      </c>
      <c r="HU428" s="12" t="s">
        <v>320</v>
      </c>
      <c r="HV428" s="12" t="s">
        <v>320</v>
      </c>
      <c r="HW428" s="12" t="s">
        <v>319</v>
      </c>
      <c r="HX428" s="12" t="s">
        <v>319</v>
      </c>
      <c r="HY428" s="12"/>
      <c r="HZ428" s="11" t="s">
        <v>394</v>
      </c>
      <c r="IA428" s="12" t="s">
        <v>7340</v>
      </c>
      <c r="IB428" s="12" t="s">
        <v>667</v>
      </c>
      <c r="IC428" s="12"/>
      <c r="ID428" s="11" t="s">
        <v>364</v>
      </c>
      <c r="IE428" s="12" t="s">
        <v>335</v>
      </c>
      <c r="IF428" s="12" t="s">
        <v>320</v>
      </c>
      <c r="IG428" s="12" t="s">
        <v>320</v>
      </c>
      <c r="IH428" s="12" t="s">
        <v>320</v>
      </c>
      <c r="II428" s="12" t="s">
        <v>320</v>
      </c>
      <c r="IJ428" s="12" t="str">
        <f t="shared" si="259"/>
        <v>2. Sensitive</v>
      </c>
      <c r="IK428" s="12">
        <f t="shared" si="260"/>
        <v>4</v>
      </c>
      <c r="IL428" s="12" t="s">
        <v>336</v>
      </c>
      <c r="IM428" s="12" t="s">
        <v>320</v>
      </c>
      <c r="IN428" s="12" t="s">
        <v>320</v>
      </c>
      <c r="IO428" s="12" t="s">
        <v>320</v>
      </c>
      <c r="IP428" s="12" t="s">
        <v>320</v>
      </c>
      <c r="IQ428" s="12" t="str">
        <f t="shared" si="261"/>
        <v>2. Accommodating</v>
      </c>
      <c r="IR428" s="12">
        <f t="shared" si="262"/>
        <v>4</v>
      </c>
      <c r="IS428" s="12" t="s">
        <v>337</v>
      </c>
      <c r="IT428" s="12" t="s">
        <v>320</v>
      </c>
      <c r="IU428" s="12" t="s">
        <v>320</v>
      </c>
      <c r="IV428" s="12" t="s">
        <v>320</v>
      </c>
      <c r="IW428" s="11" t="str">
        <f t="shared" si="263"/>
        <v>2. Sensitive</v>
      </c>
      <c r="IX428" s="12">
        <f t="shared" si="264"/>
        <v>3</v>
      </c>
      <c r="IY428" s="11" t="s">
        <v>758</v>
      </c>
      <c r="IZ428" s="12" t="s">
        <v>432</v>
      </c>
      <c r="JA428" s="12">
        <v>2</v>
      </c>
      <c r="JB428" s="12" t="s">
        <v>724</v>
      </c>
      <c r="JC428" s="11" t="s">
        <v>687</v>
      </c>
      <c r="JD428" s="11" t="s">
        <v>624</v>
      </c>
      <c r="JE428" s="12" t="s">
        <v>340</v>
      </c>
      <c r="JF428" s="12" t="s">
        <v>7341</v>
      </c>
      <c r="JG428" s="12" t="s">
        <v>7342</v>
      </c>
      <c r="JH428" s="12" t="s">
        <v>7343</v>
      </c>
      <c r="JI428" s="12" t="s">
        <v>7344</v>
      </c>
      <c r="JJ428" s="12" t="s">
        <v>7345</v>
      </c>
      <c r="JK428" s="12" t="s">
        <v>7346</v>
      </c>
      <c r="JL428" s="12" t="s">
        <v>7347</v>
      </c>
      <c r="JM428" s="12" t="s">
        <v>7348</v>
      </c>
      <c r="JN428" s="12" t="s">
        <v>7349</v>
      </c>
      <c r="JO428" s="12" t="s">
        <v>7350</v>
      </c>
      <c r="JP428" s="15">
        <f t="shared" si="265"/>
        <v>27301</v>
      </c>
      <c r="JQ428" s="15">
        <f t="shared" si="266"/>
        <v>214189</v>
      </c>
      <c r="JR428" s="279">
        <f t="shared" si="267"/>
        <v>7.8454635361342078</v>
      </c>
      <c r="JS428" s="17">
        <f t="shared" si="268"/>
        <v>0.51708728617999344</v>
      </c>
      <c r="JT428" s="18">
        <f t="shared" si="269"/>
        <v>0.59999813249046408</v>
      </c>
      <c r="JU428" s="280">
        <f t="shared" si="270"/>
        <v>14117</v>
      </c>
      <c r="JV428" s="280">
        <f t="shared" si="271"/>
        <v>128513</v>
      </c>
      <c r="JW428" s="319">
        <f t="shared" si="272"/>
        <v>1</v>
      </c>
      <c r="JX428" s="15">
        <f t="shared" si="273"/>
        <v>27301</v>
      </c>
      <c r="JY428" s="15">
        <f t="shared" si="274"/>
        <v>214189</v>
      </c>
      <c r="JZ428" s="19">
        <f t="shared" si="275"/>
        <v>7.8454635361342078</v>
      </c>
      <c r="KA428" s="52">
        <f t="shared" si="276"/>
        <v>1</v>
      </c>
      <c r="KB428" s="15">
        <f t="shared" si="277"/>
        <v>13046</v>
      </c>
      <c r="KC428" s="15">
        <f t="shared" si="278"/>
        <v>214189</v>
      </c>
      <c r="KD428" s="20">
        <f t="shared" si="279"/>
        <v>16.417982523378814</v>
      </c>
      <c r="KE428" s="52" t="str">
        <f t="shared" si="280"/>
        <v/>
      </c>
      <c r="KF428" s="15">
        <f t="shared" si="281"/>
        <v>0</v>
      </c>
      <c r="KG428" s="15">
        <f t="shared" si="282"/>
        <v>0</v>
      </c>
      <c r="KH428" s="21" t="str">
        <f t="shared" si="283"/>
        <v/>
      </c>
      <c r="KI428" s="52" t="str">
        <f t="shared" si="284"/>
        <v/>
      </c>
      <c r="KJ428" s="15">
        <f t="shared" si="285"/>
        <v>0</v>
      </c>
      <c r="KK428" s="15">
        <f t="shared" si="286"/>
        <v>0</v>
      </c>
      <c r="KL428" s="19" t="str">
        <f t="shared" si="287"/>
        <v/>
      </c>
      <c r="KM428" s="52" t="str">
        <f t="shared" si="288"/>
        <v/>
      </c>
      <c r="KN428" s="22">
        <f t="shared" si="289"/>
        <v>0</v>
      </c>
      <c r="KO428" s="22">
        <f t="shared" si="290"/>
        <v>0</v>
      </c>
      <c r="KP428" s="19" t="str">
        <f t="shared" si="291"/>
        <v/>
      </c>
      <c r="KQ428" s="11" t="str">
        <f t="shared" si="292"/>
        <v>2. Sensitive</v>
      </c>
      <c r="KR428" s="11" t="str">
        <f t="shared" si="293"/>
        <v>2. Accommodating</v>
      </c>
      <c r="KS428" s="11" t="str">
        <f t="shared" si="294"/>
        <v>2. Sensitive</v>
      </c>
      <c r="KT428" s="11" t="str">
        <f t="shared" si="295"/>
        <v>It tested new ways for fighting poverty, but did not measure results of innovation</v>
      </c>
      <c r="KU428" s="11" t="str">
        <f t="shared" si="296"/>
        <v>Moderate advocacy</v>
      </c>
      <c r="KV428" s="11" t="str">
        <f t="shared" si="297"/>
        <v>It took tested solutions to scale on its own</v>
      </c>
      <c r="KW428" s="11" t="str">
        <f t="shared" si="298"/>
        <v>Madagascar - Southern Madagascar Drought Relief and Risk Reduction Program</v>
      </c>
      <c r="KX428" s="11" t="str">
        <f t="shared" si="299"/>
        <v>Southern Madagascar Drought Relief and Risk Reduction Program</v>
      </c>
      <c r="KY428" s="11" t="str">
        <f t="shared" si="300"/>
        <v>Madagascar</v>
      </c>
      <c r="KZ428" s="12">
        <v>428</v>
      </c>
    </row>
    <row r="429" spans="1:312" x14ac:dyDescent="0.3">
      <c r="A429" s="12" t="s">
        <v>7216</v>
      </c>
      <c r="B429" s="12" t="s">
        <v>7217</v>
      </c>
      <c r="C429" s="12"/>
      <c r="D429" s="12" t="s">
        <v>7329</v>
      </c>
      <c r="E429" s="277" t="str">
        <f t="shared" si="258"/>
        <v>Madagascar</v>
      </c>
      <c r="F429" s="12" t="s">
        <v>7351</v>
      </c>
      <c r="G429" s="12" t="s">
        <v>714</v>
      </c>
      <c r="H429" s="11" t="s">
        <v>310</v>
      </c>
      <c r="I429" s="12" t="s">
        <v>655</v>
      </c>
      <c r="J429" s="281" t="s">
        <v>9916</v>
      </c>
      <c r="K429" s="12"/>
      <c r="L429" s="12"/>
      <c r="M429" s="12"/>
      <c r="N429" s="12"/>
      <c r="O429" s="12"/>
      <c r="P429" s="12"/>
      <c r="Q429" s="12"/>
      <c r="R429" s="12"/>
      <c r="S429" s="12"/>
      <c r="T429" s="12"/>
      <c r="U429" s="12"/>
      <c r="V429" s="12"/>
      <c r="W429" s="12"/>
      <c r="X429" s="12"/>
      <c r="Y429" s="12"/>
      <c r="Z429" s="12"/>
      <c r="AA429" s="12"/>
      <c r="AB429" s="12"/>
      <c r="AC429" s="12"/>
      <c r="AD429" s="12"/>
      <c r="BD429" s="13">
        <v>42583</v>
      </c>
      <c r="BE429" s="13">
        <v>42947</v>
      </c>
      <c r="BF429" s="13">
        <v>43008</v>
      </c>
      <c r="BG429" s="12" t="s">
        <v>908</v>
      </c>
      <c r="BH429" s="14"/>
      <c r="BI429" s="12" t="s">
        <v>7331</v>
      </c>
      <c r="BJ429" s="12" t="s">
        <v>7332</v>
      </c>
      <c r="BK429" s="12" t="s">
        <v>7311</v>
      </c>
      <c r="BL429" s="12" t="s">
        <v>7333</v>
      </c>
      <c r="BM429" s="12" t="s">
        <v>2775</v>
      </c>
      <c r="BN429" s="12" t="s">
        <v>7334</v>
      </c>
      <c r="BO429" s="12" t="s">
        <v>320</v>
      </c>
      <c r="BP429" s="12" t="s">
        <v>319</v>
      </c>
      <c r="BQ429" s="12" t="s">
        <v>319</v>
      </c>
      <c r="BR429" s="12" t="s">
        <v>7352</v>
      </c>
      <c r="BS429" s="12" t="s">
        <v>357</v>
      </c>
      <c r="BT429" s="12" t="s">
        <v>7353</v>
      </c>
      <c r="BU429" s="12" t="s">
        <v>7354</v>
      </c>
      <c r="BV429" s="14">
        <v>1464</v>
      </c>
      <c r="BW429" s="14">
        <v>976</v>
      </c>
      <c r="BX429" s="14">
        <v>2440</v>
      </c>
      <c r="BY429" s="14">
        <v>7320</v>
      </c>
      <c r="BZ429" s="14">
        <v>4880</v>
      </c>
      <c r="CA429" s="14">
        <v>12200</v>
      </c>
      <c r="CB429" s="12" t="s">
        <v>7355</v>
      </c>
      <c r="CD429" s="14">
        <v>1174</v>
      </c>
      <c r="CE429" s="14">
        <v>737</v>
      </c>
      <c r="CF429" s="14">
        <v>1911</v>
      </c>
      <c r="CG429" s="14">
        <v>5870</v>
      </c>
      <c r="CH429" s="14">
        <v>3685</v>
      </c>
      <c r="CI429" s="14">
        <v>9555</v>
      </c>
      <c r="CJ429" s="12" t="s">
        <v>319</v>
      </c>
      <c r="CK429" s="14"/>
      <c r="CL429" s="16"/>
      <c r="CM429" s="14"/>
      <c r="CN429" s="12" t="s">
        <v>319</v>
      </c>
      <c r="CO429" s="14"/>
      <c r="CP429" s="16"/>
      <c r="CQ429" s="14"/>
      <c r="CR429" s="12" t="s">
        <v>319</v>
      </c>
      <c r="CS429" s="14"/>
      <c r="CT429" s="16"/>
      <c r="CU429" s="14"/>
      <c r="CV429" s="12" t="s">
        <v>320</v>
      </c>
      <c r="CW429" s="14">
        <v>1911</v>
      </c>
      <c r="CX429" s="16">
        <v>0.55479999999999996</v>
      </c>
      <c r="CY429" s="14"/>
      <c r="CZ429" s="12" t="s">
        <v>319</v>
      </c>
      <c r="DA429" s="14"/>
      <c r="DB429" s="16"/>
      <c r="DC429" s="14"/>
      <c r="DD429" s="12" t="s">
        <v>319</v>
      </c>
      <c r="DE429" s="14"/>
      <c r="DF429" s="16"/>
      <c r="DG429" s="14"/>
      <c r="DH429" s="12" t="s">
        <v>319</v>
      </c>
      <c r="DI429" s="14"/>
      <c r="DJ429" s="16"/>
      <c r="DK429" s="14"/>
      <c r="DL429" s="12" t="s">
        <v>319</v>
      </c>
      <c r="DM429" s="14"/>
      <c r="DN429" s="16"/>
      <c r="DO429" s="14"/>
      <c r="DP429" s="12" t="s">
        <v>319</v>
      </c>
      <c r="DQ429" s="14"/>
      <c r="DR429" s="16"/>
      <c r="DS429" s="14"/>
      <c r="DT429" s="12" t="s">
        <v>319</v>
      </c>
      <c r="DU429" s="14"/>
      <c r="DV429" s="16"/>
      <c r="DW429" s="14"/>
      <c r="DX429" s="12" t="s">
        <v>319</v>
      </c>
      <c r="DY429" s="14"/>
      <c r="DZ429" s="16"/>
      <c r="EA429" s="14"/>
      <c r="EB429" s="12" t="s">
        <v>319</v>
      </c>
      <c r="EC429" s="14"/>
      <c r="ED429" s="16"/>
      <c r="EE429" s="14"/>
      <c r="EF429" s="12"/>
      <c r="EG429" s="12"/>
      <c r="EH429" s="14"/>
      <c r="EI429" s="16"/>
      <c r="EJ429" s="14"/>
      <c r="EK429" s="14"/>
      <c r="EL429" s="14"/>
      <c r="EM429" s="14"/>
      <c r="EN429" s="14"/>
      <c r="EO429" s="14"/>
      <c r="EP429" s="14"/>
      <c r="EQ429" s="12"/>
      <c r="ER429" s="14"/>
      <c r="ES429" s="16"/>
      <c r="ET429" s="14"/>
      <c r="EU429" s="12"/>
      <c r="EV429" s="14"/>
      <c r="EW429" s="16"/>
      <c r="EX429" s="14"/>
      <c r="EY429" s="12"/>
      <c r="EZ429" s="14"/>
      <c r="FA429" s="16"/>
      <c r="FB429" s="14"/>
      <c r="FC429" s="12"/>
      <c r="FD429" s="14"/>
      <c r="FE429" s="16"/>
      <c r="FF429" s="14"/>
      <c r="FG429" s="12"/>
      <c r="FH429" s="14"/>
      <c r="FI429" s="16"/>
      <c r="FJ429" s="14"/>
      <c r="FK429" s="12"/>
      <c r="FL429" s="14"/>
      <c r="FM429" s="16"/>
      <c r="FN429" s="14"/>
      <c r="FO429" s="12"/>
      <c r="FP429" s="14"/>
      <c r="FQ429" s="16"/>
      <c r="FR429" s="14"/>
      <c r="FS429" s="12"/>
      <c r="FT429" s="14"/>
      <c r="FU429" s="16"/>
      <c r="FV429" s="14"/>
      <c r="FW429" s="12"/>
      <c r="FX429" s="14"/>
      <c r="FY429" s="16"/>
      <c r="FZ429" s="14"/>
      <c r="GA429" s="12"/>
      <c r="GB429" s="14"/>
      <c r="GC429" s="16"/>
      <c r="GD429" s="14"/>
      <c r="GE429" s="12"/>
      <c r="GF429" s="14"/>
      <c r="GG429" s="16"/>
      <c r="GH429" s="14"/>
      <c r="GI429" s="12"/>
      <c r="GJ429" s="14"/>
      <c r="GK429" s="16"/>
      <c r="GL429" s="14"/>
      <c r="GM429" s="12"/>
      <c r="GN429" s="14"/>
      <c r="GO429" s="16"/>
      <c r="GP429" s="14"/>
      <c r="GQ429" s="12"/>
      <c r="GR429" s="14"/>
      <c r="GS429" s="16"/>
      <c r="GT429" s="14"/>
      <c r="GU429" s="12"/>
      <c r="GV429" s="14"/>
      <c r="GW429" s="16"/>
      <c r="GX429" s="14"/>
      <c r="GY429" s="12"/>
      <c r="GZ429" s="14"/>
      <c r="HA429" s="16"/>
      <c r="HB429" s="14"/>
      <c r="HC429" s="12"/>
      <c r="HD429" s="12"/>
      <c r="HE429" s="14"/>
      <c r="HF429" s="16"/>
      <c r="HG429" s="14"/>
      <c r="HH429" s="12" t="s">
        <v>320</v>
      </c>
      <c r="HI429" s="12" t="s">
        <v>327</v>
      </c>
      <c r="HJ429" s="12">
        <v>2016</v>
      </c>
      <c r="HK429" s="12" t="s">
        <v>320</v>
      </c>
      <c r="HL429" s="12" t="s">
        <v>320</v>
      </c>
      <c r="HM429" s="12" t="s">
        <v>619</v>
      </c>
      <c r="HN429" s="12">
        <v>2017</v>
      </c>
      <c r="HO429" s="12" t="s">
        <v>7339</v>
      </c>
      <c r="HP429" s="12" t="s">
        <v>330</v>
      </c>
      <c r="HQ429" s="12" t="s">
        <v>319</v>
      </c>
      <c r="HR429" s="12" t="s">
        <v>319</v>
      </c>
      <c r="HS429" s="12" t="s">
        <v>320</v>
      </c>
      <c r="HT429" s="12" t="s">
        <v>320</v>
      </c>
      <c r="HU429" s="12" t="s">
        <v>320</v>
      </c>
      <c r="HV429" s="12"/>
      <c r="HW429" s="12" t="s">
        <v>319</v>
      </c>
      <c r="HX429" s="12" t="s">
        <v>319</v>
      </c>
      <c r="HY429" s="12"/>
      <c r="HZ429" s="11" t="s">
        <v>394</v>
      </c>
      <c r="IA429" s="12"/>
      <c r="IB429" s="12" t="s">
        <v>667</v>
      </c>
      <c r="IC429" s="12"/>
      <c r="ID429" s="11" t="s">
        <v>364</v>
      </c>
      <c r="IE429" s="12" t="s">
        <v>335</v>
      </c>
      <c r="IF429" s="12" t="s">
        <v>320</v>
      </c>
      <c r="IG429" s="12" t="s">
        <v>320</v>
      </c>
      <c r="IH429" s="12" t="s">
        <v>320</v>
      </c>
      <c r="II429" s="12" t="s">
        <v>320</v>
      </c>
      <c r="IJ429" s="12" t="str">
        <f t="shared" si="259"/>
        <v>2. Sensitive</v>
      </c>
      <c r="IK429" s="12">
        <f t="shared" si="260"/>
        <v>4</v>
      </c>
      <c r="IL429" s="12" t="s">
        <v>336</v>
      </c>
      <c r="IM429" s="12" t="s">
        <v>320</v>
      </c>
      <c r="IN429" s="12" t="s">
        <v>320</v>
      </c>
      <c r="IO429" s="12" t="s">
        <v>320</v>
      </c>
      <c r="IP429" s="12" t="s">
        <v>320</v>
      </c>
      <c r="IQ429" s="12" t="str">
        <f t="shared" si="261"/>
        <v>2. Accommodating</v>
      </c>
      <c r="IR429" s="12">
        <f t="shared" si="262"/>
        <v>4</v>
      </c>
      <c r="IS429" s="12" t="s">
        <v>337</v>
      </c>
      <c r="IT429" s="12" t="s">
        <v>320</v>
      </c>
      <c r="IU429" s="12" t="s">
        <v>320</v>
      </c>
      <c r="IV429" s="12" t="s">
        <v>320</v>
      </c>
      <c r="IW429" s="11" t="str">
        <f t="shared" si="263"/>
        <v>2. Sensitive</v>
      </c>
      <c r="IX429" s="12">
        <f t="shared" si="264"/>
        <v>3</v>
      </c>
      <c r="IY429" s="11" t="s">
        <v>758</v>
      </c>
      <c r="IZ429" s="12" t="s">
        <v>339</v>
      </c>
      <c r="JA429" s="12"/>
      <c r="JB429" s="12"/>
      <c r="JC429" s="12"/>
      <c r="JD429" s="12"/>
      <c r="JE429" s="12" t="s">
        <v>340</v>
      </c>
      <c r="JF429" s="12" t="s">
        <v>7356</v>
      </c>
      <c r="JG429" s="12" t="s">
        <v>7357</v>
      </c>
      <c r="JH429" s="12" t="s">
        <v>7358</v>
      </c>
      <c r="JI429" s="12" t="s">
        <v>7359</v>
      </c>
      <c r="JJ429" s="12" t="s">
        <v>7360</v>
      </c>
      <c r="JK429" s="12" t="s">
        <v>7361</v>
      </c>
      <c r="JL429" s="12" t="s">
        <v>7362</v>
      </c>
      <c r="JM429" s="12" t="s">
        <v>7363</v>
      </c>
      <c r="JN429" s="12" t="s">
        <v>7364</v>
      </c>
      <c r="JO429" s="12" t="s">
        <v>7365</v>
      </c>
      <c r="JP429" s="15">
        <f t="shared" si="265"/>
        <v>1911</v>
      </c>
      <c r="JQ429" s="15">
        <f t="shared" si="266"/>
        <v>9555</v>
      </c>
      <c r="JR429" s="279">
        <f t="shared" si="267"/>
        <v>5</v>
      </c>
      <c r="JS429" s="17">
        <f t="shared" si="268"/>
        <v>0.61433804290947147</v>
      </c>
      <c r="JT429" s="18">
        <f t="shared" si="269"/>
        <v>0.61433804290947147</v>
      </c>
      <c r="JU429" s="280">
        <f t="shared" si="270"/>
        <v>1174</v>
      </c>
      <c r="JV429" s="280">
        <f t="shared" si="271"/>
        <v>5870</v>
      </c>
      <c r="JW429" s="319">
        <f t="shared" si="272"/>
        <v>1</v>
      </c>
      <c r="JX429" s="15">
        <f t="shared" si="273"/>
        <v>1911</v>
      </c>
      <c r="JY429" s="15">
        <f t="shared" si="274"/>
        <v>9555</v>
      </c>
      <c r="JZ429" s="19">
        <f t="shared" si="275"/>
        <v>5</v>
      </c>
      <c r="KA429" s="52">
        <f t="shared" si="276"/>
        <v>1</v>
      </c>
      <c r="KB429" s="15">
        <f t="shared" si="277"/>
        <v>1911</v>
      </c>
      <c r="KC429" s="15">
        <f t="shared" si="278"/>
        <v>0</v>
      </c>
      <c r="KD429" s="20">
        <f t="shared" si="279"/>
        <v>0</v>
      </c>
      <c r="KE429" s="52" t="str">
        <f t="shared" si="280"/>
        <v/>
      </c>
      <c r="KF429" s="15">
        <f t="shared" si="281"/>
        <v>0</v>
      </c>
      <c r="KG429" s="15">
        <f t="shared" si="282"/>
        <v>0</v>
      </c>
      <c r="KH429" s="21" t="str">
        <f t="shared" si="283"/>
        <v/>
      </c>
      <c r="KI429" s="52" t="str">
        <f t="shared" si="284"/>
        <v/>
      </c>
      <c r="KJ429" s="15">
        <f t="shared" si="285"/>
        <v>0</v>
      </c>
      <c r="KK429" s="15">
        <f t="shared" si="286"/>
        <v>0</v>
      </c>
      <c r="KL429" s="19" t="str">
        <f t="shared" si="287"/>
        <v/>
      </c>
      <c r="KM429" s="52" t="str">
        <f t="shared" si="288"/>
        <v/>
      </c>
      <c r="KN429" s="22">
        <f t="shared" si="289"/>
        <v>0</v>
      </c>
      <c r="KO429" s="22">
        <f t="shared" si="290"/>
        <v>0</v>
      </c>
      <c r="KP429" s="19" t="str">
        <f t="shared" si="291"/>
        <v/>
      </c>
      <c r="KQ429" s="11" t="str">
        <f t="shared" si="292"/>
        <v>2. Sensitive</v>
      </c>
      <c r="KR429" s="11" t="str">
        <f t="shared" si="293"/>
        <v>2. Accommodating</v>
      </c>
      <c r="KS429" s="11" t="str">
        <f t="shared" si="294"/>
        <v>2. Sensitive</v>
      </c>
      <c r="KT429" s="11" t="str">
        <f t="shared" si="295"/>
        <v>It tested new ways for fighting poverty, but did not measure results of innovation</v>
      </c>
      <c r="KU429" s="11" t="str">
        <f t="shared" si="296"/>
        <v>Moderate advocacy</v>
      </c>
      <c r="KV429" s="11" t="str">
        <f t="shared" si="297"/>
        <v>It took tested solutions to scale on its own</v>
      </c>
      <c r="KW429" s="11" t="str">
        <f t="shared" si="298"/>
        <v>Madagascar - Southern Madagascar Drought Relief and Risk Reduction Program</v>
      </c>
      <c r="KX429" s="11" t="str">
        <f t="shared" si="299"/>
        <v>Southern Madagascar Drought Relief and Risk Reduction Program</v>
      </c>
      <c r="KY429" s="11" t="str">
        <f t="shared" si="300"/>
        <v>Madagascar</v>
      </c>
      <c r="KZ429" s="12">
        <v>429</v>
      </c>
    </row>
    <row r="430" spans="1:312" x14ac:dyDescent="0.3">
      <c r="A430" s="12" t="s">
        <v>7216</v>
      </c>
      <c r="B430" s="12" t="s">
        <v>7217</v>
      </c>
      <c r="C430" s="12">
        <v>3110</v>
      </c>
      <c r="D430" s="12" t="s">
        <v>7243</v>
      </c>
      <c r="E430" s="277" t="str">
        <f t="shared" si="258"/>
        <v>Madagascar</v>
      </c>
      <c r="F430" s="12" t="s">
        <v>7244</v>
      </c>
      <c r="G430" s="12" t="s">
        <v>1738</v>
      </c>
      <c r="H430" s="11" t="s">
        <v>310</v>
      </c>
      <c r="I430" s="12" t="s">
        <v>2595</v>
      </c>
      <c r="J430" s="281" t="s">
        <v>14604</v>
      </c>
      <c r="K430" s="12"/>
      <c r="L430" s="12"/>
      <c r="M430" s="12"/>
      <c r="N430" s="12"/>
      <c r="O430" s="12"/>
      <c r="P430" s="12"/>
      <c r="Q430" s="12"/>
      <c r="R430" s="12"/>
      <c r="S430" s="12"/>
      <c r="T430" s="12"/>
      <c r="U430" s="12"/>
      <c r="V430" s="12"/>
      <c r="W430" s="12"/>
      <c r="X430" s="12"/>
      <c r="Y430" s="12"/>
      <c r="Z430" s="12"/>
      <c r="AA430" s="12"/>
      <c r="AB430" s="12"/>
      <c r="AC430" s="12"/>
      <c r="AD430" s="12"/>
      <c r="BD430" s="13">
        <v>42156</v>
      </c>
      <c r="BE430" s="13">
        <v>43251</v>
      </c>
      <c r="BF430" s="12"/>
      <c r="BG430" s="12" t="s">
        <v>749</v>
      </c>
      <c r="BH430" s="14">
        <v>2917980</v>
      </c>
      <c r="BI430" s="12" t="s">
        <v>7245</v>
      </c>
      <c r="BJ430" s="12" t="s">
        <v>7246</v>
      </c>
      <c r="BK430" s="12" t="s">
        <v>7227</v>
      </c>
      <c r="BL430" s="12" t="s">
        <v>7247</v>
      </c>
      <c r="BM430" s="12" t="s">
        <v>3002</v>
      </c>
      <c r="BN430" s="12" t="s">
        <v>7248</v>
      </c>
      <c r="BO430" s="11" t="s">
        <v>319</v>
      </c>
      <c r="BP430" s="11" t="s">
        <v>320</v>
      </c>
      <c r="BQ430" s="11" t="s">
        <v>319</v>
      </c>
      <c r="BR430" s="12" t="s">
        <v>7249</v>
      </c>
      <c r="BS430" s="12" t="s">
        <v>357</v>
      </c>
      <c r="BT430" s="12" t="s">
        <v>7250</v>
      </c>
      <c r="BU430" s="12" t="s">
        <v>7251</v>
      </c>
      <c r="BV430" s="14">
        <v>21970</v>
      </c>
      <c r="BW430" s="14">
        <v>63030</v>
      </c>
      <c r="BX430" s="14">
        <v>85000</v>
      </c>
      <c r="BY430" s="14">
        <v>47740</v>
      </c>
      <c r="BZ430" s="14">
        <v>48618</v>
      </c>
      <c r="CA430" s="14">
        <v>96358</v>
      </c>
      <c r="CB430" s="12" t="s">
        <v>7252</v>
      </c>
      <c r="CD430" s="14"/>
      <c r="CE430" s="14"/>
      <c r="CF430" s="14"/>
      <c r="CG430" s="14"/>
      <c r="CH430" s="14"/>
      <c r="CI430" s="14"/>
      <c r="CJ430" s="12"/>
      <c r="CK430" s="14"/>
      <c r="CL430" s="16"/>
      <c r="CM430" s="14"/>
      <c r="CN430" s="12"/>
      <c r="CO430" s="14"/>
      <c r="CP430" s="16"/>
      <c r="CQ430" s="14"/>
      <c r="CR430" s="12"/>
      <c r="CS430" s="14"/>
      <c r="CT430" s="16"/>
      <c r="CU430" s="14"/>
      <c r="CV430" s="12"/>
      <c r="CW430" s="14"/>
      <c r="CX430" s="16"/>
      <c r="CY430" s="14"/>
      <c r="CZ430" s="12"/>
      <c r="DA430" s="14"/>
      <c r="DB430" s="16"/>
      <c r="DC430" s="14"/>
      <c r="DD430" s="12"/>
      <c r="DE430" s="14"/>
      <c r="DF430" s="16"/>
      <c r="DG430" s="14"/>
      <c r="DH430" s="12"/>
      <c r="DI430" s="14"/>
      <c r="DJ430" s="16"/>
      <c r="DK430" s="14"/>
      <c r="DL430" s="12"/>
      <c r="DM430" s="14"/>
      <c r="DN430" s="16"/>
      <c r="DO430" s="14"/>
      <c r="DP430" s="12"/>
      <c r="DQ430" s="14"/>
      <c r="DR430" s="16"/>
      <c r="DS430" s="14"/>
      <c r="DT430" s="12"/>
      <c r="DU430" s="14"/>
      <c r="DV430" s="16"/>
      <c r="DW430" s="14"/>
      <c r="DX430" s="12"/>
      <c r="DY430" s="14"/>
      <c r="DZ430" s="16"/>
      <c r="EA430" s="14"/>
      <c r="EB430" s="12"/>
      <c r="EC430" s="14"/>
      <c r="ED430" s="16"/>
      <c r="EE430" s="14"/>
      <c r="EF430" s="12"/>
      <c r="EG430" s="12"/>
      <c r="EH430" s="14"/>
      <c r="EI430" s="16"/>
      <c r="EJ430" s="14"/>
      <c r="EK430" s="14">
        <v>9040</v>
      </c>
      <c r="EL430" s="14">
        <v>55965</v>
      </c>
      <c r="EM430" s="14">
        <v>65005</v>
      </c>
      <c r="EN430" s="14">
        <v>36283</v>
      </c>
      <c r="EO430" s="14">
        <v>36949</v>
      </c>
      <c r="EP430" s="14">
        <v>73232</v>
      </c>
      <c r="EQ430" s="12" t="s">
        <v>320</v>
      </c>
      <c r="ER430" s="14">
        <v>65005</v>
      </c>
      <c r="ES430" s="16">
        <v>0.13900000000000001</v>
      </c>
      <c r="ET430" s="14">
        <v>68000</v>
      </c>
      <c r="EU430" s="11" t="s">
        <v>320</v>
      </c>
      <c r="EV430" s="14">
        <v>65005</v>
      </c>
      <c r="EW430" s="16">
        <v>0.13900000000000001</v>
      </c>
      <c r="EX430" s="14">
        <v>68000</v>
      </c>
      <c r="EY430" s="12" t="s">
        <v>319</v>
      </c>
      <c r="EZ430" s="14"/>
      <c r="FA430" s="16"/>
      <c r="FB430" s="14"/>
      <c r="FC430" s="12" t="s">
        <v>320</v>
      </c>
      <c r="FD430" s="14">
        <v>242</v>
      </c>
      <c r="FE430" s="16">
        <v>0.18179999999999999</v>
      </c>
      <c r="FF430" s="14">
        <v>68000</v>
      </c>
      <c r="FG430" s="12" t="s">
        <v>319</v>
      </c>
      <c r="FH430" s="14"/>
      <c r="FI430" s="16"/>
      <c r="FJ430" s="14"/>
      <c r="FK430" s="12" t="s">
        <v>319</v>
      </c>
      <c r="FL430" s="14"/>
      <c r="FM430" s="16"/>
      <c r="FN430" s="14"/>
      <c r="FO430" s="12" t="s">
        <v>320</v>
      </c>
      <c r="FP430" s="14">
        <v>34340</v>
      </c>
      <c r="FQ430" s="16">
        <v>0.248</v>
      </c>
      <c r="FR430" s="14">
        <v>68000</v>
      </c>
      <c r="FS430" s="12" t="s">
        <v>319</v>
      </c>
      <c r="FT430" s="14"/>
      <c r="FU430" s="16"/>
      <c r="FV430" s="14"/>
      <c r="FW430" s="11" t="s">
        <v>320</v>
      </c>
      <c r="FX430" s="14">
        <v>4234</v>
      </c>
      <c r="FY430" s="16">
        <v>0.62339999999999995</v>
      </c>
      <c r="FZ430" s="14">
        <v>96358</v>
      </c>
      <c r="GA430" s="12" t="s">
        <v>319</v>
      </c>
      <c r="GB430" s="14"/>
      <c r="GC430" s="16"/>
      <c r="GD430" s="14"/>
      <c r="GE430" s="12" t="s">
        <v>320</v>
      </c>
      <c r="GF430" s="14">
        <v>125</v>
      </c>
      <c r="GG430" s="16">
        <v>0.224</v>
      </c>
      <c r="GH430" s="14"/>
      <c r="GI430" s="11" t="s">
        <v>320</v>
      </c>
      <c r="GJ430" s="14">
        <v>7388</v>
      </c>
      <c r="GK430" s="16">
        <v>0.39950000000000002</v>
      </c>
      <c r="GL430" s="14">
        <v>68000</v>
      </c>
      <c r="GM430" s="11" t="s">
        <v>320</v>
      </c>
      <c r="GN430" s="14">
        <v>4234</v>
      </c>
      <c r="GO430" s="16">
        <v>0.62339999999999995</v>
      </c>
      <c r="GP430" s="14">
        <v>96358</v>
      </c>
      <c r="GQ430" s="12" t="s">
        <v>319</v>
      </c>
      <c r="GR430" s="14"/>
      <c r="GS430" s="16"/>
      <c r="GT430" s="14"/>
      <c r="GU430" s="12" t="s">
        <v>319</v>
      </c>
      <c r="GV430" s="14"/>
      <c r="GW430" s="16"/>
      <c r="GX430" s="14"/>
      <c r="GY430" s="11" t="s">
        <v>320</v>
      </c>
      <c r="GZ430" s="14">
        <v>3502</v>
      </c>
      <c r="HA430" s="16">
        <v>0.6804</v>
      </c>
      <c r="HB430" s="14">
        <v>34000</v>
      </c>
      <c r="HC430" s="12"/>
      <c r="HD430" s="12" t="s">
        <v>319</v>
      </c>
      <c r="HE430" s="14"/>
      <c r="HF430" s="16"/>
      <c r="HG430" s="14"/>
      <c r="HH430" s="12" t="s">
        <v>320</v>
      </c>
      <c r="HI430" s="12" t="s">
        <v>415</v>
      </c>
      <c r="HJ430" s="12">
        <v>2017</v>
      </c>
      <c r="HK430" s="12" t="s">
        <v>320</v>
      </c>
      <c r="HL430" s="12" t="s">
        <v>320</v>
      </c>
      <c r="HM430" s="12" t="s">
        <v>431</v>
      </c>
      <c r="HN430" s="12">
        <v>2018</v>
      </c>
      <c r="HO430" s="12" t="s">
        <v>7253</v>
      </c>
      <c r="HP430" s="12" t="s">
        <v>330</v>
      </c>
      <c r="HQ430" s="12"/>
      <c r="HR430" s="12"/>
      <c r="HS430" s="12" t="s">
        <v>320</v>
      </c>
      <c r="HT430" s="12" t="s">
        <v>320</v>
      </c>
      <c r="HU430" s="12"/>
      <c r="HV430" s="12" t="s">
        <v>320</v>
      </c>
      <c r="HW430" s="12" t="s">
        <v>320</v>
      </c>
      <c r="HX430" s="12"/>
      <c r="HY430" s="12"/>
      <c r="HZ430" s="11" t="s">
        <v>394</v>
      </c>
      <c r="IA430" s="12" t="s">
        <v>7254</v>
      </c>
      <c r="IB430" s="12" t="s">
        <v>667</v>
      </c>
      <c r="IC430" s="12"/>
      <c r="ID430" s="11" t="s">
        <v>364</v>
      </c>
      <c r="IE430" s="12" t="s">
        <v>335</v>
      </c>
      <c r="IF430" s="12" t="s">
        <v>320</v>
      </c>
      <c r="IG430" s="12" t="s">
        <v>320</v>
      </c>
      <c r="IH430" s="12" t="s">
        <v>320</v>
      </c>
      <c r="II430" s="12" t="s">
        <v>320</v>
      </c>
      <c r="IJ430" s="12" t="str">
        <f t="shared" si="259"/>
        <v>2. Sensitive</v>
      </c>
      <c r="IK430" s="12">
        <f t="shared" si="260"/>
        <v>4</v>
      </c>
      <c r="IL430" s="12" t="s">
        <v>336</v>
      </c>
      <c r="IM430" s="12" t="s">
        <v>320</v>
      </c>
      <c r="IN430" s="12" t="s">
        <v>320</v>
      </c>
      <c r="IO430" s="12" t="s">
        <v>320</v>
      </c>
      <c r="IP430" s="12" t="s">
        <v>320</v>
      </c>
      <c r="IQ430" s="12" t="str">
        <f t="shared" si="261"/>
        <v>2. Accommodating</v>
      </c>
      <c r="IR430" s="12">
        <f t="shared" si="262"/>
        <v>4</v>
      </c>
      <c r="IS430" s="12" t="s">
        <v>337</v>
      </c>
      <c r="IT430" s="12" t="s">
        <v>320</v>
      </c>
      <c r="IU430" s="12" t="s">
        <v>320</v>
      </c>
      <c r="IV430" s="12" t="s">
        <v>320</v>
      </c>
      <c r="IW430" s="11" t="str">
        <f t="shared" si="263"/>
        <v>2. Sensitive</v>
      </c>
      <c r="IX430" s="12">
        <f t="shared" si="264"/>
        <v>3</v>
      </c>
      <c r="IY430" s="11" t="s">
        <v>758</v>
      </c>
      <c r="IZ430" s="11" t="s">
        <v>527</v>
      </c>
      <c r="JA430" s="12">
        <v>3</v>
      </c>
      <c r="JB430" s="11" t="s">
        <v>433</v>
      </c>
      <c r="JC430" s="11" t="s">
        <v>687</v>
      </c>
      <c r="JD430" s="11" t="s">
        <v>585</v>
      </c>
      <c r="JE430" s="12" t="s">
        <v>365</v>
      </c>
      <c r="JF430" s="12" t="s">
        <v>7255</v>
      </c>
      <c r="JG430" s="12" t="s">
        <v>7256</v>
      </c>
      <c r="JH430" s="12" t="s">
        <v>7257</v>
      </c>
      <c r="JI430" s="12" t="s">
        <v>1323</v>
      </c>
      <c r="JJ430" s="12" t="s">
        <v>7258</v>
      </c>
      <c r="JK430" s="12" t="s">
        <v>7259</v>
      </c>
      <c r="JL430" s="12" t="s">
        <v>7260</v>
      </c>
      <c r="JM430" s="12" t="s">
        <v>7261</v>
      </c>
      <c r="JN430" s="12"/>
      <c r="JO430" s="12" t="s">
        <v>7262</v>
      </c>
      <c r="JP430" s="15">
        <f t="shared" si="265"/>
        <v>65005</v>
      </c>
      <c r="JQ430" s="15">
        <f t="shared" si="266"/>
        <v>73232</v>
      </c>
      <c r="JR430" s="279">
        <f t="shared" si="267"/>
        <v>1.126559495423429</v>
      </c>
      <c r="JS430" s="17">
        <f t="shared" si="268"/>
        <v>0.13906622567494809</v>
      </c>
      <c r="JT430" s="18">
        <f t="shared" si="269"/>
        <v>0.49545280751584009</v>
      </c>
      <c r="JU430" s="280">
        <f t="shared" si="270"/>
        <v>9040</v>
      </c>
      <c r="JV430" s="280">
        <f t="shared" si="271"/>
        <v>36283</v>
      </c>
      <c r="JW430" s="319" t="str">
        <f t="shared" si="272"/>
        <v/>
      </c>
      <c r="JX430" s="15">
        <f t="shared" si="273"/>
        <v>0</v>
      </c>
      <c r="JY430" s="15">
        <f t="shared" si="274"/>
        <v>0</v>
      </c>
      <c r="JZ430" s="19" t="str">
        <f t="shared" si="275"/>
        <v/>
      </c>
      <c r="KA430" s="52">
        <f t="shared" si="276"/>
        <v>1</v>
      </c>
      <c r="KB430" s="15">
        <f t="shared" si="277"/>
        <v>65005</v>
      </c>
      <c r="KC430" s="15">
        <f t="shared" si="278"/>
        <v>68000</v>
      </c>
      <c r="KD430" s="20">
        <f t="shared" si="279"/>
        <v>1.0460733789708483</v>
      </c>
      <c r="KE430" s="52" t="str">
        <f t="shared" si="280"/>
        <v/>
      </c>
      <c r="KF430" s="15">
        <f t="shared" si="281"/>
        <v>0</v>
      </c>
      <c r="KG430" s="15">
        <f t="shared" si="282"/>
        <v>0</v>
      </c>
      <c r="KH430" s="21" t="str">
        <f t="shared" si="283"/>
        <v/>
      </c>
      <c r="KI430" s="52" t="str">
        <f t="shared" si="284"/>
        <v/>
      </c>
      <c r="KJ430" s="15">
        <f t="shared" si="285"/>
        <v>0</v>
      </c>
      <c r="KK430" s="15">
        <f t="shared" si="286"/>
        <v>0</v>
      </c>
      <c r="KL430" s="19" t="str">
        <f t="shared" si="287"/>
        <v/>
      </c>
      <c r="KM430" s="52">
        <f t="shared" si="288"/>
        <v>1</v>
      </c>
      <c r="KN430" s="22">
        <f t="shared" si="289"/>
        <v>3502</v>
      </c>
      <c r="KO430" s="22">
        <f t="shared" si="290"/>
        <v>34000</v>
      </c>
      <c r="KP430" s="19">
        <f t="shared" si="291"/>
        <v>9.7087378640776691</v>
      </c>
      <c r="KQ430" s="11" t="str">
        <f t="shared" si="292"/>
        <v>2. Sensitive</v>
      </c>
      <c r="KR430" s="11" t="str">
        <f t="shared" si="293"/>
        <v>2. Accommodating</v>
      </c>
      <c r="KS430" s="11" t="str">
        <f t="shared" si="294"/>
        <v>2. Sensitive</v>
      </c>
      <c r="KT430" s="11" t="str">
        <f t="shared" si="295"/>
        <v>It tested new ways for fighting poverty, but did not measure results of innovation</v>
      </c>
      <c r="KU430" s="11" t="str">
        <f t="shared" si="296"/>
        <v>Moderate advocacy</v>
      </c>
      <c r="KV430" s="11" t="str">
        <f t="shared" si="297"/>
        <v>It took tested solutions to scale on its own</v>
      </c>
      <c r="KW430" s="11" t="str">
        <f t="shared" si="298"/>
        <v>Madagascar - VELONTEGNA</v>
      </c>
      <c r="KX430" s="11" t="str">
        <f t="shared" si="299"/>
        <v>VELONTEGNA</v>
      </c>
      <c r="KY430" s="11" t="str">
        <f t="shared" si="300"/>
        <v>Madagascar</v>
      </c>
      <c r="KZ430" s="12">
        <v>430</v>
      </c>
    </row>
    <row r="431" spans="1:312" x14ac:dyDescent="0.3">
      <c r="A431" s="12" t="s">
        <v>7451</v>
      </c>
      <c r="B431" s="12" t="s">
        <v>7217</v>
      </c>
      <c r="C431" s="12"/>
      <c r="D431" s="12" t="s">
        <v>7749</v>
      </c>
      <c r="E431" s="277" t="str">
        <f t="shared" si="258"/>
        <v>Malawi</v>
      </c>
      <c r="F431" s="12" t="s">
        <v>7750</v>
      </c>
      <c r="G431" s="12" t="s">
        <v>1529</v>
      </c>
      <c r="H431" s="12" t="s">
        <v>384</v>
      </c>
      <c r="I431" s="12" t="s">
        <v>384</v>
      </c>
      <c r="J431" s="281" t="s">
        <v>14596</v>
      </c>
      <c r="K431" s="12"/>
      <c r="L431" s="12"/>
      <c r="M431" s="12"/>
      <c r="N431" s="12"/>
      <c r="O431" s="12"/>
      <c r="P431" s="12"/>
      <c r="Q431" s="12"/>
      <c r="R431" s="12"/>
      <c r="S431" s="12"/>
      <c r="T431" s="12"/>
      <c r="U431" s="12"/>
      <c r="V431" s="12"/>
      <c r="W431" s="12"/>
      <c r="X431" s="12"/>
      <c r="Y431" s="12"/>
      <c r="Z431" s="12"/>
      <c r="AA431" s="12"/>
      <c r="AB431" s="12"/>
      <c r="AC431" s="12"/>
      <c r="AD431" s="12"/>
      <c r="BD431" s="13">
        <v>42810</v>
      </c>
      <c r="BE431" s="13">
        <v>42901</v>
      </c>
      <c r="BF431" s="12"/>
      <c r="BG431" s="12" t="s">
        <v>817</v>
      </c>
      <c r="BH431" s="14">
        <v>40000</v>
      </c>
      <c r="BI431" s="12" t="s">
        <v>7476</v>
      </c>
      <c r="BJ431" s="12" t="s">
        <v>7477</v>
      </c>
      <c r="BK431" s="12" t="s">
        <v>7478</v>
      </c>
      <c r="BL431" s="12" t="s">
        <v>7514</v>
      </c>
      <c r="BM431" s="12" t="s">
        <v>354</v>
      </c>
      <c r="BN431" s="12" t="s">
        <v>7515</v>
      </c>
      <c r="BO431" s="12" t="s">
        <v>320</v>
      </c>
      <c r="BP431" s="12" t="s">
        <v>319</v>
      </c>
      <c r="BQ431" s="12" t="s">
        <v>319</v>
      </c>
      <c r="BR431" s="12" t="s">
        <v>7751</v>
      </c>
      <c r="BS431" s="12" t="s">
        <v>357</v>
      </c>
      <c r="BT431" s="12" t="s">
        <v>7752</v>
      </c>
      <c r="BU431" s="12" t="s">
        <v>7753</v>
      </c>
      <c r="BV431" s="14">
        <v>1032</v>
      </c>
      <c r="BW431" s="14">
        <v>1010</v>
      </c>
      <c r="BX431" s="14">
        <v>2042</v>
      </c>
      <c r="BY431" s="14"/>
      <c r="BZ431" s="14"/>
      <c r="CA431" s="14"/>
      <c r="CB431" s="12" t="s">
        <v>7754</v>
      </c>
      <c r="CD431" s="14">
        <v>1032</v>
      </c>
      <c r="CE431" s="14">
        <v>1010</v>
      </c>
      <c r="CF431" s="14">
        <v>2042</v>
      </c>
      <c r="CG431" s="14">
        <v>879</v>
      </c>
      <c r="CH431" s="14">
        <v>811</v>
      </c>
      <c r="CI431" s="14">
        <v>1690</v>
      </c>
      <c r="CJ431" s="12" t="s">
        <v>319</v>
      </c>
      <c r="CK431" s="14"/>
      <c r="CL431" s="16"/>
      <c r="CM431" s="14"/>
      <c r="CN431" s="12" t="s">
        <v>319</v>
      </c>
      <c r="CO431" s="14"/>
      <c r="CP431" s="16"/>
      <c r="CQ431" s="14"/>
      <c r="CR431" s="12" t="s">
        <v>319</v>
      </c>
      <c r="CS431" s="14"/>
      <c r="CT431" s="16"/>
      <c r="CU431" s="14"/>
      <c r="CV431" s="12" t="s">
        <v>319</v>
      </c>
      <c r="CW431" s="14"/>
      <c r="CX431" s="16"/>
      <c r="CY431" s="14"/>
      <c r="CZ431" s="12" t="s">
        <v>320</v>
      </c>
      <c r="DA431" s="14">
        <v>2042</v>
      </c>
      <c r="DB431" s="16">
        <v>0.52</v>
      </c>
      <c r="DC431" s="14">
        <v>1690</v>
      </c>
      <c r="DD431" s="12" t="s">
        <v>319</v>
      </c>
      <c r="DE431" s="14"/>
      <c r="DF431" s="16"/>
      <c r="DG431" s="14"/>
      <c r="DH431" s="12" t="s">
        <v>319</v>
      </c>
      <c r="DI431" s="14"/>
      <c r="DJ431" s="16"/>
      <c r="DK431" s="14"/>
      <c r="DL431" s="12" t="s">
        <v>319</v>
      </c>
      <c r="DM431" s="14"/>
      <c r="DN431" s="16"/>
      <c r="DO431" s="14"/>
      <c r="DP431" s="12" t="s">
        <v>320</v>
      </c>
      <c r="DQ431" s="14">
        <v>350</v>
      </c>
      <c r="DR431" s="16">
        <v>0.71</v>
      </c>
      <c r="DS431" s="14">
        <v>1690</v>
      </c>
      <c r="DT431" s="12" t="s">
        <v>319</v>
      </c>
      <c r="DU431" s="14"/>
      <c r="DV431" s="16"/>
      <c r="DW431" s="14"/>
      <c r="DX431" s="12" t="s">
        <v>320</v>
      </c>
      <c r="DY431" s="14">
        <v>2042</v>
      </c>
      <c r="DZ431" s="16">
        <v>0.51600000000000001</v>
      </c>
      <c r="EA431" s="14"/>
      <c r="EB431" s="12" t="s">
        <v>319</v>
      </c>
      <c r="EC431" s="14"/>
      <c r="ED431" s="16"/>
      <c r="EE431" s="14"/>
      <c r="EF431" s="12"/>
      <c r="EG431" s="12" t="s">
        <v>319</v>
      </c>
      <c r="EH431" s="14"/>
      <c r="EI431" s="16"/>
      <c r="EJ431" s="14"/>
      <c r="EK431" s="14"/>
      <c r="EL431" s="14"/>
      <c r="EM431" s="14"/>
      <c r="EN431" s="14"/>
      <c r="EO431" s="14"/>
      <c r="EP431" s="14"/>
      <c r="EQ431" s="12"/>
      <c r="ER431" s="14"/>
      <c r="ES431" s="16"/>
      <c r="ET431" s="14"/>
      <c r="EU431" s="12"/>
      <c r="EV431" s="14"/>
      <c r="EW431" s="16"/>
      <c r="EX431" s="14"/>
      <c r="EY431" s="12"/>
      <c r="EZ431" s="14"/>
      <c r="FA431" s="16"/>
      <c r="FB431" s="14"/>
      <c r="FC431" s="12"/>
      <c r="FD431" s="14"/>
      <c r="FE431" s="16"/>
      <c r="FF431" s="14"/>
      <c r="FG431" s="12"/>
      <c r="FH431" s="14"/>
      <c r="FI431" s="16"/>
      <c r="FJ431" s="14"/>
      <c r="FK431" s="12"/>
      <c r="FL431" s="14"/>
      <c r="FM431" s="16"/>
      <c r="FN431" s="14"/>
      <c r="FO431" s="12"/>
      <c r="FP431" s="14"/>
      <c r="FQ431" s="16"/>
      <c r="FR431" s="14"/>
      <c r="FS431" s="12"/>
      <c r="FT431" s="14"/>
      <c r="FU431" s="16"/>
      <c r="FV431" s="14"/>
      <c r="FW431" s="12"/>
      <c r="FX431" s="14"/>
      <c r="FY431" s="16"/>
      <c r="FZ431" s="14"/>
      <c r="GA431" s="12"/>
      <c r="GB431" s="14"/>
      <c r="GC431" s="16"/>
      <c r="GD431" s="14"/>
      <c r="GE431" s="12"/>
      <c r="GF431" s="14"/>
      <c r="GG431" s="16"/>
      <c r="GH431" s="14"/>
      <c r="GI431" s="12"/>
      <c r="GJ431" s="14"/>
      <c r="GK431" s="16"/>
      <c r="GL431" s="14"/>
      <c r="GM431" s="12"/>
      <c r="GN431" s="14"/>
      <c r="GO431" s="16"/>
      <c r="GP431" s="14"/>
      <c r="GQ431" s="12"/>
      <c r="GR431" s="14"/>
      <c r="GS431" s="16"/>
      <c r="GT431" s="14"/>
      <c r="GU431" s="12"/>
      <c r="GV431" s="14"/>
      <c r="GW431" s="16"/>
      <c r="GX431" s="14"/>
      <c r="GY431" s="12"/>
      <c r="GZ431" s="14"/>
      <c r="HA431" s="16"/>
      <c r="HB431" s="14"/>
      <c r="HC431" s="12"/>
      <c r="HD431" s="12"/>
      <c r="HE431" s="14"/>
      <c r="HF431" s="16"/>
      <c r="HG431" s="14"/>
      <c r="HH431" s="12" t="s">
        <v>319</v>
      </c>
      <c r="HI431" s="12"/>
      <c r="HJ431" s="12"/>
      <c r="HK431" s="12" t="s">
        <v>319</v>
      </c>
      <c r="HL431" s="12" t="s">
        <v>319</v>
      </c>
      <c r="HM431" s="12"/>
      <c r="HN431" s="12"/>
      <c r="HO431" s="12" t="s">
        <v>7755</v>
      </c>
      <c r="HP431" s="12" t="s">
        <v>418</v>
      </c>
      <c r="HQ431" s="12" t="s">
        <v>319</v>
      </c>
      <c r="HR431" s="12" t="s">
        <v>319</v>
      </c>
      <c r="HS431" s="12" t="s">
        <v>319</v>
      </c>
      <c r="HT431" s="12" t="s">
        <v>319</v>
      </c>
      <c r="HU431" s="12" t="s">
        <v>319</v>
      </c>
      <c r="HV431" s="12" t="s">
        <v>319</v>
      </c>
      <c r="HW431" s="12" t="s">
        <v>319</v>
      </c>
      <c r="HX431" s="12" t="s">
        <v>319</v>
      </c>
      <c r="HY431" s="12"/>
      <c r="HZ431" s="12" t="s">
        <v>363</v>
      </c>
      <c r="IA431" s="12"/>
      <c r="IB431" s="12" t="s">
        <v>333</v>
      </c>
      <c r="IC431" s="12"/>
      <c r="ID431" s="12" t="s">
        <v>334</v>
      </c>
      <c r="IE431" s="12" t="s">
        <v>335</v>
      </c>
      <c r="IF431" s="12" t="s">
        <v>320</v>
      </c>
      <c r="IG431" s="12" t="s">
        <v>320</v>
      </c>
      <c r="IH431" s="12" t="s">
        <v>320</v>
      </c>
      <c r="II431" s="12" t="s">
        <v>320</v>
      </c>
      <c r="IJ431" s="12" t="str">
        <f t="shared" si="259"/>
        <v>2. Sensitive</v>
      </c>
      <c r="IK431" s="12">
        <f t="shared" si="260"/>
        <v>4</v>
      </c>
      <c r="IL431" s="12" t="s">
        <v>336</v>
      </c>
      <c r="IM431" s="12" t="s">
        <v>320</v>
      </c>
      <c r="IN431" s="12" t="s">
        <v>319</v>
      </c>
      <c r="IO431" s="12" t="s">
        <v>320</v>
      </c>
      <c r="IP431" s="12" t="s">
        <v>320</v>
      </c>
      <c r="IQ431" s="12" t="str">
        <f t="shared" si="261"/>
        <v>2. Accommodating</v>
      </c>
      <c r="IR431" s="12">
        <f t="shared" si="262"/>
        <v>3</v>
      </c>
      <c r="IS431" s="12" t="s">
        <v>337</v>
      </c>
      <c r="IT431" s="12" t="s">
        <v>320</v>
      </c>
      <c r="IU431" s="12" t="s">
        <v>320</v>
      </c>
      <c r="IV431" s="12" t="s">
        <v>319</v>
      </c>
      <c r="IW431" s="11" t="str">
        <f t="shared" si="263"/>
        <v>1. Neutral</v>
      </c>
      <c r="IX431" s="12">
        <f t="shared" si="264"/>
        <v>2</v>
      </c>
      <c r="IY431" s="12" t="s">
        <v>338</v>
      </c>
      <c r="IZ431" s="12" t="s">
        <v>339</v>
      </c>
      <c r="JA431" s="12"/>
      <c r="JB431" s="12"/>
      <c r="JC431" s="12"/>
      <c r="JD431" s="12"/>
      <c r="JE431" s="12" t="s">
        <v>420</v>
      </c>
      <c r="JF431" s="12"/>
      <c r="JG431" s="12" t="s">
        <v>7756</v>
      </c>
      <c r="JH431" s="12" t="s">
        <v>7757</v>
      </c>
      <c r="JI431" s="12" t="s">
        <v>7758</v>
      </c>
      <c r="JJ431" s="12"/>
      <c r="JK431" s="12" t="s">
        <v>7759</v>
      </c>
      <c r="JL431" s="12" t="s">
        <v>7760</v>
      </c>
      <c r="JM431" s="12"/>
      <c r="JN431" s="12"/>
      <c r="JO431" s="12"/>
      <c r="JP431" s="15">
        <f t="shared" si="265"/>
        <v>2042</v>
      </c>
      <c r="JQ431" s="15">
        <f t="shared" si="266"/>
        <v>1690</v>
      </c>
      <c r="JR431" s="279">
        <f t="shared" si="267"/>
        <v>0.82761998041136142</v>
      </c>
      <c r="JS431" s="17">
        <f t="shared" si="268"/>
        <v>0.5053868756121449</v>
      </c>
      <c r="JT431" s="18">
        <f t="shared" si="269"/>
        <v>0.52011834319526629</v>
      </c>
      <c r="JU431" s="280">
        <f t="shared" si="270"/>
        <v>1032</v>
      </c>
      <c r="JV431" s="280">
        <f t="shared" si="271"/>
        <v>879</v>
      </c>
      <c r="JW431" s="319">
        <f t="shared" si="272"/>
        <v>1</v>
      </c>
      <c r="JX431" s="15">
        <f t="shared" si="273"/>
        <v>2042</v>
      </c>
      <c r="JY431" s="15">
        <f t="shared" si="274"/>
        <v>1690</v>
      </c>
      <c r="JZ431" s="19">
        <f t="shared" si="275"/>
        <v>0.82761998041136142</v>
      </c>
      <c r="KA431" s="52" t="str">
        <f t="shared" si="276"/>
        <v/>
      </c>
      <c r="KB431" s="15">
        <f t="shared" si="277"/>
        <v>0</v>
      </c>
      <c r="KC431" s="15">
        <f t="shared" si="278"/>
        <v>0</v>
      </c>
      <c r="KD431" s="20" t="str">
        <f t="shared" si="279"/>
        <v/>
      </c>
      <c r="KE431" s="52" t="str">
        <f t="shared" si="280"/>
        <v/>
      </c>
      <c r="KF431" s="15">
        <f t="shared" si="281"/>
        <v>0</v>
      </c>
      <c r="KG431" s="15">
        <f t="shared" si="282"/>
        <v>0</v>
      </c>
      <c r="KH431" s="21" t="str">
        <f t="shared" si="283"/>
        <v/>
      </c>
      <c r="KI431" s="52">
        <f t="shared" si="284"/>
        <v>1</v>
      </c>
      <c r="KJ431" s="15">
        <f t="shared" si="285"/>
        <v>2042</v>
      </c>
      <c r="KK431" s="15">
        <f t="shared" si="286"/>
        <v>1690</v>
      </c>
      <c r="KL431" s="19">
        <f t="shared" si="287"/>
        <v>0.82761998041136142</v>
      </c>
      <c r="KM431" s="52" t="str">
        <f t="shared" si="288"/>
        <v/>
      </c>
      <c r="KN431" s="22">
        <f t="shared" si="289"/>
        <v>0</v>
      </c>
      <c r="KO431" s="22">
        <f t="shared" si="290"/>
        <v>0</v>
      </c>
      <c r="KP431" s="19" t="str">
        <f t="shared" si="291"/>
        <v/>
      </c>
      <c r="KQ431" s="11" t="str">
        <f t="shared" si="292"/>
        <v>2. Sensitive</v>
      </c>
      <c r="KR431" s="11" t="str">
        <f t="shared" si="293"/>
        <v>2. Accommodating</v>
      </c>
      <c r="KS431" s="11" t="str">
        <f t="shared" si="294"/>
        <v>1. Neutral</v>
      </c>
      <c r="KT431" s="11" t="str">
        <f t="shared" si="295"/>
        <v>It did not develop any specific innovation</v>
      </c>
      <c r="KU431" s="11" t="str">
        <f t="shared" si="296"/>
        <v>Little or no advocacy</v>
      </c>
      <c r="KV431" s="11" t="str">
        <f t="shared" si="297"/>
        <v>It did not take tested solutions to scale</v>
      </c>
      <c r="KW431" s="11" t="str">
        <f t="shared" si="298"/>
        <v>Malawi - 2017 Malawi Floods Response</v>
      </c>
      <c r="KX431" s="11" t="str">
        <f t="shared" si="299"/>
        <v>2017 Malawi Floods Response</v>
      </c>
      <c r="KY431" s="11" t="str">
        <f t="shared" si="300"/>
        <v>Malawi</v>
      </c>
      <c r="KZ431" s="12">
        <v>431</v>
      </c>
    </row>
    <row r="432" spans="1:312" x14ac:dyDescent="0.3">
      <c r="A432" s="11" t="s">
        <v>7451</v>
      </c>
      <c r="B432" s="12" t="s">
        <v>7217</v>
      </c>
      <c r="C432" s="11">
        <v>3128</v>
      </c>
      <c r="D432" s="11" t="s">
        <v>7553</v>
      </c>
      <c r="E432" s="277" t="str">
        <f t="shared" si="258"/>
        <v>Malawi</v>
      </c>
      <c r="F432" s="11" t="s">
        <v>7554</v>
      </c>
      <c r="G432" s="12" t="s">
        <v>379</v>
      </c>
      <c r="H432" s="11" t="s">
        <v>310</v>
      </c>
      <c r="I432" s="12" t="s">
        <v>655</v>
      </c>
      <c r="J432" s="278" t="s">
        <v>6695</v>
      </c>
      <c r="BD432" s="23">
        <v>42826</v>
      </c>
      <c r="BE432" s="23">
        <v>43190</v>
      </c>
      <c r="BF432" s="23">
        <v>43555</v>
      </c>
      <c r="BG432" s="11" t="s">
        <v>490</v>
      </c>
      <c r="BH432" s="22">
        <v>80000</v>
      </c>
      <c r="BI432" s="11" t="s">
        <v>7555</v>
      </c>
      <c r="BJ432" s="11" t="s">
        <v>354</v>
      </c>
      <c r="BK432" s="11" t="s">
        <v>7556</v>
      </c>
      <c r="BL432" s="11" t="s">
        <v>7557</v>
      </c>
      <c r="BM432" s="11" t="s">
        <v>7558</v>
      </c>
      <c r="BN432" s="11" t="s">
        <v>7559</v>
      </c>
      <c r="BO432" s="11" t="s">
        <v>319</v>
      </c>
      <c r="BP432" s="11" t="s">
        <v>320</v>
      </c>
      <c r="BQ432" s="11" t="s">
        <v>319</v>
      </c>
      <c r="BR432" s="11" t="s">
        <v>7560</v>
      </c>
      <c r="BS432" s="11" t="s">
        <v>357</v>
      </c>
      <c r="BT432" s="11" t="s">
        <v>7561</v>
      </c>
      <c r="BU432" s="11" t="s">
        <v>7562</v>
      </c>
      <c r="BV432" s="22">
        <v>2535</v>
      </c>
      <c r="BW432" s="22">
        <v>900</v>
      </c>
      <c r="BX432" s="22">
        <v>3435</v>
      </c>
      <c r="BY432" s="22">
        <v>5105</v>
      </c>
      <c r="BZ432" s="22">
        <v>1800</v>
      </c>
      <c r="CA432" s="22">
        <v>6905</v>
      </c>
      <c r="CB432" s="15" t="s">
        <v>7563</v>
      </c>
      <c r="CL432" s="18"/>
      <c r="CP432" s="18"/>
      <c r="CT432" s="18"/>
      <c r="CX432" s="18"/>
      <c r="DB432" s="18"/>
      <c r="DF432" s="18"/>
      <c r="DJ432" s="18"/>
      <c r="DN432" s="18"/>
      <c r="DR432" s="18"/>
      <c r="DV432" s="18"/>
      <c r="DZ432" s="18"/>
      <c r="ED432" s="18"/>
      <c r="EI432" s="18"/>
      <c r="EQ432" s="12" t="s">
        <v>319</v>
      </c>
      <c r="ES432" s="18"/>
      <c r="EU432" s="11" t="s">
        <v>319</v>
      </c>
      <c r="EW432" s="18"/>
      <c r="EY432" s="12" t="s">
        <v>319</v>
      </c>
      <c r="FA432" s="18"/>
      <c r="FC432" s="12" t="s">
        <v>319</v>
      </c>
      <c r="FE432" s="18"/>
      <c r="FG432" s="12" t="s">
        <v>319</v>
      </c>
      <c r="FI432" s="18"/>
      <c r="FK432" s="11" t="s">
        <v>319</v>
      </c>
      <c r="FM432" s="18"/>
      <c r="FO432" s="11" t="s">
        <v>319</v>
      </c>
      <c r="FQ432" s="18"/>
      <c r="FS432" s="11" t="s">
        <v>319</v>
      </c>
      <c r="FU432" s="18"/>
      <c r="FW432" s="11" t="s">
        <v>319</v>
      </c>
      <c r="FY432" s="18"/>
      <c r="GA432" s="11" t="s">
        <v>319</v>
      </c>
      <c r="GC432" s="18"/>
      <c r="GE432" s="11" t="s">
        <v>319</v>
      </c>
      <c r="GG432" s="18"/>
      <c r="GI432" s="11" t="s">
        <v>319</v>
      </c>
      <c r="GK432" s="18"/>
      <c r="GM432" s="11" t="s">
        <v>319</v>
      </c>
      <c r="GO432" s="18"/>
      <c r="GQ432" s="11" t="s">
        <v>319</v>
      </c>
      <c r="GS432" s="18"/>
      <c r="GU432" s="11" t="s">
        <v>319</v>
      </c>
      <c r="GW432" s="18"/>
      <c r="GY432" s="11" t="s">
        <v>319</v>
      </c>
      <c r="HA432" s="18"/>
      <c r="HD432" s="11" t="s">
        <v>319</v>
      </c>
      <c r="HF432" s="18"/>
      <c r="HH432" s="11" t="s">
        <v>319</v>
      </c>
      <c r="HK432" s="11" t="s">
        <v>320</v>
      </c>
      <c r="HL432" s="11" t="s">
        <v>320</v>
      </c>
      <c r="HM432" s="11" t="s">
        <v>416</v>
      </c>
      <c r="HN432" s="11">
        <v>2018</v>
      </c>
      <c r="HO432" s="11" t="s">
        <v>7564</v>
      </c>
      <c r="HP432" s="11" t="s">
        <v>418</v>
      </c>
      <c r="HQ432" s="11" t="s">
        <v>319</v>
      </c>
      <c r="HR432" s="11" t="s">
        <v>319</v>
      </c>
      <c r="HS432" s="11" t="s">
        <v>320</v>
      </c>
      <c r="HT432" s="11" t="s">
        <v>320</v>
      </c>
      <c r="HU432" s="11" t="s">
        <v>319</v>
      </c>
      <c r="HV432" s="11" t="s">
        <v>319</v>
      </c>
      <c r="HW432" s="11" t="s">
        <v>319</v>
      </c>
      <c r="HX432" s="11" t="s">
        <v>319</v>
      </c>
      <c r="HZ432" s="11" t="s">
        <v>363</v>
      </c>
      <c r="IB432" s="11" t="s">
        <v>333</v>
      </c>
      <c r="ID432" s="11" t="s">
        <v>477</v>
      </c>
      <c r="IE432" s="11" t="s">
        <v>335</v>
      </c>
      <c r="IF432" s="11" t="s">
        <v>320</v>
      </c>
      <c r="IG432" s="11" t="s">
        <v>320</v>
      </c>
      <c r="IH432" s="11" t="s">
        <v>319</v>
      </c>
      <c r="II432" s="11" t="s">
        <v>320</v>
      </c>
      <c r="IJ432" s="12" t="str">
        <f t="shared" si="259"/>
        <v>1. Neutral</v>
      </c>
      <c r="IK432" s="12">
        <f t="shared" si="260"/>
        <v>3</v>
      </c>
      <c r="IL432" s="11" t="s">
        <v>336</v>
      </c>
      <c r="IM432" s="11" t="s">
        <v>320</v>
      </c>
      <c r="IN432" s="11" t="s">
        <v>320</v>
      </c>
      <c r="IO432" s="11" t="s">
        <v>320</v>
      </c>
      <c r="IP432" s="11" t="s">
        <v>319</v>
      </c>
      <c r="IQ432" s="12" t="str">
        <f t="shared" si="261"/>
        <v>2. Accommodating</v>
      </c>
      <c r="IR432" s="12">
        <f t="shared" si="262"/>
        <v>3</v>
      </c>
      <c r="IS432" s="11" t="s">
        <v>456</v>
      </c>
      <c r="IT432" s="11" t="s">
        <v>319</v>
      </c>
      <c r="IU432" s="11" t="s">
        <v>319</v>
      </c>
      <c r="IV432" s="11" t="s">
        <v>319</v>
      </c>
      <c r="IW432" s="11" t="str">
        <f t="shared" si="263"/>
        <v>0. Harmful</v>
      </c>
      <c r="IX432" s="12">
        <f t="shared" si="264"/>
        <v>0</v>
      </c>
      <c r="IY432" s="11" t="s">
        <v>338</v>
      </c>
      <c r="IZ432" s="11" t="s">
        <v>339</v>
      </c>
      <c r="JE432" s="11" t="s">
        <v>420</v>
      </c>
      <c r="JO432" s="11" t="s">
        <v>7565</v>
      </c>
      <c r="JP432" s="15">
        <f t="shared" si="265"/>
        <v>0</v>
      </c>
      <c r="JQ432" s="15">
        <f t="shared" si="266"/>
        <v>0</v>
      </c>
      <c r="JR432" s="279" t="str">
        <f t="shared" si="267"/>
        <v/>
      </c>
      <c r="JS432" s="17" t="str">
        <f t="shared" si="268"/>
        <v/>
      </c>
      <c r="JT432" s="18" t="str">
        <f t="shared" si="269"/>
        <v/>
      </c>
      <c r="JU432" s="280">
        <f t="shared" si="270"/>
        <v>0</v>
      </c>
      <c r="JV432" s="280">
        <f t="shared" si="271"/>
        <v>0</v>
      </c>
      <c r="JW432" s="319" t="str">
        <f t="shared" si="272"/>
        <v/>
      </c>
      <c r="JX432" s="15">
        <f t="shared" si="273"/>
        <v>0</v>
      </c>
      <c r="JY432" s="15">
        <f t="shared" si="274"/>
        <v>0</v>
      </c>
      <c r="JZ432" s="19" t="str">
        <f t="shared" si="275"/>
        <v/>
      </c>
      <c r="KA432" s="52" t="str">
        <f t="shared" si="276"/>
        <v/>
      </c>
      <c r="KB432" s="15">
        <f t="shared" si="277"/>
        <v>0</v>
      </c>
      <c r="KC432" s="15">
        <f t="shared" si="278"/>
        <v>0</v>
      </c>
      <c r="KD432" s="20" t="str">
        <f t="shared" si="279"/>
        <v/>
      </c>
      <c r="KE432" s="52" t="str">
        <f t="shared" si="280"/>
        <v/>
      </c>
      <c r="KF432" s="15">
        <f t="shared" si="281"/>
        <v>0</v>
      </c>
      <c r="KG432" s="15">
        <f t="shared" si="282"/>
        <v>0</v>
      </c>
      <c r="KH432" s="21" t="str">
        <f t="shared" si="283"/>
        <v/>
      </c>
      <c r="KI432" s="52" t="str">
        <f t="shared" si="284"/>
        <v/>
      </c>
      <c r="KJ432" s="15">
        <f t="shared" si="285"/>
        <v>0</v>
      </c>
      <c r="KK432" s="15">
        <f t="shared" si="286"/>
        <v>0</v>
      </c>
      <c r="KL432" s="19" t="str">
        <f t="shared" si="287"/>
        <v/>
      </c>
      <c r="KM432" s="52" t="str">
        <f t="shared" si="288"/>
        <v/>
      </c>
      <c r="KN432" s="22">
        <f t="shared" si="289"/>
        <v>0</v>
      </c>
      <c r="KO432" s="22">
        <f t="shared" si="290"/>
        <v>0</v>
      </c>
      <c r="KP432" s="19" t="str">
        <f t="shared" si="291"/>
        <v/>
      </c>
      <c r="KQ432" s="11" t="str">
        <f t="shared" si="292"/>
        <v>1. Neutral</v>
      </c>
      <c r="KR432" s="11" t="str">
        <f t="shared" si="293"/>
        <v>2. Accommodating</v>
      </c>
      <c r="KS432" s="11" t="str">
        <f t="shared" si="294"/>
        <v>0. Harmful</v>
      </c>
      <c r="KT432" s="11" t="str">
        <f t="shared" si="295"/>
        <v>It did not develop any specific innovation</v>
      </c>
      <c r="KU432" s="11" t="str">
        <f t="shared" si="296"/>
        <v>Little or no advocacy</v>
      </c>
      <c r="KV432" s="11" t="str">
        <f t="shared" si="297"/>
        <v>It did not take tested solutions to scale</v>
      </c>
      <c r="KW432" s="11" t="str">
        <f t="shared" si="298"/>
        <v>Malawi - Community Engagement- PMTCT Model</v>
      </c>
      <c r="KX432" s="11" t="str">
        <f t="shared" si="299"/>
        <v>Community Engagement- PMTCT Model</v>
      </c>
      <c r="KY432" s="11" t="str">
        <f t="shared" si="300"/>
        <v>Malawi</v>
      </c>
      <c r="KZ432" s="287">
        <v>432</v>
      </c>
    </row>
    <row r="433" spans="1:312" x14ac:dyDescent="0.3">
      <c r="A433" s="12" t="s">
        <v>7451</v>
      </c>
      <c r="B433" s="12" t="s">
        <v>7217</v>
      </c>
      <c r="C433" s="12">
        <v>3135</v>
      </c>
      <c r="D433" s="12" t="s">
        <v>7566</v>
      </c>
      <c r="E433" s="277" t="str">
        <f t="shared" si="258"/>
        <v>Malawi</v>
      </c>
      <c r="F433" s="12" t="s">
        <v>7567</v>
      </c>
      <c r="G433" s="12" t="s">
        <v>379</v>
      </c>
      <c r="H433" s="12" t="s">
        <v>383</v>
      </c>
      <c r="I433" s="12" t="s">
        <v>384</v>
      </c>
      <c r="J433" s="281" t="s">
        <v>1187</v>
      </c>
      <c r="K433" s="12"/>
      <c r="L433" s="12"/>
      <c r="M433" s="12" t="s">
        <v>384</v>
      </c>
      <c r="N433" s="12" t="s">
        <v>384</v>
      </c>
      <c r="O433" s="12" t="s">
        <v>7568</v>
      </c>
      <c r="P433" s="12"/>
      <c r="Q433" s="12"/>
      <c r="R433" s="12"/>
      <c r="S433" s="12"/>
      <c r="T433" s="12"/>
      <c r="U433" s="12"/>
      <c r="V433" s="12"/>
      <c r="W433" s="12"/>
      <c r="X433" s="12"/>
      <c r="Y433" s="12"/>
      <c r="Z433" s="12"/>
      <c r="AA433" s="12"/>
      <c r="AB433" s="12"/>
      <c r="AC433" s="12"/>
      <c r="AD433" s="12"/>
      <c r="BD433" s="13">
        <v>42370</v>
      </c>
      <c r="BE433" s="13">
        <v>43464</v>
      </c>
      <c r="BF433" s="12"/>
      <c r="BG433" s="12" t="s">
        <v>312</v>
      </c>
      <c r="BH433" s="14">
        <v>300000</v>
      </c>
      <c r="BI433" s="12" t="s">
        <v>7569</v>
      </c>
      <c r="BJ433" s="12" t="s">
        <v>7570</v>
      </c>
      <c r="BK433" s="12" t="s">
        <v>7571</v>
      </c>
      <c r="BL433" s="12" t="s">
        <v>7557</v>
      </c>
      <c r="BM433" s="12" t="s">
        <v>7572</v>
      </c>
      <c r="BN433" s="12" t="s">
        <v>7559</v>
      </c>
      <c r="BO433" s="12" t="s">
        <v>320</v>
      </c>
      <c r="BP433" s="12" t="s">
        <v>320</v>
      </c>
      <c r="BQ433" s="12" t="s">
        <v>320</v>
      </c>
      <c r="BR433" s="12" t="s">
        <v>7573</v>
      </c>
      <c r="BS433" s="12" t="s">
        <v>849</v>
      </c>
      <c r="BT433" s="12" t="s">
        <v>7574</v>
      </c>
      <c r="BU433" s="12" t="s">
        <v>7575</v>
      </c>
      <c r="BV433" s="14"/>
      <c r="BW433" s="14"/>
      <c r="BX433" s="14"/>
      <c r="BY433" s="14"/>
      <c r="BZ433" s="14"/>
      <c r="CA433" s="14"/>
      <c r="CB433" s="12" t="s">
        <v>7576</v>
      </c>
      <c r="CD433" s="14"/>
      <c r="CE433" s="14"/>
      <c r="CF433" s="14"/>
      <c r="CG433" s="14"/>
      <c r="CH433" s="14"/>
      <c r="CI433" s="14"/>
      <c r="CJ433" s="12"/>
      <c r="CK433" s="14"/>
      <c r="CL433" s="16"/>
      <c r="CM433" s="14"/>
      <c r="CN433" s="12"/>
      <c r="CO433" s="14"/>
      <c r="CP433" s="16"/>
      <c r="CQ433" s="14"/>
      <c r="CR433" s="12"/>
      <c r="CS433" s="14"/>
      <c r="CT433" s="16"/>
      <c r="CU433" s="14"/>
      <c r="CV433" s="12"/>
      <c r="CW433" s="14"/>
      <c r="CX433" s="16"/>
      <c r="CY433" s="14"/>
      <c r="CZ433" s="12"/>
      <c r="DA433" s="14"/>
      <c r="DB433" s="16"/>
      <c r="DC433" s="14"/>
      <c r="DD433" s="12"/>
      <c r="DE433" s="14"/>
      <c r="DF433" s="16"/>
      <c r="DG433" s="14"/>
      <c r="DH433" s="12"/>
      <c r="DI433" s="14"/>
      <c r="DJ433" s="16"/>
      <c r="DK433" s="14"/>
      <c r="DL433" s="12"/>
      <c r="DM433" s="14"/>
      <c r="DN433" s="16"/>
      <c r="DO433" s="14"/>
      <c r="DP433" s="12"/>
      <c r="DQ433" s="14"/>
      <c r="DR433" s="16"/>
      <c r="DS433" s="14"/>
      <c r="DT433" s="12"/>
      <c r="DU433" s="14"/>
      <c r="DV433" s="16"/>
      <c r="DW433" s="14"/>
      <c r="DX433" s="12"/>
      <c r="DY433" s="14"/>
      <c r="DZ433" s="16"/>
      <c r="EA433" s="14"/>
      <c r="EB433" s="12"/>
      <c r="EC433" s="14"/>
      <c r="ED433" s="16"/>
      <c r="EE433" s="14"/>
      <c r="EF433" s="12"/>
      <c r="EG433" s="12"/>
      <c r="EH433" s="14"/>
      <c r="EI433" s="16"/>
      <c r="EJ433" s="14"/>
      <c r="EK433" s="14">
        <v>76</v>
      </c>
      <c r="EL433" s="14">
        <v>92</v>
      </c>
      <c r="EM433" s="14">
        <v>168</v>
      </c>
      <c r="EN433" s="14"/>
      <c r="EO433" s="14"/>
      <c r="EP433" s="14"/>
      <c r="EQ433" s="12" t="s">
        <v>319</v>
      </c>
      <c r="ER433" s="14"/>
      <c r="ES433" s="16"/>
      <c r="ET433" s="14"/>
      <c r="EU433" s="11" t="s">
        <v>319</v>
      </c>
      <c r="EV433" s="14"/>
      <c r="EW433" s="16"/>
      <c r="EX433" s="14"/>
      <c r="EY433" s="12" t="s">
        <v>319</v>
      </c>
      <c r="EZ433" s="14"/>
      <c r="FA433" s="16"/>
      <c r="FB433" s="14"/>
      <c r="FC433" s="12" t="s">
        <v>319</v>
      </c>
      <c r="FD433" s="14"/>
      <c r="FE433" s="16"/>
      <c r="FF433" s="14"/>
      <c r="FG433" s="12" t="s">
        <v>319</v>
      </c>
      <c r="FH433" s="14"/>
      <c r="FI433" s="16"/>
      <c r="FJ433" s="14"/>
      <c r="FK433" s="12" t="s">
        <v>319</v>
      </c>
      <c r="FL433" s="14"/>
      <c r="FM433" s="16"/>
      <c r="FN433" s="14"/>
      <c r="FO433" s="12" t="s">
        <v>319</v>
      </c>
      <c r="FP433" s="14"/>
      <c r="FQ433" s="16"/>
      <c r="FR433" s="14"/>
      <c r="FS433" s="12" t="s">
        <v>319</v>
      </c>
      <c r="FT433" s="14"/>
      <c r="FU433" s="16"/>
      <c r="FV433" s="14"/>
      <c r="FW433" s="12" t="s">
        <v>319</v>
      </c>
      <c r="FX433" s="14"/>
      <c r="FY433" s="16"/>
      <c r="FZ433" s="14"/>
      <c r="GA433" s="12" t="s">
        <v>319</v>
      </c>
      <c r="GB433" s="14"/>
      <c r="GC433" s="16"/>
      <c r="GD433" s="14"/>
      <c r="GE433" s="12" t="s">
        <v>319</v>
      </c>
      <c r="GF433" s="14"/>
      <c r="GG433" s="16"/>
      <c r="GH433" s="14"/>
      <c r="GI433" s="11" t="s">
        <v>320</v>
      </c>
      <c r="GJ433" s="14">
        <v>168</v>
      </c>
      <c r="GK433" s="16">
        <v>0.45</v>
      </c>
      <c r="GL433" s="14">
        <v>2000</v>
      </c>
      <c r="GM433" s="11" t="s">
        <v>320</v>
      </c>
      <c r="GN433" s="14">
        <v>168</v>
      </c>
      <c r="GO433" s="16">
        <v>0.45</v>
      </c>
      <c r="GP433" s="14"/>
      <c r="GQ433" s="12" t="s">
        <v>319</v>
      </c>
      <c r="GR433" s="14"/>
      <c r="GS433" s="16"/>
      <c r="GT433" s="14"/>
      <c r="GU433" s="12" t="s">
        <v>319</v>
      </c>
      <c r="GV433" s="14"/>
      <c r="GW433" s="16"/>
      <c r="GX433" s="14"/>
      <c r="GY433" s="12"/>
      <c r="GZ433" s="14"/>
      <c r="HA433" s="16"/>
      <c r="HB433" s="14"/>
      <c r="HC433" s="12"/>
      <c r="HD433" s="12" t="s">
        <v>319</v>
      </c>
      <c r="HE433" s="14"/>
      <c r="HF433" s="16"/>
      <c r="HG433" s="14"/>
      <c r="HH433" s="12" t="s">
        <v>319</v>
      </c>
      <c r="HI433" s="12"/>
      <c r="HJ433" s="12"/>
      <c r="HK433" s="12" t="s">
        <v>319</v>
      </c>
      <c r="HL433" s="12" t="s">
        <v>319</v>
      </c>
      <c r="HM433" s="12"/>
      <c r="HN433" s="12"/>
      <c r="HO433" s="12" t="s">
        <v>7577</v>
      </c>
      <c r="HP433" s="12" t="s">
        <v>418</v>
      </c>
      <c r="HQ433" s="12" t="s">
        <v>319</v>
      </c>
      <c r="HR433" s="12" t="s">
        <v>319</v>
      </c>
      <c r="HS433" s="12" t="s">
        <v>320</v>
      </c>
      <c r="HT433" s="12" t="s">
        <v>319</v>
      </c>
      <c r="HU433" s="12" t="s">
        <v>320</v>
      </c>
      <c r="HV433" s="12" t="s">
        <v>319</v>
      </c>
      <c r="HW433" s="12" t="s">
        <v>319</v>
      </c>
      <c r="HX433" s="12" t="s">
        <v>319</v>
      </c>
      <c r="HY433" s="12"/>
      <c r="HZ433" s="12" t="s">
        <v>394</v>
      </c>
      <c r="IA433" s="12" t="s">
        <v>7578</v>
      </c>
      <c r="IB433" s="12" t="s">
        <v>396</v>
      </c>
      <c r="IC433" s="12" t="s">
        <v>7579</v>
      </c>
      <c r="ID433" s="12" t="s">
        <v>364</v>
      </c>
      <c r="IE433" s="12" t="s">
        <v>335</v>
      </c>
      <c r="IF433" s="12" t="s">
        <v>320</v>
      </c>
      <c r="IG433" s="12" t="s">
        <v>320</v>
      </c>
      <c r="IH433" s="12" t="s">
        <v>320</v>
      </c>
      <c r="II433" s="12" t="s">
        <v>319</v>
      </c>
      <c r="IJ433" s="12" t="str">
        <f t="shared" si="259"/>
        <v>1. Neutral</v>
      </c>
      <c r="IK433" s="12">
        <f t="shared" si="260"/>
        <v>3</v>
      </c>
      <c r="IL433" s="11" t="s">
        <v>621</v>
      </c>
      <c r="IM433" s="12" t="s">
        <v>320</v>
      </c>
      <c r="IN433" s="12" t="s">
        <v>320</v>
      </c>
      <c r="IO433" s="12" t="s">
        <v>320</v>
      </c>
      <c r="IP433" s="12" t="s">
        <v>319</v>
      </c>
      <c r="IQ433" s="12" t="str">
        <f t="shared" si="261"/>
        <v>3. Responsive</v>
      </c>
      <c r="IR433" s="12">
        <f t="shared" si="262"/>
        <v>3</v>
      </c>
      <c r="IS433" s="12" t="s">
        <v>456</v>
      </c>
      <c r="IT433" s="12" t="s">
        <v>320</v>
      </c>
      <c r="IU433" s="12" t="s">
        <v>319</v>
      </c>
      <c r="IV433" s="12" t="s">
        <v>320</v>
      </c>
      <c r="IW433" s="11" t="str">
        <f t="shared" si="263"/>
        <v>0. Harmful</v>
      </c>
      <c r="IX433" s="12">
        <f t="shared" si="264"/>
        <v>2</v>
      </c>
      <c r="IY433" s="12" t="s">
        <v>419</v>
      </c>
      <c r="IZ433" s="12" t="s">
        <v>457</v>
      </c>
      <c r="JA433" s="12">
        <v>4</v>
      </c>
      <c r="JB433" s="12" t="s">
        <v>433</v>
      </c>
      <c r="JC433" s="12" t="s">
        <v>831</v>
      </c>
      <c r="JD433" s="12" t="s">
        <v>623</v>
      </c>
      <c r="JE433" s="12" t="s">
        <v>340</v>
      </c>
      <c r="JF433" s="12" t="s">
        <v>7580</v>
      </c>
      <c r="JG433" s="12" t="s">
        <v>7581</v>
      </c>
      <c r="JH433" s="12" t="s">
        <v>7582</v>
      </c>
      <c r="JI433" s="12" t="s">
        <v>7583</v>
      </c>
      <c r="JJ433" s="12"/>
      <c r="JK433" s="12" t="s">
        <v>7584</v>
      </c>
      <c r="JL433" s="12" t="s">
        <v>7585</v>
      </c>
      <c r="JM433" s="12"/>
      <c r="JN433" s="12" t="s">
        <v>7586</v>
      </c>
      <c r="JO433" s="12" t="s">
        <v>7587</v>
      </c>
      <c r="JP433" s="15">
        <f t="shared" si="265"/>
        <v>168</v>
      </c>
      <c r="JQ433" s="15">
        <f t="shared" si="266"/>
        <v>0</v>
      </c>
      <c r="JR433" s="279">
        <f t="shared" si="267"/>
        <v>0</v>
      </c>
      <c r="JS433" s="17">
        <f t="shared" si="268"/>
        <v>0.45238095238095238</v>
      </c>
      <c r="JT433" s="18" t="str">
        <f t="shared" si="269"/>
        <v/>
      </c>
      <c r="JU433" s="280">
        <f t="shared" si="270"/>
        <v>76</v>
      </c>
      <c r="JV433" s="280">
        <f t="shared" si="271"/>
        <v>0</v>
      </c>
      <c r="JW433" s="319">
        <f t="shared" si="272"/>
        <v>1</v>
      </c>
      <c r="JX433" s="15">
        <f t="shared" si="273"/>
        <v>0</v>
      </c>
      <c r="JY433" s="15">
        <f t="shared" si="274"/>
        <v>0</v>
      </c>
      <c r="JZ433" s="19" t="str">
        <f t="shared" si="275"/>
        <v/>
      </c>
      <c r="KA433" s="52">
        <f t="shared" si="276"/>
        <v>1</v>
      </c>
      <c r="KB433" s="15">
        <f t="shared" si="277"/>
        <v>168</v>
      </c>
      <c r="KC433" s="15">
        <f t="shared" si="278"/>
        <v>2000</v>
      </c>
      <c r="KD433" s="20">
        <f t="shared" si="279"/>
        <v>11.904761904761905</v>
      </c>
      <c r="KE433" s="52" t="str">
        <f t="shared" si="280"/>
        <v/>
      </c>
      <c r="KF433" s="15">
        <f t="shared" si="281"/>
        <v>0</v>
      </c>
      <c r="KG433" s="15">
        <f t="shared" si="282"/>
        <v>0</v>
      </c>
      <c r="KH433" s="21" t="str">
        <f t="shared" si="283"/>
        <v/>
      </c>
      <c r="KI433" s="52" t="str">
        <f t="shared" si="284"/>
        <v/>
      </c>
      <c r="KJ433" s="15">
        <f t="shared" si="285"/>
        <v>0</v>
      </c>
      <c r="KK433" s="15">
        <f t="shared" si="286"/>
        <v>0</v>
      </c>
      <c r="KL433" s="19" t="str">
        <f t="shared" si="287"/>
        <v/>
      </c>
      <c r="KM433" s="52" t="str">
        <f t="shared" si="288"/>
        <v/>
      </c>
      <c r="KN433" s="22">
        <f t="shared" si="289"/>
        <v>0</v>
      </c>
      <c r="KO433" s="22">
        <f t="shared" si="290"/>
        <v>0</v>
      </c>
      <c r="KP433" s="19" t="str">
        <f t="shared" si="291"/>
        <v/>
      </c>
      <c r="KQ433" s="11" t="str">
        <f t="shared" si="292"/>
        <v>1. Neutral</v>
      </c>
      <c r="KR433" s="11" t="str">
        <f t="shared" si="293"/>
        <v>3. Responsive</v>
      </c>
      <c r="KS433" s="11" t="str">
        <f t="shared" si="294"/>
        <v>0. Harmful</v>
      </c>
      <c r="KT433" s="11" t="str">
        <f t="shared" si="295"/>
        <v>It tested new ways for fighting poverty, but did not measure results of innovation</v>
      </c>
      <c r="KU433" s="11" t="str">
        <f t="shared" si="296"/>
        <v>Little or no advocacy</v>
      </c>
      <c r="KV433" s="11" t="str">
        <f t="shared" si="297"/>
        <v>It linked and worked with strategic alliances and partners to take tested and effective solutions to scale</v>
      </c>
      <c r="KW433" s="11" t="str">
        <f t="shared" si="298"/>
        <v>Malawi - CSC CONSULTING GROUP - SCALING COMMUNITY SCORE CARD</v>
      </c>
      <c r="KX433" s="11" t="str">
        <f t="shared" si="299"/>
        <v>CSC CONSULTING GROUP - SCALING COMMUNITY SCORE CARD</v>
      </c>
      <c r="KY433" s="11" t="str">
        <f t="shared" si="300"/>
        <v>Malawi</v>
      </c>
      <c r="KZ433" s="12">
        <v>433</v>
      </c>
    </row>
    <row r="434" spans="1:312" x14ac:dyDescent="0.3">
      <c r="A434" s="12" t="s">
        <v>7451</v>
      </c>
      <c r="B434" s="12" t="s">
        <v>7217</v>
      </c>
      <c r="C434" s="12"/>
      <c r="D434" s="12" t="s">
        <v>7588</v>
      </c>
      <c r="E434" s="277" t="str">
        <f t="shared" si="258"/>
        <v>Malawi</v>
      </c>
      <c r="F434" s="12" t="s">
        <v>7589</v>
      </c>
      <c r="G434" s="12" t="s">
        <v>379</v>
      </c>
      <c r="H434" s="12" t="s">
        <v>384</v>
      </c>
      <c r="I434" s="12" t="s">
        <v>384</v>
      </c>
      <c r="J434" s="281" t="s">
        <v>7590</v>
      </c>
      <c r="K434" s="12"/>
      <c r="L434" s="12"/>
      <c r="M434" s="12"/>
      <c r="N434" s="12"/>
      <c r="O434" s="12"/>
      <c r="P434" s="12"/>
      <c r="Q434" s="12"/>
      <c r="R434" s="12"/>
      <c r="S434" s="12"/>
      <c r="T434" s="12"/>
      <c r="U434" s="12"/>
      <c r="V434" s="12"/>
      <c r="W434" s="12"/>
      <c r="X434" s="12"/>
      <c r="Y434" s="12"/>
      <c r="Z434" s="12"/>
      <c r="AA434" s="12"/>
      <c r="AB434" s="12"/>
      <c r="AC434" s="12"/>
      <c r="AD434" s="12"/>
      <c r="BD434" s="13">
        <v>42736</v>
      </c>
      <c r="BE434" s="13">
        <v>43497</v>
      </c>
      <c r="BF434" s="12"/>
      <c r="BG434" s="12" t="s">
        <v>749</v>
      </c>
      <c r="BH434" s="14">
        <v>40000</v>
      </c>
      <c r="BI434" s="12" t="s">
        <v>7454</v>
      </c>
      <c r="BJ434" s="12" t="s">
        <v>354</v>
      </c>
      <c r="BK434" s="12" t="s">
        <v>7591</v>
      </c>
      <c r="BL434" s="12" t="s">
        <v>7456</v>
      </c>
      <c r="BM434" s="12" t="s">
        <v>3532</v>
      </c>
      <c r="BN434" s="12" t="s">
        <v>7458</v>
      </c>
      <c r="BO434" s="12" t="s">
        <v>319</v>
      </c>
      <c r="BP434" s="12" t="s">
        <v>320</v>
      </c>
      <c r="BQ434" s="12" t="s">
        <v>319</v>
      </c>
      <c r="BR434" s="12" t="s">
        <v>7592</v>
      </c>
      <c r="BS434" s="12" t="s">
        <v>615</v>
      </c>
      <c r="BT434" s="12" t="s">
        <v>7593</v>
      </c>
      <c r="BU434" s="12" t="s">
        <v>7594</v>
      </c>
      <c r="BV434" s="14">
        <v>3600</v>
      </c>
      <c r="BW434" s="14">
        <v>900</v>
      </c>
      <c r="BX434" s="14">
        <v>4500</v>
      </c>
      <c r="BY434" s="14">
        <v>18000</v>
      </c>
      <c r="BZ434" s="14">
        <v>4500</v>
      </c>
      <c r="CA434" s="14">
        <v>22500</v>
      </c>
      <c r="CB434" s="12" t="s">
        <v>7595</v>
      </c>
      <c r="CD434" s="14"/>
      <c r="CE434" s="14"/>
      <c r="CF434" s="14"/>
      <c r="CG434" s="14"/>
      <c r="CH434" s="14"/>
      <c r="CI434" s="14"/>
      <c r="CJ434" s="12"/>
      <c r="CK434" s="14"/>
      <c r="CL434" s="16"/>
      <c r="CM434" s="14"/>
      <c r="CN434" s="12"/>
      <c r="CO434" s="14"/>
      <c r="CP434" s="16"/>
      <c r="CQ434" s="14"/>
      <c r="CR434" s="12"/>
      <c r="CS434" s="14"/>
      <c r="CT434" s="16"/>
      <c r="CU434" s="14"/>
      <c r="CV434" s="12"/>
      <c r="CW434" s="14"/>
      <c r="CX434" s="16"/>
      <c r="CY434" s="14"/>
      <c r="CZ434" s="12"/>
      <c r="DA434" s="14"/>
      <c r="DB434" s="16"/>
      <c r="DC434" s="14"/>
      <c r="DD434" s="12"/>
      <c r="DE434" s="14"/>
      <c r="DF434" s="16"/>
      <c r="DG434" s="14"/>
      <c r="DH434" s="12"/>
      <c r="DI434" s="14"/>
      <c r="DJ434" s="16"/>
      <c r="DK434" s="14"/>
      <c r="DL434" s="12"/>
      <c r="DM434" s="14"/>
      <c r="DN434" s="16"/>
      <c r="DO434" s="14"/>
      <c r="DP434" s="12"/>
      <c r="DQ434" s="14"/>
      <c r="DR434" s="16"/>
      <c r="DS434" s="14"/>
      <c r="DT434" s="12"/>
      <c r="DU434" s="14"/>
      <c r="DV434" s="16"/>
      <c r="DW434" s="14"/>
      <c r="DX434" s="12"/>
      <c r="DY434" s="14"/>
      <c r="DZ434" s="16"/>
      <c r="EA434" s="14"/>
      <c r="EB434" s="12"/>
      <c r="EC434" s="14"/>
      <c r="ED434" s="16"/>
      <c r="EE434" s="14"/>
      <c r="EF434" s="12"/>
      <c r="EG434" s="12"/>
      <c r="EH434" s="14"/>
      <c r="EI434" s="16"/>
      <c r="EJ434" s="14"/>
      <c r="EK434" s="14">
        <v>3600</v>
      </c>
      <c r="EL434" s="14">
        <v>900</v>
      </c>
      <c r="EM434" s="14">
        <v>4500</v>
      </c>
      <c r="EN434" s="14">
        <v>18000</v>
      </c>
      <c r="EO434" s="14">
        <v>4500</v>
      </c>
      <c r="EP434" s="14">
        <v>22500</v>
      </c>
      <c r="EQ434" s="12" t="s">
        <v>320</v>
      </c>
      <c r="ER434" s="14">
        <v>2600</v>
      </c>
      <c r="ES434" s="16">
        <v>0.8</v>
      </c>
      <c r="ET434" s="14">
        <v>1300</v>
      </c>
      <c r="EU434" s="11" t="s">
        <v>320</v>
      </c>
      <c r="EV434" s="14">
        <v>2600</v>
      </c>
      <c r="EW434" s="16">
        <v>0.8</v>
      </c>
      <c r="EX434" s="14">
        <v>1300</v>
      </c>
      <c r="EY434" s="12" t="s">
        <v>319</v>
      </c>
      <c r="EZ434" s="14"/>
      <c r="FA434" s="16"/>
      <c r="FB434" s="14"/>
      <c r="FC434" s="12" t="s">
        <v>319</v>
      </c>
      <c r="FD434" s="14"/>
      <c r="FE434" s="16"/>
      <c r="FF434" s="14"/>
      <c r="FG434" s="12" t="s">
        <v>320</v>
      </c>
      <c r="FH434" s="14">
        <v>3600</v>
      </c>
      <c r="FI434" s="16">
        <v>0.8</v>
      </c>
      <c r="FJ434" s="14">
        <v>1800</v>
      </c>
      <c r="FK434" s="12" t="s">
        <v>319</v>
      </c>
      <c r="FL434" s="14"/>
      <c r="FM434" s="16"/>
      <c r="FN434" s="14"/>
      <c r="FO434" s="12" t="s">
        <v>320</v>
      </c>
      <c r="FP434" s="14">
        <v>3600</v>
      </c>
      <c r="FQ434" s="16">
        <v>0.8</v>
      </c>
      <c r="FR434" s="14">
        <v>1800</v>
      </c>
      <c r="FS434" s="12" t="s">
        <v>320</v>
      </c>
      <c r="FT434" s="14">
        <v>3600</v>
      </c>
      <c r="FU434" s="16">
        <v>0.8</v>
      </c>
      <c r="FV434" s="14">
        <v>1800</v>
      </c>
      <c r="FW434" s="11" t="s">
        <v>320</v>
      </c>
      <c r="FX434" s="14">
        <v>3600</v>
      </c>
      <c r="FY434" s="16">
        <v>0.8</v>
      </c>
      <c r="FZ434" s="14">
        <v>1800</v>
      </c>
      <c r="GA434" s="12" t="s">
        <v>319</v>
      </c>
      <c r="GB434" s="14"/>
      <c r="GC434" s="16"/>
      <c r="GD434" s="14"/>
      <c r="GE434" s="12" t="s">
        <v>319</v>
      </c>
      <c r="GF434" s="14"/>
      <c r="GG434" s="16"/>
      <c r="GH434" s="14"/>
      <c r="GI434" s="11" t="s">
        <v>320</v>
      </c>
      <c r="GJ434" s="14">
        <v>2600</v>
      </c>
      <c r="GK434" s="16">
        <v>0.8</v>
      </c>
      <c r="GL434" s="14">
        <v>1300</v>
      </c>
      <c r="GM434" s="11" t="s">
        <v>320</v>
      </c>
      <c r="GN434" s="14">
        <v>2600</v>
      </c>
      <c r="GO434" s="16">
        <v>0.8</v>
      </c>
      <c r="GP434" s="14">
        <v>1300</v>
      </c>
      <c r="GQ434" s="12" t="s">
        <v>319</v>
      </c>
      <c r="GR434" s="14"/>
      <c r="GS434" s="16"/>
      <c r="GT434" s="14"/>
      <c r="GU434" s="12" t="s">
        <v>319</v>
      </c>
      <c r="GV434" s="14"/>
      <c r="GW434" s="16"/>
      <c r="GX434" s="14"/>
      <c r="GY434" s="11" t="s">
        <v>320</v>
      </c>
      <c r="GZ434" s="14">
        <v>3600</v>
      </c>
      <c r="HA434" s="16">
        <v>0.8</v>
      </c>
      <c r="HB434" s="14">
        <v>1800</v>
      </c>
      <c r="HC434" s="12"/>
      <c r="HD434" s="12" t="s">
        <v>319</v>
      </c>
      <c r="HE434" s="14"/>
      <c r="HF434" s="16"/>
      <c r="HG434" s="14"/>
      <c r="HH434" s="12" t="s">
        <v>319</v>
      </c>
      <c r="HI434" s="12"/>
      <c r="HJ434" s="12"/>
      <c r="HK434" s="12" t="s">
        <v>319</v>
      </c>
      <c r="HL434" s="12" t="s">
        <v>319</v>
      </c>
      <c r="HM434" s="12"/>
      <c r="HN434" s="12"/>
      <c r="HO434" s="12"/>
      <c r="HP434" s="12" t="s">
        <v>418</v>
      </c>
      <c r="HQ434" s="12" t="s">
        <v>319</v>
      </c>
      <c r="HR434" s="12" t="s">
        <v>319</v>
      </c>
      <c r="HS434" s="12" t="s">
        <v>319</v>
      </c>
      <c r="HT434" s="12" t="s">
        <v>319</v>
      </c>
      <c r="HU434" s="12" t="s">
        <v>319</v>
      </c>
      <c r="HV434" s="12" t="s">
        <v>319</v>
      </c>
      <c r="HW434" s="12" t="s">
        <v>319</v>
      </c>
      <c r="HX434" s="12" t="s">
        <v>319</v>
      </c>
      <c r="HY434" s="12"/>
      <c r="HZ434" s="12" t="s">
        <v>394</v>
      </c>
      <c r="IA434" s="12" t="s">
        <v>7596</v>
      </c>
      <c r="IB434" s="12" t="s">
        <v>396</v>
      </c>
      <c r="IC434" s="12" t="s">
        <v>7597</v>
      </c>
      <c r="ID434" s="12" t="s">
        <v>334</v>
      </c>
      <c r="IE434" s="12" t="s">
        <v>478</v>
      </c>
      <c r="IF434" s="12" t="s">
        <v>320</v>
      </c>
      <c r="IG434" s="12" t="s">
        <v>320</v>
      </c>
      <c r="IH434" s="12" t="s">
        <v>320</v>
      </c>
      <c r="II434" s="12" t="s">
        <v>320</v>
      </c>
      <c r="IJ434" s="12" t="str">
        <f t="shared" si="259"/>
        <v>4. Transformative</v>
      </c>
      <c r="IK434" s="12">
        <f t="shared" si="260"/>
        <v>4</v>
      </c>
      <c r="IL434" s="12" t="s">
        <v>336</v>
      </c>
      <c r="IM434" s="12" t="s">
        <v>319</v>
      </c>
      <c r="IN434" s="12" t="s">
        <v>320</v>
      </c>
      <c r="IO434" s="12" t="s">
        <v>320</v>
      </c>
      <c r="IP434" s="12" t="s">
        <v>319</v>
      </c>
      <c r="IQ434" s="12" t="str">
        <f t="shared" si="261"/>
        <v>1. Tokenistic</v>
      </c>
      <c r="IR434" s="12">
        <f t="shared" si="262"/>
        <v>2</v>
      </c>
      <c r="IS434" s="12" t="s">
        <v>337</v>
      </c>
      <c r="IT434" s="12" t="s">
        <v>320</v>
      </c>
      <c r="IU434" s="12" t="s">
        <v>320</v>
      </c>
      <c r="IV434" s="12" t="s">
        <v>320</v>
      </c>
      <c r="IW434" s="11" t="str">
        <f t="shared" si="263"/>
        <v>2. Sensitive</v>
      </c>
      <c r="IX434" s="12">
        <f t="shared" si="264"/>
        <v>3</v>
      </c>
      <c r="IY434" s="12" t="s">
        <v>419</v>
      </c>
      <c r="IZ434" s="12" t="s">
        <v>339</v>
      </c>
      <c r="JA434" s="12"/>
      <c r="JB434" s="12"/>
      <c r="JC434" s="12"/>
      <c r="JD434" s="12"/>
      <c r="JE434" s="12" t="s">
        <v>420</v>
      </c>
      <c r="JF434" s="12"/>
      <c r="JG434" s="12"/>
      <c r="JH434" s="12" t="s">
        <v>7598</v>
      </c>
      <c r="JI434" s="12"/>
      <c r="JJ434" s="12"/>
      <c r="JK434" s="12"/>
      <c r="JL434" s="12"/>
      <c r="JM434" s="12"/>
      <c r="JN434" s="12" t="s">
        <v>7599</v>
      </c>
      <c r="JO434" s="12" t="s">
        <v>7600</v>
      </c>
      <c r="JP434" s="15">
        <f t="shared" si="265"/>
        <v>4500</v>
      </c>
      <c r="JQ434" s="15">
        <f t="shared" si="266"/>
        <v>22500</v>
      </c>
      <c r="JR434" s="279">
        <f t="shared" si="267"/>
        <v>5</v>
      </c>
      <c r="JS434" s="17">
        <f t="shared" si="268"/>
        <v>0.8</v>
      </c>
      <c r="JT434" s="18">
        <f t="shared" si="269"/>
        <v>0.8</v>
      </c>
      <c r="JU434" s="280">
        <f t="shared" si="270"/>
        <v>3600</v>
      </c>
      <c r="JV434" s="280">
        <f t="shared" si="271"/>
        <v>18000</v>
      </c>
      <c r="JW434" s="319" t="str">
        <f t="shared" si="272"/>
        <v/>
      </c>
      <c r="JX434" s="15">
        <f t="shared" si="273"/>
        <v>0</v>
      </c>
      <c r="JY434" s="15">
        <f t="shared" si="274"/>
        <v>0</v>
      </c>
      <c r="JZ434" s="19" t="str">
        <f t="shared" si="275"/>
        <v/>
      </c>
      <c r="KA434" s="52">
        <f t="shared" si="276"/>
        <v>1</v>
      </c>
      <c r="KB434" s="15">
        <f t="shared" si="277"/>
        <v>3600</v>
      </c>
      <c r="KC434" s="15">
        <f t="shared" si="278"/>
        <v>1800</v>
      </c>
      <c r="KD434" s="20">
        <f t="shared" si="279"/>
        <v>0.5</v>
      </c>
      <c r="KE434" s="52" t="str">
        <f t="shared" si="280"/>
        <v/>
      </c>
      <c r="KF434" s="15">
        <f t="shared" si="281"/>
        <v>0</v>
      </c>
      <c r="KG434" s="15">
        <f t="shared" si="282"/>
        <v>0</v>
      </c>
      <c r="KH434" s="21" t="str">
        <f t="shared" si="283"/>
        <v/>
      </c>
      <c r="KI434" s="52">
        <f t="shared" si="284"/>
        <v>1</v>
      </c>
      <c r="KJ434" s="15">
        <f t="shared" si="285"/>
        <v>3600</v>
      </c>
      <c r="KK434" s="15">
        <f t="shared" si="286"/>
        <v>1800</v>
      </c>
      <c r="KL434" s="19">
        <f t="shared" si="287"/>
        <v>0.5</v>
      </c>
      <c r="KM434" s="52">
        <f t="shared" si="288"/>
        <v>1</v>
      </c>
      <c r="KN434" s="22">
        <f t="shared" si="289"/>
        <v>3600</v>
      </c>
      <c r="KO434" s="22">
        <f t="shared" si="290"/>
        <v>1800</v>
      </c>
      <c r="KP434" s="19">
        <f t="shared" si="291"/>
        <v>0.5</v>
      </c>
      <c r="KQ434" s="11" t="str">
        <f t="shared" si="292"/>
        <v>4. Transformative</v>
      </c>
      <c r="KR434" s="11" t="str">
        <f t="shared" si="293"/>
        <v>1. Tokenistic</v>
      </c>
      <c r="KS434" s="11" t="str">
        <f t="shared" si="294"/>
        <v>2. Sensitive</v>
      </c>
      <c r="KT434" s="11" t="str">
        <f t="shared" si="295"/>
        <v>It tested new ways for fighting poverty, but did not measure results of innovation</v>
      </c>
      <c r="KU434" s="11" t="str">
        <f t="shared" si="296"/>
        <v>Little or no advocacy</v>
      </c>
      <c r="KV434" s="11" t="str">
        <f t="shared" si="297"/>
        <v>It linked and worked with strategic alliances and partners to take tested and effective solutions to scale</v>
      </c>
      <c r="KW434" s="11" t="str">
        <f t="shared" si="298"/>
        <v>Malawi - Developing Local Extension Capacity (DLEC)</v>
      </c>
      <c r="KX434" s="11" t="str">
        <f t="shared" si="299"/>
        <v>Developing Local Extension Capacity (DLEC)</v>
      </c>
      <c r="KY434" s="11" t="str">
        <f t="shared" si="300"/>
        <v>Malawi</v>
      </c>
      <c r="KZ434" s="12">
        <v>434</v>
      </c>
    </row>
    <row r="435" spans="1:312" x14ac:dyDescent="0.3">
      <c r="A435" s="12" t="s">
        <v>7451</v>
      </c>
      <c r="B435" s="12" t="s">
        <v>7217</v>
      </c>
      <c r="C435" s="12"/>
      <c r="D435" s="12" t="s">
        <v>7474</v>
      </c>
      <c r="E435" s="24" t="str">
        <f t="shared" si="258"/>
        <v>Malawi</v>
      </c>
      <c r="F435" s="12" t="s">
        <v>7475</v>
      </c>
      <c r="G435" s="12" t="s">
        <v>376</v>
      </c>
      <c r="H435" s="12" t="s">
        <v>310</v>
      </c>
      <c r="I435" s="12" t="s">
        <v>377</v>
      </c>
      <c r="J435" s="278" t="s">
        <v>14564</v>
      </c>
      <c r="K435" s="12"/>
      <c r="L435" s="12"/>
      <c r="M435" s="12"/>
      <c r="N435" s="12"/>
      <c r="O435" s="12"/>
      <c r="P435" s="12"/>
      <c r="Q435" s="12"/>
      <c r="R435" s="12"/>
      <c r="S435" s="12"/>
      <c r="T435" s="12"/>
      <c r="U435" s="12"/>
      <c r="V435" s="12"/>
      <c r="W435" s="12"/>
      <c r="X435" s="12"/>
      <c r="Y435" s="12"/>
      <c r="Z435" s="12"/>
      <c r="AA435" s="12"/>
      <c r="AB435" s="12"/>
      <c r="AC435" s="12"/>
      <c r="AD435" s="12"/>
      <c r="BD435" s="13">
        <v>42705</v>
      </c>
      <c r="BE435" s="13">
        <v>43069</v>
      </c>
      <c r="BF435" s="12"/>
      <c r="BG435" s="12" t="s">
        <v>908</v>
      </c>
      <c r="BH435" s="14">
        <v>527786</v>
      </c>
      <c r="BI435" s="12" t="s">
        <v>7476</v>
      </c>
      <c r="BJ435" s="12" t="s">
        <v>7477</v>
      </c>
      <c r="BK435" s="12" t="s">
        <v>7478</v>
      </c>
      <c r="BL435" s="12" t="s">
        <v>7479</v>
      </c>
      <c r="BM435" s="12" t="s">
        <v>7480</v>
      </c>
      <c r="BN435" s="12" t="s">
        <v>7481</v>
      </c>
      <c r="BO435" s="12" t="s">
        <v>320</v>
      </c>
      <c r="BP435" s="12" t="s">
        <v>319</v>
      </c>
      <c r="BQ435" s="12" t="s">
        <v>319</v>
      </c>
      <c r="BR435" s="12" t="s">
        <v>7482</v>
      </c>
      <c r="BS435" s="12" t="s">
        <v>357</v>
      </c>
      <c r="BT435" s="12" t="s">
        <v>7483</v>
      </c>
      <c r="BU435" s="12" t="s">
        <v>7484</v>
      </c>
      <c r="BV435" s="14">
        <v>10900</v>
      </c>
      <c r="BW435" s="14">
        <v>10900</v>
      </c>
      <c r="BX435" s="14">
        <v>21800</v>
      </c>
      <c r="BY435" s="14">
        <v>4400</v>
      </c>
      <c r="BZ435" s="14">
        <v>4400</v>
      </c>
      <c r="CA435" s="14">
        <v>8800</v>
      </c>
      <c r="CB435" s="12" t="s">
        <v>7485</v>
      </c>
      <c r="CD435" s="14">
        <v>10900</v>
      </c>
      <c r="CE435" s="14">
        <v>10900</v>
      </c>
      <c r="CF435" s="14">
        <v>21800</v>
      </c>
      <c r="CG435" s="14">
        <v>4400</v>
      </c>
      <c r="CH435" s="14">
        <v>4400</v>
      </c>
      <c r="CI435" s="14">
        <v>8800</v>
      </c>
      <c r="CJ435" s="12" t="s">
        <v>319</v>
      </c>
      <c r="CK435" s="14"/>
      <c r="CL435" s="16"/>
      <c r="CM435" s="14"/>
      <c r="CN435" s="12" t="s">
        <v>320</v>
      </c>
      <c r="CO435" s="14">
        <v>19800</v>
      </c>
      <c r="CP435" s="16">
        <v>0.84699999999999998</v>
      </c>
      <c r="CQ435" s="14"/>
      <c r="CR435" s="12" t="s">
        <v>319</v>
      </c>
      <c r="CS435" s="14"/>
      <c r="CT435" s="16"/>
      <c r="CU435" s="14"/>
      <c r="CV435" s="12" t="s">
        <v>320</v>
      </c>
      <c r="CW435" s="14">
        <v>2000</v>
      </c>
      <c r="CX435" s="16">
        <v>0.52</v>
      </c>
      <c r="CY435" s="14">
        <v>8800</v>
      </c>
      <c r="CZ435" s="12" t="s">
        <v>320</v>
      </c>
      <c r="DA435" s="14">
        <v>4500</v>
      </c>
      <c r="DB435" s="16">
        <v>0.85</v>
      </c>
      <c r="DC435" s="14">
        <v>19800</v>
      </c>
      <c r="DD435" s="11" t="s">
        <v>320</v>
      </c>
      <c r="DE435" s="14">
        <v>4500</v>
      </c>
      <c r="DF435" s="16">
        <v>0.85</v>
      </c>
      <c r="DG435" s="14">
        <v>19800</v>
      </c>
      <c r="DH435" s="12" t="s">
        <v>319</v>
      </c>
      <c r="DI435" s="14"/>
      <c r="DJ435" s="16"/>
      <c r="DK435" s="14"/>
      <c r="DL435" s="11" t="s">
        <v>320</v>
      </c>
      <c r="DM435" s="14">
        <v>2000</v>
      </c>
      <c r="DN435" s="16">
        <v>0.52</v>
      </c>
      <c r="DO435" s="14">
        <v>8800</v>
      </c>
      <c r="DP435" s="12" t="s">
        <v>319</v>
      </c>
      <c r="DQ435" s="14"/>
      <c r="DR435" s="16"/>
      <c r="DS435" s="14"/>
      <c r="DT435" s="12" t="s">
        <v>319</v>
      </c>
      <c r="DU435" s="14"/>
      <c r="DV435" s="16"/>
      <c r="DW435" s="14"/>
      <c r="DX435" s="12" t="s">
        <v>319</v>
      </c>
      <c r="DY435" s="14"/>
      <c r="DZ435" s="16"/>
      <c r="EA435" s="14"/>
      <c r="EB435" s="12" t="s">
        <v>319</v>
      </c>
      <c r="EC435" s="14"/>
      <c r="ED435" s="16"/>
      <c r="EE435" s="14"/>
      <c r="EF435" s="12"/>
      <c r="EG435" s="12"/>
      <c r="EH435" s="14"/>
      <c r="EI435" s="16"/>
      <c r="EJ435" s="14"/>
      <c r="EK435" s="14"/>
      <c r="EL435" s="14"/>
      <c r="EM435" s="14"/>
      <c r="EN435" s="14"/>
      <c r="EO435" s="14"/>
      <c r="EP435" s="14"/>
      <c r="EQ435" s="12"/>
      <c r="ER435" s="14"/>
      <c r="ES435" s="16"/>
      <c r="ET435" s="14"/>
      <c r="EU435" s="12"/>
      <c r="EV435" s="14"/>
      <c r="EW435" s="16"/>
      <c r="EX435" s="14"/>
      <c r="EY435" s="12"/>
      <c r="EZ435" s="14"/>
      <c r="FA435" s="16"/>
      <c r="FB435" s="14"/>
      <c r="FC435" s="12"/>
      <c r="FD435" s="14"/>
      <c r="FE435" s="16"/>
      <c r="FF435" s="14"/>
      <c r="FG435" s="12"/>
      <c r="FH435" s="14"/>
      <c r="FI435" s="16"/>
      <c r="FJ435" s="14"/>
      <c r="FK435" s="12"/>
      <c r="FL435" s="14"/>
      <c r="FM435" s="16"/>
      <c r="FN435" s="14"/>
      <c r="FO435" s="12"/>
      <c r="FP435" s="14"/>
      <c r="FQ435" s="16"/>
      <c r="FR435" s="14"/>
      <c r="FS435" s="12"/>
      <c r="FT435" s="14"/>
      <c r="FU435" s="16"/>
      <c r="FV435" s="14"/>
      <c r="FW435" s="12"/>
      <c r="FX435" s="14"/>
      <c r="FY435" s="16"/>
      <c r="FZ435" s="14"/>
      <c r="GA435" s="12"/>
      <c r="GB435" s="14"/>
      <c r="GC435" s="16"/>
      <c r="GD435" s="14"/>
      <c r="GE435" s="12"/>
      <c r="GF435" s="14"/>
      <c r="GG435" s="16"/>
      <c r="GH435" s="14"/>
      <c r="GI435" s="12"/>
      <c r="GJ435" s="14"/>
      <c r="GK435" s="16"/>
      <c r="GL435" s="14"/>
      <c r="GM435" s="12"/>
      <c r="GN435" s="14"/>
      <c r="GO435" s="16"/>
      <c r="GP435" s="14"/>
      <c r="GQ435" s="12"/>
      <c r="GR435" s="14"/>
      <c r="GS435" s="16"/>
      <c r="GT435" s="14"/>
      <c r="GU435" s="12"/>
      <c r="GV435" s="14"/>
      <c r="GW435" s="16"/>
      <c r="GX435" s="14"/>
      <c r="GY435" s="12"/>
      <c r="GZ435" s="14"/>
      <c r="HA435" s="16"/>
      <c r="HB435" s="14"/>
      <c r="HC435" s="12"/>
      <c r="HD435" s="12"/>
      <c r="HE435" s="14"/>
      <c r="HF435" s="16"/>
      <c r="HG435" s="14"/>
      <c r="HH435" s="12" t="s">
        <v>320</v>
      </c>
      <c r="HI435" s="12" t="s">
        <v>560</v>
      </c>
      <c r="HJ435" s="12">
        <v>2017</v>
      </c>
      <c r="HK435" s="12" t="s">
        <v>320</v>
      </c>
      <c r="HL435" s="12" t="s">
        <v>320</v>
      </c>
      <c r="HM435" s="12" t="s">
        <v>328</v>
      </c>
      <c r="HN435" s="12">
        <v>2017</v>
      </c>
      <c r="HO435" s="12" t="s">
        <v>7486</v>
      </c>
      <c r="HP435" s="12" t="s">
        <v>418</v>
      </c>
      <c r="HQ435" s="12" t="s">
        <v>319</v>
      </c>
      <c r="HR435" s="12" t="s">
        <v>319</v>
      </c>
      <c r="HS435" s="12" t="s">
        <v>319</v>
      </c>
      <c r="HT435" s="12" t="s">
        <v>319</v>
      </c>
      <c r="HU435" s="12" t="s">
        <v>319</v>
      </c>
      <c r="HV435" s="12" t="s">
        <v>319</v>
      </c>
      <c r="HW435" s="12" t="s">
        <v>319</v>
      </c>
      <c r="HX435" s="12" t="s">
        <v>319</v>
      </c>
      <c r="HY435" s="12"/>
      <c r="HZ435" s="12" t="s">
        <v>363</v>
      </c>
      <c r="IA435" s="12"/>
      <c r="IB435" s="12" t="s">
        <v>333</v>
      </c>
      <c r="IC435" s="12"/>
      <c r="ID435" s="12" t="s">
        <v>334</v>
      </c>
      <c r="IE435" s="12" t="s">
        <v>335</v>
      </c>
      <c r="IF435" s="12" t="s">
        <v>320</v>
      </c>
      <c r="IG435" s="12" t="s">
        <v>320</v>
      </c>
      <c r="IH435" s="12" t="s">
        <v>320</v>
      </c>
      <c r="II435" s="12" t="s">
        <v>320</v>
      </c>
      <c r="IJ435" s="12" t="str">
        <f t="shared" si="259"/>
        <v>2. Sensitive</v>
      </c>
      <c r="IK435" s="12">
        <f t="shared" si="260"/>
        <v>4</v>
      </c>
      <c r="IL435" s="12" t="s">
        <v>336</v>
      </c>
      <c r="IM435" s="12" t="s">
        <v>320</v>
      </c>
      <c r="IN435" s="12" t="s">
        <v>320</v>
      </c>
      <c r="IO435" s="12" t="s">
        <v>320</v>
      </c>
      <c r="IP435" s="12" t="s">
        <v>320</v>
      </c>
      <c r="IQ435" s="12" t="str">
        <f t="shared" si="261"/>
        <v>2. Accommodating</v>
      </c>
      <c r="IR435" s="12">
        <f t="shared" si="262"/>
        <v>4</v>
      </c>
      <c r="IS435" s="12" t="s">
        <v>337</v>
      </c>
      <c r="IT435" s="12" t="s">
        <v>320</v>
      </c>
      <c r="IU435" s="12" t="s">
        <v>320</v>
      </c>
      <c r="IV435" s="12" t="s">
        <v>320</v>
      </c>
      <c r="IW435" s="11" t="str">
        <f t="shared" si="263"/>
        <v>2. Sensitive</v>
      </c>
      <c r="IX435" s="12">
        <f t="shared" si="264"/>
        <v>3</v>
      </c>
      <c r="IY435" s="12" t="s">
        <v>419</v>
      </c>
      <c r="IZ435" s="12" t="s">
        <v>339</v>
      </c>
      <c r="JA435" s="12"/>
      <c r="JB435" s="12"/>
      <c r="JC435" s="12"/>
      <c r="JD435" s="12"/>
      <c r="JE435" s="12" t="s">
        <v>420</v>
      </c>
      <c r="JF435" s="12"/>
      <c r="JG435" s="12" t="s">
        <v>7487</v>
      </c>
      <c r="JH435" s="12" t="s">
        <v>7488</v>
      </c>
      <c r="JI435" s="12" t="s">
        <v>7489</v>
      </c>
      <c r="JJ435" s="12"/>
      <c r="JK435" s="12" t="s">
        <v>7490</v>
      </c>
      <c r="JL435" s="12" t="s">
        <v>7491</v>
      </c>
      <c r="JM435" s="12" t="s">
        <v>7492</v>
      </c>
      <c r="JN435" s="12"/>
      <c r="JO435" s="12" t="s">
        <v>7493</v>
      </c>
      <c r="JP435" s="15">
        <f t="shared" si="265"/>
        <v>21800</v>
      </c>
      <c r="JQ435" s="15">
        <f t="shared" si="266"/>
        <v>8800</v>
      </c>
      <c r="JR435" s="279">
        <f t="shared" si="267"/>
        <v>0.40366972477064222</v>
      </c>
      <c r="JS435" s="17">
        <f t="shared" si="268"/>
        <v>0.5</v>
      </c>
      <c r="JT435" s="18">
        <f t="shared" si="269"/>
        <v>0.5</v>
      </c>
      <c r="JU435" s="280">
        <f t="shared" si="270"/>
        <v>10900</v>
      </c>
      <c r="JV435" s="280">
        <f t="shared" si="271"/>
        <v>4400</v>
      </c>
      <c r="JW435" s="319">
        <f t="shared" si="272"/>
        <v>1</v>
      </c>
      <c r="JX435" s="15">
        <f t="shared" si="273"/>
        <v>21800</v>
      </c>
      <c r="JY435" s="15">
        <f t="shared" si="274"/>
        <v>8800</v>
      </c>
      <c r="JZ435" s="19">
        <f t="shared" si="275"/>
        <v>0.40366972477064222</v>
      </c>
      <c r="KA435" s="52">
        <f t="shared" si="276"/>
        <v>1</v>
      </c>
      <c r="KB435" s="15">
        <f t="shared" si="277"/>
        <v>2000</v>
      </c>
      <c r="KC435" s="15">
        <f t="shared" si="278"/>
        <v>8800</v>
      </c>
      <c r="KD435" s="20">
        <f t="shared" si="279"/>
        <v>4.4000000000000004</v>
      </c>
      <c r="KE435" s="52" t="str">
        <f t="shared" si="280"/>
        <v/>
      </c>
      <c r="KF435" s="15">
        <f t="shared" si="281"/>
        <v>0</v>
      </c>
      <c r="KG435" s="15">
        <f t="shared" si="282"/>
        <v>0</v>
      </c>
      <c r="KH435" s="21" t="str">
        <f t="shared" si="283"/>
        <v/>
      </c>
      <c r="KI435" s="52">
        <f t="shared" si="284"/>
        <v>1</v>
      </c>
      <c r="KJ435" s="15">
        <f t="shared" si="285"/>
        <v>4500</v>
      </c>
      <c r="KK435" s="15">
        <f t="shared" si="286"/>
        <v>19800</v>
      </c>
      <c r="KL435" s="19">
        <f t="shared" si="287"/>
        <v>4.4000000000000004</v>
      </c>
      <c r="KM435" s="52" t="str">
        <f t="shared" si="288"/>
        <v/>
      </c>
      <c r="KN435" s="22">
        <f t="shared" si="289"/>
        <v>0</v>
      </c>
      <c r="KO435" s="22">
        <f t="shared" si="290"/>
        <v>0</v>
      </c>
      <c r="KP435" s="19" t="str">
        <f t="shared" si="291"/>
        <v/>
      </c>
      <c r="KQ435" s="11" t="str">
        <f t="shared" si="292"/>
        <v>2. Sensitive</v>
      </c>
      <c r="KR435" s="11" t="str">
        <f t="shared" si="293"/>
        <v>2. Accommodating</v>
      </c>
      <c r="KS435" s="11" t="str">
        <f t="shared" si="294"/>
        <v>2. Sensitive</v>
      </c>
      <c r="KT435" s="11" t="str">
        <f t="shared" si="295"/>
        <v>It did not develop any specific innovation</v>
      </c>
      <c r="KU435" s="11" t="str">
        <f t="shared" si="296"/>
        <v>Little or no advocacy</v>
      </c>
      <c r="KV435" s="11" t="str">
        <f t="shared" si="297"/>
        <v>It did not take tested solutions to scale</v>
      </c>
      <c r="KW435" s="11" t="str">
        <f t="shared" si="298"/>
        <v>Malawi - Emergency cash transfers, nutrition and livelihood assistance for chronically food insecure households in Malawi</v>
      </c>
      <c r="KX435" s="11" t="str">
        <f t="shared" si="299"/>
        <v>Emergency cash transfers, nutrition and livelihood assistance for chronically food insecure households in Malawi</v>
      </c>
      <c r="KY435" s="11" t="str">
        <f t="shared" si="300"/>
        <v>Malawi</v>
      </c>
      <c r="KZ435" s="12">
        <v>435</v>
      </c>
    </row>
    <row r="436" spans="1:312" x14ac:dyDescent="0.3">
      <c r="A436" s="12" t="s">
        <v>7451</v>
      </c>
      <c r="B436" s="12" t="s">
        <v>7217</v>
      </c>
      <c r="C436" s="12">
        <v>3116</v>
      </c>
      <c r="D436" s="12" t="s">
        <v>7793</v>
      </c>
      <c r="E436" s="277" t="str">
        <f t="shared" si="258"/>
        <v>Malawi</v>
      </c>
      <c r="F436" s="12" t="s">
        <v>7794</v>
      </c>
      <c r="G436" s="12" t="s">
        <v>488</v>
      </c>
      <c r="H436" s="12" t="s">
        <v>310</v>
      </c>
      <c r="I436" s="12" t="s">
        <v>506</v>
      </c>
      <c r="J436" s="281" t="s">
        <v>9230</v>
      </c>
      <c r="K436" s="12" t="s">
        <v>7794</v>
      </c>
      <c r="L436" s="12" t="s">
        <v>488</v>
      </c>
      <c r="M436" s="12" t="s">
        <v>310</v>
      </c>
      <c r="N436" s="12" t="s">
        <v>468</v>
      </c>
      <c r="O436" s="12" t="s">
        <v>7795</v>
      </c>
      <c r="P436" s="12" t="s">
        <v>7794</v>
      </c>
      <c r="Q436" s="12" t="s">
        <v>488</v>
      </c>
      <c r="R436" s="12" t="s">
        <v>310</v>
      </c>
      <c r="S436" s="12" t="s">
        <v>7796</v>
      </c>
      <c r="T436" s="12" t="s">
        <v>7797</v>
      </c>
      <c r="U436" s="12"/>
      <c r="V436" s="12"/>
      <c r="W436" s="12"/>
      <c r="X436" s="12"/>
      <c r="Y436" s="12"/>
      <c r="Z436" s="12"/>
      <c r="AA436" s="12"/>
      <c r="AB436" s="12"/>
      <c r="AC436" s="12"/>
      <c r="AD436" s="12"/>
      <c r="BD436" s="13">
        <v>40787</v>
      </c>
      <c r="BE436" s="13">
        <v>42643</v>
      </c>
      <c r="BF436" s="13">
        <v>43008</v>
      </c>
      <c r="BG436" s="12" t="s">
        <v>749</v>
      </c>
      <c r="BH436" s="14">
        <v>5678950</v>
      </c>
      <c r="BI436" s="12" t="s">
        <v>7798</v>
      </c>
      <c r="BJ436" s="12" t="s">
        <v>7799</v>
      </c>
      <c r="BK436" s="12" t="s">
        <v>7800</v>
      </c>
      <c r="BL436" s="12" t="s">
        <v>7801</v>
      </c>
      <c r="BM436" s="12" t="s">
        <v>7802</v>
      </c>
      <c r="BN436" s="12" t="s">
        <v>7803</v>
      </c>
      <c r="BO436" s="12" t="s">
        <v>319</v>
      </c>
      <c r="BP436" s="12" t="s">
        <v>320</v>
      </c>
      <c r="BQ436" s="12" t="s">
        <v>319</v>
      </c>
      <c r="BR436" s="12" t="s">
        <v>7804</v>
      </c>
      <c r="BS436" s="12" t="s">
        <v>357</v>
      </c>
      <c r="BT436" s="12" t="s">
        <v>7805</v>
      </c>
      <c r="BU436" s="12" t="s">
        <v>7806</v>
      </c>
      <c r="BV436" s="14">
        <v>22400</v>
      </c>
      <c r="BW436" s="14">
        <v>9800</v>
      </c>
      <c r="BX436" s="14">
        <v>31800</v>
      </c>
      <c r="BY436" s="14">
        <v>98000</v>
      </c>
      <c r="BZ436" s="14">
        <v>42000</v>
      </c>
      <c r="CA436" s="14">
        <v>140000</v>
      </c>
      <c r="CB436" s="12" t="s">
        <v>7807</v>
      </c>
      <c r="CD436" s="14"/>
      <c r="CE436" s="14"/>
      <c r="CF436" s="14"/>
      <c r="CG436" s="14"/>
      <c r="CH436" s="14"/>
      <c r="CI436" s="14"/>
      <c r="CJ436" s="12"/>
      <c r="CK436" s="14"/>
      <c r="CL436" s="16"/>
      <c r="CM436" s="14"/>
      <c r="CN436" s="12"/>
      <c r="CO436" s="14"/>
      <c r="CP436" s="16"/>
      <c r="CQ436" s="14"/>
      <c r="CR436" s="12"/>
      <c r="CS436" s="14"/>
      <c r="CT436" s="16"/>
      <c r="CU436" s="14"/>
      <c r="CV436" s="12"/>
      <c r="CW436" s="14"/>
      <c r="CX436" s="16"/>
      <c r="CY436" s="14"/>
      <c r="CZ436" s="12"/>
      <c r="DA436" s="14"/>
      <c r="DB436" s="16"/>
      <c r="DC436" s="14"/>
      <c r="DD436" s="12"/>
      <c r="DE436" s="14"/>
      <c r="DF436" s="16"/>
      <c r="DG436" s="14"/>
      <c r="DH436" s="12"/>
      <c r="DI436" s="14"/>
      <c r="DJ436" s="16"/>
      <c r="DK436" s="14"/>
      <c r="DL436" s="12"/>
      <c r="DM436" s="14"/>
      <c r="DN436" s="16"/>
      <c r="DO436" s="14"/>
      <c r="DP436" s="12"/>
      <c r="DQ436" s="14"/>
      <c r="DR436" s="16"/>
      <c r="DS436" s="14"/>
      <c r="DT436" s="12"/>
      <c r="DU436" s="14"/>
      <c r="DV436" s="16"/>
      <c r="DW436" s="14"/>
      <c r="DX436" s="12"/>
      <c r="DY436" s="14"/>
      <c r="DZ436" s="16"/>
      <c r="EA436" s="14"/>
      <c r="EB436" s="12"/>
      <c r="EC436" s="14"/>
      <c r="ED436" s="16"/>
      <c r="EE436" s="14"/>
      <c r="EF436" s="12"/>
      <c r="EG436" s="12"/>
      <c r="EH436" s="14"/>
      <c r="EI436" s="16"/>
      <c r="EJ436" s="14"/>
      <c r="EK436" s="14">
        <v>1802</v>
      </c>
      <c r="EL436" s="14">
        <v>772</v>
      </c>
      <c r="EM436" s="14">
        <v>2574</v>
      </c>
      <c r="EN436" s="14">
        <v>9010</v>
      </c>
      <c r="EO436" s="14">
        <v>3860</v>
      </c>
      <c r="EP436" s="14">
        <v>12870</v>
      </c>
      <c r="EQ436" s="12" t="s">
        <v>320</v>
      </c>
      <c r="ER436" s="14">
        <v>2574</v>
      </c>
      <c r="ES436" s="16">
        <v>0.72</v>
      </c>
      <c r="ET436" s="14">
        <v>12870</v>
      </c>
      <c r="EU436" s="11" t="s">
        <v>320</v>
      </c>
      <c r="EV436" s="14">
        <v>2574</v>
      </c>
      <c r="EW436" s="16">
        <v>0.72</v>
      </c>
      <c r="EX436" s="14">
        <v>12870</v>
      </c>
      <c r="EY436" s="12" t="s">
        <v>320</v>
      </c>
      <c r="EZ436" s="14"/>
      <c r="FA436" s="16"/>
      <c r="FB436" s="14">
        <v>12870</v>
      </c>
      <c r="FC436" s="12" t="s">
        <v>320</v>
      </c>
      <c r="FD436" s="14">
        <v>2574</v>
      </c>
      <c r="FE436" s="16">
        <v>0.72</v>
      </c>
      <c r="FF436" s="14">
        <v>12870</v>
      </c>
      <c r="FG436" s="12" t="s">
        <v>320</v>
      </c>
      <c r="FH436" s="14">
        <v>2574</v>
      </c>
      <c r="FI436" s="16">
        <v>0.81</v>
      </c>
      <c r="FJ436" s="14">
        <v>12870</v>
      </c>
      <c r="FK436" s="12" t="s">
        <v>319</v>
      </c>
      <c r="FL436" s="14"/>
      <c r="FM436" s="16"/>
      <c r="FN436" s="14"/>
      <c r="FO436" s="12" t="s">
        <v>320</v>
      </c>
      <c r="FP436" s="14">
        <v>2110</v>
      </c>
      <c r="FQ436" s="16">
        <v>0.67</v>
      </c>
      <c r="FR436" s="14">
        <v>10550</v>
      </c>
      <c r="FS436" s="12" t="s">
        <v>319</v>
      </c>
      <c r="FT436" s="14"/>
      <c r="FU436" s="16"/>
      <c r="FV436" s="14"/>
      <c r="FW436" s="11" t="s">
        <v>320</v>
      </c>
      <c r="FX436" s="14">
        <v>876</v>
      </c>
      <c r="FY436" s="16">
        <v>0.78</v>
      </c>
      <c r="FZ436" s="14">
        <v>4380</v>
      </c>
      <c r="GA436" s="12" t="s">
        <v>319</v>
      </c>
      <c r="GB436" s="14"/>
      <c r="GC436" s="16"/>
      <c r="GD436" s="14"/>
      <c r="GE436" s="12" t="s">
        <v>319</v>
      </c>
      <c r="GF436" s="14"/>
      <c r="GG436" s="16"/>
      <c r="GH436" s="14"/>
      <c r="GI436" s="11" t="s">
        <v>320</v>
      </c>
      <c r="GJ436" s="14">
        <v>712</v>
      </c>
      <c r="GK436" s="16">
        <v>0.59</v>
      </c>
      <c r="GL436" s="14">
        <v>3560</v>
      </c>
      <c r="GM436" s="11" t="s">
        <v>320</v>
      </c>
      <c r="GN436" s="14">
        <v>300</v>
      </c>
      <c r="GO436" s="16">
        <v>0.57999999999999996</v>
      </c>
      <c r="GP436" s="14">
        <v>1500</v>
      </c>
      <c r="GQ436" s="12" t="s">
        <v>319</v>
      </c>
      <c r="GR436" s="14"/>
      <c r="GS436" s="16"/>
      <c r="GT436" s="14"/>
      <c r="GU436" s="12" t="s">
        <v>319</v>
      </c>
      <c r="GV436" s="14"/>
      <c r="GW436" s="16"/>
      <c r="GX436" s="14"/>
      <c r="GY436" s="11" t="s">
        <v>320</v>
      </c>
      <c r="GZ436" s="14">
        <v>1595</v>
      </c>
      <c r="HA436" s="16">
        <v>0.81</v>
      </c>
      <c r="HB436" s="14">
        <v>7975</v>
      </c>
      <c r="HC436" s="12"/>
      <c r="HD436" s="12" t="s">
        <v>319</v>
      </c>
      <c r="HE436" s="14"/>
      <c r="HF436" s="16"/>
      <c r="HG436" s="14"/>
      <c r="HH436" s="12" t="s">
        <v>320</v>
      </c>
      <c r="HI436" s="12" t="s">
        <v>431</v>
      </c>
      <c r="HJ436" s="12">
        <v>2017</v>
      </c>
      <c r="HK436" s="12" t="s">
        <v>320</v>
      </c>
      <c r="HL436" s="12" t="s">
        <v>319</v>
      </c>
      <c r="HM436" s="12"/>
      <c r="HN436" s="12"/>
      <c r="HO436" s="12" t="s">
        <v>7808</v>
      </c>
      <c r="HP436" s="12" t="s">
        <v>330</v>
      </c>
      <c r="HQ436" s="12" t="s">
        <v>320</v>
      </c>
      <c r="HR436" s="12" t="s">
        <v>320</v>
      </c>
      <c r="HS436" s="12" t="s">
        <v>320</v>
      </c>
      <c r="HT436" s="12" t="s">
        <v>320</v>
      </c>
      <c r="HU436" s="12" t="s">
        <v>320</v>
      </c>
      <c r="HV436" s="12" t="s">
        <v>319</v>
      </c>
      <c r="HW436" s="12" t="s">
        <v>319</v>
      </c>
      <c r="HX436" s="12" t="s">
        <v>319</v>
      </c>
      <c r="HY436" s="12"/>
      <c r="HZ436" s="12" t="s">
        <v>331</v>
      </c>
      <c r="IA436" s="12" t="s">
        <v>7809</v>
      </c>
      <c r="IB436" s="12" t="s">
        <v>333</v>
      </c>
      <c r="IC436" s="12"/>
      <c r="ID436" s="12" t="s">
        <v>334</v>
      </c>
      <c r="IE436" s="12" t="s">
        <v>335</v>
      </c>
      <c r="IF436" s="12" t="s">
        <v>320</v>
      </c>
      <c r="IG436" s="12" t="s">
        <v>320</v>
      </c>
      <c r="IH436" s="12" t="s">
        <v>320</v>
      </c>
      <c r="II436" s="12" t="s">
        <v>320</v>
      </c>
      <c r="IJ436" s="12" t="str">
        <f t="shared" si="259"/>
        <v>2. Sensitive</v>
      </c>
      <c r="IK436" s="12">
        <f t="shared" si="260"/>
        <v>4</v>
      </c>
      <c r="IL436" s="12" t="s">
        <v>336</v>
      </c>
      <c r="IM436" s="12" t="s">
        <v>320</v>
      </c>
      <c r="IN436" s="12" t="s">
        <v>320</v>
      </c>
      <c r="IO436" s="12" t="s">
        <v>320</v>
      </c>
      <c r="IP436" s="12" t="s">
        <v>320</v>
      </c>
      <c r="IQ436" s="12" t="str">
        <f t="shared" si="261"/>
        <v>2. Accommodating</v>
      </c>
      <c r="IR436" s="12">
        <f t="shared" si="262"/>
        <v>4</v>
      </c>
      <c r="IS436" s="12" t="s">
        <v>622</v>
      </c>
      <c r="IT436" s="12" t="s">
        <v>320</v>
      </c>
      <c r="IU436" s="12" t="s">
        <v>320</v>
      </c>
      <c r="IV436" s="12" t="s">
        <v>320</v>
      </c>
      <c r="IW436" s="11" t="str">
        <f t="shared" si="263"/>
        <v>4. Transformative</v>
      </c>
      <c r="IX436" s="12">
        <f t="shared" si="264"/>
        <v>3</v>
      </c>
      <c r="IY436" s="12" t="s">
        <v>758</v>
      </c>
      <c r="IZ436" s="12" t="s">
        <v>457</v>
      </c>
      <c r="JA436" s="12">
        <v>11</v>
      </c>
      <c r="JB436" s="12" t="s">
        <v>831</v>
      </c>
      <c r="JC436" s="12" t="s">
        <v>433</v>
      </c>
      <c r="JD436" s="12" t="s">
        <v>687</v>
      </c>
      <c r="JE436" s="12" t="s">
        <v>340</v>
      </c>
      <c r="JF436" s="12" t="s">
        <v>7810</v>
      </c>
      <c r="JG436" s="12" t="s">
        <v>7811</v>
      </c>
      <c r="JH436" s="12" t="s">
        <v>7812</v>
      </c>
      <c r="JI436" s="12" t="s">
        <v>7813</v>
      </c>
      <c r="JJ436" s="12" t="s">
        <v>7814</v>
      </c>
      <c r="JK436" s="12" t="s">
        <v>7815</v>
      </c>
      <c r="JL436" s="12" t="s">
        <v>7816</v>
      </c>
      <c r="JM436" s="12"/>
      <c r="JN436" s="12"/>
      <c r="JO436" s="12"/>
      <c r="JP436" s="15">
        <f t="shared" si="265"/>
        <v>2574</v>
      </c>
      <c r="JQ436" s="15">
        <f t="shared" si="266"/>
        <v>12870</v>
      </c>
      <c r="JR436" s="279">
        <f t="shared" si="267"/>
        <v>5</v>
      </c>
      <c r="JS436" s="17">
        <f t="shared" si="268"/>
        <v>0.70007770007770009</v>
      </c>
      <c r="JT436" s="18">
        <f t="shared" si="269"/>
        <v>0.70007770007770009</v>
      </c>
      <c r="JU436" s="280">
        <f t="shared" si="270"/>
        <v>1802</v>
      </c>
      <c r="JV436" s="280">
        <f t="shared" si="271"/>
        <v>9010</v>
      </c>
      <c r="JW436" s="319" t="str">
        <f t="shared" si="272"/>
        <v/>
      </c>
      <c r="JX436" s="15">
        <f t="shared" si="273"/>
        <v>0</v>
      </c>
      <c r="JY436" s="15">
        <f t="shared" si="274"/>
        <v>0</v>
      </c>
      <c r="JZ436" s="19" t="str">
        <f t="shared" si="275"/>
        <v/>
      </c>
      <c r="KA436" s="52">
        <f t="shared" si="276"/>
        <v>1</v>
      </c>
      <c r="KB436" s="15">
        <f t="shared" si="277"/>
        <v>2574</v>
      </c>
      <c r="KC436" s="15">
        <f t="shared" si="278"/>
        <v>12870</v>
      </c>
      <c r="KD436" s="20">
        <f t="shared" si="279"/>
        <v>5</v>
      </c>
      <c r="KE436" s="52" t="str">
        <f t="shared" si="280"/>
        <v/>
      </c>
      <c r="KF436" s="15">
        <f t="shared" si="281"/>
        <v>0</v>
      </c>
      <c r="KG436" s="15">
        <f t="shared" si="282"/>
        <v>0</v>
      </c>
      <c r="KH436" s="21" t="str">
        <f t="shared" si="283"/>
        <v/>
      </c>
      <c r="KI436" s="52" t="str">
        <f t="shared" si="284"/>
        <v/>
      </c>
      <c r="KJ436" s="15">
        <f t="shared" si="285"/>
        <v>0</v>
      </c>
      <c r="KK436" s="15">
        <f t="shared" si="286"/>
        <v>0</v>
      </c>
      <c r="KL436" s="19" t="str">
        <f t="shared" si="287"/>
        <v/>
      </c>
      <c r="KM436" s="52">
        <f t="shared" si="288"/>
        <v>1</v>
      </c>
      <c r="KN436" s="22">
        <f t="shared" si="289"/>
        <v>2084.94</v>
      </c>
      <c r="KO436" s="22">
        <f t="shared" si="290"/>
        <v>10424.700000000001</v>
      </c>
      <c r="KP436" s="19">
        <f t="shared" si="291"/>
        <v>5</v>
      </c>
      <c r="KQ436" s="11" t="str">
        <f t="shared" si="292"/>
        <v>2. Sensitive</v>
      </c>
      <c r="KR436" s="11" t="str">
        <f t="shared" si="293"/>
        <v>2. Accommodating</v>
      </c>
      <c r="KS436" s="11" t="str">
        <f t="shared" si="294"/>
        <v>4. Transformative</v>
      </c>
      <c r="KT436" s="11" t="str">
        <f t="shared" si="295"/>
        <v>It tested new ways for fighting poverty and measured results of innovation</v>
      </c>
      <c r="KU436" s="11" t="str">
        <f t="shared" si="296"/>
        <v>Moderate advocacy</v>
      </c>
      <c r="KV436" s="11" t="str">
        <f t="shared" si="297"/>
        <v>It did not take tested solutions to scale</v>
      </c>
      <c r="KW436" s="11" t="str">
        <f t="shared" si="298"/>
        <v>Malawi - Enhance Community Resilience Program (ECRP)</v>
      </c>
      <c r="KX436" s="11" t="str">
        <f t="shared" si="299"/>
        <v>Enhance Community Resilience Program (ECRP)</v>
      </c>
      <c r="KY436" s="11" t="str">
        <f t="shared" si="300"/>
        <v>Malawi</v>
      </c>
      <c r="KZ436" s="12">
        <v>436</v>
      </c>
    </row>
    <row r="437" spans="1:312" x14ac:dyDescent="0.3">
      <c r="A437" s="12" t="s">
        <v>7451</v>
      </c>
      <c r="B437" s="12" t="s">
        <v>7217</v>
      </c>
      <c r="C437" s="12">
        <v>3137</v>
      </c>
      <c r="D437" s="12" t="s">
        <v>7512</v>
      </c>
      <c r="E437" s="277" t="str">
        <f t="shared" si="258"/>
        <v>Malawi</v>
      </c>
      <c r="F437" s="12" t="s">
        <v>7513</v>
      </c>
      <c r="G437" s="12" t="s">
        <v>1738</v>
      </c>
      <c r="H437" s="12" t="s">
        <v>380</v>
      </c>
      <c r="I437" s="12" t="s">
        <v>907</v>
      </c>
      <c r="J437" s="281" t="s">
        <v>5183</v>
      </c>
      <c r="K437" s="12"/>
      <c r="L437" s="12"/>
      <c r="M437" s="12"/>
      <c r="N437" s="12"/>
      <c r="O437" s="12"/>
      <c r="P437" s="12"/>
      <c r="Q437" s="12"/>
      <c r="R437" s="12"/>
      <c r="S437" s="12"/>
      <c r="T437" s="12"/>
      <c r="U437" s="12"/>
      <c r="V437" s="12"/>
      <c r="W437" s="12"/>
      <c r="X437" s="12"/>
      <c r="Y437" s="12"/>
      <c r="Z437" s="12"/>
      <c r="AA437" s="12"/>
      <c r="AB437" s="12"/>
      <c r="AC437" s="12"/>
      <c r="AD437" s="12"/>
      <c r="BD437" s="13">
        <v>42430</v>
      </c>
      <c r="BE437" s="13">
        <v>42794</v>
      </c>
      <c r="BF437" s="13">
        <v>42886</v>
      </c>
      <c r="BG437" s="12" t="s">
        <v>908</v>
      </c>
      <c r="BH437" s="14"/>
      <c r="BI437" s="12" t="s">
        <v>7514</v>
      </c>
      <c r="BJ437" s="12" t="s">
        <v>354</v>
      </c>
      <c r="BK437" s="12" t="s">
        <v>7515</v>
      </c>
      <c r="BL437" s="12" t="s">
        <v>7476</v>
      </c>
      <c r="BM437" s="12" t="s">
        <v>7477</v>
      </c>
      <c r="BN437" s="12" t="s">
        <v>7478</v>
      </c>
      <c r="BO437" s="12" t="s">
        <v>320</v>
      </c>
      <c r="BP437" s="11" t="s">
        <v>320</v>
      </c>
      <c r="BQ437" s="12" t="s">
        <v>320</v>
      </c>
      <c r="BR437" s="12" t="s">
        <v>7516</v>
      </c>
      <c r="BS437" s="12" t="s">
        <v>357</v>
      </c>
      <c r="BT437" s="12" t="s">
        <v>7517</v>
      </c>
      <c r="BU437" s="12" t="s">
        <v>7518</v>
      </c>
      <c r="BV437" s="14">
        <v>34386</v>
      </c>
      <c r="BW437" s="14">
        <v>29395</v>
      </c>
      <c r="BX437" s="14">
        <v>63781</v>
      </c>
      <c r="BY437" s="14">
        <v>65436</v>
      </c>
      <c r="BZ437" s="14">
        <v>43345</v>
      </c>
      <c r="CA437" s="14">
        <v>108781</v>
      </c>
      <c r="CB437" s="12" t="s">
        <v>7519</v>
      </c>
      <c r="CD437" s="14">
        <v>34386</v>
      </c>
      <c r="CE437" s="14">
        <v>29395</v>
      </c>
      <c r="CF437" s="14">
        <v>63781</v>
      </c>
      <c r="CG437" s="14">
        <v>65436</v>
      </c>
      <c r="CH437" s="14">
        <v>43345</v>
      </c>
      <c r="CI437" s="14">
        <v>108781</v>
      </c>
      <c r="CJ437" s="12" t="s">
        <v>319</v>
      </c>
      <c r="CK437" s="14"/>
      <c r="CL437" s="16"/>
      <c r="CM437" s="14"/>
      <c r="CN437" s="12" t="s">
        <v>320</v>
      </c>
      <c r="CO437" s="14">
        <v>54781</v>
      </c>
      <c r="CP437" s="16">
        <v>0.51400000000000001</v>
      </c>
      <c r="CQ437" s="14"/>
      <c r="CR437" s="12" t="s">
        <v>319</v>
      </c>
      <c r="CS437" s="14"/>
      <c r="CT437" s="16"/>
      <c r="CU437" s="14"/>
      <c r="CV437" s="12" t="s">
        <v>320</v>
      </c>
      <c r="CW437" s="14">
        <v>54781</v>
      </c>
      <c r="CX437" s="16">
        <v>0.51</v>
      </c>
      <c r="CY437" s="14"/>
      <c r="CZ437" s="12" t="s">
        <v>319</v>
      </c>
      <c r="DA437" s="14"/>
      <c r="DB437" s="16"/>
      <c r="DC437" s="14"/>
      <c r="DD437" s="11" t="s">
        <v>320</v>
      </c>
      <c r="DE437" s="14">
        <v>10592</v>
      </c>
      <c r="DF437" s="16">
        <v>0.54</v>
      </c>
      <c r="DG437" s="14">
        <v>45546</v>
      </c>
      <c r="DH437" s="12" t="s">
        <v>319</v>
      </c>
      <c r="DI437" s="14"/>
      <c r="DJ437" s="16"/>
      <c r="DK437" s="14"/>
      <c r="DL437" s="11" t="s">
        <v>320</v>
      </c>
      <c r="DM437" s="14">
        <v>9000</v>
      </c>
      <c r="DN437" s="16">
        <v>0.69</v>
      </c>
      <c r="DO437" s="14">
        <v>38700</v>
      </c>
      <c r="DP437" s="12" t="s">
        <v>319</v>
      </c>
      <c r="DQ437" s="14"/>
      <c r="DR437" s="16"/>
      <c r="DS437" s="14"/>
      <c r="DT437" s="12" t="s">
        <v>319</v>
      </c>
      <c r="DU437" s="14"/>
      <c r="DV437" s="16"/>
      <c r="DW437" s="14"/>
      <c r="DX437" s="12" t="s">
        <v>320</v>
      </c>
      <c r="DY437" s="14">
        <v>5352</v>
      </c>
      <c r="DZ437" s="16">
        <v>0.64</v>
      </c>
      <c r="EA437" s="14"/>
      <c r="EB437" s="12" t="s">
        <v>319</v>
      </c>
      <c r="EC437" s="14"/>
      <c r="ED437" s="16"/>
      <c r="EE437" s="14"/>
      <c r="EF437" s="12"/>
      <c r="EG437" s="12" t="s">
        <v>319</v>
      </c>
      <c r="EH437" s="14"/>
      <c r="EI437" s="16"/>
      <c r="EJ437" s="14"/>
      <c r="EK437" s="14"/>
      <c r="EL437" s="14"/>
      <c r="EM437" s="14"/>
      <c r="EN437" s="14"/>
      <c r="EO437" s="14"/>
      <c r="EP437" s="14"/>
      <c r="EQ437" s="12" t="s">
        <v>320</v>
      </c>
      <c r="ER437" s="14"/>
      <c r="ES437" s="16"/>
      <c r="ET437" s="14"/>
      <c r="EU437" s="12" t="s">
        <v>320</v>
      </c>
      <c r="EV437" s="14"/>
      <c r="EW437" s="16"/>
      <c r="EX437" s="14"/>
      <c r="EY437" s="12" t="s">
        <v>319</v>
      </c>
      <c r="EZ437" s="14"/>
      <c r="FA437" s="16"/>
      <c r="FB437" s="14"/>
      <c r="FC437" s="12" t="s">
        <v>320</v>
      </c>
      <c r="FD437" s="14"/>
      <c r="FE437" s="16"/>
      <c r="FF437" s="14"/>
      <c r="FG437" s="12" t="s">
        <v>320</v>
      </c>
      <c r="FH437" s="14"/>
      <c r="FI437" s="16"/>
      <c r="FJ437" s="14"/>
      <c r="FK437" s="12" t="s">
        <v>319</v>
      </c>
      <c r="FL437" s="14"/>
      <c r="FM437" s="16"/>
      <c r="FN437" s="14"/>
      <c r="FO437" s="12" t="s">
        <v>320</v>
      </c>
      <c r="FP437" s="14"/>
      <c r="FQ437" s="16"/>
      <c r="FR437" s="14"/>
      <c r="FS437" s="11" t="s">
        <v>320</v>
      </c>
      <c r="FT437" s="14"/>
      <c r="FU437" s="16"/>
      <c r="FV437" s="14"/>
      <c r="FW437" s="12" t="s">
        <v>320</v>
      </c>
      <c r="FX437" s="14"/>
      <c r="FY437" s="16"/>
      <c r="FZ437" s="14"/>
      <c r="GA437" s="12" t="s">
        <v>320</v>
      </c>
      <c r="GB437" s="14"/>
      <c r="GC437" s="16"/>
      <c r="GD437" s="14"/>
      <c r="GE437" s="11" t="s">
        <v>320</v>
      </c>
      <c r="GF437" s="14"/>
      <c r="GG437" s="16"/>
      <c r="GH437" s="14"/>
      <c r="GI437" s="12" t="s">
        <v>320</v>
      </c>
      <c r="GJ437" s="14"/>
      <c r="GK437" s="16"/>
      <c r="GL437" s="14"/>
      <c r="GM437" s="12" t="s">
        <v>320</v>
      </c>
      <c r="GN437" s="14"/>
      <c r="GO437" s="16"/>
      <c r="GP437" s="14"/>
      <c r="GQ437" s="12" t="s">
        <v>320</v>
      </c>
      <c r="GR437" s="14"/>
      <c r="GS437" s="16"/>
      <c r="GT437" s="14"/>
      <c r="GU437" s="12" t="s">
        <v>320</v>
      </c>
      <c r="GV437" s="14"/>
      <c r="GW437" s="16"/>
      <c r="GX437" s="14"/>
      <c r="GY437" s="12" t="s">
        <v>320</v>
      </c>
      <c r="GZ437" s="14"/>
      <c r="HA437" s="16"/>
      <c r="HB437" s="14"/>
      <c r="HC437" s="12"/>
      <c r="HD437" s="12" t="s">
        <v>319</v>
      </c>
      <c r="HE437" s="14"/>
      <c r="HF437" s="16"/>
      <c r="HG437" s="14"/>
      <c r="HH437" s="12" t="s">
        <v>320</v>
      </c>
      <c r="HI437" s="12" t="s">
        <v>431</v>
      </c>
      <c r="HJ437" s="12">
        <v>2017</v>
      </c>
      <c r="HK437" s="12" t="s">
        <v>320</v>
      </c>
      <c r="HL437" s="12" t="s">
        <v>319</v>
      </c>
      <c r="HM437" s="12"/>
      <c r="HN437" s="12"/>
      <c r="HO437" s="12" t="s">
        <v>7520</v>
      </c>
      <c r="HP437" s="12" t="s">
        <v>418</v>
      </c>
      <c r="HQ437" s="12" t="s">
        <v>319</v>
      </c>
      <c r="HR437" s="12" t="s">
        <v>319</v>
      </c>
      <c r="HS437" s="12" t="s">
        <v>319</v>
      </c>
      <c r="HT437" s="12" t="s">
        <v>319</v>
      </c>
      <c r="HU437" s="12" t="s">
        <v>319</v>
      </c>
      <c r="HV437" s="12" t="s">
        <v>319</v>
      </c>
      <c r="HW437" s="12" t="s">
        <v>319</v>
      </c>
      <c r="HX437" s="12" t="s">
        <v>319</v>
      </c>
      <c r="HY437" s="12"/>
      <c r="HZ437" s="12" t="s">
        <v>394</v>
      </c>
      <c r="IA437" s="12" t="s">
        <v>7521</v>
      </c>
      <c r="IB437" s="12" t="s">
        <v>333</v>
      </c>
      <c r="IC437" s="12"/>
      <c r="ID437" s="12" t="s">
        <v>334</v>
      </c>
      <c r="IE437" s="12" t="s">
        <v>335</v>
      </c>
      <c r="IF437" s="12" t="s">
        <v>320</v>
      </c>
      <c r="IG437" s="12" t="s">
        <v>320</v>
      </c>
      <c r="IH437" s="12" t="s">
        <v>320</v>
      </c>
      <c r="II437" s="12" t="s">
        <v>320</v>
      </c>
      <c r="IJ437" s="12" t="str">
        <f t="shared" si="259"/>
        <v>2. Sensitive</v>
      </c>
      <c r="IK437" s="12">
        <f t="shared" si="260"/>
        <v>4</v>
      </c>
      <c r="IL437" s="12" t="s">
        <v>336</v>
      </c>
      <c r="IM437" s="12" t="s">
        <v>320</v>
      </c>
      <c r="IN437" s="12" t="s">
        <v>320</v>
      </c>
      <c r="IO437" s="12" t="s">
        <v>320</v>
      </c>
      <c r="IP437" s="12" t="s">
        <v>320</v>
      </c>
      <c r="IQ437" s="12" t="str">
        <f t="shared" si="261"/>
        <v>2. Accommodating</v>
      </c>
      <c r="IR437" s="12">
        <f t="shared" si="262"/>
        <v>4</v>
      </c>
      <c r="IS437" s="12" t="s">
        <v>337</v>
      </c>
      <c r="IT437" s="12" t="s">
        <v>320</v>
      </c>
      <c r="IU437" s="12" t="s">
        <v>320</v>
      </c>
      <c r="IV437" s="12" t="s">
        <v>320</v>
      </c>
      <c r="IW437" s="11" t="str">
        <f t="shared" si="263"/>
        <v>2. Sensitive</v>
      </c>
      <c r="IX437" s="12">
        <f t="shared" si="264"/>
        <v>3</v>
      </c>
      <c r="IY437" s="12" t="s">
        <v>419</v>
      </c>
      <c r="IZ437" s="12" t="s">
        <v>432</v>
      </c>
      <c r="JA437" s="12">
        <v>1</v>
      </c>
      <c r="JB437" s="12" t="s">
        <v>433</v>
      </c>
      <c r="JC437" s="12"/>
      <c r="JD437" s="12"/>
      <c r="JE437" s="12" t="s">
        <v>420</v>
      </c>
      <c r="JF437" s="12"/>
      <c r="JG437" s="12"/>
      <c r="JH437" s="12" t="s">
        <v>7522</v>
      </c>
      <c r="JI437" s="12" t="s">
        <v>7523</v>
      </c>
      <c r="JJ437" s="12" t="s">
        <v>7524</v>
      </c>
      <c r="JK437" s="12" t="s">
        <v>7525</v>
      </c>
      <c r="JL437" s="12" t="s">
        <v>7526</v>
      </c>
      <c r="JM437" s="12" t="s">
        <v>7527</v>
      </c>
      <c r="JN437" s="12"/>
      <c r="JO437" s="12"/>
      <c r="JP437" s="15">
        <f t="shared" si="265"/>
        <v>63781</v>
      </c>
      <c r="JQ437" s="15">
        <f t="shared" si="266"/>
        <v>108781</v>
      </c>
      <c r="JR437" s="279">
        <f t="shared" si="267"/>
        <v>1.7055392671798812</v>
      </c>
      <c r="JS437" s="17">
        <f t="shared" si="268"/>
        <v>0.53912607202771989</v>
      </c>
      <c r="JT437" s="18">
        <f t="shared" si="269"/>
        <v>0.6015388716779585</v>
      </c>
      <c r="JU437" s="280">
        <f t="shared" si="270"/>
        <v>34386</v>
      </c>
      <c r="JV437" s="280">
        <f t="shared" si="271"/>
        <v>65436</v>
      </c>
      <c r="JW437" s="319">
        <f t="shared" si="272"/>
        <v>1</v>
      </c>
      <c r="JX437" s="15">
        <f t="shared" si="273"/>
        <v>63781</v>
      </c>
      <c r="JY437" s="15">
        <f t="shared" si="274"/>
        <v>108781</v>
      </c>
      <c r="JZ437" s="19">
        <f t="shared" si="275"/>
        <v>1.7055392671798812</v>
      </c>
      <c r="KA437" s="52">
        <f t="shared" si="276"/>
        <v>1</v>
      </c>
      <c r="KB437" s="15">
        <f t="shared" si="277"/>
        <v>54781</v>
      </c>
      <c r="KC437" s="15">
        <f t="shared" si="278"/>
        <v>38700</v>
      </c>
      <c r="KD437" s="20">
        <f t="shared" si="279"/>
        <v>0.70644931636881403</v>
      </c>
      <c r="KE437" s="52">
        <f t="shared" si="280"/>
        <v>1</v>
      </c>
      <c r="KF437" s="15">
        <f t="shared" si="281"/>
        <v>0</v>
      </c>
      <c r="KG437" s="15">
        <f t="shared" si="282"/>
        <v>0</v>
      </c>
      <c r="KH437" s="21" t="str">
        <f t="shared" si="283"/>
        <v/>
      </c>
      <c r="KI437" s="52">
        <f t="shared" si="284"/>
        <v>1</v>
      </c>
      <c r="KJ437" s="15">
        <f t="shared" si="285"/>
        <v>0</v>
      </c>
      <c r="KK437" s="15">
        <f t="shared" si="286"/>
        <v>0</v>
      </c>
      <c r="KL437" s="19" t="str">
        <f t="shared" si="287"/>
        <v/>
      </c>
      <c r="KM437" s="52">
        <f t="shared" si="288"/>
        <v>1</v>
      </c>
      <c r="KN437" s="22">
        <f t="shared" si="289"/>
        <v>0</v>
      </c>
      <c r="KO437" s="22">
        <f t="shared" si="290"/>
        <v>0</v>
      </c>
      <c r="KP437" s="19" t="str">
        <f t="shared" si="291"/>
        <v/>
      </c>
      <c r="KQ437" s="11" t="str">
        <f t="shared" si="292"/>
        <v>2. Sensitive</v>
      </c>
      <c r="KR437" s="11" t="str">
        <f t="shared" si="293"/>
        <v>2. Accommodating</v>
      </c>
      <c r="KS437" s="11" t="str">
        <f t="shared" si="294"/>
        <v>2. Sensitive</v>
      </c>
      <c r="KT437" s="11" t="str">
        <f t="shared" si="295"/>
        <v>It tested new ways for fighting poverty, but did not measure results of innovation</v>
      </c>
      <c r="KU437" s="11" t="str">
        <f t="shared" si="296"/>
        <v>Little or no advocacy</v>
      </c>
      <c r="KV437" s="11" t="str">
        <f t="shared" si="297"/>
        <v>It did not take tested solutions to scale</v>
      </c>
      <c r="KW437" s="11" t="str">
        <f t="shared" si="298"/>
        <v>Malawi - Food Security for El Nino Affected Communities in Malawi</v>
      </c>
      <c r="KX437" s="11" t="str">
        <f t="shared" si="299"/>
        <v>Food Security for El Nino Affected Communities in Malawi</v>
      </c>
      <c r="KY437" s="11" t="str">
        <f t="shared" si="300"/>
        <v>Malawi</v>
      </c>
      <c r="KZ437" s="12">
        <v>437</v>
      </c>
    </row>
    <row r="438" spans="1:312" x14ac:dyDescent="0.3">
      <c r="A438" s="12" t="s">
        <v>7451</v>
      </c>
      <c r="B438" s="12" t="s">
        <v>7217</v>
      </c>
      <c r="C438" s="12">
        <v>3132</v>
      </c>
      <c r="D438" s="12" t="s">
        <v>7601</v>
      </c>
      <c r="E438" s="277" t="str">
        <f t="shared" si="258"/>
        <v>Malawi</v>
      </c>
      <c r="F438" s="12" t="s">
        <v>7602</v>
      </c>
      <c r="G438" s="12" t="s">
        <v>379</v>
      </c>
      <c r="H438" s="12" t="s">
        <v>383</v>
      </c>
      <c r="I438" s="12" t="s">
        <v>1102</v>
      </c>
      <c r="J438" s="278" t="s">
        <v>1102</v>
      </c>
      <c r="K438" s="12"/>
      <c r="L438" s="12"/>
      <c r="M438" s="12"/>
      <c r="N438" s="12"/>
      <c r="O438" s="12"/>
      <c r="P438" s="12"/>
      <c r="Q438" s="12"/>
      <c r="R438" s="12"/>
      <c r="S438" s="12"/>
      <c r="T438" s="12"/>
      <c r="U438" s="12"/>
      <c r="V438" s="12"/>
      <c r="W438" s="12"/>
      <c r="X438" s="12"/>
      <c r="Y438" s="12"/>
      <c r="Z438" s="12"/>
      <c r="AA438" s="12"/>
      <c r="AB438" s="12"/>
      <c r="AC438" s="12"/>
      <c r="AD438" s="12"/>
      <c r="BD438" s="13">
        <v>42370</v>
      </c>
      <c r="BE438" s="13">
        <v>43100</v>
      </c>
      <c r="BF438" s="13">
        <v>43220</v>
      </c>
      <c r="BG438" s="12" t="s">
        <v>312</v>
      </c>
      <c r="BH438" s="14">
        <v>563710</v>
      </c>
      <c r="BI438" s="12" t="s">
        <v>7603</v>
      </c>
      <c r="BJ438" s="12" t="s">
        <v>7604</v>
      </c>
      <c r="BK438" s="12" t="s">
        <v>7605</v>
      </c>
      <c r="BL438" s="12" t="s">
        <v>7606</v>
      </c>
      <c r="BM438" s="12" t="s">
        <v>7607</v>
      </c>
      <c r="BN438" s="12" t="s">
        <v>7608</v>
      </c>
      <c r="BO438" s="12" t="s">
        <v>319</v>
      </c>
      <c r="BP438" s="12" t="s">
        <v>320</v>
      </c>
      <c r="BQ438" s="12" t="s">
        <v>319</v>
      </c>
      <c r="BR438" s="12" t="s">
        <v>7609</v>
      </c>
      <c r="BS438" s="12" t="s">
        <v>357</v>
      </c>
      <c r="BT438" s="12" t="s">
        <v>7610</v>
      </c>
      <c r="BU438" s="12" t="s">
        <v>7611</v>
      </c>
      <c r="BV438" s="14">
        <v>1497</v>
      </c>
      <c r="BW438" s="14">
        <v>1153</v>
      </c>
      <c r="BX438" s="14">
        <v>2650</v>
      </c>
      <c r="BY438" s="14">
        <v>9522</v>
      </c>
      <c r="BZ438" s="14">
        <v>7278</v>
      </c>
      <c r="CA438" s="14">
        <v>16800</v>
      </c>
      <c r="CB438" s="12" t="s">
        <v>7612</v>
      </c>
      <c r="CD438" s="14"/>
      <c r="CE438" s="14"/>
      <c r="CF438" s="14"/>
      <c r="CG438" s="14"/>
      <c r="CH438" s="14"/>
      <c r="CI438" s="14"/>
      <c r="CJ438" s="12"/>
      <c r="CK438" s="14"/>
      <c r="CL438" s="16"/>
      <c r="CM438" s="14"/>
      <c r="CN438" s="12"/>
      <c r="CO438" s="14"/>
      <c r="CP438" s="16"/>
      <c r="CQ438" s="14"/>
      <c r="CR438" s="12"/>
      <c r="CS438" s="14"/>
      <c r="CT438" s="16"/>
      <c r="CU438" s="14"/>
      <c r="CV438" s="12"/>
      <c r="CW438" s="14"/>
      <c r="CX438" s="16"/>
      <c r="CY438" s="14"/>
      <c r="CZ438" s="12"/>
      <c r="DA438" s="14"/>
      <c r="DB438" s="16"/>
      <c r="DC438" s="14"/>
      <c r="DD438" s="12"/>
      <c r="DE438" s="14"/>
      <c r="DF438" s="16"/>
      <c r="DG438" s="14"/>
      <c r="DH438" s="12"/>
      <c r="DI438" s="14"/>
      <c r="DJ438" s="16"/>
      <c r="DK438" s="14"/>
      <c r="DL438" s="12"/>
      <c r="DM438" s="14"/>
      <c r="DN438" s="16"/>
      <c r="DO438" s="14"/>
      <c r="DP438" s="12"/>
      <c r="DQ438" s="14"/>
      <c r="DR438" s="16"/>
      <c r="DS438" s="14"/>
      <c r="DT438" s="12"/>
      <c r="DU438" s="14"/>
      <c r="DV438" s="16"/>
      <c r="DW438" s="14"/>
      <c r="DX438" s="12"/>
      <c r="DY438" s="14"/>
      <c r="DZ438" s="16"/>
      <c r="EA438" s="14"/>
      <c r="EB438" s="12"/>
      <c r="EC438" s="14"/>
      <c r="ED438" s="16"/>
      <c r="EE438" s="14"/>
      <c r="EF438" s="12"/>
      <c r="EG438" s="12"/>
      <c r="EH438" s="14"/>
      <c r="EI438" s="16"/>
      <c r="EJ438" s="14"/>
      <c r="EK438" s="14">
        <v>1497</v>
      </c>
      <c r="EL438" s="14">
        <v>1153</v>
      </c>
      <c r="EM438" s="14">
        <v>2650</v>
      </c>
      <c r="EN438" s="14">
        <v>9522</v>
      </c>
      <c r="EO438" s="14">
        <v>7278</v>
      </c>
      <c r="EP438" s="14">
        <v>16800</v>
      </c>
      <c r="EQ438" s="12" t="s">
        <v>319</v>
      </c>
      <c r="ER438" s="14"/>
      <c r="ES438" s="16"/>
      <c r="ET438" s="14"/>
      <c r="EU438" s="11" t="s">
        <v>319</v>
      </c>
      <c r="EV438" s="14"/>
      <c r="EW438" s="16"/>
      <c r="EX438" s="14"/>
      <c r="EY438" s="12" t="s">
        <v>319</v>
      </c>
      <c r="EZ438" s="14"/>
      <c r="FA438" s="16"/>
      <c r="FB438" s="14"/>
      <c r="FC438" s="12" t="s">
        <v>319</v>
      </c>
      <c r="FD438" s="14"/>
      <c r="FE438" s="16"/>
      <c r="FF438" s="14"/>
      <c r="FG438" s="12" t="s">
        <v>319</v>
      </c>
      <c r="FH438" s="14"/>
      <c r="FI438" s="16"/>
      <c r="FJ438" s="14"/>
      <c r="FK438" s="12" t="s">
        <v>320</v>
      </c>
      <c r="FL438" s="14">
        <v>2650</v>
      </c>
      <c r="FM438" s="16">
        <v>0.56499999999999995</v>
      </c>
      <c r="FN438" s="14">
        <v>16800</v>
      </c>
      <c r="FO438" s="12" t="s">
        <v>319</v>
      </c>
      <c r="FP438" s="14"/>
      <c r="FQ438" s="16"/>
      <c r="FR438" s="14"/>
      <c r="FS438" s="12" t="s">
        <v>320</v>
      </c>
      <c r="FT438" s="14">
        <v>2650</v>
      </c>
      <c r="FU438" s="16">
        <v>0.56499999999999995</v>
      </c>
      <c r="FV438" s="14">
        <v>16800</v>
      </c>
      <c r="FW438" s="11" t="s">
        <v>320</v>
      </c>
      <c r="FX438" s="14">
        <v>2650</v>
      </c>
      <c r="FY438" s="16">
        <v>0.56499999999999995</v>
      </c>
      <c r="FZ438" s="14">
        <v>16800</v>
      </c>
      <c r="GA438" s="12" t="s">
        <v>319</v>
      </c>
      <c r="GB438" s="14"/>
      <c r="GC438" s="16"/>
      <c r="GD438" s="14"/>
      <c r="GE438" s="12" t="s">
        <v>319</v>
      </c>
      <c r="GF438" s="14"/>
      <c r="GG438" s="16"/>
      <c r="GH438" s="14"/>
      <c r="GI438" s="12" t="s">
        <v>319</v>
      </c>
      <c r="GJ438" s="14"/>
      <c r="GK438" s="16"/>
      <c r="GL438" s="14"/>
      <c r="GM438" s="11" t="s">
        <v>320</v>
      </c>
      <c r="GN438" s="14">
        <v>2650</v>
      </c>
      <c r="GO438" s="16">
        <v>0.56499999999999995</v>
      </c>
      <c r="GP438" s="14">
        <v>16800</v>
      </c>
      <c r="GQ438" s="12" t="s">
        <v>320</v>
      </c>
      <c r="GR438" s="14">
        <v>2650</v>
      </c>
      <c r="GS438" s="16">
        <v>0.56499999999999995</v>
      </c>
      <c r="GT438" s="14">
        <v>16800</v>
      </c>
      <c r="GU438" s="12" t="s">
        <v>319</v>
      </c>
      <c r="GV438" s="14"/>
      <c r="GW438" s="16"/>
      <c r="GX438" s="14"/>
      <c r="GY438" s="12" t="s">
        <v>319</v>
      </c>
      <c r="GZ438" s="14"/>
      <c r="HA438" s="16"/>
      <c r="HB438" s="14"/>
      <c r="HC438" s="12"/>
      <c r="HD438" s="12"/>
      <c r="HE438" s="14"/>
      <c r="HF438" s="16"/>
      <c r="HG438" s="14"/>
      <c r="HH438" s="12" t="s">
        <v>320</v>
      </c>
      <c r="HI438" s="12" t="s">
        <v>327</v>
      </c>
      <c r="HJ438" s="12">
        <v>2016</v>
      </c>
      <c r="HK438" s="12" t="s">
        <v>320</v>
      </c>
      <c r="HL438" s="12" t="s">
        <v>320</v>
      </c>
      <c r="HM438" s="12" t="s">
        <v>560</v>
      </c>
      <c r="HN438" s="12">
        <v>2018</v>
      </c>
      <c r="HO438" s="12" t="s">
        <v>7613</v>
      </c>
      <c r="HP438" s="12" t="s">
        <v>330</v>
      </c>
      <c r="HQ438" s="12" t="s">
        <v>319</v>
      </c>
      <c r="HR438" s="12" t="s">
        <v>319</v>
      </c>
      <c r="HS438" s="12"/>
      <c r="HT438" s="12" t="s">
        <v>320</v>
      </c>
      <c r="HU438" s="12" t="s">
        <v>319</v>
      </c>
      <c r="HV438" s="12"/>
      <c r="HW438" s="12" t="s">
        <v>319</v>
      </c>
      <c r="HX438" s="12" t="s">
        <v>320</v>
      </c>
      <c r="HY438" s="12" t="s">
        <v>7614</v>
      </c>
      <c r="HZ438" s="12" t="s">
        <v>331</v>
      </c>
      <c r="IA438" s="12" t="s">
        <v>7615</v>
      </c>
      <c r="IB438" s="12" t="s">
        <v>333</v>
      </c>
      <c r="IC438" s="12"/>
      <c r="ID438" s="12" t="s">
        <v>334</v>
      </c>
      <c r="IE438" s="12" t="s">
        <v>478</v>
      </c>
      <c r="IF438" s="12" t="s">
        <v>320</v>
      </c>
      <c r="IG438" s="12" t="s">
        <v>320</v>
      </c>
      <c r="IH438" s="12" t="s">
        <v>320</v>
      </c>
      <c r="II438" s="12" t="s">
        <v>320</v>
      </c>
      <c r="IJ438" s="12" t="str">
        <f t="shared" si="259"/>
        <v>4. Transformative</v>
      </c>
      <c r="IK438" s="12">
        <f t="shared" si="260"/>
        <v>4</v>
      </c>
      <c r="IL438" s="12" t="s">
        <v>336</v>
      </c>
      <c r="IM438" s="12" t="s">
        <v>320</v>
      </c>
      <c r="IN438" s="12" t="s">
        <v>320</v>
      </c>
      <c r="IO438" s="12" t="s">
        <v>319</v>
      </c>
      <c r="IP438" s="12" t="s">
        <v>320</v>
      </c>
      <c r="IQ438" s="12" t="str">
        <f t="shared" si="261"/>
        <v>2. Accommodating</v>
      </c>
      <c r="IR438" s="12">
        <f t="shared" si="262"/>
        <v>3</v>
      </c>
      <c r="IS438" s="12" t="s">
        <v>456</v>
      </c>
      <c r="IT438" s="12" t="s">
        <v>320</v>
      </c>
      <c r="IU438" s="12" t="s">
        <v>320</v>
      </c>
      <c r="IV438" s="12" t="s">
        <v>320</v>
      </c>
      <c r="IW438" s="11" t="str">
        <f t="shared" si="263"/>
        <v>0. Harmful</v>
      </c>
      <c r="IX438" s="12">
        <f t="shared" si="264"/>
        <v>3</v>
      </c>
      <c r="IY438" s="12" t="s">
        <v>338</v>
      </c>
      <c r="IZ438" s="12" t="s">
        <v>432</v>
      </c>
      <c r="JA438" s="12">
        <v>2</v>
      </c>
      <c r="JB438" s="12" t="s">
        <v>433</v>
      </c>
      <c r="JC438" s="12" t="s">
        <v>687</v>
      </c>
      <c r="JD438" s="12"/>
      <c r="JE438" s="12"/>
      <c r="JF438" s="12"/>
      <c r="JG438" s="12"/>
      <c r="JH438" s="12" t="s">
        <v>7616</v>
      </c>
      <c r="JI438" s="12" t="s">
        <v>7617</v>
      </c>
      <c r="JJ438" s="12" t="s">
        <v>7618</v>
      </c>
      <c r="JK438" s="12"/>
      <c r="JL438" s="12"/>
      <c r="JM438" s="12"/>
      <c r="JN438" s="12"/>
      <c r="JO438" s="12" t="s">
        <v>7619</v>
      </c>
      <c r="JP438" s="15">
        <f t="shared" si="265"/>
        <v>2650</v>
      </c>
      <c r="JQ438" s="15">
        <f t="shared" si="266"/>
        <v>16800</v>
      </c>
      <c r="JR438" s="279">
        <f t="shared" si="267"/>
        <v>6.3396226415094343</v>
      </c>
      <c r="JS438" s="17">
        <f t="shared" si="268"/>
        <v>0.56490566037735845</v>
      </c>
      <c r="JT438" s="18">
        <f t="shared" si="269"/>
        <v>0.56678571428571434</v>
      </c>
      <c r="JU438" s="280">
        <f t="shared" si="270"/>
        <v>1497</v>
      </c>
      <c r="JV438" s="280">
        <f t="shared" si="271"/>
        <v>9522</v>
      </c>
      <c r="JW438" s="319" t="str">
        <f t="shared" si="272"/>
        <v/>
      </c>
      <c r="JX438" s="15">
        <f t="shared" si="273"/>
        <v>0</v>
      </c>
      <c r="JY438" s="15">
        <f t="shared" si="274"/>
        <v>0</v>
      </c>
      <c r="JZ438" s="19" t="str">
        <f t="shared" si="275"/>
        <v/>
      </c>
      <c r="KA438" s="52" t="str">
        <f t="shared" si="276"/>
        <v/>
      </c>
      <c r="KB438" s="15">
        <f t="shared" si="277"/>
        <v>0</v>
      </c>
      <c r="KC438" s="15">
        <f t="shared" si="278"/>
        <v>0</v>
      </c>
      <c r="KD438" s="20" t="str">
        <f t="shared" si="279"/>
        <v/>
      </c>
      <c r="KE438" s="52">
        <f t="shared" si="280"/>
        <v>1</v>
      </c>
      <c r="KF438" s="15">
        <f t="shared" si="281"/>
        <v>2650</v>
      </c>
      <c r="KG438" s="15">
        <f t="shared" si="282"/>
        <v>16800</v>
      </c>
      <c r="KH438" s="21">
        <f t="shared" si="283"/>
        <v>6.3396226415094343</v>
      </c>
      <c r="KI438" s="52">
        <f t="shared" si="284"/>
        <v>1</v>
      </c>
      <c r="KJ438" s="15">
        <f t="shared" si="285"/>
        <v>2650</v>
      </c>
      <c r="KK438" s="15">
        <f t="shared" si="286"/>
        <v>16800</v>
      </c>
      <c r="KL438" s="19">
        <f t="shared" si="287"/>
        <v>6.3396226415094343</v>
      </c>
      <c r="KM438" s="52" t="str">
        <f t="shared" si="288"/>
        <v/>
      </c>
      <c r="KN438" s="22">
        <f t="shared" si="289"/>
        <v>0</v>
      </c>
      <c r="KO438" s="22">
        <f t="shared" si="290"/>
        <v>0</v>
      </c>
      <c r="KP438" s="19" t="str">
        <f t="shared" si="291"/>
        <v/>
      </c>
      <c r="KQ438" s="11" t="str">
        <f t="shared" si="292"/>
        <v>4. Transformative</v>
      </c>
      <c r="KR438" s="11" t="str">
        <f t="shared" si="293"/>
        <v>2. Accommodating</v>
      </c>
      <c r="KS438" s="11" t="str">
        <f t="shared" si="294"/>
        <v>0. Harmful</v>
      </c>
      <c r="KT438" s="11" t="str">
        <f t="shared" si="295"/>
        <v>It tested new ways for fighting poverty and measured results of innovation</v>
      </c>
      <c r="KU438" s="11" t="str">
        <f t="shared" si="296"/>
        <v>Moderate advocacy</v>
      </c>
      <c r="KV438" s="11" t="str">
        <f t="shared" si="297"/>
        <v>It did not take tested solutions to scale</v>
      </c>
      <c r="KW438" s="11" t="str">
        <f t="shared" si="298"/>
        <v>Malawi - GATE GRAND CHALLENGES</v>
      </c>
      <c r="KX438" s="11" t="str">
        <f t="shared" si="299"/>
        <v>GATE GRAND CHALLENGES</v>
      </c>
      <c r="KY438" s="11" t="str">
        <f t="shared" si="300"/>
        <v>Malawi</v>
      </c>
      <c r="KZ438" s="12">
        <v>438</v>
      </c>
    </row>
    <row r="439" spans="1:312" x14ac:dyDescent="0.3">
      <c r="A439" s="12" t="s">
        <v>7451</v>
      </c>
      <c r="B439" s="12" t="s">
        <v>7217</v>
      </c>
      <c r="C439" s="12">
        <v>3127</v>
      </c>
      <c r="D439" s="12" t="s">
        <v>7620</v>
      </c>
      <c r="E439" s="277" t="str">
        <f t="shared" si="258"/>
        <v>Malawi</v>
      </c>
      <c r="F439" s="12" t="s">
        <v>7621</v>
      </c>
      <c r="G439" s="12" t="s">
        <v>379</v>
      </c>
      <c r="H439" s="12" t="s">
        <v>380</v>
      </c>
      <c r="I439" s="12" t="s">
        <v>952</v>
      </c>
      <c r="J439" s="281" t="s">
        <v>952</v>
      </c>
      <c r="K439" s="12"/>
      <c r="L439" s="12"/>
      <c r="M439" s="12"/>
      <c r="N439" s="12"/>
      <c r="O439" s="12"/>
      <c r="P439" s="12"/>
      <c r="Q439" s="12"/>
      <c r="R439" s="12"/>
      <c r="S439" s="12"/>
      <c r="T439" s="12"/>
      <c r="U439" s="12"/>
      <c r="V439" s="12"/>
      <c r="W439" s="12"/>
      <c r="X439" s="12"/>
      <c r="Y439" s="12"/>
      <c r="Z439" s="12"/>
      <c r="AA439" s="12"/>
      <c r="AB439" s="12"/>
      <c r="AC439" s="12"/>
      <c r="AD439" s="12"/>
      <c r="BD439" s="13">
        <v>41640</v>
      </c>
      <c r="BE439" s="13">
        <v>42766</v>
      </c>
      <c r="BF439" s="13">
        <v>43008</v>
      </c>
      <c r="BG439" s="12" t="s">
        <v>312</v>
      </c>
      <c r="BH439" s="14">
        <v>950000</v>
      </c>
      <c r="BI439" s="12" t="s">
        <v>7606</v>
      </c>
      <c r="BJ439" s="12" t="s">
        <v>7622</v>
      </c>
      <c r="BK439" s="12" t="s">
        <v>7623</v>
      </c>
      <c r="BL439" s="12" t="s">
        <v>7624</v>
      </c>
      <c r="BM439" s="12" t="s">
        <v>354</v>
      </c>
      <c r="BN439" s="12" t="s">
        <v>7623</v>
      </c>
      <c r="BO439" s="12" t="s">
        <v>319</v>
      </c>
      <c r="BP439" s="12" t="s">
        <v>320</v>
      </c>
      <c r="BQ439" s="12" t="s">
        <v>319</v>
      </c>
      <c r="BR439" s="12" t="s">
        <v>7625</v>
      </c>
      <c r="BS439" s="12" t="s">
        <v>357</v>
      </c>
      <c r="BT439" s="12" t="s">
        <v>7626</v>
      </c>
      <c r="BU439" s="12" t="s">
        <v>7627</v>
      </c>
      <c r="BV439" s="14">
        <v>24000</v>
      </c>
      <c r="BW439" s="14">
        <v>23000</v>
      </c>
      <c r="BX439" s="14">
        <v>47000</v>
      </c>
      <c r="BY439" s="14">
        <v>84240</v>
      </c>
      <c r="BZ439" s="14">
        <v>77760</v>
      </c>
      <c r="CA439" s="14">
        <v>162000</v>
      </c>
      <c r="CB439" s="12" t="s">
        <v>7628</v>
      </c>
      <c r="CD439" s="14"/>
      <c r="CE439" s="14"/>
      <c r="CF439" s="14"/>
      <c r="CG439" s="14"/>
      <c r="CH439" s="14"/>
      <c r="CI439" s="14"/>
      <c r="CJ439" s="12"/>
      <c r="CK439" s="14"/>
      <c r="CL439" s="16"/>
      <c r="CM439" s="14"/>
      <c r="CN439" s="12"/>
      <c r="CO439" s="14"/>
      <c r="CP439" s="16"/>
      <c r="CQ439" s="14"/>
      <c r="CR439" s="12" t="s">
        <v>319</v>
      </c>
      <c r="CS439" s="14"/>
      <c r="CT439" s="16"/>
      <c r="CU439" s="14"/>
      <c r="CV439" s="12"/>
      <c r="CW439" s="14"/>
      <c r="CX439" s="16"/>
      <c r="CY439" s="14"/>
      <c r="CZ439" s="12"/>
      <c r="DA439" s="14"/>
      <c r="DB439" s="16"/>
      <c r="DC439" s="14"/>
      <c r="DD439" s="12"/>
      <c r="DE439" s="14"/>
      <c r="DF439" s="16"/>
      <c r="DG439" s="14"/>
      <c r="DH439" s="12"/>
      <c r="DI439" s="14"/>
      <c r="DJ439" s="16"/>
      <c r="DK439" s="14"/>
      <c r="DL439" s="12"/>
      <c r="DM439" s="14"/>
      <c r="DN439" s="16"/>
      <c r="DO439" s="14"/>
      <c r="DP439" s="12"/>
      <c r="DQ439" s="14"/>
      <c r="DR439" s="16"/>
      <c r="DS439" s="14"/>
      <c r="DT439" s="12"/>
      <c r="DU439" s="14"/>
      <c r="DV439" s="16"/>
      <c r="DW439" s="14"/>
      <c r="DX439" s="12"/>
      <c r="DY439" s="14"/>
      <c r="DZ439" s="16"/>
      <c r="EA439" s="14"/>
      <c r="EB439" s="12"/>
      <c r="EC439" s="14"/>
      <c r="ED439" s="16"/>
      <c r="EE439" s="14"/>
      <c r="EF439" s="12"/>
      <c r="EG439" s="12"/>
      <c r="EH439" s="14"/>
      <c r="EI439" s="16"/>
      <c r="EJ439" s="14"/>
      <c r="EK439" s="14">
        <v>12420</v>
      </c>
      <c r="EL439" s="14">
        <v>6940</v>
      </c>
      <c r="EM439" s="14">
        <v>19360</v>
      </c>
      <c r="EN439" s="14">
        <v>37260</v>
      </c>
      <c r="EO439" s="14">
        <v>20820</v>
      </c>
      <c r="EP439" s="14">
        <v>58080</v>
      </c>
      <c r="EQ439" s="12" t="s">
        <v>319</v>
      </c>
      <c r="ER439" s="14"/>
      <c r="ES439" s="16"/>
      <c r="ET439" s="14"/>
      <c r="EU439" s="11" t="s">
        <v>319</v>
      </c>
      <c r="EV439" s="14"/>
      <c r="EW439" s="16"/>
      <c r="EX439" s="14"/>
      <c r="EY439" s="12" t="s">
        <v>319</v>
      </c>
      <c r="EZ439" s="14"/>
      <c r="FA439" s="16"/>
      <c r="FB439" s="14"/>
      <c r="FC439" s="12" t="s">
        <v>319</v>
      </c>
      <c r="FD439" s="14"/>
      <c r="FE439" s="16"/>
      <c r="FF439" s="14"/>
      <c r="FG439" s="12" t="s">
        <v>319</v>
      </c>
      <c r="FH439" s="14"/>
      <c r="FI439" s="16"/>
      <c r="FJ439" s="14"/>
      <c r="FK439" s="12" t="s">
        <v>320</v>
      </c>
      <c r="FL439" s="14">
        <v>19360</v>
      </c>
      <c r="FM439" s="16">
        <v>0.64129999999999998</v>
      </c>
      <c r="FN439" s="14">
        <v>58080</v>
      </c>
      <c r="FO439" s="12" t="s">
        <v>319</v>
      </c>
      <c r="FP439" s="14"/>
      <c r="FQ439" s="16"/>
      <c r="FR439" s="14"/>
      <c r="FS439" s="12" t="s">
        <v>319</v>
      </c>
      <c r="FT439" s="14"/>
      <c r="FU439" s="16"/>
      <c r="FV439" s="14"/>
      <c r="FW439" s="12" t="s">
        <v>319</v>
      </c>
      <c r="FX439" s="14"/>
      <c r="FY439" s="16"/>
      <c r="FZ439" s="14"/>
      <c r="GA439" s="12" t="s">
        <v>319</v>
      </c>
      <c r="GB439" s="14"/>
      <c r="GC439" s="16"/>
      <c r="GD439" s="14"/>
      <c r="GE439" s="12" t="s">
        <v>319</v>
      </c>
      <c r="GF439" s="14"/>
      <c r="GG439" s="16"/>
      <c r="GH439" s="14"/>
      <c r="GI439" s="12" t="s">
        <v>319</v>
      </c>
      <c r="GJ439" s="14"/>
      <c r="GK439" s="16"/>
      <c r="GL439" s="14"/>
      <c r="GM439" s="11" t="s">
        <v>320</v>
      </c>
      <c r="GN439" s="14">
        <v>19360</v>
      </c>
      <c r="GO439" s="16">
        <v>0.64</v>
      </c>
      <c r="GP439" s="14">
        <v>58080</v>
      </c>
      <c r="GQ439" s="12" t="s">
        <v>319</v>
      </c>
      <c r="GR439" s="14"/>
      <c r="GS439" s="16"/>
      <c r="GT439" s="14"/>
      <c r="GU439" s="12" t="s">
        <v>319</v>
      </c>
      <c r="GV439" s="14"/>
      <c r="GW439" s="16"/>
      <c r="GX439" s="14"/>
      <c r="GY439" s="12" t="s">
        <v>319</v>
      </c>
      <c r="GZ439" s="14"/>
      <c r="HA439" s="16"/>
      <c r="HB439" s="14"/>
      <c r="HC439" s="12"/>
      <c r="HD439" s="12" t="s">
        <v>319</v>
      </c>
      <c r="HE439" s="14"/>
      <c r="HF439" s="16"/>
      <c r="HG439" s="14"/>
      <c r="HH439" s="12" t="s">
        <v>319</v>
      </c>
      <c r="HI439" s="12"/>
      <c r="HJ439" s="12"/>
      <c r="HK439" s="12"/>
      <c r="HL439" s="12" t="s">
        <v>320</v>
      </c>
      <c r="HM439" s="12" t="s">
        <v>619</v>
      </c>
      <c r="HN439" s="12">
        <v>2017</v>
      </c>
      <c r="HO439" s="12" t="s">
        <v>7629</v>
      </c>
      <c r="HP439" s="12" t="s">
        <v>330</v>
      </c>
      <c r="HQ439" s="12" t="s">
        <v>319</v>
      </c>
      <c r="HR439" s="12" t="s">
        <v>319</v>
      </c>
      <c r="HS439" s="12" t="s">
        <v>320</v>
      </c>
      <c r="HT439" s="12" t="s">
        <v>320</v>
      </c>
      <c r="HU439" s="12" t="s">
        <v>319</v>
      </c>
      <c r="HV439" s="12" t="s">
        <v>319</v>
      </c>
      <c r="HW439" s="12" t="s">
        <v>320</v>
      </c>
      <c r="HX439" s="12" t="s">
        <v>319</v>
      </c>
      <c r="HY439" s="12"/>
      <c r="HZ439" s="12" t="s">
        <v>363</v>
      </c>
      <c r="IA439" s="12"/>
      <c r="IB439" s="12" t="s">
        <v>396</v>
      </c>
      <c r="IC439" s="12" t="s">
        <v>7630</v>
      </c>
      <c r="ID439" s="12" t="s">
        <v>334</v>
      </c>
      <c r="IE439" s="12" t="s">
        <v>335</v>
      </c>
      <c r="IF439" s="12" t="s">
        <v>319</v>
      </c>
      <c r="IG439" s="12" t="s">
        <v>319</v>
      </c>
      <c r="IH439" s="12" t="s">
        <v>320</v>
      </c>
      <c r="II439" s="12" t="s">
        <v>320</v>
      </c>
      <c r="IJ439" s="12" t="str">
        <f t="shared" si="259"/>
        <v>1. Neutral</v>
      </c>
      <c r="IK439" s="12">
        <f t="shared" si="260"/>
        <v>2</v>
      </c>
      <c r="IL439" s="12" t="s">
        <v>336</v>
      </c>
      <c r="IM439" s="12" t="s">
        <v>319</v>
      </c>
      <c r="IN439" s="12" t="s">
        <v>320</v>
      </c>
      <c r="IO439" s="12" t="s">
        <v>320</v>
      </c>
      <c r="IP439" s="12" t="s">
        <v>320</v>
      </c>
      <c r="IQ439" s="12" t="str">
        <f t="shared" si="261"/>
        <v>2. Accommodating</v>
      </c>
      <c r="IR439" s="12">
        <f t="shared" si="262"/>
        <v>3</v>
      </c>
      <c r="IS439" s="12" t="s">
        <v>456</v>
      </c>
      <c r="IT439" s="12" t="s">
        <v>319</v>
      </c>
      <c r="IU439" s="12" t="s">
        <v>319</v>
      </c>
      <c r="IV439" s="12" t="s">
        <v>319</v>
      </c>
      <c r="IW439" s="11" t="str">
        <f t="shared" si="263"/>
        <v>0. Harmful</v>
      </c>
      <c r="IX439" s="12">
        <f t="shared" si="264"/>
        <v>0</v>
      </c>
      <c r="IY439" s="12" t="s">
        <v>338</v>
      </c>
      <c r="IZ439" s="12" t="s">
        <v>432</v>
      </c>
      <c r="JA439" s="12">
        <v>1</v>
      </c>
      <c r="JB439" s="12" t="s">
        <v>433</v>
      </c>
      <c r="JC439" s="12"/>
      <c r="JD439" s="12"/>
      <c r="JE439" s="12" t="s">
        <v>340</v>
      </c>
      <c r="JF439" s="12" t="s">
        <v>7631</v>
      </c>
      <c r="JG439" s="12"/>
      <c r="JH439" s="12" t="s">
        <v>7632</v>
      </c>
      <c r="JI439" s="12"/>
      <c r="JJ439" s="12"/>
      <c r="JK439" s="12" t="s">
        <v>7633</v>
      </c>
      <c r="JL439" s="12"/>
      <c r="JM439" s="12"/>
      <c r="JN439" s="12"/>
      <c r="JO439" s="12"/>
      <c r="JP439" s="15">
        <f t="shared" si="265"/>
        <v>19360</v>
      </c>
      <c r="JQ439" s="15">
        <f t="shared" si="266"/>
        <v>58080</v>
      </c>
      <c r="JR439" s="279">
        <f t="shared" si="267"/>
        <v>3</v>
      </c>
      <c r="JS439" s="17">
        <f t="shared" si="268"/>
        <v>0.64152892561983466</v>
      </c>
      <c r="JT439" s="18">
        <f t="shared" si="269"/>
        <v>0.64152892561983466</v>
      </c>
      <c r="JU439" s="280">
        <f t="shared" si="270"/>
        <v>12420</v>
      </c>
      <c r="JV439" s="280">
        <f t="shared" si="271"/>
        <v>37260</v>
      </c>
      <c r="JW439" s="319" t="str">
        <f t="shared" si="272"/>
        <v/>
      </c>
      <c r="JX439" s="15">
        <f t="shared" si="273"/>
        <v>0</v>
      </c>
      <c r="JY439" s="15">
        <f t="shared" si="274"/>
        <v>0</v>
      </c>
      <c r="JZ439" s="19" t="str">
        <f t="shared" si="275"/>
        <v/>
      </c>
      <c r="KA439" s="52" t="str">
        <f t="shared" si="276"/>
        <v/>
      </c>
      <c r="KB439" s="15">
        <f t="shared" si="277"/>
        <v>0</v>
      </c>
      <c r="KC439" s="15">
        <f t="shared" si="278"/>
        <v>0</v>
      </c>
      <c r="KD439" s="20" t="str">
        <f t="shared" si="279"/>
        <v/>
      </c>
      <c r="KE439" s="52" t="str">
        <f t="shared" si="280"/>
        <v/>
      </c>
      <c r="KF439" s="15">
        <f t="shared" si="281"/>
        <v>0</v>
      </c>
      <c r="KG439" s="15">
        <f t="shared" si="282"/>
        <v>0</v>
      </c>
      <c r="KH439" s="21" t="str">
        <f t="shared" si="283"/>
        <v/>
      </c>
      <c r="KI439" s="52" t="str">
        <f t="shared" si="284"/>
        <v/>
      </c>
      <c r="KJ439" s="15">
        <f t="shared" si="285"/>
        <v>0</v>
      </c>
      <c r="KK439" s="15">
        <f t="shared" si="286"/>
        <v>0</v>
      </c>
      <c r="KL439" s="19" t="str">
        <f t="shared" si="287"/>
        <v/>
      </c>
      <c r="KM439" s="52" t="str">
        <f t="shared" si="288"/>
        <v/>
      </c>
      <c r="KN439" s="22">
        <f t="shared" si="289"/>
        <v>0</v>
      </c>
      <c r="KO439" s="22">
        <f t="shared" si="290"/>
        <v>0</v>
      </c>
      <c r="KP439" s="19" t="str">
        <f t="shared" si="291"/>
        <v/>
      </c>
      <c r="KQ439" s="11" t="str">
        <f t="shared" si="292"/>
        <v>1. Neutral</v>
      </c>
      <c r="KR439" s="11" t="str">
        <f t="shared" si="293"/>
        <v>2. Accommodating</v>
      </c>
      <c r="KS439" s="11" t="str">
        <f t="shared" si="294"/>
        <v>0. Harmful</v>
      </c>
      <c r="KT439" s="11" t="str">
        <f t="shared" si="295"/>
        <v>It did not develop any specific innovation</v>
      </c>
      <c r="KU439" s="11" t="str">
        <f t="shared" si="296"/>
        <v>Moderate advocacy</v>
      </c>
      <c r="KV439" s="11" t="str">
        <f t="shared" si="297"/>
        <v>It linked and worked with strategic alliances and partners to take tested and effective solutions to scale</v>
      </c>
      <c r="KW439" s="11" t="str">
        <f t="shared" si="298"/>
        <v>Malawi - GPSA- SSAES (Strengthening Social Accountability in Education Sector</v>
      </c>
      <c r="KX439" s="11" t="str">
        <f t="shared" si="299"/>
        <v>GPSA- SSAES (Strengthening Social Accountability in Education Sector</v>
      </c>
      <c r="KY439" s="11" t="str">
        <f t="shared" si="300"/>
        <v>Malawi</v>
      </c>
      <c r="KZ439" s="12">
        <v>439</v>
      </c>
    </row>
    <row r="440" spans="1:312" x14ac:dyDescent="0.3">
      <c r="A440" s="12" t="s">
        <v>7451</v>
      </c>
      <c r="B440" s="12" t="s">
        <v>7217</v>
      </c>
      <c r="C440" s="12">
        <v>3124</v>
      </c>
      <c r="D440" s="12" t="s">
        <v>7528</v>
      </c>
      <c r="E440" s="277" t="str">
        <f t="shared" si="258"/>
        <v>Malawi</v>
      </c>
      <c r="F440" s="12" t="s">
        <v>7529</v>
      </c>
      <c r="G440" s="12" t="s">
        <v>1738</v>
      </c>
      <c r="H440" s="12" t="s">
        <v>310</v>
      </c>
      <c r="I440" s="12" t="s">
        <v>2595</v>
      </c>
      <c r="J440" s="281" t="s">
        <v>14601</v>
      </c>
      <c r="K440" s="12"/>
      <c r="L440" s="12"/>
      <c r="M440" s="12"/>
      <c r="N440" s="12"/>
      <c r="O440" s="12"/>
      <c r="P440" s="12"/>
      <c r="Q440" s="12"/>
      <c r="R440" s="12"/>
      <c r="S440" s="12"/>
      <c r="T440" s="12"/>
      <c r="U440" s="12"/>
      <c r="V440" s="12"/>
      <c r="W440" s="12"/>
      <c r="X440" s="12"/>
      <c r="Y440" s="12"/>
      <c r="Z440" s="12"/>
      <c r="AA440" s="12"/>
      <c r="AB440" s="12"/>
      <c r="AC440" s="12"/>
      <c r="AD440" s="12"/>
      <c r="BD440" s="13">
        <v>42278</v>
      </c>
      <c r="BE440" s="13">
        <v>43100</v>
      </c>
      <c r="BF440" s="12"/>
      <c r="BG440" s="12" t="s">
        <v>749</v>
      </c>
      <c r="BH440" s="14">
        <v>542881</v>
      </c>
      <c r="BI440" s="12" t="s">
        <v>7479</v>
      </c>
      <c r="BJ440" s="12" t="s">
        <v>7530</v>
      </c>
      <c r="BK440" s="12" t="s">
        <v>7481</v>
      </c>
      <c r="BL440" s="12" t="s">
        <v>7531</v>
      </c>
      <c r="BM440" s="12" t="s">
        <v>7532</v>
      </c>
      <c r="BN440" s="12" t="s">
        <v>7533</v>
      </c>
      <c r="BO440" s="11" t="s">
        <v>319</v>
      </c>
      <c r="BP440" s="11" t="s">
        <v>320</v>
      </c>
      <c r="BQ440" s="11" t="s">
        <v>319</v>
      </c>
      <c r="BR440" s="12" t="s">
        <v>7534</v>
      </c>
      <c r="BS440" s="12" t="s">
        <v>357</v>
      </c>
      <c r="BT440" s="12" t="s">
        <v>7535</v>
      </c>
      <c r="BU440" s="12" t="s">
        <v>7536</v>
      </c>
      <c r="BV440" s="14">
        <v>10491</v>
      </c>
      <c r="BW440" s="14">
        <v>4956</v>
      </c>
      <c r="BX440" s="14">
        <v>15447</v>
      </c>
      <c r="BY440" s="14">
        <v>52954</v>
      </c>
      <c r="BZ440" s="14">
        <v>56021</v>
      </c>
      <c r="CA440" s="14">
        <v>108975</v>
      </c>
      <c r="CB440" s="12" t="s">
        <v>7537</v>
      </c>
      <c r="CD440" s="14"/>
      <c r="CE440" s="14"/>
      <c r="CF440" s="14"/>
      <c r="CG440" s="14"/>
      <c r="CH440" s="14"/>
      <c r="CI440" s="14"/>
      <c r="CJ440" s="12"/>
      <c r="CK440" s="14"/>
      <c r="CL440" s="16"/>
      <c r="CM440" s="14"/>
      <c r="CN440" s="12"/>
      <c r="CO440" s="14"/>
      <c r="CP440" s="16"/>
      <c r="CQ440" s="14"/>
      <c r="CR440" s="12"/>
      <c r="CS440" s="14"/>
      <c r="CT440" s="16"/>
      <c r="CU440" s="14"/>
      <c r="CV440" s="12"/>
      <c r="CW440" s="14"/>
      <c r="CX440" s="16"/>
      <c r="CY440" s="14"/>
      <c r="CZ440" s="12"/>
      <c r="DA440" s="14"/>
      <c r="DB440" s="16"/>
      <c r="DC440" s="14"/>
      <c r="DD440" s="12"/>
      <c r="DE440" s="14"/>
      <c r="DF440" s="16"/>
      <c r="DG440" s="14"/>
      <c r="DH440" s="12"/>
      <c r="DI440" s="14"/>
      <c r="DJ440" s="16"/>
      <c r="DK440" s="14"/>
      <c r="DL440" s="12"/>
      <c r="DM440" s="14"/>
      <c r="DN440" s="16"/>
      <c r="DO440" s="14"/>
      <c r="DP440" s="12"/>
      <c r="DQ440" s="14"/>
      <c r="DR440" s="16"/>
      <c r="DS440" s="14"/>
      <c r="DT440" s="12"/>
      <c r="DU440" s="14"/>
      <c r="DV440" s="16"/>
      <c r="DW440" s="14"/>
      <c r="DX440" s="12"/>
      <c r="DY440" s="14"/>
      <c r="DZ440" s="16"/>
      <c r="EA440" s="14"/>
      <c r="EB440" s="12"/>
      <c r="EC440" s="14"/>
      <c r="ED440" s="16"/>
      <c r="EE440" s="14"/>
      <c r="EF440" s="12"/>
      <c r="EG440" s="12"/>
      <c r="EH440" s="14"/>
      <c r="EI440" s="16"/>
      <c r="EJ440" s="14"/>
      <c r="EK440" s="14">
        <v>10491</v>
      </c>
      <c r="EL440" s="14">
        <v>4956</v>
      </c>
      <c r="EM440" s="14">
        <v>15447</v>
      </c>
      <c r="EN440" s="14">
        <v>52954</v>
      </c>
      <c r="EO440" s="14">
        <v>56021</v>
      </c>
      <c r="EP440" s="14">
        <v>108975</v>
      </c>
      <c r="EQ440" s="12" t="s">
        <v>320</v>
      </c>
      <c r="ER440" s="14">
        <v>3676</v>
      </c>
      <c r="ES440" s="16">
        <v>0.7</v>
      </c>
      <c r="ET440" s="14">
        <v>183</v>
      </c>
      <c r="EU440" s="11" t="s">
        <v>319</v>
      </c>
      <c r="EV440" s="14"/>
      <c r="EW440" s="16"/>
      <c r="EX440" s="14"/>
      <c r="EY440" s="12" t="s">
        <v>319</v>
      </c>
      <c r="EZ440" s="14"/>
      <c r="FA440" s="16"/>
      <c r="FB440" s="14"/>
      <c r="FC440" s="12" t="s">
        <v>319</v>
      </c>
      <c r="FD440" s="14"/>
      <c r="FE440" s="16"/>
      <c r="FF440" s="14"/>
      <c r="FG440" s="12" t="s">
        <v>319</v>
      </c>
      <c r="FH440" s="14"/>
      <c r="FI440" s="16"/>
      <c r="FJ440" s="14"/>
      <c r="FK440" s="12" t="s">
        <v>319</v>
      </c>
      <c r="FL440" s="14"/>
      <c r="FM440" s="16"/>
      <c r="FN440" s="14"/>
      <c r="FO440" s="12" t="s">
        <v>320</v>
      </c>
      <c r="FP440" s="14">
        <v>14295</v>
      </c>
      <c r="FQ440" s="16">
        <v>0.7</v>
      </c>
      <c r="FR440" s="14">
        <v>94680</v>
      </c>
      <c r="FS440" s="12" t="s">
        <v>319</v>
      </c>
      <c r="FT440" s="14"/>
      <c r="FU440" s="16"/>
      <c r="FV440" s="14"/>
      <c r="FW440" s="12" t="s">
        <v>319</v>
      </c>
      <c r="FX440" s="14"/>
      <c r="FY440" s="16"/>
      <c r="FZ440" s="14"/>
      <c r="GA440" s="12" t="s">
        <v>319</v>
      </c>
      <c r="GB440" s="14"/>
      <c r="GC440" s="16"/>
      <c r="GD440" s="14"/>
      <c r="GE440" s="12" t="s">
        <v>319</v>
      </c>
      <c r="GF440" s="14"/>
      <c r="GG440" s="16"/>
      <c r="GH440" s="14"/>
      <c r="GI440" s="12" t="s">
        <v>319</v>
      </c>
      <c r="GJ440" s="14"/>
      <c r="GK440" s="16"/>
      <c r="GL440" s="14"/>
      <c r="GM440" s="12" t="s">
        <v>319</v>
      </c>
      <c r="GN440" s="14"/>
      <c r="GO440" s="16"/>
      <c r="GP440" s="14"/>
      <c r="GQ440" s="12" t="s">
        <v>319</v>
      </c>
      <c r="GR440" s="14"/>
      <c r="GS440" s="16"/>
      <c r="GT440" s="14"/>
      <c r="GU440" s="12" t="s">
        <v>320</v>
      </c>
      <c r="GV440" s="14">
        <v>14295</v>
      </c>
      <c r="GW440" s="16">
        <v>0.7</v>
      </c>
      <c r="GX440" s="14">
        <v>94680</v>
      </c>
      <c r="GY440" s="11" t="s">
        <v>320</v>
      </c>
      <c r="GZ440" s="14">
        <v>2053</v>
      </c>
      <c r="HA440" s="16">
        <v>0.88</v>
      </c>
      <c r="HB440" s="14">
        <v>821</v>
      </c>
      <c r="HC440" s="12"/>
      <c r="HD440" s="12"/>
      <c r="HE440" s="14"/>
      <c r="HF440" s="16"/>
      <c r="HG440" s="14"/>
      <c r="HH440" s="12" t="s">
        <v>320</v>
      </c>
      <c r="HI440" s="12" t="s">
        <v>522</v>
      </c>
      <c r="HJ440" s="12">
        <v>2016</v>
      </c>
      <c r="HK440" s="12" t="s">
        <v>320</v>
      </c>
      <c r="HL440" s="12" t="s">
        <v>320</v>
      </c>
      <c r="HM440" s="12" t="s">
        <v>522</v>
      </c>
      <c r="HN440" s="12">
        <v>2017</v>
      </c>
      <c r="HO440" s="12" t="s">
        <v>7538</v>
      </c>
      <c r="HP440" s="12" t="s">
        <v>418</v>
      </c>
      <c r="HQ440" s="12" t="s">
        <v>319</v>
      </c>
      <c r="HR440" s="12" t="s">
        <v>319</v>
      </c>
      <c r="HS440" s="12" t="s">
        <v>320</v>
      </c>
      <c r="HT440" s="12" t="s">
        <v>320</v>
      </c>
      <c r="HU440" s="12" t="s">
        <v>319</v>
      </c>
      <c r="HV440" s="12" t="s">
        <v>319</v>
      </c>
      <c r="HW440" s="12" t="s">
        <v>319</v>
      </c>
      <c r="HX440" s="12" t="s">
        <v>319</v>
      </c>
      <c r="HY440" s="12"/>
      <c r="HZ440" s="12" t="s">
        <v>363</v>
      </c>
      <c r="IA440" s="12"/>
      <c r="IB440" s="12" t="s">
        <v>396</v>
      </c>
      <c r="IC440" s="12" t="s">
        <v>7539</v>
      </c>
      <c r="ID440" s="12" t="s">
        <v>364</v>
      </c>
      <c r="IE440" s="12" t="s">
        <v>335</v>
      </c>
      <c r="IF440" s="12" t="s">
        <v>320</v>
      </c>
      <c r="IG440" s="12" t="s">
        <v>320</v>
      </c>
      <c r="IH440" s="12" t="s">
        <v>320</v>
      </c>
      <c r="II440" s="12" t="s">
        <v>320</v>
      </c>
      <c r="IJ440" s="12" t="str">
        <f t="shared" si="259"/>
        <v>2. Sensitive</v>
      </c>
      <c r="IK440" s="12">
        <f t="shared" si="260"/>
        <v>4</v>
      </c>
      <c r="IL440" s="12" t="s">
        <v>336</v>
      </c>
      <c r="IM440" s="12" t="s">
        <v>320</v>
      </c>
      <c r="IN440" s="12" t="s">
        <v>320</v>
      </c>
      <c r="IO440" s="12" t="s">
        <v>320</v>
      </c>
      <c r="IP440" s="12" t="s">
        <v>320</v>
      </c>
      <c r="IQ440" s="12" t="str">
        <f t="shared" si="261"/>
        <v>2. Accommodating</v>
      </c>
      <c r="IR440" s="12">
        <f t="shared" si="262"/>
        <v>4</v>
      </c>
      <c r="IS440" s="12" t="s">
        <v>337</v>
      </c>
      <c r="IT440" s="12" t="s">
        <v>320</v>
      </c>
      <c r="IU440" s="12" t="s">
        <v>320</v>
      </c>
      <c r="IV440" s="12" t="s">
        <v>320</v>
      </c>
      <c r="IW440" s="11" t="str">
        <f t="shared" si="263"/>
        <v>2. Sensitive</v>
      </c>
      <c r="IX440" s="12">
        <f t="shared" si="264"/>
        <v>3</v>
      </c>
      <c r="IY440" s="12" t="s">
        <v>419</v>
      </c>
      <c r="IZ440" s="12" t="s">
        <v>339</v>
      </c>
      <c r="JA440" s="12"/>
      <c r="JB440" s="12"/>
      <c r="JC440" s="12" t="s">
        <v>831</v>
      </c>
      <c r="JD440" s="12" t="s">
        <v>651</v>
      </c>
      <c r="JE440" s="12" t="s">
        <v>420</v>
      </c>
      <c r="JF440" s="12"/>
      <c r="JG440" s="12"/>
      <c r="JH440" s="12" t="s">
        <v>7540</v>
      </c>
      <c r="JI440" s="12" t="s">
        <v>7541</v>
      </c>
      <c r="JJ440" s="12" t="s">
        <v>7542</v>
      </c>
      <c r="JK440" s="12" t="s">
        <v>7543</v>
      </c>
      <c r="JL440" s="12" t="s">
        <v>7544</v>
      </c>
      <c r="JM440" s="12" t="s">
        <v>7545</v>
      </c>
      <c r="JN440" s="12"/>
      <c r="JO440" s="12"/>
      <c r="JP440" s="15">
        <f t="shared" si="265"/>
        <v>15447</v>
      </c>
      <c r="JQ440" s="15">
        <f t="shared" si="266"/>
        <v>108975</v>
      </c>
      <c r="JR440" s="279">
        <f t="shared" si="267"/>
        <v>7.0547679161002135</v>
      </c>
      <c r="JS440" s="17">
        <f t="shared" si="268"/>
        <v>0.67916100213633712</v>
      </c>
      <c r="JT440" s="18">
        <f t="shared" si="269"/>
        <v>0.48592796512961689</v>
      </c>
      <c r="JU440" s="280">
        <f t="shared" si="270"/>
        <v>10491</v>
      </c>
      <c r="JV440" s="280">
        <f t="shared" si="271"/>
        <v>52954</v>
      </c>
      <c r="JW440" s="319" t="str">
        <f t="shared" si="272"/>
        <v/>
      </c>
      <c r="JX440" s="15">
        <f t="shared" si="273"/>
        <v>0</v>
      </c>
      <c r="JY440" s="15">
        <f t="shared" si="274"/>
        <v>0</v>
      </c>
      <c r="JZ440" s="19" t="str">
        <f t="shared" si="275"/>
        <v/>
      </c>
      <c r="KA440" s="52">
        <f t="shared" si="276"/>
        <v>1</v>
      </c>
      <c r="KB440" s="15">
        <f t="shared" si="277"/>
        <v>14295</v>
      </c>
      <c r="KC440" s="15">
        <f t="shared" si="278"/>
        <v>94680</v>
      </c>
      <c r="KD440" s="20">
        <f t="shared" si="279"/>
        <v>6.6232948583420779</v>
      </c>
      <c r="KE440" s="52" t="str">
        <f t="shared" si="280"/>
        <v/>
      </c>
      <c r="KF440" s="15">
        <f t="shared" si="281"/>
        <v>0</v>
      </c>
      <c r="KG440" s="15">
        <f t="shared" si="282"/>
        <v>0</v>
      </c>
      <c r="KH440" s="21" t="str">
        <f t="shared" si="283"/>
        <v/>
      </c>
      <c r="KI440" s="52" t="str">
        <f t="shared" si="284"/>
        <v/>
      </c>
      <c r="KJ440" s="15">
        <f t="shared" si="285"/>
        <v>0</v>
      </c>
      <c r="KK440" s="15">
        <f t="shared" si="286"/>
        <v>0</v>
      </c>
      <c r="KL440" s="19" t="str">
        <f t="shared" si="287"/>
        <v/>
      </c>
      <c r="KM440" s="52">
        <f t="shared" si="288"/>
        <v>1</v>
      </c>
      <c r="KN440" s="22">
        <f t="shared" si="289"/>
        <v>2053</v>
      </c>
      <c r="KO440" s="22">
        <f t="shared" si="290"/>
        <v>821</v>
      </c>
      <c r="KP440" s="19">
        <f t="shared" si="291"/>
        <v>0.39990258158792014</v>
      </c>
      <c r="KQ440" s="11" t="str">
        <f t="shared" si="292"/>
        <v>2. Sensitive</v>
      </c>
      <c r="KR440" s="11" t="str">
        <f t="shared" si="293"/>
        <v>2. Accommodating</v>
      </c>
      <c r="KS440" s="11" t="str">
        <f t="shared" si="294"/>
        <v>2. Sensitive</v>
      </c>
      <c r="KT440" s="11" t="str">
        <f t="shared" si="295"/>
        <v>It did not develop any specific innovation</v>
      </c>
      <c r="KU440" s="11" t="str">
        <f t="shared" si="296"/>
        <v>Little or no advocacy</v>
      </c>
      <c r="KV440" s="11" t="str">
        <f t="shared" si="297"/>
        <v>It linked and worked with strategic alliances and partners to take tested and effective solutions to scale</v>
      </c>
      <c r="KW440" s="11" t="str">
        <f t="shared" si="298"/>
        <v>Malawi - Improving Food Security and Building Resilience ( GIZ Nutrition)</v>
      </c>
      <c r="KX440" s="11" t="str">
        <f t="shared" si="299"/>
        <v>Improving Food Security and Building Resilience ( GIZ Nutrition)</v>
      </c>
      <c r="KY440" s="11" t="str">
        <f t="shared" si="300"/>
        <v>Malawi</v>
      </c>
      <c r="KZ440" s="12">
        <v>440</v>
      </c>
    </row>
    <row r="441" spans="1:312" x14ac:dyDescent="0.3">
      <c r="A441" s="12" t="s">
        <v>7451</v>
      </c>
      <c r="B441" s="12" t="s">
        <v>7217</v>
      </c>
      <c r="C441" s="12"/>
      <c r="D441" s="12" t="s">
        <v>7634</v>
      </c>
      <c r="E441" s="277" t="str">
        <f t="shared" si="258"/>
        <v>Malawi</v>
      </c>
      <c r="F441" s="12" t="s">
        <v>7635</v>
      </c>
      <c r="G441" s="12" t="s">
        <v>379</v>
      </c>
      <c r="H441" s="12" t="s">
        <v>310</v>
      </c>
      <c r="I441" s="12" t="s">
        <v>655</v>
      </c>
      <c r="J441" s="281" t="s">
        <v>14637</v>
      </c>
      <c r="K441" s="12"/>
      <c r="L441" s="12"/>
      <c r="M441" s="12"/>
      <c r="N441" s="12"/>
      <c r="O441" s="12"/>
      <c r="P441" s="12"/>
      <c r="Q441" s="12"/>
      <c r="R441" s="12"/>
      <c r="S441" s="12"/>
      <c r="T441" s="12"/>
      <c r="U441" s="12"/>
      <c r="V441" s="12"/>
      <c r="W441" s="12"/>
      <c r="X441" s="12"/>
      <c r="Y441" s="12"/>
      <c r="Z441" s="12"/>
      <c r="AA441" s="12"/>
      <c r="AB441" s="12"/>
      <c r="AC441" s="12"/>
      <c r="AD441" s="12"/>
      <c r="BD441" s="13">
        <v>42583</v>
      </c>
      <c r="BE441" s="13">
        <v>42947</v>
      </c>
      <c r="BF441" s="12"/>
      <c r="BG441" s="12" t="s">
        <v>908</v>
      </c>
      <c r="BH441" s="14">
        <v>1428516</v>
      </c>
      <c r="BI441" s="12" t="s">
        <v>7636</v>
      </c>
      <c r="BJ441" s="12" t="s">
        <v>354</v>
      </c>
      <c r="BK441" s="12" t="s">
        <v>7637</v>
      </c>
      <c r="BL441" s="12" t="s">
        <v>7638</v>
      </c>
      <c r="BM441" s="12" t="s">
        <v>4357</v>
      </c>
      <c r="BN441" s="12" t="s">
        <v>7639</v>
      </c>
      <c r="BO441" s="12" t="s">
        <v>320</v>
      </c>
      <c r="BP441" s="12" t="s">
        <v>319</v>
      </c>
      <c r="BQ441" s="12" t="s">
        <v>319</v>
      </c>
      <c r="BR441" s="12" t="s">
        <v>7640</v>
      </c>
      <c r="BS441" s="12" t="s">
        <v>357</v>
      </c>
      <c r="BT441" s="12" t="s">
        <v>7641</v>
      </c>
      <c r="BU441" s="12" t="s">
        <v>7642</v>
      </c>
      <c r="BV441" s="14">
        <v>10800</v>
      </c>
      <c r="BW441" s="14">
        <v>7200</v>
      </c>
      <c r="BX441" s="14">
        <v>18000</v>
      </c>
      <c r="BY441" s="14">
        <v>45360</v>
      </c>
      <c r="BZ441" s="14">
        <v>30240</v>
      </c>
      <c r="CA441" s="14">
        <v>75600</v>
      </c>
      <c r="CB441" s="12" t="s">
        <v>7643</v>
      </c>
      <c r="CD441" s="14">
        <v>10988</v>
      </c>
      <c r="CE441" s="14">
        <v>8465</v>
      </c>
      <c r="CF441" s="14">
        <v>19453</v>
      </c>
      <c r="CG441" s="14">
        <v>46446</v>
      </c>
      <c r="CH441" s="14">
        <v>35553</v>
      </c>
      <c r="CI441" s="14">
        <v>81999</v>
      </c>
      <c r="CJ441" s="12" t="s">
        <v>319</v>
      </c>
      <c r="CK441" s="14"/>
      <c r="CL441" s="16"/>
      <c r="CM441" s="14"/>
      <c r="CN441" s="12" t="s">
        <v>319</v>
      </c>
      <c r="CO441" s="14"/>
      <c r="CP441" s="16"/>
      <c r="CQ441" s="14"/>
      <c r="CR441" s="12" t="s">
        <v>319</v>
      </c>
      <c r="CS441" s="14"/>
      <c r="CT441" s="16"/>
      <c r="CU441" s="14"/>
      <c r="CV441" s="12" t="s">
        <v>320</v>
      </c>
      <c r="CW441" s="14">
        <v>19453</v>
      </c>
      <c r="CX441" s="16">
        <v>0.56000000000000005</v>
      </c>
      <c r="CY441" s="14">
        <v>81999</v>
      </c>
      <c r="CZ441" s="12" t="s">
        <v>319</v>
      </c>
      <c r="DA441" s="14"/>
      <c r="DB441" s="16"/>
      <c r="DC441" s="14"/>
      <c r="DD441" s="12" t="s">
        <v>319</v>
      </c>
      <c r="DE441" s="14"/>
      <c r="DF441" s="16"/>
      <c r="DG441" s="14"/>
      <c r="DH441" s="12" t="s">
        <v>319</v>
      </c>
      <c r="DI441" s="14"/>
      <c r="DJ441" s="16"/>
      <c r="DK441" s="14"/>
      <c r="DL441" s="11" t="s">
        <v>320</v>
      </c>
      <c r="DM441" s="14">
        <v>19453</v>
      </c>
      <c r="DN441" s="16">
        <v>0.56000000000000005</v>
      </c>
      <c r="DO441" s="14">
        <v>81999</v>
      </c>
      <c r="DP441" s="12" t="s">
        <v>319</v>
      </c>
      <c r="DQ441" s="14"/>
      <c r="DR441" s="16"/>
      <c r="DS441" s="14"/>
      <c r="DT441" s="12" t="s">
        <v>319</v>
      </c>
      <c r="DU441" s="14"/>
      <c r="DV441" s="16"/>
      <c r="DW441" s="14"/>
      <c r="DX441" s="12" t="s">
        <v>319</v>
      </c>
      <c r="DY441" s="14"/>
      <c r="DZ441" s="16"/>
      <c r="EA441" s="14"/>
      <c r="EB441" s="12" t="s">
        <v>319</v>
      </c>
      <c r="EC441" s="14"/>
      <c r="ED441" s="16"/>
      <c r="EE441" s="14"/>
      <c r="EF441" s="12"/>
      <c r="EG441" s="12" t="s">
        <v>319</v>
      </c>
      <c r="EH441" s="14"/>
      <c r="EI441" s="16"/>
      <c r="EJ441" s="14"/>
      <c r="EK441" s="14"/>
      <c r="EL441" s="14"/>
      <c r="EM441" s="14"/>
      <c r="EN441" s="14"/>
      <c r="EO441" s="14"/>
      <c r="EP441" s="14"/>
      <c r="EQ441" s="12"/>
      <c r="ER441" s="14"/>
      <c r="ES441" s="16"/>
      <c r="ET441" s="14"/>
      <c r="EU441" s="12"/>
      <c r="EV441" s="14"/>
      <c r="EW441" s="16"/>
      <c r="EX441" s="14"/>
      <c r="EY441" s="12"/>
      <c r="EZ441" s="14"/>
      <c r="FA441" s="16"/>
      <c r="FB441" s="14"/>
      <c r="FC441" s="12"/>
      <c r="FD441" s="14"/>
      <c r="FE441" s="16"/>
      <c r="FF441" s="14"/>
      <c r="FG441" s="12"/>
      <c r="FH441" s="14"/>
      <c r="FI441" s="16"/>
      <c r="FJ441" s="14"/>
      <c r="FK441" s="12"/>
      <c r="FL441" s="14"/>
      <c r="FM441" s="16"/>
      <c r="FN441" s="14"/>
      <c r="FO441" s="12"/>
      <c r="FP441" s="14"/>
      <c r="FQ441" s="16"/>
      <c r="FR441" s="14"/>
      <c r="FS441" s="12"/>
      <c r="FT441" s="14"/>
      <c r="FU441" s="16"/>
      <c r="FV441" s="14"/>
      <c r="FW441" s="12"/>
      <c r="FX441" s="14"/>
      <c r="FY441" s="16"/>
      <c r="FZ441" s="14"/>
      <c r="GA441" s="12"/>
      <c r="GB441" s="14"/>
      <c r="GC441" s="16"/>
      <c r="GD441" s="14"/>
      <c r="GE441" s="12"/>
      <c r="GF441" s="14"/>
      <c r="GG441" s="16"/>
      <c r="GH441" s="14"/>
      <c r="GI441" s="12"/>
      <c r="GJ441" s="14"/>
      <c r="GK441" s="16"/>
      <c r="GL441" s="14"/>
      <c r="GM441" s="12"/>
      <c r="GN441" s="14"/>
      <c r="GO441" s="16"/>
      <c r="GP441" s="14"/>
      <c r="GQ441" s="12"/>
      <c r="GR441" s="14"/>
      <c r="GS441" s="16"/>
      <c r="GT441" s="14"/>
      <c r="GU441" s="12"/>
      <c r="GV441" s="14"/>
      <c r="GW441" s="16"/>
      <c r="GX441" s="14"/>
      <c r="GY441" s="12"/>
      <c r="GZ441" s="14"/>
      <c r="HA441" s="16"/>
      <c r="HB441" s="14"/>
      <c r="HC441" s="12"/>
      <c r="HD441" s="12"/>
      <c r="HE441" s="14"/>
      <c r="HF441" s="16"/>
      <c r="HG441" s="14"/>
      <c r="HH441" s="12" t="s">
        <v>320</v>
      </c>
      <c r="HI441" s="12" t="s">
        <v>361</v>
      </c>
      <c r="HJ441" s="12">
        <v>2016</v>
      </c>
      <c r="HK441" s="12" t="s">
        <v>320</v>
      </c>
      <c r="HL441" s="12" t="s">
        <v>320</v>
      </c>
      <c r="HM441" s="12" t="s">
        <v>415</v>
      </c>
      <c r="HN441" s="12">
        <v>2017</v>
      </c>
      <c r="HO441" s="12" t="s">
        <v>7644</v>
      </c>
      <c r="HP441" s="12" t="s">
        <v>330</v>
      </c>
      <c r="HQ441" s="12" t="s">
        <v>319</v>
      </c>
      <c r="HR441" s="12" t="s">
        <v>319</v>
      </c>
      <c r="HS441" s="12" t="s">
        <v>320</v>
      </c>
      <c r="HT441" s="12" t="s">
        <v>319</v>
      </c>
      <c r="HU441" s="12" t="s">
        <v>319</v>
      </c>
      <c r="HV441" s="12" t="s">
        <v>319</v>
      </c>
      <c r="HW441" s="12" t="s">
        <v>319</v>
      </c>
      <c r="HX441" s="12" t="s">
        <v>319</v>
      </c>
      <c r="HY441" s="12"/>
      <c r="HZ441" s="12" t="s">
        <v>363</v>
      </c>
      <c r="IA441" s="12"/>
      <c r="IB441" s="12" t="s">
        <v>396</v>
      </c>
      <c r="IC441" s="12" t="s">
        <v>7645</v>
      </c>
      <c r="ID441" s="12" t="s">
        <v>334</v>
      </c>
      <c r="IE441" s="12" t="s">
        <v>335</v>
      </c>
      <c r="IF441" s="12" t="s">
        <v>320</v>
      </c>
      <c r="IG441" s="12" t="s">
        <v>320</v>
      </c>
      <c r="IH441" s="12" t="s">
        <v>320</v>
      </c>
      <c r="II441" s="12" t="s">
        <v>320</v>
      </c>
      <c r="IJ441" s="12" t="str">
        <f t="shared" si="259"/>
        <v>2. Sensitive</v>
      </c>
      <c r="IK441" s="12">
        <f t="shared" si="260"/>
        <v>4</v>
      </c>
      <c r="IL441" s="12" t="s">
        <v>336</v>
      </c>
      <c r="IM441" s="12" t="s">
        <v>320</v>
      </c>
      <c r="IN441" s="12" t="s">
        <v>320</v>
      </c>
      <c r="IO441" s="12" t="s">
        <v>320</v>
      </c>
      <c r="IP441" s="12" t="s">
        <v>320</v>
      </c>
      <c r="IQ441" s="12" t="str">
        <f t="shared" si="261"/>
        <v>2. Accommodating</v>
      </c>
      <c r="IR441" s="12">
        <f t="shared" si="262"/>
        <v>4</v>
      </c>
      <c r="IS441" s="12" t="s">
        <v>337</v>
      </c>
      <c r="IT441" s="12" t="s">
        <v>320</v>
      </c>
      <c r="IU441" s="12" t="s">
        <v>320</v>
      </c>
      <c r="IV441" s="12" t="s">
        <v>320</v>
      </c>
      <c r="IW441" s="11" t="str">
        <f t="shared" si="263"/>
        <v>2. Sensitive</v>
      </c>
      <c r="IX441" s="12">
        <f t="shared" si="264"/>
        <v>3</v>
      </c>
      <c r="IY441" s="12" t="s">
        <v>419</v>
      </c>
      <c r="IZ441" s="12" t="s">
        <v>527</v>
      </c>
      <c r="JA441" s="12">
        <v>1</v>
      </c>
      <c r="JB441" s="12" t="s">
        <v>433</v>
      </c>
      <c r="JC441" s="12"/>
      <c r="JD441" s="12"/>
      <c r="JE441" s="12" t="s">
        <v>420</v>
      </c>
      <c r="JF441" s="12"/>
      <c r="JG441" s="12" t="s">
        <v>7646</v>
      </c>
      <c r="JH441" s="12" t="s">
        <v>7647</v>
      </c>
      <c r="JI441" s="12" t="s">
        <v>7648</v>
      </c>
      <c r="JJ441" s="12" t="s">
        <v>7649</v>
      </c>
      <c r="JK441" s="12" t="s">
        <v>7650</v>
      </c>
      <c r="JL441" s="12" t="s">
        <v>7651</v>
      </c>
      <c r="JM441" s="12" t="s">
        <v>7652</v>
      </c>
      <c r="JN441" s="12" t="s">
        <v>7653</v>
      </c>
      <c r="JO441" s="12"/>
      <c r="JP441" s="15">
        <f t="shared" si="265"/>
        <v>19453</v>
      </c>
      <c r="JQ441" s="15">
        <f t="shared" si="266"/>
        <v>81999</v>
      </c>
      <c r="JR441" s="279">
        <f t="shared" si="267"/>
        <v>4.2152367244126872</v>
      </c>
      <c r="JS441" s="17">
        <f t="shared" si="268"/>
        <v>0.56484860946897653</v>
      </c>
      <c r="JT441" s="18">
        <f t="shared" si="269"/>
        <v>0.56642154172611858</v>
      </c>
      <c r="JU441" s="280">
        <f t="shared" si="270"/>
        <v>10988</v>
      </c>
      <c r="JV441" s="280">
        <f t="shared" si="271"/>
        <v>46446</v>
      </c>
      <c r="JW441" s="319">
        <f t="shared" si="272"/>
        <v>1</v>
      </c>
      <c r="JX441" s="15">
        <f t="shared" si="273"/>
        <v>19453</v>
      </c>
      <c r="JY441" s="15">
        <f t="shared" si="274"/>
        <v>81999</v>
      </c>
      <c r="JZ441" s="19">
        <f t="shared" si="275"/>
        <v>4.2152367244126872</v>
      </c>
      <c r="KA441" s="52">
        <f t="shared" si="276"/>
        <v>1</v>
      </c>
      <c r="KB441" s="15">
        <f t="shared" si="277"/>
        <v>19453</v>
      </c>
      <c r="KC441" s="15">
        <f t="shared" si="278"/>
        <v>81999</v>
      </c>
      <c r="KD441" s="20">
        <f t="shared" si="279"/>
        <v>4.2152367244126872</v>
      </c>
      <c r="KE441" s="52" t="str">
        <f t="shared" si="280"/>
        <v/>
      </c>
      <c r="KF441" s="15">
        <f t="shared" si="281"/>
        <v>0</v>
      </c>
      <c r="KG441" s="15">
        <f t="shared" si="282"/>
        <v>0</v>
      </c>
      <c r="KH441" s="21" t="str">
        <f t="shared" si="283"/>
        <v/>
      </c>
      <c r="KI441" s="52" t="str">
        <f t="shared" si="284"/>
        <v/>
      </c>
      <c r="KJ441" s="15">
        <f t="shared" si="285"/>
        <v>0</v>
      </c>
      <c r="KK441" s="15">
        <f t="shared" si="286"/>
        <v>0</v>
      </c>
      <c r="KL441" s="19" t="str">
        <f t="shared" si="287"/>
        <v/>
      </c>
      <c r="KM441" s="52" t="str">
        <f t="shared" si="288"/>
        <v/>
      </c>
      <c r="KN441" s="22">
        <f t="shared" si="289"/>
        <v>0</v>
      </c>
      <c r="KO441" s="22">
        <f t="shared" si="290"/>
        <v>0</v>
      </c>
      <c r="KP441" s="19" t="str">
        <f t="shared" si="291"/>
        <v/>
      </c>
      <c r="KQ441" s="11" t="str">
        <f t="shared" si="292"/>
        <v>2. Sensitive</v>
      </c>
      <c r="KR441" s="11" t="str">
        <f t="shared" si="293"/>
        <v>2. Accommodating</v>
      </c>
      <c r="KS441" s="11" t="str">
        <f t="shared" si="294"/>
        <v>2. Sensitive</v>
      </c>
      <c r="KT441" s="11" t="str">
        <f t="shared" si="295"/>
        <v>It did not develop any specific innovation</v>
      </c>
      <c r="KU441" s="11" t="str">
        <f t="shared" si="296"/>
        <v>Moderate advocacy</v>
      </c>
      <c r="KV441" s="11" t="str">
        <f t="shared" si="297"/>
        <v>It linked and worked with strategic alliances and partners to take tested and effective solutions to scale</v>
      </c>
      <c r="KW441" s="11" t="str">
        <f t="shared" si="298"/>
        <v>Malawi - Increasing Mitigation Productivity and Adaptation through Climate-Smart techniques (IMPACT)</v>
      </c>
      <c r="KX441" s="11" t="str">
        <f t="shared" si="299"/>
        <v>Increasing Mitigation Productivity and Adaptation through Climate-Smart techniques (IMPACT)</v>
      </c>
      <c r="KY441" s="11" t="str">
        <f t="shared" si="300"/>
        <v>Malawi</v>
      </c>
      <c r="KZ441" s="12">
        <v>441</v>
      </c>
    </row>
    <row r="442" spans="1:312" x14ac:dyDescent="0.3">
      <c r="A442" s="12" t="s">
        <v>7451</v>
      </c>
      <c r="B442" s="12" t="s">
        <v>7217</v>
      </c>
      <c r="C442" s="12">
        <v>3120</v>
      </c>
      <c r="D442" s="12" t="s">
        <v>7654</v>
      </c>
      <c r="E442" s="277" t="str">
        <f t="shared" si="258"/>
        <v>Malawi</v>
      </c>
      <c r="F442" s="12" t="s">
        <v>7655</v>
      </c>
      <c r="G442" s="12" t="s">
        <v>379</v>
      </c>
      <c r="H442" s="12" t="s">
        <v>489</v>
      </c>
      <c r="I442" s="11" t="s">
        <v>384</v>
      </c>
      <c r="J442" s="281" t="s">
        <v>5675</v>
      </c>
      <c r="K442" s="12"/>
      <c r="L442" s="12"/>
      <c r="M442" s="12"/>
      <c r="N442" s="12"/>
      <c r="O442" s="12"/>
      <c r="P442" s="12"/>
      <c r="Q442" s="12"/>
      <c r="R442" s="12"/>
      <c r="S442" s="12"/>
      <c r="T442" s="12"/>
      <c r="U442" s="12"/>
      <c r="V442" s="12"/>
      <c r="W442" s="12"/>
      <c r="X442" s="12"/>
      <c r="Y442" s="12"/>
      <c r="Z442" s="12"/>
      <c r="AA442" s="12"/>
      <c r="AB442" s="12"/>
      <c r="AC442" s="12"/>
      <c r="AD442" s="12"/>
      <c r="BD442" s="13">
        <v>42552</v>
      </c>
      <c r="BE442" s="13">
        <v>43008</v>
      </c>
      <c r="BF442" s="13">
        <v>43008</v>
      </c>
      <c r="BG442" s="12" t="s">
        <v>312</v>
      </c>
      <c r="BH442" s="14">
        <v>350000</v>
      </c>
      <c r="BI442" s="12" t="s">
        <v>7606</v>
      </c>
      <c r="BJ442" s="12" t="s">
        <v>7656</v>
      </c>
      <c r="BK442" s="12" t="s">
        <v>7608</v>
      </c>
      <c r="BL442" s="12" t="s">
        <v>7657</v>
      </c>
      <c r="BM442" s="12" t="s">
        <v>7658</v>
      </c>
      <c r="BN442" s="12" t="s">
        <v>7659</v>
      </c>
      <c r="BO442" s="12" t="s">
        <v>319</v>
      </c>
      <c r="BP442" s="12" t="s">
        <v>320</v>
      </c>
      <c r="BQ442" s="12" t="s">
        <v>319</v>
      </c>
      <c r="BR442" s="12" t="s">
        <v>7660</v>
      </c>
      <c r="BS442" s="12" t="s">
        <v>357</v>
      </c>
      <c r="BT442" s="12" t="s">
        <v>7661</v>
      </c>
      <c r="BU442" s="12" t="s">
        <v>7662</v>
      </c>
      <c r="BV442" s="14">
        <v>15690</v>
      </c>
      <c r="BW442" s="14">
        <v>12295</v>
      </c>
      <c r="BX442" s="14">
        <v>27985</v>
      </c>
      <c r="BY442" s="14">
        <v>9400</v>
      </c>
      <c r="BZ442" s="14">
        <v>5600</v>
      </c>
      <c r="CA442" s="14">
        <v>15000</v>
      </c>
      <c r="CB442" s="12" t="s">
        <v>7663</v>
      </c>
      <c r="CD442" s="14"/>
      <c r="CE442" s="14"/>
      <c r="CF442" s="14"/>
      <c r="CG442" s="14"/>
      <c r="CH442" s="14"/>
      <c r="CI442" s="14"/>
      <c r="CJ442" s="12"/>
      <c r="CK442" s="14"/>
      <c r="CL442" s="16"/>
      <c r="CM442" s="14"/>
      <c r="CN442" s="12"/>
      <c r="CO442" s="14"/>
      <c r="CP442" s="16"/>
      <c r="CQ442" s="14"/>
      <c r="CR442" s="12"/>
      <c r="CS442" s="14"/>
      <c r="CT442" s="16"/>
      <c r="CU442" s="14"/>
      <c r="CV442" s="12"/>
      <c r="CW442" s="14"/>
      <c r="CX442" s="16"/>
      <c r="CY442" s="14"/>
      <c r="CZ442" s="12"/>
      <c r="DA442" s="14"/>
      <c r="DB442" s="16"/>
      <c r="DC442" s="14"/>
      <c r="DD442" s="12"/>
      <c r="DE442" s="14"/>
      <c r="DF442" s="16"/>
      <c r="DG442" s="14"/>
      <c r="DH442" s="12"/>
      <c r="DI442" s="14"/>
      <c r="DJ442" s="16"/>
      <c r="DK442" s="14"/>
      <c r="DL442" s="12"/>
      <c r="DM442" s="14"/>
      <c r="DN442" s="16"/>
      <c r="DO442" s="14"/>
      <c r="DP442" s="12"/>
      <c r="DQ442" s="14"/>
      <c r="DR442" s="16"/>
      <c r="DS442" s="14"/>
      <c r="DT442" s="12"/>
      <c r="DU442" s="14"/>
      <c r="DV442" s="16"/>
      <c r="DW442" s="14"/>
      <c r="DX442" s="12"/>
      <c r="DY442" s="14"/>
      <c r="DZ442" s="16"/>
      <c r="EA442" s="14"/>
      <c r="EB442" s="12"/>
      <c r="EC442" s="14"/>
      <c r="ED442" s="16"/>
      <c r="EE442" s="14"/>
      <c r="EF442" s="12"/>
      <c r="EG442" s="12"/>
      <c r="EH442" s="14"/>
      <c r="EI442" s="16"/>
      <c r="EJ442" s="14"/>
      <c r="EK442" s="14">
        <v>16901</v>
      </c>
      <c r="EL442" s="14">
        <v>13133</v>
      </c>
      <c r="EM442" s="14">
        <v>30034</v>
      </c>
      <c r="EN442" s="14">
        <v>18778</v>
      </c>
      <c r="EO442" s="14">
        <v>17337</v>
      </c>
      <c r="EP442" s="14">
        <v>36115</v>
      </c>
      <c r="EQ442" s="12" t="s">
        <v>320</v>
      </c>
      <c r="ER442" s="14">
        <v>2654</v>
      </c>
      <c r="ES442" s="16">
        <v>0.73</v>
      </c>
      <c r="ET442" s="14">
        <v>10815</v>
      </c>
      <c r="EU442" s="11" t="s">
        <v>319</v>
      </c>
      <c r="EV442" s="14"/>
      <c r="EW442" s="16"/>
      <c r="EX442" s="14"/>
      <c r="EY442" s="12" t="s">
        <v>319</v>
      </c>
      <c r="EZ442" s="14"/>
      <c r="FA442" s="16"/>
      <c r="FB442" s="14"/>
      <c r="FC442" s="12" t="s">
        <v>319</v>
      </c>
      <c r="FD442" s="14"/>
      <c r="FE442" s="16"/>
      <c r="FF442" s="14"/>
      <c r="FG442" s="12" t="s">
        <v>320</v>
      </c>
      <c r="FH442" s="14">
        <v>1570</v>
      </c>
      <c r="FI442" s="16">
        <v>0.56000000000000005</v>
      </c>
      <c r="FJ442" s="14">
        <v>7065</v>
      </c>
      <c r="FK442" s="12" t="s">
        <v>320</v>
      </c>
      <c r="FL442" s="14">
        <v>17680</v>
      </c>
      <c r="FM442" s="16">
        <v>0.59</v>
      </c>
      <c r="FN442" s="14">
        <v>21300</v>
      </c>
      <c r="FO442" s="12" t="s">
        <v>320</v>
      </c>
      <c r="FP442" s="14">
        <v>2163</v>
      </c>
      <c r="FQ442" s="16">
        <v>0.73</v>
      </c>
      <c r="FR442" s="14">
        <v>10815</v>
      </c>
      <c r="FS442" s="12" t="s">
        <v>319</v>
      </c>
      <c r="FT442" s="14"/>
      <c r="FU442" s="16"/>
      <c r="FV442" s="14"/>
      <c r="FW442" s="12" t="s">
        <v>319</v>
      </c>
      <c r="FX442" s="14"/>
      <c r="FY442" s="16"/>
      <c r="FZ442" s="14"/>
      <c r="GA442" s="12" t="s">
        <v>319</v>
      </c>
      <c r="GB442" s="14"/>
      <c r="GC442" s="16"/>
      <c r="GD442" s="14"/>
      <c r="GE442" s="12" t="s">
        <v>320</v>
      </c>
      <c r="GF442" s="14">
        <v>112</v>
      </c>
      <c r="GG442" s="16">
        <v>1</v>
      </c>
      <c r="GH442" s="14">
        <v>0</v>
      </c>
      <c r="GI442" s="12" t="s">
        <v>319</v>
      </c>
      <c r="GJ442" s="14"/>
      <c r="GK442" s="16"/>
      <c r="GL442" s="14"/>
      <c r="GM442" s="11" t="s">
        <v>320</v>
      </c>
      <c r="GN442" s="14">
        <v>4500</v>
      </c>
      <c r="GO442" s="16">
        <v>0.61</v>
      </c>
      <c r="GP442" s="14">
        <v>4800</v>
      </c>
      <c r="GQ442" s="12" t="s">
        <v>319</v>
      </c>
      <c r="GR442" s="14"/>
      <c r="GS442" s="16"/>
      <c r="GT442" s="14"/>
      <c r="GU442" s="12" t="s">
        <v>320</v>
      </c>
      <c r="GV442" s="14">
        <v>9700</v>
      </c>
      <c r="GW442" s="16">
        <v>0.81</v>
      </c>
      <c r="GX442" s="14">
        <v>11000</v>
      </c>
      <c r="GY442" s="11" t="s">
        <v>320</v>
      </c>
      <c r="GZ442" s="14">
        <v>6500</v>
      </c>
      <c r="HA442" s="16">
        <v>0.82</v>
      </c>
      <c r="HB442" s="14">
        <v>10180</v>
      </c>
      <c r="HC442" s="12"/>
      <c r="HD442" s="12"/>
      <c r="HE442" s="14"/>
      <c r="HF442" s="16"/>
      <c r="HG442" s="14"/>
      <c r="HH442" s="12" t="s">
        <v>319</v>
      </c>
      <c r="HI442" s="12"/>
      <c r="HJ442" s="12"/>
      <c r="HK442" s="12" t="s">
        <v>319</v>
      </c>
      <c r="HL442" s="12" t="s">
        <v>319</v>
      </c>
      <c r="HM442" s="12"/>
      <c r="HN442" s="12"/>
      <c r="HO442" s="12"/>
      <c r="HP442" s="12" t="s">
        <v>330</v>
      </c>
      <c r="HQ442" s="12" t="s">
        <v>319</v>
      </c>
      <c r="HR442" s="12" t="s">
        <v>319</v>
      </c>
      <c r="HS442" s="12" t="s">
        <v>320</v>
      </c>
      <c r="HT442" s="12" t="s">
        <v>320</v>
      </c>
      <c r="HU442" s="12" t="s">
        <v>319</v>
      </c>
      <c r="HV442" s="12" t="s">
        <v>319</v>
      </c>
      <c r="HW442" s="12" t="s">
        <v>319</v>
      </c>
      <c r="HX442" s="12" t="s">
        <v>320</v>
      </c>
      <c r="HY442" s="12" t="s">
        <v>7664</v>
      </c>
      <c r="HZ442" s="12" t="s">
        <v>363</v>
      </c>
      <c r="IA442" s="12"/>
      <c r="IB442" s="12" t="s">
        <v>396</v>
      </c>
      <c r="IC442" s="12" t="s">
        <v>7665</v>
      </c>
      <c r="ID442" s="12" t="s">
        <v>334</v>
      </c>
      <c r="IE442" s="12" t="s">
        <v>335</v>
      </c>
      <c r="IF442" s="12" t="s">
        <v>320</v>
      </c>
      <c r="IG442" s="12" t="s">
        <v>320</v>
      </c>
      <c r="IH442" s="12" t="s">
        <v>320</v>
      </c>
      <c r="II442" s="12" t="s">
        <v>320</v>
      </c>
      <c r="IJ442" s="12" t="str">
        <f t="shared" si="259"/>
        <v>2. Sensitive</v>
      </c>
      <c r="IK442" s="12">
        <f t="shared" si="260"/>
        <v>4</v>
      </c>
      <c r="IL442" s="12" t="s">
        <v>336</v>
      </c>
      <c r="IM442" s="12" t="s">
        <v>320</v>
      </c>
      <c r="IN442" s="12" t="s">
        <v>320</v>
      </c>
      <c r="IO442" s="12" t="s">
        <v>320</v>
      </c>
      <c r="IP442" s="12" t="s">
        <v>320</v>
      </c>
      <c r="IQ442" s="12" t="str">
        <f t="shared" si="261"/>
        <v>2. Accommodating</v>
      </c>
      <c r="IR442" s="12">
        <f t="shared" si="262"/>
        <v>4</v>
      </c>
      <c r="IS442" s="12" t="s">
        <v>622</v>
      </c>
      <c r="IT442" s="12" t="s">
        <v>320</v>
      </c>
      <c r="IU442" s="12" t="s">
        <v>320</v>
      </c>
      <c r="IV442" s="12" t="s">
        <v>320</v>
      </c>
      <c r="IW442" s="11" t="str">
        <f t="shared" si="263"/>
        <v>4. Transformative</v>
      </c>
      <c r="IX442" s="12">
        <f t="shared" si="264"/>
        <v>3</v>
      </c>
      <c r="IY442" s="12" t="s">
        <v>338</v>
      </c>
      <c r="IZ442" s="12" t="s">
        <v>432</v>
      </c>
      <c r="JA442" s="12">
        <v>1</v>
      </c>
      <c r="JB442" s="12"/>
      <c r="JC442" s="12"/>
      <c r="JD442" s="12"/>
      <c r="JE442" s="12" t="s">
        <v>420</v>
      </c>
      <c r="JF442" s="12"/>
      <c r="JG442" s="12" t="s">
        <v>7666</v>
      </c>
      <c r="JH442" s="12" t="s">
        <v>1323</v>
      </c>
      <c r="JI442" s="12" t="s">
        <v>691</v>
      </c>
      <c r="JJ442" s="12" t="s">
        <v>3810</v>
      </c>
      <c r="JK442" s="12" t="s">
        <v>7667</v>
      </c>
      <c r="JL442" s="12" t="s">
        <v>7668</v>
      </c>
      <c r="JM442" s="12" t="s">
        <v>7669</v>
      </c>
      <c r="JN442" s="12"/>
      <c r="JO442" s="12"/>
      <c r="JP442" s="15">
        <f t="shared" si="265"/>
        <v>30034</v>
      </c>
      <c r="JQ442" s="15">
        <f t="shared" si="266"/>
        <v>36115</v>
      </c>
      <c r="JR442" s="279">
        <f t="shared" si="267"/>
        <v>1.202470533395485</v>
      </c>
      <c r="JS442" s="17">
        <f t="shared" si="268"/>
        <v>0.56272890723846303</v>
      </c>
      <c r="JT442" s="18">
        <f t="shared" si="269"/>
        <v>0.5199501592136232</v>
      </c>
      <c r="JU442" s="280">
        <f t="shared" si="270"/>
        <v>16901</v>
      </c>
      <c r="JV442" s="280">
        <f t="shared" si="271"/>
        <v>18778</v>
      </c>
      <c r="JW442" s="319" t="str">
        <f t="shared" si="272"/>
        <v/>
      </c>
      <c r="JX442" s="15">
        <f t="shared" si="273"/>
        <v>0</v>
      </c>
      <c r="JY442" s="15">
        <f t="shared" si="274"/>
        <v>0</v>
      </c>
      <c r="JZ442" s="19" t="str">
        <f t="shared" si="275"/>
        <v/>
      </c>
      <c r="KA442" s="52">
        <f t="shared" si="276"/>
        <v>1</v>
      </c>
      <c r="KB442" s="15">
        <f t="shared" si="277"/>
        <v>9700</v>
      </c>
      <c r="KC442" s="15">
        <f t="shared" si="278"/>
        <v>11000</v>
      </c>
      <c r="KD442" s="20">
        <f t="shared" si="279"/>
        <v>1.134020618556701</v>
      </c>
      <c r="KE442" s="52" t="str">
        <f t="shared" si="280"/>
        <v/>
      </c>
      <c r="KF442" s="15">
        <f t="shared" si="281"/>
        <v>0</v>
      </c>
      <c r="KG442" s="15">
        <f t="shared" si="282"/>
        <v>0</v>
      </c>
      <c r="KH442" s="21" t="str">
        <f t="shared" si="283"/>
        <v/>
      </c>
      <c r="KI442" s="52" t="str">
        <f t="shared" si="284"/>
        <v/>
      </c>
      <c r="KJ442" s="15">
        <f t="shared" si="285"/>
        <v>0</v>
      </c>
      <c r="KK442" s="15">
        <f t="shared" si="286"/>
        <v>0</v>
      </c>
      <c r="KL442" s="19" t="str">
        <f t="shared" si="287"/>
        <v/>
      </c>
      <c r="KM442" s="52">
        <f t="shared" si="288"/>
        <v>1</v>
      </c>
      <c r="KN442" s="22">
        <f t="shared" si="289"/>
        <v>6500</v>
      </c>
      <c r="KO442" s="22">
        <f t="shared" si="290"/>
        <v>10180</v>
      </c>
      <c r="KP442" s="19">
        <f t="shared" si="291"/>
        <v>1.5661538461538462</v>
      </c>
      <c r="KQ442" s="11" t="str">
        <f t="shared" si="292"/>
        <v>2. Sensitive</v>
      </c>
      <c r="KR442" s="11" t="str">
        <f t="shared" si="293"/>
        <v>2. Accommodating</v>
      </c>
      <c r="KS442" s="11" t="str">
        <f t="shared" si="294"/>
        <v>4. Transformative</v>
      </c>
      <c r="KT442" s="11" t="str">
        <f t="shared" si="295"/>
        <v>It did not develop any specific innovation</v>
      </c>
      <c r="KU442" s="11" t="str">
        <f t="shared" si="296"/>
        <v>Moderate advocacy</v>
      </c>
      <c r="KV442" s="11" t="str">
        <f t="shared" si="297"/>
        <v>It linked and worked with strategic alliances and partners to take tested and effective solutions to scale</v>
      </c>
      <c r="KW442" s="11" t="str">
        <f t="shared" si="298"/>
        <v>Malawi - Join My Village</v>
      </c>
      <c r="KX442" s="11" t="str">
        <f t="shared" si="299"/>
        <v>Join My Village</v>
      </c>
      <c r="KY442" s="11" t="str">
        <f t="shared" si="300"/>
        <v>Malawi</v>
      </c>
      <c r="KZ442" s="12">
        <v>442</v>
      </c>
    </row>
    <row r="443" spans="1:312" x14ac:dyDescent="0.3">
      <c r="A443" s="12" t="s">
        <v>7451</v>
      </c>
      <c r="B443" s="12" t="s">
        <v>7217</v>
      </c>
      <c r="C443" s="12"/>
      <c r="D443" s="12" t="s">
        <v>2276</v>
      </c>
      <c r="E443" s="277" t="str">
        <f t="shared" si="258"/>
        <v>Malawi</v>
      </c>
      <c r="F443" s="12" t="s">
        <v>3436</v>
      </c>
      <c r="G443" s="12" t="s">
        <v>488</v>
      </c>
      <c r="H443" s="12" t="s">
        <v>554</v>
      </c>
      <c r="I443" s="12" t="s">
        <v>384</v>
      </c>
      <c r="J443" s="281"/>
      <c r="K443" s="12" t="s">
        <v>3436</v>
      </c>
      <c r="L443" s="12" t="s">
        <v>488</v>
      </c>
      <c r="M443" s="12" t="s">
        <v>383</v>
      </c>
      <c r="N443" s="12" t="s">
        <v>384</v>
      </c>
      <c r="O443" s="12" t="s">
        <v>2277</v>
      </c>
      <c r="P443" s="12"/>
      <c r="Q443" s="12"/>
      <c r="R443" s="12"/>
      <c r="S443" s="12"/>
      <c r="T443" s="12"/>
      <c r="U443" s="12"/>
      <c r="V443" s="12"/>
      <c r="W443" s="12"/>
      <c r="X443" s="12"/>
      <c r="Y443" s="12"/>
      <c r="Z443" s="12"/>
      <c r="AA443" s="12"/>
      <c r="AB443" s="12"/>
      <c r="AC443" s="12"/>
      <c r="AD443" s="12"/>
      <c r="BD443" s="13">
        <v>42552</v>
      </c>
      <c r="BE443" s="13">
        <v>42916</v>
      </c>
      <c r="BF443" s="12"/>
      <c r="BG443" s="12" t="s">
        <v>350</v>
      </c>
      <c r="BH443" s="14">
        <v>692463</v>
      </c>
      <c r="BI443" s="12" t="s">
        <v>2278</v>
      </c>
      <c r="BJ443" s="12" t="s">
        <v>2279</v>
      </c>
      <c r="BK443" s="12" t="s">
        <v>2280</v>
      </c>
      <c r="BL443" s="12"/>
      <c r="BM443" s="12"/>
      <c r="BN443" s="12"/>
      <c r="BO443" s="12" t="s">
        <v>319</v>
      </c>
      <c r="BP443" s="12" t="s">
        <v>320</v>
      </c>
      <c r="BQ443" s="12" t="s">
        <v>319</v>
      </c>
      <c r="BR443" s="12" t="s">
        <v>7546</v>
      </c>
      <c r="BS443" s="12" t="s">
        <v>357</v>
      </c>
      <c r="BT443" s="12" t="s">
        <v>7547</v>
      </c>
      <c r="BU443" s="12" t="s">
        <v>7548</v>
      </c>
      <c r="BV443" s="14">
        <v>8632</v>
      </c>
      <c r="BW443" s="14">
        <v>0</v>
      </c>
      <c r="BX443" s="14">
        <v>8632</v>
      </c>
      <c r="BY443" s="14">
        <v>18548</v>
      </c>
      <c r="BZ443" s="14">
        <v>15127</v>
      </c>
      <c r="CA443" s="14">
        <v>33675</v>
      </c>
      <c r="CB443" s="12" t="s">
        <v>7549</v>
      </c>
      <c r="CD443" s="14"/>
      <c r="CE443" s="14"/>
      <c r="CF443" s="14"/>
      <c r="CG443" s="14"/>
      <c r="CH443" s="14"/>
      <c r="CI443" s="14"/>
      <c r="CJ443" s="12"/>
      <c r="CK443" s="14"/>
      <c r="CL443" s="16"/>
      <c r="CM443" s="14"/>
      <c r="CN443" s="12"/>
      <c r="CO443" s="14"/>
      <c r="CP443" s="16"/>
      <c r="CQ443" s="14"/>
      <c r="CR443" s="12"/>
      <c r="CS443" s="14"/>
      <c r="CT443" s="16"/>
      <c r="CU443" s="14"/>
      <c r="CV443" s="12"/>
      <c r="CW443" s="14"/>
      <c r="CX443" s="16"/>
      <c r="CY443" s="14"/>
      <c r="CZ443" s="12"/>
      <c r="DA443" s="14"/>
      <c r="DB443" s="16"/>
      <c r="DC443" s="14"/>
      <c r="DD443" s="12"/>
      <c r="DE443" s="14"/>
      <c r="DF443" s="16"/>
      <c r="DG443" s="14"/>
      <c r="DH443" s="12"/>
      <c r="DI443" s="14"/>
      <c r="DJ443" s="16"/>
      <c r="DK443" s="14"/>
      <c r="DL443" s="12"/>
      <c r="DM443" s="14"/>
      <c r="DN443" s="16"/>
      <c r="DO443" s="14"/>
      <c r="DP443" s="12"/>
      <c r="DQ443" s="14"/>
      <c r="DR443" s="16"/>
      <c r="DS443" s="14"/>
      <c r="DT443" s="12"/>
      <c r="DU443" s="14"/>
      <c r="DV443" s="16"/>
      <c r="DW443" s="14"/>
      <c r="DX443" s="12"/>
      <c r="DY443" s="14"/>
      <c r="DZ443" s="16"/>
      <c r="EA443" s="14"/>
      <c r="EB443" s="12"/>
      <c r="EC443" s="14"/>
      <c r="ED443" s="16"/>
      <c r="EE443" s="14"/>
      <c r="EF443" s="12"/>
      <c r="EG443" s="12"/>
      <c r="EH443" s="14"/>
      <c r="EI443" s="16"/>
      <c r="EJ443" s="14"/>
      <c r="EK443" s="14">
        <v>8632</v>
      </c>
      <c r="EL443" s="14">
        <v>0</v>
      </c>
      <c r="EM443" s="14">
        <v>8632</v>
      </c>
      <c r="EN443" s="14">
        <v>18548</v>
      </c>
      <c r="EO443" s="14">
        <v>15127</v>
      </c>
      <c r="EP443" s="14">
        <v>33675</v>
      </c>
      <c r="EQ443" s="12"/>
      <c r="ER443" s="14"/>
      <c r="ES443" s="16"/>
      <c r="ET443" s="14"/>
      <c r="EU443" s="12"/>
      <c r="EV443" s="14"/>
      <c r="EW443" s="16"/>
      <c r="EX443" s="14"/>
      <c r="EY443" s="12"/>
      <c r="EZ443" s="14"/>
      <c r="FA443" s="16"/>
      <c r="FB443" s="14"/>
      <c r="FC443" s="12"/>
      <c r="FD443" s="14"/>
      <c r="FE443" s="16"/>
      <c r="FF443" s="14"/>
      <c r="FG443" s="12"/>
      <c r="FH443" s="14"/>
      <c r="FI443" s="16"/>
      <c r="FJ443" s="14"/>
      <c r="FK443" s="12"/>
      <c r="FL443" s="14"/>
      <c r="FM443" s="16"/>
      <c r="FN443" s="14"/>
      <c r="FO443" s="12"/>
      <c r="FP443" s="14"/>
      <c r="FQ443" s="16"/>
      <c r="FR443" s="14"/>
      <c r="FS443" s="12"/>
      <c r="FT443" s="14"/>
      <c r="FU443" s="16"/>
      <c r="FV443" s="14"/>
      <c r="FW443" s="12"/>
      <c r="FX443" s="14"/>
      <c r="FY443" s="16"/>
      <c r="FZ443" s="14"/>
      <c r="GA443" s="12"/>
      <c r="GB443" s="14"/>
      <c r="GC443" s="16"/>
      <c r="GD443" s="14"/>
      <c r="GE443" s="12"/>
      <c r="GF443" s="14"/>
      <c r="GG443" s="16"/>
      <c r="GH443" s="14"/>
      <c r="GI443" s="12"/>
      <c r="GJ443" s="14"/>
      <c r="GK443" s="16"/>
      <c r="GL443" s="14"/>
      <c r="GM443" s="12"/>
      <c r="GN443" s="14"/>
      <c r="GO443" s="16"/>
      <c r="GP443" s="14"/>
      <c r="GQ443" s="12"/>
      <c r="GR443" s="14"/>
      <c r="GS443" s="16"/>
      <c r="GT443" s="14"/>
      <c r="GU443" s="12"/>
      <c r="GV443" s="14"/>
      <c r="GW443" s="16"/>
      <c r="GX443" s="14"/>
      <c r="GY443" s="11" t="s">
        <v>320</v>
      </c>
      <c r="GZ443" s="14">
        <v>8632</v>
      </c>
      <c r="HA443" s="16">
        <v>1</v>
      </c>
      <c r="HB443" s="14">
        <v>33675</v>
      </c>
      <c r="HC443" s="12"/>
      <c r="HD443" s="12"/>
      <c r="HE443" s="14"/>
      <c r="HF443" s="16"/>
      <c r="HG443" s="14"/>
      <c r="HH443" s="12" t="s">
        <v>319</v>
      </c>
      <c r="HI443" s="12"/>
      <c r="HJ443" s="12"/>
      <c r="HK443" s="12"/>
      <c r="HL443" s="12" t="s">
        <v>319</v>
      </c>
      <c r="HM443" s="12"/>
      <c r="HN443" s="12"/>
      <c r="HO443" s="12"/>
      <c r="HP443" s="12" t="s">
        <v>418</v>
      </c>
      <c r="HQ443" s="12"/>
      <c r="HR443" s="12"/>
      <c r="HS443" s="12"/>
      <c r="HT443" s="12"/>
      <c r="HU443" s="12"/>
      <c r="HV443" s="12"/>
      <c r="HW443" s="12"/>
      <c r="HX443" s="12"/>
      <c r="HY443" s="12"/>
      <c r="HZ443" s="12" t="s">
        <v>363</v>
      </c>
      <c r="IA443" s="12"/>
      <c r="IB443" s="12" t="s">
        <v>333</v>
      </c>
      <c r="IC443" s="12"/>
      <c r="ID443" s="12" t="s">
        <v>364</v>
      </c>
      <c r="IE443" s="12" t="s">
        <v>1909</v>
      </c>
      <c r="IF443" s="12"/>
      <c r="IG443" s="12"/>
      <c r="IH443" s="12"/>
      <c r="II443" s="12"/>
      <c r="IJ443" s="12" t="str">
        <f t="shared" si="259"/>
        <v>0. Harmful</v>
      </c>
      <c r="IK443" s="12">
        <f t="shared" si="260"/>
        <v>0</v>
      </c>
      <c r="IL443" s="12" t="s">
        <v>723</v>
      </c>
      <c r="IM443" s="12"/>
      <c r="IN443" s="12"/>
      <c r="IO443" s="12"/>
      <c r="IP443" s="12"/>
      <c r="IQ443" s="12" t="str">
        <f t="shared" si="261"/>
        <v>0. Unaware</v>
      </c>
      <c r="IR443" s="12">
        <f t="shared" si="262"/>
        <v>0</v>
      </c>
      <c r="IS443" s="12" t="s">
        <v>456</v>
      </c>
      <c r="IT443" s="12"/>
      <c r="IU443" s="12"/>
      <c r="IV443" s="12"/>
      <c r="IW443" s="11" t="str">
        <f t="shared" si="263"/>
        <v>0. Harmful</v>
      </c>
      <c r="IX443" s="12">
        <f t="shared" si="264"/>
        <v>0</v>
      </c>
      <c r="IY443" s="12" t="s">
        <v>338</v>
      </c>
      <c r="IZ443" s="12" t="s">
        <v>457</v>
      </c>
      <c r="JA443" s="12">
        <v>1</v>
      </c>
      <c r="JB443" s="12" t="s">
        <v>724</v>
      </c>
      <c r="JC443" s="12"/>
      <c r="JD443" s="12"/>
      <c r="JE443" s="12" t="s">
        <v>420</v>
      </c>
      <c r="JF443" s="12"/>
      <c r="JG443" s="12" t="s">
        <v>2285</v>
      </c>
      <c r="JH443" s="12" t="s">
        <v>3440</v>
      </c>
      <c r="JI443" s="12" t="s">
        <v>3441</v>
      </c>
      <c r="JJ443" s="12"/>
      <c r="JK443" s="12" t="s">
        <v>7550</v>
      </c>
      <c r="JL443" s="12" t="s">
        <v>7551</v>
      </c>
      <c r="JM443" s="12"/>
      <c r="JN443" s="12" t="s">
        <v>7552</v>
      </c>
      <c r="JO443" s="12"/>
      <c r="JP443" s="15">
        <f t="shared" si="265"/>
        <v>8632</v>
      </c>
      <c r="JQ443" s="15">
        <f t="shared" si="266"/>
        <v>33675</v>
      </c>
      <c r="JR443" s="279">
        <f t="shared" si="267"/>
        <v>3.9011816496756255</v>
      </c>
      <c r="JS443" s="17">
        <f t="shared" si="268"/>
        <v>1</v>
      </c>
      <c r="JT443" s="18">
        <f t="shared" si="269"/>
        <v>0.55079435783221975</v>
      </c>
      <c r="JU443" s="280">
        <f t="shared" si="270"/>
        <v>8632</v>
      </c>
      <c r="JV443" s="280">
        <f t="shared" si="271"/>
        <v>18548</v>
      </c>
      <c r="JW443" s="319" t="str">
        <f t="shared" si="272"/>
        <v/>
      </c>
      <c r="JX443" s="15">
        <f t="shared" si="273"/>
        <v>0</v>
      </c>
      <c r="JY443" s="15">
        <f t="shared" si="274"/>
        <v>0</v>
      </c>
      <c r="JZ443" s="19" t="str">
        <f t="shared" si="275"/>
        <v/>
      </c>
      <c r="KA443" s="52" t="str">
        <f t="shared" si="276"/>
        <v/>
      </c>
      <c r="KB443" s="15">
        <f t="shared" si="277"/>
        <v>0</v>
      </c>
      <c r="KC443" s="15">
        <f t="shared" si="278"/>
        <v>0</v>
      </c>
      <c r="KD443" s="20" t="str">
        <f t="shared" si="279"/>
        <v/>
      </c>
      <c r="KE443" s="52" t="str">
        <f t="shared" si="280"/>
        <v/>
      </c>
      <c r="KF443" s="15">
        <f t="shared" si="281"/>
        <v>0</v>
      </c>
      <c r="KG443" s="15">
        <f t="shared" si="282"/>
        <v>0</v>
      </c>
      <c r="KH443" s="21" t="str">
        <f t="shared" si="283"/>
        <v/>
      </c>
      <c r="KI443" s="52" t="str">
        <f t="shared" si="284"/>
        <v/>
      </c>
      <c r="KJ443" s="15">
        <f t="shared" si="285"/>
        <v>0</v>
      </c>
      <c r="KK443" s="15">
        <f t="shared" si="286"/>
        <v>0</v>
      </c>
      <c r="KL443" s="19" t="str">
        <f t="shared" si="287"/>
        <v/>
      </c>
      <c r="KM443" s="52">
        <f t="shared" si="288"/>
        <v>1</v>
      </c>
      <c r="KN443" s="22">
        <f t="shared" si="289"/>
        <v>8632</v>
      </c>
      <c r="KO443" s="22">
        <f t="shared" si="290"/>
        <v>33675</v>
      </c>
      <c r="KP443" s="19">
        <f t="shared" si="291"/>
        <v>3.9011816496756255</v>
      </c>
      <c r="KQ443" s="11" t="str">
        <f t="shared" si="292"/>
        <v>0. Harmful</v>
      </c>
      <c r="KR443" s="11" t="str">
        <f t="shared" si="293"/>
        <v>0. Unaware</v>
      </c>
      <c r="KS443" s="11" t="str">
        <f t="shared" si="294"/>
        <v>0. Harmful</v>
      </c>
      <c r="KT443" s="11" t="str">
        <f t="shared" si="295"/>
        <v>It did not develop any specific innovation</v>
      </c>
      <c r="KU443" s="11" t="str">
        <f t="shared" si="296"/>
        <v>Little or no advocacy</v>
      </c>
      <c r="KV443" s="11" t="str">
        <f t="shared" si="297"/>
        <v>It did not take tested solutions to scale</v>
      </c>
      <c r="KW443" s="11" t="str">
        <f t="shared" si="298"/>
        <v>Malawi - Lendwithcare</v>
      </c>
      <c r="KX443" s="11" t="str">
        <f t="shared" si="299"/>
        <v>Lendwithcare</v>
      </c>
      <c r="KY443" s="11" t="str">
        <f t="shared" si="300"/>
        <v>Malawi</v>
      </c>
      <c r="KZ443" s="12">
        <v>443</v>
      </c>
    </row>
    <row r="444" spans="1:312" x14ac:dyDescent="0.3">
      <c r="A444" s="12" t="s">
        <v>7451</v>
      </c>
      <c r="B444" s="12" t="s">
        <v>7217</v>
      </c>
      <c r="C444" s="12">
        <v>3129</v>
      </c>
      <c r="D444" s="12" t="s">
        <v>7670</v>
      </c>
      <c r="E444" s="277" t="str">
        <f t="shared" si="258"/>
        <v>Malawi</v>
      </c>
      <c r="F444" s="12" t="s">
        <v>7671</v>
      </c>
      <c r="G444" s="12" t="s">
        <v>379</v>
      </c>
      <c r="H444" s="12" t="s">
        <v>383</v>
      </c>
      <c r="I444" s="12" t="s">
        <v>384</v>
      </c>
      <c r="J444" s="278" t="s">
        <v>10266</v>
      </c>
      <c r="K444" s="12"/>
      <c r="L444" s="12"/>
      <c r="M444" s="12"/>
      <c r="N444" s="12"/>
      <c r="O444" s="12"/>
      <c r="P444" s="12"/>
      <c r="Q444" s="12"/>
      <c r="R444" s="12"/>
      <c r="S444" s="12"/>
      <c r="T444" s="12"/>
      <c r="U444" s="12"/>
      <c r="V444" s="12"/>
      <c r="W444" s="12"/>
      <c r="X444" s="12"/>
      <c r="Y444" s="12"/>
      <c r="Z444" s="12"/>
      <c r="AA444" s="12"/>
      <c r="AB444" s="12"/>
      <c r="AC444" s="12"/>
      <c r="AD444" s="12"/>
      <c r="BD444" s="12"/>
      <c r="BE444" s="12"/>
      <c r="BF444" s="12"/>
      <c r="BG444" s="12" t="s">
        <v>749</v>
      </c>
      <c r="BH444" s="14">
        <v>652199</v>
      </c>
      <c r="BI444" s="12" t="s">
        <v>7672</v>
      </c>
      <c r="BJ444" s="12" t="s">
        <v>7457</v>
      </c>
      <c r="BK444" s="12" t="s">
        <v>7458</v>
      </c>
      <c r="BL444" s="12" t="s">
        <v>7454</v>
      </c>
      <c r="BM444" s="12" t="s">
        <v>354</v>
      </c>
      <c r="BN444" s="12" t="s">
        <v>7673</v>
      </c>
      <c r="BO444" s="12" t="s">
        <v>319</v>
      </c>
      <c r="BP444" s="12" t="s">
        <v>320</v>
      </c>
      <c r="BQ444" s="12" t="s">
        <v>319</v>
      </c>
      <c r="BR444" s="12" t="s">
        <v>7674</v>
      </c>
      <c r="BS444" s="12" t="s">
        <v>615</v>
      </c>
      <c r="BT444" s="12" t="s">
        <v>7675</v>
      </c>
      <c r="BU444" s="12" t="s">
        <v>7461</v>
      </c>
      <c r="BV444" s="14">
        <v>3080</v>
      </c>
      <c r="BW444" s="14">
        <v>420</v>
      </c>
      <c r="BX444" s="14">
        <v>3500</v>
      </c>
      <c r="BY444" s="14">
        <v>17248</v>
      </c>
      <c r="BZ444" s="14">
        <v>2352</v>
      </c>
      <c r="CA444" s="14">
        <v>19600</v>
      </c>
      <c r="CB444" s="12" t="s">
        <v>7676</v>
      </c>
      <c r="CD444" s="14"/>
      <c r="CE444" s="14"/>
      <c r="CF444" s="14"/>
      <c r="CG444" s="14"/>
      <c r="CH444" s="14"/>
      <c r="CI444" s="14"/>
      <c r="CJ444" s="12"/>
      <c r="CK444" s="14"/>
      <c r="CL444" s="16"/>
      <c r="CM444" s="14"/>
      <c r="CN444" s="12"/>
      <c r="CO444" s="14"/>
      <c r="CP444" s="16"/>
      <c r="CQ444" s="14"/>
      <c r="CR444" s="12"/>
      <c r="CS444" s="14"/>
      <c r="CT444" s="16"/>
      <c r="CU444" s="14"/>
      <c r="CV444" s="12"/>
      <c r="CW444" s="14"/>
      <c r="CX444" s="16"/>
      <c r="CY444" s="14"/>
      <c r="CZ444" s="12"/>
      <c r="DA444" s="14"/>
      <c r="DB444" s="16"/>
      <c r="DC444" s="14"/>
      <c r="DD444" s="12"/>
      <c r="DE444" s="14"/>
      <c r="DF444" s="16"/>
      <c r="DG444" s="14"/>
      <c r="DH444" s="12"/>
      <c r="DI444" s="14"/>
      <c r="DJ444" s="16"/>
      <c r="DK444" s="14"/>
      <c r="DL444" s="12"/>
      <c r="DM444" s="14"/>
      <c r="DN444" s="16"/>
      <c r="DO444" s="14"/>
      <c r="DP444" s="12"/>
      <c r="DQ444" s="14"/>
      <c r="DR444" s="16"/>
      <c r="DS444" s="14"/>
      <c r="DT444" s="12"/>
      <c r="DU444" s="14"/>
      <c r="DV444" s="16"/>
      <c r="DW444" s="14"/>
      <c r="DX444" s="12"/>
      <c r="DY444" s="14"/>
      <c r="DZ444" s="16"/>
      <c r="EA444" s="14"/>
      <c r="EB444" s="12"/>
      <c r="EC444" s="14"/>
      <c r="ED444" s="16"/>
      <c r="EE444" s="14"/>
      <c r="EF444" s="12"/>
      <c r="EG444" s="12"/>
      <c r="EH444" s="14"/>
      <c r="EI444" s="16"/>
      <c r="EJ444" s="14"/>
      <c r="EK444" s="14">
        <v>3080</v>
      </c>
      <c r="EL444" s="14">
        <v>420</v>
      </c>
      <c r="EM444" s="14">
        <v>3500</v>
      </c>
      <c r="EN444" s="14">
        <v>17248</v>
      </c>
      <c r="EO444" s="14">
        <v>2352</v>
      </c>
      <c r="EP444" s="14">
        <v>19600</v>
      </c>
      <c r="EQ444" s="12" t="s">
        <v>320</v>
      </c>
      <c r="ER444" s="14">
        <v>3500</v>
      </c>
      <c r="ES444" s="16">
        <v>0.8</v>
      </c>
      <c r="ET444" s="14">
        <v>19600</v>
      </c>
      <c r="EU444" s="11" t="s">
        <v>320</v>
      </c>
      <c r="EV444" s="14">
        <v>3500</v>
      </c>
      <c r="EW444" s="16">
        <v>0.8</v>
      </c>
      <c r="EX444" s="14">
        <v>19600</v>
      </c>
      <c r="EY444" s="12" t="s">
        <v>319</v>
      </c>
      <c r="EZ444" s="14"/>
      <c r="FA444" s="16"/>
      <c r="FB444" s="14"/>
      <c r="FC444" s="12" t="s">
        <v>319</v>
      </c>
      <c r="FD444" s="14"/>
      <c r="FE444" s="16"/>
      <c r="FF444" s="14"/>
      <c r="FG444" s="12" t="s">
        <v>320</v>
      </c>
      <c r="FH444" s="14">
        <v>3500</v>
      </c>
      <c r="FI444" s="16">
        <v>0.8</v>
      </c>
      <c r="FJ444" s="14">
        <v>19600</v>
      </c>
      <c r="FK444" s="12" t="s">
        <v>319</v>
      </c>
      <c r="FL444" s="14"/>
      <c r="FM444" s="16"/>
      <c r="FN444" s="14"/>
      <c r="FO444" s="12" t="s">
        <v>320</v>
      </c>
      <c r="FP444" s="14">
        <v>3500</v>
      </c>
      <c r="FQ444" s="16">
        <v>0.8</v>
      </c>
      <c r="FR444" s="14">
        <v>19600</v>
      </c>
      <c r="FS444" s="12" t="s">
        <v>320</v>
      </c>
      <c r="FT444" s="14">
        <v>3500</v>
      </c>
      <c r="FU444" s="16">
        <v>0.8</v>
      </c>
      <c r="FV444" s="14">
        <v>19600</v>
      </c>
      <c r="FW444" s="11" t="s">
        <v>320</v>
      </c>
      <c r="FX444" s="14">
        <v>3500</v>
      </c>
      <c r="FY444" s="16">
        <v>0.8</v>
      </c>
      <c r="FZ444" s="14">
        <v>19600</v>
      </c>
      <c r="GA444" s="12" t="s">
        <v>319</v>
      </c>
      <c r="GB444" s="14"/>
      <c r="GC444" s="16"/>
      <c r="GD444" s="14"/>
      <c r="GE444" s="12" t="s">
        <v>319</v>
      </c>
      <c r="GF444" s="14"/>
      <c r="GG444" s="16"/>
      <c r="GH444" s="14"/>
      <c r="GI444" s="12" t="s">
        <v>319</v>
      </c>
      <c r="GJ444" s="14"/>
      <c r="GK444" s="16"/>
      <c r="GL444" s="14"/>
      <c r="GM444" s="11" t="s">
        <v>320</v>
      </c>
      <c r="GN444" s="14">
        <v>3500</v>
      </c>
      <c r="GO444" s="16">
        <v>0.8</v>
      </c>
      <c r="GP444" s="14">
        <v>19600</v>
      </c>
      <c r="GQ444" s="12" t="s">
        <v>319</v>
      </c>
      <c r="GR444" s="14"/>
      <c r="GS444" s="16"/>
      <c r="GT444" s="14"/>
      <c r="GU444" s="12" t="s">
        <v>319</v>
      </c>
      <c r="GV444" s="14"/>
      <c r="GW444" s="16"/>
      <c r="GX444" s="14"/>
      <c r="GY444" s="11" t="s">
        <v>320</v>
      </c>
      <c r="GZ444" s="14">
        <v>3500</v>
      </c>
      <c r="HA444" s="16">
        <v>0.8</v>
      </c>
      <c r="HB444" s="14">
        <v>19600</v>
      </c>
      <c r="HC444" s="12"/>
      <c r="HD444" s="12" t="s">
        <v>319</v>
      </c>
      <c r="HE444" s="14"/>
      <c r="HF444" s="16"/>
      <c r="HG444" s="14"/>
      <c r="HH444" s="12" t="s">
        <v>320</v>
      </c>
      <c r="HI444" s="12" t="s">
        <v>431</v>
      </c>
      <c r="HJ444" s="12">
        <v>2017</v>
      </c>
      <c r="HK444" s="12" t="s">
        <v>320</v>
      </c>
      <c r="HL444" s="12" t="s">
        <v>319</v>
      </c>
      <c r="HM444" s="12"/>
      <c r="HN444" s="12"/>
      <c r="HO444" s="12"/>
      <c r="HP444" s="12" t="s">
        <v>418</v>
      </c>
      <c r="HQ444" s="12" t="s">
        <v>319</v>
      </c>
      <c r="HR444" s="12" t="s">
        <v>319</v>
      </c>
      <c r="HS444" s="12" t="s">
        <v>319</v>
      </c>
      <c r="HT444" s="12" t="s">
        <v>319</v>
      </c>
      <c r="HU444" s="12" t="s">
        <v>319</v>
      </c>
      <c r="HV444" s="12" t="s">
        <v>319</v>
      </c>
      <c r="HW444" s="12" t="s">
        <v>319</v>
      </c>
      <c r="HX444" s="12" t="s">
        <v>319</v>
      </c>
      <c r="HY444" s="12"/>
      <c r="HZ444" s="12" t="s">
        <v>331</v>
      </c>
      <c r="IA444" s="12" t="s">
        <v>7677</v>
      </c>
      <c r="IB444" s="12" t="s">
        <v>333</v>
      </c>
      <c r="IC444" s="12"/>
      <c r="ID444" s="12" t="s">
        <v>334</v>
      </c>
      <c r="IE444" s="12" t="s">
        <v>478</v>
      </c>
      <c r="IF444" s="12" t="s">
        <v>320</v>
      </c>
      <c r="IG444" s="12" t="s">
        <v>320</v>
      </c>
      <c r="IH444" s="12" t="s">
        <v>320</v>
      </c>
      <c r="II444" s="12" t="s">
        <v>320</v>
      </c>
      <c r="IJ444" s="12" t="str">
        <f t="shared" si="259"/>
        <v>4. Transformative</v>
      </c>
      <c r="IK444" s="12">
        <f t="shared" si="260"/>
        <v>4</v>
      </c>
      <c r="IL444" s="12" t="s">
        <v>336</v>
      </c>
      <c r="IM444" s="12" t="s">
        <v>319</v>
      </c>
      <c r="IN444" s="12" t="s">
        <v>320</v>
      </c>
      <c r="IO444" s="12" t="s">
        <v>320</v>
      </c>
      <c r="IP444" s="12" t="s">
        <v>319</v>
      </c>
      <c r="IQ444" s="12" t="str">
        <f t="shared" si="261"/>
        <v>1. Tokenistic</v>
      </c>
      <c r="IR444" s="12">
        <f t="shared" si="262"/>
        <v>2</v>
      </c>
      <c r="IS444" s="12" t="s">
        <v>622</v>
      </c>
      <c r="IT444" s="12" t="s">
        <v>320</v>
      </c>
      <c r="IU444" s="12" t="s">
        <v>320</v>
      </c>
      <c r="IV444" s="12" t="s">
        <v>320</v>
      </c>
      <c r="IW444" s="11" t="str">
        <f t="shared" si="263"/>
        <v>4. Transformative</v>
      </c>
      <c r="IX444" s="12">
        <f t="shared" si="264"/>
        <v>3</v>
      </c>
      <c r="IY444" s="12" t="s">
        <v>758</v>
      </c>
      <c r="IZ444" s="12" t="s">
        <v>432</v>
      </c>
      <c r="JA444" s="12">
        <v>1</v>
      </c>
      <c r="JB444" s="12" t="s">
        <v>585</v>
      </c>
      <c r="JC444" s="12"/>
      <c r="JD444" s="12"/>
      <c r="JE444" s="12" t="s">
        <v>420</v>
      </c>
      <c r="JF444" s="12"/>
      <c r="JG444" s="12"/>
      <c r="JH444" s="12" t="s">
        <v>7678</v>
      </c>
      <c r="JI444" s="12" t="s">
        <v>7679</v>
      </c>
      <c r="JJ444" s="12"/>
      <c r="JK444" s="12" t="s">
        <v>7680</v>
      </c>
      <c r="JL444" s="12" t="s">
        <v>7681</v>
      </c>
      <c r="JM444" s="12" t="s">
        <v>7682</v>
      </c>
      <c r="JN444" s="12"/>
      <c r="JO444" s="12"/>
      <c r="JP444" s="15">
        <f t="shared" si="265"/>
        <v>3500</v>
      </c>
      <c r="JQ444" s="15">
        <f t="shared" si="266"/>
        <v>19600</v>
      </c>
      <c r="JR444" s="279">
        <f t="shared" si="267"/>
        <v>5.6</v>
      </c>
      <c r="JS444" s="17">
        <f t="shared" si="268"/>
        <v>0.88</v>
      </c>
      <c r="JT444" s="18">
        <f t="shared" si="269"/>
        <v>0.88</v>
      </c>
      <c r="JU444" s="280">
        <f t="shared" si="270"/>
        <v>3080</v>
      </c>
      <c r="JV444" s="280">
        <f t="shared" si="271"/>
        <v>17248</v>
      </c>
      <c r="JW444" s="319" t="str">
        <f t="shared" si="272"/>
        <v/>
      </c>
      <c r="JX444" s="15">
        <f t="shared" si="273"/>
        <v>0</v>
      </c>
      <c r="JY444" s="15">
        <f t="shared" si="274"/>
        <v>0</v>
      </c>
      <c r="JZ444" s="19" t="str">
        <f t="shared" si="275"/>
        <v/>
      </c>
      <c r="KA444" s="52">
        <f t="shared" si="276"/>
        <v>1</v>
      </c>
      <c r="KB444" s="15">
        <f t="shared" si="277"/>
        <v>3500</v>
      </c>
      <c r="KC444" s="15">
        <f t="shared" si="278"/>
        <v>19600</v>
      </c>
      <c r="KD444" s="20">
        <f t="shared" si="279"/>
        <v>5.6</v>
      </c>
      <c r="KE444" s="52" t="str">
        <f t="shared" si="280"/>
        <v/>
      </c>
      <c r="KF444" s="15">
        <f t="shared" si="281"/>
        <v>0</v>
      </c>
      <c r="KG444" s="15">
        <f t="shared" si="282"/>
        <v>0</v>
      </c>
      <c r="KH444" s="21" t="str">
        <f t="shared" si="283"/>
        <v/>
      </c>
      <c r="KI444" s="52">
        <f t="shared" si="284"/>
        <v>1</v>
      </c>
      <c r="KJ444" s="15">
        <f t="shared" si="285"/>
        <v>3500</v>
      </c>
      <c r="KK444" s="15">
        <f t="shared" si="286"/>
        <v>19600</v>
      </c>
      <c r="KL444" s="19">
        <f t="shared" si="287"/>
        <v>5.6</v>
      </c>
      <c r="KM444" s="52">
        <f t="shared" si="288"/>
        <v>1</v>
      </c>
      <c r="KN444" s="22">
        <f t="shared" si="289"/>
        <v>3500</v>
      </c>
      <c r="KO444" s="22">
        <f t="shared" si="290"/>
        <v>19600</v>
      </c>
      <c r="KP444" s="19">
        <f t="shared" si="291"/>
        <v>5.6</v>
      </c>
      <c r="KQ444" s="11" t="str">
        <f t="shared" si="292"/>
        <v>4. Transformative</v>
      </c>
      <c r="KR444" s="11" t="str">
        <f t="shared" si="293"/>
        <v>1. Tokenistic</v>
      </c>
      <c r="KS444" s="11" t="str">
        <f t="shared" si="294"/>
        <v>4. Transformative</v>
      </c>
      <c r="KT444" s="11" t="str">
        <f t="shared" si="295"/>
        <v>It tested new ways for fighting poverty and measured results of innovation</v>
      </c>
      <c r="KU444" s="11" t="str">
        <f t="shared" si="296"/>
        <v>Little or no advocacy</v>
      </c>
      <c r="KV444" s="11" t="str">
        <f t="shared" si="297"/>
        <v>It did not take tested solutions to scale</v>
      </c>
      <c r="KW444" s="11" t="str">
        <f t="shared" si="298"/>
        <v>Malawi - Pathways to Secure and Resilient Livelihoods</v>
      </c>
      <c r="KX444" s="11" t="str">
        <f t="shared" si="299"/>
        <v>Pathways to Secure and Resilient Livelihoods</v>
      </c>
      <c r="KY444" s="11" t="str">
        <f t="shared" si="300"/>
        <v>Malawi</v>
      </c>
      <c r="KZ444" s="12">
        <v>444</v>
      </c>
    </row>
    <row r="445" spans="1:312" x14ac:dyDescent="0.3">
      <c r="A445" s="12" t="s">
        <v>7451</v>
      </c>
      <c r="B445" s="12" t="s">
        <v>7217</v>
      </c>
      <c r="C445" s="12">
        <v>3118</v>
      </c>
      <c r="D445" s="12" t="s">
        <v>7452</v>
      </c>
      <c r="E445" s="277" t="str">
        <f t="shared" si="258"/>
        <v>Malawi</v>
      </c>
      <c r="F445" s="12" t="s">
        <v>7453</v>
      </c>
      <c r="G445" s="12" t="s">
        <v>379</v>
      </c>
      <c r="H445" s="12" t="s">
        <v>383</v>
      </c>
      <c r="I445" s="12" t="s">
        <v>1102</v>
      </c>
      <c r="J445" s="278" t="s">
        <v>1102</v>
      </c>
      <c r="K445" s="12"/>
      <c r="L445" s="12"/>
      <c r="M445" s="12"/>
      <c r="N445" s="12"/>
      <c r="O445" s="12"/>
      <c r="P445" s="12"/>
      <c r="Q445" s="12"/>
      <c r="R445" s="12"/>
      <c r="S445" s="12"/>
      <c r="T445" s="12"/>
      <c r="U445" s="12"/>
      <c r="V445" s="12"/>
      <c r="W445" s="12"/>
      <c r="X445" s="12"/>
      <c r="Y445" s="12"/>
      <c r="Z445" s="12"/>
      <c r="AA445" s="12"/>
      <c r="AB445" s="12"/>
      <c r="AC445" s="12"/>
      <c r="AD445" s="12"/>
      <c r="BD445" s="13">
        <v>40848</v>
      </c>
      <c r="BE445" s="13">
        <v>42338</v>
      </c>
      <c r="BF445" s="13">
        <v>43190</v>
      </c>
      <c r="BG445" s="12" t="s">
        <v>749</v>
      </c>
      <c r="BH445" s="14">
        <v>2808069</v>
      </c>
      <c r="BI445" s="12" t="s">
        <v>7454</v>
      </c>
      <c r="BJ445" s="12" t="s">
        <v>354</v>
      </c>
      <c r="BK445" s="12" t="s">
        <v>7455</v>
      </c>
      <c r="BL445" s="12" t="s">
        <v>7456</v>
      </c>
      <c r="BM445" s="12" t="s">
        <v>7457</v>
      </c>
      <c r="BN445" s="12" t="s">
        <v>7458</v>
      </c>
      <c r="BO445" s="12" t="s">
        <v>319</v>
      </c>
      <c r="BP445" s="12" t="s">
        <v>320</v>
      </c>
      <c r="BQ445" s="12" t="s">
        <v>319</v>
      </c>
      <c r="BR445" s="12" t="s">
        <v>7459</v>
      </c>
      <c r="BS445" s="12" t="s">
        <v>615</v>
      </c>
      <c r="BT445" s="12" t="s">
        <v>7460</v>
      </c>
      <c r="BU445" s="12" t="s">
        <v>7461</v>
      </c>
      <c r="BV445" s="14">
        <v>10184</v>
      </c>
      <c r="BW445" s="14">
        <v>3468</v>
      </c>
      <c r="BX445" s="14">
        <v>14282</v>
      </c>
      <c r="BY445" s="14">
        <v>54070</v>
      </c>
      <c r="BZ445" s="14">
        <v>17340</v>
      </c>
      <c r="CA445" s="14">
        <v>71410</v>
      </c>
      <c r="CB445" s="12" t="s">
        <v>7462</v>
      </c>
      <c r="CD445" s="14"/>
      <c r="CE445" s="14"/>
      <c r="CF445" s="14"/>
      <c r="CG445" s="14"/>
      <c r="CH445" s="14"/>
      <c r="CI445" s="14"/>
      <c r="CJ445" s="12"/>
      <c r="CK445" s="14"/>
      <c r="CL445" s="16"/>
      <c r="CM445" s="14"/>
      <c r="CN445" s="12"/>
      <c r="CO445" s="14"/>
      <c r="CP445" s="16"/>
      <c r="CQ445" s="14"/>
      <c r="CR445" s="12"/>
      <c r="CS445" s="14"/>
      <c r="CT445" s="16"/>
      <c r="CU445" s="14"/>
      <c r="CV445" s="12"/>
      <c r="CW445" s="14"/>
      <c r="CX445" s="16"/>
      <c r="CY445" s="14"/>
      <c r="CZ445" s="12"/>
      <c r="DA445" s="14"/>
      <c r="DB445" s="16"/>
      <c r="DC445" s="14"/>
      <c r="DD445" s="12"/>
      <c r="DE445" s="14"/>
      <c r="DF445" s="16"/>
      <c r="DG445" s="14"/>
      <c r="DH445" s="12"/>
      <c r="DI445" s="14"/>
      <c r="DJ445" s="16"/>
      <c r="DK445" s="14"/>
      <c r="DL445" s="12"/>
      <c r="DM445" s="14"/>
      <c r="DN445" s="16"/>
      <c r="DO445" s="14"/>
      <c r="DP445" s="12"/>
      <c r="DQ445" s="14"/>
      <c r="DR445" s="16"/>
      <c r="DS445" s="14"/>
      <c r="DT445" s="12"/>
      <c r="DU445" s="14"/>
      <c r="DV445" s="16"/>
      <c r="DW445" s="14"/>
      <c r="DX445" s="12"/>
      <c r="DY445" s="14"/>
      <c r="DZ445" s="16"/>
      <c r="EA445" s="14"/>
      <c r="EB445" s="12"/>
      <c r="EC445" s="14"/>
      <c r="ED445" s="16"/>
      <c r="EE445" s="14"/>
      <c r="EF445" s="12"/>
      <c r="EG445" s="12"/>
      <c r="EH445" s="14"/>
      <c r="EI445" s="16"/>
      <c r="EJ445" s="14"/>
      <c r="EK445" s="14">
        <v>10184</v>
      </c>
      <c r="EL445" s="14">
        <v>3468</v>
      </c>
      <c r="EM445" s="14">
        <v>13652</v>
      </c>
      <c r="EN445" s="14">
        <v>54070</v>
      </c>
      <c r="EO445" s="14">
        <v>17340</v>
      </c>
      <c r="EP445" s="14">
        <v>71410</v>
      </c>
      <c r="EQ445" s="12" t="s">
        <v>320</v>
      </c>
      <c r="ER445" s="14">
        <v>14282</v>
      </c>
      <c r="ES445" s="16">
        <v>0.8</v>
      </c>
      <c r="ET445" s="14">
        <v>7140</v>
      </c>
      <c r="EU445" s="11" t="s">
        <v>320</v>
      </c>
      <c r="EV445" s="14">
        <v>8000</v>
      </c>
      <c r="EW445" s="16">
        <v>0.8</v>
      </c>
      <c r="EX445" s="14">
        <v>3955</v>
      </c>
      <c r="EY445" s="12" t="s">
        <v>319</v>
      </c>
      <c r="EZ445" s="14"/>
      <c r="FA445" s="16"/>
      <c r="FB445" s="14"/>
      <c r="FC445" s="12" t="s">
        <v>319</v>
      </c>
      <c r="FD445" s="14"/>
      <c r="FE445" s="16"/>
      <c r="FF445" s="14"/>
      <c r="FG445" s="12" t="s">
        <v>320</v>
      </c>
      <c r="FH445" s="14">
        <v>14282</v>
      </c>
      <c r="FI445" s="16">
        <v>0.8</v>
      </c>
      <c r="FJ445" s="14">
        <v>7140</v>
      </c>
      <c r="FK445" s="12" t="s">
        <v>319</v>
      </c>
      <c r="FL445" s="14"/>
      <c r="FM445" s="16"/>
      <c r="FN445" s="14"/>
      <c r="FO445" s="12" t="s">
        <v>320</v>
      </c>
      <c r="FP445" s="14">
        <v>14282</v>
      </c>
      <c r="FQ445" s="16">
        <v>0.8</v>
      </c>
      <c r="FR445" s="14">
        <v>7140</v>
      </c>
      <c r="FS445" s="12" t="s">
        <v>320</v>
      </c>
      <c r="FT445" s="14">
        <v>14282</v>
      </c>
      <c r="FU445" s="16">
        <v>0.8</v>
      </c>
      <c r="FV445" s="14">
        <v>7140</v>
      </c>
      <c r="FW445" s="11" t="s">
        <v>320</v>
      </c>
      <c r="FX445" s="14">
        <v>14282</v>
      </c>
      <c r="FY445" s="16">
        <v>0.8</v>
      </c>
      <c r="FZ445" s="14">
        <v>7140</v>
      </c>
      <c r="GA445" s="12" t="s">
        <v>319</v>
      </c>
      <c r="GB445" s="14"/>
      <c r="GC445" s="16"/>
      <c r="GD445" s="14"/>
      <c r="GE445" s="12" t="s">
        <v>319</v>
      </c>
      <c r="GF445" s="14"/>
      <c r="GG445" s="16"/>
      <c r="GH445" s="14"/>
      <c r="GI445" s="12" t="s">
        <v>319</v>
      </c>
      <c r="GJ445" s="14"/>
      <c r="GK445" s="16"/>
      <c r="GL445" s="14"/>
      <c r="GM445" s="11" t="s">
        <v>320</v>
      </c>
      <c r="GN445" s="14">
        <v>14282</v>
      </c>
      <c r="GO445" s="16">
        <v>0.8</v>
      </c>
      <c r="GP445" s="14">
        <v>7140</v>
      </c>
      <c r="GQ445" s="12" t="s">
        <v>319</v>
      </c>
      <c r="GR445" s="14"/>
      <c r="GS445" s="16"/>
      <c r="GT445" s="14"/>
      <c r="GU445" s="12" t="s">
        <v>319</v>
      </c>
      <c r="GV445" s="14"/>
      <c r="GW445" s="16"/>
      <c r="GX445" s="14"/>
      <c r="GY445" s="11" t="s">
        <v>320</v>
      </c>
      <c r="GZ445" s="14">
        <v>14282</v>
      </c>
      <c r="HA445" s="16">
        <v>0.8</v>
      </c>
      <c r="HB445" s="14">
        <v>7140</v>
      </c>
      <c r="HC445" s="12"/>
      <c r="HD445" s="12"/>
      <c r="HE445" s="14"/>
      <c r="HF445" s="16"/>
      <c r="HG445" s="14"/>
      <c r="HH445" s="12" t="s">
        <v>7463</v>
      </c>
      <c r="HI445" s="12"/>
      <c r="HJ445" s="12"/>
      <c r="HK445" s="12" t="s">
        <v>319</v>
      </c>
      <c r="HL445" s="12" t="s">
        <v>319</v>
      </c>
      <c r="HM445" s="12"/>
      <c r="HN445" s="12"/>
      <c r="HO445" s="12"/>
      <c r="HP445" s="12" t="s">
        <v>418</v>
      </c>
      <c r="HQ445" s="12" t="s">
        <v>319</v>
      </c>
      <c r="HR445" s="12" t="s">
        <v>319</v>
      </c>
      <c r="HS445" s="12" t="s">
        <v>320</v>
      </c>
      <c r="HT445" s="12" t="s">
        <v>319</v>
      </c>
      <c r="HU445" s="12" t="s">
        <v>319</v>
      </c>
      <c r="HV445" s="12" t="s">
        <v>319</v>
      </c>
      <c r="HW445" s="12" t="s">
        <v>319</v>
      </c>
      <c r="HX445" s="12"/>
      <c r="HY445" s="12"/>
      <c r="HZ445" s="12" t="s">
        <v>394</v>
      </c>
      <c r="IA445" s="12" t="s">
        <v>7464</v>
      </c>
      <c r="IB445" s="12" t="s">
        <v>396</v>
      </c>
      <c r="IC445" s="12" t="s">
        <v>7465</v>
      </c>
      <c r="ID445" s="12" t="s">
        <v>334</v>
      </c>
      <c r="IE445" s="12" t="s">
        <v>478</v>
      </c>
      <c r="IF445" s="12" t="s">
        <v>320</v>
      </c>
      <c r="IG445" s="12" t="s">
        <v>320</v>
      </c>
      <c r="IH445" s="12" t="s">
        <v>320</v>
      </c>
      <c r="II445" s="12" t="s">
        <v>320</v>
      </c>
      <c r="IJ445" s="12" t="str">
        <f t="shared" si="259"/>
        <v>4. Transformative</v>
      </c>
      <c r="IK445" s="12">
        <f t="shared" si="260"/>
        <v>4</v>
      </c>
      <c r="IL445" s="12" t="s">
        <v>336</v>
      </c>
      <c r="IM445" s="12" t="s">
        <v>319</v>
      </c>
      <c r="IN445" s="12" t="s">
        <v>320</v>
      </c>
      <c r="IO445" s="12" t="s">
        <v>320</v>
      </c>
      <c r="IP445" s="12" t="s">
        <v>319</v>
      </c>
      <c r="IQ445" s="12" t="str">
        <f t="shared" si="261"/>
        <v>1. Tokenistic</v>
      </c>
      <c r="IR445" s="12">
        <f t="shared" si="262"/>
        <v>2</v>
      </c>
      <c r="IS445" s="12" t="s">
        <v>456</v>
      </c>
      <c r="IT445" s="12" t="s">
        <v>320</v>
      </c>
      <c r="IU445" s="12" t="s">
        <v>319</v>
      </c>
      <c r="IV445" s="12" t="s">
        <v>320</v>
      </c>
      <c r="IW445" s="11" t="str">
        <f t="shared" si="263"/>
        <v>0. Harmful</v>
      </c>
      <c r="IX445" s="12">
        <f t="shared" si="264"/>
        <v>2</v>
      </c>
      <c r="IY445" s="12" t="s">
        <v>338</v>
      </c>
      <c r="IZ445" s="12" t="s">
        <v>432</v>
      </c>
      <c r="JA445" s="12">
        <v>1</v>
      </c>
      <c r="JB445" s="12" t="s">
        <v>585</v>
      </c>
      <c r="JC445" s="12"/>
      <c r="JD445" s="12"/>
      <c r="JE445" s="12" t="s">
        <v>420</v>
      </c>
      <c r="JF445" s="12"/>
      <c r="JG445" s="12" t="s">
        <v>7466</v>
      </c>
      <c r="JH445" s="12" t="s">
        <v>7467</v>
      </c>
      <c r="JI445" s="12" t="s">
        <v>7468</v>
      </c>
      <c r="JJ445" s="12" t="s">
        <v>7469</v>
      </c>
      <c r="JK445" s="12" t="s">
        <v>7470</v>
      </c>
      <c r="JL445" s="12" t="s">
        <v>7471</v>
      </c>
      <c r="JM445" s="12" t="s">
        <v>7472</v>
      </c>
      <c r="JN445" s="12"/>
      <c r="JO445" s="12" t="s">
        <v>7473</v>
      </c>
      <c r="JP445" s="15">
        <f t="shared" si="265"/>
        <v>13652</v>
      </c>
      <c r="JQ445" s="15">
        <f t="shared" si="266"/>
        <v>71410</v>
      </c>
      <c r="JR445" s="279">
        <f t="shared" si="267"/>
        <v>5.2307354233811898</v>
      </c>
      <c r="JS445" s="17">
        <f t="shared" si="268"/>
        <v>0.74597128625842368</v>
      </c>
      <c r="JT445" s="18">
        <f t="shared" si="269"/>
        <v>0.7571768659851561</v>
      </c>
      <c r="JU445" s="280">
        <f t="shared" si="270"/>
        <v>10184</v>
      </c>
      <c r="JV445" s="280">
        <f t="shared" si="271"/>
        <v>54070</v>
      </c>
      <c r="JW445" s="319" t="str">
        <f t="shared" si="272"/>
        <v/>
      </c>
      <c r="JX445" s="15">
        <f t="shared" si="273"/>
        <v>0</v>
      </c>
      <c r="JY445" s="15">
        <f t="shared" si="274"/>
        <v>0</v>
      </c>
      <c r="JZ445" s="19" t="str">
        <f t="shared" si="275"/>
        <v/>
      </c>
      <c r="KA445" s="52">
        <f t="shared" si="276"/>
        <v>1</v>
      </c>
      <c r="KB445" s="15">
        <f t="shared" si="277"/>
        <v>14282</v>
      </c>
      <c r="KC445" s="15">
        <f t="shared" si="278"/>
        <v>7140</v>
      </c>
      <c r="KD445" s="20">
        <f t="shared" si="279"/>
        <v>0.49992998179526676</v>
      </c>
      <c r="KE445" s="52" t="str">
        <f t="shared" si="280"/>
        <v/>
      </c>
      <c r="KF445" s="15">
        <f t="shared" si="281"/>
        <v>0</v>
      </c>
      <c r="KG445" s="15">
        <f t="shared" si="282"/>
        <v>0</v>
      </c>
      <c r="KH445" s="21" t="str">
        <f t="shared" si="283"/>
        <v/>
      </c>
      <c r="KI445" s="52">
        <f t="shared" si="284"/>
        <v>1</v>
      </c>
      <c r="KJ445" s="15">
        <f t="shared" si="285"/>
        <v>14282</v>
      </c>
      <c r="KK445" s="15">
        <f t="shared" si="286"/>
        <v>7140</v>
      </c>
      <c r="KL445" s="19">
        <f t="shared" si="287"/>
        <v>0.49992998179526676</v>
      </c>
      <c r="KM445" s="52">
        <f t="shared" si="288"/>
        <v>1</v>
      </c>
      <c r="KN445" s="22">
        <f t="shared" si="289"/>
        <v>14282</v>
      </c>
      <c r="KO445" s="22">
        <f t="shared" si="290"/>
        <v>7140</v>
      </c>
      <c r="KP445" s="19">
        <f t="shared" si="291"/>
        <v>0.49992998179526676</v>
      </c>
      <c r="KQ445" s="11" t="str">
        <f t="shared" si="292"/>
        <v>4. Transformative</v>
      </c>
      <c r="KR445" s="11" t="str">
        <f t="shared" si="293"/>
        <v>1. Tokenistic</v>
      </c>
      <c r="KS445" s="11" t="str">
        <f t="shared" si="294"/>
        <v>0. Harmful</v>
      </c>
      <c r="KT445" s="11" t="str">
        <f t="shared" si="295"/>
        <v>It tested new ways for fighting poverty, but did not measure results of innovation</v>
      </c>
      <c r="KU445" s="11" t="str">
        <f t="shared" si="296"/>
        <v>Little or no advocacy</v>
      </c>
      <c r="KV445" s="11" t="str">
        <f t="shared" si="297"/>
        <v>It linked and worked with strategic alliances and partners to take tested and effective solutions to scale</v>
      </c>
      <c r="KW445" s="11" t="str">
        <f t="shared" si="298"/>
        <v>Malawi - Pathways to Secure livelihoods</v>
      </c>
      <c r="KX445" s="11" t="str">
        <f t="shared" si="299"/>
        <v>Pathways to Secure livelihoods</v>
      </c>
      <c r="KY445" s="11" t="str">
        <f t="shared" si="300"/>
        <v>Malawi</v>
      </c>
      <c r="KZ445" s="12">
        <v>445</v>
      </c>
    </row>
    <row r="446" spans="1:312" x14ac:dyDescent="0.3">
      <c r="A446" s="12" t="s">
        <v>7451</v>
      </c>
      <c r="B446" s="277" t="s">
        <v>7217</v>
      </c>
      <c r="C446" s="12">
        <v>3119</v>
      </c>
      <c r="D446" s="12" t="s">
        <v>2331</v>
      </c>
      <c r="E446" s="277" t="str">
        <f t="shared" si="258"/>
        <v>Malawi</v>
      </c>
      <c r="F446" s="12" t="s">
        <v>7683</v>
      </c>
      <c r="G446" s="12" t="s">
        <v>379</v>
      </c>
      <c r="H446" s="12" t="s">
        <v>383</v>
      </c>
      <c r="I446" s="12"/>
      <c r="J446" s="278" t="s">
        <v>10530</v>
      </c>
      <c r="K446" s="12"/>
      <c r="L446" s="12"/>
      <c r="M446" s="12"/>
      <c r="N446" s="12"/>
      <c r="O446" s="12"/>
      <c r="P446" s="12"/>
      <c r="Q446" s="12"/>
      <c r="R446" s="12"/>
      <c r="S446" s="12"/>
      <c r="T446" s="12"/>
      <c r="U446" s="12"/>
      <c r="V446" s="12"/>
      <c r="W446" s="12"/>
      <c r="X446" s="12"/>
      <c r="Y446" s="12"/>
      <c r="Z446" s="12"/>
      <c r="AA446" s="12"/>
      <c r="AB446" s="12"/>
      <c r="AC446" s="12"/>
      <c r="AD446" s="12"/>
      <c r="BD446" s="13">
        <v>41821</v>
      </c>
      <c r="BE446" s="13">
        <v>43069</v>
      </c>
      <c r="BF446" s="12"/>
      <c r="BG446" s="12" t="s">
        <v>312</v>
      </c>
      <c r="BH446" s="14">
        <v>302972</v>
      </c>
      <c r="BI446" s="12" t="s">
        <v>7684</v>
      </c>
      <c r="BJ446" s="12" t="s">
        <v>354</v>
      </c>
      <c r="BK446" s="12" t="s">
        <v>7685</v>
      </c>
      <c r="BL446" s="12" t="s">
        <v>7657</v>
      </c>
      <c r="BM446" s="12" t="s">
        <v>7658</v>
      </c>
      <c r="BN446" s="12" t="s">
        <v>7659</v>
      </c>
      <c r="BO446" s="12" t="s">
        <v>319</v>
      </c>
      <c r="BP446" s="12" t="s">
        <v>320</v>
      </c>
      <c r="BQ446" s="12" t="s">
        <v>319</v>
      </c>
      <c r="BR446" s="12" t="s">
        <v>7686</v>
      </c>
      <c r="BS446" s="12" t="s">
        <v>357</v>
      </c>
      <c r="BT446" s="12" t="s">
        <v>7661</v>
      </c>
      <c r="BU446" s="12" t="s">
        <v>7687</v>
      </c>
      <c r="BV446" s="14">
        <v>8000</v>
      </c>
      <c r="BW446" s="14">
        <v>4000</v>
      </c>
      <c r="BX446" s="14">
        <v>12000</v>
      </c>
      <c r="BY446" s="14">
        <v>20000</v>
      </c>
      <c r="BZ446" s="14">
        <v>15000</v>
      </c>
      <c r="CA446" s="14">
        <v>35000</v>
      </c>
      <c r="CB446" s="12" t="s">
        <v>7688</v>
      </c>
      <c r="CD446" s="14"/>
      <c r="CE446" s="14"/>
      <c r="CF446" s="14"/>
      <c r="CG446" s="14"/>
      <c r="CH446" s="14"/>
      <c r="CI446" s="14"/>
      <c r="CJ446" s="12"/>
      <c r="CK446" s="14"/>
      <c r="CL446" s="16"/>
      <c r="CM446" s="14"/>
      <c r="CN446" s="12"/>
      <c r="CO446" s="14"/>
      <c r="CP446" s="16"/>
      <c r="CQ446" s="14"/>
      <c r="CR446" s="12"/>
      <c r="CS446" s="14"/>
      <c r="CT446" s="16"/>
      <c r="CU446" s="14"/>
      <c r="CV446" s="12"/>
      <c r="CW446" s="14"/>
      <c r="CX446" s="16"/>
      <c r="CY446" s="14"/>
      <c r="CZ446" s="12"/>
      <c r="DA446" s="14"/>
      <c r="DB446" s="16"/>
      <c r="DC446" s="14"/>
      <c r="DD446" s="12"/>
      <c r="DE446" s="14"/>
      <c r="DF446" s="16"/>
      <c r="DG446" s="14"/>
      <c r="DH446" s="12"/>
      <c r="DI446" s="14"/>
      <c r="DJ446" s="16"/>
      <c r="DK446" s="14"/>
      <c r="DL446" s="12"/>
      <c r="DM446" s="14"/>
      <c r="DN446" s="16"/>
      <c r="DO446" s="14"/>
      <c r="DP446" s="12"/>
      <c r="DQ446" s="14"/>
      <c r="DR446" s="16"/>
      <c r="DS446" s="14"/>
      <c r="DT446" s="12"/>
      <c r="DU446" s="14"/>
      <c r="DV446" s="16"/>
      <c r="DW446" s="14"/>
      <c r="DX446" s="12"/>
      <c r="DY446" s="14"/>
      <c r="DZ446" s="16"/>
      <c r="EA446" s="14"/>
      <c r="EB446" s="12"/>
      <c r="EC446" s="14"/>
      <c r="ED446" s="16"/>
      <c r="EE446" s="14"/>
      <c r="EF446" s="12"/>
      <c r="EG446" s="12"/>
      <c r="EH446" s="14"/>
      <c r="EI446" s="16"/>
      <c r="EJ446" s="14"/>
      <c r="EK446" s="14">
        <v>9283</v>
      </c>
      <c r="EL446" s="14">
        <v>5510</v>
      </c>
      <c r="EM446" s="14">
        <v>14793</v>
      </c>
      <c r="EN446" s="14">
        <v>19600</v>
      </c>
      <c r="EO446" s="14">
        <v>12500</v>
      </c>
      <c r="EP446" s="14">
        <v>32100</v>
      </c>
      <c r="EQ446" s="12" t="s">
        <v>319</v>
      </c>
      <c r="ER446" s="14"/>
      <c r="ES446" s="16"/>
      <c r="ET446" s="14"/>
      <c r="EU446" s="11" t="s">
        <v>319</v>
      </c>
      <c r="EV446" s="14"/>
      <c r="EW446" s="16"/>
      <c r="EX446" s="14"/>
      <c r="EY446" s="12" t="s">
        <v>319</v>
      </c>
      <c r="EZ446" s="14"/>
      <c r="FA446" s="16"/>
      <c r="FB446" s="14"/>
      <c r="FC446" s="12" t="s">
        <v>319</v>
      </c>
      <c r="FD446" s="14"/>
      <c r="FE446" s="16"/>
      <c r="FF446" s="14"/>
      <c r="FG446" s="12" t="s">
        <v>319</v>
      </c>
      <c r="FH446" s="14"/>
      <c r="FI446" s="16"/>
      <c r="FJ446" s="14"/>
      <c r="FK446" s="12" t="s">
        <v>320</v>
      </c>
      <c r="FL446" s="14">
        <v>16700</v>
      </c>
      <c r="FM446" s="16">
        <v>0.56000000000000005</v>
      </c>
      <c r="FN446" s="14"/>
      <c r="FO446" s="12" t="s">
        <v>319</v>
      </c>
      <c r="FP446" s="14"/>
      <c r="FQ446" s="16"/>
      <c r="FR446" s="14"/>
      <c r="FS446" s="12" t="s">
        <v>320</v>
      </c>
      <c r="FT446" s="14">
        <v>2300</v>
      </c>
      <c r="FU446" s="16">
        <v>0.7</v>
      </c>
      <c r="FV446" s="14"/>
      <c r="FW446" s="11" t="s">
        <v>320</v>
      </c>
      <c r="FX446" s="14">
        <v>8700</v>
      </c>
      <c r="FY446" s="16">
        <v>0.57999999999999996</v>
      </c>
      <c r="FZ446" s="14"/>
      <c r="GA446" s="12" t="s">
        <v>319</v>
      </c>
      <c r="GB446" s="14"/>
      <c r="GC446" s="16"/>
      <c r="GD446" s="14"/>
      <c r="GE446" s="12" t="s">
        <v>319</v>
      </c>
      <c r="GF446" s="14"/>
      <c r="GG446" s="16"/>
      <c r="GH446" s="14"/>
      <c r="GI446" s="12" t="s">
        <v>319</v>
      </c>
      <c r="GJ446" s="14"/>
      <c r="GK446" s="16"/>
      <c r="GL446" s="14"/>
      <c r="GM446" s="12" t="s">
        <v>319</v>
      </c>
      <c r="GN446" s="14"/>
      <c r="GO446" s="16"/>
      <c r="GP446" s="14"/>
      <c r="GQ446" s="12" t="s">
        <v>319</v>
      </c>
      <c r="GR446" s="14"/>
      <c r="GS446" s="16"/>
      <c r="GT446" s="14"/>
      <c r="GU446" s="12" t="s">
        <v>319</v>
      </c>
      <c r="GV446" s="14"/>
      <c r="GW446" s="16"/>
      <c r="GX446" s="14"/>
      <c r="GY446" s="12" t="s">
        <v>319</v>
      </c>
      <c r="GZ446" s="14"/>
      <c r="HA446" s="16"/>
      <c r="HB446" s="14"/>
      <c r="HC446" s="12"/>
      <c r="HD446" s="12"/>
      <c r="HE446" s="14"/>
      <c r="HF446" s="16"/>
      <c r="HG446" s="14"/>
      <c r="HH446" s="12" t="s">
        <v>319</v>
      </c>
      <c r="HI446" s="12"/>
      <c r="HJ446" s="12"/>
      <c r="HK446" s="12"/>
      <c r="HL446" s="12" t="s">
        <v>319</v>
      </c>
      <c r="HM446" s="12"/>
      <c r="HN446" s="12"/>
      <c r="HO446" s="12" t="s">
        <v>393</v>
      </c>
      <c r="HP446" s="12" t="s">
        <v>330</v>
      </c>
      <c r="HQ446" s="12" t="s">
        <v>320</v>
      </c>
      <c r="HR446" s="12" t="s">
        <v>319</v>
      </c>
      <c r="HS446" s="12" t="s">
        <v>319</v>
      </c>
      <c r="HT446" s="12" t="s">
        <v>320</v>
      </c>
      <c r="HU446" s="12" t="s">
        <v>319</v>
      </c>
      <c r="HV446" s="12" t="s">
        <v>319</v>
      </c>
      <c r="HW446" s="12" t="s">
        <v>319</v>
      </c>
      <c r="HX446" s="12"/>
      <c r="HY446" s="12"/>
      <c r="HZ446" s="12" t="s">
        <v>363</v>
      </c>
      <c r="IA446" s="12"/>
      <c r="IB446" s="12" t="s">
        <v>333</v>
      </c>
      <c r="IC446" s="12"/>
      <c r="ID446" s="12" t="s">
        <v>334</v>
      </c>
      <c r="IE446" s="12" t="s">
        <v>335</v>
      </c>
      <c r="IF446" s="12" t="s">
        <v>320</v>
      </c>
      <c r="IG446" s="12" t="s">
        <v>320</v>
      </c>
      <c r="IH446" s="12" t="s">
        <v>320</v>
      </c>
      <c r="II446" s="12" t="s">
        <v>320</v>
      </c>
      <c r="IJ446" s="12" t="str">
        <f t="shared" si="259"/>
        <v>2. Sensitive</v>
      </c>
      <c r="IK446" s="12">
        <f t="shared" si="260"/>
        <v>4</v>
      </c>
      <c r="IL446" s="12" t="s">
        <v>336</v>
      </c>
      <c r="IM446" s="12" t="s">
        <v>320</v>
      </c>
      <c r="IN446" s="12" t="s">
        <v>319</v>
      </c>
      <c r="IO446" s="12" t="s">
        <v>320</v>
      </c>
      <c r="IP446" s="12" t="s">
        <v>320</v>
      </c>
      <c r="IQ446" s="12" t="str">
        <f t="shared" si="261"/>
        <v>2. Accommodating</v>
      </c>
      <c r="IR446" s="12">
        <f t="shared" si="262"/>
        <v>3</v>
      </c>
      <c r="IS446" s="12" t="s">
        <v>456</v>
      </c>
      <c r="IT446" s="12"/>
      <c r="IU446" s="12"/>
      <c r="IV446" s="12"/>
      <c r="IW446" s="11" t="str">
        <f t="shared" si="263"/>
        <v>0. Harmful</v>
      </c>
      <c r="IX446" s="12">
        <f t="shared" si="264"/>
        <v>0</v>
      </c>
      <c r="IY446" s="12" t="s">
        <v>338</v>
      </c>
      <c r="IZ446" s="12" t="s">
        <v>432</v>
      </c>
      <c r="JA446" s="12">
        <v>1</v>
      </c>
      <c r="JB446" s="12" t="s">
        <v>687</v>
      </c>
      <c r="JC446" s="12"/>
      <c r="JD446" s="12"/>
      <c r="JE446" s="12" t="s">
        <v>420</v>
      </c>
      <c r="JF446" s="12"/>
      <c r="JG446" s="12"/>
      <c r="JH446" s="12" t="s">
        <v>7689</v>
      </c>
      <c r="JI446" s="12" t="s">
        <v>7690</v>
      </c>
      <c r="JJ446" s="12" t="s">
        <v>7691</v>
      </c>
      <c r="JK446" s="12" t="s">
        <v>7692</v>
      </c>
      <c r="JL446" s="12"/>
      <c r="JM446" s="12"/>
      <c r="JN446" s="12"/>
      <c r="JO446" s="12" t="s">
        <v>7693</v>
      </c>
      <c r="JP446" s="15">
        <f t="shared" si="265"/>
        <v>14793</v>
      </c>
      <c r="JQ446" s="15">
        <f t="shared" si="266"/>
        <v>32100</v>
      </c>
      <c r="JR446" s="279">
        <f t="shared" si="267"/>
        <v>2.1699452443723382</v>
      </c>
      <c r="JS446" s="17">
        <f t="shared" si="268"/>
        <v>0.62752653281957682</v>
      </c>
      <c r="JT446" s="18">
        <f t="shared" si="269"/>
        <v>0.61059190031152644</v>
      </c>
      <c r="JU446" s="280">
        <f t="shared" si="270"/>
        <v>9283</v>
      </c>
      <c r="JV446" s="280">
        <f t="shared" si="271"/>
        <v>19600</v>
      </c>
      <c r="JW446" s="319" t="str">
        <f t="shared" si="272"/>
        <v/>
      </c>
      <c r="JX446" s="15">
        <f t="shared" si="273"/>
        <v>0</v>
      </c>
      <c r="JY446" s="15">
        <f t="shared" si="274"/>
        <v>0</v>
      </c>
      <c r="JZ446" s="19" t="str">
        <f t="shared" si="275"/>
        <v/>
      </c>
      <c r="KA446" s="52" t="str">
        <f t="shared" si="276"/>
        <v/>
      </c>
      <c r="KB446" s="15">
        <f t="shared" si="277"/>
        <v>0</v>
      </c>
      <c r="KC446" s="15">
        <f t="shared" si="278"/>
        <v>0</v>
      </c>
      <c r="KD446" s="20" t="str">
        <f t="shared" si="279"/>
        <v/>
      </c>
      <c r="KE446" s="52" t="str">
        <f t="shared" si="280"/>
        <v/>
      </c>
      <c r="KF446" s="15">
        <f t="shared" si="281"/>
        <v>0</v>
      </c>
      <c r="KG446" s="15">
        <f t="shared" si="282"/>
        <v>0</v>
      </c>
      <c r="KH446" s="21" t="str">
        <f t="shared" si="283"/>
        <v/>
      </c>
      <c r="KI446" s="52">
        <f t="shared" si="284"/>
        <v>1</v>
      </c>
      <c r="KJ446" s="15">
        <f t="shared" si="285"/>
        <v>2300</v>
      </c>
      <c r="KK446" s="15">
        <f t="shared" si="286"/>
        <v>0</v>
      </c>
      <c r="KL446" s="19">
        <f t="shared" si="287"/>
        <v>0</v>
      </c>
      <c r="KM446" s="52" t="str">
        <f t="shared" si="288"/>
        <v/>
      </c>
      <c r="KN446" s="22">
        <f t="shared" si="289"/>
        <v>0</v>
      </c>
      <c r="KO446" s="22">
        <f t="shared" si="290"/>
        <v>0</v>
      </c>
      <c r="KP446" s="19" t="str">
        <f t="shared" si="291"/>
        <v/>
      </c>
      <c r="KQ446" s="11" t="str">
        <f t="shared" si="292"/>
        <v>2. Sensitive</v>
      </c>
      <c r="KR446" s="11" t="str">
        <f t="shared" si="293"/>
        <v>2. Accommodating</v>
      </c>
      <c r="KS446" s="11" t="str">
        <f t="shared" si="294"/>
        <v>0. Harmful</v>
      </c>
      <c r="KT446" s="11" t="str">
        <f t="shared" si="295"/>
        <v>It did not develop any specific innovation</v>
      </c>
      <c r="KU446" s="11" t="str">
        <f t="shared" si="296"/>
        <v>Moderate advocacy</v>
      </c>
      <c r="KV446" s="11" t="str">
        <f t="shared" si="297"/>
        <v>It did not take tested solutions to scale</v>
      </c>
      <c r="KW446" s="11" t="str">
        <f t="shared" si="298"/>
        <v>Malawi - Patsy Collins Trust Fund Initiative</v>
      </c>
      <c r="KX446" s="11" t="str">
        <f t="shared" si="299"/>
        <v>Patsy Collins Trust Fund Initiative</v>
      </c>
      <c r="KY446" s="11" t="str">
        <f t="shared" si="300"/>
        <v>Malawi</v>
      </c>
      <c r="KZ446" s="12">
        <v>446</v>
      </c>
    </row>
    <row r="447" spans="1:312" x14ac:dyDescent="0.3">
      <c r="A447" s="12" t="s">
        <v>7451</v>
      </c>
      <c r="B447" s="12" t="s">
        <v>7217</v>
      </c>
      <c r="C447" s="12">
        <v>3139</v>
      </c>
      <c r="D447" s="12" t="s">
        <v>7761</v>
      </c>
      <c r="E447" s="277" t="str">
        <f t="shared" si="258"/>
        <v>Malawi</v>
      </c>
      <c r="F447" s="12" t="s">
        <v>7762</v>
      </c>
      <c r="G447" s="12" t="s">
        <v>608</v>
      </c>
      <c r="H447" s="12" t="s">
        <v>380</v>
      </c>
      <c r="I447" s="12" t="s">
        <v>381</v>
      </c>
      <c r="J447" s="281" t="s">
        <v>7763</v>
      </c>
      <c r="K447" s="12"/>
      <c r="L447" s="12"/>
      <c r="M447" s="12"/>
      <c r="N447" s="12"/>
      <c r="O447" s="12"/>
      <c r="P447" s="12"/>
      <c r="Q447" s="12"/>
      <c r="R447" s="12"/>
      <c r="S447" s="12"/>
      <c r="T447" s="12"/>
      <c r="U447" s="12"/>
      <c r="V447" s="12"/>
      <c r="W447" s="12"/>
      <c r="X447" s="12"/>
      <c r="Y447" s="12"/>
      <c r="Z447" s="12"/>
      <c r="AA447" s="12"/>
      <c r="AB447" s="12"/>
      <c r="AC447" s="12"/>
      <c r="AD447" s="12"/>
      <c r="BD447" s="13">
        <v>42552</v>
      </c>
      <c r="BE447" s="13">
        <v>42824</v>
      </c>
      <c r="BF447" s="13">
        <v>42840</v>
      </c>
      <c r="BG447" s="12" t="s">
        <v>908</v>
      </c>
      <c r="BH447" s="14">
        <v>1063833</v>
      </c>
      <c r="BI447" s="12" t="s">
        <v>7476</v>
      </c>
      <c r="BJ447" s="12" t="s">
        <v>7764</v>
      </c>
      <c r="BK447" s="12" t="s">
        <v>7478</v>
      </c>
      <c r="BL447" s="12" t="s">
        <v>7765</v>
      </c>
      <c r="BM447" s="12" t="s">
        <v>317</v>
      </c>
      <c r="BN447" s="12" t="s">
        <v>7766</v>
      </c>
      <c r="BO447" s="12" t="s">
        <v>320</v>
      </c>
      <c r="BP447" s="12" t="s">
        <v>319</v>
      </c>
      <c r="BQ447" s="12" t="s">
        <v>319</v>
      </c>
      <c r="BR447" s="12" t="s">
        <v>7767</v>
      </c>
      <c r="BS447" s="12" t="s">
        <v>357</v>
      </c>
      <c r="BT447" s="12" t="s">
        <v>7768</v>
      </c>
      <c r="BU447" s="12" t="s">
        <v>7769</v>
      </c>
      <c r="BV447" s="14">
        <v>88475</v>
      </c>
      <c r="BW447" s="14">
        <v>82928</v>
      </c>
      <c r="BX447" s="14">
        <v>171403</v>
      </c>
      <c r="BY447" s="14"/>
      <c r="BZ447" s="14"/>
      <c r="CA447" s="14"/>
      <c r="CB447" s="12" t="s">
        <v>7770</v>
      </c>
      <c r="CD447" s="14">
        <v>88475</v>
      </c>
      <c r="CE447" s="14">
        <v>82928</v>
      </c>
      <c r="CF447" s="14">
        <v>171403</v>
      </c>
      <c r="CG447" s="14">
        <v>30966.249999999902</v>
      </c>
      <c r="CH447" s="14">
        <v>29024.799999999999</v>
      </c>
      <c r="CI447" s="14">
        <v>59991</v>
      </c>
      <c r="CJ447" s="12" t="s">
        <v>319</v>
      </c>
      <c r="CK447" s="14"/>
      <c r="CL447" s="16"/>
      <c r="CM447" s="14"/>
      <c r="CN447" s="12" t="s">
        <v>319</v>
      </c>
      <c r="CO447" s="14"/>
      <c r="CP447" s="16"/>
      <c r="CQ447" s="14"/>
      <c r="CR447" s="12" t="s">
        <v>319</v>
      </c>
      <c r="CS447" s="14"/>
      <c r="CT447" s="16"/>
      <c r="CU447" s="14"/>
      <c r="CV447" s="12" t="s">
        <v>320</v>
      </c>
      <c r="CW447" s="14">
        <v>171403</v>
      </c>
      <c r="CX447" s="16">
        <v>0.51600000000000001</v>
      </c>
      <c r="CY447" s="14">
        <v>59991</v>
      </c>
      <c r="CZ447" s="12" t="s">
        <v>320</v>
      </c>
      <c r="DA447" s="14">
        <v>171043</v>
      </c>
      <c r="DB447" s="16">
        <v>0.52</v>
      </c>
      <c r="DC447" s="14">
        <v>59991</v>
      </c>
      <c r="DD447" s="11" t="s">
        <v>320</v>
      </c>
      <c r="DE447" s="14">
        <v>171403</v>
      </c>
      <c r="DF447" s="16">
        <v>0.52</v>
      </c>
      <c r="DG447" s="14">
        <v>59991</v>
      </c>
      <c r="DH447" s="12" t="s">
        <v>320</v>
      </c>
      <c r="DI447" s="14"/>
      <c r="DJ447" s="16"/>
      <c r="DK447" s="14">
        <v>59991</v>
      </c>
      <c r="DL447" s="11" t="s">
        <v>320</v>
      </c>
      <c r="DM447" s="14">
        <v>6926</v>
      </c>
      <c r="DN447" s="16">
        <v>4.0399999999999998E-2</v>
      </c>
      <c r="DO447" s="14">
        <v>2424</v>
      </c>
      <c r="DP447" s="12" t="s">
        <v>320</v>
      </c>
      <c r="DQ447" s="14">
        <v>171403</v>
      </c>
      <c r="DR447" s="16">
        <v>0.52</v>
      </c>
      <c r="DS447" s="14">
        <v>59991</v>
      </c>
      <c r="DT447" s="12" t="s">
        <v>319</v>
      </c>
      <c r="DU447" s="14"/>
      <c r="DV447" s="16"/>
      <c r="DW447" s="14"/>
      <c r="DX447" s="12" t="s">
        <v>319</v>
      </c>
      <c r="DY447" s="14"/>
      <c r="DZ447" s="16"/>
      <c r="EA447" s="14"/>
      <c r="EB447" s="12" t="s">
        <v>319</v>
      </c>
      <c r="EC447" s="14"/>
      <c r="ED447" s="16"/>
      <c r="EE447" s="14"/>
      <c r="EF447" s="12"/>
      <c r="EG447" s="12" t="s">
        <v>319</v>
      </c>
      <c r="EH447" s="14"/>
      <c r="EI447" s="16"/>
      <c r="EJ447" s="14"/>
      <c r="EK447" s="14"/>
      <c r="EL447" s="14"/>
      <c r="EM447" s="14"/>
      <c r="EN447" s="14"/>
      <c r="EO447" s="14"/>
      <c r="EP447" s="14"/>
      <c r="EQ447" s="12"/>
      <c r="ER447" s="14"/>
      <c r="ES447" s="16"/>
      <c r="ET447" s="14"/>
      <c r="EU447" s="12"/>
      <c r="EV447" s="14"/>
      <c r="EW447" s="16"/>
      <c r="EX447" s="14"/>
      <c r="EY447" s="12"/>
      <c r="EZ447" s="14"/>
      <c r="FA447" s="16"/>
      <c r="FB447" s="14"/>
      <c r="FC447" s="12"/>
      <c r="FD447" s="14"/>
      <c r="FE447" s="16"/>
      <c r="FF447" s="14"/>
      <c r="FG447" s="12"/>
      <c r="FH447" s="14"/>
      <c r="FI447" s="16"/>
      <c r="FJ447" s="14"/>
      <c r="FK447" s="12"/>
      <c r="FL447" s="14"/>
      <c r="FM447" s="16"/>
      <c r="FN447" s="14"/>
      <c r="FO447" s="12"/>
      <c r="FP447" s="14"/>
      <c r="FQ447" s="16"/>
      <c r="FR447" s="14"/>
      <c r="FS447" s="12"/>
      <c r="FT447" s="14"/>
      <c r="FU447" s="16"/>
      <c r="FV447" s="14"/>
      <c r="FW447" s="12"/>
      <c r="FX447" s="14"/>
      <c r="FY447" s="16"/>
      <c r="FZ447" s="14"/>
      <c r="GA447" s="12"/>
      <c r="GB447" s="14"/>
      <c r="GC447" s="16"/>
      <c r="GD447" s="14"/>
      <c r="GE447" s="12"/>
      <c r="GF447" s="14"/>
      <c r="GG447" s="16"/>
      <c r="GH447" s="14"/>
      <c r="GI447" s="12"/>
      <c r="GJ447" s="14"/>
      <c r="GK447" s="16"/>
      <c r="GL447" s="14"/>
      <c r="GM447" s="12"/>
      <c r="GN447" s="14"/>
      <c r="GO447" s="16"/>
      <c r="GP447" s="14"/>
      <c r="GQ447" s="12"/>
      <c r="GR447" s="14"/>
      <c r="GS447" s="16"/>
      <c r="GT447" s="14"/>
      <c r="GU447" s="12"/>
      <c r="GV447" s="14"/>
      <c r="GW447" s="16"/>
      <c r="GX447" s="14"/>
      <c r="GY447" s="12"/>
      <c r="GZ447" s="14"/>
      <c r="HA447" s="16"/>
      <c r="HB447" s="14"/>
      <c r="HC447" s="12"/>
      <c r="HD447" s="12"/>
      <c r="HE447" s="14"/>
      <c r="HF447" s="16"/>
      <c r="HG447" s="14"/>
      <c r="HH447" s="12" t="s">
        <v>319</v>
      </c>
      <c r="HI447" s="12"/>
      <c r="HJ447" s="12"/>
      <c r="HK447" s="12" t="s">
        <v>319</v>
      </c>
      <c r="HL447" s="12" t="s">
        <v>319</v>
      </c>
      <c r="HM447" s="12"/>
      <c r="HN447" s="12"/>
      <c r="HO447" s="12" t="s">
        <v>7771</v>
      </c>
      <c r="HP447" s="12" t="s">
        <v>453</v>
      </c>
      <c r="HQ447" s="12" t="s">
        <v>319</v>
      </c>
      <c r="HR447" s="12" t="s">
        <v>319</v>
      </c>
      <c r="HS447" s="12" t="s">
        <v>319</v>
      </c>
      <c r="HT447" s="12" t="s">
        <v>319</v>
      </c>
      <c r="HU447" s="12" t="s">
        <v>319</v>
      </c>
      <c r="HV447" s="12" t="s">
        <v>319</v>
      </c>
      <c r="HW447" s="12" t="s">
        <v>319</v>
      </c>
      <c r="HX447" s="12" t="s">
        <v>319</v>
      </c>
      <c r="HY447" s="12"/>
      <c r="HZ447" s="12" t="s">
        <v>363</v>
      </c>
      <c r="IA447" s="12"/>
      <c r="IB447" s="12" t="s">
        <v>333</v>
      </c>
      <c r="IC447" s="12"/>
      <c r="ID447" s="12" t="s">
        <v>334</v>
      </c>
      <c r="IE447" s="12" t="s">
        <v>478</v>
      </c>
      <c r="IF447" s="12" t="s">
        <v>319</v>
      </c>
      <c r="IG447" s="12" t="s">
        <v>320</v>
      </c>
      <c r="IH447" s="12" t="s">
        <v>320</v>
      </c>
      <c r="II447" s="12" t="s">
        <v>320</v>
      </c>
      <c r="IJ447" s="12" t="str">
        <f t="shared" si="259"/>
        <v>3. Responsive</v>
      </c>
      <c r="IK447" s="12">
        <f t="shared" si="260"/>
        <v>3</v>
      </c>
      <c r="IL447" s="12" t="s">
        <v>336</v>
      </c>
      <c r="IM447" s="12" t="s">
        <v>320</v>
      </c>
      <c r="IN447" s="12" t="s">
        <v>319</v>
      </c>
      <c r="IO447" s="12" t="s">
        <v>320</v>
      </c>
      <c r="IP447" s="12" t="s">
        <v>320</v>
      </c>
      <c r="IQ447" s="12" t="str">
        <f t="shared" si="261"/>
        <v>2. Accommodating</v>
      </c>
      <c r="IR447" s="12">
        <f t="shared" si="262"/>
        <v>3</v>
      </c>
      <c r="IS447" s="12" t="s">
        <v>337</v>
      </c>
      <c r="IT447" s="12" t="s">
        <v>320</v>
      </c>
      <c r="IU447" s="12" t="s">
        <v>320</v>
      </c>
      <c r="IV447" s="12" t="s">
        <v>320</v>
      </c>
      <c r="IW447" s="11" t="str">
        <f t="shared" si="263"/>
        <v>2. Sensitive</v>
      </c>
      <c r="IX447" s="12">
        <f t="shared" si="264"/>
        <v>3</v>
      </c>
      <c r="IY447" s="12" t="s">
        <v>419</v>
      </c>
      <c r="IZ447" s="12" t="s">
        <v>339</v>
      </c>
      <c r="JA447" s="12">
        <v>1</v>
      </c>
      <c r="JB447" s="12" t="s">
        <v>832</v>
      </c>
      <c r="JC447" s="12"/>
      <c r="JD447" s="12"/>
      <c r="JE447" s="12" t="s">
        <v>365</v>
      </c>
      <c r="JF447" s="12"/>
      <c r="JG447" s="12" t="s">
        <v>7772</v>
      </c>
      <c r="JH447" s="12" t="s">
        <v>7773</v>
      </c>
      <c r="JI447" s="12" t="s">
        <v>7774</v>
      </c>
      <c r="JJ447" s="12" t="s">
        <v>7775</v>
      </c>
      <c r="JK447" s="12" t="s">
        <v>7776</v>
      </c>
      <c r="JL447" s="12" t="s">
        <v>7777</v>
      </c>
      <c r="JM447" s="12" t="s">
        <v>7778</v>
      </c>
      <c r="JN447" s="12"/>
      <c r="JO447" s="12"/>
      <c r="JP447" s="15">
        <f t="shared" si="265"/>
        <v>171403</v>
      </c>
      <c r="JQ447" s="15">
        <f t="shared" si="266"/>
        <v>59991</v>
      </c>
      <c r="JR447" s="279">
        <f t="shared" si="267"/>
        <v>0.34999970828981991</v>
      </c>
      <c r="JS447" s="17">
        <f t="shared" si="268"/>
        <v>0.51618116369025047</v>
      </c>
      <c r="JT447" s="18">
        <f t="shared" si="269"/>
        <v>0.51618159390575091</v>
      </c>
      <c r="JU447" s="280">
        <f t="shared" si="270"/>
        <v>88475</v>
      </c>
      <c r="JV447" s="280">
        <f t="shared" si="271"/>
        <v>30966.249999999902</v>
      </c>
      <c r="JW447" s="319">
        <f t="shared" si="272"/>
        <v>1</v>
      </c>
      <c r="JX447" s="15">
        <f t="shared" si="273"/>
        <v>171403</v>
      </c>
      <c r="JY447" s="15">
        <f t="shared" si="274"/>
        <v>59991</v>
      </c>
      <c r="JZ447" s="19">
        <f t="shared" si="275"/>
        <v>0.34999970828981991</v>
      </c>
      <c r="KA447" s="52">
        <f t="shared" si="276"/>
        <v>1</v>
      </c>
      <c r="KB447" s="15">
        <f t="shared" si="277"/>
        <v>171403</v>
      </c>
      <c r="KC447" s="15">
        <f t="shared" si="278"/>
        <v>59991</v>
      </c>
      <c r="KD447" s="20">
        <f t="shared" si="279"/>
        <v>0.34999970828981991</v>
      </c>
      <c r="KE447" s="52" t="str">
        <f t="shared" si="280"/>
        <v/>
      </c>
      <c r="KF447" s="15">
        <f t="shared" si="281"/>
        <v>0</v>
      </c>
      <c r="KG447" s="15">
        <f t="shared" si="282"/>
        <v>0</v>
      </c>
      <c r="KH447" s="21" t="str">
        <f t="shared" si="283"/>
        <v/>
      </c>
      <c r="KI447" s="52">
        <f t="shared" si="284"/>
        <v>1</v>
      </c>
      <c r="KJ447" s="15">
        <f t="shared" si="285"/>
        <v>171043</v>
      </c>
      <c r="KK447" s="15">
        <f t="shared" si="286"/>
        <v>59991</v>
      </c>
      <c r="KL447" s="19">
        <f t="shared" si="287"/>
        <v>0.35073636453991103</v>
      </c>
      <c r="KM447" s="52" t="str">
        <f t="shared" si="288"/>
        <v/>
      </c>
      <c r="KN447" s="22">
        <f t="shared" si="289"/>
        <v>0</v>
      </c>
      <c r="KO447" s="22">
        <f t="shared" si="290"/>
        <v>0</v>
      </c>
      <c r="KP447" s="19" t="str">
        <f t="shared" si="291"/>
        <v/>
      </c>
      <c r="KQ447" s="11" t="str">
        <f t="shared" si="292"/>
        <v>3. Responsive</v>
      </c>
      <c r="KR447" s="11" t="str">
        <f t="shared" si="293"/>
        <v>2. Accommodating</v>
      </c>
      <c r="KS447" s="11" t="str">
        <f t="shared" si="294"/>
        <v>2. Sensitive</v>
      </c>
      <c r="KT447" s="11" t="str">
        <f t="shared" si="295"/>
        <v>It did not develop any specific innovation</v>
      </c>
      <c r="KU447" s="11" t="str">
        <f t="shared" si="296"/>
        <v>Intensive advocacy</v>
      </c>
      <c r="KV447" s="11" t="str">
        <f t="shared" si="297"/>
        <v>It did not take tested solutions to scale</v>
      </c>
      <c r="KW447" s="11" t="str">
        <f t="shared" si="298"/>
        <v>Malawi - Protracted Relief and Recovery Operation 200692</v>
      </c>
      <c r="KX447" s="11" t="str">
        <f t="shared" si="299"/>
        <v>Protracted Relief and Recovery Operation 200692</v>
      </c>
      <c r="KY447" s="11" t="str">
        <f t="shared" si="300"/>
        <v>Malawi</v>
      </c>
      <c r="KZ447" s="12">
        <v>447</v>
      </c>
    </row>
    <row r="448" spans="1:312" x14ac:dyDescent="0.3">
      <c r="A448" s="12" t="s">
        <v>7451</v>
      </c>
      <c r="B448" s="12" t="s">
        <v>7217</v>
      </c>
      <c r="C448" s="12">
        <v>3126</v>
      </c>
      <c r="D448" s="12" t="s">
        <v>7779</v>
      </c>
      <c r="E448" s="277" t="str">
        <f t="shared" si="258"/>
        <v>Malawi</v>
      </c>
      <c r="F448" s="12" t="s">
        <v>7780</v>
      </c>
      <c r="G448" s="12" t="s">
        <v>608</v>
      </c>
      <c r="H448" s="12" t="s">
        <v>380</v>
      </c>
      <c r="I448" s="12" t="s">
        <v>381</v>
      </c>
      <c r="J448" s="281" t="s">
        <v>11578</v>
      </c>
      <c r="K448" s="12"/>
      <c r="L448" s="12"/>
      <c r="M448" s="12"/>
      <c r="N448" s="12"/>
      <c r="O448" s="12"/>
      <c r="P448" s="12"/>
      <c r="Q448" s="12"/>
      <c r="R448" s="12"/>
      <c r="S448" s="12"/>
      <c r="T448" s="12"/>
      <c r="U448" s="12"/>
      <c r="V448" s="12"/>
      <c r="W448" s="12"/>
      <c r="X448" s="12"/>
      <c r="Y448" s="12"/>
      <c r="Z448" s="12"/>
      <c r="AA448" s="12"/>
      <c r="AB448" s="12"/>
      <c r="AC448" s="12"/>
      <c r="AD448" s="12"/>
      <c r="BD448" s="13">
        <v>42512</v>
      </c>
      <c r="BE448" s="13">
        <v>42962</v>
      </c>
      <c r="BF448" s="13">
        <v>43038</v>
      </c>
      <c r="BG448" s="12" t="s">
        <v>817</v>
      </c>
      <c r="BH448" s="14">
        <v>845208</v>
      </c>
      <c r="BI448" s="12" t="s">
        <v>7476</v>
      </c>
      <c r="BJ448" s="12" t="s">
        <v>7764</v>
      </c>
      <c r="BK448" s="12" t="s">
        <v>7478</v>
      </c>
      <c r="BL448" s="12" t="s">
        <v>7765</v>
      </c>
      <c r="BM448" s="12" t="s">
        <v>317</v>
      </c>
      <c r="BN448" s="12" t="s">
        <v>7766</v>
      </c>
      <c r="BO448" s="12" t="s">
        <v>320</v>
      </c>
      <c r="BP448" s="12" t="s">
        <v>319</v>
      </c>
      <c r="BQ448" s="12" t="s">
        <v>319</v>
      </c>
      <c r="BR448" s="12" t="s">
        <v>7781</v>
      </c>
      <c r="BS448" s="12" t="s">
        <v>357</v>
      </c>
      <c r="BT448" s="12" t="s">
        <v>7782</v>
      </c>
      <c r="BU448" s="12" t="s">
        <v>7783</v>
      </c>
      <c r="BV448" s="14">
        <v>997</v>
      </c>
      <c r="BW448" s="14">
        <v>920</v>
      </c>
      <c r="BX448" s="14">
        <v>1917</v>
      </c>
      <c r="BY448" s="14"/>
      <c r="BZ448" s="14"/>
      <c r="CA448" s="14"/>
      <c r="CB448" s="12" t="s">
        <v>7784</v>
      </c>
      <c r="CD448" s="14">
        <v>997</v>
      </c>
      <c r="CE448" s="14">
        <v>920</v>
      </c>
      <c r="CF448" s="14">
        <v>1917</v>
      </c>
      <c r="CG448" s="14"/>
      <c r="CH448" s="14"/>
      <c r="CI448" s="14"/>
      <c r="CJ448" s="12" t="s">
        <v>319</v>
      </c>
      <c r="CK448" s="14"/>
      <c r="CL448" s="16"/>
      <c r="CM448" s="14"/>
      <c r="CN448" s="12" t="s">
        <v>319</v>
      </c>
      <c r="CO448" s="14"/>
      <c r="CP448" s="16"/>
      <c r="CQ448" s="14"/>
      <c r="CR448" s="12" t="s">
        <v>319</v>
      </c>
      <c r="CS448" s="14"/>
      <c r="CT448" s="16"/>
      <c r="CU448" s="14"/>
      <c r="CV448" s="12" t="s">
        <v>319</v>
      </c>
      <c r="CW448" s="14"/>
      <c r="CX448" s="16"/>
      <c r="CY448" s="14"/>
      <c r="CZ448" s="12" t="s">
        <v>320</v>
      </c>
      <c r="DA448" s="14">
        <v>1917</v>
      </c>
      <c r="DB448" s="16">
        <v>0.52</v>
      </c>
      <c r="DC448" s="14"/>
      <c r="DD448" s="11" t="s">
        <v>320</v>
      </c>
      <c r="DE448" s="14">
        <v>1917</v>
      </c>
      <c r="DF448" s="16">
        <v>0.52</v>
      </c>
      <c r="DG448" s="14"/>
      <c r="DH448" s="12" t="s">
        <v>319</v>
      </c>
      <c r="DI448" s="14"/>
      <c r="DJ448" s="16"/>
      <c r="DK448" s="14"/>
      <c r="DL448" s="11" t="s">
        <v>320</v>
      </c>
      <c r="DM448" s="14">
        <v>700</v>
      </c>
      <c r="DN448" s="16">
        <v>0.52</v>
      </c>
      <c r="DO448" s="14"/>
      <c r="DP448" s="12" t="s">
        <v>320</v>
      </c>
      <c r="DQ448" s="14">
        <v>1917</v>
      </c>
      <c r="DR448" s="16">
        <v>0.52</v>
      </c>
      <c r="DS448" s="14"/>
      <c r="DT448" s="12" t="s">
        <v>319</v>
      </c>
      <c r="DU448" s="14"/>
      <c r="DV448" s="16"/>
      <c r="DW448" s="14"/>
      <c r="DX448" s="12" t="s">
        <v>320</v>
      </c>
      <c r="DY448" s="14">
        <v>1917</v>
      </c>
      <c r="DZ448" s="16">
        <v>0.52</v>
      </c>
      <c r="EA448" s="14"/>
      <c r="EB448" s="12" t="s">
        <v>319</v>
      </c>
      <c r="EC448" s="14"/>
      <c r="ED448" s="16"/>
      <c r="EE448" s="14"/>
      <c r="EF448" s="12"/>
      <c r="EG448" s="12"/>
      <c r="EH448" s="14"/>
      <c r="EI448" s="16"/>
      <c r="EJ448" s="14"/>
      <c r="EK448" s="14"/>
      <c r="EL448" s="14"/>
      <c r="EM448" s="14"/>
      <c r="EN448" s="14"/>
      <c r="EO448" s="14"/>
      <c r="EP448" s="14"/>
      <c r="EQ448" s="12"/>
      <c r="ER448" s="14"/>
      <c r="ES448" s="16"/>
      <c r="ET448" s="14"/>
      <c r="EU448" s="12"/>
      <c r="EV448" s="14"/>
      <c r="EW448" s="16"/>
      <c r="EX448" s="14"/>
      <c r="EY448" s="12"/>
      <c r="EZ448" s="14"/>
      <c r="FA448" s="16"/>
      <c r="FB448" s="14"/>
      <c r="FC448" s="12"/>
      <c r="FD448" s="14"/>
      <c r="FE448" s="16"/>
      <c r="FF448" s="14"/>
      <c r="FG448" s="12"/>
      <c r="FH448" s="14"/>
      <c r="FI448" s="16"/>
      <c r="FJ448" s="14"/>
      <c r="FK448" s="12"/>
      <c r="FL448" s="14"/>
      <c r="FM448" s="16"/>
      <c r="FN448" s="14"/>
      <c r="FO448" s="12"/>
      <c r="FP448" s="14"/>
      <c r="FQ448" s="16"/>
      <c r="FR448" s="14"/>
      <c r="FS448" s="12"/>
      <c r="FT448" s="14"/>
      <c r="FU448" s="16"/>
      <c r="FV448" s="14"/>
      <c r="FW448" s="12"/>
      <c r="FX448" s="14"/>
      <c r="FY448" s="16"/>
      <c r="FZ448" s="14"/>
      <c r="GA448" s="12"/>
      <c r="GB448" s="14"/>
      <c r="GC448" s="16"/>
      <c r="GD448" s="14"/>
      <c r="GE448" s="12"/>
      <c r="GF448" s="14"/>
      <c r="GG448" s="16"/>
      <c r="GH448" s="14"/>
      <c r="GI448" s="12"/>
      <c r="GJ448" s="14"/>
      <c r="GK448" s="16"/>
      <c r="GL448" s="14"/>
      <c r="GM448" s="12"/>
      <c r="GN448" s="14"/>
      <c r="GO448" s="16"/>
      <c r="GP448" s="14"/>
      <c r="GQ448" s="12"/>
      <c r="GR448" s="14"/>
      <c r="GS448" s="16"/>
      <c r="GT448" s="14"/>
      <c r="GU448" s="12"/>
      <c r="GV448" s="14"/>
      <c r="GW448" s="16"/>
      <c r="GX448" s="14"/>
      <c r="GY448" s="12"/>
      <c r="GZ448" s="14"/>
      <c r="HA448" s="16"/>
      <c r="HB448" s="14"/>
      <c r="HC448" s="12"/>
      <c r="HD448" s="12"/>
      <c r="HE448" s="14"/>
      <c r="HF448" s="16"/>
      <c r="HG448" s="14"/>
      <c r="HH448" s="12" t="s">
        <v>319</v>
      </c>
      <c r="HI448" s="12"/>
      <c r="HJ448" s="12"/>
      <c r="HK448" s="12" t="s">
        <v>319</v>
      </c>
      <c r="HL448" s="12" t="s">
        <v>319</v>
      </c>
      <c r="HM448" s="12"/>
      <c r="HN448" s="12"/>
      <c r="HO448" s="12" t="s">
        <v>7785</v>
      </c>
      <c r="HP448" s="12" t="s">
        <v>418</v>
      </c>
      <c r="HQ448" s="12" t="s">
        <v>319</v>
      </c>
      <c r="HR448" s="12" t="s">
        <v>319</v>
      </c>
      <c r="HS448" s="12" t="s">
        <v>319</v>
      </c>
      <c r="HT448" s="12" t="s">
        <v>319</v>
      </c>
      <c r="HU448" s="12" t="s">
        <v>319</v>
      </c>
      <c r="HV448" s="12" t="s">
        <v>319</v>
      </c>
      <c r="HW448" s="12" t="s">
        <v>319</v>
      </c>
      <c r="HX448" s="12" t="s">
        <v>319</v>
      </c>
      <c r="HY448" s="12"/>
      <c r="HZ448" s="12" t="s">
        <v>363</v>
      </c>
      <c r="IA448" s="12"/>
      <c r="IB448" s="12" t="s">
        <v>333</v>
      </c>
      <c r="IC448" s="12"/>
      <c r="ID448" s="12" t="s">
        <v>334</v>
      </c>
      <c r="IE448" s="12" t="s">
        <v>335</v>
      </c>
      <c r="IF448" s="12" t="s">
        <v>320</v>
      </c>
      <c r="IG448" s="12" t="s">
        <v>320</v>
      </c>
      <c r="IH448" s="12" t="s">
        <v>320</v>
      </c>
      <c r="II448" s="12" t="s">
        <v>320</v>
      </c>
      <c r="IJ448" s="12" t="str">
        <f t="shared" si="259"/>
        <v>2. Sensitive</v>
      </c>
      <c r="IK448" s="12">
        <f t="shared" si="260"/>
        <v>4</v>
      </c>
      <c r="IL448" s="12" t="s">
        <v>336</v>
      </c>
      <c r="IM448" s="12" t="s">
        <v>320</v>
      </c>
      <c r="IN448" s="12" t="s">
        <v>319</v>
      </c>
      <c r="IO448" s="12" t="s">
        <v>320</v>
      </c>
      <c r="IP448" s="12" t="s">
        <v>320</v>
      </c>
      <c r="IQ448" s="12" t="str">
        <f t="shared" si="261"/>
        <v>2. Accommodating</v>
      </c>
      <c r="IR448" s="12">
        <f t="shared" si="262"/>
        <v>3</v>
      </c>
      <c r="IS448" s="12" t="s">
        <v>337</v>
      </c>
      <c r="IT448" s="12" t="s">
        <v>320</v>
      </c>
      <c r="IU448" s="12" t="s">
        <v>320</v>
      </c>
      <c r="IV448" s="12" t="s">
        <v>320</v>
      </c>
      <c r="IW448" s="11" t="str">
        <f t="shared" si="263"/>
        <v>2. Sensitive</v>
      </c>
      <c r="IX448" s="12">
        <f t="shared" si="264"/>
        <v>3</v>
      </c>
      <c r="IY448" s="12" t="s">
        <v>338</v>
      </c>
      <c r="IZ448" s="12" t="s">
        <v>339</v>
      </c>
      <c r="JA448" s="12"/>
      <c r="JB448" s="12"/>
      <c r="JC448" s="12"/>
      <c r="JD448" s="12"/>
      <c r="JE448" s="12" t="s">
        <v>420</v>
      </c>
      <c r="JF448" s="12"/>
      <c r="JG448" s="12" t="s">
        <v>7786</v>
      </c>
      <c r="JH448" s="12" t="s">
        <v>7787</v>
      </c>
      <c r="JI448" s="12" t="s">
        <v>7788</v>
      </c>
      <c r="JJ448" s="12" t="s">
        <v>7789</v>
      </c>
      <c r="JK448" s="12" t="s">
        <v>7790</v>
      </c>
      <c r="JL448" s="12" t="s">
        <v>7791</v>
      </c>
      <c r="JM448" s="12" t="s">
        <v>7792</v>
      </c>
      <c r="JN448" s="12"/>
      <c r="JO448" s="12"/>
      <c r="JP448" s="15">
        <f t="shared" si="265"/>
        <v>1917</v>
      </c>
      <c r="JQ448" s="15">
        <f t="shared" si="266"/>
        <v>0</v>
      </c>
      <c r="JR448" s="279">
        <f t="shared" si="267"/>
        <v>0</v>
      </c>
      <c r="JS448" s="17">
        <f t="shared" si="268"/>
        <v>0.52008346374543557</v>
      </c>
      <c r="JT448" s="18" t="str">
        <f t="shared" si="269"/>
        <v/>
      </c>
      <c r="JU448" s="280">
        <f t="shared" si="270"/>
        <v>997</v>
      </c>
      <c r="JV448" s="280">
        <f t="shared" si="271"/>
        <v>0</v>
      </c>
      <c r="JW448" s="319">
        <f t="shared" si="272"/>
        <v>1</v>
      </c>
      <c r="JX448" s="15">
        <f t="shared" si="273"/>
        <v>1917</v>
      </c>
      <c r="JY448" s="15">
        <f t="shared" si="274"/>
        <v>0</v>
      </c>
      <c r="JZ448" s="19">
        <f t="shared" si="275"/>
        <v>0</v>
      </c>
      <c r="KA448" s="52">
        <f t="shared" si="276"/>
        <v>1</v>
      </c>
      <c r="KB448" s="15">
        <f t="shared" si="277"/>
        <v>700</v>
      </c>
      <c r="KC448" s="15">
        <f t="shared" si="278"/>
        <v>0</v>
      </c>
      <c r="KD448" s="20">
        <f t="shared" si="279"/>
        <v>0</v>
      </c>
      <c r="KE448" s="52" t="str">
        <f t="shared" si="280"/>
        <v/>
      </c>
      <c r="KF448" s="15">
        <f t="shared" si="281"/>
        <v>0</v>
      </c>
      <c r="KG448" s="15">
        <f t="shared" si="282"/>
        <v>0</v>
      </c>
      <c r="KH448" s="21" t="str">
        <f t="shared" si="283"/>
        <v/>
      </c>
      <c r="KI448" s="52">
        <f t="shared" si="284"/>
        <v>1</v>
      </c>
      <c r="KJ448" s="15">
        <f t="shared" si="285"/>
        <v>1917</v>
      </c>
      <c r="KK448" s="15">
        <f t="shared" si="286"/>
        <v>0</v>
      </c>
      <c r="KL448" s="19">
        <f t="shared" si="287"/>
        <v>0</v>
      </c>
      <c r="KM448" s="52" t="str">
        <f t="shared" si="288"/>
        <v/>
      </c>
      <c r="KN448" s="22">
        <f t="shared" si="289"/>
        <v>0</v>
      </c>
      <c r="KO448" s="22">
        <f t="shared" si="290"/>
        <v>0</v>
      </c>
      <c r="KP448" s="19" t="str">
        <f t="shared" si="291"/>
        <v/>
      </c>
      <c r="KQ448" s="11" t="str">
        <f t="shared" si="292"/>
        <v>2. Sensitive</v>
      </c>
      <c r="KR448" s="11" t="str">
        <f t="shared" si="293"/>
        <v>2. Accommodating</v>
      </c>
      <c r="KS448" s="11" t="str">
        <f t="shared" si="294"/>
        <v>2. Sensitive</v>
      </c>
      <c r="KT448" s="11" t="str">
        <f t="shared" si="295"/>
        <v>It did not develop any specific innovation</v>
      </c>
      <c r="KU448" s="11" t="str">
        <f t="shared" si="296"/>
        <v>Little or no advocacy</v>
      </c>
      <c r="KV448" s="11" t="str">
        <f t="shared" si="297"/>
        <v>It did not take tested solutions to scale</v>
      </c>
      <c r="KW448" s="11" t="str">
        <f t="shared" si="298"/>
        <v>Malawi - Provision of Dignified Shelter</v>
      </c>
      <c r="KX448" s="11" t="str">
        <f t="shared" si="299"/>
        <v>Provision of Dignified Shelter</v>
      </c>
      <c r="KY448" s="11" t="str">
        <f t="shared" si="300"/>
        <v>Malawi</v>
      </c>
      <c r="KZ448" s="12">
        <v>448</v>
      </c>
    </row>
    <row r="449" spans="1:312" x14ac:dyDescent="0.3">
      <c r="A449" s="12" t="s">
        <v>7451</v>
      </c>
      <c r="B449" s="12" t="s">
        <v>7217</v>
      </c>
      <c r="C449" s="12">
        <v>3133</v>
      </c>
      <c r="D449" s="12" t="s">
        <v>7694</v>
      </c>
      <c r="E449" s="277" t="str">
        <f t="shared" ref="E449:E512" si="301">A449</f>
        <v>Malawi</v>
      </c>
      <c r="F449" s="12" t="s">
        <v>7695</v>
      </c>
      <c r="G449" s="12" t="s">
        <v>379</v>
      </c>
      <c r="H449" s="12" t="s">
        <v>383</v>
      </c>
      <c r="I449" s="12" t="s">
        <v>384</v>
      </c>
      <c r="J449" s="281" t="s">
        <v>1187</v>
      </c>
      <c r="K449" s="12"/>
      <c r="L449" s="12"/>
      <c r="M449" s="12"/>
      <c r="N449" s="12"/>
      <c r="O449" s="12"/>
      <c r="P449" s="12"/>
      <c r="Q449" s="12"/>
      <c r="R449" s="12"/>
      <c r="S449" s="12"/>
      <c r="T449" s="12"/>
      <c r="U449" s="12"/>
      <c r="V449" s="12"/>
      <c r="W449" s="12"/>
      <c r="X449" s="12"/>
      <c r="Y449" s="12"/>
      <c r="Z449" s="12"/>
      <c r="AA449" s="12"/>
      <c r="AB449" s="12"/>
      <c r="AC449" s="12"/>
      <c r="AD449" s="12"/>
      <c r="BD449" s="13">
        <v>42370</v>
      </c>
      <c r="BE449" s="13">
        <v>43800</v>
      </c>
      <c r="BF449" s="12"/>
      <c r="BG449" s="12" t="s">
        <v>490</v>
      </c>
      <c r="BH449" s="14">
        <v>350000</v>
      </c>
      <c r="BI449" s="12" t="s">
        <v>7696</v>
      </c>
      <c r="BJ449" s="12" t="s">
        <v>7697</v>
      </c>
      <c r="BK449" s="12" t="s">
        <v>7698</v>
      </c>
      <c r="BL449" s="12" t="s">
        <v>7699</v>
      </c>
      <c r="BM449" s="12" t="s">
        <v>7700</v>
      </c>
      <c r="BN449" s="12" t="s">
        <v>7701</v>
      </c>
      <c r="BO449" s="11" t="s">
        <v>319</v>
      </c>
      <c r="BP449" s="11" t="s">
        <v>320</v>
      </c>
      <c r="BQ449" s="11" t="s">
        <v>319</v>
      </c>
      <c r="BR449" s="12" t="s">
        <v>7702</v>
      </c>
      <c r="BS449" s="12" t="s">
        <v>357</v>
      </c>
      <c r="BT449" s="12" t="s">
        <v>7703</v>
      </c>
      <c r="BU449" s="12" t="s">
        <v>7704</v>
      </c>
      <c r="BV449" s="14">
        <v>29126</v>
      </c>
      <c r="BW449" s="14">
        <v>16707</v>
      </c>
      <c r="BX449" s="14">
        <v>45833</v>
      </c>
      <c r="BY449" s="14">
        <v>122650</v>
      </c>
      <c r="BZ449" s="14">
        <v>89894</v>
      </c>
      <c r="CA449" s="14">
        <v>212544</v>
      </c>
      <c r="CB449" s="12" t="s">
        <v>7705</v>
      </c>
      <c r="CD449" s="14"/>
      <c r="CE449" s="14"/>
      <c r="CF449" s="14"/>
      <c r="CG449" s="14"/>
      <c r="CH449" s="14"/>
      <c r="CI449" s="14"/>
      <c r="CJ449" s="12"/>
      <c r="CK449" s="14"/>
      <c r="CL449" s="16"/>
      <c r="CM449" s="14"/>
      <c r="CN449" s="12"/>
      <c r="CO449" s="14"/>
      <c r="CP449" s="16"/>
      <c r="CQ449" s="14"/>
      <c r="CR449" s="12"/>
      <c r="CS449" s="14"/>
      <c r="CT449" s="16"/>
      <c r="CU449" s="14"/>
      <c r="CV449" s="12"/>
      <c r="CW449" s="14"/>
      <c r="CX449" s="16"/>
      <c r="CY449" s="14"/>
      <c r="CZ449" s="12"/>
      <c r="DA449" s="14"/>
      <c r="DB449" s="16"/>
      <c r="DC449" s="14"/>
      <c r="DD449" s="12"/>
      <c r="DE449" s="14"/>
      <c r="DF449" s="16"/>
      <c r="DG449" s="14"/>
      <c r="DH449" s="12"/>
      <c r="DI449" s="14"/>
      <c r="DJ449" s="16"/>
      <c r="DK449" s="14"/>
      <c r="DL449" s="12"/>
      <c r="DM449" s="14"/>
      <c r="DN449" s="16"/>
      <c r="DO449" s="14"/>
      <c r="DP449" s="12"/>
      <c r="DQ449" s="14"/>
      <c r="DR449" s="16"/>
      <c r="DS449" s="14"/>
      <c r="DT449" s="12"/>
      <c r="DU449" s="14"/>
      <c r="DV449" s="16"/>
      <c r="DW449" s="14"/>
      <c r="DX449" s="12"/>
      <c r="DY449" s="14"/>
      <c r="DZ449" s="16"/>
      <c r="EA449" s="14"/>
      <c r="EB449" s="12"/>
      <c r="EC449" s="14"/>
      <c r="ED449" s="16"/>
      <c r="EE449" s="14"/>
      <c r="EF449" s="12"/>
      <c r="EG449" s="12"/>
      <c r="EH449" s="14"/>
      <c r="EI449" s="16"/>
      <c r="EJ449" s="14"/>
      <c r="EK449" s="14">
        <v>14563</v>
      </c>
      <c r="EL449" s="14">
        <v>8353.5</v>
      </c>
      <c r="EM449" s="14">
        <v>22916.5</v>
      </c>
      <c r="EN449" s="14">
        <v>122650</v>
      </c>
      <c r="EO449" s="14">
        <v>89894</v>
      </c>
      <c r="EP449" s="14">
        <v>212544</v>
      </c>
      <c r="EQ449" s="12" t="s">
        <v>319</v>
      </c>
      <c r="ER449" s="14"/>
      <c r="ES449" s="16"/>
      <c r="ET449" s="14"/>
      <c r="EU449" s="11" t="s">
        <v>319</v>
      </c>
      <c r="EV449" s="14"/>
      <c r="EW449" s="16"/>
      <c r="EX449" s="14"/>
      <c r="EY449" s="12" t="s">
        <v>319</v>
      </c>
      <c r="EZ449" s="14"/>
      <c r="FA449" s="16"/>
      <c r="FB449" s="14"/>
      <c r="FC449" s="12" t="s">
        <v>319</v>
      </c>
      <c r="FD449" s="14"/>
      <c r="FE449" s="16"/>
      <c r="FF449" s="14"/>
      <c r="FG449" s="12" t="s">
        <v>319</v>
      </c>
      <c r="FH449" s="14"/>
      <c r="FI449" s="16"/>
      <c r="FJ449" s="14"/>
      <c r="FK449" s="12" t="s">
        <v>320</v>
      </c>
      <c r="FL449" s="14">
        <v>1123</v>
      </c>
      <c r="FM449" s="16">
        <v>0.5</v>
      </c>
      <c r="FN449" s="14">
        <v>4002</v>
      </c>
      <c r="FO449" s="12" t="s">
        <v>319</v>
      </c>
      <c r="FP449" s="14"/>
      <c r="FQ449" s="16"/>
      <c r="FR449" s="14"/>
      <c r="FS449" s="12" t="s">
        <v>320</v>
      </c>
      <c r="FT449" s="14">
        <v>1123</v>
      </c>
      <c r="FU449" s="16">
        <v>0.5</v>
      </c>
      <c r="FV449" s="14">
        <v>4002</v>
      </c>
      <c r="FW449" s="12" t="s">
        <v>319</v>
      </c>
      <c r="FX449" s="14"/>
      <c r="FY449" s="16"/>
      <c r="FZ449" s="14"/>
      <c r="GA449" s="11" t="s">
        <v>320</v>
      </c>
      <c r="GB449" s="14">
        <v>22917</v>
      </c>
      <c r="GC449" s="16">
        <v>0.63546712047824705</v>
      </c>
      <c r="GD449" s="14">
        <v>212544</v>
      </c>
      <c r="GE449" s="12" t="s">
        <v>320</v>
      </c>
      <c r="GF449" s="14">
        <v>22917</v>
      </c>
      <c r="GG449" s="16">
        <v>0.63546712047824705</v>
      </c>
      <c r="GH449" s="14">
        <v>212544</v>
      </c>
      <c r="GI449" s="11" t="s">
        <v>320</v>
      </c>
      <c r="GJ449" s="14">
        <v>1123</v>
      </c>
      <c r="GK449" s="16">
        <v>0.5</v>
      </c>
      <c r="GL449" s="14">
        <v>4002</v>
      </c>
      <c r="GM449" s="11" t="s">
        <v>320</v>
      </c>
      <c r="GN449" s="14">
        <v>22917</v>
      </c>
      <c r="GO449" s="16">
        <v>0.63546712047824705</v>
      </c>
      <c r="GP449" s="14">
        <v>212544</v>
      </c>
      <c r="GQ449" s="12" t="s">
        <v>320</v>
      </c>
      <c r="GR449" s="14">
        <v>22917</v>
      </c>
      <c r="GS449" s="16">
        <v>0.63546712047824705</v>
      </c>
      <c r="GT449" s="14">
        <v>212544</v>
      </c>
      <c r="GU449" s="12" t="s">
        <v>320</v>
      </c>
      <c r="GV449" s="14">
        <v>22917</v>
      </c>
      <c r="GW449" s="16">
        <v>0.63546712047824705</v>
      </c>
      <c r="GX449" s="14">
        <v>212544</v>
      </c>
      <c r="GY449" s="12" t="s">
        <v>319</v>
      </c>
      <c r="GZ449" s="14"/>
      <c r="HA449" s="16"/>
      <c r="HB449" s="14"/>
      <c r="HC449" s="12"/>
      <c r="HD449" s="12" t="s">
        <v>319</v>
      </c>
      <c r="HE449" s="14"/>
      <c r="HF449" s="16"/>
      <c r="HG449" s="14"/>
      <c r="HH449" s="12" t="s">
        <v>319</v>
      </c>
      <c r="HI449" s="12"/>
      <c r="HJ449" s="12"/>
      <c r="HK449" s="12" t="s">
        <v>319</v>
      </c>
      <c r="HL449" s="12" t="s">
        <v>320</v>
      </c>
      <c r="HM449" s="12" t="s">
        <v>416</v>
      </c>
      <c r="HN449" s="12">
        <v>2018</v>
      </c>
      <c r="HO449" s="12" t="s">
        <v>7706</v>
      </c>
      <c r="HP449" s="12" t="s">
        <v>453</v>
      </c>
      <c r="HQ449" s="12" t="s">
        <v>319</v>
      </c>
      <c r="HR449" s="12" t="s">
        <v>319</v>
      </c>
      <c r="HS449" s="12" t="s">
        <v>320</v>
      </c>
      <c r="HT449" s="12" t="s">
        <v>319</v>
      </c>
      <c r="HU449" s="12" t="s">
        <v>320</v>
      </c>
      <c r="HV449" s="12" t="s">
        <v>320</v>
      </c>
      <c r="HW449" s="12" t="s">
        <v>319</v>
      </c>
      <c r="HX449" s="12" t="s">
        <v>319</v>
      </c>
      <c r="HY449" s="12"/>
      <c r="HZ449" s="12" t="s">
        <v>394</v>
      </c>
      <c r="IA449" s="12"/>
      <c r="IB449" s="12" t="s">
        <v>396</v>
      </c>
      <c r="IC449" s="12"/>
      <c r="ID449" s="12" t="s">
        <v>334</v>
      </c>
      <c r="IE449" s="12" t="s">
        <v>335</v>
      </c>
      <c r="IF449" s="12" t="s">
        <v>320</v>
      </c>
      <c r="IG449" s="12" t="s">
        <v>320</v>
      </c>
      <c r="IH449" s="12" t="s">
        <v>320</v>
      </c>
      <c r="II449" s="12" t="s">
        <v>320</v>
      </c>
      <c r="IJ449" s="12" t="str">
        <f t="shared" si="259"/>
        <v>2. Sensitive</v>
      </c>
      <c r="IK449" s="12">
        <f t="shared" si="260"/>
        <v>4</v>
      </c>
      <c r="IL449" s="11" t="s">
        <v>621</v>
      </c>
      <c r="IM449" s="12" t="s">
        <v>319</v>
      </c>
      <c r="IN449" s="12" t="s">
        <v>320</v>
      </c>
      <c r="IO449" s="12" t="s">
        <v>320</v>
      </c>
      <c r="IP449" s="12" t="s">
        <v>320</v>
      </c>
      <c r="IQ449" s="12" t="str">
        <f t="shared" si="261"/>
        <v>3. Responsive</v>
      </c>
      <c r="IR449" s="12">
        <f t="shared" si="262"/>
        <v>3</v>
      </c>
      <c r="IS449" s="12" t="s">
        <v>337</v>
      </c>
      <c r="IT449" s="12" t="s">
        <v>319</v>
      </c>
      <c r="IU449" s="12" t="s">
        <v>320</v>
      </c>
      <c r="IV449" s="12" t="s">
        <v>319</v>
      </c>
      <c r="IW449" s="11" t="str">
        <f t="shared" si="263"/>
        <v>1. Neutral</v>
      </c>
      <c r="IX449" s="12">
        <f t="shared" si="264"/>
        <v>1</v>
      </c>
      <c r="IY449" s="12" t="s">
        <v>338</v>
      </c>
      <c r="IZ449" s="12" t="s">
        <v>527</v>
      </c>
      <c r="JA449" s="12">
        <v>1</v>
      </c>
      <c r="JB449" s="12" t="s">
        <v>687</v>
      </c>
      <c r="JC449" s="12" t="s">
        <v>623</v>
      </c>
      <c r="JD449" s="12" t="s">
        <v>651</v>
      </c>
      <c r="JE449" s="12" t="s">
        <v>340</v>
      </c>
      <c r="JF449" s="12" t="s">
        <v>7707</v>
      </c>
      <c r="JG449" s="12" t="s">
        <v>7708</v>
      </c>
      <c r="JH449" s="12" t="s">
        <v>3608</v>
      </c>
      <c r="JI449" s="12" t="s">
        <v>7709</v>
      </c>
      <c r="JJ449" s="12" t="s">
        <v>7710</v>
      </c>
      <c r="JK449" s="12" t="s">
        <v>7711</v>
      </c>
      <c r="JL449" s="12" t="s">
        <v>7712</v>
      </c>
      <c r="JM449" s="12" t="s">
        <v>7713</v>
      </c>
      <c r="JN449" s="12"/>
      <c r="JO449" s="12" t="s">
        <v>7714</v>
      </c>
      <c r="JP449" s="15">
        <f t="shared" si="265"/>
        <v>22916.5</v>
      </c>
      <c r="JQ449" s="15">
        <f t="shared" si="266"/>
        <v>212544</v>
      </c>
      <c r="JR449" s="279">
        <f t="shared" si="267"/>
        <v>9.2747147251980007</v>
      </c>
      <c r="JS449" s="17">
        <f t="shared" si="268"/>
        <v>0.63548098531625685</v>
      </c>
      <c r="JT449" s="18">
        <f t="shared" si="269"/>
        <v>0.57705698584763621</v>
      </c>
      <c r="JU449" s="280">
        <f t="shared" si="270"/>
        <v>14563</v>
      </c>
      <c r="JV449" s="280">
        <f t="shared" si="271"/>
        <v>122650</v>
      </c>
      <c r="JW449" s="319" t="str">
        <f t="shared" si="272"/>
        <v/>
      </c>
      <c r="JX449" s="15">
        <f t="shared" si="273"/>
        <v>0</v>
      </c>
      <c r="JY449" s="15">
        <f t="shared" si="274"/>
        <v>0</v>
      </c>
      <c r="JZ449" s="19" t="str">
        <f t="shared" si="275"/>
        <v/>
      </c>
      <c r="KA449" s="52">
        <f t="shared" si="276"/>
        <v>1</v>
      </c>
      <c r="KB449" s="15">
        <f t="shared" si="277"/>
        <v>22917</v>
      </c>
      <c r="KC449" s="15">
        <f t="shared" si="278"/>
        <v>212544</v>
      </c>
      <c r="KD449" s="20">
        <f t="shared" si="279"/>
        <v>9.2745123707291537</v>
      </c>
      <c r="KE449" s="52">
        <f t="shared" si="280"/>
        <v>1</v>
      </c>
      <c r="KF449" s="15">
        <f t="shared" si="281"/>
        <v>22917</v>
      </c>
      <c r="KG449" s="15">
        <f t="shared" si="282"/>
        <v>212544</v>
      </c>
      <c r="KH449" s="21">
        <f t="shared" si="283"/>
        <v>9.2745123707291537</v>
      </c>
      <c r="KI449" s="52">
        <f t="shared" si="284"/>
        <v>1</v>
      </c>
      <c r="KJ449" s="15">
        <f t="shared" si="285"/>
        <v>1123</v>
      </c>
      <c r="KK449" s="15">
        <f t="shared" si="286"/>
        <v>4002</v>
      </c>
      <c r="KL449" s="19">
        <f t="shared" si="287"/>
        <v>3.5636687444345503</v>
      </c>
      <c r="KM449" s="52" t="str">
        <f t="shared" si="288"/>
        <v/>
      </c>
      <c r="KN449" s="22">
        <f t="shared" si="289"/>
        <v>0</v>
      </c>
      <c r="KO449" s="22">
        <f t="shared" si="290"/>
        <v>0</v>
      </c>
      <c r="KP449" s="19" t="str">
        <f t="shared" si="291"/>
        <v/>
      </c>
      <c r="KQ449" s="11" t="str">
        <f t="shared" si="292"/>
        <v>2. Sensitive</v>
      </c>
      <c r="KR449" s="11" t="str">
        <f t="shared" si="293"/>
        <v>3. Responsive</v>
      </c>
      <c r="KS449" s="11" t="str">
        <f t="shared" si="294"/>
        <v>1. Neutral</v>
      </c>
      <c r="KT449" s="11" t="str">
        <f t="shared" si="295"/>
        <v>It tested new ways for fighting poverty, but did not measure results of innovation</v>
      </c>
      <c r="KU449" s="11" t="str">
        <f t="shared" si="296"/>
        <v>Intensive advocacy</v>
      </c>
      <c r="KV449" s="11" t="str">
        <f t="shared" si="297"/>
        <v>It linked and worked with strategic alliances and partners to take tested and effective solutions to scale</v>
      </c>
      <c r="KW449" s="11" t="str">
        <f t="shared" si="298"/>
        <v>Malawi - Research and Development Lab</v>
      </c>
      <c r="KX449" s="11" t="str">
        <f t="shared" si="299"/>
        <v>Research and Development Lab</v>
      </c>
      <c r="KY449" s="11" t="str">
        <f t="shared" si="300"/>
        <v>Malawi</v>
      </c>
      <c r="KZ449" s="12">
        <v>449</v>
      </c>
    </row>
    <row r="450" spans="1:312" x14ac:dyDescent="0.3">
      <c r="A450" s="12" t="s">
        <v>7451</v>
      </c>
      <c r="B450" s="277" t="s">
        <v>7217</v>
      </c>
      <c r="C450" s="12"/>
      <c r="D450" s="12" t="s">
        <v>7715</v>
      </c>
      <c r="E450" s="277" t="str">
        <f t="shared" si="301"/>
        <v>Malawi</v>
      </c>
      <c r="F450" s="12" t="s">
        <v>7716</v>
      </c>
      <c r="G450" s="12" t="s">
        <v>379</v>
      </c>
      <c r="H450" s="12"/>
      <c r="I450" s="12"/>
      <c r="J450" s="281"/>
      <c r="K450" s="12"/>
      <c r="L450" s="12"/>
      <c r="M450" s="12"/>
      <c r="N450" s="12"/>
      <c r="O450" s="12"/>
      <c r="P450" s="12"/>
      <c r="Q450" s="12"/>
      <c r="R450" s="12"/>
      <c r="S450" s="12"/>
      <c r="T450" s="12"/>
      <c r="U450" s="12"/>
      <c r="V450" s="12"/>
      <c r="W450" s="12"/>
      <c r="X450" s="12"/>
      <c r="Y450" s="12"/>
      <c r="Z450" s="12"/>
      <c r="AA450" s="12"/>
      <c r="AB450" s="12"/>
      <c r="AC450" s="12"/>
      <c r="AD450" s="12"/>
      <c r="BD450" s="13">
        <v>42705</v>
      </c>
      <c r="BE450" s="13">
        <v>43434</v>
      </c>
      <c r="BF450" s="12"/>
      <c r="BG450" s="12"/>
      <c r="BH450" s="14"/>
      <c r="BI450" s="12" t="s">
        <v>7684</v>
      </c>
      <c r="BJ450" s="12" t="s">
        <v>354</v>
      </c>
      <c r="BK450" s="12" t="s">
        <v>7685</v>
      </c>
      <c r="BL450" s="12" t="s">
        <v>7657</v>
      </c>
      <c r="BM450" s="12" t="s">
        <v>7658</v>
      </c>
      <c r="BN450" s="12" t="s">
        <v>7659</v>
      </c>
      <c r="BO450" s="12" t="s">
        <v>319</v>
      </c>
      <c r="BP450" s="12" t="s">
        <v>320</v>
      </c>
      <c r="BQ450" s="12" t="s">
        <v>319</v>
      </c>
      <c r="BR450" s="12" t="s">
        <v>7717</v>
      </c>
      <c r="BS450" s="12" t="s">
        <v>357</v>
      </c>
      <c r="BT450" s="12" t="s">
        <v>7661</v>
      </c>
      <c r="BU450" s="12" t="s">
        <v>7718</v>
      </c>
      <c r="BV450" s="14">
        <v>524</v>
      </c>
      <c r="BW450" s="14">
        <v>342</v>
      </c>
      <c r="BX450" s="14">
        <v>866</v>
      </c>
      <c r="BY450" s="14">
        <v>2620</v>
      </c>
      <c r="BZ450" s="14">
        <v>1710</v>
      </c>
      <c r="CA450" s="14">
        <v>4330</v>
      </c>
      <c r="CB450" s="12" t="s">
        <v>7719</v>
      </c>
      <c r="CD450" s="14"/>
      <c r="CE450" s="14"/>
      <c r="CF450" s="14"/>
      <c r="CG450" s="14"/>
      <c r="CH450" s="14"/>
      <c r="CI450" s="14"/>
      <c r="CJ450" s="12"/>
      <c r="CK450" s="14"/>
      <c r="CL450" s="16"/>
      <c r="CM450" s="14"/>
      <c r="CN450" s="12"/>
      <c r="CO450" s="14"/>
      <c r="CP450" s="16"/>
      <c r="CQ450" s="14"/>
      <c r="CR450" s="12"/>
      <c r="CS450" s="14"/>
      <c r="CT450" s="16"/>
      <c r="CU450" s="14"/>
      <c r="CV450" s="12"/>
      <c r="CW450" s="14"/>
      <c r="CX450" s="16"/>
      <c r="CY450" s="14"/>
      <c r="CZ450" s="12"/>
      <c r="DA450" s="14"/>
      <c r="DB450" s="16"/>
      <c r="DC450" s="14"/>
      <c r="DD450" s="12"/>
      <c r="DE450" s="14"/>
      <c r="DF450" s="16"/>
      <c r="DG450" s="14"/>
      <c r="DH450" s="12"/>
      <c r="DI450" s="14"/>
      <c r="DJ450" s="16"/>
      <c r="DK450" s="14"/>
      <c r="DL450" s="12"/>
      <c r="DM450" s="14"/>
      <c r="DN450" s="16"/>
      <c r="DO450" s="14"/>
      <c r="DP450" s="12"/>
      <c r="DQ450" s="14"/>
      <c r="DR450" s="16"/>
      <c r="DS450" s="14"/>
      <c r="DT450" s="12"/>
      <c r="DU450" s="14"/>
      <c r="DV450" s="16"/>
      <c r="DW450" s="14"/>
      <c r="DX450" s="12"/>
      <c r="DY450" s="14"/>
      <c r="DZ450" s="16"/>
      <c r="EA450" s="14"/>
      <c r="EB450" s="12"/>
      <c r="EC450" s="14"/>
      <c r="ED450" s="16"/>
      <c r="EE450" s="14"/>
      <c r="EF450" s="12"/>
      <c r="EG450" s="12"/>
      <c r="EH450" s="14"/>
      <c r="EI450" s="16"/>
      <c r="EJ450" s="14"/>
      <c r="EK450" s="14">
        <v>146</v>
      </c>
      <c r="EL450" s="14">
        <v>88</v>
      </c>
      <c r="EM450" s="14">
        <v>234</v>
      </c>
      <c r="EN450" s="14">
        <v>1530</v>
      </c>
      <c r="EO450" s="14">
        <v>1032</v>
      </c>
      <c r="EP450" s="14">
        <v>2562</v>
      </c>
      <c r="EQ450" s="12" t="s">
        <v>319</v>
      </c>
      <c r="ER450" s="14"/>
      <c r="ES450" s="16"/>
      <c r="ET450" s="14"/>
      <c r="EU450" s="11" t="s">
        <v>319</v>
      </c>
      <c r="EV450" s="14"/>
      <c r="EW450" s="16"/>
      <c r="EX450" s="14"/>
      <c r="EY450" s="12" t="s">
        <v>319</v>
      </c>
      <c r="EZ450" s="14"/>
      <c r="FA450" s="16"/>
      <c r="FB450" s="14"/>
      <c r="FC450" s="12" t="s">
        <v>319</v>
      </c>
      <c r="FD450" s="14"/>
      <c r="FE450" s="16"/>
      <c r="FF450" s="14"/>
      <c r="FG450" s="12" t="s">
        <v>319</v>
      </c>
      <c r="FH450" s="14"/>
      <c r="FI450" s="16"/>
      <c r="FJ450" s="14"/>
      <c r="FK450" s="12" t="s">
        <v>320</v>
      </c>
      <c r="FL450" s="14">
        <v>234</v>
      </c>
      <c r="FM450" s="16">
        <v>0.623</v>
      </c>
      <c r="FN450" s="14"/>
      <c r="FO450" s="12" t="s">
        <v>319</v>
      </c>
      <c r="FP450" s="14"/>
      <c r="FQ450" s="16"/>
      <c r="FR450" s="14"/>
      <c r="FS450" s="12" t="s">
        <v>319</v>
      </c>
      <c r="FT450" s="14"/>
      <c r="FU450" s="16"/>
      <c r="FV450" s="14"/>
      <c r="FW450" s="11" t="s">
        <v>320</v>
      </c>
      <c r="FX450" s="14">
        <v>224</v>
      </c>
      <c r="FY450" s="16">
        <v>0.62</v>
      </c>
      <c r="FZ450" s="14"/>
      <c r="GA450" s="12" t="s">
        <v>319</v>
      </c>
      <c r="GB450" s="14"/>
      <c r="GC450" s="16"/>
      <c r="GD450" s="14"/>
      <c r="GE450" s="12" t="s">
        <v>319</v>
      </c>
      <c r="GF450" s="14"/>
      <c r="GG450" s="16"/>
      <c r="GH450" s="14"/>
      <c r="GI450" s="12" t="s">
        <v>319</v>
      </c>
      <c r="GJ450" s="14"/>
      <c r="GK450" s="16"/>
      <c r="GL450" s="14"/>
      <c r="GM450" s="11" t="s">
        <v>320</v>
      </c>
      <c r="GN450" s="14">
        <v>234</v>
      </c>
      <c r="GO450" s="16">
        <v>0.62</v>
      </c>
      <c r="GP450" s="14"/>
      <c r="GQ450" s="12" t="s">
        <v>320</v>
      </c>
      <c r="GR450" s="14">
        <v>224</v>
      </c>
      <c r="GS450" s="16">
        <v>0.62</v>
      </c>
      <c r="GT450" s="14"/>
      <c r="GU450" s="12" t="s">
        <v>319</v>
      </c>
      <c r="GV450" s="14"/>
      <c r="GW450" s="16"/>
      <c r="GX450" s="14"/>
      <c r="GY450" s="12" t="s">
        <v>320</v>
      </c>
      <c r="GZ450" s="14"/>
      <c r="HA450" s="16"/>
      <c r="HB450" s="14"/>
      <c r="HC450" s="12"/>
      <c r="HD450" s="12"/>
      <c r="HE450" s="14"/>
      <c r="HF450" s="16"/>
      <c r="HG450" s="14"/>
      <c r="HH450" s="12" t="s">
        <v>319</v>
      </c>
      <c r="HI450" s="12"/>
      <c r="HJ450" s="12"/>
      <c r="HK450" s="12"/>
      <c r="HL450" s="12" t="s">
        <v>319</v>
      </c>
      <c r="HM450" s="12"/>
      <c r="HN450" s="12"/>
      <c r="HO450" s="12"/>
      <c r="HP450" s="12" t="s">
        <v>330</v>
      </c>
      <c r="HQ450" s="12" t="s">
        <v>320</v>
      </c>
      <c r="HR450" s="12" t="s">
        <v>319</v>
      </c>
      <c r="HS450" s="12" t="s">
        <v>319</v>
      </c>
      <c r="HT450" s="12" t="s">
        <v>320</v>
      </c>
      <c r="HU450" s="12" t="s">
        <v>319</v>
      </c>
      <c r="HV450" s="12" t="s">
        <v>319</v>
      </c>
      <c r="HW450" s="12" t="s">
        <v>319</v>
      </c>
      <c r="HX450" s="12"/>
      <c r="HY450" s="12"/>
      <c r="HZ450" s="12" t="s">
        <v>363</v>
      </c>
      <c r="IA450" s="12"/>
      <c r="IB450" s="12" t="s">
        <v>333</v>
      </c>
      <c r="IC450" s="12"/>
      <c r="ID450" s="12" t="s">
        <v>334</v>
      </c>
      <c r="IE450" s="12" t="s">
        <v>335</v>
      </c>
      <c r="IF450" s="12" t="s">
        <v>320</v>
      </c>
      <c r="IG450" s="12" t="s">
        <v>320</v>
      </c>
      <c r="IH450" s="12" t="s">
        <v>320</v>
      </c>
      <c r="II450" s="12" t="s">
        <v>320</v>
      </c>
      <c r="IJ450" s="12" t="str">
        <f t="shared" ref="IJ450:IJ513" si="302">IF(IE450="","No marker score",IF(ISNUMBER(SEARCH("select",IE450)),"",IF(ISNUMBER(SEARCH("Did NOT",IE450)),"0. Harmful",IF(ISNUMBER(SEARCH("CHALLENGED",IE450)),IF(IK450=4,"4. Transformative",IF(IK450&gt;1,"3. Responsive",IF(IK450&lt;=1,"No marker score",""))),IF(ISNUMBER(SEARCH("WORKED WITH",IE450)),IF(IK450=4,"2. Sensitive",IF(IK450&gt;1,"1. Neutral","0. Harmful")))))))</f>
        <v>2. Sensitive</v>
      </c>
      <c r="IK450" s="12">
        <f t="shared" ref="IK450:IK513" si="303">COUNTIF(IF450:II450,"=YES")</f>
        <v>4</v>
      </c>
      <c r="IL450" s="12" t="s">
        <v>336</v>
      </c>
      <c r="IM450" s="12" t="s">
        <v>320</v>
      </c>
      <c r="IN450" s="12" t="s">
        <v>319</v>
      </c>
      <c r="IO450" s="12" t="s">
        <v>320</v>
      </c>
      <c r="IP450" s="12" t="s">
        <v>320</v>
      </c>
      <c r="IQ450" s="12" t="str">
        <f t="shared" ref="IQ450:IQ513" si="304">IF(IL450="","No marker score",IF(ISNUMBER(SEARCH("select",IL450)),"",IF(ISNUMBER(SEARCH("Did NOT",IL450)),"0. Unaware",IF(ISNUMBER(SEARCH("CHALLENGED",IL450)),IF(IR450=4,"4. Transformational",IF(IR450&gt;1,"3. Responsive",IF(IR450&lt;=1,"No marker score",""))),IF(ISNUMBER(SEARCH("WORKED WITH",IL450)),IF(IR450&gt;=3,"2. Accommodating",IF(IR450&gt;=1,"1. Tokenistic","0. Unaware")))))))</f>
        <v>2. Accommodating</v>
      </c>
      <c r="IR450" s="12">
        <f t="shared" ref="IR450:IR513" si="305">COUNTIF(IM450:IP450,"=YES")</f>
        <v>3</v>
      </c>
      <c r="IS450" s="12" t="s">
        <v>337</v>
      </c>
      <c r="IT450" s="12" t="s">
        <v>320</v>
      </c>
      <c r="IU450" s="12" t="s">
        <v>320</v>
      </c>
      <c r="IV450" s="12" t="s">
        <v>320</v>
      </c>
      <c r="IW450" s="11" t="str">
        <f t="shared" ref="IW450:IW513" si="306">IF(IS450="","No marker score",IF(ISNUMBER(SEARCH("select",IS450)),"",IF(ISNUMBER(SEARCH("Did NOT",IS450)),"0. Harmful",IF(ISNUMBER(SEARCH("well",IS450)),IF(IX450=3,"4. Transformative",IF(IX450&gt;=1,"3. Responsive",IF(IX450=0,"No marker score",""))),IF(ISNUMBER(SEARCH(".",IS450)),IF(IX450&gt;=3,"2. Sensitive",IF(IX450&gt;=1,"1. Neutral","0. Harmful")))))))</f>
        <v>2. Sensitive</v>
      </c>
      <c r="IX450" s="12">
        <f t="shared" ref="IX450:IX513" si="307">COUNTIF(IT450:IV450,"=YES")</f>
        <v>3</v>
      </c>
      <c r="IY450" s="12" t="s">
        <v>338</v>
      </c>
      <c r="IZ450" s="12" t="s">
        <v>432</v>
      </c>
      <c r="JA450" s="12">
        <v>1</v>
      </c>
      <c r="JB450" s="12"/>
      <c r="JC450" s="12"/>
      <c r="JD450" s="12"/>
      <c r="JE450" s="12" t="s">
        <v>420</v>
      </c>
      <c r="JF450" s="12"/>
      <c r="JG450" s="12" t="s">
        <v>7720</v>
      </c>
      <c r="JH450" s="12" t="s">
        <v>7721</v>
      </c>
      <c r="JI450" s="12"/>
      <c r="JJ450" s="12"/>
      <c r="JK450" s="12" t="s">
        <v>7722</v>
      </c>
      <c r="JL450" s="12"/>
      <c r="JM450" s="12"/>
      <c r="JN450" s="12"/>
      <c r="JO450" s="12" t="s">
        <v>7723</v>
      </c>
      <c r="JP450" s="15">
        <f t="shared" ref="JP450:JP513" si="308">MAX(CF450,EM450)</f>
        <v>234</v>
      </c>
      <c r="JQ450" s="15">
        <f t="shared" ref="JQ450:JQ513" si="309">MAX(CI450,EP450)</f>
        <v>2562</v>
      </c>
      <c r="JR450" s="279">
        <f t="shared" ref="JR450:JR513" si="310">IFERROR(JQ450/JP450,"")</f>
        <v>10.948717948717949</v>
      </c>
      <c r="JS450" s="17">
        <f t="shared" ref="JS450:JS513" si="311">IFERROR(MAX(CD450,EK450)/JP450,"")</f>
        <v>0.62393162393162394</v>
      </c>
      <c r="JT450" s="18">
        <f t="shared" ref="JT450:JT513" si="312">IFERROR(MAX(CG450,EN450)/JQ450,"")</f>
        <v>0.59718969555035128</v>
      </c>
      <c r="JU450" s="280">
        <f t="shared" ref="JU450:JU513" si="313">IFERROR(MAX(CD450,EK450),"")</f>
        <v>146</v>
      </c>
      <c r="JV450" s="280">
        <f t="shared" ref="JV450:JV513" si="314">IFERROR(MAX(CG450,EN450),"")</f>
        <v>1530</v>
      </c>
      <c r="JW450" s="319" t="str">
        <f t="shared" ref="JW450:JW513" si="315">IF(BO450="yes",1,"")</f>
        <v/>
      </c>
      <c r="JX450" s="15">
        <f t="shared" ref="JX450:JX513" si="316">CF450</f>
        <v>0</v>
      </c>
      <c r="JY450" s="15">
        <f t="shared" ref="JY450:JY513" si="317">CI450</f>
        <v>0</v>
      </c>
      <c r="JZ450" s="19" t="str">
        <f t="shared" ref="JZ450:JZ513" si="318">IFERROR(JY450/JX450,"")</f>
        <v/>
      </c>
      <c r="KA450" s="52" t="str">
        <f t="shared" ref="KA450:KA513" si="319">IF((OR(CV450="yes", DL450="yes", EQ450="yes", EU450="yes", FC450="yes", FG450="yes", FO450="yes", GI450="yes", GU450="yes")), 1, "")</f>
        <v/>
      </c>
      <c r="KB450" s="15">
        <f t="shared" ref="KB450:KB513" si="320">MAX(CW450,DM450,ER450,EV450,FD450,FH450,FP450,GJ450,GV450)</f>
        <v>0</v>
      </c>
      <c r="KC450" s="15">
        <f t="shared" ref="KC450:KC513" si="321">MAX(CY450,DO450,ET450,EX450,FF450,FJ450,FR450,GL450,GX450)</f>
        <v>0</v>
      </c>
      <c r="KD450" s="20" t="str">
        <f t="shared" ref="KD450:KD513" si="322">IFERROR(KC450/KB450,"")</f>
        <v/>
      </c>
      <c r="KE450" s="52">
        <f t="shared" ref="KE450:KE513" si="323">IF((OR(DT450="yes", GQ450="yes")), 1, "")</f>
        <v>1</v>
      </c>
      <c r="KF450" s="15">
        <f t="shared" ref="KF450:KF513" si="324">MAX(DU450,GR450)</f>
        <v>224</v>
      </c>
      <c r="KG450" s="15">
        <f t="shared" ref="KG450:KG513" si="325">MAX(DW450,GT450)</f>
        <v>0</v>
      </c>
      <c r="KH450" s="21">
        <f t="shared" ref="KH450:KH513" si="326">IFERROR(KG450/KF450,"")</f>
        <v>0</v>
      </c>
      <c r="KI450" s="52" t="str">
        <f t="shared" ref="KI450:KI513" si="327">IF((OR(CZ450="yes", FS450="yes")), 1, "")</f>
        <v/>
      </c>
      <c r="KJ450" s="15">
        <f t="shared" ref="KJ450:KJ513" si="328">MAX(DA450,FT450)</f>
        <v>0</v>
      </c>
      <c r="KK450" s="15">
        <f t="shared" ref="KK450:KK513" si="329">MAX(DC450,FV450)</f>
        <v>0</v>
      </c>
      <c r="KL450" s="19" t="str">
        <f t="shared" ref="KL450:KL513" si="330">IFERROR(KK450/KJ450,"")</f>
        <v/>
      </c>
      <c r="KM450" s="52">
        <f t="shared" ref="KM450:KM513" si="331">IF((OR(FG450="yes", GY450="yes")), 1, "")</f>
        <v>1</v>
      </c>
      <c r="KN450" s="22">
        <f t="shared" ref="KN450:KN513" si="332">IFERROR(MAX((FH450*FI450),GZ450),"")</f>
        <v>0</v>
      </c>
      <c r="KO450" s="22">
        <f t="shared" ref="KO450:KO513" si="333">IFERROR(MAX((FJ450*FI450),HB450),"")</f>
        <v>0</v>
      </c>
      <c r="KP450" s="19" t="str">
        <f t="shared" ref="KP450:KP513" si="334">IFERROR(KO450/KN450,"")</f>
        <v/>
      </c>
      <c r="KQ450" s="11" t="str">
        <f t="shared" ref="KQ450:KQ513" si="335">IJ450</f>
        <v>2. Sensitive</v>
      </c>
      <c r="KR450" s="11" t="str">
        <f t="shared" ref="KR450:KR513" si="336">IQ450</f>
        <v>2. Accommodating</v>
      </c>
      <c r="KS450" s="11" t="str">
        <f t="shared" ref="KS450:KS513" si="337">IW450</f>
        <v>2. Sensitive</v>
      </c>
      <c r="KT450" s="11" t="str">
        <f t="shared" ref="KT450:KT513" si="338">HZ450</f>
        <v>It did not develop any specific innovation</v>
      </c>
      <c r="KU450" s="11" t="str">
        <f t="shared" ref="KU450:KU513" si="339">HP450</f>
        <v>Moderate advocacy</v>
      </c>
      <c r="KV450" s="11" t="str">
        <f t="shared" ref="KV450:KV513" si="340">IB450</f>
        <v>It did not take tested solutions to scale</v>
      </c>
      <c r="KW450" s="11" t="str">
        <f t="shared" ref="KW450:KW513" si="341">A450&amp;" - "&amp;D450</f>
        <v>Malawi - SOAR (Kukwera)</v>
      </c>
      <c r="KX450" s="11" t="str">
        <f t="shared" ref="KX450:KX513" si="342">D450</f>
        <v>SOAR (Kukwera)</v>
      </c>
      <c r="KY450" s="11" t="str">
        <f t="shared" ref="KY450:KY513" si="343">A450</f>
        <v>Malawi</v>
      </c>
      <c r="KZ450" s="12">
        <v>450</v>
      </c>
    </row>
    <row r="451" spans="1:312" x14ac:dyDescent="0.3">
      <c r="A451" s="282" t="s">
        <v>7451</v>
      </c>
      <c r="B451" s="282" t="s">
        <v>7217</v>
      </c>
      <c r="C451" s="282">
        <v>3131</v>
      </c>
      <c r="D451" s="282" t="s">
        <v>7494</v>
      </c>
      <c r="E451" s="277" t="str">
        <f t="shared" si="301"/>
        <v>Malawi</v>
      </c>
      <c r="F451" s="282" t="s">
        <v>7495</v>
      </c>
      <c r="G451" s="282" t="s">
        <v>376</v>
      </c>
      <c r="H451" s="282" t="s">
        <v>310</v>
      </c>
      <c r="I451" s="282" t="s">
        <v>377</v>
      </c>
      <c r="J451" s="281" t="s">
        <v>14582</v>
      </c>
      <c r="K451" s="282"/>
      <c r="L451" s="282"/>
      <c r="M451" s="282"/>
      <c r="N451" s="282"/>
      <c r="O451" s="282"/>
      <c r="P451" s="282"/>
      <c r="Q451" s="282"/>
      <c r="R451" s="282"/>
      <c r="S451" s="282"/>
      <c r="T451" s="282"/>
      <c r="U451" s="282"/>
      <c r="V451" s="282"/>
      <c r="W451" s="282"/>
      <c r="X451" s="282"/>
      <c r="Y451" s="282"/>
      <c r="Z451" s="282"/>
      <c r="AA451" s="282"/>
      <c r="AB451" s="282"/>
      <c r="AC451" s="282"/>
      <c r="AD451" s="282"/>
      <c r="AE451" s="282"/>
      <c r="AF451" s="282"/>
      <c r="AG451" s="282"/>
      <c r="AH451" s="282"/>
      <c r="AI451" s="282"/>
      <c r="AJ451" s="282"/>
      <c r="AK451" s="282"/>
      <c r="AL451" s="282"/>
      <c r="AM451" s="282"/>
      <c r="AN451" s="282"/>
      <c r="AO451" s="282"/>
      <c r="AP451" s="282"/>
      <c r="AQ451" s="282"/>
      <c r="AR451" s="282"/>
      <c r="AS451" s="282"/>
      <c r="AT451" s="282"/>
      <c r="AU451" s="282"/>
      <c r="AV451" s="282"/>
      <c r="AW451" s="282"/>
      <c r="AX451" s="282"/>
      <c r="AY451" s="282"/>
      <c r="AZ451" s="282"/>
      <c r="BA451" s="282"/>
      <c r="BB451" s="282"/>
      <c r="BC451" s="282"/>
      <c r="BD451" s="283">
        <v>42430</v>
      </c>
      <c r="BE451" s="283">
        <v>44104</v>
      </c>
      <c r="BF451" s="283"/>
      <c r="BG451" s="283" t="s">
        <v>749</v>
      </c>
      <c r="BH451" s="284">
        <v>4324749</v>
      </c>
      <c r="BI451" s="282" t="s">
        <v>7497</v>
      </c>
      <c r="BJ451" s="282" t="s">
        <v>7498</v>
      </c>
      <c r="BK451" s="282"/>
      <c r="BL451" s="282" t="s">
        <v>7499</v>
      </c>
      <c r="BM451" s="282" t="s">
        <v>7500</v>
      </c>
      <c r="BN451" s="282"/>
      <c r="BO451" s="11" t="s">
        <v>319</v>
      </c>
      <c r="BP451" s="11" t="s">
        <v>320</v>
      </c>
      <c r="BQ451" s="11" t="s">
        <v>319</v>
      </c>
      <c r="BR451" s="282" t="s">
        <v>7501</v>
      </c>
      <c r="BS451" s="282" t="s">
        <v>357</v>
      </c>
      <c r="BT451" s="282" t="s">
        <v>7502</v>
      </c>
      <c r="BU451" s="282" t="s">
        <v>7503</v>
      </c>
      <c r="BV451" s="284">
        <v>78109</v>
      </c>
      <c r="BW451" s="284">
        <v>51940</v>
      </c>
      <c r="BX451" s="284">
        <v>130049</v>
      </c>
      <c r="BY451" s="284">
        <v>110899</v>
      </c>
      <c r="BZ451" s="284">
        <v>135210</v>
      </c>
      <c r="CA451" s="284">
        <v>246109</v>
      </c>
      <c r="CB451" s="285" t="s">
        <v>7504</v>
      </c>
      <c r="CC451" s="285"/>
      <c r="CD451" s="284"/>
      <c r="CE451" s="284"/>
      <c r="CF451" s="284"/>
      <c r="CG451" s="284"/>
      <c r="CH451" s="284"/>
      <c r="CI451" s="284"/>
      <c r="CJ451" s="282"/>
      <c r="CK451" s="284"/>
      <c r="CL451" s="286"/>
      <c r="CM451" s="284"/>
      <c r="CN451" s="287"/>
      <c r="CO451" s="284"/>
      <c r="CP451" s="286"/>
      <c r="CQ451" s="284"/>
      <c r="CR451" s="282"/>
      <c r="CS451" s="284"/>
      <c r="CT451" s="286"/>
      <c r="CU451" s="284"/>
      <c r="CV451" s="292"/>
      <c r="CW451" s="290"/>
      <c r="CX451" s="291"/>
      <c r="CY451" s="306"/>
      <c r="CZ451" s="282"/>
      <c r="DA451" s="284"/>
      <c r="DB451" s="286"/>
      <c r="DC451" s="284"/>
      <c r="DD451" s="287"/>
      <c r="DE451" s="284"/>
      <c r="DF451" s="286"/>
      <c r="DG451" s="284"/>
      <c r="DH451" s="282"/>
      <c r="DI451" s="284"/>
      <c r="DJ451" s="286"/>
      <c r="DK451" s="284"/>
      <c r="DL451" s="282"/>
      <c r="DM451" s="284"/>
      <c r="DN451" s="286"/>
      <c r="DO451" s="284"/>
      <c r="DP451" s="282"/>
      <c r="DQ451" s="284"/>
      <c r="DR451" s="286"/>
      <c r="DS451" s="284"/>
      <c r="DT451" s="282"/>
      <c r="DU451" s="284"/>
      <c r="DV451" s="286"/>
      <c r="DW451" s="284"/>
      <c r="DX451" s="282"/>
      <c r="DY451" s="284"/>
      <c r="DZ451" s="286"/>
      <c r="EA451" s="284"/>
      <c r="EB451" s="282"/>
      <c r="EC451" s="284"/>
      <c r="ED451" s="286"/>
      <c r="EE451" s="284"/>
      <c r="EF451" s="285"/>
      <c r="EG451" s="287"/>
      <c r="EH451" s="284"/>
      <c r="EI451" s="286"/>
      <c r="EJ451" s="284"/>
      <c r="EK451" s="284">
        <v>78109</v>
      </c>
      <c r="EL451" s="284">
        <v>51940</v>
      </c>
      <c r="EM451" s="284">
        <v>130049</v>
      </c>
      <c r="EN451" s="284">
        <v>110899</v>
      </c>
      <c r="EO451" s="284">
        <v>135210</v>
      </c>
      <c r="EP451" s="284">
        <v>246109</v>
      </c>
      <c r="EQ451" s="282" t="s">
        <v>319</v>
      </c>
      <c r="ER451" s="284"/>
      <c r="ES451" s="286"/>
      <c r="ET451" s="284"/>
      <c r="EU451" s="282" t="s">
        <v>319</v>
      </c>
      <c r="EV451" s="284"/>
      <c r="EW451" s="286"/>
      <c r="EX451" s="284"/>
      <c r="EY451" s="282" t="s">
        <v>319</v>
      </c>
      <c r="EZ451" s="284"/>
      <c r="FA451" s="286"/>
      <c r="FB451" s="284"/>
      <c r="FC451" s="282" t="s">
        <v>319</v>
      </c>
      <c r="FD451" s="284"/>
      <c r="FE451" s="286"/>
      <c r="FF451" s="284"/>
      <c r="FG451" s="282" t="s">
        <v>319</v>
      </c>
      <c r="FH451" s="284"/>
      <c r="FI451" s="286"/>
      <c r="FJ451" s="284"/>
      <c r="FK451" s="282" t="s">
        <v>319</v>
      </c>
      <c r="FL451" s="284"/>
      <c r="FM451" s="286"/>
      <c r="FN451" s="284"/>
      <c r="FO451" s="305" t="s">
        <v>320</v>
      </c>
      <c r="FP451" s="300">
        <v>130049</v>
      </c>
      <c r="FQ451" s="308">
        <v>0.6</v>
      </c>
      <c r="FR451" s="300">
        <v>246109</v>
      </c>
      <c r="FS451" s="282" t="s">
        <v>319</v>
      </c>
      <c r="FT451" s="284"/>
      <c r="FU451" s="286"/>
      <c r="FV451" s="284"/>
      <c r="FW451" s="282" t="s">
        <v>320</v>
      </c>
      <c r="FX451" s="284"/>
      <c r="FY451" s="286"/>
      <c r="FZ451" s="284"/>
      <c r="GA451" s="282" t="s">
        <v>320</v>
      </c>
      <c r="GB451" s="284"/>
      <c r="GC451" s="286"/>
      <c r="GD451" s="284"/>
      <c r="GE451" s="282" t="s">
        <v>319</v>
      </c>
      <c r="GF451" s="284"/>
      <c r="GG451" s="286"/>
      <c r="GH451" s="284"/>
      <c r="GI451" s="282" t="s">
        <v>319</v>
      </c>
      <c r="GJ451" s="284"/>
      <c r="GK451" s="286"/>
      <c r="GL451" s="284"/>
      <c r="GM451" s="282" t="s">
        <v>320</v>
      </c>
      <c r="GN451" s="284"/>
      <c r="GO451" s="286"/>
      <c r="GP451" s="284"/>
      <c r="GQ451" s="282" t="s">
        <v>319</v>
      </c>
      <c r="GR451" s="284"/>
      <c r="GS451" s="286"/>
      <c r="GT451" s="284"/>
      <c r="GU451" s="282" t="s">
        <v>320</v>
      </c>
      <c r="GV451" s="284"/>
      <c r="GW451" s="286"/>
      <c r="GX451" s="284"/>
      <c r="GY451" s="282" t="s">
        <v>319</v>
      </c>
      <c r="GZ451" s="284"/>
      <c r="HA451" s="286"/>
      <c r="HB451" s="284"/>
      <c r="HC451" s="282"/>
      <c r="HD451" s="282"/>
      <c r="HE451" s="284"/>
      <c r="HF451" s="286"/>
      <c r="HG451" s="284"/>
      <c r="HH451" s="282" t="s">
        <v>320</v>
      </c>
      <c r="HI451" s="282" t="s">
        <v>544</v>
      </c>
      <c r="HJ451" s="282">
        <v>2017</v>
      </c>
      <c r="HK451" s="282" t="s">
        <v>320</v>
      </c>
      <c r="HL451" s="282" t="s">
        <v>319</v>
      </c>
      <c r="HM451" s="282"/>
      <c r="HN451" s="282"/>
      <c r="HO451" s="282"/>
      <c r="HP451" s="282" t="s">
        <v>330</v>
      </c>
      <c r="HQ451" s="282" t="s">
        <v>319</v>
      </c>
      <c r="HR451" s="282" t="s">
        <v>319</v>
      </c>
      <c r="HS451" s="282" t="s">
        <v>320</v>
      </c>
      <c r="HT451" s="282" t="s">
        <v>319</v>
      </c>
      <c r="HU451" s="282" t="s">
        <v>320</v>
      </c>
      <c r="HV451" s="282" t="s">
        <v>319</v>
      </c>
      <c r="HW451" s="282" t="s">
        <v>319</v>
      </c>
      <c r="HX451" s="282"/>
      <c r="HY451" s="282"/>
      <c r="HZ451" s="282" t="s">
        <v>363</v>
      </c>
      <c r="IA451" s="282"/>
      <c r="IB451" s="282" t="s">
        <v>333</v>
      </c>
      <c r="IC451" s="282"/>
      <c r="ID451" s="282" t="s">
        <v>364</v>
      </c>
      <c r="IE451" s="282" t="s">
        <v>335</v>
      </c>
      <c r="IF451" s="282" t="s">
        <v>320</v>
      </c>
      <c r="IG451" s="282" t="s">
        <v>320</v>
      </c>
      <c r="IH451" s="282" t="s">
        <v>320</v>
      </c>
      <c r="II451" s="282" t="s">
        <v>320</v>
      </c>
      <c r="IJ451" s="12" t="str">
        <f t="shared" si="302"/>
        <v>2. Sensitive</v>
      </c>
      <c r="IK451" s="287">
        <f t="shared" si="303"/>
        <v>4</v>
      </c>
      <c r="IL451" s="282" t="s">
        <v>336</v>
      </c>
      <c r="IM451" s="282" t="s">
        <v>320</v>
      </c>
      <c r="IN451" s="282" t="s">
        <v>320</v>
      </c>
      <c r="IO451" s="282" t="s">
        <v>320</v>
      </c>
      <c r="IP451" s="282" t="s">
        <v>320</v>
      </c>
      <c r="IQ451" s="287" t="str">
        <f t="shared" si="304"/>
        <v>2. Accommodating</v>
      </c>
      <c r="IR451" s="287">
        <f t="shared" si="305"/>
        <v>4</v>
      </c>
      <c r="IS451" s="282" t="s">
        <v>337</v>
      </c>
      <c r="IT451" s="282" t="s">
        <v>320</v>
      </c>
      <c r="IU451" s="282" t="s">
        <v>320</v>
      </c>
      <c r="IV451" s="282" t="s">
        <v>320</v>
      </c>
      <c r="IW451" s="11" t="str">
        <f t="shared" si="306"/>
        <v>2. Sensitive</v>
      </c>
      <c r="IX451" s="287">
        <f t="shared" si="307"/>
        <v>3</v>
      </c>
      <c r="IY451" s="282" t="s">
        <v>338</v>
      </c>
      <c r="IZ451" s="282" t="s">
        <v>527</v>
      </c>
      <c r="JA451" s="282">
        <v>2</v>
      </c>
      <c r="JB451" s="282" t="s">
        <v>687</v>
      </c>
      <c r="JC451" s="282" t="s">
        <v>433</v>
      </c>
      <c r="JD451" s="282" t="s">
        <v>624</v>
      </c>
      <c r="JE451" s="282" t="s">
        <v>340</v>
      </c>
      <c r="JF451" s="282" t="s">
        <v>7505</v>
      </c>
      <c r="JG451" s="282" t="s">
        <v>7506</v>
      </c>
      <c r="JH451" s="282" t="s">
        <v>7507</v>
      </c>
      <c r="JI451" s="282"/>
      <c r="JJ451" s="282"/>
      <c r="JK451" s="282" t="s">
        <v>7508</v>
      </c>
      <c r="JL451" s="282" t="s">
        <v>7509</v>
      </c>
      <c r="JM451" s="282"/>
      <c r="JN451" s="282" t="s">
        <v>7510</v>
      </c>
      <c r="JO451" s="282" t="s">
        <v>7511</v>
      </c>
      <c r="JP451" s="15">
        <f t="shared" si="308"/>
        <v>130049</v>
      </c>
      <c r="JQ451" s="15">
        <f t="shared" si="309"/>
        <v>246109</v>
      </c>
      <c r="JR451" s="279">
        <f t="shared" si="310"/>
        <v>1.8924328522326199</v>
      </c>
      <c r="JS451" s="17">
        <f t="shared" si="311"/>
        <v>0.60061207698636665</v>
      </c>
      <c r="JT451" s="18">
        <f t="shared" si="312"/>
        <v>0.45060928287872448</v>
      </c>
      <c r="JU451" s="280">
        <f t="shared" si="313"/>
        <v>78109</v>
      </c>
      <c r="JV451" s="280">
        <f t="shared" si="314"/>
        <v>110899</v>
      </c>
      <c r="JW451" s="319" t="str">
        <f t="shared" si="315"/>
        <v/>
      </c>
      <c r="JX451" s="15">
        <f t="shared" si="316"/>
        <v>0</v>
      </c>
      <c r="JY451" s="15">
        <f t="shared" si="317"/>
        <v>0</v>
      </c>
      <c r="JZ451" s="19" t="str">
        <f t="shared" si="318"/>
        <v/>
      </c>
      <c r="KA451" s="52">
        <f t="shared" si="319"/>
        <v>1</v>
      </c>
      <c r="KB451" s="15">
        <f t="shared" si="320"/>
        <v>130049</v>
      </c>
      <c r="KC451" s="15">
        <f t="shared" si="321"/>
        <v>246109</v>
      </c>
      <c r="KD451" s="20">
        <f t="shared" si="322"/>
        <v>1.8924328522326199</v>
      </c>
      <c r="KE451" s="52" t="str">
        <f t="shared" si="323"/>
        <v/>
      </c>
      <c r="KF451" s="15">
        <f t="shared" si="324"/>
        <v>0</v>
      </c>
      <c r="KG451" s="15">
        <f t="shared" si="325"/>
        <v>0</v>
      </c>
      <c r="KH451" s="21" t="str">
        <f t="shared" si="326"/>
        <v/>
      </c>
      <c r="KI451" s="52" t="str">
        <f t="shared" si="327"/>
        <v/>
      </c>
      <c r="KJ451" s="15">
        <f t="shared" si="328"/>
        <v>0</v>
      </c>
      <c r="KK451" s="15">
        <f t="shared" si="329"/>
        <v>0</v>
      </c>
      <c r="KL451" s="19" t="str">
        <f t="shared" si="330"/>
        <v/>
      </c>
      <c r="KM451" s="52" t="str">
        <f t="shared" si="331"/>
        <v/>
      </c>
      <c r="KN451" s="22">
        <f t="shared" si="332"/>
        <v>0</v>
      </c>
      <c r="KO451" s="22">
        <f t="shared" si="333"/>
        <v>0</v>
      </c>
      <c r="KP451" s="19" t="str">
        <f t="shared" si="334"/>
        <v/>
      </c>
      <c r="KQ451" s="11" t="str">
        <f t="shared" si="335"/>
        <v>2. Sensitive</v>
      </c>
      <c r="KR451" s="11" t="str">
        <f t="shared" si="336"/>
        <v>2. Accommodating</v>
      </c>
      <c r="KS451" s="11" t="str">
        <f t="shared" si="337"/>
        <v>2. Sensitive</v>
      </c>
      <c r="KT451" s="11" t="str">
        <f t="shared" si="338"/>
        <v>It did not develop any specific innovation</v>
      </c>
      <c r="KU451" s="11" t="str">
        <f t="shared" si="339"/>
        <v>Moderate advocacy</v>
      </c>
      <c r="KV451" s="11" t="str">
        <f t="shared" si="340"/>
        <v>It did not take tested solutions to scale</v>
      </c>
      <c r="KW451" s="11" t="str">
        <f t="shared" si="341"/>
        <v>Malawi - Southern Africa Nutrition Initiative (SANI)</v>
      </c>
      <c r="KX451" s="11" t="str">
        <f t="shared" si="342"/>
        <v>Southern Africa Nutrition Initiative (SANI)</v>
      </c>
      <c r="KY451" s="11" t="str">
        <f t="shared" si="343"/>
        <v>Malawi</v>
      </c>
      <c r="KZ451" s="12">
        <v>451</v>
      </c>
    </row>
    <row r="452" spans="1:312" x14ac:dyDescent="0.3">
      <c r="A452" s="12" t="s">
        <v>7451</v>
      </c>
      <c r="B452" s="12" t="s">
        <v>7217</v>
      </c>
      <c r="C452" s="12">
        <v>3123</v>
      </c>
      <c r="D452" s="12" t="s">
        <v>7817</v>
      </c>
      <c r="E452" s="277" t="str">
        <f t="shared" si="301"/>
        <v>Malawi</v>
      </c>
      <c r="F452" s="12" t="s">
        <v>7818</v>
      </c>
      <c r="G452" s="12" t="s">
        <v>379</v>
      </c>
      <c r="H452" s="12" t="s">
        <v>310</v>
      </c>
      <c r="I452" s="12" t="s">
        <v>655</v>
      </c>
      <c r="J452" s="281" t="s">
        <v>4991</v>
      </c>
      <c r="K452" s="12"/>
      <c r="L452" s="12"/>
      <c r="M452" s="12"/>
      <c r="N452" s="12"/>
      <c r="O452" s="12"/>
      <c r="P452" s="12"/>
      <c r="Q452" s="12"/>
      <c r="R452" s="12"/>
      <c r="S452" s="12"/>
      <c r="T452" s="12"/>
      <c r="U452" s="12"/>
      <c r="V452" s="12"/>
      <c r="W452" s="12"/>
      <c r="X452" s="12"/>
      <c r="Y452" s="12"/>
      <c r="Z452" s="12"/>
      <c r="AA452" s="12"/>
      <c r="AB452" s="12"/>
      <c r="AC452" s="12"/>
      <c r="AD452" s="12"/>
      <c r="BD452" s="13">
        <v>40855</v>
      </c>
      <c r="BE452" s="13">
        <v>42681</v>
      </c>
      <c r="BF452" s="13">
        <v>42766</v>
      </c>
      <c r="BG452" s="12" t="s">
        <v>490</v>
      </c>
      <c r="BH452" s="14">
        <v>11415229</v>
      </c>
      <c r="BI452" s="12" t="s">
        <v>7819</v>
      </c>
      <c r="BJ452" s="12" t="s">
        <v>7820</v>
      </c>
      <c r="BK452" s="12" t="s">
        <v>7698</v>
      </c>
      <c r="BL452" s="12" t="s">
        <v>7479</v>
      </c>
      <c r="BM452" s="12" t="s">
        <v>7821</v>
      </c>
      <c r="BN452" s="12" t="s">
        <v>7481</v>
      </c>
      <c r="BO452" s="11" t="s">
        <v>319</v>
      </c>
      <c r="BP452" s="11" t="s">
        <v>320</v>
      </c>
      <c r="BQ452" s="11" t="s">
        <v>319</v>
      </c>
      <c r="BR452" s="12" t="s">
        <v>7822</v>
      </c>
      <c r="BS452" s="12" t="s">
        <v>357</v>
      </c>
      <c r="BT452" s="12" t="s">
        <v>7823</v>
      </c>
      <c r="BU452" s="12" t="s">
        <v>7824</v>
      </c>
      <c r="BV452" s="14">
        <v>1224760</v>
      </c>
      <c r="BW452" s="14">
        <v>103824</v>
      </c>
      <c r="BX452" s="14">
        <v>1228584</v>
      </c>
      <c r="BY452" s="14">
        <v>1415</v>
      </c>
      <c r="BZ452" s="14">
        <v>1307</v>
      </c>
      <c r="CA452" s="14">
        <v>2722</v>
      </c>
      <c r="CB452" s="12" t="s">
        <v>7825</v>
      </c>
      <c r="CD452" s="14"/>
      <c r="CE452" s="14"/>
      <c r="CF452" s="14"/>
      <c r="CG452" s="14"/>
      <c r="CH452" s="14"/>
      <c r="CI452" s="14"/>
      <c r="CJ452" s="12"/>
      <c r="CK452" s="14"/>
      <c r="CL452" s="16"/>
      <c r="CM452" s="14"/>
      <c r="CN452" s="12"/>
      <c r="CO452" s="14"/>
      <c r="CP452" s="16"/>
      <c r="CQ452" s="14"/>
      <c r="CR452" s="12"/>
      <c r="CS452" s="14"/>
      <c r="CT452" s="16"/>
      <c r="CU452" s="14"/>
      <c r="CV452" s="12"/>
      <c r="CW452" s="14"/>
      <c r="CX452" s="16"/>
      <c r="CY452" s="14"/>
      <c r="CZ452" s="12"/>
      <c r="DA452" s="14"/>
      <c r="DB452" s="16"/>
      <c r="DC452" s="14"/>
      <c r="DD452" s="12"/>
      <c r="DE452" s="14"/>
      <c r="DF452" s="16"/>
      <c r="DG452" s="14"/>
      <c r="DH452" s="12"/>
      <c r="DI452" s="14"/>
      <c r="DJ452" s="16"/>
      <c r="DK452" s="14"/>
      <c r="DL452" s="12"/>
      <c r="DM452" s="14"/>
      <c r="DN452" s="16"/>
      <c r="DO452" s="14"/>
      <c r="DP452" s="12"/>
      <c r="DQ452" s="14"/>
      <c r="DR452" s="16"/>
      <c r="DS452" s="14"/>
      <c r="DT452" s="12"/>
      <c r="DU452" s="14"/>
      <c r="DV452" s="16"/>
      <c r="DW452" s="14"/>
      <c r="DX452" s="12"/>
      <c r="DY452" s="14"/>
      <c r="DZ452" s="16"/>
      <c r="EA452" s="14"/>
      <c r="EB452" s="12"/>
      <c r="EC452" s="14"/>
      <c r="ED452" s="16"/>
      <c r="EE452" s="14"/>
      <c r="EF452" s="12"/>
      <c r="EG452" s="12"/>
      <c r="EH452" s="14"/>
      <c r="EI452" s="16"/>
      <c r="EJ452" s="14"/>
      <c r="EK452" s="14">
        <v>447330</v>
      </c>
      <c r="EL452" s="14">
        <v>412923</v>
      </c>
      <c r="EM452" s="14">
        <v>860253</v>
      </c>
      <c r="EN452" s="14">
        <v>298222</v>
      </c>
      <c r="EO452" s="14">
        <v>275282</v>
      </c>
      <c r="EP452" s="14">
        <v>573504</v>
      </c>
      <c r="EQ452" s="12" t="s">
        <v>319</v>
      </c>
      <c r="ER452" s="14"/>
      <c r="ES452" s="16"/>
      <c r="ET452" s="14"/>
      <c r="EU452" s="11" t="s">
        <v>319</v>
      </c>
      <c r="EV452" s="14"/>
      <c r="EW452" s="16"/>
      <c r="EX452" s="14"/>
      <c r="EY452" s="12" t="s">
        <v>319</v>
      </c>
      <c r="EZ452" s="14"/>
      <c r="FA452" s="16"/>
      <c r="FB452" s="14"/>
      <c r="FC452" s="12" t="s">
        <v>319</v>
      </c>
      <c r="FD452" s="14"/>
      <c r="FE452" s="16"/>
      <c r="FF452" s="14"/>
      <c r="FG452" s="12" t="s">
        <v>319</v>
      </c>
      <c r="FH452" s="14"/>
      <c r="FI452" s="16"/>
      <c r="FJ452" s="14"/>
      <c r="FK452" s="12" t="s">
        <v>319</v>
      </c>
      <c r="FL452" s="14"/>
      <c r="FM452" s="16"/>
      <c r="FN452" s="14"/>
      <c r="FO452" s="12" t="s">
        <v>319</v>
      </c>
      <c r="FP452" s="14"/>
      <c r="FQ452" s="16"/>
      <c r="FR452" s="14"/>
      <c r="FS452" s="12" t="s">
        <v>319</v>
      </c>
      <c r="FT452" s="14"/>
      <c r="FU452" s="16"/>
      <c r="FV452" s="14"/>
      <c r="FW452" s="12" t="s">
        <v>319</v>
      </c>
      <c r="FX452" s="14"/>
      <c r="FY452" s="16"/>
      <c r="FZ452" s="14"/>
      <c r="GA452" s="11" t="s">
        <v>320</v>
      </c>
      <c r="GB452" s="14">
        <v>860253</v>
      </c>
      <c r="GC452" s="16">
        <v>0.86</v>
      </c>
      <c r="GD452" s="14">
        <v>573504</v>
      </c>
      <c r="GE452" s="12" t="s">
        <v>319</v>
      </c>
      <c r="GF452" s="14"/>
      <c r="GG452" s="16"/>
      <c r="GH452" s="14"/>
      <c r="GI452" s="12" t="s">
        <v>319</v>
      </c>
      <c r="GJ452" s="14"/>
      <c r="GK452" s="16"/>
      <c r="GL452" s="14"/>
      <c r="GM452" s="12" t="s">
        <v>319</v>
      </c>
      <c r="GN452" s="14"/>
      <c r="GO452" s="16"/>
      <c r="GP452" s="14"/>
      <c r="GQ452" s="12" t="s">
        <v>320</v>
      </c>
      <c r="GR452" s="14">
        <v>860253</v>
      </c>
      <c r="GS452" s="16">
        <v>0.86</v>
      </c>
      <c r="GT452" s="14">
        <v>573504</v>
      </c>
      <c r="GU452" s="12" t="s">
        <v>320</v>
      </c>
      <c r="GV452" s="14">
        <v>860253</v>
      </c>
      <c r="GW452" s="16">
        <v>0.86</v>
      </c>
      <c r="GX452" s="14">
        <v>573503</v>
      </c>
      <c r="GY452" s="12" t="s">
        <v>319</v>
      </c>
      <c r="GZ452" s="14"/>
      <c r="HA452" s="16"/>
      <c r="HB452" s="14"/>
      <c r="HC452" s="12"/>
      <c r="HD452" s="12" t="s">
        <v>319</v>
      </c>
      <c r="HE452" s="14"/>
      <c r="HF452" s="16"/>
      <c r="HG452" s="14"/>
      <c r="HH452" s="12" t="s">
        <v>319</v>
      </c>
      <c r="HI452" s="12"/>
      <c r="HJ452" s="12">
        <v>2017</v>
      </c>
      <c r="HK452" s="12" t="s">
        <v>319</v>
      </c>
      <c r="HL452" s="12" t="s">
        <v>319</v>
      </c>
      <c r="HM452" s="12"/>
      <c r="HN452" s="12"/>
      <c r="HO452" s="12" t="s">
        <v>7826</v>
      </c>
      <c r="HP452" s="12" t="s">
        <v>418</v>
      </c>
      <c r="HQ452" s="12" t="s">
        <v>319</v>
      </c>
      <c r="HR452" s="12" t="s">
        <v>319</v>
      </c>
      <c r="HS452" s="12" t="s">
        <v>319</v>
      </c>
      <c r="HT452" s="12" t="s">
        <v>319</v>
      </c>
      <c r="HU452" s="12" t="s">
        <v>319</v>
      </c>
      <c r="HV452" s="12" t="s">
        <v>319</v>
      </c>
      <c r="HW452" s="12" t="s">
        <v>319</v>
      </c>
      <c r="HX452" s="12" t="s">
        <v>319</v>
      </c>
      <c r="HY452" s="12"/>
      <c r="HZ452" s="12" t="s">
        <v>363</v>
      </c>
      <c r="IA452" s="12"/>
      <c r="IB452" s="12" t="s">
        <v>333</v>
      </c>
      <c r="IC452" s="12"/>
      <c r="ID452" s="12" t="s">
        <v>364</v>
      </c>
      <c r="IE452" s="12" t="s">
        <v>335</v>
      </c>
      <c r="IF452" s="12" t="s">
        <v>320</v>
      </c>
      <c r="IG452" s="12" t="s">
        <v>320</v>
      </c>
      <c r="IH452" s="12" t="s">
        <v>320</v>
      </c>
      <c r="II452" s="12" t="s">
        <v>320</v>
      </c>
      <c r="IJ452" s="12" t="str">
        <f t="shared" si="302"/>
        <v>2. Sensitive</v>
      </c>
      <c r="IK452" s="12">
        <f t="shared" si="303"/>
        <v>4</v>
      </c>
      <c r="IL452" s="12" t="s">
        <v>336</v>
      </c>
      <c r="IM452" s="12" t="s">
        <v>320</v>
      </c>
      <c r="IN452" s="12" t="s">
        <v>320</v>
      </c>
      <c r="IO452" s="12" t="s">
        <v>320</v>
      </c>
      <c r="IP452" s="12" t="s">
        <v>320</v>
      </c>
      <c r="IQ452" s="12" t="str">
        <f t="shared" si="304"/>
        <v>2. Accommodating</v>
      </c>
      <c r="IR452" s="12">
        <f t="shared" si="305"/>
        <v>4</v>
      </c>
      <c r="IS452" s="12" t="s">
        <v>456</v>
      </c>
      <c r="IT452" s="12" t="s">
        <v>320</v>
      </c>
      <c r="IU452" s="12" t="s">
        <v>320</v>
      </c>
      <c r="IV452" s="12" t="s">
        <v>320</v>
      </c>
      <c r="IW452" s="11" t="str">
        <f t="shared" si="306"/>
        <v>0. Harmful</v>
      </c>
      <c r="IX452" s="12">
        <f t="shared" si="307"/>
        <v>3</v>
      </c>
      <c r="IY452" s="12" t="s">
        <v>338</v>
      </c>
      <c r="IZ452" s="12" t="s">
        <v>432</v>
      </c>
      <c r="JA452" s="12">
        <v>4</v>
      </c>
      <c r="JB452" s="12" t="s">
        <v>831</v>
      </c>
      <c r="JC452" s="12" t="s">
        <v>433</v>
      </c>
      <c r="JD452" s="12" t="s">
        <v>687</v>
      </c>
      <c r="JE452" s="12" t="s">
        <v>365</v>
      </c>
      <c r="JF452" s="12" t="s">
        <v>7810</v>
      </c>
      <c r="JG452" s="12" t="s">
        <v>7827</v>
      </c>
      <c r="JH452" s="12" t="s">
        <v>7828</v>
      </c>
      <c r="JI452" s="12" t="s">
        <v>7829</v>
      </c>
      <c r="JJ452" s="12" t="s">
        <v>7830</v>
      </c>
      <c r="JK452" s="12" t="s">
        <v>7831</v>
      </c>
      <c r="JL452" s="12" t="s">
        <v>7832</v>
      </c>
      <c r="JM452" s="12" t="s">
        <v>7833</v>
      </c>
      <c r="JN452" s="12" t="s">
        <v>7834</v>
      </c>
      <c r="JO452" s="12"/>
      <c r="JP452" s="15">
        <f t="shared" si="308"/>
        <v>860253</v>
      </c>
      <c r="JQ452" s="15">
        <f t="shared" si="309"/>
        <v>573504</v>
      </c>
      <c r="JR452" s="279">
        <f t="shared" si="310"/>
        <v>0.66666899156410964</v>
      </c>
      <c r="JS452" s="17">
        <f t="shared" si="311"/>
        <v>0.51999818657999453</v>
      </c>
      <c r="JT452" s="18">
        <f t="shared" si="312"/>
        <v>0.51999986050663993</v>
      </c>
      <c r="JU452" s="280">
        <f t="shared" si="313"/>
        <v>447330</v>
      </c>
      <c r="JV452" s="280">
        <f t="shared" si="314"/>
        <v>298222</v>
      </c>
      <c r="JW452" s="319" t="str">
        <f t="shared" si="315"/>
        <v/>
      </c>
      <c r="JX452" s="15">
        <f t="shared" si="316"/>
        <v>0</v>
      </c>
      <c r="JY452" s="15">
        <f t="shared" si="317"/>
        <v>0</v>
      </c>
      <c r="JZ452" s="19" t="str">
        <f t="shared" si="318"/>
        <v/>
      </c>
      <c r="KA452" s="52">
        <f t="shared" si="319"/>
        <v>1</v>
      </c>
      <c r="KB452" s="15">
        <f t="shared" si="320"/>
        <v>860253</v>
      </c>
      <c r="KC452" s="15">
        <f t="shared" si="321"/>
        <v>573503</v>
      </c>
      <c r="KD452" s="20">
        <f t="shared" si="322"/>
        <v>0.66666782911538813</v>
      </c>
      <c r="KE452" s="52">
        <f t="shared" si="323"/>
        <v>1</v>
      </c>
      <c r="KF452" s="15">
        <f t="shared" si="324"/>
        <v>860253</v>
      </c>
      <c r="KG452" s="15">
        <f t="shared" si="325"/>
        <v>573504</v>
      </c>
      <c r="KH452" s="21">
        <f t="shared" si="326"/>
        <v>0.66666899156410964</v>
      </c>
      <c r="KI452" s="52" t="str">
        <f t="shared" si="327"/>
        <v/>
      </c>
      <c r="KJ452" s="15">
        <f t="shared" si="328"/>
        <v>0</v>
      </c>
      <c r="KK452" s="15">
        <f t="shared" si="329"/>
        <v>0</v>
      </c>
      <c r="KL452" s="19" t="str">
        <f t="shared" si="330"/>
        <v/>
      </c>
      <c r="KM452" s="52" t="str">
        <f t="shared" si="331"/>
        <v/>
      </c>
      <c r="KN452" s="22">
        <f t="shared" si="332"/>
        <v>0</v>
      </c>
      <c r="KO452" s="22">
        <f t="shared" si="333"/>
        <v>0</v>
      </c>
      <c r="KP452" s="19" t="str">
        <f t="shared" si="334"/>
        <v/>
      </c>
      <c r="KQ452" s="11" t="str">
        <f t="shared" si="335"/>
        <v>2. Sensitive</v>
      </c>
      <c r="KR452" s="11" t="str">
        <f t="shared" si="336"/>
        <v>2. Accommodating</v>
      </c>
      <c r="KS452" s="11" t="str">
        <f t="shared" si="337"/>
        <v>0. Harmful</v>
      </c>
      <c r="KT452" s="11" t="str">
        <f t="shared" si="338"/>
        <v>It did not develop any specific innovation</v>
      </c>
      <c r="KU452" s="11" t="str">
        <f t="shared" si="339"/>
        <v>Little or no advocacy</v>
      </c>
      <c r="KV452" s="11" t="str">
        <f t="shared" si="340"/>
        <v>It did not take tested solutions to scale</v>
      </c>
      <c r="KW452" s="11" t="str">
        <f t="shared" si="341"/>
        <v>Malawi - Support for Service Delivery Integration (SSDI) Services</v>
      </c>
      <c r="KX452" s="11" t="str">
        <f t="shared" si="342"/>
        <v>Support for Service Delivery Integration (SSDI) Services</v>
      </c>
      <c r="KY452" s="11" t="str">
        <f t="shared" si="343"/>
        <v>Malawi</v>
      </c>
      <c r="KZ452" s="12">
        <v>452</v>
      </c>
    </row>
    <row r="453" spans="1:312" x14ac:dyDescent="0.3">
      <c r="A453" s="12" t="s">
        <v>7451</v>
      </c>
      <c r="B453" s="12" t="s">
        <v>7217</v>
      </c>
      <c r="C453" s="12">
        <v>3125</v>
      </c>
      <c r="D453" s="12" t="s">
        <v>7724</v>
      </c>
      <c r="E453" s="277" t="str">
        <f t="shared" si="301"/>
        <v>Malawi</v>
      </c>
      <c r="F453" s="12" t="s">
        <v>7725</v>
      </c>
      <c r="G453" s="12" t="s">
        <v>379</v>
      </c>
      <c r="H453" s="12" t="s">
        <v>310</v>
      </c>
      <c r="I453" s="12" t="s">
        <v>655</v>
      </c>
      <c r="J453" s="281" t="s">
        <v>4991</v>
      </c>
      <c r="K453" s="12"/>
      <c r="L453" s="12"/>
      <c r="M453" s="12"/>
      <c r="N453" s="12"/>
      <c r="O453" s="12"/>
      <c r="P453" s="12"/>
      <c r="Q453" s="12"/>
      <c r="R453" s="12"/>
      <c r="S453" s="12"/>
      <c r="T453" s="12"/>
      <c r="U453" s="12"/>
      <c r="V453" s="12"/>
      <c r="W453" s="12"/>
      <c r="X453" s="12"/>
      <c r="Y453" s="12"/>
      <c r="Z453" s="12"/>
      <c r="AA453" s="12"/>
      <c r="AB453" s="12"/>
      <c r="AC453" s="12"/>
      <c r="AD453" s="12"/>
      <c r="BD453" s="13">
        <v>41944</v>
      </c>
      <c r="BE453" s="13">
        <v>43769</v>
      </c>
      <c r="BF453" s="12"/>
      <c r="BG453" s="12" t="s">
        <v>749</v>
      </c>
      <c r="BH453" s="14">
        <v>11064992.019960999</v>
      </c>
      <c r="BI453" s="12" t="s">
        <v>7726</v>
      </c>
      <c r="BJ453" s="12" t="s">
        <v>980</v>
      </c>
      <c r="BK453" s="12" t="s">
        <v>7698</v>
      </c>
      <c r="BL453" s="12" t="s">
        <v>7479</v>
      </c>
      <c r="BM453" s="12" t="s">
        <v>7727</v>
      </c>
      <c r="BN453" s="12" t="s">
        <v>7481</v>
      </c>
      <c r="BO453" s="11" t="s">
        <v>319</v>
      </c>
      <c r="BP453" s="11" t="s">
        <v>320</v>
      </c>
      <c r="BQ453" s="11" t="s">
        <v>319</v>
      </c>
      <c r="BR453" s="12" t="s">
        <v>7728</v>
      </c>
      <c r="BS453" s="12" t="s">
        <v>357</v>
      </c>
      <c r="BT453" s="12" t="s">
        <v>7729</v>
      </c>
      <c r="BU453" s="12" t="s">
        <v>7730</v>
      </c>
      <c r="BV453" s="14">
        <v>135240</v>
      </c>
      <c r="BW453" s="14">
        <v>140760</v>
      </c>
      <c r="BX453" s="14">
        <v>276000</v>
      </c>
      <c r="BY453" s="14"/>
      <c r="BZ453" s="14"/>
      <c r="CA453" s="14"/>
      <c r="CB453" s="12"/>
      <c r="CD453" s="14"/>
      <c r="CE453" s="14"/>
      <c r="CF453" s="14"/>
      <c r="CG453" s="14"/>
      <c r="CH453" s="14"/>
      <c r="CI453" s="14"/>
      <c r="CJ453" s="12"/>
      <c r="CK453" s="14"/>
      <c r="CL453" s="16"/>
      <c r="CM453" s="14"/>
      <c r="CN453" s="12"/>
      <c r="CO453" s="14"/>
      <c r="CP453" s="16"/>
      <c r="CQ453" s="14"/>
      <c r="CR453" s="12"/>
      <c r="CS453" s="14"/>
      <c r="CT453" s="16"/>
      <c r="CU453" s="14"/>
      <c r="CV453" s="12"/>
      <c r="CW453" s="14"/>
      <c r="CX453" s="16"/>
      <c r="CY453" s="14"/>
      <c r="CZ453" s="12"/>
      <c r="DA453" s="14"/>
      <c r="DB453" s="16"/>
      <c r="DC453" s="14"/>
      <c r="DD453" s="12"/>
      <c r="DE453" s="14"/>
      <c r="DF453" s="16"/>
      <c r="DG453" s="14"/>
      <c r="DH453" s="12"/>
      <c r="DI453" s="14"/>
      <c r="DJ453" s="16"/>
      <c r="DK453" s="14"/>
      <c r="DL453" s="12"/>
      <c r="DM453" s="14"/>
      <c r="DN453" s="16"/>
      <c r="DO453" s="14"/>
      <c r="DP453" s="12"/>
      <c r="DQ453" s="14"/>
      <c r="DR453" s="16"/>
      <c r="DS453" s="14"/>
      <c r="DT453" s="12"/>
      <c r="DU453" s="14"/>
      <c r="DV453" s="16"/>
      <c r="DW453" s="14"/>
      <c r="DX453" s="12"/>
      <c r="DY453" s="14"/>
      <c r="DZ453" s="16"/>
      <c r="EA453" s="14"/>
      <c r="EB453" s="12"/>
      <c r="EC453" s="14"/>
      <c r="ED453" s="16"/>
      <c r="EE453" s="14"/>
      <c r="EF453" s="12"/>
      <c r="EG453" s="12"/>
      <c r="EH453" s="14"/>
      <c r="EI453" s="16"/>
      <c r="EJ453" s="14"/>
      <c r="EK453" s="14">
        <v>21784</v>
      </c>
      <c r="EL453" s="14">
        <v>14523</v>
      </c>
      <c r="EM453" s="14">
        <v>36307</v>
      </c>
      <c r="EN453" s="14">
        <v>50103</v>
      </c>
      <c r="EO453" s="14">
        <v>33402</v>
      </c>
      <c r="EP453" s="14">
        <v>83505</v>
      </c>
      <c r="EQ453" s="12" t="s">
        <v>320</v>
      </c>
      <c r="ER453" s="14">
        <v>3984</v>
      </c>
      <c r="ES453" s="16">
        <v>0.61</v>
      </c>
      <c r="ET453" s="14">
        <v>11952</v>
      </c>
      <c r="EU453" s="11" t="s">
        <v>320</v>
      </c>
      <c r="EV453" s="14">
        <v>5662</v>
      </c>
      <c r="EW453" s="16">
        <v>0.6</v>
      </c>
      <c r="EX453" s="14">
        <v>16986</v>
      </c>
      <c r="EY453" s="12" t="s">
        <v>319</v>
      </c>
      <c r="EZ453" s="14"/>
      <c r="FA453" s="16"/>
      <c r="FB453" s="14"/>
      <c r="FC453" s="12" t="s">
        <v>320</v>
      </c>
      <c r="FD453" s="14">
        <v>1655</v>
      </c>
      <c r="FE453" s="16">
        <v>0.43</v>
      </c>
      <c r="FF453" s="14">
        <v>3310</v>
      </c>
      <c r="FG453" s="12" t="s">
        <v>320</v>
      </c>
      <c r="FH453" s="14">
        <v>28229</v>
      </c>
      <c r="FI453" s="16">
        <v>0.73</v>
      </c>
      <c r="FJ453" s="14">
        <v>84687</v>
      </c>
      <c r="FK453" s="12" t="s">
        <v>319</v>
      </c>
      <c r="FL453" s="14"/>
      <c r="FM453" s="16"/>
      <c r="FN453" s="14"/>
      <c r="FO453" s="12" t="s">
        <v>320</v>
      </c>
      <c r="FP453" s="14">
        <v>33374</v>
      </c>
      <c r="FQ453" s="16">
        <v>0.6</v>
      </c>
      <c r="FR453" s="14">
        <v>66748</v>
      </c>
      <c r="FS453" s="12" t="s">
        <v>319</v>
      </c>
      <c r="FT453" s="14"/>
      <c r="FU453" s="16"/>
      <c r="FV453" s="14"/>
      <c r="FW453" s="11" t="s">
        <v>320</v>
      </c>
      <c r="FX453" s="14">
        <v>3318</v>
      </c>
      <c r="FY453" s="16">
        <v>0.45</v>
      </c>
      <c r="FZ453" s="14">
        <v>9954</v>
      </c>
      <c r="GA453" s="12" t="s">
        <v>319</v>
      </c>
      <c r="GB453" s="14"/>
      <c r="GC453" s="16"/>
      <c r="GD453" s="14"/>
      <c r="GE453" s="12" t="s">
        <v>320</v>
      </c>
      <c r="GF453" s="14">
        <v>668</v>
      </c>
      <c r="GG453" s="16">
        <v>0.61</v>
      </c>
      <c r="GH453" s="14">
        <v>2004</v>
      </c>
      <c r="GI453" s="12" t="s">
        <v>319</v>
      </c>
      <c r="GJ453" s="14"/>
      <c r="GK453" s="16"/>
      <c r="GL453" s="14"/>
      <c r="GM453" s="11" t="s">
        <v>320</v>
      </c>
      <c r="GN453" s="14">
        <v>3053</v>
      </c>
      <c r="GO453" s="16">
        <v>0.45</v>
      </c>
      <c r="GP453" s="14">
        <v>18318</v>
      </c>
      <c r="GQ453" s="12" t="s">
        <v>320</v>
      </c>
      <c r="GR453" s="14">
        <v>24220</v>
      </c>
      <c r="GS453" s="16">
        <v>1</v>
      </c>
      <c r="GT453" s="14"/>
      <c r="GU453" s="12" t="s">
        <v>320</v>
      </c>
      <c r="GV453" s="14">
        <v>232</v>
      </c>
      <c r="GW453" s="16">
        <v>0.46</v>
      </c>
      <c r="GX453" s="14">
        <v>696</v>
      </c>
      <c r="GY453" s="11" t="s">
        <v>320</v>
      </c>
      <c r="GZ453" s="14">
        <v>28299</v>
      </c>
      <c r="HA453" s="16">
        <v>0.73</v>
      </c>
      <c r="HB453" s="14">
        <v>56600</v>
      </c>
      <c r="HC453" s="12"/>
      <c r="HD453" s="12" t="s">
        <v>319</v>
      </c>
      <c r="HE453" s="14"/>
      <c r="HF453" s="16"/>
      <c r="HG453" s="14"/>
      <c r="HH453" s="12" t="s">
        <v>319</v>
      </c>
      <c r="HI453" s="12"/>
      <c r="HJ453" s="12"/>
      <c r="HK453" s="12" t="s">
        <v>319</v>
      </c>
      <c r="HL453" s="12" t="s">
        <v>319</v>
      </c>
      <c r="HM453" s="12"/>
      <c r="HN453" s="12"/>
      <c r="HO453" s="12"/>
      <c r="HP453" s="12" t="s">
        <v>418</v>
      </c>
      <c r="HQ453" s="12" t="s">
        <v>319</v>
      </c>
      <c r="HR453" s="12" t="s">
        <v>319</v>
      </c>
      <c r="HS453" s="12" t="s">
        <v>319</v>
      </c>
      <c r="HT453" s="12" t="s">
        <v>319</v>
      </c>
      <c r="HU453" s="12" t="s">
        <v>319</v>
      </c>
      <c r="HV453" s="12" t="s">
        <v>319</v>
      </c>
      <c r="HW453" s="12" t="s">
        <v>319</v>
      </c>
      <c r="HX453" s="12" t="s">
        <v>319</v>
      </c>
      <c r="HY453" s="12"/>
      <c r="HZ453" s="12" t="s">
        <v>363</v>
      </c>
      <c r="IA453" s="12"/>
      <c r="IB453" s="12" t="s">
        <v>333</v>
      </c>
      <c r="IC453" s="12"/>
      <c r="ID453" s="12" t="s">
        <v>334</v>
      </c>
      <c r="IE453" s="12" t="s">
        <v>335</v>
      </c>
      <c r="IF453" s="12" t="s">
        <v>320</v>
      </c>
      <c r="IG453" s="12" t="s">
        <v>320</v>
      </c>
      <c r="IH453" s="12" t="s">
        <v>320</v>
      </c>
      <c r="II453" s="12" t="s">
        <v>320</v>
      </c>
      <c r="IJ453" s="12" t="str">
        <f t="shared" si="302"/>
        <v>2. Sensitive</v>
      </c>
      <c r="IK453" s="12">
        <f t="shared" si="303"/>
        <v>4</v>
      </c>
      <c r="IL453" s="12" t="s">
        <v>336</v>
      </c>
      <c r="IM453" s="12" t="s">
        <v>320</v>
      </c>
      <c r="IN453" s="12" t="s">
        <v>320</v>
      </c>
      <c r="IO453" s="12" t="s">
        <v>320</v>
      </c>
      <c r="IP453" s="12" t="s">
        <v>320</v>
      </c>
      <c r="IQ453" s="12" t="str">
        <f t="shared" si="304"/>
        <v>2. Accommodating</v>
      </c>
      <c r="IR453" s="12">
        <f t="shared" si="305"/>
        <v>4</v>
      </c>
      <c r="IS453" s="12" t="s">
        <v>622</v>
      </c>
      <c r="IT453" s="12" t="s">
        <v>320</v>
      </c>
      <c r="IU453" s="12" t="s">
        <v>320</v>
      </c>
      <c r="IV453" s="12" t="s">
        <v>320</v>
      </c>
      <c r="IW453" s="11" t="str">
        <f t="shared" si="306"/>
        <v>4. Transformative</v>
      </c>
      <c r="IX453" s="12">
        <f t="shared" si="307"/>
        <v>3</v>
      </c>
      <c r="IY453" s="12" t="s">
        <v>758</v>
      </c>
      <c r="IZ453" s="12" t="s">
        <v>339</v>
      </c>
      <c r="JA453" s="12"/>
      <c r="JB453" s="12"/>
      <c r="JC453" s="12"/>
      <c r="JD453" s="12"/>
      <c r="JE453" s="12" t="s">
        <v>420</v>
      </c>
      <c r="JF453" s="12"/>
      <c r="JG453" s="12"/>
      <c r="JH453" s="12" t="s">
        <v>7731</v>
      </c>
      <c r="JI453" s="12"/>
      <c r="JJ453" s="12"/>
      <c r="JK453" s="12" t="s">
        <v>7732</v>
      </c>
      <c r="JL453" s="12" t="s">
        <v>7733</v>
      </c>
      <c r="JM453" s="12" t="s">
        <v>7734</v>
      </c>
      <c r="JN453" s="12" t="s">
        <v>7735</v>
      </c>
      <c r="JO453" s="12" t="s">
        <v>7736</v>
      </c>
      <c r="JP453" s="15">
        <f t="shared" si="308"/>
        <v>36307</v>
      </c>
      <c r="JQ453" s="15">
        <f t="shared" si="309"/>
        <v>83505</v>
      </c>
      <c r="JR453" s="279">
        <f t="shared" si="310"/>
        <v>2.2999697028121298</v>
      </c>
      <c r="JS453" s="17">
        <f t="shared" si="311"/>
        <v>0.5999944914203873</v>
      </c>
      <c r="JT453" s="18">
        <f t="shared" si="312"/>
        <v>0.6</v>
      </c>
      <c r="JU453" s="280">
        <f t="shared" si="313"/>
        <v>21784</v>
      </c>
      <c r="JV453" s="280">
        <f t="shared" si="314"/>
        <v>50103</v>
      </c>
      <c r="JW453" s="319" t="str">
        <f t="shared" si="315"/>
        <v/>
      </c>
      <c r="JX453" s="15">
        <f t="shared" si="316"/>
        <v>0</v>
      </c>
      <c r="JY453" s="15">
        <f t="shared" si="317"/>
        <v>0</v>
      </c>
      <c r="JZ453" s="19" t="str">
        <f t="shared" si="318"/>
        <v/>
      </c>
      <c r="KA453" s="52">
        <f t="shared" si="319"/>
        <v>1</v>
      </c>
      <c r="KB453" s="15">
        <f t="shared" si="320"/>
        <v>33374</v>
      </c>
      <c r="KC453" s="15">
        <f t="shared" si="321"/>
        <v>84687</v>
      </c>
      <c r="KD453" s="20">
        <f t="shared" si="322"/>
        <v>2.5375142326361839</v>
      </c>
      <c r="KE453" s="52">
        <f t="shared" si="323"/>
        <v>1</v>
      </c>
      <c r="KF453" s="15">
        <f t="shared" si="324"/>
        <v>24220</v>
      </c>
      <c r="KG453" s="15">
        <f t="shared" si="325"/>
        <v>0</v>
      </c>
      <c r="KH453" s="21">
        <f t="shared" si="326"/>
        <v>0</v>
      </c>
      <c r="KI453" s="52" t="str">
        <f t="shared" si="327"/>
        <v/>
      </c>
      <c r="KJ453" s="15">
        <f t="shared" si="328"/>
        <v>0</v>
      </c>
      <c r="KK453" s="15">
        <f t="shared" si="329"/>
        <v>0</v>
      </c>
      <c r="KL453" s="19" t="str">
        <f t="shared" si="330"/>
        <v/>
      </c>
      <c r="KM453" s="52">
        <f t="shared" si="331"/>
        <v>1</v>
      </c>
      <c r="KN453" s="22">
        <f t="shared" si="332"/>
        <v>28299</v>
      </c>
      <c r="KO453" s="22">
        <f t="shared" si="333"/>
        <v>61821.51</v>
      </c>
      <c r="KP453" s="19">
        <f t="shared" si="334"/>
        <v>2.1845828474504398</v>
      </c>
      <c r="KQ453" s="11" t="str">
        <f t="shared" si="335"/>
        <v>2. Sensitive</v>
      </c>
      <c r="KR453" s="11" t="str">
        <f t="shared" si="336"/>
        <v>2. Accommodating</v>
      </c>
      <c r="KS453" s="11" t="str">
        <f t="shared" si="337"/>
        <v>4. Transformative</v>
      </c>
      <c r="KT453" s="11" t="str">
        <f t="shared" si="338"/>
        <v>It did not develop any specific innovation</v>
      </c>
      <c r="KU453" s="11" t="str">
        <f t="shared" si="339"/>
        <v>Little or no advocacy</v>
      </c>
      <c r="KV453" s="11" t="str">
        <f t="shared" si="340"/>
        <v>It did not take tested solutions to scale</v>
      </c>
      <c r="KW453" s="11" t="str">
        <f t="shared" si="341"/>
        <v>Malawi - UNITED IN BUILDING AND ADVANCING LIFE EXPECTATIONS (UBALE)</v>
      </c>
      <c r="KX453" s="11" t="str">
        <f t="shared" si="342"/>
        <v>UNITED IN BUILDING AND ADVANCING LIFE EXPECTATIONS (UBALE)</v>
      </c>
      <c r="KY453" s="11" t="str">
        <f t="shared" si="343"/>
        <v>Malawi</v>
      </c>
      <c r="KZ453" s="12">
        <v>453</v>
      </c>
    </row>
    <row r="454" spans="1:312" x14ac:dyDescent="0.3">
      <c r="A454" s="12" t="s">
        <v>7451</v>
      </c>
      <c r="B454" s="12" t="s">
        <v>7217</v>
      </c>
      <c r="C454" s="12"/>
      <c r="D454" s="12" t="s">
        <v>7737</v>
      </c>
      <c r="E454" s="277" t="str">
        <f t="shared" si="301"/>
        <v>Malawi</v>
      </c>
      <c r="F454" s="12" t="s">
        <v>7738</v>
      </c>
      <c r="G454" s="12" t="s">
        <v>379</v>
      </c>
      <c r="H454" s="12" t="s">
        <v>383</v>
      </c>
      <c r="I454" s="12" t="s">
        <v>384</v>
      </c>
      <c r="J454" s="281" t="s">
        <v>14714</v>
      </c>
      <c r="K454" s="12"/>
      <c r="L454" s="12"/>
      <c r="M454" s="12"/>
      <c r="N454" s="12"/>
      <c r="O454" s="12"/>
      <c r="P454" s="12"/>
      <c r="Q454" s="12"/>
      <c r="R454" s="12"/>
      <c r="S454" s="12"/>
      <c r="T454" s="12"/>
      <c r="U454" s="12"/>
      <c r="V454" s="12"/>
      <c r="W454" s="12"/>
      <c r="X454" s="12"/>
      <c r="Y454" s="12"/>
      <c r="Z454" s="12"/>
      <c r="AA454" s="12"/>
      <c r="AB454" s="12"/>
      <c r="AC454" s="12"/>
      <c r="AD454" s="12"/>
      <c r="BD454" s="13">
        <v>42430</v>
      </c>
      <c r="BE454" s="13">
        <v>43525</v>
      </c>
      <c r="BF454" s="12"/>
      <c r="BG454" s="12" t="s">
        <v>749</v>
      </c>
      <c r="BH454" s="14">
        <v>225086</v>
      </c>
      <c r="BI454" s="12" t="s">
        <v>7456</v>
      </c>
      <c r="BJ454" s="12" t="s">
        <v>2675</v>
      </c>
      <c r="BK454" s="12" t="s">
        <v>7458</v>
      </c>
      <c r="BL454" s="12" t="s">
        <v>7454</v>
      </c>
      <c r="BM454" s="12" t="s">
        <v>354</v>
      </c>
      <c r="BN454" s="12" t="s">
        <v>7455</v>
      </c>
      <c r="BO454" s="12" t="s">
        <v>319</v>
      </c>
      <c r="BP454" s="12" t="s">
        <v>320</v>
      </c>
      <c r="BQ454" s="12" t="s">
        <v>319</v>
      </c>
      <c r="BR454" s="12" t="s">
        <v>7739</v>
      </c>
      <c r="BS454" s="12" t="s">
        <v>357</v>
      </c>
      <c r="BT454" s="12" t="s">
        <v>7740</v>
      </c>
      <c r="BU454" s="12" t="s">
        <v>7461</v>
      </c>
      <c r="BV454" s="14">
        <v>4147</v>
      </c>
      <c r="BW454" s="14">
        <v>353</v>
      </c>
      <c r="BX454" s="14">
        <v>4500</v>
      </c>
      <c r="BY454" s="14">
        <v>20735</v>
      </c>
      <c r="BZ454" s="14">
        <v>1765</v>
      </c>
      <c r="CA454" s="14">
        <v>22500</v>
      </c>
      <c r="CB454" s="12" t="s">
        <v>7741</v>
      </c>
      <c r="CD454" s="14"/>
      <c r="CE454" s="14"/>
      <c r="CF454" s="14"/>
      <c r="CG454" s="14"/>
      <c r="CH454" s="14"/>
      <c r="CI454" s="14"/>
      <c r="CJ454" s="12"/>
      <c r="CK454" s="14"/>
      <c r="CL454" s="16"/>
      <c r="CM454" s="14"/>
      <c r="CN454" s="12"/>
      <c r="CO454" s="14"/>
      <c r="CP454" s="16"/>
      <c r="CQ454" s="14"/>
      <c r="CR454" s="12"/>
      <c r="CS454" s="14"/>
      <c r="CT454" s="16"/>
      <c r="CU454" s="14"/>
      <c r="CV454" s="12"/>
      <c r="CW454" s="14"/>
      <c r="CX454" s="16"/>
      <c r="CY454" s="14"/>
      <c r="CZ454" s="12"/>
      <c r="DA454" s="14"/>
      <c r="DB454" s="16"/>
      <c r="DC454" s="14"/>
      <c r="DD454" s="12"/>
      <c r="DE454" s="14"/>
      <c r="DF454" s="16"/>
      <c r="DG454" s="14"/>
      <c r="DH454" s="12"/>
      <c r="DI454" s="14"/>
      <c r="DJ454" s="16"/>
      <c r="DK454" s="14"/>
      <c r="DL454" s="12"/>
      <c r="DM454" s="14"/>
      <c r="DN454" s="16"/>
      <c r="DO454" s="14"/>
      <c r="DP454" s="12"/>
      <c r="DQ454" s="14"/>
      <c r="DR454" s="16"/>
      <c r="DS454" s="14"/>
      <c r="DT454" s="12"/>
      <c r="DU454" s="14"/>
      <c r="DV454" s="16"/>
      <c r="DW454" s="14"/>
      <c r="DX454" s="12"/>
      <c r="DY454" s="14"/>
      <c r="DZ454" s="16"/>
      <c r="EA454" s="14"/>
      <c r="EB454" s="12"/>
      <c r="EC454" s="14"/>
      <c r="ED454" s="16"/>
      <c r="EE454" s="14"/>
      <c r="EF454" s="12"/>
      <c r="EG454" s="12"/>
      <c r="EH454" s="14"/>
      <c r="EI454" s="16"/>
      <c r="EJ454" s="14"/>
      <c r="EK454" s="14">
        <v>4147</v>
      </c>
      <c r="EL454" s="14">
        <v>353</v>
      </c>
      <c r="EM454" s="14">
        <v>4500</v>
      </c>
      <c r="EN454" s="14">
        <v>20735</v>
      </c>
      <c r="EO454" s="14">
        <v>1765</v>
      </c>
      <c r="EP454" s="14">
        <v>22500</v>
      </c>
      <c r="EQ454" s="12" t="s">
        <v>320</v>
      </c>
      <c r="ER454" s="14">
        <v>4500</v>
      </c>
      <c r="ES454" s="16">
        <v>0.92</v>
      </c>
      <c r="ET454" s="14">
        <v>22500</v>
      </c>
      <c r="EU454" s="11" t="s">
        <v>320</v>
      </c>
      <c r="EV454" s="14">
        <v>4500</v>
      </c>
      <c r="EW454" s="16">
        <v>0.92</v>
      </c>
      <c r="EX454" s="14">
        <v>22500</v>
      </c>
      <c r="EY454" s="12" t="s">
        <v>319</v>
      </c>
      <c r="EZ454" s="14"/>
      <c r="FA454" s="16"/>
      <c r="FB454" s="14"/>
      <c r="FC454" s="12" t="s">
        <v>320</v>
      </c>
      <c r="FD454" s="14"/>
      <c r="FE454" s="16"/>
      <c r="FF454" s="14"/>
      <c r="FG454" s="12" t="s">
        <v>320</v>
      </c>
      <c r="FH454" s="14">
        <v>4500</v>
      </c>
      <c r="FI454" s="16">
        <v>0.92</v>
      </c>
      <c r="FJ454" s="14">
        <v>22500</v>
      </c>
      <c r="FK454" s="12" t="s">
        <v>319</v>
      </c>
      <c r="FL454" s="14"/>
      <c r="FM454" s="16"/>
      <c r="FN454" s="14"/>
      <c r="FO454" s="12" t="s">
        <v>320</v>
      </c>
      <c r="FP454" s="14">
        <v>4500</v>
      </c>
      <c r="FQ454" s="16">
        <v>0.92</v>
      </c>
      <c r="FR454" s="14">
        <v>22500</v>
      </c>
      <c r="FS454" s="12" t="s">
        <v>320</v>
      </c>
      <c r="FT454" s="14">
        <v>4500</v>
      </c>
      <c r="FU454" s="16">
        <v>0.92</v>
      </c>
      <c r="FV454" s="14">
        <v>22500</v>
      </c>
      <c r="FW454" s="11" t="s">
        <v>320</v>
      </c>
      <c r="FX454" s="14">
        <v>4500</v>
      </c>
      <c r="FY454" s="16">
        <v>0.92</v>
      </c>
      <c r="FZ454" s="14">
        <v>22500</v>
      </c>
      <c r="GA454" s="12" t="s">
        <v>319</v>
      </c>
      <c r="GB454" s="14"/>
      <c r="GC454" s="16"/>
      <c r="GD454" s="14"/>
      <c r="GE454" s="12" t="s">
        <v>319</v>
      </c>
      <c r="GF454" s="14"/>
      <c r="GG454" s="16"/>
      <c r="GH454" s="14"/>
      <c r="GI454" s="11" t="s">
        <v>320</v>
      </c>
      <c r="GJ454" s="14">
        <v>4500</v>
      </c>
      <c r="GK454" s="16">
        <v>0.92</v>
      </c>
      <c r="GL454" s="14">
        <v>22500</v>
      </c>
      <c r="GM454" s="11" t="s">
        <v>320</v>
      </c>
      <c r="GN454" s="14">
        <v>4500</v>
      </c>
      <c r="GO454" s="16">
        <v>0.92</v>
      </c>
      <c r="GP454" s="14">
        <v>22500</v>
      </c>
      <c r="GQ454" s="12"/>
      <c r="GR454" s="14"/>
      <c r="GS454" s="16"/>
      <c r="GT454" s="14"/>
      <c r="GU454" s="12"/>
      <c r="GV454" s="14"/>
      <c r="GW454" s="16"/>
      <c r="GX454" s="14"/>
      <c r="GY454" s="11" t="s">
        <v>320</v>
      </c>
      <c r="GZ454" s="14">
        <v>4500</v>
      </c>
      <c r="HA454" s="16">
        <v>0.92</v>
      </c>
      <c r="HB454" s="14">
        <v>22500</v>
      </c>
      <c r="HC454" s="12"/>
      <c r="HD454" s="12"/>
      <c r="HE454" s="14"/>
      <c r="HF454" s="16"/>
      <c r="HG454" s="14"/>
      <c r="HH454" s="12" t="s">
        <v>320</v>
      </c>
      <c r="HI454" s="12" t="s">
        <v>451</v>
      </c>
      <c r="HJ454" s="12">
        <v>2016</v>
      </c>
      <c r="HK454" s="12" t="s">
        <v>320</v>
      </c>
      <c r="HL454" s="12" t="s">
        <v>319</v>
      </c>
      <c r="HM454" s="12"/>
      <c r="HN454" s="12"/>
      <c r="HO454" s="12" t="s">
        <v>7742</v>
      </c>
      <c r="HP454" s="12" t="s">
        <v>418</v>
      </c>
      <c r="HQ454" s="12" t="s">
        <v>319</v>
      </c>
      <c r="HR454" s="12" t="s">
        <v>319</v>
      </c>
      <c r="HS454" s="12" t="s">
        <v>319</v>
      </c>
      <c r="HT454" s="12" t="s">
        <v>319</v>
      </c>
      <c r="HU454" s="12" t="s">
        <v>319</v>
      </c>
      <c r="HV454" s="12" t="s">
        <v>319</v>
      </c>
      <c r="HW454" s="12" t="s">
        <v>319</v>
      </c>
      <c r="HX454" s="12" t="s">
        <v>319</v>
      </c>
      <c r="HY454" s="12"/>
      <c r="HZ454" s="12" t="s">
        <v>394</v>
      </c>
      <c r="IA454" s="12" t="s">
        <v>7743</v>
      </c>
      <c r="IB454" s="12" t="s">
        <v>396</v>
      </c>
      <c r="IC454" s="12" t="s">
        <v>7744</v>
      </c>
      <c r="ID454" s="12" t="s">
        <v>334</v>
      </c>
      <c r="IE454" s="12" t="s">
        <v>478</v>
      </c>
      <c r="IF454" s="12" t="s">
        <v>320</v>
      </c>
      <c r="IG454" s="12" t="s">
        <v>320</v>
      </c>
      <c r="IH454" s="12" t="s">
        <v>320</v>
      </c>
      <c r="II454" s="12" t="s">
        <v>320</v>
      </c>
      <c r="IJ454" s="12" t="str">
        <f t="shared" si="302"/>
        <v>4. Transformative</v>
      </c>
      <c r="IK454" s="12">
        <f t="shared" si="303"/>
        <v>4</v>
      </c>
      <c r="IL454" s="12" t="s">
        <v>336</v>
      </c>
      <c r="IM454" s="12" t="s">
        <v>319</v>
      </c>
      <c r="IN454" s="12" t="s">
        <v>320</v>
      </c>
      <c r="IO454" s="12" t="s">
        <v>320</v>
      </c>
      <c r="IP454" s="12" t="s">
        <v>319</v>
      </c>
      <c r="IQ454" s="12" t="str">
        <f t="shared" si="304"/>
        <v>1. Tokenistic</v>
      </c>
      <c r="IR454" s="12">
        <f t="shared" si="305"/>
        <v>2</v>
      </c>
      <c r="IS454" s="12" t="s">
        <v>622</v>
      </c>
      <c r="IT454" s="12" t="s">
        <v>320</v>
      </c>
      <c r="IU454" s="12" t="s">
        <v>320</v>
      </c>
      <c r="IV454" s="12" t="s">
        <v>320</v>
      </c>
      <c r="IW454" s="11" t="str">
        <f t="shared" si="306"/>
        <v>4. Transformative</v>
      </c>
      <c r="IX454" s="12">
        <f t="shared" si="307"/>
        <v>3</v>
      </c>
      <c r="IY454" s="12" t="s">
        <v>419</v>
      </c>
      <c r="IZ454" s="12" t="s">
        <v>432</v>
      </c>
      <c r="JA454" s="12">
        <v>2</v>
      </c>
      <c r="JB454" s="12" t="s">
        <v>585</v>
      </c>
      <c r="JC454" s="12" t="s">
        <v>623</v>
      </c>
      <c r="JD454" s="12"/>
      <c r="JE454" s="12" t="s">
        <v>420</v>
      </c>
      <c r="JF454" s="12"/>
      <c r="JG454" s="12"/>
      <c r="JH454" s="12" t="s">
        <v>7745</v>
      </c>
      <c r="JI454" s="12"/>
      <c r="JJ454" s="12"/>
      <c r="JK454" s="12" t="s">
        <v>7746</v>
      </c>
      <c r="JL454" s="12" t="s">
        <v>7747</v>
      </c>
      <c r="JM454" s="12"/>
      <c r="JN454" s="12" t="s">
        <v>7748</v>
      </c>
      <c r="JO454" s="12"/>
      <c r="JP454" s="15">
        <f t="shared" si="308"/>
        <v>4500</v>
      </c>
      <c r="JQ454" s="15">
        <f t="shared" si="309"/>
        <v>22500</v>
      </c>
      <c r="JR454" s="279">
        <f t="shared" si="310"/>
        <v>5</v>
      </c>
      <c r="JS454" s="17">
        <f t="shared" si="311"/>
        <v>0.92155555555555557</v>
      </c>
      <c r="JT454" s="18">
        <f t="shared" si="312"/>
        <v>0.92155555555555557</v>
      </c>
      <c r="JU454" s="280">
        <f t="shared" si="313"/>
        <v>4147</v>
      </c>
      <c r="JV454" s="280">
        <f t="shared" si="314"/>
        <v>20735</v>
      </c>
      <c r="JW454" s="319" t="str">
        <f t="shared" si="315"/>
        <v/>
      </c>
      <c r="JX454" s="15">
        <f t="shared" si="316"/>
        <v>0</v>
      </c>
      <c r="JY454" s="15">
        <f t="shared" si="317"/>
        <v>0</v>
      </c>
      <c r="JZ454" s="19" t="str">
        <f t="shared" si="318"/>
        <v/>
      </c>
      <c r="KA454" s="52">
        <f t="shared" si="319"/>
        <v>1</v>
      </c>
      <c r="KB454" s="15">
        <f t="shared" si="320"/>
        <v>4500</v>
      </c>
      <c r="KC454" s="15">
        <f t="shared" si="321"/>
        <v>22500</v>
      </c>
      <c r="KD454" s="20">
        <f t="shared" si="322"/>
        <v>5</v>
      </c>
      <c r="KE454" s="52" t="str">
        <f t="shared" si="323"/>
        <v/>
      </c>
      <c r="KF454" s="15">
        <f t="shared" si="324"/>
        <v>0</v>
      </c>
      <c r="KG454" s="15">
        <f t="shared" si="325"/>
        <v>0</v>
      </c>
      <c r="KH454" s="21" t="str">
        <f t="shared" si="326"/>
        <v/>
      </c>
      <c r="KI454" s="52">
        <f t="shared" si="327"/>
        <v>1</v>
      </c>
      <c r="KJ454" s="15">
        <f t="shared" si="328"/>
        <v>4500</v>
      </c>
      <c r="KK454" s="15">
        <f t="shared" si="329"/>
        <v>22500</v>
      </c>
      <c r="KL454" s="19">
        <f t="shared" si="330"/>
        <v>5</v>
      </c>
      <c r="KM454" s="52">
        <f t="shared" si="331"/>
        <v>1</v>
      </c>
      <c r="KN454" s="22">
        <f t="shared" si="332"/>
        <v>4500</v>
      </c>
      <c r="KO454" s="22">
        <f t="shared" si="333"/>
        <v>22500</v>
      </c>
      <c r="KP454" s="19">
        <f t="shared" si="334"/>
        <v>5</v>
      </c>
      <c r="KQ454" s="11" t="str">
        <f t="shared" si="335"/>
        <v>4. Transformative</v>
      </c>
      <c r="KR454" s="11" t="str">
        <f t="shared" si="336"/>
        <v>1. Tokenistic</v>
      </c>
      <c r="KS454" s="11" t="str">
        <f t="shared" si="337"/>
        <v>4. Transformative</v>
      </c>
      <c r="KT454" s="11" t="str">
        <f t="shared" si="338"/>
        <v>It tested new ways for fighting poverty, but did not measure results of innovation</v>
      </c>
      <c r="KU454" s="11" t="str">
        <f t="shared" si="339"/>
        <v>Little or no advocacy</v>
      </c>
      <c r="KV454" s="11" t="str">
        <f t="shared" si="340"/>
        <v>It linked and worked with strategic alliances and partners to take tested and effective solutions to scale</v>
      </c>
      <c r="KW454" s="11" t="str">
        <f t="shared" si="341"/>
        <v>Malawi - Water Smart Agriculture Initiative (WaSA)</v>
      </c>
      <c r="KX454" s="11" t="str">
        <f t="shared" si="342"/>
        <v>Water Smart Agriculture Initiative (WaSA)</v>
      </c>
      <c r="KY454" s="11" t="str">
        <f t="shared" si="343"/>
        <v>Malawi</v>
      </c>
      <c r="KZ454" s="12">
        <v>454</v>
      </c>
    </row>
    <row r="455" spans="1:312" x14ac:dyDescent="0.3">
      <c r="A455" s="11" t="s">
        <v>7835</v>
      </c>
      <c r="B455" s="11" t="s">
        <v>1596</v>
      </c>
      <c r="D455" s="11" t="s">
        <v>8099</v>
      </c>
      <c r="E455" s="277" t="str">
        <f t="shared" si="301"/>
        <v>Mali</v>
      </c>
      <c r="F455" s="11" t="s">
        <v>8100</v>
      </c>
      <c r="G455" s="11" t="s">
        <v>608</v>
      </c>
      <c r="H455" s="11" t="s">
        <v>384</v>
      </c>
      <c r="I455" s="11" t="s">
        <v>381</v>
      </c>
      <c r="J455" s="278" t="s">
        <v>7763</v>
      </c>
      <c r="BD455" s="23">
        <v>42430</v>
      </c>
      <c r="BE455" s="23">
        <v>42735</v>
      </c>
      <c r="BG455" s="23" t="s">
        <v>908</v>
      </c>
      <c r="BH455" s="22">
        <v>685470</v>
      </c>
      <c r="BI455" s="11" t="s">
        <v>7879</v>
      </c>
      <c r="BJ455" s="11" t="s">
        <v>7880</v>
      </c>
      <c r="BK455" s="11" t="s">
        <v>7881</v>
      </c>
      <c r="BL455" s="11" t="s">
        <v>7882</v>
      </c>
      <c r="BM455" s="11" t="s">
        <v>7883</v>
      </c>
      <c r="BN455" s="11" t="s">
        <v>7884</v>
      </c>
      <c r="BO455" s="11" t="s">
        <v>320</v>
      </c>
      <c r="BP455" s="11" t="s">
        <v>319</v>
      </c>
      <c r="BQ455" s="11" t="s">
        <v>319</v>
      </c>
      <c r="BR455" s="11" t="s">
        <v>8101</v>
      </c>
      <c r="BS455" s="11" t="s">
        <v>357</v>
      </c>
      <c r="BT455" s="11" t="s">
        <v>7886</v>
      </c>
      <c r="BU455" s="11" t="s">
        <v>8102</v>
      </c>
      <c r="BV455" s="22">
        <v>2600</v>
      </c>
      <c r="BW455" s="22">
        <v>6069</v>
      </c>
      <c r="BX455" s="22">
        <v>8669</v>
      </c>
      <c r="BY455" s="22">
        <v>26265</v>
      </c>
      <c r="BZ455" s="22">
        <v>25748</v>
      </c>
      <c r="CA455" s="22">
        <v>52013</v>
      </c>
      <c r="CB455" s="15" t="s">
        <v>7888</v>
      </c>
      <c r="CD455" s="22">
        <v>2600</v>
      </c>
      <c r="CE455" s="22">
        <v>6069</v>
      </c>
      <c r="CF455" s="22">
        <v>8669</v>
      </c>
      <c r="CG455" s="22">
        <v>26265</v>
      </c>
      <c r="CH455" s="22">
        <v>25748</v>
      </c>
      <c r="CI455" s="22">
        <v>52013</v>
      </c>
      <c r="CJ455" s="12" t="s">
        <v>319</v>
      </c>
      <c r="CK455" s="40"/>
      <c r="CL455" s="41"/>
      <c r="CM455" s="40"/>
      <c r="CN455" s="12" t="s">
        <v>320</v>
      </c>
      <c r="CO455" s="14">
        <v>8669</v>
      </c>
      <c r="CP455" s="41">
        <v>0.3</v>
      </c>
      <c r="CQ455" s="14">
        <v>52013</v>
      </c>
      <c r="CR455" s="12" t="s">
        <v>319</v>
      </c>
      <c r="CS455" s="40"/>
      <c r="CT455" s="41"/>
      <c r="CU455" s="40"/>
      <c r="CV455" s="12" t="s">
        <v>320</v>
      </c>
      <c r="CW455" s="14">
        <v>8669</v>
      </c>
      <c r="CX455" s="41">
        <v>0.3</v>
      </c>
      <c r="CY455" s="14">
        <v>52013</v>
      </c>
      <c r="CZ455" s="12" t="s">
        <v>319</v>
      </c>
      <c r="DA455" s="40"/>
      <c r="DB455" s="41"/>
      <c r="DC455" s="40"/>
      <c r="DD455" s="12" t="s">
        <v>319</v>
      </c>
      <c r="DE455" s="40"/>
      <c r="DF455" s="41"/>
      <c r="DG455" s="40"/>
      <c r="DH455" s="12" t="s">
        <v>319</v>
      </c>
      <c r="DI455" s="40"/>
      <c r="DJ455" s="41"/>
      <c r="DK455" s="40"/>
      <c r="DL455" s="12" t="s">
        <v>319</v>
      </c>
      <c r="DM455" s="40"/>
      <c r="DN455" s="41"/>
      <c r="DO455" s="40"/>
      <c r="DP455" s="12" t="s">
        <v>319</v>
      </c>
      <c r="DQ455" s="40"/>
      <c r="DR455" s="41"/>
      <c r="DS455" s="40"/>
      <c r="DT455" s="12" t="s">
        <v>319</v>
      </c>
      <c r="DU455" s="40"/>
      <c r="DV455" s="41"/>
      <c r="DW455" s="40"/>
      <c r="DX455" s="12" t="s">
        <v>319</v>
      </c>
      <c r="DY455" s="40"/>
      <c r="DZ455" s="41"/>
      <c r="EA455" s="40"/>
      <c r="EB455" s="12" t="s">
        <v>319</v>
      </c>
      <c r="EC455" s="40"/>
      <c r="ED455" s="41"/>
      <c r="EE455" s="40"/>
      <c r="EF455" s="39"/>
      <c r="EG455" s="39"/>
      <c r="EH455" s="40"/>
      <c r="EI455" s="41"/>
      <c r="EJ455" s="40"/>
      <c r="EK455" s="40"/>
      <c r="EL455" s="40"/>
      <c r="EM455" s="40"/>
      <c r="EN455" s="40"/>
      <c r="EO455" s="40"/>
      <c r="EP455" s="40"/>
      <c r="EQ455" s="39"/>
      <c r="ER455" s="40"/>
      <c r="ES455" s="41"/>
      <c r="ET455" s="40"/>
      <c r="EU455" s="39"/>
      <c r="EV455" s="40"/>
      <c r="EW455" s="41"/>
      <c r="EX455" s="40"/>
      <c r="EY455" s="39"/>
      <c r="EZ455" s="40"/>
      <c r="FA455" s="41"/>
      <c r="FB455" s="40"/>
      <c r="FC455" s="39"/>
      <c r="FD455" s="40"/>
      <c r="FE455" s="41"/>
      <c r="FF455" s="40"/>
      <c r="FG455" s="39"/>
      <c r="FH455" s="40"/>
      <c r="FI455" s="41"/>
      <c r="FJ455" s="40"/>
      <c r="FK455" s="39"/>
      <c r="FL455" s="40"/>
      <c r="FM455" s="41"/>
      <c r="FN455" s="40"/>
      <c r="FO455" s="39"/>
      <c r="FP455" s="40"/>
      <c r="FQ455" s="41"/>
      <c r="FR455" s="40"/>
      <c r="FS455" s="39"/>
      <c r="FT455" s="40"/>
      <c r="FU455" s="41"/>
      <c r="FV455" s="40"/>
      <c r="FW455" s="39"/>
      <c r="FX455" s="40"/>
      <c r="FY455" s="41"/>
      <c r="FZ455" s="40"/>
      <c r="GA455" s="39"/>
      <c r="GB455" s="40"/>
      <c r="GC455" s="41"/>
      <c r="GD455" s="40"/>
      <c r="GE455" s="39"/>
      <c r="GF455" s="40"/>
      <c r="GG455" s="41"/>
      <c r="GH455" s="40"/>
      <c r="GI455" s="39"/>
      <c r="GJ455" s="40"/>
      <c r="GK455" s="41"/>
      <c r="GL455" s="40"/>
      <c r="GM455" s="39"/>
      <c r="GN455" s="40"/>
      <c r="GO455" s="41"/>
      <c r="GP455" s="40"/>
      <c r="GQ455" s="39"/>
      <c r="GR455" s="40"/>
      <c r="GS455" s="41"/>
      <c r="GT455" s="40"/>
      <c r="GU455" s="39"/>
      <c r="GV455" s="40"/>
      <c r="GW455" s="41"/>
      <c r="GX455" s="40"/>
      <c r="GY455" s="39"/>
      <c r="GZ455" s="40"/>
      <c r="HA455" s="41"/>
      <c r="HB455" s="40"/>
      <c r="HF455" s="18"/>
      <c r="HH455" s="11" t="s">
        <v>320</v>
      </c>
      <c r="HI455" s="11" t="s">
        <v>361</v>
      </c>
      <c r="HJ455" s="11">
        <v>2016</v>
      </c>
      <c r="HK455" s="11" t="s">
        <v>320</v>
      </c>
      <c r="HL455" s="11" t="s">
        <v>319</v>
      </c>
      <c r="HO455" s="11" t="s">
        <v>7889</v>
      </c>
      <c r="HP455" s="11" t="s">
        <v>418</v>
      </c>
      <c r="HQ455" s="11" t="s">
        <v>319</v>
      </c>
      <c r="HR455" s="11" t="s">
        <v>319</v>
      </c>
      <c r="HS455" s="11" t="s">
        <v>319</v>
      </c>
      <c r="HT455" s="11" t="s">
        <v>319</v>
      </c>
      <c r="HU455" s="11" t="s">
        <v>319</v>
      </c>
      <c r="HV455" s="11" t="s">
        <v>319</v>
      </c>
      <c r="HW455" s="11" t="s">
        <v>319</v>
      </c>
      <c r="HX455" s="11" t="s">
        <v>320</v>
      </c>
      <c r="HY455" s="11" t="s">
        <v>7890</v>
      </c>
      <c r="HZ455" s="11" t="s">
        <v>363</v>
      </c>
      <c r="IB455" s="12" t="s">
        <v>333</v>
      </c>
      <c r="IC455" s="11" t="s">
        <v>8103</v>
      </c>
      <c r="ID455" s="11" t="s">
        <v>364</v>
      </c>
      <c r="IE455" s="12" t="s">
        <v>478</v>
      </c>
      <c r="IF455" s="11" t="s">
        <v>320</v>
      </c>
      <c r="IG455" s="11" t="s">
        <v>319</v>
      </c>
      <c r="IH455" s="11" t="s">
        <v>320</v>
      </c>
      <c r="II455" s="11" t="s">
        <v>320</v>
      </c>
      <c r="IJ455" s="12" t="str">
        <f t="shared" si="302"/>
        <v>3. Responsive</v>
      </c>
      <c r="IK455" s="12">
        <f t="shared" si="303"/>
        <v>3</v>
      </c>
      <c r="IL455" s="12" t="s">
        <v>336</v>
      </c>
      <c r="IM455" s="11" t="s">
        <v>319</v>
      </c>
      <c r="IN455" s="11" t="s">
        <v>320</v>
      </c>
      <c r="IO455" s="11" t="s">
        <v>320</v>
      </c>
      <c r="IP455" s="11" t="s">
        <v>320</v>
      </c>
      <c r="IQ455" s="12" t="str">
        <f t="shared" si="304"/>
        <v>2. Accommodating</v>
      </c>
      <c r="IR455" s="12">
        <f t="shared" si="305"/>
        <v>3</v>
      </c>
      <c r="IS455" s="12" t="s">
        <v>337</v>
      </c>
      <c r="IT455" s="11" t="s">
        <v>320</v>
      </c>
      <c r="IU455" s="11" t="s">
        <v>319</v>
      </c>
      <c r="IV455" s="11" t="s">
        <v>319</v>
      </c>
      <c r="IW455" s="11" t="str">
        <f t="shared" si="306"/>
        <v>1. Neutral</v>
      </c>
      <c r="IX455" s="12">
        <f t="shared" si="307"/>
        <v>1</v>
      </c>
      <c r="IY455" s="11" t="s">
        <v>419</v>
      </c>
      <c r="IZ455" s="11" t="s">
        <v>457</v>
      </c>
      <c r="JA455" s="11">
        <v>2</v>
      </c>
      <c r="JB455" s="11" t="s">
        <v>433</v>
      </c>
      <c r="JE455" s="12" t="s">
        <v>365</v>
      </c>
      <c r="JF455" s="11" t="s">
        <v>7893</v>
      </c>
      <c r="JG455" s="11" t="s">
        <v>8104</v>
      </c>
      <c r="JH455" s="11" t="s">
        <v>8105</v>
      </c>
      <c r="JI455" s="11" t="s">
        <v>8106</v>
      </c>
      <c r="JJ455" s="11" t="s">
        <v>8107</v>
      </c>
      <c r="JK455" s="11" t="s">
        <v>8108</v>
      </c>
      <c r="JL455" s="11" t="s">
        <v>8109</v>
      </c>
      <c r="JM455" s="11" t="s">
        <v>8110</v>
      </c>
      <c r="JN455" s="11" t="s">
        <v>8111</v>
      </c>
      <c r="JO455" s="11" t="s">
        <v>8112</v>
      </c>
      <c r="JP455" s="15">
        <f t="shared" si="308"/>
        <v>8669</v>
      </c>
      <c r="JQ455" s="15">
        <f t="shared" si="309"/>
        <v>52013</v>
      </c>
      <c r="JR455" s="279">
        <f t="shared" si="310"/>
        <v>5.9998846464413429</v>
      </c>
      <c r="JS455" s="17">
        <f t="shared" si="311"/>
        <v>0.29991925250893992</v>
      </c>
      <c r="JT455" s="18">
        <f t="shared" si="312"/>
        <v>0.50496991136831182</v>
      </c>
      <c r="JU455" s="280">
        <f t="shared" si="313"/>
        <v>2600</v>
      </c>
      <c r="JV455" s="280">
        <f t="shared" si="314"/>
        <v>26265</v>
      </c>
      <c r="JW455" s="319">
        <f t="shared" si="315"/>
        <v>1</v>
      </c>
      <c r="JX455" s="15">
        <f t="shared" si="316"/>
        <v>8669</v>
      </c>
      <c r="JY455" s="15">
        <f t="shared" si="317"/>
        <v>52013</v>
      </c>
      <c r="JZ455" s="19">
        <f t="shared" si="318"/>
        <v>5.9998846464413429</v>
      </c>
      <c r="KA455" s="52">
        <f t="shared" si="319"/>
        <v>1</v>
      </c>
      <c r="KB455" s="15">
        <f t="shared" si="320"/>
        <v>8669</v>
      </c>
      <c r="KC455" s="15">
        <f t="shared" si="321"/>
        <v>52013</v>
      </c>
      <c r="KD455" s="20">
        <f t="shared" si="322"/>
        <v>5.9998846464413429</v>
      </c>
      <c r="KE455" s="52" t="str">
        <f t="shared" si="323"/>
        <v/>
      </c>
      <c r="KF455" s="15">
        <f t="shared" si="324"/>
        <v>0</v>
      </c>
      <c r="KG455" s="15">
        <f t="shared" si="325"/>
        <v>0</v>
      </c>
      <c r="KH455" s="21" t="str">
        <f t="shared" si="326"/>
        <v/>
      </c>
      <c r="KI455" s="52" t="str">
        <f t="shared" si="327"/>
        <v/>
      </c>
      <c r="KJ455" s="15">
        <f t="shared" si="328"/>
        <v>0</v>
      </c>
      <c r="KK455" s="15">
        <f t="shared" si="329"/>
        <v>0</v>
      </c>
      <c r="KL455" s="19" t="str">
        <f t="shared" si="330"/>
        <v/>
      </c>
      <c r="KM455" s="52" t="str">
        <f t="shared" si="331"/>
        <v/>
      </c>
      <c r="KN455" s="22">
        <f t="shared" si="332"/>
        <v>0</v>
      </c>
      <c r="KO455" s="22">
        <f t="shared" si="333"/>
        <v>0</v>
      </c>
      <c r="KP455" s="19" t="str">
        <f t="shared" si="334"/>
        <v/>
      </c>
      <c r="KQ455" s="11" t="str">
        <f t="shared" si="335"/>
        <v>3. Responsive</v>
      </c>
      <c r="KR455" s="11" t="str">
        <f t="shared" si="336"/>
        <v>2. Accommodating</v>
      </c>
      <c r="KS455" s="11" t="str">
        <f t="shared" si="337"/>
        <v>1. Neutral</v>
      </c>
      <c r="KT455" s="11" t="str">
        <f t="shared" si="338"/>
        <v>It did not develop any specific innovation</v>
      </c>
      <c r="KU455" s="11" t="str">
        <f t="shared" si="339"/>
        <v>Little or no advocacy</v>
      </c>
      <c r="KV455" s="11" t="str">
        <f t="shared" si="340"/>
        <v>It did not take tested solutions to scale</v>
      </c>
      <c r="KW455" s="11" t="str">
        <f t="shared" si="341"/>
        <v>Mali - Assistance Alimentaire aux Ménages Vulnérables du Projet d’Intervention Prolongée de Secours et de Redressement dans les cercles de Niafunké et de Goundam</v>
      </c>
      <c r="KX455" s="11" t="str">
        <f t="shared" si="342"/>
        <v>Assistance Alimentaire aux Ménages Vulnérables du Projet d’Intervention Prolongée de Secours et de Redressement dans les cercles de Niafunké et de Goundam</v>
      </c>
      <c r="KY455" s="11" t="str">
        <f t="shared" si="343"/>
        <v>Mali</v>
      </c>
      <c r="KZ455" s="12">
        <v>455</v>
      </c>
    </row>
    <row r="456" spans="1:312" x14ac:dyDescent="0.3">
      <c r="A456" s="11" t="s">
        <v>7835</v>
      </c>
      <c r="B456" s="11" t="s">
        <v>1596</v>
      </c>
      <c r="D456" s="11" t="s">
        <v>8099</v>
      </c>
      <c r="E456" s="277" t="str">
        <f t="shared" si="301"/>
        <v>Mali</v>
      </c>
      <c r="F456" s="11" t="s">
        <v>8113</v>
      </c>
      <c r="G456" s="11" t="s">
        <v>608</v>
      </c>
      <c r="H456" s="11" t="s">
        <v>384</v>
      </c>
      <c r="I456" s="11" t="s">
        <v>381</v>
      </c>
      <c r="J456" s="278" t="s">
        <v>7763</v>
      </c>
      <c r="BD456" s="23">
        <v>42767</v>
      </c>
      <c r="BE456" s="23">
        <v>42886</v>
      </c>
      <c r="BF456" s="23">
        <v>43008</v>
      </c>
      <c r="BG456" s="11" t="s">
        <v>908</v>
      </c>
      <c r="BH456" s="22">
        <v>337886</v>
      </c>
      <c r="BI456" s="11" t="s">
        <v>7879</v>
      </c>
      <c r="BJ456" s="11" t="s">
        <v>7880</v>
      </c>
      <c r="BK456" s="11" t="s">
        <v>7881</v>
      </c>
      <c r="BL456" s="11" t="s">
        <v>7882</v>
      </c>
      <c r="BM456" s="11" t="s">
        <v>7883</v>
      </c>
      <c r="BN456" s="11" t="s">
        <v>7884</v>
      </c>
      <c r="BO456" s="11" t="s">
        <v>320</v>
      </c>
      <c r="BP456" s="11" t="s">
        <v>319</v>
      </c>
      <c r="BQ456" s="11" t="s">
        <v>319</v>
      </c>
      <c r="BR456" s="11" t="s">
        <v>8114</v>
      </c>
      <c r="BS456" s="11" t="s">
        <v>357</v>
      </c>
      <c r="BT456" s="11" t="s">
        <v>7886</v>
      </c>
      <c r="BU456" s="11" t="s">
        <v>8102</v>
      </c>
      <c r="BV456" s="22">
        <v>2285</v>
      </c>
      <c r="BW456" s="22">
        <v>3985</v>
      </c>
      <c r="BX456" s="22">
        <v>6270</v>
      </c>
      <c r="BY456" s="22">
        <v>18998</v>
      </c>
      <c r="BZ456" s="22">
        <v>18622</v>
      </c>
      <c r="CA456" s="22">
        <v>37620</v>
      </c>
      <c r="CB456" s="15" t="s">
        <v>7888</v>
      </c>
      <c r="CD456" s="22">
        <v>2285</v>
      </c>
      <c r="CE456" s="22">
        <v>3985</v>
      </c>
      <c r="CF456" s="22">
        <v>6270</v>
      </c>
      <c r="CG456" s="22">
        <v>18998</v>
      </c>
      <c r="CH456" s="22">
        <v>18622</v>
      </c>
      <c r="CI456" s="22">
        <v>37620</v>
      </c>
      <c r="CJ456" s="12" t="s">
        <v>319</v>
      </c>
      <c r="CK456" s="40"/>
      <c r="CL456" s="41"/>
      <c r="CM456" s="40"/>
      <c r="CN456" s="12" t="s">
        <v>320</v>
      </c>
      <c r="CO456" s="14">
        <v>6270</v>
      </c>
      <c r="CP456" s="41">
        <v>0.36399999999999999</v>
      </c>
      <c r="CQ456" s="14">
        <v>37620</v>
      </c>
      <c r="CR456" s="12" t="s">
        <v>319</v>
      </c>
      <c r="CS456" s="40"/>
      <c r="CT456" s="41"/>
      <c r="CU456" s="40"/>
      <c r="CV456" s="12" t="s">
        <v>320</v>
      </c>
      <c r="CW456" s="14">
        <v>6270</v>
      </c>
      <c r="CX456" s="41">
        <v>0.36399999999999999</v>
      </c>
      <c r="CY456" s="14">
        <v>37620</v>
      </c>
      <c r="CZ456" s="12" t="s">
        <v>319</v>
      </c>
      <c r="DA456" s="40"/>
      <c r="DB456" s="41"/>
      <c r="DC456" s="40"/>
      <c r="DD456" s="12" t="s">
        <v>319</v>
      </c>
      <c r="DE456" s="40"/>
      <c r="DF456" s="41"/>
      <c r="DG456" s="40"/>
      <c r="DH456" s="12" t="s">
        <v>319</v>
      </c>
      <c r="DI456" s="40"/>
      <c r="DJ456" s="41"/>
      <c r="DK456" s="40"/>
      <c r="DL456" s="12" t="s">
        <v>319</v>
      </c>
      <c r="DM456" s="40"/>
      <c r="DN456" s="41"/>
      <c r="DO456" s="40"/>
      <c r="DP456" s="12" t="s">
        <v>319</v>
      </c>
      <c r="DQ456" s="40"/>
      <c r="DR456" s="41"/>
      <c r="DS456" s="40"/>
      <c r="DT456" s="12" t="s">
        <v>319</v>
      </c>
      <c r="DU456" s="40"/>
      <c r="DV456" s="41"/>
      <c r="DW456" s="40"/>
      <c r="DX456" s="12" t="s">
        <v>319</v>
      </c>
      <c r="DY456" s="40"/>
      <c r="DZ456" s="41"/>
      <c r="EA456" s="40"/>
      <c r="EB456" s="12" t="s">
        <v>319</v>
      </c>
      <c r="EC456" s="40"/>
      <c r="ED456" s="41"/>
      <c r="EE456" s="40"/>
      <c r="EF456" s="39"/>
      <c r="EG456" s="39"/>
      <c r="EH456" s="40"/>
      <c r="EI456" s="41"/>
      <c r="EJ456" s="40"/>
      <c r="EK456" s="40"/>
      <c r="EL456" s="40"/>
      <c r="EM456" s="40"/>
      <c r="EN456" s="40"/>
      <c r="EO456" s="40"/>
      <c r="EP456" s="40"/>
      <c r="EQ456" s="39"/>
      <c r="ER456" s="40"/>
      <c r="ES456" s="41"/>
      <c r="ET456" s="40"/>
      <c r="EU456" s="39"/>
      <c r="EV456" s="40"/>
      <c r="EW456" s="41"/>
      <c r="EX456" s="40"/>
      <c r="EY456" s="39"/>
      <c r="EZ456" s="40"/>
      <c r="FA456" s="41"/>
      <c r="FB456" s="40"/>
      <c r="FC456" s="39"/>
      <c r="FD456" s="40"/>
      <c r="FE456" s="41"/>
      <c r="FF456" s="40"/>
      <c r="FG456" s="39"/>
      <c r="FH456" s="40"/>
      <c r="FI456" s="41"/>
      <c r="FJ456" s="40"/>
      <c r="FK456" s="39"/>
      <c r="FL456" s="40"/>
      <c r="FM456" s="41"/>
      <c r="FN456" s="40"/>
      <c r="FO456" s="39"/>
      <c r="FP456" s="40"/>
      <c r="FQ456" s="41"/>
      <c r="FR456" s="40"/>
      <c r="FS456" s="39"/>
      <c r="FT456" s="40"/>
      <c r="FU456" s="41"/>
      <c r="FV456" s="40"/>
      <c r="FW456" s="39"/>
      <c r="FX456" s="40"/>
      <c r="FY456" s="41"/>
      <c r="FZ456" s="40"/>
      <c r="GA456" s="39"/>
      <c r="GB456" s="40"/>
      <c r="GC456" s="41"/>
      <c r="GD456" s="40"/>
      <c r="GE456" s="39"/>
      <c r="GF456" s="40"/>
      <c r="GG456" s="41"/>
      <c r="GH456" s="40"/>
      <c r="GI456" s="39"/>
      <c r="GJ456" s="40"/>
      <c r="GK456" s="41"/>
      <c r="GL456" s="40"/>
      <c r="GM456" s="39"/>
      <c r="GN456" s="40"/>
      <c r="GO456" s="41"/>
      <c r="GP456" s="40"/>
      <c r="GQ456" s="39"/>
      <c r="GR456" s="40"/>
      <c r="GS456" s="41"/>
      <c r="GT456" s="40"/>
      <c r="GU456" s="39"/>
      <c r="GV456" s="40"/>
      <c r="GW456" s="41"/>
      <c r="GX456" s="40"/>
      <c r="GY456" s="39"/>
      <c r="GZ456" s="40"/>
      <c r="HA456" s="41"/>
      <c r="HB456" s="40"/>
      <c r="HF456" s="18"/>
      <c r="HH456" s="11" t="s">
        <v>319</v>
      </c>
      <c r="HK456" s="11" t="s">
        <v>319</v>
      </c>
      <c r="HL456" s="11" t="s">
        <v>320</v>
      </c>
      <c r="HM456" s="11" t="s">
        <v>619</v>
      </c>
      <c r="HN456" s="11">
        <v>2017</v>
      </c>
      <c r="HO456" s="11" t="s">
        <v>8115</v>
      </c>
      <c r="HP456" s="11" t="s">
        <v>418</v>
      </c>
      <c r="HQ456" s="11" t="s">
        <v>319</v>
      </c>
      <c r="HR456" s="11" t="s">
        <v>319</v>
      </c>
      <c r="HS456" s="11" t="s">
        <v>319</v>
      </c>
      <c r="HT456" s="11" t="s">
        <v>319</v>
      </c>
      <c r="HU456" s="11" t="s">
        <v>319</v>
      </c>
      <c r="HV456" s="11" t="s">
        <v>319</v>
      </c>
      <c r="HW456" s="11" t="s">
        <v>319</v>
      </c>
      <c r="HX456" s="11" t="s">
        <v>320</v>
      </c>
      <c r="HY456" s="11" t="s">
        <v>7890</v>
      </c>
      <c r="HZ456" s="11" t="s">
        <v>363</v>
      </c>
      <c r="IB456" s="12" t="s">
        <v>333</v>
      </c>
      <c r="ID456" s="11" t="s">
        <v>364</v>
      </c>
      <c r="IE456" s="12" t="s">
        <v>478</v>
      </c>
      <c r="IF456" s="11" t="s">
        <v>320</v>
      </c>
      <c r="IG456" s="11" t="s">
        <v>319</v>
      </c>
      <c r="IH456" s="11" t="s">
        <v>320</v>
      </c>
      <c r="II456" s="11" t="s">
        <v>320</v>
      </c>
      <c r="IJ456" s="12" t="str">
        <f t="shared" si="302"/>
        <v>3. Responsive</v>
      </c>
      <c r="IK456" s="12">
        <f t="shared" si="303"/>
        <v>3</v>
      </c>
      <c r="IL456" s="12" t="s">
        <v>336</v>
      </c>
      <c r="IM456" s="11" t="s">
        <v>319</v>
      </c>
      <c r="IN456" s="11" t="s">
        <v>320</v>
      </c>
      <c r="IO456" s="11" t="s">
        <v>320</v>
      </c>
      <c r="IP456" s="11" t="s">
        <v>320</v>
      </c>
      <c r="IQ456" s="12" t="str">
        <f t="shared" si="304"/>
        <v>2. Accommodating</v>
      </c>
      <c r="IR456" s="12">
        <f t="shared" si="305"/>
        <v>3</v>
      </c>
      <c r="IS456" s="12" t="s">
        <v>337</v>
      </c>
      <c r="IT456" s="11" t="s">
        <v>320</v>
      </c>
      <c r="IU456" s="11" t="s">
        <v>319</v>
      </c>
      <c r="IV456" s="11" t="s">
        <v>319</v>
      </c>
      <c r="IW456" s="11" t="str">
        <f t="shared" si="306"/>
        <v>1. Neutral</v>
      </c>
      <c r="IX456" s="12">
        <f t="shared" si="307"/>
        <v>1</v>
      </c>
      <c r="IY456" s="11" t="s">
        <v>419</v>
      </c>
      <c r="IZ456" s="11" t="s">
        <v>457</v>
      </c>
      <c r="JA456" s="11">
        <v>2</v>
      </c>
      <c r="JB456" s="11" t="s">
        <v>433</v>
      </c>
      <c r="JE456" s="12" t="s">
        <v>365</v>
      </c>
      <c r="JF456" s="11" t="s">
        <v>8116</v>
      </c>
      <c r="JH456" s="11" t="s">
        <v>8105</v>
      </c>
      <c r="JI456" s="11" t="s">
        <v>8106</v>
      </c>
      <c r="JJ456" s="11" t="s">
        <v>8107</v>
      </c>
      <c r="JK456" s="11" t="s">
        <v>8108</v>
      </c>
      <c r="JL456" s="11" t="s">
        <v>8109</v>
      </c>
      <c r="JM456" s="11" t="s">
        <v>8110</v>
      </c>
      <c r="JP456" s="15">
        <f t="shared" si="308"/>
        <v>6270</v>
      </c>
      <c r="JQ456" s="15">
        <f t="shared" si="309"/>
        <v>37620</v>
      </c>
      <c r="JR456" s="279">
        <f t="shared" si="310"/>
        <v>6</v>
      </c>
      <c r="JS456" s="17">
        <f t="shared" si="311"/>
        <v>0.36443381180223283</v>
      </c>
      <c r="JT456" s="18">
        <f t="shared" si="312"/>
        <v>0.50499734183944711</v>
      </c>
      <c r="JU456" s="280">
        <f t="shared" si="313"/>
        <v>2285</v>
      </c>
      <c r="JV456" s="280">
        <f t="shared" si="314"/>
        <v>18998</v>
      </c>
      <c r="JW456" s="319">
        <f t="shared" si="315"/>
        <v>1</v>
      </c>
      <c r="JX456" s="15">
        <f t="shared" si="316"/>
        <v>6270</v>
      </c>
      <c r="JY456" s="15">
        <f t="shared" si="317"/>
        <v>37620</v>
      </c>
      <c r="JZ456" s="19">
        <f t="shared" si="318"/>
        <v>6</v>
      </c>
      <c r="KA456" s="52">
        <f t="shared" si="319"/>
        <v>1</v>
      </c>
      <c r="KB456" s="15">
        <f t="shared" si="320"/>
        <v>6270</v>
      </c>
      <c r="KC456" s="15">
        <f t="shared" si="321"/>
        <v>37620</v>
      </c>
      <c r="KD456" s="20">
        <f t="shared" si="322"/>
        <v>6</v>
      </c>
      <c r="KE456" s="52" t="str">
        <f t="shared" si="323"/>
        <v/>
      </c>
      <c r="KF456" s="15">
        <f t="shared" si="324"/>
        <v>0</v>
      </c>
      <c r="KG456" s="15">
        <f t="shared" si="325"/>
        <v>0</v>
      </c>
      <c r="KH456" s="21" t="str">
        <f t="shared" si="326"/>
        <v/>
      </c>
      <c r="KI456" s="52" t="str">
        <f t="shared" si="327"/>
        <v/>
      </c>
      <c r="KJ456" s="15">
        <f t="shared" si="328"/>
        <v>0</v>
      </c>
      <c r="KK456" s="15">
        <f t="shared" si="329"/>
        <v>0</v>
      </c>
      <c r="KL456" s="19" t="str">
        <f t="shared" si="330"/>
        <v/>
      </c>
      <c r="KM456" s="52" t="str">
        <f t="shared" si="331"/>
        <v/>
      </c>
      <c r="KN456" s="22">
        <f t="shared" si="332"/>
        <v>0</v>
      </c>
      <c r="KO456" s="22">
        <f t="shared" si="333"/>
        <v>0</v>
      </c>
      <c r="KP456" s="19" t="str">
        <f t="shared" si="334"/>
        <v/>
      </c>
      <c r="KQ456" s="11" t="str">
        <f t="shared" si="335"/>
        <v>3. Responsive</v>
      </c>
      <c r="KR456" s="11" t="str">
        <f t="shared" si="336"/>
        <v>2. Accommodating</v>
      </c>
      <c r="KS456" s="11" t="str">
        <f t="shared" si="337"/>
        <v>1. Neutral</v>
      </c>
      <c r="KT456" s="11" t="str">
        <f t="shared" si="338"/>
        <v>It did not develop any specific innovation</v>
      </c>
      <c r="KU456" s="11" t="str">
        <f t="shared" si="339"/>
        <v>Little or no advocacy</v>
      </c>
      <c r="KV456" s="11" t="str">
        <f t="shared" si="340"/>
        <v>It did not take tested solutions to scale</v>
      </c>
      <c r="KW456" s="11" t="str">
        <f t="shared" si="341"/>
        <v>Mali - Assistance Alimentaire aux Ménages Vulnérables du Projet d’Intervention Prolongée de Secours et de Redressement dans les cercles de Niafunké et de Goundam</v>
      </c>
      <c r="KX456" s="11" t="str">
        <f t="shared" si="342"/>
        <v>Assistance Alimentaire aux Ménages Vulnérables du Projet d’Intervention Prolongée de Secours et de Redressement dans les cercles de Niafunké et de Goundam</v>
      </c>
      <c r="KY456" s="11" t="str">
        <f t="shared" si="343"/>
        <v>Mali</v>
      </c>
      <c r="KZ456" s="12">
        <v>456</v>
      </c>
    </row>
    <row r="457" spans="1:312" x14ac:dyDescent="0.3">
      <c r="A457" s="11" t="s">
        <v>7835</v>
      </c>
      <c r="B457" s="11" t="s">
        <v>1596</v>
      </c>
      <c r="D457" s="11" t="s">
        <v>7877</v>
      </c>
      <c r="E457" s="24" t="str">
        <f t="shared" si="301"/>
        <v>Mali</v>
      </c>
      <c r="F457" s="11" t="s">
        <v>7878</v>
      </c>
      <c r="G457" s="11" t="s">
        <v>467</v>
      </c>
      <c r="H457" s="11" t="s">
        <v>310</v>
      </c>
      <c r="I457" s="11" t="s">
        <v>468</v>
      </c>
      <c r="J457" s="278" t="s">
        <v>14715</v>
      </c>
      <c r="BD457" s="23">
        <v>42566</v>
      </c>
      <c r="BE457" s="23">
        <v>42931</v>
      </c>
      <c r="BG457" s="11" t="s">
        <v>908</v>
      </c>
      <c r="BH457" s="22">
        <v>813456</v>
      </c>
      <c r="BI457" s="11" t="s">
        <v>7879</v>
      </c>
      <c r="BJ457" s="11" t="s">
        <v>7880</v>
      </c>
      <c r="BK457" s="11" t="s">
        <v>7881</v>
      </c>
      <c r="BL457" s="11" t="s">
        <v>7882</v>
      </c>
      <c r="BM457" s="11" t="s">
        <v>7883</v>
      </c>
      <c r="BN457" s="11" t="s">
        <v>7884</v>
      </c>
      <c r="BO457" s="11" t="s">
        <v>320</v>
      </c>
      <c r="BP457" s="11" t="s">
        <v>319</v>
      </c>
      <c r="BQ457" s="11" t="s">
        <v>319</v>
      </c>
      <c r="BR457" s="11" t="s">
        <v>7885</v>
      </c>
      <c r="BS457" s="11" t="s">
        <v>357</v>
      </c>
      <c r="BT457" s="11" t="s">
        <v>7886</v>
      </c>
      <c r="BU457" s="11" t="s">
        <v>7887</v>
      </c>
      <c r="BV457" s="22">
        <v>1943</v>
      </c>
      <c r="BW457" s="22">
        <v>1322</v>
      </c>
      <c r="BX457" s="22">
        <v>3265</v>
      </c>
      <c r="BY457" s="22">
        <v>12250</v>
      </c>
      <c r="BZ457" s="22">
        <v>12250</v>
      </c>
      <c r="CA457" s="22">
        <v>24500</v>
      </c>
      <c r="CB457" s="15" t="s">
        <v>7888</v>
      </c>
      <c r="CD457" s="22">
        <v>1943</v>
      </c>
      <c r="CE457" s="22">
        <v>1322</v>
      </c>
      <c r="CF457" s="22">
        <v>3265</v>
      </c>
      <c r="CG457" s="22">
        <v>13623</v>
      </c>
      <c r="CH457" s="22">
        <v>14535</v>
      </c>
      <c r="CI457" s="22">
        <v>28158</v>
      </c>
      <c r="CJ457" s="12" t="s">
        <v>319</v>
      </c>
      <c r="CK457" s="40"/>
      <c r="CL457" s="41"/>
      <c r="CM457" s="40"/>
      <c r="CN457" s="12" t="s">
        <v>320</v>
      </c>
      <c r="CO457" s="14">
        <v>3265</v>
      </c>
      <c r="CP457" s="41">
        <v>0.59499999999999997</v>
      </c>
      <c r="CQ457" s="40">
        <v>28158</v>
      </c>
      <c r="CR457" s="12" t="s">
        <v>319</v>
      </c>
      <c r="CS457" s="40"/>
      <c r="CT457" s="41"/>
      <c r="CU457" s="40"/>
      <c r="CV457" s="12" t="s">
        <v>320</v>
      </c>
      <c r="CW457" s="14">
        <v>3265</v>
      </c>
      <c r="CX457" s="41">
        <v>0.59499999999999997</v>
      </c>
      <c r="CY457" s="40">
        <v>28158</v>
      </c>
      <c r="CZ457" s="12" t="s">
        <v>319</v>
      </c>
      <c r="DA457" s="40"/>
      <c r="DB457" s="41"/>
      <c r="DC457" s="40"/>
      <c r="DD457" s="11" t="s">
        <v>320</v>
      </c>
      <c r="DE457" s="40">
        <v>4839</v>
      </c>
      <c r="DF457" s="41">
        <v>0.56599999999999995</v>
      </c>
      <c r="DG457" s="40">
        <v>14517</v>
      </c>
      <c r="DH457" s="12" t="s">
        <v>319</v>
      </c>
      <c r="DI457" s="40"/>
      <c r="DJ457" s="41"/>
      <c r="DK457" s="40"/>
      <c r="DL457" s="12" t="s">
        <v>319</v>
      </c>
      <c r="DM457" s="40"/>
      <c r="DN457" s="41"/>
      <c r="DO457" s="40"/>
      <c r="DP457" s="12" t="s">
        <v>319</v>
      </c>
      <c r="DQ457" s="40"/>
      <c r="DR457" s="41"/>
      <c r="DS457" s="40"/>
      <c r="DT457" s="12" t="s">
        <v>319</v>
      </c>
      <c r="DU457" s="40"/>
      <c r="DV457" s="41"/>
      <c r="DW457" s="40"/>
      <c r="DX457" s="12" t="s">
        <v>319</v>
      </c>
      <c r="DY457" s="40"/>
      <c r="DZ457" s="41"/>
      <c r="EA457" s="40"/>
      <c r="EB457" s="11" t="s">
        <v>320</v>
      </c>
      <c r="EC457" s="40">
        <v>4839</v>
      </c>
      <c r="ED457" s="41">
        <v>0.56599999999999995</v>
      </c>
      <c r="EE457" s="40">
        <v>14517</v>
      </c>
      <c r="EF457" s="39"/>
      <c r="EG457" s="39"/>
      <c r="EH457" s="40"/>
      <c r="EI457" s="41"/>
      <c r="EJ457" s="40"/>
      <c r="EK457" s="40"/>
      <c r="EL457" s="40"/>
      <c r="EM457" s="40"/>
      <c r="EN457" s="40"/>
      <c r="EO457" s="40"/>
      <c r="EP457" s="40"/>
      <c r="EQ457" s="39"/>
      <c r="ER457" s="40"/>
      <c r="ES457" s="41"/>
      <c r="ET457" s="40"/>
      <c r="EU457" s="39"/>
      <c r="EV457" s="40"/>
      <c r="EW457" s="41"/>
      <c r="EX457" s="40"/>
      <c r="EY457" s="39"/>
      <c r="EZ457" s="40"/>
      <c r="FA457" s="41"/>
      <c r="FB457" s="40"/>
      <c r="FC457" s="39"/>
      <c r="FD457" s="40"/>
      <c r="FE457" s="41"/>
      <c r="FF457" s="40"/>
      <c r="FG457" s="39"/>
      <c r="FH457" s="40"/>
      <c r="FI457" s="41"/>
      <c r="FJ457" s="40"/>
      <c r="FK457" s="39"/>
      <c r="FL457" s="40"/>
      <c r="FM457" s="41"/>
      <c r="FN457" s="40"/>
      <c r="FO457" s="39"/>
      <c r="FP457" s="40"/>
      <c r="FQ457" s="41"/>
      <c r="FR457" s="40"/>
      <c r="FS457" s="39"/>
      <c r="FT457" s="40"/>
      <c r="FU457" s="41"/>
      <c r="FV457" s="40"/>
      <c r="FW457" s="39"/>
      <c r="FX457" s="40"/>
      <c r="FY457" s="41"/>
      <c r="FZ457" s="40"/>
      <c r="GA457" s="39"/>
      <c r="GB457" s="40"/>
      <c r="GC457" s="41"/>
      <c r="GD457" s="40"/>
      <c r="GE457" s="39"/>
      <c r="GF457" s="40"/>
      <c r="GG457" s="41"/>
      <c r="GH457" s="40"/>
      <c r="GI457" s="39"/>
      <c r="GJ457" s="40"/>
      <c r="GK457" s="41"/>
      <c r="GL457" s="40"/>
      <c r="GM457" s="39"/>
      <c r="GN457" s="40"/>
      <c r="GO457" s="41"/>
      <c r="GP457" s="40"/>
      <c r="GQ457" s="39"/>
      <c r="GR457" s="40"/>
      <c r="GS457" s="41"/>
      <c r="GT457" s="40"/>
      <c r="GU457" s="39"/>
      <c r="GV457" s="40"/>
      <c r="GW457" s="41"/>
      <c r="GX457" s="40"/>
      <c r="GY457" s="39"/>
      <c r="GZ457" s="40"/>
      <c r="HA457" s="41"/>
      <c r="HB457" s="40"/>
      <c r="HF457" s="18"/>
      <c r="HH457" s="11" t="s">
        <v>320</v>
      </c>
      <c r="HI457" s="11" t="s">
        <v>451</v>
      </c>
      <c r="HJ457" s="11">
        <v>2017</v>
      </c>
      <c r="HK457" s="11" t="s">
        <v>320</v>
      </c>
      <c r="HL457" s="11" t="s">
        <v>319</v>
      </c>
      <c r="HO457" s="11" t="s">
        <v>7889</v>
      </c>
      <c r="HP457" s="11" t="s">
        <v>418</v>
      </c>
      <c r="HQ457" s="11" t="s">
        <v>319</v>
      </c>
      <c r="HR457" s="11" t="s">
        <v>319</v>
      </c>
      <c r="HS457" s="11" t="s">
        <v>319</v>
      </c>
      <c r="HT457" s="11" t="s">
        <v>319</v>
      </c>
      <c r="HU457" s="11" t="s">
        <v>319</v>
      </c>
      <c r="HV457" s="11" t="s">
        <v>319</v>
      </c>
      <c r="HW457" s="11" t="s">
        <v>319</v>
      </c>
      <c r="HX457" s="11" t="s">
        <v>320</v>
      </c>
      <c r="HY457" s="11" t="s">
        <v>7890</v>
      </c>
      <c r="IA457" s="11" t="s">
        <v>7891</v>
      </c>
      <c r="IB457" s="12" t="s">
        <v>667</v>
      </c>
      <c r="IC457" s="11" t="s">
        <v>7892</v>
      </c>
      <c r="ID457" s="12" t="s">
        <v>334</v>
      </c>
      <c r="IE457" s="12" t="s">
        <v>478</v>
      </c>
      <c r="IF457" s="11" t="s">
        <v>319</v>
      </c>
      <c r="IG457" s="11" t="s">
        <v>320</v>
      </c>
      <c r="IH457" s="11" t="s">
        <v>320</v>
      </c>
      <c r="II457" s="11" t="s">
        <v>320</v>
      </c>
      <c r="IJ457" s="12" t="str">
        <f t="shared" si="302"/>
        <v>3. Responsive</v>
      </c>
      <c r="IK457" s="12">
        <f t="shared" si="303"/>
        <v>3</v>
      </c>
      <c r="IL457" s="12" t="s">
        <v>336</v>
      </c>
      <c r="IM457" s="11" t="s">
        <v>319</v>
      </c>
      <c r="IN457" s="11" t="s">
        <v>320</v>
      </c>
      <c r="IO457" s="11" t="s">
        <v>320</v>
      </c>
      <c r="IP457" s="11" t="s">
        <v>320</v>
      </c>
      <c r="IQ457" s="12" t="str">
        <f t="shared" si="304"/>
        <v>2. Accommodating</v>
      </c>
      <c r="IR457" s="12">
        <f t="shared" si="305"/>
        <v>3</v>
      </c>
      <c r="IS457" s="12" t="s">
        <v>337</v>
      </c>
      <c r="IT457" s="11" t="s">
        <v>320</v>
      </c>
      <c r="IU457" s="11" t="s">
        <v>320</v>
      </c>
      <c r="IV457" s="11" t="s">
        <v>320</v>
      </c>
      <c r="IW457" s="11" t="str">
        <f t="shared" si="306"/>
        <v>2. Sensitive</v>
      </c>
      <c r="IX457" s="12">
        <f t="shared" si="307"/>
        <v>3</v>
      </c>
      <c r="IY457" s="11" t="s">
        <v>338</v>
      </c>
      <c r="IZ457" s="11" t="s">
        <v>457</v>
      </c>
      <c r="JA457" s="11">
        <v>2</v>
      </c>
      <c r="JB457" s="11" t="s">
        <v>433</v>
      </c>
      <c r="JE457" s="12" t="s">
        <v>365</v>
      </c>
      <c r="JF457" s="11" t="s">
        <v>7893</v>
      </c>
      <c r="JG457" s="11" t="s">
        <v>7894</v>
      </c>
      <c r="JH457" s="11" t="s">
        <v>7895</v>
      </c>
      <c r="JI457" s="11" t="s">
        <v>7896</v>
      </c>
      <c r="JJ457" s="11" t="s">
        <v>7897</v>
      </c>
      <c r="JK457" s="11" t="s">
        <v>7898</v>
      </c>
      <c r="JL457" s="11" t="s">
        <v>7899</v>
      </c>
      <c r="JM457" s="11" t="s">
        <v>7900</v>
      </c>
      <c r="JN457" s="11" t="s">
        <v>7901</v>
      </c>
      <c r="JO457" s="11" t="s">
        <v>7902</v>
      </c>
      <c r="JP457" s="15">
        <f t="shared" si="308"/>
        <v>3265</v>
      </c>
      <c r="JQ457" s="15">
        <f t="shared" si="309"/>
        <v>28158</v>
      </c>
      <c r="JR457" s="279">
        <f t="shared" si="310"/>
        <v>8.6241960183767237</v>
      </c>
      <c r="JS457" s="17">
        <f t="shared" si="311"/>
        <v>0.5950995405819296</v>
      </c>
      <c r="JT457" s="18">
        <f t="shared" si="312"/>
        <v>0.48380566801619435</v>
      </c>
      <c r="JU457" s="280">
        <f t="shared" si="313"/>
        <v>1943</v>
      </c>
      <c r="JV457" s="280">
        <f t="shared" si="314"/>
        <v>13623</v>
      </c>
      <c r="JW457" s="319">
        <f t="shared" si="315"/>
        <v>1</v>
      </c>
      <c r="JX457" s="15">
        <f t="shared" si="316"/>
        <v>3265</v>
      </c>
      <c r="JY457" s="15">
        <f t="shared" si="317"/>
        <v>28158</v>
      </c>
      <c r="JZ457" s="19">
        <f t="shared" si="318"/>
        <v>8.6241960183767237</v>
      </c>
      <c r="KA457" s="52">
        <f t="shared" si="319"/>
        <v>1</v>
      </c>
      <c r="KB457" s="15">
        <f t="shared" si="320"/>
        <v>3265</v>
      </c>
      <c r="KC457" s="15">
        <f t="shared" si="321"/>
        <v>28158</v>
      </c>
      <c r="KD457" s="20">
        <f t="shared" si="322"/>
        <v>8.6241960183767237</v>
      </c>
      <c r="KE457" s="52" t="str">
        <f t="shared" si="323"/>
        <v/>
      </c>
      <c r="KF457" s="15">
        <f t="shared" si="324"/>
        <v>0</v>
      </c>
      <c r="KG457" s="15">
        <f t="shared" si="325"/>
        <v>0</v>
      </c>
      <c r="KH457" s="21" t="str">
        <f t="shared" si="326"/>
        <v/>
      </c>
      <c r="KI457" s="52" t="str">
        <f t="shared" si="327"/>
        <v/>
      </c>
      <c r="KJ457" s="15">
        <f t="shared" si="328"/>
        <v>0</v>
      </c>
      <c r="KK457" s="15">
        <f t="shared" si="329"/>
        <v>0</v>
      </c>
      <c r="KL457" s="19" t="str">
        <f t="shared" si="330"/>
        <v/>
      </c>
      <c r="KM457" s="52" t="str">
        <f t="shared" si="331"/>
        <v/>
      </c>
      <c r="KN457" s="22">
        <f t="shared" si="332"/>
        <v>0</v>
      </c>
      <c r="KO457" s="22">
        <f t="shared" si="333"/>
        <v>0</v>
      </c>
      <c r="KP457" s="19" t="str">
        <f t="shared" si="334"/>
        <v/>
      </c>
      <c r="KQ457" s="11" t="str">
        <f t="shared" si="335"/>
        <v>3. Responsive</v>
      </c>
      <c r="KR457" s="11" t="str">
        <f t="shared" si="336"/>
        <v>2. Accommodating</v>
      </c>
      <c r="KS457" s="11" t="str">
        <f t="shared" si="337"/>
        <v>2. Sensitive</v>
      </c>
      <c r="KT457" s="11">
        <f t="shared" si="338"/>
        <v>0</v>
      </c>
      <c r="KU457" s="11" t="str">
        <f t="shared" si="339"/>
        <v>Little or no advocacy</v>
      </c>
      <c r="KV457" s="11" t="str">
        <f t="shared" si="340"/>
        <v>It took tested solutions to scale on its own</v>
      </c>
      <c r="KW457" s="11" t="str">
        <f t="shared" si="341"/>
        <v>Mali - Cash assistance for vulnerable household affected by insecurity and food deficit (Timbuktu Region)</v>
      </c>
      <c r="KX457" s="11" t="str">
        <f t="shared" si="342"/>
        <v>Cash assistance for vulnerable household affected by insecurity and food deficit (Timbuktu Region)</v>
      </c>
      <c r="KY457" s="11" t="str">
        <f t="shared" si="343"/>
        <v>Mali</v>
      </c>
      <c r="KZ457" s="12">
        <v>457</v>
      </c>
    </row>
    <row r="458" spans="1:312" x14ac:dyDescent="0.3">
      <c r="A458" s="11" t="s">
        <v>7835</v>
      </c>
      <c r="B458" s="11" t="s">
        <v>1596</v>
      </c>
      <c r="D458" s="11" t="s">
        <v>7927</v>
      </c>
      <c r="E458" s="277" t="str">
        <f t="shared" si="301"/>
        <v>Mali</v>
      </c>
      <c r="F458" s="11" t="s">
        <v>7928</v>
      </c>
      <c r="G458" s="11" t="s">
        <v>379</v>
      </c>
      <c r="H458" s="11" t="s">
        <v>310</v>
      </c>
      <c r="I458" s="11" t="s">
        <v>655</v>
      </c>
      <c r="J458" s="278" t="s">
        <v>4991</v>
      </c>
      <c r="BD458" s="23">
        <v>42587</v>
      </c>
      <c r="BE458" s="23">
        <v>42916</v>
      </c>
      <c r="BG458" s="23" t="s">
        <v>908</v>
      </c>
      <c r="BH458" s="22">
        <v>1950000</v>
      </c>
      <c r="BI458" s="26" t="s">
        <v>7879</v>
      </c>
      <c r="BJ458" s="11" t="s">
        <v>7880</v>
      </c>
      <c r="BK458" s="11" t="s">
        <v>7881</v>
      </c>
      <c r="BL458" s="11" t="s">
        <v>7882</v>
      </c>
      <c r="BM458" s="11" t="s">
        <v>7883</v>
      </c>
      <c r="BN458" s="11" t="s">
        <v>7884</v>
      </c>
      <c r="BO458" s="11" t="s">
        <v>320</v>
      </c>
      <c r="BP458" s="11" t="s">
        <v>319</v>
      </c>
      <c r="BQ458" s="11" t="s">
        <v>319</v>
      </c>
      <c r="BR458" s="11" t="s">
        <v>7929</v>
      </c>
      <c r="BS458" s="11" t="s">
        <v>357</v>
      </c>
      <c r="BT458" s="11" t="s">
        <v>7886</v>
      </c>
      <c r="BU458" s="11" t="s">
        <v>7930</v>
      </c>
      <c r="BV458" s="22">
        <v>1601</v>
      </c>
      <c r="BW458" s="22">
        <v>2599</v>
      </c>
      <c r="BX458" s="22">
        <v>4200</v>
      </c>
      <c r="BY458" s="22">
        <v>12600</v>
      </c>
      <c r="BZ458" s="22">
        <v>12600</v>
      </c>
      <c r="CA458" s="22">
        <v>25200</v>
      </c>
      <c r="CB458" s="15" t="s">
        <v>7888</v>
      </c>
      <c r="CD458" s="22">
        <v>2022</v>
      </c>
      <c r="CE458" s="22">
        <v>3213</v>
      </c>
      <c r="CF458" s="22">
        <v>5235</v>
      </c>
      <c r="CG458" s="22">
        <v>20192</v>
      </c>
      <c r="CH458" s="22">
        <v>19310</v>
      </c>
      <c r="CI458" s="22">
        <v>39502</v>
      </c>
      <c r="CJ458" s="12" t="s">
        <v>319</v>
      </c>
      <c r="CK458" s="40"/>
      <c r="CL458" s="41"/>
      <c r="CM458" s="40"/>
      <c r="CN458" s="12" t="s">
        <v>320</v>
      </c>
      <c r="CO458" s="14">
        <v>5235</v>
      </c>
      <c r="CP458" s="41">
        <v>0.38600000000000001</v>
      </c>
      <c r="CQ458" s="40">
        <v>39502</v>
      </c>
      <c r="CR458" s="12" t="s">
        <v>319</v>
      </c>
      <c r="CS458" s="40"/>
      <c r="CT458" s="41"/>
      <c r="CU458" s="40"/>
      <c r="CV458" s="12" t="s">
        <v>320</v>
      </c>
      <c r="CW458" s="14">
        <v>5235</v>
      </c>
      <c r="CX458" s="41">
        <v>0.38600000000000001</v>
      </c>
      <c r="CY458" s="40">
        <v>39502</v>
      </c>
      <c r="CZ458" s="12" t="s">
        <v>319</v>
      </c>
      <c r="DA458" s="40"/>
      <c r="DB458" s="41"/>
      <c r="DC458" s="40"/>
      <c r="DD458" s="12" t="s">
        <v>319</v>
      </c>
      <c r="DE458" s="40"/>
      <c r="DF458" s="41"/>
      <c r="DG458" s="40"/>
      <c r="DH458" s="12" t="s">
        <v>319</v>
      </c>
      <c r="DI458" s="40"/>
      <c r="DJ458" s="41"/>
      <c r="DK458" s="40"/>
      <c r="DL458" s="12" t="s">
        <v>319</v>
      </c>
      <c r="DM458" s="40"/>
      <c r="DN458" s="41"/>
      <c r="DO458" s="40"/>
      <c r="DP458" s="12" t="s">
        <v>319</v>
      </c>
      <c r="DQ458" s="40"/>
      <c r="DR458" s="41"/>
      <c r="DS458" s="40"/>
      <c r="DT458" s="12" t="s">
        <v>319</v>
      </c>
      <c r="DU458" s="40"/>
      <c r="DV458" s="41"/>
      <c r="DW458" s="40"/>
      <c r="DX458" s="12" t="s">
        <v>319</v>
      </c>
      <c r="DY458" s="40"/>
      <c r="DZ458" s="41"/>
      <c r="EA458" s="40"/>
      <c r="EB458" s="12" t="s">
        <v>319</v>
      </c>
      <c r="EC458" s="40"/>
      <c r="ED458" s="41"/>
      <c r="EE458" s="40"/>
      <c r="EF458" s="39"/>
      <c r="EG458" s="39"/>
      <c r="EH458" s="40"/>
      <c r="EI458" s="41"/>
      <c r="EJ458" s="40"/>
      <c r="EK458" s="40"/>
      <c r="EL458" s="40"/>
      <c r="EM458" s="40"/>
      <c r="EN458" s="40"/>
      <c r="EO458" s="40"/>
      <c r="EP458" s="40"/>
      <c r="EQ458" s="39"/>
      <c r="ER458" s="40"/>
      <c r="ES458" s="41"/>
      <c r="ET458" s="40"/>
      <c r="EU458" s="39"/>
      <c r="EV458" s="40"/>
      <c r="EW458" s="41"/>
      <c r="EX458" s="40"/>
      <c r="EY458" s="39"/>
      <c r="EZ458" s="40"/>
      <c r="FA458" s="41"/>
      <c r="FB458" s="40"/>
      <c r="FC458" s="39"/>
      <c r="FD458" s="40"/>
      <c r="FE458" s="41"/>
      <c r="FF458" s="40"/>
      <c r="FG458" s="39"/>
      <c r="FH458" s="40"/>
      <c r="FI458" s="41"/>
      <c r="FJ458" s="40"/>
      <c r="FK458" s="39"/>
      <c r="FL458" s="40"/>
      <c r="FM458" s="41"/>
      <c r="FN458" s="40"/>
      <c r="FO458" s="39"/>
      <c r="FP458" s="40"/>
      <c r="FQ458" s="41"/>
      <c r="FR458" s="40"/>
      <c r="FS458" s="39"/>
      <c r="FT458" s="40"/>
      <c r="FU458" s="41"/>
      <c r="FV458" s="40"/>
      <c r="FW458" s="39"/>
      <c r="FX458" s="40"/>
      <c r="FY458" s="41"/>
      <c r="FZ458" s="40"/>
      <c r="GA458" s="39"/>
      <c r="GB458" s="40"/>
      <c r="GC458" s="41"/>
      <c r="GD458" s="40"/>
      <c r="GE458" s="39"/>
      <c r="GF458" s="40"/>
      <c r="GG458" s="41"/>
      <c r="GH458" s="40"/>
      <c r="GI458" s="39"/>
      <c r="GJ458" s="40"/>
      <c r="GK458" s="41"/>
      <c r="GL458" s="40"/>
      <c r="GM458" s="39"/>
      <c r="GN458" s="40"/>
      <c r="GO458" s="41"/>
      <c r="GP458" s="40"/>
      <c r="GQ458" s="39"/>
      <c r="GR458" s="40"/>
      <c r="GS458" s="41"/>
      <c r="GT458" s="40"/>
      <c r="GU458" s="39"/>
      <c r="GV458" s="40"/>
      <c r="GW458" s="41"/>
      <c r="GX458" s="40"/>
      <c r="GY458" s="39"/>
      <c r="GZ458" s="40"/>
      <c r="HA458" s="41"/>
      <c r="HB458" s="40"/>
      <c r="HF458" s="18"/>
      <c r="HH458" s="11" t="s">
        <v>320</v>
      </c>
      <c r="HI458" s="11" t="s">
        <v>451</v>
      </c>
      <c r="HJ458" s="11">
        <v>2017</v>
      </c>
      <c r="HK458" s="11" t="s">
        <v>320</v>
      </c>
      <c r="HL458" s="11" t="s">
        <v>319</v>
      </c>
      <c r="HO458" s="11" t="s">
        <v>7889</v>
      </c>
      <c r="HP458" s="11" t="s">
        <v>418</v>
      </c>
      <c r="HQ458" s="11" t="s">
        <v>319</v>
      </c>
      <c r="HR458" s="11" t="s">
        <v>319</v>
      </c>
      <c r="HS458" s="11" t="s">
        <v>320</v>
      </c>
      <c r="HT458" s="11" t="s">
        <v>319</v>
      </c>
      <c r="HU458" s="11" t="s">
        <v>320</v>
      </c>
      <c r="HV458" s="11" t="s">
        <v>319</v>
      </c>
      <c r="HW458" s="11" t="s">
        <v>319</v>
      </c>
      <c r="HX458" s="11" t="s">
        <v>320</v>
      </c>
      <c r="HY458" s="11" t="s">
        <v>7890</v>
      </c>
      <c r="HZ458" s="12" t="s">
        <v>331</v>
      </c>
      <c r="IA458" s="11" t="s">
        <v>7891</v>
      </c>
      <c r="IB458" s="12" t="s">
        <v>396</v>
      </c>
      <c r="IC458" s="11" t="s">
        <v>7892</v>
      </c>
      <c r="ID458" s="11" t="s">
        <v>364</v>
      </c>
      <c r="IE458" s="12" t="s">
        <v>478</v>
      </c>
      <c r="IF458" s="11" t="s">
        <v>320</v>
      </c>
      <c r="IG458" s="11" t="s">
        <v>319</v>
      </c>
      <c r="IH458" s="11" t="s">
        <v>320</v>
      </c>
      <c r="II458" s="11" t="s">
        <v>320</v>
      </c>
      <c r="IJ458" s="12" t="str">
        <f t="shared" si="302"/>
        <v>3. Responsive</v>
      </c>
      <c r="IK458" s="12">
        <f t="shared" si="303"/>
        <v>3</v>
      </c>
      <c r="IL458" s="12" t="s">
        <v>336</v>
      </c>
      <c r="IM458" s="11" t="s">
        <v>319</v>
      </c>
      <c r="IN458" s="11" t="s">
        <v>320</v>
      </c>
      <c r="IO458" s="11" t="s">
        <v>320</v>
      </c>
      <c r="IP458" s="11" t="s">
        <v>320</v>
      </c>
      <c r="IQ458" s="12" t="str">
        <f t="shared" si="304"/>
        <v>2. Accommodating</v>
      </c>
      <c r="IR458" s="12">
        <f t="shared" si="305"/>
        <v>3</v>
      </c>
      <c r="IS458" s="12" t="s">
        <v>337</v>
      </c>
      <c r="IT458" s="11" t="s">
        <v>320</v>
      </c>
      <c r="IU458" s="11" t="s">
        <v>320</v>
      </c>
      <c r="IV458" s="11" t="s">
        <v>320</v>
      </c>
      <c r="IW458" s="11" t="str">
        <f t="shared" si="306"/>
        <v>2. Sensitive</v>
      </c>
      <c r="IX458" s="12">
        <f t="shared" si="307"/>
        <v>3</v>
      </c>
      <c r="IY458" s="11" t="s">
        <v>419</v>
      </c>
      <c r="IZ458" s="11" t="s">
        <v>457</v>
      </c>
      <c r="JA458" s="11">
        <v>2</v>
      </c>
      <c r="JB458" s="11" t="s">
        <v>433</v>
      </c>
      <c r="JE458" s="12" t="s">
        <v>365</v>
      </c>
      <c r="JF458" s="11" t="s">
        <v>7893</v>
      </c>
      <c r="JG458" s="11" t="s">
        <v>7931</v>
      </c>
      <c r="JH458" s="11" t="s">
        <v>7895</v>
      </c>
      <c r="JI458" s="11" t="s">
        <v>7896</v>
      </c>
      <c r="JJ458" s="11" t="s">
        <v>7897</v>
      </c>
      <c r="JK458" s="11" t="s">
        <v>7898</v>
      </c>
      <c r="JL458" s="11" t="s">
        <v>7899</v>
      </c>
      <c r="JM458" s="11" t="s">
        <v>7900</v>
      </c>
      <c r="JN458" s="11" t="s">
        <v>7932</v>
      </c>
      <c r="JO458" s="11" t="s">
        <v>7933</v>
      </c>
      <c r="JP458" s="15">
        <f t="shared" si="308"/>
        <v>5235</v>
      </c>
      <c r="JQ458" s="15">
        <f t="shared" si="309"/>
        <v>39502</v>
      </c>
      <c r="JR458" s="279">
        <f t="shared" si="310"/>
        <v>7.5457497612225408</v>
      </c>
      <c r="JS458" s="17">
        <f t="shared" si="311"/>
        <v>0.38624641833810891</v>
      </c>
      <c r="JT458" s="18">
        <f t="shared" si="312"/>
        <v>0.51116399169662297</v>
      </c>
      <c r="JU458" s="280">
        <f t="shared" si="313"/>
        <v>2022</v>
      </c>
      <c r="JV458" s="280">
        <f t="shared" si="314"/>
        <v>20192</v>
      </c>
      <c r="JW458" s="319">
        <f t="shared" si="315"/>
        <v>1</v>
      </c>
      <c r="JX458" s="15">
        <f t="shared" si="316"/>
        <v>5235</v>
      </c>
      <c r="JY458" s="15">
        <f t="shared" si="317"/>
        <v>39502</v>
      </c>
      <c r="JZ458" s="19">
        <f t="shared" si="318"/>
        <v>7.5457497612225408</v>
      </c>
      <c r="KA458" s="52">
        <f t="shared" si="319"/>
        <v>1</v>
      </c>
      <c r="KB458" s="15">
        <f t="shared" si="320"/>
        <v>5235</v>
      </c>
      <c r="KC458" s="15">
        <f t="shared" si="321"/>
        <v>39502</v>
      </c>
      <c r="KD458" s="20">
        <f t="shared" si="322"/>
        <v>7.5457497612225408</v>
      </c>
      <c r="KE458" s="52" t="str">
        <f t="shared" si="323"/>
        <v/>
      </c>
      <c r="KF458" s="15">
        <f t="shared" si="324"/>
        <v>0</v>
      </c>
      <c r="KG458" s="15">
        <f t="shared" si="325"/>
        <v>0</v>
      </c>
      <c r="KH458" s="21" t="str">
        <f t="shared" si="326"/>
        <v/>
      </c>
      <c r="KI458" s="52" t="str">
        <f t="shared" si="327"/>
        <v/>
      </c>
      <c r="KJ458" s="15">
        <f t="shared" si="328"/>
        <v>0</v>
      </c>
      <c r="KK458" s="15">
        <f t="shared" si="329"/>
        <v>0</v>
      </c>
      <c r="KL458" s="19" t="str">
        <f t="shared" si="330"/>
        <v/>
      </c>
      <c r="KM458" s="52" t="str">
        <f t="shared" si="331"/>
        <v/>
      </c>
      <c r="KN458" s="22">
        <f t="shared" si="332"/>
        <v>0</v>
      </c>
      <c r="KO458" s="22">
        <f t="shared" si="333"/>
        <v>0</v>
      </c>
      <c r="KP458" s="19" t="str">
        <f t="shared" si="334"/>
        <v/>
      </c>
      <c r="KQ458" s="11" t="str">
        <f t="shared" si="335"/>
        <v>3. Responsive</v>
      </c>
      <c r="KR458" s="11" t="str">
        <f t="shared" si="336"/>
        <v>2. Accommodating</v>
      </c>
      <c r="KS458" s="11" t="str">
        <f t="shared" si="337"/>
        <v>2. Sensitive</v>
      </c>
      <c r="KT458" s="11" t="str">
        <f t="shared" si="338"/>
        <v>It tested new ways for fighting poverty and measured results of innovation</v>
      </c>
      <c r="KU458" s="11" t="str">
        <f t="shared" si="339"/>
        <v>Little or no advocacy</v>
      </c>
      <c r="KV458" s="11" t="str">
        <f t="shared" si="340"/>
        <v>It linked and worked with strategic alliances and partners to take tested and effective solutions to scale</v>
      </c>
      <c r="KW458" s="11" t="str">
        <f t="shared" si="341"/>
        <v>Mali - Cash Assistance to Households Affected by Food Insecurity in Goundam and Niafunke Districts</v>
      </c>
      <c r="KX458" s="11" t="str">
        <f t="shared" si="342"/>
        <v>Cash Assistance to Households Affected by Food Insecurity in Goundam and Niafunke Districts</v>
      </c>
      <c r="KY458" s="11" t="str">
        <f t="shared" si="343"/>
        <v>Mali</v>
      </c>
      <c r="KZ458" s="12">
        <v>458</v>
      </c>
    </row>
    <row r="459" spans="1:312" x14ac:dyDescent="0.3">
      <c r="A459" s="12" t="s">
        <v>7835</v>
      </c>
      <c r="B459" s="12" t="s">
        <v>1596</v>
      </c>
      <c r="C459" s="12" t="s">
        <v>7934</v>
      </c>
      <c r="D459" s="12" t="s">
        <v>7935</v>
      </c>
      <c r="E459" s="277" t="str">
        <f t="shared" si="301"/>
        <v>Mali</v>
      </c>
      <c r="F459" s="12" t="s">
        <v>7936</v>
      </c>
      <c r="G459" s="12" t="s">
        <v>379</v>
      </c>
      <c r="H459" s="12" t="s">
        <v>383</v>
      </c>
      <c r="I459" s="12" t="s">
        <v>384</v>
      </c>
      <c r="J459" s="278" t="s">
        <v>10530</v>
      </c>
      <c r="K459" s="12"/>
      <c r="L459" s="12"/>
      <c r="M459" s="12"/>
      <c r="N459" s="12"/>
      <c r="O459" s="12"/>
      <c r="P459" s="12"/>
      <c r="Q459" s="12"/>
      <c r="R459" s="12"/>
      <c r="S459" s="12"/>
      <c r="T459" s="12"/>
      <c r="U459" s="12"/>
      <c r="V459" s="12"/>
      <c r="W459" s="12"/>
      <c r="X459" s="12"/>
      <c r="Y459" s="12"/>
      <c r="Z459" s="12"/>
      <c r="AA459" s="12"/>
      <c r="AB459" s="12"/>
      <c r="AC459" s="12"/>
      <c r="AD459" s="12"/>
      <c r="BD459" s="13">
        <v>42186</v>
      </c>
      <c r="BE459" s="13">
        <v>44012</v>
      </c>
      <c r="BF459" s="12"/>
      <c r="BG459" s="12" t="s">
        <v>490</v>
      </c>
      <c r="BH459" s="14">
        <v>1683752</v>
      </c>
      <c r="BI459" s="12" t="s">
        <v>7937</v>
      </c>
      <c r="BJ459" s="12" t="s">
        <v>7938</v>
      </c>
      <c r="BK459" s="12" t="s">
        <v>7909</v>
      </c>
      <c r="BL459" s="12" t="s">
        <v>7939</v>
      </c>
      <c r="BM459" s="12" t="s">
        <v>2775</v>
      </c>
      <c r="BN459" s="12" t="s">
        <v>7940</v>
      </c>
      <c r="BO459" s="12" t="s">
        <v>320</v>
      </c>
      <c r="BP459" s="12" t="s">
        <v>320</v>
      </c>
      <c r="BQ459" s="12" t="s">
        <v>320</v>
      </c>
      <c r="BR459" s="12" t="s">
        <v>7941</v>
      </c>
      <c r="BS459" s="12" t="s">
        <v>357</v>
      </c>
      <c r="BT459" s="12" t="s">
        <v>7942</v>
      </c>
      <c r="BU459" s="12" t="s">
        <v>7943</v>
      </c>
      <c r="BV459" s="14">
        <v>47250</v>
      </c>
      <c r="BW459" s="14">
        <v>15750</v>
      </c>
      <c r="BX459" s="14">
        <v>63000</v>
      </c>
      <c r="BY459" s="14">
        <v>138932</v>
      </c>
      <c r="BZ459" s="14">
        <v>46311</v>
      </c>
      <c r="CA459" s="14">
        <v>185243</v>
      </c>
      <c r="CB459" s="12" t="s">
        <v>7944</v>
      </c>
      <c r="CD459" s="14"/>
      <c r="CE459" s="14"/>
      <c r="CF459" s="14"/>
      <c r="CG459" s="14"/>
      <c r="CH459" s="14"/>
      <c r="CI459" s="14"/>
      <c r="CJ459" s="12" t="s">
        <v>319</v>
      </c>
      <c r="CK459" s="14"/>
      <c r="CL459" s="16"/>
      <c r="CM459" s="14"/>
      <c r="CN459" s="12" t="s">
        <v>319</v>
      </c>
      <c r="CO459" s="14"/>
      <c r="CP459" s="16"/>
      <c r="CQ459" s="14"/>
      <c r="CR459" s="12" t="s">
        <v>320</v>
      </c>
      <c r="CS459" s="14">
        <v>29757</v>
      </c>
      <c r="CT459" s="16">
        <v>0.47233333333333299</v>
      </c>
      <c r="CU459" s="14">
        <v>185243</v>
      </c>
      <c r="CV459" s="12" t="s">
        <v>319</v>
      </c>
      <c r="CW459" s="14"/>
      <c r="CX459" s="16"/>
      <c r="CY459" s="14"/>
      <c r="CZ459" s="12" t="s">
        <v>320</v>
      </c>
      <c r="DA459" s="14">
        <v>29757</v>
      </c>
      <c r="DB459" s="16">
        <v>0.47233333333333299</v>
      </c>
      <c r="DC459" s="14">
        <v>185243</v>
      </c>
      <c r="DD459" s="11" t="s">
        <v>320</v>
      </c>
      <c r="DE459" s="14">
        <v>29757</v>
      </c>
      <c r="DF459" s="16">
        <v>0.47233333333333299</v>
      </c>
      <c r="DG459" s="14">
        <v>185243</v>
      </c>
      <c r="DH459" s="12" t="s">
        <v>319</v>
      </c>
      <c r="DI459" s="14"/>
      <c r="DJ459" s="16"/>
      <c r="DK459" s="14"/>
      <c r="DL459" s="12" t="s">
        <v>319</v>
      </c>
      <c r="DM459" s="14"/>
      <c r="DN459" s="16"/>
      <c r="DO459" s="14"/>
      <c r="DP459" s="12" t="s">
        <v>319</v>
      </c>
      <c r="DQ459" s="14"/>
      <c r="DR459" s="16"/>
      <c r="DS459" s="14"/>
      <c r="DT459" s="12" t="s">
        <v>320</v>
      </c>
      <c r="DU459" s="14">
        <v>29757</v>
      </c>
      <c r="DV459" s="16">
        <v>0.47233333333333299</v>
      </c>
      <c r="DW459" s="14">
        <v>185243</v>
      </c>
      <c r="DX459" s="12" t="s">
        <v>319</v>
      </c>
      <c r="DY459" s="14"/>
      <c r="DZ459" s="16"/>
      <c r="EA459" s="14"/>
      <c r="EB459" s="12" t="s">
        <v>319</v>
      </c>
      <c r="EC459" s="14"/>
      <c r="ED459" s="16"/>
      <c r="EE459" s="14"/>
      <c r="EF459" s="12" t="s">
        <v>7945</v>
      </c>
      <c r="EG459" s="12" t="s">
        <v>320</v>
      </c>
      <c r="EH459" s="14">
        <v>29757</v>
      </c>
      <c r="EI459" s="16">
        <v>0.47233333333333299</v>
      </c>
      <c r="EJ459" s="14">
        <v>185243</v>
      </c>
      <c r="EK459" s="14">
        <v>14166</v>
      </c>
      <c r="EL459" s="14">
        <v>15591</v>
      </c>
      <c r="EM459" s="14">
        <v>29757</v>
      </c>
      <c r="EN459" s="14">
        <v>138932</v>
      </c>
      <c r="EO459" s="14">
        <v>46311</v>
      </c>
      <c r="EP459" s="14">
        <v>185243</v>
      </c>
      <c r="EQ459" s="12" t="s">
        <v>319</v>
      </c>
      <c r="ER459" s="14"/>
      <c r="ES459" s="16"/>
      <c r="ET459" s="14"/>
      <c r="EU459" s="11" t="s">
        <v>320</v>
      </c>
      <c r="EV459" s="14">
        <v>29757</v>
      </c>
      <c r="EW459" s="16">
        <v>0.47233333333333299</v>
      </c>
      <c r="EX459" s="14">
        <v>185243</v>
      </c>
      <c r="EY459" s="12" t="s">
        <v>319</v>
      </c>
      <c r="EZ459" s="14"/>
      <c r="FA459" s="16"/>
      <c r="FB459" s="14"/>
      <c r="FC459" s="12" t="s">
        <v>320</v>
      </c>
      <c r="FD459" s="14">
        <v>29757</v>
      </c>
      <c r="FE459" s="16">
        <v>0.47233333333333299</v>
      </c>
      <c r="FF459" s="14">
        <v>185243</v>
      </c>
      <c r="FG459" s="12" t="s">
        <v>319</v>
      </c>
      <c r="FH459" s="14"/>
      <c r="FI459" s="16"/>
      <c r="FJ459" s="14"/>
      <c r="FK459" s="12" t="s">
        <v>320</v>
      </c>
      <c r="FL459" s="14">
        <v>29757</v>
      </c>
      <c r="FM459" s="16">
        <v>0.47233333333333299</v>
      </c>
      <c r="FN459" s="14">
        <v>185243</v>
      </c>
      <c r="FO459" s="12" t="s">
        <v>319</v>
      </c>
      <c r="FP459" s="14"/>
      <c r="FQ459" s="16"/>
      <c r="FR459" s="14"/>
      <c r="FS459" s="12" t="s">
        <v>320</v>
      </c>
      <c r="FT459" s="14">
        <v>29757</v>
      </c>
      <c r="FU459" s="16">
        <v>0.47233333333333299</v>
      </c>
      <c r="FV459" s="14">
        <v>185243</v>
      </c>
      <c r="FW459" s="11" t="s">
        <v>320</v>
      </c>
      <c r="FX459" s="14">
        <v>29757</v>
      </c>
      <c r="FY459" s="16">
        <v>0.47233333333333299</v>
      </c>
      <c r="FZ459" s="14">
        <v>185243</v>
      </c>
      <c r="GA459" s="12" t="s">
        <v>319</v>
      </c>
      <c r="GB459" s="14"/>
      <c r="GC459" s="16"/>
      <c r="GD459" s="14"/>
      <c r="GE459" s="12" t="s">
        <v>319</v>
      </c>
      <c r="GF459" s="14"/>
      <c r="GG459" s="16"/>
      <c r="GH459" s="14"/>
      <c r="GI459" s="12" t="s">
        <v>319</v>
      </c>
      <c r="GJ459" s="14"/>
      <c r="GK459" s="16"/>
      <c r="GL459" s="14"/>
      <c r="GM459" s="12" t="s">
        <v>319</v>
      </c>
      <c r="GN459" s="14"/>
      <c r="GO459" s="16"/>
      <c r="GP459" s="14"/>
      <c r="GQ459" s="12" t="s">
        <v>320</v>
      </c>
      <c r="GR459" s="14">
        <v>5089</v>
      </c>
      <c r="GS459" s="16">
        <v>0.32832258064516101</v>
      </c>
      <c r="GT459" s="14">
        <v>185243</v>
      </c>
      <c r="GU459" s="12" t="s">
        <v>320</v>
      </c>
      <c r="GV459" s="14">
        <v>29757</v>
      </c>
      <c r="GW459" s="16">
        <v>0.47233333333333299</v>
      </c>
      <c r="GX459" s="14">
        <v>185243</v>
      </c>
      <c r="GY459" s="11" t="s">
        <v>320</v>
      </c>
      <c r="GZ459" s="14">
        <v>1039</v>
      </c>
      <c r="HA459" s="16">
        <v>2.9689999999999999</v>
      </c>
      <c r="HB459" s="14">
        <v>185243</v>
      </c>
      <c r="HC459" s="12"/>
      <c r="HD459" s="12"/>
      <c r="HE459" s="14"/>
      <c r="HF459" s="16"/>
      <c r="HG459" s="14"/>
      <c r="HH459" s="12" t="s">
        <v>320</v>
      </c>
      <c r="HI459" s="12" t="s">
        <v>361</v>
      </c>
      <c r="HJ459" s="12">
        <v>2016</v>
      </c>
      <c r="HK459" s="12" t="s">
        <v>320</v>
      </c>
      <c r="HL459" s="12" t="s">
        <v>319</v>
      </c>
      <c r="HM459" s="12"/>
      <c r="HN459" s="12"/>
      <c r="HO459" s="12" t="s">
        <v>7946</v>
      </c>
      <c r="HP459" s="12" t="s">
        <v>453</v>
      </c>
      <c r="HQ459" s="12" t="s">
        <v>320</v>
      </c>
      <c r="HR459" s="12" t="s">
        <v>320</v>
      </c>
      <c r="HS459" s="12" t="s">
        <v>320</v>
      </c>
      <c r="HT459" s="12" t="s">
        <v>320</v>
      </c>
      <c r="HU459" s="12" t="s">
        <v>320</v>
      </c>
      <c r="HV459" s="12" t="s">
        <v>319</v>
      </c>
      <c r="HW459" s="12" t="s">
        <v>319</v>
      </c>
      <c r="HX459" s="12" t="s">
        <v>320</v>
      </c>
      <c r="HY459" s="12" t="s">
        <v>7947</v>
      </c>
      <c r="HZ459" s="11" t="s">
        <v>394</v>
      </c>
      <c r="IA459" s="12" t="s">
        <v>7948</v>
      </c>
      <c r="IB459" s="12" t="s">
        <v>396</v>
      </c>
      <c r="IC459" s="12" t="s">
        <v>7949</v>
      </c>
      <c r="ID459" s="12" t="s">
        <v>334</v>
      </c>
      <c r="IE459" s="12" t="s">
        <v>335</v>
      </c>
      <c r="IF459" s="12" t="s">
        <v>320</v>
      </c>
      <c r="IG459" s="12" t="s">
        <v>320</v>
      </c>
      <c r="IH459" s="12" t="s">
        <v>320</v>
      </c>
      <c r="II459" s="12" t="s">
        <v>320</v>
      </c>
      <c r="IJ459" s="12" t="str">
        <f t="shared" si="302"/>
        <v>2. Sensitive</v>
      </c>
      <c r="IK459" s="12">
        <f t="shared" si="303"/>
        <v>4</v>
      </c>
      <c r="IL459" s="11" t="s">
        <v>621</v>
      </c>
      <c r="IM459" s="12" t="s">
        <v>320</v>
      </c>
      <c r="IN459" s="12" t="s">
        <v>320</v>
      </c>
      <c r="IO459" s="12" t="s">
        <v>320</v>
      </c>
      <c r="IP459" s="12" t="s">
        <v>320</v>
      </c>
      <c r="IQ459" s="12" t="str">
        <f t="shared" si="304"/>
        <v>4. Transformational</v>
      </c>
      <c r="IR459" s="12">
        <f t="shared" si="305"/>
        <v>4</v>
      </c>
      <c r="IS459" s="12" t="s">
        <v>337</v>
      </c>
      <c r="IT459" s="12" t="s">
        <v>320</v>
      </c>
      <c r="IU459" s="12" t="s">
        <v>320</v>
      </c>
      <c r="IV459" s="12" t="s">
        <v>320</v>
      </c>
      <c r="IW459" s="11" t="str">
        <f t="shared" si="306"/>
        <v>2. Sensitive</v>
      </c>
      <c r="IX459" s="12">
        <f t="shared" si="307"/>
        <v>3</v>
      </c>
      <c r="IY459" s="11" t="s">
        <v>419</v>
      </c>
      <c r="IZ459" s="11" t="s">
        <v>527</v>
      </c>
      <c r="JA459" s="12">
        <v>4</v>
      </c>
      <c r="JB459" s="11" t="s">
        <v>623</v>
      </c>
      <c r="JC459" s="11" t="s">
        <v>687</v>
      </c>
      <c r="JD459" s="12" t="s">
        <v>651</v>
      </c>
      <c r="JE459" s="12" t="s">
        <v>365</v>
      </c>
      <c r="JF459" s="12" t="s">
        <v>7950</v>
      </c>
      <c r="JG459" s="12" t="s">
        <v>7951</v>
      </c>
      <c r="JH459" s="12" t="s">
        <v>7952</v>
      </c>
      <c r="JI459" s="12" t="s">
        <v>7953</v>
      </c>
      <c r="JJ459" s="12" t="s">
        <v>7954</v>
      </c>
      <c r="JK459" s="12" t="s">
        <v>7955</v>
      </c>
      <c r="JL459" s="12" t="s">
        <v>7956</v>
      </c>
      <c r="JM459" s="12" t="s">
        <v>7957</v>
      </c>
      <c r="JN459" s="12" t="s">
        <v>7958</v>
      </c>
      <c r="JO459" s="12" t="s">
        <v>7959</v>
      </c>
      <c r="JP459" s="15">
        <f t="shared" si="308"/>
        <v>29757</v>
      </c>
      <c r="JQ459" s="15">
        <f t="shared" si="309"/>
        <v>185243</v>
      </c>
      <c r="JR459" s="279">
        <f t="shared" si="310"/>
        <v>6.225190711429244</v>
      </c>
      <c r="JS459" s="17">
        <f t="shared" si="311"/>
        <v>0.4760560540377054</v>
      </c>
      <c r="JT459" s="18">
        <f t="shared" si="312"/>
        <v>0.74999865042133851</v>
      </c>
      <c r="JU459" s="280">
        <f t="shared" si="313"/>
        <v>14166</v>
      </c>
      <c r="JV459" s="280">
        <f t="shared" si="314"/>
        <v>138932</v>
      </c>
      <c r="JW459" s="319">
        <f t="shared" si="315"/>
        <v>1</v>
      </c>
      <c r="JX459" s="15">
        <f t="shared" si="316"/>
        <v>0</v>
      </c>
      <c r="JY459" s="15">
        <f t="shared" si="317"/>
        <v>0</v>
      </c>
      <c r="JZ459" s="19" t="str">
        <f t="shared" si="318"/>
        <v/>
      </c>
      <c r="KA459" s="52">
        <f t="shared" si="319"/>
        <v>1</v>
      </c>
      <c r="KB459" s="15">
        <f t="shared" si="320"/>
        <v>29757</v>
      </c>
      <c r="KC459" s="15">
        <f t="shared" si="321"/>
        <v>185243</v>
      </c>
      <c r="KD459" s="20">
        <f t="shared" si="322"/>
        <v>6.225190711429244</v>
      </c>
      <c r="KE459" s="52">
        <f t="shared" si="323"/>
        <v>1</v>
      </c>
      <c r="KF459" s="15">
        <f t="shared" si="324"/>
        <v>29757</v>
      </c>
      <c r="KG459" s="15">
        <f t="shared" si="325"/>
        <v>185243</v>
      </c>
      <c r="KH459" s="21">
        <f t="shared" si="326"/>
        <v>6.225190711429244</v>
      </c>
      <c r="KI459" s="52">
        <f t="shared" si="327"/>
        <v>1</v>
      </c>
      <c r="KJ459" s="15">
        <f t="shared" si="328"/>
        <v>29757</v>
      </c>
      <c r="KK459" s="15">
        <f t="shared" si="329"/>
        <v>185243</v>
      </c>
      <c r="KL459" s="19">
        <f t="shared" si="330"/>
        <v>6.225190711429244</v>
      </c>
      <c r="KM459" s="52">
        <f t="shared" si="331"/>
        <v>1</v>
      </c>
      <c r="KN459" s="22">
        <f t="shared" si="332"/>
        <v>1039</v>
      </c>
      <c r="KO459" s="22">
        <f t="shared" si="333"/>
        <v>185243</v>
      </c>
      <c r="KP459" s="19">
        <f t="shared" si="334"/>
        <v>178.28970163618865</v>
      </c>
      <c r="KQ459" s="11" t="str">
        <f t="shared" si="335"/>
        <v>2. Sensitive</v>
      </c>
      <c r="KR459" s="11" t="str">
        <f t="shared" si="336"/>
        <v>4. Transformational</v>
      </c>
      <c r="KS459" s="11" t="str">
        <f t="shared" si="337"/>
        <v>2. Sensitive</v>
      </c>
      <c r="KT459" s="11" t="str">
        <f t="shared" si="338"/>
        <v>It tested new ways for fighting poverty, but did not measure results of innovation</v>
      </c>
      <c r="KU459" s="11" t="str">
        <f t="shared" si="339"/>
        <v>Intensive advocacy</v>
      </c>
      <c r="KV459" s="11" t="str">
        <f t="shared" si="340"/>
        <v>It linked and worked with strategic alliances and partners to take tested and effective solutions to scale</v>
      </c>
      <c r="KW459" s="11" t="str">
        <f t="shared" si="341"/>
        <v>Mali - Education For Change Jannde Yirriwere  </v>
      </c>
      <c r="KX459" s="11" t="str">
        <f t="shared" si="342"/>
        <v>Education For Change Jannde Yirriwere  </v>
      </c>
      <c r="KY459" s="11" t="str">
        <f t="shared" si="343"/>
        <v>Mali</v>
      </c>
      <c r="KZ459" s="12">
        <v>459</v>
      </c>
    </row>
    <row r="460" spans="1:312" x14ac:dyDescent="0.3">
      <c r="A460" s="12" t="s">
        <v>7835</v>
      </c>
      <c r="B460" s="12" t="s">
        <v>1596</v>
      </c>
      <c r="C460" s="12"/>
      <c r="D460" s="12" t="s">
        <v>7960</v>
      </c>
      <c r="E460" s="277" t="str">
        <f t="shared" si="301"/>
        <v>Mali</v>
      </c>
      <c r="F460" s="12" t="s">
        <v>7961</v>
      </c>
      <c r="G460" s="12" t="s">
        <v>379</v>
      </c>
      <c r="H460" s="11" t="s">
        <v>310</v>
      </c>
      <c r="I460" s="12" t="s">
        <v>655</v>
      </c>
      <c r="J460" s="281" t="s">
        <v>4991</v>
      </c>
      <c r="K460" s="12"/>
      <c r="L460" s="12"/>
      <c r="M460" s="12"/>
      <c r="N460" s="12"/>
      <c r="O460" s="12"/>
      <c r="P460" s="12"/>
      <c r="Q460" s="12"/>
      <c r="R460" s="12"/>
      <c r="S460" s="12"/>
      <c r="T460" s="12"/>
      <c r="U460" s="12"/>
      <c r="V460" s="12"/>
      <c r="W460" s="12"/>
      <c r="X460" s="12"/>
      <c r="Y460" s="12"/>
      <c r="Z460" s="12"/>
      <c r="AA460" s="12"/>
      <c r="AB460" s="12"/>
      <c r="AC460" s="12"/>
      <c r="AD460" s="12"/>
      <c r="BD460" s="13">
        <v>42277</v>
      </c>
      <c r="BE460" s="13">
        <v>44104</v>
      </c>
      <c r="BF460" s="12"/>
      <c r="BG460" s="12" t="s">
        <v>908</v>
      </c>
      <c r="BH460" s="14">
        <v>44999998</v>
      </c>
      <c r="BI460" s="12" t="s">
        <v>7962</v>
      </c>
      <c r="BJ460" s="12" t="s">
        <v>7963</v>
      </c>
      <c r="BK460" s="12" t="s">
        <v>7964</v>
      </c>
      <c r="BL460" s="12" t="s">
        <v>7965</v>
      </c>
      <c r="BM460" s="12" t="s">
        <v>7434</v>
      </c>
      <c r="BN460" s="12" t="s">
        <v>7966</v>
      </c>
      <c r="BO460" s="11" t="s">
        <v>319</v>
      </c>
      <c r="BP460" s="11" t="s">
        <v>320</v>
      </c>
      <c r="BQ460" s="11" t="s">
        <v>319</v>
      </c>
      <c r="BR460" s="12" t="s">
        <v>7967</v>
      </c>
      <c r="BS460" s="12" t="s">
        <v>357</v>
      </c>
      <c r="BT460" s="12" t="s">
        <v>7968</v>
      </c>
      <c r="BU460" s="12" t="s">
        <v>7969</v>
      </c>
      <c r="BV460" s="14">
        <v>69310</v>
      </c>
      <c r="BW460" s="14">
        <v>33223</v>
      </c>
      <c r="BX460" s="14">
        <v>102533</v>
      </c>
      <c r="BY460" s="14">
        <v>69200</v>
      </c>
      <c r="BZ460" s="14">
        <v>98267</v>
      </c>
      <c r="CA460" s="14">
        <v>167467</v>
      </c>
      <c r="CB460" s="12" t="s">
        <v>7970</v>
      </c>
      <c r="CD460" s="14"/>
      <c r="CE460" s="14"/>
      <c r="CF460" s="14"/>
      <c r="CG460" s="14"/>
      <c r="CH460" s="14"/>
      <c r="CI460" s="14"/>
      <c r="CJ460" s="12"/>
      <c r="CK460" s="14"/>
      <c r="CL460" s="16"/>
      <c r="CM460" s="14"/>
      <c r="CN460" s="12"/>
      <c r="CO460" s="14"/>
      <c r="CP460" s="16"/>
      <c r="CQ460" s="14"/>
      <c r="CR460" s="12"/>
      <c r="CS460" s="14"/>
      <c r="CT460" s="16"/>
      <c r="CU460" s="14"/>
      <c r="CV460" s="12"/>
      <c r="CW460" s="14"/>
      <c r="CX460" s="16"/>
      <c r="CY460" s="14"/>
      <c r="CZ460" s="12"/>
      <c r="DA460" s="14"/>
      <c r="DB460" s="16"/>
      <c r="DC460" s="14"/>
      <c r="DD460" s="12"/>
      <c r="DE460" s="14"/>
      <c r="DF460" s="16"/>
      <c r="DG460" s="14"/>
      <c r="DH460" s="12"/>
      <c r="DI460" s="14"/>
      <c r="DJ460" s="16"/>
      <c r="DK460" s="14"/>
      <c r="DL460" s="12"/>
      <c r="DM460" s="14"/>
      <c r="DN460" s="16"/>
      <c r="DO460" s="14"/>
      <c r="DP460" s="12"/>
      <c r="DQ460" s="14"/>
      <c r="DR460" s="16"/>
      <c r="DS460" s="14"/>
      <c r="DT460" s="12"/>
      <c r="DU460" s="14"/>
      <c r="DV460" s="16"/>
      <c r="DW460" s="14"/>
      <c r="DX460" s="12"/>
      <c r="DY460" s="14"/>
      <c r="DZ460" s="16"/>
      <c r="EA460" s="14"/>
      <c r="EB460" s="12"/>
      <c r="EC460" s="14"/>
      <c r="ED460" s="16"/>
      <c r="EE460" s="14"/>
      <c r="EF460" s="12"/>
      <c r="EG460" s="12"/>
      <c r="EH460" s="14"/>
      <c r="EI460" s="16"/>
      <c r="EJ460" s="14"/>
      <c r="EK460" s="14">
        <v>69310</v>
      </c>
      <c r="EL460" s="14">
        <v>33223</v>
      </c>
      <c r="EM460" s="14">
        <v>102533</v>
      </c>
      <c r="EN460" s="14">
        <v>69200</v>
      </c>
      <c r="EO460" s="14">
        <v>98267</v>
      </c>
      <c r="EP460" s="14">
        <v>167467</v>
      </c>
      <c r="EQ460" s="12" t="s">
        <v>320</v>
      </c>
      <c r="ER460" s="14">
        <v>7826</v>
      </c>
      <c r="ES460" s="16">
        <v>0.625</v>
      </c>
      <c r="ET460" s="14">
        <v>39130</v>
      </c>
      <c r="EU460" s="11" t="s">
        <v>320</v>
      </c>
      <c r="EV460" s="14">
        <v>3050</v>
      </c>
      <c r="EW460" s="16">
        <v>0.29099999999999998</v>
      </c>
      <c r="EX460" s="14">
        <v>15250</v>
      </c>
      <c r="EY460" s="12" t="s">
        <v>320</v>
      </c>
      <c r="EZ460" s="14">
        <v>927</v>
      </c>
      <c r="FA460" s="16">
        <v>0.29199999999999998</v>
      </c>
      <c r="FB460" s="14">
        <v>4635</v>
      </c>
      <c r="FC460" s="12" t="s">
        <v>320</v>
      </c>
      <c r="FD460" s="14">
        <v>3050</v>
      </c>
      <c r="FE460" s="16">
        <v>0.29099999999999998</v>
      </c>
      <c r="FF460" s="14">
        <v>15250</v>
      </c>
      <c r="FG460" s="12" t="s">
        <v>320</v>
      </c>
      <c r="FH460" s="14">
        <v>1142</v>
      </c>
      <c r="FI460" s="16">
        <v>0.99399999999999999</v>
      </c>
      <c r="FJ460" s="14">
        <v>5710</v>
      </c>
      <c r="FK460" s="12" t="s">
        <v>320</v>
      </c>
      <c r="FL460" s="14"/>
      <c r="FM460" s="16"/>
      <c r="FN460" s="14"/>
      <c r="FO460" s="12" t="s">
        <v>320</v>
      </c>
      <c r="FP460" s="14">
        <v>15254</v>
      </c>
      <c r="FQ460" s="16">
        <v>0.747</v>
      </c>
      <c r="FR460" s="14">
        <v>76270</v>
      </c>
      <c r="FS460" s="11" t="s">
        <v>320</v>
      </c>
      <c r="FT460" s="14"/>
      <c r="FU460" s="16"/>
      <c r="FV460" s="14"/>
      <c r="FW460" s="12" t="s">
        <v>320</v>
      </c>
      <c r="FX460" s="14"/>
      <c r="FY460" s="16"/>
      <c r="FZ460" s="14"/>
      <c r="GA460" s="12" t="s">
        <v>319</v>
      </c>
      <c r="GB460" s="14"/>
      <c r="GC460" s="16"/>
      <c r="GD460" s="14"/>
      <c r="GE460" s="11" t="s">
        <v>320</v>
      </c>
      <c r="GF460" s="14"/>
      <c r="GG460" s="16"/>
      <c r="GH460" s="14"/>
      <c r="GI460" s="11" t="s">
        <v>320</v>
      </c>
      <c r="GJ460" s="14">
        <v>927</v>
      </c>
      <c r="GK460" s="16">
        <v>0.29199999999999998</v>
      </c>
      <c r="GL460" s="14">
        <v>4635</v>
      </c>
      <c r="GM460" s="11" t="s">
        <v>320</v>
      </c>
      <c r="GN460" s="14">
        <v>927</v>
      </c>
      <c r="GO460" s="16">
        <v>0.29199999999999998</v>
      </c>
      <c r="GP460" s="14">
        <v>4635</v>
      </c>
      <c r="GQ460" s="12" t="s">
        <v>320</v>
      </c>
      <c r="GR460" s="14">
        <v>7428</v>
      </c>
      <c r="GS460" s="16">
        <v>0.875</v>
      </c>
      <c r="GT460" s="14">
        <v>37140</v>
      </c>
      <c r="GU460" s="12" t="s">
        <v>320</v>
      </c>
      <c r="GV460" s="14"/>
      <c r="GW460" s="16"/>
      <c r="GX460" s="14"/>
      <c r="GY460" s="12" t="s">
        <v>319</v>
      </c>
      <c r="GZ460" s="14"/>
      <c r="HA460" s="16"/>
      <c r="HB460" s="14"/>
      <c r="HC460" s="12"/>
      <c r="HD460" s="12"/>
      <c r="HE460" s="14"/>
      <c r="HF460" s="16"/>
      <c r="HG460" s="14"/>
      <c r="HH460" s="12" t="s">
        <v>319</v>
      </c>
      <c r="HI460" s="12"/>
      <c r="HJ460" s="12"/>
      <c r="HK460" s="12" t="s">
        <v>320</v>
      </c>
      <c r="HL460" s="12" t="s">
        <v>320</v>
      </c>
      <c r="HM460" s="12" t="s">
        <v>416</v>
      </c>
      <c r="HN460" s="12">
        <v>2018</v>
      </c>
      <c r="HO460" s="12" t="s">
        <v>7971</v>
      </c>
      <c r="HP460" s="12" t="s">
        <v>418</v>
      </c>
      <c r="HQ460" s="12" t="s">
        <v>319</v>
      </c>
      <c r="HR460" s="12" t="s">
        <v>319</v>
      </c>
      <c r="HS460" s="12" t="s">
        <v>319</v>
      </c>
      <c r="HT460" s="12" t="s">
        <v>319</v>
      </c>
      <c r="HU460" s="12" t="s">
        <v>319</v>
      </c>
      <c r="HV460" s="12" t="s">
        <v>319</v>
      </c>
      <c r="HW460" s="12" t="s">
        <v>319</v>
      </c>
      <c r="HX460" s="12"/>
      <c r="HY460" s="12"/>
      <c r="HZ460" s="11" t="s">
        <v>394</v>
      </c>
      <c r="IA460" s="12" t="s">
        <v>7972</v>
      </c>
      <c r="IB460" s="12" t="s">
        <v>396</v>
      </c>
      <c r="IC460" s="12" t="s">
        <v>7973</v>
      </c>
      <c r="ID460" s="12" t="s">
        <v>334</v>
      </c>
      <c r="IE460" s="12" t="s">
        <v>335</v>
      </c>
      <c r="IF460" s="12" t="s">
        <v>320</v>
      </c>
      <c r="IG460" s="12" t="s">
        <v>320</v>
      </c>
      <c r="IH460" s="12" t="s">
        <v>320</v>
      </c>
      <c r="II460" s="12" t="s">
        <v>320</v>
      </c>
      <c r="IJ460" s="12" t="str">
        <f t="shared" si="302"/>
        <v>2. Sensitive</v>
      </c>
      <c r="IK460" s="12">
        <f t="shared" si="303"/>
        <v>4</v>
      </c>
      <c r="IL460" s="12" t="s">
        <v>336</v>
      </c>
      <c r="IM460" s="12" t="s">
        <v>320</v>
      </c>
      <c r="IN460" s="12" t="s">
        <v>320</v>
      </c>
      <c r="IO460" s="12" t="s">
        <v>319</v>
      </c>
      <c r="IP460" s="12" t="s">
        <v>320</v>
      </c>
      <c r="IQ460" s="12" t="str">
        <f t="shared" si="304"/>
        <v>2. Accommodating</v>
      </c>
      <c r="IR460" s="12">
        <f t="shared" si="305"/>
        <v>3</v>
      </c>
      <c r="IS460" s="12" t="s">
        <v>337</v>
      </c>
      <c r="IT460" s="12" t="s">
        <v>320</v>
      </c>
      <c r="IU460" s="12" t="s">
        <v>320</v>
      </c>
      <c r="IV460" s="12" t="s">
        <v>320</v>
      </c>
      <c r="IW460" s="11" t="str">
        <f t="shared" si="306"/>
        <v>2. Sensitive</v>
      </c>
      <c r="IX460" s="12">
        <f t="shared" si="307"/>
        <v>3</v>
      </c>
      <c r="IY460" s="11" t="s">
        <v>419</v>
      </c>
      <c r="IZ460" s="12" t="s">
        <v>457</v>
      </c>
      <c r="JA460" s="12">
        <v>6</v>
      </c>
      <c r="JB460" s="12" t="s">
        <v>651</v>
      </c>
      <c r="JC460" s="12" t="s">
        <v>623</v>
      </c>
      <c r="JD460" s="12" t="s">
        <v>832</v>
      </c>
      <c r="JE460" s="12" t="s">
        <v>340</v>
      </c>
      <c r="JF460" s="12" t="s">
        <v>7974</v>
      </c>
      <c r="JG460" s="12" t="s">
        <v>7975</v>
      </c>
      <c r="JH460" s="12" t="s">
        <v>7976</v>
      </c>
      <c r="JI460" s="12" t="s">
        <v>2801</v>
      </c>
      <c r="JJ460" s="12" t="s">
        <v>7977</v>
      </c>
      <c r="JK460" s="12"/>
      <c r="JL460" s="12"/>
      <c r="JM460" s="12"/>
      <c r="JN460" s="12"/>
      <c r="JO460" s="12" t="s">
        <v>7978</v>
      </c>
      <c r="JP460" s="15">
        <f t="shared" si="308"/>
        <v>102533</v>
      </c>
      <c r="JQ460" s="15">
        <f t="shared" si="309"/>
        <v>167467</v>
      </c>
      <c r="JR460" s="279">
        <f t="shared" si="310"/>
        <v>1.6332985477846156</v>
      </c>
      <c r="JS460" s="17">
        <f t="shared" si="311"/>
        <v>0.67597749017389519</v>
      </c>
      <c r="JT460" s="18">
        <f t="shared" si="312"/>
        <v>0.41321573802599915</v>
      </c>
      <c r="JU460" s="280">
        <f t="shared" si="313"/>
        <v>69310</v>
      </c>
      <c r="JV460" s="280">
        <f t="shared" si="314"/>
        <v>69200</v>
      </c>
      <c r="JW460" s="319" t="str">
        <f t="shared" si="315"/>
        <v/>
      </c>
      <c r="JX460" s="15">
        <f t="shared" si="316"/>
        <v>0</v>
      </c>
      <c r="JY460" s="15">
        <f t="shared" si="317"/>
        <v>0</v>
      </c>
      <c r="JZ460" s="19" t="str">
        <f t="shared" si="318"/>
        <v/>
      </c>
      <c r="KA460" s="52">
        <f t="shared" si="319"/>
        <v>1</v>
      </c>
      <c r="KB460" s="15">
        <f t="shared" si="320"/>
        <v>15254</v>
      </c>
      <c r="KC460" s="15">
        <f t="shared" si="321"/>
        <v>76270</v>
      </c>
      <c r="KD460" s="20">
        <f t="shared" si="322"/>
        <v>5</v>
      </c>
      <c r="KE460" s="52">
        <f t="shared" si="323"/>
        <v>1</v>
      </c>
      <c r="KF460" s="15">
        <f t="shared" si="324"/>
        <v>7428</v>
      </c>
      <c r="KG460" s="15">
        <f t="shared" si="325"/>
        <v>37140</v>
      </c>
      <c r="KH460" s="21">
        <f t="shared" si="326"/>
        <v>5</v>
      </c>
      <c r="KI460" s="52">
        <f t="shared" si="327"/>
        <v>1</v>
      </c>
      <c r="KJ460" s="15">
        <f t="shared" si="328"/>
        <v>0</v>
      </c>
      <c r="KK460" s="15">
        <f t="shared" si="329"/>
        <v>0</v>
      </c>
      <c r="KL460" s="19" t="str">
        <f t="shared" si="330"/>
        <v/>
      </c>
      <c r="KM460" s="52">
        <f t="shared" si="331"/>
        <v>1</v>
      </c>
      <c r="KN460" s="22">
        <f t="shared" si="332"/>
        <v>1135.1479999999999</v>
      </c>
      <c r="KO460" s="22">
        <f t="shared" si="333"/>
        <v>5675.74</v>
      </c>
      <c r="KP460" s="19">
        <f t="shared" si="334"/>
        <v>5</v>
      </c>
      <c r="KQ460" s="11" t="str">
        <f t="shared" si="335"/>
        <v>2. Sensitive</v>
      </c>
      <c r="KR460" s="11" t="str">
        <f t="shared" si="336"/>
        <v>2. Accommodating</v>
      </c>
      <c r="KS460" s="11" t="str">
        <f t="shared" si="337"/>
        <v>2. Sensitive</v>
      </c>
      <c r="KT460" s="11" t="str">
        <f t="shared" si="338"/>
        <v>It tested new ways for fighting poverty, but did not measure results of innovation</v>
      </c>
      <c r="KU460" s="11" t="str">
        <f t="shared" si="339"/>
        <v>Little or no advocacy</v>
      </c>
      <c r="KV460" s="11" t="str">
        <f t="shared" si="340"/>
        <v>It linked and worked with strategic alliances and partners to take tested and effective solutions to scale</v>
      </c>
      <c r="KW460" s="11" t="str">
        <f t="shared" si="341"/>
        <v>Mali - Human Capital, Accountability and Resilience Advancing Nutrition Security, Diversified Livelihoods and Empowerment (HARANDE)</v>
      </c>
      <c r="KX460" s="11" t="str">
        <f t="shared" si="342"/>
        <v>Human Capital, Accountability and Resilience Advancing Nutrition Security, Diversified Livelihoods and Empowerment (HARANDE)</v>
      </c>
      <c r="KY460" s="11" t="str">
        <f t="shared" si="343"/>
        <v>Mali</v>
      </c>
      <c r="KZ460" s="12">
        <v>460</v>
      </c>
    </row>
    <row r="461" spans="1:312" x14ac:dyDescent="0.3">
      <c r="A461" s="12" t="s">
        <v>7835</v>
      </c>
      <c r="B461" s="12" t="s">
        <v>1596</v>
      </c>
      <c r="C461" s="12">
        <v>3625</v>
      </c>
      <c r="D461" s="12" t="s">
        <v>7836</v>
      </c>
      <c r="E461" s="24" t="str">
        <f t="shared" si="301"/>
        <v>Mali</v>
      </c>
      <c r="F461" s="12" t="s">
        <v>7837</v>
      </c>
      <c r="G461" s="12" t="s">
        <v>376</v>
      </c>
      <c r="H461" s="11" t="s">
        <v>310</v>
      </c>
      <c r="I461" s="12" t="s">
        <v>377</v>
      </c>
      <c r="J461" s="278" t="s">
        <v>14564</v>
      </c>
      <c r="K461" s="12"/>
      <c r="L461" s="12"/>
      <c r="M461" s="12"/>
      <c r="N461" s="12"/>
      <c r="O461" s="12"/>
      <c r="P461" s="12"/>
      <c r="Q461" s="12"/>
      <c r="R461" s="12"/>
      <c r="S461" s="12"/>
      <c r="T461" s="12"/>
      <c r="U461" s="12"/>
      <c r="V461" s="12"/>
      <c r="W461" s="12"/>
      <c r="X461" s="12"/>
      <c r="Y461" s="12"/>
      <c r="Z461" s="12"/>
      <c r="AA461" s="12"/>
      <c r="AB461" s="12"/>
      <c r="AC461" s="12"/>
      <c r="AD461" s="12"/>
      <c r="BD461" s="13">
        <v>42090</v>
      </c>
      <c r="BE461" s="13">
        <v>42824</v>
      </c>
      <c r="BF461" s="13">
        <v>43008</v>
      </c>
      <c r="BG461" s="12" t="s">
        <v>609</v>
      </c>
      <c r="BH461" s="14">
        <v>982635</v>
      </c>
      <c r="BI461" s="12" t="s">
        <v>7838</v>
      </c>
      <c r="BJ461" s="12" t="s">
        <v>354</v>
      </c>
      <c r="BK461" s="12" t="s">
        <v>7839</v>
      </c>
      <c r="BL461" s="12" t="s">
        <v>7840</v>
      </c>
      <c r="BM461" s="12" t="s">
        <v>7841</v>
      </c>
      <c r="BN461" s="12" t="s">
        <v>7842</v>
      </c>
      <c r="BO461" s="11" t="s">
        <v>319</v>
      </c>
      <c r="BP461" s="11" t="s">
        <v>320</v>
      </c>
      <c r="BQ461" s="11" t="s">
        <v>319</v>
      </c>
      <c r="BR461" s="12" t="s">
        <v>7843</v>
      </c>
      <c r="BS461" s="12" t="s">
        <v>357</v>
      </c>
      <c r="BT461" s="12" t="s">
        <v>7844</v>
      </c>
      <c r="BU461" s="12" t="s">
        <v>7845</v>
      </c>
      <c r="BV461" s="14">
        <v>5941</v>
      </c>
      <c r="BW461" s="14">
        <v>5224</v>
      </c>
      <c r="BX461" s="14">
        <v>11165</v>
      </c>
      <c r="BY461" s="14">
        <v>379651</v>
      </c>
      <c r="BZ461" s="14">
        <v>271871</v>
      </c>
      <c r="CA461" s="14">
        <v>651522</v>
      </c>
      <c r="CB461" s="12" t="s">
        <v>7845</v>
      </c>
      <c r="CD461" s="14"/>
      <c r="CE461" s="14"/>
      <c r="CF461" s="14"/>
      <c r="CG461" s="14"/>
      <c r="CH461" s="14"/>
      <c r="CI461" s="14"/>
      <c r="CJ461" s="12"/>
      <c r="CK461" s="14"/>
      <c r="CL461" s="16"/>
      <c r="CM461" s="14"/>
      <c r="CN461" s="12"/>
      <c r="CO461" s="14"/>
      <c r="CP461" s="16"/>
      <c r="CQ461" s="14"/>
      <c r="CR461" s="12"/>
      <c r="CS461" s="14"/>
      <c r="CT461" s="16"/>
      <c r="CU461" s="14"/>
      <c r="CV461" s="12"/>
      <c r="CW461" s="14"/>
      <c r="CX461" s="16"/>
      <c r="CY461" s="14"/>
      <c r="CZ461" s="12"/>
      <c r="DA461" s="14"/>
      <c r="DB461" s="16"/>
      <c r="DC461" s="14"/>
      <c r="DD461" s="12"/>
      <c r="DE461" s="14"/>
      <c r="DF461" s="16"/>
      <c r="DG461" s="14"/>
      <c r="DH461" s="12"/>
      <c r="DI461" s="14"/>
      <c r="DJ461" s="16"/>
      <c r="DK461" s="14"/>
      <c r="DL461" s="12"/>
      <c r="DM461" s="14"/>
      <c r="DN461" s="16"/>
      <c r="DO461" s="14"/>
      <c r="DP461" s="12"/>
      <c r="DQ461" s="14"/>
      <c r="DR461" s="16"/>
      <c r="DS461" s="14"/>
      <c r="DT461" s="12"/>
      <c r="DU461" s="14"/>
      <c r="DV461" s="16"/>
      <c r="DW461" s="14"/>
      <c r="DX461" s="12"/>
      <c r="DY461" s="14"/>
      <c r="DZ461" s="16"/>
      <c r="EA461" s="14"/>
      <c r="EB461" s="12"/>
      <c r="EC461" s="14"/>
      <c r="ED461" s="16"/>
      <c r="EE461" s="14"/>
      <c r="EF461" s="12"/>
      <c r="EG461" s="12"/>
      <c r="EH461" s="14"/>
      <c r="EI461" s="16"/>
      <c r="EJ461" s="14"/>
      <c r="EK461" s="14">
        <v>3565</v>
      </c>
      <c r="EL461" s="14">
        <v>3135</v>
      </c>
      <c r="EM461" s="14">
        <v>6700</v>
      </c>
      <c r="EN461" s="14">
        <v>227790</v>
      </c>
      <c r="EO461" s="14">
        <v>163122</v>
      </c>
      <c r="EP461" s="14">
        <v>390912</v>
      </c>
      <c r="EQ461" s="12" t="s">
        <v>319</v>
      </c>
      <c r="ER461" s="14"/>
      <c r="ES461" s="16"/>
      <c r="ET461" s="14"/>
      <c r="EU461" s="11" t="s">
        <v>319</v>
      </c>
      <c r="EV461" s="14"/>
      <c r="EW461" s="16"/>
      <c r="EX461" s="14"/>
      <c r="EY461" s="12" t="s">
        <v>319</v>
      </c>
      <c r="EZ461" s="14"/>
      <c r="FA461" s="16"/>
      <c r="FB461" s="14"/>
      <c r="FC461" s="12" t="s">
        <v>319</v>
      </c>
      <c r="FD461" s="14"/>
      <c r="FE461" s="16"/>
      <c r="FF461" s="14"/>
      <c r="FG461" s="12" t="s">
        <v>320</v>
      </c>
      <c r="FH461" s="14">
        <v>3560</v>
      </c>
      <c r="FI461" s="16">
        <v>1</v>
      </c>
      <c r="FJ461" s="14">
        <v>227790</v>
      </c>
      <c r="FK461" s="12" t="s">
        <v>320</v>
      </c>
      <c r="FL461" s="14">
        <v>1206</v>
      </c>
      <c r="FM461" s="16"/>
      <c r="FN461" s="14"/>
      <c r="FO461" s="12" t="s">
        <v>319</v>
      </c>
      <c r="FP461" s="14"/>
      <c r="FQ461" s="16"/>
      <c r="FR461" s="14"/>
      <c r="FS461" s="12" t="s">
        <v>320</v>
      </c>
      <c r="FT461" s="14">
        <v>3565</v>
      </c>
      <c r="FU461" s="16">
        <v>1</v>
      </c>
      <c r="FV461" s="14">
        <v>390912</v>
      </c>
      <c r="FW461" s="11" t="s">
        <v>320</v>
      </c>
      <c r="FX461" s="14">
        <v>1157</v>
      </c>
      <c r="FY461" s="16">
        <v>1</v>
      </c>
      <c r="FZ461" s="14">
        <v>132127</v>
      </c>
      <c r="GA461" s="12" t="s">
        <v>320</v>
      </c>
      <c r="GB461" s="14"/>
      <c r="GC461" s="16"/>
      <c r="GD461" s="14"/>
      <c r="GE461" s="12" t="s">
        <v>319</v>
      </c>
      <c r="GF461" s="14"/>
      <c r="GG461" s="16"/>
      <c r="GH461" s="14"/>
      <c r="GI461" s="12" t="s">
        <v>319</v>
      </c>
      <c r="GJ461" s="14"/>
      <c r="GK461" s="16"/>
      <c r="GL461" s="14"/>
      <c r="GM461" s="12" t="s">
        <v>319</v>
      </c>
      <c r="GN461" s="14"/>
      <c r="GO461" s="16"/>
      <c r="GP461" s="14"/>
      <c r="GQ461" s="12" t="s">
        <v>320</v>
      </c>
      <c r="GR461" s="14">
        <v>1157</v>
      </c>
      <c r="GS461" s="16">
        <v>1</v>
      </c>
      <c r="GT461" s="14">
        <v>132127</v>
      </c>
      <c r="GU461" s="12" t="s">
        <v>319</v>
      </c>
      <c r="GV461" s="14"/>
      <c r="GW461" s="16"/>
      <c r="GX461" s="14"/>
      <c r="GY461" s="11" t="s">
        <v>320</v>
      </c>
      <c r="GZ461" s="14">
        <v>3560</v>
      </c>
      <c r="HA461" s="16">
        <v>1</v>
      </c>
      <c r="HB461" s="14">
        <v>227790</v>
      </c>
      <c r="HC461" s="12"/>
      <c r="HD461" s="12"/>
      <c r="HE461" s="14"/>
      <c r="HF461" s="16"/>
      <c r="HG461" s="14"/>
      <c r="HH461" s="12" t="s">
        <v>320</v>
      </c>
      <c r="HI461" s="12" t="s">
        <v>431</v>
      </c>
      <c r="HJ461" s="12">
        <v>2017</v>
      </c>
      <c r="HK461" s="12" t="s">
        <v>320</v>
      </c>
      <c r="HL461" s="12" t="s">
        <v>319</v>
      </c>
      <c r="HM461" s="12"/>
      <c r="HN461" s="12"/>
      <c r="HO461" s="12"/>
      <c r="HP461" s="12" t="s">
        <v>453</v>
      </c>
      <c r="HQ461" s="12" t="s">
        <v>320</v>
      </c>
      <c r="HR461" s="12" t="s">
        <v>320</v>
      </c>
      <c r="HS461" s="12"/>
      <c r="HT461" s="12" t="s">
        <v>320</v>
      </c>
      <c r="HU461" s="12"/>
      <c r="HV461" s="12" t="s">
        <v>320</v>
      </c>
      <c r="HW461" s="12" t="s">
        <v>320</v>
      </c>
      <c r="HX461" s="12"/>
      <c r="HY461" s="12"/>
      <c r="HZ461" s="12" t="s">
        <v>331</v>
      </c>
      <c r="IA461" s="12" t="s">
        <v>7846</v>
      </c>
      <c r="IB461" s="12" t="s">
        <v>396</v>
      </c>
      <c r="IC461" s="12" t="s">
        <v>7847</v>
      </c>
      <c r="ID461" s="11" t="s">
        <v>477</v>
      </c>
      <c r="IE461" s="12" t="s">
        <v>478</v>
      </c>
      <c r="IF461" s="12" t="s">
        <v>320</v>
      </c>
      <c r="IG461" s="12" t="s">
        <v>320</v>
      </c>
      <c r="IH461" s="12" t="s">
        <v>320</v>
      </c>
      <c r="II461" s="12" t="s">
        <v>320</v>
      </c>
      <c r="IJ461" s="12" t="str">
        <f t="shared" si="302"/>
        <v>4. Transformative</v>
      </c>
      <c r="IK461" s="12">
        <f t="shared" si="303"/>
        <v>4</v>
      </c>
      <c r="IL461" s="11" t="s">
        <v>621</v>
      </c>
      <c r="IM461" s="12" t="s">
        <v>320</v>
      </c>
      <c r="IN461" s="12" t="s">
        <v>320</v>
      </c>
      <c r="IO461" s="12" t="s">
        <v>320</v>
      </c>
      <c r="IP461" s="12" t="s">
        <v>320</v>
      </c>
      <c r="IQ461" s="12" t="str">
        <f t="shared" si="304"/>
        <v>4. Transformational</v>
      </c>
      <c r="IR461" s="12">
        <f t="shared" si="305"/>
        <v>4</v>
      </c>
      <c r="IS461" s="12"/>
      <c r="IT461" s="12"/>
      <c r="IU461" s="12"/>
      <c r="IV461" s="12"/>
      <c r="IW461" s="11" t="str">
        <f t="shared" si="306"/>
        <v>No marker score</v>
      </c>
      <c r="IX461" s="12">
        <f t="shared" si="307"/>
        <v>0</v>
      </c>
      <c r="IY461" s="12"/>
      <c r="IZ461" s="12"/>
      <c r="JA461" s="12">
        <v>6</v>
      </c>
      <c r="JB461" s="11" t="s">
        <v>433</v>
      </c>
      <c r="JC461" s="11" t="s">
        <v>831</v>
      </c>
      <c r="JD461" s="11" t="s">
        <v>1113</v>
      </c>
      <c r="JE461" s="12" t="s">
        <v>340</v>
      </c>
      <c r="JF461" s="12" t="s">
        <v>7848</v>
      </c>
      <c r="JG461" s="12" t="s">
        <v>7849</v>
      </c>
      <c r="JH461" s="12" t="s">
        <v>7850</v>
      </c>
      <c r="JI461" s="12" t="s">
        <v>7851</v>
      </c>
      <c r="JJ461" s="12" t="s">
        <v>7852</v>
      </c>
      <c r="JK461" s="12" t="s">
        <v>7853</v>
      </c>
      <c r="JL461" s="12" t="s">
        <v>7854</v>
      </c>
      <c r="JM461" s="12"/>
      <c r="JN461" s="12"/>
      <c r="JO461" s="12" t="s">
        <v>7855</v>
      </c>
      <c r="JP461" s="15">
        <f t="shared" si="308"/>
        <v>6700</v>
      </c>
      <c r="JQ461" s="15">
        <f t="shared" si="309"/>
        <v>390912</v>
      </c>
      <c r="JR461" s="279">
        <f t="shared" si="310"/>
        <v>58.345074626865674</v>
      </c>
      <c r="JS461" s="17">
        <f t="shared" si="311"/>
        <v>0.53208955223880594</v>
      </c>
      <c r="JT461" s="18">
        <f t="shared" si="312"/>
        <v>0.58271426817288796</v>
      </c>
      <c r="JU461" s="280">
        <f t="shared" si="313"/>
        <v>3565</v>
      </c>
      <c r="JV461" s="280">
        <f t="shared" si="314"/>
        <v>227790</v>
      </c>
      <c r="JW461" s="319" t="str">
        <f t="shared" si="315"/>
        <v/>
      </c>
      <c r="JX461" s="15">
        <f t="shared" si="316"/>
        <v>0</v>
      </c>
      <c r="JY461" s="15">
        <f t="shared" si="317"/>
        <v>0</v>
      </c>
      <c r="JZ461" s="19" t="str">
        <f t="shared" si="318"/>
        <v/>
      </c>
      <c r="KA461" s="52">
        <f t="shared" si="319"/>
        <v>1</v>
      </c>
      <c r="KB461" s="15">
        <f t="shared" si="320"/>
        <v>3560</v>
      </c>
      <c r="KC461" s="15">
        <f t="shared" si="321"/>
        <v>227790</v>
      </c>
      <c r="KD461" s="20">
        <f t="shared" si="322"/>
        <v>63.985955056179776</v>
      </c>
      <c r="KE461" s="52">
        <f t="shared" si="323"/>
        <v>1</v>
      </c>
      <c r="KF461" s="15">
        <f t="shared" si="324"/>
        <v>1157</v>
      </c>
      <c r="KG461" s="15">
        <f t="shared" si="325"/>
        <v>132127</v>
      </c>
      <c r="KH461" s="21">
        <f t="shared" si="326"/>
        <v>114.19792566983578</v>
      </c>
      <c r="KI461" s="52">
        <f t="shared" si="327"/>
        <v>1</v>
      </c>
      <c r="KJ461" s="15">
        <f t="shared" si="328"/>
        <v>3565</v>
      </c>
      <c r="KK461" s="15">
        <f t="shared" si="329"/>
        <v>390912</v>
      </c>
      <c r="KL461" s="19">
        <f t="shared" si="330"/>
        <v>109.65273492286116</v>
      </c>
      <c r="KM461" s="52">
        <f t="shared" si="331"/>
        <v>1</v>
      </c>
      <c r="KN461" s="22">
        <f t="shared" si="332"/>
        <v>3560</v>
      </c>
      <c r="KO461" s="22">
        <f t="shared" si="333"/>
        <v>227790</v>
      </c>
      <c r="KP461" s="19">
        <f t="shared" si="334"/>
        <v>63.985955056179776</v>
      </c>
      <c r="KQ461" s="11" t="str">
        <f t="shared" si="335"/>
        <v>4. Transformative</v>
      </c>
      <c r="KR461" s="11" t="str">
        <f t="shared" si="336"/>
        <v>4. Transformational</v>
      </c>
      <c r="KS461" s="11" t="str">
        <f t="shared" si="337"/>
        <v>No marker score</v>
      </c>
      <c r="KT461" s="11" t="str">
        <f t="shared" si="338"/>
        <v>It tested new ways for fighting poverty and measured results of innovation</v>
      </c>
      <c r="KU461" s="11" t="str">
        <f t="shared" si="339"/>
        <v>Intensive advocacy</v>
      </c>
      <c r="KV461" s="11" t="str">
        <f t="shared" si="340"/>
        <v>It linked and worked with strategic alliances and partners to take tested and effective solutions to scale</v>
      </c>
      <c r="KW461" s="11" t="str">
        <f t="shared" si="341"/>
        <v>Mali - Initiative TEMPS "Travaillons Ensemble Contre les Mariages Précoces"</v>
      </c>
      <c r="KX461" s="11" t="str">
        <f t="shared" si="342"/>
        <v>Initiative TEMPS "Travaillons Ensemble Contre les Mariages Précoces"</v>
      </c>
      <c r="KY461" s="11" t="str">
        <f t="shared" si="343"/>
        <v>Mali</v>
      </c>
      <c r="KZ461" s="12">
        <v>461</v>
      </c>
    </row>
    <row r="462" spans="1:312" x14ac:dyDescent="0.3">
      <c r="A462" s="12" t="s">
        <v>7835</v>
      </c>
      <c r="B462" s="12" t="s">
        <v>1596</v>
      </c>
      <c r="C462" s="12">
        <v>3631</v>
      </c>
      <c r="D462" s="12" t="s">
        <v>7856</v>
      </c>
      <c r="E462" s="24" t="str">
        <f t="shared" si="301"/>
        <v>Mali</v>
      </c>
      <c r="F462" s="12" t="s">
        <v>7857</v>
      </c>
      <c r="G462" s="12" t="s">
        <v>425</v>
      </c>
      <c r="H462" s="11" t="s">
        <v>310</v>
      </c>
      <c r="I462" s="12" t="s">
        <v>426</v>
      </c>
      <c r="J462" s="281" t="s">
        <v>14563</v>
      </c>
      <c r="K462" s="12"/>
      <c r="L462" s="12"/>
      <c r="M462" s="12"/>
      <c r="N462" s="12"/>
      <c r="O462" s="12"/>
      <c r="P462" s="12"/>
      <c r="Q462" s="12"/>
      <c r="R462" s="12"/>
      <c r="S462" s="12"/>
      <c r="T462" s="12"/>
      <c r="U462" s="12"/>
      <c r="V462" s="12"/>
      <c r="W462" s="12"/>
      <c r="X462" s="12"/>
      <c r="Y462" s="12"/>
      <c r="Z462" s="12"/>
      <c r="AA462" s="12"/>
      <c r="AB462" s="12"/>
      <c r="AC462" s="12"/>
      <c r="AD462" s="12"/>
      <c r="BD462" s="13">
        <v>42370</v>
      </c>
      <c r="BE462" s="13">
        <v>44196</v>
      </c>
      <c r="BF462" s="12"/>
      <c r="BG462" s="12" t="s">
        <v>749</v>
      </c>
      <c r="BH462" s="14">
        <v>1088691.5379999999</v>
      </c>
      <c r="BI462" s="12" t="s">
        <v>7858</v>
      </c>
      <c r="BJ462" s="12" t="s">
        <v>6912</v>
      </c>
      <c r="BK462" s="12" t="s">
        <v>7859</v>
      </c>
      <c r="BL462" s="12" t="s">
        <v>7860</v>
      </c>
      <c r="BM462" s="12" t="s">
        <v>7861</v>
      </c>
      <c r="BN462" s="12" t="s">
        <v>7862</v>
      </c>
      <c r="BO462" s="12" t="s">
        <v>319</v>
      </c>
      <c r="BP462" s="12" t="s">
        <v>320</v>
      </c>
      <c r="BQ462" s="12" t="s">
        <v>319</v>
      </c>
      <c r="BR462" s="12" t="s">
        <v>7863</v>
      </c>
      <c r="BS462" s="12" t="s">
        <v>615</v>
      </c>
      <c r="BT462" s="12" t="s">
        <v>7864</v>
      </c>
      <c r="BU462" s="12" t="s">
        <v>7865</v>
      </c>
      <c r="BV462" s="14">
        <v>5030</v>
      </c>
      <c r="BW462" s="14">
        <v>5030</v>
      </c>
      <c r="BX462" s="14">
        <v>10060</v>
      </c>
      <c r="BY462" s="14">
        <v>10088</v>
      </c>
      <c r="BZ462" s="14">
        <v>10034</v>
      </c>
      <c r="CA462" s="14">
        <v>20122</v>
      </c>
      <c r="CB462" s="12" t="s">
        <v>7866</v>
      </c>
      <c r="CD462" s="14"/>
      <c r="CE462" s="14"/>
      <c r="CF462" s="14"/>
      <c r="CG462" s="14"/>
      <c r="CH462" s="14"/>
      <c r="CI462" s="14"/>
      <c r="CJ462" s="12" t="s">
        <v>319</v>
      </c>
      <c r="CK462" s="14"/>
      <c r="CL462" s="16"/>
      <c r="CM462" s="14"/>
      <c r="CN462" s="12" t="s">
        <v>319</v>
      </c>
      <c r="CO462" s="14"/>
      <c r="CP462" s="16"/>
      <c r="CQ462" s="14"/>
      <c r="CR462" s="12" t="s">
        <v>319</v>
      </c>
      <c r="CS462" s="14"/>
      <c r="CT462" s="16"/>
      <c r="CU462" s="14"/>
      <c r="CV462" s="12" t="s">
        <v>319</v>
      </c>
      <c r="CW462" s="14"/>
      <c r="CX462" s="16"/>
      <c r="CY462" s="14"/>
      <c r="CZ462" s="12" t="s">
        <v>319</v>
      </c>
      <c r="DA462" s="14"/>
      <c r="DB462" s="16"/>
      <c r="DC462" s="14"/>
      <c r="DD462" s="12" t="s">
        <v>319</v>
      </c>
      <c r="DE462" s="14"/>
      <c r="DF462" s="16"/>
      <c r="DG462" s="14"/>
      <c r="DH462" s="12" t="s">
        <v>319</v>
      </c>
      <c r="DI462" s="14"/>
      <c r="DJ462" s="16"/>
      <c r="DK462" s="14"/>
      <c r="DL462" s="12" t="s">
        <v>319</v>
      </c>
      <c r="DM462" s="14"/>
      <c r="DN462" s="16"/>
      <c r="DO462" s="14"/>
      <c r="DP462" s="12" t="s">
        <v>319</v>
      </c>
      <c r="DQ462" s="14"/>
      <c r="DR462" s="16"/>
      <c r="DS462" s="14"/>
      <c r="DT462" s="12" t="s">
        <v>319</v>
      </c>
      <c r="DU462" s="14"/>
      <c r="DV462" s="16"/>
      <c r="DW462" s="14"/>
      <c r="DX462" s="12" t="s">
        <v>319</v>
      </c>
      <c r="DY462" s="14"/>
      <c r="DZ462" s="16"/>
      <c r="EA462" s="14"/>
      <c r="EB462" s="12" t="s">
        <v>319</v>
      </c>
      <c r="EC462" s="14"/>
      <c r="ED462" s="16"/>
      <c r="EE462" s="14"/>
      <c r="EF462" s="12"/>
      <c r="EG462" s="12" t="s">
        <v>319</v>
      </c>
      <c r="EH462" s="14"/>
      <c r="EI462" s="16"/>
      <c r="EJ462" s="14"/>
      <c r="EK462" s="14">
        <v>2015</v>
      </c>
      <c r="EL462" s="14">
        <v>3042</v>
      </c>
      <c r="EM462" s="14">
        <v>5057</v>
      </c>
      <c r="EN462" s="14">
        <v>6611</v>
      </c>
      <c r="EO462" s="14">
        <v>6584</v>
      </c>
      <c r="EP462" s="14">
        <v>13195</v>
      </c>
      <c r="EQ462" s="12" t="s">
        <v>320</v>
      </c>
      <c r="ER462" s="14">
        <v>5057</v>
      </c>
      <c r="ES462" s="16">
        <v>0.4</v>
      </c>
      <c r="ET462" s="14">
        <v>13195</v>
      </c>
      <c r="EU462" s="11" t="s">
        <v>320</v>
      </c>
      <c r="EV462" s="14">
        <v>5057</v>
      </c>
      <c r="EW462" s="16">
        <v>0.4</v>
      </c>
      <c r="EX462" s="14">
        <v>13195</v>
      </c>
      <c r="EY462" s="12" t="s">
        <v>320</v>
      </c>
      <c r="EZ462" s="14">
        <v>5057</v>
      </c>
      <c r="FA462" s="16">
        <v>0.4</v>
      </c>
      <c r="FB462" s="14">
        <v>13195</v>
      </c>
      <c r="FC462" s="12" t="s">
        <v>320</v>
      </c>
      <c r="FD462" s="14">
        <v>5057</v>
      </c>
      <c r="FE462" s="16">
        <v>0.4</v>
      </c>
      <c r="FF462" s="14">
        <v>13195</v>
      </c>
      <c r="FG462" s="12" t="s">
        <v>320</v>
      </c>
      <c r="FH462" s="14">
        <v>5057</v>
      </c>
      <c r="FI462" s="16">
        <v>0.4</v>
      </c>
      <c r="FJ462" s="14">
        <v>13195</v>
      </c>
      <c r="FK462" s="12" t="s">
        <v>319</v>
      </c>
      <c r="FL462" s="14"/>
      <c r="FM462" s="16"/>
      <c r="FN462" s="14"/>
      <c r="FO462" s="12" t="s">
        <v>320</v>
      </c>
      <c r="FP462" s="14">
        <v>5057</v>
      </c>
      <c r="FQ462" s="16">
        <v>0.4</v>
      </c>
      <c r="FR462" s="14">
        <v>13195</v>
      </c>
      <c r="FS462" s="12" t="s">
        <v>319</v>
      </c>
      <c r="FT462" s="14"/>
      <c r="FU462" s="16"/>
      <c r="FV462" s="14"/>
      <c r="FW462" s="11" t="s">
        <v>320</v>
      </c>
      <c r="FX462" s="14">
        <v>5057</v>
      </c>
      <c r="FY462" s="16">
        <v>0.4</v>
      </c>
      <c r="FZ462" s="14">
        <v>13195</v>
      </c>
      <c r="GA462" s="12" t="s">
        <v>319</v>
      </c>
      <c r="GB462" s="14"/>
      <c r="GC462" s="16"/>
      <c r="GD462" s="14"/>
      <c r="GE462" s="12" t="s">
        <v>319</v>
      </c>
      <c r="GF462" s="14"/>
      <c r="GG462" s="16"/>
      <c r="GH462" s="14"/>
      <c r="GI462" s="12" t="s">
        <v>320</v>
      </c>
      <c r="GJ462" s="14"/>
      <c r="GK462" s="16"/>
      <c r="GL462" s="14"/>
      <c r="GM462" s="11" t="s">
        <v>320</v>
      </c>
      <c r="GN462" s="14">
        <v>5057</v>
      </c>
      <c r="GO462" s="16">
        <v>0.4</v>
      </c>
      <c r="GP462" s="14">
        <v>13195</v>
      </c>
      <c r="GQ462" s="12" t="s">
        <v>319</v>
      </c>
      <c r="GR462" s="14"/>
      <c r="GS462" s="16"/>
      <c r="GT462" s="14"/>
      <c r="GU462" s="12" t="s">
        <v>319</v>
      </c>
      <c r="GV462" s="14"/>
      <c r="GW462" s="16"/>
      <c r="GX462" s="14"/>
      <c r="GY462" s="11" t="s">
        <v>320</v>
      </c>
      <c r="GZ462" s="14">
        <v>5057</v>
      </c>
      <c r="HA462" s="16">
        <v>0.4</v>
      </c>
      <c r="HB462" s="14">
        <v>13195</v>
      </c>
      <c r="HC462" s="12"/>
      <c r="HD462" s="12" t="s">
        <v>319</v>
      </c>
      <c r="HE462" s="14"/>
      <c r="HF462" s="16"/>
      <c r="HG462" s="14"/>
      <c r="HH462" s="12" t="s">
        <v>319</v>
      </c>
      <c r="HI462" s="12"/>
      <c r="HJ462" s="12"/>
      <c r="HK462" s="12" t="s">
        <v>319</v>
      </c>
      <c r="HL462" s="12" t="s">
        <v>320</v>
      </c>
      <c r="HM462" s="12"/>
      <c r="HN462" s="12"/>
      <c r="HO462" s="12" t="s">
        <v>7867</v>
      </c>
      <c r="HP462" s="12" t="s">
        <v>453</v>
      </c>
      <c r="HQ462" s="12" t="s">
        <v>320</v>
      </c>
      <c r="HR462" s="12" t="s">
        <v>320</v>
      </c>
      <c r="HS462" s="12" t="s">
        <v>320</v>
      </c>
      <c r="HT462" s="12" t="s">
        <v>320</v>
      </c>
      <c r="HU462" s="12" t="s">
        <v>320</v>
      </c>
      <c r="HV462" s="12" t="s">
        <v>320</v>
      </c>
      <c r="HW462" s="12" t="s">
        <v>320</v>
      </c>
      <c r="HX462" s="12" t="s">
        <v>319</v>
      </c>
      <c r="HY462" s="12"/>
      <c r="HZ462" s="11" t="s">
        <v>394</v>
      </c>
      <c r="IA462" s="12"/>
      <c r="IB462" s="12" t="s">
        <v>396</v>
      </c>
      <c r="IC462" s="12"/>
      <c r="ID462" s="11" t="s">
        <v>364</v>
      </c>
      <c r="IE462" s="12" t="s">
        <v>478</v>
      </c>
      <c r="IF462" s="12" t="s">
        <v>320</v>
      </c>
      <c r="IG462" s="12" t="s">
        <v>320</v>
      </c>
      <c r="IH462" s="12" t="s">
        <v>320</v>
      </c>
      <c r="II462" s="12" t="s">
        <v>319</v>
      </c>
      <c r="IJ462" s="12" t="str">
        <f t="shared" si="302"/>
        <v>3. Responsive</v>
      </c>
      <c r="IK462" s="12">
        <f t="shared" si="303"/>
        <v>3</v>
      </c>
      <c r="IL462" s="11" t="s">
        <v>621</v>
      </c>
      <c r="IM462" s="12" t="s">
        <v>319</v>
      </c>
      <c r="IN462" s="12" t="s">
        <v>319</v>
      </c>
      <c r="IO462" s="12" t="s">
        <v>320</v>
      </c>
      <c r="IP462" s="12" t="s">
        <v>319</v>
      </c>
      <c r="IQ462" s="12" t="str">
        <f t="shared" si="304"/>
        <v>No marker score</v>
      </c>
      <c r="IR462" s="12">
        <f t="shared" si="305"/>
        <v>1</v>
      </c>
      <c r="IS462" s="12" t="s">
        <v>337</v>
      </c>
      <c r="IT462" s="12" t="s">
        <v>320</v>
      </c>
      <c r="IU462" s="12" t="s">
        <v>320</v>
      </c>
      <c r="IV462" s="12" t="s">
        <v>320</v>
      </c>
      <c r="IW462" s="11" t="str">
        <f t="shared" si="306"/>
        <v>2. Sensitive</v>
      </c>
      <c r="IX462" s="12">
        <f t="shared" si="307"/>
        <v>3</v>
      </c>
      <c r="IY462" s="11" t="s">
        <v>758</v>
      </c>
      <c r="IZ462" s="12" t="s">
        <v>339</v>
      </c>
      <c r="JA462" s="12"/>
      <c r="JB462" s="12" t="s">
        <v>831</v>
      </c>
      <c r="JC462" s="11" t="s">
        <v>624</v>
      </c>
      <c r="JD462" s="11" t="s">
        <v>687</v>
      </c>
      <c r="JE462" s="12" t="s">
        <v>340</v>
      </c>
      <c r="JF462" s="12"/>
      <c r="JG462" s="12" t="s">
        <v>7868</v>
      </c>
      <c r="JH462" s="12" t="s">
        <v>7869</v>
      </c>
      <c r="JI462" s="12" t="s">
        <v>7870</v>
      </c>
      <c r="JJ462" s="12" t="s">
        <v>7871</v>
      </c>
      <c r="JK462" s="12" t="s">
        <v>7872</v>
      </c>
      <c r="JL462" s="12" t="s">
        <v>7873</v>
      </c>
      <c r="JM462" s="12" t="s">
        <v>7874</v>
      </c>
      <c r="JN462" s="12" t="s">
        <v>7875</v>
      </c>
      <c r="JO462" s="12" t="s">
        <v>7876</v>
      </c>
      <c r="JP462" s="15">
        <f t="shared" si="308"/>
        <v>5057</v>
      </c>
      <c r="JQ462" s="15">
        <f t="shared" si="309"/>
        <v>13195</v>
      </c>
      <c r="JR462" s="279">
        <f t="shared" si="310"/>
        <v>2.6092544987146531</v>
      </c>
      <c r="JS462" s="17">
        <f t="shared" si="311"/>
        <v>0.39845758354755784</v>
      </c>
      <c r="JT462" s="18">
        <f t="shared" si="312"/>
        <v>0.50102311481621831</v>
      </c>
      <c r="JU462" s="280">
        <f t="shared" si="313"/>
        <v>2015</v>
      </c>
      <c r="JV462" s="280">
        <f t="shared" si="314"/>
        <v>6611</v>
      </c>
      <c r="JW462" s="319" t="str">
        <f t="shared" si="315"/>
        <v/>
      </c>
      <c r="JX462" s="15">
        <f t="shared" si="316"/>
        <v>0</v>
      </c>
      <c r="JY462" s="15">
        <f t="shared" si="317"/>
        <v>0</v>
      </c>
      <c r="JZ462" s="19" t="str">
        <f t="shared" si="318"/>
        <v/>
      </c>
      <c r="KA462" s="52">
        <f t="shared" si="319"/>
        <v>1</v>
      </c>
      <c r="KB462" s="15">
        <f t="shared" si="320"/>
        <v>5057</v>
      </c>
      <c r="KC462" s="15">
        <f t="shared" si="321"/>
        <v>13195</v>
      </c>
      <c r="KD462" s="20">
        <f t="shared" si="322"/>
        <v>2.6092544987146531</v>
      </c>
      <c r="KE462" s="52" t="str">
        <f t="shared" si="323"/>
        <v/>
      </c>
      <c r="KF462" s="15">
        <f t="shared" si="324"/>
        <v>0</v>
      </c>
      <c r="KG462" s="15">
        <f t="shared" si="325"/>
        <v>0</v>
      </c>
      <c r="KH462" s="21" t="str">
        <f t="shared" si="326"/>
        <v/>
      </c>
      <c r="KI462" s="52" t="str">
        <f t="shared" si="327"/>
        <v/>
      </c>
      <c r="KJ462" s="15">
        <f t="shared" si="328"/>
        <v>0</v>
      </c>
      <c r="KK462" s="15">
        <f t="shared" si="329"/>
        <v>0</v>
      </c>
      <c r="KL462" s="19" t="str">
        <f t="shared" si="330"/>
        <v/>
      </c>
      <c r="KM462" s="52">
        <f t="shared" si="331"/>
        <v>1</v>
      </c>
      <c r="KN462" s="22">
        <f t="shared" si="332"/>
        <v>5057</v>
      </c>
      <c r="KO462" s="22">
        <f t="shared" si="333"/>
        <v>13195</v>
      </c>
      <c r="KP462" s="19">
        <f t="shared" si="334"/>
        <v>2.6092544987146531</v>
      </c>
      <c r="KQ462" s="11" t="str">
        <f t="shared" si="335"/>
        <v>3. Responsive</v>
      </c>
      <c r="KR462" s="11" t="str">
        <f t="shared" si="336"/>
        <v>No marker score</v>
      </c>
      <c r="KS462" s="11" t="str">
        <f t="shared" si="337"/>
        <v>2. Sensitive</v>
      </c>
      <c r="KT462" s="11" t="str">
        <f t="shared" si="338"/>
        <v>It tested new ways for fighting poverty, but did not measure results of innovation</v>
      </c>
      <c r="KU462" s="11" t="str">
        <f t="shared" si="339"/>
        <v>Intensive advocacy</v>
      </c>
      <c r="KV462" s="11" t="str">
        <f t="shared" si="340"/>
        <v>It linked and worked with strategic alliances and partners to take tested and effective solutions to scale</v>
      </c>
      <c r="KW462" s="11" t="str">
        <f t="shared" si="341"/>
        <v>Mali - Partners for Resilience: Dialogue Gestion Intégrée des Risques</v>
      </c>
      <c r="KX462" s="11" t="str">
        <f t="shared" si="342"/>
        <v>Partners for Resilience: Dialogue Gestion Intégrée des Risques</v>
      </c>
      <c r="KY462" s="11" t="str">
        <f t="shared" si="343"/>
        <v>Mali</v>
      </c>
      <c r="KZ462" s="12">
        <v>462</v>
      </c>
    </row>
    <row r="463" spans="1:312" x14ac:dyDescent="0.3">
      <c r="A463" s="12" t="s">
        <v>7835</v>
      </c>
      <c r="B463" s="12" t="s">
        <v>1596</v>
      </c>
      <c r="C463" s="12">
        <v>3630</v>
      </c>
      <c r="D463" s="12" t="s">
        <v>7979</v>
      </c>
      <c r="E463" s="277" t="str">
        <f t="shared" si="301"/>
        <v>Mali</v>
      </c>
      <c r="F463" s="12" t="s">
        <v>7980</v>
      </c>
      <c r="G463" s="12" t="s">
        <v>379</v>
      </c>
      <c r="H463" s="12" t="s">
        <v>383</v>
      </c>
      <c r="I463" s="12" t="s">
        <v>1102</v>
      </c>
      <c r="J463" s="278" t="s">
        <v>1102</v>
      </c>
      <c r="K463" s="12"/>
      <c r="L463" s="12"/>
      <c r="M463" s="12"/>
      <c r="N463" s="12"/>
      <c r="O463" s="12"/>
      <c r="P463" s="12"/>
      <c r="Q463" s="12"/>
      <c r="R463" s="12"/>
      <c r="S463" s="12"/>
      <c r="T463" s="12"/>
      <c r="U463" s="12"/>
      <c r="V463" s="12"/>
      <c r="W463" s="12"/>
      <c r="X463" s="12"/>
      <c r="Y463" s="12"/>
      <c r="Z463" s="12"/>
      <c r="AA463" s="12"/>
      <c r="AB463" s="12"/>
      <c r="AC463" s="12"/>
      <c r="AD463" s="12"/>
      <c r="BD463" s="13">
        <v>40848</v>
      </c>
      <c r="BE463" s="13">
        <v>42460</v>
      </c>
      <c r="BF463" s="13">
        <v>43190</v>
      </c>
      <c r="BG463" s="12" t="s">
        <v>749</v>
      </c>
      <c r="BH463" s="14">
        <v>3490750</v>
      </c>
      <c r="BI463" s="12" t="s">
        <v>7981</v>
      </c>
      <c r="BJ463" s="12" t="s">
        <v>7982</v>
      </c>
      <c r="BK463" s="12" t="s">
        <v>7983</v>
      </c>
      <c r="BL463" s="12" t="s">
        <v>7984</v>
      </c>
      <c r="BM463" s="12" t="s">
        <v>2775</v>
      </c>
      <c r="BN463" s="12" t="s">
        <v>7985</v>
      </c>
      <c r="BO463" s="11" t="s">
        <v>319</v>
      </c>
      <c r="BP463" s="11" t="s">
        <v>320</v>
      </c>
      <c r="BQ463" s="11" t="s">
        <v>319</v>
      </c>
      <c r="BR463" s="12" t="s">
        <v>7986</v>
      </c>
      <c r="BS463" s="12" t="s">
        <v>615</v>
      </c>
      <c r="BT463" s="12" t="s">
        <v>7987</v>
      </c>
      <c r="BU463" s="12" t="s">
        <v>7988</v>
      </c>
      <c r="BV463" s="14">
        <v>15000</v>
      </c>
      <c r="BW463" s="14">
        <v>2363</v>
      </c>
      <c r="BX463" s="14">
        <v>17363</v>
      </c>
      <c r="BY463" s="14">
        <v>36000</v>
      </c>
      <c r="BZ463" s="14">
        <v>34590</v>
      </c>
      <c r="CA463" s="14">
        <v>70590</v>
      </c>
      <c r="CB463" s="12" t="s">
        <v>7989</v>
      </c>
      <c r="CD463" s="14"/>
      <c r="CE463" s="14"/>
      <c r="CF463" s="14"/>
      <c r="CG463" s="14"/>
      <c r="CH463" s="14"/>
      <c r="CI463" s="14"/>
      <c r="CJ463" s="12"/>
      <c r="CK463" s="14"/>
      <c r="CL463" s="16"/>
      <c r="CM463" s="14"/>
      <c r="CN463" s="12"/>
      <c r="CO463" s="14"/>
      <c r="CP463" s="16"/>
      <c r="CQ463" s="14"/>
      <c r="CR463" s="12"/>
      <c r="CS463" s="14"/>
      <c r="CT463" s="16"/>
      <c r="CU463" s="14"/>
      <c r="CV463" s="12"/>
      <c r="CW463" s="14"/>
      <c r="CX463" s="16"/>
      <c r="CY463" s="14"/>
      <c r="CZ463" s="12"/>
      <c r="DA463" s="14"/>
      <c r="DB463" s="16"/>
      <c r="DC463" s="14"/>
      <c r="DD463" s="12"/>
      <c r="DE463" s="14"/>
      <c r="DF463" s="16"/>
      <c r="DG463" s="14"/>
      <c r="DH463" s="12"/>
      <c r="DI463" s="14"/>
      <c r="DJ463" s="16"/>
      <c r="DK463" s="14"/>
      <c r="DL463" s="12"/>
      <c r="DM463" s="14"/>
      <c r="DN463" s="16"/>
      <c r="DO463" s="14"/>
      <c r="DP463" s="12"/>
      <c r="DQ463" s="14"/>
      <c r="DR463" s="16"/>
      <c r="DS463" s="14"/>
      <c r="DT463" s="12"/>
      <c r="DU463" s="14"/>
      <c r="DV463" s="16"/>
      <c r="DW463" s="14"/>
      <c r="DX463" s="12"/>
      <c r="DY463" s="14"/>
      <c r="DZ463" s="16"/>
      <c r="EA463" s="14"/>
      <c r="EB463" s="12"/>
      <c r="EC463" s="14"/>
      <c r="ED463" s="16"/>
      <c r="EE463" s="14"/>
      <c r="EF463" s="12"/>
      <c r="EG463" s="12"/>
      <c r="EH463" s="14"/>
      <c r="EI463" s="16"/>
      <c r="EJ463" s="14"/>
      <c r="EK463" s="14">
        <v>14441</v>
      </c>
      <c r="EL463" s="14">
        <v>2363</v>
      </c>
      <c r="EM463" s="14">
        <v>16804</v>
      </c>
      <c r="EN463" s="14">
        <v>36000</v>
      </c>
      <c r="EO463" s="14">
        <v>34590</v>
      </c>
      <c r="EP463" s="14">
        <v>70590</v>
      </c>
      <c r="EQ463" s="12" t="s">
        <v>320</v>
      </c>
      <c r="ER463" s="14">
        <v>21966</v>
      </c>
      <c r="ES463" s="16">
        <v>0.92</v>
      </c>
      <c r="ET463" s="14">
        <v>78811</v>
      </c>
      <c r="EU463" s="11" t="s">
        <v>320</v>
      </c>
      <c r="EV463" s="14">
        <v>21966</v>
      </c>
      <c r="EW463" s="16">
        <v>0.92</v>
      </c>
      <c r="EX463" s="14">
        <v>78811</v>
      </c>
      <c r="EY463" s="12" t="s">
        <v>319</v>
      </c>
      <c r="EZ463" s="14"/>
      <c r="FA463" s="16"/>
      <c r="FB463" s="14"/>
      <c r="FC463" s="12" t="s">
        <v>319</v>
      </c>
      <c r="FD463" s="14"/>
      <c r="FE463" s="16"/>
      <c r="FF463" s="14"/>
      <c r="FG463" s="12" t="s">
        <v>320</v>
      </c>
      <c r="FH463" s="14">
        <v>0</v>
      </c>
      <c r="FI463" s="16">
        <v>0</v>
      </c>
      <c r="FJ463" s="14">
        <v>0</v>
      </c>
      <c r="FK463" s="12" t="s">
        <v>319</v>
      </c>
      <c r="FL463" s="14"/>
      <c r="FM463" s="16"/>
      <c r="FN463" s="14"/>
      <c r="FO463" s="12" t="s">
        <v>320</v>
      </c>
      <c r="FP463" s="14">
        <v>23098</v>
      </c>
      <c r="FQ463" s="16"/>
      <c r="FR463" s="14">
        <v>80238</v>
      </c>
      <c r="FS463" s="12" t="s">
        <v>320</v>
      </c>
      <c r="FT463" s="14">
        <v>4423</v>
      </c>
      <c r="FU463" s="16">
        <v>0.44</v>
      </c>
      <c r="FV463" s="14">
        <v>18073</v>
      </c>
      <c r="FW463" s="11" t="s">
        <v>320</v>
      </c>
      <c r="FX463" s="14">
        <v>4056</v>
      </c>
      <c r="FY463" s="16">
        <v>0.72</v>
      </c>
      <c r="FZ463" s="14">
        <v>17706</v>
      </c>
      <c r="GA463" s="12" t="s">
        <v>319</v>
      </c>
      <c r="GB463" s="14"/>
      <c r="GC463" s="16"/>
      <c r="GD463" s="14"/>
      <c r="GE463" s="12" t="s">
        <v>319</v>
      </c>
      <c r="GF463" s="14"/>
      <c r="GG463" s="16"/>
      <c r="GH463" s="14"/>
      <c r="GI463" s="12" t="s">
        <v>319</v>
      </c>
      <c r="GJ463" s="14"/>
      <c r="GK463" s="16"/>
      <c r="GL463" s="14"/>
      <c r="GM463" s="11" t="s">
        <v>320</v>
      </c>
      <c r="GN463" s="14">
        <v>4056</v>
      </c>
      <c r="GO463" s="16">
        <v>0.72</v>
      </c>
      <c r="GP463" s="14">
        <v>17706</v>
      </c>
      <c r="GQ463" s="12" t="s">
        <v>319</v>
      </c>
      <c r="GR463" s="14"/>
      <c r="GS463" s="16"/>
      <c r="GT463" s="14"/>
      <c r="GU463" s="12" t="s">
        <v>319</v>
      </c>
      <c r="GV463" s="14"/>
      <c r="GW463" s="16"/>
      <c r="GX463" s="14"/>
      <c r="GY463" s="11" t="s">
        <v>320</v>
      </c>
      <c r="GZ463" s="14">
        <v>2779</v>
      </c>
      <c r="HA463" s="16">
        <v>0.99</v>
      </c>
      <c r="HB463" s="14">
        <v>9808</v>
      </c>
      <c r="HC463" s="12" t="s">
        <v>2604</v>
      </c>
      <c r="HD463" s="12" t="s">
        <v>319</v>
      </c>
      <c r="HE463" s="14"/>
      <c r="HF463" s="16"/>
      <c r="HG463" s="14"/>
      <c r="HH463" s="12" t="s">
        <v>319</v>
      </c>
      <c r="HI463" s="12"/>
      <c r="HJ463" s="12"/>
      <c r="HK463" s="12" t="s">
        <v>319</v>
      </c>
      <c r="HL463" s="12"/>
      <c r="HM463" s="12"/>
      <c r="HN463" s="12"/>
      <c r="HO463" s="12" t="s">
        <v>7990</v>
      </c>
      <c r="HP463" s="12" t="s">
        <v>330</v>
      </c>
      <c r="HQ463" s="12" t="s">
        <v>319</v>
      </c>
      <c r="HR463" s="12"/>
      <c r="HS463" s="12" t="s">
        <v>320</v>
      </c>
      <c r="HT463" s="12"/>
      <c r="HU463" s="12"/>
      <c r="HV463" s="12" t="s">
        <v>320</v>
      </c>
      <c r="HW463" s="12"/>
      <c r="HX463" s="12"/>
      <c r="HY463" s="12"/>
      <c r="HZ463" s="12" t="s">
        <v>331</v>
      </c>
      <c r="IA463" s="12" t="s">
        <v>7991</v>
      </c>
      <c r="IB463" s="12" t="s">
        <v>396</v>
      </c>
      <c r="IC463" s="12" t="s">
        <v>7992</v>
      </c>
      <c r="ID463" s="12" t="s">
        <v>334</v>
      </c>
      <c r="IE463" s="12" t="s">
        <v>335</v>
      </c>
      <c r="IF463" s="12" t="s">
        <v>320</v>
      </c>
      <c r="IG463" s="12" t="s">
        <v>320</v>
      </c>
      <c r="IH463" s="12" t="s">
        <v>320</v>
      </c>
      <c r="II463" s="12" t="s">
        <v>320</v>
      </c>
      <c r="IJ463" s="12" t="str">
        <f t="shared" si="302"/>
        <v>2. Sensitive</v>
      </c>
      <c r="IK463" s="12">
        <f t="shared" si="303"/>
        <v>4</v>
      </c>
      <c r="IL463" s="12" t="s">
        <v>336</v>
      </c>
      <c r="IM463" s="12" t="s">
        <v>320</v>
      </c>
      <c r="IN463" s="12" t="s">
        <v>320</v>
      </c>
      <c r="IO463" s="12" t="s">
        <v>320</v>
      </c>
      <c r="IP463" s="12" t="s">
        <v>320</v>
      </c>
      <c r="IQ463" s="12" t="str">
        <f t="shared" si="304"/>
        <v>2. Accommodating</v>
      </c>
      <c r="IR463" s="12">
        <f t="shared" si="305"/>
        <v>4</v>
      </c>
      <c r="IS463" s="12" t="s">
        <v>337</v>
      </c>
      <c r="IT463" s="12" t="s">
        <v>320</v>
      </c>
      <c r="IU463" s="12" t="s">
        <v>320</v>
      </c>
      <c r="IV463" s="12" t="s">
        <v>320</v>
      </c>
      <c r="IW463" s="11" t="str">
        <f t="shared" si="306"/>
        <v>2. Sensitive</v>
      </c>
      <c r="IX463" s="12">
        <f t="shared" si="307"/>
        <v>3</v>
      </c>
      <c r="IY463" s="11" t="s">
        <v>758</v>
      </c>
      <c r="IZ463" s="11" t="s">
        <v>527</v>
      </c>
      <c r="JA463" s="12">
        <v>7</v>
      </c>
      <c r="JB463" s="12" t="s">
        <v>687</v>
      </c>
      <c r="JC463" s="12" t="s">
        <v>433</v>
      </c>
      <c r="JD463" s="11" t="s">
        <v>1113</v>
      </c>
      <c r="JE463" s="12" t="s">
        <v>340</v>
      </c>
      <c r="JF463" s="12" t="s">
        <v>7993</v>
      </c>
      <c r="JG463" s="12"/>
      <c r="JH463" s="12" t="s">
        <v>7994</v>
      </c>
      <c r="JI463" s="12" t="s">
        <v>7995</v>
      </c>
      <c r="JJ463" s="12" t="s">
        <v>7996</v>
      </c>
      <c r="JK463" s="12" t="s">
        <v>7997</v>
      </c>
      <c r="JL463" s="12" t="s">
        <v>7998</v>
      </c>
      <c r="JM463" s="12" t="s">
        <v>7999</v>
      </c>
      <c r="JN463" s="12" t="s">
        <v>8000</v>
      </c>
      <c r="JO463" s="12" t="s">
        <v>8001</v>
      </c>
      <c r="JP463" s="15">
        <f t="shared" si="308"/>
        <v>16804</v>
      </c>
      <c r="JQ463" s="15">
        <f t="shared" si="309"/>
        <v>70590</v>
      </c>
      <c r="JR463" s="279">
        <f t="shared" si="310"/>
        <v>4.2007855272554151</v>
      </c>
      <c r="JS463" s="17">
        <f t="shared" si="311"/>
        <v>0.85937871935253507</v>
      </c>
      <c r="JT463" s="18">
        <f t="shared" si="312"/>
        <v>0.50998725031874204</v>
      </c>
      <c r="JU463" s="280">
        <f t="shared" si="313"/>
        <v>14441</v>
      </c>
      <c r="JV463" s="280">
        <f t="shared" si="314"/>
        <v>36000</v>
      </c>
      <c r="JW463" s="319" t="str">
        <f t="shared" si="315"/>
        <v/>
      </c>
      <c r="JX463" s="15">
        <f t="shared" si="316"/>
        <v>0</v>
      </c>
      <c r="JY463" s="15">
        <f t="shared" si="317"/>
        <v>0</v>
      </c>
      <c r="JZ463" s="19" t="str">
        <f t="shared" si="318"/>
        <v/>
      </c>
      <c r="KA463" s="52">
        <f t="shared" si="319"/>
        <v>1</v>
      </c>
      <c r="KB463" s="15">
        <f t="shared" si="320"/>
        <v>23098</v>
      </c>
      <c r="KC463" s="15">
        <f t="shared" si="321"/>
        <v>80238</v>
      </c>
      <c r="KD463" s="20">
        <f t="shared" si="322"/>
        <v>3.4738072560394841</v>
      </c>
      <c r="KE463" s="52" t="str">
        <f t="shared" si="323"/>
        <v/>
      </c>
      <c r="KF463" s="15">
        <f t="shared" si="324"/>
        <v>0</v>
      </c>
      <c r="KG463" s="15">
        <f t="shared" si="325"/>
        <v>0</v>
      </c>
      <c r="KH463" s="21" t="str">
        <f t="shared" si="326"/>
        <v/>
      </c>
      <c r="KI463" s="52">
        <f t="shared" si="327"/>
        <v>1</v>
      </c>
      <c r="KJ463" s="15">
        <f t="shared" si="328"/>
        <v>4423</v>
      </c>
      <c r="KK463" s="15">
        <f t="shared" si="329"/>
        <v>18073</v>
      </c>
      <c r="KL463" s="19">
        <f t="shared" si="330"/>
        <v>4.0861406285326698</v>
      </c>
      <c r="KM463" s="52">
        <f t="shared" si="331"/>
        <v>1</v>
      </c>
      <c r="KN463" s="22">
        <f t="shared" si="332"/>
        <v>2779</v>
      </c>
      <c r="KO463" s="22">
        <f t="shared" si="333"/>
        <v>9808</v>
      </c>
      <c r="KP463" s="19">
        <f t="shared" si="334"/>
        <v>3.5293270960777257</v>
      </c>
      <c r="KQ463" s="11" t="str">
        <f t="shared" si="335"/>
        <v>2. Sensitive</v>
      </c>
      <c r="KR463" s="11" t="str">
        <f t="shared" si="336"/>
        <v>2. Accommodating</v>
      </c>
      <c r="KS463" s="11" t="str">
        <f t="shared" si="337"/>
        <v>2. Sensitive</v>
      </c>
      <c r="KT463" s="11" t="str">
        <f t="shared" si="338"/>
        <v>It tested new ways for fighting poverty and measured results of innovation</v>
      </c>
      <c r="KU463" s="11" t="str">
        <f t="shared" si="339"/>
        <v>Moderate advocacy</v>
      </c>
      <c r="KV463" s="11" t="str">
        <f t="shared" si="340"/>
        <v>It linked and worked with strategic alliances and partners to take tested and effective solutions to scale</v>
      </c>
      <c r="KW463" s="11" t="str">
        <f t="shared" si="341"/>
        <v>Mali - Pathways Mali</v>
      </c>
      <c r="KX463" s="11" t="str">
        <f t="shared" si="342"/>
        <v>Pathways Mali</v>
      </c>
      <c r="KY463" s="11" t="str">
        <f t="shared" si="343"/>
        <v>Mali</v>
      </c>
      <c r="KZ463" s="12">
        <v>463</v>
      </c>
    </row>
    <row r="464" spans="1:312" x14ac:dyDescent="0.3">
      <c r="A464" s="12" t="s">
        <v>7835</v>
      </c>
      <c r="B464" s="12" t="s">
        <v>1596</v>
      </c>
      <c r="C464" s="12">
        <v>3626</v>
      </c>
      <c r="D464" s="12" t="s">
        <v>8002</v>
      </c>
      <c r="E464" s="277" t="str">
        <f t="shared" si="301"/>
        <v>Mali</v>
      </c>
      <c r="F464" s="12" t="s">
        <v>8003</v>
      </c>
      <c r="G464" s="12" t="s">
        <v>379</v>
      </c>
      <c r="H464" s="11" t="s">
        <v>310</v>
      </c>
      <c r="I464" s="12" t="s">
        <v>426</v>
      </c>
      <c r="J464" s="281" t="s">
        <v>14563</v>
      </c>
      <c r="K464" s="12"/>
      <c r="L464" s="12"/>
      <c r="M464" s="12"/>
      <c r="N464" s="12"/>
      <c r="O464" s="12"/>
      <c r="P464" s="12"/>
      <c r="Q464" s="12"/>
      <c r="R464" s="12"/>
      <c r="S464" s="12"/>
      <c r="T464" s="12"/>
      <c r="U464" s="12"/>
      <c r="V464" s="12"/>
      <c r="W464" s="12"/>
      <c r="X464" s="12"/>
      <c r="Y464" s="12"/>
      <c r="Z464" s="12"/>
      <c r="AA464" s="12"/>
      <c r="AB464" s="12"/>
      <c r="AC464" s="12"/>
      <c r="AD464" s="12"/>
      <c r="BD464" s="13">
        <v>41530</v>
      </c>
      <c r="BE464" s="13">
        <v>43465</v>
      </c>
      <c r="BF464" s="12"/>
      <c r="BG464" s="12" t="s">
        <v>749</v>
      </c>
      <c r="BH464" s="14">
        <v>13571524.140000001</v>
      </c>
      <c r="BI464" s="12" t="s">
        <v>8004</v>
      </c>
      <c r="BJ464" s="12" t="s">
        <v>751</v>
      </c>
      <c r="BK464" s="12" t="s">
        <v>7983</v>
      </c>
      <c r="BL464" s="12" t="s">
        <v>8005</v>
      </c>
      <c r="BM464" s="12" t="s">
        <v>2775</v>
      </c>
      <c r="BN464" s="12" t="s">
        <v>8006</v>
      </c>
      <c r="BO464" s="11" t="s">
        <v>319</v>
      </c>
      <c r="BP464" s="11" t="s">
        <v>320</v>
      </c>
      <c r="BQ464" s="11" t="s">
        <v>319</v>
      </c>
      <c r="BR464" s="12" t="s">
        <v>8007</v>
      </c>
      <c r="BS464" s="12" t="s">
        <v>357</v>
      </c>
      <c r="BT464" s="12" t="s">
        <v>8008</v>
      </c>
      <c r="BU464" s="12" t="s">
        <v>8009</v>
      </c>
      <c r="BV464" s="14">
        <v>20000</v>
      </c>
      <c r="BW464" s="14">
        <v>20000</v>
      </c>
      <c r="BX464" s="14">
        <v>40000</v>
      </c>
      <c r="BY464" s="14">
        <v>40120</v>
      </c>
      <c r="BZ464" s="14">
        <v>39880</v>
      </c>
      <c r="CA464" s="14">
        <v>80000</v>
      </c>
      <c r="CB464" s="12" t="s">
        <v>8010</v>
      </c>
      <c r="CD464" s="14"/>
      <c r="CE464" s="14"/>
      <c r="CF464" s="14"/>
      <c r="CG464" s="14"/>
      <c r="CH464" s="14"/>
      <c r="CI464" s="14"/>
      <c r="CJ464" s="12"/>
      <c r="CK464" s="14"/>
      <c r="CL464" s="16"/>
      <c r="CM464" s="14"/>
      <c r="CN464" s="12"/>
      <c r="CO464" s="14"/>
      <c r="CP464" s="16"/>
      <c r="CQ464" s="14"/>
      <c r="CR464" s="12"/>
      <c r="CS464" s="14"/>
      <c r="CT464" s="16"/>
      <c r="CU464" s="14"/>
      <c r="CV464" s="12"/>
      <c r="CW464" s="14"/>
      <c r="CX464" s="16"/>
      <c r="CY464" s="14"/>
      <c r="CZ464" s="12"/>
      <c r="DA464" s="14"/>
      <c r="DB464" s="16"/>
      <c r="DC464" s="14"/>
      <c r="DD464" s="12"/>
      <c r="DE464" s="14"/>
      <c r="DF464" s="16"/>
      <c r="DG464" s="14"/>
      <c r="DH464" s="12"/>
      <c r="DI464" s="14"/>
      <c r="DJ464" s="16"/>
      <c r="DK464" s="14"/>
      <c r="DL464" s="12"/>
      <c r="DM464" s="14"/>
      <c r="DN464" s="16"/>
      <c r="DO464" s="14"/>
      <c r="DP464" s="12"/>
      <c r="DQ464" s="14"/>
      <c r="DR464" s="16"/>
      <c r="DS464" s="14"/>
      <c r="DT464" s="12"/>
      <c r="DU464" s="14"/>
      <c r="DV464" s="16"/>
      <c r="DW464" s="14"/>
      <c r="DX464" s="12"/>
      <c r="DY464" s="14"/>
      <c r="DZ464" s="16"/>
      <c r="EA464" s="14"/>
      <c r="EB464" s="12"/>
      <c r="EC464" s="14"/>
      <c r="ED464" s="16"/>
      <c r="EE464" s="14"/>
      <c r="EF464" s="12"/>
      <c r="EG464" s="12"/>
      <c r="EH464" s="14"/>
      <c r="EI464" s="16"/>
      <c r="EJ464" s="14"/>
      <c r="EK464" s="14">
        <v>15210</v>
      </c>
      <c r="EL464" s="14">
        <v>15210</v>
      </c>
      <c r="EM464" s="14">
        <v>30420</v>
      </c>
      <c r="EN464" s="14">
        <v>30511</v>
      </c>
      <c r="EO464" s="14">
        <v>30329</v>
      </c>
      <c r="EP464" s="14">
        <v>60840</v>
      </c>
      <c r="EQ464" s="12" t="s">
        <v>320</v>
      </c>
      <c r="ER464" s="14">
        <v>30420</v>
      </c>
      <c r="ES464" s="16">
        <v>0.5</v>
      </c>
      <c r="ET464" s="14">
        <v>60840</v>
      </c>
      <c r="EU464" s="11" t="s">
        <v>320</v>
      </c>
      <c r="EV464" s="14">
        <v>30420</v>
      </c>
      <c r="EW464" s="16">
        <v>0.5</v>
      </c>
      <c r="EX464" s="14">
        <v>60840</v>
      </c>
      <c r="EY464" s="12" t="s">
        <v>319</v>
      </c>
      <c r="EZ464" s="14"/>
      <c r="FA464" s="16"/>
      <c r="FB464" s="14"/>
      <c r="FC464" s="12" t="s">
        <v>320</v>
      </c>
      <c r="FD464" s="14">
        <v>30420</v>
      </c>
      <c r="FE464" s="16">
        <v>0.5</v>
      </c>
      <c r="FF464" s="14">
        <v>60840</v>
      </c>
      <c r="FG464" s="12" t="s">
        <v>320</v>
      </c>
      <c r="FH464" s="14">
        <v>30420</v>
      </c>
      <c r="FI464" s="16">
        <v>0.5</v>
      </c>
      <c r="FJ464" s="14">
        <v>60840</v>
      </c>
      <c r="FK464" s="12" t="s">
        <v>319</v>
      </c>
      <c r="FL464" s="14"/>
      <c r="FM464" s="16"/>
      <c r="FN464" s="14"/>
      <c r="FO464" s="12" t="s">
        <v>320</v>
      </c>
      <c r="FP464" s="14">
        <v>30420</v>
      </c>
      <c r="FQ464" s="16">
        <v>0.5</v>
      </c>
      <c r="FR464" s="14">
        <v>60840</v>
      </c>
      <c r="FS464" s="12" t="s">
        <v>319</v>
      </c>
      <c r="FT464" s="14"/>
      <c r="FU464" s="16"/>
      <c r="FV464" s="14"/>
      <c r="FW464" s="12" t="s">
        <v>319</v>
      </c>
      <c r="FX464" s="14"/>
      <c r="FY464" s="16"/>
      <c r="FZ464" s="14"/>
      <c r="GA464" s="12" t="s">
        <v>319</v>
      </c>
      <c r="GB464" s="14"/>
      <c r="GC464" s="16"/>
      <c r="GD464" s="14"/>
      <c r="GE464" s="12" t="s">
        <v>320</v>
      </c>
      <c r="GF464" s="14">
        <v>30420</v>
      </c>
      <c r="GG464" s="16">
        <v>0.5</v>
      </c>
      <c r="GH464" s="14">
        <v>60840</v>
      </c>
      <c r="GI464" s="11" t="s">
        <v>320</v>
      </c>
      <c r="GJ464" s="14">
        <v>15600</v>
      </c>
      <c r="GK464" s="16">
        <v>0.2</v>
      </c>
      <c r="GL464" s="14">
        <v>31200</v>
      </c>
      <c r="GM464" s="11" t="s">
        <v>320</v>
      </c>
      <c r="GN464" s="14">
        <v>30420</v>
      </c>
      <c r="GO464" s="16">
        <v>0.5</v>
      </c>
      <c r="GP464" s="14">
        <v>60840</v>
      </c>
      <c r="GQ464" s="12" t="s">
        <v>319</v>
      </c>
      <c r="GR464" s="14"/>
      <c r="GS464" s="16"/>
      <c r="GT464" s="14"/>
      <c r="GU464" s="12" t="s">
        <v>319</v>
      </c>
      <c r="GV464" s="14"/>
      <c r="GW464" s="16"/>
      <c r="GX464" s="14"/>
      <c r="GY464" s="11" t="s">
        <v>320</v>
      </c>
      <c r="GZ464" s="14">
        <v>30420</v>
      </c>
      <c r="HA464" s="16">
        <v>0.5</v>
      </c>
      <c r="HB464" s="14">
        <v>60840</v>
      </c>
      <c r="HC464" s="12"/>
      <c r="HD464" s="12" t="s">
        <v>319</v>
      </c>
      <c r="HE464" s="14"/>
      <c r="HF464" s="16"/>
      <c r="HG464" s="14"/>
      <c r="HH464" s="12" t="s">
        <v>320</v>
      </c>
      <c r="HI464" s="12" t="s">
        <v>361</v>
      </c>
      <c r="HJ464" s="12">
        <v>2016</v>
      </c>
      <c r="HK464" s="12" t="s">
        <v>320</v>
      </c>
      <c r="HL464" s="12" t="s">
        <v>320</v>
      </c>
      <c r="HM464" s="12" t="s">
        <v>416</v>
      </c>
      <c r="HN464" s="12">
        <v>2018</v>
      </c>
      <c r="HO464" s="12" t="s">
        <v>8011</v>
      </c>
      <c r="HP464" s="12" t="s">
        <v>418</v>
      </c>
      <c r="HQ464" s="12" t="s">
        <v>319</v>
      </c>
      <c r="HR464" s="12" t="s">
        <v>319</v>
      </c>
      <c r="HS464" s="12" t="s">
        <v>320</v>
      </c>
      <c r="HT464" s="12" t="s">
        <v>320</v>
      </c>
      <c r="HU464" s="12" t="s">
        <v>319</v>
      </c>
      <c r="HV464" s="12" t="s">
        <v>319</v>
      </c>
      <c r="HW464" s="12" t="s">
        <v>319</v>
      </c>
      <c r="HX464" s="12" t="s">
        <v>319</v>
      </c>
      <c r="HY464" s="12"/>
      <c r="HZ464" s="11" t="s">
        <v>394</v>
      </c>
      <c r="IA464" s="12"/>
      <c r="IB464" s="12" t="s">
        <v>396</v>
      </c>
      <c r="IC464" s="12"/>
      <c r="ID464" s="11" t="s">
        <v>364</v>
      </c>
      <c r="IE464" s="12" t="s">
        <v>335</v>
      </c>
      <c r="IF464" s="12" t="s">
        <v>320</v>
      </c>
      <c r="IG464" s="12" t="s">
        <v>320</v>
      </c>
      <c r="IH464" s="12" t="s">
        <v>320</v>
      </c>
      <c r="II464" s="12" t="s">
        <v>320</v>
      </c>
      <c r="IJ464" s="12" t="str">
        <f t="shared" si="302"/>
        <v>2. Sensitive</v>
      </c>
      <c r="IK464" s="12">
        <f t="shared" si="303"/>
        <v>4</v>
      </c>
      <c r="IL464" s="12" t="s">
        <v>336</v>
      </c>
      <c r="IM464" s="12" t="s">
        <v>320</v>
      </c>
      <c r="IN464" s="12" t="s">
        <v>320</v>
      </c>
      <c r="IO464" s="12" t="s">
        <v>320</v>
      </c>
      <c r="IP464" s="12" t="s">
        <v>320</v>
      </c>
      <c r="IQ464" s="12" t="str">
        <f t="shared" si="304"/>
        <v>2. Accommodating</v>
      </c>
      <c r="IR464" s="12">
        <f t="shared" si="305"/>
        <v>4</v>
      </c>
      <c r="IS464" s="12" t="s">
        <v>337</v>
      </c>
      <c r="IT464" s="12" t="s">
        <v>320</v>
      </c>
      <c r="IU464" s="12" t="s">
        <v>320</v>
      </c>
      <c r="IV464" s="12" t="s">
        <v>320</v>
      </c>
      <c r="IW464" s="11" t="str">
        <f t="shared" si="306"/>
        <v>2. Sensitive</v>
      </c>
      <c r="IX464" s="12">
        <f t="shared" si="307"/>
        <v>3</v>
      </c>
      <c r="IY464" s="11" t="s">
        <v>419</v>
      </c>
      <c r="IZ464" s="12" t="s">
        <v>457</v>
      </c>
      <c r="JA464" s="12">
        <v>12</v>
      </c>
      <c r="JB464" s="11" t="s">
        <v>623</v>
      </c>
      <c r="JC464" s="12" t="s">
        <v>433</v>
      </c>
      <c r="JD464" s="11" t="s">
        <v>624</v>
      </c>
      <c r="JE464" s="12" t="s">
        <v>340</v>
      </c>
      <c r="JF464" s="12" t="s">
        <v>8012</v>
      </c>
      <c r="JG464" s="12" t="s">
        <v>8013</v>
      </c>
      <c r="JH464" s="12" t="s">
        <v>8014</v>
      </c>
      <c r="JI464" s="12" t="s">
        <v>8015</v>
      </c>
      <c r="JJ464" s="12" t="s">
        <v>8016</v>
      </c>
      <c r="JK464" s="12" t="s">
        <v>8017</v>
      </c>
      <c r="JL464" s="12" t="s">
        <v>8018</v>
      </c>
      <c r="JM464" s="12" t="s">
        <v>8019</v>
      </c>
      <c r="JN464" s="12" t="s">
        <v>8020</v>
      </c>
      <c r="JO464" s="12" t="s">
        <v>8021</v>
      </c>
      <c r="JP464" s="15">
        <f t="shared" si="308"/>
        <v>30420</v>
      </c>
      <c r="JQ464" s="15">
        <f t="shared" si="309"/>
        <v>60840</v>
      </c>
      <c r="JR464" s="279">
        <f t="shared" si="310"/>
        <v>2</v>
      </c>
      <c r="JS464" s="17">
        <f t="shared" si="311"/>
        <v>0.5</v>
      </c>
      <c r="JT464" s="18">
        <f t="shared" si="312"/>
        <v>0.50149572649572649</v>
      </c>
      <c r="JU464" s="280">
        <f t="shared" si="313"/>
        <v>15210</v>
      </c>
      <c r="JV464" s="280">
        <f t="shared" si="314"/>
        <v>30511</v>
      </c>
      <c r="JW464" s="319" t="str">
        <f t="shared" si="315"/>
        <v/>
      </c>
      <c r="JX464" s="15">
        <f t="shared" si="316"/>
        <v>0</v>
      </c>
      <c r="JY464" s="15">
        <f t="shared" si="317"/>
        <v>0</v>
      </c>
      <c r="JZ464" s="19" t="str">
        <f t="shared" si="318"/>
        <v/>
      </c>
      <c r="KA464" s="52">
        <f t="shared" si="319"/>
        <v>1</v>
      </c>
      <c r="KB464" s="15">
        <f t="shared" si="320"/>
        <v>30420</v>
      </c>
      <c r="KC464" s="15">
        <f t="shared" si="321"/>
        <v>60840</v>
      </c>
      <c r="KD464" s="20">
        <f t="shared" si="322"/>
        <v>2</v>
      </c>
      <c r="KE464" s="52" t="str">
        <f t="shared" si="323"/>
        <v/>
      </c>
      <c r="KF464" s="15">
        <f t="shared" si="324"/>
        <v>0</v>
      </c>
      <c r="KG464" s="15">
        <f t="shared" si="325"/>
        <v>0</v>
      </c>
      <c r="KH464" s="21" t="str">
        <f t="shared" si="326"/>
        <v/>
      </c>
      <c r="KI464" s="52" t="str">
        <f t="shared" si="327"/>
        <v/>
      </c>
      <c r="KJ464" s="15">
        <f t="shared" si="328"/>
        <v>0</v>
      </c>
      <c r="KK464" s="15">
        <f t="shared" si="329"/>
        <v>0</v>
      </c>
      <c r="KL464" s="19" t="str">
        <f t="shared" si="330"/>
        <v/>
      </c>
      <c r="KM464" s="52">
        <f t="shared" si="331"/>
        <v>1</v>
      </c>
      <c r="KN464" s="22">
        <f t="shared" si="332"/>
        <v>30420</v>
      </c>
      <c r="KO464" s="22">
        <f t="shared" si="333"/>
        <v>60840</v>
      </c>
      <c r="KP464" s="19">
        <f t="shared" si="334"/>
        <v>2</v>
      </c>
      <c r="KQ464" s="11" t="str">
        <f t="shared" si="335"/>
        <v>2. Sensitive</v>
      </c>
      <c r="KR464" s="11" t="str">
        <f t="shared" si="336"/>
        <v>2. Accommodating</v>
      </c>
      <c r="KS464" s="11" t="str">
        <f t="shared" si="337"/>
        <v>2. Sensitive</v>
      </c>
      <c r="KT464" s="11" t="str">
        <f t="shared" si="338"/>
        <v>It tested new ways for fighting poverty, but did not measure results of innovation</v>
      </c>
      <c r="KU464" s="11" t="str">
        <f t="shared" si="339"/>
        <v>Little or no advocacy</v>
      </c>
      <c r="KV464" s="11" t="str">
        <f t="shared" si="340"/>
        <v>It linked and worked with strategic alliances and partners to take tested and effective solutions to scale</v>
      </c>
      <c r="KW464" s="11" t="str">
        <f t="shared" si="341"/>
        <v>Mali - PROGRAMME D'AMENAGEMENT DU DELTA INTERIEUR DU NIGER Phase II</v>
      </c>
      <c r="KX464" s="11" t="str">
        <f t="shared" si="342"/>
        <v>PROGRAMME D'AMENAGEMENT DU DELTA INTERIEUR DU NIGER Phase II</v>
      </c>
      <c r="KY464" s="11" t="str">
        <f t="shared" si="343"/>
        <v>Mali</v>
      </c>
      <c r="KZ464" s="12">
        <v>464</v>
      </c>
    </row>
    <row r="465" spans="1:312" x14ac:dyDescent="0.3">
      <c r="A465" s="12" t="s">
        <v>7835</v>
      </c>
      <c r="B465" s="12" t="s">
        <v>1596</v>
      </c>
      <c r="C465" s="12">
        <v>3629</v>
      </c>
      <c r="D465" s="12" t="s">
        <v>8022</v>
      </c>
      <c r="E465" s="277" t="str">
        <f t="shared" si="301"/>
        <v>Mali</v>
      </c>
      <c r="F465" s="12" t="s">
        <v>8023</v>
      </c>
      <c r="G465" s="12" t="s">
        <v>379</v>
      </c>
      <c r="H465" s="11" t="s">
        <v>310</v>
      </c>
      <c r="I465" s="12" t="s">
        <v>952</v>
      </c>
      <c r="J465" s="281" t="s">
        <v>14716</v>
      </c>
      <c r="K465" s="12"/>
      <c r="L465" s="12"/>
      <c r="M465" s="12"/>
      <c r="N465" s="12"/>
      <c r="O465" s="12"/>
      <c r="P465" s="12"/>
      <c r="Q465" s="12"/>
      <c r="R465" s="12"/>
      <c r="S465" s="12"/>
      <c r="T465" s="12"/>
      <c r="U465" s="12"/>
      <c r="V465" s="12"/>
      <c r="W465" s="12"/>
      <c r="X465" s="12"/>
      <c r="Y465" s="12"/>
      <c r="Z465" s="12"/>
      <c r="AA465" s="12"/>
      <c r="AB465" s="12"/>
      <c r="AC465" s="12"/>
      <c r="AD465" s="12"/>
      <c r="BD465" s="13">
        <v>42096</v>
      </c>
      <c r="BE465" s="13">
        <v>43465</v>
      </c>
      <c r="BF465" s="12"/>
      <c r="BG465" s="12" t="s">
        <v>407</v>
      </c>
      <c r="BH465" s="14">
        <v>20066618</v>
      </c>
      <c r="BI465" s="12" t="s">
        <v>7858</v>
      </c>
      <c r="BJ465" s="12" t="s">
        <v>1856</v>
      </c>
      <c r="BK465" s="12" t="s">
        <v>7859</v>
      </c>
      <c r="BL465" s="12" t="s">
        <v>8004</v>
      </c>
      <c r="BM465" s="12" t="s">
        <v>8024</v>
      </c>
      <c r="BN465" s="12" t="s">
        <v>7983</v>
      </c>
      <c r="BO465" s="12" t="s">
        <v>320</v>
      </c>
      <c r="BP465" s="12" t="s">
        <v>319</v>
      </c>
      <c r="BQ465" s="12" t="s">
        <v>319</v>
      </c>
      <c r="BR465" s="12" t="s">
        <v>8025</v>
      </c>
      <c r="BS465" s="12" t="s">
        <v>357</v>
      </c>
      <c r="BT465" s="12" t="s">
        <v>8026</v>
      </c>
      <c r="BU465" s="12" t="s">
        <v>8027</v>
      </c>
      <c r="BV465" s="14">
        <v>15062</v>
      </c>
      <c r="BW465" s="14">
        <v>10203</v>
      </c>
      <c r="BX465" s="14">
        <v>25265</v>
      </c>
      <c r="BY465" s="14">
        <v>1529833</v>
      </c>
      <c r="BZ465" s="14">
        <v>1469839</v>
      </c>
      <c r="CA465" s="14">
        <v>2999672</v>
      </c>
      <c r="CB465" s="12" t="s">
        <v>8028</v>
      </c>
      <c r="CD465" s="14">
        <v>9431</v>
      </c>
      <c r="CE465" s="14">
        <v>5793</v>
      </c>
      <c r="CF465" s="14">
        <v>15224</v>
      </c>
      <c r="CG465" s="14">
        <v>424409</v>
      </c>
      <c r="CH465" s="14">
        <v>407765</v>
      </c>
      <c r="CI465" s="14">
        <v>832174</v>
      </c>
      <c r="CJ465" s="12" t="s">
        <v>319</v>
      </c>
      <c r="CK465" s="14"/>
      <c r="CL465" s="16"/>
      <c r="CM465" s="14"/>
      <c r="CN465" s="12" t="s">
        <v>319</v>
      </c>
      <c r="CO465" s="14"/>
      <c r="CP465" s="16"/>
      <c r="CQ465" s="14"/>
      <c r="CR465" s="12" t="s">
        <v>319</v>
      </c>
      <c r="CS465" s="14"/>
      <c r="CT465" s="16"/>
      <c r="CU465" s="14"/>
      <c r="CV465" s="12" t="s">
        <v>320</v>
      </c>
      <c r="CW465" s="14">
        <v>15224</v>
      </c>
      <c r="CX465" s="16">
        <v>0.61899999999999999</v>
      </c>
      <c r="CY465" s="14">
        <v>832174</v>
      </c>
      <c r="CZ465" s="12" t="s">
        <v>319</v>
      </c>
      <c r="DA465" s="14"/>
      <c r="DB465" s="16"/>
      <c r="DC465" s="14"/>
      <c r="DD465" s="11" t="s">
        <v>320</v>
      </c>
      <c r="DE465" s="14">
        <v>15224</v>
      </c>
      <c r="DF465" s="16">
        <v>0.61899999999999999</v>
      </c>
      <c r="DG465" s="14">
        <v>832174</v>
      </c>
      <c r="DH465" s="12" t="s">
        <v>319</v>
      </c>
      <c r="DI465" s="14"/>
      <c r="DJ465" s="16"/>
      <c r="DK465" s="14"/>
      <c r="DL465" s="11" t="s">
        <v>320</v>
      </c>
      <c r="DM465" s="14">
        <v>15224</v>
      </c>
      <c r="DN465" s="16">
        <v>0.61899999999999999</v>
      </c>
      <c r="DO465" s="14">
        <v>832174</v>
      </c>
      <c r="DP465" s="12" t="s">
        <v>319</v>
      </c>
      <c r="DQ465" s="14"/>
      <c r="DR465" s="16"/>
      <c r="DS465" s="14"/>
      <c r="DT465" s="12" t="s">
        <v>319</v>
      </c>
      <c r="DU465" s="14"/>
      <c r="DV465" s="16"/>
      <c r="DW465" s="14"/>
      <c r="DX465" s="12" t="s">
        <v>319</v>
      </c>
      <c r="DY465" s="14"/>
      <c r="DZ465" s="16"/>
      <c r="EA465" s="14"/>
      <c r="EB465" s="12" t="s">
        <v>319</v>
      </c>
      <c r="EC465" s="14"/>
      <c r="ED465" s="16"/>
      <c r="EE465" s="14"/>
      <c r="EF465" s="12"/>
      <c r="EG465" s="12"/>
      <c r="EH465" s="14"/>
      <c r="EI465" s="16"/>
      <c r="EJ465" s="14"/>
      <c r="EK465" s="14"/>
      <c r="EL465" s="14"/>
      <c r="EM465" s="14"/>
      <c r="EN465" s="14"/>
      <c r="EO465" s="14"/>
      <c r="EP465" s="14"/>
      <c r="EQ465" s="12"/>
      <c r="ER465" s="14"/>
      <c r="ES465" s="16"/>
      <c r="ET465" s="14"/>
      <c r="EU465" s="12"/>
      <c r="EV465" s="14"/>
      <c r="EW465" s="16"/>
      <c r="EX465" s="14"/>
      <c r="EY465" s="12"/>
      <c r="EZ465" s="14"/>
      <c r="FA465" s="16"/>
      <c r="FB465" s="14"/>
      <c r="FC465" s="12"/>
      <c r="FD465" s="14"/>
      <c r="FE465" s="16"/>
      <c r="FF465" s="14"/>
      <c r="FG465" s="12"/>
      <c r="FH465" s="14"/>
      <c r="FI465" s="16"/>
      <c r="FJ465" s="14"/>
      <c r="FK465" s="12"/>
      <c r="FL465" s="14"/>
      <c r="FM465" s="16"/>
      <c r="FN465" s="14"/>
      <c r="FO465" s="12"/>
      <c r="FP465" s="14"/>
      <c r="FQ465" s="16"/>
      <c r="FR465" s="14"/>
      <c r="FS465" s="12"/>
      <c r="FT465" s="14"/>
      <c r="FU465" s="16"/>
      <c r="FV465" s="14"/>
      <c r="FW465" s="12"/>
      <c r="FX465" s="14"/>
      <c r="FY465" s="16"/>
      <c r="FZ465" s="14"/>
      <c r="GA465" s="12"/>
      <c r="GB465" s="14"/>
      <c r="GC465" s="16"/>
      <c r="GD465" s="14"/>
      <c r="GE465" s="12"/>
      <c r="GF465" s="14"/>
      <c r="GG465" s="16"/>
      <c r="GH465" s="14"/>
      <c r="GI465" s="12"/>
      <c r="GJ465" s="14"/>
      <c r="GK465" s="16"/>
      <c r="GL465" s="14"/>
      <c r="GM465" s="12"/>
      <c r="GN465" s="14"/>
      <c r="GO465" s="16"/>
      <c r="GP465" s="14"/>
      <c r="GQ465" s="12"/>
      <c r="GR465" s="14"/>
      <c r="GS465" s="16"/>
      <c r="GT465" s="14"/>
      <c r="GU465" s="12"/>
      <c r="GV465" s="14"/>
      <c r="GW465" s="16"/>
      <c r="GX465" s="14"/>
      <c r="GY465" s="12"/>
      <c r="GZ465" s="14"/>
      <c r="HA465" s="16"/>
      <c r="HB465" s="14"/>
      <c r="HC465" s="12"/>
      <c r="HD465" s="12"/>
      <c r="HE465" s="14"/>
      <c r="HF465" s="16"/>
      <c r="HG465" s="14"/>
      <c r="HH465" s="12" t="s">
        <v>319</v>
      </c>
      <c r="HI465" s="12"/>
      <c r="HJ465" s="12"/>
      <c r="HK465" s="12" t="s">
        <v>319</v>
      </c>
      <c r="HL465" s="12" t="s">
        <v>319</v>
      </c>
      <c r="HM465" s="12"/>
      <c r="HN465" s="12"/>
      <c r="HO465" s="12"/>
      <c r="HP465" s="12" t="s">
        <v>330</v>
      </c>
      <c r="HQ465" s="12" t="s">
        <v>319</v>
      </c>
      <c r="HR465" s="12" t="s">
        <v>319</v>
      </c>
      <c r="HS465" s="12" t="s">
        <v>319</v>
      </c>
      <c r="HT465" s="12" t="s">
        <v>319</v>
      </c>
      <c r="HU465" s="12" t="s">
        <v>319</v>
      </c>
      <c r="HV465" s="12" t="s">
        <v>319</v>
      </c>
      <c r="HW465" s="12" t="s">
        <v>319</v>
      </c>
      <c r="HX465" s="12" t="s">
        <v>319</v>
      </c>
      <c r="HY465" s="12"/>
      <c r="HZ465" s="11" t="s">
        <v>394</v>
      </c>
      <c r="IA465" s="12" t="s">
        <v>8029</v>
      </c>
      <c r="IB465" s="12" t="s">
        <v>396</v>
      </c>
      <c r="IC465" s="12"/>
      <c r="ID465" s="11" t="s">
        <v>364</v>
      </c>
      <c r="IE465" s="12" t="s">
        <v>335</v>
      </c>
      <c r="IF465" s="12" t="s">
        <v>320</v>
      </c>
      <c r="IG465" s="12" t="s">
        <v>320</v>
      </c>
      <c r="IH465" s="12" t="s">
        <v>320</v>
      </c>
      <c r="II465" s="12" t="s">
        <v>320</v>
      </c>
      <c r="IJ465" s="12" t="str">
        <f t="shared" si="302"/>
        <v>2. Sensitive</v>
      </c>
      <c r="IK465" s="12">
        <f t="shared" si="303"/>
        <v>4</v>
      </c>
      <c r="IL465" s="12" t="s">
        <v>336</v>
      </c>
      <c r="IM465" s="12" t="s">
        <v>320</v>
      </c>
      <c r="IN465" s="12" t="s">
        <v>320</v>
      </c>
      <c r="IO465" s="12" t="s">
        <v>320</v>
      </c>
      <c r="IP465" s="12" t="s">
        <v>320</v>
      </c>
      <c r="IQ465" s="12" t="str">
        <f t="shared" si="304"/>
        <v>2. Accommodating</v>
      </c>
      <c r="IR465" s="12">
        <f t="shared" si="305"/>
        <v>4</v>
      </c>
      <c r="IS465" s="12" t="s">
        <v>337</v>
      </c>
      <c r="IT465" s="12" t="s">
        <v>320</v>
      </c>
      <c r="IU465" s="12" t="s">
        <v>320</v>
      </c>
      <c r="IV465" s="12" t="s">
        <v>320</v>
      </c>
      <c r="IW465" s="11" t="str">
        <f t="shared" si="306"/>
        <v>2. Sensitive</v>
      </c>
      <c r="IX465" s="12">
        <f t="shared" si="307"/>
        <v>3</v>
      </c>
      <c r="IY465" s="11" t="s">
        <v>758</v>
      </c>
      <c r="IZ465" s="12" t="s">
        <v>457</v>
      </c>
      <c r="JA465" s="12">
        <v>30</v>
      </c>
      <c r="JB465" s="11" t="s">
        <v>623</v>
      </c>
      <c r="JC465" s="12" t="s">
        <v>433</v>
      </c>
      <c r="JD465" s="11" t="s">
        <v>624</v>
      </c>
      <c r="JE465" s="12" t="s">
        <v>340</v>
      </c>
      <c r="JF465" s="12"/>
      <c r="JG465" s="12"/>
      <c r="JH465" s="12" t="s">
        <v>8030</v>
      </c>
      <c r="JI465" s="12" t="s">
        <v>8031</v>
      </c>
      <c r="JJ465" s="12" t="s">
        <v>8032</v>
      </c>
      <c r="JK465" s="12" t="s">
        <v>8033</v>
      </c>
      <c r="JL465" s="12" t="s">
        <v>8034</v>
      </c>
      <c r="JM465" s="12" t="s">
        <v>8035</v>
      </c>
      <c r="JN465" s="12" t="s">
        <v>8036</v>
      </c>
      <c r="JO465" s="12" t="s">
        <v>8037</v>
      </c>
      <c r="JP465" s="15">
        <f t="shared" si="308"/>
        <v>15224</v>
      </c>
      <c r="JQ465" s="15">
        <f t="shared" si="309"/>
        <v>832174</v>
      </c>
      <c r="JR465" s="279">
        <f t="shared" si="310"/>
        <v>54.661981082501313</v>
      </c>
      <c r="JS465" s="17">
        <f t="shared" si="311"/>
        <v>0.61948239621650025</v>
      </c>
      <c r="JT465" s="18">
        <f t="shared" si="312"/>
        <v>0.51000031243465915</v>
      </c>
      <c r="JU465" s="280">
        <f t="shared" si="313"/>
        <v>9431</v>
      </c>
      <c r="JV465" s="280">
        <f t="shared" si="314"/>
        <v>424409</v>
      </c>
      <c r="JW465" s="319">
        <f t="shared" si="315"/>
        <v>1</v>
      </c>
      <c r="JX465" s="15">
        <f t="shared" si="316"/>
        <v>15224</v>
      </c>
      <c r="JY465" s="15">
        <f t="shared" si="317"/>
        <v>832174</v>
      </c>
      <c r="JZ465" s="19">
        <f t="shared" si="318"/>
        <v>54.661981082501313</v>
      </c>
      <c r="KA465" s="52">
        <f t="shared" si="319"/>
        <v>1</v>
      </c>
      <c r="KB465" s="15">
        <f t="shared" si="320"/>
        <v>15224</v>
      </c>
      <c r="KC465" s="15">
        <f t="shared" si="321"/>
        <v>832174</v>
      </c>
      <c r="KD465" s="20">
        <f t="shared" si="322"/>
        <v>54.661981082501313</v>
      </c>
      <c r="KE465" s="52" t="str">
        <f t="shared" si="323"/>
        <v/>
      </c>
      <c r="KF465" s="15">
        <f t="shared" si="324"/>
        <v>0</v>
      </c>
      <c r="KG465" s="15">
        <f t="shared" si="325"/>
        <v>0</v>
      </c>
      <c r="KH465" s="21" t="str">
        <f t="shared" si="326"/>
        <v/>
      </c>
      <c r="KI465" s="52" t="str">
        <f t="shared" si="327"/>
        <v/>
      </c>
      <c r="KJ465" s="15">
        <f t="shared" si="328"/>
        <v>0</v>
      </c>
      <c r="KK465" s="15">
        <f t="shared" si="329"/>
        <v>0</v>
      </c>
      <c r="KL465" s="19" t="str">
        <f t="shared" si="330"/>
        <v/>
      </c>
      <c r="KM465" s="52" t="str">
        <f t="shared" si="331"/>
        <v/>
      </c>
      <c r="KN465" s="22">
        <f t="shared" si="332"/>
        <v>0</v>
      </c>
      <c r="KO465" s="22">
        <f t="shared" si="333"/>
        <v>0</v>
      </c>
      <c r="KP465" s="19" t="str">
        <f t="shared" si="334"/>
        <v/>
      </c>
      <c r="KQ465" s="11" t="str">
        <f t="shared" si="335"/>
        <v>2. Sensitive</v>
      </c>
      <c r="KR465" s="11" t="str">
        <f t="shared" si="336"/>
        <v>2. Accommodating</v>
      </c>
      <c r="KS465" s="11" t="str">
        <f t="shared" si="337"/>
        <v>2. Sensitive</v>
      </c>
      <c r="KT465" s="11" t="str">
        <f t="shared" si="338"/>
        <v>It tested new ways for fighting poverty, but did not measure results of innovation</v>
      </c>
      <c r="KU465" s="11" t="str">
        <f t="shared" si="339"/>
        <v>Moderate advocacy</v>
      </c>
      <c r="KV465" s="11" t="str">
        <f t="shared" si="340"/>
        <v>It linked and worked with strategic alliances and partners to take tested and effective solutions to scale</v>
      </c>
      <c r="KW465" s="11" t="str">
        <f t="shared" si="341"/>
        <v>Mali - Projet de Reconstruction et Relance Economique (PRRE)</v>
      </c>
      <c r="KX465" s="11" t="str">
        <f t="shared" si="342"/>
        <v>Projet de Reconstruction et Relance Economique (PRRE)</v>
      </c>
      <c r="KY465" s="11" t="str">
        <f t="shared" si="343"/>
        <v>Mali</v>
      </c>
      <c r="KZ465" s="12">
        <v>465</v>
      </c>
    </row>
    <row r="466" spans="1:312" x14ac:dyDescent="0.3">
      <c r="A466" s="12" t="s">
        <v>7835</v>
      </c>
      <c r="B466" s="12" t="s">
        <v>1596</v>
      </c>
      <c r="C466" s="12">
        <v>93</v>
      </c>
      <c r="D466" s="12" t="s">
        <v>7903</v>
      </c>
      <c r="E466" s="24" t="str">
        <f t="shared" si="301"/>
        <v>Mali</v>
      </c>
      <c r="F466" s="12" t="s">
        <v>7904</v>
      </c>
      <c r="G466" s="12" t="s">
        <v>467</v>
      </c>
      <c r="H466" s="11" t="s">
        <v>310</v>
      </c>
      <c r="I466" s="12" t="s">
        <v>468</v>
      </c>
      <c r="J466" s="281" t="s">
        <v>9212</v>
      </c>
      <c r="K466" s="12"/>
      <c r="L466" s="12"/>
      <c r="M466" s="12"/>
      <c r="N466" s="12"/>
      <c r="O466" s="12"/>
      <c r="P466" s="12"/>
      <c r="Q466" s="12"/>
      <c r="R466" s="12"/>
      <c r="S466" s="12"/>
      <c r="T466" s="12"/>
      <c r="U466" s="12"/>
      <c r="V466" s="12"/>
      <c r="W466" s="12"/>
      <c r="X466" s="12"/>
      <c r="Y466" s="12"/>
      <c r="Z466" s="12"/>
      <c r="AA466" s="12"/>
      <c r="AB466" s="12"/>
      <c r="AC466" s="12"/>
      <c r="AD466" s="12"/>
      <c r="BD466" s="13">
        <v>42430</v>
      </c>
      <c r="BE466" s="13">
        <v>43890</v>
      </c>
      <c r="BF466" s="12"/>
      <c r="BG466" s="12" t="s">
        <v>312</v>
      </c>
      <c r="BH466" s="14">
        <v>6303304</v>
      </c>
      <c r="BI466" s="12" t="s">
        <v>7905</v>
      </c>
      <c r="BJ466" s="12" t="s">
        <v>354</v>
      </c>
      <c r="BK466" s="12" t="s">
        <v>7906</v>
      </c>
      <c r="BL466" s="12" t="s">
        <v>7907</v>
      </c>
      <c r="BM466" s="12" t="s">
        <v>7908</v>
      </c>
      <c r="BN466" s="12" t="s">
        <v>7909</v>
      </c>
      <c r="BO466" s="11" t="s">
        <v>319</v>
      </c>
      <c r="BP466" s="11" t="s">
        <v>320</v>
      </c>
      <c r="BQ466" s="11" t="s">
        <v>319</v>
      </c>
      <c r="BR466" s="12" t="s">
        <v>7910</v>
      </c>
      <c r="BS466" s="12" t="s">
        <v>357</v>
      </c>
      <c r="BT466" s="12" t="s">
        <v>7911</v>
      </c>
      <c r="BU466" s="12" t="s">
        <v>7912</v>
      </c>
      <c r="BV466" s="14">
        <v>150000</v>
      </c>
      <c r="BW466" s="14">
        <v>25000</v>
      </c>
      <c r="BX466" s="14">
        <v>175000</v>
      </c>
      <c r="BY466" s="14">
        <v>550000</v>
      </c>
      <c r="BZ466" s="14">
        <v>313885</v>
      </c>
      <c r="CA466" s="14">
        <v>863885</v>
      </c>
      <c r="CB466" s="12" t="s">
        <v>7913</v>
      </c>
      <c r="CD466" s="14"/>
      <c r="CE466" s="14"/>
      <c r="CF466" s="14"/>
      <c r="CG466" s="14"/>
      <c r="CH466" s="14"/>
      <c r="CI466" s="14"/>
      <c r="CJ466" s="12"/>
      <c r="CK466" s="14"/>
      <c r="CL466" s="16"/>
      <c r="CM466" s="14"/>
      <c r="CN466" s="12"/>
      <c r="CO466" s="14"/>
      <c r="CP466" s="16"/>
      <c r="CQ466" s="14"/>
      <c r="CR466" s="12"/>
      <c r="CS466" s="14"/>
      <c r="CT466" s="16"/>
      <c r="CU466" s="14"/>
      <c r="CV466" s="12"/>
      <c r="CW466" s="14"/>
      <c r="CX466" s="16"/>
      <c r="CY466" s="14"/>
      <c r="CZ466" s="12"/>
      <c r="DA466" s="14"/>
      <c r="DB466" s="16"/>
      <c r="DC466" s="14"/>
      <c r="DD466" s="12"/>
      <c r="DE466" s="14"/>
      <c r="DF466" s="16"/>
      <c r="DG466" s="14"/>
      <c r="DH466" s="12"/>
      <c r="DI466" s="14"/>
      <c r="DJ466" s="16"/>
      <c r="DK466" s="14"/>
      <c r="DL466" s="12"/>
      <c r="DM466" s="14"/>
      <c r="DN466" s="16"/>
      <c r="DO466" s="14"/>
      <c r="DP466" s="12"/>
      <c r="DQ466" s="14"/>
      <c r="DR466" s="16"/>
      <c r="DS466" s="14"/>
      <c r="DT466" s="12"/>
      <c r="DU466" s="14"/>
      <c r="DV466" s="16"/>
      <c r="DW466" s="14"/>
      <c r="DX466" s="12"/>
      <c r="DY466" s="14"/>
      <c r="DZ466" s="16"/>
      <c r="EA466" s="14"/>
      <c r="EB466" s="12"/>
      <c r="EC466" s="14"/>
      <c r="ED466" s="16"/>
      <c r="EE466" s="14"/>
      <c r="EF466" s="12"/>
      <c r="EG466" s="12"/>
      <c r="EH466" s="14"/>
      <c r="EI466" s="16"/>
      <c r="EJ466" s="14"/>
      <c r="EK466" s="14">
        <v>34207</v>
      </c>
      <c r="EL466" s="14">
        <v>5240</v>
      </c>
      <c r="EM466" s="14">
        <v>39447</v>
      </c>
      <c r="EN466" s="14">
        <v>312499</v>
      </c>
      <c r="EO466" s="14">
        <v>333645</v>
      </c>
      <c r="EP466" s="14">
        <v>646144</v>
      </c>
      <c r="EQ466" s="12" t="s">
        <v>320</v>
      </c>
      <c r="ER466" s="14">
        <v>5670</v>
      </c>
      <c r="ES466" s="16">
        <v>1</v>
      </c>
      <c r="ET466" s="14">
        <v>34020</v>
      </c>
      <c r="EU466" s="12" t="s">
        <v>320</v>
      </c>
      <c r="EV466" s="14"/>
      <c r="EW466" s="16"/>
      <c r="EX466" s="14"/>
      <c r="EY466" s="12" t="s">
        <v>320</v>
      </c>
      <c r="EZ466" s="14"/>
      <c r="FA466" s="16"/>
      <c r="FB466" s="14"/>
      <c r="FC466" s="12" t="s">
        <v>320</v>
      </c>
      <c r="FD466" s="14">
        <v>66</v>
      </c>
      <c r="FE466" s="16">
        <v>0.378</v>
      </c>
      <c r="FF466" s="14">
        <v>5385</v>
      </c>
      <c r="FG466" s="12" t="s">
        <v>320</v>
      </c>
      <c r="FH466" s="14">
        <v>34207</v>
      </c>
      <c r="FI466" s="16">
        <v>1</v>
      </c>
      <c r="FJ466" s="14">
        <v>646144</v>
      </c>
      <c r="FK466" s="12" t="s">
        <v>320</v>
      </c>
      <c r="FL466" s="14">
        <v>4819</v>
      </c>
      <c r="FM466" s="16">
        <v>0.93600000000000005</v>
      </c>
      <c r="FN466" s="14"/>
      <c r="FO466" s="12" t="s">
        <v>320</v>
      </c>
      <c r="FP466" s="14">
        <v>31107</v>
      </c>
      <c r="FQ466" s="16">
        <v>0.95699999999999996</v>
      </c>
      <c r="FR466" s="14">
        <v>186642</v>
      </c>
      <c r="FS466" s="12" t="s">
        <v>320</v>
      </c>
      <c r="FT466" s="14">
        <v>18383</v>
      </c>
      <c r="FU466" s="16">
        <v>0.36599999999999999</v>
      </c>
      <c r="FV466" s="14"/>
      <c r="FW466" s="11" t="s">
        <v>320</v>
      </c>
      <c r="FX466" s="14">
        <v>12432</v>
      </c>
      <c r="FY466" s="16">
        <v>0.86</v>
      </c>
      <c r="FZ466" s="14"/>
      <c r="GA466" s="12" t="s">
        <v>319</v>
      </c>
      <c r="GB466" s="14"/>
      <c r="GC466" s="16"/>
      <c r="GD466" s="14"/>
      <c r="GE466" s="12" t="s">
        <v>319</v>
      </c>
      <c r="GF466" s="14"/>
      <c r="GG466" s="16"/>
      <c r="GH466" s="14"/>
      <c r="GI466" s="12" t="s">
        <v>319</v>
      </c>
      <c r="GJ466" s="14"/>
      <c r="GK466" s="16"/>
      <c r="GL466" s="14"/>
      <c r="GM466" s="11" t="s">
        <v>320</v>
      </c>
      <c r="GN466" s="14">
        <v>4070</v>
      </c>
      <c r="GO466" s="16">
        <v>1</v>
      </c>
      <c r="GP466" s="14"/>
      <c r="GQ466" s="12" t="s">
        <v>319</v>
      </c>
      <c r="GR466" s="14"/>
      <c r="GS466" s="16"/>
      <c r="GT466" s="14"/>
      <c r="GU466" s="12" t="s">
        <v>319</v>
      </c>
      <c r="GV466" s="14"/>
      <c r="GW466" s="16"/>
      <c r="GX466" s="14"/>
      <c r="GY466" s="11" t="s">
        <v>320</v>
      </c>
      <c r="GZ466" s="14">
        <v>9653</v>
      </c>
      <c r="HA466" s="16">
        <v>1</v>
      </c>
      <c r="HB466" s="14"/>
      <c r="HC466" s="12"/>
      <c r="HD466" s="12"/>
      <c r="HE466" s="14"/>
      <c r="HF466" s="16"/>
      <c r="HG466" s="14"/>
      <c r="HH466" s="12" t="s">
        <v>319</v>
      </c>
      <c r="HI466" s="12"/>
      <c r="HJ466" s="12"/>
      <c r="HK466" s="12" t="s">
        <v>319</v>
      </c>
      <c r="HL466" s="12" t="s">
        <v>320</v>
      </c>
      <c r="HM466" s="12" t="s">
        <v>328</v>
      </c>
      <c r="HN466" s="12">
        <v>2017</v>
      </c>
      <c r="HO466" s="12" t="s">
        <v>7914</v>
      </c>
      <c r="HP466" s="12" t="s">
        <v>453</v>
      </c>
      <c r="HQ466" s="12" t="s">
        <v>319</v>
      </c>
      <c r="HR466" s="12" t="s">
        <v>320</v>
      </c>
      <c r="HS466" s="12" t="s">
        <v>320</v>
      </c>
      <c r="HT466" s="12" t="s">
        <v>320</v>
      </c>
      <c r="HU466" s="12" t="s">
        <v>320</v>
      </c>
      <c r="HV466" s="12" t="s">
        <v>319</v>
      </c>
      <c r="HW466" s="12" t="s">
        <v>320</v>
      </c>
      <c r="HX466" s="12" t="s">
        <v>320</v>
      </c>
      <c r="HY466" s="12" t="s">
        <v>7915</v>
      </c>
      <c r="HZ466" s="11" t="s">
        <v>394</v>
      </c>
      <c r="IA466" s="12" t="s">
        <v>7916</v>
      </c>
      <c r="IB466" s="12" t="s">
        <v>396</v>
      </c>
      <c r="IC466" s="12" t="s">
        <v>7917</v>
      </c>
      <c r="ID466" s="12" t="s">
        <v>334</v>
      </c>
      <c r="IE466" s="12" t="s">
        <v>478</v>
      </c>
      <c r="IF466" s="12" t="s">
        <v>320</v>
      </c>
      <c r="IG466" s="12" t="s">
        <v>320</v>
      </c>
      <c r="IH466" s="12" t="s">
        <v>320</v>
      </c>
      <c r="II466" s="12" t="s">
        <v>320</v>
      </c>
      <c r="IJ466" s="12" t="str">
        <f t="shared" si="302"/>
        <v>4. Transformative</v>
      </c>
      <c r="IK466" s="12">
        <f t="shared" si="303"/>
        <v>4</v>
      </c>
      <c r="IL466" s="11" t="s">
        <v>621</v>
      </c>
      <c r="IM466" s="12" t="s">
        <v>320</v>
      </c>
      <c r="IN466" s="12" t="s">
        <v>320</v>
      </c>
      <c r="IO466" s="12" t="s">
        <v>320</v>
      </c>
      <c r="IP466" s="12" t="s">
        <v>320</v>
      </c>
      <c r="IQ466" s="12" t="str">
        <f t="shared" si="304"/>
        <v>4. Transformational</v>
      </c>
      <c r="IR466" s="12">
        <f t="shared" si="305"/>
        <v>4</v>
      </c>
      <c r="IS466" s="12" t="s">
        <v>622</v>
      </c>
      <c r="IT466" s="12" t="s">
        <v>320</v>
      </c>
      <c r="IU466" s="12" t="s">
        <v>320</v>
      </c>
      <c r="IV466" s="12" t="s">
        <v>320</v>
      </c>
      <c r="IW466" s="11" t="str">
        <f t="shared" si="306"/>
        <v>4. Transformative</v>
      </c>
      <c r="IX466" s="12">
        <f t="shared" si="307"/>
        <v>3</v>
      </c>
      <c r="IY466" s="11" t="s">
        <v>419</v>
      </c>
      <c r="IZ466" s="11" t="s">
        <v>527</v>
      </c>
      <c r="JA466" s="12">
        <v>5</v>
      </c>
      <c r="JB466" s="11" t="s">
        <v>623</v>
      </c>
      <c r="JC466" s="12" t="s">
        <v>433</v>
      </c>
      <c r="JD466" s="11" t="s">
        <v>624</v>
      </c>
      <c r="JE466" s="12" t="s">
        <v>340</v>
      </c>
      <c r="JF466" s="12" t="s">
        <v>7918</v>
      </c>
      <c r="JG466" s="12"/>
      <c r="JH466" s="12" t="s">
        <v>7919</v>
      </c>
      <c r="JI466" s="12" t="s">
        <v>7920</v>
      </c>
      <c r="JJ466" s="12" t="s">
        <v>7921</v>
      </c>
      <c r="JK466" s="12" t="s">
        <v>7922</v>
      </c>
      <c r="JL466" s="12" t="s">
        <v>7923</v>
      </c>
      <c r="JM466" s="12" t="s">
        <v>7924</v>
      </c>
      <c r="JN466" s="12" t="s">
        <v>7925</v>
      </c>
      <c r="JO466" s="12" t="s">
        <v>7926</v>
      </c>
      <c r="JP466" s="15">
        <f t="shared" si="308"/>
        <v>39447</v>
      </c>
      <c r="JQ466" s="15">
        <f t="shared" si="309"/>
        <v>646144</v>
      </c>
      <c r="JR466" s="279">
        <f t="shared" si="310"/>
        <v>16.380054250006339</v>
      </c>
      <c r="JS466" s="17">
        <f t="shared" si="311"/>
        <v>0.86716353588359063</v>
      </c>
      <c r="JT466" s="18">
        <f t="shared" si="312"/>
        <v>0.4836367744651347</v>
      </c>
      <c r="JU466" s="280">
        <f t="shared" si="313"/>
        <v>34207</v>
      </c>
      <c r="JV466" s="280">
        <f t="shared" si="314"/>
        <v>312499</v>
      </c>
      <c r="JW466" s="319" t="str">
        <f t="shared" si="315"/>
        <v/>
      </c>
      <c r="JX466" s="15">
        <f t="shared" si="316"/>
        <v>0</v>
      </c>
      <c r="JY466" s="15">
        <f t="shared" si="317"/>
        <v>0</v>
      </c>
      <c r="JZ466" s="19" t="str">
        <f t="shared" si="318"/>
        <v/>
      </c>
      <c r="KA466" s="52">
        <f t="shared" si="319"/>
        <v>1</v>
      </c>
      <c r="KB466" s="15">
        <f t="shared" si="320"/>
        <v>34207</v>
      </c>
      <c r="KC466" s="15">
        <f t="shared" si="321"/>
        <v>646144</v>
      </c>
      <c r="KD466" s="20">
        <f t="shared" si="322"/>
        <v>18.889233197883474</v>
      </c>
      <c r="KE466" s="52" t="str">
        <f t="shared" si="323"/>
        <v/>
      </c>
      <c r="KF466" s="15">
        <f t="shared" si="324"/>
        <v>0</v>
      </c>
      <c r="KG466" s="15">
        <f t="shared" si="325"/>
        <v>0</v>
      </c>
      <c r="KH466" s="21" t="str">
        <f t="shared" si="326"/>
        <v/>
      </c>
      <c r="KI466" s="52">
        <f t="shared" si="327"/>
        <v>1</v>
      </c>
      <c r="KJ466" s="15">
        <f t="shared" si="328"/>
        <v>18383</v>
      </c>
      <c r="KK466" s="15">
        <f t="shared" si="329"/>
        <v>0</v>
      </c>
      <c r="KL466" s="19">
        <f t="shared" si="330"/>
        <v>0</v>
      </c>
      <c r="KM466" s="52">
        <f t="shared" si="331"/>
        <v>1</v>
      </c>
      <c r="KN466" s="22">
        <f t="shared" si="332"/>
        <v>34207</v>
      </c>
      <c r="KO466" s="22">
        <f t="shared" si="333"/>
        <v>646144</v>
      </c>
      <c r="KP466" s="19">
        <f t="shared" si="334"/>
        <v>18.889233197883474</v>
      </c>
      <c r="KQ466" s="11" t="str">
        <f t="shared" si="335"/>
        <v>4. Transformative</v>
      </c>
      <c r="KR466" s="11" t="str">
        <f t="shared" si="336"/>
        <v>4. Transformational</v>
      </c>
      <c r="KS466" s="11" t="str">
        <f t="shared" si="337"/>
        <v>4. Transformative</v>
      </c>
      <c r="KT466" s="11" t="str">
        <f t="shared" si="338"/>
        <v>It tested new ways for fighting poverty, but did not measure results of innovation</v>
      </c>
      <c r="KU466" s="11" t="str">
        <f t="shared" si="339"/>
        <v>Intensive advocacy</v>
      </c>
      <c r="KV466" s="11" t="str">
        <f t="shared" si="340"/>
        <v>It linked and worked with strategic alliances and partners to take tested and effective solutions to scale</v>
      </c>
      <c r="KW466" s="11" t="str">
        <f t="shared" si="341"/>
        <v>Mali - Projet Empowerment des Femmes et Filles et Gouvernance de la Société Civile</v>
      </c>
      <c r="KX466" s="11" t="str">
        <f t="shared" si="342"/>
        <v>Projet Empowerment des Femmes et Filles et Gouvernance de la Société Civile</v>
      </c>
      <c r="KY466" s="11" t="str">
        <f t="shared" si="343"/>
        <v>Mali</v>
      </c>
      <c r="KZ466" s="12">
        <v>466</v>
      </c>
    </row>
    <row r="467" spans="1:312" x14ac:dyDescent="0.3">
      <c r="A467" s="12" t="s">
        <v>7835</v>
      </c>
      <c r="B467" s="12" t="s">
        <v>1596</v>
      </c>
      <c r="C467" s="12">
        <v>3632</v>
      </c>
      <c r="D467" s="12" t="s">
        <v>8038</v>
      </c>
      <c r="E467" s="277" t="str">
        <f t="shared" si="301"/>
        <v>Mali</v>
      </c>
      <c r="F467" s="12" t="s">
        <v>8039</v>
      </c>
      <c r="G467" s="12" t="s">
        <v>379</v>
      </c>
      <c r="H467" s="12" t="s">
        <v>384</v>
      </c>
      <c r="I467" s="12" t="s">
        <v>655</v>
      </c>
      <c r="J467" s="281" t="s">
        <v>4991</v>
      </c>
      <c r="K467" s="12"/>
      <c r="L467" s="12"/>
      <c r="M467" s="12"/>
      <c r="N467" s="12"/>
      <c r="O467" s="12"/>
      <c r="P467" s="12"/>
      <c r="Q467" s="12"/>
      <c r="R467" s="12"/>
      <c r="S467" s="12"/>
      <c r="T467" s="12"/>
      <c r="U467" s="12"/>
      <c r="V467" s="12"/>
      <c r="W467" s="12"/>
      <c r="X467" s="12"/>
      <c r="Y467" s="12"/>
      <c r="Z467" s="12"/>
      <c r="AA467" s="12"/>
      <c r="AB467" s="12"/>
      <c r="AC467" s="12"/>
      <c r="AD467" s="12"/>
      <c r="BD467" s="13">
        <v>41548</v>
      </c>
      <c r="BE467" s="13">
        <v>43373</v>
      </c>
      <c r="BF467" s="12"/>
      <c r="BG467" s="12" t="s">
        <v>312</v>
      </c>
      <c r="BH467" s="14">
        <v>14797313</v>
      </c>
      <c r="BI467" s="12" t="s">
        <v>8040</v>
      </c>
      <c r="BJ467" s="12" t="s">
        <v>8041</v>
      </c>
      <c r="BK467" s="12" t="s">
        <v>8042</v>
      </c>
      <c r="BL467" s="12" t="s">
        <v>8043</v>
      </c>
      <c r="BM467" s="12" t="s">
        <v>8044</v>
      </c>
      <c r="BN467" s="12" t="s">
        <v>8045</v>
      </c>
      <c r="BO467" s="11" t="s">
        <v>319</v>
      </c>
      <c r="BP467" s="11" t="s">
        <v>320</v>
      </c>
      <c r="BQ467" s="11" t="s">
        <v>319</v>
      </c>
      <c r="BR467" s="12" t="s">
        <v>8046</v>
      </c>
      <c r="BS467" s="12" t="s">
        <v>357</v>
      </c>
      <c r="BT467" s="12" t="s">
        <v>8047</v>
      </c>
      <c r="BU467" s="12" t="s">
        <v>8048</v>
      </c>
      <c r="BV467" s="14">
        <v>408180</v>
      </c>
      <c r="BW467" s="14">
        <v>469948</v>
      </c>
      <c r="BX467" s="14">
        <v>878128</v>
      </c>
      <c r="BY467" s="14">
        <v>1203194</v>
      </c>
      <c r="BZ467" s="14">
        <v>1078234</v>
      </c>
      <c r="CA467" s="14">
        <v>2281428</v>
      </c>
      <c r="CB467" s="12" t="s">
        <v>8049</v>
      </c>
      <c r="CD467" s="14"/>
      <c r="CE467" s="14"/>
      <c r="CF467" s="14"/>
      <c r="CG467" s="14"/>
      <c r="CH467" s="14"/>
      <c r="CI467" s="14"/>
      <c r="CJ467" s="12"/>
      <c r="CK467" s="14"/>
      <c r="CL467" s="16"/>
      <c r="CM467" s="14"/>
      <c r="CN467" s="12"/>
      <c r="CO467" s="14"/>
      <c r="CP467" s="16"/>
      <c r="CQ467" s="14"/>
      <c r="CR467" s="12"/>
      <c r="CS467" s="14"/>
      <c r="CT467" s="16"/>
      <c r="CU467" s="14"/>
      <c r="CV467" s="12"/>
      <c r="CW467" s="14"/>
      <c r="CX467" s="16"/>
      <c r="CY467" s="14"/>
      <c r="CZ467" s="12"/>
      <c r="DA467" s="14"/>
      <c r="DB467" s="16"/>
      <c r="DC467" s="14"/>
      <c r="DD467" s="12"/>
      <c r="DE467" s="14"/>
      <c r="DF467" s="16"/>
      <c r="DG467" s="14"/>
      <c r="DH467" s="12"/>
      <c r="DI467" s="14"/>
      <c r="DJ467" s="16"/>
      <c r="DK467" s="14"/>
      <c r="DL467" s="12"/>
      <c r="DM467" s="14"/>
      <c r="DN467" s="16"/>
      <c r="DO467" s="14"/>
      <c r="DP467" s="12"/>
      <c r="DQ467" s="14"/>
      <c r="DR467" s="16"/>
      <c r="DS467" s="14"/>
      <c r="DT467" s="12"/>
      <c r="DU467" s="14"/>
      <c r="DV467" s="16"/>
      <c r="DW467" s="14"/>
      <c r="DX467" s="12"/>
      <c r="DY467" s="14"/>
      <c r="DZ467" s="16"/>
      <c r="EA467" s="14"/>
      <c r="EB467" s="12"/>
      <c r="EC467" s="14"/>
      <c r="ED467" s="16"/>
      <c r="EE467" s="14"/>
      <c r="EF467" s="12"/>
      <c r="EG467" s="12"/>
      <c r="EH467" s="14"/>
      <c r="EI467" s="16"/>
      <c r="EJ467" s="14"/>
      <c r="EK467" s="14">
        <v>407262</v>
      </c>
      <c r="EL467" s="14">
        <v>322830</v>
      </c>
      <c r="EM467" s="14">
        <v>730092</v>
      </c>
      <c r="EN467" s="14">
        <v>537228</v>
      </c>
      <c r="EO467" s="14">
        <v>584622</v>
      </c>
      <c r="EP467" s="14">
        <v>1121850</v>
      </c>
      <c r="EQ467" s="12" t="s">
        <v>320</v>
      </c>
      <c r="ER467" s="14">
        <v>6084</v>
      </c>
      <c r="ES467" s="16">
        <v>9.7863852785999197E-2</v>
      </c>
      <c r="ET467" s="14">
        <v>60688</v>
      </c>
      <c r="EU467" s="11" t="s">
        <v>320</v>
      </c>
      <c r="EV467" s="14">
        <v>6084</v>
      </c>
      <c r="EW467" s="16">
        <v>9.7863852785999197E-2</v>
      </c>
      <c r="EX467" s="14">
        <v>60688</v>
      </c>
      <c r="EY467" s="12" t="s">
        <v>319</v>
      </c>
      <c r="EZ467" s="14"/>
      <c r="FA467" s="16"/>
      <c r="FB467" s="14"/>
      <c r="FC467" s="12" t="s">
        <v>319</v>
      </c>
      <c r="FD467" s="14"/>
      <c r="FE467" s="16"/>
      <c r="FF467" s="14"/>
      <c r="FG467" s="12" t="s">
        <v>319</v>
      </c>
      <c r="FH467" s="14"/>
      <c r="FI467" s="16"/>
      <c r="FJ467" s="14"/>
      <c r="FK467" s="12" t="s">
        <v>320</v>
      </c>
      <c r="FL467" s="14">
        <v>500</v>
      </c>
      <c r="FM467" s="16">
        <v>1.7778648670972501E-2</v>
      </c>
      <c r="FN467" s="14">
        <v>27624</v>
      </c>
      <c r="FO467" s="12" t="s">
        <v>320</v>
      </c>
      <c r="FP467" s="14">
        <v>101606</v>
      </c>
      <c r="FQ467" s="16">
        <v>0.16935208319096401</v>
      </c>
      <c r="FR467" s="14">
        <v>599969</v>
      </c>
      <c r="FS467" s="12" t="s">
        <v>319</v>
      </c>
      <c r="FT467" s="14"/>
      <c r="FU467" s="16"/>
      <c r="FV467" s="14"/>
      <c r="FW467" s="12" t="s">
        <v>319</v>
      </c>
      <c r="FX467" s="14"/>
      <c r="FY467" s="16"/>
      <c r="FZ467" s="14"/>
      <c r="GA467" s="11" t="s">
        <v>320</v>
      </c>
      <c r="GB467" s="14">
        <v>308</v>
      </c>
      <c r="GC467" s="16">
        <v>3.8197422481751901E-3</v>
      </c>
      <c r="GD467" s="14">
        <v>80326</v>
      </c>
      <c r="GE467" s="12" t="s">
        <v>320</v>
      </c>
      <c r="GF467" s="14">
        <v>74664</v>
      </c>
      <c r="GG467" s="16">
        <v>7.7464788732394305E-2</v>
      </c>
      <c r="GH467" s="14">
        <v>144089</v>
      </c>
      <c r="GI467" s="12" t="s">
        <v>319</v>
      </c>
      <c r="GJ467" s="14"/>
      <c r="GK467" s="16"/>
      <c r="GL467" s="14"/>
      <c r="GM467" s="12" t="s">
        <v>319</v>
      </c>
      <c r="GN467" s="14"/>
      <c r="GO467" s="16"/>
      <c r="GP467" s="14"/>
      <c r="GQ467" s="12" t="s">
        <v>319</v>
      </c>
      <c r="GR467" s="14"/>
      <c r="GS467" s="16"/>
      <c r="GT467" s="14"/>
      <c r="GU467" s="12" t="s">
        <v>320</v>
      </c>
      <c r="GV467" s="14">
        <v>651022</v>
      </c>
      <c r="GW467" s="16">
        <v>0.7</v>
      </c>
      <c r="GX467" s="14">
        <v>930031</v>
      </c>
      <c r="GY467" s="11" t="s">
        <v>320</v>
      </c>
      <c r="GZ467" s="14">
        <v>47502</v>
      </c>
      <c r="HA467" s="16">
        <v>0.22600000000000001</v>
      </c>
      <c r="HB467" s="14">
        <v>210187</v>
      </c>
      <c r="HC467" s="12"/>
      <c r="HD467" s="12" t="s">
        <v>319</v>
      </c>
      <c r="HE467" s="14"/>
      <c r="HF467" s="16"/>
      <c r="HG467" s="14"/>
      <c r="HH467" s="12" t="s">
        <v>320</v>
      </c>
      <c r="HI467" s="12" t="s">
        <v>327</v>
      </c>
      <c r="HJ467" s="12">
        <v>2016</v>
      </c>
      <c r="HK467" s="12" t="s">
        <v>320</v>
      </c>
      <c r="HL467" s="12" t="s">
        <v>320</v>
      </c>
      <c r="HM467" s="12" t="s">
        <v>327</v>
      </c>
      <c r="HN467" s="12">
        <v>2018</v>
      </c>
      <c r="HO467" s="12" t="s">
        <v>8050</v>
      </c>
      <c r="HP467" s="12" t="s">
        <v>330</v>
      </c>
      <c r="HQ467" s="12" t="s">
        <v>319</v>
      </c>
      <c r="HR467" s="12" t="s">
        <v>319</v>
      </c>
      <c r="HS467" s="12"/>
      <c r="HT467" s="12" t="s">
        <v>320</v>
      </c>
      <c r="HU467" s="12" t="s">
        <v>320</v>
      </c>
      <c r="HV467" s="12" t="s">
        <v>320</v>
      </c>
      <c r="HW467" s="12" t="s">
        <v>319</v>
      </c>
      <c r="HX467" s="12" t="s">
        <v>319</v>
      </c>
      <c r="HY467" s="12"/>
      <c r="HZ467" s="11" t="s">
        <v>394</v>
      </c>
      <c r="IA467" s="12"/>
      <c r="IB467" s="12" t="s">
        <v>396</v>
      </c>
      <c r="IC467" s="12" t="s">
        <v>8051</v>
      </c>
      <c r="ID467" s="11" t="s">
        <v>364</v>
      </c>
      <c r="IE467" s="12" t="s">
        <v>335</v>
      </c>
      <c r="IF467" s="12" t="s">
        <v>320</v>
      </c>
      <c r="IG467" s="12" t="s">
        <v>320</v>
      </c>
      <c r="IH467" s="12" t="s">
        <v>319</v>
      </c>
      <c r="II467" s="12" t="s">
        <v>320</v>
      </c>
      <c r="IJ467" s="12" t="str">
        <f t="shared" si="302"/>
        <v>1. Neutral</v>
      </c>
      <c r="IK467" s="12">
        <f t="shared" si="303"/>
        <v>3</v>
      </c>
      <c r="IL467" s="12" t="s">
        <v>336</v>
      </c>
      <c r="IM467" s="12" t="s">
        <v>320</v>
      </c>
      <c r="IN467" s="12" t="s">
        <v>320</v>
      </c>
      <c r="IO467" s="12" t="s">
        <v>319</v>
      </c>
      <c r="IP467" s="12" t="s">
        <v>319</v>
      </c>
      <c r="IQ467" s="12" t="str">
        <f t="shared" si="304"/>
        <v>1. Tokenistic</v>
      </c>
      <c r="IR467" s="12">
        <f t="shared" si="305"/>
        <v>2</v>
      </c>
      <c r="IS467" s="12" t="s">
        <v>337</v>
      </c>
      <c r="IT467" s="12" t="s">
        <v>319</v>
      </c>
      <c r="IU467" s="12" t="s">
        <v>319</v>
      </c>
      <c r="IV467" s="12" t="s">
        <v>320</v>
      </c>
      <c r="IW467" s="11" t="str">
        <f t="shared" si="306"/>
        <v>1. Neutral</v>
      </c>
      <c r="IX467" s="12">
        <f t="shared" si="307"/>
        <v>1</v>
      </c>
      <c r="IY467" s="11" t="s">
        <v>419</v>
      </c>
      <c r="IZ467" s="12" t="s">
        <v>457</v>
      </c>
      <c r="JA467" s="12">
        <v>7</v>
      </c>
      <c r="JB467" s="12" t="s">
        <v>624</v>
      </c>
      <c r="JC467" s="11" t="s">
        <v>831</v>
      </c>
      <c r="JD467" s="11" t="s">
        <v>687</v>
      </c>
      <c r="JE467" s="12" t="s">
        <v>340</v>
      </c>
      <c r="JF467" s="12" t="s">
        <v>8052</v>
      </c>
      <c r="JG467" s="12" t="s">
        <v>8053</v>
      </c>
      <c r="JH467" s="12" t="s">
        <v>8054</v>
      </c>
      <c r="JI467" s="12" t="s">
        <v>8055</v>
      </c>
      <c r="JJ467" s="12" t="s">
        <v>8056</v>
      </c>
      <c r="JK467" s="12" t="s">
        <v>8057</v>
      </c>
      <c r="JL467" s="12" t="s">
        <v>8058</v>
      </c>
      <c r="JM467" s="12" t="s">
        <v>8059</v>
      </c>
      <c r="JN467" s="12"/>
      <c r="JO467" s="12" t="s">
        <v>8060</v>
      </c>
      <c r="JP467" s="15">
        <f t="shared" si="308"/>
        <v>730092</v>
      </c>
      <c r="JQ467" s="15">
        <f t="shared" si="309"/>
        <v>1121850</v>
      </c>
      <c r="JR467" s="279">
        <f t="shared" si="310"/>
        <v>1.5365871698361302</v>
      </c>
      <c r="JS467" s="17">
        <f t="shared" si="311"/>
        <v>0.55782284972304863</v>
      </c>
      <c r="JT467" s="18">
        <f t="shared" si="312"/>
        <v>0.4788768551945447</v>
      </c>
      <c r="JU467" s="280">
        <f t="shared" si="313"/>
        <v>407262</v>
      </c>
      <c r="JV467" s="280">
        <f t="shared" si="314"/>
        <v>537228</v>
      </c>
      <c r="JW467" s="319" t="str">
        <f t="shared" si="315"/>
        <v/>
      </c>
      <c r="JX467" s="15">
        <f t="shared" si="316"/>
        <v>0</v>
      </c>
      <c r="JY467" s="15">
        <f t="shared" si="317"/>
        <v>0</v>
      </c>
      <c r="JZ467" s="19" t="str">
        <f t="shared" si="318"/>
        <v/>
      </c>
      <c r="KA467" s="52">
        <f t="shared" si="319"/>
        <v>1</v>
      </c>
      <c r="KB467" s="15">
        <f t="shared" si="320"/>
        <v>651022</v>
      </c>
      <c r="KC467" s="15">
        <f t="shared" si="321"/>
        <v>930031</v>
      </c>
      <c r="KD467" s="20">
        <f t="shared" si="322"/>
        <v>1.4285707702658281</v>
      </c>
      <c r="KE467" s="52" t="str">
        <f t="shared" si="323"/>
        <v/>
      </c>
      <c r="KF467" s="15">
        <f t="shared" si="324"/>
        <v>0</v>
      </c>
      <c r="KG467" s="15">
        <f t="shared" si="325"/>
        <v>0</v>
      </c>
      <c r="KH467" s="21" t="str">
        <f t="shared" si="326"/>
        <v/>
      </c>
      <c r="KI467" s="52" t="str">
        <f t="shared" si="327"/>
        <v/>
      </c>
      <c r="KJ467" s="15">
        <f t="shared" si="328"/>
        <v>0</v>
      </c>
      <c r="KK467" s="15">
        <f t="shared" si="329"/>
        <v>0</v>
      </c>
      <c r="KL467" s="19" t="str">
        <f t="shared" si="330"/>
        <v/>
      </c>
      <c r="KM467" s="52">
        <f t="shared" si="331"/>
        <v>1</v>
      </c>
      <c r="KN467" s="22">
        <f t="shared" si="332"/>
        <v>47502</v>
      </c>
      <c r="KO467" s="22">
        <f t="shared" si="333"/>
        <v>210187</v>
      </c>
      <c r="KP467" s="19">
        <f t="shared" si="334"/>
        <v>4.4248031661824765</v>
      </c>
      <c r="KQ467" s="11" t="str">
        <f t="shared" si="335"/>
        <v>1. Neutral</v>
      </c>
      <c r="KR467" s="11" t="str">
        <f t="shared" si="336"/>
        <v>1. Tokenistic</v>
      </c>
      <c r="KS467" s="11" t="str">
        <f t="shared" si="337"/>
        <v>1. Neutral</v>
      </c>
      <c r="KT467" s="11" t="str">
        <f t="shared" si="338"/>
        <v>It tested new ways for fighting poverty, but did not measure results of innovation</v>
      </c>
      <c r="KU467" s="11" t="str">
        <f t="shared" si="339"/>
        <v>Moderate advocacy</v>
      </c>
      <c r="KV467" s="11" t="str">
        <f t="shared" si="340"/>
        <v>It linked and worked with strategic alliances and partners to take tested and effective solutions to scale</v>
      </c>
      <c r="KW467" s="11" t="str">
        <f t="shared" si="341"/>
        <v>Mali - Projet USAID/Nutrition and Hygiene au Mali  </v>
      </c>
      <c r="KX467" s="11" t="str">
        <f t="shared" si="342"/>
        <v>Projet USAID/Nutrition and Hygiene au Mali  </v>
      </c>
      <c r="KY467" s="11" t="str">
        <f t="shared" si="343"/>
        <v>Mali</v>
      </c>
      <c r="KZ467" s="12">
        <v>467</v>
      </c>
    </row>
    <row r="468" spans="1:312" x14ac:dyDescent="0.3">
      <c r="A468" s="12" t="s">
        <v>7835</v>
      </c>
      <c r="B468" s="12" t="s">
        <v>1596</v>
      </c>
      <c r="C468" s="12">
        <v>3633</v>
      </c>
      <c r="D468" s="12" t="s">
        <v>8061</v>
      </c>
      <c r="E468" s="277" t="str">
        <f t="shared" si="301"/>
        <v>Mali</v>
      </c>
      <c r="F468" s="12" t="s">
        <v>8062</v>
      </c>
      <c r="G468" s="12" t="s">
        <v>379</v>
      </c>
      <c r="H468" s="12" t="s">
        <v>383</v>
      </c>
      <c r="I468" s="12" t="s">
        <v>384</v>
      </c>
      <c r="J468" s="281" t="s">
        <v>14717</v>
      </c>
      <c r="K468" s="12"/>
      <c r="L468" s="12"/>
      <c r="M468" s="12"/>
      <c r="N468" s="12"/>
      <c r="O468" s="12"/>
      <c r="P468" s="12"/>
      <c r="Q468" s="12"/>
      <c r="R468" s="12"/>
      <c r="S468" s="12"/>
      <c r="T468" s="12"/>
      <c r="U468" s="12"/>
      <c r="V468" s="12"/>
      <c r="W468" s="12"/>
      <c r="X468" s="12"/>
      <c r="Y468" s="12"/>
      <c r="Z468" s="12"/>
      <c r="AA468" s="12"/>
      <c r="AB468" s="12"/>
      <c r="AC468" s="12"/>
      <c r="AD468" s="12"/>
      <c r="BD468" s="13">
        <v>42370</v>
      </c>
      <c r="BE468" s="13">
        <v>43465</v>
      </c>
      <c r="BF468" s="13">
        <v>43465</v>
      </c>
      <c r="BG468" s="12" t="s">
        <v>947</v>
      </c>
      <c r="BH468" s="14">
        <v>2040070</v>
      </c>
      <c r="BI468" s="12" t="s">
        <v>7879</v>
      </c>
      <c r="BJ468" s="12" t="s">
        <v>8063</v>
      </c>
      <c r="BK468" s="12" t="s">
        <v>8064</v>
      </c>
      <c r="BL468" s="12" t="s">
        <v>8065</v>
      </c>
      <c r="BM468" s="12" t="s">
        <v>1834</v>
      </c>
      <c r="BN468" s="12" t="s">
        <v>8066</v>
      </c>
      <c r="BO468" s="12" t="s">
        <v>320</v>
      </c>
      <c r="BP468" s="12" t="s">
        <v>320</v>
      </c>
      <c r="BQ468" s="12" t="s">
        <v>320</v>
      </c>
      <c r="BR468" s="12" t="s">
        <v>8067</v>
      </c>
      <c r="BS468" s="12" t="s">
        <v>357</v>
      </c>
      <c r="BT468" s="12" t="s">
        <v>8068</v>
      </c>
      <c r="BU468" s="12" t="s">
        <v>8069</v>
      </c>
      <c r="BV468" s="14">
        <v>74307</v>
      </c>
      <c r="BW468" s="14">
        <v>322</v>
      </c>
      <c r="BX468" s="14">
        <v>74629</v>
      </c>
      <c r="BY468" s="14">
        <v>44735</v>
      </c>
      <c r="BZ468" s="14">
        <v>74162</v>
      </c>
      <c r="CA468" s="14">
        <v>118897</v>
      </c>
      <c r="CB468" s="12" t="s">
        <v>8070</v>
      </c>
      <c r="CD468" s="14"/>
      <c r="CE468" s="14"/>
      <c r="CF468" s="14"/>
      <c r="CG468" s="14"/>
      <c r="CH468" s="14"/>
      <c r="CI468" s="14"/>
      <c r="CJ468" s="12" t="s">
        <v>319</v>
      </c>
      <c r="CK468" s="14"/>
      <c r="CL468" s="16"/>
      <c r="CM468" s="14"/>
      <c r="CN468" s="12" t="s">
        <v>319</v>
      </c>
      <c r="CO468" s="14"/>
      <c r="CP468" s="16"/>
      <c r="CQ468" s="14"/>
      <c r="CR468" s="12" t="s">
        <v>320</v>
      </c>
      <c r="CS468" s="14"/>
      <c r="CT468" s="16"/>
      <c r="CU468" s="14"/>
      <c r="CV468" s="12" t="s">
        <v>319</v>
      </c>
      <c r="CW468" s="14"/>
      <c r="CX468" s="16"/>
      <c r="CY468" s="14"/>
      <c r="CZ468" s="12" t="s">
        <v>320</v>
      </c>
      <c r="DA468" s="14"/>
      <c r="DB468" s="16"/>
      <c r="DC468" s="14"/>
      <c r="DD468" s="12" t="s">
        <v>319</v>
      </c>
      <c r="DE468" s="14"/>
      <c r="DF468" s="16"/>
      <c r="DG468" s="14"/>
      <c r="DH468" s="12" t="s">
        <v>320</v>
      </c>
      <c r="DI468" s="14"/>
      <c r="DJ468" s="16"/>
      <c r="DK468" s="14"/>
      <c r="DL468" s="12" t="s">
        <v>319</v>
      </c>
      <c r="DM468" s="14"/>
      <c r="DN468" s="16"/>
      <c r="DO468" s="14"/>
      <c r="DP468" s="12" t="s">
        <v>320</v>
      </c>
      <c r="DQ468" s="14"/>
      <c r="DR468" s="16"/>
      <c r="DS468" s="14"/>
      <c r="DT468" s="12" t="s">
        <v>320</v>
      </c>
      <c r="DU468" s="14">
        <v>11594</v>
      </c>
      <c r="DV468" s="16">
        <v>0.156</v>
      </c>
      <c r="DW468" s="14">
        <v>45522</v>
      </c>
      <c r="DX468" s="12" t="s">
        <v>319</v>
      </c>
      <c r="DY468" s="14"/>
      <c r="DZ468" s="16"/>
      <c r="EA468" s="14"/>
      <c r="EB468" s="12" t="s">
        <v>319</v>
      </c>
      <c r="EC468" s="14"/>
      <c r="ED468" s="16"/>
      <c r="EE468" s="14"/>
      <c r="EF468" s="12"/>
      <c r="EG468" s="12" t="s">
        <v>319</v>
      </c>
      <c r="EH468" s="14"/>
      <c r="EI468" s="16"/>
      <c r="EJ468" s="14"/>
      <c r="EK468" s="14">
        <v>43265</v>
      </c>
      <c r="EL468" s="14">
        <v>18560</v>
      </c>
      <c r="EM468" s="14">
        <v>61825</v>
      </c>
      <c r="EN468" s="14">
        <v>31929</v>
      </c>
      <c r="EO468" s="14">
        <v>30677</v>
      </c>
      <c r="EP468" s="14">
        <v>62606</v>
      </c>
      <c r="EQ468" s="12" t="s">
        <v>319</v>
      </c>
      <c r="ER468" s="14"/>
      <c r="ES468" s="16"/>
      <c r="ET468" s="14"/>
      <c r="EU468" s="11" t="s">
        <v>319</v>
      </c>
      <c r="EV468" s="14"/>
      <c r="EW468" s="16"/>
      <c r="EX468" s="14"/>
      <c r="EY468" s="12" t="s">
        <v>319</v>
      </c>
      <c r="EZ468" s="14"/>
      <c r="FA468" s="16"/>
      <c r="FB468" s="14"/>
      <c r="FC468" s="12" t="s">
        <v>319</v>
      </c>
      <c r="FD468" s="14"/>
      <c r="FE468" s="16"/>
      <c r="FF468" s="14"/>
      <c r="FG468" s="12" t="s">
        <v>319</v>
      </c>
      <c r="FH468" s="14"/>
      <c r="FI468" s="16"/>
      <c r="FJ468" s="14"/>
      <c r="FK468" s="12" t="s">
        <v>320</v>
      </c>
      <c r="FL468" s="14"/>
      <c r="FM468" s="16"/>
      <c r="FN468" s="14"/>
      <c r="FO468" s="12" t="s">
        <v>319</v>
      </c>
      <c r="FP468" s="14"/>
      <c r="FQ468" s="16"/>
      <c r="FR468" s="14"/>
      <c r="FS468" s="12" t="s">
        <v>320</v>
      </c>
      <c r="FT468" s="14"/>
      <c r="FU468" s="16"/>
      <c r="FV468" s="14"/>
      <c r="FW468" s="12" t="s">
        <v>319</v>
      </c>
      <c r="FX468" s="14"/>
      <c r="FY468" s="16"/>
      <c r="FZ468" s="14"/>
      <c r="GA468" s="12" t="s">
        <v>320</v>
      </c>
      <c r="GB468" s="14"/>
      <c r="GC468" s="16"/>
      <c r="GD468" s="14"/>
      <c r="GE468" s="12" t="s">
        <v>319</v>
      </c>
      <c r="GF468" s="14"/>
      <c r="GG468" s="16"/>
      <c r="GH468" s="14"/>
      <c r="GI468" s="12" t="s">
        <v>319</v>
      </c>
      <c r="GJ468" s="14"/>
      <c r="GK468" s="16"/>
      <c r="GL468" s="14"/>
      <c r="GM468" s="11" t="s">
        <v>320</v>
      </c>
      <c r="GN468" s="14">
        <v>585</v>
      </c>
      <c r="GO468" s="16">
        <v>0.8</v>
      </c>
      <c r="GP468" s="14">
        <v>0</v>
      </c>
      <c r="GQ468" s="12" t="s">
        <v>320</v>
      </c>
      <c r="GR468" s="14">
        <v>11594</v>
      </c>
      <c r="GS468" s="16">
        <v>0.156</v>
      </c>
      <c r="GT468" s="14">
        <v>45522</v>
      </c>
      <c r="GU468" s="12" t="s">
        <v>320</v>
      </c>
      <c r="GV468" s="14"/>
      <c r="GW468" s="16"/>
      <c r="GX468" s="14"/>
      <c r="GY468" s="12" t="s">
        <v>319</v>
      </c>
      <c r="GZ468" s="14"/>
      <c r="HA468" s="16"/>
      <c r="HB468" s="14"/>
      <c r="HC468" s="12"/>
      <c r="HD468" s="12" t="s">
        <v>319</v>
      </c>
      <c r="HE468" s="14"/>
      <c r="HF468" s="16"/>
      <c r="HG468" s="14"/>
      <c r="HH468" s="12" t="s">
        <v>320</v>
      </c>
      <c r="HI468" s="12" t="s">
        <v>416</v>
      </c>
      <c r="HJ468" s="12">
        <v>2016</v>
      </c>
      <c r="HK468" s="12" t="s">
        <v>320</v>
      </c>
      <c r="HL468" s="12" t="s">
        <v>319</v>
      </c>
      <c r="HM468" s="12"/>
      <c r="HN468" s="12"/>
      <c r="HO468" s="12" t="s">
        <v>8071</v>
      </c>
      <c r="HP468" s="12" t="s">
        <v>330</v>
      </c>
      <c r="HQ468" s="12" t="s">
        <v>319</v>
      </c>
      <c r="HR468" s="12" t="s">
        <v>319</v>
      </c>
      <c r="HS468" s="12" t="s">
        <v>320</v>
      </c>
      <c r="HT468" s="12" t="s">
        <v>320</v>
      </c>
      <c r="HU468" s="12" t="s">
        <v>319</v>
      </c>
      <c r="HV468" s="12" t="s">
        <v>319</v>
      </c>
      <c r="HW468" s="12" t="s">
        <v>320</v>
      </c>
      <c r="HX468" s="12" t="s">
        <v>319</v>
      </c>
      <c r="HY468" s="12"/>
      <c r="HZ468" s="11" t="s">
        <v>363</v>
      </c>
      <c r="IA468" s="12"/>
      <c r="IB468" s="12" t="s">
        <v>396</v>
      </c>
      <c r="IC468" s="12" t="s">
        <v>8072</v>
      </c>
      <c r="ID468" s="12" t="s">
        <v>334</v>
      </c>
      <c r="IE468" s="12" t="s">
        <v>335</v>
      </c>
      <c r="IF468" s="12" t="s">
        <v>320</v>
      </c>
      <c r="IG468" s="12" t="s">
        <v>320</v>
      </c>
      <c r="IH468" s="12" t="s">
        <v>320</v>
      </c>
      <c r="II468" s="12" t="s">
        <v>320</v>
      </c>
      <c r="IJ468" s="12" t="str">
        <f t="shared" si="302"/>
        <v>2. Sensitive</v>
      </c>
      <c r="IK468" s="12">
        <f t="shared" si="303"/>
        <v>4</v>
      </c>
      <c r="IL468" s="12" t="s">
        <v>336</v>
      </c>
      <c r="IM468" s="12" t="s">
        <v>319</v>
      </c>
      <c r="IN468" s="12" t="s">
        <v>320</v>
      </c>
      <c r="IO468" s="12" t="s">
        <v>320</v>
      </c>
      <c r="IP468" s="12" t="s">
        <v>320</v>
      </c>
      <c r="IQ468" s="12" t="str">
        <f t="shared" si="304"/>
        <v>2. Accommodating</v>
      </c>
      <c r="IR468" s="12">
        <f t="shared" si="305"/>
        <v>3</v>
      </c>
      <c r="IS468" s="12" t="s">
        <v>456</v>
      </c>
      <c r="IT468" s="12" t="s">
        <v>319</v>
      </c>
      <c r="IU468" s="12" t="s">
        <v>319</v>
      </c>
      <c r="IV468" s="12" t="s">
        <v>319</v>
      </c>
      <c r="IW468" s="11" t="str">
        <f t="shared" si="306"/>
        <v>0. Harmful</v>
      </c>
      <c r="IX468" s="12">
        <f t="shared" si="307"/>
        <v>0</v>
      </c>
      <c r="IY468" s="11" t="s">
        <v>338</v>
      </c>
      <c r="IZ468" s="12" t="s">
        <v>457</v>
      </c>
      <c r="JA468" s="12">
        <v>43</v>
      </c>
      <c r="JB468" s="12" t="s">
        <v>687</v>
      </c>
      <c r="JC468" s="11" t="s">
        <v>624</v>
      </c>
      <c r="JD468" s="11" t="s">
        <v>1113</v>
      </c>
      <c r="JE468" s="12" t="s">
        <v>340</v>
      </c>
      <c r="JF468" s="12" t="s">
        <v>8073</v>
      </c>
      <c r="JG468" s="12" t="s">
        <v>8074</v>
      </c>
      <c r="JH468" s="12" t="s">
        <v>8075</v>
      </c>
      <c r="JI468" s="12" t="s">
        <v>8076</v>
      </c>
      <c r="JJ468" s="12" t="s">
        <v>8077</v>
      </c>
      <c r="JK468" s="12" t="s">
        <v>8078</v>
      </c>
      <c r="JL468" s="12" t="s">
        <v>8079</v>
      </c>
      <c r="JM468" s="12" t="s">
        <v>8080</v>
      </c>
      <c r="JN468" s="12" t="s">
        <v>8081</v>
      </c>
      <c r="JO468" s="12" t="s">
        <v>8082</v>
      </c>
      <c r="JP468" s="15">
        <f t="shared" si="308"/>
        <v>61825</v>
      </c>
      <c r="JQ468" s="15">
        <f t="shared" si="309"/>
        <v>62606</v>
      </c>
      <c r="JR468" s="279">
        <f t="shared" si="310"/>
        <v>1.0126324302466641</v>
      </c>
      <c r="JS468" s="17">
        <f t="shared" si="311"/>
        <v>0.69979781641730687</v>
      </c>
      <c r="JT468" s="18">
        <f t="shared" si="312"/>
        <v>0.50999904162540333</v>
      </c>
      <c r="JU468" s="280">
        <f t="shared" si="313"/>
        <v>43265</v>
      </c>
      <c r="JV468" s="280">
        <f t="shared" si="314"/>
        <v>31929</v>
      </c>
      <c r="JW468" s="319">
        <f t="shared" si="315"/>
        <v>1</v>
      </c>
      <c r="JX468" s="15">
        <f t="shared" si="316"/>
        <v>0</v>
      </c>
      <c r="JY468" s="15">
        <f t="shared" si="317"/>
        <v>0</v>
      </c>
      <c r="JZ468" s="19" t="str">
        <f t="shared" si="318"/>
        <v/>
      </c>
      <c r="KA468" s="52">
        <f t="shared" si="319"/>
        <v>1</v>
      </c>
      <c r="KB468" s="15">
        <f t="shared" si="320"/>
        <v>0</v>
      </c>
      <c r="KC468" s="15">
        <f t="shared" si="321"/>
        <v>0</v>
      </c>
      <c r="KD468" s="20" t="str">
        <f t="shared" si="322"/>
        <v/>
      </c>
      <c r="KE468" s="52">
        <f t="shared" si="323"/>
        <v>1</v>
      </c>
      <c r="KF468" s="15">
        <f t="shared" si="324"/>
        <v>11594</v>
      </c>
      <c r="KG468" s="15">
        <f t="shared" si="325"/>
        <v>45522</v>
      </c>
      <c r="KH468" s="21">
        <f t="shared" si="326"/>
        <v>3.9263412109711919</v>
      </c>
      <c r="KI468" s="52">
        <f t="shared" si="327"/>
        <v>1</v>
      </c>
      <c r="KJ468" s="15">
        <f t="shared" si="328"/>
        <v>0</v>
      </c>
      <c r="KK468" s="15">
        <f t="shared" si="329"/>
        <v>0</v>
      </c>
      <c r="KL468" s="19" t="str">
        <f t="shared" si="330"/>
        <v/>
      </c>
      <c r="KM468" s="52" t="str">
        <f t="shared" si="331"/>
        <v/>
      </c>
      <c r="KN468" s="22">
        <f t="shared" si="332"/>
        <v>0</v>
      </c>
      <c r="KO468" s="22">
        <f t="shared" si="333"/>
        <v>0</v>
      </c>
      <c r="KP468" s="19" t="str">
        <f t="shared" si="334"/>
        <v/>
      </c>
      <c r="KQ468" s="11" t="str">
        <f t="shared" si="335"/>
        <v>2. Sensitive</v>
      </c>
      <c r="KR468" s="11" t="str">
        <f t="shared" si="336"/>
        <v>2. Accommodating</v>
      </c>
      <c r="KS468" s="11" t="str">
        <f t="shared" si="337"/>
        <v>0. Harmful</v>
      </c>
      <c r="KT468" s="11" t="str">
        <f t="shared" si="338"/>
        <v>It did not develop any specific innovation</v>
      </c>
      <c r="KU468" s="11" t="str">
        <f t="shared" si="339"/>
        <v>Moderate advocacy</v>
      </c>
      <c r="KV468" s="11" t="str">
        <f t="shared" si="340"/>
        <v>It linked and worked with strategic alliances and partners to take tested and effective solutions to scale</v>
      </c>
      <c r="KW468" s="11" t="str">
        <f t="shared" si="341"/>
        <v>Mali - SAF PAC</v>
      </c>
      <c r="KX468" s="11" t="str">
        <f t="shared" si="342"/>
        <v>SAF PAC</v>
      </c>
      <c r="KY468" s="11" t="str">
        <f t="shared" si="343"/>
        <v>Mali</v>
      </c>
      <c r="KZ468" s="12">
        <v>468</v>
      </c>
    </row>
    <row r="469" spans="1:312" x14ac:dyDescent="0.3">
      <c r="A469" s="12" t="s">
        <v>7835</v>
      </c>
      <c r="B469" s="12" t="s">
        <v>1596</v>
      </c>
      <c r="D469" s="12" t="s">
        <v>8117</v>
      </c>
      <c r="E469" s="277" t="str">
        <f t="shared" si="301"/>
        <v>Mali</v>
      </c>
      <c r="F469" s="12" t="s">
        <v>8118</v>
      </c>
      <c r="G469" s="12" t="s">
        <v>608</v>
      </c>
      <c r="H469" s="12" t="s">
        <v>384</v>
      </c>
      <c r="I469" s="12"/>
      <c r="J469" s="281" t="s">
        <v>8430</v>
      </c>
      <c r="K469" s="12"/>
      <c r="L469" s="12"/>
      <c r="M469" s="12"/>
      <c r="N469" s="12"/>
      <c r="O469" s="12"/>
      <c r="P469" s="12"/>
      <c r="Q469" s="12"/>
      <c r="R469" s="12"/>
      <c r="S469" s="12"/>
      <c r="T469" s="12"/>
      <c r="U469" s="12"/>
      <c r="V469" s="12"/>
      <c r="W469" s="12"/>
      <c r="X469" s="12"/>
      <c r="Y469" s="12"/>
      <c r="Z469" s="12"/>
      <c r="AA469" s="12"/>
      <c r="AB469" s="12"/>
      <c r="AC469" s="12"/>
      <c r="AD469" s="12"/>
      <c r="BD469" s="13">
        <v>42278</v>
      </c>
      <c r="BE469" s="13">
        <v>42766</v>
      </c>
      <c r="BF469" s="12"/>
      <c r="BG469" s="12" t="s">
        <v>312</v>
      </c>
      <c r="BH469" s="14">
        <v>542797.4</v>
      </c>
      <c r="BI469" s="12" t="s">
        <v>7937</v>
      </c>
      <c r="BJ469" s="12" t="s">
        <v>8119</v>
      </c>
      <c r="BK469" s="12" t="s">
        <v>7909</v>
      </c>
      <c r="BL469" s="12" t="s">
        <v>7858</v>
      </c>
      <c r="BM469" s="12" t="s">
        <v>8120</v>
      </c>
      <c r="BN469" s="12" t="s">
        <v>7859</v>
      </c>
      <c r="BO469" s="11" t="s">
        <v>319</v>
      </c>
      <c r="BP469" s="11" t="s">
        <v>320</v>
      </c>
      <c r="BQ469" s="11" t="s">
        <v>319</v>
      </c>
      <c r="BR469" s="12" t="s">
        <v>8121</v>
      </c>
      <c r="BS469" s="12" t="s">
        <v>357</v>
      </c>
      <c r="BT469" s="12" t="s">
        <v>8122</v>
      </c>
      <c r="BU469" s="12" t="s">
        <v>8123</v>
      </c>
      <c r="BV469" s="14">
        <v>21809</v>
      </c>
      <c r="BW469" s="14">
        <v>20453</v>
      </c>
      <c r="BX469" s="14">
        <v>42262</v>
      </c>
      <c r="BY469" s="14">
        <v>18714</v>
      </c>
      <c r="BZ469" s="14">
        <v>17650</v>
      </c>
      <c r="CA469" s="14">
        <v>36364</v>
      </c>
      <c r="CB469" s="12" t="s">
        <v>8124</v>
      </c>
      <c r="CD469" s="14"/>
      <c r="CE469" s="14"/>
      <c r="CF469" s="14"/>
      <c r="CG469" s="14"/>
      <c r="CH469" s="14"/>
      <c r="CI469" s="14"/>
      <c r="CJ469" s="12"/>
      <c r="CK469" s="14"/>
      <c r="CL469" s="16"/>
      <c r="CM469" s="14"/>
      <c r="CN469" s="12"/>
      <c r="CO469" s="14"/>
      <c r="CP469" s="16"/>
      <c r="CQ469" s="14"/>
      <c r="CR469" s="12"/>
      <c r="CS469" s="14"/>
      <c r="CT469" s="16"/>
      <c r="CU469" s="14"/>
      <c r="CV469" s="12"/>
      <c r="CW469" s="14"/>
      <c r="CX469" s="16"/>
      <c r="CY469" s="14"/>
      <c r="CZ469" s="12"/>
      <c r="DA469" s="14"/>
      <c r="DB469" s="16"/>
      <c r="DC469" s="14"/>
      <c r="DD469" s="12"/>
      <c r="DE469" s="14"/>
      <c r="DF469" s="16"/>
      <c r="DG469" s="14"/>
      <c r="DH469" s="12"/>
      <c r="DI469" s="14"/>
      <c r="DJ469" s="16"/>
      <c r="DK469" s="14"/>
      <c r="DL469" s="12"/>
      <c r="DM469" s="14"/>
      <c r="DN469" s="16"/>
      <c r="DO469" s="14"/>
      <c r="DP469" s="12"/>
      <c r="DQ469" s="14"/>
      <c r="DR469" s="16"/>
      <c r="DS469" s="14"/>
      <c r="DT469" s="12"/>
      <c r="DU469" s="14"/>
      <c r="DV469" s="16"/>
      <c r="DW469" s="14"/>
      <c r="DX469" s="12"/>
      <c r="DY469" s="14"/>
      <c r="DZ469" s="16"/>
      <c r="EA469" s="14"/>
      <c r="EB469" s="12"/>
      <c r="EC469" s="14"/>
      <c r="ED469" s="16"/>
      <c r="EE469" s="14"/>
      <c r="EF469" s="12"/>
      <c r="EG469" s="12"/>
      <c r="EH469" s="14"/>
      <c r="EI469" s="16"/>
      <c r="EJ469" s="14"/>
      <c r="EK469" s="14">
        <v>20167</v>
      </c>
      <c r="EL469" s="14">
        <v>18137</v>
      </c>
      <c r="EM469" s="14">
        <v>38304</v>
      </c>
      <c r="EN469" s="14">
        <v>20356</v>
      </c>
      <c r="EO469" s="14">
        <v>19966</v>
      </c>
      <c r="EP469" s="14">
        <v>40322</v>
      </c>
      <c r="EQ469" s="12" t="s">
        <v>319</v>
      </c>
      <c r="ER469" s="14"/>
      <c r="ES469" s="16"/>
      <c r="ET469" s="14"/>
      <c r="EU469" s="11" t="s">
        <v>319</v>
      </c>
      <c r="EV469" s="14"/>
      <c r="EW469" s="16"/>
      <c r="EX469" s="14"/>
      <c r="EY469" s="12" t="s">
        <v>319</v>
      </c>
      <c r="EZ469" s="14"/>
      <c r="FA469" s="16"/>
      <c r="FB469" s="14"/>
      <c r="FC469" s="12" t="s">
        <v>319</v>
      </c>
      <c r="FD469" s="14"/>
      <c r="FE469" s="16"/>
      <c r="FF469" s="14"/>
      <c r="FG469" s="12" t="s">
        <v>319</v>
      </c>
      <c r="FH469" s="14"/>
      <c r="FI469" s="16"/>
      <c r="FJ469" s="14"/>
      <c r="FK469" s="12" t="s">
        <v>320</v>
      </c>
      <c r="FL469" s="14">
        <v>38304</v>
      </c>
      <c r="FM469" s="16">
        <v>0.52600000000000002</v>
      </c>
      <c r="FN469" s="14">
        <v>40322</v>
      </c>
      <c r="FO469" s="12" t="s">
        <v>319</v>
      </c>
      <c r="FP469" s="14"/>
      <c r="FQ469" s="16"/>
      <c r="FR469" s="14"/>
      <c r="FS469" s="12" t="s">
        <v>320</v>
      </c>
      <c r="FT469" s="14">
        <v>38304</v>
      </c>
      <c r="FU469" s="16">
        <v>0.52600000000000002</v>
      </c>
      <c r="FV469" s="14">
        <v>40323</v>
      </c>
      <c r="FW469" s="11" t="s">
        <v>320</v>
      </c>
      <c r="FX469" s="14">
        <v>38304</v>
      </c>
      <c r="FY469" s="16">
        <v>0.52600000000000002</v>
      </c>
      <c r="FZ469" s="14">
        <v>40323</v>
      </c>
      <c r="GA469" s="11" t="s">
        <v>320</v>
      </c>
      <c r="GB469" s="14">
        <v>38304</v>
      </c>
      <c r="GC469" s="16">
        <v>0.52600000000000002</v>
      </c>
      <c r="GD469" s="14">
        <v>40323</v>
      </c>
      <c r="GE469" s="12" t="s">
        <v>320</v>
      </c>
      <c r="GF469" s="14">
        <v>38304</v>
      </c>
      <c r="GG469" s="16">
        <v>0.52600000000000002</v>
      </c>
      <c r="GH469" s="14">
        <v>40323</v>
      </c>
      <c r="GI469" s="12" t="s">
        <v>319</v>
      </c>
      <c r="GJ469" s="14"/>
      <c r="GK469" s="16"/>
      <c r="GL469" s="14"/>
      <c r="GM469" s="11" t="s">
        <v>320</v>
      </c>
      <c r="GN469" s="14">
        <v>840</v>
      </c>
      <c r="GO469" s="16">
        <v>0.248</v>
      </c>
      <c r="GP469" s="14">
        <v>77786</v>
      </c>
      <c r="GQ469" s="12" t="s">
        <v>319</v>
      </c>
      <c r="GR469" s="14"/>
      <c r="GS469" s="16"/>
      <c r="GT469" s="14"/>
      <c r="GU469" s="12" t="s">
        <v>320</v>
      </c>
      <c r="GV469" s="14">
        <v>38304</v>
      </c>
      <c r="GW469" s="16">
        <v>0.52600000000000002</v>
      </c>
      <c r="GX469" s="14">
        <v>40323</v>
      </c>
      <c r="GY469" s="11" t="s">
        <v>320</v>
      </c>
      <c r="GZ469" s="14">
        <v>665</v>
      </c>
      <c r="HA469" s="16">
        <v>1.7000000000000001E-2</v>
      </c>
      <c r="HB469" s="14">
        <v>40523</v>
      </c>
      <c r="HC469" s="12"/>
      <c r="HD469" s="12"/>
      <c r="HE469" s="14"/>
      <c r="HF469" s="16"/>
      <c r="HG469" s="14"/>
      <c r="HH469" s="12" t="s">
        <v>319</v>
      </c>
      <c r="HI469" s="12"/>
      <c r="HJ469" s="12"/>
      <c r="HK469" s="12" t="s">
        <v>319</v>
      </c>
      <c r="HL469" s="12" t="s">
        <v>319</v>
      </c>
      <c r="HM469" s="12"/>
      <c r="HN469" s="12"/>
      <c r="HO469" s="12" t="s">
        <v>8125</v>
      </c>
      <c r="HP469" s="12" t="s">
        <v>330</v>
      </c>
      <c r="HQ469" s="12" t="s">
        <v>319</v>
      </c>
      <c r="HR469" s="12" t="s">
        <v>320</v>
      </c>
      <c r="HS469" s="12" t="s">
        <v>320</v>
      </c>
      <c r="HT469" s="12" t="s">
        <v>320</v>
      </c>
      <c r="HU469" s="12" t="s">
        <v>320</v>
      </c>
      <c r="HV469" s="12" t="s">
        <v>320</v>
      </c>
      <c r="HW469" s="12" t="s">
        <v>319</v>
      </c>
      <c r="HX469" s="12"/>
      <c r="HY469" s="12"/>
      <c r="HZ469" s="11" t="s">
        <v>394</v>
      </c>
      <c r="IA469" s="12" t="s">
        <v>8126</v>
      </c>
      <c r="IB469" s="12" t="s">
        <v>396</v>
      </c>
      <c r="IC469" s="12" t="s">
        <v>8127</v>
      </c>
      <c r="ID469" s="12" t="s">
        <v>334</v>
      </c>
      <c r="IE469" s="12" t="s">
        <v>335</v>
      </c>
      <c r="IF469" s="12" t="s">
        <v>320</v>
      </c>
      <c r="IG469" s="12" t="s">
        <v>320</v>
      </c>
      <c r="IH469" s="12" t="s">
        <v>320</v>
      </c>
      <c r="II469" s="12" t="s">
        <v>320</v>
      </c>
      <c r="IJ469" s="12" t="str">
        <f t="shared" si="302"/>
        <v>2. Sensitive</v>
      </c>
      <c r="IK469" s="12">
        <f t="shared" si="303"/>
        <v>4</v>
      </c>
      <c r="IL469" s="12" t="s">
        <v>336</v>
      </c>
      <c r="IM469" s="12" t="s">
        <v>320</v>
      </c>
      <c r="IN469" s="12" t="s">
        <v>320</v>
      </c>
      <c r="IO469" s="12" t="s">
        <v>320</v>
      </c>
      <c r="IP469" s="12" t="s">
        <v>320</v>
      </c>
      <c r="IQ469" s="12" t="str">
        <f t="shared" si="304"/>
        <v>2. Accommodating</v>
      </c>
      <c r="IR469" s="12">
        <f t="shared" si="305"/>
        <v>4</v>
      </c>
      <c r="IS469" s="12" t="s">
        <v>337</v>
      </c>
      <c r="IT469" s="12" t="s">
        <v>320</v>
      </c>
      <c r="IU469" s="12" t="s">
        <v>320</v>
      </c>
      <c r="IV469" s="12" t="s">
        <v>320</v>
      </c>
      <c r="IW469" s="11" t="str">
        <f t="shared" si="306"/>
        <v>2. Sensitive</v>
      </c>
      <c r="IX469" s="12">
        <f t="shared" si="307"/>
        <v>3</v>
      </c>
      <c r="IY469" s="11" t="s">
        <v>338</v>
      </c>
      <c r="IZ469" s="12" t="s">
        <v>457</v>
      </c>
      <c r="JA469" s="12">
        <v>7</v>
      </c>
      <c r="JB469" s="11" t="s">
        <v>623</v>
      </c>
      <c r="JC469" s="12" t="s">
        <v>651</v>
      </c>
      <c r="JD469" s="12" t="s">
        <v>724</v>
      </c>
      <c r="JE469" s="12" t="s">
        <v>365</v>
      </c>
      <c r="JF469" s="12" t="s">
        <v>8128</v>
      </c>
      <c r="JG469" s="12" t="s">
        <v>8129</v>
      </c>
      <c r="JH469" s="12" t="s">
        <v>8130</v>
      </c>
      <c r="JI469" s="12" t="s">
        <v>8131</v>
      </c>
      <c r="JJ469" s="12" t="s">
        <v>8132</v>
      </c>
      <c r="JK469" s="12" t="s">
        <v>8133</v>
      </c>
      <c r="JL469" s="12" t="s">
        <v>8134</v>
      </c>
      <c r="JM469" s="12" t="s">
        <v>8135</v>
      </c>
      <c r="JN469" s="12" t="s">
        <v>8136</v>
      </c>
      <c r="JO469" s="12" t="s">
        <v>8137</v>
      </c>
      <c r="JP469" s="15">
        <f t="shared" si="308"/>
        <v>38304</v>
      </c>
      <c r="JQ469" s="15">
        <f t="shared" si="309"/>
        <v>40322</v>
      </c>
      <c r="JR469" s="279">
        <f t="shared" si="310"/>
        <v>1.0526837928153718</v>
      </c>
      <c r="JS469" s="17">
        <f t="shared" si="311"/>
        <v>0.52649853801169588</v>
      </c>
      <c r="JT469" s="18">
        <f t="shared" si="312"/>
        <v>0.50483606963940286</v>
      </c>
      <c r="JU469" s="280">
        <f t="shared" si="313"/>
        <v>20167</v>
      </c>
      <c r="JV469" s="280">
        <f t="shared" si="314"/>
        <v>20356</v>
      </c>
      <c r="JW469" s="319" t="str">
        <f t="shared" si="315"/>
        <v/>
      </c>
      <c r="JX469" s="15">
        <f t="shared" si="316"/>
        <v>0</v>
      </c>
      <c r="JY469" s="15">
        <f t="shared" si="317"/>
        <v>0</v>
      </c>
      <c r="JZ469" s="19" t="str">
        <f t="shared" si="318"/>
        <v/>
      </c>
      <c r="KA469" s="52">
        <f t="shared" si="319"/>
        <v>1</v>
      </c>
      <c r="KB469" s="15">
        <f t="shared" si="320"/>
        <v>38304</v>
      </c>
      <c r="KC469" s="15">
        <f t="shared" si="321"/>
        <v>40323</v>
      </c>
      <c r="KD469" s="20">
        <f t="shared" si="322"/>
        <v>1.0527098997493733</v>
      </c>
      <c r="KE469" s="52" t="str">
        <f t="shared" si="323"/>
        <v/>
      </c>
      <c r="KF469" s="15">
        <f t="shared" si="324"/>
        <v>0</v>
      </c>
      <c r="KG469" s="15">
        <f t="shared" si="325"/>
        <v>0</v>
      </c>
      <c r="KH469" s="21" t="str">
        <f t="shared" si="326"/>
        <v/>
      </c>
      <c r="KI469" s="52">
        <f t="shared" si="327"/>
        <v>1</v>
      </c>
      <c r="KJ469" s="15">
        <f t="shared" si="328"/>
        <v>38304</v>
      </c>
      <c r="KK469" s="15">
        <f t="shared" si="329"/>
        <v>40323</v>
      </c>
      <c r="KL469" s="19">
        <f t="shared" si="330"/>
        <v>1.0527098997493733</v>
      </c>
      <c r="KM469" s="52">
        <f t="shared" si="331"/>
        <v>1</v>
      </c>
      <c r="KN469" s="22">
        <f t="shared" si="332"/>
        <v>665</v>
      </c>
      <c r="KO469" s="22">
        <f t="shared" si="333"/>
        <v>40523</v>
      </c>
      <c r="KP469" s="19">
        <f t="shared" si="334"/>
        <v>60.93684210526316</v>
      </c>
      <c r="KQ469" s="11" t="str">
        <f t="shared" si="335"/>
        <v>2. Sensitive</v>
      </c>
      <c r="KR469" s="11" t="str">
        <f t="shared" si="336"/>
        <v>2. Accommodating</v>
      </c>
      <c r="KS469" s="11" t="str">
        <f t="shared" si="337"/>
        <v>2. Sensitive</v>
      </c>
      <c r="KT469" s="11" t="str">
        <f t="shared" si="338"/>
        <v>It tested new ways for fighting poverty, but did not measure results of innovation</v>
      </c>
      <c r="KU469" s="11" t="str">
        <f t="shared" si="339"/>
        <v>Moderate advocacy</v>
      </c>
      <c r="KV469" s="11" t="str">
        <f t="shared" si="340"/>
        <v>It linked and worked with strategic alliances and partners to take tested and effective solutions to scale</v>
      </c>
      <c r="KW469" s="11" t="str">
        <f t="shared" si="341"/>
        <v>Mali - UNCFML0007  Wash in school et ATPC+E</v>
      </c>
      <c r="KX469" s="11" t="str">
        <f t="shared" si="342"/>
        <v>UNCFML0007  Wash in school et ATPC+E</v>
      </c>
      <c r="KY469" s="11" t="str">
        <f t="shared" si="343"/>
        <v>Mali</v>
      </c>
      <c r="KZ469" s="12">
        <v>469</v>
      </c>
    </row>
    <row r="470" spans="1:312" x14ac:dyDescent="0.3">
      <c r="A470" s="12" t="s">
        <v>7835</v>
      </c>
      <c r="B470" s="12" t="s">
        <v>1596</v>
      </c>
      <c r="C470" s="12"/>
      <c r="D470" s="12" t="s">
        <v>8083</v>
      </c>
      <c r="E470" s="277" t="str">
        <f t="shared" si="301"/>
        <v>Mali</v>
      </c>
      <c r="F470" s="12" t="s">
        <v>8084</v>
      </c>
      <c r="G470" s="12" t="s">
        <v>379</v>
      </c>
      <c r="H470" s="12" t="s">
        <v>383</v>
      </c>
      <c r="I470" s="12" t="s">
        <v>384</v>
      </c>
      <c r="J470" s="278" t="s">
        <v>14618</v>
      </c>
      <c r="K470" s="12" t="s">
        <v>8085</v>
      </c>
      <c r="L470" s="12" t="s">
        <v>379</v>
      </c>
      <c r="M470" s="12" t="s">
        <v>383</v>
      </c>
      <c r="N470" s="12" t="s">
        <v>384</v>
      </c>
      <c r="O470" s="281" t="s">
        <v>1187</v>
      </c>
      <c r="P470" s="12"/>
      <c r="Q470" s="12"/>
      <c r="R470" s="12"/>
      <c r="S470" s="12"/>
      <c r="T470" s="12"/>
      <c r="U470" s="12"/>
      <c r="V470" s="12"/>
      <c r="W470" s="12"/>
      <c r="X470" s="12"/>
      <c r="Y470" s="12"/>
      <c r="Z470" s="12"/>
      <c r="AA470" s="12"/>
      <c r="AB470" s="12"/>
      <c r="AC470" s="12"/>
      <c r="AD470" s="12"/>
      <c r="BD470" s="13">
        <v>42491</v>
      </c>
      <c r="BE470" s="13">
        <v>43616</v>
      </c>
      <c r="BF470" s="12"/>
      <c r="BG470" s="12" t="s">
        <v>749</v>
      </c>
      <c r="BH470" s="14">
        <v>344266.32</v>
      </c>
      <c r="BI470" s="12" t="s">
        <v>7981</v>
      </c>
      <c r="BJ470" s="12" t="s">
        <v>7982</v>
      </c>
      <c r="BK470" s="12" t="s">
        <v>7983</v>
      </c>
      <c r="BL470" s="12" t="s">
        <v>7984</v>
      </c>
      <c r="BM470" s="12" t="s">
        <v>2775</v>
      </c>
      <c r="BN470" s="12" t="s">
        <v>7985</v>
      </c>
      <c r="BO470" s="12" t="s">
        <v>319</v>
      </c>
      <c r="BP470" s="12" t="s">
        <v>320</v>
      </c>
      <c r="BQ470" s="12" t="s">
        <v>319</v>
      </c>
      <c r="BR470" s="12" t="s">
        <v>8086</v>
      </c>
      <c r="BS470" s="12" t="s">
        <v>615</v>
      </c>
      <c r="BT470" s="12" t="s">
        <v>8087</v>
      </c>
      <c r="BU470" s="12" t="s">
        <v>8088</v>
      </c>
      <c r="BV470" s="14">
        <v>1040</v>
      </c>
      <c r="BW470" s="14">
        <v>1530</v>
      </c>
      <c r="BX470" s="14">
        <v>2570</v>
      </c>
      <c r="BY470" s="14">
        <v>18120</v>
      </c>
      <c r="BZ470" s="14">
        <v>19590</v>
      </c>
      <c r="CA470" s="14">
        <v>37710</v>
      </c>
      <c r="CB470" s="12" t="s">
        <v>8089</v>
      </c>
      <c r="CD470" s="14"/>
      <c r="CE470" s="14"/>
      <c r="CF470" s="14"/>
      <c r="CG470" s="14"/>
      <c r="CH470" s="14"/>
      <c r="CI470" s="14"/>
      <c r="CJ470" s="12"/>
      <c r="CK470" s="14"/>
      <c r="CL470" s="16"/>
      <c r="CM470" s="14"/>
      <c r="CN470" s="12"/>
      <c r="CO470" s="14"/>
      <c r="CP470" s="16"/>
      <c r="CQ470" s="14"/>
      <c r="CR470" s="12"/>
      <c r="CS470" s="14"/>
      <c r="CT470" s="16"/>
      <c r="CU470" s="14"/>
      <c r="CV470" s="12"/>
      <c r="CW470" s="14"/>
      <c r="CX470" s="16"/>
      <c r="CY470" s="14"/>
      <c r="CZ470" s="12"/>
      <c r="DA470" s="14"/>
      <c r="DB470" s="16"/>
      <c r="DC470" s="14"/>
      <c r="DD470" s="12"/>
      <c r="DE470" s="14"/>
      <c r="DF470" s="16"/>
      <c r="DG470" s="14"/>
      <c r="DH470" s="12"/>
      <c r="DI470" s="14"/>
      <c r="DJ470" s="16"/>
      <c r="DK470" s="14"/>
      <c r="DL470" s="12"/>
      <c r="DM470" s="14"/>
      <c r="DN470" s="16"/>
      <c r="DO470" s="14"/>
      <c r="DP470" s="12"/>
      <c r="DQ470" s="14"/>
      <c r="DR470" s="16"/>
      <c r="DS470" s="14"/>
      <c r="DT470" s="12"/>
      <c r="DU470" s="14"/>
      <c r="DV470" s="16"/>
      <c r="DW470" s="14"/>
      <c r="DX470" s="12"/>
      <c r="DY470" s="14"/>
      <c r="DZ470" s="16"/>
      <c r="EA470" s="14"/>
      <c r="EB470" s="12"/>
      <c r="EC470" s="14"/>
      <c r="ED470" s="16"/>
      <c r="EE470" s="14"/>
      <c r="EF470" s="12"/>
      <c r="EG470" s="12"/>
      <c r="EH470" s="14"/>
      <c r="EI470" s="16"/>
      <c r="EJ470" s="14"/>
      <c r="EK470" s="14">
        <v>672</v>
      </c>
      <c r="EL470" s="14">
        <v>108</v>
      </c>
      <c r="EM470" s="14">
        <v>780</v>
      </c>
      <c r="EN470" s="14">
        <v>7016</v>
      </c>
      <c r="EO470" s="14">
        <v>5324</v>
      </c>
      <c r="EP470" s="14">
        <v>12340</v>
      </c>
      <c r="EQ470" s="12" t="s">
        <v>320</v>
      </c>
      <c r="ER470" s="14">
        <v>1008</v>
      </c>
      <c r="ES470" s="16">
        <v>0.92</v>
      </c>
      <c r="ET470" s="14">
        <v>2880</v>
      </c>
      <c r="EU470" s="11" t="s">
        <v>320</v>
      </c>
      <c r="EV470" s="14">
        <v>1008</v>
      </c>
      <c r="EW470" s="16">
        <v>0.92</v>
      </c>
      <c r="EX470" s="14">
        <v>2880</v>
      </c>
      <c r="EY470" s="12" t="s">
        <v>319</v>
      </c>
      <c r="EZ470" s="14"/>
      <c r="FA470" s="16"/>
      <c r="FB470" s="14"/>
      <c r="FC470" s="12" t="s">
        <v>319</v>
      </c>
      <c r="FD470" s="14"/>
      <c r="FE470" s="16"/>
      <c r="FF470" s="14"/>
      <c r="FG470" s="12" t="s">
        <v>320</v>
      </c>
      <c r="FH470" s="14">
        <v>0</v>
      </c>
      <c r="FI470" s="16">
        <v>0</v>
      </c>
      <c r="FJ470" s="14">
        <v>0</v>
      </c>
      <c r="FK470" s="12" t="s">
        <v>319</v>
      </c>
      <c r="FL470" s="14"/>
      <c r="FM470" s="16"/>
      <c r="FN470" s="14"/>
      <c r="FO470" s="12" t="s">
        <v>320</v>
      </c>
      <c r="FP470" s="14">
        <v>2140</v>
      </c>
      <c r="FQ470" s="16"/>
      <c r="FR470" s="14">
        <v>80238</v>
      </c>
      <c r="FS470" s="12" t="s">
        <v>320</v>
      </c>
      <c r="FT470" s="14">
        <v>4423</v>
      </c>
      <c r="FU470" s="16">
        <v>0.44</v>
      </c>
      <c r="FV470" s="14">
        <v>18073</v>
      </c>
      <c r="FW470" s="11" t="s">
        <v>320</v>
      </c>
      <c r="FX470" s="14">
        <v>4056</v>
      </c>
      <c r="FY470" s="16">
        <v>0.72</v>
      </c>
      <c r="FZ470" s="14">
        <v>17706</v>
      </c>
      <c r="GA470" s="12" t="s">
        <v>319</v>
      </c>
      <c r="GB470" s="14"/>
      <c r="GC470" s="16"/>
      <c r="GD470" s="14"/>
      <c r="GE470" s="12" t="s">
        <v>320</v>
      </c>
      <c r="GF470" s="14"/>
      <c r="GG470" s="16"/>
      <c r="GH470" s="14"/>
      <c r="GI470" s="12" t="s">
        <v>320</v>
      </c>
      <c r="GJ470" s="14"/>
      <c r="GK470" s="16"/>
      <c r="GL470" s="14"/>
      <c r="GM470" s="11" t="s">
        <v>320</v>
      </c>
      <c r="GN470" s="14">
        <v>4056</v>
      </c>
      <c r="GO470" s="16">
        <v>0.72</v>
      </c>
      <c r="GP470" s="14">
        <v>17706</v>
      </c>
      <c r="GQ470" s="12" t="s">
        <v>319</v>
      </c>
      <c r="GR470" s="14"/>
      <c r="GS470" s="16"/>
      <c r="GT470" s="14"/>
      <c r="GU470" s="12" t="s">
        <v>319</v>
      </c>
      <c r="GV470" s="14"/>
      <c r="GW470" s="16"/>
      <c r="GX470" s="14"/>
      <c r="GY470" s="11" t="s">
        <v>320</v>
      </c>
      <c r="GZ470" s="14">
        <v>2779</v>
      </c>
      <c r="HA470" s="16">
        <v>0.99</v>
      </c>
      <c r="HB470" s="14">
        <v>9808</v>
      </c>
      <c r="HC470" s="12" t="s">
        <v>2604</v>
      </c>
      <c r="HD470" s="12" t="s">
        <v>319</v>
      </c>
      <c r="HE470" s="14"/>
      <c r="HF470" s="16"/>
      <c r="HG470" s="14"/>
      <c r="HH470" s="12" t="s">
        <v>319</v>
      </c>
      <c r="HI470" s="12"/>
      <c r="HJ470" s="12"/>
      <c r="HK470" s="12" t="s">
        <v>319</v>
      </c>
      <c r="HL470" s="12"/>
      <c r="HM470" s="12"/>
      <c r="HN470" s="12"/>
      <c r="HO470" s="12" t="s">
        <v>8090</v>
      </c>
      <c r="HP470" s="12" t="s">
        <v>330</v>
      </c>
      <c r="HQ470" s="12" t="s">
        <v>319</v>
      </c>
      <c r="HR470" s="12" t="s">
        <v>319</v>
      </c>
      <c r="HS470" s="12" t="s">
        <v>320</v>
      </c>
      <c r="HT470" s="12" t="s">
        <v>319</v>
      </c>
      <c r="HU470" s="12" t="s">
        <v>319</v>
      </c>
      <c r="HV470" s="12" t="s">
        <v>320</v>
      </c>
      <c r="HW470" s="12" t="s">
        <v>319</v>
      </c>
      <c r="HX470" s="12" t="s">
        <v>319</v>
      </c>
      <c r="HY470" s="12"/>
      <c r="HZ470" s="12" t="s">
        <v>331</v>
      </c>
      <c r="IA470" s="12" t="s">
        <v>7991</v>
      </c>
      <c r="IB470" s="12" t="s">
        <v>396</v>
      </c>
      <c r="IC470" s="12" t="s">
        <v>7992</v>
      </c>
      <c r="ID470" s="12" t="s">
        <v>334</v>
      </c>
      <c r="IE470" s="12" t="s">
        <v>335</v>
      </c>
      <c r="IF470" s="12" t="s">
        <v>320</v>
      </c>
      <c r="IG470" s="12" t="s">
        <v>320</v>
      </c>
      <c r="IH470" s="12" t="s">
        <v>320</v>
      </c>
      <c r="II470" s="12" t="s">
        <v>320</v>
      </c>
      <c r="IJ470" s="12" t="str">
        <f t="shared" si="302"/>
        <v>2. Sensitive</v>
      </c>
      <c r="IK470" s="12">
        <f t="shared" si="303"/>
        <v>4</v>
      </c>
      <c r="IL470" s="12" t="s">
        <v>336</v>
      </c>
      <c r="IM470" s="12" t="s">
        <v>320</v>
      </c>
      <c r="IN470" s="12" t="s">
        <v>320</v>
      </c>
      <c r="IO470" s="12" t="s">
        <v>320</v>
      </c>
      <c r="IP470" s="12" t="s">
        <v>320</v>
      </c>
      <c r="IQ470" s="12" t="str">
        <f t="shared" si="304"/>
        <v>2. Accommodating</v>
      </c>
      <c r="IR470" s="12">
        <f t="shared" si="305"/>
        <v>4</v>
      </c>
      <c r="IS470" s="12" t="s">
        <v>337</v>
      </c>
      <c r="IT470" s="12" t="s">
        <v>320</v>
      </c>
      <c r="IU470" s="12" t="s">
        <v>320</v>
      </c>
      <c r="IV470" s="12" t="s">
        <v>320</v>
      </c>
      <c r="IW470" s="11" t="str">
        <f t="shared" si="306"/>
        <v>2. Sensitive</v>
      </c>
      <c r="IX470" s="12">
        <f t="shared" si="307"/>
        <v>3</v>
      </c>
      <c r="IY470" s="11" t="s">
        <v>758</v>
      </c>
      <c r="IZ470" s="11" t="s">
        <v>527</v>
      </c>
      <c r="JA470" s="12">
        <v>7</v>
      </c>
      <c r="JB470" s="12" t="s">
        <v>687</v>
      </c>
      <c r="JC470" s="12" t="s">
        <v>433</v>
      </c>
      <c r="JD470" s="11" t="s">
        <v>1113</v>
      </c>
      <c r="JE470" s="12" t="s">
        <v>340</v>
      </c>
      <c r="JF470" s="12" t="s">
        <v>7993</v>
      </c>
      <c r="JG470" s="12"/>
      <c r="JH470" s="12" t="s">
        <v>8091</v>
      </c>
      <c r="JI470" s="12" t="s">
        <v>8092</v>
      </c>
      <c r="JJ470" s="12" t="s">
        <v>8093</v>
      </c>
      <c r="JK470" s="12" t="s">
        <v>8094</v>
      </c>
      <c r="JL470" s="12" t="s">
        <v>8095</v>
      </c>
      <c r="JM470" s="12" t="s">
        <v>8096</v>
      </c>
      <c r="JN470" s="12" t="s">
        <v>8097</v>
      </c>
      <c r="JO470" s="12" t="s">
        <v>8098</v>
      </c>
      <c r="JP470" s="15">
        <f t="shared" si="308"/>
        <v>780</v>
      </c>
      <c r="JQ470" s="15">
        <f t="shared" si="309"/>
        <v>12340</v>
      </c>
      <c r="JR470" s="279">
        <f t="shared" si="310"/>
        <v>15.820512820512821</v>
      </c>
      <c r="JS470" s="17">
        <f t="shared" si="311"/>
        <v>0.86153846153846159</v>
      </c>
      <c r="JT470" s="18">
        <f t="shared" si="312"/>
        <v>0.56855753646677476</v>
      </c>
      <c r="JU470" s="280">
        <f t="shared" si="313"/>
        <v>672</v>
      </c>
      <c r="JV470" s="280">
        <f t="shared" si="314"/>
        <v>7016</v>
      </c>
      <c r="JW470" s="319" t="str">
        <f t="shared" si="315"/>
        <v/>
      </c>
      <c r="JX470" s="15">
        <f t="shared" si="316"/>
        <v>0</v>
      </c>
      <c r="JY470" s="15">
        <f t="shared" si="317"/>
        <v>0</v>
      </c>
      <c r="JZ470" s="19" t="str">
        <f t="shared" si="318"/>
        <v/>
      </c>
      <c r="KA470" s="52">
        <f t="shared" si="319"/>
        <v>1</v>
      </c>
      <c r="KB470" s="15">
        <f t="shared" si="320"/>
        <v>2140</v>
      </c>
      <c r="KC470" s="15">
        <f t="shared" si="321"/>
        <v>80238</v>
      </c>
      <c r="KD470" s="20">
        <f t="shared" si="322"/>
        <v>37.494392523364489</v>
      </c>
      <c r="KE470" s="52" t="str">
        <f t="shared" si="323"/>
        <v/>
      </c>
      <c r="KF470" s="15">
        <f t="shared" si="324"/>
        <v>0</v>
      </c>
      <c r="KG470" s="15">
        <f t="shared" si="325"/>
        <v>0</v>
      </c>
      <c r="KH470" s="21" t="str">
        <f t="shared" si="326"/>
        <v/>
      </c>
      <c r="KI470" s="52">
        <f t="shared" si="327"/>
        <v>1</v>
      </c>
      <c r="KJ470" s="15">
        <f t="shared" si="328"/>
        <v>4423</v>
      </c>
      <c r="KK470" s="15">
        <f t="shared" si="329"/>
        <v>18073</v>
      </c>
      <c r="KL470" s="19">
        <f t="shared" si="330"/>
        <v>4.0861406285326698</v>
      </c>
      <c r="KM470" s="52">
        <f t="shared" si="331"/>
        <v>1</v>
      </c>
      <c r="KN470" s="22">
        <f t="shared" si="332"/>
        <v>2779</v>
      </c>
      <c r="KO470" s="22">
        <f t="shared" si="333"/>
        <v>9808</v>
      </c>
      <c r="KP470" s="19">
        <f t="shared" si="334"/>
        <v>3.5293270960777257</v>
      </c>
      <c r="KQ470" s="11" t="str">
        <f t="shared" si="335"/>
        <v>2. Sensitive</v>
      </c>
      <c r="KR470" s="11" t="str">
        <f t="shared" si="336"/>
        <v>2. Accommodating</v>
      </c>
      <c r="KS470" s="11" t="str">
        <f t="shared" si="337"/>
        <v>2. Sensitive</v>
      </c>
      <c r="KT470" s="11" t="str">
        <f t="shared" si="338"/>
        <v>It tested new ways for fighting poverty and measured results of innovation</v>
      </c>
      <c r="KU470" s="11" t="str">
        <f t="shared" si="339"/>
        <v>Moderate advocacy</v>
      </c>
      <c r="KV470" s="11" t="str">
        <f t="shared" si="340"/>
        <v>It linked and worked with strategic alliances and partners to take tested and effective solutions to scale</v>
      </c>
      <c r="KW470" s="11" t="str">
        <f t="shared" si="341"/>
        <v>Mali - WaSA au Mali (Warer Smart in Agricuture)</v>
      </c>
      <c r="KX470" s="11" t="str">
        <f t="shared" si="342"/>
        <v>WaSA au Mali (Warer Smart in Agricuture)</v>
      </c>
      <c r="KY470" s="11" t="str">
        <f t="shared" si="343"/>
        <v>Mali</v>
      </c>
      <c r="KZ470" s="12">
        <v>470</v>
      </c>
    </row>
    <row r="471" spans="1:312" x14ac:dyDescent="0.3">
      <c r="A471" s="12" t="s">
        <v>8138</v>
      </c>
      <c r="B471" s="12" t="s">
        <v>2807</v>
      </c>
      <c r="C471" s="12"/>
      <c r="D471" s="12" t="s">
        <v>2808</v>
      </c>
      <c r="E471" s="277" t="str">
        <f t="shared" si="301"/>
        <v>Mexico</v>
      </c>
      <c r="F471" s="12"/>
      <c r="G471" s="12" t="s">
        <v>379</v>
      </c>
      <c r="H471" s="12" t="s">
        <v>384</v>
      </c>
      <c r="I471" s="12" t="s">
        <v>384</v>
      </c>
      <c r="J471" s="281"/>
      <c r="K471" s="12"/>
      <c r="L471" s="12"/>
      <c r="M471" s="12"/>
      <c r="N471" s="12"/>
      <c r="O471" s="12"/>
      <c r="P471" s="12"/>
      <c r="Q471" s="12"/>
      <c r="R471" s="12"/>
      <c r="S471" s="12"/>
      <c r="T471" s="12"/>
      <c r="U471" s="12"/>
      <c r="V471" s="12"/>
      <c r="W471" s="12"/>
      <c r="X471" s="12"/>
      <c r="Y471" s="12"/>
      <c r="Z471" s="12"/>
      <c r="AA471" s="12"/>
      <c r="AB471" s="12"/>
      <c r="AC471" s="12"/>
      <c r="AD471" s="12"/>
      <c r="BD471" s="13">
        <v>42552</v>
      </c>
      <c r="BE471" s="13">
        <v>47818</v>
      </c>
      <c r="BF471" s="12"/>
      <c r="BG471" s="12" t="s">
        <v>312</v>
      </c>
      <c r="BH471" s="14"/>
      <c r="BI471" s="12" t="s">
        <v>2809</v>
      </c>
      <c r="BJ471" s="12" t="s">
        <v>2810</v>
      </c>
      <c r="BK471" s="12" t="s">
        <v>2811</v>
      </c>
      <c r="BL471" s="12" t="s">
        <v>2812</v>
      </c>
      <c r="BM471" s="12" t="s">
        <v>2813</v>
      </c>
      <c r="BN471" s="12" t="s">
        <v>2814</v>
      </c>
      <c r="BO471" s="12" t="s">
        <v>319</v>
      </c>
      <c r="BP471" s="12" t="s">
        <v>320</v>
      </c>
      <c r="BQ471" s="12" t="s">
        <v>319</v>
      </c>
      <c r="BR471" s="12" t="s">
        <v>2815</v>
      </c>
      <c r="BS471" s="12" t="s">
        <v>1535</v>
      </c>
      <c r="BT471" s="12" t="s">
        <v>2816</v>
      </c>
      <c r="BU471" s="12" t="s">
        <v>2817</v>
      </c>
      <c r="BV471" s="14"/>
      <c r="BW471" s="14"/>
      <c r="BX471" s="14"/>
      <c r="BY471" s="14"/>
      <c r="BZ471" s="14"/>
      <c r="CA471" s="14"/>
      <c r="CB471" s="12" t="s">
        <v>8139</v>
      </c>
      <c r="CD471" s="14"/>
      <c r="CE471" s="14"/>
      <c r="CF471" s="14"/>
      <c r="CG471" s="14"/>
      <c r="CH471" s="14"/>
      <c r="CI471" s="14"/>
      <c r="CJ471" s="12"/>
      <c r="CK471" s="14"/>
      <c r="CL471" s="16"/>
      <c r="CM471" s="14"/>
      <c r="CN471" s="12"/>
      <c r="CO471" s="14"/>
      <c r="CP471" s="16"/>
      <c r="CQ471" s="14"/>
      <c r="CR471" s="12"/>
      <c r="CS471" s="14"/>
      <c r="CT471" s="16"/>
      <c r="CU471" s="14"/>
      <c r="CV471" s="12"/>
      <c r="CW471" s="14"/>
      <c r="CX471" s="16"/>
      <c r="CY471" s="14"/>
      <c r="CZ471" s="12"/>
      <c r="DA471" s="14"/>
      <c r="DB471" s="16"/>
      <c r="DC471" s="14"/>
      <c r="DD471" s="12"/>
      <c r="DE471" s="14"/>
      <c r="DF471" s="16"/>
      <c r="DG471" s="14"/>
      <c r="DH471" s="12"/>
      <c r="DI471" s="14"/>
      <c r="DJ471" s="16"/>
      <c r="DK471" s="14"/>
      <c r="DL471" s="12"/>
      <c r="DM471" s="14"/>
      <c r="DN471" s="16"/>
      <c r="DO471" s="14"/>
      <c r="DP471" s="12"/>
      <c r="DQ471" s="14"/>
      <c r="DR471" s="16"/>
      <c r="DS471" s="14"/>
      <c r="DT471" s="12"/>
      <c r="DU471" s="14"/>
      <c r="DV471" s="16"/>
      <c r="DW471" s="14"/>
      <c r="DX471" s="12"/>
      <c r="DY471" s="14"/>
      <c r="DZ471" s="16"/>
      <c r="EA471" s="14"/>
      <c r="EB471" s="12"/>
      <c r="EC471" s="14"/>
      <c r="ED471" s="16"/>
      <c r="EE471" s="14"/>
      <c r="EF471" s="12"/>
      <c r="EG471" s="12"/>
      <c r="EH471" s="14"/>
      <c r="EI471" s="16"/>
      <c r="EJ471" s="14"/>
      <c r="EK471" s="14"/>
      <c r="EL471" s="14"/>
      <c r="EM471" s="14"/>
      <c r="EN471" s="14"/>
      <c r="EO471" s="14"/>
      <c r="EP471" s="14"/>
      <c r="EQ471" s="12"/>
      <c r="ER471" s="14"/>
      <c r="ES471" s="16"/>
      <c r="ET471" s="14"/>
      <c r="EU471" s="12"/>
      <c r="EV471" s="14"/>
      <c r="EW471" s="16"/>
      <c r="EX471" s="14"/>
      <c r="EY471" s="12"/>
      <c r="EZ471" s="14"/>
      <c r="FA471" s="16"/>
      <c r="FB471" s="14"/>
      <c r="FC471" s="12"/>
      <c r="FD471" s="14"/>
      <c r="FE471" s="16"/>
      <c r="FF471" s="14"/>
      <c r="FG471" s="12"/>
      <c r="FH471" s="14"/>
      <c r="FI471" s="16"/>
      <c r="FJ471" s="14"/>
      <c r="FK471" s="12"/>
      <c r="FL471" s="14"/>
      <c r="FM471" s="16"/>
      <c r="FN471" s="14"/>
      <c r="FO471" s="12"/>
      <c r="FP471" s="14"/>
      <c r="FQ471" s="16"/>
      <c r="FR471" s="14"/>
      <c r="FS471" s="12" t="s">
        <v>320</v>
      </c>
      <c r="FT471" s="14"/>
      <c r="FU471" s="16"/>
      <c r="FV471" s="14"/>
      <c r="FW471" s="12" t="s">
        <v>320</v>
      </c>
      <c r="FX471" s="14"/>
      <c r="FY471" s="16"/>
      <c r="FZ471" s="14"/>
      <c r="GA471" s="12"/>
      <c r="GB471" s="14"/>
      <c r="GC471" s="16"/>
      <c r="GD471" s="14"/>
      <c r="GE471" s="12"/>
      <c r="GF471" s="14"/>
      <c r="GG471" s="16"/>
      <c r="GH471" s="14"/>
      <c r="GI471" s="12"/>
      <c r="GJ471" s="14"/>
      <c r="GK471" s="16"/>
      <c r="GL471" s="14"/>
      <c r="GM471" s="12" t="s">
        <v>320</v>
      </c>
      <c r="GN471" s="14"/>
      <c r="GO471" s="16"/>
      <c r="GP471" s="14"/>
      <c r="GQ471" s="12"/>
      <c r="GR471" s="14"/>
      <c r="GS471" s="16"/>
      <c r="GT471" s="14"/>
      <c r="GU471" s="12"/>
      <c r="GV471" s="14"/>
      <c r="GW471" s="16"/>
      <c r="GX471" s="14"/>
      <c r="GY471" s="12" t="s">
        <v>320</v>
      </c>
      <c r="GZ471" s="14"/>
      <c r="HA471" s="16"/>
      <c r="HB471" s="14"/>
      <c r="HC471" s="12"/>
      <c r="HD471" s="12"/>
      <c r="HE471" s="14"/>
      <c r="HF471" s="16"/>
      <c r="HG471" s="14"/>
      <c r="HH471" s="12" t="s">
        <v>319</v>
      </c>
      <c r="HI471" s="12"/>
      <c r="HJ471" s="12"/>
      <c r="HK471" s="12"/>
      <c r="HL471" s="12" t="s">
        <v>320</v>
      </c>
      <c r="HM471" s="12" t="s">
        <v>451</v>
      </c>
      <c r="HN471" s="12">
        <v>2018</v>
      </c>
      <c r="HO471" s="12" t="s">
        <v>2819</v>
      </c>
      <c r="HP471" s="12" t="s">
        <v>330</v>
      </c>
      <c r="HQ471" s="12" t="s">
        <v>319</v>
      </c>
      <c r="HR471" s="12" t="s">
        <v>319</v>
      </c>
      <c r="HS471" s="12" t="s">
        <v>320</v>
      </c>
      <c r="HT471" s="12" t="s">
        <v>320</v>
      </c>
      <c r="HU471" s="12" t="s">
        <v>320</v>
      </c>
      <c r="HV471" s="12" t="s">
        <v>320</v>
      </c>
      <c r="HW471" s="12" t="s">
        <v>319</v>
      </c>
      <c r="HX471" s="12" t="s">
        <v>320</v>
      </c>
      <c r="HY471" s="12" t="s">
        <v>2820</v>
      </c>
      <c r="HZ471" s="12" t="s">
        <v>394</v>
      </c>
      <c r="IA471" s="12" t="s">
        <v>2821</v>
      </c>
      <c r="IB471" s="12" t="s">
        <v>396</v>
      </c>
      <c r="IC471" s="12" t="s">
        <v>2822</v>
      </c>
      <c r="ID471" s="12" t="s">
        <v>334</v>
      </c>
      <c r="IE471" s="12" t="s">
        <v>478</v>
      </c>
      <c r="IF471" s="12" t="s">
        <v>320</v>
      </c>
      <c r="IG471" s="12" t="s">
        <v>320</v>
      </c>
      <c r="IH471" s="12" t="s">
        <v>320</v>
      </c>
      <c r="II471" s="12" t="s">
        <v>319</v>
      </c>
      <c r="IJ471" s="12" t="str">
        <f t="shared" si="302"/>
        <v>3. Responsive</v>
      </c>
      <c r="IK471" s="12">
        <f t="shared" si="303"/>
        <v>3</v>
      </c>
      <c r="IL471" s="11" t="s">
        <v>621</v>
      </c>
      <c r="IM471" s="12" t="s">
        <v>320</v>
      </c>
      <c r="IN471" s="12" t="s">
        <v>320</v>
      </c>
      <c r="IO471" s="12" t="s">
        <v>320</v>
      </c>
      <c r="IP471" s="12" t="s">
        <v>320</v>
      </c>
      <c r="IQ471" s="12" t="str">
        <f t="shared" si="304"/>
        <v>4. Transformational</v>
      </c>
      <c r="IR471" s="12">
        <f t="shared" si="305"/>
        <v>4</v>
      </c>
      <c r="IS471" s="12" t="s">
        <v>337</v>
      </c>
      <c r="IT471" s="12" t="s">
        <v>319</v>
      </c>
      <c r="IU471" s="12" t="s">
        <v>320</v>
      </c>
      <c r="IV471" s="12" t="s">
        <v>319</v>
      </c>
      <c r="IW471" s="11" t="str">
        <f t="shared" si="306"/>
        <v>1. Neutral</v>
      </c>
      <c r="IX471" s="12">
        <f t="shared" si="307"/>
        <v>1</v>
      </c>
      <c r="IY471" s="12" t="s">
        <v>338</v>
      </c>
      <c r="IZ471" s="12" t="s">
        <v>457</v>
      </c>
      <c r="JA471" s="12"/>
      <c r="JB471" s="12" t="s">
        <v>2236</v>
      </c>
      <c r="JC471" s="11" t="s">
        <v>433</v>
      </c>
      <c r="JD471" s="12" t="s">
        <v>832</v>
      </c>
      <c r="JE471" s="12" t="s">
        <v>340</v>
      </c>
      <c r="JF471" s="12" t="s">
        <v>2823</v>
      </c>
      <c r="JG471" s="12" t="s">
        <v>2824</v>
      </c>
      <c r="JH471" s="12" t="s">
        <v>2825</v>
      </c>
      <c r="JI471" s="12" t="s">
        <v>2826</v>
      </c>
      <c r="JJ471" s="12" t="s">
        <v>2827</v>
      </c>
      <c r="JK471" s="12" t="s">
        <v>2828</v>
      </c>
      <c r="JL471" s="12" t="s">
        <v>2829</v>
      </c>
      <c r="JM471" s="12" t="s">
        <v>2830</v>
      </c>
      <c r="JN471" s="12" t="s">
        <v>2831</v>
      </c>
      <c r="JO471" s="12" t="s">
        <v>2832</v>
      </c>
      <c r="JP471" s="15">
        <f t="shared" si="308"/>
        <v>0</v>
      </c>
      <c r="JQ471" s="15">
        <f t="shared" si="309"/>
        <v>0</v>
      </c>
      <c r="JR471" s="279" t="str">
        <f t="shared" si="310"/>
        <v/>
      </c>
      <c r="JS471" s="17" t="str">
        <f t="shared" si="311"/>
        <v/>
      </c>
      <c r="JT471" s="18" t="str">
        <f t="shared" si="312"/>
        <v/>
      </c>
      <c r="JU471" s="280">
        <f t="shared" si="313"/>
        <v>0</v>
      </c>
      <c r="JV471" s="280">
        <f t="shared" si="314"/>
        <v>0</v>
      </c>
      <c r="JW471" s="319" t="str">
        <f t="shared" si="315"/>
        <v/>
      </c>
      <c r="JX471" s="15">
        <f t="shared" si="316"/>
        <v>0</v>
      </c>
      <c r="JY471" s="15">
        <f t="shared" si="317"/>
        <v>0</v>
      </c>
      <c r="JZ471" s="19" t="str">
        <f t="shared" si="318"/>
        <v/>
      </c>
      <c r="KA471" s="52" t="str">
        <f t="shared" si="319"/>
        <v/>
      </c>
      <c r="KB471" s="15">
        <f t="shared" si="320"/>
        <v>0</v>
      </c>
      <c r="KC471" s="15">
        <f t="shared" si="321"/>
        <v>0</v>
      </c>
      <c r="KD471" s="20" t="str">
        <f t="shared" si="322"/>
        <v/>
      </c>
      <c r="KE471" s="52" t="str">
        <f t="shared" si="323"/>
        <v/>
      </c>
      <c r="KF471" s="15">
        <f t="shared" si="324"/>
        <v>0</v>
      </c>
      <c r="KG471" s="15">
        <f t="shared" si="325"/>
        <v>0</v>
      </c>
      <c r="KH471" s="21" t="str">
        <f t="shared" si="326"/>
        <v/>
      </c>
      <c r="KI471" s="52">
        <f t="shared" si="327"/>
        <v>1</v>
      </c>
      <c r="KJ471" s="15">
        <f t="shared" si="328"/>
        <v>0</v>
      </c>
      <c r="KK471" s="15">
        <f t="shared" si="329"/>
        <v>0</v>
      </c>
      <c r="KL471" s="19" t="str">
        <f t="shared" si="330"/>
        <v/>
      </c>
      <c r="KM471" s="52">
        <f t="shared" si="331"/>
        <v>1</v>
      </c>
      <c r="KN471" s="22">
        <f t="shared" si="332"/>
        <v>0</v>
      </c>
      <c r="KO471" s="22">
        <f t="shared" si="333"/>
        <v>0</v>
      </c>
      <c r="KP471" s="19" t="str">
        <f t="shared" si="334"/>
        <v/>
      </c>
      <c r="KQ471" s="11" t="str">
        <f t="shared" si="335"/>
        <v>3. Responsive</v>
      </c>
      <c r="KR471" s="11" t="str">
        <f t="shared" si="336"/>
        <v>4. Transformational</v>
      </c>
      <c r="KS471" s="11" t="str">
        <f t="shared" si="337"/>
        <v>1. Neutral</v>
      </c>
      <c r="KT471" s="11" t="str">
        <f t="shared" si="338"/>
        <v>It tested new ways for fighting poverty, but did not measure results of innovation</v>
      </c>
      <c r="KU471" s="11" t="str">
        <f t="shared" si="339"/>
        <v>Moderate advocacy</v>
      </c>
      <c r="KV471" s="11" t="str">
        <f t="shared" si="340"/>
        <v>It linked and worked with strategic alliances and partners to take tested and effective solutions to scale</v>
      </c>
      <c r="KW471" s="11" t="str">
        <f t="shared" si="341"/>
        <v>Mexico - INICIATIVA IGS LAC - Programa regional de Trabajo Digno</v>
      </c>
      <c r="KX471" s="11" t="str">
        <f t="shared" si="342"/>
        <v>INICIATIVA IGS LAC - Programa regional de Trabajo Digno</v>
      </c>
      <c r="KY471" s="11" t="str">
        <f t="shared" si="343"/>
        <v>Mexico</v>
      </c>
      <c r="KZ471" s="12">
        <v>471</v>
      </c>
    </row>
    <row r="472" spans="1:312" x14ac:dyDescent="0.3">
      <c r="A472" s="12" t="s">
        <v>8140</v>
      </c>
      <c r="B472" s="12" t="s">
        <v>602</v>
      </c>
      <c r="C472" s="12">
        <v>3140</v>
      </c>
      <c r="D472" s="12" t="s">
        <v>1754</v>
      </c>
      <c r="E472" s="24" t="str">
        <f t="shared" si="301"/>
        <v>Montenegro</v>
      </c>
      <c r="F472" s="12" t="s">
        <v>1755</v>
      </c>
      <c r="G472" s="12" t="s">
        <v>605</v>
      </c>
      <c r="H472" s="12" t="s">
        <v>310</v>
      </c>
      <c r="I472" s="12" t="s">
        <v>606</v>
      </c>
      <c r="J472" s="281" t="s">
        <v>1756</v>
      </c>
      <c r="K472" s="12"/>
      <c r="L472" s="12"/>
      <c r="M472" s="12"/>
      <c r="N472" s="12"/>
      <c r="O472" s="12"/>
      <c r="P472" s="12"/>
      <c r="Q472" s="12"/>
      <c r="R472" s="12"/>
      <c r="S472" s="12"/>
      <c r="T472" s="12"/>
      <c r="U472" s="12"/>
      <c r="V472" s="12"/>
      <c r="W472" s="12"/>
      <c r="X472" s="12"/>
      <c r="Y472" s="12"/>
      <c r="Z472" s="12"/>
      <c r="AA472" s="12"/>
      <c r="AB472" s="12"/>
      <c r="AC472" s="12"/>
      <c r="AD472" s="12"/>
      <c r="BD472" s="13">
        <v>42309</v>
      </c>
      <c r="BE472" s="13">
        <v>43404</v>
      </c>
      <c r="BF472" s="12"/>
      <c r="BG472" s="12" t="s">
        <v>1757</v>
      </c>
      <c r="BH472" s="14">
        <v>1256496.6599999999</v>
      </c>
      <c r="BI472" s="12" t="s">
        <v>8158</v>
      </c>
      <c r="BJ472" s="12" t="s">
        <v>354</v>
      </c>
      <c r="BK472" s="12" t="s">
        <v>1759</v>
      </c>
      <c r="BL472" s="12" t="s">
        <v>1760</v>
      </c>
      <c r="BM472" s="12" t="s">
        <v>1761</v>
      </c>
      <c r="BN472" s="12" t="s">
        <v>1762</v>
      </c>
      <c r="BO472" s="12" t="s">
        <v>319</v>
      </c>
      <c r="BP472" s="12" t="s">
        <v>320</v>
      </c>
      <c r="BQ472" s="12" t="s">
        <v>319</v>
      </c>
      <c r="BR472" s="12" t="s">
        <v>1763</v>
      </c>
      <c r="BS472" s="12" t="s">
        <v>1535</v>
      </c>
      <c r="BT472" s="12" t="s">
        <v>1764</v>
      </c>
      <c r="BU472" s="12" t="s">
        <v>1765</v>
      </c>
      <c r="BV472" s="14">
        <v>4620</v>
      </c>
      <c r="BW472" s="14">
        <v>2380</v>
      </c>
      <c r="BX472" s="14">
        <v>7000</v>
      </c>
      <c r="BY472" s="14">
        <v>14000</v>
      </c>
      <c r="BZ472" s="14">
        <v>6000</v>
      </c>
      <c r="CA472" s="14">
        <v>20000</v>
      </c>
      <c r="CB472" s="12" t="s">
        <v>8159</v>
      </c>
      <c r="CD472" s="14"/>
      <c r="CE472" s="14"/>
      <c r="CF472" s="14"/>
      <c r="CG472" s="14"/>
      <c r="CH472" s="14"/>
      <c r="CI472" s="14"/>
      <c r="CJ472" s="12"/>
      <c r="CK472" s="14"/>
      <c r="CL472" s="16"/>
      <c r="CM472" s="14"/>
      <c r="CN472" s="12"/>
      <c r="CO472" s="14"/>
      <c r="CP472" s="16"/>
      <c r="CQ472" s="14"/>
      <c r="CR472" s="12"/>
      <c r="CS472" s="14"/>
      <c r="CT472" s="16"/>
      <c r="CU472" s="14"/>
      <c r="CV472" s="12"/>
      <c r="CW472" s="14"/>
      <c r="CX472" s="16"/>
      <c r="CY472" s="14"/>
      <c r="CZ472" s="12"/>
      <c r="DA472" s="14"/>
      <c r="DB472" s="16"/>
      <c r="DC472" s="14"/>
      <c r="DD472" s="12"/>
      <c r="DE472" s="14"/>
      <c r="DF472" s="16"/>
      <c r="DG472" s="14"/>
      <c r="DH472" s="12"/>
      <c r="DI472" s="14"/>
      <c r="DJ472" s="16"/>
      <c r="DK472" s="14"/>
      <c r="DL472" s="12"/>
      <c r="DM472" s="14"/>
      <c r="DN472" s="16"/>
      <c r="DO472" s="14"/>
      <c r="DP472" s="12"/>
      <c r="DQ472" s="14"/>
      <c r="DR472" s="16"/>
      <c r="DS472" s="14"/>
      <c r="DT472" s="12"/>
      <c r="DU472" s="14"/>
      <c r="DV472" s="16"/>
      <c r="DW472" s="14"/>
      <c r="DX472" s="12"/>
      <c r="DY472" s="14"/>
      <c r="DZ472" s="16"/>
      <c r="EA472" s="14"/>
      <c r="EB472" s="12"/>
      <c r="EC472" s="14"/>
      <c r="ED472" s="16"/>
      <c r="EE472" s="14"/>
      <c r="EF472" s="12"/>
      <c r="EG472" s="12"/>
      <c r="EH472" s="14"/>
      <c r="EI472" s="16"/>
      <c r="EJ472" s="14"/>
      <c r="EK472" s="14">
        <v>1094</v>
      </c>
      <c r="EL472" s="14">
        <v>838</v>
      </c>
      <c r="EM472" s="14">
        <v>1932</v>
      </c>
      <c r="EN472" s="14">
        <v>3200</v>
      </c>
      <c r="EO472" s="14">
        <v>2490</v>
      </c>
      <c r="EP472" s="14">
        <v>5690</v>
      </c>
      <c r="EQ472" s="12" t="s">
        <v>319</v>
      </c>
      <c r="ER472" s="14"/>
      <c r="ES472" s="16"/>
      <c r="ET472" s="14"/>
      <c r="EU472" s="11" t="s">
        <v>319</v>
      </c>
      <c r="EV472" s="14"/>
      <c r="EW472" s="16"/>
      <c r="EX472" s="14"/>
      <c r="EY472" s="12" t="s">
        <v>319</v>
      </c>
      <c r="EZ472" s="14"/>
      <c r="FA472" s="16"/>
      <c r="FB472" s="14"/>
      <c r="FC472" s="12" t="s">
        <v>319</v>
      </c>
      <c r="FD472" s="14"/>
      <c r="FE472" s="16"/>
      <c r="FF472" s="14"/>
      <c r="FG472" s="12" t="s">
        <v>319</v>
      </c>
      <c r="FH472" s="14"/>
      <c r="FI472" s="16"/>
      <c r="FJ472" s="14"/>
      <c r="FK472" s="12" t="s">
        <v>320</v>
      </c>
      <c r="FL472" s="14">
        <v>466</v>
      </c>
      <c r="FM472" s="16">
        <v>0.51070000000000004</v>
      </c>
      <c r="FN472" s="14">
        <v>1300</v>
      </c>
      <c r="FO472" s="12" t="s">
        <v>319</v>
      </c>
      <c r="FP472" s="14"/>
      <c r="FQ472" s="16"/>
      <c r="FR472" s="14"/>
      <c r="FS472" s="12" t="s">
        <v>320</v>
      </c>
      <c r="FT472" s="14">
        <v>475</v>
      </c>
      <c r="FU472" s="16">
        <v>0.82950000000000002</v>
      </c>
      <c r="FV472" s="14">
        <v>1400</v>
      </c>
      <c r="FW472" s="11" t="s">
        <v>320</v>
      </c>
      <c r="FX472" s="14">
        <v>220</v>
      </c>
      <c r="FY472" s="16">
        <v>0.38179999999999997</v>
      </c>
      <c r="FZ472" s="14">
        <v>650</v>
      </c>
      <c r="GA472" s="11" t="s">
        <v>320</v>
      </c>
      <c r="GB472" s="14">
        <v>170</v>
      </c>
      <c r="GC472" s="16">
        <v>0.84119999999999995</v>
      </c>
      <c r="GD472" s="14">
        <v>540</v>
      </c>
      <c r="GE472" s="12" t="s">
        <v>319</v>
      </c>
      <c r="GF472" s="14"/>
      <c r="GG472" s="16"/>
      <c r="GH472" s="14"/>
      <c r="GI472" s="12" t="s">
        <v>319</v>
      </c>
      <c r="GJ472" s="14"/>
      <c r="GK472" s="16"/>
      <c r="GL472" s="14"/>
      <c r="GM472" s="11" t="s">
        <v>320</v>
      </c>
      <c r="GN472" s="14">
        <v>317</v>
      </c>
      <c r="GO472" s="16">
        <v>0.30599999999999999</v>
      </c>
      <c r="GP472" s="14">
        <v>950</v>
      </c>
      <c r="GQ472" s="12" t="s">
        <v>319</v>
      </c>
      <c r="GR472" s="14"/>
      <c r="GS472" s="16"/>
      <c r="GT472" s="14"/>
      <c r="GU472" s="12" t="s">
        <v>319</v>
      </c>
      <c r="GV472" s="14"/>
      <c r="GW472" s="16"/>
      <c r="GX472" s="14"/>
      <c r="GY472" s="12" t="s">
        <v>319</v>
      </c>
      <c r="GZ472" s="14"/>
      <c r="HA472" s="16"/>
      <c r="HB472" s="14"/>
      <c r="HC472" s="12" t="s">
        <v>1767</v>
      </c>
      <c r="HD472" s="12" t="s">
        <v>320</v>
      </c>
      <c r="HE472" s="14">
        <v>284</v>
      </c>
      <c r="HF472" s="16">
        <v>0.45590000000000003</v>
      </c>
      <c r="HG472" s="14">
        <v>850</v>
      </c>
      <c r="HH472" s="12" t="s">
        <v>320</v>
      </c>
      <c r="HI472" s="12" t="s">
        <v>361</v>
      </c>
      <c r="HJ472" s="12">
        <v>2016</v>
      </c>
      <c r="HK472" s="12" t="s">
        <v>319</v>
      </c>
      <c r="HL472" s="12" t="s">
        <v>320</v>
      </c>
      <c r="HM472" s="12" t="s">
        <v>327</v>
      </c>
      <c r="HN472" s="12">
        <v>2017</v>
      </c>
      <c r="HO472" s="12" t="s">
        <v>1768</v>
      </c>
      <c r="HP472" s="12" t="s">
        <v>330</v>
      </c>
      <c r="HQ472" s="12" t="s">
        <v>320</v>
      </c>
      <c r="HR472" s="12" t="s">
        <v>320</v>
      </c>
      <c r="HS472" s="12" t="s">
        <v>320</v>
      </c>
      <c r="HT472" s="12" t="s">
        <v>320</v>
      </c>
      <c r="HU472" s="12" t="s">
        <v>320</v>
      </c>
      <c r="HV472" s="12"/>
      <c r="HW472" s="12" t="s">
        <v>320</v>
      </c>
      <c r="HX472" s="12"/>
      <c r="HY472" s="12"/>
      <c r="HZ472" s="12" t="s">
        <v>394</v>
      </c>
      <c r="IA472" s="12" t="s">
        <v>1769</v>
      </c>
      <c r="IB472" s="12" t="s">
        <v>667</v>
      </c>
      <c r="IC472" s="12"/>
      <c r="ID472" s="12" t="s">
        <v>334</v>
      </c>
      <c r="IE472" s="12" t="s">
        <v>478</v>
      </c>
      <c r="IF472" s="12" t="s">
        <v>320</v>
      </c>
      <c r="IG472" s="12" t="s">
        <v>320</v>
      </c>
      <c r="IH472" s="12" t="s">
        <v>320</v>
      </c>
      <c r="II472" s="12" t="s">
        <v>320</v>
      </c>
      <c r="IJ472" s="12" t="str">
        <f t="shared" si="302"/>
        <v>4. Transformative</v>
      </c>
      <c r="IK472" s="12">
        <f t="shared" si="303"/>
        <v>4</v>
      </c>
      <c r="IL472" s="12" t="s">
        <v>336</v>
      </c>
      <c r="IM472" s="12" t="s">
        <v>320</v>
      </c>
      <c r="IN472" s="12" t="s">
        <v>320</v>
      </c>
      <c r="IO472" s="12" t="s">
        <v>320</v>
      </c>
      <c r="IP472" s="12" t="s">
        <v>320</v>
      </c>
      <c r="IQ472" s="12" t="str">
        <f t="shared" si="304"/>
        <v>2. Accommodating</v>
      </c>
      <c r="IR472" s="12">
        <f t="shared" si="305"/>
        <v>4</v>
      </c>
      <c r="IS472" s="12" t="s">
        <v>337</v>
      </c>
      <c r="IT472" s="12" t="s">
        <v>319</v>
      </c>
      <c r="IU472" s="12" t="s">
        <v>320</v>
      </c>
      <c r="IV472" s="12" t="s">
        <v>319</v>
      </c>
      <c r="IW472" s="11" t="str">
        <f t="shared" si="306"/>
        <v>1. Neutral</v>
      </c>
      <c r="IX472" s="12">
        <f t="shared" si="307"/>
        <v>1</v>
      </c>
      <c r="IY472" s="12" t="s">
        <v>338</v>
      </c>
      <c r="IZ472" s="12" t="s">
        <v>527</v>
      </c>
      <c r="JA472" s="12">
        <v>7</v>
      </c>
      <c r="JB472" s="12" t="s">
        <v>433</v>
      </c>
      <c r="JC472" s="12"/>
      <c r="JD472" s="12"/>
      <c r="JE472" s="12" t="s">
        <v>340</v>
      </c>
      <c r="JF472" s="12" t="s">
        <v>8160</v>
      </c>
      <c r="JG472" s="12"/>
      <c r="JH472" s="12" t="s">
        <v>1771</v>
      </c>
      <c r="JI472" s="12" t="s">
        <v>1772</v>
      </c>
      <c r="JJ472" s="12" t="s">
        <v>1773</v>
      </c>
      <c r="JK472" s="12" t="s">
        <v>1774</v>
      </c>
      <c r="JL472" s="12" t="s">
        <v>1775</v>
      </c>
      <c r="JM472" s="12" t="s">
        <v>1776</v>
      </c>
      <c r="JN472" s="12" t="s">
        <v>1777</v>
      </c>
      <c r="JO472" s="12"/>
      <c r="JP472" s="15">
        <f t="shared" si="308"/>
        <v>1932</v>
      </c>
      <c r="JQ472" s="15">
        <f t="shared" si="309"/>
        <v>5690</v>
      </c>
      <c r="JR472" s="279">
        <f t="shared" si="310"/>
        <v>2.9451345755693583</v>
      </c>
      <c r="JS472" s="17">
        <f t="shared" si="311"/>
        <v>0.5662525879917184</v>
      </c>
      <c r="JT472" s="18">
        <f t="shared" si="312"/>
        <v>0.56239015817223204</v>
      </c>
      <c r="JU472" s="280">
        <f t="shared" si="313"/>
        <v>1094</v>
      </c>
      <c r="JV472" s="280">
        <f t="shared" si="314"/>
        <v>3200</v>
      </c>
      <c r="JW472" s="319" t="str">
        <f t="shared" si="315"/>
        <v/>
      </c>
      <c r="JX472" s="15">
        <f t="shared" si="316"/>
        <v>0</v>
      </c>
      <c r="JY472" s="15">
        <f t="shared" si="317"/>
        <v>0</v>
      </c>
      <c r="JZ472" s="19" t="str">
        <f t="shared" si="318"/>
        <v/>
      </c>
      <c r="KA472" s="52" t="str">
        <f t="shared" si="319"/>
        <v/>
      </c>
      <c r="KB472" s="15">
        <f t="shared" si="320"/>
        <v>0</v>
      </c>
      <c r="KC472" s="15">
        <f t="shared" si="321"/>
        <v>0</v>
      </c>
      <c r="KD472" s="20" t="str">
        <f t="shared" si="322"/>
        <v/>
      </c>
      <c r="KE472" s="52" t="str">
        <f t="shared" si="323"/>
        <v/>
      </c>
      <c r="KF472" s="15">
        <f t="shared" si="324"/>
        <v>0</v>
      </c>
      <c r="KG472" s="15">
        <f t="shared" si="325"/>
        <v>0</v>
      </c>
      <c r="KH472" s="21" t="str">
        <f t="shared" si="326"/>
        <v/>
      </c>
      <c r="KI472" s="52">
        <f t="shared" si="327"/>
        <v>1</v>
      </c>
      <c r="KJ472" s="15">
        <f t="shared" si="328"/>
        <v>475</v>
      </c>
      <c r="KK472" s="15">
        <f t="shared" si="329"/>
        <v>1400</v>
      </c>
      <c r="KL472" s="19">
        <f t="shared" si="330"/>
        <v>2.9473684210526314</v>
      </c>
      <c r="KM472" s="52" t="str">
        <f t="shared" si="331"/>
        <v/>
      </c>
      <c r="KN472" s="22">
        <f t="shared" si="332"/>
        <v>0</v>
      </c>
      <c r="KO472" s="22">
        <f t="shared" si="333"/>
        <v>0</v>
      </c>
      <c r="KP472" s="19" t="str">
        <f t="shared" si="334"/>
        <v/>
      </c>
      <c r="KQ472" s="11" t="str">
        <f t="shared" si="335"/>
        <v>4. Transformative</v>
      </c>
      <c r="KR472" s="11" t="str">
        <f t="shared" si="336"/>
        <v>2. Accommodating</v>
      </c>
      <c r="KS472" s="11" t="str">
        <f t="shared" si="337"/>
        <v>1. Neutral</v>
      </c>
      <c r="KT472" s="11" t="str">
        <f t="shared" si="338"/>
        <v>It tested new ways for fighting poverty, but did not measure results of innovation</v>
      </c>
      <c r="KU472" s="11" t="str">
        <f t="shared" si="339"/>
        <v>Moderate advocacy</v>
      </c>
      <c r="KV472" s="11" t="str">
        <f t="shared" si="340"/>
        <v>It took tested solutions to scale on its own</v>
      </c>
      <c r="KW472" s="11" t="str">
        <f t="shared" si="341"/>
        <v>Montenegro - For Active Inclusion and Rights of Roma Women in the Western Balkans II (FAIR II)</v>
      </c>
      <c r="KX472" s="11" t="str">
        <f t="shared" si="342"/>
        <v>For Active Inclusion and Rights of Roma Women in the Western Balkans II (FAIR II)</v>
      </c>
      <c r="KY472" s="11" t="str">
        <f t="shared" si="343"/>
        <v>Montenegro</v>
      </c>
      <c r="KZ472" s="12">
        <v>472</v>
      </c>
    </row>
    <row r="473" spans="1:312" x14ac:dyDescent="0.3">
      <c r="A473" s="12" t="s">
        <v>8140</v>
      </c>
      <c r="B473" s="12" t="s">
        <v>602</v>
      </c>
      <c r="C473" s="11">
        <v>3141</v>
      </c>
      <c r="D473" s="11" t="s">
        <v>8141</v>
      </c>
      <c r="E473" s="277" t="str">
        <f t="shared" si="301"/>
        <v>Montenegro</v>
      </c>
      <c r="F473" s="11" t="s">
        <v>8142</v>
      </c>
      <c r="G473" s="11" t="s">
        <v>1738</v>
      </c>
      <c r="H473" s="11" t="s">
        <v>384</v>
      </c>
      <c r="I473" s="11" t="s">
        <v>517</v>
      </c>
      <c r="J473" s="278" t="s">
        <v>14578</v>
      </c>
      <c r="K473" s="11" t="s">
        <v>8142</v>
      </c>
      <c r="L473" s="11" t="s">
        <v>608</v>
      </c>
      <c r="M473" s="11" t="s">
        <v>384</v>
      </c>
      <c r="N473" s="11" t="s">
        <v>384</v>
      </c>
      <c r="O473" s="278" t="s">
        <v>792</v>
      </c>
      <c r="P473" s="11" t="s">
        <v>8142</v>
      </c>
      <c r="Q473" s="11" t="s">
        <v>608</v>
      </c>
      <c r="R473" s="11" t="s">
        <v>383</v>
      </c>
      <c r="S473" s="11" t="s">
        <v>384</v>
      </c>
      <c r="T473" s="11" t="s">
        <v>8143</v>
      </c>
      <c r="BD473" s="23">
        <v>42430</v>
      </c>
      <c r="BE473" s="23">
        <v>43159</v>
      </c>
      <c r="BG473" s="23" t="s">
        <v>350</v>
      </c>
      <c r="BH473" s="22">
        <v>199897.19</v>
      </c>
      <c r="BI473" s="11" t="s">
        <v>1780</v>
      </c>
      <c r="BJ473" s="11" t="s">
        <v>354</v>
      </c>
      <c r="BK473" s="11" t="s">
        <v>1781</v>
      </c>
      <c r="BL473" s="11" t="s">
        <v>8144</v>
      </c>
      <c r="BM473" s="11" t="s">
        <v>1783</v>
      </c>
      <c r="BN473" s="11" t="s">
        <v>1784</v>
      </c>
      <c r="BO473" s="12" t="s">
        <v>319</v>
      </c>
      <c r="BP473" s="12" t="s">
        <v>320</v>
      </c>
      <c r="BQ473" s="12" t="s">
        <v>319</v>
      </c>
      <c r="BR473" s="11" t="s">
        <v>8145</v>
      </c>
      <c r="BS473" s="11" t="s">
        <v>322</v>
      </c>
      <c r="BT473" s="11" t="s">
        <v>8146</v>
      </c>
      <c r="BU473" s="11" t="s">
        <v>8147</v>
      </c>
      <c r="BV473" s="22">
        <v>350</v>
      </c>
      <c r="BW473" s="22">
        <v>100</v>
      </c>
      <c r="BX473" s="22">
        <v>450</v>
      </c>
      <c r="BY473" s="22">
        <v>5000</v>
      </c>
      <c r="BZ473" s="22">
        <v>1000</v>
      </c>
      <c r="CA473" s="22">
        <v>6000</v>
      </c>
      <c r="CB473" s="15" t="s">
        <v>8148</v>
      </c>
      <c r="CL473" s="18"/>
      <c r="CP473" s="18"/>
      <c r="CT473" s="18"/>
      <c r="CX473" s="18"/>
      <c r="DB473" s="18"/>
      <c r="DF473" s="18"/>
      <c r="DJ473" s="18"/>
      <c r="DN473" s="18"/>
      <c r="DR473" s="18"/>
      <c r="DV473" s="18"/>
      <c r="DZ473" s="18"/>
      <c r="ED473" s="18"/>
      <c r="EI473" s="18"/>
      <c r="EQ473" s="12" t="s">
        <v>320</v>
      </c>
      <c r="ER473" s="22">
        <v>30</v>
      </c>
      <c r="ES473" s="18">
        <v>0.7</v>
      </c>
      <c r="ET473" s="22">
        <v>100</v>
      </c>
      <c r="EU473" s="11" t="s">
        <v>319</v>
      </c>
      <c r="EW473" s="18"/>
      <c r="EY473" s="12" t="s">
        <v>319</v>
      </c>
      <c r="FA473" s="18"/>
      <c r="FC473" s="12" t="s">
        <v>319</v>
      </c>
      <c r="FE473" s="18"/>
      <c r="FG473" s="12" t="s">
        <v>320</v>
      </c>
      <c r="FH473" s="22">
        <v>70</v>
      </c>
      <c r="FI473" s="18">
        <v>0.73</v>
      </c>
      <c r="FJ473" s="22">
        <v>2000</v>
      </c>
      <c r="FK473" s="11" t="s">
        <v>319</v>
      </c>
      <c r="FM473" s="18"/>
      <c r="FO473" s="11" t="s">
        <v>319</v>
      </c>
      <c r="FQ473" s="18"/>
      <c r="FS473" s="11" t="s">
        <v>319</v>
      </c>
      <c r="FU473" s="18"/>
      <c r="FW473" s="11" t="s">
        <v>319</v>
      </c>
      <c r="FY473" s="18"/>
      <c r="GA473" s="11" t="s">
        <v>319</v>
      </c>
      <c r="GC473" s="18"/>
      <c r="GE473" s="11" t="s">
        <v>319</v>
      </c>
      <c r="GG473" s="18"/>
      <c r="GI473" s="11" t="s">
        <v>319</v>
      </c>
      <c r="GK473" s="18"/>
      <c r="GM473" s="11" t="s">
        <v>320</v>
      </c>
      <c r="GN473" s="22">
        <v>50</v>
      </c>
      <c r="GO473" s="18">
        <v>0.7</v>
      </c>
      <c r="GP473" s="22">
        <v>850</v>
      </c>
      <c r="GQ473" s="11" t="s">
        <v>319</v>
      </c>
      <c r="GS473" s="18"/>
      <c r="GU473" s="11" t="s">
        <v>319</v>
      </c>
      <c r="GW473" s="18"/>
      <c r="GY473" s="11" t="s">
        <v>320</v>
      </c>
      <c r="GZ473" s="22">
        <v>80</v>
      </c>
      <c r="HA473" s="18">
        <v>1</v>
      </c>
      <c r="HB473" s="22">
        <v>300</v>
      </c>
      <c r="HF473" s="18"/>
      <c r="HH473" s="11" t="s">
        <v>319</v>
      </c>
      <c r="HL473" s="11" t="s">
        <v>320</v>
      </c>
      <c r="HM473" s="11" t="s">
        <v>560</v>
      </c>
      <c r="HN473" s="11">
        <v>2018</v>
      </c>
      <c r="HO473" s="11" t="s">
        <v>8149</v>
      </c>
      <c r="HP473" s="11" t="s">
        <v>453</v>
      </c>
      <c r="HQ473" s="11" t="s">
        <v>320</v>
      </c>
      <c r="HS473" s="11" t="s">
        <v>320</v>
      </c>
      <c r="HU473" s="11" t="s">
        <v>320</v>
      </c>
      <c r="HW473" s="11" t="s">
        <v>320</v>
      </c>
      <c r="HX473" s="11" t="s">
        <v>320</v>
      </c>
      <c r="HY473" s="11" t="s">
        <v>8150</v>
      </c>
      <c r="HZ473" s="11" t="s">
        <v>394</v>
      </c>
      <c r="IA473" s="11" t="s">
        <v>8151</v>
      </c>
      <c r="IB473" s="11" t="s">
        <v>667</v>
      </c>
      <c r="IC473" s="11" t="s">
        <v>8152</v>
      </c>
      <c r="ID473" s="11" t="s">
        <v>334</v>
      </c>
      <c r="IE473" s="12" t="s">
        <v>335</v>
      </c>
      <c r="IF473" s="11" t="s">
        <v>320</v>
      </c>
      <c r="IG473" s="11" t="s">
        <v>320</v>
      </c>
      <c r="IH473" s="11" t="s">
        <v>320</v>
      </c>
      <c r="II473" s="11" t="s">
        <v>319</v>
      </c>
      <c r="IJ473" s="12" t="str">
        <f t="shared" si="302"/>
        <v>1. Neutral</v>
      </c>
      <c r="IK473" s="12">
        <f t="shared" si="303"/>
        <v>3</v>
      </c>
      <c r="IL473" s="12" t="s">
        <v>336</v>
      </c>
      <c r="IM473" s="12" t="s">
        <v>320</v>
      </c>
      <c r="IN473" s="12" t="s">
        <v>320</v>
      </c>
      <c r="IO473" s="12" t="s">
        <v>320</v>
      </c>
      <c r="IP473" s="12" t="s">
        <v>320</v>
      </c>
      <c r="IQ473" s="12" t="str">
        <f t="shared" si="304"/>
        <v>2. Accommodating</v>
      </c>
      <c r="IR473" s="12">
        <f t="shared" si="305"/>
        <v>4</v>
      </c>
      <c r="IS473" s="12" t="s">
        <v>337</v>
      </c>
      <c r="IT473" s="12" t="s">
        <v>320</v>
      </c>
      <c r="IU473" s="12" t="s">
        <v>319</v>
      </c>
      <c r="IV473" s="12" t="s">
        <v>320</v>
      </c>
      <c r="IW473" s="11" t="str">
        <f t="shared" si="306"/>
        <v>1. Neutral</v>
      </c>
      <c r="IX473" s="12">
        <f t="shared" si="307"/>
        <v>2</v>
      </c>
      <c r="IY473" s="11" t="s">
        <v>419</v>
      </c>
      <c r="IZ473" s="11" t="s">
        <v>457</v>
      </c>
      <c r="JA473" s="11">
        <v>2</v>
      </c>
      <c r="JB473" s="11" t="s">
        <v>433</v>
      </c>
      <c r="JC473" s="11" t="s">
        <v>687</v>
      </c>
      <c r="JD473" s="11" t="s">
        <v>1113</v>
      </c>
      <c r="JE473" s="11" t="s">
        <v>340</v>
      </c>
      <c r="JF473" s="11" t="s">
        <v>8153</v>
      </c>
      <c r="JH473" s="11" t="s">
        <v>8154</v>
      </c>
      <c r="JJ473" s="11" t="s">
        <v>8155</v>
      </c>
      <c r="JK473" s="11" t="s">
        <v>1797</v>
      </c>
      <c r="JL473" s="11" t="s">
        <v>1798</v>
      </c>
      <c r="JM473" s="11" t="s">
        <v>8156</v>
      </c>
      <c r="JN473" s="11" t="s">
        <v>8157</v>
      </c>
      <c r="JP473" s="15">
        <f t="shared" si="308"/>
        <v>0</v>
      </c>
      <c r="JQ473" s="15">
        <f t="shared" si="309"/>
        <v>0</v>
      </c>
      <c r="JR473" s="279" t="str">
        <f t="shared" si="310"/>
        <v/>
      </c>
      <c r="JS473" s="17" t="str">
        <f t="shared" si="311"/>
        <v/>
      </c>
      <c r="JT473" s="18" t="str">
        <f t="shared" si="312"/>
        <v/>
      </c>
      <c r="JU473" s="280">
        <f t="shared" si="313"/>
        <v>0</v>
      </c>
      <c r="JV473" s="280">
        <f t="shared" si="314"/>
        <v>0</v>
      </c>
      <c r="JW473" s="319" t="str">
        <f t="shared" si="315"/>
        <v/>
      </c>
      <c r="JX473" s="15">
        <f t="shared" si="316"/>
        <v>0</v>
      </c>
      <c r="JY473" s="15">
        <f t="shared" si="317"/>
        <v>0</v>
      </c>
      <c r="JZ473" s="19" t="str">
        <f t="shared" si="318"/>
        <v/>
      </c>
      <c r="KA473" s="52">
        <f t="shared" si="319"/>
        <v>1</v>
      </c>
      <c r="KB473" s="15">
        <f t="shared" si="320"/>
        <v>70</v>
      </c>
      <c r="KC473" s="15">
        <f t="shared" si="321"/>
        <v>2000</v>
      </c>
      <c r="KD473" s="20">
        <f t="shared" si="322"/>
        <v>28.571428571428573</v>
      </c>
      <c r="KE473" s="52" t="str">
        <f t="shared" si="323"/>
        <v/>
      </c>
      <c r="KF473" s="15">
        <f t="shared" si="324"/>
        <v>0</v>
      </c>
      <c r="KG473" s="15">
        <f t="shared" si="325"/>
        <v>0</v>
      </c>
      <c r="KH473" s="21" t="str">
        <f t="shared" si="326"/>
        <v/>
      </c>
      <c r="KI473" s="52" t="str">
        <f t="shared" si="327"/>
        <v/>
      </c>
      <c r="KJ473" s="15">
        <f t="shared" si="328"/>
        <v>0</v>
      </c>
      <c r="KK473" s="15">
        <f t="shared" si="329"/>
        <v>0</v>
      </c>
      <c r="KL473" s="19" t="str">
        <f t="shared" si="330"/>
        <v/>
      </c>
      <c r="KM473" s="52">
        <f t="shared" si="331"/>
        <v>1</v>
      </c>
      <c r="KN473" s="22">
        <f t="shared" si="332"/>
        <v>80</v>
      </c>
      <c r="KO473" s="22">
        <f t="shared" si="333"/>
        <v>1460</v>
      </c>
      <c r="KP473" s="19">
        <f t="shared" si="334"/>
        <v>18.25</v>
      </c>
      <c r="KQ473" s="11" t="str">
        <f t="shared" si="335"/>
        <v>1. Neutral</v>
      </c>
      <c r="KR473" s="11" t="str">
        <f t="shared" si="336"/>
        <v>2. Accommodating</v>
      </c>
      <c r="KS473" s="11" t="str">
        <f t="shared" si="337"/>
        <v>1. Neutral</v>
      </c>
      <c r="KT473" s="11" t="str">
        <f t="shared" si="338"/>
        <v>It tested new ways for fighting poverty, but did not measure results of innovation</v>
      </c>
      <c r="KU473" s="11" t="str">
        <f t="shared" si="339"/>
        <v>Intensive advocacy</v>
      </c>
      <c r="KV473" s="11" t="str">
        <f t="shared" si="340"/>
        <v>It took tested solutions to scale on its own</v>
      </c>
      <c r="KW473" s="11" t="str">
        <f t="shared" si="341"/>
        <v>Montenegro - SOCIAL ENTREPRENEURSHIP: A step toward independence</v>
      </c>
      <c r="KX473" s="11" t="str">
        <f t="shared" si="342"/>
        <v>SOCIAL ENTREPRENEURSHIP: A step toward independence</v>
      </c>
      <c r="KY473" s="11" t="str">
        <f t="shared" si="343"/>
        <v>Montenegro</v>
      </c>
      <c r="KZ473" s="12">
        <v>473</v>
      </c>
    </row>
    <row r="474" spans="1:312" x14ac:dyDescent="0.3">
      <c r="A474" s="12" t="s">
        <v>8140</v>
      </c>
      <c r="B474" s="12" t="s">
        <v>602</v>
      </c>
      <c r="C474" s="12">
        <v>3142</v>
      </c>
      <c r="D474" s="12" t="s">
        <v>8161</v>
      </c>
      <c r="E474" s="277" t="str">
        <f t="shared" si="301"/>
        <v>Montenegro</v>
      </c>
      <c r="F474" s="12" t="s">
        <v>8162</v>
      </c>
      <c r="G474" s="12" t="s">
        <v>605</v>
      </c>
      <c r="H474" s="12" t="s">
        <v>310</v>
      </c>
      <c r="I474" s="12" t="s">
        <v>606</v>
      </c>
      <c r="J474" s="281" t="s">
        <v>1756</v>
      </c>
      <c r="K474" s="12" t="s">
        <v>8163</v>
      </c>
      <c r="L474" s="12" t="s">
        <v>605</v>
      </c>
      <c r="M474" s="12" t="s">
        <v>383</v>
      </c>
      <c r="N474" s="12" t="s">
        <v>384</v>
      </c>
      <c r="O474" s="278" t="s">
        <v>8164</v>
      </c>
      <c r="P474" s="12"/>
      <c r="Q474" s="12" t="s">
        <v>605</v>
      </c>
      <c r="R474" s="12" t="s">
        <v>384</v>
      </c>
      <c r="S474" s="12" t="s">
        <v>384</v>
      </c>
      <c r="T474" s="12" t="s">
        <v>793</v>
      </c>
      <c r="U474" s="12"/>
      <c r="V474" s="12"/>
      <c r="W474" s="12"/>
      <c r="X474" s="12"/>
      <c r="Y474" s="12"/>
      <c r="Z474" s="12"/>
      <c r="AA474" s="12"/>
      <c r="AB474" s="12"/>
      <c r="AC474" s="12"/>
      <c r="AD474" s="12"/>
      <c r="BD474" s="13">
        <v>42248</v>
      </c>
      <c r="BE474" s="13">
        <v>42978</v>
      </c>
      <c r="BF474" s="13">
        <v>43100</v>
      </c>
      <c r="BG474" s="12" t="s">
        <v>350</v>
      </c>
      <c r="BH474" s="14">
        <v>319835.51</v>
      </c>
      <c r="BI474" s="12" t="s">
        <v>8165</v>
      </c>
      <c r="BJ474" s="12" t="s">
        <v>354</v>
      </c>
      <c r="BK474" s="12" t="s">
        <v>8166</v>
      </c>
      <c r="BL474" s="12" t="s">
        <v>1782</v>
      </c>
      <c r="BM474" s="12" t="s">
        <v>1783</v>
      </c>
      <c r="BN474" s="12" t="s">
        <v>1784</v>
      </c>
      <c r="BO474" s="12" t="s">
        <v>319</v>
      </c>
      <c r="BP474" s="12" t="s">
        <v>320</v>
      </c>
      <c r="BQ474" s="12" t="s">
        <v>319</v>
      </c>
      <c r="BR474" s="12" t="s">
        <v>8167</v>
      </c>
      <c r="BS474" s="12" t="s">
        <v>322</v>
      </c>
      <c r="BT474" s="12" t="s">
        <v>8168</v>
      </c>
      <c r="BU474" s="12" t="s">
        <v>8169</v>
      </c>
      <c r="BV474" s="14">
        <v>200</v>
      </c>
      <c r="BW474" s="14">
        <v>150</v>
      </c>
      <c r="BX474" s="14">
        <v>350</v>
      </c>
      <c r="BY474" s="14">
        <v>500</v>
      </c>
      <c r="BZ474" s="14">
        <v>300</v>
      </c>
      <c r="CA474" s="14">
        <v>800</v>
      </c>
      <c r="CB474" s="12" t="s">
        <v>8170</v>
      </c>
      <c r="CD474" s="14"/>
      <c r="CE474" s="14"/>
      <c r="CF474" s="14"/>
      <c r="CG474" s="14"/>
      <c r="CH474" s="14"/>
      <c r="CI474" s="14"/>
      <c r="CJ474" s="12"/>
      <c r="CK474" s="14"/>
      <c r="CL474" s="16"/>
      <c r="CM474" s="14"/>
      <c r="CN474" s="12"/>
      <c r="CO474" s="14"/>
      <c r="CP474" s="16"/>
      <c r="CQ474" s="14"/>
      <c r="CR474" s="12"/>
      <c r="CS474" s="14"/>
      <c r="CT474" s="16"/>
      <c r="CU474" s="14"/>
      <c r="CV474" s="12"/>
      <c r="CW474" s="14"/>
      <c r="CX474" s="16"/>
      <c r="CY474" s="14"/>
      <c r="CZ474" s="12"/>
      <c r="DA474" s="14"/>
      <c r="DB474" s="16"/>
      <c r="DC474" s="14"/>
      <c r="DD474" s="12"/>
      <c r="DE474" s="14"/>
      <c r="DF474" s="16"/>
      <c r="DG474" s="14"/>
      <c r="DH474" s="12"/>
      <c r="DI474" s="14"/>
      <c r="DJ474" s="16"/>
      <c r="DK474" s="14"/>
      <c r="DL474" s="12"/>
      <c r="DM474" s="14"/>
      <c r="DN474" s="16"/>
      <c r="DO474" s="14"/>
      <c r="DP474" s="12"/>
      <c r="DQ474" s="14"/>
      <c r="DR474" s="16"/>
      <c r="DS474" s="14"/>
      <c r="DT474" s="12"/>
      <c r="DU474" s="14"/>
      <c r="DV474" s="16"/>
      <c r="DW474" s="14"/>
      <c r="DX474" s="12"/>
      <c r="DY474" s="14"/>
      <c r="DZ474" s="16"/>
      <c r="EA474" s="14"/>
      <c r="EB474" s="12"/>
      <c r="EC474" s="14"/>
      <c r="ED474" s="16"/>
      <c r="EE474" s="14"/>
      <c r="EF474" s="12"/>
      <c r="EG474" s="12"/>
      <c r="EH474" s="14"/>
      <c r="EI474" s="16"/>
      <c r="EJ474" s="14"/>
      <c r="EK474" s="14">
        <v>120</v>
      </c>
      <c r="EL474" s="14">
        <v>80</v>
      </c>
      <c r="EM474" s="14">
        <v>200</v>
      </c>
      <c r="EN474" s="14">
        <v>250</v>
      </c>
      <c r="EO474" s="14">
        <v>150</v>
      </c>
      <c r="EP474" s="14">
        <v>400</v>
      </c>
      <c r="EQ474" s="12" t="s">
        <v>320</v>
      </c>
      <c r="ER474" s="14">
        <v>30</v>
      </c>
      <c r="ES474" s="16"/>
      <c r="ET474" s="14">
        <v>120</v>
      </c>
      <c r="EU474" s="11" t="s">
        <v>319</v>
      </c>
      <c r="EV474" s="14"/>
      <c r="EW474" s="16"/>
      <c r="EX474" s="14"/>
      <c r="EY474" s="12" t="s">
        <v>319</v>
      </c>
      <c r="EZ474" s="14"/>
      <c r="FA474" s="16"/>
      <c r="FB474" s="14"/>
      <c r="FC474" s="12" t="s">
        <v>319</v>
      </c>
      <c r="FD474" s="14"/>
      <c r="FE474" s="16"/>
      <c r="FF474" s="14"/>
      <c r="FG474" s="12" t="s">
        <v>320</v>
      </c>
      <c r="FH474" s="14">
        <v>2</v>
      </c>
      <c r="FI474" s="16"/>
      <c r="FJ474" s="14">
        <v>200</v>
      </c>
      <c r="FK474" s="12" t="s">
        <v>320</v>
      </c>
      <c r="FL474" s="14">
        <v>100</v>
      </c>
      <c r="FM474" s="16"/>
      <c r="FN474" s="14">
        <v>200</v>
      </c>
      <c r="FO474" s="12" t="s">
        <v>319</v>
      </c>
      <c r="FP474" s="14"/>
      <c r="FQ474" s="16"/>
      <c r="FR474" s="14"/>
      <c r="FS474" s="12" t="s">
        <v>319</v>
      </c>
      <c r="FT474" s="14"/>
      <c r="FU474" s="16"/>
      <c r="FV474" s="14"/>
      <c r="FW474" s="12" t="s">
        <v>319</v>
      </c>
      <c r="FX474" s="14"/>
      <c r="FY474" s="16"/>
      <c r="FZ474" s="14"/>
      <c r="GA474" s="12" t="s">
        <v>319</v>
      </c>
      <c r="GB474" s="14"/>
      <c r="GC474" s="16"/>
      <c r="GD474" s="14"/>
      <c r="GE474" s="12" t="s">
        <v>319</v>
      </c>
      <c r="GF474" s="14"/>
      <c r="GG474" s="16"/>
      <c r="GH474" s="14"/>
      <c r="GI474" s="12" t="s">
        <v>319</v>
      </c>
      <c r="GJ474" s="14"/>
      <c r="GK474" s="16"/>
      <c r="GL474" s="14"/>
      <c r="GM474" s="12" t="s">
        <v>319</v>
      </c>
      <c r="GN474" s="14"/>
      <c r="GO474" s="16"/>
      <c r="GP474" s="14"/>
      <c r="GQ474" s="12" t="s">
        <v>319</v>
      </c>
      <c r="GR474" s="14"/>
      <c r="GS474" s="16"/>
      <c r="GT474" s="14"/>
      <c r="GU474" s="12" t="s">
        <v>319</v>
      </c>
      <c r="GV474" s="14"/>
      <c r="GW474" s="16"/>
      <c r="GX474" s="14"/>
      <c r="GY474" s="11" t="s">
        <v>320</v>
      </c>
      <c r="GZ474" s="14">
        <v>80</v>
      </c>
      <c r="HA474" s="16"/>
      <c r="HB474" s="14">
        <v>320</v>
      </c>
      <c r="HC474" s="12"/>
      <c r="HD474" s="12" t="s">
        <v>319</v>
      </c>
      <c r="HE474" s="14"/>
      <c r="HF474" s="16"/>
      <c r="HG474" s="14"/>
      <c r="HH474" s="12" t="s">
        <v>319</v>
      </c>
      <c r="HI474" s="12"/>
      <c r="HJ474" s="12"/>
      <c r="HK474" s="12" t="s">
        <v>319</v>
      </c>
      <c r="HL474" s="12" t="s">
        <v>320</v>
      </c>
      <c r="HM474" s="12" t="s">
        <v>328</v>
      </c>
      <c r="HN474" s="12">
        <v>2017</v>
      </c>
      <c r="HO474" s="12"/>
      <c r="HP474" s="12" t="s">
        <v>330</v>
      </c>
      <c r="HQ474" s="12" t="s">
        <v>320</v>
      </c>
      <c r="HR474" s="12" t="s">
        <v>319</v>
      </c>
      <c r="HS474" s="12" t="s">
        <v>320</v>
      </c>
      <c r="HT474" s="12" t="s">
        <v>319</v>
      </c>
      <c r="HU474" s="12" t="s">
        <v>319</v>
      </c>
      <c r="HV474" s="12" t="s">
        <v>319</v>
      </c>
      <c r="HW474" s="12" t="s">
        <v>319</v>
      </c>
      <c r="HX474" s="12" t="s">
        <v>320</v>
      </c>
      <c r="HY474" s="12" t="s">
        <v>8171</v>
      </c>
      <c r="HZ474" s="12" t="s">
        <v>394</v>
      </c>
      <c r="IA474" s="12"/>
      <c r="IB474" s="12" t="s">
        <v>333</v>
      </c>
      <c r="IC474" s="12"/>
      <c r="ID474" s="12" t="s">
        <v>334</v>
      </c>
      <c r="IE474" s="12" t="s">
        <v>335</v>
      </c>
      <c r="IF474" s="12" t="s">
        <v>320</v>
      </c>
      <c r="IG474" s="12" t="s">
        <v>320</v>
      </c>
      <c r="IH474" s="12" t="s">
        <v>320</v>
      </c>
      <c r="II474" s="12" t="s">
        <v>319</v>
      </c>
      <c r="IJ474" s="12" t="str">
        <f t="shared" si="302"/>
        <v>1. Neutral</v>
      </c>
      <c r="IK474" s="12">
        <f t="shared" si="303"/>
        <v>3</v>
      </c>
      <c r="IL474" s="12" t="s">
        <v>336</v>
      </c>
      <c r="IM474" s="12" t="s">
        <v>320</v>
      </c>
      <c r="IN474" s="12" t="s">
        <v>319</v>
      </c>
      <c r="IO474" s="12" t="s">
        <v>320</v>
      </c>
      <c r="IP474" s="12" t="s">
        <v>319</v>
      </c>
      <c r="IQ474" s="12" t="str">
        <f t="shared" si="304"/>
        <v>1. Tokenistic</v>
      </c>
      <c r="IR474" s="12">
        <f t="shared" si="305"/>
        <v>2</v>
      </c>
      <c r="IS474" s="12" t="s">
        <v>337</v>
      </c>
      <c r="IT474" s="12" t="s">
        <v>320</v>
      </c>
      <c r="IU474" s="12" t="s">
        <v>319</v>
      </c>
      <c r="IV474" s="12" t="s">
        <v>320</v>
      </c>
      <c r="IW474" s="11" t="str">
        <f t="shared" si="306"/>
        <v>1. Neutral</v>
      </c>
      <c r="IX474" s="12">
        <f t="shared" si="307"/>
        <v>2</v>
      </c>
      <c r="IY474" s="12" t="s">
        <v>338</v>
      </c>
      <c r="IZ474" s="12" t="s">
        <v>457</v>
      </c>
      <c r="JA474" s="12">
        <v>2</v>
      </c>
      <c r="JB474" s="12" t="s">
        <v>624</v>
      </c>
      <c r="JC474" s="12" t="s">
        <v>687</v>
      </c>
      <c r="JD474" s="12"/>
      <c r="JE474" s="12" t="s">
        <v>365</v>
      </c>
      <c r="JF474" s="12" t="s">
        <v>8172</v>
      </c>
      <c r="JG474" s="12" t="s">
        <v>8173</v>
      </c>
      <c r="JH474" s="12" t="s">
        <v>8174</v>
      </c>
      <c r="JI474" s="12" t="s">
        <v>8175</v>
      </c>
      <c r="JJ474" s="12" t="s">
        <v>8176</v>
      </c>
      <c r="JK474" s="12" t="s">
        <v>8177</v>
      </c>
      <c r="JL474" s="12" t="s">
        <v>8178</v>
      </c>
      <c r="JM474" s="12"/>
      <c r="JN474" s="12"/>
      <c r="JO474" s="12" t="s">
        <v>8179</v>
      </c>
      <c r="JP474" s="15">
        <f t="shared" si="308"/>
        <v>200</v>
      </c>
      <c r="JQ474" s="15">
        <f t="shared" si="309"/>
        <v>400</v>
      </c>
      <c r="JR474" s="279">
        <f t="shared" si="310"/>
        <v>2</v>
      </c>
      <c r="JS474" s="17">
        <f t="shared" si="311"/>
        <v>0.6</v>
      </c>
      <c r="JT474" s="18">
        <f t="shared" si="312"/>
        <v>0.625</v>
      </c>
      <c r="JU474" s="280">
        <f t="shared" si="313"/>
        <v>120</v>
      </c>
      <c r="JV474" s="280">
        <f t="shared" si="314"/>
        <v>250</v>
      </c>
      <c r="JW474" s="319" t="str">
        <f t="shared" si="315"/>
        <v/>
      </c>
      <c r="JX474" s="15">
        <f t="shared" si="316"/>
        <v>0</v>
      </c>
      <c r="JY474" s="15">
        <f t="shared" si="317"/>
        <v>0</v>
      </c>
      <c r="JZ474" s="19" t="str">
        <f t="shared" si="318"/>
        <v/>
      </c>
      <c r="KA474" s="52">
        <f t="shared" si="319"/>
        <v>1</v>
      </c>
      <c r="KB474" s="15">
        <f t="shared" si="320"/>
        <v>30</v>
      </c>
      <c r="KC474" s="15">
        <f t="shared" si="321"/>
        <v>200</v>
      </c>
      <c r="KD474" s="20">
        <f t="shared" si="322"/>
        <v>6.666666666666667</v>
      </c>
      <c r="KE474" s="52" t="str">
        <f t="shared" si="323"/>
        <v/>
      </c>
      <c r="KF474" s="15">
        <f t="shared" si="324"/>
        <v>0</v>
      </c>
      <c r="KG474" s="15">
        <f t="shared" si="325"/>
        <v>0</v>
      </c>
      <c r="KH474" s="21" t="str">
        <f t="shared" si="326"/>
        <v/>
      </c>
      <c r="KI474" s="52" t="str">
        <f t="shared" si="327"/>
        <v/>
      </c>
      <c r="KJ474" s="15">
        <f t="shared" si="328"/>
        <v>0</v>
      </c>
      <c r="KK474" s="15">
        <f t="shared" si="329"/>
        <v>0</v>
      </c>
      <c r="KL474" s="19" t="str">
        <f t="shared" si="330"/>
        <v/>
      </c>
      <c r="KM474" s="52">
        <f t="shared" si="331"/>
        <v>1</v>
      </c>
      <c r="KN474" s="22">
        <f t="shared" si="332"/>
        <v>80</v>
      </c>
      <c r="KO474" s="22">
        <f t="shared" si="333"/>
        <v>320</v>
      </c>
      <c r="KP474" s="19">
        <f t="shared" si="334"/>
        <v>4</v>
      </c>
      <c r="KQ474" s="11" t="str">
        <f t="shared" si="335"/>
        <v>1. Neutral</v>
      </c>
      <c r="KR474" s="11" t="str">
        <f t="shared" si="336"/>
        <v>1. Tokenistic</v>
      </c>
      <c r="KS474" s="11" t="str">
        <f t="shared" si="337"/>
        <v>1. Neutral</v>
      </c>
      <c r="KT474" s="11" t="str">
        <f t="shared" si="338"/>
        <v>It tested new ways for fighting poverty, but did not measure results of innovation</v>
      </c>
      <c r="KU474" s="11" t="str">
        <f t="shared" si="339"/>
        <v>Moderate advocacy</v>
      </c>
      <c r="KV474" s="11" t="str">
        <f t="shared" si="340"/>
        <v>It did not take tested solutions to scale</v>
      </c>
      <c r="KW474" s="11" t="str">
        <f t="shared" si="341"/>
        <v>Montenegro - Social inclusion through woman economic empowerment in Montenegro (JAKA)</v>
      </c>
      <c r="KX474" s="11" t="str">
        <f t="shared" si="342"/>
        <v>Social inclusion through woman economic empowerment in Montenegro (JAKA)</v>
      </c>
      <c r="KY474" s="11" t="str">
        <f t="shared" si="343"/>
        <v>Montenegro</v>
      </c>
      <c r="KZ474" s="12">
        <v>474</v>
      </c>
    </row>
    <row r="475" spans="1:312" x14ac:dyDescent="0.3">
      <c r="A475" s="12" t="s">
        <v>8180</v>
      </c>
      <c r="B475" s="12" t="s">
        <v>602</v>
      </c>
      <c r="C475" s="12"/>
      <c r="D475" s="12" t="s">
        <v>8181</v>
      </c>
      <c r="E475" s="277" t="str">
        <f t="shared" si="301"/>
        <v>Morocco</v>
      </c>
      <c r="F475" s="12"/>
      <c r="G475" s="12" t="s">
        <v>714</v>
      </c>
      <c r="H475" s="12" t="s">
        <v>383</v>
      </c>
      <c r="I475" s="12" t="s">
        <v>384</v>
      </c>
      <c r="J475" s="281" t="s">
        <v>14600</v>
      </c>
      <c r="K475" s="12"/>
      <c r="L475" s="12"/>
      <c r="M475" s="12"/>
      <c r="N475" s="12"/>
      <c r="O475" s="12"/>
      <c r="P475" s="12"/>
      <c r="Q475" s="12"/>
      <c r="R475" s="12"/>
      <c r="S475" s="12"/>
      <c r="T475" s="12"/>
      <c r="U475" s="12"/>
      <c r="V475" s="12"/>
      <c r="W475" s="12"/>
      <c r="X475" s="12"/>
      <c r="Y475" s="12"/>
      <c r="Z475" s="12"/>
      <c r="AA475" s="12"/>
      <c r="AB475" s="12"/>
      <c r="AC475" s="12"/>
      <c r="AD475" s="12"/>
      <c r="BD475" s="13">
        <v>42736</v>
      </c>
      <c r="BE475" s="13">
        <v>43830</v>
      </c>
      <c r="BF475" s="12"/>
      <c r="BG475" s="12" t="s">
        <v>350</v>
      </c>
      <c r="BH475" s="14">
        <v>534473.54</v>
      </c>
      <c r="BI475" s="12" t="s">
        <v>8182</v>
      </c>
      <c r="BJ475" s="12" t="s">
        <v>8183</v>
      </c>
      <c r="BK475" s="12" t="s">
        <v>8184</v>
      </c>
      <c r="BL475" s="12" t="s">
        <v>8185</v>
      </c>
      <c r="BM475" s="12" t="s">
        <v>1834</v>
      </c>
      <c r="BN475" s="12" t="s">
        <v>8186</v>
      </c>
      <c r="BO475" s="12" t="s">
        <v>319</v>
      </c>
      <c r="BP475" s="12" t="s">
        <v>320</v>
      </c>
      <c r="BQ475" s="12" t="s">
        <v>319</v>
      </c>
      <c r="BR475" s="12" t="s">
        <v>8187</v>
      </c>
      <c r="BS475" s="12" t="s">
        <v>357</v>
      </c>
      <c r="BT475" s="12" t="s">
        <v>8188</v>
      </c>
      <c r="BU475" s="12" t="s">
        <v>8189</v>
      </c>
      <c r="BV475" s="14">
        <v>1288</v>
      </c>
      <c r="BW475" s="14">
        <v>676</v>
      </c>
      <c r="BX475" s="14">
        <v>1964</v>
      </c>
      <c r="BY475" s="14">
        <v>2640</v>
      </c>
      <c r="BZ475" s="14">
        <v>2640</v>
      </c>
      <c r="CA475" s="14">
        <v>5280</v>
      </c>
      <c r="CB475" s="12" t="s">
        <v>8190</v>
      </c>
      <c r="CD475" s="14"/>
      <c r="CE475" s="14"/>
      <c r="CF475" s="14"/>
      <c r="CG475" s="14"/>
      <c r="CH475" s="14"/>
      <c r="CI475" s="14"/>
      <c r="CJ475" s="12"/>
      <c r="CK475" s="14"/>
      <c r="CL475" s="16"/>
      <c r="CM475" s="14"/>
      <c r="CN475" s="12"/>
      <c r="CO475" s="14"/>
      <c r="CP475" s="16"/>
      <c r="CQ475" s="14"/>
      <c r="CR475" s="12"/>
      <c r="CS475" s="14"/>
      <c r="CT475" s="16"/>
      <c r="CU475" s="14"/>
      <c r="CV475" s="12"/>
      <c r="CW475" s="14"/>
      <c r="CX475" s="16"/>
      <c r="CY475" s="14"/>
      <c r="CZ475" s="12"/>
      <c r="DA475" s="14"/>
      <c r="DB475" s="16"/>
      <c r="DC475" s="14"/>
      <c r="DD475" s="12"/>
      <c r="DE475" s="14"/>
      <c r="DF475" s="16"/>
      <c r="DG475" s="14"/>
      <c r="DH475" s="12"/>
      <c r="DI475" s="14"/>
      <c r="DJ475" s="16"/>
      <c r="DK475" s="14"/>
      <c r="DL475" s="12"/>
      <c r="DM475" s="14"/>
      <c r="DN475" s="16"/>
      <c r="DO475" s="14"/>
      <c r="DP475" s="12"/>
      <c r="DQ475" s="14"/>
      <c r="DR475" s="16"/>
      <c r="DS475" s="14"/>
      <c r="DT475" s="12"/>
      <c r="DU475" s="14"/>
      <c r="DV475" s="16"/>
      <c r="DW475" s="14"/>
      <c r="DX475" s="12"/>
      <c r="DY475" s="14"/>
      <c r="DZ475" s="16"/>
      <c r="EA475" s="14"/>
      <c r="EB475" s="12"/>
      <c r="EC475" s="14"/>
      <c r="ED475" s="16"/>
      <c r="EE475" s="14"/>
      <c r="EF475" s="12"/>
      <c r="EG475" s="12"/>
      <c r="EH475" s="14"/>
      <c r="EI475" s="16"/>
      <c r="EJ475" s="14"/>
      <c r="EK475" s="14">
        <v>1256</v>
      </c>
      <c r="EL475" s="14">
        <v>418</v>
      </c>
      <c r="EM475" s="14">
        <v>1674</v>
      </c>
      <c r="EN475" s="14">
        <v>2512</v>
      </c>
      <c r="EO475" s="14">
        <v>2009</v>
      </c>
      <c r="EP475" s="14">
        <v>4521</v>
      </c>
      <c r="EQ475" s="12" t="s">
        <v>320</v>
      </c>
      <c r="ER475" s="14">
        <v>350</v>
      </c>
      <c r="ES475" s="16">
        <v>1</v>
      </c>
      <c r="ET475" s="14">
        <v>1340</v>
      </c>
      <c r="EU475" s="11" t="s">
        <v>319</v>
      </c>
      <c r="EV475" s="14"/>
      <c r="EW475" s="16"/>
      <c r="EX475" s="14"/>
      <c r="EY475" s="12" t="s">
        <v>319</v>
      </c>
      <c r="EZ475" s="14"/>
      <c r="FA475" s="16"/>
      <c r="FB475" s="14"/>
      <c r="FC475" s="12" t="s">
        <v>319</v>
      </c>
      <c r="FD475" s="14"/>
      <c r="FE475" s="16"/>
      <c r="FF475" s="14"/>
      <c r="FG475" s="12" t="s">
        <v>320</v>
      </c>
      <c r="FH475" s="14">
        <v>1268</v>
      </c>
      <c r="FI475" s="16">
        <v>0.99</v>
      </c>
      <c r="FJ475" s="14">
        <v>4967</v>
      </c>
      <c r="FK475" s="12" t="s">
        <v>319</v>
      </c>
      <c r="FL475" s="14"/>
      <c r="FM475" s="16"/>
      <c r="FN475" s="14"/>
      <c r="FO475" s="12" t="s">
        <v>319</v>
      </c>
      <c r="FP475" s="14"/>
      <c r="FQ475" s="16"/>
      <c r="FR475" s="14"/>
      <c r="FS475" s="12" t="s">
        <v>320</v>
      </c>
      <c r="FT475" s="14"/>
      <c r="FU475" s="16"/>
      <c r="FV475" s="14"/>
      <c r="FW475" s="12" t="s">
        <v>320</v>
      </c>
      <c r="FX475" s="14"/>
      <c r="FY475" s="16"/>
      <c r="FZ475" s="14"/>
      <c r="GA475" s="12" t="s">
        <v>319</v>
      </c>
      <c r="GB475" s="14">
        <v>0</v>
      </c>
      <c r="GC475" s="16"/>
      <c r="GD475" s="14"/>
      <c r="GE475" s="12" t="s">
        <v>319</v>
      </c>
      <c r="GF475" s="14"/>
      <c r="GG475" s="16"/>
      <c r="GH475" s="14"/>
      <c r="GI475" s="12" t="s">
        <v>319</v>
      </c>
      <c r="GJ475" s="14"/>
      <c r="GK475" s="16"/>
      <c r="GL475" s="14"/>
      <c r="GM475" s="12" t="s">
        <v>320</v>
      </c>
      <c r="GN475" s="14"/>
      <c r="GO475" s="16"/>
      <c r="GP475" s="14"/>
      <c r="GQ475" s="12" t="s">
        <v>320</v>
      </c>
      <c r="GR475" s="14"/>
      <c r="GS475" s="16"/>
      <c r="GT475" s="14"/>
      <c r="GU475" s="12" t="s">
        <v>319</v>
      </c>
      <c r="GV475" s="14"/>
      <c r="GW475" s="16"/>
      <c r="GX475" s="14"/>
      <c r="GY475" s="11" t="s">
        <v>320</v>
      </c>
      <c r="GZ475" s="14">
        <v>1256</v>
      </c>
      <c r="HA475" s="16">
        <v>1</v>
      </c>
      <c r="HB475" s="14">
        <v>2392</v>
      </c>
      <c r="HC475" s="12"/>
      <c r="HD475" s="12"/>
      <c r="HE475" s="14"/>
      <c r="HF475" s="16"/>
      <c r="HG475" s="14"/>
      <c r="HH475" s="12" t="s">
        <v>319</v>
      </c>
      <c r="HI475" s="12"/>
      <c r="HJ475" s="12"/>
      <c r="HK475" s="12" t="s">
        <v>319</v>
      </c>
      <c r="HL475" s="12" t="s">
        <v>319</v>
      </c>
      <c r="HM475" s="12"/>
      <c r="HN475" s="12"/>
      <c r="HO475" s="12"/>
      <c r="HP475" s="12" t="s">
        <v>330</v>
      </c>
      <c r="HQ475" s="12" t="s">
        <v>320</v>
      </c>
      <c r="HR475" s="12" t="s">
        <v>319</v>
      </c>
      <c r="HS475" s="12" t="s">
        <v>320</v>
      </c>
      <c r="HT475" s="12" t="s">
        <v>319</v>
      </c>
      <c r="HU475" s="12" t="s">
        <v>320</v>
      </c>
      <c r="HV475" s="12" t="s">
        <v>319</v>
      </c>
      <c r="HW475" s="12" t="s">
        <v>319</v>
      </c>
      <c r="HX475" s="12"/>
      <c r="HY475" s="12"/>
      <c r="HZ475" s="12" t="s">
        <v>331</v>
      </c>
      <c r="IA475" s="12" t="s">
        <v>8191</v>
      </c>
      <c r="IB475" s="12" t="s">
        <v>396</v>
      </c>
      <c r="IC475" s="12" t="s">
        <v>8192</v>
      </c>
      <c r="ID475" s="12" t="s">
        <v>334</v>
      </c>
      <c r="IE475" s="12" t="s">
        <v>335</v>
      </c>
      <c r="IF475" s="12" t="s">
        <v>319</v>
      </c>
      <c r="IG475" s="12" t="s">
        <v>320</v>
      </c>
      <c r="IH475" s="12" t="s">
        <v>320</v>
      </c>
      <c r="II475" s="12" t="s">
        <v>320</v>
      </c>
      <c r="IJ475" s="12" t="str">
        <f t="shared" si="302"/>
        <v>1. Neutral</v>
      </c>
      <c r="IK475" s="12">
        <f t="shared" si="303"/>
        <v>3</v>
      </c>
      <c r="IL475" s="12" t="s">
        <v>336</v>
      </c>
      <c r="IM475" s="12" t="s">
        <v>320</v>
      </c>
      <c r="IN475" s="12" t="s">
        <v>320</v>
      </c>
      <c r="IO475" s="12" t="s">
        <v>320</v>
      </c>
      <c r="IP475" s="12" t="s">
        <v>320</v>
      </c>
      <c r="IQ475" s="12" t="str">
        <f t="shared" si="304"/>
        <v>2. Accommodating</v>
      </c>
      <c r="IR475" s="12">
        <f t="shared" si="305"/>
        <v>4</v>
      </c>
      <c r="IS475" s="12" t="s">
        <v>337</v>
      </c>
      <c r="IT475" s="12" t="s">
        <v>320</v>
      </c>
      <c r="IU475" s="12" t="s">
        <v>320</v>
      </c>
      <c r="IV475" s="12" t="s">
        <v>320</v>
      </c>
      <c r="IW475" s="11" t="str">
        <f t="shared" si="306"/>
        <v>2. Sensitive</v>
      </c>
      <c r="IX475" s="12">
        <f t="shared" si="307"/>
        <v>3</v>
      </c>
      <c r="IY475" s="11" t="s">
        <v>338</v>
      </c>
      <c r="IZ475" s="11" t="s">
        <v>527</v>
      </c>
      <c r="JA475" s="12">
        <v>8</v>
      </c>
      <c r="JB475" s="12" t="s">
        <v>687</v>
      </c>
      <c r="JC475" s="12" t="s">
        <v>433</v>
      </c>
      <c r="JD475" s="12" t="s">
        <v>623</v>
      </c>
      <c r="JE475" s="12" t="s">
        <v>340</v>
      </c>
      <c r="JF475" s="12" t="s">
        <v>8193</v>
      </c>
      <c r="JG475" s="12" t="s">
        <v>8194</v>
      </c>
      <c r="JH475" s="12" t="s">
        <v>8195</v>
      </c>
      <c r="JI475" s="12" t="s">
        <v>8196</v>
      </c>
      <c r="JJ475" s="12" t="s">
        <v>8197</v>
      </c>
      <c r="JK475" s="12" t="s">
        <v>8198</v>
      </c>
      <c r="JL475" s="12" t="s">
        <v>8199</v>
      </c>
      <c r="JM475" s="12" t="s">
        <v>8200</v>
      </c>
      <c r="JN475" s="12"/>
      <c r="JO475" s="12" t="s">
        <v>8201</v>
      </c>
      <c r="JP475" s="15">
        <f t="shared" si="308"/>
        <v>1674</v>
      </c>
      <c r="JQ475" s="15">
        <f t="shared" si="309"/>
        <v>4521</v>
      </c>
      <c r="JR475" s="279">
        <f t="shared" si="310"/>
        <v>2.7007168458781363</v>
      </c>
      <c r="JS475" s="17">
        <f t="shared" si="311"/>
        <v>0.75029868578255676</v>
      </c>
      <c r="JT475" s="18">
        <f t="shared" si="312"/>
        <v>0.55562928555629287</v>
      </c>
      <c r="JU475" s="280">
        <f t="shared" si="313"/>
        <v>1256</v>
      </c>
      <c r="JV475" s="280">
        <f t="shared" si="314"/>
        <v>2512</v>
      </c>
      <c r="JW475" s="319" t="str">
        <f t="shared" si="315"/>
        <v/>
      </c>
      <c r="JX475" s="15">
        <f t="shared" si="316"/>
        <v>0</v>
      </c>
      <c r="JY475" s="15">
        <f t="shared" si="317"/>
        <v>0</v>
      </c>
      <c r="JZ475" s="19" t="str">
        <f t="shared" si="318"/>
        <v/>
      </c>
      <c r="KA475" s="52">
        <f t="shared" si="319"/>
        <v>1</v>
      </c>
      <c r="KB475" s="15">
        <f t="shared" si="320"/>
        <v>1268</v>
      </c>
      <c r="KC475" s="15">
        <f t="shared" si="321"/>
        <v>4967</v>
      </c>
      <c r="KD475" s="20">
        <f t="shared" si="322"/>
        <v>3.9171924290220819</v>
      </c>
      <c r="KE475" s="52">
        <f t="shared" si="323"/>
        <v>1</v>
      </c>
      <c r="KF475" s="15">
        <f t="shared" si="324"/>
        <v>0</v>
      </c>
      <c r="KG475" s="15">
        <f t="shared" si="325"/>
        <v>0</v>
      </c>
      <c r="KH475" s="21" t="str">
        <f t="shared" si="326"/>
        <v/>
      </c>
      <c r="KI475" s="52">
        <f t="shared" si="327"/>
        <v>1</v>
      </c>
      <c r="KJ475" s="15">
        <f t="shared" si="328"/>
        <v>0</v>
      </c>
      <c r="KK475" s="15">
        <f t="shared" si="329"/>
        <v>0</v>
      </c>
      <c r="KL475" s="19" t="str">
        <f t="shared" si="330"/>
        <v/>
      </c>
      <c r="KM475" s="52">
        <f t="shared" si="331"/>
        <v>1</v>
      </c>
      <c r="KN475" s="22">
        <f t="shared" si="332"/>
        <v>1256</v>
      </c>
      <c r="KO475" s="22">
        <f t="shared" si="333"/>
        <v>4917.33</v>
      </c>
      <c r="KP475" s="19">
        <f t="shared" si="334"/>
        <v>3.9150716560509555</v>
      </c>
      <c r="KQ475" s="11" t="str">
        <f t="shared" si="335"/>
        <v>1. Neutral</v>
      </c>
      <c r="KR475" s="11" t="str">
        <f t="shared" si="336"/>
        <v>2. Accommodating</v>
      </c>
      <c r="KS475" s="11" t="str">
        <f t="shared" si="337"/>
        <v>2. Sensitive</v>
      </c>
      <c r="KT475" s="11" t="str">
        <f t="shared" si="338"/>
        <v>It tested new ways for fighting poverty and measured results of innovation</v>
      </c>
      <c r="KU475" s="11" t="str">
        <f t="shared" si="339"/>
        <v>Moderate advocacy</v>
      </c>
      <c r="KV475" s="11" t="str">
        <f t="shared" si="340"/>
        <v>It linked and worked with strategic alliances and partners to take tested and effective solutions to scale</v>
      </c>
      <c r="KW475" s="11" t="str">
        <f t="shared" si="341"/>
        <v>Morocco - AVEC II</v>
      </c>
      <c r="KX475" s="11" t="str">
        <f t="shared" si="342"/>
        <v>AVEC II</v>
      </c>
      <c r="KY475" s="11" t="str">
        <f t="shared" si="343"/>
        <v>Morocco</v>
      </c>
      <c r="KZ475" s="12">
        <v>475</v>
      </c>
    </row>
    <row r="476" spans="1:312" x14ac:dyDescent="0.3">
      <c r="A476" s="12" t="s">
        <v>8180</v>
      </c>
      <c r="B476" s="12" t="s">
        <v>602</v>
      </c>
      <c r="C476" s="12">
        <v>3642</v>
      </c>
      <c r="D476" s="12" t="s">
        <v>8202</v>
      </c>
      <c r="E476" s="277" t="str">
        <f t="shared" si="301"/>
        <v>Morocco</v>
      </c>
      <c r="F476" s="12"/>
      <c r="G476" s="12" t="s">
        <v>714</v>
      </c>
      <c r="H476" s="12" t="s">
        <v>383</v>
      </c>
      <c r="I476" s="12" t="s">
        <v>384</v>
      </c>
      <c r="J476" s="281" t="s">
        <v>14600</v>
      </c>
      <c r="K476" s="12"/>
      <c r="L476" s="12"/>
      <c r="M476" s="12"/>
      <c r="N476" s="12"/>
      <c r="O476" s="12"/>
      <c r="P476" s="12"/>
      <c r="Q476" s="12"/>
      <c r="R476" s="12"/>
      <c r="S476" s="12"/>
      <c r="T476" s="12"/>
      <c r="U476" s="12"/>
      <c r="V476" s="12"/>
      <c r="W476" s="12"/>
      <c r="X476" s="12"/>
      <c r="Y476" s="12"/>
      <c r="Z476" s="12"/>
      <c r="AA476" s="12"/>
      <c r="AB476" s="12"/>
      <c r="AC476" s="12"/>
      <c r="AD476" s="12"/>
      <c r="BD476" s="13">
        <v>41640</v>
      </c>
      <c r="BE476" s="13">
        <v>42735</v>
      </c>
      <c r="BF476" s="12"/>
      <c r="BG476" s="12" t="s">
        <v>350</v>
      </c>
      <c r="BH476" s="14">
        <v>611072</v>
      </c>
      <c r="BI476" s="12" t="s">
        <v>8203</v>
      </c>
      <c r="BJ476" s="12" t="s">
        <v>8204</v>
      </c>
      <c r="BK476" s="12" t="s">
        <v>8205</v>
      </c>
      <c r="BL476" s="12" t="s">
        <v>8185</v>
      </c>
      <c r="BM476" s="12" t="s">
        <v>1834</v>
      </c>
      <c r="BN476" s="12" t="s">
        <v>8186</v>
      </c>
      <c r="BO476" s="12" t="s">
        <v>319</v>
      </c>
      <c r="BP476" s="12" t="s">
        <v>320</v>
      </c>
      <c r="BQ476" s="12" t="s">
        <v>319</v>
      </c>
      <c r="BR476" s="12" t="s">
        <v>8187</v>
      </c>
      <c r="BS476" s="12" t="s">
        <v>357</v>
      </c>
      <c r="BT476" s="12" t="s">
        <v>8206</v>
      </c>
      <c r="BU476" s="12" t="s">
        <v>8207</v>
      </c>
      <c r="BV476" s="14">
        <v>1000</v>
      </c>
      <c r="BW476" s="14">
        <v>1000</v>
      </c>
      <c r="BX476" s="14">
        <v>2000</v>
      </c>
      <c r="BY476" s="14">
        <v>2500</v>
      </c>
      <c r="BZ476" s="14">
        <v>2500</v>
      </c>
      <c r="CA476" s="14">
        <v>5000</v>
      </c>
      <c r="CB476" s="12" t="s">
        <v>8208</v>
      </c>
      <c r="CD476" s="14"/>
      <c r="CE476" s="14"/>
      <c r="CF476" s="14"/>
      <c r="CG476" s="14"/>
      <c r="CH476" s="14"/>
      <c r="CI476" s="14"/>
      <c r="CJ476" s="12"/>
      <c r="CK476" s="14"/>
      <c r="CL476" s="16"/>
      <c r="CM476" s="14"/>
      <c r="CN476" s="12"/>
      <c r="CO476" s="14"/>
      <c r="CP476" s="16"/>
      <c r="CQ476" s="14"/>
      <c r="CR476" s="12"/>
      <c r="CS476" s="14"/>
      <c r="CT476" s="16"/>
      <c r="CU476" s="14"/>
      <c r="CV476" s="12"/>
      <c r="CW476" s="14"/>
      <c r="CX476" s="16"/>
      <c r="CY476" s="14"/>
      <c r="CZ476" s="12"/>
      <c r="DA476" s="14"/>
      <c r="DB476" s="16"/>
      <c r="DC476" s="14"/>
      <c r="DD476" s="12"/>
      <c r="DE476" s="14"/>
      <c r="DF476" s="16"/>
      <c r="DG476" s="14"/>
      <c r="DH476" s="12"/>
      <c r="DI476" s="14"/>
      <c r="DJ476" s="16"/>
      <c r="DK476" s="14"/>
      <c r="DL476" s="12"/>
      <c r="DM476" s="14"/>
      <c r="DN476" s="16"/>
      <c r="DO476" s="14"/>
      <c r="DP476" s="12"/>
      <c r="DQ476" s="14"/>
      <c r="DR476" s="16"/>
      <c r="DS476" s="14"/>
      <c r="DT476" s="12"/>
      <c r="DU476" s="14"/>
      <c r="DV476" s="16"/>
      <c r="DW476" s="14"/>
      <c r="DX476" s="12"/>
      <c r="DY476" s="14"/>
      <c r="DZ476" s="16"/>
      <c r="EA476" s="14"/>
      <c r="EB476" s="12"/>
      <c r="EC476" s="14"/>
      <c r="ED476" s="16"/>
      <c r="EE476" s="14"/>
      <c r="EF476" s="12"/>
      <c r="EG476" s="12"/>
      <c r="EH476" s="14"/>
      <c r="EI476" s="16"/>
      <c r="EJ476" s="14"/>
      <c r="EK476" s="14">
        <v>1600</v>
      </c>
      <c r="EL476" s="14">
        <v>840</v>
      </c>
      <c r="EM476" s="14">
        <v>2440</v>
      </c>
      <c r="EN476" s="14">
        <v>3000</v>
      </c>
      <c r="EO476" s="14">
        <v>1600</v>
      </c>
      <c r="EP476" s="14">
        <v>4600</v>
      </c>
      <c r="EQ476" s="12" t="s">
        <v>320</v>
      </c>
      <c r="ER476" s="14">
        <v>350</v>
      </c>
      <c r="ES476" s="16">
        <v>1</v>
      </c>
      <c r="ET476" s="14">
        <v>0</v>
      </c>
      <c r="EU476" s="11" t="s">
        <v>319</v>
      </c>
      <c r="EV476" s="14"/>
      <c r="EW476" s="16"/>
      <c r="EX476" s="14"/>
      <c r="EY476" s="12" t="s">
        <v>319</v>
      </c>
      <c r="EZ476" s="14"/>
      <c r="FA476" s="16"/>
      <c r="FB476" s="14"/>
      <c r="FC476" s="12" t="s">
        <v>319</v>
      </c>
      <c r="FD476" s="14"/>
      <c r="FE476" s="16"/>
      <c r="FF476" s="14"/>
      <c r="FG476" s="12" t="s">
        <v>320</v>
      </c>
      <c r="FH476" s="14">
        <v>1600</v>
      </c>
      <c r="FI476" s="16">
        <v>1</v>
      </c>
      <c r="FJ476" s="14">
        <v>3000</v>
      </c>
      <c r="FK476" s="12" t="s">
        <v>320</v>
      </c>
      <c r="FL476" s="14">
        <v>640</v>
      </c>
      <c r="FM476" s="16">
        <v>1</v>
      </c>
      <c r="FN476" s="14"/>
      <c r="FO476" s="12" t="s">
        <v>319</v>
      </c>
      <c r="FP476" s="14"/>
      <c r="FQ476" s="16"/>
      <c r="FR476" s="14"/>
      <c r="FS476" s="12" t="s">
        <v>320</v>
      </c>
      <c r="FT476" s="14">
        <v>420</v>
      </c>
      <c r="FU476" s="16">
        <v>1</v>
      </c>
      <c r="FV476" s="14">
        <v>1150</v>
      </c>
      <c r="FW476" s="11" t="s">
        <v>320</v>
      </c>
      <c r="FX476" s="14">
        <v>1244</v>
      </c>
      <c r="FY476" s="16">
        <v>0.33</v>
      </c>
      <c r="FZ476" s="14">
        <v>2345</v>
      </c>
      <c r="GA476" s="12" t="s">
        <v>319</v>
      </c>
      <c r="GB476" s="14"/>
      <c r="GC476" s="16"/>
      <c r="GD476" s="14"/>
      <c r="GE476" s="12" t="s">
        <v>319</v>
      </c>
      <c r="GF476" s="14"/>
      <c r="GG476" s="16"/>
      <c r="GH476" s="14"/>
      <c r="GI476" s="12" t="s">
        <v>319</v>
      </c>
      <c r="GJ476" s="14"/>
      <c r="GK476" s="16"/>
      <c r="GL476" s="14"/>
      <c r="GM476" s="11" t="s">
        <v>320</v>
      </c>
      <c r="GN476" s="14">
        <v>1055</v>
      </c>
      <c r="GO476" s="16">
        <v>1</v>
      </c>
      <c r="GP476" s="14">
        <v>1990</v>
      </c>
      <c r="GQ476" s="12" t="s">
        <v>320</v>
      </c>
      <c r="GR476" s="14">
        <v>420</v>
      </c>
      <c r="GS476" s="16">
        <v>1</v>
      </c>
      <c r="GT476" s="14">
        <v>790</v>
      </c>
      <c r="GU476" s="12" t="s">
        <v>319</v>
      </c>
      <c r="GV476" s="14"/>
      <c r="GW476" s="16"/>
      <c r="GX476" s="14"/>
      <c r="GY476" s="11" t="s">
        <v>320</v>
      </c>
      <c r="GZ476" s="14">
        <v>2440</v>
      </c>
      <c r="HA476" s="16">
        <v>0.65</v>
      </c>
      <c r="HB476" s="14">
        <v>3000</v>
      </c>
      <c r="HC476" s="12"/>
      <c r="HD476" s="12"/>
      <c r="HE476" s="14"/>
      <c r="HF476" s="16"/>
      <c r="HG476" s="14"/>
      <c r="HH476" s="12" t="s">
        <v>320</v>
      </c>
      <c r="HI476" s="12" t="s">
        <v>361</v>
      </c>
      <c r="HJ476" s="12">
        <v>2016</v>
      </c>
      <c r="HK476" s="12" t="s">
        <v>320</v>
      </c>
      <c r="HL476" s="12" t="s">
        <v>319</v>
      </c>
      <c r="HM476" s="12"/>
      <c r="HN476" s="12"/>
      <c r="HO476" s="12"/>
      <c r="HP476" s="12" t="s">
        <v>330</v>
      </c>
      <c r="HQ476" s="12" t="s">
        <v>320</v>
      </c>
      <c r="HR476" s="12" t="s">
        <v>319</v>
      </c>
      <c r="HS476" s="12" t="s">
        <v>320</v>
      </c>
      <c r="HT476" s="12" t="s">
        <v>319</v>
      </c>
      <c r="HU476" s="12" t="s">
        <v>320</v>
      </c>
      <c r="HV476" s="12" t="s">
        <v>319</v>
      </c>
      <c r="HW476" s="12" t="s">
        <v>319</v>
      </c>
      <c r="HX476" s="12"/>
      <c r="HY476" s="12"/>
      <c r="HZ476" s="12" t="s">
        <v>331</v>
      </c>
      <c r="IA476" s="12" t="s">
        <v>8209</v>
      </c>
      <c r="IB476" s="12" t="s">
        <v>396</v>
      </c>
      <c r="IC476" s="12" t="s">
        <v>8210</v>
      </c>
      <c r="ID476" s="12" t="s">
        <v>334</v>
      </c>
      <c r="IE476" s="12" t="s">
        <v>335</v>
      </c>
      <c r="IF476" s="12" t="s">
        <v>319</v>
      </c>
      <c r="IG476" s="12" t="s">
        <v>320</v>
      </c>
      <c r="IH476" s="12" t="s">
        <v>320</v>
      </c>
      <c r="II476" s="12" t="s">
        <v>320</v>
      </c>
      <c r="IJ476" s="12" t="str">
        <f t="shared" si="302"/>
        <v>1. Neutral</v>
      </c>
      <c r="IK476" s="12">
        <f t="shared" si="303"/>
        <v>3</v>
      </c>
      <c r="IL476" s="12" t="s">
        <v>336</v>
      </c>
      <c r="IM476" s="12" t="s">
        <v>319</v>
      </c>
      <c r="IN476" s="12" t="s">
        <v>320</v>
      </c>
      <c r="IO476" s="12" t="s">
        <v>320</v>
      </c>
      <c r="IP476" s="12" t="s">
        <v>320</v>
      </c>
      <c r="IQ476" s="12" t="str">
        <f t="shared" si="304"/>
        <v>2. Accommodating</v>
      </c>
      <c r="IR476" s="12">
        <f t="shared" si="305"/>
        <v>3</v>
      </c>
      <c r="IS476" s="12" t="s">
        <v>337</v>
      </c>
      <c r="IT476" s="12" t="s">
        <v>320</v>
      </c>
      <c r="IU476" s="12" t="s">
        <v>320</v>
      </c>
      <c r="IV476" s="12" t="s">
        <v>320</v>
      </c>
      <c r="IW476" s="11" t="str">
        <f t="shared" si="306"/>
        <v>2. Sensitive</v>
      </c>
      <c r="IX476" s="12">
        <f t="shared" si="307"/>
        <v>3</v>
      </c>
      <c r="IY476" s="11" t="s">
        <v>338</v>
      </c>
      <c r="IZ476" s="12" t="s">
        <v>457</v>
      </c>
      <c r="JA476" s="12">
        <v>8</v>
      </c>
      <c r="JB476" s="12" t="s">
        <v>687</v>
      </c>
      <c r="JC476" s="12" t="s">
        <v>433</v>
      </c>
      <c r="JD476" s="12" t="s">
        <v>623</v>
      </c>
      <c r="JE476" s="12" t="s">
        <v>340</v>
      </c>
      <c r="JF476" s="12" t="s">
        <v>8211</v>
      </c>
      <c r="JG476" s="12" t="s">
        <v>8212</v>
      </c>
      <c r="JH476" s="12" t="s">
        <v>8195</v>
      </c>
      <c r="JI476" s="12" t="s">
        <v>8196</v>
      </c>
      <c r="JJ476" s="12" t="s">
        <v>8213</v>
      </c>
      <c r="JK476" s="12" t="s">
        <v>8198</v>
      </c>
      <c r="JL476" s="12" t="s">
        <v>8199</v>
      </c>
      <c r="JM476" s="12" t="s">
        <v>8200</v>
      </c>
      <c r="JN476" s="12"/>
      <c r="JO476" s="12" t="s">
        <v>8214</v>
      </c>
      <c r="JP476" s="15">
        <f t="shared" si="308"/>
        <v>2440</v>
      </c>
      <c r="JQ476" s="15">
        <f t="shared" si="309"/>
        <v>4600</v>
      </c>
      <c r="JR476" s="279">
        <f t="shared" si="310"/>
        <v>1.8852459016393444</v>
      </c>
      <c r="JS476" s="17">
        <f t="shared" si="311"/>
        <v>0.65573770491803274</v>
      </c>
      <c r="JT476" s="18">
        <f t="shared" si="312"/>
        <v>0.65217391304347827</v>
      </c>
      <c r="JU476" s="280">
        <f t="shared" si="313"/>
        <v>1600</v>
      </c>
      <c r="JV476" s="280">
        <f t="shared" si="314"/>
        <v>3000</v>
      </c>
      <c r="JW476" s="319" t="str">
        <f t="shared" si="315"/>
        <v/>
      </c>
      <c r="JX476" s="15">
        <f t="shared" si="316"/>
        <v>0</v>
      </c>
      <c r="JY476" s="15">
        <f t="shared" si="317"/>
        <v>0</v>
      </c>
      <c r="JZ476" s="19" t="str">
        <f t="shared" si="318"/>
        <v/>
      </c>
      <c r="KA476" s="52">
        <f t="shared" si="319"/>
        <v>1</v>
      </c>
      <c r="KB476" s="15">
        <f t="shared" si="320"/>
        <v>1600</v>
      </c>
      <c r="KC476" s="15">
        <f t="shared" si="321"/>
        <v>3000</v>
      </c>
      <c r="KD476" s="20">
        <f t="shared" si="322"/>
        <v>1.875</v>
      </c>
      <c r="KE476" s="52">
        <f t="shared" si="323"/>
        <v>1</v>
      </c>
      <c r="KF476" s="15">
        <f t="shared" si="324"/>
        <v>420</v>
      </c>
      <c r="KG476" s="15">
        <f t="shared" si="325"/>
        <v>790</v>
      </c>
      <c r="KH476" s="21">
        <f t="shared" si="326"/>
        <v>1.8809523809523809</v>
      </c>
      <c r="KI476" s="52">
        <f t="shared" si="327"/>
        <v>1</v>
      </c>
      <c r="KJ476" s="15">
        <f t="shared" si="328"/>
        <v>420</v>
      </c>
      <c r="KK476" s="15">
        <f t="shared" si="329"/>
        <v>1150</v>
      </c>
      <c r="KL476" s="19">
        <f t="shared" si="330"/>
        <v>2.7380952380952381</v>
      </c>
      <c r="KM476" s="52">
        <f t="shared" si="331"/>
        <v>1</v>
      </c>
      <c r="KN476" s="22">
        <f t="shared" si="332"/>
        <v>2440</v>
      </c>
      <c r="KO476" s="22">
        <f t="shared" si="333"/>
        <v>3000</v>
      </c>
      <c r="KP476" s="19">
        <f t="shared" si="334"/>
        <v>1.2295081967213115</v>
      </c>
      <c r="KQ476" s="11" t="str">
        <f t="shared" si="335"/>
        <v>1. Neutral</v>
      </c>
      <c r="KR476" s="11" t="str">
        <f t="shared" si="336"/>
        <v>2. Accommodating</v>
      </c>
      <c r="KS476" s="11" t="str">
        <f t="shared" si="337"/>
        <v>2. Sensitive</v>
      </c>
      <c r="KT476" s="11" t="str">
        <f t="shared" si="338"/>
        <v>It tested new ways for fighting poverty and measured results of innovation</v>
      </c>
      <c r="KU476" s="11" t="str">
        <f t="shared" si="339"/>
        <v>Moderate advocacy</v>
      </c>
      <c r="KV476" s="11" t="str">
        <f t="shared" si="340"/>
        <v>It linked and worked with strategic alliances and partners to take tested and effective solutions to scale</v>
      </c>
      <c r="KW476" s="11" t="str">
        <f t="shared" si="341"/>
        <v>Morocco - AVEC Maroc</v>
      </c>
      <c r="KX476" s="11" t="str">
        <f t="shared" si="342"/>
        <v>AVEC Maroc</v>
      </c>
      <c r="KY476" s="11" t="str">
        <f t="shared" si="343"/>
        <v>Morocco</v>
      </c>
      <c r="KZ476" s="12">
        <v>476</v>
      </c>
    </row>
    <row r="477" spans="1:312" x14ac:dyDescent="0.3">
      <c r="A477" s="12" t="s">
        <v>8180</v>
      </c>
      <c r="B477" s="12" t="s">
        <v>602</v>
      </c>
      <c r="C477" s="12">
        <v>3643</v>
      </c>
      <c r="D477" s="12" t="s">
        <v>8240</v>
      </c>
      <c r="E477" s="277" t="str">
        <f t="shared" si="301"/>
        <v>Morocco</v>
      </c>
      <c r="F477" s="12"/>
      <c r="G477" s="12" t="s">
        <v>8216</v>
      </c>
      <c r="H477" s="12" t="s">
        <v>380</v>
      </c>
      <c r="I477" s="12" t="s">
        <v>517</v>
      </c>
      <c r="J477" s="281" t="s">
        <v>14578</v>
      </c>
      <c r="K477" s="12"/>
      <c r="L477" s="12"/>
      <c r="M477" s="12"/>
      <c r="N477" s="12"/>
      <c r="O477" s="12"/>
      <c r="P477" s="12"/>
      <c r="Q477" s="12"/>
      <c r="R477" s="12"/>
      <c r="S477" s="12"/>
      <c r="T477" s="12"/>
      <c r="U477" s="12"/>
      <c r="V477" s="12"/>
      <c r="W477" s="12"/>
      <c r="X477" s="12"/>
      <c r="Y477" s="12"/>
      <c r="Z477" s="12"/>
      <c r="AA477" s="12"/>
      <c r="AB477" s="12"/>
      <c r="AC477" s="12"/>
      <c r="AD477" s="12"/>
      <c r="BD477" s="13">
        <v>41699</v>
      </c>
      <c r="BE477" s="13">
        <v>42582</v>
      </c>
      <c r="BF477" s="13">
        <v>42735</v>
      </c>
      <c r="BG477" s="12" t="s">
        <v>312</v>
      </c>
      <c r="BH477" s="14">
        <v>131975.16</v>
      </c>
      <c r="BI477" s="12" t="s">
        <v>8241</v>
      </c>
      <c r="BJ477" s="12" t="s">
        <v>8242</v>
      </c>
      <c r="BK477" s="12" t="s">
        <v>8205</v>
      </c>
      <c r="BL477" s="12" t="s">
        <v>8243</v>
      </c>
      <c r="BM477" s="12" t="s">
        <v>8244</v>
      </c>
      <c r="BN477" s="12" t="s">
        <v>8245</v>
      </c>
      <c r="BO477" s="12" t="s">
        <v>319</v>
      </c>
      <c r="BP477" s="12" t="s">
        <v>320</v>
      </c>
      <c r="BQ477" s="12" t="s">
        <v>319</v>
      </c>
      <c r="BR477" s="12" t="s">
        <v>8246</v>
      </c>
      <c r="BS477" s="12" t="s">
        <v>357</v>
      </c>
      <c r="BT477" s="12" t="s">
        <v>8247</v>
      </c>
      <c r="BU477" s="12" t="s">
        <v>8248</v>
      </c>
      <c r="BV477" s="14">
        <v>775</v>
      </c>
      <c r="BW477" s="14">
        <v>820</v>
      </c>
      <c r="BX477" s="14">
        <v>1595</v>
      </c>
      <c r="BY477" s="14">
        <v>3875</v>
      </c>
      <c r="BZ477" s="14">
        <v>4100</v>
      </c>
      <c r="CA477" s="14">
        <v>7975</v>
      </c>
      <c r="CB477" s="12" t="s">
        <v>8249</v>
      </c>
      <c r="CD477" s="14"/>
      <c r="CE477" s="14"/>
      <c r="CF477" s="14"/>
      <c r="CG477" s="14"/>
      <c r="CH477" s="14"/>
      <c r="CI477" s="14"/>
      <c r="CJ477" s="12"/>
      <c r="CK477" s="14"/>
      <c r="CL477" s="16"/>
      <c r="CM477" s="14"/>
      <c r="CN477" s="12"/>
      <c r="CO477" s="14"/>
      <c r="CP477" s="16"/>
      <c r="CQ477" s="14"/>
      <c r="CR477" s="12"/>
      <c r="CS477" s="14"/>
      <c r="CT477" s="16"/>
      <c r="CU477" s="14"/>
      <c r="CV477" s="12"/>
      <c r="CW477" s="14"/>
      <c r="CX477" s="16"/>
      <c r="CY477" s="14"/>
      <c r="CZ477" s="12"/>
      <c r="DA477" s="14"/>
      <c r="DB477" s="16"/>
      <c r="DC477" s="14"/>
      <c r="DD477" s="12"/>
      <c r="DE477" s="14"/>
      <c r="DF477" s="16"/>
      <c r="DG477" s="14"/>
      <c r="DH477" s="12"/>
      <c r="DI477" s="14"/>
      <c r="DJ477" s="16"/>
      <c r="DK477" s="14"/>
      <c r="DL477" s="12"/>
      <c r="DM477" s="14"/>
      <c r="DN477" s="16"/>
      <c r="DO477" s="14"/>
      <c r="DP477" s="12"/>
      <c r="DQ477" s="14"/>
      <c r="DR477" s="16"/>
      <c r="DS477" s="14"/>
      <c r="DT477" s="12"/>
      <c r="DU477" s="14"/>
      <c r="DV477" s="16"/>
      <c r="DW477" s="14"/>
      <c r="DX477" s="12"/>
      <c r="DY477" s="14"/>
      <c r="DZ477" s="16"/>
      <c r="EA477" s="14"/>
      <c r="EB477" s="12"/>
      <c r="EC477" s="14"/>
      <c r="ED477" s="16"/>
      <c r="EE477" s="14"/>
      <c r="EF477" s="12"/>
      <c r="EG477" s="12"/>
      <c r="EH477" s="14"/>
      <c r="EI477" s="16"/>
      <c r="EJ477" s="14"/>
      <c r="EK477" s="14">
        <v>1480</v>
      </c>
      <c r="EL477" s="14">
        <v>2220</v>
      </c>
      <c r="EM477" s="14">
        <v>3700</v>
      </c>
      <c r="EN477" s="14">
        <v>296</v>
      </c>
      <c r="EO477" s="14">
        <v>444</v>
      </c>
      <c r="EP477" s="14">
        <v>740</v>
      </c>
      <c r="EQ477" s="12"/>
      <c r="ER477" s="14"/>
      <c r="ES477" s="16"/>
      <c r="ET477" s="14"/>
      <c r="EU477" s="12"/>
      <c r="EV477" s="14"/>
      <c r="EW477" s="16"/>
      <c r="EX477" s="14"/>
      <c r="EY477" s="12"/>
      <c r="EZ477" s="14"/>
      <c r="FA477" s="16"/>
      <c r="FB477" s="14"/>
      <c r="FC477" s="12"/>
      <c r="FD477" s="14"/>
      <c r="FE477" s="16"/>
      <c r="FF477" s="14"/>
      <c r="FG477" s="12"/>
      <c r="FH477" s="14"/>
      <c r="FI477" s="16"/>
      <c r="FJ477" s="14"/>
      <c r="FK477" s="12" t="s">
        <v>320</v>
      </c>
      <c r="FL477" s="14">
        <v>740</v>
      </c>
      <c r="FM477" s="16">
        <v>0.5</v>
      </c>
      <c r="FN477" s="14">
        <v>2960</v>
      </c>
      <c r="FO477" s="12"/>
      <c r="FP477" s="14"/>
      <c r="FQ477" s="16"/>
      <c r="FR477" s="14"/>
      <c r="FS477" s="12"/>
      <c r="FT477" s="14"/>
      <c r="FU477" s="16"/>
      <c r="FV477" s="14"/>
      <c r="FW477" s="11" t="s">
        <v>320</v>
      </c>
      <c r="FX477" s="14">
        <v>740</v>
      </c>
      <c r="FY477" s="16">
        <v>0.5</v>
      </c>
      <c r="FZ477" s="14">
        <v>2960</v>
      </c>
      <c r="GA477" s="12"/>
      <c r="GB477" s="14"/>
      <c r="GC477" s="16"/>
      <c r="GD477" s="14"/>
      <c r="GE477" s="12"/>
      <c r="GF477" s="14"/>
      <c r="GG477" s="16"/>
      <c r="GH477" s="14"/>
      <c r="GI477" s="12"/>
      <c r="GJ477" s="14"/>
      <c r="GK477" s="16"/>
      <c r="GL477" s="14"/>
      <c r="GM477" s="11" t="s">
        <v>320</v>
      </c>
      <c r="GN477" s="14">
        <v>740</v>
      </c>
      <c r="GO477" s="16">
        <v>0.5</v>
      </c>
      <c r="GP477" s="14">
        <v>2960</v>
      </c>
      <c r="GQ477" s="12"/>
      <c r="GR477" s="14"/>
      <c r="GS477" s="16"/>
      <c r="GT477" s="14"/>
      <c r="GU477" s="12"/>
      <c r="GV477" s="14"/>
      <c r="GW477" s="16"/>
      <c r="GX477" s="14"/>
      <c r="GY477" s="12"/>
      <c r="GZ477" s="14"/>
      <c r="HA477" s="16"/>
      <c r="HB477" s="14"/>
      <c r="HC477" s="12"/>
      <c r="HD477" s="12"/>
      <c r="HE477" s="14"/>
      <c r="HF477" s="16"/>
      <c r="HG477" s="14"/>
      <c r="HH477" s="12" t="s">
        <v>320</v>
      </c>
      <c r="HI477" s="12" t="s">
        <v>361</v>
      </c>
      <c r="HJ477" s="12">
        <v>2016</v>
      </c>
      <c r="HK477" s="12" t="s">
        <v>319</v>
      </c>
      <c r="HL477" s="12" t="s">
        <v>319</v>
      </c>
      <c r="HM477" s="12"/>
      <c r="HN477" s="12"/>
      <c r="HO477" s="12" t="s">
        <v>8250</v>
      </c>
      <c r="HP477" s="12" t="s">
        <v>330</v>
      </c>
      <c r="HQ477" s="12" t="s">
        <v>319</v>
      </c>
      <c r="HR477" s="12" t="s">
        <v>319</v>
      </c>
      <c r="HS477" s="12" t="s">
        <v>319</v>
      </c>
      <c r="HT477" s="12" t="s">
        <v>319</v>
      </c>
      <c r="HU477" s="12" t="s">
        <v>320</v>
      </c>
      <c r="HV477" s="12" t="s">
        <v>319</v>
      </c>
      <c r="HW477" s="12" t="s">
        <v>319</v>
      </c>
      <c r="HX477" s="12"/>
      <c r="HY477" s="12"/>
      <c r="HZ477" s="11" t="s">
        <v>394</v>
      </c>
      <c r="IA477" s="12" t="s">
        <v>8251</v>
      </c>
      <c r="IB477" s="12" t="s">
        <v>396</v>
      </c>
      <c r="IC477" s="12" t="s">
        <v>8252</v>
      </c>
      <c r="ID477" s="11" t="s">
        <v>364</v>
      </c>
      <c r="IE477" s="12" t="s">
        <v>335</v>
      </c>
      <c r="IF477" s="12" t="s">
        <v>319</v>
      </c>
      <c r="IG477" s="12" t="s">
        <v>320</v>
      </c>
      <c r="IH477" s="12" t="s">
        <v>320</v>
      </c>
      <c r="II477" s="12" t="s">
        <v>320</v>
      </c>
      <c r="IJ477" s="12" t="str">
        <f t="shared" si="302"/>
        <v>1. Neutral</v>
      </c>
      <c r="IK477" s="12">
        <f t="shared" si="303"/>
        <v>3</v>
      </c>
      <c r="IL477" s="12" t="s">
        <v>336</v>
      </c>
      <c r="IM477" s="12" t="s">
        <v>319</v>
      </c>
      <c r="IN477" s="12" t="s">
        <v>320</v>
      </c>
      <c r="IO477" s="12" t="s">
        <v>320</v>
      </c>
      <c r="IP477" s="12" t="s">
        <v>320</v>
      </c>
      <c r="IQ477" s="12" t="str">
        <f t="shared" si="304"/>
        <v>2. Accommodating</v>
      </c>
      <c r="IR477" s="12">
        <f t="shared" si="305"/>
        <v>3</v>
      </c>
      <c r="IS477" s="12" t="s">
        <v>456</v>
      </c>
      <c r="IT477" s="12" t="s">
        <v>319</v>
      </c>
      <c r="IU477" s="12" t="s">
        <v>319</v>
      </c>
      <c r="IV477" s="12" t="s">
        <v>320</v>
      </c>
      <c r="IW477" s="11" t="str">
        <f t="shared" si="306"/>
        <v>0. Harmful</v>
      </c>
      <c r="IX477" s="12">
        <f t="shared" si="307"/>
        <v>1</v>
      </c>
      <c r="IY477" s="11" t="s">
        <v>338</v>
      </c>
      <c r="IZ477" s="11" t="s">
        <v>527</v>
      </c>
      <c r="JA477" s="12">
        <v>50</v>
      </c>
      <c r="JB477" s="11" t="s">
        <v>433</v>
      </c>
      <c r="JC477" s="11" t="s">
        <v>624</v>
      </c>
      <c r="JD477" s="11" t="s">
        <v>687</v>
      </c>
      <c r="JE477" s="12" t="s">
        <v>340</v>
      </c>
      <c r="JF477" s="12" t="s">
        <v>8253</v>
      </c>
      <c r="JG477" s="12" t="s">
        <v>8254</v>
      </c>
      <c r="JH477" s="12" t="s">
        <v>8255</v>
      </c>
      <c r="JI477" s="12" t="s">
        <v>8256</v>
      </c>
      <c r="JJ477" s="12" t="s">
        <v>8257</v>
      </c>
      <c r="JK477" s="12" t="s">
        <v>8258</v>
      </c>
      <c r="JL477" s="12" t="s">
        <v>8259</v>
      </c>
      <c r="JM477" s="12" t="s">
        <v>8260</v>
      </c>
      <c r="JN477" s="12" t="s">
        <v>8261</v>
      </c>
      <c r="JO477" s="12" t="s">
        <v>8262</v>
      </c>
      <c r="JP477" s="15">
        <f t="shared" si="308"/>
        <v>3700</v>
      </c>
      <c r="JQ477" s="15">
        <f t="shared" si="309"/>
        <v>740</v>
      </c>
      <c r="JR477" s="279">
        <f t="shared" si="310"/>
        <v>0.2</v>
      </c>
      <c r="JS477" s="17">
        <f t="shared" si="311"/>
        <v>0.4</v>
      </c>
      <c r="JT477" s="18">
        <f t="shared" si="312"/>
        <v>0.4</v>
      </c>
      <c r="JU477" s="280">
        <f t="shared" si="313"/>
        <v>1480</v>
      </c>
      <c r="JV477" s="280">
        <f t="shared" si="314"/>
        <v>296</v>
      </c>
      <c r="JW477" s="319" t="str">
        <f t="shared" si="315"/>
        <v/>
      </c>
      <c r="JX477" s="15">
        <f t="shared" si="316"/>
        <v>0</v>
      </c>
      <c r="JY477" s="15">
        <f t="shared" si="317"/>
        <v>0</v>
      </c>
      <c r="JZ477" s="19" t="str">
        <f t="shared" si="318"/>
        <v/>
      </c>
      <c r="KA477" s="52" t="str">
        <f t="shared" si="319"/>
        <v/>
      </c>
      <c r="KB477" s="15">
        <f t="shared" si="320"/>
        <v>0</v>
      </c>
      <c r="KC477" s="15">
        <f t="shared" si="321"/>
        <v>0</v>
      </c>
      <c r="KD477" s="20" t="str">
        <f t="shared" si="322"/>
        <v/>
      </c>
      <c r="KE477" s="52" t="str">
        <f t="shared" si="323"/>
        <v/>
      </c>
      <c r="KF477" s="15">
        <f t="shared" si="324"/>
        <v>0</v>
      </c>
      <c r="KG477" s="15">
        <f t="shared" si="325"/>
        <v>0</v>
      </c>
      <c r="KH477" s="21" t="str">
        <f t="shared" si="326"/>
        <v/>
      </c>
      <c r="KI477" s="52" t="str">
        <f t="shared" si="327"/>
        <v/>
      </c>
      <c r="KJ477" s="15">
        <f t="shared" si="328"/>
        <v>0</v>
      </c>
      <c r="KK477" s="15">
        <f t="shared" si="329"/>
        <v>0</v>
      </c>
      <c r="KL477" s="19" t="str">
        <f t="shared" si="330"/>
        <v/>
      </c>
      <c r="KM477" s="52" t="str">
        <f t="shared" si="331"/>
        <v/>
      </c>
      <c r="KN477" s="22">
        <f t="shared" si="332"/>
        <v>0</v>
      </c>
      <c r="KO477" s="22">
        <f t="shared" si="333"/>
        <v>0</v>
      </c>
      <c r="KP477" s="19" t="str">
        <f t="shared" si="334"/>
        <v/>
      </c>
      <c r="KQ477" s="11" t="str">
        <f t="shared" si="335"/>
        <v>1. Neutral</v>
      </c>
      <c r="KR477" s="11" t="str">
        <f t="shared" si="336"/>
        <v>2. Accommodating</v>
      </c>
      <c r="KS477" s="11" t="str">
        <f t="shared" si="337"/>
        <v>0. Harmful</v>
      </c>
      <c r="KT477" s="11" t="str">
        <f t="shared" si="338"/>
        <v>It tested new ways for fighting poverty, but did not measure results of innovation</v>
      </c>
      <c r="KU477" s="11" t="str">
        <f t="shared" si="339"/>
        <v>Moderate advocacy</v>
      </c>
      <c r="KV477" s="11" t="str">
        <f t="shared" si="340"/>
        <v>It linked and worked with strategic alliances and partners to take tested and effective solutions to scale</v>
      </c>
      <c r="KW477" s="11" t="str">
        <f t="shared" si="341"/>
        <v>Morocco - Gouvernance Locale et Droits des Femmes (GLDF)</v>
      </c>
      <c r="KX477" s="11" t="str">
        <f t="shared" si="342"/>
        <v>Gouvernance Locale et Droits des Femmes (GLDF)</v>
      </c>
      <c r="KY477" s="11" t="str">
        <f t="shared" si="343"/>
        <v>Morocco</v>
      </c>
      <c r="KZ477" s="12">
        <v>477</v>
      </c>
    </row>
    <row r="478" spans="1:312" x14ac:dyDescent="0.3">
      <c r="A478" s="12" t="s">
        <v>8180</v>
      </c>
      <c r="B478" s="12" t="s">
        <v>602</v>
      </c>
      <c r="C478" s="12"/>
      <c r="D478" s="12" t="s">
        <v>8215</v>
      </c>
      <c r="E478" s="277" t="str">
        <f t="shared" si="301"/>
        <v>Morocco</v>
      </c>
      <c r="F478" s="12"/>
      <c r="G478" s="12" t="s">
        <v>714</v>
      </c>
      <c r="H478" s="11" t="s">
        <v>310</v>
      </c>
      <c r="I478" s="12" t="s">
        <v>2399</v>
      </c>
      <c r="J478" s="281" t="s">
        <v>14629</v>
      </c>
      <c r="K478" s="12"/>
      <c r="L478" s="12" t="s">
        <v>8216</v>
      </c>
      <c r="M478" s="12" t="s">
        <v>380</v>
      </c>
      <c r="N478" s="12" t="s">
        <v>952</v>
      </c>
      <c r="O478" s="12" t="s">
        <v>8217</v>
      </c>
      <c r="P478" s="12"/>
      <c r="Q478" s="12" t="s">
        <v>714</v>
      </c>
      <c r="R478" s="11" t="s">
        <v>489</v>
      </c>
      <c r="S478" s="12" t="s">
        <v>384</v>
      </c>
      <c r="T478" s="12" t="s">
        <v>8218</v>
      </c>
      <c r="U478" s="12"/>
      <c r="V478" s="12" t="s">
        <v>8216</v>
      </c>
      <c r="W478" s="11" t="s">
        <v>489</v>
      </c>
      <c r="X478" s="12" t="s">
        <v>384</v>
      </c>
      <c r="Y478" s="12" t="s">
        <v>5370</v>
      </c>
      <c r="Z478" s="12"/>
      <c r="AA478" s="12" t="s">
        <v>714</v>
      </c>
      <c r="AB478" s="11" t="s">
        <v>383</v>
      </c>
      <c r="AC478" s="12" t="s">
        <v>384</v>
      </c>
      <c r="AD478" s="12" t="s">
        <v>8219</v>
      </c>
      <c r="BD478" s="13">
        <v>42304</v>
      </c>
      <c r="BE478" s="13">
        <v>43399</v>
      </c>
      <c r="BF478" s="12"/>
      <c r="BG478" s="12" t="s">
        <v>312</v>
      </c>
      <c r="BH478" s="14">
        <v>1134836</v>
      </c>
      <c r="BI478" s="12" t="s">
        <v>8182</v>
      </c>
      <c r="BJ478" s="12" t="s">
        <v>8220</v>
      </c>
      <c r="BK478" s="12" t="s">
        <v>8221</v>
      </c>
      <c r="BL478" s="12" t="s">
        <v>8222</v>
      </c>
      <c r="BM478" s="12" t="s">
        <v>1834</v>
      </c>
      <c r="BN478" s="12" t="s">
        <v>8223</v>
      </c>
      <c r="BO478" s="12" t="s">
        <v>319</v>
      </c>
      <c r="BP478" s="12" t="s">
        <v>320</v>
      </c>
      <c r="BQ478" s="12" t="s">
        <v>319</v>
      </c>
      <c r="BR478" s="12" t="s">
        <v>8224</v>
      </c>
      <c r="BS478" s="12" t="s">
        <v>357</v>
      </c>
      <c r="BT478" s="12" t="s">
        <v>8225</v>
      </c>
      <c r="BU478" s="12" t="s">
        <v>8226</v>
      </c>
      <c r="BV478" s="14">
        <v>2297</v>
      </c>
      <c r="BW478" s="14">
        <v>2270</v>
      </c>
      <c r="BX478" s="14">
        <v>4567</v>
      </c>
      <c r="BY478" s="14">
        <v>9188</v>
      </c>
      <c r="BZ478" s="14">
        <v>9080</v>
      </c>
      <c r="CA478" s="14">
        <v>18268</v>
      </c>
      <c r="CB478" s="12" t="s">
        <v>8227</v>
      </c>
      <c r="CD478" s="14"/>
      <c r="CE478" s="14"/>
      <c r="CF478" s="14"/>
      <c r="CG478" s="14"/>
      <c r="CH478" s="14"/>
      <c r="CI478" s="14"/>
      <c r="CJ478" s="12"/>
      <c r="CK478" s="14"/>
      <c r="CL478" s="16"/>
      <c r="CM478" s="14"/>
      <c r="CN478" s="12"/>
      <c r="CO478" s="14"/>
      <c r="CP478" s="16"/>
      <c r="CQ478" s="14"/>
      <c r="CR478" s="12"/>
      <c r="CS478" s="14"/>
      <c r="CT478" s="16"/>
      <c r="CU478" s="14"/>
      <c r="CV478" s="12"/>
      <c r="CW478" s="14"/>
      <c r="CX478" s="16"/>
      <c r="CY478" s="14"/>
      <c r="CZ478" s="12"/>
      <c r="DA478" s="14"/>
      <c r="DB478" s="16"/>
      <c r="DC478" s="14"/>
      <c r="DD478" s="12"/>
      <c r="DE478" s="14"/>
      <c r="DF478" s="16"/>
      <c r="DG478" s="14"/>
      <c r="DH478" s="12"/>
      <c r="DI478" s="14"/>
      <c r="DJ478" s="16"/>
      <c r="DK478" s="14"/>
      <c r="DL478" s="12"/>
      <c r="DM478" s="14"/>
      <c r="DN478" s="16"/>
      <c r="DO478" s="14"/>
      <c r="DP478" s="12"/>
      <c r="DQ478" s="14"/>
      <c r="DR478" s="16"/>
      <c r="DS478" s="14"/>
      <c r="DT478" s="12"/>
      <c r="DU478" s="14"/>
      <c r="DV478" s="16"/>
      <c r="DW478" s="14"/>
      <c r="DX478" s="12"/>
      <c r="DY478" s="14"/>
      <c r="DZ478" s="16"/>
      <c r="EA478" s="14"/>
      <c r="EB478" s="12"/>
      <c r="EC478" s="14"/>
      <c r="ED478" s="16"/>
      <c r="EE478" s="14"/>
      <c r="EF478" s="12"/>
      <c r="EG478" s="12"/>
      <c r="EH478" s="14"/>
      <c r="EI478" s="16"/>
      <c r="EJ478" s="14"/>
      <c r="EK478" s="14">
        <v>1417</v>
      </c>
      <c r="EL478" s="14">
        <v>819</v>
      </c>
      <c r="EM478" s="14">
        <v>2236</v>
      </c>
      <c r="EN478" s="14">
        <v>5668</v>
      </c>
      <c r="EO478" s="14">
        <v>3276</v>
      </c>
      <c r="EP478" s="14">
        <v>8944</v>
      </c>
      <c r="EQ478" s="12" t="s">
        <v>319</v>
      </c>
      <c r="ER478" s="14"/>
      <c r="ES478" s="16"/>
      <c r="ET478" s="14"/>
      <c r="EU478" s="11" t="s">
        <v>319</v>
      </c>
      <c r="EV478" s="14"/>
      <c r="EW478" s="16"/>
      <c r="EX478" s="14"/>
      <c r="EY478" s="12" t="s">
        <v>319</v>
      </c>
      <c r="EZ478" s="14"/>
      <c r="FA478" s="16"/>
      <c r="FB478" s="14"/>
      <c r="FC478" s="12" t="s">
        <v>319</v>
      </c>
      <c r="FD478" s="14"/>
      <c r="FE478" s="16"/>
      <c r="FF478" s="14"/>
      <c r="FG478" s="12" t="s">
        <v>319</v>
      </c>
      <c r="FH478" s="14"/>
      <c r="FI478" s="16"/>
      <c r="FJ478" s="14"/>
      <c r="FK478" s="12" t="s">
        <v>320</v>
      </c>
      <c r="FL478" s="14">
        <v>2236</v>
      </c>
      <c r="FM478" s="16">
        <v>0.63</v>
      </c>
      <c r="FN478" s="14">
        <v>8944</v>
      </c>
      <c r="FO478" s="12" t="s">
        <v>319</v>
      </c>
      <c r="FP478" s="14"/>
      <c r="FQ478" s="16"/>
      <c r="FR478" s="14"/>
      <c r="FS478" s="12" t="s">
        <v>319</v>
      </c>
      <c r="FT478" s="14"/>
      <c r="FU478" s="16"/>
      <c r="FV478" s="14"/>
      <c r="FW478" s="12" t="s">
        <v>320</v>
      </c>
      <c r="FX478" s="14"/>
      <c r="FY478" s="16"/>
      <c r="FZ478" s="14"/>
      <c r="GA478" s="12" t="s">
        <v>319</v>
      </c>
      <c r="GB478" s="14"/>
      <c r="GC478" s="16"/>
      <c r="GD478" s="14"/>
      <c r="GE478" s="12" t="s">
        <v>319</v>
      </c>
      <c r="GF478" s="14"/>
      <c r="GG478" s="16"/>
      <c r="GH478" s="14"/>
      <c r="GI478" s="12" t="s">
        <v>319</v>
      </c>
      <c r="GJ478" s="14"/>
      <c r="GK478" s="16"/>
      <c r="GL478" s="14"/>
      <c r="GM478" s="11" t="s">
        <v>320</v>
      </c>
      <c r="GN478" s="14">
        <v>110</v>
      </c>
      <c r="GO478" s="16">
        <v>0.69</v>
      </c>
      <c r="GP478" s="14">
        <v>440</v>
      </c>
      <c r="GQ478" s="12" t="s">
        <v>319</v>
      </c>
      <c r="GR478" s="14"/>
      <c r="GS478" s="16"/>
      <c r="GT478" s="14"/>
      <c r="GU478" s="12" t="s">
        <v>320</v>
      </c>
      <c r="GV478" s="14">
        <v>1520</v>
      </c>
      <c r="GW478" s="16">
        <v>0.51</v>
      </c>
      <c r="GX478" s="14">
        <v>6080</v>
      </c>
      <c r="GY478" s="12" t="s">
        <v>319</v>
      </c>
      <c r="GZ478" s="14"/>
      <c r="HA478" s="16"/>
      <c r="HB478" s="14"/>
      <c r="HC478" s="12"/>
      <c r="HD478" s="12" t="s">
        <v>319</v>
      </c>
      <c r="HE478" s="14"/>
      <c r="HF478" s="16"/>
      <c r="HG478" s="14"/>
      <c r="HH478" s="12" t="s">
        <v>319</v>
      </c>
      <c r="HI478" s="12"/>
      <c r="HJ478" s="12"/>
      <c r="HK478" s="12" t="s">
        <v>319</v>
      </c>
      <c r="HL478" s="12" t="s">
        <v>319</v>
      </c>
      <c r="HM478" s="12"/>
      <c r="HN478" s="12"/>
      <c r="HO478" s="12" t="s">
        <v>8228</v>
      </c>
      <c r="HP478" s="12" t="s">
        <v>330</v>
      </c>
      <c r="HQ478" s="12" t="s">
        <v>319</v>
      </c>
      <c r="HR478" s="12" t="s">
        <v>319</v>
      </c>
      <c r="HS478" s="12" t="s">
        <v>320</v>
      </c>
      <c r="HT478" s="12" t="s">
        <v>320</v>
      </c>
      <c r="HU478" s="12" t="s">
        <v>320</v>
      </c>
      <c r="HV478" s="12" t="s">
        <v>319</v>
      </c>
      <c r="HW478" s="12" t="s">
        <v>319</v>
      </c>
      <c r="HX478" s="12" t="s">
        <v>319</v>
      </c>
      <c r="HY478" s="12"/>
      <c r="HZ478" s="11" t="s">
        <v>394</v>
      </c>
      <c r="IA478" s="12" t="s">
        <v>8229</v>
      </c>
      <c r="IB478" s="12" t="s">
        <v>396</v>
      </c>
      <c r="IC478" s="12" t="s">
        <v>8230</v>
      </c>
      <c r="ID478" s="11" t="s">
        <v>364</v>
      </c>
      <c r="IE478" s="12" t="s">
        <v>478</v>
      </c>
      <c r="IF478" s="12" t="s">
        <v>319</v>
      </c>
      <c r="IG478" s="12" t="s">
        <v>320</v>
      </c>
      <c r="IH478" s="12" t="s">
        <v>320</v>
      </c>
      <c r="II478" s="12" t="s">
        <v>320</v>
      </c>
      <c r="IJ478" s="12" t="str">
        <f t="shared" si="302"/>
        <v>3. Responsive</v>
      </c>
      <c r="IK478" s="12">
        <f t="shared" si="303"/>
        <v>3</v>
      </c>
      <c r="IL478" s="12" t="s">
        <v>336</v>
      </c>
      <c r="IM478" s="12" t="s">
        <v>320</v>
      </c>
      <c r="IN478" s="12" t="s">
        <v>320</v>
      </c>
      <c r="IO478" s="12" t="s">
        <v>320</v>
      </c>
      <c r="IP478" s="12" t="s">
        <v>320</v>
      </c>
      <c r="IQ478" s="12" t="str">
        <f t="shared" si="304"/>
        <v>2. Accommodating</v>
      </c>
      <c r="IR478" s="12">
        <f t="shared" si="305"/>
        <v>4</v>
      </c>
      <c r="IS478" s="12" t="s">
        <v>456</v>
      </c>
      <c r="IT478" s="12" t="s">
        <v>320</v>
      </c>
      <c r="IU478" s="12" t="s">
        <v>320</v>
      </c>
      <c r="IV478" s="12" t="s">
        <v>320</v>
      </c>
      <c r="IW478" s="11" t="str">
        <f t="shared" si="306"/>
        <v>0. Harmful</v>
      </c>
      <c r="IX478" s="12">
        <f t="shared" si="307"/>
        <v>3</v>
      </c>
      <c r="IY478" s="11" t="s">
        <v>338</v>
      </c>
      <c r="IZ478" s="11" t="s">
        <v>527</v>
      </c>
      <c r="JA478" s="12">
        <v>44</v>
      </c>
      <c r="JB478" s="11" t="s">
        <v>433</v>
      </c>
      <c r="JC478" s="12" t="s">
        <v>623</v>
      </c>
      <c r="JD478" s="11" t="s">
        <v>687</v>
      </c>
      <c r="JE478" s="12" t="s">
        <v>340</v>
      </c>
      <c r="JF478" s="12" t="s">
        <v>8231</v>
      </c>
      <c r="JG478" s="12" t="s">
        <v>8232</v>
      </c>
      <c r="JH478" s="12" t="s">
        <v>8233</v>
      </c>
      <c r="JI478" s="12" t="s">
        <v>8234</v>
      </c>
      <c r="JJ478" s="12" t="s">
        <v>8235</v>
      </c>
      <c r="JK478" s="12" t="s">
        <v>8236</v>
      </c>
      <c r="JL478" s="12" t="s">
        <v>8237</v>
      </c>
      <c r="JM478" s="12" t="s">
        <v>8238</v>
      </c>
      <c r="JN478" s="12" t="s">
        <v>8239</v>
      </c>
      <c r="JO478" s="12"/>
      <c r="JP478" s="15">
        <f t="shared" si="308"/>
        <v>2236</v>
      </c>
      <c r="JQ478" s="15">
        <f t="shared" si="309"/>
        <v>8944</v>
      </c>
      <c r="JR478" s="279">
        <f t="shared" si="310"/>
        <v>4</v>
      </c>
      <c r="JS478" s="17">
        <f t="shared" si="311"/>
        <v>0.63372093023255816</v>
      </c>
      <c r="JT478" s="18">
        <f t="shared" si="312"/>
        <v>0.63372093023255816</v>
      </c>
      <c r="JU478" s="280">
        <f t="shared" si="313"/>
        <v>1417</v>
      </c>
      <c r="JV478" s="280">
        <f t="shared" si="314"/>
        <v>5668</v>
      </c>
      <c r="JW478" s="319" t="str">
        <f t="shared" si="315"/>
        <v/>
      </c>
      <c r="JX478" s="15">
        <f t="shared" si="316"/>
        <v>0</v>
      </c>
      <c r="JY478" s="15">
        <f t="shared" si="317"/>
        <v>0</v>
      </c>
      <c r="JZ478" s="19" t="str">
        <f t="shared" si="318"/>
        <v/>
      </c>
      <c r="KA478" s="52">
        <f t="shared" si="319"/>
        <v>1</v>
      </c>
      <c r="KB478" s="15">
        <f t="shared" si="320"/>
        <v>1520</v>
      </c>
      <c r="KC478" s="15">
        <f t="shared" si="321"/>
        <v>6080</v>
      </c>
      <c r="KD478" s="20">
        <f t="shared" si="322"/>
        <v>4</v>
      </c>
      <c r="KE478" s="52" t="str">
        <f t="shared" si="323"/>
        <v/>
      </c>
      <c r="KF478" s="15">
        <f t="shared" si="324"/>
        <v>0</v>
      </c>
      <c r="KG478" s="15">
        <f t="shared" si="325"/>
        <v>0</v>
      </c>
      <c r="KH478" s="21" t="str">
        <f t="shared" si="326"/>
        <v/>
      </c>
      <c r="KI478" s="52" t="str">
        <f t="shared" si="327"/>
        <v/>
      </c>
      <c r="KJ478" s="15">
        <f t="shared" si="328"/>
        <v>0</v>
      </c>
      <c r="KK478" s="15">
        <f t="shared" si="329"/>
        <v>0</v>
      </c>
      <c r="KL478" s="19" t="str">
        <f t="shared" si="330"/>
        <v/>
      </c>
      <c r="KM478" s="52" t="str">
        <f t="shared" si="331"/>
        <v/>
      </c>
      <c r="KN478" s="22">
        <f t="shared" si="332"/>
        <v>0</v>
      </c>
      <c r="KO478" s="22">
        <f t="shared" si="333"/>
        <v>0</v>
      </c>
      <c r="KP478" s="19" t="str">
        <f t="shared" si="334"/>
        <v/>
      </c>
      <c r="KQ478" s="11" t="str">
        <f t="shared" si="335"/>
        <v>3. Responsive</v>
      </c>
      <c r="KR478" s="11" t="str">
        <f t="shared" si="336"/>
        <v>2. Accommodating</v>
      </c>
      <c r="KS478" s="11" t="str">
        <f t="shared" si="337"/>
        <v>0. Harmful</v>
      </c>
      <c r="KT478" s="11" t="str">
        <f t="shared" si="338"/>
        <v>It tested new ways for fighting poverty, but did not measure results of innovation</v>
      </c>
      <c r="KU478" s="11" t="str">
        <f t="shared" si="339"/>
        <v>Moderate advocacy</v>
      </c>
      <c r="KV478" s="11" t="str">
        <f t="shared" si="340"/>
        <v>It linked and worked with strategic alliances and partners to take tested and effective solutions to scale</v>
      </c>
      <c r="KW478" s="11" t="str">
        <f t="shared" si="341"/>
        <v>Morocco - REUSSIR : Renforcement de la qualité de l'éducation primaire et préscolaire au Maroc</v>
      </c>
      <c r="KX478" s="11" t="str">
        <f t="shared" si="342"/>
        <v>REUSSIR : Renforcement de la qualité de l'éducation primaire et préscolaire au Maroc</v>
      </c>
      <c r="KY478" s="11" t="str">
        <f t="shared" si="343"/>
        <v>Morocco</v>
      </c>
      <c r="KZ478" s="12">
        <v>478</v>
      </c>
    </row>
    <row r="479" spans="1:312" x14ac:dyDescent="0.3">
      <c r="A479" s="12" t="s">
        <v>8180</v>
      </c>
      <c r="B479" s="12" t="s">
        <v>602</v>
      </c>
      <c r="C479" s="12">
        <v>3641</v>
      </c>
      <c r="D479" s="12" t="s">
        <v>8215</v>
      </c>
      <c r="E479" s="277" t="str">
        <f t="shared" si="301"/>
        <v>Morocco</v>
      </c>
      <c r="F479" s="12"/>
      <c r="G479" s="12" t="s">
        <v>8216</v>
      </c>
      <c r="H479" s="12" t="s">
        <v>380</v>
      </c>
      <c r="I479" s="12" t="s">
        <v>952</v>
      </c>
      <c r="J479" s="281" t="s">
        <v>8263</v>
      </c>
      <c r="K479" s="12"/>
      <c r="L479" s="12"/>
      <c r="M479" s="12"/>
      <c r="N479" s="12"/>
      <c r="O479" s="12"/>
      <c r="P479" s="12"/>
      <c r="Q479" s="12"/>
      <c r="R479" s="12"/>
      <c r="S479" s="12"/>
      <c r="T479" s="12"/>
      <c r="U479" s="12"/>
      <c r="V479" s="12"/>
      <c r="W479" s="12"/>
      <c r="X479" s="12"/>
      <c r="Y479" s="12"/>
      <c r="Z479" s="12"/>
      <c r="AA479" s="12"/>
      <c r="AB479" s="12"/>
      <c r="AC479" s="12"/>
      <c r="AD479" s="12"/>
      <c r="BD479" s="13">
        <v>42304</v>
      </c>
      <c r="BE479" s="13">
        <v>43399</v>
      </c>
      <c r="BF479" s="12"/>
      <c r="BG479" s="12" t="s">
        <v>312</v>
      </c>
      <c r="BH479" s="14"/>
      <c r="BI479" s="12" t="s">
        <v>8182</v>
      </c>
      <c r="BJ479" s="12" t="s">
        <v>8220</v>
      </c>
      <c r="BK479" s="12" t="s">
        <v>8221</v>
      </c>
      <c r="BL479" s="12" t="s">
        <v>8222</v>
      </c>
      <c r="BM479" s="12" t="s">
        <v>1834</v>
      </c>
      <c r="BN479" s="12" t="s">
        <v>8223</v>
      </c>
      <c r="BO479" s="12" t="s">
        <v>319</v>
      </c>
      <c r="BP479" s="12" t="s">
        <v>320</v>
      </c>
      <c r="BQ479" s="12" t="s">
        <v>319</v>
      </c>
      <c r="BR479" s="12" t="s">
        <v>8224</v>
      </c>
      <c r="BS479" s="12" t="s">
        <v>357</v>
      </c>
      <c r="BT479" s="12" t="s">
        <v>8225</v>
      </c>
      <c r="BU479" s="12" t="s">
        <v>8226</v>
      </c>
      <c r="BV479" s="14">
        <v>2297</v>
      </c>
      <c r="BW479" s="14">
        <v>2270</v>
      </c>
      <c r="BX479" s="14">
        <v>4567</v>
      </c>
      <c r="BY479" s="14">
        <v>9188</v>
      </c>
      <c r="BZ479" s="14">
        <v>9080</v>
      </c>
      <c r="CA479" s="14">
        <v>18268</v>
      </c>
      <c r="CB479" s="12" t="s">
        <v>8227</v>
      </c>
      <c r="CD479" s="14"/>
      <c r="CE479" s="14"/>
      <c r="CF479" s="14"/>
      <c r="CG479" s="14"/>
      <c r="CH479" s="14"/>
      <c r="CI479" s="14"/>
      <c r="CJ479" s="12"/>
      <c r="CK479" s="14"/>
      <c r="CL479" s="16"/>
      <c r="CM479" s="14"/>
      <c r="CN479" s="12"/>
      <c r="CO479" s="14"/>
      <c r="CP479" s="16"/>
      <c r="CQ479" s="14"/>
      <c r="CR479" s="12"/>
      <c r="CS479" s="14"/>
      <c r="CT479" s="16"/>
      <c r="CU479" s="14"/>
      <c r="CV479" s="12"/>
      <c r="CW479" s="14"/>
      <c r="CX479" s="16"/>
      <c r="CY479" s="14"/>
      <c r="CZ479" s="12"/>
      <c r="DA479" s="14"/>
      <c r="DB479" s="16"/>
      <c r="DC479" s="14"/>
      <c r="DD479" s="12"/>
      <c r="DE479" s="14"/>
      <c r="DF479" s="16"/>
      <c r="DG479" s="14"/>
      <c r="DH479" s="12"/>
      <c r="DI479" s="14"/>
      <c r="DJ479" s="16"/>
      <c r="DK479" s="14"/>
      <c r="DL479" s="12"/>
      <c r="DM479" s="14"/>
      <c r="DN479" s="16"/>
      <c r="DO479" s="14"/>
      <c r="DP479" s="12"/>
      <c r="DQ479" s="14"/>
      <c r="DR479" s="16"/>
      <c r="DS479" s="14"/>
      <c r="DT479" s="12"/>
      <c r="DU479" s="14"/>
      <c r="DV479" s="16"/>
      <c r="DW479" s="14"/>
      <c r="DX479" s="12"/>
      <c r="DY479" s="14"/>
      <c r="DZ479" s="16"/>
      <c r="EA479" s="14"/>
      <c r="EB479" s="12"/>
      <c r="EC479" s="14"/>
      <c r="ED479" s="16"/>
      <c r="EE479" s="14"/>
      <c r="EF479" s="12"/>
      <c r="EG479" s="12"/>
      <c r="EH479" s="14"/>
      <c r="EI479" s="16"/>
      <c r="EJ479" s="14"/>
      <c r="EK479" s="14">
        <v>1417</v>
      </c>
      <c r="EL479" s="14">
        <v>819</v>
      </c>
      <c r="EM479" s="14">
        <v>2236</v>
      </c>
      <c r="EN479" s="14">
        <v>5668</v>
      </c>
      <c r="EO479" s="14">
        <v>3276</v>
      </c>
      <c r="EP479" s="14">
        <v>8944</v>
      </c>
      <c r="EQ479" s="12" t="s">
        <v>319</v>
      </c>
      <c r="ER479" s="14"/>
      <c r="ES479" s="16"/>
      <c r="ET479" s="14"/>
      <c r="EU479" s="11" t="s">
        <v>319</v>
      </c>
      <c r="EV479" s="14"/>
      <c r="EW479" s="16"/>
      <c r="EX479" s="14"/>
      <c r="EY479" s="12" t="s">
        <v>319</v>
      </c>
      <c r="EZ479" s="14"/>
      <c r="FA479" s="16"/>
      <c r="FB479" s="14"/>
      <c r="FC479" s="12" t="s">
        <v>319</v>
      </c>
      <c r="FD479" s="14"/>
      <c r="FE479" s="16"/>
      <c r="FF479" s="14"/>
      <c r="FG479" s="12" t="s">
        <v>319</v>
      </c>
      <c r="FH479" s="14"/>
      <c r="FI479" s="16"/>
      <c r="FJ479" s="14"/>
      <c r="FK479" s="12" t="s">
        <v>320</v>
      </c>
      <c r="FL479" s="14">
        <v>2236</v>
      </c>
      <c r="FM479" s="16">
        <v>0.63</v>
      </c>
      <c r="FN479" s="14">
        <v>8944</v>
      </c>
      <c r="FO479" s="12" t="s">
        <v>319</v>
      </c>
      <c r="FP479" s="14"/>
      <c r="FQ479" s="16"/>
      <c r="FR479" s="14"/>
      <c r="FS479" s="12" t="s">
        <v>319</v>
      </c>
      <c r="FT479" s="14"/>
      <c r="FU479" s="16"/>
      <c r="FV479" s="14"/>
      <c r="FW479" s="12" t="s">
        <v>320</v>
      </c>
      <c r="FX479" s="14"/>
      <c r="FY479" s="16"/>
      <c r="FZ479" s="14"/>
      <c r="GA479" s="12" t="s">
        <v>319</v>
      </c>
      <c r="GB479" s="14"/>
      <c r="GC479" s="16"/>
      <c r="GD479" s="14"/>
      <c r="GE479" s="12" t="s">
        <v>319</v>
      </c>
      <c r="GF479" s="14"/>
      <c r="GG479" s="16"/>
      <c r="GH479" s="14"/>
      <c r="GI479" s="12" t="s">
        <v>319</v>
      </c>
      <c r="GJ479" s="14"/>
      <c r="GK479" s="16"/>
      <c r="GL479" s="14"/>
      <c r="GM479" s="11" t="s">
        <v>320</v>
      </c>
      <c r="GN479" s="14">
        <v>110</v>
      </c>
      <c r="GO479" s="16">
        <v>0.69</v>
      </c>
      <c r="GP479" s="14">
        <v>440</v>
      </c>
      <c r="GQ479" s="12" t="s">
        <v>319</v>
      </c>
      <c r="GR479" s="14"/>
      <c r="GS479" s="16"/>
      <c r="GT479" s="14"/>
      <c r="GU479" s="12" t="s">
        <v>320</v>
      </c>
      <c r="GV479" s="14">
        <v>1520</v>
      </c>
      <c r="GW479" s="16">
        <v>0.51</v>
      </c>
      <c r="GX479" s="14">
        <v>6080</v>
      </c>
      <c r="GY479" s="12" t="s">
        <v>319</v>
      </c>
      <c r="GZ479" s="14"/>
      <c r="HA479" s="16"/>
      <c r="HB479" s="14"/>
      <c r="HC479" s="12"/>
      <c r="HD479" s="12" t="s">
        <v>319</v>
      </c>
      <c r="HE479" s="14"/>
      <c r="HF479" s="16"/>
      <c r="HG479" s="14"/>
      <c r="HH479" s="12" t="s">
        <v>319</v>
      </c>
      <c r="HI479" s="12"/>
      <c r="HJ479" s="12"/>
      <c r="HK479" s="12" t="s">
        <v>319</v>
      </c>
      <c r="HL479" s="12" t="s">
        <v>319</v>
      </c>
      <c r="HM479" s="12"/>
      <c r="HN479" s="12"/>
      <c r="HO479" s="12" t="s">
        <v>8228</v>
      </c>
      <c r="HP479" s="12" t="s">
        <v>330</v>
      </c>
      <c r="HQ479" s="12" t="s">
        <v>319</v>
      </c>
      <c r="HR479" s="12" t="s">
        <v>319</v>
      </c>
      <c r="HS479" s="12" t="s">
        <v>320</v>
      </c>
      <c r="HT479" s="12" t="s">
        <v>320</v>
      </c>
      <c r="HU479" s="12" t="s">
        <v>320</v>
      </c>
      <c r="HV479" s="12" t="s">
        <v>319</v>
      </c>
      <c r="HW479" s="12" t="s">
        <v>319</v>
      </c>
      <c r="HX479" s="12" t="s">
        <v>319</v>
      </c>
      <c r="HY479" s="12"/>
      <c r="HZ479" s="11" t="s">
        <v>394</v>
      </c>
      <c r="IA479" s="12" t="s">
        <v>8229</v>
      </c>
      <c r="IB479" s="12" t="s">
        <v>396</v>
      </c>
      <c r="IC479" s="12" t="s">
        <v>8230</v>
      </c>
      <c r="ID479" s="11" t="s">
        <v>364</v>
      </c>
      <c r="IE479" s="12" t="s">
        <v>478</v>
      </c>
      <c r="IF479" s="12" t="s">
        <v>319</v>
      </c>
      <c r="IG479" s="12" t="s">
        <v>320</v>
      </c>
      <c r="IH479" s="12" t="s">
        <v>320</v>
      </c>
      <c r="II479" s="12" t="s">
        <v>320</v>
      </c>
      <c r="IJ479" s="12" t="str">
        <f t="shared" si="302"/>
        <v>3. Responsive</v>
      </c>
      <c r="IK479" s="12">
        <f t="shared" si="303"/>
        <v>3</v>
      </c>
      <c r="IL479" s="12" t="s">
        <v>336</v>
      </c>
      <c r="IM479" s="12" t="s">
        <v>320</v>
      </c>
      <c r="IN479" s="12" t="s">
        <v>320</v>
      </c>
      <c r="IO479" s="12" t="s">
        <v>320</v>
      </c>
      <c r="IP479" s="12" t="s">
        <v>320</v>
      </c>
      <c r="IQ479" s="12" t="str">
        <f t="shared" si="304"/>
        <v>2. Accommodating</v>
      </c>
      <c r="IR479" s="12">
        <f t="shared" si="305"/>
        <v>4</v>
      </c>
      <c r="IS479" s="12" t="s">
        <v>456</v>
      </c>
      <c r="IT479" s="12" t="s">
        <v>320</v>
      </c>
      <c r="IU479" s="12" t="s">
        <v>320</v>
      </c>
      <c r="IV479" s="12" t="s">
        <v>320</v>
      </c>
      <c r="IW479" s="11" t="str">
        <f t="shared" si="306"/>
        <v>0. Harmful</v>
      </c>
      <c r="IX479" s="12">
        <f t="shared" si="307"/>
        <v>3</v>
      </c>
      <c r="IY479" s="11" t="s">
        <v>338</v>
      </c>
      <c r="IZ479" s="11" t="s">
        <v>527</v>
      </c>
      <c r="JA479" s="12">
        <v>44</v>
      </c>
      <c r="JB479" s="11" t="s">
        <v>433</v>
      </c>
      <c r="JC479" s="12" t="s">
        <v>623</v>
      </c>
      <c r="JD479" s="11" t="s">
        <v>687</v>
      </c>
      <c r="JE479" s="12" t="s">
        <v>340</v>
      </c>
      <c r="JF479" s="12" t="s">
        <v>8231</v>
      </c>
      <c r="JG479" s="12" t="s">
        <v>8232</v>
      </c>
      <c r="JH479" s="12" t="s">
        <v>8233</v>
      </c>
      <c r="JI479" s="12" t="s">
        <v>8234</v>
      </c>
      <c r="JJ479" s="12" t="s">
        <v>8235</v>
      </c>
      <c r="JK479" s="12" t="s">
        <v>8236</v>
      </c>
      <c r="JL479" s="12" t="s">
        <v>8237</v>
      </c>
      <c r="JM479" s="12" t="s">
        <v>8238</v>
      </c>
      <c r="JN479" s="12" t="s">
        <v>8264</v>
      </c>
      <c r="JO479" s="12"/>
      <c r="JP479" s="15">
        <f t="shared" si="308"/>
        <v>2236</v>
      </c>
      <c r="JQ479" s="15">
        <f t="shared" si="309"/>
        <v>8944</v>
      </c>
      <c r="JR479" s="279">
        <f t="shared" si="310"/>
        <v>4</v>
      </c>
      <c r="JS479" s="17">
        <f t="shared" si="311"/>
        <v>0.63372093023255816</v>
      </c>
      <c r="JT479" s="18">
        <f t="shared" si="312"/>
        <v>0.63372093023255816</v>
      </c>
      <c r="JU479" s="280">
        <f t="shared" si="313"/>
        <v>1417</v>
      </c>
      <c r="JV479" s="280">
        <f t="shared" si="314"/>
        <v>5668</v>
      </c>
      <c r="JW479" s="319" t="str">
        <f t="shared" si="315"/>
        <v/>
      </c>
      <c r="JX479" s="15">
        <f t="shared" si="316"/>
        <v>0</v>
      </c>
      <c r="JY479" s="15">
        <f t="shared" si="317"/>
        <v>0</v>
      </c>
      <c r="JZ479" s="19" t="str">
        <f t="shared" si="318"/>
        <v/>
      </c>
      <c r="KA479" s="52">
        <f t="shared" si="319"/>
        <v>1</v>
      </c>
      <c r="KB479" s="15">
        <f t="shared" si="320"/>
        <v>1520</v>
      </c>
      <c r="KC479" s="15">
        <f t="shared" si="321"/>
        <v>6080</v>
      </c>
      <c r="KD479" s="20">
        <f t="shared" si="322"/>
        <v>4</v>
      </c>
      <c r="KE479" s="52" t="str">
        <f t="shared" si="323"/>
        <v/>
      </c>
      <c r="KF479" s="15">
        <f t="shared" si="324"/>
        <v>0</v>
      </c>
      <c r="KG479" s="15">
        <f t="shared" si="325"/>
        <v>0</v>
      </c>
      <c r="KH479" s="21" t="str">
        <f t="shared" si="326"/>
        <v/>
      </c>
      <c r="KI479" s="52" t="str">
        <f t="shared" si="327"/>
        <v/>
      </c>
      <c r="KJ479" s="15">
        <f t="shared" si="328"/>
        <v>0</v>
      </c>
      <c r="KK479" s="15">
        <f t="shared" si="329"/>
        <v>0</v>
      </c>
      <c r="KL479" s="19" t="str">
        <f t="shared" si="330"/>
        <v/>
      </c>
      <c r="KM479" s="52" t="str">
        <f t="shared" si="331"/>
        <v/>
      </c>
      <c r="KN479" s="22">
        <f t="shared" si="332"/>
        <v>0</v>
      </c>
      <c r="KO479" s="22">
        <f t="shared" si="333"/>
        <v>0</v>
      </c>
      <c r="KP479" s="19" t="str">
        <f t="shared" si="334"/>
        <v/>
      </c>
      <c r="KQ479" s="11" t="str">
        <f t="shared" si="335"/>
        <v>3. Responsive</v>
      </c>
      <c r="KR479" s="11" t="str">
        <f t="shared" si="336"/>
        <v>2. Accommodating</v>
      </c>
      <c r="KS479" s="11" t="str">
        <f t="shared" si="337"/>
        <v>0. Harmful</v>
      </c>
      <c r="KT479" s="11" t="str">
        <f t="shared" si="338"/>
        <v>It tested new ways for fighting poverty, but did not measure results of innovation</v>
      </c>
      <c r="KU479" s="11" t="str">
        <f t="shared" si="339"/>
        <v>Moderate advocacy</v>
      </c>
      <c r="KV479" s="11" t="str">
        <f t="shared" si="340"/>
        <v>It linked and worked with strategic alliances and partners to take tested and effective solutions to scale</v>
      </c>
      <c r="KW479" s="11" t="str">
        <f t="shared" si="341"/>
        <v>Morocco - REUSSIR : Renforcement de la qualité de l'éducation primaire et préscolaire au Maroc</v>
      </c>
      <c r="KX479" s="11" t="str">
        <f t="shared" si="342"/>
        <v>REUSSIR : Renforcement de la qualité de l'éducation primaire et préscolaire au Maroc</v>
      </c>
      <c r="KY479" s="11" t="str">
        <f t="shared" si="343"/>
        <v>Morocco</v>
      </c>
      <c r="KZ479" s="12">
        <v>479</v>
      </c>
    </row>
    <row r="480" spans="1:312" x14ac:dyDescent="0.3">
      <c r="A480" s="12" t="s">
        <v>8265</v>
      </c>
      <c r="B480" s="12" t="s">
        <v>7217</v>
      </c>
      <c r="C480" s="12">
        <v>3152</v>
      </c>
      <c r="D480" s="12" t="s">
        <v>8364</v>
      </c>
      <c r="E480" s="277" t="str">
        <f t="shared" si="301"/>
        <v>Mozambique</v>
      </c>
      <c r="F480" s="12" t="s">
        <v>8365</v>
      </c>
      <c r="G480" s="12" t="s">
        <v>379</v>
      </c>
      <c r="H480" s="12" t="s">
        <v>383</v>
      </c>
      <c r="I480" s="12" t="s">
        <v>384</v>
      </c>
      <c r="J480" s="281" t="s">
        <v>14718</v>
      </c>
      <c r="K480" s="12" t="s">
        <v>8366</v>
      </c>
      <c r="L480" s="12" t="s">
        <v>379</v>
      </c>
      <c r="M480" s="12" t="s">
        <v>383</v>
      </c>
      <c r="N480" s="12" t="s">
        <v>384</v>
      </c>
      <c r="O480" s="12" t="s">
        <v>14719</v>
      </c>
      <c r="P480" s="12"/>
      <c r="Q480" s="12"/>
      <c r="R480" s="12"/>
      <c r="S480" s="12"/>
      <c r="T480" s="12"/>
      <c r="U480" s="12"/>
      <c r="V480" s="12"/>
      <c r="W480" s="12"/>
      <c r="X480" s="12"/>
      <c r="Y480" s="12"/>
      <c r="Z480" s="12"/>
      <c r="AA480" s="12"/>
      <c r="AB480" s="12"/>
      <c r="AC480" s="12"/>
      <c r="AD480" s="12"/>
      <c r="BD480" s="13">
        <v>41183</v>
      </c>
      <c r="BE480" s="13">
        <v>43281</v>
      </c>
      <c r="BF480" s="12"/>
      <c r="BG480" s="12" t="s">
        <v>312</v>
      </c>
      <c r="BH480" s="14">
        <v>2365786</v>
      </c>
      <c r="BI480" s="12" t="s">
        <v>8367</v>
      </c>
      <c r="BJ480" s="12" t="s">
        <v>8368</v>
      </c>
      <c r="BK480" s="12" t="s">
        <v>8369</v>
      </c>
      <c r="BL480" s="12" t="s">
        <v>8370</v>
      </c>
      <c r="BM480" s="12" t="s">
        <v>8371</v>
      </c>
      <c r="BN480" s="12" t="s">
        <v>8372</v>
      </c>
      <c r="BO480" s="12" t="s">
        <v>319</v>
      </c>
      <c r="BP480" s="12" t="s">
        <v>320</v>
      </c>
      <c r="BQ480" s="12" t="s">
        <v>319</v>
      </c>
      <c r="BR480" s="12" t="s">
        <v>8373</v>
      </c>
      <c r="BS480" s="12" t="s">
        <v>357</v>
      </c>
      <c r="BT480" s="12" t="s">
        <v>8374</v>
      </c>
      <c r="BU480" s="12" t="s">
        <v>8375</v>
      </c>
      <c r="BV480" s="14">
        <v>5925</v>
      </c>
      <c r="BW480" s="14">
        <v>4845</v>
      </c>
      <c r="BX480" s="14">
        <v>10770</v>
      </c>
      <c r="BY480" s="14">
        <v>29425</v>
      </c>
      <c r="BZ480" s="14">
        <v>24075</v>
      </c>
      <c r="CA480" s="14">
        <v>53500</v>
      </c>
      <c r="CB480" s="12" t="s">
        <v>8376</v>
      </c>
      <c r="CD480" s="14"/>
      <c r="CE480" s="14"/>
      <c r="CF480" s="14"/>
      <c r="CG480" s="14"/>
      <c r="CH480" s="14"/>
      <c r="CI480" s="14"/>
      <c r="CJ480" s="12"/>
      <c r="CK480" s="14"/>
      <c r="CL480" s="16"/>
      <c r="CM480" s="14"/>
      <c r="CN480" s="12"/>
      <c r="CO480" s="14"/>
      <c r="CP480" s="16"/>
      <c r="CQ480" s="14"/>
      <c r="CR480" s="12"/>
      <c r="CS480" s="14"/>
      <c r="CT480" s="16"/>
      <c r="CU480" s="14"/>
      <c r="CV480" s="12"/>
      <c r="CW480" s="14"/>
      <c r="CX480" s="16"/>
      <c r="CY480" s="14"/>
      <c r="CZ480" s="12"/>
      <c r="DA480" s="14"/>
      <c r="DB480" s="16"/>
      <c r="DC480" s="14"/>
      <c r="DD480" s="12"/>
      <c r="DE480" s="14"/>
      <c r="DF480" s="16"/>
      <c r="DG480" s="14"/>
      <c r="DH480" s="12"/>
      <c r="DI480" s="14"/>
      <c r="DJ480" s="16"/>
      <c r="DK480" s="14"/>
      <c r="DL480" s="12"/>
      <c r="DM480" s="14"/>
      <c r="DN480" s="16"/>
      <c r="DO480" s="14"/>
      <c r="DP480" s="12"/>
      <c r="DQ480" s="14"/>
      <c r="DR480" s="16"/>
      <c r="DS480" s="14"/>
      <c r="DT480" s="12"/>
      <c r="DU480" s="14"/>
      <c r="DV480" s="16"/>
      <c r="DW480" s="14"/>
      <c r="DX480" s="12"/>
      <c r="DY480" s="14"/>
      <c r="DZ480" s="16"/>
      <c r="EA480" s="14"/>
      <c r="EB480" s="12"/>
      <c r="EC480" s="14"/>
      <c r="ED480" s="16"/>
      <c r="EE480" s="14"/>
      <c r="EF480" s="12"/>
      <c r="EG480" s="12"/>
      <c r="EH480" s="14"/>
      <c r="EI480" s="16"/>
      <c r="EJ480" s="14"/>
      <c r="EK480" s="14">
        <v>5683</v>
      </c>
      <c r="EL480" s="14">
        <v>4650</v>
      </c>
      <c r="EM480" s="14">
        <v>10333</v>
      </c>
      <c r="EN480" s="14">
        <v>28415</v>
      </c>
      <c r="EO480" s="14">
        <v>23250</v>
      </c>
      <c r="EP480" s="14">
        <v>51665</v>
      </c>
      <c r="EQ480" s="12" t="s">
        <v>319</v>
      </c>
      <c r="ER480" s="14"/>
      <c r="ES480" s="16"/>
      <c r="ET480" s="14"/>
      <c r="EU480" s="11" t="s">
        <v>319</v>
      </c>
      <c r="EV480" s="14"/>
      <c r="EW480" s="16"/>
      <c r="EX480" s="14"/>
      <c r="EY480" s="12" t="s">
        <v>319</v>
      </c>
      <c r="EZ480" s="14"/>
      <c r="FA480" s="16"/>
      <c r="FB480" s="14"/>
      <c r="FC480" s="12" t="s">
        <v>319</v>
      </c>
      <c r="FD480" s="14"/>
      <c r="FE480" s="16"/>
      <c r="FF480" s="14"/>
      <c r="FG480" s="12" t="s">
        <v>319</v>
      </c>
      <c r="FH480" s="14"/>
      <c r="FI480" s="16"/>
      <c r="FJ480" s="14"/>
      <c r="FK480" s="12" t="s">
        <v>319</v>
      </c>
      <c r="FL480" s="14"/>
      <c r="FM480" s="16"/>
      <c r="FN480" s="14"/>
      <c r="FO480" s="12" t="s">
        <v>319</v>
      </c>
      <c r="FP480" s="14"/>
      <c r="FQ480" s="16"/>
      <c r="FR480" s="14"/>
      <c r="FS480" s="12" t="s">
        <v>319</v>
      </c>
      <c r="FT480" s="14"/>
      <c r="FU480" s="16"/>
      <c r="FV480" s="14"/>
      <c r="FW480" s="12" t="s">
        <v>319</v>
      </c>
      <c r="FX480" s="14"/>
      <c r="FY480" s="16"/>
      <c r="FZ480" s="14"/>
      <c r="GA480" s="12" t="s">
        <v>319</v>
      </c>
      <c r="GB480" s="14"/>
      <c r="GC480" s="16"/>
      <c r="GD480" s="14"/>
      <c r="GE480" s="12" t="s">
        <v>319</v>
      </c>
      <c r="GF480" s="14"/>
      <c r="GG480" s="16"/>
      <c r="GH480" s="14"/>
      <c r="GI480" s="12" t="s">
        <v>319</v>
      </c>
      <c r="GJ480" s="14"/>
      <c r="GK480" s="16"/>
      <c r="GL480" s="14"/>
      <c r="GM480" s="12" t="s">
        <v>319</v>
      </c>
      <c r="GN480" s="14"/>
      <c r="GO480" s="16"/>
      <c r="GP480" s="14"/>
      <c r="GQ480" s="12" t="s">
        <v>319</v>
      </c>
      <c r="GR480" s="14"/>
      <c r="GS480" s="16"/>
      <c r="GT480" s="14"/>
      <c r="GU480" s="12" t="s">
        <v>319</v>
      </c>
      <c r="GV480" s="14"/>
      <c r="GW480" s="16"/>
      <c r="GX480" s="14"/>
      <c r="GY480" s="12" t="s">
        <v>319</v>
      </c>
      <c r="GZ480" s="14"/>
      <c r="HA480" s="16"/>
      <c r="HB480" s="14"/>
      <c r="HC480" s="12" t="s">
        <v>8377</v>
      </c>
      <c r="HD480" s="12" t="s">
        <v>320</v>
      </c>
      <c r="HE480" s="14">
        <v>10333</v>
      </c>
      <c r="HF480" s="16">
        <v>0.54990000000000006</v>
      </c>
      <c r="HG480" s="14">
        <v>51665</v>
      </c>
      <c r="HH480" s="12" t="s">
        <v>320</v>
      </c>
      <c r="HI480" s="12" t="s">
        <v>522</v>
      </c>
      <c r="HJ480" s="12">
        <v>2016</v>
      </c>
      <c r="HK480" s="12" t="s">
        <v>320</v>
      </c>
      <c r="HL480" s="12" t="s">
        <v>320</v>
      </c>
      <c r="HM480" s="12" t="s">
        <v>560</v>
      </c>
      <c r="HN480" s="12">
        <v>2018</v>
      </c>
      <c r="HO480" s="12" t="s">
        <v>8378</v>
      </c>
      <c r="HP480" s="12" t="s">
        <v>330</v>
      </c>
      <c r="HQ480" s="12" t="s">
        <v>319</v>
      </c>
      <c r="HR480" s="12" t="s">
        <v>319</v>
      </c>
      <c r="HS480" s="12" t="s">
        <v>319</v>
      </c>
      <c r="HT480" s="12" t="s">
        <v>320</v>
      </c>
      <c r="HU480" s="12" t="s">
        <v>320</v>
      </c>
      <c r="HV480" s="12" t="s">
        <v>320</v>
      </c>
      <c r="HW480" s="12" t="s">
        <v>319</v>
      </c>
      <c r="HX480" s="12" t="s">
        <v>319</v>
      </c>
      <c r="HY480" s="12"/>
      <c r="HZ480" s="12" t="s">
        <v>363</v>
      </c>
      <c r="IA480" s="12"/>
      <c r="IB480" s="12" t="s">
        <v>333</v>
      </c>
      <c r="IC480" s="12"/>
      <c r="ID480" s="12" t="s">
        <v>364</v>
      </c>
      <c r="IE480" s="12" t="s">
        <v>335</v>
      </c>
      <c r="IF480" s="12" t="s">
        <v>320</v>
      </c>
      <c r="IG480" s="12" t="s">
        <v>320</v>
      </c>
      <c r="IH480" s="12" t="s">
        <v>320</v>
      </c>
      <c r="II480" s="12" t="s">
        <v>320</v>
      </c>
      <c r="IJ480" s="12" t="str">
        <f t="shared" si="302"/>
        <v>2. Sensitive</v>
      </c>
      <c r="IK480" s="12">
        <f t="shared" si="303"/>
        <v>4</v>
      </c>
      <c r="IL480" s="12" t="s">
        <v>336</v>
      </c>
      <c r="IM480" s="12" t="s">
        <v>320</v>
      </c>
      <c r="IN480" s="12" t="s">
        <v>320</v>
      </c>
      <c r="IO480" s="12" t="s">
        <v>320</v>
      </c>
      <c r="IP480" s="12" t="s">
        <v>320</v>
      </c>
      <c r="IQ480" s="12" t="str">
        <f t="shared" si="304"/>
        <v>2. Accommodating</v>
      </c>
      <c r="IR480" s="12">
        <f t="shared" si="305"/>
        <v>4</v>
      </c>
      <c r="IS480" s="12" t="s">
        <v>456</v>
      </c>
      <c r="IT480" s="12" t="s">
        <v>319</v>
      </c>
      <c r="IU480" s="12" t="s">
        <v>319</v>
      </c>
      <c r="IV480" s="12" t="s">
        <v>319</v>
      </c>
      <c r="IW480" s="11" t="str">
        <f t="shared" si="306"/>
        <v>0. Harmful</v>
      </c>
      <c r="IX480" s="12">
        <f t="shared" si="307"/>
        <v>0</v>
      </c>
      <c r="IY480" s="12" t="s">
        <v>338</v>
      </c>
      <c r="IZ480" s="12" t="s">
        <v>457</v>
      </c>
      <c r="JA480" s="12">
        <v>3</v>
      </c>
      <c r="JB480" s="12" t="s">
        <v>433</v>
      </c>
      <c r="JC480" s="12" t="s">
        <v>687</v>
      </c>
      <c r="JD480" s="12" t="s">
        <v>651</v>
      </c>
      <c r="JE480" s="12" t="s">
        <v>340</v>
      </c>
      <c r="JF480" s="12" t="s">
        <v>8379</v>
      </c>
      <c r="JG480" s="12" t="s">
        <v>8380</v>
      </c>
      <c r="JH480" s="12" t="s">
        <v>8381</v>
      </c>
      <c r="JI480" s="12" t="s">
        <v>8382</v>
      </c>
      <c r="JJ480" s="12"/>
      <c r="JK480" s="12" t="s">
        <v>8383</v>
      </c>
      <c r="JL480" s="12" t="s">
        <v>8384</v>
      </c>
      <c r="JM480" s="12"/>
      <c r="JN480" s="12" t="s">
        <v>8385</v>
      </c>
      <c r="JO480" s="12"/>
      <c r="JP480" s="15">
        <f t="shared" si="308"/>
        <v>10333</v>
      </c>
      <c r="JQ480" s="15">
        <f t="shared" si="309"/>
        <v>51665</v>
      </c>
      <c r="JR480" s="279">
        <f t="shared" si="310"/>
        <v>5</v>
      </c>
      <c r="JS480" s="17">
        <f t="shared" si="311"/>
        <v>0.54998548340269038</v>
      </c>
      <c r="JT480" s="18">
        <f t="shared" si="312"/>
        <v>0.54998548340269038</v>
      </c>
      <c r="JU480" s="280">
        <f t="shared" si="313"/>
        <v>5683</v>
      </c>
      <c r="JV480" s="280">
        <f t="shared" si="314"/>
        <v>28415</v>
      </c>
      <c r="JW480" s="319" t="str">
        <f t="shared" si="315"/>
        <v/>
      </c>
      <c r="JX480" s="15">
        <f t="shared" si="316"/>
        <v>0</v>
      </c>
      <c r="JY480" s="15">
        <f t="shared" si="317"/>
        <v>0</v>
      </c>
      <c r="JZ480" s="19" t="str">
        <f t="shared" si="318"/>
        <v/>
      </c>
      <c r="KA480" s="52" t="str">
        <f t="shared" si="319"/>
        <v/>
      </c>
      <c r="KB480" s="15">
        <f t="shared" si="320"/>
        <v>0</v>
      </c>
      <c r="KC480" s="15">
        <f t="shared" si="321"/>
        <v>0</v>
      </c>
      <c r="KD480" s="20" t="str">
        <f t="shared" si="322"/>
        <v/>
      </c>
      <c r="KE480" s="52" t="str">
        <f t="shared" si="323"/>
        <v/>
      </c>
      <c r="KF480" s="15">
        <f t="shared" si="324"/>
        <v>0</v>
      </c>
      <c r="KG480" s="15">
        <f t="shared" si="325"/>
        <v>0</v>
      </c>
      <c r="KH480" s="21" t="str">
        <f t="shared" si="326"/>
        <v/>
      </c>
      <c r="KI480" s="52" t="str">
        <f t="shared" si="327"/>
        <v/>
      </c>
      <c r="KJ480" s="15">
        <f t="shared" si="328"/>
        <v>0</v>
      </c>
      <c r="KK480" s="15">
        <f t="shared" si="329"/>
        <v>0</v>
      </c>
      <c r="KL480" s="19" t="str">
        <f t="shared" si="330"/>
        <v/>
      </c>
      <c r="KM480" s="52" t="str">
        <f t="shared" si="331"/>
        <v/>
      </c>
      <c r="KN480" s="22">
        <f t="shared" si="332"/>
        <v>0</v>
      </c>
      <c r="KO480" s="22">
        <f t="shared" si="333"/>
        <v>0</v>
      </c>
      <c r="KP480" s="19" t="str">
        <f t="shared" si="334"/>
        <v/>
      </c>
      <c r="KQ480" s="11" t="str">
        <f t="shared" si="335"/>
        <v>2. Sensitive</v>
      </c>
      <c r="KR480" s="11" t="str">
        <f t="shared" si="336"/>
        <v>2. Accommodating</v>
      </c>
      <c r="KS480" s="11" t="str">
        <f t="shared" si="337"/>
        <v>0. Harmful</v>
      </c>
      <c r="KT480" s="11" t="str">
        <f t="shared" si="338"/>
        <v>It did not develop any specific innovation</v>
      </c>
      <c r="KU480" s="11" t="str">
        <f t="shared" si="339"/>
        <v>Moderate advocacy</v>
      </c>
      <c r="KV480" s="11" t="str">
        <f t="shared" si="340"/>
        <v>It did not take tested solutions to scale</v>
      </c>
      <c r="KW480" s="11" t="str">
        <f t="shared" si="341"/>
        <v>Mozambique - ECD INITIATIVE</v>
      </c>
      <c r="KX480" s="11" t="str">
        <f t="shared" si="342"/>
        <v>ECD INITIATIVE</v>
      </c>
      <c r="KY480" s="11" t="str">
        <f t="shared" si="343"/>
        <v>Mozambique</v>
      </c>
      <c r="KZ480" s="287">
        <v>480</v>
      </c>
    </row>
    <row r="481" spans="1:312" x14ac:dyDescent="0.3">
      <c r="A481" s="12" t="s">
        <v>8265</v>
      </c>
      <c r="B481" s="12" t="s">
        <v>7217</v>
      </c>
      <c r="C481" s="12"/>
      <c r="D481" s="12" t="s">
        <v>8423</v>
      </c>
      <c r="E481" s="277" t="str">
        <f t="shared" si="301"/>
        <v>Mozambique</v>
      </c>
      <c r="F481" s="12" t="s">
        <v>8424</v>
      </c>
      <c r="G481" s="12" t="s">
        <v>608</v>
      </c>
      <c r="H481" s="12"/>
      <c r="I481" s="12"/>
      <c r="J481" s="281" t="s">
        <v>14720</v>
      </c>
      <c r="K481" s="12" t="s">
        <v>8425</v>
      </c>
      <c r="L481" s="12"/>
      <c r="M481" s="12"/>
      <c r="N481" s="12"/>
      <c r="O481" s="281" t="s">
        <v>9916</v>
      </c>
      <c r="P481" s="12" t="s">
        <v>8426</v>
      </c>
      <c r="Q481" s="12"/>
      <c r="R481" s="12"/>
      <c r="S481" s="12"/>
      <c r="T481" s="12" t="s">
        <v>9916</v>
      </c>
      <c r="U481" s="12" t="s">
        <v>8427</v>
      </c>
      <c r="V481" s="12"/>
      <c r="W481" s="12"/>
      <c r="X481" s="12"/>
      <c r="Y481" s="12" t="s">
        <v>8428</v>
      </c>
      <c r="Z481" s="12" t="s">
        <v>8429</v>
      </c>
      <c r="AA481" s="12"/>
      <c r="AB481" s="12"/>
      <c r="AC481" s="12"/>
      <c r="AD481" s="12" t="s">
        <v>8430</v>
      </c>
      <c r="BD481" s="13">
        <v>42522</v>
      </c>
      <c r="BE481" s="13">
        <v>43251</v>
      </c>
      <c r="BF481" s="12"/>
      <c r="BG481" s="12" t="s">
        <v>908</v>
      </c>
      <c r="BH481" s="14">
        <v>9841707.966</v>
      </c>
      <c r="BI481" s="12" t="s">
        <v>8431</v>
      </c>
      <c r="BJ481" s="12" t="s">
        <v>8432</v>
      </c>
      <c r="BK481" s="12" t="s">
        <v>8433</v>
      </c>
      <c r="BL481" s="12" t="s">
        <v>8434</v>
      </c>
      <c r="BM481" s="12" t="s">
        <v>1856</v>
      </c>
      <c r="BN481" s="12" t="s">
        <v>8435</v>
      </c>
      <c r="BO481" s="12" t="s">
        <v>320</v>
      </c>
      <c r="BP481" s="12" t="s">
        <v>319</v>
      </c>
      <c r="BQ481" s="12" t="s">
        <v>319</v>
      </c>
      <c r="BR481" s="12" t="s">
        <v>8436</v>
      </c>
      <c r="BS481" s="12" t="s">
        <v>357</v>
      </c>
      <c r="BT481" s="12" t="s">
        <v>8437</v>
      </c>
      <c r="BU481" s="12" t="s">
        <v>8438</v>
      </c>
      <c r="BV481" s="14"/>
      <c r="BW481" s="14"/>
      <c r="BX481" s="14"/>
      <c r="BY481" s="14"/>
      <c r="BZ481" s="14"/>
      <c r="CA481" s="14"/>
      <c r="CB481" s="12" t="s">
        <v>8439</v>
      </c>
      <c r="CD481" s="14">
        <v>119923</v>
      </c>
      <c r="CE481" s="14">
        <v>96936</v>
      </c>
      <c r="CF481" s="38">
        <v>216859</v>
      </c>
      <c r="CG481" s="14"/>
      <c r="CH481" s="14"/>
      <c r="CI481" s="14"/>
      <c r="CJ481" s="12" t="s">
        <v>319</v>
      </c>
      <c r="CK481" s="14"/>
      <c r="CL481" s="16"/>
      <c r="CM481" s="14"/>
      <c r="CN481" s="12" t="s">
        <v>319</v>
      </c>
      <c r="CO481" s="14"/>
      <c r="CP481" s="16"/>
      <c r="CQ481" s="14"/>
      <c r="CR481" s="12" t="s">
        <v>320</v>
      </c>
      <c r="CS481" s="14">
        <v>10000</v>
      </c>
      <c r="CT481" s="16">
        <v>0.55000000000000004</v>
      </c>
      <c r="CU481" s="14"/>
      <c r="CV481" s="12" t="s">
        <v>320</v>
      </c>
      <c r="CW481" s="14">
        <v>171230</v>
      </c>
      <c r="CX481" s="16">
        <v>0.55000000000000004</v>
      </c>
      <c r="CY481" s="14"/>
      <c r="CZ481" s="12" t="s">
        <v>319</v>
      </c>
      <c r="DA481" s="14"/>
      <c r="DB481" s="16"/>
      <c r="DC481" s="14"/>
      <c r="DD481" s="12" t="s">
        <v>319</v>
      </c>
      <c r="DE481" s="14"/>
      <c r="DF481" s="16"/>
      <c r="DG481" s="14"/>
      <c r="DH481" s="12" t="s">
        <v>320</v>
      </c>
      <c r="DI481" s="14">
        <v>10000</v>
      </c>
      <c r="DJ481" s="16">
        <v>0.55000000000000004</v>
      </c>
      <c r="DK481" s="14"/>
      <c r="DL481" s="11" t="s">
        <v>320</v>
      </c>
      <c r="DM481" s="14">
        <v>205265</v>
      </c>
      <c r="DN481" s="16">
        <v>0.55000000000000004</v>
      </c>
      <c r="DO481" s="14"/>
      <c r="DP481" s="12" t="s">
        <v>319</v>
      </c>
      <c r="DQ481" s="14"/>
      <c r="DR481" s="16"/>
      <c r="DS481" s="14"/>
      <c r="DT481" s="12" t="s">
        <v>320</v>
      </c>
      <c r="DU481" s="14">
        <v>25629</v>
      </c>
      <c r="DV481" s="16">
        <v>0.55000000000000004</v>
      </c>
      <c r="DW481" s="14"/>
      <c r="DX481" s="12" t="s">
        <v>320</v>
      </c>
      <c r="DY481" s="14">
        <v>25629</v>
      </c>
      <c r="DZ481" s="16"/>
      <c r="EA481" s="14"/>
      <c r="EB481" s="11" t="s">
        <v>320</v>
      </c>
      <c r="EC481" s="14">
        <v>45421</v>
      </c>
      <c r="ED481" s="16">
        <v>0.56999999999999995</v>
      </c>
      <c r="EE481" s="14"/>
      <c r="EF481" s="12"/>
      <c r="EG481" s="12"/>
      <c r="EH481" s="14"/>
      <c r="EI481" s="16"/>
      <c r="EJ481" s="14"/>
      <c r="EK481" s="14"/>
      <c r="EL481" s="14"/>
      <c r="EM481" s="14"/>
      <c r="EN481" s="14"/>
      <c r="EO481" s="14"/>
      <c r="EP481" s="14"/>
      <c r="EQ481" s="12"/>
      <c r="ER481" s="14"/>
      <c r="ES481" s="16"/>
      <c r="ET481" s="14"/>
      <c r="EU481" s="12"/>
      <c r="EV481" s="14"/>
      <c r="EW481" s="16"/>
      <c r="EX481" s="14"/>
      <c r="EY481" s="12"/>
      <c r="EZ481" s="14"/>
      <c r="FA481" s="16"/>
      <c r="FB481" s="14"/>
      <c r="FC481" s="12"/>
      <c r="FD481" s="14"/>
      <c r="FE481" s="16"/>
      <c r="FF481" s="14"/>
      <c r="FG481" s="12"/>
      <c r="FH481" s="14"/>
      <c r="FI481" s="16"/>
      <c r="FJ481" s="14"/>
      <c r="FK481" s="12"/>
      <c r="FL481" s="14"/>
      <c r="FM481" s="16"/>
      <c r="FN481" s="14"/>
      <c r="FO481" s="12"/>
      <c r="FP481" s="14"/>
      <c r="FQ481" s="16"/>
      <c r="FR481" s="14"/>
      <c r="FS481" s="12"/>
      <c r="FT481" s="14"/>
      <c r="FU481" s="16"/>
      <c r="FV481" s="14"/>
      <c r="FW481" s="12"/>
      <c r="FX481" s="14"/>
      <c r="FY481" s="16"/>
      <c r="FZ481" s="14"/>
      <c r="GA481" s="12"/>
      <c r="GB481" s="14"/>
      <c r="GC481" s="16"/>
      <c r="GD481" s="14"/>
      <c r="GE481" s="12"/>
      <c r="GF481" s="14"/>
      <c r="GG481" s="16"/>
      <c r="GH481" s="14"/>
      <c r="GI481" s="12"/>
      <c r="GJ481" s="14"/>
      <c r="GK481" s="16"/>
      <c r="GL481" s="14"/>
      <c r="GM481" s="12"/>
      <c r="GN481" s="14"/>
      <c r="GO481" s="16"/>
      <c r="GP481" s="14"/>
      <c r="GQ481" s="12"/>
      <c r="GR481" s="14"/>
      <c r="GS481" s="16"/>
      <c r="GT481" s="14"/>
      <c r="GU481" s="12"/>
      <c r="GV481" s="14"/>
      <c r="GW481" s="16"/>
      <c r="GX481" s="14"/>
      <c r="GY481" s="12"/>
      <c r="GZ481" s="14"/>
      <c r="HA481" s="16"/>
      <c r="HB481" s="14"/>
      <c r="HC481" s="12"/>
      <c r="HD481" s="12"/>
      <c r="HE481" s="14"/>
      <c r="HF481" s="16"/>
      <c r="HG481" s="14"/>
      <c r="HH481" s="12" t="s">
        <v>320</v>
      </c>
      <c r="HI481" s="12"/>
      <c r="HJ481" s="12"/>
      <c r="HK481" s="12" t="s">
        <v>319</v>
      </c>
      <c r="HL481" s="12" t="s">
        <v>320</v>
      </c>
      <c r="HM481" s="12" t="s">
        <v>328</v>
      </c>
      <c r="HN481" s="12">
        <v>2017</v>
      </c>
      <c r="HO481" s="12"/>
      <c r="HP481" s="12" t="s">
        <v>418</v>
      </c>
      <c r="HQ481" s="12" t="s">
        <v>319</v>
      </c>
      <c r="HR481" s="12" t="s">
        <v>319</v>
      </c>
      <c r="HS481" s="12" t="s">
        <v>319</v>
      </c>
      <c r="HT481" s="12" t="s">
        <v>320</v>
      </c>
      <c r="HU481" s="12" t="s">
        <v>319</v>
      </c>
      <c r="HV481" s="12" t="s">
        <v>319</v>
      </c>
      <c r="HW481" s="12" t="s">
        <v>319</v>
      </c>
      <c r="HX481" s="12"/>
      <c r="HY481" s="12"/>
      <c r="HZ481" s="12" t="s">
        <v>331</v>
      </c>
      <c r="IA481" s="12" t="s">
        <v>8440</v>
      </c>
      <c r="IB481" s="12" t="s">
        <v>396</v>
      </c>
      <c r="IC481" s="12"/>
      <c r="ID481" s="12" t="s">
        <v>334</v>
      </c>
      <c r="IE481" s="12" t="s">
        <v>478</v>
      </c>
      <c r="IF481" s="12" t="s">
        <v>320</v>
      </c>
      <c r="IG481" s="12" t="s">
        <v>320</v>
      </c>
      <c r="IH481" s="12" t="s">
        <v>320</v>
      </c>
      <c r="II481" s="12" t="s">
        <v>320</v>
      </c>
      <c r="IJ481" s="12" t="str">
        <f t="shared" si="302"/>
        <v>4. Transformative</v>
      </c>
      <c r="IK481" s="12">
        <f t="shared" si="303"/>
        <v>4</v>
      </c>
      <c r="IL481" s="12" t="s">
        <v>336</v>
      </c>
      <c r="IM481" s="12" t="s">
        <v>320</v>
      </c>
      <c r="IN481" s="12" t="s">
        <v>319</v>
      </c>
      <c r="IO481" s="12" t="s">
        <v>320</v>
      </c>
      <c r="IP481" s="12" t="s">
        <v>320</v>
      </c>
      <c r="IQ481" s="12" t="str">
        <f t="shared" si="304"/>
        <v>2. Accommodating</v>
      </c>
      <c r="IR481" s="12">
        <f t="shared" si="305"/>
        <v>3</v>
      </c>
      <c r="IS481" s="12" t="s">
        <v>622</v>
      </c>
      <c r="IT481" s="12" t="s">
        <v>320</v>
      </c>
      <c r="IU481" s="12" t="s">
        <v>320</v>
      </c>
      <c r="IV481" s="12" t="s">
        <v>320</v>
      </c>
      <c r="IW481" s="11" t="str">
        <f t="shared" si="306"/>
        <v>4. Transformative</v>
      </c>
      <c r="IX481" s="12">
        <f t="shared" si="307"/>
        <v>3</v>
      </c>
      <c r="IY481" s="12" t="s">
        <v>758</v>
      </c>
      <c r="IZ481" s="12" t="s">
        <v>457</v>
      </c>
      <c r="JA481" s="12">
        <v>2</v>
      </c>
      <c r="JB481" s="12" t="s">
        <v>687</v>
      </c>
      <c r="JC481" s="12" t="s">
        <v>433</v>
      </c>
      <c r="JD481" s="12"/>
      <c r="JE481" s="12" t="s">
        <v>365</v>
      </c>
      <c r="JF481" s="12"/>
      <c r="JG481" s="12"/>
      <c r="JH481" s="12" t="s">
        <v>8441</v>
      </c>
      <c r="JI481" s="12"/>
      <c r="JJ481" s="12"/>
      <c r="JK481" s="12"/>
      <c r="JL481" s="12"/>
      <c r="JM481" s="12" t="s">
        <v>8442</v>
      </c>
      <c r="JN481" s="12"/>
      <c r="JO481" s="12" t="s">
        <v>8443</v>
      </c>
      <c r="JP481" s="15">
        <f t="shared" si="308"/>
        <v>216859</v>
      </c>
      <c r="JQ481" s="15">
        <f t="shared" si="309"/>
        <v>0</v>
      </c>
      <c r="JR481" s="279">
        <f t="shared" si="310"/>
        <v>0</v>
      </c>
      <c r="JS481" s="17">
        <f t="shared" si="311"/>
        <v>0.55299987549513741</v>
      </c>
      <c r="JT481" s="18" t="str">
        <f t="shared" si="312"/>
        <v/>
      </c>
      <c r="JU481" s="280">
        <f t="shared" si="313"/>
        <v>119923</v>
      </c>
      <c r="JV481" s="280">
        <f t="shared" si="314"/>
        <v>0</v>
      </c>
      <c r="JW481" s="319">
        <f t="shared" si="315"/>
        <v>1</v>
      </c>
      <c r="JX481" s="15">
        <f t="shared" si="316"/>
        <v>216859</v>
      </c>
      <c r="JY481" s="15">
        <f t="shared" si="317"/>
        <v>0</v>
      </c>
      <c r="JZ481" s="19">
        <f t="shared" si="318"/>
        <v>0</v>
      </c>
      <c r="KA481" s="52">
        <f t="shared" si="319"/>
        <v>1</v>
      </c>
      <c r="KB481" s="15">
        <f t="shared" si="320"/>
        <v>205265</v>
      </c>
      <c r="KC481" s="15">
        <f t="shared" si="321"/>
        <v>0</v>
      </c>
      <c r="KD481" s="20">
        <f t="shared" si="322"/>
        <v>0</v>
      </c>
      <c r="KE481" s="52">
        <f t="shared" si="323"/>
        <v>1</v>
      </c>
      <c r="KF481" s="15">
        <f t="shared" si="324"/>
        <v>25629</v>
      </c>
      <c r="KG481" s="15">
        <f t="shared" si="325"/>
        <v>0</v>
      </c>
      <c r="KH481" s="21">
        <f t="shared" si="326"/>
        <v>0</v>
      </c>
      <c r="KI481" s="52" t="str">
        <f t="shared" si="327"/>
        <v/>
      </c>
      <c r="KJ481" s="15">
        <f t="shared" si="328"/>
        <v>0</v>
      </c>
      <c r="KK481" s="15">
        <f t="shared" si="329"/>
        <v>0</v>
      </c>
      <c r="KL481" s="19" t="str">
        <f t="shared" si="330"/>
        <v/>
      </c>
      <c r="KM481" s="52" t="str">
        <f t="shared" si="331"/>
        <v/>
      </c>
      <c r="KN481" s="22">
        <f t="shared" si="332"/>
        <v>0</v>
      </c>
      <c r="KO481" s="22">
        <f t="shared" si="333"/>
        <v>0</v>
      </c>
      <c r="KP481" s="19" t="str">
        <f t="shared" si="334"/>
        <v/>
      </c>
      <c r="KQ481" s="11" t="str">
        <f t="shared" si="335"/>
        <v>4. Transformative</v>
      </c>
      <c r="KR481" s="11" t="str">
        <f t="shared" si="336"/>
        <v>2. Accommodating</v>
      </c>
      <c r="KS481" s="11" t="str">
        <f t="shared" si="337"/>
        <v>4. Transformative</v>
      </c>
      <c r="KT481" s="11" t="str">
        <f t="shared" si="338"/>
        <v>It tested new ways for fighting poverty and measured results of innovation</v>
      </c>
      <c r="KU481" s="11" t="str">
        <f t="shared" si="339"/>
        <v>Little or no advocacy</v>
      </c>
      <c r="KV481" s="11" t="str">
        <f t="shared" si="340"/>
        <v>It linked and worked with strategic alliances and partners to take tested and effective solutions to scale</v>
      </c>
      <c r="KW481" s="11" t="str">
        <f t="shared" si="341"/>
        <v>Mozambique - Emergency Response: Drought and Cyclone</v>
      </c>
      <c r="KX481" s="11" t="str">
        <f t="shared" si="342"/>
        <v>Emergency Response: Drought and Cyclone</v>
      </c>
      <c r="KY481" s="11" t="str">
        <f t="shared" si="343"/>
        <v>Mozambique</v>
      </c>
      <c r="KZ481" s="287">
        <v>481</v>
      </c>
    </row>
    <row r="482" spans="1:312" x14ac:dyDescent="0.3">
      <c r="A482" s="12" t="s">
        <v>8265</v>
      </c>
      <c r="B482" s="12" t="s">
        <v>7217</v>
      </c>
      <c r="C482" s="12">
        <v>3147</v>
      </c>
      <c r="D482" s="12" t="s">
        <v>8333</v>
      </c>
      <c r="E482" s="277" t="str">
        <f t="shared" si="301"/>
        <v>Mozambique</v>
      </c>
      <c r="F482" s="12" t="s">
        <v>8334</v>
      </c>
      <c r="G482" s="12" t="s">
        <v>1738</v>
      </c>
      <c r="H482" s="12" t="s">
        <v>310</v>
      </c>
      <c r="I482" s="12" t="s">
        <v>2595</v>
      </c>
      <c r="J482" s="281" t="s">
        <v>14604</v>
      </c>
      <c r="K482" s="12"/>
      <c r="L482" s="12"/>
      <c r="M482" s="12"/>
      <c r="N482" s="12"/>
      <c r="O482" s="12"/>
      <c r="P482" s="12"/>
      <c r="Q482" s="12"/>
      <c r="R482" s="12"/>
      <c r="S482" s="12"/>
      <c r="T482" s="12"/>
      <c r="U482" s="12"/>
      <c r="V482" s="12"/>
      <c r="W482" s="12"/>
      <c r="X482" s="12"/>
      <c r="Y482" s="12"/>
      <c r="Z482" s="12"/>
      <c r="AA482" s="12"/>
      <c r="AB482" s="12"/>
      <c r="AC482" s="12"/>
      <c r="AD482" s="12"/>
      <c r="BD482" s="13">
        <v>42035</v>
      </c>
      <c r="BE482" s="13">
        <v>43100</v>
      </c>
      <c r="BF482" s="13">
        <v>43220</v>
      </c>
      <c r="BG482" s="12" t="s">
        <v>749</v>
      </c>
      <c r="BH482" s="14">
        <v>3763499.9805000001</v>
      </c>
      <c r="BI482" s="12" t="s">
        <v>8335</v>
      </c>
      <c r="BJ482" s="12" t="s">
        <v>354</v>
      </c>
      <c r="BK482" s="12" t="s">
        <v>8336</v>
      </c>
      <c r="BL482" s="12" t="s">
        <v>8337</v>
      </c>
      <c r="BM482" s="12" t="s">
        <v>444</v>
      </c>
      <c r="BN482" s="12" t="s">
        <v>8338</v>
      </c>
      <c r="BO482" s="11" t="s">
        <v>319</v>
      </c>
      <c r="BP482" s="11" t="s">
        <v>320</v>
      </c>
      <c r="BQ482" s="11" t="s">
        <v>319</v>
      </c>
      <c r="BR482" s="12" t="s">
        <v>8339</v>
      </c>
      <c r="BS482" s="12" t="s">
        <v>357</v>
      </c>
      <c r="BT482" s="12" t="s">
        <v>8340</v>
      </c>
      <c r="BU482" s="12" t="s">
        <v>8341</v>
      </c>
      <c r="BV482" s="14">
        <v>19152</v>
      </c>
      <c r="BW482" s="14">
        <v>13568</v>
      </c>
      <c r="BX482" s="14">
        <v>32720</v>
      </c>
      <c r="BY482" s="14">
        <v>95760</v>
      </c>
      <c r="BZ482" s="14">
        <v>67840</v>
      </c>
      <c r="CA482" s="14">
        <v>163600</v>
      </c>
      <c r="CB482" s="12" t="s">
        <v>8342</v>
      </c>
      <c r="CD482" s="14"/>
      <c r="CE482" s="14"/>
      <c r="CF482" s="14"/>
      <c r="CG482" s="14"/>
      <c r="CH482" s="14"/>
      <c r="CI482" s="14"/>
      <c r="CJ482" s="12"/>
      <c r="CK482" s="14"/>
      <c r="CL482" s="16"/>
      <c r="CM482" s="14"/>
      <c r="CN482" s="12"/>
      <c r="CO482" s="14"/>
      <c r="CP482" s="16"/>
      <c r="CQ482" s="14"/>
      <c r="CR482" s="12"/>
      <c r="CS482" s="14"/>
      <c r="CT482" s="16"/>
      <c r="CU482" s="14"/>
      <c r="CV482" s="12"/>
      <c r="CW482" s="14"/>
      <c r="CX482" s="16"/>
      <c r="CY482" s="14"/>
      <c r="CZ482" s="12"/>
      <c r="DA482" s="14"/>
      <c r="DB482" s="16"/>
      <c r="DC482" s="14"/>
      <c r="DD482" s="12"/>
      <c r="DE482" s="14"/>
      <c r="DF482" s="16"/>
      <c r="DG482" s="14"/>
      <c r="DH482" s="12"/>
      <c r="DI482" s="14"/>
      <c r="DJ482" s="16"/>
      <c r="DK482" s="14"/>
      <c r="DL482" s="12"/>
      <c r="DM482" s="14"/>
      <c r="DN482" s="16"/>
      <c r="DO482" s="14"/>
      <c r="DP482" s="12"/>
      <c r="DQ482" s="14"/>
      <c r="DR482" s="16"/>
      <c r="DS482" s="14"/>
      <c r="DT482" s="12"/>
      <c r="DU482" s="14"/>
      <c r="DV482" s="16"/>
      <c r="DW482" s="14"/>
      <c r="DX482" s="12"/>
      <c r="DY482" s="14"/>
      <c r="DZ482" s="16"/>
      <c r="EA482" s="14"/>
      <c r="EB482" s="12"/>
      <c r="EC482" s="14"/>
      <c r="ED482" s="16"/>
      <c r="EE482" s="14"/>
      <c r="EF482" s="12"/>
      <c r="EG482" s="12"/>
      <c r="EH482" s="14"/>
      <c r="EI482" s="16"/>
      <c r="EJ482" s="14"/>
      <c r="EK482" s="14">
        <v>19152</v>
      </c>
      <c r="EL482" s="14">
        <v>13568</v>
      </c>
      <c r="EM482" s="14">
        <v>32720</v>
      </c>
      <c r="EN482" s="14">
        <v>95760</v>
      </c>
      <c r="EO482" s="14">
        <v>67840</v>
      </c>
      <c r="EP482" s="14">
        <v>163600</v>
      </c>
      <c r="EQ482" s="12" t="s">
        <v>320</v>
      </c>
      <c r="ER482" s="14">
        <v>7305</v>
      </c>
      <c r="ES482" s="16">
        <v>0.47399999999999998</v>
      </c>
      <c r="ET482" s="14">
        <v>36525</v>
      </c>
      <c r="EU482" s="11" t="s">
        <v>320</v>
      </c>
      <c r="EV482" s="14">
        <v>12111</v>
      </c>
      <c r="EW482" s="16">
        <v>0.34300000000000003</v>
      </c>
      <c r="EX482" s="14">
        <v>60555</v>
      </c>
      <c r="EY482" s="12" t="s">
        <v>319</v>
      </c>
      <c r="EZ482" s="14"/>
      <c r="FA482" s="16"/>
      <c r="FB482" s="14"/>
      <c r="FC482" s="12" t="s">
        <v>319</v>
      </c>
      <c r="FD482" s="14"/>
      <c r="FE482" s="16"/>
      <c r="FF482" s="14"/>
      <c r="FG482" s="12" t="s">
        <v>319</v>
      </c>
      <c r="FH482" s="14"/>
      <c r="FI482" s="16"/>
      <c r="FJ482" s="14"/>
      <c r="FK482" s="12" t="s">
        <v>319</v>
      </c>
      <c r="FL482" s="14"/>
      <c r="FM482" s="16"/>
      <c r="FN482" s="14"/>
      <c r="FO482" s="12" t="s">
        <v>320</v>
      </c>
      <c r="FP482" s="14">
        <v>2788</v>
      </c>
      <c r="FQ482" s="16">
        <v>0.628</v>
      </c>
      <c r="FR482" s="14">
        <v>13940</v>
      </c>
      <c r="FS482" s="12" t="s">
        <v>320</v>
      </c>
      <c r="FT482" s="14">
        <v>550</v>
      </c>
      <c r="FU482" s="16">
        <v>0.60699999999999998</v>
      </c>
      <c r="FV482" s="14">
        <v>2750</v>
      </c>
      <c r="FW482" s="12" t="s">
        <v>319</v>
      </c>
      <c r="FX482" s="14"/>
      <c r="FY482" s="16"/>
      <c r="FZ482" s="14"/>
      <c r="GA482" s="12" t="s">
        <v>319</v>
      </c>
      <c r="GB482" s="14"/>
      <c r="GC482" s="16"/>
      <c r="GD482" s="14"/>
      <c r="GE482" s="12" t="s">
        <v>319</v>
      </c>
      <c r="GF482" s="14"/>
      <c r="GG482" s="16"/>
      <c r="GH482" s="14"/>
      <c r="GI482" s="12" t="s">
        <v>319</v>
      </c>
      <c r="GJ482" s="14"/>
      <c r="GK482" s="16"/>
      <c r="GL482" s="14"/>
      <c r="GM482" s="11" t="s">
        <v>320</v>
      </c>
      <c r="GN482" s="14">
        <v>425</v>
      </c>
      <c r="GO482" s="16">
        <v>9.6000000000000002E-2</v>
      </c>
      <c r="GP482" s="14">
        <v>2125</v>
      </c>
      <c r="GQ482" s="12" t="s">
        <v>319</v>
      </c>
      <c r="GR482" s="14"/>
      <c r="GS482" s="16"/>
      <c r="GT482" s="14"/>
      <c r="GU482" s="12" t="s">
        <v>319</v>
      </c>
      <c r="GV482" s="14"/>
      <c r="GW482" s="16"/>
      <c r="GX482" s="14"/>
      <c r="GY482" s="11" t="s">
        <v>320</v>
      </c>
      <c r="GZ482" s="14">
        <v>3535</v>
      </c>
      <c r="HA482" s="16">
        <v>0.61299999999999999</v>
      </c>
      <c r="HB482" s="14">
        <v>17675</v>
      </c>
      <c r="HC482" s="12"/>
      <c r="HD482" s="12"/>
      <c r="HE482" s="14"/>
      <c r="HF482" s="16"/>
      <c r="HG482" s="14"/>
      <c r="HH482" s="12" t="s">
        <v>320</v>
      </c>
      <c r="HI482" s="12" t="s">
        <v>327</v>
      </c>
      <c r="HJ482" s="12">
        <v>2016</v>
      </c>
      <c r="HK482" s="12" t="s">
        <v>320</v>
      </c>
      <c r="HL482" s="12" t="s">
        <v>320</v>
      </c>
      <c r="HM482" s="12" t="s">
        <v>327</v>
      </c>
      <c r="HN482" s="12">
        <v>2017</v>
      </c>
      <c r="HO482" s="12" t="s">
        <v>8343</v>
      </c>
      <c r="HP482" s="12" t="s">
        <v>418</v>
      </c>
      <c r="HQ482" s="12"/>
      <c r="HR482" s="12"/>
      <c r="HS482" s="12"/>
      <c r="HT482" s="12"/>
      <c r="HU482" s="12"/>
      <c r="HV482" s="12"/>
      <c r="HW482" s="12"/>
      <c r="HX482" s="12" t="s">
        <v>320</v>
      </c>
      <c r="HY482" s="12" t="s">
        <v>8344</v>
      </c>
      <c r="HZ482" s="12" t="s">
        <v>331</v>
      </c>
      <c r="IA482" s="12" t="s">
        <v>8345</v>
      </c>
      <c r="IB482" s="12" t="s">
        <v>396</v>
      </c>
      <c r="IC482" s="12" t="s">
        <v>8346</v>
      </c>
      <c r="ID482" s="12" t="s">
        <v>477</v>
      </c>
      <c r="IE482" s="12" t="s">
        <v>478</v>
      </c>
      <c r="IF482" s="12" t="s">
        <v>320</v>
      </c>
      <c r="IG482" s="12" t="s">
        <v>319</v>
      </c>
      <c r="IH482" s="12" t="s">
        <v>320</v>
      </c>
      <c r="II482" s="12" t="s">
        <v>320</v>
      </c>
      <c r="IJ482" s="12" t="str">
        <f t="shared" si="302"/>
        <v>3. Responsive</v>
      </c>
      <c r="IK482" s="12">
        <f t="shared" si="303"/>
        <v>3</v>
      </c>
      <c r="IL482" s="12" t="s">
        <v>336</v>
      </c>
      <c r="IM482" s="12" t="s">
        <v>320</v>
      </c>
      <c r="IN482" s="12" t="s">
        <v>319</v>
      </c>
      <c r="IO482" s="12" t="s">
        <v>320</v>
      </c>
      <c r="IP482" s="12" t="s">
        <v>319</v>
      </c>
      <c r="IQ482" s="12" t="str">
        <f t="shared" si="304"/>
        <v>1. Tokenistic</v>
      </c>
      <c r="IR482" s="12">
        <f t="shared" si="305"/>
        <v>2</v>
      </c>
      <c r="IS482" s="12" t="s">
        <v>337</v>
      </c>
      <c r="IT482" s="12" t="s">
        <v>320</v>
      </c>
      <c r="IU482" s="12" t="s">
        <v>320</v>
      </c>
      <c r="IV482" s="12" t="s">
        <v>319</v>
      </c>
      <c r="IW482" s="11" t="str">
        <f t="shared" si="306"/>
        <v>1. Neutral</v>
      </c>
      <c r="IX482" s="12">
        <f t="shared" si="307"/>
        <v>2</v>
      </c>
      <c r="IY482" s="12" t="s">
        <v>758</v>
      </c>
      <c r="IZ482" s="12" t="s">
        <v>457</v>
      </c>
      <c r="JA482" s="12">
        <v>2</v>
      </c>
      <c r="JB482" s="12" t="s">
        <v>433</v>
      </c>
      <c r="JC482" s="12"/>
      <c r="JD482" s="12"/>
      <c r="JE482" s="12" t="s">
        <v>340</v>
      </c>
      <c r="JF482" s="12"/>
      <c r="JG482" s="12" t="s">
        <v>8347</v>
      </c>
      <c r="JH482" s="12" t="s">
        <v>8348</v>
      </c>
      <c r="JI482" s="12" t="s">
        <v>8349</v>
      </c>
      <c r="JJ482" s="12" t="s">
        <v>8350</v>
      </c>
      <c r="JK482" s="12"/>
      <c r="JL482" s="12"/>
      <c r="JM482" s="12"/>
      <c r="JN482" s="12"/>
      <c r="JO482" s="12"/>
      <c r="JP482" s="15">
        <f t="shared" si="308"/>
        <v>32720</v>
      </c>
      <c r="JQ482" s="15">
        <f t="shared" si="309"/>
        <v>163600</v>
      </c>
      <c r="JR482" s="279">
        <f t="shared" si="310"/>
        <v>5</v>
      </c>
      <c r="JS482" s="17">
        <f t="shared" si="311"/>
        <v>0.58533007334963327</v>
      </c>
      <c r="JT482" s="18">
        <f t="shared" si="312"/>
        <v>0.58533007334963327</v>
      </c>
      <c r="JU482" s="280">
        <f t="shared" si="313"/>
        <v>19152</v>
      </c>
      <c r="JV482" s="280">
        <f t="shared" si="314"/>
        <v>95760</v>
      </c>
      <c r="JW482" s="319" t="str">
        <f t="shared" si="315"/>
        <v/>
      </c>
      <c r="JX482" s="15">
        <f t="shared" si="316"/>
        <v>0</v>
      </c>
      <c r="JY482" s="15">
        <f t="shared" si="317"/>
        <v>0</v>
      </c>
      <c r="JZ482" s="19" t="str">
        <f t="shared" si="318"/>
        <v/>
      </c>
      <c r="KA482" s="52">
        <f t="shared" si="319"/>
        <v>1</v>
      </c>
      <c r="KB482" s="15">
        <f t="shared" si="320"/>
        <v>12111</v>
      </c>
      <c r="KC482" s="15">
        <f t="shared" si="321"/>
        <v>60555</v>
      </c>
      <c r="KD482" s="20">
        <f t="shared" si="322"/>
        <v>5</v>
      </c>
      <c r="KE482" s="52" t="str">
        <f t="shared" si="323"/>
        <v/>
      </c>
      <c r="KF482" s="15">
        <f t="shared" si="324"/>
        <v>0</v>
      </c>
      <c r="KG482" s="15">
        <f t="shared" si="325"/>
        <v>0</v>
      </c>
      <c r="KH482" s="21" t="str">
        <f t="shared" si="326"/>
        <v/>
      </c>
      <c r="KI482" s="52">
        <f t="shared" si="327"/>
        <v>1</v>
      </c>
      <c r="KJ482" s="15">
        <f t="shared" si="328"/>
        <v>550</v>
      </c>
      <c r="KK482" s="15">
        <f t="shared" si="329"/>
        <v>2750</v>
      </c>
      <c r="KL482" s="19">
        <f t="shared" si="330"/>
        <v>5</v>
      </c>
      <c r="KM482" s="52">
        <f t="shared" si="331"/>
        <v>1</v>
      </c>
      <c r="KN482" s="22">
        <f t="shared" si="332"/>
        <v>3535</v>
      </c>
      <c r="KO482" s="22">
        <f t="shared" si="333"/>
        <v>17675</v>
      </c>
      <c r="KP482" s="19">
        <f t="shared" si="334"/>
        <v>5</v>
      </c>
      <c r="KQ482" s="11" t="str">
        <f t="shared" si="335"/>
        <v>3. Responsive</v>
      </c>
      <c r="KR482" s="11" t="str">
        <f t="shared" si="336"/>
        <v>1. Tokenistic</v>
      </c>
      <c r="KS482" s="11" t="str">
        <f t="shared" si="337"/>
        <v>1. Neutral</v>
      </c>
      <c r="KT482" s="11" t="str">
        <f t="shared" si="338"/>
        <v>It tested new ways for fighting poverty and measured results of innovation</v>
      </c>
      <c r="KU482" s="11" t="str">
        <f t="shared" si="339"/>
        <v>Little or no advocacy</v>
      </c>
      <c r="KV482" s="11" t="str">
        <f t="shared" si="340"/>
        <v>It linked and worked with strategic alliances and partners to take tested and effective solutions to scale</v>
      </c>
      <c r="KW482" s="11" t="str">
        <f t="shared" si="341"/>
        <v>Mozambique - Nampula Adaptation to Climate Change (NACC)</v>
      </c>
      <c r="KX482" s="11" t="str">
        <f t="shared" si="342"/>
        <v>Nampula Adaptation to Climate Change (NACC)</v>
      </c>
      <c r="KY482" s="11" t="str">
        <f t="shared" si="343"/>
        <v>Mozambique</v>
      </c>
      <c r="KZ482" s="12">
        <v>482</v>
      </c>
    </row>
    <row r="483" spans="1:312" x14ac:dyDescent="0.3">
      <c r="A483" s="12" t="s">
        <v>8265</v>
      </c>
      <c r="B483" s="12" t="s">
        <v>7217</v>
      </c>
      <c r="C483" s="12"/>
      <c r="D483" s="12" t="s">
        <v>8351</v>
      </c>
      <c r="E483" s="277" t="str">
        <f t="shared" si="301"/>
        <v>Mozambique</v>
      </c>
      <c r="F483" s="12" t="s">
        <v>8352</v>
      </c>
      <c r="G483" s="12" t="s">
        <v>488</v>
      </c>
      <c r="H483" s="12" t="s">
        <v>310</v>
      </c>
      <c r="I483" s="12" t="s">
        <v>506</v>
      </c>
      <c r="J483" s="281" t="s">
        <v>9230</v>
      </c>
      <c r="K483" s="12"/>
      <c r="L483" s="12"/>
      <c r="M483" s="12"/>
      <c r="N483" s="12"/>
      <c r="O483" s="12"/>
      <c r="P483" s="12"/>
      <c r="Q483" s="12"/>
      <c r="R483" s="12"/>
      <c r="S483" s="12"/>
      <c r="T483" s="12"/>
      <c r="U483" s="12"/>
      <c r="V483" s="12"/>
      <c r="W483" s="12"/>
      <c r="X483" s="12"/>
      <c r="Y483" s="12"/>
      <c r="Z483" s="12"/>
      <c r="AA483" s="12"/>
      <c r="AB483" s="12"/>
      <c r="AC483" s="12"/>
      <c r="AD483" s="12"/>
      <c r="BD483" s="13">
        <v>42401</v>
      </c>
      <c r="BE483" s="13">
        <v>43131</v>
      </c>
      <c r="BF483" s="13">
        <v>43220</v>
      </c>
      <c r="BG483" s="12" t="s">
        <v>350</v>
      </c>
      <c r="BH483" s="14">
        <v>154507</v>
      </c>
      <c r="BI483" s="12" t="s">
        <v>8337</v>
      </c>
      <c r="BJ483" s="12" t="s">
        <v>8353</v>
      </c>
      <c r="BK483" s="12" t="s">
        <v>8338</v>
      </c>
      <c r="BL483" s="12" t="s">
        <v>8269</v>
      </c>
      <c r="BM483" s="12" t="s">
        <v>8354</v>
      </c>
      <c r="BN483" s="12" t="s">
        <v>8270</v>
      </c>
      <c r="BO483" s="12" t="s">
        <v>319</v>
      </c>
      <c r="BP483" s="12" t="s">
        <v>320</v>
      </c>
      <c r="BQ483" s="12" t="s">
        <v>319</v>
      </c>
      <c r="BR483" s="12" t="s">
        <v>8355</v>
      </c>
      <c r="BS483" s="12" t="s">
        <v>357</v>
      </c>
      <c r="BT483" s="12" t="s">
        <v>8356</v>
      </c>
      <c r="BU483" s="12" t="s">
        <v>8357</v>
      </c>
      <c r="BV483" s="14">
        <v>5934</v>
      </c>
      <c r="BW483" s="14">
        <v>3956</v>
      </c>
      <c r="BX483" s="14">
        <v>9890</v>
      </c>
      <c r="BY483" s="14">
        <v>1380</v>
      </c>
      <c r="BZ483" s="14">
        <v>920</v>
      </c>
      <c r="CA483" s="14">
        <v>2300</v>
      </c>
      <c r="CB483" s="12" t="s">
        <v>8342</v>
      </c>
      <c r="CD483" s="14"/>
      <c r="CE483" s="14"/>
      <c r="CF483" s="14"/>
      <c r="CG483" s="14"/>
      <c r="CH483" s="14"/>
      <c r="CI483" s="14"/>
      <c r="CJ483" s="12"/>
      <c r="CK483" s="14"/>
      <c r="CL483" s="16"/>
      <c r="CM483" s="14"/>
      <c r="CN483" s="12"/>
      <c r="CO483" s="14"/>
      <c r="CP483" s="16"/>
      <c r="CQ483" s="14"/>
      <c r="CR483" s="12"/>
      <c r="CS483" s="14"/>
      <c r="CT483" s="16"/>
      <c r="CU483" s="14"/>
      <c r="CV483" s="12"/>
      <c r="CW483" s="14"/>
      <c r="CX483" s="16"/>
      <c r="CY483" s="14"/>
      <c r="CZ483" s="12"/>
      <c r="DA483" s="14"/>
      <c r="DB483" s="16"/>
      <c r="DC483" s="14"/>
      <c r="DD483" s="12"/>
      <c r="DE483" s="14"/>
      <c r="DF483" s="16"/>
      <c r="DG483" s="14"/>
      <c r="DH483" s="12"/>
      <c r="DI483" s="14"/>
      <c r="DJ483" s="16"/>
      <c r="DK483" s="14"/>
      <c r="DL483" s="12"/>
      <c r="DM483" s="14"/>
      <c r="DN483" s="16"/>
      <c r="DO483" s="14"/>
      <c r="DP483" s="12"/>
      <c r="DQ483" s="14"/>
      <c r="DR483" s="16"/>
      <c r="DS483" s="14"/>
      <c r="DT483" s="12"/>
      <c r="DU483" s="14"/>
      <c r="DV483" s="16"/>
      <c r="DW483" s="14"/>
      <c r="DX483" s="12"/>
      <c r="DY483" s="14"/>
      <c r="DZ483" s="16"/>
      <c r="EA483" s="14"/>
      <c r="EB483" s="12"/>
      <c r="EC483" s="14"/>
      <c r="ED483" s="16"/>
      <c r="EE483" s="14"/>
      <c r="EF483" s="12"/>
      <c r="EG483" s="12"/>
      <c r="EH483" s="14"/>
      <c r="EI483" s="16"/>
      <c r="EJ483" s="14"/>
      <c r="EK483" s="14">
        <v>5934</v>
      </c>
      <c r="EL483" s="14">
        <v>3956</v>
      </c>
      <c r="EM483" s="14">
        <v>9890</v>
      </c>
      <c r="EN483" s="14">
        <v>1380</v>
      </c>
      <c r="EO483" s="14">
        <v>920</v>
      </c>
      <c r="EP483" s="14">
        <v>2300</v>
      </c>
      <c r="EQ483" s="12"/>
      <c r="ER483" s="14"/>
      <c r="ES483" s="16"/>
      <c r="ET483" s="14"/>
      <c r="EU483" s="12"/>
      <c r="EV483" s="14"/>
      <c r="EW483" s="16"/>
      <c r="EX483" s="14"/>
      <c r="EY483" s="12"/>
      <c r="EZ483" s="14"/>
      <c r="FA483" s="16"/>
      <c r="FB483" s="14"/>
      <c r="FC483" s="12"/>
      <c r="FD483" s="14"/>
      <c r="FE483" s="16"/>
      <c r="FF483" s="14"/>
      <c r="FG483" s="12"/>
      <c r="FH483" s="14"/>
      <c r="FI483" s="16"/>
      <c r="FJ483" s="14"/>
      <c r="FK483" s="12"/>
      <c r="FL483" s="14"/>
      <c r="FM483" s="16"/>
      <c r="FN483" s="14"/>
      <c r="FO483" s="12"/>
      <c r="FP483" s="14"/>
      <c r="FQ483" s="16"/>
      <c r="FR483" s="14"/>
      <c r="FS483" s="12"/>
      <c r="FT483" s="14"/>
      <c r="FU483" s="16"/>
      <c r="FV483" s="14"/>
      <c r="FW483" s="12"/>
      <c r="FX483" s="14"/>
      <c r="FY483" s="16"/>
      <c r="FZ483" s="14"/>
      <c r="GA483" s="12"/>
      <c r="GB483" s="14"/>
      <c r="GC483" s="16"/>
      <c r="GD483" s="14"/>
      <c r="GE483" s="12"/>
      <c r="GF483" s="14"/>
      <c r="GG483" s="16"/>
      <c r="GH483" s="14"/>
      <c r="GI483" s="12"/>
      <c r="GJ483" s="14"/>
      <c r="GK483" s="16"/>
      <c r="GL483" s="14"/>
      <c r="GM483" s="12"/>
      <c r="GN483" s="14"/>
      <c r="GO483" s="16"/>
      <c r="GP483" s="14"/>
      <c r="GQ483" s="12"/>
      <c r="GR483" s="14"/>
      <c r="GS483" s="16"/>
      <c r="GT483" s="14"/>
      <c r="GU483" s="12"/>
      <c r="GV483" s="14"/>
      <c r="GW483" s="16"/>
      <c r="GX483" s="14"/>
      <c r="GY483" s="11" t="s">
        <v>320</v>
      </c>
      <c r="GZ483" s="14">
        <v>9890</v>
      </c>
      <c r="HA483" s="16">
        <v>0.6</v>
      </c>
      <c r="HB483" s="14">
        <v>2300</v>
      </c>
      <c r="HC483" s="12"/>
      <c r="HD483" s="12"/>
      <c r="HE483" s="14"/>
      <c r="HF483" s="16"/>
      <c r="HG483" s="14"/>
      <c r="HH483" s="12" t="s">
        <v>320</v>
      </c>
      <c r="HI483" s="12" t="s">
        <v>416</v>
      </c>
      <c r="HJ483" s="12">
        <v>2017</v>
      </c>
      <c r="HK483" s="12"/>
      <c r="HL483" s="12" t="s">
        <v>320</v>
      </c>
      <c r="HM483" s="12" t="s">
        <v>416</v>
      </c>
      <c r="HN483" s="12">
        <v>2018</v>
      </c>
      <c r="HO483" s="12" t="s">
        <v>746</v>
      </c>
      <c r="HP483" s="12" t="s">
        <v>418</v>
      </c>
      <c r="HQ483" s="12"/>
      <c r="HR483" s="12"/>
      <c r="HS483" s="12"/>
      <c r="HT483" s="12"/>
      <c r="HU483" s="12"/>
      <c r="HV483" s="12"/>
      <c r="HW483" s="12"/>
      <c r="HX483" s="12"/>
      <c r="HY483" s="12"/>
      <c r="HZ483" s="12" t="s">
        <v>394</v>
      </c>
      <c r="IA483" s="12" t="s">
        <v>8358</v>
      </c>
      <c r="IB483" s="12" t="s">
        <v>396</v>
      </c>
      <c r="IC483" s="12" t="s">
        <v>8359</v>
      </c>
      <c r="ID483" s="12" t="s">
        <v>364</v>
      </c>
      <c r="IE483" s="12" t="s">
        <v>335</v>
      </c>
      <c r="IF483" s="12" t="s">
        <v>320</v>
      </c>
      <c r="IG483" s="12" t="s">
        <v>320</v>
      </c>
      <c r="IH483" s="12" t="s">
        <v>320</v>
      </c>
      <c r="II483" s="12" t="s">
        <v>320</v>
      </c>
      <c r="IJ483" s="12" t="str">
        <f t="shared" si="302"/>
        <v>2. Sensitive</v>
      </c>
      <c r="IK483" s="12">
        <f t="shared" si="303"/>
        <v>4</v>
      </c>
      <c r="IL483" s="12" t="s">
        <v>336</v>
      </c>
      <c r="IM483" s="12" t="s">
        <v>320</v>
      </c>
      <c r="IN483" s="12" t="s">
        <v>320</v>
      </c>
      <c r="IO483" s="12" t="s">
        <v>320</v>
      </c>
      <c r="IP483" s="12" t="s">
        <v>320</v>
      </c>
      <c r="IQ483" s="12" t="str">
        <f t="shared" si="304"/>
        <v>2. Accommodating</v>
      </c>
      <c r="IR483" s="12">
        <f t="shared" si="305"/>
        <v>4</v>
      </c>
      <c r="IS483" s="12" t="s">
        <v>337</v>
      </c>
      <c r="IT483" s="12" t="s">
        <v>320</v>
      </c>
      <c r="IU483" s="12" t="s">
        <v>320</v>
      </c>
      <c r="IV483" s="12" t="s">
        <v>320</v>
      </c>
      <c r="IW483" s="11" t="str">
        <f t="shared" si="306"/>
        <v>2. Sensitive</v>
      </c>
      <c r="IX483" s="12">
        <f t="shared" si="307"/>
        <v>3</v>
      </c>
      <c r="IY483" s="12" t="s">
        <v>338</v>
      </c>
      <c r="IZ483" s="12" t="s">
        <v>527</v>
      </c>
      <c r="JA483" s="12">
        <v>1</v>
      </c>
      <c r="JB483" s="12" t="s">
        <v>433</v>
      </c>
      <c r="JC483" s="12" t="s">
        <v>724</v>
      </c>
      <c r="JD483" s="12"/>
      <c r="JE483" s="12" t="s">
        <v>420</v>
      </c>
      <c r="JF483" s="12"/>
      <c r="JG483" s="12" t="s">
        <v>8360</v>
      </c>
      <c r="JH483" s="12"/>
      <c r="JI483" s="12"/>
      <c r="JJ483" s="12"/>
      <c r="JK483" s="12" t="s">
        <v>8361</v>
      </c>
      <c r="JL483" s="12" t="s">
        <v>8362</v>
      </c>
      <c r="JM483" s="12"/>
      <c r="JN483" s="12" t="s">
        <v>8363</v>
      </c>
      <c r="JO483" s="12"/>
      <c r="JP483" s="15">
        <f t="shared" si="308"/>
        <v>9890</v>
      </c>
      <c r="JQ483" s="15">
        <f t="shared" si="309"/>
        <v>2300</v>
      </c>
      <c r="JR483" s="279">
        <f t="shared" si="310"/>
        <v>0.23255813953488372</v>
      </c>
      <c r="JS483" s="17">
        <f t="shared" si="311"/>
        <v>0.6</v>
      </c>
      <c r="JT483" s="18">
        <f t="shared" si="312"/>
        <v>0.6</v>
      </c>
      <c r="JU483" s="280">
        <f t="shared" si="313"/>
        <v>5934</v>
      </c>
      <c r="JV483" s="280">
        <f t="shared" si="314"/>
        <v>1380</v>
      </c>
      <c r="JW483" s="319" t="str">
        <f t="shared" si="315"/>
        <v/>
      </c>
      <c r="JX483" s="15">
        <f t="shared" si="316"/>
        <v>0</v>
      </c>
      <c r="JY483" s="15">
        <f t="shared" si="317"/>
        <v>0</v>
      </c>
      <c r="JZ483" s="19" t="str">
        <f t="shared" si="318"/>
        <v/>
      </c>
      <c r="KA483" s="52" t="str">
        <f t="shared" si="319"/>
        <v/>
      </c>
      <c r="KB483" s="15">
        <f t="shared" si="320"/>
        <v>0</v>
      </c>
      <c r="KC483" s="15">
        <f t="shared" si="321"/>
        <v>0</v>
      </c>
      <c r="KD483" s="20" t="str">
        <f t="shared" si="322"/>
        <v/>
      </c>
      <c r="KE483" s="52" t="str">
        <f t="shared" si="323"/>
        <v/>
      </c>
      <c r="KF483" s="15">
        <f t="shared" si="324"/>
        <v>0</v>
      </c>
      <c r="KG483" s="15">
        <f t="shared" si="325"/>
        <v>0</v>
      </c>
      <c r="KH483" s="21" t="str">
        <f t="shared" si="326"/>
        <v/>
      </c>
      <c r="KI483" s="52" t="str">
        <f t="shared" si="327"/>
        <v/>
      </c>
      <c r="KJ483" s="15">
        <f t="shared" si="328"/>
        <v>0</v>
      </c>
      <c r="KK483" s="15">
        <f t="shared" si="329"/>
        <v>0</v>
      </c>
      <c r="KL483" s="19" t="str">
        <f t="shared" si="330"/>
        <v/>
      </c>
      <c r="KM483" s="52">
        <f t="shared" si="331"/>
        <v>1</v>
      </c>
      <c r="KN483" s="22">
        <f t="shared" si="332"/>
        <v>9890</v>
      </c>
      <c r="KO483" s="22">
        <f t="shared" si="333"/>
        <v>2300</v>
      </c>
      <c r="KP483" s="19">
        <f t="shared" si="334"/>
        <v>0.23255813953488372</v>
      </c>
      <c r="KQ483" s="11" t="str">
        <f t="shared" si="335"/>
        <v>2. Sensitive</v>
      </c>
      <c r="KR483" s="11" t="str">
        <f t="shared" si="336"/>
        <v>2. Accommodating</v>
      </c>
      <c r="KS483" s="11" t="str">
        <f t="shared" si="337"/>
        <v>2. Sensitive</v>
      </c>
      <c r="KT483" s="11" t="str">
        <f t="shared" si="338"/>
        <v>It tested new ways for fighting poverty, but did not measure results of innovation</v>
      </c>
      <c r="KU483" s="11" t="str">
        <f t="shared" si="339"/>
        <v>Little or no advocacy</v>
      </c>
      <c r="KV483" s="11" t="str">
        <f t="shared" si="340"/>
        <v>It linked and worked with strategic alliances and partners to take tested and effective solutions to scale</v>
      </c>
      <c r="KW483" s="11" t="str">
        <f t="shared" si="341"/>
        <v>Mozambique - ORERIHA</v>
      </c>
      <c r="KX483" s="11" t="str">
        <f t="shared" si="342"/>
        <v>ORERIHA</v>
      </c>
      <c r="KY483" s="11" t="str">
        <f t="shared" si="343"/>
        <v>Mozambique</v>
      </c>
      <c r="KZ483" s="12">
        <v>483</v>
      </c>
    </row>
    <row r="484" spans="1:312" x14ac:dyDescent="0.3">
      <c r="A484" s="12" t="s">
        <v>8265</v>
      </c>
      <c r="B484" s="12" t="s">
        <v>7217</v>
      </c>
      <c r="C484" s="12"/>
      <c r="D484" s="12" t="s">
        <v>8314</v>
      </c>
      <c r="E484" s="277" t="str">
        <f t="shared" si="301"/>
        <v>Mozambique</v>
      </c>
      <c r="F484" s="12" t="s">
        <v>8315</v>
      </c>
      <c r="G484" s="12" t="s">
        <v>1853</v>
      </c>
      <c r="H484" s="12" t="s">
        <v>380</v>
      </c>
      <c r="I484" s="12" t="s">
        <v>1854</v>
      </c>
      <c r="J484" s="281" t="s">
        <v>4495</v>
      </c>
      <c r="K484" s="12"/>
      <c r="L484" s="12"/>
      <c r="M484" s="12"/>
      <c r="N484" s="12"/>
      <c r="O484" s="12"/>
      <c r="P484" s="12"/>
      <c r="Q484" s="12"/>
      <c r="R484" s="12"/>
      <c r="S484" s="12"/>
      <c r="T484" s="12"/>
      <c r="U484" s="12"/>
      <c r="V484" s="12"/>
      <c r="W484" s="12"/>
      <c r="X484" s="12"/>
      <c r="Y484" s="12"/>
      <c r="Z484" s="12"/>
      <c r="AA484" s="12"/>
      <c r="AB484" s="12"/>
      <c r="AC484" s="12"/>
      <c r="AD484" s="12"/>
      <c r="BD484" s="13">
        <v>41275</v>
      </c>
      <c r="BE484" s="13">
        <v>43100</v>
      </c>
      <c r="BF484" s="12"/>
      <c r="BG484" s="12" t="s">
        <v>350</v>
      </c>
      <c r="BH484" s="14">
        <v>2858000</v>
      </c>
      <c r="BI484" s="12" t="s">
        <v>8316</v>
      </c>
      <c r="BJ484" s="12" t="s">
        <v>444</v>
      </c>
      <c r="BK484" s="12" t="s">
        <v>8317</v>
      </c>
      <c r="BL484" s="12" t="s">
        <v>8269</v>
      </c>
      <c r="BM484" s="12" t="s">
        <v>8318</v>
      </c>
      <c r="BN484" s="12" t="s">
        <v>8270</v>
      </c>
      <c r="BO484" s="12" t="s">
        <v>319</v>
      </c>
      <c r="BP484" s="12" t="s">
        <v>320</v>
      </c>
      <c r="BQ484" s="12" t="s">
        <v>319</v>
      </c>
      <c r="BR484" s="12" t="s">
        <v>8319</v>
      </c>
      <c r="BS484" s="12" t="s">
        <v>357</v>
      </c>
      <c r="BT484" s="12" t="s">
        <v>8320</v>
      </c>
      <c r="BU484" s="12" t="s">
        <v>8321</v>
      </c>
      <c r="BV484" s="14">
        <v>664</v>
      </c>
      <c r="BW484" s="14">
        <v>868</v>
      </c>
      <c r="BX484" s="14">
        <v>1532</v>
      </c>
      <c r="BY484" s="14">
        <v>14042</v>
      </c>
      <c r="BZ484" s="14">
        <v>18176</v>
      </c>
      <c r="CA484" s="14">
        <v>32218</v>
      </c>
      <c r="CB484" s="12" t="s">
        <v>8321</v>
      </c>
      <c r="CD484" s="14"/>
      <c r="CE484" s="14"/>
      <c r="CF484" s="14"/>
      <c r="CG484" s="14"/>
      <c r="CH484" s="14"/>
      <c r="CI484" s="14"/>
      <c r="CJ484" s="12"/>
      <c r="CK484" s="14"/>
      <c r="CL484" s="16"/>
      <c r="CM484" s="14"/>
      <c r="CN484" s="12"/>
      <c r="CO484" s="14"/>
      <c r="CP484" s="16"/>
      <c r="CQ484" s="14"/>
      <c r="CR484" s="12"/>
      <c r="CS484" s="14"/>
      <c r="CT484" s="16"/>
      <c r="CU484" s="14"/>
      <c r="CV484" s="12"/>
      <c r="CW484" s="14"/>
      <c r="CX484" s="16"/>
      <c r="CY484" s="14"/>
      <c r="CZ484" s="12"/>
      <c r="DA484" s="14"/>
      <c r="DB484" s="16"/>
      <c r="DC484" s="14"/>
      <c r="DD484" s="12"/>
      <c r="DE484" s="14"/>
      <c r="DF484" s="16"/>
      <c r="DG484" s="14"/>
      <c r="DH484" s="12"/>
      <c r="DI484" s="14"/>
      <c r="DJ484" s="16"/>
      <c r="DK484" s="14"/>
      <c r="DL484" s="12"/>
      <c r="DM484" s="14"/>
      <c r="DN484" s="16"/>
      <c r="DO484" s="14"/>
      <c r="DP484" s="12"/>
      <c r="DQ484" s="14"/>
      <c r="DR484" s="16"/>
      <c r="DS484" s="14"/>
      <c r="DT484" s="12"/>
      <c r="DU484" s="14"/>
      <c r="DV484" s="16"/>
      <c r="DW484" s="14"/>
      <c r="DX484" s="12"/>
      <c r="DY484" s="14"/>
      <c r="DZ484" s="16"/>
      <c r="EA484" s="14"/>
      <c r="EB484" s="12"/>
      <c r="EC484" s="14"/>
      <c r="ED484" s="16"/>
      <c r="EE484" s="14"/>
      <c r="EF484" s="12"/>
      <c r="EG484" s="12"/>
      <c r="EH484" s="14"/>
      <c r="EI484" s="16"/>
      <c r="EJ484" s="14"/>
      <c r="EK484" s="14">
        <v>939</v>
      </c>
      <c r="EL484" s="14">
        <v>1268</v>
      </c>
      <c r="EM484" s="14">
        <v>2207</v>
      </c>
      <c r="EN484" s="14">
        <v>14042</v>
      </c>
      <c r="EO484" s="14">
        <v>18176</v>
      </c>
      <c r="EP484" s="14">
        <v>32218</v>
      </c>
      <c r="EQ484" s="12" t="s">
        <v>320</v>
      </c>
      <c r="ER484" s="14">
        <v>333</v>
      </c>
      <c r="ES484" s="16"/>
      <c r="ET484" s="14">
        <v>9491</v>
      </c>
      <c r="EU484" s="11" t="s">
        <v>320</v>
      </c>
      <c r="EV484" s="14">
        <v>12</v>
      </c>
      <c r="EW484" s="16"/>
      <c r="EX484" s="14">
        <v>440</v>
      </c>
      <c r="EY484" s="12"/>
      <c r="EZ484" s="14"/>
      <c r="FA484" s="16"/>
      <c r="FB484" s="14"/>
      <c r="FC484" s="12"/>
      <c r="FD484" s="14"/>
      <c r="FE484" s="16"/>
      <c r="FF484" s="14"/>
      <c r="FG484" s="12"/>
      <c r="FH484" s="14"/>
      <c r="FI484" s="16"/>
      <c r="FJ484" s="14"/>
      <c r="FK484" s="12"/>
      <c r="FL484" s="14"/>
      <c r="FM484" s="16"/>
      <c r="FN484" s="14"/>
      <c r="FO484" s="12"/>
      <c r="FP484" s="14"/>
      <c r="FQ484" s="16"/>
      <c r="FR484" s="14"/>
      <c r="FS484" s="12"/>
      <c r="FT484" s="14"/>
      <c r="FU484" s="16"/>
      <c r="FV484" s="14"/>
      <c r="FW484" s="11" t="s">
        <v>320</v>
      </c>
      <c r="FX484" s="14">
        <v>830</v>
      </c>
      <c r="FY484" s="16"/>
      <c r="FZ484" s="14">
        <v>14042</v>
      </c>
      <c r="GA484" s="12"/>
      <c r="GB484" s="14"/>
      <c r="GC484" s="16"/>
      <c r="GD484" s="14"/>
      <c r="GE484" s="12"/>
      <c r="GF484" s="14"/>
      <c r="GG484" s="16"/>
      <c r="GH484" s="14"/>
      <c r="GI484" s="11" t="s">
        <v>320</v>
      </c>
      <c r="GJ484" s="14">
        <v>698</v>
      </c>
      <c r="GK484" s="16"/>
      <c r="GL484" s="14">
        <v>1320</v>
      </c>
      <c r="GM484" s="11" t="s">
        <v>320</v>
      </c>
      <c r="GN484" s="14">
        <v>237</v>
      </c>
      <c r="GO484" s="16"/>
      <c r="GP484" s="14">
        <v>7367</v>
      </c>
      <c r="GQ484" s="12"/>
      <c r="GR484" s="14"/>
      <c r="GS484" s="16"/>
      <c r="GT484" s="14"/>
      <c r="GU484" s="12"/>
      <c r="GV484" s="14"/>
      <c r="GW484" s="16"/>
      <c r="GX484" s="14"/>
      <c r="GY484" s="12"/>
      <c r="GZ484" s="14"/>
      <c r="HA484" s="16"/>
      <c r="HB484" s="14"/>
      <c r="HC484" s="12"/>
      <c r="HD484" s="12"/>
      <c r="HE484" s="14"/>
      <c r="HF484" s="16"/>
      <c r="HG484" s="14"/>
      <c r="HH484" s="12" t="s">
        <v>319</v>
      </c>
      <c r="HI484" s="12"/>
      <c r="HJ484" s="12"/>
      <c r="HK484" s="12"/>
      <c r="HL484" s="12" t="s">
        <v>320</v>
      </c>
      <c r="HM484" s="12" t="s">
        <v>361</v>
      </c>
      <c r="HN484" s="12">
        <v>2017</v>
      </c>
      <c r="HO484" s="12" t="s">
        <v>8322</v>
      </c>
      <c r="HP484" s="12" t="s">
        <v>453</v>
      </c>
      <c r="HQ484" s="12" t="s">
        <v>319</v>
      </c>
      <c r="HR484" s="12" t="s">
        <v>319</v>
      </c>
      <c r="HS484" s="12"/>
      <c r="HT484" s="12" t="s">
        <v>320</v>
      </c>
      <c r="HU484" s="12" t="s">
        <v>320</v>
      </c>
      <c r="HV484" s="12"/>
      <c r="HW484" s="12" t="s">
        <v>320</v>
      </c>
      <c r="HX484" s="12" t="s">
        <v>320</v>
      </c>
      <c r="HY484" s="12" t="s">
        <v>8323</v>
      </c>
      <c r="HZ484" s="12" t="s">
        <v>331</v>
      </c>
      <c r="IA484" s="12" t="s">
        <v>8324</v>
      </c>
      <c r="IB484" s="12" t="s">
        <v>396</v>
      </c>
      <c r="IC484" s="12" t="s">
        <v>8325</v>
      </c>
      <c r="ID484" s="12" t="s">
        <v>334</v>
      </c>
      <c r="IE484" s="12" t="s">
        <v>335</v>
      </c>
      <c r="IF484" s="12" t="s">
        <v>320</v>
      </c>
      <c r="IG484" s="12" t="s">
        <v>320</v>
      </c>
      <c r="IH484" s="12" t="s">
        <v>320</v>
      </c>
      <c r="II484" s="12" t="s">
        <v>320</v>
      </c>
      <c r="IJ484" s="12" t="str">
        <f t="shared" si="302"/>
        <v>2. Sensitive</v>
      </c>
      <c r="IK484" s="12">
        <f t="shared" si="303"/>
        <v>4</v>
      </c>
      <c r="IL484" s="11" t="s">
        <v>621</v>
      </c>
      <c r="IM484" s="12" t="s">
        <v>320</v>
      </c>
      <c r="IN484" s="12" t="s">
        <v>320</v>
      </c>
      <c r="IO484" s="12" t="s">
        <v>320</v>
      </c>
      <c r="IP484" s="12" t="s">
        <v>320</v>
      </c>
      <c r="IQ484" s="12" t="str">
        <f t="shared" si="304"/>
        <v>4. Transformational</v>
      </c>
      <c r="IR484" s="12">
        <f t="shared" si="305"/>
        <v>4</v>
      </c>
      <c r="IS484" s="12"/>
      <c r="IT484" s="12"/>
      <c r="IU484" s="12"/>
      <c r="IV484" s="12"/>
      <c r="IW484" s="11" t="str">
        <f t="shared" si="306"/>
        <v>No marker score</v>
      </c>
      <c r="IX484" s="12">
        <f t="shared" si="307"/>
        <v>0</v>
      </c>
      <c r="IY484" s="12"/>
      <c r="IZ484" s="12" t="s">
        <v>457</v>
      </c>
      <c r="JA484" s="12">
        <v>7</v>
      </c>
      <c r="JB484" s="12" t="s">
        <v>624</v>
      </c>
      <c r="JC484" s="12" t="s">
        <v>651</v>
      </c>
      <c r="JD484" s="12" t="s">
        <v>433</v>
      </c>
      <c r="JE484" s="12" t="s">
        <v>340</v>
      </c>
      <c r="JF484" s="12"/>
      <c r="JG484" s="12"/>
      <c r="JH484" s="12" t="s">
        <v>8326</v>
      </c>
      <c r="JI484" s="12" t="s">
        <v>8327</v>
      </c>
      <c r="JJ484" s="12" t="s">
        <v>8328</v>
      </c>
      <c r="JK484" s="12" t="s">
        <v>8329</v>
      </c>
      <c r="JL484" s="12" t="s">
        <v>8330</v>
      </c>
      <c r="JM484" s="12" t="s">
        <v>8331</v>
      </c>
      <c r="JN484" s="12" t="s">
        <v>8332</v>
      </c>
      <c r="JO484" s="12"/>
      <c r="JP484" s="15">
        <f t="shared" si="308"/>
        <v>2207</v>
      </c>
      <c r="JQ484" s="15">
        <f t="shared" si="309"/>
        <v>32218</v>
      </c>
      <c r="JR484" s="279">
        <f t="shared" si="310"/>
        <v>14.598096964204803</v>
      </c>
      <c r="JS484" s="17">
        <f t="shared" si="311"/>
        <v>0.42546443135478024</v>
      </c>
      <c r="JT484" s="18">
        <f t="shared" si="312"/>
        <v>0.43584331740021104</v>
      </c>
      <c r="JU484" s="280">
        <f t="shared" si="313"/>
        <v>939</v>
      </c>
      <c r="JV484" s="280">
        <f t="shared" si="314"/>
        <v>14042</v>
      </c>
      <c r="JW484" s="319" t="str">
        <f t="shared" si="315"/>
        <v/>
      </c>
      <c r="JX484" s="15">
        <f t="shared" si="316"/>
        <v>0</v>
      </c>
      <c r="JY484" s="15">
        <f t="shared" si="317"/>
        <v>0</v>
      </c>
      <c r="JZ484" s="19" t="str">
        <f t="shared" si="318"/>
        <v/>
      </c>
      <c r="KA484" s="52">
        <f t="shared" si="319"/>
        <v>1</v>
      </c>
      <c r="KB484" s="15">
        <f t="shared" si="320"/>
        <v>698</v>
      </c>
      <c r="KC484" s="15">
        <f t="shared" si="321"/>
        <v>9491</v>
      </c>
      <c r="KD484" s="20">
        <f t="shared" si="322"/>
        <v>13.597421203438396</v>
      </c>
      <c r="KE484" s="52" t="str">
        <f t="shared" si="323"/>
        <v/>
      </c>
      <c r="KF484" s="15">
        <f t="shared" si="324"/>
        <v>0</v>
      </c>
      <c r="KG484" s="15">
        <f t="shared" si="325"/>
        <v>0</v>
      </c>
      <c r="KH484" s="21" t="str">
        <f t="shared" si="326"/>
        <v/>
      </c>
      <c r="KI484" s="52" t="str">
        <f t="shared" si="327"/>
        <v/>
      </c>
      <c r="KJ484" s="15">
        <f t="shared" si="328"/>
        <v>0</v>
      </c>
      <c r="KK484" s="15">
        <f t="shared" si="329"/>
        <v>0</v>
      </c>
      <c r="KL484" s="19" t="str">
        <f t="shared" si="330"/>
        <v/>
      </c>
      <c r="KM484" s="52" t="str">
        <f t="shared" si="331"/>
        <v/>
      </c>
      <c r="KN484" s="22">
        <f t="shared" si="332"/>
        <v>0</v>
      </c>
      <c r="KO484" s="22">
        <f t="shared" si="333"/>
        <v>0</v>
      </c>
      <c r="KP484" s="19" t="str">
        <f t="shared" si="334"/>
        <v/>
      </c>
      <c r="KQ484" s="11" t="str">
        <f t="shared" si="335"/>
        <v>2. Sensitive</v>
      </c>
      <c r="KR484" s="11" t="str">
        <f t="shared" si="336"/>
        <v>4. Transformational</v>
      </c>
      <c r="KS484" s="11" t="str">
        <f t="shared" si="337"/>
        <v>No marker score</v>
      </c>
      <c r="KT484" s="11" t="str">
        <f t="shared" si="338"/>
        <v>It tested new ways for fighting poverty and measured results of innovation</v>
      </c>
      <c r="KU484" s="11" t="str">
        <f t="shared" si="339"/>
        <v>Intensive advocacy</v>
      </c>
      <c r="KV484" s="11" t="str">
        <f t="shared" si="340"/>
        <v>It linked and worked with strategic alliances and partners to take tested and effective solutions to scale</v>
      </c>
      <c r="KW484" s="11" t="str">
        <f t="shared" si="341"/>
        <v>Mozambique - Partnerships and Alliances of Civil Society for Rights to Land and Natural Resources - PACT</v>
      </c>
      <c r="KX484" s="11" t="str">
        <f t="shared" si="342"/>
        <v>Partnerships and Alliances of Civil Society for Rights to Land and Natural Resources - PACT</v>
      </c>
      <c r="KY484" s="11" t="str">
        <f t="shared" si="343"/>
        <v>Mozambique</v>
      </c>
      <c r="KZ484" s="12">
        <v>484</v>
      </c>
    </row>
    <row r="485" spans="1:312" x14ac:dyDescent="0.3">
      <c r="A485" s="282" t="s">
        <v>8265</v>
      </c>
      <c r="B485" s="282" t="s">
        <v>7217</v>
      </c>
      <c r="C485" s="282"/>
      <c r="D485" s="282" t="s">
        <v>8386</v>
      </c>
      <c r="E485" s="277" t="str">
        <f t="shared" si="301"/>
        <v>Mozambique</v>
      </c>
      <c r="F485" s="282" t="s">
        <v>8387</v>
      </c>
      <c r="G485" s="282" t="s">
        <v>379</v>
      </c>
      <c r="H485" s="282" t="s">
        <v>383</v>
      </c>
      <c r="I485" s="282" t="s">
        <v>384</v>
      </c>
      <c r="J485" s="281" t="s">
        <v>1187</v>
      </c>
      <c r="K485" s="282"/>
      <c r="L485" s="282"/>
      <c r="M485" s="282"/>
      <c r="N485" s="282"/>
      <c r="O485" s="282"/>
      <c r="P485" s="282"/>
      <c r="Q485" s="282"/>
      <c r="R485" s="282"/>
      <c r="S485" s="282"/>
      <c r="T485" s="282"/>
      <c r="U485" s="282"/>
      <c r="V485" s="282"/>
      <c r="W485" s="282"/>
      <c r="X485" s="282"/>
      <c r="Y485" s="282"/>
      <c r="Z485" s="282"/>
      <c r="AA485" s="282"/>
      <c r="AB485" s="282"/>
      <c r="AC485" s="282"/>
      <c r="AD485" s="282"/>
      <c r="AE485" s="282"/>
      <c r="AF485" s="282"/>
      <c r="AG485" s="282"/>
      <c r="AH485" s="282"/>
      <c r="AI485" s="282"/>
      <c r="AJ485" s="282"/>
      <c r="AK485" s="282"/>
      <c r="AL485" s="282"/>
      <c r="AM485" s="282"/>
      <c r="AN485" s="282"/>
      <c r="AO485" s="282"/>
      <c r="AP485" s="282"/>
      <c r="AQ485" s="282"/>
      <c r="AR485" s="282"/>
      <c r="AS485" s="282"/>
      <c r="AT485" s="282"/>
      <c r="AU485" s="282"/>
      <c r="AV485" s="282"/>
      <c r="AW485" s="282"/>
      <c r="AX485" s="282"/>
      <c r="AY485" s="282"/>
      <c r="AZ485" s="282"/>
      <c r="BA485" s="282"/>
      <c r="BB485" s="282"/>
      <c r="BC485" s="282"/>
      <c r="BD485" s="283">
        <v>42364</v>
      </c>
      <c r="BE485" s="283">
        <v>42735</v>
      </c>
      <c r="BF485" s="283">
        <v>43373</v>
      </c>
      <c r="BG485" s="283" t="s">
        <v>749</v>
      </c>
      <c r="BH485" s="284">
        <v>4640000</v>
      </c>
      <c r="BI485" s="282" t="s">
        <v>8388</v>
      </c>
      <c r="BJ485" s="282" t="s">
        <v>8389</v>
      </c>
      <c r="BK485" s="282" t="s">
        <v>8338</v>
      </c>
      <c r="BL485" s="282" t="s">
        <v>8269</v>
      </c>
      <c r="BM485" s="282" t="s">
        <v>8318</v>
      </c>
      <c r="BN485" s="282" t="s">
        <v>8270</v>
      </c>
      <c r="BO485" s="12" t="s">
        <v>319</v>
      </c>
      <c r="BP485" s="12" t="s">
        <v>320</v>
      </c>
      <c r="BQ485" s="12" t="s">
        <v>319</v>
      </c>
      <c r="BR485" s="282" t="s">
        <v>8390</v>
      </c>
      <c r="BS485" s="282" t="s">
        <v>357</v>
      </c>
      <c r="BT485" s="282" t="s">
        <v>8391</v>
      </c>
      <c r="BU485" s="282" t="s">
        <v>8357</v>
      </c>
      <c r="BV485" s="284">
        <v>3300</v>
      </c>
      <c r="BW485" s="284">
        <v>6700</v>
      </c>
      <c r="BX485" s="284">
        <v>10000</v>
      </c>
      <c r="BY485" s="284">
        <v>16500</v>
      </c>
      <c r="BZ485" s="284">
        <v>33500</v>
      </c>
      <c r="CA485" s="284">
        <v>50000</v>
      </c>
      <c r="CB485" s="285"/>
      <c r="CC485" s="285"/>
      <c r="CD485" s="284"/>
      <c r="CE485" s="284"/>
      <c r="CF485" s="284"/>
      <c r="CG485" s="284"/>
      <c r="CH485" s="284"/>
      <c r="CI485" s="284"/>
      <c r="CJ485" s="282"/>
      <c r="CK485" s="284"/>
      <c r="CL485" s="286"/>
      <c r="CM485" s="284"/>
      <c r="CN485" s="287"/>
      <c r="CO485" s="284"/>
      <c r="CP485" s="286"/>
      <c r="CQ485" s="284"/>
      <c r="CR485" s="282"/>
      <c r="CS485" s="284"/>
      <c r="CT485" s="286"/>
      <c r="CU485" s="284"/>
      <c r="CV485" s="292"/>
      <c r="CW485" s="290"/>
      <c r="CX485" s="291"/>
      <c r="CY485" s="306"/>
      <c r="CZ485" s="282"/>
      <c r="DA485" s="284"/>
      <c r="DB485" s="286"/>
      <c r="DC485" s="284"/>
      <c r="DD485" s="287"/>
      <c r="DE485" s="284"/>
      <c r="DF485" s="286"/>
      <c r="DG485" s="284"/>
      <c r="DH485" s="282"/>
      <c r="DI485" s="284"/>
      <c r="DJ485" s="286"/>
      <c r="DK485" s="284"/>
      <c r="DL485" s="282"/>
      <c r="DM485" s="284"/>
      <c r="DN485" s="286"/>
      <c r="DO485" s="284"/>
      <c r="DP485" s="282"/>
      <c r="DQ485" s="284"/>
      <c r="DR485" s="286"/>
      <c r="DS485" s="284"/>
      <c r="DT485" s="282"/>
      <c r="DU485" s="284"/>
      <c r="DV485" s="286"/>
      <c r="DW485" s="284"/>
      <c r="DX485" s="282"/>
      <c r="DY485" s="284"/>
      <c r="DZ485" s="286"/>
      <c r="EA485" s="284"/>
      <c r="EB485" s="282"/>
      <c r="EC485" s="284"/>
      <c r="ED485" s="286"/>
      <c r="EE485" s="284"/>
      <c r="EF485" s="285"/>
      <c r="EG485" s="287"/>
      <c r="EH485" s="284"/>
      <c r="EI485" s="286"/>
      <c r="EJ485" s="284"/>
      <c r="EK485" s="284">
        <v>1191</v>
      </c>
      <c r="EL485" s="284">
        <v>1242</v>
      </c>
      <c r="EM485" s="284">
        <v>2433</v>
      </c>
      <c r="EN485" s="284">
        <v>5955</v>
      </c>
      <c r="EO485" s="284">
        <v>6210</v>
      </c>
      <c r="EP485" s="284">
        <v>12165</v>
      </c>
      <c r="EQ485" s="282" t="s">
        <v>320</v>
      </c>
      <c r="ER485" s="284"/>
      <c r="ES485" s="286"/>
      <c r="ET485" s="284"/>
      <c r="EU485" s="305" t="s">
        <v>320</v>
      </c>
      <c r="EV485" s="300">
        <v>2433</v>
      </c>
      <c r="EW485" s="308">
        <v>0.48</v>
      </c>
      <c r="EX485" s="300">
        <v>12165</v>
      </c>
      <c r="EY485" s="282"/>
      <c r="EZ485" s="284"/>
      <c r="FA485" s="286"/>
      <c r="FB485" s="284"/>
      <c r="FC485" s="282"/>
      <c r="FD485" s="284"/>
      <c r="FE485" s="286"/>
      <c r="FF485" s="284"/>
      <c r="FG485" s="282"/>
      <c r="FH485" s="284"/>
      <c r="FI485" s="286"/>
      <c r="FJ485" s="284"/>
      <c r="FK485" s="282"/>
      <c r="FL485" s="284"/>
      <c r="FM485" s="286"/>
      <c r="FN485" s="284"/>
      <c r="FO485" s="305"/>
      <c r="FP485" s="300"/>
      <c r="FQ485" s="308"/>
      <c r="FR485" s="300"/>
      <c r="FS485" s="282"/>
      <c r="FT485" s="284"/>
      <c r="FU485" s="286"/>
      <c r="FV485" s="284"/>
      <c r="FW485" s="282"/>
      <c r="FX485" s="284"/>
      <c r="FY485" s="286"/>
      <c r="FZ485" s="284"/>
      <c r="GA485" s="282"/>
      <c r="GB485" s="284"/>
      <c r="GC485" s="286"/>
      <c r="GD485" s="284"/>
      <c r="GE485" s="282"/>
      <c r="GF485" s="284"/>
      <c r="GG485" s="286"/>
      <c r="GH485" s="284"/>
      <c r="GI485" s="282" t="s">
        <v>320</v>
      </c>
      <c r="GJ485" s="284"/>
      <c r="GK485" s="286"/>
      <c r="GL485" s="284"/>
      <c r="GM485" s="282" t="s">
        <v>320</v>
      </c>
      <c r="GN485" s="284"/>
      <c r="GO485" s="286"/>
      <c r="GP485" s="284"/>
      <c r="GQ485" s="282"/>
      <c r="GR485" s="284"/>
      <c r="GS485" s="286"/>
      <c r="GT485" s="284"/>
      <c r="GU485" s="282"/>
      <c r="GV485" s="284"/>
      <c r="GW485" s="286"/>
      <c r="GX485" s="284"/>
      <c r="GY485" s="282"/>
      <c r="GZ485" s="284"/>
      <c r="HA485" s="286"/>
      <c r="HB485" s="284"/>
      <c r="HC485" s="282"/>
      <c r="HD485" s="282"/>
      <c r="HE485" s="284"/>
      <c r="HF485" s="286"/>
      <c r="HG485" s="284"/>
      <c r="HH485" s="282" t="s">
        <v>320</v>
      </c>
      <c r="HI485" s="282" t="s">
        <v>327</v>
      </c>
      <c r="HJ485" s="282">
        <v>2016</v>
      </c>
      <c r="HK485" s="282"/>
      <c r="HL485" s="282" t="s">
        <v>319</v>
      </c>
      <c r="HM485" s="282"/>
      <c r="HN485" s="282"/>
      <c r="HO485" s="282" t="s">
        <v>8392</v>
      </c>
      <c r="HP485" s="282" t="s">
        <v>418</v>
      </c>
      <c r="HQ485" s="282" t="s">
        <v>320</v>
      </c>
      <c r="HR485" s="282"/>
      <c r="HS485" s="282" t="s">
        <v>319</v>
      </c>
      <c r="HT485" s="282" t="s">
        <v>320</v>
      </c>
      <c r="HU485" s="282"/>
      <c r="HV485" s="282" t="s">
        <v>319</v>
      </c>
      <c r="HW485" s="282" t="s">
        <v>319</v>
      </c>
      <c r="HX485" s="282" t="s">
        <v>320</v>
      </c>
      <c r="HY485" s="282" t="s">
        <v>8393</v>
      </c>
      <c r="HZ485" s="282" t="s">
        <v>363</v>
      </c>
      <c r="IA485" s="282"/>
      <c r="IB485" s="282" t="s">
        <v>333</v>
      </c>
      <c r="IC485" s="282"/>
      <c r="ID485" s="282" t="s">
        <v>334</v>
      </c>
      <c r="IE485" s="282" t="s">
        <v>335</v>
      </c>
      <c r="IF485" s="282" t="s">
        <v>319</v>
      </c>
      <c r="IG485" s="282" t="s">
        <v>320</v>
      </c>
      <c r="IH485" s="282" t="s">
        <v>320</v>
      </c>
      <c r="II485" s="282" t="s">
        <v>319</v>
      </c>
      <c r="IJ485" s="12" t="str">
        <f t="shared" si="302"/>
        <v>1. Neutral</v>
      </c>
      <c r="IK485" s="287">
        <f t="shared" si="303"/>
        <v>2</v>
      </c>
      <c r="IL485" s="282" t="s">
        <v>336</v>
      </c>
      <c r="IM485" s="282" t="s">
        <v>320</v>
      </c>
      <c r="IN485" s="282" t="s">
        <v>320</v>
      </c>
      <c r="IO485" s="282" t="s">
        <v>320</v>
      </c>
      <c r="IP485" s="282" t="s">
        <v>320</v>
      </c>
      <c r="IQ485" s="287" t="str">
        <f t="shared" si="304"/>
        <v>2. Accommodating</v>
      </c>
      <c r="IR485" s="287">
        <f t="shared" si="305"/>
        <v>4</v>
      </c>
      <c r="IS485" s="282" t="s">
        <v>337</v>
      </c>
      <c r="IT485" s="282" t="s">
        <v>320</v>
      </c>
      <c r="IU485" s="282" t="s">
        <v>320</v>
      </c>
      <c r="IV485" s="282" t="s">
        <v>320</v>
      </c>
      <c r="IW485" s="11" t="str">
        <f t="shared" si="306"/>
        <v>2. Sensitive</v>
      </c>
      <c r="IX485" s="287">
        <f t="shared" si="307"/>
        <v>3</v>
      </c>
      <c r="IY485" s="282" t="s">
        <v>419</v>
      </c>
      <c r="IZ485" s="282" t="s">
        <v>457</v>
      </c>
      <c r="JA485" s="282">
        <v>2</v>
      </c>
      <c r="JB485" s="282" t="s">
        <v>1570</v>
      </c>
      <c r="JC485" s="282" t="s">
        <v>433</v>
      </c>
      <c r="JD485" s="282" t="s">
        <v>687</v>
      </c>
      <c r="JE485" s="282" t="s">
        <v>340</v>
      </c>
      <c r="JF485" s="282" t="s">
        <v>8394</v>
      </c>
      <c r="JG485" s="282" t="s">
        <v>8395</v>
      </c>
      <c r="JH485" s="282" t="s">
        <v>8396</v>
      </c>
      <c r="JI485" s="282" t="s">
        <v>8397</v>
      </c>
      <c r="JJ485" s="282" t="s">
        <v>8398</v>
      </c>
      <c r="JK485" s="282" t="s">
        <v>8399</v>
      </c>
      <c r="JL485" s="282" t="s">
        <v>8400</v>
      </c>
      <c r="JM485" s="282" t="s">
        <v>8401</v>
      </c>
      <c r="JN485" s="282" t="s">
        <v>8402</v>
      </c>
      <c r="JO485" s="282"/>
      <c r="JP485" s="15">
        <f t="shared" si="308"/>
        <v>2433</v>
      </c>
      <c r="JQ485" s="15">
        <f t="shared" si="309"/>
        <v>12165</v>
      </c>
      <c r="JR485" s="279">
        <f t="shared" si="310"/>
        <v>5</v>
      </c>
      <c r="JS485" s="17">
        <f t="shared" si="311"/>
        <v>0.48951911220715166</v>
      </c>
      <c r="JT485" s="18">
        <f t="shared" si="312"/>
        <v>0.48951911220715166</v>
      </c>
      <c r="JU485" s="280">
        <f t="shared" si="313"/>
        <v>1191</v>
      </c>
      <c r="JV485" s="280">
        <f t="shared" si="314"/>
        <v>5955</v>
      </c>
      <c r="JW485" s="319" t="str">
        <f t="shared" si="315"/>
        <v/>
      </c>
      <c r="JX485" s="15">
        <f t="shared" si="316"/>
        <v>0</v>
      </c>
      <c r="JY485" s="15">
        <f t="shared" si="317"/>
        <v>0</v>
      </c>
      <c r="JZ485" s="19" t="str">
        <f t="shared" si="318"/>
        <v/>
      </c>
      <c r="KA485" s="52">
        <f t="shared" si="319"/>
        <v>1</v>
      </c>
      <c r="KB485" s="15">
        <f t="shared" si="320"/>
        <v>2433</v>
      </c>
      <c r="KC485" s="15">
        <f t="shared" si="321"/>
        <v>12165</v>
      </c>
      <c r="KD485" s="20">
        <f t="shared" si="322"/>
        <v>5</v>
      </c>
      <c r="KE485" s="52" t="str">
        <f t="shared" si="323"/>
        <v/>
      </c>
      <c r="KF485" s="15">
        <f t="shared" si="324"/>
        <v>0</v>
      </c>
      <c r="KG485" s="15">
        <f t="shared" si="325"/>
        <v>0</v>
      </c>
      <c r="KH485" s="21" t="str">
        <f t="shared" si="326"/>
        <v/>
      </c>
      <c r="KI485" s="52" t="str">
        <f t="shared" si="327"/>
        <v/>
      </c>
      <c r="KJ485" s="15">
        <f t="shared" si="328"/>
        <v>0</v>
      </c>
      <c r="KK485" s="15">
        <f t="shared" si="329"/>
        <v>0</v>
      </c>
      <c r="KL485" s="19" t="str">
        <f t="shared" si="330"/>
        <v/>
      </c>
      <c r="KM485" s="52" t="str">
        <f t="shared" si="331"/>
        <v/>
      </c>
      <c r="KN485" s="22">
        <f t="shared" si="332"/>
        <v>0</v>
      </c>
      <c r="KO485" s="22">
        <f t="shared" si="333"/>
        <v>0</v>
      </c>
      <c r="KP485" s="19" t="str">
        <f t="shared" si="334"/>
        <v/>
      </c>
      <c r="KQ485" s="11" t="str">
        <f t="shared" si="335"/>
        <v>1. Neutral</v>
      </c>
      <c r="KR485" s="11" t="str">
        <f t="shared" si="336"/>
        <v>2. Accommodating</v>
      </c>
      <c r="KS485" s="11" t="str">
        <f t="shared" si="337"/>
        <v>2. Sensitive</v>
      </c>
      <c r="KT485" s="11" t="str">
        <f t="shared" si="338"/>
        <v>It did not develop any specific innovation</v>
      </c>
      <c r="KU485" s="11" t="str">
        <f t="shared" si="339"/>
        <v>Little or no advocacy</v>
      </c>
      <c r="KV485" s="11" t="str">
        <f t="shared" si="340"/>
        <v>It did not take tested solutions to scale</v>
      </c>
      <c r="KW485" s="11" t="str">
        <f t="shared" si="341"/>
        <v>Mozambique - Primeiras e Segundas</v>
      </c>
      <c r="KX485" s="11" t="str">
        <f t="shared" si="342"/>
        <v>Primeiras e Segundas</v>
      </c>
      <c r="KY485" s="11" t="str">
        <f t="shared" si="343"/>
        <v>Mozambique</v>
      </c>
      <c r="KZ485" s="12">
        <v>485</v>
      </c>
    </row>
    <row r="486" spans="1:312" x14ac:dyDescent="0.3">
      <c r="A486" s="282" t="s">
        <v>8265</v>
      </c>
      <c r="B486" s="282" t="s">
        <v>7217</v>
      </c>
      <c r="C486" s="282"/>
      <c r="D486" s="282" t="s">
        <v>8290</v>
      </c>
      <c r="E486" s="277" t="str">
        <f t="shared" si="301"/>
        <v>Mozambique</v>
      </c>
      <c r="F486" s="282" t="s">
        <v>8291</v>
      </c>
      <c r="G486" s="282" t="s">
        <v>608</v>
      </c>
      <c r="H486" s="282" t="s">
        <v>383</v>
      </c>
      <c r="I486" s="282" t="s">
        <v>907</v>
      </c>
      <c r="J486" s="281" t="s">
        <v>5183</v>
      </c>
      <c r="K486" s="282"/>
      <c r="L486" s="282"/>
      <c r="M486" s="282"/>
      <c r="N486" s="282"/>
      <c r="O486" s="282"/>
      <c r="P486" s="282"/>
      <c r="Q486" s="282"/>
      <c r="R486" s="282"/>
      <c r="S486" s="282"/>
      <c r="T486" s="282"/>
      <c r="U486" s="282"/>
      <c r="V486" s="282"/>
      <c r="W486" s="282"/>
      <c r="X486" s="282"/>
      <c r="Y486" s="282"/>
      <c r="Z486" s="282"/>
      <c r="AA486" s="282"/>
      <c r="AB486" s="282"/>
      <c r="AC486" s="282"/>
      <c r="AD486" s="282"/>
      <c r="AE486" s="282"/>
      <c r="AF486" s="282"/>
      <c r="AG486" s="282"/>
      <c r="AH486" s="282"/>
      <c r="AI486" s="282"/>
      <c r="AJ486" s="282"/>
      <c r="AK486" s="282"/>
      <c r="AL486" s="282"/>
      <c r="AM486" s="282"/>
      <c r="AN486" s="282"/>
      <c r="AO486" s="282"/>
      <c r="AP486" s="282"/>
      <c r="AQ486" s="282"/>
      <c r="AR486" s="282"/>
      <c r="AS486" s="282"/>
      <c r="AT486" s="282"/>
      <c r="AU486" s="282"/>
      <c r="AV486" s="282"/>
      <c r="AW486" s="282"/>
      <c r="AX486" s="282"/>
      <c r="AY486" s="282"/>
      <c r="AZ486" s="282"/>
      <c r="BA486" s="282"/>
      <c r="BB486" s="282"/>
      <c r="BC486" s="282"/>
      <c r="BD486" s="283">
        <v>42491</v>
      </c>
      <c r="BE486" s="283">
        <v>43039</v>
      </c>
      <c r="BF486" s="283"/>
      <c r="BG486" s="283" t="s">
        <v>817</v>
      </c>
      <c r="BH486" s="284">
        <v>1831010</v>
      </c>
      <c r="BI486" s="282" t="s">
        <v>8292</v>
      </c>
      <c r="BJ486" s="282" t="s">
        <v>354</v>
      </c>
      <c r="BK486" s="282" t="s">
        <v>8293</v>
      </c>
      <c r="BL486" s="282" t="s">
        <v>8294</v>
      </c>
      <c r="BM486" s="282" t="s">
        <v>8295</v>
      </c>
      <c r="BN486" s="282" t="s">
        <v>8296</v>
      </c>
      <c r="BO486" s="282" t="s">
        <v>320</v>
      </c>
      <c r="BP486" s="282" t="s">
        <v>320</v>
      </c>
      <c r="BQ486" s="282" t="s">
        <v>320</v>
      </c>
      <c r="BR486" s="282" t="s">
        <v>8297</v>
      </c>
      <c r="BS486" s="282" t="s">
        <v>357</v>
      </c>
      <c r="BT486" s="282" t="s">
        <v>8298</v>
      </c>
      <c r="BU486" s="282" t="s">
        <v>8299</v>
      </c>
      <c r="BV486" s="284">
        <v>19636</v>
      </c>
      <c r="BW486" s="284">
        <v>18869</v>
      </c>
      <c r="BX486" s="284">
        <v>58505</v>
      </c>
      <c r="BY486" s="284"/>
      <c r="BZ486" s="284"/>
      <c r="CA486" s="284"/>
      <c r="CB486" s="285" t="s">
        <v>8300</v>
      </c>
      <c r="CC486" s="285"/>
      <c r="CD486" s="284">
        <v>11781</v>
      </c>
      <c r="CE486" s="284">
        <v>11321</v>
      </c>
      <c r="CF486" s="284">
        <v>23102</v>
      </c>
      <c r="CG486" s="284"/>
      <c r="CH486" s="284"/>
      <c r="CI486" s="284"/>
      <c r="CJ486" s="282"/>
      <c r="CK486" s="284"/>
      <c r="CL486" s="286"/>
      <c r="CM486" s="284"/>
      <c r="CN486" s="287"/>
      <c r="CO486" s="284"/>
      <c r="CP486" s="286"/>
      <c r="CQ486" s="284"/>
      <c r="CR486" s="282"/>
      <c r="CS486" s="284"/>
      <c r="CT486" s="286"/>
      <c r="CU486" s="284"/>
      <c r="CV486" s="292"/>
      <c r="CW486" s="290"/>
      <c r="CX486" s="291"/>
      <c r="CY486" s="306"/>
      <c r="CZ486" s="282" t="s">
        <v>320</v>
      </c>
      <c r="DA486" s="284">
        <v>1149</v>
      </c>
      <c r="DB486" s="286">
        <v>0.11</v>
      </c>
      <c r="DC486" s="284">
        <v>945</v>
      </c>
      <c r="DD486" s="287"/>
      <c r="DE486" s="284"/>
      <c r="DF486" s="286"/>
      <c r="DG486" s="284"/>
      <c r="DH486" s="282"/>
      <c r="DI486" s="284"/>
      <c r="DJ486" s="286"/>
      <c r="DK486" s="284"/>
      <c r="DL486" s="282"/>
      <c r="DM486" s="284"/>
      <c r="DN486" s="286"/>
      <c r="DO486" s="284"/>
      <c r="DP486" s="282"/>
      <c r="DQ486" s="284"/>
      <c r="DR486" s="286"/>
      <c r="DS486" s="284"/>
      <c r="DT486" s="282"/>
      <c r="DU486" s="284"/>
      <c r="DV486" s="286"/>
      <c r="DW486" s="284"/>
      <c r="DX486" s="282"/>
      <c r="DY486" s="284"/>
      <c r="DZ486" s="286"/>
      <c r="EA486" s="284"/>
      <c r="EB486" s="282"/>
      <c r="EC486" s="284"/>
      <c r="ED486" s="286"/>
      <c r="EE486" s="284"/>
      <c r="EF486" s="285" t="s">
        <v>8301</v>
      </c>
      <c r="EG486" s="287" t="s">
        <v>320</v>
      </c>
      <c r="EH486" s="284">
        <v>31850</v>
      </c>
      <c r="EI486" s="286">
        <v>0.12</v>
      </c>
      <c r="EJ486" s="284">
        <v>19240</v>
      </c>
      <c r="EK486" s="284"/>
      <c r="EL486" s="284"/>
      <c r="EM486" s="284"/>
      <c r="EN486" s="284"/>
      <c r="EO486" s="284"/>
      <c r="EP486" s="284"/>
      <c r="EQ486" s="282"/>
      <c r="ER486" s="284"/>
      <c r="ES486" s="286"/>
      <c r="ET486" s="284"/>
      <c r="EU486" s="289" t="s">
        <v>320</v>
      </c>
      <c r="EV486" s="300">
        <v>31850</v>
      </c>
      <c r="EW486" s="308">
        <v>0.12</v>
      </c>
      <c r="EX486" s="300">
        <v>19240</v>
      </c>
      <c r="EY486" s="282"/>
      <c r="EZ486" s="284"/>
      <c r="FA486" s="286"/>
      <c r="FB486" s="284"/>
      <c r="FC486" s="282"/>
      <c r="FD486" s="284"/>
      <c r="FE486" s="286"/>
      <c r="FF486" s="284"/>
      <c r="FG486" s="282"/>
      <c r="FH486" s="284"/>
      <c r="FI486" s="286"/>
      <c r="FJ486" s="284"/>
      <c r="FK486" s="282"/>
      <c r="FL486" s="284"/>
      <c r="FM486" s="286"/>
      <c r="FN486" s="284"/>
      <c r="FO486" s="305"/>
      <c r="FP486" s="300"/>
      <c r="FQ486" s="308"/>
      <c r="FR486" s="300"/>
      <c r="FS486" s="282"/>
      <c r="FT486" s="284"/>
      <c r="FU486" s="286"/>
      <c r="FV486" s="284"/>
      <c r="FW486" s="282"/>
      <c r="FX486" s="284"/>
      <c r="FY486" s="286"/>
      <c r="FZ486" s="284"/>
      <c r="GA486" s="282"/>
      <c r="GB486" s="284"/>
      <c r="GC486" s="286"/>
      <c r="GD486" s="284"/>
      <c r="GE486" s="282"/>
      <c r="GF486" s="284"/>
      <c r="GG486" s="286"/>
      <c r="GH486" s="284"/>
      <c r="GI486" s="282"/>
      <c r="GJ486" s="284"/>
      <c r="GK486" s="286"/>
      <c r="GL486" s="284"/>
      <c r="GM486" s="282"/>
      <c r="GN486" s="284"/>
      <c r="GO486" s="286"/>
      <c r="GP486" s="284"/>
      <c r="GQ486" s="282"/>
      <c r="GR486" s="284"/>
      <c r="GS486" s="286"/>
      <c r="GT486" s="284"/>
      <c r="GU486" s="282"/>
      <c r="GV486" s="284"/>
      <c r="GW486" s="286"/>
      <c r="GX486" s="284"/>
      <c r="GY486" s="282"/>
      <c r="GZ486" s="284"/>
      <c r="HA486" s="286"/>
      <c r="HB486" s="284"/>
      <c r="HC486" s="282"/>
      <c r="HD486" s="282"/>
      <c r="HE486" s="284"/>
      <c r="HF486" s="286"/>
      <c r="HG486" s="284"/>
      <c r="HH486" s="282" t="s">
        <v>320</v>
      </c>
      <c r="HI486" s="282" t="s">
        <v>431</v>
      </c>
      <c r="HJ486" s="282">
        <v>2017</v>
      </c>
      <c r="HK486" s="282" t="s">
        <v>320</v>
      </c>
      <c r="HL486" s="282" t="s">
        <v>320</v>
      </c>
      <c r="HM486" s="282" t="s">
        <v>619</v>
      </c>
      <c r="HN486" s="282">
        <v>2017</v>
      </c>
      <c r="HO486" s="282"/>
      <c r="HP486" s="282" t="s">
        <v>418</v>
      </c>
      <c r="HQ486" s="282"/>
      <c r="HR486" s="282"/>
      <c r="HS486" s="282"/>
      <c r="HT486" s="282"/>
      <c r="HU486" s="282"/>
      <c r="HV486" s="282"/>
      <c r="HW486" s="282"/>
      <c r="HX486" s="282"/>
      <c r="HY486" s="282"/>
      <c r="HZ486" s="282" t="s">
        <v>363</v>
      </c>
      <c r="IA486" s="282"/>
      <c r="IB486" s="282" t="s">
        <v>333</v>
      </c>
      <c r="IC486" s="282"/>
      <c r="ID486" s="282" t="s">
        <v>364</v>
      </c>
      <c r="IE486" s="282" t="s">
        <v>335</v>
      </c>
      <c r="IF486" s="282" t="s">
        <v>319</v>
      </c>
      <c r="IG486" s="282" t="s">
        <v>319</v>
      </c>
      <c r="IH486" s="282" t="s">
        <v>320</v>
      </c>
      <c r="II486" s="282" t="s">
        <v>320</v>
      </c>
      <c r="IJ486" s="12" t="str">
        <f t="shared" si="302"/>
        <v>1. Neutral</v>
      </c>
      <c r="IK486" s="287">
        <f t="shared" si="303"/>
        <v>2</v>
      </c>
      <c r="IL486" s="282" t="s">
        <v>336</v>
      </c>
      <c r="IM486" s="282" t="s">
        <v>320</v>
      </c>
      <c r="IN486" s="282" t="s">
        <v>320</v>
      </c>
      <c r="IO486" s="282" t="s">
        <v>320</v>
      </c>
      <c r="IP486" s="282" t="s">
        <v>320</v>
      </c>
      <c r="IQ486" s="287" t="str">
        <f t="shared" si="304"/>
        <v>2. Accommodating</v>
      </c>
      <c r="IR486" s="287">
        <f t="shared" si="305"/>
        <v>4</v>
      </c>
      <c r="IS486" s="282" t="s">
        <v>337</v>
      </c>
      <c r="IT486" s="282" t="s">
        <v>320</v>
      </c>
      <c r="IU486" s="282" t="s">
        <v>320</v>
      </c>
      <c r="IV486" s="282" t="s">
        <v>319</v>
      </c>
      <c r="IW486" s="11" t="str">
        <f t="shared" si="306"/>
        <v>1. Neutral</v>
      </c>
      <c r="IX486" s="287">
        <f t="shared" si="307"/>
        <v>2</v>
      </c>
      <c r="IY486" s="282" t="s">
        <v>419</v>
      </c>
      <c r="IZ486" s="282" t="s">
        <v>527</v>
      </c>
      <c r="JA486" s="282">
        <v>2</v>
      </c>
      <c r="JB486" s="282" t="s">
        <v>831</v>
      </c>
      <c r="JC486" s="282" t="s">
        <v>687</v>
      </c>
      <c r="JD486" s="282"/>
      <c r="JE486" s="282" t="s">
        <v>420</v>
      </c>
      <c r="JF486" s="282"/>
      <c r="JG486" s="282"/>
      <c r="JH486" s="282" t="s">
        <v>8302</v>
      </c>
      <c r="JI486" s="282" t="s">
        <v>8303</v>
      </c>
      <c r="JJ486" s="282"/>
      <c r="JK486" s="282"/>
      <c r="JL486" s="282"/>
      <c r="JM486" s="282"/>
      <c r="JN486" s="282"/>
      <c r="JO486" s="282"/>
      <c r="JP486" s="15">
        <f t="shared" si="308"/>
        <v>23102</v>
      </c>
      <c r="JQ486" s="15">
        <f t="shared" si="309"/>
        <v>0</v>
      </c>
      <c r="JR486" s="279">
        <f t="shared" si="310"/>
        <v>0</v>
      </c>
      <c r="JS486" s="17">
        <f t="shared" si="311"/>
        <v>0.50995584797853</v>
      </c>
      <c r="JT486" s="18" t="str">
        <f t="shared" si="312"/>
        <v/>
      </c>
      <c r="JU486" s="280">
        <f t="shared" si="313"/>
        <v>11781</v>
      </c>
      <c r="JV486" s="280">
        <f t="shared" si="314"/>
        <v>0</v>
      </c>
      <c r="JW486" s="319">
        <f t="shared" si="315"/>
        <v>1</v>
      </c>
      <c r="JX486" s="15">
        <f t="shared" si="316"/>
        <v>23102</v>
      </c>
      <c r="JY486" s="15">
        <f t="shared" si="317"/>
        <v>0</v>
      </c>
      <c r="JZ486" s="19">
        <f t="shared" si="318"/>
        <v>0</v>
      </c>
      <c r="KA486" s="52">
        <f t="shared" si="319"/>
        <v>1</v>
      </c>
      <c r="KB486" s="15">
        <f t="shared" si="320"/>
        <v>31850</v>
      </c>
      <c r="KC486" s="15">
        <f t="shared" si="321"/>
        <v>19240</v>
      </c>
      <c r="KD486" s="20">
        <f t="shared" si="322"/>
        <v>0.60408163265306125</v>
      </c>
      <c r="KE486" s="52" t="str">
        <f t="shared" si="323"/>
        <v/>
      </c>
      <c r="KF486" s="15">
        <f t="shared" si="324"/>
        <v>0</v>
      </c>
      <c r="KG486" s="15">
        <f t="shared" si="325"/>
        <v>0</v>
      </c>
      <c r="KH486" s="21" t="str">
        <f t="shared" si="326"/>
        <v/>
      </c>
      <c r="KI486" s="52">
        <f t="shared" si="327"/>
        <v>1</v>
      </c>
      <c r="KJ486" s="15">
        <f t="shared" si="328"/>
        <v>1149</v>
      </c>
      <c r="KK486" s="15">
        <f t="shared" si="329"/>
        <v>945</v>
      </c>
      <c r="KL486" s="19">
        <f t="shared" si="330"/>
        <v>0.82245430809399478</v>
      </c>
      <c r="KM486" s="52" t="str">
        <f t="shared" si="331"/>
        <v/>
      </c>
      <c r="KN486" s="22">
        <f t="shared" si="332"/>
        <v>0</v>
      </c>
      <c r="KO486" s="22">
        <f t="shared" si="333"/>
        <v>0</v>
      </c>
      <c r="KP486" s="19" t="str">
        <f t="shared" si="334"/>
        <v/>
      </c>
      <c r="KQ486" s="11" t="str">
        <f t="shared" si="335"/>
        <v>1. Neutral</v>
      </c>
      <c r="KR486" s="11" t="str">
        <f t="shared" si="336"/>
        <v>2. Accommodating</v>
      </c>
      <c r="KS486" s="11" t="str">
        <f t="shared" si="337"/>
        <v>1. Neutral</v>
      </c>
      <c r="KT486" s="11" t="str">
        <f t="shared" si="338"/>
        <v>It did not develop any specific innovation</v>
      </c>
      <c r="KU486" s="11" t="str">
        <f t="shared" si="339"/>
        <v>Little or no advocacy</v>
      </c>
      <c r="KV486" s="11" t="str">
        <f t="shared" si="340"/>
        <v>It did not take tested solutions to scale</v>
      </c>
      <c r="KW486" s="11" t="str">
        <f t="shared" si="341"/>
        <v>Mozambique - Programme for Preparedness and Response to Emergencies in Mozambique (PROPREM)</v>
      </c>
      <c r="KX486" s="11" t="str">
        <f t="shared" si="342"/>
        <v>Programme for Preparedness and Response to Emergencies in Mozambique (PROPREM)</v>
      </c>
      <c r="KY486" s="11" t="str">
        <f t="shared" si="343"/>
        <v>Mozambique</v>
      </c>
      <c r="KZ486" s="287">
        <v>486</v>
      </c>
    </row>
    <row r="487" spans="1:312" x14ac:dyDescent="0.3">
      <c r="A487" s="12" t="s">
        <v>8265</v>
      </c>
      <c r="B487" s="12" t="s">
        <v>7217</v>
      </c>
      <c r="C487" s="12">
        <v>3146</v>
      </c>
      <c r="D487" s="12" t="s">
        <v>8403</v>
      </c>
      <c r="E487" s="277" t="str">
        <f t="shared" si="301"/>
        <v>Mozambique</v>
      </c>
      <c r="F487" s="12" t="s">
        <v>8404</v>
      </c>
      <c r="G487" s="12" t="s">
        <v>379</v>
      </c>
      <c r="H487" s="12" t="s">
        <v>310</v>
      </c>
      <c r="I487" s="12" t="s">
        <v>7796</v>
      </c>
      <c r="J487" s="281" t="s">
        <v>7797</v>
      </c>
      <c r="K487" s="12" t="s">
        <v>8405</v>
      </c>
      <c r="L487" s="12" t="s">
        <v>379</v>
      </c>
      <c r="M487" s="12" t="s">
        <v>380</v>
      </c>
      <c r="N487" s="12" t="s">
        <v>517</v>
      </c>
      <c r="O487" s="12" t="s">
        <v>14578</v>
      </c>
      <c r="P487" s="12"/>
      <c r="Q487" s="12"/>
      <c r="R487" s="12"/>
      <c r="S487" s="12"/>
      <c r="T487" s="12"/>
      <c r="U487" s="12"/>
      <c r="V487" s="12"/>
      <c r="W487" s="12"/>
      <c r="X487" s="12"/>
      <c r="Y487" s="12"/>
      <c r="Z487" s="12"/>
      <c r="AA487" s="12"/>
      <c r="AB487" s="12"/>
      <c r="AC487" s="12"/>
      <c r="AD487" s="12"/>
      <c r="BD487" s="13">
        <v>41244</v>
      </c>
      <c r="BE487" s="13">
        <v>43373</v>
      </c>
      <c r="BF487" s="12"/>
      <c r="BG487" s="12" t="s">
        <v>749</v>
      </c>
      <c r="BH487" s="14">
        <v>6195668</v>
      </c>
      <c r="BI487" s="12" t="s">
        <v>8269</v>
      </c>
      <c r="BJ487" s="12" t="s">
        <v>8406</v>
      </c>
      <c r="BK487" s="12" t="s">
        <v>8270</v>
      </c>
      <c r="BL487" s="12" t="s">
        <v>8407</v>
      </c>
      <c r="BM487" s="12" t="s">
        <v>444</v>
      </c>
      <c r="BN487" s="12" t="s">
        <v>8408</v>
      </c>
      <c r="BO487" s="12" t="s">
        <v>319</v>
      </c>
      <c r="BP487" s="12" t="s">
        <v>320</v>
      </c>
      <c r="BQ487" s="12" t="s">
        <v>319</v>
      </c>
      <c r="BR487" s="12" t="s">
        <v>8409</v>
      </c>
      <c r="BS487" s="12" t="s">
        <v>357</v>
      </c>
      <c r="BT487" s="12" t="s">
        <v>8410</v>
      </c>
      <c r="BU487" s="12" t="s">
        <v>8411</v>
      </c>
      <c r="BV487" s="14">
        <v>4200</v>
      </c>
      <c r="BW487" s="14">
        <v>1050</v>
      </c>
      <c r="BX487" s="14">
        <v>5250</v>
      </c>
      <c r="BY487" s="14">
        <v>18900</v>
      </c>
      <c r="BZ487" s="14">
        <v>4725</v>
      </c>
      <c r="CA487" s="14">
        <v>23625</v>
      </c>
      <c r="CB487" s="12" t="s">
        <v>8412</v>
      </c>
      <c r="CD487" s="14"/>
      <c r="CE487" s="14"/>
      <c r="CF487" s="14"/>
      <c r="CG487" s="14"/>
      <c r="CH487" s="14"/>
      <c r="CI487" s="14"/>
      <c r="CJ487" s="12"/>
      <c r="CK487" s="14"/>
      <c r="CL487" s="16"/>
      <c r="CM487" s="14"/>
      <c r="CN487" s="12"/>
      <c r="CO487" s="14"/>
      <c r="CP487" s="16"/>
      <c r="CQ487" s="14"/>
      <c r="CR487" s="12"/>
      <c r="CS487" s="14"/>
      <c r="CT487" s="16"/>
      <c r="CU487" s="14"/>
      <c r="CV487" s="12"/>
      <c r="CW487" s="14"/>
      <c r="CX487" s="16"/>
      <c r="CY487" s="14"/>
      <c r="CZ487" s="12"/>
      <c r="DA487" s="14"/>
      <c r="DB487" s="16"/>
      <c r="DC487" s="14"/>
      <c r="DD487" s="12"/>
      <c r="DE487" s="14"/>
      <c r="DF487" s="16"/>
      <c r="DG487" s="14"/>
      <c r="DH487" s="12"/>
      <c r="DI487" s="14"/>
      <c r="DJ487" s="16"/>
      <c r="DK487" s="14"/>
      <c r="DL487" s="12"/>
      <c r="DM487" s="14"/>
      <c r="DN487" s="16"/>
      <c r="DO487" s="14"/>
      <c r="DP487" s="12"/>
      <c r="DQ487" s="14"/>
      <c r="DR487" s="16"/>
      <c r="DS487" s="14"/>
      <c r="DT487" s="12"/>
      <c r="DU487" s="14"/>
      <c r="DV487" s="16"/>
      <c r="DW487" s="14"/>
      <c r="DX487" s="12"/>
      <c r="DY487" s="14"/>
      <c r="DZ487" s="16"/>
      <c r="EA487" s="14"/>
      <c r="EB487" s="12"/>
      <c r="EC487" s="14"/>
      <c r="ED487" s="16"/>
      <c r="EE487" s="14"/>
      <c r="EF487" s="12"/>
      <c r="EG487" s="12"/>
      <c r="EH487" s="14"/>
      <c r="EI487" s="16"/>
      <c r="EJ487" s="14"/>
      <c r="EK487" s="14">
        <v>3744</v>
      </c>
      <c r="EL487" s="14">
        <v>1746</v>
      </c>
      <c r="EM487" s="14">
        <v>5490</v>
      </c>
      <c r="EN487" s="14">
        <v>18720</v>
      </c>
      <c r="EO487" s="14">
        <v>8730</v>
      </c>
      <c r="EP487" s="14">
        <v>27450</v>
      </c>
      <c r="EQ487" s="12" t="s">
        <v>320</v>
      </c>
      <c r="ER487" s="14">
        <v>3177</v>
      </c>
      <c r="ES487" s="16">
        <v>0.68</v>
      </c>
      <c r="ET487" s="14">
        <v>12708</v>
      </c>
      <c r="EU487" s="11" t="s">
        <v>320</v>
      </c>
      <c r="EV487" s="14">
        <v>5490</v>
      </c>
      <c r="EW487" s="16">
        <v>0.69</v>
      </c>
      <c r="EX487" s="14">
        <v>21960</v>
      </c>
      <c r="EY487" s="12" t="s">
        <v>319</v>
      </c>
      <c r="EZ487" s="14"/>
      <c r="FA487" s="16"/>
      <c r="FB487" s="14"/>
      <c r="FC487" s="12" t="s">
        <v>320</v>
      </c>
      <c r="FD487" s="14">
        <v>5490</v>
      </c>
      <c r="FE487" s="16">
        <v>0.69</v>
      </c>
      <c r="FF487" s="14">
        <v>21960</v>
      </c>
      <c r="FG487" s="12" t="s">
        <v>320</v>
      </c>
      <c r="FH487" s="14">
        <v>4139</v>
      </c>
      <c r="FI487" s="16">
        <v>0.82</v>
      </c>
      <c r="FJ487" s="14">
        <v>16556</v>
      </c>
      <c r="FK487" s="12" t="s">
        <v>319</v>
      </c>
      <c r="FL487" s="14"/>
      <c r="FM487" s="16"/>
      <c r="FN487" s="14"/>
      <c r="FO487" s="12" t="s">
        <v>320</v>
      </c>
      <c r="FP487" s="14">
        <v>3177</v>
      </c>
      <c r="FQ487" s="16">
        <v>0.68</v>
      </c>
      <c r="FR487" s="14">
        <v>12708</v>
      </c>
      <c r="FS487" s="12" t="s">
        <v>319</v>
      </c>
      <c r="FT487" s="14"/>
      <c r="FU487" s="16"/>
      <c r="FV487" s="14"/>
      <c r="FW487" s="11" t="s">
        <v>320</v>
      </c>
      <c r="FX487" s="14">
        <v>5490</v>
      </c>
      <c r="FY487" s="16">
        <v>0.69</v>
      </c>
      <c r="FZ487" s="14">
        <v>21960</v>
      </c>
      <c r="GA487" s="12" t="s">
        <v>319</v>
      </c>
      <c r="GB487" s="14"/>
      <c r="GC487" s="16"/>
      <c r="GD487" s="14"/>
      <c r="GE487" s="12" t="s">
        <v>319</v>
      </c>
      <c r="GF487" s="14"/>
      <c r="GG487" s="16"/>
      <c r="GH487" s="14"/>
      <c r="GI487" s="12" t="s">
        <v>319</v>
      </c>
      <c r="GJ487" s="14"/>
      <c r="GK487" s="16"/>
      <c r="GL487" s="14"/>
      <c r="GM487" s="11" t="s">
        <v>320</v>
      </c>
      <c r="GN487" s="14">
        <v>5490</v>
      </c>
      <c r="GO487" s="16">
        <v>0.69</v>
      </c>
      <c r="GP487" s="14">
        <v>21960</v>
      </c>
      <c r="GQ487" s="12" t="s">
        <v>319</v>
      </c>
      <c r="GR487" s="14"/>
      <c r="GS487" s="16"/>
      <c r="GT487" s="14"/>
      <c r="GU487" s="12" t="s">
        <v>319</v>
      </c>
      <c r="GV487" s="14"/>
      <c r="GW487" s="16"/>
      <c r="GX487" s="14"/>
      <c r="GY487" s="12" t="s">
        <v>319</v>
      </c>
      <c r="GZ487" s="14"/>
      <c r="HA487" s="16"/>
      <c r="HB487" s="14"/>
      <c r="HC487" s="12"/>
      <c r="HD487" s="12" t="s">
        <v>319</v>
      </c>
      <c r="HE487" s="14"/>
      <c r="HF487" s="16"/>
      <c r="HG487" s="14"/>
      <c r="HH487" s="12" t="s">
        <v>319</v>
      </c>
      <c r="HI487" s="12"/>
      <c r="HJ487" s="12"/>
      <c r="HK487" s="12" t="s">
        <v>319</v>
      </c>
      <c r="HL487" s="12" t="s">
        <v>320</v>
      </c>
      <c r="HM487" s="12" t="s">
        <v>619</v>
      </c>
      <c r="HN487" s="12">
        <v>2017</v>
      </c>
      <c r="HO487" s="12" t="s">
        <v>8413</v>
      </c>
      <c r="HP487" s="12" t="s">
        <v>330</v>
      </c>
      <c r="HQ487" s="12" t="s">
        <v>320</v>
      </c>
      <c r="HR487" s="12" t="s">
        <v>319</v>
      </c>
      <c r="HS487" s="12" t="s">
        <v>320</v>
      </c>
      <c r="HT487" s="12" t="s">
        <v>320</v>
      </c>
      <c r="HU487" s="12" t="s">
        <v>320</v>
      </c>
      <c r="HV487" s="12" t="s">
        <v>320</v>
      </c>
      <c r="HW487" s="12" t="s">
        <v>319</v>
      </c>
      <c r="HX487" s="12" t="s">
        <v>319</v>
      </c>
      <c r="HY487" s="12"/>
      <c r="HZ487" s="12" t="s">
        <v>331</v>
      </c>
      <c r="IA487" s="12" t="s">
        <v>8414</v>
      </c>
      <c r="IB487" s="12" t="s">
        <v>333</v>
      </c>
      <c r="IC487" s="12"/>
      <c r="ID487" s="12" t="s">
        <v>334</v>
      </c>
      <c r="IE487" s="12" t="s">
        <v>478</v>
      </c>
      <c r="IF487" s="12" t="s">
        <v>320</v>
      </c>
      <c r="IG487" s="12" t="s">
        <v>319</v>
      </c>
      <c r="IH487" s="12" t="s">
        <v>320</v>
      </c>
      <c r="II487" s="12" t="s">
        <v>319</v>
      </c>
      <c r="IJ487" s="12" t="str">
        <f t="shared" si="302"/>
        <v>3. Responsive</v>
      </c>
      <c r="IK487" s="12">
        <f t="shared" si="303"/>
        <v>2</v>
      </c>
      <c r="IL487" s="11" t="s">
        <v>621</v>
      </c>
      <c r="IM487" s="12" t="s">
        <v>320</v>
      </c>
      <c r="IN487" s="12" t="s">
        <v>320</v>
      </c>
      <c r="IO487" s="12" t="s">
        <v>320</v>
      </c>
      <c r="IP487" s="12" t="s">
        <v>319</v>
      </c>
      <c r="IQ487" s="12" t="str">
        <f t="shared" si="304"/>
        <v>3. Responsive</v>
      </c>
      <c r="IR487" s="12">
        <f t="shared" si="305"/>
        <v>3</v>
      </c>
      <c r="IS487" s="12" t="s">
        <v>622</v>
      </c>
      <c r="IT487" s="12" t="s">
        <v>319</v>
      </c>
      <c r="IU487" s="12" t="s">
        <v>319</v>
      </c>
      <c r="IV487" s="12" t="s">
        <v>320</v>
      </c>
      <c r="IW487" s="11" t="str">
        <f t="shared" si="306"/>
        <v>3. Responsive</v>
      </c>
      <c r="IX487" s="12">
        <f t="shared" si="307"/>
        <v>1</v>
      </c>
      <c r="IY487" s="12" t="s">
        <v>758</v>
      </c>
      <c r="IZ487" s="12" t="s">
        <v>457</v>
      </c>
      <c r="JA487" s="12">
        <v>4</v>
      </c>
      <c r="JB487" s="12" t="s">
        <v>687</v>
      </c>
      <c r="JC487" s="12" t="s">
        <v>433</v>
      </c>
      <c r="JD487" s="12" t="s">
        <v>831</v>
      </c>
      <c r="JE487" s="12" t="s">
        <v>340</v>
      </c>
      <c r="JF487" s="12" t="s">
        <v>8415</v>
      </c>
      <c r="JG487" s="12"/>
      <c r="JH487" s="12" t="s">
        <v>8416</v>
      </c>
      <c r="JI487" s="12" t="s">
        <v>8417</v>
      </c>
      <c r="JJ487" s="12" t="s">
        <v>8418</v>
      </c>
      <c r="JK487" s="12" t="s">
        <v>8419</v>
      </c>
      <c r="JL487" s="12" t="s">
        <v>8420</v>
      </c>
      <c r="JM487" s="12" t="s">
        <v>8421</v>
      </c>
      <c r="JN487" s="12"/>
      <c r="JO487" s="12" t="s">
        <v>8422</v>
      </c>
      <c r="JP487" s="15">
        <f t="shared" si="308"/>
        <v>5490</v>
      </c>
      <c r="JQ487" s="15">
        <f t="shared" si="309"/>
        <v>27450</v>
      </c>
      <c r="JR487" s="279">
        <f t="shared" si="310"/>
        <v>5</v>
      </c>
      <c r="JS487" s="17">
        <f t="shared" si="311"/>
        <v>0.68196721311475406</v>
      </c>
      <c r="JT487" s="18">
        <f t="shared" si="312"/>
        <v>0.68196721311475406</v>
      </c>
      <c r="JU487" s="280">
        <f t="shared" si="313"/>
        <v>3744</v>
      </c>
      <c r="JV487" s="280">
        <f t="shared" si="314"/>
        <v>18720</v>
      </c>
      <c r="JW487" s="319" t="str">
        <f t="shared" si="315"/>
        <v/>
      </c>
      <c r="JX487" s="15">
        <f t="shared" si="316"/>
        <v>0</v>
      </c>
      <c r="JY487" s="15">
        <f t="shared" si="317"/>
        <v>0</v>
      </c>
      <c r="JZ487" s="19" t="str">
        <f t="shared" si="318"/>
        <v/>
      </c>
      <c r="KA487" s="52">
        <f t="shared" si="319"/>
        <v>1</v>
      </c>
      <c r="KB487" s="15">
        <f t="shared" si="320"/>
        <v>5490</v>
      </c>
      <c r="KC487" s="15">
        <f t="shared" si="321"/>
        <v>21960</v>
      </c>
      <c r="KD487" s="20">
        <f t="shared" si="322"/>
        <v>4</v>
      </c>
      <c r="KE487" s="52" t="str">
        <f t="shared" si="323"/>
        <v/>
      </c>
      <c r="KF487" s="15">
        <f t="shared" si="324"/>
        <v>0</v>
      </c>
      <c r="KG487" s="15">
        <f t="shared" si="325"/>
        <v>0</v>
      </c>
      <c r="KH487" s="21" t="str">
        <f t="shared" si="326"/>
        <v/>
      </c>
      <c r="KI487" s="52" t="str">
        <f t="shared" si="327"/>
        <v/>
      </c>
      <c r="KJ487" s="15">
        <f t="shared" si="328"/>
        <v>0</v>
      </c>
      <c r="KK487" s="15">
        <f t="shared" si="329"/>
        <v>0</v>
      </c>
      <c r="KL487" s="19" t="str">
        <f t="shared" si="330"/>
        <v/>
      </c>
      <c r="KM487" s="52">
        <f t="shared" si="331"/>
        <v>1</v>
      </c>
      <c r="KN487" s="22">
        <f t="shared" si="332"/>
        <v>3393.98</v>
      </c>
      <c r="KO487" s="22">
        <f t="shared" si="333"/>
        <v>13575.92</v>
      </c>
      <c r="KP487" s="19">
        <f t="shared" si="334"/>
        <v>4</v>
      </c>
      <c r="KQ487" s="11" t="str">
        <f t="shared" si="335"/>
        <v>3. Responsive</v>
      </c>
      <c r="KR487" s="11" t="str">
        <f t="shared" si="336"/>
        <v>3. Responsive</v>
      </c>
      <c r="KS487" s="11" t="str">
        <f t="shared" si="337"/>
        <v>3. Responsive</v>
      </c>
      <c r="KT487" s="11" t="str">
        <f t="shared" si="338"/>
        <v>It tested new ways for fighting poverty and measured results of innovation</v>
      </c>
      <c r="KU487" s="11" t="str">
        <f t="shared" si="339"/>
        <v>Moderate advocacy</v>
      </c>
      <c r="KV487" s="11" t="str">
        <f t="shared" si="340"/>
        <v>It did not take tested solutions to scale</v>
      </c>
      <c r="KW487" s="11" t="str">
        <f t="shared" si="341"/>
        <v>Mozambique - PROSAN - Programa de Segurança Alimentar e Nutricional (Food and Nutrition Security Program)/PROCAJU - Projecto de Fortalecimento da Cadeia de Valor do Cajú</v>
      </c>
      <c r="KX487" s="11" t="str">
        <f t="shared" si="342"/>
        <v>PROSAN - Programa de Segurança Alimentar e Nutricional (Food and Nutrition Security Program)/PROCAJU - Projecto de Fortalecimento da Cadeia de Valor do Cajú</v>
      </c>
      <c r="KY487" s="11" t="str">
        <f t="shared" si="343"/>
        <v>Mozambique</v>
      </c>
      <c r="KZ487" s="12">
        <v>487</v>
      </c>
    </row>
    <row r="488" spans="1:312" x14ac:dyDescent="0.3">
      <c r="A488" s="282" t="s">
        <v>8265</v>
      </c>
      <c r="B488" s="282" t="s">
        <v>7217</v>
      </c>
      <c r="C488" s="282"/>
      <c r="D488" s="282" t="s">
        <v>8304</v>
      </c>
      <c r="E488" s="277" t="str">
        <f t="shared" si="301"/>
        <v>Mozambique</v>
      </c>
      <c r="F488" s="282" t="s">
        <v>8305</v>
      </c>
      <c r="G488" s="282" t="s">
        <v>376</v>
      </c>
      <c r="H488" s="282" t="s">
        <v>310</v>
      </c>
      <c r="I488" s="282" t="s">
        <v>377</v>
      </c>
      <c r="J488" s="278" t="s">
        <v>14564</v>
      </c>
      <c r="K488" s="282"/>
      <c r="L488" s="282"/>
      <c r="M488" s="282"/>
      <c r="N488" s="282"/>
      <c r="O488" s="282"/>
      <c r="P488" s="282"/>
      <c r="Q488" s="282"/>
      <c r="R488" s="282"/>
      <c r="S488" s="282"/>
      <c r="T488" s="282"/>
      <c r="U488" s="282"/>
      <c r="V488" s="282"/>
      <c r="W488" s="282"/>
      <c r="X488" s="282"/>
      <c r="Y488" s="282"/>
      <c r="Z488" s="282"/>
      <c r="AA488" s="282"/>
      <c r="AB488" s="282"/>
      <c r="AC488" s="282"/>
      <c r="AD488" s="282"/>
      <c r="AE488" s="282"/>
      <c r="AF488" s="282"/>
      <c r="AG488" s="282"/>
      <c r="AH488" s="282"/>
      <c r="AI488" s="282"/>
      <c r="AJ488" s="282"/>
      <c r="AK488" s="282"/>
      <c r="AL488" s="282"/>
      <c r="AM488" s="282"/>
      <c r="AN488" s="282"/>
      <c r="AO488" s="282"/>
      <c r="AP488" s="282"/>
      <c r="AQ488" s="282"/>
      <c r="AR488" s="282"/>
      <c r="AS488" s="282"/>
      <c r="AT488" s="282"/>
      <c r="AU488" s="282"/>
      <c r="AV488" s="282"/>
      <c r="AW488" s="282"/>
      <c r="AX488" s="282"/>
      <c r="AY488" s="282"/>
      <c r="AZ488" s="282"/>
      <c r="BA488" s="282"/>
      <c r="BB488" s="282"/>
      <c r="BC488" s="282"/>
      <c r="BD488" s="283">
        <v>42430</v>
      </c>
      <c r="BE488" s="283">
        <v>44075</v>
      </c>
      <c r="BF488" s="283"/>
      <c r="BG488" s="283" t="s">
        <v>312</v>
      </c>
      <c r="BH488" s="284">
        <v>3649365</v>
      </c>
      <c r="BI488" s="282" t="s">
        <v>8269</v>
      </c>
      <c r="BJ488" s="282" t="s">
        <v>8306</v>
      </c>
      <c r="BK488" s="282" t="s">
        <v>8270</v>
      </c>
      <c r="BL488" s="282" t="s">
        <v>8307</v>
      </c>
      <c r="BM488" s="282" t="s">
        <v>354</v>
      </c>
      <c r="BN488" s="282" t="s">
        <v>8308</v>
      </c>
      <c r="BO488" s="282" t="s">
        <v>319</v>
      </c>
      <c r="BP488" s="282" t="s">
        <v>320</v>
      </c>
      <c r="BQ488" s="282" t="s">
        <v>319</v>
      </c>
      <c r="BR488" s="282" t="s">
        <v>8309</v>
      </c>
      <c r="BS488" s="282" t="s">
        <v>357</v>
      </c>
      <c r="BT488" s="282" t="s">
        <v>8310</v>
      </c>
      <c r="BU488" s="282" t="s">
        <v>8311</v>
      </c>
      <c r="BV488" s="284">
        <v>20496</v>
      </c>
      <c r="BW488" s="284">
        <v>16603</v>
      </c>
      <c r="BX488" s="284">
        <v>37099</v>
      </c>
      <c r="BY488" s="284">
        <v>22204</v>
      </c>
      <c r="BZ488" s="284">
        <v>17988</v>
      </c>
      <c r="CA488" s="284">
        <v>40192</v>
      </c>
      <c r="CB488" s="285" t="s">
        <v>8312</v>
      </c>
      <c r="CC488" s="285"/>
      <c r="CD488" s="284"/>
      <c r="CE488" s="284"/>
      <c r="CF488" s="284"/>
      <c r="CG488" s="284"/>
      <c r="CH488" s="284"/>
      <c r="CI488" s="284"/>
      <c r="CJ488" s="282"/>
      <c r="CK488" s="284"/>
      <c r="CL488" s="286"/>
      <c r="CM488" s="284"/>
      <c r="CN488" s="287"/>
      <c r="CO488" s="284"/>
      <c r="CP488" s="286"/>
      <c r="CQ488" s="284"/>
      <c r="CR488" s="282"/>
      <c r="CS488" s="284"/>
      <c r="CT488" s="286"/>
      <c r="CU488" s="284"/>
      <c r="CV488" s="292"/>
      <c r="CW488" s="290"/>
      <c r="CX488" s="291"/>
      <c r="CY488" s="306"/>
      <c r="CZ488" s="282"/>
      <c r="DA488" s="284"/>
      <c r="DB488" s="286"/>
      <c r="DC488" s="284"/>
      <c r="DD488" s="287"/>
      <c r="DE488" s="284"/>
      <c r="DF488" s="286"/>
      <c r="DG488" s="284"/>
      <c r="DH488" s="282"/>
      <c r="DI488" s="284"/>
      <c r="DJ488" s="286"/>
      <c r="DK488" s="284"/>
      <c r="DL488" s="282"/>
      <c r="DM488" s="284"/>
      <c r="DN488" s="286"/>
      <c r="DO488" s="284"/>
      <c r="DP488" s="282"/>
      <c r="DQ488" s="284"/>
      <c r="DR488" s="286"/>
      <c r="DS488" s="284"/>
      <c r="DT488" s="282"/>
      <c r="DU488" s="284"/>
      <c r="DV488" s="286"/>
      <c r="DW488" s="284"/>
      <c r="DX488" s="282"/>
      <c r="DY488" s="284"/>
      <c r="DZ488" s="286"/>
      <c r="EA488" s="284"/>
      <c r="EB488" s="282"/>
      <c r="EC488" s="284"/>
      <c r="ED488" s="286"/>
      <c r="EE488" s="284"/>
      <c r="EF488" s="285"/>
      <c r="EG488" s="287"/>
      <c r="EH488" s="284"/>
      <c r="EI488" s="286"/>
      <c r="EJ488" s="284"/>
      <c r="EK488" s="284">
        <v>0</v>
      </c>
      <c r="EL488" s="284">
        <v>0</v>
      </c>
      <c r="EM488" s="284">
        <v>0</v>
      </c>
      <c r="EN488" s="284">
        <v>0</v>
      </c>
      <c r="EO488" s="284">
        <v>0</v>
      </c>
      <c r="EP488" s="284">
        <v>0</v>
      </c>
      <c r="EQ488" s="282" t="s">
        <v>319</v>
      </c>
      <c r="ER488" s="284"/>
      <c r="ES488" s="286"/>
      <c r="ET488" s="284"/>
      <c r="EU488" s="282" t="s">
        <v>319</v>
      </c>
      <c r="EV488" s="284"/>
      <c r="EW488" s="286"/>
      <c r="EX488" s="284"/>
      <c r="EY488" s="282" t="s">
        <v>319</v>
      </c>
      <c r="EZ488" s="284"/>
      <c r="FA488" s="286"/>
      <c r="FB488" s="284"/>
      <c r="FC488" s="282" t="s">
        <v>319</v>
      </c>
      <c r="FD488" s="284"/>
      <c r="FE488" s="286"/>
      <c r="FF488" s="284"/>
      <c r="FG488" s="282" t="s">
        <v>319</v>
      </c>
      <c r="FH488" s="284"/>
      <c r="FI488" s="286"/>
      <c r="FJ488" s="284"/>
      <c r="FK488" s="282" t="s">
        <v>319</v>
      </c>
      <c r="FL488" s="284"/>
      <c r="FM488" s="286"/>
      <c r="FN488" s="284"/>
      <c r="FO488" s="305" t="s">
        <v>319</v>
      </c>
      <c r="FP488" s="300"/>
      <c r="FQ488" s="308"/>
      <c r="FR488" s="300"/>
      <c r="FS488" s="282" t="s">
        <v>319</v>
      </c>
      <c r="FT488" s="284"/>
      <c r="FU488" s="286"/>
      <c r="FV488" s="284"/>
      <c r="FW488" s="282" t="s">
        <v>319</v>
      </c>
      <c r="FX488" s="284"/>
      <c r="FY488" s="286"/>
      <c r="FZ488" s="284"/>
      <c r="GA488" s="282" t="s">
        <v>319</v>
      </c>
      <c r="GB488" s="284"/>
      <c r="GC488" s="286"/>
      <c r="GD488" s="284"/>
      <c r="GE488" s="282" t="s">
        <v>319</v>
      </c>
      <c r="GF488" s="284"/>
      <c r="GG488" s="286"/>
      <c r="GH488" s="284"/>
      <c r="GI488" s="282" t="s">
        <v>319</v>
      </c>
      <c r="GJ488" s="284"/>
      <c r="GK488" s="286"/>
      <c r="GL488" s="284"/>
      <c r="GM488" s="282" t="s">
        <v>319</v>
      </c>
      <c r="GN488" s="284"/>
      <c r="GO488" s="286"/>
      <c r="GP488" s="284"/>
      <c r="GQ488" s="282" t="s">
        <v>319</v>
      </c>
      <c r="GR488" s="284"/>
      <c r="GS488" s="286"/>
      <c r="GT488" s="284"/>
      <c r="GU488" s="282" t="s">
        <v>319</v>
      </c>
      <c r="GV488" s="284"/>
      <c r="GW488" s="286"/>
      <c r="GX488" s="284"/>
      <c r="GY488" s="282" t="s">
        <v>319</v>
      </c>
      <c r="GZ488" s="284"/>
      <c r="HA488" s="286"/>
      <c r="HB488" s="284"/>
      <c r="HC488" s="282"/>
      <c r="HD488" s="282" t="s">
        <v>319</v>
      </c>
      <c r="HE488" s="284"/>
      <c r="HF488" s="286"/>
      <c r="HG488" s="284"/>
      <c r="HH488" s="282" t="s">
        <v>320</v>
      </c>
      <c r="HI488" s="282" t="s">
        <v>431</v>
      </c>
      <c r="HJ488" s="282">
        <v>2017</v>
      </c>
      <c r="HK488" s="282" t="s">
        <v>320</v>
      </c>
      <c r="HL488" s="282" t="s">
        <v>319</v>
      </c>
      <c r="HM488" s="282"/>
      <c r="HN488" s="282"/>
      <c r="HO488" s="282" t="s">
        <v>1164</v>
      </c>
      <c r="HP488" s="282" t="s">
        <v>330</v>
      </c>
      <c r="HQ488" s="282" t="s">
        <v>319</v>
      </c>
      <c r="HR488" s="282" t="s">
        <v>319</v>
      </c>
      <c r="HS488" s="282" t="s">
        <v>319</v>
      </c>
      <c r="HT488" s="282" t="s">
        <v>320</v>
      </c>
      <c r="HU488" s="282" t="s">
        <v>320</v>
      </c>
      <c r="HV488" s="282" t="s">
        <v>319</v>
      </c>
      <c r="HW488" s="282" t="s">
        <v>319</v>
      </c>
      <c r="HX488" s="282"/>
      <c r="HY488" s="282"/>
      <c r="HZ488" s="282" t="s">
        <v>363</v>
      </c>
      <c r="IA488" s="282"/>
      <c r="IB488" s="282" t="s">
        <v>333</v>
      </c>
      <c r="IC488" s="282"/>
      <c r="ID488" s="282" t="s">
        <v>364</v>
      </c>
      <c r="IE488" s="282" t="s">
        <v>478</v>
      </c>
      <c r="IF488" s="282" t="s">
        <v>320</v>
      </c>
      <c r="IG488" s="282" t="s">
        <v>320</v>
      </c>
      <c r="IH488" s="282" t="s">
        <v>320</v>
      </c>
      <c r="II488" s="282" t="s">
        <v>320</v>
      </c>
      <c r="IJ488" s="12" t="str">
        <f t="shared" si="302"/>
        <v>4. Transformative</v>
      </c>
      <c r="IK488" s="287">
        <f t="shared" si="303"/>
        <v>4</v>
      </c>
      <c r="IL488" s="282" t="s">
        <v>336</v>
      </c>
      <c r="IM488" s="282" t="s">
        <v>320</v>
      </c>
      <c r="IN488" s="282" t="s">
        <v>320</v>
      </c>
      <c r="IO488" s="282" t="s">
        <v>320</v>
      </c>
      <c r="IP488" s="282" t="s">
        <v>320</v>
      </c>
      <c r="IQ488" s="287" t="str">
        <f t="shared" si="304"/>
        <v>2. Accommodating</v>
      </c>
      <c r="IR488" s="287">
        <f t="shared" si="305"/>
        <v>4</v>
      </c>
      <c r="IS488" s="282" t="s">
        <v>622</v>
      </c>
      <c r="IT488" s="282" t="s">
        <v>320</v>
      </c>
      <c r="IU488" s="282" t="s">
        <v>320</v>
      </c>
      <c r="IV488" s="282" t="s">
        <v>320</v>
      </c>
      <c r="IW488" s="11" t="str">
        <f t="shared" si="306"/>
        <v>4. Transformative</v>
      </c>
      <c r="IX488" s="287">
        <f t="shared" si="307"/>
        <v>3</v>
      </c>
      <c r="IY488" s="282"/>
      <c r="IZ488" s="282"/>
      <c r="JA488" s="282">
        <v>0</v>
      </c>
      <c r="JB488" s="282" t="s">
        <v>433</v>
      </c>
      <c r="JC488" s="282" t="s">
        <v>687</v>
      </c>
      <c r="JD488" s="282"/>
      <c r="JE488" s="282" t="s">
        <v>420</v>
      </c>
      <c r="JF488" s="282"/>
      <c r="JG488" s="282"/>
      <c r="JH488" s="282"/>
      <c r="JI488" s="282"/>
      <c r="JJ488" s="282"/>
      <c r="JK488" s="282"/>
      <c r="JL488" s="282"/>
      <c r="JM488" s="282"/>
      <c r="JN488" s="282" t="s">
        <v>8313</v>
      </c>
      <c r="JO488" s="282"/>
      <c r="JP488" s="15">
        <f t="shared" si="308"/>
        <v>0</v>
      </c>
      <c r="JQ488" s="15">
        <f t="shared" si="309"/>
        <v>0</v>
      </c>
      <c r="JR488" s="279" t="str">
        <f t="shared" si="310"/>
        <v/>
      </c>
      <c r="JS488" s="17" t="str">
        <f t="shared" si="311"/>
        <v/>
      </c>
      <c r="JT488" s="18" t="str">
        <f t="shared" si="312"/>
        <v/>
      </c>
      <c r="JU488" s="280">
        <f t="shared" si="313"/>
        <v>0</v>
      </c>
      <c r="JV488" s="280">
        <f t="shared" si="314"/>
        <v>0</v>
      </c>
      <c r="JW488" s="319" t="str">
        <f t="shared" si="315"/>
        <v/>
      </c>
      <c r="JX488" s="15">
        <f t="shared" si="316"/>
        <v>0</v>
      </c>
      <c r="JY488" s="15">
        <f t="shared" si="317"/>
        <v>0</v>
      </c>
      <c r="JZ488" s="19" t="str">
        <f t="shared" si="318"/>
        <v/>
      </c>
      <c r="KA488" s="52" t="str">
        <f t="shared" si="319"/>
        <v/>
      </c>
      <c r="KB488" s="15">
        <f t="shared" si="320"/>
        <v>0</v>
      </c>
      <c r="KC488" s="15">
        <f t="shared" si="321"/>
        <v>0</v>
      </c>
      <c r="KD488" s="20" t="str">
        <f t="shared" si="322"/>
        <v/>
      </c>
      <c r="KE488" s="52" t="str">
        <f t="shared" si="323"/>
        <v/>
      </c>
      <c r="KF488" s="15">
        <f t="shared" si="324"/>
        <v>0</v>
      </c>
      <c r="KG488" s="15">
        <f t="shared" si="325"/>
        <v>0</v>
      </c>
      <c r="KH488" s="21" t="str">
        <f t="shared" si="326"/>
        <v/>
      </c>
      <c r="KI488" s="52" t="str">
        <f t="shared" si="327"/>
        <v/>
      </c>
      <c r="KJ488" s="15">
        <f t="shared" si="328"/>
        <v>0</v>
      </c>
      <c r="KK488" s="15">
        <f t="shared" si="329"/>
        <v>0</v>
      </c>
      <c r="KL488" s="19" t="str">
        <f t="shared" si="330"/>
        <v/>
      </c>
      <c r="KM488" s="52" t="str">
        <f t="shared" si="331"/>
        <v/>
      </c>
      <c r="KN488" s="22">
        <f t="shared" si="332"/>
        <v>0</v>
      </c>
      <c r="KO488" s="22">
        <f t="shared" si="333"/>
        <v>0</v>
      </c>
      <c r="KP488" s="19" t="str">
        <f t="shared" si="334"/>
        <v/>
      </c>
      <c r="KQ488" s="11" t="str">
        <f t="shared" si="335"/>
        <v>4. Transformative</v>
      </c>
      <c r="KR488" s="11" t="str">
        <f t="shared" si="336"/>
        <v>2. Accommodating</v>
      </c>
      <c r="KS488" s="11" t="str">
        <f t="shared" si="337"/>
        <v>4. Transformative</v>
      </c>
      <c r="KT488" s="11" t="str">
        <f t="shared" si="338"/>
        <v>It did not develop any specific innovation</v>
      </c>
      <c r="KU488" s="11" t="str">
        <f t="shared" si="339"/>
        <v>Moderate advocacy</v>
      </c>
      <c r="KV488" s="11" t="str">
        <f t="shared" si="340"/>
        <v>It did not take tested solutions to scale</v>
      </c>
      <c r="KW488" s="11" t="str">
        <f t="shared" si="341"/>
        <v>Mozambique - SANI- Southern Africa Nutrition Initiative</v>
      </c>
      <c r="KX488" s="11" t="str">
        <f t="shared" si="342"/>
        <v>SANI- Southern Africa Nutrition Initiative</v>
      </c>
      <c r="KY488" s="11" t="str">
        <f t="shared" si="343"/>
        <v>Mozambique</v>
      </c>
      <c r="KZ488" s="12">
        <v>488</v>
      </c>
    </row>
    <row r="489" spans="1:312" x14ac:dyDescent="0.3">
      <c r="A489" s="12" t="s">
        <v>8265</v>
      </c>
      <c r="B489" s="12" t="s">
        <v>7217</v>
      </c>
      <c r="C489" s="12"/>
      <c r="D489" s="12" t="s">
        <v>8266</v>
      </c>
      <c r="E489" s="277" t="str">
        <f t="shared" si="301"/>
        <v>Mozambique</v>
      </c>
      <c r="F489" s="12" t="s">
        <v>8267</v>
      </c>
      <c r="G489" s="12" t="s">
        <v>379</v>
      </c>
      <c r="H489" s="12" t="s">
        <v>310</v>
      </c>
      <c r="I489" s="12" t="s">
        <v>655</v>
      </c>
      <c r="J489" s="281" t="s">
        <v>8268</v>
      </c>
      <c r="K489" s="12"/>
      <c r="L489" s="12"/>
      <c r="M489" s="12"/>
      <c r="N489" s="12"/>
      <c r="O489" s="12"/>
      <c r="P489" s="12"/>
      <c r="Q489" s="12"/>
      <c r="R489" s="12"/>
      <c r="S489" s="12"/>
      <c r="T489" s="12"/>
      <c r="U489" s="12"/>
      <c r="V489" s="12"/>
      <c r="W489" s="12"/>
      <c r="X489" s="12"/>
      <c r="Y489" s="12"/>
      <c r="Z489" s="12"/>
      <c r="AA489" s="12"/>
      <c r="AB489" s="12"/>
      <c r="AC489" s="12"/>
      <c r="AD489" s="12"/>
      <c r="BD489" s="13">
        <v>42552</v>
      </c>
      <c r="BE489" s="13">
        <v>44286</v>
      </c>
      <c r="BF489" s="12"/>
      <c r="BG489" s="12" t="s">
        <v>312</v>
      </c>
      <c r="BH489" s="14">
        <v>4822746</v>
      </c>
      <c r="BI489" s="12" t="s">
        <v>8269</v>
      </c>
      <c r="BJ489" s="12" t="s">
        <v>6912</v>
      </c>
      <c r="BK489" s="12" t="s">
        <v>8270</v>
      </c>
      <c r="BL489" s="12" t="s">
        <v>8271</v>
      </c>
      <c r="BM489" s="12" t="s">
        <v>8272</v>
      </c>
      <c r="BN489" s="12" t="s">
        <v>8273</v>
      </c>
      <c r="BO489" s="12" t="s">
        <v>319</v>
      </c>
      <c r="BP489" s="12" t="s">
        <v>320</v>
      </c>
      <c r="BQ489" s="12" t="s">
        <v>319</v>
      </c>
      <c r="BR489" s="12" t="s">
        <v>8274</v>
      </c>
      <c r="BS489" s="12" t="s">
        <v>357</v>
      </c>
      <c r="BT489" s="12" t="s">
        <v>8275</v>
      </c>
      <c r="BU489" s="12" t="s">
        <v>8276</v>
      </c>
      <c r="BV489" s="14"/>
      <c r="BW489" s="14"/>
      <c r="BX489" s="14">
        <v>21856</v>
      </c>
      <c r="BY489" s="14"/>
      <c r="BZ489" s="14"/>
      <c r="CA489" s="14"/>
      <c r="CB489" s="12" t="s">
        <v>8277</v>
      </c>
      <c r="CD489" s="14"/>
      <c r="CE489" s="14"/>
      <c r="CF489" s="14"/>
      <c r="CG489" s="14"/>
      <c r="CH489" s="14"/>
      <c r="CI489" s="14"/>
      <c r="CJ489" s="12"/>
      <c r="CK489" s="14"/>
      <c r="CL489" s="16"/>
      <c r="CM489" s="14"/>
      <c r="CN489" s="12"/>
      <c r="CO489" s="14"/>
      <c r="CP489" s="16"/>
      <c r="CQ489" s="14"/>
      <c r="CR489" s="12"/>
      <c r="CS489" s="14"/>
      <c r="CT489" s="16"/>
      <c r="CU489" s="14"/>
      <c r="CV489" s="12"/>
      <c r="CW489" s="14"/>
      <c r="CX489" s="16"/>
      <c r="CY489" s="14"/>
      <c r="CZ489" s="12"/>
      <c r="DA489" s="14"/>
      <c r="DB489" s="16"/>
      <c r="DC489" s="14"/>
      <c r="DD489" s="12"/>
      <c r="DE489" s="14"/>
      <c r="DF489" s="16"/>
      <c r="DG489" s="14"/>
      <c r="DH489" s="12"/>
      <c r="DI489" s="14"/>
      <c r="DJ489" s="16"/>
      <c r="DK489" s="14"/>
      <c r="DL489" s="12"/>
      <c r="DM489" s="14"/>
      <c r="DN489" s="16"/>
      <c r="DO489" s="14"/>
      <c r="DP489" s="12"/>
      <c r="DQ489" s="14"/>
      <c r="DR489" s="16"/>
      <c r="DS489" s="14"/>
      <c r="DT489" s="12"/>
      <c r="DU489" s="14"/>
      <c r="DV489" s="16"/>
      <c r="DW489" s="14"/>
      <c r="DX489" s="12"/>
      <c r="DY489" s="14"/>
      <c r="DZ489" s="16"/>
      <c r="EA489" s="14"/>
      <c r="EB489" s="12"/>
      <c r="EC489" s="14"/>
      <c r="ED489" s="16"/>
      <c r="EE489" s="14"/>
      <c r="EF489" s="12"/>
      <c r="EG489" s="12"/>
      <c r="EH489" s="14"/>
      <c r="EI489" s="16"/>
      <c r="EJ489" s="14"/>
      <c r="EK489" s="14">
        <v>13790</v>
      </c>
      <c r="EL489" s="14">
        <v>10500</v>
      </c>
      <c r="EM489" s="14">
        <v>24290</v>
      </c>
      <c r="EN489" s="14"/>
      <c r="EO489" s="14"/>
      <c r="EP489" s="14"/>
      <c r="EQ489" s="12"/>
      <c r="ER489" s="14"/>
      <c r="ES489" s="16"/>
      <c r="ET489" s="14"/>
      <c r="EU489" s="12"/>
      <c r="EV489" s="14"/>
      <c r="EW489" s="16"/>
      <c r="EX489" s="14"/>
      <c r="EY489" s="12"/>
      <c r="EZ489" s="14"/>
      <c r="FA489" s="16"/>
      <c r="FB489" s="14"/>
      <c r="FC489" s="12"/>
      <c r="FD489" s="14"/>
      <c r="FE489" s="16"/>
      <c r="FF489" s="14"/>
      <c r="FG489" s="12" t="s">
        <v>320</v>
      </c>
      <c r="FH489" s="14">
        <v>771</v>
      </c>
      <c r="FI489" s="16">
        <v>0.83</v>
      </c>
      <c r="FJ489" s="14">
        <v>3855</v>
      </c>
      <c r="FK489" s="12"/>
      <c r="FL489" s="14"/>
      <c r="FM489" s="16"/>
      <c r="FN489" s="14"/>
      <c r="FO489" s="12"/>
      <c r="FP489" s="14"/>
      <c r="FQ489" s="16"/>
      <c r="FR489" s="14"/>
      <c r="FS489" s="12"/>
      <c r="FT489" s="14"/>
      <c r="FU489" s="16"/>
      <c r="FV489" s="14"/>
      <c r="FW489" s="12"/>
      <c r="FX489" s="14"/>
      <c r="FY489" s="16"/>
      <c r="FZ489" s="14"/>
      <c r="GA489" s="11" t="s">
        <v>320</v>
      </c>
      <c r="GB489" s="14">
        <v>24290</v>
      </c>
      <c r="GC489" s="16">
        <v>0.56999999999999995</v>
      </c>
      <c r="GD489" s="14"/>
      <c r="GE489" s="12"/>
      <c r="GF489" s="14"/>
      <c r="GG489" s="16"/>
      <c r="GH489" s="14"/>
      <c r="GI489" s="12"/>
      <c r="GJ489" s="14"/>
      <c r="GK489" s="16"/>
      <c r="GL489" s="14"/>
      <c r="GM489" s="12"/>
      <c r="GN489" s="14"/>
      <c r="GO489" s="16"/>
      <c r="GP489" s="14"/>
      <c r="GQ489" s="12"/>
      <c r="GR489" s="14"/>
      <c r="GS489" s="16"/>
      <c r="GT489" s="14"/>
      <c r="GU489" s="12"/>
      <c r="GV489" s="14"/>
      <c r="GW489" s="16"/>
      <c r="GX489" s="14"/>
      <c r="GY489" s="12"/>
      <c r="GZ489" s="14"/>
      <c r="HA489" s="16"/>
      <c r="HB489" s="14"/>
      <c r="HC489" s="12"/>
      <c r="HD489" s="12"/>
      <c r="HE489" s="14"/>
      <c r="HF489" s="16"/>
      <c r="HG489" s="14"/>
      <c r="HH489" s="12" t="s">
        <v>319</v>
      </c>
      <c r="HI489" s="12"/>
      <c r="HJ489" s="12"/>
      <c r="HK489" s="12" t="s">
        <v>319</v>
      </c>
      <c r="HL489" s="12" t="s">
        <v>320</v>
      </c>
      <c r="HM489" s="12" t="s">
        <v>619</v>
      </c>
      <c r="HN489" s="12">
        <v>2017</v>
      </c>
      <c r="HO489" s="12" t="s">
        <v>8278</v>
      </c>
      <c r="HP489" s="12" t="s">
        <v>418</v>
      </c>
      <c r="HQ489" s="12" t="s">
        <v>319</v>
      </c>
      <c r="HR489" s="12" t="s">
        <v>319</v>
      </c>
      <c r="HS489" s="12" t="s">
        <v>320</v>
      </c>
      <c r="HT489" s="12" t="s">
        <v>320</v>
      </c>
      <c r="HU489" s="12" t="s">
        <v>319</v>
      </c>
      <c r="HV489" s="12" t="s">
        <v>320</v>
      </c>
      <c r="HW489" s="12" t="s">
        <v>319</v>
      </c>
      <c r="HX489" s="12" t="s">
        <v>319</v>
      </c>
      <c r="HY489" s="12"/>
      <c r="HZ489" s="12" t="s">
        <v>394</v>
      </c>
      <c r="IA489" s="12" t="s">
        <v>8279</v>
      </c>
      <c r="IB489" s="12" t="s">
        <v>333</v>
      </c>
      <c r="IC489" s="12"/>
      <c r="ID489" s="12" t="s">
        <v>334</v>
      </c>
      <c r="IE489" s="12" t="s">
        <v>335</v>
      </c>
      <c r="IF489" s="12" t="s">
        <v>319</v>
      </c>
      <c r="IG489" s="12" t="s">
        <v>320</v>
      </c>
      <c r="IH489" s="12" t="s">
        <v>320</v>
      </c>
      <c r="II489" s="12" t="s">
        <v>320</v>
      </c>
      <c r="IJ489" s="12" t="str">
        <f t="shared" si="302"/>
        <v>1. Neutral</v>
      </c>
      <c r="IK489" s="12">
        <f t="shared" si="303"/>
        <v>3</v>
      </c>
      <c r="IL489" s="11" t="s">
        <v>621</v>
      </c>
      <c r="IM489" s="12" t="s">
        <v>319</v>
      </c>
      <c r="IN489" s="12" t="s">
        <v>320</v>
      </c>
      <c r="IO489" s="12" t="s">
        <v>320</v>
      </c>
      <c r="IP489" s="12" t="s">
        <v>320</v>
      </c>
      <c r="IQ489" s="12" t="str">
        <f t="shared" si="304"/>
        <v>3. Responsive</v>
      </c>
      <c r="IR489" s="12">
        <f t="shared" si="305"/>
        <v>3</v>
      </c>
      <c r="IS489" s="12" t="s">
        <v>337</v>
      </c>
      <c r="IT489" s="12" t="s">
        <v>319</v>
      </c>
      <c r="IU489" s="12" t="s">
        <v>320</v>
      </c>
      <c r="IV489" s="12" t="s">
        <v>320</v>
      </c>
      <c r="IW489" s="11" t="str">
        <f t="shared" si="306"/>
        <v>1. Neutral</v>
      </c>
      <c r="IX489" s="12">
        <f t="shared" si="307"/>
        <v>2</v>
      </c>
      <c r="IY489" s="12" t="s">
        <v>338</v>
      </c>
      <c r="IZ489" s="12" t="s">
        <v>527</v>
      </c>
      <c r="JA489" s="12">
        <v>6</v>
      </c>
      <c r="JB489" s="12" t="s">
        <v>433</v>
      </c>
      <c r="JC489" s="12" t="s">
        <v>687</v>
      </c>
      <c r="JD489" s="12" t="s">
        <v>651</v>
      </c>
      <c r="JE489" s="12" t="s">
        <v>340</v>
      </c>
      <c r="JF489" s="12" t="s">
        <v>8280</v>
      </c>
      <c r="JG489" s="12" t="s">
        <v>8281</v>
      </c>
      <c r="JH489" s="12" t="s">
        <v>8282</v>
      </c>
      <c r="JI489" s="12" t="s">
        <v>8283</v>
      </c>
      <c r="JJ489" s="12" t="s">
        <v>8284</v>
      </c>
      <c r="JK489" s="12" t="s">
        <v>8285</v>
      </c>
      <c r="JL489" s="12" t="s">
        <v>8286</v>
      </c>
      <c r="JM489" s="12" t="s">
        <v>8287</v>
      </c>
      <c r="JN489" s="12" t="s">
        <v>8288</v>
      </c>
      <c r="JO489" s="12" t="s">
        <v>8289</v>
      </c>
      <c r="JP489" s="15">
        <f t="shared" si="308"/>
        <v>24290</v>
      </c>
      <c r="JQ489" s="15">
        <f t="shared" si="309"/>
        <v>0</v>
      </c>
      <c r="JR489" s="279">
        <f t="shared" si="310"/>
        <v>0</v>
      </c>
      <c r="JS489" s="17">
        <f t="shared" si="311"/>
        <v>0.56772334293948123</v>
      </c>
      <c r="JT489" s="18" t="str">
        <f t="shared" si="312"/>
        <v/>
      </c>
      <c r="JU489" s="280">
        <f t="shared" si="313"/>
        <v>13790</v>
      </c>
      <c r="JV489" s="280">
        <f t="shared" si="314"/>
        <v>0</v>
      </c>
      <c r="JW489" s="319" t="str">
        <f t="shared" si="315"/>
        <v/>
      </c>
      <c r="JX489" s="15">
        <f t="shared" si="316"/>
        <v>0</v>
      </c>
      <c r="JY489" s="15">
        <f t="shared" si="317"/>
        <v>0</v>
      </c>
      <c r="JZ489" s="19" t="str">
        <f t="shared" si="318"/>
        <v/>
      </c>
      <c r="KA489" s="52">
        <f t="shared" si="319"/>
        <v>1</v>
      </c>
      <c r="KB489" s="15">
        <f t="shared" si="320"/>
        <v>771</v>
      </c>
      <c r="KC489" s="15">
        <f t="shared" si="321"/>
        <v>3855</v>
      </c>
      <c r="KD489" s="20">
        <f t="shared" si="322"/>
        <v>5</v>
      </c>
      <c r="KE489" s="52" t="str">
        <f t="shared" si="323"/>
        <v/>
      </c>
      <c r="KF489" s="15">
        <f t="shared" si="324"/>
        <v>0</v>
      </c>
      <c r="KG489" s="15">
        <f t="shared" si="325"/>
        <v>0</v>
      </c>
      <c r="KH489" s="21" t="str">
        <f t="shared" si="326"/>
        <v/>
      </c>
      <c r="KI489" s="52" t="str">
        <f t="shared" si="327"/>
        <v/>
      </c>
      <c r="KJ489" s="15">
        <f t="shared" si="328"/>
        <v>0</v>
      </c>
      <c r="KK489" s="15">
        <f t="shared" si="329"/>
        <v>0</v>
      </c>
      <c r="KL489" s="19" t="str">
        <f t="shared" si="330"/>
        <v/>
      </c>
      <c r="KM489" s="52">
        <f t="shared" si="331"/>
        <v>1</v>
      </c>
      <c r="KN489" s="22">
        <f t="shared" si="332"/>
        <v>639.92999999999995</v>
      </c>
      <c r="KO489" s="22">
        <f t="shared" si="333"/>
        <v>3199.6499999999996</v>
      </c>
      <c r="KP489" s="19">
        <f t="shared" si="334"/>
        <v>5</v>
      </c>
      <c r="KQ489" s="11" t="str">
        <f t="shared" si="335"/>
        <v>1. Neutral</v>
      </c>
      <c r="KR489" s="11" t="str">
        <f t="shared" si="336"/>
        <v>3. Responsive</v>
      </c>
      <c r="KS489" s="11" t="str">
        <f t="shared" si="337"/>
        <v>1. Neutral</v>
      </c>
      <c r="KT489" s="11" t="str">
        <f t="shared" si="338"/>
        <v>It tested new ways for fighting poverty, but did not measure results of innovation</v>
      </c>
      <c r="KU489" s="11" t="str">
        <f t="shared" si="339"/>
        <v>Little or no advocacy</v>
      </c>
      <c r="KV489" s="11" t="str">
        <f t="shared" si="340"/>
        <v>It did not take tested solutions to scale</v>
      </c>
      <c r="KW489" s="11" t="str">
        <f t="shared" si="341"/>
        <v>Mozambique - Service Delivery Support for Orphan and Vulnerable Children (SDS - OVC) - COVida</v>
      </c>
      <c r="KX489" s="11" t="str">
        <f t="shared" si="342"/>
        <v>Service Delivery Support for Orphan and Vulnerable Children (SDS - OVC) - COVida</v>
      </c>
      <c r="KY489" s="11" t="str">
        <f t="shared" si="343"/>
        <v>Mozambique</v>
      </c>
      <c r="KZ489" s="12">
        <v>489</v>
      </c>
    </row>
    <row r="490" spans="1:312" x14ac:dyDescent="0.3">
      <c r="A490" s="12" t="s">
        <v>8444</v>
      </c>
      <c r="B490" s="12" t="s">
        <v>306</v>
      </c>
      <c r="C490" s="12"/>
      <c r="D490" s="12" t="s">
        <v>8445</v>
      </c>
      <c r="E490" s="277" t="str">
        <f t="shared" si="301"/>
        <v>Myanmar</v>
      </c>
      <c r="F490" s="12" t="s">
        <v>8446</v>
      </c>
      <c r="G490" s="12" t="s">
        <v>379</v>
      </c>
      <c r="H490" s="12" t="s">
        <v>383</v>
      </c>
      <c r="I490" s="12" t="s">
        <v>384</v>
      </c>
      <c r="J490" s="281" t="s">
        <v>12008</v>
      </c>
      <c r="K490" s="12"/>
      <c r="L490" s="12"/>
      <c r="M490" s="12"/>
      <c r="N490" s="12"/>
      <c r="O490" s="12"/>
      <c r="P490" s="12"/>
      <c r="Q490" s="12"/>
      <c r="R490" s="12"/>
      <c r="S490" s="12"/>
      <c r="T490" s="12"/>
      <c r="U490" s="12"/>
      <c r="V490" s="12"/>
      <c r="W490" s="12"/>
      <c r="X490" s="12"/>
      <c r="Y490" s="12"/>
      <c r="Z490" s="12"/>
      <c r="AA490" s="12"/>
      <c r="AB490" s="12"/>
      <c r="AC490" s="12"/>
      <c r="AD490" s="12"/>
      <c r="BD490" s="13">
        <v>42826</v>
      </c>
      <c r="BE490" s="13">
        <v>43220</v>
      </c>
      <c r="BF490" s="12"/>
      <c r="BG490" s="12" t="s">
        <v>749</v>
      </c>
      <c r="BH490" s="14">
        <v>275000</v>
      </c>
      <c r="BI490" s="12" t="s">
        <v>8447</v>
      </c>
      <c r="BJ490" s="12" t="s">
        <v>1602</v>
      </c>
      <c r="BK490" s="12" t="s">
        <v>8448</v>
      </c>
      <c r="BL490" s="12" t="s">
        <v>8449</v>
      </c>
      <c r="BM490" s="12" t="s">
        <v>444</v>
      </c>
      <c r="BN490" s="12" t="s">
        <v>8450</v>
      </c>
      <c r="BO490" s="12" t="s">
        <v>319</v>
      </c>
      <c r="BP490" s="12" t="s">
        <v>320</v>
      </c>
      <c r="BQ490" s="12" t="s">
        <v>319</v>
      </c>
      <c r="BR490" s="12" t="s">
        <v>8451</v>
      </c>
      <c r="BS490" s="12" t="s">
        <v>357</v>
      </c>
      <c r="BT490" s="12" t="s">
        <v>8452</v>
      </c>
      <c r="BU490" s="12" t="s">
        <v>8453</v>
      </c>
      <c r="BV490" s="14">
        <v>913</v>
      </c>
      <c r="BW490" s="14">
        <v>809</v>
      </c>
      <c r="BX490" s="14">
        <v>1722</v>
      </c>
      <c r="BY490" s="14">
        <v>1908</v>
      </c>
      <c r="BZ490" s="14">
        <v>1692</v>
      </c>
      <c r="CA490" s="14">
        <v>3600</v>
      </c>
      <c r="CB490" s="12" t="s">
        <v>8454</v>
      </c>
      <c r="CD490" s="14"/>
      <c r="CE490" s="14"/>
      <c r="CF490" s="14"/>
      <c r="CG490" s="14"/>
      <c r="CH490" s="14"/>
      <c r="CI490" s="14"/>
      <c r="CJ490" s="12"/>
      <c r="CK490" s="14"/>
      <c r="CL490" s="16"/>
      <c r="CM490" s="14"/>
      <c r="CN490" s="12"/>
      <c r="CO490" s="14"/>
      <c r="CP490" s="16"/>
      <c r="CQ490" s="14"/>
      <c r="CR490" s="12"/>
      <c r="CS490" s="14"/>
      <c r="CT490" s="16"/>
      <c r="CU490" s="14"/>
      <c r="CV490" s="12"/>
      <c r="CW490" s="14"/>
      <c r="CX490" s="16"/>
      <c r="CY490" s="14"/>
      <c r="CZ490" s="12"/>
      <c r="DA490" s="14"/>
      <c r="DB490" s="16"/>
      <c r="DC490" s="14"/>
      <c r="DD490" s="12"/>
      <c r="DE490" s="14"/>
      <c r="DF490" s="16"/>
      <c r="DG490" s="14"/>
      <c r="DH490" s="12"/>
      <c r="DI490" s="14"/>
      <c r="DJ490" s="16"/>
      <c r="DK490" s="14"/>
      <c r="DL490" s="12"/>
      <c r="DM490" s="14"/>
      <c r="DN490" s="16"/>
      <c r="DO490" s="14"/>
      <c r="DP490" s="12"/>
      <c r="DQ490" s="14"/>
      <c r="DR490" s="16"/>
      <c r="DS490" s="14"/>
      <c r="DT490" s="12"/>
      <c r="DU490" s="14"/>
      <c r="DV490" s="16"/>
      <c r="DW490" s="14"/>
      <c r="DX490" s="12"/>
      <c r="DY490" s="14"/>
      <c r="DZ490" s="16"/>
      <c r="EA490" s="14"/>
      <c r="EB490" s="12"/>
      <c r="EC490" s="14"/>
      <c r="ED490" s="16"/>
      <c r="EE490" s="14"/>
      <c r="EF490" s="12"/>
      <c r="EG490" s="12"/>
      <c r="EH490" s="14"/>
      <c r="EI490" s="16"/>
      <c r="EJ490" s="14"/>
      <c r="EK490" s="14">
        <v>792</v>
      </c>
      <c r="EL490" s="14">
        <v>930</v>
      </c>
      <c r="EM490" s="14">
        <v>1722</v>
      </c>
      <c r="EN490" s="14">
        <v>2376</v>
      </c>
      <c r="EO490" s="14">
        <v>2976</v>
      </c>
      <c r="EP490" s="14">
        <v>5352</v>
      </c>
      <c r="EQ490" s="12" t="s">
        <v>320</v>
      </c>
      <c r="ER490" s="14">
        <v>1722</v>
      </c>
      <c r="ES490" s="16">
        <v>0.53</v>
      </c>
      <c r="ET490" s="14">
        <v>5352</v>
      </c>
      <c r="EU490" s="12"/>
      <c r="EV490" s="14"/>
      <c r="EW490" s="16"/>
      <c r="EX490" s="14"/>
      <c r="EY490" s="12"/>
      <c r="EZ490" s="14"/>
      <c r="FA490" s="16"/>
      <c r="FB490" s="14"/>
      <c r="FC490" s="12"/>
      <c r="FD490" s="14"/>
      <c r="FE490" s="16"/>
      <c r="FF490" s="14"/>
      <c r="FG490" s="12"/>
      <c r="FH490" s="14"/>
      <c r="FI490" s="16"/>
      <c r="FJ490" s="14"/>
      <c r="FK490" s="12"/>
      <c r="FL490" s="14"/>
      <c r="FM490" s="16"/>
      <c r="FN490" s="14"/>
      <c r="FO490" s="12"/>
      <c r="FP490" s="14"/>
      <c r="FQ490" s="16"/>
      <c r="FR490" s="14"/>
      <c r="FS490" s="12"/>
      <c r="FT490" s="14"/>
      <c r="FU490" s="16"/>
      <c r="FV490" s="14"/>
      <c r="FW490" s="12"/>
      <c r="FX490" s="14"/>
      <c r="FY490" s="16"/>
      <c r="FZ490" s="14"/>
      <c r="GA490" s="12"/>
      <c r="GB490" s="14"/>
      <c r="GC490" s="16"/>
      <c r="GD490" s="14"/>
      <c r="GE490" s="12"/>
      <c r="GF490" s="14"/>
      <c r="GG490" s="16"/>
      <c r="GH490" s="14"/>
      <c r="GI490" s="12"/>
      <c r="GJ490" s="14"/>
      <c r="GK490" s="16"/>
      <c r="GL490" s="14"/>
      <c r="GM490" s="12"/>
      <c r="GN490" s="14"/>
      <c r="GO490" s="16"/>
      <c r="GP490" s="14"/>
      <c r="GQ490" s="12"/>
      <c r="GR490" s="14"/>
      <c r="GS490" s="16"/>
      <c r="GT490" s="14"/>
      <c r="GU490" s="12"/>
      <c r="GV490" s="14"/>
      <c r="GW490" s="16"/>
      <c r="GX490" s="14"/>
      <c r="GY490" s="12"/>
      <c r="GZ490" s="14"/>
      <c r="HA490" s="16"/>
      <c r="HB490" s="14"/>
      <c r="HC490" s="12"/>
      <c r="HD490" s="12"/>
      <c r="HE490" s="14"/>
      <c r="HF490" s="16"/>
      <c r="HG490" s="14"/>
      <c r="HH490" s="12" t="s">
        <v>319</v>
      </c>
      <c r="HI490" s="12"/>
      <c r="HJ490" s="12"/>
      <c r="HK490" s="12" t="s">
        <v>319</v>
      </c>
      <c r="HL490" s="12" t="s">
        <v>319</v>
      </c>
      <c r="HM490" s="12"/>
      <c r="HN490" s="12"/>
      <c r="HO490" s="12" t="s">
        <v>393</v>
      </c>
      <c r="HP490" s="12" t="s">
        <v>330</v>
      </c>
      <c r="HQ490" s="12"/>
      <c r="HR490" s="12"/>
      <c r="HS490" s="12" t="s">
        <v>320</v>
      </c>
      <c r="HT490" s="12"/>
      <c r="HU490" s="12"/>
      <c r="HV490" s="12"/>
      <c r="HW490" s="12"/>
      <c r="HX490" s="12"/>
      <c r="HY490" s="12"/>
      <c r="HZ490" s="12" t="s">
        <v>331</v>
      </c>
      <c r="IA490" s="12" t="s">
        <v>8455</v>
      </c>
      <c r="IB490" s="12" t="s">
        <v>667</v>
      </c>
      <c r="IC490" s="12" t="s">
        <v>8456</v>
      </c>
      <c r="ID490" s="12" t="s">
        <v>334</v>
      </c>
      <c r="IE490" s="12" t="s">
        <v>335</v>
      </c>
      <c r="IF490" s="12" t="s">
        <v>320</v>
      </c>
      <c r="IG490" s="12" t="s">
        <v>320</v>
      </c>
      <c r="IH490" s="12" t="s">
        <v>320</v>
      </c>
      <c r="II490" s="12" t="s">
        <v>320</v>
      </c>
      <c r="IJ490" s="12" t="str">
        <f t="shared" si="302"/>
        <v>2. Sensitive</v>
      </c>
      <c r="IK490" s="12">
        <f t="shared" si="303"/>
        <v>4</v>
      </c>
      <c r="IL490" s="12" t="s">
        <v>336</v>
      </c>
      <c r="IM490" s="12" t="s">
        <v>320</v>
      </c>
      <c r="IN490" s="12" t="s">
        <v>320</v>
      </c>
      <c r="IO490" s="12" t="s">
        <v>320</v>
      </c>
      <c r="IP490" s="12" t="s">
        <v>320</v>
      </c>
      <c r="IQ490" s="12" t="str">
        <f t="shared" si="304"/>
        <v>2. Accommodating</v>
      </c>
      <c r="IR490" s="12">
        <f t="shared" si="305"/>
        <v>4</v>
      </c>
      <c r="IS490" s="12" t="s">
        <v>337</v>
      </c>
      <c r="IT490" s="12" t="s">
        <v>320</v>
      </c>
      <c r="IU490" s="12" t="s">
        <v>320</v>
      </c>
      <c r="IV490" s="12" t="s">
        <v>320</v>
      </c>
      <c r="IW490" s="11" t="str">
        <f t="shared" si="306"/>
        <v>2. Sensitive</v>
      </c>
      <c r="IX490" s="12">
        <f t="shared" si="307"/>
        <v>3</v>
      </c>
      <c r="IY490" s="12" t="s">
        <v>419</v>
      </c>
      <c r="IZ490" s="12" t="s">
        <v>339</v>
      </c>
      <c r="JA490" s="12"/>
      <c r="JB490" s="12" t="s">
        <v>624</v>
      </c>
      <c r="JC490" s="12" t="s">
        <v>687</v>
      </c>
      <c r="JD490" s="12"/>
      <c r="JE490" s="12" t="s">
        <v>420</v>
      </c>
      <c r="JF490" s="12"/>
      <c r="JG490" s="12"/>
      <c r="JH490" s="12" t="s">
        <v>1323</v>
      </c>
      <c r="JI490" s="12" t="s">
        <v>8457</v>
      </c>
      <c r="JJ490" s="12" t="s">
        <v>8458</v>
      </c>
      <c r="JK490" s="12" t="s">
        <v>8459</v>
      </c>
      <c r="JL490" s="12"/>
      <c r="JM490" s="12"/>
      <c r="JN490" s="12"/>
      <c r="JO490" s="12"/>
      <c r="JP490" s="15">
        <f t="shared" si="308"/>
        <v>1722</v>
      </c>
      <c r="JQ490" s="15">
        <f t="shared" si="309"/>
        <v>5352</v>
      </c>
      <c r="JR490" s="279">
        <f t="shared" si="310"/>
        <v>3.1080139372822297</v>
      </c>
      <c r="JS490" s="17">
        <f t="shared" si="311"/>
        <v>0.45993031358885017</v>
      </c>
      <c r="JT490" s="18">
        <f t="shared" si="312"/>
        <v>0.44394618834080718</v>
      </c>
      <c r="JU490" s="280">
        <f t="shared" si="313"/>
        <v>792</v>
      </c>
      <c r="JV490" s="280">
        <f t="shared" si="314"/>
        <v>2376</v>
      </c>
      <c r="JW490" s="319" t="str">
        <f t="shared" si="315"/>
        <v/>
      </c>
      <c r="JX490" s="15">
        <f t="shared" si="316"/>
        <v>0</v>
      </c>
      <c r="JY490" s="15">
        <f t="shared" si="317"/>
        <v>0</v>
      </c>
      <c r="JZ490" s="19" t="str">
        <f t="shared" si="318"/>
        <v/>
      </c>
      <c r="KA490" s="52">
        <f t="shared" si="319"/>
        <v>1</v>
      </c>
      <c r="KB490" s="15">
        <f t="shared" si="320"/>
        <v>1722</v>
      </c>
      <c r="KC490" s="15">
        <f t="shared" si="321"/>
        <v>5352</v>
      </c>
      <c r="KD490" s="20">
        <f t="shared" si="322"/>
        <v>3.1080139372822297</v>
      </c>
      <c r="KE490" s="52" t="str">
        <f t="shared" si="323"/>
        <v/>
      </c>
      <c r="KF490" s="15">
        <f t="shared" si="324"/>
        <v>0</v>
      </c>
      <c r="KG490" s="15">
        <f t="shared" si="325"/>
        <v>0</v>
      </c>
      <c r="KH490" s="21" t="str">
        <f t="shared" si="326"/>
        <v/>
      </c>
      <c r="KI490" s="52" t="str">
        <f t="shared" si="327"/>
        <v/>
      </c>
      <c r="KJ490" s="15">
        <f t="shared" si="328"/>
        <v>0</v>
      </c>
      <c r="KK490" s="15">
        <f t="shared" si="329"/>
        <v>0</v>
      </c>
      <c r="KL490" s="19" t="str">
        <f t="shared" si="330"/>
        <v/>
      </c>
      <c r="KM490" s="52" t="str">
        <f t="shared" si="331"/>
        <v/>
      </c>
      <c r="KN490" s="22">
        <f t="shared" si="332"/>
        <v>0</v>
      </c>
      <c r="KO490" s="22">
        <f t="shared" si="333"/>
        <v>0</v>
      </c>
      <c r="KP490" s="19" t="str">
        <f t="shared" si="334"/>
        <v/>
      </c>
      <c r="KQ490" s="11" t="str">
        <f t="shared" si="335"/>
        <v>2. Sensitive</v>
      </c>
      <c r="KR490" s="11" t="str">
        <f t="shared" si="336"/>
        <v>2. Accommodating</v>
      </c>
      <c r="KS490" s="11" t="str">
        <f t="shared" si="337"/>
        <v>2. Sensitive</v>
      </c>
      <c r="KT490" s="11" t="str">
        <f t="shared" si="338"/>
        <v>It tested new ways for fighting poverty and measured results of innovation</v>
      </c>
      <c r="KU490" s="11" t="str">
        <f t="shared" si="339"/>
        <v>Moderate advocacy</v>
      </c>
      <c r="KV490" s="11" t="str">
        <f t="shared" si="340"/>
        <v>It took tested solutions to scale on its own</v>
      </c>
      <c r="KW490" s="11" t="str">
        <f t="shared" si="341"/>
        <v>Myanmar - Ah Har Yar (Nourish) Poject</v>
      </c>
      <c r="KX490" s="11" t="str">
        <f t="shared" si="342"/>
        <v>Ah Har Yar (Nourish) Poject</v>
      </c>
      <c r="KY490" s="11" t="str">
        <f t="shared" si="343"/>
        <v>Myanmar</v>
      </c>
      <c r="KZ490" s="12">
        <v>490</v>
      </c>
    </row>
    <row r="491" spans="1:312" x14ac:dyDescent="0.3">
      <c r="A491" s="12" t="s">
        <v>8444</v>
      </c>
      <c r="B491" s="12" t="s">
        <v>306</v>
      </c>
      <c r="C491" s="12"/>
      <c r="D491" s="12" t="s">
        <v>8460</v>
      </c>
      <c r="E491" s="277" t="str">
        <f t="shared" si="301"/>
        <v>Myanmar</v>
      </c>
      <c r="F491" s="12" t="s">
        <v>8461</v>
      </c>
      <c r="G491" s="12" t="s">
        <v>608</v>
      </c>
      <c r="H491" s="12" t="s">
        <v>384</v>
      </c>
      <c r="I491" s="12" t="s">
        <v>384</v>
      </c>
      <c r="J491" s="281" t="s">
        <v>8462</v>
      </c>
      <c r="K491" s="12"/>
      <c r="L491" s="12"/>
      <c r="M491" s="12"/>
      <c r="N491" s="12"/>
      <c r="O491" s="12"/>
      <c r="P491" s="12"/>
      <c r="Q491" s="12"/>
      <c r="R491" s="12"/>
      <c r="S491" s="12"/>
      <c r="T491" s="12"/>
      <c r="U491" s="12"/>
      <c r="V491" s="12"/>
      <c r="W491" s="12"/>
      <c r="X491" s="12"/>
      <c r="Y491" s="12"/>
      <c r="Z491" s="12"/>
      <c r="AA491" s="12"/>
      <c r="AB491" s="12"/>
      <c r="AC491" s="12"/>
      <c r="AD491" s="12"/>
      <c r="BD491" s="13">
        <v>42795</v>
      </c>
      <c r="BE491" s="13">
        <v>43646</v>
      </c>
      <c r="BF491" s="12"/>
      <c r="BG491" s="12" t="s">
        <v>350</v>
      </c>
      <c r="BH491" s="14">
        <v>3000000</v>
      </c>
      <c r="BI491" s="12" t="s">
        <v>8463</v>
      </c>
      <c r="BJ491" s="12" t="s">
        <v>1602</v>
      </c>
      <c r="BK491" s="12" t="s">
        <v>8464</v>
      </c>
      <c r="BL491" s="12" t="s">
        <v>8465</v>
      </c>
      <c r="BM491" s="12" t="s">
        <v>8466</v>
      </c>
      <c r="BN491" s="12" t="s">
        <v>8467</v>
      </c>
      <c r="BO491" s="12" t="s">
        <v>319</v>
      </c>
      <c r="BP491" s="12" t="s">
        <v>320</v>
      </c>
      <c r="BQ491" s="12" t="s">
        <v>319</v>
      </c>
      <c r="BR491" s="12" t="s">
        <v>8468</v>
      </c>
      <c r="BS491" s="12" t="s">
        <v>322</v>
      </c>
      <c r="BT491" s="12" t="s">
        <v>8469</v>
      </c>
      <c r="BU491" s="12" t="s">
        <v>8470</v>
      </c>
      <c r="BV491" s="14">
        <v>54000</v>
      </c>
      <c r="BW491" s="14"/>
      <c r="BX491" s="14">
        <v>54000</v>
      </c>
      <c r="BY491" s="14">
        <v>383750</v>
      </c>
      <c r="BZ491" s="14"/>
      <c r="CA491" s="14">
        <v>383750</v>
      </c>
      <c r="CB491" s="12" t="s">
        <v>8471</v>
      </c>
      <c r="CD491" s="14"/>
      <c r="CE491" s="14"/>
      <c r="CF491" s="14"/>
      <c r="CG491" s="14"/>
      <c r="CH491" s="14"/>
      <c r="CI491" s="14"/>
      <c r="CJ491" s="12"/>
      <c r="CK491" s="14"/>
      <c r="CL491" s="16"/>
      <c r="CM491" s="14"/>
      <c r="CN491" s="12"/>
      <c r="CO491" s="14"/>
      <c r="CP491" s="16"/>
      <c r="CQ491" s="14"/>
      <c r="CR491" s="12"/>
      <c r="CS491" s="14"/>
      <c r="CT491" s="16"/>
      <c r="CU491" s="14"/>
      <c r="CV491" s="12"/>
      <c r="CW491" s="14"/>
      <c r="CX491" s="16"/>
      <c r="CY491" s="14"/>
      <c r="CZ491" s="12"/>
      <c r="DA491" s="14"/>
      <c r="DB491" s="16"/>
      <c r="DC491" s="14"/>
      <c r="DD491" s="12"/>
      <c r="DE491" s="14"/>
      <c r="DF491" s="16"/>
      <c r="DG491" s="14"/>
      <c r="DH491" s="12"/>
      <c r="DI491" s="14"/>
      <c r="DJ491" s="16"/>
      <c r="DK491" s="14"/>
      <c r="DL491" s="12"/>
      <c r="DM491" s="14"/>
      <c r="DN491" s="16"/>
      <c r="DO491" s="14"/>
      <c r="DP491" s="12"/>
      <c r="DQ491" s="14"/>
      <c r="DR491" s="16"/>
      <c r="DS491" s="14"/>
      <c r="DT491" s="12"/>
      <c r="DU491" s="14"/>
      <c r="DV491" s="16"/>
      <c r="DW491" s="14"/>
      <c r="DX491" s="12"/>
      <c r="DY491" s="14"/>
      <c r="DZ491" s="16"/>
      <c r="EA491" s="14"/>
      <c r="EB491" s="12"/>
      <c r="EC491" s="14"/>
      <c r="ED491" s="16"/>
      <c r="EE491" s="14"/>
      <c r="EF491" s="12"/>
      <c r="EG491" s="12"/>
      <c r="EH491" s="14"/>
      <c r="EI491" s="16"/>
      <c r="EJ491" s="14"/>
      <c r="EK491" s="14">
        <v>5</v>
      </c>
      <c r="EL491" s="14">
        <v>2</v>
      </c>
      <c r="EM491" s="14">
        <v>7</v>
      </c>
      <c r="EN491" s="14">
        <v>35</v>
      </c>
      <c r="EO491" s="14">
        <v>14</v>
      </c>
      <c r="EP491" s="14">
        <v>49</v>
      </c>
      <c r="EQ491" s="12"/>
      <c r="ER491" s="14"/>
      <c r="ES491" s="16"/>
      <c r="ET491" s="14"/>
      <c r="EU491" s="12"/>
      <c r="EV491" s="14"/>
      <c r="EW491" s="16"/>
      <c r="EX491" s="14"/>
      <c r="EY491" s="12"/>
      <c r="EZ491" s="14"/>
      <c r="FA491" s="16"/>
      <c r="FB491" s="14"/>
      <c r="FC491" s="12"/>
      <c r="FD491" s="14"/>
      <c r="FE491" s="16"/>
      <c r="FF491" s="14"/>
      <c r="FG491" s="12"/>
      <c r="FH491" s="14"/>
      <c r="FI491" s="16"/>
      <c r="FJ491" s="14"/>
      <c r="FK491" s="12"/>
      <c r="FL491" s="14"/>
      <c r="FM491" s="16"/>
      <c r="FN491" s="14"/>
      <c r="FO491" s="12"/>
      <c r="FP491" s="14"/>
      <c r="FQ491" s="16"/>
      <c r="FR491" s="14"/>
      <c r="FS491" s="12"/>
      <c r="FT491" s="14"/>
      <c r="FU491" s="16"/>
      <c r="FV491" s="14"/>
      <c r="FW491" s="12"/>
      <c r="FX491" s="14"/>
      <c r="FY491" s="16"/>
      <c r="FZ491" s="14"/>
      <c r="GA491" s="12"/>
      <c r="GB491" s="14"/>
      <c r="GC491" s="16"/>
      <c r="GD491" s="14"/>
      <c r="GE491" s="12"/>
      <c r="GF491" s="14"/>
      <c r="GG491" s="16"/>
      <c r="GH491" s="14"/>
      <c r="GI491" s="12"/>
      <c r="GJ491" s="14"/>
      <c r="GK491" s="16"/>
      <c r="GL491" s="14"/>
      <c r="GM491" s="12"/>
      <c r="GN491" s="14"/>
      <c r="GO491" s="16"/>
      <c r="GP491" s="14"/>
      <c r="GQ491" s="12"/>
      <c r="GR491" s="14"/>
      <c r="GS491" s="16"/>
      <c r="GT491" s="14"/>
      <c r="GU491" s="12"/>
      <c r="GV491" s="14"/>
      <c r="GW491" s="16"/>
      <c r="GX491" s="14"/>
      <c r="GY491" s="11" t="s">
        <v>320</v>
      </c>
      <c r="GZ491" s="14">
        <v>45</v>
      </c>
      <c r="HA491" s="16">
        <v>1</v>
      </c>
      <c r="HB491" s="14">
        <v>315</v>
      </c>
      <c r="HC491" s="12" t="s">
        <v>8472</v>
      </c>
      <c r="HD491" s="12" t="s">
        <v>320</v>
      </c>
      <c r="HE491" s="14">
        <v>7</v>
      </c>
      <c r="HF491" s="16">
        <v>0.71</v>
      </c>
      <c r="HG491" s="14">
        <v>49</v>
      </c>
      <c r="HH491" s="12" t="s">
        <v>319</v>
      </c>
      <c r="HI491" s="12"/>
      <c r="HJ491" s="12"/>
      <c r="HK491" s="12"/>
      <c r="HL491" s="12" t="s">
        <v>319</v>
      </c>
      <c r="HM491" s="12"/>
      <c r="HN491" s="12"/>
      <c r="HO491" s="12" t="s">
        <v>393</v>
      </c>
      <c r="HP491" s="12" t="s">
        <v>330</v>
      </c>
      <c r="HQ491" s="12" t="s">
        <v>320</v>
      </c>
      <c r="HR491" s="12"/>
      <c r="HS491" s="12" t="s">
        <v>320</v>
      </c>
      <c r="HT491" s="12" t="s">
        <v>320</v>
      </c>
      <c r="HU491" s="12"/>
      <c r="HV491" s="12"/>
      <c r="HW491" s="12" t="s">
        <v>320</v>
      </c>
      <c r="HX491" s="12"/>
      <c r="HY491" s="12"/>
      <c r="HZ491" s="12" t="s">
        <v>331</v>
      </c>
      <c r="IA491" s="12" t="s">
        <v>8473</v>
      </c>
      <c r="IB491" s="12" t="s">
        <v>333</v>
      </c>
      <c r="IC491" s="12"/>
      <c r="ID491" s="12" t="s">
        <v>477</v>
      </c>
      <c r="IE491" s="12" t="s">
        <v>478</v>
      </c>
      <c r="IF491" s="12" t="s">
        <v>320</v>
      </c>
      <c r="IG491" s="12" t="s">
        <v>320</v>
      </c>
      <c r="IH491" s="12" t="s">
        <v>320</v>
      </c>
      <c r="II491" s="12" t="s">
        <v>320</v>
      </c>
      <c r="IJ491" s="12" t="str">
        <f t="shared" si="302"/>
        <v>4. Transformative</v>
      </c>
      <c r="IK491" s="12">
        <f t="shared" si="303"/>
        <v>4</v>
      </c>
      <c r="IL491" s="11" t="s">
        <v>621</v>
      </c>
      <c r="IM491" s="12" t="s">
        <v>320</v>
      </c>
      <c r="IN491" s="12" t="s">
        <v>320</v>
      </c>
      <c r="IO491" s="12" t="s">
        <v>320</v>
      </c>
      <c r="IP491" s="12" t="s">
        <v>320</v>
      </c>
      <c r="IQ491" s="12" t="str">
        <f t="shared" si="304"/>
        <v>4. Transformational</v>
      </c>
      <c r="IR491" s="12">
        <f t="shared" si="305"/>
        <v>4</v>
      </c>
      <c r="IS491" s="12" t="s">
        <v>456</v>
      </c>
      <c r="IT491" s="12" t="s">
        <v>320</v>
      </c>
      <c r="IU491" s="12" t="s">
        <v>320</v>
      </c>
      <c r="IV491" s="12" t="s">
        <v>320</v>
      </c>
      <c r="IW491" s="11" t="str">
        <f t="shared" si="306"/>
        <v>0. Harmful</v>
      </c>
      <c r="IX491" s="12">
        <f t="shared" si="307"/>
        <v>3</v>
      </c>
      <c r="IY491" s="12"/>
      <c r="IZ491" s="12" t="s">
        <v>527</v>
      </c>
      <c r="JA491" s="12">
        <v>2</v>
      </c>
      <c r="JB491" s="12" t="s">
        <v>831</v>
      </c>
      <c r="JC491" s="12" t="s">
        <v>433</v>
      </c>
      <c r="JD491" s="12"/>
      <c r="JE491" s="12" t="s">
        <v>340</v>
      </c>
      <c r="JF491" s="12" t="s">
        <v>8474</v>
      </c>
      <c r="JG491" s="12"/>
      <c r="JH491" s="12" t="s">
        <v>3980</v>
      </c>
      <c r="JI491" s="12" t="s">
        <v>8475</v>
      </c>
      <c r="JJ491" s="12" t="s">
        <v>8476</v>
      </c>
      <c r="JK491" s="12"/>
      <c r="JL491" s="12"/>
      <c r="JM491" s="12"/>
      <c r="JN491" s="12" t="s">
        <v>8477</v>
      </c>
      <c r="JO491" s="12"/>
      <c r="JP491" s="15">
        <f t="shared" si="308"/>
        <v>7</v>
      </c>
      <c r="JQ491" s="15">
        <f t="shared" si="309"/>
        <v>49</v>
      </c>
      <c r="JR491" s="279">
        <f t="shared" si="310"/>
        <v>7</v>
      </c>
      <c r="JS491" s="17">
        <f t="shared" si="311"/>
        <v>0.7142857142857143</v>
      </c>
      <c r="JT491" s="18">
        <f t="shared" si="312"/>
        <v>0.7142857142857143</v>
      </c>
      <c r="JU491" s="280">
        <f t="shared" si="313"/>
        <v>5</v>
      </c>
      <c r="JV491" s="280">
        <f t="shared" si="314"/>
        <v>35</v>
      </c>
      <c r="JW491" s="319" t="str">
        <f t="shared" si="315"/>
        <v/>
      </c>
      <c r="JX491" s="15">
        <f t="shared" si="316"/>
        <v>0</v>
      </c>
      <c r="JY491" s="15">
        <f t="shared" si="317"/>
        <v>0</v>
      </c>
      <c r="JZ491" s="19" t="str">
        <f t="shared" si="318"/>
        <v/>
      </c>
      <c r="KA491" s="52" t="str">
        <f t="shared" si="319"/>
        <v/>
      </c>
      <c r="KB491" s="15">
        <f t="shared" si="320"/>
        <v>0</v>
      </c>
      <c r="KC491" s="15">
        <f t="shared" si="321"/>
        <v>0</v>
      </c>
      <c r="KD491" s="20" t="str">
        <f t="shared" si="322"/>
        <v/>
      </c>
      <c r="KE491" s="52" t="str">
        <f t="shared" si="323"/>
        <v/>
      </c>
      <c r="KF491" s="15">
        <f t="shared" si="324"/>
        <v>0</v>
      </c>
      <c r="KG491" s="15">
        <f t="shared" si="325"/>
        <v>0</v>
      </c>
      <c r="KH491" s="21" t="str">
        <f t="shared" si="326"/>
        <v/>
      </c>
      <c r="KI491" s="52" t="str">
        <f t="shared" si="327"/>
        <v/>
      </c>
      <c r="KJ491" s="15">
        <f t="shared" si="328"/>
        <v>0</v>
      </c>
      <c r="KK491" s="15">
        <f t="shared" si="329"/>
        <v>0</v>
      </c>
      <c r="KL491" s="19" t="str">
        <f t="shared" si="330"/>
        <v/>
      </c>
      <c r="KM491" s="52">
        <f t="shared" si="331"/>
        <v>1</v>
      </c>
      <c r="KN491" s="22">
        <f t="shared" si="332"/>
        <v>45</v>
      </c>
      <c r="KO491" s="22">
        <f t="shared" si="333"/>
        <v>315</v>
      </c>
      <c r="KP491" s="19">
        <f t="shared" si="334"/>
        <v>7</v>
      </c>
      <c r="KQ491" s="11" t="str">
        <f t="shared" si="335"/>
        <v>4. Transformative</v>
      </c>
      <c r="KR491" s="11" t="str">
        <f t="shared" si="336"/>
        <v>4. Transformational</v>
      </c>
      <c r="KS491" s="11" t="str">
        <f t="shared" si="337"/>
        <v>0. Harmful</v>
      </c>
      <c r="KT491" s="11" t="str">
        <f t="shared" si="338"/>
        <v>It tested new ways for fighting poverty and measured results of innovation</v>
      </c>
      <c r="KU491" s="11" t="str">
        <f t="shared" si="339"/>
        <v>Moderate advocacy</v>
      </c>
      <c r="KV491" s="11" t="str">
        <f t="shared" si="340"/>
        <v>It did not take tested solutions to scale</v>
      </c>
      <c r="KW491" s="11" t="str">
        <f t="shared" si="341"/>
        <v>Myanmar - Aung Myin Hmu (Industry Solutions for Safy Employment)</v>
      </c>
      <c r="KX491" s="11" t="str">
        <f t="shared" si="342"/>
        <v>Aung Myin Hmu (Industry Solutions for Safy Employment)</v>
      </c>
      <c r="KY491" s="11" t="str">
        <f t="shared" si="343"/>
        <v>Myanmar</v>
      </c>
      <c r="KZ491" s="12">
        <v>491</v>
      </c>
    </row>
    <row r="492" spans="1:312" x14ac:dyDescent="0.3">
      <c r="A492" s="12" t="s">
        <v>8444</v>
      </c>
      <c r="B492" s="12" t="s">
        <v>306</v>
      </c>
      <c r="C492" s="12">
        <v>3161</v>
      </c>
      <c r="D492" s="12" t="s">
        <v>8478</v>
      </c>
      <c r="E492" s="277" t="str">
        <f t="shared" si="301"/>
        <v>Myanmar</v>
      </c>
      <c r="F492" s="12" t="s">
        <v>8479</v>
      </c>
      <c r="G492" s="12" t="s">
        <v>379</v>
      </c>
      <c r="H492" s="12" t="s">
        <v>310</v>
      </c>
      <c r="I492" s="12" t="s">
        <v>655</v>
      </c>
      <c r="J492" s="281" t="s">
        <v>4991</v>
      </c>
      <c r="K492" s="12"/>
      <c r="L492" s="12"/>
      <c r="M492" s="12"/>
      <c r="N492" s="12"/>
      <c r="O492" s="12"/>
      <c r="P492" s="12"/>
      <c r="Q492" s="12"/>
      <c r="R492" s="12"/>
      <c r="S492" s="12"/>
      <c r="T492" s="12"/>
      <c r="U492" s="12"/>
      <c r="V492" s="12"/>
      <c r="W492" s="12"/>
      <c r="X492" s="12"/>
      <c r="Y492" s="12"/>
      <c r="Z492" s="12"/>
      <c r="AA492" s="12"/>
      <c r="AB492" s="12"/>
      <c r="AC492" s="12"/>
      <c r="AD492" s="12"/>
      <c r="BD492" s="13">
        <v>41548</v>
      </c>
      <c r="BE492" s="13">
        <v>43190</v>
      </c>
      <c r="BF492" s="13">
        <v>44012</v>
      </c>
      <c r="BG492" s="12" t="s">
        <v>350</v>
      </c>
      <c r="BH492" s="14">
        <v>2000000</v>
      </c>
      <c r="BI492" s="12" t="s">
        <v>8480</v>
      </c>
      <c r="BJ492" s="12" t="s">
        <v>8481</v>
      </c>
      <c r="BK492" s="12" t="s">
        <v>8482</v>
      </c>
      <c r="BL492" s="12" t="s">
        <v>8483</v>
      </c>
      <c r="BM492" s="12" t="s">
        <v>8484</v>
      </c>
      <c r="BN492" s="12" t="s">
        <v>8485</v>
      </c>
      <c r="BO492" s="12" t="s">
        <v>319</v>
      </c>
      <c r="BP492" s="12" t="s">
        <v>320</v>
      </c>
      <c r="BQ492" s="12" t="s">
        <v>319</v>
      </c>
      <c r="BR492" s="12" t="s">
        <v>8486</v>
      </c>
      <c r="BS492" s="12" t="s">
        <v>357</v>
      </c>
      <c r="BT492" s="12" t="s">
        <v>8487</v>
      </c>
      <c r="BU492" s="12" t="s">
        <v>8488</v>
      </c>
      <c r="BV492" s="14">
        <v>2553</v>
      </c>
      <c r="BW492" s="14">
        <v>3864</v>
      </c>
      <c r="BX492" s="14">
        <v>6417</v>
      </c>
      <c r="BY492" s="14">
        <v>10020</v>
      </c>
      <c r="BZ492" s="14">
        <v>9732</v>
      </c>
      <c r="CA492" s="14">
        <v>19752</v>
      </c>
      <c r="CB492" s="12" t="s">
        <v>8489</v>
      </c>
      <c r="CD492" s="14">
        <v>0</v>
      </c>
      <c r="CE492" s="14">
        <v>0</v>
      </c>
      <c r="CF492" s="14">
        <v>0</v>
      </c>
      <c r="CG492" s="14">
        <v>0</v>
      </c>
      <c r="CH492" s="14">
        <v>0</v>
      </c>
      <c r="CI492" s="14">
        <v>0</v>
      </c>
      <c r="CJ492" s="11" t="s">
        <v>319</v>
      </c>
      <c r="CK492" s="14"/>
      <c r="CL492" s="16"/>
      <c r="CM492" s="14"/>
      <c r="CN492" s="12" t="s">
        <v>319</v>
      </c>
      <c r="CO492" s="14"/>
      <c r="CP492" s="42"/>
      <c r="CQ492" s="14"/>
      <c r="CR492" s="12" t="s">
        <v>319</v>
      </c>
      <c r="CS492" s="14"/>
      <c r="CT492" s="16"/>
      <c r="CU492" s="14"/>
      <c r="CV492" s="12" t="s">
        <v>319</v>
      </c>
      <c r="CW492" s="14"/>
      <c r="CX492" s="16"/>
      <c r="CY492" s="14"/>
      <c r="CZ492" s="12" t="s">
        <v>319</v>
      </c>
      <c r="DA492" s="14"/>
      <c r="DB492" s="16"/>
      <c r="DC492" s="14"/>
      <c r="DD492" s="12" t="s">
        <v>319</v>
      </c>
      <c r="DE492" s="14"/>
      <c r="DF492" s="16"/>
      <c r="DG492" s="14"/>
      <c r="DH492" s="12" t="s">
        <v>319</v>
      </c>
      <c r="DI492" s="14"/>
      <c r="DJ492" s="16"/>
      <c r="DK492" s="14"/>
      <c r="DL492" s="12" t="s">
        <v>319</v>
      </c>
      <c r="DM492" s="14"/>
      <c r="DN492" s="16"/>
      <c r="DO492" s="14"/>
      <c r="DP492" s="12" t="s">
        <v>319</v>
      </c>
      <c r="DQ492" s="14"/>
      <c r="DR492" s="16"/>
      <c r="DS492" s="14"/>
      <c r="DT492" s="12" t="s">
        <v>319</v>
      </c>
      <c r="DU492" s="14"/>
      <c r="DV492" s="16"/>
      <c r="DW492" s="14"/>
      <c r="DX492" s="12" t="s">
        <v>319</v>
      </c>
      <c r="DY492" s="14"/>
      <c r="DZ492" s="16"/>
      <c r="EA492" s="14"/>
      <c r="EB492" s="12" t="s">
        <v>319</v>
      </c>
      <c r="EC492" s="14"/>
      <c r="ED492" s="16"/>
      <c r="EE492" s="14"/>
      <c r="EF492" s="12"/>
      <c r="EG492" s="12" t="s">
        <v>319</v>
      </c>
      <c r="EH492" s="14"/>
      <c r="EI492" s="16"/>
      <c r="EJ492" s="14"/>
      <c r="EK492" s="14">
        <v>187</v>
      </c>
      <c r="EL492" s="14">
        <v>179</v>
      </c>
      <c r="EM492" s="14">
        <v>366</v>
      </c>
      <c r="EN492" s="14">
        <v>1788</v>
      </c>
      <c r="EO492" s="14">
        <v>1192</v>
      </c>
      <c r="EP492" s="14">
        <v>2980</v>
      </c>
      <c r="EQ492" s="12" t="s">
        <v>319</v>
      </c>
      <c r="ER492" s="14"/>
      <c r="ES492" s="16"/>
      <c r="ET492" s="14"/>
      <c r="EU492" s="12" t="s">
        <v>319</v>
      </c>
      <c r="EV492" s="14"/>
      <c r="EW492" s="16"/>
      <c r="EX492" s="14"/>
      <c r="EY492" s="12" t="s">
        <v>320</v>
      </c>
      <c r="EZ492" s="14">
        <v>240</v>
      </c>
      <c r="FA492" s="16">
        <v>0.36</v>
      </c>
      <c r="FB492" s="14">
        <v>2400</v>
      </c>
      <c r="FC492" s="12" t="s">
        <v>319</v>
      </c>
      <c r="FD492" s="14"/>
      <c r="FE492" s="16"/>
      <c r="FF492" s="14"/>
      <c r="FG492" s="12" t="s">
        <v>320</v>
      </c>
      <c r="FH492" s="14">
        <v>126</v>
      </c>
      <c r="FI492" s="16">
        <v>0.65</v>
      </c>
      <c r="FJ492" s="14">
        <v>580</v>
      </c>
      <c r="FK492" s="12" t="s">
        <v>319</v>
      </c>
      <c r="FL492" s="14"/>
      <c r="FM492" s="16"/>
      <c r="FN492" s="14"/>
      <c r="FO492" s="12" t="s">
        <v>319</v>
      </c>
      <c r="FP492" s="14"/>
      <c r="FQ492" s="16"/>
      <c r="FR492" s="14"/>
      <c r="FS492" s="12" t="s">
        <v>319</v>
      </c>
      <c r="FT492" s="14">
        <v>0</v>
      </c>
      <c r="FU492" s="16">
        <v>0</v>
      </c>
      <c r="FV492" s="14">
        <v>0</v>
      </c>
      <c r="FW492" s="12" t="s">
        <v>319</v>
      </c>
      <c r="FX492" s="14"/>
      <c r="FY492" s="16"/>
      <c r="FZ492" s="14"/>
      <c r="GA492" s="12" t="s">
        <v>319</v>
      </c>
      <c r="GB492" s="14"/>
      <c r="GC492" s="16"/>
      <c r="GD492" s="14"/>
      <c r="GE492" s="12" t="s">
        <v>319</v>
      </c>
      <c r="GF492" s="14"/>
      <c r="GG492" s="16"/>
      <c r="GH492" s="14"/>
      <c r="GI492" s="12" t="s">
        <v>319</v>
      </c>
      <c r="GJ492" s="14"/>
      <c r="GK492" s="16"/>
      <c r="GL492" s="14"/>
      <c r="GM492" s="12" t="s">
        <v>319</v>
      </c>
      <c r="GN492" s="14"/>
      <c r="GO492" s="16"/>
      <c r="GP492" s="14"/>
      <c r="GQ492" s="12" t="s">
        <v>319</v>
      </c>
      <c r="GR492" s="14"/>
      <c r="GS492" s="16"/>
      <c r="GT492" s="14"/>
      <c r="GU492" s="12" t="s">
        <v>319</v>
      </c>
      <c r="GV492" s="14"/>
      <c r="GW492" s="16"/>
      <c r="GX492" s="14"/>
      <c r="GY492" s="12" t="s">
        <v>319</v>
      </c>
      <c r="GZ492" s="14"/>
      <c r="HA492" s="16"/>
      <c r="HB492" s="14"/>
      <c r="HC492" s="12"/>
      <c r="HD492" s="12" t="s">
        <v>319</v>
      </c>
      <c r="HE492" s="14"/>
      <c r="HF492" s="16"/>
      <c r="HG492" s="14"/>
      <c r="HH492" s="12" t="s">
        <v>320</v>
      </c>
      <c r="HI492" s="12" t="s">
        <v>619</v>
      </c>
      <c r="HJ492" s="12">
        <v>2016</v>
      </c>
      <c r="HK492" s="12" t="s">
        <v>319</v>
      </c>
      <c r="HL492" s="12" t="s">
        <v>320</v>
      </c>
      <c r="HM492" s="12" t="s">
        <v>416</v>
      </c>
      <c r="HN492" s="12">
        <v>2018</v>
      </c>
      <c r="HO492" s="12" t="s">
        <v>8490</v>
      </c>
      <c r="HP492" s="12" t="s">
        <v>418</v>
      </c>
      <c r="HQ492" s="12" t="s">
        <v>319</v>
      </c>
      <c r="HR492" s="12" t="s">
        <v>319</v>
      </c>
      <c r="HS492" s="12" t="s">
        <v>320</v>
      </c>
      <c r="HT492" s="12" t="s">
        <v>319</v>
      </c>
      <c r="HU492" s="12" t="s">
        <v>319</v>
      </c>
      <c r="HV492" s="12" t="s">
        <v>319</v>
      </c>
      <c r="HW492" s="12" t="s">
        <v>319</v>
      </c>
      <c r="HX492" s="12" t="s">
        <v>319</v>
      </c>
      <c r="HY492" s="12"/>
      <c r="HZ492" s="12" t="s">
        <v>363</v>
      </c>
      <c r="IA492" s="12"/>
      <c r="IB492" s="12" t="s">
        <v>333</v>
      </c>
      <c r="IC492" s="12"/>
      <c r="ID492" s="12" t="s">
        <v>364</v>
      </c>
      <c r="IE492" s="12" t="s">
        <v>478</v>
      </c>
      <c r="IF492" s="12" t="s">
        <v>320</v>
      </c>
      <c r="IG492" s="12" t="s">
        <v>320</v>
      </c>
      <c r="IH492" s="12" t="s">
        <v>320</v>
      </c>
      <c r="II492" s="12" t="s">
        <v>320</v>
      </c>
      <c r="IJ492" s="12" t="str">
        <f t="shared" si="302"/>
        <v>4. Transformative</v>
      </c>
      <c r="IK492" s="12">
        <f t="shared" si="303"/>
        <v>4</v>
      </c>
      <c r="IL492" s="11" t="s">
        <v>621</v>
      </c>
      <c r="IM492" s="12" t="s">
        <v>320</v>
      </c>
      <c r="IN492" s="12" t="s">
        <v>320</v>
      </c>
      <c r="IO492" s="12" t="s">
        <v>320</v>
      </c>
      <c r="IP492" s="12" t="s">
        <v>320</v>
      </c>
      <c r="IQ492" s="12" t="str">
        <f t="shared" si="304"/>
        <v>4. Transformational</v>
      </c>
      <c r="IR492" s="12">
        <f t="shared" si="305"/>
        <v>4</v>
      </c>
      <c r="IS492" s="12" t="s">
        <v>337</v>
      </c>
      <c r="IT492" s="12" t="s">
        <v>320</v>
      </c>
      <c r="IU492" s="12" t="s">
        <v>320</v>
      </c>
      <c r="IV492" s="12" t="s">
        <v>320</v>
      </c>
      <c r="IW492" s="11" t="str">
        <f t="shared" si="306"/>
        <v>2. Sensitive</v>
      </c>
      <c r="IX492" s="12">
        <f t="shared" si="307"/>
        <v>3</v>
      </c>
      <c r="IY492" s="12" t="s">
        <v>338</v>
      </c>
      <c r="IZ492" s="12" t="s">
        <v>339</v>
      </c>
      <c r="JA492" s="12"/>
      <c r="JB492" s="12"/>
      <c r="JC492" s="12"/>
      <c r="JD492" s="12"/>
      <c r="JE492" s="12" t="s">
        <v>340</v>
      </c>
      <c r="JF492" s="12" t="s">
        <v>8491</v>
      </c>
      <c r="JG492" s="12"/>
      <c r="JH492" s="12" t="s">
        <v>8492</v>
      </c>
      <c r="JI492" s="12" t="s">
        <v>8493</v>
      </c>
      <c r="JJ492" s="12" t="s">
        <v>8494</v>
      </c>
      <c r="JK492" s="12"/>
      <c r="JL492" s="12"/>
      <c r="JM492" s="12"/>
      <c r="JN492" s="12"/>
      <c r="JO492" s="12" t="s">
        <v>8495</v>
      </c>
      <c r="JP492" s="15">
        <f t="shared" si="308"/>
        <v>366</v>
      </c>
      <c r="JQ492" s="15">
        <f t="shared" si="309"/>
        <v>2980</v>
      </c>
      <c r="JR492" s="279">
        <f t="shared" si="310"/>
        <v>8.142076502732241</v>
      </c>
      <c r="JS492" s="17">
        <f t="shared" si="311"/>
        <v>0.51092896174863389</v>
      </c>
      <c r="JT492" s="18">
        <f t="shared" si="312"/>
        <v>0.6</v>
      </c>
      <c r="JU492" s="280">
        <f t="shared" si="313"/>
        <v>187</v>
      </c>
      <c r="JV492" s="280">
        <f t="shared" si="314"/>
        <v>1788</v>
      </c>
      <c r="JW492" s="319" t="str">
        <f t="shared" si="315"/>
        <v/>
      </c>
      <c r="JX492" s="15">
        <f t="shared" si="316"/>
        <v>0</v>
      </c>
      <c r="JY492" s="15">
        <f t="shared" si="317"/>
        <v>0</v>
      </c>
      <c r="JZ492" s="19" t="str">
        <f t="shared" si="318"/>
        <v/>
      </c>
      <c r="KA492" s="52">
        <f t="shared" si="319"/>
        <v>1</v>
      </c>
      <c r="KB492" s="15">
        <f t="shared" si="320"/>
        <v>126</v>
      </c>
      <c r="KC492" s="15">
        <f t="shared" si="321"/>
        <v>580</v>
      </c>
      <c r="KD492" s="20">
        <f t="shared" si="322"/>
        <v>4.6031746031746028</v>
      </c>
      <c r="KE492" s="52" t="str">
        <f t="shared" si="323"/>
        <v/>
      </c>
      <c r="KF492" s="15">
        <f t="shared" si="324"/>
        <v>0</v>
      </c>
      <c r="KG492" s="15">
        <f t="shared" si="325"/>
        <v>0</v>
      </c>
      <c r="KH492" s="21" t="str">
        <f t="shared" si="326"/>
        <v/>
      </c>
      <c r="KI492" s="52" t="str">
        <f t="shared" si="327"/>
        <v/>
      </c>
      <c r="KJ492" s="15">
        <f t="shared" si="328"/>
        <v>0</v>
      </c>
      <c r="KK492" s="15">
        <f t="shared" si="329"/>
        <v>0</v>
      </c>
      <c r="KL492" s="19" t="str">
        <f t="shared" si="330"/>
        <v/>
      </c>
      <c r="KM492" s="52">
        <f t="shared" si="331"/>
        <v>1</v>
      </c>
      <c r="KN492" s="22">
        <f t="shared" si="332"/>
        <v>81.900000000000006</v>
      </c>
      <c r="KO492" s="22">
        <f t="shared" si="333"/>
        <v>377</v>
      </c>
      <c r="KP492" s="19">
        <f t="shared" si="334"/>
        <v>4.6031746031746028</v>
      </c>
      <c r="KQ492" s="11" t="str">
        <f t="shared" si="335"/>
        <v>4. Transformative</v>
      </c>
      <c r="KR492" s="11" t="str">
        <f t="shared" si="336"/>
        <v>4. Transformational</v>
      </c>
      <c r="KS492" s="11" t="str">
        <f t="shared" si="337"/>
        <v>2. Sensitive</v>
      </c>
      <c r="KT492" s="11" t="str">
        <f t="shared" si="338"/>
        <v>It did not develop any specific innovation</v>
      </c>
      <c r="KU492" s="11" t="str">
        <f t="shared" si="339"/>
        <v>Little or no advocacy</v>
      </c>
      <c r="KV492" s="11" t="str">
        <f t="shared" si="340"/>
        <v>It did not take tested solutions to scale</v>
      </c>
      <c r="KW492" s="11" t="str">
        <f t="shared" si="341"/>
        <v>Myanmar - Community Peacebuilding in Rakhine State, Myanmar</v>
      </c>
      <c r="KX492" s="11" t="str">
        <f t="shared" si="342"/>
        <v>Community Peacebuilding in Rakhine State, Myanmar</v>
      </c>
      <c r="KY492" s="11" t="str">
        <f t="shared" si="343"/>
        <v>Myanmar</v>
      </c>
      <c r="KZ492" s="12">
        <v>492</v>
      </c>
    </row>
    <row r="493" spans="1:312" x14ac:dyDescent="0.3">
      <c r="A493" s="12" t="s">
        <v>8444</v>
      </c>
      <c r="B493" s="12" t="s">
        <v>306</v>
      </c>
      <c r="C493" s="12"/>
      <c r="D493" s="12" t="s">
        <v>8496</v>
      </c>
      <c r="E493" s="277" t="str">
        <f t="shared" si="301"/>
        <v>Myanmar</v>
      </c>
      <c r="F493" s="12" t="s">
        <v>8497</v>
      </c>
      <c r="G493" s="12" t="s">
        <v>309</v>
      </c>
      <c r="H493" s="12" t="s">
        <v>380</v>
      </c>
      <c r="I493" s="12" t="s">
        <v>381</v>
      </c>
      <c r="J493" s="281" t="s">
        <v>12798</v>
      </c>
      <c r="K493" s="12"/>
      <c r="L493" s="12"/>
      <c r="M493" s="12"/>
      <c r="N493" s="12"/>
      <c r="O493" s="12"/>
      <c r="P493" s="12"/>
      <c r="Q493" s="12"/>
      <c r="R493" s="12"/>
      <c r="S493" s="12"/>
      <c r="T493" s="12"/>
      <c r="U493" s="12"/>
      <c r="V493" s="12"/>
      <c r="W493" s="12"/>
      <c r="X493" s="12"/>
      <c r="Y493" s="12"/>
      <c r="Z493" s="12"/>
      <c r="AA493" s="12"/>
      <c r="AB493" s="12"/>
      <c r="AC493" s="12"/>
      <c r="AD493" s="12"/>
      <c r="BD493" s="13">
        <v>42736</v>
      </c>
      <c r="BE493" s="13">
        <v>43100</v>
      </c>
      <c r="BF493" s="12"/>
      <c r="BG493" s="12" t="s">
        <v>609</v>
      </c>
      <c r="BH493" s="14">
        <v>200000</v>
      </c>
      <c r="BI493" s="12" t="s">
        <v>8447</v>
      </c>
      <c r="BJ493" s="12" t="s">
        <v>1602</v>
      </c>
      <c r="BK493" s="12" t="s">
        <v>8448</v>
      </c>
      <c r="BL493" s="12" t="s">
        <v>8449</v>
      </c>
      <c r="BM493" s="12" t="s">
        <v>444</v>
      </c>
      <c r="BN493" s="12" t="s">
        <v>8450</v>
      </c>
      <c r="BO493" s="12" t="s">
        <v>319</v>
      </c>
      <c r="BP493" s="12" t="s">
        <v>320</v>
      </c>
      <c r="BQ493" s="12" t="s">
        <v>319</v>
      </c>
      <c r="BR493" s="12" t="s">
        <v>8498</v>
      </c>
      <c r="BS493" s="12" t="s">
        <v>357</v>
      </c>
      <c r="BT493" s="12" t="s">
        <v>8452</v>
      </c>
      <c r="BU493" s="12" t="s">
        <v>8499</v>
      </c>
      <c r="BV493" s="14">
        <v>3838</v>
      </c>
      <c r="BW493" s="14">
        <v>1567</v>
      </c>
      <c r="BX493" s="14">
        <v>5405</v>
      </c>
      <c r="BY493" s="14">
        <v>7810</v>
      </c>
      <c r="BZ493" s="14">
        <v>3190</v>
      </c>
      <c r="CA493" s="14">
        <v>11000</v>
      </c>
      <c r="CB493" s="12" t="s">
        <v>8500</v>
      </c>
      <c r="CD493" s="14"/>
      <c r="CE493" s="14"/>
      <c r="CF493" s="14"/>
      <c r="CG493" s="14"/>
      <c r="CH493" s="14"/>
      <c r="CI493" s="14"/>
      <c r="CJ493" s="12"/>
      <c r="CK493" s="14"/>
      <c r="CL493" s="16"/>
      <c r="CM493" s="14"/>
      <c r="CN493" s="12"/>
      <c r="CO493" s="14"/>
      <c r="CP493" s="16"/>
      <c r="CQ493" s="14"/>
      <c r="CR493" s="12"/>
      <c r="CS493" s="14"/>
      <c r="CT493" s="16"/>
      <c r="CU493" s="14"/>
      <c r="CV493" s="12"/>
      <c r="CW493" s="14"/>
      <c r="CX493" s="16"/>
      <c r="CY493" s="14"/>
      <c r="CZ493" s="12"/>
      <c r="DA493" s="14"/>
      <c r="DB493" s="16"/>
      <c r="DC493" s="14"/>
      <c r="DD493" s="12"/>
      <c r="DE493" s="14"/>
      <c r="DF493" s="16"/>
      <c r="DG493" s="14"/>
      <c r="DH493" s="12"/>
      <c r="DI493" s="14"/>
      <c r="DJ493" s="16"/>
      <c r="DK493" s="14"/>
      <c r="DL493" s="12"/>
      <c r="DM493" s="14"/>
      <c r="DN493" s="16"/>
      <c r="DO493" s="14"/>
      <c r="DP493" s="12"/>
      <c r="DQ493" s="14"/>
      <c r="DR493" s="16"/>
      <c r="DS493" s="14"/>
      <c r="DT493" s="12"/>
      <c r="DU493" s="14"/>
      <c r="DV493" s="16"/>
      <c r="DW493" s="14"/>
      <c r="DX493" s="12"/>
      <c r="DY493" s="14"/>
      <c r="DZ493" s="16"/>
      <c r="EA493" s="14"/>
      <c r="EB493" s="12"/>
      <c r="EC493" s="14"/>
      <c r="ED493" s="16"/>
      <c r="EE493" s="14"/>
      <c r="EF493" s="12"/>
      <c r="EG493" s="12"/>
      <c r="EH493" s="14"/>
      <c r="EI493" s="16"/>
      <c r="EJ493" s="14"/>
      <c r="EK493" s="14">
        <v>1792</v>
      </c>
      <c r="EL493" s="14">
        <v>602</v>
      </c>
      <c r="EM493" s="14">
        <v>2394</v>
      </c>
      <c r="EN493" s="14">
        <v>3584</v>
      </c>
      <c r="EO493" s="14">
        <v>1204</v>
      </c>
      <c r="EP493" s="14">
        <v>4788</v>
      </c>
      <c r="EQ493" s="12"/>
      <c r="ER493" s="14"/>
      <c r="ES493" s="16"/>
      <c r="ET493" s="14"/>
      <c r="EU493" s="12"/>
      <c r="EV493" s="14"/>
      <c r="EW493" s="16"/>
      <c r="EX493" s="14"/>
      <c r="EY493" s="12"/>
      <c r="EZ493" s="14"/>
      <c r="FA493" s="16"/>
      <c r="FB493" s="14"/>
      <c r="FC493" s="12"/>
      <c r="FD493" s="14"/>
      <c r="FE493" s="16"/>
      <c r="FF493" s="14"/>
      <c r="FG493" s="12"/>
      <c r="FH493" s="14"/>
      <c r="FI493" s="16"/>
      <c r="FJ493" s="14"/>
      <c r="FK493" s="12"/>
      <c r="FL493" s="14"/>
      <c r="FM493" s="16"/>
      <c r="FN493" s="14"/>
      <c r="FO493" s="12"/>
      <c r="FP493" s="14"/>
      <c r="FQ493" s="16"/>
      <c r="FR493" s="14"/>
      <c r="FS493" s="12" t="s">
        <v>320</v>
      </c>
      <c r="FT493" s="14">
        <v>2394</v>
      </c>
      <c r="FU493" s="16">
        <v>0.71</v>
      </c>
      <c r="FV493" s="14">
        <v>4788</v>
      </c>
      <c r="FW493" s="12"/>
      <c r="FX493" s="14"/>
      <c r="FY493" s="16"/>
      <c r="FZ493" s="14"/>
      <c r="GA493" s="12"/>
      <c r="GB493" s="14"/>
      <c r="GC493" s="16"/>
      <c r="GD493" s="14"/>
      <c r="GE493" s="12"/>
      <c r="GF493" s="14"/>
      <c r="GG493" s="16"/>
      <c r="GH493" s="14"/>
      <c r="GI493" s="12"/>
      <c r="GJ493" s="14"/>
      <c r="GK493" s="16"/>
      <c r="GL493" s="14"/>
      <c r="GM493" s="12"/>
      <c r="GN493" s="14"/>
      <c r="GO493" s="16"/>
      <c r="GP493" s="14"/>
      <c r="GQ493" s="12"/>
      <c r="GR493" s="14"/>
      <c r="GS493" s="16"/>
      <c r="GT493" s="14"/>
      <c r="GU493" s="12"/>
      <c r="GV493" s="14"/>
      <c r="GW493" s="16"/>
      <c r="GX493" s="14"/>
      <c r="GY493" s="12"/>
      <c r="GZ493" s="14"/>
      <c r="HA493" s="16"/>
      <c r="HB493" s="14"/>
      <c r="HC493" s="12"/>
      <c r="HD493" s="12"/>
      <c r="HE493" s="14"/>
      <c r="HF493" s="16"/>
      <c r="HG493" s="14"/>
      <c r="HH493" s="12" t="s">
        <v>320</v>
      </c>
      <c r="HI493" s="12" t="s">
        <v>431</v>
      </c>
      <c r="HJ493" s="12">
        <v>2017</v>
      </c>
      <c r="HK493" s="12" t="s">
        <v>320</v>
      </c>
      <c r="HL493" s="12" t="s">
        <v>320</v>
      </c>
      <c r="HM493" s="12" t="s">
        <v>328</v>
      </c>
      <c r="HN493" s="12">
        <v>2017</v>
      </c>
      <c r="HO493" s="12" t="s">
        <v>393</v>
      </c>
      <c r="HP493" s="12" t="s">
        <v>330</v>
      </c>
      <c r="HQ493" s="12"/>
      <c r="HR493" s="12"/>
      <c r="HS493" s="12" t="s">
        <v>320</v>
      </c>
      <c r="HT493" s="12" t="s">
        <v>320</v>
      </c>
      <c r="HU493" s="12"/>
      <c r="HV493" s="12" t="s">
        <v>320</v>
      </c>
      <c r="HW493" s="12"/>
      <c r="HX493" s="12"/>
      <c r="HY493" s="12"/>
      <c r="HZ493" s="12" t="s">
        <v>394</v>
      </c>
      <c r="IA493" s="12" t="s">
        <v>8501</v>
      </c>
      <c r="IB493" s="12" t="s">
        <v>667</v>
      </c>
      <c r="IC493" s="12" t="s">
        <v>8501</v>
      </c>
      <c r="ID493" s="12" t="s">
        <v>477</v>
      </c>
      <c r="IE493" s="12" t="s">
        <v>478</v>
      </c>
      <c r="IF493" s="12" t="s">
        <v>319</v>
      </c>
      <c r="IG493" s="12" t="s">
        <v>320</v>
      </c>
      <c r="IH493" s="12" t="s">
        <v>319</v>
      </c>
      <c r="II493" s="12" t="s">
        <v>319</v>
      </c>
      <c r="IJ493" s="12" t="str">
        <f t="shared" si="302"/>
        <v>No marker score</v>
      </c>
      <c r="IK493" s="12">
        <f t="shared" si="303"/>
        <v>1</v>
      </c>
      <c r="IL493" s="12" t="s">
        <v>336</v>
      </c>
      <c r="IM493" s="12" t="s">
        <v>319</v>
      </c>
      <c r="IN493" s="12" t="s">
        <v>320</v>
      </c>
      <c r="IO493" s="12" t="s">
        <v>320</v>
      </c>
      <c r="IP493" s="12" t="s">
        <v>319</v>
      </c>
      <c r="IQ493" s="12" t="str">
        <f t="shared" si="304"/>
        <v>1. Tokenistic</v>
      </c>
      <c r="IR493" s="12">
        <f t="shared" si="305"/>
        <v>2</v>
      </c>
      <c r="IS493" s="12" t="s">
        <v>456</v>
      </c>
      <c r="IT493" s="12" t="s">
        <v>320</v>
      </c>
      <c r="IU493" s="12" t="s">
        <v>320</v>
      </c>
      <c r="IV493" s="12" t="s">
        <v>320</v>
      </c>
      <c r="IW493" s="11" t="str">
        <f t="shared" si="306"/>
        <v>0. Harmful</v>
      </c>
      <c r="IX493" s="12">
        <f t="shared" si="307"/>
        <v>3</v>
      </c>
      <c r="IY493" s="12" t="s">
        <v>338</v>
      </c>
      <c r="IZ493" s="12" t="s">
        <v>527</v>
      </c>
      <c r="JA493" s="12"/>
      <c r="JB493" s="12" t="s">
        <v>1570</v>
      </c>
      <c r="JC493" s="12" t="s">
        <v>687</v>
      </c>
      <c r="JD493" s="12" t="s">
        <v>624</v>
      </c>
      <c r="JE493" s="12" t="s">
        <v>340</v>
      </c>
      <c r="JF493" s="12" t="s">
        <v>8502</v>
      </c>
      <c r="JG493" s="12"/>
      <c r="JH493" s="12" t="s">
        <v>8503</v>
      </c>
      <c r="JI493" s="12" t="s">
        <v>8504</v>
      </c>
      <c r="JJ493" s="12"/>
      <c r="JK493" s="12" t="s">
        <v>8505</v>
      </c>
      <c r="JL493" s="12"/>
      <c r="JM493" s="12"/>
      <c r="JN493" s="12"/>
      <c r="JO493" s="12"/>
      <c r="JP493" s="15">
        <f t="shared" si="308"/>
        <v>2394</v>
      </c>
      <c r="JQ493" s="15">
        <f t="shared" si="309"/>
        <v>4788</v>
      </c>
      <c r="JR493" s="279">
        <f t="shared" si="310"/>
        <v>2</v>
      </c>
      <c r="JS493" s="17">
        <f t="shared" si="311"/>
        <v>0.74853801169590639</v>
      </c>
      <c r="JT493" s="18">
        <f t="shared" si="312"/>
        <v>0.74853801169590639</v>
      </c>
      <c r="JU493" s="280">
        <f t="shared" si="313"/>
        <v>1792</v>
      </c>
      <c r="JV493" s="280">
        <f t="shared" si="314"/>
        <v>3584</v>
      </c>
      <c r="JW493" s="319" t="str">
        <f t="shared" si="315"/>
        <v/>
      </c>
      <c r="JX493" s="15">
        <f t="shared" si="316"/>
        <v>0</v>
      </c>
      <c r="JY493" s="15">
        <f t="shared" si="317"/>
        <v>0</v>
      </c>
      <c r="JZ493" s="19" t="str">
        <f t="shared" si="318"/>
        <v/>
      </c>
      <c r="KA493" s="52" t="str">
        <f t="shared" si="319"/>
        <v/>
      </c>
      <c r="KB493" s="15">
        <f t="shared" si="320"/>
        <v>0</v>
      </c>
      <c r="KC493" s="15">
        <f t="shared" si="321"/>
        <v>0</v>
      </c>
      <c r="KD493" s="20" t="str">
        <f t="shared" si="322"/>
        <v/>
      </c>
      <c r="KE493" s="52" t="str">
        <f t="shared" si="323"/>
        <v/>
      </c>
      <c r="KF493" s="15">
        <f t="shared" si="324"/>
        <v>0</v>
      </c>
      <c r="KG493" s="15">
        <f t="shared" si="325"/>
        <v>0</v>
      </c>
      <c r="KH493" s="21" t="str">
        <f t="shared" si="326"/>
        <v/>
      </c>
      <c r="KI493" s="52">
        <f t="shared" si="327"/>
        <v>1</v>
      </c>
      <c r="KJ493" s="15">
        <f t="shared" si="328"/>
        <v>2394</v>
      </c>
      <c r="KK493" s="15">
        <f t="shared" si="329"/>
        <v>4788</v>
      </c>
      <c r="KL493" s="19">
        <f t="shared" si="330"/>
        <v>2</v>
      </c>
      <c r="KM493" s="52" t="str">
        <f t="shared" si="331"/>
        <v/>
      </c>
      <c r="KN493" s="22">
        <f t="shared" si="332"/>
        <v>0</v>
      </c>
      <c r="KO493" s="22">
        <f t="shared" si="333"/>
        <v>0</v>
      </c>
      <c r="KP493" s="19" t="str">
        <f t="shared" si="334"/>
        <v/>
      </c>
      <c r="KQ493" s="11" t="str">
        <f t="shared" si="335"/>
        <v>No marker score</v>
      </c>
      <c r="KR493" s="11" t="str">
        <f t="shared" si="336"/>
        <v>1. Tokenistic</v>
      </c>
      <c r="KS493" s="11" t="str">
        <f t="shared" si="337"/>
        <v>0. Harmful</v>
      </c>
      <c r="KT493" s="11" t="str">
        <f t="shared" si="338"/>
        <v>It tested new ways for fighting poverty, but did not measure results of innovation</v>
      </c>
      <c r="KU493" s="11" t="str">
        <f t="shared" si="339"/>
        <v>Moderate advocacy</v>
      </c>
      <c r="KV493" s="11" t="str">
        <f t="shared" si="340"/>
        <v>It took tested solutions to scale on its own</v>
      </c>
      <c r="KW493" s="11" t="str">
        <f t="shared" si="341"/>
        <v>Myanmar - Developing Action for Women Now (Dawn)</v>
      </c>
      <c r="KX493" s="11" t="str">
        <f t="shared" si="342"/>
        <v>Developing Action for Women Now (Dawn)</v>
      </c>
      <c r="KY493" s="11" t="str">
        <f t="shared" si="343"/>
        <v>Myanmar</v>
      </c>
      <c r="KZ493" s="12">
        <v>493</v>
      </c>
    </row>
    <row r="494" spans="1:312" x14ac:dyDescent="0.3">
      <c r="A494" s="12" t="s">
        <v>8444</v>
      </c>
      <c r="B494" s="12" t="s">
        <v>306</v>
      </c>
      <c r="C494" s="12">
        <v>3158</v>
      </c>
      <c r="D494" s="12" t="s">
        <v>8506</v>
      </c>
      <c r="E494" s="277" t="str">
        <f t="shared" si="301"/>
        <v>Myanmar</v>
      </c>
      <c r="F494" s="12" t="s">
        <v>8507</v>
      </c>
      <c r="G494" s="12" t="s">
        <v>488</v>
      </c>
      <c r="H494" s="12" t="s">
        <v>554</v>
      </c>
      <c r="I494" s="12" t="s">
        <v>384</v>
      </c>
      <c r="J494" s="281" t="s">
        <v>2248</v>
      </c>
      <c r="K494" s="12"/>
      <c r="L494" s="12"/>
      <c r="M494" s="12"/>
      <c r="N494" s="12"/>
      <c r="O494" s="12"/>
      <c r="P494" s="12"/>
      <c r="Q494" s="12"/>
      <c r="R494" s="12"/>
      <c r="S494" s="12"/>
      <c r="T494" s="12"/>
      <c r="U494" s="12"/>
      <c r="V494" s="12"/>
      <c r="W494" s="12"/>
      <c r="X494" s="12"/>
      <c r="Y494" s="12"/>
      <c r="Z494" s="12"/>
      <c r="AA494" s="12"/>
      <c r="AB494" s="12"/>
      <c r="AC494" s="12"/>
      <c r="AD494" s="12"/>
      <c r="BD494" s="13">
        <v>42278</v>
      </c>
      <c r="BE494" s="13">
        <v>43373</v>
      </c>
      <c r="BF494" s="12"/>
      <c r="BG494" s="12" t="s">
        <v>490</v>
      </c>
      <c r="BH494" s="14">
        <v>992000</v>
      </c>
      <c r="BI494" s="12" t="s">
        <v>8447</v>
      </c>
      <c r="BJ494" s="12" t="s">
        <v>1602</v>
      </c>
      <c r="BK494" s="12" t="s">
        <v>8448</v>
      </c>
      <c r="BL494" s="12" t="s">
        <v>8449</v>
      </c>
      <c r="BM494" s="12" t="s">
        <v>444</v>
      </c>
      <c r="BN494" s="12" t="s">
        <v>8450</v>
      </c>
      <c r="BO494" s="12" t="s">
        <v>319</v>
      </c>
      <c r="BP494" s="12" t="s">
        <v>320</v>
      </c>
      <c r="BQ494" s="12" t="s">
        <v>319</v>
      </c>
      <c r="BR494" s="12" t="s">
        <v>8508</v>
      </c>
      <c r="BS494" s="12" t="s">
        <v>357</v>
      </c>
      <c r="BT494" s="12" t="s">
        <v>8452</v>
      </c>
      <c r="BU494" s="12" t="s">
        <v>8509</v>
      </c>
      <c r="BV494" s="14">
        <v>7067</v>
      </c>
      <c r="BW494" s="14">
        <v>2887</v>
      </c>
      <c r="BX494" s="14">
        <v>9954</v>
      </c>
      <c r="BY494" s="14">
        <v>17868</v>
      </c>
      <c r="BZ494" s="14">
        <v>7132</v>
      </c>
      <c r="CA494" s="14">
        <v>25000</v>
      </c>
      <c r="CB494" s="12" t="s">
        <v>8510</v>
      </c>
      <c r="CD494" s="14"/>
      <c r="CE494" s="14"/>
      <c r="CF494" s="14"/>
      <c r="CG494" s="14"/>
      <c r="CH494" s="14"/>
      <c r="CI494" s="14"/>
      <c r="CJ494" s="12"/>
      <c r="CK494" s="14"/>
      <c r="CL494" s="16"/>
      <c r="CM494" s="14"/>
      <c r="CN494" s="12"/>
      <c r="CO494" s="14"/>
      <c r="CP494" s="16"/>
      <c r="CQ494" s="14"/>
      <c r="CR494" s="12"/>
      <c r="CS494" s="14"/>
      <c r="CT494" s="16"/>
      <c r="CU494" s="14"/>
      <c r="CV494" s="12"/>
      <c r="CW494" s="14"/>
      <c r="CX494" s="16"/>
      <c r="CY494" s="14"/>
      <c r="CZ494" s="12"/>
      <c r="DA494" s="14"/>
      <c r="DB494" s="16"/>
      <c r="DC494" s="14"/>
      <c r="DD494" s="12"/>
      <c r="DE494" s="14"/>
      <c r="DF494" s="16"/>
      <c r="DG494" s="14"/>
      <c r="DH494" s="12"/>
      <c r="DI494" s="14"/>
      <c r="DJ494" s="16"/>
      <c r="DK494" s="14"/>
      <c r="DL494" s="12"/>
      <c r="DM494" s="14"/>
      <c r="DN494" s="16"/>
      <c r="DO494" s="14"/>
      <c r="DP494" s="12"/>
      <c r="DQ494" s="14"/>
      <c r="DR494" s="16"/>
      <c r="DS494" s="14"/>
      <c r="DT494" s="12"/>
      <c r="DU494" s="14"/>
      <c r="DV494" s="16"/>
      <c r="DW494" s="14"/>
      <c r="DX494" s="12"/>
      <c r="DY494" s="14"/>
      <c r="DZ494" s="16"/>
      <c r="EA494" s="14"/>
      <c r="EB494" s="12"/>
      <c r="EC494" s="14"/>
      <c r="ED494" s="16"/>
      <c r="EE494" s="14"/>
      <c r="EF494" s="12"/>
      <c r="EG494" s="12"/>
      <c r="EH494" s="14"/>
      <c r="EI494" s="16"/>
      <c r="EJ494" s="14"/>
      <c r="EK494" s="14">
        <v>3375</v>
      </c>
      <c r="EL494" s="14">
        <v>1347</v>
      </c>
      <c r="EM494" s="14">
        <v>4722</v>
      </c>
      <c r="EN494" s="14">
        <v>5297</v>
      </c>
      <c r="EO494" s="14">
        <v>5169</v>
      </c>
      <c r="EP494" s="14">
        <v>10466</v>
      </c>
      <c r="EQ494" s="12"/>
      <c r="ER494" s="14"/>
      <c r="ES494" s="16"/>
      <c r="ET494" s="14"/>
      <c r="EU494" s="12"/>
      <c r="EV494" s="14"/>
      <c r="EW494" s="16"/>
      <c r="EX494" s="14"/>
      <c r="EY494" s="12"/>
      <c r="EZ494" s="14"/>
      <c r="FA494" s="16"/>
      <c r="FB494" s="14"/>
      <c r="FC494" s="12"/>
      <c r="FD494" s="14"/>
      <c r="FE494" s="16"/>
      <c r="FF494" s="14"/>
      <c r="FG494" s="12" t="s">
        <v>320</v>
      </c>
      <c r="FH494" s="14">
        <v>709</v>
      </c>
      <c r="FI494" s="16">
        <v>0.8</v>
      </c>
      <c r="FJ494" s="14">
        <v>2836</v>
      </c>
      <c r="FK494" s="12"/>
      <c r="FL494" s="14"/>
      <c r="FM494" s="16"/>
      <c r="FN494" s="14"/>
      <c r="FO494" s="12"/>
      <c r="FP494" s="14"/>
      <c r="FQ494" s="16"/>
      <c r="FR494" s="14"/>
      <c r="FS494" s="12"/>
      <c r="FT494" s="14"/>
      <c r="FU494" s="16"/>
      <c r="FV494" s="14"/>
      <c r="FW494" s="12"/>
      <c r="FX494" s="14"/>
      <c r="FY494" s="16"/>
      <c r="FZ494" s="14"/>
      <c r="GA494" s="12"/>
      <c r="GB494" s="14"/>
      <c r="GC494" s="16"/>
      <c r="GD494" s="14"/>
      <c r="GE494" s="12" t="s">
        <v>320</v>
      </c>
      <c r="GF494" s="14">
        <v>1462</v>
      </c>
      <c r="GG494" s="16">
        <v>0.51</v>
      </c>
      <c r="GH494" s="14">
        <v>1462</v>
      </c>
      <c r="GI494" s="12"/>
      <c r="GJ494" s="14"/>
      <c r="GK494" s="16"/>
      <c r="GL494" s="14"/>
      <c r="GM494" s="12"/>
      <c r="GN494" s="14"/>
      <c r="GO494" s="16"/>
      <c r="GP494" s="14"/>
      <c r="GQ494" s="12" t="s">
        <v>320</v>
      </c>
      <c r="GR494" s="14">
        <v>4722</v>
      </c>
      <c r="GS494" s="16">
        <v>0.71</v>
      </c>
      <c r="GT494" s="14">
        <v>10466</v>
      </c>
      <c r="GU494" s="12"/>
      <c r="GV494" s="14"/>
      <c r="GW494" s="16"/>
      <c r="GX494" s="14"/>
      <c r="GY494" s="12"/>
      <c r="GZ494" s="14"/>
      <c r="HA494" s="16"/>
      <c r="HB494" s="14"/>
      <c r="HC494" s="12"/>
      <c r="HD494" s="12"/>
      <c r="HE494" s="14"/>
      <c r="HF494" s="16"/>
      <c r="HG494" s="14"/>
      <c r="HH494" s="12" t="s">
        <v>319</v>
      </c>
      <c r="HI494" s="12"/>
      <c r="HJ494" s="12"/>
      <c r="HK494" s="12" t="s">
        <v>319</v>
      </c>
      <c r="HL494" s="12" t="s">
        <v>319</v>
      </c>
      <c r="HM494" s="12"/>
      <c r="HN494" s="12"/>
      <c r="HO494" s="12" t="s">
        <v>393</v>
      </c>
      <c r="HP494" s="12" t="s">
        <v>418</v>
      </c>
      <c r="HQ494" s="12"/>
      <c r="HR494" s="12"/>
      <c r="HS494" s="12" t="s">
        <v>320</v>
      </c>
      <c r="HT494" s="12"/>
      <c r="HU494" s="12"/>
      <c r="HV494" s="12"/>
      <c r="HW494" s="12"/>
      <c r="HX494" s="12"/>
      <c r="HY494" s="12"/>
      <c r="HZ494" s="12" t="s">
        <v>394</v>
      </c>
      <c r="IA494" s="12" t="s">
        <v>8511</v>
      </c>
      <c r="IB494" s="12" t="s">
        <v>667</v>
      </c>
      <c r="IC494" s="12" t="s">
        <v>8512</v>
      </c>
      <c r="ID494" s="12" t="s">
        <v>334</v>
      </c>
      <c r="IE494" s="12" t="s">
        <v>335</v>
      </c>
      <c r="IF494" s="12" t="s">
        <v>320</v>
      </c>
      <c r="IG494" s="12" t="s">
        <v>320</v>
      </c>
      <c r="IH494" s="12" t="s">
        <v>320</v>
      </c>
      <c r="II494" s="12" t="s">
        <v>319</v>
      </c>
      <c r="IJ494" s="12" t="str">
        <f t="shared" si="302"/>
        <v>1. Neutral</v>
      </c>
      <c r="IK494" s="12">
        <f t="shared" si="303"/>
        <v>3</v>
      </c>
      <c r="IL494" s="12" t="s">
        <v>336</v>
      </c>
      <c r="IM494" s="12" t="s">
        <v>319</v>
      </c>
      <c r="IN494" s="12" t="s">
        <v>319</v>
      </c>
      <c r="IO494" s="12" t="s">
        <v>320</v>
      </c>
      <c r="IP494" s="12" t="s">
        <v>320</v>
      </c>
      <c r="IQ494" s="12" t="str">
        <f t="shared" si="304"/>
        <v>1. Tokenistic</v>
      </c>
      <c r="IR494" s="12">
        <f t="shared" si="305"/>
        <v>2</v>
      </c>
      <c r="IS494" s="12" t="s">
        <v>337</v>
      </c>
      <c r="IT494" s="12" t="s">
        <v>319</v>
      </c>
      <c r="IU494" s="12" t="s">
        <v>319</v>
      </c>
      <c r="IV494" s="12" t="s">
        <v>320</v>
      </c>
      <c r="IW494" s="11" t="str">
        <f t="shared" si="306"/>
        <v>1. Neutral</v>
      </c>
      <c r="IX494" s="12">
        <f t="shared" si="307"/>
        <v>1</v>
      </c>
      <c r="IY494" s="12" t="s">
        <v>338</v>
      </c>
      <c r="IZ494" s="12" t="s">
        <v>339</v>
      </c>
      <c r="JA494" s="12"/>
      <c r="JB494" s="12" t="s">
        <v>624</v>
      </c>
      <c r="JC494" s="12" t="s">
        <v>687</v>
      </c>
      <c r="JD494" s="12"/>
      <c r="JE494" s="12" t="s">
        <v>420</v>
      </c>
      <c r="JF494" s="12"/>
      <c r="JG494" s="12"/>
      <c r="JH494" s="12" t="s">
        <v>1323</v>
      </c>
      <c r="JI494" s="12" t="s">
        <v>8513</v>
      </c>
      <c r="JJ494" s="12" t="s">
        <v>8458</v>
      </c>
      <c r="JK494" s="12" t="s">
        <v>8514</v>
      </c>
      <c r="JL494" s="12" t="s">
        <v>8515</v>
      </c>
      <c r="JM494" s="12" t="s">
        <v>8516</v>
      </c>
      <c r="JN494" s="12"/>
      <c r="JO494" s="12"/>
      <c r="JP494" s="15">
        <f t="shared" si="308"/>
        <v>4722</v>
      </c>
      <c r="JQ494" s="15">
        <f t="shared" si="309"/>
        <v>10466</v>
      </c>
      <c r="JR494" s="279">
        <f t="shared" si="310"/>
        <v>2.2164337145277426</v>
      </c>
      <c r="JS494" s="17">
        <f t="shared" si="311"/>
        <v>0.71473951715374839</v>
      </c>
      <c r="JT494" s="18">
        <f t="shared" si="312"/>
        <v>0.50611503917446976</v>
      </c>
      <c r="JU494" s="280">
        <f t="shared" si="313"/>
        <v>3375</v>
      </c>
      <c r="JV494" s="280">
        <f t="shared" si="314"/>
        <v>5297</v>
      </c>
      <c r="JW494" s="319" t="str">
        <f t="shared" si="315"/>
        <v/>
      </c>
      <c r="JX494" s="15">
        <f t="shared" si="316"/>
        <v>0</v>
      </c>
      <c r="JY494" s="15">
        <f t="shared" si="317"/>
        <v>0</v>
      </c>
      <c r="JZ494" s="19" t="str">
        <f t="shared" si="318"/>
        <v/>
      </c>
      <c r="KA494" s="52">
        <f t="shared" si="319"/>
        <v>1</v>
      </c>
      <c r="KB494" s="15">
        <f t="shared" si="320"/>
        <v>709</v>
      </c>
      <c r="KC494" s="15">
        <f t="shared" si="321"/>
        <v>2836</v>
      </c>
      <c r="KD494" s="20">
        <f t="shared" si="322"/>
        <v>4</v>
      </c>
      <c r="KE494" s="52">
        <f t="shared" si="323"/>
        <v>1</v>
      </c>
      <c r="KF494" s="15">
        <f t="shared" si="324"/>
        <v>4722</v>
      </c>
      <c r="KG494" s="15">
        <f t="shared" si="325"/>
        <v>10466</v>
      </c>
      <c r="KH494" s="21">
        <f t="shared" si="326"/>
        <v>2.2164337145277426</v>
      </c>
      <c r="KI494" s="52" t="str">
        <f t="shared" si="327"/>
        <v/>
      </c>
      <c r="KJ494" s="15">
        <f t="shared" si="328"/>
        <v>0</v>
      </c>
      <c r="KK494" s="15">
        <f t="shared" si="329"/>
        <v>0</v>
      </c>
      <c r="KL494" s="19" t="str">
        <f t="shared" si="330"/>
        <v/>
      </c>
      <c r="KM494" s="52">
        <f t="shared" si="331"/>
        <v>1</v>
      </c>
      <c r="KN494" s="22">
        <f t="shared" si="332"/>
        <v>567.20000000000005</v>
      </c>
      <c r="KO494" s="22">
        <f t="shared" si="333"/>
        <v>2268.8000000000002</v>
      </c>
      <c r="KP494" s="19">
        <f t="shared" si="334"/>
        <v>4</v>
      </c>
      <c r="KQ494" s="11" t="str">
        <f t="shared" si="335"/>
        <v>1. Neutral</v>
      </c>
      <c r="KR494" s="11" t="str">
        <f t="shared" si="336"/>
        <v>1. Tokenistic</v>
      </c>
      <c r="KS494" s="11" t="str">
        <f t="shared" si="337"/>
        <v>1. Neutral</v>
      </c>
      <c r="KT494" s="11" t="str">
        <f t="shared" si="338"/>
        <v>It tested new ways for fighting poverty, but did not measure results of innovation</v>
      </c>
      <c r="KU494" s="11" t="str">
        <f t="shared" si="339"/>
        <v>Little or no advocacy</v>
      </c>
      <c r="KV494" s="11" t="str">
        <f t="shared" si="340"/>
        <v>It took tested solutions to scale on its own</v>
      </c>
      <c r="KW494" s="11" t="str">
        <f t="shared" si="341"/>
        <v>Myanmar - Expanding Maternal, Child and Reproductive Health Care in Myanmar;</v>
      </c>
      <c r="KX494" s="11" t="str">
        <f t="shared" si="342"/>
        <v>Expanding Maternal, Child and Reproductive Health Care in Myanmar;</v>
      </c>
      <c r="KY494" s="11" t="str">
        <f t="shared" si="343"/>
        <v>Myanmar</v>
      </c>
      <c r="KZ494" s="12">
        <v>494</v>
      </c>
    </row>
    <row r="495" spans="1:312" x14ac:dyDescent="0.3">
      <c r="A495" s="12" t="s">
        <v>8444</v>
      </c>
      <c r="B495" s="12" t="s">
        <v>306</v>
      </c>
      <c r="C495" s="12"/>
      <c r="D495" s="12" t="s">
        <v>8517</v>
      </c>
      <c r="E495" s="277" t="str">
        <f t="shared" si="301"/>
        <v>Myanmar</v>
      </c>
      <c r="F495" s="12" t="s">
        <v>8518</v>
      </c>
      <c r="G495" s="12" t="s">
        <v>608</v>
      </c>
      <c r="H495" s="12" t="s">
        <v>310</v>
      </c>
      <c r="I495" s="12" t="s">
        <v>1285</v>
      </c>
      <c r="J495" s="281" t="s">
        <v>1334</v>
      </c>
      <c r="K495" s="12"/>
      <c r="L495" s="12"/>
      <c r="M495" s="12"/>
      <c r="N495" s="12"/>
      <c r="O495" s="12"/>
      <c r="P495" s="12"/>
      <c r="Q495" s="12"/>
      <c r="R495" s="12"/>
      <c r="S495" s="12"/>
      <c r="T495" s="12"/>
      <c r="U495" s="12"/>
      <c r="V495" s="12"/>
      <c r="W495" s="12"/>
      <c r="X495" s="12"/>
      <c r="Y495" s="12"/>
      <c r="Z495" s="12"/>
      <c r="AA495" s="12"/>
      <c r="AB495" s="12"/>
      <c r="AC495" s="12"/>
      <c r="AD495" s="12"/>
      <c r="BD495" s="13">
        <v>42186</v>
      </c>
      <c r="BE495" s="13">
        <v>43100</v>
      </c>
      <c r="BF495" s="12"/>
      <c r="BG495" s="12" t="s">
        <v>350</v>
      </c>
      <c r="BH495" s="14">
        <v>4285000</v>
      </c>
      <c r="BI495" s="12" t="s">
        <v>8519</v>
      </c>
      <c r="BJ495" s="12" t="s">
        <v>3532</v>
      </c>
      <c r="BK495" s="12" t="s">
        <v>8520</v>
      </c>
      <c r="BL495" s="12" t="s">
        <v>8521</v>
      </c>
      <c r="BM495" s="12" t="s">
        <v>8522</v>
      </c>
      <c r="BN495" s="12" t="s">
        <v>8523</v>
      </c>
      <c r="BO495" s="12" t="s">
        <v>319</v>
      </c>
      <c r="BP495" s="12" t="s">
        <v>320</v>
      </c>
      <c r="BQ495" s="12" t="s">
        <v>319</v>
      </c>
      <c r="BR495" s="12" t="s">
        <v>8524</v>
      </c>
      <c r="BS495" s="12" t="s">
        <v>357</v>
      </c>
      <c r="BT495" s="12" t="s">
        <v>8525</v>
      </c>
      <c r="BU495" s="12" t="s">
        <v>8526</v>
      </c>
      <c r="BV495" s="14">
        <v>2486</v>
      </c>
      <c r="BW495" s="14">
        <v>5495</v>
      </c>
      <c r="BX495" s="14">
        <v>7981</v>
      </c>
      <c r="BY495" s="14">
        <v>7000</v>
      </c>
      <c r="BZ495" s="14">
        <v>13000</v>
      </c>
      <c r="CA495" s="14">
        <v>20000</v>
      </c>
      <c r="CB495" s="12" t="s">
        <v>8527</v>
      </c>
      <c r="CD495" s="14"/>
      <c r="CE495" s="14"/>
      <c r="CF495" s="14"/>
      <c r="CG495" s="14"/>
      <c r="CH495" s="14"/>
      <c r="CI495" s="14"/>
      <c r="CJ495" s="12"/>
      <c r="CK495" s="14"/>
      <c r="CL495" s="16"/>
      <c r="CM495" s="14"/>
      <c r="CN495" s="12"/>
      <c r="CO495" s="14"/>
      <c r="CP495" s="16"/>
      <c r="CQ495" s="14"/>
      <c r="CR495" s="12"/>
      <c r="CS495" s="14"/>
      <c r="CT495" s="16"/>
      <c r="CU495" s="14"/>
      <c r="CV495" s="12"/>
      <c r="CW495" s="14"/>
      <c r="CX495" s="16"/>
      <c r="CY495" s="14"/>
      <c r="CZ495" s="12"/>
      <c r="DA495" s="14"/>
      <c r="DB495" s="16"/>
      <c r="DC495" s="14"/>
      <c r="DD495" s="12"/>
      <c r="DE495" s="14"/>
      <c r="DF495" s="16"/>
      <c r="DG495" s="14"/>
      <c r="DH495" s="12"/>
      <c r="DI495" s="14"/>
      <c r="DJ495" s="16"/>
      <c r="DK495" s="14"/>
      <c r="DL495" s="12"/>
      <c r="DM495" s="14"/>
      <c r="DN495" s="16"/>
      <c r="DO495" s="14"/>
      <c r="DP495" s="12"/>
      <c r="DQ495" s="14"/>
      <c r="DR495" s="16"/>
      <c r="DS495" s="14"/>
      <c r="DT495" s="12"/>
      <c r="DU495" s="14"/>
      <c r="DV495" s="16"/>
      <c r="DW495" s="14"/>
      <c r="DX495" s="12"/>
      <c r="DY495" s="14"/>
      <c r="DZ495" s="16"/>
      <c r="EA495" s="14"/>
      <c r="EB495" s="12"/>
      <c r="EC495" s="14"/>
      <c r="ED495" s="16"/>
      <c r="EE495" s="14"/>
      <c r="EF495" s="12"/>
      <c r="EG495" s="12"/>
      <c r="EH495" s="14"/>
      <c r="EI495" s="16"/>
      <c r="EJ495" s="14"/>
      <c r="EK495" s="14">
        <v>2486</v>
      </c>
      <c r="EL495" s="14">
        <v>5495</v>
      </c>
      <c r="EM495" s="14">
        <v>7981</v>
      </c>
      <c r="EN495" s="14">
        <v>7000</v>
      </c>
      <c r="EO495" s="14">
        <v>13000</v>
      </c>
      <c r="EP495" s="14">
        <v>20000</v>
      </c>
      <c r="EQ495" s="12" t="s">
        <v>320</v>
      </c>
      <c r="ER495" s="14">
        <v>7981</v>
      </c>
      <c r="ES495" s="16">
        <v>0.35</v>
      </c>
      <c r="ET495" s="14">
        <v>20000</v>
      </c>
      <c r="EU495" s="12"/>
      <c r="EV495" s="14"/>
      <c r="EW495" s="16"/>
      <c r="EX495" s="14"/>
      <c r="EY495" s="12"/>
      <c r="EZ495" s="14"/>
      <c r="FA495" s="16"/>
      <c r="FB495" s="14"/>
      <c r="FC495" s="12"/>
      <c r="FD495" s="14"/>
      <c r="FE495" s="16"/>
      <c r="FF495" s="14"/>
      <c r="FG495" s="12"/>
      <c r="FH495" s="14"/>
      <c r="FI495" s="16"/>
      <c r="FJ495" s="14"/>
      <c r="FK495" s="12"/>
      <c r="FL495" s="14"/>
      <c r="FM495" s="16"/>
      <c r="FN495" s="14"/>
      <c r="FO495" s="12"/>
      <c r="FP495" s="14"/>
      <c r="FQ495" s="16"/>
      <c r="FR495" s="14"/>
      <c r="FS495" s="12"/>
      <c r="FT495" s="14"/>
      <c r="FU495" s="16"/>
      <c r="FV495" s="14"/>
      <c r="FW495" s="11" t="s">
        <v>320</v>
      </c>
      <c r="FX495" s="14">
        <v>278</v>
      </c>
      <c r="FY495" s="16">
        <v>0.95</v>
      </c>
      <c r="FZ495" s="14">
        <v>1390</v>
      </c>
      <c r="GA495" s="12"/>
      <c r="GB495" s="14"/>
      <c r="GC495" s="16"/>
      <c r="GD495" s="14"/>
      <c r="GE495" s="12"/>
      <c r="GF495" s="14"/>
      <c r="GG495" s="16"/>
      <c r="GH495" s="14"/>
      <c r="GI495" s="12"/>
      <c r="GJ495" s="14"/>
      <c r="GK495" s="16"/>
      <c r="GL495" s="14"/>
      <c r="GM495" s="12"/>
      <c r="GN495" s="14"/>
      <c r="GO495" s="16"/>
      <c r="GP495" s="14"/>
      <c r="GQ495" s="12"/>
      <c r="GR495" s="14"/>
      <c r="GS495" s="16"/>
      <c r="GT495" s="14"/>
      <c r="GU495" s="12"/>
      <c r="GV495" s="14"/>
      <c r="GW495" s="16"/>
      <c r="GX495" s="14"/>
      <c r="GY495" s="12"/>
      <c r="GZ495" s="14"/>
      <c r="HA495" s="16"/>
      <c r="HB495" s="14"/>
      <c r="HC495" s="12"/>
      <c r="HD495" s="12"/>
      <c r="HE495" s="14"/>
      <c r="HF495" s="16"/>
      <c r="HG495" s="14"/>
      <c r="HH495" s="12"/>
      <c r="HI495" s="12"/>
      <c r="HJ495" s="12"/>
      <c r="HK495" s="12"/>
      <c r="HL495" s="12"/>
      <c r="HM495" s="12"/>
      <c r="HN495" s="12"/>
      <c r="HO495" s="12"/>
      <c r="HP495" s="12" t="s">
        <v>453</v>
      </c>
      <c r="HQ495" s="12"/>
      <c r="HR495" s="12"/>
      <c r="HS495" s="12"/>
      <c r="HT495" s="12" t="s">
        <v>320</v>
      </c>
      <c r="HU495" s="12" t="s">
        <v>320</v>
      </c>
      <c r="HV495" s="12" t="s">
        <v>320</v>
      </c>
      <c r="HW495" s="12" t="s">
        <v>320</v>
      </c>
      <c r="HX495" s="12" t="s">
        <v>320</v>
      </c>
      <c r="HY495" s="12" t="s">
        <v>8528</v>
      </c>
      <c r="HZ495" s="12" t="s">
        <v>363</v>
      </c>
      <c r="IA495" s="12" t="s">
        <v>8529</v>
      </c>
      <c r="IB495" s="12" t="s">
        <v>396</v>
      </c>
      <c r="IC495" s="12" t="s">
        <v>8530</v>
      </c>
      <c r="ID495" s="12" t="s">
        <v>334</v>
      </c>
      <c r="IE495" s="12" t="s">
        <v>335</v>
      </c>
      <c r="IF495" s="12" t="s">
        <v>320</v>
      </c>
      <c r="IG495" s="12" t="s">
        <v>320</v>
      </c>
      <c r="IH495" s="12" t="s">
        <v>320</v>
      </c>
      <c r="II495" s="12" t="s">
        <v>320</v>
      </c>
      <c r="IJ495" s="12" t="str">
        <f t="shared" si="302"/>
        <v>2. Sensitive</v>
      </c>
      <c r="IK495" s="12">
        <f t="shared" si="303"/>
        <v>4</v>
      </c>
      <c r="IL495" s="12" t="s">
        <v>336</v>
      </c>
      <c r="IM495" s="12" t="s">
        <v>320</v>
      </c>
      <c r="IN495" s="12" t="s">
        <v>320</v>
      </c>
      <c r="IO495" s="12" t="s">
        <v>320</v>
      </c>
      <c r="IP495" s="12" t="s">
        <v>320</v>
      </c>
      <c r="IQ495" s="12" t="str">
        <f t="shared" si="304"/>
        <v>2. Accommodating</v>
      </c>
      <c r="IR495" s="12">
        <f t="shared" si="305"/>
        <v>4</v>
      </c>
      <c r="IS495" s="12" t="s">
        <v>622</v>
      </c>
      <c r="IT495" s="12" t="s">
        <v>320</v>
      </c>
      <c r="IU495" s="12" t="s">
        <v>320</v>
      </c>
      <c r="IV495" s="12" t="s">
        <v>320</v>
      </c>
      <c r="IW495" s="11" t="str">
        <f t="shared" si="306"/>
        <v>4. Transformative</v>
      </c>
      <c r="IX495" s="12">
        <f t="shared" si="307"/>
        <v>3</v>
      </c>
      <c r="IY495" s="12" t="s">
        <v>338</v>
      </c>
      <c r="IZ495" s="12" t="s">
        <v>527</v>
      </c>
      <c r="JA495" s="12">
        <v>9</v>
      </c>
      <c r="JB495" s="12" t="s">
        <v>724</v>
      </c>
      <c r="JC495" s="12" t="s">
        <v>687</v>
      </c>
      <c r="JD495" s="12" t="s">
        <v>585</v>
      </c>
      <c r="JE495" s="12" t="s">
        <v>340</v>
      </c>
      <c r="JF495" s="12" t="s">
        <v>8531</v>
      </c>
      <c r="JG495" s="12" t="s">
        <v>8532</v>
      </c>
      <c r="JH495" s="12" t="s">
        <v>8533</v>
      </c>
      <c r="JI495" s="12" t="s">
        <v>8534</v>
      </c>
      <c r="JJ495" s="12" t="s">
        <v>8535</v>
      </c>
      <c r="JK495" s="12" t="s">
        <v>8536</v>
      </c>
      <c r="JL495" s="12" t="s">
        <v>8537</v>
      </c>
      <c r="JM495" s="12" t="s">
        <v>8538</v>
      </c>
      <c r="JN495" s="12" t="s">
        <v>8539</v>
      </c>
      <c r="JO495" s="12" t="s">
        <v>8540</v>
      </c>
      <c r="JP495" s="15">
        <f t="shared" si="308"/>
        <v>7981</v>
      </c>
      <c r="JQ495" s="15">
        <f t="shared" si="309"/>
        <v>20000</v>
      </c>
      <c r="JR495" s="279">
        <f t="shared" si="310"/>
        <v>2.5059516351334419</v>
      </c>
      <c r="JS495" s="17">
        <f t="shared" si="311"/>
        <v>0.31148978824708684</v>
      </c>
      <c r="JT495" s="18">
        <f t="shared" si="312"/>
        <v>0.35</v>
      </c>
      <c r="JU495" s="280">
        <f t="shared" si="313"/>
        <v>2486</v>
      </c>
      <c r="JV495" s="280">
        <f t="shared" si="314"/>
        <v>7000</v>
      </c>
      <c r="JW495" s="319" t="str">
        <f t="shared" si="315"/>
        <v/>
      </c>
      <c r="JX495" s="15">
        <f t="shared" si="316"/>
        <v>0</v>
      </c>
      <c r="JY495" s="15">
        <f t="shared" si="317"/>
        <v>0</v>
      </c>
      <c r="JZ495" s="19" t="str">
        <f t="shared" si="318"/>
        <v/>
      </c>
      <c r="KA495" s="52">
        <f t="shared" si="319"/>
        <v>1</v>
      </c>
      <c r="KB495" s="15">
        <f t="shared" si="320"/>
        <v>7981</v>
      </c>
      <c r="KC495" s="15">
        <f t="shared" si="321"/>
        <v>20000</v>
      </c>
      <c r="KD495" s="20">
        <f t="shared" si="322"/>
        <v>2.5059516351334419</v>
      </c>
      <c r="KE495" s="52" t="str">
        <f t="shared" si="323"/>
        <v/>
      </c>
      <c r="KF495" s="15">
        <f t="shared" si="324"/>
        <v>0</v>
      </c>
      <c r="KG495" s="15">
        <f t="shared" si="325"/>
        <v>0</v>
      </c>
      <c r="KH495" s="21" t="str">
        <f t="shared" si="326"/>
        <v/>
      </c>
      <c r="KI495" s="52" t="str">
        <f t="shared" si="327"/>
        <v/>
      </c>
      <c r="KJ495" s="15">
        <f t="shared" si="328"/>
        <v>0</v>
      </c>
      <c r="KK495" s="15">
        <f t="shared" si="329"/>
        <v>0</v>
      </c>
      <c r="KL495" s="19" t="str">
        <f t="shared" si="330"/>
        <v/>
      </c>
      <c r="KM495" s="52" t="str">
        <f t="shared" si="331"/>
        <v/>
      </c>
      <c r="KN495" s="22">
        <f t="shared" si="332"/>
        <v>0</v>
      </c>
      <c r="KO495" s="22">
        <f t="shared" si="333"/>
        <v>0</v>
      </c>
      <c r="KP495" s="19" t="str">
        <f t="shared" si="334"/>
        <v/>
      </c>
      <c r="KQ495" s="11" t="str">
        <f t="shared" si="335"/>
        <v>2. Sensitive</v>
      </c>
      <c r="KR495" s="11" t="str">
        <f t="shared" si="336"/>
        <v>2. Accommodating</v>
      </c>
      <c r="KS495" s="11" t="str">
        <f t="shared" si="337"/>
        <v>4. Transformative</v>
      </c>
      <c r="KT495" s="11" t="str">
        <f t="shared" si="338"/>
        <v>It did not develop any specific innovation</v>
      </c>
      <c r="KU495" s="11" t="str">
        <f t="shared" si="339"/>
        <v>Intensive advocacy</v>
      </c>
      <c r="KV495" s="11" t="str">
        <f t="shared" si="340"/>
        <v>It linked and worked with strategic alliances and partners to take tested and effective solutions to scale</v>
      </c>
      <c r="KW495" s="11" t="str">
        <f t="shared" si="341"/>
        <v>Myanmar - Generating Rubber Opportunities in Myanmar</v>
      </c>
      <c r="KX495" s="11" t="str">
        <f t="shared" si="342"/>
        <v>Generating Rubber Opportunities in Myanmar</v>
      </c>
      <c r="KY495" s="11" t="str">
        <f t="shared" si="343"/>
        <v>Myanmar</v>
      </c>
      <c r="KZ495" s="12">
        <v>495</v>
      </c>
    </row>
    <row r="496" spans="1:312" x14ac:dyDescent="0.3">
      <c r="A496" s="12" t="s">
        <v>8444</v>
      </c>
      <c r="B496" s="12" t="s">
        <v>306</v>
      </c>
      <c r="C496" s="12">
        <v>3159</v>
      </c>
      <c r="D496" s="12" t="s">
        <v>8541</v>
      </c>
      <c r="E496" s="277" t="str">
        <f t="shared" si="301"/>
        <v>Myanmar</v>
      </c>
      <c r="F496" s="12" t="s">
        <v>8542</v>
      </c>
      <c r="G496" s="12" t="s">
        <v>309</v>
      </c>
      <c r="H496" s="12" t="s">
        <v>310</v>
      </c>
      <c r="I496" s="12" t="s">
        <v>311</v>
      </c>
      <c r="J496" s="281" t="s">
        <v>14565</v>
      </c>
      <c r="K496" s="12"/>
      <c r="L496" s="12"/>
      <c r="M496" s="12"/>
      <c r="N496" s="12"/>
      <c r="O496" s="12"/>
      <c r="P496" s="12"/>
      <c r="Q496" s="12"/>
      <c r="R496" s="12"/>
      <c r="S496" s="12"/>
      <c r="T496" s="12"/>
      <c r="U496" s="12"/>
      <c r="V496" s="12"/>
      <c r="W496" s="12"/>
      <c r="X496" s="12"/>
      <c r="Y496" s="12"/>
      <c r="Z496" s="12"/>
      <c r="AA496" s="12"/>
      <c r="AB496" s="12"/>
      <c r="AC496" s="12"/>
      <c r="AD496" s="12"/>
      <c r="BD496" s="13">
        <v>41456</v>
      </c>
      <c r="BE496" s="13">
        <v>42916</v>
      </c>
      <c r="BF496" s="12"/>
      <c r="BG496" s="12" t="s">
        <v>350</v>
      </c>
      <c r="BH496" s="14">
        <v>2563417</v>
      </c>
      <c r="BI496" s="12" t="s">
        <v>8463</v>
      </c>
      <c r="BJ496" s="12" t="s">
        <v>1602</v>
      </c>
      <c r="BK496" s="12" t="s">
        <v>8464</v>
      </c>
      <c r="BL496" s="12" t="s">
        <v>8543</v>
      </c>
      <c r="BM496" s="12" t="s">
        <v>444</v>
      </c>
      <c r="BN496" s="12" t="s">
        <v>8544</v>
      </c>
      <c r="BO496" s="12" t="s">
        <v>319</v>
      </c>
      <c r="BP496" s="12" t="s">
        <v>320</v>
      </c>
      <c r="BQ496" s="12" t="s">
        <v>319</v>
      </c>
      <c r="BR496" s="12" t="s">
        <v>8541</v>
      </c>
      <c r="BS496" s="12" t="s">
        <v>357</v>
      </c>
      <c r="BT496" s="12" t="s">
        <v>8545</v>
      </c>
      <c r="BU496" s="12" t="s">
        <v>8546</v>
      </c>
      <c r="BV496" s="14">
        <v>6576</v>
      </c>
      <c r="BW496" s="14">
        <v>1964</v>
      </c>
      <c r="BX496" s="14">
        <v>8540</v>
      </c>
      <c r="BY496" s="14">
        <v>35280</v>
      </c>
      <c r="BZ496" s="14">
        <v>8820</v>
      </c>
      <c r="CA496" s="14">
        <v>44100</v>
      </c>
      <c r="CB496" s="12" t="s">
        <v>8547</v>
      </c>
      <c r="CD496" s="14"/>
      <c r="CE496" s="14"/>
      <c r="CF496" s="14"/>
      <c r="CG496" s="14"/>
      <c r="CH496" s="14"/>
      <c r="CI496" s="14"/>
      <c r="CJ496" s="12"/>
      <c r="CK496" s="14"/>
      <c r="CL496" s="16"/>
      <c r="CM496" s="14"/>
      <c r="CN496" s="12"/>
      <c r="CO496" s="14"/>
      <c r="CP496" s="16"/>
      <c r="CQ496" s="14"/>
      <c r="CR496" s="12"/>
      <c r="CS496" s="14"/>
      <c r="CT496" s="16"/>
      <c r="CU496" s="14"/>
      <c r="CV496" s="12"/>
      <c r="CW496" s="14"/>
      <c r="CX496" s="16"/>
      <c r="CY496" s="14"/>
      <c r="CZ496" s="12"/>
      <c r="DA496" s="14"/>
      <c r="DB496" s="16"/>
      <c r="DC496" s="14"/>
      <c r="DD496" s="12"/>
      <c r="DE496" s="14"/>
      <c r="DF496" s="16"/>
      <c r="DG496" s="14"/>
      <c r="DH496" s="12"/>
      <c r="DI496" s="14"/>
      <c r="DJ496" s="16"/>
      <c r="DK496" s="14"/>
      <c r="DL496" s="12"/>
      <c r="DM496" s="14"/>
      <c r="DN496" s="16"/>
      <c r="DO496" s="14"/>
      <c r="DP496" s="12"/>
      <c r="DQ496" s="14"/>
      <c r="DR496" s="16"/>
      <c r="DS496" s="14"/>
      <c r="DT496" s="12"/>
      <c r="DU496" s="14"/>
      <c r="DV496" s="16"/>
      <c r="DW496" s="14"/>
      <c r="DX496" s="12"/>
      <c r="DY496" s="14"/>
      <c r="DZ496" s="16"/>
      <c r="EA496" s="14"/>
      <c r="EB496" s="12"/>
      <c r="EC496" s="14"/>
      <c r="ED496" s="16"/>
      <c r="EE496" s="14"/>
      <c r="EF496" s="12"/>
      <c r="EG496" s="12"/>
      <c r="EH496" s="14"/>
      <c r="EI496" s="16"/>
      <c r="EJ496" s="14"/>
      <c r="EK496" s="14">
        <v>2720</v>
      </c>
      <c r="EL496" s="14">
        <v>1280</v>
      </c>
      <c r="EM496" s="14">
        <v>4000</v>
      </c>
      <c r="EN496" s="14">
        <v>11680</v>
      </c>
      <c r="EO496" s="14">
        <v>4320</v>
      </c>
      <c r="EP496" s="14">
        <v>16000</v>
      </c>
      <c r="EQ496" s="12"/>
      <c r="ER496" s="14"/>
      <c r="ES496" s="16"/>
      <c r="ET496" s="14"/>
      <c r="EU496" s="12"/>
      <c r="EV496" s="14"/>
      <c r="EW496" s="16"/>
      <c r="EX496" s="14"/>
      <c r="EY496" s="12"/>
      <c r="EZ496" s="14"/>
      <c r="FA496" s="16"/>
      <c r="FB496" s="14"/>
      <c r="FC496" s="12"/>
      <c r="FD496" s="14"/>
      <c r="FE496" s="16"/>
      <c r="FF496" s="14"/>
      <c r="FG496" s="12"/>
      <c r="FH496" s="14"/>
      <c r="FI496" s="16"/>
      <c r="FJ496" s="14"/>
      <c r="FK496" s="12"/>
      <c r="FL496" s="14"/>
      <c r="FM496" s="16"/>
      <c r="FN496" s="14"/>
      <c r="FO496" s="12"/>
      <c r="FP496" s="14"/>
      <c r="FQ496" s="16"/>
      <c r="FR496" s="14"/>
      <c r="FS496" s="12" t="s">
        <v>320</v>
      </c>
      <c r="FT496" s="14">
        <v>3993</v>
      </c>
      <c r="FU496" s="16">
        <v>0.91</v>
      </c>
      <c r="FV496" s="14">
        <v>17209</v>
      </c>
      <c r="FW496" s="12"/>
      <c r="FX496" s="14"/>
      <c r="FY496" s="16"/>
      <c r="FZ496" s="14"/>
      <c r="GA496" s="12"/>
      <c r="GB496" s="14"/>
      <c r="GC496" s="16"/>
      <c r="GD496" s="14"/>
      <c r="GE496" s="12"/>
      <c r="GF496" s="14"/>
      <c r="GG496" s="16"/>
      <c r="GH496" s="14"/>
      <c r="GI496" s="12"/>
      <c r="GJ496" s="14"/>
      <c r="GK496" s="16"/>
      <c r="GL496" s="14"/>
      <c r="GM496" s="11" t="s">
        <v>320</v>
      </c>
      <c r="GN496" s="14">
        <v>59</v>
      </c>
      <c r="GO496" s="16">
        <v>0.95</v>
      </c>
      <c r="GP496" s="14"/>
      <c r="GQ496" s="12" t="s">
        <v>320</v>
      </c>
      <c r="GR496" s="14">
        <v>2937</v>
      </c>
      <c r="GS496" s="16">
        <v>1</v>
      </c>
      <c r="GT496" s="14"/>
      <c r="GU496" s="12"/>
      <c r="GV496" s="14"/>
      <c r="GW496" s="16"/>
      <c r="GX496" s="14"/>
      <c r="GY496" s="11" t="s">
        <v>320</v>
      </c>
      <c r="GZ496" s="14">
        <v>521</v>
      </c>
      <c r="HA496" s="16">
        <v>1</v>
      </c>
      <c r="HB496" s="14"/>
      <c r="HC496" s="12"/>
      <c r="HD496" s="12"/>
      <c r="HE496" s="14"/>
      <c r="HF496" s="16"/>
      <c r="HG496" s="14"/>
      <c r="HH496" s="12" t="s">
        <v>320</v>
      </c>
      <c r="HI496" s="12" t="s">
        <v>416</v>
      </c>
      <c r="HJ496" s="12">
        <v>2017</v>
      </c>
      <c r="HK496" s="12" t="s">
        <v>320</v>
      </c>
      <c r="HL496" s="12" t="s">
        <v>319</v>
      </c>
      <c r="HM496" s="12"/>
      <c r="HN496" s="12"/>
      <c r="HO496" s="12" t="s">
        <v>8548</v>
      </c>
      <c r="HP496" s="12" t="s">
        <v>330</v>
      </c>
      <c r="HQ496" s="12"/>
      <c r="HR496" s="12"/>
      <c r="HS496" s="12" t="s">
        <v>320</v>
      </c>
      <c r="HT496" s="12"/>
      <c r="HU496" s="12"/>
      <c r="HV496" s="12"/>
      <c r="HW496" s="12"/>
      <c r="HX496" s="12"/>
      <c r="HY496" s="12"/>
      <c r="HZ496" s="12" t="s">
        <v>394</v>
      </c>
      <c r="IA496" s="12" t="s">
        <v>8549</v>
      </c>
      <c r="IB496" s="12" t="s">
        <v>396</v>
      </c>
      <c r="IC496" s="12" t="s">
        <v>8550</v>
      </c>
      <c r="ID496" s="12" t="s">
        <v>477</v>
      </c>
      <c r="IE496" s="12" t="s">
        <v>335</v>
      </c>
      <c r="IF496" s="12" t="s">
        <v>320</v>
      </c>
      <c r="IG496" s="12" t="s">
        <v>320</v>
      </c>
      <c r="IH496" s="12" t="s">
        <v>320</v>
      </c>
      <c r="II496" s="12" t="s">
        <v>319</v>
      </c>
      <c r="IJ496" s="12" t="str">
        <f t="shared" si="302"/>
        <v>1. Neutral</v>
      </c>
      <c r="IK496" s="12">
        <f t="shared" si="303"/>
        <v>3</v>
      </c>
      <c r="IL496" s="12" t="s">
        <v>336</v>
      </c>
      <c r="IM496" s="12" t="s">
        <v>320</v>
      </c>
      <c r="IN496" s="12" t="s">
        <v>319</v>
      </c>
      <c r="IO496" s="12" t="s">
        <v>320</v>
      </c>
      <c r="IP496" s="12" t="s">
        <v>320</v>
      </c>
      <c r="IQ496" s="12" t="str">
        <f t="shared" si="304"/>
        <v>2. Accommodating</v>
      </c>
      <c r="IR496" s="12">
        <f t="shared" si="305"/>
        <v>3</v>
      </c>
      <c r="IS496" s="12" t="s">
        <v>456</v>
      </c>
      <c r="IT496" s="12" t="s">
        <v>320</v>
      </c>
      <c r="IU496" s="12" t="s">
        <v>320</v>
      </c>
      <c r="IV496" s="12" t="s">
        <v>320</v>
      </c>
      <c r="IW496" s="11" t="str">
        <f t="shared" si="306"/>
        <v>0. Harmful</v>
      </c>
      <c r="IX496" s="12">
        <f t="shared" si="307"/>
        <v>3</v>
      </c>
      <c r="IY496" s="12" t="s">
        <v>338</v>
      </c>
      <c r="IZ496" s="12" t="s">
        <v>432</v>
      </c>
      <c r="JA496" s="12">
        <v>3</v>
      </c>
      <c r="JB496" s="12" t="s">
        <v>724</v>
      </c>
      <c r="JC496" s="12" t="s">
        <v>433</v>
      </c>
      <c r="JD496" s="12" t="s">
        <v>831</v>
      </c>
      <c r="JE496" s="12" t="s">
        <v>340</v>
      </c>
      <c r="JF496" s="12" t="s">
        <v>8551</v>
      </c>
      <c r="JG496" s="12" t="s">
        <v>8552</v>
      </c>
      <c r="JH496" s="12" t="s">
        <v>8553</v>
      </c>
      <c r="JI496" s="12" t="s">
        <v>8554</v>
      </c>
      <c r="JJ496" s="12"/>
      <c r="JK496" s="12" t="s">
        <v>8555</v>
      </c>
      <c r="JL496" s="12" t="s">
        <v>8556</v>
      </c>
      <c r="JM496" s="12"/>
      <c r="JN496" s="12"/>
      <c r="JO496" s="12"/>
      <c r="JP496" s="15">
        <f t="shared" si="308"/>
        <v>4000</v>
      </c>
      <c r="JQ496" s="15">
        <f t="shared" si="309"/>
        <v>16000</v>
      </c>
      <c r="JR496" s="279">
        <f t="shared" si="310"/>
        <v>4</v>
      </c>
      <c r="JS496" s="17">
        <f t="shared" si="311"/>
        <v>0.68</v>
      </c>
      <c r="JT496" s="18">
        <f t="shared" si="312"/>
        <v>0.73</v>
      </c>
      <c r="JU496" s="280">
        <f t="shared" si="313"/>
        <v>2720</v>
      </c>
      <c r="JV496" s="280">
        <f t="shared" si="314"/>
        <v>11680</v>
      </c>
      <c r="JW496" s="319" t="str">
        <f t="shared" si="315"/>
        <v/>
      </c>
      <c r="JX496" s="15">
        <f t="shared" si="316"/>
        <v>0</v>
      </c>
      <c r="JY496" s="15">
        <f t="shared" si="317"/>
        <v>0</v>
      </c>
      <c r="JZ496" s="19" t="str">
        <f t="shared" si="318"/>
        <v/>
      </c>
      <c r="KA496" s="52" t="str">
        <f t="shared" si="319"/>
        <v/>
      </c>
      <c r="KB496" s="15">
        <f t="shared" si="320"/>
        <v>0</v>
      </c>
      <c r="KC496" s="15">
        <f t="shared" si="321"/>
        <v>0</v>
      </c>
      <c r="KD496" s="20" t="str">
        <f t="shared" si="322"/>
        <v/>
      </c>
      <c r="KE496" s="52">
        <f t="shared" si="323"/>
        <v>1</v>
      </c>
      <c r="KF496" s="15">
        <f t="shared" si="324"/>
        <v>2937</v>
      </c>
      <c r="KG496" s="15">
        <f t="shared" si="325"/>
        <v>0</v>
      </c>
      <c r="KH496" s="21">
        <f t="shared" si="326"/>
        <v>0</v>
      </c>
      <c r="KI496" s="52">
        <f t="shared" si="327"/>
        <v>1</v>
      </c>
      <c r="KJ496" s="15">
        <f t="shared" si="328"/>
        <v>3993</v>
      </c>
      <c r="KK496" s="15">
        <f t="shared" si="329"/>
        <v>17209</v>
      </c>
      <c r="KL496" s="19">
        <f t="shared" si="330"/>
        <v>4.3097921362384168</v>
      </c>
      <c r="KM496" s="52">
        <f t="shared" si="331"/>
        <v>1</v>
      </c>
      <c r="KN496" s="22">
        <f t="shared" si="332"/>
        <v>521</v>
      </c>
      <c r="KO496" s="22">
        <f t="shared" si="333"/>
        <v>0</v>
      </c>
      <c r="KP496" s="19">
        <f t="shared" si="334"/>
        <v>0</v>
      </c>
      <c r="KQ496" s="11" t="str">
        <f t="shared" si="335"/>
        <v>1. Neutral</v>
      </c>
      <c r="KR496" s="11" t="str">
        <f t="shared" si="336"/>
        <v>2. Accommodating</v>
      </c>
      <c r="KS496" s="11" t="str">
        <f t="shared" si="337"/>
        <v>0. Harmful</v>
      </c>
      <c r="KT496" s="11" t="str">
        <f t="shared" si="338"/>
        <v>It tested new ways for fighting poverty, but did not measure results of innovation</v>
      </c>
      <c r="KU496" s="11" t="str">
        <f t="shared" si="339"/>
        <v>Moderate advocacy</v>
      </c>
      <c r="KV496" s="11" t="str">
        <f t="shared" si="340"/>
        <v>It linked and worked with strategic alliances and partners to take tested and effective solutions to scale</v>
      </c>
      <c r="KW496" s="11" t="str">
        <f t="shared" si="341"/>
        <v>Myanmar - Improve access to safe employment for Migrant Women in Urban Myanmar</v>
      </c>
      <c r="KX496" s="11" t="str">
        <f t="shared" si="342"/>
        <v>Improve access to safe employment for Migrant Women in Urban Myanmar</v>
      </c>
      <c r="KY496" s="11" t="str">
        <f t="shared" si="343"/>
        <v>Myanmar</v>
      </c>
      <c r="KZ496" s="12">
        <v>496</v>
      </c>
    </row>
    <row r="497" spans="1:312" x14ac:dyDescent="0.3">
      <c r="A497" s="12" t="s">
        <v>8444</v>
      </c>
      <c r="B497" s="12" t="s">
        <v>306</v>
      </c>
      <c r="C497" s="12">
        <v>3156</v>
      </c>
      <c r="D497" s="12" t="s">
        <v>8557</v>
      </c>
      <c r="E497" s="277" t="str">
        <f t="shared" si="301"/>
        <v>Myanmar</v>
      </c>
      <c r="F497" s="12" t="s">
        <v>8558</v>
      </c>
      <c r="G497" s="12" t="s">
        <v>608</v>
      </c>
      <c r="H497" s="12" t="s">
        <v>384</v>
      </c>
      <c r="I497" s="12" t="s">
        <v>1472</v>
      </c>
      <c r="J497" s="281" t="s">
        <v>8559</v>
      </c>
      <c r="K497" s="12"/>
      <c r="L497" s="12"/>
      <c r="M497" s="12"/>
      <c r="N497" s="12"/>
      <c r="O497" s="12"/>
      <c r="P497" s="12"/>
      <c r="Q497" s="12"/>
      <c r="R497" s="12"/>
      <c r="S497" s="12"/>
      <c r="T497" s="12"/>
      <c r="U497" s="12"/>
      <c r="V497" s="12"/>
      <c r="W497" s="12"/>
      <c r="X497" s="12"/>
      <c r="Y497" s="12"/>
      <c r="Z497" s="12"/>
      <c r="AA497" s="12"/>
      <c r="AB497" s="12"/>
      <c r="AC497" s="12"/>
      <c r="AD497" s="12"/>
      <c r="BD497" s="13">
        <v>41275</v>
      </c>
      <c r="BE497" s="13">
        <v>43100</v>
      </c>
      <c r="BF497" s="12"/>
      <c r="BG497" s="12" t="s">
        <v>490</v>
      </c>
      <c r="BH497" s="14"/>
      <c r="BI497" s="12" t="s">
        <v>8463</v>
      </c>
      <c r="BJ497" s="12" t="s">
        <v>1602</v>
      </c>
      <c r="BK497" s="12" t="s">
        <v>8464</v>
      </c>
      <c r="BL497" s="12" t="s">
        <v>8560</v>
      </c>
      <c r="BM497" s="12" t="s">
        <v>8466</v>
      </c>
      <c r="BN497" s="12" t="s">
        <v>8561</v>
      </c>
      <c r="BO497" s="12" t="s">
        <v>319</v>
      </c>
      <c r="BP497" s="12" t="s">
        <v>320</v>
      </c>
      <c r="BQ497" s="12" t="s">
        <v>319</v>
      </c>
      <c r="BR497" s="12" t="s">
        <v>8562</v>
      </c>
      <c r="BS497" s="12" t="s">
        <v>357</v>
      </c>
      <c r="BT497" s="12" t="s">
        <v>8563</v>
      </c>
      <c r="BU497" s="12" t="s">
        <v>8564</v>
      </c>
      <c r="BV497" s="14">
        <v>18338</v>
      </c>
      <c r="BW497" s="14">
        <v>16927</v>
      </c>
      <c r="BX497" s="14">
        <v>35265</v>
      </c>
      <c r="BY497" s="14">
        <v>6113</v>
      </c>
      <c r="BZ497" s="14">
        <v>5642</v>
      </c>
      <c r="CA497" s="14">
        <v>11755</v>
      </c>
      <c r="CB497" s="12" t="s">
        <v>8565</v>
      </c>
      <c r="CD497" s="14"/>
      <c r="CE497" s="14"/>
      <c r="CF497" s="14"/>
      <c r="CG497" s="14"/>
      <c r="CH497" s="14"/>
      <c r="CI497" s="14"/>
      <c r="CJ497" s="12"/>
      <c r="CK497" s="14"/>
      <c r="CL497" s="16"/>
      <c r="CM497" s="14"/>
      <c r="CN497" s="12"/>
      <c r="CO497" s="14"/>
      <c r="CP497" s="16"/>
      <c r="CQ497" s="14"/>
      <c r="CR497" s="12"/>
      <c r="CS497" s="14"/>
      <c r="CT497" s="16"/>
      <c r="CU497" s="14"/>
      <c r="CV497" s="12"/>
      <c r="CW497" s="14"/>
      <c r="CX497" s="16"/>
      <c r="CY497" s="14"/>
      <c r="CZ497" s="12"/>
      <c r="DA497" s="14"/>
      <c r="DB497" s="16"/>
      <c r="DC497" s="14"/>
      <c r="DD497" s="12"/>
      <c r="DE497" s="14"/>
      <c r="DF497" s="16"/>
      <c r="DG497" s="14"/>
      <c r="DH497" s="12"/>
      <c r="DI497" s="14"/>
      <c r="DJ497" s="16"/>
      <c r="DK497" s="14"/>
      <c r="DL497" s="12"/>
      <c r="DM497" s="14"/>
      <c r="DN497" s="16"/>
      <c r="DO497" s="14"/>
      <c r="DP497" s="12"/>
      <c r="DQ497" s="14"/>
      <c r="DR497" s="16"/>
      <c r="DS497" s="14"/>
      <c r="DT497" s="12"/>
      <c r="DU497" s="14"/>
      <c r="DV497" s="16"/>
      <c r="DW497" s="14"/>
      <c r="DX497" s="12"/>
      <c r="DY497" s="14"/>
      <c r="DZ497" s="16"/>
      <c r="EA497" s="14"/>
      <c r="EB497" s="12"/>
      <c r="EC497" s="14"/>
      <c r="ED497" s="16"/>
      <c r="EE497" s="14"/>
      <c r="EF497" s="12"/>
      <c r="EG497" s="12"/>
      <c r="EH497" s="14"/>
      <c r="EI497" s="16"/>
      <c r="EJ497" s="14"/>
      <c r="EK497" s="14">
        <v>18338</v>
      </c>
      <c r="EL497" s="14">
        <v>16927</v>
      </c>
      <c r="EM497" s="14">
        <v>35265</v>
      </c>
      <c r="EN497" s="14">
        <v>6113</v>
      </c>
      <c r="EO497" s="14">
        <v>5642</v>
      </c>
      <c r="EP497" s="14">
        <v>11755</v>
      </c>
      <c r="EQ497" s="12"/>
      <c r="ER497" s="14"/>
      <c r="ES497" s="16"/>
      <c r="ET497" s="14"/>
      <c r="EU497" s="12"/>
      <c r="EV497" s="14"/>
      <c r="EW497" s="16"/>
      <c r="EX497" s="14"/>
      <c r="EY497" s="12"/>
      <c r="EZ497" s="14"/>
      <c r="FA497" s="16"/>
      <c r="FB497" s="14"/>
      <c r="FC497" s="12"/>
      <c r="FD497" s="14"/>
      <c r="FE497" s="16"/>
      <c r="FF497" s="14"/>
      <c r="FG497" s="12" t="s">
        <v>320</v>
      </c>
      <c r="FH497" s="14">
        <v>8</v>
      </c>
      <c r="FI497" s="16">
        <v>1</v>
      </c>
      <c r="FJ497" s="14"/>
      <c r="FK497" s="12"/>
      <c r="FL497" s="14"/>
      <c r="FM497" s="16"/>
      <c r="FN497" s="14"/>
      <c r="FO497" s="12"/>
      <c r="FP497" s="14"/>
      <c r="FQ497" s="16"/>
      <c r="FR497" s="14"/>
      <c r="FS497" s="12" t="s">
        <v>320</v>
      </c>
      <c r="FT497" s="14"/>
      <c r="FU497" s="16"/>
      <c r="FV497" s="14">
        <v>19940</v>
      </c>
      <c r="FW497" s="12"/>
      <c r="FX497" s="14"/>
      <c r="FY497" s="16"/>
      <c r="FZ497" s="14"/>
      <c r="GA497" s="11" t="s">
        <v>320</v>
      </c>
      <c r="GB497" s="14"/>
      <c r="GC497" s="16"/>
      <c r="GD497" s="14">
        <v>35265</v>
      </c>
      <c r="GE497" s="12"/>
      <c r="GF497" s="14"/>
      <c r="GG497" s="16"/>
      <c r="GH497" s="14"/>
      <c r="GI497" s="12"/>
      <c r="GJ497" s="14"/>
      <c r="GK497" s="16"/>
      <c r="GL497" s="14"/>
      <c r="GM497" s="11" t="s">
        <v>320</v>
      </c>
      <c r="GN497" s="14">
        <v>946</v>
      </c>
      <c r="GO497" s="16"/>
      <c r="GP497" s="14"/>
      <c r="GQ497" s="12" t="s">
        <v>320</v>
      </c>
      <c r="GR497" s="14">
        <v>12153</v>
      </c>
      <c r="GS497" s="16">
        <v>0.53</v>
      </c>
      <c r="GT497" s="14"/>
      <c r="GU497" s="12"/>
      <c r="GV497" s="14"/>
      <c r="GW497" s="16"/>
      <c r="GX497" s="14"/>
      <c r="GY497" s="11" t="s">
        <v>320</v>
      </c>
      <c r="GZ497" s="14">
        <v>436</v>
      </c>
      <c r="HA497" s="16"/>
      <c r="HB497" s="14"/>
      <c r="HC497" s="12"/>
      <c r="HD497" s="12"/>
      <c r="HE497" s="14"/>
      <c r="HF497" s="16"/>
      <c r="HG497" s="14"/>
      <c r="HH497" s="12" t="s">
        <v>319</v>
      </c>
      <c r="HI497" s="12"/>
      <c r="HJ497" s="12"/>
      <c r="HK497" s="12"/>
      <c r="HL497" s="12" t="s">
        <v>320</v>
      </c>
      <c r="HM497" s="12"/>
      <c r="HN497" s="12">
        <v>2017</v>
      </c>
      <c r="HO497" s="12"/>
      <c r="HP497" s="12" t="s">
        <v>330</v>
      </c>
      <c r="HQ497" s="12" t="s">
        <v>319</v>
      </c>
      <c r="HR497" s="12" t="s">
        <v>319</v>
      </c>
      <c r="HS497" s="12" t="s">
        <v>320</v>
      </c>
      <c r="HT497" s="12" t="s">
        <v>319</v>
      </c>
      <c r="HU497" s="12" t="s">
        <v>319</v>
      </c>
      <c r="HV497" s="12" t="s">
        <v>320</v>
      </c>
      <c r="HW497" s="12" t="s">
        <v>319</v>
      </c>
      <c r="HX497" s="12" t="s">
        <v>319</v>
      </c>
      <c r="HY497" s="12"/>
      <c r="HZ497" s="12" t="s">
        <v>363</v>
      </c>
      <c r="IA497" s="12"/>
      <c r="IB497" s="12" t="s">
        <v>333</v>
      </c>
      <c r="IC497" s="12"/>
      <c r="ID497" s="12" t="s">
        <v>364</v>
      </c>
      <c r="IE497" s="12" t="s">
        <v>335</v>
      </c>
      <c r="IF497" s="12" t="s">
        <v>320</v>
      </c>
      <c r="IG497" s="12" t="s">
        <v>320</v>
      </c>
      <c r="IH497" s="12" t="s">
        <v>320</v>
      </c>
      <c r="II497" s="12" t="s">
        <v>320</v>
      </c>
      <c r="IJ497" s="12" t="str">
        <f t="shared" si="302"/>
        <v>2. Sensitive</v>
      </c>
      <c r="IK497" s="12">
        <f t="shared" si="303"/>
        <v>4</v>
      </c>
      <c r="IL497" s="12" t="s">
        <v>336</v>
      </c>
      <c r="IM497" s="12" t="s">
        <v>320</v>
      </c>
      <c r="IN497" s="12" t="s">
        <v>319</v>
      </c>
      <c r="IO497" s="12" t="s">
        <v>320</v>
      </c>
      <c r="IP497" s="12" t="s">
        <v>320</v>
      </c>
      <c r="IQ497" s="12" t="str">
        <f t="shared" si="304"/>
        <v>2. Accommodating</v>
      </c>
      <c r="IR497" s="12">
        <f t="shared" si="305"/>
        <v>3</v>
      </c>
      <c r="IS497" s="12" t="s">
        <v>337</v>
      </c>
      <c r="IT497" s="12" t="s">
        <v>319</v>
      </c>
      <c r="IU497" s="12" t="s">
        <v>320</v>
      </c>
      <c r="IV497" s="12" t="s">
        <v>320</v>
      </c>
      <c r="IW497" s="11" t="str">
        <f t="shared" si="306"/>
        <v>1. Neutral</v>
      </c>
      <c r="IX497" s="12">
        <f t="shared" si="307"/>
        <v>2</v>
      </c>
      <c r="IY497" s="12" t="s">
        <v>338</v>
      </c>
      <c r="IZ497" s="12" t="s">
        <v>457</v>
      </c>
      <c r="JA497" s="12">
        <v>1</v>
      </c>
      <c r="JB497" s="12" t="s">
        <v>831</v>
      </c>
      <c r="JC497" s="12"/>
      <c r="JD497" s="12"/>
      <c r="JE497" s="12" t="s">
        <v>420</v>
      </c>
      <c r="JF497" s="12"/>
      <c r="JG497" s="12"/>
      <c r="JH497" s="12"/>
      <c r="JI497" s="12"/>
      <c r="JJ497" s="12"/>
      <c r="JK497" s="12"/>
      <c r="JL497" s="12"/>
      <c r="JM497" s="12"/>
      <c r="JN497" s="12"/>
      <c r="JO497" s="12"/>
      <c r="JP497" s="15">
        <f t="shared" si="308"/>
        <v>35265</v>
      </c>
      <c r="JQ497" s="15">
        <f t="shared" si="309"/>
        <v>11755</v>
      </c>
      <c r="JR497" s="279">
        <f t="shared" si="310"/>
        <v>0.33333333333333331</v>
      </c>
      <c r="JS497" s="17">
        <f t="shared" si="311"/>
        <v>0.52000567134552678</v>
      </c>
      <c r="JT497" s="18">
        <f t="shared" si="312"/>
        <v>0.52003402807316035</v>
      </c>
      <c r="JU497" s="280">
        <f t="shared" si="313"/>
        <v>18338</v>
      </c>
      <c r="JV497" s="280">
        <f t="shared" si="314"/>
        <v>6113</v>
      </c>
      <c r="JW497" s="319" t="str">
        <f t="shared" si="315"/>
        <v/>
      </c>
      <c r="JX497" s="15">
        <f t="shared" si="316"/>
        <v>0</v>
      </c>
      <c r="JY497" s="15">
        <f t="shared" si="317"/>
        <v>0</v>
      </c>
      <c r="JZ497" s="19" t="str">
        <f t="shared" si="318"/>
        <v/>
      </c>
      <c r="KA497" s="52">
        <f t="shared" si="319"/>
        <v>1</v>
      </c>
      <c r="KB497" s="15">
        <f t="shared" si="320"/>
        <v>8</v>
      </c>
      <c r="KC497" s="15">
        <f t="shared" si="321"/>
        <v>0</v>
      </c>
      <c r="KD497" s="20">
        <f t="shared" si="322"/>
        <v>0</v>
      </c>
      <c r="KE497" s="52">
        <f t="shared" si="323"/>
        <v>1</v>
      </c>
      <c r="KF497" s="15">
        <f t="shared" si="324"/>
        <v>12153</v>
      </c>
      <c r="KG497" s="15">
        <f t="shared" si="325"/>
        <v>0</v>
      </c>
      <c r="KH497" s="21">
        <f t="shared" si="326"/>
        <v>0</v>
      </c>
      <c r="KI497" s="52">
        <f t="shared" si="327"/>
        <v>1</v>
      </c>
      <c r="KJ497" s="15">
        <f t="shared" si="328"/>
        <v>0</v>
      </c>
      <c r="KK497" s="15">
        <f t="shared" si="329"/>
        <v>19940</v>
      </c>
      <c r="KL497" s="19" t="str">
        <f t="shared" si="330"/>
        <v/>
      </c>
      <c r="KM497" s="52">
        <f t="shared" si="331"/>
        <v>1</v>
      </c>
      <c r="KN497" s="22">
        <f t="shared" si="332"/>
        <v>436</v>
      </c>
      <c r="KO497" s="22">
        <f t="shared" si="333"/>
        <v>0</v>
      </c>
      <c r="KP497" s="19">
        <f t="shared" si="334"/>
        <v>0</v>
      </c>
      <c r="KQ497" s="11" t="str">
        <f t="shared" si="335"/>
        <v>2. Sensitive</v>
      </c>
      <c r="KR497" s="11" t="str">
        <f t="shared" si="336"/>
        <v>2. Accommodating</v>
      </c>
      <c r="KS497" s="11" t="str">
        <f t="shared" si="337"/>
        <v>1. Neutral</v>
      </c>
      <c r="KT497" s="11" t="str">
        <f t="shared" si="338"/>
        <v>It did not develop any specific innovation</v>
      </c>
      <c r="KU497" s="11" t="str">
        <f t="shared" si="339"/>
        <v>Moderate advocacy</v>
      </c>
      <c r="KV497" s="11" t="str">
        <f t="shared" si="340"/>
        <v>It did not take tested solutions to scale</v>
      </c>
      <c r="KW497" s="11" t="str">
        <f t="shared" si="341"/>
        <v>Myanmar - INGOs Consortium on HIV Prevention, Care and Support Project</v>
      </c>
      <c r="KX497" s="11" t="str">
        <f t="shared" si="342"/>
        <v>INGOs Consortium on HIV Prevention, Care and Support Project</v>
      </c>
      <c r="KY497" s="11" t="str">
        <f t="shared" si="343"/>
        <v>Myanmar</v>
      </c>
      <c r="KZ497" s="12">
        <v>497</v>
      </c>
    </row>
    <row r="498" spans="1:312" x14ac:dyDescent="0.3">
      <c r="A498" s="12" t="s">
        <v>8444</v>
      </c>
      <c r="B498" s="12" t="s">
        <v>306</v>
      </c>
      <c r="C498" s="12">
        <v>3166</v>
      </c>
      <c r="D498" s="12" t="s">
        <v>8566</v>
      </c>
      <c r="E498" s="277" t="str">
        <f t="shared" si="301"/>
        <v>Myanmar</v>
      </c>
      <c r="F498" s="12" t="s">
        <v>8567</v>
      </c>
      <c r="G498" s="12" t="s">
        <v>467</v>
      </c>
      <c r="H498" s="12" t="s">
        <v>489</v>
      </c>
      <c r="I498" s="12" t="s">
        <v>468</v>
      </c>
      <c r="J498" s="281" t="s">
        <v>9212</v>
      </c>
      <c r="K498" s="12"/>
      <c r="L498" s="12"/>
      <c r="M498" s="12"/>
      <c r="N498" s="12"/>
      <c r="O498" s="12"/>
      <c r="P498" s="12"/>
      <c r="Q498" s="12"/>
      <c r="R498" s="12"/>
      <c r="S498" s="12"/>
      <c r="T498" s="12"/>
      <c r="U498" s="12"/>
      <c r="V498" s="12"/>
      <c r="W498" s="12"/>
      <c r="X498" s="12"/>
      <c r="Y498" s="12"/>
      <c r="Z498" s="12"/>
      <c r="AA498" s="12"/>
      <c r="AB498" s="12"/>
      <c r="AC498" s="12"/>
      <c r="AD498" s="12"/>
      <c r="BD498" s="13">
        <v>42339</v>
      </c>
      <c r="BE498" s="13">
        <v>43100</v>
      </c>
      <c r="BF498" s="12"/>
      <c r="BG498" s="12" t="s">
        <v>609</v>
      </c>
      <c r="BH498" s="14">
        <v>687554</v>
      </c>
      <c r="BI498" s="12" t="s">
        <v>8447</v>
      </c>
      <c r="BJ498" s="12" t="s">
        <v>1602</v>
      </c>
      <c r="BK498" s="12" t="s">
        <v>8448</v>
      </c>
      <c r="BL498" s="12" t="s">
        <v>8449</v>
      </c>
      <c r="BM498" s="12" t="s">
        <v>444</v>
      </c>
      <c r="BN498" s="12" t="s">
        <v>8450</v>
      </c>
      <c r="BO498" s="12" t="s">
        <v>319</v>
      </c>
      <c r="BP498" s="12" t="s">
        <v>320</v>
      </c>
      <c r="BQ498" s="12" t="s">
        <v>319</v>
      </c>
      <c r="BR498" s="12" t="s">
        <v>8568</v>
      </c>
      <c r="BS498" s="12" t="s">
        <v>357</v>
      </c>
      <c r="BT498" s="12" t="s">
        <v>8569</v>
      </c>
      <c r="BU498" s="12" t="s">
        <v>8570</v>
      </c>
      <c r="BV498" s="14">
        <v>1406</v>
      </c>
      <c r="BW498" s="14">
        <v>432</v>
      </c>
      <c r="BX498" s="14">
        <v>1838</v>
      </c>
      <c r="BY498" s="14">
        <v>8405</v>
      </c>
      <c r="BZ498" s="14">
        <v>2583</v>
      </c>
      <c r="CA498" s="14">
        <v>10988</v>
      </c>
      <c r="CB498" s="12" t="s">
        <v>8571</v>
      </c>
      <c r="CD498" s="14"/>
      <c r="CE498" s="14"/>
      <c r="CF498" s="14">
        <v>0</v>
      </c>
      <c r="CG498" s="14"/>
      <c r="CH498" s="14"/>
      <c r="CI498" s="14">
        <v>0</v>
      </c>
      <c r="CJ498" s="12"/>
      <c r="CK498" s="14"/>
      <c r="CL498" s="16"/>
      <c r="CM498" s="14"/>
      <c r="CN498" s="12"/>
      <c r="CO498" s="14"/>
      <c r="CP498" s="16"/>
      <c r="CQ498" s="14"/>
      <c r="CR498" s="12"/>
      <c r="CS498" s="14"/>
      <c r="CT498" s="16"/>
      <c r="CU498" s="14"/>
      <c r="CV498" s="12"/>
      <c r="CW498" s="14"/>
      <c r="CX498" s="16"/>
      <c r="CY498" s="14"/>
      <c r="CZ498" s="12"/>
      <c r="DA498" s="14"/>
      <c r="DB498" s="16"/>
      <c r="DC498" s="14"/>
      <c r="DD498" s="12"/>
      <c r="DE498" s="14"/>
      <c r="DF498" s="16"/>
      <c r="DG498" s="14"/>
      <c r="DH498" s="12"/>
      <c r="DI498" s="14"/>
      <c r="DJ498" s="16"/>
      <c r="DK498" s="14"/>
      <c r="DL498" s="12"/>
      <c r="DM498" s="14"/>
      <c r="DN498" s="16"/>
      <c r="DO498" s="14"/>
      <c r="DP498" s="12"/>
      <c r="DQ498" s="14"/>
      <c r="DR498" s="16"/>
      <c r="DS498" s="14"/>
      <c r="DT498" s="12"/>
      <c r="DU498" s="14"/>
      <c r="DV498" s="16"/>
      <c r="DW498" s="14"/>
      <c r="DX498" s="12"/>
      <c r="DY498" s="14"/>
      <c r="DZ498" s="16"/>
      <c r="EA498" s="14"/>
      <c r="EB498" s="12"/>
      <c r="EC498" s="14"/>
      <c r="ED498" s="16"/>
      <c r="EE498" s="14"/>
      <c r="EF498" s="12"/>
      <c r="EG498" s="12"/>
      <c r="EH498" s="14"/>
      <c r="EI498" s="16"/>
      <c r="EJ498" s="14"/>
      <c r="EK498" s="14">
        <v>1406</v>
      </c>
      <c r="EL498" s="14">
        <v>432</v>
      </c>
      <c r="EM498" s="14">
        <v>1838</v>
      </c>
      <c r="EN498" s="14">
        <v>8405</v>
      </c>
      <c r="EO498" s="14">
        <v>2583</v>
      </c>
      <c r="EP498" s="14">
        <v>10988</v>
      </c>
      <c r="EQ498" s="12"/>
      <c r="ER498" s="14"/>
      <c r="ES498" s="16"/>
      <c r="ET498" s="14"/>
      <c r="EU498" s="12"/>
      <c r="EV498" s="14"/>
      <c r="EW498" s="16"/>
      <c r="EX498" s="14"/>
      <c r="EY498" s="12"/>
      <c r="EZ498" s="14"/>
      <c r="FA498" s="16"/>
      <c r="FB498" s="14"/>
      <c r="FC498" s="12"/>
      <c r="FD498" s="14"/>
      <c r="FE498" s="16"/>
      <c r="FF498" s="14"/>
      <c r="FG498" s="12"/>
      <c r="FH498" s="14"/>
      <c r="FI498" s="16"/>
      <c r="FJ498" s="14"/>
      <c r="FK498" s="12"/>
      <c r="FL498" s="14"/>
      <c r="FM498" s="16"/>
      <c r="FN498" s="14"/>
      <c r="FO498" s="12"/>
      <c r="FP498" s="14"/>
      <c r="FQ498" s="16"/>
      <c r="FR498" s="14"/>
      <c r="FS498" s="12" t="s">
        <v>320</v>
      </c>
      <c r="FT498" s="14">
        <v>1838</v>
      </c>
      <c r="FU498" s="16">
        <v>0.76</v>
      </c>
      <c r="FV498" s="14">
        <v>10988</v>
      </c>
      <c r="FW498" s="12"/>
      <c r="FX498" s="14"/>
      <c r="FY498" s="16"/>
      <c r="FZ498" s="14"/>
      <c r="GA498" s="12"/>
      <c r="GB498" s="14"/>
      <c r="GC498" s="16"/>
      <c r="GD498" s="14"/>
      <c r="GE498" s="12"/>
      <c r="GF498" s="14"/>
      <c r="GG498" s="16"/>
      <c r="GH498" s="14"/>
      <c r="GI498" s="12"/>
      <c r="GJ498" s="14"/>
      <c r="GK498" s="16"/>
      <c r="GL498" s="14"/>
      <c r="GM498" s="12"/>
      <c r="GN498" s="14"/>
      <c r="GO498" s="16"/>
      <c r="GP498" s="14"/>
      <c r="GQ498" s="12"/>
      <c r="GR498" s="14"/>
      <c r="GS498" s="16"/>
      <c r="GT498" s="14"/>
      <c r="GU498" s="12"/>
      <c r="GV498" s="14"/>
      <c r="GW498" s="16"/>
      <c r="GX498" s="14"/>
      <c r="GY498" s="12"/>
      <c r="GZ498" s="14"/>
      <c r="HA498" s="16"/>
      <c r="HB498" s="14"/>
      <c r="HC498" s="12"/>
      <c r="HD498" s="12"/>
      <c r="HE498" s="14"/>
      <c r="HF498" s="16"/>
      <c r="HG498" s="14"/>
      <c r="HH498" s="12" t="s">
        <v>319</v>
      </c>
      <c r="HI498" s="12"/>
      <c r="HJ498" s="12"/>
      <c r="HK498" s="12"/>
      <c r="HL498" s="12" t="s">
        <v>320</v>
      </c>
      <c r="HM498" s="12" t="s">
        <v>328</v>
      </c>
      <c r="HN498" s="12">
        <v>2017</v>
      </c>
      <c r="HO498" s="12" t="s">
        <v>393</v>
      </c>
      <c r="HP498" s="12" t="s">
        <v>330</v>
      </c>
      <c r="HQ498" s="12"/>
      <c r="HR498" s="12"/>
      <c r="HS498" s="12" t="s">
        <v>320</v>
      </c>
      <c r="HT498" s="12"/>
      <c r="HU498" s="12"/>
      <c r="HV498" s="12"/>
      <c r="HW498" s="12"/>
      <c r="HX498" s="12"/>
      <c r="HY498" s="12"/>
      <c r="HZ498" s="12" t="s">
        <v>394</v>
      </c>
      <c r="IA498" s="12" t="s">
        <v>8572</v>
      </c>
      <c r="IB498" s="12" t="s">
        <v>396</v>
      </c>
      <c r="IC498" s="12" t="s">
        <v>8572</v>
      </c>
      <c r="ID498" s="12" t="s">
        <v>477</v>
      </c>
      <c r="IE498" s="12" t="s">
        <v>478</v>
      </c>
      <c r="IF498" s="12" t="s">
        <v>320</v>
      </c>
      <c r="IG498" s="12" t="s">
        <v>320</v>
      </c>
      <c r="IH498" s="12" t="s">
        <v>319</v>
      </c>
      <c r="II498" s="12" t="s">
        <v>319</v>
      </c>
      <c r="IJ498" s="12" t="str">
        <f t="shared" si="302"/>
        <v>3. Responsive</v>
      </c>
      <c r="IK498" s="12">
        <f t="shared" si="303"/>
        <v>2</v>
      </c>
      <c r="IL498" s="12" t="s">
        <v>336</v>
      </c>
      <c r="IM498" s="12" t="s">
        <v>320</v>
      </c>
      <c r="IN498" s="12" t="s">
        <v>320</v>
      </c>
      <c r="IO498" s="12" t="s">
        <v>320</v>
      </c>
      <c r="IP498" s="12" t="s">
        <v>319</v>
      </c>
      <c r="IQ498" s="12" t="str">
        <f t="shared" si="304"/>
        <v>2. Accommodating</v>
      </c>
      <c r="IR498" s="12">
        <f t="shared" si="305"/>
        <v>3</v>
      </c>
      <c r="IS498" s="12" t="s">
        <v>456</v>
      </c>
      <c r="IT498" s="12" t="s">
        <v>319</v>
      </c>
      <c r="IU498" s="12" t="s">
        <v>319</v>
      </c>
      <c r="IV498" s="12" t="s">
        <v>319</v>
      </c>
      <c r="IW498" s="11" t="str">
        <f t="shared" si="306"/>
        <v>0. Harmful</v>
      </c>
      <c r="IX498" s="12">
        <f t="shared" si="307"/>
        <v>0</v>
      </c>
      <c r="IY498" s="12" t="s">
        <v>338</v>
      </c>
      <c r="IZ498" s="12" t="s">
        <v>457</v>
      </c>
      <c r="JA498" s="12">
        <v>9</v>
      </c>
      <c r="JB498" s="12" t="s">
        <v>1570</v>
      </c>
      <c r="JC498" s="12" t="s">
        <v>687</v>
      </c>
      <c r="JD498" s="12" t="s">
        <v>624</v>
      </c>
      <c r="JE498" s="12" t="s">
        <v>340</v>
      </c>
      <c r="JF498" s="12" t="s">
        <v>8573</v>
      </c>
      <c r="JG498" s="12"/>
      <c r="JH498" s="12" t="s">
        <v>8572</v>
      </c>
      <c r="JI498" s="12" t="s">
        <v>8457</v>
      </c>
      <c r="JJ498" s="12"/>
      <c r="JK498" s="12" t="s">
        <v>8574</v>
      </c>
      <c r="JL498" s="12" t="s">
        <v>8575</v>
      </c>
      <c r="JM498" s="12"/>
      <c r="JN498" s="12"/>
      <c r="JO498" s="12"/>
      <c r="JP498" s="15">
        <f t="shared" si="308"/>
        <v>1838</v>
      </c>
      <c r="JQ498" s="15">
        <f t="shared" si="309"/>
        <v>10988</v>
      </c>
      <c r="JR498" s="279">
        <f t="shared" si="310"/>
        <v>5.9782372143634381</v>
      </c>
      <c r="JS498" s="17">
        <f t="shared" si="311"/>
        <v>0.764961915125136</v>
      </c>
      <c r="JT498" s="18">
        <f t="shared" si="312"/>
        <v>0.7649253731343284</v>
      </c>
      <c r="JU498" s="280">
        <f t="shared" si="313"/>
        <v>1406</v>
      </c>
      <c r="JV498" s="280">
        <f t="shared" si="314"/>
        <v>8405</v>
      </c>
      <c r="JW498" s="319" t="str">
        <f t="shared" si="315"/>
        <v/>
      </c>
      <c r="JX498" s="15">
        <f t="shared" si="316"/>
        <v>0</v>
      </c>
      <c r="JY498" s="15">
        <f t="shared" si="317"/>
        <v>0</v>
      </c>
      <c r="JZ498" s="19" t="str">
        <f t="shared" si="318"/>
        <v/>
      </c>
      <c r="KA498" s="52" t="str">
        <f t="shared" si="319"/>
        <v/>
      </c>
      <c r="KB498" s="15">
        <f t="shared" si="320"/>
        <v>0</v>
      </c>
      <c r="KC498" s="15">
        <f t="shared" si="321"/>
        <v>0</v>
      </c>
      <c r="KD498" s="20" t="str">
        <f t="shared" si="322"/>
        <v/>
      </c>
      <c r="KE498" s="52" t="str">
        <f t="shared" si="323"/>
        <v/>
      </c>
      <c r="KF498" s="15">
        <f t="shared" si="324"/>
        <v>0</v>
      </c>
      <c r="KG498" s="15">
        <f t="shared" si="325"/>
        <v>0</v>
      </c>
      <c r="KH498" s="21" t="str">
        <f t="shared" si="326"/>
        <v/>
      </c>
      <c r="KI498" s="52">
        <f t="shared" si="327"/>
        <v>1</v>
      </c>
      <c r="KJ498" s="15">
        <f t="shared" si="328"/>
        <v>1838</v>
      </c>
      <c r="KK498" s="15">
        <f t="shared" si="329"/>
        <v>10988</v>
      </c>
      <c r="KL498" s="19">
        <f t="shared" si="330"/>
        <v>5.9782372143634381</v>
      </c>
      <c r="KM498" s="52" t="str">
        <f t="shared" si="331"/>
        <v/>
      </c>
      <c r="KN498" s="22">
        <f t="shared" si="332"/>
        <v>0</v>
      </c>
      <c r="KO498" s="22">
        <f t="shared" si="333"/>
        <v>0</v>
      </c>
      <c r="KP498" s="19" t="str">
        <f t="shared" si="334"/>
        <v/>
      </c>
      <c r="KQ498" s="11" t="str">
        <f t="shared" si="335"/>
        <v>3. Responsive</v>
      </c>
      <c r="KR498" s="11" t="str">
        <f t="shared" si="336"/>
        <v>2. Accommodating</v>
      </c>
      <c r="KS498" s="11" t="str">
        <f t="shared" si="337"/>
        <v>0. Harmful</v>
      </c>
      <c r="KT498" s="11" t="str">
        <f t="shared" si="338"/>
        <v>It tested new ways for fighting poverty, but did not measure results of innovation</v>
      </c>
      <c r="KU498" s="11" t="str">
        <f t="shared" si="339"/>
        <v>Moderate advocacy</v>
      </c>
      <c r="KV498" s="11" t="str">
        <f t="shared" si="340"/>
        <v>It linked and worked with strategic alliances and partners to take tested and effective solutions to scale</v>
      </c>
      <c r="KW498" s="11" t="str">
        <f t="shared" si="341"/>
        <v>Myanmar - Multistake holders model for ending Gender Based Violence</v>
      </c>
      <c r="KX498" s="11" t="str">
        <f t="shared" si="342"/>
        <v>Multistake holders model for ending Gender Based Violence</v>
      </c>
      <c r="KY498" s="11" t="str">
        <f t="shared" si="343"/>
        <v>Myanmar</v>
      </c>
      <c r="KZ498" s="12">
        <v>498</v>
      </c>
    </row>
    <row r="499" spans="1:312" x14ac:dyDescent="0.3">
      <c r="A499" s="12" t="s">
        <v>8444</v>
      </c>
      <c r="B499" s="12" t="s">
        <v>306</v>
      </c>
      <c r="C499" s="12"/>
      <c r="D499" s="12" t="s">
        <v>8576</v>
      </c>
      <c r="E499" s="277" t="str">
        <f t="shared" si="301"/>
        <v>Myanmar</v>
      </c>
      <c r="F499" s="12" t="s">
        <v>8577</v>
      </c>
      <c r="G499" s="12" t="s">
        <v>1738</v>
      </c>
      <c r="H499" s="12" t="s">
        <v>310</v>
      </c>
      <c r="I499" s="12" t="s">
        <v>3316</v>
      </c>
      <c r="J499" s="281" t="s">
        <v>14616</v>
      </c>
      <c r="K499" s="12"/>
      <c r="L499" s="12"/>
      <c r="M499" s="12"/>
      <c r="N499" s="12"/>
      <c r="O499" s="12"/>
      <c r="P499" s="12"/>
      <c r="Q499" s="12"/>
      <c r="R499" s="12"/>
      <c r="S499" s="12"/>
      <c r="T499" s="12"/>
      <c r="U499" s="12"/>
      <c r="V499" s="12"/>
      <c r="W499" s="12"/>
      <c r="X499" s="12"/>
      <c r="Y499" s="12"/>
      <c r="Z499" s="12"/>
      <c r="AA499" s="12"/>
      <c r="AB499" s="12"/>
      <c r="AC499" s="12"/>
      <c r="AD499" s="12"/>
      <c r="BD499" s="13">
        <v>42736</v>
      </c>
      <c r="BE499" s="13">
        <v>43829</v>
      </c>
      <c r="BF499" s="12"/>
      <c r="BG499" s="12" t="s">
        <v>749</v>
      </c>
      <c r="BH499" s="14">
        <v>393750</v>
      </c>
      <c r="BI499" s="12" t="s">
        <v>8447</v>
      </c>
      <c r="BJ499" s="12" t="s">
        <v>1602</v>
      </c>
      <c r="BK499" s="12" t="s">
        <v>8448</v>
      </c>
      <c r="BL499" s="12" t="s">
        <v>8449</v>
      </c>
      <c r="BM499" s="12" t="s">
        <v>444</v>
      </c>
      <c r="BN499" s="12" t="s">
        <v>8450</v>
      </c>
      <c r="BO499" s="12" t="s">
        <v>319</v>
      </c>
      <c r="BP499" s="12" t="s">
        <v>320</v>
      </c>
      <c r="BQ499" s="12" t="s">
        <v>319</v>
      </c>
      <c r="BR499" s="12" t="s">
        <v>8578</v>
      </c>
      <c r="BS499" s="12" t="s">
        <v>357</v>
      </c>
      <c r="BT499" s="12" t="s">
        <v>8452</v>
      </c>
      <c r="BU499" s="12" t="s">
        <v>8579</v>
      </c>
      <c r="BV499" s="14">
        <v>1164</v>
      </c>
      <c r="BW499" s="14">
        <v>1032</v>
      </c>
      <c r="BX499" s="14">
        <v>2196</v>
      </c>
      <c r="BY499" s="14">
        <v>4028</v>
      </c>
      <c r="BZ499" s="14">
        <v>3572</v>
      </c>
      <c r="CA499" s="14">
        <v>7600</v>
      </c>
      <c r="CB499" s="12" t="s">
        <v>8580</v>
      </c>
      <c r="CD499" s="14"/>
      <c r="CE499" s="14"/>
      <c r="CF499" s="14"/>
      <c r="CG499" s="14"/>
      <c r="CH499" s="14"/>
      <c r="CI499" s="14"/>
      <c r="CJ499" s="12"/>
      <c r="CK499" s="14"/>
      <c r="CL499" s="16"/>
      <c r="CM499" s="14"/>
      <c r="CN499" s="12"/>
      <c r="CO499" s="14"/>
      <c r="CP499" s="16"/>
      <c r="CQ499" s="14"/>
      <c r="CR499" s="12"/>
      <c r="CS499" s="14"/>
      <c r="CT499" s="16"/>
      <c r="CU499" s="14"/>
      <c r="CV499" s="12"/>
      <c r="CW499" s="14"/>
      <c r="CX499" s="16"/>
      <c r="CY499" s="14"/>
      <c r="CZ499" s="12"/>
      <c r="DA499" s="14"/>
      <c r="DB499" s="16"/>
      <c r="DC499" s="14"/>
      <c r="DD499" s="12"/>
      <c r="DE499" s="14"/>
      <c r="DF499" s="16"/>
      <c r="DG499" s="14"/>
      <c r="DH499" s="12"/>
      <c r="DI499" s="14"/>
      <c r="DJ499" s="16"/>
      <c r="DK499" s="14"/>
      <c r="DL499" s="12"/>
      <c r="DM499" s="14"/>
      <c r="DN499" s="16"/>
      <c r="DO499" s="14"/>
      <c r="DP499" s="12"/>
      <c r="DQ499" s="14"/>
      <c r="DR499" s="16"/>
      <c r="DS499" s="14"/>
      <c r="DT499" s="12"/>
      <c r="DU499" s="14"/>
      <c r="DV499" s="16"/>
      <c r="DW499" s="14"/>
      <c r="DX499" s="12"/>
      <c r="DY499" s="14"/>
      <c r="DZ499" s="16"/>
      <c r="EA499" s="14"/>
      <c r="EB499" s="12"/>
      <c r="EC499" s="14"/>
      <c r="ED499" s="16"/>
      <c r="EE499" s="14"/>
      <c r="EF499" s="12"/>
      <c r="EG499" s="12"/>
      <c r="EH499" s="14"/>
      <c r="EI499" s="16"/>
      <c r="EJ499" s="14"/>
      <c r="EK499" s="14">
        <v>688</v>
      </c>
      <c r="EL499" s="14">
        <v>610</v>
      </c>
      <c r="EM499" s="14">
        <v>1298</v>
      </c>
      <c r="EN499" s="14">
        <v>2546</v>
      </c>
      <c r="EO499" s="14">
        <v>2257</v>
      </c>
      <c r="EP499" s="14">
        <v>4803</v>
      </c>
      <c r="EQ499" s="12"/>
      <c r="ER499" s="14"/>
      <c r="ES499" s="16"/>
      <c r="ET499" s="14"/>
      <c r="EU499" s="12"/>
      <c r="EV499" s="14"/>
      <c r="EW499" s="16"/>
      <c r="EX499" s="14"/>
      <c r="EY499" s="12"/>
      <c r="EZ499" s="14"/>
      <c r="FA499" s="16"/>
      <c r="FB499" s="14"/>
      <c r="FC499" s="12"/>
      <c r="FD499" s="14"/>
      <c r="FE499" s="16"/>
      <c r="FF499" s="14"/>
      <c r="FG499" s="12"/>
      <c r="FH499" s="14"/>
      <c r="FI499" s="16"/>
      <c r="FJ499" s="14"/>
      <c r="FK499" s="12"/>
      <c r="FL499" s="14"/>
      <c r="FM499" s="16"/>
      <c r="FN499" s="14"/>
      <c r="FO499" s="12" t="s">
        <v>320</v>
      </c>
      <c r="FP499" s="14">
        <v>1298</v>
      </c>
      <c r="FQ499" s="16">
        <v>0.53</v>
      </c>
      <c r="FR499" s="14">
        <v>4803</v>
      </c>
      <c r="FS499" s="12"/>
      <c r="FT499" s="14"/>
      <c r="FU499" s="16"/>
      <c r="FV499" s="14"/>
      <c r="FW499" s="12"/>
      <c r="FX499" s="14"/>
      <c r="FY499" s="16"/>
      <c r="FZ499" s="14"/>
      <c r="GA499" s="12"/>
      <c r="GB499" s="14"/>
      <c r="GC499" s="16"/>
      <c r="GD499" s="14"/>
      <c r="GE499" s="12"/>
      <c r="GF499" s="14"/>
      <c r="GG499" s="16"/>
      <c r="GH499" s="14"/>
      <c r="GI499" s="12"/>
      <c r="GJ499" s="14"/>
      <c r="GK499" s="16"/>
      <c r="GL499" s="14"/>
      <c r="GM499" s="12"/>
      <c r="GN499" s="14"/>
      <c r="GO499" s="16"/>
      <c r="GP499" s="14"/>
      <c r="GQ499" s="12"/>
      <c r="GR499" s="14"/>
      <c r="GS499" s="16"/>
      <c r="GT499" s="14"/>
      <c r="GU499" s="12"/>
      <c r="GV499" s="14"/>
      <c r="GW499" s="16"/>
      <c r="GX499" s="14"/>
      <c r="GY499" s="12"/>
      <c r="GZ499" s="14"/>
      <c r="HA499" s="16"/>
      <c r="HB499" s="14"/>
      <c r="HC499" s="12"/>
      <c r="HD499" s="12"/>
      <c r="HE499" s="14"/>
      <c r="HF499" s="16"/>
      <c r="HG499" s="14"/>
      <c r="HH499" s="12" t="s">
        <v>319</v>
      </c>
      <c r="HI499" s="12"/>
      <c r="HJ499" s="12"/>
      <c r="HK499" s="12" t="s">
        <v>319</v>
      </c>
      <c r="HL499" s="12" t="s">
        <v>319</v>
      </c>
      <c r="HM499" s="12"/>
      <c r="HN499" s="12"/>
      <c r="HO499" s="12" t="s">
        <v>393</v>
      </c>
      <c r="HP499" s="12" t="s">
        <v>330</v>
      </c>
      <c r="HQ499" s="12"/>
      <c r="HR499" s="12"/>
      <c r="HS499" s="12" t="s">
        <v>320</v>
      </c>
      <c r="HT499" s="12"/>
      <c r="HU499" s="12"/>
      <c r="HV499" s="12"/>
      <c r="HW499" s="12"/>
      <c r="HX499" s="12"/>
      <c r="HY499" s="12"/>
      <c r="HZ499" s="12" t="s">
        <v>331</v>
      </c>
      <c r="IA499" s="12" t="s">
        <v>8455</v>
      </c>
      <c r="IB499" s="12" t="s">
        <v>667</v>
      </c>
      <c r="IC499" s="12" t="s">
        <v>8456</v>
      </c>
      <c r="ID499" s="12" t="s">
        <v>334</v>
      </c>
      <c r="IE499" s="12" t="s">
        <v>335</v>
      </c>
      <c r="IF499" s="12" t="s">
        <v>320</v>
      </c>
      <c r="IG499" s="12" t="s">
        <v>320</v>
      </c>
      <c r="IH499" s="12" t="s">
        <v>320</v>
      </c>
      <c r="II499" s="12" t="s">
        <v>320</v>
      </c>
      <c r="IJ499" s="12" t="str">
        <f t="shared" si="302"/>
        <v>2. Sensitive</v>
      </c>
      <c r="IK499" s="12">
        <f t="shared" si="303"/>
        <v>4</v>
      </c>
      <c r="IL499" s="12" t="s">
        <v>336</v>
      </c>
      <c r="IM499" s="12" t="s">
        <v>320</v>
      </c>
      <c r="IN499" s="12" t="s">
        <v>320</v>
      </c>
      <c r="IO499" s="12" t="s">
        <v>320</v>
      </c>
      <c r="IP499" s="12" t="s">
        <v>320</v>
      </c>
      <c r="IQ499" s="12" t="str">
        <f t="shared" si="304"/>
        <v>2. Accommodating</v>
      </c>
      <c r="IR499" s="12">
        <f t="shared" si="305"/>
        <v>4</v>
      </c>
      <c r="IS499" s="12" t="s">
        <v>337</v>
      </c>
      <c r="IT499" s="12" t="s">
        <v>320</v>
      </c>
      <c r="IU499" s="12" t="s">
        <v>320</v>
      </c>
      <c r="IV499" s="12" t="s">
        <v>320</v>
      </c>
      <c r="IW499" s="11" t="str">
        <f t="shared" si="306"/>
        <v>2. Sensitive</v>
      </c>
      <c r="IX499" s="12">
        <f t="shared" si="307"/>
        <v>3</v>
      </c>
      <c r="IY499" s="12" t="s">
        <v>419</v>
      </c>
      <c r="IZ499" s="12" t="s">
        <v>339</v>
      </c>
      <c r="JA499" s="12"/>
      <c r="JB499" s="12" t="s">
        <v>624</v>
      </c>
      <c r="JC499" s="12" t="s">
        <v>687</v>
      </c>
      <c r="JD499" s="12"/>
      <c r="JE499" s="12" t="s">
        <v>420</v>
      </c>
      <c r="JF499" s="12"/>
      <c r="JG499" s="12"/>
      <c r="JH499" s="12" t="s">
        <v>1323</v>
      </c>
      <c r="JI499" s="12" t="s">
        <v>8457</v>
      </c>
      <c r="JJ499" s="12" t="s">
        <v>8458</v>
      </c>
      <c r="JK499" s="12" t="s">
        <v>8459</v>
      </c>
      <c r="JL499" s="12"/>
      <c r="JM499" s="12"/>
      <c r="JN499" s="12"/>
      <c r="JO499" s="12"/>
      <c r="JP499" s="15">
        <f t="shared" si="308"/>
        <v>1298</v>
      </c>
      <c r="JQ499" s="15">
        <f t="shared" si="309"/>
        <v>4803</v>
      </c>
      <c r="JR499" s="279">
        <f t="shared" si="310"/>
        <v>3.7003081664098612</v>
      </c>
      <c r="JS499" s="17">
        <f t="shared" si="311"/>
        <v>0.53004622496147924</v>
      </c>
      <c r="JT499" s="18">
        <f t="shared" si="312"/>
        <v>0.53008536331459499</v>
      </c>
      <c r="JU499" s="280">
        <f t="shared" si="313"/>
        <v>688</v>
      </c>
      <c r="JV499" s="280">
        <f t="shared" si="314"/>
        <v>2546</v>
      </c>
      <c r="JW499" s="319" t="str">
        <f t="shared" si="315"/>
        <v/>
      </c>
      <c r="JX499" s="15">
        <f t="shared" si="316"/>
        <v>0</v>
      </c>
      <c r="JY499" s="15">
        <f t="shared" si="317"/>
        <v>0</v>
      </c>
      <c r="JZ499" s="19" t="str">
        <f t="shared" si="318"/>
        <v/>
      </c>
      <c r="KA499" s="52">
        <f t="shared" si="319"/>
        <v>1</v>
      </c>
      <c r="KB499" s="15">
        <f t="shared" si="320"/>
        <v>1298</v>
      </c>
      <c r="KC499" s="15">
        <f t="shared" si="321"/>
        <v>4803</v>
      </c>
      <c r="KD499" s="20">
        <f t="shared" si="322"/>
        <v>3.7003081664098612</v>
      </c>
      <c r="KE499" s="52" t="str">
        <f t="shared" si="323"/>
        <v/>
      </c>
      <c r="KF499" s="15">
        <f t="shared" si="324"/>
        <v>0</v>
      </c>
      <c r="KG499" s="15">
        <f t="shared" si="325"/>
        <v>0</v>
      </c>
      <c r="KH499" s="21" t="str">
        <f t="shared" si="326"/>
        <v/>
      </c>
      <c r="KI499" s="52" t="str">
        <f t="shared" si="327"/>
        <v/>
      </c>
      <c r="KJ499" s="15">
        <f t="shared" si="328"/>
        <v>0</v>
      </c>
      <c r="KK499" s="15">
        <f t="shared" si="329"/>
        <v>0</v>
      </c>
      <c r="KL499" s="19" t="str">
        <f t="shared" si="330"/>
        <v/>
      </c>
      <c r="KM499" s="52" t="str">
        <f t="shared" si="331"/>
        <v/>
      </c>
      <c r="KN499" s="22">
        <f t="shared" si="332"/>
        <v>0</v>
      </c>
      <c r="KO499" s="22">
        <f t="shared" si="333"/>
        <v>0</v>
      </c>
      <c r="KP499" s="19" t="str">
        <f t="shared" si="334"/>
        <v/>
      </c>
      <c r="KQ499" s="11" t="str">
        <f t="shared" si="335"/>
        <v>2. Sensitive</v>
      </c>
      <c r="KR499" s="11" t="str">
        <f t="shared" si="336"/>
        <v>2. Accommodating</v>
      </c>
      <c r="KS499" s="11" t="str">
        <f t="shared" si="337"/>
        <v>2. Sensitive</v>
      </c>
      <c r="KT499" s="11" t="str">
        <f t="shared" si="338"/>
        <v>It tested new ways for fighting poverty and measured results of innovation</v>
      </c>
      <c r="KU499" s="11" t="str">
        <f t="shared" si="339"/>
        <v>Moderate advocacy</v>
      </c>
      <c r="KV499" s="11" t="str">
        <f t="shared" si="340"/>
        <v>It took tested solutions to scale on its own</v>
      </c>
      <c r="KW499" s="11" t="str">
        <f t="shared" si="341"/>
        <v>Myanmar - Northern Shan Food Security Project</v>
      </c>
      <c r="KX499" s="11" t="str">
        <f t="shared" si="342"/>
        <v>Northern Shan Food Security Project</v>
      </c>
      <c r="KY499" s="11" t="str">
        <f t="shared" si="343"/>
        <v>Myanmar</v>
      </c>
      <c r="KZ499" s="12">
        <v>499</v>
      </c>
    </row>
    <row r="500" spans="1:312" x14ac:dyDescent="0.3">
      <c r="A500" s="12" t="s">
        <v>8444</v>
      </c>
      <c r="B500" s="12" t="s">
        <v>306</v>
      </c>
      <c r="C500" s="12">
        <v>3164</v>
      </c>
      <c r="D500" s="12" t="s">
        <v>8581</v>
      </c>
      <c r="E500" s="277" t="str">
        <f t="shared" si="301"/>
        <v>Myanmar</v>
      </c>
      <c r="F500" s="12" t="s">
        <v>8582</v>
      </c>
      <c r="G500" s="12" t="s">
        <v>379</v>
      </c>
      <c r="H500" s="12" t="s">
        <v>383</v>
      </c>
      <c r="I500" s="12" t="s">
        <v>384</v>
      </c>
      <c r="J500" s="281" t="s">
        <v>8583</v>
      </c>
      <c r="K500" s="12"/>
      <c r="L500" s="12"/>
      <c r="M500" s="12"/>
      <c r="N500" s="12"/>
      <c r="O500" s="12"/>
      <c r="P500" s="12"/>
      <c r="Q500" s="12"/>
      <c r="R500" s="12"/>
      <c r="S500" s="12"/>
      <c r="T500" s="12"/>
      <c r="U500" s="12"/>
      <c r="V500" s="12"/>
      <c r="W500" s="12"/>
      <c r="X500" s="12"/>
      <c r="Y500" s="12"/>
      <c r="Z500" s="12"/>
      <c r="AA500" s="12"/>
      <c r="AB500" s="12"/>
      <c r="AC500" s="12"/>
      <c r="AD500" s="12"/>
      <c r="BD500" s="13">
        <v>41821</v>
      </c>
      <c r="BE500" s="13">
        <v>43190</v>
      </c>
      <c r="BF500" s="12"/>
      <c r="BG500" s="12" t="s">
        <v>312</v>
      </c>
      <c r="BH500" s="14">
        <v>315876</v>
      </c>
      <c r="BI500" s="12" t="s">
        <v>8463</v>
      </c>
      <c r="BJ500" s="12" t="s">
        <v>1602</v>
      </c>
      <c r="BK500" s="12" t="s">
        <v>8464</v>
      </c>
      <c r="BL500" s="12" t="s">
        <v>8543</v>
      </c>
      <c r="BM500" s="12" t="s">
        <v>444</v>
      </c>
      <c r="BN500" s="12" t="s">
        <v>8584</v>
      </c>
      <c r="BO500" s="12" t="s">
        <v>319</v>
      </c>
      <c r="BP500" s="12" t="s">
        <v>320</v>
      </c>
      <c r="BQ500" s="12" t="s">
        <v>319</v>
      </c>
      <c r="BR500" s="12" t="s">
        <v>8585</v>
      </c>
      <c r="BS500" s="12" t="s">
        <v>357</v>
      </c>
      <c r="BT500" s="12" t="s">
        <v>8586</v>
      </c>
      <c r="BU500" s="12" t="s">
        <v>8587</v>
      </c>
      <c r="BV500" s="14">
        <v>1170</v>
      </c>
      <c r="BW500" s="14"/>
      <c r="BX500" s="14">
        <v>1170</v>
      </c>
      <c r="BY500" s="14">
        <v>4680</v>
      </c>
      <c r="BZ500" s="14"/>
      <c r="CA500" s="14">
        <v>4680</v>
      </c>
      <c r="CB500" s="12" t="s">
        <v>8588</v>
      </c>
      <c r="CD500" s="14"/>
      <c r="CE500" s="14"/>
      <c r="CF500" s="14"/>
      <c r="CG500" s="14"/>
      <c r="CH500" s="14"/>
      <c r="CI500" s="14"/>
      <c r="CJ500" s="12"/>
      <c r="CK500" s="14"/>
      <c r="CL500" s="16"/>
      <c r="CM500" s="14"/>
      <c r="CN500" s="12"/>
      <c r="CO500" s="14"/>
      <c r="CP500" s="16"/>
      <c r="CQ500" s="14"/>
      <c r="CR500" s="12"/>
      <c r="CS500" s="14"/>
      <c r="CT500" s="16"/>
      <c r="CU500" s="14"/>
      <c r="CV500" s="12"/>
      <c r="CW500" s="14"/>
      <c r="CX500" s="16"/>
      <c r="CY500" s="14"/>
      <c r="CZ500" s="12"/>
      <c r="DA500" s="14"/>
      <c r="DB500" s="16"/>
      <c r="DC500" s="14"/>
      <c r="DD500" s="12"/>
      <c r="DE500" s="14"/>
      <c r="DF500" s="16"/>
      <c r="DG500" s="14"/>
      <c r="DH500" s="12"/>
      <c r="DI500" s="14"/>
      <c r="DJ500" s="16"/>
      <c r="DK500" s="14"/>
      <c r="DL500" s="12"/>
      <c r="DM500" s="14"/>
      <c r="DN500" s="16"/>
      <c r="DO500" s="14"/>
      <c r="DP500" s="12"/>
      <c r="DQ500" s="14"/>
      <c r="DR500" s="16"/>
      <c r="DS500" s="14"/>
      <c r="DT500" s="12"/>
      <c r="DU500" s="14"/>
      <c r="DV500" s="16"/>
      <c r="DW500" s="14"/>
      <c r="DX500" s="12"/>
      <c r="DY500" s="14"/>
      <c r="DZ500" s="16"/>
      <c r="EA500" s="14"/>
      <c r="EB500" s="12"/>
      <c r="EC500" s="14"/>
      <c r="ED500" s="16"/>
      <c r="EE500" s="14"/>
      <c r="EF500" s="12"/>
      <c r="EG500" s="12"/>
      <c r="EH500" s="14"/>
      <c r="EI500" s="16"/>
      <c r="EJ500" s="14"/>
      <c r="EK500" s="14">
        <v>390</v>
      </c>
      <c r="EL500" s="14"/>
      <c r="EM500" s="14">
        <v>390</v>
      </c>
      <c r="EN500" s="14"/>
      <c r="EO500" s="14"/>
      <c r="EP500" s="14"/>
      <c r="EQ500" s="12"/>
      <c r="ER500" s="14"/>
      <c r="ES500" s="16"/>
      <c r="ET500" s="14"/>
      <c r="EU500" s="12"/>
      <c r="EV500" s="14"/>
      <c r="EW500" s="16"/>
      <c r="EX500" s="14"/>
      <c r="EY500" s="12"/>
      <c r="EZ500" s="14"/>
      <c r="FA500" s="16"/>
      <c r="FB500" s="14"/>
      <c r="FC500" s="12"/>
      <c r="FD500" s="14"/>
      <c r="FE500" s="16"/>
      <c r="FF500" s="14"/>
      <c r="FG500" s="12"/>
      <c r="FH500" s="14"/>
      <c r="FI500" s="16"/>
      <c r="FJ500" s="14"/>
      <c r="FK500" s="12"/>
      <c r="FL500" s="14"/>
      <c r="FM500" s="16"/>
      <c r="FN500" s="14"/>
      <c r="FO500" s="12"/>
      <c r="FP500" s="14"/>
      <c r="FQ500" s="16"/>
      <c r="FR500" s="14"/>
      <c r="FS500" s="12"/>
      <c r="FT500" s="14"/>
      <c r="FU500" s="16"/>
      <c r="FV500" s="14"/>
      <c r="FW500" s="12"/>
      <c r="FX500" s="14"/>
      <c r="FY500" s="16"/>
      <c r="FZ500" s="14"/>
      <c r="GA500" s="12"/>
      <c r="GB500" s="14"/>
      <c r="GC500" s="16"/>
      <c r="GD500" s="14"/>
      <c r="GE500" s="12"/>
      <c r="GF500" s="14"/>
      <c r="GG500" s="16"/>
      <c r="GH500" s="14"/>
      <c r="GI500" s="12"/>
      <c r="GJ500" s="14"/>
      <c r="GK500" s="16"/>
      <c r="GL500" s="14"/>
      <c r="GM500" s="12"/>
      <c r="GN500" s="14"/>
      <c r="GO500" s="16"/>
      <c r="GP500" s="14"/>
      <c r="GQ500" s="12"/>
      <c r="GR500" s="14"/>
      <c r="GS500" s="16"/>
      <c r="GT500" s="14"/>
      <c r="GU500" s="12"/>
      <c r="GV500" s="14"/>
      <c r="GW500" s="16"/>
      <c r="GX500" s="14"/>
      <c r="GY500" s="12"/>
      <c r="GZ500" s="14"/>
      <c r="HA500" s="16"/>
      <c r="HB500" s="14"/>
      <c r="HC500" s="12" t="s">
        <v>8589</v>
      </c>
      <c r="HD500" s="12" t="s">
        <v>320</v>
      </c>
      <c r="HE500" s="14">
        <v>390</v>
      </c>
      <c r="HF500" s="16">
        <v>1</v>
      </c>
      <c r="HG500" s="14"/>
      <c r="HH500" s="12" t="s">
        <v>319</v>
      </c>
      <c r="HI500" s="12"/>
      <c r="HJ500" s="12"/>
      <c r="HK500" s="12" t="s">
        <v>319</v>
      </c>
      <c r="HL500" s="12" t="s">
        <v>319</v>
      </c>
      <c r="HM500" s="12"/>
      <c r="HN500" s="12"/>
      <c r="HO500" s="12" t="s">
        <v>393</v>
      </c>
      <c r="HP500" s="12" t="s">
        <v>418</v>
      </c>
      <c r="HQ500" s="12"/>
      <c r="HR500" s="12"/>
      <c r="HS500" s="12"/>
      <c r="HT500" s="12"/>
      <c r="HU500" s="12"/>
      <c r="HV500" s="12"/>
      <c r="HW500" s="12"/>
      <c r="HX500" s="12"/>
      <c r="HY500" s="12"/>
      <c r="HZ500" s="12" t="s">
        <v>363</v>
      </c>
      <c r="IA500" s="12"/>
      <c r="IB500" s="12" t="s">
        <v>667</v>
      </c>
      <c r="IC500" s="12" t="s">
        <v>8590</v>
      </c>
      <c r="ID500" s="12" t="s">
        <v>334</v>
      </c>
      <c r="IE500" s="12" t="s">
        <v>335</v>
      </c>
      <c r="IF500" s="12" t="s">
        <v>320</v>
      </c>
      <c r="IG500" s="12" t="s">
        <v>320</v>
      </c>
      <c r="IH500" s="12" t="s">
        <v>320</v>
      </c>
      <c r="II500" s="12" t="s">
        <v>319</v>
      </c>
      <c r="IJ500" s="12" t="str">
        <f t="shared" si="302"/>
        <v>1. Neutral</v>
      </c>
      <c r="IK500" s="12">
        <f t="shared" si="303"/>
        <v>3</v>
      </c>
      <c r="IL500" s="12" t="s">
        <v>336</v>
      </c>
      <c r="IM500" s="12" t="s">
        <v>319</v>
      </c>
      <c r="IN500" s="12" t="s">
        <v>319</v>
      </c>
      <c r="IO500" s="12" t="s">
        <v>320</v>
      </c>
      <c r="IP500" s="12" t="s">
        <v>320</v>
      </c>
      <c r="IQ500" s="12" t="str">
        <f t="shared" si="304"/>
        <v>1. Tokenistic</v>
      </c>
      <c r="IR500" s="12">
        <f t="shared" si="305"/>
        <v>2</v>
      </c>
      <c r="IS500" s="12" t="s">
        <v>456</v>
      </c>
      <c r="IT500" s="12" t="s">
        <v>320</v>
      </c>
      <c r="IU500" s="12" t="s">
        <v>320</v>
      </c>
      <c r="IV500" s="12" t="s">
        <v>320</v>
      </c>
      <c r="IW500" s="11" t="str">
        <f t="shared" si="306"/>
        <v>0. Harmful</v>
      </c>
      <c r="IX500" s="12">
        <f t="shared" si="307"/>
        <v>3</v>
      </c>
      <c r="IY500" s="12" t="s">
        <v>338</v>
      </c>
      <c r="IZ500" s="12" t="s">
        <v>339</v>
      </c>
      <c r="JA500" s="12"/>
      <c r="JB500" s="12"/>
      <c r="JC500" s="12"/>
      <c r="JD500" s="12"/>
      <c r="JE500" s="12" t="s">
        <v>420</v>
      </c>
      <c r="JF500" s="12"/>
      <c r="JG500" s="12" t="s">
        <v>8591</v>
      </c>
      <c r="JH500" s="12" t="s">
        <v>8592</v>
      </c>
      <c r="JI500" s="12"/>
      <c r="JJ500" s="12"/>
      <c r="JK500" s="12"/>
      <c r="JL500" s="12"/>
      <c r="JM500" s="12"/>
      <c r="JN500" s="12"/>
      <c r="JO500" s="12"/>
      <c r="JP500" s="15">
        <f t="shared" si="308"/>
        <v>390</v>
      </c>
      <c r="JQ500" s="15">
        <f t="shared" si="309"/>
        <v>0</v>
      </c>
      <c r="JR500" s="279">
        <f t="shared" si="310"/>
        <v>0</v>
      </c>
      <c r="JS500" s="17">
        <f t="shared" si="311"/>
        <v>1</v>
      </c>
      <c r="JT500" s="18" t="str">
        <f t="shared" si="312"/>
        <v/>
      </c>
      <c r="JU500" s="280">
        <f t="shared" si="313"/>
        <v>390</v>
      </c>
      <c r="JV500" s="280">
        <f t="shared" si="314"/>
        <v>0</v>
      </c>
      <c r="JW500" s="319" t="str">
        <f t="shared" si="315"/>
        <v/>
      </c>
      <c r="JX500" s="15">
        <f t="shared" si="316"/>
        <v>0</v>
      </c>
      <c r="JY500" s="15">
        <f t="shared" si="317"/>
        <v>0</v>
      </c>
      <c r="JZ500" s="19" t="str">
        <f t="shared" si="318"/>
        <v/>
      </c>
      <c r="KA500" s="52" t="str">
        <f t="shared" si="319"/>
        <v/>
      </c>
      <c r="KB500" s="15">
        <f t="shared" si="320"/>
        <v>0</v>
      </c>
      <c r="KC500" s="15">
        <f t="shared" si="321"/>
        <v>0</v>
      </c>
      <c r="KD500" s="20" t="str">
        <f t="shared" si="322"/>
        <v/>
      </c>
      <c r="KE500" s="52" t="str">
        <f t="shared" si="323"/>
        <v/>
      </c>
      <c r="KF500" s="15">
        <f t="shared" si="324"/>
        <v>0</v>
      </c>
      <c r="KG500" s="15">
        <f t="shared" si="325"/>
        <v>0</v>
      </c>
      <c r="KH500" s="21" t="str">
        <f t="shared" si="326"/>
        <v/>
      </c>
      <c r="KI500" s="52" t="str">
        <f t="shared" si="327"/>
        <v/>
      </c>
      <c r="KJ500" s="15">
        <f t="shared" si="328"/>
        <v>0</v>
      </c>
      <c r="KK500" s="15">
        <f t="shared" si="329"/>
        <v>0</v>
      </c>
      <c r="KL500" s="19" t="str">
        <f t="shared" si="330"/>
        <v/>
      </c>
      <c r="KM500" s="52" t="str">
        <f t="shared" si="331"/>
        <v/>
      </c>
      <c r="KN500" s="22">
        <f t="shared" si="332"/>
        <v>0</v>
      </c>
      <c r="KO500" s="22">
        <f t="shared" si="333"/>
        <v>0</v>
      </c>
      <c r="KP500" s="19" t="str">
        <f t="shared" si="334"/>
        <v/>
      </c>
      <c r="KQ500" s="11" t="str">
        <f t="shared" si="335"/>
        <v>1. Neutral</v>
      </c>
      <c r="KR500" s="11" t="str">
        <f t="shared" si="336"/>
        <v>1. Tokenistic</v>
      </c>
      <c r="KS500" s="11" t="str">
        <f t="shared" si="337"/>
        <v>0. Harmful</v>
      </c>
      <c r="KT500" s="11" t="str">
        <f t="shared" si="338"/>
        <v>It did not develop any specific innovation</v>
      </c>
      <c r="KU500" s="11" t="str">
        <f t="shared" si="339"/>
        <v>Little or no advocacy</v>
      </c>
      <c r="KV500" s="11" t="str">
        <f t="shared" si="340"/>
        <v>It took tested solutions to scale on its own</v>
      </c>
      <c r="KW500" s="11" t="str">
        <f t="shared" si="341"/>
        <v>Myanmar - Personal Advancement and Career Enhancement project</v>
      </c>
      <c r="KX500" s="11" t="str">
        <f t="shared" si="342"/>
        <v>Personal Advancement and Career Enhancement project</v>
      </c>
      <c r="KY500" s="11" t="str">
        <f t="shared" si="343"/>
        <v>Myanmar</v>
      </c>
      <c r="KZ500" s="12">
        <v>500</v>
      </c>
    </row>
    <row r="501" spans="1:312" x14ac:dyDescent="0.3">
      <c r="A501" s="12" t="s">
        <v>8444</v>
      </c>
      <c r="B501" s="12" t="s">
        <v>306</v>
      </c>
      <c r="C501" s="12">
        <v>3160</v>
      </c>
      <c r="D501" s="12" t="s">
        <v>8593</v>
      </c>
      <c r="E501" s="277" t="str">
        <f t="shared" si="301"/>
        <v>Myanmar</v>
      </c>
      <c r="F501" s="12" t="s">
        <v>8594</v>
      </c>
      <c r="G501" s="12" t="s">
        <v>1738</v>
      </c>
      <c r="H501" s="12" t="s">
        <v>380</v>
      </c>
      <c r="I501" s="12" t="s">
        <v>517</v>
      </c>
      <c r="J501" s="281" t="s">
        <v>14621</v>
      </c>
      <c r="K501" s="12"/>
      <c r="L501" s="12"/>
      <c r="M501" s="12"/>
      <c r="N501" s="12"/>
      <c r="O501" s="12"/>
      <c r="P501" s="12"/>
      <c r="Q501" s="12"/>
      <c r="R501" s="12"/>
      <c r="S501" s="12"/>
      <c r="T501" s="12"/>
      <c r="U501" s="12"/>
      <c r="V501" s="12"/>
      <c r="W501" s="12"/>
      <c r="X501" s="12"/>
      <c r="Y501" s="12"/>
      <c r="Z501" s="12"/>
      <c r="AA501" s="12"/>
      <c r="AB501" s="12"/>
      <c r="AC501" s="12"/>
      <c r="AD501" s="12"/>
      <c r="BD501" s="13">
        <v>41091</v>
      </c>
      <c r="BE501" s="13">
        <v>42428</v>
      </c>
      <c r="BF501" s="13">
        <v>44012</v>
      </c>
      <c r="BG501" s="12" t="s">
        <v>749</v>
      </c>
      <c r="BH501" s="14">
        <v>6810337</v>
      </c>
      <c r="BI501" s="12" t="s">
        <v>8480</v>
      </c>
      <c r="BJ501" s="12" t="s">
        <v>8481</v>
      </c>
      <c r="BK501" s="12" t="s">
        <v>8482</v>
      </c>
      <c r="BL501" s="12" t="s">
        <v>8595</v>
      </c>
      <c r="BM501" s="12" t="s">
        <v>8596</v>
      </c>
      <c r="BN501" s="12" t="s">
        <v>8597</v>
      </c>
      <c r="BO501" s="12" t="s">
        <v>319</v>
      </c>
      <c r="BP501" s="12" t="s">
        <v>320</v>
      </c>
      <c r="BQ501" s="12" t="s">
        <v>319</v>
      </c>
      <c r="BR501" s="12" t="s">
        <v>8598</v>
      </c>
      <c r="BS501" s="12" t="s">
        <v>357</v>
      </c>
      <c r="BT501" s="12" t="s">
        <v>8487</v>
      </c>
      <c r="BU501" s="12" t="s">
        <v>8599</v>
      </c>
      <c r="BV501" s="14">
        <v>34089.599999999999</v>
      </c>
      <c r="BW501" s="14">
        <v>22726.400000000001</v>
      </c>
      <c r="BX501" s="14">
        <v>56816</v>
      </c>
      <c r="BY501" s="14">
        <v>238627.20000000001</v>
      </c>
      <c r="BZ501" s="14">
        <v>159084.79999999999</v>
      </c>
      <c r="CA501" s="14">
        <v>397712</v>
      </c>
      <c r="CB501" s="12" t="s">
        <v>8600</v>
      </c>
      <c r="CD501" s="14">
        <v>0</v>
      </c>
      <c r="CE501" s="14">
        <v>0</v>
      </c>
      <c r="CF501" s="14">
        <v>0</v>
      </c>
      <c r="CG501" s="14">
        <v>0</v>
      </c>
      <c r="CH501" s="14">
        <v>0</v>
      </c>
      <c r="CI501" s="14">
        <v>0</v>
      </c>
      <c r="CJ501" s="11" t="s">
        <v>319</v>
      </c>
      <c r="CK501" s="14"/>
      <c r="CL501" s="16"/>
      <c r="CM501" s="14"/>
      <c r="CN501" s="12" t="s">
        <v>319</v>
      </c>
      <c r="CO501" s="14"/>
      <c r="CP501" s="42"/>
      <c r="CQ501" s="14"/>
      <c r="CR501" s="12" t="s">
        <v>319</v>
      </c>
      <c r="CS501" s="14"/>
      <c r="CT501" s="16"/>
      <c r="CU501" s="14"/>
      <c r="CV501" s="12" t="s">
        <v>319</v>
      </c>
      <c r="CW501" s="14"/>
      <c r="CX501" s="16"/>
      <c r="CY501" s="14"/>
      <c r="CZ501" s="12" t="s">
        <v>319</v>
      </c>
      <c r="DA501" s="14"/>
      <c r="DB501" s="16"/>
      <c r="DC501" s="14"/>
      <c r="DD501" s="12" t="s">
        <v>319</v>
      </c>
      <c r="DE501" s="14"/>
      <c r="DF501" s="16"/>
      <c r="DG501" s="14"/>
      <c r="DH501" s="12" t="s">
        <v>319</v>
      </c>
      <c r="DI501" s="14"/>
      <c r="DJ501" s="16"/>
      <c r="DK501" s="14"/>
      <c r="DL501" s="12" t="s">
        <v>319</v>
      </c>
      <c r="DM501" s="14"/>
      <c r="DN501" s="16"/>
      <c r="DO501" s="14"/>
      <c r="DP501" s="12" t="s">
        <v>319</v>
      </c>
      <c r="DQ501" s="14"/>
      <c r="DR501" s="16"/>
      <c r="DS501" s="14"/>
      <c r="DT501" s="12" t="s">
        <v>319</v>
      </c>
      <c r="DU501" s="14"/>
      <c r="DV501" s="16"/>
      <c r="DW501" s="14"/>
      <c r="DX501" s="12" t="s">
        <v>319</v>
      </c>
      <c r="DY501" s="14"/>
      <c r="DZ501" s="16"/>
      <c r="EA501" s="14"/>
      <c r="EB501" s="12" t="s">
        <v>319</v>
      </c>
      <c r="EC501" s="14"/>
      <c r="ED501" s="16"/>
      <c r="EE501" s="14"/>
      <c r="EF501" s="12"/>
      <c r="EG501" s="12" t="s">
        <v>319</v>
      </c>
      <c r="EH501" s="14"/>
      <c r="EI501" s="16"/>
      <c r="EJ501" s="14"/>
      <c r="EK501" s="14">
        <v>4082</v>
      </c>
      <c r="EL501" s="14">
        <v>4794</v>
      </c>
      <c r="EM501" s="14">
        <v>8876</v>
      </c>
      <c r="EN501" s="14">
        <v>10446</v>
      </c>
      <c r="EO501" s="14">
        <v>12268</v>
      </c>
      <c r="EP501" s="14">
        <v>22714</v>
      </c>
      <c r="EQ501" s="12" t="s">
        <v>320</v>
      </c>
      <c r="ER501" s="14">
        <v>271</v>
      </c>
      <c r="ES501" s="16">
        <v>0.04</v>
      </c>
      <c r="ET501" s="14">
        <v>945</v>
      </c>
      <c r="EU501" s="11" t="s">
        <v>319</v>
      </c>
      <c r="EV501" s="14"/>
      <c r="EW501" s="16"/>
      <c r="EX501" s="14"/>
      <c r="EY501" s="12" t="s">
        <v>319</v>
      </c>
      <c r="EZ501" s="14"/>
      <c r="FA501" s="16"/>
      <c r="FB501" s="14"/>
      <c r="FC501" s="12" t="s">
        <v>319</v>
      </c>
      <c r="FD501" s="14"/>
      <c r="FE501" s="16"/>
      <c r="FF501" s="14"/>
      <c r="FG501" s="12" t="s">
        <v>320</v>
      </c>
      <c r="FH501" s="14">
        <v>155</v>
      </c>
      <c r="FI501" s="16">
        <v>0.63</v>
      </c>
      <c r="FJ501" s="14">
        <v>542</v>
      </c>
      <c r="FK501" s="12" t="s">
        <v>319</v>
      </c>
      <c r="FL501" s="14"/>
      <c r="FM501" s="16"/>
      <c r="FN501" s="14"/>
      <c r="FO501" s="12" t="s">
        <v>320</v>
      </c>
      <c r="FP501" s="14">
        <v>1572</v>
      </c>
      <c r="FQ501" s="16">
        <v>0.36666666666666597</v>
      </c>
      <c r="FR501" s="14">
        <v>5502</v>
      </c>
      <c r="FS501" s="12" t="s">
        <v>319</v>
      </c>
      <c r="FT501" s="14">
        <v>0</v>
      </c>
      <c r="FU501" s="16">
        <v>0</v>
      </c>
      <c r="FV501" s="14">
        <v>0</v>
      </c>
      <c r="FW501" s="12" t="s">
        <v>319</v>
      </c>
      <c r="FX501" s="14"/>
      <c r="FY501" s="16"/>
      <c r="FZ501" s="14"/>
      <c r="GA501" s="12" t="s">
        <v>320</v>
      </c>
      <c r="GB501" s="14">
        <v>0</v>
      </c>
      <c r="GC501" s="16">
        <v>0</v>
      </c>
      <c r="GD501" s="14">
        <v>0</v>
      </c>
      <c r="GE501" s="12" t="s">
        <v>320</v>
      </c>
      <c r="GF501" s="14">
        <v>4744</v>
      </c>
      <c r="GG501" s="16">
        <v>0.49</v>
      </c>
      <c r="GH501" s="14">
        <v>8256</v>
      </c>
      <c r="GI501" s="12" t="s">
        <v>319</v>
      </c>
      <c r="GJ501" s="14"/>
      <c r="GK501" s="16"/>
      <c r="GL501" s="14"/>
      <c r="GM501" s="12" t="s">
        <v>319</v>
      </c>
      <c r="GN501" s="14"/>
      <c r="GO501" s="16"/>
      <c r="GP501" s="14"/>
      <c r="GQ501" s="12" t="s">
        <v>319</v>
      </c>
      <c r="GR501" s="14"/>
      <c r="GS501" s="16"/>
      <c r="GT501" s="14"/>
      <c r="GU501" s="12" t="s">
        <v>320</v>
      </c>
      <c r="GV501" s="14">
        <v>1146</v>
      </c>
      <c r="GW501" s="16">
        <v>0.43</v>
      </c>
      <c r="GX501" s="14">
        <v>4011</v>
      </c>
      <c r="GY501" s="11" t="s">
        <v>320</v>
      </c>
      <c r="GZ501" s="14">
        <v>988</v>
      </c>
      <c r="HA501" s="16">
        <v>0.8</v>
      </c>
      <c r="HB501" s="14">
        <v>3458</v>
      </c>
      <c r="HC501" s="12"/>
      <c r="HD501" s="12" t="s">
        <v>319</v>
      </c>
      <c r="HE501" s="14"/>
      <c r="HF501" s="16"/>
      <c r="HG501" s="14"/>
      <c r="HH501" s="12" t="s">
        <v>319</v>
      </c>
      <c r="HI501" s="12"/>
      <c r="HJ501" s="12"/>
      <c r="HK501" s="12" t="s">
        <v>319</v>
      </c>
      <c r="HL501" s="12" t="s">
        <v>320</v>
      </c>
      <c r="HM501" s="12" t="s">
        <v>361</v>
      </c>
      <c r="HN501" s="12">
        <v>2017</v>
      </c>
      <c r="HO501" s="12" t="s">
        <v>8601</v>
      </c>
      <c r="HP501" s="12" t="s">
        <v>418</v>
      </c>
      <c r="HQ501" s="12" t="s">
        <v>319</v>
      </c>
      <c r="HR501" s="12" t="s">
        <v>319</v>
      </c>
      <c r="HS501" s="12" t="s">
        <v>320</v>
      </c>
      <c r="HT501" s="12" t="s">
        <v>319</v>
      </c>
      <c r="HU501" s="12" t="s">
        <v>319</v>
      </c>
      <c r="HV501" s="12" t="s">
        <v>319</v>
      </c>
      <c r="HW501" s="12" t="s">
        <v>319</v>
      </c>
      <c r="HX501" s="12" t="s">
        <v>319</v>
      </c>
      <c r="HY501" s="12"/>
      <c r="HZ501" s="12" t="s">
        <v>363</v>
      </c>
      <c r="IA501" s="12"/>
      <c r="IB501" s="12" t="s">
        <v>333</v>
      </c>
      <c r="IC501" s="12"/>
      <c r="ID501" s="12" t="s">
        <v>364</v>
      </c>
      <c r="IE501" s="12" t="s">
        <v>335</v>
      </c>
      <c r="IF501" s="12" t="s">
        <v>320</v>
      </c>
      <c r="IG501" s="12" t="s">
        <v>320</v>
      </c>
      <c r="IH501" s="12" t="s">
        <v>320</v>
      </c>
      <c r="II501" s="12" t="s">
        <v>319</v>
      </c>
      <c r="IJ501" s="12" t="str">
        <f t="shared" si="302"/>
        <v>1. Neutral</v>
      </c>
      <c r="IK501" s="12">
        <f t="shared" si="303"/>
        <v>3</v>
      </c>
      <c r="IL501" s="12" t="s">
        <v>336</v>
      </c>
      <c r="IM501" s="12" t="s">
        <v>320</v>
      </c>
      <c r="IN501" s="12" t="s">
        <v>320</v>
      </c>
      <c r="IO501" s="12" t="s">
        <v>320</v>
      </c>
      <c r="IP501" s="12" t="s">
        <v>319</v>
      </c>
      <c r="IQ501" s="12" t="str">
        <f t="shared" si="304"/>
        <v>2. Accommodating</v>
      </c>
      <c r="IR501" s="12">
        <f t="shared" si="305"/>
        <v>3</v>
      </c>
      <c r="IS501" s="12" t="s">
        <v>622</v>
      </c>
      <c r="IT501" s="12" t="s">
        <v>319</v>
      </c>
      <c r="IU501" s="12" t="s">
        <v>320</v>
      </c>
      <c r="IV501" s="12" t="s">
        <v>320</v>
      </c>
      <c r="IW501" s="11" t="str">
        <f t="shared" si="306"/>
        <v>3. Responsive</v>
      </c>
      <c r="IX501" s="12">
        <f t="shared" si="307"/>
        <v>2</v>
      </c>
      <c r="IY501" s="12" t="s">
        <v>419</v>
      </c>
      <c r="IZ501" s="12" t="s">
        <v>432</v>
      </c>
      <c r="JA501" s="12">
        <v>2</v>
      </c>
      <c r="JB501" s="12" t="s">
        <v>831</v>
      </c>
      <c r="JC501" s="12" t="s">
        <v>831</v>
      </c>
      <c r="JD501" s="12"/>
      <c r="JE501" s="12" t="s">
        <v>340</v>
      </c>
      <c r="JF501" s="12" t="s">
        <v>8602</v>
      </c>
      <c r="JG501" s="12" t="s">
        <v>8603</v>
      </c>
      <c r="JH501" s="12" t="s">
        <v>8604</v>
      </c>
      <c r="JI501" s="12" t="s">
        <v>8605</v>
      </c>
      <c r="JJ501" s="12" t="s">
        <v>8606</v>
      </c>
      <c r="JK501" s="12" t="s">
        <v>8607</v>
      </c>
      <c r="JL501" s="12" t="s">
        <v>8608</v>
      </c>
      <c r="JM501" s="12"/>
      <c r="JN501" s="12"/>
      <c r="JO501" s="12" t="s">
        <v>8609</v>
      </c>
      <c r="JP501" s="15">
        <f t="shared" si="308"/>
        <v>8876</v>
      </c>
      <c r="JQ501" s="15">
        <f t="shared" si="309"/>
        <v>22714</v>
      </c>
      <c r="JR501" s="279">
        <f t="shared" si="310"/>
        <v>2.5590356016223526</v>
      </c>
      <c r="JS501" s="17">
        <f t="shared" si="311"/>
        <v>0.45989184317260029</v>
      </c>
      <c r="JT501" s="18">
        <f t="shared" si="312"/>
        <v>0.45989257726512284</v>
      </c>
      <c r="JU501" s="280">
        <f t="shared" si="313"/>
        <v>4082</v>
      </c>
      <c r="JV501" s="280">
        <f t="shared" si="314"/>
        <v>10446</v>
      </c>
      <c r="JW501" s="319" t="str">
        <f t="shared" si="315"/>
        <v/>
      </c>
      <c r="JX501" s="15">
        <f t="shared" si="316"/>
        <v>0</v>
      </c>
      <c r="JY501" s="15">
        <f t="shared" si="317"/>
        <v>0</v>
      </c>
      <c r="JZ501" s="19" t="str">
        <f t="shared" si="318"/>
        <v/>
      </c>
      <c r="KA501" s="52">
        <f t="shared" si="319"/>
        <v>1</v>
      </c>
      <c r="KB501" s="15">
        <f t="shared" si="320"/>
        <v>1572</v>
      </c>
      <c r="KC501" s="15">
        <f t="shared" si="321"/>
        <v>5502</v>
      </c>
      <c r="KD501" s="20">
        <f t="shared" si="322"/>
        <v>3.5</v>
      </c>
      <c r="KE501" s="52" t="str">
        <f t="shared" si="323"/>
        <v/>
      </c>
      <c r="KF501" s="15">
        <f t="shared" si="324"/>
        <v>0</v>
      </c>
      <c r="KG501" s="15">
        <f t="shared" si="325"/>
        <v>0</v>
      </c>
      <c r="KH501" s="21" t="str">
        <f t="shared" si="326"/>
        <v/>
      </c>
      <c r="KI501" s="52" t="str">
        <f t="shared" si="327"/>
        <v/>
      </c>
      <c r="KJ501" s="15">
        <f t="shared" si="328"/>
        <v>0</v>
      </c>
      <c r="KK501" s="15">
        <f t="shared" si="329"/>
        <v>0</v>
      </c>
      <c r="KL501" s="19" t="str">
        <f t="shared" si="330"/>
        <v/>
      </c>
      <c r="KM501" s="52">
        <f t="shared" si="331"/>
        <v>1</v>
      </c>
      <c r="KN501" s="22">
        <f t="shared" si="332"/>
        <v>988</v>
      </c>
      <c r="KO501" s="22">
        <f t="shared" si="333"/>
        <v>3458</v>
      </c>
      <c r="KP501" s="19">
        <f t="shared" si="334"/>
        <v>3.5</v>
      </c>
      <c r="KQ501" s="11" t="str">
        <f t="shared" si="335"/>
        <v>1. Neutral</v>
      </c>
      <c r="KR501" s="11" t="str">
        <f t="shared" si="336"/>
        <v>2. Accommodating</v>
      </c>
      <c r="KS501" s="11" t="str">
        <f t="shared" si="337"/>
        <v>3. Responsive</v>
      </c>
      <c r="KT501" s="11" t="str">
        <f t="shared" si="338"/>
        <v>It did not develop any specific innovation</v>
      </c>
      <c r="KU501" s="11" t="str">
        <f t="shared" si="339"/>
        <v>Little or no advocacy</v>
      </c>
      <c r="KV501" s="11" t="str">
        <f t="shared" si="340"/>
        <v>It did not take tested solutions to scale</v>
      </c>
      <c r="KW501" s="11" t="str">
        <f t="shared" si="341"/>
        <v>Myanmar - Poverty and Hunger Alleviation through Support, Empowerment and Increased Networking (Phase In)</v>
      </c>
      <c r="KX501" s="11" t="str">
        <f t="shared" si="342"/>
        <v>Poverty and Hunger Alleviation through Support, Empowerment and Increased Networking (Phase In)</v>
      </c>
      <c r="KY501" s="11" t="str">
        <f t="shared" si="343"/>
        <v>Myanmar</v>
      </c>
      <c r="KZ501" s="12">
        <v>501</v>
      </c>
    </row>
    <row r="502" spans="1:312" x14ac:dyDescent="0.3">
      <c r="A502" s="12" t="s">
        <v>8444</v>
      </c>
      <c r="B502" s="12" t="s">
        <v>306</v>
      </c>
      <c r="C502" s="12">
        <v>3162</v>
      </c>
      <c r="D502" s="12" t="s">
        <v>8610</v>
      </c>
      <c r="E502" s="277" t="str">
        <f t="shared" si="301"/>
        <v>Myanmar</v>
      </c>
      <c r="F502" s="12" t="s">
        <v>8611</v>
      </c>
      <c r="G502" s="12" t="s">
        <v>467</v>
      </c>
      <c r="H502" s="12" t="s">
        <v>310</v>
      </c>
      <c r="I502" s="12" t="s">
        <v>468</v>
      </c>
      <c r="J502" s="281" t="s">
        <v>9212</v>
      </c>
      <c r="K502" s="12"/>
      <c r="L502" s="12"/>
      <c r="M502" s="12"/>
      <c r="N502" s="12"/>
      <c r="O502" s="12"/>
      <c r="P502" s="12"/>
      <c r="Q502" s="12"/>
      <c r="R502" s="12"/>
      <c r="S502" s="12"/>
      <c r="T502" s="12"/>
      <c r="U502" s="12"/>
      <c r="V502" s="12"/>
      <c r="W502" s="12"/>
      <c r="X502" s="12"/>
      <c r="Y502" s="12"/>
      <c r="Z502" s="12"/>
      <c r="AA502" s="12"/>
      <c r="AB502" s="12"/>
      <c r="AC502" s="12"/>
      <c r="AD502" s="12"/>
      <c r="BD502" s="13">
        <v>42430</v>
      </c>
      <c r="BE502" s="13">
        <v>43890</v>
      </c>
      <c r="BF502" s="12"/>
      <c r="BG502" s="12" t="s">
        <v>609</v>
      </c>
      <c r="BH502" s="14">
        <v>2365000</v>
      </c>
      <c r="BI502" s="12" t="s">
        <v>8463</v>
      </c>
      <c r="BJ502" s="12" t="s">
        <v>1602</v>
      </c>
      <c r="BK502" s="12" t="s">
        <v>8464</v>
      </c>
      <c r="BL502" s="12" t="s">
        <v>8543</v>
      </c>
      <c r="BM502" s="12" t="s">
        <v>444</v>
      </c>
      <c r="BN502" s="12" t="s">
        <v>8544</v>
      </c>
      <c r="BO502" s="12" t="s">
        <v>319</v>
      </c>
      <c r="BP502" s="12" t="s">
        <v>320</v>
      </c>
      <c r="BQ502" s="12" t="s">
        <v>319</v>
      </c>
      <c r="BR502" s="12" t="s">
        <v>8612</v>
      </c>
      <c r="BS502" s="12" t="s">
        <v>322</v>
      </c>
      <c r="BT502" s="12" t="s">
        <v>8613</v>
      </c>
      <c r="BU502" s="12" t="s">
        <v>8614</v>
      </c>
      <c r="BV502" s="14">
        <v>4240</v>
      </c>
      <c r="BW502" s="14">
        <v>240</v>
      </c>
      <c r="BX502" s="14">
        <v>4480</v>
      </c>
      <c r="BY502" s="14">
        <v>14416</v>
      </c>
      <c r="BZ502" s="14"/>
      <c r="CA502" s="14">
        <v>14416</v>
      </c>
      <c r="CB502" s="12" t="s">
        <v>8615</v>
      </c>
      <c r="CD502" s="14"/>
      <c r="CE502" s="14"/>
      <c r="CF502" s="14"/>
      <c r="CG502" s="14"/>
      <c r="CH502" s="14"/>
      <c r="CI502" s="14"/>
      <c r="CJ502" s="12"/>
      <c r="CK502" s="14"/>
      <c r="CL502" s="16"/>
      <c r="CM502" s="14"/>
      <c r="CN502" s="12"/>
      <c r="CO502" s="14"/>
      <c r="CP502" s="16"/>
      <c r="CQ502" s="14"/>
      <c r="CR502" s="12"/>
      <c r="CS502" s="14"/>
      <c r="CT502" s="16"/>
      <c r="CU502" s="14"/>
      <c r="CV502" s="12"/>
      <c r="CW502" s="14"/>
      <c r="CX502" s="16"/>
      <c r="CY502" s="14"/>
      <c r="CZ502" s="12"/>
      <c r="DA502" s="14"/>
      <c r="DB502" s="16"/>
      <c r="DC502" s="14"/>
      <c r="DD502" s="12"/>
      <c r="DE502" s="14"/>
      <c r="DF502" s="16"/>
      <c r="DG502" s="14"/>
      <c r="DH502" s="12"/>
      <c r="DI502" s="14"/>
      <c r="DJ502" s="16"/>
      <c r="DK502" s="14"/>
      <c r="DL502" s="12"/>
      <c r="DM502" s="14"/>
      <c r="DN502" s="16"/>
      <c r="DO502" s="14"/>
      <c r="DP502" s="12"/>
      <c r="DQ502" s="14"/>
      <c r="DR502" s="16"/>
      <c r="DS502" s="14"/>
      <c r="DT502" s="12"/>
      <c r="DU502" s="14"/>
      <c r="DV502" s="16"/>
      <c r="DW502" s="14"/>
      <c r="DX502" s="12"/>
      <c r="DY502" s="14"/>
      <c r="DZ502" s="16"/>
      <c r="EA502" s="14"/>
      <c r="EB502" s="12"/>
      <c r="EC502" s="14"/>
      <c r="ED502" s="16"/>
      <c r="EE502" s="14"/>
      <c r="EF502" s="12"/>
      <c r="EG502" s="12"/>
      <c r="EH502" s="14"/>
      <c r="EI502" s="16"/>
      <c r="EJ502" s="14"/>
      <c r="EK502" s="14">
        <v>3120</v>
      </c>
      <c r="EL502" s="14"/>
      <c r="EM502" s="14">
        <v>3120</v>
      </c>
      <c r="EN502" s="14">
        <v>10608</v>
      </c>
      <c r="EO502" s="14"/>
      <c r="EP502" s="14">
        <v>10608</v>
      </c>
      <c r="EQ502" s="12"/>
      <c r="ER502" s="14"/>
      <c r="ES502" s="16"/>
      <c r="ET502" s="14"/>
      <c r="EU502" s="12"/>
      <c r="EV502" s="14"/>
      <c r="EW502" s="16"/>
      <c r="EX502" s="14"/>
      <c r="EY502" s="12"/>
      <c r="EZ502" s="14"/>
      <c r="FA502" s="16"/>
      <c r="FB502" s="14"/>
      <c r="FC502" s="12"/>
      <c r="FD502" s="14"/>
      <c r="FE502" s="16"/>
      <c r="FF502" s="14"/>
      <c r="FG502" s="12"/>
      <c r="FH502" s="14"/>
      <c r="FI502" s="16"/>
      <c r="FJ502" s="14"/>
      <c r="FK502" s="12"/>
      <c r="FL502" s="14"/>
      <c r="FM502" s="16"/>
      <c r="FN502" s="14"/>
      <c r="FO502" s="12"/>
      <c r="FP502" s="14"/>
      <c r="FQ502" s="16"/>
      <c r="FR502" s="14"/>
      <c r="FS502" s="12" t="s">
        <v>320</v>
      </c>
      <c r="FT502" s="14">
        <v>5084</v>
      </c>
      <c r="FU502" s="16">
        <v>1</v>
      </c>
      <c r="FV502" s="14">
        <v>20336</v>
      </c>
      <c r="FW502" s="12"/>
      <c r="FX502" s="14"/>
      <c r="FY502" s="16"/>
      <c r="FZ502" s="14"/>
      <c r="GA502" s="12"/>
      <c r="GB502" s="14"/>
      <c r="GC502" s="16"/>
      <c r="GD502" s="14"/>
      <c r="GE502" s="12"/>
      <c r="GF502" s="14"/>
      <c r="GG502" s="16"/>
      <c r="GH502" s="14"/>
      <c r="GI502" s="12"/>
      <c r="GJ502" s="14"/>
      <c r="GK502" s="16"/>
      <c r="GL502" s="14"/>
      <c r="GM502" s="12"/>
      <c r="GN502" s="14"/>
      <c r="GO502" s="16"/>
      <c r="GP502" s="14"/>
      <c r="GQ502" s="12" t="s">
        <v>320</v>
      </c>
      <c r="GR502" s="14">
        <v>654</v>
      </c>
      <c r="GS502" s="16">
        <v>1</v>
      </c>
      <c r="GT502" s="14"/>
      <c r="GU502" s="12"/>
      <c r="GV502" s="14"/>
      <c r="GW502" s="16"/>
      <c r="GX502" s="14"/>
      <c r="GY502" s="11" t="s">
        <v>320</v>
      </c>
      <c r="GZ502" s="14">
        <v>38</v>
      </c>
      <c r="HA502" s="16">
        <v>1</v>
      </c>
      <c r="HB502" s="14"/>
      <c r="HC502" s="12"/>
      <c r="HD502" s="12"/>
      <c r="HE502" s="14"/>
      <c r="HF502" s="16"/>
      <c r="HG502" s="14"/>
      <c r="HH502" s="12" t="s">
        <v>319</v>
      </c>
      <c r="HI502" s="12"/>
      <c r="HJ502" s="12"/>
      <c r="HK502" s="12"/>
      <c r="HL502" s="12" t="s">
        <v>320</v>
      </c>
      <c r="HM502" s="12" t="s">
        <v>544</v>
      </c>
      <c r="HN502" s="12">
        <v>2018</v>
      </c>
      <c r="HO502" s="12" t="s">
        <v>393</v>
      </c>
      <c r="HP502" s="12" t="s">
        <v>453</v>
      </c>
      <c r="HQ502" s="12"/>
      <c r="HR502" s="12" t="s">
        <v>320</v>
      </c>
      <c r="HS502" s="12"/>
      <c r="HT502" s="12"/>
      <c r="HU502" s="12"/>
      <c r="HV502" s="12"/>
      <c r="HW502" s="12"/>
      <c r="HX502" s="12"/>
      <c r="HY502" s="12"/>
      <c r="HZ502" s="12" t="s">
        <v>363</v>
      </c>
      <c r="IA502" s="12"/>
      <c r="IB502" s="12" t="s">
        <v>396</v>
      </c>
      <c r="IC502" s="12" t="s">
        <v>8616</v>
      </c>
      <c r="ID502" s="12" t="s">
        <v>334</v>
      </c>
      <c r="IE502" s="12" t="s">
        <v>478</v>
      </c>
      <c r="IF502" s="12" t="s">
        <v>320</v>
      </c>
      <c r="IG502" s="12" t="s">
        <v>320</v>
      </c>
      <c r="IH502" s="12" t="s">
        <v>319</v>
      </c>
      <c r="II502" s="12" t="s">
        <v>319</v>
      </c>
      <c r="IJ502" s="12" t="str">
        <f t="shared" si="302"/>
        <v>3. Responsive</v>
      </c>
      <c r="IK502" s="12">
        <f t="shared" si="303"/>
        <v>2</v>
      </c>
      <c r="IL502" s="12" t="s">
        <v>336</v>
      </c>
      <c r="IM502" s="12" t="s">
        <v>319</v>
      </c>
      <c r="IN502" s="12" t="s">
        <v>320</v>
      </c>
      <c r="IO502" s="12" t="s">
        <v>320</v>
      </c>
      <c r="IP502" s="12" t="s">
        <v>319</v>
      </c>
      <c r="IQ502" s="12" t="str">
        <f t="shared" si="304"/>
        <v>1. Tokenistic</v>
      </c>
      <c r="IR502" s="12">
        <f t="shared" si="305"/>
        <v>2</v>
      </c>
      <c r="IS502" s="12" t="s">
        <v>456</v>
      </c>
      <c r="IT502" s="12" t="s">
        <v>320</v>
      </c>
      <c r="IU502" s="12" t="s">
        <v>320</v>
      </c>
      <c r="IV502" s="12" t="s">
        <v>320</v>
      </c>
      <c r="IW502" s="11" t="str">
        <f t="shared" si="306"/>
        <v>0. Harmful</v>
      </c>
      <c r="IX502" s="12">
        <f t="shared" si="307"/>
        <v>3</v>
      </c>
      <c r="IY502" s="12" t="s">
        <v>338</v>
      </c>
      <c r="IZ502" s="12" t="s">
        <v>527</v>
      </c>
      <c r="JA502" s="12">
        <v>2</v>
      </c>
      <c r="JB502" s="12" t="s">
        <v>651</v>
      </c>
      <c r="JC502" s="12"/>
      <c r="JD502" s="12"/>
      <c r="JE502" s="12" t="s">
        <v>340</v>
      </c>
      <c r="JF502" s="12" t="s">
        <v>8617</v>
      </c>
      <c r="JG502" s="12"/>
      <c r="JH502" s="12" t="s">
        <v>8618</v>
      </c>
      <c r="JI502" s="12"/>
      <c r="JJ502" s="12"/>
      <c r="JK502" s="12" t="s">
        <v>8619</v>
      </c>
      <c r="JL502" s="12"/>
      <c r="JM502" s="12"/>
      <c r="JN502" s="12"/>
      <c r="JO502" s="12"/>
      <c r="JP502" s="15">
        <f t="shared" si="308"/>
        <v>3120</v>
      </c>
      <c r="JQ502" s="15">
        <f t="shared" si="309"/>
        <v>10608</v>
      </c>
      <c r="JR502" s="279">
        <f t="shared" si="310"/>
        <v>3.4</v>
      </c>
      <c r="JS502" s="17">
        <f t="shared" si="311"/>
        <v>1</v>
      </c>
      <c r="JT502" s="18">
        <f t="shared" si="312"/>
        <v>1</v>
      </c>
      <c r="JU502" s="280">
        <f t="shared" si="313"/>
        <v>3120</v>
      </c>
      <c r="JV502" s="280">
        <f t="shared" si="314"/>
        <v>10608</v>
      </c>
      <c r="JW502" s="319" t="str">
        <f t="shared" si="315"/>
        <v/>
      </c>
      <c r="JX502" s="15">
        <f t="shared" si="316"/>
        <v>0</v>
      </c>
      <c r="JY502" s="15">
        <f t="shared" si="317"/>
        <v>0</v>
      </c>
      <c r="JZ502" s="19" t="str">
        <f t="shared" si="318"/>
        <v/>
      </c>
      <c r="KA502" s="52" t="str">
        <f t="shared" si="319"/>
        <v/>
      </c>
      <c r="KB502" s="15">
        <f t="shared" si="320"/>
        <v>0</v>
      </c>
      <c r="KC502" s="15">
        <f t="shared" si="321"/>
        <v>0</v>
      </c>
      <c r="KD502" s="20" t="str">
        <f t="shared" si="322"/>
        <v/>
      </c>
      <c r="KE502" s="52">
        <f t="shared" si="323"/>
        <v>1</v>
      </c>
      <c r="KF502" s="15">
        <f t="shared" si="324"/>
        <v>654</v>
      </c>
      <c r="KG502" s="15">
        <f t="shared" si="325"/>
        <v>0</v>
      </c>
      <c r="KH502" s="21">
        <f t="shared" si="326"/>
        <v>0</v>
      </c>
      <c r="KI502" s="52">
        <f t="shared" si="327"/>
        <v>1</v>
      </c>
      <c r="KJ502" s="15">
        <f t="shared" si="328"/>
        <v>5084</v>
      </c>
      <c r="KK502" s="15">
        <f t="shared" si="329"/>
        <v>20336</v>
      </c>
      <c r="KL502" s="19">
        <f t="shared" si="330"/>
        <v>4</v>
      </c>
      <c r="KM502" s="52">
        <f t="shared" si="331"/>
        <v>1</v>
      </c>
      <c r="KN502" s="22">
        <f t="shared" si="332"/>
        <v>38</v>
      </c>
      <c r="KO502" s="22">
        <f t="shared" si="333"/>
        <v>0</v>
      </c>
      <c r="KP502" s="19">
        <f t="shared" si="334"/>
        <v>0</v>
      </c>
      <c r="KQ502" s="11" t="str">
        <f t="shared" si="335"/>
        <v>3. Responsive</v>
      </c>
      <c r="KR502" s="11" t="str">
        <f t="shared" si="336"/>
        <v>1. Tokenistic</v>
      </c>
      <c r="KS502" s="11" t="str">
        <f t="shared" si="337"/>
        <v>0. Harmful</v>
      </c>
      <c r="KT502" s="11" t="str">
        <f t="shared" si="338"/>
        <v>It did not develop any specific innovation</v>
      </c>
      <c r="KU502" s="11" t="str">
        <f t="shared" si="339"/>
        <v>Intensive advocacy</v>
      </c>
      <c r="KV502" s="11" t="str">
        <f t="shared" si="340"/>
        <v>It linked and worked with strategic alliances and partners to take tested and effective solutions to scale</v>
      </c>
      <c r="KW502" s="11" t="str">
        <f t="shared" si="341"/>
        <v>Myanmar - Royal Flower</v>
      </c>
      <c r="KX502" s="11" t="str">
        <f t="shared" si="342"/>
        <v>Royal Flower</v>
      </c>
      <c r="KY502" s="11" t="str">
        <f t="shared" si="343"/>
        <v>Myanmar</v>
      </c>
      <c r="KZ502" s="12">
        <v>502</v>
      </c>
    </row>
    <row r="503" spans="1:312" x14ac:dyDescent="0.3">
      <c r="A503" s="12" t="s">
        <v>8444</v>
      </c>
      <c r="B503" s="12" t="s">
        <v>306</v>
      </c>
      <c r="C503" s="12">
        <v>3166</v>
      </c>
      <c r="D503" s="12" t="s">
        <v>8620</v>
      </c>
      <c r="E503" s="277" t="str">
        <f t="shared" si="301"/>
        <v>Myanmar</v>
      </c>
      <c r="F503" s="12" t="s">
        <v>8567</v>
      </c>
      <c r="G503" s="12" t="s">
        <v>467</v>
      </c>
      <c r="H503" s="12" t="s">
        <v>489</v>
      </c>
      <c r="I503" s="12" t="s">
        <v>468</v>
      </c>
      <c r="J503" s="281" t="s">
        <v>9212</v>
      </c>
      <c r="K503" s="12"/>
      <c r="L503" s="12"/>
      <c r="M503" s="12"/>
      <c r="N503" s="12"/>
      <c r="O503" s="12"/>
      <c r="P503" s="12"/>
      <c r="Q503" s="12"/>
      <c r="R503" s="12"/>
      <c r="S503" s="12"/>
      <c r="T503" s="12"/>
      <c r="U503" s="12"/>
      <c r="V503" s="12"/>
      <c r="W503" s="12"/>
      <c r="X503" s="12"/>
      <c r="Y503" s="12"/>
      <c r="Z503" s="12"/>
      <c r="AA503" s="12"/>
      <c r="AB503" s="12"/>
      <c r="AC503" s="12"/>
      <c r="AD503" s="12"/>
      <c r="BD503" s="13">
        <v>42309</v>
      </c>
      <c r="BE503" s="13">
        <v>43465</v>
      </c>
      <c r="BF503" s="12"/>
      <c r="BG503" s="12" t="s">
        <v>609</v>
      </c>
      <c r="BH503" s="14">
        <v>630000</v>
      </c>
      <c r="BI503" s="12" t="s">
        <v>8447</v>
      </c>
      <c r="BJ503" s="12" t="s">
        <v>1602</v>
      </c>
      <c r="BK503" s="12" t="s">
        <v>8448</v>
      </c>
      <c r="BL503" s="12" t="s">
        <v>8449</v>
      </c>
      <c r="BM503" s="12" t="s">
        <v>444</v>
      </c>
      <c r="BN503" s="12" t="s">
        <v>8450</v>
      </c>
      <c r="BO503" s="12" t="s">
        <v>319</v>
      </c>
      <c r="BP503" s="12" t="s">
        <v>320</v>
      </c>
      <c r="BQ503" s="12" t="s">
        <v>319</v>
      </c>
      <c r="BR503" s="12" t="s">
        <v>8621</v>
      </c>
      <c r="BS503" s="12" t="s">
        <v>357</v>
      </c>
      <c r="BT503" s="12" t="s">
        <v>8569</v>
      </c>
      <c r="BU503" s="12" t="s">
        <v>8570</v>
      </c>
      <c r="BV503" s="14">
        <v>944</v>
      </c>
      <c r="BW503" s="14">
        <v>314</v>
      </c>
      <c r="BX503" s="14">
        <v>1258</v>
      </c>
      <c r="BY503" s="14">
        <v>2416</v>
      </c>
      <c r="BZ503" s="14">
        <v>806</v>
      </c>
      <c r="CA503" s="14">
        <v>3222</v>
      </c>
      <c r="CB503" s="12" t="s">
        <v>8622</v>
      </c>
      <c r="CD503" s="14"/>
      <c r="CE503" s="14"/>
      <c r="CF503" s="14">
        <v>0</v>
      </c>
      <c r="CG503" s="14"/>
      <c r="CH503" s="14"/>
      <c r="CI503" s="14">
        <v>0</v>
      </c>
      <c r="CJ503" s="12"/>
      <c r="CK503" s="14"/>
      <c r="CL503" s="16"/>
      <c r="CM503" s="14"/>
      <c r="CN503" s="12"/>
      <c r="CO503" s="14"/>
      <c r="CP503" s="16"/>
      <c r="CQ503" s="14"/>
      <c r="CR503" s="12"/>
      <c r="CS503" s="14"/>
      <c r="CT503" s="16"/>
      <c r="CU503" s="14"/>
      <c r="CV503" s="12"/>
      <c r="CW503" s="14"/>
      <c r="CX503" s="16"/>
      <c r="CY503" s="14"/>
      <c r="CZ503" s="12"/>
      <c r="DA503" s="14"/>
      <c r="DB503" s="16"/>
      <c r="DC503" s="14"/>
      <c r="DD503" s="12"/>
      <c r="DE503" s="14"/>
      <c r="DF503" s="16"/>
      <c r="DG503" s="14"/>
      <c r="DH503" s="12"/>
      <c r="DI503" s="14"/>
      <c r="DJ503" s="16"/>
      <c r="DK503" s="14"/>
      <c r="DL503" s="12"/>
      <c r="DM503" s="14"/>
      <c r="DN503" s="16"/>
      <c r="DO503" s="14"/>
      <c r="DP503" s="12"/>
      <c r="DQ503" s="14"/>
      <c r="DR503" s="16"/>
      <c r="DS503" s="14"/>
      <c r="DT503" s="12"/>
      <c r="DU503" s="14"/>
      <c r="DV503" s="16"/>
      <c r="DW503" s="14"/>
      <c r="DX503" s="12"/>
      <c r="DY503" s="14"/>
      <c r="DZ503" s="16"/>
      <c r="EA503" s="14"/>
      <c r="EB503" s="12"/>
      <c r="EC503" s="14"/>
      <c r="ED503" s="16"/>
      <c r="EE503" s="14"/>
      <c r="EF503" s="12"/>
      <c r="EG503" s="12"/>
      <c r="EH503" s="14"/>
      <c r="EI503" s="16"/>
      <c r="EJ503" s="14"/>
      <c r="EK503" s="14">
        <v>944</v>
      </c>
      <c r="EL503" s="14">
        <v>314</v>
      </c>
      <c r="EM503" s="14">
        <v>1258</v>
      </c>
      <c r="EN503" s="14">
        <v>2416</v>
      </c>
      <c r="EO503" s="14">
        <v>806</v>
      </c>
      <c r="EP503" s="14">
        <v>3222</v>
      </c>
      <c r="EQ503" s="12"/>
      <c r="ER503" s="14"/>
      <c r="ES503" s="16"/>
      <c r="ET503" s="14"/>
      <c r="EU503" s="12"/>
      <c r="EV503" s="14"/>
      <c r="EW503" s="16"/>
      <c r="EX503" s="14"/>
      <c r="EY503" s="12"/>
      <c r="EZ503" s="14"/>
      <c r="FA503" s="16"/>
      <c r="FB503" s="14"/>
      <c r="FC503" s="12"/>
      <c r="FD503" s="14"/>
      <c r="FE503" s="16"/>
      <c r="FF503" s="14"/>
      <c r="FG503" s="12" t="s">
        <v>320</v>
      </c>
      <c r="FH503" s="14">
        <v>755</v>
      </c>
      <c r="FI503" s="16">
        <v>0.94</v>
      </c>
      <c r="FJ503" s="14">
        <v>1934</v>
      </c>
      <c r="FK503" s="12"/>
      <c r="FL503" s="14"/>
      <c r="FM503" s="16"/>
      <c r="FN503" s="14"/>
      <c r="FO503" s="12"/>
      <c r="FP503" s="14"/>
      <c r="FQ503" s="16"/>
      <c r="FR503" s="14"/>
      <c r="FS503" s="12" t="s">
        <v>320</v>
      </c>
      <c r="FT503" s="14">
        <v>1258</v>
      </c>
      <c r="FU503" s="16">
        <v>0.75</v>
      </c>
      <c r="FV503" s="14">
        <v>3222</v>
      </c>
      <c r="FW503" s="12"/>
      <c r="FX503" s="14"/>
      <c r="FY503" s="16"/>
      <c r="FZ503" s="14"/>
      <c r="GA503" s="12"/>
      <c r="GB503" s="14"/>
      <c r="GC503" s="16"/>
      <c r="GD503" s="14"/>
      <c r="GE503" s="12"/>
      <c r="GF503" s="14"/>
      <c r="GG503" s="16"/>
      <c r="GH503" s="14"/>
      <c r="GI503" s="12"/>
      <c r="GJ503" s="14"/>
      <c r="GK503" s="16"/>
      <c r="GL503" s="14"/>
      <c r="GM503" s="12"/>
      <c r="GN503" s="14"/>
      <c r="GO503" s="16"/>
      <c r="GP503" s="14"/>
      <c r="GQ503" s="12"/>
      <c r="GR503" s="14"/>
      <c r="GS503" s="16"/>
      <c r="GT503" s="14"/>
      <c r="GU503" s="12"/>
      <c r="GV503" s="14"/>
      <c r="GW503" s="16"/>
      <c r="GX503" s="14"/>
      <c r="GY503" s="12"/>
      <c r="GZ503" s="14"/>
      <c r="HA503" s="16"/>
      <c r="HB503" s="14"/>
      <c r="HC503" s="12"/>
      <c r="HD503" s="12"/>
      <c r="HE503" s="14"/>
      <c r="HF503" s="16"/>
      <c r="HG503" s="14"/>
      <c r="HH503" s="12" t="s">
        <v>319</v>
      </c>
      <c r="HI503" s="12"/>
      <c r="HJ503" s="12"/>
      <c r="HK503" s="12"/>
      <c r="HL503" s="12" t="s">
        <v>319</v>
      </c>
      <c r="HM503" s="12"/>
      <c r="HN503" s="12"/>
      <c r="HO503" s="12" t="s">
        <v>393</v>
      </c>
      <c r="HP503" s="12" t="s">
        <v>330</v>
      </c>
      <c r="HQ503" s="12"/>
      <c r="HR503" s="12"/>
      <c r="HS503" s="12" t="s">
        <v>320</v>
      </c>
      <c r="HT503" s="12"/>
      <c r="HU503" s="12"/>
      <c r="HV503" s="12"/>
      <c r="HW503" s="12"/>
      <c r="HX503" s="12"/>
      <c r="HY503" s="12"/>
      <c r="HZ503" s="12" t="s">
        <v>394</v>
      </c>
      <c r="IA503" s="12" t="s">
        <v>8572</v>
      </c>
      <c r="IB503" s="12" t="s">
        <v>396</v>
      </c>
      <c r="IC503" s="12" t="s">
        <v>8572</v>
      </c>
      <c r="ID503" s="12" t="s">
        <v>477</v>
      </c>
      <c r="IE503" s="12" t="s">
        <v>478</v>
      </c>
      <c r="IF503" s="12" t="s">
        <v>320</v>
      </c>
      <c r="IG503" s="12" t="s">
        <v>320</v>
      </c>
      <c r="IH503" s="12" t="s">
        <v>319</v>
      </c>
      <c r="II503" s="12" t="s">
        <v>319</v>
      </c>
      <c r="IJ503" s="12" t="str">
        <f t="shared" si="302"/>
        <v>3. Responsive</v>
      </c>
      <c r="IK503" s="12">
        <f t="shared" si="303"/>
        <v>2</v>
      </c>
      <c r="IL503" s="12" t="s">
        <v>336</v>
      </c>
      <c r="IM503" s="12" t="s">
        <v>320</v>
      </c>
      <c r="IN503" s="12" t="s">
        <v>320</v>
      </c>
      <c r="IO503" s="12" t="s">
        <v>320</v>
      </c>
      <c r="IP503" s="12" t="s">
        <v>319</v>
      </c>
      <c r="IQ503" s="12" t="str">
        <f t="shared" si="304"/>
        <v>2. Accommodating</v>
      </c>
      <c r="IR503" s="12">
        <f t="shared" si="305"/>
        <v>3</v>
      </c>
      <c r="IS503" s="12" t="s">
        <v>456</v>
      </c>
      <c r="IT503" s="12" t="s">
        <v>319</v>
      </c>
      <c r="IU503" s="12" t="s">
        <v>319</v>
      </c>
      <c r="IV503" s="12" t="s">
        <v>319</v>
      </c>
      <c r="IW503" s="11" t="str">
        <f t="shared" si="306"/>
        <v>0. Harmful</v>
      </c>
      <c r="IX503" s="12">
        <f t="shared" si="307"/>
        <v>0</v>
      </c>
      <c r="IY503" s="12" t="s">
        <v>338</v>
      </c>
      <c r="IZ503" s="12" t="s">
        <v>457</v>
      </c>
      <c r="JA503" s="12">
        <v>9</v>
      </c>
      <c r="JB503" s="12" t="s">
        <v>1570</v>
      </c>
      <c r="JC503" s="12" t="s">
        <v>687</v>
      </c>
      <c r="JD503" s="12" t="s">
        <v>624</v>
      </c>
      <c r="JE503" s="12" t="s">
        <v>340</v>
      </c>
      <c r="JF503" s="12" t="s">
        <v>8573</v>
      </c>
      <c r="JG503" s="12"/>
      <c r="JH503" s="12" t="s">
        <v>8572</v>
      </c>
      <c r="JI503" s="12" t="s">
        <v>8457</v>
      </c>
      <c r="JJ503" s="12" t="s">
        <v>1323</v>
      </c>
      <c r="JK503" s="12" t="s">
        <v>8574</v>
      </c>
      <c r="JL503" s="12" t="s">
        <v>8575</v>
      </c>
      <c r="JM503" s="12"/>
      <c r="JN503" s="12"/>
      <c r="JO503" s="12"/>
      <c r="JP503" s="15">
        <f t="shared" si="308"/>
        <v>1258</v>
      </c>
      <c r="JQ503" s="15">
        <f t="shared" si="309"/>
        <v>3222</v>
      </c>
      <c r="JR503" s="279">
        <f t="shared" si="310"/>
        <v>2.56120826709062</v>
      </c>
      <c r="JS503" s="17">
        <f t="shared" si="311"/>
        <v>0.75039745627980925</v>
      </c>
      <c r="JT503" s="18">
        <f t="shared" si="312"/>
        <v>0.74984481688392302</v>
      </c>
      <c r="JU503" s="280">
        <f t="shared" si="313"/>
        <v>944</v>
      </c>
      <c r="JV503" s="280">
        <f t="shared" si="314"/>
        <v>2416</v>
      </c>
      <c r="JW503" s="319" t="str">
        <f t="shared" si="315"/>
        <v/>
      </c>
      <c r="JX503" s="15">
        <f t="shared" si="316"/>
        <v>0</v>
      </c>
      <c r="JY503" s="15">
        <f t="shared" si="317"/>
        <v>0</v>
      </c>
      <c r="JZ503" s="19" t="str">
        <f t="shared" si="318"/>
        <v/>
      </c>
      <c r="KA503" s="52">
        <f t="shared" si="319"/>
        <v>1</v>
      </c>
      <c r="KB503" s="15">
        <f t="shared" si="320"/>
        <v>755</v>
      </c>
      <c r="KC503" s="15">
        <f t="shared" si="321"/>
        <v>1934</v>
      </c>
      <c r="KD503" s="20">
        <f t="shared" si="322"/>
        <v>2.5615894039735099</v>
      </c>
      <c r="KE503" s="52" t="str">
        <f t="shared" si="323"/>
        <v/>
      </c>
      <c r="KF503" s="15">
        <f t="shared" si="324"/>
        <v>0</v>
      </c>
      <c r="KG503" s="15">
        <f t="shared" si="325"/>
        <v>0</v>
      </c>
      <c r="KH503" s="21" t="str">
        <f t="shared" si="326"/>
        <v/>
      </c>
      <c r="KI503" s="52">
        <f t="shared" si="327"/>
        <v>1</v>
      </c>
      <c r="KJ503" s="15">
        <f t="shared" si="328"/>
        <v>1258</v>
      </c>
      <c r="KK503" s="15">
        <f t="shared" si="329"/>
        <v>3222</v>
      </c>
      <c r="KL503" s="19">
        <f t="shared" si="330"/>
        <v>2.56120826709062</v>
      </c>
      <c r="KM503" s="52">
        <f t="shared" si="331"/>
        <v>1</v>
      </c>
      <c r="KN503" s="22">
        <f t="shared" si="332"/>
        <v>709.69999999999993</v>
      </c>
      <c r="KO503" s="22">
        <f t="shared" si="333"/>
        <v>1817.9599999999998</v>
      </c>
      <c r="KP503" s="19">
        <f t="shared" si="334"/>
        <v>2.5615894039735099</v>
      </c>
      <c r="KQ503" s="11" t="str">
        <f t="shared" si="335"/>
        <v>3. Responsive</v>
      </c>
      <c r="KR503" s="11" t="str">
        <f t="shared" si="336"/>
        <v>2. Accommodating</v>
      </c>
      <c r="KS503" s="11" t="str">
        <f t="shared" si="337"/>
        <v>0. Harmful</v>
      </c>
      <c r="KT503" s="11" t="str">
        <f t="shared" si="338"/>
        <v>It tested new ways for fighting poverty, but did not measure results of innovation</v>
      </c>
      <c r="KU503" s="11" t="str">
        <f t="shared" si="339"/>
        <v>Moderate advocacy</v>
      </c>
      <c r="KV503" s="11" t="str">
        <f t="shared" si="340"/>
        <v>It linked and worked with strategic alliances and partners to take tested and effective solutions to scale</v>
      </c>
      <c r="KW503" s="11" t="str">
        <f t="shared" si="341"/>
        <v>Myanmar - Strengthening non state actors for Peace in Kayah</v>
      </c>
      <c r="KX503" s="11" t="str">
        <f t="shared" si="342"/>
        <v>Strengthening non state actors for Peace in Kayah</v>
      </c>
      <c r="KY503" s="11" t="str">
        <f t="shared" si="343"/>
        <v>Myanmar</v>
      </c>
      <c r="KZ503" s="12">
        <v>503</v>
      </c>
    </row>
    <row r="504" spans="1:312" x14ac:dyDescent="0.3">
      <c r="A504" s="12" t="s">
        <v>8444</v>
      </c>
      <c r="B504" s="12" t="s">
        <v>306</v>
      </c>
      <c r="C504" s="12">
        <v>3157</v>
      </c>
      <c r="D504" s="12" t="s">
        <v>8623</v>
      </c>
      <c r="E504" s="277" t="str">
        <f t="shared" si="301"/>
        <v>Myanmar</v>
      </c>
      <c r="F504" s="12" t="s">
        <v>8624</v>
      </c>
      <c r="G504" s="12" t="s">
        <v>309</v>
      </c>
      <c r="H504" s="12" t="s">
        <v>310</v>
      </c>
      <c r="I504" s="12" t="s">
        <v>311</v>
      </c>
      <c r="J504" s="281" t="s">
        <v>14565</v>
      </c>
      <c r="K504" s="12"/>
      <c r="L504" s="12"/>
      <c r="M504" s="12"/>
      <c r="N504" s="12"/>
      <c r="O504" s="12"/>
      <c r="P504" s="12"/>
      <c r="Q504" s="12"/>
      <c r="R504" s="12"/>
      <c r="S504" s="12"/>
      <c r="T504" s="12"/>
      <c r="U504" s="12"/>
      <c r="V504" s="12"/>
      <c r="W504" s="12"/>
      <c r="X504" s="12"/>
      <c r="Y504" s="12"/>
      <c r="Z504" s="12"/>
      <c r="AA504" s="12"/>
      <c r="AB504" s="12"/>
      <c r="AC504" s="12"/>
      <c r="AD504" s="12"/>
      <c r="BD504" s="13">
        <v>40878</v>
      </c>
      <c r="BE504" s="13">
        <v>42704</v>
      </c>
      <c r="BF504" s="13">
        <v>43069</v>
      </c>
      <c r="BG504" s="12" t="s">
        <v>749</v>
      </c>
      <c r="BH504" s="14">
        <v>9307519</v>
      </c>
      <c r="BI504" s="12" t="s">
        <v>8480</v>
      </c>
      <c r="BJ504" s="12" t="s">
        <v>8481</v>
      </c>
      <c r="BK504" s="12" t="s">
        <v>8482</v>
      </c>
      <c r="BL504" s="12" t="s">
        <v>8625</v>
      </c>
      <c r="BM504" s="12" t="s">
        <v>8626</v>
      </c>
      <c r="BN504" s="12" t="s">
        <v>8627</v>
      </c>
      <c r="BO504" s="12" t="s">
        <v>320</v>
      </c>
      <c r="BP504" s="12" t="s">
        <v>320</v>
      </c>
      <c r="BQ504" s="12" t="s">
        <v>320</v>
      </c>
      <c r="BR504" s="12" t="s">
        <v>8628</v>
      </c>
      <c r="BS504" s="12" t="s">
        <v>357</v>
      </c>
      <c r="BT504" s="12" t="s">
        <v>8487</v>
      </c>
      <c r="BU504" s="12" t="s">
        <v>8629</v>
      </c>
      <c r="BV504" s="14">
        <v>5700</v>
      </c>
      <c r="BW504" s="14">
        <v>3800</v>
      </c>
      <c r="BX504" s="14">
        <v>9500</v>
      </c>
      <c r="BY504" s="14">
        <v>39900</v>
      </c>
      <c r="BZ504" s="14">
        <v>26600</v>
      </c>
      <c r="CA504" s="14">
        <v>66500</v>
      </c>
      <c r="CB504" s="12" t="s">
        <v>8630</v>
      </c>
      <c r="CD504" s="14">
        <v>1076</v>
      </c>
      <c r="CE504" s="14">
        <v>994</v>
      </c>
      <c r="CF504" s="14">
        <v>2070</v>
      </c>
      <c r="CG504" s="14">
        <v>7652</v>
      </c>
      <c r="CH504" s="14">
        <v>7063</v>
      </c>
      <c r="CI504" s="14">
        <v>14715</v>
      </c>
      <c r="CJ504" s="11" t="s">
        <v>319</v>
      </c>
      <c r="CK504" s="14"/>
      <c r="CL504" s="16"/>
      <c r="CM504" s="14"/>
      <c r="CN504" s="12" t="s">
        <v>319</v>
      </c>
      <c r="CO504" s="14"/>
      <c r="CP504" s="42"/>
      <c r="CQ504" s="14"/>
      <c r="CR504" s="12" t="s">
        <v>319</v>
      </c>
      <c r="CS504" s="14"/>
      <c r="CT504" s="16"/>
      <c r="CU504" s="14"/>
      <c r="CV504" s="12" t="s">
        <v>319</v>
      </c>
      <c r="CW504" s="14"/>
      <c r="CX504" s="16"/>
      <c r="CY504" s="14"/>
      <c r="CZ504" s="12" t="s">
        <v>319</v>
      </c>
      <c r="DA504" s="14"/>
      <c r="DB504" s="16"/>
      <c r="DC504" s="14"/>
      <c r="DD504" s="12" t="s">
        <v>319</v>
      </c>
      <c r="DE504" s="14"/>
      <c r="DF504" s="16"/>
      <c r="DG504" s="14"/>
      <c r="DH504" s="12" t="s">
        <v>319</v>
      </c>
      <c r="DI504" s="14"/>
      <c r="DJ504" s="16"/>
      <c r="DK504" s="14"/>
      <c r="DL504" s="12" t="s">
        <v>319</v>
      </c>
      <c r="DM504" s="14"/>
      <c r="DN504" s="16"/>
      <c r="DO504" s="14"/>
      <c r="DP504" s="12" t="s">
        <v>319</v>
      </c>
      <c r="DQ504" s="14"/>
      <c r="DR504" s="16"/>
      <c r="DS504" s="14"/>
      <c r="DT504" s="12" t="s">
        <v>319</v>
      </c>
      <c r="DU504" s="14"/>
      <c r="DV504" s="16"/>
      <c r="DW504" s="14"/>
      <c r="DX504" s="12" t="s">
        <v>320</v>
      </c>
      <c r="DY504" s="14">
        <v>690</v>
      </c>
      <c r="DZ504" s="16">
        <v>0.52</v>
      </c>
      <c r="EA504" s="14">
        <v>4905</v>
      </c>
      <c r="EB504" s="11" t="s">
        <v>320</v>
      </c>
      <c r="EC504" s="14">
        <v>690</v>
      </c>
      <c r="ED504" s="16">
        <v>0.52</v>
      </c>
      <c r="EE504" s="14">
        <v>4905</v>
      </c>
      <c r="EF504" s="12" t="s">
        <v>8631</v>
      </c>
      <c r="EG504" s="12" t="s">
        <v>320</v>
      </c>
      <c r="EH504" s="14">
        <v>690</v>
      </c>
      <c r="EI504" s="16">
        <v>0.52</v>
      </c>
      <c r="EJ504" s="14">
        <v>4905</v>
      </c>
      <c r="EK504" s="14">
        <v>11354</v>
      </c>
      <c r="EL504" s="14">
        <v>16339</v>
      </c>
      <c r="EM504" s="14">
        <v>27693</v>
      </c>
      <c r="EN504" s="14">
        <v>22708</v>
      </c>
      <c r="EO504" s="14">
        <v>34117.5</v>
      </c>
      <c r="EP504" s="14">
        <v>56825.5</v>
      </c>
      <c r="EQ504" s="12" t="s">
        <v>320</v>
      </c>
      <c r="ER504" s="14">
        <v>150</v>
      </c>
      <c r="ES504" s="16">
        <v>0.2</v>
      </c>
      <c r="ET504" s="14">
        <v>525</v>
      </c>
      <c r="EU504" s="11" t="s">
        <v>319</v>
      </c>
      <c r="EV504" s="14"/>
      <c r="EW504" s="16"/>
      <c r="EX504" s="14"/>
      <c r="EY504" s="12" t="s">
        <v>319</v>
      </c>
      <c r="EZ504" s="14"/>
      <c r="FA504" s="16"/>
      <c r="FB504" s="14"/>
      <c r="FC504" s="12" t="s">
        <v>319</v>
      </c>
      <c r="FD504" s="14"/>
      <c r="FE504" s="16"/>
      <c r="FF504" s="14"/>
      <c r="FG504" s="12" t="s">
        <v>320</v>
      </c>
      <c r="FH504" s="14">
        <v>521</v>
      </c>
      <c r="FI504" s="16">
        <v>0.8</v>
      </c>
      <c r="FJ504" s="14">
        <v>1823.5</v>
      </c>
      <c r="FK504" s="12" t="s">
        <v>320</v>
      </c>
      <c r="FL504" s="14">
        <v>316</v>
      </c>
      <c r="FM504" s="16">
        <v>0.57999999999999996</v>
      </c>
      <c r="FN504" s="14">
        <v>1106</v>
      </c>
      <c r="FO504" s="12" t="s">
        <v>320</v>
      </c>
      <c r="FP504" s="14">
        <v>703</v>
      </c>
      <c r="FQ504" s="16">
        <v>0.33333333333333298</v>
      </c>
      <c r="FR504" s="14">
        <v>2460.5</v>
      </c>
      <c r="FS504" s="12" t="s">
        <v>320</v>
      </c>
      <c r="FT504" s="14">
        <v>23</v>
      </c>
      <c r="FU504" s="16">
        <v>0.01</v>
      </c>
      <c r="FV504" s="14">
        <v>80.5</v>
      </c>
      <c r="FW504" s="12" t="s">
        <v>319</v>
      </c>
      <c r="FX504" s="14"/>
      <c r="FY504" s="16"/>
      <c r="FZ504" s="14"/>
      <c r="GA504" s="12" t="s">
        <v>319</v>
      </c>
      <c r="GB504" s="14"/>
      <c r="GC504" s="16"/>
      <c r="GD504" s="14"/>
      <c r="GE504" s="12" t="s">
        <v>320</v>
      </c>
      <c r="GF504" s="14">
        <v>23980</v>
      </c>
      <c r="GG504" s="16">
        <v>0.55000000000000004</v>
      </c>
      <c r="GH504" s="14">
        <v>43830</v>
      </c>
      <c r="GI504" s="12" t="s">
        <v>319</v>
      </c>
      <c r="GJ504" s="14"/>
      <c r="GK504" s="16"/>
      <c r="GL504" s="14"/>
      <c r="GM504" s="12" t="s">
        <v>319</v>
      </c>
      <c r="GN504" s="14"/>
      <c r="GO504" s="16"/>
      <c r="GP504" s="14"/>
      <c r="GQ504" s="12" t="s">
        <v>319</v>
      </c>
      <c r="GR504" s="14"/>
      <c r="GS504" s="16"/>
      <c r="GT504" s="14"/>
      <c r="GU504" s="12" t="s">
        <v>320</v>
      </c>
      <c r="GV504" s="14">
        <v>32</v>
      </c>
      <c r="GW504" s="16">
        <v>0</v>
      </c>
      <c r="GX504" s="14">
        <v>112</v>
      </c>
      <c r="GY504" s="11" t="s">
        <v>320</v>
      </c>
      <c r="GZ504" s="14">
        <v>1968</v>
      </c>
      <c r="HA504" s="16">
        <v>0.8</v>
      </c>
      <c r="HB504" s="14">
        <v>6888</v>
      </c>
      <c r="HC504" s="12"/>
      <c r="HD504" s="12" t="s">
        <v>319</v>
      </c>
      <c r="HE504" s="14"/>
      <c r="HF504" s="16"/>
      <c r="HG504" s="14"/>
      <c r="HH504" s="12" t="s">
        <v>319</v>
      </c>
      <c r="HI504" s="12"/>
      <c r="HJ504" s="12"/>
      <c r="HK504" s="12" t="s">
        <v>319</v>
      </c>
      <c r="HL504" s="12" t="s">
        <v>320</v>
      </c>
      <c r="HM504" s="12" t="s">
        <v>416</v>
      </c>
      <c r="HN504" s="12">
        <v>2018</v>
      </c>
      <c r="HO504" s="12" t="s">
        <v>8632</v>
      </c>
      <c r="HP504" s="12" t="s">
        <v>418</v>
      </c>
      <c r="HQ504" s="12" t="s">
        <v>319</v>
      </c>
      <c r="HR504" s="12" t="s">
        <v>319</v>
      </c>
      <c r="HS504" s="12" t="s">
        <v>320</v>
      </c>
      <c r="HT504" s="12" t="s">
        <v>319</v>
      </c>
      <c r="HU504" s="12" t="s">
        <v>319</v>
      </c>
      <c r="HV504" s="12" t="s">
        <v>319</v>
      </c>
      <c r="HW504" s="12" t="s">
        <v>319</v>
      </c>
      <c r="HX504" s="12" t="s">
        <v>319</v>
      </c>
      <c r="HY504" s="12"/>
      <c r="HZ504" s="12" t="s">
        <v>363</v>
      </c>
      <c r="IA504" s="12"/>
      <c r="IB504" s="12" t="s">
        <v>333</v>
      </c>
      <c r="IC504" s="12"/>
      <c r="ID504" s="12" t="s">
        <v>334</v>
      </c>
      <c r="IE504" s="12" t="s">
        <v>335</v>
      </c>
      <c r="IF504" s="12" t="s">
        <v>320</v>
      </c>
      <c r="IG504" s="12" t="s">
        <v>320</v>
      </c>
      <c r="IH504" s="12" t="s">
        <v>320</v>
      </c>
      <c r="II504" s="12" t="s">
        <v>319</v>
      </c>
      <c r="IJ504" s="12" t="str">
        <f t="shared" si="302"/>
        <v>1. Neutral</v>
      </c>
      <c r="IK504" s="12">
        <f t="shared" si="303"/>
        <v>3</v>
      </c>
      <c r="IL504" s="12" t="s">
        <v>336</v>
      </c>
      <c r="IM504" s="12" t="s">
        <v>320</v>
      </c>
      <c r="IN504" s="12" t="s">
        <v>320</v>
      </c>
      <c r="IO504" s="12" t="s">
        <v>320</v>
      </c>
      <c r="IP504" s="12" t="s">
        <v>319</v>
      </c>
      <c r="IQ504" s="12" t="str">
        <f t="shared" si="304"/>
        <v>2. Accommodating</v>
      </c>
      <c r="IR504" s="12">
        <f t="shared" si="305"/>
        <v>3</v>
      </c>
      <c r="IS504" s="12" t="s">
        <v>337</v>
      </c>
      <c r="IT504" s="12" t="s">
        <v>319</v>
      </c>
      <c r="IU504" s="12" t="s">
        <v>320</v>
      </c>
      <c r="IV504" s="12" t="s">
        <v>320</v>
      </c>
      <c r="IW504" s="11" t="str">
        <f t="shared" si="306"/>
        <v>1. Neutral</v>
      </c>
      <c r="IX504" s="12">
        <f t="shared" si="307"/>
        <v>2</v>
      </c>
      <c r="IY504" s="12" t="s">
        <v>419</v>
      </c>
      <c r="IZ504" s="12" t="s">
        <v>339</v>
      </c>
      <c r="JA504" s="12"/>
      <c r="JB504" s="12"/>
      <c r="JC504" s="12"/>
      <c r="JD504" s="12"/>
      <c r="JE504" s="12" t="s">
        <v>340</v>
      </c>
      <c r="JF504" s="12" t="s">
        <v>8602</v>
      </c>
      <c r="JG504" s="12"/>
      <c r="JH504" s="12" t="s">
        <v>8604</v>
      </c>
      <c r="JI504" s="12" t="s">
        <v>8605</v>
      </c>
      <c r="JJ504" s="12" t="s">
        <v>8633</v>
      </c>
      <c r="JK504" s="12" t="s">
        <v>8634</v>
      </c>
      <c r="JL504" s="12" t="s">
        <v>8608</v>
      </c>
      <c r="JM504" s="12"/>
      <c r="JN504" s="12"/>
      <c r="JO504" s="12" t="s">
        <v>8609</v>
      </c>
      <c r="JP504" s="15">
        <f t="shared" si="308"/>
        <v>27693</v>
      </c>
      <c r="JQ504" s="15">
        <f t="shared" si="309"/>
        <v>56825.5</v>
      </c>
      <c r="JR504" s="279">
        <f t="shared" si="310"/>
        <v>2.0519806449283213</v>
      </c>
      <c r="JS504" s="17">
        <f t="shared" si="311"/>
        <v>0.40999530567291376</v>
      </c>
      <c r="JT504" s="18">
        <f t="shared" si="312"/>
        <v>0.39960933031825502</v>
      </c>
      <c r="JU504" s="280">
        <f t="shared" si="313"/>
        <v>11354</v>
      </c>
      <c r="JV504" s="280">
        <f t="shared" si="314"/>
        <v>22708</v>
      </c>
      <c r="JW504" s="319">
        <f t="shared" si="315"/>
        <v>1</v>
      </c>
      <c r="JX504" s="15">
        <f t="shared" si="316"/>
        <v>2070</v>
      </c>
      <c r="JY504" s="15">
        <f t="shared" si="317"/>
        <v>14715</v>
      </c>
      <c r="JZ504" s="19">
        <f t="shared" si="318"/>
        <v>7.1086956521739131</v>
      </c>
      <c r="KA504" s="52">
        <f t="shared" si="319"/>
        <v>1</v>
      </c>
      <c r="KB504" s="15">
        <f t="shared" si="320"/>
        <v>703</v>
      </c>
      <c r="KC504" s="15">
        <f t="shared" si="321"/>
        <v>2460.5</v>
      </c>
      <c r="KD504" s="20">
        <f t="shared" si="322"/>
        <v>3.5</v>
      </c>
      <c r="KE504" s="52" t="str">
        <f t="shared" si="323"/>
        <v/>
      </c>
      <c r="KF504" s="15">
        <f t="shared" si="324"/>
        <v>0</v>
      </c>
      <c r="KG504" s="15">
        <f t="shared" si="325"/>
        <v>0</v>
      </c>
      <c r="KH504" s="21" t="str">
        <f t="shared" si="326"/>
        <v/>
      </c>
      <c r="KI504" s="52">
        <f t="shared" si="327"/>
        <v>1</v>
      </c>
      <c r="KJ504" s="15">
        <f t="shared" si="328"/>
        <v>23</v>
      </c>
      <c r="KK504" s="15">
        <f t="shared" si="329"/>
        <v>80.5</v>
      </c>
      <c r="KL504" s="19">
        <f t="shared" si="330"/>
        <v>3.5</v>
      </c>
      <c r="KM504" s="52">
        <f t="shared" si="331"/>
        <v>1</v>
      </c>
      <c r="KN504" s="22">
        <f t="shared" si="332"/>
        <v>1968</v>
      </c>
      <c r="KO504" s="22">
        <f t="shared" si="333"/>
        <v>6888</v>
      </c>
      <c r="KP504" s="19">
        <f t="shared" si="334"/>
        <v>3.5</v>
      </c>
      <c r="KQ504" s="11" t="str">
        <f t="shared" si="335"/>
        <v>1. Neutral</v>
      </c>
      <c r="KR504" s="11" t="str">
        <f t="shared" si="336"/>
        <v>2. Accommodating</v>
      </c>
      <c r="KS504" s="11" t="str">
        <f t="shared" si="337"/>
        <v>1. Neutral</v>
      </c>
      <c r="KT504" s="11" t="str">
        <f t="shared" si="338"/>
        <v>It did not develop any specific innovation</v>
      </c>
      <c r="KU504" s="11" t="str">
        <f t="shared" si="339"/>
        <v>Little or no advocacy</v>
      </c>
      <c r="KV504" s="11" t="str">
        <f t="shared" si="340"/>
        <v>It did not take tested solutions to scale</v>
      </c>
      <c r="KW504" s="11" t="str">
        <f t="shared" si="341"/>
        <v>Myanmar - Strengthening Partnerships and Resilience of Communities (SPARC) in Northern Rakhine State</v>
      </c>
      <c r="KX504" s="11" t="str">
        <f t="shared" si="342"/>
        <v>Strengthening Partnerships and Resilience of Communities (SPARC) in Northern Rakhine State</v>
      </c>
      <c r="KY504" s="11" t="str">
        <f t="shared" si="343"/>
        <v>Myanmar</v>
      </c>
      <c r="KZ504" s="12">
        <v>504</v>
      </c>
    </row>
    <row r="505" spans="1:312" x14ac:dyDescent="0.3">
      <c r="A505" s="12" t="s">
        <v>8444</v>
      </c>
      <c r="B505" s="12" t="s">
        <v>306</v>
      </c>
      <c r="C505" s="12">
        <v>3165</v>
      </c>
      <c r="D505" s="12" t="s">
        <v>8635</v>
      </c>
      <c r="E505" s="277" t="str">
        <f t="shared" si="301"/>
        <v>Myanmar</v>
      </c>
      <c r="F505" s="12" t="s">
        <v>8636</v>
      </c>
      <c r="G505" s="12" t="s">
        <v>608</v>
      </c>
      <c r="H505" s="12" t="s">
        <v>380</v>
      </c>
      <c r="I505" s="12" t="s">
        <v>381</v>
      </c>
      <c r="J505" s="281" t="s">
        <v>14721</v>
      </c>
      <c r="K505" s="12"/>
      <c r="L505" s="12"/>
      <c r="M505" s="12"/>
      <c r="N505" s="12"/>
      <c r="O505" s="12"/>
      <c r="P505" s="12"/>
      <c r="Q505" s="12"/>
      <c r="R505" s="12"/>
      <c r="S505" s="12"/>
      <c r="T505" s="12"/>
      <c r="U505" s="12"/>
      <c r="V505" s="12"/>
      <c r="W505" s="12"/>
      <c r="X505" s="12"/>
      <c r="Y505" s="12"/>
      <c r="Z505" s="12"/>
      <c r="AA505" s="12"/>
      <c r="AB505" s="12"/>
      <c r="AC505" s="12"/>
      <c r="AD505" s="12"/>
      <c r="BD505" s="13">
        <v>42370</v>
      </c>
      <c r="BE505" s="13">
        <v>43465</v>
      </c>
      <c r="BF505" s="12"/>
      <c r="BG505" s="12" t="s">
        <v>749</v>
      </c>
      <c r="BH505" s="14">
        <v>3519147</v>
      </c>
      <c r="BI505" s="12" t="s">
        <v>8483</v>
      </c>
      <c r="BJ505" s="12" t="s">
        <v>8484</v>
      </c>
      <c r="BK505" s="12" t="s">
        <v>8485</v>
      </c>
      <c r="BL505" s="12" t="s">
        <v>8480</v>
      </c>
      <c r="BM505" s="12" t="s">
        <v>8481</v>
      </c>
      <c r="BN505" s="12" t="s">
        <v>8482</v>
      </c>
      <c r="BO505" s="12" t="s">
        <v>319</v>
      </c>
      <c r="BP505" s="12" t="s">
        <v>320</v>
      </c>
      <c r="BQ505" s="12" t="s">
        <v>319</v>
      </c>
      <c r="BR505" s="12" t="s">
        <v>8637</v>
      </c>
      <c r="BS505" s="12" t="s">
        <v>357</v>
      </c>
      <c r="BT505" s="12" t="s">
        <v>8638</v>
      </c>
      <c r="BU505" s="12" t="s">
        <v>8639</v>
      </c>
      <c r="BV505" s="14">
        <v>2500</v>
      </c>
      <c r="BW505" s="14">
        <v>2500</v>
      </c>
      <c r="BX505" s="14">
        <v>5000</v>
      </c>
      <c r="BY505" s="14">
        <v>10934</v>
      </c>
      <c r="BZ505" s="14">
        <v>10934</v>
      </c>
      <c r="CA505" s="14">
        <v>21868</v>
      </c>
      <c r="CB505" s="12" t="s">
        <v>8640</v>
      </c>
      <c r="CD505" s="14"/>
      <c r="CE505" s="14"/>
      <c r="CF505" s="14"/>
      <c r="CG505" s="14"/>
      <c r="CH505" s="14"/>
      <c r="CI505" s="14"/>
      <c r="CJ505" s="12" t="s">
        <v>319</v>
      </c>
      <c r="CK505" s="14"/>
      <c r="CL505" s="16"/>
      <c r="CM505" s="14"/>
      <c r="CN505" s="12" t="s">
        <v>319</v>
      </c>
      <c r="CO505" s="14"/>
      <c r="CP505" s="16"/>
      <c r="CQ505" s="14"/>
      <c r="CR505" s="12" t="s">
        <v>319</v>
      </c>
      <c r="CS505" s="14"/>
      <c r="CT505" s="16"/>
      <c r="CU505" s="14"/>
      <c r="CV505" s="12" t="s">
        <v>319</v>
      </c>
      <c r="CW505" s="14"/>
      <c r="CX505" s="16"/>
      <c r="CY505" s="14"/>
      <c r="CZ505" s="12" t="s">
        <v>319</v>
      </c>
      <c r="DA505" s="14"/>
      <c r="DB505" s="16"/>
      <c r="DC505" s="14"/>
      <c r="DD505" s="12" t="s">
        <v>319</v>
      </c>
      <c r="DE505" s="14"/>
      <c r="DF505" s="16"/>
      <c r="DG505" s="14"/>
      <c r="DH505" s="12" t="s">
        <v>319</v>
      </c>
      <c r="DI505" s="14"/>
      <c r="DJ505" s="16"/>
      <c r="DK505" s="14"/>
      <c r="DL505" s="12" t="s">
        <v>319</v>
      </c>
      <c r="DM505" s="14"/>
      <c r="DN505" s="16"/>
      <c r="DO505" s="14"/>
      <c r="DP505" s="12" t="s">
        <v>319</v>
      </c>
      <c r="DQ505" s="14"/>
      <c r="DR505" s="16"/>
      <c r="DS505" s="14"/>
      <c r="DT505" s="12" t="s">
        <v>319</v>
      </c>
      <c r="DU505" s="14"/>
      <c r="DV505" s="16"/>
      <c r="DW505" s="14"/>
      <c r="DX505" s="12" t="s">
        <v>319</v>
      </c>
      <c r="DY505" s="14"/>
      <c r="DZ505" s="16"/>
      <c r="EA505" s="14"/>
      <c r="EB505" s="12" t="s">
        <v>319</v>
      </c>
      <c r="EC505" s="14"/>
      <c r="ED505" s="16"/>
      <c r="EE505" s="14"/>
      <c r="EF505" s="12"/>
      <c r="EG505" s="12" t="s">
        <v>319</v>
      </c>
      <c r="EH505" s="14"/>
      <c r="EI505" s="16"/>
      <c r="EJ505" s="14"/>
      <c r="EK505" s="14">
        <v>3967</v>
      </c>
      <c r="EL505" s="14">
        <v>4656</v>
      </c>
      <c r="EM505" s="14">
        <v>8623</v>
      </c>
      <c r="EN505" s="14">
        <v>14590</v>
      </c>
      <c r="EO505" s="14">
        <v>16452.400000000001</v>
      </c>
      <c r="EP505" s="14">
        <v>31042.400000000001</v>
      </c>
      <c r="EQ505" s="12" t="s">
        <v>320</v>
      </c>
      <c r="ER505" s="14">
        <v>1074</v>
      </c>
      <c r="ES505" s="16">
        <v>0.23</v>
      </c>
      <c r="ET505" s="14">
        <v>3866</v>
      </c>
      <c r="EU505" s="11" t="s">
        <v>319</v>
      </c>
      <c r="EV505" s="14"/>
      <c r="EW505" s="16"/>
      <c r="EX505" s="14"/>
      <c r="EY505" s="12" t="s">
        <v>319</v>
      </c>
      <c r="EZ505" s="14"/>
      <c r="FA505" s="16"/>
      <c r="FB505" s="14"/>
      <c r="FC505" s="12" t="s">
        <v>320</v>
      </c>
      <c r="FD505" s="14">
        <v>1705</v>
      </c>
      <c r="FE505" s="16">
        <v>0.51</v>
      </c>
      <c r="FF505" s="14">
        <v>6138</v>
      </c>
      <c r="FG505" s="12" t="s">
        <v>320</v>
      </c>
      <c r="FH505" s="14">
        <v>171</v>
      </c>
      <c r="FI505" s="16">
        <v>0.28000000000000003</v>
      </c>
      <c r="FJ505" s="14">
        <v>615.6</v>
      </c>
      <c r="FK505" s="12" t="s">
        <v>319</v>
      </c>
      <c r="FL505" s="14"/>
      <c r="FM505" s="16"/>
      <c r="FN505" s="14"/>
      <c r="FO505" s="12" t="s">
        <v>320</v>
      </c>
      <c r="FP505" s="14">
        <v>1601</v>
      </c>
      <c r="FQ505" s="16">
        <v>0.45</v>
      </c>
      <c r="FR505" s="14">
        <v>5763.6</v>
      </c>
      <c r="FS505" s="12" t="s">
        <v>319</v>
      </c>
      <c r="FT505" s="14">
        <v>0</v>
      </c>
      <c r="FU505" s="16">
        <v>0</v>
      </c>
      <c r="FV505" s="14">
        <v>0</v>
      </c>
      <c r="FW505" s="12" t="s">
        <v>319</v>
      </c>
      <c r="FX505" s="14"/>
      <c r="FY505" s="16"/>
      <c r="FZ505" s="14"/>
      <c r="GA505" s="12" t="s">
        <v>319</v>
      </c>
      <c r="GB505" s="14"/>
      <c r="GC505" s="16"/>
      <c r="GD505" s="14"/>
      <c r="GE505" s="12" t="s">
        <v>320</v>
      </c>
      <c r="GF505" s="14">
        <v>2000</v>
      </c>
      <c r="GG505" s="16">
        <v>0.49</v>
      </c>
      <c r="GH505" s="14">
        <v>7200</v>
      </c>
      <c r="GI505" s="12" t="s">
        <v>319</v>
      </c>
      <c r="GJ505" s="14"/>
      <c r="GK505" s="16"/>
      <c r="GL505" s="14"/>
      <c r="GM505" s="12" t="s">
        <v>319</v>
      </c>
      <c r="GN505" s="14"/>
      <c r="GO505" s="16"/>
      <c r="GP505" s="14"/>
      <c r="GQ505" s="12" t="s">
        <v>319</v>
      </c>
      <c r="GR505" s="14"/>
      <c r="GS505" s="16"/>
      <c r="GT505" s="14"/>
      <c r="GU505" s="12" t="s">
        <v>320</v>
      </c>
      <c r="GV505" s="14">
        <v>273</v>
      </c>
      <c r="GW505" s="16">
        <v>0.51</v>
      </c>
      <c r="GX505" s="38">
        <f>GV505*3.6</f>
        <v>982.80000000000007</v>
      </c>
      <c r="GY505" s="11" t="s">
        <v>320</v>
      </c>
      <c r="GZ505" s="14">
        <v>1799</v>
      </c>
      <c r="HA505" s="16">
        <v>0.78</v>
      </c>
      <c r="HB505" s="38">
        <f>GZ505*3.6</f>
        <v>6476.4000000000005</v>
      </c>
      <c r="HC505" s="12"/>
      <c r="HD505" s="12" t="s">
        <v>319</v>
      </c>
      <c r="HE505" s="14"/>
      <c r="HF505" s="16"/>
      <c r="HG505" s="14"/>
      <c r="HH505" s="12" t="s">
        <v>320</v>
      </c>
      <c r="HI505" s="12" t="s">
        <v>522</v>
      </c>
      <c r="HJ505" s="12">
        <v>2016</v>
      </c>
      <c r="HK505" s="12" t="s">
        <v>319</v>
      </c>
      <c r="HL505" s="12" t="s">
        <v>320</v>
      </c>
      <c r="HM505" s="12" t="s">
        <v>361</v>
      </c>
      <c r="HN505" s="12">
        <v>2017</v>
      </c>
      <c r="HO505" s="12" t="s">
        <v>8641</v>
      </c>
      <c r="HP505" s="12" t="s">
        <v>418</v>
      </c>
      <c r="HQ505" s="12" t="s">
        <v>319</v>
      </c>
      <c r="HR505" s="12" t="s">
        <v>319</v>
      </c>
      <c r="HS505" s="12" t="s">
        <v>320</v>
      </c>
      <c r="HT505" s="12" t="s">
        <v>319</v>
      </c>
      <c r="HU505" s="12" t="s">
        <v>319</v>
      </c>
      <c r="HV505" s="12" t="s">
        <v>319</v>
      </c>
      <c r="HW505" s="12" t="s">
        <v>319</v>
      </c>
      <c r="HX505" s="12" t="s">
        <v>319</v>
      </c>
      <c r="HY505" s="12"/>
      <c r="HZ505" s="12" t="s">
        <v>363</v>
      </c>
      <c r="IA505" s="12"/>
      <c r="IB505" s="12" t="s">
        <v>333</v>
      </c>
      <c r="IC505" s="12"/>
      <c r="ID505" s="12" t="s">
        <v>364</v>
      </c>
      <c r="IE505" s="12" t="s">
        <v>335</v>
      </c>
      <c r="IF505" s="12" t="s">
        <v>320</v>
      </c>
      <c r="IG505" s="12" t="s">
        <v>319</v>
      </c>
      <c r="IH505" s="12" t="s">
        <v>320</v>
      </c>
      <c r="II505" s="12" t="s">
        <v>319</v>
      </c>
      <c r="IJ505" s="12" t="str">
        <f t="shared" si="302"/>
        <v>1. Neutral</v>
      </c>
      <c r="IK505" s="12">
        <f t="shared" si="303"/>
        <v>2</v>
      </c>
      <c r="IL505" s="12" t="s">
        <v>336</v>
      </c>
      <c r="IM505" s="12" t="s">
        <v>320</v>
      </c>
      <c r="IN505" s="12" t="s">
        <v>320</v>
      </c>
      <c r="IO505" s="12" t="s">
        <v>319</v>
      </c>
      <c r="IP505" s="12" t="s">
        <v>320</v>
      </c>
      <c r="IQ505" s="12" t="str">
        <f t="shared" si="304"/>
        <v>2. Accommodating</v>
      </c>
      <c r="IR505" s="12">
        <f t="shared" si="305"/>
        <v>3</v>
      </c>
      <c r="IS505" s="12" t="s">
        <v>622</v>
      </c>
      <c r="IT505" s="12" t="s">
        <v>320</v>
      </c>
      <c r="IU505" s="12" t="s">
        <v>320</v>
      </c>
      <c r="IV505" s="12" t="s">
        <v>320</v>
      </c>
      <c r="IW505" s="11" t="str">
        <f t="shared" si="306"/>
        <v>4. Transformative</v>
      </c>
      <c r="IX505" s="12">
        <f t="shared" si="307"/>
        <v>3</v>
      </c>
      <c r="IY505" s="12" t="s">
        <v>419</v>
      </c>
      <c r="IZ505" s="12" t="s">
        <v>339</v>
      </c>
      <c r="JA505" s="12"/>
      <c r="JB505" s="12"/>
      <c r="JC505" s="12"/>
      <c r="JD505" s="12"/>
      <c r="JE505" s="12" t="s">
        <v>340</v>
      </c>
      <c r="JF505" s="12" t="s">
        <v>8602</v>
      </c>
      <c r="JG505" s="12"/>
      <c r="JH505" s="12" t="s">
        <v>1323</v>
      </c>
      <c r="JI505" s="12" t="s">
        <v>2587</v>
      </c>
      <c r="JJ505" s="12" t="s">
        <v>8642</v>
      </c>
      <c r="JK505" s="12" t="s">
        <v>8643</v>
      </c>
      <c r="JL505" s="12" t="s">
        <v>8644</v>
      </c>
      <c r="JM505" s="12" t="s">
        <v>8645</v>
      </c>
      <c r="JN505" s="12"/>
      <c r="JO505" s="12" t="s">
        <v>8646</v>
      </c>
      <c r="JP505" s="15">
        <f t="shared" si="308"/>
        <v>8623</v>
      </c>
      <c r="JQ505" s="15">
        <f t="shared" si="309"/>
        <v>31042.400000000001</v>
      </c>
      <c r="JR505" s="279">
        <f t="shared" si="310"/>
        <v>3.5999536124318685</v>
      </c>
      <c r="JS505" s="17">
        <f t="shared" si="311"/>
        <v>0.46004870694653832</v>
      </c>
      <c r="JT505" s="18">
        <f t="shared" si="312"/>
        <v>0.47000231940829318</v>
      </c>
      <c r="JU505" s="280">
        <f t="shared" si="313"/>
        <v>3967</v>
      </c>
      <c r="JV505" s="280">
        <f t="shared" si="314"/>
        <v>14590</v>
      </c>
      <c r="JW505" s="319" t="str">
        <f t="shared" si="315"/>
        <v/>
      </c>
      <c r="JX505" s="15">
        <f t="shared" si="316"/>
        <v>0</v>
      </c>
      <c r="JY505" s="15">
        <f t="shared" si="317"/>
        <v>0</v>
      </c>
      <c r="JZ505" s="19" t="str">
        <f t="shared" si="318"/>
        <v/>
      </c>
      <c r="KA505" s="52">
        <f t="shared" si="319"/>
        <v>1</v>
      </c>
      <c r="KB505" s="15">
        <f t="shared" si="320"/>
        <v>1705</v>
      </c>
      <c r="KC505" s="15">
        <f t="shared" si="321"/>
        <v>6138</v>
      </c>
      <c r="KD505" s="20">
        <f t="shared" si="322"/>
        <v>3.6</v>
      </c>
      <c r="KE505" s="52" t="str">
        <f t="shared" si="323"/>
        <v/>
      </c>
      <c r="KF505" s="15">
        <f t="shared" si="324"/>
        <v>0</v>
      </c>
      <c r="KG505" s="15">
        <f t="shared" si="325"/>
        <v>0</v>
      </c>
      <c r="KH505" s="21" t="str">
        <f t="shared" si="326"/>
        <v/>
      </c>
      <c r="KI505" s="52" t="str">
        <f t="shared" si="327"/>
        <v/>
      </c>
      <c r="KJ505" s="15">
        <f t="shared" si="328"/>
        <v>0</v>
      </c>
      <c r="KK505" s="15">
        <f t="shared" si="329"/>
        <v>0</v>
      </c>
      <c r="KL505" s="19" t="str">
        <f t="shared" si="330"/>
        <v/>
      </c>
      <c r="KM505" s="52">
        <f t="shared" si="331"/>
        <v>1</v>
      </c>
      <c r="KN505" s="22">
        <f t="shared" si="332"/>
        <v>1799</v>
      </c>
      <c r="KO505" s="22">
        <f t="shared" si="333"/>
        <v>6476.4000000000005</v>
      </c>
      <c r="KP505" s="19">
        <f t="shared" si="334"/>
        <v>3.6</v>
      </c>
      <c r="KQ505" s="11" t="str">
        <f t="shared" si="335"/>
        <v>1. Neutral</v>
      </c>
      <c r="KR505" s="11" t="str">
        <f t="shared" si="336"/>
        <v>2. Accommodating</v>
      </c>
      <c r="KS505" s="11" t="str">
        <f t="shared" si="337"/>
        <v>4. Transformative</v>
      </c>
      <c r="KT505" s="11" t="str">
        <f t="shared" si="338"/>
        <v>It did not develop any specific innovation</v>
      </c>
      <c r="KU505" s="11" t="str">
        <f t="shared" si="339"/>
        <v>Little or no advocacy</v>
      </c>
      <c r="KV505" s="11" t="str">
        <f t="shared" si="340"/>
        <v>It did not take tested solutions to scale</v>
      </c>
      <c r="KW505" s="11" t="str">
        <f t="shared" si="341"/>
        <v>Myanmar - Supporting food security, resilience and social cohesion of households and communities in Rathedaung Township, Rakhine State</v>
      </c>
      <c r="KX505" s="11" t="str">
        <f t="shared" si="342"/>
        <v>Supporting food security, resilience and social cohesion of households and communities in Rathedaung Township, Rakhine State</v>
      </c>
      <c r="KY505" s="11" t="str">
        <f t="shared" si="343"/>
        <v>Myanmar</v>
      </c>
      <c r="KZ505" s="12">
        <v>505</v>
      </c>
    </row>
    <row r="506" spans="1:312" x14ac:dyDescent="0.3">
      <c r="A506" s="12" t="s">
        <v>8647</v>
      </c>
      <c r="B506" s="12" t="s">
        <v>306</v>
      </c>
      <c r="C506" s="12">
        <v>3184</v>
      </c>
      <c r="D506" s="12" t="s">
        <v>8935</v>
      </c>
      <c r="E506" s="277" t="str">
        <f t="shared" si="301"/>
        <v>Nepal</v>
      </c>
      <c r="F506" s="12" t="s">
        <v>8936</v>
      </c>
      <c r="G506" s="12" t="s">
        <v>379</v>
      </c>
      <c r="H506" s="12" t="s">
        <v>383</v>
      </c>
      <c r="I506" s="12" t="s">
        <v>384</v>
      </c>
      <c r="J506" s="281" t="s">
        <v>1395</v>
      </c>
      <c r="K506" s="12"/>
      <c r="L506" s="12"/>
      <c r="M506" s="12"/>
      <c r="N506" s="12"/>
      <c r="O506" s="12"/>
      <c r="P506" s="12"/>
      <c r="Q506" s="12"/>
      <c r="R506" s="12"/>
      <c r="S506" s="12"/>
      <c r="T506" s="12"/>
      <c r="U506" s="12"/>
      <c r="V506" s="12"/>
      <c r="W506" s="12"/>
      <c r="X506" s="12"/>
      <c r="Y506" s="12"/>
      <c r="Z506" s="12"/>
      <c r="AA506" s="12"/>
      <c r="AB506" s="12"/>
      <c r="AC506" s="12"/>
      <c r="AD506" s="12"/>
      <c r="BD506" s="13">
        <v>41760</v>
      </c>
      <c r="BE506" s="13">
        <v>42855</v>
      </c>
      <c r="BF506" s="13">
        <v>42916</v>
      </c>
      <c r="BG506" s="12" t="s">
        <v>312</v>
      </c>
      <c r="BH506" s="14">
        <v>1460645</v>
      </c>
      <c r="BI506" s="12" t="s">
        <v>8834</v>
      </c>
      <c r="BJ506" s="12" t="s">
        <v>8835</v>
      </c>
      <c r="BK506" s="12" t="s">
        <v>8836</v>
      </c>
      <c r="BL506" s="12"/>
      <c r="BM506" s="12"/>
      <c r="BN506" s="12"/>
      <c r="BO506" s="12" t="s">
        <v>319</v>
      </c>
      <c r="BP506" s="12" t="s">
        <v>320</v>
      </c>
      <c r="BQ506" s="12" t="s">
        <v>319</v>
      </c>
      <c r="BR506" s="12" t="s">
        <v>8937</v>
      </c>
      <c r="BS506" s="12" t="s">
        <v>322</v>
      </c>
      <c r="BT506" s="12" t="s">
        <v>8938</v>
      </c>
      <c r="BU506" s="12" t="s">
        <v>8939</v>
      </c>
      <c r="BV506" s="14">
        <v>1625</v>
      </c>
      <c r="BW506" s="14"/>
      <c r="BX506" s="14">
        <v>1625</v>
      </c>
      <c r="BY506" s="14">
        <v>36579</v>
      </c>
      <c r="BZ506" s="14"/>
      <c r="CA506" s="14">
        <v>36579</v>
      </c>
      <c r="CB506" s="12" t="s">
        <v>8940</v>
      </c>
      <c r="CD506" s="14"/>
      <c r="CE506" s="14"/>
      <c r="CF506" s="14"/>
      <c r="CG506" s="14"/>
      <c r="CH506" s="14"/>
      <c r="CI506" s="14"/>
      <c r="CJ506" s="12"/>
      <c r="CK506" s="14"/>
      <c r="CL506" s="16"/>
      <c r="CM506" s="14"/>
      <c r="CN506" s="12"/>
      <c r="CO506" s="14"/>
      <c r="CP506" s="16"/>
      <c r="CQ506" s="14"/>
      <c r="CR506" s="12"/>
      <c r="CS506" s="14"/>
      <c r="CT506" s="16"/>
      <c r="CU506" s="14"/>
      <c r="CV506" s="12"/>
      <c r="CW506" s="14"/>
      <c r="CX506" s="16"/>
      <c r="CY506" s="14"/>
      <c r="CZ506" s="12"/>
      <c r="DA506" s="14"/>
      <c r="DB506" s="16"/>
      <c r="DC506" s="14"/>
      <c r="DD506" s="12"/>
      <c r="DE506" s="14"/>
      <c r="DF506" s="16"/>
      <c r="DG506" s="14"/>
      <c r="DH506" s="12"/>
      <c r="DI506" s="14"/>
      <c r="DJ506" s="16"/>
      <c r="DK506" s="14"/>
      <c r="DL506" s="12"/>
      <c r="DM506" s="14"/>
      <c r="DN506" s="16"/>
      <c r="DO506" s="14"/>
      <c r="DP506" s="12"/>
      <c r="DQ506" s="14"/>
      <c r="DR506" s="16"/>
      <c r="DS506" s="14"/>
      <c r="DT506" s="12"/>
      <c r="DU506" s="14"/>
      <c r="DV506" s="16"/>
      <c r="DW506" s="14"/>
      <c r="DX506" s="12"/>
      <c r="DY506" s="14"/>
      <c r="DZ506" s="16"/>
      <c r="EA506" s="14"/>
      <c r="EB506" s="12"/>
      <c r="EC506" s="14"/>
      <c r="ED506" s="16"/>
      <c r="EE506" s="14"/>
      <c r="EF506" s="12"/>
      <c r="EG506" s="12"/>
      <c r="EH506" s="14"/>
      <c r="EI506" s="16"/>
      <c r="EJ506" s="14"/>
      <c r="EK506" s="14">
        <v>2056</v>
      </c>
      <c r="EL506" s="14"/>
      <c r="EM506" s="14">
        <v>2056</v>
      </c>
      <c r="EN506" s="14">
        <v>36579</v>
      </c>
      <c r="EO506" s="14"/>
      <c r="EP506" s="14">
        <v>36579</v>
      </c>
      <c r="EQ506" s="12"/>
      <c r="ER506" s="14"/>
      <c r="ES506" s="16"/>
      <c r="ET506" s="14"/>
      <c r="EU506" s="12"/>
      <c r="EV506" s="14"/>
      <c r="EW506" s="16"/>
      <c r="EX506" s="14"/>
      <c r="EY506" s="12"/>
      <c r="EZ506" s="14"/>
      <c r="FA506" s="16"/>
      <c r="FB506" s="14"/>
      <c r="FC506" s="12"/>
      <c r="FD506" s="14"/>
      <c r="FE506" s="16"/>
      <c r="FF506" s="14"/>
      <c r="FG506" s="12"/>
      <c r="FH506" s="14"/>
      <c r="FI506" s="16"/>
      <c r="FJ506" s="14"/>
      <c r="FK506" s="12"/>
      <c r="FL506" s="14"/>
      <c r="FM506" s="16"/>
      <c r="FN506" s="14"/>
      <c r="FO506" s="12"/>
      <c r="FP506" s="14"/>
      <c r="FQ506" s="16"/>
      <c r="FR506" s="14"/>
      <c r="FS506" s="12" t="s">
        <v>320</v>
      </c>
      <c r="FT506" s="14">
        <v>2056</v>
      </c>
      <c r="FU506" s="16">
        <v>1</v>
      </c>
      <c r="FV506" s="14"/>
      <c r="FW506" s="12"/>
      <c r="FX506" s="14"/>
      <c r="FY506" s="16"/>
      <c r="FZ506" s="14"/>
      <c r="GA506" s="12"/>
      <c r="GB506" s="14"/>
      <c r="GC506" s="16"/>
      <c r="GD506" s="14"/>
      <c r="GE506" s="12"/>
      <c r="GF506" s="14"/>
      <c r="GG506" s="16"/>
      <c r="GH506" s="14"/>
      <c r="GI506" s="12"/>
      <c r="GJ506" s="14"/>
      <c r="GK506" s="16"/>
      <c r="GL506" s="14"/>
      <c r="GM506" s="12"/>
      <c r="GN506" s="14"/>
      <c r="GO506" s="16"/>
      <c r="GP506" s="14"/>
      <c r="GQ506" s="12"/>
      <c r="GR506" s="14"/>
      <c r="GS506" s="16"/>
      <c r="GT506" s="14"/>
      <c r="GU506" s="12"/>
      <c r="GV506" s="14"/>
      <c r="GW506" s="16"/>
      <c r="GX506" s="14"/>
      <c r="GY506" s="12"/>
      <c r="GZ506" s="14"/>
      <c r="HA506" s="16"/>
      <c r="HB506" s="14"/>
      <c r="HC506" s="12"/>
      <c r="HD506" s="12"/>
      <c r="HE506" s="14"/>
      <c r="HF506" s="16"/>
      <c r="HG506" s="14"/>
      <c r="HH506" s="12" t="s">
        <v>319</v>
      </c>
      <c r="HI506" s="12"/>
      <c r="HJ506" s="12"/>
      <c r="HK506" s="12"/>
      <c r="HL506" s="12"/>
      <c r="HM506" s="12"/>
      <c r="HN506" s="12"/>
      <c r="HO506" s="12"/>
      <c r="HP506" s="12" t="s">
        <v>330</v>
      </c>
      <c r="HQ506" s="12"/>
      <c r="HR506" s="12"/>
      <c r="HS506" s="12"/>
      <c r="HT506" s="12" t="s">
        <v>320</v>
      </c>
      <c r="HU506" s="12" t="s">
        <v>320</v>
      </c>
      <c r="HV506" s="12"/>
      <c r="HW506" s="12"/>
      <c r="HX506" s="12"/>
      <c r="HY506" s="12"/>
      <c r="HZ506" s="12" t="s">
        <v>394</v>
      </c>
      <c r="IA506" s="12" t="s">
        <v>8941</v>
      </c>
      <c r="IB506" s="12" t="s">
        <v>667</v>
      </c>
      <c r="IC506" s="12"/>
      <c r="ID506" s="12" t="s">
        <v>477</v>
      </c>
      <c r="IE506" s="12" t="s">
        <v>478</v>
      </c>
      <c r="IF506" s="12" t="s">
        <v>320</v>
      </c>
      <c r="IG506" s="12" t="s">
        <v>320</v>
      </c>
      <c r="IH506" s="12" t="s">
        <v>320</v>
      </c>
      <c r="II506" s="12" t="s">
        <v>320</v>
      </c>
      <c r="IJ506" s="12" t="str">
        <f t="shared" si="302"/>
        <v>4. Transformative</v>
      </c>
      <c r="IK506" s="12">
        <f t="shared" si="303"/>
        <v>4</v>
      </c>
      <c r="IL506" s="12" t="s">
        <v>336</v>
      </c>
      <c r="IM506" s="12" t="s">
        <v>320</v>
      </c>
      <c r="IN506" s="12" t="s">
        <v>320</v>
      </c>
      <c r="IO506" s="12" t="s">
        <v>320</v>
      </c>
      <c r="IP506" s="12" t="s">
        <v>320</v>
      </c>
      <c r="IQ506" s="12" t="str">
        <f t="shared" si="304"/>
        <v>2. Accommodating</v>
      </c>
      <c r="IR506" s="12">
        <f t="shared" si="305"/>
        <v>4</v>
      </c>
      <c r="IS506" s="12" t="s">
        <v>337</v>
      </c>
      <c r="IT506" s="12" t="s">
        <v>320</v>
      </c>
      <c r="IU506" s="12" t="s">
        <v>320</v>
      </c>
      <c r="IV506" s="12" t="s">
        <v>320</v>
      </c>
      <c r="IW506" s="11" t="str">
        <f t="shared" si="306"/>
        <v>2. Sensitive</v>
      </c>
      <c r="IX506" s="12">
        <f t="shared" si="307"/>
        <v>3</v>
      </c>
      <c r="IY506" s="12" t="s">
        <v>338</v>
      </c>
      <c r="IZ506" s="12" t="s">
        <v>457</v>
      </c>
      <c r="JA506" s="12">
        <v>2</v>
      </c>
      <c r="JB506" s="12" t="s">
        <v>433</v>
      </c>
      <c r="JC506" s="12"/>
      <c r="JD506" s="12"/>
      <c r="JE506" s="12"/>
      <c r="JF506" s="12"/>
      <c r="JG506" s="12"/>
      <c r="JH506" s="12"/>
      <c r="JI506" s="12"/>
      <c r="JJ506" s="12"/>
      <c r="JK506" s="12" t="s">
        <v>8942</v>
      </c>
      <c r="JL506" s="12" t="s">
        <v>8943</v>
      </c>
      <c r="JM506" s="12" t="s">
        <v>8944</v>
      </c>
      <c r="JN506" s="12"/>
      <c r="JO506" s="12"/>
      <c r="JP506" s="15">
        <f t="shared" si="308"/>
        <v>2056</v>
      </c>
      <c r="JQ506" s="15">
        <f t="shared" si="309"/>
        <v>36579</v>
      </c>
      <c r="JR506" s="279">
        <f t="shared" si="310"/>
        <v>17.79134241245136</v>
      </c>
      <c r="JS506" s="17">
        <f t="shared" si="311"/>
        <v>1</v>
      </c>
      <c r="JT506" s="18">
        <f t="shared" si="312"/>
        <v>1</v>
      </c>
      <c r="JU506" s="280">
        <f t="shared" si="313"/>
        <v>2056</v>
      </c>
      <c r="JV506" s="280">
        <f t="shared" si="314"/>
        <v>36579</v>
      </c>
      <c r="JW506" s="319" t="str">
        <f t="shared" si="315"/>
        <v/>
      </c>
      <c r="JX506" s="15">
        <f t="shared" si="316"/>
        <v>0</v>
      </c>
      <c r="JY506" s="15">
        <f t="shared" si="317"/>
        <v>0</v>
      </c>
      <c r="JZ506" s="19" t="str">
        <f t="shared" si="318"/>
        <v/>
      </c>
      <c r="KA506" s="52" t="str">
        <f t="shared" si="319"/>
        <v/>
      </c>
      <c r="KB506" s="15">
        <f t="shared" si="320"/>
        <v>0</v>
      </c>
      <c r="KC506" s="15">
        <f t="shared" si="321"/>
        <v>0</v>
      </c>
      <c r="KD506" s="20" t="str">
        <f t="shared" si="322"/>
        <v/>
      </c>
      <c r="KE506" s="52" t="str">
        <f t="shared" si="323"/>
        <v/>
      </c>
      <c r="KF506" s="15">
        <f t="shared" si="324"/>
        <v>0</v>
      </c>
      <c r="KG506" s="15">
        <f t="shared" si="325"/>
        <v>0</v>
      </c>
      <c r="KH506" s="21" t="str">
        <f t="shared" si="326"/>
        <v/>
      </c>
      <c r="KI506" s="52">
        <f t="shared" si="327"/>
        <v>1</v>
      </c>
      <c r="KJ506" s="15">
        <f t="shared" si="328"/>
        <v>2056</v>
      </c>
      <c r="KK506" s="15">
        <f t="shared" si="329"/>
        <v>0</v>
      </c>
      <c r="KL506" s="19">
        <f t="shared" si="330"/>
        <v>0</v>
      </c>
      <c r="KM506" s="52" t="str">
        <f t="shared" si="331"/>
        <v/>
      </c>
      <c r="KN506" s="22">
        <f t="shared" si="332"/>
        <v>0</v>
      </c>
      <c r="KO506" s="22">
        <f t="shared" si="333"/>
        <v>0</v>
      </c>
      <c r="KP506" s="19" t="str">
        <f t="shared" si="334"/>
        <v/>
      </c>
      <c r="KQ506" s="11" t="str">
        <f t="shared" si="335"/>
        <v>4. Transformative</v>
      </c>
      <c r="KR506" s="11" t="str">
        <f t="shared" si="336"/>
        <v>2. Accommodating</v>
      </c>
      <c r="KS506" s="11" t="str">
        <f t="shared" si="337"/>
        <v>2. Sensitive</v>
      </c>
      <c r="KT506" s="11" t="str">
        <f t="shared" si="338"/>
        <v>It tested new ways for fighting poverty, but did not measure results of innovation</v>
      </c>
      <c r="KU506" s="11" t="str">
        <f t="shared" si="339"/>
        <v>Moderate advocacy</v>
      </c>
      <c r="KV506" s="11" t="str">
        <f t="shared" si="340"/>
        <v>It took tested solutions to scale on its own</v>
      </c>
      <c r="KW506" s="11" t="str">
        <f t="shared" si="341"/>
        <v>Nepal - Aba Mero Palo (Tipping Point)</v>
      </c>
      <c r="KX506" s="11" t="str">
        <f t="shared" si="342"/>
        <v>Aba Mero Palo (Tipping Point)</v>
      </c>
      <c r="KY506" s="11" t="str">
        <f t="shared" si="343"/>
        <v>Nepal</v>
      </c>
      <c r="KZ506" s="12">
        <v>506</v>
      </c>
    </row>
    <row r="507" spans="1:312" x14ac:dyDescent="0.3">
      <c r="A507" s="12" t="s">
        <v>8647</v>
      </c>
      <c r="B507" s="12" t="s">
        <v>306</v>
      </c>
      <c r="C507" s="12">
        <v>3174</v>
      </c>
      <c r="D507" s="12" t="s">
        <v>8685</v>
      </c>
      <c r="E507" s="277" t="str">
        <f t="shared" si="301"/>
        <v>Nepal</v>
      </c>
      <c r="F507" s="12" t="s">
        <v>8686</v>
      </c>
      <c r="G507" s="12" t="s">
        <v>1853</v>
      </c>
      <c r="H507" s="12" t="s">
        <v>310</v>
      </c>
      <c r="I507" s="12" t="s">
        <v>1854</v>
      </c>
      <c r="J507" s="281" t="s">
        <v>4495</v>
      </c>
      <c r="K507" s="12"/>
      <c r="L507" s="12"/>
      <c r="M507" s="12"/>
      <c r="N507" s="12"/>
      <c r="O507" s="12"/>
      <c r="P507" s="12"/>
      <c r="Q507" s="12"/>
      <c r="R507" s="12"/>
      <c r="S507" s="12"/>
      <c r="T507" s="12"/>
      <c r="U507" s="12"/>
      <c r="V507" s="12"/>
      <c r="W507" s="12"/>
      <c r="X507" s="12"/>
      <c r="Y507" s="12"/>
      <c r="Z507" s="12"/>
      <c r="AA507" s="12"/>
      <c r="AB507" s="12"/>
      <c r="AC507" s="12"/>
      <c r="AD507" s="12"/>
      <c r="BD507" s="13">
        <v>42186</v>
      </c>
      <c r="BE507" s="13">
        <v>43465</v>
      </c>
      <c r="BF507" s="12"/>
      <c r="BG507" s="12" t="s">
        <v>312</v>
      </c>
      <c r="BH507" s="14">
        <v>1802545</v>
      </c>
      <c r="BI507" s="12" t="s">
        <v>8687</v>
      </c>
      <c r="BJ507" s="12" t="s">
        <v>8688</v>
      </c>
      <c r="BK507" s="12" t="s">
        <v>8689</v>
      </c>
      <c r="BL507" s="12" t="s">
        <v>8690</v>
      </c>
      <c r="BM507" s="12" t="s">
        <v>354</v>
      </c>
      <c r="BN507" s="12" t="s">
        <v>8691</v>
      </c>
      <c r="BO507" s="12" t="s">
        <v>319</v>
      </c>
      <c r="BP507" s="12" t="s">
        <v>320</v>
      </c>
      <c r="BQ507" s="12" t="s">
        <v>319</v>
      </c>
      <c r="BR507" s="12" t="s">
        <v>8692</v>
      </c>
      <c r="BS507" s="12" t="s">
        <v>357</v>
      </c>
      <c r="BT507" s="12" t="s">
        <v>8693</v>
      </c>
      <c r="BU507" s="12" t="s">
        <v>8694</v>
      </c>
      <c r="BV507" s="14">
        <v>9341</v>
      </c>
      <c r="BW507" s="14">
        <v>8059</v>
      </c>
      <c r="BX507" s="14">
        <v>17400</v>
      </c>
      <c r="BY507" s="14">
        <v>43411</v>
      </c>
      <c r="BZ507" s="14">
        <v>30841</v>
      </c>
      <c r="CA507" s="14">
        <v>74252</v>
      </c>
      <c r="CB507" s="12" t="s">
        <v>8695</v>
      </c>
      <c r="CD507" s="14"/>
      <c r="CE507" s="14"/>
      <c r="CF507" s="14"/>
      <c r="CG507" s="14"/>
      <c r="CH507" s="14"/>
      <c r="CI507" s="14"/>
      <c r="CJ507" s="12"/>
      <c r="CK507" s="14"/>
      <c r="CL507" s="16"/>
      <c r="CM507" s="14"/>
      <c r="CN507" s="12"/>
      <c r="CO507" s="14"/>
      <c r="CP507" s="16"/>
      <c r="CQ507" s="14"/>
      <c r="CR507" s="12"/>
      <c r="CS507" s="14"/>
      <c r="CT507" s="16"/>
      <c r="CU507" s="14"/>
      <c r="CV507" s="12"/>
      <c r="CW507" s="14"/>
      <c r="CX507" s="16"/>
      <c r="CY507" s="14"/>
      <c r="CZ507" s="12"/>
      <c r="DA507" s="14"/>
      <c r="DB507" s="16"/>
      <c r="DC507" s="14"/>
      <c r="DD507" s="12"/>
      <c r="DE507" s="14"/>
      <c r="DF507" s="16"/>
      <c r="DG507" s="14"/>
      <c r="DH507" s="12"/>
      <c r="DI507" s="14"/>
      <c r="DJ507" s="16"/>
      <c r="DK507" s="14"/>
      <c r="DL507" s="12"/>
      <c r="DM507" s="14"/>
      <c r="DN507" s="16"/>
      <c r="DO507" s="14"/>
      <c r="DP507" s="12"/>
      <c r="DQ507" s="14"/>
      <c r="DR507" s="16"/>
      <c r="DS507" s="14"/>
      <c r="DT507" s="12"/>
      <c r="DU507" s="14"/>
      <c r="DV507" s="16"/>
      <c r="DW507" s="14"/>
      <c r="DX507" s="12"/>
      <c r="DY507" s="14"/>
      <c r="DZ507" s="16"/>
      <c r="EA507" s="14"/>
      <c r="EB507" s="12"/>
      <c r="EC507" s="14"/>
      <c r="ED507" s="16"/>
      <c r="EE507" s="14"/>
      <c r="EF507" s="12"/>
      <c r="EG507" s="12"/>
      <c r="EH507" s="14"/>
      <c r="EI507" s="16"/>
      <c r="EJ507" s="14"/>
      <c r="EK507" s="14">
        <v>9341</v>
      </c>
      <c r="EL507" s="14">
        <v>8059</v>
      </c>
      <c r="EM507" s="14">
        <v>17400</v>
      </c>
      <c r="EN507" s="14">
        <v>30841</v>
      </c>
      <c r="EO507" s="14">
        <v>43411</v>
      </c>
      <c r="EP507" s="14">
        <v>74252</v>
      </c>
      <c r="EQ507" s="12" t="s">
        <v>320</v>
      </c>
      <c r="ER507" s="14">
        <v>3764</v>
      </c>
      <c r="ES507" s="16">
        <v>0.467853347502656</v>
      </c>
      <c r="ET507" s="14">
        <v>38304</v>
      </c>
      <c r="EU507" s="12"/>
      <c r="EV507" s="14"/>
      <c r="EW507" s="16"/>
      <c r="EX507" s="14"/>
      <c r="EY507" s="12"/>
      <c r="EZ507" s="14"/>
      <c r="FA507" s="16"/>
      <c r="FB507" s="14"/>
      <c r="FC507" s="12"/>
      <c r="FD507" s="14"/>
      <c r="FE507" s="16"/>
      <c r="FF507" s="14"/>
      <c r="FG507" s="12"/>
      <c r="FH507" s="14"/>
      <c r="FI507" s="16"/>
      <c r="FJ507" s="14"/>
      <c r="FK507" s="12" t="s">
        <v>320</v>
      </c>
      <c r="FL507" s="14">
        <v>4521</v>
      </c>
      <c r="FM507" s="16">
        <v>0.47091351470913501</v>
      </c>
      <c r="FN507" s="14">
        <v>31390</v>
      </c>
      <c r="FO507" s="12"/>
      <c r="FP507" s="14"/>
      <c r="FQ507" s="16"/>
      <c r="FR507" s="14"/>
      <c r="FS507" s="12"/>
      <c r="FT507" s="14"/>
      <c r="FU507" s="16"/>
      <c r="FV507" s="14"/>
      <c r="FW507" s="12"/>
      <c r="FX507" s="14"/>
      <c r="FY507" s="16"/>
      <c r="FZ507" s="14"/>
      <c r="GA507" s="12"/>
      <c r="GB507" s="14"/>
      <c r="GC507" s="16"/>
      <c r="GD507" s="14"/>
      <c r="GE507" s="12"/>
      <c r="GF507" s="14"/>
      <c r="GG507" s="16"/>
      <c r="GH507" s="14"/>
      <c r="GI507" s="12"/>
      <c r="GJ507" s="14"/>
      <c r="GK507" s="16"/>
      <c r="GL507" s="14"/>
      <c r="GM507" s="12"/>
      <c r="GN507" s="14"/>
      <c r="GO507" s="16"/>
      <c r="GP507" s="14"/>
      <c r="GQ507" s="12" t="s">
        <v>320</v>
      </c>
      <c r="GR507" s="14">
        <v>9115</v>
      </c>
      <c r="GS507" s="16">
        <v>0.59802523313219902</v>
      </c>
      <c r="GT507" s="14">
        <v>4558</v>
      </c>
      <c r="GU507" s="12"/>
      <c r="GV507" s="14"/>
      <c r="GW507" s="16"/>
      <c r="GX507" s="14"/>
      <c r="GY507" s="12"/>
      <c r="GZ507" s="14"/>
      <c r="HA507" s="16"/>
      <c r="HB507" s="14"/>
      <c r="HC507" s="12"/>
      <c r="HD507" s="12"/>
      <c r="HE507" s="14"/>
      <c r="HF507" s="16"/>
      <c r="HG507" s="14"/>
      <c r="HH507" s="12"/>
      <c r="HI507" s="12"/>
      <c r="HJ507" s="12"/>
      <c r="HK507" s="12"/>
      <c r="HL507" s="12" t="s">
        <v>319</v>
      </c>
      <c r="HM507" s="12"/>
      <c r="HN507" s="12"/>
      <c r="HO507" s="12" t="s">
        <v>8696</v>
      </c>
      <c r="HP507" s="12" t="s">
        <v>330</v>
      </c>
      <c r="HQ507" s="12"/>
      <c r="HR507" s="12" t="s">
        <v>320</v>
      </c>
      <c r="HS507" s="12" t="s">
        <v>320</v>
      </c>
      <c r="HT507" s="12" t="s">
        <v>320</v>
      </c>
      <c r="HU507" s="12" t="s">
        <v>320</v>
      </c>
      <c r="HV507" s="12" t="s">
        <v>320</v>
      </c>
      <c r="HW507" s="12"/>
      <c r="HX507" s="12" t="s">
        <v>320</v>
      </c>
      <c r="HY507" s="12" t="s">
        <v>8697</v>
      </c>
      <c r="HZ507" s="12" t="s">
        <v>394</v>
      </c>
      <c r="IA507" s="12" t="s">
        <v>8698</v>
      </c>
      <c r="IB507" s="12" t="s">
        <v>396</v>
      </c>
      <c r="IC507" s="12" t="s">
        <v>8699</v>
      </c>
      <c r="ID507" s="12" t="s">
        <v>334</v>
      </c>
      <c r="IE507" s="12" t="s">
        <v>335</v>
      </c>
      <c r="IF507" s="12" t="s">
        <v>320</v>
      </c>
      <c r="IG507" s="12" t="s">
        <v>320</v>
      </c>
      <c r="IH507" s="12" t="s">
        <v>320</v>
      </c>
      <c r="II507" s="12" t="s">
        <v>320</v>
      </c>
      <c r="IJ507" s="12" t="str">
        <f t="shared" si="302"/>
        <v>2. Sensitive</v>
      </c>
      <c r="IK507" s="12">
        <f t="shared" si="303"/>
        <v>4</v>
      </c>
      <c r="IL507" s="12" t="s">
        <v>336</v>
      </c>
      <c r="IM507" s="12" t="s">
        <v>320</v>
      </c>
      <c r="IN507" s="12" t="s">
        <v>320</v>
      </c>
      <c r="IO507" s="12" t="s">
        <v>320</v>
      </c>
      <c r="IP507" s="12" t="s">
        <v>320</v>
      </c>
      <c r="IQ507" s="12" t="str">
        <f t="shared" si="304"/>
        <v>2. Accommodating</v>
      </c>
      <c r="IR507" s="12">
        <f t="shared" si="305"/>
        <v>4</v>
      </c>
      <c r="IS507" s="12" t="s">
        <v>622</v>
      </c>
      <c r="IT507" s="12" t="s">
        <v>320</v>
      </c>
      <c r="IU507" s="12" t="s">
        <v>320</v>
      </c>
      <c r="IV507" s="12" t="s">
        <v>320</v>
      </c>
      <c r="IW507" s="11" t="str">
        <f t="shared" si="306"/>
        <v>4. Transformative</v>
      </c>
      <c r="IX507" s="12">
        <f t="shared" si="307"/>
        <v>3</v>
      </c>
      <c r="IY507" s="12" t="s">
        <v>419</v>
      </c>
      <c r="IZ507" s="12" t="s">
        <v>457</v>
      </c>
      <c r="JA507" s="12">
        <v>2</v>
      </c>
      <c r="JB507" s="12" t="s">
        <v>433</v>
      </c>
      <c r="JC507" s="12" t="s">
        <v>687</v>
      </c>
      <c r="JD507" s="12" t="s">
        <v>624</v>
      </c>
      <c r="JE507" s="12" t="s">
        <v>340</v>
      </c>
      <c r="JF507" s="12" t="s">
        <v>8700</v>
      </c>
      <c r="JG507" s="12" t="s">
        <v>8701</v>
      </c>
      <c r="JH507" s="12" t="s">
        <v>8702</v>
      </c>
      <c r="JI507" s="12" t="s">
        <v>8703</v>
      </c>
      <c r="JJ507" s="12" t="s">
        <v>8704</v>
      </c>
      <c r="JK507" s="12" t="s">
        <v>8705</v>
      </c>
      <c r="JL507" s="12" t="s">
        <v>8706</v>
      </c>
      <c r="JM507" s="12" t="s">
        <v>8707</v>
      </c>
      <c r="JN507" s="12" t="s">
        <v>8708</v>
      </c>
      <c r="JO507" s="12" t="s">
        <v>8709</v>
      </c>
      <c r="JP507" s="15">
        <f t="shared" si="308"/>
        <v>17400</v>
      </c>
      <c r="JQ507" s="15">
        <f t="shared" si="309"/>
        <v>74252</v>
      </c>
      <c r="JR507" s="279">
        <f t="shared" si="310"/>
        <v>4.2673563218390802</v>
      </c>
      <c r="JS507" s="17">
        <f t="shared" si="311"/>
        <v>0.53683908045977013</v>
      </c>
      <c r="JT507" s="18">
        <f t="shared" si="312"/>
        <v>0.41535581533157356</v>
      </c>
      <c r="JU507" s="280">
        <f t="shared" si="313"/>
        <v>9341</v>
      </c>
      <c r="JV507" s="280">
        <f t="shared" si="314"/>
        <v>30841</v>
      </c>
      <c r="JW507" s="319" t="str">
        <f t="shared" si="315"/>
        <v/>
      </c>
      <c r="JX507" s="15">
        <f t="shared" si="316"/>
        <v>0</v>
      </c>
      <c r="JY507" s="15">
        <f t="shared" si="317"/>
        <v>0</v>
      </c>
      <c r="JZ507" s="19" t="str">
        <f t="shared" si="318"/>
        <v/>
      </c>
      <c r="KA507" s="52">
        <f t="shared" si="319"/>
        <v>1</v>
      </c>
      <c r="KB507" s="15">
        <f t="shared" si="320"/>
        <v>3764</v>
      </c>
      <c r="KC507" s="15">
        <f t="shared" si="321"/>
        <v>38304</v>
      </c>
      <c r="KD507" s="20">
        <f t="shared" si="322"/>
        <v>10.176408076514347</v>
      </c>
      <c r="KE507" s="52">
        <f t="shared" si="323"/>
        <v>1</v>
      </c>
      <c r="KF507" s="15">
        <f t="shared" si="324"/>
        <v>9115</v>
      </c>
      <c r="KG507" s="15">
        <f t="shared" si="325"/>
        <v>4558</v>
      </c>
      <c r="KH507" s="21">
        <f t="shared" si="326"/>
        <v>0.50005485463521671</v>
      </c>
      <c r="KI507" s="52" t="str">
        <f t="shared" si="327"/>
        <v/>
      </c>
      <c r="KJ507" s="15">
        <f t="shared" si="328"/>
        <v>0</v>
      </c>
      <c r="KK507" s="15">
        <f t="shared" si="329"/>
        <v>0</v>
      </c>
      <c r="KL507" s="19" t="str">
        <f t="shared" si="330"/>
        <v/>
      </c>
      <c r="KM507" s="52" t="str">
        <f t="shared" si="331"/>
        <v/>
      </c>
      <c r="KN507" s="22">
        <f t="shared" si="332"/>
        <v>0</v>
      </c>
      <c r="KO507" s="22">
        <f t="shared" si="333"/>
        <v>0</v>
      </c>
      <c r="KP507" s="19" t="str">
        <f t="shared" si="334"/>
        <v/>
      </c>
      <c r="KQ507" s="11" t="str">
        <f t="shared" si="335"/>
        <v>2. Sensitive</v>
      </c>
      <c r="KR507" s="11" t="str">
        <f t="shared" si="336"/>
        <v>2. Accommodating</v>
      </c>
      <c r="KS507" s="11" t="str">
        <f t="shared" si="337"/>
        <v>4. Transformative</v>
      </c>
      <c r="KT507" s="11" t="str">
        <f t="shared" si="338"/>
        <v>It tested new ways for fighting poverty, but did not measure results of innovation</v>
      </c>
      <c r="KU507" s="11" t="str">
        <f t="shared" si="339"/>
        <v>Moderate advocacy</v>
      </c>
      <c r="KV507" s="11" t="str">
        <f t="shared" si="340"/>
        <v>It linked and worked with strategic alliances and partners to take tested and effective solutions to scale</v>
      </c>
      <c r="KW507" s="11" t="str">
        <f t="shared" si="341"/>
        <v>Nepal - AWASAR Project (De glemte born i Himalaya-U-landskalenderprojekt 2015)</v>
      </c>
      <c r="KX507" s="11" t="str">
        <f t="shared" si="342"/>
        <v>AWASAR Project (De glemte born i Himalaya-U-landskalenderprojekt 2015)</v>
      </c>
      <c r="KY507" s="11" t="str">
        <f t="shared" si="343"/>
        <v>Nepal</v>
      </c>
      <c r="KZ507" s="287">
        <v>507</v>
      </c>
    </row>
    <row r="508" spans="1:312" x14ac:dyDescent="0.3">
      <c r="A508" s="282" t="s">
        <v>8647</v>
      </c>
      <c r="B508" s="282" t="s">
        <v>306</v>
      </c>
      <c r="C508" s="282"/>
      <c r="D508" s="282" t="s">
        <v>8730</v>
      </c>
      <c r="E508" s="277" t="str">
        <f t="shared" si="301"/>
        <v>Nepal</v>
      </c>
      <c r="F508" s="282" t="s">
        <v>8731</v>
      </c>
      <c r="G508" s="282" t="s">
        <v>1738</v>
      </c>
      <c r="H508" s="282" t="s">
        <v>489</v>
      </c>
      <c r="I508" s="282" t="s">
        <v>2595</v>
      </c>
      <c r="J508" s="281" t="s">
        <v>8732</v>
      </c>
      <c r="K508" s="282"/>
      <c r="L508" s="282"/>
      <c r="M508" s="282"/>
      <c r="N508" s="282"/>
      <c r="O508" s="282"/>
      <c r="P508" s="282"/>
      <c r="Q508" s="282"/>
      <c r="R508" s="282"/>
      <c r="S508" s="282"/>
      <c r="T508" s="282"/>
      <c r="U508" s="282"/>
      <c r="V508" s="282"/>
      <c r="W508" s="282"/>
      <c r="X508" s="282"/>
      <c r="Y508" s="282"/>
      <c r="Z508" s="282"/>
      <c r="AA508" s="282"/>
      <c r="AB508" s="282"/>
      <c r="AC508" s="282"/>
      <c r="AD508" s="282"/>
      <c r="AE508" s="282"/>
      <c r="AF508" s="282"/>
      <c r="AG508" s="282"/>
      <c r="AH508" s="282"/>
      <c r="AI508" s="282"/>
      <c r="AJ508" s="282"/>
      <c r="AK508" s="282"/>
      <c r="AL508" s="282"/>
      <c r="AM508" s="282"/>
      <c r="AN508" s="282"/>
      <c r="AO508" s="282"/>
      <c r="AP508" s="282"/>
      <c r="AQ508" s="282"/>
      <c r="AR508" s="282"/>
      <c r="AS508" s="282"/>
      <c r="AT508" s="282"/>
      <c r="AU508" s="282"/>
      <c r="AV508" s="282"/>
      <c r="AW508" s="282"/>
      <c r="AX508" s="282"/>
      <c r="AY508" s="282"/>
      <c r="AZ508" s="282"/>
      <c r="BA508" s="282"/>
      <c r="BB508" s="282"/>
      <c r="BC508" s="282"/>
      <c r="BD508" s="283">
        <v>42377</v>
      </c>
      <c r="BE508" s="283">
        <v>43312</v>
      </c>
      <c r="BF508" s="283"/>
      <c r="BG508" s="283" t="s">
        <v>947</v>
      </c>
      <c r="BH508" s="284">
        <v>243852.82500000001</v>
      </c>
      <c r="BI508" s="282" t="s">
        <v>8678</v>
      </c>
      <c r="BJ508" s="282" t="s">
        <v>8679</v>
      </c>
      <c r="BK508" s="282" t="s">
        <v>8680</v>
      </c>
      <c r="BL508" s="282"/>
      <c r="BM508" s="282"/>
      <c r="BN508" s="282"/>
      <c r="BO508" s="282" t="s">
        <v>320</v>
      </c>
      <c r="BP508" s="282" t="s">
        <v>319</v>
      </c>
      <c r="BQ508" s="282" t="s">
        <v>319</v>
      </c>
      <c r="BR508" s="282" t="s">
        <v>8733</v>
      </c>
      <c r="BS508" s="282" t="s">
        <v>357</v>
      </c>
      <c r="BT508" s="282" t="s">
        <v>8734</v>
      </c>
      <c r="BU508" s="282" t="s">
        <v>8735</v>
      </c>
      <c r="BV508" s="284">
        <v>1437</v>
      </c>
      <c r="BW508" s="284">
        <v>49</v>
      </c>
      <c r="BX508" s="284">
        <v>1486</v>
      </c>
      <c r="BY508" s="284"/>
      <c r="BZ508" s="284"/>
      <c r="CA508" s="284"/>
      <c r="CB508" s="285"/>
      <c r="CC508" s="285"/>
      <c r="CD508" s="284">
        <v>1437</v>
      </c>
      <c r="CE508" s="284">
        <v>49</v>
      </c>
      <c r="CF508" s="284">
        <v>1486</v>
      </c>
      <c r="CG508" s="284"/>
      <c r="CH508" s="284"/>
      <c r="CI508" s="284"/>
      <c r="CJ508" s="282"/>
      <c r="CK508" s="284"/>
      <c r="CL508" s="286"/>
      <c r="CM508" s="284"/>
      <c r="CN508" s="287"/>
      <c r="CO508" s="284"/>
      <c r="CP508" s="286"/>
      <c r="CQ508" s="284"/>
      <c r="CR508" s="282"/>
      <c r="CS508" s="284"/>
      <c r="CT508" s="286"/>
      <c r="CU508" s="284"/>
      <c r="CV508" s="292" t="s">
        <v>320</v>
      </c>
      <c r="CW508" s="300">
        <v>108</v>
      </c>
      <c r="CX508" s="308">
        <v>1</v>
      </c>
      <c r="CY508" s="306"/>
      <c r="CZ508" s="282"/>
      <c r="DA508" s="284"/>
      <c r="DB508" s="286"/>
      <c r="DC508" s="284"/>
      <c r="DD508" s="287"/>
      <c r="DE508" s="284"/>
      <c r="DF508" s="286"/>
      <c r="DG508" s="284"/>
      <c r="DH508" s="282"/>
      <c r="DI508" s="284"/>
      <c r="DJ508" s="286"/>
      <c r="DK508" s="284"/>
      <c r="DL508" s="282"/>
      <c r="DM508" s="284"/>
      <c r="DN508" s="286"/>
      <c r="DO508" s="284"/>
      <c r="DP508" s="282"/>
      <c r="DQ508" s="284"/>
      <c r="DR508" s="286"/>
      <c r="DS508" s="284"/>
      <c r="DT508" s="282" t="s">
        <v>320</v>
      </c>
      <c r="DU508" s="284">
        <v>1420</v>
      </c>
      <c r="DV508" s="286">
        <v>0.96</v>
      </c>
      <c r="DW508" s="284"/>
      <c r="DX508" s="282"/>
      <c r="DY508" s="284"/>
      <c r="DZ508" s="286"/>
      <c r="EA508" s="284"/>
      <c r="EB508" s="282" t="s">
        <v>320</v>
      </c>
      <c r="EC508" s="284">
        <v>108</v>
      </c>
      <c r="ED508" s="286">
        <v>1</v>
      </c>
      <c r="EE508" s="284"/>
      <c r="EF508" s="285"/>
      <c r="EG508" s="287"/>
      <c r="EH508" s="284"/>
      <c r="EI508" s="286"/>
      <c r="EJ508" s="284"/>
      <c r="EK508" s="284"/>
      <c r="EL508" s="284"/>
      <c r="EM508" s="284"/>
      <c r="EN508" s="284"/>
      <c r="EO508" s="284"/>
      <c r="EP508" s="284"/>
      <c r="EQ508" s="282"/>
      <c r="ER508" s="284"/>
      <c r="ES508" s="286"/>
      <c r="ET508" s="284"/>
      <c r="EU508" s="282"/>
      <c r="EV508" s="284"/>
      <c r="EW508" s="286"/>
      <c r="EX508" s="284"/>
      <c r="EY508" s="282"/>
      <c r="EZ508" s="284"/>
      <c r="FA508" s="286"/>
      <c r="FB508" s="284"/>
      <c r="FC508" s="282"/>
      <c r="FD508" s="284"/>
      <c r="FE508" s="286"/>
      <c r="FF508" s="284"/>
      <c r="FG508" s="282"/>
      <c r="FH508" s="284"/>
      <c r="FI508" s="286"/>
      <c r="FJ508" s="284"/>
      <c r="FK508" s="282"/>
      <c r="FL508" s="284"/>
      <c r="FM508" s="286"/>
      <c r="FN508" s="284"/>
      <c r="FP508" s="11"/>
      <c r="FQ508" s="11"/>
      <c r="FR508" s="300"/>
      <c r="FS508" s="282"/>
      <c r="FT508" s="284"/>
      <c r="FU508" s="286"/>
      <c r="FV508" s="284"/>
      <c r="FW508" s="282"/>
      <c r="FX508" s="284"/>
      <c r="FY508" s="286"/>
      <c r="FZ508" s="284"/>
      <c r="GA508" s="282"/>
      <c r="GB508" s="284"/>
      <c r="GC508" s="286"/>
      <c r="GD508" s="284"/>
      <c r="GE508" s="282"/>
      <c r="GF508" s="284"/>
      <c r="GG508" s="286"/>
      <c r="GH508" s="284"/>
      <c r="GI508" s="282"/>
      <c r="GJ508" s="284"/>
      <c r="GK508" s="286"/>
      <c r="GL508" s="284"/>
      <c r="GM508" s="282"/>
      <c r="GN508" s="284"/>
      <c r="GO508" s="286"/>
      <c r="GP508" s="284"/>
      <c r="GQ508" s="282"/>
      <c r="GR508" s="284"/>
      <c r="GS508" s="286"/>
      <c r="GT508" s="284"/>
      <c r="GU508" s="282"/>
      <c r="GV508" s="284"/>
      <c r="GW508" s="286"/>
      <c r="GX508" s="284"/>
      <c r="GY508" s="282"/>
      <c r="GZ508" s="284"/>
      <c r="HA508" s="286"/>
      <c r="HB508" s="284"/>
      <c r="HC508" s="282"/>
      <c r="HD508" s="282"/>
      <c r="HE508" s="284"/>
      <c r="HF508" s="286"/>
      <c r="HG508" s="284"/>
      <c r="HH508" s="282" t="s">
        <v>319</v>
      </c>
      <c r="HI508" s="282"/>
      <c r="HJ508" s="282"/>
      <c r="HK508" s="282"/>
      <c r="HL508" s="282" t="s">
        <v>320</v>
      </c>
      <c r="HM508" s="282" t="s">
        <v>451</v>
      </c>
      <c r="HN508" s="282">
        <v>2018</v>
      </c>
      <c r="HO508" s="282"/>
      <c r="HP508" s="282" t="s">
        <v>330</v>
      </c>
      <c r="HQ508" s="282" t="s">
        <v>319</v>
      </c>
      <c r="HR508" s="282" t="s">
        <v>319</v>
      </c>
      <c r="HS508" s="282" t="s">
        <v>320</v>
      </c>
      <c r="HT508" s="282" t="s">
        <v>320</v>
      </c>
      <c r="HU508" s="282" t="s">
        <v>320</v>
      </c>
      <c r="HV508" s="282" t="s">
        <v>319</v>
      </c>
      <c r="HW508" s="282" t="s">
        <v>319</v>
      </c>
      <c r="HX508" s="282"/>
      <c r="HY508" s="282"/>
      <c r="HZ508" s="282" t="s">
        <v>363</v>
      </c>
      <c r="IA508" s="282"/>
      <c r="IB508" s="282"/>
      <c r="IC508" s="282"/>
      <c r="ID508" s="282" t="s">
        <v>364</v>
      </c>
      <c r="IE508" s="282"/>
      <c r="IF508" s="282"/>
      <c r="IG508" s="282"/>
      <c r="IH508" s="282"/>
      <c r="II508" s="282"/>
      <c r="IJ508" s="12" t="str">
        <f t="shared" si="302"/>
        <v>No marker score</v>
      </c>
      <c r="IK508" s="287">
        <f t="shared" si="303"/>
        <v>0</v>
      </c>
      <c r="IL508" s="282" t="s">
        <v>336</v>
      </c>
      <c r="IM508" s="282" t="s">
        <v>320</v>
      </c>
      <c r="IN508" s="282" t="s">
        <v>320</v>
      </c>
      <c r="IO508" s="282" t="s">
        <v>320</v>
      </c>
      <c r="IP508" s="282" t="s">
        <v>320</v>
      </c>
      <c r="IQ508" s="287" t="str">
        <f t="shared" si="304"/>
        <v>2. Accommodating</v>
      </c>
      <c r="IR508" s="287">
        <f t="shared" si="305"/>
        <v>4</v>
      </c>
      <c r="IS508" s="282" t="s">
        <v>337</v>
      </c>
      <c r="IT508" s="282" t="s">
        <v>319</v>
      </c>
      <c r="IU508" s="282" t="s">
        <v>320</v>
      </c>
      <c r="IV508" s="282" t="s">
        <v>320</v>
      </c>
      <c r="IW508" s="11" t="str">
        <f t="shared" si="306"/>
        <v>1. Neutral</v>
      </c>
      <c r="IX508" s="287">
        <f t="shared" si="307"/>
        <v>2</v>
      </c>
      <c r="IY508" s="282"/>
      <c r="IZ508" s="282" t="s">
        <v>527</v>
      </c>
      <c r="JA508" s="282"/>
      <c r="JB508" s="282" t="s">
        <v>433</v>
      </c>
      <c r="JC508" s="282"/>
      <c r="JD508" s="282"/>
      <c r="JE508" s="282" t="s">
        <v>340</v>
      </c>
      <c r="JF508" s="282" t="s">
        <v>8684</v>
      </c>
      <c r="JG508" s="282"/>
      <c r="JH508" s="282" t="s">
        <v>8736</v>
      </c>
      <c r="JI508" s="282" t="s">
        <v>8737</v>
      </c>
      <c r="JJ508" s="282" t="s">
        <v>8738</v>
      </c>
      <c r="JK508" s="282" t="s">
        <v>8739</v>
      </c>
      <c r="JL508" s="282" t="s">
        <v>8740</v>
      </c>
      <c r="JM508" s="282"/>
      <c r="JN508" s="282"/>
      <c r="JO508" s="282" t="s">
        <v>8741</v>
      </c>
      <c r="JP508" s="15">
        <f t="shared" si="308"/>
        <v>1486</v>
      </c>
      <c r="JQ508" s="15">
        <f t="shared" si="309"/>
        <v>0</v>
      </c>
      <c r="JR508" s="279">
        <f t="shared" si="310"/>
        <v>0</v>
      </c>
      <c r="JS508" s="17">
        <f t="shared" si="311"/>
        <v>0.96702557200538353</v>
      </c>
      <c r="JT508" s="18" t="str">
        <f t="shared" si="312"/>
        <v/>
      </c>
      <c r="JU508" s="280">
        <f t="shared" si="313"/>
        <v>1437</v>
      </c>
      <c r="JV508" s="280">
        <f t="shared" si="314"/>
        <v>0</v>
      </c>
      <c r="JW508" s="319">
        <f t="shared" si="315"/>
        <v>1</v>
      </c>
      <c r="JX508" s="15">
        <f t="shared" si="316"/>
        <v>1486</v>
      </c>
      <c r="JY508" s="15">
        <f t="shared" si="317"/>
        <v>0</v>
      </c>
      <c r="JZ508" s="19">
        <f t="shared" si="318"/>
        <v>0</v>
      </c>
      <c r="KA508" s="52">
        <f t="shared" si="319"/>
        <v>1</v>
      </c>
      <c r="KB508" s="15">
        <f t="shared" si="320"/>
        <v>108</v>
      </c>
      <c r="KC508" s="15">
        <f t="shared" si="321"/>
        <v>0</v>
      </c>
      <c r="KD508" s="20">
        <f t="shared" si="322"/>
        <v>0</v>
      </c>
      <c r="KE508" s="52">
        <f t="shared" si="323"/>
        <v>1</v>
      </c>
      <c r="KF508" s="15">
        <f t="shared" si="324"/>
        <v>1420</v>
      </c>
      <c r="KG508" s="15">
        <f t="shared" si="325"/>
        <v>0</v>
      </c>
      <c r="KH508" s="21">
        <f t="shared" si="326"/>
        <v>0</v>
      </c>
      <c r="KI508" s="52" t="str">
        <f t="shared" si="327"/>
        <v/>
      </c>
      <c r="KJ508" s="15">
        <f t="shared" si="328"/>
        <v>0</v>
      </c>
      <c r="KK508" s="15">
        <f t="shared" si="329"/>
        <v>0</v>
      </c>
      <c r="KL508" s="19" t="str">
        <f t="shared" si="330"/>
        <v/>
      </c>
      <c r="KM508" s="52" t="str">
        <f t="shared" si="331"/>
        <v/>
      </c>
      <c r="KN508" s="22">
        <f t="shared" si="332"/>
        <v>0</v>
      </c>
      <c r="KO508" s="22">
        <f t="shared" si="333"/>
        <v>0</v>
      </c>
      <c r="KP508" s="19" t="str">
        <f t="shared" si="334"/>
        <v/>
      </c>
      <c r="KQ508" s="11" t="str">
        <f t="shared" si="335"/>
        <v>No marker score</v>
      </c>
      <c r="KR508" s="11" t="str">
        <f t="shared" si="336"/>
        <v>2. Accommodating</v>
      </c>
      <c r="KS508" s="11" t="str">
        <f t="shared" si="337"/>
        <v>1. Neutral</v>
      </c>
      <c r="KT508" s="11" t="str">
        <f t="shared" si="338"/>
        <v>It did not develop any specific innovation</v>
      </c>
      <c r="KU508" s="11" t="str">
        <f t="shared" si="339"/>
        <v>Moderate advocacy</v>
      </c>
      <c r="KV508" s="11">
        <f t="shared" si="340"/>
        <v>0</v>
      </c>
      <c r="KW508" s="11" t="str">
        <f t="shared" si="341"/>
        <v>Nepal - Building Initiative for safer health and WASH</v>
      </c>
      <c r="KX508" s="11" t="str">
        <f t="shared" si="342"/>
        <v>Building Initiative for safer health and WASH</v>
      </c>
      <c r="KY508" s="11" t="str">
        <f t="shared" si="343"/>
        <v>Nepal</v>
      </c>
      <c r="KZ508" s="12">
        <v>508</v>
      </c>
    </row>
    <row r="509" spans="1:312" x14ac:dyDescent="0.3">
      <c r="A509" s="12" t="s">
        <v>8647</v>
      </c>
      <c r="B509" s="12" t="s">
        <v>306</v>
      </c>
      <c r="C509" s="12">
        <v>3177</v>
      </c>
      <c r="D509" s="12" t="s">
        <v>8710</v>
      </c>
      <c r="E509" s="277" t="str">
        <f t="shared" si="301"/>
        <v>Nepal</v>
      </c>
      <c r="F509" s="12" t="s">
        <v>8711</v>
      </c>
      <c r="G509" s="12" t="s">
        <v>1853</v>
      </c>
      <c r="H509" s="12" t="s">
        <v>310</v>
      </c>
      <c r="I509" s="12" t="s">
        <v>1854</v>
      </c>
      <c r="J509" s="281" t="s">
        <v>6930</v>
      </c>
      <c r="K509" s="12"/>
      <c r="L509" s="12"/>
      <c r="M509" s="12"/>
      <c r="N509" s="12"/>
      <c r="O509" s="12"/>
      <c r="P509" s="12"/>
      <c r="Q509" s="12"/>
      <c r="R509" s="12"/>
      <c r="S509" s="12"/>
      <c r="T509" s="12"/>
      <c r="U509" s="12"/>
      <c r="V509" s="12"/>
      <c r="W509" s="12"/>
      <c r="X509" s="12"/>
      <c r="Y509" s="12"/>
      <c r="Z509" s="12"/>
      <c r="AA509" s="12"/>
      <c r="AB509" s="12"/>
      <c r="AC509" s="12"/>
      <c r="AD509" s="12"/>
      <c r="BD509" s="13">
        <v>41426</v>
      </c>
      <c r="BE509" s="13">
        <v>43100</v>
      </c>
      <c r="BF509" s="13">
        <v>43100</v>
      </c>
      <c r="BG509" s="12" t="s">
        <v>908</v>
      </c>
      <c r="BH509" s="14">
        <v>2565127.6512788399</v>
      </c>
      <c r="BI509" s="12" t="s">
        <v>8712</v>
      </c>
      <c r="BJ509" s="12" t="s">
        <v>8713</v>
      </c>
      <c r="BK509" s="12" t="s">
        <v>8714</v>
      </c>
      <c r="BL509" s="12" t="s">
        <v>8715</v>
      </c>
      <c r="BM509" s="12" t="s">
        <v>8716</v>
      </c>
      <c r="BN509" s="12" t="s">
        <v>8717</v>
      </c>
      <c r="BO509" s="12" t="s">
        <v>320</v>
      </c>
      <c r="BP509" s="12" t="s">
        <v>320</v>
      </c>
      <c r="BQ509" s="12" t="s">
        <v>320</v>
      </c>
      <c r="BR509" s="12" t="s">
        <v>8718</v>
      </c>
      <c r="BS509" s="12" t="s">
        <v>322</v>
      </c>
      <c r="BT509" s="12" t="s">
        <v>8719</v>
      </c>
      <c r="BU509" s="12" t="s">
        <v>8720</v>
      </c>
      <c r="BV509" s="14">
        <v>11399</v>
      </c>
      <c r="BW509" s="14">
        <v>11987</v>
      </c>
      <c r="BX509" s="14">
        <v>23386</v>
      </c>
      <c r="BY509" s="14">
        <v>12768</v>
      </c>
      <c r="BZ509" s="14">
        <v>10619</v>
      </c>
      <c r="CA509" s="14">
        <v>23387</v>
      </c>
      <c r="CB509" s="12" t="s">
        <v>8721</v>
      </c>
      <c r="CD509" s="14"/>
      <c r="CE509" s="14"/>
      <c r="CF509" s="14"/>
      <c r="CG509" s="14"/>
      <c r="CH509" s="14"/>
      <c r="CI509" s="14"/>
      <c r="CJ509" s="12"/>
      <c r="CK509" s="14"/>
      <c r="CL509" s="16"/>
      <c r="CM509" s="14"/>
      <c r="CN509" s="12"/>
      <c r="CO509" s="14"/>
      <c r="CP509" s="16"/>
      <c r="CQ509" s="14"/>
      <c r="CR509" s="12"/>
      <c r="CS509" s="14"/>
      <c r="CT509" s="16"/>
      <c r="CU509" s="14"/>
      <c r="CV509" s="12" t="s">
        <v>320</v>
      </c>
      <c r="CW509" s="14">
        <v>23386</v>
      </c>
      <c r="CX509" s="16">
        <v>0.48</v>
      </c>
      <c r="CY509" s="14">
        <v>23387</v>
      </c>
      <c r="CZ509" s="12"/>
      <c r="DA509" s="14"/>
      <c r="DB509" s="16"/>
      <c r="DC509" s="14"/>
      <c r="DD509" s="12"/>
      <c r="DE509" s="14"/>
      <c r="DF509" s="16"/>
      <c r="DG509" s="14"/>
      <c r="DH509" s="12"/>
      <c r="DI509" s="14"/>
      <c r="DJ509" s="16"/>
      <c r="DK509" s="14"/>
      <c r="DL509" s="12"/>
      <c r="DM509" s="14"/>
      <c r="DN509" s="16"/>
      <c r="DO509" s="14"/>
      <c r="DP509" s="12"/>
      <c r="DQ509" s="14"/>
      <c r="DR509" s="16"/>
      <c r="DS509" s="14"/>
      <c r="DT509" s="12"/>
      <c r="DU509" s="14"/>
      <c r="DV509" s="16"/>
      <c r="DW509" s="14"/>
      <c r="DX509" s="12"/>
      <c r="DY509" s="14"/>
      <c r="DZ509" s="16"/>
      <c r="EA509" s="14"/>
      <c r="EB509" s="12"/>
      <c r="EC509" s="14"/>
      <c r="ED509" s="16"/>
      <c r="EE509" s="14"/>
      <c r="EF509" s="12"/>
      <c r="EG509" s="12"/>
      <c r="EH509" s="14"/>
      <c r="EI509" s="16"/>
      <c r="EJ509" s="14"/>
      <c r="EK509" s="14">
        <v>11399</v>
      </c>
      <c r="EL509" s="14">
        <v>11987</v>
      </c>
      <c r="EM509" s="14">
        <v>23386</v>
      </c>
      <c r="EN509" s="14">
        <v>12768</v>
      </c>
      <c r="EO509" s="14">
        <v>10619</v>
      </c>
      <c r="EP509" s="14">
        <v>23387</v>
      </c>
      <c r="EQ509" s="12"/>
      <c r="ER509" s="14"/>
      <c r="ES509" s="16"/>
      <c r="ET509" s="14"/>
      <c r="EU509" s="12"/>
      <c r="EV509" s="14"/>
      <c r="EW509" s="16"/>
      <c r="EX509" s="14"/>
      <c r="EY509" s="12"/>
      <c r="EZ509" s="14"/>
      <c r="FA509" s="16"/>
      <c r="FB509" s="14"/>
      <c r="FC509" s="12"/>
      <c r="FD509" s="14"/>
      <c r="FE509" s="16"/>
      <c r="FF509" s="14"/>
      <c r="FG509" s="12"/>
      <c r="FH509" s="14"/>
      <c r="FI509" s="16"/>
      <c r="FJ509" s="14"/>
      <c r="FK509" s="12"/>
      <c r="FL509" s="14"/>
      <c r="FM509" s="16"/>
      <c r="FN509" s="14"/>
      <c r="FO509" s="12" t="s">
        <v>320</v>
      </c>
      <c r="FP509" s="14">
        <v>23386</v>
      </c>
      <c r="FQ509" s="16">
        <v>0.48</v>
      </c>
      <c r="FR509" s="14">
        <v>23387</v>
      </c>
      <c r="FS509" s="12"/>
      <c r="FT509" s="14"/>
      <c r="FU509" s="16"/>
      <c r="FV509" s="14"/>
      <c r="FW509" s="12"/>
      <c r="FX509" s="14"/>
      <c r="FY509" s="16"/>
      <c r="FZ509" s="14"/>
      <c r="GA509" s="12"/>
      <c r="GB509" s="14"/>
      <c r="GC509" s="16"/>
      <c r="GD509" s="14"/>
      <c r="GE509" s="12"/>
      <c r="GF509" s="14"/>
      <c r="GG509" s="16"/>
      <c r="GH509" s="14"/>
      <c r="GI509" s="12"/>
      <c r="GJ509" s="14"/>
      <c r="GK509" s="16"/>
      <c r="GL509" s="14"/>
      <c r="GM509" s="12"/>
      <c r="GN509" s="14"/>
      <c r="GO509" s="16"/>
      <c r="GP509" s="14"/>
      <c r="GQ509" s="12"/>
      <c r="GR509" s="14"/>
      <c r="GS509" s="16"/>
      <c r="GT509" s="14"/>
      <c r="GU509" s="12"/>
      <c r="GV509" s="14"/>
      <c r="GW509" s="16"/>
      <c r="GX509" s="14"/>
      <c r="GY509" s="12"/>
      <c r="GZ509" s="14"/>
      <c r="HA509" s="16"/>
      <c r="HB509" s="14"/>
      <c r="HC509" s="12"/>
      <c r="HD509" s="12"/>
      <c r="HE509" s="14"/>
      <c r="HF509" s="16"/>
      <c r="HG509" s="14"/>
      <c r="HH509" s="12" t="s">
        <v>320</v>
      </c>
      <c r="HI509" s="12" t="s">
        <v>560</v>
      </c>
      <c r="HJ509" s="12">
        <v>2017</v>
      </c>
      <c r="HK509" s="12" t="s">
        <v>320</v>
      </c>
      <c r="HL509" s="12" t="s">
        <v>319</v>
      </c>
      <c r="HM509" s="12"/>
      <c r="HN509" s="12"/>
      <c r="HO509" s="12"/>
      <c r="HP509" s="12" t="s">
        <v>453</v>
      </c>
      <c r="HQ509" s="12" t="s">
        <v>320</v>
      </c>
      <c r="HR509" s="12" t="s">
        <v>320</v>
      </c>
      <c r="HS509" s="12" t="s">
        <v>320</v>
      </c>
      <c r="HT509" s="12" t="s">
        <v>320</v>
      </c>
      <c r="HU509" s="12" t="s">
        <v>320</v>
      </c>
      <c r="HV509" s="12" t="s">
        <v>319</v>
      </c>
      <c r="HW509" s="12"/>
      <c r="HX509" s="12"/>
      <c r="HY509" s="12"/>
      <c r="HZ509" s="12" t="s">
        <v>331</v>
      </c>
      <c r="IA509" s="12" t="s">
        <v>8722</v>
      </c>
      <c r="IB509" s="12" t="s">
        <v>396</v>
      </c>
      <c r="IC509" s="12" t="s">
        <v>8723</v>
      </c>
      <c r="ID509" s="12" t="s">
        <v>334</v>
      </c>
      <c r="IE509" s="12" t="s">
        <v>335</v>
      </c>
      <c r="IF509" s="12" t="s">
        <v>320</v>
      </c>
      <c r="IG509" s="12" t="s">
        <v>320</v>
      </c>
      <c r="IH509" s="12" t="s">
        <v>320</v>
      </c>
      <c r="II509" s="12" t="s">
        <v>320</v>
      </c>
      <c r="IJ509" s="12" t="str">
        <f t="shared" si="302"/>
        <v>2. Sensitive</v>
      </c>
      <c r="IK509" s="12">
        <f t="shared" si="303"/>
        <v>4</v>
      </c>
      <c r="IL509" s="11" t="s">
        <v>621</v>
      </c>
      <c r="IM509" s="12" t="s">
        <v>320</v>
      </c>
      <c r="IN509" s="12" t="s">
        <v>320</v>
      </c>
      <c r="IO509" s="12" t="s">
        <v>320</v>
      </c>
      <c r="IP509" s="12" t="s">
        <v>320</v>
      </c>
      <c r="IQ509" s="12" t="str">
        <f t="shared" si="304"/>
        <v>4. Transformational</v>
      </c>
      <c r="IR509" s="12">
        <f t="shared" si="305"/>
        <v>4</v>
      </c>
      <c r="IS509" s="12"/>
      <c r="IT509" s="12"/>
      <c r="IU509" s="12"/>
      <c r="IV509" s="12"/>
      <c r="IW509" s="11" t="str">
        <f t="shared" si="306"/>
        <v>No marker score</v>
      </c>
      <c r="IX509" s="12">
        <f t="shared" si="307"/>
        <v>0</v>
      </c>
      <c r="IY509" s="12" t="s">
        <v>419</v>
      </c>
      <c r="IZ509" s="12" t="s">
        <v>457</v>
      </c>
      <c r="JA509" s="12">
        <v>3</v>
      </c>
      <c r="JB509" s="12" t="s">
        <v>433</v>
      </c>
      <c r="JC509" s="12" t="s">
        <v>1570</v>
      </c>
      <c r="JD509" s="12"/>
      <c r="JE509" s="12" t="s">
        <v>340</v>
      </c>
      <c r="JF509" s="12"/>
      <c r="JG509" s="12" t="s">
        <v>8724</v>
      </c>
      <c r="JH509" s="12" t="s">
        <v>8725</v>
      </c>
      <c r="JI509" s="12" t="s">
        <v>8726</v>
      </c>
      <c r="JJ509" s="12" t="s">
        <v>8727</v>
      </c>
      <c r="JK509" s="12" t="s">
        <v>8728</v>
      </c>
      <c r="JL509" s="12" t="s">
        <v>8729</v>
      </c>
      <c r="JM509" s="12"/>
      <c r="JN509" s="12"/>
      <c r="JO509" s="12"/>
      <c r="JP509" s="15">
        <f t="shared" si="308"/>
        <v>23386</v>
      </c>
      <c r="JQ509" s="15">
        <f t="shared" si="309"/>
        <v>23387</v>
      </c>
      <c r="JR509" s="279">
        <f t="shared" si="310"/>
        <v>1.0000427606260156</v>
      </c>
      <c r="JS509" s="17">
        <f t="shared" si="311"/>
        <v>0.48742837595142391</v>
      </c>
      <c r="JT509" s="18">
        <f t="shared" si="312"/>
        <v>0.54594432804549531</v>
      </c>
      <c r="JU509" s="280">
        <f t="shared" si="313"/>
        <v>11399</v>
      </c>
      <c r="JV509" s="280">
        <f t="shared" si="314"/>
        <v>12768</v>
      </c>
      <c r="JW509" s="319">
        <f t="shared" si="315"/>
        <v>1</v>
      </c>
      <c r="JX509" s="15">
        <f t="shared" si="316"/>
        <v>0</v>
      </c>
      <c r="JY509" s="15">
        <f t="shared" si="317"/>
        <v>0</v>
      </c>
      <c r="JZ509" s="19" t="str">
        <f t="shared" si="318"/>
        <v/>
      </c>
      <c r="KA509" s="52">
        <f t="shared" si="319"/>
        <v>1</v>
      </c>
      <c r="KB509" s="15">
        <f t="shared" si="320"/>
        <v>23386</v>
      </c>
      <c r="KC509" s="15">
        <f t="shared" si="321"/>
        <v>23387</v>
      </c>
      <c r="KD509" s="20">
        <f t="shared" si="322"/>
        <v>1.0000427606260156</v>
      </c>
      <c r="KE509" s="52" t="str">
        <f t="shared" si="323"/>
        <v/>
      </c>
      <c r="KF509" s="15">
        <f t="shared" si="324"/>
        <v>0</v>
      </c>
      <c r="KG509" s="15">
        <f t="shared" si="325"/>
        <v>0</v>
      </c>
      <c r="KH509" s="21" t="str">
        <f t="shared" si="326"/>
        <v/>
      </c>
      <c r="KI509" s="52" t="str">
        <f t="shared" si="327"/>
        <v/>
      </c>
      <c r="KJ509" s="15">
        <f t="shared" si="328"/>
        <v>0</v>
      </c>
      <c r="KK509" s="15">
        <f t="shared" si="329"/>
        <v>0</v>
      </c>
      <c r="KL509" s="19" t="str">
        <f t="shared" si="330"/>
        <v/>
      </c>
      <c r="KM509" s="52" t="str">
        <f t="shared" si="331"/>
        <v/>
      </c>
      <c r="KN509" s="22">
        <f t="shared" si="332"/>
        <v>0</v>
      </c>
      <c r="KO509" s="22">
        <f t="shared" si="333"/>
        <v>0</v>
      </c>
      <c r="KP509" s="19" t="str">
        <f t="shared" si="334"/>
        <v/>
      </c>
      <c r="KQ509" s="11" t="str">
        <f t="shared" si="335"/>
        <v>2. Sensitive</v>
      </c>
      <c r="KR509" s="11" t="str">
        <f t="shared" si="336"/>
        <v>4. Transformational</v>
      </c>
      <c r="KS509" s="11" t="str">
        <f t="shared" si="337"/>
        <v>No marker score</v>
      </c>
      <c r="KT509" s="11" t="str">
        <f t="shared" si="338"/>
        <v>It tested new ways for fighting poverty and measured results of innovation</v>
      </c>
      <c r="KU509" s="11" t="str">
        <f t="shared" si="339"/>
        <v>Intensive advocacy</v>
      </c>
      <c r="KV509" s="11" t="str">
        <f t="shared" si="340"/>
        <v>It linked and worked with strategic alliances and partners to take tested and effective solutions to scale</v>
      </c>
      <c r="KW509" s="11" t="str">
        <f t="shared" si="341"/>
        <v>Nepal - Civil Society Support Project on Right to Food</v>
      </c>
      <c r="KX509" s="11" t="str">
        <f t="shared" si="342"/>
        <v>Civil Society Support Project on Right to Food</v>
      </c>
      <c r="KY509" s="11" t="str">
        <f t="shared" si="343"/>
        <v>Nepal</v>
      </c>
      <c r="KZ509" s="12">
        <v>509</v>
      </c>
    </row>
    <row r="510" spans="1:312" x14ac:dyDescent="0.3">
      <c r="A510" s="12" t="s">
        <v>8647</v>
      </c>
      <c r="B510" s="12" t="s">
        <v>306</v>
      </c>
      <c r="C510" s="12">
        <v>3172</v>
      </c>
      <c r="D510" s="12" t="s">
        <v>8742</v>
      </c>
      <c r="E510" s="277" t="str">
        <f t="shared" si="301"/>
        <v>Nepal</v>
      </c>
      <c r="F510" s="12" t="s">
        <v>8743</v>
      </c>
      <c r="G510" s="12" t="s">
        <v>1738</v>
      </c>
      <c r="H510" s="12" t="s">
        <v>489</v>
      </c>
      <c r="I510" s="12" t="s">
        <v>384</v>
      </c>
      <c r="J510" s="281" t="s">
        <v>5183</v>
      </c>
      <c r="K510" s="12"/>
      <c r="L510" s="12"/>
      <c r="M510" s="12" t="s">
        <v>310</v>
      </c>
      <c r="N510" s="12" t="s">
        <v>606</v>
      </c>
      <c r="O510" s="281" t="s">
        <v>1756</v>
      </c>
      <c r="P510" s="12"/>
      <c r="Q510" s="12"/>
      <c r="R510" s="12"/>
      <c r="S510" s="12"/>
      <c r="T510" s="12"/>
      <c r="U510" s="12"/>
      <c r="V510" s="12"/>
      <c r="W510" s="12"/>
      <c r="X510" s="12"/>
      <c r="Y510" s="12"/>
      <c r="Z510" s="12"/>
      <c r="AA510" s="12"/>
      <c r="AB510" s="12"/>
      <c r="AC510" s="12"/>
      <c r="AD510" s="12"/>
      <c r="BD510" s="13">
        <v>42370</v>
      </c>
      <c r="BE510" s="13">
        <v>43100</v>
      </c>
      <c r="BF510" s="12"/>
      <c r="BG510" s="12" t="s">
        <v>312</v>
      </c>
      <c r="BH510" s="14">
        <v>334225.14</v>
      </c>
      <c r="BI510" s="12" t="s">
        <v>8744</v>
      </c>
      <c r="BJ510" s="12" t="s">
        <v>8745</v>
      </c>
      <c r="BK510" s="12" t="s">
        <v>8746</v>
      </c>
      <c r="BL510" s="12" t="s">
        <v>8747</v>
      </c>
      <c r="BM510" s="12" t="s">
        <v>317</v>
      </c>
      <c r="BN510" s="12" t="s">
        <v>8748</v>
      </c>
      <c r="BO510" s="12" t="s">
        <v>319</v>
      </c>
      <c r="BP510" s="12" t="s">
        <v>320</v>
      </c>
      <c r="BQ510" s="12" t="s">
        <v>319</v>
      </c>
      <c r="BR510" s="12" t="s">
        <v>8749</v>
      </c>
      <c r="BS510" s="12" t="s">
        <v>357</v>
      </c>
      <c r="BT510" s="12" t="s">
        <v>8750</v>
      </c>
      <c r="BU510" s="12" t="s">
        <v>8751</v>
      </c>
      <c r="BV510" s="14">
        <v>6704</v>
      </c>
      <c r="BW510" s="14">
        <v>6442</v>
      </c>
      <c r="BX510" s="14">
        <v>13146</v>
      </c>
      <c r="BY510" s="14">
        <v>10114</v>
      </c>
      <c r="BZ510" s="14">
        <v>9717</v>
      </c>
      <c r="CA510" s="14">
        <v>19831</v>
      </c>
      <c r="CB510" s="12" t="s">
        <v>8752</v>
      </c>
      <c r="CD510" s="14"/>
      <c r="CE510" s="14"/>
      <c r="CF510" s="14"/>
      <c r="CG510" s="14"/>
      <c r="CH510" s="14"/>
      <c r="CI510" s="14"/>
      <c r="CJ510" s="12"/>
      <c r="CK510" s="14"/>
      <c r="CL510" s="16"/>
      <c r="CM510" s="14"/>
      <c r="CN510" s="12"/>
      <c r="CO510" s="14"/>
      <c r="CP510" s="16"/>
      <c r="CQ510" s="14"/>
      <c r="CR510" s="12"/>
      <c r="CS510" s="14"/>
      <c r="CT510" s="16"/>
      <c r="CU510" s="14"/>
      <c r="CV510" s="12"/>
      <c r="CW510" s="14"/>
      <c r="CX510" s="16"/>
      <c r="CY510" s="14"/>
      <c r="CZ510" s="12"/>
      <c r="DA510" s="14"/>
      <c r="DB510" s="16"/>
      <c r="DC510" s="14"/>
      <c r="DD510" s="12"/>
      <c r="DE510" s="14"/>
      <c r="DF510" s="16"/>
      <c r="DG510" s="14"/>
      <c r="DH510" s="12"/>
      <c r="DI510" s="14"/>
      <c r="DJ510" s="16"/>
      <c r="DK510" s="14"/>
      <c r="DL510" s="12"/>
      <c r="DM510" s="14"/>
      <c r="DN510" s="16"/>
      <c r="DO510" s="14"/>
      <c r="DP510" s="12"/>
      <c r="DQ510" s="14"/>
      <c r="DR510" s="16"/>
      <c r="DS510" s="14"/>
      <c r="DT510" s="12"/>
      <c r="DU510" s="14"/>
      <c r="DV510" s="16"/>
      <c r="DW510" s="14"/>
      <c r="DX510" s="12"/>
      <c r="DY510" s="14"/>
      <c r="DZ510" s="16"/>
      <c r="EA510" s="14"/>
      <c r="EB510" s="12"/>
      <c r="EC510" s="14"/>
      <c r="ED510" s="16"/>
      <c r="EE510" s="14"/>
      <c r="EF510" s="12"/>
      <c r="EG510" s="12"/>
      <c r="EH510" s="14"/>
      <c r="EI510" s="16"/>
      <c r="EJ510" s="14"/>
      <c r="EK510" s="14">
        <v>6704</v>
      </c>
      <c r="EL510" s="14">
        <v>6442</v>
      </c>
      <c r="EM510" s="14">
        <v>13146</v>
      </c>
      <c r="EN510" s="14">
        <v>10114</v>
      </c>
      <c r="EO510" s="14">
        <v>9717</v>
      </c>
      <c r="EP510" s="14">
        <v>19831</v>
      </c>
      <c r="EQ510" s="12"/>
      <c r="ER510" s="14"/>
      <c r="ES510" s="16"/>
      <c r="ET510" s="14"/>
      <c r="EU510" s="12"/>
      <c r="EV510" s="14"/>
      <c r="EW510" s="16"/>
      <c r="EX510" s="14"/>
      <c r="EY510" s="12"/>
      <c r="EZ510" s="14"/>
      <c r="FA510" s="16"/>
      <c r="FB510" s="14"/>
      <c r="FC510" s="12" t="s">
        <v>320</v>
      </c>
      <c r="FD510" s="14">
        <v>13146</v>
      </c>
      <c r="FE510" s="16">
        <v>0.51</v>
      </c>
      <c r="FF510" s="14">
        <v>19831</v>
      </c>
      <c r="FG510" s="12"/>
      <c r="FH510" s="14"/>
      <c r="FI510" s="16"/>
      <c r="FJ510" s="14"/>
      <c r="FK510" s="12"/>
      <c r="FL510" s="14"/>
      <c r="FM510" s="16"/>
      <c r="FN510" s="14"/>
      <c r="FO510" s="12"/>
      <c r="FP510" s="14"/>
      <c r="FQ510" s="16"/>
      <c r="FR510" s="14"/>
      <c r="FS510" s="12"/>
      <c r="FT510" s="14"/>
      <c r="FU510" s="16"/>
      <c r="FV510" s="14"/>
      <c r="FW510" s="12"/>
      <c r="FX510" s="14"/>
      <c r="FY510" s="16"/>
      <c r="FZ510" s="14"/>
      <c r="GA510" s="12"/>
      <c r="GB510" s="14"/>
      <c r="GC510" s="16"/>
      <c r="GD510" s="14"/>
      <c r="GE510" s="12"/>
      <c r="GF510" s="14"/>
      <c r="GG510" s="16"/>
      <c r="GH510" s="14"/>
      <c r="GI510" s="12"/>
      <c r="GJ510" s="14"/>
      <c r="GK510" s="16"/>
      <c r="GL510" s="14"/>
      <c r="GM510" s="12"/>
      <c r="GN510" s="14"/>
      <c r="GO510" s="16"/>
      <c r="GP510" s="14"/>
      <c r="GQ510" s="12"/>
      <c r="GR510" s="14"/>
      <c r="GS510" s="16"/>
      <c r="GT510" s="14"/>
      <c r="GU510" s="12"/>
      <c r="GV510" s="14"/>
      <c r="GW510" s="16"/>
      <c r="GX510" s="14"/>
      <c r="GY510" s="12"/>
      <c r="GZ510" s="14"/>
      <c r="HA510" s="16"/>
      <c r="HB510" s="14"/>
      <c r="HC510" s="12"/>
      <c r="HD510" s="12"/>
      <c r="HE510" s="14"/>
      <c r="HF510" s="16"/>
      <c r="HG510" s="14"/>
      <c r="HH510" s="12" t="s">
        <v>320</v>
      </c>
      <c r="HI510" s="12" t="s">
        <v>361</v>
      </c>
      <c r="HJ510" s="12">
        <v>2016</v>
      </c>
      <c r="HK510" s="12" t="s">
        <v>320</v>
      </c>
      <c r="HL510" s="12" t="s">
        <v>319</v>
      </c>
      <c r="HM510" s="12"/>
      <c r="HN510" s="12">
        <v>2017</v>
      </c>
      <c r="HO510" s="12" t="s">
        <v>8753</v>
      </c>
      <c r="HP510" s="12" t="s">
        <v>330</v>
      </c>
      <c r="HQ510" s="12" t="s">
        <v>320</v>
      </c>
      <c r="HR510" s="12" t="s">
        <v>319</v>
      </c>
      <c r="HS510" s="12" t="s">
        <v>320</v>
      </c>
      <c r="HT510" s="12" t="s">
        <v>320</v>
      </c>
      <c r="HU510" s="12" t="s">
        <v>319</v>
      </c>
      <c r="HV510" s="12" t="s">
        <v>319</v>
      </c>
      <c r="HW510" s="12" t="s">
        <v>320</v>
      </c>
      <c r="HX510" s="12"/>
      <c r="HY510" s="12"/>
      <c r="HZ510" s="12" t="s">
        <v>394</v>
      </c>
      <c r="IA510" s="12" t="s">
        <v>8754</v>
      </c>
      <c r="IB510" s="12" t="s">
        <v>333</v>
      </c>
      <c r="IC510" s="12"/>
      <c r="ID510" s="12" t="s">
        <v>364</v>
      </c>
      <c r="IE510" s="12" t="s">
        <v>335</v>
      </c>
      <c r="IF510" s="12" t="s">
        <v>320</v>
      </c>
      <c r="IG510" s="12" t="s">
        <v>319</v>
      </c>
      <c r="IH510" s="12" t="s">
        <v>320</v>
      </c>
      <c r="II510" s="12" t="s">
        <v>320</v>
      </c>
      <c r="IJ510" s="12" t="str">
        <f t="shared" si="302"/>
        <v>1. Neutral</v>
      </c>
      <c r="IK510" s="12">
        <f t="shared" si="303"/>
        <v>3</v>
      </c>
      <c r="IL510" s="12" t="s">
        <v>336</v>
      </c>
      <c r="IM510" s="12" t="s">
        <v>320</v>
      </c>
      <c r="IN510" s="12" t="s">
        <v>320</v>
      </c>
      <c r="IO510" s="12" t="s">
        <v>320</v>
      </c>
      <c r="IP510" s="12" t="s">
        <v>320</v>
      </c>
      <c r="IQ510" s="12" t="str">
        <f t="shared" si="304"/>
        <v>2. Accommodating</v>
      </c>
      <c r="IR510" s="12">
        <f t="shared" si="305"/>
        <v>4</v>
      </c>
      <c r="IS510" s="12" t="s">
        <v>622</v>
      </c>
      <c r="IT510" s="12" t="s">
        <v>320</v>
      </c>
      <c r="IU510" s="12" t="s">
        <v>320</v>
      </c>
      <c r="IV510" s="12" t="s">
        <v>320</v>
      </c>
      <c r="IW510" s="11" t="str">
        <f t="shared" si="306"/>
        <v>4. Transformative</v>
      </c>
      <c r="IX510" s="12">
        <f t="shared" si="307"/>
        <v>3</v>
      </c>
      <c r="IY510" s="12" t="s">
        <v>419</v>
      </c>
      <c r="IZ510" s="12" t="s">
        <v>527</v>
      </c>
      <c r="JA510" s="12">
        <v>1</v>
      </c>
      <c r="JB510" s="12" t="s">
        <v>433</v>
      </c>
      <c r="JC510" s="12"/>
      <c r="JD510" s="12"/>
      <c r="JE510" s="12" t="s">
        <v>340</v>
      </c>
      <c r="JF510" s="12" t="s">
        <v>8755</v>
      </c>
      <c r="JG510" s="12"/>
      <c r="JH510" s="12" t="s">
        <v>8756</v>
      </c>
      <c r="JI510" s="12" t="s">
        <v>8757</v>
      </c>
      <c r="JJ510" s="12" t="s">
        <v>8758</v>
      </c>
      <c r="JK510" s="12" t="s">
        <v>8759</v>
      </c>
      <c r="JL510" s="12" t="s">
        <v>8760</v>
      </c>
      <c r="JM510" s="12" t="s">
        <v>8761</v>
      </c>
      <c r="JN510" s="12"/>
      <c r="JO510" s="12"/>
      <c r="JP510" s="15">
        <f t="shared" si="308"/>
        <v>13146</v>
      </c>
      <c r="JQ510" s="15">
        <f t="shared" si="309"/>
        <v>19831</v>
      </c>
      <c r="JR510" s="279">
        <f t="shared" si="310"/>
        <v>1.5085197018104366</v>
      </c>
      <c r="JS510" s="17">
        <f t="shared" si="311"/>
        <v>0.50996500836756431</v>
      </c>
      <c r="JT510" s="18">
        <f t="shared" si="312"/>
        <v>0.51000958095910442</v>
      </c>
      <c r="JU510" s="280">
        <f t="shared" si="313"/>
        <v>6704</v>
      </c>
      <c r="JV510" s="280">
        <f t="shared" si="314"/>
        <v>10114</v>
      </c>
      <c r="JW510" s="319" t="str">
        <f t="shared" si="315"/>
        <v/>
      </c>
      <c r="JX510" s="15">
        <f t="shared" si="316"/>
        <v>0</v>
      </c>
      <c r="JY510" s="15">
        <f t="shared" si="317"/>
        <v>0</v>
      </c>
      <c r="JZ510" s="19" t="str">
        <f t="shared" si="318"/>
        <v/>
      </c>
      <c r="KA510" s="52">
        <f t="shared" si="319"/>
        <v>1</v>
      </c>
      <c r="KB510" s="15">
        <f t="shared" si="320"/>
        <v>13146</v>
      </c>
      <c r="KC510" s="15">
        <f t="shared" si="321"/>
        <v>19831</v>
      </c>
      <c r="KD510" s="20">
        <f t="shared" si="322"/>
        <v>1.5085197018104366</v>
      </c>
      <c r="KE510" s="52" t="str">
        <f t="shared" si="323"/>
        <v/>
      </c>
      <c r="KF510" s="15">
        <f t="shared" si="324"/>
        <v>0</v>
      </c>
      <c r="KG510" s="15">
        <f t="shared" si="325"/>
        <v>0</v>
      </c>
      <c r="KH510" s="21" t="str">
        <f t="shared" si="326"/>
        <v/>
      </c>
      <c r="KI510" s="52" t="str">
        <f t="shared" si="327"/>
        <v/>
      </c>
      <c r="KJ510" s="15">
        <f t="shared" si="328"/>
        <v>0</v>
      </c>
      <c r="KK510" s="15">
        <f t="shared" si="329"/>
        <v>0</v>
      </c>
      <c r="KL510" s="19" t="str">
        <f t="shared" si="330"/>
        <v/>
      </c>
      <c r="KM510" s="52" t="str">
        <f t="shared" si="331"/>
        <v/>
      </c>
      <c r="KN510" s="22">
        <f t="shared" si="332"/>
        <v>0</v>
      </c>
      <c r="KO510" s="22">
        <f t="shared" si="333"/>
        <v>0</v>
      </c>
      <c r="KP510" s="19" t="str">
        <f t="shared" si="334"/>
        <v/>
      </c>
      <c r="KQ510" s="11" t="str">
        <f t="shared" si="335"/>
        <v>1. Neutral</v>
      </c>
      <c r="KR510" s="11" t="str">
        <f t="shared" si="336"/>
        <v>2. Accommodating</v>
      </c>
      <c r="KS510" s="11" t="str">
        <f t="shared" si="337"/>
        <v>4. Transformative</v>
      </c>
      <c r="KT510" s="11" t="str">
        <f t="shared" si="338"/>
        <v>It tested new ways for fighting poverty, but did not measure results of innovation</v>
      </c>
      <c r="KU510" s="11" t="str">
        <f t="shared" si="339"/>
        <v>Moderate advocacy</v>
      </c>
      <c r="KV510" s="11" t="str">
        <f t="shared" si="340"/>
        <v>It did not take tested solutions to scale</v>
      </c>
      <c r="KW510" s="11" t="str">
        <f t="shared" si="341"/>
        <v>Nepal - DRR and Build Back Safer Schools in Nepal (Munich-SBDRR)</v>
      </c>
      <c r="KX510" s="11" t="str">
        <f t="shared" si="342"/>
        <v>DRR and Build Back Safer Schools in Nepal (Munich-SBDRR)</v>
      </c>
      <c r="KY510" s="11" t="str">
        <f t="shared" si="343"/>
        <v>Nepal</v>
      </c>
      <c r="KZ510" s="287">
        <v>510</v>
      </c>
    </row>
    <row r="511" spans="1:312" x14ac:dyDescent="0.3">
      <c r="A511" s="12" t="s">
        <v>8647</v>
      </c>
      <c r="B511" s="12" t="s">
        <v>306</v>
      </c>
      <c r="C511" s="12">
        <v>3171</v>
      </c>
      <c r="D511" s="12" t="s">
        <v>8658</v>
      </c>
      <c r="E511" s="277" t="str">
        <f t="shared" si="301"/>
        <v>Nepal</v>
      </c>
      <c r="F511" s="12" t="s">
        <v>8659</v>
      </c>
      <c r="G511" s="12" t="s">
        <v>376</v>
      </c>
      <c r="H511" s="12" t="s">
        <v>384</v>
      </c>
      <c r="I511" s="12" t="s">
        <v>377</v>
      </c>
      <c r="J511" s="281" t="s">
        <v>376</v>
      </c>
      <c r="K511" s="12"/>
      <c r="L511" s="12"/>
      <c r="M511" s="12"/>
      <c r="N511" s="12"/>
      <c r="O511" s="12"/>
      <c r="P511" s="12"/>
      <c r="Q511" s="12"/>
      <c r="R511" s="12"/>
      <c r="S511" s="12"/>
      <c r="T511" s="12"/>
      <c r="U511" s="12"/>
      <c r="V511" s="12"/>
      <c r="W511" s="12"/>
      <c r="X511" s="12"/>
      <c r="Y511" s="12"/>
      <c r="Z511" s="12"/>
      <c r="AA511" s="12"/>
      <c r="AB511" s="12"/>
      <c r="AC511" s="12"/>
      <c r="AD511" s="12"/>
      <c r="BD511" s="13">
        <v>42016</v>
      </c>
      <c r="BE511" s="13">
        <v>43069</v>
      </c>
      <c r="BF511" s="12"/>
      <c r="BG511" s="12" t="s">
        <v>1757</v>
      </c>
      <c r="BH511" s="14">
        <v>487918</v>
      </c>
      <c r="BI511" s="12" t="s">
        <v>8660</v>
      </c>
      <c r="BJ511" s="12" t="s">
        <v>751</v>
      </c>
      <c r="BK511" s="12" t="s">
        <v>8661</v>
      </c>
      <c r="BL511" s="12" t="s">
        <v>8662</v>
      </c>
      <c r="BM511" s="12" t="s">
        <v>8663</v>
      </c>
      <c r="BN511" s="12" t="s">
        <v>8664</v>
      </c>
      <c r="BO511" s="12" t="s">
        <v>320</v>
      </c>
      <c r="BP511" s="12" t="s">
        <v>319</v>
      </c>
      <c r="BQ511" s="12" t="s">
        <v>319</v>
      </c>
      <c r="BR511" s="12" t="s">
        <v>8665</v>
      </c>
      <c r="BS511" s="12" t="s">
        <v>357</v>
      </c>
      <c r="BT511" s="12" t="s">
        <v>8666</v>
      </c>
      <c r="BU511" s="12" t="s">
        <v>8667</v>
      </c>
      <c r="BV511" s="14">
        <v>12113</v>
      </c>
      <c r="BW511" s="14">
        <v>9068</v>
      </c>
      <c r="BX511" s="14">
        <v>21181</v>
      </c>
      <c r="BY511" s="14"/>
      <c r="BZ511" s="14"/>
      <c r="CA511" s="14"/>
      <c r="CB511" s="12"/>
      <c r="CD511" s="14">
        <v>12113</v>
      </c>
      <c r="CE511" s="14">
        <v>9068</v>
      </c>
      <c r="CF511" s="14">
        <v>21181</v>
      </c>
      <c r="CG511" s="14"/>
      <c r="CH511" s="14"/>
      <c r="CI511" s="14"/>
      <c r="CJ511" s="12"/>
      <c r="CK511" s="14"/>
      <c r="CL511" s="16"/>
      <c r="CM511" s="14"/>
      <c r="CN511" s="12"/>
      <c r="CO511" s="14"/>
      <c r="CP511" s="16"/>
      <c r="CQ511" s="14"/>
      <c r="CR511" s="12"/>
      <c r="CS511" s="14"/>
      <c r="CT511" s="16"/>
      <c r="CU511" s="14"/>
      <c r="CV511" s="12"/>
      <c r="CW511" s="14"/>
      <c r="CX511" s="16"/>
      <c r="CY511" s="14"/>
      <c r="CZ511" s="12" t="s">
        <v>320</v>
      </c>
      <c r="DA511" s="14">
        <v>21161</v>
      </c>
      <c r="DB511" s="16">
        <v>0.57350000000000001</v>
      </c>
      <c r="DC511" s="14"/>
      <c r="DD511" s="11" t="s">
        <v>320</v>
      </c>
      <c r="DE511" s="14">
        <v>70</v>
      </c>
      <c r="DF511" s="16">
        <v>0.51859999999999995</v>
      </c>
      <c r="DG511" s="14"/>
      <c r="DH511" s="12"/>
      <c r="DI511" s="14"/>
      <c r="DJ511" s="16"/>
      <c r="DK511" s="14"/>
      <c r="DL511" s="12"/>
      <c r="DM511" s="14"/>
      <c r="DN511" s="16"/>
      <c r="DO511" s="14"/>
      <c r="DP511" s="12"/>
      <c r="DQ511" s="14"/>
      <c r="DR511" s="16"/>
      <c r="DS511" s="14"/>
      <c r="DT511" s="12"/>
      <c r="DU511" s="14"/>
      <c r="DV511" s="16"/>
      <c r="DW511" s="14"/>
      <c r="DX511" s="12"/>
      <c r="DY511" s="14"/>
      <c r="DZ511" s="16"/>
      <c r="EA511" s="14"/>
      <c r="EB511" s="12"/>
      <c r="EC511" s="14"/>
      <c r="ED511" s="16"/>
      <c r="EE511" s="14"/>
      <c r="EF511" s="12"/>
      <c r="EG511" s="12"/>
      <c r="EH511" s="14"/>
      <c r="EI511" s="16"/>
      <c r="EJ511" s="14"/>
      <c r="EK511" s="14"/>
      <c r="EL511" s="14"/>
      <c r="EM511" s="14"/>
      <c r="EN511" s="14"/>
      <c r="EO511" s="14"/>
      <c r="EP511" s="14"/>
      <c r="EQ511" s="12"/>
      <c r="ER511" s="14"/>
      <c r="ES511" s="16"/>
      <c r="ET511" s="14"/>
      <c r="EU511" s="12"/>
      <c r="EV511" s="14"/>
      <c r="EW511" s="16"/>
      <c r="EX511" s="14"/>
      <c r="EY511" s="12"/>
      <c r="EZ511" s="14"/>
      <c r="FA511" s="16"/>
      <c r="FB511" s="14"/>
      <c r="FC511" s="12"/>
      <c r="FD511" s="14"/>
      <c r="FE511" s="16"/>
      <c r="FF511" s="14"/>
      <c r="FG511" s="12"/>
      <c r="FH511" s="14"/>
      <c r="FI511" s="16"/>
      <c r="FJ511" s="14"/>
      <c r="FK511" s="12"/>
      <c r="FL511" s="14"/>
      <c r="FM511" s="16"/>
      <c r="FN511" s="14"/>
      <c r="FO511" s="12"/>
      <c r="FP511" s="14"/>
      <c r="FQ511" s="16"/>
      <c r="FR511" s="14"/>
      <c r="FS511" s="12"/>
      <c r="FT511" s="14"/>
      <c r="FU511" s="16"/>
      <c r="FV511" s="14"/>
      <c r="FW511" s="12"/>
      <c r="FX511" s="14"/>
      <c r="FY511" s="16"/>
      <c r="FZ511" s="14"/>
      <c r="GA511" s="12"/>
      <c r="GB511" s="14"/>
      <c r="GC511" s="16"/>
      <c r="GD511" s="14"/>
      <c r="GE511" s="12"/>
      <c r="GF511" s="14"/>
      <c r="GG511" s="16"/>
      <c r="GH511" s="14"/>
      <c r="GI511" s="12"/>
      <c r="GJ511" s="14"/>
      <c r="GK511" s="16"/>
      <c r="GL511" s="14"/>
      <c r="GM511" s="12"/>
      <c r="GN511" s="14"/>
      <c r="GO511" s="16"/>
      <c r="GP511" s="14"/>
      <c r="GQ511" s="12"/>
      <c r="GR511" s="14"/>
      <c r="GS511" s="16"/>
      <c r="GT511" s="14"/>
      <c r="GU511" s="12"/>
      <c r="GV511" s="14"/>
      <c r="GW511" s="16"/>
      <c r="GX511" s="14"/>
      <c r="GY511" s="12"/>
      <c r="GZ511" s="14"/>
      <c r="HA511" s="16"/>
      <c r="HB511" s="14"/>
      <c r="HC511" s="12"/>
      <c r="HD511" s="12"/>
      <c r="HE511" s="14"/>
      <c r="HF511" s="16"/>
      <c r="HG511" s="14"/>
      <c r="HH511" s="12" t="s">
        <v>320</v>
      </c>
      <c r="HI511" s="12" t="s">
        <v>522</v>
      </c>
      <c r="HJ511" s="12">
        <v>2016</v>
      </c>
      <c r="HK511" s="12" t="s">
        <v>320</v>
      </c>
      <c r="HL511" s="12" t="s">
        <v>320</v>
      </c>
      <c r="HM511" s="12" t="s">
        <v>544</v>
      </c>
      <c r="HN511" s="12">
        <v>2018</v>
      </c>
      <c r="HO511" s="12"/>
      <c r="HP511" s="12" t="s">
        <v>453</v>
      </c>
      <c r="HQ511" s="12" t="s">
        <v>319</v>
      </c>
      <c r="HR511" s="12"/>
      <c r="HS511" s="12" t="s">
        <v>320</v>
      </c>
      <c r="HT511" s="12" t="s">
        <v>320</v>
      </c>
      <c r="HU511" s="12" t="s">
        <v>320</v>
      </c>
      <c r="HV511" s="12"/>
      <c r="HW511" s="12"/>
      <c r="HX511" s="12"/>
      <c r="HY511" s="12"/>
      <c r="HZ511" s="12" t="s">
        <v>363</v>
      </c>
      <c r="IA511" s="12"/>
      <c r="IB511" s="12" t="s">
        <v>396</v>
      </c>
      <c r="IC511" s="12" t="s">
        <v>8668</v>
      </c>
      <c r="ID511" s="12" t="s">
        <v>334</v>
      </c>
      <c r="IE511" s="12" t="s">
        <v>335</v>
      </c>
      <c r="IF511" s="12" t="s">
        <v>320</v>
      </c>
      <c r="IG511" s="12" t="s">
        <v>320</v>
      </c>
      <c r="IH511" s="12" t="s">
        <v>320</v>
      </c>
      <c r="II511" s="12" t="s">
        <v>320</v>
      </c>
      <c r="IJ511" s="12" t="str">
        <f t="shared" si="302"/>
        <v>2. Sensitive</v>
      </c>
      <c r="IK511" s="12">
        <f t="shared" si="303"/>
        <v>4</v>
      </c>
      <c r="IL511" s="12" t="s">
        <v>336</v>
      </c>
      <c r="IM511" s="12" t="s">
        <v>320</v>
      </c>
      <c r="IN511" s="12" t="s">
        <v>320</v>
      </c>
      <c r="IO511" s="12" t="s">
        <v>320</v>
      </c>
      <c r="IP511" s="12" t="s">
        <v>320</v>
      </c>
      <c r="IQ511" s="12" t="str">
        <f t="shared" si="304"/>
        <v>2. Accommodating</v>
      </c>
      <c r="IR511" s="12">
        <f t="shared" si="305"/>
        <v>4</v>
      </c>
      <c r="IS511" s="12" t="s">
        <v>337</v>
      </c>
      <c r="IT511" s="12" t="s">
        <v>320</v>
      </c>
      <c r="IU511" s="12" t="s">
        <v>320</v>
      </c>
      <c r="IV511" s="12" t="s">
        <v>320</v>
      </c>
      <c r="IW511" s="11" t="str">
        <f t="shared" si="306"/>
        <v>2. Sensitive</v>
      </c>
      <c r="IX511" s="12">
        <f t="shared" si="307"/>
        <v>3</v>
      </c>
      <c r="IY511" s="12" t="s">
        <v>338</v>
      </c>
      <c r="IZ511" s="12" t="s">
        <v>527</v>
      </c>
      <c r="JA511" s="12">
        <v>1</v>
      </c>
      <c r="JB511" s="12" t="s">
        <v>433</v>
      </c>
      <c r="JC511" s="12"/>
      <c r="JD511" s="12"/>
      <c r="JE511" s="12" t="s">
        <v>340</v>
      </c>
      <c r="JF511" s="12" t="s">
        <v>8669</v>
      </c>
      <c r="JG511" s="12"/>
      <c r="JH511" s="12" t="s">
        <v>3980</v>
      </c>
      <c r="JI511" s="12" t="s">
        <v>8670</v>
      </c>
      <c r="JJ511" s="12" t="s">
        <v>8671</v>
      </c>
      <c r="JK511" s="12" t="s">
        <v>8672</v>
      </c>
      <c r="JL511" s="12" t="s">
        <v>8673</v>
      </c>
      <c r="JM511" s="12" t="s">
        <v>8674</v>
      </c>
      <c r="JN511" s="12"/>
      <c r="JO511" s="12" t="s">
        <v>8675</v>
      </c>
      <c r="JP511" s="15">
        <f t="shared" si="308"/>
        <v>21181</v>
      </c>
      <c r="JQ511" s="15">
        <f t="shared" si="309"/>
        <v>0</v>
      </c>
      <c r="JR511" s="279">
        <f t="shared" si="310"/>
        <v>0</v>
      </c>
      <c r="JS511" s="17">
        <f t="shared" si="311"/>
        <v>0.57188045890184602</v>
      </c>
      <c r="JT511" s="18" t="str">
        <f t="shared" si="312"/>
        <v/>
      </c>
      <c r="JU511" s="280">
        <f t="shared" si="313"/>
        <v>12113</v>
      </c>
      <c r="JV511" s="280">
        <f t="shared" si="314"/>
        <v>0</v>
      </c>
      <c r="JW511" s="319">
        <f t="shared" si="315"/>
        <v>1</v>
      </c>
      <c r="JX511" s="15">
        <f t="shared" si="316"/>
        <v>21181</v>
      </c>
      <c r="JY511" s="15">
        <f t="shared" si="317"/>
        <v>0</v>
      </c>
      <c r="JZ511" s="19">
        <f t="shared" si="318"/>
        <v>0</v>
      </c>
      <c r="KA511" s="52" t="str">
        <f t="shared" si="319"/>
        <v/>
      </c>
      <c r="KB511" s="15">
        <f t="shared" si="320"/>
        <v>0</v>
      </c>
      <c r="KC511" s="15">
        <f t="shared" si="321"/>
        <v>0</v>
      </c>
      <c r="KD511" s="20" t="str">
        <f t="shared" si="322"/>
        <v/>
      </c>
      <c r="KE511" s="52" t="str">
        <f t="shared" si="323"/>
        <v/>
      </c>
      <c r="KF511" s="15">
        <f t="shared" si="324"/>
        <v>0</v>
      </c>
      <c r="KG511" s="15">
        <f t="shared" si="325"/>
        <v>0</v>
      </c>
      <c r="KH511" s="21" t="str">
        <f t="shared" si="326"/>
        <v/>
      </c>
      <c r="KI511" s="52">
        <f t="shared" si="327"/>
        <v>1</v>
      </c>
      <c r="KJ511" s="15">
        <f t="shared" si="328"/>
        <v>21161</v>
      </c>
      <c r="KK511" s="15">
        <f t="shared" si="329"/>
        <v>0</v>
      </c>
      <c r="KL511" s="19">
        <f t="shared" si="330"/>
        <v>0</v>
      </c>
      <c r="KM511" s="52" t="str">
        <f t="shared" si="331"/>
        <v/>
      </c>
      <c r="KN511" s="22">
        <f t="shared" si="332"/>
        <v>0</v>
      </c>
      <c r="KO511" s="22">
        <f t="shared" si="333"/>
        <v>0</v>
      </c>
      <c r="KP511" s="19" t="str">
        <f t="shared" si="334"/>
        <v/>
      </c>
      <c r="KQ511" s="11" t="str">
        <f t="shared" si="335"/>
        <v>2. Sensitive</v>
      </c>
      <c r="KR511" s="11" t="str">
        <f t="shared" si="336"/>
        <v>2. Accommodating</v>
      </c>
      <c r="KS511" s="11" t="str">
        <f t="shared" si="337"/>
        <v>2. Sensitive</v>
      </c>
      <c r="KT511" s="11" t="str">
        <f t="shared" si="338"/>
        <v>It did not develop any specific innovation</v>
      </c>
      <c r="KU511" s="11" t="str">
        <f t="shared" si="339"/>
        <v>Intensive advocacy</v>
      </c>
      <c r="KV511" s="11" t="str">
        <f t="shared" si="340"/>
        <v>It linked and worked with strategic alliances and partners to take tested and effective solutions to scale</v>
      </c>
      <c r="KW511" s="11" t="str">
        <f t="shared" si="341"/>
        <v>Nepal - Gender Based Violence and Protection</v>
      </c>
      <c r="KX511" s="11" t="str">
        <f t="shared" si="342"/>
        <v>Gender Based Violence and Protection</v>
      </c>
      <c r="KY511" s="11" t="str">
        <f t="shared" si="343"/>
        <v>Nepal</v>
      </c>
      <c r="KZ511" s="12">
        <v>511</v>
      </c>
    </row>
    <row r="512" spans="1:312" x14ac:dyDescent="0.3">
      <c r="A512" s="12" t="s">
        <v>8647</v>
      </c>
      <c r="B512" s="12" t="s">
        <v>306</v>
      </c>
      <c r="C512" s="12">
        <v>3178</v>
      </c>
      <c r="D512" s="12" t="s">
        <v>8648</v>
      </c>
      <c r="E512" s="277" t="str">
        <f t="shared" si="301"/>
        <v>Nepal</v>
      </c>
      <c r="F512" s="12" t="s">
        <v>8649</v>
      </c>
      <c r="G512" s="12" t="s">
        <v>379</v>
      </c>
      <c r="H512" s="12" t="s">
        <v>380</v>
      </c>
      <c r="I512" s="12" t="s">
        <v>655</v>
      </c>
      <c r="J512" s="281" t="s">
        <v>4991</v>
      </c>
      <c r="K512" s="12"/>
      <c r="L512" s="12"/>
      <c r="M512" s="12"/>
      <c r="N512" s="12"/>
      <c r="O512" s="12"/>
      <c r="P512" s="12"/>
      <c r="Q512" s="12"/>
      <c r="R512" s="12"/>
      <c r="S512" s="12"/>
      <c r="T512" s="12"/>
      <c r="U512" s="12"/>
      <c r="V512" s="12"/>
      <c r="W512" s="12"/>
      <c r="X512" s="12"/>
      <c r="Y512" s="12"/>
      <c r="Z512" s="12"/>
      <c r="AA512" s="12"/>
      <c r="AB512" s="12"/>
      <c r="AC512" s="12"/>
      <c r="AD512" s="12"/>
      <c r="BD512" s="13">
        <v>42566</v>
      </c>
      <c r="BE512" s="13">
        <v>44391</v>
      </c>
      <c r="BF512" s="12"/>
      <c r="BG512" s="12" t="s">
        <v>312</v>
      </c>
      <c r="BH512" s="14">
        <v>4118084.8</v>
      </c>
      <c r="BI512" s="12" t="s">
        <v>8650</v>
      </c>
      <c r="BJ512" s="12" t="s">
        <v>751</v>
      </c>
      <c r="BK512" s="12" t="s">
        <v>8651</v>
      </c>
      <c r="BL512" s="12"/>
      <c r="BM512" s="12"/>
      <c r="BN512" s="12"/>
      <c r="BO512" s="12" t="s">
        <v>319</v>
      </c>
      <c r="BP512" s="12" t="s">
        <v>320</v>
      </c>
      <c r="BQ512" s="12" t="s">
        <v>319</v>
      </c>
      <c r="BR512" s="12" t="s">
        <v>8652</v>
      </c>
      <c r="BS512" s="31" t="s">
        <v>357</v>
      </c>
      <c r="BT512" s="12" t="s">
        <v>8653</v>
      </c>
      <c r="BU512" s="12" t="s">
        <v>8654</v>
      </c>
      <c r="BV512" s="14"/>
      <c r="BW512" s="14"/>
      <c r="BX512" s="14">
        <v>317065</v>
      </c>
      <c r="BY512" s="14"/>
      <c r="BZ512" s="14"/>
      <c r="CA512" s="14"/>
      <c r="CB512" s="12" t="s">
        <v>8655</v>
      </c>
      <c r="CD512" s="14"/>
      <c r="CE512" s="14"/>
      <c r="CF512" s="14"/>
      <c r="CG512" s="14"/>
      <c r="CH512" s="14"/>
      <c r="CI512" s="14"/>
      <c r="CJ512" s="12"/>
      <c r="CK512" s="14"/>
      <c r="CL512" s="16"/>
      <c r="CM512" s="14"/>
      <c r="CN512" s="12"/>
      <c r="CO512" s="14"/>
      <c r="CP512" s="16"/>
      <c r="CQ512" s="14"/>
      <c r="CR512" s="12"/>
      <c r="CS512" s="14"/>
      <c r="CT512" s="16"/>
      <c r="CU512" s="14"/>
      <c r="CV512" s="12"/>
      <c r="CW512" s="14"/>
      <c r="CX512" s="16"/>
      <c r="CY512" s="14"/>
      <c r="CZ512" s="12"/>
      <c r="DA512" s="14"/>
      <c r="DB512" s="16"/>
      <c r="DC512" s="14"/>
      <c r="DD512" s="12"/>
      <c r="DE512" s="14"/>
      <c r="DF512" s="16"/>
      <c r="DG512" s="14"/>
      <c r="DH512" s="12"/>
      <c r="DI512" s="14"/>
      <c r="DJ512" s="16"/>
      <c r="DK512" s="14"/>
      <c r="DL512" s="12"/>
      <c r="DM512" s="14"/>
      <c r="DN512" s="16"/>
      <c r="DO512" s="14"/>
      <c r="DP512" s="12"/>
      <c r="DQ512" s="14"/>
      <c r="DR512" s="16"/>
      <c r="DS512" s="14"/>
      <c r="DT512" s="12"/>
      <c r="DU512" s="14"/>
      <c r="DV512" s="16"/>
      <c r="DW512" s="14"/>
      <c r="DX512" s="12"/>
      <c r="DY512" s="14"/>
      <c r="DZ512" s="16"/>
      <c r="EA512" s="14"/>
      <c r="EB512" s="12"/>
      <c r="EC512" s="14"/>
      <c r="ED512" s="16"/>
      <c r="EE512" s="14"/>
      <c r="EF512" s="12"/>
      <c r="EG512" s="12"/>
      <c r="EH512" s="14"/>
      <c r="EI512" s="16"/>
      <c r="EJ512" s="14"/>
      <c r="EK512" s="14">
        <v>2168</v>
      </c>
      <c r="EL512" s="14">
        <v>2136</v>
      </c>
      <c r="EM512" s="14">
        <v>4304</v>
      </c>
      <c r="EN512" s="14"/>
      <c r="EO512" s="14"/>
      <c r="EP512" s="14"/>
      <c r="EQ512" s="12" t="s">
        <v>320</v>
      </c>
      <c r="ER512" s="14">
        <v>15</v>
      </c>
      <c r="ES512" s="16">
        <v>0.66659999999999997</v>
      </c>
      <c r="ET512" s="14"/>
      <c r="EU512" s="11" t="s">
        <v>320</v>
      </c>
      <c r="EV512" s="14">
        <v>3744</v>
      </c>
      <c r="EW512" s="16">
        <v>0.54549999999999998</v>
      </c>
      <c r="EX512" s="14"/>
      <c r="EY512" s="12" t="s">
        <v>319</v>
      </c>
      <c r="EZ512" s="14"/>
      <c r="FA512" s="16"/>
      <c r="FB512" s="14"/>
      <c r="FC512" s="12" t="s">
        <v>320</v>
      </c>
      <c r="FD512" s="14">
        <v>664</v>
      </c>
      <c r="FE512" s="16">
        <v>0.61739999999999995</v>
      </c>
      <c r="FF512" s="14"/>
      <c r="FG512" s="12" t="s">
        <v>319</v>
      </c>
      <c r="FH512" s="14"/>
      <c r="FI512" s="16"/>
      <c r="FJ512" s="14"/>
      <c r="FK512" s="12" t="s">
        <v>319</v>
      </c>
      <c r="FL512" s="14"/>
      <c r="FM512" s="16"/>
      <c r="FN512" s="14"/>
      <c r="FO512" s="12" t="s">
        <v>319</v>
      </c>
      <c r="FP512" s="14"/>
      <c r="FQ512" s="16"/>
      <c r="FR512" s="14"/>
      <c r="FS512" s="12" t="s">
        <v>319</v>
      </c>
      <c r="FT512" s="14"/>
      <c r="FU512" s="16"/>
      <c r="FV512" s="14"/>
      <c r="FW512" s="11" t="s">
        <v>320</v>
      </c>
      <c r="FX512" s="14">
        <v>58</v>
      </c>
      <c r="FY512" s="16">
        <v>0.41370000000000001</v>
      </c>
      <c r="FZ512" s="14"/>
      <c r="GA512" s="12" t="s">
        <v>319</v>
      </c>
      <c r="GB512" s="14"/>
      <c r="GC512" s="16"/>
      <c r="GD512" s="14"/>
      <c r="GE512" s="12" t="s">
        <v>319</v>
      </c>
      <c r="GF512" s="14"/>
      <c r="GG512" s="16"/>
      <c r="GH512" s="14"/>
      <c r="GI512" s="11" t="s">
        <v>320</v>
      </c>
      <c r="GJ512" s="14">
        <v>1034</v>
      </c>
      <c r="GK512" s="16">
        <v>0.5</v>
      </c>
      <c r="GL512" s="14"/>
      <c r="GM512" s="11" t="s">
        <v>320</v>
      </c>
      <c r="GN512" s="14">
        <v>20</v>
      </c>
      <c r="GO512" s="16"/>
      <c r="GP512" s="14"/>
      <c r="GQ512" s="12" t="s">
        <v>319</v>
      </c>
      <c r="GR512" s="14"/>
      <c r="GS512" s="16"/>
      <c r="GT512" s="14"/>
      <c r="GU512" s="12" t="s">
        <v>319</v>
      </c>
      <c r="GV512" s="14"/>
      <c r="GW512" s="16"/>
      <c r="GX512" s="14"/>
      <c r="GY512" s="12" t="s">
        <v>319</v>
      </c>
      <c r="GZ512" s="14"/>
      <c r="HA512" s="16"/>
      <c r="HB512" s="14"/>
      <c r="HC512" s="12" t="s">
        <v>8656</v>
      </c>
      <c r="HD512" s="12" t="s">
        <v>320</v>
      </c>
      <c r="HE512" s="14">
        <v>39</v>
      </c>
      <c r="HF512" s="16"/>
      <c r="HG512" s="14"/>
      <c r="HH512" s="12" t="s">
        <v>319</v>
      </c>
      <c r="HI512" s="12"/>
      <c r="HJ512" s="12"/>
      <c r="HK512" s="12"/>
      <c r="HL512" s="12" t="s">
        <v>319</v>
      </c>
      <c r="HM512" s="12"/>
      <c r="HN512" s="12"/>
      <c r="HO512" s="12"/>
      <c r="HP512" s="12" t="s">
        <v>418</v>
      </c>
      <c r="HQ512" s="12"/>
      <c r="HR512" s="12"/>
      <c r="HS512" s="12"/>
      <c r="HT512" s="12"/>
      <c r="HU512" s="12"/>
      <c r="HV512" s="12"/>
      <c r="HW512" s="12"/>
      <c r="HX512" s="12"/>
      <c r="HY512" s="12"/>
      <c r="HZ512" s="12" t="s">
        <v>363</v>
      </c>
      <c r="IA512" s="12"/>
      <c r="IB512" s="12"/>
      <c r="IC512" s="12"/>
      <c r="ID512" s="12" t="s">
        <v>334</v>
      </c>
      <c r="IE512" s="12" t="s">
        <v>478</v>
      </c>
      <c r="IF512" s="12" t="s">
        <v>320</v>
      </c>
      <c r="IG512" s="12" t="s">
        <v>320</v>
      </c>
      <c r="IH512" s="12" t="s">
        <v>320</v>
      </c>
      <c r="II512" s="12" t="s">
        <v>319</v>
      </c>
      <c r="IJ512" s="12" t="str">
        <f t="shared" si="302"/>
        <v>3. Responsive</v>
      </c>
      <c r="IK512" s="12">
        <f t="shared" si="303"/>
        <v>3</v>
      </c>
      <c r="IL512" s="11" t="s">
        <v>621</v>
      </c>
      <c r="IM512" s="12" t="s">
        <v>320</v>
      </c>
      <c r="IN512" s="12" t="s">
        <v>319</v>
      </c>
      <c r="IO512" s="12" t="s">
        <v>320</v>
      </c>
      <c r="IP512" s="12" t="s">
        <v>320</v>
      </c>
      <c r="IQ512" s="12" t="str">
        <f t="shared" si="304"/>
        <v>3. Responsive</v>
      </c>
      <c r="IR512" s="12">
        <f t="shared" si="305"/>
        <v>3</v>
      </c>
      <c r="IS512" s="12" t="s">
        <v>622</v>
      </c>
      <c r="IT512" s="12" t="s">
        <v>320</v>
      </c>
      <c r="IU512" s="12" t="s">
        <v>320</v>
      </c>
      <c r="IV512" s="12" t="s">
        <v>320</v>
      </c>
      <c r="IW512" s="11" t="str">
        <f t="shared" si="306"/>
        <v>4. Transformative</v>
      </c>
      <c r="IX512" s="12">
        <f t="shared" si="307"/>
        <v>3</v>
      </c>
      <c r="IY512" s="12" t="s">
        <v>758</v>
      </c>
      <c r="IZ512" s="12" t="s">
        <v>527</v>
      </c>
      <c r="JA512" s="12">
        <v>3</v>
      </c>
      <c r="JB512" s="12" t="s">
        <v>433</v>
      </c>
      <c r="JC512" s="12" t="s">
        <v>831</v>
      </c>
      <c r="JD512" s="12"/>
      <c r="JE512" s="12" t="s">
        <v>420</v>
      </c>
      <c r="JF512" s="12"/>
      <c r="JG512" s="12"/>
      <c r="JH512" s="12"/>
      <c r="JI512" s="12"/>
      <c r="JJ512" s="12"/>
      <c r="JK512" s="12" t="s">
        <v>8657</v>
      </c>
      <c r="JL512" s="12"/>
      <c r="JM512" s="12"/>
      <c r="JN512" s="12"/>
      <c r="JO512" s="12"/>
      <c r="JP512" s="15">
        <f t="shared" si="308"/>
        <v>4304</v>
      </c>
      <c r="JQ512" s="15">
        <f t="shared" si="309"/>
        <v>0</v>
      </c>
      <c r="JR512" s="279">
        <f t="shared" si="310"/>
        <v>0</v>
      </c>
      <c r="JS512" s="17">
        <f t="shared" si="311"/>
        <v>0.50371747211895912</v>
      </c>
      <c r="JT512" s="18" t="str">
        <f t="shared" si="312"/>
        <v/>
      </c>
      <c r="JU512" s="280">
        <f t="shared" si="313"/>
        <v>2168</v>
      </c>
      <c r="JV512" s="280">
        <f t="shared" si="314"/>
        <v>0</v>
      </c>
      <c r="JW512" s="319" t="str">
        <f t="shared" si="315"/>
        <v/>
      </c>
      <c r="JX512" s="15">
        <f t="shared" si="316"/>
        <v>0</v>
      </c>
      <c r="JY512" s="15">
        <f t="shared" si="317"/>
        <v>0</v>
      </c>
      <c r="JZ512" s="19" t="str">
        <f t="shared" si="318"/>
        <v/>
      </c>
      <c r="KA512" s="52">
        <f t="shared" si="319"/>
        <v>1</v>
      </c>
      <c r="KB512" s="15">
        <f t="shared" si="320"/>
        <v>3744</v>
      </c>
      <c r="KC512" s="15">
        <f t="shared" si="321"/>
        <v>0</v>
      </c>
      <c r="KD512" s="20">
        <f t="shared" si="322"/>
        <v>0</v>
      </c>
      <c r="KE512" s="52" t="str">
        <f t="shared" si="323"/>
        <v/>
      </c>
      <c r="KF512" s="15">
        <f t="shared" si="324"/>
        <v>0</v>
      </c>
      <c r="KG512" s="15">
        <f t="shared" si="325"/>
        <v>0</v>
      </c>
      <c r="KH512" s="21" t="str">
        <f t="shared" si="326"/>
        <v/>
      </c>
      <c r="KI512" s="52" t="str">
        <f t="shared" si="327"/>
        <v/>
      </c>
      <c r="KJ512" s="15">
        <f t="shared" si="328"/>
        <v>0</v>
      </c>
      <c r="KK512" s="15">
        <f t="shared" si="329"/>
        <v>0</v>
      </c>
      <c r="KL512" s="19" t="str">
        <f t="shared" si="330"/>
        <v/>
      </c>
      <c r="KM512" s="52" t="str">
        <f t="shared" si="331"/>
        <v/>
      </c>
      <c r="KN512" s="22">
        <f t="shared" si="332"/>
        <v>0</v>
      </c>
      <c r="KO512" s="22">
        <f t="shared" si="333"/>
        <v>0</v>
      </c>
      <c r="KP512" s="19" t="str">
        <f t="shared" si="334"/>
        <v/>
      </c>
      <c r="KQ512" s="11" t="str">
        <f t="shared" si="335"/>
        <v>3. Responsive</v>
      </c>
      <c r="KR512" s="11" t="str">
        <f t="shared" si="336"/>
        <v>3. Responsive</v>
      </c>
      <c r="KS512" s="11" t="str">
        <f t="shared" si="337"/>
        <v>4. Transformative</v>
      </c>
      <c r="KT512" s="11" t="str">
        <f t="shared" si="338"/>
        <v>It did not develop any specific innovation</v>
      </c>
      <c r="KU512" s="11" t="str">
        <f t="shared" si="339"/>
        <v>Little or no advocacy</v>
      </c>
      <c r="KV512" s="11">
        <f t="shared" si="340"/>
        <v>0</v>
      </c>
      <c r="KW512" s="11" t="str">
        <f t="shared" si="341"/>
        <v>Nepal - Hariyo Ban Program</v>
      </c>
      <c r="KX512" s="11" t="str">
        <f t="shared" si="342"/>
        <v>Hariyo Ban Program</v>
      </c>
      <c r="KY512" s="11" t="str">
        <f t="shared" si="343"/>
        <v>Nepal</v>
      </c>
      <c r="KZ512" s="12">
        <v>512</v>
      </c>
    </row>
    <row r="513" spans="1:312" x14ac:dyDescent="0.3">
      <c r="A513" s="12" t="s">
        <v>8945</v>
      </c>
      <c r="B513" s="12" t="s">
        <v>306</v>
      </c>
      <c r="C513" s="12">
        <v>3194</v>
      </c>
      <c r="D513" s="12" t="s">
        <v>8946</v>
      </c>
      <c r="E513" s="277" t="str">
        <f t="shared" ref="E513:E576" si="344">A513</f>
        <v>nepal</v>
      </c>
      <c r="F513" s="12" t="s">
        <v>8947</v>
      </c>
      <c r="G513" s="12" t="s">
        <v>379</v>
      </c>
      <c r="H513" s="12" t="s">
        <v>554</v>
      </c>
      <c r="I513" s="12" t="s">
        <v>384</v>
      </c>
      <c r="J513" s="278" t="s">
        <v>10530</v>
      </c>
      <c r="K513" s="12"/>
      <c r="L513" s="12"/>
      <c r="M513" s="12"/>
      <c r="N513" s="12"/>
      <c r="O513" s="12"/>
      <c r="P513" s="12"/>
      <c r="Q513" s="12"/>
      <c r="R513" s="12"/>
      <c r="S513" s="12"/>
      <c r="T513" s="12"/>
      <c r="U513" s="12"/>
      <c r="V513" s="12"/>
      <c r="W513" s="12"/>
      <c r="X513" s="12"/>
      <c r="Y513" s="12"/>
      <c r="Z513" s="12"/>
      <c r="AA513" s="12"/>
      <c r="AB513" s="12"/>
      <c r="AC513" s="12"/>
      <c r="AD513" s="12"/>
      <c r="BD513" s="13">
        <v>42186</v>
      </c>
      <c r="BE513" s="13">
        <v>44012</v>
      </c>
      <c r="BF513" s="12"/>
      <c r="BG513" s="12" t="s">
        <v>312</v>
      </c>
      <c r="BH513" s="14">
        <v>1497415.69</v>
      </c>
      <c r="BI513" s="12" t="s">
        <v>8834</v>
      </c>
      <c r="BJ513" s="12" t="s">
        <v>8849</v>
      </c>
      <c r="BK513" s="12" t="s">
        <v>8836</v>
      </c>
      <c r="BL513" s="12"/>
      <c r="BM513" s="12"/>
      <c r="BN513" s="12"/>
      <c r="BO513" s="12" t="s">
        <v>319</v>
      </c>
      <c r="BP513" s="12" t="s">
        <v>320</v>
      </c>
      <c r="BQ513" s="12" t="s">
        <v>319</v>
      </c>
      <c r="BR513" s="12" t="s">
        <v>8948</v>
      </c>
      <c r="BS513" s="12" t="s">
        <v>357</v>
      </c>
      <c r="BT513" s="12" t="s">
        <v>8949</v>
      </c>
      <c r="BU513" s="12" t="s">
        <v>8852</v>
      </c>
      <c r="BV513" s="14">
        <v>15000</v>
      </c>
      <c r="BW513" s="14">
        <v>2500</v>
      </c>
      <c r="BX513" s="14">
        <v>17500</v>
      </c>
      <c r="BY513" s="14">
        <v>30000</v>
      </c>
      <c r="BZ513" s="14">
        <v>5000</v>
      </c>
      <c r="CA513" s="14">
        <v>35000</v>
      </c>
      <c r="CB513" s="12" t="s">
        <v>8950</v>
      </c>
      <c r="CD513" s="14"/>
      <c r="CE513" s="14"/>
      <c r="CF513" s="14"/>
      <c r="CG513" s="14"/>
      <c r="CH513" s="14"/>
      <c r="CI513" s="14"/>
      <c r="CJ513" s="12"/>
      <c r="CK513" s="14"/>
      <c r="CL513" s="16"/>
      <c r="CM513" s="14"/>
      <c r="CN513" s="12"/>
      <c r="CO513" s="14"/>
      <c r="CP513" s="16"/>
      <c r="CQ513" s="14"/>
      <c r="CR513" s="12"/>
      <c r="CS513" s="14"/>
      <c r="CT513" s="16"/>
      <c r="CU513" s="14"/>
      <c r="CV513" s="12"/>
      <c r="CW513" s="14"/>
      <c r="CX513" s="16"/>
      <c r="CY513" s="14"/>
      <c r="CZ513" s="12"/>
      <c r="DA513" s="14"/>
      <c r="DB513" s="16"/>
      <c r="DC513" s="14"/>
      <c r="DD513" s="12"/>
      <c r="DE513" s="14"/>
      <c r="DF513" s="16"/>
      <c r="DG513" s="14"/>
      <c r="DH513" s="12"/>
      <c r="DI513" s="14"/>
      <c r="DJ513" s="16"/>
      <c r="DK513" s="14"/>
      <c r="DL513" s="12"/>
      <c r="DM513" s="14"/>
      <c r="DN513" s="16"/>
      <c r="DO513" s="14"/>
      <c r="DP513" s="12"/>
      <c r="DQ513" s="14"/>
      <c r="DR513" s="16"/>
      <c r="DS513" s="14"/>
      <c r="DT513" s="12"/>
      <c r="DU513" s="14"/>
      <c r="DV513" s="16"/>
      <c r="DW513" s="14"/>
      <c r="DX513" s="12"/>
      <c r="DY513" s="14"/>
      <c r="DZ513" s="16"/>
      <c r="EA513" s="14"/>
      <c r="EB513" s="12"/>
      <c r="EC513" s="14"/>
      <c r="ED513" s="16"/>
      <c r="EE513" s="14"/>
      <c r="EF513" s="12"/>
      <c r="EG513" s="12"/>
      <c r="EH513" s="14"/>
      <c r="EI513" s="16"/>
      <c r="EJ513" s="14"/>
      <c r="EK513" s="14">
        <v>2837</v>
      </c>
      <c r="EL513" s="14"/>
      <c r="EM513" s="14">
        <v>2837</v>
      </c>
      <c r="EN513" s="14">
        <v>1750</v>
      </c>
      <c r="EO513" s="14">
        <v>1750</v>
      </c>
      <c r="EP513" s="14">
        <v>3500</v>
      </c>
      <c r="EQ513" s="12"/>
      <c r="ER513" s="14"/>
      <c r="ES513" s="16"/>
      <c r="ET513" s="14"/>
      <c r="EU513" s="12"/>
      <c r="EV513" s="14"/>
      <c r="EW513" s="16"/>
      <c r="EX513" s="14"/>
      <c r="EY513" s="12"/>
      <c r="EZ513" s="14"/>
      <c r="FA513" s="16"/>
      <c r="FB513" s="14"/>
      <c r="FC513" s="12"/>
      <c r="FD513" s="14"/>
      <c r="FE513" s="16"/>
      <c r="FF513" s="14"/>
      <c r="FG513" s="12"/>
      <c r="FH513" s="14"/>
      <c r="FI513" s="16"/>
      <c r="FJ513" s="14"/>
      <c r="FK513" s="12" t="s">
        <v>320</v>
      </c>
      <c r="FL513" s="14">
        <v>456</v>
      </c>
      <c r="FM513" s="16">
        <v>1</v>
      </c>
      <c r="FN513" s="14">
        <v>900</v>
      </c>
      <c r="FO513" s="12"/>
      <c r="FP513" s="14"/>
      <c r="FQ513" s="16"/>
      <c r="FR513" s="14"/>
      <c r="FS513" s="12"/>
      <c r="FT513" s="14"/>
      <c r="FU513" s="16"/>
      <c r="FV513" s="14"/>
      <c r="FW513" s="12"/>
      <c r="FX513" s="14"/>
      <c r="FY513" s="16"/>
      <c r="FZ513" s="14"/>
      <c r="GA513" s="12"/>
      <c r="GB513" s="14"/>
      <c r="GC513" s="16"/>
      <c r="GD513" s="14"/>
      <c r="GE513" s="12"/>
      <c r="GF513" s="14"/>
      <c r="GG513" s="16"/>
      <c r="GH513" s="14"/>
      <c r="GI513" s="12"/>
      <c r="GJ513" s="14"/>
      <c r="GK513" s="16"/>
      <c r="GL513" s="14"/>
      <c r="GM513" s="12"/>
      <c r="GN513" s="14"/>
      <c r="GO513" s="16"/>
      <c r="GP513" s="14"/>
      <c r="GQ513" s="12" t="s">
        <v>320</v>
      </c>
      <c r="GR513" s="14">
        <v>1109</v>
      </c>
      <c r="GS513" s="16">
        <v>1</v>
      </c>
      <c r="GT513" s="14">
        <v>1100</v>
      </c>
      <c r="GU513" s="12"/>
      <c r="GV513" s="14"/>
      <c r="GW513" s="16"/>
      <c r="GX513" s="14"/>
      <c r="GY513" s="12"/>
      <c r="GZ513" s="14"/>
      <c r="HA513" s="16"/>
      <c r="HB513" s="14"/>
      <c r="HC513" s="12"/>
      <c r="HD513" s="12" t="s">
        <v>320</v>
      </c>
      <c r="HE513" s="14">
        <v>1272</v>
      </c>
      <c r="HF513" s="16"/>
      <c r="HG513" s="14">
        <v>1500</v>
      </c>
      <c r="HH513" s="12" t="s">
        <v>320</v>
      </c>
      <c r="HI513" s="12" t="s">
        <v>361</v>
      </c>
      <c r="HJ513" s="12">
        <v>2016</v>
      </c>
      <c r="HK513" s="12" t="s">
        <v>320</v>
      </c>
      <c r="HL513" s="12" t="s">
        <v>319</v>
      </c>
      <c r="HM513" s="12"/>
      <c r="HN513" s="12"/>
      <c r="HO513" s="12"/>
      <c r="HP513" s="12" t="s">
        <v>418</v>
      </c>
      <c r="HQ513" s="12" t="s">
        <v>319</v>
      </c>
      <c r="HR513" s="12" t="s">
        <v>319</v>
      </c>
      <c r="HS513" s="12" t="s">
        <v>320</v>
      </c>
      <c r="HT513" s="12" t="s">
        <v>320</v>
      </c>
      <c r="HU513" s="12" t="s">
        <v>320</v>
      </c>
      <c r="HV513" s="12" t="s">
        <v>319</v>
      </c>
      <c r="HW513" s="12" t="s">
        <v>319</v>
      </c>
      <c r="HX513" s="12" t="s">
        <v>319</v>
      </c>
      <c r="HY513" s="12"/>
      <c r="HZ513" s="12" t="s">
        <v>363</v>
      </c>
      <c r="IA513" s="12"/>
      <c r="IB513" s="12" t="s">
        <v>333</v>
      </c>
      <c r="IC513" s="12"/>
      <c r="ID513" s="12" t="s">
        <v>334</v>
      </c>
      <c r="IE513" s="12" t="s">
        <v>478</v>
      </c>
      <c r="IF513" s="12" t="s">
        <v>320</v>
      </c>
      <c r="IG513" s="12" t="s">
        <v>320</v>
      </c>
      <c r="IH513" s="12" t="s">
        <v>320</v>
      </c>
      <c r="II513" s="12" t="s">
        <v>320</v>
      </c>
      <c r="IJ513" s="12" t="str">
        <f t="shared" si="302"/>
        <v>4. Transformative</v>
      </c>
      <c r="IK513" s="12">
        <f t="shared" si="303"/>
        <v>4</v>
      </c>
      <c r="IL513" s="12" t="s">
        <v>621</v>
      </c>
      <c r="IM513" s="12" t="s">
        <v>320</v>
      </c>
      <c r="IN513" s="12" t="s">
        <v>320</v>
      </c>
      <c r="IO513" s="12" t="s">
        <v>320</v>
      </c>
      <c r="IP513" s="12" t="s">
        <v>320</v>
      </c>
      <c r="IQ513" s="12" t="str">
        <f t="shared" si="304"/>
        <v>4. Transformational</v>
      </c>
      <c r="IR513" s="12">
        <f t="shared" si="305"/>
        <v>4</v>
      </c>
      <c r="IS513" s="12" t="s">
        <v>622</v>
      </c>
      <c r="IT513" s="12" t="s">
        <v>320</v>
      </c>
      <c r="IU513" s="12" t="s">
        <v>320</v>
      </c>
      <c r="IV513" s="12" t="s">
        <v>320</v>
      </c>
      <c r="IW513" s="11" t="str">
        <f t="shared" si="306"/>
        <v>4. Transformative</v>
      </c>
      <c r="IX513" s="12">
        <f t="shared" si="307"/>
        <v>3</v>
      </c>
      <c r="IY513" s="12" t="s">
        <v>338</v>
      </c>
      <c r="IZ513" s="12" t="s">
        <v>457</v>
      </c>
      <c r="JA513" s="12">
        <v>2</v>
      </c>
      <c r="JB513" s="12" t="s">
        <v>433</v>
      </c>
      <c r="JC513" s="12"/>
      <c r="JD513" s="12"/>
      <c r="JE513" s="12" t="s">
        <v>420</v>
      </c>
      <c r="JF513" s="12"/>
      <c r="JG513" s="12"/>
      <c r="JH513" s="12"/>
      <c r="JI513" s="12"/>
      <c r="JJ513" s="12"/>
      <c r="JK513" s="12" t="s">
        <v>8951</v>
      </c>
      <c r="JL513" s="12" t="s">
        <v>8952</v>
      </c>
      <c r="JM513" s="12" t="s">
        <v>8953</v>
      </c>
      <c r="JN513" s="12"/>
      <c r="JO513" s="12" t="s">
        <v>8954</v>
      </c>
      <c r="JP513" s="15">
        <f t="shared" si="308"/>
        <v>2837</v>
      </c>
      <c r="JQ513" s="15">
        <f t="shared" si="309"/>
        <v>3500</v>
      </c>
      <c r="JR513" s="279">
        <f t="shared" si="310"/>
        <v>1.2336975678533662</v>
      </c>
      <c r="JS513" s="17">
        <f t="shared" si="311"/>
        <v>1</v>
      </c>
      <c r="JT513" s="18">
        <f t="shared" si="312"/>
        <v>0.5</v>
      </c>
      <c r="JU513" s="280">
        <f t="shared" si="313"/>
        <v>2837</v>
      </c>
      <c r="JV513" s="280">
        <f t="shared" si="314"/>
        <v>1750</v>
      </c>
      <c r="JW513" s="319" t="str">
        <f t="shared" si="315"/>
        <v/>
      </c>
      <c r="JX513" s="15">
        <f t="shared" si="316"/>
        <v>0</v>
      </c>
      <c r="JY513" s="15">
        <f t="shared" si="317"/>
        <v>0</v>
      </c>
      <c r="JZ513" s="19" t="str">
        <f t="shared" si="318"/>
        <v/>
      </c>
      <c r="KA513" s="52" t="str">
        <f t="shared" si="319"/>
        <v/>
      </c>
      <c r="KB513" s="15">
        <f t="shared" si="320"/>
        <v>0</v>
      </c>
      <c r="KC513" s="15">
        <f t="shared" si="321"/>
        <v>0</v>
      </c>
      <c r="KD513" s="20" t="str">
        <f t="shared" si="322"/>
        <v/>
      </c>
      <c r="KE513" s="52">
        <f t="shared" si="323"/>
        <v>1</v>
      </c>
      <c r="KF513" s="15">
        <f t="shared" si="324"/>
        <v>1109</v>
      </c>
      <c r="KG513" s="15">
        <f t="shared" si="325"/>
        <v>1100</v>
      </c>
      <c r="KH513" s="21">
        <f t="shared" si="326"/>
        <v>0.99188458070333629</v>
      </c>
      <c r="KI513" s="52" t="str">
        <f t="shared" si="327"/>
        <v/>
      </c>
      <c r="KJ513" s="15">
        <f t="shared" si="328"/>
        <v>0</v>
      </c>
      <c r="KK513" s="15">
        <f t="shared" si="329"/>
        <v>0</v>
      </c>
      <c r="KL513" s="19" t="str">
        <f t="shared" si="330"/>
        <v/>
      </c>
      <c r="KM513" s="52" t="str">
        <f t="shared" si="331"/>
        <v/>
      </c>
      <c r="KN513" s="22">
        <f t="shared" si="332"/>
        <v>0</v>
      </c>
      <c r="KO513" s="22">
        <f t="shared" si="333"/>
        <v>0</v>
      </c>
      <c r="KP513" s="19" t="str">
        <f t="shared" si="334"/>
        <v/>
      </c>
      <c r="KQ513" s="11" t="str">
        <f t="shared" si="335"/>
        <v>4. Transformative</v>
      </c>
      <c r="KR513" s="11" t="str">
        <f t="shared" si="336"/>
        <v>4. Transformational</v>
      </c>
      <c r="KS513" s="11" t="str">
        <f t="shared" si="337"/>
        <v>4. Transformative</v>
      </c>
      <c r="KT513" s="11" t="str">
        <f t="shared" si="338"/>
        <v>It did not develop any specific innovation</v>
      </c>
      <c r="KU513" s="11" t="str">
        <f t="shared" si="339"/>
        <v>Little or no advocacy</v>
      </c>
      <c r="KV513" s="11" t="str">
        <f t="shared" si="340"/>
        <v>It did not take tested solutions to scale</v>
      </c>
      <c r="KW513" s="11" t="str">
        <f t="shared" si="341"/>
        <v>nepal - Hausala PCTFI-Cohort 3</v>
      </c>
      <c r="KX513" s="11" t="str">
        <f t="shared" si="342"/>
        <v>Hausala PCTFI-Cohort 3</v>
      </c>
      <c r="KY513" s="11" t="str">
        <f t="shared" si="343"/>
        <v>nepal</v>
      </c>
      <c r="KZ513" s="12">
        <v>513</v>
      </c>
    </row>
    <row r="514" spans="1:312" x14ac:dyDescent="0.3">
      <c r="A514" s="12" t="s">
        <v>8647</v>
      </c>
      <c r="B514" s="12" t="s">
        <v>306</v>
      </c>
      <c r="C514" s="12">
        <v>3202</v>
      </c>
      <c r="D514" s="12" t="s">
        <v>9009</v>
      </c>
      <c r="E514" s="277" t="str">
        <f t="shared" si="344"/>
        <v>Nepal</v>
      </c>
      <c r="F514" s="12" t="s">
        <v>9010</v>
      </c>
      <c r="G514" s="12" t="s">
        <v>608</v>
      </c>
      <c r="H514" s="12" t="s">
        <v>310</v>
      </c>
      <c r="I514" s="12" t="s">
        <v>384</v>
      </c>
      <c r="J514" s="281" t="s">
        <v>9011</v>
      </c>
      <c r="K514" s="12"/>
      <c r="L514" s="12"/>
      <c r="M514" s="12"/>
      <c r="N514" s="12"/>
      <c r="O514" s="12"/>
      <c r="P514" s="12"/>
      <c r="Q514" s="12"/>
      <c r="R514" s="12"/>
      <c r="S514" s="12"/>
      <c r="T514" s="12"/>
      <c r="U514" s="12"/>
      <c r="V514" s="12"/>
      <c r="W514" s="12"/>
      <c r="X514" s="12"/>
      <c r="Y514" s="12"/>
      <c r="Z514" s="12"/>
      <c r="AA514" s="12"/>
      <c r="AB514" s="12"/>
      <c r="AC514" s="12"/>
      <c r="AD514" s="12"/>
      <c r="BD514" s="13">
        <v>42705</v>
      </c>
      <c r="BE514" s="13">
        <v>43069</v>
      </c>
      <c r="BF514" s="12"/>
      <c r="BG514" s="12" t="s">
        <v>908</v>
      </c>
      <c r="BH514" s="14">
        <v>500000</v>
      </c>
      <c r="BI514" s="12" t="s">
        <v>8660</v>
      </c>
      <c r="BJ514" s="12" t="s">
        <v>8797</v>
      </c>
      <c r="BK514" s="12" t="s">
        <v>8661</v>
      </c>
      <c r="BL514" s="12" t="s">
        <v>8798</v>
      </c>
      <c r="BM514" s="12" t="s">
        <v>8799</v>
      </c>
      <c r="BN514" s="12" t="s">
        <v>8800</v>
      </c>
      <c r="BO514" s="12" t="s">
        <v>320</v>
      </c>
      <c r="BP514" s="12" t="s">
        <v>319</v>
      </c>
      <c r="BQ514" s="12" t="s">
        <v>319</v>
      </c>
      <c r="BR514" s="12" t="s">
        <v>9012</v>
      </c>
      <c r="BS514" s="12" t="s">
        <v>357</v>
      </c>
      <c r="BT514" s="12" t="s">
        <v>9013</v>
      </c>
      <c r="BU514" s="12" t="s">
        <v>9014</v>
      </c>
      <c r="BV514" s="14">
        <v>5148</v>
      </c>
      <c r="BW514" s="14">
        <v>4212</v>
      </c>
      <c r="BX514" s="14">
        <v>9360</v>
      </c>
      <c r="BY514" s="14"/>
      <c r="BZ514" s="14"/>
      <c r="CA514" s="14"/>
      <c r="CB514" s="12"/>
      <c r="CD514" s="14">
        <v>3742</v>
      </c>
      <c r="CE514" s="14">
        <v>3989</v>
      </c>
      <c r="CF514" s="14">
        <v>7731</v>
      </c>
      <c r="CG514" s="14"/>
      <c r="CH514" s="14"/>
      <c r="CI514" s="14"/>
      <c r="CJ514" s="12"/>
      <c r="CK514" s="14"/>
      <c r="CL514" s="16"/>
      <c r="CM514" s="14"/>
      <c r="CN514" s="12"/>
      <c r="CO514" s="14"/>
      <c r="CP514" s="16"/>
      <c r="CQ514" s="14"/>
      <c r="CR514" s="12"/>
      <c r="CS514" s="14"/>
      <c r="CT514" s="16"/>
      <c r="CU514" s="14"/>
      <c r="CV514" s="12" t="s">
        <v>319</v>
      </c>
      <c r="CW514" s="14"/>
      <c r="CX514" s="16"/>
      <c r="CY514" s="14"/>
      <c r="CZ514" s="12"/>
      <c r="DA514" s="14"/>
      <c r="DB514" s="16"/>
      <c r="DC514" s="14"/>
      <c r="DD514" s="12"/>
      <c r="DE514" s="14"/>
      <c r="DF514" s="16"/>
      <c r="DG514" s="14"/>
      <c r="DH514" s="12"/>
      <c r="DI514" s="14"/>
      <c r="DJ514" s="16"/>
      <c r="DK514" s="14"/>
      <c r="DL514" s="11" t="s">
        <v>320</v>
      </c>
      <c r="DM514" s="14">
        <v>7731</v>
      </c>
      <c r="DN514" s="16">
        <v>0.48402535247703998</v>
      </c>
      <c r="DO514" s="14"/>
      <c r="DP514" s="12"/>
      <c r="DQ514" s="14"/>
      <c r="DR514" s="16"/>
      <c r="DS514" s="14"/>
      <c r="DT514" s="12"/>
      <c r="DU514" s="14"/>
      <c r="DV514" s="16"/>
      <c r="DW514" s="14"/>
      <c r="DX514" s="12"/>
      <c r="DY514" s="14"/>
      <c r="DZ514" s="16"/>
      <c r="EA514" s="14"/>
      <c r="EB514" s="12"/>
      <c r="EC514" s="14"/>
      <c r="ED514" s="16"/>
      <c r="EE514" s="14"/>
      <c r="EF514" s="12"/>
      <c r="EG514" s="12"/>
      <c r="EH514" s="14"/>
      <c r="EI514" s="16"/>
      <c r="EJ514" s="14"/>
      <c r="EK514" s="14"/>
      <c r="EL514" s="14"/>
      <c r="EM514" s="14"/>
      <c r="EN514" s="14"/>
      <c r="EO514" s="14"/>
      <c r="EP514" s="14"/>
      <c r="EQ514" s="12" t="s">
        <v>319</v>
      </c>
      <c r="ER514" s="14"/>
      <c r="ES514" s="16"/>
      <c r="ET514" s="14"/>
      <c r="EU514" s="12"/>
      <c r="EV514" s="14"/>
      <c r="EW514" s="16"/>
      <c r="EX514" s="14"/>
      <c r="EY514" s="12"/>
      <c r="EZ514" s="14"/>
      <c r="FA514" s="16"/>
      <c r="FB514" s="14"/>
      <c r="FC514" s="12"/>
      <c r="FD514" s="14"/>
      <c r="FE514" s="16"/>
      <c r="FF514" s="14"/>
      <c r="FG514" s="12"/>
      <c r="FH514" s="14"/>
      <c r="FI514" s="16"/>
      <c r="FJ514" s="14"/>
      <c r="FK514" s="12"/>
      <c r="FL514" s="14"/>
      <c r="FM514" s="16"/>
      <c r="FN514" s="14"/>
      <c r="FO514" s="12" t="s">
        <v>319</v>
      </c>
      <c r="FP514" s="14"/>
      <c r="FQ514" s="16"/>
      <c r="FR514" s="14"/>
      <c r="FS514" s="12"/>
      <c r="FT514" s="14"/>
      <c r="FU514" s="16"/>
      <c r="FV514" s="14"/>
      <c r="FW514" s="12"/>
      <c r="FX514" s="14"/>
      <c r="FY514" s="16"/>
      <c r="FZ514" s="14"/>
      <c r="GA514" s="12"/>
      <c r="GB514" s="14"/>
      <c r="GC514" s="16"/>
      <c r="GD514" s="14"/>
      <c r="GE514" s="12"/>
      <c r="GF514" s="14"/>
      <c r="GG514" s="16"/>
      <c r="GH514" s="14"/>
      <c r="GI514" s="12"/>
      <c r="GJ514" s="14"/>
      <c r="GK514" s="16"/>
      <c r="GL514" s="14"/>
      <c r="GM514" s="12"/>
      <c r="GN514" s="14"/>
      <c r="GO514" s="16"/>
      <c r="GP514" s="14"/>
      <c r="GQ514" s="12"/>
      <c r="GR514" s="14"/>
      <c r="GS514" s="16"/>
      <c r="GT514" s="14"/>
      <c r="GU514" s="12"/>
      <c r="GV514" s="14"/>
      <c r="GW514" s="16"/>
      <c r="GX514" s="14"/>
      <c r="GY514" s="12"/>
      <c r="GZ514" s="14"/>
      <c r="HA514" s="16"/>
      <c r="HB514" s="14"/>
      <c r="HC514" s="12"/>
      <c r="HD514" s="12"/>
      <c r="HE514" s="14"/>
      <c r="HF514" s="16"/>
      <c r="HG514" s="14"/>
      <c r="HH514" s="12"/>
      <c r="HI514" s="12"/>
      <c r="HJ514" s="12"/>
      <c r="HK514" s="12"/>
      <c r="HL514" s="12" t="s">
        <v>320</v>
      </c>
      <c r="HM514" s="12" t="s">
        <v>361</v>
      </c>
      <c r="HN514" s="12">
        <v>2017</v>
      </c>
      <c r="HO514" s="12"/>
      <c r="HP514" s="12" t="s">
        <v>418</v>
      </c>
      <c r="HQ514" s="12"/>
      <c r="HR514" s="12"/>
      <c r="HS514" s="12"/>
      <c r="HT514" s="12"/>
      <c r="HU514" s="12"/>
      <c r="HV514" s="12"/>
      <c r="HW514" s="12"/>
      <c r="HX514" s="12"/>
      <c r="HY514" s="12"/>
      <c r="HZ514" s="12" t="s">
        <v>394</v>
      </c>
      <c r="IA514" s="12" t="s">
        <v>9015</v>
      </c>
      <c r="IB514" s="12" t="s">
        <v>396</v>
      </c>
      <c r="IC514" s="12" t="s">
        <v>9016</v>
      </c>
      <c r="ID514" s="12" t="s">
        <v>334</v>
      </c>
      <c r="IE514" s="12" t="s">
        <v>335</v>
      </c>
      <c r="IF514" s="12" t="s">
        <v>320</v>
      </c>
      <c r="IG514" s="12" t="s">
        <v>320</v>
      </c>
      <c r="IH514" s="12" t="s">
        <v>320</v>
      </c>
      <c r="II514" s="12" t="s">
        <v>320</v>
      </c>
      <c r="IJ514" s="12" t="str">
        <f t="shared" ref="IJ514:IJ577" si="345">IF(IE514="","No marker score",IF(ISNUMBER(SEARCH("select",IE514)),"",IF(ISNUMBER(SEARCH("Did NOT",IE514)),"0. Harmful",IF(ISNUMBER(SEARCH("CHALLENGED",IE514)),IF(IK514=4,"4. Transformative",IF(IK514&gt;1,"3. Responsive",IF(IK514&lt;=1,"No marker score",""))),IF(ISNUMBER(SEARCH("WORKED WITH",IE514)),IF(IK514=4,"2. Sensitive",IF(IK514&gt;1,"1. Neutral","0. Harmful")))))))</f>
        <v>2. Sensitive</v>
      </c>
      <c r="IK514" s="12">
        <f t="shared" ref="IK514:IK577" si="346">COUNTIF(IF514:II514,"=YES")</f>
        <v>4</v>
      </c>
      <c r="IL514" s="12" t="s">
        <v>336</v>
      </c>
      <c r="IM514" s="12" t="s">
        <v>320</v>
      </c>
      <c r="IN514" s="12" t="s">
        <v>320</v>
      </c>
      <c r="IO514" s="12" t="s">
        <v>320</v>
      </c>
      <c r="IP514" s="12" t="s">
        <v>320</v>
      </c>
      <c r="IQ514" s="12" t="str">
        <f t="shared" ref="IQ514:IQ577" si="347">IF(IL514="","No marker score",IF(ISNUMBER(SEARCH("select",IL514)),"",IF(ISNUMBER(SEARCH("Did NOT",IL514)),"0. Unaware",IF(ISNUMBER(SEARCH("CHALLENGED",IL514)),IF(IR514=4,"4. Transformational",IF(IR514&gt;1,"3. Responsive",IF(IR514&lt;=1,"No marker score",""))),IF(ISNUMBER(SEARCH("WORKED WITH",IL514)),IF(IR514&gt;=3,"2. Accommodating",IF(IR514&gt;=1,"1. Tokenistic","0. Unaware")))))))</f>
        <v>2. Accommodating</v>
      </c>
      <c r="IR514" s="12">
        <f t="shared" ref="IR514:IR577" si="348">COUNTIF(IM514:IP514,"=YES")</f>
        <v>4</v>
      </c>
      <c r="IS514" s="12" t="s">
        <v>337</v>
      </c>
      <c r="IT514" s="12" t="s">
        <v>320</v>
      </c>
      <c r="IU514" s="12" t="s">
        <v>320</v>
      </c>
      <c r="IV514" s="12" t="s">
        <v>320</v>
      </c>
      <c r="IW514" s="11" t="str">
        <f t="shared" ref="IW514:IW577" si="349">IF(IS514="","No marker score",IF(ISNUMBER(SEARCH("select",IS514)),"",IF(ISNUMBER(SEARCH("Did NOT",IS514)),"0. Harmful",IF(ISNUMBER(SEARCH("well",IS514)),IF(IX514=3,"4. Transformative",IF(IX514&gt;=1,"3. Responsive",IF(IX514=0,"No marker score",""))),IF(ISNUMBER(SEARCH(".",IS514)),IF(IX514&gt;=3,"2. Sensitive",IF(IX514&gt;=1,"1. Neutral","0. Harmful")))))))</f>
        <v>2. Sensitive</v>
      </c>
      <c r="IX514" s="12">
        <f t="shared" ref="IX514:IX577" si="350">COUNTIF(IT514:IV514,"=YES")</f>
        <v>3</v>
      </c>
      <c r="IY514" s="12" t="s">
        <v>758</v>
      </c>
      <c r="IZ514" s="12" t="s">
        <v>457</v>
      </c>
      <c r="JA514" s="12">
        <v>1</v>
      </c>
      <c r="JB514" s="12" t="s">
        <v>433</v>
      </c>
      <c r="JC514" s="12"/>
      <c r="JD514" s="12"/>
      <c r="JE514" s="12" t="s">
        <v>365</v>
      </c>
      <c r="JF514" s="12" t="s">
        <v>8806</v>
      </c>
      <c r="JG514" s="12"/>
      <c r="JH514" s="12" t="s">
        <v>9017</v>
      </c>
      <c r="JI514" s="12" t="s">
        <v>9018</v>
      </c>
      <c r="JJ514" s="12"/>
      <c r="JK514" s="12"/>
      <c r="JL514" s="12"/>
      <c r="JM514" s="12"/>
      <c r="JN514" s="12"/>
      <c r="JO514" s="12" t="s">
        <v>9019</v>
      </c>
      <c r="JP514" s="15">
        <f t="shared" ref="JP514:JP577" si="351">MAX(CF514,EM514)</f>
        <v>7731</v>
      </c>
      <c r="JQ514" s="15">
        <f t="shared" ref="JQ514:JQ577" si="352">MAX(CI514,EP514)</f>
        <v>0</v>
      </c>
      <c r="JR514" s="279">
        <f t="shared" ref="JR514:JR577" si="353">IFERROR(JQ514/JP514,"")</f>
        <v>0</v>
      </c>
      <c r="JS514" s="17">
        <f t="shared" ref="JS514:JS577" si="354">IFERROR(MAX(CD514,EK514)/JP514,"")</f>
        <v>0.48402535247704048</v>
      </c>
      <c r="JT514" s="18" t="str">
        <f t="shared" ref="JT514:JT577" si="355">IFERROR(MAX(CG514,EN514)/JQ514,"")</f>
        <v/>
      </c>
      <c r="JU514" s="280">
        <f t="shared" ref="JU514:JU577" si="356">IFERROR(MAX(CD514,EK514),"")</f>
        <v>3742</v>
      </c>
      <c r="JV514" s="280">
        <f t="shared" ref="JV514:JV577" si="357">IFERROR(MAX(CG514,EN514),"")</f>
        <v>0</v>
      </c>
      <c r="JW514" s="319">
        <f t="shared" ref="JW514:JW577" si="358">IF(BO514="yes",1,"")</f>
        <v>1</v>
      </c>
      <c r="JX514" s="15">
        <f t="shared" ref="JX514:JX577" si="359">CF514</f>
        <v>7731</v>
      </c>
      <c r="JY514" s="15">
        <f t="shared" ref="JY514:JY577" si="360">CI514</f>
        <v>0</v>
      </c>
      <c r="JZ514" s="19">
        <f t="shared" ref="JZ514:JZ577" si="361">IFERROR(JY514/JX514,"")</f>
        <v>0</v>
      </c>
      <c r="KA514" s="52">
        <f t="shared" ref="KA514:KA577" si="362">IF((OR(CV514="yes", DL514="yes", EQ514="yes", EU514="yes", FC514="yes", FG514="yes", FO514="yes", GI514="yes", GU514="yes")), 1, "")</f>
        <v>1</v>
      </c>
      <c r="KB514" s="15">
        <f t="shared" ref="KB514:KB577" si="363">MAX(CW514,DM514,ER514,EV514,FD514,FH514,FP514,GJ514,GV514)</f>
        <v>7731</v>
      </c>
      <c r="KC514" s="15">
        <f t="shared" ref="KC514:KC577" si="364">MAX(CY514,DO514,ET514,EX514,FF514,FJ514,FR514,GL514,GX514)</f>
        <v>0</v>
      </c>
      <c r="KD514" s="20">
        <f t="shared" ref="KD514:KD577" si="365">IFERROR(KC514/KB514,"")</f>
        <v>0</v>
      </c>
      <c r="KE514" s="52" t="str">
        <f t="shared" ref="KE514:KE577" si="366">IF((OR(DT514="yes", GQ514="yes")), 1, "")</f>
        <v/>
      </c>
      <c r="KF514" s="15">
        <f t="shared" ref="KF514:KF577" si="367">MAX(DU514,GR514)</f>
        <v>0</v>
      </c>
      <c r="KG514" s="15">
        <f t="shared" ref="KG514:KG577" si="368">MAX(DW514,GT514)</f>
        <v>0</v>
      </c>
      <c r="KH514" s="21" t="str">
        <f t="shared" ref="KH514:KH577" si="369">IFERROR(KG514/KF514,"")</f>
        <v/>
      </c>
      <c r="KI514" s="52" t="str">
        <f t="shared" ref="KI514:KI577" si="370">IF((OR(CZ514="yes", FS514="yes")), 1, "")</f>
        <v/>
      </c>
      <c r="KJ514" s="15">
        <f t="shared" ref="KJ514:KJ577" si="371">MAX(DA514,FT514)</f>
        <v>0</v>
      </c>
      <c r="KK514" s="15">
        <f t="shared" ref="KK514:KK577" si="372">MAX(DC514,FV514)</f>
        <v>0</v>
      </c>
      <c r="KL514" s="19" t="str">
        <f t="shared" ref="KL514:KL577" si="373">IFERROR(KK514/KJ514,"")</f>
        <v/>
      </c>
      <c r="KM514" s="52" t="str">
        <f t="shared" ref="KM514:KM577" si="374">IF((OR(FG514="yes", GY514="yes")), 1, "")</f>
        <v/>
      </c>
      <c r="KN514" s="22">
        <f t="shared" ref="KN514:KN577" si="375">IFERROR(MAX((FH514*FI514),GZ514),"")</f>
        <v>0</v>
      </c>
      <c r="KO514" s="22">
        <f t="shared" ref="KO514:KO577" si="376">IFERROR(MAX((FJ514*FI514),HB514),"")</f>
        <v>0</v>
      </c>
      <c r="KP514" s="19" t="str">
        <f t="shared" ref="KP514:KP577" si="377">IFERROR(KO514/KN514,"")</f>
        <v/>
      </c>
      <c r="KQ514" s="11" t="str">
        <f t="shared" ref="KQ514:KQ577" si="378">IJ514</f>
        <v>2. Sensitive</v>
      </c>
      <c r="KR514" s="11" t="str">
        <f t="shared" ref="KR514:KR577" si="379">IQ514</f>
        <v>2. Accommodating</v>
      </c>
      <c r="KS514" s="11" t="str">
        <f t="shared" ref="KS514:KS577" si="380">IW514</f>
        <v>2. Sensitive</v>
      </c>
      <c r="KT514" s="11" t="str">
        <f t="shared" ref="KT514:KT577" si="381">HZ514</f>
        <v>It tested new ways for fighting poverty, but did not measure results of innovation</v>
      </c>
      <c r="KU514" s="11" t="str">
        <f t="shared" ref="KU514:KU577" si="382">HP514</f>
        <v>Little or no advocacy</v>
      </c>
      <c r="KV514" s="11" t="str">
        <f t="shared" ref="KV514:KV577" si="383">IB514</f>
        <v>It linked and worked with strategic alliances and partners to take tested and effective solutions to scale</v>
      </c>
      <c r="KW514" s="11" t="str">
        <f t="shared" ref="KW514:KW577" si="384">A514&amp;" - "&amp;D514</f>
        <v>Nepal - ICDF</v>
      </c>
      <c r="KX514" s="11" t="str">
        <f t="shared" ref="KX514:KX577" si="385">D514</f>
        <v>ICDF</v>
      </c>
      <c r="KY514" s="11" t="str">
        <f t="shared" ref="KY514:KY577" si="386">A514</f>
        <v>Nepal</v>
      </c>
      <c r="KZ514" s="12">
        <v>514</v>
      </c>
    </row>
    <row r="515" spans="1:312" x14ac:dyDescent="0.3">
      <c r="A515" s="12" t="s">
        <v>8647</v>
      </c>
      <c r="B515" s="12" t="s">
        <v>306</v>
      </c>
      <c r="C515" s="12"/>
      <c r="D515" s="12" t="s">
        <v>8762</v>
      </c>
      <c r="E515" s="277" t="str">
        <f t="shared" si="344"/>
        <v>Nepal</v>
      </c>
      <c r="F515" s="12" t="s">
        <v>8763</v>
      </c>
      <c r="G515" s="12" t="s">
        <v>1738</v>
      </c>
      <c r="H515" s="12" t="s">
        <v>384</v>
      </c>
      <c r="I515" s="12" t="s">
        <v>384</v>
      </c>
      <c r="J515" s="281" t="s">
        <v>14632</v>
      </c>
      <c r="K515" s="12"/>
      <c r="L515" s="12"/>
      <c r="M515" s="12"/>
      <c r="N515" s="12"/>
      <c r="O515" s="12"/>
      <c r="P515" s="12"/>
      <c r="Q515" s="12"/>
      <c r="R515" s="12"/>
      <c r="S515" s="12"/>
      <c r="T515" s="12"/>
      <c r="U515" s="12"/>
      <c r="V515" s="12"/>
      <c r="W515" s="12"/>
      <c r="X515" s="12"/>
      <c r="Y515" s="12"/>
      <c r="Z515" s="12"/>
      <c r="AA515" s="12"/>
      <c r="AB515" s="12"/>
      <c r="AC515" s="12"/>
      <c r="AD515" s="12"/>
      <c r="BD515" s="13">
        <v>42491</v>
      </c>
      <c r="BE515" s="13">
        <v>43100</v>
      </c>
      <c r="BF515" s="12"/>
      <c r="BG515" s="12" t="s">
        <v>817</v>
      </c>
      <c r="BH515" s="14">
        <v>628775</v>
      </c>
      <c r="BI515" s="12" t="s">
        <v>8660</v>
      </c>
      <c r="BJ515" s="12" t="s">
        <v>8764</v>
      </c>
      <c r="BK515" s="12" t="s">
        <v>8661</v>
      </c>
      <c r="BL515" s="12"/>
      <c r="BM515" s="12"/>
      <c r="BN515" s="12"/>
      <c r="BO515" s="12" t="s">
        <v>320</v>
      </c>
      <c r="BP515" s="12" t="s">
        <v>319</v>
      </c>
      <c r="BQ515" s="12" t="s">
        <v>319</v>
      </c>
      <c r="BR515" s="12" t="s">
        <v>8765</v>
      </c>
      <c r="BS515" s="12" t="s">
        <v>357</v>
      </c>
      <c r="BT515" s="12" t="s">
        <v>8766</v>
      </c>
      <c r="BU515" s="12" t="s">
        <v>8767</v>
      </c>
      <c r="BV515" s="14">
        <v>1755</v>
      </c>
      <c r="BW515" s="14">
        <v>1025</v>
      </c>
      <c r="BX515" s="14">
        <v>2780</v>
      </c>
      <c r="BY515" s="14"/>
      <c r="BZ515" s="14"/>
      <c r="CA515" s="14"/>
      <c r="CB515" s="12"/>
      <c r="CD515" s="14">
        <v>7956</v>
      </c>
      <c r="CE515" s="14">
        <v>7708</v>
      </c>
      <c r="CF515" s="14">
        <v>15664</v>
      </c>
      <c r="CG515" s="14"/>
      <c r="CH515" s="14"/>
      <c r="CI515" s="14"/>
      <c r="CJ515" s="12"/>
      <c r="CK515" s="14"/>
      <c r="CL515" s="16"/>
      <c r="CM515" s="14"/>
      <c r="CN515" s="12"/>
      <c r="CO515" s="14"/>
      <c r="CP515" s="16"/>
      <c r="CQ515" s="14"/>
      <c r="CR515" s="12"/>
      <c r="CS515" s="14"/>
      <c r="CT515" s="16"/>
      <c r="CU515" s="14"/>
      <c r="CV515" s="12"/>
      <c r="CW515" s="14"/>
      <c r="CX515" s="16"/>
      <c r="CY515" s="14"/>
      <c r="CZ515" s="12" t="s">
        <v>320</v>
      </c>
      <c r="DA515" s="14">
        <v>1342</v>
      </c>
      <c r="DB515" s="16">
        <v>0.84</v>
      </c>
      <c r="DC515" s="14"/>
      <c r="DD515" s="12"/>
      <c r="DE515" s="14"/>
      <c r="DF515" s="16"/>
      <c r="DG515" s="14"/>
      <c r="DH515" s="12"/>
      <c r="DI515" s="14"/>
      <c r="DJ515" s="16"/>
      <c r="DK515" s="14"/>
      <c r="DL515" s="12"/>
      <c r="DM515" s="14"/>
      <c r="DN515" s="16"/>
      <c r="DO515" s="14"/>
      <c r="DP515" s="12"/>
      <c r="DQ515" s="14"/>
      <c r="DR515" s="16"/>
      <c r="DS515" s="14"/>
      <c r="DT515" s="12"/>
      <c r="DU515" s="14"/>
      <c r="DV515" s="16"/>
      <c r="DW515" s="14"/>
      <c r="DX515" s="12" t="s">
        <v>320</v>
      </c>
      <c r="DY515" s="14">
        <v>15140</v>
      </c>
      <c r="DZ515" s="16">
        <v>0.49</v>
      </c>
      <c r="EA515" s="14"/>
      <c r="EB515" s="12"/>
      <c r="EC515" s="14"/>
      <c r="ED515" s="16"/>
      <c r="EE515" s="14"/>
      <c r="EF515" s="12"/>
      <c r="EG515" s="12"/>
      <c r="EH515" s="14"/>
      <c r="EI515" s="16"/>
      <c r="EJ515" s="14"/>
      <c r="EK515" s="14"/>
      <c r="EL515" s="14"/>
      <c r="EM515" s="14"/>
      <c r="EN515" s="14"/>
      <c r="EO515" s="14"/>
      <c r="EP515" s="14"/>
      <c r="EQ515" s="12"/>
      <c r="ER515" s="14"/>
      <c r="ES515" s="16"/>
      <c r="ET515" s="14"/>
      <c r="EU515" s="12"/>
      <c r="EV515" s="14"/>
      <c r="EW515" s="16"/>
      <c r="EX515" s="14"/>
      <c r="EY515" s="12"/>
      <c r="EZ515" s="14"/>
      <c r="FA515" s="16"/>
      <c r="FB515" s="14"/>
      <c r="FC515" s="12"/>
      <c r="FD515" s="14"/>
      <c r="FE515" s="16"/>
      <c r="FF515" s="14"/>
      <c r="FG515" s="12"/>
      <c r="FH515" s="14"/>
      <c r="FI515" s="16"/>
      <c r="FJ515" s="14"/>
      <c r="FK515" s="12"/>
      <c r="FL515" s="14"/>
      <c r="FM515" s="16"/>
      <c r="FN515" s="14"/>
      <c r="FO515" s="12"/>
      <c r="FP515" s="14"/>
      <c r="FQ515" s="16"/>
      <c r="FR515" s="14"/>
      <c r="FS515" s="12"/>
      <c r="FT515" s="14"/>
      <c r="FU515" s="16"/>
      <c r="FV515" s="14"/>
      <c r="FW515" s="12"/>
      <c r="FX515" s="14"/>
      <c r="FY515" s="16"/>
      <c r="FZ515" s="14"/>
      <c r="GA515" s="12"/>
      <c r="GB515" s="14"/>
      <c r="GC515" s="16"/>
      <c r="GD515" s="14"/>
      <c r="GE515" s="12"/>
      <c r="GF515" s="14"/>
      <c r="GG515" s="16"/>
      <c r="GH515" s="14"/>
      <c r="GI515" s="12"/>
      <c r="GJ515" s="14"/>
      <c r="GK515" s="16"/>
      <c r="GL515" s="14"/>
      <c r="GM515" s="12"/>
      <c r="GN515" s="14"/>
      <c r="GO515" s="16"/>
      <c r="GP515" s="14"/>
      <c r="GQ515" s="12"/>
      <c r="GR515" s="14"/>
      <c r="GS515" s="16"/>
      <c r="GT515" s="14"/>
      <c r="GU515" s="12"/>
      <c r="GV515" s="14"/>
      <c r="GW515" s="16"/>
      <c r="GX515" s="14"/>
      <c r="GY515" s="12"/>
      <c r="GZ515" s="14"/>
      <c r="HA515" s="16"/>
      <c r="HB515" s="14"/>
      <c r="HC515" s="12"/>
      <c r="HD515" s="12"/>
      <c r="HE515" s="14"/>
      <c r="HF515" s="16"/>
      <c r="HG515" s="14"/>
      <c r="HH515" s="12" t="s">
        <v>320</v>
      </c>
      <c r="HI515" s="12" t="s">
        <v>619</v>
      </c>
      <c r="HJ515" s="12">
        <v>2016</v>
      </c>
      <c r="HK515" s="12"/>
      <c r="HL515" s="12" t="s">
        <v>320</v>
      </c>
      <c r="HM515" s="12" t="s">
        <v>361</v>
      </c>
      <c r="HN515" s="12">
        <v>2017</v>
      </c>
      <c r="HO515" s="12"/>
      <c r="HP515" s="12" t="s">
        <v>330</v>
      </c>
      <c r="HQ515" s="12" t="s">
        <v>319</v>
      </c>
      <c r="HR515" s="12" t="s">
        <v>320</v>
      </c>
      <c r="HS515" s="12" t="s">
        <v>320</v>
      </c>
      <c r="HT515" s="12" t="s">
        <v>320</v>
      </c>
      <c r="HU515" s="12" t="s">
        <v>320</v>
      </c>
      <c r="HV515" s="12" t="s">
        <v>319</v>
      </c>
      <c r="HW515" s="12" t="s">
        <v>319</v>
      </c>
      <c r="HX515" s="12"/>
      <c r="HY515" s="12"/>
      <c r="HZ515" s="12" t="s">
        <v>394</v>
      </c>
      <c r="IA515" s="12" t="s">
        <v>8768</v>
      </c>
      <c r="IB515" s="12" t="s">
        <v>333</v>
      </c>
      <c r="IC515" s="12"/>
      <c r="ID515" s="12" t="s">
        <v>477</v>
      </c>
      <c r="IE515" s="12" t="s">
        <v>335</v>
      </c>
      <c r="IF515" s="12" t="s">
        <v>320</v>
      </c>
      <c r="IG515" s="12" t="s">
        <v>320</v>
      </c>
      <c r="IH515" s="12" t="s">
        <v>320</v>
      </c>
      <c r="II515" s="12" t="s">
        <v>320</v>
      </c>
      <c r="IJ515" s="12" t="str">
        <f t="shared" si="345"/>
        <v>2. Sensitive</v>
      </c>
      <c r="IK515" s="12">
        <f t="shared" si="346"/>
        <v>4</v>
      </c>
      <c r="IL515" s="12" t="s">
        <v>336</v>
      </c>
      <c r="IM515" s="12" t="s">
        <v>319</v>
      </c>
      <c r="IN515" s="12" t="s">
        <v>320</v>
      </c>
      <c r="IO515" s="12" t="s">
        <v>320</v>
      </c>
      <c r="IP515" s="12" t="s">
        <v>320</v>
      </c>
      <c r="IQ515" s="12" t="str">
        <f t="shared" si="347"/>
        <v>2. Accommodating</v>
      </c>
      <c r="IR515" s="12">
        <f t="shared" si="348"/>
        <v>3</v>
      </c>
      <c r="IS515" s="12" t="s">
        <v>337</v>
      </c>
      <c r="IT515" s="12" t="s">
        <v>320</v>
      </c>
      <c r="IU515" s="12" t="s">
        <v>320</v>
      </c>
      <c r="IV515" s="12" t="s">
        <v>320</v>
      </c>
      <c r="IW515" s="11" t="str">
        <f t="shared" si="349"/>
        <v>2. Sensitive</v>
      </c>
      <c r="IX515" s="12">
        <f t="shared" si="350"/>
        <v>3</v>
      </c>
      <c r="IY515" s="12" t="s">
        <v>419</v>
      </c>
      <c r="IZ515" s="12" t="s">
        <v>457</v>
      </c>
      <c r="JA515" s="12">
        <v>2</v>
      </c>
      <c r="JB515" s="12" t="s">
        <v>433</v>
      </c>
      <c r="JC515" s="12" t="s">
        <v>687</v>
      </c>
      <c r="JD515" s="12" t="s">
        <v>1113</v>
      </c>
      <c r="JE515" s="12" t="s">
        <v>365</v>
      </c>
      <c r="JF515" s="12" t="s">
        <v>8769</v>
      </c>
      <c r="JG515" s="12" t="s">
        <v>8770</v>
      </c>
      <c r="JH515" s="12" t="s">
        <v>8771</v>
      </c>
      <c r="JI515" s="12" t="s">
        <v>8457</v>
      </c>
      <c r="JJ515" s="12" t="s">
        <v>8772</v>
      </c>
      <c r="JK515" s="12" t="s">
        <v>8773</v>
      </c>
      <c r="JL515" s="12" t="s">
        <v>8774</v>
      </c>
      <c r="JM515" s="12" t="s">
        <v>8775</v>
      </c>
      <c r="JN515" s="12"/>
      <c r="JO515" s="12"/>
      <c r="JP515" s="15">
        <f t="shared" si="351"/>
        <v>15664</v>
      </c>
      <c r="JQ515" s="15">
        <f t="shared" si="352"/>
        <v>0</v>
      </c>
      <c r="JR515" s="279">
        <f t="shared" si="353"/>
        <v>0</v>
      </c>
      <c r="JS515" s="17">
        <f t="shared" si="354"/>
        <v>0.50791624106230848</v>
      </c>
      <c r="JT515" s="18" t="str">
        <f t="shared" si="355"/>
        <v/>
      </c>
      <c r="JU515" s="280">
        <f t="shared" si="356"/>
        <v>7956</v>
      </c>
      <c r="JV515" s="280">
        <f t="shared" si="357"/>
        <v>0</v>
      </c>
      <c r="JW515" s="319">
        <f t="shared" si="358"/>
        <v>1</v>
      </c>
      <c r="JX515" s="15">
        <f t="shared" si="359"/>
        <v>15664</v>
      </c>
      <c r="JY515" s="15">
        <f t="shared" si="360"/>
        <v>0</v>
      </c>
      <c r="JZ515" s="19">
        <f t="shared" si="361"/>
        <v>0</v>
      </c>
      <c r="KA515" s="52" t="str">
        <f t="shared" si="362"/>
        <v/>
      </c>
      <c r="KB515" s="15">
        <f t="shared" si="363"/>
        <v>0</v>
      </c>
      <c r="KC515" s="15">
        <f t="shared" si="364"/>
        <v>0</v>
      </c>
      <c r="KD515" s="20" t="str">
        <f t="shared" si="365"/>
        <v/>
      </c>
      <c r="KE515" s="52" t="str">
        <f t="shared" si="366"/>
        <v/>
      </c>
      <c r="KF515" s="15">
        <f t="shared" si="367"/>
        <v>0</v>
      </c>
      <c r="KG515" s="15">
        <f t="shared" si="368"/>
        <v>0</v>
      </c>
      <c r="KH515" s="21" t="str">
        <f t="shared" si="369"/>
        <v/>
      </c>
      <c r="KI515" s="52">
        <f t="shared" si="370"/>
        <v>1</v>
      </c>
      <c r="KJ515" s="15">
        <f t="shared" si="371"/>
        <v>1342</v>
      </c>
      <c r="KK515" s="15">
        <f t="shared" si="372"/>
        <v>0</v>
      </c>
      <c r="KL515" s="19">
        <f t="shared" si="373"/>
        <v>0</v>
      </c>
      <c r="KM515" s="52" t="str">
        <f t="shared" si="374"/>
        <v/>
      </c>
      <c r="KN515" s="22">
        <f t="shared" si="375"/>
        <v>0</v>
      </c>
      <c r="KO515" s="22">
        <f t="shared" si="376"/>
        <v>0</v>
      </c>
      <c r="KP515" s="19" t="str">
        <f t="shared" si="377"/>
        <v/>
      </c>
      <c r="KQ515" s="11" t="str">
        <f t="shared" si="378"/>
        <v>2. Sensitive</v>
      </c>
      <c r="KR515" s="11" t="str">
        <f t="shared" si="379"/>
        <v>2. Accommodating</v>
      </c>
      <c r="KS515" s="11" t="str">
        <f t="shared" si="380"/>
        <v>2. Sensitive</v>
      </c>
      <c r="KT515" s="11" t="str">
        <f t="shared" si="381"/>
        <v>It tested new ways for fighting poverty, but did not measure results of innovation</v>
      </c>
      <c r="KU515" s="11" t="str">
        <f t="shared" si="382"/>
        <v>Moderate advocacy</v>
      </c>
      <c r="KV515" s="11" t="str">
        <f t="shared" si="383"/>
        <v>It did not take tested solutions to scale</v>
      </c>
      <c r="KW515" s="11" t="str">
        <f t="shared" si="384"/>
        <v>Nepal - Integrated Gender GBV and Shelter Response</v>
      </c>
      <c r="KX515" s="11" t="str">
        <f t="shared" si="385"/>
        <v>Integrated Gender GBV and Shelter Response</v>
      </c>
      <c r="KY515" s="11" t="str">
        <f t="shared" si="386"/>
        <v>Nepal</v>
      </c>
      <c r="KZ515" s="12">
        <v>515</v>
      </c>
    </row>
    <row r="516" spans="1:312" x14ac:dyDescent="0.3">
      <c r="A516" s="12" t="s">
        <v>8647</v>
      </c>
      <c r="B516" s="12" t="s">
        <v>306</v>
      </c>
      <c r="C516" s="12"/>
      <c r="D516" s="12" t="s">
        <v>8955</v>
      </c>
      <c r="E516" s="277" t="str">
        <f t="shared" si="344"/>
        <v>Nepal</v>
      </c>
      <c r="F516" s="12" t="s">
        <v>8956</v>
      </c>
      <c r="G516" s="12" t="s">
        <v>379</v>
      </c>
      <c r="H516" s="12" t="s">
        <v>380</v>
      </c>
      <c r="I516" s="12" t="s">
        <v>952</v>
      </c>
      <c r="J516" s="281" t="s">
        <v>952</v>
      </c>
      <c r="K516" s="12"/>
      <c r="L516" s="12"/>
      <c r="M516" s="12"/>
      <c r="N516" s="12"/>
      <c r="O516" s="12"/>
      <c r="P516" s="12"/>
      <c r="Q516" s="12"/>
      <c r="R516" s="12"/>
      <c r="S516" s="12"/>
      <c r="T516" s="12"/>
      <c r="U516" s="12"/>
      <c r="V516" s="12"/>
      <c r="W516" s="12"/>
      <c r="X516" s="12"/>
      <c r="Y516" s="12"/>
      <c r="Z516" s="12"/>
      <c r="AA516" s="12"/>
      <c r="AB516" s="12"/>
      <c r="AC516" s="12"/>
      <c r="AD516" s="12"/>
      <c r="BD516" s="13">
        <v>42461</v>
      </c>
      <c r="BE516" s="13">
        <v>43464</v>
      </c>
      <c r="BF516" s="12"/>
      <c r="BG516" s="12" t="s">
        <v>609</v>
      </c>
      <c r="BH516" s="14">
        <v>500000</v>
      </c>
      <c r="BI516" s="12" t="s">
        <v>8957</v>
      </c>
      <c r="BJ516" s="12" t="s">
        <v>8958</v>
      </c>
      <c r="BK516" s="12" t="s">
        <v>8959</v>
      </c>
      <c r="BL516" s="12" t="s">
        <v>8960</v>
      </c>
      <c r="BM516" s="12" t="s">
        <v>8961</v>
      </c>
      <c r="BN516" s="12" t="s">
        <v>8962</v>
      </c>
      <c r="BO516" s="12" t="s">
        <v>319</v>
      </c>
      <c r="BP516" s="12" t="s">
        <v>320</v>
      </c>
      <c r="BQ516" s="12" t="s">
        <v>319</v>
      </c>
      <c r="BR516" s="12" t="s">
        <v>8963</v>
      </c>
      <c r="BS516" s="12" t="s">
        <v>322</v>
      </c>
      <c r="BT516" s="12" t="s">
        <v>8964</v>
      </c>
      <c r="BU516" s="12" t="s">
        <v>8924</v>
      </c>
      <c r="BV516" s="14"/>
      <c r="BW516" s="14"/>
      <c r="BX516" s="14"/>
      <c r="BY516" s="14"/>
      <c r="BZ516" s="14"/>
      <c r="CA516" s="14"/>
      <c r="CB516" s="12" t="s">
        <v>8965</v>
      </c>
      <c r="CD516" s="14"/>
      <c r="CE516" s="14"/>
      <c r="CF516" s="14"/>
      <c r="CG516" s="14"/>
      <c r="CH516" s="14"/>
      <c r="CI516" s="14"/>
      <c r="CJ516" s="12"/>
      <c r="CK516" s="14"/>
      <c r="CL516" s="16"/>
      <c r="CM516" s="14"/>
      <c r="CN516" s="12"/>
      <c r="CO516" s="14"/>
      <c r="CP516" s="16"/>
      <c r="CQ516" s="14"/>
      <c r="CR516" s="12"/>
      <c r="CS516" s="14"/>
      <c r="CT516" s="16"/>
      <c r="CU516" s="14"/>
      <c r="CV516" s="12"/>
      <c r="CW516" s="14"/>
      <c r="CX516" s="16"/>
      <c r="CY516" s="14"/>
      <c r="CZ516" s="12"/>
      <c r="DA516" s="14"/>
      <c r="DB516" s="16"/>
      <c r="DC516" s="14"/>
      <c r="DD516" s="12"/>
      <c r="DE516" s="14"/>
      <c r="DF516" s="16"/>
      <c r="DG516" s="14"/>
      <c r="DH516" s="12"/>
      <c r="DI516" s="14"/>
      <c r="DJ516" s="16"/>
      <c r="DK516" s="14"/>
      <c r="DL516" s="12"/>
      <c r="DM516" s="14"/>
      <c r="DN516" s="16"/>
      <c r="DO516" s="14"/>
      <c r="DP516" s="12"/>
      <c r="DQ516" s="14"/>
      <c r="DR516" s="16"/>
      <c r="DS516" s="14"/>
      <c r="DT516" s="12"/>
      <c r="DU516" s="14"/>
      <c r="DV516" s="16"/>
      <c r="DW516" s="14"/>
      <c r="DX516" s="12"/>
      <c r="DY516" s="14"/>
      <c r="DZ516" s="16"/>
      <c r="EA516" s="14"/>
      <c r="EB516" s="12"/>
      <c r="EC516" s="14"/>
      <c r="ED516" s="16"/>
      <c r="EE516" s="14"/>
      <c r="EF516" s="12"/>
      <c r="EG516" s="12"/>
      <c r="EH516" s="14"/>
      <c r="EI516" s="16"/>
      <c r="EJ516" s="14"/>
      <c r="EK516" s="14"/>
      <c r="EL516" s="14"/>
      <c r="EM516" s="14"/>
      <c r="EN516" s="14"/>
      <c r="EO516" s="14"/>
      <c r="EP516" s="14"/>
      <c r="EQ516" s="12"/>
      <c r="ER516" s="14"/>
      <c r="ES516" s="16"/>
      <c r="ET516" s="14"/>
      <c r="EU516" s="12"/>
      <c r="EV516" s="14"/>
      <c r="EW516" s="16"/>
      <c r="EX516" s="14"/>
      <c r="EY516" s="12"/>
      <c r="EZ516" s="14"/>
      <c r="FA516" s="16"/>
      <c r="FB516" s="14"/>
      <c r="FC516" s="12"/>
      <c r="FD516" s="14"/>
      <c r="FE516" s="16"/>
      <c r="FF516" s="14"/>
      <c r="FG516" s="12"/>
      <c r="FH516" s="14"/>
      <c r="FI516" s="16"/>
      <c r="FJ516" s="14"/>
      <c r="FK516" s="12"/>
      <c r="FL516" s="14"/>
      <c r="FM516" s="16"/>
      <c r="FN516" s="14"/>
      <c r="FO516" s="12"/>
      <c r="FP516" s="14"/>
      <c r="FQ516" s="16"/>
      <c r="FR516" s="14"/>
      <c r="FS516" s="12"/>
      <c r="FT516" s="14"/>
      <c r="FU516" s="16"/>
      <c r="FV516" s="14"/>
      <c r="FW516" s="12"/>
      <c r="FX516" s="14"/>
      <c r="FY516" s="16"/>
      <c r="FZ516" s="14"/>
      <c r="GA516" s="12"/>
      <c r="GB516" s="14"/>
      <c r="GC516" s="16"/>
      <c r="GD516" s="14"/>
      <c r="GE516" s="12"/>
      <c r="GF516" s="14"/>
      <c r="GG516" s="16"/>
      <c r="GH516" s="14"/>
      <c r="GI516" s="12"/>
      <c r="GJ516" s="14"/>
      <c r="GK516" s="16"/>
      <c r="GL516" s="14"/>
      <c r="GM516" s="12"/>
      <c r="GN516" s="14"/>
      <c r="GO516" s="16"/>
      <c r="GP516" s="14"/>
      <c r="GQ516" s="12"/>
      <c r="GR516" s="14"/>
      <c r="GS516" s="16"/>
      <c r="GT516" s="14"/>
      <c r="GU516" s="12"/>
      <c r="GV516" s="14"/>
      <c r="GW516" s="16"/>
      <c r="GX516" s="14"/>
      <c r="GY516" s="12"/>
      <c r="GZ516" s="14"/>
      <c r="HA516" s="16"/>
      <c r="HB516" s="14"/>
      <c r="HC516" s="12"/>
      <c r="HD516" s="12"/>
      <c r="HE516" s="14"/>
      <c r="HF516" s="16"/>
      <c r="HG516" s="14"/>
      <c r="HH516" s="12" t="s">
        <v>319</v>
      </c>
      <c r="HI516" s="12"/>
      <c r="HJ516" s="12"/>
      <c r="HK516" s="12"/>
      <c r="HL516" s="12" t="s">
        <v>320</v>
      </c>
      <c r="HM516" s="12" t="s">
        <v>619</v>
      </c>
      <c r="HN516" s="12">
        <v>2017</v>
      </c>
      <c r="HO516" s="12" t="s">
        <v>8966</v>
      </c>
      <c r="HP516" s="12" t="s">
        <v>418</v>
      </c>
      <c r="HQ516" s="12" t="s">
        <v>319</v>
      </c>
      <c r="HR516" s="12" t="s">
        <v>319</v>
      </c>
      <c r="HS516" s="12" t="s">
        <v>319</v>
      </c>
      <c r="HT516" s="12" t="s">
        <v>319</v>
      </c>
      <c r="HU516" s="12" t="s">
        <v>319</v>
      </c>
      <c r="HV516" s="12" t="s">
        <v>319</v>
      </c>
      <c r="HW516" s="12" t="s">
        <v>319</v>
      </c>
      <c r="HX516" s="12"/>
      <c r="HY516" s="12"/>
      <c r="HZ516" s="12" t="s">
        <v>363</v>
      </c>
      <c r="IA516" s="12"/>
      <c r="IB516" s="12" t="s">
        <v>333</v>
      </c>
      <c r="IC516" s="12"/>
      <c r="ID516" s="12" t="s">
        <v>477</v>
      </c>
      <c r="IE516" s="12" t="s">
        <v>478</v>
      </c>
      <c r="IF516" s="12" t="s">
        <v>320</v>
      </c>
      <c r="IG516" s="12" t="s">
        <v>319</v>
      </c>
      <c r="IH516" s="12" t="s">
        <v>320</v>
      </c>
      <c r="II516" s="12" t="s">
        <v>320</v>
      </c>
      <c r="IJ516" s="12" t="str">
        <f t="shared" si="345"/>
        <v>3. Responsive</v>
      </c>
      <c r="IK516" s="12">
        <f t="shared" si="346"/>
        <v>3</v>
      </c>
      <c r="IL516" s="12" t="s">
        <v>336</v>
      </c>
      <c r="IM516" s="12" t="s">
        <v>320</v>
      </c>
      <c r="IN516" s="12" t="s">
        <v>319</v>
      </c>
      <c r="IO516" s="12" t="s">
        <v>320</v>
      </c>
      <c r="IP516" s="12" t="s">
        <v>320</v>
      </c>
      <c r="IQ516" s="12" t="str">
        <f t="shared" si="347"/>
        <v>2. Accommodating</v>
      </c>
      <c r="IR516" s="12">
        <f t="shared" si="348"/>
        <v>3</v>
      </c>
      <c r="IS516" s="12" t="s">
        <v>456</v>
      </c>
      <c r="IT516" s="12" t="s">
        <v>319</v>
      </c>
      <c r="IU516" s="12" t="s">
        <v>319</v>
      </c>
      <c r="IV516" s="12" t="s">
        <v>319</v>
      </c>
      <c r="IW516" s="11" t="str">
        <f t="shared" si="349"/>
        <v>0. Harmful</v>
      </c>
      <c r="IX516" s="12">
        <f t="shared" si="350"/>
        <v>0</v>
      </c>
      <c r="IY516" s="12" t="s">
        <v>338</v>
      </c>
      <c r="IZ516" s="12" t="s">
        <v>432</v>
      </c>
      <c r="JA516" s="12">
        <v>1</v>
      </c>
      <c r="JB516" s="12" t="s">
        <v>623</v>
      </c>
      <c r="JC516" s="12"/>
      <c r="JD516" s="12"/>
      <c r="JE516" s="12" t="s">
        <v>420</v>
      </c>
      <c r="JF516" s="12"/>
      <c r="JG516" s="12"/>
      <c r="JH516" s="12"/>
      <c r="JI516" s="12"/>
      <c r="JJ516" s="12"/>
      <c r="JK516" s="12" t="s">
        <v>8967</v>
      </c>
      <c r="JL516" s="12" t="s">
        <v>8968</v>
      </c>
      <c r="JM516" s="12"/>
      <c r="JN516" s="12" t="s">
        <v>8969</v>
      </c>
      <c r="JO516" s="12"/>
      <c r="JP516" s="15">
        <f t="shared" si="351"/>
        <v>0</v>
      </c>
      <c r="JQ516" s="15">
        <f t="shared" si="352"/>
        <v>0</v>
      </c>
      <c r="JR516" s="279" t="str">
        <f t="shared" si="353"/>
        <v/>
      </c>
      <c r="JS516" s="17" t="str">
        <f t="shared" si="354"/>
        <v/>
      </c>
      <c r="JT516" s="18" t="str">
        <f t="shared" si="355"/>
        <v/>
      </c>
      <c r="JU516" s="280">
        <f t="shared" si="356"/>
        <v>0</v>
      </c>
      <c r="JV516" s="280">
        <f t="shared" si="357"/>
        <v>0</v>
      </c>
      <c r="JW516" s="319" t="str">
        <f t="shared" si="358"/>
        <v/>
      </c>
      <c r="JX516" s="15">
        <f t="shared" si="359"/>
        <v>0</v>
      </c>
      <c r="JY516" s="15">
        <f t="shared" si="360"/>
        <v>0</v>
      </c>
      <c r="JZ516" s="19" t="str">
        <f t="shared" si="361"/>
        <v/>
      </c>
      <c r="KA516" s="52" t="str">
        <f t="shared" si="362"/>
        <v/>
      </c>
      <c r="KB516" s="15">
        <f t="shared" si="363"/>
        <v>0</v>
      </c>
      <c r="KC516" s="15">
        <f t="shared" si="364"/>
        <v>0</v>
      </c>
      <c r="KD516" s="20" t="str">
        <f t="shared" si="365"/>
        <v/>
      </c>
      <c r="KE516" s="52" t="str">
        <f t="shared" si="366"/>
        <v/>
      </c>
      <c r="KF516" s="15">
        <f t="shared" si="367"/>
        <v>0</v>
      </c>
      <c r="KG516" s="15">
        <f t="shared" si="368"/>
        <v>0</v>
      </c>
      <c r="KH516" s="21" t="str">
        <f t="shared" si="369"/>
        <v/>
      </c>
      <c r="KI516" s="52" t="str">
        <f t="shared" si="370"/>
        <v/>
      </c>
      <c r="KJ516" s="15">
        <f t="shared" si="371"/>
        <v>0</v>
      </c>
      <c r="KK516" s="15">
        <f t="shared" si="372"/>
        <v>0</v>
      </c>
      <c r="KL516" s="19" t="str">
        <f t="shared" si="373"/>
        <v/>
      </c>
      <c r="KM516" s="52" t="str">
        <f t="shared" si="374"/>
        <v/>
      </c>
      <c r="KN516" s="22">
        <f t="shared" si="375"/>
        <v>0</v>
      </c>
      <c r="KO516" s="22">
        <f t="shared" si="376"/>
        <v>0</v>
      </c>
      <c r="KP516" s="19" t="str">
        <f t="shared" si="377"/>
        <v/>
      </c>
      <c r="KQ516" s="11" t="str">
        <f t="shared" si="378"/>
        <v>3. Responsive</v>
      </c>
      <c r="KR516" s="11" t="str">
        <f t="shared" si="379"/>
        <v>2. Accommodating</v>
      </c>
      <c r="KS516" s="11" t="str">
        <f t="shared" si="380"/>
        <v>0. Harmful</v>
      </c>
      <c r="KT516" s="11" t="str">
        <f t="shared" si="381"/>
        <v>It did not develop any specific innovation</v>
      </c>
      <c r="KU516" s="11" t="str">
        <f t="shared" si="382"/>
        <v>Little or no advocacy</v>
      </c>
      <c r="KV516" s="11" t="str">
        <f t="shared" si="383"/>
        <v>It did not take tested solutions to scale</v>
      </c>
      <c r="KW516" s="11" t="str">
        <f t="shared" si="384"/>
        <v>Nepal - Integrated Platform for Gender Based Violence Prevention and Response</v>
      </c>
      <c r="KX516" s="11" t="str">
        <f t="shared" si="385"/>
        <v>Integrated Platform for Gender Based Violence Prevention and Response</v>
      </c>
      <c r="KY516" s="11" t="str">
        <f t="shared" si="386"/>
        <v>Nepal</v>
      </c>
      <c r="KZ516" s="12">
        <v>516</v>
      </c>
    </row>
    <row r="517" spans="1:312" x14ac:dyDescent="0.3">
      <c r="A517" s="12" t="s">
        <v>8647</v>
      </c>
      <c r="B517" s="12" t="s">
        <v>306</v>
      </c>
      <c r="C517" s="12"/>
      <c r="D517" s="12" t="s">
        <v>8970</v>
      </c>
      <c r="E517" s="277" t="str">
        <f t="shared" si="344"/>
        <v>Nepal</v>
      </c>
      <c r="F517" s="12" t="s">
        <v>8947</v>
      </c>
      <c r="G517" s="12" t="s">
        <v>379</v>
      </c>
      <c r="H517" s="12" t="s">
        <v>554</v>
      </c>
      <c r="I517" s="12" t="s">
        <v>384</v>
      </c>
      <c r="J517" s="278" t="s">
        <v>10530</v>
      </c>
      <c r="K517" s="12"/>
      <c r="L517" s="12"/>
      <c r="M517" s="12"/>
      <c r="N517" s="12"/>
      <c r="O517" s="12"/>
      <c r="P517" s="12"/>
      <c r="Q517" s="12"/>
      <c r="R517" s="12"/>
      <c r="S517" s="12"/>
      <c r="T517" s="12"/>
      <c r="U517" s="12"/>
      <c r="V517" s="12"/>
      <c r="W517" s="12"/>
      <c r="X517" s="12"/>
      <c r="Y517" s="12"/>
      <c r="Z517" s="12"/>
      <c r="AA517" s="12"/>
      <c r="AB517" s="12"/>
      <c r="AC517" s="12"/>
      <c r="AD517" s="12"/>
      <c r="BD517" s="13">
        <v>42583</v>
      </c>
      <c r="BE517" s="13">
        <v>43281</v>
      </c>
      <c r="BF517" s="12"/>
      <c r="BG517" s="12" t="s">
        <v>312</v>
      </c>
      <c r="BH517" s="14">
        <v>300000</v>
      </c>
      <c r="BI517" s="12" t="s">
        <v>8834</v>
      </c>
      <c r="BJ517" s="12" t="s">
        <v>8849</v>
      </c>
      <c r="BK517" s="12" t="s">
        <v>8836</v>
      </c>
      <c r="BL517" s="12"/>
      <c r="BM517" s="12"/>
      <c r="BN517" s="12"/>
      <c r="BO517" s="12" t="s">
        <v>319</v>
      </c>
      <c r="BP517" s="12" t="s">
        <v>320</v>
      </c>
      <c r="BQ517" s="12" t="s">
        <v>319</v>
      </c>
      <c r="BR517" s="12" t="s">
        <v>8971</v>
      </c>
      <c r="BS517" s="12" t="s">
        <v>1535</v>
      </c>
      <c r="BT517" s="12" t="s">
        <v>8949</v>
      </c>
      <c r="BU517" s="12" t="s">
        <v>8972</v>
      </c>
      <c r="BV517" s="14">
        <v>9100</v>
      </c>
      <c r="BW517" s="14"/>
      <c r="BX517" s="14">
        <v>9100</v>
      </c>
      <c r="BY517" s="14">
        <v>30000</v>
      </c>
      <c r="BZ517" s="14">
        <v>5000</v>
      </c>
      <c r="CA517" s="14">
        <v>35000</v>
      </c>
      <c r="CB517" s="12" t="s">
        <v>8973</v>
      </c>
      <c r="CD517" s="14"/>
      <c r="CE517" s="14"/>
      <c r="CF517" s="14"/>
      <c r="CG517" s="14"/>
      <c r="CH517" s="14"/>
      <c r="CI517" s="14"/>
      <c r="CJ517" s="12"/>
      <c r="CK517" s="14"/>
      <c r="CL517" s="16"/>
      <c r="CM517" s="14"/>
      <c r="CN517" s="12"/>
      <c r="CO517" s="14"/>
      <c r="CP517" s="16"/>
      <c r="CQ517" s="14"/>
      <c r="CR517" s="12"/>
      <c r="CS517" s="14"/>
      <c r="CT517" s="16"/>
      <c r="CU517" s="14"/>
      <c r="CV517" s="12"/>
      <c r="CW517" s="14"/>
      <c r="CX517" s="16"/>
      <c r="CY517" s="14"/>
      <c r="CZ517" s="12"/>
      <c r="DA517" s="14"/>
      <c r="DB517" s="16"/>
      <c r="DC517" s="14"/>
      <c r="DD517" s="12"/>
      <c r="DE517" s="14"/>
      <c r="DF517" s="16"/>
      <c r="DG517" s="14"/>
      <c r="DH517" s="12"/>
      <c r="DI517" s="14"/>
      <c r="DJ517" s="16"/>
      <c r="DK517" s="14"/>
      <c r="DL517" s="12"/>
      <c r="DM517" s="14"/>
      <c r="DN517" s="16"/>
      <c r="DO517" s="14"/>
      <c r="DP517" s="12"/>
      <c r="DQ517" s="14"/>
      <c r="DR517" s="16"/>
      <c r="DS517" s="14"/>
      <c r="DT517" s="12"/>
      <c r="DU517" s="14"/>
      <c r="DV517" s="16"/>
      <c r="DW517" s="14"/>
      <c r="DX517" s="12"/>
      <c r="DY517" s="14"/>
      <c r="DZ517" s="16"/>
      <c r="EA517" s="14"/>
      <c r="EB517" s="12"/>
      <c r="EC517" s="14"/>
      <c r="ED517" s="16"/>
      <c r="EE517" s="14"/>
      <c r="EF517" s="12"/>
      <c r="EG517" s="12"/>
      <c r="EH517" s="14"/>
      <c r="EI517" s="16"/>
      <c r="EJ517" s="14"/>
      <c r="EK517" s="14">
        <v>700</v>
      </c>
      <c r="EL517" s="14"/>
      <c r="EM517" s="14">
        <v>700</v>
      </c>
      <c r="EN517" s="14">
        <v>1000</v>
      </c>
      <c r="EO517" s="14">
        <v>500</v>
      </c>
      <c r="EP517" s="14">
        <v>1500</v>
      </c>
      <c r="EQ517" s="12"/>
      <c r="ER517" s="14"/>
      <c r="ES517" s="16"/>
      <c r="ET517" s="14"/>
      <c r="EU517" s="12"/>
      <c r="EV517" s="14"/>
      <c r="EW517" s="16"/>
      <c r="EX517" s="14"/>
      <c r="EY517" s="12"/>
      <c r="EZ517" s="14"/>
      <c r="FA517" s="16"/>
      <c r="FB517" s="14"/>
      <c r="FC517" s="12"/>
      <c r="FD517" s="14"/>
      <c r="FE517" s="16"/>
      <c r="FF517" s="14"/>
      <c r="FG517" s="12"/>
      <c r="FH517" s="14"/>
      <c r="FI517" s="16"/>
      <c r="FJ517" s="14"/>
      <c r="FK517" s="12"/>
      <c r="FL517" s="14"/>
      <c r="FM517" s="16"/>
      <c r="FN517" s="14"/>
      <c r="FO517" s="12"/>
      <c r="FP517" s="14"/>
      <c r="FQ517" s="16"/>
      <c r="FR517" s="14"/>
      <c r="FS517" s="12"/>
      <c r="FT517" s="14"/>
      <c r="FU517" s="16"/>
      <c r="FV517" s="14"/>
      <c r="FW517" s="11" t="s">
        <v>320</v>
      </c>
      <c r="FX517" s="14">
        <v>600</v>
      </c>
      <c r="FY517" s="16"/>
      <c r="FZ517" s="14"/>
      <c r="GA517" s="12"/>
      <c r="GB517" s="14"/>
      <c r="GC517" s="16"/>
      <c r="GD517" s="14"/>
      <c r="GE517" s="12"/>
      <c r="GF517" s="14"/>
      <c r="GG517" s="16"/>
      <c r="GH517" s="14"/>
      <c r="GI517" s="12"/>
      <c r="GJ517" s="14"/>
      <c r="GK517" s="16"/>
      <c r="GL517" s="14"/>
      <c r="GM517" s="12"/>
      <c r="GN517" s="14"/>
      <c r="GO517" s="16"/>
      <c r="GP517" s="14"/>
      <c r="GQ517" s="12"/>
      <c r="GR517" s="14"/>
      <c r="GS517" s="16"/>
      <c r="GT517" s="14"/>
      <c r="GU517" s="12"/>
      <c r="GV517" s="14"/>
      <c r="GW517" s="16"/>
      <c r="GX517" s="14"/>
      <c r="GY517" s="12"/>
      <c r="GZ517" s="14"/>
      <c r="HA517" s="16"/>
      <c r="HB517" s="14"/>
      <c r="HC517" s="12" t="s">
        <v>8974</v>
      </c>
      <c r="HD517" s="12" t="s">
        <v>320</v>
      </c>
      <c r="HE517" s="14">
        <v>700</v>
      </c>
      <c r="HF517" s="16"/>
      <c r="HG517" s="14"/>
      <c r="HH517" s="12" t="s">
        <v>319</v>
      </c>
      <c r="HI517" s="12"/>
      <c r="HJ517" s="12">
        <v>2016</v>
      </c>
      <c r="HK517" s="12" t="s">
        <v>319</v>
      </c>
      <c r="HL517" s="12" t="s">
        <v>319</v>
      </c>
      <c r="HM517" s="12"/>
      <c r="HN517" s="12"/>
      <c r="HO517" s="12"/>
      <c r="HP517" s="12" t="s">
        <v>453</v>
      </c>
      <c r="HQ517" s="12" t="s">
        <v>319</v>
      </c>
      <c r="HR517" s="12" t="s">
        <v>319</v>
      </c>
      <c r="HS517" s="12" t="s">
        <v>320</v>
      </c>
      <c r="HT517" s="12" t="s">
        <v>320</v>
      </c>
      <c r="HU517" s="12" t="s">
        <v>320</v>
      </c>
      <c r="HV517" s="12" t="s">
        <v>320</v>
      </c>
      <c r="HW517" s="12" t="s">
        <v>319</v>
      </c>
      <c r="HX517" s="12" t="s">
        <v>319</v>
      </c>
      <c r="HY517" s="12"/>
      <c r="HZ517" s="12" t="s">
        <v>363</v>
      </c>
      <c r="IA517" s="12"/>
      <c r="IB517" s="12"/>
      <c r="IC517" s="12"/>
      <c r="ID517" s="12" t="s">
        <v>364</v>
      </c>
      <c r="IE517" s="12" t="s">
        <v>478</v>
      </c>
      <c r="IF517" s="12" t="s">
        <v>320</v>
      </c>
      <c r="IG517" s="12" t="s">
        <v>320</v>
      </c>
      <c r="IH517" s="12" t="s">
        <v>320</v>
      </c>
      <c r="II517" s="12" t="s">
        <v>320</v>
      </c>
      <c r="IJ517" s="12" t="str">
        <f t="shared" si="345"/>
        <v>4. Transformative</v>
      </c>
      <c r="IK517" s="12">
        <f t="shared" si="346"/>
        <v>4</v>
      </c>
      <c r="IL517" s="12" t="s">
        <v>621</v>
      </c>
      <c r="IM517" s="12" t="s">
        <v>320</v>
      </c>
      <c r="IN517" s="12" t="s">
        <v>320</v>
      </c>
      <c r="IO517" s="12" t="s">
        <v>320</v>
      </c>
      <c r="IP517" s="12" t="s">
        <v>320</v>
      </c>
      <c r="IQ517" s="12" t="str">
        <f t="shared" si="347"/>
        <v>4. Transformational</v>
      </c>
      <c r="IR517" s="12">
        <f t="shared" si="348"/>
        <v>4</v>
      </c>
      <c r="IS517" s="12" t="s">
        <v>337</v>
      </c>
      <c r="IT517" s="12" t="s">
        <v>320</v>
      </c>
      <c r="IU517" s="12" t="s">
        <v>320</v>
      </c>
      <c r="IV517" s="12" t="s">
        <v>320</v>
      </c>
      <c r="IW517" s="11" t="str">
        <f t="shared" si="349"/>
        <v>2. Sensitive</v>
      </c>
      <c r="IX517" s="12">
        <f t="shared" si="350"/>
        <v>3</v>
      </c>
      <c r="IY517" s="12" t="s">
        <v>338</v>
      </c>
      <c r="IZ517" s="12" t="s">
        <v>457</v>
      </c>
      <c r="JA517" s="12">
        <v>2</v>
      </c>
      <c r="JB517" s="12" t="s">
        <v>433</v>
      </c>
      <c r="JC517" s="12"/>
      <c r="JD517" s="12"/>
      <c r="JE517" s="12" t="s">
        <v>340</v>
      </c>
      <c r="JF517" s="12" t="s">
        <v>8975</v>
      </c>
      <c r="JG517" s="12"/>
      <c r="JH517" s="12"/>
      <c r="JI517" s="12"/>
      <c r="JJ517" s="12"/>
      <c r="JK517" s="12" t="s">
        <v>8976</v>
      </c>
      <c r="JL517" s="12" t="s">
        <v>8977</v>
      </c>
      <c r="JM517" s="12"/>
      <c r="JN517" s="12"/>
      <c r="JO517" s="12"/>
      <c r="JP517" s="15">
        <f t="shared" si="351"/>
        <v>700</v>
      </c>
      <c r="JQ517" s="15">
        <f t="shared" si="352"/>
        <v>1500</v>
      </c>
      <c r="JR517" s="279">
        <f t="shared" si="353"/>
        <v>2.1428571428571428</v>
      </c>
      <c r="JS517" s="17">
        <f t="shared" si="354"/>
        <v>1</v>
      </c>
      <c r="JT517" s="18">
        <f t="shared" si="355"/>
        <v>0.66666666666666663</v>
      </c>
      <c r="JU517" s="280">
        <f t="shared" si="356"/>
        <v>700</v>
      </c>
      <c r="JV517" s="280">
        <f t="shared" si="357"/>
        <v>1000</v>
      </c>
      <c r="JW517" s="319" t="str">
        <f t="shared" si="358"/>
        <v/>
      </c>
      <c r="JX517" s="15">
        <f t="shared" si="359"/>
        <v>0</v>
      </c>
      <c r="JY517" s="15">
        <f t="shared" si="360"/>
        <v>0</v>
      </c>
      <c r="JZ517" s="19" t="str">
        <f t="shared" si="361"/>
        <v/>
      </c>
      <c r="KA517" s="52" t="str">
        <f t="shared" si="362"/>
        <v/>
      </c>
      <c r="KB517" s="15">
        <f t="shared" si="363"/>
        <v>0</v>
      </c>
      <c r="KC517" s="15">
        <f t="shared" si="364"/>
        <v>0</v>
      </c>
      <c r="KD517" s="20" t="str">
        <f t="shared" si="365"/>
        <v/>
      </c>
      <c r="KE517" s="52" t="str">
        <f t="shared" si="366"/>
        <v/>
      </c>
      <c r="KF517" s="15">
        <f t="shared" si="367"/>
        <v>0</v>
      </c>
      <c r="KG517" s="15">
        <f t="shared" si="368"/>
        <v>0</v>
      </c>
      <c r="KH517" s="21" t="str">
        <f t="shared" si="369"/>
        <v/>
      </c>
      <c r="KI517" s="52" t="str">
        <f t="shared" si="370"/>
        <v/>
      </c>
      <c r="KJ517" s="15">
        <f t="shared" si="371"/>
        <v>0</v>
      </c>
      <c r="KK517" s="15">
        <f t="shared" si="372"/>
        <v>0</v>
      </c>
      <c r="KL517" s="19" t="str">
        <f t="shared" si="373"/>
        <v/>
      </c>
      <c r="KM517" s="52" t="str">
        <f t="shared" si="374"/>
        <v/>
      </c>
      <c r="KN517" s="22">
        <f t="shared" si="375"/>
        <v>0</v>
      </c>
      <c r="KO517" s="22">
        <f t="shared" si="376"/>
        <v>0</v>
      </c>
      <c r="KP517" s="19" t="str">
        <f t="shared" si="377"/>
        <v/>
      </c>
      <c r="KQ517" s="11" t="str">
        <f t="shared" si="378"/>
        <v>4. Transformative</v>
      </c>
      <c r="KR517" s="11" t="str">
        <f t="shared" si="379"/>
        <v>4. Transformational</v>
      </c>
      <c r="KS517" s="11" t="str">
        <f t="shared" si="380"/>
        <v>2. Sensitive</v>
      </c>
      <c r="KT517" s="11" t="str">
        <f t="shared" si="381"/>
        <v>It did not develop any specific innovation</v>
      </c>
      <c r="KU517" s="11" t="str">
        <f t="shared" si="382"/>
        <v>Intensive advocacy</v>
      </c>
      <c r="KV517" s="11">
        <f t="shared" si="383"/>
        <v>0</v>
      </c>
      <c r="KW517" s="11" t="str">
        <f t="shared" si="384"/>
        <v>Nepal - Maitri PCTFI-Cohort 3</v>
      </c>
      <c r="KX517" s="11" t="str">
        <f t="shared" si="385"/>
        <v>Maitri PCTFI-Cohort 3</v>
      </c>
      <c r="KY517" s="11" t="str">
        <f t="shared" si="386"/>
        <v>Nepal</v>
      </c>
      <c r="KZ517" s="12">
        <v>517</v>
      </c>
    </row>
    <row r="518" spans="1:312" x14ac:dyDescent="0.3">
      <c r="A518" s="12" t="s">
        <v>8647</v>
      </c>
      <c r="B518" s="12" t="s">
        <v>306</v>
      </c>
      <c r="C518" s="12">
        <v>3179</v>
      </c>
      <c r="D518" s="12" t="s">
        <v>8978</v>
      </c>
      <c r="E518" s="277" t="str">
        <f t="shared" si="344"/>
        <v>Nepal</v>
      </c>
      <c r="F518" s="12" t="s">
        <v>8979</v>
      </c>
      <c r="G518" s="12" t="s">
        <v>379</v>
      </c>
      <c r="H518" s="12" t="s">
        <v>310</v>
      </c>
      <c r="I518" s="12" t="s">
        <v>3316</v>
      </c>
      <c r="J518" s="281" t="s">
        <v>14616</v>
      </c>
      <c r="K518" s="12"/>
      <c r="L518" s="12"/>
      <c r="M518" s="12"/>
      <c r="N518" s="12"/>
      <c r="O518" s="12"/>
      <c r="P518" s="12"/>
      <c r="Q518" s="12"/>
      <c r="R518" s="12"/>
      <c r="S518" s="12"/>
      <c r="T518" s="12"/>
      <c r="U518" s="12"/>
      <c r="V518" s="12"/>
      <c r="W518" s="12"/>
      <c r="X518" s="12"/>
      <c r="Y518" s="12"/>
      <c r="Z518" s="12"/>
      <c r="AA518" s="12"/>
      <c r="AB518" s="12"/>
      <c r="AC518" s="12"/>
      <c r="AD518" s="12"/>
      <c r="BD518" s="13">
        <v>42339</v>
      </c>
      <c r="BE518" s="13">
        <v>42978</v>
      </c>
      <c r="BF518" s="12"/>
      <c r="BG518" s="12" t="s">
        <v>947</v>
      </c>
      <c r="BH518" s="14"/>
      <c r="BI518" s="12" t="s">
        <v>8678</v>
      </c>
      <c r="BJ518" s="12" t="s">
        <v>8679</v>
      </c>
      <c r="BK518" s="12" t="s">
        <v>8980</v>
      </c>
      <c r="BL518" s="12"/>
      <c r="BM518" s="12"/>
      <c r="BN518" s="12"/>
      <c r="BO518" s="12" t="s">
        <v>320</v>
      </c>
      <c r="BP518" s="12" t="s">
        <v>319</v>
      </c>
      <c r="BQ518" s="12" t="s">
        <v>319</v>
      </c>
      <c r="BR518" s="12" t="s">
        <v>8981</v>
      </c>
      <c r="BS518" s="12" t="s">
        <v>357</v>
      </c>
      <c r="BT518" s="12" t="s">
        <v>8982</v>
      </c>
      <c r="BU518" s="12" t="s">
        <v>8983</v>
      </c>
      <c r="BV518" s="14">
        <v>13700</v>
      </c>
      <c r="BW518" s="14">
        <v>3024</v>
      </c>
      <c r="BX518" s="14">
        <v>16724</v>
      </c>
      <c r="BY518" s="14"/>
      <c r="BZ518" s="14"/>
      <c r="CA518" s="14"/>
      <c r="CB518" s="12"/>
      <c r="CD518" s="14">
        <v>13700</v>
      </c>
      <c r="CE518" s="14">
        <v>3024</v>
      </c>
      <c r="CF518" s="14">
        <v>16724</v>
      </c>
      <c r="CG518" s="14"/>
      <c r="CH518" s="14"/>
      <c r="CI518" s="14"/>
      <c r="CJ518" s="12"/>
      <c r="CK518" s="14"/>
      <c r="CL518" s="16"/>
      <c r="CM518" s="14"/>
      <c r="CN518" s="12"/>
      <c r="CO518" s="14"/>
      <c r="CP518" s="16"/>
      <c r="CQ518" s="14"/>
      <c r="CR518" s="12"/>
      <c r="CS518" s="14"/>
      <c r="CT518" s="16"/>
      <c r="CU518" s="14"/>
      <c r="CV518" s="12"/>
      <c r="CW518" s="14"/>
      <c r="CX518" s="16"/>
      <c r="CY518" s="14"/>
      <c r="CZ518" s="12" t="s">
        <v>320</v>
      </c>
      <c r="DA518" s="14">
        <v>4978</v>
      </c>
      <c r="DB518" s="16">
        <v>0.75</v>
      </c>
      <c r="DC518" s="14"/>
      <c r="DD518" s="12"/>
      <c r="DE518" s="14"/>
      <c r="DF518" s="16"/>
      <c r="DG518" s="14"/>
      <c r="DH518" s="12"/>
      <c r="DI518" s="14"/>
      <c r="DJ518" s="16"/>
      <c r="DK518" s="14"/>
      <c r="DL518" s="12"/>
      <c r="DM518" s="14"/>
      <c r="DN518" s="16"/>
      <c r="DO518" s="14"/>
      <c r="DP518" s="12"/>
      <c r="DQ518" s="14"/>
      <c r="DR518" s="16"/>
      <c r="DS518" s="14"/>
      <c r="DT518" s="12" t="s">
        <v>320</v>
      </c>
      <c r="DU518" s="14">
        <v>8687</v>
      </c>
      <c r="DV518" s="16">
        <v>0.9</v>
      </c>
      <c r="DW518" s="14"/>
      <c r="DX518" s="12"/>
      <c r="DY518" s="14"/>
      <c r="DZ518" s="16"/>
      <c r="EA518" s="14"/>
      <c r="EB518" s="11" t="s">
        <v>320</v>
      </c>
      <c r="EC518" s="14">
        <v>4512</v>
      </c>
      <c r="ED518" s="16">
        <v>0.76</v>
      </c>
      <c r="EE518" s="14"/>
      <c r="EF518" s="12"/>
      <c r="EG518" s="12"/>
      <c r="EH518" s="14"/>
      <c r="EI518" s="16"/>
      <c r="EJ518" s="14"/>
      <c r="EK518" s="14"/>
      <c r="EL518" s="14"/>
      <c r="EM518" s="14"/>
      <c r="EN518" s="14"/>
      <c r="EO518" s="14"/>
      <c r="EP518" s="14"/>
      <c r="EQ518" s="12"/>
      <c r="ER518" s="14"/>
      <c r="ES518" s="16"/>
      <c r="ET518" s="14"/>
      <c r="EU518" s="12"/>
      <c r="EV518" s="14"/>
      <c r="EW518" s="16"/>
      <c r="EX518" s="14"/>
      <c r="EY518" s="12"/>
      <c r="EZ518" s="14"/>
      <c r="FA518" s="16"/>
      <c r="FB518" s="14"/>
      <c r="FC518" s="12"/>
      <c r="FD518" s="14"/>
      <c r="FE518" s="16"/>
      <c r="FF518" s="14"/>
      <c r="FG518" s="12"/>
      <c r="FH518" s="14"/>
      <c r="FI518" s="16"/>
      <c r="FJ518" s="14"/>
      <c r="FK518" s="12"/>
      <c r="FL518" s="14"/>
      <c r="FM518" s="16"/>
      <c r="FN518" s="14"/>
      <c r="FO518" s="12"/>
      <c r="FP518" s="14"/>
      <c r="FQ518" s="16"/>
      <c r="FR518" s="14"/>
      <c r="FS518" s="12"/>
      <c r="FT518" s="14"/>
      <c r="FU518" s="16"/>
      <c r="FV518" s="14"/>
      <c r="FW518" s="12"/>
      <c r="FX518" s="14"/>
      <c r="FY518" s="16"/>
      <c r="FZ518" s="14"/>
      <c r="GA518" s="12"/>
      <c r="GB518" s="14"/>
      <c r="GC518" s="16"/>
      <c r="GD518" s="14"/>
      <c r="GE518" s="12"/>
      <c r="GF518" s="14"/>
      <c r="GG518" s="16"/>
      <c r="GH518" s="14"/>
      <c r="GI518" s="12"/>
      <c r="GJ518" s="14"/>
      <c r="GK518" s="16"/>
      <c r="GL518" s="14"/>
      <c r="GM518" s="12"/>
      <c r="GN518" s="14"/>
      <c r="GO518" s="16"/>
      <c r="GP518" s="14"/>
      <c r="GQ518" s="12"/>
      <c r="GR518" s="14"/>
      <c r="GS518" s="16"/>
      <c r="GT518" s="14"/>
      <c r="GU518" s="12"/>
      <c r="GV518" s="14"/>
      <c r="GW518" s="16"/>
      <c r="GX518" s="14"/>
      <c r="GY518" s="12"/>
      <c r="GZ518" s="14"/>
      <c r="HA518" s="16"/>
      <c r="HB518" s="14"/>
      <c r="HC518" s="12"/>
      <c r="HD518" s="12"/>
      <c r="HE518" s="14"/>
      <c r="HF518" s="16"/>
      <c r="HG518" s="14"/>
      <c r="HH518" s="12" t="s">
        <v>319</v>
      </c>
      <c r="HI518" s="12"/>
      <c r="HJ518" s="12"/>
      <c r="HK518" s="12"/>
      <c r="HL518" s="12"/>
      <c r="HM518" s="12"/>
      <c r="HN518" s="12"/>
      <c r="HO518" s="12"/>
      <c r="HP518" s="12" t="s">
        <v>330</v>
      </c>
      <c r="HQ518" s="12" t="s">
        <v>319</v>
      </c>
      <c r="HR518" s="12" t="s">
        <v>319</v>
      </c>
      <c r="HS518" s="12" t="s">
        <v>319</v>
      </c>
      <c r="HT518" s="12" t="s">
        <v>320</v>
      </c>
      <c r="HU518" s="12" t="s">
        <v>319</v>
      </c>
      <c r="HV518" s="12" t="s">
        <v>319</v>
      </c>
      <c r="HW518" s="12" t="s">
        <v>319</v>
      </c>
      <c r="HX518" s="12"/>
      <c r="HY518" s="12"/>
      <c r="HZ518" s="12" t="s">
        <v>363</v>
      </c>
      <c r="IA518" s="12"/>
      <c r="IB518" s="12" t="s">
        <v>333</v>
      </c>
      <c r="IC518" s="12"/>
      <c r="ID518" s="12" t="s">
        <v>334</v>
      </c>
      <c r="IE518" s="12" t="s">
        <v>335</v>
      </c>
      <c r="IF518" s="12" t="s">
        <v>320</v>
      </c>
      <c r="IG518" s="12" t="s">
        <v>320</v>
      </c>
      <c r="IH518" s="12" t="s">
        <v>320</v>
      </c>
      <c r="II518" s="12" t="s">
        <v>320</v>
      </c>
      <c r="IJ518" s="12" t="str">
        <f t="shared" si="345"/>
        <v>2. Sensitive</v>
      </c>
      <c r="IK518" s="12">
        <f t="shared" si="346"/>
        <v>4</v>
      </c>
      <c r="IL518" s="12" t="s">
        <v>336</v>
      </c>
      <c r="IM518" s="12" t="s">
        <v>320</v>
      </c>
      <c r="IN518" s="12" t="s">
        <v>320</v>
      </c>
      <c r="IO518" s="12" t="s">
        <v>320</v>
      </c>
      <c r="IP518" s="12" t="s">
        <v>320</v>
      </c>
      <c r="IQ518" s="12" t="str">
        <f t="shared" si="347"/>
        <v>2. Accommodating</v>
      </c>
      <c r="IR518" s="12">
        <f t="shared" si="348"/>
        <v>4</v>
      </c>
      <c r="IS518" s="12" t="s">
        <v>622</v>
      </c>
      <c r="IT518" s="12" t="s">
        <v>320</v>
      </c>
      <c r="IU518" s="12" t="s">
        <v>319</v>
      </c>
      <c r="IV518" s="12" t="s">
        <v>320</v>
      </c>
      <c r="IW518" s="11" t="str">
        <f t="shared" si="349"/>
        <v>3. Responsive</v>
      </c>
      <c r="IX518" s="12">
        <f t="shared" si="350"/>
        <v>2</v>
      </c>
      <c r="IY518" s="12"/>
      <c r="IZ518" s="12" t="s">
        <v>527</v>
      </c>
      <c r="JA518" s="12">
        <v>2</v>
      </c>
      <c r="JB518" s="12" t="s">
        <v>433</v>
      </c>
      <c r="JC518" s="12" t="s">
        <v>724</v>
      </c>
      <c r="JD518" s="12" t="s">
        <v>687</v>
      </c>
      <c r="JE518" s="12" t="s">
        <v>340</v>
      </c>
      <c r="JF518" s="12"/>
      <c r="JG518" s="12"/>
      <c r="JH518" s="12"/>
      <c r="JI518" s="12"/>
      <c r="JJ518" s="12"/>
      <c r="JK518" s="12"/>
      <c r="JL518" s="12"/>
      <c r="JM518" s="12"/>
      <c r="JN518" s="12"/>
      <c r="JO518" s="12"/>
      <c r="JP518" s="15">
        <f t="shared" si="351"/>
        <v>16724</v>
      </c>
      <c r="JQ518" s="15">
        <f t="shared" si="352"/>
        <v>0</v>
      </c>
      <c r="JR518" s="279">
        <f t="shared" si="353"/>
        <v>0</v>
      </c>
      <c r="JS518" s="17">
        <f t="shared" si="354"/>
        <v>0.8191820138722794</v>
      </c>
      <c r="JT518" s="18" t="str">
        <f t="shared" si="355"/>
        <v/>
      </c>
      <c r="JU518" s="280">
        <f t="shared" si="356"/>
        <v>13700</v>
      </c>
      <c r="JV518" s="280">
        <f t="shared" si="357"/>
        <v>0</v>
      </c>
      <c r="JW518" s="319">
        <f t="shared" si="358"/>
        <v>1</v>
      </c>
      <c r="JX518" s="15">
        <f t="shared" si="359"/>
        <v>16724</v>
      </c>
      <c r="JY518" s="15">
        <f t="shared" si="360"/>
        <v>0</v>
      </c>
      <c r="JZ518" s="19">
        <f t="shared" si="361"/>
        <v>0</v>
      </c>
      <c r="KA518" s="52" t="str">
        <f t="shared" si="362"/>
        <v/>
      </c>
      <c r="KB518" s="15">
        <f t="shared" si="363"/>
        <v>0</v>
      </c>
      <c r="KC518" s="15">
        <f t="shared" si="364"/>
        <v>0</v>
      </c>
      <c r="KD518" s="20" t="str">
        <f t="shared" si="365"/>
        <v/>
      </c>
      <c r="KE518" s="52">
        <f t="shared" si="366"/>
        <v>1</v>
      </c>
      <c r="KF518" s="15">
        <f t="shared" si="367"/>
        <v>8687</v>
      </c>
      <c r="KG518" s="15">
        <f t="shared" si="368"/>
        <v>0</v>
      </c>
      <c r="KH518" s="21">
        <f t="shared" si="369"/>
        <v>0</v>
      </c>
      <c r="KI518" s="52">
        <f t="shared" si="370"/>
        <v>1</v>
      </c>
      <c r="KJ518" s="15">
        <f t="shared" si="371"/>
        <v>4978</v>
      </c>
      <c r="KK518" s="15">
        <f t="shared" si="372"/>
        <v>0</v>
      </c>
      <c r="KL518" s="19">
        <f t="shared" si="373"/>
        <v>0</v>
      </c>
      <c r="KM518" s="52" t="str">
        <f t="shared" si="374"/>
        <v/>
      </c>
      <c r="KN518" s="22">
        <f t="shared" si="375"/>
        <v>0</v>
      </c>
      <c r="KO518" s="22">
        <f t="shared" si="376"/>
        <v>0</v>
      </c>
      <c r="KP518" s="19" t="str">
        <f t="shared" si="377"/>
        <v/>
      </c>
      <c r="KQ518" s="11" t="str">
        <f t="shared" si="378"/>
        <v>2. Sensitive</v>
      </c>
      <c r="KR518" s="11" t="str">
        <f t="shared" si="379"/>
        <v>2. Accommodating</v>
      </c>
      <c r="KS518" s="11" t="str">
        <f t="shared" si="380"/>
        <v>3. Responsive</v>
      </c>
      <c r="KT518" s="11" t="str">
        <f t="shared" si="381"/>
        <v>It did not develop any specific innovation</v>
      </c>
      <c r="KU518" s="11" t="str">
        <f t="shared" si="382"/>
        <v>Moderate advocacy</v>
      </c>
      <c r="KV518" s="11" t="str">
        <f t="shared" si="383"/>
        <v>It did not take tested solutions to scale</v>
      </c>
      <c r="KW518" s="11" t="str">
        <f t="shared" si="384"/>
        <v>Nepal - Nepal Earthquake Recovery Programs-restoration of health facilities with improved access to SRMH and WASH services</v>
      </c>
      <c r="KX518" s="11" t="str">
        <f t="shared" si="385"/>
        <v>Nepal Earthquake Recovery Programs-restoration of health facilities with improved access to SRMH and WASH services</v>
      </c>
      <c r="KY518" s="11" t="str">
        <f t="shared" si="386"/>
        <v>Nepal</v>
      </c>
      <c r="KZ518" s="12">
        <v>518</v>
      </c>
    </row>
    <row r="519" spans="1:312" x14ac:dyDescent="0.3">
      <c r="A519" s="12" t="s">
        <v>8647</v>
      </c>
      <c r="B519" s="12" t="s">
        <v>306</v>
      </c>
      <c r="C519" s="12"/>
      <c r="D519" s="12" t="s">
        <v>8814</v>
      </c>
      <c r="E519" s="277" t="str">
        <f t="shared" si="344"/>
        <v>Nepal</v>
      </c>
      <c r="F519" s="12" t="s">
        <v>8815</v>
      </c>
      <c r="G519" s="12" t="s">
        <v>605</v>
      </c>
      <c r="H519" s="12" t="s">
        <v>310</v>
      </c>
      <c r="I519" s="12" t="s">
        <v>907</v>
      </c>
      <c r="J519" s="281" t="s">
        <v>5183</v>
      </c>
      <c r="K519" s="12"/>
      <c r="L519" s="12" t="s">
        <v>605</v>
      </c>
      <c r="M519" s="12" t="s">
        <v>384</v>
      </c>
      <c r="N519" s="12" t="s">
        <v>384</v>
      </c>
      <c r="O519" s="281" t="s">
        <v>1756</v>
      </c>
      <c r="P519" s="12"/>
      <c r="Q519" s="12"/>
      <c r="R519" s="12"/>
      <c r="S519" s="12"/>
      <c r="T519" s="12"/>
      <c r="U519" s="12"/>
      <c r="V519" s="12"/>
      <c r="W519" s="12"/>
      <c r="X519" s="12"/>
      <c r="Y519" s="12"/>
      <c r="Z519" s="12"/>
      <c r="AA519" s="12"/>
      <c r="AB519" s="12"/>
      <c r="AC519" s="12"/>
      <c r="AD519" s="12"/>
      <c r="BD519" s="13">
        <v>42491</v>
      </c>
      <c r="BE519" s="13">
        <v>43039</v>
      </c>
      <c r="BF519" s="12"/>
      <c r="BG519" s="12" t="s">
        <v>312</v>
      </c>
      <c r="BH519" s="14">
        <v>1253888.24</v>
      </c>
      <c r="BI519" s="12" t="s">
        <v>8816</v>
      </c>
      <c r="BJ519" s="12" t="s">
        <v>8745</v>
      </c>
      <c r="BK519" s="12" t="s">
        <v>8817</v>
      </c>
      <c r="BL519" s="12" t="s">
        <v>8818</v>
      </c>
      <c r="BM519" s="12" t="s">
        <v>8819</v>
      </c>
      <c r="BN519" s="12" t="s">
        <v>8820</v>
      </c>
      <c r="BO519" s="12" t="s">
        <v>319</v>
      </c>
      <c r="BP519" s="12" t="s">
        <v>320</v>
      </c>
      <c r="BQ519" s="12" t="s">
        <v>319</v>
      </c>
      <c r="BR519" s="12" t="s">
        <v>8821</v>
      </c>
      <c r="BS519" s="12" t="s">
        <v>357</v>
      </c>
      <c r="BT519" s="12" t="s">
        <v>8822</v>
      </c>
      <c r="BU519" s="12" t="s">
        <v>8823</v>
      </c>
      <c r="BV519" s="14">
        <v>10860</v>
      </c>
      <c r="BW519" s="14">
        <v>11614</v>
      </c>
      <c r="BX519" s="14">
        <v>22474</v>
      </c>
      <c r="BY519" s="14">
        <v>20549</v>
      </c>
      <c r="BZ519" s="14">
        <v>14391</v>
      </c>
      <c r="CA519" s="14">
        <v>34940</v>
      </c>
      <c r="CB519" s="12" t="s">
        <v>8824</v>
      </c>
      <c r="CD519" s="14"/>
      <c r="CE519" s="14"/>
      <c r="CF519" s="14">
        <v>0</v>
      </c>
      <c r="CG519" s="14"/>
      <c r="CH519" s="14"/>
      <c r="CI519" s="14">
        <v>0</v>
      </c>
      <c r="CJ519" s="12"/>
      <c r="CK519" s="14"/>
      <c r="CL519" s="16"/>
      <c r="CM519" s="14"/>
      <c r="CN519" s="12"/>
      <c r="CO519" s="14"/>
      <c r="CP519" s="16"/>
      <c r="CQ519" s="14"/>
      <c r="CR519" s="12"/>
      <c r="CS519" s="14"/>
      <c r="CT519" s="16"/>
      <c r="CU519" s="14"/>
      <c r="CV519" s="12"/>
      <c r="CW519" s="14"/>
      <c r="CX519" s="16"/>
      <c r="CY519" s="14"/>
      <c r="CZ519" s="12"/>
      <c r="DA519" s="14"/>
      <c r="DB519" s="16"/>
      <c r="DC519" s="14"/>
      <c r="DD519" s="12"/>
      <c r="DE519" s="14"/>
      <c r="DF519" s="16"/>
      <c r="DG519" s="14"/>
      <c r="DH519" s="12"/>
      <c r="DI519" s="14"/>
      <c r="DJ519" s="16"/>
      <c r="DK519" s="14"/>
      <c r="DL519" s="12"/>
      <c r="DM519" s="14"/>
      <c r="DN519" s="16"/>
      <c r="DO519" s="14"/>
      <c r="DP519" s="12"/>
      <c r="DQ519" s="14"/>
      <c r="DR519" s="16"/>
      <c r="DS519" s="14"/>
      <c r="DT519" s="12"/>
      <c r="DU519" s="14"/>
      <c r="DV519" s="16"/>
      <c r="DW519" s="14"/>
      <c r="DX519" s="12"/>
      <c r="DY519" s="14"/>
      <c r="DZ519" s="16"/>
      <c r="EA519" s="14"/>
      <c r="EB519" s="12"/>
      <c r="EC519" s="14"/>
      <c r="ED519" s="16"/>
      <c r="EE519" s="14"/>
      <c r="EF519" s="12"/>
      <c r="EG519" s="12"/>
      <c r="EH519" s="14"/>
      <c r="EI519" s="16"/>
      <c r="EJ519" s="14"/>
      <c r="EK519" s="14">
        <v>14247</v>
      </c>
      <c r="EL519" s="14">
        <v>17130</v>
      </c>
      <c r="EM519" s="14">
        <v>31377</v>
      </c>
      <c r="EN519" s="14">
        <v>20549</v>
      </c>
      <c r="EO519" s="14">
        <v>14391</v>
      </c>
      <c r="EP519" s="14">
        <v>34940</v>
      </c>
      <c r="EQ519" s="12"/>
      <c r="ER519" s="14"/>
      <c r="ES519" s="16"/>
      <c r="ET519" s="14"/>
      <c r="EU519" s="12"/>
      <c r="EV519" s="14"/>
      <c r="EW519" s="16"/>
      <c r="EX519" s="14"/>
      <c r="EY519" s="12"/>
      <c r="EZ519" s="14"/>
      <c r="FA519" s="16"/>
      <c r="FB519" s="14"/>
      <c r="FC519" s="12" t="s">
        <v>320</v>
      </c>
      <c r="FD519" s="14">
        <v>31377</v>
      </c>
      <c r="FE519" s="16">
        <v>0.45</v>
      </c>
      <c r="FF519" s="14">
        <v>34940</v>
      </c>
      <c r="FG519" s="12"/>
      <c r="FH519" s="14"/>
      <c r="FI519" s="16"/>
      <c r="FJ519" s="14"/>
      <c r="FK519" s="12"/>
      <c r="FL519" s="14"/>
      <c r="FM519" s="16"/>
      <c r="FN519" s="14"/>
      <c r="FO519" s="12"/>
      <c r="FP519" s="14"/>
      <c r="FQ519" s="16"/>
      <c r="FR519" s="14"/>
      <c r="FS519" s="12"/>
      <c r="FT519" s="14"/>
      <c r="FU519" s="16"/>
      <c r="FV519" s="14"/>
      <c r="FW519" s="12"/>
      <c r="FX519" s="14"/>
      <c r="FY519" s="16"/>
      <c r="FZ519" s="14"/>
      <c r="GA519" s="12"/>
      <c r="GB519" s="14"/>
      <c r="GC519" s="16"/>
      <c r="GD519" s="14"/>
      <c r="GE519" s="12"/>
      <c r="GF519" s="14"/>
      <c r="GG519" s="16"/>
      <c r="GH519" s="14"/>
      <c r="GI519" s="12"/>
      <c r="GJ519" s="14"/>
      <c r="GK519" s="16"/>
      <c r="GL519" s="14"/>
      <c r="GM519" s="12"/>
      <c r="GN519" s="14"/>
      <c r="GO519" s="16"/>
      <c r="GP519" s="14"/>
      <c r="GQ519" s="12"/>
      <c r="GR519" s="14"/>
      <c r="GS519" s="16"/>
      <c r="GT519" s="14"/>
      <c r="GU519" s="12"/>
      <c r="GV519" s="14"/>
      <c r="GW519" s="16"/>
      <c r="GX519" s="14"/>
      <c r="GY519" s="12"/>
      <c r="GZ519" s="14"/>
      <c r="HA519" s="16"/>
      <c r="HB519" s="14"/>
      <c r="HC519" s="12"/>
      <c r="HD519" s="12"/>
      <c r="HE519" s="14"/>
      <c r="HF519" s="16"/>
      <c r="HG519" s="14"/>
      <c r="HH519" s="12" t="s">
        <v>320</v>
      </c>
      <c r="HI519" s="12" t="s">
        <v>522</v>
      </c>
      <c r="HJ519" s="12">
        <v>2016</v>
      </c>
      <c r="HK519" s="12" t="s">
        <v>320</v>
      </c>
      <c r="HL519" s="12" t="s">
        <v>320</v>
      </c>
      <c r="HM519" s="12" t="s">
        <v>327</v>
      </c>
      <c r="HN519" s="12">
        <v>2017</v>
      </c>
      <c r="HO519" s="12" t="s">
        <v>8753</v>
      </c>
      <c r="HP519" s="12" t="s">
        <v>330</v>
      </c>
      <c r="HQ519" s="12" t="s">
        <v>320</v>
      </c>
      <c r="HR519" s="12" t="s">
        <v>319</v>
      </c>
      <c r="HS519" s="12" t="s">
        <v>320</v>
      </c>
      <c r="HT519" s="12" t="s">
        <v>320</v>
      </c>
      <c r="HU519" s="12" t="s">
        <v>319</v>
      </c>
      <c r="HV519" s="12" t="s">
        <v>319</v>
      </c>
      <c r="HW519" s="12" t="s">
        <v>320</v>
      </c>
      <c r="HX519" s="12"/>
      <c r="HY519" s="12"/>
      <c r="HZ519" s="12" t="s">
        <v>394</v>
      </c>
      <c r="IA519" s="12" t="s">
        <v>8754</v>
      </c>
      <c r="IB519" s="12" t="s">
        <v>333</v>
      </c>
      <c r="IC519" s="12"/>
      <c r="ID519" s="12" t="s">
        <v>364</v>
      </c>
      <c r="IE519" s="12" t="s">
        <v>335</v>
      </c>
      <c r="IF519" s="12" t="s">
        <v>320</v>
      </c>
      <c r="IG519" s="12" t="s">
        <v>319</v>
      </c>
      <c r="IH519" s="12" t="s">
        <v>320</v>
      </c>
      <c r="II519" s="12" t="s">
        <v>320</v>
      </c>
      <c r="IJ519" s="12" t="str">
        <f t="shared" si="345"/>
        <v>1. Neutral</v>
      </c>
      <c r="IK519" s="12">
        <f t="shared" si="346"/>
        <v>3</v>
      </c>
      <c r="IL519" s="12" t="s">
        <v>336</v>
      </c>
      <c r="IM519" s="12" t="s">
        <v>320</v>
      </c>
      <c r="IN519" s="12" t="s">
        <v>320</v>
      </c>
      <c r="IO519" s="12" t="s">
        <v>320</v>
      </c>
      <c r="IP519" s="12" t="s">
        <v>320</v>
      </c>
      <c r="IQ519" s="12" t="str">
        <f t="shared" si="347"/>
        <v>2. Accommodating</v>
      </c>
      <c r="IR519" s="12">
        <f t="shared" si="348"/>
        <v>4</v>
      </c>
      <c r="IS519" s="12" t="s">
        <v>622</v>
      </c>
      <c r="IT519" s="12" t="s">
        <v>320</v>
      </c>
      <c r="IU519" s="12" t="s">
        <v>320</v>
      </c>
      <c r="IV519" s="12" t="s">
        <v>320</v>
      </c>
      <c r="IW519" s="11" t="str">
        <f t="shared" si="349"/>
        <v>4. Transformative</v>
      </c>
      <c r="IX519" s="12">
        <f t="shared" si="350"/>
        <v>3</v>
      </c>
      <c r="IY519" s="12" t="s">
        <v>419</v>
      </c>
      <c r="IZ519" s="12" t="s">
        <v>527</v>
      </c>
      <c r="JA519" s="12">
        <v>4</v>
      </c>
      <c r="JB519" s="12" t="s">
        <v>831</v>
      </c>
      <c r="JC519" s="12" t="s">
        <v>433</v>
      </c>
      <c r="JD519" s="12"/>
      <c r="JE519" s="12" t="s">
        <v>340</v>
      </c>
      <c r="JF519" s="12" t="s">
        <v>8825</v>
      </c>
      <c r="JG519" s="12"/>
      <c r="JH519" s="12" t="s">
        <v>8826</v>
      </c>
      <c r="JI519" s="12" t="s">
        <v>8827</v>
      </c>
      <c r="JJ519" s="12" t="s">
        <v>8828</v>
      </c>
      <c r="JK519" s="12" t="s">
        <v>8829</v>
      </c>
      <c r="JL519" s="12" t="s">
        <v>8830</v>
      </c>
      <c r="JM519" s="12" t="s">
        <v>8831</v>
      </c>
      <c r="JN519" s="12"/>
      <c r="JO519" s="12"/>
      <c r="JP519" s="15">
        <f t="shared" si="351"/>
        <v>31377</v>
      </c>
      <c r="JQ519" s="15">
        <f t="shared" si="352"/>
        <v>34940</v>
      </c>
      <c r="JR519" s="279">
        <f t="shared" si="353"/>
        <v>1.1135545144532619</v>
      </c>
      <c r="JS519" s="17">
        <f t="shared" si="354"/>
        <v>0.45405870542116838</v>
      </c>
      <c r="JT519" s="18">
        <f t="shared" si="355"/>
        <v>0.58812249570692621</v>
      </c>
      <c r="JU519" s="280">
        <f t="shared" si="356"/>
        <v>14247</v>
      </c>
      <c r="JV519" s="280">
        <f t="shared" si="357"/>
        <v>20549</v>
      </c>
      <c r="JW519" s="319" t="str">
        <f t="shared" si="358"/>
        <v/>
      </c>
      <c r="JX519" s="15">
        <f t="shared" si="359"/>
        <v>0</v>
      </c>
      <c r="JY519" s="15">
        <f t="shared" si="360"/>
        <v>0</v>
      </c>
      <c r="JZ519" s="19" t="str">
        <f t="shared" si="361"/>
        <v/>
      </c>
      <c r="KA519" s="52">
        <f t="shared" si="362"/>
        <v>1</v>
      </c>
      <c r="KB519" s="15">
        <f t="shared" si="363"/>
        <v>31377</v>
      </c>
      <c r="KC519" s="15">
        <f t="shared" si="364"/>
        <v>34940</v>
      </c>
      <c r="KD519" s="20">
        <f t="shared" si="365"/>
        <v>1.1135545144532619</v>
      </c>
      <c r="KE519" s="52" t="str">
        <f t="shared" si="366"/>
        <v/>
      </c>
      <c r="KF519" s="15">
        <f t="shared" si="367"/>
        <v>0</v>
      </c>
      <c r="KG519" s="15">
        <f t="shared" si="368"/>
        <v>0</v>
      </c>
      <c r="KH519" s="21" t="str">
        <f t="shared" si="369"/>
        <v/>
      </c>
      <c r="KI519" s="52" t="str">
        <f t="shared" si="370"/>
        <v/>
      </c>
      <c r="KJ519" s="15">
        <f t="shared" si="371"/>
        <v>0</v>
      </c>
      <c r="KK519" s="15">
        <f t="shared" si="372"/>
        <v>0</v>
      </c>
      <c r="KL519" s="19" t="str">
        <f t="shared" si="373"/>
        <v/>
      </c>
      <c r="KM519" s="52" t="str">
        <f t="shared" si="374"/>
        <v/>
      </c>
      <c r="KN519" s="22">
        <f t="shared" si="375"/>
        <v>0</v>
      </c>
      <c r="KO519" s="22">
        <f t="shared" si="376"/>
        <v>0</v>
      </c>
      <c r="KP519" s="19" t="str">
        <f t="shared" si="377"/>
        <v/>
      </c>
      <c r="KQ519" s="11" t="str">
        <f t="shared" si="378"/>
        <v>1. Neutral</v>
      </c>
      <c r="KR519" s="11" t="str">
        <f t="shared" si="379"/>
        <v>2. Accommodating</v>
      </c>
      <c r="KS519" s="11" t="str">
        <f t="shared" si="380"/>
        <v>4. Transformative</v>
      </c>
      <c r="KT519" s="11" t="str">
        <f t="shared" si="381"/>
        <v>It tested new ways for fighting poverty, but did not measure results of innovation</v>
      </c>
      <c r="KU519" s="11" t="str">
        <f t="shared" si="382"/>
        <v>Moderate advocacy</v>
      </c>
      <c r="KV519" s="11" t="str">
        <f t="shared" si="383"/>
        <v>It did not take tested solutions to scale</v>
      </c>
      <c r="KW519" s="11" t="str">
        <f t="shared" si="384"/>
        <v>Nepal - PRAYAAS-Strengthening resilience of local communities and institutions from the impact of natural disaster along the earthquake affected regions of Nepal</v>
      </c>
      <c r="KX519" s="11" t="str">
        <f t="shared" si="385"/>
        <v>PRAYAAS-Strengthening resilience of local communities and institutions from the impact of natural disaster along the earthquake affected regions of Nepal</v>
      </c>
      <c r="KY519" s="11" t="str">
        <f t="shared" si="386"/>
        <v>Nepal</v>
      </c>
      <c r="KZ519" s="287">
        <v>519</v>
      </c>
    </row>
    <row r="520" spans="1:312" x14ac:dyDescent="0.3">
      <c r="A520" s="282" t="s">
        <v>8647</v>
      </c>
      <c r="B520" s="282" t="s">
        <v>306</v>
      </c>
      <c r="C520" s="282"/>
      <c r="D520" s="282" t="s">
        <v>8881</v>
      </c>
      <c r="E520" s="277" t="str">
        <f t="shared" si="344"/>
        <v>Nepal</v>
      </c>
      <c r="F520" s="282" t="s">
        <v>8882</v>
      </c>
      <c r="G520" s="282" t="s">
        <v>488</v>
      </c>
      <c r="H520" s="282" t="s">
        <v>380</v>
      </c>
      <c r="I520" s="282" t="s">
        <v>506</v>
      </c>
      <c r="J520" s="281" t="s">
        <v>9230</v>
      </c>
      <c r="K520" s="282"/>
      <c r="L520" s="282"/>
      <c r="M520" s="282"/>
      <c r="N520" s="282"/>
      <c r="O520" s="282"/>
      <c r="P520" s="282"/>
      <c r="Q520" s="282"/>
      <c r="R520" s="282"/>
      <c r="S520" s="282"/>
      <c r="T520" s="282"/>
      <c r="U520" s="282"/>
      <c r="V520" s="282"/>
      <c r="W520" s="282"/>
      <c r="X520" s="282"/>
      <c r="Y520" s="282"/>
      <c r="Z520" s="282"/>
      <c r="AA520" s="282"/>
      <c r="AB520" s="282"/>
      <c r="AC520" s="282"/>
      <c r="AD520" s="282"/>
      <c r="AE520" s="282"/>
      <c r="AF520" s="282"/>
      <c r="AG520" s="282"/>
      <c r="AH520" s="282"/>
      <c r="AI520" s="282"/>
      <c r="AJ520" s="282"/>
      <c r="AK520" s="282"/>
      <c r="AL520" s="282"/>
      <c r="AM520" s="282"/>
      <c r="AN520" s="282"/>
      <c r="AO520" s="282"/>
      <c r="AP520" s="282"/>
      <c r="AQ520" s="282"/>
      <c r="AR520" s="282"/>
      <c r="AS520" s="282"/>
      <c r="AT520" s="282"/>
      <c r="AU520" s="282"/>
      <c r="AV520" s="282"/>
      <c r="AW520" s="282"/>
      <c r="AX520" s="282"/>
      <c r="AY520" s="282"/>
      <c r="AZ520" s="282"/>
      <c r="BA520" s="282"/>
      <c r="BB520" s="282"/>
      <c r="BC520" s="282"/>
      <c r="BD520" s="283">
        <v>42614</v>
      </c>
      <c r="BE520" s="283">
        <v>42916</v>
      </c>
      <c r="BF520" s="283">
        <v>43069</v>
      </c>
      <c r="BG520" s="283" t="s">
        <v>817</v>
      </c>
      <c r="BH520" s="284">
        <v>1605138</v>
      </c>
      <c r="BI520" s="282" t="s">
        <v>8883</v>
      </c>
      <c r="BJ520" s="282" t="s">
        <v>8884</v>
      </c>
      <c r="BK520" s="282" t="s">
        <v>8885</v>
      </c>
      <c r="BL520" s="282"/>
      <c r="BM520" s="282"/>
      <c r="BN520" s="282"/>
      <c r="BO520" s="282" t="s">
        <v>320</v>
      </c>
      <c r="BP520" s="282" t="s">
        <v>319</v>
      </c>
      <c r="BQ520" s="282" t="s">
        <v>319</v>
      </c>
      <c r="BR520" s="282" t="s">
        <v>8886</v>
      </c>
      <c r="BS520" s="282" t="s">
        <v>357</v>
      </c>
      <c r="BT520" s="282" t="s">
        <v>8887</v>
      </c>
      <c r="BU520" s="282" t="s">
        <v>8888</v>
      </c>
      <c r="BV520" s="284">
        <v>55790</v>
      </c>
      <c r="BW520" s="284"/>
      <c r="BX520" s="284">
        <v>55790</v>
      </c>
      <c r="BY520" s="284"/>
      <c r="BZ520" s="284"/>
      <c r="CA520" s="284"/>
      <c r="CB520" s="285"/>
      <c r="CC520" s="285"/>
      <c r="CD520" s="284">
        <v>55790</v>
      </c>
      <c r="CE520" s="284">
        <v>56540</v>
      </c>
      <c r="CF520" s="284">
        <v>112330</v>
      </c>
      <c r="CG520" s="284"/>
      <c r="CH520" s="284"/>
      <c r="CI520" s="284"/>
      <c r="CJ520" s="282"/>
      <c r="CK520" s="284"/>
      <c r="CL520" s="286"/>
      <c r="CM520" s="284"/>
      <c r="CN520" s="287"/>
      <c r="CO520" s="284"/>
      <c r="CP520" s="286"/>
      <c r="CQ520" s="284"/>
      <c r="CR520" s="282"/>
      <c r="CS520" s="284"/>
      <c r="CT520" s="286"/>
      <c r="CU520" s="284"/>
      <c r="CV520" s="292" t="s">
        <v>320</v>
      </c>
      <c r="CW520" s="300">
        <v>112330</v>
      </c>
      <c r="CX520" s="308">
        <v>0.5</v>
      </c>
      <c r="CY520" s="306"/>
      <c r="CZ520" s="282"/>
      <c r="DA520" s="284"/>
      <c r="DB520" s="286"/>
      <c r="DC520" s="284"/>
      <c r="DD520" s="287"/>
      <c r="DE520" s="284"/>
      <c r="DF520" s="286"/>
      <c r="DG520" s="284"/>
      <c r="DH520" s="282"/>
      <c r="DI520" s="284"/>
      <c r="DJ520" s="286"/>
      <c r="DK520" s="284"/>
      <c r="DL520" s="282"/>
      <c r="DM520" s="284"/>
      <c r="DN520" s="286"/>
      <c r="DO520" s="284"/>
      <c r="DP520" s="282"/>
      <c r="DQ520" s="284"/>
      <c r="DR520" s="286"/>
      <c r="DS520" s="284"/>
      <c r="DT520" s="282"/>
      <c r="DU520" s="284"/>
      <c r="DV520" s="286"/>
      <c r="DW520" s="284"/>
      <c r="DX520" s="282"/>
      <c r="DY520" s="284"/>
      <c r="DZ520" s="286"/>
      <c r="EA520" s="284"/>
      <c r="EB520" s="282" t="s">
        <v>320</v>
      </c>
      <c r="EC520" s="284">
        <v>112330</v>
      </c>
      <c r="ED520" s="286">
        <v>0.5</v>
      </c>
      <c r="EE520" s="284"/>
      <c r="EF520" s="285"/>
      <c r="EG520" s="287"/>
      <c r="EH520" s="284"/>
      <c r="EI520" s="286"/>
      <c r="EJ520" s="284"/>
      <c r="EK520" s="284"/>
      <c r="EL520" s="284"/>
      <c r="EM520" s="284"/>
      <c r="EN520" s="284"/>
      <c r="EO520" s="284"/>
      <c r="EP520" s="284"/>
      <c r="EQ520" s="282"/>
      <c r="ER520" s="284"/>
      <c r="ES520" s="286"/>
      <c r="ET520" s="284"/>
      <c r="EU520" s="282"/>
      <c r="EV520" s="284"/>
      <c r="EW520" s="286"/>
      <c r="EX520" s="284"/>
      <c r="EY520" s="282"/>
      <c r="EZ520" s="284"/>
      <c r="FA520" s="286"/>
      <c r="FB520" s="284"/>
      <c r="FC520" s="282"/>
      <c r="FD520" s="284"/>
      <c r="FE520" s="286"/>
      <c r="FF520" s="284"/>
      <c r="FG520" s="282"/>
      <c r="FH520" s="284"/>
      <c r="FI520" s="286"/>
      <c r="FJ520" s="284"/>
      <c r="FK520" s="282"/>
      <c r="FL520" s="284"/>
      <c r="FM520" s="286"/>
      <c r="FN520" s="284"/>
      <c r="FP520" s="11"/>
      <c r="FQ520" s="11"/>
      <c r="FR520" s="300"/>
      <c r="FS520" s="282"/>
      <c r="FT520" s="284"/>
      <c r="FU520" s="286"/>
      <c r="FV520" s="284"/>
      <c r="FW520" s="282"/>
      <c r="FX520" s="284"/>
      <c r="FY520" s="286"/>
      <c r="FZ520" s="284"/>
      <c r="GA520" s="282"/>
      <c r="GB520" s="284"/>
      <c r="GC520" s="286"/>
      <c r="GD520" s="284"/>
      <c r="GE520" s="282"/>
      <c r="GF520" s="284"/>
      <c r="GG520" s="286"/>
      <c r="GH520" s="284"/>
      <c r="GI520" s="282"/>
      <c r="GJ520" s="284"/>
      <c r="GK520" s="286"/>
      <c r="GL520" s="284"/>
      <c r="GM520" s="282"/>
      <c r="GN520" s="284"/>
      <c r="GO520" s="286"/>
      <c r="GP520" s="284"/>
      <c r="GQ520" s="282"/>
      <c r="GR520" s="284"/>
      <c r="GS520" s="286"/>
      <c r="GT520" s="284"/>
      <c r="GU520" s="282"/>
      <c r="GV520" s="284"/>
      <c r="GW520" s="286"/>
      <c r="GX520" s="284"/>
      <c r="GY520" s="282"/>
      <c r="GZ520" s="284"/>
      <c r="HA520" s="286"/>
      <c r="HB520" s="284"/>
      <c r="HC520" s="282"/>
      <c r="HD520" s="282"/>
      <c r="HE520" s="284"/>
      <c r="HF520" s="286"/>
      <c r="HG520" s="284"/>
      <c r="HH520" s="282" t="s">
        <v>320</v>
      </c>
      <c r="HI520" s="282" t="s">
        <v>560</v>
      </c>
      <c r="HJ520" s="282"/>
      <c r="HK520" s="282"/>
      <c r="HL520" s="282" t="s">
        <v>320</v>
      </c>
      <c r="HM520" s="282" t="s">
        <v>328</v>
      </c>
      <c r="HN520" s="282"/>
      <c r="HO520" s="282"/>
      <c r="HP520" s="282" t="s">
        <v>418</v>
      </c>
      <c r="HQ520" s="282"/>
      <c r="HR520" s="282"/>
      <c r="HS520" s="282" t="s">
        <v>320</v>
      </c>
      <c r="HT520" s="282" t="s">
        <v>320</v>
      </c>
      <c r="HU520" s="282" t="s">
        <v>320</v>
      </c>
      <c r="HV520" s="282" t="s">
        <v>320</v>
      </c>
      <c r="HW520" s="282"/>
      <c r="HX520" s="282"/>
      <c r="HY520" s="282"/>
      <c r="HZ520" s="282"/>
      <c r="IA520" s="282"/>
      <c r="IB520" s="282"/>
      <c r="IC520" s="282"/>
      <c r="ID520" s="282"/>
      <c r="IE520" s="282" t="s">
        <v>335</v>
      </c>
      <c r="IF520" s="282" t="s">
        <v>320</v>
      </c>
      <c r="IG520" s="282" t="s">
        <v>320</v>
      </c>
      <c r="IH520" s="282" t="s">
        <v>320</v>
      </c>
      <c r="II520" s="282" t="s">
        <v>320</v>
      </c>
      <c r="IJ520" s="12" t="str">
        <f t="shared" si="345"/>
        <v>2. Sensitive</v>
      </c>
      <c r="IK520" s="287">
        <f t="shared" si="346"/>
        <v>4</v>
      </c>
      <c r="IL520" s="282" t="s">
        <v>336</v>
      </c>
      <c r="IM520" s="282" t="s">
        <v>320</v>
      </c>
      <c r="IN520" s="282" t="s">
        <v>320</v>
      </c>
      <c r="IO520" s="282" t="s">
        <v>320</v>
      </c>
      <c r="IP520" s="282" t="s">
        <v>320</v>
      </c>
      <c r="IQ520" s="287" t="str">
        <f t="shared" si="347"/>
        <v>2. Accommodating</v>
      </c>
      <c r="IR520" s="287">
        <f t="shared" si="348"/>
        <v>4</v>
      </c>
      <c r="IS520" s="282" t="s">
        <v>337</v>
      </c>
      <c r="IT520" s="282" t="s">
        <v>320</v>
      </c>
      <c r="IU520" s="282" t="s">
        <v>319</v>
      </c>
      <c r="IV520" s="282" t="s">
        <v>320</v>
      </c>
      <c r="IW520" s="11" t="str">
        <f t="shared" si="349"/>
        <v>1. Neutral</v>
      </c>
      <c r="IX520" s="287">
        <f t="shared" si="350"/>
        <v>2</v>
      </c>
      <c r="IY520" s="282"/>
      <c r="IZ520" s="282" t="s">
        <v>527</v>
      </c>
      <c r="JA520" s="282">
        <v>2</v>
      </c>
      <c r="JB520" s="282" t="s">
        <v>433</v>
      </c>
      <c r="JC520" s="282"/>
      <c r="JD520" s="282"/>
      <c r="JE520" s="282"/>
      <c r="JF520" s="282"/>
      <c r="JG520" s="282" t="s">
        <v>8889</v>
      </c>
      <c r="JH520" s="282" t="s">
        <v>8890</v>
      </c>
      <c r="JI520" s="282" t="s">
        <v>8891</v>
      </c>
      <c r="JJ520" s="282" t="s">
        <v>8892</v>
      </c>
      <c r="JK520" s="282" t="s">
        <v>8893</v>
      </c>
      <c r="JL520" s="282" t="s">
        <v>8894</v>
      </c>
      <c r="JM520" s="282"/>
      <c r="JN520" s="282" t="s">
        <v>8895</v>
      </c>
      <c r="JO520" s="282" t="s">
        <v>8896</v>
      </c>
      <c r="JP520" s="15">
        <f t="shared" si="351"/>
        <v>112330</v>
      </c>
      <c r="JQ520" s="15">
        <f t="shared" si="352"/>
        <v>0</v>
      </c>
      <c r="JR520" s="279">
        <f t="shared" si="353"/>
        <v>0</v>
      </c>
      <c r="JS520" s="17">
        <f t="shared" si="354"/>
        <v>0.49666162200658776</v>
      </c>
      <c r="JT520" s="18" t="str">
        <f t="shared" si="355"/>
        <v/>
      </c>
      <c r="JU520" s="280">
        <f t="shared" si="356"/>
        <v>55790</v>
      </c>
      <c r="JV520" s="280">
        <f t="shared" si="357"/>
        <v>0</v>
      </c>
      <c r="JW520" s="319">
        <f t="shared" si="358"/>
        <v>1</v>
      </c>
      <c r="JX520" s="15">
        <f t="shared" si="359"/>
        <v>112330</v>
      </c>
      <c r="JY520" s="15">
        <f t="shared" si="360"/>
        <v>0</v>
      </c>
      <c r="JZ520" s="19">
        <f t="shared" si="361"/>
        <v>0</v>
      </c>
      <c r="KA520" s="52">
        <f t="shared" si="362"/>
        <v>1</v>
      </c>
      <c r="KB520" s="15">
        <f t="shared" si="363"/>
        <v>112330</v>
      </c>
      <c r="KC520" s="15">
        <f t="shared" si="364"/>
        <v>0</v>
      </c>
      <c r="KD520" s="20">
        <f t="shared" si="365"/>
        <v>0</v>
      </c>
      <c r="KE520" s="52" t="str">
        <f t="shared" si="366"/>
        <v/>
      </c>
      <c r="KF520" s="15">
        <f t="shared" si="367"/>
        <v>0</v>
      </c>
      <c r="KG520" s="15">
        <f t="shared" si="368"/>
        <v>0</v>
      </c>
      <c r="KH520" s="21" t="str">
        <f t="shared" si="369"/>
        <v/>
      </c>
      <c r="KI520" s="52" t="str">
        <f t="shared" si="370"/>
        <v/>
      </c>
      <c r="KJ520" s="15">
        <f t="shared" si="371"/>
        <v>0</v>
      </c>
      <c r="KK520" s="15">
        <f t="shared" si="372"/>
        <v>0</v>
      </c>
      <c r="KL520" s="19" t="str">
        <f t="shared" si="373"/>
        <v/>
      </c>
      <c r="KM520" s="52" t="str">
        <f t="shared" si="374"/>
        <v/>
      </c>
      <c r="KN520" s="22">
        <f t="shared" si="375"/>
        <v>0</v>
      </c>
      <c r="KO520" s="22">
        <f t="shared" si="376"/>
        <v>0</v>
      </c>
      <c r="KP520" s="19" t="str">
        <f t="shared" si="377"/>
        <v/>
      </c>
      <c r="KQ520" s="11" t="str">
        <f t="shared" si="378"/>
        <v>2. Sensitive</v>
      </c>
      <c r="KR520" s="11" t="str">
        <f t="shared" si="379"/>
        <v>2. Accommodating</v>
      </c>
      <c r="KS520" s="11" t="str">
        <f t="shared" si="380"/>
        <v>1. Neutral</v>
      </c>
      <c r="KT520" s="11">
        <f t="shared" si="381"/>
        <v>0</v>
      </c>
      <c r="KU520" s="11" t="str">
        <f t="shared" si="382"/>
        <v>Little or no advocacy</v>
      </c>
      <c r="KV520" s="11">
        <f t="shared" si="383"/>
        <v>0</v>
      </c>
      <c r="KW520" s="11" t="str">
        <f t="shared" si="384"/>
        <v>Nepal - Rapid Community WASH Recovery Programme</v>
      </c>
      <c r="KX520" s="11" t="str">
        <f t="shared" si="385"/>
        <v>Rapid Community WASH Recovery Programme</v>
      </c>
      <c r="KY520" s="11" t="str">
        <f t="shared" si="386"/>
        <v>Nepal</v>
      </c>
      <c r="KZ520" s="12">
        <v>520</v>
      </c>
    </row>
    <row r="521" spans="1:312" x14ac:dyDescent="0.3">
      <c r="A521" s="12" t="s">
        <v>8647</v>
      </c>
      <c r="B521" s="12" t="s">
        <v>306</v>
      </c>
      <c r="C521" s="12">
        <v>3173</v>
      </c>
      <c r="D521" s="12" t="s">
        <v>8984</v>
      </c>
      <c r="E521" s="277" t="str">
        <f t="shared" si="344"/>
        <v>Nepal</v>
      </c>
      <c r="F521" s="12" t="s">
        <v>8985</v>
      </c>
      <c r="G521" s="12" t="s">
        <v>379</v>
      </c>
      <c r="H521" s="12" t="s">
        <v>380</v>
      </c>
      <c r="I521" s="12" t="s">
        <v>655</v>
      </c>
      <c r="J521" s="281" t="s">
        <v>4991</v>
      </c>
      <c r="K521" s="12"/>
      <c r="L521" s="12"/>
      <c r="M521" s="12"/>
      <c r="N521" s="12"/>
      <c r="O521" s="12"/>
      <c r="P521" s="12"/>
      <c r="Q521" s="12"/>
      <c r="R521" s="12"/>
      <c r="S521" s="12"/>
      <c r="T521" s="12"/>
      <c r="U521" s="12"/>
      <c r="V521" s="12"/>
      <c r="W521" s="12"/>
      <c r="X521" s="12"/>
      <c r="Y521" s="12"/>
      <c r="Z521" s="12"/>
      <c r="AA521" s="12"/>
      <c r="AB521" s="12"/>
      <c r="AC521" s="12"/>
      <c r="AD521" s="12"/>
      <c r="BD521" s="13">
        <v>42353</v>
      </c>
      <c r="BE521" s="13">
        <v>43754</v>
      </c>
      <c r="BF521" s="12"/>
      <c r="BG521" s="12" t="s">
        <v>749</v>
      </c>
      <c r="BH521" s="14">
        <v>5104074</v>
      </c>
      <c r="BI521" s="12" t="s">
        <v>8986</v>
      </c>
      <c r="BJ521" s="12" t="s">
        <v>8987</v>
      </c>
      <c r="BK521" s="12" t="s">
        <v>8988</v>
      </c>
      <c r="BL521" s="12"/>
      <c r="BM521" s="12"/>
      <c r="BN521" s="12"/>
      <c r="BO521" s="12" t="s">
        <v>319</v>
      </c>
      <c r="BP521" s="12" t="s">
        <v>320</v>
      </c>
      <c r="BQ521" s="12" t="s">
        <v>319</v>
      </c>
      <c r="BR521" s="12" t="s">
        <v>8989</v>
      </c>
      <c r="BS521" s="12" t="s">
        <v>322</v>
      </c>
      <c r="BT521" s="12" t="s">
        <v>8990</v>
      </c>
      <c r="BU521" s="12" t="s">
        <v>8991</v>
      </c>
      <c r="BV521" s="14">
        <v>69230</v>
      </c>
      <c r="BW521" s="14">
        <v>103845</v>
      </c>
      <c r="BX521" s="14">
        <v>173075</v>
      </c>
      <c r="BY521" s="14"/>
      <c r="BZ521" s="14"/>
      <c r="CA521" s="14"/>
      <c r="CB521" s="12" t="s">
        <v>8992</v>
      </c>
      <c r="CD521" s="14"/>
      <c r="CE521" s="14"/>
      <c r="CF521" s="14"/>
      <c r="CG521" s="14"/>
      <c r="CH521" s="14"/>
      <c r="CI521" s="14"/>
      <c r="CJ521" s="12"/>
      <c r="CK521" s="14"/>
      <c r="CL521" s="16"/>
      <c r="CM521" s="14"/>
      <c r="CN521" s="12"/>
      <c r="CO521" s="14"/>
      <c r="CP521" s="16"/>
      <c r="CQ521" s="14"/>
      <c r="CR521" s="12"/>
      <c r="CS521" s="14"/>
      <c r="CT521" s="16"/>
      <c r="CU521" s="14"/>
      <c r="CV521" s="12"/>
      <c r="CW521" s="14"/>
      <c r="CX521" s="16"/>
      <c r="CY521" s="14"/>
      <c r="CZ521" s="12"/>
      <c r="DA521" s="14"/>
      <c r="DB521" s="16"/>
      <c r="DC521" s="14"/>
      <c r="DD521" s="12"/>
      <c r="DE521" s="14"/>
      <c r="DF521" s="16"/>
      <c r="DG521" s="14"/>
      <c r="DH521" s="12"/>
      <c r="DI521" s="14"/>
      <c r="DJ521" s="16"/>
      <c r="DK521" s="14"/>
      <c r="DL521" s="12"/>
      <c r="DM521" s="14"/>
      <c r="DN521" s="16"/>
      <c r="DO521" s="14"/>
      <c r="DP521" s="12"/>
      <c r="DQ521" s="14"/>
      <c r="DR521" s="16"/>
      <c r="DS521" s="14"/>
      <c r="DT521" s="12"/>
      <c r="DU521" s="14"/>
      <c r="DV521" s="16"/>
      <c r="DW521" s="14"/>
      <c r="DX521" s="12"/>
      <c r="DY521" s="14"/>
      <c r="DZ521" s="16"/>
      <c r="EA521" s="14"/>
      <c r="EB521" s="12"/>
      <c r="EC521" s="14"/>
      <c r="ED521" s="16"/>
      <c r="EE521" s="14"/>
      <c r="EF521" s="12"/>
      <c r="EG521" s="12"/>
      <c r="EH521" s="14"/>
      <c r="EI521" s="16"/>
      <c r="EJ521" s="14"/>
      <c r="EK521" s="14">
        <v>15350</v>
      </c>
      <c r="EL521" s="14">
        <v>18789</v>
      </c>
      <c r="EM521" s="14">
        <v>34139</v>
      </c>
      <c r="EN521" s="14"/>
      <c r="EO521" s="14"/>
      <c r="EP521" s="14"/>
      <c r="EQ521" s="12"/>
      <c r="ER521" s="14"/>
      <c r="ES521" s="16"/>
      <c r="ET521" s="14"/>
      <c r="EU521" s="11" t="s">
        <v>320</v>
      </c>
      <c r="EV521" s="14">
        <v>34139</v>
      </c>
      <c r="EW521" s="16">
        <v>0.44963238524854199</v>
      </c>
      <c r="EX521" s="14"/>
      <c r="EY521" s="12"/>
      <c r="EZ521" s="14"/>
      <c r="FA521" s="16"/>
      <c r="FB521" s="14"/>
      <c r="FC521" s="12" t="s">
        <v>319</v>
      </c>
      <c r="FD521" s="14"/>
      <c r="FE521" s="16"/>
      <c r="FF521" s="14"/>
      <c r="FG521" s="12"/>
      <c r="FH521" s="14"/>
      <c r="FI521" s="16"/>
      <c r="FJ521" s="14"/>
      <c r="FK521" s="12"/>
      <c r="FL521" s="14"/>
      <c r="FM521" s="16"/>
      <c r="FN521" s="14"/>
      <c r="FO521" s="12"/>
      <c r="FP521" s="14"/>
      <c r="FQ521" s="16"/>
      <c r="FR521" s="14"/>
      <c r="FS521" s="12"/>
      <c r="FT521" s="14"/>
      <c r="FU521" s="16"/>
      <c r="FV521" s="14"/>
      <c r="FW521" s="12"/>
      <c r="FX521" s="14"/>
      <c r="FY521" s="16"/>
      <c r="FZ521" s="14"/>
      <c r="GA521" s="12"/>
      <c r="GB521" s="14"/>
      <c r="GC521" s="16"/>
      <c r="GD521" s="14"/>
      <c r="GE521" s="12"/>
      <c r="GF521" s="14"/>
      <c r="GG521" s="16"/>
      <c r="GH521" s="14"/>
      <c r="GI521" s="12"/>
      <c r="GJ521" s="14"/>
      <c r="GK521" s="16"/>
      <c r="GL521" s="14"/>
      <c r="GM521" s="12"/>
      <c r="GN521" s="14"/>
      <c r="GO521" s="16"/>
      <c r="GP521" s="14"/>
      <c r="GQ521" s="12"/>
      <c r="GR521" s="14"/>
      <c r="GS521" s="16"/>
      <c r="GT521" s="14"/>
      <c r="GU521" s="12"/>
      <c r="GV521" s="14"/>
      <c r="GW521" s="16"/>
      <c r="GX521" s="14"/>
      <c r="GY521" s="12"/>
      <c r="GZ521" s="14"/>
      <c r="HA521" s="16"/>
      <c r="HB521" s="14"/>
      <c r="HC521" s="12"/>
      <c r="HD521" s="12"/>
      <c r="HE521" s="14"/>
      <c r="HF521" s="16"/>
      <c r="HG521" s="14"/>
      <c r="HH521" s="12" t="s">
        <v>320</v>
      </c>
      <c r="HI521" s="12" t="s">
        <v>544</v>
      </c>
      <c r="HJ521" s="12">
        <v>2016</v>
      </c>
      <c r="HK521" s="12" t="s">
        <v>320</v>
      </c>
      <c r="HL521" s="12" t="s">
        <v>320</v>
      </c>
      <c r="HM521" s="12" t="s">
        <v>522</v>
      </c>
      <c r="HN521" s="12">
        <v>2018</v>
      </c>
      <c r="HO521" s="12" t="s">
        <v>8993</v>
      </c>
      <c r="HP521" s="12"/>
      <c r="HQ521" s="12"/>
      <c r="HR521" s="12"/>
      <c r="HS521" s="12"/>
      <c r="HT521" s="12"/>
      <c r="HU521" s="12"/>
      <c r="HV521" s="12"/>
      <c r="HW521" s="12"/>
      <c r="HX521" s="12"/>
      <c r="HY521" s="12"/>
      <c r="HZ521" s="12"/>
      <c r="IA521" s="12"/>
      <c r="IB521" s="12"/>
      <c r="IC521" s="12"/>
      <c r="ID521" s="12"/>
      <c r="IE521" s="12"/>
      <c r="IF521" s="12"/>
      <c r="IG521" s="12"/>
      <c r="IH521" s="12"/>
      <c r="II521" s="12"/>
      <c r="IJ521" s="12" t="str">
        <f t="shared" si="345"/>
        <v>No marker score</v>
      </c>
      <c r="IK521" s="12">
        <f t="shared" si="346"/>
        <v>0</v>
      </c>
      <c r="IL521" s="12"/>
      <c r="IM521" s="12"/>
      <c r="IN521" s="12"/>
      <c r="IO521" s="12"/>
      <c r="IP521" s="12"/>
      <c r="IQ521" s="12" t="str">
        <f t="shared" si="347"/>
        <v>No marker score</v>
      </c>
      <c r="IR521" s="12">
        <f t="shared" si="348"/>
        <v>0</v>
      </c>
      <c r="IS521" s="12"/>
      <c r="IT521" s="12"/>
      <c r="IU521" s="12"/>
      <c r="IV521" s="12"/>
      <c r="IW521" s="11" t="str">
        <f t="shared" si="349"/>
        <v>No marker score</v>
      </c>
      <c r="IX521" s="12">
        <f t="shared" si="350"/>
        <v>0</v>
      </c>
      <c r="IY521" s="12"/>
      <c r="IZ521" s="12"/>
      <c r="JA521" s="12"/>
      <c r="JB521" s="12" t="s">
        <v>624</v>
      </c>
      <c r="JC521" s="12" t="s">
        <v>687</v>
      </c>
      <c r="JD521" s="12" t="s">
        <v>623</v>
      </c>
      <c r="JE521" s="12" t="s">
        <v>420</v>
      </c>
      <c r="JF521" s="12"/>
      <c r="JG521" s="12"/>
      <c r="JH521" s="12"/>
      <c r="JI521" s="12"/>
      <c r="JJ521" s="12"/>
      <c r="JK521" s="12"/>
      <c r="JL521" s="12"/>
      <c r="JM521" s="12"/>
      <c r="JN521" s="12"/>
      <c r="JO521" s="12"/>
      <c r="JP521" s="15">
        <f t="shared" si="351"/>
        <v>34139</v>
      </c>
      <c r="JQ521" s="15">
        <f t="shared" si="352"/>
        <v>0</v>
      </c>
      <c r="JR521" s="279">
        <f t="shared" si="353"/>
        <v>0</v>
      </c>
      <c r="JS521" s="17">
        <f t="shared" si="354"/>
        <v>0.44963238524854271</v>
      </c>
      <c r="JT521" s="18" t="str">
        <f t="shared" si="355"/>
        <v/>
      </c>
      <c r="JU521" s="280">
        <f t="shared" si="356"/>
        <v>15350</v>
      </c>
      <c r="JV521" s="280">
        <f t="shared" si="357"/>
        <v>0</v>
      </c>
      <c r="JW521" s="319" t="str">
        <f t="shared" si="358"/>
        <v/>
      </c>
      <c r="JX521" s="15">
        <f t="shared" si="359"/>
        <v>0</v>
      </c>
      <c r="JY521" s="15">
        <f t="shared" si="360"/>
        <v>0</v>
      </c>
      <c r="JZ521" s="19" t="str">
        <f t="shared" si="361"/>
        <v/>
      </c>
      <c r="KA521" s="52">
        <f t="shared" si="362"/>
        <v>1</v>
      </c>
      <c r="KB521" s="15">
        <f t="shared" si="363"/>
        <v>34139</v>
      </c>
      <c r="KC521" s="15">
        <f t="shared" si="364"/>
        <v>0</v>
      </c>
      <c r="KD521" s="20">
        <f t="shared" si="365"/>
        <v>0</v>
      </c>
      <c r="KE521" s="52" t="str">
        <f t="shared" si="366"/>
        <v/>
      </c>
      <c r="KF521" s="15">
        <f t="shared" si="367"/>
        <v>0</v>
      </c>
      <c r="KG521" s="15">
        <f t="shared" si="368"/>
        <v>0</v>
      </c>
      <c r="KH521" s="21" t="str">
        <f t="shared" si="369"/>
        <v/>
      </c>
      <c r="KI521" s="52" t="str">
        <f t="shared" si="370"/>
        <v/>
      </c>
      <c r="KJ521" s="15">
        <f t="shared" si="371"/>
        <v>0</v>
      </c>
      <c r="KK521" s="15">
        <f t="shared" si="372"/>
        <v>0</v>
      </c>
      <c r="KL521" s="19" t="str">
        <f t="shared" si="373"/>
        <v/>
      </c>
      <c r="KM521" s="52" t="str">
        <f t="shared" si="374"/>
        <v/>
      </c>
      <c r="KN521" s="22">
        <f t="shared" si="375"/>
        <v>0</v>
      </c>
      <c r="KO521" s="22">
        <f t="shared" si="376"/>
        <v>0</v>
      </c>
      <c r="KP521" s="19" t="str">
        <f t="shared" si="377"/>
        <v/>
      </c>
      <c r="KQ521" s="11" t="str">
        <f t="shared" si="378"/>
        <v>No marker score</v>
      </c>
      <c r="KR521" s="11" t="str">
        <f t="shared" si="379"/>
        <v>No marker score</v>
      </c>
      <c r="KS521" s="11" t="str">
        <f t="shared" si="380"/>
        <v>No marker score</v>
      </c>
      <c r="KT521" s="11">
        <f t="shared" si="381"/>
        <v>0</v>
      </c>
      <c r="KU521" s="11">
        <f t="shared" si="382"/>
        <v>0</v>
      </c>
      <c r="KV521" s="11">
        <f t="shared" si="383"/>
        <v>0</v>
      </c>
      <c r="KW521" s="11" t="str">
        <f t="shared" si="384"/>
        <v>Nepal - Sabal:Sustainable Action for Resilience and Food Security</v>
      </c>
      <c r="KX521" s="11" t="str">
        <f t="shared" si="385"/>
        <v>Sabal:Sustainable Action for Resilience and Food Security</v>
      </c>
      <c r="KY521" s="11" t="str">
        <f t="shared" si="386"/>
        <v>Nepal</v>
      </c>
      <c r="KZ521" s="12">
        <v>521</v>
      </c>
    </row>
    <row r="522" spans="1:312" x14ac:dyDescent="0.3">
      <c r="A522" s="12" t="s">
        <v>8647</v>
      </c>
      <c r="B522" s="12" t="s">
        <v>306</v>
      </c>
      <c r="C522" s="12">
        <v>3181</v>
      </c>
      <c r="D522" s="12" t="s">
        <v>8897</v>
      </c>
      <c r="E522" s="277" t="str">
        <f t="shared" si="344"/>
        <v>Nepal</v>
      </c>
      <c r="F522" s="12" t="s">
        <v>8898</v>
      </c>
      <c r="G522" s="12" t="s">
        <v>488</v>
      </c>
      <c r="H522" s="12" t="s">
        <v>489</v>
      </c>
      <c r="I522" s="12" t="s">
        <v>384</v>
      </c>
      <c r="J522" s="281" t="s">
        <v>2248</v>
      </c>
      <c r="K522" s="12"/>
      <c r="L522" s="12"/>
      <c r="M522" s="12"/>
      <c r="N522" s="12"/>
      <c r="O522" s="12"/>
      <c r="P522" s="12"/>
      <c r="Q522" s="12"/>
      <c r="R522" s="12"/>
      <c r="S522" s="12"/>
      <c r="T522" s="12"/>
      <c r="U522" s="12"/>
      <c r="V522" s="12"/>
      <c r="W522" s="12"/>
      <c r="X522" s="12"/>
      <c r="Y522" s="12"/>
      <c r="Z522" s="12"/>
      <c r="AA522" s="12"/>
      <c r="AB522" s="12"/>
      <c r="AC522" s="12"/>
      <c r="AD522" s="12"/>
      <c r="BD522" s="13">
        <v>42278</v>
      </c>
      <c r="BE522" s="13">
        <v>43373</v>
      </c>
      <c r="BF522" s="12"/>
      <c r="BG522" s="12" t="s">
        <v>490</v>
      </c>
      <c r="BH522" s="14">
        <v>2100000</v>
      </c>
      <c r="BI522" s="12" t="s">
        <v>8899</v>
      </c>
      <c r="BJ522" s="12" t="s">
        <v>8900</v>
      </c>
      <c r="BK522" s="12" t="s">
        <v>8901</v>
      </c>
      <c r="BL522" s="12" t="s">
        <v>8902</v>
      </c>
      <c r="BM522" s="12" t="s">
        <v>354</v>
      </c>
      <c r="BN522" s="12" t="s">
        <v>8903</v>
      </c>
      <c r="BO522" s="11" t="s">
        <v>319</v>
      </c>
      <c r="BP522" s="11" t="s">
        <v>320</v>
      </c>
      <c r="BQ522" s="11" t="s">
        <v>319</v>
      </c>
      <c r="BR522" s="12" t="s">
        <v>8904</v>
      </c>
      <c r="BS522" s="12" t="s">
        <v>357</v>
      </c>
      <c r="BT522" s="12" t="s">
        <v>8905</v>
      </c>
      <c r="BU522" s="12" t="s">
        <v>8906</v>
      </c>
      <c r="BV522" s="14">
        <v>628684</v>
      </c>
      <c r="BW522" s="14">
        <v>97559</v>
      </c>
      <c r="BX522" s="14">
        <v>726243</v>
      </c>
      <c r="BY522" s="14">
        <v>374370</v>
      </c>
      <c r="BZ522" s="14">
        <v>847064</v>
      </c>
      <c r="CA522" s="14">
        <v>1221434</v>
      </c>
      <c r="CB522" s="12" t="s">
        <v>8907</v>
      </c>
      <c r="CD522" s="14"/>
      <c r="CE522" s="14"/>
      <c r="CF522" s="14"/>
      <c r="CG522" s="14"/>
      <c r="CH522" s="14"/>
      <c r="CI522" s="14"/>
      <c r="CJ522" s="12"/>
      <c r="CK522" s="14"/>
      <c r="CL522" s="16"/>
      <c r="CM522" s="14"/>
      <c r="CN522" s="12"/>
      <c r="CO522" s="14"/>
      <c r="CP522" s="16"/>
      <c r="CQ522" s="14"/>
      <c r="CR522" s="12"/>
      <c r="CS522" s="14"/>
      <c r="CT522" s="16"/>
      <c r="CU522" s="14"/>
      <c r="CV522" s="12"/>
      <c r="CW522" s="14"/>
      <c r="CX522" s="16"/>
      <c r="CY522" s="14"/>
      <c r="CZ522" s="12"/>
      <c r="DA522" s="14"/>
      <c r="DB522" s="16"/>
      <c r="DC522" s="14"/>
      <c r="DD522" s="12"/>
      <c r="DE522" s="14"/>
      <c r="DF522" s="16"/>
      <c r="DG522" s="14"/>
      <c r="DH522" s="12"/>
      <c r="DI522" s="14"/>
      <c r="DJ522" s="16"/>
      <c r="DK522" s="14"/>
      <c r="DL522" s="12"/>
      <c r="DM522" s="14"/>
      <c r="DN522" s="16"/>
      <c r="DO522" s="14"/>
      <c r="DP522" s="12"/>
      <c r="DQ522" s="14"/>
      <c r="DR522" s="16"/>
      <c r="DS522" s="14"/>
      <c r="DT522" s="12"/>
      <c r="DU522" s="14"/>
      <c r="DV522" s="16"/>
      <c r="DW522" s="14"/>
      <c r="DX522" s="12"/>
      <c r="DY522" s="14"/>
      <c r="DZ522" s="16"/>
      <c r="EA522" s="14"/>
      <c r="EB522" s="12"/>
      <c r="EC522" s="14"/>
      <c r="ED522" s="16"/>
      <c r="EE522" s="14"/>
      <c r="EF522" s="12"/>
      <c r="EG522" s="12"/>
      <c r="EH522" s="14"/>
      <c r="EI522" s="16"/>
      <c r="EJ522" s="14"/>
      <c r="EK522" s="14">
        <v>124905</v>
      </c>
      <c r="EL522" s="14">
        <v>96774</v>
      </c>
      <c r="EM522" s="14">
        <v>221679</v>
      </c>
      <c r="EN522" s="14">
        <v>313584</v>
      </c>
      <c r="EO522" s="14">
        <v>6504</v>
      </c>
      <c r="EP522" s="14">
        <v>320088</v>
      </c>
      <c r="EQ522" s="12" t="s">
        <v>319</v>
      </c>
      <c r="ER522" s="14"/>
      <c r="ES522" s="16"/>
      <c r="ET522" s="14"/>
      <c r="EU522" s="11" t="s">
        <v>319</v>
      </c>
      <c r="EV522" s="14"/>
      <c r="EW522" s="16"/>
      <c r="EX522" s="14"/>
      <c r="EY522" s="12" t="s">
        <v>319</v>
      </c>
      <c r="EZ522" s="14"/>
      <c r="FA522" s="16"/>
      <c r="FB522" s="14"/>
      <c r="FC522" s="12" t="s">
        <v>319</v>
      </c>
      <c r="FD522" s="14"/>
      <c r="FE522" s="16"/>
      <c r="FF522" s="14"/>
      <c r="FG522" s="12" t="s">
        <v>319</v>
      </c>
      <c r="FH522" s="14"/>
      <c r="FI522" s="16"/>
      <c r="FJ522" s="14"/>
      <c r="FK522" s="12" t="s">
        <v>319</v>
      </c>
      <c r="FL522" s="14"/>
      <c r="FM522" s="16"/>
      <c r="FN522" s="14"/>
      <c r="FO522" s="12" t="s">
        <v>319</v>
      </c>
      <c r="FP522" s="14"/>
      <c r="FQ522" s="16"/>
      <c r="FR522" s="14"/>
      <c r="FS522" s="12" t="s">
        <v>319</v>
      </c>
      <c r="FT522" s="14"/>
      <c r="FU522" s="16"/>
      <c r="FV522" s="14"/>
      <c r="FW522" s="12" t="s">
        <v>319</v>
      </c>
      <c r="FX522" s="14"/>
      <c r="FY522" s="16"/>
      <c r="FZ522" s="14"/>
      <c r="GA522" s="12" t="s">
        <v>319</v>
      </c>
      <c r="GB522" s="14"/>
      <c r="GC522" s="16"/>
      <c r="GD522" s="14"/>
      <c r="GE522" s="12" t="s">
        <v>319</v>
      </c>
      <c r="GF522" s="14"/>
      <c r="GG522" s="16"/>
      <c r="GH522" s="14"/>
      <c r="GI522" s="12" t="s">
        <v>319</v>
      </c>
      <c r="GJ522" s="14"/>
      <c r="GK522" s="16"/>
      <c r="GL522" s="14"/>
      <c r="GM522" s="12" t="s">
        <v>319</v>
      </c>
      <c r="GN522" s="14"/>
      <c r="GO522" s="16"/>
      <c r="GP522" s="14"/>
      <c r="GQ522" s="12" t="s">
        <v>320</v>
      </c>
      <c r="GR522" s="14">
        <v>221679</v>
      </c>
      <c r="GS522" s="16">
        <v>0.563449853166064</v>
      </c>
      <c r="GT522" s="14">
        <v>320088</v>
      </c>
      <c r="GU522" s="12" t="s">
        <v>319</v>
      </c>
      <c r="GV522" s="14"/>
      <c r="GW522" s="16"/>
      <c r="GX522" s="14"/>
      <c r="GY522" s="12" t="s">
        <v>319</v>
      </c>
      <c r="GZ522" s="14"/>
      <c r="HA522" s="16"/>
      <c r="HB522" s="14"/>
      <c r="HC522" s="12"/>
      <c r="HD522" s="12"/>
      <c r="HE522" s="14"/>
      <c r="HF522" s="16"/>
      <c r="HG522" s="14"/>
      <c r="HH522" s="12" t="s">
        <v>320</v>
      </c>
      <c r="HI522" s="12" t="s">
        <v>560</v>
      </c>
      <c r="HJ522" s="12">
        <v>2017</v>
      </c>
      <c r="HK522" s="12" t="s">
        <v>320</v>
      </c>
      <c r="HL522" s="12" t="s">
        <v>320</v>
      </c>
      <c r="HM522" s="12"/>
      <c r="HN522" s="12"/>
      <c r="HO522" s="12"/>
      <c r="HP522" s="12" t="s">
        <v>330</v>
      </c>
      <c r="HQ522" s="12" t="s">
        <v>319</v>
      </c>
      <c r="HR522" s="12" t="s">
        <v>319</v>
      </c>
      <c r="HS522" s="12" t="s">
        <v>320</v>
      </c>
      <c r="HT522" s="12" t="s">
        <v>320</v>
      </c>
      <c r="HU522" s="12" t="s">
        <v>319</v>
      </c>
      <c r="HV522" s="12" t="s">
        <v>319</v>
      </c>
      <c r="HW522" s="12" t="s">
        <v>320</v>
      </c>
      <c r="HX522" s="12"/>
      <c r="HY522" s="12"/>
      <c r="HZ522" s="12" t="s">
        <v>363</v>
      </c>
      <c r="IA522" s="12"/>
      <c r="IB522" s="12" t="s">
        <v>396</v>
      </c>
      <c r="IC522" s="12" t="s">
        <v>8908</v>
      </c>
      <c r="ID522" s="12" t="s">
        <v>334</v>
      </c>
      <c r="IE522" s="12" t="s">
        <v>335</v>
      </c>
      <c r="IF522" s="12" t="s">
        <v>320</v>
      </c>
      <c r="IG522" s="12" t="s">
        <v>320</v>
      </c>
      <c r="IH522" s="12" t="s">
        <v>320</v>
      </c>
      <c r="II522" s="12" t="s">
        <v>320</v>
      </c>
      <c r="IJ522" s="12" t="str">
        <f t="shared" si="345"/>
        <v>2. Sensitive</v>
      </c>
      <c r="IK522" s="12">
        <f t="shared" si="346"/>
        <v>4</v>
      </c>
      <c r="IL522" s="12" t="s">
        <v>336</v>
      </c>
      <c r="IM522" s="12" t="s">
        <v>320</v>
      </c>
      <c r="IN522" s="12" t="s">
        <v>320</v>
      </c>
      <c r="IO522" s="12" t="s">
        <v>320</v>
      </c>
      <c r="IP522" s="12" t="s">
        <v>320</v>
      </c>
      <c r="IQ522" s="12" t="str">
        <f t="shared" si="347"/>
        <v>2. Accommodating</v>
      </c>
      <c r="IR522" s="12">
        <f t="shared" si="348"/>
        <v>4</v>
      </c>
      <c r="IS522" s="12" t="s">
        <v>337</v>
      </c>
      <c r="IT522" s="12" t="s">
        <v>320</v>
      </c>
      <c r="IU522" s="12" t="s">
        <v>320</v>
      </c>
      <c r="IV522" s="12" t="s">
        <v>320</v>
      </c>
      <c r="IW522" s="11" t="str">
        <f t="shared" si="349"/>
        <v>2. Sensitive</v>
      </c>
      <c r="IX522" s="12">
        <f t="shared" si="350"/>
        <v>3</v>
      </c>
      <c r="IY522" s="12" t="s">
        <v>338</v>
      </c>
      <c r="IZ522" s="12" t="s">
        <v>457</v>
      </c>
      <c r="JA522" s="12"/>
      <c r="JB522" s="12" t="s">
        <v>433</v>
      </c>
      <c r="JC522" s="12"/>
      <c r="JD522" s="12"/>
      <c r="JE522" s="12" t="s">
        <v>365</v>
      </c>
      <c r="JF522" s="12" t="s">
        <v>8909</v>
      </c>
      <c r="JG522" s="12"/>
      <c r="JH522" s="12" t="s">
        <v>8910</v>
      </c>
      <c r="JI522" s="12" t="s">
        <v>8911</v>
      </c>
      <c r="JJ522" s="12" t="s">
        <v>8912</v>
      </c>
      <c r="JK522" s="12" t="s">
        <v>8913</v>
      </c>
      <c r="JL522" s="12" t="s">
        <v>8914</v>
      </c>
      <c r="JM522" s="12" t="s">
        <v>8915</v>
      </c>
      <c r="JN522" s="12"/>
      <c r="JO522" s="12"/>
      <c r="JP522" s="15">
        <f t="shared" si="351"/>
        <v>221679</v>
      </c>
      <c r="JQ522" s="15">
        <f t="shared" si="352"/>
        <v>320088</v>
      </c>
      <c r="JR522" s="279">
        <f t="shared" si="353"/>
        <v>1.443925676315754</v>
      </c>
      <c r="JS522" s="17">
        <f t="shared" si="354"/>
        <v>0.56344985316606444</v>
      </c>
      <c r="JT522" s="18">
        <f t="shared" si="355"/>
        <v>0.97968058783834444</v>
      </c>
      <c r="JU522" s="280">
        <f t="shared" si="356"/>
        <v>124905</v>
      </c>
      <c r="JV522" s="280">
        <f t="shared" si="357"/>
        <v>313584</v>
      </c>
      <c r="JW522" s="319" t="str">
        <f t="shared" si="358"/>
        <v/>
      </c>
      <c r="JX522" s="15">
        <f t="shared" si="359"/>
        <v>0</v>
      </c>
      <c r="JY522" s="15">
        <f t="shared" si="360"/>
        <v>0</v>
      </c>
      <c r="JZ522" s="19" t="str">
        <f t="shared" si="361"/>
        <v/>
      </c>
      <c r="KA522" s="52" t="str">
        <f t="shared" si="362"/>
        <v/>
      </c>
      <c r="KB522" s="15">
        <f t="shared" si="363"/>
        <v>0</v>
      </c>
      <c r="KC522" s="15">
        <f t="shared" si="364"/>
        <v>0</v>
      </c>
      <c r="KD522" s="20" t="str">
        <f t="shared" si="365"/>
        <v/>
      </c>
      <c r="KE522" s="52">
        <f t="shared" si="366"/>
        <v>1</v>
      </c>
      <c r="KF522" s="15">
        <f t="shared" si="367"/>
        <v>221679</v>
      </c>
      <c r="KG522" s="15">
        <f t="shared" si="368"/>
        <v>320088</v>
      </c>
      <c r="KH522" s="21">
        <f t="shared" si="369"/>
        <v>1.443925676315754</v>
      </c>
      <c r="KI522" s="52" t="str">
        <f t="shared" si="370"/>
        <v/>
      </c>
      <c r="KJ522" s="15">
        <f t="shared" si="371"/>
        <v>0</v>
      </c>
      <c r="KK522" s="15">
        <f t="shared" si="372"/>
        <v>0</v>
      </c>
      <c r="KL522" s="19" t="str">
        <f t="shared" si="373"/>
        <v/>
      </c>
      <c r="KM522" s="52" t="str">
        <f t="shared" si="374"/>
        <v/>
      </c>
      <c r="KN522" s="22">
        <f t="shared" si="375"/>
        <v>0</v>
      </c>
      <c r="KO522" s="22">
        <f t="shared" si="376"/>
        <v>0</v>
      </c>
      <c r="KP522" s="19" t="str">
        <f t="shared" si="377"/>
        <v/>
      </c>
      <c r="KQ522" s="11" t="str">
        <f t="shared" si="378"/>
        <v>2. Sensitive</v>
      </c>
      <c r="KR522" s="11" t="str">
        <f t="shared" si="379"/>
        <v>2. Accommodating</v>
      </c>
      <c r="KS522" s="11" t="str">
        <f t="shared" si="380"/>
        <v>2. Sensitive</v>
      </c>
      <c r="KT522" s="11" t="str">
        <f t="shared" si="381"/>
        <v>It did not develop any specific innovation</v>
      </c>
      <c r="KU522" s="11" t="str">
        <f t="shared" si="382"/>
        <v>Moderate advocacy</v>
      </c>
      <c r="KV522" s="11" t="str">
        <f t="shared" si="383"/>
        <v>It linked and worked with strategic alliances and partners to take tested and effective solutions to scale</v>
      </c>
      <c r="KW522" s="11" t="str">
        <f t="shared" si="384"/>
        <v>Nepal - SAMMAN III</v>
      </c>
      <c r="KX522" s="11" t="str">
        <f t="shared" si="385"/>
        <v>SAMMAN III</v>
      </c>
      <c r="KY522" s="11" t="str">
        <f t="shared" si="386"/>
        <v>Nepal</v>
      </c>
      <c r="KZ522" s="12">
        <v>522</v>
      </c>
    </row>
    <row r="523" spans="1:312" x14ac:dyDescent="0.3">
      <c r="A523" s="12" t="s">
        <v>8647</v>
      </c>
      <c r="B523" s="12" t="s">
        <v>306</v>
      </c>
      <c r="C523" s="12">
        <v>3204</v>
      </c>
      <c r="D523" s="12" t="s">
        <v>8832</v>
      </c>
      <c r="E523" s="277" t="str">
        <f t="shared" si="344"/>
        <v>Nepal</v>
      </c>
      <c r="F523" s="12" t="s">
        <v>8833</v>
      </c>
      <c r="G523" s="12" t="s">
        <v>605</v>
      </c>
      <c r="H523" s="12" t="s">
        <v>380</v>
      </c>
      <c r="I523" s="12" t="s">
        <v>517</v>
      </c>
      <c r="J523" s="281" t="s">
        <v>14578</v>
      </c>
      <c r="K523" s="12"/>
      <c r="L523" s="12"/>
      <c r="M523" s="12"/>
      <c r="N523" s="12"/>
      <c r="O523" s="12"/>
      <c r="P523" s="12"/>
      <c r="Q523" s="12"/>
      <c r="R523" s="12"/>
      <c r="S523" s="12"/>
      <c r="T523" s="12"/>
      <c r="U523" s="12"/>
      <c r="V523" s="12"/>
      <c r="W523" s="12"/>
      <c r="X523" s="12"/>
      <c r="Y523" s="12"/>
      <c r="Z523" s="12"/>
      <c r="AA523" s="12"/>
      <c r="AB523" s="12"/>
      <c r="AC523" s="12"/>
      <c r="AD523" s="12"/>
      <c r="BD523" s="13">
        <v>41671</v>
      </c>
      <c r="BE523" s="13">
        <v>42766</v>
      </c>
      <c r="BF523" s="12"/>
      <c r="BG523" s="12" t="s">
        <v>312</v>
      </c>
      <c r="BH523" s="14">
        <v>790688</v>
      </c>
      <c r="BI523" s="12" t="s">
        <v>8834</v>
      </c>
      <c r="BJ523" s="12" t="s">
        <v>8835</v>
      </c>
      <c r="BK523" s="12" t="s">
        <v>8836</v>
      </c>
      <c r="BL523" s="12"/>
      <c r="BM523" s="12"/>
      <c r="BN523" s="12"/>
      <c r="BO523" s="12" t="s">
        <v>319</v>
      </c>
      <c r="BP523" s="12" t="s">
        <v>320</v>
      </c>
      <c r="BQ523" s="12" t="s">
        <v>319</v>
      </c>
      <c r="BR523" s="12" t="s">
        <v>8837</v>
      </c>
      <c r="BS523" s="12" t="s">
        <v>322</v>
      </c>
      <c r="BT523" s="12" t="s">
        <v>8838</v>
      </c>
      <c r="BU523" s="12" t="s">
        <v>8839</v>
      </c>
      <c r="BV523" s="14">
        <v>10000</v>
      </c>
      <c r="BW523" s="14">
        <v>10000</v>
      </c>
      <c r="BX523" s="14">
        <v>20000</v>
      </c>
      <c r="BY523" s="14">
        <v>62220</v>
      </c>
      <c r="BZ523" s="14">
        <v>59780</v>
      </c>
      <c r="CA523" s="14">
        <v>122000</v>
      </c>
      <c r="CB523" s="12" t="s">
        <v>8840</v>
      </c>
      <c r="CD523" s="14"/>
      <c r="CE523" s="14"/>
      <c r="CF523" s="14"/>
      <c r="CG523" s="14"/>
      <c r="CH523" s="14"/>
      <c r="CI523" s="14"/>
      <c r="CJ523" s="12"/>
      <c r="CK523" s="14"/>
      <c r="CL523" s="16"/>
      <c r="CM523" s="14"/>
      <c r="CN523" s="12"/>
      <c r="CO523" s="14"/>
      <c r="CP523" s="16"/>
      <c r="CQ523" s="14"/>
      <c r="CR523" s="12"/>
      <c r="CS523" s="14"/>
      <c r="CT523" s="16"/>
      <c r="CU523" s="14"/>
      <c r="CV523" s="12"/>
      <c r="CW523" s="14"/>
      <c r="CX523" s="16"/>
      <c r="CY523" s="14"/>
      <c r="CZ523" s="12"/>
      <c r="DA523" s="14"/>
      <c r="DB523" s="16"/>
      <c r="DC523" s="14"/>
      <c r="DD523" s="12"/>
      <c r="DE523" s="14"/>
      <c r="DF523" s="16"/>
      <c r="DG523" s="14"/>
      <c r="DH523" s="12"/>
      <c r="DI523" s="14"/>
      <c r="DJ523" s="16"/>
      <c r="DK523" s="14"/>
      <c r="DL523" s="12"/>
      <c r="DM523" s="14"/>
      <c r="DN523" s="16"/>
      <c r="DO523" s="14"/>
      <c r="DP523" s="12"/>
      <c r="DQ523" s="14"/>
      <c r="DR523" s="16"/>
      <c r="DS523" s="14"/>
      <c r="DT523" s="12"/>
      <c r="DU523" s="14"/>
      <c r="DV523" s="16"/>
      <c r="DW523" s="14"/>
      <c r="DX523" s="12"/>
      <c r="DY523" s="14"/>
      <c r="DZ523" s="16"/>
      <c r="EA523" s="14"/>
      <c r="EB523" s="12"/>
      <c r="EC523" s="14"/>
      <c r="ED523" s="16"/>
      <c r="EE523" s="14"/>
      <c r="EF523" s="12"/>
      <c r="EG523" s="12"/>
      <c r="EH523" s="14"/>
      <c r="EI523" s="16"/>
      <c r="EJ523" s="14"/>
      <c r="EK523" s="14">
        <v>4946</v>
      </c>
      <c r="EL523" s="14">
        <v>2361</v>
      </c>
      <c r="EM523" s="14">
        <v>7307</v>
      </c>
      <c r="EN523" s="14">
        <v>25405</v>
      </c>
      <c r="EO523" s="14">
        <v>8826</v>
      </c>
      <c r="EP523" s="14">
        <v>34231</v>
      </c>
      <c r="EQ523" s="12"/>
      <c r="ER523" s="14"/>
      <c r="ES523" s="16"/>
      <c r="ET523" s="14"/>
      <c r="EU523" s="12"/>
      <c r="EV523" s="14"/>
      <c r="EW523" s="16"/>
      <c r="EX523" s="14"/>
      <c r="EY523" s="12"/>
      <c r="EZ523" s="14"/>
      <c r="FA523" s="16"/>
      <c r="FB523" s="14"/>
      <c r="FC523" s="12"/>
      <c r="FD523" s="14"/>
      <c r="FE523" s="16"/>
      <c r="FF523" s="14"/>
      <c r="FG523" s="12"/>
      <c r="FH523" s="14"/>
      <c r="FI523" s="16"/>
      <c r="FJ523" s="14"/>
      <c r="FK523" s="12"/>
      <c r="FL523" s="14"/>
      <c r="FM523" s="16"/>
      <c r="FN523" s="14"/>
      <c r="FO523" s="12"/>
      <c r="FP523" s="14"/>
      <c r="FQ523" s="16"/>
      <c r="FR523" s="14"/>
      <c r="FS523" s="12" t="s">
        <v>320</v>
      </c>
      <c r="FT523" s="14">
        <v>1347</v>
      </c>
      <c r="FU523" s="16">
        <v>0.43</v>
      </c>
      <c r="FV523" s="14">
        <v>6362</v>
      </c>
      <c r="FW523" s="11" t="s">
        <v>320</v>
      </c>
      <c r="FX523" s="14">
        <v>1801</v>
      </c>
      <c r="FY523" s="16">
        <v>0.56999999999999995</v>
      </c>
      <c r="FZ523" s="14">
        <v>7599</v>
      </c>
      <c r="GA523" s="12"/>
      <c r="GB523" s="14"/>
      <c r="GC523" s="16"/>
      <c r="GD523" s="14"/>
      <c r="GE523" s="12"/>
      <c r="GF523" s="14"/>
      <c r="GG523" s="16"/>
      <c r="GH523" s="14"/>
      <c r="GI523" s="12"/>
      <c r="GJ523" s="14"/>
      <c r="GK523" s="16"/>
      <c r="GL523" s="14"/>
      <c r="GM523" s="11" t="s">
        <v>320</v>
      </c>
      <c r="GN523" s="14">
        <v>4159</v>
      </c>
      <c r="GO523" s="16">
        <v>0.38</v>
      </c>
      <c r="GP523" s="14">
        <v>20370</v>
      </c>
      <c r="GQ523" s="12"/>
      <c r="GR523" s="14"/>
      <c r="GS523" s="16"/>
      <c r="GT523" s="14"/>
      <c r="GU523" s="12"/>
      <c r="GV523" s="14"/>
      <c r="GW523" s="16"/>
      <c r="GX523" s="14"/>
      <c r="GY523" s="12"/>
      <c r="GZ523" s="14"/>
      <c r="HA523" s="16"/>
      <c r="HB523" s="14"/>
      <c r="HC523" s="12"/>
      <c r="HD523" s="12"/>
      <c r="HE523" s="14"/>
      <c r="HF523" s="16"/>
      <c r="HG523" s="14"/>
      <c r="HH523" s="12" t="s">
        <v>320</v>
      </c>
      <c r="HI523" s="12" t="s">
        <v>1175</v>
      </c>
      <c r="HJ523" s="12">
        <v>2017</v>
      </c>
      <c r="HK523" s="12"/>
      <c r="HL523" s="12"/>
      <c r="HM523" s="12"/>
      <c r="HN523" s="12"/>
      <c r="HO523" s="12"/>
      <c r="HP523" s="12" t="s">
        <v>453</v>
      </c>
      <c r="HQ523" s="12" t="s">
        <v>319</v>
      </c>
      <c r="HR523" s="12" t="s">
        <v>319</v>
      </c>
      <c r="HS523" s="12" t="s">
        <v>319</v>
      </c>
      <c r="HT523" s="12" t="s">
        <v>320</v>
      </c>
      <c r="HU523" s="12" t="s">
        <v>319</v>
      </c>
      <c r="HV523" s="12" t="s">
        <v>319</v>
      </c>
      <c r="HW523" s="12" t="s">
        <v>319</v>
      </c>
      <c r="HX523" s="12" t="s">
        <v>319</v>
      </c>
      <c r="HY523" s="12"/>
      <c r="HZ523" s="12" t="s">
        <v>363</v>
      </c>
      <c r="IA523" s="12"/>
      <c r="IB523" s="12" t="s">
        <v>333</v>
      </c>
      <c r="IC523" s="12"/>
      <c r="ID523" s="12" t="s">
        <v>334</v>
      </c>
      <c r="IE523" s="12" t="s">
        <v>335</v>
      </c>
      <c r="IF523" s="12" t="s">
        <v>320</v>
      </c>
      <c r="IG523" s="12" t="s">
        <v>320</v>
      </c>
      <c r="IH523" s="12" t="s">
        <v>320</v>
      </c>
      <c r="II523" s="12" t="s">
        <v>320</v>
      </c>
      <c r="IJ523" s="12" t="str">
        <f t="shared" si="345"/>
        <v>2. Sensitive</v>
      </c>
      <c r="IK523" s="12">
        <f t="shared" si="346"/>
        <v>4</v>
      </c>
      <c r="IL523" s="11" t="s">
        <v>621</v>
      </c>
      <c r="IM523" s="12" t="s">
        <v>320</v>
      </c>
      <c r="IN523" s="12" t="s">
        <v>320</v>
      </c>
      <c r="IO523" s="12" t="s">
        <v>320</v>
      </c>
      <c r="IP523" s="12" t="s">
        <v>320</v>
      </c>
      <c r="IQ523" s="12" t="str">
        <f t="shared" si="347"/>
        <v>4. Transformational</v>
      </c>
      <c r="IR523" s="12">
        <f t="shared" si="348"/>
        <v>4</v>
      </c>
      <c r="IS523" s="12" t="s">
        <v>456</v>
      </c>
      <c r="IT523" s="12" t="s">
        <v>320</v>
      </c>
      <c r="IU523" s="12" t="s">
        <v>320</v>
      </c>
      <c r="IV523" s="12" t="s">
        <v>320</v>
      </c>
      <c r="IW523" s="11" t="str">
        <f t="shared" si="349"/>
        <v>0. Harmful</v>
      </c>
      <c r="IX523" s="12">
        <f t="shared" si="350"/>
        <v>3</v>
      </c>
      <c r="IY523" s="12" t="s">
        <v>338</v>
      </c>
      <c r="IZ523" s="12" t="s">
        <v>457</v>
      </c>
      <c r="JA523" s="12">
        <v>2</v>
      </c>
      <c r="JB523" s="12" t="s">
        <v>433</v>
      </c>
      <c r="JC523" s="12"/>
      <c r="JD523" s="12"/>
      <c r="JE523" s="12" t="s">
        <v>365</v>
      </c>
      <c r="JF523" s="12"/>
      <c r="JG523" s="12"/>
      <c r="JH523" s="12" t="s">
        <v>8841</v>
      </c>
      <c r="JI523" s="12" t="s">
        <v>8842</v>
      </c>
      <c r="JJ523" s="12" t="s">
        <v>8843</v>
      </c>
      <c r="JK523" s="12" t="s">
        <v>8844</v>
      </c>
      <c r="JL523" s="12" t="s">
        <v>8845</v>
      </c>
      <c r="JM523" s="12" t="s">
        <v>8846</v>
      </c>
      <c r="JN523" s="12"/>
      <c r="JO523" s="12"/>
      <c r="JP523" s="15">
        <f t="shared" si="351"/>
        <v>7307</v>
      </c>
      <c r="JQ523" s="15">
        <f t="shared" si="352"/>
        <v>34231</v>
      </c>
      <c r="JR523" s="279">
        <f t="shared" si="353"/>
        <v>4.6846859176132476</v>
      </c>
      <c r="JS523" s="17">
        <f t="shared" si="354"/>
        <v>0.67688517859586694</v>
      </c>
      <c r="JT523" s="18">
        <f t="shared" si="355"/>
        <v>0.74216353597616191</v>
      </c>
      <c r="JU523" s="280">
        <f t="shared" si="356"/>
        <v>4946</v>
      </c>
      <c r="JV523" s="280">
        <f t="shared" si="357"/>
        <v>25405</v>
      </c>
      <c r="JW523" s="319" t="str">
        <f t="shared" si="358"/>
        <v/>
      </c>
      <c r="JX523" s="15">
        <f t="shared" si="359"/>
        <v>0</v>
      </c>
      <c r="JY523" s="15">
        <f t="shared" si="360"/>
        <v>0</v>
      </c>
      <c r="JZ523" s="19" t="str">
        <f t="shared" si="361"/>
        <v/>
      </c>
      <c r="KA523" s="52" t="str">
        <f t="shared" si="362"/>
        <v/>
      </c>
      <c r="KB523" s="15">
        <f t="shared" si="363"/>
        <v>0</v>
      </c>
      <c r="KC523" s="15">
        <f t="shared" si="364"/>
        <v>0</v>
      </c>
      <c r="KD523" s="20" t="str">
        <f t="shared" si="365"/>
        <v/>
      </c>
      <c r="KE523" s="52" t="str">
        <f t="shared" si="366"/>
        <v/>
      </c>
      <c r="KF523" s="15">
        <f t="shared" si="367"/>
        <v>0</v>
      </c>
      <c r="KG523" s="15">
        <f t="shared" si="368"/>
        <v>0</v>
      </c>
      <c r="KH523" s="21" t="str">
        <f t="shared" si="369"/>
        <v/>
      </c>
      <c r="KI523" s="52">
        <f t="shared" si="370"/>
        <v>1</v>
      </c>
      <c r="KJ523" s="15">
        <f t="shared" si="371"/>
        <v>1347</v>
      </c>
      <c r="KK523" s="15">
        <f t="shared" si="372"/>
        <v>6362</v>
      </c>
      <c r="KL523" s="19">
        <f t="shared" si="373"/>
        <v>4.7230883444691907</v>
      </c>
      <c r="KM523" s="52" t="str">
        <f t="shared" si="374"/>
        <v/>
      </c>
      <c r="KN523" s="22">
        <f t="shared" si="375"/>
        <v>0</v>
      </c>
      <c r="KO523" s="22">
        <f t="shared" si="376"/>
        <v>0</v>
      </c>
      <c r="KP523" s="19" t="str">
        <f t="shared" si="377"/>
        <v/>
      </c>
      <c r="KQ523" s="11" t="str">
        <f t="shared" si="378"/>
        <v>2. Sensitive</v>
      </c>
      <c r="KR523" s="11" t="str">
        <f t="shared" si="379"/>
        <v>4. Transformational</v>
      </c>
      <c r="KS523" s="11" t="str">
        <f t="shared" si="380"/>
        <v>0. Harmful</v>
      </c>
      <c r="KT523" s="11" t="str">
        <f t="shared" si="381"/>
        <v>It did not develop any specific innovation</v>
      </c>
      <c r="KU523" s="11" t="str">
        <f t="shared" si="382"/>
        <v>Intensive advocacy</v>
      </c>
      <c r="KV523" s="11" t="str">
        <f t="shared" si="383"/>
        <v>It did not take tested solutions to scale</v>
      </c>
      <c r="KW523" s="11" t="str">
        <f t="shared" si="384"/>
        <v>Nepal - Sankalpa- Collaborative Committement for Participatory and Gender-tranformative budget</v>
      </c>
      <c r="KX523" s="11" t="str">
        <f t="shared" si="385"/>
        <v>Sankalpa- Collaborative Committement for Participatory and Gender-tranformative budget</v>
      </c>
      <c r="KY523" s="11" t="str">
        <f t="shared" si="386"/>
        <v>Nepal</v>
      </c>
      <c r="KZ523" s="12">
        <v>523</v>
      </c>
    </row>
    <row r="524" spans="1:312" x14ac:dyDescent="0.3">
      <c r="A524" s="12" t="s">
        <v>8647</v>
      </c>
      <c r="B524" s="12" t="s">
        <v>306</v>
      </c>
      <c r="C524" s="12">
        <v>3193</v>
      </c>
      <c r="D524" s="12" t="s">
        <v>8794</v>
      </c>
      <c r="E524" s="277" t="str">
        <f t="shared" si="344"/>
        <v>Nepal</v>
      </c>
      <c r="F524" s="12" t="s">
        <v>8795</v>
      </c>
      <c r="G524" s="12" t="s">
        <v>425</v>
      </c>
      <c r="H524" s="12" t="s">
        <v>554</v>
      </c>
      <c r="I524" s="12" t="s">
        <v>384</v>
      </c>
      <c r="J524" s="281" t="s">
        <v>8796</v>
      </c>
      <c r="K524" s="12"/>
      <c r="L524" s="12"/>
      <c r="M524" s="12"/>
      <c r="N524" s="12"/>
      <c r="O524" s="12"/>
      <c r="P524" s="12"/>
      <c r="Q524" s="12"/>
      <c r="R524" s="12"/>
      <c r="S524" s="12"/>
      <c r="T524" s="12"/>
      <c r="U524" s="12"/>
      <c r="V524" s="12"/>
      <c r="W524" s="12"/>
      <c r="X524" s="12"/>
      <c r="Y524" s="12"/>
      <c r="Z524" s="12"/>
      <c r="AA524" s="12"/>
      <c r="AB524" s="12"/>
      <c r="AC524" s="12"/>
      <c r="AD524" s="12"/>
      <c r="BD524" s="13">
        <v>42149</v>
      </c>
      <c r="BE524" s="13">
        <v>42855</v>
      </c>
      <c r="BF524" s="12"/>
      <c r="BG524" s="12" t="s">
        <v>908</v>
      </c>
      <c r="BH524" s="14">
        <v>1600331</v>
      </c>
      <c r="BI524" s="12" t="s">
        <v>8660</v>
      </c>
      <c r="BJ524" s="12" t="s">
        <v>8797</v>
      </c>
      <c r="BK524" s="12" t="s">
        <v>8661</v>
      </c>
      <c r="BL524" s="12" t="s">
        <v>8798</v>
      </c>
      <c r="BM524" s="12" t="s">
        <v>8799</v>
      </c>
      <c r="BN524" s="12" t="s">
        <v>8800</v>
      </c>
      <c r="BO524" s="12" t="s">
        <v>320</v>
      </c>
      <c r="BP524" s="12" t="s">
        <v>319</v>
      </c>
      <c r="BQ524" s="12" t="s">
        <v>319</v>
      </c>
      <c r="BR524" s="12" t="s">
        <v>8801</v>
      </c>
      <c r="BS524" s="12" t="s">
        <v>357</v>
      </c>
      <c r="BT524" s="12" t="s">
        <v>8802</v>
      </c>
      <c r="BU524" s="12" t="s">
        <v>8803</v>
      </c>
      <c r="BV524" s="14">
        <v>26723</v>
      </c>
      <c r="BW524" s="14">
        <v>25610</v>
      </c>
      <c r="BX524" s="14">
        <v>52333</v>
      </c>
      <c r="BY524" s="14">
        <v>0</v>
      </c>
      <c r="BZ524" s="14">
        <v>0</v>
      </c>
      <c r="CA524" s="14">
        <v>0</v>
      </c>
      <c r="CB524" s="12"/>
      <c r="CD524" s="14">
        <v>4176</v>
      </c>
      <c r="CE524" s="14">
        <v>4188</v>
      </c>
      <c r="CF524" s="14">
        <v>8364</v>
      </c>
      <c r="CG524" s="14"/>
      <c r="CH524" s="14"/>
      <c r="CI524" s="14"/>
      <c r="CJ524" s="12"/>
      <c r="CK524" s="14"/>
      <c r="CL524" s="16"/>
      <c r="CM524" s="14"/>
      <c r="CN524" s="12"/>
      <c r="CO524" s="14"/>
      <c r="CP524" s="16"/>
      <c r="CQ524" s="14"/>
      <c r="CR524" s="12"/>
      <c r="CS524" s="14"/>
      <c r="CT524" s="16"/>
      <c r="CU524" s="14"/>
      <c r="CV524" s="12" t="s">
        <v>319</v>
      </c>
      <c r="CW524" s="14"/>
      <c r="CX524" s="16"/>
      <c r="CY524" s="14"/>
      <c r="CZ524" s="12"/>
      <c r="DA524" s="14"/>
      <c r="DB524" s="16"/>
      <c r="DC524" s="14"/>
      <c r="DD524" s="12"/>
      <c r="DE524" s="14"/>
      <c r="DF524" s="16"/>
      <c r="DG524" s="14"/>
      <c r="DH524" s="12"/>
      <c r="DI524" s="14"/>
      <c r="DJ524" s="16"/>
      <c r="DK524" s="14"/>
      <c r="DL524" s="11" t="s">
        <v>320</v>
      </c>
      <c r="DM524" s="14">
        <v>8364</v>
      </c>
      <c r="DN524" s="16">
        <v>0.49928263988522198</v>
      </c>
      <c r="DO524" s="14"/>
      <c r="DP524" s="12"/>
      <c r="DQ524" s="14"/>
      <c r="DR524" s="16"/>
      <c r="DS524" s="14"/>
      <c r="DT524" s="12"/>
      <c r="DU524" s="14"/>
      <c r="DV524" s="16"/>
      <c r="DW524" s="14"/>
      <c r="DX524" s="12"/>
      <c r="DY524" s="14"/>
      <c r="DZ524" s="16"/>
      <c r="EA524" s="14"/>
      <c r="EB524" s="12"/>
      <c r="EC524" s="14"/>
      <c r="ED524" s="16"/>
      <c r="EE524" s="14"/>
      <c r="EF524" s="12"/>
      <c r="EG524" s="12"/>
      <c r="EH524" s="14"/>
      <c r="EI524" s="16"/>
      <c r="EJ524" s="14"/>
      <c r="EK524" s="14"/>
      <c r="EL524" s="14"/>
      <c r="EM524" s="14"/>
      <c r="EN524" s="14"/>
      <c r="EO524" s="14"/>
      <c r="EP524" s="14"/>
      <c r="EQ524" s="12" t="s">
        <v>319</v>
      </c>
      <c r="ER524" s="14"/>
      <c r="ES524" s="16"/>
      <c r="ET524" s="14"/>
      <c r="EU524" s="12"/>
      <c r="EV524" s="14"/>
      <c r="EW524" s="16"/>
      <c r="EX524" s="14"/>
      <c r="EY524" s="12"/>
      <c r="EZ524" s="14"/>
      <c r="FA524" s="16"/>
      <c r="FB524" s="14"/>
      <c r="FC524" s="12"/>
      <c r="FD524" s="14"/>
      <c r="FE524" s="16"/>
      <c r="FF524" s="14"/>
      <c r="FG524" s="12"/>
      <c r="FH524" s="14"/>
      <c r="FI524" s="16"/>
      <c r="FJ524" s="14"/>
      <c r="FK524" s="12"/>
      <c r="FL524" s="14"/>
      <c r="FM524" s="16"/>
      <c r="FN524" s="14"/>
      <c r="FO524" s="12" t="s">
        <v>319</v>
      </c>
      <c r="FP524" s="14"/>
      <c r="FQ524" s="16"/>
      <c r="FR524" s="14"/>
      <c r="FS524" s="12"/>
      <c r="FT524" s="14"/>
      <c r="FU524" s="16"/>
      <c r="FV524" s="14"/>
      <c r="FW524" s="12"/>
      <c r="FX524" s="14"/>
      <c r="FY524" s="16"/>
      <c r="FZ524" s="14"/>
      <c r="GA524" s="12"/>
      <c r="GB524" s="14"/>
      <c r="GC524" s="16"/>
      <c r="GD524" s="14"/>
      <c r="GE524" s="12"/>
      <c r="GF524" s="14"/>
      <c r="GG524" s="16"/>
      <c r="GH524" s="14"/>
      <c r="GI524" s="12"/>
      <c r="GJ524" s="14"/>
      <c r="GK524" s="16"/>
      <c r="GL524" s="14"/>
      <c r="GM524" s="12"/>
      <c r="GN524" s="14"/>
      <c r="GO524" s="16"/>
      <c r="GP524" s="14"/>
      <c r="GQ524" s="12"/>
      <c r="GR524" s="14"/>
      <c r="GS524" s="16"/>
      <c r="GT524" s="14"/>
      <c r="GU524" s="12"/>
      <c r="GV524" s="14"/>
      <c r="GW524" s="16"/>
      <c r="GX524" s="14"/>
      <c r="GY524" s="12"/>
      <c r="GZ524" s="14"/>
      <c r="HA524" s="16"/>
      <c r="HB524" s="14"/>
      <c r="HC524" s="12"/>
      <c r="HD524" s="12"/>
      <c r="HE524" s="14"/>
      <c r="HF524" s="16"/>
      <c r="HG524" s="14"/>
      <c r="HH524" s="12" t="s">
        <v>319</v>
      </c>
      <c r="HI524" s="12"/>
      <c r="HJ524" s="12"/>
      <c r="HK524" s="12"/>
      <c r="HL524" s="12" t="s">
        <v>320</v>
      </c>
      <c r="HM524" s="12" t="s">
        <v>327</v>
      </c>
      <c r="HN524" s="12">
        <v>2017</v>
      </c>
      <c r="HO524" s="12"/>
      <c r="HP524" s="12" t="s">
        <v>418</v>
      </c>
      <c r="HQ524" s="12"/>
      <c r="HR524" s="12"/>
      <c r="HS524" s="12"/>
      <c r="HT524" s="12"/>
      <c r="HU524" s="12"/>
      <c r="HV524" s="12"/>
      <c r="HW524" s="12"/>
      <c r="HX524" s="12"/>
      <c r="HY524" s="12"/>
      <c r="HZ524" s="12" t="s">
        <v>394</v>
      </c>
      <c r="IA524" s="12" t="s">
        <v>8804</v>
      </c>
      <c r="IB524" s="12" t="s">
        <v>396</v>
      </c>
      <c r="IC524" s="12" t="s">
        <v>8805</v>
      </c>
      <c r="ID524" s="12" t="s">
        <v>477</v>
      </c>
      <c r="IE524" s="12" t="s">
        <v>335</v>
      </c>
      <c r="IF524" s="12" t="s">
        <v>320</v>
      </c>
      <c r="IG524" s="12" t="s">
        <v>320</v>
      </c>
      <c r="IH524" s="12" t="s">
        <v>320</v>
      </c>
      <c r="II524" s="12" t="s">
        <v>320</v>
      </c>
      <c r="IJ524" s="12" t="str">
        <f t="shared" si="345"/>
        <v>2. Sensitive</v>
      </c>
      <c r="IK524" s="12">
        <f t="shared" si="346"/>
        <v>4</v>
      </c>
      <c r="IL524" s="12" t="s">
        <v>336</v>
      </c>
      <c r="IM524" s="12" t="s">
        <v>320</v>
      </c>
      <c r="IN524" s="12" t="s">
        <v>320</v>
      </c>
      <c r="IO524" s="12" t="s">
        <v>320</v>
      </c>
      <c r="IP524" s="12" t="s">
        <v>320</v>
      </c>
      <c r="IQ524" s="12" t="str">
        <f t="shared" si="347"/>
        <v>2. Accommodating</v>
      </c>
      <c r="IR524" s="12">
        <f t="shared" si="348"/>
        <v>4</v>
      </c>
      <c r="IS524" s="12" t="s">
        <v>337</v>
      </c>
      <c r="IT524" s="12" t="s">
        <v>320</v>
      </c>
      <c r="IU524" s="12" t="s">
        <v>320</v>
      </c>
      <c r="IV524" s="12" t="s">
        <v>320</v>
      </c>
      <c r="IW524" s="11" t="str">
        <f t="shared" si="349"/>
        <v>2. Sensitive</v>
      </c>
      <c r="IX524" s="12">
        <f t="shared" si="350"/>
        <v>3</v>
      </c>
      <c r="IY524" s="12" t="s">
        <v>758</v>
      </c>
      <c r="IZ524" s="12" t="s">
        <v>527</v>
      </c>
      <c r="JA524" s="12">
        <v>3</v>
      </c>
      <c r="JB524" s="12" t="s">
        <v>433</v>
      </c>
      <c r="JC524" s="12"/>
      <c r="JD524" s="12"/>
      <c r="JE524" s="12" t="s">
        <v>340</v>
      </c>
      <c r="JF524" s="12" t="s">
        <v>8806</v>
      </c>
      <c r="JG524" s="12"/>
      <c r="JH524" s="12" t="s">
        <v>8807</v>
      </c>
      <c r="JI524" s="12" t="s">
        <v>8808</v>
      </c>
      <c r="JJ524" s="12" t="s">
        <v>8809</v>
      </c>
      <c r="JK524" s="12" t="s">
        <v>8810</v>
      </c>
      <c r="JL524" s="12" t="s">
        <v>8811</v>
      </c>
      <c r="JM524" s="12" t="s">
        <v>8812</v>
      </c>
      <c r="JN524" s="12"/>
      <c r="JO524" s="12" t="s">
        <v>8813</v>
      </c>
      <c r="JP524" s="15">
        <f t="shared" si="351"/>
        <v>8364</v>
      </c>
      <c r="JQ524" s="15">
        <f t="shared" si="352"/>
        <v>0</v>
      </c>
      <c r="JR524" s="279">
        <f t="shared" si="353"/>
        <v>0</v>
      </c>
      <c r="JS524" s="17">
        <f t="shared" si="354"/>
        <v>0.49928263988522237</v>
      </c>
      <c r="JT524" s="18" t="str">
        <f t="shared" si="355"/>
        <v/>
      </c>
      <c r="JU524" s="280">
        <f t="shared" si="356"/>
        <v>4176</v>
      </c>
      <c r="JV524" s="280">
        <f t="shared" si="357"/>
        <v>0</v>
      </c>
      <c r="JW524" s="319">
        <f t="shared" si="358"/>
        <v>1</v>
      </c>
      <c r="JX524" s="15">
        <f t="shared" si="359"/>
        <v>8364</v>
      </c>
      <c r="JY524" s="15">
        <f t="shared" si="360"/>
        <v>0</v>
      </c>
      <c r="JZ524" s="19">
        <f t="shared" si="361"/>
        <v>0</v>
      </c>
      <c r="KA524" s="52">
        <f t="shared" si="362"/>
        <v>1</v>
      </c>
      <c r="KB524" s="15">
        <f t="shared" si="363"/>
        <v>8364</v>
      </c>
      <c r="KC524" s="15">
        <f t="shared" si="364"/>
        <v>0</v>
      </c>
      <c r="KD524" s="20">
        <f t="shared" si="365"/>
        <v>0</v>
      </c>
      <c r="KE524" s="52" t="str">
        <f t="shared" si="366"/>
        <v/>
      </c>
      <c r="KF524" s="15">
        <f t="shared" si="367"/>
        <v>0</v>
      </c>
      <c r="KG524" s="15">
        <f t="shared" si="368"/>
        <v>0</v>
      </c>
      <c r="KH524" s="21" t="str">
        <f t="shared" si="369"/>
        <v/>
      </c>
      <c r="KI524" s="52" t="str">
        <f t="shared" si="370"/>
        <v/>
      </c>
      <c r="KJ524" s="15">
        <f t="shared" si="371"/>
        <v>0</v>
      </c>
      <c r="KK524" s="15">
        <f t="shared" si="372"/>
        <v>0</v>
      </c>
      <c r="KL524" s="19" t="str">
        <f t="shared" si="373"/>
        <v/>
      </c>
      <c r="KM524" s="52" t="str">
        <f t="shared" si="374"/>
        <v/>
      </c>
      <c r="KN524" s="22">
        <f t="shared" si="375"/>
        <v>0</v>
      </c>
      <c r="KO524" s="22">
        <f t="shared" si="376"/>
        <v>0</v>
      </c>
      <c r="KP524" s="19" t="str">
        <f t="shared" si="377"/>
        <v/>
      </c>
      <c r="KQ524" s="11" t="str">
        <f t="shared" si="378"/>
        <v>2. Sensitive</v>
      </c>
      <c r="KR524" s="11" t="str">
        <f t="shared" si="379"/>
        <v>2. Accommodating</v>
      </c>
      <c r="KS524" s="11" t="str">
        <f t="shared" si="380"/>
        <v>2. Sensitive</v>
      </c>
      <c r="KT524" s="11" t="str">
        <f t="shared" si="381"/>
        <v>It tested new ways for fighting poverty, but did not measure results of innovation</v>
      </c>
      <c r="KU524" s="11" t="str">
        <f t="shared" si="382"/>
        <v>Little or no advocacy</v>
      </c>
      <c r="KV524" s="11" t="str">
        <f t="shared" si="383"/>
        <v>It linked and worked with strategic alliances and partners to take tested and effective solutions to scale</v>
      </c>
      <c r="KW524" s="11" t="str">
        <f t="shared" si="384"/>
        <v>Nepal - SHO Livelihood</v>
      </c>
      <c r="KX524" s="11" t="str">
        <f t="shared" si="385"/>
        <v>SHO Livelihood</v>
      </c>
      <c r="KY524" s="11" t="str">
        <f t="shared" si="386"/>
        <v>Nepal</v>
      </c>
      <c r="KZ524" s="12">
        <v>524</v>
      </c>
    </row>
    <row r="525" spans="1:312" x14ac:dyDescent="0.3">
      <c r="A525" s="12" t="s">
        <v>8647</v>
      </c>
      <c r="B525" s="12" t="s">
        <v>306</v>
      </c>
      <c r="C525" s="12"/>
      <c r="D525" s="12" t="s">
        <v>8916</v>
      </c>
      <c r="E525" s="277" t="str">
        <f t="shared" si="344"/>
        <v>Nepal</v>
      </c>
      <c r="F525" s="12" t="s">
        <v>8917</v>
      </c>
      <c r="G525" s="12" t="s">
        <v>488</v>
      </c>
      <c r="H525" s="12" t="s">
        <v>310</v>
      </c>
      <c r="I525" s="12" t="s">
        <v>506</v>
      </c>
      <c r="J525" s="281" t="s">
        <v>9230</v>
      </c>
      <c r="K525" s="12"/>
      <c r="L525" s="12"/>
      <c r="M525" s="12"/>
      <c r="N525" s="12"/>
      <c r="O525" s="12"/>
      <c r="P525" s="12"/>
      <c r="Q525" s="12"/>
      <c r="R525" s="12"/>
      <c r="S525" s="12"/>
      <c r="T525" s="12"/>
      <c r="U525" s="12"/>
      <c r="V525" s="12"/>
      <c r="W525" s="12"/>
      <c r="X525" s="12"/>
      <c r="Y525" s="12"/>
      <c r="Z525" s="12"/>
      <c r="AA525" s="12"/>
      <c r="AB525" s="12"/>
      <c r="AC525" s="12"/>
      <c r="AD525" s="12"/>
      <c r="BD525" s="13">
        <v>42647</v>
      </c>
      <c r="BE525" s="13">
        <v>43741</v>
      </c>
      <c r="BF525" s="12"/>
      <c r="BG525" s="12" t="s">
        <v>609</v>
      </c>
      <c r="BH525" s="14">
        <v>2376000</v>
      </c>
      <c r="BI525" s="12" t="s">
        <v>8918</v>
      </c>
      <c r="BJ525" s="12" t="s">
        <v>751</v>
      </c>
      <c r="BK525" s="12" t="s">
        <v>8919</v>
      </c>
      <c r="BL525" s="12" t="s">
        <v>8920</v>
      </c>
      <c r="BM525" s="12" t="s">
        <v>4694</v>
      </c>
      <c r="BN525" s="12" t="s">
        <v>8921</v>
      </c>
      <c r="BO525" s="12" t="s">
        <v>319</v>
      </c>
      <c r="BP525" s="12" t="s">
        <v>320</v>
      </c>
      <c r="BQ525" s="12" t="s">
        <v>319</v>
      </c>
      <c r="BR525" s="12" t="s">
        <v>8922</v>
      </c>
      <c r="BS525" s="12" t="s">
        <v>357</v>
      </c>
      <c r="BT525" s="12" t="s">
        <v>8923</v>
      </c>
      <c r="BU525" s="12" t="s">
        <v>8924</v>
      </c>
      <c r="BV525" s="14">
        <v>13630</v>
      </c>
      <c r="BW525" s="14">
        <v>11693</v>
      </c>
      <c r="BX525" s="14">
        <v>25323</v>
      </c>
      <c r="BY525" s="14">
        <v>36942</v>
      </c>
      <c r="BZ525" s="14">
        <v>27500</v>
      </c>
      <c r="CA525" s="14">
        <v>64442</v>
      </c>
      <c r="CB525" s="12" t="s">
        <v>8925</v>
      </c>
      <c r="CD525" s="14"/>
      <c r="CE525" s="14"/>
      <c r="CF525" s="14"/>
      <c r="CG525" s="14"/>
      <c r="CH525" s="14"/>
      <c r="CI525" s="14"/>
      <c r="CJ525" s="12"/>
      <c r="CK525" s="14"/>
      <c r="CL525" s="16"/>
      <c r="CM525" s="14"/>
      <c r="CN525" s="12"/>
      <c r="CO525" s="14"/>
      <c r="CP525" s="16"/>
      <c r="CQ525" s="14"/>
      <c r="CR525" s="12"/>
      <c r="CS525" s="14"/>
      <c r="CT525" s="16"/>
      <c r="CU525" s="14"/>
      <c r="CV525" s="12"/>
      <c r="CW525" s="14"/>
      <c r="CX525" s="16"/>
      <c r="CY525" s="14"/>
      <c r="CZ525" s="12"/>
      <c r="DA525" s="14"/>
      <c r="DB525" s="16"/>
      <c r="DC525" s="14"/>
      <c r="DD525" s="12"/>
      <c r="DE525" s="14"/>
      <c r="DF525" s="16"/>
      <c r="DG525" s="14"/>
      <c r="DH525" s="12"/>
      <c r="DI525" s="14"/>
      <c r="DJ525" s="16"/>
      <c r="DK525" s="14"/>
      <c r="DL525" s="12"/>
      <c r="DM525" s="14"/>
      <c r="DN525" s="16"/>
      <c r="DO525" s="14"/>
      <c r="DP525" s="12"/>
      <c r="DQ525" s="14"/>
      <c r="DR525" s="16"/>
      <c r="DS525" s="14"/>
      <c r="DT525" s="12"/>
      <c r="DU525" s="14"/>
      <c r="DV525" s="16"/>
      <c r="DW525" s="14"/>
      <c r="DX525" s="12"/>
      <c r="DY525" s="14"/>
      <c r="DZ525" s="16"/>
      <c r="EA525" s="14"/>
      <c r="EB525" s="12"/>
      <c r="EC525" s="14"/>
      <c r="ED525" s="16"/>
      <c r="EE525" s="14"/>
      <c r="EF525" s="12"/>
      <c r="EG525" s="12"/>
      <c r="EH525" s="14"/>
      <c r="EI525" s="16"/>
      <c r="EJ525" s="14"/>
      <c r="EK525" s="14"/>
      <c r="EL525" s="14"/>
      <c r="EM525" s="14"/>
      <c r="EN525" s="14"/>
      <c r="EO525" s="14"/>
      <c r="EP525" s="14"/>
      <c r="EQ525" s="12" t="s">
        <v>319</v>
      </c>
      <c r="ER525" s="14"/>
      <c r="ES525" s="16"/>
      <c r="ET525" s="14"/>
      <c r="EU525" s="11" t="s">
        <v>319</v>
      </c>
      <c r="EV525" s="14"/>
      <c r="EW525" s="16"/>
      <c r="EX525" s="14"/>
      <c r="EY525" s="12" t="s">
        <v>319</v>
      </c>
      <c r="EZ525" s="14"/>
      <c r="FA525" s="16"/>
      <c r="FB525" s="14"/>
      <c r="FC525" s="12" t="s">
        <v>319</v>
      </c>
      <c r="FD525" s="14"/>
      <c r="FE525" s="16"/>
      <c r="FF525" s="14"/>
      <c r="FG525" s="12" t="s">
        <v>319</v>
      </c>
      <c r="FH525" s="14"/>
      <c r="FI525" s="16"/>
      <c r="FJ525" s="14"/>
      <c r="FK525" s="12" t="s">
        <v>319</v>
      </c>
      <c r="FL525" s="14"/>
      <c r="FM525" s="16"/>
      <c r="FN525" s="14"/>
      <c r="FO525" s="12" t="s">
        <v>319</v>
      </c>
      <c r="FP525" s="14"/>
      <c r="FQ525" s="16"/>
      <c r="FR525" s="14"/>
      <c r="FS525" s="12" t="s">
        <v>320</v>
      </c>
      <c r="FT525" s="14">
        <v>6167</v>
      </c>
      <c r="FU525" s="16">
        <v>0.52667423382519796</v>
      </c>
      <c r="FV525" s="14">
        <v>18480</v>
      </c>
      <c r="FW525" s="12" t="s">
        <v>319</v>
      </c>
      <c r="FX525" s="14"/>
      <c r="FY525" s="16"/>
      <c r="FZ525" s="14"/>
      <c r="GA525" s="12" t="s">
        <v>319</v>
      </c>
      <c r="GB525" s="14"/>
      <c r="GC525" s="16"/>
      <c r="GD525" s="14"/>
      <c r="GE525" s="12" t="s">
        <v>319</v>
      </c>
      <c r="GF525" s="14"/>
      <c r="GG525" s="16"/>
      <c r="GH525" s="14"/>
      <c r="GI525" s="12" t="s">
        <v>319</v>
      </c>
      <c r="GJ525" s="14"/>
      <c r="GK525" s="16"/>
      <c r="GL525" s="14"/>
      <c r="GM525" s="12" t="s">
        <v>319</v>
      </c>
      <c r="GN525" s="14"/>
      <c r="GO525" s="16"/>
      <c r="GP525" s="14"/>
      <c r="GQ525" s="12" t="s">
        <v>319</v>
      </c>
      <c r="GR525" s="14"/>
      <c r="GS525" s="16"/>
      <c r="GT525" s="14"/>
      <c r="GU525" s="12" t="s">
        <v>319</v>
      </c>
      <c r="GV525" s="14"/>
      <c r="GW525" s="16"/>
      <c r="GX525" s="14"/>
      <c r="GY525" s="12" t="s">
        <v>319</v>
      </c>
      <c r="GZ525" s="14"/>
      <c r="HA525" s="16"/>
      <c r="HB525" s="14"/>
      <c r="HC525" s="12"/>
      <c r="HD525" s="12" t="s">
        <v>319</v>
      </c>
      <c r="HE525" s="14"/>
      <c r="HF525" s="16"/>
      <c r="HG525" s="14"/>
      <c r="HH525" s="12" t="s">
        <v>319</v>
      </c>
      <c r="HI525" s="12"/>
      <c r="HJ525" s="12"/>
      <c r="HK525" s="12" t="s">
        <v>319</v>
      </c>
      <c r="HL525" s="12" t="s">
        <v>320</v>
      </c>
      <c r="HM525" s="12" t="s">
        <v>1175</v>
      </c>
      <c r="HN525" s="12">
        <v>2018</v>
      </c>
      <c r="HO525" s="12" t="s">
        <v>8926</v>
      </c>
      <c r="HP525" s="12" t="s">
        <v>330</v>
      </c>
      <c r="HQ525" s="12" t="s">
        <v>319</v>
      </c>
      <c r="HR525" s="12" t="s">
        <v>320</v>
      </c>
      <c r="HS525" s="12" t="s">
        <v>320</v>
      </c>
      <c r="HT525" s="12" t="s">
        <v>320</v>
      </c>
      <c r="HU525" s="12" t="s">
        <v>319</v>
      </c>
      <c r="HV525" s="12" t="s">
        <v>319</v>
      </c>
      <c r="HW525" s="12" t="s">
        <v>319</v>
      </c>
      <c r="HX525" s="12" t="s">
        <v>319</v>
      </c>
      <c r="HY525" s="12"/>
      <c r="HZ525" s="12" t="s">
        <v>394</v>
      </c>
      <c r="IA525" s="12" t="s">
        <v>8927</v>
      </c>
      <c r="IB525" s="12" t="s">
        <v>396</v>
      </c>
      <c r="IC525" s="12" t="s">
        <v>8928</v>
      </c>
      <c r="ID525" s="12" t="s">
        <v>477</v>
      </c>
      <c r="IE525" s="12" t="s">
        <v>478</v>
      </c>
      <c r="IF525" s="12" t="s">
        <v>320</v>
      </c>
      <c r="IG525" s="12" t="s">
        <v>320</v>
      </c>
      <c r="IH525" s="12" t="s">
        <v>320</v>
      </c>
      <c r="II525" s="12" t="s">
        <v>320</v>
      </c>
      <c r="IJ525" s="12" t="str">
        <f t="shared" si="345"/>
        <v>4. Transformative</v>
      </c>
      <c r="IK525" s="12">
        <f t="shared" si="346"/>
        <v>4</v>
      </c>
      <c r="IL525" s="12" t="s">
        <v>336</v>
      </c>
      <c r="IM525" s="12" t="s">
        <v>320</v>
      </c>
      <c r="IN525" s="12" t="s">
        <v>320</v>
      </c>
      <c r="IO525" s="12" t="s">
        <v>320</v>
      </c>
      <c r="IP525" s="12" t="s">
        <v>320</v>
      </c>
      <c r="IQ525" s="12" t="str">
        <f t="shared" si="347"/>
        <v>2. Accommodating</v>
      </c>
      <c r="IR525" s="12">
        <f t="shared" si="348"/>
        <v>4</v>
      </c>
      <c r="IS525" s="12" t="s">
        <v>456</v>
      </c>
      <c r="IT525" s="12" t="s">
        <v>319</v>
      </c>
      <c r="IU525" s="12" t="s">
        <v>319</v>
      </c>
      <c r="IV525" s="12" t="s">
        <v>319</v>
      </c>
      <c r="IW525" s="11" t="str">
        <f t="shared" si="349"/>
        <v>0. Harmful</v>
      </c>
      <c r="IX525" s="12">
        <f t="shared" si="350"/>
        <v>0</v>
      </c>
      <c r="IY525" s="12" t="s">
        <v>419</v>
      </c>
      <c r="IZ525" s="12" t="s">
        <v>527</v>
      </c>
      <c r="JA525" s="12">
        <v>5</v>
      </c>
      <c r="JB525" s="12" t="s">
        <v>651</v>
      </c>
      <c r="JC525" s="12"/>
      <c r="JD525" s="12"/>
      <c r="JE525" s="12" t="s">
        <v>420</v>
      </c>
      <c r="JF525" s="12"/>
      <c r="JG525" s="12"/>
      <c r="JH525" s="12" t="s">
        <v>8929</v>
      </c>
      <c r="JI525" s="12" t="s">
        <v>8930</v>
      </c>
      <c r="JJ525" s="12" t="s">
        <v>8931</v>
      </c>
      <c r="JK525" s="12" t="s">
        <v>8932</v>
      </c>
      <c r="JL525" s="12" t="s">
        <v>8933</v>
      </c>
      <c r="JM525" s="12" t="s">
        <v>8934</v>
      </c>
      <c r="JN525" s="12"/>
      <c r="JO525" s="12"/>
      <c r="JP525" s="15">
        <f t="shared" si="351"/>
        <v>0</v>
      </c>
      <c r="JQ525" s="15">
        <f t="shared" si="352"/>
        <v>0</v>
      </c>
      <c r="JR525" s="279" t="str">
        <f t="shared" si="353"/>
        <v/>
      </c>
      <c r="JS525" s="17" t="str">
        <f t="shared" si="354"/>
        <v/>
      </c>
      <c r="JT525" s="18" t="str">
        <f t="shared" si="355"/>
        <v/>
      </c>
      <c r="JU525" s="280">
        <f t="shared" si="356"/>
        <v>0</v>
      </c>
      <c r="JV525" s="280">
        <f t="shared" si="357"/>
        <v>0</v>
      </c>
      <c r="JW525" s="319" t="str">
        <f t="shared" si="358"/>
        <v/>
      </c>
      <c r="JX525" s="15">
        <f t="shared" si="359"/>
        <v>0</v>
      </c>
      <c r="JY525" s="15">
        <f t="shared" si="360"/>
        <v>0</v>
      </c>
      <c r="JZ525" s="19" t="str">
        <f t="shared" si="361"/>
        <v/>
      </c>
      <c r="KA525" s="52" t="str">
        <f t="shared" si="362"/>
        <v/>
      </c>
      <c r="KB525" s="15">
        <f t="shared" si="363"/>
        <v>0</v>
      </c>
      <c r="KC525" s="15">
        <f t="shared" si="364"/>
        <v>0</v>
      </c>
      <c r="KD525" s="20" t="str">
        <f t="shared" si="365"/>
        <v/>
      </c>
      <c r="KE525" s="52" t="str">
        <f t="shared" si="366"/>
        <v/>
      </c>
      <c r="KF525" s="15">
        <f t="shared" si="367"/>
        <v>0</v>
      </c>
      <c r="KG525" s="15">
        <f t="shared" si="368"/>
        <v>0</v>
      </c>
      <c r="KH525" s="21" t="str">
        <f t="shared" si="369"/>
        <v/>
      </c>
      <c r="KI525" s="52">
        <f t="shared" si="370"/>
        <v>1</v>
      </c>
      <c r="KJ525" s="15">
        <f t="shared" si="371"/>
        <v>6167</v>
      </c>
      <c r="KK525" s="15">
        <f t="shared" si="372"/>
        <v>18480</v>
      </c>
      <c r="KL525" s="19">
        <f t="shared" si="373"/>
        <v>2.9965947786606129</v>
      </c>
      <c r="KM525" s="52" t="str">
        <f t="shared" si="374"/>
        <v/>
      </c>
      <c r="KN525" s="22">
        <f t="shared" si="375"/>
        <v>0</v>
      </c>
      <c r="KO525" s="22">
        <f t="shared" si="376"/>
        <v>0</v>
      </c>
      <c r="KP525" s="19" t="str">
        <f t="shared" si="377"/>
        <v/>
      </c>
      <c r="KQ525" s="11" t="str">
        <f t="shared" si="378"/>
        <v>4. Transformative</v>
      </c>
      <c r="KR525" s="11" t="str">
        <f t="shared" si="379"/>
        <v>2. Accommodating</v>
      </c>
      <c r="KS525" s="11" t="str">
        <f t="shared" si="380"/>
        <v>0. Harmful</v>
      </c>
      <c r="KT525" s="11" t="str">
        <f t="shared" si="381"/>
        <v>It tested new ways for fighting poverty, but did not measure results of innovation</v>
      </c>
      <c r="KU525" s="11" t="str">
        <f t="shared" si="382"/>
        <v>Moderate advocacy</v>
      </c>
      <c r="KV525" s="11" t="str">
        <f t="shared" si="383"/>
        <v>It linked and worked with strategic alliances and partners to take tested and effective solutions to scale</v>
      </c>
      <c r="KW525" s="11" t="str">
        <f t="shared" si="384"/>
        <v>Nepal - Strengthening Access to Fair and Equitable Justice (SAFE Justice) Project</v>
      </c>
      <c r="KX525" s="11" t="str">
        <f t="shared" si="385"/>
        <v>Strengthening Access to Fair and Equitable Justice (SAFE Justice) Project</v>
      </c>
      <c r="KY525" s="11" t="str">
        <f t="shared" si="386"/>
        <v>Nepal</v>
      </c>
      <c r="KZ525" s="12">
        <v>525</v>
      </c>
    </row>
    <row r="526" spans="1:312" x14ac:dyDescent="0.3">
      <c r="A526" s="12" t="s">
        <v>8647</v>
      </c>
      <c r="B526" s="12" t="s">
        <v>306</v>
      </c>
      <c r="C526" s="12">
        <v>3169</v>
      </c>
      <c r="D526" s="12" t="s">
        <v>8776</v>
      </c>
      <c r="E526" s="277" t="str">
        <f t="shared" si="344"/>
        <v>Nepal</v>
      </c>
      <c r="F526" s="12" t="s">
        <v>8777</v>
      </c>
      <c r="G526" s="12" t="s">
        <v>1738</v>
      </c>
      <c r="H526" s="12" t="s">
        <v>384</v>
      </c>
      <c r="I526" s="12" t="s">
        <v>384</v>
      </c>
      <c r="J526" s="281" t="s">
        <v>14632</v>
      </c>
      <c r="K526" s="12"/>
      <c r="L526" s="12"/>
      <c r="M526" s="12"/>
      <c r="N526" s="12"/>
      <c r="O526" s="12"/>
      <c r="P526" s="12"/>
      <c r="Q526" s="12"/>
      <c r="R526" s="12"/>
      <c r="S526" s="12"/>
      <c r="T526" s="12"/>
      <c r="U526" s="12"/>
      <c r="V526" s="12"/>
      <c r="W526" s="12"/>
      <c r="X526" s="12"/>
      <c r="Y526" s="12"/>
      <c r="Z526" s="12"/>
      <c r="AA526" s="12"/>
      <c r="AB526" s="12"/>
      <c r="AC526" s="12"/>
      <c r="AD526" s="12"/>
      <c r="BD526" s="13">
        <v>42370</v>
      </c>
      <c r="BE526" s="13">
        <v>43100</v>
      </c>
      <c r="BF526" s="12"/>
      <c r="BG526" s="12" t="s">
        <v>817</v>
      </c>
      <c r="BH526" s="14">
        <v>2244000</v>
      </c>
      <c r="BI526" s="12" t="s">
        <v>8778</v>
      </c>
      <c r="BJ526" s="12" t="s">
        <v>8779</v>
      </c>
      <c r="BK526" s="12" t="s">
        <v>8780</v>
      </c>
      <c r="BL526" s="12" t="s">
        <v>8660</v>
      </c>
      <c r="BM526" s="12" t="s">
        <v>8781</v>
      </c>
      <c r="BN526" s="12" t="s">
        <v>8661</v>
      </c>
      <c r="BO526" s="12" t="s">
        <v>320</v>
      </c>
      <c r="BP526" s="12" t="s">
        <v>319</v>
      </c>
      <c r="BQ526" s="12" t="s">
        <v>319</v>
      </c>
      <c r="BR526" s="12" t="s">
        <v>8782</v>
      </c>
      <c r="BS526" s="12" t="s">
        <v>357</v>
      </c>
      <c r="BT526" s="12" t="s">
        <v>8783</v>
      </c>
      <c r="BU526" s="12" t="s">
        <v>8784</v>
      </c>
      <c r="BV526" s="14">
        <v>5681</v>
      </c>
      <c r="BW526" s="14">
        <v>7352</v>
      </c>
      <c r="BX526" s="14">
        <v>13033</v>
      </c>
      <c r="BY526" s="14"/>
      <c r="BZ526" s="14"/>
      <c r="CA526" s="14"/>
      <c r="CB526" s="12" t="s">
        <v>8785</v>
      </c>
      <c r="CD526" s="14">
        <v>27483</v>
      </c>
      <c r="CE526" s="14">
        <v>28082</v>
      </c>
      <c r="CF526" s="14">
        <v>55565</v>
      </c>
      <c r="CG526" s="14"/>
      <c r="CH526" s="14"/>
      <c r="CI526" s="14"/>
      <c r="CJ526" s="12" t="s">
        <v>319</v>
      </c>
      <c r="CK526" s="14"/>
      <c r="CL526" s="16"/>
      <c r="CM526" s="14"/>
      <c r="CN526" s="12" t="s">
        <v>319</v>
      </c>
      <c r="CO526" s="14"/>
      <c r="CP526" s="16"/>
      <c r="CQ526" s="14"/>
      <c r="CR526" s="12" t="s">
        <v>319</v>
      </c>
      <c r="CS526" s="14"/>
      <c r="CT526" s="16"/>
      <c r="CU526" s="14"/>
      <c r="CV526" s="12" t="s">
        <v>319</v>
      </c>
      <c r="CW526" s="14"/>
      <c r="CX526" s="16"/>
      <c r="CY526" s="14"/>
      <c r="CZ526" s="12" t="s">
        <v>319</v>
      </c>
      <c r="DA526" s="14"/>
      <c r="DB526" s="16"/>
      <c r="DC526" s="14"/>
      <c r="DD526" s="12" t="s">
        <v>319</v>
      </c>
      <c r="DE526" s="14"/>
      <c r="DF526" s="16"/>
      <c r="DG526" s="14"/>
      <c r="DH526" s="12" t="s">
        <v>319</v>
      </c>
      <c r="DI526" s="14"/>
      <c r="DJ526" s="16"/>
      <c r="DK526" s="14"/>
      <c r="DL526" s="12" t="s">
        <v>319</v>
      </c>
      <c r="DM526" s="14"/>
      <c r="DN526" s="16"/>
      <c r="DO526" s="14"/>
      <c r="DP526" s="12" t="s">
        <v>319</v>
      </c>
      <c r="DQ526" s="14"/>
      <c r="DR526" s="16"/>
      <c r="DS526" s="14"/>
      <c r="DT526" s="12" t="s">
        <v>319</v>
      </c>
      <c r="DU526" s="14"/>
      <c r="DV526" s="16"/>
      <c r="DW526" s="14"/>
      <c r="DX526" s="12" t="s">
        <v>320</v>
      </c>
      <c r="DY526" s="14">
        <v>55565</v>
      </c>
      <c r="DZ526" s="16">
        <v>0.49</v>
      </c>
      <c r="EA526" s="14"/>
      <c r="EB526" s="12" t="s">
        <v>319</v>
      </c>
      <c r="EC526" s="14"/>
      <c r="ED526" s="16"/>
      <c r="EE526" s="14"/>
      <c r="EF526" s="12"/>
      <c r="EG526" s="12" t="s">
        <v>319</v>
      </c>
      <c r="EH526" s="14"/>
      <c r="EI526" s="16"/>
      <c r="EJ526" s="14"/>
      <c r="EK526" s="14"/>
      <c r="EL526" s="14"/>
      <c r="EM526" s="14"/>
      <c r="EN526" s="14"/>
      <c r="EO526" s="14"/>
      <c r="EP526" s="14"/>
      <c r="EQ526" s="12" t="s">
        <v>319</v>
      </c>
      <c r="ER526" s="14"/>
      <c r="ES526" s="16"/>
      <c r="ET526" s="14"/>
      <c r="EU526" s="11" t="s">
        <v>319</v>
      </c>
      <c r="EV526" s="14"/>
      <c r="EW526" s="16"/>
      <c r="EX526" s="14"/>
      <c r="EY526" s="12" t="s">
        <v>319</v>
      </c>
      <c r="EZ526" s="14"/>
      <c r="FA526" s="16"/>
      <c r="FB526" s="14"/>
      <c r="FC526" s="12" t="s">
        <v>319</v>
      </c>
      <c r="FD526" s="14"/>
      <c r="FE526" s="16"/>
      <c r="FF526" s="14"/>
      <c r="FG526" s="12" t="s">
        <v>319</v>
      </c>
      <c r="FH526" s="14"/>
      <c r="FI526" s="16"/>
      <c r="FJ526" s="14"/>
      <c r="FK526" s="12" t="s">
        <v>319</v>
      </c>
      <c r="FL526" s="14"/>
      <c r="FM526" s="16"/>
      <c r="FN526" s="14"/>
      <c r="FO526" s="12" t="s">
        <v>319</v>
      </c>
      <c r="FP526" s="14"/>
      <c r="FQ526" s="16"/>
      <c r="FR526" s="14"/>
      <c r="FS526" s="12" t="s">
        <v>319</v>
      </c>
      <c r="FT526" s="14"/>
      <c r="FU526" s="16"/>
      <c r="FV526" s="14"/>
      <c r="FW526" s="12" t="s">
        <v>319</v>
      </c>
      <c r="FX526" s="14"/>
      <c r="FY526" s="16"/>
      <c r="FZ526" s="14"/>
      <c r="GA526" s="12" t="s">
        <v>319</v>
      </c>
      <c r="GB526" s="14"/>
      <c r="GC526" s="16"/>
      <c r="GD526" s="14"/>
      <c r="GE526" s="12" t="s">
        <v>319</v>
      </c>
      <c r="GF526" s="14"/>
      <c r="GG526" s="16"/>
      <c r="GH526" s="14"/>
      <c r="GI526" s="12" t="s">
        <v>319</v>
      </c>
      <c r="GJ526" s="14"/>
      <c r="GK526" s="16"/>
      <c r="GL526" s="14"/>
      <c r="GM526" s="12" t="s">
        <v>319</v>
      </c>
      <c r="GN526" s="14"/>
      <c r="GO526" s="16"/>
      <c r="GP526" s="14"/>
      <c r="GQ526" s="12" t="s">
        <v>319</v>
      </c>
      <c r="GR526" s="14"/>
      <c r="GS526" s="16"/>
      <c r="GT526" s="14"/>
      <c r="GU526" s="12" t="s">
        <v>319</v>
      </c>
      <c r="GV526" s="14"/>
      <c r="GW526" s="16"/>
      <c r="GX526" s="14"/>
      <c r="GY526" s="12" t="s">
        <v>319</v>
      </c>
      <c r="GZ526" s="14"/>
      <c r="HA526" s="16"/>
      <c r="HB526" s="14"/>
      <c r="HC526" s="12"/>
      <c r="HD526" s="12" t="s">
        <v>319</v>
      </c>
      <c r="HE526" s="14"/>
      <c r="HF526" s="16"/>
      <c r="HG526" s="14"/>
      <c r="HH526" s="12" t="s">
        <v>320</v>
      </c>
      <c r="HI526" s="12" t="s">
        <v>451</v>
      </c>
      <c r="HJ526" s="12">
        <v>2016</v>
      </c>
      <c r="HK526" s="12" t="s">
        <v>319</v>
      </c>
      <c r="HL526" s="12" t="s">
        <v>320</v>
      </c>
      <c r="HM526" s="12" t="s">
        <v>361</v>
      </c>
      <c r="HN526" s="12">
        <v>2017</v>
      </c>
      <c r="HO526" s="12"/>
      <c r="HP526" s="12" t="s">
        <v>330</v>
      </c>
      <c r="HQ526" s="12" t="s">
        <v>319</v>
      </c>
      <c r="HR526" s="12" t="s">
        <v>320</v>
      </c>
      <c r="HS526" s="12" t="s">
        <v>319</v>
      </c>
      <c r="HT526" s="12" t="s">
        <v>320</v>
      </c>
      <c r="HU526" s="12" t="s">
        <v>319</v>
      </c>
      <c r="HV526" s="12" t="s">
        <v>319</v>
      </c>
      <c r="HW526" s="12" t="s">
        <v>320</v>
      </c>
      <c r="HX526" s="12" t="s">
        <v>319</v>
      </c>
      <c r="HY526" s="12"/>
      <c r="HZ526" s="12" t="s">
        <v>394</v>
      </c>
      <c r="IA526" s="12" t="s">
        <v>8786</v>
      </c>
      <c r="IB526" s="12" t="s">
        <v>333</v>
      </c>
      <c r="IC526" s="12"/>
      <c r="ID526" s="12" t="s">
        <v>477</v>
      </c>
      <c r="IE526" s="12" t="s">
        <v>478</v>
      </c>
      <c r="IF526" s="12" t="s">
        <v>320</v>
      </c>
      <c r="IG526" s="12" t="s">
        <v>319</v>
      </c>
      <c r="IH526" s="12" t="s">
        <v>320</v>
      </c>
      <c r="II526" s="12" t="s">
        <v>320</v>
      </c>
      <c r="IJ526" s="12" t="str">
        <f t="shared" si="345"/>
        <v>3. Responsive</v>
      </c>
      <c r="IK526" s="12">
        <f t="shared" si="346"/>
        <v>3</v>
      </c>
      <c r="IL526" s="12" t="s">
        <v>336</v>
      </c>
      <c r="IM526" s="12" t="s">
        <v>320</v>
      </c>
      <c r="IN526" s="12" t="s">
        <v>320</v>
      </c>
      <c r="IO526" s="12" t="s">
        <v>319</v>
      </c>
      <c r="IP526" s="12" t="s">
        <v>320</v>
      </c>
      <c r="IQ526" s="12" t="str">
        <f t="shared" si="347"/>
        <v>2. Accommodating</v>
      </c>
      <c r="IR526" s="12">
        <f t="shared" si="348"/>
        <v>3</v>
      </c>
      <c r="IS526" s="12" t="s">
        <v>337</v>
      </c>
      <c r="IT526" s="12" t="s">
        <v>320</v>
      </c>
      <c r="IU526" s="12" t="s">
        <v>320</v>
      </c>
      <c r="IV526" s="12" t="s">
        <v>320</v>
      </c>
      <c r="IW526" s="11" t="str">
        <f t="shared" si="349"/>
        <v>2. Sensitive</v>
      </c>
      <c r="IX526" s="12">
        <f t="shared" si="350"/>
        <v>3</v>
      </c>
      <c r="IY526" s="12" t="s">
        <v>338</v>
      </c>
      <c r="IZ526" s="12" t="s">
        <v>457</v>
      </c>
      <c r="JA526" s="12">
        <v>2</v>
      </c>
      <c r="JB526" s="12" t="s">
        <v>433</v>
      </c>
      <c r="JC526" s="12" t="s">
        <v>1113</v>
      </c>
      <c r="JD526" s="12" t="s">
        <v>831</v>
      </c>
      <c r="JE526" s="12" t="s">
        <v>365</v>
      </c>
      <c r="JF526" s="12" t="s">
        <v>8787</v>
      </c>
      <c r="JG526" s="12"/>
      <c r="JH526" s="12" t="s">
        <v>8788</v>
      </c>
      <c r="JI526" s="12" t="s">
        <v>8771</v>
      </c>
      <c r="JJ526" s="12" t="s">
        <v>8789</v>
      </c>
      <c r="JK526" s="12" t="s">
        <v>8790</v>
      </c>
      <c r="JL526" s="12" t="s">
        <v>8791</v>
      </c>
      <c r="JM526" s="12" t="s">
        <v>8792</v>
      </c>
      <c r="JN526" s="12" t="s">
        <v>8793</v>
      </c>
      <c r="JO526" s="12"/>
      <c r="JP526" s="15">
        <f t="shared" si="351"/>
        <v>55565</v>
      </c>
      <c r="JQ526" s="15">
        <f t="shared" si="352"/>
        <v>0</v>
      </c>
      <c r="JR526" s="279">
        <f t="shared" si="353"/>
        <v>0</v>
      </c>
      <c r="JS526" s="17">
        <f t="shared" si="354"/>
        <v>0.49460991631422657</v>
      </c>
      <c r="JT526" s="18" t="str">
        <f t="shared" si="355"/>
        <v/>
      </c>
      <c r="JU526" s="280">
        <f t="shared" si="356"/>
        <v>27483</v>
      </c>
      <c r="JV526" s="280">
        <f t="shared" si="357"/>
        <v>0</v>
      </c>
      <c r="JW526" s="319">
        <f t="shared" si="358"/>
        <v>1</v>
      </c>
      <c r="JX526" s="15">
        <f t="shared" si="359"/>
        <v>55565</v>
      </c>
      <c r="JY526" s="15">
        <f t="shared" si="360"/>
        <v>0</v>
      </c>
      <c r="JZ526" s="19">
        <f t="shared" si="361"/>
        <v>0</v>
      </c>
      <c r="KA526" s="52" t="str">
        <f t="shared" si="362"/>
        <v/>
      </c>
      <c r="KB526" s="15">
        <f t="shared" si="363"/>
        <v>0</v>
      </c>
      <c r="KC526" s="15">
        <f t="shared" si="364"/>
        <v>0</v>
      </c>
      <c r="KD526" s="20" t="str">
        <f t="shared" si="365"/>
        <v/>
      </c>
      <c r="KE526" s="52" t="str">
        <f t="shared" si="366"/>
        <v/>
      </c>
      <c r="KF526" s="15">
        <f t="shared" si="367"/>
        <v>0</v>
      </c>
      <c r="KG526" s="15">
        <f t="shared" si="368"/>
        <v>0</v>
      </c>
      <c r="KH526" s="21" t="str">
        <f t="shared" si="369"/>
        <v/>
      </c>
      <c r="KI526" s="52" t="str">
        <f t="shared" si="370"/>
        <v/>
      </c>
      <c r="KJ526" s="15">
        <f t="shared" si="371"/>
        <v>0</v>
      </c>
      <c r="KK526" s="15">
        <f t="shared" si="372"/>
        <v>0</v>
      </c>
      <c r="KL526" s="19" t="str">
        <f t="shared" si="373"/>
        <v/>
      </c>
      <c r="KM526" s="52" t="str">
        <f t="shared" si="374"/>
        <v/>
      </c>
      <c r="KN526" s="22">
        <f t="shared" si="375"/>
        <v>0</v>
      </c>
      <c r="KO526" s="22">
        <f t="shared" si="376"/>
        <v>0</v>
      </c>
      <c r="KP526" s="19" t="str">
        <f t="shared" si="377"/>
        <v/>
      </c>
      <c r="KQ526" s="11" t="str">
        <f t="shared" si="378"/>
        <v>3. Responsive</v>
      </c>
      <c r="KR526" s="11" t="str">
        <f t="shared" si="379"/>
        <v>2. Accommodating</v>
      </c>
      <c r="KS526" s="11" t="str">
        <f t="shared" si="380"/>
        <v>2. Sensitive</v>
      </c>
      <c r="KT526" s="11" t="str">
        <f t="shared" si="381"/>
        <v>It tested new ways for fighting poverty, but did not measure results of innovation</v>
      </c>
      <c r="KU526" s="11" t="str">
        <f t="shared" si="382"/>
        <v>Moderate advocacy</v>
      </c>
      <c r="KV526" s="11" t="str">
        <f t="shared" si="383"/>
        <v>It did not take tested solutions to scale</v>
      </c>
      <c r="KW526" s="11" t="str">
        <f t="shared" si="384"/>
        <v>Nepal - Stronger communities and safer habitat: Promoting self-recovery Project</v>
      </c>
      <c r="KX526" s="11" t="str">
        <f t="shared" si="385"/>
        <v>Stronger communities and safer habitat: Promoting self-recovery Project</v>
      </c>
      <c r="KY526" s="11" t="str">
        <f t="shared" si="386"/>
        <v>Nepal</v>
      </c>
      <c r="KZ526" s="12">
        <v>526</v>
      </c>
    </row>
    <row r="527" spans="1:312" x14ac:dyDescent="0.3">
      <c r="A527" s="12" t="s">
        <v>8647</v>
      </c>
      <c r="B527" s="12" t="s">
        <v>306</v>
      </c>
      <c r="C527" s="12"/>
      <c r="D527" s="12" t="s">
        <v>8994</v>
      </c>
      <c r="E527" s="277" t="str">
        <f t="shared" si="344"/>
        <v>Nepal</v>
      </c>
      <c r="F527" s="12" t="s">
        <v>8995</v>
      </c>
      <c r="G527" s="12" t="s">
        <v>379</v>
      </c>
      <c r="H527" s="12" t="s">
        <v>310</v>
      </c>
      <c r="I527" s="12" t="s">
        <v>655</v>
      </c>
      <c r="J527" s="281" t="s">
        <v>4991</v>
      </c>
      <c r="K527" s="12"/>
      <c r="L527" s="12"/>
      <c r="M527" s="12"/>
      <c r="N527" s="12"/>
      <c r="O527" s="12"/>
      <c r="P527" s="12"/>
      <c r="Q527" s="12"/>
      <c r="R527" s="12"/>
      <c r="S527" s="12"/>
      <c r="T527" s="12"/>
      <c r="U527" s="12"/>
      <c r="V527" s="12"/>
      <c r="W527" s="12"/>
      <c r="X527" s="12"/>
      <c r="Y527" s="12"/>
      <c r="Z527" s="12"/>
      <c r="AA527" s="12"/>
      <c r="AB527" s="12"/>
      <c r="AC527" s="12"/>
      <c r="AD527" s="12"/>
      <c r="BD527" s="13">
        <v>42461</v>
      </c>
      <c r="BE527" s="13">
        <v>44286</v>
      </c>
      <c r="BF527" s="12"/>
      <c r="BG527" s="12" t="s">
        <v>490</v>
      </c>
      <c r="BH527" s="14">
        <v>12791459</v>
      </c>
      <c r="BI527" s="12" t="s">
        <v>8899</v>
      </c>
      <c r="BJ527" s="12" t="s">
        <v>8996</v>
      </c>
      <c r="BK527" s="12" t="s">
        <v>8901</v>
      </c>
      <c r="BL527" s="12" t="s">
        <v>8997</v>
      </c>
      <c r="BM527" s="12" t="s">
        <v>8998</v>
      </c>
      <c r="BN527" s="12" t="s">
        <v>8999</v>
      </c>
      <c r="BO527" s="11" t="s">
        <v>319</v>
      </c>
      <c r="BP527" s="11" t="s">
        <v>320</v>
      </c>
      <c r="BQ527" s="11" t="s">
        <v>319</v>
      </c>
      <c r="BR527" s="12" t="s">
        <v>9000</v>
      </c>
      <c r="BS527" s="12" t="s">
        <v>357</v>
      </c>
      <c r="BT527" s="12" t="s">
        <v>9001</v>
      </c>
      <c r="BU527" s="12" t="s">
        <v>9002</v>
      </c>
      <c r="BV527" s="14">
        <v>1500000</v>
      </c>
      <c r="BW527" s="14">
        <v>1266125</v>
      </c>
      <c r="BX527" s="14">
        <v>2766125</v>
      </c>
      <c r="BY527" s="14">
        <v>9963782</v>
      </c>
      <c r="BZ527" s="14">
        <v>804320</v>
      </c>
      <c r="CA527" s="14">
        <v>10768102</v>
      </c>
      <c r="CB527" s="12" t="s">
        <v>9003</v>
      </c>
      <c r="CD527" s="14"/>
      <c r="CE527" s="14"/>
      <c r="CF527" s="14"/>
      <c r="CG527" s="14"/>
      <c r="CH527" s="14"/>
      <c r="CI527" s="14"/>
      <c r="CJ527" s="12"/>
      <c r="CK527" s="14"/>
      <c r="CL527" s="16"/>
      <c r="CM527" s="14"/>
      <c r="CN527" s="12"/>
      <c r="CO527" s="14"/>
      <c r="CP527" s="16"/>
      <c r="CQ527" s="14"/>
      <c r="CR527" s="12"/>
      <c r="CS527" s="14"/>
      <c r="CT527" s="16"/>
      <c r="CU527" s="14"/>
      <c r="CV527" s="12"/>
      <c r="CW527" s="14"/>
      <c r="CX527" s="16"/>
      <c r="CY527" s="14"/>
      <c r="CZ527" s="12"/>
      <c r="DA527" s="14"/>
      <c r="DB527" s="16"/>
      <c r="DC527" s="14"/>
      <c r="DD527" s="12"/>
      <c r="DE527" s="14"/>
      <c r="DF527" s="16"/>
      <c r="DG527" s="14"/>
      <c r="DH527" s="12"/>
      <c r="DI527" s="14"/>
      <c r="DJ527" s="16"/>
      <c r="DK527" s="14"/>
      <c r="DL527" s="12"/>
      <c r="DM527" s="14"/>
      <c r="DN527" s="16"/>
      <c r="DO527" s="14"/>
      <c r="DP527" s="12"/>
      <c r="DQ527" s="14"/>
      <c r="DR527" s="16"/>
      <c r="DS527" s="14"/>
      <c r="DT527" s="12"/>
      <c r="DU527" s="14"/>
      <c r="DV527" s="16"/>
      <c r="DW527" s="14"/>
      <c r="DX527" s="12"/>
      <c r="DY527" s="14"/>
      <c r="DZ527" s="16"/>
      <c r="EA527" s="14"/>
      <c r="EB527" s="12"/>
      <c r="EC527" s="14"/>
      <c r="ED527" s="16"/>
      <c r="EE527" s="14"/>
      <c r="EF527" s="12"/>
      <c r="EG527" s="12"/>
      <c r="EH527" s="14"/>
      <c r="EI527" s="16"/>
      <c r="EJ527" s="14"/>
      <c r="EK527" s="14">
        <v>770562</v>
      </c>
      <c r="EL527" s="14"/>
      <c r="EM527" s="14">
        <v>770562</v>
      </c>
      <c r="EN527" s="14"/>
      <c r="EO527" s="14">
        <v>2427316</v>
      </c>
      <c r="EP527" s="14">
        <v>2427316</v>
      </c>
      <c r="EQ527" s="12" t="s">
        <v>319</v>
      </c>
      <c r="ER527" s="14"/>
      <c r="ES527" s="16"/>
      <c r="ET527" s="14"/>
      <c r="EU527" s="11" t="s">
        <v>319</v>
      </c>
      <c r="EV527" s="14"/>
      <c r="EW527" s="16"/>
      <c r="EX527" s="14"/>
      <c r="EY527" s="12" t="s">
        <v>319</v>
      </c>
      <c r="EZ527" s="14"/>
      <c r="FA527" s="16"/>
      <c r="FB527" s="14"/>
      <c r="FC527" s="12" t="s">
        <v>319</v>
      </c>
      <c r="FD527" s="14"/>
      <c r="FE527" s="16"/>
      <c r="FF527" s="14"/>
      <c r="FG527" s="12" t="s">
        <v>319</v>
      </c>
      <c r="FH527" s="14"/>
      <c r="FI527" s="16"/>
      <c r="FJ527" s="14"/>
      <c r="FK527" s="12" t="s">
        <v>319</v>
      </c>
      <c r="FL527" s="14"/>
      <c r="FM527" s="16"/>
      <c r="FN527" s="14"/>
      <c r="FO527" s="12" t="s">
        <v>319</v>
      </c>
      <c r="FP527" s="14"/>
      <c r="FQ527" s="16"/>
      <c r="FR527" s="14"/>
      <c r="FS527" s="12" t="s">
        <v>319</v>
      </c>
      <c r="FT527" s="14"/>
      <c r="FU527" s="16"/>
      <c r="FV527" s="14"/>
      <c r="FW527" s="12" t="s">
        <v>319</v>
      </c>
      <c r="FX527" s="14"/>
      <c r="FY527" s="16"/>
      <c r="FZ527" s="14"/>
      <c r="GA527" s="12" t="s">
        <v>319</v>
      </c>
      <c r="GB527" s="14"/>
      <c r="GC527" s="16"/>
      <c r="GD527" s="14"/>
      <c r="GE527" s="12" t="s">
        <v>319</v>
      </c>
      <c r="GF527" s="14"/>
      <c r="GG527" s="16"/>
      <c r="GH527" s="14"/>
      <c r="GI527" s="12" t="s">
        <v>319</v>
      </c>
      <c r="GJ527" s="14"/>
      <c r="GK527" s="16"/>
      <c r="GL527" s="14"/>
      <c r="GM527" s="12" t="s">
        <v>319</v>
      </c>
      <c r="GN527" s="14"/>
      <c r="GO527" s="16"/>
      <c r="GP527" s="14"/>
      <c r="GQ527" s="12" t="s">
        <v>320</v>
      </c>
      <c r="GR527" s="14">
        <v>770562</v>
      </c>
      <c r="GS527" s="16">
        <v>0.56000000000000005</v>
      </c>
      <c r="GT527" s="14">
        <v>2427316</v>
      </c>
      <c r="GU527" s="12" t="s">
        <v>319</v>
      </c>
      <c r="GV527" s="14"/>
      <c r="GW527" s="16"/>
      <c r="GX527" s="14"/>
      <c r="GY527" s="12" t="s">
        <v>319</v>
      </c>
      <c r="GZ527" s="14"/>
      <c r="HA527" s="16"/>
      <c r="HB527" s="14"/>
      <c r="HC527" s="12"/>
      <c r="HD527" s="12"/>
      <c r="HE527" s="14"/>
      <c r="HF527" s="16"/>
      <c r="HG527" s="14"/>
      <c r="HH527" s="12" t="s">
        <v>320</v>
      </c>
      <c r="HI527" s="12" t="s">
        <v>431</v>
      </c>
      <c r="HJ527" s="12">
        <v>2017</v>
      </c>
      <c r="HK527" s="12" t="s">
        <v>319</v>
      </c>
      <c r="HL527" s="12" t="s">
        <v>320</v>
      </c>
      <c r="HM527" s="12" t="s">
        <v>431</v>
      </c>
      <c r="HN527" s="12">
        <v>2018</v>
      </c>
      <c r="HO527" s="12"/>
      <c r="HP527" s="12" t="s">
        <v>330</v>
      </c>
      <c r="HQ527" s="12" t="s">
        <v>319</v>
      </c>
      <c r="HR527" s="12" t="s">
        <v>319</v>
      </c>
      <c r="HS527" s="12" t="s">
        <v>320</v>
      </c>
      <c r="HT527" s="12" t="s">
        <v>320</v>
      </c>
      <c r="HU527" s="12" t="s">
        <v>320</v>
      </c>
      <c r="HV527" s="12" t="s">
        <v>319</v>
      </c>
      <c r="HW527" s="12" t="s">
        <v>319</v>
      </c>
      <c r="HX527" s="12"/>
      <c r="HY527" s="12"/>
      <c r="HZ527" s="12" t="s">
        <v>394</v>
      </c>
      <c r="IA527" s="12" t="s">
        <v>9004</v>
      </c>
      <c r="IB527" s="12" t="s">
        <v>396</v>
      </c>
      <c r="IC527" s="12" t="s">
        <v>8908</v>
      </c>
      <c r="ID527" s="12" t="s">
        <v>334</v>
      </c>
      <c r="IE527" s="12" t="s">
        <v>478</v>
      </c>
      <c r="IF527" s="12" t="s">
        <v>320</v>
      </c>
      <c r="IG527" s="12" t="s">
        <v>320</v>
      </c>
      <c r="IH527" s="12" t="s">
        <v>320</v>
      </c>
      <c r="II527" s="12" t="s">
        <v>320</v>
      </c>
      <c r="IJ527" s="12" t="str">
        <f t="shared" si="345"/>
        <v>4. Transformative</v>
      </c>
      <c r="IK527" s="12">
        <f t="shared" si="346"/>
        <v>4</v>
      </c>
      <c r="IL527" s="12" t="s">
        <v>336</v>
      </c>
      <c r="IM527" s="12" t="s">
        <v>320</v>
      </c>
      <c r="IN527" s="12" t="s">
        <v>320</v>
      </c>
      <c r="IO527" s="12" t="s">
        <v>320</v>
      </c>
      <c r="IP527" s="12" t="s">
        <v>320</v>
      </c>
      <c r="IQ527" s="12" t="str">
        <f t="shared" si="347"/>
        <v>2. Accommodating</v>
      </c>
      <c r="IR527" s="12">
        <f t="shared" si="348"/>
        <v>4</v>
      </c>
      <c r="IS527" s="12" t="s">
        <v>622</v>
      </c>
      <c r="IT527" s="12" t="s">
        <v>320</v>
      </c>
      <c r="IU527" s="12" t="s">
        <v>320</v>
      </c>
      <c r="IV527" s="12" t="s">
        <v>320</v>
      </c>
      <c r="IW527" s="11" t="str">
        <f t="shared" si="349"/>
        <v>4. Transformative</v>
      </c>
      <c r="IX527" s="12">
        <f t="shared" si="350"/>
        <v>3</v>
      </c>
      <c r="IY527" s="12" t="s">
        <v>419</v>
      </c>
      <c r="IZ527" s="12" t="s">
        <v>457</v>
      </c>
      <c r="JA527" s="12">
        <v>39</v>
      </c>
      <c r="JB527" s="12" t="s">
        <v>433</v>
      </c>
      <c r="JC527" s="12"/>
      <c r="JD527" s="12"/>
      <c r="JE527" s="12" t="s">
        <v>340</v>
      </c>
      <c r="JF527" s="12" t="s">
        <v>8909</v>
      </c>
      <c r="JG527" s="12"/>
      <c r="JH527" s="12" t="s">
        <v>9005</v>
      </c>
      <c r="JI527" s="12" t="s">
        <v>9006</v>
      </c>
      <c r="JJ527" s="12" t="s">
        <v>9007</v>
      </c>
      <c r="JK527" s="12" t="s">
        <v>9008</v>
      </c>
      <c r="JL527" s="12" t="s">
        <v>8914</v>
      </c>
      <c r="JM527" s="12" t="s">
        <v>8915</v>
      </c>
      <c r="JN527" s="12"/>
      <c r="JO527" s="12"/>
      <c r="JP527" s="15">
        <f t="shared" si="351"/>
        <v>770562</v>
      </c>
      <c r="JQ527" s="15">
        <f t="shared" si="352"/>
        <v>2427316</v>
      </c>
      <c r="JR527" s="279">
        <f t="shared" si="353"/>
        <v>3.1500593073626781</v>
      </c>
      <c r="JS527" s="17">
        <f t="shared" si="354"/>
        <v>1</v>
      </c>
      <c r="JT527" s="18">
        <f t="shared" si="355"/>
        <v>0</v>
      </c>
      <c r="JU527" s="280">
        <f t="shared" si="356"/>
        <v>770562</v>
      </c>
      <c r="JV527" s="280">
        <f t="shared" si="357"/>
        <v>0</v>
      </c>
      <c r="JW527" s="319" t="str">
        <f t="shared" si="358"/>
        <v/>
      </c>
      <c r="JX527" s="15">
        <f t="shared" si="359"/>
        <v>0</v>
      </c>
      <c r="JY527" s="15">
        <f t="shared" si="360"/>
        <v>0</v>
      </c>
      <c r="JZ527" s="19" t="str">
        <f t="shared" si="361"/>
        <v/>
      </c>
      <c r="KA527" s="52" t="str">
        <f t="shared" si="362"/>
        <v/>
      </c>
      <c r="KB527" s="15">
        <f t="shared" si="363"/>
        <v>0</v>
      </c>
      <c r="KC527" s="15">
        <f t="shared" si="364"/>
        <v>0</v>
      </c>
      <c r="KD527" s="20" t="str">
        <f t="shared" si="365"/>
        <v/>
      </c>
      <c r="KE527" s="52">
        <f t="shared" si="366"/>
        <v>1</v>
      </c>
      <c r="KF527" s="15">
        <f t="shared" si="367"/>
        <v>770562</v>
      </c>
      <c r="KG527" s="15">
        <f t="shared" si="368"/>
        <v>2427316</v>
      </c>
      <c r="KH527" s="21">
        <f t="shared" si="369"/>
        <v>3.1500593073626781</v>
      </c>
      <c r="KI527" s="52" t="str">
        <f t="shared" si="370"/>
        <v/>
      </c>
      <c r="KJ527" s="15">
        <f t="shared" si="371"/>
        <v>0</v>
      </c>
      <c r="KK527" s="15">
        <f t="shared" si="372"/>
        <v>0</v>
      </c>
      <c r="KL527" s="19" t="str">
        <f t="shared" si="373"/>
        <v/>
      </c>
      <c r="KM527" s="52" t="str">
        <f t="shared" si="374"/>
        <v/>
      </c>
      <c r="KN527" s="22">
        <f t="shared" si="375"/>
        <v>0</v>
      </c>
      <c r="KO527" s="22">
        <f t="shared" si="376"/>
        <v>0</v>
      </c>
      <c r="KP527" s="19" t="str">
        <f t="shared" si="377"/>
        <v/>
      </c>
      <c r="KQ527" s="11" t="str">
        <f t="shared" si="378"/>
        <v>4. Transformative</v>
      </c>
      <c r="KR527" s="11" t="str">
        <f t="shared" si="379"/>
        <v>2. Accommodating</v>
      </c>
      <c r="KS527" s="11" t="str">
        <f t="shared" si="380"/>
        <v>4. Transformative</v>
      </c>
      <c r="KT527" s="11" t="str">
        <f t="shared" si="381"/>
        <v>It tested new ways for fighting poverty, but did not measure results of innovation</v>
      </c>
      <c r="KU527" s="11" t="str">
        <f t="shared" si="382"/>
        <v>Moderate advocacy</v>
      </c>
      <c r="KV527" s="11" t="str">
        <f t="shared" si="383"/>
        <v>It linked and worked with strategic alliances and partners to take tested and effective solutions to scale</v>
      </c>
      <c r="KW527" s="11" t="str">
        <f t="shared" si="384"/>
        <v>Nepal - Suaaahara II</v>
      </c>
      <c r="KX527" s="11" t="str">
        <f t="shared" si="385"/>
        <v>Suaaahara II</v>
      </c>
      <c r="KY527" s="11" t="str">
        <f t="shared" si="386"/>
        <v>Nepal</v>
      </c>
      <c r="KZ527" s="12">
        <v>527</v>
      </c>
    </row>
    <row r="528" spans="1:312" x14ac:dyDescent="0.3">
      <c r="A528" s="12" t="s">
        <v>8647</v>
      </c>
      <c r="B528" s="12" t="s">
        <v>306</v>
      </c>
      <c r="C528" s="12">
        <v>3205</v>
      </c>
      <c r="D528" s="12" t="s">
        <v>8847</v>
      </c>
      <c r="E528" s="277" t="str">
        <f t="shared" si="344"/>
        <v>Nepal</v>
      </c>
      <c r="F528" s="12" t="s">
        <v>8848</v>
      </c>
      <c r="G528" s="12" t="s">
        <v>605</v>
      </c>
      <c r="H528" s="12" t="s">
        <v>554</v>
      </c>
      <c r="I528" s="12" t="s">
        <v>384</v>
      </c>
      <c r="J528" s="281" t="s">
        <v>14722</v>
      </c>
      <c r="K528" s="12"/>
      <c r="L528" s="12"/>
      <c r="M528" s="12"/>
      <c r="N528" s="12"/>
      <c r="O528" s="12"/>
      <c r="P528" s="12"/>
      <c r="Q528" s="12"/>
      <c r="R528" s="12"/>
      <c r="S528" s="12"/>
      <c r="T528" s="12"/>
      <c r="U528" s="12"/>
      <c r="V528" s="12"/>
      <c r="W528" s="12"/>
      <c r="X528" s="12"/>
      <c r="Y528" s="12"/>
      <c r="Z528" s="12"/>
      <c r="AA528" s="12"/>
      <c r="AB528" s="12"/>
      <c r="AC528" s="12"/>
      <c r="AD528" s="12"/>
      <c r="BD528" s="13">
        <v>41579</v>
      </c>
      <c r="BE528" s="13">
        <v>42644</v>
      </c>
      <c r="BF528" s="13">
        <v>42826</v>
      </c>
      <c r="BG528" s="12" t="s">
        <v>312</v>
      </c>
      <c r="BH528" s="14">
        <v>650000</v>
      </c>
      <c r="BI528" s="12" t="s">
        <v>8834</v>
      </c>
      <c r="BJ528" s="12" t="s">
        <v>8849</v>
      </c>
      <c r="BK528" s="12" t="s">
        <v>8836</v>
      </c>
      <c r="BL528" s="12"/>
      <c r="BM528" s="12"/>
      <c r="BN528" s="12"/>
      <c r="BO528" s="12" t="s">
        <v>319</v>
      </c>
      <c r="BP528" s="12" t="s">
        <v>320</v>
      </c>
      <c r="BQ528" s="12" t="s">
        <v>319</v>
      </c>
      <c r="BR528" s="12" t="s">
        <v>8850</v>
      </c>
      <c r="BS528" s="12" t="s">
        <v>322</v>
      </c>
      <c r="BT528" s="12" t="s">
        <v>8851</v>
      </c>
      <c r="BU528" s="12" t="s">
        <v>8852</v>
      </c>
      <c r="BV528" s="14">
        <v>550</v>
      </c>
      <c r="BW528" s="14">
        <v>140</v>
      </c>
      <c r="BX528" s="14">
        <v>690</v>
      </c>
      <c r="BY528" s="14">
        <v>467</v>
      </c>
      <c r="BZ528" s="14">
        <v>467</v>
      </c>
      <c r="CA528" s="14">
        <v>934</v>
      </c>
      <c r="CB528" s="12" t="s">
        <v>8853</v>
      </c>
      <c r="CD528" s="14"/>
      <c r="CE528" s="14"/>
      <c r="CF528" s="14"/>
      <c r="CG528" s="14"/>
      <c r="CH528" s="14"/>
      <c r="CI528" s="14"/>
      <c r="CJ528" s="12"/>
      <c r="CK528" s="14"/>
      <c r="CL528" s="16"/>
      <c r="CM528" s="14"/>
      <c r="CN528" s="12"/>
      <c r="CO528" s="14"/>
      <c r="CP528" s="16"/>
      <c r="CQ528" s="14"/>
      <c r="CR528" s="12"/>
      <c r="CS528" s="14"/>
      <c r="CT528" s="16"/>
      <c r="CU528" s="14"/>
      <c r="CV528" s="12"/>
      <c r="CW528" s="14"/>
      <c r="CX528" s="16"/>
      <c r="CY528" s="14"/>
      <c r="CZ528" s="12"/>
      <c r="DA528" s="14"/>
      <c r="DB528" s="16"/>
      <c r="DC528" s="14"/>
      <c r="DD528" s="12"/>
      <c r="DE528" s="14"/>
      <c r="DF528" s="16"/>
      <c r="DG528" s="14"/>
      <c r="DH528" s="12"/>
      <c r="DI528" s="14"/>
      <c r="DJ528" s="16"/>
      <c r="DK528" s="14"/>
      <c r="DL528" s="12"/>
      <c r="DM528" s="14"/>
      <c r="DN528" s="16"/>
      <c r="DO528" s="14"/>
      <c r="DP528" s="12"/>
      <c r="DQ528" s="14"/>
      <c r="DR528" s="16"/>
      <c r="DS528" s="14"/>
      <c r="DT528" s="12"/>
      <c r="DU528" s="14"/>
      <c r="DV528" s="16"/>
      <c r="DW528" s="14"/>
      <c r="DX528" s="12"/>
      <c r="DY528" s="14"/>
      <c r="DZ528" s="16"/>
      <c r="EA528" s="14"/>
      <c r="EB528" s="12"/>
      <c r="EC528" s="14"/>
      <c r="ED528" s="16"/>
      <c r="EE528" s="14"/>
      <c r="EF528" s="12"/>
      <c r="EG528" s="12"/>
      <c r="EH528" s="14"/>
      <c r="EI528" s="16"/>
      <c r="EJ528" s="14"/>
      <c r="EK528" s="14">
        <v>550</v>
      </c>
      <c r="EL528" s="14">
        <v>140</v>
      </c>
      <c r="EM528" s="14">
        <v>690</v>
      </c>
      <c r="EN528" s="14">
        <v>467</v>
      </c>
      <c r="EO528" s="14">
        <v>467</v>
      </c>
      <c r="EP528" s="14">
        <v>934</v>
      </c>
      <c r="EQ528" s="12"/>
      <c r="ER528" s="14"/>
      <c r="ES528" s="16"/>
      <c r="ET528" s="14"/>
      <c r="EU528" s="12"/>
      <c r="EV528" s="14"/>
      <c r="EW528" s="16"/>
      <c r="EX528" s="14"/>
      <c r="EY528" s="12"/>
      <c r="EZ528" s="14"/>
      <c r="FA528" s="16"/>
      <c r="FB528" s="14"/>
      <c r="FC528" s="12"/>
      <c r="FD528" s="14"/>
      <c r="FE528" s="16"/>
      <c r="FF528" s="14"/>
      <c r="FG528" s="12"/>
      <c r="FH528" s="14"/>
      <c r="FI528" s="16"/>
      <c r="FJ528" s="14"/>
      <c r="FK528" s="12" t="s">
        <v>320</v>
      </c>
      <c r="FL528" s="14">
        <v>690</v>
      </c>
      <c r="FM528" s="16">
        <v>1</v>
      </c>
      <c r="FN528" s="14"/>
      <c r="FO528" s="12"/>
      <c r="FP528" s="14"/>
      <c r="FQ528" s="16"/>
      <c r="FR528" s="14"/>
      <c r="FS528" s="12"/>
      <c r="FT528" s="14"/>
      <c r="FU528" s="16"/>
      <c r="FV528" s="14"/>
      <c r="FW528" s="12"/>
      <c r="FX528" s="14"/>
      <c r="FY528" s="16"/>
      <c r="FZ528" s="14"/>
      <c r="GA528" s="12"/>
      <c r="GB528" s="14"/>
      <c r="GC528" s="16"/>
      <c r="GD528" s="14"/>
      <c r="GE528" s="12"/>
      <c r="GF528" s="14"/>
      <c r="GG528" s="16"/>
      <c r="GH528" s="14"/>
      <c r="GI528" s="12"/>
      <c r="GJ528" s="14"/>
      <c r="GK528" s="16"/>
      <c r="GL528" s="14"/>
      <c r="GM528" s="12"/>
      <c r="GN528" s="14"/>
      <c r="GO528" s="16"/>
      <c r="GP528" s="14"/>
      <c r="GQ528" s="12"/>
      <c r="GR528" s="14"/>
      <c r="GS528" s="16"/>
      <c r="GT528" s="14"/>
      <c r="GU528" s="12"/>
      <c r="GV528" s="14"/>
      <c r="GW528" s="16"/>
      <c r="GX528" s="14"/>
      <c r="GY528" s="12"/>
      <c r="GZ528" s="14"/>
      <c r="HA528" s="16"/>
      <c r="HB528" s="14"/>
      <c r="HC528" s="12"/>
      <c r="HD528" s="12"/>
      <c r="HE528" s="14"/>
      <c r="HF528" s="16"/>
      <c r="HG528" s="14"/>
      <c r="HH528" s="12" t="s">
        <v>319</v>
      </c>
      <c r="HI528" s="12"/>
      <c r="HJ528" s="12"/>
      <c r="HK528" s="12" t="s">
        <v>320</v>
      </c>
      <c r="HL528" s="12" t="s">
        <v>319</v>
      </c>
      <c r="HM528" s="12"/>
      <c r="HN528" s="12"/>
      <c r="HO528" s="12"/>
      <c r="HP528" s="12" t="s">
        <v>418</v>
      </c>
      <c r="HQ528" s="12" t="s">
        <v>319</v>
      </c>
      <c r="HR528" s="12" t="s">
        <v>319</v>
      </c>
      <c r="HS528" s="12" t="s">
        <v>320</v>
      </c>
      <c r="HT528" s="12" t="s">
        <v>320</v>
      </c>
      <c r="HU528" s="12" t="s">
        <v>320</v>
      </c>
      <c r="HV528" s="12" t="s">
        <v>319</v>
      </c>
      <c r="HW528" s="12" t="s">
        <v>319</v>
      </c>
      <c r="HX528" s="12" t="s">
        <v>319</v>
      </c>
      <c r="HY528" s="12"/>
      <c r="HZ528" s="12" t="s">
        <v>394</v>
      </c>
      <c r="IA528" s="12" t="s">
        <v>8854</v>
      </c>
      <c r="IB528" s="12" t="s">
        <v>667</v>
      </c>
      <c r="IC528" s="12" t="s">
        <v>8855</v>
      </c>
      <c r="ID528" s="12"/>
      <c r="IE528" s="12" t="s">
        <v>335</v>
      </c>
      <c r="IF528" s="12" t="s">
        <v>320</v>
      </c>
      <c r="IG528" s="12" t="s">
        <v>320</v>
      </c>
      <c r="IH528" s="12" t="s">
        <v>320</v>
      </c>
      <c r="II528" s="12" t="s">
        <v>320</v>
      </c>
      <c r="IJ528" s="12" t="str">
        <f t="shared" si="345"/>
        <v>2. Sensitive</v>
      </c>
      <c r="IK528" s="12">
        <f t="shared" si="346"/>
        <v>4</v>
      </c>
      <c r="IL528" s="12" t="s">
        <v>621</v>
      </c>
      <c r="IM528" s="12" t="s">
        <v>320</v>
      </c>
      <c r="IN528" s="12" t="s">
        <v>320</v>
      </c>
      <c r="IO528" s="12" t="s">
        <v>320</v>
      </c>
      <c r="IP528" s="12" t="s">
        <v>319</v>
      </c>
      <c r="IQ528" s="12" t="str">
        <f t="shared" si="347"/>
        <v>3. Responsive</v>
      </c>
      <c r="IR528" s="12">
        <f t="shared" si="348"/>
        <v>3</v>
      </c>
      <c r="IS528" s="12" t="s">
        <v>622</v>
      </c>
      <c r="IT528" s="12" t="s">
        <v>320</v>
      </c>
      <c r="IU528" s="12" t="s">
        <v>320</v>
      </c>
      <c r="IV528" s="12" t="s">
        <v>320</v>
      </c>
      <c r="IW528" s="11" t="str">
        <f t="shared" si="349"/>
        <v>4. Transformative</v>
      </c>
      <c r="IX528" s="12">
        <f t="shared" si="350"/>
        <v>3</v>
      </c>
      <c r="IY528" s="12" t="s">
        <v>338</v>
      </c>
      <c r="IZ528" s="12" t="s">
        <v>457</v>
      </c>
      <c r="JA528" s="12">
        <v>1</v>
      </c>
      <c r="JB528" s="12" t="s">
        <v>433</v>
      </c>
      <c r="JC528" s="12"/>
      <c r="JD528" s="12"/>
      <c r="JE528" s="12" t="s">
        <v>420</v>
      </c>
      <c r="JF528" s="12"/>
      <c r="JG528" s="12"/>
      <c r="JH528" s="12" t="s">
        <v>8856</v>
      </c>
      <c r="JI528" s="12" t="s">
        <v>8857</v>
      </c>
      <c r="JJ528" s="12" t="s">
        <v>8858</v>
      </c>
      <c r="JK528" s="12" t="s">
        <v>8859</v>
      </c>
      <c r="JL528" s="12" t="s">
        <v>8860</v>
      </c>
      <c r="JM528" s="12"/>
      <c r="JN528" s="12" t="s">
        <v>8861</v>
      </c>
      <c r="JO528" s="12" t="s">
        <v>8862</v>
      </c>
      <c r="JP528" s="15">
        <f t="shared" si="351"/>
        <v>690</v>
      </c>
      <c r="JQ528" s="15">
        <f t="shared" si="352"/>
        <v>934</v>
      </c>
      <c r="JR528" s="279">
        <f t="shared" si="353"/>
        <v>1.3536231884057972</v>
      </c>
      <c r="JS528" s="17">
        <f t="shared" si="354"/>
        <v>0.79710144927536231</v>
      </c>
      <c r="JT528" s="18">
        <f t="shared" si="355"/>
        <v>0.5</v>
      </c>
      <c r="JU528" s="280">
        <f t="shared" si="356"/>
        <v>550</v>
      </c>
      <c r="JV528" s="280">
        <f t="shared" si="357"/>
        <v>467</v>
      </c>
      <c r="JW528" s="319" t="str">
        <f t="shared" si="358"/>
        <v/>
      </c>
      <c r="JX528" s="15">
        <f t="shared" si="359"/>
        <v>0</v>
      </c>
      <c r="JY528" s="15">
        <f t="shared" si="360"/>
        <v>0</v>
      </c>
      <c r="JZ528" s="19" t="str">
        <f t="shared" si="361"/>
        <v/>
      </c>
      <c r="KA528" s="52" t="str">
        <f t="shared" si="362"/>
        <v/>
      </c>
      <c r="KB528" s="15">
        <f t="shared" si="363"/>
        <v>0</v>
      </c>
      <c r="KC528" s="15">
        <f t="shared" si="364"/>
        <v>0</v>
      </c>
      <c r="KD528" s="20" t="str">
        <f t="shared" si="365"/>
        <v/>
      </c>
      <c r="KE528" s="52" t="str">
        <f t="shared" si="366"/>
        <v/>
      </c>
      <c r="KF528" s="15">
        <f t="shared" si="367"/>
        <v>0</v>
      </c>
      <c r="KG528" s="15">
        <f t="shared" si="368"/>
        <v>0</v>
      </c>
      <c r="KH528" s="21" t="str">
        <f t="shared" si="369"/>
        <v/>
      </c>
      <c r="KI528" s="52" t="str">
        <f t="shared" si="370"/>
        <v/>
      </c>
      <c r="KJ528" s="15">
        <f t="shared" si="371"/>
        <v>0</v>
      </c>
      <c r="KK528" s="15">
        <f t="shared" si="372"/>
        <v>0</v>
      </c>
      <c r="KL528" s="19" t="str">
        <f t="shared" si="373"/>
        <v/>
      </c>
      <c r="KM528" s="52" t="str">
        <f t="shared" si="374"/>
        <v/>
      </c>
      <c r="KN528" s="22">
        <f t="shared" si="375"/>
        <v>0</v>
      </c>
      <c r="KO528" s="22">
        <f t="shared" si="376"/>
        <v>0</v>
      </c>
      <c r="KP528" s="19" t="str">
        <f t="shared" si="377"/>
        <v/>
      </c>
      <c r="KQ528" s="11" t="str">
        <f t="shared" si="378"/>
        <v>2. Sensitive</v>
      </c>
      <c r="KR528" s="11" t="str">
        <f t="shared" si="379"/>
        <v>3. Responsive</v>
      </c>
      <c r="KS528" s="11" t="str">
        <f t="shared" si="380"/>
        <v>4. Transformative</v>
      </c>
      <c r="KT528" s="11" t="str">
        <f t="shared" si="381"/>
        <v>It tested new ways for fighting poverty, but did not measure results of innovation</v>
      </c>
      <c r="KU528" s="11" t="str">
        <f t="shared" si="382"/>
        <v>Little or no advocacy</v>
      </c>
      <c r="KV528" s="11" t="str">
        <f t="shared" si="383"/>
        <v>It took tested solutions to scale on its own</v>
      </c>
      <c r="KW528" s="11" t="str">
        <f t="shared" si="384"/>
        <v>Nepal - Udaan - Catching the Missed Opportunity</v>
      </c>
      <c r="KX528" s="11" t="str">
        <f t="shared" si="385"/>
        <v>Udaan - Catching the Missed Opportunity</v>
      </c>
      <c r="KY528" s="11" t="str">
        <f t="shared" si="386"/>
        <v>Nepal</v>
      </c>
      <c r="KZ528" s="12">
        <v>528</v>
      </c>
    </row>
    <row r="529" spans="1:312" x14ac:dyDescent="0.3">
      <c r="A529" s="12" t="s">
        <v>8647</v>
      </c>
      <c r="B529" s="12" t="s">
        <v>306</v>
      </c>
      <c r="C529" s="12">
        <v>3182</v>
      </c>
      <c r="D529" s="12" t="s">
        <v>8863</v>
      </c>
      <c r="E529" s="277" t="str">
        <f t="shared" si="344"/>
        <v>Nepal</v>
      </c>
      <c r="F529" s="12" t="s">
        <v>8864</v>
      </c>
      <c r="G529" s="12" t="s">
        <v>605</v>
      </c>
      <c r="H529" s="12" t="s">
        <v>384</v>
      </c>
      <c r="I529" s="12" t="s">
        <v>907</v>
      </c>
      <c r="J529" s="281" t="s">
        <v>1756</v>
      </c>
      <c r="K529" s="12"/>
      <c r="L529" s="12"/>
      <c r="M529" s="12"/>
      <c r="N529" s="12"/>
      <c r="O529" s="12"/>
      <c r="P529" s="12"/>
      <c r="Q529" s="12"/>
      <c r="R529" s="12"/>
      <c r="S529" s="12"/>
      <c r="T529" s="12"/>
      <c r="U529" s="12"/>
      <c r="V529" s="12"/>
      <c r="W529" s="12"/>
      <c r="X529" s="12"/>
      <c r="Y529" s="12"/>
      <c r="Z529" s="12"/>
      <c r="AA529" s="12"/>
      <c r="AB529" s="12"/>
      <c r="AC529" s="12"/>
      <c r="AD529" s="12"/>
      <c r="BD529" s="13">
        <v>42064</v>
      </c>
      <c r="BE529" s="13">
        <v>42735</v>
      </c>
      <c r="BF529" s="12"/>
      <c r="BG529" s="12" t="s">
        <v>312</v>
      </c>
      <c r="BH529" s="14">
        <v>941176.47</v>
      </c>
      <c r="BI529" s="12" t="s">
        <v>8816</v>
      </c>
      <c r="BJ529" s="12" t="s">
        <v>8865</v>
      </c>
      <c r="BK529" s="12" t="s">
        <v>8817</v>
      </c>
      <c r="BL529" s="12" t="s">
        <v>8818</v>
      </c>
      <c r="BM529" s="12" t="s">
        <v>354</v>
      </c>
      <c r="BN529" s="12" t="s">
        <v>8866</v>
      </c>
      <c r="BO529" s="11" t="s">
        <v>319</v>
      </c>
      <c r="BP529" s="11" t="s">
        <v>320</v>
      </c>
      <c r="BQ529" s="11" t="s">
        <v>319</v>
      </c>
      <c r="BR529" s="12" t="s">
        <v>8867</v>
      </c>
      <c r="BS529" s="12" t="s">
        <v>357</v>
      </c>
      <c r="BT529" s="12" t="s">
        <v>8868</v>
      </c>
      <c r="BU529" s="12" t="s">
        <v>8869</v>
      </c>
      <c r="BV529" s="14">
        <v>7237</v>
      </c>
      <c r="BW529" s="14">
        <v>7625</v>
      </c>
      <c r="BX529" s="14">
        <v>14862</v>
      </c>
      <c r="BY529" s="14">
        <v>115870</v>
      </c>
      <c r="BZ529" s="14">
        <v>53933</v>
      </c>
      <c r="CA529" s="14">
        <v>169803</v>
      </c>
      <c r="CB529" s="12" t="s">
        <v>8870</v>
      </c>
      <c r="CD529" s="14"/>
      <c r="CE529" s="14"/>
      <c r="CF529" s="14"/>
      <c r="CG529" s="14"/>
      <c r="CH529" s="14"/>
      <c r="CI529" s="14"/>
      <c r="CJ529" s="12"/>
      <c r="CK529" s="14"/>
      <c r="CL529" s="16"/>
      <c r="CM529" s="14"/>
      <c r="CN529" s="12"/>
      <c r="CO529" s="14"/>
      <c r="CP529" s="16"/>
      <c r="CQ529" s="14"/>
      <c r="CR529" s="12"/>
      <c r="CS529" s="14"/>
      <c r="CT529" s="16"/>
      <c r="CU529" s="14"/>
      <c r="CV529" s="12"/>
      <c r="CW529" s="14"/>
      <c r="CX529" s="16"/>
      <c r="CY529" s="14"/>
      <c r="CZ529" s="12"/>
      <c r="DA529" s="14"/>
      <c r="DB529" s="16"/>
      <c r="DC529" s="14"/>
      <c r="DD529" s="12"/>
      <c r="DE529" s="14"/>
      <c r="DF529" s="16"/>
      <c r="DG529" s="14"/>
      <c r="DH529" s="12"/>
      <c r="DI529" s="14"/>
      <c r="DJ529" s="16"/>
      <c r="DK529" s="14"/>
      <c r="DL529" s="12"/>
      <c r="DM529" s="14"/>
      <c r="DN529" s="16"/>
      <c r="DO529" s="14"/>
      <c r="DP529" s="12"/>
      <c r="DQ529" s="14"/>
      <c r="DR529" s="16"/>
      <c r="DS529" s="14"/>
      <c r="DT529" s="12"/>
      <c r="DU529" s="14"/>
      <c r="DV529" s="16"/>
      <c r="DW529" s="14"/>
      <c r="DX529" s="12"/>
      <c r="DY529" s="14"/>
      <c r="DZ529" s="16"/>
      <c r="EA529" s="14"/>
      <c r="EB529" s="12"/>
      <c r="EC529" s="14"/>
      <c r="ED529" s="16"/>
      <c r="EE529" s="14"/>
      <c r="EF529" s="12"/>
      <c r="EG529" s="12"/>
      <c r="EH529" s="14"/>
      <c r="EI529" s="16"/>
      <c r="EJ529" s="14"/>
      <c r="EK529" s="14">
        <v>13647</v>
      </c>
      <c r="EL529" s="14">
        <v>13528</v>
      </c>
      <c r="EM529" s="14">
        <v>27175</v>
      </c>
      <c r="EN529" s="14">
        <v>115870</v>
      </c>
      <c r="EO529" s="14">
        <v>53933</v>
      </c>
      <c r="EP529" s="14">
        <v>169803</v>
      </c>
      <c r="EQ529" s="12"/>
      <c r="ER529" s="14"/>
      <c r="ES529" s="16"/>
      <c r="ET529" s="14"/>
      <c r="EU529" s="12"/>
      <c r="EV529" s="14"/>
      <c r="EW529" s="16"/>
      <c r="EX529" s="14"/>
      <c r="EY529" s="12"/>
      <c r="EZ529" s="14"/>
      <c r="FA529" s="16"/>
      <c r="FB529" s="14"/>
      <c r="FC529" s="12" t="s">
        <v>320</v>
      </c>
      <c r="FD529" s="14">
        <v>27175</v>
      </c>
      <c r="FE529" s="16">
        <v>0.50218951241950305</v>
      </c>
      <c r="FF529" s="14">
        <v>169803</v>
      </c>
      <c r="FG529" s="12"/>
      <c r="FH529" s="14"/>
      <c r="FI529" s="16"/>
      <c r="FJ529" s="14"/>
      <c r="FK529" s="12"/>
      <c r="FL529" s="14"/>
      <c r="FM529" s="16"/>
      <c r="FN529" s="14"/>
      <c r="FO529" s="12"/>
      <c r="FP529" s="14"/>
      <c r="FQ529" s="16"/>
      <c r="FR529" s="14"/>
      <c r="FS529" s="12"/>
      <c r="FT529" s="14"/>
      <c r="FU529" s="16"/>
      <c r="FV529" s="14"/>
      <c r="FW529" s="12"/>
      <c r="FX529" s="14"/>
      <c r="FY529" s="16"/>
      <c r="FZ529" s="14"/>
      <c r="GA529" s="12"/>
      <c r="GB529" s="14"/>
      <c r="GC529" s="16"/>
      <c r="GD529" s="14"/>
      <c r="GE529" s="12"/>
      <c r="GF529" s="14"/>
      <c r="GG529" s="16"/>
      <c r="GH529" s="14"/>
      <c r="GI529" s="12"/>
      <c r="GJ529" s="14"/>
      <c r="GK529" s="16"/>
      <c r="GL529" s="14"/>
      <c r="GM529" s="12"/>
      <c r="GN529" s="14"/>
      <c r="GO529" s="16"/>
      <c r="GP529" s="14"/>
      <c r="GQ529" s="12"/>
      <c r="GR529" s="14"/>
      <c r="GS529" s="16"/>
      <c r="GT529" s="14"/>
      <c r="GU529" s="12"/>
      <c r="GV529" s="14"/>
      <c r="GW529" s="16"/>
      <c r="GX529" s="14"/>
      <c r="GY529" s="12"/>
      <c r="GZ529" s="14"/>
      <c r="HA529" s="16"/>
      <c r="HB529" s="14"/>
      <c r="HC529" s="12"/>
      <c r="HD529" s="12"/>
      <c r="HE529" s="14"/>
      <c r="HF529" s="16"/>
      <c r="HG529" s="14"/>
      <c r="HH529" s="12" t="s">
        <v>320</v>
      </c>
      <c r="HI529" s="12" t="s">
        <v>361</v>
      </c>
      <c r="HJ529" s="12">
        <v>2016</v>
      </c>
      <c r="HK529" s="12" t="s">
        <v>320</v>
      </c>
      <c r="HL529" s="12" t="s">
        <v>319</v>
      </c>
      <c r="HM529" s="12"/>
      <c r="HN529" s="12"/>
      <c r="HO529" s="12"/>
      <c r="HP529" s="12" t="s">
        <v>330</v>
      </c>
      <c r="HQ529" s="12" t="s">
        <v>320</v>
      </c>
      <c r="HR529" s="12" t="s">
        <v>320</v>
      </c>
      <c r="HS529" s="12" t="s">
        <v>320</v>
      </c>
      <c r="HT529" s="12" t="s">
        <v>320</v>
      </c>
      <c r="HU529" s="12" t="s">
        <v>320</v>
      </c>
      <c r="HV529" s="12" t="s">
        <v>319</v>
      </c>
      <c r="HW529" s="12" t="s">
        <v>320</v>
      </c>
      <c r="HX529" s="12"/>
      <c r="HY529" s="12"/>
      <c r="HZ529" s="12" t="s">
        <v>394</v>
      </c>
      <c r="IA529" s="12" t="s">
        <v>8871</v>
      </c>
      <c r="IB529" s="12" t="s">
        <v>396</v>
      </c>
      <c r="IC529" s="12" t="s">
        <v>8872</v>
      </c>
      <c r="ID529" s="12"/>
      <c r="IE529" s="12" t="s">
        <v>335</v>
      </c>
      <c r="IF529" s="12" t="s">
        <v>320</v>
      </c>
      <c r="IG529" s="12" t="s">
        <v>319</v>
      </c>
      <c r="IH529" s="12" t="s">
        <v>320</v>
      </c>
      <c r="II529" s="12" t="s">
        <v>320</v>
      </c>
      <c r="IJ529" s="12" t="str">
        <f t="shared" si="345"/>
        <v>1. Neutral</v>
      </c>
      <c r="IK529" s="12">
        <f t="shared" si="346"/>
        <v>3</v>
      </c>
      <c r="IL529" s="12" t="s">
        <v>336</v>
      </c>
      <c r="IM529" s="12" t="s">
        <v>320</v>
      </c>
      <c r="IN529" s="12" t="s">
        <v>320</v>
      </c>
      <c r="IO529" s="12" t="s">
        <v>320</v>
      </c>
      <c r="IP529" s="12" t="s">
        <v>320</v>
      </c>
      <c r="IQ529" s="12" t="str">
        <f t="shared" si="347"/>
        <v>2. Accommodating</v>
      </c>
      <c r="IR529" s="12">
        <f t="shared" si="348"/>
        <v>4</v>
      </c>
      <c r="IS529" s="12" t="s">
        <v>622</v>
      </c>
      <c r="IT529" s="12" t="s">
        <v>320</v>
      </c>
      <c r="IU529" s="12" t="s">
        <v>320</v>
      </c>
      <c r="IV529" s="12" t="s">
        <v>320</v>
      </c>
      <c r="IW529" s="11" t="str">
        <f t="shared" si="349"/>
        <v>4. Transformative</v>
      </c>
      <c r="IX529" s="12">
        <f t="shared" si="350"/>
        <v>3</v>
      </c>
      <c r="IY529" s="12" t="s">
        <v>419</v>
      </c>
      <c r="IZ529" s="12" t="s">
        <v>527</v>
      </c>
      <c r="JA529" s="12">
        <v>3</v>
      </c>
      <c r="JB529" s="12" t="s">
        <v>831</v>
      </c>
      <c r="JC529" s="12" t="s">
        <v>433</v>
      </c>
      <c r="JD529" s="12" t="s">
        <v>433</v>
      </c>
      <c r="JE529" s="12" t="s">
        <v>340</v>
      </c>
      <c r="JF529" s="12" t="s">
        <v>8873</v>
      </c>
      <c r="JG529" s="12"/>
      <c r="JH529" s="12" t="s">
        <v>8874</v>
      </c>
      <c r="JI529" s="12" t="s">
        <v>8875</v>
      </c>
      <c r="JJ529" s="12" t="s">
        <v>8876</v>
      </c>
      <c r="JK529" s="12" t="s">
        <v>8877</v>
      </c>
      <c r="JL529" s="12" t="s">
        <v>8878</v>
      </c>
      <c r="JM529" s="12" t="s">
        <v>8879</v>
      </c>
      <c r="JN529" s="12"/>
      <c r="JO529" s="12" t="s">
        <v>8880</v>
      </c>
      <c r="JP529" s="15">
        <f t="shared" si="351"/>
        <v>27175</v>
      </c>
      <c r="JQ529" s="15">
        <f t="shared" si="352"/>
        <v>169803</v>
      </c>
      <c r="JR529" s="279">
        <f t="shared" si="353"/>
        <v>6.2485004599816003</v>
      </c>
      <c r="JS529" s="17">
        <f t="shared" si="354"/>
        <v>0.50218951241950327</v>
      </c>
      <c r="JT529" s="18">
        <f t="shared" si="355"/>
        <v>0.6823789921261697</v>
      </c>
      <c r="JU529" s="280">
        <f t="shared" si="356"/>
        <v>13647</v>
      </c>
      <c r="JV529" s="280">
        <f t="shared" si="357"/>
        <v>115870</v>
      </c>
      <c r="JW529" s="319" t="str">
        <f t="shared" si="358"/>
        <v/>
      </c>
      <c r="JX529" s="15">
        <f t="shared" si="359"/>
        <v>0</v>
      </c>
      <c r="JY529" s="15">
        <f t="shared" si="360"/>
        <v>0</v>
      </c>
      <c r="JZ529" s="19" t="str">
        <f t="shared" si="361"/>
        <v/>
      </c>
      <c r="KA529" s="52">
        <f t="shared" si="362"/>
        <v>1</v>
      </c>
      <c r="KB529" s="15">
        <f t="shared" si="363"/>
        <v>27175</v>
      </c>
      <c r="KC529" s="15">
        <f t="shared" si="364"/>
        <v>169803</v>
      </c>
      <c r="KD529" s="20">
        <f t="shared" si="365"/>
        <v>6.2485004599816003</v>
      </c>
      <c r="KE529" s="52" t="str">
        <f t="shared" si="366"/>
        <v/>
      </c>
      <c r="KF529" s="15">
        <f t="shared" si="367"/>
        <v>0</v>
      </c>
      <c r="KG529" s="15">
        <f t="shared" si="368"/>
        <v>0</v>
      </c>
      <c r="KH529" s="21" t="str">
        <f t="shared" si="369"/>
        <v/>
      </c>
      <c r="KI529" s="52" t="str">
        <f t="shared" si="370"/>
        <v/>
      </c>
      <c r="KJ529" s="15">
        <f t="shared" si="371"/>
        <v>0</v>
      </c>
      <c r="KK529" s="15">
        <f t="shared" si="372"/>
        <v>0</v>
      </c>
      <c r="KL529" s="19" t="str">
        <f t="shared" si="373"/>
        <v/>
      </c>
      <c r="KM529" s="52" t="str">
        <f t="shared" si="374"/>
        <v/>
      </c>
      <c r="KN529" s="22">
        <f t="shared" si="375"/>
        <v>0</v>
      </c>
      <c r="KO529" s="22">
        <f t="shared" si="376"/>
        <v>0</v>
      </c>
      <c r="KP529" s="19" t="str">
        <f t="shared" si="377"/>
        <v/>
      </c>
      <c r="KQ529" s="11" t="str">
        <f t="shared" si="378"/>
        <v>1. Neutral</v>
      </c>
      <c r="KR529" s="11" t="str">
        <f t="shared" si="379"/>
        <v>2. Accommodating</v>
      </c>
      <c r="KS529" s="11" t="str">
        <f t="shared" si="380"/>
        <v>4. Transformative</v>
      </c>
      <c r="KT529" s="11" t="str">
        <f t="shared" si="381"/>
        <v>It tested new ways for fighting poverty, but did not measure results of innovation</v>
      </c>
      <c r="KU529" s="11" t="str">
        <f t="shared" si="382"/>
        <v>Moderate advocacy</v>
      </c>
      <c r="KV529" s="11" t="str">
        <f t="shared" si="383"/>
        <v>It linked and worked with strategic alliances and partners to take tested and effective solutions to scale</v>
      </c>
      <c r="KW529" s="11" t="str">
        <f t="shared" si="384"/>
        <v>Nepal - VISTAR-II: Strengthening resilience of communities and institutions from the impacts of natural disaster in far and mid western regions og Nepal</v>
      </c>
      <c r="KX529" s="11" t="str">
        <f t="shared" si="385"/>
        <v>VISTAR-II: Strengthening resilience of communities and institutions from the impacts of natural disaster in far and mid western regions og Nepal</v>
      </c>
      <c r="KY529" s="11" t="str">
        <f t="shared" si="386"/>
        <v>Nepal</v>
      </c>
      <c r="KZ529" s="12">
        <v>529</v>
      </c>
    </row>
    <row r="530" spans="1:312" x14ac:dyDescent="0.3">
      <c r="A530" s="282" t="s">
        <v>8647</v>
      </c>
      <c r="B530" s="282" t="s">
        <v>306</v>
      </c>
      <c r="C530" s="282"/>
      <c r="D530" s="282" t="s">
        <v>8676</v>
      </c>
      <c r="E530" s="277" t="str">
        <f t="shared" si="344"/>
        <v>Nepal</v>
      </c>
      <c r="F530" s="282" t="s">
        <v>8677</v>
      </c>
      <c r="G530" s="282" t="s">
        <v>376</v>
      </c>
      <c r="H530" s="282" t="s">
        <v>310</v>
      </c>
      <c r="I530" s="282" t="s">
        <v>377</v>
      </c>
      <c r="J530" s="278" t="s">
        <v>14564</v>
      </c>
      <c r="K530" s="282"/>
      <c r="L530" s="282"/>
      <c r="M530" s="282"/>
      <c r="N530" s="282"/>
      <c r="O530" s="282"/>
      <c r="P530" s="282"/>
      <c r="Q530" s="282"/>
      <c r="R530" s="282"/>
      <c r="S530" s="282"/>
      <c r="T530" s="282"/>
      <c r="U530" s="282"/>
      <c r="V530" s="282"/>
      <c r="W530" s="282"/>
      <c r="X530" s="282"/>
      <c r="Y530" s="282"/>
      <c r="Z530" s="282"/>
      <c r="AA530" s="282"/>
      <c r="AB530" s="282"/>
      <c r="AC530" s="282"/>
      <c r="AD530" s="282"/>
      <c r="AE530" s="282"/>
      <c r="AF530" s="282"/>
      <c r="AG530" s="282"/>
      <c r="AH530" s="282"/>
      <c r="AI530" s="282"/>
      <c r="AJ530" s="282"/>
      <c r="AK530" s="282"/>
      <c r="AL530" s="282"/>
      <c r="AM530" s="282"/>
      <c r="AN530" s="282"/>
      <c r="AO530" s="282"/>
      <c r="AP530" s="282"/>
      <c r="AQ530" s="282"/>
      <c r="AR530" s="282"/>
      <c r="AS530" s="282"/>
      <c r="AT530" s="282"/>
      <c r="AU530" s="282"/>
      <c r="AV530" s="282"/>
      <c r="AW530" s="282"/>
      <c r="AX530" s="282"/>
      <c r="AY530" s="282"/>
      <c r="AZ530" s="282"/>
      <c r="BA530" s="282"/>
      <c r="BB530" s="282"/>
      <c r="BC530" s="282"/>
      <c r="BD530" s="283">
        <v>42783</v>
      </c>
      <c r="BE530" s="283">
        <v>43496</v>
      </c>
      <c r="BF530" s="283"/>
      <c r="BG530" s="283" t="s">
        <v>817</v>
      </c>
      <c r="BH530" s="284">
        <v>1271920</v>
      </c>
      <c r="BI530" s="282" t="s">
        <v>8678</v>
      </c>
      <c r="BJ530" s="282" t="s">
        <v>8679</v>
      </c>
      <c r="BK530" s="282" t="s">
        <v>8680</v>
      </c>
      <c r="BL530" s="282"/>
      <c r="BM530" s="282"/>
      <c r="BN530" s="282"/>
      <c r="BO530" s="282" t="s">
        <v>320</v>
      </c>
      <c r="BP530" s="282" t="s">
        <v>319</v>
      </c>
      <c r="BQ530" s="282" t="s">
        <v>319</v>
      </c>
      <c r="BR530" s="282" t="s">
        <v>8681</v>
      </c>
      <c r="BS530" s="282" t="s">
        <v>357</v>
      </c>
      <c r="BT530" s="282" t="s">
        <v>8682</v>
      </c>
      <c r="BU530" s="282" t="s">
        <v>8683</v>
      </c>
      <c r="BV530" s="284"/>
      <c r="BW530" s="284"/>
      <c r="BX530" s="284"/>
      <c r="BY530" s="284"/>
      <c r="BZ530" s="284"/>
      <c r="CA530" s="284"/>
      <c r="CB530" s="285"/>
      <c r="CC530" s="285"/>
      <c r="CD530" s="284"/>
      <c r="CE530" s="284"/>
      <c r="CF530" s="284"/>
      <c r="CG530" s="284"/>
      <c r="CH530" s="284"/>
      <c r="CI530" s="284"/>
      <c r="CJ530" s="282"/>
      <c r="CK530" s="284"/>
      <c r="CL530" s="286"/>
      <c r="CM530" s="284"/>
      <c r="CN530" s="287"/>
      <c r="CO530" s="284"/>
      <c r="CP530" s="286"/>
      <c r="CQ530" s="284"/>
      <c r="CR530" s="282"/>
      <c r="CS530" s="284"/>
      <c r="CT530" s="286"/>
      <c r="CU530" s="284"/>
      <c r="CV530" s="292"/>
      <c r="CW530" s="290"/>
      <c r="CX530" s="291"/>
      <c r="CY530" s="306"/>
      <c r="CZ530" s="282"/>
      <c r="DA530" s="284"/>
      <c r="DB530" s="286"/>
      <c r="DC530" s="284"/>
      <c r="DD530" s="287"/>
      <c r="DE530" s="284"/>
      <c r="DF530" s="286"/>
      <c r="DG530" s="284"/>
      <c r="DH530" s="282"/>
      <c r="DI530" s="284"/>
      <c r="DJ530" s="286"/>
      <c r="DK530" s="284"/>
      <c r="DL530" s="282"/>
      <c r="DM530" s="284"/>
      <c r="DN530" s="286"/>
      <c r="DO530" s="284"/>
      <c r="DP530" s="282"/>
      <c r="DQ530" s="284"/>
      <c r="DR530" s="286"/>
      <c r="DS530" s="284"/>
      <c r="DT530" s="282" t="s">
        <v>320</v>
      </c>
      <c r="DU530" s="284"/>
      <c r="DV530" s="286"/>
      <c r="DW530" s="284"/>
      <c r="DX530" s="282"/>
      <c r="DY530" s="284"/>
      <c r="DZ530" s="286"/>
      <c r="EA530" s="284"/>
      <c r="EB530" s="282" t="s">
        <v>320</v>
      </c>
      <c r="EC530" s="284"/>
      <c r="ED530" s="286"/>
      <c r="EE530" s="284"/>
      <c r="EF530" s="285"/>
      <c r="EG530" s="287"/>
      <c r="EH530" s="284"/>
      <c r="EI530" s="286"/>
      <c r="EJ530" s="284"/>
      <c r="EK530" s="284"/>
      <c r="EL530" s="284"/>
      <c r="EM530" s="284"/>
      <c r="EN530" s="284"/>
      <c r="EO530" s="284"/>
      <c r="EP530" s="284"/>
      <c r="EQ530" s="282"/>
      <c r="ER530" s="284"/>
      <c r="ES530" s="286"/>
      <c r="ET530" s="284"/>
      <c r="EU530" s="282"/>
      <c r="EV530" s="284"/>
      <c r="EW530" s="286"/>
      <c r="EX530" s="284"/>
      <c r="EY530" s="282"/>
      <c r="EZ530" s="284"/>
      <c r="FA530" s="286"/>
      <c r="FB530" s="284"/>
      <c r="FC530" s="282"/>
      <c r="FD530" s="284"/>
      <c r="FE530" s="286"/>
      <c r="FF530" s="284"/>
      <c r="FG530" s="282"/>
      <c r="FH530" s="284"/>
      <c r="FI530" s="286"/>
      <c r="FJ530" s="284"/>
      <c r="FK530" s="282"/>
      <c r="FL530" s="284"/>
      <c r="FM530" s="286"/>
      <c r="FN530" s="284"/>
      <c r="FO530" s="305"/>
      <c r="FP530" s="300"/>
      <c r="FQ530" s="308"/>
      <c r="FR530" s="300"/>
      <c r="FS530" s="282"/>
      <c r="FT530" s="284"/>
      <c r="FU530" s="286"/>
      <c r="FV530" s="284"/>
      <c r="FW530" s="282"/>
      <c r="FX530" s="284"/>
      <c r="FY530" s="286"/>
      <c r="FZ530" s="284"/>
      <c r="GA530" s="282"/>
      <c r="GB530" s="284"/>
      <c r="GC530" s="286"/>
      <c r="GD530" s="284"/>
      <c r="GE530" s="282"/>
      <c r="GF530" s="284"/>
      <c r="GG530" s="286"/>
      <c r="GH530" s="284"/>
      <c r="GI530" s="282"/>
      <c r="GJ530" s="284"/>
      <c r="GK530" s="286"/>
      <c r="GL530" s="284"/>
      <c r="GM530" s="282"/>
      <c r="GN530" s="284"/>
      <c r="GO530" s="286"/>
      <c r="GP530" s="284"/>
      <c r="GQ530" s="282"/>
      <c r="GR530" s="284"/>
      <c r="GS530" s="286"/>
      <c r="GT530" s="284"/>
      <c r="GU530" s="282"/>
      <c r="GV530" s="284"/>
      <c r="GW530" s="286"/>
      <c r="GX530" s="284"/>
      <c r="GY530" s="282"/>
      <c r="GZ530" s="284"/>
      <c r="HA530" s="286"/>
      <c r="HB530" s="284"/>
      <c r="HC530" s="282"/>
      <c r="HD530" s="282"/>
      <c r="HE530" s="284"/>
      <c r="HF530" s="286"/>
      <c r="HG530" s="284"/>
      <c r="HH530" s="282" t="s">
        <v>7463</v>
      </c>
      <c r="HI530" s="282"/>
      <c r="HJ530" s="282"/>
      <c r="HK530" s="282"/>
      <c r="HL530" s="282" t="s">
        <v>319</v>
      </c>
      <c r="HM530" s="282"/>
      <c r="HN530" s="282">
        <v>2018</v>
      </c>
      <c r="HO530" s="282"/>
      <c r="HP530" s="282"/>
      <c r="HQ530" s="282" t="s">
        <v>319</v>
      </c>
      <c r="HR530" s="282" t="s">
        <v>319</v>
      </c>
      <c r="HS530" s="282" t="s">
        <v>320</v>
      </c>
      <c r="HT530" s="282" t="s">
        <v>320</v>
      </c>
      <c r="HU530" s="282" t="s">
        <v>320</v>
      </c>
      <c r="HV530" s="282" t="s">
        <v>319</v>
      </c>
      <c r="HW530" s="282" t="s">
        <v>319</v>
      </c>
      <c r="HX530" s="282"/>
      <c r="HY530" s="282"/>
      <c r="HZ530" s="282"/>
      <c r="IA530" s="282"/>
      <c r="IB530" s="282"/>
      <c r="IC530" s="282"/>
      <c r="ID530" s="282"/>
      <c r="IE530" s="282" t="s">
        <v>335</v>
      </c>
      <c r="IF530" s="282" t="s">
        <v>320</v>
      </c>
      <c r="IG530" s="282" t="s">
        <v>320</v>
      </c>
      <c r="IH530" s="282" t="s">
        <v>320</v>
      </c>
      <c r="II530" s="282"/>
      <c r="IJ530" s="12" t="str">
        <f t="shared" si="345"/>
        <v>1. Neutral</v>
      </c>
      <c r="IK530" s="287">
        <f t="shared" si="346"/>
        <v>3</v>
      </c>
      <c r="IL530" s="282" t="s">
        <v>336</v>
      </c>
      <c r="IM530" s="282" t="s">
        <v>320</v>
      </c>
      <c r="IN530" s="282" t="s">
        <v>320</v>
      </c>
      <c r="IO530" s="282" t="s">
        <v>320</v>
      </c>
      <c r="IP530" s="282" t="s">
        <v>320</v>
      </c>
      <c r="IQ530" s="287" t="str">
        <f t="shared" si="347"/>
        <v>2. Accommodating</v>
      </c>
      <c r="IR530" s="287">
        <f t="shared" si="348"/>
        <v>4</v>
      </c>
      <c r="IS530" s="282" t="s">
        <v>337</v>
      </c>
      <c r="IT530" s="282" t="s">
        <v>320</v>
      </c>
      <c r="IU530" s="282" t="s">
        <v>320</v>
      </c>
      <c r="IV530" s="282" t="s">
        <v>320</v>
      </c>
      <c r="IW530" s="11" t="str">
        <f t="shared" si="349"/>
        <v>2. Sensitive</v>
      </c>
      <c r="IX530" s="287">
        <f t="shared" si="350"/>
        <v>3</v>
      </c>
      <c r="IY530" s="282"/>
      <c r="IZ530" s="282" t="s">
        <v>527</v>
      </c>
      <c r="JA530" s="282"/>
      <c r="JB530" s="282" t="s">
        <v>433</v>
      </c>
      <c r="JC530" s="282"/>
      <c r="JD530" s="282"/>
      <c r="JE530" s="282"/>
      <c r="JF530" s="282" t="s">
        <v>8684</v>
      </c>
      <c r="JG530" s="282"/>
      <c r="JH530" s="282"/>
      <c r="JI530" s="282"/>
      <c r="JJ530" s="282"/>
      <c r="JK530" s="282"/>
      <c r="JL530" s="282"/>
      <c r="JM530" s="282"/>
      <c r="JN530" s="282"/>
      <c r="JO530" s="282"/>
      <c r="JP530" s="15">
        <f t="shared" si="351"/>
        <v>0</v>
      </c>
      <c r="JQ530" s="15">
        <f t="shared" si="352"/>
        <v>0</v>
      </c>
      <c r="JR530" s="279" t="str">
        <f t="shared" si="353"/>
        <v/>
      </c>
      <c r="JS530" s="17" t="str">
        <f t="shared" si="354"/>
        <v/>
      </c>
      <c r="JT530" s="18" t="str">
        <f t="shared" si="355"/>
        <v/>
      </c>
      <c r="JU530" s="280">
        <f t="shared" si="356"/>
        <v>0</v>
      </c>
      <c r="JV530" s="280">
        <f t="shared" si="357"/>
        <v>0</v>
      </c>
      <c r="JW530" s="319">
        <f t="shared" si="358"/>
        <v>1</v>
      </c>
      <c r="JX530" s="15">
        <f t="shared" si="359"/>
        <v>0</v>
      </c>
      <c r="JY530" s="15">
        <f t="shared" si="360"/>
        <v>0</v>
      </c>
      <c r="JZ530" s="19" t="str">
        <f t="shared" si="361"/>
        <v/>
      </c>
      <c r="KA530" s="52" t="str">
        <f t="shared" si="362"/>
        <v/>
      </c>
      <c r="KB530" s="15">
        <f t="shared" si="363"/>
        <v>0</v>
      </c>
      <c r="KC530" s="15">
        <f t="shared" si="364"/>
        <v>0</v>
      </c>
      <c r="KD530" s="20" t="str">
        <f t="shared" si="365"/>
        <v/>
      </c>
      <c r="KE530" s="52">
        <f t="shared" si="366"/>
        <v>1</v>
      </c>
      <c r="KF530" s="15">
        <f t="shared" si="367"/>
        <v>0</v>
      </c>
      <c r="KG530" s="15">
        <f t="shared" si="368"/>
        <v>0</v>
      </c>
      <c r="KH530" s="21" t="str">
        <f t="shared" si="369"/>
        <v/>
      </c>
      <c r="KI530" s="52" t="str">
        <f t="shared" si="370"/>
        <v/>
      </c>
      <c r="KJ530" s="15">
        <f t="shared" si="371"/>
        <v>0</v>
      </c>
      <c r="KK530" s="15">
        <f t="shared" si="372"/>
        <v>0</v>
      </c>
      <c r="KL530" s="19" t="str">
        <f t="shared" si="373"/>
        <v/>
      </c>
      <c r="KM530" s="52" t="str">
        <f t="shared" si="374"/>
        <v/>
      </c>
      <c r="KN530" s="22">
        <f t="shared" si="375"/>
        <v>0</v>
      </c>
      <c r="KO530" s="22">
        <f t="shared" si="376"/>
        <v>0</v>
      </c>
      <c r="KP530" s="19" t="str">
        <f t="shared" si="377"/>
        <v/>
      </c>
      <c r="KQ530" s="11" t="str">
        <f t="shared" si="378"/>
        <v>1. Neutral</v>
      </c>
      <c r="KR530" s="11" t="str">
        <f t="shared" si="379"/>
        <v>2. Accommodating</v>
      </c>
      <c r="KS530" s="11" t="str">
        <f t="shared" si="380"/>
        <v>2. Sensitive</v>
      </c>
      <c r="KT530" s="11">
        <f t="shared" si="381"/>
        <v>0</v>
      </c>
      <c r="KU530" s="11">
        <f t="shared" si="382"/>
        <v>0</v>
      </c>
      <c r="KV530" s="11">
        <f t="shared" si="383"/>
        <v>0</v>
      </c>
      <c r="KW530" s="11" t="str">
        <f t="shared" si="384"/>
        <v>Nepal - WASH Recovery Assistance to Earthquake Affected Communities of Dhading and Sindhupalchowk</v>
      </c>
      <c r="KX530" s="11" t="str">
        <f t="shared" si="385"/>
        <v>WASH Recovery Assistance to Earthquake Affected Communities of Dhading and Sindhupalchowk</v>
      </c>
      <c r="KY530" s="11" t="str">
        <f t="shared" si="386"/>
        <v>Nepal</v>
      </c>
      <c r="KZ530" s="287">
        <v>530</v>
      </c>
    </row>
    <row r="531" spans="1:312" x14ac:dyDescent="0.3">
      <c r="A531" s="12" t="s">
        <v>9020</v>
      </c>
      <c r="B531" s="12" t="s">
        <v>602</v>
      </c>
      <c r="C531" s="12"/>
      <c r="D531" s="12" t="s">
        <v>9038</v>
      </c>
      <c r="E531" s="277" t="str">
        <f t="shared" si="344"/>
        <v>Netherlands</v>
      </c>
      <c r="F531" s="12"/>
      <c r="G531" s="12" t="s">
        <v>608</v>
      </c>
      <c r="H531" s="12"/>
      <c r="I531" s="12"/>
      <c r="J531" s="281"/>
      <c r="K531" s="12"/>
      <c r="L531" s="12"/>
      <c r="M531" s="12"/>
      <c r="N531" s="12"/>
      <c r="O531" s="12"/>
      <c r="P531" s="12"/>
      <c r="Q531" s="12"/>
      <c r="R531" s="12"/>
      <c r="S531" s="12"/>
      <c r="T531" s="12"/>
      <c r="U531" s="12"/>
      <c r="V531" s="12"/>
      <c r="W531" s="12"/>
      <c r="X531" s="12"/>
      <c r="Y531" s="12"/>
      <c r="Z531" s="12"/>
      <c r="AA531" s="12"/>
      <c r="AB531" s="12"/>
      <c r="AC531" s="12"/>
      <c r="AD531" s="12"/>
      <c r="BD531" s="13">
        <v>42552</v>
      </c>
      <c r="BE531" s="13">
        <v>42916</v>
      </c>
      <c r="BF531" s="12"/>
      <c r="BG531" s="12" t="s">
        <v>817</v>
      </c>
      <c r="BH531" s="14"/>
      <c r="BI531" s="12" t="s">
        <v>9039</v>
      </c>
      <c r="BJ531" s="12" t="s">
        <v>4322</v>
      </c>
      <c r="BK531" s="12" t="s">
        <v>9040</v>
      </c>
      <c r="BL531" s="12"/>
      <c r="BM531" s="12"/>
      <c r="BN531" s="12"/>
      <c r="BO531" s="12" t="s">
        <v>320</v>
      </c>
      <c r="BP531" s="12" t="s">
        <v>319</v>
      </c>
      <c r="BQ531" s="12" t="s">
        <v>319</v>
      </c>
      <c r="BR531" s="12"/>
      <c r="BS531" s="12" t="s">
        <v>322</v>
      </c>
      <c r="BT531" s="12"/>
      <c r="BU531" s="12"/>
      <c r="BV531" s="14"/>
      <c r="BW531" s="14"/>
      <c r="BX531" s="14"/>
      <c r="BY531" s="14"/>
      <c r="BZ531" s="14"/>
      <c r="CA531" s="14"/>
      <c r="CB531" s="12"/>
      <c r="CD531" s="14"/>
      <c r="CE531" s="14"/>
      <c r="CF531" s="14"/>
      <c r="CG531" s="14"/>
      <c r="CH531" s="14"/>
      <c r="CI531" s="14"/>
      <c r="CJ531" s="12"/>
      <c r="CK531" s="14"/>
      <c r="CL531" s="16"/>
      <c r="CM531" s="14"/>
      <c r="CN531" s="12"/>
      <c r="CO531" s="14"/>
      <c r="CP531" s="16"/>
      <c r="CQ531" s="14"/>
      <c r="CR531" s="12"/>
      <c r="CS531" s="14"/>
      <c r="CT531" s="16"/>
      <c r="CU531" s="14"/>
      <c r="CV531" s="12"/>
      <c r="CW531" s="14"/>
      <c r="CX531" s="16"/>
      <c r="CY531" s="14"/>
      <c r="CZ531" s="12"/>
      <c r="DA531" s="14"/>
      <c r="DB531" s="16"/>
      <c r="DC531" s="14"/>
      <c r="DD531" s="12"/>
      <c r="DE531" s="14"/>
      <c r="DF531" s="16"/>
      <c r="DG531" s="14"/>
      <c r="DH531" s="12"/>
      <c r="DI531" s="14"/>
      <c r="DJ531" s="16"/>
      <c r="DK531" s="14"/>
      <c r="DL531" s="12"/>
      <c r="DM531" s="14"/>
      <c r="DN531" s="16"/>
      <c r="DO531" s="14"/>
      <c r="DP531" s="12"/>
      <c r="DQ531" s="14"/>
      <c r="DR531" s="16"/>
      <c r="DS531" s="14"/>
      <c r="DT531" s="12"/>
      <c r="DU531" s="14"/>
      <c r="DV531" s="16"/>
      <c r="DW531" s="14"/>
      <c r="DX531" s="12"/>
      <c r="DY531" s="14"/>
      <c r="DZ531" s="16"/>
      <c r="EA531" s="14"/>
      <c r="EB531" s="12"/>
      <c r="EC531" s="14"/>
      <c r="ED531" s="16"/>
      <c r="EE531" s="14"/>
      <c r="EF531" s="12"/>
      <c r="EG531" s="12"/>
      <c r="EH531" s="14"/>
      <c r="EI531" s="16"/>
      <c r="EJ531" s="14"/>
      <c r="EK531" s="14"/>
      <c r="EL531" s="14"/>
      <c r="EM531" s="14"/>
      <c r="EN531" s="14"/>
      <c r="EO531" s="14"/>
      <c r="EP531" s="14"/>
      <c r="EQ531" s="12"/>
      <c r="ER531" s="14"/>
      <c r="ES531" s="16"/>
      <c r="ET531" s="14"/>
      <c r="EU531" s="12"/>
      <c r="EV531" s="14"/>
      <c r="EW531" s="16"/>
      <c r="EX531" s="14"/>
      <c r="EY531" s="12"/>
      <c r="EZ531" s="14"/>
      <c r="FA531" s="16"/>
      <c r="FB531" s="14"/>
      <c r="FC531" s="12"/>
      <c r="FD531" s="14"/>
      <c r="FE531" s="16"/>
      <c r="FF531" s="14"/>
      <c r="FG531" s="12"/>
      <c r="FH531" s="14"/>
      <c r="FI531" s="16"/>
      <c r="FJ531" s="14"/>
      <c r="FK531" s="12"/>
      <c r="FL531" s="14"/>
      <c r="FM531" s="16"/>
      <c r="FN531" s="14"/>
      <c r="FO531" s="12"/>
      <c r="FP531" s="14"/>
      <c r="FQ531" s="16"/>
      <c r="FR531" s="14"/>
      <c r="FS531" s="12"/>
      <c r="FT531" s="14"/>
      <c r="FU531" s="16"/>
      <c r="FV531" s="14"/>
      <c r="FW531" s="12"/>
      <c r="FX531" s="14"/>
      <c r="FY531" s="16"/>
      <c r="FZ531" s="14"/>
      <c r="GA531" s="12"/>
      <c r="GB531" s="14"/>
      <c r="GC531" s="16"/>
      <c r="GD531" s="14"/>
      <c r="GE531" s="12"/>
      <c r="GF531" s="14"/>
      <c r="GG531" s="16"/>
      <c r="GH531" s="14"/>
      <c r="GI531" s="12"/>
      <c r="GJ531" s="14"/>
      <c r="GK531" s="16"/>
      <c r="GL531" s="14"/>
      <c r="GM531" s="12"/>
      <c r="GN531" s="14"/>
      <c r="GO531" s="16"/>
      <c r="GP531" s="14"/>
      <c r="GQ531" s="12"/>
      <c r="GR531" s="14"/>
      <c r="GS531" s="16"/>
      <c r="GT531" s="14"/>
      <c r="GU531" s="12"/>
      <c r="GV531" s="14"/>
      <c r="GW531" s="16"/>
      <c r="GX531" s="14"/>
      <c r="GY531" s="12"/>
      <c r="GZ531" s="14"/>
      <c r="HA531" s="16"/>
      <c r="HB531" s="14"/>
      <c r="HC531" s="12"/>
      <c r="HD531" s="12"/>
      <c r="HE531" s="14"/>
      <c r="HF531" s="16"/>
      <c r="HG531" s="14"/>
      <c r="HH531" s="12"/>
      <c r="HI531" s="12"/>
      <c r="HJ531" s="12"/>
      <c r="HK531" s="12"/>
      <c r="HL531" s="12"/>
      <c r="HM531" s="12"/>
      <c r="HN531" s="12"/>
      <c r="HO531" s="12"/>
      <c r="HP531" s="12" t="s">
        <v>453</v>
      </c>
      <c r="HQ531" s="12"/>
      <c r="HR531" s="12"/>
      <c r="HS531" s="12"/>
      <c r="HT531" s="12"/>
      <c r="HU531" s="12" t="s">
        <v>320</v>
      </c>
      <c r="HV531" s="12"/>
      <c r="HW531" s="12" t="s">
        <v>320</v>
      </c>
      <c r="HX531" s="12"/>
      <c r="HY531" s="12" t="s">
        <v>9041</v>
      </c>
      <c r="HZ531" s="12"/>
      <c r="IA531" s="12"/>
      <c r="IB531" s="12"/>
      <c r="IC531" s="12"/>
      <c r="ID531" s="12"/>
      <c r="IE531" s="12"/>
      <c r="IF531" s="12"/>
      <c r="IG531" s="12"/>
      <c r="IH531" s="12"/>
      <c r="II531" s="12"/>
      <c r="IJ531" s="12" t="str">
        <f t="shared" si="345"/>
        <v>No marker score</v>
      </c>
      <c r="IK531" s="12">
        <f t="shared" si="346"/>
        <v>0</v>
      </c>
      <c r="IL531" s="12"/>
      <c r="IM531" s="12"/>
      <c r="IN531" s="12"/>
      <c r="IO531" s="12"/>
      <c r="IP531" s="12"/>
      <c r="IQ531" s="12" t="str">
        <f t="shared" si="347"/>
        <v>No marker score</v>
      </c>
      <c r="IR531" s="12">
        <f t="shared" si="348"/>
        <v>0</v>
      </c>
      <c r="IS531" s="12"/>
      <c r="IT531" s="12"/>
      <c r="IU531" s="12"/>
      <c r="IV531" s="12"/>
      <c r="IW531" s="11" t="str">
        <f t="shared" si="349"/>
        <v>No marker score</v>
      </c>
      <c r="IX531" s="12">
        <f t="shared" si="350"/>
        <v>0</v>
      </c>
      <c r="IY531" s="12"/>
      <c r="IZ531" s="12"/>
      <c r="JA531" s="12"/>
      <c r="JB531" s="12"/>
      <c r="JC531" s="12"/>
      <c r="JD531" s="12"/>
      <c r="JE531" s="12"/>
      <c r="JF531" s="12"/>
      <c r="JG531" s="12"/>
      <c r="JH531" s="12"/>
      <c r="JI531" s="12"/>
      <c r="JJ531" s="12"/>
      <c r="JK531" s="12"/>
      <c r="JL531" s="12"/>
      <c r="JM531" s="12"/>
      <c r="JN531" s="12"/>
      <c r="JO531" s="12"/>
      <c r="JP531" s="15">
        <f t="shared" si="351"/>
        <v>0</v>
      </c>
      <c r="JQ531" s="15">
        <f t="shared" si="352"/>
        <v>0</v>
      </c>
      <c r="JR531" s="279" t="str">
        <f t="shared" si="353"/>
        <v/>
      </c>
      <c r="JS531" s="17" t="str">
        <f t="shared" si="354"/>
        <v/>
      </c>
      <c r="JT531" s="18" t="str">
        <f t="shared" si="355"/>
        <v/>
      </c>
      <c r="JU531" s="280">
        <f t="shared" si="356"/>
        <v>0</v>
      </c>
      <c r="JV531" s="280">
        <f t="shared" si="357"/>
        <v>0</v>
      </c>
      <c r="JW531" s="319">
        <f t="shared" si="358"/>
        <v>1</v>
      </c>
      <c r="JX531" s="15">
        <f t="shared" si="359"/>
        <v>0</v>
      </c>
      <c r="JY531" s="15">
        <f t="shared" si="360"/>
        <v>0</v>
      </c>
      <c r="JZ531" s="19" t="str">
        <f t="shared" si="361"/>
        <v/>
      </c>
      <c r="KA531" s="52" t="str">
        <f t="shared" si="362"/>
        <v/>
      </c>
      <c r="KB531" s="15">
        <f t="shared" si="363"/>
        <v>0</v>
      </c>
      <c r="KC531" s="15">
        <f t="shared" si="364"/>
        <v>0</v>
      </c>
      <c r="KD531" s="20" t="str">
        <f t="shared" si="365"/>
        <v/>
      </c>
      <c r="KE531" s="52" t="str">
        <f t="shared" si="366"/>
        <v/>
      </c>
      <c r="KF531" s="15">
        <f t="shared" si="367"/>
        <v>0</v>
      </c>
      <c r="KG531" s="15">
        <f t="shared" si="368"/>
        <v>0</v>
      </c>
      <c r="KH531" s="21" t="str">
        <f t="shared" si="369"/>
        <v/>
      </c>
      <c r="KI531" s="52" t="str">
        <f t="shared" si="370"/>
        <v/>
      </c>
      <c r="KJ531" s="15">
        <f t="shared" si="371"/>
        <v>0</v>
      </c>
      <c r="KK531" s="15">
        <f t="shared" si="372"/>
        <v>0</v>
      </c>
      <c r="KL531" s="19" t="str">
        <f t="shared" si="373"/>
        <v/>
      </c>
      <c r="KM531" s="52" t="str">
        <f t="shared" si="374"/>
        <v/>
      </c>
      <c r="KN531" s="22">
        <f t="shared" si="375"/>
        <v>0</v>
      </c>
      <c r="KO531" s="22">
        <f t="shared" si="376"/>
        <v>0</v>
      </c>
      <c r="KP531" s="19" t="str">
        <f t="shared" si="377"/>
        <v/>
      </c>
      <c r="KQ531" s="11" t="str">
        <f t="shared" si="378"/>
        <v>No marker score</v>
      </c>
      <c r="KR531" s="11" t="str">
        <f t="shared" si="379"/>
        <v>No marker score</v>
      </c>
      <c r="KS531" s="11" t="str">
        <f t="shared" si="380"/>
        <v>No marker score</v>
      </c>
      <c r="KT531" s="11">
        <f t="shared" si="381"/>
        <v>0</v>
      </c>
      <c r="KU531" s="11" t="str">
        <f t="shared" si="382"/>
        <v>Intensive advocacy</v>
      </c>
      <c r="KV531" s="11">
        <f t="shared" si="383"/>
        <v>0</v>
      </c>
      <c r="KW531" s="11" t="str">
        <f t="shared" si="384"/>
        <v>Netherlands - Humanitarian Advocacy FY17</v>
      </c>
      <c r="KX531" s="11" t="str">
        <f t="shared" si="385"/>
        <v>Humanitarian Advocacy FY17</v>
      </c>
      <c r="KY531" s="11" t="str">
        <f t="shared" si="386"/>
        <v>Netherlands</v>
      </c>
      <c r="KZ531" s="12">
        <v>531</v>
      </c>
    </row>
    <row r="532" spans="1:312" x14ac:dyDescent="0.3">
      <c r="A532" s="282" t="s">
        <v>9020</v>
      </c>
      <c r="B532" s="282" t="s">
        <v>602</v>
      </c>
      <c r="C532" s="282"/>
      <c r="D532" s="282" t="s">
        <v>9021</v>
      </c>
      <c r="E532" s="277" t="str">
        <f t="shared" si="344"/>
        <v>Netherlands</v>
      </c>
      <c r="F532" s="282" t="s">
        <v>9022</v>
      </c>
      <c r="G532" s="282" t="s">
        <v>425</v>
      </c>
      <c r="H532" s="282" t="s">
        <v>310</v>
      </c>
      <c r="I532" s="282" t="s">
        <v>426</v>
      </c>
      <c r="J532" s="281" t="s">
        <v>14563</v>
      </c>
      <c r="K532" s="282"/>
      <c r="L532" s="282"/>
      <c r="M532" s="282"/>
      <c r="N532" s="282"/>
      <c r="O532" s="282"/>
      <c r="P532" s="282"/>
      <c r="Q532" s="282"/>
      <c r="R532" s="282"/>
      <c r="S532" s="282"/>
      <c r="T532" s="282"/>
      <c r="U532" s="282"/>
      <c r="V532" s="282"/>
      <c r="W532" s="282"/>
      <c r="X532" s="282"/>
      <c r="Y532" s="282"/>
      <c r="Z532" s="282"/>
      <c r="AA532" s="282"/>
      <c r="AB532" s="282"/>
      <c r="AC532" s="282"/>
      <c r="AD532" s="282"/>
      <c r="AE532" s="282"/>
      <c r="AF532" s="282"/>
      <c r="AG532" s="282"/>
      <c r="AH532" s="282"/>
      <c r="AI532" s="282"/>
      <c r="AJ532" s="282"/>
      <c r="AK532" s="282"/>
      <c r="AL532" s="282"/>
      <c r="AM532" s="282"/>
      <c r="AN532" s="282"/>
      <c r="AO532" s="282"/>
      <c r="AP532" s="282"/>
      <c r="AQ532" s="282"/>
      <c r="AR532" s="282"/>
      <c r="AS532" s="282"/>
      <c r="AT532" s="282"/>
      <c r="AU532" s="282"/>
      <c r="AV532" s="282"/>
      <c r="AW532" s="282"/>
      <c r="AX532" s="282"/>
      <c r="AY532" s="282"/>
      <c r="AZ532" s="282"/>
      <c r="BA532" s="282"/>
      <c r="BB532" s="282"/>
      <c r="BC532" s="282"/>
      <c r="BD532" s="283">
        <v>42370</v>
      </c>
      <c r="BE532" s="283">
        <v>44196</v>
      </c>
      <c r="BF532" s="283"/>
      <c r="BG532" s="283" t="s">
        <v>749</v>
      </c>
      <c r="BH532" s="284">
        <v>10483799.560000001</v>
      </c>
      <c r="BI532" s="282" t="s">
        <v>9023</v>
      </c>
      <c r="BJ532" s="282" t="s">
        <v>9024</v>
      </c>
      <c r="BK532" s="282" t="s">
        <v>9025</v>
      </c>
      <c r="BL532" s="282"/>
      <c r="BM532" s="282"/>
      <c r="BN532" s="282"/>
      <c r="BO532" s="282" t="s">
        <v>319</v>
      </c>
      <c r="BP532" s="282" t="s">
        <v>320</v>
      </c>
      <c r="BQ532" s="282" t="s">
        <v>319</v>
      </c>
      <c r="BR532" s="282" t="s">
        <v>9026</v>
      </c>
      <c r="BS532" s="282" t="s">
        <v>849</v>
      </c>
      <c r="BT532" s="282" t="s">
        <v>9027</v>
      </c>
      <c r="BU532" s="282"/>
      <c r="BV532" s="284"/>
      <c r="BW532" s="284"/>
      <c r="BX532" s="284"/>
      <c r="BY532" s="284"/>
      <c r="BZ532" s="284"/>
      <c r="CA532" s="284"/>
      <c r="CB532" s="285"/>
      <c r="CC532" s="285"/>
      <c r="CD532" s="284"/>
      <c r="CE532" s="284"/>
      <c r="CF532" s="284"/>
      <c r="CG532" s="284"/>
      <c r="CH532" s="284"/>
      <c r="CI532" s="284"/>
      <c r="CJ532" s="282"/>
      <c r="CK532" s="284"/>
      <c r="CL532" s="286"/>
      <c r="CM532" s="284"/>
      <c r="CN532" s="287"/>
      <c r="CO532" s="284"/>
      <c r="CP532" s="286"/>
      <c r="CQ532" s="284"/>
      <c r="CR532" s="282"/>
      <c r="CS532" s="284"/>
      <c r="CT532" s="286"/>
      <c r="CU532" s="284"/>
      <c r="CV532" s="292"/>
      <c r="CW532" s="290"/>
      <c r="CX532" s="291"/>
      <c r="CY532" s="306"/>
      <c r="CZ532" s="282"/>
      <c r="DA532" s="284"/>
      <c r="DB532" s="286"/>
      <c r="DC532" s="284"/>
      <c r="DD532" s="287"/>
      <c r="DE532" s="284"/>
      <c r="DF532" s="286"/>
      <c r="DG532" s="284"/>
      <c r="DH532" s="282"/>
      <c r="DI532" s="284"/>
      <c r="DJ532" s="286"/>
      <c r="DK532" s="284"/>
      <c r="DL532" s="282"/>
      <c r="DM532" s="284"/>
      <c r="DN532" s="286"/>
      <c r="DO532" s="284"/>
      <c r="DP532" s="282"/>
      <c r="DQ532" s="284"/>
      <c r="DR532" s="286"/>
      <c r="DS532" s="284"/>
      <c r="DT532" s="282"/>
      <c r="DU532" s="284"/>
      <c r="DV532" s="286"/>
      <c r="DW532" s="284"/>
      <c r="DX532" s="282"/>
      <c r="DY532" s="284"/>
      <c r="DZ532" s="286"/>
      <c r="EA532" s="284"/>
      <c r="EB532" s="282"/>
      <c r="EC532" s="284"/>
      <c r="ED532" s="286"/>
      <c r="EE532" s="284"/>
      <c r="EF532" s="285"/>
      <c r="EG532" s="287"/>
      <c r="EH532" s="284"/>
      <c r="EI532" s="286"/>
      <c r="EJ532" s="284"/>
      <c r="EK532" s="284"/>
      <c r="EL532" s="284"/>
      <c r="EM532" s="284"/>
      <c r="EN532" s="284"/>
      <c r="EO532" s="284"/>
      <c r="EP532" s="284"/>
      <c r="EQ532" s="282"/>
      <c r="ER532" s="284"/>
      <c r="ES532" s="286"/>
      <c r="ET532" s="284"/>
      <c r="EU532" s="282"/>
      <c r="EV532" s="284"/>
      <c r="EW532" s="286"/>
      <c r="EX532" s="284"/>
      <c r="EY532" s="282"/>
      <c r="EZ532" s="284"/>
      <c r="FA532" s="286"/>
      <c r="FB532" s="284"/>
      <c r="FC532" s="282"/>
      <c r="FD532" s="284"/>
      <c r="FE532" s="286"/>
      <c r="FF532" s="284"/>
      <c r="FG532" s="282"/>
      <c r="FH532" s="284"/>
      <c r="FI532" s="286"/>
      <c r="FJ532" s="284"/>
      <c r="FK532" s="282"/>
      <c r="FL532" s="284"/>
      <c r="FM532" s="286"/>
      <c r="FN532" s="284"/>
      <c r="FO532" s="305"/>
      <c r="FP532" s="300"/>
      <c r="FQ532" s="308"/>
      <c r="FR532" s="300"/>
      <c r="FS532" s="282"/>
      <c r="FT532" s="284"/>
      <c r="FU532" s="286"/>
      <c r="FV532" s="284"/>
      <c r="FW532" s="282"/>
      <c r="FX532" s="284"/>
      <c r="FY532" s="286"/>
      <c r="FZ532" s="284"/>
      <c r="GA532" s="282"/>
      <c r="GB532" s="284"/>
      <c r="GC532" s="286"/>
      <c r="GD532" s="284"/>
      <c r="GE532" s="282"/>
      <c r="GF532" s="284"/>
      <c r="GG532" s="286"/>
      <c r="GH532" s="284"/>
      <c r="GI532" s="282"/>
      <c r="GJ532" s="284"/>
      <c r="GK532" s="286"/>
      <c r="GL532" s="284"/>
      <c r="GM532" s="282"/>
      <c r="GN532" s="284"/>
      <c r="GO532" s="286"/>
      <c r="GP532" s="284"/>
      <c r="GQ532" s="282"/>
      <c r="GR532" s="284"/>
      <c r="GS532" s="286"/>
      <c r="GT532" s="284"/>
      <c r="GU532" s="282"/>
      <c r="GV532" s="284"/>
      <c r="GW532" s="286"/>
      <c r="GX532" s="284"/>
      <c r="GY532" s="282"/>
      <c r="GZ532" s="284"/>
      <c r="HA532" s="286"/>
      <c r="HB532" s="284"/>
      <c r="HC532" s="282"/>
      <c r="HD532" s="282"/>
      <c r="HE532" s="284"/>
      <c r="HF532" s="286"/>
      <c r="HG532" s="284"/>
      <c r="HH532" s="282" t="s">
        <v>319</v>
      </c>
      <c r="HI532" s="282"/>
      <c r="HJ532" s="282"/>
      <c r="HK532" s="282" t="s">
        <v>319</v>
      </c>
      <c r="HL532" s="282" t="s">
        <v>319</v>
      </c>
      <c r="HM532" s="282"/>
      <c r="HN532" s="282"/>
      <c r="HO532" s="282"/>
      <c r="HP532" s="282" t="s">
        <v>453</v>
      </c>
      <c r="HQ532" s="282" t="s">
        <v>319</v>
      </c>
      <c r="HR532" s="282" t="s">
        <v>319</v>
      </c>
      <c r="HS532" s="282" t="s">
        <v>319</v>
      </c>
      <c r="HT532" s="282" t="s">
        <v>319</v>
      </c>
      <c r="HU532" s="282" t="s">
        <v>319</v>
      </c>
      <c r="HV532" s="282" t="s">
        <v>319</v>
      </c>
      <c r="HW532" s="282" t="s">
        <v>319</v>
      </c>
      <c r="HX532" s="282" t="s">
        <v>320</v>
      </c>
      <c r="HY532" s="282" t="s">
        <v>9028</v>
      </c>
      <c r="HZ532" s="282" t="s">
        <v>363</v>
      </c>
      <c r="IA532" s="282"/>
      <c r="IB532" s="282" t="s">
        <v>396</v>
      </c>
      <c r="IC532" s="282" t="s">
        <v>9029</v>
      </c>
      <c r="ID532" s="282" t="s">
        <v>364</v>
      </c>
      <c r="IE532" s="282"/>
      <c r="IF532" s="282"/>
      <c r="IG532" s="282"/>
      <c r="IH532" s="282"/>
      <c r="II532" s="282"/>
      <c r="IJ532" s="12" t="str">
        <f t="shared" si="345"/>
        <v>No marker score</v>
      </c>
      <c r="IK532" s="287">
        <f t="shared" si="346"/>
        <v>0</v>
      </c>
      <c r="IL532" s="282"/>
      <c r="IM532" s="282"/>
      <c r="IN532" s="282"/>
      <c r="IO532" s="282"/>
      <c r="IP532" s="282"/>
      <c r="IQ532" s="287" t="str">
        <f t="shared" si="347"/>
        <v>No marker score</v>
      </c>
      <c r="IR532" s="287">
        <f t="shared" si="348"/>
        <v>0</v>
      </c>
      <c r="IS532" s="282"/>
      <c r="IT532" s="282"/>
      <c r="IU532" s="282"/>
      <c r="IV532" s="282"/>
      <c r="IW532" s="11" t="str">
        <f t="shared" si="349"/>
        <v>No marker score</v>
      </c>
      <c r="IX532" s="287">
        <f t="shared" si="350"/>
        <v>0</v>
      </c>
      <c r="IY532" s="282"/>
      <c r="IZ532" s="282"/>
      <c r="JA532" s="282"/>
      <c r="JB532" s="282"/>
      <c r="JC532" s="282"/>
      <c r="JD532" s="282"/>
      <c r="JE532" s="282"/>
      <c r="JF532" s="282"/>
      <c r="JG532" s="282"/>
      <c r="JH532" s="282"/>
      <c r="JI532" s="282"/>
      <c r="JJ532" s="282"/>
      <c r="JK532" s="282"/>
      <c r="JL532" s="282"/>
      <c r="JM532" s="282"/>
      <c r="JN532" s="282"/>
      <c r="JO532" s="282"/>
      <c r="JP532" s="15">
        <f t="shared" si="351"/>
        <v>0</v>
      </c>
      <c r="JQ532" s="15">
        <f t="shared" si="352"/>
        <v>0</v>
      </c>
      <c r="JR532" s="279" t="str">
        <f t="shared" si="353"/>
        <v/>
      </c>
      <c r="JS532" s="17" t="str">
        <f t="shared" si="354"/>
        <v/>
      </c>
      <c r="JT532" s="18" t="str">
        <f t="shared" si="355"/>
        <v/>
      </c>
      <c r="JU532" s="280">
        <f t="shared" si="356"/>
        <v>0</v>
      </c>
      <c r="JV532" s="280">
        <f t="shared" si="357"/>
        <v>0</v>
      </c>
      <c r="JW532" s="319" t="str">
        <f t="shared" si="358"/>
        <v/>
      </c>
      <c r="JX532" s="15">
        <f t="shared" si="359"/>
        <v>0</v>
      </c>
      <c r="JY532" s="15">
        <f t="shared" si="360"/>
        <v>0</v>
      </c>
      <c r="JZ532" s="19" t="str">
        <f t="shared" si="361"/>
        <v/>
      </c>
      <c r="KA532" s="52" t="str">
        <f t="shared" si="362"/>
        <v/>
      </c>
      <c r="KB532" s="15">
        <f t="shared" si="363"/>
        <v>0</v>
      </c>
      <c r="KC532" s="15">
        <f t="shared" si="364"/>
        <v>0</v>
      </c>
      <c r="KD532" s="20" t="str">
        <f t="shared" si="365"/>
        <v/>
      </c>
      <c r="KE532" s="52" t="str">
        <f t="shared" si="366"/>
        <v/>
      </c>
      <c r="KF532" s="15">
        <f t="shared" si="367"/>
        <v>0</v>
      </c>
      <c r="KG532" s="15">
        <f t="shared" si="368"/>
        <v>0</v>
      </c>
      <c r="KH532" s="21" t="str">
        <f t="shared" si="369"/>
        <v/>
      </c>
      <c r="KI532" s="52" t="str">
        <f t="shared" si="370"/>
        <v/>
      </c>
      <c r="KJ532" s="15">
        <f t="shared" si="371"/>
        <v>0</v>
      </c>
      <c r="KK532" s="15">
        <f t="shared" si="372"/>
        <v>0</v>
      </c>
      <c r="KL532" s="19" t="str">
        <f t="shared" si="373"/>
        <v/>
      </c>
      <c r="KM532" s="52" t="str">
        <f t="shared" si="374"/>
        <v/>
      </c>
      <c r="KN532" s="22">
        <f t="shared" si="375"/>
        <v>0</v>
      </c>
      <c r="KO532" s="22">
        <f t="shared" si="376"/>
        <v>0</v>
      </c>
      <c r="KP532" s="19" t="str">
        <f t="shared" si="377"/>
        <v/>
      </c>
      <c r="KQ532" s="11" t="str">
        <f t="shared" si="378"/>
        <v>No marker score</v>
      </c>
      <c r="KR532" s="11" t="str">
        <f t="shared" si="379"/>
        <v>No marker score</v>
      </c>
      <c r="KS532" s="11" t="str">
        <f t="shared" si="380"/>
        <v>No marker score</v>
      </c>
      <c r="KT532" s="11" t="str">
        <f t="shared" si="381"/>
        <v>It did not develop any specific innovation</v>
      </c>
      <c r="KU532" s="11" t="str">
        <f t="shared" si="382"/>
        <v>Intensive advocacy</v>
      </c>
      <c r="KV532" s="11" t="str">
        <f t="shared" si="383"/>
        <v>It linked and worked with strategic alliances and partners to take tested and effective solutions to scale</v>
      </c>
      <c r="KW532" s="11" t="str">
        <f t="shared" si="384"/>
        <v>Netherlands - Strategic Partnership: Partners for Resilience II (PfR II)</v>
      </c>
      <c r="KX532" s="11" t="str">
        <f t="shared" si="385"/>
        <v>Strategic Partnership: Partners for Resilience II (PfR II)</v>
      </c>
      <c r="KY532" s="11" t="str">
        <f t="shared" si="386"/>
        <v>Netherlands</v>
      </c>
      <c r="KZ532" s="12">
        <v>532</v>
      </c>
    </row>
    <row r="533" spans="1:312" x14ac:dyDescent="0.3">
      <c r="A533" s="12" t="s">
        <v>9020</v>
      </c>
      <c r="B533" s="12" t="s">
        <v>602</v>
      </c>
      <c r="C533" s="12"/>
      <c r="D533" s="12" t="s">
        <v>9030</v>
      </c>
      <c r="E533" s="277" t="str">
        <f t="shared" si="344"/>
        <v>Netherlands</v>
      </c>
      <c r="F533" s="12" t="s">
        <v>9031</v>
      </c>
      <c r="G533" s="12" t="s">
        <v>425</v>
      </c>
      <c r="H533" s="12" t="s">
        <v>383</v>
      </c>
      <c r="I533" s="12" t="s">
        <v>384</v>
      </c>
      <c r="J533" s="278" t="s">
        <v>3967</v>
      </c>
      <c r="K533" s="12"/>
      <c r="L533" s="12"/>
      <c r="M533" s="12"/>
      <c r="N533" s="12"/>
      <c r="O533" s="12"/>
      <c r="P533" s="12"/>
      <c r="Q533" s="12"/>
      <c r="R533" s="12"/>
      <c r="S533" s="12"/>
      <c r="T533" s="12"/>
      <c r="U533" s="12"/>
      <c r="V533" s="12"/>
      <c r="W533" s="12"/>
      <c r="X533" s="12"/>
      <c r="Y533" s="12"/>
      <c r="Z533" s="12"/>
      <c r="AA533" s="12"/>
      <c r="AB533" s="12"/>
      <c r="AC533" s="12"/>
      <c r="AD533" s="12"/>
      <c r="BD533" s="13">
        <v>41671</v>
      </c>
      <c r="BE533" s="13">
        <v>42766</v>
      </c>
      <c r="BF533" s="13">
        <v>43921</v>
      </c>
      <c r="BG533" s="12" t="s">
        <v>350</v>
      </c>
      <c r="BH533" s="14">
        <v>7400000</v>
      </c>
      <c r="BI533" s="12" t="s">
        <v>9032</v>
      </c>
      <c r="BJ533" s="12" t="s">
        <v>912</v>
      </c>
      <c r="BK533" s="12" t="s">
        <v>9033</v>
      </c>
      <c r="BL533" s="12" t="s">
        <v>9032</v>
      </c>
      <c r="BM533" s="12" t="s">
        <v>912</v>
      </c>
      <c r="BN533" s="12" t="s">
        <v>9034</v>
      </c>
      <c r="BO533" s="12" t="s">
        <v>319</v>
      </c>
      <c r="BP533" s="31" t="s">
        <v>320</v>
      </c>
      <c r="BQ533" s="12" t="s">
        <v>319</v>
      </c>
      <c r="BR533" s="12" t="s">
        <v>9035</v>
      </c>
      <c r="BS533" s="12" t="s">
        <v>849</v>
      </c>
      <c r="BT533" s="12"/>
      <c r="BU533" s="12" t="s">
        <v>9036</v>
      </c>
      <c r="BV533" s="14"/>
      <c r="BW533" s="14"/>
      <c r="BX533" s="14"/>
      <c r="BY533" s="14"/>
      <c r="BZ533" s="14"/>
      <c r="CA533" s="14"/>
      <c r="CB533" s="12"/>
      <c r="CD533" s="14"/>
      <c r="CE533" s="14"/>
      <c r="CF533" s="14"/>
      <c r="CG533" s="14"/>
      <c r="CH533" s="14"/>
      <c r="CI533" s="14"/>
      <c r="CJ533" s="12"/>
      <c r="CK533" s="14"/>
      <c r="CL533" s="16"/>
      <c r="CM533" s="14"/>
      <c r="CN533" s="12"/>
      <c r="CO533" s="14"/>
      <c r="CP533" s="16"/>
      <c r="CQ533" s="14"/>
      <c r="CR533" s="12"/>
      <c r="CS533" s="14"/>
      <c r="CT533" s="16"/>
      <c r="CU533" s="14"/>
      <c r="CV533" s="12"/>
      <c r="CW533" s="14"/>
      <c r="CX533" s="16"/>
      <c r="CY533" s="14"/>
      <c r="CZ533" s="12"/>
      <c r="DA533" s="14"/>
      <c r="DB533" s="16"/>
      <c r="DC533" s="14"/>
      <c r="DD533" s="12"/>
      <c r="DE533" s="14"/>
      <c r="DF533" s="16"/>
      <c r="DG533" s="14"/>
      <c r="DH533" s="12"/>
      <c r="DI533" s="14"/>
      <c r="DJ533" s="16"/>
      <c r="DK533" s="14"/>
      <c r="DL533" s="12"/>
      <c r="DM533" s="14"/>
      <c r="DN533" s="16"/>
      <c r="DO533" s="14"/>
      <c r="DP533" s="12"/>
      <c r="DQ533" s="14"/>
      <c r="DR533" s="16"/>
      <c r="DS533" s="14"/>
      <c r="DT533" s="12"/>
      <c r="DU533" s="14"/>
      <c r="DV533" s="16"/>
      <c r="DW533" s="14"/>
      <c r="DX533" s="12"/>
      <c r="DY533" s="14"/>
      <c r="DZ533" s="16"/>
      <c r="EA533" s="14"/>
      <c r="EB533" s="12"/>
      <c r="EC533" s="14"/>
      <c r="ED533" s="16"/>
      <c r="EE533" s="14"/>
      <c r="EF533" s="12"/>
      <c r="EG533" s="12"/>
      <c r="EH533" s="14"/>
      <c r="EI533" s="16"/>
      <c r="EJ533" s="14"/>
      <c r="EK533" s="14"/>
      <c r="EL533" s="14"/>
      <c r="EM533" s="14"/>
      <c r="EN533" s="14"/>
      <c r="EO533" s="14"/>
      <c r="EP533" s="14"/>
      <c r="EQ533" s="12"/>
      <c r="ER533" s="14"/>
      <c r="ES533" s="16"/>
      <c r="ET533" s="14"/>
      <c r="EU533" s="12"/>
      <c r="EV533" s="14"/>
      <c r="EW533" s="16"/>
      <c r="EX533" s="14"/>
      <c r="EY533" s="12"/>
      <c r="EZ533" s="14"/>
      <c r="FA533" s="16"/>
      <c r="FB533" s="14"/>
      <c r="FC533" s="12"/>
      <c r="FD533" s="14"/>
      <c r="FE533" s="16"/>
      <c r="FF533" s="14"/>
      <c r="FG533" s="12"/>
      <c r="FH533" s="14"/>
      <c r="FI533" s="16"/>
      <c r="FJ533" s="14"/>
      <c r="FK533" s="12"/>
      <c r="FL533" s="14"/>
      <c r="FM533" s="16"/>
      <c r="FN533" s="14"/>
      <c r="FO533" s="12"/>
      <c r="FP533" s="14"/>
      <c r="FQ533" s="16"/>
      <c r="FR533" s="14"/>
      <c r="FS533" s="12"/>
      <c r="FT533" s="14"/>
      <c r="FU533" s="16"/>
      <c r="FV533" s="14"/>
      <c r="FW533" s="12"/>
      <c r="FX533" s="14"/>
      <c r="FY533" s="16"/>
      <c r="FZ533" s="14"/>
      <c r="GA533" s="12"/>
      <c r="GB533" s="14"/>
      <c r="GC533" s="16"/>
      <c r="GD533" s="14"/>
      <c r="GE533" s="12"/>
      <c r="GF533" s="14"/>
      <c r="GG533" s="16"/>
      <c r="GH533" s="14"/>
      <c r="GI533" s="12"/>
      <c r="GJ533" s="14"/>
      <c r="GK533" s="16"/>
      <c r="GL533" s="14"/>
      <c r="GM533" s="12"/>
      <c r="GN533" s="14"/>
      <c r="GO533" s="16"/>
      <c r="GP533" s="14"/>
      <c r="GQ533" s="12"/>
      <c r="GR533" s="14"/>
      <c r="GS533" s="16"/>
      <c r="GT533" s="14"/>
      <c r="GU533" s="12"/>
      <c r="GV533" s="14"/>
      <c r="GW533" s="16"/>
      <c r="GX533" s="14"/>
      <c r="GY533" s="12"/>
      <c r="GZ533" s="14"/>
      <c r="HA533" s="16"/>
      <c r="HB533" s="14"/>
      <c r="HC533" s="12"/>
      <c r="HD533" s="12"/>
      <c r="HE533" s="14"/>
      <c r="HF533" s="16"/>
      <c r="HG533" s="14"/>
      <c r="HH533" s="12"/>
      <c r="HI533" s="12"/>
      <c r="HJ533" s="12"/>
      <c r="HK533" s="12"/>
      <c r="HL533" s="12"/>
      <c r="HM533" s="12"/>
      <c r="HN533" s="12"/>
      <c r="HO533" s="12"/>
      <c r="HP533" s="12" t="s">
        <v>330</v>
      </c>
      <c r="HQ533" s="12" t="s">
        <v>319</v>
      </c>
      <c r="HR533" s="12" t="s">
        <v>319</v>
      </c>
      <c r="HS533" s="12" t="s">
        <v>319</v>
      </c>
      <c r="HT533" s="12" t="s">
        <v>319</v>
      </c>
      <c r="HU533" s="12" t="s">
        <v>320</v>
      </c>
      <c r="HV533" s="12" t="s">
        <v>320</v>
      </c>
      <c r="HW533" s="12" t="s">
        <v>319</v>
      </c>
      <c r="HX533" s="12" t="s">
        <v>320</v>
      </c>
      <c r="HY533" s="12" t="s">
        <v>9037</v>
      </c>
      <c r="HZ533" s="12"/>
      <c r="IA533" s="12"/>
      <c r="IB533" s="12"/>
      <c r="IC533" s="12"/>
      <c r="ID533" s="12"/>
      <c r="IE533" s="12"/>
      <c r="IF533" s="12"/>
      <c r="IG533" s="12"/>
      <c r="IH533" s="12"/>
      <c r="II533" s="12"/>
      <c r="IJ533" s="12" t="str">
        <f t="shared" si="345"/>
        <v>No marker score</v>
      </c>
      <c r="IK533" s="12">
        <f t="shared" si="346"/>
        <v>0</v>
      </c>
      <c r="IL533" s="12"/>
      <c r="IM533" s="12"/>
      <c r="IN533" s="12"/>
      <c r="IO533" s="12"/>
      <c r="IP533" s="12"/>
      <c r="IQ533" s="12" t="str">
        <f t="shared" si="347"/>
        <v>No marker score</v>
      </c>
      <c r="IR533" s="12">
        <f t="shared" si="348"/>
        <v>0</v>
      </c>
      <c r="IS533" s="12"/>
      <c r="IT533" s="12"/>
      <c r="IU533" s="12"/>
      <c r="IV533" s="12"/>
      <c r="IW533" s="11" t="str">
        <f t="shared" si="349"/>
        <v>No marker score</v>
      </c>
      <c r="IX533" s="12">
        <f t="shared" si="350"/>
        <v>0</v>
      </c>
      <c r="IY533" s="12"/>
      <c r="IZ533" s="12"/>
      <c r="JA533" s="12"/>
      <c r="JB533" s="12"/>
      <c r="JC533" s="12"/>
      <c r="JD533" s="12"/>
      <c r="JE533" s="12"/>
      <c r="JF533" s="12"/>
      <c r="JG533" s="12"/>
      <c r="JH533" s="12"/>
      <c r="JI533" s="12"/>
      <c r="JJ533" s="12"/>
      <c r="JK533" s="12"/>
      <c r="JL533" s="12"/>
      <c r="JM533" s="12"/>
      <c r="JN533" s="12"/>
      <c r="JO533" s="12"/>
      <c r="JP533" s="15">
        <f t="shared" si="351"/>
        <v>0</v>
      </c>
      <c r="JQ533" s="15">
        <f t="shared" si="352"/>
        <v>0</v>
      </c>
      <c r="JR533" s="279" t="str">
        <f t="shared" si="353"/>
        <v/>
      </c>
      <c r="JS533" s="17" t="str">
        <f t="shared" si="354"/>
        <v/>
      </c>
      <c r="JT533" s="18" t="str">
        <f t="shared" si="355"/>
        <v/>
      </c>
      <c r="JU533" s="280">
        <f t="shared" si="356"/>
        <v>0</v>
      </c>
      <c r="JV533" s="280">
        <f t="shared" si="357"/>
        <v>0</v>
      </c>
      <c r="JW533" s="319" t="str">
        <f t="shared" si="358"/>
        <v/>
      </c>
      <c r="JX533" s="15">
        <f t="shared" si="359"/>
        <v>0</v>
      </c>
      <c r="JY533" s="15">
        <f t="shared" si="360"/>
        <v>0</v>
      </c>
      <c r="JZ533" s="19" t="str">
        <f t="shared" si="361"/>
        <v/>
      </c>
      <c r="KA533" s="52" t="str">
        <f t="shared" si="362"/>
        <v/>
      </c>
      <c r="KB533" s="15">
        <f t="shared" si="363"/>
        <v>0</v>
      </c>
      <c r="KC533" s="15">
        <f t="shared" si="364"/>
        <v>0</v>
      </c>
      <c r="KD533" s="20" t="str">
        <f t="shared" si="365"/>
        <v/>
      </c>
      <c r="KE533" s="52" t="str">
        <f t="shared" si="366"/>
        <v/>
      </c>
      <c r="KF533" s="15">
        <f t="shared" si="367"/>
        <v>0</v>
      </c>
      <c r="KG533" s="15">
        <f t="shared" si="368"/>
        <v>0</v>
      </c>
      <c r="KH533" s="21" t="str">
        <f t="shared" si="369"/>
        <v/>
      </c>
      <c r="KI533" s="52" t="str">
        <f t="shared" si="370"/>
        <v/>
      </c>
      <c r="KJ533" s="15">
        <f t="shared" si="371"/>
        <v>0</v>
      </c>
      <c r="KK533" s="15">
        <f t="shared" si="372"/>
        <v>0</v>
      </c>
      <c r="KL533" s="19" t="str">
        <f t="shared" si="373"/>
        <v/>
      </c>
      <c r="KM533" s="52" t="str">
        <f t="shared" si="374"/>
        <v/>
      </c>
      <c r="KN533" s="22">
        <f t="shared" si="375"/>
        <v>0</v>
      </c>
      <c r="KO533" s="22">
        <f t="shared" si="376"/>
        <v>0</v>
      </c>
      <c r="KP533" s="19" t="str">
        <f t="shared" si="377"/>
        <v/>
      </c>
      <c r="KQ533" s="11" t="str">
        <f t="shared" si="378"/>
        <v>No marker score</v>
      </c>
      <c r="KR533" s="11" t="str">
        <f t="shared" si="379"/>
        <v>No marker score</v>
      </c>
      <c r="KS533" s="11" t="str">
        <f t="shared" si="380"/>
        <v>No marker score</v>
      </c>
      <c r="KT533" s="11">
        <f t="shared" si="381"/>
        <v>0</v>
      </c>
      <c r="KU533" s="11" t="str">
        <f t="shared" si="382"/>
        <v>Moderate advocacy</v>
      </c>
      <c r="KV533" s="11">
        <f t="shared" si="383"/>
        <v>0</v>
      </c>
      <c r="KW533" s="11" t="str">
        <f t="shared" si="384"/>
        <v>Netherlands - Strenghtening Women: A Catalyst for Positive Change</v>
      </c>
      <c r="KX533" s="11" t="str">
        <f t="shared" si="385"/>
        <v>Strenghtening Women: A Catalyst for Positive Change</v>
      </c>
      <c r="KY533" s="11" t="str">
        <f t="shared" si="386"/>
        <v>Netherlands</v>
      </c>
      <c r="KZ533" s="287">
        <v>533</v>
      </c>
    </row>
    <row r="534" spans="1:312" x14ac:dyDescent="0.3">
      <c r="A534" s="282" t="s">
        <v>9042</v>
      </c>
      <c r="B534" s="282" t="s">
        <v>2807</v>
      </c>
      <c r="C534" s="282">
        <v>2323</v>
      </c>
      <c r="D534" s="282" t="s">
        <v>2932</v>
      </c>
      <c r="E534" s="277" t="str">
        <f t="shared" si="344"/>
        <v>Nicaragua</v>
      </c>
      <c r="F534" s="282"/>
      <c r="G534" s="282" t="s">
        <v>379</v>
      </c>
      <c r="H534" s="282" t="s">
        <v>384</v>
      </c>
      <c r="I534" s="282" t="s">
        <v>384</v>
      </c>
      <c r="J534" s="281" t="s">
        <v>2933</v>
      </c>
      <c r="K534" s="282"/>
      <c r="L534" s="282"/>
      <c r="M534" s="282"/>
      <c r="N534" s="282"/>
      <c r="O534" s="282"/>
      <c r="P534" s="282"/>
      <c r="Q534" s="282"/>
      <c r="R534" s="282"/>
      <c r="S534" s="282"/>
      <c r="T534" s="282"/>
      <c r="U534" s="282"/>
      <c r="V534" s="282"/>
      <c r="W534" s="282"/>
      <c r="X534" s="282"/>
      <c r="Y534" s="282"/>
      <c r="Z534" s="282"/>
      <c r="AA534" s="282"/>
      <c r="AB534" s="282"/>
      <c r="AC534" s="282"/>
      <c r="AD534" s="282"/>
      <c r="AE534" s="282"/>
      <c r="AF534" s="282"/>
      <c r="AG534" s="282"/>
      <c r="AH534" s="282"/>
      <c r="AI534" s="282"/>
      <c r="AJ534" s="282"/>
      <c r="AK534" s="282"/>
      <c r="AL534" s="282"/>
      <c r="AM534" s="282"/>
      <c r="AN534" s="282"/>
      <c r="AO534" s="282"/>
      <c r="AP534" s="282"/>
      <c r="AQ534" s="282"/>
      <c r="AR534" s="282"/>
      <c r="AS534" s="282"/>
      <c r="AT534" s="282"/>
      <c r="AU534" s="282"/>
      <c r="AV534" s="282"/>
      <c r="AW534" s="282"/>
      <c r="AX534" s="282"/>
      <c r="AY534" s="282"/>
      <c r="AZ534" s="282"/>
      <c r="BA534" s="282"/>
      <c r="BB534" s="282"/>
      <c r="BC534" s="282"/>
      <c r="BD534" s="283">
        <v>42614</v>
      </c>
      <c r="BE534" s="283">
        <v>43708</v>
      </c>
      <c r="BF534" s="283"/>
      <c r="BG534" s="283" t="s">
        <v>749</v>
      </c>
      <c r="BH534" s="284"/>
      <c r="BI534" s="282" t="s">
        <v>2934</v>
      </c>
      <c r="BJ534" s="282" t="s">
        <v>2935</v>
      </c>
      <c r="BK534" s="282" t="s">
        <v>2936</v>
      </c>
      <c r="BL534" s="282" t="s">
        <v>2937</v>
      </c>
      <c r="BM534" s="282" t="s">
        <v>2938</v>
      </c>
      <c r="BN534" s="282" t="s">
        <v>2939</v>
      </c>
      <c r="BO534" s="282" t="s">
        <v>319</v>
      </c>
      <c r="BP534" s="282" t="s">
        <v>320</v>
      </c>
      <c r="BQ534" s="282" t="s">
        <v>319</v>
      </c>
      <c r="BR534" s="282" t="s">
        <v>2940</v>
      </c>
      <c r="BS534" s="282" t="s">
        <v>1535</v>
      </c>
      <c r="BT534" s="282" t="s">
        <v>2941</v>
      </c>
      <c r="BU534" s="282" t="s">
        <v>2942</v>
      </c>
      <c r="BV534" s="284">
        <v>15365</v>
      </c>
      <c r="BW534" s="284">
        <v>14512</v>
      </c>
      <c r="BX534" s="284">
        <v>29877</v>
      </c>
      <c r="BY534" s="284">
        <v>83988</v>
      </c>
      <c r="BZ534" s="284">
        <v>77995</v>
      </c>
      <c r="CA534" s="284">
        <v>161983</v>
      </c>
      <c r="CB534" s="285" t="s">
        <v>2943</v>
      </c>
      <c r="CC534" s="285"/>
      <c r="CD534" s="284"/>
      <c r="CE534" s="284"/>
      <c r="CF534" s="284"/>
      <c r="CG534" s="284"/>
      <c r="CH534" s="284"/>
      <c r="CI534" s="284"/>
      <c r="CJ534" s="282"/>
      <c r="CK534" s="284"/>
      <c r="CL534" s="286"/>
      <c r="CM534" s="284"/>
      <c r="CN534" s="287"/>
      <c r="CO534" s="284"/>
      <c r="CP534" s="286"/>
      <c r="CQ534" s="284"/>
      <c r="CR534" s="282"/>
      <c r="CS534" s="284"/>
      <c r="CT534" s="286"/>
      <c r="CU534" s="284"/>
      <c r="CV534" s="292"/>
      <c r="CW534" s="290"/>
      <c r="CX534" s="291"/>
      <c r="CY534" s="306"/>
      <c r="CZ534" s="282"/>
      <c r="DA534" s="284"/>
      <c r="DB534" s="286"/>
      <c r="DC534" s="284"/>
      <c r="DD534" s="287"/>
      <c r="DE534" s="284"/>
      <c r="DF534" s="286"/>
      <c r="DG534" s="284"/>
      <c r="DH534" s="282"/>
      <c r="DI534" s="284"/>
      <c r="DJ534" s="286"/>
      <c r="DK534" s="284"/>
      <c r="DL534" s="282"/>
      <c r="DM534" s="284"/>
      <c r="DN534" s="286"/>
      <c r="DO534" s="284"/>
      <c r="DP534" s="282"/>
      <c r="DQ534" s="284"/>
      <c r="DR534" s="286"/>
      <c r="DS534" s="284"/>
      <c r="DT534" s="282"/>
      <c r="DU534" s="284"/>
      <c r="DV534" s="286"/>
      <c r="DW534" s="284"/>
      <c r="DX534" s="282"/>
      <c r="DY534" s="284"/>
      <c r="DZ534" s="286"/>
      <c r="EA534" s="284"/>
      <c r="EB534" s="282"/>
      <c r="EC534" s="284"/>
      <c r="ED534" s="286"/>
      <c r="EE534" s="284"/>
      <c r="EF534" s="285"/>
      <c r="EG534" s="287"/>
      <c r="EH534" s="284"/>
      <c r="EI534" s="286"/>
      <c r="EJ534" s="284"/>
      <c r="EK534" s="284"/>
      <c r="EL534" s="284"/>
      <c r="EM534" s="284"/>
      <c r="EN534" s="284"/>
      <c r="EO534" s="284"/>
      <c r="EP534" s="284"/>
      <c r="EQ534" s="282" t="s">
        <v>320</v>
      </c>
      <c r="ER534" s="284"/>
      <c r="ES534" s="286"/>
      <c r="ET534" s="284"/>
      <c r="EU534" s="282" t="s">
        <v>320</v>
      </c>
      <c r="EV534" s="284"/>
      <c r="EW534" s="286"/>
      <c r="EX534" s="284"/>
      <c r="EY534" s="282"/>
      <c r="EZ534" s="284"/>
      <c r="FA534" s="286"/>
      <c r="FB534" s="284"/>
      <c r="FC534" s="282"/>
      <c r="FD534" s="284"/>
      <c r="FE534" s="286"/>
      <c r="FF534" s="284"/>
      <c r="FG534" s="282" t="s">
        <v>320</v>
      </c>
      <c r="FH534" s="284"/>
      <c r="FI534" s="286"/>
      <c r="FJ534" s="284"/>
      <c r="FK534" s="282"/>
      <c r="FL534" s="284"/>
      <c r="FM534" s="286"/>
      <c r="FN534" s="284"/>
      <c r="FO534" s="305" t="s">
        <v>320</v>
      </c>
      <c r="FP534" s="300"/>
      <c r="FQ534" s="308"/>
      <c r="FR534" s="300"/>
      <c r="FS534" s="282"/>
      <c r="FT534" s="284"/>
      <c r="FU534" s="286"/>
      <c r="FV534" s="284"/>
      <c r="FW534" s="282"/>
      <c r="FX534" s="284"/>
      <c r="FY534" s="286"/>
      <c r="FZ534" s="284"/>
      <c r="GA534" s="282"/>
      <c r="GB534" s="284"/>
      <c r="GC534" s="286"/>
      <c r="GD534" s="284"/>
      <c r="GE534" s="282" t="s">
        <v>320</v>
      </c>
      <c r="GF534" s="284"/>
      <c r="GG534" s="286"/>
      <c r="GH534" s="284"/>
      <c r="GI534" s="282" t="s">
        <v>320</v>
      </c>
      <c r="GJ534" s="284"/>
      <c r="GK534" s="286"/>
      <c r="GL534" s="284"/>
      <c r="GM534" s="282"/>
      <c r="GN534" s="284"/>
      <c r="GO534" s="286"/>
      <c r="GP534" s="284"/>
      <c r="GQ534" s="282"/>
      <c r="GR534" s="284"/>
      <c r="GS534" s="286"/>
      <c r="GT534" s="284"/>
      <c r="GU534" s="282" t="s">
        <v>320</v>
      </c>
      <c r="GV534" s="284"/>
      <c r="GW534" s="286"/>
      <c r="GX534" s="284"/>
      <c r="GY534" s="282" t="s">
        <v>320</v>
      </c>
      <c r="GZ534" s="284"/>
      <c r="HA534" s="286"/>
      <c r="HB534" s="284"/>
      <c r="HC534" s="282" t="s">
        <v>2944</v>
      </c>
      <c r="HD534" s="282" t="s">
        <v>320</v>
      </c>
      <c r="HE534" s="284"/>
      <c r="HF534" s="286"/>
      <c r="HG534" s="284"/>
      <c r="HH534" s="282" t="s">
        <v>320</v>
      </c>
      <c r="HI534" s="282" t="s">
        <v>1175</v>
      </c>
      <c r="HJ534" s="282">
        <v>2017</v>
      </c>
      <c r="HK534" s="282" t="s">
        <v>320</v>
      </c>
      <c r="HL534" s="282" t="s">
        <v>320</v>
      </c>
      <c r="HM534" s="282" t="s">
        <v>451</v>
      </c>
      <c r="HN534" s="282">
        <v>2018</v>
      </c>
      <c r="HO534" s="282" t="s">
        <v>2945</v>
      </c>
      <c r="HP534" s="282" t="s">
        <v>330</v>
      </c>
      <c r="HQ534" s="282" t="s">
        <v>320</v>
      </c>
      <c r="HR534" s="282"/>
      <c r="HS534" s="282" t="s">
        <v>320</v>
      </c>
      <c r="HT534" s="282"/>
      <c r="HU534" s="282"/>
      <c r="HV534" s="282"/>
      <c r="HW534" s="282"/>
      <c r="HX534" s="282"/>
      <c r="HY534" s="282"/>
      <c r="HZ534" s="282" t="s">
        <v>331</v>
      </c>
      <c r="IA534" s="282" t="s">
        <v>2946</v>
      </c>
      <c r="IB534" s="282" t="s">
        <v>396</v>
      </c>
      <c r="IC534" s="282" t="s">
        <v>2947</v>
      </c>
      <c r="ID534" s="282" t="s">
        <v>334</v>
      </c>
      <c r="IE534" s="282" t="s">
        <v>478</v>
      </c>
      <c r="IF534" s="282" t="s">
        <v>320</v>
      </c>
      <c r="IG534" s="282" t="s">
        <v>320</v>
      </c>
      <c r="IH534" s="282" t="s">
        <v>320</v>
      </c>
      <c r="II534" s="282" t="s">
        <v>320</v>
      </c>
      <c r="IJ534" s="12" t="str">
        <f t="shared" si="345"/>
        <v>4. Transformative</v>
      </c>
      <c r="IK534" s="287">
        <f t="shared" si="346"/>
        <v>4</v>
      </c>
      <c r="IL534" s="282" t="s">
        <v>336</v>
      </c>
      <c r="IM534" s="282" t="s">
        <v>320</v>
      </c>
      <c r="IN534" s="282" t="s">
        <v>320</v>
      </c>
      <c r="IO534" s="282" t="s">
        <v>320</v>
      </c>
      <c r="IP534" s="282" t="s">
        <v>320</v>
      </c>
      <c r="IQ534" s="287" t="str">
        <f t="shared" si="347"/>
        <v>2. Accommodating</v>
      </c>
      <c r="IR534" s="287">
        <f t="shared" si="348"/>
        <v>4</v>
      </c>
      <c r="IS534" s="282" t="s">
        <v>622</v>
      </c>
      <c r="IT534" s="282" t="s">
        <v>319</v>
      </c>
      <c r="IU534" s="282" t="s">
        <v>320</v>
      </c>
      <c r="IV534" s="282" t="s">
        <v>320</v>
      </c>
      <c r="IW534" s="11" t="str">
        <f t="shared" si="349"/>
        <v>3. Responsive</v>
      </c>
      <c r="IX534" s="287">
        <f t="shared" si="350"/>
        <v>2</v>
      </c>
      <c r="IY534" s="282" t="s">
        <v>758</v>
      </c>
      <c r="IZ534" s="282" t="s">
        <v>457</v>
      </c>
      <c r="JA534" s="282">
        <v>2</v>
      </c>
      <c r="JB534" s="282" t="s">
        <v>433</v>
      </c>
      <c r="JC534" s="282" t="s">
        <v>687</v>
      </c>
      <c r="JD534" s="282" t="s">
        <v>624</v>
      </c>
      <c r="JE534" s="282" t="s">
        <v>365</v>
      </c>
      <c r="JF534" s="282" t="s">
        <v>2948</v>
      </c>
      <c r="JG534" s="282" t="s">
        <v>2949</v>
      </c>
      <c r="JH534" s="282" t="s">
        <v>2950</v>
      </c>
      <c r="JI534" s="282" t="s">
        <v>2951</v>
      </c>
      <c r="JJ534" s="282" t="s">
        <v>2952</v>
      </c>
      <c r="JK534" s="282" t="s">
        <v>2953</v>
      </c>
      <c r="JL534" s="282" t="s">
        <v>2954</v>
      </c>
      <c r="JM534" s="282"/>
      <c r="JN534" s="282" t="s">
        <v>2955</v>
      </c>
      <c r="JO534" s="282"/>
      <c r="JP534" s="15">
        <f t="shared" si="351"/>
        <v>0</v>
      </c>
      <c r="JQ534" s="15">
        <f t="shared" si="352"/>
        <v>0</v>
      </c>
      <c r="JR534" s="279" t="str">
        <f t="shared" si="353"/>
        <v/>
      </c>
      <c r="JS534" s="17" t="str">
        <f t="shared" si="354"/>
        <v/>
      </c>
      <c r="JT534" s="18" t="str">
        <f t="shared" si="355"/>
        <v/>
      </c>
      <c r="JU534" s="280">
        <f t="shared" si="356"/>
        <v>0</v>
      </c>
      <c r="JV534" s="280">
        <f t="shared" si="357"/>
        <v>0</v>
      </c>
      <c r="JW534" s="319" t="str">
        <f t="shared" si="358"/>
        <v/>
      </c>
      <c r="JX534" s="15">
        <f t="shared" si="359"/>
        <v>0</v>
      </c>
      <c r="JY534" s="15">
        <f t="shared" si="360"/>
        <v>0</v>
      </c>
      <c r="JZ534" s="19" t="str">
        <f t="shared" si="361"/>
        <v/>
      </c>
      <c r="KA534" s="52">
        <f t="shared" si="362"/>
        <v>1</v>
      </c>
      <c r="KB534" s="15">
        <f t="shared" si="363"/>
        <v>0</v>
      </c>
      <c r="KC534" s="15">
        <f t="shared" si="364"/>
        <v>0</v>
      </c>
      <c r="KD534" s="20" t="str">
        <f t="shared" si="365"/>
        <v/>
      </c>
      <c r="KE534" s="52" t="str">
        <f t="shared" si="366"/>
        <v/>
      </c>
      <c r="KF534" s="15">
        <f t="shared" si="367"/>
        <v>0</v>
      </c>
      <c r="KG534" s="15">
        <f t="shared" si="368"/>
        <v>0</v>
      </c>
      <c r="KH534" s="21" t="str">
        <f t="shared" si="369"/>
        <v/>
      </c>
      <c r="KI534" s="52" t="str">
        <f t="shared" si="370"/>
        <v/>
      </c>
      <c r="KJ534" s="15">
        <f t="shared" si="371"/>
        <v>0</v>
      </c>
      <c r="KK534" s="15">
        <f t="shared" si="372"/>
        <v>0</v>
      </c>
      <c r="KL534" s="19" t="str">
        <f t="shared" si="373"/>
        <v/>
      </c>
      <c r="KM534" s="52">
        <f t="shared" si="374"/>
        <v>1</v>
      </c>
      <c r="KN534" s="22">
        <f t="shared" si="375"/>
        <v>0</v>
      </c>
      <c r="KO534" s="22">
        <f t="shared" si="376"/>
        <v>0</v>
      </c>
      <c r="KP534" s="19" t="str">
        <f t="shared" si="377"/>
        <v/>
      </c>
      <c r="KQ534" s="11" t="str">
        <f t="shared" si="378"/>
        <v>4. Transformative</v>
      </c>
      <c r="KR534" s="11" t="str">
        <f t="shared" si="379"/>
        <v>2. Accommodating</v>
      </c>
      <c r="KS534" s="11" t="str">
        <f t="shared" si="380"/>
        <v>3. Responsive</v>
      </c>
      <c r="KT534" s="11" t="str">
        <f t="shared" si="381"/>
        <v>It tested new ways for fighting poverty and measured results of innovation</v>
      </c>
      <c r="KU534" s="11" t="str">
        <f t="shared" si="382"/>
        <v>Moderate advocacy</v>
      </c>
      <c r="KV534" s="11" t="str">
        <f t="shared" si="383"/>
        <v>It linked and worked with strategic alliances and partners to take tested and effective solutions to scale</v>
      </c>
      <c r="KW534" s="11" t="str">
        <f t="shared" si="384"/>
        <v>Nicaragua - Proyecto Nutriendo El Futuro</v>
      </c>
      <c r="KX534" s="11" t="str">
        <f t="shared" si="385"/>
        <v>Proyecto Nutriendo El Futuro</v>
      </c>
      <c r="KY534" s="11" t="str">
        <f t="shared" si="386"/>
        <v>Nicaragua</v>
      </c>
      <c r="KZ534" s="12">
        <v>534</v>
      </c>
    </row>
    <row r="535" spans="1:312" x14ac:dyDescent="0.3">
      <c r="A535" s="12" t="s">
        <v>9043</v>
      </c>
      <c r="B535" s="12" t="s">
        <v>1596</v>
      </c>
      <c r="C535" s="12">
        <v>3213</v>
      </c>
      <c r="D535" s="12" t="s">
        <v>9228</v>
      </c>
      <c r="E535" s="277" t="str">
        <f t="shared" si="344"/>
        <v>Niger</v>
      </c>
      <c r="F535" s="12" t="s">
        <v>9229</v>
      </c>
      <c r="G535" s="12" t="s">
        <v>488</v>
      </c>
      <c r="H535" s="11" t="s">
        <v>310</v>
      </c>
      <c r="I535" s="12" t="s">
        <v>506</v>
      </c>
      <c r="J535" s="281" t="s">
        <v>9230</v>
      </c>
      <c r="K535" s="12"/>
      <c r="L535" s="12"/>
      <c r="M535" s="12"/>
      <c r="N535" s="12"/>
      <c r="O535" s="12"/>
      <c r="P535" s="12"/>
      <c r="Q535" s="12"/>
      <c r="R535" s="12"/>
      <c r="S535" s="12"/>
      <c r="T535" s="12"/>
      <c r="U535" s="12"/>
      <c r="V535" s="12"/>
      <c r="W535" s="12"/>
      <c r="X535" s="12"/>
      <c r="Y535" s="12"/>
      <c r="Z535" s="12"/>
      <c r="AA535" s="12"/>
      <c r="AB535" s="12"/>
      <c r="AC535" s="12"/>
      <c r="AD535" s="12"/>
      <c r="BD535" s="13">
        <v>42005</v>
      </c>
      <c r="BE535" s="13">
        <v>43100</v>
      </c>
      <c r="BF535" s="13">
        <v>43190</v>
      </c>
      <c r="BG535" s="12" t="s">
        <v>908</v>
      </c>
      <c r="BH535" s="14">
        <v>5805266</v>
      </c>
      <c r="BI535" s="12" t="s">
        <v>1855</v>
      </c>
      <c r="BJ535" s="12" t="s">
        <v>1856</v>
      </c>
      <c r="BK535" s="12" t="s">
        <v>1857</v>
      </c>
      <c r="BL535" s="12" t="s">
        <v>9231</v>
      </c>
      <c r="BM535" s="12" t="s">
        <v>6617</v>
      </c>
      <c r="BN535" s="12" t="s">
        <v>9232</v>
      </c>
      <c r="BO535" s="12" t="s">
        <v>320</v>
      </c>
      <c r="BP535" s="12" t="s">
        <v>320</v>
      </c>
      <c r="BQ535" s="12" t="s">
        <v>320</v>
      </c>
      <c r="BR535" s="12" t="s">
        <v>9233</v>
      </c>
      <c r="BS535" s="12" t="s">
        <v>357</v>
      </c>
      <c r="BT535" s="12" t="s">
        <v>9234</v>
      </c>
      <c r="BU535" s="12" t="s">
        <v>9235</v>
      </c>
      <c r="BV535" s="14">
        <v>51295</v>
      </c>
      <c r="BW535" s="14">
        <v>51295</v>
      </c>
      <c r="BX535" s="14">
        <v>102590</v>
      </c>
      <c r="BY535" s="14">
        <v>60673</v>
      </c>
      <c r="BZ535" s="14">
        <v>60673</v>
      </c>
      <c r="CA535" s="14">
        <v>121346</v>
      </c>
      <c r="CB535" s="12" t="s">
        <v>9236</v>
      </c>
      <c r="CD535" s="14">
        <v>8172</v>
      </c>
      <c r="CE535" s="14">
        <v>8643</v>
      </c>
      <c r="CF535" s="14">
        <v>16815</v>
      </c>
      <c r="CG535" s="14">
        <v>49032</v>
      </c>
      <c r="CH535" s="14">
        <v>51858</v>
      </c>
      <c r="CI535" s="14">
        <v>100890</v>
      </c>
      <c r="CJ535" s="12" t="s">
        <v>319</v>
      </c>
      <c r="CK535" s="14"/>
      <c r="CL535" s="16"/>
      <c r="CM535" s="14"/>
      <c r="CN535" s="12" t="s">
        <v>319</v>
      </c>
      <c r="CO535" s="14"/>
      <c r="CP535" s="16"/>
      <c r="CQ535" s="14"/>
      <c r="CR535" s="12" t="s">
        <v>319</v>
      </c>
      <c r="CS535" s="14"/>
      <c r="CT535" s="16"/>
      <c r="CU535" s="14"/>
      <c r="CV535" s="12" t="s">
        <v>320</v>
      </c>
      <c r="CW535" s="14">
        <v>12638</v>
      </c>
      <c r="CX535" s="16">
        <v>0.49</v>
      </c>
      <c r="CY535" s="14">
        <v>75828</v>
      </c>
      <c r="CZ535" s="12" t="s">
        <v>319</v>
      </c>
      <c r="DA535" s="14"/>
      <c r="DB535" s="16"/>
      <c r="DC535" s="14"/>
      <c r="DD535" s="12" t="s">
        <v>319</v>
      </c>
      <c r="DE535" s="14"/>
      <c r="DF535" s="16"/>
      <c r="DG535" s="14"/>
      <c r="DH535" s="12" t="s">
        <v>319</v>
      </c>
      <c r="DI535" s="14"/>
      <c r="DJ535" s="16"/>
      <c r="DK535" s="14"/>
      <c r="DL535" s="11" t="s">
        <v>320</v>
      </c>
      <c r="DM535" s="14">
        <v>4177</v>
      </c>
      <c r="DN535" s="16">
        <v>0.57999999999999996</v>
      </c>
      <c r="DO535" s="14">
        <v>25062</v>
      </c>
      <c r="DP535" s="12" t="s">
        <v>319</v>
      </c>
      <c r="DQ535" s="14"/>
      <c r="DR535" s="16"/>
      <c r="DS535" s="14"/>
      <c r="DT535" s="12" t="s">
        <v>319</v>
      </c>
      <c r="DU535" s="14"/>
      <c r="DV535" s="16"/>
      <c r="DW535" s="14"/>
      <c r="DX535" s="12" t="s">
        <v>319</v>
      </c>
      <c r="DY535" s="14"/>
      <c r="DZ535" s="16"/>
      <c r="EA535" s="14"/>
      <c r="EB535" s="12" t="s">
        <v>319</v>
      </c>
      <c r="EC535" s="14"/>
      <c r="ED535" s="16"/>
      <c r="EE535" s="14"/>
      <c r="EF535" s="12"/>
      <c r="EG535" s="12"/>
      <c r="EH535" s="14"/>
      <c r="EI535" s="16"/>
      <c r="EJ535" s="14"/>
      <c r="EK535" s="14">
        <v>11340</v>
      </c>
      <c r="EL535" s="14">
        <v>11318</v>
      </c>
      <c r="EM535" s="14">
        <v>22658</v>
      </c>
      <c r="EN535" s="14">
        <v>68040</v>
      </c>
      <c r="EO535" s="14">
        <v>67908</v>
      </c>
      <c r="EP535" s="14">
        <v>135948</v>
      </c>
      <c r="EQ535" s="12" t="s">
        <v>320</v>
      </c>
      <c r="ER535" s="14">
        <v>4161</v>
      </c>
      <c r="ES535" s="16">
        <v>0.50209999999999999</v>
      </c>
      <c r="ET535" s="14">
        <v>24966</v>
      </c>
      <c r="EU535" s="11" t="s">
        <v>320</v>
      </c>
      <c r="EV535" s="14">
        <v>11432</v>
      </c>
      <c r="EW535" s="16">
        <v>0.50209999999999999</v>
      </c>
      <c r="EX535" s="14">
        <v>68592</v>
      </c>
      <c r="EY535" s="12" t="s">
        <v>320</v>
      </c>
      <c r="EZ535" s="14">
        <v>379</v>
      </c>
      <c r="FA535" s="16"/>
      <c r="FB535" s="14">
        <v>2274</v>
      </c>
      <c r="FC535" s="12" t="s">
        <v>320</v>
      </c>
      <c r="FD535" s="14">
        <v>121</v>
      </c>
      <c r="FE535" s="16"/>
      <c r="FF535" s="14">
        <v>726</v>
      </c>
      <c r="FG535" s="12" t="s">
        <v>320</v>
      </c>
      <c r="FH535" s="14">
        <v>2435</v>
      </c>
      <c r="FI535" s="16">
        <v>0.9</v>
      </c>
      <c r="FJ535" s="14">
        <v>14610</v>
      </c>
      <c r="FK535" s="12"/>
      <c r="FL535" s="14"/>
      <c r="FM535" s="16"/>
      <c r="FN535" s="14">
        <v>0</v>
      </c>
      <c r="FO535" s="12" t="s">
        <v>320</v>
      </c>
      <c r="FP535" s="14">
        <v>1138</v>
      </c>
      <c r="FQ535" s="16">
        <v>0.50249999999999995</v>
      </c>
      <c r="FR535" s="14">
        <v>6828</v>
      </c>
      <c r="FS535" s="12"/>
      <c r="FT535" s="14"/>
      <c r="FU535" s="16"/>
      <c r="FV535" s="14">
        <v>0</v>
      </c>
      <c r="FW535" s="12"/>
      <c r="FX535" s="14"/>
      <c r="FY535" s="16"/>
      <c r="FZ535" s="14">
        <v>0</v>
      </c>
      <c r="GA535" s="12"/>
      <c r="GB535" s="14"/>
      <c r="GC535" s="16"/>
      <c r="GD535" s="14">
        <v>0</v>
      </c>
      <c r="GE535" s="12"/>
      <c r="GF535" s="14"/>
      <c r="GG535" s="16"/>
      <c r="GH535" s="14">
        <v>0</v>
      </c>
      <c r="GI535" s="11" t="s">
        <v>320</v>
      </c>
      <c r="GJ535" s="14">
        <v>650</v>
      </c>
      <c r="GK535" s="16">
        <v>0.5</v>
      </c>
      <c r="GL535" s="14">
        <v>3900</v>
      </c>
      <c r="GM535" s="12" t="s">
        <v>320</v>
      </c>
      <c r="GN535" s="14"/>
      <c r="GO535" s="16"/>
      <c r="GP535" s="14"/>
      <c r="GQ535" s="12"/>
      <c r="GR535" s="14"/>
      <c r="GS535" s="16"/>
      <c r="GT535" s="14"/>
      <c r="GU535" s="12"/>
      <c r="GV535" s="14"/>
      <c r="GW535" s="16"/>
      <c r="GX535" s="14">
        <v>0</v>
      </c>
      <c r="GY535" s="11" t="s">
        <v>320</v>
      </c>
      <c r="GZ535" s="14">
        <v>2342</v>
      </c>
      <c r="HA535" s="16">
        <v>1</v>
      </c>
      <c r="HB535" s="14">
        <v>14052</v>
      </c>
      <c r="HC535" s="12"/>
      <c r="HD535" s="12"/>
      <c r="HE535" s="14"/>
      <c r="HF535" s="16"/>
      <c r="HG535" s="14"/>
      <c r="HH535" s="12" t="s">
        <v>320</v>
      </c>
      <c r="HI535" s="12" t="s">
        <v>327</v>
      </c>
      <c r="HJ535" s="12"/>
      <c r="HK535" s="12" t="s">
        <v>320</v>
      </c>
      <c r="HL535" s="12" t="s">
        <v>320</v>
      </c>
      <c r="HM535" s="12" t="s">
        <v>328</v>
      </c>
      <c r="HN535" s="12">
        <v>2017</v>
      </c>
      <c r="HO535" s="12" t="s">
        <v>9237</v>
      </c>
      <c r="HP535" s="12" t="s">
        <v>330</v>
      </c>
      <c r="HQ535" s="12"/>
      <c r="HR535" s="12"/>
      <c r="HS535" s="12"/>
      <c r="HT535" s="12"/>
      <c r="HU535" s="12"/>
      <c r="HV535" s="12"/>
      <c r="HW535" s="12"/>
      <c r="HX535" s="12"/>
      <c r="HY535" s="12"/>
      <c r="HZ535" s="12"/>
      <c r="IA535" s="12"/>
      <c r="IB535" s="12" t="s">
        <v>396</v>
      </c>
      <c r="IC535" s="12"/>
      <c r="ID535" s="12"/>
      <c r="IE535" s="12"/>
      <c r="IF535" s="12"/>
      <c r="IG535" s="12"/>
      <c r="IH535" s="12"/>
      <c r="II535" s="12"/>
      <c r="IJ535" s="12" t="str">
        <f t="shared" si="345"/>
        <v>No marker score</v>
      </c>
      <c r="IK535" s="12">
        <f t="shared" si="346"/>
        <v>0</v>
      </c>
      <c r="IL535" s="12" t="s">
        <v>336</v>
      </c>
      <c r="IM535" s="12" t="s">
        <v>320</v>
      </c>
      <c r="IN535" s="12" t="s">
        <v>320</v>
      </c>
      <c r="IO535" s="12" t="s">
        <v>320</v>
      </c>
      <c r="IP535" s="12" t="s">
        <v>320</v>
      </c>
      <c r="IQ535" s="12" t="str">
        <f t="shared" si="347"/>
        <v>2. Accommodating</v>
      </c>
      <c r="IR535" s="12">
        <f t="shared" si="348"/>
        <v>4</v>
      </c>
      <c r="IS535" s="12" t="s">
        <v>622</v>
      </c>
      <c r="IT535" s="12" t="s">
        <v>320</v>
      </c>
      <c r="IU535" s="12" t="s">
        <v>320</v>
      </c>
      <c r="IV535" s="12" t="s">
        <v>320</v>
      </c>
      <c r="IW535" s="11" t="str">
        <f t="shared" si="349"/>
        <v>4. Transformative</v>
      </c>
      <c r="IX535" s="12">
        <f t="shared" si="350"/>
        <v>3</v>
      </c>
      <c r="IY535" s="11" t="s">
        <v>419</v>
      </c>
      <c r="IZ535" s="11" t="s">
        <v>527</v>
      </c>
      <c r="JA535" s="12">
        <v>4</v>
      </c>
      <c r="JB535" s="12" t="s">
        <v>831</v>
      </c>
      <c r="JC535" s="12" t="s">
        <v>433</v>
      </c>
      <c r="JD535" s="12"/>
      <c r="JE535" s="12" t="s">
        <v>340</v>
      </c>
      <c r="JF535" s="12" t="s">
        <v>9238</v>
      </c>
      <c r="JG535" s="12" t="s">
        <v>9239</v>
      </c>
      <c r="JH535" s="12" t="s">
        <v>9240</v>
      </c>
      <c r="JI535" s="12" t="s">
        <v>9241</v>
      </c>
      <c r="JJ535" s="12"/>
      <c r="JK535" s="12" t="s">
        <v>9242</v>
      </c>
      <c r="JL535" s="12"/>
      <c r="JM535" s="12"/>
      <c r="JN535" s="12"/>
      <c r="JO535" s="12"/>
      <c r="JP535" s="15">
        <f t="shared" si="351"/>
        <v>22658</v>
      </c>
      <c r="JQ535" s="15">
        <f t="shared" si="352"/>
        <v>135948</v>
      </c>
      <c r="JR535" s="279">
        <f t="shared" si="353"/>
        <v>6</v>
      </c>
      <c r="JS535" s="17">
        <f t="shared" si="354"/>
        <v>0.50048547974225444</v>
      </c>
      <c r="JT535" s="18">
        <f t="shared" si="355"/>
        <v>0.50048547974225444</v>
      </c>
      <c r="JU535" s="280">
        <f t="shared" si="356"/>
        <v>11340</v>
      </c>
      <c r="JV535" s="280">
        <f t="shared" si="357"/>
        <v>68040</v>
      </c>
      <c r="JW535" s="319">
        <f t="shared" si="358"/>
        <v>1</v>
      </c>
      <c r="JX535" s="15">
        <f t="shared" si="359"/>
        <v>16815</v>
      </c>
      <c r="JY535" s="15">
        <f t="shared" si="360"/>
        <v>100890</v>
      </c>
      <c r="JZ535" s="19">
        <f t="shared" si="361"/>
        <v>6</v>
      </c>
      <c r="KA535" s="52">
        <f t="shared" si="362"/>
        <v>1</v>
      </c>
      <c r="KB535" s="15">
        <f t="shared" si="363"/>
        <v>12638</v>
      </c>
      <c r="KC535" s="15">
        <f t="shared" si="364"/>
        <v>75828</v>
      </c>
      <c r="KD535" s="20">
        <f t="shared" si="365"/>
        <v>6</v>
      </c>
      <c r="KE535" s="52" t="str">
        <f t="shared" si="366"/>
        <v/>
      </c>
      <c r="KF535" s="15">
        <f t="shared" si="367"/>
        <v>0</v>
      </c>
      <c r="KG535" s="15">
        <f t="shared" si="368"/>
        <v>0</v>
      </c>
      <c r="KH535" s="21" t="str">
        <f t="shared" si="369"/>
        <v/>
      </c>
      <c r="KI535" s="52" t="str">
        <f t="shared" si="370"/>
        <v/>
      </c>
      <c r="KJ535" s="15">
        <f t="shared" si="371"/>
        <v>0</v>
      </c>
      <c r="KK535" s="15">
        <f t="shared" si="372"/>
        <v>0</v>
      </c>
      <c r="KL535" s="19" t="str">
        <f t="shared" si="373"/>
        <v/>
      </c>
      <c r="KM535" s="52">
        <f t="shared" si="374"/>
        <v>1</v>
      </c>
      <c r="KN535" s="22">
        <f t="shared" si="375"/>
        <v>2342</v>
      </c>
      <c r="KO535" s="22">
        <f t="shared" si="376"/>
        <v>14052</v>
      </c>
      <c r="KP535" s="19">
        <f t="shared" si="377"/>
        <v>6</v>
      </c>
      <c r="KQ535" s="11" t="str">
        <f t="shared" si="378"/>
        <v>No marker score</v>
      </c>
      <c r="KR535" s="11" t="str">
        <f t="shared" si="379"/>
        <v>2. Accommodating</v>
      </c>
      <c r="KS535" s="11" t="str">
        <f t="shared" si="380"/>
        <v>4. Transformative</v>
      </c>
      <c r="KT535" s="11">
        <f t="shared" si="381"/>
        <v>0</v>
      </c>
      <c r="KU535" s="11" t="str">
        <f t="shared" si="382"/>
        <v>Moderate advocacy</v>
      </c>
      <c r="KV535" s="11" t="str">
        <f t="shared" si="383"/>
        <v>It linked and worked with strategic alliances and partners to take tested and effective solutions to scale</v>
      </c>
      <c r="KW535" s="11" t="str">
        <f t="shared" si="384"/>
        <v>Niger - BRACED-PRESENCES</v>
      </c>
      <c r="KX535" s="11" t="str">
        <f t="shared" si="385"/>
        <v>BRACED-PRESENCES</v>
      </c>
      <c r="KY535" s="11" t="str">
        <f t="shared" si="386"/>
        <v>Niger</v>
      </c>
      <c r="KZ535" s="12">
        <v>535</v>
      </c>
    </row>
    <row r="536" spans="1:312" x14ac:dyDescent="0.3">
      <c r="A536" s="12" t="s">
        <v>9043</v>
      </c>
      <c r="B536" s="12" t="s">
        <v>1596</v>
      </c>
      <c r="C536" s="12"/>
      <c r="D536" s="12" t="s">
        <v>9334</v>
      </c>
      <c r="E536" s="277" t="str">
        <f t="shared" si="344"/>
        <v>Niger</v>
      </c>
      <c r="F536" s="12" t="s">
        <v>9335</v>
      </c>
      <c r="G536" s="12" t="s">
        <v>608</v>
      </c>
      <c r="H536" s="11" t="s">
        <v>380</v>
      </c>
      <c r="I536" s="12" t="s">
        <v>381</v>
      </c>
      <c r="J536" s="281" t="s">
        <v>8430</v>
      </c>
      <c r="K536" s="12"/>
      <c r="L536" s="12"/>
      <c r="M536" s="12"/>
      <c r="N536" s="12"/>
      <c r="O536" s="12"/>
      <c r="P536" s="12"/>
      <c r="Q536" s="12"/>
      <c r="R536" s="12"/>
      <c r="S536" s="12"/>
      <c r="T536" s="12"/>
      <c r="U536" s="12"/>
      <c r="V536" s="12"/>
      <c r="W536" s="12"/>
      <c r="X536" s="12"/>
      <c r="Y536" s="12"/>
      <c r="Z536" s="12"/>
      <c r="AA536" s="12"/>
      <c r="AB536" s="12"/>
      <c r="AC536" s="12"/>
      <c r="AD536" s="12"/>
      <c r="BD536" s="13">
        <v>42713</v>
      </c>
      <c r="BE536" s="13">
        <v>42864</v>
      </c>
      <c r="BF536" s="13">
        <v>42931</v>
      </c>
      <c r="BG536" s="12" t="s">
        <v>817</v>
      </c>
      <c r="BH536" s="14">
        <v>170001</v>
      </c>
      <c r="BI536" s="12" t="s">
        <v>9336</v>
      </c>
      <c r="BJ536" s="12" t="s">
        <v>2775</v>
      </c>
      <c r="BK536" s="12" t="s">
        <v>9337</v>
      </c>
      <c r="BL536" s="12" t="s">
        <v>9049</v>
      </c>
      <c r="BM536" s="12" t="s">
        <v>9338</v>
      </c>
      <c r="BN536" s="12" t="s">
        <v>9297</v>
      </c>
      <c r="BO536" s="12" t="s">
        <v>320</v>
      </c>
      <c r="BP536" s="12" t="s">
        <v>319</v>
      </c>
      <c r="BQ536" s="12" t="s">
        <v>319</v>
      </c>
      <c r="BR536" s="12" t="s">
        <v>9339</v>
      </c>
      <c r="BS536" s="12" t="s">
        <v>357</v>
      </c>
      <c r="BT536" s="43" t="s">
        <v>9340</v>
      </c>
      <c r="BU536" s="12" t="s">
        <v>9341</v>
      </c>
      <c r="BV536" s="14">
        <v>1012</v>
      </c>
      <c r="BW536" s="14">
        <v>988</v>
      </c>
      <c r="BX536" s="14">
        <v>2000</v>
      </c>
      <c r="BY536" s="14">
        <v>2024</v>
      </c>
      <c r="BZ536" s="14">
        <v>1976</v>
      </c>
      <c r="CA536" s="14">
        <v>4000</v>
      </c>
      <c r="CB536" s="12" t="s">
        <v>9342</v>
      </c>
      <c r="CD536" s="14">
        <v>2495</v>
      </c>
      <c r="CE536" s="14">
        <v>1579</v>
      </c>
      <c r="CF536" s="14">
        <v>4074</v>
      </c>
      <c r="CG536" s="14">
        <v>4990</v>
      </c>
      <c r="CH536" s="14">
        <v>3158</v>
      </c>
      <c r="CI536" s="14">
        <v>8148</v>
      </c>
      <c r="CJ536" s="12"/>
      <c r="CK536" s="14"/>
      <c r="CL536" s="16"/>
      <c r="CM536" s="14"/>
      <c r="CN536" s="12"/>
      <c r="CO536" s="14"/>
      <c r="CP536" s="16"/>
      <c r="CQ536" s="14"/>
      <c r="CR536" s="12"/>
      <c r="CS536" s="14"/>
      <c r="CT536" s="16"/>
      <c r="CU536" s="14"/>
      <c r="CV536" s="12"/>
      <c r="CW536" s="14"/>
      <c r="CX536" s="16"/>
      <c r="CY536" s="14"/>
      <c r="CZ536" s="12" t="s">
        <v>320</v>
      </c>
      <c r="DA536" s="14">
        <v>210</v>
      </c>
      <c r="DB536" s="16">
        <v>1</v>
      </c>
      <c r="DC536" s="14">
        <v>1680</v>
      </c>
      <c r="DD536" s="12"/>
      <c r="DE536" s="14"/>
      <c r="DF536" s="16"/>
      <c r="DG536" s="14"/>
      <c r="DH536" s="12"/>
      <c r="DI536" s="14"/>
      <c r="DJ536" s="16"/>
      <c r="DK536" s="14"/>
      <c r="DL536" s="12"/>
      <c r="DM536" s="14"/>
      <c r="DN536" s="16"/>
      <c r="DO536" s="14"/>
      <c r="DP536" s="12" t="s">
        <v>320</v>
      </c>
      <c r="DQ536" s="14">
        <v>4074</v>
      </c>
      <c r="DR536" s="16">
        <v>0.51</v>
      </c>
      <c r="DS536" s="14">
        <v>8148</v>
      </c>
      <c r="DT536" s="12"/>
      <c r="DU536" s="14"/>
      <c r="DV536" s="16"/>
      <c r="DW536" s="14"/>
      <c r="DX536" s="12"/>
      <c r="DY536" s="14"/>
      <c r="DZ536" s="16"/>
      <c r="EA536" s="14"/>
      <c r="EB536" s="12"/>
      <c r="EC536" s="14"/>
      <c r="ED536" s="16"/>
      <c r="EE536" s="14"/>
      <c r="EF536" s="12"/>
      <c r="EG536" s="12"/>
      <c r="EH536" s="14"/>
      <c r="EI536" s="16"/>
      <c r="EJ536" s="14"/>
      <c r="EK536" s="14"/>
      <c r="EL536" s="14"/>
      <c r="EM536" s="14"/>
      <c r="EN536" s="14"/>
      <c r="EO536" s="14"/>
      <c r="EP536" s="14"/>
      <c r="EQ536" s="12"/>
      <c r="ER536" s="14"/>
      <c r="ES536" s="16"/>
      <c r="ET536" s="14"/>
      <c r="EU536" s="12"/>
      <c r="EV536" s="14"/>
      <c r="EW536" s="16"/>
      <c r="EX536" s="14"/>
      <c r="EY536" s="12"/>
      <c r="EZ536" s="14"/>
      <c r="FA536" s="16"/>
      <c r="FB536" s="14"/>
      <c r="FC536" s="12"/>
      <c r="FD536" s="14"/>
      <c r="FE536" s="16"/>
      <c r="FF536" s="14"/>
      <c r="FG536" s="12"/>
      <c r="FH536" s="14"/>
      <c r="FI536" s="16"/>
      <c r="FJ536" s="14"/>
      <c r="FK536" s="12"/>
      <c r="FL536" s="14"/>
      <c r="FM536" s="16"/>
      <c r="FN536" s="14"/>
      <c r="FO536" s="12"/>
      <c r="FP536" s="14"/>
      <c r="FQ536" s="16"/>
      <c r="FR536" s="14"/>
      <c r="FS536" s="12"/>
      <c r="FT536" s="14"/>
      <c r="FU536" s="16"/>
      <c r="FV536" s="14"/>
      <c r="FW536" s="12"/>
      <c r="FX536" s="14"/>
      <c r="FY536" s="16"/>
      <c r="FZ536" s="14"/>
      <c r="GA536" s="12"/>
      <c r="GB536" s="14"/>
      <c r="GC536" s="16"/>
      <c r="GD536" s="14"/>
      <c r="GE536" s="12"/>
      <c r="GF536" s="14"/>
      <c r="GG536" s="16"/>
      <c r="GH536" s="14"/>
      <c r="GI536" s="12"/>
      <c r="GJ536" s="14"/>
      <c r="GK536" s="16"/>
      <c r="GL536" s="14"/>
      <c r="GM536" s="12"/>
      <c r="GN536" s="14"/>
      <c r="GO536" s="16"/>
      <c r="GP536" s="14"/>
      <c r="GQ536" s="12"/>
      <c r="GR536" s="14"/>
      <c r="GS536" s="16"/>
      <c r="GT536" s="14"/>
      <c r="GU536" s="12"/>
      <c r="GV536" s="14"/>
      <c r="GW536" s="16"/>
      <c r="GX536" s="14"/>
      <c r="GY536" s="12"/>
      <c r="GZ536" s="14"/>
      <c r="HA536" s="16"/>
      <c r="HB536" s="14"/>
      <c r="HC536" s="12"/>
      <c r="HD536" s="12"/>
      <c r="HE536" s="14"/>
      <c r="HF536" s="16"/>
      <c r="HG536" s="14"/>
      <c r="HH536" s="12" t="s">
        <v>319</v>
      </c>
      <c r="HI536" s="12"/>
      <c r="HJ536" s="12"/>
      <c r="HK536" s="12"/>
      <c r="HL536" s="12" t="s">
        <v>319</v>
      </c>
      <c r="HM536" s="12"/>
      <c r="HN536" s="12"/>
      <c r="HO536" s="12"/>
      <c r="HP536" s="12" t="s">
        <v>418</v>
      </c>
      <c r="HQ536" s="12" t="s">
        <v>319</v>
      </c>
      <c r="HR536" s="12" t="s">
        <v>319</v>
      </c>
      <c r="HS536" s="12" t="s">
        <v>319</v>
      </c>
      <c r="HT536" s="12" t="s">
        <v>320</v>
      </c>
      <c r="HU536" s="12" t="s">
        <v>319</v>
      </c>
      <c r="HV536" s="12"/>
      <c r="HW536" s="12" t="s">
        <v>319</v>
      </c>
      <c r="HX536" s="12"/>
      <c r="HY536" s="12"/>
      <c r="HZ536" s="12" t="s">
        <v>363</v>
      </c>
      <c r="IA536" s="12"/>
      <c r="IB536" s="12" t="s">
        <v>333</v>
      </c>
      <c r="IC536" s="12"/>
      <c r="ID536" s="12" t="s">
        <v>334</v>
      </c>
      <c r="IE536" s="12" t="s">
        <v>335</v>
      </c>
      <c r="IF536" s="12" t="s">
        <v>320</v>
      </c>
      <c r="IG536" s="12" t="s">
        <v>320</v>
      </c>
      <c r="IH536" s="12" t="s">
        <v>320</v>
      </c>
      <c r="II536" s="12" t="s">
        <v>320</v>
      </c>
      <c r="IJ536" s="12" t="str">
        <f t="shared" si="345"/>
        <v>2. Sensitive</v>
      </c>
      <c r="IK536" s="12">
        <f t="shared" si="346"/>
        <v>4</v>
      </c>
      <c r="IL536" s="12" t="s">
        <v>723</v>
      </c>
      <c r="IM536" s="12"/>
      <c r="IN536" s="12"/>
      <c r="IO536" s="12"/>
      <c r="IP536" s="12"/>
      <c r="IQ536" s="12" t="str">
        <f t="shared" si="347"/>
        <v>0. Unaware</v>
      </c>
      <c r="IR536" s="12">
        <f t="shared" si="348"/>
        <v>0</v>
      </c>
      <c r="IS536" s="12" t="s">
        <v>337</v>
      </c>
      <c r="IT536" s="12" t="s">
        <v>320</v>
      </c>
      <c r="IU536" s="12" t="s">
        <v>319</v>
      </c>
      <c r="IV536" s="12" t="s">
        <v>319</v>
      </c>
      <c r="IW536" s="11" t="str">
        <f t="shared" si="349"/>
        <v>1. Neutral</v>
      </c>
      <c r="IX536" s="12">
        <f t="shared" si="350"/>
        <v>1</v>
      </c>
      <c r="IY536" s="11" t="s">
        <v>338</v>
      </c>
      <c r="IZ536" s="12" t="s">
        <v>339</v>
      </c>
      <c r="JA536" s="12"/>
      <c r="JB536" s="12"/>
      <c r="JD536" s="12"/>
      <c r="JE536" s="12" t="s">
        <v>420</v>
      </c>
      <c r="JF536" s="12"/>
      <c r="JG536" s="12"/>
      <c r="JH536" s="12" t="s">
        <v>9167</v>
      </c>
      <c r="JI536" s="12" t="s">
        <v>9168</v>
      </c>
      <c r="JJ536" s="12" t="s">
        <v>9169</v>
      </c>
      <c r="JK536" s="12" t="s">
        <v>9135</v>
      </c>
      <c r="JL536" s="12" t="s">
        <v>9343</v>
      </c>
      <c r="JM536" s="12" t="s">
        <v>9344</v>
      </c>
      <c r="JN536" s="12" t="s">
        <v>9345</v>
      </c>
      <c r="JO536" s="12"/>
      <c r="JP536" s="15">
        <f t="shared" si="351"/>
        <v>4074</v>
      </c>
      <c r="JQ536" s="15">
        <f t="shared" si="352"/>
        <v>8148</v>
      </c>
      <c r="JR536" s="279">
        <f t="shared" si="353"/>
        <v>2</v>
      </c>
      <c r="JS536" s="17">
        <f t="shared" si="354"/>
        <v>0.61242022582228772</v>
      </c>
      <c r="JT536" s="18">
        <f t="shared" si="355"/>
        <v>0.61242022582228772</v>
      </c>
      <c r="JU536" s="280">
        <f t="shared" si="356"/>
        <v>2495</v>
      </c>
      <c r="JV536" s="280">
        <f t="shared" si="357"/>
        <v>4990</v>
      </c>
      <c r="JW536" s="319">
        <f t="shared" si="358"/>
        <v>1</v>
      </c>
      <c r="JX536" s="15">
        <f t="shared" si="359"/>
        <v>4074</v>
      </c>
      <c r="JY536" s="15">
        <f t="shared" si="360"/>
        <v>8148</v>
      </c>
      <c r="JZ536" s="19">
        <f t="shared" si="361"/>
        <v>2</v>
      </c>
      <c r="KA536" s="52" t="str">
        <f t="shared" si="362"/>
        <v/>
      </c>
      <c r="KB536" s="15">
        <f t="shared" si="363"/>
        <v>0</v>
      </c>
      <c r="KC536" s="15">
        <f t="shared" si="364"/>
        <v>0</v>
      </c>
      <c r="KD536" s="20" t="str">
        <f t="shared" si="365"/>
        <v/>
      </c>
      <c r="KE536" s="52" t="str">
        <f t="shared" si="366"/>
        <v/>
      </c>
      <c r="KF536" s="15">
        <f t="shared" si="367"/>
        <v>0</v>
      </c>
      <c r="KG536" s="15">
        <f t="shared" si="368"/>
        <v>0</v>
      </c>
      <c r="KH536" s="21" t="str">
        <f t="shared" si="369"/>
        <v/>
      </c>
      <c r="KI536" s="52">
        <f t="shared" si="370"/>
        <v>1</v>
      </c>
      <c r="KJ536" s="15">
        <f t="shared" si="371"/>
        <v>210</v>
      </c>
      <c r="KK536" s="15">
        <f t="shared" si="372"/>
        <v>1680</v>
      </c>
      <c r="KL536" s="19">
        <f t="shared" si="373"/>
        <v>8</v>
      </c>
      <c r="KM536" s="52" t="str">
        <f t="shared" si="374"/>
        <v/>
      </c>
      <c r="KN536" s="22">
        <f t="shared" si="375"/>
        <v>0</v>
      </c>
      <c r="KO536" s="22">
        <f t="shared" si="376"/>
        <v>0</v>
      </c>
      <c r="KP536" s="19" t="str">
        <f t="shared" si="377"/>
        <v/>
      </c>
      <c r="KQ536" s="11" t="str">
        <f t="shared" si="378"/>
        <v>2. Sensitive</v>
      </c>
      <c r="KR536" s="11" t="str">
        <f t="shared" si="379"/>
        <v>0. Unaware</v>
      </c>
      <c r="KS536" s="11" t="str">
        <f t="shared" si="380"/>
        <v>1. Neutral</v>
      </c>
      <c r="KT536" s="11" t="str">
        <f t="shared" si="381"/>
        <v>It did not develop any specific innovation</v>
      </c>
      <c r="KU536" s="11" t="str">
        <f t="shared" si="382"/>
        <v>Little or no advocacy</v>
      </c>
      <c r="KV536" s="11" t="str">
        <f t="shared" si="383"/>
        <v>It did not take tested solutions to scale</v>
      </c>
      <c r="KW536" s="11" t="str">
        <f t="shared" si="384"/>
        <v>Niger - Child and SVBG Survival Protection Initiative (KARIYA YARA DA MATA)</v>
      </c>
      <c r="KX536" s="11" t="str">
        <f t="shared" si="385"/>
        <v>Child and SVBG Survival Protection Initiative (KARIYA YARA DA MATA)</v>
      </c>
      <c r="KY536" s="11" t="str">
        <f t="shared" si="386"/>
        <v>Niger</v>
      </c>
      <c r="KZ536" s="12">
        <v>536</v>
      </c>
    </row>
    <row r="537" spans="1:312" x14ac:dyDescent="0.3">
      <c r="A537" s="12" t="s">
        <v>9043</v>
      </c>
      <c r="B537" s="12" t="s">
        <v>1596</v>
      </c>
      <c r="C537" s="12">
        <v>3209</v>
      </c>
      <c r="D537" s="12" t="s">
        <v>9346</v>
      </c>
      <c r="E537" s="277" t="str">
        <f t="shared" si="344"/>
        <v>Niger</v>
      </c>
      <c r="F537" s="12" t="s">
        <v>9347</v>
      </c>
      <c r="G537" s="12" t="s">
        <v>608</v>
      </c>
      <c r="H537" s="12" t="s">
        <v>380</v>
      </c>
      <c r="I537" s="12" t="s">
        <v>381</v>
      </c>
      <c r="J537" s="281" t="s">
        <v>7763</v>
      </c>
      <c r="K537" s="12"/>
      <c r="L537" s="12"/>
      <c r="M537" s="12"/>
      <c r="N537" s="12"/>
      <c r="O537" s="12"/>
      <c r="P537" s="12"/>
      <c r="Q537" s="12"/>
      <c r="R537" s="12"/>
      <c r="S537" s="12"/>
      <c r="T537" s="12"/>
      <c r="U537" s="12"/>
      <c r="V537" s="12"/>
      <c r="W537" s="12"/>
      <c r="X537" s="12"/>
      <c r="Y537" s="12"/>
      <c r="Z537" s="12"/>
      <c r="AA537" s="12"/>
      <c r="AB537" s="12"/>
      <c r="AC537" s="12"/>
      <c r="AD537" s="12"/>
      <c r="BD537" s="13">
        <v>42522</v>
      </c>
      <c r="BE537" s="13">
        <v>42735</v>
      </c>
      <c r="BF537" s="12"/>
      <c r="BG537" s="12" t="s">
        <v>817</v>
      </c>
      <c r="BH537" s="14">
        <v>425847.05</v>
      </c>
      <c r="BI537" s="12" t="s">
        <v>9295</v>
      </c>
      <c r="BJ537" s="12" t="s">
        <v>9296</v>
      </c>
      <c r="BK537" s="12" t="s">
        <v>9297</v>
      </c>
      <c r="BL537" s="12" t="s">
        <v>9348</v>
      </c>
      <c r="BM537" s="12" t="s">
        <v>3002</v>
      </c>
      <c r="BN537" s="12" t="s">
        <v>9349</v>
      </c>
      <c r="BO537" s="12" t="s">
        <v>320</v>
      </c>
      <c r="BP537" s="12" t="s">
        <v>319</v>
      </c>
      <c r="BQ537" s="12" t="s">
        <v>319</v>
      </c>
      <c r="BR537" s="12" t="s">
        <v>9350</v>
      </c>
      <c r="BS537" s="12" t="s">
        <v>357</v>
      </c>
      <c r="BT537" s="43" t="s">
        <v>9351</v>
      </c>
      <c r="BU537" s="12" t="s">
        <v>9352</v>
      </c>
      <c r="BV537" s="14">
        <v>2305</v>
      </c>
      <c r="BW537" s="14">
        <v>3665</v>
      </c>
      <c r="BX537" s="14">
        <v>5970</v>
      </c>
      <c r="BY537" s="14">
        <v>5579</v>
      </c>
      <c r="BZ537" s="14">
        <v>14420</v>
      </c>
      <c r="CA537" s="14">
        <v>19999</v>
      </c>
      <c r="CB537" s="12" t="s">
        <v>9353</v>
      </c>
      <c r="CD537" s="14">
        <v>1682</v>
      </c>
      <c r="CE537" s="14">
        <v>2956</v>
      </c>
      <c r="CF537" s="14">
        <v>4638</v>
      </c>
      <c r="CG537" s="14">
        <v>8198</v>
      </c>
      <c r="CH537" s="14">
        <v>7164</v>
      </c>
      <c r="CI537" s="14">
        <v>15362</v>
      </c>
      <c r="CJ537" s="12"/>
      <c r="CK537" s="14"/>
      <c r="CL537" s="16"/>
      <c r="CM537" s="14"/>
      <c r="CN537" s="12"/>
      <c r="CO537" s="14"/>
      <c r="CP537" s="16"/>
      <c r="CQ537" s="14"/>
      <c r="CR537" s="12"/>
      <c r="CS537" s="14"/>
      <c r="CT537" s="16"/>
      <c r="CU537" s="14"/>
      <c r="CV537" s="12" t="s">
        <v>320</v>
      </c>
      <c r="CW537" s="14">
        <v>4638</v>
      </c>
      <c r="CX537" s="16">
        <v>0.36259999999999998</v>
      </c>
      <c r="CY537" s="14">
        <v>15362</v>
      </c>
      <c r="CZ537" s="12"/>
      <c r="DA537" s="14"/>
      <c r="DB537" s="16"/>
      <c r="DC537" s="14"/>
      <c r="DD537" s="12"/>
      <c r="DE537" s="14"/>
      <c r="DF537" s="16"/>
      <c r="DG537" s="14"/>
      <c r="DH537" s="12"/>
      <c r="DI537" s="14"/>
      <c r="DJ537" s="16"/>
      <c r="DK537" s="14"/>
      <c r="DL537" s="12"/>
      <c r="DM537" s="14"/>
      <c r="DN537" s="16"/>
      <c r="DO537" s="14"/>
      <c r="DP537" s="12"/>
      <c r="DQ537" s="14"/>
      <c r="DR537" s="16"/>
      <c r="DS537" s="14"/>
      <c r="DT537" s="12"/>
      <c r="DU537" s="14"/>
      <c r="DV537" s="16"/>
      <c r="DW537" s="14"/>
      <c r="DX537" s="12"/>
      <c r="DY537" s="14"/>
      <c r="DZ537" s="16"/>
      <c r="EA537" s="14"/>
      <c r="EB537" s="12"/>
      <c r="EC537" s="14"/>
      <c r="ED537" s="16"/>
      <c r="EE537" s="14"/>
      <c r="EF537" s="12"/>
      <c r="EG537" s="12"/>
      <c r="EH537" s="14"/>
      <c r="EI537" s="16"/>
      <c r="EJ537" s="14"/>
      <c r="EK537" s="14"/>
      <c r="EL537" s="14"/>
      <c r="EM537" s="14">
        <v>0</v>
      </c>
      <c r="EN537" s="14">
        <v>0</v>
      </c>
      <c r="EO537" s="14">
        <v>0</v>
      </c>
      <c r="EP537" s="14">
        <v>0</v>
      </c>
      <c r="EQ537" s="12"/>
      <c r="ER537" s="14"/>
      <c r="ES537" s="16"/>
      <c r="ET537" s="14"/>
      <c r="EU537" s="12"/>
      <c r="EV537" s="14"/>
      <c r="EW537" s="16"/>
      <c r="EX537" s="14"/>
      <c r="EY537" s="12"/>
      <c r="EZ537" s="14"/>
      <c r="FA537" s="16"/>
      <c r="FB537" s="14"/>
      <c r="FC537" s="12"/>
      <c r="FD537" s="14"/>
      <c r="FE537" s="16"/>
      <c r="FF537" s="14"/>
      <c r="FG537" s="12"/>
      <c r="FH537" s="14"/>
      <c r="FI537" s="16"/>
      <c r="FJ537" s="14"/>
      <c r="FK537" s="12"/>
      <c r="FL537" s="14"/>
      <c r="FM537" s="16"/>
      <c r="FN537" s="14"/>
      <c r="FO537" s="12"/>
      <c r="FP537" s="14"/>
      <c r="FQ537" s="16"/>
      <c r="FR537" s="14"/>
      <c r="FS537" s="12"/>
      <c r="FT537" s="14"/>
      <c r="FU537" s="16"/>
      <c r="FV537" s="14"/>
      <c r="FW537" s="12"/>
      <c r="FX537" s="14"/>
      <c r="FY537" s="16"/>
      <c r="FZ537" s="14"/>
      <c r="GA537" s="12"/>
      <c r="GB537" s="14"/>
      <c r="GC537" s="16"/>
      <c r="GD537" s="14"/>
      <c r="GE537" s="12"/>
      <c r="GF537" s="14"/>
      <c r="GG537" s="16"/>
      <c r="GH537" s="14"/>
      <c r="GI537" s="12"/>
      <c r="GJ537" s="14"/>
      <c r="GK537" s="16"/>
      <c r="GL537" s="14"/>
      <c r="GM537" s="12"/>
      <c r="GN537" s="14"/>
      <c r="GO537" s="16"/>
      <c r="GP537" s="14"/>
      <c r="GQ537" s="12"/>
      <c r="GR537" s="14"/>
      <c r="GS537" s="16"/>
      <c r="GT537" s="14"/>
      <c r="GU537" s="12"/>
      <c r="GV537" s="14"/>
      <c r="GW537" s="16"/>
      <c r="GX537" s="14"/>
      <c r="GY537" s="12"/>
      <c r="GZ537" s="14"/>
      <c r="HA537" s="16"/>
      <c r="HB537" s="14"/>
      <c r="HC537" s="12"/>
      <c r="HD537" s="12"/>
      <c r="HE537" s="14"/>
      <c r="HF537" s="16"/>
      <c r="HG537" s="14"/>
      <c r="HH537" s="12" t="s">
        <v>319</v>
      </c>
      <c r="HI537" s="12"/>
      <c r="HJ537" s="12"/>
      <c r="HK537" s="12" t="s">
        <v>319</v>
      </c>
      <c r="HL537" s="12" t="s">
        <v>319</v>
      </c>
      <c r="HM537" s="12"/>
      <c r="HN537" s="12"/>
      <c r="HO537" s="12"/>
      <c r="HP537" s="12" t="s">
        <v>418</v>
      </c>
      <c r="HQ537" s="12" t="s">
        <v>319</v>
      </c>
      <c r="HR537" s="12" t="s">
        <v>319</v>
      </c>
      <c r="HS537" s="12" t="s">
        <v>319</v>
      </c>
      <c r="HT537" s="12" t="s">
        <v>319</v>
      </c>
      <c r="HU537" s="12" t="s">
        <v>319</v>
      </c>
      <c r="HV537" s="12" t="s">
        <v>319</v>
      </c>
      <c r="HW537" s="12" t="s">
        <v>319</v>
      </c>
      <c r="HX537" s="12" t="s">
        <v>319</v>
      </c>
      <c r="HY537" s="12"/>
      <c r="HZ537" s="11" t="s">
        <v>363</v>
      </c>
      <c r="IA537" s="12"/>
      <c r="IB537" s="12" t="s">
        <v>333</v>
      </c>
      <c r="IC537" s="12"/>
      <c r="ID537" s="11" t="s">
        <v>364</v>
      </c>
      <c r="IE537" s="12" t="s">
        <v>335</v>
      </c>
      <c r="IF537" s="12" t="s">
        <v>320</v>
      </c>
      <c r="IG537" s="12" t="s">
        <v>320</v>
      </c>
      <c r="IH537" s="12" t="s">
        <v>320</v>
      </c>
      <c r="II537" s="12" t="s">
        <v>320</v>
      </c>
      <c r="IJ537" s="12" t="str">
        <f t="shared" si="345"/>
        <v>2. Sensitive</v>
      </c>
      <c r="IK537" s="12">
        <f t="shared" si="346"/>
        <v>4</v>
      </c>
      <c r="IL537" s="12" t="s">
        <v>336</v>
      </c>
      <c r="IM537" s="12" t="s">
        <v>319</v>
      </c>
      <c r="IN537" s="12" t="s">
        <v>319</v>
      </c>
      <c r="IO537" s="12" t="s">
        <v>319</v>
      </c>
      <c r="IP537" s="12" t="s">
        <v>319</v>
      </c>
      <c r="IQ537" s="12" t="str">
        <f t="shared" si="347"/>
        <v>0. Unaware</v>
      </c>
      <c r="IR537" s="12">
        <f t="shared" si="348"/>
        <v>0</v>
      </c>
      <c r="IS537" s="12" t="s">
        <v>337</v>
      </c>
      <c r="IT537" s="12" t="s">
        <v>320</v>
      </c>
      <c r="IU537" s="12" t="s">
        <v>320</v>
      </c>
      <c r="IV537" s="12" t="s">
        <v>320</v>
      </c>
      <c r="IW537" s="11" t="str">
        <f t="shared" si="349"/>
        <v>2. Sensitive</v>
      </c>
      <c r="IX537" s="12">
        <f t="shared" si="350"/>
        <v>3</v>
      </c>
      <c r="IY537" s="11" t="s">
        <v>419</v>
      </c>
      <c r="IZ537" s="12" t="s">
        <v>339</v>
      </c>
      <c r="JA537" s="12"/>
      <c r="JB537" s="12"/>
      <c r="JC537" s="12"/>
      <c r="JD537" s="12"/>
      <c r="JE537" s="12" t="s">
        <v>365</v>
      </c>
      <c r="JF537" s="12" t="s">
        <v>9354</v>
      </c>
      <c r="JG537" s="12"/>
      <c r="JH537" s="12" t="s">
        <v>9355</v>
      </c>
      <c r="JI537" s="12"/>
      <c r="JJ537" s="12"/>
      <c r="JK537" s="12"/>
      <c r="JL537" s="12"/>
      <c r="JM537" s="12"/>
      <c r="JN537" s="12"/>
      <c r="JO537" s="12"/>
      <c r="JP537" s="15">
        <f t="shared" si="351"/>
        <v>4638</v>
      </c>
      <c r="JQ537" s="15">
        <f t="shared" si="352"/>
        <v>15362</v>
      </c>
      <c r="JR537" s="279">
        <f t="shared" si="353"/>
        <v>3.3122035360068995</v>
      </c>
      <c r="JS537" s="17">
        <f t="shared" si="354"/>
        <v>0.36265631737818027</v>
      </c>
      <c r="JT537" s="18">
        <f t="shared" si="355"/>
        <v>0.53365447207394867</v>
      </c>
      <c r="JU537" s="280">
        <f t="shared" si="356"/>
        <v>1682</v>
      </c>
      <c r="JV537" s="280">
        <f t="shared" si="357"/>
        <v>8198</v>
      </c>
      <c r="JW537" s="319">
        <f t="shared" si="358"/>
        <v>1</v>
      </c>
      <c r="JX537" s="15">
        <f t="shared" si="359"/>
        <v>4638</v>
      </c>
      <c r="JY537" s="15">
        <f t="shared" si="360"/>
        <v>15362</v>
      </c>
      <c r="JZ537" s="19">
        <f t="shared" si="361"/>
        <v>3.3122035360068995</v>
      </c>
      <c r="KA537" s="52">
        <f t="shared" si="362"/>
        <v>1</v>
      </c>
      <c r="KB537" s="15">
        <f t="shared" si="363"/>
        <v>4638</v>
      </c>
      <c r="KC537" s="15">
        <f t="shared" si="364"/>
        <v>15362</v>
      </c>
      <c r="KD537" s="20">
        <f t="shared" si="365"/>
        <v>3.3122035360068995</v>
      </c>
      <c r="KE537" s="52" t="str">
        <f t="shared" si="366"/>
        <v/>
      </c>
      <c r="KF537" s="15">
        <f t="shared" si="367"/>
        <v>0</v>
      </c>
      <c r="KG537" s="15">
        <f t="shared" si="368"/>
        <v>0</v>
      </c>
      <c r="KH537" s="21" t="str">
        <f t="shared" si="369"/>
        <v/>
      </c>
      <c r="KI537" s="52" t="str">
        <f t="shared" si="370"/>
        <v/>
      </c>
      <c r="KJ537" s="15">
        <f t="shared" si="371"/>
        <v>0</v>
      </c>
      <c r="KK537" s="15">
        <f t="shared" si="372"/>
        <v>0</v>
      </c>
      <c r="KL537" s="19" t="str">
        <f t="shared" si="373"/>
        <v/>
      </c>
      <c r="KM537" s="52" t="str">
        <f t="shared" si="374"/>
        <v/>
      </c>
      <c r="KN537" s="22">
        <f t="shared" si="375"/>
        <v>0</v>
      </c>
      <c r="KO537" s="22">
        <f t="shared" si="376"/>
        <v>0</v>
      </c>
      <c r="KP537" s="19" t="str">
        <f t="shared" si="377"/>
        <v/>
      </c>
      <c r="KQ537" s="11" t="str">
        <f t="shared" si="378"/>
        <v>2. Sensitive</v>
      </c>
      <c r="KR537" s="11" t="str">
        <f t="shared" si="379"/>
        <v>0. Unaware</v>
      </c>
      <c r="KS537" s="11" t="str">
        <f t="shared" si="380"/>
        <v>2. Sensitive</v>
      </c>
      <c r="KT537" s="11" t="str">
        <f t="shared" si="381"/>
        <v>It did not develop any specific innovation</v>
      </c>
      <c r="KU537" s="11" t="str">
        <f t="shared" si="382"/>
        <v>Little or no advocacy</v>
      </c>
      <c r="KV537" s="11" t="str">
        <f t="shared" si="383"/>
        <v>It did not take tested solutions to scale</v>
      </c>
      <c r="KW537" s="11" t="str">
        <f t="shared" si="384"/>
        <v>Niger - Distribution gratuite ciblée; cash transfer; cash et food for asset et blanket feeding aux enfants de 6 à 23 mois</v>
      </c>
      <c r="KX537" s="11" t="str">
        <f t="shared" si="385"/>
        <v>Distribution gratuite ciblée; cash transfer; cash et food for asset et blanket feeding aux enfants de 6 à 23 mois</v>
      </c>
      <c r="KY537" s="11" t="str">
        <f t="shared" si="386"/>
        <v>Niger</v>
      </c>
      <c r="KZ537" s="12">
        <v>537</v>
      </c>
    </row>
    <row r="538" spans="1:312" x14ac:dyDescent="0.3">
      <c r="A538" s="12" t="s">
        <v>9043</v>
      </c>
      <c r="B538" s="12" t="s">
        <v>1596</v>
      </c>
      <c r="C538" s="12"/>
      <c r="D538" s="12" t="s">
        <v>9346</v>
      </c>
      <c r="E538" s="277" t="str">
        <f t="shared" si="344"/>
        <v>Niger</v>
      </c>
      <c r="F538" s="12" t="s">
        <v>9356</v>
      </c>
      <c r="G538" s="12" t="s">
        <v>608</v>
      </c>
      <c r="H538" s="12" t="s">
        <v>380</v>
      </c>
      <c r="I538" s="12" t="s">
        <v>381</v>
      </c>
      <c r="J538" s="281" t="s">
        <v>7763</v>
      </c>
      <c r="K538" s="12"/>
      <c r="L538" s="12"/>
      <c r="M538" s="12"/>
      <c r="N538" s="12"/>
      <c r="O538" s="12"/>
      <c r="P538" s="12"/>
      <c r="Q538" s="12"/>
      <c r="R538" s="12"/>
      <c r="S538" s="12"/>
      <c r="T538" s="12"/>
      <c r="U538" s="12"/>
      <c r="V538" s="12"/>
      <c r="W538" s="12"/>
      <c r="X538" s="12"/>
      <c r="Y538" s="12"/>
      <c r="Z538" s="12"/>
      <c r="AA538" s="12"/>
      <c r="AB538" s="12"/>
      <c r="AC538" s="12"/>
      <c r="AD538" s="12"/>
      <c r="BD538" s="13">
        <v>42736</v>
      </c>
      <c r="BE538" s="13">
        <v>43100</v>
      </c>
      <c r="BF538" s="12"/>
      <c r="BG538" s="12" t="s">
        <v>817</v>
      </c>
      <c r="BH538" s="14">
        <v>464881.10800000001</v>
      </c>
      <c r="BI538" s="12" t="s">
        <v>9295</v>
      </c>
      <c r="BJ538" s="12" t="s">
        <v>9296</v>
      </c>
      <c r="BK538" s="12" t="s">
        <v>9297</v>
      </c>
      <c r="BL538" s="12" t="s">
        <v>9348</v>
      </c>
      <c r="BM538" s="12" t="s">
        <v>3002</v>
      </c>
      <c r="BN538" s="12" t="s">
        <v>9349</v>
      </c>
      <c r="BO538" s="12" t="s">
        <v>320</v>
      </c>
      <c r="BP538" s="12" t="s">
        <v>319</v>
      </c>
      <c r="BQ538" s="12" t="s">
        <v>319</v>
      </c>
      <c r="BR538" s="12" t="s">
        <v>9350</v>
      </c>
      <c r="BS538" s="12" t="s">
        <v>357</v>
      </c>
      <c r="BT538" s="43" t="s">
        <v>9351</v>
      </c>
      <c r="BU538" s="12" t="s">
        <v>9357</v>
      </c>
      <c r="BV538" s="14">
        <v>1013</v>
      </c>
      <c r="BW538" s="14">
        <v>1623</v>
      </c>
      <c r="BX538" s="14">
        <v>2636</v>
      </c>
      <c r="BY538" s="14">
        <v>4824</v>
      </c>
      <c r="BZ538" s="14">
        <v>3474</v>
      </c>
      <c r="CA538" s="14">
        <v>8298</v>
      </c>
      <c r="CB538" s="12" t="s">
        <v>9358</v>
      </c>
      <c r="CD538" s="14">
        <v>1013</v>
      </c>
      <c r="CE538" s="14">
        <v>1623</v>
      </c>
      <c r="CF538" s="14">
        <v>2636</v>
      </c>
      <c r="CG538" s="14">
        <v>4824</v>
      </c>
      <c r="CH538" s="14">
        <v>3474</v>
      </c>
      <c r="CI538" s="14">
        <v>8298</v>
      </c>
      <c r="CJ538" s="12"/>
      <c r="CK538" s="14"/>
      <c r="CL538" s="16"/>
      <c r="CM538" s="14"/>
      <c r="CN538" s="12"/>
      <c r="CO538" s="14"/>
      <c r="CP538" s="16"/>
      <c r="CQ538" s="14"/>
      <c r="CR538" s="12"/>
      <c r="CS538" s="14"/>
      <c r="CT538" s="16"/>
      <c r="CU538" s="14"/>
      <c r="CV538" s="12" t="s">
        <v>320</v>
      </c>
      <c r="CW538" s="14">
        <v>2636</v>
      </c>
      <c r="CX538" s="16">
        <v>0.38419999999999999</v>
      </c>
      <c r="CY538" s="14">
        <v>10934</v>
      </c>
      <c r="CZ538" s="12"/>
      <c r="DA538" s="14"/>
      <c r="DB538" s="16"/>
      <c r="DC538" s="14"/>
      <c r="DD538" s="12"/>
      <c r="DE538" s="14"/>
      <c r="DF538" s="16"/>
      <c r="DG538" s="14"/>
      <c r="DH538" s="12"/>
      <c r="DI538" s="14"/>
      <c r="DJ538" s="16"/>
      <c r="DK538" s="14"/>
      <c r="DL538" s="12"/>
      <c r="DM538" s="14"/>
      <c r="DN538" s="16"/>
      <c r="DO538" s="14"/>
      <c r="DP538" s="12"/>
      <c r="DQ538" s="14"/>
      <c r="DR538" s="16"/>
      <c r="DS538" s="14"/>
      <c r="DT538" s="12"/>
      <c r="DU538" s="14"/>
      <c r="DV538" s="16"/>
      <c r="DW538" s="14"/>
      <c r="DX538" s="12"/>
      <c r="DY538" s="14"/>
      <c r="DZ538" s="16"/>
      <c r="EA538" s="14"/>
      <c r="EB538" s="12"/>
      <c r="EC538" s="14"/>
      <c r="ED538" s="16"/>
      <c r="EE538" s="14"/>
      <c r="EF538" s="12"/>
      <c r="EG538" s="12"/>
      <c r="EH538" s="14"/>
      <c r="EI538" s="16"/>
      <c r="EJ538" s="14"/>
      <c r="EK538" s="14"/>
      <c r="EL538" s="14"/>
      <c r="EM538" s="14">
        <v>0</v>
      </c>
      <c r="EN538" s="14"/>
      <c r="EO538" s="14"/>
      <c r="EP538" s="14">
        <v>0</v>
      </c>
      <c r="EQ538" s="12"/>
      <c r="ER538" s="14"/>
      <c r="ES538" s="16"/>
      <c r="ET538" s="14"/>
      <c r="EU538" s="12"/>
      <c r="EV538" s="14"/>
      <c r="EW538" s="16"/>
      <c r="EX538" s="14"/>
      <c r="EY538" s="12"/>
      <c r="EZ538" s="14"/>
      <c r="FA538" s="16"/>
      <c r="FB538" s="14"/>
      <c r="FC538" s="12"/>
      <c r="FD538" s="14"/>
      <c r="FE538" s="16"/>
      <c r="FF538" s="14"/>
      <c r="FG538" s="12"/>
      <c r="FH538" s="14"/>
      <c r="FI538" s="16"/>
      <c r="FJ538" s="14"/>
      <c r="FK538" s="12"/>
      <c r="FL538" s="14"/>
      <c r="FM538" s="16"/>
      <c r="FN538" s="14"/>
      <c r="FO538" s="12"/>
      <c r="FP538" s="14"/>
      <c r="FQ538" s="16"/>
      <c r="FR538" s="14"/>
      <c r="FS538" s="12"/>
      <c r="FT538" s="14"/>
      <c r="FU538" s="16"/>
      <c r="FV538" s="14"/>
      <c r="FW538" s="12"/>
      <c r="FX538" s="14"/>
      <c r="FY538" s="16"/>
      <c r="FZ538" s="14"/>
      <c r="GA538" s="12"/>
      <c r="GB538" s="14"/>
      <c r="GC538" s="16"/>
      <c r="GD538" s="14"/>
      <c r="GE538" s="12"/>
      <c r="GF538" s="14"/>
      <c r="GG538" s="16"/>
      <c r="GH538" s="14"/>
      <c r="GI538" s="12"/>
      <c r="GJ538" s="14"/>
      <c r="GK538" s="16"/>
      <c r="GL538" s="14"/>
      <c r="GM538" s="12"/>
      <c r="GN538" s="14"/>
      <c r="GO538" s="16"/>
      <c r="GP538" s="14"/>
      <c r="GQ538" s="12"/>
      <c r="GR538" s="14"/>
      <c r="GS538" s="16"/>
      <c r="GT538" s="14"/>
      <c r="GU538" s="12"/>
      <c r="GV538" s="14"/>
      <c r="GW538" s="16"/>
      <c r="GX538" s="14"/>
      <c r="GY538" s="12"/>
      <c r="GZ538" s="14"/>
      <c r="HA538" s="16"/>
      <c r="HB538" s="14"/>
      <c r="HC538" s="12"/>
      <c r="HD538" s="12"/>
      <c r="HE538" s="14"/>
      <c r="HF538" s="16"/>
      <c r="HG538" s="14"/>
      <c r="HH538" s="12" t="s">
        <v>319</v>
      </c>
      <c r="HI538" s="12"/>
      <c r="HJ538" s="12"/>
      <c r="HK538" s="12" t="s">
        <v>319</v>
      </c>
      <c r="HL538" s="12" t="s">
        <v>319</v>
      </c>
      <c r="HM538" s="12"/>
      <c r="HN538" s="12"/>
      <c r="HO538" s="12"/>
      <c r="HP538" s="12" t="s">
        <v>418</v>
      </c>
      <c r="HQ538" s="12" t="s">
        <v>319</v>
      </c>
      <c r="HR538" s="12" t="s">
        <v>319</v>
      </c>
      <c r="HS538" s="12" t="s">
        <v>319</v>
      </c>
      <c r="HT538" s="12" t="s">
        <v>320</v>
      </c>
      <c r="HU538" s="12" t="s">
        <v>319</v>
      </c>
      <c r="HV538" s="12" t="s">
        <v>319</v>
      </c>
      <c r="HW538" s="12" t="s">
        <v>319</v>
      </c>
      <c r="HX538" s="12" t="s">
        <v>319</v>
      </c>
      <c r="HY538" s="12"/>
      <c r="HZ538" s="11" t="s">
        <v>394</v>
      </c>
      <c r="IA538" s="12"/>
      <c r="IB538" s="12" t="s">
        <v>333</v>
      </c>
      <c r="IC538" s="12"/>
      <c r="ID538" s="11" t="s">
        <v>364</v>
      </c>
      <c r="IE538" s="12" t="s">
        <v>335</v>
      </c>
      <c r="IF538" s="12" t="s">
        <v>320</v>
      </c>
      <c r="IG538" s="12" t="s">
        <v>320</v>
      </c>
      <c r="IH538" s="12" t="s">
        <v>320</v>
      </c>
      <c r="II538" s="12" t="s">
        <v>319</v>
      </c>
      <c r="IJ538" s="12" t="str">
        <f t="shared" si="345"/>
        <v>1. Neutral</v>
      </c>
      <c r="IK538" s="12">
        <f t="shared" si="346"/>
        <v>3</v>
      </c>
      <c r="IL538" s="12" t="s">
        <v>723</v>
      </c>
      <c r="IM538" s="12" t="s">
        <v>319</v>
      </c>
      <c r="IN538" s="12" t="s">
        <v>319</v>
      </c>
      <c r="IO538" s="12" t="s">
        <v>319</v>
      </c>
      <c r="IP538" s="12" t="s">
        <v>319</v>
      </c>
      <c r="IQ538" s="12" t="str">
        <f t="shared" si="347"/>
        <v>0. Unaware</v>
      </c>
      <c r="IR538" s="12">
        <f t="shared" si="348"/>
        <v>0</v>
      </c>
      <c r="IS538" s="12" t="s">
        <v>337</v>
      </c>
      <c r="IT538" s="12" t="s">
        <v>320</v>
      </c>
      <c r="IU538" s="12" t="s">
        <v>320</v>
      </c>
      <c r="IV538" s="12" t="s">
        <v>320</v>
      </c>
      <c r="IW538" s="11" t="str">
        <f t="shared" si="349"/>
        <v>2. Sensitive</v>
      </c>
      <c r="IX538" s="12">
        <f t="shared" si="350"/>
        <v>3</v>
      </c>
      <c r="IY538" s="11" t="s">
        <v>419</v>
      </c>
      <c r="IZ538" s="12" t="s">
        <v>457</v>
      </c>
      <c r="JA538" s="12"/>
      <c r="JB538" s="12"/>
      <c r="JC538" s="11" t="s">
        <v>687</v>
      </c>
      <c r="JD538" s="12"/>
      <c r="JE538" s="12" t="s">
        <v>365</v>
      </c>
      <c r="JF538" s="12" t="s">
        <v>9354</v>
      </c>
      <c r="JG538" s="12"/>
      <c r="JH538" s="12" t="s">
        <v>9355</v>
      </c>
      <c r="JI538" s="12"/>
      <c r="JJ538" s="12"/>
      <c r="JK538" s="12"/>
      <c r="JL538" s="12"/>
      <c r="JM538" s="12"/>
      <c r="JN538" s="12"/>
      <c r="JO538" s="12"/>
      <c r="JP538" s="15">
        <f t="shared" si="351"/>
        <v>2636</v>
      </c>
      <c r="JQ538" s="15">
        <f t="shared" si="352"/>
        <v>8298</v>
      </c>
      <c r="JR538" s="279">
        <f t="shared" si="353"/>
        <v>3.1479514415781487</v>
      </c>
      <c r="JS538" s="17">
        <f t="shared" si="354"/>
        <v>0.38429438543247346</v>
      </c>
      <c r="JT538" s="18">
        <f t="shared" si="355"/>
        <v>0.58134490238611713</v>
      </c>
      <c r="JU538" s="280">
        <f t="shared" si="356"/>
        <v>1013</v>
      </c>
      <c r="JV538" s="280">
        <f t="shared" si="357"/>
        <v>4824</v>
      </c>
      <c r="JW538" s="319">
        <f t="shared" si="358"/>
        <v>1</v>
      </c>
      <c r="JX538" s="15">
        <f t="shared" si="359"/>
        <v>2636</v>
      </c>
      <c r="JY538" s="15">
        <f t="shared" si="360"/>
        <v>8298</v>
      </c>
      <c r="JZ538" s="19">
        <f t="shared" si="361"/>
        <v>3.1479514415781487</v>
      </c>
      <c r="KA538" s="52">
        <f t="shared" si="362"/>
        <v>1</v>
      </c>
      <c r="KB538" s="15">
        <f t="shared" si="363"/>
        <v>2636</v>
      </c>
      <c r="KC538" s="15">
        <f t="shared" si="364"/>
        <v>10934</v>
      </c>
      <c r="KD538" s="20">
        <f t="shared" si="365"/>
        <v>4.1479514415781491</v>
      </c>
      <c r="KE538" s="52" t="str">
        <f t="shared" si="366"/>
        <v/>
      </c>
      <c r="KF538" s="15">
        <f t="shared" si="367"/>
        <v>0</v>
      </c>
      <c r="KG538" s="15">
        <f t="shared" si="368"/>
        <v>0</v>
      </c>
      <c r="KH538" s="21" t="str">
        <f t="shared" si="369"/>
        <v/>
      </c>
      <c r="KI538" s="52" t="str">
        <f t="shared" si="370"/>
        <v/>
      </c>
      <c r="KJ538" s="15">
        <f t="shared" si="371"/>
        <v>0</v>
      </c>
      <c r="KK538" s="15">
        <f t="shared" si="372"/>
        <v>0</v>
      </c>
      <c r="KL538" s="19" t="str">
        <f t="shared" si="373"/>
        <v/>
      </c>
      <c r="KM538" s="52" t="str">
        <f t="shared" si="374"/>
        <v/>
      </c>
      <c r="KN538" s="22">
        <f t="shared" si="375"/>
        <v>0</v>
      </c>
      <c r="KO538" s="22">
        <f t="shared" si="376"/>
        <v>0</v>
      </c>
      <c r="KP538" s="19" t="str">
        <f t="shared" si="377"/>
        <v/>
      </c>
      <c r="KQ538" s="11" t="str">
        <f t="shared" si="378"/>
        <v>1. Neutral</v>
      </c>
      <c r="KR538" s="11" t="str">
        <f t="shared" si="379"/>
        <v>0. Unaware</v>
      </c>
      <c r="KS538" s="11" t="str">
        <f t="shared" si="380"/>
        <v>2. Sensitive</v>
      </c>
      <c r="KT538" s="11" t="str">
        <f t="shared" si="381"/>
        <v>It tested new ways for fighting poverty, but did not measure results of innovation</v>
      </c>
      <c r="KU538" s="11" t="str">
        <f t="shared" si="382"/>
        <v>Little or no advocacy</v>
      </c>
      <c r="KV538" s="11" t="str">
        <f t="shared" si="383"/>
        <v>It did not take tested solutions to scale</v>
      </c>
      <c r="KW538" s="11" t="str">
        <f t="shared" si="384"/>
        <v>Niger - Distribution gratuite ciblée; cash transfer; cash et food for asset et blanket feeding aux enfants de 6 à 23 mois</v>
      </c>
      <c r="KX538" s="11" t="str">
        <f t="shared" si="385"/>
        <v>Distribution gratuite ciblée; cash transfer; cash et food for asset et blanket feeding aux enfants de 6 à 23 mois</v>
      </c>
      <c r="KY538" s="11" t="str">
        <f t="shared" si="386"/>
        <v>Niger</v>
      </c>
      <c r="KZ538" s="12">
        <v>538</v>
      </c>
    </row>
    <row r="539" spans="1:312" x14ac:dyDescent="0.3">
      <c r="A539" s="12" t="s">
        <v>9043</v>
      </c>
      <c r="B539" s="12" t="s">
        <v>1596</v>
      </c>
      <c r="C539" s="12">
        <v>3214</v>
      </c>
      <c r="D539" s="12" t="s">
        <v>9387</v>
      </c>
      <c r="E539" s="277" t="str">
        <f t="shared" si="344"/>
        <v>Niger</v>
      </c>
      <c r="F539" s="12" t="s">
        <v>9388</v>
      </c>
      <c r="G539" s="12" t="s">
        <v>608</v>
      </c>
      <c r="H539" s="12" t="s">
        <v>384</v>
      </c>
      <c r="I539" s="12" t="s">
        <v>384</v>
      </c>
      <c r="J539" s="281" t="s">
        <v>9389</v>
      </c>
      <c r="K539" s="12"/>
      <c r="L539" s="12"/>
      <c r="M539" s="12"/>
      <c r="N539" s="12"/>
      <c r="O539" s="12"/>
      <c r="P539" s="12"/>
      <c r="Q539" s="12"/>
      <c r="R539" s="12"/>
      <c r="S539" s="12"/>
      <c r="T539" s="12"/>
      <c r="U539" s="12"/>
      <c r="V539" s="12"/>
      <c r="W539" s="12"/>
      <c r="X539" s="12"/>
      <c r="Y539" s="12"/>
      <c r="Z539" s="12"/>
      <c r="AA539" s="12"/>
      <c r="AB539" s="12"/>
      <c r="AC539" s="12"/>
      <c r="AD539" s="12"/>
      <c r="BD539" s="13">
        <v>41640</v>
      </c>
      <c r="BE539" s="13">
        <v>43665</v>
      </c>
      <c r="BF539" s="12"/>
      <c r="BG539" s="12" t="s">
        <v>908</v>
      </c>
      <c r="BH539" s="14">
        <v>1861740</v>
      </c>
      <c r="BI539" s="12" t="s">
        <v>9390</v>
      </c>
      <c r="BJ539" s="12" t="s">
        <v>9391</v>
      </c>
      <c r="BK539" s="12" t="s">
        <v>9392</v>
      </c>
      <c r="BL539" s="12" t="s">
        <v>9393</v>
      </c>
      <c r="BM539" s="12" t="s">
        <v>9394</v>
      </c>
      <c r="BN539" s="12" t="s">
        <v>9395</v>
      </c>
      <c r="BO539" s="11" t="s">
        <v>319</v>
      </c>
      <c r="BP539" s="11" t="s">
        <v>320</v>
      </c>
      <c r="BQ539" s="11" t="s">
        <v>319</v>
      </c>
      <c r="BR539" s="12" t="s">
        <v>9396</v>
      </c>
      <c r="BS539" s="12" t="s">
        <v>615</v>
      </c>
      <c r="BT539" s="12" t="s">
        <v>9397</v>
      </c>
      <c r="BU539" s="12" t="s">
        <v>9398</v>
      </c>
      <c r="BV539" s="14">
        <v>25668</v>
      </c>
      <c r="BW539" s="14">
        <v>25668</v>
      </c>
      <c r="BX539" s="14">
        <v>51336</v>
      </c>
      <c r="BY539" s="14">
        <v>51336</v>
      </c>
      <c r="BZ539" s="14">
        <v>51336</v>
      </c>
      <c r="CA539" s="14">
        <v>102672</v>
      </c>
      <c r="CB539" s="12" t="s">
        <v>9399</v>
      </c>
      <c r="CD539" s="14"/>
      <c r="CE539" s="14"/>
      <c r="CF539" s="14"/>
      <c r="CG539" s="14"/>
      <c r="CH539" s="14"/>
      <c r="CI539" s="14"/>
      <c r="CJ539" s="12"/>
      <c r="CK539" s="14"/>
      <c r="CL539" s="16"/>
      <c r="CM539" s="14"/>
      <c r="CN539" s="12"/>
      <c r="CO539" s="14"/>
      <c r="CP539" s="16"/>
      <c r="CQ539" s="14"/>
      <c r="CR539" s="12"/>
      <c r="CS539" s="14"/>
      <c r="CT539" s="16"/>
      <c r="CU539" s="14"/>
      <c r="CV539" s="12"/>
      <c r="CW539" s="14"/>
      <c r="CX539" s="16"/>
      <c r="CY539" s="14"/>
      <c r="CZ539" s="12"/>
      <c r="DA539" s="14"/>
      <c r="DB539" s="16"/>
      <c r="DC539" s="14"/>
      <c r="DD539" s="12"/>
      <c r="DE539" s="14"/>
      <c r="DF539" s="16"/>
      <c r="DG539" s="14"/>
      <c r="DH539" s="12"/>
      <c r="DI539" s="14"/>
      <c r="DJ539" s="16"/>
      <c r="DK539" s="14"/>
      <c r="DL539" s="12"/>
      <c r="DM539" s="14"/>
      <c r="DN539" s="16"/>
      <c r="DO539" s="14"/>
      <c r="DP539" s="12"/>
      <c r="DQ539" s="14"/>
      <c r="DR539" s="16"/>
      <c r="DS539" s="14"/>
      <c r="DT539" s="12"/>
      <c r="DU539" s="14"/>
      <c r="DV539" s="16"/>
      <c r="DW539" s="14"/>
      <c r="DX539" s="12"/>
      <c r="DY539" s="14"/>
      <c r="DZ539" s="16"/>
      <c r="EA539" s="14"/>
      <c r="EB539" s="12"/>
      <c r="EC539" s="14"/>
      <c r="ED539" s="16"/>
      <c r="EE539" s="14"/>
      <c r="EF539" s="12"/>
      <c r="EG539" s="12"/>
      <c r="EH539" s="14"/>
      <c r="EI539" s="16"/>
      <c r="EJ539" s="14"/>
      <c r="EK539" s="14">
        <v>10431</v>
      </c>
      <c r="EL539" s="14">
        <v>15897</v>
      </c>
      <c r="EM539" s="14">
        <v>26328</v>
      </c>
      <c r="EN539" s="14">
        <v>20862</v>
      </c>
      <c r="EO539" s="14">
        <v>31794</v>
      </c>
      <c r="EP539" s="14">
        <v>52656</v>
      </c>
      <c r="EQ539" s="12" t="s">
        <v>320</v>
      </c>
      <c r="ER539" s="14">
        <v>26329</v>
      </c>
      <c r="ES539" s="16">
        <v>0.39</v>
      </c>
      <c r="ET539" s="14">
        <v>52658</v>
      </c>
      <c r="EU539" s="11" t="s">
        <v>320</v>
      </c>
      <c r="EV539" s="14">
        <v>13780</v>
      </c>
      <c r="EW539" s="16">
        <v>0.44</v>
      </c>
      <c r="EX539" s="14">
        <v>27560</v>
      </c>
      <c r="EY539" s="12" t="s">
        <v>320</v>
      </c>
      <c r="EZ539" s="14">
        <v>1606</v>
      </c>
      <c r="FA539" s="16">
        <v>0.18</v>
      </c>
      <c r="FB539" s="14">
        <v>200000</v>
      </c>
      <c r="FC539" s="12" t="s">
        <v>320</v>
      </c>
      <c r="FD539" s="14"/>
      <c r="FE539" s="16"/>
      <c r="FF539" s="14">
        <v>0</v>
      </c>
      <c r="FG539" s="12" t="s">
        <v>320</v>
      </c>
      <c r="FH539" s="14">
        <v>7500</v>
      </c>
      <c r="FI539" s="16">
        <v>1</v>
      </c>
      <c r="FJ539" s="14">
        <v>15000</v>
      </c>
      <c r="FK539" s="12" t="s">
        <v>319</v>
      </c>
      <c r="FL539" s="14"/>
      <c r="FM539" s="16"/>
      <c r="FN539" s="14"/>
      <c r="FO539" s="12" t="s">
        <v>320</v>
      </c>
      <c r="FP539" s="14">
        <v>26329</v>
      </c>
      <c r="FQ539" s="16">
        <v>0.39</v>
      </c>
      <c r="FR539" s="14">
        <v>52658</v>
      </c>
      <c r="FS539" s="12" t="s">
        <v>319</v>
      </c>
      <c r="FT539" s="14"/>
      <c r="FU539" s="16"/>
      <c r="FV539" s="14">
        <v>0</v>
      </c>
      <c r="FW539" s="12" t="s">
        <v>319</v>
      </c>
      <c r="FX539" s="14"/>
      <c r="FY539" s="16"/>
      <c r="FZ539" s="14"/>
      <c r="GA539" s="12" t="s">
        <v>319</v>
      </c>
      <c r="GB539" s="14"/>
      <c r="GC539" s="16"/>
      <c r="GD539" s="14"/>
      <c r="GE539" s="12" t="s">
        <v>320</v>
      </c>
      <c r="GF539" s="14">
        <v>1007</v>
      </c>
      <c r="GG539" s="16">
        <v>0.51</v>
      </c>
      <c r="GH539" s="14">
        <v>2014</v>
      </c>
      <c r="GI539" s="11" t="s">
        <v>320</v>
      </c>
      <c r="GJ539" s="14">
        <v>26329</v>
      </c>
      <c r="GK539" s="16">
        <v>0.39</v>
      </c>
      <c r="GL539" s="14">
        <v>52658</v>
      </c>
      <c r="GM539" s="11" t="s">
        <v>320</v>
      </c>
      <c r="GN539" s="14">
        <v>1250</v>
      </c>
      <c r="GO539" s="16">
        <v>0.14000000000000001</v>
      </c>
      <c r="GP539" s="14">
        <v>2500</v>
      </c>
      <c r="GQ539" s="12" t="s">
        <v>319</v>
      </c>
      <c r="GR539" s="14"/>
      <c r="GS539" s="16"/>
      <c r="GT539" s="14"/>
      <c r="GU539" s="12" t="s">
        <v>319</v>
      </c>
      <c r="GV539" s="14"/>
      <c r="GW539" s="16"/>
      <c r="GX539" s="14"/>
      <c r="GY539" s="11" t="s">
        <v>320</v>
      </c>
      <c r="GZ539" s="14">
        <v>7500</v>
      </c>
      <c r="HA539" s="16">
        <v>1</v>
      </c>
      <c r="HB539" s="14">
        <v>15000</v>
      </c>
      <c r="HC539" s="12"/>
      <c r="HD539" s="12"/>
      <c r="HE539" s="14"/>
      <c r="HF539" s="16"/>
      <c r="HG539" s="14"/>
      <c r="HH539" s="12" t="s">
        <v>320</v>
      </c>
      <c r="HI539" s="12" t="s">
        <v>361</v>
      </c>
      <c r="HJ539" s="12">
        <v>2016</v>
      </c>
      <c r="HK539" s="12"/>
      <c r="HL539" s="12" t="s">
        <v>320</v>
      </c>
      <c r="HM539" s="12" t="s">
        <v>327</v>
      </c>
      <c r="HN539" s="12">
        <v>2017</v>
      </c>
      <c r="HO539" s="12" t="s">
        <v>9400</v>
      </c>
      <c r="HP539" s="12" t="s">
        <v>330</v>
      </c>
      <c r="HQ539" s="12"/>
      <c r="HR539" s="12"/>
      <c r="HS539" s="12" t="s">
        <v>320</v>
      </c>
      <c r="HT539" s="12"/>
      <c r="HU539" s="12" t="s">
        <v>320</v>
      </c>
      <c r="HV539" s="12" t="s">
        <v>320</v>
      </c>
      <c r="HW539" s="12"/>
      <c r="HX539" s="12"/>
      <c r="HY539" s="12"/>
      <c r="HZ539" s="11" t="s">
        <v>394</v>
      </c>
      <c r="IA539" s="12"/>
      <c r="IB539" s="12" t="s">
        <v>396</v>
      </c>
      <c r="IC539" s="12"/>
      <c r="ID539" s="12" t="s">
        <v>334</v>
      </c>
      <c r="IE539" s="12" t="s">
        <v>335</v>
      </c>
      <c r="IF539" s="12" t="s">
        <v>319</v>
      </c>
      <c r="IG539" s="12" t="s">
        <v>320</v>
      </c>
      <c r="IH539" s="12" t="s">
        <v>320</v>
      </c>
      <c r="II539" s="12" t="s">
        <v>320</v>
      </c>
      <c r="IJ539" s="12" t="str">
        <f t="shared" si="345"/>
        <v>1. Neutral</v>
      </c>
      <c r="IK539" s="12">
        <f t="shared" si="346"/>
        <v>3</v>
      </c>
      <c r="IL539" s="12" t="s">
        <v>723</v>
      </c>
      <c r="IM539" s="12" t="s">
        <v>320</v>
      </c>
      <c r="IN539" s="12" t="s">
        <v>320</v>
      </c>
      <c r="IO539" s="12" t="s">
        <v>320</v>
      </c>
      <c r="IP539" s="12" t="s">
        <v>320</v>
      </c>
      <c r="IQ539" s="12" t="str">
        <f t="shared" si="347"/>
        <v>0. Unaware</v>
      </c>
      <c r="IR539" s="12">
        <f t="shared" si="348"/>
        <v>4</v>
      </c>
      <c r="IS539" s="12"/>
      <c r="IT539" s="12"/>
      <c r="IU539" s="12"/>
      <c r="IV539" s="12"/>
      <c r="IW539" s="11" t="str">
        <f t="shared" si="349"/>
        <v>No marker score</v>
      </c>
      <c r="IX539" s="12">
        <f t="shared" si="350"/>
        <v>0</v>
      </c>
      <c r="IY539" s="11" t="s">
        <v>758</v>
      </c>
      <c r="IZ539" s="12" t="s">
        <v>457</v>
      </c>
      <c r="JA539" s="12">
        <v>5</v>
      </c>
      <c r="JB539" s="12" t="s">
        <v>624</v>
      </c>
      <c r="JC539" s="12" t="s">
        <v>433</v>
      </c>
      <c r="JD539" s="11" t="s">
        <v>831</v>
      </c>
      <c r="JE539" s="12" t="s">
        <v>340</v>
      </c>
      <c r="JF539" s="12"/>
      <c r="JG539" s="12"/>
      <c r="JH539" s="12" t="s">
        <v>9401</v>
      </c>
      <c r="JI539" s="12" t="s">
        <v>9402</v>
      </c>
      <c r="JJ539" s="12" t="s">
        <v>9403</v>
      </c>
      <c r="JK539" s="12" t="s">
        <v>9404</v>
      </c>
      <c r="JL539" s="12" t="s">
        <v>9405</v>
      </c>
      <c r="JM539" s="12" t="s">
        <v>9406</v>
      </c>
      <c r="JN539" s="12" t="s">
        <v>9407</v>
      </c>
      <c r="JO539" s="12" t="s">
        <v>9408</v>
      </c>
      <c r="JP539" s="15">
        <f t="shared" si="351"/>
        <v>26328</v>
      </c>
      <c r="JQ539" s="15">
        <f t="shared" si="352"/>
        <v>52656</v>
      </c>
      <c r="JR539" s="279">
        <f t="shared" si="353"/>
        <v>2</v>
      </c>
      <c r="JS539" s="17">
        <f t="shared" si="354"/>
        <v>0.39619416590701917</v>
      </c>
      <c r="JT539" s="18">
        <f t="shared" si="355"/>
        <v>0.39619416590701917</v>
      </c>
      <c r="JU539" s="280">
        <f t="shared" si="356"/>
        <v>10431</v>
      </c>
      <c r="JV539" s="280">
        <f t="shared" si="357"/>
        <v>20862</v>
      </c>
      <c r="JW539" s="319" t="str">
        <f t="shared" si="358"/>
        <v/>
      </c>
      <c r="JX539" s="15">
        <f t="shared" si="359"/>
        <v>0</v>
      </c>
      <c r="JY539" s="15">
        <f t="shared" si="360"/>
        <v>0</v>
      </c>
      <c r="JZ539" s="19" t="str">
        <f t="shared" si="361"/>
        <v/>
      </c>
      <c r="KA539" s="52">
        <f t="shared" si="362"/>
        <v>1</v>
      </c>
      <c r="KB539" s="15">
        <f t="shared" si="363"/>
        <v>26329</v>
      </c>
      <c r="KC539" s="15">
        <f t="shared" si="364"/>
        <v>52658</v>
      </c>
      <c r="KD539" s="20">
        <f t="shared" si="365"/>
        <v>2</v>
      </c>
      <c r="KE539" s="52" t="str">
        <f t="shared" si="366"/>
        <v/>
      </c>
      <c r="KF539" s="15">
        <f t="shared" si="367"/>
        <v>0</v>
      </c>
      <c r="KG539" s="15">
        <f t="shared" si="368"/>
        <v>0</v>
      </c>
      <c r="KH539" s="21" t="str">
        <f t="shared" si="369"/>
        <v/>
      </c>
      <c r="KI539" s="52" t="str">
        <f t="shared" si="370"/>
        <v/>
      </c>
      <c r="KJ539" s="15">
        <f t="shared" si="371"/>
        <v>0</v>
      </c>
      <c r="KK539" s="15">
        <f t="shared" si="372"/>
        <v>0</v>
      </c>
      <c r="KL539" s="19" t="str">
        <f t="shared" si="373"/>
        <v/>
      </c>
      <c r="KM539" s="52">
        <f t="shared" si="374"/>
        <v>1</v>
      </c>
      <c r="KN539" s="22">
        <f t="shared" si="375"/>
        <v>7500</v>
      </c>
      <c r="KO539" s="22">
        <f t="shared" si="376"/>
        <v>15000</v>
      </c>
      <c r="KP539" s="19">
        <f t="shared" si="377"/>
        <v>2</v>
      </c>
      <c r="KQ539" s="11" t="str">
        <f t="shared" si="378"/>
        <v>1. Neutral</v>
      </c>
      <c r="KR539" s="11" t="str">
        <f t="shared" si="379"/>
        <v>0. Unaware</v>
      </c>
      <c r="KS539" s="11" t="str">
        <f t="shared" si="380"/>
        <v>No marker score</v>
      </c>
      <c r="KT539" s="11" t="str">
        <f t="shared" si="381"/>
        <v>It tested new ways for fighting poverty, but did not measure results of innovation</v>
      </c>
      <c r="KU539" s="11" t="str">
        <f t="shared" si="382"/>
        <v>Moderate advocacy</v>
      </c>
      <c r="KV539" s="11" t="str">
        <f t="shared" si="383"/>
        <v>It linked and worked with strategic alliances and partners to take tested and effective solutions to scale</v>
      </c>
      <c r="KW539" s="11" t="str">
        <f t="shared" si="384"/>
        <v>Niger - Drylands Development Programme (DRYDEV)</v>
      </c>
      <c r="KX539" s="11" t="str">
        <f t="shared" si="385"/>
        <v>Drylands Development Programme (DRYDEV)</v>
      </c>
      <c r="KY539" s="11" t="str">
        <f t="shared" si="386"/>
        <v>Niger</v>
      </c>
      <c r="KZ539" s="12">
        <v>539</v>
      </c>
    </row>
    <row r="540" spans="1:312" x14ac:dyDescent="0.3">
      <c r="A540" s="12" t="s">
        <v>9043</v>
      </c>
      <c r="B540" s="12" t="s">
        <v>1596</v>
      </c>
      <c r="C540" s="12">
        <v>3234</v>
      </c>
      <c r="D540" s="12" t="s">
        <v>9063</v>
      </c>
      <c r="E540" s="277" t="str">
        <f t="shared" si="344"/>
        <v>Niger</v>
      </c>
      <c r="F540" s="12" t="s">
        <v>9064</v>
      </c>
      <c r="G540" s="12" t="s">
        <v>1853</v>
      </c>
      <c r="H540" s="11" t="s">
        <v>310</v>
      </c>
      <c r="I540" s="12" t="s">
        <v>517</v>
      </c>
      <c r="J540" s="281" t="s">
        <v>14578</v>
      </c>
      <c r="K540" s="12"/>
      <c r="L540" s="12"/>
      <c r="M540" s="12"/>
      <c r="N540" s="12"/>
      <c r="O540" s="12"/>
      <c r="P540" s="12"/>
      <c r="Q540" s="12"/>
      <c r="R540" s="12"/>
      <c r="S540" s="12"/>
      <c r="T540" s="12"/>
      <c r="U540" s="12"/>
      <c r="V540" s="12"/>
      <c r="W540" s="12"/>
      <c r="X540" s="12"/>
      <c r="Y540" s="12"/>
      <c r="Z540" s="12"/>
      <c r="AA540" s="12"/>
      <c r="AB540" s="12"/>
      <c r="AC540" s="12"/>
      <c r="AD540" s="12"/>
      <c r="BD540" s="13">
        <v>42325</v>
      </c>
      <c r="BE540" s="13">
        <v>42871</v>
      </c>
      <c r="BF540" s="13">
        <v>43024</v>
      </c>
      <c r="BG540" s="12" t="s">
        <v>312</v>
      </c>
      <c r="BH540" s="14">
        <v>1753004</v>
      </c>
      <c r="BI540" s="12" t="s">
        <v>9065</v>
      </c>
      <c r="BJ540" s="12" t="s">
        <v>354</v>
      </c>
      <c r="BK540" s="12" t="s">
        <v>9066</v>
      </c>
      <c r="BL540" s="12"/>
      <c r="BM540" s="12"/>
      <c r="BN540" s="12"/>
      <c r="BO540" s="12" t="s">
        <v>319</v>
      </c>
      <c r="BP540" s="12" t="s">
        <v>320</v>
      </c>
      <c r="BQ540" s="12" t="s">
        <v>319</v>
      </c>
      <c r="BR540" s="12" t="s">
        <v>9067</v>
      </c>
      <c r="BS540" s="12" t="s">
        <v>357</v>
      </c>
      <c r="BT540" s="43" t="s">
        <v>9068</v>
      </c>
      <c r="BU540" s="12" t="s">
        <v>9069</v>
      </c>
      <c r="BV540" s="14">
        <v>40000</v>
      </c>
      <c r="BW540" s="14">
        <v>40000</v>
      </c>
      <c r="BX540" s="14">
        <v>80000</v>
      </c>
      <c r="BY540" s="14">
        <v>70000</v>
      </c>
      <c r="BZ540" s="14">
        <v>70000</v>
      </c>
      <c r="CA540" s="14">
        <v>140000</v>
      </c>
      <c r="CB540" s="12" t="s">
        <v>9070</v>
      </c>
      <c r="CD540" s="14"/>
      <c r="CE540" s="14"/>
      <c r="CF540" s="14"/>
      <c r="CG540" s="14"/>
      <c r="CH540" s="14"/>
      <c r="CI540" s="14"/>
      <c r="CJ540" s="12"/>
      <c r="CK540" s="14"/>
      <c r="CL540" s="16"/>
      <c r="CM540" s="14"/>
      <c r="CN540" s="12"/>
      <c r="CO540" s="14"/>
      <c r="CP540" s="16"/>
      <c r="CQ540" s="14"/>
      <c r="CR540" s="12"/>
      <c r="CS540" s="14"/>
      <c r="CT540" s="16"/>
      <c r="CU540" s="14"/>
      <c r="CV540" s="12"/>
      <c r="CW540" s="14"/>
      <c r="CX540" s="16"/>
      <c r="CY540" s="14"/>
      <c r="CZ540" s="12"/>
      <c r="DA540" s="14"/>
      <c r="DB540" s="16"/>
      <c r="DC540" s="14"/>
      <c r="DD540" s="12"/>
      <c r="DE540" s="14"/>
      <c r="DF540" s="16"/>
      <c r="DG540" s="14"/>
      <c r="DH540" s="12"/>
      <c r="DI540" s="14"/>
      <c r="DJ540" s="16"/>
      <c r="DK540" s="14"/>
      <c r="DL540" s="12"/>
      <c r="DM540" s="14"/>
      <c r="DN540" s="16"/>
      <c r="DO540" s="14"/>
      <c r="DP540" s="12"/>
      <c r="DQ540" s="14"/>
      <c r="DR540" s="16"/>
      <c r="DS540" s="14"/>
      <c r="DT540" s="12"/>
      <c r="DU540" s="14"/>
      <c r="DV540" s="16"/>
      <c r="DW540" s="14"/>
      <c r="DX540" s="12"/>
      <c r="DY540" s="14"/>
      <c r="DZ540" s="16"/>
      <c r="EA540" s="14"/>
      <c r="EB540" s="12"/>
      <c r="EC540" s="14"/>
      <c r="ED540" s="16"/>
      <c r="EE540" s="14"/>
      <c r="EF540" s="12" t="s">
        <v>9071</v>
      </c>
      <c r="EG540" s="12" t="s">
        <v>320</v>
      </c>
      <c r="EH540" s="14"/>
      <c r="EI540" s="16"/>
      <c r="EJ540" s="14"/>
      <c r="EK540" s="14">
        <v>3007</v>
      </c>
      <c r="EL540" s="14">
        <v>8127</v>
      </c>
      <c r="EM540" s="14">
        <v>11134</v>
      </c>
      <c r="EN540" s="14">
        <v>6014</v>
      </c>
      <c r="EO540" s="14">
        <v>16254</v>
      </c>
      <c r="EP540" s="14">
        <v>22268</v>
      </c>
      <c r="EQ540" s="12"/>
      <c r="ER540" s="14"/>
      <c r="ES540" s="16"/>
      <c r="ET540" s="14"/>
      <c r="EU540" s="12"/>
      <c r="EV540" s="14"/>
      <c r="EW540" s="16"/>
      <c r="EX540" s="14"/>
      <c r="EY540" s="12" t="s">
        <v>320</v>
      </c>
      <c r="EZ540" s="14">
        <v>11134</v>
      </c>
      <c r="FA540" s="16">
        <v>0.27</v>
      </c>
      <c r="FB540" s="14">
        <v>22268</v>
      </c>
      <c r="FC540" s="12"/>
      <c r="FD540" s="14"/>
      <c r="FE540" s="16"/>
      <c r="FF540" s="14"/>
      <c r="FG540" s="12"/>
      <c r="FH540" s="14"/>
      <c r="FI540" s="16"/>
      <c r="FJ540" s="14"/>
      <c r="FK540" s="12"/>
      <c r="FL540" s="14"/>
      <c r="FM540" s="16"/>
      <c r="FN540" s="14"/>
      <c r="FO540" s="12"/>
      <c r="FP540" s="14"/>
      <c r="FQ540" s="16"/>
      <c r="FR540" s="14"/>
      <c r="FS540" s="12"/>
      <c r="FT540" s="14"/>
      <c r="FU540" s="16"/>
      <c r="FV540" s="14"/>
      <c r="FW540" s="12"/>
      <c r="FX540" s="14"/>
      <c r="FY540" s="16"/>
      <c r="FZ540" s="14"/>
      <c r="GA540" s="12"/>
      <c r="GB540" s="14"/>
      <c r="GC540" s="16"/>
      <c r="GD540" s="14"/>
      <c r="GE540" s="12"/>
      <c r="GF540" s="14"/>
      <c r="GG540" s="16"/>
      <c r="GH540" s="14"/>
      <c r="GI540" s="12"/>
      <c r="GJ540" s="14"/>
      <c r="GK540" s="16"/>
      <c r="GL540" s="14"/>
      <c r="GM540" s="12"/>
      <c r="GN540" s="14"/>
      <c r="GO540" s="16"/>
      <c r="GP540" s="14"/>
      <c r="GQ540" s="12"/>
      <c r="GR540" s="14"/>
      <c r="GS540" s="16"/>
      <c r="GT540" s="14"/>
      <c r="GU540" s="12"/>
      <c r="GV540" s="14"/>
      <c r="GW540" s="16"/>
      <c r="GX540" s="14"/>
      <c r="GY540" s="12"/>
      <c r="GZ540" s="14"/>
      <c r="HA540" s="16"/>
      <c r="HB540" s="14"/>
      <c r="HC540" s="12"/>
      <c r="HD540" s="12"/>
      <c r="HE540" s="14"/>
      <c r="HF540" s="16"/>
      <c r="HG540" s="14"/>
      <c r="HH540" s="12" t="s">
        <v>319</v>
      </c>
      <c r="HI540" s="12"/>
      <c r="HJ540" s="12"/>
      <c r="HK540" s="12"/>
      <c r="HL540" s="12" t="s">
        <v>320</v>
      </c>
      <c r="HM540" s="12" t="s">
        <v>619</v>
      </c>
      <c r="HN540" s="12">
        <v>2017</v>
      </c>
      <c r="HO540" s="12" t="s">
        <v>9072</v>
      </c>
      <c r="HP540" s="12" t="s">
        <v>330</v>
      </c>
      <c r="HQ540" s="12"/>
      <c r="HR540" s="12"/>
      <c r="HS540" s="12"/>
      <c r="HT540" s="12"/>
      <c r="HU540" s="12"/>
      <c r="HV540" s="12"/>
      <c r="HW540" s="12"/>
      <c r="HX540" s="12" t="s">
        <v>320</v>
      </c>
      <c r="HY540" s="12" t="s">
        <v>9073</v>
      </c>
      <c r="HZ540" s="12" t="s">
        <v>331</v>
      </c>
      <c r="IA540" s="12" t="s">
        <v>9074</v>
      </c>
      <c r="IB540" s="12" t="s">
        <v>396</v>
      </c>
      <c r="IC540" s="12" t="s">
        <v>9075</v>
      </c>
      <c r="ID540" s="12" t="s">
        <v>334</v>
      </c>
      <c r="IE540" s="12" t="s">
        <v>478</v>
      </c>
      <c r="IF540" s="12" t="s">
        <v>319</v>
      </c>
      <c r="IG540" s="12" t="s">
        <v>320</v>
      </c>
      <c r="IH540" s="12" t="s">
        <v>320</v>
      </c>
      <c r="II540" s="12" t="s">
        <v>320</v>
      </c>
      <c r="IJ540" s="12" t="str">
        <f t="shared" si="345"/>
        <v>3. Responsive</v>
      </c>
      <c r="IK540" s="12">
        <f t="shared" si="346"/>
        <v>3</v>
      </c>
      <c r="IL540" s="12" t="s">
        <v>336</v>
      </c>
      <c r="IM540" s="12" t="s">
        <v>320</v>
      </c>
      <c r="IN540" s="12" t="s">
        <v>320</v>
      </c>
      <c r="IO540" s="12" t="s">
        <v>320</v>
      </c>
      <c r="IP540" s="12" t="s">
        <v>320</v>
      </c>
      <c r="IQ540" s="12" t="str">
        <f t="shared" si="347"/>
        <v>2. Accommodating</v>
      </c>
      <c r="IR540" s="12">
        <f t="shared" si="348"/>
        <v>4</v>
      </c>
      <c r="IS540" s="12" t="s">
        <v>622</v>
      </c>
      <c r="IT540" s="12" t="s">
        <v>320</v>
      </c>
      <c r="IU540" s="12" t="s">
        <v>320</v>
      </c>
      <c r="IV540" s="12" t="s">
        <v>320</v>
      </c>
      <c r="IW540" s="11" t="str">
        <f t="shared" si="349"/>
        <v>4. Transformative</v>
      </c>
      <c r="IX540" s="12">
        <f t="shared" si="350"/>
        <v>3</v>
      </c>
      <c r="IY540" s="11" t="s">
        <v>338</v>
      </c>
      <c r="IZ540" s="12" t="s">
        <v>457</v>
      </c>
      <c r="JA540" s="12">
        <v>30</v>
      </c>
      <c r="JB540" s="12" t="s">
        <v>624</v>
      </c>
      <c r="JC540" s="11" t="s">
        <v>687</v>
      </c>
      <c r="JD540" s="12" t="s">
        <v>651</v>
      </c>
      <c r="JE540" s="12" t="s">
        <v>340</v>
      </c>
      <c r="JF540" s="12" t="s">
        <v>9076</v>
      </c>
      <c r="JG540" s="12" t="s">
        <v>9077</v>
      </c>
      <c r="JH540" s="12" t="s">
        <v>9078</v>
      </c>
      <c r="JI540" s="12" t="s">
        <v>9079</v>
      </c>
      <c r="JJ540" s="12" t="s">
        <v>9080</v>
      </c>
      <c r="JK540" s="12" t="s">
        <v>9081</v>
      </c>
      <c r="JL540" s="12"/>
      <c r="JM540" s="12"/>
      <c r="JN540" s="12"/>
      <c r="JO540" s="12" t="s">
        <v>9082</v>
      </c>
      <c r="JP540" s="15">
        <f t="shared" si="351"/>
        <v>11134</v>
      </c>
      <c r="JQ540" s="15">
        <f t="shared" si="352"/>
        <v>22268</v>
      </c>
      <c r="JR540" s="279">
        <f t="shared" si="353"/>
        <v>2</v>
      </c>
      <c r="JS540" s="17">
        <f t="shared" si="354"/>
        <v>0.27007364828453384</v>
      </c>
      <c r="JT540" s="18">
        <f t="shared" si="355"/>
        <v>0.27007364828453384</v>
      </c>
      <c r="JU540" s="280">
        <f t="shared" si="356"/>
        <v>3007</v>
      </c>
      <c r="JV540" s="280">
        <f t="shared" si="357"/>
        <v>6014</v>
      </c>
      <c r="JW540" s="319" t="str">
        <f t="shared" si="358"/>
        <v/>
      </c>
      <c r="JX540" s="15">
        <f t="shared" si="359"/>
        <v>0</v>
      </c>
      <c r="JY540" s="15">
        <f t="shared" si="360"/>
        <v>0</v>
      </c>
      <c r="JZ540" s="19" t="str">
        <f t="shared" si="361"/>
        <v/>
      </c>
      <c r="KA540" s="52" t="str">
        <f t="shared" si="362"/>
        <v/>
      </c>
      <c r="KB540" s="15">
        <f t="shared" si="363"/>
        <v>0</v>
      </c>
      <c r="KC540" s="15">
        <f t="shared" si="364"/>
        <v>0</v>
      </c>
      <c r="KD540" s="20" t="str">
        <f t="shared" si="365"/>
        <v/>
      </c>
      <c r="KE540" s="52" t="str">
        <f t="shared" si="366"/>
        <v/>
      </c>
      <c r="KF540" s="15">
        <f t="shared" si="367"/>
        <v>0</v>
      </c>
      <c r="KG540" s="15">
        <f t="shared" si="368"/>
        <v>0</v>
      </c>
      <c r="KH540" s="21" t="str">
        <f t="shared" si="369"/>
        <v/>
      </c>
      <c r="KI540" s="52" t="str">
        <f t="shared" si="370"/>
        <v/>
      </c>
      <c r="KJ540" s="15">
        <f t="shared" si="371"/>
        <v>0</v>
      </c>
      <c r="KK540" s="15">
        <f t="shared" si="372"/>
        <v>0</v>
      </c>
      <c r="KL540" s="19" t="str">
        <f t="shared" si="373"/>
        <v/>
      </c>
      <c r="KM540" s="52" t="str">
        <f t="shared" si="374"/>
        <v/>
      </c>
      <c r="KN540" s="22">
        <f t="shared" si="375"/>
        <v>0</v>
      </c>
      <c r="KO540" s="22">
        <f t="shared" si="376"/>
        <v>0</v>
      </c>
      <c r="KP540" s="19" t="str">
        <f t="shared" si="377"/>
        <v/>
      </c>
      <c r="KQ540" s="11" t="str">
        <f t="shared" si="378"/>
        <v>3. Responsive</v>
      </c>
      <c r="KR540" s="11" t="str">
        <f t="shared" si="379"/>
        <v>2. Accommodating</v>
      </c>
      <c r="KS540" s="11" t="str">
        <f t="shared" si="380"/>
        <v>4. Transformative</v>
      </c>
      <c r="KT540" s="11" t="str">
        <f t="shared" si="381"/>
        <v>It tested new ways for fighting poverty and measured results of innovation</v>
      </c>
      <c r="KU540" s="11" t="str">
        <f t="shared" si="382"/>
        <v>Moderate advocacy</v>
      </c>
      <c r="KV540" s="11" t="str">
        <f t="shared" si="383"/>
        <v>It linked and worked with strategic alliances and partners to take tested and effective solutions to scale</v>
      </c>
      <c r="KW540" s="11" t="str">
        <f t="shared" si="384"/>
        <v>Niger - Education Civique et appui aux initiative de Paix - Niger Espoir</v>
      </c>
      <c r="KX540" s="11" t="str">
        <f t="shared" si="385"/>
        <v>Education Civique et appui aux initiative de Paix - Niger Espoir</v>
      </c>
      <c r="KY540" s="11" t="str">
        <f t="shared" si="386"/>
        <v>Niger</v>
      </c>
      <c r="KZ540" s="12">
        <v>540</v>
      </c>
    </row>
    <row r="541" spans="1:312" x14ac:dyDescent="0.3">
      <c r="A541" s="12" t="s">
        <v>9043</v>
      </c>
      <c r="B541" s="12" t="s">
        <v>1596</v>
      </c>
      <c r="C541" s="12">
        <v>3216</v>
      </c>
      <c r="D541" s="12" t="s">
        <v>9171</v>
      </c>
      <c r="E541" s="277" t="str">
        <f t="shared" si="344"/>
        <v>Niger</v>
      </c>
      <c r="F541" s="12" t="s">
        <v>9172</v>
      </c>
      <c r="G541" s="12" t="s">
        <v>714</v>
      </c>
      <c r="H541" s="11" t="s">
        <v>310</v>
      </c>
      <c r="I541" s="12" t="s">
        <v>2595</v>
      </c>
      <c r="J541" s="281" t="s">
        <v>14629</v>
      </c>
      <c r="K541" s="12"/>
      <c r="L541" s="12"/>
      <c r="M541" s="12"/>
      <c r="N541" s="12"/>
      <c r="O541" s="12"/>
      <c r="P541" s="12"/>
      <c r="Q541" s="12"/>
      <c r="R541" s="12"/>
      <c r="S541" s="12"/>
      <c r="T541" s="12"/>
      <c r="U541" s="12"/>
      <c r="V541" s="12"/>
      <c r="W541" s="12"/>
      <c r="X541" s="12"/>
      <c r="Y541" s="12"/>
      <c r="Z541" s="12"/>
      <c r="AA541" s="12"/>
      <c r="AB541" s="12"/>
      <c r="AC541" s="12"/>
      <c r="AD541" s="12"/>
      <c r="BD541" s="13">
        <v>41671</v>
      </c>
      <c r="BE541" s="13">
        <v>42766</v>
      </c>
      <c r="BF541" s="13">
        <v>42825</v>
      </c>
      <c r="BG541" s="12" t="s">
        <v>749</v>
      </c>
      <c r="BH541" s="14">
        <v>819946</v>
      </c>
      <c r="BI541" s="12" t="s">
        <v>9173</v>
      </c>
      <c r="BJ541" s="12" t="s">
        <v>9174</v>
      </c>
      <c r="BK541" s="12" t="s">
        <v>9175</v>
      </c>
      <c r="BL541" s="12" t="s">
        <v>9176</v>
      </c>
      <c r="BM541" s="12" t="s">
        <v>9177</v>
      </c>
      <c r="BN541" s="12" t="s">
        <v>9178</v>
      </c>
      <c r="BO541" s="11" t="s">
        <v>319</v>
      </c>
      <c r="BP541" s="11" t="s">
        <v>320</v>
      </c>
      <c r="BQ541" s="11" t="s">
        <v>319</v>
      </c>
      <c r="BR541" s="12" t="s">
        <v>9179</v>
      </c>
      <c r="BS541" s="12" t="s">
        <v>357</v>
      </c>
      <c r="BT541" s="12" t="s">
        <v>9180</v>
      </c>
      <c r="BU541" s="12" t="s">
        <v>9181</v>
      </c>
      <c r="BV541" s="14">
        <v>8925</v>
      </c>
      <c r="BW541" s="14">
        <v>8575</v>
      </c>
      <c r="BX541" s="14">
        <v>17500</v>
      </c>
      <c r="BY541" s="14">
        <v>265200</v>
      </c>
      <c r="BZ541" s="14">
        <v>254800</v>
      </c>
      <c r="CA541" s="14">
        <v>520000</v>
      </c>
      <c r="CB541" s="12" t="s">
        <v>9182</v>
      </c>
      <c r="CD541" s="14"/>
      <c r="CE541" s="14"/>
      <c r="CF541" s="14">
        <v>0</v>
      </c>
      <c r="CG541" s="14"/>
      <c r="CH541" s="14"/>
      <c r="CI541" s="14">
        <v>0</v>
      </c>
      <c r="CJ541" s="12"/>
      <c r="CK541" s="14"/>
      <c r="CL541" s="16"/>
      <c r="CM541" s="14"/>
      <c r="CN541" s="12"/>
      <c r="CO541" s="14"/>
      <c r="CP541" s="16"/>
      <c r="CQ541" s="14"/>
      <c r="CR541" s="12"/>
      <c r="CS541" s="14"/>
      <c r="CT541" s="16"/>
      <c r="CU541" s="14"/>
      <c r="CV541" s="12"/>
      <c r="CW541" s="14"/>
      <c r="CX541" s="16"/>
      <c r="CY541" s="14"/>
      <c r="CZ541" s="12"/>
      <c r="DA541" s="14"/>
      <c r="DB541" s="16"/>
      <c r="DC541" s="14"/>
      <c r="DD541" s="12"/>
      <c r="DE541" s="14"/>
      <c r="DF541" s="16"/>
      <c r="DG541" s="14"/>
      <c r="DH541" s="12"/>
      <c r="DI541" s="14"/>
      <c r="DJ541" s="16"/>
      <c r="DK541" s="14"/>
      <c r="DL541" s="12"/>
      <c r="DM541" s="14"/>
      <c r="DN541" s="16"/>
      <c r="DO541" s="14"/>
      <c r="DP541" s="12"/>
      <c r="DQ541" s="14"/>
      <c r="DR541" s="16"/>
      <c r="DS541" s="14"/>
      <c r="DT541" s="12"/>
      <c r="DU541" s="14"/>
      <c r="DV541" s="16"/>
      <c r="DW541" s="14"/>
      <c r="DX541" s="12"/>
      <c r="DY541" s="14"/>
      <c r="DZ541" s="16"/>
      <c r="EA541" s="14"/>
      <c r="EB541" s="12"/>
      <c r="EC541" s="14"/>
      <c r="ED541" s="16"/>
      <c r="EE541" s="14"/>
      <c r="EF541" s="12"/>
      <c r="EG541" s="12"/>
      <c r="EH541" s="14"/>
      <c r="EI541" s="16"/>
      <c r="EJ541" s="14"/>
      <c r="EK541" s="14">
        <v>8925</v>
      </c>
      <c r="EL541" s="14">
        <v>8575</v>
      </c>
      <c r="EM541" s="14">
        <v>17500</v>
      </c>
      <c r="EN541" s="14">
        <v>265200</v>
      </c>
      <c r="EO541" s="14">
        <v>254800</v>
      </c>
      <c r="EP541" s="14">
        <v>520000</v>
      </c>
      <c r="EQ541" s="12" t="s">
        <v>320</v>
      </c>
      <c r="ER541" s="14">
        <v>7019</v>
      </c>
      <c r="ES541" s="16">
        <v>0.71</v>
      </c>
      <c r="ET541" s="14">
        <v>49133</v>
      </c>
      <c r="EU541" s="11" t="s">
        <v>320</v>
      </c>
      <c r="EV541" s="14">
        <v>2883</v>
      </c>
      <c r="EW541" s="16">
        <v>0.87370000000000003</v>
      </c>
      <c r="EX541" s="14">
        <v>20181</v>
      </c>
      <c r="EY541" s="12" t="s">
        <v>319</v>
      </c>
      <c r="EZ541" s="14"/>
      <c r="FA541" s="16"/>
      <c r="FB541" s="14"/>
      <c r="FC541" s="12" t="s">
        <v>320</v>
      </c>
      <c r="FD541" s="14">
        <v>2254</v>
      </c>
      <c r="FE541" s="16">
        <v>0.86240000000000006</v>
      </c>
      <c r="FF541" s="14">
        <v>15778</v>
      </c>
      <c r="FG541" s="12" t="s">
        <v>320</v>
      </c>
      <c r="FH541" s="14">
        <v>6206</v>
      </c>
      <c r="FI541" s="16">
        <v>0.65129999999999999</v>
      </c>
      <c r="FJ541" s="14">
        <v>43442</v>
      </c>
      <c r="FK541" s="12" t="s">
        <v>319</v>
      </c>
      <c r="FL541" s="14"/>
      <c r="FM541" s="16"/>
      <c r="FN541" s="14"/>
      <c r="FO541" s="12" t="s">
        <v>320</v>
      </c>
      <c r="FP541" s="14">
        <v>5497</v>
      </c>
      <c r="FQ541" s="16">
        <v>0.82040000000000002</v>
      </c>
      <c r="FR541" s="14">
        <v>38479</v>
      </c>
      <c r="FS541" s="12" t="s">
        <v>320</v>
      </c>
      <c r="FT541" s="14">
        <v>278</v>
      </c>
      <c r="FU541" s="16">
        <v>0.79849999999999999</v>
      </c>
      <c r="FV541" s="14">
        <v>1946</v>
      </c>
      <c r="FW541" s="11" t="s">
        <v>320</v>
      </c>
      <c r="FX541" s="14">
        <v>4000</v>
      </c>
      <c r="FY541" s="16">
        <v>0.51</v>
      </c>
      <c r="FZ541" s="14">
        <v>28000</v>
      </c>
      <c r="GA541" s="12" t="s">
        <v>319</v>
      </c>
      <c r="GB541" s="14"/>
      <c r="GC541" s="16"/>
      <c r="GD541" s="14"/>
      <c r="GE541" s="12" t="s">
        <v>320</v>
      </c>
      <c r="GF541" s="14">
        <v>25</v>
      </c>
      <c r="GG541" s="16">
        <v>0.51</v>
      </c>
      <c r="GH541" s="14">
        <v>50</v>
      </c>
      <c r="GI541" s="11" t="s">
        <v>320</v>
      </c>
      <c r="GJ541" s="14">
        <v>435</v>
      </c>
      <c r="GK541" s="16">
        <v>0.49880000000000002</v>
      </c>
      <c r="GL541" s="14">
        <v>3045</v>
      </c>
      <c r="GM541" s="11" t="s">
        <v>320</v>
      </c>
      <c r="GN541" s="14">
        <v>2200</v>
      </c>
      <c r="GO541" s="16">
        <v>0.51</v>
      </c>
      <c r="GP541" s="14">
        <v>15400</v>
      </c>
      <c r="GQ541" s="12" t="s">
        <v>319</v>
      </c>
      <c r="GR541" s="14"/>
      <c r="GS541" s="16"/>
      <c r="GT541" s="14"/>
      <c r="GU541" s="12" t="s">
        <v>319</v>
      </c>
      <c r="GV541" s="14"/>
      <c r="GW541" s="16"/>
      <c r="GX541" s="14"/>
      <c r="GY541" s="11" t="s">
        <v>320</v>
      </c>
      <c r="GZ541" s="14">
        <v>575</v>
      </c>
      <c r="HA541" s="16">
        <v>0.51</v>
      </c>
      <c r="HB541" s="14">
        <v>4025</v>
      </c>
      <c r="HC541" s="12"/>
      <c r="HD541" s="12"/>
      <c r="HE541" s="14"/>
      <c r="HF541" s="16"/>
      <c r="HG541" s="14"/>
      <c r="HH541" s="12" t="s">
        <v>319</v>
      </c>
      <c r="HI541" s="12"/>
      <c r="HJ541" s="12"/>
      <c r="HK541" s="12" t="s">
        <v>320</v>
      </c>
      <c r="HL541" s="12" t="s">
        <v>319</v>
      </c>
      <c r="HM541" s="12"/>
      <c r="HN541" s="12"/>
      <c r="HO541" s="12"/>
      <c r="HP541" s="12" t="s">
        <v>330</v>
      </c>
      <c r="HQ541" s="12" t="s">
        <v>319</v>
      </c>
      <c r="HR541" s="12" t="s">
        <v>320</v>
      </c>
      <c r="HS541" s="12" t="s">
        <v>320</v>
      </c>
      <c r="HT541" s="12" t="s">
        <v>319</v>
      </c>
      <c r="HU541" s="12" t="s">
        <v>319</v>
      </c>
      <c r="HV541" s="12" t="s">
        <v>319</v>
      </c>
      <c r="HW541" s="12" t="s">
        <v>319</v>
      </c>
      <c r="HX541" s="12" t="s">
        <v>319</v>
      </c>
      <c r="HY541" s="12"/>
      <c r="HZ541" s="12" t="s">
        <v>331</v>
      </c>
      <c r="IA541" s="12" t="s">
        <v>9183</v>
      </c>
      <c r="IB541" s="12" t="s">
        <v>396</v>
      </c>
      <c r="IC541" s="12" t="s">
        <v>9184</v>
      </c>
      <c r="ID541" s="12" t="s">
        <v>334</v>
      </c>
      <c r="IE541" s="12" t="s">
        <v>335</v>
      </c>
      <c r="IF541" s="12" t="s">
        <v>320</v>
      </c>
      <c r="IG541" s="12" t="s">
        <v>320</v>
      </c>
      <c r="IH541" s="12" t="s">
        <v>320</v>
      </c>
      <c r="II541" s="12" t="s">
        <v>320</v>
      </c>
      <c r="IJ541" s="12" t="str">
        <f t="shared" si="345"/>
        <v>2. Sensitive</v>
      </c>
      <c r="IK541" s="12">
        <f t="shared" si="346"/>
        <v>4</v>
      </c>
      <c r="IL541" s="12" t="s">
        <v>336</v>
      </c>
      <c r="IM541" s="12" t="s">
        <v>320</v>
      </c>
      <c r="IN541" s="12" t="s">
        <v>320</v>
      </c>
      <c r="IO541" s="12" t="s">
        <v>320</v>
      </c>
      <c r="IP541" s="12" t="s">
        <v>320</v>
      </c>
      <c r="IQ541" s="12" t="str">
        <f t="shared" si="347"/>
        <v>2. Accommodating</v>
      </c>
      <c r="IR541" s="12">
        <f t="shared" si="348"/>
        <v>4</v>
      </c>
      <c r="IS541" s="12" t="s">
        <v>337</v>
      </c>
      <c r="IT541" s="12" t="s">
        <v>320</v>
      </c>
      <c r="IU541" s="12" t="s">
        <v>320</v>
      </c>
      <c r="IV541" s="12" t="s">
        <v>320</v>
      </c>
      <c r="IW541" s="11" t="str">
        <f t="shared" si="349"/>
        <v>2. Sensitive</v>
      </c>
      <c r="IX541" s="12">
        <f t="shared" si="350"/>
        <v>3</v>
      </c>
      <c r="IY541" s="11" t="s">
        <v>758</v>
      </c>
      <c r="IZ541" s="11" t="s">
        <v>527</v>
      </c>
      <c r="JA541" s="12">
        <v>3</v>
      </c>
      <c r="JB541" s="12" t="s">
        <v>624</v>
      </c>
      <c r="JC541" s="11" t="s">
        <v>687</v>
      </c>
      <c r="JD541" s="11" t="s">
        <v>585</v>
      </c>
      <c r="JE541" s="12" t="s">
        <v>365</v>
      </c>
      <c r="JF541" s="12" t="s">
        <v>9185</v>
      </c>
      <c r="JG541" s="12" t="s">
        <v>9186</v>
      </c>
      <c r="JH541" s="12" t="s">
        <v>9187</v>
      </c>
      <c r="JI541" s="12" t="s">
        <v>9188</v>
      </c>
      <c r="JJ541" s="12" t="s">
        <v>9189</v>
      </c>
      <c r="JK541" s="12" t="s">
        <v>9190</v>
      </c>
      <c r="JL541" s="12" t="s">
        <v>9191</v>
      </c>
      <c r="JM541" s="12" t="s">
        <v>9192</v>
      </c>
      <c r="JN541" s="12"/>
      <c r="JO541" s="12" t="s">
        <v>9193</v>
      </c>
      <c r="JP541" s="15">
        <f t="shared" si="351"/>
        <v>17500</v>
      </c>
      <c r="JQ541" s="15">
        <f t="shared" si="352"/>
        <v>520000</v>
      </c>
      <c r="JR541" s="279">
        <f t="shared" si="353"/>
        <v>29.714285714285715</v>
      </c>
      <c r="JS541" s="17">
        <f t="shared" si="354"/>
        <v>0.51</v>
      </c>
      <c r="JT541" s="18">
        <f t="shared" si="355"/>
        <v>0.51</v>
      </c>
      <c r="JU541" s="280">
        <f t="shared" si="356"/>
        <v>8925</v>
      </c>
      <c r="JV541" s="280">
        <f t="shared" si="357"/>
        <v>265200</v>
      </c>
      <c r="JW541" s="319" t="str">
        <f t="shared" si="358"/>
        <v/>
      </c>
      <c r="JX541" s="15">
        <f t="shared" si="359"/>
        <v>0</v>
      </c>
      <c r="JY541" s="15">
        <f t="shared" si="360"/>
        <v>0</v>
      </c>
      <c r="JZ541" s="19" t="str">
        <f t="shared" si="361"/>
        <v/>
      </c>
      <c r="KA541" s="52">
        <f t="shared" si="362"/>
        <v>1</v>
      </c>
      <c r="KB541" s="15">
        <f t="shared" si="363"/>
        <v>7019</v>
      </c>
      <c r="KC541" s="15">
        <f t="shared" si="364"/>
        <v>49133</v>
      </c>
      <c r="KD541" s="20">
        <f t="shared" si="365"/>
        <v>7</v>
      </c>
      <c r="KE541" s="52" t="str">
        <f t="shared" si="366"/>
        <v/>
      </c>
      <c r="KF541" s="15">
        <f t="shared" si="367"/>
        <v>0</v>
      </c>
      <c r="KG541" s="15">
        <f t="shared" si="368"/>
        <v>0</v>
      </c>
      <c r="KH541" s="21" t="str">
        <f t="shared" si="369"/>
        <v/>
      </c>
      <c r="KI541" s="52">
        <f t="shared" si="370"/>
        <v>1</v>
      </c>
      <c r="KJ541" s="15">
        <f t="shared" si="371"/>
        <v>278</v>
      </c>
      <c r="KK541" s="15">
        <f t="shared" si="372"/>
        <v>1946</v>
      </c>
      <c r="KL541" s="19">
        <f t="shared" si="373"/>
        <v>7</v>
      </c>
      <c r="KM541" s="52">
        <f t="shared" si="374"/>
        <v>1</v>
      </c>
      <c r="KN541" s="22">
        <f t="shared" si="375"/>
        <v>4041.9677999999999</v>
      </c>
      <c r="KO541" s="22">
        <f t="shared" si="376"/>
        <v>28293.774600000001</v>
      </c>
      <c r="KP541" s="19">
        <f t="shared" si="377"/>
        <v>7</v>
      </c>
      <c r="KQ541" s="11" t="str">
        <f t="shared" si="378"/>
        <v>2. Sensitive</v>
      </c>
      <c r="KR541" s="11" t="str">
        <f t="shared" si="379"/>
        <v>2. Accommodating</v>
      </c>
      <c r="KS541" s="11" t="str">
        <f t="shared" si="380"/>
        <v>2. Sensitive</v>
      </c>
      <c r="KT541" s="11" t="str">
        <f t="shared" si="381"/>
        <v>It tested new ways for fighting poverty and measured results of innovation</v>
      </c>
      <c r="KU541" s="11" t="str">
        <f t="shared" si="382"/>
        <v>Moderate advocacy</v>
      </c>
      <c r="KV541" s="11" t="str">
        <f t="shared" si="383"/>
        <v>It linked and worked with strategic alliances and partners to take tested and effective solutions to scale</v>
      </c>
      <c r="KW541" s="11" t="str">
        <f t="shared" si="384"/>
        <v>Niger - GENRE,Agriculture et Gestion des RisquesClimatiques GARIC</v>
      </c>
      <c r="KX541" s="11" t="str">
        <f t="shared" si="385"/>
        <v>GENRE,Agriculture et Gestion des RisquesClimatiques GARIC</v>
      </c>
      <c r="KY541" s="11" t="str">
        <f t="shared" si="386"/>
        <v>Niger</v>
      </c>
      <c r="KZ541" s="12">
        <v>541</v>
      </c>
    </row>
    <row r="542" spans="1:312" x14ac:dyDescent="0.3">
      <c r="A542" s="12" t="s">
        <v>9043</v>
      </c>
      <c r="B542" s="12" t="s">
        <v>1596</v>
      </c>
      <c r="C542" s="12"/>
      <c r="D542" s="12" t="s">
        <v>9123</v>
      </c>
      <c r="E542" s="277" t="str">
        <f t="shared" si="344"/>
        <v>Niger</v>
      </c>
      <c r="F542" s="12" t="s">
        <v>9124</v>
      </c>
      <c r="G542" s="12" t="s">
        <v>1738</v>
      </c>
      <c r="H542" s="11" t="s">
        <v>310</v>
      </c>
      <c r="I542" s="12" t="s">
        <v>2595</v>
      </c>
      <c r="J542" s="281" t="s">
        <v>14603</v>
      </c>
      <c r="K542" s="12"/>
      <c r="L542" s="12"/>
      <c r="M542" s="12"/>
      <c r="N542" s="12"/>
      <c r="O542" s="12"/>
      <c r="P542" s="12"/>
      <c r="Q542" s="12"/>
      <c r="R542" s="12"/>
      <c r="S542" s="12"/>
      <c r="T542" s="12"/>
      <c r="U542" s="12"/>
      <c r="V542" s="12"/>
      <c r="W542" s="12"/>
      <c r="X542" s="12"/>
      <c r="Y542" s="12"/>
      <c r="Z542" s="12"/>
      <c r="AA542" s="12"/>
      <c r="AB542" s="12"/>
      <c r="AC542" s="12"/>
      <c r="AD542" s="12"/>
      <c r="BD542" s="13">
        <v>42685</v>
      </c>
      <c r="BE542" s="13">
        <v>42776</v>
      </c>
      <c r="BF542" s="13"/>
      <c r="BG542" s="12" t="s">
        <v>817</v>
      </c>
      <c r="BH542" s="14">
        <v>342238</v>
      </c>
      <c r="BI542" s="12" t="s">
        <v>9125</v>
      </c>
      <c r="BJ542" s="12" t="s">
        <v>9126</v>
      </c>
      <c r="BK542" s="12" t="s">
        <v>9127</v>
      </c>
      <c r="BL542" s="12" t="s">
        <v>9128</v>
      </c>
      <c r="BM542" s="12" t="s">
        <v>9129</v>
      </c>
      <c r="BN542" s="12" t="s">
        <v>9130</v>
      </c>
      <c r="BO542" s="12" t="s">
        <v>320</v>
      </c>
      <c r="BP542" s="12" t="s">
        <v>319</v>
      </c>
      <c r="BQ542" s="12" t="s">
        <v>319</v>
      </c>
      <c r="BR542" s="12" t="s">
        <v>9131</v>
      </c>
      <c r="BS542" s="12" t="s">
        <v>357</v>
      </c>
      <c r="BT542" s="43" t="s">
        <v>9132</v>
      </c>
      <c r="BU542" s="12" t="s">
        <v>9133</v>
      </c>
      <c r="BV542" s="14">
        <v>9945</v>
      </c>
      <c r="BW542" s="14">
        <v>9555</v>
      </c>
      <c r="BX542" s="14">
        <v>19500</v>
      </c>
      <c r="BY542" s="14">
        <v>4590</v>
      </c>
      <c r="BZ542" s="14">
        <v>4410</v>
      </c>
      <c r="CA542" s="14">
        <v>9000</v>
      </c>
      <c r="CB542" s="12" t="s">
        <v>9134</v>
      </c>
      <c r="CD542" s="14">
        <v>11208</v>
      </c>
      <c r="CE542" s="14">
        <v>5433</v>
      </c>
      <c r="CF542" s="14">
        <v>16641</v>
      </c>
      <c r="CG542" s="14">
        <v>7416</v>
      </c>
      <c r="CH542" s="14">
        <v>5866</v>
      </c>
      <c r="CI542" s="14">
        <v>13282</v>
      </c>
      <c r="CJ542" s="12"/>
      <c r="CK542" s="14"/>
      <c r="CL542" s="16"/>
      <c r="CM542" s="14"/>
      <c r="CN542" s="12"/>
      <c r="CO542" s="14"/>
      <c r="CP542" s="16"/>
      <c r="CQ542" s="14"/>
      <c r="CR542" s="12"/>
      <c r="CS542" s="14"/>
      <c r="CT542" s="16"/>
      <c r="CU542" s="14"/>
      <c r="CV542" s="12"/>
      <c r="CW542" s="14"/>
      <c r="CX542" s="16"/>
      <c r="CY542" s="14"/>
      <c r="CZ542" s="12" t="s">
        <v>320</v>
      </c>
      <c r="DA542" s="14">
        <v>5000</v>
      </c>
      <c r="DB542" s="16">
        <v>1</v>
      </c>
      <c r="DC542" s="14">
        <v>1250</v>
      </c>
      <c r="DD542" s="12"/>
      <c r="DE542" s="14"/>
      <c r="DF542" s="16"/>
      <c r="DG542" s="14"/>
      <c r="DH542" s="12"/>
      <c r="DI542" s="14"/>
      <c r="DJ542" s="16"/>
      <c r="DK542" s="14"/>
      <c r="DL542" s="12"/>
      <c r="DM542" s="14"/>
      <c r="DN542" s="16"/>
      <c r="DO542" s="14"/>
      <c r="DP542" s="12" t="s">
        <v>320</v>
      </c>
      <c r="DQ542" s="14">
        <v>6641</v>
      </c>
      <c r="DR542" s="16">
        <v>0.51</v>
      </c>
      <c r="DS542" s="14">
        <v>13282</v>
      </c>
      <c r="DT542" s="12"/>
      <c r="DU542" s="14"/>
      <c r="DV542" s="16"/>
      <c r="DW542" s="14"/>
      <c r="DX542" s="12"/>
      <c r="DY542" s="14"/>
      <c r="DZ542" s="16"/>
      <c r="EA542" s="14"/>
      <c r="EB542" s="12" t="s">
        <v>320</v>
      </c>
      <c r="EC542" s="14">
        <v>5000</v>
      </c>
      <c r="ED542" s="16">
        <v>0.5</v>
      </c>
      <c r="EE542" s="14"/>
      <c r="EF542" s="12"/>
      <c r="EG542" s="12"/>
      <c r="EH542" s="14"/>
      <c r="EI542" s="16"/>
      <c r="EJ542" s="14"/>
      <c r="EK542" s="14"/>
      <c r="EL542" s="14"/>
      <c r="EM542" s="14"/>
      <c r="EN542" s="14"/>
      <c r="EO542" s="14"/>
      <c r="EP542" s="14"/>
      <c r="EQ542" s="12"/>
      <c r="ER542" s="14"/>
      <c r="ES542" s="16"/>
      <c r="ET542" s="14"/>
      <c r="EU542" s="12"/>
      <c r="EV542" s="14"/>
      <c r="EW542" s="16"/>
      <c r="EX542" s="14"/>
      <c r="EY542" s="12"/>
      <c r="EZ542" s="14"/>
      <c r="FA542" s="16"/>
      <c r="FB542" s="14"/>
      <c r="FC542" s="12"/>
      <c r="FD542" s="14"/>
      <c r="FE542" s="16"/>
      <c r="FF542" s="14"/>
      <c r="FG542" s="12"/>
      <c r="FH542" s="14"/>
      <c r="FI542" s="16"/>
      <c r="FJ542" s="14"/>
      <c r="FK542" s="12"/>
      <c r="FL542" s="14"/>
      <c r="FM542" s="16"/>
      <c r="FN542" s="14"/>
      <c r="FO542" s="12"/>
      <c r="FP542" s="14"/>
      <c r="FQ542" s="16"/>
      <c r="FR542" s="14"/>
      <c r="FS542" s="12"/>
      <c r="FT542" s="14"/>
      <c r="FU542" s="16"/>
      <c r="FV542" s="14"/>
      <c r="FW542" s="12"/>
      <c r="FX542" s="14"/>
      <c r="FY542" s="16"/>
      <c r="FZ542" s="14"/>
      <c r="GA542" s="12"/>
      <c r="GB542" s="14"/>
      <c r="GC542" s="16"/>
      <c r="GD542" s="14"/>
      <c r="GE542" s="12"/>
      <c r="GF542" s="14"/>
      <c r="GG542" s="16"/>
      <c r="GH542" s="14"/>
      <c r="GI542" s="12"/>
      <c r="GJ542" s="14"/>
      <c r="GK542" s="16"/>
      <c r="GL542" s="14"/>
      <c r="GM542" s="12"/>
      <c r="GN542" s="14"/>
      <c r="GO542" s="16"/>
      <c r="GP542" s="14"/>
      <c r="GQ542" s="12"/>
      <c r="GR542" s="14"/>
      <c r="GS542" s="16"/>
      <c r="GT542" s="14"/>
      <c r="GU542" s="12"/>
      <c r="GV542" s="14"/>
      <c r="GW542" s="16"/>
      <c r="GX542" s="14"/>
      <c r="GY542" s="12"/>
      <c r="GZ542" s="14"/>
      <c r="HA542" s="16"/>
      <c r="HB542" s="14"/>
      <c r="HC542" s="12"/>
      <c r="HD542" s="12"/>
      <c r="HE542" s="14"/>
      <c r="HF542" s="16"/>
      <c r="HG542" s="14"/>
      <c r="HH542" s="12" t="s">
        <v>319</v>
      </c>
      <c r="HI542" s="12" t="s">
        <v>431</v>
      </c>
      <c r="HJ542" s="12"/>
      <c r="HK542" s="12"/>
      <c r="HL542" s="12" t="s">
        <v>319</v>
      </c>
      <c r="HM542" s="12"/>
      <c r="HN542" s="12"/>
      <c r="HO542" s="12"/>
      <c r="HP542" s="12" t="s">
        <v>418</v>
      </c>
      <c r="HQ542" s="12" t="s">
        <v>319</v>
      </c>
      <c r="HR542" s="12" t="s">
        <v>319</v>
      </c>
      <c r="HS542" s="12" t="s">
        <v>319</v>
      </c>
      <c r="HT542" s="12" t="s">
        <v>320</v>
      </c>
      <c r="HU542" s="12" t="s">
        <v>319</v>
      </c>
      <c r="HV542" s="12" t="s">
        <v>319</v>
      </c>
      <c r="HW542" s="12" t="s">
        <v>319</v>
      </c>
      <c r="HX542" s="12"/>
      <c r="HY542" s="12"/>
      <c r="HZ542" s="12" t="s">
        <v>363</v>
      </c>
      <c r="IA542" s="12"/>
      <c r="IB542" s="12" t="s">
        <v>333</v>
      </c>
      <c r="IC542" s="12"/>
      <c r="ID542" s="12" t="s">
        <v>334</v>
      </c>
      <c r="IE542" s="12" t="s">
        <v>335</v>
      </c>
      <c r="IF542" s="12" t="s">
        <v>320</v>
      </c>
      <c r="IG542" s="12" t="s">
        <v>320</v>
      </c>
      <c r="IH542" s="12" t="s">
        <v>320</v>
      </c>
      <c r="II542" s="12" t="s">
        <v>320</v>
      </c>
      <c r="IJ542" s="12" t="str">
        <f t="shared" si="345"/>
        <v>2. Sensitive</v>
      </c>
      <c r="IK542" s="12">
        <f t="shared" si="346"/>
        <v>4</v>
      </c>
      <c r="IL542" s="12" t="s">
        <v>723</v>
      </c>
      <c r="IM542" s="12"/>
      <c r="IN542" s="12"/>
      <c r="IO542" s="12"/>
      <c r="IP542" s="12"/>
      <c r="IQ542" s="12" t="str">
        <f t="shared" si="347"/>
        <v>0. Unaware</v>
      </c>
      <c r="IR542" s="12">
        <f t="shared" si="348"/>
        <v>0</v>
      </c>
      <c r="IS542" s="12" t="s">
        <v>337</v>
      </c>
      <c r="IT542" s="12" t="s">
        <v>320</v>
      </c>
      <c r="IU542" s="12" t="s">
        <v>319</v>
      </c>
      <c r="IV542" s="12" t="s">
        <v>319</v>
      </c>
      <c r="IW542" s="11" t="str">
        <f t="shared" si="349"/>
        <v>1. Neutral</v>
      </c>
      <c r="IX542" s="12">
        <f t="shared" si="350"/>
        <v>1</v>
      </c>
      <c r="IY542" s="11" t="s">
        <v>338</v>
      </c>
      <c r="IZ542" s="12" t="s">
        <v>339</v>
      </c>
      <c r="JA542" s="12"/>
      <c r="JB542" s="12"/>
      <c r="JD542" s="12"/>
      <c r="JE542" s="12" t="s">
        <v>420</v>
      </c>
      <c r="JF542" s="12"/>
      <c r="JG542" s="12"/>
      <c r="JH542" s="12"/>
      <c r="JI542" s="12"/>
      <c r="JJ542" s="12"/>
      <c r="JK542" s="12" t="s">
        <v>9135</v>
      </c>
      <c r="JL542" s="12" t="s">
        <v>9136</v>
      </c>
      <c r="JM542" s="12" t="s">
        <v>9137</v>
      </c>
      <c r="JN542" s="12"/>
      <c r="JO542" s="12"/>
      <c r="JP542" s="15">
        <f t="shared" si="351"/>
        <v>16641</v>
      </c>
      <c r="JQ542" s="15">
        <f t="shared" si="352"/>
        <v>13282</v>
      </c>
      <c r="JR542" s="279">
        <f t="shared" si="353"/>
        <v>0.79814914969052342</v>
      </c>
      <c r="JS542" s="17">
        <f t="shared" si="354"/>
        <v>0.67351721651343066</v>
      </c>
      <c r="JT542" s="18">
        <f t="shared" si="355"/>
        <v>0.55834964613762983</v>
      </c>
      <c r="JU542" s="280">
        <f t="shared" si="356"/>
        <v>11208</v>
      </c>
      <c r="JV542" s="280">
        <f t="shared" si="357"/>
        <v>7416</v>
      </c>
      <c r="JW542" s="319">
        <f t="shared" si="358"/>
        <v>1</v>
      </c>
      <c r="JX542" s="15">
        <f t="shared" si="359"/>
        <v>16641</v>
      </c>
      <c r="JY542" s="15">
        <f t="shared" si="360"/>
        <v>13282</v>
      </c>
      <c r="JZ542" s="19">
        <f t="shared" si="361"/>
        <v>0.79814914969052342</v>
      </c>
      <c r="KA542" s="52" t="str">
        <f t="shared" si="362"/>
        <v/>
      </c>
      <c r="KB542" s="15">
        <f t="shared" si="363"/>
        <v>0</v>
      </c>
      <c r="KC542" s="15">
        <f t="shared" si="364"/>
        <v>0</v>
      </c>
      <c r="KD542" s="20" t="str">
        <f t="shared" si="365"/>
        <v/>
      </c>
      <c r="KE542" s="52" t="str">
        <f t="shared" si="366"/>
        <v/>
      </c>
      <c r="KF542" s="15">
        <f t="shared" si="367"/>
        <v>0</v>
      </c>
      <c r="KG542" s="15">
        <f t="shared" si="368"/>
        <v>0</v>
      </c>
      <c r="KH542" s="21" t="str">
        <f t="shared" si="369"/>
        <v/>
      </c>
      <c r="KI542" s="52">
        <f t="shared" si="370"/>
        <v>1</v>
      </c>
      <c r="KJ542" s="15">
        <f t="shared" si="371"/>
        <v>5000</v>
      </c>
      <c r="KK542" s="15">
        <f t="shared" si="372"/>
        <v>1250</v>
      </c>
      <c r="KL542" s="19">
        <f t="shared" si="373"/>
        <v>0.25</v>
      </c>
      <c r="KM542" s="52" t="str">
        <f t="shared" si="374"/>
        <v/>
      </c>
      <c r="KN542" s="22">
        <f t="shared" si="375"/>
        <v>0</v>
      </c>
      <c r="KO542" s="22">
        <f t="shared" si="376"/>
        <v>0</v>
      </c>
      <c r="KP542" s="19" t="str">
        <f t="shared" si="377"/>
        <v/>
      </c>
      <c r="KQ542" s="11" t="str">
        <f t="shared" si="378"/>
        <v>2. Sensitive</v>
      </c>
      <c r="KR542" s="11" t="str">
        <f t="shared" si="379"/>
        <v>0. Unaware</v>
      </c>
      <c r="KS542" s="11" t="str">
        <f t="shared" si="380"/>
        <v>1. Neutral</v>
      </c>
      <c r="KT542" s="11" t="str">
        <f t="shared" si="381"/>
        <v>It did not develop any specific innovation</v>
      </c>
      <c r="KU542" s="11" t="str">
        <f t="shared" si="382"/>
        <v>Little or no advocacy</v>
      </c>
      <c r="KV542" s="11" t="str">
        <f t="shared" si="383"/>
        <v>It did not take tested solutions to scale</v>
      </c>
      <c r="KW542" s="11" t="str">
        <f t="shared" si="384"/>
        <v>Niger - Humanitarian assistance to refugees, IDPs and host communities to improve access to WASH and Protection for children in Diffa, Niger                            </v>
      </c>
      <c r="KX542" s="11" t="str">
        <f t="shared" si="385"/>
        <v>Humanitarian assistance to refugees, IDPs and host communities to improve access to WASH and Protection for children in Diffa, Niger                            </v>
      </c>
      <c r="KY542" s="11" t="str">
        <f t="shared" si="386"/>
        <v>Niger</v>
      </c>
      <c r="KZ542" s="12">
        <v>542</v>
      </c>
    </row>
    <row r="543" spans="1:312" x14ac:dyDescent="0.3">
      <c r="A543" s="12" t="s">
        <v>9043</v>
      </c>
      <c r="B543" s="12" t="s">
        <v>1596</v>
      </c>
      <c r="C543" s="12">
        <v>3231</v>
      </c>
      <c r="D543" s="12" t="s">
        <v>1828</v>
      </c>
      <c r="E543" s="277" t="str">
        <f t="shared" si="344"/>
        <v>Niger</v>
      </c>
      <c r="F543" s="12" t="s">
        <v>1829</v>
      </c>
      <c r="G543" s="12" t="s">
        <v>309</v>
      </c>
      <c r="H543" s="11" t="s">
        <v>310</v>
      </c>
      <c r="I543" s="12" t="s">
        <v>517</v>
      </c>
      <c r="J543" s="281" t="s">
        <v>14578</v>
      </c>
      <c r="K543" s="12"/>
      <c r="L543" s="12"/>
      <c r="M543" s="12"/>
      <c r="N543" s="12"/>
      <c r="O543" s="12"/>
      <c r="P543" s="12"/>
      <c r="Q543" s="12"/>
      <c r="R543" s="12"/>
      <c r="S543" s="12"/>
      <c r="T543" s="12"/>
      <c r="U543" s="12"/>
      <c r="V543" s="12"/>
      <c r="W543" s="12"/>
      <c r="X543" s="12"/>
      <c r="Y543" s="12"/>
      <c r="Z543" s="12"/>
      <c r="AA543" s="12"/>
      <c r="AB543" s="12"/>
      <c r="AC543" s="12"/>
      <c r="AD543" s="12"/>
      <c r="BD543" s="13">
        <v>41993</v>
      </c>
      <c r="BE543" s="13">
        <v>43088</v>
      </c>
      <c r="BF543" s="12"/>
      <c r="BG543" s="12" t="s">
        <v>312</v>
      </c>
      <c r="BH543" s="14">
        <v>602593</v>
      </c>
      <c r="BI543" s="12" t="s">
        <v>1830</v>
      </c>
      <c r="BJ543" s="12" t="s">
        <v>1831</v>
      </c>
      <c r="BK543" s="12" t="s">
        <v>1832</v>
      </c>
      <c r="BL543" s="12" t="s">
        <v>1833</v>
      </c>
      <c r="BM543" s="12" t="s">
        <v>1834</v>
      </c>
      <c r="BN543" s="12" t="s">
        <v>1835</v>
      </c>
      <c r="BO543" s="12" t="s">
        <v>319</v>
      </c>
      <c r="BP543" s="12" t="s">
        <v>320</v>
      </c>
      <c r="BQ543" s="12" t="s">
        <v>319</v>
      </c>
      <c r="BR543" s="12" t="s">
        <v>1836</v>
      </c>
      <c r="BS543" s="12" t="s">
        <v>615</v>
      </c>
      <c r="BT543" s="12" t="s">
        <v>1837</v>
      </c>
      <c r="BU543" s="12" t="s">
        <v>1838</v>
      </c>
      <c r="BV543" s="14">
        <v>3500</v>
      </c>
      <c r="BW543" s="14">
        <v>100</v>
      </c>
      <c r="BX543" s="14">
        <v>3600</v>
      </c>
      <c r="BY543" s="14">
        <v>8400</v>
      </c>
      <c r="BZ543" s="14">
        <v>8100</v>
      </c>
      <c r="CA543" s="14">
        <v>16500</v>
      </c>
      <c r="CB543" s="12"/>
      <c r="CD543" s="14"/>
      <c r="CE543" s="14"/>
      <c r="CF543" s="14"/>
      <c r="CG543" s="14"/>
      <c r="CH543" s="14"/>
      <c r="CI543" s="14"/>
      <c r="CJ543" s="12"/>
      <c r="CK543" s="14"/>
      <c r="CL543" s="16"/>
      <c r="CM543" s="14"/>
      <c r="CN543" s="12"/>
      <c r="CO543" s="14"/>
      <c r="CP543" s="16"/>
      <c r="CQ543" s="14"/>
      <c r="CR543" s="12"/>
      <c r="CS543" s="14"/>
      <c r="CT543" s="16"/>
      <c r="CU543" s="14"/>
      <c r="CV543" s="12"/>
      <c r="CW543" s="14"/>
      <c r="CX543" s="16"/>
      <c r="CY543" s="14"/>
      <c r="CZ543" s="12"/>
      <c r="DA543" s="14"/>
      <c r="DB543" s="16"/>
      <c r="DC543" s="14"/>
      <c r="DD543" s="12"/>
      <c r="DE543" s="14"/>
      <c r="DF543" s="16"/>
      <c r="DG543" s="14"/>
      <c r="DH543" s="12"/>
      <c r="DI543" s="14"/>
      <c r="DJ543" s="16"/>
      <c r="DK543" s="14"/>
      <c r="DL543" s="12"/>
      <c r="DM543" s="14"/>
      <c r="DN543" s="16"/>
      <c r="DO543" s="14"/>
      <c r="DP543" s="12"/>
      <c r="DQ543" s="14"/>
      <c r="DR543" s="16"/>
      <c r="DS543" s="14"/>
      <c r="DT543" s="12"/>
      <c r="DU543" s="14"/>
      <c r="DV543" s="16"/>
      <c r="DW543" s="14"/>
      <c r="DX543" s="12"/>
      <c r="DY543" s="14"/>
      <c r="DZ543" s="16"/>
      <c r="EA543" s="14"/>
      <c r="EB543" s="12"/>
      <c r="EC543" s="14"/>
      <c r="ED543" s="16"/>
      <c r="EE543" s="14"/>
      <c r="EF543" s="12"/>
      <c r="EG543" s="12"/>
      <c r="EH543" s="14"/>
      <c r="EI543" s="16"/>
      <c r="EJ543" s="14"/>
      <c r="EK543" s="14">
        <v>5397</v>
      </c>
      <c r="EL543" s="14">
        <v>1619.1</v>
      </c>
      <c r="EM543" s="14">
        <v>7016</v>
      </c>
      <c r="EN543" s="14">
        <v>6746.25</v>
      </c>
      <c r="EO543" s="14">
        <v>5211</v>
      </c>
      <c r="EP543" s="14">
        <v>11957</v>
      </c>
      <c r="EQ543" s="12"/>
      <c r="ER543" s="14"/>
      <c r="ES543" s="16"/>
      <c r="ET543" s="14"/>
      <c r="EU543" s="12"/>
      <c r="EV543" s="14"/>
      <c r="EW543" s="16"/>
      <c r="EX543" s="14"/>
      <c r="EY543" s="12" t="s">
        <v>320</v>
      </c>
      <c r="EZ543" s="14">
        <v>7016</v>
      </c>
      <c r="FA543" s="16">
        <v>0.75</v>
      </c>
      <c r="FB543" s="14">
        <v>11957</v>
      </c>
      <c r="FC543" s="12"/>
      <c r="FD543" s="14"/>
      <c r="FE543" s="16"/>
      <c r="FF543" s="14"/>
      <c r="FG543" s="12"/>
      <c r="FH543" s="14"/>
      <c r="FI543" s="16"/>
      <c r="FJ543" s="14"/>
      <c r="FK543" s="12"/>
      <c r="FL543" s="14"/>
      <c r="FM543" s="16"/>
      <c r="FN543" s="14"/>
      <c r="FO543" s="12"/>
      <c r="FP543" s="14"/>
      <c r="FQ543" s="16"/>
      <c r="FR543" s="14"/>
      <c r="FS543" s="12"/>
      <c r="FT543" s="14"/>
      <c r="FU543" s="16"/>
      <c r="FV543" s="14"/>
      <c r="FW543" s="12"/>
      <c r="FX543" s="14"/>
      <c r="FY543" s="16"/>
      <c r="FZ543" s="14"/>
      <c r="GA543" s="12"/>
      <c r="GB543" s="14"/>
      <c r="GC543" s="16"/>
      <c r="GD543" s="14"/>
      <c r="GE543" s="12"/>
      <c r="GF543" s="14"/>
      <c r="GG543" s="16"/>
      <c r="GH543" s="14"/>
      <c r="GI543" s="12"/>
      <c r="GJ543" s="14"/>
      <c r="GK543" s="16"/>
      <c r="GL543" s="14"/>
      <c r="GM543" s="12"/>
      <c r="GN543" s="14"/>
      <c r="GO543" s="16"/>
      <c r="GP543" s="14"/>
      <c r="GQ543" s="12"/>
      <c r="GR543" s="14"/>
      <c r="GS543" s="16"/>
      <c r="GT543" s="14"/>
      <c r="GU543" s="12"/>
      <c r="GV543" s="14"/>
      <c r="GW543" s="16"/>
      <c r="GX543" s="14"/>
      <c r="GY543" s="12"/>
      <c r="GZ543" s="14"/>
      <c r="HA543" s="16"/>
      <c r="HB543" s="14"/>
      <c r="HC543" s="12"/>
      <c r="HD543" s="12"/>
      <c r="HE543" s="14"/>
      <c r="HF543" s="16"/>
      <c r="HG543" s="14"/>
      <c r="HH543" s="12" t="s">
        <v>320</v>
      </c>
      <c r="HI543" s="12"/>
      <c r="HJ543" s="12"/>
      <c r="HK543" s="12" t="s">
        <v>320</v>
      </c>
      <c r="HL543" s="12" t="s">
        <v>320</v>
      </c>
      <c r="HM543" s="12" t="s">
        <v>328</v>
      </c>
      <c r="HN543" s="12">
        <v>2017</v>
      </c>
      <c r="HO543" s="12" t="s">
        <v>1839</v>
      </c>
      <c r="HP543" s="12" t="s">
        <v>330</v>
      </c>
      <c r="HQ543" s="12" t="s">
        <v>319</v>
      </c>
      <c r="HR543" s="12" t="s">
        <v>319</v>
      </c>
      <c r="HS543" s="12" t="s">
        <v>319</v>
      </c>
      <c r="HT543" s="12" t="s">
        <v>320</v>
      </c>
      <c r="HU543" s="12" t="s">
        <v>320</v>
      </c>
      <c r="HV543" s="12" t="s">
        <v>320</v>
      </c>
      <c r="HW543" s="12" t="s">
        <v>319</v>
      </c>
      <c r="HX543" s="12"/>
      <c r="HY543" s="12"/>
      <c r="HZ543" s="11" t="s">
        <v>394</v>
      </c>
      <c r="IA543" s="12" t="s">
        <v>1840</v>
      </c>
      <c r="IB543" s="12" t="s">
        <v>396</v>
      </c>
      <c r="IC543" s="12"/>
      <c r="ID543" s="12" t="s">
        <v>334</v>
      </c>
      <c r="IE543" s="12" t="s">
        <v>335</v>
      </c>
      <c r="IF543" s="12" t="s">
        <v>320</v>
      </c>
      <c r="IG543" s="12" t="s">
        <v>320</v>
      </c>
      <c r="IH543" s="12" t="s">
        <v>320</v>
      </c>
      <c r="II543" s="12" t="s">
        <v>320</v>
      </c>
      <c r="IJ543" s="12" t="str">
        <f t="shared" si="345"/>
        <v>2. Sensitive</v>
      </c>
      <c r="IK543" s="12">
        <f t="shared" si="346"/>
        <v>4</v>
      </c>
      <c r="IL543" s="12" t="s">
        <v>336</v>
      </c>
      <c r="IM543" s="12" t="s">
        <v>320</v>
      </c>
      <c r="IN543" s="12" t="s">
        <v>320</v>
      </c>
      <c r="IO543" s="12" t="s">
        <v>320</v>
      </c>
      <c r="IP543" s="12" t="s">
        <v>320</v>
      </c>
      <c r="IQ543" s="12" t="str">
        <f t="shared" si="347"/>
        <v>2. Accommodating</v>
      </c>
      <c r="IR543" s="12">
        <f t="shared" si="348"/>
        <v>4</v>
      </c>
      <c r="IS543" s="12" t="s">
        <v>337</v>
      </c>
      <c r="IT543" s="12" t="s">
        <v>320</v>
      </c>
      <c r="IU543" s="12" t="s">
        <v>320</v>
      </c>
      <c r="IV543" s="12" t="s">
        <v>320</v>
      </c>
      <c r="IW543" s="11" t="str">
        <f t="shared" si="349"/>
        <v>2. Sensitive</v>
      </c>
      <c r="IX543" s="12">
        <f t="shared" si="350"/>
        <v>3</v>
      </c>
      <c r="IY543" s="11" t="s">
        <v>419</v>
      </c>
      <c r="IZ543" s="11" t="s">
        <v>527</v>
      </c>
      <c r="JA543" s="12">
        <v>3</v>
      </c>
      <c r="JB543" s="11" t="s">
        <v>433</v>
      </c>
      <c r="JC543" s="12" t="s">
        <v>433</v>
      </c>
      <c r="JD543" s="11" t="s">
        <v>433</v>
      </c>
      <c r="JE543" s="12" t="s">
        <v>340</v>
      </c>
      <c r="JF543" s="12" t="s">
        <v>1841</v>
      </c>
      <c r="JG543" s="12" t="s">
        <v>1842</v>
      </c>
      <c r="JH543" s="12" t="s">
        <v>1843</v>
      </c>
      <c r="JI543" s="12" t="s">
        <v>1844</v>
      </c>
      <c r="JJ543" s="12" t="s">
        <v>1845</v>
      </c>
      <c r="JK543" s="12" t="s">
        <v>1846</v>
      </c>
      <c r="JL543" s="12" t="s">
        <v>1847</v>
      </c>
      <c r="JM543" s="12" t="s">
        <v>1848</v>
      </c>
      <c r="JN543" s="12" t="s">
        <v>9044</v>
      </c>
      <c r="JO543" s="12" t="s">
        <v>1850</v>
      </c>
      <c r="JP543" s="15">
        <f t="shared" si="351"/>
        <v>7016</v>
      </c>
      <c r="JQ543" s="15">
        <f t="shared" si="352"/>
        <v>11957</v>
      </c>
      <c r="JR543" s="279">
        <f t="shared" si="353"/>
        <v>1.7042474344355758</v>
      </c>
      <c r="JS543" s="17">
        <f t="shared" si="354"/>
        <v>0.76924173318129985</v>
      </c>
      <c r="JT543" s="18">
        <f t="shared" si="355"/>
        <v>0.56420924981182574</v>
      </c>
      <c r="JU543" s="280">
        <f t="shared" si="356"/>
        <v>5397</v>
      </c>
      <c r="JV543" s="280">
        <f t="shared" si="357"/>
        <v>6746.25</v>
      </c>
      <c r="JW543" s="319" t="str">
        <f t="shared" si="358"/>
        <v/>
      </c>
      <c r="JX543" s="15">
        <f t="shared" si="359"/>
        <v>0</v>
      </c>
      <c r="JY543" s="15">
        <f t="shared" si="360"/>
        <v>0</v>
      </c>
      <c r="JZ543" s="19" t="str">
        <f t="shared" si="361"/>
        <v/>
      </c>
      <c r="KA543" s="52" t="str">
        <f t="shared" si="362"/>
        <v/>
      </c>
      <c r="KB543" s="15">
        <f t="shared" si="363"/>
        <v>0</v>
      </c>
      <c r="KC543" s="15">
        <f t="shared" si="364"/>
        <v>0</v>
      </c>
      <c r="KD543" s="20" t="str">
        <f t="shared" si="365"/>
        <v/>
      </c>
      <c r="KE543" s="52" t="str">
        <f t="shared" si="366"/>
        <v/>
      </c>
      <c r="KF543" s="15">
        <f t="shared" si="367"/>
        <v>0</v>
      </c>
      <c r="KG543" s="15">
        <f t="shared" si="368"/>
        <v>0</v>
      </c>
      <c r="KH543" s="21" t="str">
        <f t="shared" si="369"/>
        <v/>
      </c>
      <c r="KI543" s="52" t="str">
        <f t="shared" si="370"/>
        <v/>
      </c>
      <c r="KJ543" s="15">
        <f t="shared" si="371"/>
        <v>0</v>
      </c>
      <c r="KK543" s="15">
        <f t="shared" si="372"/>
        <v>0</v>
      </c>
      <c r="KL543" s="19" t="str">
        <f t="shared" si="373"/>
        <v/>
      </c>
      <c r="KM543" s="52" t="str">
        <f t="shared" si="374"/>
        <v/>
      </c>
      <c r="KN543" s="22">
        <f t="shared" si="375"/>
        <v>0</v>
      </c>
      <c r="KO543" s="22">
        <f t="shared" si="376"/>
        <v>0</v>
      </c>
      <c r="KP543" s="19" t="str">
        <f t="shared" si="377"/>
        <v/>
      </c>
      <c r="KQ543" s="11" t="str">
        <f t="shared" si="378"/>
        <v>2. Sensitive</v>
      </c>
      <c r="KR543" s="11" t="str">
        <f t="shared" si="379"/>
        <v>2. Accommodating</v>
      </c>
      <c r="KS543" s="11" t="str">
        <f t="shared" si="380"/>
        <v>2. Sensitive</v>
      </c>
      <c r="KT543" s="11" t="str">
        <f t="shared" si="381"/>
        <v>It tested new ways for fighting poverty, but did not measure results of innovation</v>
      </c>
      <c r="KU543" s="11" t="str">
        <f t="shared" si="382"/>
        <v>Moderate advocacy</v>
      </c>
      <c r="KV543" s="11" t="str">
        <f t="shared" si="383"/>
        <v>It linked and worked with strategic alliances and partners to take tested and effective solutions to scale</v>
      </c>
      <c r="KW543" s="11" t="str">
        <f t="shared" si="384"/>
        <v>Niger - Initiative Paix et Diversité au Sahel (IPAD)</v>
      </c>
      <c r="KX543" s="11" t="str">
        <f t="shared" si="385"/>
        <v>Initiative Paix et Diversité au Sahel (IPAD)</v>
      </c>
      <c r="KY543" s="11" t="str">
        <f t="shared" si="386"/>
        <v>Niger</v>
      </c>
      <c r="KZ543" s="12">
        <v>543</v>
      </c>
    </row>
    <row r="544" spans="1:312" x14ac:dyDescent="0.3">
      <c r="A544" s="12" t="s">
        <v>9043</v>
      </c>
      <c r="B544" s="12" t="s">
        <v>1596</v>
      </c>
      <c r="C544" s="12"/>
      <c r="D544" s="12" t="s">
        <v>9194</v>
      </c>
      <c r="E544" s="277" t="str">
        <f t="shared" si="344"/>
        <v>Niger</v>
      </c>
      <c r="F544" s="12"/>
      <c r="G544" s="12" t="s">
        <v>714</v>
      </c>
      <c r="H544" s="11" t="s">
        <v>310</v>
      </c>
      <c r="I544" s="12" t="s">
        <v>907</v>
      </c>
      <c r="J544" s="281" t="s">
        <v>5183</v>
      </c>
      <c r="K544" s="12"/>
      <c r="L544" s="12"/>
      <c r="M544" s="12"/>
      <c r="N544" s="12"/>
      <c r="O544" s="12"/>
      <c r="P544" s="12"/>
      <c r="Q544" s="12"/>
      <c r="R544" s="12"/>
      <c r="S544" s="12"/>
      <c r="T544" s="12"/>
      <c r="U544" s="12"/>
      <c r="V544" s="12"/>
      <c r="W544" s="12"/>
      <c r="X544" s="12"/>
      <c r="Y544" s="12"/>
      <c r="Z544" s="12"/>
      <c r="AA544" s="12"/>
      <c r="AB544" s="12"/>
      <c r="AC544" s="12"/>
      <c r="AD544" s="12"/>
      <c r="BD544" s="13">
        <v>42596</v>
      </c>
      <c r="BE544" s="13">
        <v>42961</v>
      </c>
      <c r="BF544" s="13">
        <v>43053</v>
      </c>
      <c r="BG544" s="12" t="s">
        <v>817</v>
      </c>
      <c r="BH544" s="14">
        <f>1000000*655.957/600</f>
        <v>1093261.6666666667</v>
      </c>
      <c r="BI544" s="12" t="s">
        <v>9195</v>
      </c>
      <c r="BJ544" s="12" t="s">
        <v>9196</v>
      </c>
      <c r="BK544" s="12" t="s">
        <v>9051</v>
      </c>
      <c r="BL544" s="12" t="s">
        <v>9197</v>
      </c>
      <c r="BM544" s="12" t="s">
        <v>2775</v>
      </c>
      <c r="BN544" s="12" t="s">
        <v>9198</v>
      </c>
      <c r="BO544" s="12" t="s">
        <v>320</v>
      </c>
      <c r="BP544" s="12" t="s">
        <v>319</v>
      </c>
      <c r="BQ544" s="12" t="s">
        <v>319</v>
      </c>
      <c r="BR544" s="12" t="s">
        <v>9199</v>
      </c>
      <c r="BS544" s="12" t="s">
        <v>357</v>
      </c>
      <c r="BT544" s="43" t="s">
        <v>9200</v>
      </c>
      <c r="BU544" s="12" t="s">
        <v>9201</v>
      </c>
      <c r="BV544" s="14">
        <v>6630</v>
      </c>
      <c r="BW544" s="14">
        <v>6370</v>
      </c>
      <c r="BX544" s="14">
        <v>13000</v>
      </c>
      <c r="BY544" s="14">
        <v>7163</v>
      </c>
      <c r="BZ544" s="14">
        <v>6882</v>
      </c>
      <c r="CA544" s="14">
        <v>14045</v>
      </c>
      <c r="CB544" s="12" t="s">
        <v>9202</v>
      </c>
      <c r="CD544" s="14">
        <v>5140</v>
      </c>
      <c r="CE544" s="14">
        <v>4938</v>
      </c>
      <c r="CF544" s="14">
        <v>10078</v>
      </c>
      <c r="CG544" s="14">
        <v>6986</v>
      </c>
      <c r="CH544" s="14">
        <v>6712</v>
      </c>
      <c r="CI544" s="14">
        <v>13698</v>
      </c>
      <c r="CJ544" s="12" t="s">
        <v>319</v>
      </c>
      <c r="CK544" s="14"/>
      <c r="CL544" s="16"/>
      <c r="CM544" s="14"/>
      <c r="CN544" s="12" t="s">
        <v>319</v>
      </c>
      <c r="CO544" s="14"/>
      <c r="CP544" s="16"/>
      <c r="CQ544" s="14"/>
      <c r="CR544" s="12" t="s">
        <v>319</v>
      </c>
      <c r="CS544" s="14"/>
      <c r="CT544" s="16"/>
      <c r="CU544" s="14"/>
      <c r="CV544" s="12" t="s">
        <v>319</v>
      </c>
      <c r="CW544" s="14"/>
      <c r="CX544" s="16"/>
      <c r="CY544" s="14"/>
      <c r="CZ544" s="12" t="s">
        <v>319</v>
      </c>
      <c r="DA544" s="14"/>
      <c r="DB544" s="16"/>
      <c r="DC544" s="14"/>
      <c r="DD544" s="12" t="s">
        <v>319</v>
      </c>
      <c r="DE544" s="14"/>
      <c r="DF544" s="16"/>
      <c r="DG544" s="14"/>
      <c r="DH544" s="12" t="s">
        <v>319</v>
      </c>
      <c r="DI544" s="14"/>
      <c r="DJ544" s="16"/>
      <c r="DK544" s="14"/>
      <c r="DL544" s="12" t="s">
        <v>319</v>
      </c>
      <c r="DM544" s="14"/>
      <c r="DN544" s="16"/>
      <c r="DO544" s="14"/>
      <c r="DP544" s="12" t="s">
        <v>319</v>
      </c>
      <c r="DQ544" s="14">
        <v>0</v>
      </c>
      <c r="DR544" s="16"/>
      <c r="DS544" s="14">
        <v>0</v>
      </c>
      <c r="DT544" s="12" t="s">
        <v>319</v>
      </c>
      <c r="DU544" s="14"/>
      <c r="DV544" s="16"/>
      <c r="DW544" s="14"/>
      <c r="DX544" s="12" t="s">
        <v>319</v>
      </c>
      <c r="DY544" s="14"/>
      <c r="DZ544" s="16"/>
      <c r="EA544" s="14"/>
      <c r="EB544" s="12" t="s">
        <v>320</v>
      </c>
      <c r="EC544" s="14">
        <v>10078</v>
      </c>
      <c r="ED544" s="16">
        <v>0.51002182972812005</v>
      </c>
      <c r="EE544" s="14"/>
      <c r="EF544" s="12"/>
      <c r="EG544" s="12"/>
      <c r="EH544" s="14"/>
      <c r="EI544" s="16"/>
      <c r="EJ544" s="14"/>
      <c r="EK544" s="14"/>
      <c r="EL544" s="14"/>
      <c r="EM544" s="14"/>
      <c r="EN544" s="14"/>
      <c r="EO544" s="14"/>
      <c r="EP544" s="14"/>
      <c r="EQ544" s="12"/>
      <c r="ER544" s="14"/>
      <c r="ES544" s="16"/>
      <c r="ET544" s="14"/>
      <c r="EU544" s="12"/>
      <c r="EV544" s="14"/>
      <c r="EW544" s="16"/>
      <c r="EX544" s="14"/>
      <c r="EY544" s="12"/>
      <c r="EZ544" s="14"/>
      <c r="FA544" s="16"/>
      <c r="FB544" s="14"/>
      <c r="FC544" s="12"/>
      <c r="FD544" s="14"/>
      <c r="FE544" s="16"/>
      <c r="FF544" s="14"/>
      <c r="FG544" s="12"/>
      <c r="FH544" s="14"/>
      <c r="FI544" s="16"/>
      <c r="FJ544" s="14"/>
      <c r="FK544" s="12"/>
      <c r="FL544" s="14"/>
      <c r="FM544" s="16"/>
      <c r="FN544" s="14"/>
      <c r="FO544" s="12"/>
      <c r="FP544" s="14"/>
      <c r="FQ544" s="16"/>
      <c r="FR544" s="14"/>
      <c r="FS544" s="12"/>
      <c r="FT544" s="14"/>
      <c r="FU544" s="16"/>
      <c r="FV544" s="14"/>
      <c r="FW544" s="12"/>
      <c r="FX544" s="14"/>
      <c r="FY544" s="16"/>
      <c r="FZ544" s="14"/>
      <c r="GA544" s="12"/>
      <c r="GB544" s="14"/>
      <c r="GC544" s="16"/>
      <c r="GD544" s="14"/>
      <c r="GE544" s="12"/>
      <c r="GF544" s="14"/>
      <c r="GG544" s="16"/>
      <c r="GH544" s="14"/>
      <c r="GI544" s="12"/>
      <c r="GJ544" s="14"/>
      <c r="GK544" s="16"/>
      <c r="GL544" s="14"/>
      <c r="GM544" s="12"/>
      <c r="GN544" s="14"/>
      <c r="GO544" s="16"/>
      <c r="GP544" s="14"/>
      <c r="GQ544" s="12"/>
      <c r="GR544" s="14"/>
      <c r="GS544" s="16"/>
      <c r="GT544" s="14"/>
      <c r="GU544" s="12"/>
      <c r="GV544" s="14"/>
      <c r="GW544" s="16"/>
      <c r="GX544" s="14"/>
      <c r="GY544" s="12"/>
      <c r="GZ544" s="14"/>
      <c r="HA544" s="16"/>
      <c r="HB544" s="14"/>
      <c r="HC544" s="12"/>
      <c r="HD544" s="12"/>
      <c r="HE544" s="14"/>
      <c r="HF544" s="16"/>
      <c r="HG544" s="14"/>
      <c r="HH544" s="12" t="s">
        <v>320</v>
      </c>
      <c r="HI544" s="12" t="s">
        <v>328</v>
      </c>
      <c r="HJ544" s="12">
        <v>2016</v>
      </c>
      <c r="HK544" s="12" t="s">
        <v>320</v>
      </c>
      <c r="HL544" s="12" t="s">
        <v>320</v>
      </c>
      <c r="HM544" s="12" t="s">
        <v>327</v>
      </c>
      <c r="HN544" s="12">
        <v>2017</v>
      </c>
      <c r="HO544" s="12" t="s">
        <v>9203</v>
      </c>
      <c r="HP544" s="12" t="s">
        <v>418</v>
      </c>
      <c r="HQ544" s="12" t="s">
        <v>319</v>
      </c>
      <c r="HR544" s="12" t="s">
        <v>319</v>
      </c>
      <c r="HS544" s="12"/>
      <c r="HT544" s="12" t="s">
        <v>319</v>
      </c>
      <c r="HU544" s="12" t="s">
        <v>319</v>
      </c>
      <c r="HV544" s="12"/>
      <c r="HW544" s="12" t="s">
        <v>319</v>
      </c>
      <c r="HX544" s="12" t="s">
        <v>320</v>
      </c>
      <c r="HY544" s="12" t="s">
        <v>9204</v>
      </c>
      <c r="HZ544" s="12" t="s">
        <v>363</v>
      </c>
      <c r="IA544" s="12"/>
      <c r="IB544" s="12" t="s">
        <v>333</v>
      </c>
      <c r="IC544" s="12"/>
      <c r="ID544" s="12" t="s">
        <v>364</v>
      </c>
      <c r="IE544" s="12" t="s">
        <v>335</v>
      </c>
      <c r="IF544" s="12" t="s">
        <v>320</v>
      </c>
      <c r="IG544" s="12" t="s">
        <v>320</v>
      </c>
      <c r="IH544" s="12" t="s">
        <v>320</v>
      </c>
      <c r="II544" s="12" t="s">
        <v>320</v>
      </c>
      <c r="IJ544" s="12" t="str">
        <f t="shared" si="345"/>
        <v>2. Sensitive</v>
      </c>
      <c r="IK544" s="12">
        <f t="shared" si="346"/>
        <v>4</v>
      </c>
      <c r="IL544" s="12" t="s">
        <v>723</v>
      </c>
      <c r="IM544" s="12" t="s">
        <v>319</v>
      </c>
      <c r="IN544" s="12" t="s">
        <v>319</v>
      </c>
      <c r="IO544" s="12" t="s">
        <v>319</v>
      </c>
      <c r="IP544" s="12" t="s">
        <v>319</v>
      </c>
      <c r="IQ544" s="12" t="str">
        <f t="shared" si="347"/>
        <v>0. Unaware</v>
      </c>
      <c r="IR544" s="12">
        <f t="shared" si="348"/>
        <v>0</v>
      </c>
      <c r="IS544" s="12" t="s">
        <v>622</v>
      </c>
      <c r="IT544" s="12" t="s">
        <v>320</v>
      </c>
      <c r="IU544" s="12" t="s">
        <v>319</v>
      </c>
      <c r="IV544" s="12" t="s">
        <v>320</v>
      </c>
      <c r="IW544" s="11" t="str">
        <f t="shared" si="349"/>
        <v>3. Responsive</v>
      </c>
      <c r="IX544" s="12">
        <f t="shared" si="350"/>
        <v>2</v>
      </c>
      <c r="IY544" s="11" t="s">
        <v>338</v>
      </c>
      <c r="IZ544" s="12" t="s">
        <v>339</v>
      </c>
      <c r="JA544" s="12"/>
      <c r="JB544" s="12"/>
      <c r="JD544" s="12"/>
      <c r="JE544" s="12" t="s">
        <v>420</v>
      </c>
      <c r="JF544" s="12"/>
      <c r="JG544" s="12"/>
      <c r="JH544" s="12" t="s">
        <v>9205</v>
      </c>
      <c r="JI544" s="12" t="s">
        <v>9206</v>
      </c>
      <c r="JJ544" s="12" t="s">
        <v>1945</v>
      </c>
      <c r="JK544" s="12" t="s">
        <v>9207</v>
      </c>
      <c r="JL544" s="12" t="s">
        <v>9208</v>
      </c>
      <c r="JM544" s="12" t="s">
        <v>9209</v>
      </c>
      <c r="JN544" s="12"/>
      <c r="JO544" s="12"/>
      <c r="JP544" s="15">
        <f t="shared" si="351"/>
        <v>10078</v>
      </c>
      <c r="JQ544" s="15">
        <f t="shared" si="352"/>
        <v>13698</v>
      </c>
      <c r="JR544" s="279">
        <f t="shared" si="353"/>
        <v>1.3591982536217504</v>
      </c>
      <c r="JS544" s="17">
        <f t="shared" si="354"/>
        <v>0.51002182972812071</v>
      </c>
      <c r="JT544" s="18">
        <f t="shared" si="355"/>
        <v>0.51000146006716307</v>
      </c>
      <c r="JU544" s="280">
        <f t="shared" si="356"/>
        <v>5140</v>
      </c>
      <c r="JV544" s="280">
        <f t="shared" si="357"/>
        <v>6986</v>
      </c>
      <c r="JW544" s="319">
        <f t="shared" si="358"/>
        <v>1</v>
      </c>
      <c r="JX544" s="15">
        <f t="shared" si="359"/>
        <v>10078</v>
      </c>
      <c r="JY544" s="15">
        <f t="shared" si="360"/>
        <v>13698</v>
      </c>
      <c r="JZ544" s="19">
        <f t="shared" si="361"/>
        <v>1.3591982536217504</v>
      </c>
      <c r="KA544" s="52" t="str">
        <f t="shared" si="362"/>
        <v/>
      </c>
      <c r="KB544" s="15">
        <f t="shared" si="363"/>
        <v>0</v>
      </c>
      <c r="KC544" s="15">
        <f t="shared" si="364"/>
        <v>0</v>
      </c>
      <c r="KD544" s="20" t="str">
        <f t="shared" si="365"/>
        <v/>
      </c>
      <c r="KE544" s="52" t="str">
        <f t="shared" si="366"/>
        <v/>
      </c>
      <c r="KF544" s="15">
        <f t="shared" si="367"/>
        <v>0</v>
      </c>
      <c r="KG544" s="15">
        <f t="shared" si="368"/>
        <v>0</v>
      </c>
      <c r="KH544" s="21" t="str">
        <f t="shared" si="369"/>
        <v/>
      </c>
      <c r="KI544" s="52" t="str">
        <f t="shared" si="370"/>
        <v/>
      </c>
      <c r="KJ544" s="15">
        <f t="shared" si="371"/>
        <v>0</v>
      </c>
      <c r="KK544" s="15">
        <f t="shared" si="372"/>
        <v>0</v>
      </c>
      <c r="KL544" s="19" t="str">
        <f t="shared" si="373"/>
        <v/>
      </c>
      <c r="KM544" s="52" t="str">
        <f t="shared" si="374"/>
        <v/>
      </c>
      <c r="KN544" s="22">
        <f t="shared" si="375"/>
        <v>0</v>
      </c>
      <c r="KO544" s="22">
        <f t="shared" si="376"/>
        <v>0</v>
      </c>
      <c r="KP544" s="19" t="str">
        <f t="shared" si="377"/>
        <v/>
      </c>
      <c r="KQ544" s="11" t="str">
        <f t="shared" si="378"/>
        <v>2. Sensitive</v>
      </c>
      <c r="KR544" s="11" t="str">
        <f t="shared" si="379"/>
        <v>0. Unaware</v>
      </c>
      <c r="KS544" s="11" t="str">
        <f t="shared" si="380"/>
        <v>3. Responsive</v>
      </c>
      <c r="KT544" s="11" t="str">
        <f t="shared" si="381"/>
        <v>It did not develop any specific innovation</v>
      </c>
      <c r="KU544" s="11" t="str">
        <f t="shared" si="382"/>
        <v>Little or no advocacy</v>
      </c>
      <c r="KV544" s="11" t="str">
        <f t="shared" si="383"/>
        <v>It did not take tested solutions to scale</v>
      </c>
      <c r="KW544" s="11" t="str">
        <f t="shared" si="384"/>
        <v>Niger - Intervention WASH d'urgence pour les déplacés dans la Région de Diffa</v>
      </c>
      <c r="KX544" s="11" t="str">
        <f t="shared" si="385"/>
        <v>Intervention WASH d'urgence pour les déplacés dans la Région de Diffa</v>
      </c>
      <c r="KY544" s="11" t="str">
        <f t="shared" si="386"/>
        <v>Niger</v>
      </c>
      <c r="KZ544" s="12">
        <v>544</v>
      </c>
    </row>
    <row r="545" spans="1:312" x14ac:dyDescent="0.3">
      <c r="A545" s="12" t="s">
        <v>9043</v>
      </c>
      <c r="B545" s="12" t="s">
        <v>1596</v>
      </c>
      <c r="C545" s="12">
        <v>3221</v>
      </c>
      <c r="D545" s="12" t="s">
        <v>9138</v>
      </c>
      <c r="E545" s="277" t="str">
        <f t="shared" si="344"/>
        <v>Niger</v>
      </c>
      <c r="F545" s="12" t="s">
        <v>9139</v>
      </c>
      <c r="G545" s="12" t="s">
        <v>1738</v>
      </c>
      <c r="H545" s="11" t="s">
        <v>310</v>
      </c>
      <c r="I545" s="12" t="s">
        <v>3316</v>
      </c>
      <c r="J545" s="302" t="s">
        <v>14616</v>
      </c>
      <c r="K545" s="12"/>
      <c r="L545" s="12"/>
      <c r="M545" s="12"/>
      <c r="N545" s="12"/>
      <c r="O545" s="12"/>
      <c r="P545" s="12"/>
      <c r="Q545" s="12"/>
      <c r="R545" s="12"/>
      <c r="S545" s="12"/>
      <c r="T545" s="12"/>
      <c r="U545" s="12"/>
      <c r="V545" s="12"/>
      <c r="W545" s="12"/>
      <c r="X545" s="12"/>
      <c r="Y545" s="12"/>
      <c r="Z545" s="12"/>
      <c r="AA545" s="12"/>
      <c r="AB545" s="12"/>
      <c r="AC545" s="12"/>
      <c r="AD545" s="12"/>
      <c r="BD545" s="13">
        <v>42736</v>
      </c>
      <c r="BE545" s="13">
        <v>43830</v>
      </c>
      <c r="BF545" s="12"/>
      <c r="BG545" s="12" t="s">
        <v>749</v>
      </c>
      <c r="BH545" s="14">
        <v>1696441</v>
      </c>
      <c r="BI545" s="12" t="s">
        <v>9140</v>
      </c>
      <c r="BJ545" s="12" t="s">
        <v>9141</v>
      </c>
      <c r="BK545" s="12" t="s">
        <v>9142</v>
      </c>
      <c r="BL545" s="12" t="s">
        <v>9143</v>
      </c>
      <c r="BM545" s="12" t="s">
        <v>9144</v>
      </c>
      <c r="BN545" s="12" t="s">
        <v>9145</v>
      </c>
      <c r="BO545" s="12" t="s">
        <v>319</v>
      </c>
      <c r="BP545" s="12" t="s">
        <v>320</v>
      </c>
      <c r="BQ545" s="12" t="s">
        <v>319</v>
      </c>
      <c r="BR545" s="12" t="s">
        <v>9146</v>
      </c>
      <c r="BS545" s="12" t="s">
        <v>357</v>
      </c>
      <c r="BT545" s="12" t="s">
        <v>9147</v>
      </c>
      <c r="BU545" s="12" t="s">
        <v>9148</v>
      </c>
      <c r="BV545" s="14">
        <v>15015</v>
      </c>
      <c r="BW545" s="14">
        <v>22208</v>
      </c>
      <c r="BX545" s="14">
        <v>37223</v>
      </c>
      <c r="BY545" s="14">
        <v>14580</v>
      </c>
      <c r="BZ545" s="14">
        <v>13268</v>
      </c>
      <c r="CA545" s="14">
        <v>27848</v>
      </c>
      <c r="CB545" s="12" t="s">
        <v>9149</v>
      </c>
      <c r="CD545" s="14"/>
      <c r="CE545" s="14"/>
      <c r="CF545" s="14"/>
      <c r="CG545" s="14"/>
      <c r="CH545" s="14"/>
      <c r="CI545" s="14"/>
      <c r="CJ545" s="12"/>
      <c r="CK545" s="14"/>
      <c r="CL545" s="16"/>
      <c r="CM545" s="14"/>
      <c r="CN545" s="12"/>
      <c r="CO545" s="14"/>
      <c r="CP545" s="16"/>
      <c r="CQ545" s="14"/>
      <c r="CR545" s="12"/>
      <c r="CS545" s="14"/>
      <c r="CT545" s="16"/>
      <c r="CU545" s="14"/>
      <c r="CV545" s="12"/>
      <c r="CW545" s="14"/>
      <c r="CX545" s="16"/>
      <c r="CY545" s="14"/>
      <c r="CZ545" s="12"/>
      <c r="DA545" s="14"/>
      <c r="DB545" s="16"/>
      <c r="DC545" s="14"/>
      <c r="DD545" s="12"/>
      <c r="DE545" s="14"/>
      <c r="DF545" s="16"/>
      <c r="DG545" s="14"/>
      <c r="DH545" s="12"/>
      <c r="DI545" s="14"/>
      <c r="DJ545" s="16"/>
      <c r="DK545" s="14"/>
      <c r="DL545" s="12"/>
      <c r="DM545" s="14"/>
      <c r="DN545" s="16"/>
      <c r="DO545" s="14"/>
      <c r="DP545" s="12"/>
      <c r="DQ545" s="14"/>
      <c r="DR545" s="16"/>
      <c r="DS545" s="14"/>
      <c r="DT545" s="12"/>
      <c r="DU545" s="14"/>
      <c r="DV545" s="16"/>
      <c r="DW545" s="14"/>
      <c r="DX545" s="12"/>
      <c r="DY545" s="14"/>
      <c r="DZ545" s="16"/>
      <c r="EA545" s="14"/>
      <c r="EB545" s="12"/>
      <c r="EC545" s="14"/>
      <c r="ED545" s="16"/>
      <c r="EE545" s="14"/>
      <c r="EF545" s="12"/>
      <c r="EG545" s="12"/>
      <c r="EH545" s="14"/>
      <c r="EI545" s="16"/>
      <c r="EJ545" s="14"/>
      <c r="EK545" s="14">
        <v>5005</v>
      </c>
      <c r="EL545" s="14">
        <v>7403</v>
      </c>
      <c r="EM545" s="14">
        <v>12408</v>
      </c>
      <c r="EN545" s="14">
        <v>4860</v>
      </c>
      <c r="EO545" s="14">
        <v>4423</v>
      </c>
      <c r="EP545" s="14">
        <v>9283</v>
      </c>
      <c r="EQ545" s="12" t="s">
        <v>320</v>
      </c>
      <c r="ER545" s="14">
        <v>160</v>
      </c>
      <c r="ES545" s="16">
        <v>0.8</v>
      </c>
      <c r="ET545" s="14">
        <v>400</v>
      </c>
      <c r="EU545" s="12" t="s">
        <v>320</v>
      </c>
      <c r="EV545" s="14"/>
      <c r="EW545" s="16"/>
      <c r="EX545" s="14"/>
      <c r="EY545" s="12" t="s">
        <v>320</v>
      </c>
      <c r="EZ545" s="14">
        <v>300</v>
      </c>
      <c r="FA545" s="16">
        <v>0.4</v>
      </c>
      <c r="FB545" s="14">
        <v>1000</v>
      </c>
      <c r="FC545" s="12" t="s">
        <v>320</v>
      </c>
      <c r="FD545" s="14">
        <v>400</v>
      </c>
      <c r="FE545" s="16">
        <v>0.8</v>
      </c>
      <c r="FF545" s="14">
        <v>1200</v>
      </c>
      <c r="FG545" s="12" t="s">
        <v>320</v>
      </c>
      <c r="FH545" s="14">
        <v>3950</v>
      </c>
      <c r="FI545" s="16">
        <v>1</v>
      </c>
      <c r="FJ545" s="14">
        <v>5000</v>
      </c>
      <c r="FK545" s="12" t="s">
        <v>320</v>
      </c>
      <c r="FL545" s="14">
        <v>440</v>
      </c>
      <c r="FM545" s="16">
        <v>0.6</v>
      </c>
      <c r="FN545" s="14">
        <v>600</v>
      </c>
      <c r="FO545" s="12" t="s">
        <v>320</v>
      </c>
      <c r="FP545" s="14">
        <v>12403</v>
      </c>
      <c r="FQ545" s="16">
        <v>0.9</v>
      </c>
      <c r="FR545" s="14">
        <v>13000</v>
      </c>
      <c r="FS545" s="12"/>
      <c r="FT545" s="14"/>
      <c r="FU545" s="16"/>
      <c r="FV545" s="14"/>
      <c r="FW545" s="12"/>
      <c r="FX545" s="14"/>
      <c r="FY545" s="16"/>
      <c r="FZ545" s="14"/>
      <c r="GA545" s="12"/>
      <c r="GB545" s="14"/>
      <c r="GC545" s="16"/>
      <c r="GD545" s="14"/>
      <c r="GE545" s="12" t="s">
        <v>320</v>
      </c>
      <c r="GF545" s="14">
        <v>4000</v>
      </c>
      <c r="GG545" s="16">
        <v>0.6</v>
      </c>
      <c r="GH545" s="14">
        <v>5000</v>
      </c>
      <c r="GI545" s="11" t="s">
        <v>320</v>
      </c>
      <c r="GJ545" s="14">
        <v>1790</v>
      </c>
      <c r="GK545" s="16">
        <v>0.6</v>
      </c>
      <c r="GL545" s="14">
        <v>3580</v>
      </c>
      <c r="GM545" s="11" t="s">
        <v>320</v>
      </c>
      <c r="GN545" s="14">
        <v>1000</v>
      </c>
      <c r="GO545" s="16">
        <v>0.85</v>
      </c>
      <c r="GP545" s="14">
        <v>2000</v>
      </c>
      <c r="GQ545" s="12" t="s">
        <v>320</v>
      </c>
      <c r="GR545" s="14">
        <v>790</v>
      </c>
      <c r="GS545" s="16">
        <v>0.95</v>
      </c>
      <c r="GT545" s="14">
        <v>4000</v>
      </c>
      <c r="GU545" s="12" t="s">
        <v>320</v>
      </c>
      <c r="GV545" s="14">
        <v>395</v>
      </c>
      <c r="GW545" s="16">
        <v>0.8</v>
      </c>
      <c r="GX545" s="14">
        <v>4000</v>
      </c>
      <c r="GY545" s="11" t="s">
        <v>320</v>
      </c>
      <c r="GZ545" s="14">
        <v>3950</v>
      </c>
      <c r="HA545" s="16">
        <v>1</v>
      </c>
      <c r="HB545" s="14">
        <v>7900</v>
      </c>
      <c r="HC545" s="12"/>
      <c r="HD545" s="12"/>
      <c r="HE545" s="14"/>
      <c r="HF545" s="16"/>
      <c r="HG545" s="14"/>
      <c r="HH545" s="12" t="s">
        <v>319</v>
      </c>
      <c r="HI545" s="12"/>
      <c r="HJ545" s="12"/>
      <c r="HK545" s="12" t="s">
        <v>320</v>
      </c>
      <c r="HL545" s="12" t="s">
        <v>319</v>
      </c>
      <c r="HM545" s="12"/>
      <c r="HN545" s="12"/>
      <c r="HO545" s="12" t="s">
        <v>9150</v>
      </c>
      <c r="HP545" s="12" t="s">
        <v>453</v>
      </c>
      <c r="HQ545" s="12" t="s">
        <v>320</v>
      </c>
      <c r="HR545" s="12"/>
      <c r="HS545" s="12" t="s">
        <v>320</v>
      </c>
      <c r="HT545" s="12" t="s">
        <v>320</v>
      </c>
      <c r="HU545" s="12" t="s">
        <v>320</v>
      </c>
      <c r="HV545" s="12" t="s">
        <v>320</v>
      </c>
      <c r="HW545" s="12" t="s">
        <v>319</v>
      </c>
      <c r="HX545" s="12"/>
      <c r="HY545" s="12"/>
      <c r="HZ545" s="12" t="s">
        <v>331</v>
      </c>
      <c r="IA545" s="12" t="s">
        <v>9151</v>
      </c>
      <c r="IB545" s="12" t="s">
        <v>396</v>
      </c>
      <c r="IC545" s="12" t="s">
        <v>9152</v>
      </c>
      <c r="ID545" s="12"/>
      <c r="IE545" s="12" t="s">
        <v>335</v>
      </c>
      <c r="IF545" s="12" t="s">
        <v>320</v>
      </c>
      <c r="IG545" s="12" t="s">
        <v>320</v>
      </c>
      <c r="IH545" s="12" t="s">
        <v>320</v>
      </c>
      <c r="II545" s="12" t="s">
        <v>320</v>
      </c>
      <c r="IJ545" s="12" t="str">
        <f t="shared" si="345"/>
        <v>2. Sensitive</v>
      </c>
      <c r="IK545" s="12">
        <f t="shared" si="346"/>
        <v>4</v>
      </c>
      <c r="IL545" s="12" t="s">
        <v>336</v>
      </c>
      <c r="IM545" s="12" t="s">
        <v>320</v>
      </c>
      <c r="IN545" s="12" t="s">
        <v>320</v>
      </c>
      <c r="IO545" s="12" t="s">
        <v>320</v>
      </c>
      <c r="IP545" s="12" t="s">
        <v>320</v>
      </c>
      <c r="IQ545" s="12" t="str">
        <f t="shared" si="347"/>
        <v>2. Accommodating</v>
      </c>
      <c r="IR545" s="12">
        <f t="shared" si="348"/>
        <v>4</v>
      </c>
      <c r="IS545" s="12" t="s">
        <v>337</v>
      </c>
      <c r="IT545" s="12" t="s">
        <v>320</v>
      </c>
      <c r="IU545" s="12" t="s">
        <v>320</v>
      </c>
      <c r="IV545" s="12" t="s">
        <v>320</v>
      </c>
      <c r="IW545" s="11" t="str">
        <f t="shared" si="349"/>
        <v>2. Sensitive</v>
      </c>
      <c r="IX545" s="12">
        <f t="shared" si="350"/>
        <v>3</v>
      </c>
      <c r="IY545" s="11" t="s">
        <v>758</v>
      </c>
      <c r="IZ545" s="12" t="s">
        <v>457</v>
      </c>
      <c r="JA545" s="12">
        <v>4</v>
      </c>
      <c r="JB545" s="11" t="s">
        <v>433</v>
      </c>
      <c r="JC545" s="11" t="s">
        <v>687</v>
      </c>
      <c r="JD545" s="11" t="s">
        <v>624</v>
      </c>
      <c r="JE545" s="12" t="s">
        <v>340</v>
      </c>
      <c r="JF545" s="12" t="s">
        <v>9153</v>
      </c>
      <c r="JG545" s="12" t="s">
        <v>9154</v>
      </c>
      <c r="JH545" s="12" t="s">
        <v>9155</v>
      </c>
      <c r="JI545" s="12" t="s">
        <v>9156</v>
      </c>
      <c r="JJ545" s="12" t="s">
        <v>9157</v>
      </c>
      <c r="JK545" s="12" t="s">
        <v>9158</v>
      </c>
      <c r="JL545" s="12" t="s">
        <v>9159</v>
      </c>
      <c r="JM545" s="12" t="s">
        <v>9160</v>
      </c>
      <c r="JN545" s="12"/>
      <c r="JO545" s="12"/>
      <c r="JP545" s="15">
        <f t="shared" si="351"/>
        <v>12408</v>
      </c>
      <c r="JQ545" s="15">
        <f t="shared" si="352"/>
        <v>9283</v>
      </c>
      <c r="JR545" s="279">
        <f t="shared" si="353"/>
        <v>0.74814635718891043</v>
      </c>
      <c r="JS545" s="17">
        <f t="shared" si="354"/>
        <v>0.40336879432624112</v>
      </c>
      <c r="JT545" s="18">
        <f t="shared" si="355"/>
        <v>0.52353764946676717</v>
      </c>
      <c r="JU545" s="280">
        <f t="shared" si="356"/>
        <v>5005</v>
      </c>
      <c r="JV545" s="280">
        <f t="shared" si="357"/>
        <v>4860</v>
      </c>
      <c r="JW545" s="319" t="str">
        <f t="shared" si="358"/>
        <v/>
      </c>
      <c r="JX545" s="15">
        <f t="shared" si="359"/>
        <v>0</v>
      </c>
      <c r="JY545" s="15">
        <f t="shared" si="360"/>
        <v>0</v>
      </c>
      <c r="JZ545" s="19" t="str">
        <f t="shared" si="361"/>
        <v/>
      </c>
      <c r="KA545" s="52">
        <f t="shared" si="362"/>
        <v>1</v>
      </c>
      <c r="KB545" s="15">
        <f t="shared" si="363"/>
        <v>12403</v>
      </c>
      <c r="KC545" s="15">
        <f t="shared" si="364"/>
        <v>13000</v>
      </c>
      <c r="KD545" s="20">
        <f t="shared" si="365"/>
        <v>1.0481335160848182</v>
      </c>
      <c r="KE545" s="52">
        <f t="shared" si="366"/>
        <v>1</v>
      </c>
      <c r="KF545" s="15">
        <f t="shared" si="367"/>
        <v>790</v>
      </c>
      <c r="KG545" s="15">
        <f t="shared" si="368"/>
        <v>4000</v>
      </c>
      <c r="KH545" s="21">
        <f t="shared" si="369"/>
        <v>5.0632911392405067</v>
      </c>
      <c r="KI545" s="52" t="str">
        <f t="shared" si="370"/>
        <v/>
      </c>
      <c r="KJ545" s="15">
        <f t="shared" si="371"/>
        <v>0</v>
      </c>
      <c r="KK545" s="15">
        <f t="shared" si="372"/>
        <v>0</v>
      </c>
      <c r="KL545" s="19" t="str">
        <f t="shared" si="373"/>
        <v/>
      </c>
      <c r="KM545" s="52">
        <f t="shared" si="374"/>
        <v>1</v>
      </c>
      <c r="KN545" s="22">
        <f t="shared" si="375"/>
        <v>3950</v>
      </c>
      <c r="KO545" s="22">
        <f t="shared" si="376"/>
        <v>7900</v>
      </c>
      <c r="KP545" s="19">
        <f t="shared" si="377"/>
        <v>2</v>
      </c>
      <c r="KQ545" s="11" t="str">
        <f t="shared" si="378"/>
        <v>2. Sensitive</v>
      </c>
      <c r="KR545" s="11" t="str">
        <f t="shared" si="379"/>
        <v>2. Accommodating</v>
      </c>
      <c r="KS545" s="11" t="str">
        <f t="shared" si="380"/>
        <v>2. Sensitive</v>
      </c>
      <c r="KT545" s="11" t="str">
        <f t="shared" si="381"/>
        <v>It tested new ways for fighting poverty and measured results of innovation</v>
      </c>
      <c r="KU545" s="11" t="str">
        <f t="shared" si="382"/>
        <v>Intensive advocacy</v>
      </c>
      <c r="KV545" s="11" t="str">
        <f t="shared" si="383"/>
        <v>It linked and worked with strategic alliances and partners to take tested and effective solutions to scale</v>
      </c>
      <c r="KW545" s="11" t="str">
        <f t="shared" si="384"/>
        <v>Niger - Les 1000 premiers jours donner à un enfant le meilleur départ dans la vie en améliorant la santé maternelle et infantile et la sécurité alimentaire des ménages vulnérables dans les régions éloignées au Niger.</v>
      </c>
      <c r="KX545" s="11" t="str">
        <f t="shared" si="385"/>
        <v>Les 1000 premiers jours donner à un enfant le meilleur départ dans la vie en améliorant la santé maternelle et infantile et la sécurité alimentaire des ménages vulnérables dans les régions éloignées au Niger.</v>
      </c>
      <c r="KY545" s="11" t="str">
        <f t="shared" si="386"/>
        <v>Niger</v>
      </c>
      <c r="KZ545" s="12">
        <v>545</v>
      </c>
    </row>
    <row r="546" spans="1:312" x14ac:dyDescent="0.3">
      <c r="A546" s="12" t="s">
        <v>9043</v>
      </c>
      <c r="B546" s="12" t="s">
        <v>1596</v>
      </c>
      <c r="C546" s="12">
        <v>3218</v>
      </c>
      <c r="D546" s="12" t="s">
        <v>9083</v>
      </c>
      <c r="E546" s="277" t="str">
        <f t="shared" si="344"/>
        <v>Niger</v>
      </c>
      <c r="F546" s="12" t="s">
        <v>9084</v>
      </c>
      <c r="G546" s="12" t="s">
        <v>1853</v>
      </c>
      <c r="H546" s="11" t="s">
        <v>310</v>
      </c>
      <c r="I546" s="12" t="s">
        <v>1854</v>
      </c>
      <c r="J546" s="281" t="s">
        <v>4495</v>
      </c>
      <c r="K546" s="12"/>
      <c r="L546" s="12"/>
      <c r="M546" s="12"/>
      <c r="N546" s="12"/>
      <c r="O546" s="12"/>
      <c r="P546" s="12"/>
      <c r="Q546" s="12"/>
      <c r="R546" s="12"/>
      <c r="S546" s="12"/>
      <c r="T546" s="12"/>
      <c r="U546" s="12"/>
      <c r="V546" s="12"/>
      <c r="W546" s="12"/>
      <c r="X546" s="12"/>
      <c r="Y546" s="12"/>
      <c r="Z546" s="12"/>
      <c r="AA546" s="12"/>
      <c r="AB546" s="12"/>
      <c r="AC546" s="12"/>
      <c r="AD546" s="12"/>
      <c r="BD546" s="13">
        <v>41640</v>
      </c>
      <c r="BE546" s="13">
        <v>42916</v>
      </c>
      <c r="BF546" s="12"/>
      <c r="BG546" s="12" t="s">
        <v>312</v>
      </c>
      <c r="BH546" s="14"/>
      <c r="BI546" s="12" t="s">
        <v>1855</v>
      </c>
      <c r="BJ546" s="12" t="s">
        <v>1856</v>
      </c>
      <c r="BK546" s="12" t="s">
        <v>1857</v>
      </c>
      <c r="BL546" s="12" t="s">
        <v>1858</v>
      </c>
      <c r="BM546" s="12" t="s">
        <v>1834</v>
      </c>
      <c r="BN546" s="12" t="s">
        <v>1859</v>
      </c>
      <c r="BO546" s="12" t="s">
        <v>320</v>
      </c>
      <c r="BP546" s="12" t="s">
        <v>320</v>
      </c>
      <c r="BQ546" s="12" t="s">
        <v>320</v>
      </c>
      <c r="BR546" s="12" t="s">
        <v>9085</v>
      </c>
      <c r="BS546" s="12" t="s">
        <v>322</v>
      </c>
      <c r="BT546" s="12" t="s">
        <v>322</v>
      </c>
      <c r="BU546" s="12" t="s">
        <v>9086</v>
      </c>
      <c r="BV546" s="14">
        <v>4000</v>
      </c>
      <c r="BW546" s="14">
        <v>4000</v>
      </c>
      <c r="BX546" s="14">
        <v>8000</v>
      </c>
      <c r="BY546" s="14">
        <v>2076251</v>
      </c>
      <c r="BZ546" s="14">
        <v>1994830</v>
      </c>
      <c r="CA546" s="14">
        <v>4071081</v>
      </c>
      <c r="CB546" s="12" t="s">
        <v>1863</v>
      </c>
      <c r="CD546" s="14"/>
      <c r="CE546" s="14"/>
      <c r="CF546" s="14"/>
      <c r="CG546" s="14"/>
      <c r="CH546" s="14"/>
      <c r="CI546" s="14"/>
      <c r="CJ546" s="12"/>
      <c r="CK546" s="14"/>
      <c r="CL546" s="16"/>
      <c r="CM546" s="14"/>
      <c r="CN546" s="12"/>
      <c r="CO546" s="14"/>
      <c r="CP546" s="16"/>
      <c r="CQ546" s="14"/>
      <c r="CR546" s="12"/>
      <c r="CS546" s="14"/>
      <c r="CT546" s="16"/>
      <c r="CU546" s="14"/>
      <c r="CV546" s="12"/>
      <c r="CW546" s="14"/>
      <c r="CX546" s="16"/>
      <c r="CY546" s="14"/>
      <c r="CZ546" s="12"/>
      <c r="DA546" s="14"/>
      <c r="DB546" s="16"/>
      <c r="DC546" s="14"/>
      <c r="DD546" s="12"/>
      <c r="DE546" s="14"/>
      <c r="DF546" s="16"/>
      <c r="DG546" s="14"/>
      <c r="DH546" s="12"/>
      <c r="DI546" s="14"/>
      <c r="DJ546" s="16"/>
      <c r="DK546" s="14"/>
      <c r="DL546" s="12" t="s">
        <v>320</v>
      </c>
      <c r="DM546" s="14"/>
      <c r="DN546" s="16"/>
      <c r="DO546" s="14"/>
      <c r="DP546" s="12"/>
      <c r="DQ546" s="14"/>
      <c r="DR546" s="16"/>
      <c r="DS546" s="14"/>
      <c r="DT546" s="12"/>
      <c r="DU546" s="14"/>
      <c r="DV546" s="16"/>
      <c r="DW546" s="14"/>
      <c r="DX546" s="12"/>
      <c r="DY546" s="14"/>
      <c r="DZ546" s="16"/>
      <c r="EA546" s="14"/>
      <c r="EB546" s="12"/>
      <c r="EC546" s="14"/>
      <c r="ED546" s="16"/>
      <c r="EE546" s="14"/>
      <c r="EF546" s="12"/>
      <c r="EG546" s="12"/>
      <c r="EH546" s="14"/>
      <c r="EI546" s="16"/>
      <c r="EJ546" s="14"/>
      <c r="EK546" s="14">
        <v>5293</v>
      </c>
      <c r="EL546" s="14">
        <v>5825</v>
      </c>
      <c r="EM546" s="14">
        <v>11118</v>
      </c>
      <c r="EN546" s="14">
        <v>2034330</v>
      </c>
      <c r="EO546" s="14">
        <v>1954552</v>
      </c>
      <c r="EP546" s="14">
        <v>3988882</v>
      </c>
      <c r="EQ546" s="12" t="s">
        <v>320</v>
      </c>
      <c r="ER546" s="14">
        <v>11118</v>
      </c>
      <c r="ES546" s="16">
        <v>0.51</v>
      </c>
      <c r="ET546" s="14">
        <v>3988882</v>
      </c>
      <c r="EU546" s="12"/>
      <c r="EV546" s="14"/>
      <c r="EW546" s="16"/>
      <c r="EX546" s="14"/>
      <c r="EY546" s="12" t="s">
        <v>320</v>
      </c>
      <c r="EZ546" s="14">
        <v>11118</v>
      </c>
      <c r="FA546" s="16">
        <v>0.51</v>
      </c>
      <c r="FB546" s="14">
        <v>3988882</v>
      </c>
      <c r="FC546" s="12"/>
      <c r="FD546" s="14"/>
      <c r="FE546" s="16"/>
      <c r="FF546" s="14"/>
      <c r="FG546" s="12"/>
      <c r="FH546" s="14"/>
      <c r="FI546" s="16"/>
      <c r="FJ546" s="14"/>
      <c r="FK546" s="12"/>
      <c r="FL546" s="14"/>
      <c r="FM546" s="16"/>
      <c r="FN546" s="14"/>
      <c r="FO546" s="12"/>
      <c r="FP546" s="14"/>
      <c r="FQ546" s="16"/>
      <c r="FR546" s="14"/>
      <c r="FS546" s="12"/>
      <c r="FT546" s="14"/>
      <c r="FU546" s="16"/>
      <c r="FV546" s="14"/>
      <c r="FW546" s="12"/>
      <c r="FX546" s="14"/>
      <c r="FY546" s="16"/>
      <c r="FZ546" s="14"/>
      <c r="GA546" s="12"/>
      <c r="GB546" s="14"/>
      <c r="GC546" s="16"/>
      <c r="GD546" s="14"/>
      <c r="GE546" s="12"/>
      <c r="GF546" s="14"/>
      <c r="GG546" s="16"/>
      <c r="GH546" s="14"/>
      <c r="GI546" s="11" t="s">
        <v>320</v>
      </c>
      <c r="GJ546" s="14">
        <v>11118</v>
      </c>
      <c r="GK546" s="16">
        <v>0.51</v>
      </c>
      <c r="GL546" s="14">
        <v>3988882</v>
      </c>
      <c r="GM546" s="11" t="s">
        <v>320</v>
      </c>
      <c r="GN546" s="14">
        <v>11118</v>
      </c>
      <c r="GO546" s="16">
        <v>0.51</v>
      </c>
      <c r="GP546" s="14">
        <v>3988882</v>
      </c>
      <c r="GQ546" s="12"/>
      <c r="GR546" s="14"/>
      <c r="GS546" s="16"/>
      <c r="GT546" s="14"/>
      <c r="GU546" s="12"/>
      <c r="GV546" s="14"/>
      <c r="GW546" s="16"/>
      <c r="GX546" s="14"/>
      <c r="GY546" s="12"/>
      <c r="GZ546" s="14"/>
      <c r="HA546" s="16"/>
      <c r="HB546" s="14"/>
      <c r="HC546" s="12"/>
      <c r="HD546" s="12"/>
      <c r="HE546" s="14"/>
      <c r="HF546" s="16"/>
      <c r="HG546" s="14"/>
      <c r="HH546" s="12" t="s">
        <v>320</v>
      </c>
      <c r="HI546" s="12" t="s">
        <v>451</v>
      </c>
      <c r="HJ546" s="12">
        <v>2017</v>
      </c>
      <c r="HK546" s="12"/>
      <c r="HL546" s="12"/>
      <c r="HM546" s="12"/>
      <c r="HN546" s="12"/>
      <c r="HO546" s="12" t="s">
        <v>9087</v>
      </c>
      <c r="HP546" s="12" t="s">
        <v>453</v>
      </c>
      <c r="HQ546" s="12" t="s">
        <v>320</v>
      </c>
      <c r="HR546" s="12" t="s">
        <v>320</v>
      </c>
      <c r="HS546" s="12" t="s">
        <v>320</v>
      </c>
      <c r="HT546" s="12" t="s">
        <v>320</v>
      </c>
      <c r="HU546" s="12" t="s">
        <v>320</v>
      </c>
      <c r="HV546" s="12" t="s">
        <v>320</v>
      </c>
      <c r="HW546" s="12" t="s">
        <v>320</v>
      </c>
      <c r="HX546" s="12"/>
      <c r="HY546" s="12"/>
      <c r="HZ546" s="11" t="s">
        <v>394</v>
      </c>
      <c r="IA546" s="12"/>
      <c r="IB546" s="12" t="s">
        <v>396</v>
      </c>
      <c r="IC546" s="12"/>
      <c r="ID546" s="11" t="s">
        <v>364</v>
      </c>
      <c r="IE546" s="12" t="s">
        <v>335</v>
      </c>
      <c r="IF546" s="12" t="s">
        <v>320</v>
      </c>
      <c r="IG546" s="12" t="s">
        <v>320</v>
      </c>
      <c r="IH546" s="12" t="s">
        <v>320</v>
      </c>
      <c r="II546" s="12" t="s">
        <v>320</v>
      </c>
      <c r="IJ546" s="12" t="str">
        <f t="shared" si="345"/>
        <v>2. Sensitive</v>
      </c>
      <c r="IK546" s="12">
        <f t="shared" si="346"/>
        <v>4</v>
      </c>
      <c r="IL546" s="11" t="s">
        <v>621</v>
      </c>
      <c r="IM546" s="12" t="s">
        <v>320</v>
      </c>
      <c r="IN546" s="12" t="s">
        <v>320</v>
      </c>
      <c r="IO546" s="12" t="s">
        <v>320</v>
      </c>
      <c r="IP546" s="12" t="s">
        <v>320</v>
      </c>
      <c r="IQ546" s="12" t="str">
        <f t="shared" si="347"/>
        <v>4. Transformational</v>
      </c>
      <c r="IR546" s="12">
        <f t="shared" si="348"/>
        <v>4</v>
      </c>
      <c r="IS546" s="12" t="s">
        <v>337</v>
      </c>
      <c r="IT546" s="12" t="s">
        <v>319</v>
      </c>
      <c r="IU546" s="12" t="s">
        <v>320</v>
      </c>
      <c r="IV546" s="12" t="s">
        <v>320</v>
      </c>
      <c r="IW546" s="11" t="str">
        <f t="shared" si="349"/>
        <v>1. Neutral</v>
      </c>
      <c r="IX546" s="12">
        <f t="shared" si="350"/>
        <v>2</v>
      </c>
      <c r="IY546" s="11" t="s">
        <v>419</v>
      </c>
      <c r="IZ546" s="12" t="s">
        <v>457</v>
      </c>
      <c r="JA546" s="12">
        <v>3</v>
      </c>
      <c r="JB546" s="11" t="s">
        <v>433</v>
      </c>
      <c r="JC546" s="12" t="s">
        <v>651</v>
      </c>
      <c r="JD546" s="11" t="s">
        <v>1113</v>
      </c>
      <c r="JE546" s="12" t="s">
        <v>340</v>
      </c>
      <c r="JF546" s="12"/>
      <c r="JG546" s="12" t="s">
        <v>1865</v>
      </c>
      <c r="JH546" s="12" t="s">
        <v>9088</v>
      </c>
      <c r="JI546" s="12" t="s">
        <v>9089</v>
      </c>
      <c r="JJ546" s="12" t="s">
        <v>9090</v>
      </c>
      <c r="JK546" s="12" t="s">
        <v>9091</v>
      </c>
      <c r="JL546" s="12" t="s">
        <v>9092</v>
      </c>
      <c r="JM546" s="12" t="s">
        <v>9093</v>
      </c>
      <c r="JN546" s="12"/>
      <c r="JO546" s="12"/>
      <c r="JP546" s="15">
        <f t="shared" si="351"/>
        <v>11118</v>
      </c>
      <c r="JQ546" s="15">
        <f t="shared" si="352"/>
        <v>3988882</v>
      </c>
      <c r="JR546" s="279">
        <f t="shared" si="353"/>
        <v>358.77693829825506</v>
      </c>
      <c r="JS546" s="17">
        <f t="shared" si="354"/>
        <v>0.47607483360316605</v>
      </c>
      <c r="JT546" s="18">
        <f t="shared" si="355"/>
        <v>0.51000004512542607</v>
      </c>
      <c r="JU546" s="280">
        <f t="shared" si="356"/>
        <v>5293</v>
      </c>
      <c r="JV546" s="280">
        <f t="shared" si="357"/>
        <v>2034330</v>
      </c>
      <c r="JW546" s="319">
        <f t="shared" si="358"/>
        <v>1</v>
      </c>
      <c r="JX546" s="15">
        <f t="shared" si="359"/>
        <v>0</v>
      </c>
      <c r="JY546" s="15">
        <f t="shared" si="360"/>
        <v>0</v>
      </c>
      <c r="JZ546" s="19" t="str">
        <f t="shared" si="361"/>
        <v/>
      </c>
      <c r="KA546" s="52">
        <f t="shared" si="362"/>
        <v>1</v>
      </c>
      <c r="KB546" s="15">
        <f t="shared" si="363"/>
        <v>11118</v>
      </c>
      <c r="KC546" s="15">
        <f t="shared" si="364"/>
        <v>3988882</v>
      </c>
      <c r="KD546" s="20">
        <f t="shared" si="365"/>
        <v>358.77693829825506</v>
      </c>
      <c r="KE546" s="52" t="str">
        <f t="shared" si="366"/>
        <v/>
      </c>
      <c r="KF546" s="15">
        <f t="shared" si="367"/>
        <v>0</v>
      </c>
      <c r="KG546" s="15">
        <f t="shared" si="368"/>
        <v>0</v>
      </c>
      <c r="KH546" s="21" t="str">
        <f t="shared" si="369"/>
        <v/>
      </c>
      <c r="KI546" s="52" t="str">
        <f t="shared" si="370"/>
        <v/>
      </c>
      <c r="KJ546" s="15">
        <f t="shared" si="371"/>
        <v>0</v>
      </c>
      <c r="KK546" s="15">
        <f t="shared" si="372"/>
        <v>0</v>
      </c>
      <c r="KL546" s="19" t="str">
        <f t="shared" si="373"/>
        <v/>
      </c>
      <c r="KM546" s="52" t="str">
        <f t="shared" si="374"/>
        <v/>
      </c>
      <c r="KN546" s="22">
        <f t="shared" si="375"/>
        <v>0</v>
      </c>
      <c r="KO546" s="22">
        <f t="shared" si="376"/>
        <v>0</v>
      </c>
      <c r="KP546" s="19" t="str">
        <f t="shared" si="377"/>
        <v/>
      </c>
      <c r="KQ546" s="11" t="str">
        <f t="shared" si="378"/>
        <v>2. Sensitive</v>
      </c>
      <c r="KR546" s="11" t="str">
        <f t="shared" si="379"/>
        <v>4. Transformational</v>
      </c>
      <c r="KS546" s="11" t="str">
        <f t="shared" si="380"/>
        <v>1. Neutral</v>
      </c>
      <c r="KT546" s="11" t="str">
        <f t="shared" si="381"/>
        <v>It tested new ways for fighting poverty, but did not measure results of innovation</v>
      </c>
      <c r="KU546" s="11" t="str">
        <f t="shared" si="382"/>
        <v>Intensive advocacy</v>
      </c>
      <c r="KV546" s="11" t="str">
        <f t="shared" si="383"/>
        <v>It linked and worked with strategic alliances and partners to take tested and effective solutions to scale</v>
      </c>
      <c r="KW546" s="11" t="str">
        <f t="shared" si="384"/>
        <v>Niger - L'insécurité foncière</v>
      </c>
      <c r="KX546" s="11" t="str">
        <f t="shared" si="385"/>
        <v>L'insécurité foncière</v>
      </c>
      <c r="KY546" s="11" t="str">
        <f t="shared" si="386"/>
        <v>Niger</v>
      </c>
      <c r="KZ546" s="12">
        <v>546</v>
      </c>
    </row>
    <row r="547" spans="1:312" x14ac:dyDescent="0.3">
      <c r="A547" s="12" t="s">
        <v>9043</v>
      </c>
      <c r="B547" s="12" t="s">
        <v>1596</v>
      </c>
      <c r="C547" s="12">
        <v>3211</v>
      </c>
      <c r="D547" s="12" t="s">
        <v>9094</v>
      </c>
      <c r="E547" s="277" t="str">
        <f t="shared" si="344"/>
        <v>Niger</v>
      </c>
      <c r="F547" s="12" t="s">
        <v>9095</v>
      </c>
      <c r="G547" s="12" t="s">
        <v>1853</v>
      </c>
      <c r="H547" s="11" t="s">
        <v>310</v>
      </c>
      <c r="I547" s="12" t="s">
        <v>1854</v>
      </c>
      <c r="J547" s="281" t="s">
        <v>4495</v>
      </c>
      <c r="K547" s="12"/>
      <c r="L547" s="12"/>
      <c r="M547" s="12"/>
      <c r="N547" s="12"/>
      <c r="O547" s="12"/>
      <c r="P547" s="12"/>
      <c r="Q547" s="12"/>
      <c r="R547" s="12"/>
      <c r="S547" s="12"/>
      <c r="T547" s="12"/>
      <c r="U547" s="12"/>
      <c r="V547" s="12"/>
      <c r="W547" s="12"/>
      <c r="X547" s="12"/>
      <c r="Y547" s="12"/>
      <c r="Z547" s="12"/>
      <c r="AA547" s="12"/>
      <c r="AB547" s="12"/>
      <c r="AC547" s="12"/>
      <c r="AD547" s="12"/>
      <c r="BD547" s="13">
        <v>41640</v>
      </c>
      <c r="BE547" s="13">
        <v>42735</v>
      </c>
      <c r="BF547" s="12"/>
      <c r="BG547" s="12" t="s">
        <v>312</v>
      </c>
      <c r="BH547" s="14">
        <v>829983.305263157</v>
      </c>
      <c r="BI547" s="12" t="s">
        <v>1855</v>
      </c>
      <c r="BJ547" s="12" t="s">
        <v>1856</v>
      </c>
      <c r="BK547" s="12" t="s">
        <v>1857</v>
      </c>
      <c r="BL547" s="12" t="s">
        <v>1858</v>
      </c>
      <c r="BM547" s="12" t="s">
        <v>354</v>
      </c>
      <c r="BN547" s="12" t="s">
        <v>1859</v>
      </c>
      <c r="BO547" s="12" t="s">
        <v>319</v>
      </c>
      <c r="BP547" s="12" t="s">
        <v>320</v>
      </c>
      <c r="BQ547" s="12" t="s">
        <v>319</v>
      </c>
      <c r="BR547" s="12" t="s">
        <v>9096</v>
      </c>
      <c r="BS547" s="12" t="s">
        <v>615</v>
      </c>
      <c r="BT547" s="12" t="s">
        <v>9097</v>
      </c>
      <c r="BU547" s="12" t="s">
        <v>9098</v>
      </c>
      <c r="BV547" s="14">
        <v>4900</v>
      </c>
      <c r="BW547" s="14">
        <v>19600</v>
      </c>
      <c r="BX547" s="14">
        <v>24500</v>
      </c>
      <c r="BY547" s="14">
        <v>29400</v>
      </c>
      <c r="BZ547" s="14">
        <v>117600</v>
      </c>
      <c r="CA547" s="14">
        <v>147000</v>
      </c>
      <c r="CB547" s="12" t="s">
        <v>9099</v>
      </c>
      <c r="CD547" s="14"/>
      <c r="CE547" s="14"/>
      <c r="CF547" s="14"/>
      <c r="CG547" s="14"/>
      <c r="CH547" s="14"/>
      <c r="CI547" s="14"/>
      <c r="CJ547" s="12"/>
      <c r="CK547" s="14"/>
      <c r="CL547" s="16"/>
      <c r="CM547" s="14"/>
      <c r="CN547" s="12"/>
      <c r="CO547" s="14"/>
      <c r="CP547" s="16"/>
      <c r="CQ547" s="14"/>
      <c r="CR547" s="12"/>
      <c r="CS547" s="14"/>
      <c r="CT547" s="16"/>
      <c r="CU547" s="14"/>
      <c r="CV547" s="12"/>
      <c r="CW547" s="14"/>
      <c r="CX547" s="16"/>
      <c r="CY547" s="14"/>
      <c r="CZ547" s="12"/>
      <c r="DA547" s="14"/>
      <c r="DB547" s="16"/>
      <c r="DC547" s="14"/>
      <c r="DD547" s="12"/>
      <c r="DE547" s="14"/>
      <c r="DF547" s="16"/>
      <c r="DG547" s="14"/>
      <c r="DH547" s="12"/>
      <c r="DI547" s="14"/>
      <c r="DJ547" s="16"/>
      <c r="DK547" s="14"/>
      <c r="DL547" s="12"/>
      <c r="DM547" s="14"/>
      <c r="DN547" s="16"/>
      <c r="DO547" s="14"/>
      <c r="DP547" s="12"/>
      <c r="DQ547" s="14"/>
      <c r="DR547" s="16"/>
      <c r="DS547" s="14"/>
      <c r="DT547" s="12"/>
      <c r="DU547" s="14"/>
      <c r="DV547" s="16"/>
      <c r="DW547" s="14"/>
      <c r="DX547" s="12"/>
      <c r="DY547" s="14"/>
      <c r="DZ547" s="16"/>
      <c r="EA547" s="14"/>
      <c r="EB547" s="12"/>
      <c r="EC547" s="14"/>
      <c r="ED547" s="16"/>
      <c r="EE547" s="14"/>
      <c r="EF547" s="12"/>
      <c r="EG547" s="12"/>
      <c r="EH547" s="14"/>
      <c r="EI547" s="16"/>
      <c r="EJ547" s="14"/>
      <c r="EK547" s="14">
        <v>5</v>
      </c>
      <c r="EL547" s="14">
        <v>78</v>
      </c>
      <c r="EM547" s="14">
        <v>83</v>
      </c>
      <c r="EN547" s="14">
        <v>1957</v>
      </c>
      <c r="EO547" s="14">
        <v>7829</v>
      </c>
      <c r="EP547" s="14">
        <v>9786</v>
      </c>
      <c r="EQ547" s="12" t="s">
        <v>320</v>
      </c>
      <c r="ER547" s="14">
        <v>1631</v>
      </c>
      <c r="ES547" s="16">
        <v>0.2</v>
      </c>
      <c r="ET547" s="14">
        <v>9786</v>
      </c>
      <c r="EU547" s="12"/>
      <c r="EV547" s="14"/>
      <c r="EW547" s="16"/>
      <c r="EX547" s="14"/>
      <c r="EY547" s="12"/>
      <c r="EZ547" s="14"/>
      <c r="FA547" s="16"/>
      <c r="FB547" s="14"/>
      <c r="FC547" s="12"/>
      <c r="FD547" s="14"/>
      <c r="FE547" s="16"/>
      <c r="FF547" s="14"/>
      <c r="FG547" s="12" t="s">
        <v>320</v>
      </c>
      <c r="FH547" s="14">
        <v>1631</v>
      </c>
      <c r="FI547" s="16">
        <v>0.2</v>
      </c>
      <c r="FJ547" s="14">
        <v>9786</v>
      </c>
      <c r="FK547" s="12"/>
      <c r="FL547" s="14"/>
      <c r="FM547" s="16"/>
      <c r="FN547" s="14"/>
      <c r="FO547" s="12" t="s">
        <v>320</v>
      </c>
      <c r="FP547" s="14">
        <v>1631</v>
      </c>
      <c r="FQ547" s="16">
        <v>0.2</v>
      </c>
      <c r="FR547" s="14">
        <v>9786</v>
      </c>
      <c r="FS547" s="12"/>
      <c r="FT547" s="14"/>
      <c r="FU547" s="16"/>
      <c r="FV547" s="14"/>
      <c r="FW547" s="12"/>
      <c r="FX547" s="14"/>
      <c r="FY547" s="16"/>
      <c r="FZ547" s="14"/>
      <c r="GA547" s="12"/>
      <c r="GB547" s="14"/>
      <c r="GC547" s="16"/>
      <c r="GD547" s="14"/>
      <c r="GE547" s="12"/>
      <c r="GF547" s="14"/>
      <c r="GG547" s="16"/>
      <c r="GH547" s="14"/>
      <c r="GI547" s="12"/>
      <c r="GJ547" s="14"/>
      <c r="GK547" s="16"/>
      <c r="GL547" s="14"/>
      <c r="GM547" s="11" t="s">
        <v>320</v>
      </c>
      <c r="GN547" s="14">
        <v>30</v>
      </c>
      <c r="GO547" s="16">
        <v>0.2</v>
      </c>
      <c r="GP547" s="14">
        <v>180</v>
      </c>
      <c r="GQ547" s="12"/>
      <c r="GR547" s="14"/>
      <c r="GS547" s="16"/>
      <c r="GT547" s="14"/>
      <c r="GU547" s="12"/>
      <c r="GV547" s="14"/>
      <c r="GW547" s="16"/>
      <c r="GX547" s="14"/>
      <c r="GY547" s="12"/>
      <c r="GZ547" s="14"/>
      <c r="HA547" s="16"/>
      <c r="HB547" s="14"/>
      <c r="HC547" s="12"/>
      <c r="HD547" s="12"/>
      <c r="HE547" s="14"/>
      <c r="HF547" s="16"/>
      <c r="HG547" s="14"/>
      <c r="HH547" s="12" t="s">
        <v>320</v>
      </c>
      <c r="HI547" s="12" t="s">
        <v>544</v>
      </c>
      <c r="HJ547" s="12">
        <v>2017</v>
      </c>
      <c r="HK547" s="12"/>
      <c r="HL547" s="12"/>
      <c r="HM547" s="12"/>
      <c r="HN547" s="12"/>
      <c r="HO547" s="12"/>
      <c r="HP547" s="12" t="s">
        <v>453</v>
      </c>
      <c r="HQ547" s="12" t="s">
        <v>320</v>
      </c>
      <c r="HR547" s="12" t="s">
        <v>320</v>
      </c>
      <c r="HS547" s="12" t="s">
        <v>320</v>
      </c>
      <c r="HT547" s="12" t="s">
        <v>320</v>
      </c>
      <c r="HU547" s="12" t="s">
        <v>320</v>
      </c>
      <c r="HV547" s="12" t="s">
        <v>320</v>
      </c>
      <c r="HW547" s="12" t="s">
        <v>320</v>
      </c>
      <c r="HX547" s="12"/>
      <c r="HY547" s="12"/>
      <c r="HZ547" s="12" t="s">
        <v>331</v>
      </c>
      <c r="IA547" s="12" t="s">
        <v>9100</v>
      </c>
      <c r="IB547" s="12" t="s">
        <v>396</v>
      </c>
      <c r="IC547" s="12" t="s">
        <v>9101</v>
      </c>
      <c r="ID547" s="11" t="s">
        <v>364</v>
      </c>
      <c r="IE547" s="12" t="s">
        <v>335</v>
      </c>
      <c r="IF547" s="12" t="s">
        <v>320</v>
      </c>
      <c r="IG547" s="12" t="s">
        <v>320</v>
      </c>
      <c r="IH547" s="12" t="s">
        <v>320</v>
      </c>
      <c r="II547" s="12" t="s">
        <v>320</v>
      </c>
      <c r="IJ547" s="12" t="str">
        <f t="shared" si="345"/>
        <v>2. Sensitive</v>
      </c>
      <c r="IK547" s="12">
        <f t="shared" si="346"/>
        <v>4</v>
      </c>
      <c r="IL547" s="12" t="s">
        <v>336</v>
      </c>
      <c r="IM547" s="12" t="s">
        <v>320</v>
      </c>
      <c r="IN547" s="12" t="s">
        <v>320</v>
      </c>
      <c r="IO547" s="12" t="s">
        <v>320</v>
      </c>
      <c r="IP547" s="12" t="s">
        <v>320</v>
      </c>
      <c r="IQ547" s="12" t="str">
        <f t="shared" si="347"/>
        <v>2. Accommodating</v>
      </c>
      <c r="IR547" s="12">
        <f t="shared" si="348"/>
        <v>4</v>
      </c>
      <c r="IS547" s="12" t="s">
        <v>337</v>
      </c>
      <c r="IT547" s="12" t="s">
        <v>320</v>
      </c>
      <c r="IU547" s="12" t="s">
        <v>320</v>
      </c>
      <c r="IV547" s="12" t="s">
        <v>320</v>
      </c>
      <c r="IW547" s="11" t="str">
        <f t="shared" si="349"/>
        <v>2. Sensitive</v>
      </c>
      <c r="IX547" s="12">
        <f t="shared" si="350"/>
        <v>3</v>
      </c>
      <c r="IY547" s="11" t="s">
        <v>419</v>
      </c>
      <c r="IZ547" s="12" t="s">
        <v>457</v>
      </c>
      <c r="JA547" s="12">
        <v>1</v>
      </c>
      <c r="JB547" s="12" t="s">
        <v>1570</v>
      </c>
      <c r="JC547" s="12" t="s">
        <v>651</v>
      </c>
      <c r="JD547" s="12"/>
      <c r="JE547" s="12" t="s">
        <v>340</v>
      </c>
      <c r="JF547" s="12" t="s">
        <v>9102</v>
      </c>
      <c r="JG547" s="12" t="s">
        <v>9103</v>
      </c>
      <c r="JH547" s="12" t="s">
        <v>9104</v>
      </c>
      <c r="JI547" s="12" t="s">
        <v>9105</v>
      </c>
      <c r="JJ547" s="12" t="s">
        <v>9106</v>
      </c>
      <c r="JK547" s="12" t="s">
        <v>9107</v>
      </c>
      <c r="JL547" s="12" t="s">
        <v>9108</v>
      </c>
      <c r="JM547" s="12" t="s">
        <v>9109</v>
      </c>
      <c r="JN547" s="12"/>
      <c r="JO547" s="12"/>
      <c r="JP547" s="15">
        <f t="shared" si="351"/>
        <v>83</v>
      </c>
      <c r="JQ547" s="15">
        <f t="shared" si="352"/>
        <v>9786</v>
      </c>
      <c r="JR547" s="279">
        <f t="shared" si="353"/>
        <v>117.90361445783132</v>
      </c>
      <c r="JS547" s="17">
        <f t="shared" si="354"/>
        <v>6.0240963855421686E-2</v>
      </c>
      <c r="JT547" s="18">
        <f t="shared" si="355"/>
        <v>0.19997956264050684</v>
      </c>
      <c r="JU547" s="280">
        <f t="shared" si="356"/>
        <v>5</v>
      </c>
      <c r="JV547" s="280">
        <f t="shared" si="357"/>
        <v>1957</v>
      </c>
      <c r="JW547" s="319" t="str">
        <f t="shared" si="358"/>
        <v/>
      </c>
      <c r="JX547" s="15">
        <f t="shared" si="359"/>
        <v>0</v>
      </c>
      <c r="JY547" s="15">
        <f t="shared" si="360"/>
        <v>0</v>
      </c>
      <c r="JZ547" s="19" t="str">
        <f t="shared" si="361"/>
        <v/>
      </c>
      <c r="KA547" s="52">
        <f t="shared" si="362"/>
        <v>1</v>
      </c>
      <c r="KB547" s="15">
        <f t="shared" si="363"/>
        <v>1631</v>
      </c>
      <c r="KC547" s="15">
        <f t="shared" si="364"/>
        <v>9786</v>
      </c>
      <c r="KD547" s="20">
        <f t="shared" si="365"/>
        <v>6</v>
      </c>
      <c r="KE547" s="52" t="str">
        <f t="shared" si="366"/>
        <v/>
      </c>
      <c r="KF547" s="15">
        <f t="shared" si="367"/>
        <v>0</v>
      </c>
      <c r="KG547" s="15">
        <f t="shared" si="368"/>
        <v>0</v>
      </c>
      <c r="KH547" s="21" t="str">
        <f t="shared" si="369"/>
        <v/>
      </c>
      <c r="KI547" s="52" t="str">
        <f t="shared" si="370"/>
        <v/>
      </c>
      <c r="KJ547" s="15">
        <f t="shared" si="371"/>
        <v>0</v>
      </c>
      <c r="KK547" s="15">
        <f t="shared" si="372"/>
        <v>0</v>
      </c>
      <c r="KL547" s="19" t="str">
        <f t="shared" si="373"/>
        <v/>
      </c>
      <c r="KM547" s="52">
        <f t="shared" si="374"/>
        <v>1</v>
      </c>
      <c r="KN547" s="22">
        <f t="shared" si="375"/>
        <v>326.20000000000005</v>
      </c>
      <c r="KO547" s="22">
        <f t="shared" si="376"/>
        <v>1957.2</v>
      </c>
      <c r="KP547" s="19">
        <f t="shared" si="377"/>
        <v>5.9999999999999991</v>
      </c>
      <c r="KQ547" s="11" t="str">
        <f t="shared" si="378"/>
        <v>2. Sensitive</v>
      </c>
      <c r="KR547" s="11" t="str">
        <f t="shared" si="379"/>
        <v>2. Accommodating</v>
      </c>
      <c r="KS547" s="11" t="str">
        <f t="shared" si="380"/>
        <v>2. Sensitive</v>
      </c>
      <c r="KT547" s="11" t="str">
        <f t="shared" si="381"/>
        <v>It tested new ways for fighting poverty and measured results of innovation</v>
      </c>
      <c r="KU547" s="11" t="str">
        <f t="shared" si="382"/>
        <v>Intensive advocacy</v>
      </c>
      <c r="KV547" s="11" t="str">
        <f t="shared" si="383"/>
        <v>It linked and worked with strategic alliances and partners to take tested and effective solutions to scale</v>
      </c>
      <c r="KW547" s="11" t="str">
        <f t="shared" si="384"/>
        <v>Niger - MilkyWay</v>
      </c>
      <c r="KX547" s="11" t="str">
        <f t="shared" si="385"/>
        <v>MilkyWay</v>
      </c>
      <c r="KY547" s="11" t="str">
        <f t="shared" si="386"/>
        <v>Niger</v>
      </c>
      <c r="KZ547" s="12">
        <v>547</v>
      </c>
    </row>
    <row r="548" spans="1:312" x14ac:dyDescent="0.3">
      <c r="A548" s="12" t="s">
        <v>9043</v>
      </c>
      <c r="B548" s="12" t="s">
        <v>1596</v>
      </c>
      <c r="C548" s="12">
        <v>3222</v>
      </c>
      <c r="D548" s="12" t="s">
        <v>9359</v>
      </c>
      <c r="E548" s="277" t="str">
        <f t="shared" si="344"/>
        <v>Niger</v>
      </c>
      <c r="F548" s="12" t="s">
        <v>9360</v>
      </c>
      <c r="G548" s="12" t="s">
        <v>608</v>
      </c>
      <c r="H548" s="11" t="s">
        <v>380</v>
      </c>
      <c r="I548" s="12" t="s">
        <v>381</v>
      </c>
      <c r="J548" s="281" t="s">
        <v>11578</v>
      </c>
      <c r="K548" s="12"/>
      <c r="L548" s="12"/>
      <c r="M548" s="12"/>
      <c r="N548" s="12"/>
      <c r="O548" s="12"/>
      <c r="P548" s="12"/>
      <c r="Q548" s="12"/>
      <c r="R548" s="12"/>
      <c r="S548" s="12"/>
      <c r="T548" s="12"/>
      <c r="U548" s="12"/>
      <c r="V548" s="12"/>
      <c r="W548" s="12"/>
      <c r="X548" s="12"/>
      <c r="Y548" s="12"/>
      <c r="Z548" s="12"/>
      <c r="AA548" s="12"/>
      <c r="AB548" s="12"/>
      <c r="AC548" s="12"/>
      <c r="AD548" s="12"/>
      <c r="BD548" s="13">
        <v>42370</v>
      </c>
      <c r="BE548" s="13">
        <v>42735</v>
      </c>
      <c r="BF548" s="13"/>
      <c r="BG548" s="12" t="s">
        <v>817</v>
      </c>
      <c r="BH548" s="14">
        <v>150888</v>
      </c>
      <c r="BI548" s="12" t="s">
        <v>9361</v>
      </c>
      <c r="BJ548" s="12" t="s">
        <v>2775</v>
      </c>
      <c r="BK548" s="12" t="s">
        <v>9362</v>
      </c>
      <c r="BL548" s="12" t="s">
        <v>9363</v>
      </c>
      <c r="BM548" s="12" t="s">
        <v>9338</v>
      </c>
      <c r="BN548" s="12" t="s">
        <v>9297</v>
      </c>
      <c r="BO548" s="12" t="s">
        <v>320</v>
      </c>
      <c r="BP548" s="12" t="s">
        <v>319</v>
      </c>
      <c r="BQ548" s="12" t="s">
        <v>319</v>
      </c>
      <c r="BR548" s="12" t="s">
        <v>9364</v>
      </c>
      <c r="BS548" s="12" t="s">
        <v>357</v>
      </c>
      <c r="BT548" s="43" t="s">
        <v>9365</v>
      </c>
      <c r="BU548" s="12" t="s">
        <v>9366</v>
      </c>
      <c r="BV548" s="14">
        <v>2273</v>
      </c>
      <c r="BW548" s="14">
        <v>1888</v>
      </c>
      <c r="BX548" s="14">
        <v>4161</v>
      </c>
      <c r="BY548" s="14">
        <v>10446</v>
      </c>
      <c r="BZ548" s="14">
        <v>8678</v>
      </c>
      <c r="CA548" s="14">
        <v>19124</v>
      </c>
      <c r="CB548" s="12" t="s">
        <v>9367</v>
      </c>
      <c r="CD548" s="14">
        <v>6538</v>
      </c>
      <c r="CE548" s="14">
        <v>4749</v>
      </c>
      <c r="CF548" s="14">
        <v>11287</v>
      </c>
      <c r="CG548" s="14">
        <v>4476</v>
      </c>
      <c r="CH548" s="14">
        <v>897</v>
      </c>
      <c r="CI548" s="14">
        <v>5373</v>
      </c>
      <c r="CJ548" s="12"/>
      <c r="CK548" s="14"/>
      <c r="CL548" s="16"/>
      <c r="CM548" s="14"/>
      <c r="CN548" s="12"/>
      <c r="CO548" s="14"/>
      <c r="CP548" s="16"/>
      <c r="CQ548" s="14"/>
      <c r="CR548" s="12"/>
      <c r="CS548" s="14"/>
      <c r="CT548" s="16"/>
      <c r="CU548" s="14"/>
      <c r="CV548" s="12"/>
      <c r="CW548" s="14"/>
      <c r="CX548" s="16"/>
      <c r="CY548" s="14"/>
      <c r="CZ548" s="12"/>
      <c r="DA548" s="14"/>
      <c r="DB548" s="16"/>
      <c r="DC548" s="14"/>
      <c r="DD548" s="12"/>
      <c r="DE548" s="14"/>
      <c r="DF548" s="16"/>
      <c r="DG548" s="14"/>
      <c r="DH548" s="12"/>
      <c r="DI548" s="14"/>
      <c r="DJ548" s="16"/>
      <c r="DK548" s="14"/>
      <c r="DL548" s="12" t="s">
        <v>320</v>
      </c>
      <c r="DM548" s="14">
        <v>1168</v>
      </c>
      <c r="DN548" s="16">
        <v>0.78</v>
      </c>
      <c r="DO548" s="14">
        <v>5373</v>
      </c>
      <c r="DP548" s="12"/>
      <c r="DQ548" s="14"/>
      <c r="DR548" s="16"/>
      <c r="DS548" s="14"/>
      <c r="DT548" s="12"/>
      <c r="DU548" s="14"/>
      <c r="DV548" s="16"/>
      <c r="DW548" s="14"/>
      <c r="DX548" s="12"/>
      <c r="DY548" s="14"/>
      <c r="DZ548" s="16"/>
      <c r="EA548" s="14"/>
      <c r="EB548" s="12" t="s">
        <v>320</v>
      </c>
      <c r="EC548" s="14">
        <v>10119</v>
      </c>
      <c r="ED548" s="16">
        <v>0.55600000000000005</v>
      </c>
      <c r="EE548" s="14">
        <v>0</v>
      </c>
      <c r="EF548" s="12"/>
      <c r="EG548" s="12"/>
      <c r="EH548" s="14"/>
      <c r="EI548" s="16"/>
      <c r="EJ548" s="14"/>
      <c r="EK548" s="14"/>
      <c r="EL548" s="14"/>
      <c r="EM548" s="14"/>
      <c r="EN548" s="14"/>
      <c r="EO548" s="14"/>
      <c r="EP548" s="14"/>
      <c r="EQ548" s="12"/>
      <c r="ER548" s="14"/>
      <c r="ES548" s="16"/>
      <c r="ET548" s="14"/>
      <c r="EU548" s="12"/>
      <c r="EV548" s="14"/>
      <c r="EW548" s="16"/>
      <c r="EX548" s="14"/>
      <c r="EY548" s="12"/>
      <c r="EZ548" s="14"/>
      <c r="FA548" s="16"/>
      <c r="FB548" s="14"/>
      <c r="FC548" s="12"/>
      <c r="FD548" s="14"/>
      <c r="FE548" s="16"/>
      <c r="FF548" s="14"/>
      <c r="FG548" s="12"/>
      <c r="FH548" s="14"/>
      <c r="FI548" s="16"/>
      <c r="FJ548" s="14"/>
      <c r="FK548" s="12"/>
      <c r="FL548" s="14"/>
      <c r="FM548" s="16"/>
      <c r="FN548" s="14"/>
      <c r="FO548" s="12"/>
      <c r="FP548" s="14"/>
      <c r="FQ548" s="16"/>
      <c r="FR548" s="14"/>
      <c r="FS548" s="12"/>
      <c r="FT548" s="14"/>
      <c r="FU548" s="16"/>
      <c r="FV548" s="14"/>
      <c r="FW548" s="12"/>
      <c r="FX548" s="14"/>
      <c r="FY548" s="16"/>
      <c r="FZ548" s="14"/>
      <c r="GA548" s="12"/>
      <c r="GB548" s="14"/>
      <c r="GC548" s="16"/>
      <c r="GD548" s="14"/>
      <c r="GE548" s="12"/>
      <c r="GF548" s="14"/>
      <c r="GG548" s="16"/>
      <c r="GH548" s="14"/>
      <c r="GI548" s="12"/>
      <c r="GJ548" s="14"/>
      <c r="GK548" s="16"/>
      <c r="GL548" s="14"/>
      <c r="GM548" s="12"/>
      <c r="GN548" s="14"/>
      <c r="GO548" s="16"/>
      <c r="GP548" s="14"/>
      <c r="GQ548" s="12"/>
      <c r="GR548" s="14"/>
      <c r="GS548" s="16"/>
      <c r="GT548" s="14"/>
      <c r="GU548" s="12"/>
      <c r="GV548" s="14"/>
      <c r="GW548" s="16"/>
      <c r="GX548" s="14"/>
      <c r="GY548" s="12"/>
      <c r="GZ548" s="14"/>
      <c r="HA548" s="16"/>
      <c r="HB548" s="14"/>
      <c r="HC548" s="12"/>
      <c r="HD548" s="12"/>
      <c r="HE548" s="14"/>
      <c r="HF548" s="16"/>
      <c r="HG548" s="14"/>
      <c r="HH548" s="12" t="s">
        <v>319</v>
      </c>
      <c r="HI548" s="12"/>
      <c r="HJ548" s="12"/>
      <c r="HK548" s="12"/>
      <c r="HL548" s="12" t="s">
        <v>319</v>
      </c>
      <c r="HM548" s="12"/>
      <c r="HN548" s="12"/>
      <c r="HO548" s="12" t="s">
        <v>9368</v>
      </c>
      <c r="HP548" s="12" t="s">
        <v>418</v>
      </c>
      <c r="HQ548" s="12"/>
      <c r="HR548" s="12" t="s">
        <v>319</v>
      </c>
      <c r="HS548" s="12" t="s">
        <v>319</v>
      </c>
      <c r="HT548" s="12" t="s">
        <v>319</v>
      </c>
      <c r="HU548" s="12" t="s">
        <v>319</v>
      </c>
      <c r="HV548" s="12" t="s">
        <v>319</v>
      </c>
      <c r="HW548" s="12" t="s">
        <v>319</v>
      </c>
      <c r="HX548" s="12" t="s">
        <v>319</v>
      </c>
      <c r="HY548" s="12"/>
      <c r="HZ548" s="12" t="s">
        <v>394</v>
      </c>
      <c r="IA548" s="12" t="s">
        <v>9369</v>
      </c>
      <c r="IB548" s="12" t="s">
        <v>333</v>
      </c>
      <c r="IC548" s="12"/>
      <c r="ID548" s="12" t="s">
        <v>334</v>
      </c>
      <c r="IE548" s="12" t="s">
        <v>335</v>
      </c>
      <c r="IF548" s="12" t="s">
        <v>320</v>
      </c>
      <c r="IG548" s="12" t="s">
        <v>320</v>
      </c>
      <c r="IH548" s="12" t="s">
        <v>320</v>
      </c>
      <c r="II548" s="12" t="s">
        <v>320</v>
      </c>
      <c r="IJ548" s="12" t="str">
        <f t="shared" si="345"/>
        <v>2. Sensitive</v>
      </c>
      <c r="IK548" s="12">
        <f t="shared" si="346"/>
        <v>4</v>
      </c>
      <c r="IL548" s="12" t="s">
        <v>336</v>
      </c>
      <c r="IM548" s="12" t="s">
        <v>320</v>
      </c>
      <c r="IN548" s="12" t="s">
        <v>319</v>
      </c>
      <c r="IO548" s="12" t="s">
        <v>319</v>
      </c>
      <c r="IP548" s="12" t="s">
        <v>320</v>
      </c>
      <c r="IQ548" s="12" t="str">
        <f t="shared" si="347"/>
        <v>1. Tokenistic</v>
      </c>
      <c r="IR548" s="12">
        <f t="shared" si="348"/>
        <v>2</v>
      </c>
      <c r="IS548" s="12" t="s">
        <v>337</v>
      </c>
      <c r="IT548" s="12" t="s">
        <v>320</v>
      </c>
      <c r="IU548" s="12" t="s">
        <v>320</v>
      </c>
      <c r="IV548" s="12" t="s">
        <v>320</v>
      </c>
      <c r="IW548" s="11" t="str">
        <f t="shared" si="349"/>
        <v>2. Sensitive</v>
      </c>
      <c r="IX548" s="12">
        <f t="shared" si="350"/>
        <v>3</v>
      </c>
      <c r="IY548" s="11" t="s">
        <v>338</v>
      </c>
      <c r="IZ548" s="12" t="s">
        <v>339</v>
      </c>
      <c r="JA548" s="12"/>
      <c r="JB548" s="12"/>
      <c r="JD548" s="12"/>
      <c r="JE548" s="12" t="s">
        <v>420</v>
      </c>
      <c r="JF548" s="12"/>
      <c r="JG548" s="12" t="s">
        <v>9370</v>
      </c>
      <c r="JH548" s="12" t="s">
        <v>9371</v>
      </c>
      <c r="JI548" s="12" t="s">
        <v>9372</v>
      </c>
      <c r="JJ548" s="12"/>
      <c r="JK548" s="12" t="s">
        <v>9373</v>
      </c>
      <c r="JL548" s="12" t="s">
        <v>9374</v>
      </c>
      <c r="JM548" s="12" t="s">
        <v>9375</v>
      </c>
      <c r="JN548" s="12" t="s">
        <v>9376</v>
      </c>
      <c r="JO548" s="12"/>
      <c r="JP548" s="15">
        <f t="shared" si="351"/>
        <v>11287</v>
      </c>
      <c r="JQ548" s="15">
        <f t="shared" si="352"/>
        <v>5373</v>
      </c>
      <c r="JR548" s="279">
        <f t="shared" si="353"/>
        <v>0.4760343758306016</v>
      </c>
      <c r="JS548" s="17">
        <f t="shared" si="354"/>
        <v>0.57925046513688316</v>
      </c>
      <c r="JT548" s="18">
        <f t="shared" si="355"/>
        <v>0.83305415968732555</v>
      </c>
      <c r="JU548" s="280">
        <f t="shared" si="356"/>
        <v>6538</v>
      </c>
      <c r="JV548" s="280">
        <f t="shared" si="357"/>
        <v>4476</v>
      </c>
      <c r="JW548" s="319">
        <f t="shared" si="358"/>
        <v>1</v>
      </c>
      <c r="JX548" s="15">
        <f t="shared" si="359"/>
        <v>11287</v>
      </c>
      <c r="JY548" s="15">
        <f t="shared" si="360"/>
        <v>5373</v>
      </c>
      <c r="JZ548" s="19">
        <f t="shared" si="361"/>
        <v>0.4760343758306016</v>
      </c>
      <c r="KA548" s="52">
        <f t="shared" si="362"/>
        <v>1</v>
      </c>
      <c r="KB548" s="15">
        <f t="shared" si="363"/>
        <v>1168</v>
      </c>
      <c r="KC548" s="15">
        <f t="shared" si="364"/>
        <v>5373</v>
      </c>
      <c r="KD548" s="20">
        <f t="shared" si="365"/>
        <v>4.6001712328767121</v>
      </c>
      <c r="KE548" s="52" t="str">
        <f t="shared" si="366"/>
        <v/>
      </c>
      <c r="KF548" s="15">
        <f t="shared" si="367"/>
        <v>0</v>
      </c>
      <c r="KG548" s="15">
        <f t="shared" si="368"/>
        <v>0</v>
      </c>
      <c r="KH548" s="21" t="str">
        <f t="shared" si="369"/>
        <v/>
      </c>
      <c r="KI548" s="52" t="str">
        <f t="shared" si="370"/>
        <v/>
      </c>
      <c r="KJ548" s="15">
        <f t="shared" si="371"/>
        <v>0</v>
      </c>
      <c r="KK548" s="15">
        <f t="shared" si="372"/>
        <v>0</v>
      </c>
      <c r="KL548" s="19" t="str">
        <f t="shared" si="373"/>
        <v/>
      </c>
      <c r="KM548" s="52" t="str">
        <f t="shared" si="374"/>
        <v/>
      </c>
      <c r="KN548" s="22">
        <f t="shared" si="375"/>
        <v>0</v>
      </c>
      <c r="KO548" s="22">
        <f t="shared" si="376"/>
        <v>0</v>
      </c>
      <c r="KP548" s="19" t="str">
        <f t="shared" si="377"/>
        <v/>
      </c>
      <c r="KQ548" s="11" t="str">
        <f t="shared" si="378"/>
        <v>2. Sensitive</v>
      </c>
      <c r="KR548" s="11" t="str">
        <f t="shared" si="379"/>
        <v>1. Tokenistic</v>
      </c>
      <c r="KS548" s="11" t="str">
        <f t="shared" si="380"/>
        <v>2. Sensitive</v>
      </c>
      <c r="KT548" s="11" t="str">
        <f t="shared" si="381"/>
        <v>It tested new ways for fighting poverty, but did not measure results of innovation</v>
      </c>
      <c r="KU548" s="11" t="str">
        <f t="shared" si="382"/>
        <v>Little or no advocacy</v>
      </c>
      <c r="KV548" s="11" t="str">
        <f t="shared" si="383"/>
        <v>It did not take tested solutions to scale</v>
      </c>
      <c r="KW548" s="11" t="str">
        <f t="shared" si="384"/>
        <v>Niger - MOSAR : Moyens de Subsistance pour l'Autonomisation  des Réfugiés  maliens</v>
      </c>
      <c r="KX548" s="11" t="str">
        <f t="shared" si="385"/>
        <v>MOSAR : Moyens de Subsistance pour l'Autonomisation  des Réfugiés  maliens</v>
      </c>
      <c r="KY548" s="11" t="str">
        <f t="shared" si="386"/>
        <v>Niger</v>
      </c>
      <c r="KZ548" s="12">
        <v>548</v>
      </c>
    </row>
    <row r="549" spans="1:312" x14ac:dyDescent="0.3">
      <c r="A549" s="12" t="s">
        <v>9043</v>
      </c>
      <c r="B549" s="12" t="s">
        <v>1596</v>
      </c>
      <c r="C549" s="12"/>
      <c r="D549" s="12" t="s">
        <v>9110</v>
      </c>
      <c r="E549" s="277" t="str">
        <f t="shared" si="344"/>
        <v>Niger</v>
      </c>
      <c r="F549" s="12" t="s">
        <v>9111</v>
      </c>
      <c r="G549" s="12" t="s">
        <v>1853</v>
      </c>
      <c r="H549" s="11" t="s">
        <v>310</v>
      </c>
      <c r="I549" s="12" t="s">
        <v>1854</v>
      </c>
      <c r="J549" s="281" t="s">
        <v>14723</v>
      </c>
      <c r="K549" s="12"/>
      <c r="L549" s="12"/>
      <c r="M549" s="12"/>
      <c r="N549" s="12"/>
      <c r="O549" s="12"/>
      <c r="P549" s="12"/>
      <c r="Q549" s="12"/>
      <c r="R549" s="12"/>
      <c r="S549" s="12"/>
      <c r="T549" s="12"/>
      <c r="U549" s="12"/>
      <c r="V549" s="12"/>
      <c r="W549" s="12"/>
      <c r="X549" s="12"/>
      <c r="Y549" s="12"/>
      <c r="Z549" s="12"/>
      <c r="AA549" s="12"/>
      <c r="AB549" s="12"/>
      <c r="AC549" s="12"/>
      <c r="AD549" s="12"/>
      <c r="BD549" s="13">
        <v>42736</v>
      </c>
      <c r="BE549" s="13">
        <v>43281</v>
      </c>
      <c r="BF549" s="12"/>
      <c r="BG549" s="12" t="s">
        <v>350</v>
      </c>
      <c r="BH549" s="14">
        <v>376493</v>
      </c>
      <c r="BI549" s="12" t="s">
        <v>1855</v>
      </c>
      <c r="BJ549" s="12" t="s">
        <v>1856</v>
      </c>
      <c r="BK549" s="12" t="s">
        <v>1857</v>
      </c>
      <c r="BL549" s="12" t="s">
        <v>1858</v>
      </c>
      <c r="BM549" s="12" t="s">
        <v>354</v>
      </c>
      <c r="BN549" s="12" t="s">
        <v>1859</v>
      </c>
      <c r="BO549" s="12" t="s">
        <v>319</v>
      </c>
      <c r="BP549" s="12" t="s">
        <v>320</v>
      </c>
      <c r="BQ549" s="12" t="s">
        <v>319</v>
      </c>
      <c r="BR549" s="12" t="s">
        <v>9112</v>
      </c>
      <c r="BS549" s="12" t="s">
        <v>1535</v>
      </c>
      <c r="BT549" s="12" t="s">
        <v>9113</v>
      </c>
      <c r="BU549" s="12" t="s">
        <v>9114</v>
      </c>
      <c r="BV549" s="14">
        <v>400</v>
      </c>
      <c r="BW549" s="14">
        <v>1600</v>
      </c>
      <c r="BX549" s="14">
        <v>2000</v>
      </c>
      <c r="BY549" s="14">
        <v>196000</v>
      </c>
      <c r="BZ549" s="14">
        <v>204000</v>
      </c>
      <c r="CA549" s="14">
        <v>400000</v>
      </c>
      <c r="CB549" s="12" t="s">
        <v>9115</v>
      </c>
      <c r="CD549" s="14"/>
      <c r="CE549" s="14"/>
      <c r="CF549" s="14"/>
      <c r="CG549" s="14"/>
      <c r="CH549" s="14"/>
      <c r="CI549" s="14"/>
      <c r="CJ549" s="12"/>
      <c r="CK549" s="14"/>
      <c r="CL549" s="16"/>
      <c r="CM549" s="14"/>
      <c r="CN549" s="12"/>
      <c r="CO549" s="14"/>
      <c r="CP549" s="16"/>
      <c r="CQ549" s="14"/>
      <c r="CR549" s="12"/>
      <c r="CS549" s="14"/>
      <c r="CT549" s="16"/>
      <c r="CU549" s="14"/>
      <c r="CV549" s="12"/>
      <c r="CW549" s="14"/>
      <c r="CX549" s="16"/>
      <c r="CY549" s="14"/>
      <c r="CZ549" s="12"/>
      <c r="DA549" s="14"/>
      <c r="DB549" s="16"/>
      <c r="DC549" s="14"/>
      <c r="DD549" s="12"/>
      <c r="DE549" s="14"/>
      <c r="DF549" s="16"/>
      <c r="DG549" s="14"/>
      <c r="DH549" s="12"/>
      <c r="DI549" s="14"/>
      <c r="DJ549" s="16"/>
      <c r="DK549" s="14"/>
      <c r="DL549" s="12"/>
      <c r="DM549" s="14"/>
      <c r="DN549" s="16"/>
      <c r="DO549" s="14"/>
      <c r="DP549" s="12"/>
      <c r="DQ549" s="14"/>
      <c r="DR549" s="16"/>
      <c r="DS549" s="14"/>
      <c r="DT549" s="12"/>
      <c r="DU549" s="14"/>
      <c r="DV549" s="16"/>
      <c r="DW549" s="14"/>
      <c r="DX549" s="12"/>
      <c r="DY549" s="14"/>
      <c r="DZ549" s="16"/>
      <c r="EA549" s="14"/>
      <c r="EB549" s="12"/>
      <c r="EC549" s="14"/>
      <c r="ED549" s="16"/>
      <c r="EE549" s="14"/>
      <c r="EF549" s="12"/>
      <c r="EG549" s="12"/>
      <c r="EH549" s="14"/>
      <c r="EI549" s="16"/>
      <c r="EJ549" s="14"/>
      <c r="EK549" s="14">
        <v>1131</v>
      </c>
      <c r="EL549" s="14">
        <v>4361</v>
      </c>
      <c r="EM549" s="14">
        <v>5492</v>
      </c>
      <c r="EN549" s="14">
        <v>6590</v>
      </c>
      <c r="EO549" s="14">
        <v>26362</v>
      </c>
      <c r="EP549" s="14">
        <v>32952</v>
      </c>
      <c r="EQ549" s="12" t="s">
        <v>319</v>
      </c>
      <c r="ER549" s="14"/>
      <c r="ES549" s="16"/>
      <c r="ET549" s="14"/>
      <c r="EU549" s="11" t="s">
        <v>319</v>
      </c>
      <c r="EV549" s="14"/>
      <c r="EW549" s="16"/>
      <c r="EX549" s="14"/>
      <c r="EY549" s="12" t="s">
        <v>320</v>
      </c>
      <c r="EZ549" s="14">
        <v>5492</v>
      </c>
      <c r="FA549" s="16">
        <v>0.51</v>
      </c>
      <c r="FB549" s="14">
        <v>32952</v>
      </c>
      <c r="FC549" s="12" t="s">
        <v>319</v>
      </c>
      <c r="FD549" s="14"/>
      <c r="FE549" s="16"/>
      <c r="FF549" s="14"/>
      <c r="FG549" s="12" t="s">
        <v>319</v>
      </c>
      <c r="FH549" s="14"/>
      <c r="FI549" s="16"/>
      <c r="FJ549" s="14"/>
      <c r="FK549" s="12" t="s">
        <v>319</v>
      </c>
      <c r="FL549" s="14"/>
      <c r="FM549" s="16"/>
      <c r="FN549" s="14"/>
      <c r="FO549" s="12" t="s">
        <v>319</v>
      </c>
      <c r="FP549" s="14"/>
      <c r="FQ549" s="16"/>
      <c r="FR549" s="14"/>
      <c r="FS549" s="12" t="s">
        <v>319</v>
      </c>
      <c r="FT549" s="14"/>
      <c r="FU549" s="16"/>
      <c r="FV549" s="14"/>
      <c r="FW549" s="12" t="s">
        <v>319</v>
      </c>
      <c r="FX549" s="14"/>
      <c r="FY549" s="16"/>
      <c r="FZ549" s="14"/>
      <c r="GA549" s="12" t="s">
        <v>319</v>
      </c>
      <c r="GB549" s="14"/>
      <c r="GC549" s="16"/>
      <c r="GD549" s="14"/>
      <c r="GE549" s="12" t="s">
        <v>319</v>
      </c>
      <c r="GF549" s="14"/>
      <c r="GG549" s="16"/>
      <c r="GH549" s="14"/>
      <c r="GI549" s="12" t="s">
        <v>320</v>
      </c>
      <c r="GJ549" s="14"/>
      <c r="GK549" s="16"/>
      <c r="GL549" s="14"/>
      <c r="GM549" s="11" t="s">
        <v>320</v>
      </c>
      <c r="GN549" s="14">
        <v>5492</v>
      </c>
      <c r="GO549" s="16">
        <v>0.51</v>
      </c>
      <c r="GP549" s="14">
        <v>32952</v>
      </c>
      <c r="GQ549" s="12" t="s">
        <v>319</v>
      </c>
      <c r="GR549" s="14"/>
      <c r="GS549" s="16"/>
      <c r="GT549" s="14"/>
      <c r="GU549" s="12" t="s">
        <v>319</v>
      </c>
      <c r="GV549" s="14"/>
      <c r="GW549" s="16"/>
      <c r="GX549" s="14"/>
      <c r="GY549" s="12" t="s">
        <v>319</v>
      </c>
      <c r="GZ549" s="14"/>
      <c r="HA549" s="16"/>
      <c r="HB549" s="14"/>
      <c r="HC549" s="12"/>
      <c r="HD549" s="12"/>
      <c r="HE549" s="14"/>
      <c r="HF549" s="16"/>
      <c r="HG549" s="14"/>
      <c r="HH549" s="12" t="s">
        <v>319</v>
      </c>
      <c r="HI549" s="12"/>
      <c r="HJ549" s="12"/>
      <c r="HK549" s="12" t="s">
        <v>319</v>
      </c>
      <c r="HL549" s="12" t="s">
        <v>320</v>
      </c>
      <c r="HM549" s="12" t="s">
        <v>451</v>
      </c>
      <c r="HN549" s="12">
        <v>2018</v>
      </c>
      <c r="HO549" s="12" t="s">
        <v>9116</v>
      </c>
      <c r="HP549" s="12" t="s">
        <v>453</v>
      </c>
      <c r="HQ549" s="12" t="s">
        <v>319</v>
      </c>
      <c r="HR549" s="12" t="s">
        <v>320</v>
      </c>
      <c r="HS549" s="12" t="s">
        <v>320</v>
      </c>
      <c r="HT549" s="12" t="s">
        <v>320</v>
      </c>
      <c r="HU549" s="12" t="s">
        <v>320</v>
      </c>
      <c r="HV549" s="12" t="s">
        <v>320</v>
      </c>
      <c r="HW549" s="12" t="s">
        <v>319</v>
      </c>
      <c r="HX549" s="12"/>
      <c r="HY549" s="12"/>
      <c r="HZ549" s="11" t="s">
        <v>394</v>
      </c>
      <c r="IA549" s="12" t="s">
        <v>9117</v>
      </c>
      <c r="IB549" s="12" t="s">
        <v>396</v>
      </c>
      <c r="IC549" s="12"/>
      <c r="ID549" s="11" t="s">
        <v>364</v>
      </c>
      <c r="IE549" s="12" t="s">
        <v>335</v>
      </c>
      <c r="IF549" s="12" t="s">
        <v>320</v>
      </c>
      <c r="IG549" s="12" t="s">
        <v>320</v>
      </c>
      <c r="IH549" s="12" t="s">
        <v>320</v>
      </c>
      <c r="II549" s="12" t="s">
        <v>320</v>
      </c>
      <c r="IJ549" s="12" t="str">
        <f t="shared" si="345"/>
        <v>2. Sensitive</v>
      </c>
      <c r="IK549" s="12">
        <f t="shared" si="346"/>
        <v>4</v>
      </c>
      <c r="IL549" s="12" t="s">
        <v>336</v>
      </c>
      <c r="IM549" s="12" t="s">
        <v>320</v>
      </c>
      <c r="IN549" s="12" t="s">
        <v>320</v>
      </c>
      <c r="IO549" s="12" t="s">
        <v>320</v>
      </c>
      <c r="IP549" s="12" t="s">
        <v>320</v>
      </c>
      <c r="IQ549" s="12" t="str">
        <f t="shared" si="347"/>
        <v>2. Accommodating</v>
      </c>
      <c r="IR549" s="12">
        <f t="shared" si="348"/>
        <v>4</v>
      </c>
      <c r="IS549" s="12" t="s">
        <v>622</v>
      </c>
      <c r="IT549" s="12" t="s">
        <v>320</v>
      </c>
      <c r="IU549" s="12" t="s">
        <v>320</v>
      </c>
      <c r="IV549" s="12" t="s">
        <v>320</v>
      </c>
      <c r="IW549" s="11" t="str">
        <f t="shared" si="349"/>
        <v>4. Transformative</v>
      </c>
      <c r="IX549" s="12">
        <f t="shared" si="350"/>
        <v>3</v>
      </c>
      <c r="IY549" s="11" t="s">
        <v>419</v>
      </c>
      <c r="IZ549" s="12" t="s">
        <v>457</v>
      </c>
      <c r="JA549" s="12">
        <v>3</v>
      </c>
      <c r="JB549" s="11" t="s">
        <v>433</v>
      </c>
      <c r="JC549" s="12" t="s">
        <v>651</v>
      </c>
      <c r="JD549" s="11" t="s">
        <v>1113</v>
      </c>
      <c r="JE549" s="12" t="s">
        <v>340</v>
      </c>
      <c r="JF549" s="12"/>
      <c r="JG549" s="12" t="s">
        <v>9118</v>
      </c>
      <c r="JH549" s="12" t="s">
        <v>9119</v>
      </c>
      <c r="JI549" s="12"/>
      <c r="JJ549" s="12"/>
      <c r="JK549" s="12" t="s">
        <v>9120</v>
      </c>
      <c r="JL549" s="12" t="s">
        <v>9121</v>
      </c>
      <c r="JM549" s="12" t="s">
        <v>9122</v>
      </c>
      <c r="JN549" s="12"/>
      <c r="JO549" s="12"/>
      <c r="JP549" s="15">
        <f t="shared" si="351"/>
        <v>5492</v>
      </c>
      <c r="JQ549" s="15">
        <f t="shared" si="352"/>
        <v>32952</v>
      </c>
      <c r="JR549" s="279">
        <f t="shared" si="353"/>
        <v>6</v>
      </c>
      <c r="JS549" s="17">
        <f t="shared" si="354"/>
        <v>0.20593590677348872</v>
      </c>
      <c r="JT549" s="18">
        <f t="shared" si="355"/>
        <v>0.19998786113134256</v>
      </c>
      <c r="JU549" s="280">
        <f t="shared" si="356"/>
        <v>1131</v>
      </c>
      <c r="JV549" s="280">
        <f t="shared" si="357"/>
        <v>6590</v>
      </c>
      <c r="JW549" s="319" t="str">
        <f t="shared" si="358"/>
        <v/>
      </c>
      <c r="JX549" s="15">
        <f t="shared" si="359"/>
        <v>0</v>
      </c>
      <c r="JY549" s="15">
        <f t="shared" si="360"/>
        <v>0</v>
      </c>
      <c r="JZ549" s="19" t="str">
        <f t="shared" si="361"/>
        <v/>
      </c>
      <c r="KA549" s="52">
        <f t="shared" si="362"/>
        <v>1</v>
      </c>
      <c r="KB549" s="15">
        <f t="shared" si="363"/>
        <v>0</v>
      </c>
      <c r="KC549" s="15">
        <f t="shared" si="364"/>
        <v>0</v>
      </c>
      <c r="KD549" s="20" t="str">
        <f t="shared" si="365"/>
        <v/>
      </c>
      <c r="KE549" s="52" t="str">
        <f t="shared" si="366"/>
        <v/>
      </c>
      <c r="KF549" s="15">
        <f t="shared" si="367"/>
        <v>0</v>
      </c>
      <c r="KG549" s="15">
        <f t="shared" si="368"/>
        <v>0</v>
      </c>
      <c r="KH549" s="21" t="str">
        <f t="shared" si="369"/>
        <v/>
      </c>
      <c r="KI549" s="52" t="str">
        <f t="shared" si="370"/>
        <v/>
      </c>
      <c r="KJ549" s="15">
        <f t="shared" si="371"/>
        <v>0</v>
      </c>
      <c r="KK549" s="15">
        <f t="shared" si="372"/>
        <v>0</v>
      </c>
      <c r="KL549" s="19" t="str">
        <f t="shared" si="373"/>
        <v/>
      </c>
      <c r="KM549" s="52" t="str">
        <f t="shared" si="374"/>
        <v/>
      </c>
      <c r="KN549" s="22">
        <f t="shared" si="375"/>
        <v>0</v>
      </c>
      <c r="KO549" s="22">
        <f t="shared" si="376"/>
        <v>0</v>
      </c>
      <c r="KP549" s="19" t="str">
        <f t="shared" si="377"/>
        <v/>
      </c>
      <c r="KQ549" s="11" t="str">
        <f t="shared" si="378"/>
        <v>2. Sensitive</v>
      </c>
      <c r="KR549" s="11" t="str">
        <f t="shared" si="379"/>
        <v>2. Accommodating</v>
      </c>
      <c r="KS549" s="11" t="str">
        <f t="shared" si="380"/>
        <v>4. Transformative</v>
      </c>
      <c r="KT549" s="11" t="str">
        <f t="shared" si="381"/>
        <v>It tested new ways for fighting poverty, but did not measure results of innovation</v>
      </c>
      <c r="KU549" s="11" t="str">
        <f t="shared" si="382"/>
        <v>Intensive advocacy</v>
      </c>
      <c r="KV549" s="11" t="str">
        <f t="shared" si="383"/>
        <v>It linked and worked with strategic alliances and partners to take tested and effective solutions to scale</v>
      </c>
      <c r="KW549" s="11" t="str">
        <f t="shared" si="384"/>
        <v>Niger - Ne touchez pas à nos terres</v>
      </c>
      <c r="KX549" s="11" t="str">
        <f t="shared" si="385"/>
        <v>Ne touchez pas à nos terres</v>
      </c>
      <c r="KY549" s="11" t="str">
        <f t="shared" si="386"/>
        <v>Niger</v>
      </c>
      <c r="KZ549" s="12">
        <v>549</v>
      </c>
    </row>
    <row r="550" spans="1:312" x14ac:dyDescent="0.3">
      <c r="A550" s="12" t="s">
        <v>9043</v>
      </c>
      <c r="B550" s="12" t="s">
        <v>1596</v>
      </c>
      <c r="C550" s="12">
        <v>3212</v>
      </c>
      <c r="D550" s="12" t="s">
        <v>9243</v>
      </c>
      <c r="E550" s="277" t="str">
        <f t="shared" si="344"/>
        <v>Niger</v>
      </c>
      <c r="F550" s="12" t="s">
        <v>9244</v>
      </c>
      <c r="G550" s="12" t="s">
        <v>488</v>
      </c>
      <c r="H550" s="11" t="s">
        <v>310</v>
      </c>
      <c r="I550" s="12" t="s">
        <v>506</v>
      </c>
      <c r="J550" s="281" t="s">
        <v>9230</v>
      </c>
      <c r="K550" s="12" t="s">
        <v>9244</v>
      </c>
      <c r="L550" s="12" t="s">
        <v>376</v>
      </c>
      <c r="M550" s="11" t="s">
        <v>310</v>
      </c>
      <c r="N550" s="12" t="s">
        <v>377</v>
      </c>
      <c r="O550" s="12" t="s">
        <v>4495</v>
      </c>
      <c r="P550" s="12" t="s">
        <v>9244</v>
      </c>
      <c r="Q550" s="12" t="s">
        <v>608</v>
      </c>
      <c r="R550" s="12" t="s">
        <v>380</v>
      </c>
      <c r="S550" s="12" t="s">
        <v>384</v>
      </c>
      <c r="T550" s="12" t="s">
        <v>9245</v>
      </c>
      <c r="U550" s="12" t="s">
        <v>9244</v>
      </c>
      <c r="V550" s="12" t="s">
        <v>608</v>
      </c>
      <c r="W550" s="11" t="s">
        <v>384</v>
      </c>
      <c r="X550" s="12" t="s">
        <v>384</v>
      </c>
      <c r="Y550" s="12" t="s">
        <v>9246</v>
      </c>
      <c r="Z550" s="12"/>
      <c r="AA550" s="12"/>
      <c r="AB550" s="12"/>
      <c r="AC550" s="12"/>
      <c r="AD550" s="12"/>
      <c r="BD550" s="13">
        <v>42005</v>
      </c>
      <c r="BE550" s="13">
        <v>42916</v>
      </c>
      <c r="BF550" s="12"/>
      <c r="BG550" s="12" t="s">
        <v>749</v>
      </c>
      <c r="BH550" s="14">
        <v>949232</v>
      </c>
      <c r="BI550" s="12" t="s">
        <v>1855</v>
      </c>
      <c r="BJ550" s="12" t="s">
        <v>1856</v>
      </c>
      <c r="BK550" s="12" t="s">
        <v>1857</v>
      </c>
      <c r="BL550" s="12" t="s">
        <v>9247</v>
      </c>
      <c r="BM550" s="12" t="s">
        <v>6617</v>
      </c>
      <c r="BN550" s="12" t="s">
        <v>9248</v>
      </c>
      <c r="BO550" s="12" t="s">
        <v>319</v>
      </c>
      <c r="BP550" s="12" t="s">
        <v>320</v>
      </c>
      <c r="BQ550" s="12" t="s">
        <v>319</v>
      </c>
      <c r="BR550" s="12" t="s">
        <v>9249</v>
      </c>
      <c r="BS550" s="12" t="s">
        <v>357</v>
      </c>
      <c r="BT550" s="12" t="s">
        <v>9250</v>
      </c>
      <c r="BU550" s="12" t="s">
        <v>9251</v>
      </c>
      <c r="BV550" s="14">
        <v>2596</v>
      </c>
      <c r="BW550" s="14">
        <v>2124</v>
      </c>
      <c r="BX550" s="14">
        <v>4720</v>
      </c>
      <c r="BY550" s="14">
        <v>7530</v>
      </c>
      <c r="BZ550" s="14">
        <v>6160</v>
      </c>
      <c r="CA550" s="14">
        <v>13690</v>
      </c>
      <c r="CB550" s="12" t="s">
        <v>9252</v>
      </c>
      <c r="CD550" s="14"/>
      <c r="CE550" s="14"/>
      <c r="CF550" s="14"/>
      <c r="CG550" s="14"/>
      <c r="CH550" s="14"/>
      <c r="CI550" s="14"/>
      <c r="CJ550" s="12"/>
      <c r="CK550" s="14"/>
      <c r="CL550" s="16"/>
      <c r="CM550" s="14"/>
      <c r="CN550" s="12"/>
      <c r="CO550" s="14"/>
      <c r="CP550" s="16"/>
      <c r="CQ550" s="14"/>
      <c r="CR550" s="12"/>
      <c r="CS550" s="14"/>
      <c r="CT550" s="16"/>
      <c r="CU550" s="14"/>
      <c r="CV550" s="12"/>
      <c r="CW550" s="14"/>
      <c r="CX550" s="16"/>
      <c r="CY550" s="14"/>
      <c r="CZ550" s="12"/>
      <c r="DA550" s="14"/>
      <c r="DB550" s="16"/>
      <c r="DC550" s="14"/>
      <c r="DD550" s="12"/>
      <c r="DE550" s="14"/>
      <c r="DF550" s="16"/>
      <c r="DG550" s="14"/>
      <c r="DH550" s="12"/>
      <c r="DI550" s="14"/>
      <c r="DJ550" s="16"/>
      <c r="DK550" s="14"/>
      <c r="DL550" s="12"/>
      <c r="DM550" s="14"/>
      <c r="DN550" s="16"/>
      <c r="DO550" s="14"/>
      <c r="DP550" s="12"/>
      <c r="DQ550" s="14"/>
      <c r="DR550" s="16"/>
      <c r="DS550" s="14"/>
      <c r="DT550" s="12"/>
      <c r="DU550" s="14"/>
      <c r="DV550" s="16"/>
      <c r="DW550" s="14"/>
      <c r="DX550" s="12"/>
      <c r="DY550" s="14"/>
      <c r="DZ550" s="16"/>
      <c r="EA550" s="14"/>
      <c r="EB550" s="12"/>
      <c r="EC550" s="14"/>
      <c r="ED550" s="16"/>
      <c r="EE550" s="14"/>
      <c r="EF550" s="12"/>
      <c r="EG550" s="12"/>
      <c r="EH550" s="14"/>
      <c r="EI550" s="16"/>
      <c r="EJ550" s="14"/>
      <c r="EK550" s="14">
        <v>4243</v>
      </c>
      <c r="EL550" s="14">
        <v>3949</v>
      </c>
      <c r="EM550" s="14">
        <v>8192</v>
      </c>
      <c r="EN550" s="14">
        <v>15169</v>
      </c>
      <c r="EO550" s="14">
        <v>12393</v>
      </c>
      <c r="EP550" s="14">
        <v>27562</v>
      </c>
      <c r="EQ550" s="12" t="s">
        <v>320</v>
      </c>
      <c r="ER550" s="14">
        <v>2145</v>
      </c>
      <c r="ES550" s="16">
        <v>0.45</v>
      </c>
      <c r="ET550" s="14">
        <v>7621</v>
      </c>
      <c r="EU550" s="11" t="s">
        <v>320</v>
      </c>
      <c r="EV550" s="14">
        <v>2066</v>
      </c>
      <c r="EW550" s="16">
        <v>0.55000000000000004</v>
      </c>
      <c r="EX550" s="14">
        <v>6268</v>
      </c>
      <c r="EY550" s="12"/>
      <c r="EZ550" s="14"/>
      <c r="FA550" s="16"/>
      <c r="FB550" s="14"/>
      <c r="FC550" s="12" t="s">
        <v>320</v>
      </c>
      <c r="FD550" s="14">
        <v>394</v>
      </c>
      <c r="FE550" s="16">
        <v>0.25</v>
      </c>
      <c r="FF550" s="14">
        <v>3756</v>
      </c>
      <c r="FG550" s="12" t="s">
        <v>320</v>
      </c>
      <c r="FH550" s="14">
        <v>532</v>
      </c>
      <c r="FI550" s="16">
        <v>0.7</v>
      </c>
      <c r="FJ550" s="14">
        <v>3403</v>
      </c>
      <c r="FK550" s="12"/>
      <c r="FL550" s="14"/>
      <c r="FM550" s="16"/>
      <c r="FN550" s="14"/>
      <c r="FO550" s="12" t="s">
        <v>320</v>
      </c>
      <c r="FP550" s="14">
        <v>1088</v>
      </c>
      <c r="FQ550" s="16">
        <v>0.62</v>
      </c>
      <c r="FR550" s="14">
        <v>2110</v>
      </c>
      <c r="FS550" s="12"/>
      <c r="FT550" s="14"/>
      <c r="FU550" s="16"/>
      <c r="FV550" s="14"/>
      <c r="FW550" s="12"/>
      <c r="FX550" s="14"/>
      <c r="FY550" s="16"/>
      <c r="FZ550" s="14"/>
      <c r="GA550" s="12"/>
      <c r="GB550" s="14"/>
      <c r="GC550" s="16"/>
      <c r="GD550" s="14"/>
      <c r="GE550" s="12"/>
      <c r="GF550" s="14"/>
      <c r="GG550" s="16"/>
      <c r="GH550" s="14"/>
      <c r="GI550" s="11" t="s">
        <v>320</v>
      </c>
      <c r="GJ550" s="14">
        <v>956</v>
      </c>
      <c r="GK550" s="16">
        <v>0.25</v>
      </c>
      <c r="GL550" s="14">
        <v>2025</v>
      </c>
      <c r="GM550" s="11" t="s">
        <v>320</v>
      </c>
      <c r="GN550" s="14">
        <v>256</v>
      </c>
      <c r="GO550" s="16">
        <v>0.52</v>
      </c>
      <c r="GP550" s="14">
        <v>834</v>
      </c>
      <c r="GQ550" s="12"/>
      <c r="GR550" s="14"/>
      <c r="GS550" s="16"/>
      <c r="GT550" s="14"/>
      <c r="GU550" s="12"/>
      <c r="GV550" s="14"/>
      <c r="GW550" s="16"/>
      <c r="GX550" s="14"/>
      <c r="GY550" s="11" t="s">
        <v>320</v>
      </c>
      <c r="GZ550" s="14">
        <v>755</v>
      </c>
      <c r="HA550" s="16">
        <v>1</v>
      </c>
      <c r="HB550" s="14">
        <v>1545</v>
      </c>
      <c r="HC550" s="12"/>
      <c r="HD550" s="12"/>
      <c r="HE550" s="14"/>
      <c r="HF550" s="16"/>
      <c r="HG550" s="14"/>
      <c r="HH550" s="12" t="s">
        <v>320</v>
      </c>
      <c r="HI550" s="12" t="s">
        <v>451</v>
      </c>
      <c r="HJ550" s="12">
        <v>2017</v>
      </c>
      <c r="HK550" s="12" t="s">
        <v>320</v>
      </c>
      <c r="HL550" s="12" t="s">
        <v>319</v>
      </c>
      <c r="HM550" s="12"/>
      <c r="HN550" s="12"/>
      <c r="HO550" s="12"/>
      <c r="HP550" s="12" t="s">
        <v>453</v>
      </c>
      <c r="HQ550" s="12" t="s">
        <v>320</v>
      </c>
      <c r="HR550" s="12" t="s">
        <v>320</v>
      </c>
      <c r="HS550" s="12" t="s">
        <v>320</v>
      </c>
      <c r="HT550" s="12" t="s">
        <v>320</v>
      </c>
      <c r="HU550" s="12" t="s">
        <v>320</v>
      </c>
      <c r="HV550" s="12" t="s">
        <v>320</v>
      </c>
      <c r="HW550" s="12" t="s">
        <v>320</v>
      </c>
      <c r="HX550" s="12"/>
      <c r="HY550" s="12"/>
      <c r="HZ550" s="12" t="s">
        <v>331</v>
      </c>
      <c r="IA550" s="12"/>
      <c r="IB550" s="12" t="s">
        <v>396</v>
      </c>
      <c r="IC550" s="12"/>
      <c r="ID550" s="11" t="s">
        <v>364</v>
      </c>
      <c r="IE550" s="12" t="s">
        <v>335</v>
      </c>
      <c r="IF550" s="12" t="s">
        <v>320</v>
      </c>
      <c r="IG550" s="12" t="s">
        <v>320</v>
      </c>
      <c r="IH550" s="12" t="s">
        <v>320</v>
      </c>
      <c r="II550" s="12" t="s">
        <v>320</v>
      </c>
      <c r="IJ550" s="12" t="str">
        <f t="shared" si="345"/>
        <v>2. Sensitive</v>
      </c>
      <c r="IK550" s="12">
        <f t="shared" si="346"/>
        <v>4</v>
      </c>
      <c r="IL550" s="12" t="s">
        <v>336</v>
      </c>
      <c r="IM550" s="12" t="s">
        <v>320</v>
      </c>
      <c r="IN550" s="12" t="s">
        <v>320</v>
      </c>
      <c r="IO550" s="12" t="s">
        <v>320</v>
      </c>
      <c r="IP550" s="12" t="s">
        <v>320</v>
      </c>
      <c r="IQ550" s="12" t="str">
        <f t="shared" si="347"/>
        <v>2. Accommodating</v>
      </c>
      <c r="IR550" s="12">
        <f t="shared" si="348"/>
        <v>4</v>
      </c>
      <c r="IS550" s="12" t="s">
        <v>622</v>
      </c>
      <c r="IT550" s="12" t="s">
        <v>320</v>
      </c>
      <c r="IU550" s="12" t="s">
        <v>320</v>
      </c>
      <c r="IV550" s="12" t="s">
        <v>320</v>
      </c>
      <c r="IW550" s="11" t="str">
        <f t="shared" si="349"/>
        <v>4. Transformative</v>
      </c>
      <c r="IX550" s="12">
        <f t="shared" si="350"/>
        <v>3</v>
      </c>
      <c r="IY550" s="11" t="s">
        <v>758</v>
      </c>
      <c r="IZ550" s="12" t="s">
        <v>457</v>
      </c>
      <c r="JA550" s="12">
        <v>4</v>
      </c>
      <c r="JB550" s="11" t="s">
        <v>433</v>
      </c>
      <c r="JC550" s="11" t="s">
        <v>624</v>
      </c>
      <c r="JD550" s="11" t="s">
        <v>1113</v>
      </c>
      <c r="JE550" s="12" t="s">
        <v>365</v>
      </c>
      <c r="JF550" s="12" t="s">
        <v>9253</v>
      </c>
      <c r="JG550" s="12" t="s">
        <v>9254</v>
      </c>
      <c r="JH550" s="12" t="s">
        <v>9255</v>
      </c>
      <c r="JI550" s="12" t="s">
        <v>9256</v>
      </c>
      <c r="JJ550" s="12" t="s">
        <v>9257</v>
      </c>
      <c r="JK550" s="12" t="s">
        <v>9258</v>
      </c>
      <c r="JL550" s="12" t="s">
        <v>9259</v>
      </c>
      <c r="JM550" s="12" t="s">
        <v>9260</v>
      </c>
      <c r="JN550" s="12"/>
      <c r="JO550" s="12"/>
      <c r="JP550" s="15">
        <f t="shared" si="351"/>
        <v>8192</v>
      </c>
      <c r="JQ550" s="15">
        <f t="shared" si="352"/>
        <v>27562</v>
      </c>
      <c r="JR550" s="279">
        <f t="shared" si="353"/>
        <v>3.364501953125</v>
      </c>
      <c r="JS550" s="17">
        <f t="shared" si="354"/>
        <v>0.5179443359375</v>
      </c>
      <c r="JT550" s="18">
        <f t="shared" si="355"/>
        <v>0.55035919018939117</v>
      </c>
      <c r="JU550" s="280">
        <f t="shared" si="356"/>
        <v>4243</v>
      </c>
      <c r="JV550" s="280">
        <f t="shared" si="357"/>
        <v>15169</v>
      </c>
      <c r="JW550" s="319" t="str">
        <f t="shared" si="358"/>
        <v/>
      </c>
      <c r="JX550" s="15">
        <f t="shared" si="359"/>
        <v>0</v>
      </c>
      <c r="JY550" s="15">
        <f t="shared" si="360"/>
        <v>0</v>
      </c>
      <c r="JZ550" s="19" t="str">
        <f t="shared" si="361"/>
        <v/>
      </c>
      <c r="KA550" s="52">
        <f t="shared" si="362"/>
        <v>1</v>
      </c>
      <c r="KB550" s="15">
        <f t="shared" si="363"/>
        <v>2145</v>
      </c>
      <c r="KC550" s="15">
        <f t="shared" si="364"/>
        <v>7621</v>
      </c>
      <c r="KD550" s="20">
        <f t="shared" si="365"/>
        <v>3.5529137529137529</v>
      </c>
      <c r="KE550" s="52" t="str">
        <f t="shared" si="366"/>
        <v/>
      </c>
      <c r="KF550" s="15">
        <f t="shared" si="367"/>
        <v>0</v>
      </c>
      <c r="KG550" s="15">
        <f t="shared" si="368"/>
        <v>0</v>
      </c>
      <c r="KH550" s="21" t="str">
        <f t="shared" si="369"/>
        <v/>
      </c>
      <c r="KI550" s="52" t="str">
        <f t="shared" si="370"/>
        <v/>
      </c>
      <c r="KJ550" s="15">
        <f t="shared" si="371"/>
        <v>0</v>
      </c>
      <c r="KK550" s="15">
        <f t="shared" si="372"/>
        <v>0</v>
      </c>
      <c r="KL550" s="19" t="str">
        <f t="shared" si="373"/>
        <v/>
      </c>
      <c r="KM550" s="52">
        <f t="shared" si="374"/>
        <v>1</v>
      </c>
      <c r="KN550" s="22">
        <f t="shared" si="375"/>
        <v>755</v>
      </c>
      <c r="KO550" s="22">
        <f t="shared" si="376"/>
        <v>2382.1</v>
      </c>
      <c r="KP550" s="19">
        <f t="shared" si="377"/>
        <v>3.1550993377483443</v>
      </c>
      <c r="KQ550" s="11" t="str">
        <f t="shared" si="378"/>
        <v>2. Sensitive</v>
      </c>
      <c r="KR550" s="11" t="str">
        <f t="shared" si="379"/>
        <v>2. Accommodating</v>
      </c>
      <c r="KS550" s="11" t="str">
        <f t="shared" si="380"/>
        <v>4. Transformative</v>
      </c>
      <c r="KT550" s="11" t="str">
        <f t="shared" si="381"/>
        <v>It tested new ways for fighting poverty and measured results of innovation</v>
      </c>
      <c r="KU550" s="11" t="str">
        <f t="shared" si="382"/>
        <v>Intensive advocacy</v>
      </c>
      <c r="KV550" s="11" t="str">
        <f t="shared" si="383"/>
        <v>It linked and worked with strategic alliances and partners to take tested and effective solutions to scale</v>
      </c>
      <c r="KW550" s="11" t="str">
        <f t="shared" si="384"/>
        <v>Niger - Programme dApprentissage à lAdaptation (ALP)</v>
      </c>
      <c r="KX550" s="11" t="str">
        <f t="shared" si="385"/>
        <v>Programme dApprentissage à lAdaptation (ALP)</v>
      </c>
      <c r="KY550" s="11" t="str">
        <f t="shared" si="386"/>
        <v>Niger</v>
      </c>
      <c r="KZ550" s="12">
        <v>550</v>
      </c>
    </row>
    <row r="551" spans="1:312" x14ac:dyDescent="0.3">
      <c r="A551" s="12" t="s">
        <v>9043</v>
      </c>
      <c r="B551" s="12" t="s">
        <v>1596</v>
      </c>
      <c r="C551" s="12">
        <v>3226</v>
      </c>
      <c r="D551" s="12" t="s">
        <v>1851</v>
      </c>
      <c r="E551" s="277" t="str">
        <f t="shared" si="344"/>
        <v>Niger</v>
      </c>
      <c r="F551" s="12" t="s">
        <v>1852</v>
      </c>
      <c r="G551" s="12" t="s">
        <v>1853</v>
      </c>
      <c r="H551" s="11" t="s">
        <v>310</v>
      </c>
      <c r="I551" s="12" t="s">
        <v>1854</v>
      </c>
      <c r="J551" s="281" t="s">
        <v>4495</v>
      </c>
      <c r="K551" s="12"/>
      <c r="L551" s="12"/>
      <c r="M551" s="12"/>
      <c r="N551" s="12"/>
      <c r="O551" s="12"/>
      <c r="P551" s="12"/>
      <c r="Q551" s="12"/>
      <c r="R551" s="12"/>
      <c r="S551" s="12"/>
      <c r="T551" s="12"/>
      <c r="U551" s="12"/>
      <c r="V551" s="12"/>
      <c r="W551" s="12"/>
      <c r="X551" s="12"/>
      <c r="Y551" s="12"/>
      <c r="Z551" s="12"/>
      <c r="AA551" s="12"/>
      <c r="AB551" s="12"/>
      <c r="AC551" s="12"/>
      <c r="AD551" s="12"/>
      <c r="BD551" s="13">
        <v>41275</v>
      </c>
      <c r="BE551" s="13">
        <v>43070</v>
      </c>
      <c r="BF551" s="12"/>
      <c r="BG551" s="12" t="s">
        <v>312</v>
      </c>
      <c r="BH551" s="14">
        <v>3510944.3263157802</v>
      </c>
      <c r="BI551" s="12" t="s">
        <v>1855</v>
      </c>
      <c r="BJ551" s="12" t="s">
        <v>1856</v>
      </c>
      <c r="BK551" s="12" t="s">
        <v>1857</v>
      </c>
      <c r="BL551" s="12" t="s">
        <v>1858</v>
      </c>
      <c r="BM551" s="12" t="s">
        <v>1834</v>
      </c>
      <c r="BN551" s="12" t="s">
        <v>1859</v>
      </c>
      <c r="BO551" s="12" t="s">
        <v>319</v>
      </c>
      <c r="BP551" s="12" t="s">
        <v>320</v>
      </c>
      <c r="BQ551" s="12" t="s">
        <v>319</v>
      </c>
      <c r="BR551" s="12" t="s">
        <v>1860</v>
      </c>
      <c r="BS551" s="12" t="s">
        <v>615</v>
      </c>
      <c r="BT551" s="12" t="s">
        <v>1861</v>
      </c>
      <c r="BU551" s="12" t="s">
        <v>1862</v>
      </c>
      <c r="BV551" s="14">
        <v>4077</v>
      </c>
      <c r="BW551" s="14">
        <v>4561</v>
      </c>
      <c r="BX551" s="14">
        <v>8638</v>
      </c>
      <c r="BY551" s="14">
        <v>2244000</v>
      </c>
      <c r="BZ551" s="14">
        <v>2156000</v>
      </c>
      <c r="CA551" s="14">
        <v>4400000</v>
      </c>
      <c r="CB551" s="12" t="s">
        <v>1863</v>
      </c>
      <c r="CD551" s="14"/>
      <c r="CE551" s="14"/>
      <c r="CF551" s="14"/>
      <c r="CG551" s="14"/>
      <c r="CH551" s="14"/>
      <c r="CI551" s="14">
        <v>0</v>
      </c>
      <c r="CJ551" s="12"/>
      <c r="CK551" s="14"/>
      <c r="CL551" s="16"/>
      <c r="CM551" s="14"/>
      <c r="CN551" s="12"/>
      <c r="CO551" s="14"/>
      <c r="CP551" s="16"/>
      <c r="CQ551" s="14"/>
      <c r="CR551" s="12"/>
      <c r="CS551" s="14"/>
      <c r="CT551" s="16"/>
      <c r="CU551" s="14"/>
      <c r="CV551" s="12"/>
      <c r="CW551" s="14"/>
      <c r="CX551" s="16"/>
      <c r="CY551" s="14"/>
      <c r="CZ551" s="12"/>
      <c r="DA551" s="14"/>
      <c r="DB551" s="16"/>
      <c r="DC551" s="14"/>
      <c r="DD551" s="12"/>
      <c r="DE551" s="14"/>
      <c r="DF551" s="16"/>
      <c r="DG551" s="14"/>
      <c r="DH551" s="12"/>
      <c r="DI551" s="14"/>
      <c r="DJ551" s="16"/>
      <c r="DK551" s="14"/>
      <c r="DL551" s="12"/>
      <c r="DM551" s="14"/>
      <c r="DN551" s="16"/>
      <c r="DO551" s="14"/>
      <c r="DP551" s="12"/>
      <c r="DQ551" s="14"/>
      <c r="DR551" s="16"/>
      <c r="DS551" s="14"/>
      <c r="DT551" s="12"/>
      <c r="DU551" s="14"/>
      <c r="DV551" s="16"/>
      <c r="DW551" s="14"/>
      <c r="DX551" s="12"/>
      <c r="DY551" s="14"/>
      <c r="DZ551" s="16"/>
      <c r="EA551" s="14"/>
      <c r="EB551" s="12"/>
      <c r="EC551" s="14"/>
      <c r="ED551" s="16"/>
      <c r="EE551" s="14"/>
      <c r="EF551" s="12"/>
      <c r="EG551" s="12"/>
      <c r="EH551" s="14"/>
      <c r="EI551" s="16"/>
      <c r="EJ551" s="14"/>
      <c r="EK551" s="14">
        <v>7412</v>
      </c>
      <c r="EL551" s="14">
        <v>7637</v>
      </c>
      <c r="EM551" s="14">
        <v>15049</v>
      </c>
      <c r="EN551" s="14">
        <v>443</v>
      </c>
      <c r="EO551" s="14">
        <v>2843</v>
      </c>
      <c r="EP551" s="14">
        <v>3286</v>
      </c>
      <c r="EQ551" s="12" t="s">
        <v>320</v>
      </c>
      <c r="ER551" s="14">
        <v>3286</v>
      </c>
      <c r="ES551" s="16">
        <v>0.5</v>
      </c>
      <c r="ET551" s="14">
        <v>14587</v>
      </c>
      <c r="EU551" s="11" t="s">
        <v>320</v>
      </c>
      <c r="EV551" s="14">
        <v>53</v>
      </c>
      <c r="EW551" s="16">
        <v>0</v>
      </c>
      <c r="EX551" s="14">
        <v>159</v>
      </c>
      <c r="EY551" s="12" t="s">
        <v>320</v>
      </c>
      <c r="EZ551" s="14">
        <v>3286</v>
      </c>
      <c r="FA551" s="16">
        <v>0.5</v>
      </c>
      <c r="FB551" s="14">
        <v>14587</v>
      </c>
      <c r="FC551" s="12"/>
      <c r="FD551" s="14"/>
      <c r="FE551" s="16"/>
      <c r="FF551" s="14"/>
      <c r="FG551" s="12"/>
      <c r="FH551" s="14"/>
      <c r="FI551" s="16"/>
      <c r="FJ551" s="14"/>
      <c r="FK551" s="12"/>
      <c r="FL551" s="14"/>
      <c r="FM551" s="16"/>
      <c r="FN551" s="14"/>
      <c r="FO551" s="12"/>
      <c r="FP551" s="14"/>
      <c r="FQ551" s="16"/>
      <c r="FR551" s="14"/>
      <c r="FS551" s="12"/>
      <c r="FT551" s="14"/>
      <c r="FU551" s="16"/>
      <c r="FV551" s="14"/>
      <c r="FW551" s="12"/>
      <c r="FX551" s="14"/>
      <c r="FY551" s="16"/>
      <c r="FZ551" s="14"/>
      <c r="GA551" s="12"/>
      <c r="GB551" s="14"/>
      <c r="GC551" s="16"/>
      <c r="GD551" s="14"/>
      <c r="GE551" s="12"/>
      <c r="GF551" s="14"/>
      <c r="GG551" s="16"/>
      <c r="GH551" s="14"/>
      <c r="GI551" s="11" t="s">
        <v>320</v>
      </c>
      <c r="GJ551" s="14">
        <v>3748</v>
      </c>
      <c r="GK551" s="16">
        <v>0.51</v>
      </c>
      <c r="GL551" s="14">
        <v>16897</v>
      </c>
      <c r="GM551" s="11" t="s">
        <v>320</v>
      </c>
      <c r="GN551" s="14">
        <v>3748</v>
      </c>
      <c r="GO551" s="16">
        <v>0.51</v>
      </c>
      <c r="GP551" s="14">
        <v>16897</v>
      </c>
      <c r="GQ551" s="12"/>
      <c r="GR551" s="14"/>
      <c r="GS551" s="16"/>
      <c r="GT551" s="14"/>
      <c r="GU551" s="12"/>
      <c r="GV551" s="14"/>
      <c r="GW551" s="16"/>
      <c r="GX551" s="14"/>
      <c r="GY551" s="12"/>
      <c r="GZ551" s="14"/>
      <c r="HA551" s="16"/>
      <c r="HB551" s="14"/>
      <c r="HC551" s="12"/>
      <c r="HD551" s="12"/>
      <c r="HE551" s="14"/>
      <c r="HF551" s="16"/>
      <c r="HG551" s="14"/>
      <c r="HH551" s="12" t="s">
        <v>319</v>
      </c>
      <c r="HI551" s="12"/>
      <c r="HJ551" s="12"/>
      <c r="HK551" s="12"/>
      <c r="HL551" s="12" t="s">
        <v>320</v>
      </c>
      <c r="HM551" s="12" t="s">
        <v>328</v>
      </c>
      <c r="HN551" s="12">
        <v>2017</v>
      </c>
      <c r="HO551" s="12" t="s">
        <v>1864</v>
      </c>
      <c r="HP551" s="12" t="s">
        <v>453</v>
      </c>
      <c r="HQ551" s="12" t="s">
        <v>320</v>
      </c>
      <c r="HR551" s="12" t="s">
        <v>320</v>
      </c>
      <c r="HS551" s="12" t="s">
        <v>320</v>
      </c>
      <c r="HT551" s="12" t="s">
        <v>320</v>
      </c>
      <c r="HU551" s="12" t="s">
        <v>320</v>
      </c>
      <c r="HV551" s="12" t="s">
        <v>320</v>
      </c>
      <c r="HW551" s="12" t="s">
        <v>320</v>
      </c>
      <c r="HX551" s="12"/>
      <c r="HY551" s="12"/>
      <c r="HZ551" s="11" t="s">
        <v>394</v>
      </c>
      <c r="IA551" s="12"/>
      <c r="IB551" s="12" t="s">
        <v>396</v>
      </c>
      <c r="IC551" s="12"/>
      <c r="ID551" s="11" t="s">
        <v>364</v>
      </c>
      <c r="IE551" s="12" t="s">
        <v>335</v>
      </c>
      <c r="IF551" s="12" t="s">
        <v>320</v>
      </c>
      <c r="IG551" s="12" t="s">
        <v>320</v>
      </c>
      <c r="IH551" s="12" t="s">
        <v>320</v>
      </c>
      <c r="II551" s="12" t="s">
        <v>320</v>
      </c>
      <c r="IJ551" s="12" t="str">
        <f t="shared" si="345"/>
        <v>2. Sensitive</v>
      </c>
      <c r="IK551" s="12">
        <f t="shared" si="346"/>
        <v>4</v>
      </c>
      <c r="IL551" s="11" t="s">
        <v>621</v>
      </c>
      <c r="IM551" s="12" t="s">
        <v>320</v>
      </c>
      <c r="IN551" s="12" t="s">
        <v>320</v>
      </c>
      <c r="IO551" s="12" t="s">
        <v>320</v>
      </c>
      <c r="IP551" s="12" t="s">
        <v>320</v>
      </c>
      <c r="IQ551" s="12" t="str">
        <f t="shared" si="347"/>
        <v>4. Transformational</v>
      </c>
      <c r="IR551" s="12">
        <f t="shared" si="348"/>
        <v>4</v>
      </c>
      <c r="IS551" s="12" t="s">
        <v>337</v>
      </c>
      <c r="IT551" s="12" t="s">
        <v>320</v>
      </c>
      <c r="IU551" s="12" t="s">
        <v>320</v>
      </c>
      <c r="IV551" s="12" t="s">
        <v>320</v>
      </c>
      <c r="IW551" s="11" t="str">
        <f t="shared" si="349"/>
        <v>2. Sensitive</v>
      </c>
      <c r="IX551" s="12">
        <f t="shared" si="350"/>
        <v>3</v>
      </c>
      <c r="IY551" s="11" t="s">
        <v>419</v>
      </c>
      <c r="IZ551" s="12" t="s">
        <v>457</v>
      </c>
      <c r="JA551" s="12">
        <v>3</v>
      </c>
      <c r="JB551" s="11" t="s">
        <v>433</v>
      </c>
      <c r="JC551" s="12" t="s">
        <v>651</v>
      </c>
      <c r="JD551" s="11" t="s">
        <v>1113</v>
      </c>
      <c r="JE551" s="12" t="s">
        <v>340</v>
      </c>
      <c r="JF551" s="12"/>
      <c r="JG551" s="12" t="s">
        <v>1865</v>
      </c>
      <c r="JH551" s="12" t="s">
        <v>1866</v>
      </c>
      <c r="JI551" s="12" t="s">
        <v>1867</v>
      </c>
      <c r="JJ551" s="12" t="s">
        <v>1868</v>
      </c>
      <c r="JK551" s="12" t="s">
        <v>1869</v>
      </c>
      <c r="JL551" s="12" t="s">
        <v>1870</v>
      </c>
      <c r="JM551" s="12" t="s">
        <v>1871</v>
      </c>
      <c r="JN551" s="12"/>
      <c r="JO551" s="12"/>
      <c r="JP551" s="15">
        <f t="shared" si="351"/>
        <v>15049</v>
      </c>
      <c r="JQ551" s="15">
        <f t="shared" si="352"/>
        <v>3286</v>
      </c>
      <c r="JR551" s="279">
        <f t="shared" si="353"/>
        <v>0.21835337896205728</v>
      </c>
      <c r="JS551" s="17">
        <f t="shared" si="354"/>
        <v>0.49252442022725762</v>
      </c>
      <c r="JT551" s="18">
        <f t="shared" si="355"/>
        <v>0.13481436396835059</v>
      </c>
      <c r="JU551" s="280">
        <f t="shared" si="356"/>
        <v>7412</v>
      </c>
      <c r="JV551" s="280">
        <f t="shared" si="357"/>
        <v>443</v>
      </c>
      <c r="JW551" s="319" t="str">
        <f t="shared" si="358"/>
        <v/>
      </c>
      <c r="JX551" s="15">
        <f t="shared" si="359"/>
        <v>0</v>
      </c>
      <c r="JY551" s="15">
        <f t="shared" si="360"/>
        <v>0</v>
      </c>
      <c r="JZ551" s="19" t="str">
        <f t="shared" si="361"/>
        <v/>
      </c>
      <c r="KA551" s="52">
        <f t="shared" si="362"/>
        <v>1</v>
      </c>
      <c r="KB551" s="15">
        <f t="shared" si="363"/>
        <v>3748</v>
      </c>
      <c r="KC551" s="15">
        <f t="shared" si="364"/>
        <v>16897</v>
      </c>
      <c r="KD551" s="20">
        <f t="shared" si="365"/>
        <v>4.5082710779082174</v>
      </c>
      <c r="KE551" s="52" t="str">
        <f t="shared" si="366"/>
        <v/>
      </c>
      <c r="KF551" s="15">
        <f t="shared" si="367"/>
        <v>0</v>
      </c>
      <c r="KG551" s="15">
        <f t="shared" si="368"/>
        <v>0</v>
      </c>
      <c r="KH551" s="21" t="str">
        <f t="shared" si="369"/>
        <v/>
      </c>
      <c r="KI551" s="52" t="str">
        <f t="shared" si="370"/>
        <v/>
      </c>
      <c r="KJ551" s="15">
        <f t="shared" si="371"/>
        <v>0</v>
      </c>
      <c r="KK551" s="15">
        <f t="shared" si="372"/>
        <v>0</v>
      </c>
      <c r="KL551" s="19" t="str">
        <f t="shared" si="373"/>
        <v/>
      </c>
      <c r="KM551" s="52" t="str">
        <f t="shared" si="374"/>
        <v/>
      </c>
      <c r="KN551" s="22">
        <f t="shared" si="375"/>
        <v>0</v>
      </c>
      <c r="KO551" s="22">
        <f t="shared" si="376"/>
        <v>0</v>
      </c>
      <c r="KP551" s="19" t="str">
        <f t="shared" si="377"/>
        <v/>
      </c>
      <c r="KQ551" s="11" t="str">
        <f t="shared" si="378"/>
        <v>2. Sensitive</v>
      </c>
      <c r="KR551" s="11" t="str">
        <f t="shared" si="379"/>
        <v>4. Transformational</v>
      </c>
      <c r="KS551" s="11" t="str">
        <f t="shared" si="380"/>
        <v>2. Sensitive</v>
      </c>
      <c r="KT551" s="11" t="str">
        <f t="shared" si="381"/>
        <v>It tested new ways for fighting poverty, but did not measure results of innovation</v>
      </c>
      <c r="KU551" s="11" t="str">
        <f t="shared" si="382"/>
        <v>Intensive advocacy</v>
      </c>
      <c r="KV551" s="11" t="str">
        <f t="shared" si="383"/>
        <v>It linked and worked with strategic alliances and partners to take tested and effective solutions to scale</v>
      </c>
      <c r="KW551" s="11" t="str">
        <f t="shared" si="384"/>
        <v>Niger - Programme de Gestion Equitable des Ressources Naturelles et de Renforcement de la Société Civile PHASE 2</v>
      </c>
      <c r="KX551" s="11" t="str">
        <f t="shared" si="385"/>
        <v>Programme de Gestion Equitable des Ressources Naturelles et de Renforcement de la Société Civile PHASE 2</v>
      </c>
      <c r="KY551" s="11" t="str">
        <f t="shared" si="386"/>
        <v>Niger</v>
      </c>
      <c r="KZ551" s="12">
        <v>551</v>
      </c>
    </row>
    <row r="552" spans="1:312" x14ac:dyDescent="0.3">
      <c r="A552" s="12" t="s">
        <v>9043</v>
      </c>
      <c r="B552" s="12" t="s">
        <v>1596</v>
      </c>
      <c r="C552" s="12">
        <v>3223</v>
      </c>
      <c r="D552" s="12" t="s">
        <v>9210</v>
      </c>
      <c r="E552" s="277" t="str">
        <f t="shared" si="344"/>
        <v>Niger</v>
      </c>
      <c r="F552" s="12" t="s">
        <v>9211</v>
      </c>
      <c r="G552" s="12" t="s">
        <v>467</v>
      </c>
      <c r="H552" s="11" t="s">
        <v>310</v>
      </c>
      <c r="I552" s="12" t="s">
        <v>468</v>
      </c>
      <c r="J552" s="281" t="s">
        <v>9212</v>
      </c>
      <c r="K552" s="12"/>
      <c r="L552" s="12"/>
      <c r="M552" s="12"/>
      <c r="N552" s="12"/>
      <c r="O552" s="12"/>
      <c r="P552" s="12"/>
      <c r="Q552" s="12"/>
      <c r="R552" s="12"/>
      <c r="S552" s="12"/>
      <c r="T552" s="12"/>
      <c r="U552" s="12"/>
      <c r="V552" s="12"/>
      <c r="W552" s="12"/>
      <c r="X552" s="12"/>
      <c r="Y552" s="12"/>
      <c r="Z552" s="12"/>
      <c r="AA552" s="12"/>
      <c r="AB552" s="12"/>
      <c r="AC552" s="12"/>
      <c r="AD552" s="12"/>
      <c r="BD552" s="13">
        <v>42430</v>
      </c>
      <c r="BE552" s="13">
        <v>43890</v>
      </c>
      <c r="BF552" s="12"/>
      <c r="BG552" s="12" t="s">
        <v>350</v>
      </c>
      <c r="BH552" s="14">
        <v>6806550</v>
      </c>
      <c r="BI552" s="12" t="s">
        <v>9213</v>
      </c>
      <c r="BJ552" s="12" t="s">
        <v>9214</v>
      </c>
      <c r="BK552" s="12" t="s">
        <v>9215</v>
      </c>
      <c r="BL552" s="12" t="s">
        <v>9216</v>
      </c>
      <c r="BM552" s="12" t="s">
        <v>9217</v>
      </c>
      <c r="BN552" s="12" t="s">
        <v>9218</v>
      </c>
      <c r="BO552" s="11" t="s">
        <v>319</v>
      </c>
      <c r="BP552" s="11" t="s">
        <v>320</v>
      </c>
      <c r="BQ552" s="11" t="s">
        <v>319</v>
      </c>
      <c r="BR552" s="12" t="s">
        <v>9219</v>
      </c>
      <c r="BS552" s="12" t="s">
        <v>357</v>
      </c>
      <c r="BT552" s="12" t="s">
        <v>9220</v>
      </c>
      <c r="BU552" s="12" t="s">
        <v>9221</v>
      </c>
      <c r="BV552" s="14">
        <v>215900</v>
      </c>
      <c r="BW552" s="14">
        <v>195328</v>
      </c>
      <c r="BX552" s="14">
        <v>411228</v>
      </c>
      <c r="BY552" s="14">
        <v>1242396</v>
      </c>
      <c r="BZ552" s="14">
        <v>1212932</v>
      </c>
      <c r="CA552" s="14">
        <v>2455328</v>
      </c>
      <c r="CB552" s="12" t="s">
        <v>9222</v>
      </c>
      <c r="CD552" s="14"/>
      <c r="CE552" s="14"/>
      <c r="CF552" s="14"/>
      <c r="CG552" s="14"/>
      <c r="CH552" s="14"/>
      <c r="CI552" s="14"/>
      <c r="CJ552" s="12"/>
      <c r="CK552" s="14"/>
      <c r="CL552" s="16"/>
      <c r="CM552" s="14"/>
      <c r="CN552" s="12"/>
      <c r="CO552" s="14"/>
      <c r="CP552" s="16"/>
      <c r="CQ552" s="14"/>
      <c r="CR552" s="12"/>
      <c r="CS552" s="14"/>
      <c r="CT552" s="16"/>
      <c r="CU552" s="14"/>
      <c r="CV552" s="12"/>
      <c r="CW552" s="14"/>
      <c r="CX552" s="16"/>
      <c r="CY552" s="14"/>
      <c r="CZ552" s="12"/>
      <c r="DA552" s="14"/>
      <c r="DB552" s="16"/>
      <c r="DC552" s="14"/>
      <c r="DD552" s="12"/>
      <c r="DE552" s="14"/>
      <c r="DF552" s="16"/>
      <c r="DG552" s="14"/>
      <c r="DH552" s="12"/>
      <c r="DI552" s="14"/>
      <c r="DJ552" s="16"/>
      <c r="DK552" s="14"/>
      <c r="DL552" s="12"/>
      <c r="DM552" s="14"/>
      <c r="DN552" s="16"/>
      <c r="DO552" s="14"/>
      <c r="DP552" s="12"/>
      <c r="DQ552" s="14"/>
      <c r="DR552" s="16"/>
      <c r="DS552" s="14"/>
      <c r="DT552" s="12"/>
      <c r="DU552" s="14"/>
      <c r="DV552" s="16"/>
      <c r="DW552" s="14"/>
      <c r="DX552" s="12"/>
      <c r="DY552" s="14"/>
      <c r="DZ552" s="16"/>
      <c r="EA552" s="14"/>
      <c r="EB552" s="12"/>
      <c r="EC552" s="14"/>
      <c r="ED552" s="16"/>
      <c r="EE552" s="14"/>
      <c r="EF552" s="12"/>
      <c r="EG552" s="12"/>
      <c r="EH552" s="14"/>
      <c r="EI552" s="16"/>
      <c r="EJ552" s="14"/>
      <c r="EK552" s="14">
        <v>56582</v>
      </c>
      <c r="EL552" s="14">
        <v>9965</v>
      </c>
      <c r="EM552" s="14">
        <v>66547</v>
      </c>
      <c r="EN552" s="14">
        <v>235709</v>
      </c>
      <c r="EO552" s="14">
        <v>230120</v>
      </c>
      <c r="EP552" s="14">
        <v>465829</v>
      </c>
      <c r="EQ552" s="12" t="s">
        <v>319</v>
      </c>
      <c r="ER552" s="14"/>
      <c r="ES552" s="16"/>
      <c r="ET552" s="14"/>
      <c r="EU552" s="11" t="s">
        <v>320</v>
      </c>
      <c r="EV552" s="14">
        <v>1275</v>
      </c>
      <c r="EW552" s="16">
        <v>0.97</v>
      </c>
      <c r="EX552" s="14">
        <v>8925</v>
      </c>
      <c r="EY552" s="12" t="s">
        <v>319</v>
      </c>
      <c r="EZ552" s="14"/>
      <c r="FA552" s="16"/>
      <c r="FB552" s="14"/>
      <c r="FC552" s="12" t="s">
        <v>319</v>
      </c>
      <c r="FD552" s="14"/>
      <c r="FE552" s="16"/>
      <c r="FF552" s="14"/>
      <c r="FG552" s="12" t="s">
        <v>319</v>
      </c>
      <c r="FH552" s="14"/>
      <c r="FI552" s="16"/>
      <c r="FJ552" s="14"/>
      <c r="FK552" s="12" t="s">
        <v>320</v>
      </c>
      <c r="FL552" s="14">
        <v>4488</v>
      </c>
      <c r="FM552" s="16">
        <v>0.73</v>
      </c>
      <c r="FN552" s="14">
        <v>31416</v>
      </c>
      <c r="FO552" s="12" t="s">
        <v>319</v>
      </c>
      <c r="FP552" s="14"/>
      <c r="FQ552" s="16"/>
      <c r="FR552" s="14"/>
      <c r="FS552" s="12" t="s">
        <v>320</v>
      </c>
      <c r="FT552" s="14">
        <v>80</v>
      </c>
      <c r="FU552" s="16">
        <v>1</v>
      </c>
      <c r="FV552" s="14">
        <v>560</v>
      </c>
      <c r="FW552" s="11" t="s">
        <v>320</v>
      </c>
      <c r="FX552" s="14">
        <v>1961</v>
      </c>
      <c r="FY552" s="16">
        <v>1</v>
      </c>
      <c r="FZ552" s="14">
        <v>13727</v>
      </c>
      <c r="GA552" s="12" t="s">
        <v>319</v>
      </c>
      <c r="GB552" s="14"/>
      <c r="GC552" s="16"/>
      <c r="GD552" s="14"/>
      <c r="GE552" s="12" t="s">
        <v>319</v>
      </c>
      <c r="GF552" s="14"/>
      <c r="GG552" s="16"/>
      <c r="GH552" s="14"/>
      <c r="GI552" s="12" t="s">
        <v>319</v>
      </c>
      <c r="GJ552" s="14"/>
      <c r="GK552" s="16"/>
      <c r="GL552" s="14"/>
      <c r="GM552" s="11" t="s">
        <v>320</v>
      </c>
      <c r="GN552" s="14">
        <v>2437</v>
      </c>
      <c r="GO552" s="16">
        <v>0.97</v>
      </c>
      <c r="GP552" s="14">
        <v>17059</v>
      </c>
      <c r="GQ552" s="12" t="s">
        <v>319</v>
      </c>
      <c r="GR552" s="14"/>
      <c r="GS552" s="16"/>
      <c r="GT552" s="14"/>
      <c r="GU552" s="12" t="s">
        <v>319</v>
      </c>
      <c r="GV552" s="14"/>
      <c r="GW552" s="16"/>
      <c r="GX552" s="14"/>
      <c r="GY552" s="11" t="s">
        <v>320</v>
      </c>
      <c r="GZ552" s="14">
        <v>66547</v>
      </c>
      <c r="HA552" s="16">
        <v>0.97</v>
      </c>
      <c r="HB552" s="14">
        <v>465829</v>
      </c>
      <c r="HC552" s="12"/>
      <c r="HD552" s="12" t="s">
        <v>319</v>
      </c>
      <c r="HE552" s="14"/>
      <c r="HF552" s="16"/>
      <c r="HG552" s="14"/>
      <c r="HH552" s="12" t="s">
        <v>319</v>
      </c>
      <c r="HI552" s="12"/>
      <c r="HJ552" s="12"/>
      <c r="HK552" s="12" t="s">
        <v>319</v>
      </c>
      <c r="HL552" s="12" t="s">
        <v>320</v>
      </c>
      <c r="HM552" s="12" t="s">
        <v>619</v>
      </c>
      <c r="HN552" s="12">
        <v>2018</v>
      </c>
      <c r="HO552" s="12"/>
      <c r="HP552" s="12" t="s">
        <v>330</v>
      </c>
      <c r="HQ552" s="12" t="s">
        <v>320</v>
      </c>
      <c r="HR552" s="12" t="s">
        <v>320</v>
      </c>
      <c r="HS552" s="12" t="s">
        <v>320</v>
      </c>
      <c r="HT552" s="12" t="s">
        <v>320</v>
      </c>
      <c r="HU552" s="12" t="s">
        <v>320</v>
      </c>
      <c r="HV552" s="12" t="s">
        <v>320</v>
      </c>
      <c r="HW552" s="12" t="s">
        <v>320</v>
      </c>
      <c r="HX552" s="12" t="s">
        <v>319</v>
      </c>
      <c r="HY552" s="12"/>
      <c r="HZ552" s="11" t="s">
        <v>363</v>
      </c>
      <c r="IA552" s="12"/>
      <c r="IB552" s="12" t="s">
        <v>396</v>
      </c>
      <c r="IC552" s="12" t="s">
        <v>9223</v>
      </c>
      <c r="ID552" s="12" t="s">
        <v>334</v>
      </c>
      <c r="IE552" s="12" t="s">
        <v>335</v>
      </c>
      <c r="IF552" s="12" t="s">
        <v>320</v>
      </c>
      <c r="IG552" s="12" t="s">
        <v>320</v>
      </c>
      <c r="IH552" s="12" t="s">
        <v>320</v>
      </c>
      <c r="II552" s="12" t="s">
        <v>320</v>
      </c>
      <c r="IJ552" s="12" t="str">
        <f t="shared" si="345"/>
        <v>2. Sensitive</v>
      </c>
      <c r="IK552" s="12">
        <f t="shared" si="346"/>
        <v>4</v>
      </c>
      <c r="IL552" s="12" t="s">
        <v>336</v>
      </c>
      <c r="IM552" s="12" t="s">
        <v>320</v>
      </c>
      <c r="IN552" s="12" t="s">
        <v>320</v>
      </c>
      <c r="IO552" s="12" t="s">
        <v>320</v>
      </c>
      <c r="IP552" s="12" t="s">
        <v>320</v>
      </c>
      <c r="IQ552" s="12" t="str">
        <f t="shared" si="347"/>
        <v>2. Accommodating</v>
      </c>
      <c r="IR552" s="12">
        <f t="shared" si="348"/>
        <v>4</v>
      </c>
      <c r="IS552" s="12" t="s">
        <v>337</v>
      </c>
      <c r="IT552" s="12" t="s">
        <v>320</v>
      </c>
      <c r="IU552" s="12" t="s">
        <v>320</v>
      </c>
      <c r="IV552" s="12" t="s">
        <v>319</v>
      </c>
      <c r="IW552" s="11" t="str">
        <f t="shared" si="349"/>
        <v>1. Neutral</v>
      </c>
      <c r="IX552" s="12">
        <f t="shared" si="350"/>
        <v>2</v>
      </c>
      <c r="IY552" s="11" t="s">
        <v>419</v>
      </c>
      <c r="IZ552" s="12" t="s">
        <v>457</v>
      </c>
      <c r="JA552" s="12">
        <v>4</v>
      </c>
      <c r="JB552" s="12" t="s">
        <v>624</v>
      </c>
      <c r="JC552" s="12" t="s">
        <v>433</v>
      </c>
      <c r="JD552" s="11" t="s">
        <v>687</v>
      </c>
      <c r="JE552" s="12" t="s">
        <v>340</v>
      </c>
      <c r="JF552" s="12" t="s">
        <v>9224</v>
      </c>
      <c r="JG552" s="12"/>
      <c r="JH552" s="12" t="s">
        <v>9225</v>
      </c>
      <c r="JI552" s="12" t="s">
        <v>9226</v>
      </c>
      <c r="JJ552" s="12" t="s">
        <v>9227</v>
      </c>
      <c r="JK552" s="12"/>
      <c r="JL552" s="12"/>
      <c r="JM552" s="12"/>
      <c r="JN552" s="12"/>
      <c r="JO552" s="12"/>
      <c r="JP552" s="15">
        <f t="shared" si="351"/>
        <v>66547</v>
      </c>
      <c r="JQ552" s="15">
        <f t="shared" si="352"/>
        <v>465829</v>
      </c>
      <c r="JR552" s="279">
        <f t="shared" si="353"/>
        <v>7</v>
      </c>
      <c r="JS552" s="17">
        <f t="shared" si="354"/>
        <v>0.85025620989676465</v>
      </c>
      <c r="JT552" s="18">
        <f t="shared" si="355"/>
        <v>0.50599898245922859</v>
      </c>
      <c r="JU552" s="280">
        <f t="shared" si="356"/>
        <v>56582</v>
      </c>
      <c r="JV552" s="280">
        <f t="shared" si="357"/>
        <v>235709</v>
      </c>
      <c r="JW552" s="319" t="str">
        <f t="shared" si="358"/>
        <v/>
      </c>
      <c r="JX552" s="15">
        <f t="shared" si="359"/>
        <v>0</v>
      </c>
      <c r="JY552" s="15">
        <f t="shared" si="360"/>
        <v>0</v>
      </c>
      <c r="JZ552" s="19" t="str">
        <f t="shared" si="361"/>
        <v/>
      </c>
      <c r="KA552" s="52">
        <f t="shared" si="362"/>
        <v>1</v>
      </c>
      <c r="KB552" s="15">
        <f t="shared" si="363"/>
        <v>1275</v>
      </c>
      <c r="KC552" s="15">
        <f t="shared" si="364"/>
        <v>8925</v>
      </c>
      <c r="KD552" s="20">
        <f t="shared" si="365"/>
        <v>7</v>
      </c>
      <c r="KE552" s="52" t="str">
        <f t="shared" si="366"/>
        <v/>
      </c>
      <c r="KF552" s="15">
        <f t="shared" si="367"/>
        <v>0</v>
      </c>
      <c r="KG552" s="15">
        <f t="shared" si="368"/>
        <v>0</v>
      </c>
      <c r="KH552" s="21" t="str">
        <f t="shared" si="369"/>
        <v/>
      </c>
      <c r="KI552" s="52">
        <f t="shared" si="370"/>
        <v>1</v>
      </c>
      <c r="KJ552" s="15">
        <f t="shared" si="371"/>
        <v>80</v>
      </c>
      <c r="KK552" s="15">
        <f t="shared" si="372"/>
        <v>560</v>
      </c>
      <c r="KL552" s="19">
        <f t="shared" si="373"/>
        <v>7</v>
      </c>
      <c r="KM552" s="52">
        <f t="shared" si="374"/>
        <v>1</v>
      </c>
      <c r="KN552" s="22">
        <f t="shared" si="375"/>
        <v>66547</v>
      </c>
      <c r="KO552" s="22">
        <f t="shared" si="376"/>
        <v>465829</v>
      </c>
      <c r="KP552" s="19">
        <f t="shared" si="377"/>
        <v>7</v>
      </c>
      <c r="KQ552" s="11" t="str">
        <f t="shared" si="378"/>
        <v>2. Sensitive</v>
      </c>
      <c r="KR552" s="11" t="str">
        <f t="shared" si="379"/>
        <v>2. Accommodating</v>
      </c>
      <c r="KS552" s="11" t="str">
        <f t="shared" si="380"/>
        <v>1. Neutral</v>
      </c>
      <c r="KT552" s="11" t="str">
        <f t="shared" si="381"/>
        <v>It did not develop any specific innovation</v>
      </c>
      <c r="KU552" s="11" t="str">
        <f t="shared" si="382"/>
        <v>Moderate advocacy</v>
      </c>
      <c r="KV552" s="11" t="str">
        <f t="shared" si="383"/>
        <v>It linked and worked with strategic alliances and partners to take tested and effective solutions to scale</v>
      </c>
      <c r="KW552" s="11" t="str">
        <f t="shared" si="384"/>
        <v>Niger - Programme de Promotion de LEquite-Egalite Sociale et de la Societe Civile au Niger : PROMEESS II</v>
      </c>
      <c r="KX552" s="11" t="str">
        <f t="shared" si="385"/>
        <v>Programme de Promotion de LEquite-Egalite Sociale et de la Societe Civile au Niger : PROMEESS II</v>
      </c>
      <c r="KY552" s="11" t="str">
        <f t="shared" si="386"/>
        <v>Niger</v>
      </c>
      <c r="KZ552" s="287">
        <v>552</v>
      </c>
    </row>
    <row r="553" spans="1:312" x14ac:dyDescent="0.3">
      <c r="A553" s="12" t="s">
        <v>9043</v>
      </c>
      <c r="B553" s="12" t="s">
        <v>1596</v>
      </c>
      <c r="C553" s="12"/>
      <c r="D553" s="12" t="s">
        <v>9045</v>
      </c>
      <c r="E553" s="277" t="str">
        <f t="shared" si="344"/>
        <v>Niger</v>
      </c>
      <c r="F553" s="12" t="s">
        <v>9046</v>
      </c>
      <c r="G553" s="12" t="s">
        <v>376</v>
      </c>
      <c r="H553" s="11" t="s">
        <v>310</v>
      </c>
      <c r="I553" s="12" t="s">
        <v>377</v>
      </c>
      <c r="J553" s="278" t="s">
        <v>14564</v>
      </c>
      <c r="K553" s="12"/>
      <c r="L553" s="12"/>
      <c r="M553" s="12"/>
      <c r="N553" s="12"/>
      <c r="O553" s="12"/>
      <c r="P553" s="12"/>
      <c r="Q553" s="12"/>
      <c r="R553" s="12"/>
      <c r="S553" s="12"/>
      <c r="T553" s="12"/>
      <c r="U553" s="12"/>
      <c r="V553" s="12"/>
      <c r="W553" s="12"/>
      <c r="X553" s="12"/>
      <c r="Y553" s="12"/>
      <c r="Z553" s="12"/>
      <c r="AA553" s="12"/>
      <c r="AB553" s="12"/>
      <c r="AC553" s="12"/>
      <c r="AD553" s="12"/>
      <c r="BD553" s="13">
        <v>42461</v>
      </c>
      <c r="BE553" s="13">
        <v>42825</v>
      </c>
      <c r="BF553" s="13"/>
      <c r="BG553" s="12" t="s">
        <v>817</v>
      </c>
      <c r="BH553" s="14">
        <v>857143</v>
      </c>
      <c r="BI553" s="12" t="s">
        <v>9047</v>
      </c>
      <c r="BJ553" s="12" t="s">
        <v>2775</v>
      </c>
      <c r="BK553" s="12" t="s">
        <v>9048</v>
      </c>
      <c r="BL553" s="12" t="s">
        <v>9049</v>
      </c>
      <c r="BM553" s="12" t="s">
        <v>9050</v>
      </c>
      <c r="BN553" s="12" t="s">
        <v>9051</v>
      </c>
      <c r="BO553" s="12" t="s">
        <v>320</v>
      </c>
      <c r="BP553" s="12" t="s">
        <v>319</v>
      </c>
      <c r="BQ553" s="12" t="s">
        <v>319</v>
      </c>
      <c r="BR553" s="12" t="s">
        <v>9052</v>
      </c>
      <c r="BS553" s="12" t="s">
        <v>357</v>
      </c>
      <c r="BT553" s="43" t="s">
        <v>9053</v>
      </c>
      <c r="BU553" s="12" t="s">
        <v>9054</v>
      </c>
      <c r="BV553" s="14">
        <v>1410</v>
      </c>
      <c r="BW553" s="14">
        <v>940</v>
      </c>
      <c r="BX553" s="14">
        <v>2350</v>
      </c>
      <c r="BY553" s="14">
        <v>9870</v>
      </c>
      <c r="BZ553" s="14">
        <v>6580</v>
      </c>
      <c r="CA553" s="14">
        <v>16450</v>
      </c>
      <c r="CB553" s="12" t="s">
        <v>9055</v>
      </c>
      <c r="CD553" s="14">
        <v>14453</v>
      </c>
      <c r="CE553" s="14">
        <v>3331</v>
      </c>
      <c r="CF553" s="14">
        <v>17784</v>
      </c>
      <c r="CG553" s="14">
        <v>21941</v>
      </c>
      <c r="CH553" s="14">
        <v>21081</v>
      </c>
      <c r="CI553" s="14">
        <v>43022</v>
      </c>
      <c r="CJ553" s="12"/>
      <c r="CK553" s="14"/>
      <c r="CL553" s="16"/>
      <c r="CM553" s="14"/>
      <c r="CN553" s="12" t="s">
        <v>320</v>
      </c>
      <c r="CO553" s="14">
        <v>1000</v>
      </c>
      <c r="CP553" s="16">
        <v>1</v>
      </c>
      <c r="CQ553" s="14">
        <v>7000</v>
      </c>
      <c r="CR553" s="12"/>
      <c r="CS553" s="14"/>
      <c r="CT553" s="16"/>
      <c r="CU553" s="14"/>
      <c r="CV553" s="12" t="s">
        <v>320</v>
      </c>
      <c r="CW553" s="14">
        <v>11638</v>
      </c>
      <c r="CX553" s="16">
        <v>0.87729850489774797</v>
      </c>
      <c r="CY553" s="14"/>
      <c r="CZ553" s="12"/>
      <c r="DA553" s="14"/>
      <c r="DB553" s="16"/>
      <c r="DC553" s="14"/>
      <c r="DD553" s="12"/>
      <c r="DE553" s="14"/>
      <c r="DF553" s="16"/>
      <c r="DG553" s="14"/>
      <c r="DH553" s="12"/>
      <c r="DI553" s="14"/>
      <c r="DJ553" s="16"/>
      <c r="DK553" s="14"/>
      <c r="DL553" s="12"/>
      <c r="DM553" s="14"/>
      <c r="DN553" s="16"/>
      <c r="DO553" s="14"/>
      <c r="DP553" s="12"/>
      <c r="DQ553" s="14"/>
      <c r="DR553" s="16"/>
      <c r="DS553" s="14"/>
      <c r="DT553" s="12"/>
      <c r="DU553" s="14"/>
      <c r="DV553" s="16"/>
      <c r="DW553" s="14"/>
      <c r="DX553" s="12" t="s">
        <v>320</v>
      </c>
      <c r="DY553" s="14">
        <v>3584</v>
      </c>
      <c r="DZ553" s="16">
        <v>0.51</v>
      </c>
      <c r="EA553" s="14">
        <v>21504</v>
      </c>
      <c r="EB553" s="12" t="s">
        <v>320</v>
      </c>
      <c r="EC553" s="14">
        <v>6146</v>
      </c>
      <c r="ED553" s="16">
        <v>0.69099999999999995</v>
      </c>
      <c r="EE553" s="14">
        <v>43022</v>
      </c>
      <c r="EF553" s="12"/>
      <c r="EG553" s="12"/>
      <c r="EH553" s="14"/>
      <c r="EI553" s="16"/>
      <c r="EJ553" s="14"/>
      <c r="EK553" s="14"/>
      <c r="EL553" s="14"/>
      <c r="EM553" s="14"/>
      <c r="EN553" s="14"/>
      <c r="EO553" s="14"/>
      <c r="EP553" s="14"/>
      <c r="EQ553" s="12"/>
      <c r="ER553" s="14"/>
      <c r="ES553" s="16"/>
      <c r="ET553" s="14"/>
      <c r="EU553" s="12"/>
      <c r="EV553" s="14"/>
      <c r="EW553" s="16"/>
      <c r="EX553" s="14"/>
      <c r="EY553" s="12"/>
      <c r="EZ553" s="14"/>
      <c r="FA553" s="16"/>
      <c r="FB553" s="14"/>
      <c r="FC553" s="12"/>
      <c r="FD553" s="14"/>
      <c r="FE553" s="16"/>
      <c r="FF553" s="14"/>
      <c r="FG553" s="12"/>
      <c r="FH553" s="14"/>
      <c r="FI553" s="16"/>
      <c r="FJ553" s="14"/>
      <c r="FK553" s="12"/>
      <c r="FL553" s="14"/>
      <c r="FM553" s="16"/>
      <c r="FN553" s="14"/>
      <c r="FO553" s="12"/>
      <c r="FP553" s="14"/>
      <c r="FQ553" s="16"/>
      <c r="FR553" s="14"/>
      <c r="FS553" s="12"/>
      <c r="FT553" s="14"/>
      <c r="FU553" s="16"/>
      <c r="FV553" s="14"/>
      <c r="FW553" s="12"/>
      <c r="FX553" s="14"/>
      <c r="FY553" s="16"/>
      <c r="FZ553" s="14"/>
      <c r="GA553" s="12"/>
      <c r="GB553" s="14"/>
      <c r="GC553" s="16"/>
      <c r="GD553" s="14"/>
      <c r="GE553" s="12"/>
      <c r="GF553" s="14"/>
      <c r="GG553" s="16"/>
      <c r="GH553" s="14"/>
      <c r="GI553" s="12"/>
      <c r="GJ553" s="14"/>
      <c r="GK553" s="16"/>
      <c r="GL553" s="14"/>
      <c r="GM553" s="12"/>
      <c r="GN553" s="14"/>
      <c r="GO553" s="16"/>
      <c r="GP553" s="14"/>
      <c r="GQ553" s="12"/>
      <c r="GR553" s="14"/>
      <c r="GS553" s="16"/>
      <c r="GT553" s="14"/>
      <c r="GU553" s="12"/>
      <c r="GV553" s="14"/>
      <c r="GW553" s="16"/>
      <c r="GX553" s="14"/>
      <c r="GY553" s="12"/>
      <c r="GZ553" s="14"/>
      <c r="HA553" s="16"/>
      <c r="HB553" s="14"/>
      <c r="HC553" s="12"/>
      <c r="HD553" s="12"/>
      <c r="HE553" s="14"/>
      <c r="HF553" s="16"/>
      <c r="HG553" s="14"/>
      <c r="HH553" s="12" t="s">
        <v>320</v>
      </c>
      <c r="HI553" s="12" t="s">
        <v>619</v>
      </c>
      <c r="HJ553" s="12">
        <v>2016</v>
      </c>
      <c r="HK553" s="12"/>
      <c r="HL553" s="12"/>
      <c r="HM553" s="12"/>
      <c r="HN553" s="12"/>
      <c r="HO553" s="12"/>
      <c r="HP553" s="12"/>
      <c r="HQ553" s="12"/>
      <c r="HR553" s="12"/>
      <c r="HS553" s="12"/>
      <c r="HT553" s="12"/>
      <c r="HU553" s="12"/>
      <c r="HV553" s="12"/>
      <c r="HW553" s="12"/>
      <c r="HX553" s="12"/>
      <c r="HY553" s="12"/>
      <c r="HZ553" s="12"/>
      <c r="IA553" s="12"/>
      <c r="IB553" s="12"/>
      <c r="IC553" s="12"/>
      <c r="ID553" s="12"/>
      <c r="IE553" s="12" t="s">
        <v>335</v>
      </c>
      <c r="IF553" s="12" t="s">
        <v>320</v>
      </c>
      <c r="IG553" s="12" t="s">
        <v>320</v>
      </c>
      <c r="IH553" s="12" t="s">
        <v>320</v>
      </c>
      <c r="II553" s="12" t="s">
        <v>320</v>
      </c>
      <c r="IJ553" s="12" t="str">
        <f t="shared" si="345"/>
        <v>2. Sensitive</v>
      </c>
      <c r="IK553" s="12">
        <f t="shared" si="346"/>
        <v>4</v>
      </c>
      <c r="IL553" s="12"/>
      <c r="IM553" s="12" t="s">
        <v>320</v>
      </c>
      <c r="IN553" s="12"/>
      <c r="IO553" s="12" t="s">
        <v>320</v>
      </c>
      <c r="IP553" s="12" t="s">
        <v>320</v>
      </c>
      <c r="IQ553" s="12" t="str">
        <f t="shared" si="347"/>
        <v>No marker score</v>
      </c>
      <c r="IR553" s="12">
        <f t="shared" si="348"/>
        <v>3</v>
      </c>
      <c r="IS553" s="12" t="s">
        <v>337</v>
      </c>
      <c r="IT553" s="12" t="s">
        <v>320</v>
      </c>
      <c r="IU553" s="12" t="s">
        <v>320</v>
      </c>
      <c r="IV553" s="12" t="s">
        <v>320</v>
      </c>
      <c r="IW553" s="11" t="str">
        <f t="shared" si="349"/>
        <v>2. Sensitive</v>
      </c>
      <c r="IX553" s="12">
        <f t="shared" si="350"/>
        <v>3</v>
      </c>
      <c r="IZ553" s="12"/>
      <c r="JA553" s="12"/>
      <c r="JB553" s="12"/>
      <c r="JD553" s="12"/>
      <c r="JE553" s="12" t="s">
        <v>420</v>
      </c>
      <c r="JF553" s="12"/>
      <c r="JG553" s="12"/>
      <c r="JH553" s="12"/>
      <c r="JI553" s="12"/>
      <c r="JJ553" s="12"/>
      <c r="JK553" s="12" t="s">
        <v>9056</v>
      </c>
      <c r="JL553" s="12" t="s">
        <v>9057</v>
      </c>
      <c r="JM553" s="12"/>
      <c r="JN553" s="12"/>
      <c r="JO553" s="12"/>
      <c r="JP553" s="15">
        <f t="shared" si="351"/>
        <v>17784</v>
      </c>
      <c r="JQ553" s="15">
        <f t="shared" si="352"/>
        <v>43022</v>
      </c>
      <c r="JR553" s="279">
        <f t="shared" si="353"/>
        <v>2.4191408007197479</v>
      </c>
      <c r="JS553" s="17">
        <f t="shared" si="354"/>
        <v>0.81269680611785877</v>
      </c>
      <c r="JT553" s="18">
        <f t="shared" si="355"/>
        <v>0.50999488633722279</v>
      </c>
      <c r="JU553" s="280">
        <f t="shared" si="356"/>
        <v>14453</v>
      </c>
      <c r="JV553" s="280">
        <f t="shared" si="357"/>
        <v>21941</v>
      </c>
      <c r="JW553" s="319">
        <f t="shared" si="358"/>
        <v>1</v>
      </c>
      <c r="JX553" s="15">
        <f t="shared" si="359"/>
        <v>17784</v>
      </c>
      <c r="JY553" s="15">
        <f t="shared" si="360"/>
        <v>43022</v>
      </c>
      <c r="JZ553" s="19">
        <f t="shared" si="361"/>
        <v>2.4191408007197479</v>
      </c>
      <c r="KA553" s="52">
        <f t="shared" si="362"/>
        <v>1</v>
      </c>
      <c r="KB553" s="15">
        <f t="shared" si="363"/>
        <v>11638</v>
      </c>
      <c r="KC553" s="15">
        <f t="shared" si="364"/>
        <v>0</v>
      </c>
      <c r="KD553" s="20">
        <f t="shared" si="365"/>
        <v>0</v>
      </c>
      <c r="KE553" s="52" t="str">
        <f t="shared" si="366"/>
        <v/>
      </c>
      <c r="KF553" s="15">
        <f t="shared" si="367"/>
        <v>0</v>
      </c>
      <c r="KG553" s="15">
        <f t="shared" si="368"/>
        <v>0</v>
      </c>
      <c r="KH553" s="21" t="str">
        <f t="shared" si="369"/>
        <v/>
      </c>
      <c r="KI553" s="52" t="str">
        <f t="shared" si="370"/>
        <v/>
      </c>
      <c r="KJ553" s="15">
        <f t="shared" si="371"/>
        <v>0</v>
      </c>
      <c r="KK553" s="15">
        <f t="shared" si="372"/>
        <v>0</v>
      </c>
      <c r="KL553" s="19" t="str">
        <f t="shared" si="373"/>
        <v/>
      </c>
      <c r="KM553" s="52" t="str">
        <f t="shared" si="374"/>
        <v/>
      </c>
      <c r="KN553" s="22">
        <f t="shared" si="375"/>
        <v>0</v>
      </c>
      <c r="KO553" s="22">
        <f t="shared" si="376"/>
        <v>0</v>
      </c>
      <c r="KP553" s="19" t="str">
        <f t="shared" si="377"/>
        <v/>
      </c>
      <c r="KQ553" s="11" t="str">
        <f t="shared" si="378"/>
        <v>2. Sensitive</v>
      </c>
      <c r="KR553" s="11" t="str">
        <f t="shared" si="379"/>
        <v>No marker score</v>
      </c>
      <c r="KS553" s="11" t="str">
        <f t="shared" si="380"/>
        <v>2. Sensitive</v>
      </c>
      <c r="KT553" s="11">
        <f t="shared" si="381"/>
        <v>0</v>
      </c>
      <c r="KU553" s="11">
        <f t="shared" si="382"/>
        <v>0</v>
      </c>
      <c r="KV553" s="11">
        <f t="shared" si="383"/>
        <v>0</v>
      </c>
      <c r="KW553" s="11" t="str">
        <f t="shared" si="384"/>
        <v>Niger - Projet d'Atténuation Des Effets de la Crise du Nord Nigeria (PADEC-Rayuwa)</v>
      </c>
      <c r="KX553" s="11" t="str">
        <f t="shared" si="385"/>
        <v>Projet d'Atténuation Des Effets de la Crise du Nord Nigeria (PADEC-Rayuwa)</v>
      </c>
      <c r="KY553" s="11" t="str">
        <f t="shared" si="386"/>
        <v>Niger</v>
      </c>
      <c r="KZ553" s="12">
        <v>553</v>
      </c>
    </row>
    <row r="554" spans="1:312" x14ac:dyDescent="0.3">
      <c r="A554" s="12" t="s">
        <v>9043</v>
      </c>
      <c r="B554" s="12" t="s">
        <v>1596</v>
      </c>
      <c r="C554" s="12"/>
      <c r="D554" s="12" t="s">
        <v>9261</v>
      </c>
      <c r="E554" s="277" t="str">
        <f t="shared" si="344"/>
        <v>Niger</v>
      </c>
      <c r="F554" s="12" t="s">
        <v>9262</v>
      </c>
      <c r="G554" s="12" t="s">
        <v>379</v>
      </c>
      <c r="H554" s="11" t="s">
        <v>310</v>
      </c>
      <c r="I554" s="12" t="s">
        <v>468</v>
      </c>
      <c r="J554" s="281" t="s">
        <v>14715</v>
      </c>
      <c r="K554" s="12"/>
      <c r="L554" s="12"/>
      <c r="M554" s="12"/>
      <c r="N554" s="12"/>
      <c r="O554" s="12"/>
      <c r="P554" s="12"/>
      <c r="Q554" s="12"/>
      <c r="R554" s="12"/>
      <c r="S554" s="12"/>
      <c r="T554" s="12"/>
      <c r="U554" s="12"/>
      <c r="V554" s="12"/>
      <c r="W554" s="12"/>
      <c r="X554" s="12"/>
      <c r="Y554" s="12"/>
      <c r="Z554" s="12"/>
      <c r="AA554" s="12"/>
      <c r="AB554" s="12"/>
      <c r="AC554" s="12"/>
      <c r="AD554" s="12"/>
      <c r="BD554" s="13">
        <v>42564</v>
      </c>
      <c r="BE554" s="13">
        <v>43658</v>
      </c>
      <c r="BF554" s="13"/>
      <c r="BG554" s="12" t="s">
        <v>749</v>
      </c>
      <c r="BH554" s="14">
        <v>7800000</v>
      </c>
      <c r="BI554" s="12" t="s">
        <v>9263</v>
      </c>
      <c r="BJ554" s="12" t="s">
        <v>9264</v>
      </c>
      <c r="BK554" s="12" t="s">
        <v>9142</v>
      </c>
      <c r="BL554" s="12" t="s">
        <v>9265</v>
      </c>
      <c r="BM554" s="12" t="s">
        <v>9266</v>
      </c>
      <c r="BN554" s="12" t="s">
        <v>9267</v>
      </c>
      <c r="BO554" s="12" t="s">
        <v>319</v>
      </c>
      <c r="BP554" s="12" t="s">
        <v>320</v>
      </c>
      <c r="BQ554" s="12" t="s">
        <v>319</v>
      </c>
      <c r="BR554" s="12" t="s">
        <v>9268</v>
      </c>
      <c r="BS554" s="12" t="s">
        <v>357</v>
      </c>
      <c r="BT554" s="43" t="s">
        <v>9269</v>
      </c>
      <c r="BU554" s="12" t="s">
        <v>9270</v>
      </c>
      <c r="BV554" s="14">
        <v>7500</v>
      </c>
      <c r="BW554" s="14">
        <v>15000</v>
      </c>
      <c r="BX554" s="14">
        <v>22500</v>
      </c>
      <c r="BY554" s="14">
        <v>11250</v>
      </c>
      <c r="BZ554" s="14">
        <v>22500</v>
      </c>
      <c r="CA554" s="14">
        <v>33750</v>
      </c>
      <c r="CB554" s="12" t="s">
        <v>9271</v>
      </c>
      <c r="CD554" s="14"/>
      <c r="CE554" s="14"/>
      <c r="CF554" s="14"/>
      <c r="CG554" s="14"/>
      <c r="CH554" s="14"/>
      <c r="CI554" s="14"/>
      <c r="CJ554" s="12"/>
      <c r="CK554" s="14"/>
      <c r="CL554" s="16"/>
      <c r="CM554" s="14"/>
      <c r="CN554" s="12"/>
      <c r="CO554" s="14"/>
      <c r="CP554" s="16"/>
      <c r="CQ554" s="14"/>
      <c r="CR554" s="12"/>
      <c r="CS554" s="14"/>
      <c r="CT554" s="16"/>
      <c r="CU554" s="14"/>
      <c r="CV554" s="12"/>
      <c r="CW554" s="14"/>
      <c r="CX554" s="16"/>
      <c r="CY554" s="14"/>
      <c r="CZ554" s="12"/>
      <c r="DA554" s="14"/>
      <c r="DB554" s="16"/>
      <c r="DC554" s="14"/>
      <c r="DD554" s="12"/>
      <c r="DE554" s="14"/>
      <c r="DF554" s="16"/>
      <c r="DG554" s="14"/>
      <c r="DH554" s="12"/>
      <c r="DI554" s="14"/>
      <c r="DJ554" s="16"/>
      <c r="DK554" s="14"/>
      <c r="DL554" s="12"/>
      <c r="DM554" s="14"/>
      <c r="DN554" s="16"/>
      <c r="DO554" s="14"/>
      <c r="DP554" s="12"/>
      <c r="DQ554" s="14"/>
      <c r="DR554" s="16"/>
      <c r="DS554" s="14"/>
      <c r="DT554" s="12"/>
      <c r="DU554" s="14"/>
      <c r="DV554" s="16"/>
      <c r="DW554" s="14"/>
      <c r="DX554" s="12"/>
      <c r="DY554" s="14"/>
      <c r="DZ554" s="16"/>
      <c r="EA554" s="14"/>
      <c r="EB554" s="12"/>
      <c r="EC554" s="14"/>
      <c r="ED554" s="16"/>
      <c r="EE554" s="14"/>
      <c r="EF554" s="12"/>
      <c r="EG554" s="12"/>
      <c r="EH554" s="14"/>
      <c r="EI554" s="16"/>
      <c r="EJ554" s="14"/>
      <c r="EK554" s="14">
        <v>121</v>
      </c>
      <c r="EL554" s="14">
        <v>402</v>
      </c>
      <c r="EM554" s="14">
        <v>523</v>
      </c>
      <c r="EN554" s="14"/>
      <c r="EO554" s="14"/>
      <c r="EP554" s="14"/>
      <c r="EQ554" s="12" t="s">
        <v>320</v>
      </c>
      <c r="ER554" s="14">
        <v>350</v>
      </c>
      <c r="ES554" s="16">
        <v>0.23</v>
      </c>
      <c r="ET554" s="14"/>
      <c r="EU554" s="12" t="s">
        <v>320</v>
      </c>
      <c r="EV554" s="14">
        <v>173</v>
      </c>
      <c r="EW554" s="16">
        <v>0.21</v>
      </c>
      <c r="EX554" s="14"/>
      <c r="EY554" s="12"/>
      <c r="EZ554" s="14"/>
      <c r="FA554" s="16"/>
      <c r="FB554" s="14"/>
      <c r="FC554" s="12"/>
      <c r="FD554" s="14"/>
      <c r="FE554" s="16"/>
      <c r="FF554" s="14"/>
      <c r="FG554" s="12"/>
      <c r="FH554" s="14"/>
      <c r="FI554" s="16"/>
      <c r="FJ554" s="14"/>
      <c r="FK554" s="12"/>
      <c r="FL554" s="14"/>
      <c r="FM554" s="16"/>
      <c r="FN554" s="14"/>
      <c r="FO554" s="12"/>
      <c r="FP554" s="14"/>
      <c r="FQ554" s="16"/>
      <c r="FR554" s="14"/>
      <c r="FS554" s="12"/>
      <c r="FT554" s="14"/>
      <c r="FU554" s="16"/>
      <c r="FV554" s="14"/>
      <c r="FW554" s="12"/>
      <c r="FX554" s="14"/>
      <c r="FY554" s="16"/>
      <c r="FZ554" s="14"/>
      <c r="GA554" s="12"/>
      <c r="GB554" s="14"/>
      <c r="GC554" s="16"/>
      <c r="GD554" s="14"/>
      <c r="GE554" s="12"/>
      <c r="GF554" s="14"/>
      <c r="GG554" s="16"/>
      <c r="GH554" s="14"/>
      <c r="GI554" s="12"/>
      <c r="GJ554" s="14"/>
      <c r="GK554" s="16"/>
      <c r="GL554" s="14"/>
      <c r="GM554" s="12"/>
      <c r="GN554" s="14"/>
      <c r="GO554" s="16"/>
      <c r="GP554" s="14"/>
      <c r="GQ554" s="12"/>
      <c r="GR554" s="14"/>
      <c r="GS554" s="16"/>
      <c r="GT554" s="14"/>
      <c r="GU554" s="12"/>
      <c r="GV554" s="14"/>
      <c r="GW554" s="16"/>
      <c r="GX554" s="14"/>
      <c r="GY554" s="12"/>
      <c r="GZ554" s="14"/>
      <c r="HA554" s="16"/>
      <c r="HB554" s="14"/>
      <c r="HC554" s="12"/>
      <c r="HD554" s="12"/>
      <c r="HE554" s="14"/>
      <c r="HF554" s="16"/>
      <c r="HG554" s="14"/>
      <c r="HH554" s="12" t="s">
        <v>319</v>
      </c>
      <c r="HI554" s="12"/>
      <c r="HJ554" s="12"/>
      <c r="HK554" s="12" t="s">
        <v>319</v>
      </c>
      <c r="HL554" s="12" t="s">
        <v>319</v>
      </c>
      <c r="HM554" s="12"/>
      <c r="HN554" s="12"/>
      <c r="HO554" s="12"/>
      <c r="HP554" s="12" t="s">
        <v>418</v>
      </c>
      <c r="HQ554" s="12" t="s">
        <v>319</v>
      </c>
      <c r="HR554" s="12" t="s">
        <v>319</v>
      </c>
      <c r="HS554" s="12" t="s">
        <v>319</v>
      </c>
      <c r="HT554" s="12" t="s">
        <v>319</v>
      </c>
      <c r="HU554" s="12" t="s">
        <v>319</v>
      </c>
      <c r="HV554" s="12" t="s">
        <v>319</v>
      </c>
      <c r="HW554" s="12" t="s">
        <v>319</v>
      </c>
      <c r="HX554" s="12" t="s">
        <v>319</v>
      </c>
      <c r="HY554" s="12"/>
      <c r="HZ554" s="12" t="s">
        <v>394</v>
      </c>
      <c r="IA554" s="12" t="s">
        <v>9272</v>
      </c>
      <c r="IB554" s="12" t="s">
        <v>396</v>
      </c>
      <c r="IC554" s="12" t="s">
        <v>9273</v>
      </c>
      <c r="ID554" s="12" t="s">
        <v>364</v>
      </c>
      <c r="IE554" s="12" t="s">
        <v>335</v>
      </c>
      <c r="IF554" s="12" t="s">
        <v>320</v>
      </c>
      <c r="IG554" s="12" t="s">
        <v>320</v>
      </c>
      <c r="IH554" s="12" t="s">
        <v>320</v>
      </c>
      <c r="II554" s="12" t="s">
        <v>319</v>
      </c>
      <c r="IJ554" s="12" t="str">
        <f t="shared" si="345"/>
        <v>1. Neutral</v>
      </c>
      <c r="IK554" s="12">
        <f t="shared" si="346"/>
        <v>3</v>
      </c>
      <c r="IL554" s="12" t="s">
        <v>723</v>
      </c>
      <c r="IM554" s="12" t="s">
        <v>319</v>
      </c>
      <c r="IN554" s="12" t="s">
        <v>319</v>
      </c>
      <c r="IO554" s="12" t="s">
        <v>319</v>
      </c>
      <c r="IP554" s="12" t="s">
        <v>319</v>
      </c>
      <c r="IQ554" s="12" t="str">
        <f t="shared" si="347"/>
        <v>0. Unaware</v>
      </c>
      <c r="IR554" s="12">
        <f t="shared" si="348"/>
        <v>0</v>
      </c>
      <c r="IS554" s="12" t="s">
        <v>337</v>
      </c>
      <c r="IT554" s="12" t="s">
        <v>320</v>
      </c>
      <c r="IU554" s="12" t="s">
        <v>320</v>
      </c>
      <c r="IV554" s="12" t="s">
        <v>319</v>
      </c>
      <c r="IW554" s="11" t="str">
        <f t="shared" si="349"/>
        <v>1. Neutral</v>
      </c>
      <c r="IX554" s="12">
        <f t="shared" si="350"/>
        <v>2</v>
      </c>
      <c r="IZ554" s="12"/>
      <c r="JA554" s="12">
        <v>4</v>
      </c>
      <c r="JB554" s="12" t="s">
        <v>585</v>
      </c>
      <c r="JC554" s="11" t="s">
        <v>433</v>
      </c>
      <c r="JD554" s="12" t="s">
        <v>687</v>
      </c>
      <c r="JE554" s="12" t="s">
        <v>340</v>
      </c>
      <c r="JF554" s="12" t="s">
        <v>9274</v>
      </c>
      <c r="JG554" s="12" t="s">
        <v>9275</v>
      </c>
      <c r="JH554" s="12" t="s">
        <v>9276</v>
      </c>
      <c r="JI554" s="12" t="s">
        <v>9277</v>
      </c>
      <c r="JJ554" s="12" t="s">
        <v>9278</v>
      </c>
      <c r="JK554" s="12" t="s">
        <v>9279</v>
      </c>
      <c r="JL554" s="12" t="s">
        <v>9280</v>
      </c>
      <c r="JM554" s="12" t="s">
        <v>9281</v>
      </c>
      <c r="JN554" s="12" t="s">
        <v>9282</v>
      </c>
      <c r="JO554" s="12"/>
      <c r="JP554" s="15">
        <f t="shared" si="351"/>
        <v>523</v>
      </c>
      <c r="JQ554" s="15">
        <f t="shared" si="352"/>
        <v>0</v>
      </c>
      <c r="JR554" s="279">
        <f t="shared" si="353"/>
        <v>0</v>
      </c>
      <c r="JS554" s="17">
        <f t="shared" si="354"/>
        <v>0.23135755258126195</v>
      </c>
      <c r="JT554" s="18" t="str">
        <f t="shared" si="355"/>
        <v/>
      </c>
      <c r="JU554" s="280">
        <f t="shared" si="356"/>
        <v>121</v>
      </c>
      <c r="JV554" s="280">
        <f t="shared" si="357"/>
        <v>0</v>
      </c>
      <c r="JW554" s="319" t="str">
        <f t="shared" si="358"/>
        <v/>
      </c>
      <c r="JX554" s="15">
        <f t="shared" si="359"/>
        <v>0</v>
      </c>
      <c r="JY554" s="15">
        <f t="shared" si="360"/>
        <v>0</v>
      </c>
      <c r="JZ554" s="19" t="str">
        <f t="shared" si="361"/>
        <v/>
      </c>
      <c r="KA554" s="52">
        <f t="shared" si="362"/>
        <v>1</v>
      </c>
      <c r="KB554" s="15">
        <f t="shared" si="363"/>
        <v>350</v>
      </c>
      <c r="KC554" s="15">
        <f t="shared" si="364"/>
        <v>0</v>
      </c>
      <c r="KD554" s="20">
        <f t="shared" si="365"/>
        <v>0</v>
      </c>
      <c r="KE554" s="52" t="str">
        <f t="shared" si="366"/>
        <v/>
      </c>
      <c r="KF554" s="15">
        <f t="shared" si="367"/>
        <v>0</v>
      </c>
      <c r="KG554" s="15">
        <f t="shared" si="368"/>
        <v>0</v>
      </c>
      <c r="KH554" s="21" t="str">
        <f t="shared" si="369"/>
        <v/>
      </c>
      <c r="KI554" s="52" t="str">
        <f t="shared" si="370"/>
        <v/>
      </c>
      <c r="KJ554" s="15">
        <f t="shared" si="371"/>
        <v>0</v>
      </c>
      <c r="KK554" s="15">
        <f t="shared" si="372"/>
        <v>0</v>
      </c>
      <c r="KL554" s="19" t="str">
        <f t="shared" si="373"/>
        <v/>
      </c>
      <c r="KM554" s="52" t="str">
        <f t="shared" si="374"/>
        <v/>
      </c>
      <c r="KN554" s="22">
        <f t="shared" si="375"/>
        <v>0</v>
      </c>
      <c r="KO554" s="22">
        <f t="shared" si="376"/>
        <v>0</v>
      </c>
      <c r="KP554" s="19" t="str">
        <f t="shared" si="377"/>
        <v/>
      </c>
      <c r="KQ554" s="11" t="str">
        <f t="shared" si="378"/>
        <v>1. Neutral</v>
      </c>
      <c r="KR554" s="11" t="str">
        <f t="shared" si="379"/>
        <v>0. Unaware</v>
      </c>
      <c r="KS554" s="11" t="str">
        <f t="shared" si="380"/>
        <v>1. Neutral</v>
      </c>
      <c r="KT554" s="11" t="str">
        <f t="shared" si="381"/>
        <v>It tested new ways for fighting poverty, but did not measure results of innovation</v>
      </c>
      <c r="KU554" s="11" t="str">
        <f t="shared" si="382"/>
        <v>Little or no advocacy</v>
      </c>
      <c r="KV554" s="11" t="str">
        <f t="shared" si="383"/>
        <v>It linked and worked with strategic alliances and partners to take tested and effective solutions to scale</v>
      </c>
      <c r="KW554" s="11" t="str">
        <f t="shared" si="384"/>
        <v>Niger - Projet de recherche-développement pour la sécurité alimentaire et ladaptation au changement climatique des systèmes ruraux de production au Niger</v>
      </c>
      <c r="KX554" s="11" t="str">
        <f t="shared" si="385"/>
        <v>Projet de recherche-développement pour la sécurité alimentaire et ladaptation au changement climatique des systèmes ruraux de production au Niger</v>
      </c>
      <c r="KY554" s="11" t="str">
        <f t="shared" si="386"/>
        <v>Niger</v>
      </c>
      <c r="KZ554" s="12">
        <v>554</v>
      </c>
    </row>
    <row r="555" spans="1:312" x14ac:dyDescent="0.3">
      <c r="A555" s="12" t="s">
        <v>9043</v>
      </c>
      <c r="B555" s="12" t="s">
        <v>1596</v>
      </c>
      <c r="C555" s="12"/>
      <c r="D555" s="12" t="s">
        <v>9283</v>
      </c>
      <c r="E555" s="277" t="str">
        <f t="shared" si="344"/>
        <v>Niger</v>
      </c>
      <c r="F555" s="12" t="s">
        <v>9284</v>
      </c>
      <c r="G555" s="12" t="s">
        <v>379</v>
      </c>
      <c r="H555" s="12" t="s">
        <v>383</v>
      </c>
      <c r="I555" s="12" t="s">
        <v>384</v>
      </c>
      <c r="J555" s="309" t="s">
        <v>14724</v>
      </c>
      <c r="K555" s="12" t="s">
        <v>9285</v>
      </c>
      <c r="L555" s="12" t="s">
        <v>379</v>
      </c>
      <c r="M555" s="11" t="s">
        <v>489</v>
      </c>
      <c r="N555" s="12" t="s">
        <v>384</v>
      </c>
      <c r="O555" s="12" t="s">
        <v>9286</v>
      </c>
      <c r="P555" s="12"/>
      <c r="Q555" s="12"/>
      <c r="R555" s="12"/>
      <c r="S555" s="12"/>
      <c r="T555" s="12"/>
      <c r="U555" s="12"/>
      <c r="V555" s="12"/>
      <c r="W555" s="12"/>
      <c r="X555" s="12"/>
      <c r="Y555" s="12"/>
      <c r="Z555" s="12"/>
      <c r="AA555" s="12"/>
      <c r="AB555" s="12"/>
      <c r="AC555" s="12"/>
      <c r="AD555" s="12"/>
      <c r="BD555" s="13">
        <v>42552</v>
      </c>
      <c r="BE555" s="12"/>
      <c r="BF555" s="13">
        <v>42947</v>
      </c>
      <c r="BG555" s="12" t="s">
        <v>490</v>
      </c>
      <c r="BH555" s="14"/>
      <c r="BI555" s="12" t="s">
        <v>1830</v>
      </c>
      <c r="BJ555" s="12" t="s">
        <v>9287</v>
      </c>
      <c r="BK555" s="12" t="s">
        <v>9288</v>
      </c>
      <c r="BL555" s="12"/>
      <c r="BM555" s="12"/>
      <c r="BN555" s="12"/>
      <c r="BO555" s="12" t="s">
        <v>319</v>
      </c>
      <c r="BP555" s="12" t="s">
        <v>320</v>
      </c>
      <c r="BQ555" s="12" t="s">
        <v>319</v>
      </c>
      <c r="BR555" s="12" t="s">
        <v>9289</v>
      </c>
      <c r="BS555" s="12" t="s">
        <v>615</v>
      </c>
      <c r="BT555" s="43" t="s">
        <v>9290</v>
      </c>
      <c r="BU555" s="12" t="s">
        <v>9291</v>
      </c>
      <c r="BV555" s="14">
        <v>4576</v>
      </c>
      <c r="BW555" s="14">
        <v>0</v>
      </c>
      <c r="BX555" s="14">
        <v>4576</v>
      </c>
      <c r="BY555" s="14">
        <v>95900</v>
      </c>
      <c r="BZ555" s="14">
        <v>94794</v>
      </c>
      <c r="CA555" s="14">
        <v>190694</v>
      </c>
      <c r="CB555" s="12" t="s">
        <v>9292</v>
      </c>
      <c r="CD555" s="14"/>
      <c r="CE555" s="14"/>
      <c r="CF555" s="14"/>
      <c r="CG555" s="14"/>
      <c r="CH555" s="14"/>
      <c r="CI555" s="14"/>
      <c r="CJ555" s="12"/>
      <c r="CK555" s="14"/>
      <c r="CL555" s="16"/>
      <c r="CM555" s="14"/>
      <c r="CN555" s="12"/>
      <c r="CO555" s="14"/>
      <c r="CP555" s="16"/>
      <c r="CQ555" s="14"/>
      <c r="CR555" s="12"/>
      <c r="CS555" s="14"/>
      <c r="CT555" s="16"/>
      <c r="CU555" s="14"/>
      <c r="CV555" s="12"/>
      <c r="CW555" s="14"/>
      <c r="CX555" s="16"/>
      <c r="CY555" s="14"/>
      <c r="CZ555" s="12"/>
      <c r="DA555" s="14"/>
      <c r="DB555" s="16"/>
      <c r="DC555" s="14"/>
      <c r="DD555" s="12"/>
      <c r="DE555" s="14"/>
      <c r="DF555" s="16"/>
      <c r="DG555" s="14"/>
      <c r="DH555" s="12"/>
      <c r="DI555" s="14"/>
      <c r="DJ555" s="16"/>
      <c r="DK555" s="14">
        <v>0</v>
      </c>
      <c r="DL555" s="12"/>
      <c r="DM555" s="14"/>
      <c r="DN555" s="16"/>
      <c r="DO555" s="14"/>
      <c r="DP555" s="12"/>
      <c r="DQ555" s="14"/>
      <c r="DR555" s="16"/>
      <c r="DS555" s="14"/>
      <c r="DT555" s="12"/>
      <c r="DU555" s="14"/>
      <c r="DV555" s="16"/>
      <c r="DW555" s="14"/>
      <c r="DX555" s="12"/>
      <c r="DY555" s="14"/>
      <c r="DZ555" s="16"/>
      <c r="EA555" s="14"/>
      <c r="EB555" s="12"/>
      <c r="EC555" s="14"/>
      <c r="ED555" s="16"/>
      <c r="EE555" s="14"/>
      <c r="EF555" s="12"/>
      <c r="EG555" s="12"/>
      <c r="EH555" s="14"/>
      <c r="EI555" s="16"/>
      <c r="EJ555" s="14"/>
      <c r="EK555" s="14">
        <v>3969</v>
      </c>
      <c r="EL555" s="14"/>
      <c r="EM555" s="14">
        <v>3969</v>
      </c>
      <c r="EN555" s="14">
        <v>95900</v>
      </c>
      <c r="EO555" s="14">
        <v>94794</v>
      </c>
      <c r="EP555" s="14">
        <v>190694</v>
      </c>
      <c r="EQ555" s="12"/>
      <c r="ER555" s="14"/>
      <c r="ES555" s="16"/>
      <c r="ET555" s="14"/>
      <c r="EU555" s="12"/>
      <c r="EV555" s="14"/>
      <c r="EW555" s="16"/>
      <c r="EX555" s="14"/>
      <c r="EY555" s="12"/>
      <c r="EZ555" s="14"/>
      <c r="FA555" s="16"/>
      <c r="FB555" s="14"/>
      <c r="FC555" s="12"/>
      <c r="FD555" s="14"/>
      <c r="FE555" s="16"/>
      <c r="FF555" s="14"/>
      <c r="FG555" s="12"/>
      <c r="FH555" s="14"/>
      <c r="FI555" s="16"/>
      <c r="FJ555" s="14"/>
      <c r="FK555" s="12"/>
      <c r="FL555" s="14"/>
      <c r="FM555" s="16"/>
      <c r="FN555" s="14"/>
      <c r="FO555" s="12"/>
      <c r="FP555" s="14"/>
      <c r="FQ555" s="16"/>
      <c r="FR555" s="14"/>
      <c r="FS555" s="12"/>
      <c r="FT555" s="14"/>
      <c r="FU555" s="16"/>
      <c r="FV555" s="14"/>
      <c r="FW555" s="12"/>
      <c r="FX555" s="14"/>
      <c r="FY555" s="16"/>
      <c r="FZ555" s="14"/>
      <c r="GA555" s="12"/>
      <c r="GB555" s="14"/>
      <c r="GC555" s="16"/>
      <c r="GD555" s="14"/>
      <c r="GE555" s="12"/>
      <c r="GF555" s="14"/>
      <c r="GG555" s="16"/>
      <c r="GH555" s="14"/>
      <c r="GI555" s="12"/>
      <c r="GJ555" s="14"/>
      <c r="GK555" s="16"/>
      <c r="GL555" s="14"/>
      <c r="GM555" s="12"/>
      <c r="GN555" s="14"/>
      <c r="GO555" s="16"/>
      <c r="GP555" s="14"/>
      <c r="GQ555" s="12" t="s">
        <v>320</v>
      </c>
      <c r="GR555" s="14">
        <v>3969</v>
      </c>
      <c r="GS555" s="16">
        <v>1</v>
      </c>
      <c r="GT555" s="14">
        <v>3969</v>
      </c>
      <c r="GU555" s="12"/>
      <c r="GV555" s="14"/>
      <c r="GW555" s="16"/>
      <c r="GX555" s="14"/>
      <c r="GY555" s="12"/>
      <c r="GZ555" s="14"/>
      <c r="HA555" s="16"/>
      <c r="HB555" s="14"/>
      <c r="HC555" s="12"/>
      <c r="HD555" s="12"/>
      <c r="HE555" s="14"/>
      <c r="HF555" s="16"/>
      <c r="HG555" s="14"/>
      <c r="HH555" s="12" t="s">
        <v>319</v>
      </c>
      <c r="HI555" s="12"/>
      <c r="HJ555" s="12"/>
      <c r="HK555" s="12" t="s">
        <v>319</v>
      </c>
      <c r="HL555" s="12" t="s">
        <v>319</v>
      </c>
      <c r="HM555" s="12"/>
      <c r="HN555" s="12"/>
      <c r="HO555" s="12"/>
      <c r="HP555" s="12" t="s">
        <v>418</v>
      </c>
      <c r="HQ555" s="12"/>
      <c r="HR555" s="12"/>
      <c r="HS555" s="12"/>
      <c r="HT555" s="12"/>
      <c r="HU555" s="12"/>
      <c r="HV555" s="12"/>
      <c r="HW555" s="12"/>
      <c r="HX555" s="12"/>
      <c r="HY555" s="12"/>
      <c r="HZ555" s="12"/>
      <c r="IA555" s="12"/>
      <c r="IB555" s="12"/>
      <c r="IC555" s="12"/>
      <c r="ID555" s="12"/>
      <c r="IE555" s="12"/>
      <c r="IF555" s="12"/>
      <c r="IG555" s="12"/>
      <c r="IH555" s="12"/>
      <c r="II555" s="12"/>
      <c r="IJ555" s="12" t="str">
        <f t="shared" si="345"/>
        <v>No marker score</v>
      </c>
      <c r="IK555" s="12">
        <f t="shared" si="346"/>
        <v>0</v>
      </c>
      <c r="IL555" s="12" t="s">
        <v>336</v>
      </c>
      <c r="IM555" s="12"/>
      <c r="IN555" s="12"/>
      <c r="IO555" s="12"/>
      <c r="IP555" s="12"/>
      <c r="IQ555" s="12" t="str">
        <f t="shared" si="347"/>
        <v>0. Unaware</v>
      </c>
      <c r="IR555" s="12">
        <f t="shared" si="348"/>
        <v>0</v>
      </c>
      <c r="IS555" s="12"/>
      <c r="IT555" s="12"/>
      <c r="IU555" s="12"/>
      <c r="IV555" s="12"/>
      <c r="IW555" s="11" t="str">
        <f t="shared" si="349"/>
        <v>No marker score</v>
      </c>
      <c r="IX555" s="12">
        <f t="shared" si="350"/>
        <v>0</v>
      </c>
      <c r="IY555" s="12"/>
      <c r="IZ555" s="12"/>
      <c r="JA555" s="12">
        <v>2</v>
      </c>
      <c r="JB555" s="11" t="s">
        <v>623</v>
      </c>
      <c r="JC555" s="11" t="s">
        <v>624</v>
      </c>
      <c r="JD555" s="12"/>
      <c r="JE555" s="12"/>
      <c r="JF555" s="12"/>
      <c r="JG555" s="12"/>
      <c r="JH555" s="12"/>
      <c r="JI555" s="12"/>
      <c r="JJ555" s="12"/>
      <c r="JK555" s="12"/>
      <c r="JL555" s="12"/>
      <c r="JM555" s="12"/>
      <c r="JN555" s="12"/>
      <c r="JO555" s="12"/>
      <c r="JP555" s="15">
        <f t="shared" si="351"/>
        <v>3969</v>
      </c>
      <c r="JQ555" s="15">
        <f t="shared" si="352"/>
        <v>190694</v>
      </c>
      <c r="JR555" s="279">
        <f t="shared" si="353"/>
        <v>48.045855379188716</v>
      </c>
      <c r="JS555" s="17">
        <f t="shared" si="354"/>
        <v>1</v>
      </c>
      <c r="JT555" s="18">
        <f t="shared" si="355"/>
        <v>0.5028999339255561</v>
      </c>
      <c r="JU555" s="280">
        <f t="shared" si="356"/>
        <v>3969</v>
      </c>
      <c r="JV555" s="280">
        <f t="shared" si="357"/>
        <v>95900</v>
      </c>
      <c r="JW555" s="319" t="str">
        <f t="shared" si="358"/>
        <v/>
      </c>
      <c r="JX555" s="15">
        <f t="shared" si="359"/>
        <v>0</v>
      </c>
      <c r="JY555" s="15">
        <f t="shared" si="360"/>
        <v>0</v>
      </c>
      <c r="JZ555" s="19" t="str">
        <f t="shared" si="361"/>
        <v/>
      </c>
      <c r="KA555" s="52" t="str">
        <f t="shared" si="362"/>
        <v/>
      </c>
      <c r="KB555" s="15">
        <f t="shared" si="363"/>
        <v>0</v>
      </c>
      <c r="KC555" s="15">
        <f t="shared" si="364"/>
        <v>0</v>
      </c>
      <c r="KD555" s="20" t="str">
        <f t="shared" si="365"/>
        <v/>
      </c>
      <c r="KE555" s="52">
        <f t="shared" si="366"/>
        <v>1</v>
      </c>
      <c r="KF555" s="15">
        <f t="shared" si="367"/>
        <v>3969</v>
      </c>
      <c r="KG555" s="15">
        <f t="shared" si="368"/>
        <v>3969</v>
      </c>
      <c r="KH555" s="21">
        <f t="shared" si="369"/>
        <v>1</v>
      </c>
      <c r="KI555" s="52" t="str">
        <f t="shared" si="370"/>
        <v/>
      </c>
      <c r="KJ555" s="15">
        <f t="shared" si="371"/>
        <v>0</v>
      </c>
      <c r="KK555" s="15">
        <f t="shared" si="372"/>
        <v>0</v>
      </c>
      <c r="KL555" s="19" t="str">
        <f t="shared" si="373"/>
        <v/>
      </c>
      <c r="KM555" s="52" t="str">
        <f t="shared" si="374"/>
        <v/>
      </c>
      <c r="KN555" s="22">
        <f t="shared" si="375"/>
        <v>0</v>
      </c>
      <c r="KO555" s="22">
        <f t="shared" si="376"/>
        <v>0</v>
      </c>
      <c r="KP555" s="19" t="str">
        <f t="shared" si="377"/>
        <v/>
      </c>
      <c r="KQ555" s="11" t="str">
        <f t="shared" si="378"/>
        <v>No marker score</v>
      </c>
      <c r="KR555" s="11" t="str">
        <f t="shared" si="379"/>
        <v>0. Unaware</v>
      </c>
      <c r="KS555" s="11" t="str">
        <f t="shared" si="380"/>
        <v>No marker score</v>
      </c>
      <c r="KT555" s="11">
        <f t="shared" si="381"/>
        <v>0</v>
      </c>
      <c r="KU555" s="11" t="str">
        <f t="shared" si="382"/>
        <v>Little or no advocacy</v>
      </c>
      <c r="KV555" s="11">
        <f t="shared" si="383"/>
        <v>0</v>
      </c>
      <c r="KW555" s="11" t="str">
        <f t="shared" si="384"/>
        <v>Niger - Projet Integré de planification familiale et soins après avortement</v>
      </c>
      <c r="KX555" s="11" t="str">
        <f t="shared" si="385"/>
        <v>Projet Integré de planification familiale et soins après avortement</v>
      </c>
      <c r="KY555" s="11" t="str">
        <f t="shared" si="386"/>
        <v>Niger</v>
      </c>
      <c r="KZ555" s="12">
        <v>555</v>
      </c>
    </row>
    <row r="556" spans="1:312" x14ac:dyDescent="0.3">
      <c r="A556" s="282" t="s">
        <v>9043</v>
      </c>
      <c r="B556" s="282" t="s">
        <v>1596</v>
      </c>
      <c r="C556" s="282"/>
      <c r="D556" s="282" t="s">
        <v>9377</v>
      </c>
      <c r="E556" s="277" t="str">
        <f t="shared" si="344"/>
        <v>Niger</v>
      </c>
      <c r="F556" s="282" t="s">
        <v>9378</v>
      </c>
      <c r="G556" s="282" t="s">
        <v>608</v>
      </c>
      <c r="H556" s="282" t="s">
        <v>380</v>
      </c>
      <c r="I556" s="282" t="s">
        <v>381</v>
      </c>
      <c r="J556" s="281" t="s">
        <v>11578</v>
      </c>
      <c r="K556" s="282"/>
      <c r="L556" s="282"/>
      <c r="M556" s="282"/>
      <c r="N556" s="282"/>
      <c r="O556" s="282"/>
      <c r="P556" s="282"/>
      <c r="Q556" s="282"/>
      <c r="R556" s="282"/>
      <c r="S556" s="282"/>
      <c r="T556" s="282"/>
      <c r="U556" s="282"/>
      <c r="V556" s="282"/>
      <c r="W556" s="282"/>
      <c r="X556" s="282"/>
      <c r="Y556" s="282"/>
      <c r="Z556" s="282"/>
      <c r="AA556" s="282"/>
      <c r="AB556" s="282"/>
      <c r="AC556" s="282"/>
      <c r="AD556" s="282"/>
      <c r="AE556" s="282"/>
      <c r="AF556" s="282"/>
      <c r="AG556" s="282"/>
      <c r="AH556" s="282"/>
      <c r="AI556" s="282"/>
      <c r="AJ556" s="282"/>
      <c r="AK556" s="282"/>
      <c r="AL556" s="282"/>
      <c r="AM556" s="282"/>
      <c r="AN556" s="282"/>
      <c r="AO556" s="282"/>
      <c r="AP556" s="282"/>
      <c r="AQ556" s="282"/>
      <c r="AR556" s="282"/>
      <c r="AS556" s="282"/>
      <c r="AT556" s="282"/>
      <c r="AU556" s="282"/>
      <c r="AV556" s="282"/>
      <c r="AW556" s="282"/>
      <c r="AX556" s="282"/>
      <c r="AY556" s="282"/>
      <c r="AZ556" s="282"/>
      <c r="BA556" s="282"/>
      <c r="BB556" s="282"/>
      <c r="BC556" s="282"/>
      <c r="BD556" s="283">
        <v>42736</v>
      </c>
      <c r="BE556" s="283">
        <v>43100</v>
      </c>
      <c r="BF556" s="283"/>
      <c r="BG556" s="283" t="s">
        <v>817</v>
      </c>
      <c r="BH556" s="284">
        <v>209529.89</v>
      </c>
      <c r="BI556" s="282" t="s">
        <v>9295</v>
      </c>
      <c r="BJ556" s="282" t="s">
        <v>9296</v>
      </c>
      <c r="BK556" s="282" t="s">
        <v>9297</v>
      </c>
      <c r="BL556" s="282" t="s">
        <v>9298</v>
      </c>
      <c r="BM556" s="282" t="s">
        <v>3002</v>
      </c>
      <c r="BN556" s="282" t="s">
        <v>9299</v>
      </c>
      <c r="BO556" s="282" t="s">
        <v>320</v>
      </c>
      <c r="BP556" s="282" t="s">
        <v>319</v>
      </c>
      <c r="BQ556" s="282" t="s">
        <v>319</v>
      </c>
      <c r="BR556" s="282" t="s">
        <v>9379</v>
      </c>
      <c r="BS556" s="282" t="s">
        <v>357</v>
      </c>
      <c r="BT556" s="282" t="s">
        <v>9301</v>
      </c>
      <c r="BU556" s="282" t="s">
        <v>9380</v>
      </c>
      <c r="BV556" s="284">
        <v>4590</v>
      </c>
      <c r="BW556" s="284">
        <v>4410</v>
      </c>
      <c r="BX556" s="284">
        <v>9000</v>
      </c>
      <c r="BY556" s="284">
        <v>27540</v>
      </c>
      <c r="BZ556" s="284">
        <v>26460</v>
      </c>
      <c r="CA556" s="284">
        <v>54000</v>
      </c>
      <c r="CB556" s="285" t="s">
        <v>9381</v>
      </c>
      <c r="CC556" s="285"/>
      <c r="CD556" s="284">
        <v>14127</v>
      </c>
      <c r="CE556" s="284">
        <v>13573</v>
      </c>
      <c r="CF556" s="284">
        <v>27700</v>
      </c>
      <c r="CG556" s="284">
        <v>61260</v>
      </c>
      <c r="CH556" s="284">
        <v>58860</v>
      </c>
      <c r="CI556" s="284">
        <v>120120</v>
      </c>
      <c r="CJ556" s="282"/>
      <c r="CK556" s="284"/>
      <c r="CL556" s="286"/>
      <c r="CM556" s="284"/>
      <c r="CN556" s="287" t="s">
        <v>320</v>
      </c>
      <c r="CO556" s="284">
        <v>7080</v>
      </c>
      <c r="CP556" s="286">
        <v>1</v>
      </c>
      <c r="CQ556" s="284">
        <v>0</v>
      </c>
      <c r="CR556" s="282"/>
      <c r="CS556" s="284"/>
      <c r="CT556" s="286"/>
      <c r="CU556" s="284"/>
      <c r="CV556" s="289" t="s">
        <v>320</v>
      </c>
      <c r="CW556" s="300">
        <v>16556</v>
      </c>
      <c r="CX556" s="308">
        <v>0.51002657646774496</v>
      </c>
      <c r="CY556" s="300">
        <v>8444</v>
      </c>
      <c r="CZ556" s="282"/>
      <c r="DA556" s="284"/>
      <c r="DB556" s="286"/>
      <c r="DC556" s="284"/>
      <c r="DD556" s="287"/>
      <c r="DE556" s="284"/>
      <c r="DF556" s="286"/>
      <c r="DG556" s="284"/>
      <c r="DH556" s="282"/>
      <c r="DI556" s="284"/>
      <c r="DJ556" s="286"/>
      <c r="DK556" s="284"/>
      <c r="DL556" s="282"/>
      <c r="DM556" s="284"/>
      <c r="DN556" s="286"/>
      <c r="DO556" s="284"/>
      <c r="DP556" s="282"/>
      <c r="DQ556" s="284"/>
      <c r="DR556" s="286"/>
      <c r="DS556" s="284"/>
      <c r="DT556" s="282"/>
      <c r="DU556" s="284"/>
      <c r="DV556" s="286"/>
      <c r="DW556" s="284"/>
      <c r="DX556" s="282" t="s">
        <v>320</v>
      </c>
      <c r="DY556" s="284">
        <v>11532</v>
      </c>
      <c r="DZ556" s="286">
        <v>0.51</v>
      </c>
      <c r="EA556" s="284">
        <v>5881.32</v>
      </c>
      <c r="EB556" s="282" t="s">
        <v>320</v>
      </c>
      <c r="EC556" s="284">
        <v>16556</v>
      </c>
      <c r="ED556" s="286">
        <v>0.51002657646774496</v>
      </c>
      <c r="EE556" s="284">
        <v>8444</v>
      </c>
      <c r="EF556" s="285" t="s">
        <v>9382</v>
      </c>
      <c r="EG556" s="287" t="s">
        <v>320</v>
      </c>
      <c r="EH556" s="284"/>
      <c r="EI556" s="286"/>
      <c r="EJ556" s="284"/>
      <c r="EK556" s="284"/>
      <c r="EL556" s="284"/>
      <c r="EM556" s="284">
        <v>0</v>
      </c>
      <c r="EN556" s="284"/>
      <c r="EO556" s="284"/>
      <c r="EP556" s="284">
        <v>0</v>
      </c>
      <c r="EQ556" s="282"/>
      <c r="ER556" s="284"/>
      <c r="ES556" s="286"/>
      <c r="ET556" s="284"/>
      <c r="EU556" s="282"/>
      <c r="EV556" s="284"/>
      <c r="EW556" s="286"/>
      <c r="EX556" s="284"/>
      <c r="EY556" s="282"/>
      <c r="EZ556" s="284"/>
      <c r="FA556" s="286"/>
      <c r="FB556" s="284"/>
      <c r="FC556" s="282"/>
      <c r="FD556" s="284"/>
      <c r="FE556" s="286"/>
      <c r="FF556" s="284"/>
      <c r="FG556" s="282"/>
      <c r="FH556" s="284"/>
      <c r="FI556" s="286"/>
      <c r="FJ556" s="284"/>
      <c r="FK556" s="282"/>
      <c r="FL556" s="284"/>
      <c r="FM556" s="286"/>
      <c r="FN556" s="284"/>
      <c r="FO556" s="305"/>
      <c r="FP556" s="300"/>
      <c r="FQ556" s="308"/>
      <c r="FR556" s="300"/>
      <c r="FS556" s="282"/>
      <c r="FT556" s="284"/>
      <c r="FU556" s="286"/>
      <c r="FV556" s="284"/>
      <c r="FW556" s="282"/>
      <c r="FX556" s="284"/>
      <c r="FY556" s="286"/>
      <c r="FZ556" s="284"/>
      <c r="GA556" s="282"/>
      <c r="GB556" s="284"/>
      <c r="GC556" s="286"/>
      <c r="GD556" s="284"/>
      <c r="GE556" s="282"/>
      <c r="GF556" s="284"/>
      <c r="GG556" s="286"/>
      <c r="GH556" s="284"/>
      <c r="GI556" s="282"/>
      <c r="GJ556" s="284"/>
      <c r="GK556" s="286"/>
      <c r="GL556" s="284"/>
      <c r="GM556" s="282"/>
      <c r="GN556" s="284"/>
      <c r="GO556" s="286"/>
      <c r="GP556" s="284"/>
      <c r="GQ556" s="282"/>
      <c r="GR556" s="284"/>
      <c r="GS556" s="286"/>
      <c r="GT556" s="284"/>
      <c r="GU556" s="282"/>
      <c r="GV556" s="284"/>
      <c r="GW556" s="286"/>
      <c r="GX556" s="284"/>
      <c r="GY556" s="282"/>
      <c r="GZ556" s="284"/>
      <c r="HA556" s="286"/>
      <c r="HB556" s="284"/>
      <c r="HC556" s="282"/>
      <c r="HD556" s="282"/>
      <c r="HE556" s="284"/>
      <c r="HF556" s="286"/>
      <c r="HG556" s="284"/>
      <c r="HH556" s="282" t="s">
        <v>319</v>
      </c>
      <c r="HI556" s="282"/>
      <c r="HJ556" s="282"/>
      <c r="HK556" s="282" t="s">
        <v>319</v>
      </c>
      <c r="HL556" s="282"/>
      <c r="HM556" s="282"/>
      <c r="HN556" s="282"/>
      <c r="HO556" s="282"/>
      <c r="HP556" s="282" t="s">
        <v>418</v>
      </c>
      <c r="HQ556" s="282"/>
      <c r="HR556" s="282"/>
      <c r="HS556" s="282"/>
      <c r="HT556" s="282"/>
      <c r="HU556" s="282" t="s">
        <v>320</v>
      </c>
      <c r="HV556" s="282"/>
      <c r="HW556" s="282"/>
      <c r="HX556" s="282"/>
      <c r="HY556" s="282"/>
      <c r="HZ556" s="282" t="s">
        <v>363</v>
      </c>
      <c r="IA556" s="282"/>
      <c r="IB556" s="282" t="s">
        <v>333</v>
      </c>
      <c r="IC556" s="282"/>
      <c r="ID556" s="282" t="s">
        <v>364</v>
      </c>
      <c r="IE556" s="282" t="s">
        <v>335</v>
      </c>
      <c r="IF556" s="282" t="s">
        <v>320</v>
      </c>
      <c r="IG556" s="282" t="s">
        <v>320</v>
      </c>
      <c r="IH556" s="282" t="s">
        <v>320</v>
      </c>
      <c r="II556" s="282" t="s">
        <v>320</v>
      </c>
      <c r="IJ556" s="12" t="str">
        <f t="shared" si="345"/>
        <v>2. Sensitive</v>
      </c>
      <c r="IK556" s="287">
        <f t="shared" si="346"/>
        <v>4</v>
      </c>
      <c r="IL556" s="282" t="s">
        <v>723</v>
      </c>
      <c r="IM556" s="282" t="s">
        <v>320</v>
      </c>
      <c r="IN556" s="282" t="s">
        <v>320</v>
      </c>
      <c r="IO556" s="282" t="s">
        <v>320</v>
      </c>
      <c r="IP556" s="282" t="s">
        <v>320</v>
      </c>
      <c r="IQ556" s="287" t="str">
        <f t="shared" si="347"/>
        <v>0. Unaware</v>
      </c>
      <c r="IR556" s="287">
        <f t="shared" si="348"/>
        <v>4</v>
      </c>
      <c r="IS556" s="282" t="s">
        <v>337</v>
      </c>
      <c r="IT556" s="282" t="s">
        <v>319</v>
      </c>
      <c r="IU556" s="282" t="s">
        <v>319</v>
      </c>
      <c r="IV556" s="282" t="s">
        <v>320</v>
      </c>
      <c r="IW556" s="11" t="str">
        <f t="shared" si="349"/>
        <v>1. Neutral</v>
      </c>
      <c r="IX556" s="287">
        <f t="shared" si="350"/>
        <v>1</v>
      </c>
      <c r="IY556" s="282" t="s">
        <v>419</v>
      </c>
      <c r="IZ556" s="282" t="s">
        <v>339</v>
      </c>
      <c r="JA556" s="282"/>
      <c r="JB556" s="282"/>
      <c r="JC556" s="282"/>
      <c r="JD556" s="282"/>
      <c r="JE556" s="282" t="s">
        <v>420</v>
      </c>
      <c r="JF556" s="282"/>
      <c r="JG556" s="282"/>
      <c r="JH556" s="282"/>
      <c r="JI556" s="282"/>
      <c r="JJ556" s="282"/>
      <c r="JK556" s="282" t="s">
        <v>9304</v>
      </c>
      <c r="JL556" s="282" t="s">
        <v>9305</v>
      </c>
      <c r="JM556" s="282" t="s">
        <v>9306</v>
      </c>
      <c r="JN556" s="282"/>
      <c r="JO556" s="282"/>
      <c r="JP556" s="15">
        <f t="shared" si="351"/>
        <v>27700</v>
      </c>
      <c r="JQ556" s="15">
        <f t="shared" si="352"/>
        <v>120120</v>
      </c>
      <c r="JR556" s="279">
        <f t="shared" si="353"/>
        <v>4.3364620938628162</v>
      </c>
      <c r="JS556" s="17">
        <f t="shared" si="354"/>
        <v>0.51</v>
      </c>
      <c r="JT556" s="18">
        <f t="shared" si="355"/>
        <v>0.50999000999000998</v>
      </c>
      <c r="JU556" s="280">
        <f t="shared" si="356"/>
        <v>14127</v>
      </c>
      <c r="JV556" s="280">
        <f t="shared" si="357"/>
        <v>61260</v>
      </c>
      <c r="JW556" s="319">
        <f t="shared" si="358"/>
        <v>1</v>
      </c>
      <c r="JX556" s="15">
        <f t="shared" si="359"/>
        <v>27700</v>
      </c>
      <c r="JY556" s="15">
        <f t="shared" si="360"/>
        <v>120120</v>
      </c>
      <c r="JZ556" s="19">
        <f t="shared" si="361"/>
        <v>4.3364620938628162</v>
      </c>
      <c r="KA556" s="52">
        <f t="shared" si="362"/>
        <v>1</v>
      </c>
      <c r="KB556" s="15">
        <f t="shared" si="363"/>
        <v>16556</v>
      </c>
      <c r="KC556" s="15">
        <f t="shared" si="364"/>
        <v>8444</v>
      </c>
      <c r="KD556" s="20">
        <f t="shared" si="365"/>
        <v>0.51002657646774585</v>
      </c>
      <c r="KE556" s="52" t="str">
        <f t="shared" si="366"/>
        <v/>
      </c>
      <c r="KF556" s="15">
        <f t="shared" si="367"/>
        <v>0</v>
      </c>
      <c r="KG556" s="15">
        <f t="shared" si="368"/>
        <v>0</v>
      </c>
      <c r="KH556" s="21" t="str">
        <f t="shared" si="369"/>
        <v/>
      </c>
      <c r="KI556" s="52" t="str">
        <f t="shared" si="370"/>
        <v/>
      </c>
      <c r="KJ556" s="15">
        <f t="shared" si="371"/>
        <v>0</v>
      </c>
      <c r="KK556" s="15">
        <f t="shared" si="372"/>
        <v>0</v>
      </c>
      <c r="KL556" s="19" t="str">
        <f t="shared" si="373"/>
        <v/>
      </c>
      <c r="KM556" s="52" t="str">
        <f t="shared" si="374"/>
        <v/>
      </c>
      <c r="KN556" s="22">
        <f t="shared" si="375"/>
        <v>0</v>
      </c>
      <c r="KO556" s="22">
        <f t="shared" si="376"/>
        <v>0</v>
      </c>
      <c r="KP556" s="19" t="str">
        <f t="shared" si="377"/>
        <v/>
      </c>
      <c r="KQ556" s="11" t="str">
        <f t="shared" si="378"/>
        <v>2. Sensitive</v>
      </c>
      <c r="KR556" s="11" t="str">
        <f t="shared" si="379"/>
        <v>0. Unaware</v>
      </c>
      <c r="KS556" s="11" t="str">
        <f t="shared" si="380"/>
        <v>1. Neutral</v>
      </c>
      <c r="KT556" s="11" t="str">
        <f t="shared" si="381"/>
        <v>It did not develop any specific innovation</v>
      </c>
      <c r="KU556" s="11" t="str">
        <f t="shared" si="382"/>
        <v>Little or no advocacy</v>
      </c>
      <c r="KV556" s="11" t="str">
        <f t="shared" si="383"/>
        <v>It did not take tested solutions to scale</v>
      </c>
      <c r="KW556" s="11" t="str">
        <f t="shared" si="384"/>
        <v>Niger - PROJET LOGISTIQUE D'INTERVENTION BASSEE SUR LE TRANSFERT MONETAIRE ET CRI AUX REFUGIES A DIFFA (LOGISTIQUE ET DISTRIBUTION)</v>
      </c>
      <c r="KX556" s="11" t="str">
        <f t="shared" si="385"/>
        <v>PROJET LOGISTIQUE D'INTERVENTION BASSEE SUR LE TRANSFERT MONETAIRE ET CRI AUX REFUGIES A DIFFA (LOGISTIQUE ET DISTRIBUTION)</v>
      </c>
      <c r="KY556" s="11" t="str">
        <f t="shared" si="386"/>
        <v>Niger</v>
      </c>
      <c r="KZ556" s="12">
        <v>556</v>
      </c>
    </row>
    <row r="557" spans="1:312" x14ac:dyDescent="0.3">
      <c r="A557" s="12" t="s">
        <v>9043</v>
      </c>
      <c r="B557" s="12" t="s">
        <v>1596</v>
      </c>
      <c r="C557" s="12"/>
      <c r="D557" s="12" t="s">
        <v>9377</v>
      </c>
      <c r="E557" s="277" t="str">
        <f t="shared" si="344"/>
        <v>Niger</v>
      </c>
      <c r="F557" s="12" t="s">
        <v>9383</v>
      </c>
      <c r="G557" s="12" t="s">
        <v>608</v>
      </c>
      <c r="H557" s="11" t="s">
        <v>380</v>
      </c>
      <c r="I557" s="12" t="s">
        <v>381</v>
      </c>
      <c r="J557" s="281" t="s">
        <v>11578</v>
      </c>
      <c r="K557" s="12"/>
      <c r="L557" s="12"/>
      <c r="M557" s="12"/>
      <c r="N557" s="12"/>
      <c r="O557" s="12"/>
      <c r="P557" s="12"/>
      <c r="Q557" s="12"/>
      <c r="R557" s="12"/>
      <c r="S557" s="12"/>
      <c r="T557" s="12"/>
      <c r="U557" s="12"/>
      <c r="V557" s="12"/>
      <c r="W557" s="12"/>
      <c r="X557" s="12"/>
      <c r="Y557" s="12"/>
      <c r="Z557" s="12"/>
      <c r="AA557" s="12"/>
      <c r="AB557" s="12"/>
      <c r="AC557" s="12"/>
      <c r="AD557" s="12"/>
      <c r="BD557" s="13">
        <v>42736</v>
      </c>
      <c r="BE557" s="13">
        <v>43100</v>
      </c>
      <c r="BF557" s="13"/>
      <c r="BG557" s="12" t="s">
        <v>817</v>
      </c>
      <c r="BH557" s="14">
        <v>1031057.443</v>
      </c>
      <c r="BI557" s="12" t="s">
        <v>9295</v>
      </c>
      <c r="BJ557" s="12" t="s">
        <v>9384</v>
      </c>
      <c r="BK557" s="12" t="s">
        <v>9297</v>
      </c>
      <c r="BL557" s="12" t="s">
        <v>9298</v>
      </c>
      <c r="BM557" s="12" t="s">
        <v>3002</v>
      </c>
      <c r="BN557" s="12" t="s">
        <v>9299</v>
      </c>
      <c r="BO557" s="12" t="s">
        <v>320</v>
      </c>
      <c r="BP557" s="12" t="s">
        <v>319</v>
      </c>
      <c r="BQ557" s="12" t="s">
        <v>319</v>
      </c>
      <c r="BR557" s="12" t="s">
        <v>9379</v>
      </c>
      <c r="BS557" s="12" t="s">
        <v>357</v>
      </c>
      <c r="BT557" s="43" t="s">
        <v>9301</v>
      </c>
      <c r="BU557" s="12" t="s">
        <v>9385</v>
      </c>
      <c r="BV557" s="14">
        <v>2040</v>
      </c>
      <c r="BW557" s="14">
        <v>1960</v>
      </c>
      <c r="BX557" s="14">
        <v>4000</v>
      </c>
      <c r="BY557" s="14">
        <v>12240</v>
      </c>
      <c r="BZ557" s="14">
        <v>11760</v>
      </c>
      <c r="CA557" s="14">
        <v>24000</v>
      </c>
      <c r="CB557" s="12" t="s">
        <v>9386</v>
      </c>
      <c r="CD557" s="14">
        <v>11774</v>
      </c>
      <c r="CE557" s="14">
        <v>11284</v>
      </c>
      <c r="CF557" s="14">
        <v>23058</v>
      </c>
      <c r="CG557" s="14">
        <v>23384</v>
      </c>
      <c r="CH557" s="14">
        <v>22467</v>
      </c>
      <c r="CI557" s="14">
        <v>45851</v>
      </c>
      <c r="CJ557" s="12"/>
      <c r="CK557" s="14"/>
      <c r="CL557" s="16"/>
      <c r="CM557" s="14"/>
      <c r="CN557" s="12" t="s">
        <v>320</v>
      </c>
      <c r="CO557" s="14">
        <v>7080</v>
      </c>
      <c r="CP557" s="16">
        <v>1</v>
      </c>
      <c r="CQ557" s="14">
        <v>0</v>
      </c>
      <c r="CR557" s="12"/>
      <c r="CS557" s="14"/>
      <c r="CT557" s="16"/>
      <c r="CU557" s="14"/>
      <c r="CV557" s="12"/>
      <c r="CW557" s="14"/>
      <c r="CX557" s="16"/>
      <c r="CY557" s="14"/>
      <c r="CZ557" s="12"/>
      <c r="DA557" s="14"/>
      <c r="DB557" s="16"/>
      <c r="DC557" s="14"/>
      <c r="DD557" s="12"/>
      <c r="DE557" s="14"/>
      <c r="DF557" s="16"/>
      <c r="DG557" s="14"/>
      <c r="DH557" s="12"/>
      <c r="DI557" s="14"/>
      <c r="DJ557" s="16"/>
      <c r="DK557" s="14"/>
      <c r="DL557" s="12"/>
      <c r="DM557" s="14"/>
      <c r="DN557" s="16"/>
      <c r="DO557" s="14"/>
      <c r="DP557" s="12"/>
      <c r="DQ557" s="14"/>
      <c r="DR557" s="16"/>
      <c r="DS557" s="14"/>
      <c r="DT557" s="12"/>
      <c r="DU557" s="14"/>
      <c r="DV557" s="16"/>
      <c r="DW557" s="14"/>
      <c r="DX557" s="12"/>
      <c r="DY557" s="14"/>
      <c r="DZ557" s="16"/>
      <c r="EA557" s="14"/>
      <c r="EB557" s="12" t="s">
        <v>320</v>
      </c>
      <c r="EC557" s="14">
        <v>15136</v>
      </c>
      <c r="ED557" s="16">
        <v>0.51002657646774496</v>
      </c>
      <c r="EE557" s="14">
        <v>7719</v>
      </c>
      <c r="EF557" s="12" t="s">
        <v>9382</v>
      </c>
      <c r="EG557" s="12" t="s">
        <v>320</v>
      </c>
      <c r="EH557" s="14">
        <v>7892</v>
      </c>
      <c r="EI557" s="16">
        <v>0.50997225112729705</v>
      </c>
      <c r="EJ557" s="14">
        <v>47352</v>
      </c>
      <c r="EK557" s="14"/>
      <c r="EL557" s="14"/>
      <c r="EM557" s="14">
        <v>0</v>
      </c>
      <c r="EN557" s="14"/>
      <c r="EO557" s="14"/>
      <c r="EP557" s="14">
        <v>0</v>
      </c>
      <c r="EQ557" s="12"/>
      <c r="ER557" s="14"/>
      <c r="ES557" s="16"/>
      <c r="ET557" s="14"/>
      <c r="EU557" s="12"/>
      <c r="EV557" s="14"/>
      <c r="EW557" s="16"/>
      <c r="EX557" s="14"/>
      <c r="EY557" s="12"/>
      <c r="EZ557" s="14"/>
      <c r="FA557" s="16"/>
      <c r="FB557" s="14"/>
      <c r="FC557" s="12"/>
      <c r="FD557" s="14"/>
      <c r="FE557" s="16"/>
      <c r="FF557" s="14"/>
      <c r="FG557" s="12"/>
      <c r="FH557" s="14"/>
      <c r="FI557" s="16"/>
      <c r="FJ557" s="14"/>
      <c r="FK557" s="12"/>
      <c r="FL557" s="14"/>
      <c r="FM557" s="16"/>
      <c r="FN557" s="14"/>
      <c r="FO557" s="12"/>
      <c r="FP557" s="14"/>
      <c r="FQ557" s="16"/>
      <c r="FR557" s="14"/>
      <c r="FS557" s="12"/>
      <c r="FT557" s="14"/>
      <c r="FU557" s="16"/>
      <c r="FV557" s="14"/>
      <c r="FW557" s="12"/>
      <c r="FX557" s="14"/>
      <c r="FY557" s="16"/>
      <c r="FZ557" s="14"/>
      <c r="GA557" s="12"/>
      <c r="GB557" s="14"/>
      <c r="GC557" s="16"/>
      <c r="GD557" s="14"/>
      <c r="GE557" s="12"/>
      <c r="GF557" s="14"/>
      <c r="GG557" s="16"/>
      <c r="GH557" s="14"/>
      <c r="GI557" s="12"/>
      <c r="GJ557" s="14"/>
      <c r="GK557" s="16"/>
      <c r="GL557" s="14"/>
      <c r="GM557" s="12"/>
      <c r="GN557" s="14"/>
      <c r="GO557" s="16"/>
      <c r="GP557" s="14"/>
      <c r="GQ557" s="12"/>
      <c r="GR557" s="14"/>
      <c r="GS557" s="16"/>
      <c r="GT557" s="14"/>
      <c r="GU557" s="12"/>
      <c r="GV557" s="14"/>
      <c r="GW557" s="16"/>
      <c r="GX557" s="14"/>
      <c r="GY557" s="12"/>
      <c r="GZ557" s="14"/>
      <c r="HA557" s="16"/>
      <c r="HB557" s="14"/>
      <c r="HC557" s="12"/>
      <c r="HD557" s="12"/>
      <c r="HE557" s="14"/>
      <c r="HF557" s="16"/>
      <c r="HG557" s="14"/>
      <c r="HH557" s="12" t="s">
        <v>319</v>
      </c>
      <c r="HI557" s="12"/>
      <c r="HJ557" s="12"/>
      <c r="HK557" s="12" t="s">
        <v>319</v>
      </c>
      <c r="HL557" s="12" t="s">
        <v>319</v>
      </c>
      <c r="HM557" s="12"/>
      <c r="HN557" s="12"/>
      <c r="HO557" s="12"/>
      <c r="HP557" s="12" t="s">
        <v>418</v>
      </c>
      <c r="HQ557" s="12" t="s">
        <v>319</v>
      </c>
      <c r="HR557" s="12" t="s">
        <v>319</v>
      </c>
      <c r="HS557" s="12" t="s">
        <v>319</v>
      </c>
      <c r="HT557" s="12" t="s">
        <v>319</v>
      </c>
      <c r="HU557" s="12" t="s">
        <v>320</v>
      </c>
      <c r="HV557" s="12" t="s">
        <v>319</v>
      </c>
      <c r="HW557" s="12" t="s">
        <v>319</v>
      </c>
      <c r="HX557" s="12" t="s">
        <v>319</v>
      </c>
      <c r="HY557" s="12"/>
      <c r="HZ557" s="12" t="s">
        <v>363</v>
      </c>
      <c r="IA557" s="12"/>
      <c r="IB557" s="12" t="s">
        <v>333</v>
      </c>
      <c r="IC557" s="12"/>
      <c r="ID557" s="12" t="s">
        <v>364</v>
      </c>
      <c r="IE557" s="12" t="s">
        <v>335</v>
      </c>
      <c r="IF557" s="12" t="s">
        <v>320</v>
      </c>
      <c r="IG557" s="12" t="s">
        <v>320</v>
      </c>
      <c r="IH557" s="12" t="s">
        <v>320</v>
      </c>
      <c r="II557" s="12" t="s">
        <v>320</v>
      </c>
      <c r="IJ557" s="12" t="str">
        <f t="shared" si="345"/>
        <v>2. Sensitive</v>
      </c>
      <c r="IK557" s="12">
        <f t="shared" si="346"/>
        <v>4</v>
      </c>
      <c r="IL557" s="12" t="s">
        <v>723</v>
      </c>
      <c r="IM557" s="12" t="s">
        <v>319</v>
      </c>
      <c r="IN557" s="12" t="s">
        <v>320</v>
      </c>
      <c r="IO557" s="12" t="s">
        <v>319</v>
      </c>
      <c r="IP557" s="12" t="s">
        <v>319</v>
      </c>
      <c r="IQ557" s="12" t="str">
        <f t="shared" si="347"/>
        <v>0. Unaware</v>
      </c>
      <c r="IR557" s="12">
        <f t="shared" si="348"/>
        <v>1</v>
      </c>
      <c r="IS557" s="12" t="s">
        <v>337</v>
      </c>
      <c r="IT557" s="12" t="s">
        <v>319</v>
      </c>
      <c r="IU557" s="12" t="s">
        <v>319</v>
      </c>
      <c r="IV557" s="12" t="s">
        <v>320</v>
      </c>
      <c r="IW557" s="11" t="str">
        <f t="shared" si="349"/>
        <v>1. Neutral</v>
      </c>
      <c r="IX557" s="12">
        <f t="shared" si="350"/>
        <v>1</v>
      </c>
      <c r="IY557" s="11" t="s">
        <v>419</v>
      </c>
      <c r="IZ557" s="12" t="s">
        <v>339</v>
      </c>
      <c r="JA557" s="12"/>
      <c r="JB557" s="12" t="s">
        <v>687</v>
      </c>
      <c r="JD557" s="12"/>
      <c r="JE557" s="12" t="s">
        <v>420</v>
      </c>
      <c r="JF557" s="12"/>
      <c r="JG557" s="12"/>
      <c r="JH557" s="12"/>
      <c r="JI557" s="12"/>
      <c r="JJ557" s="12"/>
      <c r="JK557" s="12" t="s">
        <v>9304</v>
      </c>
      <c r="JL557" s="12" t="s">
        <v>9305</v>
      </c>
      <c r="JM557" s="12"/>
      <c r="JN557" s="12"/>
      <c r="JO557" s="12"/>
      <c r="JP557" s="15">
        <f t="shared" si="351"/>
        <v>23058</v>
      </c>
      <c r="JQ557" s="15">
        <f t="shared" si="352"/>
        <v>45851</v>
      </c>
      <c r="JR557" s="279">
        <f t="shared" si="353"/>
        <v>1.9885072426056032</v>
      </c>
      <c r="JS557" s="17">
        <f t="shared" si="354"/>
        <v>0.51062537947783848</v>
      </c>
      <c r="JT557" s="18">
        <f t="shared" si="355"/>
        <v>0.50999978190224859</v>
      </c>
      <c r="JU557" s="280">
        <f t="shared" si="356"/>
        <v>11774</v>
      </c>
      <c r="JV557" s="280">
        <f t="shared" si="357"/>
        <v>23384</v>
      </c>
      <c r="JW557" s="319">
        <f t="shared" si="358"/>
        <v>1</v>
      </c>
      <c r="JX557" s="15">
        <f t="shared" si="359"/>
        <v>23058</v>
      </c>
      <c r="JY557" s="15">
        <f t="shared" si="360"/>
        <v>45851</v>
      </c>
      <c r="JZ557" s="19">
        <f t="shared" si="361"/>
        <v>1.9885072426056032</v>
      </c>
      <c r="KA557" s="52" t="str">
        <f t="shared" si="362"/>
        <v/>
      </c>
      <c r="KB557" s="15">
        <f t="shared" si="363"/>
        <v>0</v>
      </c>
      <c r="KC557" s="15">
        <f t="shared" si="364"/>
        <v>0</v>
      </c>
      <c r="KD557" s="20" t="str">
        <f t="shared" si="365"/>
        <v/>
      </c>
      <c r="KE557" s="52" t="str">
        <f t="shared" si="366"/>
        <v/>
      </c>
      <c r="KF557" s="15">
        <f t="shared" si="367"/>
        <v>0</v>
      </c>
      <c r="KG557" s="15">
        <f t="shared" si="368"/>
        <v>0</v>
      </c>
      <c r="KH557" s="21" t="str">
        <f t="shared" si="369"/>
        <v/>
      </c>
      <c r="KI557" s="52" t="str">
        <f t="shared" si="370"/>
        <v/>
      </c>
      <c r="KJ557" s="15">
        <f t="shared" si="371"/>
        <v>0</v>
      </c>
      <c r="KK557" s="15">
        <f t="shared" si="372"/>
        <v>0</v>
      </c>
      <c r="KL557" s="19" t="str">
        <f t="shared" si="373"/>
        <v/>
      </c>
      <c r="KM557" s="52" t="str">
        <f t="shared" si="374"/>
        <v/>
      </c>
      <c r="KN557" s="22">
        <f t="shared" si="375"/>
        <v>0</v>
      </c>
      <c r="KO557" s="22">
        <f t="shared" si="376"/>
        <v>0</v>
      </c>
      <c r="KP557" s="19" t="str">
        <f t="shared" si="377"/>
        <v/>
      </c>
      <c r="KQ557" s="11" t="str">
        <f t="shared" si="378"/>
        <v>2. Sensitive</v>
      </c>
      <c r="KR557" s="11" t="str">
        <f t="shared" si="379"/>
        <v>0. Unaware</v>
      </c>
      <c r="KS557" s="11" t="str">
        <f t="shared" si="380"/>
        <v>1. Neutral</v>
      </c>
      <c r="KT557" s="11" t="str">
        <f t="shared" si="381"/>
        <v>It did not develop any specific innovation</v>
      </c>
      <c r="KU557" s="11" t="str">
        <f t="shared" si="382"/>
        <v>Little or no advocacy</v>
      </c>
      <c r="KV557" s="11" t="str">
        <f t="shared" si="383"/>
        <v>It did not take tested solutions to scale</v>
      </c>
      <c r="KW557" s="11" t="str">
        <f t="shared" si="384"/>
        <v>Niger - PROJET LOGISTIQUE D'INTERVENTION BASSEE SUR LE TRANSFERT MONETAIRE ET CRI AUX REFUGIES A DIFFA (LOGISTIQUE ET DISTRIBUTION)</v>
      </c>
      <c r="KX557" s="11" t="str">
        <f t="shared" si="385"/>
        <v>PROJET LOGISTIQUE D'INTERVENTION BASSEE SUR LE TRANSFERT MONETAIRE ET CRI AUX REFUGIES A DIFFA (LOGISTIQUE ET DISTRIBUTION)</v>
      </c>
      <c r="KY557" s="11" t="str">
        <f t="shared" si="386"/>
        <v>Niger</v>
      </c>
      <c r="KZ557" s="12">
        <v>557</v>
      </c>
    </row>
    <row r="558" spans="1:312" x14ac:dyDescent="0.3">
      <c r="A558" s="282" t="s">
        <v>9043</v>
      </c>
      <c r="B558" s="282" t="s">
        <v>1596</v>
      </c>
      <c r="C558" s="282">
        <v>3227</v>
      </c>
      <c r="D558" s="282" t="s">
        <v>9293</v>
      </c>
      <c r="E558" s="277" t="str">
        <f t="shared" si="344"/>
        <v>Niger</v>
      </c>
      <c r="F558" s="282" t="s">
        <v>9294</v>
      </c>
      <c r="G558" s="282" t="s">
        <v>379</v>
      </c>
      <c r="H558" s="282" t="s">
        <v>380</v>
      </c>
      <c r="I558" s="282" t="s">
        <v>381</v>
      </c>
      <c r="J558" s="281" t="s">
        <v>11578</v>
      </c>
      <c r="K558" s="282"/>
      <c r="L558" s="282"/>
      <c r="M558" s="282"/>
      <c r="N558" s="282"/>
      <c r="O558" s="282"/>
      <c r="P558" s="282"/>
      <c r="Q558" s="282"/>
      <c r="R558" s="282"/>
      <c r="S558" s="282"/>
      <c r="T558" s="282"/>
      <c r="U558" s="282"/>
      <c r="V558" s="282"/>
      <c r="W558" s="282"/>
      <c r="X558" s="282"/>
      <c r="Y558" s="282"/>
      <c r="Z558" s="282"/>
      <c r="AA558" s="282"/>
      <c r="AB558" s="282"/>
      <c r="AC558" s="282"/>
      <c r="AD558" s="282"/>
      <c r="AE558" s="282"/>
      <c r="AF558" s="282"/>
      <c r="AG558" s="282"/>
      <c r="AH558" s="282"/>
      <c r="AI558" s="282"/>
      <c r="AJ558" s="282"/>
      <c r="AK558" s="282"/>
      <c r="AL558" s="282"/>
      <c r="AM558" s="282"/>
      <c r="AN558" s="282"/>
      <c r="AO558" s="282"/>
      <c r="AP558" s="282"/>
      <c r="AQ558" s="282"/>
      <c r="AR558" s="282"/>
      <c r="AS558" s="282"/>
      <c r="AT558" s="282"/>
      <c r="AU558" s="282"/>
      <c r="AV558" s="282"/>
      <c r="AW558" s="282"/>
      <c r="AX558" s="282"/>
      <c r="AY558" s="282"/>
      <c r="AZ558" s="282"/>
      <c r="BA558" s="282"/>
      <c r="BB558" s="282"/>
      <c r="BC558" s="282"/>
      <c r="BD558" s="283">
        <v>42370</v>
      </c>
      <c r="BE558" s="283">
        <v>42735</v>
      </c>
      <c r="BF558" s="283"/>
      <c r="BG558" s="283" t="s">
        <v>817</v>
      </c>
      <c r="BH558" s="284">
        <v>909899</v>
      </c>
      <c r="BI558" s="282" t="s">
        <v>9295</v>
      </c>
      <c r="BJ558" s="282" t="s">
        <v>9296</v>
      </c>
      <c r="BK558" s="282" t="s">
        <v>9297</v>
      </c>
      <c r="BL558" s="282" t="s">
        <v>9298</v>
      </c>
      <c r="BM558" s="282" t="s">
        <v>3002</v>
      </c>
      <c r="BN558" s="282" t="s">
        <v>9299</v>
      </c>
      <c r="BO558" s="282" t="s">
        <v>320</v>
      </c>
      <c r="BP558" s="282" t="s">
        <v>319</v>
      </c>
      <c r="BQ558" s="282" t="s">
        <v>319</v>
      </c>
      <c r="BR558" s="282" t="s">
        <v>9300</v>
      </c>
      <c r="BS558" s="282" t="s">
        <v>357</v>
      </c>
      <c r="BT558" s="282" t="s">
        <v>9301</v>
      </c>
      <c r="BU558" s="282" t="s">
        <v>9302</v>
      </c>
      <c r="BV558" s="284">
        <v>2585</v>
      </c>
      <c r="BW558" s="284">
        <v>2115</v>
      </c>
      <c r="BX558" s="284">
        <v>4700</v>
      </c>
      <c r="BY558" s="284">
        <v>5121</v>
      </c>
      <c r="BZ558" s="284">
        <v>4190</v>
      </c>
      <c r="CA558" s="284">
        <v>9311</v>
      </c>
      <c r="CB558" s="285" t="s">
        <v>9303</v>
      </c>
      <c r="CC558" s="285"/>
      <c r="CD558" s="284">
        <v>22961</v>
      </c>
      <c r="CE558" s="284">
        <v>22060</v>
      </c>
      <c r="CF558" s="284">
        <v>45021</v>
      </c>
      <c r="CG558" s="284">
        <v>76075</v>
      </c>
      <c r="CH558" s="284">
        <v>73091</v>
      </c>
      <c r="CI558" s="284">
        <v>149166</v>
      </c>
      <c r="CJ558" s="282"/>
      <c r="CK558" s="284"/>
      <c r="CL558" s="286"/>
      <c r="CM558" s="284"/>
      <c r="CN558" s="287"/>
      <c r="CO558" s="284"/>
      <c r="CP558" s="286"/>
      <c r="CQ558" s="284"/>
      <c r="CR558" s="282"/>
      <c r="CS558" s="284"/>
      <c r="CT558" s="286"/>
      <c r="CU558" s="284"/>
      <c r="CV558" s="289" t="s">
        <v>320</v>
      </c>
      <c r="CW558" s="300">
        <v>22477</v>
      </c>
      <c r="CX558" s="308">
        <v>0.51002657646774496</v>
      </c>
      <c r="CY558" s="306"/>
      <c r="CZ558" s="282"/>
      <c r="DA558" s="284"/>
      <c r="DB558" s="286"/>
      <c r="DC558" s="284"/>
      <c r="DD558" s="287"/>
      <c r="DE558" s="284"/>
      <c r="DF558" s="286"/>
      <c r="DG558" s="284"/>
      <c r="DH558" s="282"/>
      <c r="DI558" s="284"/>
      <c r="DJ558" s="286"/>
      <c r="DK558" s="284"/>
      <c r="DL558" s="282"/>
      <c r="DM558" s="284"/>
      <c r="DN558" s="286"/>
      <c r="DO558" s="284"/>
      <c r="DP558" s="282"/>
      <c r="DQ558" s="284"/>
      <c r="DR558" s="286"/>
      <c r="DS558" s="284"/>
      <c r="DT558" s="282"/>
      <c r="DU558" s="284"/>
      <c r="DV558" s="286"/>
      <c r="DW558" s="284"/>
      <c r="DX558" s="282" t="s">
        <v>320</v>
      </c>
      <c r="DY558" s="284">
        <v>28301</v>
      </c>
      <c r="DZ558" s="286">
        <v>0.51</v>
      </c>
      <c r="EA558" s="284">
        <v>169806</v>
      </c>
      <c r="EB558" s="282" t="s">
        <v>320</v>
      </c>
      <c r="EC558" s="284">
        <v>22477</v>
      </c>
      <c r="ED558" s="286">
        <v>0.51002657646774496</v>
      </c>
      <c r="EE558" s="284">
        <v>0</v>
      </c>
      <c r="EF558" s="285"/>
      <c r="EG558" s="287"/>
      <c r="EH558" s="284"/>
      <c r="EI558" s="286"/>
      <c r="EJ558" s="284"/>
      <c r="EK558" s="284"/>
      <c r="EL558" s="284"/>
      <c r="EM558" s="284">
        <v>0</v>
      </c>
      <c r="EN558" s="284"/>
      <c r="EO558" s="284"/>
      <c r="EP558" s="284">
        <v>0</v>
      </c>
      <c r="EQ558" s="282"/>
      <c r="ER558" s="284"/>
      <c r="ES558" s="286"/>
      <c r="ET558" s="284"/>
      <c r="EU558" s="282"/>
      <c r="EV558" s="284"/>
      <c r="EW558" s="286"/>
      <c r="EX558" s="284"/>
      <c r="EY558" s="282"/>
      <c r="EZ558" s="284"/>
      <c r="FA558" s="286"/>
      <c r="FB558" s="284"/>
      <c r="FC558" s="282"/>
      <c r="FD558" s="284"/>
      <c r="FE558" s="286"/>
      <c r="FF558" s="284"/>
      <c r="FG558" s="282"/>
      <c r="FH558" s="284"/>
      <c r="FI558" s="286"/>
      <c r="FJ558" s="284"/>
      <c r="FK558" s="282"/>
      <c r="FL558" s="284"/>
      <c r="FM558" s="286"/>
      <c r="FN558" s="284"/>
      <c r="FO558" s="305"/>
      <c r="FP558" s="300"/>
      <c r="FQ558" s="308"/>
      <c r="FR558" s="300"/>
      <c r="FS558" s="282"/>
      <c r="FT558" s="284"/>
      <c r="FU558" s="286"/>
      <c r="FV558" s="284"/>
      <c r="FW558" s="282"/>
      <c r="FX558" s="284"/>
      <c r="FY558" s="286"/>
      <c r="FZ558" s="284"/>
      <c r="GA558" s="282"/>
      <c r="GB558" s="284"/>
      <c r="GC558" s="286"/>
      <c r="GD558" s="284"/>
      <c r="GE558" s="282"/>
      <c r="GF558" s="284"/>
      <c r="GG558" s="286"/>
      <c r="GH558" s="284"/>
      <c r="GI558" s="282"/>
      <c r="GJ558" s="284"/>
      <c r="GK558" s="286"/>
      <c r="GL558" s="284"/>
      <c r="GM558" s="282"/>
      <c r="GN558" s="284"/>
      <c r="GO558" s="286"/>
      <c r="GP558" s="284"/>
      <c r="GQ558" s="282"/>
      <c r="GR558" s="284"/>
      <c r="GS558" s="286"/>
      <c r="GT558" s="284"/>
      <c r="GU558" s="282"/>
      <c r="GV558" s="284"/>
      <c r="GW558" s="286"/>
      <c r="GX558" s="284"/>
      <c r="GY558" s="282"/>
      <c r="GZ558" s="284"/>
      <c r="HA558" s="286"/>
      <c r="HB558" s="284"/>
      <c r="HC558" s="282"/>
      <c r="HD558" s="282"/>
      <c r="HE558" s="284"/>
      <c r="HF558" s="286"/>
      <c r="HG558" s="284"/>
      <c r="HH558" s="282" t="s">
        <v>319</v>
      </c>
      <c r="HI558" s="282"/>
      <c r="HJ558" s="282"/>
      <c r="HK558" s="282" t="s">
        <v>319</v>
      </c>
      <c r="HL558" s="282" t="s">
        <v>319</v>
      </c>
      <c r="HM558" s="282"/>
      <c r="HN558" s="282"/>
      <c r="HO558" s="282"/>
      <c r="HP558" s="282"/>
      <c r="HQ558" s="282" t="s">
        <v>319</v>
      </c>
      <c r="HR558" s="282" t="s">
        <v>319</v>
      </c>
      <c r="HS558" s="282" t="s">
        <v>319</v>
      </c>
      <c r="HT558" s="282" t="s">
        <v>319</v>
      </c>
      <c r="HU558" s="282" t="s">
        <v>319</v>
      </c>
      <c r="HV558" s="282" t="s">
        <v>319</v>
      </c>
      <c r="HW558" s="282" t="s">
        <v>319</v>
      </c>
      <c r="HX558" s="282" t="s">
        <v>319</v>
      </c>
      <c r="HY558" s="282"/>
      <c r="HZ558" s="282" t="s">
        <v>363</v>
      </c>
      <c r="IA558" s="282"/>
      <c r="IB558" s="282" t="s">
        <v>333</v>
      </c>
      <c r="IC558" s="282"/>
      <c r="ID558" s="282" t="s">
        <v>364</v>
      </c>
      <c r="IE558" s="282" t="s">
        <v>335</v>
      </c>
      <c r="IF558" s="282" t="s">
        <v>320</v>
      </c>
      <c r="IG558" s="282" t="s">
        <v>320</v>
      </c>
      <c r="IH558" s="282" t="s">
        <v>320</v>
      </c>
      <c r="II558" s="282" t="s">
        <v>320</v>
      </c>
      <c r="IJ558" s="12" t="str">
        <f t="shared" si="345"/>
        <v>2. Sensitive</v>
      </c>
      <c r="IK558" s="287">
        <f t="shared" si="346"/>
        <v>4</v>
      </c>
      <c r="IL558" s="282" t="s">
        <v>723</v>
      </c>
      <c r="IM558" s="282" t="s">
        <v>320</v>
      </c>
      <c r="IN558" s="282" t="s">
        <v>320</v>
      </c>
      <c r="IO558" s="282" t="s">
        <v>320</v>
      </c>
      <c r="IP558" s="282" t="s">
        <v>320</v>
      </c>
      <c r="IQ558" s="287" t="str">
        <f t="shared" si="347"/>
        <v>0. Unaware</v>
      </c>
      <c r="IR558" s="287">
        <f t="shared" si="348"/>
        <v>4</v>
      </c>
      <c r="IS558" s="282" t="s">
        <v>337</v>
      </c>
      <c r="IT558" s="282" t="s">
        <v>319</v>
      </c>
      <c r="IU558" s="282" t="s">
        <v>319</v>
      </c>
      <c r="IV558" s="282" t="s">
        <v>320</v>
      </c>
      <c r="IW558" s="11" t="str">
        <f t="shared" si="349"/>
        <v>1. Neutral</v>
      </c>
      <c r="IX558" s="287">
        <f t="shared" si="350"/>
        <v>1</v>
      </c>
      <c r="IY558" s="282" t="s">
        <v>419</v>
      </c>
      <c r="IZ558" s="282" t="s">
        <v>339</v>
      </c>
      <c r="JA558" s="282"/>
      <c r="JB558" s="282"/>
      <c r="JC558" s="282"/>
      <c r="JD558" s="282"/>
      <c r="JE558" s="282" t="s">
        <v>420</v>
      </c>
      <c r="JF558" s="282"/>
      <c r="JG558" s="282"/>
      <c r="JH558" s="282"/>
      <c r="JI558" s="282"/>
      <c r="JJ558" s="282"/>
      <c r="JK558" s="282" t="s">
        <v>9304</v>
      </c>
      <c r="JL558" s="282" t="s">
        <v>9305</v>
      </c>
      <c r="JM558" s="282" t="s">
        <v>9306</v>
      </c>
      <c r="JN558" s="282"/>
      <c r="JO558" s="282"/>
      <c r="JP558" s="15">
        <f t="shared" si="351"/>
        <v>45021</v>
      </c>
      <c r="JQ558" s="15">
        <f t="shared" si="352"/>
        <v>149166</v>
      </c>
      <c r="JR558" s="279">
        <f t="shared" si="353"/>
        <v>3.3132538148863864</v>
      </c>
      <c r="JS558" s="17">
        <f t="shared" si="354"/>
        <v>0.51000644143843987</v>
      </c>
      <c r="JT558" s="18">
        <f t="shared" si="355"/>
        <v>0.51000227933979592</v>
      </c>
      <c r="JU558" s="280">
        <f t="shared" si="356"/>
        <v>22961</v>
      </c>
      <c r="JV558" s="280">
        <f t="shared" si="357"/>
        <v>76075</v>
      </c>
      <c r="JW558" s="319">
        <f t="shared" si="358"/>
        <v>1</v>
      </c>
      <c r="JX558" s="15">
        <f t="shared" si="359"/>
        <v>45021</v>
      </c>
      <c r="JY558" s="15">
        <f t="shared" si="360"/>
        <v>149166</v>
      </c>
      <c r="JZ558" s="19">
        <f t="shared" si="361"/>
        <v>3.3132538148863864</v>
      </c>
      <c r="KA558" s="52">
        <f t="shared" si="362"/>
        <v>1</v>
      </c>
      <c r="KB558" s="15">
        <f t="shared" si="363"/>
        <v>22477</v>
      </c>
      <c r="KC558" s="15">
        <f t="shared" si="364"/>
        <v>0</v>
      </c>
      <c r="KD558" s="20">
        <f t="shared" si="365"/>
        <v>0</v>
      </c>
      <c r="KE558" s="52" t="str">
        <f t="shared" si="366"/>
        <v/>
      </c>
      <c r="KF558" s="15">
        <f t="shared" si="367"/>
        <v>0</v>
      </c>
      <c r="KG558" s="15">
        <f t="shared" si="368"/>
        <v>0</v>
      </c>
      <c r="KH558" s="21" t="str">
        <f t="shared" si="369"/>
        <v/>
      </c>
      <c r="KI558" s="52" t="str">
        <f t="shared" si="370"/>
        <v/>
      </c>
      <c r="KJ558" s="15">
        <f t="shared" si="371"/>
        <v>0</v>
      </c>
      <c r="KK558" s="15">
        <f t="shared" si="372"/>
        <v>0</v>
      </c>
      <c r="KL558" s="19" t="str">
        <f t="shared" si="373"/>
        <v/>
      </c>
      <c r="KM558" s="52" t="str">
        <f t="shared" si="374"/>
        <v/>
      </c>
      <c r="KN558" s="22">
        <f t="shared" si="375"/>
        <v>0</v>
      </c>
      <c r="KO558" s="22">
        <f t="shared" si="376"/>
        <v>0</v>
      </c>
      <c r="KP558" s="19" t="str">
        <f t="shared" si="377"/>
        <v/>
      </c>
      <c r="KQ558" s="11" t="str">
        <f t="shared" si="378"/>
        <v>2. Sensitive</v>
      </c>
      <c r="KR558" s="11" t="str">
        <f t="shared" si="379"/>
        <v>0. Unaware</v>
      </c>
      <c r="KS558" s="11" t="str">
        <f t="shared" si="380"/>
        <v>1. Neutral</v>
      </c>
      <c r="KT558" s="11" t="str">
        <f t="shared" si="381"/>
        <v>It did not develop any specific innovation</v>
      </c>
      <c r="KU558" s="11">
        <f t="shared" si="382"/>
        <v>0</v>
      </c>
      <c r="KV558" s="11" t="str">
        <f t="shared" si="383"/>
        <v>It did not take tested solutions to scale</v>
      </c>
      <c r="KW558" s="11" t="str">
        <f t="shared" si="384"/>
        <v>Niger - Protection &amp; Assistance aux réfugiés Nigérians, populations hôtes/Logistique&amp;Distribution NFI- DIFFA</v>
      </c>
      <c r="KX558" s="11" t="str">
        <f t="shared" si="385"/>
        <v>Protection &amp; Assistance aux réfugiés Nigérians, populations hôtes/Logistique&amp;Distribution NFI- DIFFA</v>
      </c>
      <c r="KY558" s="11" t="str">
        <f t="shared" si="386"/>
        <v>Niger</v>
      </c>
      <c r="KZ558" s="12">
        <v>558</v>
      </c>
    </row>
    <row r="559" spans="1:312" x14ac:dyDescent="0.3">
      <c r="A559" s="12" t="s">
        <v>9043</v>
      </c>
      <c r="B559" s="12" t="s">
        <v>1596</v>
      </c>
      <c r="C559" s="12"/>
      <c r="D559" s="12" t="s">
        <v>9161</v>
      </c>
      <c r="E559" s="277" t="str">
        <f t="shared" si="344"/>
        <v>Niger</v>
      </c>
      <c r="F559" s="12" t="s">
        <v>9162</v>
      </c>
      <c r="G559" s="12" t="s">
        <v>1738</v>
      </c>
      <c r="H559" s="11" t="s">
        <v>310</v>
      </c>
      <c r="I559" s="12" t="s">
        <v>3316</v>
      </c>
      <c r="J559" s="281" t="s">
        <v>14616</v>
      </c>
      <c r="K559" s="12"/>
      <c r="L559" s="12"/>
      <c r="M559" s="12"/>
      <c r="N559" s="12"/>
      <c r="O559" s="12"/>
      <c r="P559" s="12"/>
      <c r="Q559" s="12"/>
      <c r="R559" s="12"/>
      <c r="S559" s="12"/>
      <c r="T559" s="12"/>
      <c r="U559" s="12"/>
      <c r="V559" s="12"/>
      <c r="W559" s="12"/>
      <c r="X559" s="12"/>
      <c r="Y559" s="12"/>
      <c r="Z559" s="12"/>
      <c r="AA559" s="12"/>
      <c r="AB559" s="12"/>
      <c r="AC559" s="12"/>
      <c r="AD559" s="12"/>
      <c r="BD559" s="13">
        <v>42597</v>
      </c>
      <c r="BE559" s="13">
        <v>42839</v>
      </c>
      <c r="BF559" s="13">
        <v>42930</v>
      </c>
      <c r="BG559" s="12" t="s">
        <v>817</v>
      </c>
      <c r="BH559" s="14">
        <v>171119.213913043</v>
      </c>
      <c r="BI559" s="12" t="s">
        <v>9125</v>
      </c>
      <c r="BJ559" s="12" t="s">
        <v>9126</v>
      </c>
      <c r="BK559" s="12" t="s">
        <v>9127</v>
      </c>
      <c r="BL559" s="12" t="s">
        <v>9128</v>
      </c>
      <c r="BM559" s="12" t="s">
        <v>9129</v>
      </c>
      <c r="BN559" s="12" t="s">
        <v>9130</v>
      </c>
      <c r="BO559" s="12" t="s">
        <v>320</v>
      </c>
      <c r="BP559" s="12" t="s">
        <v>319</v>
      </c>
      <c r="BQ559" s="12" t="s">
        <v>319</v>
      </c>
      <c r="BR559" s="12" t="s">
        <v>9163</v>
      </c>
      <c r="BS559" s="12" t="s">
        <v>357</v>
      </c>
      <c r="BT559" s="43" t="s">
        <v>9164</v>
      </c>
      <c r="BU559" s="12" t="s">
        <v>9165</v>
      </c>
      <c r="BV559" s="14">
        <v>6222</v>
      </c>
      <c r="BW559" s="14">
        <v>5978</v>
      </c>
      <c r="BX559" s="14">
        <v>12200</v>
      </c>
      <c r="BY559" s="14">
        <v>360</v>
      </c>
      <c r="BZ559" s="14">
        <v>180</v>
      </c>
      <c r="CA559" s="14">
        <v>540</v>
      </c>
      <c r="CB559" s="12" t="s">
        <v>9166</v>
      </c>
      <c r="CD559" s="14">
        <v>3952</v>
      </c>
      <c r="CE559" s="14">
        <v>3648</v>
      </c>
      <c r="CF559" s="14">
        <v>7600</v>
      </c>
      <c r="CG559" s="14">
        <v>2355</v>
      </c>
      <c r="CH559" s="14">
        <v>2105</v>
      </c>
      <c r="CI559" s="14">
        <v>4460</v>
      </c>
      <c r="CJ559" s="12"/>
      <c r="CK559" s="14"/>
      <c r="CL559" s="16"/>
      <c r="CM559" s="14"/>
      <c r="CN559" s="12"/>
      <c r="CO559" s="14"/>
      <c r="CP559" s="16"/>
      <c r="CQ559" s="14"/>
      <c r="CR559" s="12"/>
      <c r="CS559" s="14"/>
      <c r="CT559" s="16"/>
      <c r="CU559" s="14"/>
      <c r="CV559" s="12"/>
      <c r="CW559" s="14"/>
      <c r="CX559" s="16"/>
      <c r="CY559" s="14"/>
      <c r="CZ559" s="12" t="s">
        <v>320</v>
      </c>
      <c r="DA559" s="14">
        <v>500</v>
      </c>
      <c r="DB559" s="16">
        <v>1</v>
      </c>
      <c r="DC559" s="14">
        <v>250</v>
      </c>
      <c r="DD559" s="12"/>
      <c r="DE559" s="14"/>
      <c r="DF559" s="16"/>
      <c r="DG559" s="14"/>
      <c r="DH559" s="12"/>
      <c r="DI559" s="14"/>
      <c r="DJ559" s="16"/>
      <c r="DK559" s="14"/>
      <c r="DL559" s="12"/>
      <c r="DM559" s="14"/>
      <c r="DN559" s="16"/>
      <c r="DO559" s="14"/>
      <c r="DP559" s="12" t="s">
        <v>320</v>
      </c>
      <c r="DQ559" s="14">
        <v>6600</v>
      </c>
      <c r="DR559" s="16">
        <v>0.51</v>
      </c>
      <c r="DS559" s="14">
        <v>943</v>
      </c>
      <c r="DT559" s="12"/>
      <c r="DU559" s="14"/>
      <c r="DV559" s="16"/>
      <c r="DW559" s="14"/>
      <c r="DX559" s="12"/>
      <c r="DY559" s="14"/>
      <c r="DZ559" s="16"/>
      <c r="EA559" s="14"/>
      <c r="EB559" s="12" t="s">
        <v>320</v>
      </c>
      <c r="EC559" s="14">
        <v>500</v>
      </c>
      <c r="ED559" s="16">
        <v>0.17</v>
      </c>
      <c r="EE559" s="14">
        <v>3500</v>
      </c>
      <c r="EF559" s="12"/>
      <c r="EG559" s="12"/>
      <c r="EH559" s="14"/>
      <c r="EI559" s="16"/>
      <c r="EJ559" s="14"/>
      <c r="EK559" s="14"/>
      <c r="EL559" s="14"/>
      <c r="EM559" s="14"/>
      <c r="EN559" s="14"/>
      <c r="EO559" s="14"/>
      <c r="EP559" s="14"/>
      <c r="EQ559" s="12"/>
      <c r="ER559" s="14"/>
      <c r="ES559" s="16"/>
      <c r="ET559" s="14"/>
      <c r="EU559" s="12"/>
      <c r="EV559" s="14"/>
      <c r="EW559" s="16"/>
      <c r="EX559" s="14"/>
      <c r="EY559" s="12"/>
      <c r="EZ559" s="14"/>
      <c r="FA559" s="16"/>
      <c r="FB559" s="14"/>
      <c r="FC559" s="12"/>
      <c r="FD559" s="14"/>
      <c r="FE559" s="16"/>
      <c r="FF559" s="14"/>
      <c r="FG559" s="12"/>
      <c r="FH559" s="14"/>
      <c r="FI559" s="16"/>
      <c r="FJ559" s="14"/>
      <c r="FK559" s="12"/>
      <c r="FL559" s="14"/>
      <c r="FM559" s="16"/>
      <c r="FN559" s="14"/>
      <c r="FO559" s="12"/>
      <c r="FP559" s="14"/>
      <c r="FQ559" s="16"/>
      <c r="FR559" s="14"/>
      <c r="FS559" s="12"/>
      <c r="FT559" s="14"/>
      <c r="FU559" s="16"/>
      <c r="FV559" s="14"/>
      <c r="FW559" s="12"/>
      <c r="FX559" s="14"/>
      <c r="FY559" s="16"/>
      <c r="FZ559" s="14"/>
      <c r="GA559" s="12"/>
      <c r="GB559" s="14"/>
      <c r="GC559" s="16"/>
      <c r="GD559" s="14"/>
      <c r="GE559" s="12"/>
      <c r="GF559" s="14"/>
      <c r="GG559" s="16"/>
      <c r="GH559" s="14"/>
      <c r="GI559" s="12"/>
      <c r="GJ559" s="14"/>
      <c r="GK559" s="16"/>
      <c r="GL559" s="14"/>
      <c r="GM559" s="12"/>
      <c r="GN559" s="14"/>
      <c r="GO559" s="16"/>
      <c r="GP559" s="14"/>
      <c r="GQ559" s="12"/>
      <c r="GR559" s="14"/>
      <c r="GS559" s="16"/>
      <c r="GT559" s="14"/>
      <c r="GU559" s="12"/>
      <c r="GV559" s="14"/>
      <c r="GW559" s="16"/>
      <c r="GX559" s="14"/>
      <c r="GY559" s="12"/>
      <c r="GZ559" s="14"/>
      <c r="HA559" s="16"/>
      <c r="HB559" s="14"/>
      <c r="HC559" s="12"/>
      <c r="HD559" s="12"/>
      <c r="HE559" s="14"/>
      <c r="HF559" s="16"/>
      <c r="HG559" s="14"/>
      <c r="HH559" s="12" t="s">
        <v>320</v>
      </c>
      <c r="HI559" s="12" t="s">
        <v>431</v>
      </c>
      <c r="HJ559" s="12">
        <v>2017</v>
      </c>
      <c r="HK559" s="12"/>
      <c r="HL559" s="12" t="s">
        <v>319</v>
      </c>
      <c r="HM559" s="12"/>
      <c r="HN559" s="12"/>
      <c r="HO559" s="12"/>
      <c r="HP559" s="12" t="s">
        <v>418</v>
      </c>
      <c r="HQ559" s="12"/>
      <c r="HR559" s="12" t="s">
        <v>320</v>
      </c>
      <c r="HS559" s="12"/>
      <c r="HT559" s="12" t="s">
        <v>320</v>
      </c>
      <c r="HU559" s="12" t="s">
        <v>320</v>
      </c>
      <c r="HV559" s="12"/>
      <c r="HW559" s="12"/>
      <c r="HX559" s="12"/>
      <c r="HY559" s="12"/>
      <c r="HZ559" s="12" t="s">
        <v>363</v>
      </c>
      <c r="IA559" s="12"/>
      <c r="IB559" s="12" t="s">
        <v>333</v>
      </c>
      <c r="IC559" s="12"/>
      <c r="ID559" s="12" t="s">
        <v>334</v>
      </c>
      <c r="IE559" s="12" t="s">
        <v>335</v>
      </c>
      <c r="IF559" s="12" t="s">
        <v>320</v>
      </c>
      <c r="IG559" s="12" t="s">
        <v>320</v>
      </c>
      <c r="IH559" s="12" t="s">
        <v>320</v>
      </c>
      <c r="II559" s="12" t="s">
        <v>320</v>
      </c>
      <c r="IJ559" s="12" t="str">
        <f t="shared" si="345"/>
        <v>2. Sensitive</v>
      </c>
      <c r="IK559" s="12">
        <f t="shared" si="346"/>
        <v>4</v>
      </c>
      <c r="IL559" s="12" t="s">
        <v>723</v>
      </c>
      <c r="IM559" s="12"/>
      <c r="IN559" s="12"/>
      <c r="IO559" s="12"/>
      <c r="IP559" s="12"/>
      <c r="IQ559" s="12" t="str">
        <f t="shared" si="347"/>
        <v>0. Unaware</v>
      </c>
      <c r="IR559" s="12">
        <f t="shared" si="348"/>
        <v>0</v>
      </c>
      <c r="IS559" s="12" t="s">
        <v>337</v>
      </c>
      <c r="IT559" s="12" t="s">
        <v>320</v>
      </c>
      <c r="IU559" s="12" t="s">
        <v>319</v>
      </c>
      <c r="IV559" s="12" t="s">
        <v>319</v>
      </c>
      <c r="IW559" s="11" t="str">
        <f t="shared" si="349"/>
        <v>1. Neutral</v>
      </c>
      <c r="IX559" s="12">
        <f t="shared" si="350"/>
        <v>1</v>
      </c>
      <c r="IY559" s="11" t="s">
        <v>338</v>
      </c>
      <c r="IZ559" s="12" t="s">
        <v>339</v>
      </c>
      <c r="JA559" s="12"/>
      <c r="JB559" s="12"/>
      <c r="JD559" s="12"/>
      <c r="JE559" s="12" t="s">
        <v>420</v>
      </c>
      <c r="JF559" s="12"/>
      <c r="JG559" s="12"/>
      <c r="JH559" s="12" t="s">
        <v>9167</v>
      </c>
      <c r="JI559" s="12" t="s">
        <v>9168</v>
      </c>
      <c r="JJ559" s="12" t="s">
        <v>9169</v>
      </c>
      <c r="JK559" s="12" t="s">
        <v>9135</v>
      </c>
      <c r="JL559" s="12" t="s">
        <v>9136</v>
      </c>
      <c r="JM559" s="12" t="s">
        <v>9137</v>
      </c>
      <c r="JN559" s="12" t="s">
        <v>9170</v>
      </c>
      <c r="JO559" s="12"/>
      <c r="JP559" s="15">
        <f t="shared" si="351"/>
        <v>7600</v>
      </c>
      <c r="JQ559" s="15">
        <f t="shared" si="352"/>
        <v>4460</v>
      </c>
      <c r="JR559" s="279">
        <f t="shared" si="353"/>
        <v>0.58684210526315794</v>
      </c>
      <c r="JS559" s="17">
        <f t="shared" si="354"/>
        <v>0.52</v>
      </c>
      <c r="JT559" s="18">
        <f t="shared" si="355"/>
        <v>0.52802690582959644</v>
      </c>
      <c r="JU559" s="280">
        <f t="shared" si="356"/>
        <v>3952</v>
      </c>
      <c r="JV559" s="280">
        <f t="shared" si="357"/>
        <v>2355</v>
      </c>
      <c r="JW559" s="319">
        <f t="shared" si="358"/>
        <v>1</v>
      </c>
      <c r="JX559" s="15">
        <f t="shared" si="359"/>
        <v>7600</v>
      </c>
      <c r="JY559" s="15">
        <f t="shared" si="360"/>
        <v>4460</v>
      </c>
      <c r="JZ559" s="19">
        <f t="shared" si="361"/>
        <v>0.58684210526315794</v>
      </c>
      <c r="KA559" s="52" t="str">
        <f t="shared" si="362"/>
        <v/>
      </c>
      <c r="KB559" s="15">
        <f t="shared" si="363"/>
        <v>0</v>
      </c>
      <c r="KC559" s="15">
        <f t="shared" si="364"/>
        <v>0</v>
      </c>
      <c r="KD559" s="20" t="str">
        <f t="shared" si="365"/>
        <v/>
      </c>
      <c r="KE559" s="52" t="str">
        <f t="shared" si="366"/>
        <v/>
      </c>
      <c r="KF559" s="15">
        <f t="shared" si="367"/>
        <v>0</v>
      </c>
      <c r="KG559" s="15">
        <f t="shared" si="368"/>
        <v>0</v>
      </c>
      <c r="KH559" s="21" t="str">
        <f t="shared" si="369"/>
        <v/>
      </c>
      <c r="KI559" s="52">
        <f t="shared" si="370"/>
        <v>1</v>
      </c>
      <c r="KJ559" s="15">
        <f t="shared" si="371"/>
        <v>500</v>
      </c>
      <c r="KK559" s="15">
        <f t="shared" si="372"/>
        <v>250</v>
      </c>
      <c r="KL559" s="19">
        <f t="shared" si="373"/>
        <v>0.5</v>
      </c>
      <c r="KM559" s="52" t="str">
        <f t="shared" si="374"/>
        <v/>
      </c>
      <c r="KN559" s="22">
        <f t="shared" si="375"/>
        <v>0</v>
      </c>
      <c r="KO559" s="22">
        <f t="shared" si="376"/>
        <v>0</v>
      </c>
      <c r="KP559" s="19" t="str">
        <f t="shared" si="377"/>
        <v/>
      </c>
      <c r="KQ559" s="11" t="str">
        <f t="shared" si="378"/>
        <v>2. Sensitive</v>
      </c>
      <c r="KR559" s="11" t="str">
        <f t="shared" si="379"/>
        <v>0. Unaware</v>
      </c>
      <c r="KS559" s="11" t="str">
        <f t="shared" si="380"/>
        <v>1. Neutral</v>
      </c>
      <c r="KT559" s="11" t="str">
        <f t="shared" si="381"/>
        <v>It did not develop any specific innovation</v>
      </c>
      <c r="KU559" s="11" t="str">
        <f t="shared" si="382"/>
        <v>Little or no advocacy</v>
      </c>
      <c r="KV559" s="11" t="str">
        <f t="shared" si="383"/>
        <v>It did not take tested solutions to scale</v>
      </c>
      <c r="KW559" s="11" t="str">
        <f t="shared" si="384"/>
        <v>Niger - REDUCTION DE LA VULNERABILITE DES REFUGIES ET DE LA POPULATION HÔTE DE LA REGION DE DIFFA, NIGER</v>
      </c>
      <c r="KX559" s="11" t="str">
        <f t="shared" si="385"/>
        <v>REDUCTION DE LA VULNERABILITE DES REFUGIES ET DE LA POPULATION HÔTE DE LA REGION DE DIFFA, NIGER</v>
      </c>
      <c r="KY559" s="11" t="str">
        <f t="shared" si="386"/>
        <v>Niger</v>
      </c>
      <c r="KZ559" s="287">
        <v>559</v>
      </c>
    </row>
    <row r="560" spans="1:312" x14ac:dyDescent="0.3">
      <c r="A560" s="12" t="s">
        <v>9043</v>
      </c>
      <c r="B560" s="12" t="s">
        <v>1596</v>
      </c>
      <c r="C560" s="12"/>
      <c r="D560" s="12" t="s">
        <v>9058</v>
      </c>
      <c r="E560" s="277" t="str">
        <f t="shared" si="344"/>
        <v>Niger</v>
      </c>
      <c r="F560" s="12" t="s">
        <v>9059</v>
      </c>
      <c r="G560" s="12" t="s">
        <v>376</v>
      </c>
      <c r="H560" s="11" t="s">
        <v>310</v>
      </c>
      <c r="I560" s="12" t="s">
        <v>377</v>
      </c>
      <c r="J560" s="278" t="s">
        <v>14564</v>
      </c>
      <c r="K560" s="12"/>
      <c r="L560" s="12"/>
      <c r="M560" s="12"/>
      <c r="N560" s="12"/>
      <c r="O560" s="12"/>
      <c r="P560" s="12"/>
      <c r="Q560" s="12"/>
      <c r="R560" s="12"/>
      <c r="S560" s="12"/>
      <c r="T560" s="12"/>
      <c r="U560" s="12"/>
      <c r="V560" s="12"/>
      <c r="W560" s="12"/>
      <c r="X560" s="12"/>
      <c r="Y560" s="12"/>
      <c r="Z560" s="12"/>
      <c r="AA560" s="12"/>
      <c r="AB560" s="12"/>
      <c r="AC560" s="12"/>
      <c r="AD560" s="12"/>
      <c r="BD560" s="13">
        <v>42829</v>
      </c>
      <c r="BE560" s="13">
        <v>43555</v>
      </c>
      <c r="BF560" s="12"/>
      <c r="BG560" s="12" t="s">
        <v>817</v>
      </c>
      <c r="BH560" s="14">
        <v>2037037</v>
      </c>
      <c r="BI560" s="12" t="s">
        <v>9047</v>
      </c>
      <c r="BJ560" s="12" t="s">
        <v>2775</v>
      </c>
      <c r="BK560" s="12" t="s">
        <v>9048</v>
      </c>
      <c r="BL560" s="12" t="s">
        <v>9049</v>
      </c>
      <c r="BM560" s="12" t="s">
        <v>9050</v>
      </c>
      <c r="BN560" s="12" t="s">
        <v>9051</v>
      </c>
      <c r="BO560" s="12" t="s">
        <v>320</v>
      </c>
      <c r="BP560" s="12" t="s">
        <v>319</v>
      </c>
      <c r="BQ560" s="12" t="s">
        <v>319</v>
      </c>
      <c r="BR560" s="12" t="s">
        <v>9060</v>
      </c>
      <c r="BS560" s="12" t="s">
        <v>357</v>
      </c>
      <c r="BT560" s="43" t="s">
        <v>9061</v>
      </c>
      <c r="BU560" s="12" t="s">
        <v>9054</v>
      </c>
      <c r="BV560" s="14">
        <v>15000</v>
      </c>
      <c r="BW560" s="14">
        <v>10000</v>
      </c>
      <c r="BX560" s="14">
        <v>25000</v>
      </c>
      <c r="BY560" s="14"/>
      <c r="BZ560" s="14"/>
      <c r="CA560" s="14"/>
      <c r="CB560" s="12" t="s">
        <v>9055</v>
      </c>
      <c r="CD560" s="14"/>
      <c r="CE560" s="14"/>
      <c r="CF560" s="14"/>
      <c r="CG560" s="14"/>
      <c r="CH560" s="14"/>
      <c r="CI560" s="14"/>
      <c r="CJ560" s="12"/>
      <c r="CK560" s="14"/>
      <c r="CL560" s="16"/>
      <c r="CM560" s="14"/>
      <c r="CN560" s="12"/>
      <c r="CO560" s="14"/>
      <c r="CP560" s="16"/>
      <c r="CQ560" s="14"/>
      <c r="CR560" s="12"/>
      <c r="CS560" s="14"/>
      <c r="CT560" s="16"/>
      <c r="CU560" s="14"/>
      <c r="CV560" s="12"/>
      <c r="CW560" s="14"/>
      <c r="CX560" s="16"/>
      <c r="CY560" s="14"/>
      <c r="CZ560" s="12"/>
      <c r="DA560" s="14"/>
      <c r="DB560" s="16"/>
      <c r="DC560" s="14"/>
      <c r="DD560" s="12"/>
      <c r="DE560" s="14"/>
      <c r="DF560" s="16"/>
      <c r="DG560" s="14"/>
      <c r="DH560" s="12"/>
      <c r="DI560" s="14"/>
      <c r="DJ560" s="16"/>
      <c r="DK560" s="14"/>
      <c r="DL560" s="12"/>
      <c r="DM560" s="14"/>
      <c r="DN560" s="16"/>
      <c r="DO560" s="14"/>
      <c r="DP560" s="12"/>
      <c r="DQ560" s="14"/>
      <c r="DR560" s="16"/>
      <c r="DS560" s="14"/>
      <c r="DT560" s="12"/>
      <c r="DU560" s="14"/>
      <c r="DV560" s="16"/>
      <c r="DW560" s="14"/>
      <c r="DX560" s="12"/>
      <c r="DY560" s="14"/>
      <c r="DZ560" s="16"/>
      <c r="EA560" s="14"/>
      <c r="EB560" s="12"/>
      <c r="EC560" s="14"/>
      <c r="ED560" s="16"/>
      <c r="EE560" s="14"/>
      <c r="EF560" s="12"/>
      <c r="EG560" s="12"/>
      <c r="EH560" s="14"/>
      <c r="EI560" s="16"/>
      <c r="EJ560" s="14"/>
      <c r="EK560" s="14"/>
      <c r="EL560" s="14"/>
      <c r="EM560" s="14"/>
      <c r="EN560" s="14"/>
      <c r="EO560" s="14"/>
      <c r="EP560" s="14"/>
      <c r="EQ560" s="12"/>
      <c r="ER560" s="14"/>
      <c r="ES560" s="16"/>
      <c r="ET560" s="14"/>
      <c r="EU560" s="12"/>
      <c r="EV560" s="14"/>
      <c r="EW560" s="16"/>
      <c r="EX560" s="14"/>
      <c r="EY560" s="12"/>
      <c r="EZ560" s="14"/>
      <c r="FA560" s="16"/>
      <c r="FB560" s="14"/>
      <c r="FC560" s="12"/>
      <c r="FD560" s="14"/>
      <c r="FE560" s="16"/>
      <c r="FF560" s="14"/>
      <c r="FG560" s="12"/>
      <c r="FH560" s="14"/>
      <c r="FI560" s="16"/>
      <c r="FJ560" s="14"/>
      <c r="FK560" s="12"/>
      <c r="FL560" s="14"/>
      <c r="FM560" s="16"/>
      <c r="FN560" s="14"/>
      <c r="FO560" s="12"/>
      <c r="FP560" s="14"/>
      <c r="FQ560" s="16"/>
      <c r="FR560" s="14"/>
      <c r="FS560" s="12"/>
      <c r="FT560" s="14"/>
      <c r="FU560" s="16"/>
      <c r="FV560" s="14"/>
      <c r="FW560" s="12"/>
      <c r="FX560" s="14"/>
      <c r="FY560" s="16"/>
      <c r="FZ560" s="14"/>
      <c r="GA560" s="12"/>
      <c r="GB560" s="14"/>
      <c r="GC560" s="16"/>
      <c r="GD560" s="14"/>
      <c r="GE560" s="12"/>
      <c r="GF560" s="14"/>
      <c r="GG560" s="16"/>
      <c r="GH560" s="14"/>
      <c r="GI560" s="12"/>
      <c r="GJ560" s="14"/>
      <c r="GK560" s="16"/>
      <c r="GL560" s="14"/>
      <c r="GM560" s="12"/>
      <c r="GN560" s="14"/>
      <c r="GO560" s="16"/>
      <c r="GP560" s="14"/>
      <c r="GQ560" s="12"/>
      <c r="GR560" s="14"/>
      <c r="GS560" s="16"/>
      <c r="GT560" s="14"/>
      <c r="GU560" s="12"/>
      <c r="GV560" s="14"/>
      <c r="GW560" s="16"/>
      <c r="GX560" s="14"/>
      <c r="GY560" s="12"/>
      <c r="GZ560" s="14"/>
      <c r="HA560" s="16"/>
      <c r="HB560" s="14"/>
      <c r="HC560" s="12"/>
      <c r="HD560" s="12"/>
      <c r="HE560" s="14"/>
      <c r="HF560" s="16"/>
      <c r="HG560" s="14"/>
      <c r="HH560" s="12" t="s">
        <v>319</v>
      </c>
      <c r="HI560" s="12"/>
      <c r="HJ560" s="12"/>
      <c r="HK560" s="12" t="s">
        <v>319</v>
      </c>
      <c r="HL560" s="12" t="s">
        <v>320</v>
      </c>
      <c r="HM560" s="12" t="s">
        <v>619</v>
      </c>
      <c r="HN560" s="12">
        <v>2017</v>
      </c>
      <c r="HO560" s="12" t="s">
        <v>9062</v>
      </c>
      <c r="HP560" s="12" t="s">
        <v>418</v>
      </c>
      <c r="HQ560" s="12" t="s">
        <v>319</v>
      </c>
      <c r="HR560" s="12" t="s">
        <v>319</v>
      </c>
      <c r="HS560" s="12" t="s">
        <v>319</v>
      </c>
      <c r="HT560" s="12" t="s">
        <v>319</v>
      </c>
      <c r="HU560" s="12" t="s">
        <v>319</v>
      </c>
      <c r="HV560" s="12" t="s">
        <v>319</v>
      </c>
      <c r="HW560" s="12" t="s">
        <v>319</v>
      </c>
      <c r="HX560" s="12" t="s">
        <v>319</v>
      </c>
      <c r="HY560" s="12"/>
      <c r="HZ560" s="11" t="s">
        <v>363</v>
      </c>
      <c r="IA560" s="12"/>
      <c r="IB560" s="12" t="s">
        <v>333</v>
      </c>
      <c r="IC560" s="12"/>
      <c r="ID560" s="12" t="s">
        <v>334</v>
      </c>
      <c r="IE560" s="12" t="s">
        <v>335</v>
      </c>
      <c r="IF560" s="12" t="s">
        <v>320</v>
      </c>
      <c r="IG560" s="12" t="s">
        <v>320</v>
      </c>
      <c r="IH560" s="12" t="s">
        <v>320</v>
      </c>
      <c r="II560" s="12" t="s">
        <v>320</v>
      </c>
      <c r="IJ560" s="12" t="str">
        <f t="shared" si="345"/>
        <v>2. Sensitive</v>
      </c>
      <c r="IK560" s="12">
        <f t="shared" si="346"/>
        <v>4</v>
      </c>
      <c r="IL560" s="12" t="s">
        <v>723</v>
      </c>
      <c r="IM560" s="12"/>
      <c r="IN560" s="12"/>
      <c r="IO560" s="12"/>
      <c r="IP560" s="12"/>
      <c r="IQ560" s="12" t="str">
        <f t="shared" si="347"/>
        <v>0. Unaware</v>
      </c>
      <c r="IR560" s="12">
        <f t="shared" si="348"/>
        <v>0</v>
      </c>
      <c r="IS560" s="12" t="s">
        <v>337</v>
      </c>
      <c r="IT560" s="12" t="s">
        <v>320</v>
      </c>
      <c r="IU560" s="12" t="s">
        <v>320</v>
      </c>
      <c r="IV560" s="12" t="s">
        <v>320</v>
      </c>
      <c r="IW560" s="11" t="str">
        <f t="shared" si="349"/>
        <v>2. Sensitive</v>
      </c>
      <c r="IX560" s="12">
        <f t="shared" si="350"/>
        <v>3</v>
      </c>
      <c r="IY560" s="11" t="s">
        <v>338</v>
      </c>
      <c r="IZ560" s="11" t="s">
        <v>527</v>
      </c>
      <c r="JA560" s="12">
        <v>2</v>
      </c>
      <c r="JB560" s="11" t="s">
        <v>433</v>
      </c>
      <c r="JC560" s="12"/>
      <c r="JD560" s="12"/>
      <c r="JE560" s="12" t="s">
        <v>420</v>
      </c>
      <c r="JF560" s="12"/>
      <c r="JG560" s="12"/>
      <c r="JH560" s="12"/>
      <c r="JI560" s="12"/>
      <c r="JJ560" s="12"/>
      <c r="JK560" s="12"/>
      <c r="JL560" s="12"/>
      <c r="JM560" s="12"/>
      <c r="JN560" s="12"/>
      <c r="JO560" s="12"/>
      <c r="JP560" s="15">
        <f t="shared" si="351"/>
        <v>0</v>
      </c>
      <c r="JQ560" s="15">
        <f t="shared" si="352"/>
        <v>0</v>
      </c>
      <c r="JR560" s="279" t="str">
        <f t="shared" si="353"/>
        <v/>
      </c>
      <c r="JS560" s="17" t="str">
        <f t="shared" si="354"/>
        <v/>
      </c>
      <c r="JT560" s="18" t="str">
        <f t="shared" si="355"/>
        <v/>
      </c>
      <c r="JU560" s="280">
        <f t="shared" si="356"/>
        <v>0</v>
      </c>
      <c r="JV560" s="280">
        <f t="shared" si="357"/>
        <v>0</v>
      </c>
      <c r="JW560" s="319">
        <f t="shared" si="358"/>
        <v>1</v>
      </c>
      <c r="JX560" s="15">
        <f t="shared" si="359"/>
        <v>0</v>
      </c>
      <c r="JY560" s="15">
        <f t="shared" si="360"/>
        <v>0</v>
      </c>
      <c r="JZ560" s="19" t="str">
        <f t="shared" si="361"/>
        <v/>
      </c>
      <c r="KA560" s="52" t="str">
        <f t="shared" si="362"/>
        <v/>
      </c>
      <c r="KB560" s="15">
        <f t="shared" si="363"/>
        <v>0</v>
      </c>
      <c r="KC560" s="15">
        <f t="shared" si="364"/>
        <v>0</v>
      </c>
      <c r="KD560" s="20" t="str">
        <f t="shared" si="365"/>
        <v/>
      </c>
      <c r="KE560" s="52" t="str">
        <f t="shared" si="366"/>
        <v/>
      </c>
      <c r="KF560" s="15">
        <f t="shared" si="367"/>
        <v>0</v>
      </c>
      <c r="KG560" s="15">
        <f t="shared" si="368"/>
        <v>0</v>
      </c>
      <c r="KH560" s="21" t="str">
        <f t="shared" si="369"/>
        <v/>
      </c>
      <c r="KI560" s="52" t="str">
        <f t="shared" si="370"/>
        <v/>
      </c>
      <c r="KJ560" s="15">
        <f t="shared" si="371"/>
        <v>0</v>
      </c>
      <c r="KK560" s="15">
        <f t="shared" si="372"/>
        <v>0</v>
      </c>
      <c r="KL560" s="19" t="str">
        <f t="shared" si="373"/>
        <v/>
      </c>
      <c r="KM560" s="52" t="str">
        <f t="shared" si="374"/>
        <v/>
      </c>
      <c r="KN560" s="22">
        <f t="shared" si="375"/>
        <v>0</v>
      </c>
      <c r="KO560" s="22">
        <f t="shared" si="376"/>
        <v>0</v>
      </c>
      <c r="KP560" s="19" t="str">
        <f t="shared" si="377"/>
        <v/>
      </c>
      <c r="KQ560" s="11" t="str">
        <f t="shared" si="378"/>
        <v>2. Sensitive</v>
      </c>
      <c r="KR560" s="11" t="str">
        <f t="shared" si="379"/>
        <v>0. Unaware</v>
      </c>
      <c r="KS560" s="11" t="str">
        <f t="shared" si="380"/>
        <v>2. Sensitive</v>
      </c>
      <c r="KT560" s="11" t="str">
        <f t="shared" si="381"/>
        <v>It did not develop any specific innovation</v>
      </c>
      <c r="KU560" s="11" t="str">
        <f t="shared" si="382"/>
        <v>Little or no advocacy</v>
      </c>
      <c r="KV560" s="11" t="str">
        <f t="shared" si="383"/>
        <v>It did not take tested solutions to scale</v>
      </c>
      <c r="KW560" s="11" t="str">
        <f t="shared" si="384"/>
        <v>Niger - Renforcement de laccès aux services de base et aux moyens dexistence pour les personnes affectées par la crise à Diffa, 2017-2019</v>
      </c>
      <c r="KX560" s="11" t="str">
        <f t="shared" si="385"/>
        <v>Renforcement de laccès aux services de base et aux moyens dexistence pour les personnes affectées par la crise à Diffa, 2017-2019</v>
      </c>
      <c r="KY560" s="11" t="str">
        <f t="shared" si="386"/>
        <v>Niger</v>
      </c>
      <c r="KZ560" s="12">
        <v>560</v>
      </c>
    </row>
    <row r="561" spans="1:312" x14ac:dyDescent="0.3">
      <c r="A561" s="12" t="s">
        <v>9043</v>
      </c>
      <c r="B561" s="12" t="s">
        <v>1596</v>
      </c>
      <c r="C561" s="12">
        <v>3224</v>
      </c>
      <c r="D561" s="12" t="s">
        <v>9307</v>
      </c>
      <c r="E561" s="277" t="str">
        <f t="shared" si="344"/>
        <v>Niger</v>
      </c>
      <c r="F561" s="12" t="s">
        <v>9308</v>
      </c>
      <c r="G561" s="12" t="s">
        <v>379</v>
      </c>
      <c r="H561" s="11" t="s">
        <v>310</v>
      </c>
      <c r="I561" s="12" t="s">
        <v>655</v>
      </c>
      <c r="J561" s="281" t="s">
        <v>9916</v>
      </c>
      <c r="K561" s="12"/>
      <c r="L561" s="12"/>
      <c r="M561" s="12"/>
      <c r="N561" s="12"/>
      <c r="O561" s="12"/>
      <c r="P561" s="12"/>
      <c r="Q561" s="12"/>
      <c r="R561" s="12"/>
      <c r="S561" s="12"/>
      <c r="T561" s="12"/>
      <c r="U561" s="12"/>
      <c r="V561" s="12"/>
      <c r="W561" s="12"/>
      <c r="X561" s="12"/>
      <c r="Y561" s="12"/>
      <c r="Z561" s="12"/>
      <c r="AA561" s="12"/>
      <c r="AB561" s="12"/>
      <c r="AC561" s="12"/>
      <c r="AD561" s="12"/>
      <c r="BD561" s="13">
        <v>42577</v>
      </c>
      <c r="BE561" s="13">
        <v>42941</v>
      </c>
      <c r="BF561" s="12"/>
      <c r="BG561" s="12" t="s">
        <v>817</v>
      </c>
      <c r="BH561" s="14">
        <v>2800000</v>
      </c>
      <c r="BI561" s="12" t="s">
        <v>9309</v>
      </c>
      <c r="BJ561" s="12" t="s">
        <v>3002</v>
      </c>
      <c r="BK561" s="12" t="s">
        <v>9310</v>
      </c>
      <c r="BL561" s="12" t="s">
        <v>9295</v>
      </c>
      <c r="BM561" s="12" t="s">
        <v>9296</v>
      </c>
      <c r="BN561" s="12" t="s">
        <v>9297</v>
      </c>
      <c r="BO561" s="12" t="s">
        <v>320</v>
      </c>
      <c r="BP561" s="12" t="s">
        <v>319</v>
      </c>
      <c r="BQ561" s="12" t="s">
        <v>319</v>
      </c>
      <c r="BR561" s="12" t="s">
        <v>9311</v>
      </c>
      <c r="BS561" s="12" t="s">
        <v>357</v>
      </c>
      <c r="BT561" s="43" t="s">
        <v>9312</v>
      </c>
      <c r="BU561" s="12" t="s">
        <v>9313</v>
      </c>
      <c r="BV561" s="14">
        <v>13322</v>
      </c>
      <c r="BW561" s="14">
        <v>2500</v>
      </c>
      <c r="BX561" s="14">
        <v>15822</v>
      </c>
      <c r="BY561" s="14">
        <v>16645</v>
      </c>
      <c r="BZ561" s="14">
        <v>8198</v>
      </c>
      <c r="CA561" s="14">
        <v>24843</v>
      </c>
      <c r="CB561" s="12" t="s">
        <v>9314</v>
      </c>
      <c r="CD561" s="14">
        <v>8895</v>
      </c>
      <c r="CE561" s="14">
        <v>2537</v>
      </c>
      <c r="CF561" s="14">
        <v>11432</v>
      </c>
      <c r="CG561" s="14">
        <v>53370</v>
      </c>
      <c r="CH561" s="14">
        <v>15222</v>
      </c>
      <c r="CI561" s="14">
        <v>68592</v>
      </c>
      <c r="CJ561" s="12" t="s">
        <v>319</v>
      </c>
      <c r="CK561" s="14"/>
      <c r="CL561" s="16"/>
      <c r="CM561" s="14"/>
      <c r="CN561" s="12" t="s">
        <v>320</v>
      </c>
      <c r="CO561" s="14">
        <v>2000</v>
      </c>
      <c r="CP561" s="16">
        <v>0.25900000000000001</v>
      </c>
      <c r="CQ561" s="14">
        <v>12000</v>
      </c>
      <c r="CR561" s="12" t="s">
        <v>319</v>
      </c>
      <c r="CS561" s="14"/>
      <c r="CT561" s="16"/>
      <c r="CU561" s="14"/>
      <c r="CV561" s="12" t="s">
        <v>320</v>
      </c>
      <c r="CW561" s="14">
        <v>6322</v>
      </c>
      <c r="CX561" s="16">
        <v>0.83312242961088301</v>
      </c>
      <c r="CY561" s="14">
        <v>37932</v>
      </c>
      <c r="CZ561" s="12"/>
      <c r="DA561" s="14"/>
      <c r="DB561" s="16"/>
      <c r="DC561" s="14"/>
      <c r="DD561" s="12" t="s">
        <v>319</v>
      </c>
      <c r="DE561" s="14"/>
      <c r="DF561" s="16"/>
      <c r="DG561" s="14"/>
      <c r="DH561" s="12" t="s">
        <v>319</v>
      </c>
      <c r="DI561" s="14"/>
      <c r="DJ561" s="16"/>
      <c r="DK561" s="14"/>
      <c r="DL561" s="11" t="s">
        <v>320</v>
      </c>
      <c r="DM561" s="14">
        <v>8895</v>
      </c>
      <c r="DN561" s="16">
        <v>0.71478358628442895</v>
      </c>
      <c r="DO561" s="14">
        <v>53370</v>
      </c>
      <c r="DP561" s="12" t="s">
        <v>319</v>
      </c>
      <c r="DQ561" s="14"/>
      <c r="DR561" s="16"/>
      <c r="DS561" s="14"/>
      <c r="DT561" s="12" t="s">
        <v>319</v>
      </c>
      <c r="DU561" s="14"/>
      <c r="DV561" s="16"/>
      <c r="DW561" s="14"/>
      <c r="DX561" s="12" t="s">
        <v>319</v>
      </c>
      <c r="DY561" s="14"/>
      <c r="DZ561" s="16"/>
      <c r="EA561" s="14"/>
      <c r="EB561" s="12" t="s">
        <v>319</v>
      </c>
      <c r="EC561" s="14"/>
      <c r="ED561" s="16"/>
      <c r="EE561" s="14"/>
      <c r="EF561" s="12"/>
      <c r="EG561" s="12"/>
      <c r="EH561" s="14"/>
      <c r="EI561" s="16"/>
      <c r="EJ561" s="14">
        <v>0</v>
      </c>
      <c r="EK561" s="14"/>
      <c r="EL561" s="14"/>
      <c r="EM561" s="14"/>
      <c r="EN561" s="14"/>
      <c r="EO561" s="14"/>
      <c r="EP561" s="14"/>
      <c r="EQ561" s="12"/>
      <c r="ER561" s="14"/>
      <c r="ES561" s="16"/>
      <c r="ET561" s="14"/>
      <c r="EU561" s="12"/>
      <c r="EV561" s="14"/>
      <c r="EW561" s="16"/>
      <c r="EX561" s="14"/>
      <c r="EY561" s="12"/>
      <c r="EZ561" s="14"/>
      <c r="FA561" s="16"/>
      <c r="FB561" s="14"/>
      <c r="FC561" s="12"/>
      <c r="FD561" s="14"/>
      <c r="FE561" s="16"/>
      <c r="FF561" s="14"/>
      <c r="FG561" s="12"/>
      <c r="FH561" s="14"/>
      <c r="FI561" s="16"/>
      <c r="FJ561" s="14"/>
      <c r="FK561" s="12"/>
      <c r="FL561" s="14"/>
      <c r="FM561" s="16"/>
      <c r="FN561" s="14"/>
      <c r="FO561" s="12"/>
      <c r="FP561" s="14"/>
      <c r="FQ561" s="16"/>
      <c r="FR561" s="14"/>
      <c r="FS561" s="12"/>
      <c r="FT561" s="14"/>
      <c r="FU561" s="16"/>
      <c r="FV561" s="14"/>
      <c r="FW561" s="12"/>
      <c r="FX561" s="14"/>
      <c r="FY561" s="16"/>
      <c r="FZ561" s="14"/>
      <c r="GA561" s="12"/>
      <c r="GB561" s="14"/>
      <c r="GC561" s="16"/>
      <c r="GD561" s="14"/>
      <c r="GE561" s="12"/>
      <c r="GF561" s="14"/>
      <c r="GG561" s="16"/>
      <c r="GH561" s="14"/>
      <c r="GI561" s="12"/>
      <c r="GJ561" s="14"/>
      <c r="GK561" s="16"/>
      <c r="GL561" s="14"/>
      <c r="GM561" s="12"/>
      <c r="GN561" s="14"/>
      <c r="GO561" s="16"/>
      <c r="GP561" s="14"/>
      <c r="GQ561" s="12"/>
      <c r="GR561" s="14"/>
      <c r="GS561" s="16"/>
      <c r="GT561" s="14"/>
      <c r="GU561" s="12"/>
      <c r="GV561" s="14"/>
      <c r="GW561" s="16"/>
      <c r="GX561" s="14"/>
      <c r="GY561" s="12"/>
      <c r="GZ561" s="14"/>
      <c r="HA561" s="16"/>
      <c r="HB561" s="14"/>
      <c r="HC561" s="12"/>
      <c r="HD561" s="12"/>
      <c r="HE561" s="14"/>
      <c r="HF561" s="16"/>
      <c r="HG561" s="14"/>
      <c r="HH561" s="12" t="s">
        <v>319</v>
      </c>
      <c r="HI561" s="12"/>
      <c r="HJ561" s="12"/>
      <c r="HK561" s="12" t="s">
        <v>319</v>
      </c>
      <c r="HL561" s="12" t="s">
        <v>319</v>
      </c>
      <c r="HM561" s="12"/>
      <c r="HN561" s="12"/>
      <c r="HO561" s="12"/>
      <c r="HP561" s="12" t="s">
        <v>418</v>
      </c>
      <c r="HQ561" s="12" t="s">
        <v>320</v>
      </c>
      <c r="HR561" s="12" t="s">
        <v>320</v>
      </c>
      <c r="HS561" s="12" t="s">
        <v>320</v>
      </c>
      <c r="HT561" s="12"/>
      <c r="HU561" s="12" t="s">
        <v>320</v>
      </c>
      <c r="HV561" s="12"/>
      <c r="HW561" s="12"/>
      <c r="HX561" s="12"/>
      <c r="HY561" s="12"/>
      <c r="HZ561" s="11" t="s">
        <v>394</v>
      </c>
      <c r="IA561" s="12" t="s">
        <v>9315</v>
      </c>
      <c r="IB561" s="12" t="s">
        <v>396</v>
      </c>
      <c r="IC561" s="12" t="s">
        <v>9316</v>
      </c>
      <c r="ID561" s="12" t="s">
        <v>334</v>
      </c>
      <c r="IE561" s="12" t="s">
        <v>335</v>
      </c>
      <c r="IF561" s="12" t="s">
        <v>320</v>
      </c>
      <c r="IG561" s="12" t="s">
        <v>320</v>
      </c>
      <c r="IH561" s="12" t="s">
        <v>320</v>
      </c>
      <c r="II561" s="12" t="s">
        <v>320</v>
      </c>
      <c r="IJ561" s="12" t="str">
        <f t="shared" si="345"/>
        <v>2. Sensitive</v>
      </c>
      <c r="IK561" s="12">
        <f t="shared" si="346"/>
        <v>4</v>
      </c>
      <c r="IL561" s="12" t="s">
        <v>336</v>
      </c>
      <c r="IM561" s="12" t="s">
        <v>319</v>
      </c>
      <c r="IN561" s="12" t="s">
        <v>320</v>
      </c>
      <c r="IO561" s="12" t="s">
        <v>320</v>
      </c>
      <c r="IP561" s="12" t="s">
        <v>320</v>
      </c>
      <c r="IQ561" s="12" t="str">
        <f t="shared" si="347"/>
        <v>2. Accommodating</v>
      </c>
      <c r="IR561" s="12">
        <f t="shared" si="348"/>
        <v>3</v>
      </c>
      <c r="IS561" s="12" t="s">
        <v>337</v>
      </c>
      <c r="IT561" s="12" t="s">
        <v>320</v>
      </c>
      <c r="IU561" s="12" t="s">
        <v>320</v>
      </c>
      <c r="IV561" s="12" t="s">
        <v>320</v>
      </c>
      <c r="IW561" s="11" t="str">
        <f t="shared" si="349"/>
        <v>2. Sensitive</v>
      </c>
      <c r="IX561" s="12">
        <f t="shared" si="350"/>
        <v>3</v>
      </c>
      <c r="IY561" s="11" t="s">
        <v>419</v>
      </c>
      <c r="IZ561" s="12" t="s">
        <v>432</v>
      </c>
      <c r="JA561" s="12">
        <v>1</v>
      </c>
      <c r="JB561" s="11" t="s">
        <v>433</v>
      </c>
      <c r="JC561" s="12" t="s">
        <v>623</v>
      </c>
      <c r="JD561" s="12"/>
      <c r="JE561" s="12" t="s">
        <v>340</v>
      </c>
      <c r="JF561" s="12" t="s">
        <v>9317</v>
      </c>
      <c r="JG561" s="12" t="s">
        <v>9318</v>
      </c>
      <c r="JH561" s="12" t="s">
        <v>9319</v>
      </c>
      <c r="JI561" s="12" t="s">
        <v>9320</v>
      </c>
      <c r="JJ561" s="12" t="s">
        <v>9321</v>
      </c>
      <c r="JK561" s="12" t="s">
        <v>9322</v>
      </c>
      <c r="JL561" s="12" t="s">
        <v>9323</v>
      </c>
      <c r="JM561" s="12" t="s">
        <v>9324</v>
      </c>
      <c r="JN561" s="12"/>
      <c r="JO561" s="12"/>
      <c r="JP561" s="15">
        <f t="shared" si="351"/>
        <v>11432</v>
      </c>
      <c r="JQ561" s="15">
        <f t="shared" si="352"/>
        <v>68592</v>
      </c>
      <c r="JR561" s="279">
        <f t="shared" si="353"/>
        <v>6</v>
      </c>
      <c r="JS561" s="17">
        <f t="shared" si="354"/>
        <v>0.77807907627711681</v>
      </c>
      <c r="JT561" s="18">
        <f t="shared" si="355"/>
        <v>0.77807907627711681</v>
      </c>
      <c r="JU561" s="280">
        <f t="shared" si="356"/>
        <v>8895</v>
      </c>
      <c r="JV561" s="280">
        <f t="shared" si="357"/>
        <v>53370</v>
      </c>
      <c r="JW561" s="319">
        <f t="shared" si="358"/>
        <v>1</v>
      </c>
      <c r="JX561" s="15">
        <f t="shared" si="359"/>
        <v>11432</v>
      </c>
      <c r="JY561" s="15">
        <f t="shared" si="360"/>
        <v>68592</v>
      </c>
      <c r="JZ561" s="19">
        <f t="shared" si="361"/>
        <v>6</v>
      </c>
      <c r="KA561" s="52">
        <f t="shared" si="362"/>
        <v>1</v>
      </c>
      <c r="KB561" s="15">
        <f t="shared" si="363"/>
        <v>8895</v>
      </c>
      <c r="KC561" s="15">
        <f t="shared" si="364"/>
        <v>53370</v>
      </c>
      <c r="KD561" s="20">
        <f t="shared" si="365"/>
        <v>6</v>
      </c>
      <c r="KE561" s="52" t="str">
        <f t="shared" si="366"/>
        <v/>
      </c>
      <c r="KF561" s="15">
        <f t="shared" si="367"/>
        <v>0</v>
      </c>
      <c r="KG561" s="15">
        <f t="shared" si="368"/>
        <v>0</v>
      </c>
      <c r="KH561" s="21" t="str">
        <f t="shared" si="369"/>
        <v/>
      </c>
      <c r="KI561" s="52" t="str">
        <f t="shared" si="370"/>
        <v/>
      </c>
      <c r="KJ561" s="15">
        <f t="shared" si="371"/>
        <v>0</v>
      </c>
      <c r="KK561" s="15">
        <f t="shared" si="372"/>
        <v>0</v>
      </c>
      <c r="KL561" s="19" t="str">
        <f t="shared" si="373"/>
        <v/>
      </c>
      <c r="KM561" s="52" t="str">
        <f t="shared" si="374"/>
        <v/>
      </c>
      <c r="KN561" s="22">
        <f t="shared" si="375"/>
        <v>0</v>
      </c>
      <c r="KO561" s="22">
        <f t="shared" si="376"/>
        <v>0</v>
      </c>
      <c r="KP561" s="19" t="str">
        <f t="shared" si="377"/>
        <v/>
      </c>
      <c r="KQ561" s="11" t="str">
        <f t="shared" si="378"/>
        <v>2. Sensitive</v>
      </c>
      <c r="KR561" s="11" t="str">
        <f t="shared" si="379"/>
        <v>2. Accommodating</v>
      </c>
      <c r="KS561" s="11" t="str">
        <f t="shared" si="380"/>
        <v>2. Sensitive</v>
      </c>
      <c r="KT561" s="11" t="str">
        <f t="shared" si="381"/>
        <v>It tested new ways for fighting poverty, but did not measure results of innovation</v>
      </c>
      <c r="KU561" s="11" t="str">
        <f t="shared" si="382"/>
        <v>Little or no advocacy</v>
      </c>
      <c r="KV561" s="11" t="str">
        <f t="shared" si="383"/>
        <v>It linked and worked with strategic alliances and partners to take tested and effective solutions to scale</v>
      </c>
      <c r="KW561" s="11" t="str">
        <f t="shared" si="384"/>
        <v>Niger - Solidarité avec les déplacés et les familles d`accueil vulnérable-Zoumounta</v>
      </c>
      <c r="KX561" s="11" t="str">
        <f t="shared" si="385"/>
        <v>Solidarité avec les déplacés et les familles d`accueil vulnérable-Zoumounta</v>
      </c>
      <c r="KY561" s="11" t="str">
        <f t="shared" si="386"/>
        <v>Niger</v>
      </c>
      <c r="KZ561" s="12">
        <v>561</v>
      </c>
    </row>
    <row r="562" spans="1:312" x14ac:dyDescent="0.3">
      <c r="A562" s="12" t="s">
        <v>9043</v>
      </c>
      <c r="B562" s="12" t="s">
        <v>1596</v>
      </c>
      <c r="C562" s="12"/>
      <c r="D562" s="12" t="s">
        <v>9325</v>
      </c>
      <c r="E562" s="277" t="str">
        <f t="shared" si="344"/>
        <v>Niger</v>
      </c>
      <c r="F562" s="12" t="s">
        <v>9326</v>
      </c>
      <c r="G562" s="12" t="s">
        <v>379</v>
      </c>
      <c r="H562" s="12" t="s">
        <v>383</v>
      </c>
      <c r="I562" s="12" t="s">
        <v>1102</v>
      </c>
      <c r="J562" s="278" t="s">
        <v>1102</v>
      </c>
      <c r="K562" s="12"/>
      <c r="L562" s="12"/>
      <c r="M562" s="12"/>
      <c r="N562" s="12"/>
      <c r="O562" s="12"/>
      <c r="P562" s="12"/>
      <c r="Q562" s="12"/>
      <c r="R562" s="12"/>
      <c r="S562" s="12"/>
      <c r="T562" s="12"/>
      <c r="U562" s="12"/>
      <c r="V562" s="12"/>
      <c r="W562" s="12"/>
      <c r="X562" s="12"/>
      <c r="Y562" s="12"/>
      <c r="Z562" s="12"/>
      <c r="AA562" s="12"/>
      <c r="AB562" s="12"/>
      <c r="AC562" s="12"/>
      <c r="AD562" s="12"/>
      <c r="BD562" s="13">
        <v>42675</v>
      </c>
      <c r="BE562" s="13">
        <v>44135</v>
      </c>
      <c r="BF562" s="12"/>
      <c r="BG562" s="12" t="s">
        <v>490</v>
      </c>
      <c r="BH562" s="14">
        <v>434688.1</v>
      </c>
      <c r="BI562" s="12" t="s">
        <v>1830</v>
      </c>
      <c r="BJ562" s="12" t="s">
        <v>9327</v>
      </c>
      <c r="BK562" s="12" t="s">
        <v>9215</v>
      </c>
      <c r="BL562" s="12" t="s">
        <v>9328</v>
      </c>
      <c r="BM562" s="12" t="s">
        <v>1834</v>
      </c>
      <c r="BN562" s="12" t="s">
        <v>9329</v>
      </c>
      <c r="BO562" s="12" t="s">
        <v>319</v>
      </c>
      <c r="BP562" s="12" t="s">
        <v>320</v>
      </c>
      <c r="BQ562" s="12" t="s">
        <v>319</v>
      </c>
      <c r="BR562" s="12" t="s">
        <v>9330</v>
      </c>
      <c r="BS562" s="31" t="s">
        <v>357</v>
      </c>
      <c r="BT562" s="12" t="s">
        <v>9331</v>
      </c>
      <c r="BU562" s="12" t="s">
        <v>9332</v>
      </c>
      <c r="BV562" s="14"/>
      <c r="BW562" s="14"/>
      <c r="BX562" s="14"/>
      <c r="BY562" s="14"/>
      <c r="BZ562" s="14"/>
      <c r="CA562" s="14"/>
      <c r="CB562" s="12" t="s">
        <v>9333</v>
      </c>
      <c r="CD562" s="14"/>
      <c r="CE562" s="14"/>
      <c r="CF562" s="14"/>
      <c r="CG562" s="14"/>
      <c r="CH562" s="14"/>
      <c r="CI562" s="14"/>
      <c r="CJ562" s="12"/>
      <c r="CK562" s="14"/>
      <c r="CL562" s="16"/>
      <c r="CM562" s="14"/>
      <c r="CN562" s="12"/>
      <c r="CO562" s="14"/>
      <c r="CP562" s="16"/>
      <c r="CQ562" s="14"/>
      <c r="CR562" s="12"/>
      <c r="CS562" s="14"/>
      <c r="CT562" s="16"/>
      <c r="CU562" s="14"/>
      <c r="CV562" s="12"/>
      <c r="CW562" s="14"/>
      <c r="CX562" s="16"/>
      <c r="CY562" s="14"/>
      <c r="CZ562" s="12"/>
      <c r="DA562" s="14"/>
      <c r="DB562" s="16"/>
      <c r="DC562" s="14"/>
      <c r="DD562" s="12"/>
      <c r="DE562" s="14"/>
      <c r="DF562" s="16"/>
      <c r="DG562" s="14"/>
      <c r="DH562" s="12"/>
      <c r="DI562" s="14"/>
      <c r="DJ562" s="16"/>
      <c r="DK562" s="14"/>
      <c r="DL562" s="12"/>
      <c r="DM562" s="14"/>
      <c r="DN562" s="16"/>
      <c r="DO562" s="14"/>
      <c r="DP562" s="12"/>
      <c r="DQ562" s="14"/>
      <c r="DR562" s="16"/>
      <c r="DS562" s="14"/>
      <c r="DT562" s="12"/>
      <c r="DU562" s="14"/>
      <c r="DV562" s="16"/>
      <c r="DW562" s="14"/>
      <c r="DX562" s="12"/>
      <c r="DY562" s="14"/>
      <c r="DZ562" s="16"/>
      <c r="EA562" s="14"/>
      <c r="EB562" s="12"/>
      <c r="EC562" s="14"/>
      <c r="ED562" s="16"/>
      <c r="EE562" s="14"/>
      <c r="EF562" s="12"/>
      <c r="EG562" s="12"/>
      <c r="EH562" s="14"/>
      <c r="EI562" s="16"/>
      <c r="EJ562" s="14"/>
      <c r="EK562" s="14"/>
      <c r="EL562" s="14"/>
      <c r="EM562" s="14"/>
      <c r="EN562" s="14"/>
      <c r="EO562" s="14"/>
      <c r="EP562" s="14"/>
      <c r="EQ562" s="12"/>
      <c r="ER562" s="14"/>
      <c r="ES562" s="16"/>
      <c r="ET562" s="14"/>
      <c r="EU562" s="12"/>
      <c r="EV562" s="14"/>
      <c r="EW562" s="16"/>
      <c r="EX562" s="14"/>
      <c r="EY562" s="12"/>
      <c r="EZ562" s="14"/>
      <c r="FA562" s="16"/>
      <c r="FB562" s="14"/>
      <c r="FC562" s="12"/>
      <c r="FD562" s="14"/>
      <c r="FE562" s="16"/>
      <c r="FF562" s="14"/>
      <c r="FG562" s="12"/>
      <c r="FH562" s="14"/>
      <c r="FI562" s="16"/>
      <c r="FJ562" s="14"/>
      <c r="FK562" s="12"/>
      <c r="FL562" s="14"/>
      <c r="FM562" s="16"/>
      <c r="FN562" s="14"/>
      <c r="FO562" s="12"/>
      <c r="FP562" s="14"/>
      <c r="FQ562" s="16"/>
      <c r="FR562" s="14"/>
      <c r="FS562" s="12"/>
      <c r="FT562" s="14"/>
      <c r="FU562" s="16"/>
      <c r="FV562" s="14"/>
      <c r="FW562" s="12"/>
      <c r="FX562" s="14"/>
      <c r="FY562" s="16"/>
      <c r="FZ562" s="14"/>
      <c r="GA562" s="12"/>
      <c r="GB562" s="14"/>
      <c r="GC562" s="16"/>
      <c r="GD562" s="14"/>
      <c r="GE562" s="12"/>
      <c r="GF562" s="14"/>
      <c r="GG562" s="16"/>
      <c r="GH562" s="14"/>
      <c r="GI562" s="12"/>
      <c r="GJ562" s="14"/>
      <c r="GK562" s="16"/>
      <c r="GL562" s="14"/>
      <c r="GM562" s="12"/>
      <c r="GN562" s="14"/>
      <c r="GO562" s="16"/>
      <c r="GP562" s="14"/>
      <c r="GQ562" s="12"/>
      <c r="GR562" s="14"/>
      <c r="GS562" s="16"/>
      <c r="GT562" s="14"/>
      <c r="GU562" s="12"/>
      <c r="GV562" s="14"/>
      <c r="GW562" s="16"/>
      <c r="GX562" s="14"/>
      <c r="GY562" s="12"/>
      <c r="GZ562" s="14"/>
      <c r="HA562" s="16"/>
      <c r="HB562" s="14"/>
      <c r="HC562" s="12"/>
      <c r="HD562" s="12"/>
      <c r="HE562" s="14"/>
      <c r="HF562" s="16"/>
      <c r="HG562" s="14"/>
      <c r="HH562" s="12"/>
      <c r="HI562" s="12"/>
      <c r="HJ562" s="12"/>
      <c r="HK562" s="12"/>
      <c r="HL562" s="12"/>
      <c r="HM562" s="12"/>
      <c r="HN562" s="12"/>
      <c r="HO562" s="12"/>
      <c r="HP562" s="12"/>
      <c r="HQ562" s="12"/>
      <c r="HR562" s="12"/>
      <c r="HS562" s="12"/>
      <c r="HT562" s="12"/>
      <c r="HU562" s="12"/>
      <c r="HV562" s="12"/>
      <c r="HW562" s="12"/>
      <c r="HX562" s="12"/>
      <c r="HY562" s="12"/>
      <c r="HZ562" s="12"/>
      <c r="IA562" s="12"/>
      <c r="IB562" s="12"/>
      <c r="IC562" s="12"/>
      <c r="ID562" s="12"/>
      <c r="IE562" s="12"/>
      <c r="IF562" s="12"/>
      <c r="IG562" s="12"/>
      <c r="IH562" s="12"/>
      <c r="II562" s="12"/>
      <c r="IJ562" s="12" t="str">
        <f t="shared" si="345"/>
        <v>No marker score</v>
      </c>
      <c r="IK562" s="12">
        <f t="shared" si="346"/>
        <v>0</v>
      </c>
      <c r="IL562" s="12"/>
      <c r="IM562" s="12"/>
      <c r="IN562" s="12"/>
      <c r="IO562" s="12"/>
      <c r="IP562" s="12"/>
      <c r="IQ562" s="12" t="str">
        <f t="shared" si="347"/>
        <v>No marker score</v>
      </c>
      <c r="IR562" s="12">
        <f t="shared" si="348"/>
        <v>0</v>
      </c>
      <c r="IS562" s="12"/>
      <c r="IT562" s="12"/>
      <c r="IU562" s="12"/>
      <c r="IV562" s="12"/>
      <c r="IW562" s="11" t="str">
        <f t="shared" si="349"/>
        <v>No marker score</v>
      </c>
      <c r="IX562" s="12">
        <f t="shared" si="350"/>
        <v>0</v>
      </c>
      <c r="IY562" s="12"/>
      <c r="IZ562" s="12"/>
      <c r="JA562" s="12"/>
      <c r="JB562" s="12"/>
      <c r="JC562" s="12"/>
      <c r="JD562" s="12"/>
      <c r="JE562" s="12"/>
      <c r="JF562" s="12"/>
      <c r="JG562" s="12"/>
      <c r="JH562" s="12"/>
      <c r="JI562" s="12"/>
      <c r="JJ562" s="12"/>
      <c r="JK562" s="12"/>
      <c r="JL562" s="12"/>
      <c r="JM562" s="12"/>
      <c r="JN562" s="12"/>
      <c r="JO562" s="12"/>
      <c r="JP562" s="15">
        <f t="shared" si="351"/>
        <v>0</v>
      </c>
      <c r="JQ562" s="15">
        <f t="shared" si="352"/>
        <v>0</v>
      </c>
      <c r="JR562" s="279" t="str">
        <f t="shared" si="353"/>
        <v/>
      </c>
      <c r="JS562" s="17" t="str">
        <f t="shared" si="354"/>
        <v/>
      </c>
      <c r="JT562" s="18" t="str">
        <f t="shared" si="355"/>
        <v/>
      </c>
      <c r="JU562" s="280">
        <f t="shared" si="356"/>
        <v>0</v>
      </c>
      <c r="JV562" s="280">
        <f t="shared" si="357"/>
        <v>0</v>
      </c>
      <c r="JW562" s="319" t="str">
        <f t="shared" si="358"/>
        <v/>
      </c>
      <c r="JX562" s="15">
        <f t="shared" si="359"/>
        <v>0</v>
      </c>
      <c r="JY562" s="15">
        <f t="shared" si="360"/>
        <v>0</v>
      </c>
      <c r="JZ562" s="19" t="str">
        <f t="shared" si="361"/>
        <v/>
      </c>
      <c r="KA562" s="52" t="str">
        <f t="shared" si="362"/>
        <v/>
      </c>
      <c r="KB562" s="15">
        <f t="shared" si="363"/>
        <v>0</v>
      </c>
      <c r="KC562" s="15">
        <f t="shared" si="364"/>
        <v>0</v>
      </c>
      <c r="KD562" s="20" t="str">
        <f t="shared" si="365"/>
        <v/>
      </c>
      <c r="KE562" s="52" t="str">
        <f t="shared" si="366"/>
        <v/>
      </c>
      <c r="KF562" s="15">
        <f t="shared" si="367"/>
        <v>0</v>
      </c>
      <c r="KG562" s="15">
        <f t="shared" si="368"/>
        <v>0</v>
      </c>
      <c r="KH562" s="21" t="str">
        <f t="shared" si="369"/>
        <v/>
      </c>
      <c r="KI562" s="52" t="str">
        <f t="shared" si="370"/>
        <v/>
      </c>
      <c r="KJ562" s="15">
        <f t="shared" si="371"/>
        <v>0</v>
      </c>
      <c r="KK562" s="15">
        <f t="shared" si="372"/>
        <v>0</v>
      </c>
      <c r="KL562" s="19" t="str">
        <f t="shared" si="373"/>
        <v/>
      </c>
      <c r="KM562" s="52" t="str">
        <f t="shared" si="374"/>
        <v/>
      </c>
      <c r="KN562" s="22">
        <f t="shared" si="375"/>
        <v>0</v>
      </c>
      <c r="KO562" s="22">
        <f t="shared" si="376"/>
        <v>0</v>
      </c>
      <c r="KP562" s="19" t="str">
        <f t="shared" si="377"/>
        <v/>
      </c>
      <c r="KQ562" s="11" t="str">
        <f t="shared" si="378"/>
        <v>No marker score</v>
      </c>
      <c r="KR562" s="11" t="str">
        <f t="shared" si="379"/>
        <v>No marker score</v>
      </c>
      <c r="KS562" s="11" t="str">
        <f t="shared" si="380"/>
        <v>No marker score</v>
      </c>
      <c r="KT562" s="11">
        <f t="shared" si="381"/>
        <v>0</v>
      </c>
      <c r="KU562" s="11">
        <f t="shared" si="382"/>
        <v>0</v>
      </c>
      <c r="KV562" s="11">
        <f t="shared" si="383"/>
        <v>0</v>
      </c>
      <c r="KW562" s="11" t="str">
        <f t="shared" si="384"/>
        <v>Niger - Supporting Married iparous Adolescents</v>
      </c>
      <c r="KX562" s="11" t="str">
        <f t="shared" si="385"/>
        <v>Supporting Married iparous Adolescents</v>
      </c>
      <c r="KY562" s="11" t="str">
        <f t="shared" si="386"/>
        <v>Niger</v>
      </c>
      <c r="KZ562" s="12">
        <v>562</v>
      </c>
    </row>
    <row r="563" spans="1:312" x14ac:dyDescent="0.3">
      <c r="A563" s="12" t="s">
        <v>9409</v>
      </c>
      <c r="B563" s="12" t="s">
        <v>602</v>
      </c>
      <c r="C563" s="12"/>
      <c r="D563" s="12" t="s">
        <v>9410</v>
      </c>
      <c r="E563" s="277" t="str">
        <f t="shared" si="344"/>
        <v>Norway</v>
      </c>
      <c r="F563" s="12" t="s">
        <v>9411</v>
      </c>
      <c r="G563" s="12" t="s">
        <v>467</v>
      </c>
      <c r="H563" s="12" t="s">
        <v>310</v>
      </c>
      <c r="I563" s="12" t="s">
        <v>468</v>
      </c>
      <c r="J563" s="281" t="s">
        <v>9212</v>
      </c>
      <c r="K563" s="12"/>
      <c r="L563" s="12"/>
      <c r="M563" s="12"/>
      <c r="N563" s="12"/>
      <c r="O563" s="12"/>
      <c r="P563" s="12"/>
      <c r="Q563" s="12"/>
      <c r="R563" s="12"/>
      <c r="S563" s="12"/>
      <c r="T563" s="12"/>
      <c r="U563" s="12"/>
      <c r="V563" s="12"/>
      <c r="W563" s="12"/>
      <c r="X563" s="12"/>
      <c r="Y563" s="12"/>
      <c r="Z563" s="12"/>
      <c r="AA563" s="12"/>
      <c r="AB563" s="12"/>
      <c r="AC563" s="12"/>
      <c r="AD563" s="12"/>
      <c r="BD563" s="13">
        <v>42370</v>
      </c>
      <c r="BE563" s="13">
        <v>42735</v>
      </c>
      <c r="BF563" s="12"/>
      <c r="BG563" s="12" t="s">
        <v>350</v>
      </c>
      <c r="BH563" s="14">
        <v>71439.627561408299</v>
      </c>
      <c r="BI563" s="12" t="s">
        <v>9412</v>
      </c>
      <c r="BJ563" s="12" t="s">
        <v>9413</v>
      </c>
      <c r="BK563" s="12" t="s">
        <v>9414</v>
      </c>
      <c r="BL563" s="12"/>
      <c r="BM563" s="12"/>
      <c r="BN563" s="12"/>
      <c r="BO563" s="12" t="s">
        <v>319</v>
      </c>
      <c r="BP563" s="12" t="s">
        <v>320</v>
      </c>
      <c r="BQ563" s="12" t="s">
        <v>319</v>
      </c>
      <c r="BR563" s="12" t="s">
        <v>9415</v>
      </c>
      <c r="BS563" s="12" t="s">
        <v>322</v>
      </c>
      <c r="BT563" s="12" t="s">
        <v>9416</v>
      </c>
      <c r="BU563" s="12" t="s">
        <v>9417</v>
      </c>
      <c r="BV563" s="14"/>
      <c r="BW563" s="14"/>
      <c r="BX563" s="14">
        <v>180</v>
      </c>
      <c r="BY563" s="14"/>
      <c r="BZ563" s="14"/>
      <c r="CA563" s="14">
        <v>50000</v>
      </c>
      <c r="CB563" s="12" t="s">
        <v>9418</v>
      </c>
      <c r="CD563" s="14"/>
      <c r="CE563" s="14"/>
      <c r="CF563" s="14"/>
      <c r="CG563" s="14"/>
      <c r="CH563" s="14"/>
      <c r="CI563" s="14"/>
      <c r="CJ563" s="12"/>
      <c r="CK563" s="14"/>
      <c r="CL563" s="16"/>
      <c r="CM563" s="14"/>
      <c r="CN563" s="12"/>
      <c r="CO563" s="14"/>
      <c r="CP563" s="16"/>
      <c r="CQ563" s="14"/>
      <c r="CR563" s="12"/>
      <c r="CS563" s="14"/>
      <c r="CT563" s="16"/>
      <c r="CU563" s="14"/>
      <c r="CV563" s="12"/>
      <c r="CW563" s="14"/>
      <c r="CX563" s="16"/>
      <c r="CY563" s="14"/>
      <c r="CZ563" s="12"/>
      <c r="DA563" s="14"/>
      <c r="DB563" s="16"/>
      <c r="DC563" s="14"/>
      <c r="DD563" s="12"/>
      <c r="DE563" s="14"/>
      <c r="DF563" s="16"/>
      <c r="DG563" s="14"/>
      <c r="DH563" s="12"/>
      <c r="DI563" s="14"/>
      <c r="DJ563" s="16"/>
      <c r="DK563" s="14"/>
      <c r="DL563" s="12"/>
      <c r="DM563" s="14"/>
      <c r="DN563" s="16"/>
      <c r="DO563" s="14"/>
      <c r="DP563" s="12"/>
      <c r="DQ563" s="14"/>
      <c r="DR563" s="16"/>
      <c r="DS563" s="14"/>
      <c r="DT563" s="12"/>
      <c r="DU563" s="14"/>
      <c r="DV563" s="16"/>
      <c r="DW563" s="14"/>
      <c r="DX563" s="12"/>
      <c r="DY563" s="14"/>
      <c r="DZ563" s="16"/>
      <c r="EA563" s="14"/>
      <c r="EB563" s="12"/>
      <c r="EC563" s="14"/>
      <c r="ED563" s="16"/>
      <c r="EE563" s="14"/>
      <c r="EF563" s="12"/>
      <c r="EG563" s="12"/>
      <c r="EH563" s="14"/>
      <c r="EI563" s="16"/>
      <c r="EJ563" s="14"/>
      <c r="EK563" s="14"/>
      <c r="EL563" s="14"/>
      <c r="EM563" s="14">
        <v>180</v>
      </c>
      <c r="EN563" s="14"/>
      <c r="EO563" s="14"/>
      <c r="EP563" s="14">
        <v>50000</v>
      </c>
      <c r="EQ563" s="12" t="s">
        <v>319</v>
      </c>
      <c r="ER563" s="14"/>
      <c r="ES563" s="16"/>
      <c r="ET563" s="14"/>
      <c r="EU563" s="11" t="s">
        <v>319</v>
      </c>
      <c r="EV563" s="14"/>
      <c r="EW563" s="16"/>
      <c r="EX563" s="14"/>
      <c r="EY563" s="12" t="s">
        <v>319</v>
      </c>
      <c r="EZ563" s="14"/>
      <c r="FA563" s="16"/>
      <c r="FB563" s="14"/>
      <c r="FC563" s="12" t="s">
        <v>319</v>
      </c>
      <c r="FD563" s="14"/>
      <c r="FE563" s="16"/>
      <c r="FF563" s="14"/>
      <c r="FG563" s="12" t="s">
        <v>319</v>
      </c>
      <c r="FH563" s="14"/>
      <c r="FI563" s="16"/>
      <c r="FJ563" s="14"/>
      <c r="FK563" s="12" t="s">
        <v>319</v>
      </c>
      <c r="FL563" s="14"/>
      <c r="FM563" s="16"/>
      <c r="FN563" s="14"/>
      <c r="FO563" s="12" t="s">
        <v>319</v>
      </c>
      <c r="FP563" s="14"/>
      <c r="FQ563" s="16"/>
      <c r="FR563" s="14"/>
      <c r="FS563" s="12" t="s">
        <v>319</v>
      </c>
      <c r="FT563" s="14"/>
      <c r="FU563" s="16"/>
      <c r="FV563" s="14"/>
      <c r="FW563" s="11" t="s">
        <v>320</v>
      </c>
      <c r="FX563" s="14">
        <v>180</v>
      </c>
      <c r="FY563" s="16"/>
      <c r="FZ563" s="14">
        <v>50000</v>
      </c>
      <c r="GA563" s="12" t="s">
        <v>319</v>
      </c>
      <c r="GB563" s="14"/>
      <c r="GC563" s="16"/>
      <c r="GD563" s="14"/>
      <c r="GE563" s="12" t="s">
        <v>319</v>
      </c>
      <c r="GF563" s="14"/>
      <c r="GG563" s="16"/>
      <c r="GH563" s="14"/>
      <c r="GI563" s="12" t="s">
        <v>319</v>
      </c>
      <c r="GJ563" s="14"/>
      <c r="GK563" s="16"/>
      <c r="GL563" s="14"/>
      <c r="GM563" s="12" t="s">
        <v>319</v>
      </c>
      <c r="GN563" s="14"/>
      <c r="GO563" s="16"/>
      <c r="GP563" s="14"/>
      <c r="GQ563" s="12" t="s">
        <v>319</v>
      </c>
      <c r="GR563" s="14"/>
      <c r="GS563" s="16"/>
      <c r="GT563" s="14"/>
      <c r="GU563" s="12" t="s">
        <v>319</v>
      </c>
      <c r="GV563" s="14"/>
      <c r="GW563" s="16"/>
      <c r="GX563" s="14"/>
      <c r="GY563" s="11" t="s">
        <v>320</v>
      </c>
      <c r="GZ563" s="14">
        <v>180</v>
      </c>
      <c r="HA563" s="16"/>
      <c r="HB563" s="14">
        <v>50000</v>
      </c>
      <c r="HC563" s="12"/>
      <c r="HD563" s="12"/>
      <c r="HE563" s="14"/>
      <c r="HF563" s="16"/>
      <c r="HG563" s="14"/>
      <c r="HH563" s="12" t="s">
        <v>319</v>
      </c>
      <c r="HI563" s="12"/>
      <c r="HJ563" s="12"/>
      <c r="HK563" s="12"/>
      <c r="HL563" s="12" t="s">
        <v>319</v>
      </c>
      <c r="HM563" s="12"/>
      <c r="HN563" s="12"/>
      <c r="HO563" s="12"/>
      <c r="HP563" s="12" t="s">
        <v>453</v>
      </c>
      <c r="HQ563" s="12" t="s">
        <v>320</v>
      </c>
      <c r="HR563" s="12" t="s">
        <v>319</v>
      </c>
      <c r="HS563" s="12" t="s">
        <v>320</v>
      </c>
      <c r="HT563" s="12" t="s">
        <v>320</v>
      </c>
      <c r="HU563" s="12" t="s">
        <v>320</v>
      </c>
      <c r="HV563" s="12" t="s">
        <v>320</v>
      </c>
      <c r="HW563" s="12" t="s">
        <v>320</v>
      </c>
      <c r="HX563" s="12"/>
      <c r="HY563" s="12"/>
      <c r="HZ563" s="12" t="s">
        <v>394</v>
      </c>
      <c r="IA563" s="12" t="s">
        <v>9419</v>
      </c>
      <c r="IB563" s="12" t="s">
        <v>333</v>
      </c>
      <c r="IC563" s="12"/>
      <c r="ID563" s="12" t="s">
        <v>364</v>
      </c>
      <c r="IE563" s="12" t="s">
        <v>478</v>
      </c>
      <c r="IF563" s="12" t="s">
        <v>320</v>
      </c>
      <c r="IG563" s="12" t="s">
        <v>319</v>
      </c>
      <c r="IH563" s="12" t="s">
        <v>320</v>
      </c>
      <c r="II563" s="12" t="s">
        <v>319</v>
      </c>
      <c r="IJ563" s="12" t="str">
        <f t="shared" si="345"/>
        <v>3. Responsive</v>
      </c>
      <c r="IK563" s="12">
        <f t="shared" si="346"/>
        <v>2</v>
      </c>
      <c r="IL563" s="11" t="s">
        <v>621</v>
      </c>
      <c r="IM563" s="12" t="s">
        <v>320</v>
      </c>
      <c r="IN563" s="12" t="s">
        <v>319</v>
      </c>
      <c r="IO563" s="12" t="s">
        <v>320</v>
      </c>
      <c r="IP563" s="12" t="s">
        <v>319</v>
      </c>
      <c r="IQ563" s="12" t="str">
        <f t="shared" si="347"/>
        <v>3. Responsive</v>
      </c>
      <c r="IR563" s="12">
        <f t="shared" si="348"/>
        <v>2</v>
      </c>
      <c r="IS563" s="12" t="s">
        <v>337</v>
      </c>
      <c r="IT563" s="12" t="s">
        <v>319</v>
      </c>
      <c r="IU563" s="12" t="s">
        <v>320</v>
      </c>
      <c r="IV563" s="12" t="s">
        <v>320</v>
      </c>
      <c r="IW563" s="11" t="str">
        <f t="shared" si="349"/>
        <v>1. Neutral</v>
      </c>
      <c r="IX563" s="12">
        <f t="shared" si="350"/>
        <v>2</v>
      </c>
      <c r="IY563" s="12" t="s">
        <v>338</v>
      </c>
      <c r="IZ563" s="12" t="s">
        <v>527</v>
      </c>
      <c r="JA563" s="12">
        <v>4</v>
      </c>
      <c r="JB563" s="12" t="s">
        <v>724</v>
      </c>
      <c r="JC563" s="12" t="s">
        <v>623</v>
      </c>
      <c r="JD563" s="12"/>
      <c r="JE563" s="12" t="s">
        <v>420</v>
      </c>
      <c r="JF563" s="12"/>
      <c r="JG563" s="12" t="s">
        <v>9420</v>
      </c>
      <c r="JH563" s="12" t="s">
        <v>9421</v>
      </c>
      <c r="JI563" s="12" t="s">
        <v>9422</v>
      </c>
      <c r="JJ563" s="12" t="s">
        <v>9423</v>
      </c>
      <c r="JK563" s="12" t="s">
        <v>9424</v>
      </c>
      <c r="JL563" s="12" t="s">
        <v>9425</v>
      </c>
      <c r="JM563" s="12" t="s">
        <v>9426</v>
      </c>
      <c r="JN563" s="12"/>
      <c r="JO563" s="12"/>
      <c r="JP563" s="15">
        <f t="shared" si="351"/>
        <v>180</v>
      </c>
      <c r="JQ563" s="15">
        <f t="shared" si="352"/>
        <v>50000</v>
      </c>
      <c r="JR563" s="279">
        <f t="shared" si="353"/>
        <v>277.77777777777777</v>
      </c>
      <c r="JS563" s="17">
        <f t="shared" si="354"/>
        <v>0</v>
      </c>
      <c r="JT563" s="18">
        <f t="shared" si="355"/>
        <v>0</v>
      </c>
      <c r="JU563" s="280">
        <f t="shared" si="356"/>
        <v>0</v>
      </c>
      <c r="JV563" s="280">
        <f t="shared" si="357"/>
        <v>0</v>
      </c>
      <c r="JW563" s="319" t="str">
        <f t="shared" si="358"/>
        <v/>
      </c>
      <c r="JX563" s="15">
        <f t="shared" si="359"/>
        <v>0</v>
      </c>
      <c r="JY563" s="15">
        <f t="shared" si="360"/>
        <v>0</v>
      </c>
      <c r="JZ563" s="19" t="str">
        <f t="shared" si="361"/>
        <v/>
      </c>
      <c r="KA563" s="52" t="str">
        <f t="shared" si="362"/>
        <v/>
      </c>
      <c r="KB563" s="15">
        <f t="shared" si="363"/>
        <v>0</v>
      </c>
      <c r="KC563" s="15">
        <f t="shared" si="364"/>
        <v>0</v>
      </c>
      <c r="KD563" s="20" t="str">
        <f t="shared" si="365"/>
        <v/>
      </c>
      <c r="KE563" s="52" t="str">
        <f t="shared" si="366"/>
        <v/>
      </c>
      <c r="KF563" s="15">
        <f t="shared" si="367"/>
        <v>0</v>
      </c>
      <c r="KG563" s="15">
        <f t="shared" si="368"/>
        <v>0</v>
      </c>
      <c r="KH563" s="21" t="str">
        <f t="shared" si="369"/>
        <v/>
      </c>
      <c r="KI563" s="52" t="str">
        <f t="shared" si="370"/>
        <v/>
      </c>
      <c r="KJ563" s="15">
        <f t="shared" si="371"/>
        <v>0</v>
      </c>
      <c r="KK563" s="15">
        <f t="shared" si="372"/>
        <v>0</v>
      </c>
      <c r="KL563" s="19" t="str">
        <f t="shared" si="373"/>
        <v/>
      </c>
      <c r="KM563" s="52">
        <f t="shared" si="374"/>
        <v>1</v>
      </c>
      <c r="KN563" s="22">
        <f t="shared" si="375"/>
        <v>180</v>
      </c>
      <c r="KO563" s="22">
        <f t="shared" si="376"/>
        <v>50000</v>
      </c>
      <c r="KP563" s="19">
        <f t="shared" si="377"/>
        <v>277.77777777777777</v>
      </c>
      <c r="KQ563" s="11" t="str">
        <f t="shared" si="378"/>
        <v>3. Responsive</v>
      </c>
      <c r="KR563" s="11" t="str">
        <f t="shared" si="379"/>
        <v>3. Responsive</v>
      </c>
      <c r="KS563" s="11" t="str">
        <f t="shared" si="380"/>
        <v>1. Neutral</v>
      </c>
      <c r="KT563" s="11" t="str">
        <f t="shared" si="381"/>
        <v>It tested new ways for fighting poverty, but did not measure results of innovation</v>
      </c>
      <c r="KU563" s="11" t="str">
        <f t="shared" si="382"/>
        <v>Intensive advocacy</v>
      </c>
      <c r="KV563" s="11" t="str">
        <f t="shared" si="383"/>
        <v>It did not take tested solutions to scale</v>
      </c>
      <c r="KW563" s="11" t="str">
        <f t="shared" si="384"/>
        <v>Norway - New Connections</v>
      </c>
      <c r="KX563" s="11" t="str">
        <f t="shared" si="385"/>
        <v>New Connections</v>
      </c>
      <c r="KY563" s="11" t="str">
        <f t="shared" si="386"/>
        <v>Norway</v>
      </c>
      <c r="KZ563" s="12">
        <v>563</v>
      </c>
    </row>
    <row r="564" spans="1:312" x14ac:dyDescent="0.3">
      <c r="A564" s="12" t="s">
        <v>9427</v>
      </c>
      <c r="B564" s="12" t="s">
        <v>306</v>
      </c>
      <c r="C564" s="12">
        <v>3245</v>
      </c>
      <c r="D564" s="12" t="s">
        <v>9428</v>
      </c>
      <c r="E564" s="277" t="str">
        <f t="shared" si="344"/>
        <v>Pakistan</v>
      </c>
      <c r="F564" s="12"/>
      <c r="G564" s="12" t="s">
        <v>425</v>
      </c>
      <c r="H564" s="12" t="s">
        <v>310</v>
      </c>
      <c r="I564" s="12" t="s">
        <v>907</v>
      </c>
      <c r="J564" s="281" t="s">
        <v>5183</v>
      </c>
      <c r="K564" s="12"/>
      <c r="L564" s="12"/>
      <c r="M564" s="12"/>
      <c r="N564" s="12"/>
      <c r="O564" s="12"/>
      <c r="P564" s="12"/>
      <c r="Q564" s="12"/>
      <c r="R564" s="12"/>
      <c r="S564" s="12"/>
      <c r="T564" s="12"/>
      <c r="U564" s="12"/>
      <c r="V564" s="12"/>
      <c r="W564" s="12"/>
      <c r="X564" s="12"/>
      <c r="Y564" s="12"/>
      <c r="Z564" s="12"/>
      <c r="AA564" s="12"/>
      <c r="AB564" s="12"/>
      <c r="AC564" s="12"/>
      <c r="AD564" s="12"/>
      <c r="BD564" s="13">
        <v>42125</v>
      </c>
      <c r="BE564" s="12"/>
      <c r="BF564" s="12"/>
      <c r="BG564" s="12" t="s">
        <v>817</v>
      </c>
      <c r="BH564" s="14">
        <v>529412.03501818096</v>
      </c>
      <c r="BI564" s="12" t="s">
        <v>9429</v>
      </c>
      <c r="BJ564" s="12" t="s">
        <v>9430</v>
      </c>
      <c r="BK564" s="12" t="s">
        <v>9431</v>
      </c>
      <c r="BL564" s="12"/>
      <c r="BM564" s="12"/>
      <c r="BN564" s="12"/>
      <c r="BO564" s="12" t="s">
        <v>320</v>
      </c>
      <c r="BP564" s="12" t="s">
        <v>319</v>
      </c>
      <c r="BQ564" s="12" t="s">
        <v>319</v>
      </c>
      <c r="BR564" s="12" t="s">
        <v>9432</v>
      </c>
      <c r="BS564" s="12" t="s">
        <v>357</v>
      </c>
      <c r="BT564" s="12" t="s">
        <v>9433</v>
      </c>
      <c r="BU564" s="12" t="s">
        <v>9434</v>
      </c>
      <c r="BV564" s="14">
        <v>44493</v>
      </c>
      <c r="BW564" s="14">
        <v>44225</v>
      </c>
      <c r="BX564" s="14">
        <v>88718</v>
      </c>
      <c r="BY564" s="14">
        <v>95632</v>
      </c>
      <c r="BZ564" s="14">
        <v>91883</v>
      </c>
      <c r="CA564" s="14">
        <v>187515</v>
      </c>
      <c r="CB564" s="12" t="s">
        <v>9435</v>
      </c>
      <c r="CD564" s="14">
        <v>44113</v>
      </c>
      <c r="CE564" s="14">
        <v>43827</v>
      </c>
      <c r="CF564" s="14">
        <v>87940</v>
      </c>
      <c r="CG564" s="14">
        <v>52522</v>
      </c>
      <c r="CH564" s="14">
        <v>50496</v>
      </c>
      <c r="CI564" s="14">
        <v>103018</v>
      </c>
      <c r="CJ564" s="12"/>
      <c r="CK564" s="14"/>
      <c r="CL564" s="16"/>
      <c r="CM564" s="14"/>
      <c r="CN564" s="12"/>
      <c r="CO564" s="14"/>
      <c r="CP564" s="16"/>
      <c r="CQ564" s="14"/>
      <c r="CR564" s="12"/>
      <c r="CS564" s="14"/>
      <c r="CT564" s="16"/>
      <c r="CU564" s="14"/>
      <c r="CV564" s="12"/>
      <c r="CW564" s="14"/>
      <c r="CX564" s="16"/>
      <c r="CY564" s="14"/>
      <c r="CZ564" s="12"/>
      <c r="DA564" s="14"/>
      <c r="DB564" s="16"/>
      <c r="DC564" s="14"/>
      <c r="DD564" s="12"/>
      <c r="DE564" s="14"/>
      <c r="DF564" s="16"/>
      <c r="DG564" s="14"/>
      <c r="DH564" s="12"/>
      <c r="DI564" s="14"/>
      <c r="DJ564" s="16"/>
      <c r="DK564" s="14"/>
      <c r="DL564" s="12"/>
      <c r="DM564" s="14"/>
      <c r="DN564" s="16"/>
      <c r="DO564" s="14"/>
      <c r="DP564" s="12"/>
      <c r="DQ564" s="14"/>
      <c r="DR564" s="16"/>
      <c r="DS564" s="14"/>
      <c r="DT564" s="12"/>
      <c r="DU564" s="14"/>
      <c r="DV564" s="16"/>
      <c r="DW564" s="14"/>
      <c r="DX564" s="12"/>
      <c r="DY564" s="14"/>
      <c r="DZ564" s="16"/>
      <c r="EA564" s="14"/>
      <c r="EB564" s="12"/>
      <c r="EC564" s="14"/>
      <c r="ED564" s="16"/>
      <c r="EE564" s="14"/>
      <c r="EF564" s="12" t="s">
        <v>9436</v>
      </c>
      <c r="EG564" s="12" t="s">
        <v>320</v>
      </c>
      <c r="EH564" s="14">
        <v>87940</v>
      </c>
      <c r="EI564" s="16">
        <v>0.5</v>
      </c>
      <c r="EJ564" s="14">
        <v>103018</v>
      </c>
      <c r="EK564" s="14"/>
      <c r="EL564" s="14"/>
      <c r="EM564" s="14"/>
      <c r="EN564" s="14"/>
      <c r="EO564" s="14"/>
      <c r="EP564" s="14"/>
      <c r="EQ564" s="12"/>
      <c r="ER564" s="14"/>
      <c r="ES564" s="16"/>
      <c r="ET564" s="14"/>
      <c r="EU564" s="12"/>
      <c r="EV564" s="14"/>
      <c r="EW564" s="16"/>
      <c r="EX564" s="14"/>
      <c r="EY564" s="12"/>
      <c r="EZ564" s="14"/>
      <c r="FA564" s="16"/>
      <c r="FB564" s="14"/>
      <c r="FC564" s="12"/>
      <c r="FD564" s="14"/>
      <c r="FE564" s="16"/>
      <c r="FF564" s="14"/>
      <c r="FG564" s="12"/>
      <c r="FH564" s="14"/>
      <c r="FI564" s="16"/>
      <c r="FJ564" s="14"/>
      <c r="FK564" s="12"/>
      <c r="FL564" s="14"/>
      <c r="FM564" s="16"/>
      <c r="FN564" s="14"/>
      <c r="FO564" s="12"/>
      <c r="FP564" s="14"/>
      <c r="FQ564" s="16"/>
      <c r="FR564" s="14"/>
      <c r="FS564" s="12"/>
      <c r="FT564" s="14"/>
      <c r="FU564" s="16"/>
      <c r="FV564" s="14"/>
      <c r="FW564" s="12"/>
      <c r="FX564" s="14"/>
      <c r="FY564" s="16"/>
      <c r="FZ564" s="14"/>
      <c r="GA564" s="12"/>
      <c r="GB564" s="14"/>
      <c r="GC564" s="16"/>
      <c r="GD564" s="14"/>
      <c r="GE564" s="12"/>
      <c r="GF564" s="14"/>
      <c r="GG564" s="16"/>
      <c r="GH564" s="14"/>
      <c r="GI564" s="12"/>
      <c r="GJ564" s="14"/>
      <c r="GK564" s="16"/>
      <c r="GL564" s="14"/>
      <c r="GM564" s="12"/>
      <c r="GN564" s="14"/>
      <c r="GO564" s="16"/>
      <c r="GP564" s="14"/>
      <c r="GQ564" s="12"/>
      <c r="GR564" s="14"/>
      <c r="GS564" s="16"/>
      <c r="GT564" s="14"/>
      <c r="GU564" s="12"/>
      <c r="GV564" s="14"/>
      <c r="GW564" s="16"/>
      <c r="GX564" s="14"/>
      <c r="GY564" s="12"/>
      <c r="GZ564" s="14"/>
      <c r="HA564" s="16"/>
      <c r="HB564" s="14"/>
      <c r="HC564" s="12"/>
      <c r="HD564" s="12"/>
      <c r="HE564" s="14"/>
      <c r="HF564" s="16"/>
      <c r="HG564" s="14"/>
      <c r="HH564" s="12" t="s">
        <v>320</v>
      </c>
      <c r="HI564" s="12" t="s">
        <v>327</v>
      </c>
      <c r="HJ564" s="12">
        <v>2017</v>
      </c>
      <c r="HK564" s="12" t="s">
        <v>320</v>
      </c>
      <c r="HL564" s="12" t="s">
        <v>319</v>
      </c>
      <c r="HM564" s="12"/>
      <c r="HN564" s="12"/>
      <c r="HO564" s="12"/>
      <c r="HP564" s="12" t="s">
        <v>453</v>
      </c>
      <c r="HQ564" s="12" t="s">
        <v>320</v>
      </c>
      <c r="HR564" s="12" t="s">
        <v>319</v>
      </c>
      <c r="HS564" s="12" t="s">
        <v>320</v>
      </c>
      <c r="HT564" s="12" t="s">
        <v>320</v>
      </c>
      <c r="HU564" s="12" t="s">
        <v>319</v>
      </c>
      <c r="HV564" s="12" t="s">
        <v>320</v>
      </c>
      <c r="HW564" s="12" t="s">
        <v>320</v>
      </c>
      <c r="HX564" s="12" t="s">
        <v>319</v>
      </c>
      <c r="HY564" s="12"/>
      <c r="HZ564" s="12" t="s">
        <v>331</v>
      </c>
      <c r="IA564" s="12" t="s">
        <v>9437</v>
      </c>
      <c r="IB564" s="12" t="s">
        <v>396</v>
      </c>
      <c r="IC564" s="12" t="s">
        <v>9438</v>
      </c>
      <c r="ID564" s="12" t="s">
        <v>364</v>
      </c>
      <c r="IE564" s="12" t="s">
        <v>335</v>
      </c>
      <c r="IF564" s="12" t="s">
        <v>320</v>
      </c>
      <c r="IG564" s="12" t="s">
        <v>320</v>
      </c>
      <c r="IH564" s="12" t="s">
        <v>320</v>
      </c>
      <c r="II564" s="12" t="s">
        <v>320</v>
      </c>
      <c r="IJ564" s="12" t="str">
        <f t="shared" si="345"/>
        <v>2. Sensitive</v>
      </c>
      <c r="IK564" s="12">
        <f t="shared" si="346"/>
        <v>4</v>
      </c>
      <c r="IL564" s="12" t="s">
        <v>336</v>
      </c>
      <c r="IM564" s="12" t="s">
        <v>320</v>
      </c>
      <c r="IN564" s="12" t="s">
        <v>320</v>
      </c>
      <c r="IO564" s="12" t="s">
        <v>320</v>
      </c>
      <c r="IP564" s="12" t="s">
        <v>320</v>
      </c>
      <c r="IQ564" s="12" t="str">
        <f t="shared" si="347"/>
        <v>2. Accommodating</v>
      </c>
      <c r="IR564" s="12">
        <f t="shared" si="348"/>
        <v>4</v>
      </c>
      <c r="IS564" s="12" t="s">
        <v>337</v>
      </c>
      <c r="IT564" s="12" t="s">
        <v>320</v>
      </c>
      <c r="IU564" s="12" t="s">
        <v>320</v>
      </c>
      <c r="IV564" s="12" t="s">
        <v>320</v>
      </c>
      <c r="IW564" s="11" t="str">
        <f t="shared" si="349"/>
        <v>2. Sensitive</v>
      </c>
      <c r="IX564" s="12">
        <f t="shared" si="350"/>
        <v>3</v>
      </c>
      <c r="IY564" s="12" t="s">
        <v>758</v>
      </c>
      <c r="IZ564" s="12" t="s">
        <v>527</v>
      </c>
      <c r="JA564" s="12">
        <v>2</v>
      </c>
      <c r="JB564" s="12" t="s">
        <v>433</v>
      </c>
      <c r="JC564" s="12" t="s">
        <v>687</v>
      </c>
      <c r="JD564" s="12"/>
      <c r="JE564" s="12" t="s">
        <v>340</v>
      </c>
      <c r="JF564" s="12" t="s">
        <v>9439</v>
      </c>
      <c r="JG564" s="12"/>
      <c r="JH564" s="12" t="s">
        <v>9440</v>
      </c>
      <c r="JI564" s="12" t="s">
        <v>9441</v>
      </c>
      <c r="JJ564" s="12" t="s">
        <v>9442</v>
      </c>
      <c r="JK564" s="12" t="s">
        <v>9443</v>
      </c>
      <c r="JL564" s="12" t="s">
        <v>9444</v>
      </c>
      <c r="JM564" s="12"/>
      <c r="JN564" s="12" t="s">
        <v>9445</v>
      </c>
      <c r="JO564" s="12" t="s">
        <v>9446</v>
      </c>
      <c r="JP564" s="15">
        <f t="shared" si="351"/>
        <v>87940</v>
      </c>
      <c r="JQ564" s="15">
        <f t="shared" si="352"/>
        <v>103018</v>
      </c>
      <c r="JR564" s="279">
        <f t="shared" si="353"/>
        <v>1.1714578121446442</v>
      </c>
      <c r="JS564" s="17">
        <f t="shared" si="354"/>
        <v>0.50162610871048441</v>
      </c>
      <c r="JT564" s="18">
        <f t="shared" si="355"/>
        <v>0.50983323302723793</v>
      </c>
      <c r="JU564" s="280">
        <f t="shared" si="356"/>
        <v>44113</v>
      </c>
      <c r="JV564" s="280">
        <f t="shared" si="357"/>
        <v>52522</v>
      </c>
      <c r="JW564" s="319">
        <f t="shared" si="358"/>
        <v>1</v>
      </c>
      <c r="JX564" s="15">
        <f t="shared" si="359"/>
        <v>87940</v>
      </c>
      <c r="JY564" s="15">
        <f t="shared" si="360"/>
        <v>103018</v>
      </c>
      <c r="JZ564" s="19">
        <f t="shared" si="361"/>
        <v>1.1714578121446442</v>
      </c>
      <c r="KA564" s="52" t="str">
        <f t="shared" si="362"/>
        <v/>
      </c>
      <c r="KB564" s="15">
        <f t="shared" si="363"/>
        <v>0</v>
      </c>
      <c r="KC564" s="15">
        <f t="shared" si="364"/>
        <v>0</v>
      </c>
      <c r="KD564" s="20" t="str">
        <f t="shared" si="365"/>
        <v/>
      </c>
      <c r="KE564" s="52" t="str">
        <f t="shared" si="366"/>
        <v/>
      </c>
      <c r="KF564" s="15">
        <f t="shared" si="367"/>
        <v>0</v>
      </c>
      <c r="KG564" s="15">
        <f t="shared" si="368"/>
        <v>0</v>
      </c>
      <c r="KH564" s="21" t="str">
        <f t="shared" si="369"/>
        <v/>
      </c>
      <c r="KI564" s="52" t="str">
        <f t="shared" si="370"/>
        <v/>
      </c>
      <c r="KJ564" s="15">
        <f t="shared" si="371"/>
        <v>0</v>
      </c>
      <c r="KK564" s="15">
        <f t="shared" si="372"/>
        <v>0</v>
      </c>
      <c r="KL564" s="19" t="str">
        <f t="shared" si="373"/>
        <v/>
      </c>
      <c r="KM564" s="52" t="str">
        <f t="shared" si="374"/>
        <v/>
      </c>
      <c r="KN564" s="22">
        <f t="shared" si="375"/>
        <v>0</v>
      </c>
      <c r="KO564" s="22">
        <f t="shared" si="376"/>
        <v>0</v>
      </c>
      <c r="KP564" s="19" t="str">
        <f t="shared" si="377"/>
        <v/>
      </c>
      <c r="KQ564" s="11" t="str">
        <f t="shared" si="378"/>
        <v>2. Sensitive</v>
      </c>
      <c r="KR564" s="11" t="str">
        <f t="shared" si="379"/>
        <v>2. Accommodating</v>
      </c>
      <c r="KS564" s="11" t="str">
        <f t="shared" si="380"/>
        <v>2. Sensitive</v>
      </c>
      <c r="KT564" s="11" t="str">
        <f t="shared" si="381"/>
        <v>It tested new ways for fighting poverty and measured results of innovation</v>
      </c>
      <c r="KU564" s="11" t="str">
        <f t="shared" si="382"/>
        <v>Intensive advocacy</v>
      </c>
      <c r="KV564" s="11" t="str">
        <f t="shared" si="383"/>
        <v>It linked and worked with strategic alliances and partners to take tested and effective solutions to scale</v>
      </c>
      <c r="KW564" s="11" t="str">
        <f t="shared" si="384"/>
        <v>Pakistan - Enhancing resilience by strengthening government institutions to roll-out inclusive Community-based DRM in KPK Province, Pakistan</v>
      </c>
      <c r="KX564" s="11" t="str">
        <f t="shared" si="385"/>
        <v>Enhancing resilience by strengthening government institutions to roll-out inclusive Community-based DRM in KPK Province, Pakistan</v>
      </c>
      <c r="KY564" s="11" t="str">
        <f t="shared" si="386"/>
        <v>Pakistan</v>
      </c>
      <c r="KZ564" s="12">
        <v>564</v>
      </c>
    </row>
    <row r="565" spans="1:312" x14ac:dyDescent="0.3">
      <c r="A565" s="12" t="s">
        <v>9427</v>
      </c>
      <c r="B565" s="12" t="s">
        <v>306</v>
      </c>
      <c r="C565" s="12">
        <v>3238</v>
      </c>
      <c r="D565" s="12" t="s">
        <v>9447</v>
      </c>
      <c r="E565" s="277" t="str">
        <f t="shared" si="344"/>
        <v>Pakistan</v>
      </c>
      <c r="F565" s="12" t="s">
        <v>9448</v>
      </c>
      <c r="G565" s="12" t="s">
        <v>425</v>
      </c>
      <c r="H565" s="12" t="s">
        <v>310</v>
      </c>
      <c r="I565" s="12" t="s">
        <v>426</v>
      </c>
      <c r="J565" s="281" t="s">
        <v>14563</v>
      </c>
      <c r="K565" s="12"/>
      <c r="L565" s="12"/>
      <c r="M565" s="12"/>
      <c r="N565" s="12"/>
      <c r="O565" s="12"/>
      <c r="P565" s="12"/>
      <c r="Q565" s="12"/>
      <c r="R565" s="12"/>
      <c r="S565" s="12"/>
      <c r="T565" s="12"/>
      <c r="U565" s="12"/>
      <c r="V565" s="12"/>
      <c r="W565" s="12"/>
      <c r="X565" s="12"/>
      <c r="Y565" s="12"/>
      <c r="Z565" s="12"/>
      <c r="AA565" s="12"/>
      <c r="AB565" s="12"/>
      <c r="AC565" s="12"/>
      <c r="AD565" s="12"/>
      <c r="BD565" s="13">
        <v>42370</v>
      </c>
      <c r="BE565" s="13">
        <v>44196</v>
      </c>
      <c r="BF565" s="12"/>
      <c r="BG565" s="12" t="s">
        <v>312</v>
      </c>
      <c r="BH565" s="14">
        <v>2199930</v>
      </c>
      <c r="BI565" s="12" t="s">
        <v>9449</v>
      </c>
      <c r="BJ565" s="12" t="s">
        <v>9450</v>
      </c>
      <c r="BK565" s="12" t="s">
        <v>9451</v>
      </c>
      <c r="BL565" s="12"/>
      <c r="BM565" s="12"/>
      <c r="BN565" s="12"/>
      <c r="BO565" s="12" t="s">
        <v>320</v>
      </c>
      <c r="BP565" s="12" t="s">
        <v>320</v>
      </c>
      <c r="BQ565" s="12" t="s">
        <v>320</v>
      </c>
      <c r="BR565" s="12" t="s">
        <v>9452</v>
      </c>
      <c r="BS565" s="12" t="s">
        <v>357</v>
      </c>
      <c r="BT565" s="12" t="s">
        <v>9453</v>
      </c>
      <c r="BU565" s="12" t="s">
        <v>9454</v>
      </c>
      <c r="BV565" s="14">
        <v>10000</v>
      </c>
      <c r="BW565" s="14"/>
      <c r="BX565" s="14">
        <v>10000</v>
      </c>
      <c r="BY565" s="14">
        <v>60000</v>
      </c>
      <c r="BZ565" s="14"/>
      <c r="CA565" s="14">
        <v>60000</v>
      </c>
      <c r="CB565" s="12" t="s">
        <v>9455</v>
      </c>
      <c r="CD565" s="14">
        <v>93371</v>
      </c>
      <c r="CE565" s="14">
        <v>93707</v>
      </c>
      <c r="CF565" s="14">
        <v>187078</v>
      </c>
      <c r="CG565" s="14">
        <v>7530</v>
      </c>
      <c r="CH565" s="14">
        <v>7446</v>
      </c>
      <c r="CI565" s="14">
        <v>14976</v>
      </c>
      <c r="CJ565" s="12"/>
      <c r="CK565" s="14"/>
      <c r="CL565" s="16"/>
      <c r="CM565" s="14"/>
      <c r="CN565" s="12"/>
      <c r="CO565" s="14"/>
      <c r="CP565" s="16"/>
      <c r="CQ565" s="14"/>
      <c r="CR565" s="12"/>
      <c r="CS565" s="14"/>
      <c r="CT565" s="16"/>
      <c r="CU565" s="14"/>
      <c r="CV565" s="12" t="s">
        <v>320</v>
      </c>
      <c r="CW565" s="14">
        <v>2496</v>
      </c>
      <c r="CX565" s="16">
        <v>0.5</v>
      </c>
      <c r="CY565" s="14">
        <v>14976</v>
      </c>
      <c r="CZ565" s="12"/>
      <c r="DA565" s="14"/>
      <c r="DB565" s="16"/>
      <c r="DC565" s="14"/>
      <c r="DD565" s="12"/>
      <c r="DE565" s="14"/>
      <c r="DF565" s="16"/>
      <c r="DG565" s="14"/>
      <c r="DH565" s="12"/>
      <c r="DI565" s="14"/>
      <c r="DJ565" s="16"/>
      <c r="DK565" s="14"/>
      <c r="DL565" s="12"/>
      <c r="DM565" s="14"/>
      <c r="DN565" s="16"/>
      <c r="DO565" s="14"/>
      <c r="DP565" s="12"/>
      <c r="DQ565" s="14"/>
      <c r="DR565" s="16"/>
      <c r="DS565" s="14"/>
      <c r="DT565" s="12"/>
      <c r="DU565" s="14"/>
      <c r="DV565" s="16"/>
      <c r="DW565" s="14"/>
      <c r="DX565" s="12"/>
      <c r="DY565" s="14"/>
      <c r="DZ565" s="16"/>
      <c r="EA565" s="14"/>
      <c r="EB565" s="11" t="s">
        <v>320</v>
      </c>
      <c r="EC565" s="14">
        <v>184582</v>
      </c>
      <c r="ED565" s="16">
        <v>0.5</v>
      </c>
      <c r="EE565" s="14"/>
      <c r="EF565" s="12" t="s">
        <v>9436</v>
      </c>
      <c r="EG565" s="12" t="s">
        <v>320</v>
      </c>
      <c r="EH565" s="14"/>
      <c r="EI565" s="16"/>
      <c r="EJ565" s="14"/>
      <c r="EK565" s="14"/>
      <c r="EL565" s="14"/>
      <c r="EM565" s="14">
        <v>0</v>
      </c>
      <c r="EN565" s="14"/>
      <c r="EO565" s="14"/>
      <c r="EP565" s="14">
        <v>0</v>
      </c>
      <c r="EQ565" s="12"/>
      <c r="ER565" s="14"/>
      <c r="ES565" s="16"/>
      <c r="ET565" s="14"/>
      <c r="EU565" s="12"/>
      <c r="EV565" s="14"/>
      <c r="EW565" s="16"/>
      <c r="EX565" s="14"/>
      <c r="EY565" s="12"/>
      <c r="EZ565" s="14"/>
      <c r="FA565" s="16"/>
      <c r="FB565" s="14"/>
      <c r="FC565" s="12"/>
      <c r="FD565" s="14"/>
      <c r="FE565" s="16"/>
      <c r="FF565" s="14"/>
      <c r="FG565" s="12"/>
      <c r="FH565" s="14"/>
      <c r="FI565" s="16"/>
      <c r="FJ565" s="14"/>
      <c r="FK565" s="12"/>
      <c r="FL565" s="14"/>
      <c r="FM565" s="16"/>
      <c r="FN565" s="14"/>
      <c r="FO565" s="12"/>
      <c r="FP565" s="14"/>
      <c r="FQ565" s="16"/>
      <c r="FR565" s="14"/>
      <c r="FS565" s="12"/>
      <c r="FT565" s="14"/>
      <c r="FU565" s="16"/>
      <c r="FV565" s="14"/>
      <c r="FW565" s="12"/>
      <c r="FX565" s="14"/>
      <c r="FY565" s="16"/>
      <c r="FZ565" s="14"/>
      <c r="GA565" s="12"/>
      <c r="GB565" s="14"/>
      <c r="GC565" s="16"/>
      <c r="GD565" s="14"/>
      <c r="GE565" s="12"/>
      <c r="GF565" s="14"/>
      <c r="GG565" s="16"/>
      <c r="GH565" s="14"/>
      <c r="GI565" s="12"/>
      <c r="GJ565" s="14"/>
      <c r="GK565" s="16"/>
      <c r="GL565" s="14"/>
      <c r="GM565" s="12"/>
      <c r="GN565" s="14"/>
      <c r="GO565" s="16"/>
      <c r="GP565" s="14"/>
      <c r="GQ565" s="12"/>
      <c r="GR565" s="14"/>
      <c r="GS565" s="16"/>
      <c r="GT565" s="14"/>
      <c r="GU565" s="12"/>
      <c r="GV565" s="14"/>
      <c r="GW565" s="16"/>
      <c r="GX565" s="14"/>
      <c r="GY565" s="12"/>
      <c r="GZ565" s="14"/>
      <c r="HA565" s="16"/>
      <c r="HB565" s="14"/>
      <c r="HC565" s="12"/>
      <c r="HD565" s="12"/>
      <c r="HE565" s="14"/>
      <c r="HF565" s="16"/>
      <c r="HG565" s="14"/>
      <c r="HH565" s="12" t="s">
        <v>319</v>
      </c>
      <c r="HI565" s="12"/>
      <c r="HJ565" s="12"/>
      <c r="HK565" s="12" t="s">
        <v>319</v>
      </c>
      <c r="HL565" s="12" t="s">
        <v>320</v>
      </c>
      <c r="HM565" s="12" t="s">
        <v>327</v>
      </c>
      <c r="HN565" s="12">
        <v>2017</v>
      </c>
      <c r="HO565" s="12"/>
      <c r="HP565" s="12"/>
      <c r="HQ565" s="12" t="s">
        <v>319</v>
      </c>
      <c r="HR565" s="12" t="s">
        <v>319</v>
      </c>
      <c r="HS565" s="12" t="s">
        <v>319</v>
      </c>
      <c r="HT565" s="12" t="s">
        <v>319</v>
      </c>
      <c r="HU565" s="12" t="s">
        <v>319</v>
      </c>
      <c r="HV565" s="12" t="s">
        <v>319</v>
      </c>
      <c r="HW565" s="12" t="s">
        <v>319</v>
      </c>
      <c r="HX565" s="12" t="s">
        <v>319</v>
      </c>
      <c r="HY565" s="12"/>
      <c r="HZ565" s="12"/>
      <c r="IA565" s="12" t="s">
        <v>9456</v>
      </c>
      <c r="IB565" s="12" t="s">
        <v>396</v>
      </c>
      <c r="IC565" s="12" t="s">
        <v>9457</v>
      </c>
      <c r="ID565" s="12" t="s">
        <v>364</v>
      </c>
      <c r="IE565" s="12"/>
      <c r="IF565" s="12" t="s">
        <v>319</v>
      </c>
      <c r="IG565" s="12" t="s">
        <v>320</v>
      </c>
      <c r="IH565" s="12" t="s">
        <v>319</v>
      </c>
      <c r="II565" s="12" t="s">
        <v>320</v>
      </c>
      <c r="IJ565" s="12" t="str">
        <f t="shared" si="345"/>
        <v>No marker score</v>
      </c>
      <c r="IK565" s="12">
        <f t="shared" si="346"/>
        <v>2</v>
      </c>
      <c r="IL565" s="12"/>
      <c r="IM565" s="12" t="s">
        <v>319</v>
      </c>
      <c r="IN565" s="12" t="s">
        <v>320</v>
      </c>
      <c r="IO565" s="12" t="s">
        <v>319</v>
      </c>
      <c r="IP565" s="12" t="s">
        <v>320</v>
      </c>
      <c r="IQ565" s="12" t="str">
        <f t="shared" si="347"/>
        <v>No marker score</v>
      </c>
      <c r="IR565" s="12">
        <f t="shared" si="348"/>
        <v>2</v>
      </c>
      <c r="IS565" s="12"/>
      <c r="IT565" s="12"/>
      <c r="IU565" s="12"/>
      <c r="IV565" s="12"/>
      <c r="IW565" s="11" t="str">
        <f t="shared" si="349"/>
        <v>No marker score</v>
      </c>
      <c r="IX565" s="12">
        <f t="shared" si="350"/>
        <v>0</v>
      </c>
      <c r="IY565" s="12"/>
      <c r="IZ565" s="12"/>
      <c r="JA565" s="12"/>
      <c r="JB565" s="12"/>
      <c r="JC565" s="12"/>
      <c r="JD565" s="12"/>
      <c r="JE565" s="12"/>
      <c r="JF565" s="12"/>
      <c r="JG565" s="12" t="s">
        <v>9458</v>
      </c>
      <c r="JH565" s="12"/>
      <c r="JI565" s="12"/>
      <c r="JJ565" s="12"/>
      <c r="JK565" s="12"/>
      <c r="JL565" s="12"/>
      <c r="JM565" s="12"/>
      <c r="JN565" s="12" t="s">
        <v>9459</v>
      </c>
      <c r="JO565" s="12"/>
      <c r="JP565" s="15">
        <f t="shared" si="351"/>
        <v>187078</v>
      </c>
      <c r="JQ565" s="15">
        <f t="shared" si="352"/>
        <v>14976</v>
      </c>
      <c r="JR565" s="279">
        <f t="shared" si="353"/>
        <v>8.0052170752306528E-2</v>
      </c>
      <c r="JS565" s="17">
        <f t="shared" si="354"/>
        <v>0.49910197885374014</v>
      </c>
      <c r="JT565" s="18">
        <f t="shared" si="355"/>
        <v>0.50280448717948723</v>
      </c>
      <c r="JU565" s="280">
        <f t="shared" si="356"/>
        <v>93371</v>
      </c>
      <c r="JV565" s="280">
        <f t="shared" si="357"/>
        <v>7530</v>
      </c>
      <c r="JW565" s="319">
        <f t="shared" si="358"/>
        <v>1</v>
      </c>
      <c r="JX565" s="15">
        <f t="shared" si="359"/>
        <v>187078</v>
      </c>
      <c r="JY565" s="15">
        <f t="shared" si="360"/>
        <v>14976</v>
      </c>
      <c r="JZ565" s="19">
        <f t="shared" si="361"/>
        <v>8.0052170752306528E-2</v>
      </c>
      <c r="KA565" s="52">
        <f t="shared" si="362"/>
        <v>1</v>
      </c>
      <c r="KB565" s="15">
        <f t="shared" si="363"/>
        <v>2496</v>
      </c>
      <c r="KC565" s="15">
        <f t="shared" si="364"/>
        <v>14976</v>
      </c>
      <c r="KD565" s="20">
        <f t="shared" si="365"/>
        <v>6</v>
      </c>
      <c r="KE565" s="52" t="str">
        <f t="shared" si="366"/>
        <v/>
      </c>
      <c r="KF565" s="15">
        <f t="shared" si="367"/>
        <v>0</v>
      </c>
      <c r="KG565" s="15">
        <f t="shared" si="368"/>
        <v>0</v>
      </c>
      <c r="KH565" s="21" t="str">
        <f t="shared" si="369"/>
        <v/>
      </c>
      <c r="KI565" s="52" t="str">
        <f t="shared" si="370"/>
        <v/>
      </c>
      <c r="KJ565" s="15">
        <f t="shared" si="371"/>
        <v>0</v>
      </c>
      <c r="KK565" s="15">
        <f t="shared" si="372"/>
        <v>0</v>
      </c>
      <c r="KL565" s="19" t="str">
        <f t="shared" si="373"/>
        <v/>
      </c>
      <c r="KM565" s="52" t="str">
        <f t="shared" si="374"/>
        <v/>
      </c>
      <c r="KN565" s="22">
        <f t="shared" si="375"/>
        <v>0</v>
      </c>
      <c r="KO565" s="22">
        <f t="shared" si="376"/>
        <v>0</v>
      </c>
      <c r="KP565" s="19" t="str">
        <f t="shared" si="377"/>
        <v/>
      </c>
      <c r="KQ565" s="11" t="str">
        <f t="shared" si="378"/>
        <v>No marker score</v>
      </c>
      <c r="KR565" s="11" t="str">
        <f t="shared" si="379"/>
        <v>No marker score</v>
      </c>
      <c r="KS565" s="11" t="str">
        <f t="shared" si="380"/>
        <v>No marker score</v>
      </c>
      <c r="KT565" s="11">
        <f t="shared" si="381"/>
        <v>0</v>
      </c>
      <c r="KU565" s="11">
        <f t="shared" si="382"/>
        <v>0</v>
      </c>
      <c r="KV565" s="11" t="str">
        <f t="shared" si="383"/>
        <v>It linked and worked with strategic alliances and partners to take tested and effective solutions to scale</v>
      </c>
      <c r="KW565" s="11" t="str">
        <f t="shared" si="384"/>
        <v>Pakistan - Every Voice counts(EVC)</v>
      </c>
      <c r="KX565" s="11" t="str">
        <f t="shared" si="385"/>
        <v>Every Voice counts(EVC)</v>
      </c>
      <c r="KY565" s="11" t="str">
        <f t="shared" si="386"/>
        <v>Pakistan</v>
      </c>
      <c r="KZ565" s="12">
        <v>565</v>
      </c>
    </row>
    <row r="566" spans="1:312" x14ac:dyDescent="0.3">
      <c r="A566" s="12" t="s">
        <v>9427</v>
      </c>
      <c r="B566" s="12" t="s">
        <v>306</v>
      </c>
      <c r="C566" s="12"/>
      <c r="D566" s="12" t="s">
        <v>9460</v>
      </c>
      <c r="E566" s="277" t="str">
        <f t="shared" si="344"/>
        <v>Pakistan</v>
      </c>
      <c r="F566" s="12"/>
      <c r="G566" s="12" t="s">
        <v>488</v>
      </c>
      <c r="H566" s="12" t="s">
        <v>310</v>
      </c>
      <c r="I566" s="12" t="s">
        <v>907</v>
      </c>
      <c r="J566" s="281" t="s">
        <v>5183</v>
      </c>
      <c r="K566" s="12"/>
      <c r="L566" s="12"/>
      <c r="M566" s="12"/>
      <c r="N566" s="12"/>
      <c r="O566" s="12"/>
      <c r="P566" s="12"/>
      <c r="Q566" s="12"/>
      <c r="R566" s="12"/>
      <c r="S566" s="12"/>
      <c r="T566" s="12"/>
      <c r="U566" s="12"/>
      <c r="V566" s="12"/>
      <c r="W566" s="12"/>
      <c r="X566" s="12"/>
      <c r="Y566" s="12"/>
      <c r="Z566" s="12"/>
      <c r="AA566" s="12"/>
      <c r="AB566" s="12"/>
      <c r="AC566" s="12"/>
      <c r="AD566" s="12"/>
      <c r="BD566" s="13">
        <v>42562</v>
      </c>
      <c r="BE566" s="13">
        <v>42896</v>
      </c>
      <c r="BF566" s="13">
        <v>43049</v>
      </c>
      <c r="BG566" s="12" t="s">
        <v>817</v>
      </c>
      <c r="BH566" s="14">
        <v>1389750</v>
      </c>
      <c r="BI566" s="12" t="s">
        <v>9461</v>
      </c>
      <c r="BJ566" s="12" t="s">
        <v>9462</v>
      </c>
      <c r="BK566" s="12" t="s">
        <v>9463</v>
      </c>
      <c r="BL566" s="12"/>
      <c r="BM566" s="12"/>
      <c r="BN566" s="12"/>
      <c r="BO566" s="12" t="s">
        <v>320</v>
      </c>
      <c r="BP566" s="12" t="s">
        <v>319</v>
      </c>
      <c r="BQ566" s="12" t="s">
        <v>319</v>
      </c>
      <c r="BR566" s="12" t="s">
        <v>9464</v>
      </c>
      <c r="BS566" s="12" t="s">
        <v>357</v>
      </c>
      <c r="BT566" s="12" t="s">
        <v>9465</v>
      </c>
      <c r="BU566" s="12" t="s">
        <v>9466</v>
      </c>
      <c r="BV566" s="14">
        <v>61200</v>
      </c>
      <c r="BW566" s="14">
        <v>58800</v>
      </c>
      <c r="BX566" s="14">
        <v>120000</v>
      </c>
      <c r="BY566" s="14">
        <v>5100</v>
      </c>
      <c r="BZ566" s="14">
        <v>4900</v>
      </c>
      <c r="CA566" s="14">
        <v>10000</v>
      </c>
      <c r="CB566" s="12" t="s">
        <v>9467</v>
      </c>
      <c r="CD566" s="14">
        <v>81714</v>
      </c>
      <c r="CE566" s="14">
        <v>78509</v>
      </c>
      <c r="CF566" s="14">
        <v>160223</v>
      </c>
      <c r="CG566" s="14">
        <v>8995</v>
      </c>
      <c r="CH566" s="14">
        <v>8643</v>
      </c>
      <c r="CI566" s="14">
        <v>17638</v>
      </c>
      <c r="CJ566" s="12"/>
      <c r="CK566" s="14"/>
      <c r="CL566" s="16"/>
      <c r="CM566" s="14"/>
      <c r="CN566" s="12"/>
      <c r="CO566" s="14"/>
      <c r="CP566" s="16"/>
      <c r="CQ566" s="14"/>
      <c r="CR566" s="12"/>
      <c r="CS566" s="14"/>
      <c r="CT566" s="16"/>
      <c r="CU566" s="14"/>
      <c r="CV566" s="12" t="s">
        <v>320</v>
      </c>
      <c r="CW566" s="14">
        <v>1273</v>
      </c>
      <c r="CX566" s="16">
        <v>0.51</v>
      </c>
      <c r="CY566" s="14">
        <v>7638</v>
      </c>
      <c r="CZ566" s="12"/>
      <c r="DA566" s="14"/>
      <c r="DB566" s="16"/>
      <c r="DC566" s="14"/>
      <c r="DD566" s="12"/>
      <c r="DE566" s="14"/>
      <c r="DF566" s="16"/>
      <c r="DG566" s="14"/>
      <c r="DH566" s="12"/>
      <c r="DI566" s="14"/>
      <c r="DJ566" s="16"/>
      <c r="DK566" s="14"/>
      <c r="DL566" s="12"/>
      <c r="DM566" s="14"/>
      <c r="DN566" s="16"/>
      <c r="DO566" s="14"/>
      <c r="DP566" s="12"/>
      <c r="DQ566" s="14"/>
      <c r="DR566" s="16"/>
      <c r="DS566" s="14"/>
      <c r="DT566" s="12"/>
      <c r="DU566" s="14"/>
      <c r="DV566" s="16"/>
      <c r="DW566" s="14"/>
      <c r="DX566" s="12"/>
      <c r="DY566" s="14"/>
      <c r="DZ566" s="16"/>
      <c r="EA566" s="14"/>
      <c r="EB566" s="11" t="s">
        <v>320</v>
      </c>
      <c r="EC566" s="14">
        <v>157727</v>
      </c>
      <c r="ED566" s="16">
        <v>0.51</v>
      </c>
      <c r="EE566" s="14">
        <v>10000</v>
      </c>
      <c r="EF566" s="12" t="s">
        <v>9436</v>
      </c>
      <c r="EG566" s="12" t="s">
        <v>320</v>
      </c>
      <c r="EH566" s="14"/>
      <c r="EI566" s="16"/>
      <c r="EJ566" s="14"/>
      <c r="EK566" s="14"/>
      <c r="EL566" s="14"/>
      <c r="EM566" s="14"/>
      <c r="EN566" s="14"/>
      <c r="EO566" s="14"/>
      <c r="EP566" s="14"/>
      <c r="EQ566" s="12"/>
      <c r="ER566" s="14"/>
      <c r="ES566" s="16"/>
      <c r="ET566" s="14"/>
      <c r="EU566" s="12"/>
      <c r="EV566" s="14"/>
      <c r="EW566" s="16"/>
      <c r="EX566" s="14"/>
      <c r="EY566" s="12"/>
      <c r="EZ566" s="14"/>
      <c r="FA566" s="16"/>
      <c r="FB566" s="14"/>
      <c r="FC566" s="12"/>
      <c r="FD566" s="14"/>
      <c r="FE566" s="16"/>
      <c r="FF566" s="14"/>
      <c r="FG566" s="12"/>
      <c r="FH566" s="14"/>
      <c r="FI566" s="16"/>
      <c r="FJ566" s="14"/>
      <c r="FK566" s="12"/>
      <c r="FL566" s="14"/>
      <c r="FM566" s="16"/>
      <c r="FN566" s="14"/>
      <c r="FO566" s="12"/>
      <c r="FP566" s="14"/>
      <c r="FQ566" s="16"/>
      <c r="FR566" s="14"/>
      <c r="FS566" s="12"/>
      <c r="FT566" s="14"/>
      <c r="FU566" s="16"/>
      <c r="FV566" s="14"/>
      <c r="FW566" s="12"/>
      <c r="FX566" s="14"/>
      <c r="FY566" s="16"/>
      <c r="FZ566" s="14"/>
      <c r="GA566" s="12"/>
      <c r="GB566" s="14"/>
      <c r="GC566" s="16"/>
      <c r="GD566" s="14"/>
      <c r="GE566" s="12"/>
      <c r="GF566" s="14"/>
      <c r="GG566" s="16"/>
      <c r="GH566" s="14"/>
      <c r="GI566" s="12"/>
      <c r="GJ566" s="14"/>
      <c r="GK566" s="16"/>
      <c r="GL566" s="14"/>
      <c r="GM566" s="12"/>
      <c r="GN566" s="14"/>
      <c r="GO566" s="16"/>
      <c r="GP566" s="14"/>
      <c r="GQ566" s="12"/>
      <c r="GR566" s="14"/>
      <c r="GS566" s="16"/>
      <c r="GT566" s="14"/>
      <c r="GU566" s="12"/>
      <c r="GV566" s="14"/>
      <c r="GW566" s="16"/>
      <c r="GX566" s="14"/>
      <c r="GY566" s="12"/>
      <c r="GZ566" s="14"/>
      <c r="HA566" s="16"/>
      <c r="HB566" s="14"/>
      <c r="HC566" s="12"/>
      <c r="HD566" s="12"/>
      <c r="HE566" s="14"/>
      <c r="HF566" s="16"/>
      <c r="HG566" s="14"/>
      <c r="HH566" s="12" t="s">
        <v>320</v>
      </c>
      <c r="HI566" s="12" t="s">
        <v>416</v>
      </c>
      <c r="HJ566" s="12">
        <v>2017</v>
      </c>
      <c r="HK566" s="12" t="s">
        <v>320</v>
      </c>
      <c r="HL566" s="12" t="s">
        <v>320</v>
      </c>
      <c r="HM566" s="12" t="s">
        <v>361</v>
      </c>
      <c r="HN566" s="12">
        <v>2017</v>
      </c>
      <c r="HO566" s="12" t="s">
        <v>9468</v>
      </c>
      <c r="HP566" s="12" t="s">
        <v>418</v>
      </c>
      <c r="HQ566" s="12" t="s">
        <v>319</v>
      </c>
      <c r="HR566" s="12" t="s">
        <v>319</v>
      </c>
      <c r="HS566" s="12" t="s">
        <v>319</v>
      </c>
      <c r="HT566" s="12" t="s">
        <v>319</v>
      </c>
      <c r="HU566" s="12" t="s">
        <v>319</v>
      </c>
      <c r="HV566" s="12" t="s">
        <v>319</v>
      </c>
      <c r="HW566" s="12" t="s">
        <v>319</v>
      </c>
      <c r="HX566" s="12" t="s">
        <v>319</v>
      </c>
      <c r="HY566" s="12"/>
      <c r="HZ566" s="12" t="s">
        <v>331</v>
      </c>
      <c r="IA566" s="12"/>
      <c r="IB566" s="12" t="s">
        <v>396</v>
      </c>
      <c r="IC566" s="12"/>
      <c r="ID566" s="12" t="s">
        <v>364</v>
      </c>
      <c r="IE566" s="12" t="s">
        <v>335</v>
      </c>
      <c r="IF566" s="12" t="s">
        <v>320</v>
      </c>
      <c r="IG566" s="12" t="s">
        <v>320</v>
      </c>
      <c r="IH566" s="12" t="s">
        <v>320</v>
      </c>
      <c r="II566" s="12" t="s">
        <v>320</v>
      </c>
      <c r="IJ566" s="12" t="str">
        <f t="shared" si="345"/>
        <v>2. Sensitive</v>
      </c>
      <c r="IK566" s="12">
        <f t="shared" si="346"/>
        <v>4</v>
      </c>
      <c r="IL566" s="12" t="s">
        <v>336</v>
      </c>
      <c r="IM566" s="12" t="s">
        <v>320</v>
      </c>
      <c r="IN566" s="12" t="s">
        <v>320</v>
      </c>
      <c r="IO566" s="12" t="s">
        <v>320</v>
      </c>
      <c r="IP566" s="12" t="s">
        <v>320</v>
      </c>
      <c r="IQ566" s="12" t="str">
        <f t="shared" si="347"/>
        <v>2. Accommodating</v>
      </c>
      <c r="IR566" s="12">
        <f t="shared" si="348"/>
        <v>4</v>
      </c>
      <c r="IS566" s="12" t="s">
        <v>622</v>
      </c>
      <c r="IT566" s="12" t="s">
        <v>320</v>
      </c>
      <c r="IU566" s="12" t="s">
        <v>320</v>
      </c>
      <c r="IV566" s="12" t="s">
        <v>320</v>
      </c>
      <c r="IW566" s="11" t="str">
        <f t="shared" si="349"/>
        <v>4. Transformative</v>
      </c>
      <c r="IX566" s="12">
        <f t="shared" si="350"/>
        <v>3</v>
      </c>
      <c r="IY566" s="12" t="s">
        <v>338</v>
      </c>
      <c r="IZ566" s="12" t="s">
        <v>527</v>
      </c>
      <c r="JA566" s="12">
        <v>2</v>
      </c>
      <c r="JB566" s="12" t="s">
        <v>433</v>
      </c>
      <c r="JC566" s="12" t="s">
        <v>687</v>
      </c>
      <c r="JD566" s="12" t="s">
        <v>651</v>
      </c>
      <c r="JE566" s="12" t="s">
        <v>365</v>
      </c>
      <c r="JF566" s="12"/>
      <c r="JG566" s="12"/>
      <c r="JH566" s="12" t="s">
        <v>9469</v>
      </c>
      <c r="JI566" s="12" t="s">
        <v>9470</v>
      </c>
      <c r="JJ566" s="12" t="s">
        <v>9471</v>
      </c>
      <c r="JK566" s="12" t="s">
        <v>9472</v>
      </c>
      <c r="JL566" s="12" t="s">
        <v>9473</v>
      </c>
      <c r="JM566" s="12" t="s">
        <v>9474</v>
      </c>
      <c r="JN566" s="12" t="s">
        <v>9475</v>
      </c>
      <c r="JO566" s="12" t="s">
        <v>9476</v>
      </c>
      <c r="JP566" s="15">
        <f t="shared" si="351"/>
        <v>160223</v>
      </c>
      <c r="JQ566" s="15">
        <f t="shared" si="352"/>
        <v>17638</v>
      </c>
      <c r="JR566" s="279">
        <f t="shared" si="353"/>
        <v>0.11008407032698177</v>
      </c>
      <c r="JS566" s="17">
        <f t="shared" si="354"/>
        <v>0.51000168515132038</v>
      </c>
      <c r="JT566" s="18">
        <f t="shared" si="355"/>
        <v>0.50997845560721167</v>
      </c>
      <c r="JU566" s="280">
        <f t="shared" si="356"/>
        <v>81714</v>
      </c>
      <c r="JV566" s="280">
        <f t="shared" si="357"/>
        <v>8995</v>
      </c>
      <c r="JW566" s="319">
        <f t="shared" si="358"/>
        <v>1</v>
      </c>
      <c r="JX566" s="15">
        <f t="shared" si="359"/>
        <v>160223</v>
      </c>
      <c r="JY566" s="15">
        <f t="shared" si="360"/>
        <v>17638</v>
      </c>
      <c r="JZ566" s="19">
        <f t="shared" si="361"/>
        <v>0.11008407032698177</v>
      </c>
      <c r="KA566" s="52">
        <f t="shared" si="362"/>
        <v>1</v>
      </c>
      <c r="KB566" s="15">
        <f t="shared" si="363"/>
        <v>1273</v>
      </c>
      <c r="KC566" s="15">
        <f t="shared" si="364"/>
        <v>7638</v>
      </c>
      <c r="KD566" s="20">
        <f t="shared" si="365"/>
        <v>6</v>
      </c>
      <c r="KE566" s="52" t="str">
        <f t="shared" si="366"/>
        <v/>
      </c>
      <c r="KF566" s="15">
        <f t="shared" si="367"/>
        <v>0</v>
      </c>
      <c r="KG566" s="15">
        <f t="shared" si="368"/>
        <v>0</v>
      </c>
      <c r="KH566" s="21" t="str">
        <f t="shared" si="369"/>
        <v/>
      </c>
      <c r="KI566" s="52" t="str">
        <f t="shared" si="370"/>
        <v/>
      </c>
      <c r="KJ566" s="15">
        <f t="shared" si="371"/>
        <v>0</v>
      </c>
      <c r="KK566" s="15">
        <f t="shared" si="372"/>
        <v>0</v>
      </c>
      <c r="KL566" s="19" t="str">
        <f t="shared" si="373"/>
        <v/>
      </c>
      <c r="KM566" s="52" t="str">
        <f t="shared" si="374"/>
        <v/>
      </c>
      <c r="KN566" s="22">
        <f t="shared" si="375"/>
        <v>0</v>
      </c>
      <c r="KO566" s="22">
        <f t="shared" si="376"/>
        <v>0</v>
      </c>
      <c r="KP566" s="19" t="str">
        <f t="shared" si="377"/>
        <v/>
      </c>
      <c r="KQ566" s="11" t="str">
        <f t="shared" si="378"/>
        <v>2. Sensitive</v>
      </c>
      <c r="KR566" s="11" t="str">
        <f t="shared" si="379"/>
        <v>2. Accommodating</v>
      </c>
      <c r="KS566" s="11" t="str">
        <f t="shared" si="380"/>
        <v>4. Transformative</v>
      </c>
      <c r="KT566" s="11" t="str">
        <f t="shared" si="381"/>
        <v>It tested new ways for fighting poverty and measured results of innovation</v>
      </c>
      <c r="KU566" s="11" t="str">
        <f t="shared" si="382"/>
        <v>Little or no advocacy</v>
      </c>
      <c r="KV566" s="11" t="str">
        <f t="shared" si="383"/>
        <v>It linked and worked with strategic alliances and partners to take tested and effective solutions to scale</v>
      </c>
      <c r="KW566" s="11" t="str">
        <f t="shared" si="384"/>
        <v>Pakistan - Humanitarian Assistance to Internally Displaced Persons in Pakistan</v>
      </c>
      <c r="KX566" s="11" t="str">
        <f t="shared" si="385"/>
        <v>Humanitarian Assistance to Internally Displaced Persons in Pakistan</v>
      </c>
      <c r="KY566" s="11" t="str">
        <f t="shared" si="386"/>
        <v>Pakistan</v>
      </c>
      <c r="KZ566" s="12">
        <v>566</v>
      </c>
    </row>
    <row r="567" spans="1:312" x14ac:dyDescent="0.3">
      <c r="A567" s="12" t="s">
        <v>9427</v>
      </c>
      <c r="B567" s="12" t="s">
        <v>306</v>
      </c>
      <c r="C567" s="12">
        <v>3239</v>
      </c>
      <c r="D567" s="12" t="s">
        <v>9485</v>
      </c>
      <c r="E567" s="277" t="str">
        <f t="shared" si="344"/>
        <v>Pakistan</v>
      </c>
      <c r="F567" s="12"/>
      <c r="G567" s="12" t="s">
        <v>379</v>
      </c>
      <c r="H567" s="12" t="s">
        <v>383</v>
      </c>
      <c r="I567" s="12" t="s">
        <v>384</v>
      </c>
      <c r="J567" s="281" t="s">
        <v>14725</v>
      </c>
      <c r="K567" s="12"/>
      <c r="L567" s="12"/>
      <c r="M567" s="12"/>
      <c r="N567" s="12"/>
      <c r="O567" s="12"/>
      <c r="P567" s="12"/>
      <c r="Q567" s="12"/>
      <c r="R567" s="12"/>
      <c r="S567" s="12"/>
      <c r="T567" s="12"/>
      <c r="U567" s="12"/>
      <c r="V567" s="12"/>
      <c r="W567" s="12"/>
      <c r="X567" s="12"/>
      <c r="Y567" s="12"/>
      <c r="Z567" s="12"/>
      <c r="AA567" s="12"/>
      <c r="AB567" s="12"/>
      <c r="AC567" s="12"/>
      <c r="AD567" s="12"/>
      <c r="BD567" s="13">
        <v>42005</v>
      </c>
      <c r="BE567" s="13">
        <v>43070</v>
      </c>
      <c r="BF567" s="12"/>
      <c r="BG567" s="12" t="s">
        <v>312</v>
      </c>
      <c r="BH567" s="14">
        <v>2800000</v>
      </c>
      <c r="BI567" s="12" t="s">
        <v>9486</v>
      </c>
      <c r="BJ567" s="12" t="s">
        <v>9487</v>
      </c>
      <c r="BK567" s="12" t="s">
        <v>9488</v>
      </c>
      <c r="BL567" s="12"/>
      <c r="BM567" s="12"/>
      <c r="BN567" s="12"/>
      <c r="BO567" s="12" t="s">
        <v>320</v>
      </c>
      <c r="BP567" s="12" t="s">
        <v>320</v>
      </c>
      <c r="BQ567" s="12" t="s">
        <v>320</v>
      </c>
      <c r="BR567" s="12" t="s">
        <v>9489</v>
      </c>
      <c r="BS567" s="12" t="s">
        <v>357</v>
      </c>
      <c r="BT567" s="12" t="s">
        <v>9490</v>
      </c>
      <c r="BU567" s="12" t="s">
        <v>9491</v>
      </c>
      <c r="BV567" s="14">
        <v>18824</v>
      </c>
      <c r="BW567" s="14">
        <v>18491</v>
      </c>
      <c r="BX567" s="14">
        <v>37315</v>
      </c>
      <c r="BY567" s="14">
        <v>21902</v>
      </c>
      <c r="BZ567" s="14">
        <v>23142</v>
      </c>
      <c r="CA567" s="14">
        <v>45044</v>
      </c>
      <c r="CB567" s="12" t="s">
        <v>9492</v>
      </c>
      <c r="CD567" s="14">
        <v>93371</v>
      </c>
      <c r="CE567" s="14">
        <v>93707</v>
      </c>
      <c r="CF567" s="14">
        <v>187078</v>
      </c>
      <c r="CG567" s="14">
        <v>7530</v>
      </c>
      <c r="CH567" s="14">
        <v>7446</v>
      </c>
      <c r="CI567" s="14">
        <v>14976</v>
      </c>
      <c r="CJ567" s="12"/>
      <c r="CK567" s="14"/>
      <c r="CL567" s="16"/>
      <c r="CM567" s="14"/>
      <c r="CN567" s="12"/>
      <c r="CO567" s="14"/>
      <c r="CP567" s="16"/>
      <c r="CQ567" s="14"/>
      <c r="CR567" s="12"/>
      <c r="CS567" s="14"/>
      <c r="CT567" s="16"/>
      <c r="CU567" s="14"/>
      <c r="CV567" s="12" t="s">
        <v>320</v>
      </c>
      <c r="CW567" s="14">
        <v>2496</v>
      </c>
      <c r="CX567" s="16">
        <v>0.5</v>
      </c>
      <c r="CY567" s="14">
        <v>14976</v>
      </c>
      <c r="CZ567" s="12"/>
      <c r="DA567" s="14"/>
      <c r="DB567" s="16"/>
      <c r="DC567" s="14"/>
      <c r="DD567" s="12"/>
      <c r="DE567" s="14"/>
      <c r="DF567" s="16"/>
      <c r="DG567" s="14"/>
      <c r="DH567" s="12"/>
      <c r="DI567" s="14"/>
      <c r="DJ567" s="16"/>
      <c r="DK567" s="14"/>
      <c r="DL567" s="12"/>
      <c r="DM567" s="14"/>
      <c r="DN567" s="16"/>
      <c r="DO567" s="14"/>
      <c r="DP567" s="12"/>
      <c r="DQ567" s="14"/>
      <c r="DR567" s="16"/>
      <c r="DS567" s="14"/>
      <c r="DT567" s="12"/>
      <c r="DU567" s="14"/>
      <c r="DV567" s="16"/>
      <c r="DW567" s="14"/>
      <c r="DX567" s="12"/>
      <c r="DY567" s="14"/>
      <c r="DZ567" s="16"/>
      <c r="EA567" s="14"/>
      <c r="EB567" s="11" t="s">
        <v>320</v>
      </c>
      <c r="EC567" s="14">
        <v>184582</v>
      </c>
      <c r="ED567" s="16">
        <v>0.5</v>
      </c>
      <c r="EE567" s="14"/>
      <c r="EF567" s="12" t="s">
        <v>9436</v>
      </c>
      <c r="EG567" s="12" t="s">
        <v>320</v>
      </c>
      <c r="EH567" s="14"/>
      <c r="EI567" s="16"/>
      <c r="EJ567" s="14"/>
      <c r="EK567" s="14">
        <v>14835</v>
      </c>
      <c r="EL567" s="14">
        <v>16782</v>
      </c>
      <c r="EM567" s="14">
        <v>31617</v>
      </c>
      <c r="EN567" s="14">
        <v>18684</v>
      </c>
      <c r="EO567" s="14">
        <v>18930</v>
      </c>
      <c r="EP567" s="14">
        <v>37614</v>
      </c>
      <c r="EQ567" s="12"/>
      <c r="ER567" s="14"/>
      <c r="ES567" s="16"/>
      <c r="ET567" s="14"/>
      <c r="EU567" s="12"/>
      <c r="EV567" s="14"/>
      <c r="EW567" s="16"/>
      <c r="EX567" s="14"/>
      <c r="EY567" s="12"/>
      <c r="EZ567" s="14"/>
      <c r="FA567" s="16"/>
      <c r="FB567" s="14"/>
      <c r="FC567" s="12"/>
      <c r="FD567" s="14"/>
      <c r="FE567" s="16"/>
      <c r="FF567" s="14"/>
      <c r="FG567" s="12" t="s">
        <v>319</v>
      </c>
      <c r="FH567" s="14"/>
      <c r="FI567" s="16"/>
      <c r="FJ567" s="14"/>
      <c r="FK567" s="12" t="s">
        <v>320</v>
      </c>
      <c r="FL567" s="14">
        <v>16442</v>
      </c>
      <c r="FM567" s="16">
        <v>0.51</v>
      </c>
      <c r="FN567" s="14">
        <v>36375</v>
      </c>
      <c r="FO567" s="12"/>
      <c r="FP567" s="14"/>
      <c r="FQ567" s="16"/>
      <c r="FR567" s="14"/>
      <c r="FS567" s="12"/>
      <c r="FT567" s="14"/>
      <c r="FU567" s="16"/>
      <c r="FV567" s="14"/>
      <c r="FW567" s="12"/>
      <c r="FX567" s="14"/>
      <c r="FY567" s="16"/>
      <c r="FZ567" s="14"/>
      <c r="GA567" s="12"/>
      <c r="GB567" s="14"/>
      <c r="GC567" s="16"/>
      <c r="GD567" s="14"/>
      <c r="GE567" s="12"/>
      <c r="GF567" s="14"/>
      <c r="GG567" s="16"/>
      <c r="GH567" s="14"/>
      <c r="GI567" s="12"/>
      <c r="GJ567" s="14"/>
      <c r="GK567" s="16"/>
      <c r="GL567" s="14"/>
      <c r="GM567" s="12"/>
      <c r="GN567" s="14"/>
      <c r="GO567" s="16"/>
      <c r="GP567" s="14"/>
      <c r="GQ567" s="12"/>
      <c r="GR567" s="14"/>
      <c r="GS567" s="16"/>
      <c r="GT567" s="14"/>
      <c r="GU567" s="12"/>
      <c r="GV567" s="14"/>
      <c r="GW567" s="16"/>
      <c r="GX567" s="14"/>
      <c r="GY567" s="11" t="s">
        <v>320</v>
      </c>
      <c r="GZ567" s="14">
        <v>340</v>
      </c>
      <c r="HA567" s="16">
        <v>0.66</v>
      </c>
      <c r="HB567" s="14">
        <v>1238</v>
      </c>
      <c r="HC567" s="12"/>
      <c r="HD567" s="12"/>
      <c r="HE567" s="14"/>
      <c r="HF567" s="16"/>
      <c r="HG567" s="14"/>
      <c r="HH567" s="12" t="s">
        <v>319</v>
      </c>
      <c r="HI567" s="12"/>
      <c r="HJ567" s="12">
        <v>2017</v>
      </c>
      <c r="HK567" s="12" t="s">
        <v>319</v>
      </c>
      <c r="HL567" s="12" t="s">
        <v>320</v>
      </c>
      <c r="HM567" s="12" t="s">
        <v>361</v>
      </c>
      <c r="HN567" s="12">
        <v>2017</v>
      </c>
      <c r="HO567" s="12"/>
      <c r="HP567" s="12" t="s">
        <v>330</v>
      </c>
      <c r="HQ567" s="12" t="s">
        <v>319</v>
      </c>
      <c r="HR567" s="12" t="s">
        <v>319</v>
      </c>
      <c r="HS567" s="12" t="s">
        <v>320</v>
      </c>
      <c r="HT567" s="12" t="s">
        <v>319</v>
      </c>
      <c r="HU567" s="12" t="s">
        <v>319</v>
      </c>
      <c r="HV567" s="12" t="s">
        <v>319</v>
      </c>
      <c r="HW567" s="12" t="s">
        <v>320</v>
      </c>
      <c r="HX567" s="12" t="s">
        <v>319</v>
      </c>
      <c r="HY567" s="12"/>
      <c r="HZ567" s="12" t="s">
        <v>331</v>
      </c>
      <c r="IA567" s="12" t="s">
        <v>9493</v>
      </c>
      <c r="IB567" s="12" t="s">
        <v>396</v>
      </c>
      <c r="IC567" s="12" t="s">
        <v>9494</v>
      </c>
      <c r="ID567" s="12" t="s">
        <v>364</v>
      </c>
      <c r="IE567" s="12" t="s">
        <v>335</v>
      </c>
      <c r="IF567" s="12" t="s">
        <v>320</v>
      </c>
      <c r="IG567" s="12" t="s">
        <v>320</v>
      </c>
      <c r="IH567" s="12" t="s">
        <v>320</v>
      </c>
      <c r="II567" s="12" t="s">
        <v>320</v>
      </c>
      <c r="IJ567" s="12" t="str">
        <f t="shared" si="345"/>
        <v>2. Sensitive</v>
      </c>
      <c r="IK567" s="12">
        <f t="shared" si="346"/>
        <v>4</v>
      </c>
      <c r="IL567" s="12" t="s">
        <v>336</v>
      </c>
      <c r="IM567" s="12" t="s">
        <v>320</v>
      </c>
      <c r="IN567" s="12" t="s">
        <v>320</v>
      </c>
      <c r="IO567" s="12" t="s">
        <v>320</v>
      </c>
      <c r="IP567" s="12" t="s">
        <v>320</v>
      </c>
      <c r="IQ567" s="12" t="str">
        <f t="shared" si="347"/>
        <v>2. Accommodating</v>
      </c>
      <c r="IR567" s="12">
        <f t="shared" si="348"/>
        <v>4</v>
      </c>
      <c r="IS567" s="12" t="s">
        <v>337</v>
      </c>
      <c r="IT567" s="12" t="s">
        <v>320</v>
      </c>
      <c r="IU567" s="12" t="s">
        <v>320</v>
      </c>
      <c r="IV567" s="12" t="s">
        <v>320</v>
      </c>
      <c r="IW567" s="11" t="str">
        <f t="shared" si="349"/>
        <v>2. Sensitive</v>
      </c>
      <c r="IX567" s="12">
        <f t="shared" si="350"/>
        <v>3</v>
      </c>
      <c r="IY567" s="12" t="s">
        <v>419</v>
      </c>
      <c r="IZ567" s="12" t="s">
        <v>457</v>
      </c>
      <c r="JA567" s="12">
        <v>2</v>
      </c>
      <c r="JB567" s="12" t="s">
        <v>433</v>
      </c>
      <c r="JC567" s="12" t="s">
        <v>687</v>
      </c>
      <c r="JD567" s="12"/>
      <c r="JE567" s="12" t="s">
        <v>420</v>
      </c>
      <c r="JF567" s="12"/>
      <c r="JG567" s="12" t="s">
        <v>9495</v>
      </c>
      <c r="JH567" s="12" t="s">
        <v>9496</v>
      </c>
      <c r="JI567" s="12" t="s">
        <v>9497</v>
      </c>
      <c r="JJ567" s="12" t="s">
        <v>9498</v>
      </c>
      <c r="JK567" s="12" t="s">
        <v>9499</v>
      </c>
      <c r="JL567" s="12" t="s">
        <v>9500</v>
      </c>
      <c r="JM567" s="12" t="s">
        <v>9501</v>
      </c>
      <c r="JN567" s="12" t="s">
        <v>9502</v>
      </c>
      <c r="JO567" s="12" t="s">
        <v>9503</v>
      </c>
      <c r="JP567" s="15">
        <f t="shared" si="351"/>
        <v>187078</v>
      </c>
      <c r="JQ567" s="15">
        <f t="shared" si="352"/>
        <v>37614</v>
      </c>
      <c r="JR567" s="279">
        <f t="shared" si="353"/>
        <v>0.20106052021082116</v>
      </c>
      <c r="JS567" s="17">
        <f t="shared" si="354"/>
        <v>0.49910197885374014</v>
      </c>
      <c r="JT567" s="18">
        <f t="shared" si="355"/>
        <v>0.49672994097942258</v>
      </c>
      <c r="JU567" s="280">
        <f t="shared" si="356"/>
        <v>93371</v>
      </c>
      <c r="JV567" s="280">
        <f t="shared" si="357"/>
        <v>18684</v>
      </c>
      <c r="JW567" s="319">
        <f t="shared" si="358"/>
        <v>1</v>
      </c>
      <c r="JX567" s="15">
        <f t="shared" si="359"/>
        <v>187078</v>
      </c>
      <c r="JY567" s="15">
        <f t="shared" si="360"/>
        <v>14976</v>
      </c>
      <c r="JZ567" s="19">
        <f t="shared" si="361"/>
        <v>8.0052170752306528E-2</v>
      </c>
      <c r="KA567" s="52">
        <f t="shared" si="362"/>
        <v>1</v>
      </c>
      <c r="KB567" s="15">
        <f t="shared" si="363"/>
        <v>2496</v>
      </c>
      <c r="KC567" s="15">
        <f t="shared" si="364"/>
        <v>14976</v>
      </c>
      <c r="KD567" s="20">
        <f t="shared" si="365"/>
        <v>6</v>
      </c>
      <c r="KE567" s="52" t="str">
        <f t="shared" si="366"/>
        <v/>
      </c>
      <c r="KF567" s="15">
        <f t="shared" si="367"/>
        <v>0</v>
      </c>
      <c r="KG567" s="15">
        <f t="shared" si="368"/>
        <v>0</v>
      </c>
      <c r="KH567" s="21" t="str">
        <f t="shared" si="369"/>
        <v/>
      </c>
      <c r="KI567" s="52" t="str">
        <f t="shared" si="370"/>
        <v/>
      </c>
      <c r="KJ567" s="15">
        <f t="shared" si="371"/>
        <v>0</v>
      </c>
      <c r="KK567" s="15">
        <f t="shared" si="372"/>
        <v>0</v>
      </c>
      <c r="KL567" s="19" t="str">
        <f t="shared" si="373"/>
        <v/>
      </c>
      <c r="KM567" s="52">
        <f t="shared" si="374"/>
        <v>1</v>
      </c>
      <c r="KN567" s="22">
        <f t="shared" si="375"/>
        <v>340</v>
      </c>
      <c r="KO567" s="22">
        <f t="shared" si="376"/>
        <v>1238</v>
      </c>
      <c r="KP567" s="19">
        <f t="shared" si="377"/>
        <v>3.6411764705882352</v>
      </c>
      <c r="KQ567" s="11" t="str">
        <f t="shared" si="378"/>
        <v>2. Sensitive</v>
      </c>
      <c r="KR567" s="11" t="str">
        <f t="shared" si="379"/>
        <v>2. Accommodating</v>
      </c>
      <c r="KS567" s="11" t="str">
        <f t="shared" si="380"/>
        <v>2. Sensitive</v>
      </c>
      <c r="KT567" s="11" t="str">
        <f t="shared" si="381"/>
        <v>It tested new ways for fighting poverty and measured results of innovation</v>
      </c>
      <c r="KU567" s="11" t="str">
        <f t="shared" si="382"/>
        <v>Moderate advocacy</v>
      </c>
      <c r="KV567" s="11" t="str">
        <f t="shared" si="383"/>
        <v>It linked and worked with strategic alliances and partners to take tested and effective solutions to scale</v>
      </c>
      <c r="KW567" s="11" t="str">
        <f t="shared" si="384"/>
        <v>Pakistan - INSPIREII- Institutional Support for Participatory, Inclusive and Responsive Education</v>
      </c>
      <c r="KX567" s="11" t="str">
        <f t="shared" si="385"/>
        <v>INSPIREII- Institutional Support for Participatory, Inclusive and Responsive Education</v>
      </c>
      <c r="KY567" s="11" t="str">
        <f t="shared" si="386"/>
        <v>Pakistan</v>
      </c>
      <c r="KZ567" s="12">
        <v>567</v>
      </c>
    </row>
    <row r="568" spans="1:312" x14ac:dyDescent="0.3">
      <c r="A568" s="12" t="s">
        <v>9427</v>
      </c>
      <c r="B568" s="12" t="s">
        <v>306</v>
      </c>
      <c r="C568" s="12"/>
      <c r="D568" s="12" t="s">
        <v>2276</v>
      </c>
      <c r="E568" s="277" t="str">
        <f t="shared" si="344"/>
        <v>Pakistan</v>
      </c>
      <c r="F568" s="12" t="s">
        <v>3436</v>
      </c>
      <c r="G568" s="12" t="s">
        <v>488</v>
      </c>
      <c r="H568" s="12" t="s">
        <v>554</v>
      </c>
      <c r="I568" s="12" t="s">
        <v>384</v>
      </c>
      <c r="J568" s="281"/>
      <c r="K568" s="12" t="s">
        <v>3436</v>
      </c>
      <c r="L568" s="12" t="s">
        <v>488</v>
      </c>
      <c r="M568" s="12" t="s">
        <v>383</v>
      </c>
      <c r="N568" s="12" t="s">
        <v>384</v>
      </c>
      <c r="O568" s="12" t="s">
        <v>2277</v>
      </c>
      <c r="P568" s="12"/>
      <c r="Q568" s="12"/>
      <c r="R568" s="12"/>
      <c r="S568" s="12"/>
      <c r="T568" s="12"/>
      <c r="U568" s="12"/>
      <c r="V568" s="12"/>
      <c r="W568" s="12"/>
      <c r="X568" s="12"/>
      <c r="Y568" s="12"/>
      <c r="Z568" s="12"/>
      <c r="AA568" s="12"/>
      <c r="AB568" s="12"/>
      <c r="AC568" s="12"/>
      <c r="AD568" s="12"/>
      <c r="BD568" s="13">
        <v>42552</v>
      </c>
      <c r="BE568" s="13">
        <v>42916</v>
      </c>
      <c r="BF568" s="12"/>
      <c r="BG568" s="12" t="s">
        <v>350</v>
      </c>
      <c r="BH568" s="14">
        <v>762461</v>
      </c>
      <c r="BI568" s="12" t="s">
        <v>2278</v>
      </c>
      <c r="BJ568" s="12" t="s">
        <v>2279</v>
      </c>
      <c r="BK568" s="12" t="s">
        <v>2280</v>
      </c>
      <c r="BL568" s="12"/>
      <c r="BM568" s="12"/>
      <c r="BN568" s="12"/>
      <c r="BO568" s="12" t="s">
        <v>319</v>
      </c>
      <c r="BP568" s="12" t="s">
        <v>320</v>
      </c>
      <c r="BQ568" s="12" t="s">
        <v>319</v>
      </c>
      <c r="BR568" s="12" t="s">
        <v>9477</v>
      </c>
      <c r="BS568" s="12" t="s">
        <v>357</v>
      </c>
      <c r="BT568" s="12" t="s">
        <v>9478</v>
      </c>
      <c r="BU568" s="12" t="s">
        <v>9479</v>
      </c>
      <c r="BV568" s="14">
        <v>973</v>
      </c>
      <c r="BW568" s="14">
        <v>1399</v>
      </c>
      <c r="BX568" s="14">
        <v>2372</v>
      </c>
      <c r="BY568" s="14">
        <v>4378</v>
      </c>
      <c r="BZ568" s="14">
        <v>4557</v>
      </c>
      <c r="CA568" s="14">
        <v>8935</v>
      </c>
      <c r="CB568" s="12" t="s">
        <v>9480</v>
      </c>
      <c r="CD568" s="14"/>
      <c r="CE568" s="14"/>
      <c r="CF568" s="14"/>
      <c r="CG568" s="14"/>
      <c r="CH568" s="14"/>
      <c r="CI568" s="14"/>
      <c r="CJ568" s="12"/>
      <c r="CK568" s="14"/>
      <c r="CL568" s="16"/>
      <c r="CM568" s="14"/>
      <c r="CN568" s="12"/>
      <c r="CO568" s="14"/>
      <c r="CP568" s="16"/>
      <c r="CQ568" s="14"/>
      <c r="CR568" s="12"/>
      <c r="CS568" s="14"/>
      <c r="CT568" s="16"/>
      <c r="CU568" s="14"/>
      <c r="CV568" s="12"/>
      <c r="CW568" s="14"/>
      <c r="CX568" s="16"/>
      <c r="CY568" s="14"/>
      <c r="CZ568" s="12"/>
      <c r="DA568" s="14"/>
      <c r="DB568" s="16"/>
      <c r="DC568" s="14"/>
      <c r="DD568" s="12"/>
      <c r="DE568" s="14"/>
      <c r="DF568" s="16"/>
      <c r="DG568" s="14"/>
      <c r="DH568" s="12"/>
      <c r="DI568" s="14"/>
      <c r="DJ568" s="16"/>
      <c r="DK568" s="14"/>
      <c r="DL568" s="12"/>
      <c r="DM568" s="14"/>
      <c r="DN568" s="16"/>
      <c r="DO568" s="14"/>
      <c r="DP568" s="12"/>
      <c r="DQ568" s="14"/>
      <c r="DR568" s="16"/>
      <c r="DS568" s="14"/>
      <c r="DT568" s="12"/>
      <c r="DU568" s="14"/>
      <c r="DV568" s="16"/>
      <c r="DW568" s="14"/>
      <c r="DX568" s="12"/>
      <c r="DY568" s="14"/>
      <c r="DZ568" s="16"/>
      <c r="EA568" s="14"/>
      <c r="EB568" s="12"/>
      <c r="EC568" s="14"/>
      <c r="ED568" s="16"/>
      <c r="EE568" s="14"/>
      <c r="EF568" s="12"/>
      <c r="EG568" s="12"/>
      <c r="EH568" s="14"/>
      <c r="EI568" s="16"/>
      <c r="EJ568" s="14"/>
      <c r="EK568" s="14">
        <v>973</v>
      </c>
      <c r="EL568" s="14">
        <v>1399</v>
      </c>
      <c r="EM568" s="14">
        <v>2372</v>
      </c>
      <c r="EN568" s="14">
        <v>4378</v>
      </c>
      <c r="EO568" s="14">
        <v>4557</v>
      </c>
      <c r="EP568" s="14">
        <v>8935</v>
      </c>
      <c r="EQ568" s="12"/>
      <c r="ER568" s="14"/>
      <c r="ES568" s="16"/>
      <c r="ET568" s="14"/>
      <c r="EU568" s="12"/>
      <c r="EV568" s="14"/>
      <c r="EW568" s="16"/>
      <c r="EX568" s="14"/>
      <c r="EY568" s="12"/>
      <c r="EZ568" s="14"/>
      <c r="FA568" s="16"/>
      <c r="FB568" s="14"/>
      <c r="FC568" s="12"/>
      <c r="FD568" s="14"/>
      <c r="FE568" s="16"/>
      <c r="FF568" s="14"/>
      <c r="FG568" s="12"/>
      <c r="FH568" s="14"/>
      <c r="FI568" s="16"/>
      <c r="FJ568" s="14"/>
      <c r="FK568" s="12"/>
      <c r="FL568" s="14"/>
      <c r="FM568" s="16"/>
      <c r="FN568" s="14"/>
      <c r="FO568" s="12"/>
      <c r="FP568" s="14"/>
      <c r="FQ568" s="16"/>
      <c r="FR568" s="14"/>
      <c r="FS568" s="12"/>
      <c r="FT568" s="14"/>
      <c r="FU568" s="16"/>
      <c r="FV568" s="14"/>
      <c r="FW568" s="12"/>
      <c r="FX568" s="14"/>
      <c r="FY568" s="16"/>
      <c r="FZ568" s="14"/>
      <c r="GA568" s="12"/>
      <c r="GB568" s="14"/>
      <c r="GC568" s="16"/>
      <c r="GD568" s="14"/>
      <c r="GE568" s="12"/>
      <c r="GF568" s="14"/>
      <c r="GG568" s="16"/>
      <c r="GH568" s="14"/>
      <c r="GI568" s="12"/>
      <c r="GJ568" s="14"/>
      <c r="GK568" s="16"/>
      <c r="GL568" s="14"/>
      <c r="GM568" s="12"/>
      <c r="GN568" s="14"/>
      <c r="GO568" s="16"/>
      <c r="GP568" s="14"/>
      <c r="GQ568" s="12"/>
      <c r="GR568" s="14"/>
      <c r="GS568" s="16"/>
      <c r="GT568" s="14"/>
      <c r="GU568" s="12"/>
      <c r="GV568" s="14"/>
      <c r="GW568" s="16"/>
      <c r="GX568" s="14"/>
      <c r="GY568" s="11" t="s">
        <v>320</v>
      </c>
      <c r="GZ568" s="14">
        <v>2372</v>
      </c>
      <c r="HA568" s="16">
        <v>0.41</v>
      </c>
      <c r="HB568" s="14">
        <v>8935</v>
      </c>
      <c r="HC568" s="12"/>
      <c r="HD568" s="12"/>
      <c r="HE568" s="14"/>
      <c r="HF568" s="16"/>
      <c r="HG568" s="14"/>
      <c r="HH568" s="12" t="s">
        <v>320</v>
      </c>
      <c r="HI568" s="12" t="s">
        <v>560</v>
      </c>
      <c r="HJ568" s="12">
        <v>2017</v>
      </c>
      <c r="HK568" s="12" t="s">
        <v>320</v>
      </c>
      <c r="HL568" s="12" t="s">
        <v>319</v>
      </c>
      <c r="HM568" s="12"/>
      <c r="HN568" s="12"/>
      <c r="HO568" s="12"/>
      <c r="HP568" s="12" t="s">
        <v>418</v>
      </c>
      <c r="HQ568" s="12"/>
      <c r="HR568" s="12"/>
      <c r="HS568" s="12"/>
      <c r="HT568" s="12"/>
      <c r="HU568" s="12"/>
      <c r="HV568" s="12"/>
      <c r="HW568" s="12"/>
      <c r="HX568" s="12"/>
      <c r="HY568" s="12"/>
      <c r="HZ568" s="12" t="s">
        <v>363</v>
      </c>
      <c r="IA568" s="12"/>
      <c r="IB568" s="12" t="s">
        <v>333</v>
      </c>
      <c r="IC568" s="12"/>
      <c r="ID568" s="12" t="s">
        <v>364</v>
      </c>
      <c r="IE568" s="12" t="s">
        <v>1909</v>
      </c>
      <c r="IF568" s="12"/>
      <c r="IG568" s="12"/>
      <c r="IH568" s="12"/>
      <c r="II568" s="12"/>
      <c r="IJ568" s="12" t="str">
        <f t="shared" si="345"/>
        <v>0. Harmful</v>
      </c>
      <c r="IK568" s="12">
        <f t="shared" si="346"/>
        <v>0</v>
      </c>
      <c r="IL568" s="12" t="s">
        <v>723</v>
      </c>
      <c r="IM568" s="12"/>
      <c r="IN568" s="12"/>
      <c r="IO568" s="12"/>
      <c r="IP568" s="12"/>
      <c r="IQ568" s="12" t="str">
        <f t="shared" si="347"/>
        <v>0. Unaware</v>
      </c>
      <c r="IR568" s="12">
        <f t="shared" si="348"/>
        <v>0</v>
      </c>
      <c r="IS568" s="12" t="s">
        <v>456</v>
      </c>
      <c r="IT568" s="12"/>
      <c r="IU568" s="12"/>
      <c r="IV568" s="12"/>
      <c r="IW568" s="11" t="str">
        <f t="shared" si="349"/>
        <v>0. Harmful</v>
      </c>
      <c r="IX568" s="12">
        <f t="shared" si="350"/>
        <v>0</v>
      </c>
      <c r="IY568" s="12" t="s">
        <v>338</v>
      </c>
      <c r="IZ568" s="12" t="s">
        <v>457</v>
      </c>
      <c r="JA568" s="12">
        <v>1</v>
      </c>
      <c r="JB568" s="12" t="s">
        <v>724</v>
      </c>
      <c r="JC568" s="12"/>
      <c r="JD568" s="12"/>
      <c r="JE568" s="12" t="s">
        <v>420</v>
      </c>
      <c r="JF568" s="12"/>
      <c r="JG568" s="12" t="s">
        <v>2285</v>
      </c>
      <c r="JH568" s="12" t="s">
        <v>3440</v>
      </c>
      <c r="JI568" s="12" t="s">
        <v>3441</v>
      </c>
      <c r="JJ568" s="12" t="s">
        <v>9481</v>
      </c>
      <c r="JK568" s="12" t="s">
        <v>9482</v>
      </c>
      <c r="JL568" s="12" t="s">
        <v>9483</v>
      </c>
      <c r="JM568" s="12"/>
      <c r="JN568" s="12" t="s">
        <v>9484</v>
      </c>
      <c r="JO568" s="12"/>
      <c r="JP568" s="15">
        <f t="shared" si="351"/>
        <v>2372</v>
      </c>
      <c r="JQ568" s="15">
        <f t="shared" si="352"/>
        <v>8935</v>
      </c>
      <c r="JR568" s="279">
        <f t="shared" si="353"/>
        <v>3.7668634064080946</v>
      </c>
      <c r="JS568" s="17">
        <f t="shared" si="354"/>
        <v>0.41020236087689715</v>
      </c>
      <c r="JT568" s="18">
        <f t="shared" si="355"/>
        <v>0.48998321208729717</v>
      </c>
      <c r="JU568" s="280">
        <f t="shared" si="356"/>
        <v>973</v>
      </c>
      <c r="JV568" s="280">
        <f t="shared" si="357"/>
        <v>4378</v>
      </c>
      <c r="JW568" s="319" t="str">
        <f t="shared" si="358"/>
        <v/>
      </c>
      <c r="JX568" s="15">
        <f t="shared" si="359"/>
        <v>0</v>
      </c>
      <c r="JY568" s="15">
        <f t="shared" si="360"/>
        <v>0</v>
      </c>
      <c r="JZ568" s="19" t="str">
        <f t="shared" si="361"/>
        <v/>
      </c>
      <c r="KA568" s="52" t="str">
        <f t="shared" si="362"/>
        <v/>
      </c>
      <c r="KB568" s="15">
        <f t="shared" si="363"/>
        <v>0</v>
      </c>
      <c r="KC568" s="15">
        <f t="shared" si="364"/>
        <v>0</v>
      </c>
      <c r="KD568" s="20" t="str">
        <f t="shared" si="365"/>
        <v/>
      </c>
      <c r="KE568" s="52" t="str">
        <f t="shared" si="366"/>
        <v/>
      </c>
      <c r="KF568" s="15">
        <f t="shared" si="367"/>
        <v>0</v>
      </c>
      <c r="KG568" s="15">
        <f t="shared" si="368"/>
        <v>0</v>
      </c>
      <c r="KH568" s="21" t="str">
        <f t="shared" si="369"/>
        <v/>
      </c>
      <c r="KI568" s="52" t="str">
        <f t="shared" si="370"/>
        <v/>
      </c>
      <c r="KJ568" s="15">
        <f t="shared" si="371"/>
        <v>0</v>
      </c>
      <c r="KK568" s="15">
        <f t="shared" si="372"/>
        <v>0</v>
      </c>
      <c r="KL568" s="19" t="str">
        <f t="shared" si="373"/>
        <v/>
      </c>
      <c r="KM568" s="52">
        <f t="shared" si="374"/>
        <v>1</v>
      </c>
      <c r="KN568" s="22">
        <f t="shared" si="375"/>
        <v>2372</v>
      </c>
      <c r="KO568" s="22">
        <f t="shared" si="376"/>
        <v>8935</v>
      </c>
      <c r="KP568" s="19">
        <f t="shared" si="377"/>
        <v>3.7668634064080946</v>
      </c>
      <c r="KQ568" s="11" t="str">
        <f t="shared" si="378"/>
        <v>0. Harmful</v>
      </c>
      <c r="KR568" s="11" t="str">
        <f t="shared" si="379"/>
        <v>0. Unaware</v>
      </c>
      <c r="KS568" s="11" t="str">
        <f t="shared" si="380"/>
        <v>0. Harmful</v>
      </c>
      <c r="KT568" s="11" t="str">
        <f t="shared" si="381"/>
        <v>It did not develop any specific innovation</v>
      </c>
      <c r="KU568" s="11" t="str">
        <f t="shared" si="382"/>
        <v>Little or no advocacy</v>
      </c>
      <c r="KV568" s="11" t="str">
        <f t="shared" si="383"/>
        <v>It did not take tested solutions to scale</v>
      </c>
      <c r="KW568" s="11" t="str">
        <f t="shared" si="384"/>
        <v>Pakistan - Lendwithcare</v>
      </c>
      <c r="KX568" s="11" t="str">
        <f t="shared" si="385"/>
        <v>Lendwithcare</v>
      </c>
      <c r="KY568" s="11" t="str">
        <f t="shared" si="386"/>
        <v>Pakistan</v>
      </c>
      <c r="KZ568" s="12">
        <v>568</v>
      </c>
    </row>
    <row r="569" spans="1:312" x14ac:dyDescent="0.3">
      <c r="A569" s="12" t="s">
        <v>9427</v>
      </c>
      <c r="B569" s="12" t="s">
        <v>306</v>
      </c>
      <c r="C569" s="12">
        <v>3248</v>
      </c>
      <c r="D569" s="12" t="s">
        <v>9504</v>
      </c>
      <c r="E569" s="277" t="str">
        <f t="shared" si="344"/>
        <v>Pakistan</v>
      </c>
      <c r="F569" s="12" t="s">
        <v>9505</v>
      </c>
      <c r="G569" s="12" t="s">
        <v>379</v>
      </c>
      <c r="H569" s="12" t="s">
        <v>383</v>
      </c>
      <c r="I569" s="12" t="s">
        <v>384</v>
      </c>
      <c r="J569" s="281" t="s">
        <v>14717</v>
      </c>
      <c r="K569" s="12"/>
      <c r="L569" s="12"/>
      <c r="M569" s="12"/>
      <c r="N569" s="12"/>
      <c r="O569" s="12"/>
      <c r="P569" s="12"/>
      <c r="Q569" s="12"/>
      <c r="R569" s="12"/>
      <c r="S569" s="12"/>
      <c r="T569" s="12"/>
      <c r="U569" s="12"/>
      <c r="V569" s="12"/>
      <c r="W569" s="12"/>
      <c r="X569" s="12"/>
      <c r="Y569" s="12"/>
      <c r="Z569" s="12"/>
      <c r="AA569" s="12"/>
      <c r="AB569" s="12"/>
      <c r="AC569" s="12"/>
      <c r="AD569" s="12"/>
      <c r="BD569" s="13">
        <v>42370</v>
      </c>
      <c r="BE569" s="13">
        <v>43465</v>
      </c>
      <c r="BF569" s="12"/>
      <c r="BG569" s="12" t="s">
        <v>490</v>
      </c>
      <c r="BH569" s="14">
        <v>3543660</v>
      </c>
      <c r="BI569" s="12" t="s">
        <v>9506</v>
      </c>
      <c r="BJ569" s="12" t="s">
        <v>354</v>
      </c>
      <c r="BK569" s="12" t="s">
        <v>9507</v>
      </c>
      <c r="BL569" s="12"/>
      <c r="BM569" s="12"/>
      <c r="BN569" s="12"/>
      <c r="BO569" s="12" t="s">
        <v>320</v>
      </c>
      <c r="BP569" s="12" t="s">
        <v>320</v>
      </c>
      <c r="BQ569" s="12" t="s">
        <v>320</v>
      </c>
      <c r="BR569" s="12" t="s">
        <v>9508</v>
      </c>
      <c r="BS569" s="12" t="s">
        <v>357</v>
      </c>
      <c r="BT569" s="12" t="s">
        <v>9509</v>
      </c>
      <c r="BU569" s="12" t="s">
        <v>9510</v>
      </c>
      <c r="BV569" s="14">
        <v>58000</v>
      </c>
      <c r="BW569" s="14">
        <v>38880</v>
      </c>
      <c r="BX569" s="14">
        <v>96880</v>
      </c>
      <c r="BY569" s="14">
        <v>406000</v>
      </c>
      <c r="BZ569" s="14">
        <v>272160</v>
      </c>
      <c r="CA569" s="14">
        <v>678160</v>
      </c>
      <c r="CB569" s="12" t="s">
        <v>9511</v>
      </c>
      <c r="CD569" s="14">
        <v>93371</v>
      </c>
      <c r="CE569" s="14">
        <v>93707</v>
      </c>
      <c r="CF569" s="14">
        <v>187078</v>
      </c>
      <c r="CG569" s="14">
        <v>7530</v>
      </c>
      <c r="CH569" s="14">
        <v>7446</v>
      </c>
      <c r="CI569" s="14">
        <v>14976</v>
      </c>
      <c r="CJ569" s="12"/>
      <c r="CK569" s="14"/>
      <c r="CL569" s="16"/>
      <c r="CM569" s="14"/>
      <c r="CN569" s="12"/>
      <c r="CO569" s="14"/>
      <c r="CP569" s="16"/>
      <c r="CQ569" s="14"/>
      <c r="CR569" s="12"/>
      <c r="CS569" s="14"/>
      <c r="CT569" s="16"/>
      <c r="CU569" s="14"/>
      <c r="CV569" s="12" t="s">
        <v>320</v>
      </c>
      <c r="CW569" s="14">
        <v>2496</v>
      </c>
      <c r="CX569" s="16">
        <v>0.5</v>
      </c>
      <c r="CY569" s="14">
        <v>14976</v>
      </c>
      <c r="CZ569" s="12"/>
      <c r="DA569" s="14"/>
      <c r="DB569" s="16"/>
      <c r="DC569" s="14"/>
      <c r="DD569" s="12"/>
      <c r="DE569" s="14"/>
      <c r="DF569" s="16"/>
      <c r="DG569" s="14"/>
      <c r="DH569" s="12"/>
      <c r="DI569" s="14"/>
      <c r="DJ569" s="16"/>
      <c r="DK569" s="14"/>
      <c r="DL569" s="12"/>
      <c r="DM569" s="14"/>
      <c r="DN569" s="16"/>
      <c r="DO569" s="14"/>
      <c r="DP569" s="12"/>
      <c r="DQ569" s="14"/>
      <c r="DR569" s="16"/>
      <c r="DS569" s="14"/>
      <c r="DT569" s="12"/>
      <c r="DU569" s="14"/>
      <c r="DV569" s="16"/>
      <c r="DW569" s="14"/>
      <c r="DX569" s="12"/>
      <c r="DY569" s="14"/>
      <c r="DZ569" s="16"/>
      <c r="EA569" s="14"/>
      <c r="EB569" s="11" t="s">
        <v>320</v>
      </c>
      <c r="EC569" s="14">
        <v>184582</v>
      </c>
      <c r="ED569" s="16">
        <v>0.5</v>
      </c>
      <c r="EE569" s="14"/>
      <c r="EF569" s="12" t="s">
        <v>9436</v>
      </c>
      <c r="EG569" s="12" t="s">
        <v>320</v>
      </c>
      <c r="EH569" s="14"/>
      <c r="EI569" s="16"/>
      <c r="EJ569" s="14"/>
      <c r="EK569" s="14"/>
      <c r="EL569" s="14"/>
      <c r="EM569" s="14">
        <v>0</v>
      </c>
      <c r="EN569" s="14"/>
      <c r="EO569" s="14"/>
      <c r="EP569" s="14">
        <v>0</v>
      </c>
      <c r="EQ569" s="12"/>
      <c r="ER569" s="14"/>
      <c r="ES569" s="16"/>
      <c r="ET569" s="14"/>
      <c r="EU569" s="12"/>
      <c r="EV569" s="14"/>
      <c r="EW569" s="16"/>
      <c r="EX569" s="14"/>
      <c r="EY569" s="12"/>
      <c r="EZ569" s="14"/>
      <c r="FA569" s="16"/>
      <c r="FB569" s="14"/>
      <c r="FC569" s="12"/>
      <c r="FD569" s="14"/>
      <c r="FE569" s="16"/>
      <c r="FF569" s="14"/>
      <c r="FG569" s="12"/>
      <c r="FH569" s="14"/>
      <c r="FI569" s="16"/>
      <c r="FJ569" s="14"/>
      <c r="FK569" s="12"/>
      <c r="FL569" s="14"/>
      <c r="FM569" s="16"/>
      <c r="FN569" s="14"/>
      <c r="FO569" s="12"/>
      <c r="FP569" s="14"/>
      <c r="FQ569" s="16"/>
      <c r="FR569" s="14"/>
      <c r="FS569" s="12"/>
      <c r="FT569" s="14"/>
      <c r="FU569" s="16"/>
      <c r="FV569" s="14"/>
      <c r="FW569" s="12"/>
      <c r="FX569" s="14"/>
      <c r="FY569" s="16"/>
      <c r="FZ569" s="14"/>
      <c r="GA569" s="12"/>
      <c r="GB569" s="14"/>
      <c r="GC569" s="16"/>
      <c r="GD569" s="14"/>
      <c r="GE569" s="12"/>
      <c r="GF569" s="14"/>
      <c r="GG569" s="16"/>
      <c r="GH569" s="14"/>
      <c r="GI569" s="12"/>
      <c r="GJ569" s="14"/>
      <c r="GK569" s="16"/>
      <c r="GL569" s="14"/>
      <c r="GM569" s="12"/>
      <c r="GN569" s="14"/>
      <c r="GO569" s="16"/>
      <c r="GP569" s="14"/>
      <c r="GQ569" s="12"/>
      <c r="GR569" s="14"/>
      <c r="GS569" s="16"/>
      <c r="GT569" s="14"/>
      <c r="GU569" s="12"/>
      <c r="GV569" s="14"/>
      <c r="GW569" s="16"/>
      <c r="GX569" s="14"/>
      <c r="GY569" s="12"/>
      <c r="GZ569" s="14"/>
      <c r="HA569" s="16"/>
      <c r="HB569" s="14"/>
      <c r="HC569" s="12"/>
      <c r="HD569" s="12"/>
      <c r="HE569" s="14"/>
      <c r="HF569" s="16"/>
      <c r="HG569" s="14"/>
      <c r="HH569" s="12" t="s">
        <v>319</v>
      </c>
      <c r="HI569" s="12"/>
      <c r="HJ569" s="12"/>
      <c r="HK569" s="12" t="s">
        <v>319</v>
      </c>
      <c r="HL569" s="12" t="s">
        <v>319</v>
      </c>
      <c r="HM569" s="12"/>
      <c r="HN569" s="12"/>
      <c r="HO569" s="12"/>
      <c r="HP569" s="12"/>
      <c r="HQ569" s="12" t="s">
        <v>319</v>
      </c>
      <c r="HR569" s="12" t="s">
        <v>319</v>
      </c>
      <c r="HS569" s="12" t="s">
        <v>319</v>
      </c>
      <c r="HT569" s="12" t="s">
        <v>319</v>
      </c>
      <c r="HU569" s="12" t="s">
        <v>319</v>
      </c>
      <c r="HV569" s="12" t="s">
        <v>319</v>
      </c>
      <c r="HW569" s="12" t="s">
        <v>319</v>
      </c>
      <c r="HX569" s="12" t="s">
        <v>319</v>
      </c>
      <c r="HY569" s="12"/>
      <c r="HZ569" s="12"/>
      <c r="IA569" s="12" t="s">
        <v>9456</v>
      </c>
      <c r="IB569" s="12"/>
      <c r="IC569" s="12" t="s">
        <v>9457</v>
      </c>
      <c r="ID569" s="12"/>
      <c r="IE569" s="12"/>
      <c r="IF569" s="12" t="s">
        <v>319</v>
      </c>
      <c r="IG569" s="12" t="s">
        <v>319</v>
      </c>
      <c r="IH569" s="12" t="s">
        <v>319</v>
      </c>
      <c r="II569" s="12" t="s">
        <v>319</v>
      </c>
      <c r="IJ569" s="12" t="str">
        <f t="shared" si="345"/>
        <v>No marker score</v>
      </c>
      <c r="IK569" s="12">
        <f t="shared" si="346"/>
        <v>0</v>
      </c>
      <c r="IL569" s="12"/>
      <c r="IM569" s="12" t="s">
        <v>319</v>
      </c>
      <c r="IN569" s="12" t="s">
        <v>319</v>
      </c>
      <c r="IO569" s="12" t="s">
        <v>319</v>
      </c>
      <c r="IP569" s="12" t="s">
        <v>319</v>
      </c>
      <c r="IQ569" s="12" t="str">
        <f t="shared" si="347"/>
        <v>No marker score</v>
      </c>
      <c r="IR569" s="12">
        <f t="shared" si="348"/>
        <v>0</v>
      </c>
      <c r="IS569" s="12"/>
      <c r="IT569" s="12" t="s">
        <v>319</v>
      </c>
      <c r="IU569" s="12" t="s">
        <v>319</v>
      </c>
      <c r="IV569" s="12" t="s">
        <v>319</v>
      </c>
      <c r="IW569" s="11" t="str">
        <f t="shared" si="349"/>
        <v>No marker score</v>
      </c>
      <c r="IX569" s="12">
        <f t="shared" si="350"/>
        <v>0</v>
      </c>
      <c r="IY569" s="12"/>
      <c r="IZ569" s="12"/>
      <c r="JA569" s="12"/>
      <c r="JB569" s="12"/>
      <c r="JC569" s="12"/>
      <c r="JD569" s="12"/>
      <c r="JE569" s="12"/>
      <c r="JF569" s="12"/>
      <c r="JG569" s="12" t="s">
        <v>9512</v>
      </c>
      <c r="JH569" s="12"/>
      <c r="JI569" s="12"/>
      <c r="JJ569" s="12"/>
      <c r="JK569" s="12"/>
      <c r="JL569" s="12"/>
      <c r="JM569" s="12"/>
      <c r="JN569" s="12" t="s">
        <v>9513</v>
      </c>
      <c r="JO569" s="12"/>
      <c r="JP569" s="15">
        <f t="shared" si="351"/>
        <v>187078</v>
      </c>
      <c r="JQ569" s="15">
        <f t="shared" si="352"/>
        <v>14976</v>
      </c>
      <c r="JR569" s="279">
        <f t="shared" si="353"/>
        <v>8.0052170752306528E-2</v>
      </c>
      <c r="JS569" s="17">
        <f t="shared" si="354"/>
        <v>0.49910197885374014</v>
      </c>
      <c r="JT569" s="18">
        <f t="shared" si="355"/>
        <v>0.50280448717948723</v>
      </c>
      <c r="JU569" s="280">
        <f t="shared" si="356"/>
        <v>93371</v>
      </c>
      <c r="JV569" s="280">
        <f t="shared" si="357"/>
        <v>7530</v>
      </c>
      <c r="JW569" s="319">
        <f t="shared" si="358"/>
        <v>1</v>
      </c>
      <c r="JX569" s="15">
        <f t="shared" si="359"/>
        <v>187078</v>
      </c>
      <c r="JY569" s="15">
        <f t="shared" si="360"/>
        <v>14976</v>
      </c>
      <c r="JZ569" s="19">
        <f t="shared" si="361"/>
        <v>8.0052170752306528E-2</v>
      </c>
      <c r="KA569" s="52">
        <f t="shared" si="362"/>
        <v>1</v>
      </c>
      <c r="KB569" s="15">
        <f t="shared" si="363"/>
        <v>2496</v>
      </c>
      <c r="KC569" s="15">
        <f t="shared" si="364"/>
        <v>14976</v>
      </c>
      <c r="KD569" s="20">
        <f t="shared" si="365"/>
        <v>6</v>
      </c>
      <c r="KE569" s="52" t="str">
        <f t="shared" si="366"/>
        <v/>
      </c>
      <c r="KF569" s="15">
        <f t="shared" si="367"/>
        <v>0</v>
      </c>
      <c r="KG569" s="15">
        <f t="shared" si="368"/>
        <v>0</v>
      </c>
      <c r="KH569" s="21" t="str">
        <f t="shared" si="369"/>
        <v/>
      </c>
      <c r="KI569" s="52" t="str">
        <f t="shared" si="370"/>
        <v/>
      </c>
      <c r="KJ569" s="15">
        <f t="shared" si="371"/>
        <v>0</v>
      </c>
      <c r="KK569" s="15">
        <f t="shared" si="372"/>
        <v>0</v>
      </c>
      <c r="KL569" s="19" t="str">
        <f t="shared" si="373"/>
        <v/>
      </c>
      <c r="KM569" s="52" t="str">
        <f t="shared" si="374"/>
        <v/>
      </c>
      <c r="KN569" s="22">
        <f t="shared" si="375"/>
        <v>0</v>
      </c>
      <c r="KO569" s="22">
        <f t="shared" si="376"/>
        <v>0</v>
      </c>
      <c r="KP569" s="19" t="str">
        <f t="shared" si="377"/>
        <v/>
      </c>
      <c r="KQ569" s="11" t="str">
        <f t="shared" si="378"/>
        <v>No marker score</v>
      </c>
      <c r="KR569" s="11" t="str">
        <f t="shared" si="379"/>
        <v>No marker score</v>
      </c>
      <c r="KS569" s="11" t="str">
        <f t="shared" si="380"/>
        <v>No marker score</v>
      </c>
      <c r="KT569" s="11">
        <f t="shared" si="381"/>
        <v>0</v>
      </c>
      <c r="KU569" s="11">
        <f t="shared" si="382"/>
        <v>0</v>
      </c>
      <c r="KV569" s="11">
        <f t="shared" si="383"/>
        <v>0</v>
      </c>
      <c r="KW569" s="11" t="str">
        <f t="shared" si="384"/>
        <v>Pakistan - SAF-PAC III Supporting Access to Family planning and Post Abortion Care (SAF-PAC)</v>
      </c>
      <c r="KX569" s="11" t="str">
        <f t="shared" si="385"/>
        <v>SAF-PAC III Supporting Access to Family planning and Post Abortion Care (SAF-PAC)</v>
      </c>
      <c r="KY569" s="11" t="str">
        <f t="shared" si="386"/>
        <v>Pakistan</v>
      </c>
      <c r="KZ569" s="12">
        <v>569</v>
      </c>
    </row>
    <row r="570" spans="1:312" x14ac:dyDescent="0.3">
      <c r="A570" s="12" t="s">
        <v>9514</v>
      </c>
      <c r="B570" s="12" t="s">
        <v>2807</v>
      </c>
      <c r="C570" s="12"/>
      <c r="D570" s="12" t="s">
        <v>3262</v>
      </c>
      <c r="E570" s="277" t="str">
        <f t="shared" si="344"/>
        <v>Panama</v>
      </c>
      <c r="F570" s="12"/>
      <c r="G570" s="12" t="s">
        <v>379</v>
      </c>
      <c r="H570" s="12" t="s">
        <v>489</v>
      </c>
      <c r="I570" s="12" t="s">
        <v>384</v>
      </c>
      <c r="J570" s="281" t="s">
        <v>14613</v>
      </c>
      <c r="K570" s="12"/>
      <c r="L570" s="12"/>
      <c r="M570" s="12"/>
      <c r="N570" s="12"/>
      <c r="O570" s="12"/>
      <c r="P570" s="12"/>
      <c r="Q570" s="12"/>
      <c r="R570" s="12"/>
      <c r="S570" s="12"/>
      <c r="T570" s="12"/>
      <c r="U570" s="12"/>
      <c r="V570" s="12"/>
      <c r="W570" s="12"/>
      <c r="X570" s="12"/>
      <c r="Y570" s="12"/>
      <c r="Z570" s="12"/>
      <c r="AA570" s="12"/>
      <c r="AB570" s="12"/>
      <c r="AC570" s="12"/>
      <c r="AD570" s="12"/>
      <c r="BD570" s="13">
        <v>41859</v>
      </c>
      <c r="BE570" s="13">
        <v>42735</v>
      </c>
      <c r="BF570" s="13">
        <v>43100</v>
      </c>
      <c r="BG570" s="12" t="s">
        <v>749</v>
      </c>
      <c r="BH570" s="14">
        <v>1127356</v>
      </c>
      <c r="BI570" s="12" t="s">
        <v>3263</v>
      </c>
      <c r="BJ570" s="12" t="s">
        <v>3264</v>
      </c>
      <c r="BK570" s="12" t="s">
        <v>3265</v>
      </c>
      <c r="BL570" s="12" t="s">
        <v>3266</v>
      </c>
      <c r="BM570" s="12" t="s">
        <v>3267</v>
      </c>
      <c r="BN570" s="12" t="s">
        <v>3268</v>
      </c>
      <c r="BO570" s="12" t="s">
        <v>319</v>
      </c>
      <c r="BP570" s="12" t="s">
        <v>320</v>
      </c>
      <c r="BQ570" s="12" t="s">
        <v>319</v>
      </c>
      <c r="BR570" s="12" t="s">
        <v>9515</v>
      </c>
      <c r="BS570" s="12" t="s">
        <v>615</v>
      </c>
      <c r="BT570" s="12" t="s">
        <v>3270</v>
      </c>
      <c r="BU570" s="12" t="s">
        <v>3271</v>
      </c>
      <c r="BV570" s="14"/>
      <c r="BW570" s="14"/>
      <c r="BX570" s="14">
        <v>195</v>
      </c>
      <c r="BY570" s="14"/>
      <c r="BZ570" s="14"/>
      <c r="CA570" s="14"/>
      <c r="CB570" s="12"/>
      <c r="CD570" s="14"/>
      <c r="CE570" s="14"/>
      <c r="CF570" s="14"/>
      <c r="CG570" s="14"/>
      <c r="CH570" s="14"/>
      <c r="CI570" s="14"/>
      <c r="CJ570" s="12"/>
      <c r="CK570" s="14"/>
      <c r="CL570" s="16"/>
      <c r="CM570" s="14"/>
      <c r="CN570" s="12"/>
      <c r="CO570" s="14"/>
      <c r="CP570" s="16"/>
      <c r="CQ570" s="14"/>
      <c r="CR570" s="12"/>
      <c r="CS570" s="14"/>
      <c r="CT570" s="16"/>
      <c r="CU570" s="14"/>
      <c r="CV570" s="12"/>
      <c r="CW570" s="14"/>
      <c r="CX570" s="16"/>
      <c r="CY570" s="14"/>
      <c r="CZ570" s="12"/>
      <c r="DA570" s="14"/>
      <c r="DB570" s="16"/>
      <c r="DC570" s="14"/>
      <c r="DD570" s="12"/>
      <c r="DE570" s="14"/>
      <c r="DF570" s="16"/>
      <c r="DG570" s="14"/>
      <c r="DH570" s="12"/>
      <c r="DI570" s="14"/>
      <c r="DJ570" s="16"/>
      <c r="DK570" s="14"/>
      <c r="DL570" s="12"/>
      <c r="DM570" s="14"/>
      <c r="DN570" s="16"/>
      <c r="DO570" s="14"/>
      <c r="DP570" s="12"/>
      <c r="DQ570" s="14"/>
      <c r="DR570" s="16"/>
      <c r="DS570" s="14"/>
      <c r="DT570" s="12"/>
      <c r="DU570" s="14"/>
      <c r="DV570" s="16"/>
      <c r="DW570" s="14"/>
      <c r="DX570" s="12"/>
      <c r="DY570" s="14"/>
      <c r="DZ570" s="16"/>
      <c r="EA570" s="14"/>
      <c r="EB570" s="12"/>
      <c r="EC570" s="14"/>
      <c r="ED570" s="16"/>
      <c r="EE570" s="14"/>
      <c r="EF570" s="12"/>
      <c r="EG570" s="12"/>
      <c r="EH570" s="14"/>
      <c r="EI570" s="16"/>
      <c r="EJ570" s="14"/>
      <c r="EK570" s="14"/>
      <c r="EL570" s="14"/>
      <c r="EM570" s="14"/>
      <c r="EN570" s="14"/>
      <c r="EO570" s="14"/>
      <c r="EP570" s="14"/>
      <c r="EQ570" s="12" t="s">
        <v>319</v>
      </c>
      <c r="ER570" s="14"/>
      <c r="ES570" s="16"/>
      <c r="ET570" s="14"/>
      <c r="EU570" s="11" t="s">
        <v>319</v>
      </c>
      <c r="EV570" s="14"/>
      <c r="EW570" s="16"/>
      <c r="EX570" s="14"/>
      <c r="EY570" s="12" t="s">
        <v>319</v>
      </c>
      <c r="EZ570" s="14"/>
      <c r="FA570" s="16"/>
      <c r="FB570" s="14"/>
      <c r="FC570" s="12" t="s">
        <v>319</v>
      </c>
      <c r="FD570" s="14"/>
      <c r="FE570" s="16"/>
      <c r="FF570" s="14"/>
      <c r="FG570" s="12" t="s">
        <v>319</v>
      </c>
      <c r="FH570" s="14"/>
      <c r="FI570" s="16"/>
      <c r="FJ570" s="14"/>
      <c r="FK570" s="12" t="s">
        <v>319</v>
      </c>
      <c r="FL570" s="14"/>
      <c r="FM570" s="16"/>
      <c r="FN570" s="14"/>
      <c r="FO570" s="12" t="s">
        <v>320</v>
      </c>
      <c r="FP570" s="14">
        <v>195</v>
      </c>
      <c r="FQ570" s="16"/>
      <c r="FR570" s="14"/>
      <c r="FS570" s="12" t="s">
        <v>319</v>
      </c>
      <c r="FT570" s="14"/>
      <c r="FU570" s="16"/>
      <c r="FV570" s="14"/>
      <c r="FW570" s="12" t="s">
        <v>319</v>
      </c>
      <c r="FX570" s="14"/>
      <c r="FY570" s="16"/>
      <c r="FZ570" s="14"/>
      <c r="GA570" s="12" t="s">
        <v>319</v>
      </c>
      <c r="GB570" s="14"/>
      <c r="GC570" s="16"/>
      <c r="GD570" s="14"/>
      <c r="GE570" s="12" t="s">
        <v>319</v>
      </c>
      <c r="GF570" s="14"/>
      <c r="GG570" s="16"/>
      <c r="GH570" s="14"/>
      <c r="GI570" s="12" t="s">
        <v>319</v>
      </c>
      <c r="GJ570" s="14"/>
      <c r="GK570" s="16"/>
      <c r="GL570" s="14"/>
      <c r="GM570" s="12" t="s">
        <v>319</v>
      </c>
      <c r="GN570" s="14"/>
      <c r="GO570" s="16"/>
      <c r="GP570" s="14"/>
      <c r="GQ570" s="12" t="s">
        <v>319</v>
      </c>
      <c r="GR570" s="14"/>
      <c r="GS570" s="16"/>
      <c r="GT570" s="14"/>
      <c r="GU570" s="12" t="s">
        <v>319</v>
      </c>
      <c r="GV570" s="14"/>
      <c r="GW570" s="16"/>
      <c r="GX570" s="14"/>
      <c r="GY570" s="12" t="s">
        <v>319</v>
      </c>
      <c r="GZ570" s="14"/>
      <c r="HA570" s="16"/>
      <c r="HB570" s="14"/>
      <c r="HC570" s="12"/>
      <c r="HD570" s="12" t="s">
        <v>319</v>
      </c>
      <c r="HE570" s="14"/>
      <c r="HF570" s="16"/>
      <c r="HG570" s="14"/>
      <c r="HH570" s="12"/>
      <c r="HI570" s="12"/>
      <c r="HJ570" s="12"/>
      <c r="HK570" s="12"/>
      <c r="HL570" s="12"/>
      <c r="HM570" s="12"/>
      <c r="HN570" s="12"/>
      <c r="HO570" s="12"/>
      <c r="HP570" s="12"/>
      <c r="HQ570" s="12"/>
      <c r="HR570" s="12"/>
      <c r="HS570" s="12"/>
      <c r="HT570" s="12"/>
      <c r="HU570" s="12"/>
      <c r="HV570" s="12"/>
      <c r="HW570" s="12"/>
      <c r="HX570" s="12"/>
      <c r="HY570" s="12"/>
      <c r="HZ570" s="12"/>
      <c r="IA570" s="12"/>
      <c r="IB570" s="12"/>
      <c r="IC570" s="12"/>
      <c r="ID570" s="12"/>
      <c r="IE570" s="12"/>
      <c r="IF570" s="12"/>
      <c r="IG570" s="12"/>
      <c r="IH570" s="12"/>
      <c r="II570" s="12"/>
      <c r="IJ570" s="12" t="str">
        <f t="shared" si="345"/>
        <v>No marker score</v>
      </c>
      <c r="IK570" s="12">
        <f t="shared" si="346"/>
        <v>0</v>
      </c>
      <c r="IL570" s="12"/>
      <c r="IM570" s="12"/>
      <c r="IN570" s="12"/>
      <c r="IO570" s="12"/>
      <c r="IP570" s="12"/>
      <c r="IQ570" s="12" t="str">
        <f t="shared" si="347"/>
        <v>No marker score</v>
      </c>
      <c r="IR570" s="12">
        <f t="shared" si="348"/>
        <v>0</v>
      </c>
      <c r="IS570" s="12"/>
      <c r="IT570" s="12"/>
      <c r="IU570" s="12"/>
      <c r="IV570" s="12"/>
      <c r="IW570" s="11" t="str">
        <f t="shared" si="349"/>
        <v>No marker score</v>
      </c>
      <c r="IX570" s="12">
        <f t="shared" si="350"/>
        <v>0</v>
      </c>
      <c r="IY570" s="12"/>
      <c r="IZ570" s="12"/>
      <c r="JA570" s="12"/>
      <c r="JB570" s="12"/>
      <c r="JC570" s="12"/>
      <c r="JD570" s="12"/>
      <c r="JE570" s="12"/>
      <c r="JF570" s="12"/>
      <c r="JG570" s="12"/>
      <c r="JH570" s="12"/>
      <c r="JI570" s="12"/>
      <c r="JJ570" s="12"/>
      <c r="JK570" s="12"/>
      <c r="JL570" s="12"/>
      <c r="JM570" s="12"/>
      <c r="JN570" s="12"/>
      <c r="JO570" s="12"/>
      <c r="JP570" s="15">
        <f t="shared" si="351"/>
        <v>0</v>
      </c>
      <c r="JQ570" s="15">
        <f t="shared" si="352"/>
        <v>0</v>
      </c>
      <c r="JR570" s="279" t="str">
        <f t="shared" si="353"/>
        <v/>
      </c>
      <c r="JS570" s="17" t="str">
        <f t="shared" si="354"/>
        <v/>
      </c>
      <c r="JT570" s="18" t="str">
        <f t="shared" si="355"/>
        <v/>
      </c>
      <c r="JU570" s="280">
        <f t="shared" si="356"/>
        <v>0</v>
      </c>
      <c r="JV570" s="280">
        <f t="shared" si="357"/>
        <v>0</v>
      </c>
      <c r="JW570" s="319" t="str">
        <f t="shared" si="358"/>
        <v/>
      </c>
      <c r="JX570" s="15">
        <f t="shared" si="359"/>
        <v>0</v>
      </c>
      <c r="JY570" s="15">
        <f t="shared" si="360"/>
        <v>0</v>
      </c>
      <c r="JZ570" s="19" t="str">
        <f t="shared" si="361"/>
        <v/>
      </c>
      <c r="KA570" s="52">
        <f t="shared" si="362"/>
        <v>1</v>
      </c>
      <c r="KB570" s="15">
        <f t="shared" si="363"/>
        <v>195</v>
      </c>
      <c r="KC570" s="15">
        <f t="shared" si="364"/>
        <v>0</v>
      </c>
      <c r="KD570" s="20">
        <f t="shared" si="365"/>
        <v>0</v>
      </c>
      <c r="KE570" s="52" t="str">
        <f t="shared" si="366"/>
        <v/>
      </c>
      <c r="KF570" s="15">
        <f t="shared" si="367"/>
        <v>0</v>
      </c>
      <c r="KG570" s="15">
        <f t="shared" si="368"/>
        <v>0</v>
      </c>
      <c r="KH570" s="21" t="str">
        <f t="shared" si="369"/>
        <v/>
      </c>
      <c r="KI570" s="52" t="str">
        <f t="shared" si="370"/>
        <v/>
      </c>
      <c r="KJ570" s="15">
        <f t="shared" si="371"/>
        <v>0</v>
      </c>
      <c r="KK570" s="15">
        <f t="shared" si="372"/>
        <v>0</v>
      </c>
      <c r="KL570" s="19" t="str">
        <f t="shared" si="373"/>
        <v/>
      </c>
      <c r="KM570" s="52" t="str">
        <f t="shared" si="374"/>
        <v/>
      </c>
      <c r="KN570" s="22">
        <f t="shared" si="375"/>
        <v>0</v>
      </c>
      <c r="KO570" s="22">
        <f t="shared" si="376"/>
        <v>0</v>
      </c>
      <c r="KP570" s="19" t="str">
        <f t="shared" si="377"/>
        <v/>
      </c>
      <c r="KQ570" s="11" t="str">
        <f t="shared" si="378"/>
        <v>No marker score</v>
      </c>
      <c r="KR570" s="11" t="str">
        <f t="shared" si="379"/>
        <v>No marker score</v>
      </c>
      <c r="KS570" s="11" t="str">
        <f t="shared" si="380"/>
        <v>No marker score</v>
      </c>
      <c r="KT570" s="11">
        <f t="shared" si="381"/>
        <v>0</v>
      </c>
      <c r="KU570" s="11">
        <f t="shared" si="382"/>
        <v>0</v>
      </c>
      <c r="KV570" s="11">
        <f t="shared" si="383"/>
        <v>0</v>
      </c>
      <c r="KW570" s="11" t="str">
        <f t="shared" si="384"/>
        <v>Panama - Amway Nutrilite Little Bits</v>
      </c>
      <c r="KX570" s="11" t="str">
        <f t="shared" si="385"/>
        <v>Amway Nutrilite Little Bits</v>
      </c>
      <c r="KY570" s="11" t="str">
        <f t="shared" si="386"/>
        <v>Panama</v>
      </c>
      <c r="KZ570" s="12">
        <v>570</v>
      </c>
    </row>
    <row r="571" spans="1:312" x14ac:dyDescent="0.3">
      <c r="A571" s="12" t="s">
        <v>9516</v>
      </c>
      <c r="B571" s="12" t="s">
        <v>306</v>
      </c>
      <c r="C571" s="12"/>
      <c r="D571" s="12" t="s">
        <v>9517</v>
      </c>
      <c r="E571" s="277" t="str">
        <f t="shared" si="344"/>
        <v>Papua New Guinea</v>
      </c>
      <c r="F571" s="12"/>
      <c r="G571" s="12" t="s">
        <v>309</v>
      </c>
      <c r="H571" s="12" t="s">
        <v>310</v>
      </c>
      <c r="I571" s="12" t="s">
        <v>311</v>
      </c>
      <c r="J571" s="281" t="s">
        <v>14565</v>
      </c>
      <c r="K571" s="12"/>
      <c r="L571" s="12" t="s">
        <v>309</v>
      </c>
      <c r="M571" s="12" t="s">
        <v>554</v>
      </c>
      <c r="N571" s="12" t="s">
        <v>384</v>
      </c>
      <c r="O571" s="12" t="s">
        <v>9518</v>
      </c>
      <c r="P571" s="12"/>
      <c r="Q571" s="12"/>
      <c r="R571" s="12"/>
      <c r="S571" s="12"/>
      <c r="T571" s="12"/>
      <c r="U571" s="12"/>
      <c r="V571" s="12"/>
      <c r="W571" s="12"/>
      <c r="X571" s="12"/>
      <c r="Y571" s="12"/>
      <c r="Z571" s="12"/>
      <c r="AA571" s="12"/>
      <c r="AB571" s="12"/>
      <c r="AC571" s="12"/>
      <c r="AD571" s="12"/>
      <c r="BD571" s="13">
        <v>42552</v>
      </c>
      <c r="BE571" s="13">
        <v>43646</v>
      </c>
      <c r="BF571" s="13">
        <v>44042</v>
      </c>
      <c r="BG571" s="12" t="s">
        <v>312</v>
      </c>
      <c r="BH571" s="14">
        <v>1074490</v>
      </c>
      <c r="BI571" s="12" t="s">
        <v>9519</v>
      </c>
      <c r="BJ571" s="12" t="s">
        <v>9520</v>
      </c>
      <c r="BK571" s="12" t="s">
        <v>9521</v>
      </c>
      <c r="BL571" s="12" t="s">
        <v>9522</v>
      </c>
      <c r="BM571" s="12" t="s">
        <v>9523</v>
      </c>
      <c r="BN571" s="12" t="s">
        <v>9524</v>
      </c>
      <c r="BO571" s="11" t="s">
        <v>319</v>
      </c>
      <c r="BP571" s="11" t="s">
        <v>320</v>
      </c>
      <c r="BQ571" s="11" t="s">
        <v>319</v>
      </c>
      <c r="BR571" s="12" t="s">
        <v>9525</v>
      </c>
      <c r="BS571" s="12" t="s">
        <v>357</v>
      </c>
      <c r="BT571" s="12" t="s">
        <v>9526</v>
      </c>
      <c r="BU571" s="12" t="s">
        <v>9527</v>
      </c>
      <c r="BV571" s="14">
        <v>8460</v>
      </c>
      <c r="BW571" s="14">
        <v>9140</v>
      </c>
      <c r="BX571" s="14">
        <v>17600</v>
      </c>
      <c r="BY571" s="14">
        <v>37798</v>
      </c>
      <c r="BZ571" s="14">
        <v>40306</v>
      </c>
      <c r="CA571" s="14">
        <v>78104</v>
      </c>
      <c r="CB571" s="12" t="s">
        <v>9528</v>
      </c>
      <c r="CD571" s="14"/>
      <c r="CE571" s="14"/>
      <c r="CF571" s="14"/>
      <c r="CG571" s="14"/>
      <c r="CH571" s="14"/>
      <c r="CI571" s="14"/>
      <c r="CJ571" s="12"/>
      <c r="CK571" s="14"/>
      <c r="CL571" s="16"/>
      <c r="CM571" s="14"/>
      <c r="CN571" s="12"/>
      <c r="CO571" s="14"/>
      <c r="CP571" s="16"/>
      <c r="CQ571" s="14"/>
      <c r="CR571" s="12"/>
      <c r="CS571" s="14"/>
      <c r="CT571" s="16"/>
      <c r="CU571" s="14"/>
      <c r="CV571" s="12"/>
      <c r="CW571" s="14"/>
      <c r="CX571" s="16"/>
      <c r="CY571" s="14"/>
      <c r="CZ571" s="12"/>
      <c r="DA571" s="14"/>
      <c r="DB571" s="16"/>
      <c r="DC571" s="14"/>
      <c r="DD571" s="12"/>
      <c r="DE571" s="14"/>
      <c r="DF571" s="16"/>
      <c r="DG571" s="14"/>
      <c r="DH571" s="12"/>
      <c r="DI571" s="14"/>
      <c r="DJ571" s="16"/>
      <c r="DK571" s="14"/>
      <c r="DL571" s="12"/>
      <c r="DM571" s="14"/>
      <c r="DN571" s="16"/>
      <c r="DO571" s="14"/>
      <c r="DP571" s="12"/>
      <c r="DQ571" s="14"/>
      <c r="DR571" s="16"/>
      <c r="DS571" s="14"/>
      <c r="DT571" s="12"/>
      <c r="DU571" s="14"/>
      <c r="DV571" s="16"/>
      <c r="DW571" s="14"/>
      <c r="DX571" s="12"/>
      <c r="DY571" s="14"/>
      <c r="DZ571" s="16"/>
      <c r="EA571" s="14"/>
      <c r="EB571" s="12"/>
      <c r="EC571" s="14"/>
      <c r="ED571" s="16"/>
      <c r="EE571" s="14"/>
      <c r="EF571" s="12"/>
      <c r="EG571" s="12"/>
      <c r="EH571" s="14"/>
      <c r="EI571" s="16"/>
      <c r="EJ571" s="14"/>
      <c r="EK571" s="14">
        <v>2038</v>
      </c>
      <c r="EL571" s="14">
        <v>2398</v>
      </c>
      <c r="EM571" s="14">
        <v>4436</v>
      </c>
      <c r="EN571" s="14">
        <v>74477</v>
      </c>
      <c r="EO571" s="14">
        <v>80214</v>
      </c>
      <c r="EP571" s="14">
        <v>154691</v>
      </c>
      <c r="EQ571" s="12"/>
      <c r="ER571" s="14"/>
      <c r="ES571" s="16"/>
      <c r="ET571" s="14"/>
      <c r="EU571" s="12"/>
      <c r="EV571" s="14"/>
      <c r="EW571" s="16"/>
      <c r="EX571" s="14"/>
      <c r="EY571" s="12"/>
      <c r="EZ571" s="14"/>
      <c r="FA571" s="16"/>
      <c r="FB571" s="14"/>
      <c r="FC571" s="12"/>
      <c r="FD571" s="14"/>
      <c r="FE571" s="16"/>
      <c r="FF571" s="14"/>
      <c r="FG571" s="12"/>
      <c r="FH571" s="14"/>
      <c r="FI571" s="16"/>
      <c r="FJ571" s="14"/>
      <c r="FK571" s="12" t="s">
        <v>320</v>
      </c>
      <c r="FL571" s="14">
        <v>4436</v>
      </c>
      <c r="FM571" s="16">
        <v>0.46</v>
      </c>
      <c r="FN571" s="14">
        <v>154691</v>
      </c>
      <c r="FO571" s="12"/>
      <c r="FP571" s="14"/>
      <c r="FQ571" s="16"/>
      <c r="FR571" s="14"/>
      <c r="FS571" s="12"/>
      <c r="FT571" s="14"/>
      <c r="FU571" s="16"/>
      <c r="FV571" s="14"/>
      <c r="FW571" s="12"/>
      <c r="FX571" s="14"/>
      <c r="FY571" s="16"/>
      <c r="FZ571" s="14"/>
      <c r="GA571" s="12"/>
      <c r="GB571" s="14"/>
      <c r="GC571" s="16"/>
      <c r="GD571" s="14"/>
      <c r="GE571" s="12"/>
      <c r="GF571" s="14"/>
      <c r="GG571" s="16"/>
      <c r="GH571" s="14"/>
      <c r="GI571" s="12"/>
      <c r="GJ571" s="14"/>
      <c r="GK571" s="16"/>
      <c r="GL571" s="14"/>
      <c r="GM571" s="12"/>
      <c r="GN571" s="14"/>
      <c r="GO571" s="16"/>
      <c r="GP571" s="14"/>
      <c r="GQ571" s="12"/>
      <c r="GR571" s="14"/>
      <c r="GS571" s="16"/>
      <c r="GT571" s="14"/>
      <c r="GU571" s="12"/>
      <c r="GV571" s="14"/>
      <c r="GW571" s="16"/>
      <c r="GX571" s="14"/>
      <c r="GY571" s="12"/>
      <c r="GZ571" s="14"/>
      <c r="HA571" s="16"/>
      <c r="HB571" s="14"/>
      <c r="HC571" s="12"/>
      <c r="HD571" s="12"/>
      <c r="HE571" s="14"/>
      <c r="HF571" s="16"/>
      <c r="HG571" s="14"/>
      <c r="HH571" s="12" t="s">
        <v>319</v>
      </c>
      <c r="HI571" s="12"/>
      <c r="HJ571" s="12"/>
      <c r="HK571" s="12"/>
      <c r="HL571" s="12" t="s">
        <v>319</v>
      </c>
      <c r="HM571" s="12"/>
      <c r="HN571" s="12"/>
      <c r="HO571" s="12" t="s">
        <v>9529</v>
      </c>
      <c r="HP571" s="12" t="s">
        <v>330</v>
      </c>
      <c r="HQ571" s="12"/>
      <c r="HR571" s="12"/>
      <c r="HS571" s="12"/>
      <c r="HT571" s="12" t="s">
        <v>320</v>
      </c>
      <c r="HU571" s="12" t="s">
        <v>320</v>
      </c>
      <c r="HV571" s="12"/>
      <c r="HW571" s="12" t="s">
        <v>320</v>
      </c>
      <c r="HX571" s="12"/>
      <c r="HY571" s="12"/>
      <c r="HZ571" s="12" t="s">
        <v>394</v>
      </c>
      <c r="IA571" s="12" t="s">
        <v>9530</v>
      </c>
      <c r="IB571" s="12" t="s">
        <v>333</v>
      </c>
      <c r="IC571" s="12"/>
      <c r="ID571" s="12" t="s">
        <v>334</v>
      </c>
      <c r="IE571" s="12" t="s">
        <v>478</v>
      </c>
      <c r="IF571" s="12" t="s">
        <v>320</v>
      </c>
      <c r="IG571" s="12" t="s">
        <v>320</v>
      </c>
      <c r="IH571" s="12" t="s">
        <v>319</v>
      </c>
      <c r="II571" s="12" t="s">
        <v>320</v>
      </c>
      <c r="IJ571" s="12" t="str">
        <f t="shared" si="345"/>
        <v>3. Responsive</v>
      </c>
      <c r="IK571" s="12">
        <f t="shared" si="346"/>
        <v>3</v>
      </c>
      <c r="IL571" s="12" t="s">
        <v>336</v>
      </c>
      <c r="IM571" s="12" t="s">
        <v>320</v>
      </c>
      <c r="IN571" s="12" t="s">
        <v>320</v>
      </c>
      <c r="IO571" s="12" t="s">
        <v>319</v>
      </c>
      <c r="IP571" s="12" t="s">
        <v>320</v>
      </c>
      <c r="IQ571" s="12" t="str">
        <f t="shared" si="347"/>
        <v>2. Accommodating</v>
      </c>
      <c r="IR571" s="12">
        <f t="shared" si="348"/>
        <v>3</v>
      </c>
      <c r="IS571" s="12" t="s">
        <v>337</v>
      </c>
      <c r="IT571" s="12" t="s">
        <v>320</v>
      </c>
      <c r="IU571" s="12" t="s">
        <v>319</v>
      </c>
      <c r="IV571" s="12" t="s">
        <v>320</v>
      </c>
      <c r="IW571" s="11" t="str">
        <f t="shared" si="349"/>
        <v>1. Neutral</v>
      </c>
      <c r="IX571" s="12">
        <f t="shared" si="350"/>
        <v>2</v>
      </c>
      <c r="IY571" s="12" t="s">
        <v>338</v>
      </c>
      <c r="IZ571" s="12" t="s">
        <v>527</v>
      </c>
      <c r="JA571" s="12">
        <v>3</v>
      </c>
      <c r="JB571" s="12" t="s">
        <v>687</v>
      </c>
      <c r="JC571" s="12"/>
      <c r="JD571" s="12"/>
      <c r="JE571" s="12" t="s">
        <v>420</v>
      </c>
      <c r="JF571" s="12"/>
      <c r="JG571" s="12" t="s">
        <v>9531</v>
      </c>
      <c r="JH571" s="12" t="s">
        <v>9532</v>
      </c>
      <c r="JI571" s="12" t="s">
        <v>9533</v>
      </c>
      <c r="JJ571" s="12" t="s">
        <v>9534</v>
      </c>
      <c r="JK571" s="12" t="s">
        <v>9535</v>
      </c>
      <c r="JL571" s="12" t="s">
        <v>9536</v>
      </c>
      <c r="JM571" s="12" t="s">
        <v>9537</v>
      </c>
      <c r="JN571" s="12" t="s">
        <v>9538</v>
      </c>
      <c r="JO571" s="12"/>
      <c r="JP571" s="15">
        <f t="shared" si="351"/>
        <v>4436</v>
      </c>
      <c r="JQ571" s="15">
        <f t="shared" si="352"/>
        <v>154691</v>
      </c>
      <c r="JR571" s="279">
        <f t="shared" si="353"/>
        <v>34.871731289449954</v>
      </c>
      <c r="JS571" s="17">
        <f t="shared" si="354"/>
        <v>0.45942290351668169</v>
      </c>
      <c r="JT571" s="18">
        <f t="shared" si="355"/>
        <v>0.48145658118442575</v>
      </c>
      <c r="JU571" s="280">
        <f t="shared" si="356"/>
        <v>2038</v>
      </c>
      <c r="JV571" s="280">
        <f t="shared" si="357"/>
        <v>74477</v>
      </c>
      <c r="JW571" s="319" t="str">
        <f t="shared" si="358"/>
        <v/>
      </c>
      <c r="JX571" s="15">
        <f t="shared" si="359"/>
        <v>0</v>
      </c>
      <c r="JY571" s="15">
        <f t="shared" si="360"/>
        <v>0</v>
      </c>
      <c r="JZ571" s="19" t="str">
        <f t="shared" si="361"/>
        <v/>
      </c>
      <c r="KA571" s="52" t="str">
        <f t="shared" si="362"/>
        <v/>
      </c>
      <c r="KB571" s="15">
        <f t="shared" si="363"/>
        <v>0</v>
      </c>
      <c r="KC571" s="15">
        <f t="shared" si="364"/>
        <v>0</v>
      </c>
      <c r="KD571" s="20" t="str">
        <f t="shared" si="365"/>
        <v/>
      </c>
      <c r="KE571" s="52" t="str">
        <f t="shared" si="366"/>
        <v/>
      </c>
      <c r="KF571" s="15">
        <f t="shared" si="367"/>
        <v>0</v>
      </c>
      <c r="KG571" s="15">
        <f t="shared" si="368"/>
        <v>0</v>
      </c>
      <c r="KH571" s="21" t="str">
        <f t="shared" si="369"/>
        <v/>
      </c>
      <c r="KI571" s="52" t="str">
        <f t="shared" si="370"/>
        <v/>
      </c>
      <c r="KJ571" s="15">
        <f t="shared" si="371"/>
        <v>0</v>
      </c>
      <c r="KK571" s="15">
        <f t="shared" si="372"/>
        <v>0</v>
      </c>
      <c r="KL571" s="19" t="str">
        <f t="shared" si="373"/>
        <v/>
      </c>
      <c r="KM571" s="52" t="str">
        <f t="shared" si="374"/>
        <v/>
      </c>
      <c r="KN571" s="22">
        <f t="shared" si="375"/>
        <v>0</v>
      </c>
      <c r="KO571" s="22">
        <f t="shared" si="376"/>
        <v>0</v>
      </c>
      <c r="KP571" s="19" t="str">
        <f t="shared" si="377"/>
        <v/>
      </c>
      <c r="KQ571" s="11" t="str">
        <f t="shared" si="378"/>
        <v>3. Responsive</v>
      </c>
      <c r="KR571" s="11" t="str">
        <f t="shared" si="379"/>
        <v>2. Accommodating</v>
      </c>
      <c r="KS571" s="11" t="str">
        <f t="shared" si="380"/>
        <v>1. Neutral</v>
      </c>
      <c r="KT571" s="11" t="str">
        <f t="shared" si="381"/>
        <v>It tested new ways for fighting poverty, but did not measure results of innovation</v>
      </c>
      <c r="KU571" s="11" t="str">
        <f t="shared" si="382"/>
        <v>Moderate advocacy</v>
      </c>
      <c r="KV571" s="11" t="str">
        <f t="shared" si="383"/>
        <v>It did not take tested solutions to scale</v>
      </c>
      <c r="KW571" s="11" t="str">
        <f t="shared" si="384"/>
        <v>Papua New Guinea - Better Governance for Education Project</v>
      </c>
      <c r="KX571" s="11" t="str">
        <f t="shared" si="385"/>
        <v>Better Governance for Education Project</v>
      </c>
      <c r="KY571" s="11" t="str">
        <f t="shared" si="386"/>
        <v>Papua New Guinea</v>
      </c>
      <c r="KZ571" s="12">
        <v>571</v>
      </c>
    </row>
    <row r="572" spans="1:312" x14ac:dyDescent="0.3">
      <c r="A572" s="12" t="s">
        <v>9516</v>
      </c>
      <c r="B572" s="12" t="s">
        <v>306</v>
      </c>
      <c r="C572" s="12">
        <v>3291</v>
      </c>
      <c r="D572" s="12" t="s">
        <v>9539</v>
      </c>
      <c r="E572" s="277" t="str">
        <f t="shared" si="344"/>
        <v>Papua New Guinea</v>
      </c>
      <c r="F572" s="12"/>
      <c r="G572" s="12" t="s">
        <v>309</v>
      </c>
      <c r="H572" s="12" t="s">
        <v>310</v>
      </c>
      <c r="I572" s="12"/>
      <c r="J572" s="281" t="s">
        <v>9540</v>
      </c>
      <c r="K572" s="12"/>
      <c r="L572" s="12"/>
      <c r="M572" s="12"/>
      <c r="N572" s="12"/>
      <c r="O572" s="12"/>
      <c r="P572" s="12"/>
      <c r="Q572" s="12"/>
      <c r="R572" s="12"/>
      <c r="S572" s="12"/>
      <c r="T572" s="12"/>
      <c r="U572" s="12"/>
      <c r="V572" s="12"/>
      <c r="W572" s="12"/>
      <c r="X572" s="12"/>
      <c r="Y572" s="12"/>
      <c r="Z572" s="12"/>
      <c r="AA572" s="12"/>
      <c r="AB572" s="12"/>
      <c r="AC572" s="12"/>
      <c r="AD572" s="12"/>
      <c r="BD572" s="13">
        <v>42449</v>
      </c>
      <c r="BE572" s="13">
        <v>43861</v>
      </c>
      <c r="BF572" s="12"/>
      <c r="BG572" s="12" t="s">
        <v>350</v>
      </c>
      <c r="BH572" s="14">
        <v>1138280</v>
      </c>
      <c r="BI572" s="12" t="s">
        <v>9541</v>
      </c>
      <c r="BJ572" s="12" t="s">
        <v>6617</v>
      </c>
      <c r="BK572" s="12" t="s">
        <v>9542</v>
      </c>
      <c r="BL572" s="12"/>
      <c r="BM572" s="12"/>
      <c r="BN572" s="12"/>
      <c r="BO572" s="12" t="s">
        <v>319</v>
      </c>
      <c r="BP572" s="12" t="s">
        <v>320</v>
      </c>
      <c r="BQ572" s="12" t="s">
        <v>319</v>
      </c>
      <c r="BR572" s="12" t="s">
        <v>9543</v>
      </c>
      <c r="BS572" s="12" t="s">
        <v>357</v>
      </c>
      <c r="BT572" s="12" t="s">
        <v>9544</v>
      </c>
      <c r="BU572" s="12" t="s">
        <v>9545</v>
      </c>
      <c r="BV572" s="14">
        <v>6000</v>
      </c>
      <c r="BW572" s="14">
        <v>6000</v>
      </c>
      <c r="BX572" s="14">
        <v>12000</v>
      </c>
      <c r="BY572" s="14">
        <v>6000</v>
      </c>
      <c r="BZ572" s="14">
        <v>6000</v>
      </c>
      <c r="CA572" s="14">
        <v>12000</v>
      </c>
      <c r="CB572" s="12" t="s">
        <v>9546</v>
      </c>
      <c r="CD572" s="14"/>
      <c r="CE572" s="14"/>
      <c r="CF572" s="14"/>
      <c r="CG572" s="14"/>
      <c r="CH572" s="14"/>
      <c r="CI572" s="14"/>
      <c r="CJ572" s="12"/>
      <c r="CK572" s="14"/>
      <c r="CL572" s="16"/>
      <c r="CM572" s="14"/>
      <c r="CN572" s="12"/>
      <c r="CO572" s="14"/>
      <c r="CP572" s="16"/>
      <c r="CQ572" s="14"/>
      <c r="CR572" s="12"/>
      <c r="CS572" s="14"/>
      <c r="CT572" s="16"/>
      <c r="CU572" s="14"/>
      <c r="CV572" s="12"/>
      <c r="CW572" s="14"/>
      <c r="CX572" s="16"/>
      <c r="CY572" s="14"/>
      <c r="CZ572" s="12"/>
      <c r="DA572" s="14"/>
      <c r="DB572" s="16"/>
      <c r="DC572" s="14"/>
      <c r="DD572" s="12"/>
      <c r="DE572" s="14"/>
      <c r="DF572" s="16"/>
      <c r="DG572" s="14"/>
      <c r="DH572" s="12"/>
      <c r="DI572" s="14"/>
      <c r="DJ572" s="16"/>
      <c r="DK572" s="14"/>
      <c r="DL572" s="12"/>
      <c r="DM572" s="14"/>
      <c r="DN572" s="16"/>
      <c r="DO572" s="14"/>
      <c r="DP572" s="12"/>
      <c r="DQ572" s="14"/>
      <c r="DR572" s="16"/>
      <c r="DS572" s="14"/>
      <c r="DT572" s="12"/>
      <c r="DU572" s="14"/>
      <c r="DV572" s="16"/>
      <c r="DW572" s="14"/>
      <c r="DX572" s="12"/>
      <c r="DY572" s="14"/>
      <c r="DZ572" s="16"/>
      <c r="EA572" s="14"/>
      <c r="EB572" s="12"/>
      <c r="EC572" s="14"/>
      <c r="ED572" s="16"/>
      <c r="EE572" s="14"/>
      <c r="EF572" s="12"/>
      <c r="EG572" s="12"/>
      <c r="EH572" s="14"/>
      <c r="EI572" s="16"/>
      <c r="EJ572" s="14"/>
      <c r="EK572" s="14">
        <v>1387</v>
      </c>
      <c r="EL572" s="14">
        <v>1471</v>
      </c>
      <c r="EM572" s="14">
        <v>2858</v>
      </c>
      <c r="EN572" s="14">
        <v>2000</v>
      </c>
      <c r="EO572" s="14">
        <v>2000</v>
      </c>
      <c r="EP572" s="14">
        <v>4000</v>
      </c>
      <c r="EQ572" s="12" t="s">
        <v>320</v>
      </c>
      <c r="ER572" s="14">
        <v>2858</v>
      </c>
      <c r="ES572" s="16">
        <v>0.94279999999999997</v>
      </c>
      <c r="ET572" s="14">
        <v>2000</v>
      </c>
      <c r="EU572" s="12"/>
      <c r="EV572" s="14"/>
      <c r="EW572" s="16"/>
      <c r="EX572" s="14"/>
      <c r="EY572" s="12" t="s">
        <v>319</v>
      </c>
      <c r="EZ572" s="14"/>
      <c r="FA572" s="16"/>
      <c r="FB572" s="14"/>
      <c r="FC572" s="12"/>
      <c r="FD572" s="14"/>
      <c r="FE572" s="16"/>
      <c r="FF572" s="14"/>
      <c r="FG572" s="12" t="s">
        <v>320</v>
      </c>
      <c r="FH572" s="14"/>
      <c r="FI572" s="16"/>
      <c r="FJ572" s="14"/>
      <c r="FK572" s="12"/>
      <c r="FL572" s="14"/>
      <c r="FM572" s="16"/>
      <c r="FN572" s="14"/>
      <c r="FO572" s="12"/>
      <c r="FP572" s="14"/>
      <c r="FQ572" s="16"/>
      <c r="FR572" s="14"/>
      <c r="FS572" s="12"/>
      <c r="FT572" s="14"/>
      <c r="FU572" s="16"/>
      <c r="FV572" s="14"/>
      <c r="FW572" s="12" t="s">
        <v>320</v>
      </c>
      <c r="FX572" s="14"/>
      <c r="FY572" s="16"/>
      <c r="FZ572" s="14"/>
      <c r="GA572" s="12"/>
      <c r="GB572" s="14"/>
      <c r="GC572" s="16"/>
      <c r="GD572" s="14"/>
      <c r="GE572" s="12"/>
      <c r="GF572" s="14"/>
      <c r="GG572" s="16"/>
      <c r="GH572" s="14"/>
      <c r="GI572" s="12"/>
      <c r="GJ572" s="14"/>
      <c r="GK572" s="16"/>
      <c r="GL572" s="14"/>
      <c r="GM572" s="12"/>
      <c r="GN572" s="14"/>
      <c r="GO572" s="16"/>
      <c r="GP572" s="14"/>
      <c r="GQ572" s="12"/>
      <c r="GR572" s="14"/>
      <c r="GS572" s="16"/>
      <c r="GT572" s="14"/>
      <c r="GU572" s="12"/>
      <c r="GV572" s="14"/>
      <c r="GW572" s="16"/>
      <c r="GX572" s="14"/>
      <c r="GY572" s="11" t="s">
        <v>320</v>
      </c>
      <c r="GZ572" s="14">
        <v>2858</v>
      </c>
      <c r="HA572" s="16">
        <v>0.94</v>
      </c>
      <c r="HB572" s="14">
        <v>2000</v>
      </c>
      <c r="HC572" s="12"/>
      <c r="HD572" s="12"/>
      <c r="HE572" s="14"/>
      <c r="HF572" s="16"/>
      <c r="HG572" s="14"/>
      <c r="HH572" s="12" t="s">
        <v>320</v>
      </c>
      <c r="HI572" s="12" t="s">
        <v>451</v>
      </c>
      <c r="HJ572" s="12">
        <v>2017</v>
      </c>
      <c r="HK572" s="12" t="s">
        <v>320</v>
      </c>
      <c r="HL572" s="12" t="s">
        <v>320</v>
      </c>
      <c r="HM572" s="12" t="s">
        <v>451</v>
      </c>
      <c r="HN572" s="12">
        <v>2018</v>
      </c>
      <c r="HO572" s="12" t="s">
        <v>9547</v>
      </c>
      <c r="HP572" s="12" t="s">
        <v>453</v>
      </c>
      <c r="HQ572" s="12"/>
      <c r="HR572" s="12"/>
      <c r="HS572" s="12" t="s">
        <v>320</v>
      </c>
      <c r="HT572" s="12"/>
      <c r="HU572" s="12"/>
      <c r="HV572" s="12"/>
      <c r="HW572" s="12"/>
      <c r="HX572" s="12"/>
      <c r="HY572" s="12"/>
      <c r="HZ572" s="12" t="s">
        <v>331</v>
      </c>
      <c r="IA572" s="12"/>
      <c r="IB572" s="12"/>
      <c r="IC572" s="12"/>
      <c r="ID572" s="12"/>
      <c r="IE572" s="12"/>
      <c r="IF572" s="12"/>
      <c r="IG572" s="12"/>
      <c r="IH572" s="12"/>
      <c r="II572" s="12"/>
      <c r="IJ572" s="12" t="str">
        <f t="shared" si="345"/>
        <v>No marker score</v>
      </c>
      <c r="IK572" s="12">
        <f t="shared" si="346"/>
        <v>0</v>
      </c>
      <c r="IL572" s="12"/>
      <c r="IM572" s="12"/>
      <c r="IN572" s="12"/>
      <c r="IO572" s="12"/>
      <c r="IP572" s="12"/>
      <c r="IQ572" s="12" t="str">
        <f t="shared" si="347"/>
        <v>No marker score</v>
      </c>
      <c r="IR572" s="12">
        <f t="shared" si="348"/>
        <v>0</v>
      </c>
      <c r="IS572" s="12"/>
      <c r="IT572" s="12"/>
      <c r="IU572" s="12"/>
      <c r="IV572" s="12"/>
      <c r="IW572" s="11" t="str">
        <f t="shared" si="349"/>
        <v>No marker score</v>
      </c>
      <c r="IX572" s="12">
        <f t="shared" si="350"/>
        <v>0</v>
      </c>
      <c r="IY572" s="12"/>
      <c r="IZ572" s="12" t="s">
        <v>339</v>
      </c>
      <c r="JA572" s="12"/>
      <c r="JB572" s="12"/>
      <c r="JC572" s="12"/>
      <c r="JD572" s="12"/>
      <c r="JE572" s="12" t="s">
        <v>420</v>
      </c>
      <c r="JF572" s="12"/>
      <c r="JG572" s="12"/>
      <c r="JH572" s="12" t="s">
        <v>9548</v>
      </c>
      <c r="JI572" s="12" t="s">
        <v>9549</v>
      </c>
      <c r="JJ572" s="12" t="s">
        <v>9550</v>
      </c>
      <c r="JK572" s="12" t="s">
        <v>9551</v>
      </c>
      <c r="JL572" s="12" t="s">
        <v>9552</v>
      </c>
      <c r="JM572" s="12" t="s">
        <v>9553</v>
      </c>
      <c r="JN572" s="12"/>
      <c r="JO572" s="12" t="s">
        <v>9554</v>
      </c>
      <c r="JP572" s="15">
        <f t="shared" si="351"/>
        <v>2858</v>
      </c>
      <c r="JQ572" s="15">
        <f t="shared" si="352"/>
        <v>4000</v>
      </c>
      <c r="JR572" s="279">
        <f t="shared" si="353"/>
        <v>1.3995801259622114</v>
      </c>
      <c r="JS572" s="17">
        <f t="shared" si="354"/>
        <v>0.48530440867739677</v>
      </c>
      <c r="JT572" s="18">
        <f t="shared" si="355"/>
        <v>0.5</v>
      </c>
      <c r="JU572" s="280">
        <f t="shared" si="356"/>
        <v>1387</v>
      </c>
      <c r="JV572" s="280">
        <f t="shared" si="357"/>
        <v>2000</v>
      </c>
      <c r="JW572" s="319" t="str">
        <f t="shared" si="358"/>
        <v/>
      </c>
      <c r="JX572" s="15">
        <f t="shared" si="359"/>
        <v>0</v>
      </c>
      <c r="JY572" s="15">
        <f t="shared" si="360"/>
        <v>0</v>
      </c>
      <c r="JZ572" s="19" t="str">
        <f t="shared" si="361"/>
        <v/>
      </c>
      <c r="KA572" s="52">
        <f t="shared" si="362"/>
        <v>1</v>
      </c>
      <c r="KB572" s="15">
        <f t="shared" si="363"/>
        <v>2858</v>
      </c>
      <c r="KC572" s="15">
        <f t="shared" si="364"/>
        <v>2000</v>
      </c>
      <c r="KD572" s="20">
        <f t="shared" si="365"/>
        <v>0.69979006298110569</v>
      </c>
      <c r="KE572" s="52" t="str">
        <f t="shared" si="366"/>
        <v/>
      </c>
      <c r="KF572" s="15">
        <f t="shared" si="367"/>
        <v>0</v>
      </c>
      <c r="KG572" s="15">
        <f t="shared" si="368"/>
        <v>0</v>
      </c>
      <c r="KH572" s="21" t="str">
        <f t="shared" si="369"/>
        <v/>
      </c>
      <c r="KI572" s="52" t="str">
        <f t="shared" si="370"/>
        <v/>
      </c>
      <c r="KJ572" s="15">
        <f t="shared" si="371"/>
        <v>0</v>
      </c>
      <c r="KK572" s="15">
        <f t="shared" si="372"/>
        <v>0</v>
      </c>
      <c r="KL572" s="19" t="str">
        <f t="shared" si="373"/>
        <v/>
      </c>
      <c r="KM572" s="52">
        <f t="shared" si="374"/>
        <v>1</v>
      </c>
      <c r="KN572" s="22">
        <f t="shared" si="375"/>
        <v>2858</v>
      </c>
      <c r="KO572" s="22">
        <f t="shared" si="376"/>
        <v>2000</v>
      </c>
      <c r="KP572" s="19">
        <f t="shared" si="377"/>
        <v>0.69979006298110569</v>
      </c>
      <c r="KQ572" s="11" t="str">
        <f t="shared" si="378"/>
        <v>No marker score</v>
      </c>
      <c r="KR572" s="11" t="str">
        <f t="shared" si="379"/>
        <v>No marker score</v>
      </c>
      <c r="KS572" s="11" t="str">
        <f t="shared" si="380"/>
        <v>No marker score</v>
      </c>
      <c r="KT572" s="11" t="str">
        <f t="shared" si="381"/>
        <v>It tested new ways for fighting poverty and measured results of innovation</v>
      </c>
      <c r="KU572" s="11" t="str">
        <f t="shared" si="382"/>
        <v>Intensive advocacy</v>
      </c>
      <c r="KV572" s="11">
        <f t="shared" si="383"/>
        <v>0</v>
      </c>
      <c r="KW572" s="11" t="str">
        <f t="shared" si="384"/>
        <v>Papua New Guinea - Bougainville Cocoa Farming Families Support (BECOMES) Project</v>
      </c>
      <c r="KX572" s="11" t="str">
        <f t="shared" si="385"/>
        <v>Bougainville Cocoa Farming Families Support (BECOMES) Project</v>
      </c>
      <c r="KY572" s="11" t="str">
        <f t="shared" si="386"/>
        <v>Papua New Guinea</v>
      </c>
      <c r="KZ572" s="12">
        <v>572</v>
      </c>
    </row>
    <row r="573" spans="1:312" x14ac:dyDescent="0.3">
      <c r="A573" s="12" t="s">
        <v>9516</v>
      </c>
      <c r="B573" s="12" t="s">
        <v>306</v>
      </c>
      <c r="C573" s="12">
        <v>3289</v>
      </c>
      <c r="D573" s="12" t="s">
        <v>9555</v>
      </c>
      <c r="E573" s="277" t="str">
        <f t="shared" si="344"/>
        <v>Papua New Guinea</v>
      </c>
      <c r="F573" s="12" t="s">
        <v>9556</v>
      </c>
      <c r="G573" s="12" t="s">
        <v>309</v>
      </c>
      <c r="H573" s="12" t="s">
        <v>310</v>
      </c>
      <c r="I573" s="12" t="s">
        <v>311</v>
      </c>
      <c r="J573" s="281" t="s">
        <v>14565</v>
      </c>
      <c r="K573" s="12"/>
      <c r="L573" s="12"/>
      <c r="M573" s="12"/>
      <c r="N573" s="12"/>
      <c r="O573" s="12"/>
      <c r="P573" s="12"/>
      <c r="Q573" s="12"/>
      <c r="R573" s="12"/>
      <c r="S573" s="12"/>
      <c r="T573" s="12"/>
      <c r="U573" s="12"/>
      <c r="V573" s="12"/>
      <c r="W573" s="12"/>
      <c r="X573" s="12"/>
      <c r="Y573" s="12"/>
      <c r="Z573" s="12"/>
      <c r="AA573" s="12"/>
      <c r="AB573" s="12"/>
      <c r="AC573" s="12"/>
      <c r="AD573" s="12"/>
      <c r="BD573" s="13">
        <v>42186</v>
      </c>
      <c r="BE573" s="13">
        <v>43646</v>
      </c>
      <c r="BF573" s="13">
        <v>42916</v>
      </c>
      <c r="BG573" s="12" t="s">
        <v>312</v>
      </c>
      <c r="BH573" s="14">
        <v>1330610</v>
      </c>
      <c r="BI573" s="12" t="s">
        <v>9557</v>
      </c>
      <c r="BJ573" s="12" t="s">
        <v>9558</v>
      </c>
      <c r="BK573" s="12" t="s">
        <v>9559</v>
      </c>
      <c r="BL573" s="12" t="s">
        <v>9519</v>
      </c>
      <c r="BM573" s="12" t="s">
        <v>9560</v>
      </c>
      <c r="BN573" s="12" t="s">
        <v>9521</v>
      </c>
      <c r="BO573" s="12" t="s">
        <v>319</v>
      </c>
      <c r="BP573" s="12" t="s">
        <v>320</v>
      </c>
      <c r="BQ573" s="12" t="s">
        <v>319</v>
      </c>
      <c r="BR573" s="12" t="s">
        <v>9561</v>
      </c>
      <c r="BS573" s="12" t="s">
        <v>357</v>
      </c>
      <c r="BT573" s="12" t="s">
        <v>9562</v>
      </c>
      <c r="BU573" s="12" t="s">
        <v>9563</v>
      </c>
      <c r="BV573" s="14">
        <v>360</v>
      </c>
      <c r="BW573" s="14">
        <v>600</v>
      </c>
      <c r="BX573" s="14">
        <v>960</v>
      </c>
      <c r="BY573" s="14">
        <v>27500</v>
      </c>
      <c r="BZ573" s="14">
        <v>27500</v>
      </c>
      <c r="CA573" s="14">
        <v>55000</v>
      </c>
      <c r="CB573" s="12" t="s">
        <v>9564</v>
      </c>
      <c r="CD573" s="14"/>
      <c r="CE573" s="14"/>
      <c r="CF573" s="14"/>
      <c r="CG573" s="14"/>
      <c r="CH573" s="14"/>
      <c r="CI573" s="14"/>
      <c r="CJ573" s="12"/>
      <c r="CK573" s="14"/>
      <c r="CL573" s="16"/>
      <c r="CM573" s="14"/>
      <c r="CN573" s="12"/>
      <c r="CO573" s="14"/>
      <c r="CP573" s="16"/>
      <c r="CQ573" s="14"/>
      <c r="CR573" s="12"/>
      <c r="CS573" s="14"/>
      <c r="CT573" s="16"/>
      <c r="CU573" s="14"/>
      <c r="CV573" s="12"/>
      <c r="CW573" s="14"/>
      <c r="CX573" s="16"/>
      <c r="CY573" s="14"/>
      <c r="CZ573" s="12"/>
      <c r="DA573" s="14"/>
      <c r="DB573" s="16"/>
      <c r="DC573" s="14"/>
      <c r="DD573" s="12"/>
      <c r="DE573" s="14"/>
      <c r="DF573" s="16"/>
      <c r="DG573" s="14"/>
      <c r="DH573" s="12"/>
      <c r="DI573" s="14"/>
      <c r="DJ573" s="16"/>
      <c r="DK573" s="14"/>
      <c r="DL573" s="12"/>
      <c r="DM573" s="14"/>
      <c r="DN573" s="16"/>
      <c r="DO573" s="14"/>
      <c r="DP573" s="12"/>
      <c r="DQ573" s="14"/>
      <c r="DR573" s="16"/>
      <c r="DS573" s="14"/>
      <c r="DT573" s="12"/>
      <c r="DU573" s="14"/>
      <c r="DV573" s="16"/>
      <c r="DW573" s="14"/>
      <c r="DX573" s="12"/>
      <c r="DY573" s="14"/>
      <c r="DZ573" s="16"/>
      <c r="EA573" s="14"/>
      <c r="EB573" s="12"/>
      <c r="EC573" s="14"/>
      <c r="ED573" s="16"/>
      <c r="EE573" s="14"/>
      <c r="EF573" s="12"/>
      <c r="EG573" s="12"/>
      <c r="EH573" s="14"/>
      <c r="EI573" s="16"/>
      <c r="EJ573" s="14"/>
      <c r="EK573" s="14">
        <v>692</v>
      </c>
      <c r="EL573" s="14">
        <v>1322</v>
      </c>
      <c r="EM573" s="14">
        <v>2014</v>
      </c>
      <c r="EN573" s="14">
        <v>2000</v>
      </c>
      <c r="EO573" s="14">
        <v>4000</v>
      </c>
      <c r="EP573" s="14">
        <v>6000</v>
      </c>
      <c r="EQ573" s="12"/>
      <c r="ER573" s="14"/>
      <c r="ES573" s="16"/>
      <c r="ET573" s="14"/>
      <c r="EU573" s="12"/>
      <c r="EV573" s="14"/>
      <c r="EW573" s="16"/>
      <c r="EX573" s="14"/>
      <c r="EY573" s="12" t="s">
        <v>320</v>
      </c>
      <c r="EZ573" s="14"/>
      <c r="FA573" s="16"/>
      <c r="FB573" s="14"/>
      <c r="FC573" s="12"/>
      <c r="FD573" s="14"/>
      <c r="FE573" s="16"/>
      <c r="FF573" s="14"/>
      <c r="FG573" s="12"/>
      <c r="FH573" s="14"/>
      <c r="FI573" s="16"/>
      <c r="FJ573" s="14"/>
      <c r="FK573" s="12"/>
      <c r="FL573" s="14"/>
      <c r="FM573" s="16"/>
      <c r="FN573" s="14"/>
      <c r="FO573" s="12"/>
      <c r="FP573" s="14"/>
      <c r="FQ573" s="16"/>
      <c r="FR573" s="14"/>
      <c r="FS573" s="12"/>
      <c r="FT573" s="14"/>
      <c r="FU573" s="16"/>
      <c r="FV573" s="14"/>
      <c r="FW573" s="12" t="s">
        <v>320</v>
      </c>
      <c r="FX573" s="14"/>
      <c r="FY573" s="16"/>
      <c r="FZ573" s="14"/>
      <c r="GA573" s="12"/>
      <c r="GB573" s="14"/>
      <c r="GC573" s="16"/>
      <c r="GD573" s="14"/>
      <c r="GE573" s="12"/>
      <c r="GF573" s="14"/>
      <c r="GG573" s="16"/>
      <c r="GH573" s="14"/>
      <c r="GI573" s="12"/>
      <c r="GJ573" s="14"/>
      <c r="GK573" s="16"/>
      <c r="GL573" s="14"/>
      <c r="GM573" s="12" t="s">
        <v>320</v>
      </c>
      <c r="GN573" s="14"/>
      <c r="GO573" s="16"/>
      <c r="GP573" s="14"/>
      <c r="GQ573" s="12"/>
      <c r="GR573" s="14"/>
      <c r="GS573" s="16"/>
      <c r="GT573" s="14"/>
      <c r="GU573" s="12"/>
      <c r="GV573" s="14"/>
      <c r="GW573" s="16"/>
      <c r="GX573" s="14"/>
      <c r="GY573" s="12"/>
      <c r="GZ573" s="14"/>
      <c r="HA573" s="16"/>
      <c r="HB573" s="14"/>
      <c r="HC573" s="12"/>
      <c r="HD573" s="12"/>
      <c r="HE573" s="14"/>
      <c r="HF573" s="16"/>
      <c r="HG573" s="14"/>
      <c r="HH573" s="12" t="s">
        <v>319</v>
      </c>
      <c r="HI573" s="12"/>
      <c r="HJ573" s="12"/>
      <c r="HK573" s="12"/>
      <c r="HL573" s="12" t="s">
        <v>319</v>
      </c>
      <c r="HM573" s="12"/>
      <c r="HN573" s="12"/>
      <c r="HO573" s="12"/>
      <c r="HP573" s="12" t="s">
        <v>330</v>
      </c>
      <c r="HQ573" s="12" t="s">
        <v>320</v>
      </c>
      <c r="HR573" s="12"/>
      <c r="HS573" s="12" t="s">
        <v>320</v>
      </c>
      <c r="HT573" s="12" t="s">
        <v>320</v>
      </c>
      <c r="HU573" s="12"/>
      <c r="HV573" s="12"/>
      <c r="HW573" s="12"/>
      <c r="HX573" s="12"/>
      <c r="HY573" s="12"/>
      <c r="HZ573" s="12" t="s">
        <v>363</v>
      </c>
      <c r="IA573" s="12"/>
      <c r="IB573" s="12" t="s">
        <v>333</v>
      </c>
      <c r="IC573" s="12"/>
      <c r="ID573" s="12" t="s">
        <v>364</v>
      </c>
      <c r="IE573" s="12" t="s">
        <v>478</v>
      </c>
      <c r="IF573" s="12" t="s">
        <v>319</v>
      </c>
      <c r="IG573" s="12" t="s">
        <v>320</v>
      </c>
      <c r="IH573" s="12" t="s">
        <v>320</v>
      </c>
      <c r="II573" s="12" t="s">
        <v>319</v>
      </c>
      <c r="IJ573" s="12" t="str">
        <f t="shared" si="345"/>
        <v>3. Responsive</v>
      </c>
      <c r="IK573" s="12">
        <f t="shared" si="346"/>
        <v>2</v>
      </c>
      <c r="IL573" s="11" t="s">
        <v>621</v>
      </c>
      <c r="IM573" s="12" t="s">
        <v>319</v>
      </c>
      <c r="IN573" s="12" t="s">
        <v>320</v>
      </c>
      <c r="IO573" s="12" t="s">
        <v>319</v>
      </c>
      <c r="IP573" s="12" t="s">
        <v>320</v>
      </c>
      <c r="IQ573" s="12" t="str">
        <f t="shared" si="347"/>
        <v>3. Responsive</v>
      </c>
      <c r="IR573" s="12">
        <f t="shared" si="348"/>
        <v>2</v>
      </c>
      <c r="IS573" s="12" t="s">
        <v>456</v>
      </c>
      <c r="IT573" s="12" t="s">
        <v>320</v>
      </c>
      <c r="IU573" s="12" t="s">
        <v>320</v>
      </c>
      <c r="IV573" s="12" t="s">
        <v>320</v>
      </c>
      <c r="IW573" s="11" t="str">
        <f t="shared" si="349"/>
        <v>0. Harmful</v>
      </c>
      <c r="IX573" s="12">
        <f t="shared" si="350"/>
        <v>3</v>
      </c>
      <c r="IY573" s="12" t="s">
        <v>338</v>
      </c>
      <c r="IZ573" s="12" t="s">
        <v>432</v>
      </c>
      <c r="JA573" s="12">
        <v>6</v>
      </c>
      <c r="JB573" s="12" t="s">
        <v>687</v>
      </c>
      <c r="JC573" s="12" t="s">
        <v>623</v>
      </c>
      <c r="JD573" s="12" t="s">
        <v>384</v>
      </c>
      <c r="JE573" s="12" t="s">
        <v>420</v>
      </c>
      <c r="JF573" s="12"/>
      <c r="JG573" s="12" t="s">
        <v>9565</v>
      </c>
      <c r="JH573" s="12" t="s">
        <v>9566</v>
      </c>
      <c r="JI573" s="12" t="s">
        <v>9567</v>
      </c>
      <c r="JJ573" s="12" t="s">
        <v>9568</v>
      </c>
      <c r="JK573" s="12" t="s">
        <v>9569</v>
      </c>
      <c r="JL573" s="12" t="s">
        <v>9570</v>
      </c>
      <c r="JM573" s="12" t="s">
        <v>9571</v>
      </c>
      <c r="JN573" s="12" t="s">
        <v>9572</v>
      </c>
      <c r="JO573" s="12" t="s">
        <v>9573</v>
      </c>
      <c r="JP573" s="15">
        <f t="shared" si="351"/>
        <v>2014</v>
      </c>
      <c r="JQ573" s="15">
        <f t="shared" si="352"/>
        <v>6000</v>
      </c>
      <c r="JR573" s="279">
        <f t="shared" si="353"/>
        <v>2.9791459781529297</v>
      </c>
      <c r="JS573" s="17">
        <f t="shared" si="354"/>
        <v>0.34359483614697123</v>
      </c>
      <c r="JT573" s="18">
        <f t="shared" si="355"/>
        <v>0.33333333333333331</v>
      </c>
      <c r="JU573" s="280">
        <f t="shared" si="356"/>
        <v>692</v>
      </c>
      <c r="JV573" s="280">
        <f t="shared" si="357"/>
        <v>2000</v>
      </c>
      <c r="JW573" s="319" t="str">
        <f t="shared" si="358"/>
        <v/>
      </c>
      <c r="JX573" s="15">
        <f t="shared" si="359"/>
        <v>0</v>
      </c>
      <c r="JY573" s="15">
        <f t="shared" si="360"/>
        <v>0</v>
      </c>
      <c r="JZ573" s="19" t="str">
        <f t="shared" si="361"/>
        <v/>
      </c>
      <c r="KA573" s="52" t="str">
        <f t="shared" si="362"/>
        <v/>
      </c>
      <c r="KB573" s="15">
        <f t="shared" si="363"/>
        <v>0</v>
      </c>
      <c r="KC573" s="15">
        <f t="shared" si="364"/>
        <v>0</v>
      </c>
      <c r="KD573" s="20" t="str">
        <f t="shared" si="365"/>
        <v/>
      </c>
      <c r="KE573" s="52" t="str">
        <f t="shared" si="366"/>
        <v/>
      </c>
      <c r="KF573" s="15">
        <f t="shared" si="367"/>
        <v>0</v>
      </c>
      <c r="KG573" s="15">
        <f t="shared" si="368"/>
        <v>0</v>
      </c>
      <c r="KH573" s="21" t="str">
        <f t="shared" si="369"/>
        <v/>
      </c>
      <c r="KI573" s="52" t="str">
        <f t="shared" si="370"/>
        <v/>
      </c>
      <c r="KJ573" s="15">
        <f t="shared" si="371"/>
        <v>0</v>
      </c>
      <c r="KK573" s="15">
        <f t="shared" si="372"/>
        <v>0</v>
      </c>
      <c r="KL573" s="19" t="str">
        <f t="shared" si="373"/>
        <v/>
      </c>
      <c r="KM573" s="52" t="str">
        <f t="shared" si="374"/>
        <v/>
      </c>
      <c r="KN573" s="22">
        <f t="shared" si="375"/>
        <v>0</v>
      </c>
      <c r="KO573" s="22">
        <f t="shared" si="376"/>
        <v>0</v>
      </c>
      <c r="KP573" s="19" t="str">
        <f t="shared" si="377"/>
        <v/>
      </c>
      <c r="KQ573" s="11" t="str">
        <f t="shared" si="378"/>
        <v>3. Responsive</v>
      </c>
      <c r="KR573" s="11" t="str">
        <f t="shared" si="379"/>
        <v>3. Responsive</v>
      </c>
      <c r="KS573" s="11" t="str">
        <f t="shared" si="380"/>
        <v>0. Harmful</v>
      </c>
      <c r="KT573" s="11" t="str">
        <f t="shared" si="381"/>
        <v>It did not develop any specific innovation</v>
      </c>
      <c r="KU573" s="11" t="str">
        <f t="shared" si="382"/>
        <v>Moderate advocacy</v>
      </c>
      <c r="KV573" s="11" t="str">
        <f t="shared" si="383"/>
        <v>It did not take tested solutions to scale</v>
      </c>
      <c r="KW573" s="11" t="str">
        <f t="shared" si="384"/>
        <v>Papua New Guinea - Bougainville Community Governance Project</v>
      </c>
      <c r="KX573" s="11" t="str">
        <f t="shared" si="385"/>
        <v>Bougainville Community Governance Project</v>
      </c>
      <c r="KY573" s="11" t="str">
        <f t="shared" si="386"/>
        <v>Papua New Guinea</v>
      </c>
      <c r="KZ573" s="12">
        <v>573</v>
      </c>
    </row>
    <row r="574" spans="1:312" x14ac:dyDescent="0.3">
      <c r="A574" s="12" t="s">
        <v>9516</v>
      </c>
      <c r="B574" s="12" t="s">
        <v>306</v>
      </c>
      <c r="C574" s="12">
        <v>3290</v>
      </c>
      <c r="D574" s="12" t="s">
        <v>9574</v>
      </c>
      <c r="E574" s="277" t="str">
        <f t="shared" si="344"/>
        <v>Papua New Guinea</v>
      </c>
      <c r="F574" s="12" t="s">
        <v>9575</v>
      </c>
      <c r="G574" s="12" t="s">
        <v>309</v>
      </c>
      <c r="H574" s="12" t="s">
        <v>310</v>
      </c>
      <c r="I574" s="12" t="s">
        <v>311</v>
      </c>
      <c r="J574" s="281" t="s">
        <v>14565</v>
      </c>
      <c r="K574" s="12"/>
      <c r="L574" s="12"/>
      <c r="M574" s="12"/>
      <c r="N574" s="12"/>
      <c r="O574" s="12"/>
      <c r="P574" s="12"/>
      <c r="Q574" s="12"/>
      <c r="R574" s="12"/>
      <c r="S574" s="12"/>
      <c r="T574" s="12"/>
      <c r="U574" s="12"/>
      <c r="V574" s="12"/>
      <c r="W574" s="12"/>
      <c r="X574" s="12"/>
      <c r="Y574" s="12"/>
      <c r="Z574" s="12"/>
      <c r="AA574" s="12"/>
      <c r="AB574" s="12"/>
      <c r="AC574" s="12"/>
      <c r="AD574" s="12"/>
      <c r="BD574" s="13">
        <v>42370</v>
      </c>
      <c r="BE574" s="13">
        <v>42916</v>
      </c>
      <c r="BF574" s="13">
        <v>42709</v>
      </c>
      <c r="BG574" s="12" t="s">
        <v>490</v>
      </c>
      <c r="BH574" s="14">
        <v>1651920</v>
      </c>
      <c r="BI574" s="12" t="s">
        <v>9557</v>
      </c>
      <c r="BJ574" s="12" t="s">
        <v>9558</v>
      </c>
      <c r="BK574" s="12" t="s">
        <v>9559</v>
      </c>
      <c r="BL574" s="12" t="s">
        <v>9519</v>
      </c>
      <c r="BM574" s="12" t="s">
        <v>9560</v>
      </c>
      <c r="BN574" s="12" t="s">
        <v>9521</v>
      </c>
      <c r="BO574" s="12" t="s">
        <v>319</v>
      </c>
      <c r="BP574" s="12" t="s">
        <v>320</v>
      </c>
      <c r="BQ574" s="12" t="s">
        <v>319</v>
      </c>
      <c r="BR574" s="12" t="s">
        <v>9576</v>
      </c>
      <c r="BS574" s="12" t="s">
        <v>357</v>
      </c>
      <c r="BT574" s="12" t="s">
        <v>9577</v>
      </c>
      <c r="BU574" s="12" t="s">
        <v>9578</v>
      </c>
      <c r="BV574" s="14">
        <v>1125</v>
      </c>
      <c r="BW574" s="14">
        <v>1185</v>
      </c>
      <c r="BX574" s="14">
        <v>2310</v>
      </c>
      <c r="BY574" s="14">
        <v>6011</v>
      </c>
      <c r="BZ574" s="14">
        <v>6332</v>
      </c>
      <c r="CA574" s="14">
        <v>12343</v>
      </c>
      <c r="CB574" s="12" t="s">
        <v>9579</v>
      </c>
      <c r="CD574" s="14"/>
      <c r="CE574" s="14"/>
      <c r="CF574" s="14"/>
      <c r="CG574" s="14"/>
      <c r="CH574" s="14"/>
      <c r="CI574" s="14"/>
      <c r="CJ574" s="12"/>
      <c r="CK574" s="14"/>
      <c r="CL574" s="16"/>
      <c r="CM574" s="14"/>
      <c r="CN574" s="12"/>
      <c r="CO574" s="14"/>
      <c r="CP574" s="16"/>
      <c r="CQ574" s="14"/>
      <c r="CR574" s="12"/>
      <c r="CS574" s="14"/>
      <c r="CT574" s="16"/>
      <c r="CU574" s="14"/>
      <c r="CV574" s="12"/>
      <c r="CW574" s="14"/>
      <c r="CX574" s="16"/>
      <c r="CY574" s="14"/>
      <c r="CZ574" s="12"/>
      <c r="DA574" s="14"/>
      <c r="DB574" s="16"/>
      <c r="DC574" s="14"/>
      <c r="DD574" s="12"/>
      <c r="DE574" s="14"/>
      <c r="DF574" s="16"/>
      <c r="DG574" s="14"/>
      <c r="DH574" s="12"/>
      <c r="DI574" s="14"/>
      <c r="DJ574" s="16"/>
      <c r="DK574" s="14"/>
      <c r="DL574" s="12"/>
      <c r="DM574" s="14"/>
      <c r="DN574" s="16"/>
      <c r="DO574" s="14"/>
      <c r="DP574" s="12"/>
      <c r="DQ574" s="14"/>
      <c r="DR574" s="16"/>
      <c r="DS574" s="14"/>
      <c r="DT574" s="12"/>
      <c r="DU574" s="14"/>
      <c r="DV574" s="16"/>
      <c r="DW574" s="14"/>
      <c r="DX574" s="12"/>
      <c r="DY574" s="14"/>
      <c r="DZ574" s="16"/>
      <c r="EA574" s="14"/>
      <c r="EB574" s="12"/>
      <c r="EC574" s="14"/>
      <c r="ED574" s="16"/>
      <c r="EE574" s="14"/>
      <c r="EF574" s="12"/>
      <c r="EG574" s="12"/>
      <c r="EH574" s="14"/>
      <c r="EI574" s="16"/>
      <c r="EJ574" s="14"/>
      <c r="EK574" s="14">
        <v>151</v>
      </c>
      <c r="EL574" s="14">
        <v>157</v>
      </c>
      <c r="EM574" s="14">
        <v>308</v>
      </c>
      <c r="EN574" s="14">
        <v>300</v>
      </c>
      <c r="EO574" s="14">
        <v>300</v>
      </c>
      <c r="EP574" s="14">
        <v>600</v>
      </c>
      <c r="EQ574" s="12"/>
      <c r="ER574" s="14"/>
      <c r="ES574" s="16"/>
      <c r="ET574" s="14"/>
      <c r="EU574" s="12"/>
      <c r="EV574" s="14"/>
      <c r="EW574" s="16"/>
      <c r="EX574" s="14"/>
      <c r="EY574" s="12"/>
      <c r="EZ574" s="14"/>
      <c r="FA574" s="16"/>
      <c r="FB574" s="14"/>
      <c r="FC574" s="12"/>
      <c r="FD574" s="14"/>
      <c r="FE574" s="16"/>
      <c r="FF574" s="14"/>
      <c r="FG574" s="12"/>
      <c r="FH574" s="14"/>
      <c r="FI574" s="16"/>
      <c r="FJ574" s="14"/>
      <c r="FK574" s="12"/>
      <c r="FL574" s="14"/>
      <c r="FM574" s="16"/>
      <c r="FN574" s="14"/>
      <c r="FO574" s="12"/>
      <c r="FP574" s="14"/>
      <c r="FQ574" s="16"/>
      <c r="FR574" s="14"/>
      <c r="FS574" s="12" t="s">
        <v>320</v>
      </c>
      <c r="FT574" s="14">
        <v>308</v>
      </c>
      <c r="FU574" s="16">
        <v>0.51</v>
      </c>
      <c r="FV574" s="14">
        <v>600</v>
      </c>
      <c r="FW574" s="11" t="s">
        <v>320</v>
      </c>
      <c r="FX574" s="14">
        <v>308</v>
      </c>
      <c r="FY574" s="16">
        <v>0.51</v>
      </c>
      <c r="FZ574" s="14">
        <v>600</v>
      </c>
      <c r="GA574" s="12"/>
      <c r="GB574" s="14"/>
      <c r="GC574" s="16"/>
      <c r="GD574" s="14"/>
      <c r="GE574" s="12"/>
      <c r="GF574" s="14"/>
      <c r="GG574" s="16"/>
      <c r="GH574" s="14"/>
      <c r="GI574" s="12"/>
      <c r="GJ574" s="14"/>
      <c r="GK574" s="16"/>
      <c r="GL574" s="14"/>
      <c r="GM574" s="12"/>
      <c r="GN574" s="14"/>
      <c r="GO574" s="16"/>
      <c r="GP574" s="14"/>
      <c r="GQ574" s="12" t="s">
        <v>320</v>
      </c>
      <c r="GR574" s="14">
        <v>308</v>
      </c>
      <c r="GS574" s="16">
        <v>0.51</v>
      </c>
      <c r="GT574" s="14">
        <v>600</v>
      </c>
      <c r="GU574" s="12"/>
      <c r="GV574" s="14"/>
      <c r="GW574" s="16"/>
      <c r="GX574" s="14"/>
      <c r="GY574" s="12"/>
      <c r="GZ574" s="14"/>
      <c r="HA574" s="16"/>
      <c r="HB574" s="14"/>
      <c r="HC574" s="12"/>
      <c r="HD574" s="12"/>
      <c r="HE574" s="14"/>
      <c r="HF574" s="16"/>
      <c r="HG574" s="14"/>
      <c r="HH574" s="12" t="s">
        <v>319</v>
      </c>
      <c r="HI574" s="12"/>
      <c r="HJ574" s="12"/>
      <c r="HK574" s="12"/>
      <c r="HL574" s="12" t="s">
        <v>319</v>
      </c>
      <c r="HM574" s="12"/>
      <c r="HN574" s="12"/>
      <c r="HO574" s="12" t="s">
        <v>9580</v>
      </c>
      <c r="HP574" s="12" t="s">
        <v>418</v>
      </c>
      <c r="HQ574" s="12"/>
      <c r="HR574" s="12"/>
      <c r="HS574" s="12" t="s">
        <v>320</v>
      </c>
      <c r="HT574" s="12"/>
      <c r="HU574" s="12"/>
      <c r="HV574" s="12"/>
      <c r="HW574" s="12"/>
      <c r="HX574" s="12"/>
      <c r="HY574" s="12"/>
      <c r="HZ574" s="12" t="s">
        <v>363</v>
      </c>
      <c r="IA574" s="12"/>
      <c r="IB574" s="12" t="s">
        <v>333</v>
      </c>
      <c r="IC574" s="12"/>
      <c r="ID574" s="12" t="s">
        <v>334</v>
      </c>
      <c r="IE574" s="12" t="s">
        <v>478</v>
      </c>
      <c r="IF574" s="12" t="s">
        <v>319</v>
      </c>
      <c r="IG574" s="12" t="s">
        <v>320</v>
      </c>
      <c r="IH574" s="12" t="s">
        <v>320</v>
      </c>
      <c r="II574" s="12" t="s">
        <v>320</v>
      </c>
      <c r="IJ574" s="12" t="str">
        <f t="shared" si="345"/>
        <v>3. Responsive</v>
      </c>
      <c r="IK574" s="12">
        <f t="shared" si="346"/>
        <v>3</v>
      </c>
      <c r="IL574" s="12" t="s">
        <v>723</v>
      </c>
      <c r="IM574" s="12" t="s">
        <v>319</v>
      </c>
      <c r="IN574" s="12" t="s">
        <v>320</v>
      </c>
      <c r="IO574" s="12" t="s">
        <v>319</v>
      </c>
      <c r="IP574" s="12" t="s">
        <v>320</v>
      </c>
      <c r="IQ574" s="12" t="str">
        <f t="shared" si="347"/>
        <v>0. Unaware</v>
      </c>
      <c r="IR574" s="12">
        <f t="shared" si="348"/>
        <v>2</v>
      </c>
      <c r="IS574" s="12" t="s">
        <v>456</v>
      </c>
      <c r="IT574" s="12" t="s">
        <v>320</v>
      </c>
      <c r="IU574" s="12" t="s">
        <v>320</v>
      </c>
      <c r="IV574" s="12" t="s">
        <v>320</v>
      </c>
      <c r="IW574" s="11" t="str">
        <f t="shared" si="349"/>
        <v>0. Harmful</v>
      </c>
      <c r="IX574" s="12">
        <f t="shared" si="350"/>
        <v>3</v>
      </c>
      <c r="IY574" s="12" t="s">
        <v>338</v>
      </c>
      <c r="IZ574" s="12" t="s">
        <v>432</v>
      </c>
      <c r="JA574" s="12">
        <v>3</v>
      </c>
      <c r="JB574" s="12" t="s">
        <v>433</v>
      </c>
      <c r="JC574" s="12" t="s">
        <v>384</v>
      </c>
      <c r="JD574" s="12" t="s">
        <v>687</v>
      </c>
      <c r="JE574" s="12" t="s">
        <v>420</v>
      </c>
      <c r="JF574" s="12"/>
      <c r="JG574" s="12" t="s">
        <v>9581</v>
      </c>
      <c r="JH574" s="12" t="s">
        <v>9582</v>
      </c>
      <c r="JI574" s="12" t="s">
        <v>9583</v>
      </c>
      <c r="JJ574" s="12" t="s">
        <v>9584</v>
      </c>
      <c r="JK574" s="12" t="s">
        <v>9585</v>
      </c>
      <c r="JL574" s="12" t="s">
        <v>9586</v>
      </c>
      <c r="JM574" s="12" t="s">
        <v>9587</v>
      </c>
      <c r="JN574" s="12" t="s">
        <v>9588</v>
      </c>
      <c r="JO574" s="12"/>
      <c r="JP574" s="15">
        <f t="shared" si="351"/>
        <v>308</v>
      </c>
      <c r="JQ574" s="15">
        <f t="shared" si="352"/>
        <v>600</v>
      </c>
      <c r="JR574" s="279">
        <f t="shared" si="353"/>
        <v>1.948051948051948</v>
      </c>
      <c r="JS574" s="17">
        <f t="shared" si="354"/>
        <v>0.49025974025974028</v>
      </c>
      <c r="JT574" s="18">
        <f t="shared" si="355"/>
        <v>0.5</v>
      </c>
      <c r="JU574" s="280">
        <f t="shared" si="356"/>
        <v>151</v>
      </c>
      <c r="JV574" s="280">
        <f t="shared" si="357"/>
        <v>300</v>
      </c>
      <c r="JW574" s="319" t="str">
        <f t="shared" si="358"/>
        <v/>
      </c>
      <c r="JX574" s="15">
        <f t="shared" si="359"/>
        <v>0</v>
      </c>
      <c r="JY574" s="15">
        <f t="shared" si="360"/>
        <v>0</v>
      </c>
      <c r="JZ574" s="19" t="str">
        <f t="shared" si="361"/>
        <v/>
      </c>
      <c r="KA574" s="52" t="str">
        <f t="shared" si="362"/>
        <v/>
      </c>
      <c r="KB574" s="15">
        <f t="shared" si="363"/>
        <v>0</v>
      </c>
      <c r="KC574" s="15">
        <f t="shared" si="364"/>
        <v>0</v>
      </c>
      <c r="KD574" s="20" t="str">
        <f t="shared" si="365"/>
        <v/>
      </c>
      <c r="KE574" s="52">
        <f t="shared" si="366"/>
        <v>1</v>
      </c>
      <c r="KF574" s="15">
        <f t="shared" si="367"/>
        <v>308</v>
      </c>
      <c r="KG574" s="15">
        <f t="shared" si="368"/>
        <v>600</v>
      </c>
      <c r="KH574" s="21">
        <f t="shared" si="369"/>
        <v>1.948051948051948</v>
      </c>
      <c r="KI574" s="52">
        <f t="shared" si="370"/>
        <v>1</v>
      </c>
      <c r="KJ574" s="15">
        <f t="shared" si="371"/>
        <v>308</v>
      </c>
      <c r="KK574" s="15">
        <f t="shared" si="372"/>
        <v>600</v>
      </c>
      <c r="KL574" s="19">
        <f t="shared" si="373"/>
        <v>1.948051948051948</v>
      </c>
      <c r="KM574" s="52" t="str">
        <f t="shared" si="374"/>
        <v/>
      </c>
      <c r="KN574" s="22">
        <f t="shared" si="375"/>
        <v>0</v>
      </c>
      <c r="KO574" s="22">
        <f t="shared" si="376"/>
        <v>0</v>
      </c>
      <c r="KP574" s="19" t="str">
        <f t="shared" si="377"/>
        <v/>
      </c>
      <c r="KQ574" s="11" t="str">
        <f t="shared" si="378"/>
        <v>3. Responsive</v>
      </c>
      <c r="KR574" s="11" t="str">
        <f t="shared" si="379"/>
        <v>0. Unaware</v>
      </c>
      <c r="KS574" s="11" t="str">
        <f t="shared" si="380"/>
        <v>0. Harmful</v>
      </c>
      <c r="KT574" s="11" t="str">
        <f t="shared" si="381"/>
        <v>It did not develop any specific innovation</v>
      </c>
      <c r="KU574" s="11" t="str">
        <f t="shared" si="382"/>
        <v>Little or no advocacy</v>
      </c>
      <c r="KV574" s="11" t="str">
        <f t="shared" si="383"/>
        <v>It did not take tested solutions to scale</v>
      </c>
      <c r="KW574" s="11" t="str">
        <f t="shared" si="384"/>
        <v>Papua New Guinea - Bougainville Sexual, Reproductive and Maternal Health Project</v>
      </c>
      <c r="KX574" s="11" t="str">
        <f t="shared" si="385"/>
        <v>Bougainville Sexual, Reproductive and Maternal Health Project</v>
      </c>
      <c r="KY574" s="11" t="str">
        <f t="shared" si="386"/>
        <v>Papua New Guinea</v>
      </c>
      <c r="KZ574" s="287">
        <v>574</v>
      </c>
    </row>
    <row r="575" spans="1:312" x14ac:dyDescent="0.3">
      <c r="A575" s="282" t="s">
        <v>9516</v>
      </c>
      <c r="B575" s="282" t="s">
        <v>306</v>
      </c>
      <c r="C575" s="282">
        <v>3293</v>
      </c>
      <c r="D575" s="282" t="s">
        <v>9589</v>
      </c>
      <c r="E575" s="277" t="str">
        <f t="shared" si="344"/>
        <v>Papua New Guinea</v>
      </c>
      <c r="F575" s="282" t="s">
        <v>9590</v>
      </c>
      <c r="G575" s="282" t="s">
        <v>309</v>
      </c>
      <c r="H575" s="282" t="s">
        <v>380</v>
      </c>
      <c r="I575" s="282" t="s">
        <v>952</v>
      </c>
      <c r="J575" s="281" t="s">
        <v>9591</v>
      </c>
      <c r="K575" s="282"/>
      <c r="L575" s="282"/>
      <c r="M575" s="282"/>
      <c r="N575" s="282"/>
      <c r="O575" s="282"/>
      <c r="P575" s="282"/>
      <c r="Q575" s="282"/>
      <c r="R575" s="282"/>
      <c r="S575" s="282"/>
      <c r="T575" s="282"/>
      <c r="U575" s="282"/>
      <c r="V575" s="282"/>
      <c r="W575" s="282"/>
      <c r="X575" s="282"/>
      <c r="Y575" s="282"/>
      <c r="Z575" s="282"/>
      <c r="AA575" s="282"/>
      <c r="AB575" s="282"/>
      <c r="AC575" s="282"/>
      <c r="AD575" s="282"/>
      <c r="AE575" s="282"/>
      <c r="AF575" s="282"/>
      <c r="AG575" s="282"/>
      <c r="AH575" s="282"/>
      <c r="AI575" s="282"/>
      <c r="AJ575" s="282"/>
      <c r="AK575" s="282"/>
      <c r="AL575" s="282"/>
      <c r="AM575" s="282"/>
      <c r="AN575" s="282"/>
      <c r="AO575" s="282"/>
      <c r="AP575" s="282"/>
      <c r="AQ575" s="282"/>
      <c r="AR575" s="282"/>
      <c r="AS575" s="282"/>
      <c r="AT575" s="282"/>
      <c r="AU575" s="282"/>
      <c r="AV575" s="282"/>
      <c r="AW575" s="282"/>
      <c r="AX575" s="282"/>
      <c r="AY575" s="282"/>
      <c r="AZ575" s="282"/>
      <c r="BA575" s="282"/>
      <c r="BB575" s="282"/>
      <c r="BC575" s="282"/>
      <c r="BD575" s="283">
        <v>42248</v>
      </c>
      <c r="BE575" s="283">
        <v>42978</v>
      </c>
      <c r="BF575" s="283">
        <v>42613</v>
      </c>
      <c r="BG575" s="283" t="s">
        <v>350</v>
      </c>
      <c r="BH575" s="284">
        <v>689682</v>
      </c>
      <c r="BI575" s="282" t="s">
        <v>9557</v>
      </c>
      <c r="BJ575" s="282" t="s">
        <v>9558</v>
      </c>
      <c r="BK575" s="282" t="s">
        <v>9559</v>
      </c>
      <c r="BL575" s="282" t="s">
        <v>9519</v>
      </c>
      <c r="BM575" s="282" t="s">
        <v>9560</v>
      </c>
      <c r="BN575" s="282" t="s">
        <v>9521</v>
      </c>
      <c r="BO575" s="12" t="s">
        <v>319</v>
      </c>
      <c r="BP575" s="12" t="s">
        <v>320</v>
      </c>
      <c r="BQ575" s="12" t="s">
        <v>319</v>
      </c>
      <c r="BR575" s="282" t="s">
        <v>9592</v>
      </c>
      <c r="BS575" s="282" t="s">
        <v>357</v>
      </c>
      <c r="BT575" s="282" t="s">
        <v>9593</v>
      </c>
      <c r="BU575" s="282" t="s">
        <v>9594</v>
      </c>
      <c r="BV575" s="284">
        <v>200</v>
      </c>
      <c r="BW575" s="284">
        <v>499</v>
      </c>
      <c r="BX575" s="284">
        <v>699</v>
      </c>
      <c r="BY575" s="284">
        <v>600</v>
      </c>
      <c r="BZ575" s="284">
        <v>1000</v>
      </c>
      <c r="CA575" s="284">
        <v>1600</v>
      </c>
      <c r="CB575" s="285" t="s">
        <v>9595</v>
      </c>
      <c r="CC575" s="285"/>
      <c r="CD575" s="284"/>
      <c r="CE575" s="284"/>
      <c r="CF575" s="284"/>
      <c r="CG575" s="284"/>
      <c r="CH575" s="284"/>
      <c r="CI575" s="284"/>
      <c r="CJ575" s="282"/>
      <c r="CK575" s="284"/>
      <c r="CL575" s="286"/>
      <c r="CM575" s="284"/>
      <c r="CN575" s="287"/>
      <c r="CO575" s="284"/>
      <c r="CP575" s="286"/>
      <c r="CQ575" s="284"/>
      <c r="CR575" s="282"/>
      <c r="CS575" s="284"/>
      <c r="CT575" s="286"/>
      <c r="CU575" s="284"/>
      <c r="CV575" s="289"/>
      <c r="CW575" s="300"/>
      <c r="CX575" s="308"/>
      <c r="CY575" s="300"/>
      <c r="CZ575" s="282"/>
      <c r="DA575" s="284"/>
      <c r="DB575" s="286"/>
      <c r="DC575" s="284"/>
      <c r="DD575" s="287"/>
      <c r="DE575" s="284"/>
      <c r="DF575" s="286"/>
      <c r="DG575" s="284"/>
      <c r="DH575" s="282"/>
      <c r="DI575" s="284"/>
      <c r="DJ575" s="286"/>
      <c r="DK575" s="284"/>
      <c r="DL575" s="282"/>
      <c r="DM575" s="284"/>
      <c r="DN575" s="286"/>
      <c r="DO575" s="284"/>
      <c r="DP575" s="282"/>
      <c r="DQ575" s="284"/>
      <c r="DR575" s="286"/>
      <c r="DS575" s="284"/>
      <c r="DT575" s="282"/>
      <c r="DU575" s="284"/>
      <c r="DV575" s="286"/>
      <c r="DW575" s="284"/>
      <c r="DX575" s="282"/>
      <c r="DY575" s="284"/>
      <c r="DZ575" s="286"/>
      <c r="EA575" s="284"/>
      <c r="EB575" s="282"/>
      <c r="EC575" s="284"/>
      <c r="ED575" s="286"/>
      <c r="EE575" s="284"/>
      <c r="EF575" s="285"/>
      <c r="EG575" s="287"/>
      <c r="EH575" s="284"/>
      <c r="EI575" s="286"/>
      <c r="EJ575" s="284"/>
      <c r="EK575" s="284">
        <v>41</v>
      </c>
      <c r="EL575" s="284">
        <v>200</v>
      </c>
      <c r="EM575" s="284">
        <v>241</v>
      </c>
      <c r="EN575" s="284">
        <v>150</v>
      </c>
      <c r="EO575" s="284">
        <v>600</v>
      </c>
      <c r="EP575" s="284">
        <v>750</v>
      </c>
      <c r="EQ575" s="282" t="s">
        <v>320</v>
      </c>
      <c r="ER575" s="284"/>
      <c r="ES575" s="286"/>
      <c r="ET575" s="284"/>
      <c r="EU575" s="282"/>
      <c r="EV575" s="284"/>
      <c r="EW575" s="286"/>
      <c r="EX575" s="284"/>
      <c r="EY575" s="282"/>
      <c r="EZ575" s="284"/>
      <c r="FA575" s="286"/>
      <c r="FB575" s="284"/>
      <c r="FC575" s="282"/>
      <c r="FD575" s="284"/>
      <c r="FE575" s="286"/>
      <c r="FF575" s="284"/>
      <c r="FG575" s="282"/>
      <c r="FH575" s="284"/>
      <c r="FI575" s="286"/>
      <c r="FJ575" s="284"/>
      <c r="FK575" s="282"/>
      <c r="FL575" s="284"/>
      <c r="FM575" s="286"/>
      <c r="FN575" s="284"/>
      <c r="FO575" s="289" t="s">
        <v>320</v>
      </c>
      <c r="FP575" s="300">
        <v>241</v>
      </c>
      <c r="FQ575" s="308">
        <v>0.17</v>
      </c>
      <c r="FR575" s="300">
        <v>750</v>
      </c>
      <c r="FS575" s="282"/>
      <c r="FT575" s="284"/>
      <c r="FU575" s="286"/>
      <c r="FV575" s="284"/>
      <c r="FW575" s="282" t="s">
        <v>320</v>
      </c>
      <c r="FX575" s="284"/>
      <c r="FY575" s="286"/>
      <c r="FZ575" s="284"/>
      <c r="GA575" s="282"/>
      <c r="GB575" s="284"/>
      <c r="GC575" s="286"/>
      <c r="GD575" s="284"/>
      <c r="GE575" s="282"/>
      <c r="GF575" s="284"/>
      <c r="GG575" s="286"/>
      <c r="GH575" s="284"/>
      <c r="GI575" s="282"/>
      <c r="GJ575" s="284"/>
      <c r="GK575" s="286"/>
      <c r="GL575" s="284"/>
      <c r="GM575" s="282"/>
      <c r="GN575" s="284"/>
      <c r="GO575" s="286"/>
      <c r="GP575" s="284"/>
      <c r="GQ575" s="282"/>
      <c r="GR575" s="284"/>
      <c r="GS575" s="286"/>
      <c r="GT575" s="284"/>
      <c r="GU575" s="282"/>
      <c r="GV575" s="284"/>
      <c r="GW575" s="286"/>
      <c r="GX575" s="284"/>
      <c r="GY575" s="282" t="s">
        <v>320</v>
      </c>
      <c r="GZ575" s="284"/>
      <c r="HA575" s="286"/>
      <c r="HB575" s="284"/>
      <c r="HC575" s="282"/>
      <c r="HD575" s="282"/>
      <c r="HE575" s="284"/>
      <c r="HF575" s="286"/>
      <c r="HG575" s="284"/>
      <c r="HH575" s="282" t="s">
        <v>319</v>
      </c>
      <c r="HI575" s="282"/>
      <c r="HJ575" s="282"/>
      <c r="HK575" s="282"/>
      <c r="HL575" s="282" t="s">
        <v>319</v>
      </c>
      <c r="HM575" s="282"/>
      <c r="HN575" s="282"/>
      <c r="HO575" s="282"/>
      <c r="HP575" s="282" t="s">
        <v>418</v>
      </c>
      <c r="HQ575" s="282"/>
      <c r="HR575" s="282"/>
      <c r="HS575" s="282"/>
      <c r="HT575" s="282"/>
      <c r="HU575" s="282"/>
      <c r="HV575" s="282"/>
      <c r="HW575" s="282"/>
      <c r="HX575" s="282"/>
      <c r="HY575" s="282"/>
      <c r="HZ575" s="282" t="s">
        <v>363</v>
      </c>
      <c r="IA575" s="282"/>
      <c r="IB575" s="282" t="s">
        <v>333</v>
      </c>
      <c r="IC575" s="282"/>
      <c r="ID575" s="282" t="s">
        <v>364</v>
      </c>
      <c r="IE575" s="282" t="s">
        <v>478</v>
      </c>
      <c r="IF575" s="282" t="s">
        <v>319</v>
      </c>
      <c r="IG575" s="282" t="s">
        <v>319</v>
      </c>
      <c r="IH575" s="282" t="s">
        <v>319</v>
      </c>
      <c r="II575" s="282" t="s">
        <v>319</v>
      </c>
      <c r="IJ575" s="12" t="str">
        <f t="shared" si="345"/>
        <v>No marker score</v>
      </c>
      <c r="IK575" s="287">
        <f t="shared" si="346"/>
        <v>0</v>
      </c>
      <c r="IL575" s="282" t="s">
        <v>723</v>
      </c>
      <c r="IM575" s="282" t="s">
        <v>320</v>
      </c>
      <c r="IN575" s="282" t="s">
        <v>320</v>
      </c>
      <c r="IO575" s="282" t="s">
        <v>319</v>
      </c>
      <c r="IP575" s="282" t="s">
        <v>320</v>
      </c>
      <c r="IQ575" s="287" t="str">
        <f t="shared" si="347"/>
        <v>0. Unaware</v>
      </c>
      <c r="IR575" s="287">
        <f t="shared" si="348"/>
        <v>3</v>
      </c>
      <c r="IS575" s="282" t="s">
        <v>456</v>
      </c>
      <c r="IT575" s="282" t="s">
        <v>320</v>
      </c>
      <c r="IU575" s="282" t="s">
        <v>320</v>
      </c>
      <c r="IV575" s="282" t="s">
        <v>320</v>
      </c>
      <c r="IW575" s="11" t="str">
        <f t="shared" si="349"/>
        <v>0. Harmful</v>
      </c>
      <c r="IX575" s="287">
        <f t="shared" si="350"/>
        <v>3</v>
      </c>
      <c r="IY575" s="282" t="s">
        <v>338</v>
      </c>
      <c r="IZ575" s="282" t="s">
        <v>432</v>
      </c>
      <c r="JA575" s="282">
        <v>3</v>
      </c>
      <c r="JB575" s="282" t="s">
        <v>433</v>
      </c>
      <c r="JC575" s="282" t="s">
        <v>724</v>
      </c>
      <c r="JD575" s="282" t="s">
        <v>831</v>
      </c>
      <c r="JE575" s="282" t="s">
        <v>340</v>
      </c>
      <c r="JF575" s="282"/>
      <c r="JG575" s="282" t="s">
        <v>9596</v>
      </c>
      <c r="JH575" s="282" t="s">
        <v>9597</v>
      </c>
      <c r="JI575" s="282" t="s">
        <v>9598</v>
      </c>
      <c r="JJ575" s="282" t="s">
        <v>6739</v>
      </c>
      <c r="JK575" s="282" t="s">
        <v>9599</v>
      </c>
      <c r="JL575" s="282" t="s">
        <v>9600</v>
      </c>
      <c r="JM575" s="282" t="s">
        <v>9601</v>
      </c>
      <c r="JN575" s="282" t="s">
        <v>9602</v>
      </c>
      <c r="JO575" s="282" t="s">
        <v>9603</v>
      </c>
      <c r="JP575" s="15">
        <f t="shared" si="351"/>
        <v>241</v>
      </c>
      <c r="JQ575" s="15">
        <f t="shared" si="352"/>
        <v>750</v>
      </c>
      <c r="JR575" s="279">
        <f t="shared" si="353"/>
        <v>3.1120331950207469</v>
      </c>
      <c r="JS575" s="17">
        <f t="shared" si="354"/>
        <v>0.17012448132780084</v>
      </c>
      <c r="JT575" s="18">
        <f t="shared" si="355"/>
        <v>0.2</v>
      </c>
      <c r="JU575" s="280">
        <f t="shared" si="356"/>
        <v>41</v>
      </c>
      <c r="JV575" s="280">
        <f t="shared" si="357"/>
        <v>150</v>
      </c>
      <c r="JW575" s="319" t="str">
        <f t="shared" si="358"/>
        <v/>
      </c>
      <c r="JX575" s="15">
        <f t="shared" si="359"/>
        <v>0</v>
      </c>
      <c r="JY575" s="15">
        <f t="shared" si="360"/>
        <v>0</v>
      </c>
      <c r="JZ575" s="19" t="str">
        <f t="shared" si="361"/>
        <v/>
      </c>
      <c r="KA575" s="52">
        <f t="shared" si="362"/>
        <v>1</v>
      </c>
      <c r="KB575" s="15">
        <f t="shared" si="363"/>
        <v>241</v>
      </c>
      <c r="KC575" s="15">
        <f t="shared" si="364"/>
        <v>750</v>
      </c>
      <c r="KD575" s="20">
        <f t="shared" si="365"/>
        <v>3.1120331950207469</v>
      </c>
      <c r="KE575" s="52" t="str">
        <f t="shared" si="366"/>
        <v/>
      </c>
      <c r="KF575" s="15">
        <f t="shared" si="367"/>
        <v>0</v>
      </c>
      <c r="KG575" s="15">
        <f t="shared" si="368"/>
        <v>0</v>
      </c>
      <c r="KH575" s="21" t="str">
        <f t="shared" si="369"/>
        <v/>
      </c>
      <c r="KI575" s="52" t="str">
        <f t="shared" si="370"/>
        <v/>
      </c>
      <c r="KJ575" s="15">
        <f t="shared" si="371"/>
        <v>0</v>
      </c>
      <c r="KK575" s="15">
        <f t="shared" si="372"/>
        <v>0</v>
      </c>
      <c r="KL575" s="19" t="str">
        <f t="shared" si="373"/>
        <v/>
      </c>
      <c r="KM575" s="52">
        <f t="shared" si="374"/>
        <v>1</v>
      </c>
      <c r="KN575" s="22">
        <f t="shared" si="375"/>
        <v>0</v>
      </c>
      <c r="KO575" s="22">
        <f t="shared" si="376"/>
        <v>0</v>
      </c>
      <c r="KP575" s="19" t="str">
        <f t="shared" si="377"/>
        <v/>
      </c>
      <c r="KQ575" s="11" t="str">
        <f t="shared" si="378"/>
        <v>No marker score</v>
      </c>
      <c r="KR575" s="11" t="str">
        <f t="shared" si="379"/>
        <v>0. Unaware</v>
      </c>
      <c r="KS575" s="11" t="str">
        <f t="shared" si="380"/>
        <v>0. Harmful</v>
      </c>
      <c r="KT575" s="11" t="str">
        <f t="shared" si="381"/>
        <v>It did not develop any specific innovation</v>
      </c>
      <c r="KU575" s="11" t="str">
        <f t="shared" si="382"/>
        <v>Little or no advocacy</v>
      </c>
      <c r="KV575" s="11" t="str">
        <f t="shared" si="383"/>
        <v>It did not take tested solutions to scale</v>
      </c>
      <c r="KW575" s="11" t="str">
        <f t="shared" si="384"/>
        <v>Papua New Guinea - CARE Tinputz Cocoa &amp; Rice Joint Venture Project</v>
      </c>
      <c r="KX575" s="11" t="str">
        <f t="shared" si="385"/>
        <v>CARE Tinputz Cocoa &amp; Rice Joint Venture Project</v>
      </c>
      <c r="KY575" s="11" t="str">
        <f t="shared" si="386"/>
        <v>Papua New Guinea</v>
      </c>
      <c r="KZ575" s="12">
        <v>575</v>
      </c>
    </row>
    <row r="576" spans="1:312" x14ac:dyDescent="0.3">
      <c r="A576" s="12" t="s">
        <v>9516</v>
      </c>
      <c r="B576" s="12" t="s">
        <v>306</v>
      </c>
      <c r="C576" s="12">
        <v>3288</v>
      </c>
      <c r="D576" s="12" t="s">
        <v>9604</v>
      </c>
      <c r="E576" s="277" t="str">
        <f t="shared" si="344"/>
        <v>Papua New Guinea</v>
      </c>
      <c r="F576" s="12" t="s">
        <v>9605</v>
      </c>
      <c r="G576" s="12" t="s">
        <v>309</v>
      </c>
      <c r="H576" s="12" t="s">
        <v>310</v>
      </c>
      <c r="I576" s="12" t="s">
        <v>311</v>
      </c>
      <c r="J576" s="281" t="s">
        <v>14565</v>
      </c>
      <c r="K576" s="12"/>
      <c r="L576" s="12"/>
      <c r="M576" s="12"/>
      <c r="N576" s="12"/>
      <c r="O576" s="12"/>
      <c r="P576" s="12"/>
      <c r="Q576" s="12"/>
      <c r="R576" s="12"/>
      <c r="S576" s="12"/>
      <c r="T576" s="12"/>
      <c r="U576" s="12"/>
      <c r="V576" s="12"/>
      <c r="W576" s="12"/>
      <c r="X576" s="12"/>
      <c r="Y576" s="12"/>
      <c r="Z576" s="12"/>
      <c r="AA576" s="12"/>
      <c r="AB576" s="12"/>
      <c r="AC576" s="12"/>
      <c r="AD576" s="12"/>
      <c r="BD576" s="13">
        <v>41456</v>
      </c>
      <c r="BE576" s="13">
        <v>43100</v>
      </c>
      <c r="BF576" s="13">
        <v>43646</v>
      </c>
      <c r="BG576" s="12" t="s">
        <v>350</v>
      </c>
      <c r="BH576" s="14">
        <v>2441470</v>
      </c>
      <c r="BI576" s="12" t="s">
        <v>9606</v>
      </c>
      <c r="BJ576" s="12" t="s">
        <v>354</v>
      </c>
      <c r="BK576" s="12" t="s">
        <v>9607</v>
      </c>
      <c r="BL576" s="12" t="s">
        <v>9608</v>
      </c>
      <c r="BM576" s="12" t="s">
        <v>9609</v>
      </c>
      <c r="BN576" s="12" t="s">
        <v>9610</v>
      </c>
      <c r="BO576" s="12" t="s">
        <v>319</v>
      </c>
      <c r="BP576" s="12" t="s">
        <v>320</v>
      </c>
      <c r="BQ576" s="12" t="s">
        <v>319</v>
      </c>
      <c r="BR576" s="12" t="s">
        <v>9611</v>
      </c>
      <c r="BS576" s="12" t="s">
        <v>357</v>
      </c>
      <c r="BT576" s="12" t="s">
        <v>9612</v>
      </c>
      <c r="BU576" s="12" t="s">
        <v>9613</v>
      </c>
      <c r="BV576" s="14">
        <v>4000</v>
      </c>
      <c r="BW576" s="14">
        <v>6000</v>
      </c>
      <c r="BX576" s="14">
        <v>10000</v>
      </c>
      <c r="BY576" s="14">
        <v>30000</v>
      </c>
      <c r="BZ576" s="14">
        <v>30000</v>
      </c>
      <c r="CA576" s="14">
        <v>60000</v>
      </c>
      <c r="CB576" s="12" t="s">
        <v>9614</v>
      </c>
      <c r="CD576" s="14"/>
      <c r="CE576" s="14"/>
      <c r="CF576" s="14"/>
      <c r="CG576" s="14"/>
      <c r="CH576" s="14"/>
      <c r="CI576" s="14"/>
      <c r="CJ576" s="12"/>
      <c r="CK576" s="14"/>
      <c r="CL576" s="16"/>
      <c r="CM576" s="14"/>
      <c r="CN576" s="12"/>
      <c r="CO576" s="14"/>
      <c r="CP576" s="16"/>
      <c r="CQ576" s="14"/>
      <c r="CR576" s="12"/>
      <c r="CS576" s="14"/>
      <c r="CT576" s="16"/>
      <c r="CU576" s="14"/>
      <c r="CV576" s="12"/>
      <c r="CW576" s="14"/>
      <c r="CX576" s="16"/>
      <c r="CY576" s="14"/>
      <c r="CZ576" s="12"/>
      <c r="DA576" s="14"/>
      <c r="DB576" s="16"/>
      <c r="DC576" s="14"/>
      <c r="DD576" s="12"/>
      <c r="DE576" s="14"/>
      <c r="DF576" s="16"/>
      <c r="DG576" s="14"/>
      <c r="DH576" s="12"/>
      <c r="DI576" s="14"/>
      <c r="DJ576" s="16"/>
      <c r="DK576" s="14"/>
      <c r="DL576" s="12"/>
      <c r="DM576" s="14"/>
      <c r="DN576" s="16"/>
      <c r="DO576" s="14"/>
      <c r="DP576" s="12"/>
      <c r="DQ576" s="14"/>
      <c r="DR576" s="16"/>
      <c r="DS576" s="14"/>
      <c r="DT576" s="12"/>
      <c r="DU576" s="14"/>
      <c r="DV576" s="16"/>
      <c r="DW576" s="14"/>
      <c r="DX576" s="12"/>
      <c r="DY576" s="14"/>
      <c r="DZ576" s="16"/>
      <c r="EA576" s="14"/>
      <c r="EB576" s="12"/>
      <c r="EC576" s="14"/>
      <c r="ED576" s="16"/>
      <c r="EE576" s="14"/>
      <c r="EF576" s="12"/>
      <c r="EG576" s="12"/>
      <c r="EH576" s="14"/>
      <c r="EI576" s="16"/>
      <c r="EJ576" s="14"/>
      <c r="EK576" s="14">
        <v>2547</v>
      </c>
      <c r="EL576" s="14">
        <v>4956</v>
      </c>
      <c r="EM576" s="14">
        <v>7503</v>
      </c>
      <c r="EN576" s="14">
        <v>20000</v>
      </c>
      <c r="EO576" s="14">
        <v>20000</v>
      </c>
      <c r="EP576" s="14">
        <v>40000</v>
      </c>
      <c r="EQ576" s="12" t="s">
        <v>320</v>
      </c>
      <c r="ER576" s="14">
        <v>7503</v>
      </c>
      <c r="ES576" s="16">
        <v>0.33946421431427398</v>
      </c>
      <c r="ET576" s="14">
        <v>40000</v>
      </c>
      <c r="EU576" s="12"/>
      <c r="EV576" s="14"/>
      <c r="EW576" s="16"/>
      <c r="EX576" s="14"/>
      <c r="EY576" s="12"/>
      <c r="EZ576" s="14"/>
      <c r="FA576" s="16"/>
      <c r="FB576" s="14"/>
      <c r="FC576" s="12"/>
      <c r="FD576" s="14"/>
      <c r="FE576" s="16"/>
      <c r="FF576" s="14"/>
      <c r="FG576" s="12"/>
      <c r="FH576" s="14"/>
      <c r="FI576" s="16"/>
      <c r="FJ576" s="14"/>
      <c r="FK576" s="12"/>
      <c r="FL576" s="14"/>
      <c r="FM576" s="16"/>
      <c r="FN576" s="14"/>
      <c r="FO576" s="12"/>
      <c r="FP576" s="14"/>
      <c r="FQ576" s="16"/>
      <c r="FR576" s="14"/>
      <c r="FS576" s="12"/>
      <c r="FT576" s="14"/>
      <c r="FU576" s="16"/>
      <c r="FV576" s="14"/>
      <c r="FW576" s="11" t="s">
        <v>320</v>
      </c>
      <c r="FX576" s="14">
        <v>7503</v>
      </c>
      <c r="FY576" s="16">
        <v>0.33946421431427398</v>
      </c>
      <c r="FZ576" s="14">
        <v>40000</v>
      </c>
      <c r="GA576" s="12"/>
      <c r="GB576" s="14"/>
      <c r="GC576" s="16"/>
      <c r="GD576" s="14"/>
      <c r="GE576" s="12"/>
      <c r="GF576" s="14"/>
      <c r="GG576" s="16"/>
      <c r="GH576" s="14"/>
      <c r="GI576" s="12"/>
      <c r="GJ576" s="14"/>
      <c r="GK576" s="16"/>
      <c r="GL576" s="14"/>
      <c r="GM576" s="12"/>
      <c r="GN576" s="14"/>
      <c r="GO576" s="16"/>
      <c r="GP576" s="14"/>
      <c r="GQ576" s="12"/>
      <c r="GR576" s="14"/>
      <c r="GS576" s="16"/>
      <c r="GT576" s="14"/>
      <c r="GU576" s="12"/>
      <c r="GV576" s="14"/>
      <c r="GW576" s="16"/>
      <c r="GX576" s="14"/>
      <c r="GY576" s="11" t="s">
        <v>320</v>
      </c>
      <c r="GZ576" s="14">
        <v>7503</v>
      </c>
      <c r="HA576" s="16">
        <v>0.33946421431427398</v>
      </c>
      <c r="HB576" s="14">
        <v>40000</v>
      </c>
      <c r="HC576" s="12"/>
      <c r="HD576" s="12"/>
      <c r="HE576" s="14"/>
      <c r="HF576" s="16"/>
      <c r="HG576" s="14"/>
      <c r="HH576" s="12" t="s">
        <v>320</v>
      </c>
      <c r="HI576" s="12" t="s">
        <v>416</v>
      </c>
      <c r="HJ576" s="12">
        <v>2017</v>
      </c>
      <c r="HK576" s="12" t="s">
        <v>320</v>
      </c>
      <c r="HL576" s="12" t="s">
        <v>319</v>
      </c>
      <c r="HM576" s="12"/>
      <c r="HN576" s="12"/>
      <c r="HO576" s="12" t="s">
        <v>9615</v>
      </c>
      <c r="HP576" s="12" t="s">
        <v>418</v>
      </c>
      <c r="HQ576" s="12" t="s">
        <v>319</v>
      </c>
      <c r="HR576" s="12" t="s">
        <v>319</v>
      </c>
      <c r="HS576" s="12" t="s">
        <v>320</v>
      </c>
      <c r="HT576" s="12" t="s">
        <v>319</v>
      </c>
      <c r="HU576" s="12" t="s">
        <v>319</v>
      </c>
      <c r="HV576" s="12"/>
      <c r="HW576" s="12" t="s">
        <v>319</v>
      </c>
      <c r="HX576" s="12" t="s">
        <v>319</v>
      </c>
      <c r="HY576" s="12"/>
      <c r="HZ576" s="12" t="s">
        <v>394</v>
      </c>
      <c r="IA576" s="12" t="s">
        <v>9616</v>
      </c>
      <c r="IB576" s="12" t="s">
        <v>396</v>
      </c>
      <c r="IC576" s="12" t="s">
        <v>9617</v>
      </c>
      <c r="ID576" s="12" t="s">
        <v>334</v>
      </c>
      <c r="IE576" s="12" t="s">
        <v>478</v>
      </c>
      <c r="IF576" s="12" t="s">
        <v>320</v>
      </c>
      <c r="IG576" s="12" t="s">
        <v>320</v>
      </c>
      <c r="IH576" s="12" t="s">
        <v>320</v>
      </c>
      <c r="II576" s="12" t="s">
        <v>320</v>
      </c>
      <c r="IJ576" s="12" t="str">
        <f t="shared" si="345"/>
        <v>4. Transformative</v>
      </c>
      <c r="IK576" s="12">
        <f t="shared" si="346"/>
        <v>4</v>
      </c>
      <c r="IL576" s="11" t="s">
        <v>621</v>
      </c>
      <c r="IM576" s="12" t="s">
        <v>319</v>
      </c>
      <c r="IN576" s="12" t="s">
        <v>320</v>
      </c>
      <c r="IO576" s="12" t="s">
        <v>320</v>
      </c>
      <c r="IP576" s="12" t="s">
        <v>319</v>
      </c>
      <c r="IQ576" s="12" t="str">
        <f t="shared" si="347"/>
        <v>3. Responsive</v>
      </c>
      <c r="IR576" s="12">
        <f t="shared" si="348"/>
        <v>2</v>
      </c>
      <c r="IS576" s="12" t="s">
        <v>337</v>
      </c>
      <c r="IT576" s="12" t="s">
        <v>319</v>
      </c>
      <c r="IU576" s="12" t="s">
        <v>319</v>
      </c>
      <c r="IV576" s="12" t="s">
        <v>320</v>
      </c>
      <c r="IW576" s="11" t="str">
        <f t="shared" si="349"/>
        <v>1. Neutral</v>
      </c>
      <c r="IX576" s="12">
        <f t="shared" si="350"/>
        <v>1</v>
      </c>
      <c r="IY576" s="12" t="s">
        <v>419</v>
      </c>
      <c r="IZ576" s="12" t="s">
        <v>527</v>
      </c>
      <c r="JA576" s="12">
        <v>7</v>
      </c>
      <c r="JB576" s="12" t="s">
        <v>724</v>
      </c>
      <c r="JC576" s="12" t="s">
        <v>433</v>
      </c>
      <c r="JD576" s="12" t="s">
        <v>623</v>
      </c>
      <c r="JE576" s="12" t="s">
        <v>340</v>
      </c>
      <c r="JF576" s="12" t="s">
        <v>9618</v>
      </c>
      <c r="JG576" s="12" t="s">
        <v>9619</v>
      </c>
      <c r="JH576" s="12" t="s">
        <v>9620</v>
      </c>
      <c r="JI576" s="12" t="s">
        <v>9621</v>
      </c>
      <c r="JJ576" s="12" t="s">
        <v>9622</v>
      </c>
      <c r="JK576" s="12" t="s">
        <v>9623</v>
      </c>
      <c r="JL576" s="12" t="s">
        <v>9624</v>
      </c>
      <c r="JM576" s="12" t="s">
        <v>9625</v>
      </c>
      <c r="JN576" s="12"/>
      <c r="JO576" s="12"/>
      <c r="JP576" s="15">
        <f t="shared" si="351"/>
        <v>7503</v>
      </c>
      <c r="JQ576" s="15">
        <f t="shared" si="352"/>
        <v>40000</v>
      </c>
      <c r="JR576" s="279">
        <f t="shared" si="353"/>
        <v>5.3312008529921364</v>
      </c>
      <c r="JS576" s="17">
        <f t="shared" si="354"/>
        <v>0.33946421431427432</v>
      </c>
      <c r="JT576" s="18">
        <f t="shared" si="355"/>
        <v>0.5</v>
      </c>
      <c r="JU576" s="280">
        <f t="shared" si="356"/>
        <v>2547</v>
      </c>
      <c r="JV576" s="280">
        <f t="shared" si="357"/>
        <v>20000</v>
      </c>
      <c r="JW576" s="319" t="str">
        <f t="shared" si="358"/>
        <v/>
      </c>
      <c r="JX576" s="15">
        <f t="shared" si="359"/>
        <v>0</v>
      </c>
      <c r="JY576" s="15">
        <f t="shared" si="360"/>
        <v>0</v>
      </c>
      <c r="JZ576" s="19" t="str">
        <f t="shared" si="361"/>
        <v/>
      </c>
      <c r="KA576" s="52">
        <f t="shared" si="362"/>
        <v>1</v>
      </c>
      <c r="KB576" s="15">
        <f t="shared" si="363"/>
        <v>7503</v>
      </c>
      <c r="KC576" s="15">
        <f t="shared" si="364"/>
        <v>40000</v>
      </c>
      <c r="KD576" s="20">
        <f t="shared" si="365"/>
        <v>5.3312008529921364</v>
      </c>
      <c r="KE576" s="52" t="str">
        <f t="shared" si="366"/>
        <v/>
      </c>
      <c r="KF576" s="15">
        <f t="shared" si="367"/>
        <v>0</v>
      </c>
      <c r="KG576" s="15">
        <f t="shared" si="368"/>
        <v>0</v>
      </c>
      <c r="KH576" s="21" t="str">
        <f t="shared" si="369"/>
        <v/>
      </c>
      <c r="KI576" s="52" t="str">
        <f t="shared" si="370"/>
        <v/>
      </c>
      <c r="KJ576" s="15">
        <f t="shared" si="371"/>
        <v>0</v>
      </c>
      <c r="KK576" s="15">
        <f t="shared" si="372"/>
        <v>0</v>
      </c>
      <c r="KL576" s="19" t="str">
        <f t="shared" si="373"/>
        <v/>
      </c>
      <c r="KM576" s="52">
        <f t="shared" si="374"/>
        <v>1</v>
      </c>
      <c r="KN576" s="22">
        <f t="shared" si="375"/>
        <v>7503</v>
      </c>
      <c r="KO576" s="22">
        <f t="shared" si="376"/>
        <v>40000</v>
      </c>
      <c r="KP576" s="19">
        <f t="shared" si="377"/>
        <v>5.3312008529921364</v>
      </c>
      <c r="KQ576" s="11" t="str">
        <f t="shared" si="378"/>
        <v>4. Transformative</v>
      </c>
      <c r="KR576" s="11" t="str">
        <f t="shared" si="379"/>
        <v>3. Responsive</v>
      </c>
      <c r="KS576" s="11" t="str">
        <f t="shared" si="380"/>
        <v>1. Neutral</v>
      </c>
      <c r="KT576" s="11" t="str">
        <f t="shared" si="381"/>
        <v>It tested new ways for fighting poverty, but did not measure results of innovation</v>
      </c>
      <c r="KU576" s="11" t="str">
        <f t="shared" si="382"/>
        <v>Little or no advocacy</v>
      </c>
      <c r="KV576" s="11" t="str">
        <f t="shared" si="383"/>
        <v>It linked and worked with strategic alliances and partners to take tested and effective solutions to scale</v>
      </c>
      <c r="KW576" s="11" t="str">
        <f t="shared" si="384"/>
        <v>Papua New Guinea - Coffee Industry Support Project</v>
      </c>
      <c r="KX576" s="11" t="str">
        <f t="shared" si="385"/>
        <v>Coffee Industry Support Project</v>
      </c>
      <c r="KY576" s="11" t="str">
        <f t="shared" si="386"/>
        <v>Papua New Guinea</v>
      </c>
      <c r="KZ576" s="287">
        <v>576</v>
      </c>
    </row>
    <row r="577" spans="1:312" x14ac:dyDescent="0.3">
      <c r="A577" s="282" t="s">
        <v>9516</v>
      </c>
      <c r="B577" s="282" t="s">
        <v>306</v>
      </c>
      <c r="C577" s="282"/>
      <c r="D577" s="282" t="s">
        <v>9626</v>
      </c>
      <c r="E577" s="277" t="str">
        <f t="shared" ref="E577:E640" si="387">A577</f>
        <v>Papua New Guinea</v>
      </c>
      <c r="F577" s="282"/>
      <c r="G577" s="282" t="s">
        <v>309</v>
      </c>
      <c r="H577" s="282" t="s">
        <v>310</v>
      </c>
      <c r="I577" s="282" t="s">
        <v>311</v>
      </c>
      <c r="J577" s="281" t="s">
        <v>14726</v>
      </c>
      <c r="K577" s="282"/>
      <c r="L577" s="282"/>
      <c r="M577" s="282"/>
      <c r="N577" s="282"/>
      <c r="O577" s="282"/>
      <c r="P577" s="282"/>
      <c r="Q577" s="282"/>
      <c r="R577" s="282"/>
      <c r="S577" s="282"/>
      <c r="T577" s="282"/>
      <c r="U577" s="282"/>
      <c r="V577" s="282"/>
      <c r="W577" s="282"/>
      <c r="X577" s="282"/>
      <c r="Y577" s="282"/>
      <c r="Z577" s="282"/>
      <c r="AA577" s="282"/>
      <c r="AB577" s="282"/>
      <c r="AC577" s="282"/>
      <c r="AD577" s="282"/>
      <c r="AE577" s="282"/>
      <c r="AF577" s="282"/>
      <c r="AG577" s="282"/>
      <c r="AH577" s="282"/>
      <c r="AI577" s="282"/>
      <c r="AJ577" s="282"/>
      <c r="AK577" s="282"/>
      <c r="AL577" s="282"/>
      <c r="AM577" s="282"/>
      <c r="AN577" s="282"/>
      <c r="AO577" s="282"/>
      <c r="AP577" s="282"/>
      <c r="AQ577" s="282"/>
      <c r="AR577" s="282"/>
      <c r="AS577" s="282"/>
      <c r="AT577" s="282"/>
      <c r="AU577" s="282"/>
      <c r="AV577" s="282"/>
      <c r="AW577" s="282"/>
      <c r="AX577" s="282"/>
      <c r="AY577" s="282"/>
      <c r="AZ577" s="282"/>
      <c r="BA577" s="282"/>
      <c r="BB577" s="282"/>
      <c r="BC577" s="282"/>
      <c r="BD577" s="283">
        <v>42382</v>
      </c>
      <c r="BE577" s="283">
        <v>42794</v>
      </c>
      <c r="BF577" s="283">
        <v>42916</v>
      </c>
      <c r="BG577" s="283" t="s">
        <v>817</v>
      </c>
      <c r="BH577" s="284">
        <v>850000</v>
      </c>
      <c r="BI577" s="282" t="s">
        <v>9519</v>
      </c>
      <c r="BJ577" s="282" t="s">
        <v>1899</v>
      </c>
      <c r="BK577" s="282" t="s">
        <v>9627</v>
      </c>
      <c r="BL577" s="282"/>
      <c r="BM577" s="282"/>
      <c r="BN577" s="282"/>
      <c r="BO577" s="282" t="s">
        <v>320</v>
      </c>
      <c r="BP577" s="282" t="s">
        <v>319</v>
      </c>
      <c r="BQ577" s="282" t="s">
        <v>319</v>
      </c>
      <c r="BR577" s="282" t="s">
        <v>9628</v>
      </c>
      <c r="BS577" s="282" t="s">
        <v>357</v>
      </c>
      <c r="BT577" s="282" t="s">
        <v>9629</v>
      </c>
      <c r="BU577" s="282" t="s">
        <v>9630</v>
      </c>
      <c r="BV577" s="284">
        <v>22500</v>
      </c>
      <c r="BW577" s="284">
        <v>22500</v>
      </c>
      <c r="BX577" s="284">
        <v>45000</v>
      </c>
      <c r="BY577" s="284">
        <v>86000</v>
      </c>
      <c r="BZ577" s="284">
        <v>86000</v>
      </c>
      <c r="CA577" s="284">
        <v>172000</v>
      </c>
      <c r="CB577" s="285" t="s">
        <v>9631</v>
      </c>
      <c r="CC577" s="285"/>
      <c r="CD577" s="284">
        <v>86000</v>
      </c>
      <c r="CE577" s="284">
        <v>86000</v>
      </c>
      <c r="CF577" s="284">
        <v>172000</v>
      </c>
      <c r="CG577" s="284">
        <v>22500</v>
      </c>
      <c r="CH577" s="284">
        <v>22500</v>
      </c>
      <c r="CI577" s="284">
        <v>45000</v>
      </c>
      <c r="CJ577" s="282"/>
      <c r="CK577" s="284"/>
      <c r="CL577" s="286"/>
      <c r="CM577" s="284"/>
      <c r="CN577" s="287"/>
      <c r="CO577" s="284"/>
      <c r="CP577" s="286"/>
      <c r="CQ577" s="284"/>
      <c r="CR577" s="282"/>
      <c r="CS577" s="284"/>
      <c r="CT577" s="286"/>
      <c r="CU577" s="284"/>
      <c r="CV577" s="289" t="s">
        <v>320</v>
      </c>
      <c r="CW577" s="300">
        <v>172000</v>
      </c>
      <c r="CX577" s="308">
        <v>0.5</v>
      </c>
      <c r="CY577" s="300">
        <v>45000</v>
      </c>
      <c r="CZ577" s="282"/>
      <c r="DA577" s="284"/>
      <c r="DB577" s="286"/>
      <c r="DC577" s="284"/>
      <c r="DD577" s="287" t="s">
        <v>320</v>
      </c>
      <c r="DE577" s="284"/>
      <c r="DF577" s="286"/>
      <c r="DG577" s="284"/>
      <c r="DH577" s="282" t="s">
        <v>320</v>
      </c>
      <c r="DI577" s="284"/>
      <c r="DJ577" s="286"/>
      <c r="DK577" s="284"/>
      <c r="DL577" s="282" t="s">
        <v>320</v>
      </c>
      <c r="DM577" s="284"/>
      <c r="DN577" s="286"/>
      <c r="DO577" s="284"/>
      <c r="DP577" s="282" t="s">
        <v>320</v>
      </c>
      <c r="DQ577" s="284"/>
      <c r="DR577" s="286"/>
      <c r="DS577" s="284"/>
      <c r="DT577" s="282" t="s">
        <v>320</v>
      </c>
      <c r="DU577" s="284"/>
      <c r="DV577" s="286"/>
      <c r="DW577" s="284"/>
      <c r="DX577" s="282"/>
      <c r="DY577" s="284"/>
      <c r="DZ577" s="286"/>
      <c r="EA577" s="284"/>
      <c r="EB577" s="282" t="s">
        <v>320</v>
      </c>
      <c r="EC577" s="284"/>
      <c r="ED577" s="286"/>
      <c r="EE577" s="284"/>
      <c r="EF577" s="285"/>
      <c r="EG577" s="287"/>
      <c r="EH577" s="284"/>
      <c r="EI577" s="286"/>
      <c r="EJ577" s="284"/>
      <c r="EK577" s="284"/>
      <c r="EL577" s="284"/>
      <c r="EM577" s="284"/>
      <c r="EN577" s="284"/>
      <c r="EO577" s="284"/>
      <c r="EP577" s="284"/>
      <c r="EQ577" s="282"/>
      <c r="ER577" s="284"/>
      <c r="ES577" s="286"/>
      <c r="ET577" s="284"/>
      <c r="EU577" s="282"/>
      <c r="EV577" s="284"/>
      <c r="EW577" s="286"/>
      <c r="EX577" s="284"/>
      <c r="EY577" s="282"/>
      <c r="EZ577" s="284"/>
      <c r="FA577" s="286"/>
      <c r="FB577" s="284"/>
      <c r="FC577" s="282"/>
      <c r="FD577" s="284"/>
      <c r="FE577" s="286"/>
      <c r="FF577" s="284"/>
      <c r="FG577" s="282"/>
      <c r="FH577" s="284"/>
      <c r="FI577" s="286"/>
      <c r="FJ577" s="284"/>
      <c r="FK577" s="282"/>
      <c r="FL577" s="284"/>
      <c r="FM577" s="286"/>
      <c r="FN577" s="284"/>
      <c r="FO577" s="305"/>
      <c r="FP577" s="300"/>
      <c r="FQ577" s="308"/>
      <c r="FR577" s="300"/>
      <c r="FS577" s="282"/>
      <c r="FT577" s="284"/>
      <c r="FU577" s="286"/>
      <c r="FV577" s="284"/>
      <c r="FW577" s="282"/>
      <c r="FX577" s="284"/>
      <c r="FY577" s="286"/>
      <c r="FZ577" s="284"/>
      <c r="GA577" s="282"/>
      <c r="GB577" s="284"/>
      <c r="GC577" s="286"/>
      <c r="GD577" s="284"/>
      <c r="GE577" s="282"/>
      <c r="GF577" s="284"/>
      <c r="GG577" s="286"/>
      <c r="GH577" s="284"/>
      <c r="GI577" s="282"/>
      <c r="GJ577" s="284"/>
      <c r="GK577" s="286"/>
      <c r="GL577" s="284"/>
      <c r="GM577" s="282"/>
      <c r="GN577" s="284"/>
      <c r="GO577" s="286"/>
      <c r="GP577" s="284"/>
      <c r="GQ577" s="282"/>
      <c r="GR577" s="284"/>
      <c r="GS577" s="286"/>
      <c r="GT577" s="284"/>
      <c r="GU577" s="282"/>
      <c r="GV577" s="284"/>
      <c r="GW577" s="286"/>
      <c r="GX577" s="284"/>
      <c r="GY577" s="282"/>
      <c r="GZ577" s="284"/>
      <c r="HA577" s="286"/>
      <c r="HB577" s="284"/>
      <c r="HC577" s="282"/>
      <c r="HD577" s="282"/>
      <c r="HE577" s="284"/>
      <c r="HF577" s="286"/>
      <c r="HG577" s="284"/>
      <c r="HH577" s="282" t="s">
        <v>319</v>
      </c>
      <c r="HI577" s="282"/>
      <c r="HJ577" s="282"/>
      <c r="HK577" s="282" t="s">
        <v>319</v>
      </c>
      <c r="HL577" s="282" t="s">
        <v>319</v>
      </c>
      <c r="HM577" s="282"/>
      <c r="HN577" s="282"/>
      <c r="HO577" s="282"/>
      <c r="HP577" s="282" t="s">
        <v>453</v>
      </c>
      <c r="HQ577" s="282" t="s">
        <v>320</v>
      </c>
      <c r="HR577" s="282" t="s">
        <v>320</v>
      </c>
      <c r="HS577" s="282" t="s">
        <v>320</v>
      </c>
      <c r="HT577" s="282" t="s">
        <v>320</v>
      </c>
      <c r="HU577" s="282" t="s">
        <v>320</v>
      </c>
      <c r="HV577" s="282" t="s">
        <v>320</v>
      </c>
      <c r="HW577" s="282" t="s">
        <v>319</v>
      </c>
      <c r="HX577" s="282" t="s">
        <v>319</v>
      </c>
      <c r="HY577" s="282"/>
      <c r="HZ577" s="282" t="s">
        <v>394</v>
      </c>
      <c r="IA577" s="282"/>
      <c r="IB577" s="282" t="s">
        <v>333</v>
      </c>
      <c r="IC577" s="282"/>
      <c r="ID577" s="282" t="s">
        <v>334</v>
      </c>
      <c r="IE577" s="282" t="s">
        <v>335</v>
      </c>
      <c r="IF577" s="282" t="s">
        <v>320</v>
      </c>
      <c r="IG577" s="282" t="s">
        <v>320</v>
      </c>
      <c r="IH577" s="282" t="s">
        <v>320</v>
      </c>
      <c r="II577" s="282" t="s">
        <v>320</v>
      </c>
      <c r="IJ577" s="12" t="str">
        <f t="shared" si="345"/>
        <v>2. Sensitive</v>
      </c>
      <c r="IK577" s="287">
        <f t="shared" si="346"/>
        <v>4</v>
      </c>
      <c r="IL577" s="282" t="s">
        <v>336</v>
      </c>
      <c r="IM577" s="282" t="s">
        <v>320</v>
      </c>
      <c r="IN577" s="282" t="s">
        <v>320</v>
      </c>
      <c r="IO577" s="282" t="s">
        <v>320</v>
      </c>
      <c r="IP577" s="282" t="s">
        <v>320</v>
      </c>
      <c r="IQ577" s="287" t="str">
        <f t="shared" si="347"/>
        <v>2. Accommodating</v>
      </c>
      <c r="IR577" s="287">
        <f t="shared" si="348"/>
        <v>4</v>
      </c>
      <c r="IS577" s="282" t="s">
        <v>337</v>
      </c>
      <c r="IT577" s="282" t="s">
        <v>320</v>
      </c>
      <c r="IU577" s="282" t="s">
        <v>320</v>
      </c>
      <c r="IV577" s="282" t="s">
        <v>320</v>
      </c>
      <c r="IW577" s="11" t="str">
        <f t="shared" si="349"/>
        <v>2. Sensitive</v>
      </c>
      <c r="IX577" s="287">
        <f t="shared" si="350"/>
        <v>3</v>
      </c>
      <c r="IY577" s="282" t="s">
        <v>419</v>
      </c>
      <c r="IZ577" s="282" t="s">
        <v>457</v>
      </c>
      <c r="JA577" s="282">
        <v>2</v>
      </c>
      <c r="JB577" s="282" t="s">
        <v>831</v>
      </c>
      <c r="JC577" s="282" t="s">
        <v>585</v>
      </c>
      <c r="JD577" s="282" t="s">
        <v>651</v>
      </c>
      <c r="JE577" s="282" t="s">
        <v>340</v>
      </c>
      <c r="JF577" s="282"/>
      <c r="JG577" s="282" t="s">
        <v>9632</v>
      </c>
      <c r="JH577" s="282" t="s">
        <v>9633</v>
      </c>
      <c r="JI577" s="282" t="s">
        <v>9634</v>
      </c>
      <c r="JJ577" s="282"/>
      <c r="JK577" s="282" t="s">
        <v>9635</v>
      </c>
      <c r="JL577" s="282" t="s">
        <v>9636</v>
      </c>
      <c r="JM577" s="282" t="s">
        <v>9637</v>
      </c>
      <c r="JN577" s="282" t="s">
        <v>9638</v>
      </c>
      <c r="JO577" s="282"/>
      <c r="JP577" s="15">
        <f t="shared" si="351"/>
        <v>172000</v>
      </c>
      <c r="JQ577" s="15">
        <f t="shared" si="352"/>
        <v>45000</v>
      </c>
      <c r="JR577" s="279">
        <f t="shared" si="353"/>
        <v>0.26162790697674421</v>
      </c>
      <c r="JS577" s="17">
        <f t="shared" si="354"/>
        <v>0.5</v>
      </c>
      <c r="JT577" s="18">
        <f t="shared" si="355"/>
        <v>0.5</v>
      </c>
      <c r="JU577" s="280">
        <f t="shared" si="356"/>
        <v>86000</v>
      </c>
      <c r="JV577" s="280">
        <f t="shared" si="357"/>
        <v>22500</v>
      </c>
      <c r="JW577" s="319">
        <f t="shared" si="358"/>
        <v>1</v>
      </c>
      <c r="JX577" s="15">
        <f t="shared" si="359"/>
        <v>172000</v>
      </c>
      <c r="JY577" s="15">
        <f t="shared" si="360"/>
        <v>45000</v>
      </c>
      <c r="JZ577" s="19">
        <f t="shared" si="361"/>
        <v>0.26162790697674421</v>
      </c>
      <c r="KA577" s="52">
        <f t="shared" si="362"/>
        <v>1</v>
      </c>
      <c r="KB577" s="15">
        <f t="shared" si="363"/>
        <v>172000</v>
      </c>
      <c r="KC577" s="15">
        <f t="shared" si="364"/>
        <v>45000</v>
      </c>
      <c r="KD577" s="20">
        <f t="shared" si="365"/>
        <v>0.26162790697674421</v>
      </c>
      <c r="KE577" s="52">
        <f t="shared" si="366"/>
        <v>1</v>
      </c>
      <c r="KF577" s="15">
        <f t="shared" si="367"/>
        <v>0</v>
      </c>
      <c r="KG577" s="15">
        <f t="shared" si="368"/>
        <v>0</v>
      </c>
      <c r="KH577" s="21" t="str">
        <f t="shared" si="369"/>
        <v/>
      </c>
      <c r="KI577" s="52" t="str">
        <f t="shared" si="370"/>
        <v/>
      </c>
      <c r="KJ577" s="15">
        <f t="shared" si="371"/>
        <v>0</v>
      </c>
      <c r="KK577" s="15">
        <f t="shared" si="372"/>
        <v>0</v>
      </c>
      <c r="KL577" s="19" t="str">
        <f t="shared" si="373"/>
        <v/>
      </c>
      <c r="KM577" s="52" t="str">
        <f t="shared" si="374"/>
        <v/>
      </c>
      <c r="KN577" s="22">
        <f t="shared" si="375"/>
        <v>0</v>
      </c>
      <c r="KO577" s="22">
        <f t="shared" si="376"/>
        <v>0</v>
      </c>
      <c r="KP577" s="19" t="str">
        <f t="shared" si="377"/>
        <v/>
      </c>
      <c r="KQ577" s="11" t="str">
        <f t="shared" si="378"/>
        <v>2. Sensitive</v>
      </c>
      <c r="KR577" s="11" t="str">
        <f t="shared" si="379"/>
        <v>2. Accommodating</v>
      </c>
      <c r="KS577" s="11" t="str">
        <f t="shared" si="380"/>
        <v>2. Sensitive</v>
      </c>
      <c r="KT577" s="11" t="str">
        <f t="shared" si="381"/>
        <v>It tested new ways for fighting poverty, but did not measure results of innovation</v>
      </c>
      <c r="KU577" s="11" t="str">
        <f t="shared" si="382"/>
        <v>Intensive advocacy</v>
      </c>
      <c r="KV577" s="11" t="str">
        <f t="shared" si="383"/>
        <v>It did not take tested solutions to scale</v>
      </c>
      <c r="KW577" s="11" t="str">
        <f t="shared" si="384"/>
        <v>Papua New Guinea - El Niño Response</v>
      </c>
      <c r="KX577" s="11" t="str">
        <f t="shared" si="385"/>
        <v>El Niño Response</v>
      </c>
      <c r="KY577" s="11" t="str">
        <f t="shared" si="386"/>
        <v>Papua New Guinea</v>
      </c>
      <c r="KZ577" s="12">
        <v>577</v>
      </c>
    </row>
    <row r="578" spans="1:312" x14ac:dyDescent="0.3">
      <c r="A578" s="12" t="s">
        <v>9516</v>
      </c>
      <c r="B578" s="12" t="s">
        <v>306</v>
      </c>
      <c r="C578" s="12"/>
      <c r="D578" s="12" t="s">
        <v>9639</v>
      </c>
      <c r="E578" s="277" t="str">
        <f t="shared" si="387"/>
        <v>Papua New Guinea</v>
      </c>
      <c r="F578" s="12"/>
      <c r="G578" s="12" t="s">
        <v>309</v>
      </c>
      <c r="H578" s="12" t="s">
        <v>310</v>
      </c>
      <c r="I578" s="12" t="s">
        <v>311</v>
      </c>
      <c r="J578" s="281" t="s">
        <v>14726</v>
      </c>
      <c r="K578" s="12"/>
      <c r="L578" s="12"/>
      <c r="M578" s="12"/>
      <c r="N578" s="12"/>
      <c r="O578" s="12"/>
      <c r="P578" s="12"/>
      <c r="Q578" s="12"/>
      <c r="R578" s="12"/>
      <c r="S578" s="12"/>
      <c r="T578" s="12"/>
      <c r="U578" s="12"/>
      <c r="V578" s="12"/>
      <c r="W578" s="12"/>
      <c r="X578" s="12"/>
      <c r="Y578" s="12"/>
      <c r="Z578" s="12"/>
      <c r="AA578" s="12"/>
      <c r="AB578" s="12"/>
      <c r="AC578" s="12"/>
      <c r="AD578" s="12"/>
      <c r="BD578" s="13">
        <v>42352</v>
      </c>
      <c r="BE578" s="13">
        <v>42735</v>
      </c>
      <c r="BF578" s="12"/>
      <c r="BG578" s="12" t="s">
        <v>908</v>
      </c>
      <c r="BH578" s="14">
        <v>1220165</v>
      </c>
      <c r="BI578" s="12" t="s">
        <v>9519</v>
      </c>
      <c r="BJ578" s="12" t="s">
        <v>1899</v>
      </c>
      <c r="BK578" s="12" t="s">
        <v>9627</v>
      </c>
      <c r="BL578" s="12"/>
      <c r="BM578" s="12"/>
      <c r="BN578" s="12"/>
      <c r="BO578" s="12" t="s">
        <v>320</v>
      </c>
      <c r="BP578" s="12" t="s">
        <v>319</v>
      </c>
      <c r="BQ578" s="12" t="s">
        <v>319</v>
      </c>
      <c r="BR578" s="12" t="s">
        <v>9628</v>
      </c>
      <c r="BS578" s="12" t="s">
        <v>357</v>
      </c>
      <c r="BT578" s="12" t="s">
        <v>9629</v>
      </c>
      <c r="BU578" s="12" t="s">
        <v>9630</v>
      </c>
      <c r="BV578" s="14">
        <v>5006</v>
      </c>
      <c r="BW578" s="14">
        <v>5006</v>
      </c>
      <c r="BX578" s="14">
        <v>10012</v>
      </c>
      <c r="BY578" s="14">
        <v>25000</v>
      </c>
      <c r="BZ578" s="14">
        <v>25000</v>
      </c>
      <c r="CA578" s="14">
        <v>50000</v>
      </c>
      <c r="CB578" s="12" t="s">
        <v>9640</v>
      </c>
      <c r="CD578" s="14">
        <v>5006</v>
      </c>
      <c r="CE578" s="14">
        <v>5006</v>
      </c>
      <c r="CF578" s="14">
        <v>10012</v>
      </c>
      <c r="CG578" s="14">
        <v>25000</v>
      </c>
      <c r="CH578" s="14">
        <v>25000</v>
      </c>
      <c r="CI578" s="14">
        <v>50000</v>
      </c>
      <c r="CJ578" s="12"/>
      <c r="CK578" s="14"/>
      <c r="CL578" s="16"/>
      <c r="CM578" s="14"/>
      <c r="CN578" s="12"/>
      <c r="CO578" s="14"/>
      <c r="CP578" s="16"/>
      <c r="CQ578" s="14"/>
      <c r="CR578" s="12"/>
      <c r="CS578" s="14"/>
      <c r="CT578" s="16"/>
      <c r="CU578" s="14"/>
      <c r="CV578" s="12" t="s">
        <v>320</v>
      </c>
      <c r="CW578" s="38">
        <v>10012</v>
      </c>
      <c r="CX578" s="16">
        <v>0.5</v>
      </c>
      <c r="CY578" s="38">
        <v>52548</v>
      </c>
      <c r="CZ578" s="12"/>
      <c r="DA578" s="14"/>
      <c r="DB578" s="16"/>
      <c r="DC578" s="14"/>
      <c r="DD578" s="12"/>
      <c r="DE578" s="14"/>
      <c r="DF578" s="16"/>
      <c r="DG578" s="14"/>
      <c r="DH578" s="12"/>
      <c r="DI578" s="14"/>
      <c r="DJ578" s="16"/>
      <c r="DK578" s="14"/>
      <c r="DL578" s="12"/>
      <c r="DM578" s="14"/>
      <c r="DN578" s="16"/>
      <c r="DO578" s="14"/>
      <c r="DP578" s="12"/>
      <c r="DQ578" s="14"/>
      <c r="DR578" s="16"/>
      <c r="DS578" s="14"/>
      <c r="DT578" s="12"/>
      <c r="DU578" s="14"/>
      <c r="DV578" s="16"/>
      <c r="DW578" s="14"/>
      <c r="DX578" s="12"/>
      <c r="DY578" s="14"/>
      <c r="DZ578" s="16"/>
      <c r="EA578" s="14"/>
      <c r="EB578" s="12"/>
      <c r="EC578" s="14"/>
      <c r="ED578" s="16"/>
      <c r="EE578" s="14"/>
      <c r="EF578" s="12"/>
      <c r="EG578" s="12"/>
      <c r="EH578" s="14"/>
      <c r="EI578" s="16"/>
      <c r="EJ578" s="14"/>
      <c r="EK578" s="14"/>
      <c r="EL578" s="14"/>
      <c r="EM578" s="14"/>
      <c r="EN578" s="14"/>
      <c r="EO578" s="14"/>
      <c r="EP578" s="14"/>
      <c r="EQ578" s="12"/>
      <c r="ER578" s="14"/>
      <c r="ES578" s="16"/>
      <c r="ET578" s="14"/>
      <c r="EU578" s="12"/>
      <c r="EV578" s="14"/>
      <c r="EW578" s="16"/>
      <c r="EX578" s="14"/>
      <c r="EY578" s="12"/>
      <c r="EZ578" s="14"/>
      <c r="FA578" s="16"/>
      <c r="FB578" s="14"/>
      <c r="FC578" s="12"/>
      <c r="FD578" s="14"/>
      <c r="FE578" s="16"/>
      <c r="FF578" s="14"/>
      <c r="FG578" s="12"/>
      <c r="FH578" s="14"/>
      <c r="FI578" s="16"/>
      <c r="FJ578" s="14"/>
      <c r="FK578" s="12"/>
      <c r="FL578" s="14"/>
      <c r="FM578" s="16"/>
      <c r="FN578" s="14"/>
      <c r="FO578" s="12"/>
      <c r="FP578" s="14"/>
      <c r="FQ578" s="16"/>
      <c r="FR578" s="14"/>
      <c r="FS578" s="12"/>
      <c r="FT578" s="14"/>
      <c r="FU578" s="16"/>
      <c r="FV578" s="14"/>
      <c r="FW578" s="12"/>
      <c r="FX578" s="14"/>
      <c r="FY578" s="16"/>
      <c r="FZ578" s="14"/>
      <c r="GA578" s="12"/>
      <c r="GB578" s="14"/>
      <c r="GC578" s="16"/>
      <c r="GD578" s="14"/>
      <c r="GE578" s="12"/>
      <c r="GF578" s="14"/>
      <c r="GG578" s="16"/>
      <c r="GH578" s="14"/>
      <c r="GI578" s="12"/>
      <c r="GJ578" s="14"/>
      <c r="GK578" s="16"/>
      <c r="GL578" s="14"/>
      <c r="GM578" s="12"/>
      <c r="GN578" s="14"/>
      <c r="GO578" s="16"/>
      <c r="GP578" s="14"/>
      <c r="GQ578" s="12"/>
      <c r="GR578" s="14"/>
      <c r="GS578" s="16"/>
      <c r="GT578" s="14"/>
      <c r="GU578" s="12"/>
      <c r="GV578" s="14"/>
      <c r="GW578" s="16"/>
      <c r="GX578" s="14"/>
      <c r="GY578" s="12"/>
      <c r="GZ578" s="14"/>
      <c r="HA578" s="16"/>
      <c r="HB578" s="14"/>
      <c r="HC578" s="12"/>
      <c r="HD578" s="12"/>
      <c r="HE578" s="14"/>
      <c r="HF578" s="16"/>
      <c r="HG578" s="14"/>
      <c r="HH578" s="12" t="s">
        <v>319</v>
      </c>
      <c r="HI578" s="12"/>
      <c r="HJ578" s="12"/>
      <c r="HK578" s="12" t="s">
        <v>319</v>
      </c>
      <c r="HL578" s="12" t="s">
        <v>319</v>
      </c>
      <c r="HM578" s="12"/>
      <c r="HN578" s="12"/>
      <c r="HO578" s="12"/>
      <c r="HP578" s="12" t="s">
        <v>330</v>
      </c>
      <c r="HQ578" s="12" t="s">
        <v>320</v>
      </c>
      <c r="HR578" s="12" t="s">
        <v>320</v>
      </c>
      <c r="HS578" s="12" t="s">
        <v>320</v>
      </c>
      <c r="HT578" s="12" t="s">
        <v>320</v>
      </c>
      <c r="HU578" s="12" t="s">
        <v>320</v>
      </c>
      <c r="HV578" s="12" t="s">
        <v>320</v>
      </c>
      <c r="HW578" s="12" t="s">
        <v>319</v>
      </c>
      <c r="HX578" s="12" t="s">
        <v>319</v>
      </c>
      <c r="HY578" s="12"/>
      <c r="HZ578" s="12" t="s">
        <v>394</v>
      </c>
      <c r="IA578" s="12"/>
      <c r="IB578" s="12" t="s">
        <v>333</v>
      </c>
      <c r="IC578" s="12"/>
      <c r="ID578" s="12" t="s">
        <v>334</v>
      </c>
      <c r="IE578" s="12" t="s">
        <v>335</v>
      </c>
      <c r="IF578" s="12" t="s">
        <v>320</v>
      </c>
      <c r="IG578" s="12" t="s">
        <v>320</v>
      </c>
      <c r="IH578" s="12" t="s">
        <v>320</v>
      </c>
      <c r="II578" s="12" t="s">
        <v>320</v>
      </c>
      <c r="IJ578" s="12" t="str">
        <f t="shared" ref="IJ578:IJ641" si="388">IF(IE578="","No marker score",IF(ISNUMBER(SEARCH("select",IE578)),"",IF(ISNUMBER(SEARCH("Did NOT",IE578)),"0. Harmful",IF(ISNUMBER(SEARCH("CHALLENGED",IE578)),IF(IK578=4,"4. Transformative",IF(IK578&gt;1,"3. Responsive",IF(IK578&lt;=1,"No marker score",""))),IF(ISNUMBER(SEARCH("WORKED WITH",IE578)),IF(IK578=4,"2. Sensitive",IF(IK578&gt;1,"1. Neutral","0. Harmful")))))))</f>
        <v>2. Sensitive</v>
      </c>
      <c r="IK578" s="12">
        <f t="shared" ref="IK578:IK641" si="389">COUNTIF(IF578:II578,"=YES")</f>
        <v>4</v>
      </c>
      <c r="IL578" s="12" t="s">
        <v>336</v>
      </c>
      <c r="IM578" s="12" t="s">
        <v>320</v>
      </c>
      <c r="IN578" s="12" t="s">
        <v>320</v>
      </c>
      <c r="IO578" s="12" t="s">
        <v>320</v>
      </c>
      <c r="IP578" s="12" t="s">
        <v>320</v>
      </c>
      <c r="IQ578" s="12" t="str">
        <f t="shared" ref="IQ578:IQ641" si="390">IF(IL578="","No marker score",IF(ISNUMBER(SEARCH("select",IL578)),"",IF(ISNUMBER(SEARCH("Did NOT",IL578)),"0. Unaware",IF(ISNUMBER(SEARCH("CHALLENGED",IL578)),IF(IR578=4,"4. Transformational",IF(IR578&gt;1,"3. Responsive",IF(IR578&lt;=1,"No marker score",""))),IF(ISNUMBER(SEARCH("WORKED WITH",IL578)),IF(IR578&gt;=3,"2. Accommodating",IF(IR578&gt;=1,"1. Tokenistic","0. Unaware")))))))</f>
        <v>2. Accommodating</v>
      </c>
      <c r="IR578" s="12">
        <f t="shared" ref="IR578:IR641" si="391">COUNTIF(IM578:IP578,"=YES")</f>
        <v>4</v>
      </c>
      <c r="IS578" s="12" t="s">
        <v>337</v>
      </c>
      <c r="IT578" s="12" t="s">
        <v>320</v>
      </c>
      <c r="IU578" s="12" t="s">
        <v>320</v>
      </c>
      <c r="IV578" s="12" t="s">
        <v>320</v>
      </c>
      <c r="IW578" s="11" t="str">
        <f t="shared" ref="IW578:IW641" si="392">IF(IS578="","No marker score",IF(ISNUMBER(SEARCH("select",IS578)),"",IF(ISNUMBER(SEARCH("Did NOT",IS578)),"0. Harmful",IF(ISNUMBER(SEARCH("well",IS578)),IF(IX578=3,"4. Transformative",IF(IX578&gt;=1,"3. Responsive",IF(IX578=0,"No marker score",""))),IF(ISNUMBER(SEARCH(".",IS578)),IF(IX578&gt;=3,"2. Sensitive",IF(IX578&gt;=1,"1. Neutral","0. Harmful")))))))</f>
        <v>2. Sensitive</v>
      </c>
      <c r="IX578" s="12">
        <f t="shared" ref="IX578:IX641" si="393">COUNTIF(IT578:IV578,"=YES")</f>
        <v>3</v>
      </c>
      <c r="IY578" s="12" t="s">
        <v>419</v>
      </c>
      <c r="IZ578" s="12" t="s">
        <v>457</v>
      </c>
      <c r="JA578" s="12">
        <v>2</v>
      </c>
      <c r="JB578" s="12" t="s">
        <v>831</v>
      </c>
      <c r="JC578" s="12" t="s">
        <v>585</v>
      </c>
      <c r="JD578" s="12" t="s">
        <v>651</v>
      </c>
      <c r="JE578" s="12" t="s">
        <v>420</v>
      </c>
      <c r="JF578" s="12"/>
      <c r="JG578" s="12" t="s">
        <v>9641</v>
      </c>
      <c r="JH578" s="12" t="s">
        <v>9642</v>
      </c>
      <c r="JI578" s="12"/>
      <c r="JJ578" s="12"/>
      <c r="JK578" s="12" t="s">
        <v>9643</v>
      </c>
      <c r="JL578" s="12"/>
      <c r="JM578" s="12"/>
      <c r="JN578" s="12" t="s">
        <v>9638</v>
      </c>
      <c r="JO578" s="12"/>
      <c r="JP578" s="15">
        <f t="shared" ref="JP578:JP641" si="394">MAX(CF578,EM578)</f>
        <v>10012</v>
      </c>
      <c r="JQ578" s="15">
        <f t="shared" ref="JQ578:JQ641" si="395">MAX(CI578,EP578)</f>
        <v>50000</v>
      </c>
      <c r="JR578" s="279">
        <f t="shared" ref="JR578:JR641" si="396">IFERROR(JQ578/JP578,"")</f>
        <v>4.9940071913703559</v>
      </c>
      <c r="JS578" s="17">
        <f t="shared" ref="JS578:JS641" si="397">IFERROR(MAX(CD578,EK578)/JP578,"")</f>
        <v>0.5</v>
      </c>
      <c r="JT578" s="18">
        <f t="shared" ref="JT578:JT641" si="398">IFERROR(MAX(CG578,EN578)/JQ578,"")</f>
        <v>0.5</v>
      </c>
      <c r="JU578" s="280">
        <f t="shared" ref="JU578:JU641" si="399">IFERROR(MAX(CD578,EK578),"")</f>
        <v>5006</v>
      </c>
      <c r="JV578" s="280">
        <f t="shared" ref="JV578:JV641" si="400">IFERROR(MAX(CG578,EN578),"")</f>
        <v>25000</v>
      </c>
      <c r="JW578" s="319">
        <f t="shared" ref="JW578:JW641" si="401">IF(BO578="yes",1,"")</f>
        <v>1</v>
      </c>
      <c r="JX578" s="15">
        <f t="shared" ref="JX578:JX641" si="402">CF578</f>
        <v>10012</v>
      </c>
      <c r="JY578" s="15">
        <f t="shared" ref="JY578:JY641" si="403">CI578</f>
        <v>50000</v>
      </c>
      <c r="JZ578" s="19">
        <f t="shared" ref="JZ578:JZ641" si="404">IFERROR(JY578/JX578,"")</f>
        <v>4.9940071913703559</v>
      </c>
      <c r="KA578" s="52">
        <f t="shared" ref="KA578:KA641" si="405">IF((OR(CV578="yes", DL578="yes", EQ578="yes", EU578="yes", FC578="yes", FG578="yes", FO578="yes", GI578="yes", GU578="yes")), 1, "")</f>
        <v>1</v>
      </c>
      <c r="KB578" s="15">
        <f t="shared" ref="KB578:KB641" si="406">MAX(CW578,DM578,ER578,EV578,FD578,FH578,FP578,GJ578,GV578)</f>
        <v>10012</v>
      </c>
      <c r="KC578" s="15">
        <f t="shared" ref="KC578:KC641" si="407">MAX(CY578,DO578,ET578,EX578,FF578,FJ578,FR578,GL578,GX578)</f>
        <v>52548</v>
      </c>
      <c r="KD578" s="20">
        <f t="shared" ref="KD578:KD641" si="408">IFERROR(KC578/KB578,"")</f>
        <v>5.2485017978425885</v>
      </c>
      <c r="KE578" s="52" t="str">
        <f t="shared" ref="KE578:KE641" si="409">IF((OR(DT578="yes", GQ578="yes")), 1, "")</f>
        <v/>
      </c>
      <c r="KF578" s="15">
        <f t="shared" ref="KF578:KF641" si="410">MAX(DU578,GR578)</f>
        <v>0</v>
      </c>
      <c r="KG578" s="15">
        <f t="shared" ref="KG578:KG641" si="411">MAX(DW578,GT578)</f>
        <v>0</v>
      </c>
      <c r="KH578" s="21" t="str">
        <f t="shared" ref="KH578:KH641" si="412">IFERROR(KG578/KF578,"")</f>
        <v/>
      </c>
      <c r="KI578" s="52" t="str">
        <f t="shared" ref="KI578:KI641" si="413">IF((OR(CZ578="yes", FS578="yes")), 1, "")</f>
        <v/>
      </c>
      <c r="KJ578" s="15">
        <f t="shared" ref="KJ578:KJ641" si="414">MAX(DA578,FT578)</f>
        <v>0</v>
      </c>
      <c r="KK578" s="15">
        <f t="shared" ref="KK578:KK641" si="415">MAX(DC578,FV578)</f>
        <v>0</v>
      </c>
      <c r="KL578" s="19" t="str">
        <f t="shared" ref="KL578:KL641" si="416">IFERROR(KK578/KJ578,"")</f>
        <v/>
      </c>
      <c r="KM578" s="52" t="str">
        <f t="shared" ref="KM578:KM641" si="417">IF((OR(FG578="yes", GY578="yes")), 1, "")</f>
        <v/>
      </c>
      <c r="KN578" s="22">
        <f t="shared" ref="KN578:KN641" si="418">IFERROR(MAX((FH578*FI578),GZ578),"")</f>
        <v>0</v>
      </c>
      <c r="KO578" s="22">
        <f t="shared" ref="KO578:KO641" si="419">IFERROR(MAX((FJ578*FI578),HB578),"")</f>
        <v>0</v>
      </c>
      <c r="KP578" s="19" t="str">
        <f t="shared" ref="KP578:KP641" si="420">IFERROR(KO578/KN578,"")</f>
        <v/>
      </c>
      <c r="KQ578" s="11" t="str">
        <f t="shared" ref="KQ578:KQ641" si="421">IJ578</f>
        <v>2. Sensitive</v>
      </c>
      <c r="KR578" s="11" t="str">
        <f t="shared" ref="KR578:KR641" si="422">IQ578</f>
        <v>2. Accommodating</v>
      </c>
      <c r="KS578" s="11" t="str">
        <f t="shared" ref="KS578:KS641" si="423">IW578</f>
        <v>2. Sensitive</v>
      </c>
      <c r="KT578" s="11" t="str">
        <f t="shared" ref="KT578:KT641" si="424">HZ578</f>
        <v>It tested new ways for fighting poverty, but did not measure results of innovation</v>
      </c>
      <c r="KU578" s="11" t="str">
        <f t="shared" ref="KU578:KU641" si="425">HP578</f>
        <v>Moderate advocacy</v>
      </c>
      <c r="KV578" s="11" t="str">
        <f t="shared" ref="KV578:KV641" si="426">IB578</f>
        <v>It did not take tested solutions to scale</v>
      </c>
      <c r="KW578" s="11" t="str">
        <f t="shared" ref="KW578:KW641" si="427">A578&amp;" - "&amp;D578</f>
        <v>Papua New Guinea - El Niño WASH Preparedness</v>
      </c>
      <c r="KX578" s="11" t="str">
        <f t="shared" ref="KX578:KX641" si="428">D578</f>
        <v>El Niño WASH Preparedness</v>
      </c>
      <c r="KY578" s="11" t="str">
        <f t="shared" ref="KY578:KY641" si="429">A578</f>
        <v>Papua New Guinea</v>
      </c>
      <c r="KZ578" s="287">
        <v>578</v>
      </c>
    </row>
    <row r="579" spans="1:312" x14ac:dyDescent="0.3">
      <c r="A579" s="282" t="s">
        <v>9516</v>
      </c>
      <c r="B579" s="282" t="s">
        <v>306</v>
      </c>
      <c r="C579" s="282">
        <v>3287</v>
      </c>
      <c r="D579" s="282" t="s">
        <v>9644</v>
      </c>
      <c r="E579" s="277" t="str">
        <f t="shared" si="387"/>
        <v>Papua New Guinea</v>
      </c>
      <c r="F579" s="282" t="s">
        <v>9645</v>
      </c>
      <c r="G579" s="282" t="s">
        <v>309</v>
      </c>
      <c r="H579" s="282" t="s">
        <v>310</v>
      </c>
      <c r="I579" s="282" t="s">
        <v>311</v>
      </c>
      <c r="J579" s="278" t="s">
        <v>14574</v>
      </c>
      <c r="K579" s="282" t="s">
        <v>9646</v>
      </c>
      <c r="L579" s="282" t="s">
        <v>309</v>
      </c>
      <c r="M579" s="282" t="s">
        <v>310</v>
      </c>
      <c r="N579" s="282" t="s">
        <v>311</v>
      </c>
      <c r="O579" s="282" t="s">
        <v>9647</v>
      </c>
      <c r="P579" s="282" t="s">
        <v>9648</v>
      </c>
      <c r="Q579" s="282"/>
      <c r="R579" s="282" t="s">
        <v>310</v>
      </c>
      <c r="S579" s="282" t="s">
        <v>384</v>
      </c>
      <c r="T579" s="282" t="s">
        <v>9649</v>
      </c>
      <c r="U579" s="282" t="s">
        <v>9650</v>
      </c>
      <c r="V579" s="282"/>
      <c r="W579" s="282" t="s">
        <v>310</v>
      </c>
      <c r="X579" s="282" t="s">
        <v>384</v>
      </c>
      <c r="Y579" s="282" t="s">
        <v>9651</v>
      </c>
      <c r="Z579" s="282"/>
      <c r="AA579" s="282"/>
      <c r="AB579" s="282"/>
      <c r="AC579" s="282"/>
      <c r="AD579" s="282"/>
      <c r="AE579" s="282"/>
      <c r="AF579" s="282"/>
      <c r="AG579" s="282"/>
      <c r="AH579" s="282"/>
      <c r="AI579" s="282"/>
      <c r="AJ579" s="282"/>
      <c r="AK579" s="282"/>
      <c r="AL579" s="282"/>
      <c r="AM579" s="282"/>
      <c r="AN579" s="282"/>
      <c r="AO579" s="282"/>
      <c r="AP579" s="282"/>
      <c r="AQ579" s="282"/>
      <c r="AR579" s="282"/>
      <c r="AS579" s="282"/>
      <c r="AT579" s="282"/>
      <c r="AU579" s="282"/>
      <c r="AV579" s="282"/>
      <c r="AW579" s="282"/>
      <c r="AX579" s="282"/>
      <c r="AY579" s="282"/>
      <c r="AZ579" s="282"/>
      <c r="BA579" s="282"/>
      <c r="BB579" s="282"/>
      <c r="BC579" s="282"/>
      <c r="BD579" s="283">
        <v>42186</v>
      </c>
      <c r="BE579" s="283">
        <v>42916</v>
      </c>
      <c r="BF579" s="283">
        <v>43099</v>
      </c>
      <c r="BG579" s="283" t="s">
        <v>490</v>
      </c>
      <c r="BH579" s="284">
        <v>1199020</v>
      </c>
      <c r="BI579" s="282" t="s">
        <v>9519</v>
      </c>
      <c r="BJ579" s="282" t="s">
        <v>9652</v>
      </c>
      <c r="BK579" s="282" t="s">
        <v>9653</v>
      </c>
      <c r="BL579" s="282"/>
      <c r="BM579" s="282"/>
      <c r="BN579" s="282"/>
      <c r="BO579" s="12" t="s">
        <v>319</v>
      </c>
      <c r="BP579" s="12" t="s">
        <v>320</v>
      </c>
      <c r="BQ579" s="12" t="s">
        <v>319</v>
      </c>
      <c r="BR579" s="282" t="s">
        <v>9654</v>
      </c>
      <c r="BS579" s="282" t="s">
        <v>357</v>
      </c>
      <c r="BT579" s="282" t="s">
        <v>9655</v>
      </c>
      <c r="BU579" s="282" t="s">
        <v>9656</v>
      </c>
      <c r="BV579" s="284">
        <v>3327</v>
      </c>
      <c r="BW579" s="284">
        <v>2895</v>
      </c>
      <c r="BX579" s="284">
        <v>6222</v>
      </c>
      <c r="BY579" s="284"/>
      <c r="BZ579" s="284"/>
      <c r="CA579" s="284"/>
      <c r="CB579" s="285" t="s">
        <v>9657</v>
      </c>
      <c r="CC579" s="285"/>
      <c r="CD579" s="284"/>
      <c r="CE579" s="284"/>
      <c r="CF579" s="284"/>
      <c r="CG579" s="284"/>
      <c r="CH579" s="284"/>
      <c r="CI579" s="284"/>
      <c r="CJ579" s="282"/>
      <c r="CK579" s="284"/>
      <c r="CL579" s="286"/>
      <c r="CM579" s="284"/>
      <c r="CN579" s="287"/>
      <c r="CO579" s="284"/>
      <c r="CP579" s="286"/>
      <c r="CQ579" s="284"/>
      <c r="CR579" s="282"/>
      <c r="CS579" s="284"/>
      <c r="CT579" s="286"/>
      <c r="CU579" s="284"/>
      <c r="CV579" s="289"/>
      <c r="CW579" s="300"/>
      <c r="CX579" s="308"/>
      <c r="CY579" s="300"/>
      <c r="CZ579" s="282"/>
      <c r="DA579" s="284"/>
      <c r="DB579" s="286"/>
      <c r="DC579" s="284"/>
      <c r="DD579" s="287"/>
      <c r="DE579" s="284"/>
      <c r="DF579" s="286"/>
      <c r="DG579" s="284"/>
      <c r="DH579" s="282"/>
      <c r="DI579" s="284"/>
      <c r="DJ579" s="286"/>
      <c r="DK579" s="284"/>
      <c r="DL579" s="282"/>
      <c r="DM579" s="284"/>
      <c r="DN579" s="286"/>
      <c r="DO579" s="284"/>
      <c r="DP579" s="282"/>
      <c r="DQ579" s="284"/>
      <c r="DR579" s="286"/>
      <c r="DS579" s="284"/>
      <c r="DT579" s="282"/>
      <c r="DU579" s="284"/>
      <c r="DV579" s="286"/>
      <c r="DW579" s="284"/>
      <c r="DX579" s="282"/>
      <c r="DY579" s="284"/>
      <c r="DZ579" s="286"/>
      <c r="EA579" s="284"/>
      <c r="EB579" s="282"/>
      <c r="EC579" s="284"/>
      <c r="ED579" s="286"/>
      <c r="EE579" s="284"/>
      <c r="EF579" s="285"/>
      <c r="EG579" s="287"/>
      <c r="EH579" s="284"/>
      <c r="EI579" s="286"/>
      <c r="EJ579" s="284"/>
      <c r="EK579" s="284">
        <v>3327</v>
      </c>
      <c r="EL579" s="284">
        <v>2895</v>
      </c>
      <c r="EM579" s="284">
        <v>6222</v>
      </c>
      <c r="EN579" s="284"/>
      <c r="EO579" s="284"/>
      <c r="EP579" s="284"/>
      <c r="EQ579" s="282" t="s">
        <v>319</v>
      </c>
      <c r="ER579" s="284"/>
      <c r="ES579" s="286"/>
      <c r="ET579" s="284"/>
      <c r="EU579" s="305" t="s">
        <v>320</v>
      </c>
      <c r="EV579" s="300">
        <v>761</v>
      </c>
      <c r="EW579" s="308">
        <v>0.56999999999999995</v>
      </c>
      <c r="EX579" s="300">
        <v>1700</v>
      </c>
      <c r="EY579" s="282" t="s">
        <v>319</v>
      </c>
      <c r="EZ579" s="284"/>
      <c r="FA579" s="286"/>
      <c r="FB579" s="284"/>
      <c r="FC579" s="282" t="s">
        <v>319</v>
      </c>
      <c r="FD579" s="284"/>
      <c r="FE579" s="286"/>
      <c r="FF579" s="284"/>
      <c r="FG579" s="282" t="s">
        <v>319</v>
      </c>
      <c r="FH579" s="284"/>
      <c r="FI579" s="286"/>
      <c r="FJ579" s="284"/>
      <c r="FK579" s="282" t="s">
        <v>319</v>
      </c>
      <c r="FL579" s="284"/>
      <c r="FM579" s="286"/>
      <c r="FN579" s="284"/>
      <c r="FO579" s="305" t="s">
        <v>320</v>
      </c>
      <c r="FP579" s="300">
        <v>761</v>
      </c>
      <c r="FQ579" s="308">
        <v>0.56999999999999995</v>
      </c>
      <c r="FR579" s="300">
        <v>1700</v>
      </c>
      <c r="FS579" s="282" t="s">
        <v>319</v>
      </c>
      <c r="FT579" s="284"/>
      <c r="FU579" s="286"/>
      <c r="FV579" s="284"/>
      <c r="FW579" s="282" t="s">
        <v>319</v>
      </c>
      <c r="FX579" s="284"/>
      <c r="FY579" s="286"/>
      <c r="FZ579" s="284"/>
      <c r="GA579" s="282" t="s">
        <v>320</v>
      </c>
      <c r="GB579" s="284">
        <v>3274</v>
      </c>
      <c r="GC579" s="286">
        <v>0.56999999999999995</v>
      </c>
      <c r="GD579" s="284"/>
      <c r="GE579" s="282" t="s">
        <v>319</v>
      </c>
      <c r="GF579" s="284"/>
      <c r="GG579" s="286"/>
      <c r="GH579" s="284"/>
      <c r="GI579" s="282" t="s">
        <v>319</v>
      </c>
      <c r="GJ579" s="284"/>
      <c r="GK579" s="286"/>
      <c r="GL579" s="284"/>
      <c r="GM579" s="282" t="s">
        <v>319</v>
      </c>
      <c r="GN579" s="284"/>
      <c r="GO579" s="286"/>
      <c r="GP579" s="284"/>
      <c r="GQ579" s="282" t="s">
        <v>320</v>
      </c>
      <c r="GR579" s="284">
        <v>2948</v>
      </c>
      <c r="GS579" s="286">
        <v>0.56000000000000005</v>
      </c>
      <c r="GT579" s="284"/>
      <c r="GU579" s="282" t="s">
        <v>320</v>
      </c>
      <c r="GV579" s="284">
        <v>2034</v>
      </c>
      <c r="GW579" s="286">
        <v>0.51</v>
      </c>
      <c r="GX579" s="284"/>
      <c r="GY579" s="282" t="s">
        <v>319</v>
      </c>
      <c r="GZ579" s="284"/>
      <c r="HA579" s="286"/>
      <c r="HB579" s="284"/>
      <c r="HC579" s="282"/>
      <c r="HD579" s="282"/>
      <c r="HE579" s="284"/>
      <c r="HF579" s="286"/>
      <c r="HG579" s="284"/>
      <c r="HH579" s="282" t="s">
        <v>320</v>
      </c>
      <c r="HI579" s="282" t="s">
        <v>451</v>
      </c>
      <c r="HJ579" s="282">
        <v>2017</v>
      </c>
      <c r="HK579" s="282" t="s">
        <v>320</v>
      </c>
      <c r="HL579" s="282" t="s">
        <v>319</v>
      </c>
      <c r="HM579" s="282"/>
      <c r="HN579" s="282"/>
      <c r="HO579" s="282"/>
      <c r="HP579" s="282" t="s">
        <v>330</v>
      </c>
      <c r="HQ579" s="282"/>
      <c r="HR579" s="282"/>
      <c r="HS579" s="282"/>
      <c r="HT579" s="282" t="s">
        <v>320</v>
      </c>
      <c r="HU579" s="282"/>
      <c r="HV579" s="282"/>
      <c r="HW579" s="282"/>
      <c r="HX579" s="282"/>
      <c r="HY579" s="282"/>
      <c r="HZ579" s="282" t="s">
        <v>363</v>
      </c>
      <c r="IA579" s="282"/>
      <c r="IB579" s="282" t="s">
        <v>333</v>
      </c>
      <c r="IC579" s="282"/>
      <c r="ID579" s="282" t="s">
        <v>334</v>
      </c>
      <c r="IE579" s="282" t="s">
        <v>478</v>
      </c>
      <c r="IF579" s="282" t="s">
        <v>320</v>
      </c>
      <c r="IG579" s="282" t="s">
        <v>320</v>
      </c>
      <c r="IH579" s="282" t="s">
        <v>320</v>
      </c>
      <c r="II579" s="282" t="s">
        <v>320</v>
      </c>
      <c r="IJ579" s="12" t="str">
        <f t="shared" si="388"/>
        <v>4. Transformative</v>
      </c>
      <c r="IK579" s="287">
        <f t="shared" si="389"/>
        <v>4</v>
      </c>
      <c r="IL579" s="282" t="s">
        <v>336</v>
      </c>
      <c r="IM579" s="282" t="s">
        <v>320</v>
      </c>
      <c r="IN579" s="282" t="s">
        <v>320</v>
      </c>
      <c r="IO579" s="282" t="s">
        <v>320</v>
      </c>
      <c r="IP579" s="282" t="s">
        <v>320</v>
      </c>
      <c r="IQ579" s="287" t="str">
        <f t="shared" si="390"/>
        <v>2. Accommodating</v>
      </c>
      <c r="IR579" s="287">
        <f t="shared" si="391"/>
        <v>4</v>
      </c>
      <c r="IS579" s="282" t="s">
        <v>622</v>
      </c>
      <c r="IT579" s="282" t="s">
        <v>319</v>
      </c>
      <c r="IU579" s="282" t="s">
        <v>319</v>
      </c>
      <c r="IV579" s="282" t="s">
        <v>320</v>
      </c>
      <c r="IW579" s="11" t="str">
        <f t="shared" si="392"/>
        <v>3. Responsive</v>
      </c>
      <c r="IX579" s="287">
        <f t="shared" si="393"/>
        <v>1</v>
      </c>
      <c r="IY579" s="282" t="s">
        <v>338</v>
      </c>
      <c r="IZ579" s="282" t="s">
        <v>527</v>
      </c>
      <c r="JA579" s="282">
        <v>2</v>
      </c>
      <c r="JB579" s="282" t="s">
        <v>687</v>
      </c>
      <c r="JC579" s="282" t="s">
        <v>433</v>
      </c>
      <c r="JD579" s="282" t="s">
        <v>623</v>
      </c>
      <c r="JE579" s="282" t="s">
        <v>420</v>
      </c>
      <c r="JF579" s="282"/>
      <c r="JG579" s="282"/>
      <c r="JH579" s="282" t="s">
        <v>9658</v>
      </c>
      <c r="JI579" s="282" t="s">
        <v>9659</v>
      </c>
      <c r="JJ579" s="282" t="s">
        <v>9660</v>
      </c>
      <c r="JK579" s="282" t="s">
        <v>9661</v>
      </c>
      <c r="JL579" s="282" t="s">
        <v>9662</v>
      </c>
      <c r="JM579" s="282"/>
      <c r="JN579" s="282"/>
      <c r="JO579" s="282"/>
      <c r="JP579" s="15">
        <f t="shared" si="394"/>
        <v>6222</v>
      </c>
      <c r="JQ579" s="15">
        <f t="shared" si="395"/>
        <v>0</v>
      </c>
      <c r="JR579" s="279">
        <f t="shared" si="396"/>
        <v>0</v>
      </c>
      <c r="JS579" s="17">
        <f t="shared" si="397"/>
        <v>0.53471552555448409</v>
      </c>
      <c r="JT579" s="18" t="str">
        <f t="shared" si="398"/>
        <v/>
      </c>
      <c r="JU579" s="280">
        <f t="shared" si="399"/>
        <v>3327</v>
      </c>
      <c r="JV579" s="280">
        <f t="shared" si="400"/>
        <v>0</v>
      </c>
      <c r="JW579" s="319" t="str">
        <f t="shared" si="401"/>
        <v/>
      </c>
      <c r="JX579" s="15">
        <f t="shared" si="402"/>
        <v>0</v>
      </c>
      <c r="JY579" s="15">
        <f t="shared" si="403"/>
        <v>0</v>
      </c>
      <c r="JZ579" s="19" t="str">
        <f t="shared" si="404"/>
        <v/>
      </c>
      <c r="KA579" s="52">
        <f t="shared" si="405"/>
        <v>1</v>
      </c>
      <c r="KB579" s="15">
        <f t="shared" si="406"/>
        <v>2034</v>
      </c>
      <c r="KC579" s="15">
        <f t="shared" si="407"/>
        <v>1700</v>
      </c>
      <c r="KD579" s="20">
        <f t="shared" si="408"/>
        <v>0.83579154375614551</v>
      </c>
      <c r="KE579" s="52">
        <f t="shared" si="409"/>
        <v>1</v>
      </c>
      <c r="KF579" s="15">
        <f t="shared" si="410"/>
        <v>2948</v>
      </c>
      <c r="KG579" s="15">
        <f t="shared" si="411"/>
        <v>0</v>
      </c>
      <c r="KH579" s="21">
        <f t="shared" si="412"/>
        <v>0</v>
      </c>
      <c r="KI579" s="52" t="str">
        <f t="shared" si="413"/>
        <v/>
      </c>
      <c r="KJ579" s="15">
        <f t="shared" si="414"/>
        <v>0</v>
      </c>
      <c r="KK579" s="15">
        <f t="shared" si="415"/>
        <v>0</v>
      </c>
      <c r="KL579" s="19" t="str">
        <f t="shared" si="416"/>
        <v/>
      </c>
      <c r="KM579" s="52" t="str">
        <f t="shared" si="417"/>
        <v/>
      </c>
      <c r="KN579" s="22">
        <f t="shared" si="418"/>
        <v>0</v>
      </c>
      <c r="KO579" s="22">
        <f t="shared" si="419"/>
        <v>0</v>
      </c>
      <c r="KP579" s="19" t="str">
        <f t="shared" si="420"/>
        <v/>
      </c>
      <c r="KQ579" s="11" t="str">
        <f t="shared" si="421"/>
        <v>4. Transformative</v>
      </c>
      <c r="KR579" s="11" t="str">
        <f t="shared" si="422"/>
        <v>2. Accommodating</v>
      </c>
      <c r="KS579" s="11" t="str">
        <f t="shared" si="423"/>
        <v>3. Responsive</v>
      </c>
      <c r="KT579" s="11" t="str">
        <f t="shared" si="424"/>
        <v>It did not develop any specific innovation</v>
      </c>
      <c r="KU579" s="11" t="str">
        <f t="shared" si="425"/>
        <v>Moderate advocacy</v>
      </c>
      <c r="KV579" s="11" t="str">
        <f t="shared" si="426"/>
        <v>It did not take tested solutions to scale</v>
      </c>
      <c r="KW579" s="11" t="str">
        <f t="shared" si="427"/>
        <v>Papua New Guinea - Highlands Sexual reproductive and maternal health project</v>
      </c>
      <c r="KX579" s="11" t="str">
        <f t="shared" si="428"/>
        <v>Highlands Sexual reproductive and maternal health project</v>
      </c>
      <c r="KY579" s="11" t="str">
        <f t="shared" si="429"/>
        <v>Papua New Guinea</v>
      </c>
      <c r="KZ579" s="12">
        <v>579</v>
      </c>
    </row>
    <row r="580" spans="1:312" x14ac:dyDescent="0.3">
      <c r="A580" s="12" t="s">
        <v>9516</v>
      </c>
      <c r="B580" s="12" t="s">
        <v>306</v>
      </c>
      <c r="C580" s="12">
        <v>3294</v>
      </c>
      <c r="D580" s="12" t="s">
        <v>9663</v>
      </c>
      <c r="E580" s="277" t="str">
        <f t="shared" si="387"/>
        <v>Papua New Guinea</v>
      </c>
      <c r="F580" s="12" t="s">
        <v>9664</v>
      </c>
      <c r="G580" s="12" t="s">
        <v>309</v>
      </c>
      <c r="H580" s="12" t="s">
        <v>310</v>
      </c>
      <c r="I580" s="12" t="s">
        <v>655</v>
      </c>
      <c r="J580" s="281" t="s">
        <v>14727</v>
      </c>
      <c r="K580" s="12"/>
      <c r="L580" s="12"/>
      <c r="M580" s="12"/>
      <c r="N580" s="12"/>
      <c r="O580" s="12"/>
      <c r="P580" s="12"/>
      <c r="Q580" s="12"/>
      <c r="R580" s="12"/>
      <c r="S580" s="12"/>
      <c r="T580" s="12"/>
      <c r="U580" s="12"/>
      <c r="V580" s="12"/>
      <c r="W580" s="12"/>
      <c r="X580" s="12"/>
      <c r="Y580" s="12"/>
      <c r="Z580" s="12"/>
      <c r="AA580" s="12"/>
      <c r="AB580" s="12"/>
      <c r="AC580" s="12"/>
      <c r="AD580" s="12"/>
      <c r="BD580" s="13">
        <v>42073</v>
      </c>
      <c r="BE580" s="13">
        <v>42613</v>
      </c>
      <c r="BF580" s="13">
        <v>42825</v>
      </c>
      <c r="BG580" s="12" t="s">
        <v>749</v>
      </c>
      <c r="BH580" s="14">
        <v>855404</v>
      </c>
      <c r="BI580" s="12" t="s">
        <v>9557</v>
      </c>
      <c r="BJ580" s="12" t="s">
        <v>9558</v>
      </c>
      <c r="BK580" s="12" t="s">
        <v>9559</v>
      </c>
      <c r="BL580" s="12" t="s">
        <v>9519</v>
      </c>
      <c r="BM580" s="12" t="s">
        <v>9560</v>
      </c>
      <c r="BN580" s="12" t="s">
        <v>9521</v>
      </c>
      <c r="BO580" s="12" t="s">
        <v>319</v>
      </c>
      <c r="BP580" s="12" t="s">
        <v>320</v>
      </c>
      <c r="BQ580" s="12" t="s">
        <v>319</v>
      </c>
      <c r="BR580" s="12" t="s">
        <v>9665</v>
      </c>
      <c r="BS580" s="12" t="s">
        <v>357</v>
      </c>
      <c r="BT580" s="12" t="s">
        <v>9666</v>
      </c>
      <c r="BU580" s="12" t="s">
        <v>9667</v>
      </c>
      <c r="BV580" s="14">
        <v>600</v>
      </c>
      <c r="BW580" s="14">
        <v>600</v>
      </c>
      <c r="BX580" s="14">
        <v>1200</v>
      </c>
      <c r="BY580" s="14">
        <v>1200</v>
      </c>
      <c r="BZ580" s="14">
        <v>1200</v>
      </c>
      <c r="CA580" s="14">
        <v>2400</v>
      </c>
      <c r="CB580" s="12" t="s">
        <v>9668</v>
      </c>
      <c r="CD580" s="14"/>
      <c r="CE580" s="14"/>
      <c r="CF580" s="14"/>
      <c r="CG580" s="14"/>
      <c r="CH580" s="14"/>
      <c r="CI580" s="14"/>
      <c r="CJ580" s="12"/>
      <c r="CK580" s="14"/>
      <c r="CL580" s="16"/>
      <c r="CM580" s="14"/>
      <c r="CN580" s="12"/>
      <c r="CO580" s="14"/>
      <c r="CP580" s="16"/>
      <c r="CQ580" s="14"/>
      <c r="CR580" s="12"/>
      <c r="CS580" s="14"/>
      <c r="CT580" s="16"/>
      <c r="CU580" s="14"/>
      <c r="CV580" s="12"/>
      <c r="CW580" s="14"/>
      <c r="CX580" s="16"/>
      <c r="CY580" s="14"/>
      <c r="CZ580" s="12"/>
      <c r="DA580" s="14"/>
      <c r="DB580" s="16"/>
      <c r="DC580" s="14"/>
      <c r="DD580" s="12"/>
      <c r="DE580" s="14"/>
      <c r="DF580" s="16"/>
      <c r="DG580" s="14"/>
      <c r="DH580" s="12"/>
      <c r="DI580" s="14"/>
      <c r="DJ580" s="16"/>
      <c r="DK580" s="14"/>
      <c r="DL580" s="12"/>
      <c r="DM580" s="14"/>
      <c r="DN580" s="16"/>
      <c r="DO580" s="14"/>
      <c r="DP580" s="12"/>
      <c r="DQ580" s="14"/>
      <c r="DR580" s="16"/>
      <c r="DS580" s="14"/>
      <c r="DT580" s="12"/>
      <c r="DU580" s="14"/>
      <c r="DV580" s="16"/>
      <c r="DW580" s="14"/>
      <c r="DX580" s="12"/>
      <c r="DY580" s="14"/>
      <c r="DZ580" s="16"/>
      <c r="EA580" s="14"/>
      <c r="EB580" s="12"/>
      <c r="EC580" s="14"/>
      <c r="ED580" s="16"/>
      <c r="EE580" s="14"/>
      <c r="EF580" s="12"/>
      <c r="EG580" s="12"/>
      <c r="EH580" s="14"/>
      <c r="EI580" s="16"/>
      <c r="EJ580" s="14"/>
      <c r="EK580" s="14">
        <v>434</v>
      </c>
      <c r="EL580" s="14">
        <v>327</v>
      </c>
      <c r="EM580" s="14">
        <v>761</v>
      </c>
      <c r="EN580" s="14">
        <v>1000</v>
      </c>
      <c r="EO580" s="14">
        <v>700</v>
      </c>
      <c r="EP580" s="14">
        <v>1700</v>
      </c>
      <c r="EQ580" s="12" t="s">
        <v>320</v>
      </c>
      <c r="ER580" s="14"/>
      <c r="ES580" s="16"/>
      <c r="ET580" s="14"/>
      <c r="EU580" s="12" t="s">
        <v>320</v>
      </c>
      <c r="EV580" s="14"/>
      <c r="EW580" s="16"/>
      <c r="EX580" s="14"/>
      <c r="EY580" s="12"/>
      <c r="EZ580" s="14"/>
      <c r="FA580" s="16"/>
      <c r="FB580" s="14"/>
      <c r="FC580" s="12"/>
      <c r="FD580" s="14"/>
      <c r="FE580" s="16"/>
      <c r="FF580" s="14"/>
      <c r="FG580" s="12"/>
      <c r="FH580" s="14"/>
      <c r="FI580" s="16"/>
      <c r="FJ580" s="14"/>
      <c r="FK580" s="12"/>
      <c r="FL580" s="14"/>
      <c r="FM580" s="16"/>
      <c r="FN580" s="14"/>
      <c r="FO580" s="12" t="s">
        <v>320</v>
      </c>
      <c r="FP580" s="14"/>
      <c r="FQ580" s="16"/>
      <c r="FR580" s="14"/>
      <c r="FS580" s="12"/>
      <c r="FT580" s="14"/>
      <c r="FU580" s="16"/>
      <c r="FV580" s="14"/>
      <c r="FW580" s="12" t="s">
        <v>320</v>
      </c>
      <c r="FX580" s="14"/>
      <c r="FY580" s="16"/>
      <c r="FZ580" s="14"/>
      <c r="GA580" s="12"/>
      <c r="GB580" s="14"/>
      <c r="GC580" s="16"/>
      <c r="GD580" s="14"/>
      <c r="GE580" s="12"/>
      <c r="GF580" s="14"/>
      <c r="GG580" s="16"/>
      <c r="GH580" s="14"/>
      <c r="GI580" s="12" t="s">
        <v>320</v>
      </c>
      <c r="GJ580" s="14"/>
      <c r="GK580" s="16"/>
      <c r="GL580" s="14"/>
      <c r="GM580" s="12"/>
      <c r="GN580" s="14"/>
      <c r="GO580" s="16"/>
      <c r="GP580" s="14"/>
      <c r="GQ580" s="12"/>
      <c r="GR580" s="14"/>
      <c r="GS580" s="16"/>
      <c r="GT580" s="14"/>
      <c r="GU580" s="12"/>
      <c r="GV580" s="14"/>
      <c r="GW580" s="16"/>
      <c r="GX580" s="14"/>
      <c r="GY580" s="12"/>
      <c r="GZ580" s="14"/>
      <c r="HA580" s="16"/>
      <c r="HB580" s="14"/>
      <c r="HC580" s="12"/>
      <c r="HD580" s="12"/>
      <c r="HE580" s="14"/>
      <c r="HF580" s="16"/>
      <c r="HG580" s="14"/>
      <c r="HH580" s="12" t="s">
        <v>320</v>
      </c>
      <c r="HI580" s="12" t="s">
        <v>560</v>
      </c>
      <c r="HJ580" s="12">
        <v>2017</v>
      </c>
      <c r="HK580" s="12" t="s">
        <v>320</v>
      </c>
      <c r="HL580" s="12" t="s">
        <v>319</v>
      </c>
      <c r="HM580" s="12"/>
      <c r="HN580" s="12"/>
      <c r="HO580" s="12" t="s">
        <v>9669</v>
      </c>
      <c r="HP580" s="12" t="s">
        <v>418</v>
      </c>
      <c r="HQ580" s="12" t="s">
        <v>320</v>
      </c>
      <c r="HR580" s="12"/>
      <c r="HS580" s="12" t="s">
        <v>320</v>
      </c>
      <c r="HT580" s="12"/>
      <c r="HU580" s="12"/>
      <c r="HV580" s="12"/>
      <c r="HW580" s="12"/>
      <c r="HX580" s="12"/>
      <c r="HY580" s="12"/>
      <c r="HZ580" s="12" t="s">
        <v>363</v>
      </c>
      <c r="IA580" s="12"/>
      <c r="IB580" s="12"/>
      <c r="IC580" s="12"/>
      <c r="ID580" s="12" t="s">
        <v>364</v>
      </c>
      <c r="IE580" s="12" t="s">
        <v>478</v>
      </c>
      <c r="IF580" s="12" t="s">
        <v>320</v>
      </c>
      <c r="IG580" s="12" t="s">
        <v>319</v>
      </c>
      <c r="IH580" s="12" t="s">
        <v>320</v>
      </c>
      <c r="II580" s="12" t="s">
        <v>319</v>
      </c>
      <c r="IJ580" s="12" t="str">
        <f t="shared" si="388"/>
        <v>3. Responsive</v>
      </c>
      <c r="IK580" s="12">
        <f t="shared" si="389"/>
        <v>2</v>
      </c>
      <c r="IL580" s="12" t="s">
        <v>723</v>
      </c>
      <c r="IM580" s="12" t="s">
        <v>320</v>
      </c>
      <c r="IN580" s="12" t="s">
        <v>319</v>
      </c>
      <c r="IO580" s="12" t="s">
        <v>319</v>
      </c>
      <c r="IP580" s="12" t="s">
        <v>319</v>
      </c>
      <c r="IQ580" s="12" t="str">
        <f t="shared" si="390"/>
        <v>0. Unaware</v>
      </c>
      <c r="IR580" s="12">
        <f t="shared" si="391"/>
        <v>1</v>
      </c>
      <c r="IS580" s="12" t="s">
        <v>622</v>
      </c>
      <c r="IT580" s="12" t="s">
        <v>319</v>
      </c>
      <c r="IU580" s="12" t="s">
        <v>319</v>
      </c>
      <c r="IV580" s="12" t="s">
        <v>320</v>
      </c>
      <c r="IW580" s="11" t="str">
        <f t="shared" si="392"/>
        <v>3. Responsive</v>
      </c>
      <c r="IX580" s="12">
        <f t="shared" si="393"/>
        <v>1</v>
      </c>
      <c r="IY580" s="12" t="s">
        <v>758</v>
      </c>
      <c r="IZ580" s="12" t="s">
        <v>432</v>
      </c>
      <c r="JA580" s="12">
        <v>4</v>
      </c>
      <c r="JB580" s="12" t="s">
        <v>624</v>
      </c>
      <c r="JC580" s="12" t="s">
        <v>831</v>
      </c>
      <c r="JD580" s="12" t="s">
        <v>687</v>
      </c>
      <c r="JE580" s="12" t="s">
        <v>365</v>
      </c>
      <c r="JF580" s="12" t="s">
        <v>9670</v>
      </c>
      <c r="JG580" s="12" t="s">
        <v>9671</v>
      </c>
      <c r="JH580" s="12" t="s">
        <v>9672</v>
      </c>
      <c r="JI580" s="12" t="s">
        <v>9673</v>
      </c>
      <c r="JJ580" s="12" t="s">
        <v>9674</v>
      </c>
      <c r="JK580" s="12" t="s">
        <v>9675</v>
      </c>
      <c r="JL580" s="12" t="s">
        <v>9676</v>
      </c>
      <c r="JM580" s="12" t="s">
        <v>9677</v>
      </c>
      <c r="JN580" s="12" t="s">
        <v>9678</v>
      </c>
      <c r="JO580" s="12" t="s">
        <v>9679</v>
      </c>
      <c r="JP580" s="15">
        <f t="shared" si="394"/>
        <v>761</v>
      </c>
      <c r="JQ580" s="15">
        <f t="shared" si="395"/>
        <v>1700</v>
      </c>
      <c r="JR580" s="279">
        <f t="shared" si="396"/>
        <v>2.2339027595269383</v>
      </c>
      <c r="JS580" s="17">
        <f t="shared" si="397"/>
        <v>0.57030223390275958</v>
      </c>
      <c r="JT580" s="18">
        <f t="shared" si="398"/>
        <v>0.58823529411764708</v>
      </c>
      <c r="JU580" s="280">
        <f t="shared" si="399"/>
        <v>434</v>
      </c>
      <c r="JV580" s="280">
        <f t="shared" si="400"/>
        <v>1000</v>
      </c>
      <c r="JW580" s="319" t="str">
        <f t="shared" si="401"/>
        <v/>
      </c>
      <c r="JX580" s="15">
        <f t="shared" si="402"/>
        <v>0</v>
      </c>
      <c r="JY580" s="15">
        <f t="shared" si="403"/>
        <v>0</v>
      </c>
      <c r="JZ580" s="19" t="str">
        <f t="shared" si="404"/>
        <v/>
      </c>
      <c r="KA580" s="52">
        <f t="shared" si="405"/>
        <v>1</v>
      </c>
      <c r="KB580" s="15">
        <f t="shared" si="406"/>
        <v>0</v>
      </c>
      <c r="KC580" s="15">
        <f t="shared" si="407"/>
        <v>0</v>
      </c>
      <c r="KD580" s="20" t="str">
        <f t="shared" si="408"/>
        <v/>
      </c>
      <c r="KE580" s="52" t="str">
        <f t="shared" si="409"/>
        <v/>
      </c>
      <c r="KF580" s="15">
        <f t="shared" si="410"/>
        <v>0</v>
      </c>
      <c r="KG580" s="15">
        <f t="shared" si="411"/>
        <v>0</v>
      </c>
      <c r="KH580" s="21" t="str">
        <f t="shared" si="412"/>
        <v/>
      </c>
      <c r="KI580" s="52" t="str">
        <f t="shared" si="413"/>
        <v/>
      </c>
      <c r="KJ580" s="15">
        <f t="shared" si="414"/>
        <v>0</v>
      </c>
      <c r="KK580" s="15">
        <f t="shared" si="415"/>
        <v>0</v>
      </c>
      <c r="KL580" s="19" t="str">
        <f t="shared" si="416"/>
        <v/>
      </c>
      <c r="KM580" s="52" t="str">
        <f t="shared" si="417"/>
        <v/>
      </c>
      <c r="KN580" s="22">
        <f t="shared" si="418"/>
        <v>0</v>
      </c>
      <c r="KO580" s="22">
        <f t="shared" si="419"/>
        <v>0</v>
      </c>
      <c r="KP580" s="19" t="str">
        <f t="shared" si="420"/>
        <v/>
      </c>
      <c r="KQ580" s="11" t="str">
        <f t="shared" si="421"/>
        <v>3. Responsive</v>
      </c>
      <c r="KR580" s="11" t="str">
        <f t="shared" si="422"/>
        <v>0. Unaware</v>
      </c>
      <c r="KS580" s="11" t="str">
        <f t="shared" si="423"/>
        <v>3. Responsive</v>
      </c>
      <c r="KT580" s="11" t="str">
        <f t="shared" si="424"/>
        <v>It did not develop any specific innovation</v>
      </c>
      <c r="KU580" s="11" t="str">
        <f t="shared" si="425"/>
        <v>Little or no advocacy</v>
      </c>
      <c r="KV580" s="11">
        <f t="shared" si="426"/>
        <v>0</v>
      </c>
      <c r="KW580" s="11" t="str">
        <f t="shared" si="427"/>
        <v>Papua New Guinea - Improving Community Climate Resilience in Nissan</v>
      </c>
      <c r="KX580" s="11" t="str">
        <f t="shared" si="428"/>
        <v>Improving Community Climate Resilience in Nissan</v>
      </c>
      <c r="KY580" s="11" t="str">
        <f t="shared" si="429"/>
        <v>Papua New Guinea</v>
      </c>
      <c r="KZ580" s="12">
        <v>580</v>
      </c>
    </row>
    <row r="581" spans="1:312" x14ac:dyDescent="0.3">
      <c r="A581" s="12" t="s">
        <v>9516</v>
      </c>
      <c r="B581" s="12" t="s">
        <v>306</v>
      </c>
      <c r="C581" s="12">
        <v>3284</v>
      </c>
      <c r="D581" s="12" t="s">
        <v>9680</v>
      </c>
      <c r="E581" s="277" t="str">
        <f t="shared" si="387"/>
        <v>Papua New Guinea</v>
      </c>
      <c r="F581" s="12"/>
      <c r="G581" s="12" t="s">
        <v>309</v>
      </c>
      <c r="H581" s="12" t="s">
        <v>310</v>
      </c>
      <c r="I581" s="12" t="s">
        <v>606</v>
      </c>
      <c r="J581" s="278" t="s">
        <v>14574</v>
      </c>
      <c r="K581" s="12"/>
      <c r="L581" s="12" t="s">
        <v>608</v>
      </c>
      <c r="M581" s="12" t="s">
        <v>380</v>
      </c>
      <c r="N581" s="12" t="s">
        <v>907</v>
      </c>
      <c r="O581" s="12" t="s">
        <v>5183</v>
      </c>
      <c r="P581" s="12"/>
      <c r="Q581" s="12" t="s">
        <v>309</v>
      </c>
      <c r="R581" s="12" t="s">
        <v>384</v>
      </c>
      <c r="S581" s="12" t="s">
        <v>384</v>
      </c>
      <c r="T581" s="12" t="s">
        <v>9681</v>
      </c>
      <c r="U581" s="12"/>
      <c r="V581" s="12" t="s">
        <v>608</v>
      </c>
      <c r="W581" s="12" t="s">
        <v>380</v>
      </c>
      <c r="X581" s="12" t="s">
        <v>384</v>
      </c>
      <c r="Y581" s="281" t="s">
        <v>7763</v>
      </c>
      <c r="Z581" s="12"/>
      <c r="AA581" s="12" t="s">
        <v>608</v>
      </c>
      <c r="AB581" s="12" t="s">
        <v>310</v>
      </c>
      <c r="AC581" s="12" t="s">
        <v>384</v>
      </c>
      <c r="AD581" s="12" t="s">
        <v>14728</v>
      </c>
      <c r="BD581" s="13">
        <v>42382</v>
      </c>
      <c r="BE581" s="12"/>
      <c r="BF581" s="12"/>
      <c r="BG581" s="12" t="s">
        <v>908</v>
      </c>
      <c r="BH581" s="14">
        <v>1650000</v>
      </c>
      <c r="BI581" s="12" t="s">
        <v>9522</v>
      </c>
      <c r="BJ581" s="12" t="s">
        <v>9682</v>
      </c>
      <c r="BK581" s="12" t="s">
        <v>9524</v>
      </c>
      <c r="BL581" s="12" t="s">
        <v>9683</v>
      </c>
      <c r="BM581" s="12" t="s">
        <v>9684</v>
      </c>
      <c r="BN581" s="12" t="s">
        <v>9685</v>
      </c>
      <c r="BO581" s="12" t="s">
        <v>320</v>
      </c>
      <c r="BP581" s="12" t="s">
        <v>320</v>
      </c>
      <c r="BQ581" s="12" t="s">
        <v>320</v>
      </c>
      <c r="BR581" s="12" t="s">
        <v>9686</v>
      </c>
      <c r="BS581" s="12" t="s">
        <v>357</v>
      </c>
      <c r="BT581" s="12" t="s">
        <v>9687</v>
      </c>
      <c r="BU581" s="12" t="s">
        <v>9688</v>
      </c>
      <c r="BV581" s="14">
        <v>157548</v>
      </c>
      <c r="BW581" s="14">
        <v>170676</v>
      </c>
      <c r="BX581" s="14">
        <v>328224</v>
      </c>
      <c r="BY581" s="14">
        <v>787740</v>
      </c>
      <c r="BZ581" s="14">
        <v>853380</v>
      </c>
      <c r="CA581" s="14">
        <v>1641120</v>
      </c>
      <c r="CB581" s="12" t="s">
        <v>14729</v>
      </c>
      <c r="CD581" s="14">
        <v>157548</v>
      </c>
      <c r="CE581" s="14">
        <v>170676</v>
      </c>
      <c r="CF581" s="14">
        <v>328224</v>
      </c>
      <c r="CG581" s="14">
        <v>787740</v>
      </c>
      <c r="CH581" s="14">
        <v>853380</v>
      </c>
      <c r="CI581" s="14">
        <v>1641120</v>
      </c>
      <c r="CJ581" s="12" t="s">
        <v>319</v>
      </c>
      <c r="CK581" s="14"/>
      <c r="CL581" s="16"/>
      <c r="CM581" s="14"/>
      <c r="CN581" s="12" t="s">
        <v>319</v>
      </c>
      <c r="CO581" s="14"/>
      <c r="CP581" s="16"/>
      <c r="CQ581" s="14"/>
      <c r="CR581" s="12" t="s">
        <v>319</v>
      </c>
      <c r="CS581" s="14"/>
      <c r="CT581" s="16"/>
      <c r="CU581" s="14"/>
      <c r="CV581" s="12" t="s">
        <v>320</v>
      </c>
      <c r="CW581" s="14">
        <v>328224</v>
      </c>
      <c r="CX581" s="16">
        <v>0.52</v>
      </c>
      <c r="CY581" s="14">
        <v>1641120</v>
      </c>
      <c r="CZ581" s="12" t="s">
        <v>319</v>
      </c>
      <c r="DA581" s="14"/>
      <c r="DB581" s="16"/>
      <c r="DC581" s="14"/>
      <c r="DD581" s="12" t="s">
        <v>319</v>
      </c>
      <c r="DE581" s="14"/>
      <c r="DF581" s="16"/>
      <c r="DG581" s="14"/>
      <c r="DH581" s="12" t="s">
        <v>320</v>
      </c>
      <c r="DI581" s="14">
        <v>6933</v>
      </c>
      <c r="DJ581" s="16">
        <v>0.24</v>
      </c>
      <c r="DK581" s="14">
        <v>34665</v>
      </c>
      <c r="DL581" s="11" t="s">
        <v>320</v>
      </c>
      <c r="DM581" s="14">
        <v>1351</v>
      </c>
      <c r="DN581" s="16">
        <v>0.46</v>
      </c>
      <c r="DO581" s="14">
        <v>6755</v>
      </c>
      <c r="DP581" s="12" t="s">
        <v>319</v>
      </c>
      <c r="DQ581" s="14"/>
      <c r="DR581" s="16"/>
      <c r="DS581" s="14"/>
      <c r="DT581" s="12" t="s">
        <v>319</v>
      </c>
      <c r="DU581" s="14">
        <v>0</v>
      </c>
      <c r="DV581" s="16"/>
      <c r="DW581" s="14"/>
      <c r="DX581" s="12" t="s">
        <v>319</v>
      </c>
      <c r="DY581" s="14"/>
      <c r="DZ581" s="16"/>
      <c r="EA581" s="14"/>
      <c r="EB581" s="11" t="s">
        <v>320</v>
      </c>
      <c r="EC581" s="14">
        <v>76045</v>
      </c>
      <c r="ED581" s="16"/>
      <c r="EE581" s="14"/>
      <c r="EF581" s="12" t="s">
        <v>9689</v>
      </c>
      <c r="EG581" s="12" t="s">
        <v>320</v>
      </c>
      <c r="EH581" s="14"/>
      <c r="EI581" s="16"/>
      <c r="EJ581" s="14"/>
      <c r="EK581" s="14">
        <v>157548</v>
      </c>
      <c r="EL581" s="14">
        <v>170676</v>
      </c>
      <c r="EM581" s="14">
        <v>328224</v>
      </c>
      <c r="EN581" s="14">
        <v>787740</v>
      </c>
      <c r="EO581" s="14">
        <v>853380</v>
      </c>
      <c r="EP581" s="14">
        <v>1641120</v>
      </c>
      <c r="EQ581" s="12" t="s">
        <v>320</v>
      </c>
      <c r="ER581" s="14">
        <v>1351</v>
      </c>
      <c r="ES581" s="16">
        <v>0.46</v>
      </c>
      <c r="ET581" s="14">
        <v>6755</v>
      </c>
      <c r="EU581" s="11" t="s">
        <v>320</v>
      </c>
      <c r="EV581" s="14">
        <v>335</v>
      </c>
      <c r="EW581" s="16">
        <v>0.34</v>
      </c>
      <c r="EX581" s="14">
        <v>1675</v>
      </c>
      <c r="EY581" s="12" t="s">
        <v>319</v>
      </c>
      <c r="EZ581" s="14"/>
      <c r="FA581" s="16"/>
      <c r="FB581" s="14"/>
      <c r="FC581" s="12" t="s">
        <v>320</v>
      </c>
      <c r="FD581" s="14">
        <v>335</v>
      </c>
      <c r="FE581" s="16">
        <v>0.34</v>
      </c>
      <c r="FF581" s="14">
        <v>1675</v>
      </c>
      <c r="FG581" s="12" t="s">
        <v>319</v>
      </c>
      <c r="FH581" s="14"/>
      <c r="FI581" s="16"/>
      <c r="FJ581" s="14"/>
      <c r="FK581" s="12" t="s">
        <v>319</v>
      </c>
      <c r="FL581" s="14"/>
      <c r="FM581" s="16"/>
      <c r="FN581" s="14"/>
      <c r="FO581" s="12" t="s">
        <v>320</v>
      </c>
      <c r="FP581" s="14">
        <v>328224</v>
      </c>
      <c r="FQ581" s="16">
        <v>0.52</v>
      </c>
      <c r="FR581" s="14">
        <v>1641120</v>
      </c>
      <c r="FS581" s="12" t="s">
        <v>319</v>
      </c>
      <c r="FT581" s="14"/>
      <c r="FU581" s="16"/>
      <c r="FV581" s="14"/>
      <c r="FW581" s="12" t="s">
        <v>319</v>
      </c>
      <c r="FX581" s="14"/>
      <c r="FY581" s="16"/>
      <c r="FZ581" s="14"/>
      <c r="GA581" s="11" t="s">
        <v>320</v>
      </c>
      <c r="GB581" s="14">
        <v>1101</v>
      </c>
      <c r="GC581" s="16">
        <v>0.42</v>
      </c>
      <c r="GD581" s="14">
        <v>5505</v>
      </c>
      <c r="GE581" s="11" t="s">
        <v>320</v>
      </c>
      <c r="GF581" s="14"/>
      <c r="GG581" s="16"/>
      <c r="GH581" s="14"/>
      <c r="GI581" s="12" t="s">
        <v>319</v>
      </c>
      <c r="GJ581" s="14"/>
      <c r="GK581" s="16"/>
      <c r="GL581" s="14"/>
      <c r="GM581" s="12" t="s">
        <v>319</v>
      </c>
      <c r="GN581" s="14"/>
      <c r="GO581" s="16"/>
      <c r="GP581" s="14"/>
      <c r="GQ581" s="12" t="s">
        <v>320</v>
      </c>
      <c r="GR581" s="14">
        <v>6933</v>
      </c>
      <c r="GS581" s="16">
        <v>0.24</v>
      </c>
      <c r="GT581" s="14">
        <v>34665</v>
      </c>
      <c r="GU581" s="12" t="s">
        <v>320</v>
      </c>
      <c r="GV581" s="14">
        <v>76045</v>
      </c>
      <c r="GW581" s="16"/>
      <c r="GX581" s="14">
        <v>6755</v>
      </c>
      <c r="GY581" s="12" t="s">
        <v>319</v>
      </c>
      <c r="GZ581" s="14"/>
      <c r="HA581" s="16"/>
      <c r="HB581" s="14"/>
      <c r="HC581" s="12" t="s">
        <v>9690</v>
      </c>
      <c r="HD581" s="12" t="s">
        <v>320</v>
      </c>
      <c r="HE581" s="14"/>
      <c r="HF581" s="16"/>
      <c r="HG581" s="14"/>
      <c r="HH581" s="12" t="s">
        <v>320</v>
      </c>
      <c r="HI581" s="12" t="s">
        <v>619</v>
      </c>
      <c r="HJ581" s="12">
        <v>2016</v>
      </c>
      <c r="HK581" s="12" t="s">
        <v>320</v>
      </c>
      <c r="HL581" s="12" t="s">
        <v>319</v>
      </c>
      <c r="HM581" s="12"/>
      <c r="HN581" s="12"/>
      <c r="HO581" s="12"/>
      <c r="HP581" s="12" t="s">
        <v>418</v>
      </c>
      <c r="HQ581" s="12" t="s">
        <v>319</v>
      </c>
      <c r="HR581" s="12" t="s">
        <v>319</v>
      </c>
      <c r="HS581" s="12" t="s">
        <v>320</v>
      </c>
      <c r="HT581" s="12" t="s">
        <v>319</v>
      </c>
      <c r="HU581" s="12" t="s">
        <v>320</v>
      </c>
      <c r="HV581" s="12" t="s">
        <v>320</v>
      </c>
      <c r="HW581" s="12" t="s">
        <v>319</v>
      </c>
      <c r="HX581" s="12" t="s">
        <v>320</v>
      </c>
      <c r="HY581" s="12" t="s">
        <v>9691</v>
      </c>
      <c r="HZ581" s="12" t="s">
        <v>394</v>
      </c>
      <c r="IA581" s="12" t="s">
        <v>9692</v>
      </c>
      <c r="IB581" s="12" t="s">
        <v>396</v>
      </c>
      <c r="IC581" s="12" t="s">
        <v>9693</v>
      </c>
      <c r="ID581" s="12" t="s">
        <v>334</v>
      </c>
      <c r="IE581" s="12" t="s">
        <v>335</v>
      </c>
      <c r="IF581" s="12" t="s">
        <v>320</v>
      </c>
      <c r="IG581" s="12" t="s">
        <v>320</v>
      </c>
      <c r="IH581" s="12" t="s">
        <v>320</v>
      </c>
      <c r="II581" s="12" t="s">
        <v>320</v>
      </c>
      <c r="IJ581" s="12" t="str">
        <f t="shared" si="388"/>
        <v>2. Sensitive</v>
      </c>
      <c r="IK581" s="12">
        <f t="shared" si="389"/>
        <v>4</v>
      </c>
      <c r="IL581" s="12" t="s">
        <v>336</v>
      </c>
      <c r="IM581" s="12" t="s">
        <v>320</v>
      </c>
      <c r="IN581" s="12" t="s">
        <v>320</v>
      </c>
      <c r="IO581" s="12" t="s">
        <v>320</v>
      </c>
      <c r="IP581" s="12" t="s">
        <v>320</v>
      </c>
      <c r="IQ581" s="12" t="str">
        <f t="shared" si="390"/>
        <v>2. Accommodating</v>
      </c>
      <c r="IR581" s="12">
        <f t="shared" si="391"/>
        <v>4</v>
      </c>
      <c r="IS581" s="12" t="s">
        <v>622</v>
      </c>
      <c r="IT581" s="12" t="s">
        <v>320</v>
      </c>
      <c r="IU581" s="12" t="s">
        <v>320</v>
      </c>
      <c r="IV581" s="12" t="s">
        <v>320</v>
      </c>
      <c r="IW581" s="11" t="str">
        <f t="shared" si="392"/>
        <v>4. Transformative</v>
      </c>
      <c r="IX581" s="12">
        <f t="shared" si="393"/>
        <v>3</v>
      </c>
      <c r="IY581" s="12" t="s">
        <v>758</v>
      </c>
      <c r="IZ581" s="12" t="s">
        <v>432</v>
      </c>
      <c r="JA581" s="12">
        <v>5</v>
      </c>
      <c r="JB581" s="12" t="s">
        <v>831</v>
      </c>
      <c r="JC581" s="12" t="s">
        <v>623</v>
      </c>
      <c r="JD581" s="12" t="s">
        <v>433</v>
      </c>
      <c r="JE581" s="12" t="s">
        <v>340</v>
      </c>
      <c r="JF581" s="12" t="s">
        <v>9694</v>
      </c>
      <c r="JG581" s="12"/>
      <c r="JH581" s="12" t="s">
        <v>9695</v>
      </c>
      <c r="JI581" s="12" t="s">
        <v>9696</v>
      </c>
      <c r="JJ581" s="12" t="s">
        <v>9697</v>
      </c>
      <c r="JK581" s="12"/>
      <c r="JL581" s="12"/>
      <c r="JM581" s="12"/>
      <c r="JN581" s="12" t="s">
        <v>9698</v>
      </c>
      <c r="JO581" s="12"/>
      <c r="JP581" s="15">
        <f t="shared" si="394"/>
        <v>328224</v>
      </c>
      <c r="JQ581" s="15">
        <f t="shared" si="395"/>
        <v>1641120</v>
      </c>
      <c r="JR581" s="279">
        <f t="shared" si="396"/>
        <v>5</v>
      </c>
      <c r="JS581" s="17">
        <f t="shared" si="397"/>
        <v>0.48000146241591107</v>
      </c>
      <c r="JT581" s="18">
        <f t="shared" si="398"/>
        <v>0.48000146241591107</v>
      </c>
      <c r="JU581" s="280">
        <f t="shared" si="399"/>
        <v>157548</v>
      </c>
      <c r="JV581" s="280">
        <f t="shared" si="400"/>
        <v>787740</v>
      </c>
      <c r="JW581" s="319">
        <f t="shared" si="401"/>
        <v>1</v>
      </c>
      <c r="JX581" s="15">
        <f t="shared" si="402"/>
        <v>328224</v>
      </c>
      <c r="JY581" s="15">
        <f t="shared" si="403"/>
        <v>1641120</v>
      </c>
      <c r="JZ581" s="19">
        <f t="shared" si="404"/>
        <v>5</v>
      </c>
      <c r="KA581" s="52">
        <f t="shared" si="405"/>
        <v>1</v>
      </c>
      <c r="KB581" s="15">
        <f t="shared" si="406"/>
        <v>328224</v>
      </c>
      <c r="KC581" s="15">
        <f t="shared" si="407"/>
        <v>1641120</v>
      </c>
      <c r="KD581" s="20">
        <f t="shared" si="408"/>
        <v>5</v>
      </c>
      <c r="KE581" s="52">
        <f t="shared" si="409"/>
        <v>1</v>
      </c>
      <c r="KF581" s="15">
        <f t="shared" si="410"/>
        <v>6933</v>
      </c>
      <c r="KG581" s="15">
        <f t="shared" si="411"/>
        <v>34665</v>
      </c>
      <c r="KH581" s="21">
        <f t="shared" si="412"/>
        <v>5</v>
      </c>
      <c r="KI581" s="52" t="str">
        <f t="shared" si="413"/>
        <v/>
      </c>
      <c r="KJ581" s="15">
        <f t="shared" si="414"/>
        <v>0</v>
      </c>
      <c r="KK581" s="15">
        <f t="shared" si="415"/>
        <v>0</v>
      </c>
      <c r="KL581" s="19" t="str">
        <f t="shared" si="416"/>
        <v/>
      </c>
      <c r="KM581" s="52" t="str">
        <f t="shared" si="417"/>
        <v/>
      </c>
      <c r="KN581" s="22">
        <f t="shared" si="418"/>
        <v>0</v>
      </c>
      <c r="KO581" s="22">
        <f t="shared" si="419"/>
        <v>0</v>
      </c>
      <c r="KP581" s="19" t="str">
        <f t="shared" si="420"/>
        <v/>
      </c>
      <c r="KQ581" s="11" t="str">
        <f t="shared" si="421"/>
        <v>2. Sensitive</v>
      </c>
      <c r="KR581" s="11" t="str">
        <f t="shared" si="422"/>
        <v>2. Accommodating</v>
      </c>
      <c r="KS581" s="11" t="str">
        <f t="shared" si="423"/>
        <v>4. Transformative</v>
      </c>
      <c r="KT581" s="11" t="str">
        <f t="shared" si="424"/>
        <v>It tested new ways for fighting poverty, but did not measure results of innovation</v>
      </c>
      <c r="KU581" s="11" t="str">
        <f t="shared" si="425"/>
        <v>Little or no advocacy</v>
      </c>
      <c r="KV581" s="11" t="str">
        <f t="shared" si="426"/>
        <v>It linked and worked with strategic alliances and partners to take tested and effective solutions to scale</v>
      </c>
      <c r="KW581" s="11" t="str">
        <f t="shared" si="427"/>
        <v>Papua New Guinea - PNG Highlands Drought Resilience Project</v>
      </c>
      <c r="KX581" s="11" t="str">
        <f t="shared" si="428"/>
        <v>PNG Highlands Drought Resilience Project</v>
      </c>
      <c r="KY581" s="11" t="str">
        <f t="shared" si="429"/>
        <v>Papua New Guinea</v>
      </c>
      <c r="KZ581" s="12">
        <v>581</v>
      </c>
    </row>
    <row r="582" spans="1:312" x14ac:dyDescent="0.3">
      <c r="A582" s="12" t="s">
        <v>9516</v>
      </c>
      <c r="B582" s="12" t="s">
        <v>306</v>
      </c>
      <c r="C582" s="12"/>
      <c r="D582" s="12" t="s">
        <v>9699</v>
      </c>
      <c r="E582" s="277" t="str">
        <f t="shared" si="387"/>
        <v>Papua New Guinea</v>
      </c>
      <c r="F582" s="12"/>
      <c r="G582" s="12" t="s">
        <v>608</v>
      </c>
      <c r="H582" s="12" t="s">
        <v>380</v>
      </c>
      <c r="I582" s="12" t="s">
        <v>381</v>
      </c>
      <c r="J582" s="281" t="s">
        <v>7763</v>
      </c>
      <c r="K582" s="12"/>
      <c r="L582" s="12"/>
      <c r="M582" s="12"/>
      <c r="N582" s="12"/>
      <c r="O582" s="12"/>
      <c r="P582" s="12"/>
      <c r="Q582" s="12"/>
      <c r="R582" s="12"/>
      <c r="S582" s="12"/>
      <c r="T582" s="12"/>
      <c r="U582" s="12"/>
      <c r="V582" s="12"/>
      <c r="W582" s="12"/>
      <c r="X582" s="12"/>
      <c r="Y582" s="12"/>
      <c r="Z582" s="12"/>
      <c r="AA582" s="12"/>
      <c r="AB582" s="12"/>
      <c r="AC582" s="12"/>
      <c r="AD582" s="12"/>
      <c r="BD582" s="13">
        <v>42499</v>
      </c>
      <c r="BE582" s="13">
        <v>42613</v>
      </c>
      <c r="BF582" s="12"/>
      <c r="BG582" s="12" t="s">
        <v>908</v>
      </c>
      <c r="BH582" s="14">
        <v>1220165</v>
      </c>
      <c r="BI582" s="12" t="s">
        <v>9519</v>
      </c>
      <c r="BJ582" s="12" t="s">
        <v>1899</v>
      </c>
      <c r="BK582" s="12" t="s">
        <v>9627</v>
      </c>
      <c r="BL582" s="12"/>
      <c r="BM582" s="12"/>
      <c r="BN582" s="12"/>
      <c r="BO582" s="12" t="s">
        <v>320</v>
      </c>
      <c r="BP582" s="12" t="s">
        <v>319</v>
      </c>
      <c r="BQ582" s="12" t="s">
        <v>319</v>
      </c>
      <c r="BR582" s="12" t="s">
        <v>9700</v>
      </c>
      <c r="BS582" s="12" t="s">
        <v>357</v>
      </c>
      <c r="BT582" s="12" t="s">
        <v>9701</v>
      </c>
      <c r="BU582" s="12" t="s">
        <v>9702</v>
      </c>
      <c r="BV582" s="14">
        <v>26250</v>
      </c>
      <c r="BW582" s="14">
        <v>26250</v>
      </c>
      <c r="BX582" s="14">
        <v>52500</v>
      </c>
      <c r="BY582" s="14">
        <v>132700</v>
      </c>
      <c r="BZ582" s="14">
        <v>132700</v>
      </c>
      <c r="CA582" s="14">
        <v>265400</v>
      </c>
      <c r="CB582" s="12"/>
      <c r="CD582" s="14">
        <v>26274</v>
      </c>
      <c r="CE582" s="14">
        <v>26274</v>
      </c>
      <c r="CF582" s="14">
        <v>52548</v>
      </c>
      <c r="CG582" s="14">
        <v>132700</v>
      </c>
      <c r="CH582" s="14">
        <v>132700</v>
      </c>
      <c r="CI582" s="14">
        <v>265400</v>
      </c>
      <c r="CJ582" s="12"/>
      <c r="CK582" s="14"/>
      <c r="CL582" s="16"/>
      <c r="CM582" s="14"/>
      <c r="CN582" s="12"/>
      <c r="CO582" s="14"/>
      <c r="CP582" s="16"/>
      <c r="CQ582" s="14"/>
      <c r="CR582" s="12"/>
      <c r="CS582" s="14"/>
      <c r="CT582" s="16"/>
      <c r="CU582" s="14"/>
      <c r="CV582" s="12" t="s">
        <v>320</v>
      </c>
      <c r="CW582" s="14">
        <v>52548</v>
      </c>
      <c r="CX582" s="16">
        <v>0.5</v>
      </c>
      <c r="CY582" s="14"/>
      <c r="CZ582" s="12"/>
      <c r="DA582" s="14"/>
      <c r="DB582" s="16"/>
      <c r="DC582" s="14"/>
      <c r="DD582" s="12"/>
      <c r="DE582" s="14"/>
      <c r="DF582" s="16"/>
      <c r="DG582" s="14"/>
      <c r="DH582" s="12"/>
      <c r="DI582" s="14"/>
      <c r="DJ582" s="16"/>
      <c r="DK582" s="14"/>
      <c r="DL582" s="12"/>
      <c r="DM582" s="14"/>
      <c r="DN582" s="16"/>
      <c r="DO582" s="14"/>
      <c r="DP582" s="12"/>
      <c r="DQ582" s="14"/>
      <c r="DR582" s="16"/>
      <c r="DS582" s="14"/>
      <c r="DT582" s="12"/>
      <c r="DU582" s="14"/>
      <c r="DV582" s="16"/>
      <c r="DW582" s="14"/>
      <c r="DX582" s="12"/>
      <c r="DY582" s="14"/>
      <c r="DZ582" s="16"/>
      <c r="EA582" s="14"/>
      <c r="EB582" s="12"/>
      <c r="EC582" s="14"/>
      <c r="ED582" s="16"/>
      <c r="EE582" s="14"/>
      <c r="EF582" s="12"/>
      <c r="EG582" s="12"/>
      <c r="EH582" s="14"/>
      <c r="EI582" s="16"/>
      <c r="EJ582" s="14"/>
      <c r="EK582" s="14"/>
      <c r="EL582" s="14"/>
      <c r="EM582" s="14"/>
      <c r="EN582" s="14"/>
      <c r="EO582" s="14"/>
      <c r="EP582" s="14"/>
      <c r="EQ582" s="12"/>
      <c r="ER582" s="14"/>
      <c r="ES582" s="16"/>
      <c r="ET582" s="14"/>
      <c r="EU582" s="12"/>
      <c r="EV582" s="14"/>
      <c r="EW582" s="16"/>
      <c r="EX582" s="14"/>
      <c r="EY582" s="12"/>
      <c r="EZ582" s="14"/>
      <c r="FA582" s="16"/>
      <c r="FB582" s="14"/>
      <c r="FC582" s="12"/>
      <c r="FD582" s="14"/>
      <c r="FE582" s="16"/>
      <c r="FF582" s="14"/>
      <c r="FG582" s="12"/>
      <c r="FH582" s="14"/>
      <c r="FI582" s="16"/>
      <c r="FJ582" s="14"/>
      <c r="FK582" s="12"/>
      <c r="FL582" s="14"/>
      <c r="FM582" s="16"/>
      <c r="FN582" s="14"/>
      <c r="FO582" s="12"/>
      <c r="FP582" s="14"/>
      <c r="FQ582" s="16"/>
      <c r="FR582" s="14"/>
      <c r="FS582" s="12"/>
      <c r="FT582" s="14"/>
      <c r="FU582" s="16"/>
      <c r="FV582" s="14"/>
      <c r="FW582" s="12"/>
      <c r="FX582" s="14"/>
      <c r="FY582" s="16"/>
      <c r="FZ582" s="14"/>
      <c r="GA582" s="12"/>
      <c r="GB582" s="14"/>
      <c r="GC582" s="16"/>
      <c r="GD582" s="14"/>
      <c r="GE582" s="12"/>
      <c r="GF582" s="14"/>
      <c r="GG582" s="16"/>
      <c r="GH582" s="14"/>
      <c r="GI582" s="12"/>
      <c r="GJ582" s="14"/>
      <c r="GK582" s="16"/>
      <c r="GL582" s="14"/>
      <c r="GM582" s="12"/>
      <c r="GN582" s="14"/>
      <c r="GO582" s="16"/>
      <c r="GP582" s="14"/>
      <c r="GQ582" s="12"/>
      <c r="GR582" s="14"/>
      <c r="GS582" s="16"/>
      <c r="GT582" s="14"/>
      <c r="GU582" s="12"/>
      <c r="GV582" s="14"/>
      <c r="GW582" s="16"/>
      <c r="GX582" s="14"/>
      <c r="GY582" s="12"/>
      <c r="GZ582" s="14"/>
      <c r="HA582" s="16"/>
      <c r="HB582" s="14"/>
      <c r="HC582" s="12"/>
      <c r="HD582" s="12"/>
      <c r="HE582" s="14"/>
      <c r="HF582" s="16"/>
      <c r="HG582" s="14"/>
      <c r="HH582" s="12" t="s">
        <v>319</v>
      </c>
      <c r="HI582" s="12"/>
      <c r="HJ582" s="12"/>
      <c r="HK582" s="12" t="s">
        <v>319</v>
      </c>
      <c r="HL582" s="12" t="s">
        <v>319</v>
      </c>
      <c r="HM582" s="12"/>
      <c r="HN582" s="12"/>
      <c r="HO582" s="12"/>
      <c r="HP582" s="12" t="s">
        <v>330</v>
      </c>
      <c r="HQ582" s="12" t="s">
        <v>319</v>
      </c>
      <c r="HR582" s="12" t="s">
        <v>320</v>
      </c>
      <c r="HS582" s="12" t="s">
        <v>320</v>
      </c>
      <c r="HT582" s="12" t="s">
        <v>320</v>
      </c>
      <c r="HU582" s="12" t="s">
        <v>320</v>
      </c>
      <c r="HV582" s="12" t="s">
        <v>319</v>
      </c>
      <c r="HW582" s="12" t="s">
        <v>319</v>
      </c>
      <c r="HX582" s="12" t="s">
        <v>319</v>
      </c>
      <c r="HY582" s="12"/>
      <c r="HZ582" s="12" t="s">
        <v>363</v>
      </c>
      <c r="IA582" s="12"/>
      <c r="IB582" s="12" t="s">
        <v>333</v>
      </c>
      <c r="IC582" s="12"/>
      <c r="ID582" s="12" t="s">
        <v>334</v>
      </c>
      <c r="IE582" s="12" t="s">
        <v>335</v>
      </c>
      <c r="IF582" s="12" t="s">
        <v>320</v>
      </c>
      <c r="IG582" s="12" t="s">
        <v>320</v>
      </c>
      <c r="IH582" s="12" t="s">
        <v>320</v>
      </c>
      <c r="II582" s="12" t="s">
        <v>320</v>
      </c>
      <c r="IJ582" s="12" t="str">
        <f t="shared" si="388"/>
        <v>2. Sensitive</v>
      </c>
      <c r="IK582" s="12">
        <f t="shared" si="389"/>
        <v>4</v>
      </c>
      <c r="IL582" s="12" t="s">
        <v>336</v>
      </c>
      <c r="IM582" s="12" t="s">
        <v>320</v>
      </c>
      <c r="IN582" s="12" t="s">
        <v>320</v>
      </c>
      <c r="IO582" s="12" t="s">
        <v>320</v>
      </c>
      <c r="IP582" s="12" t="s">
        <v>320</v>
      </c>
      <c r="IQ582" s="12" t="str">
        <f t="shared" si="390"/>
        <v>2. Accommodating</v>
      </c>
      <c r="IR582" s="12">
        <f t="shared" si="391"/>
        <v>4</v>
      </c>
      <c r="IS582" s="12" t="s">
        <v>337</v>
      </c>
      <c r="IT582" s="12" t="s">
        <v>320</v>
      </c>
      <c r="IU582" s="12" t="s">
        <v>320</v>
      </c>
      <c r="IV582" s="12" t="s">
        <v>320</v>
      </c>
      <c r="IW582" s="11" t="str">
        <f t="shared" si="392"/>
        <v>2. Sensitive</v>
      </c>
      <c r="IX582" s="12">
        <f t="shared" si="393"/>
        <v>3</v>
      </c>
      <c r="IY582" s="12" t="s">
        <v>338</v>
      </c>
      <c r="IZ582" s="12" t="s">
        <v>457</v>
      </c>
      <c r="JA582" s="12">
        <v>1</v>
      </c>
      <c r="JB582" s="12" t="s">
        <v>832</v>
      </c>
      <c r="JC582" s="12"/>
      <c r="JD582" s="12"/>
      <c r="JE582" s="12" t="s">
        <v>420</v>
      </c>
      <c r="JF582" s="12"/>
      <c r="JG582" s="12" t="s">
        <v>9703</v>
      </c>
      <c r="JH582" s="12"/>
      <c r="JI582" s="12"/>
      <c r="JJ582" s="12"/>
      <c r="JK582" s="12" t="s">
        <v>9704</v>
      </c>
      <c r="JL582" s="12"/>
      <c r="JM582" s="12"/>
      <c r="JN582" s="12" t="s">
        <v>9705</v>
      </c>
      <c r="JO582" s="12"/>
      <c r="JP582" s="15">
        <f t="shared" si="394"/>
        <v>52548</v>
      </c>
      <c r="JQ582" s="15">
        <f t="shared" si="395"/>
        <v>265400</v>
      </c>
      <c r="JR582" s="279">
        <f t="shared" si="396"/>
        <v>5.0506203851716522</v>
      </c>
      <c r="JS582" s="17">
        <f t="shared" si="397"/>
        <v>0.5</v>
      </c>
      <c r="JT582" s="18">
        <f t="shared" si="398"/>
        <v>0.5</v>
      </c>
      <c r="JU582" s="280">
        <f t="shared" si="399"/>
        <v>26274</v>
      </c>
      <c r="JV582" s="280">
        <f t="shared" si="400"/>
        <v>132700</v>
      </c>
      <c r="JW582" s="319">
        <f t="shared" si="401"/>
        <v>1</v>
      </c>
      <c r="JX582" s="15">
        <f t="shared" si="402"/>
        <v>52548</v>
      </c>
      <c r="JY582" s="15">
        <f t="shared" si="403"/>
        <v>265400</v>
      </c>
      <c r="JZ582" s="19">
        <f t="shared" si="404"/>
        <v>5.0506203851716522</v>
      </c>
      <c r="KA582" s="52">
        <f t="shared" si="405"/>
        <v>1</v>
      </c>
      <c r="KB582" s="15">
        <f t="shared" si="406"/>
        <v>52548</v>
      </c>
      <c r="KC582" s="15">
        <f t="shared" si="407"/>
        <v>0</v>
      </c>
      <c r="KD582" s="20">
        <f t="shared" si="408"/>
        <v>0</v>
      </c>
      <c r="KE582" s="52" t="str">
        <f t="shared" si="409"/>
        <v/>
      </c>
      <c r="KF582" s="15">
        <f t="shared" si="410"/>
        <v>0</v>
      </c>
      <c r="KG582" s="15">
        <f t="shared" si="411"/>
        <v>0</v>
      </c>
      <c r="KH582" s="21" t="str">
        <f t="shared" si="412"/>
        <v/>
      </c>
      <c r="KI582" s="52" t="str">
        <f t="shared" si="413"/>
        <v/>
      </c>
      <c r="KJ582" s="15">
        <f t="shared" si="414"/>
        <v>0</v>
      </c>
      <c r="KK582" s="15">
        <f t="shared" si="415"/>
        <v>0</v>
      </c>
      <c r="KL582" s="19" t="str">
        <f t="shared" si="416"/>
        <v/>
      </c>
      <c r="KM582" s="52" t="str">
        <f t="shared" si="417"/>
        <v/>
      </c>
      <c r="KN582" s="22">
        <f t="shared" si="418"/>
        <v>0</v>
      </c>
      <c r="KO582" s="22">
        <f t="shared" si="419"/>
        <v>0</v>
      </c>
      <c r="KP582" s="19" t="str">
        <f t="shared" si="420"/>
        <v/>
      </c>
      <c r="KQ582" s="11" t="str">
        <f t="shared" si="421"/>
        <v>2. Sensitive</v>
      </c>
      <c r="KR582" s="11" t="str">
        <f t="shared" si="422"/>
        <v>2. Accommodating</v>
      </c>
      <c r="KS582" s="11" t="str">
        <f t="shared" si="423"/>
        <v>2. Sensitive</v>
      </c>
      <c r="KT582" s="11" t="str">
        <f t="shared" si="424"/>
        <v>It did not develop any specific innovation</v>
      </c>
      <c r="KU582" s="11" t="str">
        <f t="shared" si="425"/>
        <v>Moderate advocacy</v>
      </c>
      <c r="KV582" s="11" t="str">
        <f t="shared" si="426"/>
        <v>It did not take tested solutions to scale</v>
      </c>
      <c r="KW582" s="11" t="str">
        <f t="shared" si="427"/>
        <v>Papua New Guinea - World Food Program Food Distribution</v>
      </c>
      <c r="KX582" s="11" t="str">
        <f t="shared" si="428"/>
        <v>World Food Program Food Distribution</v>
      </c>
      <c r="KY582" s="11" t="str">
        <f t="shared" si="429"/>
        <v>Papua New Guinea</v>
      </c>
      <c r="KZ582" s="12">
        <v>582</v>
      </c>
    </row>
    <row r="583" spans="1:312" x14ac:dyDescent="0.3">
      <c r="A583" s="12" t="s">
        <v>9706</v>
      </c>
      <c r="B583" s="12" t="s">
        <v>2807</v>
      </c>
      <c r="C583" s="12"/>
      <c r="D583" s="12" t="s">
        <v>10148</v>
      </c>
      <c r="E583" s="24" t="str">
        <f t="shared" si="387"/>
        <v>Peru</v>
      </c>
      <c r="F583" s="12" t="s">
        <v>10149</v>
      </c>
      <c r="G583" s="12" t="s">
        <v>608</v>
      </c>
      <c r="H583" s="12" t="s">
        <v>489</v>
      </c>
      <c r="I583" s="12" t="s">
        <v>384</v>
      </c>
      <c r="J583" s="281" t="s">
        <v>10150</v>
      </c>
      <c r="K583" s="12"/>
      <c r="L583" s="12"/>
      <c r="M583" s="12"/>
      <c r="N583" s="12"/>
      <c r="O583" s="12"/>
      <c r="P583" s="12"/>
      <c r="Q583" s="12"/>
      <c r="R583" s="12"/>
      <c r="S583" s="12"/>
      <c r="T583" s="12"/>
      <c r="U583" s="12"/>
      <c r="V583" s="12"/>
      <c r="W583" s="12"/>
      <c r="X583" s="12"/>
      <c r="Y583" s="12"/>
      <c r="Z583" s="12"/>
      <c r="AA583" s="12"/>
      <c r="AB583" s="12"/>
      <c r="AC583" s="12"/>
      <c r="AD583" s="12"/>
      <c r="BD583" s="13">
        <v>42872</v>
      </c>
      <c r="BE583" s="13">
        <v>43159</v>
      </c>
      <c r="BF583" s="12"/>
      <c r="BG583" s="12" t="s">
        <v>312</v>
      </c>
      <c r="BH583" s="14">
        <v>153335</v>
      </c>
      <c r="BI583" s="12" t="s">
        <v>9711</v>
      </c>
      <c r="BJ583" s="12" t="s">
        <v>9712</v>
      </c>
      <c r="BK583" s="12" t="s">
        <v>9713</v>
      </c>
      <c r="BL583" s="12" t="s">
        <v>10151</v>
      </c>
      <c r="BM583" s="12" t="s">
        <v>10152</v>
      </c>
      <c r="BN583" s="12" t="s">
        <v>10153</v>
      </c>
      <c r="BO583" s="12" t="s">
        <v>319</v>
      </c>
      <c r="BP583" s="12" t="s">
        <v>320</v>
      </c>
      <c r="BQ583" s="12" t="s">
        <v>319</v>
      </c>
      <c r="BR583" s="12" t="s">
        <v>10154</v>
      </c>
      <c r="BS583" s="12" t="s">
        <v>357</v>
      </c>
      <c r="BT583" s="12" t="s">
        <v>10155</v>
      </c>
      <c r="BU583" s="12" t="s">
        <v>10156</v>
      </c>
      <c r="BV583" s="14">
        <v>15</v>
      </c>
      <c r="BW583" s="14">
        <v>6</v>
      </c>
      <c r="BX583" s="14">
        <v>21</v>
      </c>
      <c r="BY583" s="14">
        <v>279</v>
      </c>
      <c r="BZ583" s="14">
        <v>268</v>
      </c>
      <c r="CA583" s="14">
        <v>547</v>
      </c>
      <c r="CB583" s="12" t="s">
        <v>10157</v>
      </c>
      <c r="CD583" s="14"/>
      <c r="CE583" s="14"/>
      <c r="CF583" s="14"/>
      <c r="CG583" s="14"/>
      <c r="CH583" s="14"/>
      <c r="CI583" s="14"/>
      <c r="CJ583" s="12"/>
      <c r="CK583" s="14"/>
      <c r="CL583" s="16"/>
      <c r="CM583" s="14"/>
      <c r="CN583" s="12"/>
      <c r="CO583" s="14"/>
      <c r="CP583" s="16"/>
      <c r="CQ583" s="14"/>
      <c r="CR583" s="12"/>
      <c r="CS583" s="14"/>
      <c r="CT583" s="16"/>
      <c r="CU583" s="14"/>
      <c r="CV583" s="12"/>
      <c r="CW583" s="14"/>
      <c r="CX583" s="16"/>
      <c r="CY583" s="14"/>
      <c r="CZ583" s="12"/>
      <c r="DA583" s="14"/>
      <c r="DB583" s="16"/>
      <c r="DC583" s="14"/>
      <c r="DD583" s="12"/>
      <c r="DE583" s="14"/>
      <c r="DF583" s="16"/>
      <c r="DG583" s="14"/>
      <c r="DH583" s="12"/>
      <c r="DI583" s="14"/>
      <c r="DJ583" s="16"/>
      <c r="DK583" s="14"/>
      <c r="DL583" s="12"/>
      <c r="DM583" s="14"/>
      <c r="DN583" s="16"/>
      <c r="DO583" s="14"/>
      <c r="DP583" s="12"/>
      <c r="DQ583" s="14"/>
      <c r="DR583" s="16"/>
      <c r="DS583" s="14"/>
      <c r="DT583" s="12"/>
      <c r="DU583" s="14"/>
      <c r="DV583" s="16"/>
      <c r="DW583" s="14"/>
      <c r="DX583" s="12"/>
      <c r="DY583" s="14"/>
      <c r="DZ583" s="16"/>
      <c r="EA583" s="14"/>
      <c r="EB583" s="12"/>
      <c r="EC583" s="14"/>
      <c r="ED583" s="16"/>
      <c r="EE583" s="14"/>
      <c r="EF583" s="12"/>
      <c r="EG583" s="12"/>
      <c r="EH583" s="14"/>
      <c r="EI583" s="16"/>
      <c r="EJ583" s="14"/>
      <c r="EK583" s="14">
        <v>15</v>
      </c>
      <c r="EL583" s="14">
        <v>6</v>
      </c>
      <c r="EM583" s="14">
        <v>21</v>
      </c>
      <c r="EN583" s="14">
        <v>279</v>
      </c>
      <c r="EO583" s="14">
        <v>268</v>
      </c>
      <c r="EP583" s="14">
        <v>547</v>
      </c>
      <c r="EQ583" s="12"/>
      <c r="ER583" s="14"/>
      <c r="ES583" s="16"/>
      <c r="ET583" s="14"/>
      <c r="EU583" s="12"/>
      <c r="EV583" s="14"/>
      <c r="EW583" s="16"/>
      <c r="EX583" s="14"/>
      <c r="EY583" s="12"/>
      <c r="EZ583" s="14"/>
      <c r="FA583" s="16"/>
      <c r="FB583" s="14"/>
      <c r="FC583" s="12"/>
      <c r="FD583" s="14"/>
      <c r="FE583" s="16"/>
      <c r="FF583" s="14"/>
      <c r="FG583" s="12"/>
      <c r="FH583" s="14"/>
      <c r="FI583" s="16"/>
      <c r="FJ583" s="14"/>
      <c r="FK583" s="12" t="s">
        <v>320</v>
      </c>
      <c r="FL583" s="14">
        <v>21</v>
      </c>
      <c r="FM583" s="16">
        <v>0.71</v>
      </c>
      <c r="FN583" s="14">
        <v>547</v>
      </c>
      <c r="FO583" s="12"/>
      <c r="FP583" s="14"/>
      <c r="FQ583" s="16"/>
      <c r="FR583" s="14"/>
      <c r="FS583" s="12"/>
      <c r="FT583" s="14"/>
      <c r="FU583" s="16"/>
      <c r="FV583" s="14"/>
      <c r="FW583" s="12"/>
      <c r="FX583" s="14"/>
      <c r="FY583" s="16"/>
      <c r="FZ583" s="14"/>
      <c r="GA583" s="12"/>
      <c r="GB583" s="14"/>
      <c r="GC583" s="16"/>
      <c r="GD583" s="14"/>
      <c r="GE583" s="12"/>
      <c r="GF583" s="14"/>
      <c r="GG583" s="16"/>
      <c r="GH583" s="14"/>
      <c r="GI583" s="12"/>
      <c r="GJ583" s="14"/>
      <c r="GK583" s="16"/>
      <c r="GL583" s="14"/>
      <c r="GM583" s="12"/>
      <c r="GN583" s="14"/>
      <c r="GO583" s="16"/>
      <c r="GP583" s="14"/>
      <c r="GQ583" s="12"/>
      <c r="GR583" s="14"/>
      <c r="GS583" s="16"/>
      <c r="GT583" s="14"/>
      <c r="GU583" s="12"/>
      <c r="GV583" s="14"/>
      <c r="GW583" s="16"/>
      <c r="GX583" s="14"/>
      <c r="GY583" s="12"/>
      <c r="GZ583" s="14"/>
      <c r="HA583" s="16"/>
      <c r="HB583" s="14"/>
      <c r="HC583" s="12"/>
      <c r="HD583" s="12"/>
      <c r="HE583" s="14"/>
      <c r="HF583" s="16"/>
      <c r="HG583" s="14"/>
      <c r="HH583" s="12" t="s">
        <v>319</v>
      </c>
      <c r="HI583" s="12"/>
      <c r="HJ583" s="12"/>
      <c r="HK583" s="12" t="s">
        <v>319</v>
      </c>
      <c r="HL583" s="12" t="s">
        <v>319</v>
      </c>
      <c r="HM583" s="12"/>
      <c r="HN583" s="12"/>
      <c r="HO583" s="12"/>
      <c r="HP583" s="12" t="s">
        <v>330</v>
      </c>
      <c r="HQ583" s="12" t="s">
        <v>319</v>
      </c>
      <c r="HR583" s="12" t="s">
        <v>319</v>
      </c>
      <c r="HS583" s="12" t="s">
        <v>319</v>
      </c>
      <c r="HT583" s="12" t="s">
        <v>320</v>
      </c>
      <c r="HU583" s="12" t="s">
        <v>319</v>
      </c>
      <c r="HV583" s="12" t="s">
        <v>319</v>
      </c>
      <c r="HW583" s="12" t="s">
        <v>319</v>
      </c>
      <c r="HX583" s="12" t="s">
        <v>319</v>
      </c>
      <c r="HY583" s="12"/>
      <c r="HZ583" s="11" t="s">
        <v>363</v>
      </c>
      <c r="IA583" s="12"/>
      <c r="IB583" s="12" t="s">
        <v>333</v>
      </c>
      <c r="IC583" s="12"/>
      <c r="ID583" s="11" t="s">
        <v>364</v>
      </c>
      <c r="IE583" s="12" t="s">
        <v>335</v>
      </c>
      <c r="IF583" s="12" t="s">
        <v>319</v>
      </c>
      <c r="IG583" s="12" t="s">
        <v>320</v>
      </c>
      <c r="IH583" s="12" t="s">
        <v>320</v>
      </c>
      <c r="II583" s="12" t="s">
        <v>320</v>
      </c>
      <c r="IJ583" s="12" t="str">
        <f t="shared" si="388"/>
        <v>1. Neutral</v>
      </c>
      <c r="IK583" s="12">
        <f t="shared" si="389"/>
        <v>3</v>
      </c>
      <c r="IL583" s="12" t="s">
        <v>336</v>
      </c>
      <c r="IM583" s="12" t="s">
        <v>319</v>
      </c>
      <c r="IN583" s="12" t="s">
        <v>320</v>
      </c>
      <c r="IO583" s="12" t="s">
        <v>320</v>
      </c>
      <c r="IP583" s="12" t="s">
        <v>320</v>
      </c>
      <c r="IQ583" s="12" t="str">
        <f t="shared" si="390"/>
        <v>2. Accommodating</v>
      </c>
      <c r="IR583" s="12">
        <f t="shared" si="391"/>
        <v>3</v>
      </c>
      <c r="IS583" s="12" t="s">
        <v>337</v>
      </c>
      <c r="IT583" s="12" t="s">
        <v>319</v>
      </c>
      <c r="IU583" s="12" t="s">
        <v>320</v>
      </c>
      <c r="IV583" s="12" t="s">
        <v>319</v>
      </c>
      <c r="IW583" s="11" t="str">
        <f t="shared" si="392"/>
        <v>1. Neutral</v>
      </c>
      <c r="IX583" s="12">
        <f t="shared" si="393"/>
        <v>1</v>
      </c>
      <c r="IY583" s="12" t="s">
        <v>338</v>
      </c>
      <c r="IZ583" s="12" t="s">
        <v>457</v>
      </c>
      <c r="JA583" s="12">
        <v>3</v>
      </c>
      <c r="JB583" s="12" t="s">
        <v>687</v>
      </c>
      <c r="JC583" s="12" t="s">
        <v>651</v>
      </c>
      <c r="JD583" s="11" t="s">
        <v>624</v>
      </c>
      <c r="JE583" s="12" t="s">
        <v>365</v>
      </c>
      <c r="JF583" s="12" t="s">
        <v>10158</v>
      </c>
      <c r="JG583" s="12" t="s">
        <v>10159</v>
      </c>
      <c r="JH583" s="12" t="s">
        <v>10160</v>
      </c>
      <c r="JI583" s="12" t="s">
        <v>10161</v>
      </c>
      <c r="JJ583" s="12" t="s">
        <v>10162</v>
      </c>
      <c r="JK583" s="12" t="s">
        <v>10163</v>
      </c>
      <c r="JL583" s="12" t="s">
        <v>10164</v>
      </c>
      <c r="JM583" s="12" t="s">
        <v>10165</v>
      </c>
      <c r="JN583" s="12"/>
      <c r="JO583" s="12"/>
      <c r="JP583" s="15">
        <f t="shared" si="394"/>
        <v>21</v>
      </c>
      <c r="JQ583" s="15">
        <f t="shared" si="395"/>
        <v>547</v>
      </c>
      <c r="JR583" s="279">
        <f t="shared" si="396"/>
        <v>26.047619047619047</v>
      </c>
      <c r="JS583" s="17">
        <f t="shared" si="397"/>
        <v>0.7142857142857143</v>
      </c>
      <c r="JT583" s="18">
        <f t="shared" si="398"/>
        <v>0.51005484460694694</v>
      </c>
      <c r="JU583" s="280">
        <f t="shared" si="399"/>
        <v>15</v>
      </c>
      <c r="JV583" s="280">
        <f t="shared" si="400"/>
        <v>279</v>
      </c>
      <c r="JW583" s="319" t="str">
        <f t="shared" si="401"/>
        <v/>
      </c>
      <c r="JX583" s="15">
        <f t="shared" si="402"/>
        <v>0</v>
      </c>
      <c r="JY583" s="15">
        <f t="shared" si="403"/>
        <v>0</v>
      </c>
      <c r="JZ583" s="19" t="str">
        <f t="shared" si="404"/>
        <v/>
      </c>
      <c r="KA583" s="52" t="str">
        <f t="shared" si="405"/>
        <v/>
      </c>
      <c r="KB583" s="15">
        <f t="shared" si="406"/>
        <v>0</v>
      </c>
      <c r="KC583" s="15">
        <f t="shared" si="407"/>
        <v>0</v>
      </c>
      <c r="KD583" s="20" t="str">
        <f t="shared" si="408"/>
        <v/>
      </c>
      <c r="KE583" s="52" t="str">
        <f t="shared" si="409"/>
        <v/>
      </c>
      <c r="KF583" s="15">
        <f t="shared" si="410"/>
        <v>0</v>
      </c>
      <c r="KG583" s="15">
        <f t="shared" si="411"/>
        <v>0</v>
      </c>
      <c r="KH583" s="21" t="str">
        <f t="shared" si="412"/>
        <v/>
      </c>
      <c r="KI583" s="52" t="str">
        <f t="shared" si="413"/>
        <v/>
      </c>
      <c r="KJ583" s="15">
        <f t="shared" si="414"/>
        <v>0</v>
      </c>
      <c r="KK583" s="15">
        <f t="shared" si="415"/>
        <v>0</v>
      </c>
      <c r="KL583" s="19" t="str">
        <f t="shared" si="416"/>
        <v/>
      </c>
      <c r="KM583" s="52" t="str">
        <f t="shared" si="417"/>
        <v/>
      </c>
      <c r="KN583" s="22">
        <f t="shared" si="418"/>
        <v>0</v>
      </c>
      <c r="KO583" s="22">
        <f t="shared" si="419"/>
        <v>0</v>
      </c>
      <c r="KP583" s="19" t="str">
        <f t="shared" si="420"/>
        <v/>
      </c>
      <c r="KQ583" s="11" t="str">
        <f t="shared" si="421"/>
        <v>1. Neutral</v>
      </c>
      <c r="KR583" s="11" t="str">
        <f t="shared" si="422"/>
        <v>2. Accommodating</v>
      </c>
      <c r="KS583" s="11" t="str">
        <f t="shared" si="423"/>
        <v>1. Neutral</v>
      </c>
      <c r="KT583" s="11" t="str">
        <f t="shared" si="424"/>
        <v>It did not develop any specific innovation</v>
      </c>
      <c r="KU583" s="11" t="str">
        <f t="shared" si="425"/>
        <v>Moderate advocacy</v>
      </c>
      <c r="KV583" s="11" t="str">
        <f t="shared" si="426"/>
        <v>It did not take tested solutions to scale</v>
      </c>
      <c r="KW583" s="11" t="str">
        <f t="shared" si="427"/>
        <v>Peru - Apoyo al mejoramiento de la cobertura y la calidad educativa en diez centros educativos en el distrito de Hualgayoc</v>
      </c>
      <c r="KX583" s="11" t="str">
        <f t="shared" si="428"/>
        <v>Apoyo al mejoramiento de la cobertura y la calidad educativa en diez centros educativos en el distrito de Hualgayoc</v>
      </c>
      <c r="KY583" s="11" t="str">
        <f t="shared" si="429"/>
        <v>Peru</v>
      </c>
      <c r="KZ583" s="12">
        <v>583</v>
      </c>
    </row>
    <row r="584" spans="1:312" x14ac:dyDescent="0.3">
      <c r="A584" s="12" t="s">
        <v>9706</v>
      </c>
      <c r="B584" s="12" t="s">
        <v>2807</v>
      </c>
      <c r="C584" s="12"/>
      <c r="D584" s="12" t="s">
        <v>9833</v>
      </c>
      <c r="E584" s="277" t="str">
        <f t="shared" si="387"/>
        <v>Peru</v>
      </c>
      <c r="F584" s="12" t="s">
        <v>9834</v>
      </c>
      <c r="G584" s="12" t="s">
        <v>9835</v>
      </c>
      <c r="H584" s="12" t="s">
        <v>383</v>
      </c>
      <c r="I584" s="12" t="s">
        <v>384</v>
      </c>
      <c r="J584" s="281" t="s">
        <v>9836</v>
      </c>
      <c r="K584" s="12"/>
      <c r="L584" s="12"/>
      <c r="M584" s="12"/>
      <c r="N584" s="12"/>
      <c r="O584" s="12"/>
      <c r="P584" s="12"/>
      <c r="Q584" s="12"/>
      <c r="R584" s="12"/>
      <c r="S584" s="12"/>
      <c r="T584" s="12"/>
      <c r="U584" s="12"/>
      <c r="V584" s="12"/>
      <c r="W584" s="12"/>
      <c r="X584" s="12"/>
      <c r="Y584" s="12"/>
      <c r="Z584" s="12"/>
      <c r="AA584" s="12"/>
      <c r="AB584" s="12"/>
      <c r="AC584" s="12"/>
      <c r="AD584" s="12"/>
      <c r="BD584" s="13">
        <v>42818</v>
      </c>
      <c r="BE584" s="13">
        <v>42863</v>
      </c>
      <c r="BF584" s="12"/>
      <c r="BG584" s="12" t="s">
        <v>817</v>
      </c>
      <c r="BH584" s="14">
        <v>91973</v>
      </c>
      <c r="BI584" s="12" t="s">
        <v>9837</v>
      </c>
      <c r="BJ584" s="12" t="s">
        <v>9838</v>
      </c>
      <c r="BK584" s="12" t="s">
        <v>9839</v>
      </c>
      <c r="BL584" s="12"/>
      <c r="BM584" s="12"/>
      <c r="BN584" s="12"/>
      <c r="BO584" s="12" t="s">
        <v>320</v>
      </c>
      <c r="BP584" s="28" t="s">
        <v>319</v>
      </c>
      <c r="BQ584" s="31" t="s">
        <v>319</v>
      </c>
      <c r="BR584" s="12" t="s">
        <v>9840</v>
      </c>
      <c r="BS584" s="12" t="s">
        <v>357</v>
      </c>
      <c r="BT584" s="12" t="s">
        <v>9841</v>
      </c>
      <c r="BU584" s="12" t="s">
        <v>9842</v>
      </c>
      <c r="BV584" s="14">
        <v>1527</v>
      </c>
      <c r="BW584" s="14">
        <v>1533</v>
      </c>
      <c r="BX584" s="14">
        <v>3060</v>
      </c>
      <c r="BY584" s="14"/>
      <c r="BZ584" s="14"/>
      <c r="CA584" s="14">
        <v>0</v>
      </c>
      <c r="CB584" s="12" t="s">
        <v>9843</v>
      </c>
      <c r="CD584" s="14">
        <v>1527</v>
      </c>
      <c r="CE584" s="14">
        <v>1533</v>
      </c>
      <c r="CF584" s="14">
        <v>3060</v>
      </c>
      <c r="CG584" s="14"/>
      <c r="CH584" s="14"/>
      <c r="CI584" s="14">
        <v>0</v>
      </c>
      <c r="CJ584" s="12"/>
      <c r="CK584" s="14"/>
      <c r="CL584" s="16"/>
      <c r="CM584" s="14"/>
      <c r="CN584" s="12"/>
      <c r="CO584" s="14"/>
      <c r="CP584" s="16"/>
      <c r="CQ584" s="14"/>
      <c r="CR584" s="12"/>
      <c r="CS584" s="14"/>
      <c r="CT584" s="16"/>
      <c r="CU584" s="14"/>
      <c r="CV584" s="12"/>
      <c r="CW584" s="14"/>
      <c r="CX584" s="16"/>
      <c r="CY584" s="14"/>
      <c r="CZ584" s="12"/>
      <c r="DA584" s="14"/>
      <c r="DB584" s="16"/>
      <c r="DC584" s="14"/>
      <c r="DD584" s="12"/>
      <c r="DE584" s="14"/>
      <c r="DF584" s="16"/>
      <c r="DG584" s="14"/>
      <c r="DH584" s="12" t="s">
        <v>320</v>
      </c>
      <c r="DI584" s="14">
        <v>3060</v>
      </c>
      <c r="DJ584" s="16">
        <v>0.49399999999999999</v>
      </c>
      <c r="DK584" s="14"/>
      <c r="DL584" s="12"/>
      <c r="DM584" s="14"/>
      <c r="DN584" s="16"/>
      <c r="DO584" s="14"/>
      <c r="DP584" s="12" t="s">
        <v>320</v>
      </c>
      <c r="DQ584" s="14">
        <v>3060</v>
      </c>
      <c r="DR584" s="16">
        <v>0.49399999999999999</v>
      </c>
      <c r="DS584" s="14"/>
      <c r="DT584" s="12" t="s">
        <v>320</v>
      </c>
      <c r="DU584" s="14">
        <v>3060</v>
      </c>
      <c r="DV584" s="16">
        <v>0.49399999999999999</v>
      </c>
      <c r="DW584" s="14"/>
      <c r="DX584" s="12" t="s">
        <v>319</v>
      </c>
      <c r="DY584" s="14"/>
      <c r="DZ584" s="16"/>
      <c r="EA584" s="14"/>
      <c r="EB584" s="11" t="s">
        <v>320</v>
      </c>
      <c r="EC584" s="14">
        <v>3060</v>
      </c>
      <c r="ED584" s="16">
        <v>0.49399999999999999</v>
      </c>
      <c r="EE584" s="14"/>
      <c r="EF584" s="12"/>
      <c r="EG584" s="12"/>
      <c r="EH584" s="14"/>
      <c r="EI584" s="16"/>
      <c r="EJ584" s="14"/>
      <c r="EK584" s="14"/>
      <c r="EL584" s="14"/>
      <c r="EM584" s="14"/>
      <c r="EN584" s="14"/>
      <c r="EO584" s="14"/>
      <c r="EP584" s="14"/>
      <c r="EQ584" s="12"/>
      <c r="ER584" s="14"/>
      <c r="ES584" s="16"/>
      <c r="ET584" s="14"/>
      <c r="EU584" s="12"/>
      <c r="EV584" s="14"/>
      <c r="EW584" s="16"/>
      <c r="EX584" s="14"/>
      <c r="EY584" s="12"/>
      <c r="EZ584" s="14"/>
      <c r="FA584" s="16"/>
      <c r="FB584" s="14"/>
      <c r="FC584" s="12"/>
      <c r="FD584" s="14"/>
      <c r="FE584" s="16"/>
      <c r="FF584" s="14"/>
      <c r="FG584" s="12"/>
      <c r="FH584" s="14"/>
      <c r="FI584" s="16"/>
      <c r="FJ584" s="14"/>
      <c r="FK584" s="12"/>
      <c r="FL584" s="14"/>
      <c r="FM584" s="16"/>
      <c r="FN584" s="14"/>
      <c r="FO584" s="12"/>
      <c r="FP584" s="14"/>
      <c r="FQ584" s="16"/>
      <c r="FR584" s="14"/>
      <c r="FS584" s="12"/>
      <c r="FT584" s="14"/>
      <c r="FU584" s="16"/>
      <c r="FV584" s="14"/>
      <c r="FW584" s="12"/>
      <c r="FX584" s="14"/>
      <c r="FY584" s="16"/>
      <c r="FZ584" s="14"/>
      <c r="GA584" s="12"/>
      <c r="GB584" s="14"/>
      <c r="GC584" s="16"/>
      <c r="GD584" s="14"/>
      <c r="GE584" s="12"/>
      <c r="GF584" s="14"/>
      <c r="GG584" s="16"/>
      <c r="GH584" s="14"/>
      <c r="GI584" s="12"/>
      <c r="GJ584" s="14"/>
      <c r="GK584" s="16"/>
      <c r="GL584" s="14"/>
      <c r="GM584" s="12"/>
      <c r="GN584" s="14"/>
      <c r="GO584" s="16"/>
      <c r="GP584" s="14"/>
      <c r="GQ584" s="12"/>
      <c r="GR584" s="14"/>
      <c r="GS584" s="16"/>
      <c r="GT584" s="14"/>
      <c r="GU584" s="12"/>
      <c r="GV584" s="14"/>
      <c r="GW584" s="16"/>
      <c r="GX584" s="14"/>
      <c r="GY584" s="12"/>
      <c r="GZ584" s="14"/>
      <c r="HA584" s="16"/>
      <c r="HB584" s="14"/>
      <c r="HC584" s="12"/>
      <c r="HD584" s="12"/>
      <c r="HE584" s="14"/>
      <c r="HF584" s="16"/>
      <c r="HG584" s="14"/>
      <c r="HH584" s="12" t="s">
        <v>319</v>
      </c>
      <c r="HI584" s="12"/>
      <c r="HJ584" s="12"/>
      <c r="HK584" s="12" t="s">
        <v>319</v>
      </c>
      <c r="HL584" s="12" t="s">
        <v>319</v>
      </c>
      <c r="HM584" s="12"/>
      <c r="HN584" s="12"/>
      <c r="HO584" s="12"/>
      <c r="HP584" s="12" t="s">
        <v>453</v>
      </c>
      <c r="HQ584" s="12" t="s">
        <v>319</v>
      </c>
      <c r="HR584" s="12" t="s">
        <v>319</v>
      </c>
      <c r="HS584" s="12"/>
      <c r="HT584" s="12" t="s">
        <v>320</v>
      </c>
      <c r="HU584" s="12" t="s">
        <v>319</v>
      </c>
      <c r="HV584" s="12"/>
      <c r="HW584" s="12" t="s">
        <v>320</v>
      </c>
      <c r="HX584" s="12"/>
      <c r="HY584" s="12"/>
      <c r="HZ584" s="12" t="s">
        <v>394</v>
      </c>
      <c r="IA584" s="12"/>
      <c r="IB584" s="12" t="s">
        <v>333</v>
      </c>
      <c r="IC584" s="12"/>
      <c r="ID584" s="11" t="s">
        <v>364</v>
      </c>
      <c r="IE584" s="12" t="s">
        <v>335</v>
      </c>
      <c r="IF584" s="12" t="s">
        <v>319</v>
      </c>
      <c r="IG584" s="12" t="s">
        <v>320</v>
      </c>
      <c r="IH584" s="12" t="s">
        <v>320</v>
      </c>
      <c r="II584" s="12" t="s">
        <v>320</v>
      </c>
      <c r="IJ584" s="12" t="str">
        <f t="shared" si="388"/>
        <v>1. Neutral</v>
      </c>
      <c r="IK584" s="12">
        <f t="shared" si="389"/>
        <v>3</v>
      </c>
      <c r="IL584" s="12" t="s">
        <v>336</v>
      </c>
      <c r="IM584" s="12" t="s">
        <v>320</v>
      </c>
      <c r="IN584" s="12" t="s">
        <v>320</v>
      </c>
      <c r="IO584" s="12" t="s">
        <v>320</v>
      </c>
      <c r="IP584" s="12" t="s">
        <v>320</v>
      </c>
      <c r="IQ584" s="12" t="str">
        <f t="shared" si="390"/>
        <v>2. Accommodating</v>
      </c>
      <c r="IR584" s="12">
        <f t="shared" si="391"/>
        <v>4</v>
      </c>
      <c r="IS584" s="12" t="s">
        <v>337</v>
      </c>
      <c r="IT584" s="12" t="s">
        <v>320</v>
      </c>
      <c r="IU584" s="12" t="s">
        <v>319</v>
      </c>
      <c r="IV584" s="12" t="s">
        <v>320</v>
      </c>
      <c r="IW584" s="11" t="str">
        <f t="shared" si="392"/>
        <v>1. Neutral</v>
      </c>
      <c r="IX584" s="12">
        <f t="shared" si="393"/>
        <v>2</v>
      </c>
      <c r="IY584" s="11" t="s">
        <v>419</v>
      </c>
      <c r="IZ584" s="11" t="s">
        <v>527</v>
      </c>
      <c r="JA584" s="12">
        <v>1</v>
      </c>
      <c r="JB584" s="12" t="s">
        <v>687</v>
      </c>
      <c r="JC584" s="11" t="s">
        <v>624</v>
      </c>
      <c r="JD584" s="12" t="s">
        <v>651</v>
      </c>
      <c r="JE584" s="12" t="s">
        <v>365</v>
      </c>
      <c r="JF584" s="12" t="s">
        <v>9844</v>
      </c>
      <c r="JG584" s="12"/>
      <c r="JH584" s="12" t="s">
        <v>9845</v>
      </c>
      <c r="JI584" s="12" t="s">
        <v>9846</v>
      </c>
      <c r="JJ584" s="12" t="s">
        <v>9847</v>
      </c>
      <c r="JK584" s="12" t="s">
        <v>9848</v>
      </c>
      <c r="JL584" s="12" t="s">
        <v>9849</v>
      </c>
      <c r="JM584" s="12" t="s">
        <v>9850</v>
      </c>
      <c r="JN584" s="12"/>
      <c r="JO584" s="12"/>
      <c r="JP584" s="15">
        <f t="shared" si="394"/>
        <v>3060</v>
      </c>
      <c r="JQ584" s="15">
        <f t="shared" si="395"/>
        <v>0</v>
      </c>
      <c r="JR584" s="279">
        <f t="shared" si="396"/>
        <v>0</v>
      </c>
      <c r="JS584" s="17">
        <f t="shared" si="397"/>
        <v>0.49901960784313726</v>
      </c>
      <c r="JT584" s="18" t="str">
        <f t="shared" si="398"/>
        <v/>
      </c>
      <c r="JU584" s="280">
        <f t="shared" si="399"/>
        <v>1527</v>
      </c>
      <c r="JV584" s="280">
        <f t="shared" si="400"/>
        <v>0</v>
      </c>
      <c r="JW584" s="319">
        <f t="shared" si="401"/>
        <v>1</v>
      </c>
      <c r="JX584" s="15">
        <f t="shared" si="402"/>
        <v>3060</v>
      </c>
      <c r="JY584" s="15">
        <f t="shared" si="403"/>
        <v>0</v>
      </c>
      <c r="JZ584" s="19">
        <f t="shared" si="404"/>
        <v>0</v>
      </c>
      <c r="KA584" s="52" t="str">
        <f t="shared" si="405"/>
        <v/>
      </c>
      <c r="KB584" s="15">
        <f t="shared" si="406"/>
        <v>0</v>
      </c>
      <c r="KC584" s="15">
        <f t="shared" si="407"/>
        <v>0</v>
      </c>
      <c r="KD584" s="20" t="str">
        <f t="shared" si="408"/>
        <v/>
      </c>
      <c r="KE584" s="52">
        <f t="shared" si="409"/>
        <v>1</v>
      </c>
      <c r="KF584" s="15">
        <f t="shared" si="410"/>
        <v>3060</v>
      </c>
      <c r="KG584" s="15">
        <f t="shared" si="411"/>
        <v>0</v>
      </c>
      <c r="KH584" s="21">
        <f t="shared" si="412"/>
        <v>0</v>
      </c>
      <c r="KI584" s="52" t="str">
        <f t="shared" si="413"/>
        <v/>
      </c>
      <c r="KJ584" s="15">
        <f t="shared" si="414"/>
        <v>0</v>
      </c>
      <c r="KK584" s="15">
        <f t="shared" si="415"/>
        <v>0</v>
      </c>
      <c r="KL584" s="19" t="str">
        <f t="shared" si="416"/>
        <v/>
      </c>
      <c r="KM584" s="52" t="str">
        <f t="shared" si="417"/>
        <v/>
      </c>
      <c r="KN584" s="22">
        <f t="shared" si="418"/>
        <v>0</v>
      </c>
      <c r="KO584" s="22">
        <f t="shared" si="419"/>
        <v>0</v>
      </c>
      <c r="KP584" s="19" t="str">
        <f t="shared" si="420"/>
        <v/>
      </c>
      <c r="KQ584" s="11" t="str">
        <f t="shared" si="421"/>
        <v>1. Neutral</v>
      </c>
      <c r="KR584" s="11" t="str">
        <f t="shared" si="422"/>
        <v>2. Accommodating</v>
      </c>
      <c r="KS584" s="11" t="str">
        <f t="shared" si="423"/>
        <v>1. Neutral</v>
      </c>
      <c r="KT584" s="11" t="str">
        <f t="shared" si="424"/>
        <v>It tested new ways for fighting poverty, but did not measure results of innovation</v>
      </c>
      <c r="KU584" s="11" t="str">
        <f t="shared" si="425"/>
        <v>Intensive advocacy</v>
      </c>
      <c r="KV584" s="11" t="str">
        <f t="shared" si="426"/>
        <v>It did not take tested solutions to scale</v>
      </c>
      <c r="KW584" s="11" t="str">
        <f t="shared" si="427"/>
        <v>Peru - Ayuda Humanitaria de emergencia para poblaciones vulnerables  afectadas por las grandes inundaciones de Perú (Start Fund - Acción contra el Hambre)  (Piura 600 kits + 1 sistema)</v>
      </c>
      <c r="KX584" s="11" t="str">
        <f t="shared" si="428"/>
        <v>Ayuda Humanitaria de emergencia para poblaciones vulnerables  afectadas por las grandes inundaciones de Perú (Start Fund - Acción contra el Hambre)  (Piura 600 kits + 1 sistema)</v>
      </c>
      <c r="KY584" s="11" t="str">
        <f t="shared" si="429"/>
        <v>Peru</v>
      </c>
      <c r="KZ584" s="12">
        <v>584</v>
      </c>
    </row>
    <row r="585" spans="1:312" x14ac:dyDescent="0.3">
      <c r="A585" s="12" t="s">
        <v>9706</v>
      </c>
      <c r="B585" s="12" t="s">
        <v>2807</v>
      </c>
      <c r="C585" s="12">
        <v>3268</v>
      </c>
      <c r="D585" s="12" t="s">
        <v>10166</v>
      </c>
      <c r="E585" s="277" t="str">
        <f t="shared" si="387"/>
        <v>Peru</v>
      </c>
      <c r="F585" s="12" t="s">
        <v>10167</v>
      </c>
      <c r="G585" s="12" t="s">
        <v>608</v>
      </c>
      <c r="H585" s="12" t="s">
        <v>383</v>
      </c>
      <c r="I585" s="12" t="s">
        <v>384</v>
      </c>
      <c r="J585" s="281" t="s">
        <v>14730</v>
      </c>
      <c r="K585" s="12"/>
      <c r="L585" s="12"/>
      <c r="M585" s="12"/>
      <c r="N585" s="12"/>
      <c r="O585" s="12"/>
      <c r="P585" s="12"/>
      <c r="Q585" s="12"/>
      <c r="R585" s="12"/>
      <c r="S585" s="12"/>
      <c r="T585" s="12"/>
      <c r="U585" s="12"/>
      <c r="V585" s="12"/>
      <c r="W585" s="12"/>
      <c r="X585" s="12"/>
      <c r="Y585" s="12"/>
      <c r="Z585" s="12"/>
      <c r="AA585" s="12"/>
      <c r="AB585" s="12"/>
      <c r="AC585" s="12"/>
      <c r="AD585" s="12"/>
      <c r="BD585" s="13">
        <v>42826</v>
      </c>
      <c r="BE585" s="13">
        <v>43069</v>
      </c>
      <c r="BF585" s="12"/>
      <c r="BG585" s="12" t="s">
        <v>312</v>
      </c>
      <c r="BH585" s="14"/>
      <c r="BI585" s="12" t="s">
        <v>10051</v>
      </c>
      <c r="BJ585" s="12" t="s">
        <v>10052</v>
      </c>
      <c r="BK585" s="12" t="s">
        <v>10053</v>
      </c>
      <c r="BL585" s="12" t="s">
        <v>9738</v>
      </c>
      <c r="BM585" s="12" t="s">
        <v>9739</v>
      </c>
      <c r="BN585" s="12" t="s">
        <v>9713</v>
      </c>
      <c r="BO585" s="12" t="s">
        <v>320</v>
      </c>
      <c r="BP585" s="12" t="s">
        <v>320</v>
      </c>
      <c r="BQ585" s="12" t="s">
        <v>320</v>
      </c>
      <c r="BR585" s="12" t="s">
        <v>10168</v>
      </c>
      <c r="BS585" s="12" t="s">
        <v>357</v>
      </c>
      <c r="BT585" s="12" t="s">
        <v>10169</v>
      </c>
      <c r="BU585" s="12" t="s">
        <v>10170</v>
      </c>
      <c r="BV585" s="14">
        <v>525</v>
      </c>
      <c r="BW585" s="14">
        <v>825</v>
      </c>
      <c r="BX585" s="14">
        <v>1350</v>
      </c>
      <c r="BY585" s="14">
        <v>78</v>
      </c>
      <c r="BZ585" s="14">
        <v>182</v>
      </c>
      <c r="CA585" s="14">
        <v>260</v>
      </c>
      <c r="CB585" s="12" t="s">
        <v>10171</v>
      </c>
      <c r="CD585" s="14"/>
      <c r="CE585" s="14"/>
      <c r="CF585" s="14"/>
      <c r="CG585" s="14"/>
      <c r="CH585" s="14"/>
      <c r="CI585" s="14"/>
      <c r="CJ585" s="12"/>
      <c r="CK585" s="14"/>
      <c r="CL585" s="16"/>
      <c r="CM585" s="14"/>
      <c r="CN585" s="12"/>
      <c r="CO585" s="14"/>
      <c r="CP585" s="16"/>
      <c r="CQ585" s="14"/>
      <c r="CR585" s="12"/>
      <c r="CS585" s="14"/>
      <c r="CT585" s="16"/>
      <c r="CU585" s="14"/>
      <c r="CV585" s="12"/>
      <c r="CW585" s="14"/>
      <c r="CX585" s="16"/>
      <c r="CY585" s="14"/>
      <c r="CZ585" s="12"/>
      <c r="DA585" s="14"/>
      <c r="DB585" s="16"/>
      <c r="DC585" s="14"/>
      <c r="DD585" s="12"/>
      <c r="DE585" s="14"/>
      <c r="DF585" s="16"/>
      <c r="DG585" s="14"/>
      <c r="DH585" s="12"/>
      <c r="DI585" s="14"/>
      <c r="DJ585" s="16"/>
      <c r="DK585" s="14"/>
      <c r="DL585" s="12"/>
      <c r="DM585" s="14"/>
      <c r="DN585" s="16"/>
      <c r="DO585" s="14"/>
      <c r="DP585" s="12"/>
      <c r="DQ585" s="14"/>
      <c r="DR585" s="16"/>
      <c r="DS585" s="14"/>
      <c r="DT585" s="12"/>
      <c r="DU585" s="14"/>
      <c r="DV585" s="16"/>
      <c r="DW585" s="14"/>
      <c r="DX585" s="12" t="s">
        <v>320</v>
      </c>
      <c r="DY585" s="14"/>
      <c r="DZ585" s="16"/>
      <c r="EA585" s="14"/>
      <c r="EB585" s="12" t="s">
        <v>320</v>
      </c>
      <c r="EC585" s="14"/>
      <c r="ED585" s="16"/>
      <c r="EE585" s="14"/>
      <c r="EF585" s="12"/>
      <c r="EG585" s="12"/>
      <c r="EH585" s="14"/>
      <c r="EI585" s="16"/>
      <c r="EJ585" s="14"/>
      <c r="EK585" s="14">
        <v>525</v>
      </c>
      <c r="EL585" s="14">
        <v>825</v>
      </c>
      <c r="EM585" s="14">
        <v>1350</v>
      </c>
      <c r="EN585" s="14">
        <v>78</v>
      </c>
      <c r="EO585" s="14">
        <v>182</v>
      </c>
      <c r="EP585" s="14">
        <v>260</v>
      </c>
      <c r="EQ585" s="12"/>
      <c r="ER585" s="14"/>
      <c r="ES585" s="16"/>
      <c r="ET585" s="14"/>
      <c r="EU585" s="12"/>
      <c r="EV585" s="14"/>
      <c r="EW585" s="16"/>
      <c r="EX585" s="14"/>
      <c r="EY585" s="12"/>
      <c r="EZ585" s="14"/>
      <c r="FA585" s="16"/>
      <c r="FB585" s="14"/>
      <c r="FC585" s="12"/>
      <c r="FD585" s="14"/>
      <c r="FE585" s="16"/>
      <c r="FF585" s="14"/>
      <c r="FG585" s="12"/>
      <c r="FH585" s="14"/>
      <c r="FI585" s="16"/>
      <c r="FJ585" s="14"/>
      <c r="FK585" s="12" t="s">
        <v>320</v>
      </c>
      <c r="FL585" s="14">
        <v>1350</v>
      </c>
      <c r="FM585" s="16">
        <v>0.39</v>
      </c>
      <c r="FN585" s="14">
        <v>260</v>
      </c>
      <c r="FO585" s="12"/>
      <c r="FP585" s="14"/>
      <c r="FQ585" s="16"/>
      <c r="FR585" s="14"/>
      <c r="FS585" s="12"/>
      <c r="FT585" s="14"/>
      <c r="FU585" s="16"/>
      <c r="FV585" s="14"/>
      <c r="FW585" s="12"/>
      <c r="FX585" s="14"/>
      <c r="FY585" s="16"/>
      <c r="FZ585" s="14"/>
      <c r="GA585" s="12"/>
      <c r="GB585" s="14"/>
      <c r="GC585" s="16"/>
      <c r="GD585" s="14"/>
      <c r="GE585" s="12"/>
      <c r="GF585" s="14"/>
      <c r="GG585" s="16"/>
      <c r="GH585" s="14"/>
      <c r="GI585" s="12"/>
      <c r="GJ585" s="14"/>
      <c r="GK585" s="16"/>
      <c r="GL585" s="14"/>
      <c r="GM585" s="12"/>
      <c r="GN585" s="14"/>
      <c r="GO585" s="16"/>
      <c r="GP585" s="14"/>
      <c r="GQ585" s="12"/>
      <c r="GR585" s="14"/>
      <c r="GS585" s="16"/>
      <c r="GT585" s="14"/>
      <c r="GU585" s="12"/>
      <c r="GV585" s="14"/>
      <c r="GW585" s="16"/>
      <c r="GX585" s="14"/>
      <c r="GY585" s="12"/>
      <c r="GZ585" s="14"/>
      <c r="HA585" s="16"/>
      <c r="HB585" s="14"/>
      <c r="HC585" s="12"/>
      <c r="HD585" s="12"/>
      <c r="HE585" s="14"/>
      <c r="HF585" s="16"/>
      <c r="HG585" s="14"/>
      <c r="HH585" s="12" t="s">
        <v>320</v>
      </c>
      <c r="HI585" s="12" t="s">
        <v>416</v>
      </c>
      <c r="HJ585" s="12">
        <v>2016</v>
      </c>
      <c r="HK585" s="12" t="s">
        <v>320</v>
      </c>
      <c r="HL585" s="12" t="s">
        <v>319</v>
      </c>
      <c r="HM585" s="12"/>
      <c r="HN585" s="12"/>
      <c r="HO585" s="12" t="s">
        <v>10172</v>
      </c>
      <c r="HP585" s="12" t="s">
        <v>330</v>
      </c>
      <c r="HQ585" s="12" t="s">
        <v>320</v>
      </c>
      <c r="HR585" s="12" t="s">
        <v>319</v>
      </c>
      <c r="HS585" s="12" t="s">
        <v>320</v>
      </c>
      <c r="HT585" s="12" t="s">
        <v>320</v>
      </c>
      <c r="HU585" s="12" t="s">
        <v>320</v>
      </c>
      <c r="HV585" s="12" t="s">
        <v>319</v>
      </c>
      <c r="HW585" s="12" t="s">
        <v>319</v>
      </c>
      <c r="HX585" s="12" t="s">
        <v>320</v>
      </c>
      <c r="HY585" s="12" t="s">
        <v>10173</v>
      </c>
      <c r="HZ585" s="12" t="s">
        <v>394</v>
      </c>
      <c r="IA585" s="12" t="s">
        <v>10174</v>
      </c>
      <c r="IB585" s="12" t="s">
        <v>396</v>
      </c>
      <c r="IC585" s="12" t="s">
        <v>10175</v>
      </c>
      <c r="ID585" s="12" t="s">
        <v>334</v>
      </c>
      <c r="IE585" s="12" t="s">
        <v>335</v>
      </c>
      <c r="IF585" s="12" t="s">
        <v>320</v>
      </c>
      <c r="IG585" s="12" t="s">
        <v>320</v>
      </c>
      <c r="IH585" s="12" t="s">
        <v>320</v>
      </c>
      <c r="II585" s="12" t="s">
        <v>320</v>
      </c>
      <c r="IJ585" s="12" t="str">
        <f t="shared" si="388"/>
        <v>2. Sensitive</v>
      </c>
      <c r="IK585" s="12">
        <f t="shared" si="389"/>
        <v>4</v>
      </c>
      <c r="IL585" s="12" t="s">
        <v>723</v>
      </c>
      <c r="IM585" s="12" t="s">
        <v>320</v>
      </c>
      <c r="IN585" s="12" t="s">
        <v>319</v>
      </c>
      <c r="IO585" s="12" t="s">
        <v>319</v>
      </c>
      <c r="IP585" s="12" t="s">
        <v>320</v>
      </c>
      <c r="IQ585" s="12" t="str">
        <f t="shared" si="390"/>
        <v>0. Unaware</v>
      </c>
      <c r="IR585" s="12">
        <f t="shared" si="391"/>
        <v>2</v>
      </c>
      <c r="IS585" s="12" t="s">
        <v>622</v>
      </c>
      <c r="IT585" s="12" t="s">
        <v>320</v>
      </c>
      <c r="IU585" s="12" t="s">
        <v>320</v>
      </c>
      <c r="IV585" s="12" t="s">
        <v>320</v>
      </c>
      <c r="IW585" s="11" t="str">
        <f t="shared" si="392"/>
        <v>4. Transformative</v>
      </c>
      <c r="IX585" s="12">
        <f t="shared" si="393"/>
        <v>3</v>
      </c>
      <c r="IY585" s="12" t="s">
        <v>338</v>
      </c>
      <c r="IZ585" s="11" t="s">
        <v>527</v>
      </c>
      <c r="JA585" s="12">
        <v>1</v>
      </c>
      <c r="JB585" s="11" t="s">
        <v>384</v>
      </c>
      <c r="JC585" s="12"/>
      <c r="JD585" s="12"/>
      <c r="JE585" s="12" t="s">
        <v>365</v>
      </c>
      <c r="JF585" s="12" t="s">
        <v>10176</v>
      </c>
      <c r="JG585" s="12" t="s">
        <v>10177</v>
      </c>
      <c r="JH585" s="12" t="s">
        <v>10178</v>
      </c>
      <c r="JI585" s="12" t="s">
        <v>10179</v>
      </c>
      <c r="JJ585" s="12" t="s">
        <v>10180</v>
      </c>
      <c r="JK585" s="12" t="s">
        <v>10181</v>
      </c>
      <c r="JL585" s="12" t="s">
        <v>10182</v>
      </c>
      <c r="JM585" s="12" t="s">
        <v>10183</v>
      </c>
      <c r="JN585" s="12" t="s">
        <v>10184</v>
      </c>
      <c r="JO585" s="12" t="s">
        <v>10185</v>
      </c>
      <c r="JP585" s="15">
        <f t="shared" si="394"/>
        <v>1350</v>
      </c>
      <c r="JQ585" s="15">
        <f t="shared" si="395"/>
        <v>260</v>
      </c>
      <c r="JR585" s="279">
        <f t="shared" si="396"/>
        <v>0.19259259259259259</v>
      </c>
      <c r="JS585" s="17">
        <f t="shared" si="397"/>
        <v>0.3888888888888889</v>
      </c>
      <c r="JT585" s="18">
        <f t="shared" si="398"/>
        <v>0.3</v>
      </c>
      <c r="JU585" s="280">
        <f t="shared" si="399"/>
        <v>525</v>
      </c>
      <c r="JV585" s="280">
        <f t="shared" si="400"/>
        <v>78</v>
      </c>
      <c r="JW585" s="319">
        <f t="shared" si="401"/>
        <v>1</v>
      </c>
      <c r="JX585" s="15">
        <f t="shared" si="402"/>
        <v>0</v>
      </c>
      <c r="JY585" s="15">
        <f t="shared" si="403"/>
        <v>0</v>
      </c>
      <c r="JZ585" s="19" t="str">
        <f t="shared" si="404"/>
        <v/>
      </c>
      <c r="KA585" s="52" t="str">
        <f t="shared" si="405"/>
        <v/>
      </c>
      <c r="KB585" s="15">
        <f t="shared" si="406"/>
        <v>0</v>
      </c>
      <c r="KC585" s="15">
        <f t="shared" si="407"/>
        <v>0</v>
      </c>
      <c r="KD585" s="20" t="str">
        <f t="shared" si="408"/>
        <v/>
      </c>
      <c r="KE585" s="52" t="str">
        <f t="shared" si="409"/>
        <v/>
      </c>
      <c r="KF585" s="15">
        <f t="shared" si="410"/>
        <v>0</v>
      </c>
      <c r="KG585" s="15">
        <f t="shared" si="411"/>
        <v>0</v>
      </c>
      <c r="KH585" s="21" t="str">
        <f t="shared" si="412"/>
        <v/>
      </c>
      <c r="KI585" s="52" t="str">
        <f t="shared" si="413"/>
        <v/>
      </c>
      <c r="KJ585" s="15">
        <f t="shared" si="414"/>
        <v>0</v>
      </c>
      <c r="KK585" s="15">
        <f t="shared" si="415"/>
        <v>0</v>
      </c>
      <c r="KL585" s="19" t="str">
        <f t="shared" si="416"/>
        <v/>
      </c>
      <c r="KM585" s="52" t="str">
        <f t="shared" si="417"/>
        <v/>
      </c>
      <c r="KN585" s="22">
        <f t="shared" si="418"/>
        <v>0</v>
      </c>
      <c r="KO585" s="22">
        <f t="shared" si="419"/>
        <v>0</v>
      </c>
      <c r="KP585" s="19" t="str">
        <f t="shared" si="420"/>
        <v/>
      </c>
      <c r="KQ585" s="11" t="str">
        <f t="shared" si="421"/>
        <v>2. Sensitive</v>
      </c>
      <c r="KR585" s="11" t="str">
        <f t="shared" si="422"/>
        <v>0. Unaware</v>
      </c>
      <c r="KS585" s="11" t="str">
        <f t="shared" si="423"/>
        <v>4. Transformative</v>
      </c>
      <c r="KT585" s="11" t="str">
        <f t="shared" si="424"/>
        <v>It tested new ways for fighting poverty, but did not measure results of innovation</v>
      </c>
      <c r="KU585" s="11" t="str">
        <f t="shared" si="425"/>
        <v>Moderate advocacy</v>
      </c>
      <c r="KV585" s="11" t="str">
        <f t="shared" si="426"/>
        <v>It linked and worked with strategic alliances and partners to take tested and effective solutions to scale</v>
      </c>
      <c r="KW585" s="11" t="str">
        <f t="shared" si="427"/>
        <v>Peru - Calidad y Equidad en la Educación Básica Alternativa  EBA</v>
      </c>
      <c r="KX585" s="11" t="str">
        <f t="shared" si="428"/>
        <v>Calidad y Equidad en la Educación Básica Alternativa  EBA</v>
      </c>
      <c r="KY585" s="11" t="str">
        <f t="shared" si="429"/>
        <v>Peru</v>
      </c>
      <c r="KZ585" s="12">
        <v>585</v>
      </c>
    </row>
    <row r="586" spans="1:312" x14ac:dyDescent="0.3">
      <c r="A586" s="12" t="s">
        <v>9706</v>
      </c>
      <c r="B586" s="12" t="s">
        <v>2807</v>
      </c>
      <c r="C586" s="12">
        <v>3264</v>
      </c>
      <c r="D586" s="12" t="s">
        <v>10048</v>
      </c>
      <c r="E586" s="277" t="str">
        <f t="shared" si="387"/>
        <v>Peru</v>
      </c>
      <c r="F586" s="12" t="s">
        <v>10049</v>
      </c>
      <c r="G586" s="12" t="s">
        <v>379</v>
      </c>
      <c r="H586" s="12" t="s">
        <v>383</v>
      </c>
      <c r="I586" s="12" t="s">
        <v>384</v>
      </c>
      <c r="J586" s="281" t="s">
        <v>10050</v>
      </c>
      <c r="K586" s="12"/>
      <c r="L586" s="12"/>
      <c r="M586" s="12"/>
      <c r="N586" s="12"/>
      <c r="O586" s="12"/>
      <c r="P586" s="12"/>
      <c r="Q586" s="12"/>
      <c r="R586" s="12"/>
      <c r="S586" s="12"/>
      <c r="T586" s="12"/>
      <c r="U586" s="12"/>
      <c r="V586" s="12"/>
      <c r="W586" s="12"/>
      <c r="X586" s="12"/>
      <c r="Y586" s="12"/>
      <c r="Z586" s="12"/>
      <c r="AA586" s="12"/>
      <c r="AB586" s="12"/>
      <c r="AC586" s="12"/>
      <c r="AD586" s="12"/>
      <c r="BD586" s="13">
        <v>41897</v>
      </c>
      <c r="BE586" s="13">
        <v>42808</v>
      </c>
      <c r="BF586" s="13">
        <v>42886</v>
      </c>
      <c r="BG586" s="12" t="s">
        <v>312</v>
      </c>
      <c r="BH586" s="14">
        <v>350000</v>
      </c>
      <c r="BI586" s="12" t="s">
        <v>10051</v>
      </c>
      <c r="BJ586" s="12" t="s">
        <v>10052</v>
      </c>
      <c r="BK586" s="12" t="s">
        <v>10053</v>
      </c>
      <c r="BL586" s="12" t="s">
        <v>9738</v>
      </c>
      <c r="BM586" s="12" t="s">
        <v>9739</v>
      </c>
      <c r="BN586" s="12" t="s">
        <v>9713</v>
      </c>
      <c r="BO586" s="12" t="s">
        <v>320</v>
      </c>
      <c r="BP586" s="12" t="s">
        <v>320</v>
      </c>
      <c r="BQ586" s="12" t="s">
        <v>320</v>
      </c>
      <c r="BR586" s="12" t="s">
        <v>10054</v>
      </c>
      <c r="BS586" s="12" t="s">
        <v>357</v>
      </c>
      <c r="BT586" s="12" t="s">
        <v>10055</v>
      </c>
      <c r="BU586" s="12" t="s">
        <v>10056</v>
      </c>
      <c r="BV586" s="14">
        <v>2361</v>
      </c>
      <c r="BW586" s="14">
        <v>1622</v>
      </c>
      <c r="BX586" s="14">
        <v>3983</v>
      </c>
      <c r="BY586" s="14">
        <v>5390</v>
      </c>
      <c r="BZ586" s="14">
        <v>1735</v>
      </c>
      <c r="CA586" s="14">
        <v>7125</v>
      </c>
      <c r="CB586" s="12" t="s">
        <v>10057</v>
      </c>
      <c r="CD586" s="14"/>
      <c r="CE586" s="14"/>
      <c r="CF586" s="14"/>
      <c r="CG586" s="14"/>
      <c r="CH586" s="14"/>
      <c r="CI586" s="14"/>
      <c r="CJ586" s="12"/>
      <c r="CK586" s="14"/>
      <c r="CL586" s="16"/>
      <c r="CM586" s="14"/>
      <c r="CN586" s="12"/>
      <c r="CO586" s="14"/>
      <c r="CP586" s="16"/>
      <c r="CQ586" s="14"/>
      <c r="CR586" s="12"/>
      <c r="CS586" s="14"/>
      <c r="CT586" s="16"/>
      <c r="CU586" s="14"/>
      <c r="CV586" s="12"/>
      <c r="CW586" s="14"/>
      <c r="CX586" s="16"/>
      <c r="CY586" s="14"/>
      <c r="CZ586" s="12"/>
      <c r="DA586" s="14"/>
      <c r="DB586" s="16"/>
      <c r="DC586" s="14"/>
      <c r="DD586" s="12"/>
      <c r="DE586" s="14"/>
      <c r="DF586" s="16"/>
      <c r="DG586" s="14"/>
      <c r="DH586" s="12"/>
      <c r="DI586" s="14"/>
      <c r="DJ586" s="16"/>
      <c r="DK586" s="14"/>
      <c r="DL586" s="12"/>
      <c r="DM586" s="14"/>
      <c r="DN586" s="16"/>
      <c r="DO586" s="14"/>
      <c r="DP586" s="12"/>
      <c r="DQ586" s="14"/>
      <c r="DR586" s="16"/>
      <c r="DS586" s="14"/>
      <c r="DT586" s="12"/>
      <c r="DU586" s="14"/>
      <c r="DV586" s="16"/>
      <c r="DW586" s="14"/>
      <c r="DX586" s="12" t="s">
        <v>320</v>
      </c>
      <c r="DY586" s="14"/>
      <c r="DZ586" s="16"/>
      <c r="EA586" s="14"/>
      <c r="EB586" s="12" t="s">
        <v>320</v>
      </c>
      <c r="EC586" s="14"/>
      <c r="ED586" s="16"/>
      <c r="EE586" s="14"/>
      <c r="EF586" s="12"/>
      <c r="EG586" s="12"/>
      <c r="EH586" s="14"/>
      <c r="EI586" s="16"/>
      <c r="EJ586" s="14"/>
      <c r="EK586" s="14">
        <v>2963</v>
      </c>
      <c r="EL586" s="14">
        <v>2175</v>
      </c>
      <c r="EM586" s="14">
        <v>5138</v>
      </c>
      <c r="EN586" s="14">
        <v>5390</v>
      </c>
      <c r="EO586" s="14">
        <v>1735</v>
      </c>
      <c r="EP586" s="14">
        <v>7125</v>
      </c>
      <c r="EQ586" s="12"/>
      <c r="ER586" s="14"/>
      <c r="ES586" s="16"/>
      <c r="ET586" s="14"/>
      <c r="EU586" s="12"/>
      <c r="EV586" s="14"/>
      <c r="EW586" s="16"/>
      <c r="EX586" s="14"/>
      <c r="EY586" s="12"/>
      <c r="EZ586" s="14"/>
      <c r="FA586" s="16"/>
      <c r="FB586" s="14"/>
      <c r="FC586" s="12"/>
      <c r="FD586" s="14"/>
      <c r="FE586" s="16"/>
      <c r="FF586" s="14"/>
      <c r="FG586" s="12"/>
      <c r="FH586" s="14"/>
      <c r="FI586" s="16"/>
      <c r="FJ586" s="14"/>
      <c r="FK586" s="12" t="s">
        <v>320</v>
      </c>
      <c r="FL586" s="14">
        <v>5138</v>
      </c>
      <c r="FM586" s="16">
        <v>0.57599999999999996</v>
      </c>
      <c r="FN586" s="14">
        <v>7125</v>
      </c>
      <c r="FO586" s="12"/>
      <c r="FP586" s="14"/>
      <c r="FQ586" s="16"/>
      <c r="FR586" s="14"/>
      <c r="FS586" s="12"/>
      <c r="FT586" s="14"/>
      <c r="FU586" s="16"/>
      <c r="FV586" s="14"/>
      <c r="FW586" s="12"/>
      <c r="FX586" s="14"/>
      <c r="FY586" s="16"/>
      <c r="FZ586" s="14"/>
      <c r="GA586" s="12"/>
      <c r="GB586" s="14"/>
      <c r="GC586" s="16"/>
      <c r="GD586" s="14"/>
      <c r="GE586" s="12"/>
      <c r="GF586" s="14"/>
      <c r="GG586" s="16"/>
      <c r="GH586" s="14"/>
      <c r="GI586" s="12"/>
      <c r="GJ586" s="14"/>
      <c r="GK586" s="16"/>
      <c r="GL586" s="14"/>
      <c r="GM586" s="12"/>
      <c r="GN586" s="14"/>
      <c r="GO586" s="16"/>
      <c r="GP586" s="14"/>
      <c r="GQ586" s="12"/>
      <c r="GR586" s="14"/>
      <c r="GS586" s="16"/>
      <c r="GT586" s="14"/>
      <c r="GU586" s="12"/>
      <c r="GV586" s="14"/>
      <c r="GW586" s="16"/>
      <c r="GX586" s="14"/>
      <c r="GY586" s="12"/>
      <c r="GZ586" s="14"/>
      <c r="HA586" s="16"/>
      <c r="HB586" s="14"/>
      <c r="HC586" s="12"/>
      <c r="HD586" s="12"/>
      <c r="HE586" s="14"/>
      <c r="HF586" s="16"/>
      <c r="HG586" s="14"/>
      <c r="HH586" s="12" t="s">
        <v>320</v>
      </c>
      <c r="HI586" s="12" t="s">
        <v>431</v>
      </c>
      <c r="HJ586" s="12">
        <v>2017</v>
      </c>
      <c r="HK586" s="12" t="s">
        <v>319</v>
      </c>
      <c r="HL586" s="12" t="s">
        <v>319</v>
      </c>
      <c r="HM586" s="12"/>
      <c r="HN586" s="12"/>
      <c r="HO586" s="12" t="s">
        <v>10058</v>
      </c>
      <c r="HP586" s="12" t="s">
        <v>330</v>
      </c>
      <c r="HQ586" s="12" t="s">
        <v>320</v>
      </c>
      <c r="HR586" s="12" t="s">
        <v>319</v>
      </c>
      <c r="HS586" s="12" t="s">
        <v>319</v>
      </c>
      <c r="HT586" s="12" t="s">
        <v>319</v>
      </c>
      <c r="HU586" s="12" t="s">
        <v>319</v>
      </c>
      <c r="HV586" s="12" t="s">
        <v>319</v>
      </c>
      <c r="HW586" s="12" t="s">
        <v>319</v>
      </c>
      <c r="HX586" s="12" t="s">
        <v>320</v>
      </c>
      <c r="HY586" s="12" t="s">
        <v>10059</v>
      </c>
      <c r="HZ586" s="12" t="s">
        <v>394</v>
      </c>
      <c r="IA586" s="12" t="s">
        <v>10060</v>
      </c>
      <c r="IB586" s="12" t="s">
        <v>396</v>
      </c>
      <c r="IC586" s="12" t="s">
        <v>10061</v>
      </c>
      <c r="ID586" s="12" t="s">
        <v>334</v>
      </c>
      <c r="IE586" s="12" t="s">
        <v>335</v>
      </c>
      <c r="IF586" s="12" t="s">
        <v>320</v>
      </c>
      <c r="IG586" s="12" t="s">
        <v>320</v>
      </c>
      <c r="IH586" s="12" t="s">
        <v>320</v>
      </c>
      <c r="II586" s="12" t="s">
        <v>320</v>
      </c>
      <c r="IJ586" s="12" t="str">
        <f t="shared" si="388"/>
        <v>2. Sensitive</v>
      </c>
      <c r="IK586" s="12">
        <f t="shared" si="389"/>
        <v>4</v>
      </c>
      <c r="IL586" s="12" t="s">
        <v>336</v>
      </c>
      <c r="IM586" s="12" t="s">
        <v>320</v>
      </c>
      <c r="IN586" s="12" t="s">
        <v>319</v>
      </c>
      <c r="IO586" s="12" t="s">
        <v>320</v>
      </c>
      <c r="IP586" s="12" t="s">
        <v>320</v>
      </c>
      <c r="IQ586" s="12" t="str">
        <f t="shared" si="390"/>
        <v>2. Accommodating</v>
      </c>
      <c r="IR586" s="12">
        <f t="shared" si="391"/>
        <v>3</v>
      </c>
      <c r="IS586" s="12" t="s">
        <v>337</v>
      </c>
      <c r="IT586" s="12" t="s">
        <v>320</v>
      </c>
      <c r="IU586" s="12" t="s">
        <v>320</v>
      </c>
      <c r="IV586" s="12" t="s">
        <v>320</v>
      </c>
      <c r="IW586" s="11" t="str">
        <f t="shared" si="392"/>
        <v>2. Sensitive</v>
      </c>
      <c r="IX586" s="12">
        <f t="shared" si="393"/>
        <v>3</v>
      </c>
      <c r="IY586" s="12" t="s">
        <v>338</v>
      </c>
      <c r="IZ586" s="12" t="s">
        <v>457</v>
      </c>
      <c r="JA586" s="12">
        <v>7</v>
      </c>
      <c r="JB586" s="11" t="s">
        <v>384</v>
      </c>
      <c r="JC586" s="11" t="s">
        <v>687</v>
      </c>
      <c r="JD586" s="12"/>
      <c r="JE586" s="12" t="s">
        <v>420</v>
      </c>
      <c r="JF586" s="12"/>
      <c r="JG586" s="12"/>
      <c r="JH586" s="12" t="s">
        <v>10062</v>
      </c>
      <c r="JI586" s="12" t="s">
        <v>10063</v>
      </c>
      <c r="JJ586" s="12" t="s">
        <v>10064</v>
      </c>
      <c r="JK586" s="12" t="s">
        <v>10065</v>
      </c>
      <c r="JL586" s="12" t="s">
        <v>10066</v>
      </c>
      <c r="JM586" s="12" t="s">
        <v>10067</v>
      </c>
      <c r="JN586" s="12" t="s">
        <v>10068</v>
      </c>
      <c r="JO586" s="12" t="s">
        <v>10069</v>
      </c>
      <c r="JP586" s="15">
        <f t="shared" si="394"/>
        <v>5138</v>
      </c>
      <c r="JQ586" s="15">
        <f t="shared" si="395"/>
        <v>7125</v>
      </c>
      <c r="JR586" s="279">
        <f t="shared" si="396"/>
        <v>1.3867263526664071</v>
      </c>
      <c r="JS586" s="17">
        <f t="shared" si="397"/>
        <v>0.57668353444920206</v>
      </c>
      <c r="JT586" s="18">
        <f t="shared" si="398"/>
        <v>0.75649122807017544</v>
      </c>
      <c r="JU586" s="280">
        <f t="shared" si="399"/>
        <v>2963</v>
      </c>
      <c r="JV586" s="280">
        <f t="shared" si="400"/>
        <v>5390</v>
      </c>
      <c r="JW586" s="319">
        <f t="shared" si="401"/>
        <v>1</v>
      </c>
      <c r="JX586" s="15">
        <f t="shared" si="402"/>
        <v>0</v>
      </c>
      <c r="JY586" s="15">
        <f t="shared" si="403"/>
        <v>0</v>
      </c>
      <c r="JZ586" s="19" t="str">
        <f t="shared" si="404"/>
        <v/>
      </c>
      <c r="KA586" s="52" t="str">
        <f t="shared" si="405"/>
        <v/>
      </c>
      <c r="KB586" s="15">
        <f t="shared" si="406"/>
        <v>0</v>
      </c>
      <c r="KC586" s="15">
        <f t="shared" si="407"/>
        <v>0</v>
      </c>
      <c r="KD586" s="20" t="str">
        <f t="shared" si="408"/>
        <v/>
      </c>
      <c r="KE586" s="52" t="str">
        <f t="shared" si="409"/>
        <v/>
      </c>
      <c r="KF586" s="15">
        <f t="shared" si="410"/>
        <v>0</v>
      </c>
      <c r="KG586" s="15">
        <f t="shared" si="411"/>
        <v>0</v>
      </c>
      <c r="KH586" s="21" t="str">
        <f t="shared" si="412"/>
        <v/>
      </c>
      <c r="KI586" s="52" t="str">
        <f t="shared" si="413"/>
        <v/>
      </c>
      <c r="KJ586" s="15">
        <f t="shared" si="414"/>
        <v>0</v>
      </c>
      <c r="KK586" s="15">
        <f t="shared" si="415"/>
        <v>0</v>
      </c>
      <c r="KL586" s="19" t="str">
        <f t="shared" si="416"/>
        <v/>
      </c>
      <c r="KM586" s="52" t="str">
        <f t="shared" si="417"/>
        <v/>
      </c>
      <c r="KN586" s="22">
        <f t="shared" si="418"/>
        <v>0</v>
      </c>
      <c r="KO586" s="22">
        <f t="shared" si="419"/>
        <v>0</v>
      </c>
      <c r="KP586" s="19" t="str">
        <f t="shared" si="420"/>
        <v/>
      </c>
      <c r="KQ586" s="11" t="str">
        <f t="shared" si="421"/>
        <v>2. Sensitive</v>
      </c>
      <c r="KR586" s="11" t="str">
        <f t="shared" si="422"/>
        <v>2. Accommodating</v>
      </c>
      <c r="KS586" s="11" t="str">
        <f t="shared" si="423"/>
        <v>2. Sensitive</v>
      </c>
      <c r="KT586" s="11" t="str">
        <f t="shared" si="424"/>
        <v>It tested new ways for fighting poverty, but did not measure results of innovation</v>
      </c>
      <c r="KU586" s="11" t="str">
        <f t="shared" si="425"/>
        <v>Moderate advocacy</v>
      </c>
      <c r="KV586" s="11" t="str">
        <f t="shared" si="426"/>
        <v>It linked and worked with strategic alliances and partners to take tested and effective solutions to scale</v>
      </c>
      <c r="KW586" s="11" t="str">
        <f t="shared" si="427"/>
        <v>Peru - Calidad y equidad en la educación intercultural en Puno Kawsay II     </v>
      </c>
      <c r="KX586" s="11" t="str">
        <f t="shared" si="428"/>
        <v>Calidad y equidad en la educación intercultural en Puno Kawsay II     </v>
      </c>
      <c r="KY586" s="11" t="str">
        <f t="shared" si="429"/>
        <v>Peru</v>
      </c>
      <c r="KZ586" s="12">
        <v>586</v>
      </c>
    </row>
    <row r="587" spans="1:312" x14ac:dyDescent="0.3">
      <c r="A587" s="12" t="s">
        <v>9706</v>
      </c>
      <c r="B587" s="12" t="s">
        <v>2807</v>
      </c>
      <c r="C587" s="12">
        <v>3275</v>
      </c>
      <c r="D587" s="12" t="s">
        <v>9707</v>
      </c>
      <c r="E587" s="277" t="str">
        <f t="shared" si="387"/>
        <v>Peru</v>
      </c>
      <c r="F587" s="12" t="s">
        <v>9708</v>
      </c>
      <c r="G587" s="12" t="s">
        <v>608</v>
      </c>
      <c r="H587" s="12" t="s">
        <v>384</v>
      </c>
      <c r="I587" s="12" t="s">
        <v>655</v>
      </c>
      <c r="J587" s="281" t="s">
        <v>14731</v>
      </c>
      <c r="K587" s="12"/>
      <c r="L587" s="12"/>
      <c r="M587" s="12"/>
      <c r="N587" s="12"/>
      <c r="O587" s="12"/>
      <c r="P587" s="12"/>
      <c r="Q587" s="12"/>
      <c r="R587" s="12"/>
      <c r="S587" s="12"/>
      <c r="T587" s="12"/>
      <c r="U587" s="12"/>
      <c r="V587" s="12"/>
      <c r="W587" s="12"/>
      <c r="X587" s="12"/>
      <c r="Y587" s="12"/>
      <c r="Z587" s="12"/>
      <c r="AA587" s="12"/>
      <c r="AB587" s="12"/>
      <c r="AC587" s="12"/>
      <c r="AD587" s="12"/>
      <c r="BD587" s="13">
        <v>41883</v>
      </c>
      <c r="BE587" s="13">
        <v>43220</v>
      </c>
      <c r="BF587" s="12"/>
      <c r="BG587" s="12" t="s">
        <v>312</v>
      </c>
      <c r="BH587" s="14">
        <v>450000</v>
      </c>
      <c r="BI587" s="12" t="s">
        <v>9709</v>
      </c>
      <c r="BJ587" s="12" t="s">
        <v>5011</v>
      </c>
      <c r="BK587" s="12" t="s">
        <v>9710</v>
      </c>
      <c r="BL587" s="12" t="s">
        <v>9711</v>
      </c>
      <c r="BM587" s="12" t="s">
        <v>9712</v>
      </c>
      <c r="BN587" s="12" t="s">
        <v>9713</v>
      </c>
      <c r="BO587" s="12" t="s">
        <v>320</v>
      </c>
      <c r="BP587" s="12" t="s">
        <v>320</v>
      </c>
      <c r="BQ587" s="12" t="s">
        <v>320</v>
      </c>
      <c r="BR587" s="12" t="s">
        <v>9714</v>
      </c>
      <c r="BS587" s="12" t="s">
        <v>357</v>
      </c>
      <c r="BT587" s="12" t="s">
        <v>9715</v>
      </c>
      <c r="BU587" s="12" t="s">
        <v>9716</v>
      </c>
      <c r="BV587" s="14"/>
      <c r="BW587" s="14"/>
      <c r="BX587" s="14">
        <v>3169</v>
      </c>
      <c r="BY587" s="14"/>
      <c r="BZ587" s="14"/>
      <c r="CA587" s="14"/>
      <c r="CB587" s="12" t="s">
        <v>9717</v>
      </c>
      <c r="CD587" s="14"/>
      <c r="CE587" s="14"/>
      <c r="CF587" s="14"/>
      <c r="CG587" s="14"/>
      <c r="CH587" s="14"/>
      <c r="CI587" s="14"/>
      <c r="CJ587" s="12"/>
      <c r="CK587" s="14"/>
      <c r="CL587" s="16"/>
      <c r="CM587" s="14"/>
      <c r="CN587" s="12"/>
      <c r="CO587" s="14"/>
      <c r="CP587" s="16"/>
      <c r="CQ587" s="14"/>
      <c r="CR587" s="12"/>
      <c r="CS587" s="14"/>
      <c r="CT587" s="16"/>
      <c r="CU587" s="14"/>
      <c r="CV587" s="12"/>
      <c r="CW587" s="14"/>
      <c r="CX587" s="16"/>
      <c r="CY587" s="14"/>
      <c r="CZ587" s="12"/>
      <c r="DA587" s="14"/>
      <c r="DB587" s="16"/>
      <c r="DC587" s="14"/>
      <c r="DD587" s="12"/>
      <c r="DE587" s="14"/>
      <c r="DF587" s="16"/>
      <c r="DG587" s="14"/>
      <c r="DH587" s="12"/>
      <c r="DI587" s="14"/>
      <c r="DJ587" s="16"/>
      <c r="DK587" s="14"/>
      <c r="DL587" s="12"/>
      <c r="DM587" s="14"/>
      <c r="DN587" s="16"/>
      <c r="DO587" s="14"/>
      <c r="DP587" s="12"/>
      <c r="DQ587" s="14"/>
      <c r="DR587" s="16"/>
      <c r="DS587" s="14"/>
      <c r="DT587" s="12"/>
      <c r="DU587" s="14"/>
      <c r="DV587" s="16"/>
      <c r="DW587" s="14"/>
      <c r="DX587" s="12" t="s">
        <v>320</v>
      </c>
      <c r="DY587" s="14"/>
      <c r="DZ587" s="16"/>
      <c r="EA587" s="14"/>
      <c r="EB587" s="12" t="s">
        <v>320</v>
      </c>
      <c r="EC587" s="14"/>
      <c r="ED587" s="16"/>
      <c r="EE587" s="14"/>
      <c r="EF587" s="12"/>
      <c r="EG587" s="12"/>
      <c r="EH587" s="14"/>
      <c r="EI587" s="16"/>
      <c r="EJ587" s="14"/>
      <c r="EK587" s="14">
        <v>3394</v>
      </c>
      <c r="EL587" s="14">
        <v>10396</v>
      </c>
      <c r="EM587" s="14">
        <v>13790</v>
      </c>
      <c r="EN587" s="14"/>
      <c r="EO587" s="14"/>
      <c r="EP587" s="14">
        <v>838</v>
      </c>
      <c r="EQ587" s="12"/>
      <c r="ER587" s="14"/>
      <c r="ES587" s="16"/>
      <c r="ET587" s="14"/>
      <c r="EU587" s="12"/>
      <c r="EV587" s="14"/>
      <c r="EW587" s="16"/>
      <c r="EX587" s="14"/>
      <c r="EY587" s="12"/>
      <c r="EZ587" s="14"/>
      <c r="FA587" s="16"/>
      <c r="FB587" s="14"/>
      <c r="FC587" s="12"/>
      <c r="FD587" s="14"/>
      <c r="FE587" s="16"/>
      <c r="FF587" s="14"/>
      <c r="FG587" s="12"/>
      <c r="FH587" s="14"/>
      <c r="FI587" s="16"/>
      <c r="FJ587" s="14"/>
      <c r="FK587" s="12"/>
      <c r="FL587" s="14"/>
      <c r="FM587" s="16"/>
      <c r="FN587" s="14"/>
      <c r="FO587" s="12"/>
      <c r="FP587" s="14"/>
      <c r="FQ587" s="16"/>
      <c r="FR587" s="14"/>
      <c r="FS587" s="12"/>
      <c r="FT587" s="14"/>
      <c r="FU587" s="16"/>
      <c r="FV587" s="14"/>
      <c r="FW587" s="12"/>
      <c r="FX587" s="14"/>
      <c r="FY587" s="16"/>
      <c r="FZ587" s="14"/>
      <c r="GA587" s="11" t="s">
        <v>320</v>
      </c>
      <c r="GB587" s="14">
        <v>13790</v>
      </c>
      <c r="GC587" s="16">
        <v>0.24612037708484399</v>
      </c>
      <c r="GD587" s="14">
        <v>838</v>
      </c>
      <c r="GE587" s="12"/>
      <c r="GF587" s="14"/>
      <c r="GG587" s="16"/>
      <c r="GH587" s="14"/>
      <c r="GI587" s="12"/>
      <c r="GJ587" s="14"/>
      <c r="GK587" s="16"/>
      <c r="GL587" s="14"/>
      <c r="GM587" s="12"/>
      <c r="GN587" s="14"/>
      <c r="GO587" s="16"/>
      <c r="GP587" s="14"/>
      <c r="GQ587" s="12"/>
      <c r="GR587" s="14"/>
      <c r="GS587" s="16"/>
      <c r="GT587" s="14"/>
      <c r="GU587" s="12"/>
      <c r="GV587" s="14"/>
      <c r="GW587" s="16"/>
      <c r="GX587" s="14"/>
      <c r="GY587" s="12"/>
      <c r="GZ587" s="14"/>
      <c r="HA587" s="16"/>
      <c r="HB587" s="14"/>
      <c r="HC587" s="12"/>
      <c r="HD587" s="12"/>
      <c r="HE587" s="14"/>
      <c r="HF587" s="16"/>
      <c r="HG587" s="14"/>
      <c r="HH587" s="12" t="s">
        <v>320</v>
      </c>
      <c r="HI587" s="12" t="s">
        <v>451</v>
      </c>
      <c r="HJ587" s="12">
        <v>2017</v>
      </c>
      <c r="HK587" s="12" t="s">
        <v>319</v>
      </c>
      <c r="HL587" s="12" t="s">
        <v>319</v>
      </c>
      <c r="HM587" s="12"/>
      <c r="HN587" s="12"/>
      <c r="HO587" s="12" t="s">
        <v>9718</v>
      </c>
      <c r="HP587" s="12" t="s">
        <v>330</v>
      </c>
      <c r="HQ587" s="12" t="s">
        <v>319</v>
      </c>
      <c r="HR587" s="12" t="s">
        <v>319</v>
      </c>
      <c r="HS587" s="12" t="s">
        <v>319</v>
      </c>
      <c r="HT587" s="12" t="s">
        <v>320</v>
      </c>
      <c r="HU587" s="12" t="s">
        <v>320</v>
      </c>
      <c r="HV587" s="12" t="s">
        <v>319</v>
      </c>
      <c r="HW587" s="12" t="s">
        <v>319</v>
      </c>
      <c r="HX587" s="12" t="s">
        <v>320</v>
      </c>
      <c r="HY587" s="12" t="s">
        <v>9719</v>
      </c>
      <c r="HZ587" s="12" t="s">
        <v>394</v>
      </c>
      <c r="IA587" s="12" t="s">
        <v>9720</v>
      </c>
      <c r="IB587" s="12" t="s">
        <v>396</v>
      </c>
      <c r="IC587" s="12" t="s">
        <v>9721</v>
      </c>
      <c r="ID587" s="12" t="s">
        <v>334</v>
      </c>
      <c r="IE587" s="12" t="s">
        <v>335</v>
      </c>
      <c r="IF587" s="12" t="s">
        <v>320</v>
      </c>
      <c r="IG587" s="12" t="s">
        <v>320</v>
      </c>
      <c r="IH587" s="12" t="s">
        <v>320</v>
      </c>
      <c r="II587" s="12" t="s">
        <v>320</v>
      </c>
      <c r="IJ587" s="12" t="str">
        <f t="shared" si="388"/>
        <v>2. Sensitive</v>
      </c>
      <c r="IK587" s="12">
        <f t="shared" si="389"/>
        <v>4</v>
      </c>
      <c r="IL587" s="12" t="s">
        <v>336</v>
      </c>
      <c r="IM587" s="12" t="s">
        <v>320</v>
      </c>
      <c r="IN587" s="12" t="s">
        <v>319</v>
      </c>
      <c r="IO587" s="12" t="s">
        <v>320</v>
      </c>
      <c r="IP587" s="12" t="s">
        <v>319</v>
      </c>
      <c r="IQ587" s="12" t="str">
        <f t="shared" si="390"/>
        <v>1. Tokenistic</v>
      </c>
      <c r="IR587" s="12">
        <f t="shared" si="391"/>
        <v>2</v>
      </c>
      <c r="IS587" s="12" t="s">
        <v>337</v>
      </c>
      <c r="IT587" s="12" t="s">
        <v>320</v>
      </c>
      <c r="IU587" s="12" t="s">
        <v>320</v>
      </c>
      <c r="IV587" s="12" t="s">
        <v>320</v>
      </c>
      <c r="IW587" s="11" t="str">
        <f t="shared" si="392"/>
        <v>2. Sensitive</v>
      </c>
      <c r="IX587" s="12">
        <f t="shared" si="393"/>
        <v>3</v>
      </c>
      <c r="IY587" s="12" t="s">
        <v>338</v>
      </c>
      <c r="IZ587" s="12" t="s">
        <v>457</v>
      </c>
      <c r="JA587" s="12">
        <v>11</v>
      </c>
      <c r="JB587" s="11" t="s">
        <v>623</v>
      </c>
      <c r="JC587" s="12" t="s">
        <v>585</v>
      </c>
      <c r="JD587" s="12" t="s">
        <v>687</v>
      </c>
      <c r="JE587" s="12" t="s">
        <v>365</v>
      </c>
      <c r="JF587" s="12" t="s">
        <v>9722</v>
      </c>
      <c r="JG587" s="12" t="s">
        <v>9723</v>
      </c>
      <c r="JH587" s="12" t="s">
        <v>9724</v>
      </c>
      <c r="JI587" s="12" t="s">
        <v>9725</v>
      </c>
      <c r="JJ587" s="12" t="s">
        <v>9726</v>
      </c>
      <c r="JK587" s="12" t="s">
        <v>9727</v>
      </c>
      <c r="JL587" s="12" t="s">
        <v>9728</v>
      </c>
      <c r="JM587" s="12" t="s">
        <v>9729</v>
      </c>
      <c r="JN587" s="12" t="s">
        <v>9730</v>
      </c>
      <c r="JO587" s="12" t="s">
        <v>9731</v>
      </c>
      <c r="JP587" s="15">
        <f t="shared" si="394"/>
        <v>13790</v>
      </c>
      <c r="JQ587" s="15">
        <f t="shared" si="395"/>
        <v>838</v>
      </c>
      <c r="JR587" s="279">
        <f t="shared" si="396"/>
        <v>6.0768672951414068E-2</v>
      </c>
      <c r="JS587" s="17">
        <f t="shared" si="397"/>
        <v>0.24612037708484408</v>
      </c>
      <c r="JT587" s="18">
        <f t="shared" si="398"/>
        <v>0</v>
      </c>
      <c r="JU587" s="280">
        <f t="shared" si="399"/>
        <v>3394</v>
      </c>
      <c r="JV587" s="280">
        <f t="shared" si="400"/>
        <v>0</v>
      </c>
      <c r="JW587" s="319">
        <f t="shared" si="401"/>
        <v>1</v>
      </c>
      <c r="JX587" s="15">
        <f t="shared" si="402"/>
        <v>0</v>
      </c>
      <c r="JY587" s="15">
        <f t="shared" si="403"/>
        <v>0</v>
      </c>
      <c r="JZ587" s="19" t="str">
        <f t="shared" si="404"/>
        <v/>
      </c>
      <c r="KA587" s="52" t="str">
        <f t="shared" si="405"/>
        <v/>
      </c>
      <c r="KB587" s="15">
        <f t="shared" si="406"/>
        <v>0</v>
      </c>
      <c r="KC587" s="15">
        <f t="shared" si="407"/>
        <v>0</v>
      </c>
      <c r="KD587" s="20" t="str">
        <f t="shared" si="408"/>
        <v/>
      </c>
      <c r="KE587" s="52" t="str">
        <f t="shared" si="409"/>
        <v/>
      </c>
      <c r="KF587" s="15">
        <f t="shared" si="410"/>
        <v>0</v>
      </c>
      <c r="KG587" s="15">
        <f t="shared" si="411"/>
        <v>0</v>
      </c>
      <c r="KH587" s="21" t="str">
        <f t="shared" si="412"/>
        <v/>
      </c>
      <c r="KI587" s="52" t="str">
        <f t="shared" si="413"/>
        <v/>
      </c>
      <c r="KJ587" s="15">
        <f t="shared" si="414"/>
        <v>0</v>
      </c>
      <c r="KK587" s="15">
        <f t="shared" si="415"/>
        <v>0</v>
      </c>
      <c r="KL587" s="19" t="str">
        <f t="shared" si="416"/>
        <v/>
      </c>
      <c r="KM587" s="52" t="str">
        <f t="shared" si="417"/>
        <v/>
      </c>
      <c r="KN587" s="22">
        <f t="shared" si="418"/>
        <v>0</v>
      </c>
      <c r="KO587" s="22">
        <f t="shared" si="419"/>
        <v>0</v>
      </c>
      <c r="KP587" s="19" t="str">
        <f t="shared" si="420"/>
        <v/>
      </c>
      <c r="KQ587" s="11" t="str">
        <f t="shared" si="421"/>
        <v>2. Sensitive</v>
      </c>
      <c r="KR587" s="11" t="str">
        <f t="shared" si="422"/>
        <v>1. Tokenistic</v>
      </c>
      <c r="KS587" s="11" t="str">
        <f t="shared" si="423"/>
        <v>2. Sensitive</v>
      </c>
      <c r="KT587" s="11" t="str">
        <f t="shared" si="424"/>
        <v>It tested new ways for fighting poverty, but did not measure results of innovation</v>
      </c>
      <c r="KU587" s="11" t="str">
        <f t="shared" si="425"/>
        <v>Moderate advocacy</v>
      </c>
      <c r="KV587" s="11" t="str">
        <f t="shared" si="426"/>
        <v>It linked and worked with strategic alliances and partners to take tested and effective solutions to scale</v>
      </c>
      <c r="KW587" s="11" t="str">
        <f t="shared" si="427"/>
        <v>Peru - Desarrollando Capacidades para la Atención por Abuso de Sustancias Sensible al Género. Proyecto GROW - Fase II</v>
      </c>
      <c r="KX587" s="11" t="str">
        <f t="shared" si="428"/>
        <v>Desarrollando Capacidades para la Atención por Abuso de Sustancias Sensible al Género. Proyecto GROW - Fase II</v>
      </c>
      <c r="KY587" s="11" t="str">
        <f t="shared" si="429"/>
        <v>Peru</v>
      </c>
      <c r="KZ587" s="12">
        <v>587</v>
      </c>
    </row>
    <row r="588" spans="1:312" x14ac:dyDescent="0.3">
      <c r="A588" s="12" t="s">
        <v>9706</v>
      </c>
      <c r="B588" s="12" t="s">
        <v>2807</v>
      </c>
      <c r="C588" s="12">
        <v>3272</v>
      </c>
      <c r="D588" s="12" t="s">
        <v>9851</v>
      </c>
      <c r="E588" s="277" t="str">
        <f t="shared" si="387"/>
        <v>Peru</v>
      </c>
      <c r="F588" s="12" t="s">
        <v>9852</v>
      </c>
      <c r="G588" s="12" t="s">
        <v>9835</v>
      </c>
      <c r="H588" s="12" t="s">
        <v>380</v>
      </c>
      <c r="I588" s="12" t="s">
        <v>517</v>
      </c>
      <c r="J588" s="281" t="s">
        <v>14578</v>
      </c>
      <c r="K588" s="12"/>
      <c r="L588" s="12"/>
      <c r="M588" s="12"/>
      <c r="N588" s="12"/>
      <c r="O588" s="12"/>
      <c r="P588" s="12"/>
      <c r="Q588" s="12"/>
      <c r="R588" s="12"/>
      <c r="S588" s="12"/>
      <c r="T588" s="12"/>
      <c r="U588" s="12"/>
      <c r="V588" s="12"/>
      <c r="W588" s="12"/>
      <c r="X588" s="12"/>
      <c r="Y588" s="12"/>
      <c r="Z588" s="12"/>
      <c r="AA588" s="12"/>
      <c r="AB588" s="12"/>
      <c r="AC588" s="12"/>
      <c r="AD588" s="12"/>
      <c r="BD588" s="13">
        <v>42370</v>
      </c>
      <c r="BE588" s="13">
        <v>43084</v>
      </c>
      <c r="BF588" s="12"/>
      <c r="BG588" s="12" t="s">
        <v>749</v>
      </c>
      <c r="BH588" s="14">
        <v>129348</v>
      </c>
      <c r="BI588" s="12" t="s">
        <v>9837</v>
      </c>
      <c r="BJ588" s="12" t="s">
        <v>9838</v>
      </c>
      <c r="BK588" s="12" t="s">
        <v>9839</v>
      </c>
      <c r="BL588" s="12" t="s">
        <v>9757</v>
      </c>
      <c r="BM588" s="12" t="s">
        <v>9712</v>
      </c>
      <c r="BN588" s="12" t="s">
        <v>9713</v>
      </c>
      <c r="BO588" s="11" t="s">
        <v>319</v>
      </c>
      <c r="BP588" s="11" t="s">
        <v>320</v>
      </c>
      <c r="BQ588" s="11" t="s">
        <v>319</v>
      </c>
      <c r="BR588" s="12" t="s">
        <v>9853</v>
      </c>
      <c r="BS588" s="12" t="s">
        <v>357</v>
      </c>
      <c r="BT588" s="12" t="s">
        <v>9854</v>
      </c>
      <c r="BU588" s="12" t="s">
        <v>9855</v>
      </c>
      <c r="BV588" s="14">
        <v>1976</v>
      </c>
      <c r="BW588" s="14">
        <v>2047</v>
      </c>
      <c r="BX588" s="14">
        <v>4023</v>
      </c>
      <c r="BY588" s="14">
        <v>703117</v>
      </c>
      <c r="BZ588" s="14">
        <v>722981</v>
      </c>
      <c r="CA588" s="14">
        <v>1426098</v>
      </c>
      <c r="CB588" s="12" t="s">
        <v>9856</v>
      </c>
      <c r="CD588" s="14"/>
      <c r="CE588" s="14"/>
      <c r="CF588" s="14"/>
      <c r="CG588" s="14"/>
      <c r="CH588" s="14"/>
      <c r="CI588" s="14"/>
      <c r="CJ588" s="12"/>
      <c r="CK588" s="14"/>
      <c r="CL588" s="16"/>
      <c r="CM588" s="14"/>
      <c r="CN588" s="12"/>
      <c r="CO588" s="14"/>
      <c r="CP588" s="16"/>
      <c r="CQ588" s="14"/>
      <c r="CR588" s="12"/>
      <c r="CS588" s="14"/>
      <c r="CT588" s="16"/>
      <c r="CU588" s="14"/>
      <c r="CV588" s="12"/>
      <c r="CW588" s="14"/>
      <c r="CX588" s="16"/>
      <c r="CY588" s="14"/>
      <c r="CZ588" s="12"/>
      <c r="DA588" s="14"/>
      <c r="DB588" s="16"/>
      <c r="DC588" s="14"/>
      <c r="DD588" s="12"/>
      <c r="DE588" s="14"/>
      <c r="DF588" s="16"/>
      <c r="DG588" s="14"/>
      <c r="DH588" s="12"/>
      <c r="DI588" s="14"/>
      <c r="DJ588" s="16"/>
      <c r="DK588" s="14"/>
      <c r="DL588" s="12"/>
      <c r="DM588" s="14"/>
      <c r="DN588" s="16"/>
      <c r="DO588" s="14"/>
      <c r="DP588" s="12"/>
      <c r="DQ588" s="14"/>
      <c r="DR588" s="16"/>
      <c r="DS588" s="14"/>
      <c r="DT588" s="12"/>
      <c r="DU588" s="14"/>
      <c r="DV588" s="16"/>
      <c r="DW588" s="14"/>
      <c r="DX588" s="12"/>
      <c r="DY588" s="14"/>
      <c r="DZ588" s="16"/>
      <c r="EA588" s="14"/>
      <c r="EB588" s="12"/>
      <c r="EC588" s="14"/>
      <c r="ED588" s="16"/>
      <c r="EE588" s="14"/>
      <c r="EF588" s="12"/>
      <c r="EG588" s="12"/>
      <c r="EH588" s="14"/>
      <c r="EI588" s="16"/>
      <c r="EJ588" s="14"/>
      <c r="EK588" s="14">
        <v>1976</v>
      </c>
      <c r="EL588" s="14">
        <v>2047</v>
      </c>
      <c r="EM588" s="14">
        <v>4023</v>
      </c>
      <c r="EN588" s="14">
        <v>703117</v>
      </c>
      <c r="EO588" s="14">
        <v>722981</v>
      </c>
      <c r="EP588" s="14">
        <v>1426098</v>
      </c>
      <c r="EQ588" s="12"/>
      <c r="ER588" s="14"/>
      <c r="ES588" s="16"/>
      <c r="ET588" s="14"/>
      <c r="EU588" s="12"/>
      <c r="EV588" s="14"/>
      <c r="EW588" s="16"/>
      <c r="EX588" s="14"/>
      <c r="EY588" s="12"/>
      <c r="EZ588" s="14"/>
      <c r="FA588" s="16"/>
      <c r="FB588" s="14"/>
      <c r="FC588" s="12"/>
      <c r="FD588" s="14"/>
      <c r="FE588" s="16"/>
      <c r="FF588" s="14"/>
      <c r="FG588" s="12"/>
      <c r="FH588" s="14"/>
      <c r="FI588" s="16"/>
      <c r="FJ588" s="14"/>
      <c r="FK588" s="12"/>
      <c r="FL588" s="14"/>
      <c r="FM588" s="16"/>
      <c r="FN588" s="14"/>
      <c r="FO588" s="12" t="s">
        <v>320</v>
      </c>
      <c r="FP588" s="14">
        <v>4023</v>
      </c>
      <c r="FQ588" s="16">
        <v>0.49</v>
      </c>
      <c r="FR588" s="14">
        <v>1426098</v>
      </c>
      <c r="FS588" s="12"/>
      <c r="FT588" s="14"/>
      <c r="FU588" s="16"/>
      <c r="FV588" s="14"/>
      <c r="FW588" s="12"/>
      <c r="FX588" s="14"/>
      <c r="FY588" s="16"/>
      <c r="FZ588" s="14"/>
      <c r="GA588" s="12"/>
      <c r="GB588" s="14"/>
      <c r="GC588" s="16"/>
      <c r="GD588" s="14"/>
      <c r="GE588" s="12"/>
      <c r="GF588" s="14"/>
      <c r="GG588" s="16"/>
      <c r="GH588" s="14"/>
      <c r="GI588" s="12"/>
      <c r="GJ588" s="14"/>
      <c r="GK588" s="16"/>
      <c r="GL588" s="14"/>
      <c r="GM588" s="12"/>
      <c r="GN588" s="14"/>
      <c r="GO588" s="16"/>
      <c r="GP588" s="14"/>
      <c r="GQ588" s="12"/>
      <c r="GR588" s="14"/>
      <c r="GS588" s="16"/>
      <c r="GT588" s="14"/>
      <c r="GU588" s="12"/>
      <c r="GV588" s="14"/>
      <c r="GW588" s="16"/>
      <c r="GX588" s="14"/>
      <c r="GY588" s="12"/>
      <c r="GZ588" s="14"/>
      <c r="HA588" s="16"/>
      <c r="HB588" s="14"/>
      <c r="HC588" s="12"/>
      <c r="HD588" s="12"/>
      <c r="HE588" s="14"/>
      <c r="HF588" s="16"/>
      <c r="HG588" s="14"/>
      <c r="HH588" s="12" t="s">
        <v>319</v>
      </c>
      <c r="HI588" s="12"/>
      <c r="HJ588" s="12"/>
      <c r="HK588" s="12" t="s">
        <v>319</v>
      </c>
      <c r="HL588" s="12" t="s">
        <v>319</v>
      </c>
      <c r="HM588" s="12"/>
      <c r="HN588" s="12"/>
      <c r="HO588" s="12"/>
      <c r="HP588" s="12" t="s">
        <v>453</v>
      </c>
      <c r="HQ588" s="12" t="s">
        <v>319</v>
      </c>
      <c r="HR588" s="12" t="s">
        <v>319</v>
      </c>
      <c r="HS588" s="12" t="s">
        <v>319</v>
      </c>
      <c r="HT588" s="12" t="s">
        <v>320</v>
      </c>
      <c r="HU588" s="12" t="s">
        <v>319</v>
      </c>
      <c r="HV588" s="12" t="s">
        <v>319</v>
      </c>
      <c r="HW588" s="12" t="s">
        <v>320</v>
      </c>
      <c r="HX588" s="12" t="s">
        <v>319</v>
      </c>
      <c r="HY588" s="12"/>
      <c r="HZ588" s="11" t="s">
        <v>331</v>
      </c>
      <c r="IA588" s="12" t="s">
        <v>9857</v>
      </c>
      <c r="IB588" s="12" t="s">
        <v>396</v>
      </c>
      <c r="IC588" s="12" t="s">
        <v>9858</v>
      </c>
      <c r="ID588" s="11" t="s">
        <v>364</v>
      </c>
      <c r="IE588" s="12" t="s">
        <v>335</v>
      </c>
      <c r="IF588" s="12" t="s">
        <v>320</v>
      </c>
      <c r="IG588" s="12" t="s">
        <v>320</v>
      </c>
      <c r="IH588" s="12" t="s">
        <v>320</v>
      </c>
      <c r="II588" s="12" t="s">
        <v>319</v>
      </c>
      <c r="IJ588" s="12" t="str">
        <f t="shared" si="388"/>
        <v>1. Neutral</v>
      </c>
      <c r="IK588" s="12">
        <f t="shared" si="389"/>
        <v>3</v>
      </c>
      <c r="IL588" s="12" t="s">
        <v>336</v>
      </c>
      <c r="IM588" s="12" t="s">
        <v>320</v>
      </c>
      <c r="IN588" s="12" t="s">
        <v>320</v>
      </c>
      <c r="IO588" s="12" t="s">
        <v>320</v>
      </c>
      <c r="IP588" s="12" t="s">
        <v>320</v>
      </c>
      <c r="IQ588" s="12" t="str">
        <f t="shared" si="390"/>
        <v>2. Accommodating</v>
      </c>
      <c r="IR588" s="12">
        <f t="shared" si="391"/>
        <v>4</v>
      </c>
      <c r="IS588" s="12" t="s">
        <v>622</v>
      </c>
      <c r="IT588" s="12" t="s">
        <v>320</v>
      </c>
      <c r="IU588" s="12" t="s">
        <v>320</v>
      </c>
      <c r="IV588" s="12" t="s">
        <v>320</v>
      </c>
      <c r="IW588" s="11" t="str">
        <f t="shared" si="392"/>
        <v>4. Transformative</v>
      </c>
      <c r="IX588" s="12">
        <f t="shared" si="393"/>
        <v>3</v>
      </c>
      <c r="IY588" s="11" t="s">
        <v>419</v>
      </c>
      <c r="IZ588" s="11" t="s">
        <v>527</v>
      </c>
      <c r="JA588" s="12">
        <v>6</v>
      </c>
      <c r="JB588" s="12" t="s">
        <v>687</v>
      </c>
      <c r="JC588" s="11" t="s">
        <v>624</v>
      </c>
      <c r="JD588" s="12" t="s">
        <v>651</v>
      </c>
      <c r="JE588" s="12" t="s">
        <v>340</v>
      </c>
      <c r="JF588" s="12" t="s">
        <v>9859</v>
      </c>
      <c r="JG588" s="12" t="s">
        <v>9860</v>
      </c>
      <c r="JH588" s="12" t="s">
        <v>9861</v>
      </c>
      <c r="JI588" s="12" t="s">
        <v>9862</v>
      </c>
      <c r="JJ588" s="12" t="s">
        <v>9863</v>
      </c>
      <c r="JK588" s="12" t="s">
        <v>9864</v>
      </c>
      <c r="JL588" s="12" t="s">
        <v>9865</v>
      </c>
      <c r="JM588" s="12" t="s">
        <v>9866</v>
      </c>
      <c r="JN588" s="12"/>
      <c r="JO588" s="12" t="s">
        <v>9867</v>
      </c>
      <c r="JP588" s="15">
        <f t="shared" si="394"/>
        <v>4023</v>
      </c>
      <c r="JQ588" s="15">
        <f t="shared" si="395"/>
        <v>1426098</v>
      </c>
      <c r="JR588" s="279">
        <f t="shared" si="396"/>
        <v>354.48620432513047</v>
      </c>
      <c r="JS588" s="17">
        <f t="shared" si="397"/>
        <v>0.49117573949788718</v>
      </c>
      <c r="JT588" s="18">
        <f t="shared" si="398"/>
        <v>0.4930355417369634</v>
      </c>
      <c r="JU588" s="280">
        <f t="shared" si="399"/>
        <v>1976</v>
      </c>
      <c r="JV588" s="280">
        <f t="shared" si="400"/>
        <v>703117</v>
      </c>
      <c r="JW588" s="319" t="str">
        <f t="shared" si="401"/>
        <v/>
      </c>
      <c r="JX588" s="15">
        <f t="shared" si="402"/>
        <v>0</v>
      </c>
      <c r="JY588" s="15">
        <f t="shared" si="403"/>
        <v>0</v>
      </c>
      <c r="JZ588" s="19" t="str">
        <f t="shared" si="404"/>
        <v/>
      </c>
      <c r="KA588" s="52">
        <f t="shared" si="405"/>
        <v>1</v>
      </c>
      <c r="KB588" s="15">
        <f t="shared" si="406"/>
        <v>4023</v>
      </c>
      <c r="KC588" s="15">
        <f t="shared" si="407"/>
        <v>1426098</v>
      </c>
      <c r="KD588" s="20">
        <f t="shared" si="408"/>
        <v>354.48620432513047</v>
      </c>
      <c r="KE588" s="52" t="str">
        <f t="shared" si="409"/>
        <v/>
      </c>
      <c r="KF588" s="15">
        <f t="shared" si="410"/>
        <v>0</v>
      </c>
      <c r="KG588" s="15">
        <f t="shared" si="411"/>
        <v>0</v>
      </c>
      <c r="KH588" s="21" t="str">
        <f t="shared" si="412"/>
        <v/>
      </c>
      <c r="KI588" s="52" t="str">
        <f t="shared" si="413"/>
        <v/>
      </c>
      <c r="KJ588" s="15">
        <f t="shared" si="414"/>
        <v>0</v>
      </c>
      <c r="KK588" s="15">
        <f t="shared" si="415"/>
        <v>0</v>
      </c>
      <c r="KL588" s="19" t="str">
        <f t="shared" si="416"/>
        <v/>
      </c>
      <c r="KM588" s="52" t="str">
        <f t="shared" si="417"/>
        <v/>
      </c>
      <c r="KN588" s="22">
        <f t="shared" si="418"/>
        <v>0</v>
      </c>
      <c r="KO588" s="22">
        <f t="shared" si="419"/>
        <v>0</v>
      </c>
      <c r="KP588" s="19" t="str">
        <f t="shared" si="420"/>
        <v/>
      </c>
      <c r="KQ588" s="11" t="str">
        <f t="shared" si="421"/>
        <v>1. Neutral</v>
      </c>
      <c r="KR588" s="11" t="str">
        <f t="shared" si="422"/>
        <v>2. Accommodating</v>
      </c>
      <c r="KS588" s="11" t="str">
        <f t="shared" si="423"/>
        <v>4. Transformative</v>
      </c>
      <c r="KT588" s="11" t="str">
        <f t="shared" si="424"/>
        <v>It tested new ways for fighting poverty and measured results of innovation</v>
      </c>
      <c r="KU588" s="11" t="str">
        <f t="shared" si="425"/>
        <v>Intensive advocacy</v>
      </c>
      <c r="KV588" s="11" t="str">
        <f t="shared" si="426"/>
        <v>It linked and worked with strategic alliances and partners to take tested and effective solutions to scale</v>
      </c>
      <c r="KW588" s="11" t="str">
        <f t="shared" si="427"/>
        <v>Peru - Desarrollo de Innovaciones para la Seguridad Alimentaria y Nutricional en las zonas de integración fronteriza Perú-Bolivia</v>
      </c>
      <c r="KX588" s="11" t="str">
        <f t="shared" si="428"/>
        <v>Desarrollo de Innovaciones para la Seguridad Alimentaria y Nutricional en las zonas de integración fronteriza Perú-Bolivia</v>
      </c>
      <c r="KY588" s="11" t="str">
        <f t="shared" si="429"/>
        <v>Peru</v>
      </c>
      <c r="KZ588" s="12">
        <v>588</v>
      </c>
    </row>
    <row r="589" spans="1:312" x14ac:dyDescent="0.3">
      <c r="A589" s="12" t="s">
        <v>9706</v>
      </c>
      <c r="B589" s="12" t="s">
        <v>2807</v>
      </c>
      <c r="C589" s="12"/>
      <c r="D589" s="12" t="s">
        <v>9868</v>
      </c>
      <c r="E589" s="277" t="str">
        <f t="shared" si="387"/>
        <v>Peru</v>
      </c>
      <c r="F589" s="12" t="s">
        <v>9869</v>
      </c>
      <c r="G589" s="12" t="s">
        <v>9835</v>
      </c>
      <c r="H589" s="12" t="s">
        <v>489</v>
      </c>
      <c r="I589" s="12" t="s">
        <v>384</v>
      </c>
      <c r="J589" s="281" t="s">
        <v>14732</v>
      </c>
      <c r="K589" s="12"/>
      <c r="L589" s="12"/>
      <c r="M589" s="12"/>
      <c r="N589" s="12"/>
      <c r="O589" s="12"/>
      <c r="P589" s="12"/>
      <c r="Q589" s="12"/>
      <c r="R589" s="12"/>
      <c r="S589" s="12"/>
      <c r="T589" s="12"/>
      <c r="U589" s="12"/>
      <c r="V589" s="12"/>
      <c r="W589" s="12"/>
      <c r="X589" s="12"/>
      <c r="Y589" s="12"/>
      <c r="Z589" s="12"/>
      <c r="AA589" s="12"/>
      <c r="AB589" s="12"/>
      <c r="AC589" s="12"/>
      <c r="AD589" s="12"/>
      <c r="BD589" s="13">
        <v>42630</v>
      </c>
      <c r="BE589" s="13">
        <v>43921</v>
      </c>
      <c r="BF589" s="12"/>
      <c r="BG589" s="12" t="s">
        <v>350</v>
      </c>
      <c r="BH589" s="14">
        <v>2112000</v>
      </c>
      <c r="BI589" s="12" t="s">
        <v>9738</v>
      </c>
      <c r="BJ589" s="12" t="s">
        <v>9712</v>
      </c>
      <c r="BK589" s="12" t="s">
        <v>9713</v>
      </c>
      <c r="BL589" s="12" t="s">
        <v>9870</v>
      </c>
      <c r="BM589" s="12" t="s">
        <v>9871</v>
      </c>
      <c r="BN589" s="12" t="s">
        <v>9872</v>
      </c>
      <c r="BO589" s="12" t="s">
        <v>319</v>
      </c>
      <c r="BP589" s="12" t="s">
        <v>320</v>
      </c>
      <c r="BQ589" s="12" t="s">
        <v>319</v>
      </c>
      <c r="BR589" s="12" t="s">
        <v>9873</v>
      </c>
      <c r="BS589" s="12" t="s">
        <v>357</v>
      </c>
      <c r="BT589" s="12" t="s">
        <v>9874</v>
      </c>
      <c r="BU589" s="12" t="s">
        <v>9875</v>
      </c>
      <c r="BV589" s="14">
        <v>4816</v>
      </c>
      <c r="BW589" s="14">
        <v>3927</v>
      </c>
      <c r="BX589" s="14">
        <v>8743</v>
      </c>
      <c r="BY589" s="14">
        <v>19264</v>
      </c>
      <c r="BZ589" s="14">
        <v>15708</v>
      </c>
      <c r="CA589" s="14">
        <v>34972</v>
      </c>
      <c r="CB589" s="12" t="s">
        <v>9876</v>
      </c>
      <c r="CD589" s="14"/>
      <c r="CE589" s="14"/>
      <c r="CF589" s="14"/>
      <c r="CG589" s="14"/>
      <c r="CH589" s="14"/>
      <c r="CI589" s="14"/>
      <c r="CJ589" s="12"/>
      <c r="CK589" s="14"/>
      <c r="CL589" s="16"/>
      <c r="CM589" s="14"/>
      <c r="CN589" s="12"/>
      <c r="CO589" s="14"/>
      <c r="CP589" s="16"/>
      <c r="CQ589" s="14"/>
      <c r="CR589" s="12"/>
      <c r="CS589" s="14"/>
      <c r="CT589" s="16"/>
      <c r="CU589" s="14"/>
      <c r="CV589" s="12"/>
      <c r="CW589" s="14"/>
      <c r="CX589" s="16"/>
      <c r="CY589" s="14"/>
      <c r="CZ589" s="12"/>
      <c r="DA589" s="14"/>
      <c r="DB589" s="16"/>
      <c r="DC589" s="14"/>
      <c r="DD589" s="12"/>
      <c r="DE589" s="14"/>
      <c r="DF589" s="16"/>
      <c r="DG589" s="14"/>
      <c r="DH589" s="12"/>
      <c r="DI589" s="14"/>
      <c r="DJ589" s="16"/>
      <c r="DK589" s="14"/>
      <c r="DL589" s="12"/>
      <c r="DM589" s="14"/>
      <c r="DN589" s="16"/>
      <c r="DO589" s="14"/>
      <c r="DP589" s="12"/>
      <c r="DQ589" s="14"/>
      <c r="DR589" s="16"/>
      <c r="DS589" s="14"/>
      <c r="DT589" s="12"/>
      <c r="DU589" s="14"/>
      <c r="DV589" s="16"/>
      <c r="DW589" s="14"/>
      <c r="DX589" s="12"/>
      <c r="DY589" s="14"/>
      <c r="DZ589" s="16"/>
      <c r="EA589" s="14"/>
      <c r="EB589" s="12"/>
      <c r="EC589" s="14"/>
      <c r="ED589" s="16"/>
      <c r="EE589" s="14"/>
      <c r="EF589" s="12"/>
      <c r="EG589" s="12"/>
      <c r="EH589" s="14"/>
      <c r="EI589" s="16"/>
      <c r="EJ589" s="14"/>
      <c r="EK589" s="14">
        <v>4816</v>
      </c>
      <c r="EL589" s="14">
        <v>3927</v>
      </c>
      <c r="EM589" s="14">
        <v>8743</v>
      </c>
      <c r="EN589" s="14">
        <v>19264</v>
      </c>
      <c r="EO589" s="14">
        <v>15708</v>
      </c>
      <c r="EP589" s="14">
        <v>34972</v>
      </c>
      <c r="EQ589" s="12"/>
      <c r="ER589" s="14"/>
      <c r="ES589" s="16"/>
      <c r="ET589" s="14"/>
      <c r="EU589" s="12"/>
      <c r="EV589" s="14"/>
      <c r="EW589" s="16"/>
      <c r="EX589" s="14"/>
      <c r="EY589" s="12"/>
      <c r="EZ589" s="14"/>
      <c r="FA589" s="16"/>
      <c r="FB589" s="14"/>
      <c r="FC589" s="12"/>
      <c r="FD589" s="14"/>
      <c r="FE589" s="16"/>
      <c r="FF589" s="14"/>
      <c r="FG589" s="12" t="s">
        <v>320</v>
      </c>
      <c r="FH589" s="14">
        <v>3543</v>
      </c>
      <c r="FI589" s="16">
        <v>0.64</v>
      </c>
      <c r="FJ589" s="14">
        <v>14172</v>
      </c>
      <c r="FK589" s="12" t="s">
        <v>320</v>
      </c>
      <c r="FL589" s="14">
        <v>5700</v>
      </c>
      <c r="FM589" s="16">
        <v>0.49</v>
      </c>
      <c r="FN589" s="14">
        <v>22800</v>
      </c>
      <c r="FO589" s="12"/>
      <c r="FP589" s="14"/>
      <c r="FQ589" s="16"/>
      <c r="FR589" s="14"/>
      <c r="FS589" s="12"/>
      <c r="FT589" s="14"/>
      <c r="FU589" s="16"/>
      <c r="FV589" s="14"/>
      <c r="FW589" s="11" t="s">
        <v>320</v>
      </c>
      <c r="FX589" s="14">
        <v>2268</v>
      </c>
      <c r="FY589" s="16">
        <v>1</v>
      </c>
      <c r="FZ589" s="14">
        <v>9072</v>
      </c>
      <c r="GA589" s="12"/>
      <c r="GB589" s="14"/>
      <c r="GC589" s="16"/>
      <c r="GD589" s="14"/>
      <c r="GE589" s="12"/>
      <c r="GF589" s="14"/>
      <c r="GG589" s="16"/>
      <c r="GH589" s="14"/>
      <c r="GI589" s="12"/>
      <c r="GJ589" s="14"/>
      <c r="GK589" s="16"/>
      <c r="GL589" s="14"/>
      <c r="GM589" s="12"/>
      <c r="GN589" s="14"/>
      <c r="GO589" s="16"/>
      <c r="GP589" s="14"/>
      <c r="GQ589" s="12"/>
      <c r="GR589" s="14"/>
      <c r="GS589" s="16"/>
      <c r="GT589" s="14"/>
      <c r="GU589" s="12"/>
      <c r="GV589" s="14"/>
      <c r="GW589" s="16"/>
      <c r="GX589" s="14"/>
      <c r="GY589" s="11" t="s">
        <v>320</v>
      </c>
      <c r="GZ589" s="14">
        <v>2268</v>
      </c>
      <c r="HA589" s="16">
        <v>1</v>
      </c>
      <c r="HB589" s="14">
        <v>9072</v>
      </c>
      <c r="HC589" s="12"/>
      <c r="HD589" s="12"/>
      <c r="HE589" s="14"/>
      <c r="HF589" s="16"/>
      <c r="HG589" s="14"/>
      <c r="HH589" s="12" t="s">
        <v>320</v>
      </c>
      <c r="HI589" s="12" t="s">
        <v>361</v>
      </c>
      <c r="HJ589" s="12">
        <v>2016</v>
      </c>
      <c r="HK589" s="12" t="s">
        <v>320</v>
      </c>
      <c r="HL589" s="12" t="s">
        <v>319</v>
      </c>
      <c r="HM589" s="12"/>
      <c r="HN589" s="12"/>
      <c r="HO589" s="12" t="s">
        <v>9877</v>
      </c>
      <c r="HP589" s="12" t="s">
        <v>330</v>
      </c>
      <c r="HQ589" s="12" t="s">
        <v>319</v>
      </c>
      <c r="HR589" s="12" t="s">
        <v>319</v>
      </c>
      <c r="HS589" s="12" t="s">
        <v>320</v>
      </c>
      <c r="HT589" s="12" t="s">
        <v>320</v>
      </c>
      <c r="HU589" s="12" t="s">
        <v>320</v>
      </c>
      <c r="HV589" s="12" t="s">
        <v>320</v>
      </c>
      <c r="HW589" s="12" t="s">
        <v>320</v>
      </c>
      <c r="HX589" s="12"/>
      <c r="HY589" s="12"/>
      <c r="HZ589" s="12" t="s">
        <v>394</v>
      </c>
      <c r="IA589" s="12" t="s">
        <v>9878</v>
      </c>
      <c r="IB589" s="12" t="s">
        <v>396</v>
      </c>
      <c r="IC589" s="12" t="s">
        <v>9879</v>
      </c>
      <c r="ID589" s="12" t="s">
        <v>334</v>
      </c>
      <c r="IE589" s="12" t="s">
        <v>335</v>
      </c>
      <c r="IF589" s="12" t="s">
        <v>320</v>
      </c>
      <c r="IG589" s="12" t="s">
        <v>320</v>
      </c>
      <c r="IH589" s="12" t="s">
        <v>320</v>
      </c>
      <c r="II589" s="12" t="s">
        <v>320</v>
      </c>
      <c r="IJ589" s="12" t="str">
        <f t="shared" si="388"/>
        <v>2. Sensitive</v>
      </c>
      <c r="IK589" s="12">
        <f t="shared" si="389"/>
        <v>4</v>
      </c>
      <c r="IL589" s="12" t="s">
        <v>336</v>
      </c>
      <c r="IM589" s="12" t="s">
        <v>320</v>
      </c>
      <c r="IN589" s="12" t="s">
        <v>320</v>
      </c>
      <c r="IO589" s="12" t="s">
        <v>320</v>
      </c>
      <c r="IP589" s="12" t="s">
        <v>320</v>
      </c>
      <c r="IQ589" s="12" t="str">
        <f t="shared" si="390"/>
        <v>2. Accommodating</v>
      </c>
      <c r="IR589" s="12">
        <f t="shared" si="391"/>
        <v>4</v>
      </c>
      <c r="IS589" s="12" t="s">
        <v>337</v>
      </c>
      <c r="IT589" s="12" t="s">
        <v>320</v>
      </c>
      <c r="IU589" s="12" t="s">
        <v>320</v>
      </c>
      <c r="IV589" s="12" t="s">
        <v>320</v>
      </c>
      <c r="IW589" s="11" t="str">
        <f t="shared" si="392"/>
        <v>2. Sensitive</v>
      </c>
      <c r="IX589" s="12">
        <f t="shared" si="393"/>
        <v>3</v>
      </c>
      <c r="IY589" s="11" t="s">
        <v>419</v>
      </c>
      <c r="IZ589" s="12" t="s">
        <v>432</v>
      </c>
      <c r="JA589" s="12">
        <v>16</v>
      </c>
      <c r="JB589" s="12" t="s">
        <v>687</v>
      </c>
      <c r="JC589" s="12" t="s">
        <v>1570</v>
      </c>
      <c r="JD589" s="12" t="s">
        <v>433</v>
      </c>
      <c r="JE589" s="12" t="s">
        <v>340</v>
      </c>
      <c r="JF589" s="12" t="s">
        <v>9880</v>
      </c>
      <c r="JG589" s="12"/>
      <c r="JH589" s="12" t="s">
        <v>9881</v>
      </c>
      <c r="JI589" s="12" t="s">
        <v>9882</v>
      </c>
      <c r="JJ589" s="12" t="s">
        <v>9883</v>
      </c>
      <c r="JK589" s="12"/>
      <c r="JL589" s="12"/>
      <c r="JM589" s="12"/>
      <c r="JN589" s="12"/>
      <c r="JO589" s="12" t="s">
        <v>9884</v>
      </c>
      <c r="JP589" s="15">
        <f t="shared" si="394"/>
        <v>8743</v>
      </c>
      <c r="JQ589" s="15">
        <f t="shared" si="395"/>
        <v>34972</v>
      </c>
      <c r="JR589" s="279">
        <f t="shared" si="396"/>
        <v>4</v>
      </c>
      <c r="JS589" s="17">
        <f t="shared" si="397"/>
        <v>0.55084067253803037</v>
      </c>
      <c r="JT589" s="18">
        <f t="shared" si="398"/>
        <v>0.55084067253803037</v>
      </c>
      <c r="JU589" s="280">
        <f t="shared" si="399"/>
        <v>4816</v>
      </c>
      <c r="JV589" s="280">
        <f t="shared" si="400"/>
        <v>19264</v>
      </c>
      <c r="JW589" s="319" t="str">
        <f t="shared" si="401"/>
        <v/>
      </c>
      <c r="JX589" s="15">
        <f t="shared" si="402"/>
        <v>0</v>
      </c>
      <c r="JY589" s="15">
        <f t="shared" si="403"/>
        <v>0</v>
      </c>
      <c r="JZ589" s="19" t="str">
        <f t="shared" si="404"/>
        <v/>
      </c>
      <c r="KA589" s="52">
        <f t="shared" si="405"/>
        <v>1</v>
      </c>
      <c r="KB589" s="15">
        <f t="shared" si="406"/>
        <v>3543</v>
      </c>
      <c r="KC589" s="15">
        <f t="shared" si="407"/>
        <v>14172</v>
      </c>
      <c r="KD589" s="20">
        <f t="shared" si="408"/>
        <v>4</v>
      </c>
      <c r="KE589" s="52" t="str">
        <f t="shared" si="409"/>
        <v/>
      </c>
      <c r="KF589" s="15">
        <f t="shared" si="410"/>
        <v>0</v>
      </c>
      <c r="KG589" s="15">
        <f t="shared" si="411"/>
        <v>0</v>
      </c>
      <c r="KH589" s="21" t="str">
        <f t="shared" si="412"/>
        <v/>
      </c>
      <c r="KI589" s="52" t="str">
        <f t="shared" si="413"/>
        <v/>
      </c>
      <c r="KJ589" s="15">
        <f t="shared" si="414"/>
        <v>0</v>
      </c>
      <c r="KK589" s="15">
        <f t="shared" si="415"/>
        <v>0</v>
      </c>
      <c r="KL589" s="19" t="str">
        <f t="shared" si="416"/>
        <v/>
      </c>
      <c r="KM589" s="52">
        <f t="shared" si="417"/>
        <v>1</v>
      </c>
      <c r="KN589" s="22">
        <f t="shared" si="418"/>
        <v>2268</v>
      </c>
      <c r="KO589" s="22">
        <f t="shared" si="419"/>
        <v>9072</v>
      </c>
      <c r="KP589" s="19">
        <f t="shared" si="420"/>
        <v>4</v>
      </c>
      <c r="KQ589" s="11" t="str">
        <f t="shared" si="421"/>
        <v>2. Sensitive</v>
      </c>
      <c r="KR589" s="11" t="str">
        <f t="shared" si="422"/>
        <v>2. Accommodating</v>
      </c>
      <c r="KS589" s="11" t="str">
        <f t="shared" si="423"/>
        <v>2. Sensitive</v>
      </c>
      <c r="KT589" s="11" t="str">
        <f t="shared" si="424"/>
        <v>It tested new ways for fighting poverty, but did not measure results of innovation</v>
      </c>
      <c r="KU589" s="11" t="str">
        <f t="shared" si="425"/>
        <v>Moderate advocacy</v>
      </c>
      <c r="KV589" s="11" t="str">
        <f t="shared" si="426"/>
        <v>It linked and worked with strategic alliances and partners to take tested and effective solutions to scale</v>
      </c>
      <c r="KW589" s="11" t="str">
        <f t="shared" si="427"/>
        <v>Peru - Educación para el desarrollo y la inclusión financiera.</v>
      </c>
      <c r="KX589" s="11" t="str">
        <f t="shared" si="428"/>
        <v>Educación para el desarrollo y la inclusión financiera.</v>
      </c>
      <c r="KY589" s="11" t="str">
        <f t="shared" si="429"/>
        <v>Peru</v>
      </c>
      <c r="KZ589" s="12">
        <v>589</v>
      </c>
    </row>
    <row r="590" spans="1:312" x14ac:dyDescent="0.3">
      <c r="A590" s="12" t="s">
        <v>9706</v>
      </c>
      <c r="B590" s="12" t="s">
        <v>2807</v>
      </c>
      <c r="C590" s="12"/>
      <c r="D590" s="12" t="s">
        <v>9885</v>
      </c>
      <c r="E590" s="277" t="str">
        <f t="shared" si="387"/>
        <v>Peru</v>
      </c>
      <c r="F590" s="12" t="s">
        <v>9886</v>
      </c>
      <c r="G590" s="12" t="s">
        <v>9835</v>
      </c>
      <c r="H590" s="12" t="s">
        <v>383</v>
      </c>
      <c r="I590" s="12" t="s">
        <v>384</v>
      </c>
      <c r="J590" s="278" t="s">
        <v>14618</v>
      </c>
      <c r="K590" s="12"/>
      <c r="L590" s="12"/>
      <c r="M590" s="12"/>
      <c r="N590" s="12"/>
      <c r="O590" s="12"/>
      <c r="P590" s="12"/>
      <c r="Q590" s="12"/>
      <c r="R590" s="12"/>
      <c r="S590" s="12"/>
      <c r="T590" s="12"/>
      <c r="U590" s="12"/>
      <c r="V590" s="12"/>
      <c r="W590" s="12"/>
      <c r="X590" s="12"/>
      <c r="Y590" s="12"/>
      <c r="Z590" s="12"/>
      <c r="AA590" s="12"/>
      <c r="AB590" s="12"/>
      <c r="AC590" s="12"/>
      <c r="AD590" s="12"/>
      <c r="BD590" s="13">
        <v>42814</v>
      </c>
      <c r="BE590" s="13">
        <v>43039</v>
      </c>
      <c r="BF590" s="12"/>
      <c r="BG590" s="12" t="s">
        <v>817</v>
      </c>
      <c r="BH590" s="14">
        <v>500000</v>
      </c>
      <c r="BI590" s="12" t="s">
        <v>9837</v>
      </c>
      <c r="BJ590" s="12" t="s">
        <v>9838</v>
      </c>
      <c r="BK590" s="12" t="s">
        <v>9839</v>
      </c>
      <c r="BL590" s="12"/>
      <c r="BM590" s="12"/>
      <c r="BN590" s="12"/>
      <c r="BO590" s="12" t="s">
        <v>320</v>
      </c>
      <c r="BP590" s="28" t="s">
        <v>319</v>
      </c>
      <c r="BQ590" s="31" t="s">
        <v>319</v>
      </c>
      <c r="BR590" s="12"/>
      <c r="BS590" s="12" t="s">
        <v>357</v>
      </c>
      <c r="BT590" s="12" t="s">
        <v>9887</v>
      </c>
      <c r="BU590" s="12" t="s">
        <v>9842</v>
      </c>
      <c r="BV590" s="14">
        <v>2710</v>
      </c>
      <c r="BW590" s="14">
        <v>2571</v>
      </c>
      <c r="BX590" s="14">
        <v>5281</v>
      </c>
      <c r="BY590" s="14"/>
      <c r="BZ590" s="14"/>
      <c r="CA590" s="14">
        <v>0</v>
      </c>
      <c r="CB590" s="12" t="s">
        <v>9888</v>
      </c>
      <c r="CD590" s="14">
        <v>2710</v>
      </c>
      <c r="CE590" s="14">
        <v>2571</v>
      </c>
      <c r="CF590" s="14">
        <v>5281</v>
      </c>
      <c r="CG590" s="14"/>
      <c r="CH590" s="14"/>
      <c r="CI590" s="14">
        <v>0</v>
      </c>
      <c r="CJ590" s="12"/>
      <c r="CK590" s="14"/>
      <c r="CL590" s="16"/>
      <c r="CM590" s="14"/>
      <c r="CN590" s="12"/>
      <c r="CO590" s="14"/>
      <c r="CP590" s="16"/>
      <c r="CQ590" s="14"/>
      <c r="CR590" s="12"/>
      <c r="CS590" s="14"/>
      <c r="CT590" s="16"/>
      <c r="CU590" s="14"/>
      <c r="CV590" s="12"/>
      <c r="CW590" s="14"/>
      <c r="CX590" s="16"/>
      <c r="CY590" s="14"/>
      <c r="CZ590" s="12"/>
      <c r="DA590" s="14"/>
      <c r="DB590" s="16"/>
      <c r="DC590" s="14"/>
      <c r="DD590" s="12"/>
      <c r="DE590" s="14"/>
      <c r="DF590" s="16"/>
      <c r="DG590" s="14"/>
      <c r="DH590" s="12" t="s">
        <v>320</v>
      </c>
      <c r="DI590" s="14">
        <v>5281</v>
      </c>
      <c r="DJ590" s="16">
        <v>0.49</v>
      </c>
      <c r="DK590" s="14"/>
      <c r="DL590" s="12"/>
      <c r="DM590" s="14"/>
      <c r="DN590" s="16"/>
      <c r="DO590" s="14"/>
      <c r="DP590" s="12" t="s">
        <v>320</v>
      </c>
      <c r="DQ590" s="14">
        <v>5281</v>
      </c>
      <c r="DR590" s="16">
        <v>0.49</v>
      </c>
      <c r="DS590" s="14"/>
      <c r="DT590" s="12" t="s">
        <v>320</v>
      </c>
      <c r="DU590" s="14">
        <v>5281</v>
      </c>
      <c r="DV590" s="16">
        <v>0.49</v>
      </c>
      <c r="DW590" s="14"/>
      <c r="DX590" s="12" t="s">
        <v>320</v>
      </c>
      <c r="DY590" s="14">
        <v>5281</v>
      </c>
      <c r="DZ590" s="16">
        <v>0.49</v>
      </c>
      <c r="EA590" s="14"/>
      <c r="EB590" s="11" t="s">
        <v>320</v>
      </c>
      <c r="EC590" s="14">
        <v>5281</v>
      </c>
      <c r="ED590" s="16">
        <v>0.49</v>
      </c>
      <c r="EE590" s="14"/>
      <c r="EF590" s="12"/>
      <c r="EG590" s="12"/>
      <c r="EH590" s="14"/>
      <c r="EI590" s="16"/>
      <c r="EJ590" s="14"/>
      <c r="EK590" s="14"/>
      <c r="EL590" s="14"/>
      <c r="EM590" s="14"/>
      <c r="EN590" s="14"/>
      <c r="EO590" s="14"/>
      <c r="EP590" s="14"/>
      <c r="EQ590" s="12"/>
      <c r="ER590" s="14"/>
      <c r="ES590" s="16"/>
      <c r="ET590" s="14"/>
      <c r="EU590" s="12"/>
      <c r="EV590" s="14"/>
      <c r="EW590" s="16"/>
      <c r="EX590" s="14"/>
      <c r="EY590" s="12"/>
      <c r="EZ590" s="14"/>
      <c r="FA590" s="16"/>
      <c r="FB590" s="14"/>
      <c r="FC590" s="12"/>
      <c r="FD590" s="14"/>
      <c r="FE590" s="16"/>
      <c r="FF590" s="14"/>
      <c r="FG590" s="12"/>
      <c r="FH590" s="14"/>
      <c r="FI590" s="16"/>
      <c r="FJ590" s="14"/>
      <c r="FK590" s="12"/>
      <c r="FL590" s="14"/>
      <c r="FM590" s="16"/>
      <c r="FN590" s="14"/>
      <c r="FO590" s="12"/>
      <c r="FP590" s="14"/>
      <c r="FQ590" s="16"/>
      <c r="FR590" s="14"/>
      <c r="FS590" s="12"/>
      <c r="FT590" s="14"/>
      <c r="FU590" s="16"/>
      <c r="FV590" s="14"/>
      <c r="FW590" s="12"/>
      <c r="FX590" s="14"/>
      <c r="FY590" s="16"/>
      <c r="FZ590" s="14"/>
      <c r="GA590" s="12"/>
      <c r="GB590" s="14"/>
      <c r="GC590" s="16"/>
      <c r="GD590" s="14"/>
      <c r="GE590" s="12"/>
      <c r="GF590" s="14"/>
      <c r="GG590" s="16"/>
      <c r="GH590" s="14"/>
      <c r="GI590" s="12"/>
      <c r="GJ590" s="14"/>
      <c r="GK590" s="16"/>
      <c r="GL590" s="14"/>
      <c r="GM590" s="12"/>
      <c r="GN590" s="14"/>
      <c r="GO590" s="16"/>
      <c r="GP590" s="14"/>
      <c r="GQ590" s="12"/>
      <c r="GR590" s="14"/>
      <c r="GS590" s="16"/>
      <c r="GT590" s="14"/>
      <c r="GU590" s="12"/>
      <c r="GV590" s="14"/>
      <c r="GW590" s="16"/>
      <c r="GX590" s="14"/>
      <c r="GY590" s="12"/>
      <c r="GZ590" s="14"/>
      <c r="HA590" s="16"/>
      <c r="HB590" s="14"/>
      <c r="HC590" s="12"/>
      <c r="HD590" s="12"/>
      <c r="HE590" s="14"/>
      <c r="HF590" s="16"/>
      <c r="HG590" s="14"/>
      <c r="HH590" s="12" t="s">
        <v>319</v>
      </c>
      <c r="HI590" s="12"/>
      <c r="HJ590" s="12"/>
      <c r="HK590" s="12" t="s">
        <v>319</v>
      </c>
      <c r="HL590" s="12" t="s">
        <v>319</v>
      </c>
      <c r="HM590" s="12"/>
      <c r="HN590" s="12"/>
      <c r="HO590" s="12" t="s">
        <v>9889</v>
      </c>
      <c r="HP590" s="12" t="s">
        <v>453</v>
      </c>
      <c r="HQ590" s="12" t="s">
        <v>319</v>
      </c>
      <c r="HR590" s="12" t="s">
        <v>319</v>
      </c>
      <c r="HS590" s="12" t="s">
        <v>320</v>
      </c>
      <c r="HT590" s="12" t="s">
        <v>320</v>
      </c>
      <c r="HU590" s="12" t="s">
        <v>319</v>
      </c>
      <c r="HV590" s="12" t="s">
        <v>319</v>
      </c>
      <c r="HW590" s="12" t="s">
        <v>319</v>
      </c>
      <c r="HX590" s="12"/>
      <c r="HY590" s="12"/>
      <c r="HZ590" s="12" t="s">
        <v>394</v>
      </c>
      <c r="IA590" s="12" t="s">
        <v>9890</v>
      </c>
      <c r="IB590" s="12" t="s">
        <v>396</v>
      </c>
      <c r="IC590" s="12" t="s">
        <v>9891</v>
      </c>
      <c r="ID590" s="11" t="s">
        <v>364</v>
      </c>
      <c r="IE590" s="12" t="s">
        <v>335</v>
      </c>
      <c r="IF590" s="12" t="s">
        <v>320</v>
      </c>
      <c r="IG590" s="12" t="s">
        <v>320</v>
      </c>
      <c r="IH590" s="12" t="s">
        <v>320</v>
      </c>
      <c r="II590" s="12" t="s">
        <v>320</v>
      </c>
      <c r="IJ590" s="12" t="str">
        <f t="shared" si="388"/>
        <v>2. Sensitive</v>
      </c>
      <c r="IK590" s="12">
        <f t="shared" si="389"/>
        <v>4</v>
      </c>
      <c r="IL590" s="12" t="s">
        <v>336</v>
      </c>
      <c r="IM590" s="12" t="s">
        <v>320</v>
      </c>
      <c r="IN590" s="12" t="s">
        <v>320</v>
      </c>
      <c r="IO590" s="12"/>
      <c r="IP590" s="12" t="s">
        <v>320</v>
      </c>
      <c r="IQ590" s="12" t="str">
        <f t="shared" si="390"/>
        <v>2. Accommodating</v>
      </c>
      <c r="IR590" s="12">
        <f t="shared" si="391"/>
        <v>3</v>
      </c>
      <c r="IS590" s="12" t="s">
        <v>337</v>
      </c>
      <c r="IT590" s="12" t="s">
        <v>320</v>
      </c>
      <c r="IU590" s="12" t="s">
        <v>319</v>
      </c>
      <c r="IV590" s="12" t="s">
        <v>320</v>
      </c>
      <c r="IW590" s="11" t="str">
        <f t="shared" si="392"/>
        <v>1. Neutral</v>
      </c>
      <c r="IX590" s="12">
        <f t="shared" si="393"/>
        <v>2</v>
      </c>
      <c r="IY590" s="11" t="s">
        <v>419</v>
      </c>
      <c r="IZ590" s="12" t="s">
        <v>457</v>
      </c>
      <c r="JA590" s="12">
        <v>3</v>
      </c>
      <c r="JB590" s="11" t="s">
        <v>624</v>
      </c>
      <c r="JC590" s="11" t="s">
        <v>687</v>
      </c>
      <c r="JD590" s="12" t="s">
        <v>651</v>
      </c>
      <c r="JE590" s="12" t="s">
        <v>365</v>
      </c>
      <c r="JF590" s="12" t="s">
        <v>9892</v>
      </c>
      <c r="JG590" s="12"/>
      <c r="JH590" s="12" t="s">
        <v>9845</v>
      </c>
      <c r="JI590" s="12" t="s">
        <v>9846</v>
      </c>
      <c r="JJ590" s="12" t="s">
        <v>9893</v>
      </c>
      <c r="JK590" s="12" t="s">
        <v>9848</v>
      </c>
      <c r="JL590" s="12" t="s">
        <v>9849</v>
      </c>
      <c r="JM590" s="12" t="s">
        <v>9894</v>
      </c>
      <c r="JN590" s="12"/>
      <c r="JO590" s="12"/>
      <c r="JP590" s="15">
        <f t="shared" si="394"/>
        <v>5281</v>
      </c>
      <c r="JQ590" s="15">
        <f t="shared" si="395"/>
        <v>0</v>
      </c>
      <c r="JR590" s="279">
        <f t="shared" si="396"/>
        <v>0</v>
      </c>
      <c r="JS590" s="17">
        <f t="shared" si="397"/>
        <v>0.51316038629047533</v>
      </c>
      <c r="JT590" s="18" t="str">
        <f t="shared" si="398"/>
        <v/>
      </c>
      <c r="JU590" s="280">
        <f t="shared" si="399"/>
        <v>2710</v>
      </c>
      <c r="JV590" s="280">
        <f t="shared" si="400"/>
        <v>0</v>
      </c>
      <c r="JW590" s="319">
        <f t="shared" si="401"/>
        <v>1</v>
      </c>
      <c r="JX590" s="15">
        <f t="shared" si="402"/>
        <v>5281</v>
      </c>
      <c r="JY590" s="15">
        <f t="shared" si="403"/>
        <v>0</v>
      </c>
      <c r="JZ590" s="19">
        <f t="shared" si="404"/>
        <v>0</v>
      </c>
      <c r="KA590" s="52" t="str">
        <f t="shared" si="405"/>
        <v/>
      </c>
      <c r="KB590" s="15">
        <f t="shared" si="406"/>
        <v>0</v>
      </c>
      <c r="KC590" s="15">
        <f t="shared" si="407"/>
        <v>0</v>
      </c>
      <c r="KD590" s="20" t="str">
        <f t="shared" si="408"/>
        <v/>
      </c>
      <c r="KE590" s="52">
        <f t="shared" si="409"/>
        <v>1</v>
      </c>
      <c r="KF590" s="15">
        <f t="shared" si="410"/>
        <v>5281</v>
      </c>
      <c r="KG590" s="15">
        <f t="shared" si="411"/>
        <v>0</v>
      </c>
      <c r="KH590" s="21">
        <f t="shared" si="412"/>
        <v>0</v>
      </c>
      <c r="KI590" s="52" t="str">
        <f t="shared" si="413"/>
        <v/>
      </c>
      <c r="KJ590" s="15">
        <f t="shared" si="414"/>
        <v>0</v>
      </c>
      <c r="KK590" s="15">
        <f t="shared" si="415"/>
        <v>0</v>
      </c>
      <c r="KL590" s="19" t="str">
        <f t="shared" si="416"/>
        <v/>
      </c>
      <c r="KM590" s="52" t="str">
        <f t="shared" si="417"/>
        <v/>
      </c>
      <c r="KN590" s="22">
        <f t="shared" si="418"/>
        <v>0</v>
      </c>
      <c r="KO590" s="22">
        <f t="shared" si="419"/>
        <v>0</v>
      </c>
      <c r="KP590" s="19" t="str">
        <f t="shared" si="420"/>
        <v/>
      </c>
      <c r="KQ590" s="11" t="str">
        <f t="shared" si="421"/>
        <v>2. Sensitive</v>
      </c>
      <c r="KR590" s="11" t="str">
        <f t="shared" si="422"/>
        <v>2. Accommodating</v>
      </c>
      <c r="KS590" s="11" t="str">
        <f t="shared" si="423"/>
        <v>1. Neutral</v>
      </c>
      <c r="KT590" s="11" t="str">
        <f t="shared" si="424"/>
        <v>It tested new ways for fighting poverty, but did not measure results of innovation</v>
      </c>
      <c r="KU590" s="11" t="str">
        <f t="shared" si="425"/>
        <v>Intensive advocacy</v>
      </c>
      <c r="KV590" s="11" t="str">
        <f t="shared" si="426"/>
        <v>It linked and worked with strategic alliances and partners to take tested and effective solutions to scale</v>
      </c>
      <c r="KW590" s="11" t="str">
        <f t="shared" si="427"/>
        <v>Peru - Emergency Response to the Flooding in the North of Peru</v>
      </c>
      <c r="KX590" s="11" t="str">
        <f t="shared" si="428"/>
        <v>Emergency Response to the Flooding in the North of Peru</v>
      </c>
      <c r="KY590" s="11" t="str">
        <f t="shared" si="429"/>
        <v>Peru</v>
      </c>
      <c r="KZ590" s="12">
        <v>590</v>
      </c>
    </row>
    <row r="591" spans="1:312" x14ac:dyDescent="0.3">
      <c r="A591" s="12" t="s">
        <v>9706</v>
      </c>
      <c r="B591" s="12" t="s">
        <v>2807</v>
      </c>
      <c r="C591" s="12"/>
      <c r="D591" s="12" t="s">
        <v>9895</v>
      </c>
      <c r="E591" s="277" t="str">
        <f t="shared" si="387"/>
        <v>Peru</v>
      </c>
      <c r="F591" s="12" t="s">
        <v>9896</v>
      </c>
      <c r="G591" s="12" t="s">
        <v>9835</v>
      </c>
      <c r="H591" s="12" t="s">
        <v>383</v>
      </c>
      <c r="I591" s="12" t="s">
        <v>384</v>
      </c>
      <c r="J591" s="281" t="s">
        <v>9836</v>
      </c>
      <c r="K591" s="12"/>
      <c r="L591" s="12"/>
      <c r="M591" s="12"/>
      <c r="N591" s="12"/>
      <c r="O591" s="12"/>
      <c r="P591" s="12"/>
      <c r="Q591" s="12"/>
      <c r="R591" s="12"/>
      <c r="S591" s="12"/>
      <c r="T591" s="12"/>
      <c r="U591" s="12"/>
      <c r="V591" s="12"/>
      <c r="W591" s="12"/>
      <c r="X591" s="12"/>
      <c r="Y591" s="12"/>
      <c r="Z591" s="12"/>
      <c r="AA591" s="12"/>
      <c r="AB591" s="12"/>
      <c r="AC591" s="12"/>
      <c r="AD591" s="12"/>
      <c r="BD591" s="13">
        <v>42818</v>
      </c>
      <c r="BE591" s="13">
        <v>42863</v>
      </c>
      <c r="BF591" s="12"/>
      <c r="BG591" s="12" t="s">
        <v>817</v>
      </c>
      <c r="BH591" s="14">
        <v>110776</v>
      </c>
      <c r="BI591" s="12" t="s">
        <v>9837</v>
      </c>
      <c r="BJ591" s="12" t="s">
        <v>9838</v>
      </c>
      <c r="BK591" s="12" t="s">
        <v>9839</v>
      </c>
      <c r="BL591" s="12"/>
      <c r="BM591" s="12"/>
      <c r="BN591" s="12"/>
      <c r="BO591" s="12" t="s">
        <v>320</v>
      </c>
      <c r="BP591" s="28" t="s">
        <v>319</v>
      </c>
      <c r="BQ591" s="31" t="s">
        <v>319</v>
      </c>
      <c r="BR591" s="12" t="s">
        <v>9840</v>
      </c>
      <c r="BS591" s="12" t="s">
        <v>357</v>
      </c>
      <c r="BT591" s="12" t="s">
        <v>9897</v>
      </c>
      <c r="BU591" s="12" t="s">
        <v>9842</v>
      </c>
      <c r="BV591" s="14">
        <v>1953</v>
      </c>
      <c r="BW591" s="14">
        <v>2196</v>
      </c>
      <c r="BX591" s="14">
        <v>4149</v>
      </c>
      <c r="BY591" s="14"/>
      <c r="BZ591" s="14"/>
      <c r="CA591" s="14">
        <v>0</v>
      </c>
      <c r="CB591" s="12" t="s">
        <v>9898</v>
      </c>
      <c r="CD591" s="14">
        <v>1953</v>
      </c>
      <c r="CE591" s="14">
        <v>2196</v>
      </c>
      <c r="CF591" s="14">
        <v>4149</v>
      </c>
      <c r="CG591" s="14"/>
      <c r="CH591" s="14"/>
      <c r="CI591" s="14">
        <v>0</v>
      </c>
      <c r="CJ591" s="12"/>
      <c r="CK591" s="14"/>
      <c r="CL591" s="16"/>
      <c r="CM591" s="14"/>
      <c r="CN591" s="12"/>
      <c r="CO591" s="14"/>
      <c r="CP591" s="16"/>
      <c r="CQ591" s="14"/>
      <c r="CR591" s="12"/>
      <c r="CS591" s="14"/>
      <c r="CT591" s="16"/>
      <c r="CU591" s="14"/>
      <c r="CV591" s="12"/>
      <c r="CW591" s="14"/>
      <c r="CX591" s="16"/>
      <c r="CY591" s="14"/>
      <c r="CZ591" s="12"/>
      <c r="DA591" s="14"/>
      <c r="DB591" s="16"/>
      <c r="DC591" s="14"/>
      <c r="DD591" s="12"/>
      <c r="DE591" s="14"/>
      <c r="DF591" s="16"/>
      <c r="DG591" s="14"/>
      <c r="DH591" s="12" t="s">
        <v>320</v>
      </c>
      <c r="DI591" s="14">
        <v>4149</v>
      </c>
      <c r="DJ591" s="16">
        <v>0.47</v>
      </c>
      <c r="DK591" s="14"/>
      <c r="DL591" s="12"/>
      <c r="DM591" s="14"/>
      <c r="DN591" s="16"/>
      <c r="DO591" s="14"/>
      <c r="DP591" s="12" t="s">
        <v>320</v>
      </c>
      <c r="DQ591" s="14">
        <v>4149</v>
      </c>
      <c r="DR591" s="16">
        <v>0.47</v>
      </c>
      <c r="DS591" s="14"/>
      <c r="DT591" s="12" t="s">
        <v>320</v>
      </c>
      <c r="DU591" s="14">
        <v>4149</v>
      </c>
      <c r="DV591" s="16">
        <v>0.47</v>
      </c>
      <c r="DW591" s="14"/>
      <c r="DX591" s="12" t="s">
        <v>319</v>
      </c>
      <c r="DY591" s="14"/>
      <c r="DZ591" s="16"/>
      <c r="EA591" s="14"/>
      <c r="EB591" s="11" t="s">
        <v>320</v>
      </c>
      <c r="EC591" s="14">
        <v>4149</v>
      </c>
      <c r="ED591" s="16">
        <v>0.47</v>
      </c>
      <c r="EE591" s="14"/>
      <c r="EF591" s="12"/>
      <c r="EG591" s="12"/>
      <c r="EH591" s="14"/>
      <c r="EI591" s="16"/>
      <c r="EJ591" s="14"/>
      <c r="EK591" s="14"/>
      <c r="EL591" s="14"/>
      <c r="EM591" s="14"/>
      <c r="EN591" s="14"/>
      <c r="EO591" s="14"/>
      <c r="EP591" s="14"/>
      <c r="EQ591" s="12"/>
      <c r="ER591" s="14"/>
      <c r="ES591" s="16"/>
      <c r="ET591" s="14"/>
      <c r="EU591" s="12"/>
      <c r="EV591" s="14"/>
      <c r="EW591" s="16"/>
      <c r="EX591" s="14"/>
      <c r="EY591" s="12"/>
      <c r="EZ591" s="14"/>
      <c r="FA591" s="16"/>
      <c r="FB591" s="14"/>
      <c r="FC591" s="12"/>
      <c r="FD591" s="14"/>
      <c r="FE591" s="16"/>
      <c r="FF591" s="14"/>
      <c r="FG591" s="12"/>
      <c r="FH591" s="14"/>
      <c r="FI591" s="16"/>
      <c r="FJ591" s="14"/>
      <c r="FK591" s="12"/>
      <c r="FL591" s="14"/>
      <c r="FM591" s="16"/>
      <c r="FN591" s="14"/>
      <c r="FO591" s="12"/>
      <c r="FP591" s="14"/>
      <c r="FQ591" s="16"/>
      <c r="FR591" s="14"/>
      <c r="FS591" s="12"/>
      <c r="FT591" s="14"/>
      <c r="FU591" s="16"/>
      <c r="FV591" s="14"/>
      <c r="FW591" s="12"/>
      <c r="FX591" s="14"/>
      <c r="FY591" s="16"/>
      <c r="FZ591" s="14"/>
      <c r="GA591" s="12"/>
      <c r="GB591" s="14"/>
      <c r="GC591" s="16"/>
      <c r="GD591" s="14"/>
      <c r="GE591" s="12"/>
      <c r="GF591" s="14"/>
      <c r="GG591" s="16"/>
      <c r="GH591" s="14"/>
      <c r="GI591" s="12"/>
      <c r="GJ591" s="14"/>
      <c r="GK591" s="16"/>
      <c r="GL591" s="14"/>
      <c r="GM591" s="12"/>
      <c r="GN591" s="14"/>
      <c r="GO591" s="16"/>
      <c r="GP591" s="14"/>
      <c r="GQ591" s="12"/>
      <c r="GR591" s="14"/>
      <c r="GS591" s="16"/>
      <c r="GT591" s="14"/>
      <c r="GU591" s="12"/>
      <c r="GV591" s="14"/>
      <c r="GW591" s="16"/>
      <c r="GX591" s="14"/>
      <c r="GY591" s="12"/>
      <c r="GZ591" s="14"/>
      <c r="HA591" s="16"/>
      <c r="HB591" s="14"/>
      <c r="HC591" s="12"/>
      <c r="HD591" s="12"/>
      <c r="HE591" s="14"/>
      <c r="HF591" s="16"/>
      <c r="HG591" s="14"/>
      <c r="HH591" s="12" t="s">
        <v>319</v>
      </c>
      <c r="HI591" s="12"/>
      <c r="HJ591" s="12"/>
      <c r="HK591" s="12" t="s">
        <v>319</v>
      </c>
      <c r="HL591" s="12" t="s">
        <v>319</v>
      </c>
      <c r="HM591" s="12"/>
      <c r="HN591" s="12"/>
      <c r="HO591" s="12"/>
      <c r="HP591" s="12" t="s">
        <v>453</v>
      </c>
      <c r="HQ591" s="12" t="s">
        <v>319</v>
      </c>
      <c r="HR591" s="12" t="s">
        <v>319</v>
      </c>
      <c r="HS591" s="12"/>
      <c r="HT591" s="12" t="s">
        <v>320</v>
      </c>
      <c r="HU591" s="12" t="s">
        <v>319</v>
      </c>
      <c r="HV591" s="12"/>
      <c r="HW591" s="12" t="s">
        <v>320</v>
      </c>
      <c r="HX591" s="12"/>
      <c r="HY591" s="12"/>
      <c r="HZ591" s="11" t="s">
        <v>363</v>
      </c>
      <c r="IA591" s="12"/>
      <c r="IB591" s="12" t="s">
        <v>333</v>
      </c>
      <c r="IC591" s="12"/>
      <c r="ID591" s="11" t="s">
        <v>364</v>
      </c>
      <c r="IE591" s="12" t="s">
        <v>335</v>
      </c>
      <c r="IF591" s="12" t="s">
        <v>319</v>
      </c>
      <c r="IG591" s="12" t="s">
        <v>320</v>
      </c>
      <c r="IH591" s="12" t="s">
        <v>320</v>
      </c>
      <c r="II591" s="12" t="s">
        <v>320</v>
      </c>
      <c r="IJ591" s="12" t="str">
        <f t="shared" si="388"/>
        <v>1. Neutral</v>
      </c>
      <c r="IK591" s="12">
        <f t="shared" si="389"/>
        <v>3</v>
      </c>
      <c r="IL591" s="12" t="s">
        <v>336</v>
      </c>
      <c r="IM591" s="12" t="s">
        <v>320</v>
      </c>
      <c r="IN591" s="12" t="s">
        <v>320</v>
      </c>
      <c r="IO591" s="12" t="s">
        <v>320</v>
      </c>
      <c r="IP591" s="12" t="s">
        <v>320</v>
      </c>
      <c r="IQ591" s="12" t="str">
        <f t="shared" si="390"/>
        <v>2. Accommodating</v>
      </c>
      <c r="IR591" s="12">
        <f t="shared" si="391"/>
        <v>4</v>
      </c>
      <c r="IS591" s="12" t="s">
        <v>337</v>
      </c>
      <c r="IT591" s="12" t="s">
        <v>320</v>
      </c>
      <c r="IU591" s="12" t="s">
        <v>319</v>
      </c>
      <c r="IV591" s="12" t="s">
        <v>320</v>
      </c>
      <c r="IW591" s="11" t="str">
        <f t="shared" si="392"/>
        <v>1. Neutral</v>
      </c>
      <c r="IX591" s="12">
        <f t="shared" si="393"/>
        <v>2</v>
      </c>
      <c r="IY591" s="11" t="s">
        <v>419</v>
      </c>
      <c r="IZ591" s="11" t="s">
        <v>527</v>
      </c>
      <c r="JA591" s="12">
        <v>1</v>
      </c>
      <c r="JB591" s="12" t="s">
        <v>687</v>
      </c>
      <c r="JC591" s="12"/>
      <c r="JD591" s="12"/>
      <c r="JE591" s="12" t="s">
        <v>365</v>
      </c>
      <c r="JF591" s="12"/>
      <c r="JG591" s="12"/>
      <c r="JH591" s="12" t="s">
        <v>9845</v>
      </c>
      <c r="JI591" s="12" t="s">
        <v>9846</v>
      </c>
      <c r="JJ591" s="12"/>
      <c r="JK591" s="12" t="s">
        <v>9848</v>
      </c>
      <c r="JL591" s="12" t="s">
        <v>9849</v>
      </c>
      <c r="JM591" s="12" t="s">
        <v>9894</v>
      </c>
      <c r="JN591" s="12"/>
      <c r="JO591" s="12"/>
      <c r="JP591" s="15">
        <f t="shared" si="394"/>
        <v>4149</v>
      </c>
      <c r="JQ591" s="15">
        <f t="shared" si="395"/>
        <v>0</v>
      </c>
      <c r="JR591" s="279">
        <f t="shared" si="396"/>
        <v>0</v>
      </c>
      <c r="JS591" s="17">
        <f t="shared" si="397"/>
        <v>0.47071583514099785</v>
      </c>
      <c r="JT591" s="18" t="str">
        <f t="shared" si="398"/>
        <v/>
      </c>
      <c r="JU591" s="280">
        <f t="shared" si="399"/>
        <v>1953</v>
      </c>
      <c r="JV591" s="280">
        <f t="shared" si="400"/>
        <v>0</v>
      </c>
      <c r="JW591" s="319">
        <f t="shared" si="401"/>
        <v>1</v>
      </c>
      <c r="JX591" s="15">
        <f t="shared" si="402"/>
        <v>4149</v>
      </c>
      <c r="JY591" s="15">
        <f t="shared" si="403"/>
        <v>0</v>
      </c>
      <c r="JZ591" s="19">
        <f t="shared" si="404"/>
        <v>0</v>
      </c>
      <c r="KA591" s="52" t="str">
        <f t="shared" si="405"/>
        <v/>
      </c>
      <c r="KB591" s="15">
        <f t="shared" si="406"/>
        <v>0</v>
      </c>
      <c r="KC591" s="15">
        <f t="shared" si="407"/>
        <v>0</v>
      </c>
      <c r="KD591" s="20" t="str">
        <f t="shared" si="408"/>
        <v/>
      </c>
      <c r="KE591" s="52">
        <f t="shared" si="409"/>
        <v>1</v>
      </c>
      <c r="KF591" s="15">
        <f t="shared" si="410"/>
        <v>4149</v>
      </c>
      <c r="KG591" s="15">
        <f t="shared" si="411"/>
        <v>0</v>
      </c>
      <c r="KH591" s="21">
        <f t="shared" si="412"/>
        <v>0</v>
      </c>
      <c r="KI591" s="52" t="str">
        <f t="shared" si="413"/>
        <v/>
      </c>
      <c r="KJ591" s="15">
        <f t="shared" si="414"/>
        <v>0</v>
      </c>
      <c r="KK591" s="15">
        <f t="shared" si="415"/>
        <v>0</v>
      </c>
      <c r="KL591" s="19" t="str">
        <f t="shared" si="416"/>
        <v/>
      </c>
      <c r="KM591" s="52" t="str">
        <f t="shared" si="417"/>
        <v/>
      </c>
      <c r="KN591" s="22">
        <f t="shared" si="418"/>
        <v>0</v>
      </c>
      <c r="KO591" s="22">
        <f t="shared" si="419"/>
        <v>0</v>
      </c>
      <c r="KP591" s="19" t="str">
        <f t="shared" si="420"/>
        <v/>
      </c>
      <c r="KQ591" s="11" t="str">
        <f t="shared" si="421"/>
        <v>1. Neutral</v>
      </c>
      <c r="KR591" s="11" t="str">
        <f t="shared" si="422"/>
        <v>2. Accommodating</v>
      </c>
      <c r="KS591" s="11" t="str">
        <f t="shared" si="423"/>
        <v>1. Neutral</v>
      </c>
      <c r="KT591" s="11" t="str">
        <f t="shared" si="424"/>
        <v>It did not develop any specific innovation</v>
      </c>
      <c r="KU591" s="11" t="str">
        <f t="shared" si="425"/>
        <v>Intensive advocacy</v>
      </c>
      <c r="KV591" s="11" t="str">
        <f t="shared" si="426"/>
        <v>It did not take tested solutions to scale</v>
      </c>
      <c r="KW591" s="11" t="str">
        <f t="shared" si="427"/>
        <v>Peru - Emergency Response to the Flooding in the North of Peru (Start Fund) (La Libertad 1000 kits)</v>
      </c>
      <c r="KX591" s="11" t="str">
        <f t="shared" si="428"/>
        <v>Emergency Response to the Flooding in the North of Peru (Start Fund) (La Libertad 1000 kits)</v>
      </c>
      <c r="KY591" s="11" t="str">
        <f t="shared" si="429"/>
        <v>Peru</v>
      </c>
      <c r="KZ591" s="12">
        <v>591</v>
      </c>
    </row>
    <row r="592" spans="1:312" x14ac:dyDescent="0.3">
      <c r="A592" s="12" t="s">
        <v>9706</v>
      </c>
      <c r="B592" s="12" t="s">
        <v>2807</v>
      </c>
      <c r="C592" s="12">
        <v>3261</v>
      </c>
      <c r="D592" s="12" t="s">
        <v>9755</v>
      </c>
      <c r="E592" s="277" t="str">
        <f t="shared" si="387"/>
        <v>Peru</v>
      </c>
      <c r="F592" s="12" t="s">
        <v>9756</v>
      </c>
      <c r="G592" s="12" t="s">
        <v>425</v>
      </c>
      <c r="H592" s="12" t="s">
        <v>383</v>
      </c>
      <c r="I592" s="12" t="s">
        <v>384</v>
      </c>
      <c r="J592" s="278" t="s">
        <v>3967</v>
      </c>
      <c r="K592" s="12"/>
      <c r="L592" s="12"/>
      <c r="M592" s="12"/>
      <c r="N592" s="12"/>
      <c r="O592" s="12"/>
      <c r="P592" s="12"/>
      <c r="Q592" s="12"/>
      <c r="R592" s="12"/>
      <c r="S592" s="12"/>
      <c r="T592" s="12"/>
      <c r="U592" s="12"/>
      <c r="V592" s="12"/>
      <c r="W592" s="12"/>
      <c r="X592" s="12"/>
      <c r="Y592" s="12"/>
      <c r="Z592" s="12"/>
      <c r="AA592" s="12"/>
      <c r="AB592" s="12"/>
      <c r="AC592" s="12"/>
      <c r="AD592" s="12"/>
      <c r="BD592" s="13">
        <v>41974</v>
      </c>
      <c r="BE592" s="13">
        <v>42704</v>
      </c>
      <c r="BF592" s="12"/>
      <c r="BG592" s="12" t="s">
        <v>350</v>
      </c>
      <c r="BH592" s="14">
        <v>246300</v>
      </c>
      <c r="BI592" s="12" t="s">
        <v>9757</v>
      </c>
      <c r="BJ592" s="12" t="s">
        <v>9712</v>
      </c>
      <c r="BK592" s="12" t="s">
        <v>9713</v>
      </c>
      <c r="BL592" s="12" t="s">
        <v>9758</v>
      </c>
      <c r="BM592" s="12" t="s">
        <v>9759</v>
      </c>
      <c r="BN592" s="12" t="s">
        <v>9760</v>
      </c>
      <c r="BO592" s="12" t="s">
        <v>319</v>
      </c>
      <c r="BP592" s="12" t="s">
        <v>320</v>
      </c>
      <c r="BQ592" s="12" t="s">
        <v>319</v>
      </c>
      <c r="BR592" s="12" t="s">
        <v>9761</v>
      </c>
      <c r="BS592" s="12" t="s">
        <v>357</v>
      </c>
      <c r="BT592" s="12" t="s">
        <v>9762</v>
      </c>
      <c r="BU592" s="12" t="s">
        <v>9763</v>
      </c>
      <c r="BV592" s="14">
        <v>3000</v>
      </c>
      <c r="BW592" s="14">
        <v>0</v>
      </c>
      <c r="BX592" s="14">
        <v>3000</v>
      </c>
      <c r="BY592" s="14">
        <v>6000</v>
      </c>
      <c r="BZ592" s="14">
        <v>6000</v>
      </c>
      <c r="CA592" s="14">
        <v>12000</v>
      </c>
      <c r="CB592" s="12" t="s">
        <v>9764</v>
      </c>
      <c r="CD592" s="14"/>
      <c r="CE592" s="14"/>
      <c r="CF592" s="14"/>
      <c r="CG592" s="14"/>
      <c r="CH592" s="14"/>
      <c r="CI592" s="14"/>
      <c r="CJ592" s="12"/>
      <c r="CK592" s="14"/>
      <c r="CL592" s="16"/>
      <c r="CM592" s="14"/>
      <c r="CN592" s="12"/>
      <c r="CO592" s="14"/>
      <c r="CP592" s="16"/>
      <c r="CQ592" s="14"/>
      <c r="CR592" s="12"/>
      <c r="CS592" s="14"/>
      <c r="CT592" s="16"/>
      <c r="CU592" s="14"/>
      <c r="CV592" s="12"/>
      <c r="CW592" s="14"/>
      <c r="CX592" s="16"/>
      <c r="CY592" s="14"/>
      <c r="CZ592" s="12"/>
      <c r="DA592" s="14"/>
      <c r="DB592" s="16"/>
      <c r="DC592" s="14"/>
      <c r="DD592" s="12"/>
      <c r="DE592" s="14"/>
      <c r="DF592" s="16"/>
      <c r="DG592" s="14"/>
      <c r="DH592" s="12"/>
      <c r="DI592" s="14"/>
      <c r="DJ592" s="16"/>
      <c r="DK592" s="14"/>
      <c r="DL592" s="12"/>
      <c r="DM592" s="14"/>
      <c r="DN592" s="16"/>
      <c r="DO592" s="14"/>
      <c r="DP592" s="12"/>
      <c r="DQ592" s="14"/>
      <c r="DR592" s="16"/>
      <c r="DS592" s="14"/>
      <c r="DT592" s="12"/>
      <c r="DU592" s="14"/>
      <c r="DV592" s="16"/>
      <c r="DW592" s="14"/>
      <c r="DX592" s="12"/>
      <c r="DY592" s="14"/>
      <c r="DZ592" s="16"/>
      <c r="EA592" s="14"/>
      <c r="EB592" s="12"/>
      <c r="EC592" s="14"/>
      <c r="ED592" s="16"/>
      <c r="EE592" s="14"/>
      <c r="EF592" s="12"/>
      <c r="EG592" s="12"/>
      <c r="EH592" s="14"/>
      <c r="EI592" s="16"/>
      <c r="EJ592" s="14"/>
      <c r="EK592" s="14">
        <v>3616</v>
      </c>
      <c r="EL592" s="14">
        <v>0</v>
      </c>
      <c r="EM592" s="14">
        <v>3616</v>
      </c>
      <c r="EN592" s="14">
        <v>7232</v>
      </c>
      <c r="EO592" s="14">
        <v>7232</v>
      </c>
      <c r="EP592" s="14">
        <v>14464</v>
      </c>
      <c r="EQ592" s="12" t="s">
        <v>319</v>
      </c>
      <c r="ER592" s="14"/>
      <c r="ES592" s="16"/>
      <c r="ET592" s="14"/>
      <c r="EU592" s="11" t="s">
        <v>319</v>
      </c>
      <c r="EV592" s="14"/>
      <c r="EW592" s="16"/>
      <c r="EX592" s="14"/>
      <c r="EY592" s="12" t="s">
        <v>319</v>
      </c>
      <c r="EZ592" s="14"/>
      <c r="FA592" s="16"/>
      <c r="FB592" s="14"/>
      <c r="FC592" s="12" t="s">
        <v>319</v>
      </c>
      <c r="FD592" s="14"/>
      <c r="FE592" s="16"/>
      <c r="FF592" s="14"/>
      <c r="FG592" s="12" t="s">
        <v>319</v>
      </c>
      <c r="FH592" s="14"/>
      <c r="FI592" s="16"/>
      <c r="FJ592" s="14"/>
      <c r="FK592" s="12" t="s">
        <v>319</v>
      </c>
      <c r="FL592" s="14"/>
      <c r="FM592" s="16"/>
      <c r="FN592" s="14"/>
      <c r="FO592" s="12" t="s">
        <v>319</v>
      </c>
      <c r="FP592" s="14"/>
      <c r="FQ592" s="16"/>
      <c r="FR592" s="14"/>
      <c r="FS592" s="12" t="s">
        <v>319</v>
      </c>
      <c r="FT592" s="14"/>
      <c r="FU592" s="16"/>
      <c r="FV592" s="14"/>
      <c r="FW592" s="12" t="s">
        <v>319</v>
      </c>
      <c r="FX592" s="14"/>
      <c r="FY592" s="16"/>
      <c r="FZ592" s="14"/>
      <c r="GA592" s="12" t="s">
        <v>319</v>
      </c>
      <c r="GB592" s="14"/>
      <c r="GC592" s="16"/>
      <c r="GD592" s="14"/>
      <c r="GE592" s="12" t="s">
        <v>319</v>
      </c>
      <c r="GF592" s="14"/>
      <c r="GG592" s="16"/>
      <c r="GH592" s="14"/>
      <c r="GI592" s="12" t="s">
        <v>319</v>
      </c>
      <c r="GJ592" s="14"/>
      <c r="GK592" s="16"/>
      <c r="GL592" s="14"/>
      <c r="GM592" s="12" t="s">
        <v>319</v>
      </c>
      <c r="GN592" s="14"/>
      <c r="GO592" s="16"/>
      <c r="GP592" s="14"/>
      <c r="GQ592" s="12" t="s">
        <v>319</v>
      </c>
      <c r="GR592" s="14"/>
      <c r="GS592" s="16"/>
      <c r="GT592" s="14"/>
      <c r="GU592" s="12" t="s">
        <v>319</v>
      </c>
      <c r="GV592" s="14"/>
      <c r="GW592" s="16"/>
      <c r="GX592" s="14"/>
      <c r="GY592" s="11" t="s">
        <v>320</v>
      </c>
      <c r="GZ592" s="14">
        <v>3630</v>
      </c>
      <c r="HA592" s="16">
        <v>1</v>
      </c>
      <c r="HB592" s="14">
        <v>14520</v>
      </c>
      <c r="HC592" s="12"/>
      <c r="HD592" s="12"/>
      <c r="HE592" s="14"/>
      <c r="HF592" s="16"/>
      <c r="HG592" s="14"/>
      <c r="HH592" s="12" t="s">
        <v>320</v>
      </c>
      <c r="HI592" s="12" t="s">
        <v>544</v>
      </c>
      <c r="HJ592" s="12">
        <v>2017</v>
      </c>
      <c r="HK592" s="12" t="s">
        <v>320</v>
      </c>
      <c r="HL592" s="12" t="s">
        <v>319</v>
      </c>
      <c r="HM592" s="12"/>
      <c r="HN592" s="12"/>
      <c r="HO592" s="12"/>
      <c r="HP592" s="12" t="s">
        <v>330</v>
      </c>
      <c r="HQ592" s="12" t="s">
        <v>319</v>
      </c>
      <c r="HR592" s="12" t="s">
        <v>319</v>
      </c>
      <c r="HS592" s="12" t="s">
        <v>320</v>
      </c>
      <c r="HT592" s="12" t="s">
        <v>320</v>
      </c>
      <c r="HU592" s="12" t="s">
        <v>319</v>
      </c>
      <c r="HV592" s="12" t="s">
        <v>319</v>
      </c>
      <c r="HW592" s="12" t="s">
        <v>319</v>
      </c>
      <c r="HX592" s="12" t="s">
        <v>319</v>
      </c>
      <c r="HY592" s="12"/>
      <c r="HZ592" s="11" t="s">
        <v>363</v>
      </c>
      <c r="IA592" s="12"/>
      <c r="IB592" s="12" t="s">
        <v>333</v>
      </c>
      <c r="IC592" s="12"/>
      <c r="ID592" s="12" t="s">
        <v>334</v>
      </c>
      <c r="IE592" s="12" t="s">
        <v>335</v>
      </c>
      <c r="IF592" s="12" t="s">
        <v>320</v>
      </c>
      <c r="IG592" s="12" t="s">
        <v>320</v>
      </c>
      <c r="IH592" s="12" t="s">
        <v>320</v>
      </c>
      <c r="II592" s="12" t="s">
        <v>320</v>
      </c>
      <c r="IJ592" s="12" t="str">
        <f t="shared" si="388"/>
        <v>2. Sensitive</v>
      </c>
      <c r="IK592" s="12">
        <f t="shared" si="389"/>
        <v>4</v>
      </c>
      <c r="IL592" s="12" t="s">
        <v>336</v>
      </c>
      <c r="IM592" s="12" t="s">
        <v>320</v>
      </c>
      <c r="IN592" s="12" t="s">
        <v>320</v>
      </c>
      <c r="IO592" s="12" t="s">
        <v>320</v>
      </c>
      <c r="IP592" s="12" t="s">
        <v>320</v>
      </c>
      <c r="IQ592" s="12" t="str">
        <f t="shared" si="390"/>
        <v>2. Accommodating</v>
      </c>
      <c r="IR592" s="12">
        <f t="shared" si="391"/>
        <v>4</v>
      </c>
      <c r="IS592" s="12" t="s">
        <v>337</v>
      </c>
      <c r="IT592" s="12" t="s">
        <v>320</v>
      </c>
      <c r="IU592" s="12" t="s">
        <v>320</v>
      </c>
      <c r="IV592" s="12" t="s">
        <v>320</v>
      </c>
      <c r="IW592" s="11" t="str">
        <f t="shared" si="392"/>
        <v>2. Sensitive</v>
      </c>
      <c r="IX592" s="12">
        <f t="shared" si="393"/>
        <v>3</v>
      </c>
      <c r="IY592" s="11" t="s">
        <v>419</v>
      </c>
      <c r="IZ592" s="12" t="s">
        <v>339</v>
      </c>
      <c r="JA592" s="12"/>
      <c r="JB592" s="12"/>
      <c r="JC592" s="12"/>
      <c r="JD592" s="12"/>
      <c r="JE592" s="12" t="s">
        <v>420</v>
      </c>
      <c r="JF592" s="12"/>
      <c r="JG592" s="12" t="s">
        <v>9765</v>
      </c>
      <c r="JH592" s="12" t="s">
        <v>9766</v>
      </c>
      <c r="JI592" s="12" t="s">
        <v>9767</v>
      </c>
      <c r="JJ592" s="12" t="s">
        <v>9768</v>
      </c>
      <c r="JK592" s="12" t="s">
        <v>9769</v>
      </c>
      <c r="JL592" s="12" t="s">
        <v>9770</v>
      </c>
      <c r="JM592" s="12" t="s">
        <v>9771</v>
      </c>
      <c r="JN592" s="12" t="s">
        <v>9772</v>
      </c>
      <c r="JO592" s="12" t="s">
        <v>9773</v>
      </c>
      <c r="JP592" s="15">
        <f t="shared" si="394"/>
        <v>3616</v>
      </c>
      <c r="JQ592" s="15">
        <f t="shared" si="395"/>
        <v>14464</v>
      </c>
      <c r="JR592" s="279">
        <f t="shared" si="396"/>
        <v>4</v>
      </c>
      <c r="JS592" s="17">
        <f t="shared" si="397"/>
        <v>1</v>
      </c>
      <c r="JT592" s="18">
        <f t="shared" si="398"/>
        <v>0.5</v>
      </c>
      <c r="JU592" s="280">
        <f t="shared" si="399"/>
        <v>3616</v>
      </c>
      <c r="JV592" s="280">
        <f t="shared" si="400"/>
        <v>7232</v>
      </c>
      <c r="JW592" s="319" t="str">
        <f t="shared" si="401"/>
        <v/>
      </c>
      <c r="JX592" s="15">
        <f t="shared" si="402"/>
        <v>0</v>
      </c>
      <c r="JY592" s="15">
        <f t="shared" si="403"/>
        <v>0</v>
      </c>
      <c r="JZ592" s="19" t="str">
        <f t="shared" si="404"/>
        <v/>
      </c>
      <c r="KA592" s="52" t="str">
        <f t="shared" si="405"/>
        <v/>
      </c>
      <c r="KB592" s="15">
        <f t="shared" si="406"/>
        <v>0</v>
      </c>
      <c r="KC592" s="15">
        <f t="shared" si="407"/>
        <v>0</v>
      </c>
      <c r="KD592" s="20" t="str">
        <f t="shared" si="408"/>
        <v/>
      </c>
      <c r="KE592" s="52" t="str">
        <f t="shared" si="409"/>
        <v/>
      </c>
      <c r="KF592" s="15">
        <f t="shared" si="410"/>
        <v>0</v>
      </c>
      <c r="KG592" s="15">
        <f t="shared" si="411"/>
        <v>0</v>
      </c>
      <c r="KH592" s="21" t="str">
        <f t="shared" si="412"/>
        <v/>
      </c>
      <c r="KI592" s="52" t="str">
        <f t="shared" si="413"/>
        <v/>
      </c>
      <c r="KJ592" s="15">
        <f t="shared" si="414"/>
        <v>0</v>
      </c>
      <c r="KK592" s="15">
        <f t="shared" si="415"/>
        <v>0</v>
      </c>
      <c r="KL592" s="19" t="str">
        <f t="shared" si="416"/>
        <v/>
      </c>
      <c r="KM592" s="52">
        <f t="shared" si="417"/>
        <v>1</v>
      </c>
      <c r="KN592" s="22">
        <f t="shared" si="418"/>
        <v>3630</v>
      </c>
      <c r="KO592" s="22">
        <f t="shared" si="419"/>
        <v>14520</v>
      </c>
      <c r="KP592" s="19">
        <f t="shared" si="420"/>
        <v>4</v>
      </c>
      <c r="KQ592" s="11" t="str">
        <f t="shared" si="421"/>
        <v>2. Sensitive</v>
      </c>
      <c r="KR592" s="11" t="str">
        <f t="shared" si="422"/>
        <v>2. Accommodating</v>
      </c>
      <c r="KS592" s="11" t="str">
        <f t="shared" si="423"/>
        <v>2. Sensitive</v>
      </c>
      <c r="KT592" s="11" t="str">
        <f t="shared" si="424"/>
        <v>It did not develop any specific innovation</v>
      </c>
      <c r="KU592" s="11" t="str">
        <f t="shared" si="425"/>
        <v>Moderate advocacy</v>
      </c>
      <c r="KV592" s="11" t="str">
        <f t="shared" si="426"/>
        <v>It did not take tested solutions to scale</v>
      </c>
      <c r="KW592" s="11" t="str">
        <f t="shared" si="427"/>
        <v>Peru - Emprendimiento y empoderamiento económico de mujeres en comunidades rurales de la Costa y Región Andina del Perú</v>
      </c>
      <c r="KX592" s="11" t="str">
        <f t="shared" si="428"/>
        <v>Emprendimiento y empoderamiento económico de mujeres en comunidades rurales de la Costa y Región Andina del Perú</v>
      </c>
      <c r="KY592" s="11" t="str">
        <f t="shared" si="429"/>
        <v>Peru</v>
      </c>
      <c r="KZ592" s="12">
        <v>592</v>
      </c>
    </row>
    <row r="593" spans="1:312" x14ac:dyDescent="0.3">
      <c r="A593" s="12" t="s">
        <v>9706</v>
      </c>
      <c r="B593" s="12" t="s">
        <v>2807</v>
      </c>
      <c r="C593" s="12"/>
      <c r="D593" s="12" t="s">
        <v>9774</v>
      </c>
      <c r="E593" s="277" t="str">
        <f t="shared" si="387"/>
        <v>Peru</v>
      </c>
      <c r="F593" s="12" t="s">
        <v>9775</v>
      </c>
      <c r="G593" s="12" t="s">
        <v>425</v>
      </c>
      <c r="H593" s="12" t="s">
        <v>383</v>
      </c>
      <c r="I593" s="12" t="s">
        <v>384</v>
      </c>
      <c r="J593" s="278" t="s">
        <v>3967</v>
      </c>
      <c r="K593" s="12"/>
      <c r="L593" s="12"/>
      <c r="M593" s="12"/>
      <c r="N593" s="12"/>
      <c r="O593" s="12"/>
      <c r="P593" s="12"/>
      <c r="Q593" s="12"/>
      <c r="R593" s="12"/>
      <c r="S593" s="12"/>
      <c r="T593" s="12"/>
      <c r="U593" s="12"/>
      <c r="V593" s="12"/>
      <c r="W593" s="12"/>
      <c r="X593" s="12"/>
      <c r="Y593" s="12"/>
      <c r="Z593" s="12"/>
      <c r="AA593" s="12"/>
      <c r="AB593" s="12"/>
      <c r="AC593" s="12"/>
      <c r="AD593" s="12"/>
      <c r="BD593" s="13">
        <v>42856</v>
      </c>
      <c r="BE593" s="13">
        <v>43951</v>
      </c>
      <c r="BF593" s="12"/>
      <c r="BG593" s="12" t="s">
        <v>350</v>
      </c>
      <c r="BH593" s="14">
        <v>476000</v>
      </c>
      <c r="BI593" s="12" t="s">
        <v>9757</v>
      </c>
      <c r="BJ593" s="12" t="s">
        <v>9712</v>
      </c>
      <c r="BK593" s="12" t="s">
        <v>9713</v>
      </c>
      <c r="BL593" s="12" t="s">
        <v>9758</v>
      </c>
      <c r="BM593" s="12" t="s">
        <v>9776</v>
      </c>
      <c r="BN593" s="12" t="s">
        <v>9760</v>
      </c>
      <c r="BO593" s="12" t="s">
        <v>319</v>
      </c>
      <c r="BP593" s="12" t="s">
        <v>320</v>
      </c>
      <c r="BQ593" s="12" t="s">
        <v>319</v>
      </c>
      <c r="BR593" s="12" t="s">
        <v>9777</v>
      </c>
      <c r="BS593" s="12" t="s">
        <v>357</v>
      </c>
      <c r="BT593" s="12" t="s">
        <v>9778</v>
      </c>
      <c r="BU593" s="12" t="s">
        <v>9779</v>
      </c>
      <c r="BV593" s="14">
        <v>15000</v>
      </c>
      <c r="BW593" s="14">
        <v>0</v>
      </c>
      <c r="BX593" s="14">
        <v>15000</v>
      </c>
      <c r="BY593" s="14">
        <v>30000</v>
      </c>
      <c r="BZ593" s="14">
        <v>30000</v>
      </c>
      <c r="CA593" s="14">
        <v>60000</v>
      </c>
      <c r="CB593" s="12" t="s">
        <v>9780</v>
      </c>
      <c r="CD593" s="14"/>
      <c r="CE593" s="14"/>
      <c r="CF593" s="14"/>
      <c r="CG593" s="14"/>
      <c r="CH593" s="14"/>
      <c r="CI593" s="14"/>
      <c r="CJ593" s="12"/>
      <c r="CK593" s="14"/>
      <c r="CL593" s="16"/>
      <c r="CM593" s="14"/>
      <c r="CN593" s="12"/>
      <c r="CO593" s="14"/>
      <c r="CP593" s="16"/>
      <c r="CQ593" s="14"/>
      <c r="CR593" s="12"/>
      <c r="CS593" s="14"/>
      <c r="CT593" s="16"/>
      <c r="CU593" s="14"/>
      <c r="CV593" s="12"/>
      <c r="CW593" s="14"/>
      <c r="CX593" s="16"/>
      <c r="CY593" s="14"/>
      <c r="CZ593" s="12"/>
      <c r="DA593" s="14"/>
      <c r="DB593" s="16"/>
      <c r="DC593" s="14"/>
      <c r="DD593" s="12"/>
      <c r="DE593" s="14"/>
      <c r="DF593" s="16"/>
      <c r="DG593" s="14"/>
      <c r="DH593" s="12"/>
      <c r="DI593" s="14"/>
      <c r="DJ593" s="16"/>
      <c r="DK593" s="14"/>
      <c r="DL593" s="12"/>
      <c r="DM593" s="14"/>
      <c r="DN593" s="16"/>
      <c r="DO593" s="14"/>
      <c r="DP593" s="12"/>
      <c r="DQ593" s="14"/>
      <c r="DR593" s="16"/>
      <c r="DS593" s="14"/>
      <c r="DT593" s="12"/>
      <c r="DU593" s="14"/>
      <c r="DV593" s="16"/>
      <c r="DW593" s="14"/>
      <c r="DX593" s="12"/>
      <c r="DY593" s="14"/>
      <c r="DZ593" s="16"/>
      <c r="EA593" s="14"/>
      <c r="EB593" s="12"/>
      <c r="EC593" s="14"/>
      <c r="ED593" s="16"/>
      <c r="EE593" s="14"/>
      <c r="EF593" s="12"/>
      <c r="EG593" s="12"/>
      <c r="EH593" s="14"/>
      <c r="EI593" s="16"/>
      <c r="EJ593" s="14"/>
      <c r="EK593" s="14">
        <v>15000</v>
      </c>
      <c r="EL593" s="14">
        <v>0</v>
      </c>
      <c r="EM593" s="14">
        <v>15000</v>
      </c>
      <c r="EN593" s="14">
        <v>30000</v>
      </c>
      <c r="EO593" s="14">
        <v>30000</v>
      </c>
      <c r="EP593" s="14">
        <v>60000</v>
      </c>
      <c r="EQ593" s="12" t="s">
        <v>319</v>
      </c>
      <c r="ER593" s="14"/>
      <c r="ES593" s="16"/>
      <c r="ET593" s="14"/>
      <c r="EU593" s="11" t="s">
        <v>319</v>
      </c>
      <c r="EV593" s="14"/>
      <c r="EW593" s="16"/>
      <c r="EX593" s="14"/>
      <c r="EY593" s="12" t="s">
        <v>319</v>
      </c>
      <c r="EZ593" s="14"/>
      <c r="FA593" s="16"/>
      <c r="FB593" s="14"/>
      <c r="FC593" s="12" t="s">
        <v>319</v>
      </c>
      <c r="FD593" s="14"/>
      <c r="FE593" s="16"/>
      <c r="FF593" s="14"/>
      <c r="FG593" s="12" t="s">
        <v>319</v>
      </c>
      <c r="FH593" s="14"/>
      <c r="FI593" s="16"/>
      <c r="FJ593" s="14"/>
      <c r="FK593" s="12" t="s">
        <v>319</v>
      </c>
      <c r="FL593" s="14"/>
      <c r="FM593" s="16"/>
      <c r="FN593" s="14"/>
      <c r="FO593" s="12" t="s">
        <v>319</v>
      </c>
      <c r="FP593" s="14"/>
      <c r="FQ593" s="16"/>
      <c r="FR593" s="14"/>
      <c r="FS593" s="12" t="s">
        <v>319</v>
      </c>
      <c r="FT593" s="14"/>
      <c r="FU593" s="16"/>
      <c r="FV593" s="14"/>
      <c r="FW593" s="12" t="s">
        <v>319</v>
      </c>
      <c r="FX593" s="14"/>
      <c r="FY593" s="16"/>
      <c r="FZ593" s="14"/>
      <c r="GA593" s="12" t="s">
        <v>319</v>
      </c>
      <c r="GB593" s="14"/>
      <c r="GC593" s="16"/>
      <c r="GD593" s="14"/>
      <c r="GE593" s="12" t="s">
        <v>319</v>
      </c>
      <c r="GF593" s="14"/>
      <c r="GG593" s="16"/>
      <c r="GH593" s="14"/>
      <c r="GI593" s="12" t="s">
        <v>319</v>
      </c>
      <c r="GJ593" s="14"/>
      <c r="GK593" s="16"/>
      <c r="GL593" s="14"/>
      <c r="GM593" s="12" t="s">
        <v>319</v>
      </c>
      <c r="GN593" s="14"/>
      <c r="GO593" s="16"/>
      <c r="GP593" s="14"/>
      <c r="GQ593" s="12" t="s">
        <v>319</v>
      </c>
      <c r="GR593" s="14"/>
      <c r="GS593" s="16"/>
      <c r="GT593" s="14"/>
      <c r="GU593" s="12" t="s">
        <v>319</v>
      </c>
      <c r="GV593" s="14"/>
      <c r="GW593" s="16"/>
      <c r="GX593" s="14"/>
      <c r="GY593" s="12" t="s">
        <v>320</v>
      </c>
      <c r="GZ593" s="14"/>
      <c r="HA593" s="16"/>
      <c r="HB593" s="14"/>
      <c r="HC593" s="12"/>
      <c r="HD593" s="12"/>
      <c r="HE593" s="14"/>
      <c r="HF593" s="16"/>
      <c r="HG593" s="14"/>
      <c r="HH593" s="12"/>
      <c r="HI593" s="12"/>
      <c r="HJ593" s="12"/>
      <c r="HK593" s="12"/>
      <c r="HL593" s="12"/>
      <c r="HM593" s="12"/>
      <c r="HN593" s="12"/>
      <c r="HO593" s="12" t="s">
        <v>9781</v>
      </c>
      <c r="HP593" s="12"/>
      <c r="HQ593" s="12"/>
      <c r="HR593" s="12"/>
      <c r="HS593" s="12"/>
      <c r="HT593" s="12"/>
      <c r="HU593" s="12"/>
      <c r="HV593" s="12"/>
      <c r="HW593" s="12"/>
      <c r="HX593" s="12"/>
      <c r="HY593" s="12"/>
      <c r="HZ593" s="12"/>
      <c r="IA593" s="12"/>
      <c r="IB593" s="12"/>
      <c r="IC593" s="12"/>
      <c r="ID593" s="12"/>
      <c r="IE593" s="12"/>
      <c r="IF593" s="12"/>
      <c r="IG593" s="12"/>
      <c r="IH593" s="12"/>
      <c r="II593" s="12"/>
      <c r="IJ593" s="12" t="str">
        <f t="shared" si="388"/>
        <v>No marker score</v>
      </c>
      <c r="IK593" s="12">
        <f t="shared" si="389"/>
        <v>0</v>
      </c>
      <c r="IL593" s="12"/>
      <c r="IM593" s="12"/>
      <c r="IN593" s="12"/>
      <c r="IO593" s="12"/>
      <c r="IP593" s="12"/>
      <c r="IQ593" s="12" t="str">
        <f t="shared" si="390"/>
        <v>No marker score</v>
      </c>
      <c r="IR593" s="12">
        <f t="shared" si="391"/>
        <v>0</v>
      </c>
      <c r="IS593" s="12"/>
      <c r="IT593" s="12"/>
      <c r="IU593" s="12"/>
      <c r="IV593" s="12"/>
      <c r="IW593" s="11" t="str">
        <f t="shared" si="392"/>
        <v>No marker score</v>
      </c>
      <c r="IX593" s="12">
        <f t="shared" si="393"/>
        <v>0</v>
      </c>
      <c r="IY593" s="12"/>
      <c r="IZ593" s="12"/>
      <c r="JA593" s="12"/>
      <c r="JB593" s="12"/>
      <c r="JC593" s="12"/>
      <c r="JD593" s="12"/>
      <c r="JE593" s="12"/>
      <c r="JF593" s="12"/>
      <c r="JG593" s="12"/>
      <c r="JH593" s="12"/>
      <c r="JI593" s="12"/>
      <c r="JJ593" s="12"/>
      <c r="JK593" s="12"/>
      <c r="JL593" s="12"/>
      <c r="JM593" s="12"/>
      <c r="JN593" s="12"/>
      <c r="JO593" s="12" t="s">
        <v>9782</v>
      </c>
      <c r="JP593" s="15">
        <f t="shared" si="394"/>
        <v>15000</v>
      </c>
      <c r="JQ593" s="15">
        <f t="shared" si="395"/>
        <v>60000</v>
      </c>
      <c r="JR593" s="279">
        <f t="shared" si="396"/>
        <v>4</v>
      </c>
      <c r="JS593" s="17">
        <f t="shared" si="397"/>
        <v>1</v>
      </c>
      <c r="JT593" s="18">
        <f t="shared" si="398"/>
        <v>0.5</v>
      </c>
      <c r="JU593" s="280">
        <f t="shared" si="399"/>
        <v>15000</v>
      </c>
      <c r="JV593" s="280">
        <f t="shared" si="400"/>
        <v>30000</v>
      </c>
      <c r="JW593" s="319" t="str">
        <f t="shared" si="401"/>
        <v/>
      </c>
      <c r="JX593" s="15">
        <f t="shared" si="402"/>
        <v>0</v>
      </c>
      <c r="JY593" s="15">
        <f t="shared" si="403"/>
        <v>0</v>
      </c>
      <c r="JZ593" s="19" t="str">
        <f t="shared" si="404"/>
        <v/>
      </c>
      <c r="KA593" s="52" t="str">
        <f t="shared" si="405"/>
        <v/>
      </c>
      <c r="KB593" s="15">
        <f t="shared" si="406"/>
        <v>0</v>
      </c>
      <c r="KC593" s="15">
        <f t="shared" si="407"/>
        <v>0</v>
      </c>
      <c r="KD593" s="20" t="str">
        <f t="shared" si="408"/>
        <v/>
      </c>
      <c r="KE593" s="52" t="str">
        <f t="shared" si="409"/>
        <v/>
      </c>
      <c r="KF593" s="15">
        <f t="shared" si="410"/>
        <v>0</v>
      </c>
      <c r="KG593" s="15">
        <f t="shared" si="411"/>
        <v>0</v>
      </c>
      <c r="KH593" s="21" t="str">
        <f t="shared" si="412"/>
        <v/>
      </c>
      <c r="KI593" s="52" t="str">
        <f t="shared" si="413"/>
        <v/>
      </c>
      <c r="KJ593" s="15">
        <f t="shared" si="414"/>
        <v>0</v>
      </c>
      <c r="KK593" s="15">
        <f t="shared" si="415"/>
        <v>0</v>
      </c>
      <c r="KL593" s="19" t="str">
        <f t="shared" si="416"/>
        <v/>
      </c>
      <c r="KM593" s="52">
        <f t="shared" si="417"/>
        <v>1</v>
      </c>
      <c r="KN593" s="22">
        <f t="shared" si="418"/>
        <v>0</v>
      </c>
      <c r="KO593" s="22">
        <f t="shared" si="419"/>
        <v>0</v>
      </c>
      <c r="KP593" s="19" t="str">
        <f t="shared" si="420"/>
        <v/>
      </c>
      <c r="KQ593" s="11" t="str">
        <f t="shared" si="421"/>
        <v>No marker score</v>
      </c>
      <c r="KR593" s="11" t="str">
        <f t="shared" si="422"/>
        <v>No marker score</v>
      </c>
      <c r="KS593" s="11" t="str">
        <f t="shared" si="423"/>
        <v>No marker score</v>
      </c>
      <c r="KT593" s="11">
        <f t="shared" si="424"/>
        <v>0</v>
      </c>
      <c r="KU593" s="11">
        <f t="shared" si="425"/>
        <v>0</v>
      </c>
      <c r="KV593" s="11">
        <f t="shared" si="426"/>
        <v>0</v>
      </c>
      <c r="KW593" s="11" t="str">
        <f t="shared" si="427"/>
        <v>Peru - Escalando el desarrollo empresarial para el empoderamiento de mujeres</v>
      </c>
      <c r="KX593" s="11" t="str">
        <f t="shared" si="428"/>
        <v>Escalando el desarrollo empresarial para el empoderamiento de mujeres</v>
      </c>
      <c r="KY593" s="11" t="str">
        <f t="shared" si="429"/>
        <v>Peru</v>
      </c>
      <c r="KZ593" s="12">
        <v>593</v>
      </c>
    </row>
    <row r="594" spans="1:312" x14ac:dyDescent="0.3">
      <c r="A594" s="12" t="s">
        <v>9706</v>
      </c>
      <c r="B594" s="12" t="s">
        <v>2807</v>
      </c>
      <c r="C594" s="12">
        <v>3259</v>
      </c>
      <c r="D594" s="12" t="s">
        <v>9899</v>
      </c>
      <c r="E594" s="277" t="str">
        <f t="shared" si="387"/>
        <v>Peru</v>
      </c>
      <c r="F594" s="12" t="s">
        <v>9900</v>
      </c>
      <c r="G594" s="12" t="s">
        <v>9835</v>
      </c>
      <c r="H594" s="12" t="s">
        <v>489</v>
      </c>
      <c r="I594" s="12" t="s">
        <v>384</v>
      </c>
      <c r="J594" s="281" t="s">
        <v>14733</v>
      </c>
      <c r="K594" s="12"/>
      <c r="L594" s="12"/>
      <c r="M594" s="12"/>
      <c r="N594" s="12"/>
      <c r="O594" s="12"/>
      <c r="P594" s="12"/>
      <c r="Q594" s="12"/>
      <c r="R594" s="12"/>
      <c r="S594" s="12"/>
      <c r="T594" s="12"/>
      <c r="U594" s="12"/>
      <c r="V594" s="12"/>
      <c r="W594" s="12"/>
      <c r="X594" s="12"/>
      <c r="Y594" s="12"/>
      <c r="Z594" s="12"/>
      <c r="AA594" s="12"/>
      <c r="AB594" s="12"/>
      <c r="AC594" s="12"/>
      <c r="AD594" s="12"/>
      <c r="BD594" s="13">
        <v>42060</v>
      </c>
      <c r="BE594" s="13">
        <v>42791</v>
      </c>
      <c r="BF594" s="12"/>
      <c r="BG594" s="12" t="s">
        <v>350</v>
      </c>
      <c r="BH594" s="14">
        <v>250000</v>
      </c>
      <c r="BI594" s="12" t="s">
        <v>9757</v>
      </c>
      <c r="BJ594" s="12" t="s">
        <v>9712</v>
      </c>
      <c r="BK594" s="12" t="s">
        <v>9713</v>
      </c>
      <c r="BL594" s="12" t="s">
        <v>9870</v>
      </c>
      <c r="BM594" s="12" t="s">
        <v>9871</v>
      </c>
      <c r="BN594" s="12" t="s">
        <v>9872</v>
      </c>
      <c r="BO594" s="12" t="s">
        <v>320</v>
      </c>
      <c r="BP594" s="12" t="s">
        <v>320</v>
      </c>
      <c r="BQ594" s="12" t="s">
        <v>320</v>
      </c>
      <c r="BR594" s="12" t="s">
        <v>9901</v>
      </c>
      <c r="BS594" s="12" t="s">
        <v>357</v>
      </c>
      <c r="BT594" s="12" t="s">
        <v>9902</v>
      </c>
      <c r="BU594" s="12" t="s">
        <v>9903</v>
      </c>
      <c r="BV594" s="14">
        <v>920</v>
      </c>
      <c r="BW594" s="14">
        <v>1443</v>
      </c>
      <c r="BX594" s="14">
        <v>2363</v>
      </c>
      <c r="BY594" s="14">
        <v>4600</v>
      </c>
      <c r="BZ594" s="14">
        <v>7215</v>
      </c>
      <c r="CA594" s="14">
        <v>11815</v>
      </c>
      <c r="CB594" s="12" t="s">
        <v>9904</v>
      </c>
      <c r="CD594" s="14"/>
      <c r="CE594" s="14"/>
      <c r="CF594" s="14">
        <v>0</v>
      </c>
      <c r="CG594" s="14"/>
      <c r="CH594" s="14"/>
      <c r="CI594" s="14">
        <v>0</v>
      </c>
      <c r="CJ594" s="12" t="s">
        <v>320</v>
      </c>
      <c r="CK594" s="14"/>
      <c r="CL594" s="16"/>
      <c r="CM594" s="14">
        <v>120</v>
      </c>
      <c r="CN594" s="12" t="s">
        <v>319</v>
      </c>
      <c r="CO594" s="14"/>
      <c r="CP594" s="16"/>
      <c r="CQ594" s="14"/>
      <c r="CR594" s="12" t="s">
        <v>319</v>
      </c>
      <c r="CS594" s="14"/>
      <c r="CT594" s="16"/>
      <c r="CU594" s="14"/>
      <c r="CV594" s="12" t="s">
        <v>319</v>
      </c>
      <c r="CW594" s="14"/>
      <c r="CX594" s="16"/>
      <c r="CY594" s="14"/>
      <c r="CZ594" s="12" t="s">
        <v>319</v>
      </c>
      <c r="DA594" s="14"/>
      <c r="DB594" s="16"/>
      <c r="DC594" s="14"/>
      <c r="DD594" s="12" t="s">
        <v>319</v>
      </c>
      <c r="DE594" s="14"/>
      <c r="DF594" s="16"/>
      <c r="DG594" s="14"/>
      <c r="DH594" s="12" t="s">
        <v>319</v>
      </c>
      <c r="DI594" s="14"/>
      <c r="DJ594" s="16"/>
      <c r="DK594" s="14"/>
      <c r="DL594" s="12" t="s">
        <v>319</v>
      </c>
      <c r="DM594" s="14"/>
      <c r="DN594" s="16"/>
      <c r="DO594" s="14"/>
      <c r="DP594" s="12" t="s">
        <v>319</v>
      </c>
      <c r="DQ594" s="14"/>
      <c r="DR594" s="16"/>
      <c r="DS594" s="14"/>
      <c r="DT594" s="12" t="s">
        <v>319</v>
      </c>
      <c r="DU594" s="14"/>
      <c r="DV594" s="16"/>
      <c r="DW594" s="14"/>
      <c r="DX594" s="12" t="s">
        <v>319</v>
      </c>
      <c r="DY594" s="14"/>
      <c r="DZ594" s="16"/>
      <c r="EA594" s="14"/>
      <c r="EB594" s="12" t="s">
        <v>319</v>
      </c>
      <c r="EC594" s="14"/>
      <c r="ED594" s="16"/>
      <c r="EE594" s="14"/>
      <c r="EF594" s="12"/>
      <c r="EG594" s="12"/>
      <c r="EH594" s="14"/>
      <c r="EI594" s="16"/>
      <c r="EJ594" s="14"/>
      <c r="EK594" s="14">
        <v>920</v>
      </c>
      <c r="EL594" s="14">
        <v>1443</v>
      </c>
      <c r="EM594" s="14">
        <v>2363</v>
      </c>
      <c r="EN594" s="14">
        <v>4600</v>
      </c>
      <c r="EO594" s="14">
        <v>7215</v>
      </c>
      <c r="EP594" s="14">
        <v>11815</v>
      </c>
      <c r="EQ594" s="12" t="s">
        <v>319</v>
      </c>
      <c r="ER594" s="14"/>
      <c r="ES594" s="16"/>
      <c r="ET594" s="14"/>
      <c r="EU594" s="12"/>
      <c r="EV594" s="14"/>
      <c r="EW594" s="16"/>
      <c r="EX594" s="14"/>
      <c r="EY594" s="12"/>
      <c r="EZ594" s="14"/>
      <c r="FA594" s="16"/>
      <c r="FB594" s="14"/>
      <c r="FC594" s="12"/>
      <c r="FD594" s="14"/>
      <c r="FE594" s="16"/>
      <c r="FF594" s="14"/>
      <c r="FG594" s="12" t="s">
        <v>320</v>
      </c>
      <c r="FH594" s="14">
        <v>1860</v>
      </c>
      <c r="FI594" s="16">
        <v>0.39</v>
      </c>
      <c r="FJ594" s="14">
        <v>7440</v>
      </c>
      <c r="FK594" s="12"/>
      <c r="FL594" s="14"/>
      <c r="FM594" s="16"/>
      <c r="FN594" s="14"/>
      <c r="FO594" s="12"/>
      <c r="FP594" s="14"/>
      <c r="FQ594" s="16"/>
      <c r="FR594" s="14"/>
      <c r="FS594" s="12"/>
      <c r="FT594" s="14"/>
      <c r="FU594" s="16"/>
      <c r="FV594" s="14"/>
      <c r="FW594" s="11" t="s">
        <v>320</v>
      </c>
      <c r="FX594" s="14">
        <v>1860</v>
      </c>
      <c r="FY594" s="16">
        <v>0.39</v>
      </c>
      <c r="FZ594" s="14">
        <v>7440</v>
      </c>
      <c r="GA594" s="12"/>
      <c r="GB594" s="14"/>
      <c r="GC594" s="16"/>
      <c r="GD594" s="14"/>
      <c r="GE594" s="12" t="s">
        <v>320</v>
      </c>
      <c r="GF594" s="14">
        <v>40</v>
      </c>
      <c r="GG594" s="16">
        <v>0.53</v>
      </c>
      <c r="GH594" s="14">
        <v>200</v>
      </c>
      <c r="GI594" s="12"/>
      <c r="GJ594" s="14"/>
      <c r="GK594" s="16"/>
      <c r="GL594" s="14"/>
      <c r="GM594" s="12"/>
      <c r="GN594" s="14"/>
      <c r="GO594" s="16"/>
      <c r="GP594" s="14"/>
      <c r="GQ594" s="12"/>
      <c r="GR594" s="14"/>
      <c r="GS594" s="16"/>
      <c r="GT594" s="14"/>
      <c r="GU594" s="12"/>
      <c r="GV594" s="14"/>
      <c r="GW594" s="16"/>
      <c r="GX594" s="14"/>
      <c r="GY594" s="11" t="s">
        <v>320</v>
      </c>
      <c r="GZ594" s="14">
        <v>920</v>
      </c>
      <c r="HA594" s="16">
        <v>1</v>
      </c>
      <c r="HB594" s="14">
        <v>3680</v>
      </c>
      <c r="HC594" s="12"/>
      <c r="HD594" s="12"/>
      <c r="HE594" s="14"/>
      <c r="HF594" s="16"/>
      <c r="HG594" s="14"/>
      <c r="HH594" s="12" t="s">
        <v>319</v>
      </c>
      <c r="HI594" s="12"/>
      <c r="HJ594" s="12"/>
      <c r="HK594" s="12" t="s">
        <v>319</v>
      </c>
      <c r="HL594" s="12" t="s">
        <v>319</v>
      </c>
      <c r="HM594" s="12"/>
      <c r="HN594" s="12"/>
      <c r="HO594" s="12"/>
      <c r="HP594" s="12" t="s">
        <v>330</v>
      </c>
      <c r="HQ594" s="12"/>
      <c r="HR594" s="12"/>
      <c r="HS594" s="12" t="s">
        <v>320</v>
      </c>
      <c r="HT594" s="12" t="s">
        <v>320</v>
      </c>
      <c r="HU594" s="12" t="s">
        <v>320</v>
      </c>
      <c r="HV594" s="12" t="s">
        <v>319</v>
      </c>
      <c r="HW594" s="12"/>
      <c r="HX594" s="12"/>
      <c r="HY594" s="12"/>
      <c r="HZ594" s="11" t="s">
        <v>331</v>
      </c>
      <c r="IA594" s="12" t="s">
        <v>9905</v>
      </c>
      <c r="IB594" s="11" t="s">
        <v>667</v>
      </c>
      <c r="IC594" s="12" t="s">
        <v>9906</v>
      </c>
      <c r="ID594" s="12" t="s">
        <v>334</v>
      </c>
      <c r="IE594" s="12" t="s">
        <v>335</v>
      </c>
      <c r="IF594" s="12" t="s">
        <v>319</v>
      </c>
      <c r="IG594" s="12" t="s">
        <v>320</v>
      </c>
      <c r="IH594" s="12" t="s">
        <v>320</v>
      </c>
      <c r="II594" s="12" t="s">
        <v>320</v>
      </c>
      <c r="IJ594" s="12" t="str">
        <f t="shared" si="388"/>
        <v>1. Neutral</v>
      </c>
      <c r="IK594" s="12">
        <f t="shared" si="389"/>
        <v>3</v>
      </c>
      <c r="IL594" s="12" t="s">
        <v>336</v>
      </c>
      <c r="IM594" s="12" t="s">
        <v>319</v>
      </c>
      <c r="IN594" s="12" t="s">
        <v>320</v>
      </c>
      <c r="IO594" s="12" t="s">
        <v>320</v>
      </c>
      <c r="IP594" s="12" t="s">
        <v>320</v>
      </c>
      <c r="IQ594" s="12" t="str">
        <f t="shared" si="390"/>
        <v>2. Accommodating</v>
      </c>
      <c r="IR594" s="12">
        <f t="shared" si="391"/>
        <v>3</v>
      </c>
      <c r="IS594" s="12" t="s">
        <v>337</v>
      </c>
      <c r="IT594" s="12" t="s">
        <v>320</v>
      </c>
      <c r="IU594" s="12" t="s">
        <v>320</v>
      </c>
      <c r="IV594" s="12" t="s">
        <v>320</v>
      </c>
      <c r="IW594" s="11" t="str">
        <f t="shared" si="392"/>
        <v>2. Sensitive</v>
      </c>
      <c r="IX594" s="12">
        <f t="shared" si="393"/>
        <v>3</v>
      </c>
      <c r="IY594" s="12" t="s">
        <v>758</v>
      </c>
      <c r="IZ594" s="12" t="s">
        <v>432</v>
      </c>
      <c r="JA594" s="12">
        <v>10</v>
      </c>
      <c r="JB594" s="12" t="s">
        <v>687</v>
      </c>
      <c r="JC594" s="11" t="s">
        <v>433</v>
      </c>
      <c r="JD594" s="12"/>
      <c r="JE594" s="12" t="s">
        <v>365</v>
      </c>
      <c r="JF594" s="12" t="s">
        <v>9907</v>
      </c>
      <c r="JG594" s="12"/>
      <c r="JH594" s="12" t="s">
        <v>9908</v>
      </c>
      <c r="JI594" s="12" t="s">
        <v>9909</v>
      </c>
      <c r="JJ594" s="12" t="s">
        <v>9910</v>
      </c>
      <c r="JK594" s="12" t="s">
        <v>9911</v>
      </c>
      <c r="JL594" s="12" t="s">
        <v>9912</v>
      </c>
      <c r="JM594" s="12" t="s">
        <v>9913</v>
      </c>
      <c r="JN594" s="12"/>
      <c r="JO594" s="12"/>
      <c r="JP594" s="15">
        <f t="shared" si="394"/>
        <v>2363</v>
      </c>
      <c r="JQ594" s="15">
        <f t="shared" si="395"/>
        <v>11815</v>
      </c>
      <c r="JR594" s="279">
        <f t="shared" si="396"/>
        <v>5</v>
      </c>
      <c r="JS594" s="17">
        <f t="shared" si="397"/>
        <v>0.38933559035124843</v>
      </c>
      <c r="JT594" s="18">
        <f t="shared" si="398"/>
        <v>0.38933559035124843</v>
      </c>
      <c r="JU594" s="280">
        <f t="shared" si="399"/>
        <v>920</v>
      </c>
      <c r="JV594" s="280">
        <f t="shared" si="400"/>
        <v>4600</v>
      </c>
      <c r="JW594" s="319">
        <f t="shared" si="401"/>
        <v>1</v>
      </c>
      <c r="JX594" s="15">
        <f t="shared" si="402"/>
        <v>0</v>
      </c>
      <c r="JY594" s="15">
        <f t="shared" si="403"/>
        <v>0</v>
      </c>
      <c r="JZ594" s="19" t="str">
        <f t="shared" si="404"/>
        <v/>
      </c>
      <c r="KA594" s="52">
        <f t="shared" si="405"/>
        <v>1</v>
      </c>
      <c r="KB594" s="15">
        <f t="shared" si="406"/>
        <v>1860</v>
      </c>
      <c r="KC594" s="15">
        <f t="shared" si="407"/>
        <v>7440</v>
      </c>
      <c r="KD594" s="20">
        <f t="shared" si="408"/>
        <v>4</v>
      </c>
      <c r="KE594" s="52" t="str">
        <f t="shared" si="409"/>
        <v/>
      </c>
      <c r="KF594" s="15">
        <f t="shared" si="410"/>
        <v>0</v>
      </c>
      <c r="KG594" s="15">
        <f t="shared" si="411"/>
        <v>0</v>
      </c>
      <c r="KH594" s="21" t="str">
        <f t="shared" si="412"/>
        <v/>
      </c>
      <c r="KI594" s="52" t="str">
        <f t="shared" si="413"/>
        <v/>
      </c>
      <c r="KJ594" s="15">
        <f t="shared" si="414"/>
        <v>0</v>
      </c>
      <c r="KK594" s="15">
        <f t="shared" si="415"/>
        <v>0</v>
      </c>
      <c r="KL594" s="19" t="str">
        <f t="shared" si="416"/>
        <v/>
      </c>
      <c r="KM594" s="52">
        <f t="shared" si="417"/>
        <v>1</v>
      </c>
      <c r="KN594" s="22">
        <f t="shared" si="418"/>
        <v>920</v>
      </c>
      <c r="KO594" s="22">
        <f t="shared" si="419"/>
        <v>3680</v>
      </c>
      <c r="KP594" s="19">
        <f t="shared" si="420"/>
        <v>4</v>
      </c>
      <c r="KQ594" s="11" t="str">
        <f t="shared" si="421"/>
        <v>1. Neutral</v>
      </c>
      <c r="KR594" s="11" t="str">
        <f t="shared" si="422"/>
        <v>2. Accommodating</v>
      </c>
      <c r="KS594" s="11" t="str">
        <f t="shared" si="423"/>
        <v>2. Sensitive</v>
      </c>
      <c r="KT594" s="11" t="str">
        <f t="shared" si="424"/>
        <v>It tested new ways for fighting poverty and measured results of innovation</v>
      </c>
      <c r="KU594" s="11" t="str">
        <f t="shared" si="425"/>
        <v>Moderate advocacy</v>
      </c>
      <c r="KV594" s="11" t="str">
        <f t="shared" si="426"/>
        <v>It took tested solutions to scale on its own</v>
      </c>
      <c r="KW594" s="11" t="str">
        <f t="shared" si="427"/>
        <v>Peru - Fondo de Inversión Inclusiva Solidaria-FIIS</v>
      </c>
      <c r="KX594" s="11" t="str">
        <f t="shared" si="428"/>
        <v>Fondo de Inversión Inclusiva Solidaria-FIIS</v>
      </c>
      <c r="KY594" s="11" t="str">
        <f t="shared" si="429"/>
        <v>Peru</v>
      </c>
      <c r="KZ594" s="12">
        <v>594</v>
      </c>
    </row>
    <row r="595" spans="1:312" x14ac:dyDescent="0.3">
      <c r="A595" s="282" t="s">
        <v>9706</v>
      </c>
      <c r="B595" s="282" t="s">
        <v>2807</v>
      </c>
      <c r="C595" s="282"/>
      <c r="D595" s="282" t="s">
        <v>9914</v>
      </c>
      <c r="E595" s="277" t="str">
        <f t="shared" si="387"/>
        <v>Peru</v>
      </c>
      <c r="F595" s="282" t="s">
        <v>9915</v>
      </c>
      <c r="G595" s="282" t="s">
        <v>9835</v>
      </c>
      <c r="H595" s="282" t="s">
        <v>310</v>
      </c>
      <c r="I595" s="282" t="s">
        <v>655</v>
      </c>
      <c r="J595" s="281" t="s">
        <v>9916</v>
      </c>
      <c r="K595" s="282"/>
      <c r="L595" s="282"/>
      <c r="M595" s="282"/>
      <c r="N595" s="282"/>
      <c r="O595" s="282"/>
      <c r="P595" s="282"/>
      <c r="Q595" s="282"/>
      <c r="R595" s="282"/>
      <c r="S595" s="282"/>
      <c r="T595" s="282"/>
      <c r="U595" s="282"/>
      <c r="V595" s="282"/>
      <c r="W595" s="282"/>
      <c r="X595" s="282"/>
      <c r="Y595" s="282"/>
      <c r="Z595" s="282"/>
      <c r="AA595" s="282"/>
      <c r="AB595" s="282"/>
      <c r="AC595" s="282"/>
      <c r="AD595" s="282"/>
      <c r="AE595" s="282"/>
      <c r="AF595" s="282"/>
      <c r="AG595" s="282"/>
      <c r="AH595" s="282"/>
      <c r="AI595" s="282"/>
      <c r="AJ595" s="282"/>
      <c r="AK595" s="282"/>
      <c r="AL595" s="282"/>
      <c r="AM595" s="282"/>
      <c r="AN595" s="282"/>
      <c r="AO595" s="282"/>
      <c r="AP595" s="282"/>
      <c r="AQ595" s="282"/>
      <c r="AR595" s="282"/>
      <c r="AS595" s="282"/>
      <c r="AT595" s="282"/>
      <c r="AU595" s="282"/>
      <c r="AV595" s="282"/>
      <c r="AW595" s="282"/>
      <c r="AX595" s="282"/>
      <c r="AY595" s="282"/>
      <c r="AZ595" s="282"/>
      <c r="BA595" s="282"/>
      <c r="BB595" s="282"/>
      <c r="BC595" s="282"/>
      <c r="BD595" s="283">
        <v>42705</v>
      </c>
      <c r="BE595" s="283">
        <v>42552</v>
      </c>
      <c r="BF595" s="283">
        <v>42644</v>
      </c>
      <c r="BG595" s="283" t="s">
        <v>817</v>
      </c>
      <c r="BH595" s="284">
        <v>1357000</v>
      </c>
      <c r="BI595" s="282" t="s">
        <v>9785</v>
      </c>
      <c r="BJ595" s="282" t="s">
        <v>9917</v>
      </c>
      <c r="BK595" s="282" t="s">
        <v>9787</v>
      </c>
      <c r="BL595" s="282" t="s">
        <v>9918</v>
      </c>
      <c r="BM595" s="282" t="s">
        <v>9919</v>
      </c>
      <c r="BN595" s="282" t="s">
        <v>9920</v>
      </c>
      <c r="BO595" s="282" t="s">
        <v>320</v>
      </c>
      <c r="BP595" s="282" t="s">
        <v>319</v>
      </c>
      <c r="BQ595" s="282" t="s">
        <v>319</v>
      </c>
      <c r="BR595" s="282" t="s">
        <v>9921</v>
      </c>
      <c r="BS595" s="282" t="s">
        <v>357</v>
      </c>
      <c r="BT595" s="282" t="s">
        <v>9922</v>
      </c>
      <c r="BU595" s="282" t="s">
        <v>9923</v>
      </c>
      <c r="BV595" s="284">
        <v>37500</v>
      </c>
      <c r="BW595" s="284">
        <v>37500</v>
      </c>
      <c r="BX595" s="284">
        <v>75000</v>
      </c>
      <c r="BY595" s="284">
        <v>250000</v>
      </c>
      <c r="BZ595" s="284">
        <v>250000</v>
      </c>
      <c r="CA595" s="284">
        <v>500000</v>
      </c>
      <c r="CB595" s="285" t="s">
        <v>9924</v>
      </c>
      <c r="CC595" s="285"/>
      <c r="CD595" s="284">
        <v>31386</v>
      </c>
      <c r="CE595" s="284">
        <v>30155</v>
      </c>
      <c r="CF595" s="284">
        <v>61541</v>
      </c>
      <c r="CG595" s="284">
        <v>109850.5</v>
      </c>
      <c r="CH595" s="284">
        <v>105543</v>
      </c>
      <c r="CI595" s="284">
        <v>215393.5</v>
      </c>
      <c r="CJ595" s="282"/>
      <c r="CK595" s="284"/>
      <c r="CL595" s="286"/>
      <c r="CM595" s="284"/>
      <c r="CN595" s="287"/>
      <c r="CO595" s="284"/>
      <c r="CP595" s="286"/>
      <c r="CQ595" s="284"/>
      <c r="CR595" s="282"/>
      <c r="CS595" s="284"/>
      <c r="CT595" s="286"/>
      <c r="CU595" s="284"/>
      <c r="CV595" s="292" t="s">
        <v>320</v>
      </c>
      <c r="CW595" s="300">
        <v>61541</v>
      </c>
      <c r="CX595" s="308">
        <v>0.51</v>
      </c>
      <c r="CY595" s="300">
        <v>215394</v>
      </c>
      <c r="CZ595" s="282"/>
      <c r="DA595" s="284"/>
      <c r="DB595" s="286"/>
      <c r="DC595" s="284"/>
      <c r="DD595" s="287"/>
      <c r="DE595" s="284"/>
      <c r="DF595" s="286"/>
      <c r="DG595" s="284"/>
      <c r="DH595" s="282" t="s">
        <v>320</v>
      </c>
      <c r="DI595" s="284">
        <v>61541</v>
      </c>
      <c r="DJ595" s="286">
        <v>0.51</v>
      </c>
      <c r="DK595" s="284">
        <v>215394</v>
      </c>
      <c r="DL595" s="282"/>
      <c r="DM595" s="284"/>
      <c r="DN595" s="286"/>
      <c r="DO595" s="284"/>
      <c r="DP595" s="282" t="s">
        <v>320</v>
      </c>
      <c r="DQ595" s="284">
        <v>61541</v>
      </c>
      <c r="DR595" s="286">
        <v>0.51</v>
      </c>
      <c r="DS595" s="284">
        <v>215394</v>
      </c>
      <c r="DT595" s="282"/>
      <c r="DU595" s="284"/>
      <c r="DV595" s="286"/>
      <c r="DW595" s="284"/>
      <c r="DX595" s="282" t="s">
        <v>320</v>
      </c>
      <c r="DY595" s="284">
        <v>61541</v>
      </c>
      <c r="DZ595" s="286">
        <v>0.51</v>
      </c>
      <c r="EA595" s="284">
        <v>215394</v>
      </c>
      <c r="EB595" s="282" t="s">
        <v>320</v>
      </c>
      <c r="EC595" s="284">
        <v>61541</v>
      </c>
      <c r="ED595" s="286">
        <v>0.51</v>
      </c>
      <c r="EE595" s="284">
        <v>215394</v>
      </c>
      <c r="EF595" s="285" t="s">
        <v>9925</v>
      </c>
      <c r="EG595" s="287" t="s">
        <v>320</v>
      </c>
      <c r="EH595" s="284">
        <v>61541</v>
      </c>
      <c r="EI595" s="286">
        <v>0.51</v>
      </c>
      <c r="EJ595" s="284">
        <v>215394</v>
      </c>
      <c r="EK595" s="284"/>
      <c r="EL595" s="284"/>
      <c r="EM595" s="284"/>
      <c r="EN595" s="284"/>
      <c r="EO595" s="284"/>
      <c r="EP595" s="284"/>
      <c r="EQ595" s="282"/>
      <c r="ER595" s="284"/>
      <c r="ES595" s="286"/>
      <c r="ET595" s="284"/>
      <c r="EU595" s="305"/>
      <c r="EV595" s="300"/>
      <c r="EW595" s="308"/>
      <c r="EX595" s="300"/>
      <c r="EY595" s="282"/>
      <c r="EZ595" s="284"/>
      <c r="FA595" s="286"/>
      <c r="FB595" s="284"/>
      <c r="FC595" s="282"/>
      <c r="FD595" s="284"/>
      <c r="FE595" s="286"/>
      <c r="FF595" s="284"/>
      <c r="FG595" s="282"/>
      <c r="FH595" s="284"/>
      <c r="FI595" s="286"/>
      <c r="FJ595" s="284"/>
      <c r="FK595" s="282"/>
      <c r="FL595" s="284"/>
      <c r="FM595" s="286"/>
      <c r="FN595" s="284"/>
      <c r="FO595" s="305"/>
      <c r="FP595" s="300"/>
      <c r="FQ595" s="308"/>
      <c r="FR595" s="300"/>
      <c r="FS595" s="282"/>
      <c r="FT595" s="284"/>
      <c r="FU595" s="286"/>
      <c r="FV595" s="284"/>
      <c r="FW595" s="282"/>
      <c r="FX595" s="284"/>
      <c r="FY595" s="286"/>
      <c r="FZ595" s="284"/>
      <c r="GA595" s="282"/>
      <c r="GB595" s="284"/>
      <c r="GC595" s="286"/>
      <c r="GD595" s="284"/>
      <c r="GE595" s="282"/>
      <c r="GF595" s="284"/>
      <c r="GG595" s="286"/>
      <c r="GH595" s="284"/>
      <c r="GI595" s="282"/>
      <c r="GJ595" s="284"/>
      <c r="GK595" s="286"/>
      <c r="GL595" s="284"/>
      <c r="GM595" s="282"/>
      <c r="GN595" s="284"/>
      <c r="GO595" s="286"/>
      <c r="GP595" s="284"/>
      <c r="GQ595" s="282"/>
      <c r="GR595" s="284"/>
      <c r="GS595" s="286"/>
      <c r="GT595" s="284"/>
      <c r="GU595" s="282"/>
      <c r="GV595" s="284"/>
      <c r="GW595" s="286"/>
      <c r="GX595" s="284"/>
      <c r="GY595" s="282"/>
      <c r="GZ595" s="284"/>
      <c r="HA595" s="286"/>
      <c r="HB595" s="284"/>
      <c r="HC595" s="282"/>
      <c r="HD595" s="282"/>
      <c r="HE595" s="284"/>
      <c r="HF595" s="286"/>
      <c r="HG595" s="284"/>
      <c r="HH595" s="282" t="s">
        <v>319</v>
      </c>
      <c r="HI595" s="282"/>
      <c r="HJ595" s="282"/>
      <c r="HK595" s="282" t="s">
        <v>319</v>
      </c>
      <c r="HL595" s="282" t="s">
        <v>319</v>
      </c>
      <c r="HM595" s="282"/>
      <c r="HN595" s="282"/>
      <c r="HO595" s="282"/>
      <c r="HP595" s="282" t="s">
        <v>453</v>
      </c>
      <c r="HQ595" s="282"/>
      <c r="HR595" s="282"/>
      <c r="HS595" s="282"/>
      <c r="HT595" s="282" t="s">
        <v>320</v>
      </c>
      <c r="HU595" s="282"/>
      <c r="HV595" s="282"/>
      <c r="HW595" s="282"/>
      <c r="HX595" s="282"/>
      <c r="HY595" s="282"/>
      <c r="HZ595" s="282" t="s">
        <v>363</v>
      </c>
      <c r="IA595" s="282"/>
      <c r="IB595" s="282" t="s">
        <v>396</v>
      </c>
      <c r="IC595" s="282"/>
      <c r="ID595" s="282" t="s">
        <v>364</v>
      </c>
      <c r="IE595" s="282" t="s">
        <v>335</v>
      </c>
      <c r="IF595" s="282" t="s">
        <v>320</v>
      </c>
      <c r="IG595" s="282" t="s">
        <v>320</v>
      </c>
      <c r="IH595" s="282" t="s">
        <v>320</v>
      </c>
      <c r="II595" s="282" t="s">
        <v>320</v>
      </c>
      <c r="IJ595" s="12" t="str">
        <f t="shared" si="388"/>
        <v>2. Sensitive</v>
      </c>
      <c r="IK595" s="287">
        <f t="shared" si="389"/>
        <v>4</v>
      </c>
      <c r="IL595" s="282" t="s">
        <v>336</v>
      </c>
      <c r="IM595" s="282" t="s">
        <v>320</v>
      </c>
      <c r="IN595" s="282" t="s">
        <v>320</v>
      </c>
      <c r="IO595" s="282" t="s">
        <v>320</v>
      </c>
      <c r="IP595" s="282" t="s">
        <v>320</v>
      </c>
      <c r="IQ595" s="287" t="str">
        <f t="shared" si="390"/>
        <v>2. Accommodating</v>
      </c>
      <c r="IR595" s="287">
        <f t="shared" si="391"/>
        <v>4</v>
      </c>
      <c r="IS595" s="282" t="s">
        <v>622</v>
      </c>
      <c r="IT595" s="282" t="s">
        <v>320</v>
      </c>
      <c r="IU595" s="282" t="s">
        <v>319</v>
      </c>
      <c r="IV595" s="282" t="s">
        <v>319</v>
      </c>
      <c r="IW595" s="11" t="str">
        <f t="shared" si="392"/>
        <v>3. Responsive</v>
      </c>
      <c r="IX595" s="287">
        <f t="shared" si="393"/>
        <v>1</v>
      </c>
      <c r="IY595" s="282" t="s">
        <v>419</v>
      </c>
      <c r="IZ595" s="282" t="s">
        <v>457</v>
      </c>
      <c r="JA595" s="282">
        <v>8</v>
      </c>
      <c r="JB595" s="282" t="s">
        <v>687</v>
      </c>
      <c r="JC595" s="282" t="s">
        <v>651</v>
      </c>
      <c r="JD595" s="282" t="s">
        <v>831</v>
      </c>
      <c r="JE595" s="282" t="s">
        <v>340</v>
      </c>
      <c r="JF595" s="282" t="s">
        <v>9926</v>
      </c>
      <c r="JG595" s="282"/>
      <c r="JH595" s="282"/>
      <c r="JI595" s="282"/>
      <c r="JJ595" s="282"/>
      <c r="JK595" s="282" t="s">
        <v>9927</v>
      </c>
      <c r="JL595" s="282" t="s">
        <v>9928</v>
      </c>
      <c r="JM595" s="282" t="s">
        <v>9929</v>
      </c>
      <c r="JN595" s="282" t="s">
        <v>9930</v>
      </c>
      <c r="JO595" s="282"/>
      <c r="JP595" s="15">
        <f t="shared" si="394"/>
        <v>61541</v>
      </c>
      <c r="JQ595" s="15">
        <f t="shared" si="395"/>
        <v>215393.5</v>
      </c>
      <c r="JR595" s="279">
        <f t="shared" si="396"/>
        <v>3.5</v>
      </c>
      <c r="JS595" s="17">
        <f t="shared" si="397"/>
        <v>0.51000146243967437</v>
      </c>
      <c r="JT595" s="18">
        <f t="shared" si="398"/>
        <v>0.50999914110685796</v>
      </c>
      <c r="JU595" s="280">
        <f t="shared" si="399"/>
        <v>31386</v>
      </c>
      <c r="JV595" s="280">
        <f t="shared" si="400"/>
        <v>109850.5</v>
      </c>
      <c r="JW595" s="319">
        <f t="shared" si="401"/>
        <v>1</v>
      </c>
      <c r="JX595" s="15">
        <f t="shared" si="402"/>
        <v>61541</v>
      </c>
      <c r="JY595" s="15">
        <f t="shared" si="403"/>
        <v>215393.5</v>
      </c>
      <c r="JZ595" s="19">
        <f t="shared" si="404"/>
        <v>3.5</v>
      </c>
      <c r="KA595" s="52">
        <f t="shared" si="405"/>
        <v>1</v>
      </c>
      <c r="KB595" s="15">
        <f t="shared" si="406"/>
        <v>61541</v>
      </c>
      <c r="KC595" s="15">
        <f t="shared" si="407"/>
        <v>215394</v>
      </c>
      <c r="KD595" s="20">
        <f t="shared" si="408"/>
        <v>3.5000081246648578</v>
      </c>
      <c r="KE595" s="52" t="str">
        <f t="shared" si="409"/>
        <v/>
      </c>
      <c r="KF595" s="15">
        <f t="shared" si="410"/>
        <v>0</v>
      </c>
      <c r="KG595" s="15">
        <f t="shared" si="411"/>
        <v>0</v>
      </c>
      <c r="KH595" s="21" t="str">
        <f t="shared" si="412"/>
        <v/>
      </c>
      <c r="KI595" s="52" t="str">
        <f t="shared" si="413"/>
        <v/>
      </c>
      <c r="KJ595" s="15">
        <f t="shared" si="414"/>
        <v>0</v>
      </c>
      <c r="KK595" s="15">
        <f t="shared" si="415"/>
        <v>0</v>
      </c>
      <c r="KL595" s="19" t="str">
        <f t="shared" si="416"/>
        <v/>
      </c>
      <c r="KM595" s="52" t="str">
        <f t="shared" si="417"/>
        <v/>
      </c>
      <c r="KN595" s="22">
        <f t="shared" si="418"/>
        <v>0</v>
      </c>
      <c r="KO595" s="22">
        <f t="shared" si="419"/>
        <v>0</v>
      </c>
      <c r="KP595" s="19" t="str">
        <f t="shared" si="420"/>
        <v/>
      </c>
      <c r="KQ595" s="11" t="str">
        <f t="shared" si="421"/>
        <v>2. Sensitive</v>
      </c>
      <c r="KR595" s="11" t="str">
        <f t="shared" si="422"/>
        <v>2. Accommodating</v>
      </c>
      <c r="KS595" s="11" t="str">
        <f t="shared" si="423"/>
        <v>3. Responsive</v>
      </c>
      <c r="KT595" s="11" t="str">
        <f t="shared" si="424"/>
        <v>It did not develop any specific innovation</v>
      </c>
      <c r="KU595" s="11" t="str">
        <f t="shared" si="425"/>
        <v>Intensive advocacy</v>
      </c>
      <c r="KV595" s="11" t="str">
        <f t="shared" si="426"/>
        <v>It linked and worked with strategic alliances and partners to take tested and effective solutions to scale</v>
      </c>
      <c r="KW595" s="11" t="str">
        <f t="shared" si="427"/>
        <v>Peru - Fortaleciendo la preparación ante el fenomeno del Niño</v>
      </c>
      <c r="KX595" s="11" t="str">
        <f t="shared" si="428"/>
        <v>Fortaleciendo la preparación ante el fenomeno del Niño</v>
      </c>
      <c r="KY595" s="11" t="str">
        <f t="shared" si="429"/>
        <v>Peru</v>
      </c>
      <c r="KZ595" s="12">
        <v>595</v>
      </c>
    </row>
    <row r="596" spans="1:312" x14ac:dyDescent="0.3">
      <c r="A596" s="12" t="s">
        <v>9706</v>
      </c>
      <c r="B596" s="12" t="s">
        <v>2807</v>
      </c>
      <c r="C596" s="12">
        <v>3259</v>
      </c>
      <c r="D596" s="12" t="s">
        <v>10070</v>
      </c>
      <c r="E596" s="277" t="str">
        <f t="shared" si="387"/>
        <v>Peru</v>
      </c>
      <c r="F596" s="12" t="s">
        <v>10071</v>
      </c>
      <c r="G596" s="12" t="s">
        <v>379</v>
      </c>
      <c r="H596" s="12" t="s">
        <v>383</v>
      </c>
      <c r="I596" s="12" t="s">
        <v>384</v>
      </c>
      <c r="J596" s="281" t="s">
        <v>5675</v>
      </c>
      <c r="K596" s="12"/>
      <c r="L596" s="12"/>
      <c r="M596" s="12"/>
      <c r="N596" s="12"/>
      <c r="O596" s="12"/>
      <c r="P596" s="12"/>
      <c r="Q596" s="12"/>
      <c r="R596" s="12"/>
      <c r="S596" s="12"/>
      <c r="T596" s="12"/>
      <c r="U596" s="12"/>
      <c r="V596" s="12"/>
      <c r="W596" s="12"/>
      <c r="X596" s="12"/>
      <c r="Y596" s="12"/>
      <c r="Z596" s="12"/>
      <c r="AA596" s="12"/>
      <c r="AB596" s="12"/>
      <c r="AC596" s="12"/>
      <c r="AD596" s="12"/>
      <c r="BD596" s="13">
        <v>41579</v>
      </c>
      <c r="BE596" s="13">
        <v>42673</v>
      </c>
      <c r="BF596" s="12"/>
      <c r="BG596" s="12" t="s">
        <v>350</v>
      </c>
      <c r="BH596" s="14">
        <v>300000</v>
      </c>
      <c r="BI596" s="12" t="s">
        <v>9757</v>
      </c>
      <c r="BJ596" s="12" t="s">
        <v>9739</v>
      </c>
      <c r="BK596" s="12" t="s">
        <v>9713</v>
      </c>
      <c r="BL596" s="12" t="s">
        <v>9870</v>
      </c>
      <c r="BM596" s="12" t="s">
        <v>10072</v>
      </c>
      <c r="BN596" s="12" t="s">
        <v>9872</v>
      </c>
      <c r="BO596" s="12" t="s">
        <v>319</v>
      </c>
      <c r="BP596" s="12" t="s">
        <v>320</v>
      </c>
      <c r="BQ596" s="12" t="s">
        <v>319</v>
      </c>
      <c r="BR596" s="12" t="s">
        <v>10073</v>
      </c>
      <c r="BS596" s="12" t="s">
        <v>357</v>
      </c>
      <c r="BT596" s="12" t="s">
        <v>10074</v>
      </c>
      <c r="BU596" s="12" t="s">
        <v>10075</v>
      </c>
      <c r="BV596" s="14">
        <v>152</v>
      </c>
      <c r="BW596" s="14">
        <v>0</v>
      </c>
      <c r="BX596" s="14">
        <v>152</v>
      </c>
      <c r="BY596" s="14">
        <v>372</v>
      </c>
      <c r="BZ596" s="14">
        <v>388</v>
      </c>
      <c r="CA596" s="14">
        <v>760</v>
      </c>
      <c r="CB596" s="12" t="s">
        <v>10076</v>
      </c>
      <c r="CD596" s="14"/>
      <c r="CE596" s="14"/>
      <c r="CF596" s="14"/>
      <c r="CG596" s="14"/>
      <c r="CH596" s="14"/>
      <c r="CI596" s="14"/>
      <c r="CJ596" s="12"/>
      <c r="CK596" s="14"/>
      <c r="CL596" s="16"/>
      <c r="CM596" s="14"/>
      <c r="CN596" s="12"/>
      <c r="CO596" s="14"/>
      <c r="CP596" s="16"/>
      <c r="CQ596" s="14"/>
      <c r="CR596" s="12"/>
      <c r="CS596" s="14"/>
      <c r="CT596" s="16"/>
      <c r="CU596" s="14"/>
      <c r="CV596" s="12"/>
      <c r="CW596" s="14"/>
      <c r="CX596" s="16"/>
      <c r="CY596" s="14"/>
      <c r="CZ596" s="12"/>
      <c r="DA596" s="14"/>
      <c r="DB596" s="16"/>
      <c r="DC596" s="14"/>
      <c r="DD596" s="12"/>
      <c r="DE596" s="14"/>
      <c r="DF596" s="16"/>
      <c r="DG596" s="14"/>
      <c r="DH596" s="12"/>
      <c r="DI596" s="14"/>
      <c r="DJ596" s="16"/>
      <c r="DK596" s="14"/>
      <c r="DL596" s="12"/>
      <c r="DM596" s="14"/>
      <c r="DN596" s="16"/>
      <c r="DO596" s="14"/>
      <c r="DP596" s="12"/>
      <c r="DQ596" s="14"/>
      <c r="DR596" s="16"/>
      <c r="DS596" s="14"/>
      <c r="DT596" s="12"/>
      <c r="DU596" s="14"/>
      <c r="DV596" s="16"/>
      <c r="DW596" s="14"/>
      <c r="DX596" s="12"/>
      <c r="DY596" s="14"/>
      <c r="DZ596" s="16"/>
      <c r="EA596" s="14"/>
      <c r="EB596" s="12"/>
      <c r="EC596" s="14"/>
      <c r="ED596" s="16"/>
      <c r="EE596" s="14"/>
      <c r="EF596" s="12"/>
      <c r="EG596" s="12"/>
      <c r="EH596" s="14"/>
      <c r="EI596" s="16"/>
      <c r="EJ596" s="14"/>
      <c r="EK596" s="14">
        <v>152</v>
      </c>
      <c r="EL596" s="14">
        <v>0</v>
      </c>
      <c r="EM596" s="14">
        <v>152</v>
      </c>
      <c r="EN596" s="14">
        <v>372</v>
      </c>
      <c r="EO596" s="14">
        <v>388</v>
      </c>
      <c r="EP596" s="14">
        <v>760</v>
      </c>
      <c r="EQ596" s="12" t="s">
        <v>320</v>
      </c>
      <c r="ER596" s="14">
        <v>20</v>
      </c>
      <c r="ES596" s="16">
        <v>1</v>
      </c>
      <c r="ET596" s="14">
        <v>100</v>
      </c>
      <c r="EU596" s="11" t="s">
        <v>320</v>
      </c>
      <c r="EV596" s="14">
        <v>152</v>
      </c>
      <c r="EW596" s="16">
        <v>1</v>
      </c>
      <c r="EX596" s="14">
        <v>760</v>
      </c>
      <c r="EY596" s="12" t="s">
        <v>319</v>
      </c>
      <c r="EZ596" s="14"/>
      <c r="FA596" s="16"/>
      <c r="FB596" s="14"/>
      <c r="FC596" s="12" t="s">
        <v>319</v>
      </c>
      <c r="FD596" s="14"/>
      <c r="FE596" s="16"/>
      <c r="FF596" s="14"/>
      <c r="FG596" s="12" t="s">
        <v>320</v>
      </c>
      <c r="FH596" s="14">
        <v>152</v>
      </c>
      <c r="FI596" s="16">
        <v>1</v>
      </c>
      <c r="FJ596" s="14">
        <v>760</v>
      </c>
      <c r="FK596" s="12" t="s">
        <v>319</v>
      </c>
      <c r="FL596" s="14"/>
      <c r="FM596" s="16"/>
      <c r="FN596" s="14"/>
      <c r="FO596" s="12" t="s">
        <v>319</v>
      </c>
      <c r="FP596" s="14"/>
      <c r="FQ596" s="16"/>
      <c r="FR596" s="14"/>
      <c r="FS596" s="12" t="s">
        <v>319</v>
      </c>
      <c r="FT596" s="14"/>
      <c r="FU596" s="16"/>
      <c r="FV596" s="14"/>
      <c r="FW596" s="11" t="s">
        <v>320</v>
      </c>
      <c r="FX596" s="14">
        <v>152</v>
      </c>
      <c r="FY596" s="16">
        <v>1</v>
      </c>
      <c r="FZ596" s="14">
        <v>760</v>
      </c>
      <c r="GA596" s="12" t="s">
        <v>319</v>
      </c>
      <c r="GB596" s="14"/>
      <c r="GC596" s="16"/>
      <c r="GD596" s="14"/>
      <c r="GE596" s="12" t="s">
        <v>320</v>
      </c>
      <c r="GF596" s="14">
        <v>152</v>
      </c>
      <c r="GG596" s="16">
        <v>1</v>
      </c>
      <c r="GH596" s="14">
        <v>760</v>
      </c>
      <c r="GI596" s="12" t="s">
        <v>319</v>
      </c>
      <c r="GJ596" s="14"/>
      <c r="GK596" s="16"/>
      <c r="GL596" s="14"/>
      <c r="GM596" s="11" t="s">
        <v>320</v>
      </c>
      <c r="GN596" s="14">
        <v>12</v>
      </c>
      <c r="GO596" s="16">
        <v>1</v>
      </c>
      <c r="GP596" s="14">
        <v>48</v>
      </c>
      <c r="GQ596" s="12" t="s">
        <v>319</v>
      </c>
      <c r="GR596" s="14"/>
      <c r="GS596" s="16"/>
      <c r="GT596" s="14"/>
      <c r="GU596" s="12" t="s">
        <v>319</v>
      </c>
      <c r="GV596" s="14"/>
      <c r="GW596" s="16"/>
      <c r="GX596" s="14"/>
      <c r="GY596" s="11" t="s">
        <v>320</v>
      </c>
      <c r="GZ596" s="14">
        <v>152</v>
      </c>
      <c r="HA596" s="16">
        <v>1</v>
      </c>
      <c r="HB596" s="14">
        <v>760</v>
      </c>
      <c r="HC596" s="12"/>
      <c r="HD596" s="12"/>
      <c r="HE596" s="14"/>
      <c r="HF596" s="16"/>
      <c r="HG596" s="14"/>
      <c r="HH596" s="12" t="s">
        <v>320</v>
      </c>
      <c r="HI596" s="12" t="s">
        <v>415</v>
      </c>
      <c r="HJ596" s="12">
        <v>2016</v>
      </c>
      <c r="HK596" s="12" t="s">
        <v>320</v>
      </c>
      <c r="HL596" s="12" t="s">
        <v>319</v>
      </c>
      <c r="HM596" s="12"/>
      <c r="HN596" s="12"/>
      <c r="HO596" s="12" t="s">
        <v>10077</v>
      </c>
      <c r="HP596" s="12" t="s">
        <v>330</v>
      </c>
      <c r="HQ596" s="12" t="s">
        <v>319</v>
      </c>
      <c r="HR596" s="12" t="s">
        <v>319</v>
      </c>
      <c r="HS596" s="12" t="s">
        <v>320</v>
      </c>
      <c r="HT596" s="12" t="s">
        <v>320</v>
      </c>
      <c r="HU596" s="12" t="s">
        <v>320</v>
      </c>
      <c r="HV596" s="12" t="s">
        <v>319</v>
      </c>
      <c r="HW596" s="12" t="s">
        <v>320</v>
      </c>
      <c r="HX596" s="12"/>
      <c r="HY596" s="12"/>
      <c r="HZ596" s="11" t="s">
        <v>331</v>
      </c>
      <c r="IA596" s="12" t="s">
        <v>10078</v>
      </c>
      <c r="IB596" s="12" t="s">
        <v>396</v>
      </c>
      <c r="IC596" s="12" t="s">
        <v>10079</v>
      </c>
      <c r="ID596" s="12" t="s">
        <v>334</v>
      </c>
      <c r="IE596" s="31" t="s">
        <v>335</v>
      </c>
      <c r="IF596" s="31" t="s">
        <v>320</v>
      </c>
      <c r="IG596" s="31" t="s">
        <v>320</v>
      </c>
      <c r="IH596" s="31" t="s">
        <v>320</v>
      </c>
      <c r="II596" s="31" t="s">
        <v>320</v>
      </c>
      <c r="IJ596" s="12" t="str">
        <f t="shared" si="388"/>
        <v>2. Sensitive</v>
      </c>
      <c r="IK596" s="12">
        <f t="shared" si="389"/>
        <v>4</v>
      </c>
      <c r="IL596" s="11" t="s">
        <v>621</v>
      </c>
      <c r="IM596" s="12" t="s">
        <v>320</v>
      </c>
      <c r="IN596" s="12" t="s">
        <v>320</v>
      </c>
      <c r="IO596" s="12" t="s">
        <v>320</v>
      </c>
      <c r="IP596" s="12" t="s">
        <v>320</v>
      </c>
      <c r="IQ596" s="12" t="str">
        <f t="shared" si="390"/>
        <v>4. Transformational</v>
      </c>
      <c r="IR596" s="12">
        <f t="shared" si="391"/>
        <v>4</v>
      </c>
      <c r="IS596" s="12" t="s">
        <v>337</v>
      </c>
      <c r="IT596" s="12" t="s">
        <v>320</v>
      </c>
      <c r="IU596" s="12" t="s">
        <v>320</v>
      </c>
      <c r="IV596" s="12" t="s">
        <v>320</v>
      </c>
      <c r="IW596" s="11" t="str">
        <f t="shared" si="392"/>
        <v>2. Sensitive</v>
      </c>
      <c r="IX596" s="12">
        <f t="shared" si="393"/>
        <v>3</v>
      </c>
      <c r="IY596" s="12" t="s">
        <v>758</v>
      </c>
      <c r="IZ596" s="12" t="s">
        <v>432</v>
      </c>
      <c r="JA596" s="12">
        <v>3</v>
      </c>
      <c r="JB596" s="12" t="s">
        <v>687</v>
      </c>
      <c r="JC596" s="12" t="s">
        <v>585</v>
      </c>
      <c r="JD596" s="12"/>
      <c r="JE596" s="12" t="s">
        <v>340</v>
      </c>
      <c r="JF596" s="12" t="s">
        <v>10080</v>
      </c>
      <c r="JG596" s="12" t="s">
        <v>10081</v>
      </c>
      <c r="JH596" s="12" t="s">
        <v>10082</v>
      </c>
      <c r="JI596" s="12" t="s">
        <v>10083</v>
      </c>
      <c r="JJ596" s="12" t="s">
        <v>10084</v>
      </c>
      <c r="JK596" s="12" t="s">
        <v>10085</v>
      </c>
      <c r="JL596" s="12" t="s">
        <v>10086</v>
      </c>
      <c r="JM596" s="12" t="s">
        <v>10087</v>
      </c>
      <c r="JN596" s="12"/>
      <c r="JO596" s="12" t="s">
        <v>10088</v>
      </c>
      <c r="JP596" s="15">
        <f t="shared" si="394"/>
        <v>152</v>
      </c>
      <c r="JQ596" s="15">
        <f t="shared" si="395"/>
        <v>760</v>
      </c>
      <c r="JR596" s="279">
        <f t="shared" si="396"/>
        <v>5</v>
      </c>
      <c r="JS596" s="17">
        <f t="shared" si="397"/>
        <v>1</v>
      </c>
      <c r="JT596" s="18">
        <f t="shared" si="398"/>
        <v>0.48947368421052634</v>
      </c>
      <c r="JU596" s="280">
        <f t="shared" si="399"/>
        <v>152</v>
      </c>
      <c r="JV596" s="280">
        <f t="shared" si="400"/>
        <v>372</v>
      </c>
      <c r="JW596" s="319" t="str">
        <f t="shared" si="401"/>
        <v/>
      </c>
      <c r="JX596" s="15">
        <f t="shared" si="402"/>
        <v>0</v>
      </c>
      <c r="JY596" s="15">
        <f t="shared" si="403"/>
        <v>0</v>
      </c>
      <c r="JZ596" s="19" t="str">
        <f t="shared" si="404"/>
        <v/>
      </c>
      <c r="KA596" s="52">
        <f t="shared" si="405"/>
        <v>1</v>
      </c>
      <c r="KB596" s="15">
        <f t="shared" si="406"/>
        <v>152</v>
      </c>
      <c r="KC596" s="15">
        <f t="shared" si="407"/>
        <v>760</v>
      </c>
      <c r="KD596" s="20">
        <f t="shared" si="408"/>
        <v>5</v>
      </c>
      <c r="KE596" s="52" t="str">
        <f t="shared" si="409"/>
        <v/>
      </c>
      <c r="KF596" s="15">
        <f t="shared" si="410"/>
        <v>0</v>
      </c>
      <c r="KG596" s="15">
        <f t="shared" si="411"/>
        <v>0</v>
      </c>
      <c r="KH596" s="21" t="str">
        <f t="shared" si="412"/>
        <v/>
      </c>
      <c r="KI596" s="52" t="str">
        <f t="shared" si="413"/>
        <v/>
      </c>
      <c r="KJ596" s="15">
        <f t="shared" si="414"/>
        <v>0</v>
      </c>
      <c r="KK596" s="15">
        <f t="shared" si="415"/>
        <v>0</v>
      </c>
      <c r="KL596" s="19" t="str">
        <f t="shared" si="416"/>
        <v/>
      </c>
      <c r="KM596" s="52">
        <f t="shared" si="417"/>
        <v>1</v>
      </c>
      <c r="KN596" s="22">
        <f t="shared" si="418"/>
        <v>152</v>
      </c>
      <c r="KO596" s="22">
        <f t="shared" si="419"/>
        <v>760</v>
      </c>
      <c r="KP596" s="19">
        <f t="shared" si="420"/>
        <v>5</v>
      </c>
      <c r="KQ596" s="11" t="str">
        <f t="shared" si="421"/>
        <v>2. Sensitive</v>
      </c>
      <c r="KR596" s="11" t="str">
        <f t="shared" si="422"/>
        <v>4. Transformational</v>
      </c>
      <c r="KS596" s="11" t="str">
        <f t="shared" si="423"/>
        <v>2. Sensitive</v>
      </c>
      <c r="KT596" s="11" t="str">
        <f t="shared" si="424"/>
        <v>It tested new ways for fighting poverty and measured results of innovation</v>
      </c>
      <c r="KU596" s="11" t="str">
        <f t="shared" si="425"/>
        <v>Moderate advocacy</v>
      </c>
      <c r="KV596" s="11" t="str">
        <f t="shared" si="426"/>
        <v>It linked and worked with strategic alliances and partners to take tested and effective solutions to scale</v>
      </c>
      <c r="KW596" s="11" t="str">
        <f t="shared" si="427"/>
        <v>Peru - Fortalecimiento de las capacidades y de los medios de vida para los productores de alcachofa de concepción</v>
      </c>
      <c r="KX596" s="11" t="str">
        <f t="shared" si="428"/>
        <v>Fortalecimiento de las capacidades y de los medios de vida para los productores de alcachofa de concepción</v>
      </c>
      <c r="KY596" s="11" t="str">
        <f t="shared" si="429"/>
        <v>Peru</v>
      </c>
      <c r="KZ596" s="287">
        <v>596</v>
      </c>
    </row>
    <row r="597" spans="1:312" x14ac:dyDescent="0.3">
      <c r="A597" s="12" t="s">
        <v>9706</v>
      </c>
      <c r="B597" s="12" t="s">
        <v>2807</v>
      </c>
      <c r="C597" s="12">
        <v>3255</v>
      </c>
      <c r="D597" s="12" t="s">
        <v>10186</v>
      </c>
      <c r="E597" s="277" t="str">
        <f t="shared" si="387"/>
        <v>Peru</v>
      </c>
      <c r="F597" s="12">
        <v>3255</v>
      </c>
      <c r="G597" s="12" t="s">
        <v>608</v>
      </c>
      <c r="H597" s="12" t="s">
        <v>310</v>
      </c>
      <c r="I597" s="12" t="s">
        <v>1285</v>
      </c>
      <c r="J597" s="281" t="s">
        <v>14734</v>
      </c>
      <c r="K597" s="12"/>
      <c r="L597" s="12"/>
      <c r="M597" s="12"/>
      <c r="N597" s="12"/>
      <c r="O597" s="12"/>
      <c r="P597" s="12"/>
      <c r="Q597" s="12"/>
      <c r="R597" s="12"/>
      <c r="S597" s="12"/>
      <c r="T597" s="12"/>
      <c r="U597" s="12"/>
      <c r="V597" s="12"/>
      <c r="W597" s="12"/>
      <c r="X597" s="12"/>
      <c r="Y597" s="12"/>
      <c r="Z597" s="12"/>
      <c r="AA597" s="12"/>
      <c r="AB597" s="12"/>
      <c r="AC597" s="12"/>
      <c r="AD597" s="12"/>
      <c r="BD597" s="13">
        <v>42248</v>
      </c>
      <c r="BE597" s="13">
        <v>43343</v>
      </c>
      <c r="BF597" s="13">
        <v>43465</v>
      </c>
      <c r="BG597" s="12" t="s">
        <v>749</v>
      </c>
      <c r="BH597" s="14">
        <v>2759000</v>
      </c>
      <c r="BI597" s="12" t="s">
        <v>10187</v>
      </c>
      <c r="BJ597" s="12" t="s">
        <v>10188</v>
      </c>
      <c r="BK597" s="12" t="s">
        <v>10189</v>
      </c>
      <c r="BL597" s="12" t="s">
        <v>10190</v>
      </c>
      <c r="BM597" s="12" t="s">
        <v>10191</v>
      </c>
      <c r="BN597" s="12" t="s">
        <v>10192</v>
      </c>
      <c r="BO597" s="11" t="s">
        <v>319</v>
      </c>
      <c r="BP597" s="11" t="s">
        <v>320</v>
      </c>
      <c r="BQ597" s="11" t="s">
        <v>319</v>
      </c>
      <c r="BR597" s="12" t="s">
        <v>10193</v>
      </c>
      <c r="BS597" s="12" t="s">
        <v>357</v>
      </c>
      <c r="BT597" s="12" t="s">
        <v>10194</v>
      </c>
      <c r="BU597" s="12" t="s">
        <v>10195</v>
      </c>
      <c r="BV597" s="14">
        <v>200</v>
      </c>
      <c r="BW597" s="14">
        <v>300</v>
      </c>
      <c r="BX597" s="14">
        <v>500</v>
      </c>
      <c r="BY597" s="14">
        <v>71400</v>
      </c>
      <c r="BZ597" s="14">
        <v>107100</v>
      </c>
      <c r="CA597" s="14">
        <v>178500</v>
      </c>
      <c r="CB597" s="12" t="s">
        <v>10196</v>
      </c>
      <c r="CD597" s="14"/>
      <c r="CE597" s="14"/>
      <c r="CF597" s="14"/>
      <c r="CG597" s="14"/>
      <c r="CH597" s="14"/>
      <c r="CI597" s="14"/>
      <c r="CJ597" s="12"/>
      <c r="CK597" s="14"/>
      <c r="CL597" s="16"/>
      <c r="CM597" s="14"/>
      <c r="CN597" s="12"/>
      <c r="CO597" s="14"/>
      <c r="CP597" s="16"/>
      <c r="CQ597" s="14"/>
      <c r="CR597" s="12"/>
      <c r="CS597" s="14"/>
      <c r="CT597" s="16"/>
      <c r="CU597" s="14"/>
      <c r="CV597" s="12"/>
      <c r="CW597" s="14"/>
      <c r="CX597" s="16"/>
      <c r="CY597" s="14"/>
      <c r="CZ597" s="12"/>
      <c r="DA597" s="14"/>
      <c r="DB597" s="16"/>
      <c r="DC597" s="14"/>
      <c r="DD597" s="12"/>
      <c r="DE597" s="14"/>
      <c r="DF597" s="16"/>
      <c r="DG597" s="14"/>
      <c r="DH597" s="12"/>
      <c r="DI597" s="14"/>
      <c r="DJ597" s="16"/>
      <c r="DK597" s="14"/>
      <c r="DL597" s="12"/>
      <c r="DM597" s="14"/>
      <c r="DN597" s="16"/>
      <c r="DO597" s="14"/>
      <c r="DP597" s="12"/>
      <c r="DQ597" s="14"/>
      <c r="DR597" s="16"/>
      <c r="DS597" s="14"/>
      <c r="DT597" s="12"/>
      <c r="DU597" s="14"/>
      <c r="DV597" s="16"/>
      <c r="DW597" s="14"/>
      <c r="DX597" s="12"/>
      <c r="DY597" s="14"/>
      <c r="DZ597" s="16"/>
      <c r="EA597" s="14"/>
      <c r="EB597" s="12"/>
      <c r="EC597" s="14"/>
      <c r="ED597" s="16"/>
      <c r="EE597" s="14"/>
      <c r="EF597" s="12"/>
      <c r="EG597" s="12"/>
      <c r="EH597" s="14"/>
      <c r="EI597" s="16"/>
      <c r="EJ597" s="14"/>
      <c r="EK597" s="14">
        <v>148</v>
      </c>
      <c r="EL597" s="14">
        <v>222</v>
      </c>
      <c r="EM597" s="14">
        <v>370</v>
      </c>
      <c r="EN597" s="14">
        <v>71400</v>
      </c>
      <c r="EO597" s="14">
        <v>107100</v>
      </c>
      <c r="EP597" s="14">
        <v>178500</v>
      </c>
      <c r="EQ597" s="12"/>
      <c r="ER597" s="14"/>
      <c r="ES597" s="16"/>
      <c r="ET597" s="14"/>
      <c r="EU597" s="11" t="s">
        <v>320</v>
      </c>
      <c r="EV597" s="14">
        <v>370</v>
      </c>
      <c r="EW597" s="16">
        <v>0.4</v>
      </c>
      <c r="EX597" s="14"/>
      <c r="EY597" s="12"/>
      <c r="EZ597" s="14"/>
      <c r="FA597" s="16"/>
      <c r="FB597" s="14"/>
      <c r="FC597" s="12" t="s">
        <v>320</v>
      </c>
      <c r="FD597" s="14">
        <v>370</v>
      </c>
      <c r="FE597" s="16">
        <v>0.4</v>
      </c>
      <c r="FF597" s="14">
        <v>178500</v>
      </c>
      <c r="FG597" s="12"/>
      <c r="FH597" s="14"/>
      <c r="FI597" s="16"/>
      <c r="FJ597" s="14"/>
      <c r="FK597" s="12"/>
      <c r="FL597" s="14"/>
      <c r="FM597" s="16"/>
      <c r="FN597" s="14"/>
      <c r="FO597" s="12"/>
      <c r="FP597" s="14"/>
      <c r="FQ597" s="16"/>
      <c r="FR597" s="14"/>
      <c r="FS597" s="12"/>
      <c r="FT597" s="14"/>
      <c r="FU597" s="16"/>
      <c r="FV597" s="14"/>
      <c r="FW597" s="12"/>
      <c r="FX597" s="14"/>
      <c r="FY597" s="16"/>
      <c r="FZ597" s="14"/>
      <c r="GA597" s="12"/>
      <c r="GB597" s="14"/>
      <c r="GC597" s="16"/>
      <c r="GD597" s="14"/>
      <c r="GE597" s="12"/>
      <c r="GF597" s="14"/>
      <c r="GG597" s="16"/>
      <c r="GH597" s="14"/>
      <c r="GI597" s="12"/>
      <c r="GJ597" s="14"/>
      <c r="GK597" s="16"/>
      <c r="GL597" s="14"/>
      <c r="GM597" s="12"/>
      <c r="GN597" s="14"/>
      <c r="GO597" s="16"/>
      <c r="GP597" s="14"/>
      <c r="GQ597" s="12"/>
      <c r="GR597" s="14"/>
      <c r="GS597" s="16"/>
      <c r="GT597" s="14"/>
      <c r="GU597" s="12"/>
      <c r="GV597" s="14"/>
      <c r="GW597" s="16"/>
      <c r="GX597" s="14"/>
      <c r="GY597" s="12"/>
      <c r="GZ597" s="14"/>
      <c r="HA597" s="16"/>
      <c r="HB597" s="14"/>
      <c r="HC597" s="12"/>
      <c r="HD597" s="12"/>
      <c r="HE597" s="14"/>
      <c r="HF597" s="16"/>
      <c r="HG597" s="14"/>
      <c r="HH597" s="12" t="s">
        <v>320</v>
      </c>
      <c r="HI597" s="12" t="s">
        <v>431</v>
      </c>
      <c r="HJ597" s="12">
        <v>2016</v>
      </c>
      <c r="HK597" s="12" t="s">
        <v>319</v>
      </c>
      <c r="HL597" s="12" t="s">
        <v>320</v>
      </c>
      <c r="HM597" s="12" t="s">
        <v>619</v>
      </c>
      <c r="HN597" s="12"/>
      <c r="HO597" s="12" t="s">
        <v>10197</v>
      </c>
      <c r="HP597" s="12" t="s">
        <v>330</v>
      </c>
      <c r="HQ597" s="12" t="s">
        <v>320</v>
      </c>
      <c r="HR597" s="12" t="s">
        <v>319</v>
      </c>
      <c r="HS597" s="12" t="s">
        <v>320</v>
      </c>
      <c r="HT597" s="12" t="s">
        <v>320</v>
      </c>
      <c r="HU597" s="12" t="s">
        <v>320</v>
      </c>
      <c r="HV597" s="12" t="s">
        <v>320</v>
      </c>
      <c r="HW597" s="12" t="s">
        <v>320</v>
      </c>
      <c r="HX597" s="12" t="s">
        <v>319</v>
      </c>
      <c r="HY597" s="12"/>
      <c r="HZ597" s="12" t="s">
        <v>394</v>
      </c>
      <c r="IA597" s="12" t="s">
        <v>10198</v>
      </c>
      <c r="IB597" s="12" t="s">
        <v>396</v>
      </c>
      <c r="IC597" s="12" t="s">
        <v>10199</v>
      </c>
      <c r="ID597" s="11" t="s">
        <v>364</v>
      </c>
      <c r="IE597" s="12" t="s">
        <v>335</v>
      </c>
      <c r="IF597" s="12" t="s">
        <v>320</v>
      </c>
      <c r="IG597" s="12" t="s">
        <v>320</v>
      </c>
      <c r="IH597" s="12" t="s">
        <v>320</v>
      </c>
      <c r="II597" s="12" t="s">
        <v>320</v>
      </c>
      <c r="IJ597" s="12" t="str">
        <f t="shared" si="388"/>
        <v>2. Sensitive</v>
      </c>
      <c r="IK597" s="12">
        <f t="shared" si="389"/>
        <v>4</v>
      </c>
      <c r="IL597" s="12" t="s">
        <v>336</v>
      </c>
      <c r="IM597" s="12" t="s">
        <v>320</v>
      </c>
      <c r="IN597" s="12" t="s">
        <v>320</v>
      </c>
      <c r="IO597" s="12" t="s">
        <v>320</v>
      </c>
      <c r="IP597" s="12" t="s">
        <v>320</v>
      </c>
      <c r="IQ597" s="12" t="str">
        <f t="shared" si="390"/>
        <v>2. Accommodating</v>
      </c>
      <c r="IR597" s="12">
        <f t="shared" si="391"/>
        <v>4</v>
      </c>
      <c r="IS597" s="12" t="s">
        <v>337</v>
      </c>
      <c r="IT597" s="12" t="s">
        <v>320</v>
      </c>
      <c r="IU597" s="12" t="s">
        <v>320</v>
      </c>
      <c r="IV597" s="12" t="s">
        <v>320</v>
      </c>
      <c r="IW597" s="11" t="str">
        <f t="shared" si="392"/>
        <v>2. Sensitive</v>
      </c>
      <c r="IX597" s="12">
        <f t="shared" si="393"/>
        <v>3</v>
      </c>
      <c r="IY597" s="11" t="s">
        <v>419</v>
      </c>
      <c r="IZ597" s="12" t="s">
        <v>432</v>
      </c>
      <c r="JA597" s="12">
        <v>15</v>
      </c>
      <c r="JB597" s="11" t="s">
        <v>623</v>
      </c>
      <c r="JC597" s="11" t="s">
        <v>687</v>
      </c>
      <c r="JD597" s="11" t="s">
        <v>585</v>
      </c>
      <c r="JE597" s="12" t="s">
        <v>365</v>
      </c>
      <c r="JF597" s="12" t="s">
        <v>10200</v>
      </c>
      <c r="JG597" s="12" t="s">
        <v>10201</v>
      </c>
      <c r="JH597" s="12" t="s">
        <v>10202</v>
      </c>
      <c r="JI597" s="12" t="s">
        <v>10203</v>
      </c>
      <c r="JJ597" s="12" t="s">
        <v>10204</v>
      </c>
      <c r="JK597" s="12" t="s">
        <v>10205</v>
      </c>
      <c r="JL597" s="12" t="s">
        <v>10206</v>
      </c>
      <c r="JM597" s="12" t="s">
        <v>10207</v>
      </c>
      <c r="JN597" s="12" t="s">
        <v>10208</v>
      </c>
      <c r="JO597" s="12"/>
      <c r="JP597" s="15">
        <f t="shared" si="394"/>
        <v>370</v>
      </c>
      <c r="JQ597" s="15">
        <f t="shared" si="395"/>
        <v>178500</v>
      </c>
      <c r="JR597" s="279">
        <f t="shared" si="396"/>
        <v>482.43243243243245</v>
      </c>
      <c r="JS597" s="17">
        <f t="shared" si="397"/>
        <v>0.4</v>
      </c>
      <c r="JT597" s="18">
        <f t="shared" si="398"/>
        <v>0.4</v>
      </c>
      <c r="JU597" s="280">
        <f t="shared" si="399"/>
        <v>148</v>
      </c>
      <c r="JV597" s="280">
        <f t="shared" si="400"/>
        <v>71400</v>
      </c>
      <c r="JW597" s="319" t="str">
        <f t="shared" si="401"/>
        <v/>
      </c>
      <c r="JX597" s="15">
        <f t="shared" si="402"/>
        <v>0</v>
      </c>
      <c r="JY597" s="15">
        <f t="shared" si="403"/>
        <v>0</v>
      </c>
      <c r="JZ597" s="19" t="str">
        <f t="shared" si="404"/>
        <v/>
      </c>
      <c r="KA597" s="52">
        <f t="shared" si="405"/>
        <v>1</v>
      </c>
      <c r="KB597" s="15">
        <f t="shared" si="406"/>
        <v>370</v>
      </c>
      <c r="KC597" s="15">
        <f t="shared" si="407"/>
        <v>178500</v>
      </c>
      <c r="KD597" s="20">
        <f t="shared" si="408"/>
        <v>482.43243243243245</v>
      </c>
      <c r="KE597" s="52" t="str">
        <f t="shared" si="409"/>
        <v/>
      </c>
      <c r="KF597" s="15">
        <f t="shared" si="410"/>
        <v>0</v>
      </c>
      <c r="KG597" s="15">
        <f t="shared" si="411"/>
        <v>0</v>
      </c>
      <c r="KH597" s="21" t="str">
        <f t="shared" si="412"/>
        <v/>
      </c>
      <c r="KI597" s="52" t="str">
        <f t="shared" si="413"/>
        <v/>
      </c>
      <c r="KJ597" s="15">
        <f t="shared" si="414"/>
        <v>0</v>
      </c>
      <c r="KK597" s="15">
        <f t="shared" si="415"/>
        <v>0</v>
      </c>
      <c r="KL597" s="19" t="str">
        <f t="shared" si="416"/>
        <v/>
      </c>
      <c r="KM597" s="52" t="str">
        <f t="shared" si="417"/>
        <v/>
      </c>
      <c r="KN597" s="22">
        <f t="shared" si="418"/>
        <v>0</v>
      </c>
      <c r="KO597" s="22">
        <f t="shared" si="419"/>
        <v>0</v>
      </c>
      <c r="KP597" s="19" t="str">
        <f t="shared" si="420"/>
        <v/>
      </c>
      <c r="KQ597" s="11" t="str">
        <f t="shared" si="421"/>
        <v>2. Sensitive</v>
      </c>
      <c r="KR597" s="11" t="str">
        <f t="shared" si="422"/>
        <v>2. Accommodating</v>
      </c>
      <c r="KS597" s="11" t="str">
        <f t="shared" si="423"/>
        <v>2. Sensitive</v>
      </c>
      <c r="KT597" s="11" t="str">
        <f t="shared" si="424"/>
        <v>It tested new ways for fighting poverty, but did not measure results of innovation</v>
      </c>
      <c r="KU597" s="11" t="str">
        <f t="shared" si="425"/>
        <v>Moderate advocacy</v>
      </c>
      <c r="KV597" s="11" t="str">
        <f t="shared" si="426"/>
        <v>It linked and worked with strategic alliances and partners to take tested and effective solutions to scale</v>
      </c>
      <c r="KW597" s="11" t="str">
        <f t="shared" si="427"/>
        <v>Peru - GESTION DEL RIESGO Y USO PRODUCTIVO DEL AGUA PROCEDENTE DE GLACIARES: GLACIARES+</v>
      </c>
      <c r="KX597" s="11" t="str">
        <f t="shared" si="428"/>
        <v>GESTION DEL RIESGO Y USO PRODUCTIVO DEL AGUA PROCEDENTE DE GLACIARES: GLACIARES+</v>
      </c>
      <c r="KY597" s="11" t="str">
        <f t="shared" si="429"/>
        <v>Peru</v>
      </c>
      <c r="KZ597" s="12">
        <v>597</v>
      </c>
    </row>
    <row r="598" spans="1:312" x14ac:dyDescent="0.3">
      <c r="A598" s="12" t="s">
        <v>9706</v>
      </c>
      <c r="B598" s="12" t="s">
        <v>2807</v>
      </c>
      <c r="C598" s="12"/>
      <c r="D598" s="12" t="s">
        <v>9931</v>
      </c>
      <c r="E598" s="277" t="str">
        <f t="shared" si="387"/>
        <v>Peru</v>
      </c>
      <c r="F598" s="12" t="s">
        <v>9932</v>
      </c>
      <c r="G598" s="12" t="s">
        <v>9835</v>
      </c>
      <c r="H598" s="12" t="s">
        <v>384</v>
      </c>
      <c r="I598" s="12" t="s">
        <v>384</v>
      </c>
      <c r="J598" s="281" t="s">
        <v>9933</v>
      </c>
      <c r="K598" s="12"/>
      <c r="L598" s="12"/>
      <c r="M598" s="12"/>
      <c r="N598" s="12"/>
      <c r="O598" s="12"/>
      <c r="P598" s="12"/>
      <c r="Q598" s="12"/>
      <c r="R598" s="12"/>
      <c r="S598" s="12"/>
      <c r="T598" s="12"/>
      <c r="U598" s="12"/>
      <c r="V598" s="12"/>
      <c r="W598" s="12"/>
      <c r="X598" s="12"/>
      <c r="Y598" s="12"/>
      <c r="Z598" s="12"/>
      <c r="AA598" s="12"/>
      <c r="AB598" s="12"/>
      <c r="AC598" s="12"/>
      <c r="AD598" s="12"/>
      <c r="BD598" s="13">
        <v>42401</v>
      </c>
      <c r="BE598" s="13">
        <v>42735</v>
      </c>
      <c r="BF598" s="12"/>
      <c r="BG598" s="12" t="s">
        <v>749</v>
      </c>
      <c r="BH598" s="14">
        <v>132000</v>
      </c>
      <c r="BI598" s="12" t="s">
        <v>9837</v>
      </c>
      <c r="BJ598" s="12" t="s">
        <v>9838</v>
      </c>
      <c r="BK598" s="12" t="s">
        <v>9839</v>
      </c>
      <c r="BL598" s="12" t="s">
        <v>9757</v>
      </c>
      <c r="BM598" s="12" t="s">
        <v>9712</v>
      </c>
      <c r="BN598" s="12" t="s">
        <v>9713</v>
      </c>
      <c r="BO598" s="11" t="s">
        <v>319</v>
      </c>
      <c r="BP598" s="11" t="s">
        <v>320</v>
      </c>
      <c r="BQ598" s="11" t="s">
        <v>319</v>
      </c>
      <c r="BR598" s="12" t="s">
        <v>9934</v>
      </c>
      <c r="BS598" s="12" t="s">
        <v>322</v>
      </c>
      <c r="BT598" s="12" t="s">
        <v>9935</v>
      </c>
      <c r="BU598" s="12" t="s">
        <v>9936</v>
      </c>
      <c r="BV598" s="14">
        <v>35</v>
      </c>
      <c r="BW598" s="14">
        <v>43</v>
      </c>
      <c r="BX598" s="14">
        <v>78</v>
      </c>
      <c r="BY598" s="14">
        <v>371858</v>
      </c>
      <c r="BZ598" s="14">
        <v>367423</v>
      </c>
      <c r="CA598" s="14">
        <v>739281</v>
      </c>
      <c r="CB598" s="12" t="s">
        <v>9937</v>
      </c>
      <c r="CD598" s="14"/>
      <c r="CE598" s="14"/>
      <c r="CF598" s="14"/>
      <c r="CG598" s="14"/>
      <c r="CH598" s="14"/>
      <c r="CI598" s="14"/>
      <c r="CJ598" s="12"/>
      <c r="CK598" s="14"/>
      <c r="CL598" s="16"/>
      <c r="CM598" s="14"/>
      <c r="CN598" s="12"/>
      <c r="CO598" s="14"/>
      <c r="CP598" s="16"/>
      <c r="CQ598" s="14"/>
      <c r="CR598" s="12"/>
      <c r="CS598" s="14"/>
      <c r="CT598" s="16"/>
      <c r="CU598" s="14"/>
      <c r="CV598" s="12"/>
      <c r="CW598" s="14"/>
      <c r="CX598" s="16"/>
      <c r="CY598" s="14"/>
      <c r="CZ598" s="12"/>
      <c r="DA598" s="14"/>
      <c r="DB598" s="16"/>
      <c r="DC598" s="14"/>
      <c r="DD598" s="12"/>
      <c r="DE598" s="14"/>
      <c r="DF598" s="16"/>
      <c r="DG598" s="14"/>
      <c r="DH598" s="12"/>
      <c r="DI598" s="14"/>
      <c r="DJ598" s="16"/>
      <c r="DK598" s="14"/>
      <c r="DL598" s="12"/>
      <c r="DM598" s="14"/>
      <c r="DN598" s="16"/>
      <c r="DO598" s="14"/>
      <c r="DP598" s="12"/>
      <c r="DQ598" s="14"/>
      <c r="DR598" s="16"/>
      <c r="DS598" s="14"/>
      <c r="DT598" s="12"/>
      <c r="DU598" s="14"/>
      <c r="DV598" s="16"/>
      <c r="DW598" s="14"/>
      <c r="DX598" s="12"/>
      <c r="DY598" s="14"/>
      <c r="DZ598" s="16"/>
      <c r="EA598" s="14"/>
      <c r="EB598" s="12"/>
      <c r="EC598" s="14"/>
      <c r="ED598" s="16"/>
      <c r="EE598" s="14"/>
      <c r="EF598" s="12"/>
      <c r="EG598" s="12"/>
      <c r="EH598" s="14"/>
      <c r="EI598" s="16"/>
      <c r="EJ598" s="14"/>
      <c r="EK598" s="14">
        <v>35</v>
      </c>
      <c r="EL598" s="14">
        <v>43</v>
      </c>
      <c r="EM598" s="14">
        <v>78</v>
      </c>
      <c r="EN598" s="14">
        <v>371858</v>
      </c>
      <c r="EO598" s="14">
        <v>367423</v>
      </c>
      <c r="EP598" s="14">
        <v>739281</v>
      </c>
      <c r="EQ598" s="12"/>
      <c r="ER598" s="14"/>
      <c r="ES598" s="16"/>
      <c r="ET598" s="14"/>
      <c r="EU598" s="12"/>
      <c r="EV598" s="14"/>
      <c r="EW598" s="16"/>
      <c r="EX598" s="14"/>
      <c r="EY598" s="12"/>
      <c r="EZ598" s="14"/>
      <c r="FA598" s="16"/>
      <c r="FB598" s="14"/>
      <c r="FC598" s="12"/>
      <c r="FD598" s="14"/>
      <c r="FE598" s="16"/>
      <c r="FF598" s="14"/>
      <c r="FG598" s="12"/>
      <c r="FH598" s="14"/>
      <c r="FI598" s="16"/>
      <c r="FJ598" s="14"/>
      <c r="FK598" s="12"/>
      <c r="FL598" s="14"/>
      <c r="FM598" s="16"/>
      <c r="FN598" s="14"/>
      <c r="FO598" s="12" t="s">
        <v>320</v>
      </c>
      <c r="FP598" s="14">
        <v>78</v>
      </c>
      <c r="FQ598" s="16">
        <v>0.44900000000000001</v>
      </c>
      <c r="FR598" s="14">
        <v>739281</v>
      </c>
      <c r="FS598" s="12"/>
      <c r="FT598" s="14"/>
      <c r="FU598" s="16"/>
      <c r="FV598" s="14"/>
      <c r="FW598" s="12"/>
      <c r="FX598" s="14"/>
      <c r="FY598" s="16"/>
      <c r="FZ598" s="14"/>
      <c r="GA598" s="12"/>
      <c r="GB598" s="14"/>
      <c r="GC598" s="16"/>
      <c r="GD598" s="14"/>
      <c r="GE598" s="12"/>
      <c r="GF598" s="14"/>
      <c r="GG598" s="16"/>
      <c r="GH598" s="14"/>
      <c r="GI598" s="12"/>
      <c r="GJ598" s="14"/>
      <c r="GK598" s="16"/>
      <c r="GL598" s="14"/>
      <c r="GM598" s="12"/>
      <c r="GN598" s="14"/>
      <c r="GO598" s="16"/>
      <c r="GP598" s="14"/>
      <c r="GQ598" s="12"/>
      <c r="GR598" s="14"/>
      <c r="GS598" s="16"/>
      <c r="GT598" s="14"/>
      <c r="GU598" s="12"/>
      <c r="GV598" s="14"/>
      <c r="GW598" s="16"/>
      <c r="GX598" s="14"/>
      <c r="GY598" s="12"/>
      <c r="GZ598" s="14"/>
      <c r="HA598" s="16"/>
      <c r="HB598" s="14"/>
      <c r="HC598" s="12"/>
      <c r="HD598" s="12"/>
      <c r="HE598" s="14"/>
      <c r="HF598" s="16"/>
      <c r="HG598" s="14"/>
      <c r="HH598" s="12" t="s">
        <v>319</v>
      </c>
      <c r="HI598" s="12"/>
      <c r="HJ598" s="12"/>
      <c r="HK598" s="12" t="s">
        <v>319</v>
      </c>
      <c r="HL598" s="12" t="s">
        <v>319</v>
      </c>
      <c r="HM598" s="12"/>
      <c r="HN598" s="12"/>
      <c r="HO598" s="12"/>
      <c r="HP598" s="12" t="s">
        <v>453</v>
      </c>
      <c r="HQ598" s="12" t="s">
        <v>319</v>
      </c>
      <c r="HR598" s="12" t="s">
        <v>320</v>
      </c>
      <c r="HS598" s="12" t="s">
        <v>320</v>
      </c>
      <c r="HT598" s="12" t="s">
        <v>320</v>
      </c>
      <c r="HU598" s="12" t="s">
        <v>320</v>
      </c>
      <c r="HV598" s="12" t="s">
        <v>320</v>
      </c>
      <c r="HW598" s="12" t="s">
        <v>320</v>
      </c>
      <c r="HX598" s="12" t="s">
        <v>319</v>
      </c>
      <c r="HY598" s="12"/>
      <c r="HZ598" s="12" t="s">
        <v>394</v>
      </c>
      <c r="IA598" s="12" t="s">
        <v>9938</v>
      </c>
      <c r="IB598" s="12" t="s">
        <v>396</v>
      </c>
      <c r="IC598" s="12" t="s">
        <v>9939</v>
      </c>
      <c r="ID598" s="11" t="s">
        <v>364</v>
      </c>
      <c r="IE598" s="12" t="s">
        <v>335</v>
      </c>
      <c r="IF598" s="12" t="s">
        <v>320</v>
      </c>
      <c r="IG598" s="12" t="s">
        <v>320</v>
      </c>
      <c r="IH598" s="12" t="s">
        <v>320</v>
      </c>
      <c r="II598" s="12" t="s">
        <v>319</v>
      </c>
      <c r="IJ598" s="12" t="str">
        <f t="shared" si="388"/>
        <v>1. Neutral</v>
      </c>
      <c r="IK598" s="12">
        <f t="shared" si="389"/>
        <v>3</v>
      </c>
      <c r="IL598" s="11" t="s">
        <v>621</v>
      </c>
      <c r="IM598" s="12" t="s">
        <v>320</v>
      </c>
      <c r="IN598" s="12" t="s">
        <v>320</v>
      </c>
      <c r="IO598" s="12" t="s">
        <v>320</v>
      </c>
      <c r="IP598" s="12" t="s">
        <v>320</v>
      </c>
      <c r="IQ598" s="12" t="str">
        <f t="shared" si="390"/>
        <v>4. Transformational</v>
      </c>
      <c r="IR598" s="12">
        <f t="shared" si="391"/>
        <v>4</v>
      </c>
      <c r="IS598" s="12" t="s">
        <v>337</v>
      </c>
      <c r="IT598" s="12" t="s">
        <v>320</v>
      </c>
      <c r="IU598" s="12" t="s">
        <v>320</v>
      </c>
      <c r="IV598" s="12" t="s">
        <v>320</v>
      </c>
      <c r="IW598" s="11" t="str">
        <f t="shared" si="392"/>
        <v>2. Sensitive</v>
      </c>
      <c r="IX598" s="12">
        <f t="shared" si="393"/>
        <v>3</v>
      </c>
      <c r="IY598" s="11" t="s">
        <v>419</v>
      </c>
      <c r="IZ598" s="12" t="s">
        <v>457</v>
      </c>
      <c r="JA598" s="12">
        <v>23</v>
      </c>
      <c r="JB598" s="12" t="s">
        <v>651</v>
      </c>
      <c r="JC598" s="11" t="s">
        <v>433</v>
      </c>
      <c r="JD598" s="11" t="s">
        <v>831</v>
      </c>
      <c r="JE598" s="12" t="s">
        <v>340</v>
      </c>
      <c r="JF598" s="12" t="s">
        <v>9940</v>
      </c>
      <c r="JG598" s="12" t="s">
        <v>9941</v>
      </c>
      <c r="JH598" s="12" t="s">
        <v>9942</v>
      </c>
      <c r="JI598" s="12" t="s">
        <v>9943</v>
      </c>
      <c r="JJ598" s="12" t="s">
        <v>9944</v>
      </c>
      <c r="JK598" s="12" t="s">
        <v>9945</v>
      </c>
      <c r="JL598" s="12" t="s">
        <v>9946</v>
      </c>
      <c r="JM598" s="12" t="s">
        <v>9947</v>
      </c>
      <c r="JN598" s="12"/>
      <c r="JO598" s="12" t="s">
        <v>9867</v>
      </c>
      <c r="JP598" s="15">
        <f t="shared" si="394"/>
        <v>78</v>
      </c>
      <c r="JQ598" s="15">
        <f t="shared" si="395"/>
        <v>739281</v>
      </c>
      <c r="JR598" s="279">
        <f t="shared" si="396"/>
        <v>9477.961538461539</v>
      </c>
      <c r="JS598" s="17">
        <f t="shared" si="397"/>
        <v>0.44871794871794873</v>
      </c>
      <c r="JT598" s="18">
        <f t="shared" si="398"/>
        <v>0.5029995360356887</v>
      </c>
      <c r="JU598" s="280">
        <f t="shared" si="399"/>
        <v>35</v>
      </c>
      <c r="JV598" s="280">
        <f t="shared" si="400"/>
        <v>371858</v>
      </c>
      <c r="JW598" s="319" t="str">
        <f t="shared" si="401"/>
        <v/>
      </c>
      <c r="JX598" s="15">
        <f t="shared" si="402"/>
        <v>0</v>
      </c>
      <c r="JY598" s="15">
        <f t="shared" si="403"/>
        <v>0</v>
      </c>
      <c r="JZ598" s="19" t="str">
        <f t="shared" si="404"/>
        <v/>
      </c>
      <c r="KA598" s="52">
        <f t="shared" si="405"/>
        <v>1</v>
      </c>
      <c r="KB598" s="15">
        <f t="shared" si="406"/>
        <v>78</v>
      </c>
      <c r="KC598" s="15">
        <f t="shared" si="407"/>
        <v>739281</v>
      </c>
      <c r="KD598" s="20">
        <f t="shared" si="408"/>
        <v>9477.961538461539</v>
      </c>
      <c r="KE598" s="52" t="str">
        <f t="shared" si="409"/>
        <v/>
      </c>
      <c r="KF598" s="15">
        <f t="shared" si="410"/>
        <v>0</v>
      </c>
      <c r="KG598" s="15">
        <f t="shared" si="411"/>
        <v>0</v>
      </c>
      <c r="KH598" s="21" t="str">
        <f t="shared" si="412"/>
        <v/>
      </c>
      <c r="KI598" s="52" t="str">
        <f t="shared" si="413"/>
        <v/>
      </c>
      <c r="KJ598" s="15">
        <f t="shared" si="414"/>
        <v>0</v>
      </c>
      <c r="KK598" s="15">
        <f t="shared" si="415"/>
        <v>0</v>
      </c>
      <c r="KL598" s="19" t="str">
        <f t="shared" si="416"/>
        <v/>
      </c>
      <c r="KM598" s="52" t="str">
        <f t="shared" si="417"/>
        <v/>
      </c>
      <c r="KN598" s="22">
        <f t="shared" si="418"/>
        <v>0</v>
      </c>
      <c r="KO598" s="22">
        <f t="shared" si="419"/>
        <v>0</v>
      </c>
      <c r="KP598" s="19" t="str">
        <f t="shared" si="420"/>
        <v/>
      </c>
      <c r="KQ598" s="11" t="str">
        <f t="shared" si="421"/>
        <v>1. Neutral</v>
      </c>
      <c r="KR598" s="11" t="str">
        <f t="shared" si="422"/>
        <v>4. Transformational</v>
      </c>
      <c r="KS598" s="11" t="str">
        <f t="shared" si="423"/>
        <v>2. Sensitive</v>
      </c>
      <c r="KT598" s="11" t="str">
        <f t="shared" si="424"/>
        <v>It tested new ways for fighting poverty, but did not measure results of innovation</v>
      </c>
      <c r="KU598" s="11" t="str">
        <f t="shared" si="425"/>
        <v>Intensive advocacy</v>
      </c>
      <c r="KV598" s="11" t="str">
        <f t="shared" si="426"/>
        <v>It linked and worked with strategic alliances and partners to take tested and effective solutions to scale</v>
      </c>
      <c r="KW598" s="11" t="str">
        <f t="shared" si="427"/>
        <v>Peru - Incidencia en Nutrición 2016 en Perú</v>
      </c>
      <c r="KX598" s="11" t="str">
        <f t="shared" si="428"/>
        <v>Incidencia en Nutrición 2016 en Perú</v>
      </c>
      <c r="KY598" s="11" t="str">
        <f t="shared" si="429"/>
        <v>Peru</v>
      </c>
      <c r="KZ598" s="12">
        <v>598</v>
      </c>
    </row>
    <row r="599" spans="1:312" x14ac:dyDescent="0.3">
      <c r="A599" s="12" t="s">
        <v>9706</v>
      </c>
      <c r="B599" s="12" t="s">
        <v>2807</v>
      </c>
      <c r="C599" s="12"/>
      <c r="D599" s="12" t="s">
        <v>9948</v>
      </c>
      <c r="E599" s="277" t="str">
        <f t="shared" si="387"/>
        <v>Peru</v>
      </c>
      <c r="F599" s="12" t="s">
        <v>9949</v>
      </c>
      <c r="G599" s="12" t="s">
        <v>9835</v>
      </c>
      <c r="H599" s="12" t="s">
        <v>384</v>
      </c>
      <c r="I599" s="12" t="s">
        <v>384</v>
      </c>
      <c r="J599" s="281" t="s">
        <v>14735</v>
      </c>
      <c r="K599" s="12"/>
      <c r="L599" s="12"/>
      <c r="M599" s="12"/>
      <c r="N599" s="12"/>
      <c r="O599" s="12"/>
      <c r="P599" s="12"/>
      <c r="Q599" s="12"/>
      <c r="R599" s="12"/>
      <c r="S599" s="12"/>
      <c r="T599" s="12"/>
      <c r="U599" s="12"/>
      <c r="V599" s="12"/>
      <c r="W599" s="12"/>
      <c r="X599" s="12"/>
      <c r="Y599" s="12"/>
      <c r="Z599" s="12"/>
      <c r="AA599" s="12"/>
      <c r="AB599" s="12"/>
      <c r="AC599" s="12"/>
      <c r="AD599" s="12"/>
      <c r="BD599" s="13">
        <v>42887</v>
      </c>
      <c r="BE599" s="13">
        <v>43039</v>
      </c>
      <c r="BF599" s="12"/>
      <c r="BG599" s="12" t="s">
        <v>817</v>
      </c>
      <c r="BH599" s="14">
        <v>96875</v>
      </c>
      <c r="BI599" s="12" t="s">
        <v>9837</v>
      </c>
      <c r="BJ599" s="12" t="s">
        <v>9838</v>
      </c>
      <c r="BK599" s="12" t="s">
        <v>9839</v>
      </c>
      <c r="BL599" s="12"/>
      <c r="BM599" s="12"/>
      <c r="BN599" s="12"/>
      <c r="BO599" s="12" t="s">
        <v>320</v>
      </c>
      <c r="BP599" s="28" t="s">
        <v>319</v>
      </c>
      <c r="BQ599" s="31" t="s">
        <v>319</v>
      </c>
      <c r="BR599" s="12" t="s">
        <v>9950</v>
      </c>
      <c r="BS599" s="12" t="s">
        <v>357</v>
      </c>
      <c r="BT599" s="12" t="s">
        <v>9951</v>
      </c>
      <c r="BU599" s="12" t="s">
        <v>9842</v>
      </c>
      <c r="BV599" s="14">
        <v>168</v>
      </c>
      <c r="BW599" s="14">
        <v>167</v>
      </c>
      <c r="BX599" s="14">
        <v>335</v>
      </c>
      <c r="BY599" s="14"/>
      <c r="BZ599" s="14"/>
      <c r="CA599" s="14">
        <v>0</v>
      </c>
      <c r="CB599" s="12" t="s">
        <v>9952</v>
      </c>
      <c r="CD599" s="14">
        <v>168</v>
      </c>
      <c r="CE599" s="14">
        <v>167</v>
      </c>
      <c r="CF599" s="14">
        <v>335</v>
      </c>
      <c r="CG599" s="14"/>
      <c r="CH599" s="14"/>
      <c r="CI599" s="14">
        <v>0</v>
      </c>
      <c r="CJ599" s="12"/>
      <c r="CK599" s="14"/>
      <c r="CL599" s="16"/>
      <c r="CM599" s="14"/>
      <c r="CN599" s="12"/>
      <c r="CO599" s="14"/>
      <c r="CP599" s="16"/>
      <c r="CQ599" s="14"/>
      <c r="CR599" s="12"/>
      <c r="CS599" s="14"/>
      <c r="CT599" s="16"/>
      <c r="CU599" s="14"/>
      <c r="CV599" s="12"/>
      <c r="CW599" s="14"/>
      <c r="CX599" s="16"/>
      <c r="CY599" s="14"/>
      <c r="CZ599" s="12"/>
      <c r="DA599" s="14"/>
      <c r="DB599" s="16"/>
      <c r="DC599" s="14"/>
      <c r="DD599" s="12"/>
      <c r="DE599" s="14"/>
      <c r="DF599" s="16"/>
      <c r="DG599" s="14"/>
      <c r="DH599" s="12"/>
      <c r="DI599" s="14"/>
      <c r="DJ599" s="16"/>
      <c r="DK599" s="14"/>
      <c r="DL599" s="12"/>
      <c r="DM599" s="14"/>
      <c r="DN599" s="16"/>
      <c r="DO599" s="14"/>
      <c r="DP599" s="12" t="s">
        <v>320</v>
      </c>
      <c r="DQ599" s="14">
        <v>335</v>
      </c>
      <c r="DR599" s="16">
        <v>0.5</v>
      </c>
      <c r="DS599" s="14"/>
      <c r="DT599" s="12"/>
      <c r="DU599" s="14"/>
      <c r="DV599" s="16"/>
      <c r="DW599" s="14"/>
      <c r="DX599" s="12" t="s">
        <v>320</v>
      </c>
      <c r="DY599" s="14">
        <v>335</v>
      </c>
      <c r="DZ599" s="16">
        <v>0.5</v>
      </c>
      <c r="EA599" s="14"/>
      <c r="EB599" s="12"/>
      <c r="EC599" s="14"/>
      <c r="ED599" s="16"/>
      <c r="EE599" s="14"/>
      <c r="EF599" s="12"/>
      <c r="EG599" s="12"/>
      <c r="EH599" s="14"/>
      <c r="EI599" s="16"/>
      <c r="EJ599" s="14"/>
      <c r="EK599" s="14"/>
      <c r="EL599" s="14"/>
      <c r="EM599" s="14"/>
      <c r="EN599" s="14"/>
      <c r="EO599" s="14"/>
      <c r="EP599" s="14"/>
      <c r="EQ599" s="12"/>
      <c r="ER599" s="14"/>
      <c r="ES599" s="16"/>
      <c r="ET599" s="14"/>
      <c r="EU599" s="12"/>
      <c r="EV599" s="14"/>
      <c r="EW599" s="16"/>
      <c r="EX599" s="14"/>
      <c r="EY599" s="12"/>
      <c r="EZ599" s="14"/>
      <c r="FA599" s="16"/>
      <c r="FB599" s="14"/>
      <c r="FC599" s="12"/>
      <c r="FD599" s="14"/>
      <c r="FE599" s="16"/>
      <c r="FF599" s="14"/>
      <c r="FG599" s="12"/>
      <c r="FH599" s="14"/>
      <c r="FI599" s="16"/>
      <c r="FJ599" s="14"/>
      <c r="FK599" s="12"/>
      <c r="FL599" s="14"/>
      <c r="FM599" s="16"/>
      <c r="FN599" s="14"/>
      <c r="FO599" s="12"/>
      <c r="FP599" s="14"/>
      <c r="FQ599" s="16"/>
      <c r="FR599" s="14"/>
      <c r="FS599" s="12"/>
      <c r="FT599" s="14"/>
      <c r="FU599" s="16"/>
      <c r="FV599" s="14"/>
      <c r="FW599" s="12"/>
      <c r="FX599" s="14"/>
      <c r="FY599" s="16"/>
      <c r="FZ599" s="14"/>
      <c r="GA599" s="12"/>
      <c r="GB599" s="14"/>
      <c r="GC599" s="16"/>
      <c r="GD599" s="14"/>
      <c r="GE599" s="12"/>
      <c r="GF599" s="14"/>
      <c r="GG599" s="16"/>
      <c r="GH599" s="14"/>
      <c r="GI599" s="12"/>
      <c r="GJ599" s="14"/>
      <c r="GK599" s="16"/>
      <c r="GL599" s="14"/>
      <c r="GM599" s="12"/>
      <c r="GN599" s="14"/>
      <c r="GO599" s="16"/>
      <c r="GP599" s="14"/>
      <c r="GQ599" s="12"/>
      <c r="GR599" s="14"/>
      <c r="GS599" s="16"/>
      <c r="GT599" s="14"/>
      <c r="GU599" s="12"/>
      <c r="GV599" s="14"/>
      <c r="GW599" s="16"/>
      <c r="GX599" s="14"/>
      <c r="GY599" s="12"/>
      <c r="GZ599" s="14"/>
      <c r="HA599" s="16"/>
      <c r="HB599" s="14"/>
      <c r="HC599" s="12"/>
      <c r="HD599" s="12"/>
      <c r="HE599" s="14"/>
      <c r="HF599" s="16"/>
      <c r="HG599" s="14"/>
      <c r="HH599" s="12" t="s">
        <v>319</v>
      </c>
      <c r="HI599" s="12"/>
      <c r="HJ599" s="12"/>
      <c r="HK599" s="12" t="s">
        <v>319</v>
      </c>
      <c r="HL599" s="12" t="s">
        <v>319</v>
      </c>
      <c r="HM599" s="12"/>
      <c r="HN599" s="12"/>
      <c r="HO599" s="12" t="s">
        <v>9889</v>
      </c>
      <c r="HP599" s="12" t="s">
        <v>453</v>
      </c>
      <c r="HQ599" s="12" t="s">
        <v>319</v>
      </c>
      <c r="HR599" s="12" t="s">
        <v>319</v>
      </c>
      <c r="HS599" s="12" t="s">
        <v>320</v>
      </c>
      <c r="HT599" s="12" t="s">
        <v>320</v>
      </c>
      <c r="HU599" s="12" t="s">
        <v>319</v>
      </c>
      <c r="HV599" s="12" t="s">
        <v>319</v>
      </c>
      <c r="HW599" s="12" t="s">
        <v>319</v>
      </c>
      <c r="HX599" s="12"/>
      <c r="HY599" s="12"/>
      <c r="HZ599" s="12" t="s">
        <v>394</v>
      </c>
      <c r="IA599" s="12" t="s">
        <v>9953</v>
      </c>
      <c r="IB599" s="12" t="s">
        <v>333</v>
      </c>
      <c r="IC599" s="12"/>
      <c r="ID599" s="11" t="s">
        <v>364</v>
      </c>
      <c r="IE599" s="12" t="s">
        <v>335</v>
      </c>
      <c r="IF599" s="12" t="s">
        <v>319</v>
      </c>
      <c r="IG599" s="12" t="s">
        <v>320</v>
      </c>
      <c r="IH599" s="12" t="s">
        <v>320</v>
      </c>
      <c r="II599" s="12" t="s">
        <v>319</v>
      </c>
      <c r="IJ599" s="12" t="str">
        <f t="shared" si="388"/>
        <v>1. Neutral</v>
      </c>
      <c r="IK599" s="12">
        <f t="shared" si="389"/>
        <v>2</v>
      </c>
      <c r="IL599" s="12" t="s">
        <v>336</v>
      </c>
      <c r="IM599" s="12" t="s">
        <v>320</v>
      </c>
      <c r="IN599" s="12" t="s">
        <v>320</v>
      </c>
      <c r="IO599" s="12" t="s">
        <v>320</v>
      </c>
      <c r="IP599" s="12" t="s">
        <v>320</v>
      </c>
      <c r="IQ599" s="12" t="str">
        <f t="shared" si="390"/>
        <v>2. Accommodating</v>
      </c>
      <c r="IR599" s="12">
        <f t="shared" si="391"/>
        <v>4</v>
      </c>
      <c r="IS599" s="12" t="s">
        <v>337</v>
      </c>
      <c r="IT599" s="12" t="s">
        <v>320</v>
      </c>
      <c r="IU599" s="12"/>
      <c r="IV599" s="12" t="s">
        <v>319</v>
      </c>
      <c r="IW599" s="11" t="str">
        <f t="shared" si="392"/>
        <v>1. Neutral</v>
      </c>
      <c r="IX599" s="12">
        <f t="shared" si="393"/>
        <v>1</v>
      </c>
      <c r="IY599" s="11" t="s">
        <v>419</v>
      </c>
      <c r="IZ599" s="11" t="s">
        <v>527</v>
      </c>
      <c r="JA599" s="12">
        <v>2</v>
      </c>
      <c r="JB599" s="12" t="s">
        <v>687</v>
      </c>
      <c r="JC599" s="11" t="s">
        <v>624</v>
      </c>
      <c r="JD599" s="12"/>
      <c r="JE599" s="12" t="s">
        <v>365</v>
      </c>
      <c r="JF599" s="12" t="s">
        <v>9954</v>
      </c>
      <c r="JG599" s="12"/>
      <c r="JH599" s="12" t="s">
        <v>9845</v>
      </c>
      <c r="JI599" s="12" t="s">
        <v>9846</v>
      </c>
      <c r="JJ599" s="12" t="s">
        <v>9893</v>
      </c>
      <c r="JK599" s="12" t="s">
        <v>9848</v>
      </c>
      <c r="JL599" s="12" t="s">
        <v>9849</v>
      </c>
      <c r="JM599" s="12" t="s">
        <v>9894</v>
      </c>
      <c r="JN599" s="12"/>
      <c r="JO599" s="12"/>
      <c r="JP599" s="15">
        <f t="shared" si="394"/>
        <v>335</v>
      </c>
      <c r="JQ599" s="15">
        <f t="shared" si="395"/>
        <v>0</v>
      </c>
      <c r="JR599" s="279">
        <f t="shared" si="396"/>
        <v>0</v>
      </c>
      <c r="JS599" s="17">
        <f t="shared" si="397"/>
        <v>0.5014925373134328</v>
      </c>
      <c r="JT599" s="18" t="str">
        <f t="shared" si="398"/>
        <v/>
      </c>
      <c r="JU599" s="280">
        <f t="shared" si="399"/>
        <v>168</v>
      </c>
      <c r="JV599" s="280">
        <f t="shared" si="400"/>
        <v>0</v>
      </c>
      <c r="JW599" s="319">
        <f t="shared" si="401"/>
        <v>1</v>
      </c>
      <c r="JX599" s="15">
        <f t="shared" si="402"/>
        <v>335</v>
      </c>
      <c r="JY599" s="15">
        <f t="shared" si="403"/>
        <v>0</v>
      </c>
      <c r="JZ599" s="19">
        <f t="shared" si="404"/>
        <v>0</v>
      </c>
      <c r="KA599" s="52" t="str">
        <f t="shared" si="405"/>
        <v/>
      </c>
      <c r="KB599" s="15">
        <f t="shared" si="406"/>
        <v>0</v>
      </c>
      <c r="KC599" s="15">
        <f t="shared" si="407"/>
        <v>0</v>
      </c>
      <c r="KD599" s="20" t="str">
        <f t="shared" si="408"/>
        <v/>
      </c>
      <c r="KE599" s="52" t="str">
        <f t="shared" si="409"/>
        <v/>
      </c>
      <c r="KF599" s="15">
        <f t="shared" si="410"/>
        <v>0</v>
      </c>
      <c r="KG599" s="15">
        <f t="shared" si="411"/>
        <v>0</v>
      </c>
      <c r="KH599" s="21" t="str">
        <f t="shared" si="412"/>
        <v/>
      </c>
      <c r="KI599" s="52" t="str">
        <f t="shared" si="413"/>
        <v/>
      </c>
      <c r="KJ599" s="15">
        <f t="shared" si="414"/>
        <v>0</v>
      </c>
      <c r="KK599" s="15">
        <f t="shared" si="415"/>
        <v>0</v>
      </c>
      <c r="KL599" s="19" t="str">
        <f t="shared" si="416"/>
        <v/>
      </c>
      <c r="KM599" s="52" t="str">
        <f t="shared" si="417"/>
        <v/>
      </c>
      <c r="KN599" s="22">
        <f t="shared" si="418"/>
        <v>0</v>
      </c>
      <c r="KO599" s="22">
        <f t="shared" si="419"/>
        <v>0</v>
      </c>
      <c r="KP599" s="19" t="str">
        <f t="shared" si="420"/>
        <v/>
      </c>
      <c r="KQ599" s="11" t="str">
        <f t="shared" si="421"/>
        <v>1. Neutral</v>
      </c>
      <c r="KR599" s="11" t="str">
        <f t="shared" si="422"/>
        <v>2. Accommodating</v>
      </c>
      <c r="KS599" s="11" t="str">
        <f t="shared" si="423"/>
        <v>1. Neutral</v>
      </c>
      <c r="KT599" s="11" t="str">
        <f t="shared" si="424"/>
        <v>It tested new ways for fighting poverty, but did not measure results of innovation</v>
      </c>
      <c r="KU599" s="11" t="str">
        <f t="shared" si="425"/>
        <v>Intensive advocacy</v>
      </c>
      <c r="KV599" s="11" t="str">
        <f t="shared" si="426"/>
        <v>It did not take tested solutions to scale</v>
      </c>
      <c r="KW599" s="11" t="str">
        <f t="shared" si="427"/>
        <v>Peru - INTERSEGURO</v>
      </c>
      <c r="KX599" s="11" t="str">
        <f t="shared" si="428"/>
        <v>INTERSEGURO</v>
      </c>
      <c r="KY599" s="11" t="str">
        <f t="shared" si="429"/>
        <v>Peru</v>
      </c>
      <c r="KZ599" s="12">
        <v>599</v>
      </c>
    </row>
    <row r="600" spans="1:312" x14ac:dyDescent="0.3">
      <c r="A600" s="12" t="s">
        <v>9706</v>
      </c>
      <c r="B600" s="12" t="s">
        <v>2807</v>
      </c>
      <c r="C600" s="12">
        <v>3279</v>
      </c>
      <c r="D600" s="12" t="s">
        <v>9783</v>
      </c>
      <c r="E600" s="277" t="str">
        <f t="shared" si="387"/>
        <v>Peru</v>
      </c>
      <c r="F600" s="12" t="s">
        <v>9784</v>
      </c>
      <c r="G600" s="12" t="s">
        <v>425</v>
      </c>
      <c r="H600" s="12" t="s">
        <v>384</v>
      </c>
      <c r="I600" s="12" t="s">
        <v>907</v>
      </c>
      <c r="J600" s="281" t="s">
        <v>5183</v>
      </c>
      <c r="K600" s="12"/>
      <c r="L600" s="12"/>
      <c r="M600" s="12"/>
      <c r="N600" s="12"/>
      <c r="O600" s="12"/>
      <c r="P600" s="12"/>
      <c r="Q600" s="12"/>
      <c r="R600" s="12"/>
      <c r="S600" s="12"/>
      <c r="T600" s="12"/>
      <c r="U600" s="12"/>
      <c r="V600" s="12"/>
      <c r="W600" s="12"/>
      <c r="X600" s="12"/>
      <c r="Y600" s="12"/>
      <c r="Z600" s="12"/>
      <c r="AA600" s="12"/>
      <c r="AB600" s="12"/>
      <c r="AC600" s="12"/>
      <c r="AD600" s="12"/>
      <c r="BD600" s="13">
        <v>42461</v>
      </c>
      <c r="BE600" s="12"/>
      <c r="BF600" s="12"/>
      <c r="BG600" s="12" t="s">
        <v>749</v>
      </c>
      <c r="BH600" s="14">
        <v>532165</v>
      </c>
      <c r="BI600" s="12" t="s">
        <v>9785</v>
      </c>
      <c r="BJ600" s="12" t="s">
        <v>9786</v>
      </c>
      <c r="BK600" s="12" t="s">
        <v>9787</v>
      </c>
      <c r="BL600" s="12" t="s">
        <v>9738</v>
      </c>
      <c r="BM600" s="12" t="s">
        <v>9739</v>
      </c>
      <c r="BN600" s="12" t="s">
        <v>9713</v>
      </c>
      <c r="BO600" s="12" t="s">
        <v>319</v>
      </c>
      <c r="BP600" s="12" t="s">
        <v>320</v>
      </c>
      <c r="BQ600" s="12" t="s">
        <v>319</v>
      </c>
      <c r="BR600" s="12" t="s">
        <v>9788</v>
      </c>
      <c r="BS600" s="12" t="s">
        <v>357</v>
      </c>
      <c r="BT600" s="12" t="s">
        <v>9789</v>
      </c>
      <c r="BU600" s="12" t="s">
        <v>9790</v>
      </c>
      <c r="BV600" s="14">
        <v>1855</v>
      </c>
      <c r="BW600" s="14">
        <v>1855</v>
      </c>
      <c r="BX600" s="14">
        <v>3710</v>
      </c>
      <c r="BY600" s="14">
        <v>1526</v>
      </c>
      <c r="BZ600" s="14">
        <v>2024</v>
      </c>
      <c r="CA600" s="14">
        <v>3550</v>
      </c>
      <c r="CB600" s="12" t="s">
        <v>9791</v>
      </c>
      <c r="CD600" s="14"/>
      <c r="CE600" s="14"/>
      <c r="CF600" s="14"/>
      <c r="CG600" s="14"/>
      <c r="CH600" s="14"/>
      <c r="CI600" s="14"/>
      <c r="CJ600" s="12"/>
      <c r="CK600" s="14"/>
      <c r="CL600" s="16"/>
      <c r="CM600" s="14"/>
      <c r="CN600" s="12"/>
      <c r="CO600" s="14"/>
      <c r="CP600" s="16"/>
      <c r="CQ600" s="14"/>
      <c r="CR600" s="12"/>
      <c r="CS600" s="14"/>
      <c r="CT600" s="16"/>
      <c r="CU600" s="14"/>
      <c r="CV600" s="12"/>
      <c r="CW600" s="14"/>
      <c r="CX600" s="16"/>
      <c r="CY600" s="14"/>
      <c r="CZ600" s="12"/>
      <c r="DA600" s="14"/>
      <c r="DB600" s="16"/>
      <c r="DC600" s="14"/>
      <c r="DD600" s="12"/>
      <c r="DE600" s="14"/>
      <c r="DF600" s="16"/>
      <c r="DG600" s="14"/>
      <c r="DH600" s="12"/>
      <c r="DI600" s="14"/>
      <c r="DJ600" s="16"/>
      <c r="DK600" s="14"/>
      <c r="DL600" s="12"/>
      <c r="DM600" s="14"/>
      <c r="DN600" s="16"/>
      <c r="DO600" s="14"/>
      <c r="DP600" s="12"/>
      <c r="DQ600" s="14"/>
      <c r="DR600" s="16"/>
      <c r="DS600" s="14"/>
      <c r="DT600" s="12"/>
      <c r="DU600" s="14"/>
      <c r="DV600" s="16"/>
      <c r="DW600" s="14"/>
      <c r="DX600" s="12"/>
      <c r="DY600" s="14"/>
      <c r="DZ600" s="16"/>
      <c r="EA600" s="14"/>
      <c r="EB600" s="12"/>
      <c r="EC600" s="14"/>
      <c r="ED600" s="16"/>
      <c r="EE600" s="14"/>
      <c r="EF600" s="12"/>
      <c r="EG600" s="12"/>
      <c r="EH600" s="14"/>
      <c r="EI600" s="16"/>
      <c r="EJ600" s="14"/>
      <c r="EK600" s="14">
        <v>1855</v>
      </c>
      <c r="EL600" s="14">
        <v>1855</v>
      </c>
      <c r="EM600" s="14">
        <v>3710</v>
      </c>
      <c r="EN600" s="14">
        <v>1526</v>
      </c>
      <c r="EO600" s="14">
        <v>2024</v>
      </c>
      <c r="EP600" s="14">
        <v>3550</v>
      </c>
      <c r="EQ600" s="12" t="s">
        <v>320</v>
      </c>
      <c r="ER600" s="14">
        <v>2204</v>
      </c>
      <c r="ES600" s="16">
        <v>0.53</v>
      </c>
      <c r="ET600" s="14">
        <v>3550</v>
      </c>
      <c r="EU600" s="11" t="s">
        <v>320</v>
      </c>
      <c r="EV600" s="14">
        <v>3710</v>
      </c>
      <c r="EW600" s="16">
        <v>0.56000000000000005</v>
      </c>
      <c r="EX600" s="14">
        <v>450</v>
      </c>
      <c r="EY600" s="12"/>
      <c r="EZ600" s="14"/>
      <c r="FA600" s="16"/>
      <c r="FB600" s="14"/>
      <c r="FC600" s="12" t="s">
        <v>320</v>
      </c>
      <c r="FD600" s="14">
        <v>3710</v>
      </c>
      <c r="FE600" s="16">
        <v>0.53</v>
      </c>
      <c r="FF600" s="14">
        <v>450</v>
      </c>
      <c r="FG600" s="12"/>
      <c r="FH600" s="14"/>
      <c r="FI600" s="16"/>
      <c r="FJ600" s="14"/>
      <c r="FK600" s="12"/>
      <c r="FL600" s="14"/>
      <c r="FM600" s="16"/>
      <c r="FN600" s="14"/>
      <c r="FO600" s="12" t="s">
        <v>320</v>
      </c>
      <c r="FP600" s="14">
        <v>3710</v>
      </c>
      <c r="FQ600" s="16">
        <v>0.55000000000000004</v>
      </c>
      <c r="FR600" s="14">
        <v>3550</v>
      </c>
      <c r="FS600" s="12"/>
      <c r="FT600" s="14"/>
      <c r="FU600" s="16"/>
      <c r="FV600" s="14"/>
      <c r="FW600" s="12"/>
      <c r="FX600" s="14"/>
      <c r="FY600" s="16"/>
      <c r="FZ600" s="14"/>
      <c r="GA600" s="12"/>
      <c r="GB600" s="14"/>
      <c r="GC600" s="16"/>
      <c r="GD600" s="14"/>
      <c r="GE600" s="12" t="s">
        <v>320</v>
      </c>
      <c r="GF600" s="14">
        <v>850</v>
      </c>
      <c r="GG600" s="16">
        <v>0.5</v>
      </c>
      <c r="GH600" s="14">
        <v>26</v>
      </c>
      <c r="GI600" s="12"/>
      <c r="GJ600" s="14"/>
      <c r="GK600" s="16"/>
      <c r="GL600" s="14"/>
      <c r="GM600" s="12"/>
      <c r="GN600" s="14"/>
      <c r="GO600" s="16"/>
      <c r="GP600" s="14"/>
      <c r="GQ600" s="12"/>
      <c r="GR600" s="14"/>
      <c r="GS600" s="16"/>
      <c r="GT600" s="14"/>
      <c r="GU600" s="12"/>
      <c r="GV600" s="14"/>
      <c r="GW600" s="16"/>
      <c r="GX600" s="14"/>
      <c r="GY600" s="12"/>
      <c r="GZ600" s="14"/>
      <c r="HA600" s="16"/>
      <c r="HB600" s="14"/>
      <c r="HC600" s="12"/>
      <c r="HD600" s="12"/>
      <c r="HE600" s="14"/>
      <c r="HF600" s="16"/>
      <c r="HG600" s="14"/>
      <c r="HH600" s="12" t="s">
        <v>320</v>
      </c>
      <c r="HI600" s="12" t="s">
        <v>327</v>
      </c>
      <c r="HJ600" s="12">
        <v>2016</v>
      </c>
      <c r="HK600" s="12" t="s">
        <v>319</v>
      </c>
      <c r="HL600" s="12" t="s">
        <v>320</v>
      </c>
      <c r="HM600" s="12" t="s">
        <v>522</v>
      </c>
      <c r="HN600" s="12">
        <v>2017</v>
      </c>
      <c r="HO600" s="12" t="s">
        <v>9792</v>
      </c>
      <c r="HP600" s="12" t="s">
        <v>330</v>
      </c>
      <c r="HQ600" s="12" t="s">
        <v>320</v>
      </c>
      <c r="HR600" s="12" t="s">
        <v>319</v>
      </c>
      <c r="HS600" s="12" t="s">
        <v>319</v>
      </c>
      <c r="HT600" s="12" t="s">
        <v>319</v>
      </c>
      <c r="HU600" s="12" t="s">
        <v>320</v>
      </c>
      <c r="HV600" s="12" t="s">
        <v>319</v>
      </c>
      <c r="HW600" s="12" t="s">
        <v>319</v>
      </c>
      <c r="HX600" s="12"/>
      <c r="HY600" s="12"/>
      <c r="HZ600" s="12" t="s">
        <v>394</v>
      </c>
      <c r="IA600" s="12" t="s">
        <v>9793</v>
      </c>
      <c r="IB600" s="11" t="s">
        <v>667</v>
      </c>
      <c r="IC600" s="12" t="s">
        <v>9794</v>
      </c>
      <c r="ID600" s="11" t="s">
        <v>364</v>
      </c>
      <c r="IE600" s="12" t="s">
        <v>335</v>
      </c>
      <c r="IF600" s="12" t="s">
        <v>320</v>
      </c>
      <c r="IG600" s="12" t="s">
        <v>320</v>
      </c>
      <c r="IH600" s="12" t="s">
        <v>320</v>
      </c>
      <c r="II600" s="12" t="s">
        <v>320</v>
      </c>
      <c r="IJ600" s="12" t="str">
        <f t="shared" si="388"/>
        <v>2. Sensitive</v>
      </c>
      <c r="IK600" s="12">
        <f t="shared" si="389"/>
        <v>4</v>
      </c>
      <c r="IL600" s="12" t="s">
        <v>723</v>
      </c>
      <c r="IM600" s="12" t="s">
        <v>320</v>
      </c>
      <c r="IN600" s="12" t="s">
        <v>320</v>
      </c>
      <c r="IO600" s="12" t="s">
        <v>320</v>
      </c>
      <c r="IP600" s="12" t="s">
        <v>320</v>
      </c>
      <c r="IQ600" s="12" t="str">
        <f t="shared" si="390"/>
        <v>0. Unaware</v>
      </c>
      <c r="IR600" s="12">
        <f t="shared" si="391"/>
        <v>4</v>
      </c>
      <c r="IS600" s="12" t="s">
        <v>337</v>
      </c>
      <c r="IT600" s="12" t="s">
        <v>320</v>
      </c>
      <c r="IU600" s="12" t="s">
        <v>320</v>
      </c>
      <c r="IV600" s="12" t="s">
        <v>320</v>
      </c>
      <c r="IW600" s="11" t="str">
        <f t="shared" si="392"/>
        <v>2. Sensitive</v>
      </c>
      <c r="IX600" s="12">
        <f t="shared" si="393"/>
        <v>3</v>
      </c>
      <c r="IY600" s="12" t="s">
        <v>758</v>
      </c>
      <c r="IZ600" s="12" t="s">
        <v>432</v>
      </c>
      <c r="JA600" s="12">
        <v>6</v>
      </c>
      <c r="JB600" s="12" t="s">
        <v>831</v>
      </c>
      <c r="JC600" s="12" t="s">
        <v>585</v>
      </c>
      <c r="JD600" s="12" t="s">
        <v>623</v>
      </c>
      <c r="JE600" s="12" t="s">
        <v>420</v>
      </c>
      <c r="JF600" s="12"/>
      <c r="JG600" s="12"/>
      <c r="JH600" s="12" t="s">
        <v>9795</v>
      </c>
      <c r="JI600" s="12" t="s">
        <v>9796</v>
      </c>
      <c r="JJ600" s="12" t="s">
        <v>9797</v>
      </c>
      <c r="JK600" s="12" t="s">
        <v>9798</v>
      </c>
      <c r="JL600" s="12" t="s">
        <v>9799</v>
      </c>
      <c r="JM600" s="12" t="s">
        <v>9800</v>
      </c>
      <c r="JN600" s="12" t="s">
        <v>9801</v>
      </c>
      <c r="JO600" s="12" t="s">
        <v>9802</v>
      </c>
      <c r="JP600" s="15">
        <f t="shared" si="394"/>
        <v>3710</v>
      </c>
      <c r="JQ600" s="15">
        <f t="shared" si="395"/>
        <v>3550</v>
      </c>
      <c r="JR600" s="279">
        <f t="shared" si="396"/>
        <v>0.95687331536388143</v>
      </c>
      <c r="JS600" s="17">
        <f t="shared" si="397"/>
        <v>0.5</v>
      </c>
      <c r="JT600" s="18">
        <f t="shared" si="398"/>
        <v>0.42985915492957749</v>
      </c>
      <c r="JU600" s="280">
        <f t="shared" si="399"/>
        <v>1855</v>
      </c>
      <c r="JV600" s="280">
        <f t="shared" si="400"/>
        <v>1526</v>
      </c>
      <c r="JW600" s="319" t="str">
        <f t="shared" si="401"/>
        <v/>
      </c>
      <c r="JX600" s="15">
        <f t="shared" si="402"/>
        <v>0</v>
      </c>
      <c r="JY600" s="15">
        <f t="shared" si="403"/>
        <v>0</v>
      </c>
      <c r="JZ600" s="19" t="str">
        <f t="shared" si="404"/>
        <v/>
      </c>
      <c r="KA600" s="52">
        <f t="shared" si="405"/>
        <v>1</v>
      </c>
      <c r="KB600" s="15">
        <f t="shared" si="406"/>
        <v>3710</v>
      </c>
      <c r="KC600" s="15">
        <f t="shared" si="407"/>
        <v>3550</v>
      </c>
      <c r="KD600" s="20">
        <f t="shared" si="408"/>
        <v>0.95687331536388143</v>
      </c>
      <c r="KE600" s="52" t="str">
        <f t="shared" si="409"/>
        <v/>
      </c>
      <c r="KF600" s="15">
        <f t="shared" si="410"/>
        <v>0</v>
      </c>
      <c r="KG600" s="15">
        <f t="shared" si="411"/>
        <v>0</v>
      </c>
      <c r="KH600" s="21" t="str">
        <f t="shared" si="412"/>
        <v/>
      </c>
      <c r="KI600" s="52" t="str">
        <f t="shared" si="413"/>
        <v/>
      </c>
      <c r="KJ600" s="15">
        <f t="shared" si="414"/>
        <v>0</v>
      </c>
      <c r="KK600" s="15">
        <f t="shared" si="415"/>
        <v>0</v>
      </c>
      <c r="KL600" s="19" t="str">
        <f t="shared" si="416"/>
        <v/>
      </c>
      <c r="KM600" s="52" t="str">
        <f t="shared" si="417"/>
        <v/>
      </c>
      <c r="KN600" s="22">
        <f t="shared" si="418"/>
        <v>0</v>
      </c>
      <c r="KO600" s="22">
        <f t="shared" si="419"/>
        <v>0</v>
      </c>
      <c r="KP600" s="19" t="str">
        <f t="shared" si="420"/>
        <v/>
      </c>
      <c r="KQ600" s="11" t="str">
        <f t="shared" si="421"/>
        <v>2. Sensitive</v>
      </c>
      <c r="KR600" s="11" t="str">
        <f t="shared" si="422"/>
        <v>0. Unaware</v>
      </c>
      <c r="KS600" s="11" t="str">
        <f t="shared" si="423"/>
        <v>2. Sensitive</v>
      </c>
      <c r="KT600" s="11" t="str">
        <f t="shared" si="424"/>
        <v>It tested new ways for fighting poverty, but did not measure results of innovation</v>
      </c>
      <c r="KU600" s="11" t="str">
        <f t="shared" si="425"/>
        <v>Moderate advocacy</v>
      </c>
      <c r="KV600" s="11" t="str">
        <f t="shared" si="426"/>
        <v>It took tested solutions to scale on its own</v>
      </c>
      <c r="KW600" s="11" t="str">
        <f t="shared" si="427"/>
        <v>Peru - KAMARIKUY CH´AKIMANTA</v>
      </c>
      <c r="KX600" s="11" t="str">
        <f t="shared" si="428"/>
        <v>KAMARIKUY CH´AKIMANTA</v>
      </c>
      <c r="KY600" s="11" t="str">
        <f t="shared" si="429"/>
        <v>Peru</v>
      </c>
      <c r="KZ600" s="12">
        <v>600</v>
      </c>
    </row>
    <row r="601" spans="1:312" x14ac:dyDescent="0.3">
      <c r="A601" s="12" t="s">
        <v>9706</v>
      </c>
      <c r="B601" s="12" t="s">
        <v>2807</v>
      </c>
      <c r="C601" s="12"/>
      <c r="D601" s="12" t="s">
        <v>10142</v>
      </c>
      <c r="E601" s="277" t="str">
        <f t="shared" si="387"/>
        <v>Peru</v>
      </c>
      <c r="F601" s="12" t="s">
        <v>10143</v>
      </c>
      <c r="G601" s="12" t="s">
        <v>1529</v>
      </c>
      <c r="H601" s="12" t="s">
        <v>384</v>
      </c>
      <c r="I601" s="12" t="s">
        <v>384</v>
      </c>
      <c r="J601" s="281" t="s">
        <v>14596</v>
      </c>
      <c r="K601" s="12"/>
      <c r="L601" s="12"/>
      <c r="M601" s="12"/>
      <c r="N601" s="12"/>
      <c r="O601" s="12"/>
      <c r="P601" s="12"/>
      <c r="Q601" s="12"/>
      <c r="R601" s="12"/>
      <c r="S601" s="12"/>
      <c r="T601" s="12"/>
      <c r="U601" s="12"/>
      <c r="V601" s="12"/>
      <c r="W601" s="12"/>
      <c r="X601" s="12"/>
      <c r="Y601" s="12"/>
      <c r="Z601" s="12"/>
      <c r="AA601" s="12"/>
      <c r="AB601" s="12"/>
      <c r="AC601" s="12"/>
      <c r="AD601" s="12"/>
      <c r="BD601" s="13">
        <v>42809</v>
      </c>
      <c r="BE601" s="13">
        <v>42900</v>
      </c>
      <c r="BF601" s="12"/>
      <c r="BG601" s="12" t="s">
        <v>817</v>
      </c>
      <c r="BH601" s="14">
        <v>35000</v>
      </c>
      <c r="BI601" s="12" t="s">
        <v>9785</v>
      </c>
      <c r="BJ601" s="12" t="s">
        <v>9827</v>
      </c>
      <c r="BK601" s="12" t="s">
        <v>9787</v>
      </c>
      <c r="BL601" s="12" t="s">
        <v>9711</v>
      </c>
      <c r="BM601" s="12" t="s">
        <v>9712</v>
      </c>
      <c r="BN601" s="12" t="s">
        <v>9713</v>
      </c>
      <c r="BO601" s="12" t="s">
        <v>320</v>
      </c>
      <c r="BP601" s="12" t="s">
        <v>319</v>
      </c>
      <c r="BQ601" s="12" t="s">
        <v>319</v>
      </c>
      <c r="BR601" s="12" t="s">
        <v>10144</v>
      </c>
      <c r="BS601" s="12" t="s">
        <v>357</v>
      </c>
      <c r="BT601" s="12" t="s">
        <v>10145</v>
      </c>
      <c r="BU601" s="12" t="s">
        <v>10146</v>
      </c>
      <c r="BV601" s="14">
        <v>29</v>
      </c>
      <c r="BW601" s="14">
        <v>27</v>
      </c>
      <c r="BX601" s="14">
        <v>56</v>
      </c>
      <c r="BY601" s="14"/>
      <c r="BZ601" s="14"/>
      <c r="CA601" s="14"/>
      <c r="CB601" s="12" t="s">
        <v>10147</v>
      </c>
      <c r="CD601" s="14">
        <v>29</v>
      </c>
      <c r="CE601" s="14">
        <v>27</v>
      </c>
      <c r="CF601" s="14">
        <v>56</v>
      </c>
      <c r="CG601" s="14"/>
      <c r="CH601" s="14"/>
      <c r="CI601" s="14"/>
      <c r="CJ601" s="12"/>
      <c r="CK601" s="14"/>
      <c r="CL601" s="16"/>
      <c r="CM601" s="14"/>
      <c r="CN601" s="12"/>
      <c r="CO601" s="14"/>
      <c r="CP601" s="16"/>
      <c r="CQ601" s="14"/>
      <c r="CR601" s="12"/>
      <c r="CS601" s="14"/>
      <c r="CT601" s="16"/>
      <c r="CU601" s="14"/>
      <c r="CV601" s="12"/>
      <c r="CW601" s="14"/>
      <c r="CX601" s="16"/>
      <c r="CY601" s="14"/>
      <c r="CZ601" s="12"/>
      <c r="DA601" s="14"/>
      <c r="DB601" s="16"/>
      <c r="DC601" s="14"/>
      <c r="DD601" s="12"/>
      <c r="DE601" s="14"/>
      <c r="DF601" s="16"/>
      <c r="DG601" s="14"/>
      <c r="DH601" s="12"/>
      <c r="DI601" s="14"/>
      <c r="DJ601" s="16"/>
      <c r="DK601" s="14"/>
      <c r="DL601" s="12"/>
      <c r="DM601" s="14"/>
      <c r="DN601" s="16"/>
      <c r="DO601" s="14"/>
      <c r="DP601" s="12"/>
      <c r="DQ601" s="14"/>
      <c r="DR601" s="16"/>
      <c r="DS601" s="14"/>
      <c r="DT601" s="12"/>
      <c r="DU601" s="14"/>
      <c r="DV601" s="16"/>
      <c r="DW601" s="14"/>
      <c r="DX601" s="12"/>
      <c r="DY601" s="14"/>
      <c r="DZ601" s="16"/>
      <c r="EA601" s="14"/>
      <c r="EB601" s="11" t="s">
        <v>320</v>
      </c>
      <c r="EC601" s="14">
        <v>56</v>
      </c>
      <c r="ED601" s="16">
        <v>0.51</v>
      </c>
      <c r="EE601" s="14"/>
      <c r="EF601" s="12"/>
      <c r="EG601" s="12"/>
      <c r="EH601" s="14"/>
      <c r="EI601" s="16"/>
      <c r="EJ601" s="14"/>
      <c r="EK601" s="14"/>
      <c r="EL601" s="14"/>
      <c r="EM601" s="14"/>
      <c r="EN601" s="14"/>
      <c r="EO601" s="14"/>
      <c r="EP601" s="14"/>
      <c r="EQ601" s="12"/>
      <c r="ER601" s="14"/>
      <c r="ES601" s="16"/>
      <c r="ET601" s="14"/>
      <c r="EU601" s="12"/>
      <c r="EV601" s="14"/>
      <c r="EW601" s="16"/>
      <c r="EX601" s="14"/>
      <c r="EY601" s="12"/>
      <c r="EZ601" s="14"/>
      <c r="FA601" s="16"/>
      <c r="FB601" s="14"/>
      <c r="FC601" s="12"/>
      <c r="FD601" s="14"/>
      <c r="FE601" s="16"/>
      <c r="FF601" s="14"/>
      <c r="FG601" s="12"/>
      <c r="FH601" s="14"/>
      <c r="FI601" s="16"/>
      <c r="FJ601" s="14"/>
      <c r="FK601" s="12"/>
      <c r="FL601" s="14"/>
      <c r="FM601" s="16"/>
      <c r="FN601" s="14"/>
      <c r="FO601" s="12"/>
      <c r="FP601" s="14"/>
      <c r="FQ601" s="16"/>
      <c r="FR601" s="14"/>
      <c r="FS601" s="12"/>
      <c r="FT601" s="14"/>
      <c r="FU601" s="16"/>
      <c r="FV601" s="14"/>
      <c r="FW601" s="12"/>
      <c r="FX601" s="14"/>
      <c r="FY601" s="16"/>
      <c r="FZ601" s="14"/>
      <c r="GA601" s="12"/>
      <c r="GB601" s="14"/>
      <c r="GC601" s="16"/>
      <c r="GD601" s="14"/>
      <c r="GE601" s="12"/>
      <c r="GF601" s="14"/>
      <c r="GG601" s="16"/>
      <c r="GH601" s="14"/>
      <c r="GI601" s="12"/>
      <c r="GJ601" s="14"/>
      <c r="GK601" s="16"/>
      <c r="GL601" s="14"/>
      <c r="GM601" s="12"/>
      <c r="GN601" s="14"/>
      <c r="GO601" s="16"/>
      <c r="GP601" s="14"/>
      <c r="GQ601" s="12"/>
      <c r="GR601" s="14"/>
      <c r="GS601" s="16"/>
      <c r="GT601" s="14"/>
      <c r="GU601" s="12"/>
      <c r="GV601" s="14"/>
      <c r="GW601" s="16"/>
      <c r="GX601" s="14"/>
      <c r="GY601" s="12"/>
      <c r="GZ601" s="14"/>
      <c r="HA601" s="16"/>
      <c r="HB601" s="14"/>
      <c r="HC601" s="12"/>
      <c r="HD601" s="12"/>
      <c r="HE601" s="14"/>
      <c r="HF601" s="16"/>
      <c r="HG601" s="14"/>
      <c r="HH601" s="12" t="s">
        <v>319</v>
      </c>
      <c r="HI601" s="12"/>
      <c r="HJ601" s="12"/>
      <c r="HK601" s="12" t="s">
        <v>319</v>
      </c>
      <c r="HL601" s="12" t="s">
        <v>319</v>
      </c>
      <c r="HM601" s="12"/>
      <c r="HN601" s="12"/>
      <c r="HO601" s="12"/>
      <c r="HP601" s="12" t="s">
        <v>418</v>
      </c>
      <c r="HQ601" s="12"/>
      <c r="HR601" s="12"/>
      <c r="HS601" s="12"/>
      <c r="HT601" s="12"/>
      <c r="HU601" s="12"/>
      <c r="HV601" s="12"/>
      <c r="HW601" s="12"/>
      <c r="HX601" s="12"/>
      <c r="HY601" s="12"/>
      <c r="HZ601" s="11" t="s">
        <v>363</v>
      </c>
      <c r="IA601" s="12"/>
      <c r="IB601" s="12" t="s">
        <v>333</v>
      </c>
      <c r="IC601" s="12"/>
      <c r="ID601" s="11" t="s">
        <v>364</v>
      </c>
      <c r="IE601" s="12" t="s">
        <v>335</v>
      </c>
      <c r="IF601" s="12" t="s">
        <v>320</v>
      </c>
      <c r="IG601" s="12" t="s">
        <v>320</v>
      </c>
      <c r="IH601" s="12" t="s">
        <v>319</v>
      </c>
      <c r="II601" s="12" t="s">
        <v>320</v>
      </c>
      <c r="IJ601" s="12" t="str">
        <f t="shared" si="388"/>
        <v>1. Neutral</v>
      </c>
      <c r="IK601" s="12">
        <f t="shared" si="389"/>
        <v>3</v>
      </c>
      <c r="IL601" s="12" t="s">
        <v>336</v>
      </c>
      <c r="IM601" s="12" t="s">
        <v>320</v>
      </c>
      <c r="IN601" s="12" t="s">
        <v>319</v>
      </c>
      <c r="IO601" s="12" t="s">
        <v>320</v>
      </c>
      <c r="IP601" s="12" t="s">
        <v>320</v>
      </c>
      <c r="IQ601" s="12" t="str">
        <f t="shared" si="390"/>
        <v>2. Accommodating</v>
      </c>
      <c r="IR601" s="12">
        <f t="shared" si="391"/>
        <v>3</v>
      </c>
      <c r="IS601" s="12" t="s">
        <v>337</v>
      </c>
      <c r="IT601" s="12" t="s">
        <v>320</v>
      </c>
      <c r="IU601" s="12" t="s">
        <v>319</v>
      </c>
      <c r="IV601" s="12" t="s">
        <v>319</v>
      </c>
      <c r="IW601" s="11" t="str">
        <f t="shared" si="392"/>
        <v>1. Neutral</v>
      </c>
      <c r="IX601" s="12">
        <f t="shared" si="393"/>
        <v>1</v>
      </c>
      <c r="IY601" s="12" t="s">
        <v>338</v>
      </c>
      <c r="IZ601" s="12" t="s">
        <v>339</v>
      </c>
      <c r="JA601" s="12"/>
      <c r="JB601" s="12"/>
      <c r="JC601" s="12"/>
      <c r="JD601" s="12"/>
      <c r="JE601" s="12" t="s">
        <v>420</v>
      </c>
      <c r="JF601" s="12"/>
      <c r="JG601" s="12"/>
      <c r="JH601" s="12"/>
      <c r="JI601" s="12"/>
      <c r="JJ601" s="12"/>
      <c r="JK601" s="12"/>
      <c r="JL601" s="12"/>
      <c r="JM601" s="12"/>
      <c r="JN601" s="12"/>
      <c r="JO601" s="12"/>
      <c r="JP601" s="15">
        <f t="shared" si="394"/>
        <v>56</v>
      </c>
      <c r="JQ601" s="15">
        <f t="shared" si="395"/>
        <v>0</v>
      </c>
      <c r="JR601" s="279">
        <f t="shared" si="396"/>
        <v>0</v>
      </c>
      <c r="JS601" s="17">
        <f t="shared" si="397"/>
        <v>0.5178571428571429</v>
      </c>
      <c r="JT601" s="18" t="str">
        <f t="shared" si="398"/>
        <v/>
      </c>
      <c r="JU601" s="280">
        <f t="shared" si="399"/>
        <v>29</v>
      </c>
      <c r="JV601" s="280">
        <f t="shared" si="400"/>
        <v>0</v>
      </c>
      <c r="JW601" s="319">
        <f t="shared" si="401"/>
        <v>1</v>
      </c>
      <c r="JX601" s="15">
        <f t="shared" si="402"/>
        <v>56</v>
      </c>
      <c r="JY601" s="15">
        <f t="shared" si="403"/>
        <v>0</v>
      </c>
      <c r="JZ601" s="19">
        <f t="shared" si="404"/>
        <v>0</v>
      </c>
      <c r="KA601" s="52" t="str">
        <f t="shared" si="405"/>
        <v/>
      </c>
      <c r="KB601" s="15">
        <f t="shared" si="406"/>
        <v>0</v>
      </c>
      <c r="KC601" s="15">
        <f t="shared" si="407"/>
        <v>0</v>
      </c>
      <c r="KD601" s="20" t="str">
        <f t="shared" si="408"/>
        <v/>
      </c>
      <c r="KE601" s="52" t="str">
        <f t="shared" si="409"/>
        <v/>
      </c>
      <c r="KF601" s="15">
        <f t="shared" si="410"/>
        <v>0</v>
      </c>
      <c r="KG601" s="15">
        <f t="shared" si="411"/>
        <v>0</v>
      </c>
      <c r="KH601" s="21" t="str">
        <f t="shared" si="412"/>
        <v/>
      </c>
      <c r="KI601" s="52" t="str">
        <f t="shared" si="413"/>
        <v/>
      </c>
      <c r="KJ601" s="15">
        <f t="shared" si="414"/>
        <v>0</v>
      </c>
      <c r="KK601" s="15">
        <f t="shared" si="415"/>
        <v>0</v>
      </c>
      <c r="KL601" s="19" t="str">
        <f t="shared" si="416"/>
        <v/>
      </c>
      <c r="KM601" s="52" t="str">
        <f t="shared" si="417"/>
        <v/>
      </c>
      <c r="KN601" s="22">
        <f t="shared" si="418"/>
        <v>0</v>
      </c>
      <c r="KO601" s="22">
        <f t="shared" si="419"/>
        <v>0</v>
      </c>
      <c r="KP601" s="19" t="str">
        <f t="shared" si="420"/>
        <v/>
      </c>
      <c r="KQ601" s="11" t="str">
        <f t="shared" si="421"/>
        <v>1. Neutral</v>
      </c>
      <c r="KR601" s="11" t="str">
        <f t="shared" si="422"/>
        <v>2. Accommodating</v>
      </c>
      <c r="KS601" s="11" t="str">
        <f t="shared" si="423"/>
        <v>1. Neutral</v>
      </c>
      <c r="KT601" s="11" t="str">
        <f t="shared" si="424"/>
        <v>It did not develop any specific innovation</v>
      </c>
      <c r="KU601" s="11" t="str">
        <f t="shared" si="425"/>
        <v>Little or no advocacy</v>
      </c>
      <c r="KV601" s="11" t="str">
        <f t="shared" si="426"/>
        <v>It did not take tested solutions to scale</v>
      </c>
      <c r="KW601" s="11" t="str">
        <f t="shared" si="427"/>
        <v>Peru - Massive floods in Piura</v>
      </c>
      <c r="KX601" s="11" t="str">
        <f t="shared" si="428"/>
        <v>Massive floods in Piura</v>
      </c>
      <c r="KY601" s="11" t="str">
        <f t="shared" si="429"/>
        <v>Peru</v>
      </c>
      <c r="KZ601" s="12">
        <v>601</v>
      </c>
    </row>
    <row r="602" spans="1:312" x14ac:dyDescent="0.3">
      <c r="A602" s="12" t="s">
        <v>9706</v>
      </c>
      <c r="B602" s="12" t="s">
        <v>2807</v>
      </c>
      <c r="C602" s="12"/>
      <c r="D602" s="12" t="s">
        <v>9955</v>
      </c>
      <c r="E602" s="277" t="str">
        <f t="shared" si="387"/>
        <v>Peru</v>
      </c>
      <c r="F602" s="12" t="s">
        <v>9956</v>
      </c>
      <c r="G602" s="12" t="s">
        <v>9835</v>
      </c>
      <c r="H602" s="12" t="s">
        <v>384</v>
      </c>
      <c r="I602" s="12" t="s">
        <v>381</v>
      </c>
      <c r="J602" s="281" t="s">
        <v>14615</v>
      </c>
      <c r="K602" s="12"/>
      <c r="L602" s="12"/>
      <c r="M602" s="12"/>
      <c r="N602" s="12"/>
      <c r="O602" s="12"/>
      <c r="P602" s="12"/>
      <c r="Q602" s="12"/>
      <c r="R602" s="12"/>
      <c r="S602" s="12"/>
      <c r="T602" s="12"/>
      <c r="U602" s="12"/>
      <c r="V602" s="12"/>
      <c r="W602" s="12"/>
      <c r="X602" s="12"/>
      <c r="Y602" s="12"/>
      <c r="Z602" s="12"/>
      <c r="AA602" s="12"/>
      <c r="AB602" s="12"/>
      <c r="AC602" s="12"/>
      <c r="AD602" s="12"/>
      <c r="BD602" s="13">
        <v>42877</v>
      </c>
      <c r="BE602" s="13">
        <v>42972</v>
      </c>
      <c r="BF602" s="12"/>
      <c r="BG602" s="12" t="s">
        <v>817</v>
      </c>
      <c r="BH602" s="14">
        <v>120000</v>
      </c>
      <c r="BI602" s="12" t="s">
        <v>9785</v>
      </c>
      <c r="BJ602" s="12" t="s">
        <v>9957</v>
      </c>
      <c r="BK602" s="12" t="s">
        <v>9787</v>
      </c>
      <c r="BL602" s="12" t="s">
        <v>9711</v>
      </c>
      <c r="BM602" s="12" t="s">
        <v>9712</v>
      </c>
      <c r="BN602" s="12" t="s">
        <v>9713</v>
      </c>
      <c r="BO602" s="12" t="s">
        <v>320</v>
      </c>
      <c r="BP602" s="12" t="s">
        <v>319</v>
      </c>
      <c r="BQ602" s="12" t="s">
        <v>319</v>
      </c>
      <c r="BR602" s="12" t="s">
        <v>9958</v>
      </c>
      <c r="BS602" s="12" t="s">
        <v>357</v>
      </c>
      <c r="BT602" s="12" t="s">
        <v>9959</v>
      </c>
      <c r="BU602" s="12" t="s">
        <v>9960</v>
      </c>
      <c r="BV602" s="14">
        <v>1428</v>
      </c>
      <c r="BW602" s="14">
        <v>1372</v>
      </c>
      <c r="BX602" s="14">
        <v>2800</v>
      </c>
      <c r="BY602" s="14"/>
      <c r="BZ602" s="14"/>
      <c r="CA602" s="14"/>
      <c r="CB602" s="12" t="s">
        <v>9961</v>
      </c>
      <c r="CD602" s="14"/>
      <c r="CE602" s="14"/>
      <c r="CF602" s="14">
        <v>0</v>
      </c>
      <c r="CG602" s="14"/>
      <c r="CH602" s="14"/>
      <c r="CI602" s="14"/>
      <c r="CJ602" s="12"/>
      <c r="CK602" s="14"/>
      <c r="CL602" s="16"/>
      <c r="CM602" s="14"/>
      <c r="CN602" s="12"/>
      <c r="CO602" s="14"/>
      <c r="CP602" s="16"/>
      <c r="CQ602" s="14"/>
      <c r="CR602" s="12"/>
      <c r="CS602" s="14"/>
      <c r="CT602" s="16"/>
      <c r="CU602" s="14"/>
      <c r="CV602" s="12"/>
      <c r="CW602" s="14"/>
      <c r="CX602" s="16"/>
      <c r="CY602" s="14"/>
      <c r="CZ602" s="12"/>
      <c r="DA602" s="14"/>
      <c r="DB602" s="16"/>
      <c r="DC602" s="14"/>
      <c r="DD602" s="12"/>
      <c r="DE602" s="14"/>
      <c r="DF602" s="16"/>
      <c r="DG602" s="14"/>
      <c r="DH602" s="12"/>
      <c r="DI602" s="14"/>
      <c r="DJ602" s="16"/>
      <c r="DK602" s="14"/>
      <c r="DL602" s="12"/>
      <c r="DM602" s="14"/>
      <c r="DN602" s="16"/>
      <c r="DO602" s="14"/>
      <c r="DP602" s="12"/>
      <c r="DQ602" s="14"/>
      <c r="DR602" s="16"/>
      <c r="DS602" s="14"/>
      <c r="DT602" s="12"/>
      <c r="DU602" s="14"/>
      <c r="DV602" s="16"/>
      <c r="DW602" s="14"/>
      <c r="DX602" s="12"/>
      <c r="DY602" s="14"/>
      <c r="DZ602" s="16"/>
      <c r="EA602" s="14"/>
      <c r="EB602" s="12"/>
      <c r="EC602" s="14"/>
      <c r="ED602" s="16"/>
      <c r="EE602" s="14"/>
      <c r="EF602" s="12"/>
      <c r="EG602" s="12"/>
      <c r="EH602" s="14">
        <v>0</v>
      </c>
      <c r="EI602" s="16"/>
      <c r="EJ602" s="14">
        <v>0</v>
      </c>
      <c r="EK602" s="14"/>
      <c r="EL602" s="14"/>
      <c r="EM602" s="14"/>
      <c r="EN602" s="14"/>
      <c r="EO602" s="14"/>
      <c r="EP602" s="14"/>
      <c r="EQ602" s="12"/>
      <c r="ER602" s="14"/>
      <c r="ES602" s="16"/>
      <c r="ET602" s="14"/>
      <c r="EU602" s="12"/>
      <c r="EV602" s="14"/>
      <c r="EW602" s="16"/>
      <c r="EX602" s="14"/>
      <c r="EY602" s="12"/>
      <c r="EZ602" s="14"/>
      <c r="FA602" s="16"/>
      <c r="FB602" s="14"/>
      <c r="FC602" s="12"/>
      <c r="FD602" s="14"/>
      <c r="FE602" s="16"/>
      <c r="FF602" s="14"/>
      <c r="FG602" s="12"/>
      <c r="FH602" s="14"/>
      <c r="FI602" s="16"/>
      <c r="FJ602" s="14"/>
      <c r="FK602" s="12"/>
      <c r="FL602" s="14"/>
      <c r="FM602" s="16"/>
      <c r="FN602" s="14"/>
      <c r="FO602" s="12"/>
      <c r="FP602" s="14"/>
      <c r="FQ602" s="16"/>
      <c r="FR602" s="14"/>
      <c r="FS602" s="12"/>
      <c r="FT602" s="14"/>
      <c r="FU602" s="16"/>
      <c r="FV602" s="14"/>
      <c r="FW602" s="12"/>
      <c r="FX602" s="14"/>
      <c r="FY602" s="16"/>
      <c r="FZ602" s="14"/>
      <c r="GA602" s="12"/>
      <c r="GB602" s="14"/>
      <c r="GC602" s="16"/>
      <c r="GD602" s="14"/>
      <c r="GE602" s="12"/>
      <c r="GF602" s="14"/>
      <c r="GG602" s="16"/>
      <c r="GH602" s="14"/>
      <c r="GI602" s="12"/>
      <c r="GJ602" s="14"/>
      <c r="GK602" s="16"/>
      <c r="GL602" s="14"/>
      <c r="GM602" s="12"/>
      <c r="GN602" s="14"/>
      <c r="GO602" s="16"/>
      <c r="GP602" s="14"/>
      <c r="GQ602" s="12"/>
      <c r="GR602" s="14"/>
      <c r="GS602" s="16"/>
      <c r="GT602" s="14"/>
      <c r="GU602" s="12"/>
      <c r="GV602" s="14"/>
      <c r="GW602" s="16"/>
      <c r="GX602" s="14"/>
      <c r="GY602" s="12"/>
      <c r="GZ602" s="14"/>
      <c r="HA602" s="16"/>
      <c r="HB602" s="14"/>
      <c r="HC602" s="12"/>
      <c r="HD602" s="12"/>
      <c r="HE602" s="14"/>
      <c r="HF602" s="16"/>
      <c r="HG602" s="14"/>
      <c r="HH602" s="12" t="s">
        <v>320</v>
      </c>
      <c r="HI602" s="12" t="s">
        <v>451</v>
      </c>
      <c r="HJ602" s="12">
        <v>2017</v>
      </c>
      <c r="HK602" s="12" t="s">
        <v>319</v>
      </c>
      <c r="HL602" s="12" t="s">
        <v>319</v>
      </c>
      <c r="HM602" s="12"/>
      <c r="HN602" s="12"/>
      <c r="HO602" s="12" t="s">
        <v>9962</v>
      </c>
      <c r="HP602" s="12" t="s">
        <v>418</v>
      </c>
      <c r="HQ602" s="12" t="s">
        <v>319</v>
      </c>
      <c r="HR602" s="12" t="s">
        <v>319</v>
      </c>
      <c r="HS602" s="12" t="s">
        <v>320</v>
      </c>
      <c r="HT602" s="12" t="s">
        <v>320</v>
      </c>
      <c r="HU602" s="12" t="s">
        <v>319</v>
      </c>
      <c r="HV602" s="12" t="s">
        <v>319</v>
      </c>
      <c r="HW602" s="12" t="s">
        <v>319</v>
      </c>
      <c r="HX602" s="12"/>
      <c r="HY602" s="12"/>
      <c r="HZ602" s="12" t="s">
        <v>394</v>
      </c>
      <c r="IA602" s="12"/>
      <c r="IB602" s="12" t="s">
        <v>333</v>
      </c>
      <c r="IC602" s="12"/>
      <c r="ID602" s="11" t="s">
        <v>364</v>
      </c>
      <c r="IE602" s="12" t="s">
        <v>335</v>
      </c>
      <c r="IF602" s="12" t="s">
        <v>319</v>
      </c>
      <c r="IG602" s="12" t="s">
        <v>319</v>
      </c>
      <c r="IH602" s="12" t="s">
        <v>320</v>
      </c>
      <c r="II602" s="12" t="s">
        <v>320</v>
      </c>
      <c r="IJ602" s="12" t="str">
        <f t="shared" si="388"/>
        <v>1. Neutral</v>
      </c>
      <c r="IK602" s="12">
        <f t="shared" si="389"/>
        <v>2</v>
      </c>
      <c r="IL602" s="12" t="s">
        <v>336</v>
      </c>
      <c r="IM602" s="12" t="s">
        <v>320</v>
      </c>
      <c r="IN602" s="12" t="s">
        <v>319</v>
      </c>
      <c r="IO602" s="12" t="s">
        <v>320</v>
      </c>
      <c r="IP602" s="12" t="s">
        <v>320</v>
      </c>
      <c r="IQ602" s="12" t="str">
        <f t="shared" si="390"/>
        <v>2. Accommodating</v>
      </c>
      <c r="IR602" s="12">
        <f t="shared" si="391"/>
        <v>3</v>
      </c>
      <c r="IS602" s="12" t="s">
        <v>337</v>
      </c>
      <c r="IT602" s="12" t="s">
        <v>320</v>
      </c>
      <c r="IU602" s="12" t="s">
        <v>320</v>
      </c>
      <c r="IV602" s="12" t="s">
        <v>320</v>
      </c>
      <c r="IW602" s="11" t="str">
        <f t="shared" si="392"/>
        <v>2. Sensitive</v>
      </c>
      <c r="IX602" s="12">
        <f t="shared" si="393"/>
        <v>3</v>
      </c>
      <c r="IY602" s="12" t="s">
        <v>338</v>
      </c>
      <c r="IZ602" s="12" t="s">
        <v>339</v>
      </c>
      <c r="JA602" s="12">
        <v>4</v>
      </c>
      <c r="JB602" s="11" t="s">
        <v>384</v>
      </c>
      <c r="JC602" s="11" t="s">
        <v>831</v>
      </c>
      <c r="JD602" s="12"/>
      <c r="JE602" s="12" t="s">
        <v>420</v>
      </c>
      <c r="JF602" s="12"/>
      <c r="JG602" s="12"/>
      <c r="JH602" s="12"/>
      <c r="JI602" s="12"/>
      <c r="JJ602" s="12"/>
      <c r="JK602" s="12"/>
      <c r="JL602" s="12"/>
      <c r="JM602" s="12"/>
      <c r="JN602" s="12" t="s">
        <v>9963</v>
      </c>
      <c r="JO602" s="12"/>
      <c r="JP602" s="15">
        <f t="shared" si="394"/>
        <v>0</v>
      </c>
      <c r="JQ602" s="15">
        <f t="shared" si="395"/>
        <v>0</v>
      </c>
      <c r="JR602" s="279" t="str">
        <f t="shared" si="396"/>
        <v/>
      </c>
      <c r="JS602" s="17" t="str">
        <f t="shared" si="397"/>
        <v/>
      </c>
      <c r="JT602" s="18" t="str">
        <f t="shared" si="398"/>
        <v/>
      </c>
      <c r="JU602" s="280">
        <f t="shared" si="399"/>
        <v>0</v>
      </c>
      <c r="JV602" s="280">
        <f t="shared" si="400"/>
        <v>0</v>
      </c>
      <c r="JW602" s="319">
        <f t="shared" si="401"/>
        <v>1</v>
      </c>
      <c r="JX602" s="15">
        <f t="shared" si="402"/>
        <v>0</v>
      </c>
      <c r="JY602" s="15">
        <f t="shared" si="403"/>
        <v>0</v>
      </c>
      <c r="JZ602" s="19" t="str">
        <f t="shared" si="404"/>
        <v/>
      </c>
      <c r="KA602" s="52" t="str">
        <f t="shared" si="405"/>
        <v/>
      </c>
      <c r="KB602" s="15">
        <f t="shared" si="406"/>
        <v>0</v>
      </c>
      <c r="KC602" s="15">
        <f t="shared" si="407"/>
        <v>0</v>
      </c>
      <c r="KD602" s="20" t="str">
        <f t="shared" si="408"/>
        <v/>
      </c>
      <c r="KE602" s="52" t="str">
        <f t="shared" si="409"/>
        <v/>
      </c>
      <c r="KF602" s="15">
        <f t="shared" si="410"/>
        <v>0</v>
      </c>
      <c r="KG602" s="15">
        <f t="shared" si="411"/>
        <v>0</v>
      </c>
      <c r="KH602" s="21" t="str">
        <f t="shared" si="412"/>
        <v/>
      </c>
      <c r="KI602" s="52" t="str">
        <f t="shared" si="413"/>
        <v/>
      </c>
      <c r="KJ602" s="15">
        <f t="shared" si="414"/>
        <v>0</v>
      </c>
      <c r="KK602" s="15">
        <f t="shared" si="415"/>
        <v>0</v>
      </c>
      <c r="KL602" s="19" t="str">
        <f t="shared" si="416"/>
        <v/>
      </c>
      <c r="KM602" s="52" t="str">
        <f t="shared" si="417"/>
        <v/>
      </c>
      <c r="KN602" s="22">
        <f t="shared" si="418"/>
        <v>0</v>
      </c>
      <c r="KO602" s="22">
        <f t="shared" si="419"/>
        <v>0</v>
      </c>
      <c r="KP602" s="19" t="str">
        <f t="shared" si="420"/>
        <v/>
      </c>
      <c r="KQ602" s="11" t="str">
        <f t="shared" si="421"/>
        <v>1. Neutral</v>
      </c>
      <c r="KR602" s="11" t="str">
        <f t="shared" si="422"/>
        <v>2. Accommodating</v>
      </c>
      <c r="KS602" s="11" t="str">
        <f t="shared" si="423"/>
        <v>2. Sensitive</v>
      </c>
      <c r="KT602" s="11" t="str">
        <f t="shared" si="424"/>
        <v>It tested new ways for fighting poverty, but did not measure results of innovation</v>
      </c>
      <c r="KU602" s="11" t="str">
        <f t="shared" si="425"/>
        <v>Little or no advocacy</v>
      </c>
      <c r="KV602" s="11" t="str">
        <f t="shared" si="426"/>
        <v>It did not take tested solutions to scale</v>
      </c>
      <c r="KW602" s="11" t="str">
        <f t="shared" si="427"/>
        <v>Peru - Mejoramiento de las condiciones de personas desplazadas internas por medio del establecimiento y fortalecimiento de albergues en la región de Piura</v>
      </c>
      <c r="KX602" s="11" t="str">
        <f t="shared" si="428"/>
        <v>Mejoramiento de las condiciones de personas desplazadas internas por medio del establecimiento y fortalecimiento de albergues en la región de Piura</v>
      </c>
      <c r="KY602" s="11" t="str">
        <f t="shared" si="429"/>
        <v>Peru</v>
      </c>
      <c r="KZ602" s="12">
        <v>602</v>
      </c>
    </row>
    <row r="603" spans="1:312" x14ac:dyDescent="0.3">
      <c r="A603" s="12" t="s">
        <v>9706</v>
      </c>
      <c r="B603" s="12" t="s">
        <v>2807</v>
      </c>
      <c r="C603" s="12"/>
      <c r="D603" s="12" t="s">
        <v>10089</v>
      </c>
      <c r="E603" s="277" t="str">
        <f t="shared" si="387"/>
        <v>Peru</v>
      </c>
      <c r="F603" s="12" t="s">
        <v>10090</v>
      </c>
      <c r="G603" s="12" t="s">
        <v>379</v>
      </c>
      <c r="H603" s="12" t="s">
        <v>380</v>
      </c>
      <c r="I603" s="12" t="s">
        <v>384</v>
      </c>
      <c r="J603" s="281" t="s">
        <v>4991</v>
      </c>
      <c r="K603" s="12"/>
      <c r="L603" s="12"/>
      <c r="M603" s="12"/>
      <c r="N603" s="12"/>
      <c r="O603" s="12"/>
      <c r="P603" s="12"/>
      <c r="Q603" s="12"/>
      <c r="R603" s="12"/>
      <c r="S603" s="12"/>
      <c r="T603" s="12"/>
      <c r="U603" s="12"/>
      <c r="V603" s="12"/>
      <c r="W603" s="12"/>
      <c r="X603" s="12"/>
      <c r="Y603" s="12"/>
      <c r="Z603" s="12"/>
      <c r="AA603" s="12"/>
      <c r="AB603" s="12"/>
      <c r="AC603" s="12"/>
      <c r="AD603" s="12"/>
      <c r="BD603" s="13">
        <v>42552</v>
      </c>
      <c r="BE603" s="13">
        <v>43640</v>
      </c>
      <c r="BF603" s="12"/>
      <c r="BG603" s="12" t="s">
        <v>312</v>
      </c>
      <c r="BH603" s="14">
        <v>150000</v>
      </c>
      <c r="BI603" s="12" t="s">
        <v>10091</v>
      </c>
      <c r="BJ603" s="12" t="s">
        <v>10092</v>
      </c>
      <c r="BK603" s="12" t="s">
        <v>10093</v>
      </c>
      <c r="BL603" s="12" t="s">
        <v>9738</v>
      </c>
      <c r="BM603" s="12" t="s">
        <v>9739</v>
      </c>
      <c r="BN603" s="12" t="s">
        <v>9713</v>
      </c>
      <c r="BO603" s="12" t="s">
        <v>320</v>
      </c>
      <c r="BP603" s="12" t="s">
        <v>320</v>
      </c>
      <c r="BQ603" s="12" t="s">
        <v>320</v>
      </c>
      <c r="BR603" s="12" t="s">
        <v>10094</v>
      </c>
      <c r="BS603" s="12" t="s">
        <v>357</v>
      </c>
      <c r="BT603" s="12" t="s">
        <v>10095</v>
      </c>
      <c r="BU603" s="12" t="s">
        <v>10096</v>
      </c>
      <c r="BV603" s="14">
        <v>17</v>
      </c>
      <c r="BW603" s="14">
        <v>18</v>
      </c>
      <c r="BX603" s="14">
        <v>35</v>
      </c>
      <c r="BY603" s="14">
        <v>0</v>
      </c>
      <c r="BZ603" s="14">
        <v>0</v>
      </c>
      <c r="CA603" s="14">
        <v>0</v>
      </c>
      <c r="CB603" s="12" t="s">
        <v>10097</v>
      </c>
      <c r="CD603" s="14"/>
      <c r="CE603" s="14"/>
      <c r="CF603" s="14"/>
      <c r="CG603" s="14"/>
      <c r="CH603" s="14"/>
      <c r="CI603" s="14"/>
      <c r="CJ603" s="12" t="s">
        <v>319</v>
      </c>
      <c r="CK603" s="14"/>
      <c r="CL603" s="16"/>
      <c r="CM603" s="14"/>
      <c r="CN603" s="12" t="s">
        <v>319</v>
      </c>
      <c r="CO603" s="14"/>
      <c r="CP603" s="16"/>
      <c r="CQ603" s="14"/>
      <c r="CR603" s="12" t="s">
        <v>319</v>
      </c>
      <c r="CS603" s="14"/>
      <c r="CT603" s="16"/>
      <c r="CU603" s="14"/>
      <c r="CV603" s="12" t="s">
        <v>319</v>
      </c>
      <c r="CW603" s="14"/>
      <c r="CX603" s="16"/>
      <c r="CY603" s="14"/>
      <c r="CZ603" s="12" t="s">
        <v>319</v>
      </c>
      <c r="DA603" s="14"/>
      <c r="DB603" s="16"/>
      <c r="DC603" s="14"/>
      <c r="DD603" s="12" t="s">
        <v>319</v>
      </c>
      <c r="DE603" s="14"/>
      <c r="DF603" s="16"/>
      <c r="DG603" s="14"/>
      <c r="DH603" s="12" t="s">
        <v>319</v>
      </c>
      <c r="DI603" s="14"/>
      <c r="DJ603" s="16"/>
      <c r="DK603" s="14"/>
      <c r="DL603" s="12" t="s">
        <v>319</v>
      </c>
      <c r="DM603" s="14"/>
      <c r="DN603" s="16"/>
      <c r="DO603" s="14"/>
      <c r="DP603" s="12" t="s">
        <v>319</v>
      </c>
      <c r="DQ603" s="14"/>
      <c r="DR603" s="16"/>
      <c r="DS603" s="14"/>
      <c r="DT603" s="12" t="s">
        <v>319</v>
      </c>
      <c r="DU603" s="14"/>
      <c r="DV603" s="16"/>
      <c r="DW603" s="14"/>
      <c r="DX603" s="12" t="s">
        <v>319</v>
      </c>
      <c r="DY603" s="14"/>
      <c r="DZ603" s="16"/>
      <c r="EA603" s="14"/>
      <c r="EB603" s="11" t="s">
        <v>320</v>
      </c>
      <c r="EC603" s="14">
        <v>35</v>
      </c>
      <c r="ED603" s="16">
        <v>0.5</v>
      </c>
      <c r="EE603" s="14"/>
      <c r="EF603" s="12"/>
      <c r="EG603" s="12" t="s">
        <v>319</v>
      </c>
      <c r="EH603" s="14"/>
      <c r="EI603" s="16"/>
      <c r="EJ603" s="14"/>
      <c r="EK603" s="14">
        <v>17</v>
      </c>
      <c r="EL603" s="14">
        <v>18</v>
      </c>
      <c r="EM603" s="14">
        <v>35</v>
      </c>
      <c r="EN603" s="14">
        <v>0</v>
      </c>
      <c r="EO603" s="14">
        <v>0</v>
      </c>
      <c r="EP603" s="14">
        <v>0</v>
      </c>
      <c r="EQ603" s="12" t="s">
        <v>319</v>
      </c>
      <c r="ER603" s="14"/>
      <c r="ES603" s="16"/>
      <c r="ET603" s="14"/>
      <c r="EU603" s="11" t="s">
        <v>319</v>
      </c>
      <c r="EV603" s="14"/>
      <c r="EW603" s="16"/>
      <c r="EX603" s="14"/>
      <c r="EY603" s="12" t="s">
        <v>319</v>
      </c>
      <c r="EZ603" s="14"/>
      <c r="FA603" s="16"/>
      <c r="FB603" s="14"/>
      <c r="FC603" s="12" t="s">
        <v>319</v>
      </c>
      <c r="FD603" s="14"/>
      <c r="FE603" s="16"/>
      <c r="FF603" s="14"/>
      <c r="FG603" s="12" t="s">
        <v>319</v>
      </c>
      <c r="FH603" s="14"/>
      <c r="FI603" s="16"/>
      <c r="FJ603" s="14"/>
      <c r="FK603" s="12" t="s">
        <v>319</v>
      </c>
      <c r="FL603" s="14"/>
      <c r="FM603" s="16"/>
      <c r="FN603" s="14"/>
      <c r="FO603" s="12" t="s">
        <v>319</v>
      </c>
      <c r="FP603" s="14"/>
      <c r="FQ603" s="16"/>
      <c r="FR603" s="14"/>
      <c r="FS603" s="12" t="s">
        <v>319</v>
      </c>
      <c r="FT603" s="14"/>
      <c r="FU603" s="16"/>
      <c r="FV603" s="14"/>
      <c r="FW603" s="12" t="s">
        <v>319</v>
      </c>
      <c r="FX603" s="14"/>
      <c r="FY603" s="16"/>
      <c r="FZ603" s="14"/>
      <c r="GA603" s="12" t="s">
        <v>319</v>
      </c>
      <c r="GB603" s="14"/>
      <c r="GC603" s="16"/>
      <c r="GD603" s="14"/>
      <c r="GE603" s="12" t="s">
        <v>319</v>
      </c>
      <c r="GF603" s="14"/>
      <c r="GG603" s="16"/>
      <c r="GH603" s="14"/>
      <c r="GI603" s="12" t="s">
        <v>319</v>
      </c>
      <c r="GJ603" s="14"/>
      <c r="GK603" s="16"/>
      <c r="GL603" s="14"/>
      <c r="GM603" s="12" t="s">
        <v>319</v>
      </c>
      <c r="GN603" s="14"/>
      <c r="GO603" s="16"/>
      <c r="GP603" s="14"/>
      <c r="GQ603" s="12" t="s">
        <v>319</v>
      </c>
      <c r="GR603" s="14"/>
      <c r="GS603" s="16"/>
      <c r="GT603" s="14"/>
      <c r="GU603" s="12" t="s">
        <v>320</v>
      </c>
      <c r="GV603" s="14">
        <v>35</v>
      </c>
      <c r="GW603" s="16">
        <v>0.49</v>
      </c>
      <c r="GX603" s="14"/>
      <c r="GY603" s="12" t="s">
        <v>319</v>
      </c>
      <c r="GZ603" s="14"/>
      <c r="HA603" s="16"/>
      <c r="HB603" s="14"/>
      <c r="HC603" s="12"/>
      <c r="HD603" s="12" t="s">
        <v>319</v>
      </c>
      <c r="HE603" s="14"/>
      <c r="HF603" s="16"/>
      <c r="HG603" s="14"/>
      <c r="HH603" s="12" t="s">
        <v>320</v>
      </c>
      <c r="HI603" s="12" t="s">
        <v>416</v>
      </c>
      <c r="HJ603" s="12">
        <v>2017</v>
      </c>
      <c r="HK603" s="12" t="s">
        <v>319</v>
      </c>
      <c r="HL603" s="12" t="s">
        <v>320</v>
      </c>
      <c r="HM603" s="12" t="s">
        <v>416</v>
      </c>
      <c r="HN603" s="12">
        <v>2018</v>
      </c>
      <c r="HO603" s="12" t="s">
        <v>10098</v>
      </c>
      <c r="HP603" s="12" t="s">
        <v>418</v>
      </c>
      <c r="HQ603" s="12" t="s">
        <v>319</v>
      </c>
      <c r="HR603" s="12" t="s">
        <v>319</v>
      </c>
      <c r="HS603" s="12" t="s">
        <v>320</v>
      </c>
      <c r="HT603" s="12" t="s">
        <v>319</v>
      </c>
      <c r="HU603" s="12" t="s">
        <v>319</v>
      </c>
      <c r="HV603" s="12" t="s">
        <v>319</v>
      </c>
      <c r="HW603" s="12" t="s">
        <v>319</v>
      </c>
      <c r="HX603" s="12" t="s">
        <v>319</v>
      </c>
      <c r="HY603" s="12"/>
      <c r="HZ603" s="11" t="s">
        <v>331</v>
      </c>
      <c r="IA603" s="12" t="s">
        <v>10099</v>
      </c>
      <c r="IB603" s="12" t="s">
        <v>333</v>
      </c>
      <c r="IC603" s="12"/>
      <c r="ID603" s="11" t="s">
        <v>364</v>
      </c>
      <c r="IE603" s="12" t="s">
        <v>335</v>
      </c>
      <c r="IF603" s="12" t="s">
        <v>320</v>
      </c>
      <c r="IG603" s="12" t="s">
        <v>320</v>
      </c>
      <c r="IH603" s="12" t="s">
        <v>320</v>
      </c>
      <c r="II603" s="12" t="s">
        <v>320</v>
      </c>
      <c r="IJ603" s="12" t="str">
        <f t="shared" si="388"/>
        <v>2. Sensitive</v>
      </c>
      <c r="IK603" s="12">
        <f t="shared" si="389"/>
        <v>4</v>
      </c>
      <c r="IL603" s="12" t="s">
        <v>336</v>
      </c>
      <c r="IM603" s="12" t="s">
        <v>320</v>
      </c>
      <c r="IN603" s="12" t="s">
        <v>320</v>
      </c>
      <c r="IO603" s="12" t="s">
        <v>320</v>
      </c>
      <c r="IP603" s="12" t="s">
        <v>320</v>
      </c>
      <c r="IQ603" s="12" t="str">
        <f t="shared" si="390"/>
        <v>2. Accommodating</v>
      </c>
      <c r="IR603" s="12">
        <f t="shared" si="391"/>
        <v>4</v>
      </c>
      <c r="IS603" s="12" t="s">
        <v>456</v>
      </c>
      <c r="IT603" s="12" t="s">
        <v>320</v>
      </c>
      <c r="IU603" s="12" t="s">
        <v>319</v>
      </c>
      <c r="IV603" s="12" t="s">
        <v>319</v>
      </c>
      <c r="IW603" s="11" t="str">
        <f t="shared" si="392"/>
        <v>0. Harmful</v>
      </c>
      <c r="IX603" s="12">
        <f t="shared" si="393"/>
        <v>1</v>
      </c>
      <c r="IY603" s="11" t="s">
        <v>419</v>
      </c>
      <c r="IZ603" s="12" t="s">
        <v>339</v>
      </c>
      <c r="JA603" s="12"/>
      <c r="JB603" s="11" t="s">
        <v>624</v>
      </c>
      <c r="JC603" s="12"/>
      <c r="JD603" s="12"/>
      <c r="JE603" s="12" t="s">
        <v>420</v>
      </c>
      <c r="JF603" s="12"/>
      <c r="JG603" s="12" t="s">
        <v>10100</v>
      </c>
      <c r="JH603" s="12" t="s">
        <v>10101</v>
      </c>
      <c r="JI603" s="12" t="s">
        <v>10102</v>
      </c>
      <c r="JJ603" s="12" t="s">
        <v>10103</v>
      </c>
      <c r="JK603" s="12" t="s">
        <v>10104</v>
      </c>
      <c r="JL603" s="12" t="s">
        <v>10105</v>
      </c>
      <c r="JM603" s="12" t="s">
        <v>10106</v>
      </c>
      <c r="JN603" s="12"/>
      <c r="JO603" s="12" t="s">
        <v>10107</v>
      </c>
      <c r="JP603" s="15">
        <f t="shared" si="394"/>
        <v>35</v>
      </c>
      <c r="JQ603" s="15">
        <f t="shared" si="395"/>
        <v>0</v>
      </c>
      <c r="JR603" s="279">
        <f t="shared" si="396"/>
        <v>0</v>
      </c>
      <c r="JS603" s="17">
        <f t="shared" si="397"/>
        <v>0.48571428571428571</v>
      </c>
      <c r="JT603" s="18" t="str">
        <f t="shared" si="398"/>
        <v/>
      </c>
      <c r="JU603" s="280">
        <f t="shared" si="399"/>
        <v>17</v>
      </c>
      <c r="JV603" s="280">
        <f t="shared" si="400"/>
        <v>0</v>
      </c>
      <c r="JW603" s="319">
        <f t="shared" si="401"/>
        <v>1</v>
      </c>
      <c r="JX603" s="15">
        <f t="shared" si="402"/>
        <v>0</v>
      </c>
      <c r="JY603" s="15">
        <f t="shared" si="403"/>
        <v>0</v>
      </c>
      <c r="JZ603" s="19" t="str">
        <f t="shared" si="404"/>
        <v/>
      </c>
      <c r="KA603" s="52">
        <f t="shared" si="405"/>
        <v>1</v>
      </c>
      <c r="KB603" s="15">
        <f t="shared" si="406"/>
        <v>35</v>
      </c>
      <c r="KC603" s="15">
        <f t="shared" si="407"/>
        <v>0</v>
      </c>
      <c r="KD603" s="20">
        <f t="shared" si="408"/>
        <v>0</v>
      </c>
      <c r="KE603" s="52" t="str">
        <f t="shared" si="409"/>
        <v/>
      </c>
      <c r="KF603" s="15">
        <f t="shared" si="410"/>
        <v>0</v>
      </c>
      <c r="KG603" s="15">
        <f t="shared" si="411"/>
        <v>0</v>
      </c>
      <c r="KH603" s="21" t="str">
        <f t="shared" si="412"/>
        <v/>
      </c>
      <c r="KI603" s="52" t="str">
        <f t="shared" si="413"/>
        <v/>
      </c>
      <c r="KJ603" s="15">
        <f t="shared" si="414"/>
        <v>0</v>
      </c>
      <c r="KK603" s="15">
        <f t="shared" si="415"/>
        <v>0</v>
      </c>
      <c r="KL603" s="19" t="str">
        <f t="shared" si="416"/>
        <v/>
      </c>
      <c r="KM603" s="52" t="str">
        <f t="shared" si="417"/>
        <v/>
      </c>
      <c r="KN603" s="22">
        <f t="shared" si="418"/>
        <v>0</v>
      </c>
      <c r="KO603" s="22">
        <f t="shared" si="419"/>
        <v>0</v>
      </c>
      <c r="KP603" s="19" t="str">
        <f t="shared" si="420"/>
        <v/>
      </c>
      <c r="KQ603" s="11" t="str">
        <f t="shared" si="421"/>
        <v>2. Sensitive</v>
      </c>
      <c r="KR603" s="11" t="str">
        <f t="shared" si="422"/>
        <v>2. Accommodating</v>
      </c>
      <c r="KS603" s="11" t="str">
        <f t="shared" si="423"/>
        <v>0. Harmful</v>
      </c>
      <c r="KT603" s="11" t="str">
        <f t="shared" si="424"/>
        <v>It tested new ways for fighting poverty and measured results of innovation</v>
      </c>
      <c r="KU603" s="11" t="str">
        <f t="shared" si="425"/>
        <v>Little or no advocacy</v>
      </c>
      <c r="KV603" s="11" t="str">
        <f t="shared" si="426"/>
        <v>It did not take tested solutions to scale</v>
      </c>
      <c r="KW603" s="11" t="str">
        <f t="shared" si="427"/>
        <v>Peru - Mi Agua Solar</v>
      </c>
      <c r="KX603" s="11" t="str">
        <f t="shared" si="428"/>
        <v>Mi Agua Solar</v>
      </c>
      <c r="KY603" s="11" t="str">
        <f t="shared" si="429"/>
        <v>Peru</v>
      </c>
      <c r="KZ603" s="12">
        <v>603</v>
      </c>
    </row>
    <row r="604" spans="1:312" x14ac:dyDescent="0.3">
      <c r="A604" s="11" t="s">
        <v>9706</v>
      </c>
      <c r="B604" s="11" t="s">
        <v>2807</v>
      </c>
      <c r="D604" s="11" t="s">
        <v>9964</v>
      </c>
      <c r="E604" s="277" t="str">
        <f t="shared" si="387"/>
        <v>Peru</v>
      </c>
      <c r="F604" s="11" t="s">
        <v>9965</v>
      </c>
      <c r="G604" s="11" t="s">
        <v>9835</v>
      </c>
      <c r="H604" s="11" t="s">
        <v>384</v>
      </c>
      <c r="I604" s="11" t="s">
        <v>384</v>
      </c>
      <c r="J604" s="278" t="s">
        <v>9835</v>
      </c>
      <c r="BD604" s="23">
        <v>42461</v>
      </c>
      <c r="BE604" s="23">
        <v>43465</v>
      </c>
      <c r="BG604" s="11" t="s">
        <v>312</v>
      </c>
      <c r="BH604" s="22">
        <v>271085</v>
      </c>
      <c r="BI604" s="11" t="s">
        <v>9966</v>
      </c>
      <c r="BJ604" s="11" t="s">
        <v>9967</v>
      </c>
      <c r="BK604" s="11" t="s">
        <v>9968</v>
      </c>
      <c r="BO604" s="12" t="s">
        <v>319</v>
      </c>
      <c r="BP604" s="12" t="s">
        <v>320</v>
      </c>
      <c r="BQ604" s="12" t="s">
        <v>319</v>
      </c>
      <c r="BR604" s="11" t="s">
        <v>9969</v>
      </c>
      <c r="BS604" s="11" t="s">
        <v>357</v>
      </c>
      <c r="BT604" s="11" t="s">
        <v>9970</v>
      </c>
      <c r="BU604" s="11" t="s">
        <v>9971</v>
      </c>
      <c r="BV604" s="22">
        <v>5500</v>
      </c>
      <c r="BW604" s="22">
        <v>3993</v>
      </c>
      <c r="BX604" s="22">
        <v>9493</v>
      </c>
      <c r="BY604" s="22">
        <v>16917</v>
      </c>
      <c r="BZ604" s="22">
        <v>17258</v>
      </c>
      <c r="CA604" s="22">
        <v>34175</v>
      </c>
      <c r="CB604" s="15" t="s">
        <v>9972</v>
      </c>
      <c r="CL604" s="18"/>
      <c r="CP604" s="18"/>
      <c r="CT604" s="18"/>
      <c r="CX604" s="18"/>
      <c r="DB604" s="18"/>
      <c r="DF604" s="18"/>
      <c r="DJ604" s="18"/>
      <c r="DN604" s="18"/>
      <c r="DR604" s="18"/>
      <c r="DV604" s="18"/>
      <c r="DZ604" s="18"/>
      <c r="ED604" s="18"/>
      <c r="EI604" s="18"/>
      <c r="EK604" s="22">
        <v>5500</v>
      </c>
      <c r="EL604" s="22">
        <v>3993</v>
      </c>
      <c r="EM604" s="22">
        <v>9493</v>
      </c>
      <c r="EN604" s="22">
        <v>16917</v>
      </c>
      <c r="EO604" s="22">
        <v>17258</v>
      </c>
      <c r="EP604" s="22">
        <v>34175</v>
      </c>
      <c r="ES604" s="18"/>
      <c r="EW604" s="18"/>
      <c r="FA604" s="18"/>
      <c r="FE604" s="18"/>
      <c r="FI604" s="18"/>
      <c r="FK604" s="12" t="s">
        <v>320</v>
      </c>
      <c r="FL604" s="22">
        <v>9493</v>
      </c>
      <c r="FM604" s="18">
        <v>0.57999999999999996</v>
      </c>
      <c r="FN604" s="22">
        <v>34175</v>
      </c>
      <c r="FQ604" s="18"/>
      <c r="FS604" s="12" t="s">
        <v>320</v>
      </c>
      <c r="FT604" s="22">
        <v>9493</v>
      </c>
      <c r="FU604" s="18">
        <v>0.57999999999999996</v>
      </c>
      <c r="FV604" s="22">
        <v>34175</v>
      </c>
      <c r="FW604" s="11" t="s">
        <v>320</v>
      </c>
      <c r="FX604" s="22">
        <v>9493</v>
      </c>
      <c r="FY604" s="18">
        <v>0.57999999999999996</v>
      </c>
      <c r="FZ604" s="22">
        <v>34175</v>
      </c>
      <c r="GC604" s="18"/>
      <c r="GG604" s="18"/>
      <c r="GK604" s="18"/>
      <c r="GM604" s="11" t="s">
        <v>320</v>
      </c>
      <c r="GN604" s="22">
        <v>120</v>
      </c>
      <c r="GO604" s="18">
        <v>0.5</v>
      </c>
      <c r="GP604" s="22">
        <v>10543</v>
      </c>
      <c r="GQ604" s="12" t="s">
        <v>320</v>
      </c>
      <c r="GR604" s="22">
        <v>9493</v>
      </c>
      <c r="GS604" s="18">
        <v>0.57999999999999996</v>
      </c>
      <c r="GT604" s="22">
        <v>34175</v>
      </c>
      <c r="GW604" s="18"/>
      <c r="GY604" s="11" t="s">
        <v>320</v>
      </c>
      <c r="GZ604" s="22">
        <v>4640</v>
      </c>
      <c r="HA604" s="18">
        <v>0.57999999999999996</v>
      </c>
      <c r="HB604" s="22">
        <v>20880</v>
      </c>
      <c r="HF604" s="18"/>
      <c r="HH604" s="11" t="s">
        <v>319</v>
      </c>
      <c r="HK604" s="11" t="s">
        <v>319</v>
      </c>
      <c r="HL604" s="11" t="s">
        <v>320</v>
      </c>
      <c r="HM604" s="11" t="s">
        <v>619</v>
      </c>
      <c r="HN604" s="11">
        <v>2017</v>
      </c>
      <c r="HO604" s="11" t="s">
        <v>9973</v>
      </c>
      <c r="HP604" s="11" t="s">
        <v>330</v>
      </c>
      <c r="HT604" s="11" t="s">
        <v>320</v>
      </c>
      <c r="HZ604" s="12" t="s">
        <v>394</v>
      </c>
      <c r="IA604" s="11" t="s">
        <v>9974</v>
      </c>
      <c r="IB604" s="12" t="s">
        <v>333</v>
      </c>
      <c r="ID604" s="12" t="s">
        <v>334</v>
      </c>
      <c r="IE604" s="11" t="s">
        <v>478</v>
      </c>
      <c r="IF604" s="11" t="s">
        <v>320</v>
      </c>
      <c r="IG604" s="11" t="s">
        <v>320</v>
      </c>
      <c r="IH604" s="11" t="s">
        <v>320</v>
      </c>
      <c r="II604" s="11" t="s">
        <v>320</v>
      </c>
      <c r="IJ604" s="12" t="str">
        <f t="shared" si="388"/>
        <v>4. Transformative</v>
      </c>
      <c r="IK604" s="12">
        <f t="shared" si="389"/>
        <v>4</v>
      </c>
      <c r="IL604" s="11" t="s">
        <v>621</v>
      </c>
      <c r="IM604" s="11" t="s">
        <v>320</v>
      </c>
      <c r="IN604" s="11" t="s">
        <v>320</v>
      </c>
      <c r="IO604" s="11" t="s">
        <v>320</v>
      </c>
      <c r="IP604" s="11" t="s">
        <v>320</v>
      </c>
      <c r="IQ604" s="12" t="str">
        <f t="shared" si="390"/>
        <v>4. Transformational</v>
      </c>
      <c r="IR604" s="12">
        <f t="shared" si="391"/>
        <v>4</v>
      </c>
      <c r="IS604" s="11" t="s">
        <v>337</v>
      </c>
      <c r="IT604" s="11" t="s">
        <v>320</v>
      </c>
      <c r="IU604" s="11" t="s">
        <v>319</v>
      </c>
      <c r="IV604" s="11" t="s">
        <v>319</v>
      </c>
      <c r="IW604" s="11" t="str">
        <f t="shared" si="392"/>
        <v>1. Neutral</v>
      </c>
      <c r="IX604" s="12">
        <f t="shared" si="393"/>
        <v>1</v>
      </c>
      <c r="IY604" s="12" t="s">
        <v>338</v>
      </c>
      <c r="IZ604" s="12" t="s">
        <v>339</v>
      </c>
      <c r="JA604" s="11">
        <v>2</v>
      </c>
      <c r="JB604" s="12" t="s">
        <v>687</v>
      </c>
      <c r="JC604" s="11" t="s">
        <v>724</v>
      </c>
      <c r="JE604" s="12" t="s">
        <v>340</v>
      </c>
      <c r="JF604" s="11" t="s">
        <v>9975</v>
      </c>
      <c r="JH604" s="11" t="s">
        <v>9976</v>
      </c>
      <c r="JI604" s="11" t="s">
        <v>9977</v>
      </c>
      <c r="JJ604" s="11" t="s">
        <v>9978</v>
      </c>
      <c r="JK604" s="11" t="s">
        <v>9979</v>
      </c>
      <c r="JL604" s="11" t="s">
        <v>9980</v>
      </c>
      <c r="JM604" s="11" t="s">
        <v>9981</v>
      </c>
      <c r="JO604" s="11" t="s">
        <v>9982</v>
      </c>
      <c r="JP604" s="15">
        <f t="shared" si="394"/>
        <v>9493</v>
      </c>
      <c r="JQ604" s="15">
        <f t="shared" si="395"/>
        <v>34175</v>
      </c>
      <c r="JR604" s="279">
        <f t="shared" si="396"/>
        <v>3.600021068155483</v>
      </c>
      <c r="JS604" s="17">
        <f t="shared" si="397"/>
        <v>0.57937427578215528</v>
      </c>
      <c r="JT604" s="18">
        <f t="shared" si="398"/>
        <v>0.49501097293343088</v>
      </c>
      <c r="JU604" s="280">
        <f t="shared" si="399"/>
        <v>5500</v>
      </c>
      <c r="JV604" s="280">
        <f t="shared" si="400"/>
        <v>16917</v>
      </c>
      <c r="JW604" s="319" t="str">
        <f t="shared" si="401"/>
        <v/>
      </c>
      <c r="JX604" s="15">
        <f t="shared" si="402"/>
        <v>0</v>
      </c>
      <c r="JY604" s="15">
        <f t="shared" si="403"/>
        <v>0</v>
      </c>
      <c r="JZ604" s="19" t="str">
        <f t="shared" si="404"/>
        <v/>
      </c>
      <c r="KA604" s="52" t="str">
        <f t="shared" si="405"/>
        <v/>
      </c>
      <c r="KB604" s="15">
        <f t="shared" si="406"/>
        <v>0</v>
      </c>
      <c r="KC604" s="15">
        <f t="shared" si="407"/>
        <v>0</v>
      </c>
      <c r="KD604" s="20" t="str">
        <f t="shared" si="408"/>
        <v/>
      </c>
      <c r="KE604" s="52">
        <f t="shared" si="409"/>
        <v>1</v>
      </c>
      <c r="KF604" s="15">
        <f t="shared" si="410"/>
        <v>9493</v>
      </c>
      <c r="KG604" s="15">
        <f t="shared" si="411"/>
        <v>34175</v>
      </c>
      <c r="KH604" s="21">
        <f t="shared" si="412"/>
        <v>3.600021068155483</v>
      </c>
      <c r="KI604" s="52">
        <f t="shared" si="413"/>
        <v>1</v>
      </c>
      <c r="KJ604" s="15">
        <f t="shared" si="414"/>
        <v>9493</v>
      </c>
      <c r="KK604" s="15">
        <f t="shared" si="415"/>
        <v>34175</v>
      </c>
      <c r="KL604" s="19">
        <f t="shared" si="416"/>
        <v>3.600021068155483</v>
      </c>
      <c r="KM604" s="52">
        <f t="shared" si="417"/>
        <v>1</v>
      </c>
      <c r="KN604" s="22">
        <f t="shared" si="418"/>
        <v>4640</v>
      </c>
      <c r="KO604" s="22">
        <f t="shared" si="419"/>
        <v>20880</v>
      </c>
      <c r="KP604" s="19">
        <f t="shared" si="420"/>
        <v>4.5</v>
      </c>
      <c r="KQ604" s="11" t="str">
        <f t="shared" si="421"/>
        <v>4. Transformative</v>
      </c>
      <c r="KR604" s="11" t="str">
        <f t="shared" si="422"/>
        <v>4. Transformational</v>
      </c>
      <c r="KS604" s="11" t="str">
        <f t="shared" si="423"/>
        <v>1. Neutral</v>
      </c>
      <c r="KT604" s="11" t="str">
        <f t="shared" si="424"/>
        <v>It tested new ways for fighting poverty, but did not measure results of innovation</v>
      </c>
      <c r="KU604" s="11" t="str">
        <f t="shared" si="425"/>
        <v>Moderate advocacy</v>
      </c>
      <c r="KV604" s="11" t="str">
        <f t="shared" si="426"/>
        <v>It did not take tested solutions to scale</v>
      </c>
      <c r="KW604" s="11" t="str">
        <f t="shared" si="427"/>
        <v>Peru - NIÑAS CON OPORTUNIDADES</v>
      </c>
      <c r="KX604" s="11" t="str">
        <f t="shared" si="428"/>
        <v>NIÑAS CON OPORTUNIDADES</v>
      </c>
      <c r="KY604" s="11" t="str">
        <f t="shared" si="429"/>
        <v>Peru</v>
      </c>
      <c r="KZ604" s="12">
        <v>604</v>
      </c>
    </row>
    <row r="605" spans="1:312" x14ac:dyDescent="0.3">
      <c r="A605" s="12" t="s">
        <v>9706</v>
      </c>
      <c r="B605" s="12" t="s">
        <v>2807</v>
      </c>
      <c r="C605" s="12"/>
      <c r="D605" s="12" t="s">
        <v>9983</v>
      </c>
      <c r="E605" s="277" t="str">
        <f t="shared" si="387"/>
        <v>Peru</v>
      </c>
      <c r="F605" s="12" t="s">
        <v>9984</v>
      </c>
      <c r="G605" s="12" t="s">
        <v>9835</v>
      </c>
      <c r="H605" s="12" t="s">
        <v>384</v>
      </c>
      <c r="I605" s="12" t="s">
        <v>384</v>
      </c>
      <c r="J605" s="281" t="s">
        <v>9985</v>
      </c>
      <c r="K605" s="12"/>
      <c r="L605" s="12"/>
      <c r="M605" s="12"/>
      <c r="N605" s="12"/>
      <c r="O605" s="12"/>
      <c r="P605" s="12"/>
      <c r="Q605" s="12"/>
      <c r="R605" s="12"/>
      <c r="S605" s="12"/>
      <c r="T605" s="12"/>
      <c r="U605" s="12"/>
      <c r="V605" s="12"/>
      <c r="W605" s="12"/>
      <c r="X605" s="12"/>
      <c r="Y605" s="12"/>
      <c r="Z605" s="12"/>
      <c r="AA605" s="12"/>
      <c r="AB605" s="12"/>
      <c r="AC605" s="12"/>
      <c r="AD605" s="12"/>
      <c r="BD605" s="13">
        <v>42846</v>
      </c>
      <c r="BE605" s="13">
        <v>43008</v>
      </c>
      <c r="BF605" s="12"/>
      <c r="BG605" s="12" t="s">
        <v>817</v>
      </c>
      <c r="BH605" s="14">
        <v>92250</v>
      </c>
      <c r="BI605" s="12" t="s">
        <v>9837</v>
      </c>
      <c r="BJ605" s="12" t="s">
        <v>9838</v>
      </c>
      <c r="BK605" s="12" t="s">
        <v>9839</v>
      </c>
      <c r="BL605" s="12"/>
      <c r="BM605" s="12"/>
      <c r="BN605" s="12"/>
      <c r="BO605" s="12" t="s">
        <v>320</v>
      </c>
      <c r="BP605" s="12" t="s">
        <v>319</v>
      </c>
      <c r="BQ605" s="12" t="s">
        <v>319</v>
      </c>
      <c r="BR605" s="12" t="s">
        <v>9986</v>
      </c>
      <c r="BS605" s="12" t="s">
        <v>357</v>
      </c>
      <c r="BT605" s="12" t="s">
        <v>9987</v>
      </c>
      <c r="BU605" s="12" t="s">
        <v>9842</v>
      </c>
      <c r="BV605" s="14">
        <v>5061</v>
      </c>
      <c r="BW605" s="14">
        <v>4949</v>
      </c>
      <c r="BX605" s="14">
        <v>10010</v>
      </c>
      <c r="BY605" s="14"/>
      <c r="BZ605" s="14"/>
      <c r="CA605" s="14">
        <v>0</v>
      </c>
      <c r="CB605" s="12" t="s">
        <v>9988</v>
      </c>
      <c r="CD605" s="14">
        <v>5061</v>
      </c>
      <c r="CE605" s="14">
        <v>4949</v>
      </c>
      <c r="CF605" s="14">
        <v>10010</v>
      </c>
      <c r="CG605" s="14"/>
      <c r="CH605" s="14"/>
      <c r="CI605" s="14">
        <v>0</v>
      </c>
      <c r="CJ605" s="12"/>
      <c r="CK605" s="14"/>
      <c r="CL605" s="16"/>
      <c r="CM605" s="14"/>
      <c r="CN605" s="12"/>
      <c r="CO605" s="14"/>
      <c r="CP605" s="16"/>
      <c r="CQ605" s="14"/>
      <c r="CR605" s="12"/>
      <c r="CS605" s="14"/>
      <c r="CT605" s="16"/>
      <c r="CU605" s="14"/>
      <c r="CV605" s="12"/>
      <c r="CW605" s="14"/>
      <c r="CX605" s="16"/>
      <c r="CY605" s="14"/>
      <c r="CZ605" s="12"/>
      <c r="DA605" s="14"/>
      <c r="DB605" s="16"/>
      <c r="DC605" s="14"/>
      <c r="DD605" s="12"/>
      <c r="DE605" s="14"/>
      <c r="DF605" s="16"/>
      <c r="DG605" s="14"/>
      <c r="DH605" s="12" t="s">
        <v>320</v>
      </c>
      <c r="DI605" s="14">
        <v>10010</v>
      </c>
      <c r="DJ605" s="16">
        <v>0.51</v>
      </c>
      <c r="DK605" s="14"/>
      <c r="DL605" s="11" t="s">
        <v>320</v>
      </c>
      <c r="DM605" s="14">
        <v>10010</v>
      </c>
      <c r="DN605" s="16">
        <v>0.51</v>
      </c>
      <c r="DO605" s="14"/>
      <c r="DP605" s="12"/>
      <c r="DQ605" s="14"/>
      <c r="DR605" s="16"/>
      <c r="DS605" s="14"/>
      <c r="DT605" s="12"/>
      <c r="DU605" s="14"/>
      <c r="DV605" s="16"/>
      <c r="DW605" s="14"/>
      <c r="DX605" s="12"/>
      <c r="DY605" s="14"/>
      <c r="DZ605" s="16"/>
      <c r="EA605" s="14"/>
      <c r="EB605" s="11" t="s">
        <v>320</v>
      </c>
      <c r="EC605" s="14">
        <v>726</v>
      </c>
      <c r="ED605" s="16">
        <v>0.51</v>
      </c>
      <c r="EE605" s="14"/>
      <c r="EF605" s="12"/>
      <c r="EG605" s="12"/>
      <c r="EH605" s="14"/>
      <c r="EI605" s="16"/>
      <c r="EJ605" s="14"/>
      <c r="EK605" s="14"/>
      <c r="EL605" s="14"/>
      <c r="EM605" s="14"/>
      <c r="EN605" s="14"/>
      <c r="EO605" s="14"/>
      <c r="EP605" s="14"/>
      <c r="EQ605" s="12"/>
      <c r="ER605" s="14"/>
      <c r="ES605" s="16"/>
      <c r="ET605" s="14"/>
      <c r="EU605" s="12"/>
      <c r="EV605" s="14"/>
      <c r="EW605" s="16"/>
      <c r="EX605" s="14"/>
      <c r="EY605" s="12"/>
      <c r="EZ605" s="14"/>
      <c r="FA605" s="16"/>
      <c r="FB605" s="14"/>
      <c r="FC605" s="12"/>
      <c r="FD605" s="14"/>
      <c r="FE605" s="16"/>
      <c r="FF605" s="14"/>
      <c r="FG605" s="12"/>
      <c r="FH605" s="14"/>
      <c r="FI605" s="16"/>
      <c r="FJ605" s="14"/>
      <c r="FK605" s="12"/>
      <c r="FL605" s="14"/>
      <c r="FM605" s="16"/>
      <c r="FN605" s="14"/>
      <c r="FO605" s="12"/>
      <c r="FP605" s="14"/>
      <c r="FQ605" s="16"/>
      <c r="FR605" s="14"/>
      <c r="FS605" s="12"/>
      <c r="FT605" s="14"/>
      <c r="FU605" s="16"/>
      <c r="FV605" s="14"/>
      <c r="FW605" s="12"/>
      <c r="FX605" s="14"/>
      <c r="FY605" s="16"/>
      <c r="FZ605" s="14"/>
      <c r="GA605" s="12"/>
      <c r="GB605" s="14"/>
      <c r="GC605" s="16"/>
      <c r="GD605" s="14"/>
      <c r="GE605" s="12"/>
      <c r="GF605" s="14"/>
      <c r="GG605" s="16"/>
      <c r="GH605" s="14"/>
      <c r="GI605" s="12"/>
      <c r="GJ605" s="14"/>
      <c r="GK605" s="16"/>
      <c r="GL605" s="14"/>
      <c r="GM605" s="12"/>
      <c r="GN605" s="14"/>
      <c r="GO605" s="16"/>
      <c r="GP605" s="14"/>
      <c r="GQ605" s="12"/>
      <c r="GR605" s="14"/>
      <c r="GS605" s="16"/>
      <c r="GT605" s="14"/>
      <c r="GU605" s="12"/>
      <c r="GV605" s="14"/>
      <c r="GW605" s="16"/>
      <c r="GX605" s="14"/>
      <c r="GY605" s="12"/>
      <c r="GZ605" s="14"/>
      <c r="HA605" s="16"/>
      <c r="HB605" s="14"/>
      <c r="HC605" s="12"/>
      <c r="HD605" s="12"/>
      <c r="HE605" s="14"/>
      <c r="HF605" s="16"/>
      <c r="HG605" s="14"/>
      <c r="HH605" s="12" t="s">
        <v>319</v>
      </c>
      <c r="HI605" s="12"/>
      <c r="HJ605" s="12"/>
      <c r="HK605" s="12"/>
      <c r="HL605" s="12"/>
      <c r="HM605" s="12"/>
      <c r="HN605" s="12"/>
      <c r="HO605" s="12"/>
      <c r="HP605" s="12" t="s">
        <v>330</v>
      </c>
      <c r="HQ605" s="12" t="s">
        <v>319</v>
      </c>
      <c r="HR605" s="12" t="s">
        <v>319</v>
      </c>
      <c r="HS605" s="12" t="s">
        <v>320</v>
      </c>
      <c r="HT605" s="12" t="s">
        <v>320</v>
      </c>
      <c r="HU605" s="12" t="s">
        <v>319</v>
      </c>
      <c r="HV605" s="12" t="s">
        <v>319</v>
      </c>
      <c r="HW605" s="12" t="s">
        <v>319</v>
      </c>
      <c r="HX605" s="12"/>
      <c r="HY605" s="12"/>
      <c r="HZ605" s="12" t="s">
        <v>394</v>
      </c>
      <c r="IA605" s="12"/>
      <c r="IB605" s="12" t="s">
        <v>333</v>
      </c>
      <c r="IC605" s="12"/>
      <c r="ID605" s="11" t="s">
        <v>364</v>
      </c>
      <c r="IE605" s="12" t="s">
        <v>335</v>
      </c>
      <c r="IF605" s="12" t="s">
        <v>319</v>
      </c>
      <c r="IG605" s="12" t="s">
        <v>320</v>
      </c>
      <c r="IH605" s="12" t="s">
        <v>320</v>
      </c>
      <c r="II605" s="12" t="s">
        <v>320</v>
      </c>
      <c r="IJ605" s="12" t="str">
        <f t="shared" si="388"/>
        <v>1. Neutral</v>
      </c>
      <c r="IK605" s="12">
        <f t="shared" si="389"/>
        <v>3</v>
      </c>
      <c r="IL605" s="12" t="s">
        <v>336</v>
      </c>
      <c r="IM605" s="12" t="s">
        <v>320</v>
      </c>
      <c r="IN605" s="12" t="s">
        <v>320</v>
      </c>
      <c r="IO605" s="12" t="s">
        <v>320</v>
      </c>
      <c r="IP605" s="12" t="s">
        <v>320</v>
      </c>
      <c r="IQ605" s="12" t="str">
        <f t="shared" si="390"/>
        <v>2. Accommodating</v>
      </c>
      <c r="IR605" s="12">
        <f t="shared" si="391"/>
        <v>4</v>
      </c>
      <c r="IS605" s="12" t="s">
        <v>337</v>
      </c>
      <c r="IT605" s="12" t="s">
        <v>320</v>
      </c>
      <c r="IU605" s="12" t="s">
        <v>319</v>
      </c>
      <c r="IV605" s="12" t="s">
        <v>320</v>
      </c>
      <c r="IW605" s="11" t="str">
        <f t="shared" si="392"/>
        <v>1. Neutral</v>
      </c>
      <c r="IX605" s="12">
        <f t="shared" si="393"/>
        <v>2</v>
      </c>
      <c r="IY605" s="11" t="s">
        <v>419</v>
      </c>
      <c r="IZ605" s="11" t="s">
        <v>527</v>
      </c>
      <c r="JA605" s="12">
        <v>2</v>
      </c>
      <c r="JB605" s="12" t="s">
        <v>687</v>
      </c>
      <c r="JC605" s="11" t="s">
        <v>624</v>
      </c>
      <c r="JD605" s="12"/>
      <c r="JE605" s="12" t="s">
        <v>365</v>
      </c>
      <c r="JF605" s="12"/>
      <c r="JG605" s="12"/>
      <c r="JH605" s="12" t="s">
        <v>9845</v>
      </c>
      <c r="JI605" s="12" t="s">
        <v>9846</v>
      </c>
      <c r="JJ605" s="12"/>
      <c r="JK605" s="12" t="s">
        <v>9848</v>
      </c>
      <c r="JL605" s="12" t="s">
        <v>9849</v>
      </c>
      <c r="JM605" s="12" t="s">
        <v>9894</v>
      </c>
      <c r="JN605" s="12"/>
      <c r="JO605" s="12"/>
      <c r="JP605" s="15">
        <f t="shared" si="394"/>
        <v>10010</v>
      </c>
      <c r="JQ605" s="15">
        <f t="shared" si="395"/>
        <v>0</v>
      </c>
      <c r="JR605" s="279">
        <f t="shared" si="396"/>
        <v>0</v>
      </c>
      <c r="JS605" s="17">
        <f t="shared" si="397"/>
        <v>0.5055944055944056</v>
      </c>
      <c r="JT605" s="18" t="str">
        <f t="shared" si="398"/>
        <v/>
      </c>
      <c r="JU605" s="280">
        <f t="shared" si="399"/>
        <v>5061</v>
      </c>
      <c r="JV605" s="280">
        <f t="shared" si="400"/>
        <v>0</v>
      </c>
      <c r="JW605" s="319">
        <f t="shared" si="401"/>
        <v>1</v>
      </c>
      <c r="JX605" s="15">
        <f t="shared" si="402"/>
        <v>10010</v>
      </c>
      <c r="JY605" s="15">
        <f t="shared" si="403"/>
        <v>0</v>
      </c>
      <c r="JZ605" s="19">
        <f t="shared" si="404"/>
        <v>0</v>
      </c>
      <c r="KA605" s="52">
        <f t="shared" si="405"/>
        <v>1</v>
      </c>
      <c r="KB605" s="15">
        <f t="shared" si="406"/>
        <v>10010</v>
      </c>
      <c r="KC605" s="15">
        <f t="shared" si="407"/>
        <v>0</v>
      </c>
      <c r="KD605" s="20">
        <f t="shared" si="408"/>
        <v>0</v>
      </c>
      <c r="KE605" s="52" t="str">
        <f t="shared" si="409"/>
        <v/>
      </c>
      <c r="KF605" s="15">
        <f t="shared" si="410"/>
        <v>0</v>
      </c>
      <c r="KG605" s="15">
        <f t="shared" si="411"/>
        <v>0</v>
      </c>
      <c r="KH605" s="21" t="str">
        <f t="shared" si="412"/>
        <v/>
      </c>
      <c r="KI605" s="52" t="str">
        <f t="shared" si="413"/>
        <v/>
      </c>
      <c r="KJ605" s="15">
        <f t="shared" si="414"/>
        <v>0</v>
      </c>
      <c r="KK605" s="15">
        <f t="shared" si="415"/>
        <v>0</v>
      </c>
      <c r="KL605" s="19" t="str">
        <f t="shared" si="416"/>
        <v/>
      </c>
      <c r="KM605" s="52" t="str">
        <f t="shared" si="417"/>
        <v/>
      </c>
      <c r="KN605" s="22">
        <f t="shared" si="418"/>
        <v>0</v>
      </c>
      <c r="KO605" s="22">
        <f t="shared" si="419"/>
        <v>0</v>
      </c>
      <c r="KP605" s="19" t="str">
        <f t="shared" si="420"/>
        <v/>
      </c>
      <c r="KQ605" s="11" t="str">
        <f t="shared" si="421"/>
        <v>1. Neutral</v>
      </c>
      <c r="KR605" s="11" t="str">
        <f t="shared" si="422"/>
        <v>2. Accommodating</v>
      </c>
      <c r="KS605" s="11" t="str">
        <f t="shared" si="423"/>
        <v>1. Neutral</v>
      </c>
      <c r="KT605" s="11" t="str">
        <f t="shared" si="424"/>
        <v>It tested new ways for fighting poverty, but did not measure results of innovation</v>
      </c>
      <c r="KU605" s="11" t="str">
        <f t="shared" si="425"/>
        <v>Moderate advocacy</v>
      </c>
      <c r="KV605" s="11" t="str">
        <f t="shared" si="426"/>
        <v>It did not take tested solutions to scale</v>
      </c>
      <c r="KW605" s="11" t="str">
        <f t="shared" si="427"/>
        <v>Peru - Peru Floods - Emergency Relief</v>
      </c>
      <c r="KX605" s="11" t="str">
        <f t="shared" si="428"/>
        <v>Peru Floods - Emergency Relief</v>
      </c>
      <c r="KY605" s="11" t="str">
        <f t="shared" si="429"/>
        <v>Peru</v>
      </c>
      <c r="KZ605" s="12">
        <v>605</v>
      </c>
    </row>
    <row r="606" spans="1:312" x14ac:dyDescent="0.3">
      <c r="A606" s="12" t="s">
        <v>9706</v>
      </c>
      <c r="B606" s="12" t="s">
        <v>2807</v>
      </c>
      <c r="C606" s="12">
        <v>3249</v>
      </c>
      <c r="D606" s="12" t="s">
        <v>10209</v>
      </c>
      <c r="E606" s="277" t="str">
        <f t="shared" si="387"/>
        <v>Peru</v>
      </c>
      <c r="F606" s="12" t="s">
        <v>10210</v>
      </c>
      <c r="G606" s="12" t="s">
        <v>608</v>
      </c>
      <c r="H606" s="12" t="s">
        <v>380</v>
      </c>
      <c r="I606" s="12" t="s">
        <v>384</v>
      </c>
      <c r="J606" s="281" t="s">
        <v>14736</v>
      </c>
      <c r="K606" s="12"/>
      <c r="L606" s="12"/>
      <c r="M606" s="12"/>
      <c r="N606" s="12"/>
      <c r="O606" s="12"/>
      <c r="P606" s="12"/>
      <c r="Q606" s="12"/>
      <c r="R606" s="12"/>
      <c r="S606" s="12"/>
      <c r="T606" s="12"/>
      <c r="U606" s="12"/>
      <c r="V606" s="12"/>
      <c r="W606" s="12"/>
      <c r="X606" s="12"/>
      <c r="Y606" s="12"/>
      <c r="Z606" s="12"/>
      <c r="AA606" s="12"/>
      <c r="AB606" s="12"/>
      <c r="AC606" s="12"/>
      <c r="AD606" s="12"/>
      <c r="BD606" s="13">
        <v>42123</v>
      </c>
      <c r="BE606" s="13">
        <v>43039</v>
      </c>
      <c r="BF606" s="12"/>
      <c r="BG606" s="12" t="s">
        <v>312</v>
      </c>
      <c r="BH606" s="14">
        <v>1000000</v>
      </c>
      <c r="BI606" s="12" t="s">
        <v>10091</v>
      </c>
      <c r="BJ606" s="12" t="s">
        <v>10092</v>
      </c>
      <c r="BK606" s="12" t="s">
        <v>10093</v>
      </c>
      <c r="BL606" s="12" t="s">
        <v>9738</v>
      </c>
      <c r="BM606" s="12" t="s">
        <v>9739</v>
      </c>
      <c r="BN606" s="12" t="s">
        <v>9713</v>
      </c>
      <c r="BO606" s="12" t="s">
        <v>320</v>
      </c>
      <c r="BP606" s="12" t="s">
        <v>320</v>
      </c>
      <c r="BQ606" s="12" t="s">
        <v>320</v>
      </c>
      <c r="BR606" s="12" t="s">
        <v>10211</v>
      </c>
      <c r="BS606" s="31" t="s">
        <v>357</v>
      </c>
      <c r="BT606" s="12" t="s">
        <v>10212</v>
      </c>
      <c r="BU606" s="12" t="s">
        <v>10213</v>
      </c>
      <c r="BV606" s="14">
        <v>79</v>
      </c>
      <c r="BW606" s="14">
        <v>79</v>
      </c>
      <c r="BX606" s="14">
        <v>158</v>
      </c>
      <c r="BY606" s="14">
        <v>0</v>
      </c>
      <c r="BZ606" s="14">
        <v>0</v>
      </c>
      <c r="CA606" s="14">
        <v>0</v>
      </c>
      <c r="CB606" s="12" t="s">
        <v>10214</v>
      </c>
      <c r="CD606" s="14">
        <v>79</v>
      </c>
      <c r="CE606" s="14">
        <v>79</v>
      </c>
      <c r="CF606" s="14">
        <v>158</v>
      </c>
      <c r="CG606" s="14"/>
      <c r="CH606" s="14"/>
      <c r="CI606" s="14"/>
      <c r="CJ606" s="12" t="s">
        <v>319</v>
      </c>
      <c r="CK606" s="14"/>
      <c r="CL606" s="16"/>
      <c r="CM606" s="14"/>
      <c r="CN606" s="12" t="s">
        <v>319</v>
      </c>
      <c r="CO606" s="14"/>
      <c r="CP606" s="16"/>
      <c r="CQ606" s="14"/>
      <c r="CR606" s="12" t="s">
        <v>319</v>
      </c>
      <c r="CS606" s="14"/>
      <c r="CT606" s="16"/>
      <c r="CU606" s="14"/>
      <c r="CV606" s="12" t="s">
        <v>319</v>
      </c>
      <c r="CW606" s="14"/>
      <c r="CX606" s="16"/>
      <c r="CY606" s="14"/>
      <c r="CZ606" s="12" t="s">
        <v>319</v>
      </c>
      <c r="DA606" s="14"/>
      <c r="DB606" s="16"/>
      <c r="DC606" s="14"/>
      <c r="DD606" s="12" t="s">
        <v>319</v>
      </c>
      <c r="DE606" s="14"/>
      <c r="DF606" s="16"/>
      <c r="DG606" s="14"/>
      <c r="DH606" s="12" t="s">
        <v>319</v>
      </c>
      <c r="DI606" s="14"/>
      <c r="DJ606" s="16"/>
      <c r="DK606" s="14"/>
      <c r="DL606" s="12" t="s">
        <v>319</v>
      </c>
      <c r="DM606" s="14"/>
      <c r="DN606" s="16"/>
      <c r="DO606" s="14"/>
      <c r="DP606" s="12" t="s">
        <v>319</v>
      </c>
      <c r="DQ606" s="14"/>
      <c r="DR606" s="16"/>
      <c r="DS606" s="14"/>
      <c r="DT606" s="12" t="s">
        <v>319</v>
      </c>
      <c r="DU606" s="14"/>
      <c r="DV606" s="16"/>
      <c r="DW606" s="14"/>
      <c r="DX606" s="12" t="s">
        <v>319</v>
      </c>
      <c r="DY606" s="14"/>
      <c r="DZ606" s="16"/>
      <c r="EA606" s="14"/>
      <c r="EB606" s="11" t="s">
        <v>320</v>
      </c>
      <c r="EC606" s="14">
        <v>158</v>
      </c>
      <c r="ED606" s="16">
        <v>0.5</v>
      </c>
      <c r="EE606" s="14"/>
      <c r="EF606" s="12"/>
      <c r="EG606" s="12" t="s">
        <v>319</v>
      </c>
      <c r="EH606" s="14"/>
      <c r="EI606" s="16"/>
      <c r="EJ606" s="14"/>
      <c r="EK606" s="14">
        <v>79</v>
      </c>
      <c r="EL606" s="14">
        <v>79</v>
      </c>
      <c r="EM606" s="14">
        <v>158</v>
      </c>
      <c r="EN606" s="14">
        <v>0</v>
      </c>
      <c r="EO606" s="14">
        <v>0</v>
      </c>
      <c r="EP606" s="14">
        <v>0</v>
      </c>
      <c r="EQ606" s="12" t="s">
        <v>319</v>
      </c>
      <c r="ER606" s="14"/>
      <c r="ES606" s="16"/>
      <c r="ET606" s="14"/>
      <c r="EU606" s="11" t="s">
        <v>319</v>
      </c>
      <c r="EV606" s="14"/>
      <c r="EW606" s="16"/>
      <c r="EX606" s="14"/>
      <c r="EY606" s="12" t="s">
        <v>319</v>
      </c>
      <c r="EZ606" s="14"/>
      <c r="FA606" s="16"/>
      <c r="FB606" s="14"/>
      <c r="FC606" s="12" t="s">
        <v>319</v>
      </c>
      <c r="FD606" s="14"/>
      <c r="FE606" s="16"/>
      <c r="FF606" s="14"/>
      <c r="FG606" s="12" t="s">
        <v>319</v>
      </c>
      <c r="FH606" s="14"/>
      <c r="FI606" s="16"/>
      <c r="FJ606" s="14"/>
      <c r="FK606" s="12" t="s">
        <v>319</v>
      </c>
      <c r="FL606" s="14"/>
      <c r="FM606" s="16"/>
      <c r="FN606" s="14"/>
      <c r="FO606" s="12" t="s">
        <v>319</v>
      </c>
      <c r="FP606" s="14"/>
      <c r="FQ606" s="16"/>
      <c r="FR606" s="14"/>
      <c r="FS606" s="12" t="s">
        <v>319</v>
      </c>
      <c r="FT606" s="14"/>
      <c r="FU606" s="16"/>
      <c r="FV606" s="14"/>
      <c r="FW606" s="12" t="s">
        <v>319</v>
      </c>
      <c r="FX606" s="14"/>
      <c r="FY606" s="16"/>
      <c r="FZ606" s="14"/>
      <c r="GA606" s="12" t="s">
        <v>319</v>
      </c>
      <c r="GB606" s="14"/>
      <c r="GC606" s="16"/>
      <c r="GD606" s="14"/>
      <c r="GE606" s="12" t="s">
        <v>320</v>
      </c>
      <c r="GF606" s="14">
        <v>158</v>
      </c>
      <c r="GG606" s="16">
        <v>0.5</v>
      </c>
      <c r="GH606" s="14"/>
      <c r="GI606" s="12" t="s">
        <v>319</v>
      </c>
      <c r="GJ606" s="14"/>
      <c r="GK606" s="16"/>
      <c r="GL606" s="14"/>
      <c r="GM606" s="12" t="s">
        <v>319</v>
      </c>
      <c r="GN606" s="14"/>
      <c r="GO606" s="16"/>
      <c r="GP606" s="14"/>
      <c r="GQ606" s="12" t="s">
        <v>319</v>
      </c>
      <c r="GR606" s="14"/>
      <c r="GS606" s="16"/>
      <c r="GT606" s="14"/>
      <c r="GU606" s="12" t="s">
        <v>320</v>
      </c>
      <c r="GV606" s="14">
        <v>158</v>
      </c>
      <c r="GW606" s="16">
        <v>0.5</v>
      </c>
      <c r="GX606" s="14"/>
      <c r="GY606" s="12" t="s">
        <v>319</v>
      </c>
      <c r="GZ606" s="14"/>
      <c r="HA606" s="16"/>
      <c r="HB606" s="14"/>
      <c r="HC606" s="12"/>
      <c r="HD606" s="12" t="s">
        <v>319</v>
      </c>
      <c r="HE606" s="14"/>
      <c r="HF606" s="16"/>
      <c r="HG606" s="14"/>
      <c r="HH606" s="12" t="s">
        <v>320</v>
      </c>
      <c r="HI606" s="12" t="s">
        <v>416</v>
      </c>
      <c r="HJ606" s="12">
        <v>2016</v>
      </c>
      <c r="HK606" s="12" t="s">
        <v>319</v>
      </c>
      <c r="HL606" s="12" t="s">
        <v>320</v>
      </c>
      <c r="HM606" s="12" t="s">
        <v>361</v>
      </c>
      <c r="HN606" s="12">
        <v>2017</v>
      </c>
      <c r="HO606" s="12" t="s">
        <v>10215</v>
      </c>
      <c r="HP606" s="12" t="s">
        <v>418</v>
      </c>
      <c r="HQ606" s="12" t="s">
        <v>319</v>
      </c>
      <c r="HR606" s="12" t="s">
        <v>319</v>
      </c>
      <c r="HS606" s="12" t="s">
        <v>320</v>
      </c>
      <c r="HT606" s="12" t="s">
        <v>319</v>
      </c>
      <c r="HU606" s="12" t="s">
        <v>319</v>
      </c>
      <c r="HV606" s="12" t="s">
        <v>319</v>
      </c>
      <c r="HW606" s="12" t="s">
        <v>319</v>
      </c>
      <c r="HX606" s="12" t="s">
        <v>319</v>
      </c>
      <c r="HY606" s="12"/>
      <c r="HZ606" s="11" t="s">
        <v>331</v>
      </c>
      <c r="IA606" s="12" t="s">
        <v>10216</v>
      </c>
      <c r="IB606" s="12" t="s">
        <v>333</v>
      </c>
      <c r="IC606" s="12"/>
      <c r="ID606" s="11" t="s">
        <v>364</v>
      </c>
      <c r="IE606" s="12" t="s">
        <v>335</v>
      </c>
      <c r="IF606" s="12" t="s">
        <v>320</v>
      </c>
      <c r="IG606" s="12" t="s">
        <v>320</v>
      </c>
      <c r="IH606" s="12" t="s">
        <v>320</v>
      </c>
      <c r="II606" s="12" t="s">
        <v>320</v>
      </c>
      <c r="IJ606" s="12" t="str">
        <f t="shared" si="388"/>
        <v>2. Sensitive</v>
      </c>
      <c r="IK606" s="12">
        <f t="shared" si="389"/>
        <v>4</v>
      </c>
      <c r="IL606" s="12" t="s">
        <v>336</v>
      </c>
      <c r="IM606" s="12" t="s">
        <v>320</v>
      </c>
      <c r="IN606" s="12" t="s">
        <v>320</v>
      </c>
      <c r="IO606" s="12" t="s">
        <v>320</v>
      </c>
      <c r="IP606" s="12" t="s">
        <v>320</v>
      </c>
      <c r="IQ606" s="12" t="str">
        <f t="shared" si="390"/>
        <v>2. Accommodating</v>
      </c>
      <c r="IR606" s="12">
        <f t="shared" si="391"/>
        <v>4</v>
      </c>
      <c r="IS606" s="12" t="s">
        <v>456</v>
      </c>
      <c r="IT606" s="12" t="s">
        <v>320</v>
      </c>
      <c r="IU606" s="12" t="s">
        <v>319</v>
      </c>
      <c r="IV606" s="12" t="s">
        <v>319</v>
      </c>
      <c r="IW606" s="11" t="str">
        <f t="shared" si="392"/>
        <v>0. Harmful</v>
      </c>
      <c r="IX606" s="12">
        <f t="shared" si="393"/>
        <v>1</v>
      </c>
      <c r="IY606" s="11" t="s">
        <v>419</v>
      </c>
      <c r="IZ606" s="12" t="s">
        <v>432</v>
      </c>
      <c r="JA606" s="12">
        <v>3</v>
      </c>
      <c r="JB606" s="11" t="s">
        <v>624</v>
      </c>
      <c r="JC606" s="12" t="s">
        <v>623</v>
      </c>
      <c r="JD606" s="12" t="s">
        <v>687</v>
      </c>
      <c r="JE606" s="12" t="s">
        <v>420</v>
      </c>
      <c r="JF606" s="12"/>
      <c r="JG606" s="12" t="s">
        <v>10217</v>
      </c>
      <c r="JH606" s="12" t="s">
        <v>10101</v>
      </c>
      <c r="JI606" s="12" t="s">
        <v>10102</v>
      </c>
      <c r="JJ606" s="12" t="s">
        <v>10103</v>
      </c>
      <c r="JK606" s="12" t="s">
        <v>10104</v>
      </c>
      <c r="JL606" s="12" t="s">
        <v>10218</v>
      </c>
      <c r="JM606" s="12" t="s">
        <v>10219</v>
      </c>
      <c r="JN606" s="12"/>
      <c r="JO606" s="12" t="s">
        <v>10107</v>
      </c>
      <c r="JP606" s="15">
        <f t="shared" si="394"/>
        <v>158</v>
      </c>
      <c r="JQ606" s="15">
        <f t="shared" si="395"/>
        <v>0</v>
      </c>
      <c r="JR606" s="279">
        <f t="shared" si="396"/>
        <v>0</v>
      </c>
      <c r="JS606" s="17">
        <f t="shared" si="397"/>
        <v>0.5</v>
      </c>
      <c r="JT606" s="18" t="str">
        <f t="shared" si="398"/>
        <v/>
      </c>
      <c r="JU606" s="280">
        <f t="shared" si="399"/>
        <v>79</v>
      </c>
      <c r="JV606" s="280">
        <f t="shared" si="400"/>
        <v>0</v>
      </c>
      <c r="JW606" s="319">
        <f t="shared" si="401"/>
        <v>1</v>
      </c>
      <c r="JX606" s="15">
        <f t="shared" si="402"/>
        <v>158</v>
      </c>
      <c r="JY606" s="15">
        <f t="shared" si="403"/>
        <v>0</v>
      </c>
      <c r="JZ606" s="19">
        <f t="shared" si="404"/>
        <v>0</v>
      </c>
      <c r="KA606" s="52">
        <f t="shared" si="405"/>
        <v>1</v>
      </c>
      <c r="KB606" s="15">
        <f t="shared" si="406"/>
        <v>158</v>
      </c>
      <c r="KC606" s="15">
        <f t="shared" si="407"/>
        <v>0</v>
      </c>
      <c r="KD606" s="20">
        <f t="shared" si="408"/>
        <v>0</v>
      </c>
      <c r="KE606" s="52" t="str">
        <f t="shared" si="409"/>
        <v/>
      </c>
      <c r="KF606" s="15">
        <f t="shared" si="410"/>
        <v>0</v>
      </c>
      <c r="KG606" s="15">
        <f t="shared" si="411"/>
        <v>0</v>
      </c>
      <c r="KH606" s="21" t="str">
        <f t="shared" si="412"/>
        <v/>
      </c>
      <c r="KI606" s="52" t="str">
        <f t="shared" si="413"/>
        <v/>
      </c>
      <c r="KJ606" s="15">
        <f t="shared" si="414"/>
        <v>0</v>
      </c>
      <c r="KK606" s="15">
        <f t="shared" si="415"/>
        <v>0</v>
      </c>
      <c r="KL606" s="19" t="str">
        <f t="shared" si="416"/>
        <v/>
      </c>
      <c r="KM606" s="52" t="str">
        <f t="shared" si="417"/>
        <v/>
      </c>
      <c r="KN606" s="22">
        <f t="shared" si="418"/>
        <v>0</v>
      </c>
      <c r="KO606" s="22">
        <f t="shared" si="419"/>
        <v>0</v>
      </c>
      <c r="KP606" s="19" t="str">
        <f t="shared" si="420"/>
        <v/>
      </c>
      <c r="KQ606" s="11" t="str">
        <f t="shared" si="421"/>
        <v>2. Sensitive</v>
      </c>
      <c r="KR606" s="11" t="str">
        <f t="shared" si="422"/>
        <v>2. Accommodating</v>
      </c>
      <c r="KS606" s="11" t="str">
        <f t="shared" si="423"/>
        <v>0. Harmful</v>
      </c>
      <c r="KT606" s="11" t="str">
        <f t="shared" si="424"/>
        <v>It tested new ways for fighting poverty and measured results of innovation</v>
      </c>
      <c r="KU606" s="11" t="str">
        <f t="shared" si="425"/>
        <v>Little or no advocacy</v>
      </c>
      <c r="KV606" s="11" t="str">
        <f t="shared" si="426"/>
        <v>It did not take tested solutions to scale</v>
      </c>
      <c r="KW606" s="11" t="str">
        <f t="shared" si="427"/>
        <v>Peru - Proyecto Piloto: Acceso a Agua y Saneamiento en Comunidades Rurales Dispersas</v>
      </c>
      <c r="KX606" s="11" t="str">
        <f t="shared" si="428"/>
        <v>Proyecto Piloto: Acceso a Agua y Saneamiento en Comunidades Rurales Dispersas</v>
      </c>
      <c r="KY606" s="11" t="str">
        <f t="shared" si="429"/>
        <v>Peru</v>
      </c>
      <c r="KZ606" s="12">
        <v>606</v>
      </c>
    </row>
    <row r="607" spans="1:312" x14ac:dyDescent="0.3">
      <c r="A607" s="12" t="s">
        <v>9706</v>
      </c>
      <c r="B607" s="12" t="s">
        <v>2807</v>
      </c>
      <c r="C607" s="12"/>
      <c r="D607" s="12" t="s">
        <v>10220</v>
      </c>
      <c r="E607" s="277" t="str">
        <f t="shared" si="387"/>
        <v>Peru</v>
      </c>
      <c r="F607" s="12" t="s">
        <v>10221</v>
      </c>
      <c r="G607" s="12" t="s">
        <v>608</v>
      </c>
      <c r="H607" s="12" t="s">
        <v>380</v>
      </c>
      <c r="I607" s="12" t="s">
        <v>381</v>
      </c>
      <c r="J607" s="281" t="s">
        <v>11531</v>
      </c>
      <c r="K607" s="12"/>
      <c r="L607" s="12"/>
      <c r="M607" s="12"/>
      <c r="N607" s="12"/>
      <c r="O607" s="12"/>
      <c r="P607" s="12"/>
      <c r="Q607" s="12"/>
      <c r="R607" s="12"/>
      <c r="S607" s="12"/>
      <c r="T607" s="12"/>
      <c r="U607" s="12"/>
      <c r="V607" s="12"/>
      <c r="W607" s="12"/>
      <c r="X607" s="12"/>
      <c r="Y607" s="12"/>
      <c r="Z607" s="12"/>
      <c r="AA607" s="12"/>
      <c r="AB607" s="12"/>
      <c r="AC607" s="12"/>
      <c r="AD607" s="12"/>
      <c r="BD607" s="13">
        <v>42885</v>
      </c>
      <c r="BE607" s="12"/>
      <c r="BF607" s="13">
        <v>43038</v>
      </c>
      <c r="BG607" s="12" t="s">
        <v>817</v>
      </c>
      <c r="BH607" s="14">
        <v>90000</v>
      </c>
      <c r="BI607" s="12" t="s">
        <v>10222</v>
      </c>
      <c r="BJ607" s="12" t="s">
        <v>10223</v>
      </c>
      <c r="BK607" s="12" t="s">
        <v>9787</v>
      </c>
      <c r="BL607" s="12" t="s">
        <v>9711</v>
      </c>
      <c r="BM607" s="12" t="s">
        <v>9712</v>
      </c>
      <c r="BN607" s="12" t="s">
        <v>9713</v>
      </c>
      <c r="BO607" s="12" t="s">
        <v>320</v>
      </c>
      <c r="BP607" s="11" t="s">
        <v>320</v>
      </c>
      <c r="BQ607" s="12" t="s">
        <v>320</v>
      </c>
      <c r="BR607" s="12" t="s">
        <v>10224</v>
      </c>
      <c r="BS607" s="12" t="s">
        <v>357</v>
      </c>
      <c r="BT607" s="12" t="s">
        <v>10225</v>
      </c>
      <c r="BU607" s="12" t="s">
        <v>10226</v>
      </c>
      <c r="BV607" s="14">
        <v>2550</v>
      </c>
      <c r="BW607" s="14">
        <v>2450</v>
      </c>
      <c r="BX607" s="14">
        <v>5000</v>
      </c>
      <c r="BY607" s="14"/>
      <c r="BZ607" s="14"/>
      <c r="CA607" s="14"/>
      <c r="CB607" s="12" t="s">
        <v>10227</v>
      </c>
      <c r="CD607" s="14"/>
      <c r="CE607" s="14"/>
      <c r="CF607" s="14">
        <v>27</v>
      </c>
      <c r="CG607" s="14"/>
      <c r="CH607" s="14"/>
      <c r="CI607" s="14"/>
      <c r="CJ607" s="12"/>
      <c r="CK607" s="14"/>
      <c r="CL607" s="16"/>
      <c r="CM607" s="14"/>
      <c r="CN607" s="12"/>
      <c r="CO607" s="14"/>
      <c r="CP607" s="16"/>
      <c r="CQ607" s="14"/>
      <c r="CR607" s="12"/>
      <c r="CS607" s="14"/>
      <c r="CT607" s="16"/>
      <c r="CU607" s="14"/>
      <c r="CV607" s="12"/>
      <c r="CW607" s="14"/>
      <c r="CX607" s="16"/>
      <c r="CY607" s="14"/>
      <c r="CZ607" s="12"/>
      <c r="DA607" s="14"/>
      <c r="DB607" s="16"/>
      <c r="DC607" s="14"/>
      <c r="DD607" s="12"/>
      <c r="DE607" s="14"/>
      <c r="DF607" s="16"/>
      <c r="DG607" s="14"/>
      <c r="DH607" s="12"/>
      <c r="DI607" s="14"/>
      <c r="DJ607" s="16"/>
      <c r="DK607" s="14"/>
      <c r="DL607" s="11" t="s">
        <v>320</v>
      </c>
      <c r="DM607" s="14">
        <v>27</v>
      </c>
      <c r="DN607" s="16"/>
      <c r="DO607" s="14"/>
      <c r="DP607" s="12"/>
      <c r="DQ607" s="14"/>
      <c r="DR607" s="16"/>
      <c r="DS607" s="14"/>
      <c r="DT607" s="12"/>
      <c r="DU607" s="14"/>
      <c r="DV607" s="16"/>
      <c r="DW607" s="14"/>
      <c r="DX607" s="12"/>
      <c r="DY607" s="14"/>
      <c r="DZ607" s="16"/>
      <c r="EA607" s="14"/>
      <c r="EB607" s="12"/>
      <c r="EC607" s="14"/>
      <c r="ED607" s="16"/>
      <c r="EE607" s="14"/>
      <c r="EF607" s="12"/>
      <c r="EG607" s="12"/>
      <c r="EH607" s="14"/>
      <c r="EI607" s="16"/>
      <c r="EJ607" s="14"/>
      <c r="EK607" s="14"/>
      <c r="EL607" s="14"/>
      <c r="EM607" s="14"/>
      <c r="EN607" s="14"/>
      <c r="EO607" s="14"/>
      <c r="EP607" s="14"/>
      <c r="EQ607" s="12"/>
      <c r="ER607" s="14"/>
      <c r="ES607" s="16"/>
      <c r="ET607" s="14"/>
      <c r="EU607" s="12"/>
      <c r="EV607" s="14"/>
      <c r="EW607" s="16"/>
      <c r="EX607" s="14"/>
      <c r="EY607" s="12"/>
      <c r="EZ607" s="14"/>
      <c r="FA607" s="16"/>
      <c r="FB607" s="14"/>
      <c r="FC607" s="12"/>
      <c r="FD607" s="14"/>
      <c r="FE607" s="16"/>
      <c r="FF607" s="14"/>
      <c r="FG607" s="12"/>
      <c r="FH607" s="14"/>
      <c r="FI607" s="16"/>
      <c r="FJ607" s="14"/>
      <c r="FK607" s="12" t="s">
        <v>320</v>
      </c>
      <c r="FL607" s="14"/>
      <c r="FM607" s="16"/>
      <c r="FN607" s="14"/>
      <c r="FO607" s="12"/>
      <c r="FP607" s="14"/>
      <c r="FQ607" s="16"/>
      <c r="FR607" s="14"/>
      <c r="FS607" s="12"/>
      <c r="FT607" s="14"/>
      <c r="FU607" s="16"/>
      <c r="FV607" s="14"/>
      <c r="FW607" s="12"/>
      <c r="FX607" s="14"/>
      <c r="FY607" s="16"/>
      <c r="FZ607" s="14"/>
      <c r="GA607" s="12"/>
      <c r="GB607" s="14"/>
      <c r="GC607" s="16"/>
      <c r="GD607" s="14"/>
      <c r="GE607" s="12"/>
      <c r="GF607" s="14"/>
      <c r="GG607" s="16"/>
      <c r="GH607" s="14"/>
      <c r="GI607" s="12"/>
      <c r="GJ607" s="14"/>
      <c r="GK607" s="16"/>
      <c r="GL607" s="14"/>
      <c r="GM607" s="12"/>
      <c r="GN607" s="14"/>
      <c r="GO607" s="16"/>
      <c r="GP607" s="14"/>
      <c r="GQ607" s="12"/>
      <c r="GR607" s="14"/>
      <c r="GS607" s="16"/>
      <c r="GT607" s="14"/>
      <c r="GU607" s="12"/>
      <c r="GV607" s="14"/>
      <c r="GW607" s="16"/>
      <c r="GX607" s="14"/>
      <c r="GY607" s="12" t="s">
        <v>320</v>
      </c>
      <c r="GZ607" s="14"/>
      <c r="HA607" s="16"/>
      <c r="HB607" s="14"/>
      <c r="HC607" s="12"/>
      <c r="HD607" s="12"/>
      <c r="HE607" s="14"/>
      <c r="HF607" s="16"/>
      <c r="HG607" s="14"/>
      <c r="HH607" s="12" t="s">
        <v>320</v>
      </c>
      <c r="HI607" s="12" t="s">
        <v>451</v>
      </c>
      <c r="HJ607" s="12">
        <v>2017</v>
      </c>
      <c r="HK607" s="12" t="s">
        <v>319</v>
      </c>
      <c r="HL607" s="12" t="s">
        <v>319</v>
      </c>
      <c r="HM607" s="12"/>
      <c r="HN607" s="12"/>
      <c r="HO607" s="12" t="s">
        <v>10228</v>
      </c>
      <c r="HP607" s="12" t="s">
        <v>418</v>
      </c>
      <c r="HQ607" s="12"/>
      <c r="HR607" s="12"/>
      <c r="HS607" s="12"/>
      <c r="HT607" s="12" t="s">
        <v>320</v>
      </c>
      <c r="HU607" s="12"/>
      <c r="HV607" s="12"/>
      <c r="HW607" s="12" t="s">
        <v>320</v>
      </c>
      <c r="HX607" s="12"/>
      <c r="HY607" s="12"/>
      <c r="HZ607" s="12" t="s">
        <v>394</v>
      </c>
      <c r="IA607" s="12"/>
      <c r="IB607" s="12" t="s">
        <v>333</v>
      </c>
      <c r="IC607" s="12"/>
      <c r="ID607" s="11" t="s">
        <v>364</v>
      </c>
      <c r="IE607" s="12" t="s">
        <v>335</v>
      </c>
      <c r="IF607" s="12" t="s">
        <v>320</v>
      </c>
      <c r="IG607" s="12"/>
      <c r="IH607" s="12" t="s">
        <v>320</v>
      </c>
      <c r="II607" s="12"/>
      <c r="IJ607" s="12" t="str">
        <f t="shared" si="388"/>
        <v>1. Neutral</v>
      </c>
      <c r="IK607" s="12">
        <f t="shared" si="389"/>
        <v>2</v>
      </c>
      <c r="IL607" s="12" t="s">
        <v>336</v>
      </c>
      <c r="IM607" s="12" t="s">
        <v>320</v>
      </c>
      <c r="IN607" s="12" t="s">
        <v>319</v>
      </c>
      <c r="IO607" s="12" t="s">
        <v>320</v>
      </c>
      <c r="IP607" s="12" t="s">
        <v>320</v>
      </c>
      <c r="IQ607" s="12" t="str">
        <f t="shared" si="390"/>
        <v>2. Accommodating</v>
      </c>
      <c r="IR607" s="12">
        <f t="shared" si="391"/>
        <v>3</v>
      </c>
      <c r="IS607" s="12" t="s">
        <v>622</v>
      </c>
      <c r="IT607" s="12" t="s">
        <v>320</v>
      </c>
      <c r="IU607" s="12" t="s">
        <v>319</v>
      </c>
      <c r="IV607" s="12" t="s">
        <v>320</v>
      </c>
      <c r="IW607" s="11" t="str">
        <f t="shared" si="392"/>
        <v>3. Responsive</v>
      </c>
      <c r="IX607" s="12">
        <f t="shared" si="393"/>
        <v>2</v>
      </c>
      <c r="IY607" s="12" t="s">
        <v>338</v>
      </c>
      <c r="IZ607" s="12" t="s">
        <v>339</v>
      </c>
      <c r="JA607" s="12"/>
      <c r="JB607" s="12"/>
      <c r="JC607" s="12"/>
      <c r="JD607" s="12"/>
      <c r="JE607" s="12" t="s">
        <v>365</v>
      </c>
      <c r="JF607" s="12" t="s">
        <v>10229</v>
      </c>
      <c r="JG607" s="12"/>
      <c r="JH607" s="12" t="s">
        <v>10230</v>
      </c>
      <c r="JI607" s="12" t="s">
        <v>10231</v>
      </c>
      <c r="JJ607" s="12"/>
      <c r="JK607" s="12" t="s">
        <v>10232</v>
      </c>
      <c r="JL607" s="12" t="s">
        <v>10233</v>
      </c>
      <c r="JM607" s="12" t="s">
        <v>10234</v>
      </c>
      <c r="JN607" s="12" t="s">
        <v>10235</v>
      </c>
      <c r="JO607" s="12"/>
      <c r="JP607" s="15">
        <f t="shared" si="394"/>
        <v>27</v>
      </c>
      <c r="JQ607" s="15">
        <f t="shared" si="395"/>
        <v>0</v>
      </c>
      <c r="JR607" s="279">
        <f t="shared" si="396"/>
        <v>0</v>
      </c>
      <c r="JS607" s="17">
        <f t="shared" si="397"/>
        <v>0</v>
      </c>
      <c r="JT607" s="18" t="str">
        <f t="shared" si="398"/>
        <v/>
      </c>
      <c r="JU607" s="280">
        <f t="shared" si="399"/>
        <v>0</v>
      </c>
      <c r="JV607" s="280">
        <f t="shared" si="400"/>
        <v>0</v>
      </c>
      <c r="JW607" s="319">
        <f t="shared" si="401"/>
        <v>1</v>
      </c>
      <c r="JX607" s="15">
        <f t="shared" si="402"/>
        <v>27</v>
      </c>
      <c r="JY607" s="15">
        <f t="shared" si="403"/>
        <v>0</v>
      </c>
      <c r="JZ607" s="19">
        <f t="shared" si="404"/>
        <v>0</v>
      </c>
      <c r="KA607" s="52">
        <f t="shared" si="405"/>
        <v>1</v>
      </c>
      <c r="KB607" s="15">
        <f t="shared" si="406"/>
        <v>27</v>
      </c>
      <c r="KC607" s="15">
        <f t="shared" si="407"/>
        <v>0</v>
      </c>
      <c r="KD607" s="20">
        <f t="shared" si="408"/>
        <v>0</v>
      </c>
      <c r="KE607" s="52" t="str">
        <f t="shared" si="409"/>
        <v/>
      </c>
      <c r="KF607" s="15">
        <f t="shared" si="410"/>
        <v>0</v>
      </c>
      <c r="KG607" s="15">
        <f t="shared" si="411"/>
        <v>0</v>
      </c>
      <c r="KH607" s="21" t="str">
        <f t="shared" si="412"/>
        <v/>
      </c>
      <c r="KI607" s="52" t="str">
        <f t="shared" si="413"/>
        <v/>
      </c>
      <c r="KJ607" s="15">
        <f t="shared" si="414"/>
        <v>0</v>
      </c>
      <c r="KK607" s="15">
        <f t="shared" si="415"/>
        <v>0</v>
      </c>
      <c r="KL607" s="19" t="str">
        <f t="shared" si="416"/>
        <v/>
      </c>
      <c r="KM607" s="52">
        <f t="shared" si="417"/>
        <v>1</v>
      </c>
      <c r="KN607" s="22">
        <f t="shared" si="418"/>
        <v>0</v>
      </c>
      <c r="KO607" s="22">
        <f t="shared" si="419"/>
        <v>0</v>
      </c>
      <c r="KP607" s="19" t="str">
        <f t="shared" si="420"/>
        <v/>
      </c>
      <c r="KQ607" s="11" t="str">
        <f t="shared" si="421"/>
        <v>1. Neutral</v>
      </c>
      <c r="KR607" s="11" t="str">
        <f t="shared" si="422"/>
        <v>2. Accommodating</v>
      </c>
      <c r="KS607" s="11" t="str">
        <f t="shared" si="423"/>
        <v>3. Responsive</v>
      </c>
      <c r="KT607" s="11" t="str">
        <f t="shared" si="424"/>
        <v>It tested new ways for fighting poverty, but did not measure results of innovation</v>
      </c>
      <c r="KU607" s="11" t="str">
        <f t="shared" si="425"/>
        <v>Little or no advocacy</v>
      </c>
      <c r="KV607" s="11" t="str">
        <f t="shared" si="426"/>
        <v>It did not take tested solutions to scale</v>
      </c>
      <c r="KW607" s="11" t="str">
        <f t="shared" si="427"/>
        <v>Peru - Remoción de lodos contaminados en apoyo a la respuesta humanitaria para el Gobierno del Perú, Agencia de Naciones Unidas y ONG incluyendo el retorno espontáneo de familias</v>
      </c>
      <c r="KX607" s="11" t="str">
        <f t="shared" si="428"/>
        <v>Remoción de lodos contaminados en apoyo a la respuesta humanitaria para el Gobierno del Perú, Agencia de Naciones Unidas y ONG incluyendo el retorno espontáneo de familias</v>
      </c>
      <c r="KY607" s="11" t="str">
        <f t="shared" si="429"/>
        <v>Peru</v>
      </c>
      <c r="KZ607" s="12">
        <v>607</v>
      </c>
    </row>
    <row r="608" spans="1:312" x14ac:dyDescent="0.3">
      <c r="A608" s="12" t="s">
        <v>9706</v>
      </c>
      <c r="B608" s="12" t="s">
        <v>2807</v>
      </c>
      <c r="C608" s="12">
        <v>3277</v>
      </c>
      <c r="D608" s="12" t="s">
        <v>10236</v>
      </c>
      <c r="E608" s="277" t="str">
        <f t="shared" si="387"/>
        <v>Peru</v>
      </c>
      <c r="F608" s="12" t="s">
        <v>10237</v>
      </c>
      <c r="G608" s="12" t="s">
        <v>608</v>
      </c>
      <c r="H608" s="12" t="s">
        <v>310</v>
      </c>
      <c r="I608" s="12" t="s">
        <v>655</v>
      </c>
      <c r="J608" s="281" t="s">
        <v>14637</v>
      </c>
      <c r="K608" s="12"/>
      <c r="L608" s="12"/>
      <c r="M608" s="12"/>
      <c r="N608" s="12"/>
      <c r="O608" s="12"/>
      <c r="P608" s="12"/>
      <c r="Q608" s="12"/>
      <c r="R608" s="12"/>
      <c r="S608" s="12"/>
      <c r="T608" s="12"/>
      <c r="U608" s="12"/>
      <c r="V608" s="12"/>
      <c r="W608" s="12"/>
      <c r="X608" s="12"/>
      <c r="Y608" s="12"/>
      <c r="Z608" s="12"/>
      <c r="AA608" s="12"/>
      <c r="AB608" s="12"/>
      <c r="AC608" s="12"/>
      <c r="AD608" s="12"/>
      <c r="BD608" s="13">
        <v>41897</v>
      </c>
      <c r="BE608" s="12"/>
      <c r="BF608" s="13">
        <v>43083</v>
      </c>
      <c r="BG608" s="12" t="s">
        <v>312</v>
      </c>
      <c r="BH608" s="14">
        <v>1152262</v>
      </c>
      <c r="BI608" s="12" t="s">
        <v>10222</v>
      </c>
      <c r="BJ608" s="12" t="s">
        <v>10223</v>
      </c>
      <c r="BK608" s="12" t="s">
        <v>9787</v>
      </c>
      <c r="BL608" s="12" t="s">
        <v>10238</v>
      </c>
      <c r="BM608" s="12" t="s">
        <v>10239</v>
      </c>
      <c r="BN608" s="12" t="s">
        <v>10240</v>
      </c>
      <c r="BO608" s="12" t="s">
        <v>320</v>
      </c>
      <c r="BP608" s="12" t="s">
        <v>320</v>
      </c>
      <c r="BQ608" s="12" t="s">
        <v>320</v>
      </c>
      <c r="BR608" s="12" t="s">
        <v>10241</v>
      </c>
      <c r="BS608" s="12" t="s">
        <v>357</v>
      </c>
      <c r="BT608" s="12" t="s">
        <v>10242</v>
      </c>
      <c r="BU608" s="12" t="s">
        <v>10243</v>
      </c>
      <c r="BV608" s="14">
        <v>11000</v>
      </c>
      <c r="BW608" s="14">
        <v>9000</v>
      </c>
      <c r="BX608" s="14">
        <v>20000</v>
      </c>
      <c r="BY608" s="14">
        <v>86505</v>
      </c>
      <c r="BZ608" s="14">
        <v>83112</v>
      </c>
      <c r="CA608" s="14">
        <v>169617</v>
      </c>
      <c r="CB608" s="12" t="s">
        <v>10244</v>
      </c>
      <c r="CD608" s="14"/>
      <c r="CE608" s="14"/>
      <c r="CF608" s="14"/>
      <c r="CG608" s="14"/>
      <c r="CH608" s="14"/>
      <c r="CI608" s="14"/>
      <c r="CJ608" s="12"/>
      <c r="CK608" s="14"/>
      <c r="CL608" s="16"/>
      <c r="CM608" s="14"/>
      <c r="CN608" s="12"/>
      <c r="CO608" s="14"/>
      <c r="CP608" s="16"/>
      <c r="CQ608" s="14"/>
      <c r="CR608" s="12"/>
      <c r="CS608" s="14"/>
      <c r="CT608" s="16"/>
      <c r="CU608" s="14"/>
      <c r="CV608" s="12"/>
      <c r="CW608" s="14"/>
      <c r="CX608" s="16"/>
      <c r="CY608" s="14"/>
      <c r="CZ608" s="12"/>
      <c r="DA608" s="14"/>
      <c r="DB608" s="16"/>
      <c r="DC608" s="14"/>
      <c r="DD608" s="12"/>
      <c r="DE608" s="14"/>
      <c r="DF608" s="16"/>
      <c r="DG608" s="14"/>
      <c r="DH608" s="12"/>
      <c r="DI608" s="14"/>
      <c r="DJ608" s="16"/>
      <c r="DK608" s="14"/>
      <c r="DL608" s="12"/>
      <c r="DM608" s="14"/>
      <c r="DN608" s="16"/>
      <c r="DO608" s="14"/>
      <c r="DP608" s="12"/>
      <c r="DQ608" s="14"/>
      <c r="DR608" s="16"/>
      <c r="DS608" s="14"/>
      <c r="DT608" s="12"/>
      <c r="DU608" s="14"/>
      <c r="DV608" s="16"/>
      <c r="DW608" s="14"/>
      <c r="DX608" s="12"/>
      <c r="DY608" s="14"/>
      <c r="DZ608" s="16"/>
      <c r="EA608" s="14"/>
      <c r="EB608" s="12"/>
      <c r="EC608" s="14"/>
      <c r="ED608" s="16"/>
      <c r="EE608" s="14"/>
      <c r="EF608" s="12"/>
      <c r="EG608" s="12"/>
      <c r="EH608" s="14"/>
      <c r="EI608" s="16"/>
      <c r="EJ608" s="14"/>
      <c r="EK608" s="14">
        <v>11000</v>
      </c>
      <c r="EL608" s="14">
        <v>9000</v>
      </c>
      <c r="EM608" s="14">
        <v>20000</v>
      </c>
      <c r="EN608" s="14">
        <v>86505</v>
      </c>
      <c r="EO608" s="14">
        <v>83112</v>
      </c>
      <c r="EP608" s="14">
        <v>169617</v>
      </c>
      <c r="EQ608" s="12"/>
      <c r="ER608" s="14"/>
      <c r="ES608" s="16"/>
      <c r="ET608" s="14"/>
      <c r="EU608" s="12"/>
      <c r="EV608" s="14"/>
      <c r="EW608" s="16"/>
      <c r="EX608" s="14"/>
      <c r="EY608" s="12"/>
      <c r="EZ608" s="14"/>
      <c r="FA608" s="16"/>
      <c r="FB608" s="14"/>
      <c r="FC608" s="12" t="s">
        <v>320</v>
      </c>
      <c r="FD608" s="14">
        <v>9078</v>
      </c>
      <c r="FE608" s="16">
        <v>0.52</v>
      </c>
      <c r="FF608" s="14">
        <v>169617</v>
      </c>
      <c r="FG608" s="12"/>
      <c r="FH608" s="14"/>
      <c r="FI608" s="16"/>
      <c r="FJ608" s="14"/>
      <c r="FK608" s="12"/>
      <c r="FL608" s="14"/>
      <c r="FM608" s="16"/>
      <c r="FN608" s="14"/>
      <c r="FO608" s="12"/>
      <c r="FP608" s="14"/>
      <c r="FQ608" s="16"/>
      <c r="FR608" s="14"/>
      <c r="FS608" s="12"/>
      <c r="FT608" s="14"/>
      <c r="FU608" s="16"/>
      <c r="FV608" s="14"/>
      <c r="FW608" s="12"/>
      <c r="FX608" s="14"/>
      <c r="FY608" s="16"/>
      <c r="FZ608" s="14"/>
      <c r="GA608" s="12"/>
      <c r="GB608" s="14"/>
      <c r="GC608" s="16"/>
      <c r="GD608" s="14"/>
      <c r="GE608" s="12"/>
      <c r="GF608" s="14"/>
      <c r="GG608" s="16"/>
      <c r="GH608" s="14"/>
      <c r="GI608" s="12"/>
      <c r="GJ608" s="14"/>
      <c r="GK608" s="16"/>
      <c r="GL608" s="14"/>
      <c r="GM608" s="12"/>
      <c r="GN608" s="14"/>
      <c r="GO608" s="16"/>
      <c r="GP608" s="14"/>
      <c r="GQ608" s="12"/>
      <c r="GR608" s="14"/>
      <c r="GS608" s="16"/>
      <c r="GT608" s="14"/>
      <c r="GU608" s="12" t="s">
        <v>320</v>
      </c>
      <c r="GV608" s="14">
        <v>4583</v>
      </c>
      <c r="GW608" s="16">
        <v>0.55000000000000004</v>
      </c>
      <c r="GX608" s="14">
        <v>35000</v>
      </c>
      <c r="GY608" s="12"/>
      <c r="GZ608" s="14"/>
      <c r="HA608" s="16"/>
      <c r="HB608" s="14"/>
      <c r="HC608" s="12"/>
      <c r="HD608" s="12"/>
      <c r="HE608" s="14"/>
      <c r="HF608" s="16"/>
      <c r="HG608" s="14"/>
      <c r="HH608" s="12" t="s">
        <v>319</v>
      </c>
      <c r="HI608" s="12"/>
      <c r="HJ608" s="12"/>
      <c r="HK608" s="12" t="s">
        <v>319</v>
      </c>
      <c r="HL608" s="12" t="s">
        <v>320</v>
      </c>
      <c r="HM608" s="12" t="s">
        <v>327</v>
      </c>
      <c r="HN608" s="12">
        <v>2017</v>
      </c>
      <c r="HO608" s="12" t="s">
        <v>10245</v>
      </c>
      <c r="HP608" s="12" t="s">
        <v>330</v>
      </c>
      <c r="HQ608" s="12" t="s">
        <v>319</v>
      </c>
      <c r="HR608" s="12" t="s">
        <v>319</v>
      </c>
      <c r="HS608" s="12" t="s">
        <v>319</v>
      </c>
      <c r="HT608" s="12" t="s">
        <v>320</v>
      </c>
      <c r="HU608" s="12" t="s">
        <v>319</v>
      </c>
      <c r="HV608" s="12" t="s">
        <v>319</v>
      </c>
      <c r="HW608" s="12" t="s">
        <v>320</v>
      </c>
      <c r="HX608" s="12" t="s">
        <v>319</v>
      </c>
      <c r="HY608" s="12"/>
      <c r="HZ608" s="12" t="s">
        <v>394</v>
      </c>
      <c r="IA608" s="12" t="s">
        <v>10246</v>
      </c>
      <c r="IB608" s="12" t="s">
        <v>333</v>
      </c>
      <c r="IC608" s="12"/>
      <c r="ID608" s="11" t="s">
        <v>364</v>
      </c>
      <c r="IE608" s="12" t="s">
        <v>478</v>
      </c>
      <c r="IF608" s="12" t="s">
        <v>320</v>
      </c>
      <c r="IG608" s="12" t="s">
        <v>319</v>
      </c>
      <c r="IH608" s="12" t="s">
        <v>320</v>
      </c>
      <c r="II608" s="12" t="s">
        <v>319</v>
      </c>
      <c r="IJ608" s="12" t="str">
        <f t="shared" si="388"/>
        <v>3. Responsive</v>
      </c>
      <c r="IK608" s="12">
        <f t="shared" si="389"/>
        <v>2</v>
      </c>
      <c r="IL608" s="11" t="s">
        <v>621</v>
      </c>
      <c r="IM608" s="12" t="s">
        <v>320</v>
      </c>
      <c r="IN608" s="12" t="s">
        <v>320</v>
      </c>
      <c r="IO608" s="12" t="s">
        <v>320</v>
      </c>
      <c r="IP608" s="12" t="s">
        <v>319</v>
      </c>
      <c r="IQ608" s="12" t="str">
        <f t="shared" si="390"/>
        <v>3. Responsive</v>
      </c>
      <c r="IR608" s="12">
        <f t="shared" si="391"/>
        <v>3</v>
      </c>
      <c r="IS608" s="12" t="s">
        <v>622</v>
      </c>
      <c r="IT608" s="12" t="s">
        <v>320</v>
      </c>
      <c r="IU608" s="12" t="s">
        <v>320</v>
      </c>
      <c r="IV608" s="12" t="s">
        <v>320</v>
      </c>
      <c r="IW608" s="11" t="str">
        <f t="shared" si="392"/>
        <v>4. Transformative</v>
      </c>
      <c r="IX608" s="12">
        <f t="shared" si="393"/>
        <v>3</v>
      </c>
      <c r="IY608" s="12" t="s">
        <v>338</v>
      </c>
      <c r="IZ608" s="12" t="s">
        <v>457</v>
      </c>
      <c r="JA608" s="12">
        <v>2</v>
      </c>
      <c r="JB608" s="12" t="s">
        <v>831</v>
      </c>
      <c r="JC608" s="12" t="s">
        <v>585</v>
      </c>
      <c r="JD608" s="12"/>
      <c r="JE608" s="12" t="s">
        <v>340</v>
      </c>
      <c r="JF608" s="12" t="s">
        <v>10247</v>
      </c>
      <c r="JG608" s="12"/>
      <c r="JH608" s="12" t="s">
        <v>10248</v>
      </c>
      <c r="JI608" s="12" t="s">
        <v>10249</v>
      </c>
      <c r="JJ608" s="12" t="s">
        <v>10250</v>
      </c>
      <c r="JK608" s="12" t="s">
        <v>10251</v>
      </c>
      <c r="JL608" s="12" t="s">
        <v>10252</v>
      </c>
      <c r="JM608" s="12" t="s">
        <v>10253</v>
      </c>
      <c r="JN608" s="12" t="s">
        <v>10254</v>
      </c>
      <c r="JO608" s="12" t="s">
        <v>10255</v>
      </c>
      <c r="JP608" s="15">
        <f t="shared" si="394"/>
        <v>20000</v>
      </c>
      <c r="JQ608" s="15">
        <f t="shared" si="395"/>
        <v>169617</v>
      </c>
      <c r="JR608" s="279">
        <f t="shared" si="396"/>
        <v>8.4808500000000002</v>
      </c>
      <c r="JS608" s="17">
        <f t="shared" si="397"/>
        <v>0.55000000000000004</v>
      </c>
      <c r="JT608" s="18">
        <f t="shared" si="398"/>
        <v>0.51000194555970213</v>
      </c>
      <c r="JU608" s="280">
        <f t="shared" si="399"/>
        <v>11000</v>
      </c>
      <c r="JV608" s="280">
        <f t="shared" si="400"/>
        <v>86505</v>
      </c>
      <c r="JW608" s="319">
        <f t="shared" si="401"/>
        <v>1</v>
      </c>
      <c r="JX608" s="15">
        <f t="shared" si="402"/>
        <v>0</v>
      </c>
      <c r="JY608" s="15">
        <f t="shared" si="403"/>
        <v>0</v>
      </c>
      <c r="JZ608" s="19" t="str">
        <f t="shared" si="404"/>
        <v/>
      </c>
      <c r="KA608" s="52">
        <f t="shared" si="405"/>
        <v>1</v>
      </c>
      <c r="KB608" s="15">
        <f t="shared" si="406"/>
        <v>9078</v>
      </c>
      <c r="KC608" s="15">
        <f t="shared" si="407"/>
        <v>169617</v>
      </c>
      <c r="KD608" s="20">
        <f t="shared" si="408"/>
        <v>18.684401850627893</v>
      </c>
      <c r="KE608" s="52" t="str">
        <f t="shared" si="409"/>
        <v/>
      </c>
      <c r="KF608" s="15">
        <f t="shared" si="410"/>
        <v>0</v>
      </c>
      <c r="KG608" s="15">
        <f t="shared" si="411"/>
        <v>0</v>
      </c>
      <c r="KH608" s="21" t="str">
        <f t="shared" si="412"/>
        <v/>
      </c>
      <c r="KI608" s="52" t="str">
        <f t="shared" si="413"/>
        <v/>
      </c>
      <c r="KJ608" s="15">
        <f t="shared" si="414"/>
        <v>0</v>
      </c>
      <c r="KK608" s="15">
        <f t="shared" si="415"/>
        <v>0</v>
      </c>
      <c r="KL608" s="19" t="str">
        <f t="shared" si="416"/>
        <v/>
      </c>
      <c r="KM608" s="52" t="str">
        <f t="shared" si="417"/>
        <v/>
      </c>
      <c r="KN608" s="22">
        <f t="shared" si="418"/>
        <v>0</v>
      </c>
      <c r="KO608" s="22">
        <f t="shared" si="419"/>
        <v>0</v>
      </c>
      <c r="KP608" s="19" t="str">
        <f t="shared" si="420"/>
        <v/>
      </c>
      <c r="KQ608" s="11" t="str">
        <f t="shared" si="421"/>
        <v>3. Responsive</v>
      </c>
      <c r="KR608" s="11" t="str">
        <f t="shared" si="422"/>
        <v>3. Responsive</v>
      </c>
      <c r="KS608" s="11" t="str">
        <f t="shared" si="423"/>
        <v>4. Transformative</v>
      </c>
      <c r="KT608" s="11" t="str">
        <f t="shared" si="424"/>
        <v>It tested new ways for fighting poverty, but did not measure results of innovation</v>
      </c>
      <c r="KU608" s="11" t="str">
        <f t="shared" si="425"/>
        <v>Moderate advocacy</v>
      </c>
      <c r="KV608" s="11" t="str">
        <f t="shared" si="426"/>
        <v>It did not take tested solutions to scale</v>
      </c>
      <c r="KW608" s="11" t="str">
        <f t="shared" si="427"/>
        <v>Peru - RIMAC DRR Reinforcing Innovative Mechanisms for Arising Capacities in Disaster Risk Reduction in Rímac, Perú</v>
      </c>
      <c r="KX608" s="11" t="str">
        <f t="shared" si="428"/>
        <v>RIMAC DRR Reinforcing Innovative Mechanisms for Arising Capacities in Disaster Risk Reduction in Rímac, Perú</v>
      </c>
      <c r="KY608" s="11" t="str">
        <f t="shared" si="429"/>
        <v>Peru</v>
      </c>
      <c r="KZ608" s="12">
        <v>608</v>
      </c>
    </row>
    <row r="609" spans="1:312" x14ac:dyDescent="0.3">
      <c r="A609" s="12" t="s">
        <v>9706</v>
      </c>
      <c r="B609" s="12" t="s">
        <v>2807</v>
      </c>
      <c r="C609" s="12">
        <v>2323</v>
      </c>
      <c r="D609" s="12" t="s">
        <v>9989</v>
      </c>
      <c r="E609" s="277" t="str">
        <f t="shared" si="387"/>
        <v>Peru</v>
      </c>
      <c r="F609" s="12" t="s">
        <v>9990</v>
      </c>
      <c r="G609" s="12" t="s">
        <v>9835</v>
      </c>
      <c r="H609" s="12" t="s">
        <v>310</v>
      </c>
      <c r="I609" s="12" t="s">
        <v>1285</v>
      </c>
      <c r="J609" s="281" t="s">
        <v>14734</v>
      </c>
      <c r="K609" s="12"/>
      <c r="L609" s="12"/>
      <c r="M609" s="12"/>
      <c r="N609" s="12"/>
      <c r="O609" s="12"/>
      <c r="P609" s="12"/>
      <c r="Q609" s="12"/>
      <c r="R609" s="12"/>
      <c r="S609" s="12"/>
      <c r="T609" s="12"/>
      <c r="U609" s="12"/>
      <c r="V609" s="12"/>
      <c r="W609" s="12"/>
      <c r="X609" s="12"/>
      <c r="Y609" s="12"/>
      <c r="Z609" s="12"/>
      <c r="AA609" s="12"/>
      <c r="AB609" s="12"/>
      <c r="AC609" s="12"/>
      <c r="AD609" s="12"/>
      <c r="BD609" s="13">
        <v>42064</v>
      </c>
      <c r="BE609" s="13">
        <v>43100</v>
      </c>
      <c r="BF609" s="12"/>
      <c r="BG609" s="12" t="s">
        <v>312</v>
      </c>
      <c r="BH609" s="14">
        <f>16177497/3.3</f>
        <v>4902271.8181818184</v>
      </c>
      <c r="BI609" s="12" t="s">
        <v>9991</v>
      </c>
      <c r="BJ609" s="12" t="s">
        <v>9919</v>
      </c>
      <c r="BK609" s="12" t="s">
        <v>9992</v>
      </c>
      <c r="BL609" s="12" t="s">
        <v>9993</v>
      </c>
      <c r="BM609" s="12" t="s">
        <v>9994</v>
      </c>
      <c r="BN609" s="12" t="s">
        <v>9995</v>
      </c>
      <c r="BO609" s="11" t="s">
        <v>319</v>
      </c>
      <c r="BP609" s="11" t="s">
        <v>320</v>
      </c>
      <c r="BQ609" s="11" t="s">
        <v>319</v>
      </c>
      <c r="BR609" s="12" t="s">
        <v>9996</v>
      </c>
      <c r="BS609" s="12" t="s">
        <v>322</v>
      </c>
      <c r="BT609" s="12" t="s">
        <v>9997</v>
      </c>
      <c r="BU609" s="12" t="s">
        <v>9998</v>
      </c>
      <c r="BV609" s="14">
        <v>5250</v>
      </c>
      <c r="BW609" s="14">
        <v>9750</v>
      </c>
      <c r="BX609" s="14">
        <v>15000</v>
      </c>
      <c r="BY609" s="14">
        <v>675000</v>
      </c>
      <c r="BZ609" s="14">
        <v>825000</v>
      </c>
      <c r="CA609" s="14">
        <v>1500000</v>
      </c>
      <c r="CB609" s="12" t="s">
        <v>9999</v>
      </c>
      <c r="CD609" s="14"/>
      <c r="CE609" s="14"/>
      <c r="CF609" s="14">
        <v>0</v>
      </c>
      <c r="CG609" s="14"/>
      <c r="CH609" s="14"/>
      <c r="CI609" s="14">
        <v>0</v>
      </c>
      <c r="CJ609" s="12"/>
      <c r="CK609" s="14"/>
      <c r="CL609" s="16"/>
      <c r="CM609" s="14"/>
      <c r="CN609" s="12"/>
      <c r="CO609" s="14"/>
      <c r="CP609" s="16"/>
      <c r="CQ609" s="14"/>
      <c r="CR609" s="12"/>
      <c r="CS609" s="14"/>
      <c r="CT609" s="16"/>
      <c r="CU609" s="14"/>
      <c r="CV609" s="12"/>
      <c r="CW609" s="14"/>
      <c r="CX609" s="16"/>
      <c r="CY609" s="14"/>
      <c r="CZ609" s="12"/>
      <c r="DA609" s="14"/>
      <c r="DB609" s="16"/>
      <c r="DC609" s="14"/>
      <c r="DD609" s="12"/>
      <c r="DE609" s="14"/>
      <c r="DF609" s="16"/>
      <c r="DG609" s="14"/>
      <c r="DH609" s="12"/>
      <c r="DI609" s="14"/>
      <c r="DJ609" s="16"/>
      <c r="DK609" s="14"/>
      <c r="DL609" s="12"/>
      <c r="DM609" s="14"/>
      <c r="DN609" s="16"/>
      <c r="DO609" s="14"/>
      <c r="DP609" s="12"/>
      <c r="DQ609" s="14"/>
      <c r="DR609" s="16"/>
      <c r="DS609" s="14"/>
      <c r="DT609" s="12"/>
      <c r="DU609" s="14"/>
      <c r="DV609" s="16"/>
      <c r="DW609" s="14"/>
      <c r="DX609" s="12"/>
      <c r="DY609" s="14"/>
      <c r="DZ609" s="16"/>
      <c r="EA609" s="14"/>
      <c r="EB609" s="12"/>
      <c r="EC609" s="14"/>
      <c r="ED609" s="16"/>
      <c r="EE609" s="14"/>
      <c r="EF609" s="12"/>
      <c r="EG609" s="12"/>
      <c r="EH609" s="14"/>
      <c r="EI609" s="16"/>
      <c r="EJ609" s="14"/>
      <c r="EK609" s="14">
        <v>1365</v>
      </c>
      <c r="EL609" s="14">
        <v>2534</v>
      </c>
      <c r="EM609" s="14">
        <v>3899</v>
      </c>
      <c r="EN609" s="14">
        <v>273610</v>
      </c>
      <c r="EO609" s="14">
        <v>334414</v>
      </c>
      <c r="EP609" s="14">
        <v>608024</v>
      </c>
      <c r="EQ609" s="12"/>
      <c r="ER609" s="14"/>
      <c r="ES609" s="16"/>
      <c r="ET609" s="14"/>
      <c r="EU609" s="12"/>
      <c r="EV609" s="14"/>
      <c r="EW609" s="16"/>
      <c r="EX609" s="14"/>
      <c r="EY609" s="12"/>
      <c r="EZ609" s="14"/>
      <c r="FA609" s="16"/>
      <c r="FB609" s="14"/>
      <c r="FC609" s="12"/>
      <c r="FD609" s="14"/>
      <c r="FE609" s="16"/>
      <c r="FF609" s="14"/>
      <c r="FG609" s="12"/>
      <c r="FH609" s="14"/>
      <c r="FI609" s="16"/>
      <c r="FJ609" s="14"/>
      <c r="FK609" s="12"/>
      <c r="FL609" s="14"/>
      <c r="FM609" s="16"/>
      <c r="FN609" s="14"/>
      <c r="FO609" s="12"/>
      <c r="FP609" s="14"/>
      <c r="FQ609" s="16"/>
      <c r="FR609" s="14"/>
      <c r="FS609" s="12"/>
      <c r="FT609" s="14"/>
      <c r="FU609" s="16"/>
      <c r="FV609" s="14"/>
      <c r="FW609" s="12"/>
      <c r="FX609" s="14"/>
      <c r="FY609" s="16"/>
      <c r="FZ609" s="14"/>
      <c r="GA609" s="12"/>
      <c r="GB609" s="14"/>
      <c r="GC609" s="16"/>
      <c r="GD609" s="14"/>
      <c r="GE609" s="12"/>
      <c r="GF609" s="14"/>
      <c r="GG609" s="16"/>
      <c r="GH609" s="14"/>
      <c r="GI609" s="12"/>
      <c r="GJ609" s="14"/>
      <c r="GK609" s="16"/>
      <c r="GL609" s="14"/>
      <c r="GM609" s="12"/>
      <c r="GN609" s="14"/>
      <c r="GO609" s="16"/>
      <c r="GP609" s="14"/>
      <c r="GQ609" s="12"/>
      <c r="GR609" s="14"/>
      <c r="GS609" s="16"/>
      <c r="GT609" s="14"/>
      <c r="GU609" s="12" t="s">
        <v>320</v>
      </c>
      <c r="GV609" s="14">
        <v>3899</v>
      </c>
      <c r="GW609" s="16">
        <v>0.35</v>
      </c>
      <c r="GX609" s="14">
        <v>608024</v>
      </c>
      <c r="GY609" s="12"/>
      <c r="GZ609" s="14"/>
      <c r="HA609" s="16"/>
      <c r="HB609" s="14"/>
      <c r="HC609" s="12"/>
      <c r="HD609" s="12"/>
      <c r="HE609" s="14"/>
      <c r="HF609" s="16"/>
      <c r="HG609" s="14"/>
      <c r="HH609" s="12" t="s">
        <v>319</v>
      </c>
      <c r="HI609" s="12"/>
      <c r="HJ609" s="12"/>
      <c r="HK609" s="12" t="s">
        <v>319</v>
      </c>
      <c r="HL609" s="12" t="s">
        <v>320</v>
      </c>
      <c r="HM609" s="12" t="s">
        <v>361</v>
      </c>
      <c r="HN609" s="12">
        <v>2017</v>
      </c>
      <c r="HO609" s="12" t="s">
        <v>10000</v>
      </c>
      <c r="HP609" s="12" t="s">
        <v>453</v>
      </c>
      <c r="HQ609" s="12" t="s">
        <v>320</v>
      </c>
      <c r="HR609" s="12"/>
      <c r="HS609" s="12"/>
      <c r="HT609" s="12" t="s">
        <v>320</v>
      </c>
      <c r="HU609" s="12" t="s">
        <v>320</v>
      </c>
      <c r="HV609" s="12" t="s">
        <v>319</v>
      </c>
      <c r="HW609" s="12"/>
      <c r="HX609" s="12"/>
      <c r="HY609" s="12"/>
      <c r="HZ609" s="11" t="s">
        <v>331</v>
      </c>
      <c r="IA609" s="12" t="s">
        <v>10001</v>
      </c>
      <c r="IB609" s="12" t="s">
        <v>396</v>
      </c>
      <c r="IC609" s="12"/>
      <c r="ID609" s="11" t="s">
        <v>364</v>
      </c>
      <c r="IE609" s="12" t="s">
        <v>335</v>
      </c>
      <c r="IF609" s="12" t="s">
        <v>319</v>
      </c>
      <c r="IG609" s="12" t="s">
        <v>320</v>
      </c>
      <c r="IH609" s="12" t="s">
        <v>320</v>
      </c>
      <c r="II609" s="12" t="s">
        <v>319</v>
      </c>
      <c r="IJ609" s="12" t="str">
        <f t="shared" si="388"/>
        <v>1. Neutral</v>
      </c>
      <c r="IK609" s="12">
        <f t="shared" si="389"/>
        <v>2</v>
      </c>
      <c r="IL609" s="11" t="s">
        <v>621</v>
      </c>
      <c r="IM609" s="12" t="s">
        <v>320</v>
      </c>
      <c r="IN609" s="12" t="s">
        <v>320</v>
      </c>
      <c r="IO609" s="12" t="s">
        <v>320</v>
      </c>
      <c r="IP609" s="12" t="s">
        <v>320</v>
      </c>
      <c r="IQ609" s="12" t="str">
        <f t="shared" si="390"/>
        <v>4. Transformational</v>
      </c>
      <c r="IR609" s="12">
        <f t="shared" si="391"/>
        <v>4</v>
      </c>
      <c r="IS609" s="12" t="s">
        <v>337</v>
      </c>
      <c r="IT609" s="12" t="s">
        <v>320</v>
      </c>
      <c r="IU609" s="12" t="s">
        <v>320</v>
      </c>
      <c r="IV609" s="12" t="s">
        <v>320</v>
      </c>
      <c r="IW609" s="11" t="str">
        <f t="shared" si="392"/>
        <v>2. Sensitive</v>
      </c>
      <c r="IX609" s="12">
        <f t="shared" si="393"/>
        <v>3</v>
      </c>
      <c r="IY609" s="11" t="s">
        <v>419</v>
      </c>
      <c r="IZ609" s="12" t="s">
        <v>432</v>
      </c>
      <c r="JA609" s="12">
        <v>16</v>
      </c>
      <c r="JB609" s="11" t="s">
        <v>623</v>
      </c>
      <c r="JC609" s="11" t="s">
        <v>687</v>
      </c>
      <c r="JD609" s="12" t="s">
        <v>651</v>
      </c>
      <c r="JE609" s="12" t="s">
        <v>365</v>
      </c>
      <c r="JF609" s="12" t="s">
        <v>10002</v>
      </c>
      <c r="JG609" s="12"/>
      <c r="JH609" s="12" t="s">
        <v>10003</v>
      </c>
      <c r="JI609" s="12" t="s">
        <v>10004</v>
      </c>
      <c r="JJ609" s="12" t="s">
        <v>10005</v>
      </c>
      <c r="JK609" s="12" t="s">
        <v>10006</v>
      </c>
      <c r="JL609" s="12" t="s">
        <v>10007</v>
      </c>
      <c r="JM609" s="12" t="s">
        <v>10008</v>
      </c>
      <c r="JN609" s="12" t="s">
        <v>10009</v>
      </c>
      <c r="JO609" s="12" t="s">
        <v>10010</v>
      </c>
      <c r="JP609" s="15">
        <f t="shared" si="394"/>
        <v>3899</v>
      </c>
      <c r="JQ609" s="15">
        <f t="shared" si="395"/>
        <v>608024</v>
      </c>
      <c r="JR609" s="279">
        <f t="shared" si="396"/>
        <v>155.94357527571171</v>
      </c>
      <c r="JS609" s="17">
        <f t="shared" si="397"/>
        <v>0.35008976660682228</v>
      </c>
      <c r="JT609" s="18">
        <f t="shared" si="398"/>
        <v>0.44999868426246331</v>
      </c>
      <c r="JU609" s="280">
        <f t="shared" si="399"/>
        <v>1365</v>
      </c>
      <c r="JV609" s="280">
        <f t="shared" si="400"/>
        <v>273610</v>
      </c>
      <c r="JW609" s="319" t="str">
        <f t="shared" si="401"/>
        <v/>
      </c>
      <c r="JX609" s="15">
        <f t="shared" si="402"/>
        <v>0</v>
      </c>
      <c r="JY609" s="15">
        <f t="shared" si="403"/>
        <v>0</v>
      </c>
      <c r="JZ609" s="19" t="str">
        <f t="shared" si="404"/>
        <v/>
      </c>
      <c r="KA609" s="52">
        <f t="shared" si="405"/>
        <v>1</v>
      </c>
      <c r="KB609" s="15">
        <f t="shared" si="406"/>
        <v>3899</v>
      </c>
      <c r="KC609" s="15">
        <f t="shared" si="407"/>
        <v>608024</v>
      </c>
      <c r="KD609" s="20">
        <f t="shared" si="408"/>
        <v>155.94357527571171</v>
      </c>
      <c r="KE609" s="52" t="str">
        <f t="shared" si="409"/>
        <v/>
      </c>
      <c r="KF609" s="15">
        <f t="shared" si="410"/>
        <v>0</v>
      </c>
      <c r="KG609" s="15">
        <f t="shared" si="411"/>
        <v>0</v>
      </c>
      <c r="KH609" s="21" t="str">
        <f t="shared" si="412"/>
        <v/>
      </c>
      <c r="KI609" s="52" t="str">
        <f t="shared" si="413"/>
        <v/>
      </c>
      <c r="KJ609" s="15">
        <f t="shared" si="414"/>
        <v>0</v>
      </c>
      <c r="KK609" s="15">
        <f t="shared" si="415"/>
        <v>0</v>
      </c>
      <c r="KL609" s="19" t="str">
        <f t="shared" si="416"/>
        <v/>
      </c>
      <c r="KM609" s="52" t="str">
        <f t="shared" si="417"/>
        <v/>
      </c>
      <c r="KN609" s="22">
        <f t="shared" si="418"/>
        <v>0</v>
      </c>
      <c r="KO609" s="22">
        <f t="shared" si="419"/>
        <v>0</v>
      </c>
      <c r="KP609" s="19" t="str">
        <f t="shared" si="420"/>
        <v/>
      </c>
      <c r="KQ609" s="11" t="str">
        <f t="shared" si="421"/>
        <v>1. Neutral</v>
      </c>
      <c r="KR609" s="11" t="str">
        <f t="shared" si="422"/>
        <v>4. Transformational</v>
      </c>
      <c r="KS609" s="11" t="str">
        <f t="shared" si="423"/>
        <v>2. Sensitive</v>
      </c>
      <c r="KT609" s="11" t="str">
        <f t="shared" si="424"/>
        <v>It tested new ways for fighting poverty and measured results of innovation</v>
      </c>
      <c r="KU609" s="11" t="str">
        <f t="shared" si="425"/>
        <v>Intensive advocacy</v>
      </c>
      <c r="KV609" s="11" t="str">
        <f t="shared" si="426"/>
        <v>It linked and worked with strategic alliances and partners to take tested and effective solutions to scale</v>
      </c>
      <c r="KW609" s="11" t="str">
        <f t="shared" si="427"/>
        <v>Peru - SABA Plus: Boosting Impact al Global Scale, Component Perú - Fase II</v>
      </c>
      <c r="KX609" s="11" t="str">
        <f t="shared" si="428"/>
        <v>SABA Plus: Boosting Impact al Global Scale, Component Perú - Fase II</v>
      </c>
      <c r="KY609" s="11" t="str">
        <f t="shared" si="429"/>
        <v>Peru</v>
      </c>
      <c r="KZ609" s="12">
        <v>609</v>
      </c>
    </row>
    <row r="610" spans="1:312" x14ac:dyDescent="0.3">
      <c r="A610" s="12" t="s">
        <v>9706</v>
      </c>
      <c r="B610" s="12" t="s">
        <v>2807</v>
      </c>
      <c r="C610" s="12">
        <v>3258</v>
      </c>
      <c r="D610" s="12" t="s">
        <v>9803</v>
      </c>
      <c r="E610" s="277" t="str">
        <f t="shared" si="387"/>
        <v>Peru</v>
      </c>
      <c r="F610" s="12" t="s">
        <v>9804</v>
      </c>
      <c r="G610" s="12" t="s">
        <v>425</v>
      </c>
      <c r="H610" s="12" t="s">
        <v>310</v>
      </c>
      <c r="I610" s="12" t="s">
        <v>907</v>
      </c>
      <c r="J610" s="281" t="s">
        <v>5183</v>
      </c>
      <c r="K610" s="12"/>
      <c r="L610" s="12"/>
      <c r="M610" s="12"/>
      <c r="N610" s="12"/>
      <c r="O610" s="12"/>
      <c r="P610" s="12"/>
      <c r="Q610" s="12"/>
      <c r="R610" s="12"/>
      <c r="S610" s="12"/>
      <c r="T610" s="12"/>
      <c r="U610" s="12"/>
      <c r="V610" s="12"/>
      <c r="W610" s="12"/>
      <c r="X610" s="12"/>
      <c r="Y610" s="12"/>
      <c r="Z610" s="12"/>
      <c r="AA610" s="12"/>
      <c r="AB610" s="12"/>
      <c r="AC610" s="12"/>
      <c r="AD610" s="12"/>
      <c r="BD610" s="13">
        <v>42125</v>
      </c>
      <c r="BE610" s="13">
        <v>42673</v>
      </c>
      <c r="BF610" s="12"/>
      <c r="BG610" s="12" t="s">
        <v>312</v>
      </c>
      <c r="BH610" s="14">
        <v>618166</v>
      </c>
      <c r="BI610" s="12" t="s">
        <v>9785</v>
      </c>
      <c r="BJ610" s="12" t="s">
        <v>9805</v>
      </c>
      <c r="BK610" s="12" t="s">
        <v>9787</v>
      </c>
      <c r="BL610" s="12" t="s">
        <v>9711</v>
      </c>
      <c r="BM610" s="12" t="s">
        <v>9712</v>
      </c>
      <c r="BN610" s="12" t="s">
        <v>9713</v>
      </c>
      <c r="BO610" s="12" t="s">
        <v>319</v>
      </c>
      <c r="BP610" s="12" t="s">
        <v>320</v>
      </c>
      <c r="BQ610" s="12" t="s">
        <v>319</v>
      </c>
      <c r="BR610" s="12" t="s">
        <v>9806</v>
      </c>
      <c r="BS610" s="12" t="s">
        <v>322</v>
      </c>
      <c r="BT610" s="12" t="s">
        <v>9807</v>
      </c>
      <c r="BU610" s="12" t="s">
        <v>9808</v>
      </c>
      <c r="BV610" s="14">
        <v>78</v>
      </c>
      <c r="BW610" s="14">
        <v>182</v>
      </c>
      <c r="BX610" s="14">
        <v>260</v>
      </c>
      <c r="BY610" s="14"/>
      <c r="BZ610" s="14"/>
      <c r="CA610" s="14"/>
      <c r="CB610" s="12" t="s">
        <v>9809</v>
      </c>
      <c r="CD610" s="14"/>
      <c r="CE610" s="14"/>
      <c r="CF610" s="14"/>
      <c r="CG610" s="14"/>
      <c r="CH610" s="14"/>
      <c r="CI610" s="14"/>
      <c r="CJ610" s="12"/>
      <c r="CK610" s="14"/>
      <c r="CL610" s="16"/>
      <c r="CM610" s="14"/>
      <c r="CN610" s="12"/>
      <c r="CO610" s="14"/>
      <c r="CP610" s="16"/>
      <c r="CQ610" s="14"/>
      <c r="CR610" s="12"/>
      <c r="CS610" s="14"/>
      <c r="CT610" s="16"/>
      <c r="CU610" s="14"/>
      <c r="CV610" s="12"/>
      <c r="CW610" s="14"/>
      <c r="CX610" s="16"/>
      <c r="CY610" s="14"/>
      <c r="CZ610" s="12"/>
      <c r="DA610" s="14"/>
      <c r="DB610" s="16"/>
      <c r="DC610" s="14"/>
      <c r="DD610" s="12"/>
      <c r="DE610" s="14"/>
      <c r="DF610" s="16"/>
      <c r="DG610" s="14"/>
      <c r="DH610" s="12"/>
      <c r="DI610" s="14"/>
      <c r="DJ610" s="16"/>
      <c r="DK610" s="14"/>
      <c r="DL610" s="12"/>
      <c r="DM610" s="14"/>
      <c r="DN610" s="16"/>
      <c r="DO610" s="14"/>
      <c r="DP610" s="12"/>
      <c r="DQ610" s="14"/>
      <c r="DR610" s="16"/>
      <c r="DS610" s="14"/>
      <c r="DT610" s="12"/>
      <c r="DU610" s="14"/>
      <c r="DV610" s="16"/>
      <c r="DW610" s="14"/>
      <c r="DX610" s="12"/>
      <c r="DY610" s="14"/>
      <c r="DZ610" s="16"/>
      <c r="EA610" s="14"/>
      <c r="EB610" s="12"/>
      <c r="EC610" s="14"/>
      <c r="ED610" s="16"/>
      <c r="EE610" s="14"/>
      <c r="EF610" s="12"/>
      <c r="EG610" s="12"/>
      <c r="EH610" s="14"/>
      <c r="EI610" s="16"/>
      <c r="EJ610" s="14"/>
      <c r="EK610" s="14"/>
      <c r="EL610" s="14"/>
      <c r="EM610" s="14">
        <v>810</v>
      </c>
      <c r="EN610" s="14"/>
      <c r="EO610" s="14"/>
      <c r="EP610" s="14"/>
      <c r="EQ610" s="12"/>
      <c r="ER610" s="14"/>
      <c r="ES610" s="16"/>
      <c r="ET610" s="14"/>
      <c r="EU610" s="12"/>
      <c r="EV610" s="14"/>
      <c r="EW610" s="16"/>
      <c r="EX610" s="14"/>
      <c r="EY610" s="12"/>
      <c r="EZ610" s="14"/>
      <c r="FA610" s="16"/>
      <c r="FB610" s="14"/>
      <c r="FC610" s="12" t="s">
        <v>320</v>
      </c>
      <c r="FD610" s="14">
        <v>810</v>
      </c>
      <c r="FE610" s="16">
        <v>0.3</v>
      </c>
      <c r="FF610" s="14"/>
      <c r="FG610" s="12"/>
      <c r="FH610" s="14"/>
      <c r="FI610" s="16"/>
      <c r="FJ610" s="14"/>
      <c r="FK610" s="12"/>
      <c r="FL610" s="14"/>
      <c r="FM610" s="16"/>
      <c r="FN610" s="14"/>
      <c r="FO610" s="12"/>
      <c r="FP610" s="14"/>
      <c r="FQ610" s="16"/>
      <c r="FR610" s="14"/>
      <c r="FS610" s="12"/>
      <c r="FT610" s="14"/>
      <c r="FU610" s="16"/>
      <c r="FV610" s="14"/>
      <c r="FW610" s="12"/>
      <c r="FX610" s="14"/>
      <c r="FY610" s="16"/>
      <c r="FZ610" s="14"/>
      <c r="GA610" s="12"/>
      <c r="GB610" s="14"/>
      <c r="GC610" s="16"/>
      <c r="GD610" s="14"/>
      <c r="GE610" s="12"/>
      <c r="GF610" s="14"/>
      <c r="GG610" s="16"/>
      <c r="GH610" s="14"/>
      <c r="GI610" s="12"/>
      <c r="GJ610" s="14"/>
      <c r="GK610" s="16"/>
      <c r="GL610" s="14"/>
      <c r="GM610" s="11" t="s">
        <v>320</v>
      </c>
      <c r="GN610" s="14">
        <v>810</v>
      </c>
      <c r="GO610" s="16">
        <v>0.3</v>
      </c>
      <c r="GP610" s="14"/>
      <c r="GQ610" s="12"/>
      <c r="GR610" s="14"/>
      <c r="GS610" s="16"/>
      <c r="GT610" s="14"/>
      <c r="GU610" s="12"/>
      <c r="GV610" s="14"/>
      <c r="GW610" s="16"/>
      <c r="GX610" s="14"/>
      <c r="GY610" s="12" t="s">
        <v>320</v>
      </c>
      <c r="GZ610" s="14"/>
      <c r="HA610" s="16"/>
      <c r="HB610" s="14"/>
      <c r="HC610" s="12"/>
      <c r="HD610" s="12"/>
      <c r="HE610" s="14"/>
      <c r="HF610" s="16"/>
      <c r="HG610" s="14"/>
      <c r="HH610" s="12" t="s">
        <v>319</v>
      </c>
      <c r="HI610" s="12"/>
      <c r="HJ610" s="12"/>
      <c r="HK610" s="12" t="s">
        <v>319</v>
      </c>
      <c r="HL610" s="12" t="s">
        <v>319</v>
      </c>
      <c r="HM610" s="12"/>
      <c r="HN610" s="12"/>
      <c r="HO610" s="12"/>
      <c r="HP610" s="12" t="s">
        <v>330</v>
      </c>
      <c r="HQ610" s="12"/>
      <c r="HR610" s="12"/>
      <c r="HS610" s="12"/>
      <c r="HT610" s="12" t="s">
        <v>320</v>
      </c>
      <c r="HU610" s="12"/>
      <c r="HV610" s="12"/>
      <c r="HW610" s="12" t="s">
        <v>320</v>
      </c>
      <c r="HX610" s="12"/>
      <c r="HY610" s="12"/>
      <c r="HZ610" s="12" t="s">
        <v>394</v>
      </c>
      <c r="IA610" s="12"/>
      <c r="IB610" s="12" t="s">
        <v>396</v>
      </c>
      <c r="IC610" s="12"/>
      <c r="ID610" s="11" t="s">
        <v>364</v>
      </c>
      <c r="IE610" s="12" t="s">
        <v>1909</v>
      </c>
      <c r="IF610" s="12"/>
      <c r="IG610" s="12"/>
      <c r="IH610" s="12"/>
      <c r="II610" s="12"/>
      <c r="IJ610" s="12" t="str">
        <f t="shared" si="388"/>
        <v>0. Harmful</v>
      </c>
      <c r="IK610" s="12">
        <f t="shared" si="389"/>
        <v>0</v>
      </c>
      <c r="IL610" s="12" t="s">
        <v>336</v>
      </c>
      <c r="IM610" s="12" t="s">
        <v>320</v>
      </c>
      <c r="IN610" s="12" t="s">
        <v>320</v>
      </c>
      <c r="IO610" s="12" t="s">
        <v>320</v>
      </c>
      <c r="IP610" s="12" t="s">
        <v>320</v>
      </c>
      <c r="IQ610" s="12" t="str">
        <f t="shared" si="390"/>
        <v>2. Accommodating</v>
      </c>
      <c r="IR610" s="12">
        <f t="shared" si="391"/>
        <v>4</v>
      </c>
      <c r="IS610" s="12" t="s">
        <v>622</v>
      </c>
      <c r="IT610" s="12" t="s">
        <v>320</v>
      </c>
      <c r="IU610" s="12" t="s">
        <v>320</v>
      </c>
      <c r="IV610" s="12" t="s">
        <v>320</v>
      </c>
      <c r="IW610" s="11" t="str">
        <f t="shared" si="392"/>
        <v>4. Transformative</v>
      </c>
      <c r="IX610" s="12">
        <f t="shared" si="393"/>
        <v>3</v>
      </c>
      <c r="IY610" s="12" t="s">
        <v>758</v>
      </c>
      <c r="IZ610" s="11" t="s">
        <v>527</v>
      </c>
      <c r="JA610" s="12">
        <v>10</v>
      </c>
      <c r="JB610" s="11" t="s">
        <v>623</v>
      </c>
      <c r="JC610" s="11" t="s">
        <v>687</v>
      </c>
      <c r="JD610" s="11" t="s">
        <v>585</v>
      </c>
      <c r="JE610" s="12" t="s">
        <v>340</v>
      </c>
      <c r="JF610" s="12" t="s">
        <v>9810</v>
      </c>
      <c r="JG610" s="12" t="s">
        <v>9811</v>
      </c>
      <c r="JH610" s="12"/>
      <c r="JI610" s="12"/>
      <c r="JJ610" s="12"/>
      <c r="JK610" s="12" t="s">
        <v>9812</v>
      </c>
      <c r="JL610" s="12"/>
      <c r="JM610" s="12"/>
      <c r="JN610" s="12" t="s">
        <v>9813</v>
      </c>
      <c r="JO610" s="12"/>
      <c r="JP610" s="15">
        <f t="shared" si="394"/>
        <v>810</v>
      </c>
      <c r="JQ610" s="15">
        <f t="shared" si="395"/>
        <v>0</v>
      </c>
      <c r="JR610" s="279">
        <f t="shared" si="396"/>
        <v>0</v>
      </c>
      <c r="JS610" s="17">
        <f t="shared" si="397"/>
        <v>0</v>
      </c>
      <c r="JT610" s="18" t="str">
        <f t="shared" si="398"/>
        <v/>
      </c>
      <c r="JU610" s="280">
        <f t="shared" si="399"/>
        <v>0</v>
      </c>
      <c r="JV610" s="280">
        <f t="shared" si="400"/>
        <v>0</v>
      </c>
      <c r="JW610" s="319" t="str">
        <f t="shared" si="401"/>
        <v/>
      </c>
      <c r="JX610" s="15">
        <f t="shared" si="402"/>
        <v>0</v>
      </c>
      <c r="JY610" s="15">
        <f t="shared" si="403"/>
        <v>0</v>
      </c>
      <c r="JZ610" s="19" t="str">
        <f t="shared" si="404"/>
        <v/>
      </c>
      <c r="KA610" s="52">
        <f t="shared" si="405"/>
        <v>1</v>
      </c>
      <c r="KB610" s="15">
        <f t="shared" si="406"/>
        <v>810</v>
      </c>
      <c r="KC610" s="15">
        <f t="shared" si="407"/>
        <v>0</v>
      </c>
      <c r="KD610" s="20">
        <f t="shared" si="408"/>
        <v>0</v>
      </c>
      <c r="KE610" s="52" t="str">
        <f t="shared" si="409"/>
        <v/>
      </c>
      <c r="KF610" s="15">
        <f t="shared" si="410"/>
        <v>0</v>
      </c>
      <c r="KG610" s="15">
        <f t="shared" si="411"/>
        <v>0</v>
      </c>
      <c r="KH610" s="21" t="str">
        <f t="shared" si="412"/>
        <v/>
      </c>
      <c r="KI610" s="52" t="str">
        <f t="shared" si="413"/>
        <v/>
      </c>
      <c r="KJ610" s="15">
        <f t="shared" si="414"/>
        <v>0</v>
      </c>
      <c r="KK610" s="15">
        <f t="shared" si="415"/>
        <v>0</v>
      </c>
      <c r="KL610" s="19" t="str">
        <f t="shared" si="416"/>
        <v/>
      </c>
      <c r="KM610" s="52">
        <f t="shared" si="417"/>
        <v>1</v>
      </c>
      <c r="KN610" s="22">
        <f t="shared" si="418"/>
        <v>0</v>
      </c>
      <c r="KO610" s="22">
        <f t="shared" si="419"/>
        <v>0</v>
      </c>
      <c r="KP610" s="19" t="str">
        <f t="shared" si="420"/>
        <v/>
      </c>
      <c r="KQ610" s="11" t="str">
        <f t="shared" si="421"/>
        <v>0. Harmful</v>
      </c>
      <c r="KR610" s="11" t="str">
        <f t="shared" si="422"/>
        <v>2. Accommodating</v>
      </c>
      <c r="KS610" s="11" t="str">
        <f t="shared" si="423"/>
        <v>4. Transformative</v>
      </c>
      <c r="KT610" s="11" t="str">
        <f t="shared" si="424"/>
        <v>It tested new ways for fighting poverty, but did not measure results of innovation</v>
      </c>
      <c r="KU610" s="11" t="str">
        <f t="shared" si="425"/>
        <v>Moderate advocacy</v>
      </c>
      <c r="KV610" s="11" t="str">
        <f t="shared" si="426"/>
        <v>It linked and worked with strategic alliances and partners to take tested and effective solutions to scale</v>
      </c>
      <c r="KW610" s="11" t="str">
        <f t="shared" si="427"/>
        <v>Peru - Sistema Intergubernamental de Evaluación de Riesgos y Gestión Institucional Aplicada para la Gestión del Riesgo de Desastres (SINERGIA GRD)</v>
      </c>
      <c r="KX610" s="11" t="str">
        <f t="shared" si="428"/>
        <v>Sistema Intergubernamental de Evaluación de Riesgos y Gestión Institucional Aplicada para la Gestión del Riesgo de Desastres (SINERGIA GRD)</v>
      </c>
      <c r="KY610" s="11" t="str">
        <f t="shared" si="429"/>
        <v>Peru</v>
      </c>
      <c r="KZ610" s="12">
        <v>610</v>
      </c>
    </row>
    <row r="611" spans="1:312" x14ac:dyDescent="0.3">
      <c r="A611" s="12" t="s">
        <v>9706</v>
      </c>
      <c r="B611" s="12" t="s">
        <v>2807</v>
      </c>
      <c r="C611" s="12"/>
      <c r="D611" s="12" t="s">
        <v>9814</v>
      </c>
      <c r="E611" s="277" t="str">
        <f t="shared" si="387"/>
        <v>Peru</v>
      </c>
      <c r="F611" s="12" t="s">
        <v>9756</v>
      </c>
      <c r="G611" s="12" t="s">
        <v>425</v>
      </c>
      <c r="H611" s="12" t="s">
        <v>383</v>
      </c>
      <c r="I611" s="12" t="s">
        <v>384</v>
      </c>
      <c r="J611" s="278" t="s">
        <v>3967</v>
      </c>
      <c r="K611" s="12"/>
      <c r="L611" s="12"/>
      <c r="M611" s="12"/>
      <c r="N611" s="12"/>
      <c r="O611" s="12"/>
      <c r="P611" s="12"/>
      <c r="Q611" s="12"/>
      <c r="R611" s="12"/>
      <c r="S611" s="12"/>
      <c r="T611" s="12"/>
      <c r="U611" s="12"/>
      <c r="V611" s="12"/>
      <c r="W611" s="12"/>
      <c r="X611" s="12"/>
      <c r="Y611" s="12"/>
      <c r="Z611" s="12"/>
      <c r="AA611" s="12"/>
      <c r="AB611" s="12"/>
      <c r="AC611" s="12"/>
      <c r="AD611" s="12"/>
      <c r="BD611" s="13">
        <v>42735</v>
      </c>
      <c r="BE611" s="13">
        <v>42766</v>
      </c>
      <c r="BF611" s="12"/>
      <c r="BG611" s="12" t="s">
        <v>350</v>
      </c>
      <c r="BH611" s="14">
        <v>40900</v>
      </c>
      <c r="BI611" s="12" t="s">
        <v>9757</v>
      </c>
      <c r="BJ611" s="12" t="s">
        <v>9712</v>
      </c>
      <c r="BK611" s="12" t="s">
        <v>9713</v>
      </c>
      <c r="BL611" s="12" t="s">
        <v>9758</v>
      </c>
      <c r="BM611" s="12" t="s">
        <v>9776</v>
      </c>
      <c r="BN611" s="12" t="s">
        <v>9760</v>
      </c>
      <c r="BO611" s="12" t="s">
        <v>319</v>
      </c>
      <c r="BP611" s="12" t="s">
        <v>320</v>
      </c>
      <c r="BQ611" s="12" t="s">
        <v>319</v>
      </c>
      <c r="BR611" s="12" t="s">
        <v>9815</v>
      </c>
      <c r="BS611" s="12" t="s">
        <v>357</v>
      </c>
      <c r="BT611" s="12" t="s">
        <v>9762</v>
      </c>
      <c r="BU611" s="12" t="s">
        <v>9763</v>
      </c>
      <c r="BV611" s="14">
        <v>3000</v>
      </c>
      <c r="BW611" s="14">
        <v>0</v>
      </c>
      <c r="BX611" s="14">
        <v>3000</v>
      </c>
      <c r="BY611" s="14">
        <v>6000</v>
      </c>
      <c r="BZ611" s="14">
        <v>6000</v>
      </c>
      <c r="CA611" s="14">
        <v>12000</v>
      </c>
      <c r="CB611" s="12" t="s">
        <v>9816</v>
      </c>
      <c r="CD611" s="14"/>
      <c r="CE611" s="14"/>
      <c r="CF611" s="14"/>
      <c r="CG611" s="14"/>
      <c r="CH611" s="14"/>
      <c r="CI611" s="14"/>
      <c r="CJ611" s="12"/>
      <c r="CK611" s="14"/>
      <c r="CL611" s="16"/>
      <c r="CM611" s="14"/>
      <c r="CN611" s="12"/>
      <c r="CO611" s="14"/>
      <c r="CP611" s="16"/>
      <c r="CQ611" s="14"/>
      <c r="CR611" s="12"/>
      <c r="CS611" s="14"/>
      <c r="CT611" s="16"/>
      <c r="CU611" s="14"/>
      <c r="CV611" s="12"/>
      <c r="CW611" s="14"/>
      <c r="CX611" s="16"/>
      <c r="CY611" s="14"/>
      <c r="CZ611" s="12"/>
      <c r="DA611" s="14"/>
      <c r="DB611" s="16"/>
      <c r="DC611" s="14"/>
      <c r="DD611" s="12"/>
      <c r="DE611" s="14"/>
      <c r="DF611" s="16"/>
      <c r="DG611" s="14"/>
      <c r="DH611" s="12"/>
      <c r="DI611" s="14"/>
      <c r="DJ611" s="16"/>
      <c r="DK611" s="14"/>
      <c r="DL611" s="12"/>
      <c r="DM611" s="14"/>
      <c r="DN611" s="16"/>
      <c r="DO611" s="14"/>
      <c r="DP611" s="12"/>
      <c r="DQ611" s="14"/>
      <c r="DR611" s="16"/>
      <c r="DS611" s="14"/>
      <c r="DT611" s="12"/>
      <c r="DU611" s="14"/>
      <c r="DV611" s="16"/>
      <c r="DW611" s="14"/>
      <c r="DX611" s="12"/>
      <c r="DY611" s="14"/>
      <c r="DZ611" s="16"/>
      <c r="EA611" s="14"/>
      <c r="EB611" s="12"/>
      <c r="EC611" s="14"/>
      <c r="ED611" s="16"/>
      <c r="EE611" s="14"/>
      <c r="EF611" s="12"/>
      <c r="EG611" s="12"/>
      <c r="EH611" s="14"/>
      <c r="EI611" s="16"/>
      <c r="EJ611" s="14"/>
      <c r="EK611" s="14">
        <v>3071</v>
      </c>
      <c r="EL611" s="14">
        <v>0</v>
      </c>
      <c r="EM611" s="14">
        <v>3071</v>
      </c>
      <c r="EN611" s="14">
        <v>6142</v>
      </c>
      <c r="EO611" s="14">
        <v>6142</v>
      </c>
      <c r="EP611" s="14">
        <v>12284</v>
      </c>
      <c r="EQ611" s="12" t="s">
        <v>319</v>
      </c>
      <c r="ER611" s="14"/>
      <c r="ES611" s="16"/>
      <c r="ET611" s="14"/>
      <c r="EU611" s="11" t="s">
        <v>319</v>
      </c>
      <c r="EV611" s="14"/>
      <c r="EW611" s="16"/>
      <c r="EX611" s="14"/>
      <c r="EY611" s="12" t="s">
        <v>319</v>
      </c>
      <c r="EZ611" s="14"/>
      <c r="FA611" s="16"/>
      <c r="FB611" s="14"/>
      <c r="FC611" s="12" t="s">
        <v>319</v>
      </c>
      <c r="FD611" s="14"/>
      <c r="FE611" s="16"/>
      <c r="FF611" s="14"/>
      <c r="FG611" s="12" t="s">
        <v>319</v>
      </c>
      <c r="FH611" s="14"/>
      <c r="FI611" s="16"/>
      <c r="FJ611" s="14"/>
      <c r="FK611" s="12" t="s">
        <v>319</v>
      </c>
      <c r="FL611" s="14"/>
      <c r="FM611" s="16"/>
      <c r="FN611" s="14"/>
      <c r="FO611" s="12" t="s">
        <v>319</v>
      </c>
      <c r="FP611" s="14"/>
      <c r="FQ611" s="16"/>
      <c r="FR611" s="14"/>
      <c r="FS611" s="12" t="s">
        <v>319</v>
      </c>
      <c r="FT611" s="14"/>
      <c r="FU611" s="16"/>
      <c r="FV611" s="14"/>
      <c r="FW611" s="12" t="s">
        <v>319</v>
      </c>
      <c r="FX611" s="14"/>
      <c r="FY611" s="16"/>
      <c r="FZ611" s="14"/>
      <c r="GA611" s="12" t="s">
        <v>319</v>
      </c>
      <c r="GB611" s="14"/>
      <c r="GC611" s="16"/>
      <c r="GD611" s="14"/>
      <c r="GE611" s="12" t="s">
        <v>319</v>
      </c>
      <c r="GF611" s="14"/>
      <c r="GG611" s="16"/>
      <c r="GH611" s="14"/>
      <c r="GI611" s="12" t="s">
        <v>319</v>
      </c>
      <c r="GJ611" s="14"/>
      <c r="GK611" s="16"/>
      <c r="GL611" s="14"/>
      <c r="GM611" s="12" t="s">
        <v>319</v>
      </c>
      <c r="GN611" s="14"/>
      <c r="GO611" s="16"/>
      <c r="GP611" s="14"/>
      <c r="GQ611" s="12" t="s">
        <v>319</v>
      </c>
      <c r="GR611" s="14"/>
      <c r="GS611" s="16"/>
      <c r="GT611" s="14"/>
      <c r="GU611" s="12" t="s">
        <v>319</v>
      </c>
      <c r="GV611" s="14"/>
      <c r="GW611" s="16"/>
      <c r="GX611" s="14"/>
      <c r="GY611" s="11" t="s">
        <v>320</v>
      </c>
      <c r="GZ611" s="14">
        <v>3630</v>
      </c>
      <c r="HA611" s="16">
        <v>1</v>
      </c>
      <c r="HB611" s="14">
        <v>14520</v>
      </c>
      <c r="HC611" s="12"/>
      <c r="HD611" s="12"/>
      <c r="HE611" s="14"/>
      <c r="HF611" s="16"/>
      <c r="HG611" s="14"/>
      <c r="HH611" s="12" t="s">
        <v>319</v>
      </c>
      <c r="HI611" s="12"/>
      <c r="HJ611" s="12"/>
      <c r="HK611" s="12" t="s">
        <v>319</v>
      </c>
      <c r="HL611" s="12" t="s">
        <v>319</v>
      </c>
      <c r="HM611" s="12"/>
      <c r="HN611" s="12"/>
      <c r="HO611" s="12" t="s">
        <v>9817</v>
      </c>
      <c r="HP611" s="12" t="s">
        <v>418</v>
      </c>
      <c r="HQ611" s="12" t="s">
        <v>319</v>
      </c>
      <c r="HR611" s="12" t="s">
        <v>319</v>
      </c>
      <c r="HS611" s="12" t="s">
        <v>320</v>
      </c>
      <c r="HT611" s="12" t="s">
        <v>319</v>
      </c>
      <c r="HU611" s="12" t="s">
        <v>319</v>
      </c>
      <c r="HV611" s="12" t="s">
        <v>319</v>
      </c>
      <c r="HW611" s="12" t="s">
        <v>319</v>
      </c>
      <c r="HX611" s="12" t="s">
        <v>319</v>
      </c>
      <c r="HY611" s="12"/>
      <c r="HZ611" s="12" t="s">
        <v>394</v>
      </c>
      <c r="IA611" s="12" t="s">
        <v>9818</v>
      </c>
      <c r="IB611" s="12" t="s">
        <v>333</v>
      </c>
      <c r="IC611" s="12"/>
      <c r="ID611" s="12" t="s">
        <v>334</v>
      </c>
      <c r="IE611" s="12" t="s">
        <v>335</v>
      </c>
      <c r="IF611" s="12" t="s">
        <v>320</v>
      </c>
      <c r="IG611" s="12" t="s">
        <v>319</v>
      </c>
      <c r="IH611" s="12" t="s">
        <v>320</v>
      </c>
      <c r="II611" s="12" t="s">
        <v>319</v>
      </c>
      <c r="IJ611" s="12" t="str">
        <f t="shared" si="388"/>
        <v>1. Neutral</v>
      </c>
      <c r="IK611" s="12">
        <f t="shared" si="389"/>
        <v>2</v>
      </c>
      <c r="IL611" s="12" t="s">
        <v>336</v>
      </c>
      <c r="IM611" s="12" t="s">
        <v>319</v>
      </c>
      <c r="IN611" s="12" t="s">
        <v>319</v>
      </c>
      <c r="IO611" s="12" t="s">
        <v>319</v>
      </c>
      <c r="IP611" s="12" t="s">
        <v>320</v>
      </c>
      <c r="IQ611" s="12" t="str">
        <f t="shared" si="390"/>
        <v>1. Tokenistic</v>
      </c>
      <c r="IR611" s="12">
        <f t="shared" si="391"/>
        <v>1</v>
      </c>
      <c r="IS611" s="12" t="s">
        <v>337</v>
      </c>
      <c r="IT611" s="12" t="s">
        <v>319</v>
      </c>
      <c r="IU611" s="12" t="s">
        <v>320</v>
      </c>
      <c r="IV611" s="12" t="s">
        <v>319</v>
      </c>
      <c r="IW611" s="11" t="str">
        <f t="shared" si="392"/>
        <v>1. Neutral</v>
      </c>
      <c r="IX611" s="12">
        <f t="shared" si="393"/>
        <v>1</v>
      </c>
      <c r="IY611" s="12" t="s">
        <v>338</v>
      </c>
      <c r="IZ611" s="12" t="s">
        <v>339</v>
      </c>
      <c r="JA611" s="12"/>
      <c r="JB611" s="12"/>
      <c r="JC611" s="12"/>
      <c r="JD611" s="12"/>
      <c r="JE611" s="12" t="s">
        <v>420</v>
      </c>
      <c r="JF611" s="12"/>
      <c r="JG611" s="12"/>
      <c r="JH611" s="12" t="s">
        <v>9819</v>
      </c>
      <c r="JI611" s="12" t="s">
        <v>9820</v>
      </c>
      <c r="JJ611" s="12"/>
      <c r="JK611" s="12" t="s">
        <v>9821</v>
      </c>
      <c r="JL611" s="12" t="s">
        <v>9822</v>
      </c>
      <c r="JM611" s="12"/>
      <c r="JN611" s="12" t="s">
        <v>9823</v>
      </c>
      <c r="JO611" s="12" t="s">
        <v>9824</v>
      </c>
      <c r="JP611" s="15">
        <f t="shared" si="394"/>
        <v>3071</v>
      </c>
      <c r="JQ611" s="15">
        <f t="shared" si="395"/>
        <v>12284</v>
      </c>
      <c r="JR611" s="279">
        <f t="shared" si="396"/>
        <v>4</v>
      </c>
      <c r="JS611" s="17">
        <f t="shared" si="397"/>
        <v>1</v>
      </c>
      <c r="JT611" s="18">
        <f t="shared" si="398"/>
        <v>0.5</v>
      </c>
      <c r="JU611" s="280">
        <f t="shared" si="399"/>
        <v>3071</v>
      </c>
      <c r="JV611" s="280">
        <f t="shared" si="400"/>
        <v>6142</v>
      </c>
      <c r="JW611" s="319" t="str">
        <f t="shared" si="401"/>
        <v/>
      </c>
      <c r="JX611" s="15">
        <f t="shared" si="402"/>
        <v>0</v>
      </c>
      <c r="JY611" s="15">
        <f t="shared" si="403"/>
        <v>0</v>
      </c>
      <c r="JZ611" s="19" t="str">
        <f t="shared" si="404"/>
        <v/>
      </c>
      <c r="KA611" s="52" t="str">
        <f t="shared" si="405"/>
        <v/>
      </c>
      <c r="KB611" s="15">
        <f t="shared" si="406"/>
        <v>0</v>
      </c>
      <c r="KC611" s="15">
        <f t="shared" si="407"/>
        <v>0</v>
      </c>
      <c r="KD611" s="20" t="str">
        <f t="shared" si="408"/>
        <v/>
      </c>
      <c r="KE611" s="52" t="str">
        <f t="shared" si="409"/>
        <v/>
      </c>
      <c r="KF611" s="15">
        <f t="shared" si="410"/>
        <v>0</v>
      </c>
      <c r="KG611" s="15">
        <f t="shared" si="411"/>
        <v>0</v>
      </c>
      <c r="KH611" s="21" t="str">
        <f t="shared" si="412"/>
        <v/>
      </c>
      <c r="KI611" s="52" t="str">
        <f t="shared" si="413"/>
        <v/>
      </c>
      <c r="KJ611" s="15">
        <f t="shared" si="414"/>
        <v>0</v>
      </c>
      <c r="KK611" s="15">
        <f t="shared" si="415"/>
        <v>0</v>
      </c>
      <c r="KL611" s="19" t="str">
        <f t="shared" si="416"/>
        <v/>
      </c>
      <c r="KM611" s="52">
        <f t="shared" si="417"/>
        <v>1</v>
      </c>
      <c r="KN611" s="22">
        <f t="shared" si="418"/>
        <v>3630</v>
      </c>
      <c r="KO611" s="22">
        <f t="shared" si="419"/>
        <v>14520</v>
      </c>
      <c r="KP611" s="19">
        <f t="shared" si="420"/>
        <v>4</v>
      </c>
      <c r="KQ611" s="11" t="str">
        <f t="shared" si="421"/>
        <v>1. Neutral</v>
      </c>
      <c r="KR611" s="11" t="str">
        <f t="shared" si="422"/>
        <v>1. Tokenistic</v>
      </c>
      <c r="KS611" s="11" t="str">
        <f t="shared" si="423"/>
        <v>1. Neutral</v>
      </c>
      <c r="KT611" s="11" t="str">
        <f t="shared" si="424"/>
        <v>It tested new ways for fighting poverty, but did not measure results of innovation</v>
      </c>
      <c r="KU611" s="11" t="str">
        <f t="shared" si="425"/>
        <v>Little or no advocacy</v>
      </c>
      <c r="KV611" s="11" t="str">
        <f t="shared" si="426"/>
        <v>It did not take tested solutions to scale</v>
      </c>
      <c r="KW611" s="11" t="str">
        <f t="shared" si="427"/>
        <v>Peru - Socialización de la experiencia desarrollada por las mujeres, a mujeres de comunidades aledañas.</v>
      </c>
      <c r="KX611" s="11" t="str">
        <f t="shared" si="428"/>
        <v>Socialización de la experiencia desarrollada por las mujeres, a mujeres de comunidades aledañas.</v>
      </c>
      <c r="KY611" s="11" t="str">
        <f t="shared" si="429"/>
        <v>Peru</v>
      </c>
      <c r="KZ611" s="12">
        <v>611</v>
      </c>
    </row>
    <row r="612" spans="1:312" x14ac:dyDescent="0.3">
      <c r="A612" s="11" t="s">
        <v>9706</v>
      </c>
      <c r="B612" s="11" t="s">
        <v>2807</v>
      </c>
      <c r="D612" s="11" t="s">
        <v>9825</v>
      </c>
      <c r="E612" s="277" t="str">
        <f t="shared" si="387"/>
        <v>Peru</v>
      </c>
      <c r="F612" s="11" t="s">
        <v>9826</v>
      </c>
      <c r="G612" s="11" t="s">
        <v>425</v>
      </c>
      <c r="H612" s="11" t="s">
        <v>310</v>
      </c>
      <c r="I612" s="11" t="s">
        <v>907</v>
      </c>
      <c r="J612" s="278" t="s">
        <v>5183</v>
      </c>
      <c r="BD612" s="23">
        <v>42814</v>
      </c>
      <c r="BE612" s="23">
        <v>42905</v>
      </c>
      <c r="BG612" s="11" t="s">
        <v>817</v>
      </c>
      <c r="BH612" s="22">
        <v>295000</v>
      </c>
      <c r="BI612" s="11" t="s">
        <v>9785</v>
      </c>
      <c r="BJ612" s="11" t="s">
        <v>9827</v>
      </c>
      <c r="BK612" s="11" t="s">
        <v>9787</v>
      </c>
      <c r="BL612" s="11" t="s">
        <v>9711</v>
      </c>
      <c r="BM612" s="11" t="s">
        <v>9712</v>
      </c>
      <c r="BN612" s="11" t="s">
        <v>9713</v>
      </c>
      <c r="BO612" s="11" t="s">
        <v>320</v>
      </c>
      <c r="BP612" s="11" t="s">
        <v>319</v>
      </c>
      <c r="BQ612" s="12" t="s">
        <v>319</v>
      </c>
      <c r="BR612" s="11" t="s">
        <v>9828</v>
      </c>
      <c r="BS612" s="11" t="s">
        <v>357</v>
      </c>
      <c r="BT612" s="11" t="s">
        <v>9829</v>
      </c>
      <c r="BU612" s="11" t="s">
        <v>9830</v>
      </c>
      <c r="BV612" s="22">
        <v>3825</v>
      </c>
      <c r="BW612" s="22">
        <v>3675</v>
      </c>
      <c r="BX612" s="22">
        <v>7500</v>
      </c>
      <c r="CB612" s="15" t="s">
        <v>9831</v>
      </c>
      <c r="CD612" s="22">
        <v>3290</v>
      </c>
      <c r="CE612" s="22">
        <v>3160</v>
      </c>
      <c r="CF612" s="22">
        <v>6450</v>
      </c>
      <c r="CL612" s="18"/>
      <c r="CP612" s="18"/>
      <c r="CT612" s="18"/>
      <c r="CX612" s="18"/>
      <c r="DB612" s="18"/>
      <c r="DF612" s="18"/>
      <c r="DJ612" s="18"/>
      <c r="DN612" s="18"/>
      <c r="DR612" s="18"/>
      <c r="DV612" s="18"/>
      <c r="DZ612" s="18"/>
      <c r="EB612" s="11" t="s">
        <v>320</v>
      </c>
      <c r="EC612" s="22">
        <v>6450</v>
      </c>
      <c r="ED612" s="16">
        <v>0.51</v>
      </c>
      <c r="EI612" s="18"/>
      <c r="ES612" s="18"/>
      <c r="EW612" s="18"/>
      <c r="FA612" s="18"/>
      <c r="FE612" s="18"/>
      <c r="FI612" s="18"/>
      <c r="FM612" s="18"/>
      <c r="FQ612" s="18"/>
      <c r="FU612" s="18"/>
      <c r="FY612" s="18"/>
      <c r="GC612" s="18"/>
      <c r="GG612" s="18"/>
      <c r="GK612" s="18"/>
      <c r="GO612" s="18"/>
      <c r="GS612" s="18"/>
      <c r="GW612" s="18"/>
      <c r="HA612" s="18"/>
      <c r="HF612" s="18"/>
      <c r="HH612" s="11" t="s">
        <v>319</v>
      </c>
      <c r="HK612" s="11" t="s">
        <v>319</v>
      </c>
      <c r="HL612" s="11" t="s">
        <v>319</v>
      </c>
      <c r="HP612" s="11" t="s">
        <v>418</v>
      </c>
      <c r="HZ612" s="11" t="s">
        <v>363</v>
      </c>
      <c r="IB612" s="12" t="s">
        <v>333</v>
      </c>
      <c r="ID612" s="11" t="s">
        <v>364</v>
      </c>
      <c r="IE612" s="11" t="s">
        <v>335</v>
      </c>
      <c r="IF612" s="12" t="s">
        <v>320</v>
      </c>
      <c r="IG612" s="12" t="s">
        <v>320</v>
      </c>
      <c r="IH612" s="12" t="s">
        <v>319</v>
      </c>
      <c r="II612" s="12" t="s">
        <v>320</v>
      </c>
      <c r="IJ612" s="12" t="str">
        <f t="shared" si="388"/>
        <v>1. Neutral</v>
      </c>
      <c r="IK612" s="12">
        <f t="shared" si="389"/>
        <v>3</v>
      </c>
      <c r="IL612" s="12" t="s">
        <v>336</v>
      </c>
      <c r="IM612" s="12" t="s">
        <v>320</v>
      </c>
      <c r="IN612" s="12" t="s">
        <v>319</v>
      </c>
      <c r="IO612" s="12" t="s">
        <v>320</v>
      </c>
      <c r="IP612" s="12" t="s">
        <v>320</v>
      </c>
      <c r="IQ612" s="12" t="str">
        <f t="shared" si="390"/>
        <v>2. Accommodating</v>
      </c>
      <c r="IR612" s="12">
        <f t="shared" si="391"/>
        <v>3</v>
      </c>
      <c r="IS612" s="11" t="s">
        <v>337</v>
      </c>
      <c r="IT612" s="11" t="s">
        <v>320</v>
      </c>
      <c r="IU612" s="11" t="s">
        <v>319</v>
      </c>
      <c r="IV612" s="11" t="s">
        <v>319</v>
      </c>
      <c r="IW612" s="11" t="str">
        <f t="shared" si="392"/>
        <v>1. Neutral</v>
      </c>
      <c r="IX612" s="12">
        <f t="shared" si="393"/>
        <v>1</v>
      </c>
      <c r="IY612" s="12" t="s">
        <v>338</v>
      </c>
      <c r="IZ612" s="12" t="s">
        <v>339</v>
      </c>
      <c r="JE612" s="12" t="s">
        <v>420</v>
      </c>
      <c r="JN612" s="11" t="s">
        <v>9832</v>
      </c>
      <c r="JP612" s="15">
        <f t="shared" si="394"/>
        <v>6450</v>
      </c>
      <c r="JQ612" s="15">
        <f t="shared" si="395"/>
        <v>0</v>
      </c>
      <c r="JR612" s="279">
        <f t="shared" si="396"/>
        <v>0</v>
      </c>
      <c r="JS612" s="17">
        <f t="shared" si="397"/>
        <v>0.51007751937984491</v>
      </c>
      <c r="JT612" s="18" t="str">
        <f t="shared" si="398"/>
        <v/>
      </c>
      <c r="JU612" s="280">
        <f t="shared" si="399"/>
        <v>3290</v>
      </c>
      <c r="JV612" s="280">
        <f t="shared" si="400"/>
        <v>0</v>
      </c>
      <c r="JW612" s="319">
        <f t="shared" si="401"/>
        <v>1</v>
      </c>
      <c r="JX612" s="15">
        <f t="shared" si="402"/>
        <v>6450</v>
      </c>
      <c r="JY612" s="15">
        <f t="shared" si="403"/>
        <v>0</v>
      </c>
      <c r="JZ612" s="19">
        <f t="shared" si="404"/>
        <v>0</v>
      </c>
      <c r="KA612" s="52" t="str">
        <f t="shared" si="405"/>
        <v/>
      </c>
      <c r="KB612" s="15">
        <f t="shared" si="406"/>
        <v>0</v>
      </c>
      <c r="KC612" s="15">
        <f t="shared" si="407"/>
        <v>0</v>
      </c>
      <c r="KD612" s="20" t="str">
        <f t="shared" si="408"/>
        <v/>
      </c>
      <c r="KE612" s="52" t="str">
        <f t="shared" si="409"/>
        <v/>
      </c>
      <c r="KF612" s="15">
        <f t="shared" si="410"/>
        <v>0</v>
      </c>
      <c r="KG612" s="15">
        <f t="shared" si="411"/>
        <v>0</v>
      </c>
      <c r="KH612" s="21" t="str">
        <f t="shared" si="412"/>
        <v/>
      </c>
      <c r="KI612" s="52" t="str">
        <f t="shared" si="413"/>
        <v/>
      </c>
      <c r="KJ612" s="15">
        <f t="shared" si="414"/>
        <v>0</v>
      </c>
      <c r="KK612" s="15">
        <f t="shared" si="415"/>
        <v>0</v>
      </c>
      <c r="KL612" s="19" t="str">
        <f t="shared" si="416"/>
        <v/>
      </c>
      <c r="KM612" s="52" t="str">
        <f t="shared" si="417"/>
        <v/>
      </c>
      <c r="KN612" s="22">
        <f t="shared" si="418"/>
        <v>0</v>
      </c>
      <c r="KO612" s="22">
        <f t="shared" si="419"/>
        <v>0</v>
      </c>
      <c r="KP612" s="19" t="str">
        <f t="shared" si="420"/>
        <v/>
      </c>
      <c r="KQ612" s="11" t="str">
        <f t="shared" si="421"/>
        <v>1. Neutral</v>
      </c>
      <c r="KR612" s="11" t="str">
        <f t="shared" si="422"/>
        <v>2. Accommodating</v>
      </c>
      <c r="KS612" s="11" t="str">
        <f t="shared" si="423"/>
        <v>1. Neutral</v>
      </c>
      <c r="KT612" s="11" t="str">
        <f t="shared" si="424"/>
        <v>It did not develop any specific innovation</v>
      </c>
      <c r="KU612" s="11" t="str">
        <f t="shared" si="425"/>
        <v>Little or no advocacy</v>
      </c>
      <c r="KV612" s="11" t="str">
        <f t="shared" si="426"/>
        <v>It did not take tested solutions to scale</v>
      </c>
      <c r="KW612" s="11" t="str">
        <f t="shared" si="427"/>
        <v>Peru - SOS Niño Costero</v>
      </c>
      <c r="KX612" s="11" t="str">
        <f t="shared" si="428"/>
        <v>SOS Niño Costero</v>
      </c>
      <c r="KY612" s="11" t="str">
        <f t="shared" si="429"/>
        <v>Peru</v>
      </c>
      <c r="KZ612" s="12">
        <v>612</v>
      </c>
    </row>
    <row r="613" spans="1:312" x14ac:dyDescent="0.3">
      <c r="A613" s="12" t="s">
        <v>9706</v>
      </c>
      <c r="B613" s="12" t="s">
        <v>2807</v>
      </c>
      <c r="C613" s="12">
        <v>3251</v>
      </c>
      <c r="D613" s="12" t="s">
        <v>10011</v>
      </c>
      <c r="E613" s="24" t="str">
        <f t="shared" si="387"/>
        <v>Peru</v>
      </c>
      <c r="F613" s="12" t="s">
        <v>10012</v>
      </c>
      <c r="G613" s="12" t="s">
        <v>9835</v>
      </c>
      <c r="H613" s="12" t="s">
        <v>310</v>
      </c>
      <c r="I613" s="12" t="s">
        <v>655</v>
      </c>
      <c r="J613" s="281" t="s">
        <v>4991</v>
      </c>
      <c r="K613" s="12"/>
      <c r="L613" s="12"/>
      <c r="M613" s="12"/>
      <c r="N613" s="12"/>
      <c r="O613" s="12"/>
      <c r="P613" s="12"/>
      <c r="Q613" s="12"/>
      <c r="R613" s="12"/>
      <c r="S613" s="12"/>
      <c r="T613" s="12"/>
      <c r="U613" s="12"/>
      <c r="V613" s="12"/>
      <c r="W613" s="12"/>
      <c r="X613" s="12"/>
      <c r="Y613" s="12"/>
      <c r="Z613" s="12"/>
      <c r="AA613" s="12"/>
      <c r="AB613" s="12"/>
      <c r="AC613" s="12"/>
      <c r="AD613" s="12"/>
      <c r="BD613" s="13">
        <v>41890</v>
      </c>
      <c r="BE613" s="13">
        <v>42985</v>
      </c>
      <c r="BF613" s="12"/>
      <c r="BG613" s="12" t="s">
        <v>749</v>
      </c>
      <c r="BH613" s="14">
        <v>1331190</v>
      </c>
      <c r="BI613" s="12" t="s">
        <v>9757</v>
      </c>
      <c r="BJ613" s="12" t="s">
        <v>9712</v>
      </c>
      <c r="BK613" s="12" t="s">
        <v>9713</v>
      </c>
      <c r="BL613" s="12" t="s">
        <v>10013</v>
      </c>
      <c r="BM613" s="12" t="s">
        <v>10014</v>
      </c>
      <c r="BN613" s="12" t="s">
        <v>10015</v>
      </c>
      <c r="BO613" s="12" t="s">
        <v>319</v>
      </c>
      <c r="BP613" s="12" t="s">
        <v>320</v>
      </c>
      <c r="BQ613" s="12" t="s">
        <v>319</v>
      </c>
      <c r="BR613" s="12" t="s">
        <v>10016</v>
      </c>
      <c r="BS613" s="12" t="s">
        <v>357</v>
      </c>
      <c r="BT613" s="12" t="s">
        <v>10017</v>
      </c>
      <c r="BU613" s="12" t="s">
        <v>10018</v>
      </c>
      <c r="BV613" s="14">
        <v>332</v>
      </c>
      <c r="BW613" s="14">
        <v>575</v>
      </c>
      <c r="BX613" s="14">
        <v>907</v>
      </c>
      <c r="BY613" s="14">
        <v>501</v>
      </c>
      <c r="BZ613" s="14">
        <v>548</v>
      </c>
      <c r="CA613" s="14">
        <v>1049</v>
      </c>
      <c r="CB613" s="12" t="s">
        <v>10019</v>
      </c>
      <c r="CD613" s="14"/>
      <c r="CE613" s="14"/>
      <c r="CF613" s="14"/>
      <c r="CG613" s="14"/>
      <c r="CH613" s="14"/>
      <c r="CI613" s="14"/>
      <c r="CJ613" s="12"/>
      <c r="CK613" s="14"/>
      <c r="CL613" s="16"/>
      <c r="CM613" s="14"/>
      <c r="CN613" s="12"/>
      <c r="CO613" s="14"/>
      <c r="CP613" s="16"/>
      <c r="CQ613" s="14"/>
      <c r="CR613" s="12"/>
      <c r="CS613" s="14"/>
      <c r="CT613" s="16"/>
      <c r="CU613" s="14"/>
      <c r="CV613" s="12"/>
      <c r="CW613" s="14"/>
      <c r="CX613" s="16"/>
      <c r="CY613" s="14"/>
      <c r="CZ613" s="12"/>
      <c r="DA613" s="14"/>
      <c r="DB613" s="16"/>
      <c r="DC613" s="14"/>
      <c r="DD613" s="12"/>
      <c r="DE613" s="14"/>
      <c r="DF613" s="16"/>
      <c r="DG613" s="14"/>
      <c r="DH613" s="12"/>
      <c r="DI613" s="14"/>
      <c r="DJ613" s="16"/>
      <c r="DK613" s="14"/>
      <c r="DL613" s="12"/>
      <c r="DM613" s="14"/>
      <c r="DN613" s="16"/>
      <c r="DO613" s="14"/>
      <c r="DP613" s="12"/>
      <c r="DQ613" s="14"/>
      <c r="DR613" s="16"/>
      <c r="DS613" s="14"/>
      <c r="DT613" s="12"/>
      <c r="DU613" s="14"/>
      <c r="DV613" s="16"/>
      <c r="DW613" s="14"/>
      <c r="DX613" s="12"/>
      <c r="DY613" s="14"/>
      <c r="DZ613" s="16"/>
      <c r="EA613" s="14"/>
      <c r="EB613" s="12"/>
      <c r="EC613" s="14"/>
      <c r="ED613" s="16"/>
      <c r="EE613" s="14"/>
      <c r="EF613" s="12"/>
      <c r="EG613" s="12"/>
      <c r="EH613" s="14"/>
      <c r="EI613" s="16"/>
      <c r="EJ613" s="14"/>
      <c r="EK613" s="14">
        <v>234</v>
      </c>
      <c r="EL613" s="14">
        <v>404</v>
      </c>
      <c r="EM613" s="14">
        <v>638</v>
      </c>
      <c r="EN613" s="14">
        <v>501</v>
      </c>
      <c r="EO613" s="14">
        <v>548</v>
      </c>
      <c r="EP613" s="14">
        <v>1049</v>
      </c>
      <c r="EQ613" s="12"/>
      <c r="ER613" s="14"/>
      <c r="ES613" s="16"/>
      <c r="ET613" s="14"/>
      <c r="EU613" s="12"/>
      <c r="EV613" s="14"/>
      <c r="EW613" s="16"/>
      <c r="EX613" s="14"/>
      <c r="EY613" s="12" t="s">
        <v>320</v>
      </c>
      <c r="EZ613" s="14">
        <v>638</v>
      </c>
      <c r="FA613" s="16">
        <v>0.37</v>
      </c>
      <c r="FB613" s="14">
        <v>1049</v>
      </c>
      <c r="FC613" s="12"/>
      <c r="FD613" s="14"/>
      <c r="FE613" s="16"/>
      <c r="FF613" s="14"/>
      <c r="FG613" s="12"/>
      <c r="FH613" s="14"/>
      <c r="FI613" s="16"/>
      <c r="FJ613" s="14"/>
      <c r="FK613" s="12"/>
      <c r="FL613" s="14"/>
      <c r="FM613" s="16"/>
      <c r="FN613" s="14"/>
      <c r="FO613" s="12"/>
      <c r="FP613" s="14"/>
      <c r="FQ613" s="16"/>
      <c r="FR613" s="14"/>
      <c r="FS613" s="12"/>
      <c r="FT613" s="14"/>
      <c r="FU613" s="16"/>
      <c r="FV613" s="14"/>
      <c r="FW613" s="12"/>
      <c r="FX613" s="14"/>
      <c r="FY613" s="16"/>
      <c r="FZ613" s="14"/>
      <c r="GA613" s="12"/>
      <c r="GB613" s="14"/>
      <c r="GC613" s="16"/>
      <c r="GD613" s="14"/>
      <c r="GE613" s="12"/>
      <c r="GF613" s="14"/>
      <c r="GG613" s="16"/>
      <c r="GH613" s="14"/>
      <c r="GI613" s="12"/>
      <c r="GJ613" s="14"/>
      <c r="GK613" s="16"/>
      <c r="GL613" s="14"/>
      <c r="GM613" s="12"/>
      <c r="GN613" s="14"/>
      <c r="GO613" s="16"/>
      <c r="GP613" s="14"/>
      <c r="GQ613" s="12"/>
      <c r="GR613" s="14"/>
      <c r="GS613" s="16"/>
      <c r="GT613" s="14"/>
      <c r="GU613" s="12"/>
      <c r="GV613" s="14"/>
      <c r="GW613" s="16"/>
      <c r="GX613" s="14"/>
      <c r="GY613" s="12"/>
      <c r="GZ613" s="14"/>
      <c r="HA613" s="16"/>
      <c r="HB613" s="14"/>
      <c r="HC613" s="12"/>
      <c r="HD613" s="12"/>
      <c r="HE613" s="14"/>
      <c r="HF613" s="16"/>
      <c r="HG613" s="14"/>
      <c r="HH613" s="12" t="s">
        <v>319</v>
      </c>
      <c r="HI613" s="12"/>
      <c r="HJ613" s="12"/>
      <c r="HK613" s="12" t="s">
        <v>319</v>
      </c>
      <c r="HL613" s="12" t="s">
        <v>319</v>
      </c>
      <c r="HM613" s="12"/>
      <c r="HN613" s="12"/>
      <c r="HO613" s="12" t="s">
        <v>10020</v>
      </c>
      <c r="HP613" s="12" t="s">
        <v>330</v>
      </c>
      <c r="HQ613" s="12" t="s">
        <v>319</v>
      </c>
      <c r="HR613" s="12" t="s">
        <v>319</v>
      </c>
      <c r="HS613" s="12" t="s">
        <v>320</v>
      </c>
      <c r="HT613" s="12" t="s">
        <v>320</v>
      </c>
      <c r="HU613" s="12" t="s">
        <v>319</v>
      </c>
      <c r="HV613" s="12" t="s">
        <v>319</v>
      </c>
      <c r="HW613" s="12" t="s">
        <v>319</v>
      </c>
      <c r="HX613" s="12"/>
      <c r="HY613" s="12"/>
      <c r="HZ613" s="11" t="s">
        <v>363</v>
      </c>
      <c r="IA613" s="12"/>
      <c r="IB613" s="12" t="s">
        <v>396</v>
      </c>
      <c r="IC613" s="12" t="s">
        <v>10021</v>
      </c>
      <c r="ID613" s="11" t="s">
        <v>364</v>
      </c>
      <c r="IE613" s="12" t="s">
        <v>335</v>
      </c>
      <c r="IF613" s="12" t="s">
        <v>319</v>
      </c>
      <c r="IG613" s="12" t="s">
        <v>320</v>
      </c>
      <c r="IH613" s="12" t="s">
        <v>319</v>
      </c>
      <c r="II613" s="12" t="s">
        <v>320</v>
      </c>
      <c r="IJ613" s="12" t="str">
        <f t="shared" si="388"/>
        <v>1. Neutral</v>
      </c>
      <c r="IK613" s="12">
        <f t="shared" si="389"/>
        <v>2</v>
      </c>
      <c r="IL613" s="12" t="s">
        <v>336</v>
      </c>
      <c r="IM613" s="12" t="s">
        <v>320</v>
      </c>
      <c r="IN613" s="12" t="s">
        <v>320</v>
      </c>
      <c r="IO613" s="12" t="s">
        <v>320</v>
      </c>
      <c r="IP613" s="12" t="s">
        <v>319</v>
      </c>
      <c r="IQ613" s="12" t="str">
        <f t="shared" si="390"/>
        <v>2. Accommodating</v>
      </c>
      <c r="IR613" s="12">
        <f t="shared" si="391"/>
        <v>3</v>
      </c>
      <c r="IS613" s="12" t="s">
        <v>337</v>
      </c>
      <c r="IT613" s="12" t="s">
        <v>319</v>
      </c>
      <c r="IU613" s="12" t="s">
        <v>320</v>
      </c>
      <c r="IV613" s="12" t="s">
        <v>320</v>
      </c>
      <c r="IW613" s="11" t="str">
        <f t="shared" si="392"/>
        <v>1. Neutral</v>
      </c>
      <c r="IX613" s="12">
        <f t="shared" si="393"/>
        <v>2</v>
      </c>
      <c r="IY613" s="12" t="s">
        <v>338</v>
      </c>
      <c r="IZ613" s="12" t="s">
        <v>457</v>
      </c>
      <c r="JA613" s="12">
        <v>2</v>
      </c>
      <c r="JB613" s="12" t="s">
        <v>831</v>
      </c>
      <c r="JC613" s="12" t="s">
        <v>624</v>
      </c>
      <c r="JD613" s="11" t="s">
        <v>624</v>
      </c>
      <c r="JE613" s="12" t="s">
        <v>340</v>
      </c>
      <c r="JF613" s="12" t="s">
        <v>10022</v>
      </c>
      <c r="JG613" s="12" t="s">
        <v>10023</v>
      </c>
      <c r="JH613" s="12" t="s">
        <v>10024</v>
      </c>
      <c r="JI613" s="12" t="s">
        <v>10025</v>
      </c>
      <c r="JJ613" s="12"/>
      <c r="JK613" s="12" t="s">
        <v>10026</v>
      </c>
      <c r="JL613" s="12" t="s">
        <v>10027</v>
      </c>
      <c r="JM613" s="12"/>
      <c r="JN613" s="12" t="s">
        <v>10028</v>
      </c>
      <c r="JO613" s="12" t="s">
        <v>10029</v>
      </c>
      <c r="JP613" s="15">
        <f t="shared" si="394"/>
        <v>638</v>
      </c>
      <c r="JQ613" s="15">
        <f t="shared" si="395"/>
        <v>1049</v>
      </c>
      <c r="JR613" s="279">
        <f t="shared" si="396"/>
        <v>1.6442006269592477</v>
      </c>
      <c r="JS613" s="17">
        <f t="shared" si="397"/>
        <v>0.36677115987460818</v>
      </c>
      <c r="JT613" s="18">
        <f t="shared" si="398"/>
        <v>0.47759771210676832</v>
      </c>
      <c r="JU613" s="280">
        <f t="shared" si="399"/>
        <v>234</v>
      </c>
      <c r="JV613" s="280">
        <f t="shared" si="400"/>
        <v>501</v>
      </c>
      <c r="JW613" s="319" t="str">
        <f t="shared" si="401"/>
        <v/>
      </c>
      <c r="JX613" s="15">
        <f t="shared" si="402"/>
        <v>0</v>
      </c>
      <c r="JY613" s="15">
        <f t="shared" si="403"/>
        <v>0</v>
      </c>
      <c r="JZ613" s="19" t="str">
        <f t="shared" si="404"/>
        <v/>
      </c>
      <c r="KA613" s="52" t="str">
        <f t="shared" si="405"/>
        <v/>
      </c>
      <c r="KB613" s="15">
        <f t="shared" si="406"/>
        <v>0</v>
      </c>
      <c r="KC613" s="15">
        <f t="shared" si="407"/>
        <v>0</v>
      </c>
      <c r="KD613" s="20" t="str">
        <f t="shared" si="408"/>
        <v/>
      </c>
      <c r="KE613" s="52" t="str">
        <f t="shared" si="409"/>
        <v/>
      </c>
      <c r="KF613" s="15">
        <f t="shared" si="410"/>
        <v>0</v>
      </c>
      <c r="KG613" s="15">
        <f t="shared" si="411"/>
        <v>0</v>
      </c>
      <c r="KH613" s="21" t="str">
        <f t="shared" si="412"/>
        <v/>
      </c>
      <c r="KI613" s="52" t="str">
        <f t="shared" si="413"/>
        <v/>
      </c>
      <c r="KJ613" s="15">
        <f t="shared" si="414"/>
        <v>0</v>
      </c>
      <c r="KK613" s="15">
        <f t="shared" si="415"/>
        <v>0</v>
      </c>
      <c r="KL613" s="19" t="str">
        <f t="shared" si="416"/>
        <v/>
      </c>
      <c r="KM613" s="52" t="str">
        <f t="shared" si="417"/>
        <v/>
      </c>
      <c r="KN613" s="22">
        <f t="shared" si="418"/>
        <v>0</v>
      </c>
      <c r="KO613" s="22">
        <f t="shared" si="419"/>
        <v>0</v>
      </c>
      <c r="KP613" s="19" t="str">
        <f t="shared" si="420"/>
        <v/>
      </c>
      <c r="KQ613" s="11" t="str">
        <f t="shared" si="421"/>
        <v>1. Neutral</v>
      </c>
      <c r="KR613" s="11" t="str">
        <f t="shared" si="422"/>
        <v>2. Accommodating</v>
      </c>
      <c r="KS613" s="11" t="str">
        <f t="shared" si="423"/>
        <v>1. Neutral</v>
      </c>
      <c r="KT613" s="11" t="str">
        <f t="shared" si="424"/>
        <v>It did not develop any specific innovation</v>
      </c>
      <c r="KU613" s="11" t="str">
        <f t="shared" si="425"/>
        <v>Moderate advocacy</v>
      </c>
      <c r="KV613" s="11" t="str">
        <f t="shared" si="426"/>
        <v>It linked and worked with strategic alliances and partners to take tested and effective solutions to scale</v>
      </c>
      <c r="KW613" s="11" t="str">
        <f t="shared" si="427"/>
        <v>Peru - Strengthening Indigenous Capacity in Conflict Resolution and Sustainable Resource Management in the Lot 76 Hydrocarbon Concession and Amarakaeri Communal Reserve in Madre de Dios Department, Peru</v>
      </c>
      <c r="KX613" s="11" t="str">
        <f t="shared" si="428"/>
        <v>Strengthening Indigenous Capacity in Conflict Resolution and Sustainable Resource Management in the Lot 76 Hydrocarbon Concession and Amarakaeri Communal Reserve in Madre de Dios Department, Peru</v>
      </c>
      <c r="KY613" s="11" t="str">
        <f t="shared" si="429"/>
        <v>Peru</v>
      </c>
      <c r="KZ613" s="12">
        <v>613</v>
      </c>
    </row>
    <row r="614" spans="1:312" x14ac:dyDescent="0.3">
      <c r="A614" s="12" t="s">
        <v>9706</v>
      </c>
      <c r="B614" s="12" t="s">
        <v>2807</v>
      </c>
      <c r="C614" s="12">
        <v>3256</v>
      </c>
      <c r="D614" s="12" t="s">
        <v>9732</v>
      </c>
      <c r="E614" s="277" t="str">
        <f t="shared" si="387"/>
        <v>Peru</v>
      </c>
      <c r="F614" s="12" t="s">
        <v>9733</v>
      </c>
      <c r="G614" s="12" t="s">
        <v>1738</v>
      </c>
      <c r="H614" s="12" t="s">
        <v>489</v>
      </c>
      <c r="I614" s="12" t="s">
        <v>384</v>
      </c>
      <c r="J614" s="281" t="s">
        <v>9734</v>
      </c>
      <c r="K614" s="12"/>
      <c r="L614" s="12"/>
      <c r="M614" s="12"/>
      <c r="N614" s="12"/>
      <c r="O614" s="12"/>
      <c r="P614" s="12"/>
      <c r="Q614" s="12"/>
      <c r="R614" s="12"/>
      <c r="S614" s="12"/>
      <c r="T614" s="12"/>
      <c r="U614" s="12"/>
      <c r="V614" s="12"/>
      <c r="W614" s="12"/>
      <c r="X614" s="12"/>
      <c r="Y614" s="12"/>
      <c r="Z614" s="12"/>
      <c r="AA614" s="12"/>
      <c r="AB614" s="12"/>
      <c r="AC614" s="12"/>
      <c r="AD614" s="12"/>
      <c r="BD614" s="13">
        <v>42339</v>
      </c>
      <c r="BE614" s="13">
        <v>42856</v>
      </c>
      <c r="BF614" s="12"/>
      <c r="BG614" s="12" t="s">
        <v>749</v>
      </c>
      <c r="BH614" s="14">
        <v>157500.00200000001</v>
      </c>
      <c r="BI614" s="12" t="s">
        <v>9735</v>
      </c>
      <c r="BJ614" s="12" t="s">
        <v>9736</v>
      </c>
      <c r="BK614" s="12" t="s">
        <v>9737</v>
      </c>
      <c r="BL614" s="12" t="s">
        <v>9738</v>
      </c>
      <c r="BM614" s="12" t="s">
        <v>9739</v>
      </c>
      <c r="BN614" s="12" t="s">
        <v>9713</v>
      </c>
      <c r="BO614" s="12" t="s">
        <v>320</v>
      </c>
      <c r="BP614" s="12" t="s">
        <v>320</v>
      </c>
      <c r="BQ614" s="12" t="s">
        <v>320</v>
      </c>
      <c r="BR614" s="12" t="s">
        <v>9740</v>
      </c>
      <c r="BS614" s="12" t="s">
        <v>357</v>
      </c>
      <c r="BT614" s="12" t="s">
        <v>9741</v>
      </c>
      <c r="BU614" s="12" t="s">
        <v>9742</v>
      </c>
      <c r="BV614" s="14">
        <v>2744</v>
      </c>
      <c r="BW614" s="14">
        <v>2547</v>
      </c>
      <c r="BX614" s="14">
        <v>5291</v>
      </c>
      <c r="BY614" s="14">
        <v>8232</v>
      </c>
      <c r="BZ614" s="14">
        <v>7641</v>
      </c>
      <c r="CA614" s="14">
        <v>15873</v>
      </c>
      <c r="CB614" s="12" t="s">
        <v>9743</v>
      </c>
      <c r="CD614" s="14"/>
      <c r="CE614" s="14"/>
      <c r="CF614" s="14"/>
      <c r="CG614" s="14"/>
      <c r="CH614" s="14"/>
      <c r="CI614" s="14"/>
      <c r="CJ614" s="12"/>
      <c r="CK614" s="14"/>
      <c r="CL614" s="16"/>
      <c r="CM614" s="14"/>
      <c r="CN614" s="12"/>
      <c r="CO614" s="14"/>
      <c r="CP614" s="16"/>
      <c r="CQ614" s="14"/>
      <c r="CR614" s="12"/>
      <c r="CS614" s="14"/>
      <c r="CT614" s="16"/>
      <c r="CU614" s="14"/>
      <c r="CV614" s="12"/>
      <c r="CW614" s="14"/>
      <c r="CX614" s="16"/>
      <c r="CY614" s="14"/>
      <c r="CZ614" s="12"/>
      <c r="DA614" s="14"/>
      <c r="DB614" s="16"/>
      <c r="DC614" s="14"/>
      <c r="DD614" s="12"/>
      <c r="DE614" s="14"/>
      <c r="DF614" s="16"/>
      <c r="DG614" s="14"/>
      <c r="DH614" s="12"/>
      <c r="DI614" s="14"/>
      <c r="DJ614" s="16"/>
      <c r="DK614" s="14"/>
      <c r="DL614" s="12"/>
      <c r="DM614" s="14"/>
      <c r="DN614" s="16"/>
      <c r="DO614" s="14"/>
      <c r="DP614" s="12"/>
      <c r="DQ614" s="14"/>
      <c r="DR614" s="16"/>
      <c r="DS614" s="14"/>
      <c r="DT614" s="12"/>
      <c r="DU614" s="14"/>
      <c r="DV614" s="16"/>
      <c r="DW614" s="14"/>
      <c r="DX614" s="12" t="s">
        <v>320</v>
      </c>
      <c r="DY614" s="14"/>
      <c r="DZ614" s="16"/>
      <c r="EA614" s="14"/>
      <c r="EB614" s="12" t="s">
        <v>320</v>
      </c>
      <c r="EC614" s="14"/>
      <c r="ED614" s="16"/>
      <c r="EE614" s="14"/>
      <c r="EF614" s="12"/>
      <c r="EG614" s="12"/>
      <c r="EH614" s="14"/>
      <c r="EI614" s="16"/>
      <c r="EJ614" s="14"/>
      <c r="EK614" s="14">
        <v>2744</v>
      </c>
      <c r="EL614" s="14">
        <v>2547</v>
      </c>
      <c r="EM614" s="14">
        <v>5291</v>
      </c>
      <c r="EN614" s="14">
        <v>8232</v>
      </c>
      <c r="EO614" s="14">
        <v>7641</v>
      </c>
      <c r="EP614" s="14">
        <v>15873</v>
      </c>
      <c r="EQ614" s="12" t="s">
        <v>320</v>
      </c>
      <c r="ER614" s="14">
        <v>427</v>
      </c>
      <c r="ES614" s="16">
        <v>0.52</v>
      </c>
      <c r="ET614" s="14">
        <v>427</v>
      </c>
      <c r="EU614" s="11" t="s">
        <v>320</v>
      </c>
      <c r="EV614" s="14">
        <v>427</v>
      </c>
      <c r="EW614" s="16">
        <v>0.52</v>
      </c>
      <c r="EX614" s="14">
        <v>427</v>
      </c>
      <c r="EY614" s="12"/>
      <c r="EZ614" s="14"/>
      <c r="FA614" s="16"/>
      <c r="FB614" s="14">
        <v>0</v>
      </c>
      <c r="FC614" s="12" t="s">
        <v>320</v>
      </c>
      <c r="FD614" s="14">
        <v>427</v>
      </c>
      <c r="FE614" s="16">
        <v>0.52</v>
      </c>
      <c r="FF614" s="14">
        <v>427</v>
      </c>
      <c r="FG614" s="12" t="s">
        <v>320</v>
      </c>
      <c r="FH614" s="14">
        <v>427</v>
      </c>
      <c r="FI614" s="16">
        <v>0.52</v>
      </c>
      <c r="FJ614" s="14">
        <v>427</v>
      </c>
      <c r="FK614" s="12"/>
      <c r="FL614" s="14"/>
      <c r="FM614" s="16"/>
      <c r="FN614" s="14">
        <v>0</v>
      </c>
      <c r="FO614" s="12"/>
      <c r="FP614" s="14"/>
      <c r="FQ614" s="16"/>
      <c r="FR614" s="14">
        <v>0</v>
      </c>
      <c r="FS614" s="12"/>
      <c r="FT614" s="14"/>
      <c r="FU614" s="16"/>
      <c r="FV614" s="14">
        <v>0</v>
      </c>
      <c r="FW614" s="12"/>
      <c r="FX614" s="14"/>
      <c r="FY614" s="16"/>
      <c r="FZ614" s="14">
        <v>0</v>
      </c>
      <c r="GA614" s="12"/>
      <c r="GB614" s="14"/>
      <c r="GC614" s="16"/>
      <c r="GD614" s="14">
        <v>0</v>
      </c>
      <c r="GE614" s="12" t="s">
        <v>320</v>
      </c>
      <c r="GF614" s="14">
        <v>60</v>
      </c>
      <c r="GG614" s="16">
        <v>0.52</v>
      </c>
      <c r="GH614" s="14">
        <v>60</v>
      </c>
      <c r="GI614" s="11" t="s">
        <v>320</v>
      </c>
      <c r="GJ614" s="14">
        <v>427</v>
      </c>
      <c r="GK614" s="16">
        <v>0.52</v>
      </c>
      <c r="GL614" s="14">
        <v>427</v>
      </c>
      <c r="GM614" s="12"/>
      <c r="GN614" s="14"/>
      <c r="GO614" s="16"/>
      <c r="GP614" s="14">
        <v>0</v>
      </c>
      <c r="GQ614" s="12"/>
      <c r="GR614" s="14"/>
      <c r="GS614" s="16"/>
      <c r="GT614" s="14">
        <v>0</v>
      </c>
      <c r="GU614" s="12"/>
      <c r="GV614" s="14"/>
      <c r="GW614" s="16"/>
      <c r="GX614" s="14">
        <v>0</v>
      </c>
      <c r="GY614" s="12"/>
      <c r="GZ614" s="14"/>
      <c r="HA614" s="16"/>
      <c r="HB614" s="14">
        <v>0</v>
      </c>
      <c r="HC614" s="12" t="s">
        <v>9744</v>
      </c>
      <c r="HD614" s="12" t="s">
        <v>320</v>
      </c>
      <c r="HE614" s="14">
        <v>4864</v>
      </c>
      <c r="HF614" s="16">
        <v>0.52</v>
      </c>
      <c r="HG614" s="14">
        <v>4864</v>
      </c>
      <c r="HH614" s="12" t="s">
        <v>319</v>
      </c>
      <c r="HI614" s="12"/>
      <c r="HJ614" s="12"/>
      <c r="HK614" s="12" t="s">
        <v>319</v>
      </c>
      <c r="HL614" s="12" t="s">
        <v>319</v>
      </c>
      <c r="HM614" s="12"/>
      <c r="HN614" s="12"/>
      <c r="HO614" s="12"/>
      <c r="HP614" s="12" t="s">
        <v>330</v>
      </c>
      <c r="HQ614" s="12" t="s">
        <v>320</v>
      </c>
      <c r="HR614" s="12"/>
      <c r="HS614" s="12" t="s">
        <v>320</v>
      </c>
      <c r="HT614" s="12" t="s">
        <v>320</v>
      </c>
      <c r="HU614" s="12" t="s">
        <v>320</v>
      </c>
      <c r="HV614" s="12"/>
      <c r="HW614" s="12" t="s">
        <v>320</v>
      </c>
      <c r="HX614" s="12"/>
      <c r="HY614" s="12"/>
      <c r="HZ614" s="12" t="s">
        <v>394</v>
      </c>
      <c r="IA614" s="12" t="s">
        <v>9745</v>
      </c>
      <c r="IB614" s="12" t="s">
        <v>396</v>
      </c>
      <c r="IC614" s="12" t="s">
        <v>9746</v>
      </c>
      <c r="ID614" s="12" t="s">
        <v>334</v>
      </c>
      <c r="IE614" s="12" t="s">
        <v>335</v>
      </c>
      <c r="IF614" s="12" t="s">
        <v>320</v>
      </c>
      <c r="IG614" s="12" t="s">
        <v>320</v>
      </c>
      <c r="IH614" s="12" t="s">
        <v>320</v>
      </c>
      <c r="II614" s="12" t="s">
        <v>320</v>
      </c>
      <c r="IJ614" s="12" t="str">
        <f t="shared" si="388"/>
        <v>2. Sensitive</v>
      </c>
      <c r="IK614" s="12">
        <f t="shared" si="389"/>
        <v>4</v>
      </c>
      <c r="IL614" s="12" t="s">
        <v>336</v>
      </c>
      <c r="IM614" s="12" t="s">
        <v>320</v>
      </c>
      <c r="IN614" s="12" t="s">
        <v>320</v>
      </c>
      <c r="IO614" s="12" t="s">
        <v>320</v>
      </c>
      <c r="IP614" s="12" t="s">
        <v>320</v>
      </c>
      <c r="IQ614" s="12" t="str">
        <f t="shared" si="390"/>
        <v>2. Accommodating</v>
      </c>
      <c r="IR614" s="12">
        <f t="shared" si="391"/>
        <v>4</v>
      </c>
      <c r="IS614" s="12" t="s">
        <v>337</v>
      </c>
      <c r="IT614" s="12" t="s">
        <v>320</v>
      </c>
      <c r="IU614" s="12" t="s">
        <v>320</v>
      </c>
      <c r="IV614" s="12" t="s">
        <v>320</v>
      </c>
      <c r="IW614" s="11" t="str">
        <f t="shared" si="392"/>
        <v>2. Sensitive</v>
      </c>
      <c r="IX614" s="12">
        <f t="shared" si="393"/>
        <v>3</v>
      </c>
      <c r="IY614" s="12" t="s">
        <v>758</v>
      </c>
      <c r="IZ614" s="12" t="s">
        <v>339</v>
      </c>
      <c r="JA614" s="12"/>
      <c r="JB614" s="12"/>
      <c r="JC614" s="12"/>
      <c r="JD614" s="12"/>
      <c r="JE614" s="12" t="s">
        <v>340</v>
      </c>
      <c r="JF614" s="12" t="s">
        <v>9747</v>
      </c>
      <c r="JG614" s="12" t="s">
        <v>9748</v>
      </c>
      <c r="JH614" s="12" t="s">
        <v>9749</v>
      </c>
      <c r="JI614" s="12" t="s">
        <v>9750</v>
      </c>
      <c r="JJ614" s="12"/>
      <c r="JK614" s="12" t="s">
        <v>9751</v>
      </c>
      <c r="JL614" s="12" t="s">
        <v>9752</v>
      </c>
      <c r="JM614" s="12" t="s">
        <v>9753</v>
      </c>
      <c r="JN614" s="12" t="s">
        <v>9754</v>
      </c>
      <c r="JO614" s="12"/>
      <c r="JP614" s="15">
        <f t="shared" si="394"/>
        <v>5291</v>
      </c>
      <c r="JQ614" s="15">
        <f t="shared" si="395"/>
        <v>15873</v>
      </c>
      <c r="JR614" s="279">
        <f t="shared" si="396"/>
        <v>3</v>
      </c>
      <c r="JS614" s="17">
        <f t="shared" si="397"/>
        <v>0.51861651861651858</v>
      </c>
      <c r="JT614" s="18">
        <f t="shared" si="398"/>
        <v>0.51861651861651858</v>
      </c>
      <c r="JU614" s="280">
        <f t="shared" si="399"/>
        <v>2744</v>
      </c>
      <c r="JV614" s="280">
        <f t="shared" si="400"/>
        <v>8232</v>
      </c>
      <c r="JW614" s="319">
        <f t="shared" si="401"/>
        <v>1</v>
      </c>
      <c r="JX614" s="15">
        <f t="shared" si="402"/>
        <v>0</v>
      </c>
      <c r="JY614" s="15">
        <f t="shared" si="403"/>
        <v>0</v>
      </c>
      <c r="JZ614" s="19" t="str">
        <f t="shared" si="404"/>
        <v/>
      </c>
      <c r="KA614" s="52">
        <f t="shared" si="405"/>
        <v>1</v>
      </c>
      <c r="KB614" s="15">
        <f t="shared" si="406"/>
        <v>427</v>
      </c>
      <c r="KC614" s="15">
        <f t="shared" si="407"/>
        <v>427</v>
      </c>
      <c r="KD614" s="20">
        <f t="shared" si="408"/>
        <v>1</v>
      </c>
      <c r="KE614" s="52" t="str">
        <f t="shared" si="409"/>
        <v/>
      </c>
      <c r="KF614" s="15">
        <f t="shared" si="410"/>
        <v>0</v>
      </c>
      <c r="KG614" s="15">
        <f t="shared" si="411"/>
        <v>0</v>
      </c>
      <c r="KH614" s="21" t="str">
        <f t="shared" si="412"/>
        <v/>
      </c>
      <c r="KI614" s="52" t="str">
        <f t="shared" si="413"/>
        <v/>
      </c>
      <c r="KJ614" s="15">
        <f t="shared" si="414"/>
        <v>0</v>
      </c>
      <c r="KK614" s="15">
        <f t="shared" si="415"/>
        <v>0</v>
      </c>
      <c r="KL614" s="19" t="str">
        <f t="shared" si="416"/>
        <v/>
      </c>
      <c r="KM614" s="52">
        <f t="shared" si="417"/>
        <v>1</v>
      </c>
      <c r="KN614" s="22">
        <f t="shared" si="418"/>
        <v>222.04000000000002</v>
      </c>
      <c r="KO614" s="22">
        <f t="shared" si="419"/>
        <v>222.04000000000002</v>
      </c>
      <c r="KP614" s="19">
        <f t="shared" si="420"/>
        <v>1</v>
      </c>
      <c r="KQ614" s="11" t="str">
        <f t="shared" si="421"/>
        <v>2. Sensitive</v>
      </c>
      <c r="KR614" s="11" t="str">
        <f t="shared" si="422"/>
        <v>2. Accommodating</v>
      </c>
      <c r="KS614" s="11" t="str">
        <f t="shared" si="423"/>
        <v>2. Sensitive</v>
      </c>
      <c r="KT614" s="11" t="str">
        <f t="shared" si="424"/>
        <v>It tested new ways for fighting poverty, but did not measure results of innovation</v>
      </c>
      <c r="KU614" s="11" t="str">
        <f t="shared" si="425"/>
        <v>Moderate advocacy</v>
      </c>
      <c r="KV614" s="11" t="str">
        <f t="shared" si="426"/>
        <v>It linked and worked with strategic alliances and partners to take tested and effective solutions to scale</v>
      </c>
      <c r="KW614" s="11" t="str">
        <f t="shared" si="427"/>
        <v>Peru - Sustainable Management of Water Resources and Adaptation of Climate Change in the Sub-River Basins of Shullcas Peru - II</v>
      </c>
      <c r="KX614" s="11" t="str">
        <f t="shared" si="428"/>
        <v>Sustainable Management of Water Resources and Adaptation of Climate Change in the Sub-River Basins of Shullcas Peru - II</v>
      </c>
      <c r="KY614" s="11" t="str">
        <f t="shared" si="429"/>
        <v>Peru</v>
      </c>
      <c r="KZ614" s="12">
        <v>614</v>
      </c>
    </row>
    <row r="615" spans="1:312" x14ac:dyDescent="0.3">
      <c r="A615" s="12" t="s">
        <v>9706</v>
      </c>
      <c r="B615" s="12" t="s">
        <v>2807</v>
      </c>
      <c r="C615" s="12"/>
      <c r="D615" s="12" t="s">
        <v>10030</v>
      </c>
      <c r="E615" s="277" t="str">
        <f t="shared" si="387"/>
        <v>Peru</v>
      </c>
      <c r="F615" s="12" t="s">
        <v>10031</v>
      </c>
      <c r="G615" s="12" t="s">
        <v>9835</v>
      </c>
      <c r="H615" s="12" t="s">
        <v>384</v>
      </c>
      <c r="I615" s="12" t="s">
        <v>384</v>
      </c>
      <c r="J615" s="281" t="s">
        <v>10032</v>
      </c>
      <c r="K615" s="12"/>
      <c r="L615" s="12" t="s">
        <v>379</v>
      </c>
      <c r="M615" s="12"/>
      <c r="N615" s="12"/>
      <c r="O615" s="12"/>
      <c r="P615" s="12"/>
      <c r="Q615" s="12"/>
      <c r="R615" s="12"/>
      <c r="S615" s="12"/>
      <c r="T615" s="12"/>
      <c r="U615" s="12"/>
      <c r="V615" s="12"/>
      <c r="W615" s="12"/>
      <c r="X615" s="12"/>
      <c r="Y615" s="12"/>
      <c r="Z615" s="12"/>
      <c r="AA615" s="12"/>
      <c r="AB615" s="12"/>
      <c r="AC615" s="12"/>
      <c r="AD615" s="12"/>
      <c r="BD615" s="13">
        <v>42156</v>
      </c>
      <c r="BE615" s="13">
        <v>42825</v>
      </c>
      <c r="BF615" s="12"/>
      <c r="BG615" s="12" t="s">
        <v>749</v>
      </c>
      <c r="BH615" s="14">
        <v>50400</v>
      </c>
      <c r="BI615" s="12" t="s">
        <v>9837</v>
      </c>
      <c r="BJ615" s="12" t="s">
        <v>9838</v>
      </c>
      <c r="BK615" s="12" t="s">
        <v>9839</v>
      </c>
      <c r="BL615" s="12" t="s">
        <v>9757</v>
      </c>
      <c r="BM615" s="12" t="s">
        <v>9712</v>
      </c>
      <c r="BN615" s="12" t="s">
        <v>9713</v>
      </c>
      <c r="BO615" s="12" t="s">
        <v>319</v>
      </c>
      <c r="BP615" s="12" t="s">
        <v>320</v>
      </c>
      <c r="BQ615" s="12" t="s">
        <v>319</v>
      </c>
      <c r="BR615" s="12" t="s">
        <v>10033</v>
      </c>
      <c r="BS615" s="12" t="s">
        <v>357</v>
      </c>
      <c r="BT615" s="12" t="s">
        <v>10034</v>
      </c>
      <c r="BU615" s="12" t="s">
        <v>10035</v>
      </c>
      <c r="BV615" s="14">
        <v>695</v>
      </c>
      <c r="BW615" s="14">
        <v>627</v>
      </c>
      <c r="BX615" s="14">
        <v>1322</v>
      </c>
      <c r="BY615" s="14"/>
      <c r="BZ615" s="14"/>
      <c r="CA615" s="14"/>
      <c r="CB615" s="12" t="s">
        <v>10036</v>
      </c>
      <c r="CD615" s="14"/>
      <c r="CE615" s="14"/>
      <c r="CF615" s="14"/>
      <c r="CG615" s="14"/>
      <c r="CH615" s="14"/>
      <c r="CI615" s="14"/>
      <c r="CJ615" s="12"/>
      <c r="CK615" s="14"/>
      <c r="CL615" s="16"/>
      <c r="CM615" s="14"/>
      <c r="CN615" s="12"/>
      <c r="CO615" s="14"/>
      <c r="CP615" s="16"/>
      <c r="CQ615" s="14"/>
      <c r="CR615" s="12"/>
      <c r="CS615" s="14"/>
      <c r="CT615" s="16"/>
      <c r="CU615" s="14"/>
      <c r="CV615" s="12"/>
      <c r="CW615" s="14"/>
      <c r="CX615" s="16"/>
      <c r="CY615" s="14"/>
      <c r="CZ615" s="12"/>
      <c r="DA615" s="14"/>
      <c r="DB615" s="16"/>
      <c r="DC615" s="14"/>
      <c r="DD615" s="12"/>
      <c r="DE615" s="14"/>
      <c r="DF615" s="16"/>
      <c r="DG615" s="14"/>
      <c r="DH615" s="12"/>
      <c r="DI615" s="14"/>
      <c r="DJ615" s="16"/>
      <c r="DK615" s="14"/>
      <c r="DL615" s="12"/>
      <c r="DM615" s="14"/>
      <c r="DN615" s="16"/>
      <c r="DO615" s="14"/>
      <c r="DP615" s="12"/>
      <c r="DQ615" s="14"/>
      <c r="DR615" s="16"/>
      <c r="DS615" s="14"/>
      <c r="DT615" s="12"/>
      <c r="DU615" s="14"/>
      <c r="DV615" s="16"/>
      <c r="DW615" s="14"/>
      <c r="DX615" s="12"/>
      <c r="DY615" s="14"/>
      <c r="DZ615" s="16"/>
      <c r="EA615" s="14"/>
      <c r="EB615" s="12"/>
      <c r="EC615" s="14"/>
      <c r="ED615" s="16"/>
      <c r="EE615" s="14"/>
      <c r="EF615" s="12"/>
      <c r="EG615" s="12"/>
      <c r="EH615" s="14"/>
      <c r="EI615" s="16"/>
      <c r="EJ615" s="14"/>
      <c r="EK615" s="14">
        <v>695</v>
      </c>
      <c r="EL615" s="14">
        <v>627</v>
      </c>
      <c r="EM615" s="14">
        <v>1322</v>
      </c>
      <c r="EN615" s="14"/>
      <c r="EO615" s="14"/>
      <c r="EP615" s="14"/>
      <c r="EQ615" s="12"/>
      <c r="ER615" s="14"/>
      <c r="ES615" s="16"/>
      <c r="ET615" s="14"/>
      <c r="EU615" s="12"/>
      <c r="EV615" s="14"/>
      <c r="EW615" s="16"/>
      <c r="EX615" s="14"/>
      <c r="EY615" s="12"/>
      <c r="EZ615" s="14"/>
      <c r="FA615" s="16"/>
      <c r="FB615" s="14"/>
      <c r="FC615" s="12"/>
      <c r="FD615" s="14"/>
      <c r="FE615" s="16"/>
      <c r="FF615" s="14"/>
      <c r="FG615" s="12"/>
      <c r="FH615" s="14"/>
      <c r="FI615" s="16"/>
      <c r="FJ615" s="14"/>
      <c r="FK615" s="12"/>
      <c r="FL615" s="14"/>
      <c r="FM615" s="16"/>
      <c r="FN615" s="14"/>
      <c r="FO615" s="12" t="s">
        <v>320</v>
      </c>
      <c r="FP615" s="14">
        <v>1322</v>
      </c>
      <c r="FQ615" s="16">
        <v>0.52600000000000002</v>
      </c>
      <c r="FR615" s="14"/>
      <c r="FS615" s="12"/>
      <c r="FT615" s="14"/>
      <c r="FU615" s="16"/>
      <c r="FV615" s="14"/>
      <c r="FW615" s="12"/>
      <c r="FX615" s="14"/>
      <c r="FY615" s="16"/>
      <c r="FZ615" s="14"/>
      <c r="GA615" s="12"/>
      <c r="GB615" s="14"/>
      <c r="GC615" s="16"/>
      <c r="GD615" s="14"/>
      <c r="GE615" s="12"/>
      <c r="GF615" s="14"/>
      <c r="GG615" s="16"/>
      <c r="GH615" s="14"/>
      <c r="GI615" s="12"/>
      <c r="GJ615" s="14"/>
      <c r="GK615" s="16"/>
      <c r="GL615" s="14"/>
      <c r="GM615" s="12"/>
      <c r="GN615" s="14"/>
      <c r="GO615" s="16"/>
      <c r="GP615" s="14"/>
      <c r="GQ615" s="12"/>
      <c r="GR615" s="14"/>
      <c r="GS615" s="16"/>
      <c r="GT615" s="14"/>
      <c r="GU615" s="12"/>
      <c r="GV615" s="14"/>
      <c r="GW615" s="16"/>
      <c r="GX615" s="14"/>
      <c r="GY615" s="12"/>
      <c r="GZ615" s="14"/>
      <c r="HA615" s="16"/>
      <c r="HB615" s="14"/>
      <c r="HC615" s="12"/>
      <c r="HD615" s="12"/>
      <c r="HE615" s="14"/>
      <c r="HF615" s="16"/>
      <c r="HG615" s="14"/>
      <c r="HH615" s="12" t="s">
        <v>319</v>
      </c>
      <c r="HI615" s="12"/>
      <c r="HJ615" s="12"/>
      <c r="HK615" s="12" t="s">
        <v>319</v>
      </c>
      <c r="HL615" s="12" t="s">
        <v>319</v>
      </c>
      <c r="HM615" s="12"/>
      <c r="HN615" s="12"/>
      <c r="HO615" s="12"/>
      <c r="HP615" s="12" t="s">
        <v>418</v>
      </c>
      <c r="HQ615" s="12" t="s">
        <v>319</v>
      </c>
      <c r="HR615" s="12" t="s">
        <v>319</v>
      </c>
      <c r="HS615" s="12" t="s">
        <v>319</v>
      </c>
      <c r="HT615" s="12" t="s">
        <v>319</v>
      </c>
      <c r="HU615" s="12" t="s">
        <v>319</v>
      </c>
      <c r="HV615" s="12" t="s">
        <v>319</v>
      </c>
      <c r="HW615" s="12" t="s">
        <v>319</v>
      </c>
      <c r="HX615" s="12" t="s">
        <v>319</v>
      </c>
      <c r="HY615" s="12"/>
      <c r="HZ615" s="12" t="s">
        <v>394</v>
      </c>
      <c r="IA615" s="12" t="s">
        <v>10037</v>
      </c>
      <c r="IB615" s="12" t="s">
        <v>333</v>
      </c>
      <c r="IC615" s="12" t="s">
        <v>10038</v>
      </c>
      <c r="ID615" s="11" t="s">
        <v>364</v>
      </c>
      <c r="IE615" s="12" t="s">
        <v>335</v>
      </c>
      <c r="IF615" s="12" t="s">
        <v>320</v>
      </c>
      <c r="IG615" s="12" t="s">
        <v>320</v>
      </c>
      <c r="IH615" s="12" t="s">
        <v>320</v>
      </c>
      <c r="II615" s="12" t="s">
        <v>319</v>
      </c>
      <c r="IJ615" s="12" t="str">
        <f t="shared" si="388"/>
        <v>1. Neutral</v>
      </c>
      <c r="IK615" s="12">
        <f t="shared" si="389"/>
        <v>3</v>
      </c>
      <c r="IL615" s="12" t="s">
        <v>336</v>
      </c>
      <c r="IM615" s="12" t="s">
        <v>320</v>
      </c>
      <c r="IN615" s="12" t="s">
        <v>320</v>
      </c>
      <c r="IO615" s="12" t="s">
        <v>320</v>
      </c>
      <c r="IP615" s="12" t="s">
        <v>320</v>
      </c>
      <c r="IQ615" s="12" t="str">
        <f t="shared" si="390"/>
        <v>2. Accommodating</v>
      </c>
      <c r="IR615" s="12">
        <f t="shared" si="391"/>
        <v>4</v>
      </c>
      <c r="IS615" s="12" t="s">
        <v>622</v>
      </c>
      <c r="IT615" s="12" t="s">
        <v>320</v>
      </c>
      <c r="IU615" s="12" t="s">
        <v>320</v>
      </c>
      <c r="IV615" s="12" t="s">
        <v>320</v>
      </c>
      <c r="IW615" s="11" t="str">
        <f t="shared" si="392"/>
        <v>4. Transformative</v>
      </c>
      <c r="IX615" s="12">
        <f t="shared" si="393"/>
        <v>3</v>
      </c>
      <c r="IY615" s="12" t="s">
        <v>758</v>
      </c>
      <c r="IZ615" s="11" t="s">
        <v>527</v>
      </c>
      <c r="JA615" s="12">
        <v>5</v>
      </c>
      <c r="JB615" s="12" t="s">
        <v>687</v>
      </c>
      <c r="JC615" s="11" t="s">
        <v>624</v>
      </c>
      <c r="JD615" s="11" t="s">
        <v>585</v>
      </c>
      <c r="JE615" s="12" t="s">
        <v>365</v>
      </c>
      <c r="JF615" s="12" t="s">
        <v>10039</v>
      </c>
      <c r="JG615" s="12" t="s">
        <v>10040</v>
      </c>
      <c r="JH615" s="12" t="s">
        <v>10041</v>
      </c>
      <c r="JI615" s="12" t="s">
        <v>10042</v>
      </c>
      <c r="JJ615" s="12" t="s">
        <v>10043</v>
      </c>
      <c r="JK615" s="12" t="s">
        <v>10044</v>
      </c>
      <c r="JL615" s="12" t="s">
        <v>10045</v>
      </c>
      <c r="JM615" s="12" t="s">
        <v>10046</v>
      </c>
      <c r="JN615" s="12" t="s">
        <v>10047</v>
      </c>
      <c r="JO615" s="12" t="s">
        <v>9867</v>
      </c>
      <c r="JP615" s="15">
        <f t="shared" si="394"/>
        <v>1322</v>
      </c>
      <c r="JQ615" s="15">
        <f t="shared" si="395"/>
        <v>0</v>
      </c>
      <c r="JR615" s="279">
        <f t="shared" si="396"/>
        <v>0</v>
      </c>
      <c r="JS615" s="17">
        <f t="shared" si="397"/>
        <v>0.52571860816944027</v>
      </c>
      <c r="JT615" s="18" t="str">
        <f t="shared" si="398"/>
        <v/>
      </c>
      <c r="JU615" s="280">
        <f t="shared" si="399"/>
        <v>695</v>
      </c>
      <c r="JV615" s="280">
        <f t="shared" si="400"/>
        <v>0</v>
      </c>
      <c r="JW615" s="319" t="str">
        <f t="shared" si="401"/>
        <v/>
      </c>
      <c r="JX615" s="15">
        <f t="shared" si="402"/>
        <v>0</v>
      </c>
      <c r="JY615" s="15">
        <f t="shared" si="403"/>
        <v>0</v>
      </c>
      <c r="JZ615" s="19" t="str">
        <f t="shared" si="404"/>
        <v/>
      </c>
      <c r="KA615" s="52">
        <f t="shared" si="405"/>
        <v>1</v>
      </c>
      <c r="KB615" s="15">
        <f t="shared" si="406"/>
        <v>1322</v>
      </c>
      <c r="KC615" s="15">
        <f t="shared" si="407"/>
        <v>0</v>
      </c>
      <c r="KD615" s="20">
        <f t="shared" si="408"/>
        <v>0</v>
      </c>
      <c r="KE615" s="52" t="str">
        <f t="shared" si="409"/>
        <v/>
      </c>
      <c r="KF615" s="15">
        <f t="shared" si="410"/>
        <v>0</v>
      </c>
      <c r="KG615" s="15">
        <f t="shared" si="411"/>
        <v>0</v>
      </c>
      <c r="KH615" s="21" t="str">
        <f t="shared" si="412"/>
        <v/>
      </c>
      <c r="KI615" s="52" t="str">
        <f t="shared" si="413"/>
        <v/>
      </c>
      <c r="KJ615" s="15">
        <f t="shared" si="414"/>
        <v>0</v>
      </c>
      <c r="KK615" s="15">
        <f t="shared" si="415"/>
        <v>0</v>
      </c>
      <c r="KL615" s="19" t="str">
        <f t="shared" si="416"/>
        <v/>
      </c>
      <c r="KM615" s="52" t="str">
        <f t="shared" si="417"/>
        <v/>
      </c>
      <c r="KN615" s="22">
        <f t="shared" si="418"/>
        <v>0</v>
      </c>
      <c r="KO615" s="22">
        <f t="shared" si="419"/>
        <v>0</v>
      </c>
      <c r="KP615" s="19" t="str">
        <f t="shared" si="420"/>
        <v/>
      </c>
      <c r="KQ615" s="11" t="str">
        <f t="shared" si="421"/>
        <v>1. Neutral</v>
      </c>
      <c r="KR615" s="11" t="str">
        <f t="shared" si="422"/>
        <v>2. Accommodating</v>
      </c>
      <c r="KS615" s="11" t="str">
        <f t="shared" si="423"/>
        <v>4. Transformative</v>
      </c>
      <c r="KT615" s="11" t="str">
        <f t="shared" si="424"/>
        <v>It tested new ways for fighting poverty, but did not measure results of innovation</v>
      </c>
      <c r="KU615" s="11" t="str">
        <f t="shared" si="425"/>
        <v>Little or no advocacy</v>
      </c>
      <c r="KV615" s="11" t="str">
        <f t="shared" si="426"/>
        <v>It did not take tested solutions to scale</v>
      </c>
      <c r="KW615" s="11" t="str">
        <f t="shared" si="427"/>
        <v>Peru - The Role of Andean Indigenous Crops in Climate Adaptation and Food Security in the Mantaro Valley of Central Perú</v>
      </c>
      <c r="KX615" s="11" t="str">
        <f t="shared" si="428"/>
        <v>The Role of Andean Indigenous Crops in Climate Adaptation and Food Security in the Mantaro Valley of Central Perú</v>
      </c>
      <c r="KY615" s="11" t="str">
        <f t="shared" si="429"/>
        <v>Peru</v>
      </c>
      <c r="KZ615" s="12">
        <v>615</v>
      </c>
    </row>
    <row r="616" spans="1:312" x14ac:dyDescent="0.3">
      <c r="A616" s="12" t="s">
        <v>9706</v>
      </c>
      <c r="B616" s="12" t="s">
        <v>2807</v>
      </c>
      <c r="C616" s="12"/>
      <c r="D616" s="12" t="s">
        <v>10256</v>
      </c>
      <c r="E616" s="277" t="str">
        <f t="shared" si="387"/>
        <v>Peru</v>
      </c>
      <c r="F616" s="12" t="s">
        <v>10257</v>
      </c>
      <c r="G616" s="12" t="s">
        <v>608</v>
      </c>
      <c r="H616" s="12" t="s">
        <v>310</v>
      </c>
      <c r="I616" s="12" t="s">
        <v>655</v>
      </c>
      <c r="J616" s="281" t="s">
        <v>9916</v>
      </c>
      <c r="K616" s="12" t="s">
        <v>10258</v>
      </c>
      <c r="L616" s="12" t="s">
        <v>608</v>
      </c>
      <c r="M616" s="12" t="s">
        <v>310</v>
      </c>
      <c r="N616" s="11" t="s">
        <v>655</v>
      </c>
      <c r="O616" s="281" t="s">
        <v>9916</v>
      </c>
      <c r="P616" s="12"/>
      <c r="Q616" s="12"/>
      <c r="R616" s="12"/>
      <c r="S616" s="12"/>
      <c r="T616" s="12"/>
      <c r="U616" s="12"/>
      <c r="V616" s="12"/>
      <c r="W616" s="12"/>
      <c r="X616" s="12"/>
      <c r="Y616" s="12"/>
      <c r="Z616" s="12"/>
      <c r="AA616" s="12"/>
      <c r="AB616" s="12"/>
      <c r="AC616" s="12"/>
      <c r="AD616" s="12"/>
      <c r="BD616" s="13">
        <v>42818</v>
      </c>
      <c r="BE616" s="13">
        <v>42910</v>
      </c>
      <c r="BF616" s="12"/>
      <c r="BG616" s="12" t="s">
        <v>817</v>
      </c>
      <c r="BH616" s="14">
        <v>150000</v>
      </c>
      <c r="BI616" s="12" t="s">
        <v>9785</v>
      </c>
      <c r="BJ616" s="12" t="s">
        <v>9827</v>
      </c>
      <c r="BK616" s="12" t="s">
        <v>9787</v>
      </c>
      <c r="BL616" s="12" t="s">
        <v>9711</v>
      </c>
      <c r="BM616" s="12" t="s">
        <v>9712</v>
      </c>
      <c r="BN616" s="12" t="s">
        <v>9713</v>
      </c>
      <c r="BO616" s="12" t="s">
        <v>320</v>
      </c>
      <c r="BP616" s="11" t="s">
        <v>320</v>
      </c>
      <c r="BQ616" s="12" t="s">
        <v>320</v>
      </c>
      <c r="BR616" s="12" t="s">
        <v>10259</v>
      </c>
      <c r="BS616" s="12" t="s">
        <v>357</v>
      </c>
      <c r="BT616" s="12" t="s">
        <v>10260</v>
      </c>
      <c r="BU616" s="12" t="s">
        <v>10261</v>
      </c>
      <c r="BV616" s="14">
        <v>6375</v>
      </c>
      <c r="BW616" s="14">
        <v>6125</v>
      </c>
      <c r="BX616" s="14">
        <v>12500</v>
      </c>
      <c r="BY616" s="14"/>
      <c r="BZ616" s="14"/>
      <c r="CA616" s="14"/>
      <c r="CB616" s="12" t="s">
        <v>10262</v>
      </c>
      <c r="CD616" s="14">
        <v>1097</v>
      </c>
      <c r="CE616" s="14">
        <v>1053</v>
      </c>
      <c r="CF616" s="14">
        <v>2150</v>
      </c>
      <c r="CG616" s="14"/>
      <c r="CH616" s="14"/>
      <c r="CI616" s="14"/>
      <c r="CJ616" s="12"/>
      <c r="CK616" s="14"/>
      <c r="CL616" s="16"/>
      <c r="CM616" s="14"/>
      <c r="CN616" s="12"/>
      <c r="CO616" s="14"/>
      <c r="CP616" s="16"/>
      <c r="CQ616" s="14"/>
      <c r="CR616" s="12"/>
      <c r="CS616" s="14"/>
      <c r="CT616" s="16"/>
      <c r="CU616" s="14"/>
      <c r="CV616" s="12"/>
      <c r="CW616" s="14"/>
      <c r="CX616" s="16"/>
      <c r="CY616" s="14"/>
      <c r="CZ616" s="12"/>
      <c r="DA616" s="14"/>
      <c r="DB616" s="16"/>
      <c r="DC616" s="14"/>
      <c r="DD616" s="12"/>
      <c r="DE616" s="14"/>
      <c r="DF616" s="16"/>
      <c r="DG616" s="14"/>
      <c r="DH616" s="12"/>
      <c r="DI616" s="14"/>
      <c r="DJ616" s="16"/>
      <c r="DK616" s="14"/>
      <c r="DL616" s="12"/>
      <c r="DM616" s="14"/>
      <c r="DN616" s="16"/>
      <c r="DO616" s="14"/>
      <c r="DP616" s="12"/>
      <c r="DQ616" s="14"/>
      <c r="DR616" s="16"/>
      <c r="DS616" s="14"/>
      <c r="DT616" s="12"/>
      <c r="DU616" s="14"/>
      <c r="DV616" s="16"/>
      <c r="DW616" s="14"/>
      <c r="DX616" s="12"/>
      <c r="DY616" s="14"/>
      <c r="DZ616" s="16"/>
      <c r="EA616" s="14"/>
      <c r="EB616" s="11" t="s">
        <v>320</v>
      </c>
      <c r="EC616" s="14">
        <v>2150</v>
      </c>
      <c r="ED616" s="16">
        <v>0.51</v>
      </c>
      <c r="EE616" s="14"/>
      <c r="EF616" s="12"/>
      <c r="EG616" s="12"/>
      <c r="EH616" s="14"/>
      <c r="EI616" s="16"/>
      <c r="EJ616" s="14"/>
      <c r="EK616" s="14"/>
      <c r="EL616" s="14"/>
      <c r="EM616" s="14"/>
      <c r="EN616" s="14"/>
      <c r="EO616" s="14"/>
      <c r="EP616" s="14"/>
      <c r="EQ616" s="12"/>
      <c r="ER616" s="14"/>
      <c r="ES616" s="16"/>
      <c r="ET616" s="14"/>
      <c r="EU616" s="12"/>
      <c r="EV616" s="14"/>
      <c r="EW616" s="16"/>
      <c r="EX616" s="14"/>
      <c r="EY616" s="12"/>
      <c r="EZ616" s="14"/>
      <c r="FA616" s="16"/>
      <c r="FB616" s="14"/>
      <c r="FC616" s="12"/>
      <c r="FD616" s="14"/>
      <c r="FE616" s="16"/>
      <c r="FF616" s="14"/>
      <c r="FG616" s="12"/>
      <c r="FH616" s="14"/>
      <c r="FI616" s="16"/>
      <c r="FJ616" s="14"/>
      <c r="FK616" s="12" t="s">
        <v>320</v>
      </c>
      <c r="FL616" s="14"/>
      <c r="FM616" s="16"/>
      <c r="FN616" s="14"/>
      <c r="FO616" s="12"/>
      <c r="FP616" s="14"/>
      <c r="FQ616" s="16"/>
      <c r="FR616" s="14"/>
      <c r="FS616" s="12"/>
      <c r="FT616" s="14"/>
      <c r="FU616" s="16"/>
      <c r="FV616" s="14"/>
      <c r="FW616" s="12"/>
      <c r="FX616" s="14"/>
      <c r="FY616" s="16"/>
      <c r="FZ616" s="14"/>
      <c r="GA616" s="12"/>
      <c r="GB616" s="14"/>
      <c r="GC616" s="16"/>
      <c r="GD616" s="14"/>
      <c r="GE616" s="12"/>
      <c r="GF616" s="14"/>
      <c r="GG616" s="16"/>
      <c r="GH616" s="14"/>
      <c r="GI616" s="12"/>
      <c r="GJ616" s="14"/>
      <c r="GK616" s="16"/>
      <c r="GL616" s="14"/>
      <c r="GM616" s="12"/>
      <c r="GN616" s="14"/>
      <c r="GO616" s="16"/>
      <c r="GP616" s="14"/>
      <c r="GQ616" s="12"/>
      <c r="GR616" s="14"/>
      <c r="GS616" s="16"/>
      <c r="GT616" s="14"/>
      <c r="GU616" s="12"/>
      <c r="GV616" s="14"/>
      <c r="GW616" s="16"/>
      <c r="GX616" s="14"/>
      <c r="GY616" s="12" t="s">
        <v>320</v>
      </c>
      <c r="GZ616" s="14"/>
      <c r="HA616" s="16"/>
      <c r="HB616" s="14"/>
      <c r="HC616" s="12"/>
      <c r="HD616" s="12"/>
      <c r="HE616" s="14"/>
      <c r="HF616" s="16"/>
      <c r="HG616" s="14"/>
      <c r="HH616" s="12" t="s">
        <v>319</v>
      </c>
      <c r="HI616" s="12"/>
      <c r="HJ616" s="12"/>
      <c r="HK616" s="12" t="s">
        <v>319</v>
      </c>
      <c r="HL616" s="12" t="s">
        <v>319</v>
      </c>
      <c r="HM616" s="12"/>
      <c r="HN616" s="12"/>
      <c r="HO616" s="12"/>
      <c r="HP616" s="12" t="s">
        <v>418</v>
      </c>
      <c r="HQ616" s="12"/>
      <c r="HR616" s="12"/>
      <c r="HS616" s="12"/>
      <c r="HT616" s="12"/>
      <c r="HU616" s="12"/>
      <c r="HV616" s="12"/>
      <c r="HW616" s="12"/>
      <c r="HX616" s="12"/>
      <c r="HY616" s="12"/>
      <c r="HZ616" s="11" t="s">
        <v>363</v>
      </c>
      <c r="IA616" s="12"/>
      <c r="IB616" s="12" t="s">
        <v>333</v>
      </c>
      <c r="IC616" s="12"/>
      <c r="ID616" s="11" t="s">
        <v>364</v>
      </c>
      <c r="IE616" s="12" t="s">
        <v>335</v>
      </c>
      <c r="IF616" s="12" t="s">
        <v>320</v>
      </c>
      <c r="IG616" s="12" t="s">
        <v>320</v>
      </c>
      <c r="IH616" s="12" t="s">
        <v>319</v>
      </c>
      <c r="II616" s="12" t="s">
        <v>320</v>
      </c>
      <c r="IJ616" s="12" t="str">
        <f t="shared" si="388"/>
        <v>1. Neutral</v>
      </c>
      <c r="IK616" s="12">
        <f t="shared" si="389"/>
        <v>3</v>
      </c>
      <c r="IL616" s="12" t="s">
        <v>336</v>
      </c>
      <c r="IM616" s="12" t="s">
        <v>320</v>
      </c>
      <c r="IN616" s="12" t="s">
        <v>319</v>
      </c>
      <c r="IO616" s="12" t="s">
        <v>320</v>
      </c>
      <c r="IP616" s="12" t="s">
        <v>320</v>
      </c>
      <c r="IQ616" s="12" t="str">
        <f t="shared" si="390"/>
        <v>2. Accommodating</v>
      </c>
      <c r="IR616" s="12">
        <f t="shared" si="391"/>
        <v>3</v>
      </c>
      <c r="IS616" s="12" t="s">
        <v>337</v>
      </c>
      <c r="IT616" s="12" t="s">
        <v>320</v>
      </c>
      <c r="IU616" s="12" t="s">
        <v>319</v>
      </c>
      <c r="IV616" s="12" t="s">
        <v>319</v>
      </c>
      <c r="IW616" s="11" t="str">
        <f t="shared" si="392"/>
        <v>1. Neutral</v>
      </c>
      <c r="IX616" s="12">
        <f t="shared" si="393"/>
        <v>1</v>
      </c>
      <c r="IY616" s="12" t="s">
        <v>338</v>
      </c>
      <c r="IZ616" s="12" t="s">
        <v>339</v>
      </c>
      <c r="JA616" s="12"/>
      <c r="JB616" s="12"/>
      <c r="JC616" s="12"/>
      <c r="JD616" s="12"/>
      <c r="JE616" s="12" t="s">
        <v>420</v>
      </c>
      <c r="JF616" s="12"/>
      <c r="JG616" s="12"/>
      <c r="JH616" s="12"/>
      <c r="JI616" s="12"/>
      <c r="JJ616" s="12"/>
      <c r="JK616" s="12"/>
      <c r="JL616" s="12"/>
      <c r="JM616" s="12"/>
      <c r="JN616" s="12"/>
      <c r="JO616" s="12"/>
      <c r="JP616" s="15">
        <f t="shared" si="394"/>
        <v>2150</v>
      </c>
      <c r="JQ616" s="15">
        <f t="shared" si="395"/>
        <v>0</v>
      </c>
      <c r="JR616" s="279">
        <f t="shared" si="396"/>
        <v>0</v>
      </c>
      <c r="JS616" s="17">
        <f t="shared" si="397"/>
        <v>0.51023255813953483</v>
      </c>
      <c r="JT616" s="18" t="str">
        <f t="shared" si="398"/>
        <v/>
      </c>
      <c r="JU616" s="280">
        <f t="shared" si="399"/>
        <v>1097</v>
      </c>
      <c r="JV616" s="280">
        <f t="shared" si="400"/>
        <v>0</v>
      </c>
      <c r="JW616" s="319">
        <f t="shared" si="401"/>
        <v>1</v>
      </c>
      <c r="JX616" s="15">
        <f t="shared" si="402"/>
        <v>2150</v>
      </c>
      <c r="JY616" s="15">
        <f t="shared" si="403"/>
        <v>0</v>
      </c>
      <c r="JZ616" s="19">
        <f t="shared" si="404"/>
        <v>0</v>
      </c>
      <c r="KA616" s="52" t="str">
        <f t="shared" si="405"/>
        <v/>
      </c>
      <c r="KB616" s="15">
        <f t="shared" si="406"/>
        <v>0</v>
      </c>
      <c r="KC616" s="15">
        <f t="shared" si="407"/>
        <v>0</v>
      </c>
      <c r="KD616" s="20" t="str">
        <f t="shared" si="408"/>
        <v/>
      </c>
      <c r="KE616" s="52" t="str">
        <f t="shared" si="409"/>
        <v/>
      </c>
      <c r="KF616" s="15">
        <f t="shared" si="410"/>
        <v>0</v>
      </c>
      <c r="KG616" s="15">
        <f t="shared" si="411"/>
        <v>0</v>
      </c>
      <c r="KH616" s="21" t="str">
        <f t="shared" si="412"/>
        <v/>
      </c>
      <c r="KI616" s="52" t="str">
        <f t="shared" si="413"/>
        <v/>
      </c>
      <c r="KJ616" s="15">
        <f t="shared" si="414"/>
        <v>0</v>
      </c>
      <c r="KK616" s="15">
        <f t="shared" si="415"/>
        <v>0</v>
      </c>
      <c r="KL616" s="19" t="str">
        <f t="shared" si="416"/>
        <v/>
      </c>
      <c r="KM616" s="52">
        <f t="shared" si="417"/>
        <v>1</v>
      </c>
      <c r="KN616" s="22">
        <f t="shared" si="418"/>
        <v>0</v>
      </c>
      <c r="KO616" s="22">
        <f t="shared" si="419"/>
        <v>0</v>
      </c>
      <c r="KP616" s="19" t="str">
        <f t="shared" si="420"/>
        <v/>
      </c>
      <c r="KQ616" s="11" t="str">
        <f t="shared" si="421"/>
        <v>1. Neutral</v>
      </c>
      <c r="KR616" s="11" t="str">
        <f t="shared" si="422"/>
        <v>2. Accommodating</v>
      </c>
      <c r="KS616" s="11" t="str">
        <f t="shared" si="423"/>
        <v>1. Neutral</v>
      </c>
      <c r="KT616" s="11" t="str">
        <f t="shared" si="424"/>
        <v>It did not develop any specific innovation</v>
      </c>
      <c r="KU616" s="11" t="str">
        <f t="shared" si="425"/>
        <v>Little or no advocacy</v>
      </c>
      <c r="KV616" s="11" t="str">
        <f t="shared" si="426"/>
        <v>It did not take tested solutions to scale</v>
      </c>
      <c r="KW616" s="11" t="str">
        <f t="shared" si="427"/>
        <v>Peru - WASH &amp; NFIs INTERVENTIONS IN RESPONSE TO THE FLOODING IN PIURA</v>
      </c>
      <c r="KX616" s="11" t="str">
        <f t="shared" si="428"/>
        <v>WASH &amp; NFIs INTERVENTIONS IN RESPONSE TO THE FLOODING IN PIURA</v>
      </c>
      <c r="KY616" s="11" t="str">
        <f t="shared" si="429"/>
        <v>Peru</v>
      </c>
      <c r="KZ616" s="12">
        <v>616</v>
      </c>
    </row>
    <row r="617" spans="1:312" x14ac:dyDescent="0.3">
      <c r="A617" s="12" t="s">
        <v>9706</v>
      </c>
      <c r="B617" s="12" t="s">
        <v>2807</v>
      </c>
      <c r="C617" s="12">
        <v>3267</v>
      </c>
      <c r="D617" s="12" t="s">
        <v>10108</v>
      </c>
      <c r="E617" s="277" t="str">
        <f t="shared" si="387"/>
        <v>Peru</v>
      </c>
      <c r="F617" s="12" t="s">
        <v>10109</v>
      </c>
      <c r="G617" s="12" t="s">
        <v>379</v>
      </c>
      <c r="H617" s="12" t="s">
        <v>383</v>
      </c>
      <c r="I617" s="12" t="s">
        <v>384</v>
      </c>
      <c r="J617" s="281" t="s">
        <v>10110</v>
      </c>
      <c r="K617" s="12"/>
      <c r="L617" s="12"/>
      <c r="M617" s="12"/>
      <c r="N617" s="12"/>
      <c r="O617" s="12"/>
      <c r="P617" s="12"/>
      <c r="Q617" s="12"/>
      <c r="R617" s="12"/>
      <c r="S617" s="12"/>
      <c r="T617" s="12"/>
      <c r="U617" s="12"/>
      <c r="V617" s="12"/>
      <c r="W617" s="12"/>
      <c r="X617" s="12"/>
      <c r="Y617" s="12"/>
      <c r="Z617" s="12"/>
      <c r="AA617" s="12"/>
      <c r="AB617" s="12"/>
      <c r="AC617" s="12"/>
      <c r="AD617" s="12"/>
      <c r="BD617" s="13">
        <v>42826</v>
      </c>
      <c r="BE617" s="13">
        <v>42978</v>
      </c>
      <c r="BF617" s="12"/>
      <c r="BG617" s="12" t="s">
        <v>312</v>
      </c>
      <c r="BH617" s="14">
        <v>27131</v>
      </c>
      <c r="BI617" s="12" t="s">
        <v>10051</v>
      </c>
      <c r="BJ617" s="12" t="s">
        <v>10052</v>
      </c>
      <c r="BK617" s="12" t="s">
        <v>10053</v>
      </c>
      <c r="BL617" s="12" t="s">
        <v>9738</v>
      </c>
      <c r="BM617" s="12" t="s">
        <v>9739</v>
      </c>
      <c r="BN617" s="12" t="s">
        <v>9713</v>
      </c>
      <c r="BO617" s="12" t="s">
        <v>320</v>
      </c>
      <c r="BP617" s="12" t="s">
        <v>320</v>
      </c>
      <c r="BQ617" s="12" t="s">
        <v>320</v>
      </c>
      <c r="BR617" s="12" t="s">
        <v>10111</v>
      </c>
      <c r="BS617" s="12" t="s">
        <v>357</v>
      </c>
      <c r="BT617" s="12" t="s">
        <v>10112</v>
      </c>
      <c r="BU617" s="12" t="s">
        <v>10113</v>
      </c>
      <c r="BV617" s="14">
        <v>238</v>
      </c>
      <c r="BW617" s="14">
        <v>263</v>
      </c>
      <c r="BX617" s="14">
        <v>501</v>
      </c>
      <c r="BY617" s="14">
        <v>160</v>
      </c>
      <c r="BZ617" s="14">
        <v>175</v>
      </c>
      <c r="CA617" s="14">
        <v>335</v>
      </c>
      <c r="CB617" s="12" t="s">
        <v>10114</v>
      </c>
      <c r="CD617" s="14"/>
      <c r="CE617" s="14"/>
      <c r="CF617" s="14"/>
      <c r="CG617" s="14"/>
      <c r="CH617" s="14"/>
      <c r="CI617" s="14"/>
      <c r="CJ617" s="12"/>
      <c r="CK617" s="14"/>
      <c r="CL617" s="16"/>
      <c r="CM617" s="14"/>
      <c r="CN617" s="12"/>
      <c r="CO617" s="14"/>
      <c r="CP617" s="16"/>
      <c r="CQ617" s="14"/>
      <c r="CR617" s="12"/>
      <c r="CS617" s="14"/>
      <c r="CT617" s="16"/>
      <c r="CU617" s="14"/>
      <c r="CV617" s="12"/>
      <c r="CW617" s="14"/>
      <c r="CX617" s="16"/>
      <c r="CY617" s="14"/>
      <c r="CZ617" s="12"/>
      <c r="DA617" s="14"/>
      <c r="DB617" s="16"/>
      <c r="DC617" s="14"/>
      <c r="DD617" s="12"/>
      <c r="DE617" s="14"/>
      <c r="DF617" s="16"/>
      <c r="DG617" s="14"/>
      <c r="DH617" s="12"/>
      <c r="DI617" s="14"/>
      <c r="DJ617" s="16"/>
      <c r="DK617" s="14"/>
      <c r="DL617" s="12"/>
      <c r="DM617" s="14"/>
      <c r="DN617" s="16"/>
      <c r="DO617" s="14"/>
      <c r="DP617" s="12"/>
      <c r="DQ617" s="14"/>
      <c r="DR617" s="16"/>
      <c r="DS617" s="14"/>
      <c r="DT617" s="12"/>
      <c r="DU617" s="14"/>
      <c r="DV617" s="16"/>
      <c r="DW617" s="14"/>
      <c r="DX617" s="12" t="s">
        <v>320</v>
      </c>
      <c r="DY617" s="14"/>
      <c r="DZ617" s="16"/>
      <c r="EA617" s="14"/>
      <c r="EB617" s="12" t="s">
        <v>320</v>
      </c>
      <c r="EC617" s="14"/>
      <c r="ED617" s="16"/>
      <c r="EE617" s="14"/>
      <c r="EF617" s="12"/>
      <c r="EG617" s="12"/>
      <c r="EH617" s="14"/>
      <c r="EI617" s="16"/>
      <c r="EJ617" s="14"/>
      <c r="EK617" s="14">
        <v>238</v>
      </c>
      <c r="EL617" s="14">
        <v>262</v>
      </c>
      <c r="EM617" s="14">
        <v>500</v>
      </c>
      <c r="EN617" s="14">
        <v>160</v>
      </c>
      <c r="EO617" s="14">
        <v>175</v>
      </c>
      <c r="EP617" s="14">
        <v>335</v>
      </c>
      <c r="EQ617" s="12"/>
      <c r="ER617" s="14"/>
      <c r="ES617" s="16"/>
      <c r="ET617" s="14"/>
      <c r="EU617" s="12"/>
      <c r="EV617" s="14"/>
      <c r="EW617" s="16"/>
      <c r="EX617" s="14"/>
      <c r="EY617" s="12"/>
      <c r="EZ617" s="14"/>
      <c r="FA617" s="16"/>
      <c r="FB617" s="14"/>
      <c r="FC617" s="12"/>
      <c r="FD617" s="14"/>
      <c r="FE617" s="16"/>
      <c r="FF617" s="14"/>
      <c r="FG617" s="12"/>
      <c r="FH617" s="14"/>
      <c r="FI617" s="16"/>
      <c r="FJ617" s="14"/>
      <c r="FK617" s="12" t="s">
        <v>320</v>
      </c>
      <c r="FL617" s="14">
        <v>500</v>
      </c>
      <c r="FM617" s="16">
        <v>0.48</v>
      </c>
      <c r="FN617" s="14">
        <v>335</v>
      </c>
      <c r="FO617" s="12"/>
      <c r="FP617" s="14"/>
      <c r="FQ617" s="16"/>
      <c r="FR617" s="14"/>
      <c r="FS617" s="12"/>
      <c r="FT617" s="14"/>
      <c r="FU617" s="16"/>
      <c r="FV617" s="14"/>
      <c r="FW617" s="12"/>
      <c r="FX617" s="14"/>
      <c r="FY617" s="16"/>
      <c r="FZ617" s="14"/>
      <c r="GA617" s="12"/>
      <c r="GB617" s="14"/>
      <c r="GC617" s="16"/>
      <c r="GD617" s="14"/>
      <c r="GE617" s="12"/>
      <c r="GF617" s="14"/>
      <c r="GG617" s="16"/>
      <c r="GH617" s="14"/>
      <c r="GI617" s="12"/>
      <c r="GJ617" s="14"/>
      <c r="GK617" s="16"/>
      <c r="GL617" s="14"/>
      <c r="GM617" s="12"/>
      <c r="GN617" s="14"/>
      <c r="GO617" s="16"/>
      <c r="GP617" s="14"/>
      <c r="GQ617" s="12"/>
      <c r="GR617" s="14"/>
      <c r="GS617" s="16"/>
      <c r="GT617" s="14"/>
      <c r="GU617" s="12"/>
      <c r="GV617" s="14"/>
      <c r="GW617" s="16"/>
      <c r="GX617" s="14"/>
      <c r="GY617" s="12"/>
      <c r="GZ617" s="14"/>
      <c r="HA617" s="16"/>
      <c r="HB617" s="14"/>
      <c r="HC617" s="12"/>
      <c r="HD617" s="12"/>
      <c r="HE617" s="14"/>
      <c r="HF617" s="16"/>
      <c r="HG617" s="14"/>
      <c r="HH617" s="12" t="s">
        <v>319</v>
      </c>
      <c r="HI617" s="12"/>
      <c r="HJ617" s="12"/>
      <c r="HK617" s="12" t="s">
        <v>319</v>
      </c>
      <c r="HL617" s="12" t="s">
        <v>319</v>
      </c>
      <c r="HM617" s="12"/>
      <c r="HN617" s="12"/>
      <c r="HO617" s="12" t="s">
        <v>10115</v>
      </c>
      <c r="HP617" s="12" t="s">
        <v>418</v>
      </c>
      <c r="HQ617" s="12" t="s">
        <v>319</v>
      </c>
      <c r="HR617" s="12" t="s">
        <v>319</v>
      </c>
      <c r="HS617" s="12" t="s">
        <v>320</v>
      </c>
      <c r="HT617" s="12" t="s">
        <v>319</v>
      </c>
      <c r="HU617" s="12" t="s">
        <v>319</v>
      </c>
      <c r="HV617" s="12" t="s">
        <v>319</v>
      </c>
      <c r="HW617" s="12" t="s">
        <v>319</v>
      </c>
      <c r="HX617" s="12" t="s">
        <v>319</v>
      </c>
      <c r="HY617" s="12" t="s">
        <v>10116</v>
      </c>
      <c r="HZ617" s="12" t="s">
        <v>394</v>
      </c>
      <c r="IA617" s="12" t="s">
        <v>10117</v>
      </c>
      <c r="IB617" s="12" t="s">
        <v>333</v>
      </c>
      <c r="IC617" s="12"/>
      <c r="ID617" s="12" t="s">
        <v>334</v>
      </c>
      <c r="IE617" s="12" t="s">
        <v>335</v>
      </c>
      <c r="IF617" s="12" t="s">
        <v>320</v>
      </c>
      <c r="IG617" s="12" t="s">
        <v>320</v>
      </c>
      <c r="IH617" s="12" t="s">
        <v>320</v>
      </c>
      <c r="II617" s="12" t="s">
        <v>320</v>
      </c>
      <c r="IJ617" s="12" t="str">
        <f t="shared" si="388"/>
        <v>2. Sensitive</v>
      </c>
      <c r="IK617" s="12">
        <f t="shared" si="389"/>
        <v>4</v>
      </c>
      <c r="IL617" s="12" t="s">
        <v>723</v>
      </c>
      <c r="IM617" s="12" t="s">
        <v>320</v>
      </c>
      <c r="IN617" s="12" t="s">
        <v>320</v>
      </c>
      <c r="IO617" s="12" t="s">
        <v>319</v>
      </c>
      <c r="IP617" s="12" t="s">
        <v>320</v>
      </c>
      <c r="IQ617" s="12" t="str">
        <f t="shared" si="390"/>
        <v>0. Unaware</v>
      </c>
      <c r="IR617" s="12">
        <f t="shared" si="391"/>
        <v>3</v>
      </c>
      <c r="IS617" s="12" t="s">
        <v>456</v>
      </c>
      <c r="IT617" s="12" t="s">
        <v>320</v>
      </c>
      <c r="IU617" s="12" t="s">
        <v>320</v>
      </c>
      <c r="IV617" s="12" t="s">
        <v>320</v>
      </c>
      <c r="IW617" s="11" t="str">
        <f t="shared" si="392"/>
        <v>0. Harmful</v>
      </c>
      <c r="IX617" s="12">
        <f t="shared" si="393"/>
        <v>3</v>
      </c>
      <c r="IY617" s="12" t="s">
        <v>338</v>
      </c>
      <c r="IZ617" s="11" t="s">
        <v>527</v>
      </c>
      <c r="JA617" s="12">
        <v>1</v>
      </c>
      <c r="JB617" s="11" t="s">
        <v>384</v>
      </c>
      <c r="JC617" s="12"/>
      <c r="JD617" s="12"/>
      <c r="JE617" s="12" t="s">
        <v>365</v>
      </c>
      <c r="JF617" s="12" t="s">
        <v>10118</v>
      </c>
      <c r="JG617" s="12"/>
      <c r="JH617" s="12" t="s">
        <v>10119</v>
      </c>
      <c r="JI617" s="12" t="s">
        <v>10120</v>
      </c>
      <c r="JJ617" s="12" t="s">
        <v>10121</v>
      </c>
      <c r="JK617" s="12" t="s">
        <v>10122</v>
      </c>
      <c r="JL617" s="12" t="s">
        <v>10123</v>
      </c>
      <c r="JM617" s="12" t="s">
        <v>10124</v>
      </c>
      <c r="JN617" s="12" t="s">
        <v>10125</v>
      </c>
      <c r="JO617" s="12" t="s">
        <v>10126</v>
      </c>
      <c r="JP617" s="15">
        <f t="shared" si="394"/>
        <v>500</v>
      </c>
      <c r="JQ617" s="15">
        <f t="shared" si="395"/>
        <v>335</v>
      </c>
      <c r="JR617" s="279">
        <f t="shared" si="396"/>
        <v>0.67</v>
      </c>
      <c r="JS617" s="17">
        <f t="shared" si="397"/>
        <v>0.47599999999999998</v>
      </c>
      <c r="JT617" s="18">
        <f t="shared" si="398"/>
        <v>0.47761194029850745</v>
      </c>
      <c r="JU617" s="280">
        <f t="shared" si="399"/>
        <v>238</v>
      </c>
      <c r="JV617" s="280">
        <f t="shared" si="400"/>
        <v>160</v>
      </c>
      <c r="JW617" s="319">
        <f t="shared" si="401"/>
        <v>1</v>
      </c>
      <c r="JX617" s="15">
        <f t="shared" si="402"/>
        <v>0</v>
      </c>
      <c r="JY617" s="15">
        <f t="shared" si="403"/>
        <v>0</v>
      </c>
      <c r="JZ617" s="19" t="str">
        <f t="shared" si="404"/>
        <v/>
      </c>
      <c r="KA617" s="52" t="str">
        <f t="shared" si="405"/>
        <v/>
      </c>
      <c r="KB617" s="15">
        <f t="shared" si="406"/>
        <v>0</v>
      </c>
      <c r="KC617" s="15">
        <f t="shared" si="407"/>
        <v>0</v>
      </c>
      <c r="KD617" s="20" t="str">
        <f t="shared" si="408"/>
        <v/>
      </c>
      <c r="KE617" s="52" t="str">
        <f t="shared" si="409"/>
        <v/>
      </c>
      <c r="KF617" s="15">
        <f t="shared" si="410"/>
        <v>0</v>
      </c>
      <c r="KG617" s="15">
        <f t="shared" si="411"/>
        <v>0</v>
      </c>
      <c r="KH617" s="21" t="str">
        <f t="shared" si="412"/>
        <v/>
      </c>
      <c r="KI617" s="52" t="str">
        <f t="shared" si="413"/>
        <v/>
      </c>
      <c r="KJ617" s="15">
        <f t="shared" si="414"/>
        <v>0</v>
      </c>
      <c r="KK617" s="15">
        <f t="shared" si="415"/>
        <v>0</v>
      </c>
      <c r="KL617" s="19" t="str">
        <f t="shared" si="416"/>
        <v/>
      </c>
      <c r="KM617" s="52" t="str">
        <f t="shared" si="417"/>
        <v/>
      </c>
      <c r="KN617" s="22">
        <f t="shared" si="418"/>
        <v>0</v>
      </c>
      <c r="KO617" s="22">
        <f t="shared" si="419"/>
        <v>0</v>
      </c>
      <c r="KP617" s="19" t="str">
        <f t="shared" si="420"/>
        <v/>
      </c>
      <c r="KQ617" s="11" t="str">
        <f t="shared" si="421"/>
        <v>2. Sensitive</v>
      </c>
      <c r="KR617" s="11" t="str">
        <f t="shared" si="422"/>
        <v>0. Unaware</v>
      </c>
      <c r="KS617" s="11" t="str">
        <f t="shared" si="423"/>
        <v>0. Harmful</v>
      </c>
      <c r="KT617" s="11" t="str">
        <f t="shared" si="424"/>
        <v>It tested new ways for fighting poverty, but did not measure results of innovation</v>
      </c>
      <c r="KU617" s="11" t="str">
        <f t="shared" si="425"/>
        <v>Little or no advocacy</v>
      </c>
      <c r="KV617" s="11" t="str">
        <f t="shared" si="426"/>
        <v>It did not take tested solutions to scale</v>
      </c>
      <c r="KW617" s="11" t="str">
        <f t="shared" si="427"/>
        <v>Peru - YACHAY WASI MUNASQANCHIK LA ESCUELA QUE QUEREMOS</v>
      </c>
      <c r="KX617" s="11" t="str">
        <f t="shared" si="428"/>
        <v>YACHAY WASI MUNASQANCHIK LA ESCUELA QUE QUEREMOS</v>
      </c>
      <c r="KY617" s="11" t="str">
        <f t="shared" si="429"/>
        <v>Peru</v>
      </c>
      <c r="KZ617" s="12">
        <v>617</v>
      </c>
    </row>
    <row r="618" spans="1:312" x14ac:dyDescent="0.3">
      <c r="A618" s="12" t="s">
        <v>9706</v>
      </c>
      <c r="B618" s="12" t="s">
        <v>2807</v>
      </c>
      <c r="C618" s="12"/>
      <c r="D618" s="12" t="s">
        <v>10127</v>
      </c>
      <c r="E618" s="277" t="str">
        <f t="shared" si="387"/>
        <v>Peru</v>
      </c>
      <c r="F618" s="12" t="s">
        <v>10128</v>
      </c>
      <c r="G618" s="12" t="s">
        <v>379</v>
      </c>
      <c r="H618" s="12" t="s">
        <v>380</v>
      </c>
      <c r="I618" s="12" t="s">
        <v>655</v>
      </c>
      <c r="J618" s="281" t="s">
        <v>4991</v>
      </c>
      <c r="K618" s="12"/>
      <c r="L618" s="12"/>
      <c r="M618" s="12"/>
      <c r="N618" s="12"/>
      <c r="O618" s="12"/>
      <c r="P618" s="12"/>
      <c r="Q618" s="12"/>
      <c r="R618" s="12"/>
      <c r="S618" s="12"/>
      <c r="T618" s="12"/>
      <c r="U618" s="12"/>
      <c r="V618" s="12"/>
      <c r="W618" s="12"/>
      <c r="X618" s="12"/>
      <c r="Y618" s="12"/>
      <c r="Z618" s="12"/>
      <c r="AA618" s="12"/>
      <c r="AB618" s="12"/>
      <c r="AC618" s="12"/>
      <c r="AD618" s="12"/>
      <c r="BD618" s="13">
        <v>42643</v>
      </c>
      <c r="BE618" s="13">
        <v>43708</v>
      </c>
      <c r="BF618" s="12"/>
      <c r="BG618" s="12" t="s">
        <v>312</v>
      </c>
      <c r="BH618" s="14">
        <v>3095940.0681720902</v>
      </c>
      <c r="BI618" s="12" t="s">
        <v>9785</v>
      </c>
      <c r="BJ618" s="12" t="s">
        <v>10129</v>
      </c>
      <c r="BK618" s="12" t="s">
        <v>10130</v>
      </c>
      <c r="BL618" s="12" t="s">
        <v>9711</v>
      </c>
      <c r="BM618" s="12" t="s">
        <v>9712</v>
      </c>
      <c r="BN618" s="12" t="s">
        <v>9713</v>
      </c>
      <c r="BO618" s="12" t="s">
        <v>320</v>
      </c>
      <c r="BP618" s="12" t="s">
        <v>320</v>
      </c>
      <c r="BQ618" s="12" t="s">
        <v>320</v>
      </c>
      <c r="BR618" s="12" t="s">
        <v>10131</v>
      </c>
      <c r="BS618" s="12" t="s">
        <v>1535</v>
      </c>
      <c r="BT618" s="12" t="s">
        <v>10132</v>
      </c>
      <c r="BU618" s="12" t="s">
        <v>3536</v>
      </c>
      <c r="BV618" s="14">
        <v>131242</v>
      </c>
      <c r="BW618" s="14">
        <v>131768</v>
      </c>
      <c r="BX618" s="14">
        <v>263010</v>
      </c>
      <c r="BY618" s="14">
        <v>262485</v>
      </c>
      <c r="BZ618" s="14">
        <v>263535</v>
      </c>
      <c r="CA618" s="14">
        <v>526020</v>
      </c>
      <c r="CB618" s="12" t="s">
        <v>10133</v>
      </c>
      <c r="CD618" s="14">
        <v>700</v>
      </c>
      <c r="CE618" s="14">
        <v>600</v>
      </c>
      <c r="CF618" s="14">
        <v>1300</v>
      </c>
      <c r="CG618" s="14">
        <v>1800</v>
      </c>
      <c r="CH618" s="14">
        <v>1800</v>
      </c>
      <c r="CI618" s="14">
        <v>3600</v>
      </c>
      <c r="CJ618" s="12" t="s">
        <v>319</v>
      </c>
      <c r="CK618" s="14"/>
      <c r="CL618" s="16"/>
      <c r="CM618" s="14"/>
      <c r="CN618" s="12" t="s">
        <v>319</v>
      </c>
      <c r="CO618" s="14"/>
      <c r="CP618" s="16"/>
      <c r="CQ618" s="14"/>
      <c r="CR618" s="12" t="s">
        <v>319</v>
      </c>
      <c r="CS618" s="14"/>
      <c r="CT618" s="16"/>
      <c r="CU618" s="14"/>
      <c r="CV618" s="12" t="s">
        <v>319</v>
      </c>
      <c r="CW618" s="14"/>
      <c r="CX618" s="16"/>
      <c r="CY618" s="14"/>
      <c r="CZ618" s="12" t="s">
        <v>319</v>
      </c>
      <c r="DA618" s="14"/>
      <c r="DB618" s="16"/>
      <c r="DC618" s="14"/>
      <c r="DD618" s="12" t="s">
        <v>319</v>
      </c>
      <c r="DE618" s="14"/>
      <c r="DF618" s="16"/>
      <c r="DG618" s="14"/>
      <c r="DH618" s="12" t="s">
        <v>320</v>
      </c>
      <c r="DI618" s="14">
        <v>1300</v>
      </c>
      <c r="DJ618" s="16">
        <v>0.53</v>
      </c>
      <c r="DK618" s="14">
        <v>3600</v>
      </c>
      <c r="DL618" s="12" t="s">
        <v>319</v>
      </c>
      <c r="DM618" s="14"/>
      <c r="DN618" s="16"/>
      <c r="DO618" s="14"/>
      <c r="DP618" s="12" t="s">
        <v>319</v>
      </c>
      <c r="DQ618" s="14"/>
      <c r="DR618" s="16"/>
      <c r="DS618" s="14"/>
      <c r="DT618" s="12" t="s">
        <v>319</v>
      </c>
      <c r="DU618" s="14"/>
      <c r="DV618" s="16"/>
      <c r="DW618" s="14"/>
      <c r="DX618" s="12" t="s">
        <v>319</v>
      </c>
      <c r="DY618" s="14"/>
      <c r="DZ618" s="16"/>
      <c r="EA618" s="14"/>
      <c r="EB618" s="12" t="s">
        <v>319</v>
      </c>
      <c r="EC618" s="14"/>
      <c r="ED618" s="16"/>
      <c r="EE618" s="14"/>
      <c r="EF618" s="12"/>
      <c r="EG618" s="12"/>
      <c r="EH618" s="14"/>
      <c r="EI618" s="16"/>
      <c r="EJ618" s="14"/>
      <c r="EK618" s="14">
        <v>700</v>
      </c>
      <c r="EL618" s="14">
        <v>600</v>
      </c>
      <c r="EM618" s="14">
        <v>1300</v>
      </c>
      <c r="EN618" s="14">
        <v>1800</v>
      </c>
      <c r="EO618" s="14">
        <v>1800</v>
      </c>
      <c r="EP618" s="14">
        <v>3600</v>
      </c>
      <c r="EQ618" s="12" t="s">
        <v>319</v>
      </c>
      <c r="ER618" s="14"/>
      <c r="ES618" s="16"/>
      <c r="ET618" s="14"/>
      <c r="EU618" s="11" t="s">
        <v>319</v>
      </c>
      <c r="EV618" s="14"/>
      <c r="EW618" s="16"/>
      <c r="EX618" s="14"/>
      <c r="EY618" s="12" t="s">
        <v>319</v>
      </c>
      <c r="EZ618" s="14"/>
      <c r="FA618" s="16"/>
      <c r="FB618" s="14"/>
      <c r="FC618" s="12" t="s">
        <v>319</v>
      </c>
      <c r="FD618" s="14"/>
      <c r="FE618" s="16"/>
      <c r="FF618" s="14"/>
      <c r="FG618" s="12" t="s">
        <v>319</v>
      </c>
      <c r="FH618" s="14"/>
      <c r="FI618" s="16"/>
      <c r="FJ618" s="14"/>
      <c r="FK618" s="12" t="s">
        <v>319</v>
      </c>
      <c r="FL618" s="14"/>
      <c r="FM618" s="16"/>
      <c r="FN618" s="14"/>
      <c r="FO618" s="12" t="s">
        <v>319</v>
      </c>
      <c r="FP618" s="14"/>
      <c r="FQ618" s="16"/>
      <c r="FR618" s="14"/>
      <c r="FS618" s="12" t="s">
        <v>319</v>
      </c>
      <c r="FT618" s="14"/>
      <c r="FU618" s="16"/>
      <c r="FV618" s="14"/>
      <c r="FW618" s="12" t="s">
        <v>319</v>
      </c>
      <c r="FX618" s="14"/>
      <c r="FY618" s="16"/>
      <c r="FZ618" s="14"/>
      <c r="GA618" s="11" t="s">
        <v>320</v>
      </c>
      <c r="GB618" s="14">
        <v>1300</v>
      </c>
      <c r="GC618" s="16">
        <v>0.53</v>
      </c>
      <c r="GD618" s="14">
        <v>3600</v>
      </c>
      <c r="GE618" s="12" t="s">
        <v>319</v>
      </c>
      <c r="GF618" s="14"/>
      <c r="GG618" s="16"/>
      <c r="GH618" s="14"/>
      <c r="GI618" s="12" t="s">
        <v>319</v>
      </c>
      <c r="GJ618" s="14"/>
      <c r="GK618" s="16"/>
      <c r="GL618" s="14"/>
      <c r="GM618" s="12" t="s">
        <v>319</v>
      </c>
      <c r="GN618" s="14"/>
      <c r="GO618" s="16"/>
      <c r="GP618" s="14"/>
      <c r="GQ618" s="12" t="s">
        <v>319</v>
      </c>
      <c r="GR618" s="14"/>
      <c r="GS618" s="16"/>
      <c r="GT618" s="14"/>
      <c r="GU618" s="12" t="s">
        <v>319</v>
      </c>
      <c r="GV618" s="14"/>
      <c r="GW618" s="16"/>
      <c r="GX618" s="14"/>
      <c r="GY618" s="12" t="s">
        <v>319</v>
      </c>
      <c r="GZ618" s="14"/>
      <c r="HA618" s="16"/>
      <c r="HB618" s="14"/>
      <c r="HC618" s="12"/>
      <c r="HD618" s="12"/>
      <c r="HE618" s="14"/>
      <c r="HF618" s="16"/>
      <c r="HG618" s="14"/>
      <c r="HH618" s="12" t="s">
        <v>319</v>
      </c>
      <c r="HI618" s="12"/>
      <c r="HJ618" s="12"/>
      <c r="HK618" s="12" t="s">
        <v>319</v>
      </c>
      <c r="HL618" s="12" t="s">
        <v>319</v>
      </c>
      <c r="HM618" s="12"/>
      <c r="HN618" s="12"/>
      <c r="HO618" s="12"/>
      <c r="HP618" s="12" t="s">
        <v>330</v>
      </c>
      <c r="HQ618" s="12" t="s">
        <v>319</v>
      </c>
      <c r="HR618" s="12" t="s">
        <v>319</v>
      </c>
      <c r="HS618" s="12" t="s">
        <v>319</v>
      </c>
      <c r="HT618" s="12" t="s">
        <v>320</v>
      </c>
      <c r="HU618" s="12" t="s">
        <v>319</v>
      </c>
      <c r="HV618" s="12" t="s">
        <v>319</v>
      </c>
      <c r="HW618" s="12" t="s">
        <v>319</v>
      </c>
      <c r="HX618" s="12" t="s">
        <v>319</v>
      </c>
      <c r="HY618" s="12"/>
      <c r="HZ618" s="11" t="s">
        <v>363</v>
      </c>
      <c r="IA618" s="12"/>
      <c r="IB618" s="12" t="s">
        <v>396</v>
      </c>
      <c r="IC618" s="12" t="s">
        <v>10134</v>
      </c>
      <c r="ID618" s="11" t="s">
        <v>364</v>
      </c>
      <c r="IE618" s="12" t="s">
        <v>335</v>
      </c>
      <c r="IF618" s="12" t="s">
        <v>320</v>
      </c>
      <c r="IG618" s="12" t="s">
        <v>320</v>
      </c>
      <c r="IH618" s="12" t="s">
        <v>320</v>
      </c>
      <c r="II618" s="12" t="s">
        <v>320</v>
      </c>
      <c r="IJ618" s="12" t="str">
        <f t="shared" si="388"/>
        <v>2. Sensitive</v>
      </c>
      <c r="IK618" s="12">
        <f t="shared" si="389"/>
        <v>4</v>
      </c>
      <c r="IL618" s="12" t="s">
        <v>336</v>
      </c>
      <c r="IM618" s="12" t="s">
        <v>320</v>
      </c>
      <c r="IN618" s="12" t="s">
        <v>320</v>
      </c>
      <c r="IO618" s="12" t="s">
        <v>320</v>
      </c>
      <c r="IP618" s="12" t="s">
        <v>320</v>
      </c>
      <c r="IQ618" s="12" t="str">
        <f t="shared" si="390"/>
        <v>2. Accommodating</v>
      </c>
      <c r="IR618" s="12">
        <f t="shared" si="391"/>
        <v>4</v>
      </c>
      <c r="IS618" s="12" t="s">
        <v>337</v>
      </c>
      <c r="IT618" s="12" t="s">
        <v>320</v>
      </c>
      <c r="IU618" s="12" t="s">
        <v>320</v>
      </c>
      <c r="IV618" s="12" t="s">
        <v>320</v>
      </c>
      <c r="IW618" s="11" t="str">
        <f t="shared" si="392"/>
        <v>2. Sensitive</v>
      </c>
      <c r="IX618" s="12">
        <f t="shared" si="393"/>
        <v>3</v>
      </c>
      <c r="IY618" s="11" t="s">
        <v>419</v>
      </c>
      <c r="IZ618" s="11" t="s">
        <v>527</v>
      </c>
      <c r="JA618" s="12">
        <v>5</v>
      </c>
      <c r="JB618" s="12" t="s">
        <v>687</v>
      </c>
      <c r="JC618" s="12" t="s">
        <v>623</v>
      </c>
      <c r="JD618" s="12" t="s">
        <v>832</v>
      </c>
      <c r="JE618" s="12" t="s">
        <v>365</v>
      </c>
      <c r="JF618" s="12"/>
      <c r="JG618" s="12" t="s">
        <v>10135</v>
      </c>
      <c r="JH618" s="12" t="s">
        <v>10136</v>
      </c>
      <c r="JI618" s="12" t="s">
        <v>10137</v>
      </c>
      <c r="JJ618" s="12" t="s">
        <v>10138</v>
      </c>
      <c r="JK618" s="12" t="s">
        <v>3541</v>
      </c>
      <c r="JL618" s="12" t="s">
        <v>10139</v>
      </c>
      <c r="JM618" s="12" t="s">
        <v>10140</v>
      </c>
      <c r="JN618" s="12" t="s">
        <v>10141</v>
      </c>
      <c r="JO618" s="12" t="s">
        <v>3545</v>
      </c>
      <c r="JP618" s="15">
        <f t="shared" si="394"/>
        <v>1300</v>
      </c>
      <c r="JQ618" s="15">
        <f t="shared" si="395"/>
        <v>3600</v>
      </c>
      <c r="JR618" s="279">
        <f t="shared" si="396"/>
        <v>2.7692307692307692</v>
      </c>
      <c r="JS618" s="17">
        <f t="shared" si="397"/>
        <v>0.53846153846153844</v>
      </c>
      <c r="JT618" s="18">
        <f t="shared" si="398"/>
        <v>0.5</v>
      </c>
      <c r="JU618" s="280">
        <f t="shared" si="399"/>
        <v>700</v>
      </c>
      <c r="JV618" s="280">
        <f t="shared" si="400"/>
        <v>1800</v>
      </c>
      <c r="JW618" s="319">
        <f t="shared" si="401"/>
        <v>1</v>
      </c>
      <c r="JX618" s="15">
        <f t="shared" si="402"/>
        <v>1300</v>
      </c>
      <c r="JY618" s="15">
        <f t="shared" si="403"/>
        <v>3600</v>
      </c>
      <c r="JZ618" s="19">
        <f t="shared" si="404"/>
        <v>2.7692307692307692</v>
      </c>
      <c r="KA618" s="52" t="str">
        <f t="shared" si="405"/>
        <v/>
      </c>
      <c r="KB618" s="15">
        <f t="shared" si="406"/>
        <v>0</v>
      </c>
      <c r="KC618" s="15">
        <f t="shared" si="407"/>
        <v>0</v>
      </c>
      <c r="KD618" s="20" t="str">
        <f t="shared" si="408"/>
        <v/>
      </c>
      <c r="KE618" s="52" t="str">
        <f t="shared" si="409"/>
        <v/>
      </c>
      <c r="KF618" s="15">
        <f t="shared" si="410"/>
        <v>0</v>
      </c>
      <c r="KG618" s="15">
        <f t="shared" si="411"/>
        <v>0</v>
      </c>
      <c r="KH618" s="21" t="str">
        <f t="shared" si="412"/>
        <v/>
      </c>
      <c r="KI618" s="52" t="str">
        <f t="shared" si="413"/>
        <v/>
      </c>
      <c r="KJ618" s="15">
        <f t="shared" si="414"/>
        <v>0</v>
      </c>
      <c r="KK618" s="15">
        <f t="shared" si="415"/>
        <v>0</v>
      </c>
      <c r="KL618" s="19" t="str">
        <f t="shared" si="416"/>
        <v/>
      </c>
      <c r="KM618" s="52" t="str">
        <f t="shared" si="417"/>
        <v/>
      </c>
      <c r="KN618" s="22">
        <f t="shared" si="418"/>
        <v>0</v>
      </c>
      <c r="KO618" s="22">
        <f t="shared" si="419"/>
        <v>0</v>
      </c>
      <c r="KP618" s="19" t="str">
        <f t="shared" si="420"/>
        <v/>
      </c>
      <c r="KQ618" s="11" t="str">
        <f t="shared" si="421"/>
        <v>2. Sensitive</v>
      </c>
      <c r="KR618" s="11" t="str">
        <f t="shared" si="422"/>
        <v>2. Accommodating</v>
      </c>
      <c r="KS618" s="11" t="str">
        <f t="shared" si="423"/>
        <v>2. Sensitive</v>
      </c>
      <c r="KT618" s="11" t="str">
        <f t="shared" si="424"/>
        <v>It did not develop any specific innovation</v>
      </c>
      <c r="KU618" s="11" t="str">
        <f t="shared" si="425"/>
        <v>Moderate advocacy</v>
      </c>
      <c r="KV618" s="11" t="str">
        <f t="shared" si="426"/>
        <v>It linked and worked with strategic alliances and partners to take tested and effective solutions to scale</v>
      </c>
      <c r="KW618" s="11" t="str">
        <f t="shared" si="427"/>
        <v>Peru - Zika Response in Ecuador and Peru</v>
      </c>
      <c r="KX618" s="11" t="str">
        <f t="shared" si="428"/>
        <v>Zika Response in Ecuador and Peru</v>
      </c>
      <c r="KY618" s="11" t="str">
        <f t="shared" si="429"/>
        <v>Peru</v>
      </c>
      <c r="KZ618" s="12">
        <v>618</v>
      </c>
    </row>
    <row r="619" spans="1:312" x14ac:dyDescent="0.3">
      <c r="A619" s="12" t="s">
        <v>10263</v>
      </c>
      <c r="B619" s="12" t="s">
        <v>306</v>
      </c>
      <c r="C619" s="12"/>
      <c r="D619" s="12" t="s">
        <v>2276</v>
      </c>
      <c r="E619" s="277" t="str">
        <f t="shared" si="387"/>
        <v>Philippines</v>
      </c>
      <c r="F619" s="12" t="s">
        <v>3436</v>
      </c>
      <c r="G619" s="12" t="s">
        <v>488</v>
      </c>
      <c r="H619" s="12" t="s">
        <v>554</v>
      </c>
      <c r="I619" s="12" t="s">
        <v>384</v>
      </c>
      <c r="J619" s="281"/>
      <c r="K619" s="12" t="s">
        <v>3436</v>
      </c>
      <c r="L619" s="12" t="s">
        <v>488</v>
      </c>
      <c r="M619" s="12" t="s">
        <v>383</v>
      </c>
      <c r="N619" s="12" t="s">
        <v>384</v>
      </c>
      <c r="O619" s="12" t="s">
        <v>2277</v>
      </c>
      <c r="P619" s="12"/>
      <c r="Q619" s="12"/>
      <c r="R619" s="12"/>
      <c r="S619" s="12"/>
      <c r="T619" s="12"/>
      <c r="U619" s="12"/>
      <c r="V619" s="12"/>
      <c r="W619" s="12"/>
      <c r="X619" s="12"/>
      <c r="Y619" s="12"/>
      <c r="Z619" s="12"/>
      <c r="AA619" s="12"/>
      <c r="AB619" s="12"/>
      <c r="AC619" s="12"/>
      <c r="AD619" s="12"/>
      <c r="BD619" s="13">
        <v>42552</v>
      </c>
      <c r="BE619" s="13">
        <v>42916</v>
      </c>
      <c r="BF619" s="12"/>
      <c r="BG619" s="12" t="s">
        <v>350</v>
      </c>
      <c r="BH619" s="14">
        <v>329960</v>
      </c>
      <c r="BI619" s="12" t="s">
        <v>2278</v>
      </c>
      <c r="BJ619" s="12" t="s">
        <v>2279</v>
      </c>
      <c r="BK619" s="12" t="s">
        <v>2280</v>
      </c>
      <c r="BL619" s="12"/>
      <c r="BM619" s="12"/>
      <c r="BN619" s="12"/>
      <c r="BO619" s="12" t="s">
        <v>319</v>
      </c>
      <c r="BP619" s="12" t="s">
        <v>320</v>
      </c>
      <c r="BQ619" s="12" t="s">
        <v>319</v>
      </c>
      <c r="BR619" s="12" t="s">
        <v>2281</v>
      </c>
      <c r="BS619" s="12" t="s">
        <v>357</v>
      </c>
      <c r="BT619" s="12" t="s">
        <v>10334</v>
      </c>
      <c r="BU619" s="12" t="s">
        <v>10335</v>
      </c>
      <c r="BV619" s="14">
        <v>256</v>
      </c>
      <c r="BW619" s="14">
        <v>83</v>
      </c>
      <c r="BX619" s="14">
        <v>339</v>
      </c>
      <c r="BY619" s="14">
        <v>397</v>
      </c>
      <c r="BZ619" s="14">
        <v>414</v>
      </c>
      <c r="CA619" s="14">
        <v>811</v>
      </c>
      <c r="CB619" s="12" t="s">
        <v>10336</v>
      </c>
      <c r="CD619" s="14"/>
      <c r="CE619" s="14"/>
      <c r="CF619" s="14"/>
      <c r="CG619" s="14"/>
      <c r="CH619" s="14"/>
      <c r="CI619" s="14"/>
      <c r="CJ619" s="12"/>
      <c r="CK619" s="14"/>
      <c r="CL619" s="16"/>
      <c r="CM619" s="14"/>
      <c r="CN619" s="12"/>
      <c r="CO619" s="14"/>
      <c r="CP619" s="16"/>
      <c r="CQ619" s="14"/>
      <c r="CR619" s="12"/>
      <c r="CS619" s="14"/>
      <c r="CT619" s="16"/>
      <c r="CU619" s="14"/>
      <c r="CV619" s="12"/>
      <c r="CW619" s="14"/>
      <c r="CX619" s="16"/>
      <c r="CY619" s="14"/>
      <c r="CZ619" s="12"/>
      <c r="DA619" s="14"/>
      <c r="DB619" s="16"/>
      <c r="DC619" s="14"/>
      <c r="DD619" s="12"/>
      <c r="DE619" s="14"/>
      <c r="DF619" s="16"/>
      <c r="DG619" s="14"/>
      <c r="DH619" s="12"/>
      <c r="DI619" s="14"/>
      <c r="DJ619" s="16"/>
      <c r="DK619" s="14"/>
      <c r="DL619" s="12"/>
      <c r="DM619" s="14"/>
      <c r="DN619" s="16"/>
      <c r="DO619" s="14"/>
      <c r="DP619" s="12"/>
      <c r="DQ619" s="14"/>
      <c r="DR619" s="16"/>
      <c r="DS619" s="14"/>
      <c r="DT619" s="12"/>
      <c r="DU619" s="14"/>
      <c r="DV619" s="16"/>
      <c r="DW619" s="14"/>
      <c r="DX619" s="12"/>
      <c r="DY619" s="14"/>
      <c r="DZ619" s="16"/>
      <c r="EA619" s="14"/>
      <c r="EB619" s="12"/>
      <c r="EC619" s="14"/>
      <c r="ED619" s="16"/>
      <c r="EE619" s="14"/>
      <c r="EF619" s="12"/>
      <c r="EG619" s="12"/>
      <c r="EH619" s="14"/>
      <c r="EI619" s="16"/>
      <c r="EJ619" s="14"/>
      <c r="EK619" s="14">
        <v>256</v>
      </c>
      <c r="EL619" s="14">
        <v>83</v>
      </c>
      <c r="EM619" s="14">
        <v>339</v>
      </c>
      <c r="EN619" s="14">
        <v>397</v>
      </c>
      <c r="EO619" s="14">
        <v>414</v>
      </c>
      <c r="EP619" s="14">
        <v>811</v>
      </c>
      <c r="EQ619" s="12"/>
      <c r="ER619" s="14"/>
      <c r="ES619" s="16"/>
      <c r="ET619" s="14"/>
      <c r="EU619" s="12"/>
      <c r="EV619" s="14"/>
      <c r="EW619" s="16"/>
      <c r="EX619" s="14"/>
      <c r="EY619" s="12"/>
      <c r="EZ619" s="14"/>
      <c r="FA619" s="16"/>
      <c r="FB619" s="14"/>
      <c r="FC619" s="12"/>
      <c r="FD619" s="14"/>
      <c r="FE619" s="16"/>
      <c r="FF619" s="14"/>
      <c r="FG619" s="12"/>
      <c r="FH619" s="14"/>
      <c r="FI619" s="16"/>
      <c r="FJ619" s="14"/>
      <c r="FK619" s="12"/>
      <c r="FL619" s="14"/>
      <c r="FM619" s="16"/>
      <c r="FN619" s="14"/>
      <c r="FO619" s="12"/>
      <c r="FP619" s="14"/>
      <c r="FQ619" s="16"/>
      <c r="FR619" s="14"/>
      <c r="FS619" s="12"/>
      <c r="FT619" s="14"/>
      <c r="FU619" s="16"/>
      <c r="FV619" s="14"/>
      <c r="FW619" s="12"/>
      <c r="FX619" s="14"/>
      <c r="FY619" s="16"/>
      <c r="FZ619" s="14"/>
      <c r="GA619" s="12"/>
      <c r="GB619" s="14"/>
      <c r="GC619" s="16"/>
      <c r="GD619" s="14"/>
      <c r="GE619" s="12"/>
      <c r="GF619" s="14"/>
      <c r="GG619" s="16"/>
      <c r="GH619" s="14"/>
      <c r="GI619" s="12"/>
      <c r="GJ619" s="14"/>
      <c r="GK619" s="16"/>
      <c r="GL619" s="14"/>
      <c r="GM619" s="12"/>
      <c r="GN619" s="14"/>
      <c r="GO619" s="16"/>
      <c r="GP619" s="14"/>
      <c r="GQ619" s="12"/>
      <c r="GR619" s="14"/>
      <c r="GS619" s="16"/>
      <c r="GT619" s="14"/>
      <c r="GU619" s="12"/>
      <c r="GV619" s="14"/>
      <c r="GW619" s="16"/>
      <c r="GX619" s="14"/>
      <c r="GY619" s="11" t="s">
        <v>320</v>
      </c>
      <c r="GZ619" s="14">
        <v>339</v>
      </c>
      <c r="HA619" s="16">
        <v>0.76</v>
      </c>
      <c r="HB619" s="14">
        <v>811</v>
      </c>
      <c r="HC619" s="12"/>
      <c r="HD619" s="12"/>
      <c r="HE619" s="14"/>
      <c r="HF619" s="16"/>
      <c r="HG619" s="14"/>
      <c r="HH619" s="12" t="s">
        <v>319</v>
      </c>
      <c r="HI619" s="12"/>
      <c r="HJ619" s="12"/>
      <c r="HK619" s="12"/>
      <c r="HL619" s="12" t="s">
        <v>319</v>
      </c>
      <c r="HM619" s="12"/>
      <c r="HN619" s="12"/>
      <c r="HO619" s="12"/>
      <c r="HP619" s="12" t="s">
        <v>418</v>
      </c>
      <c r="HQ619" s="12"/>
      <c r="HR619" s="12"/>
      <c r="HS619" s="12"/>
      <c r="HT619" s="12"/>
      <c r="HU619" s="12"/>
      <c r="HV619" s="12"/>
      <c r="HW619" s="12"/>
      <c r="HX619" s="12"/>
      <c r="HY619" s="12"/>
      <c r="HZ619" s="12" t="s">
        <v>363</v>
      </c>
      <c r="IA619" s="12"/>
      <c r="IB619" s="12" t="s">
        <v>333</v>
      </c>
      <c r="IC619" s="12"/>
      <c r="ID619" s="12" t="s">
        <v>364</v>
      </c>
      <c r="IE619" s="12" t="s">
        <v>1909</v>
      </c>
      <c r="IF619" s="12"/>
      <c r="IG619" s="12"/>
      <c r="IH619" s="12"/>
      <c r="II619" s="12"/>
      <c r="IJ619" s="12" t="str">
        <f t="shared" si="388"/>
        <v>0. Harmful</v>
      </c>
      <c r="IK619" s="12">
        <f t="shared" si="389"/>
        <v>0</v>
      </c>
      <c r="IL619" s="12" t="s">
        <v>723</v>
      </c>
      <c r="IM619" s="12"/>
      <c r="IN619" s="12"/>
      <c r="IO619" s="12"/>
      <c r="IP619" s="12"/>
      <c r="IQ619" s="12" t="str">
        <f t="shared" si="390"/>
        <v>0. Unaware</v>
      </c>
      <c r="IR619" s="12">
        <f t="shared" si="391"/>
        <v>0</v>
      </c>
      <c r="IS619" s="12" t="s">
        <v>456</v>
      </c>
      <c r="IT619" s="12"/>
      <c r="IU619" s="12"/>
      <c r="IV619" s="12"/>
      <c r="IW619" s="11" t="str">
        <f t="shared" si="392"/>
        <v>0. Harmful</v>
      </c>
      <c r="IX619" s="12">
        <f t="shared" si="393"/>
        <v>0</v>
      </c>
      <c r="IY619" s="12" t="s">
        <v>338</v>
      </c>
      <c r="IZ619" s="12" t="s">
        <v>457</v>
      </c>
      <c r="JA619" s="12">
        <v>2</v>
      </c>
      <c r="JB619" s="12" t="s">
        <v>724</v>
      </c>
      <c r="JC619" s="12"/>
      <c r="JD619" s="12"/>
      <c r="JE619" s="12" t="s">
        <v>420</v>
      </c>
      <c r="JF619" s="12"/>
      <c r="JG619" s="12" t="s">
        <v>2285</v>
      </c>
      <c r="JH619" s="12" t="s">
        <v>3440</v>
      </c>
      <c r="JI619" s="12" t="s">
        <v>3441</v>
      </c>
      <c r="JJ619" s="12"/>
      <c r="JK619" s="12" t="s">
        <v>10337</v>
      </c>
      <c r="JL619" s="12" t="s">
        <v>10338</v>
      </c>
      <c r="JM619" s="12"/>
      <c r="JN619" s="12" t="s">
        <v>10339</v>
      </c>
      <c r="JO619" s="12"/>
      <c r="JP619" s="15">
        <f t="shared" si="394"/>
        <v>339</v>
      </c>
      <c r="JQ619" s="15">
        <f t="shared" si="395"/>
        <v>811</v>
      </c>
      <c r="JR619" s="279">
        <f t="shared" si="396"/>
        <v>2.3923303834808261</v>
      </c>
      <c r="JS619" s="17">
        <f t="shared" si="397"/>
        <v>0.75516224188790559</v>
      </c>
      <c r="JT619" s="18">
        <f t="shared" si="398"/>
        <v>0.48951911220715166</v>
      </c>
      <c r="JU619" s="280">
        <f t="shared" si="399"/>
        <v>256</v>
      </c>
      <c r="JV619" s="280">
        <f t="shared" si="400"/>
        <v>397</v>
      </c>
      <c r="JW619" s="319" t="str">
        <f t="shared" si="401"/>
        <v/>
      </c>
      <c r="JX619" s="15">
        <f t="shared" si="402"/>
        <v>0</v>
      </c>
      <c r="JY619" s="15">
        <f t="shared" si="403"/>
        <v>0</v>
      </c>
      <c r="JZ619" s="19" t="str">
        <f t="shared" si="404"/>
        <v/>
      </c>
      <c r="KA619" s="52" t="str">
        <f t="shared" si="405"/>
        <v/>
      </c>
      <c r="KB619" s="15">
        <f t="shared" si="406"/>
        <v>0</v>
      </c>
      <c r="KC619" s="15">
        <f t="shared" si="407"/>
        <v>0</v>
      </c>
      <c r="KD619" s="20" t="str">
        <f t="shared" si="408"/>
        <v/>
      </c>
      <c r="KE619" s="52" t="str">
        <f t="shared" si="409"/>
        <v/>
      </c>
      <c r="KF619" s="15">
        <f t="shared" si="410"/>
        <v>0</v>
      </c>
      <c r="KG619" s="15">
        <f t="shared" si="411"/>
        <v>0</v>
      </c>
      <c r="KH619" s="21" t="str">
        <f t="shared" si="412"/>
        <v/>
      </c>
      <c r="KI619" s="52" t="str">
        <f t="shared" si="413"/>
        <v/>
      </c>
      <c r="KJ619" s="15">
        <f t="shared" si="414"/>
        <v>0</v>
      </c>
      <c r="KK619" s="15">
        <f t="shared" si="415"/>
        <v>0</v>
      </c>
      <c r="KL619" s="19" t="str">
        <f t="shared" si="416"/>
        <v/>
      </c>
      <c r="KM619" s="52">
        <f t="shared" si="417"/>
        <v>1</v>
      </c>
      <c r="KN619" s="22">
        <f t="shared" si="418"/>
        <v>339</v>
      </c>
      <c r="KO619" s="22">
        <f t="shared" si="419"/>
        <v>811</v>
      </c>
      <c r="KP619" s="19">
        <f t="shared" si="420"/>
        <v>2.3923303834808261</v>
      </c>
      <c r="KQ619" s="11" t="str">
        <f t="shared" si="421"/>
        <v>0. Harmful</v>
      </c>
      <c r="KR619" s="11" t="str">
        <f t="shared" si="422"/>
        <v>0. Unaware</v>
      </c>
      <c r="KS619" s="11" t="str">
        <f t="shared" si="423"/>
        <v>0. Harmful</v>
      </c>
      <c r="KT619" s="11" t="str">
        <f t="shared" si="424"/>
        <v>It did not develop any specific innovation</v>
      </c>
      <c r="KU619" s="11" t="str">
        <f t="shared" si="425"/>
        <v>Little or no advocacy</v>
      </c>
      <c r="KV619" s="11" t="str">
        <f t="shared" si="426"/>
        <v>It did not take tested solutions to scale</v>
      </c>
      <c r="KW619" s="11" t="str">
        <f t="shared" si="427"/>
        <v>Philippines - Lendwithcare</v>
      </c>
      <c r="KX619" s="11" t="str">
        <f t="shared" si="428"/>
        <v>Lendwithcare</v>
      </c>
      <c r="KY619" s="11" t="str">
        <f t="shared" si="429"/>
        <v>Philippines</v>
      </c>
      <c r="KZ619" s="12">
        <v>619</v>
      </c>
    </row>
    <row r="620" spans="1:312" x14ac:dyDescent="0.3">
      <c r="A620" s="12" t="s">
        <v>10263</v>
      </c>
      <c r="B620" s="12" t="s">
        <v>306</v>
      </c>
      <c r="C620" s="12"/>
      <c r="D620" s="12" t="s">
        <v>10316</v>
      </c>
      <c r="E620" s="277" t="str">
        <f t="shared" si="387"/>
        <v>Philippines</v>
      </c>
      <c r="F620" s="12"/>
      <c r="G620" s="12" t="s">
        <v>425</v>
      </c>
      <c r="H620" s="12" t="s">
        <v>310</v>
      </c>
      <c r="I620" s="12" t="s">
        <v>426</v>
      </c>
      <c r="J620" s="281" t="s">
        <v>14675</v>
      </c>
      <c r="K620" s="12"/>
      <c r="L620" s="12"/>
      <c r="M620" s="12"/>
      <c r="N620" s="12"/>
      <c r="O620" s="12"/>
      <c r="P620" s="12"/>
      <c r="Q620" s="12"/>
      <c r="R620" s="12"/>
      <c r="S620" s="12"/>
      <c r="T620" s="12"/>
      <c r="U620" s="12"/>
      <c r="V620" s="12"/>
      <c r="W620" s="12"/>
      <c r="X620" s="12"/>
      <c r="Y620" s="12"/>
      <c r="Z620" s="12"/>
      <c r="AA620" s="12"/>
      <c r="AB620" s="12"/>
      <c r="AC620" s="12"/>
      <c r="AD620" s="12"/>
      <c r="BD620" s="13">
        <v>42370</v>
      </c>
      <c r="BE620" s="13">
        <v>44166</v>
      </c>
      <c r="BF620" s="12"/>
      <c r="BG620" s="12" t="s">
        <v>312</v>
      </c>
      <c r="BH620" s="14">
        <v>1197015.1299999999</v>
      </c>
      <c r="BI620" s="12" t="s">
        <v>10317</v>
      </c>
      <c r="BJ620" s="12" t="s">
        <v>10318</v>
      </c>
      <c r="BK620" s="12" t="s">
        <v>10319</v>
      </c>
      <c r="BL620" s="12" t="s">
        <v>10320</v>
      </c>
      <c r="BM620" s="12" t="s">
        <v>444</v>
      </c>
      <c r="BN620" s="12" t="s">
        <v>10321</v>
      </c>
      <c r="BO620" s="12" t="s">
        <v>319</v>
      </c>
      <c r="BP620" s="12" t="s">
        <v>320</v>
      </c>
      <c r="BQ620" s="12" t="s">
        <v>319</v>
      </c>
      <c r="BR620" s="12" t="s">
        <v>10322</v>
      </c>
      <c r="BS620" s="12" t="s">
        <v>322</v>
      </c>
      <c r="BT620" s="12" t="s">
        <v>10323</v>
      </c>
      <c r="BU620" s="12" t="s">
        <v>10324</v>
      </c>
      <c r="BV620" s="14">
        <v>196</v>
      </c>
      <c r="BW620" s="14">
        <v>222</v>
      </c>
      <c r="BX620" s="14">
        <v>418</v>
      </c>
      <c r="BY620" s="14">
        <v>532531</v>
      </c>
      <c r="BZ620" s="14">
        <v>600514</v>
      </c>
      <c r="CA620" s="14">
        <v>1133045</v>
      </c>
      <c r="CB620" s="12" t="s">
        <v>10325</v>
      </c>
      <c r="CD620" s="14"/>
      <c r="CE620" s="14"/>
      <c r="CF620" s="14"/>
      <c r="CG620" s="14"/>
      <c r="CH620" s="14"/>
      <c r="CI620" s="14"/>
      <c r="CJ620" s="12"/>
      <c r="CK620" s="14"/>
      <c r="CL620" s="16"/>
      <c r="CM620" s="14"/>
      <c r="CN620" s="12"/>
      <c r="CO620" s="14"/>
      <c r="CP620" s="16"/>
      <c r="CQ620" s="14"/>
      <c r="CR620" s="12"/>
      <c r="CS620" s="14"/>
      <c r="CT620" s="16"/>
      <c r="CU620" s="14"/>
      <c r="CV620" s="12"/>
      <c r="CW620" s="14"/>
      <c r="CX620" s="16"/>
      <c r="CY620" s="14"/>
      <c r="CZ620" s="12"/>
      <c r="DA620" s="14"/>
      <c r="DB620" s="16"/>
      <c r="DC620" s="14"/>
      <c r="DD620" s="12"/>
      <c r="DE620" s="14"/>
      <c r="DF620" s="16"/>
      <c r="DG620" s="14"/>
      <c r="DH620" s="12"/>
      <c r="DI620" s="14"/>
      <c r="DJ620" s="16"/>
      <c r="DK620" s="14"/>
      <c r="DL620" s="12"/>
      <c r="DM620" s="14"/>
      <c r="DN620" s="16"/>
      <c r="DO620" s="14"/>
      <c r="DP620" s="12"/>
      <c r="DQ620" s="14"/>
      <c r="DR620" s="16"/>
      <c r="DS620" s="14"/>
      <c r="DT620" s="12"/>
      <c r="DU620" s="14"/>
      <c r="DV620" s="16"/>
      <c r="DW620" s="14"/>
      <c r="DX620" s="12"/>
      <c r="DY620" s="14"/>
      <c r="DZ620" s="16"/>
      <c r="EA620" s="14"/>
      <c r="EB620" s="12"/>
      <c r="EC620" s="14"/>
      <c r="ED620" s="16"/>
      <c r="EE620" s="14"/>
      <c r="EF620" s="12"/>
      <c r="EG620" s="12"/>
      <c r="EH620" s="14"/>
      <c r="EI620" s="16"/>
      <c r="EJ620" s="14"/>
      <c r="EK620" s="14"/>
      <c r="EL620" s="14"/>
      <c r="EM620" s="14">
        <v>52</v>
      </c>
      <c r="EN620" s="14"/>
      <c r="EO620" s="14"/>
      <c r="EP620" s="14">
        <v>32900</v>
      </c>
      <c r="EQ620" s="12"/>
      <c r="ER620" s="14"/>
      <c r="ES620" s="16"/>
      <c r="ET620" s="14"/>
      <c r="EU620" s="11" t="s">
        <v>320</v>
      </c>
      <c r="EV620" s="14">
        <v>52</v>
      </c>
      <c r="EW620" s="16">
        <v>0.49</v>
      </c>
      <c r="EX620" s="14">
        <v>32900</v>
      </c>
      <c r="EY620" s="12"/>
      <c r="EZ620" s="14"/>
      <c r="FA620" s="16"/>
      <c r="FB620" s="14"/>
      <c r="FC620" s="12" t="s">
        <v>320</v>
      </c>
      <c r="FD620" s="14">
        <v>52</v>
      </c>
      <c r="FE620" s="16">
        <v>0.49</v>
      </c>
      <c r="FF620" s="14">
        <v>32900</v>
      </c>
      <c r="FG620" s="12"/>
      <c r="FH620" s="14"/>
      <c r="FI620" s="16"/>
      <c r="FJ620" s="14"/>
      <c r="FK620" s="12"/>
      <c r="FL620" s="14"/>
      <c r="FM620" s="16"/>
      <c r="FN620" s="14"/>
      <c r="FO620" s="12"/>
      <c r="FP620" s="14"/>
      <c r="FQ620" s="16"/>
      <c r="FR620" s="14"/>
      <c r="FS620" s="12"/>
      <c r="FT620" s="14"/>
      <c r="FU620" s="16"/>
      <c r="FV620" s="14"/>
      <c r="FW620" s="12"/>
      <c r="FX620" s="14"/>
      <c r="FY620" s="16"/>
      <c r="FZ620" s="14"/>
      <c r="GA620" s="12"/>
      <c r="GB620" s="14"/>
      <c r="GC620" s="16"/>
      <c r="GD620" s="14"/>
      <c r="GE620" s="12"/>
      <c r="GF620" s="14"/>
      <c r="GG620" s="16"/>
      <c r="GH620" s="14"/>
      <c r="GI620" s="11" t="s">
        <v>320</v>
      </c>
      <c r="GJ620" s="14">
        <v>52</v>
      </c>
      <c r="GK620" s="16">
        <v>0.49</v>
      </c>
      <c r="GL620" s="14">
        <v>32900</v>
      </c>
      <c r="GM620" s="12"/>
      <c r="GN620" s="14"/>
      <c r="GO620" s="16"/>
      <c r="GP620" s="14"/>
      <c r="GQ620" s="12"/>
      <c r="GR620" s="14"/>
      <c r="GS620" s="16"/>
      <c r="GT620" s="14"/>
      <c r="GU620" s="12"/>
      <c r="GV620" s="14"/>
      <c r="GW620" s="16"/>
      <c r="GX620" s="14"/>
      <c r="GY620" s="12"/>
      <c r="GZ620" s="14"/>
      <c r="HA620" s="16"/>
      <c r="HB620" s="14"/>
      <c r="HC620" s="12"/>
      <c r="HD620" s="12"/>
      <c r="HE620" s="14"/>
      <c r="HF620" s="16"/>
      <c r="HG620" s="14"/>
      <c r="HH620" s="12" t="s">
        <v>319</v>
      </c>
      <c r="HI620" s="12"/>
      <c r="HJ620" s="12"/>
      <c r="HK620" s="12" t="s">
        <v>319</v>
      </c>
      <c r="HL620" s="12" t="s">
        <v>319</v>
      </c>
      <c r="HM620" s="12"/>
      <c r="HN620" s="12"/>
      <c r="HO620" s="12"/>
      <c r="HP620" s="12" t="s">
        <v>330</v>
      </c>
      <c r="HQ620" s="12" t="s">
        <v>319</v>
      </c>
      <c r="HR620" s="12" t="s">
        <v>319</v>
      </c>
      <c r="HS620" s="12" t="s">
        <v>320</v>
      </c>
      <c r="HT620" s="12" t="s">
        <v>320</v>
      </c>
      <c r="HU620" s="12" t="s">
        <v>319</v>
      </c>
      <c r="HV620" s="12" t="s">
        <v>319</v>
      </c>
      <c r="HW620" s="12" t="s">
        <v>320</v>
      </c>
      <c r="HX620" s="12" t="s">
        <v>319</v>
      </c>
      <c r="HY620" s="12"/>
      <c r="HZ620" s="12" t="s">
        <v>363</v>
      </c>
      <c r="IA620" s="12"/>
      <c r="IB620" s="12" t="s">
        <v>333</v>
      </c>
      <c r="IC620" s="12"/>
      <c r="ID620" s="12" t="s">
        <v>364</v>
      </c>
      <c r="IE620" s="12" t="s">
        <v>335</v>
      </c>
      <c r="IF620" s="12" t="s">
        <v>319</v>
      </c>
      <c r="IG620" s="12" t="s">
        <v>320</v>
      </c>
      <c r="IH620" s="12" t="s">
        <v>320</v>
      </c>
      <c r="II620" s="12" t="s">
        <v>319</v>
      </c>
      <c r="IJ620" s="12" t="str">
        <f t="shared" si="388"/>
        <v>1. Neutral</v>
      </c>
      <c r="IK620" s="12">
        <f t="shared" si="389"/>
        <v>2</v>
      </c>
      <c r="IL620" s="11" t="s">
        <v>621</v>
      </c>
      <c r="IM620" s="12" t="s">
        <v>320</v>
      </c>
      <c r="IN620" s="12" t="s">
        <v>320</v>
      </c>
      <c r="IO620" s="12" t="s">
        <v>320</v>
      </c>
      <c r="IP620" s="12" t="s">
        <v>319</v>
      </c>
      <c r="IQ620" s="12" t="str">
        <f t="shared" si="390"/>
        <v>3. Responsive</v>
      </c>
      <c r="IR620" s="12">
        <f t="shared" si="391"/>
        <v>3</v>
      </c>
      <c r="IS620" s="12" t="s">
        <v>622</v>
      </c>
      <c r="IT620" s="12" t="s">
        <v>320</v>
      </c>
      <c r="IU620" s="12" t="s">
        <v>320</v>
      </c>
      <c r="IV620" s="12" t="s">
        <v>320</v>
      </c>
      <c r="IW620" s="11" t="str">
        <f t="shared" si="392"/>
        <v>4. Transformative</v>
      </c>
      <c r="IX620" s="12">
        <f t="shared" si="393"/>
        <v>3</v>
      </c>
      <c r="IY620" s="12" t="s">
        <v>758</v>
      </c>
      <c r="IZ620" s="12" t="s">
        <v>457</v>
      </c>
      <c r="JA620" s="12">
        <v>25</v>
      </c>
      <c r="JB620" s="12" t="s">
        <v>831</v>
      </c>
      <c r="JC620" s="12" t="s">
        <v>623</v>
      </c>
      <c r="JD620" s="12" t="s">
        <v>433</v>
      </c>
      <c r="JE620" s="12" t="s">
        <v>340</v>
      </c>
      <c r="JF620" s="12" t="s">
        <v>10326</v>
      </c>
      <c r="JG620" s="12" t="s">
        <v>10327</v>
      </c>
      <c r="JH620" s="12" t="s">
        <v>10328</v>
      </c>
      <c r="JI620" s="12" t="s">
        <v>10329</v>
      </c>
      <c r="JJ620" s="12" t="s">
        <v>10330</v>
      </c>
      <c r="JK620" s="12" t="s">
        <v>10331</v>
      </c>
      <c r="JL620" s="12" t="s">
        <v>10332</v>
      </c>
      <c r="JM620" s="12" t="s">
        <v>10333</v>
      </c>
      <c r="JN620" s="12"/>
      <c r="JO620" s="12"/>
      <c r="JP620" s="15">
        <f t="shared" si="394"/>
        <v>52</v>
      </c>
      <c r="JQ620" s="15">
        <f t="shared" si="395"/>
        <v>32900</v>
      </c>
      <c r="JR620" s="279">
        <f t="shared" si="396"/>
        <v>632.69230769230774</v>
      </c>
      <c r="JS620" s="17">
        <f t="shared" si="397"/>
        <v>0</v>
      </c>
      <c r="JT620" s="18">
        <f t="shared" si="398"/>
        <v>0</v>
      </c>
      <c r="JU620" s="280">
        <f t="shared" si="399"/>
        <v>0</v>
      </c>
      <c r="JV620" s="280">
        <f t="shared" si="400"/>
        <v>0</v>
      </c>
      <c r="JW620" s="319" t="str">
        <f t="shared" si="401"/>
        <v/>
      </c>
      <c r="JX620" s="15">
        <f t="shared" si="402"/>
        <v>0</v>
      </c>
      <c r="JY620" s="15">
        <f t="shared" si="403"/>
        <v>0</v>
      </c>
      <c r="JZ620" s="19" t="str">
        <f t="shared" si="404"/>
        <v/>
      </c>
      <c r="KA620" s="52">
        <f t="shared" si="405"/>
        <v>1</v>
      </c>
      <c r="KB620" s="15">
        <f t="shared" si="406"/>
        <v>52</v>
      </c>
      <c r="KC620" s="15">
        <f t="shared" si="407"/>
        <v>32900</v>
      </c>
      <c r="KD620" s="20">
        <f t="shared" si="408"/>
        <v>632.69230769230774</v>
      </c>
      <c r="KE620" s="52" t="str">
        <f t="shared" si="409"/>
        <v/>
      </c>
      <c r="KF620" s="15">
        <f t="shared" si="410"/>
        <v>0</v>
      </c>
      <c r="KG620" s="15">
        <f t="shared" si="411"/>
        <v>0</v>
      </c>
      <c r="KH620" s="21" t="str">
        <f t="shared" si="412"/>
        <v/>
      </c>
      <c r="KI620" s="52" t="str">
        <f t="shared" si="413"/>
        <v/>
      </c>
      <c r="KJ620" s="15">
        <f t="shared" si="414"/>
        <v>0</v>
      </c>
      <c r="KK620" s="15">
        <f t="shared" si="415"/>
        <v>0</v>
      </c>
      <c r="KL620" s="19" t="str">
        <f t="shared" si="416"/>
        <v/>
      </c>
      <c r="KM620" s="52" t="str">
        <f t="shared" si="417"/>
        <v/>
      </c>
      <c r="KN620" s="22">
        <f t="shared" si="418"/>
        <v>0</v>
      </c>
      <c r="KO620" s="22">
        <f t="shared" si="419"/>
        <v>0</v>
      </c>
      <c r="KP620" s="19" t="str">
        <f t="shared" si="420"/>
        <v/>
      </c>
      <c r="KQ620" s="11" t="str">
        <f t="shared" si="421"/>
        <v>1. Neutral</v>
      </c>
      <c r="KR620" s="11" t="str">
        <f t="shared" si="422"/>
        <v>3. Responsive</v>
      </c>
      <c r="KS620" s="11" t="str">
        <f t="shared" si="423"/>
        <v>4. Transformative</v>
      </c>
      <c r="KT620" s="11" t="str">
        <f t="shared" si="424"/>
        <v>It did not develop any specific innovation</v>
      </c>
      <c r="KU620" s="11" t="str">
        <f t="shared" si="425"/>
        <v>Moderate advocacy</v>
      </c>
      <c r="KV620" s="11" t="str">
        <f t="shared" si="426"/>
        <v>It did not take tested solutions to scale</v>
      </c>
      <c r="KW620" s="11" t="str">
        <f t="shared" si="427"/>
        <v>Philippines - Partners for Resilience: Strategic Partnership (PFR SP)</v>
      </c>
      <c r="KX620" s="11" t="str">
        <f t="shared" si="428"/>
        <v>Partners for Resilience: Strategic Partnership (PFR SP)</v>
      </c>
      <c r="KY620" s="11" t="str">
        <f t="shared" si="429"/>
        <v>Philippines</v>
      </c>
      <c r="KZ620" s="12">
        <v>620</v>
      </c>
    </row>
    <row r="621" spans="1:312" x14ac:dyDescent="0.3">
      <c r="A621" s="12" t="s">
        <v>10263</v>
      </c>
      <c r="B621" s="12" t="s">
        <v>306</v>
      </c>
      <c r="C621" s="12"/>
      <c r="D621" s="12" t="s">
        <v>10264</v>
      </c>
      <c r="E621" s="277" t="str">
        <f t="shared" si="387"/>
        <v>Philippines</v>
      </c>
      <c r="F621" s="12"/>
      <c r="G621" s="12" t="s">
        <v>376</v>
      </c>
      <c r="H621" s="12" t="s">
        <v>310</v>
      </c>
      <c r="I621" s="12" t="s">
        <v>377</v>
      </c>
      <c r="J621" s="281" t="s">
        <v>10265</v>
      </c>
      <c r="K621" s="12"/>
      <c r="L621" s="12" t="s">
        <v>379</v>
      </c>
      <c r="M621" s="12" t="s">
        <v>383</v>
      </c>
      <c r="N621" s="12" t="s">
        <v>384</v>
      </c>
      <c r="O621" s="278" t="s">
        <v>10266</v>
      </c>
      <c r="P621" s="12"/>
      <c r="Q621" s="12"/>
      <c r="R621" s="12"/>
      <c r="S621" s="12"/>
      <c r="T621" s="12"/>
      <c r="U621" s="12"/>
      <c r="V621" s="12"/>
      <c r="W621" s="12"/>
      <c r="X621" s="12"/>
      <c r="Y621" s="12"/>
      <c r="Z621" s="12"/>
      <c r="AA621" s="12"/>
      <c r="AB621" s="12"/>
      <c r="AC621" s="12"/>
      <c r="AD621" s="12"/>
      <c r="BD621" s="13">
        <v>42675</v>
      </c>
      <c r="BE621" s="13">
        <v>42856</v>
      </c>
      <c r="BF621" s="12"/>
      <c r="BG621" s="12" t="s">
        <v>817</v>
      </c>
      <c r="BH621" s="14"/>
      <c r="BI621" s="12" t="s">
        <v>10267</v>
      </c>
      <c r="BJ621" s="12" t="s">
        <v>10268</v>
      </c>
      <c r="BK621" s="12" t="s">
        <v>10269</v>
      </c>
      <c r="BL621" s="12"/>
      <c r="BM621" s="12"/>
      <c r="BN621" s="12"/>
      <c r="BO621" s="12" t="s">
        <v>320</v>
      </c>
      <c r="BP621" s="12" t="s">
        <v>320</v>
      </c>
      <c r="BQ621" s="12" t="s">
        <v>320</v>
      </c>
      <c r="BR621" s="12" t="s">
        <v>10270</v>
      </c>
      <c r="BS621" s="12" t="s">
        <v>357</v>
      </c>
      <c r="BT621" s="12" t="s">
        <v>10271</v>
      </c>
      <c r="BU621" s="12" t="s">
        <v>10272</v>
      </c>
      <c r="BV621" s="14">
        <v>1536</v>
      </c>
      <c r="BW621" s="14">
        <v>1664</v>
      </c>
      <c r="BX621" s="14">
        <v>3200</v>
      </c>
      <c r="BY621" s="14"/>
      <c r="BZ621" s="14"/>
      <c r="CA621" s="14"/>
      <c r="CB621" s="12" t="s">
        <v>10273</v>
      </c>
      <c r="CD621" s="14">
        <v>7465</v>
      </c>
      <c r="CE621" s="14">
        <v>8087</v>
      </c>
      <c r="CF621" s="14">
        <v>15552</v>
      </c>
      <c r="CG621" s="14"/>
      <c r="CH621" s="14"/>
      <c r="CI621" s="14"/>
      <c r="CJ621" s="12" t="s">
        <v>319</v>
      </c>
      <c r="CK621" s="14"/>
      <c r="CL621" s="16"/>
      <c r="CM621" s="14"/>
      <c r="CN621" s="12" t="s">
        <v>319</v>
      </c>
      <c r="CO621" s="14"/>
      <c r="CP621" s="16"/>
      <c r="CQ621" s="14"/>
      <c r="CR621" s="12" t="s">
        <v>319</v>
      </c>
      <c r="CS621" s="14"/>
      <c r="CT621" s="16"/>
      <c r="CU621" s="14"/>
      <c r="CV621" s="12" t="s">
        <v>319</v>
      </c>
      <c r="CW621" s="14"/>
      <c r="CX621" s="16"/>
      <c r="CY621" s="14"/>
      <c r="CZ621" s="12" t="s">
        <v>319</v>
      </c>
      <c r="DA621" s="14"/>
      <c r="DB621" s="16"/>
      <c r="DC621" s="14"/>
      <c r="DD621" s="12" t="s">
        <v>319</v>
      </c>
      <c r="DE621" s="14"/>
      <c r="DF621" s="16"/>
      <c r="DG621" s="14"/>
      <c r="DH621" s="12" t="s">
        <v>319</v>
      </c>
      <c r="DI621" s="14"/>
      <c r="DJ621" s="16"/>
      <c r="DK621" s="14"/>
      <c r="DL621" s="11" t="s">
        <v>320</v>
      </c>
      <c r="DM621" s="14">
        <v>6060</v>
      </c>
      <c r="DN621" s="16">
        <v>0.48</v>
      </c>
      <c r="DO621" s="14"/>
      <c r="DP621" s="12" t="s">
        <v>319</v>
      </c>
      <c r="DQ621" s="14"/>
      <c r="DR621" s="16"/>
      <c r="DS621" s="14"/>
      <c r="DT621" s="12" t="s">
        <v>319</v>
      </c>
      <c r="DU621" s="14"/>
      <c r="DV621" s="16"/>
      <c r="DW621" s="14"/>
      <c r="DX621" s="12" t="s">
        <v>320</v>
      </c>
      <c r="DY621" s="14">
        <v>9492</v>
      </c>
      <c r="DZ621" s="16">
        <v>0.48</v>
      </c>
      <c r="EA621" s="14"/>
      <c r="EB621" s="12" t="s">
        <v>319</v>
      </c>
      <c r="EC621" s="14"/>
      <c r="ED621" s="16"/>
      <c r="EE621" s="14"/>
      <c r="EF621" s="12"/>
      <c r="EG621" s="12"/>
      <c r="EH621" s="14"/>
      <c r="EI621" s="16"/>
      <c r="EJ621" s="14"/>
      <c r="EK621" s="14"/>
      <c r="EL621" s="14"/>
      <c r="EM621" s="14"/>
      <c r="EN621" s="14"/>
      <c r="EO621" s="14"/>
      <c r="EP621" s="14"/>
      <c r="EQ621" s="12"/>
      <c r="ER621" s="14"/>
      <c r="ES621" s="16"/>
      <c r="ET621" s="14"/>
      <c r="EU621" s="12"/>
      <c r="EV621" s="14"/>
      <c r="EW621" s="16"/>
      <c r="EX621" s="14"/>
      <c r="EY621" s="12"/>
      <c r="EZ621" s="14"/>
      <c r="FA621" s="16"/>
      <c r="FB621" s="14"/>
      <c r="FC621" s="12"/>
      <c r="FD621" s="14"/>
      <c r="FE621" s="16"/>
      <c r="FF621" s="14"/>
      <c r="FG621" s="12"/>
      <c r="FH621" s="14"/>
      <c r="FI621" s="16"/>
      <c r="FJ621" s="14"/>
      <c r="FK621" s="12"/>
      <c r="FL621" s="14"/>
      <c r="FM621" s="16"/>
      <c r="FN621" s="14"/>
      <c r="FO621" s="12"/>
      <c r="FP621" s="14"/>
      <c r="FQ621" s="16"/>
      <c r="FR621" s="14"/>
      <c r="FS621" s="12"/>
      <c r="FT621" s="14"/>
      <c r="FU621" s="16"/>
      <c r="FV621" s="14"/>
      <c r="FW621" s="12"/>
      <c r="FX621" s="14"/>
      <c r="FY621" s="16"/>
      <c r="FZ621" s="14"/>
      <c r="GA621" s="12"/>
      <c r="GB621" s="14"/>
      <c r="GC621" s="16"/>
      <c r="GD621" s="14"/>
      <c r="GE621" s="12"/>
      <c r="GF621" s="14"/>
      <c r="GG621" s="16"/>
      <c r="GH621" s="14"/>
      <c r="GI621" s="12"/>
      <c r="GJ621" s="14"/>
      <c r="GK621" s="16"/>
      <c r="GL621" s="14"/>
      <c r="GM621" s="12"/>
      <c r="GN621" s="14"/>
      <c r="GO621" s="16"/>
      <c r="GP621" s="14"/>
      <c r="GQ621" s="12"/>
      <c r="GR621" s="14"/>
      <c r="GS621" s="16"/>
      <c r="GT621" s="14"/>
      <c r="GU621" s="12"/>
      <c r="GV621" s="14"/>
      <c r="GW621" s="16"/>
      <c r="GX621" s="14"/>
      <c r="GY621" s="12"/>
      <c r="GZ621" s="14"/>
      <c r="HA621" s="16"/>
      <c r="HB621" s="14"/>
      <c r="HC621" s="12"/>
      <c r="HD621" s="12"/>
      <c r="HE621" s="14"/>
      <c r="HF621" s="16"/>
      <c r="HG621" s="14"/>
      <c r="HH621" s="12" t="s">
        <v>319</v>
      </c>
      <c r="HI621" s="12"/>
      <c r="HJ621" s="12"/>
      <c r="HK621" s="12" t="s">
        <v>319</v>
      </c>
      <c r="HL621" s="12" t="s">
        <v>319</v>
      </c>
      <c r="HM621" s="12"/>
      <c r="HN621" s="12"/>
      <c r="HO621" s="12" t="s">
        <v>10274</v>
      </c>
      <c r="HP621" s="12" t="s">
        <v>330</v>
      </c>
      <c r="HQ621" s="12" t="s">
        <v>319</v>
      </c>
      <c r="HR621" s="12" t="s">
        <v>319</v>
      </c>
      <c r="HS621" s="12" t="s">
        <v>320</v>
      </c>
      <c r="HT621" s="12" t="s">
        <v>319</v>
      </c>
      <c r="HU621" s="12" t="s">
        <v>319</v>
      </c>
      <c r="HV621" s="12" t="s">
        <v>319</v>
      </c>
      <c r="HW621" s="12" t="s">
        <v>319</v>
      </c>
      <c r="HX621" s="12" t="s">
        <v>320</v>
      </c>
      <c r="HY621" s="12" t="s">
        <v>10275</v>
      </c>
      <c r="HZ621" s="12" t="s">
        <v>394</v>
      </c>
      <c r="IA621" s="12" t="s">
        <v>10276</v>
      </c>
      <c r="IB621" s="12" t="s">
        <v>396</v>
      </c>
      <c r="IC621" s="12"/>
      <c r="ID621" s="12" t="s">
        <v>334</v>
      </c>
      <c r="IE621" s="12" t="s">
        <v>335</v>
      </c>
      <c r="IF621" s="12" t="s">
        <v>320</v>
      </c>
      <c r="IG621" s="12" t="s">
        <v>320</v>
      </c>
      <c r="IH621" s="12" t="s">
        <v>320</v>
      </c>
      <c r="II621" s="12" t="s">
        <v>320</v>
      </c>
      <c r="IJ621" s="12" t="str">
        <f t="shared" si="388"/>
        <v>2. Sensitive</v>
      </c>
      <c r="IK621" s="12">
        <f t="shared" si="389"/>
        <v>4</v>
      </c>
      <c r="IL621" s="12" t="s">
        <v>336</v>
      </c>
      <c r="IM621" s="12" t="s">
        <v>320</v>
      </c>
      <c r="IN621" s="12" t="s">
        <v>320</v>
      </c>
      <c r="IO621" s="12" t="s">
        <v>320</v>
      </c>
      <c r="IP621" s="12" t="s">
        <v>320</v>
      </c>
      <c r="IQ621" s="12" t="str">
        <f t="shared" si="390"/>
        <v>2. Accommodating</v>
      </c>
      <c r="IR621" s="12">
        <f t="shared" si="391"/>
        <v>4</v>
      </c>
      <c r="IS621" s="12" t="s">
        <v>622</v>
      </c>
      <c r="IT621" s="12" t="s">
        <v>320</v>
      </c>
      <c r="IU621" s="12" t="s">
        <v>320</v>
      </c>
      <c r="IV621" s="12" t="s">
        <v>320</v>
      </c>
      <c r="IW621" s="11" t="str">
        <f t="shared" si="392"/>
        <v>4. Transformative</v>
      </c>
      <c r="IX621" s="12">
        <f t="shared" si="393"/>
        <v>3</v>
      </c>
      <c r="IY621" s="12" t="s">
        <v>419</v>
      </c>
      <c r="IZ621" s="12" t="s">
        <v>457</v>
      </c>
      <c r="JA621" s="12">
        <v>3</v>
      </c>
      <c r="JB621" s="12" t="s">
        <v>433</v>
      </c>
      <c r="JC621" s="12"/>
      <c r="JD621" s="12"/>
      <c r="JE621" s="12" t="s">
        <v>340</v>
      </c>
      <c r="JF621" s="12" t="s">
        <v>10277</v>
      </c>
      <c r="JG621" s="12" t="s">
        <v>10278</v>
      </c>
      <c r="JH621" s="12" t="s">
        <v>10279</v>
      </c>
      <c r="JI621" s="12" t="s">
        <v>10280</v>
      </c>
      <c r="JJ621" s="12" t="s">
        <v>10281</v>
      </c>
      <c r="JK621" s="12" t="s">
        <v>10282</v>
      </c>
      <c r="JL621" s="12" t="s">
        <v>10283</v>
      </c>
      <c r="JM621" s="12" t="s">
        <v>10284</v>
      </c>
      <c r="JN621" s="12"/>
      <c r="JO621" s="12"/>
      <c r="JP621" s="15">
        <f t="shared" si="394"/>
        <v>15552</v>
      </c>
      <c r="JQ621" s="15">
        <f t="shared" si="395"/>
        <v>0</v>
      </c>
      <c r="JR621" s="279">
        <f t="shared" si="396"/>
        <v>0</v>
      </c>
      <c r="JS621" s="17">
        <f t="shared" si="397"/>
        <v>0.4800025720164609</v>
      </c>
      <c r="JT621" s="18" t="str">
        <f t="shared" si="398"/>
        <v/>
      </c>
      <c r="JU621" s="280">
        <f t="shared" si="399"/>
        <v>7465</v>
      </c>
      <c r="JV621" s="280">
        <f t="shared" si="400"/>
        <v>0</v>
      </c>
      <c r="JW621" s="319">
        <f t="shared" si="401"/>
        <v>1</v>
      </c>
      <c r="JX621" s="15">
        <f t="shared" si="402"/>
        <v>15552</v>
      </c>
      <c r="JY621" s="15">
        <f t="shared" si="403"/>
        <v>0</v>
      </c>
      <c r="JZ621" s="19">
        <f t="shared" si="404"/>
        <v>0</v>
      </c>
      <c r="KA621" s="52">
        <f t="shared" si="405"/>
        <v>1</v>
      </c>
      <c r="KB621" s="15">
        <f t="shared" si="406"/>
        <v>6060</v>
      </c>
      <c r="KC621" s="15">
        <f t="shared" si="407"/>
        <v>0</v>
      </c>
      <c r="KD621" s="20">
        <f t="shared" si="408"/>
        <v>0</v>
      </c>
      <c r="KE621" s="52" t="str">
        <f t="shared" si="409"/>
        <v/>
      </c>
      <c r="KF621" s="15">
        <f t="shared" si="410"/>
        <v>0</v>
      </c>
      <c r="KG621" s="15">
        <f t="shared" si="411"/>
        <v>0</v>
      </c>
      <c r="KH621" s="21" t="str">
        <f t="shared" si="412"/>
        <v/>
      </c>
      <c r="KI621" s="52" t="str">
        <f t="shared" si="413"/>
        <v/>
      </c>
      <c r="KJ621" s="15">
        <f t="shared" si="414"/>
        <v>0</v>
      </c>
      <c r="KK621" s="15">
        <f t="shared" si="415"/>
        <v>0</v>
      </c>
      <c r="KL621" s="19" t="str">
        <f t="shared" si="416"/>
        <v/>
      </c>
      <c r="KM621" s="52" t="str">
        <f t="shared" si="417"/>
        <v/>
      </c>
      <c r="KN621" s="22">
        <f t="shared" si="418"/>
        <v>0</v>
      </c>
      <c r="KO621" s="22">
        <f t="shared" si="419"/>
        <v>0</v>
      </c>
      <c r="KP621" s="19" t="str">
        <f t="shared" si="420"/>
        <v/>
      </c>
      <c r="KQ621" s="11" t="str">
        <f t="shared" si="421"/>
        <v>2. Sensitive</v>
      </c>
      <c r="KR621" s="11" t="str">
        <f t="shared" si="422"/>
        <v>2. Accommodating</v>
      </c>
      <c r="KS621" s="11" t="str">
        <f t="shared" si="423"/>
        <v>4. Transformative</v>
      </c>
      <c r="KT621" s="11" t="str">
        <f t="shared" si="424"/>
        <v>It tested new ways for fighting poverty, but did not measure results of innovation</v>
      </c>
      <c r="KU621" s="11" t="str">
        <f t="shared" si="425"/>
        <v>Moderate advocacy</v>
      </c>
      <c r="KV621" s="11" t="str">
        <f t="shared" si="426"/>
        <v>It linked and worked with strategic alliances and partners to take tested and effective solutions to scale</v>
      </c>
      <c r="KW621" s="11" t="str">
        <f t="shared" si="427"/>
        <v>Philippines - Typhoon Haima Response</v>
      </c>
      <c r="KX621" s="11" t="str">
        <f t="shared" si="428"/>
        <v>Typhoon Haima Response</v>
      </c>
      <c r="KY621" s="11" t="str">
        <f t="shared" si="429"/>
        <v>Philippines</v>
      </c>
      <c r="KZ621" s="12">
        <v>621</v>
      </c>
    </row>
    <row r="622" spans="1:312" x14ac:dyDescent="0.3">
      <c r="A622" s="12" t="s">
        <v>10263</v>
      </c>
      <c r="B622" s="12" t="s">
        <v>306</v>
      </c>
      <c r="C622" s="12"/>
      <c r="D622" s="12" t="s">
        <v>10307</v>
      </c>
      <c r="E622" s="277" t="str">
        <f t="shared" si="387"/>
        <v>Philippines</v>
      </c>
      <c r="F622" s="12"/>
      <c r="G622" s="12" t="s">
        <v>1738</v>
      </c>
      <c r="H622" s="12" t="s">
        <v>380</v>
      </c>
      <c r="I622" s="12" t="s">
        <v>384</v>
      </c>
      <c r="J622" s="281" t="s">
        <v>14632</v>
      </c>
      <c r="K622" s="12"/>
      <c r="L622" s="12" t="s">
        <v>425</v>
      </c>
      <c r="M622" s="12" t="s">
        <v>383</v>
      </c>
      <c r="N622" s="12" t="s">
        <v>384</v>
      </c>
      <c r="O622" s="278" t="s">
        <v>3967</v>
      </c>
      <c r="P622" s="12"/>
      <c r="Q622" s="12"/>
      <c r="R622" s="12"/>
      <c r="S622" s="12"/>
      <c r="T622" s="12"/>
      <c r="U622" s="12"/>
      <c r="V622" s="12"/>
      <c r="W622" s="12"/>
      <c r="X622" s="12"/>
      <c r="Y622" s="12"/>
      <c r="Z622" s="12"/>
      <c r="AA622" s="12"/>
      <c r="AB622" s="12"/>
      <c r="AC622" s="12"/>
      <c r="AD622" s="12"/>
      <c r="BD622" s="13">
        <v>42036</v>
      </c>
      <c r="BE622" s="13">
        <v>42734</v>
      </c>
      <c r="BF622" s="12"/>
      <c r="BG622" s="12" t="s">
        <v>350</v>
      </c>
      <c r="BH622" s="14">
        <v>5178571.43</v>
      </c>
      <c r="BI622" s="12" t="s">
        <v>10286</v>
      </c>
      <c r="BJ622" s="12" t="s">
        <v>751</v>
      </c>
      <c r="BK622" s="12" t="s">
        <v>10287</v>
      </c>
      <c r="BL622" s="12" t="s">
        <v>10288</v>
      </c>
      <c r="BM622" s="12" t="s">
        <v>10289</v>
      </c>
      <c r="BN622" s="12" t="s">
        <v>10290</v>
      </c>
      <c r="BO622" s="11" t="s">
        <v>319</v>
      </c>
      <c r="BP622" s="11" t="s">
        <v>320</v>
      </c>
      <c r="BQ622" s="11" t="s">
        <v>319</v>
      </c>
      <c r="BR622" s="12" t="s">
        <v>10308</v>
      </c>
      <c r="BS622" s="12" t="s">
        <v>357</v>
      </c>
      <c r="BT622" s="12" t="s">
        <v>10309</v>
      </c>
      <c r="BU622" s="12" t="s">
        <v>10310</v>
      </c>
      <c r="BV622" s="14"/>
      <c r="BW622" s="14"/>
      <c r="BX622" s="14"/>
      <c r="BY622" s="14"/>
      <c r="BZ622" s="14"/>
      <c r="CA622" s="14"/>
      <c r="CB622" s="12" t="s">
        <v>10294</v>
      </c>
      <c r="CD622" s="14"/>
      <c r="CE622" s="14"/>
      <c r="CF622" s="14"/>
      <c r="CG622" s="14"/>
      <c r="CH622" s="14"/>
      <c r="CI622" s="14"/>
      <c r="CJ622" s="12"/>
      <c r="CK622" s="14"/>
      <c r="CL622" s="16"/>
      <c r="CM622" s="14"/>
      <c r="CN622" s="12"/>
      <c r="CO622" s="14"/>
      <c r="CP622" s="16"/>
      <c r="CQ622" s="14"/>
      <c r="CR622" s="12"/>
      <c r="CS622" s="14"/>
      <c r="CT622" s="16"/>
      <c r="CU622" s="14"/>
      <c r="CV622" s="12"/>
      <c r="CW622" s="14"/>
      <c r="CX622" s="16"/>
      <c r="CY622" s="14"/>
      <c r="CZ622" s="12"/>
      <c r="DA622" s="14"/>
      <c r="DB622" s="16"/>
      <c r="DC622" s="14"/>
      <c r="DD622" s="12"/>
      <c r="DE622" s="14"/>
      <c r="DF622" s="16"/>
      <c r="DG622" s="14"/>
      <c r="DH622" s="12"/>
      <c r="DI622" s="14"/>
      <c r="DJ622" s="16"/>
      <c r="DK622" s="14"/>
      <c r="DL622" s="12"/>
      <c r="DM622" s="14"/>
      <c r="DN622" s="16"/>
      <c r="DO622" s="14"/>
      <c r="DP622" s="12"/>
      <c r="DQ622" s="14"/>
      <c r="DR622" s="16"/>
      <c r="DS622" s="14"/>
      <c r="DT622" s="12"/>
      <c r="DU622" s="14"/>
      <c r="DV622" s="16"/>
      <c r="DW622" s="14"/>
      <c r="DX622" s="12"/>
      <c r="DY622" s="14"/>
      <c r="DZ622" s="16"/>
      <c r="EA622" s="14"/>
      <c r="EB622" s="12"/>
      <c r="EC622" s="14"/>
      <c r="ED622" s="16"/>
      <c r="EE622" s="14"/>
      <c r="EF622" s="12"/>
      <c r="EG622" s="12"/>
      <c r="EH622" s="14"/>
      <c r="EI622" s="16"/>
      <c r="EJ622" s="14"/>
      <c r="EK622" s="14">
        <v>17408</v>
      </c>
      <c r="EL622" s="14">
        <v>18424</v>
      </c>
      <c r="EM622" s="14">
        <v>35832</v>
      </c>
      <c r="EN622" s="14">
        <v>100978</v>
      </c>
      <c r="EO622" s="14">
        <v>105099</v>
      </c>
      <c r="EP622" s="14">
        <v>206077</v>
      </c>
      <c r="EQ622" s="12"/>
      <c r="ER622" s="14"/>
      <c r="ES622" s="16"/>
      <c r="ET622" s="14"/>
      <c r="EU622" s="12"/>
      <c r="EV622" s="14"/>
      <c r="EW622" s="16"/>
      <c r="EX622" s="14"/>
      <c r="EY622" s="12"/>
      <c r="EZ622" s="14"/>
      <c r="FA622" s="16"/>
      <c r="FB622" s="14"/>
      <c r="FC622" s="12"/>
      <c r="FD622" s="14"/>
      <c r="FE622" s="16"/>
      <c r="FF622" s="14"/>
      <c r="FG622" s="12" t="s">
        <v>320</v>
      </c>
      <c r="FH622" s="14">
        <v>35832</v>
      </c>
      <c r="FI622" s="16">
        <v>0.49</v>
      </c>
      <c r="FJ622" s="14">
        <v>206077</v>
      </c>
      <c r="FK622" s="12"/>
      <c r="FL622" s="14"/>
      <c r="FM622" s="16"/>
      <c r="FN622" s="14"/>
      <c r="FO622" s="12"/>
      <c r="FP622" s="14"/>
      <c r="FQ622" s="16"/>
      <c r="FR622" s="14"/>
      <c r="FS622" s="12"/>
      <c r="FT622" s="14"/>
      <c r="FU622" s="16"/>
      <c r="FV622" s="14"/>
      <c r="FW622" s="12"/>
      <c r="FX622" s="14"/>
      <c r="FY622" s="16"/>
      <c r="FZ622" s="14"/>
      <c r="GA622" s="12"/>
      <c r="GB622" s="14"/>
      <c r="GC622" s="16"/>
      <c r="GD622" s="14"/>
      <c r="GE622" s="12"/>
      <c r="GF622" s="14"/>
      <c r="GG622" s="16"/>
      <c r="GH622" s="14"/>
      <c r="GI622" s="12"/>
      <c r="GJ622" s="14"/>
      <c r="GK622" s="16"/>
      <c r="GL622" s="14"/>
      <c r="GM622" s="12"/>
      <c r="GN622" s="14"/>
      <c r="GO622" s="16"/>
      <c r="GP622" s="14"/>
      <c r="GQ622" s="12"/>
      <c r="GR622" s="14"/>
      <c r="GS622" s="16"/>
      <c r="GT622" s="14"/>
      <c r="GU622" s="12"/>
      <c r="GV622" s="14"/>
      <c r="GW622" s="16"/>
      <c r="GX622" s="14"/>
      <c r="GY622" s="12" t="s">
        <v>320</v>
      </c>
      <c r="GZ622" s="14"/>
      <c r="HA622" s="16"/>
      <c r="HB622" s="14"/>
      <c r="HC622" s="12"/>
      <c r="HD622" s="12"/>
      <c r="HE622" s="14"/>
      <c r="HF622" s="16"/>
      <c r="HG622" s="14"/>
      <c r="HH622" s="12" t="s">
        <v>320</v>
      </c>
      <c r="HI622" s="12" t="s">
        <v>327</v>
      </c>
      <c r="HJ622" s="12">
        <v>2016</v>
      </c>
      <c r="HK622" s="12" t="s">
        <v>320</v>
      </c>
      <c r="HL622" s="12" t="s">
        <v>319</v>
      </c>
      <c r="HM622" s="12"/>
      <c r="HN622" s="12">
        <v>2018</v>
      </c>
      <c r="HO622" s="12"/>
      <c r="HP622" s="12" t="s">
        <v>453</v>
      </c>
      <c r="HQ622" s="12"/>
      <c r="HR622" s="12" t="s">
        <v>320</v>
      </c>
      <c r="HS622" s="12" t="s">
        <v>320</v>
      </c>
      <c r="HT622" s="12" t="s">
        <v>320</v>
      </c>
      <c r="HU622" s="12" t="s">
        <v>319</v>
      </c>
      <c r="HV622" s="12"/>
      <c r="HW622" s="12" t="s">
        <v>320</v>
      </c>
      <c r="HX622" s="12"/>
      <c r="HY622" s="12"/>
      <c r="HZ622" s="12" t="s">
        <v>331</v>
      </c>
      <c r="IA622" s="12" t="s">
        <v>10296</v>
      </c>
      <c r="IB622" s="12" t="s">
        <v>396</v>
      </c>
      <c r="IC622" s="12" t="s">
        <v>10297</v>
      </c>
      <c r="ID622" s="12" t="s">
        <v>334</v>
      </c>
      <c r="IE622" s="12" t="s">
        <v>478</v>
      </c>
      <c r="IF622" s="12" t="s">
        <v>320</v>
      </c>
      <c r="IG622" s="12" t="s">
        <v>320</v>
      </c>
      <c r="IH622" s="12" t="s">
        <v>320</v>
      </c>
      <c r="II622" s="12" t="s">
        <v>320</v>
      </c>
      <c r="IJ622" s="12" t="str">
        <f t="shared" si="388"/>
        <v>4. Transformative</v>
      </c>
      <c r="IK622" s="12">
        <f t="shared" si="389"/>
        <v>4</v>
      </c>
      <c r="IL622" s="11" t="s">
        <v>621</v>
      </c>
      <c r="IM622" s="12" t="s">
        <v>320</v>
      </c>
      <c r="IN622" s="12" t="s">
        <v>320</v>
      </c>
      <c r="IO622" s="12" t="s">
        <v>319</v>
      </c>
      <c r="IP622" s="12" t="s">
        <v>320</v>
      </c>
      <c r="IQ622" s="12" t="str">
        <f t="shared" si="390"/>
        <v>3. Responsive</v>
      </c>
      <c r="IR622" s="12">
        <f t="shared" si="391"/>
        <v>3</v>
      </c>
      <c r="IS622" s="12" t="s">
        <v>622</v>
      </c>
      <c r="IT622" s="12" t="s">
        <v>320</v>
      </c>
      <c r="IU622" s="12" t="s">
        <v>320</v>
      </c>
      <c r="IV622" s="12" t="s">
        <v>320</v>
      </c>
      <c r="IW622" s="11" t="str">
        <f t="shared" si="392"/>
        <v>4. Transformative</v>
      </c>
      <c r="IX622" s="12">
        <f t="shared" si="393"/>
        <v>3</v>
      </c>
      <c r="IY622" s="12" t="s">
        <v>419</v>
      </c>
      <c r="IZ622" s="12" t="s">
        <v>457</v>
      </c>
      <c r="JA622" s="12">
        <v>7</v>
      </c>
      <c r="JB622" s="12" t="s">
        <v>433</v>
      </c>
      <c r="JC622" s="12" t="s">
        <v>687</v>
      </c>
      <c r="JD622" s="12" t="s">
        <v>624</v>
      </c>
      <c r="JE622" s="12" t="s">
        <v>340</v>
      </c>
      <c r="JF622" s="12" t="s">
        <v>10298</v>
      </c>
      <c r="JG622" s="12" t="s">
        <v>10311</v>
      </c>
      <c r="JH622" s="12" t="s">
        <v>10312</v>
      </c>
      <c r="JI622" s="12" t="s">
        <v>10313</v>
      </c>
      <c r="JJ622" s="12" t="s">
        <v>10302</v>
      </c>
      <c r="JK622" s="12" t="s">
        <v>10314</v>
      </c>
      <c r="JL622" s="12" t="s">
        <v>10315</v>
      </c>
      <c r="JM622" s="12" t="s">
        <v>10305</v>
      </c>
      <c r="JN622" s="12"/>
      <c r="JO622" s="12" t="s">
        <v>10306</v>
      </c>
      <c r="JP622" s="15">
        <f t="shared" si="394"/>
        <v>35832</v>
      </c>
      <c r="JQ622" s="15">
        <f t="shared" si="395"/>
        <v>206077</v>
      </c>
      <c r="JR622" s="279">
        <f t="shared" si="396"/>
        <v>5.7512000446528244</v>
      </c>
      <c r="JS622" s="17">
        <f t="shared" si="397"/>
        <v>0.48582272828756418</v>
      </c>
      <c r="JT622" s="18">
        <f t="shared" si="398"/>
        <v>0.49000131018988047</v>
      </c>
      <c r="JU622" s="280">
        <f t="shared" si="399"/>
        <v>17408</v>
      </c>
      <c r="JV622" s="280">
        <f t="shared" si="400"/>
        <v>100978</v>
      </c>
      <c r="JW622" s="319" t="str">
        <f t="shared" si="401"/>
        <v/>
      </c>
      <c r="JX622" s="15">
        <f t="shared" si="402"/>
        <v>0</v>
      </c>
      <c r="JY622" s="15">
        <f t="shared" si="403"/>
        <v>0</v>
      </c>
      <c r="JZ622" s="19" t="str">
        <f t="shared" si="404"/>
        <v/>
      </c>
      <c r="KA622" s="52">
        <f t="shared" si="405"/>
        <v>1</v>
      </c>
      <c r="KB622" s="15">
        <f t="shared" si="406"/>
        <v>35832</v>
      </c>
      <c r="KC622" s="15">
        <f t="shared" si="407"/>
        <v>206077</v>
      </c>
      <c r="KD622" s="20">
        <f t="shared" si="408"/>
        <v>5.7512000446528244</v>
      </c>
      <c r="KE622" s="52" t="str">
        <f t="shared" si="409"/>
        <v/>
      </c>
      <c r="KF622" s="15">
        <f t="shared" si="410"/>
        <v>0</v>
      </c>
      <c r="KG622" s="15">
        <f t="shared" si="411"/>
        <v>0</v>
      </c>
      <c r="KH622" s="21" t="str">
        <f t="shared" si="412"/>
        <v/>
      </c>
      <c r="KI622" s="52" t="str">
        <f t="shared" si="413"/>
        <v/>
      </c>
      <c r="KJ622" s="15">
        <f t="shared" si="414"/>
        <v>0</v>
      </c>
      <c r="KK622" s="15">
        <f t="shared" si="415"/>
        <v>0</v>
      </c>
      <c r="KL622" s="19" t="str">
        <f t="shared" si="416"/>
        <v/>
      </c>
      <c r="KM622" s="52">
        <f t="shared" si="417"/>
        <v>1</v>
      </c>
      <c r="KN622" s="22">
        <f t="shared" si="418"/>
        <v>17557.68</v>
      </c>
      <c r="KO622" s="22">
        <f t="shared" si="419"/>
        <v>100977.73</v>
      </c>
      <c r="KP622" s="19">
        <f t="shared" si="420"/>
        <v>5.7512000446528235</v>
      </c>
      <c r="KQ622" s="11" t="str">
        <f t="shared" si="421"/>
        <v>4. Transformative</v>
      </c>
      <c r="KR622" s="11" t="str">
        <f t="shared" si="422"/>
        <v>3. Responsive</v>
      </c>
      <c r="KS622" s="11" t="str">
        <f t="shared" si="423"/>
        <v>4. Transformative</v>
      </c>
      <c r="KT622" s="11" t="str">
        <f t="shared" si="424"/>
        <v>It tested new ways for fighting poverty and measured results of innovation</v>
      </c>
      <c r="KU622" s="11" t="str">
        <f t="shared" si="425"/>
        <v>Intensive advocacy</v>
      </c>
      <c r="KV622" s="11" t="str">
        <f t="shared" si="426"/>
        <v>It linked and worked with strategic alliances and partners to take tested and effective solutions to scale</v>
      </c>
      <c r="KW622" s="11" t="str">
        <f t="shared" si="427"/>
        <v>Philippines - Typhoon Haiyan Livelihoods Recovery</v>
      </c>
      <c r="KX622" s="11" t="str">
        <f t="shared" si="428"/>
        <v>Typhoon Haiyan Livelihoods Recovery</v>
      </c>
      <c r="KY622" s="11" t="str">
        <f t="shared" si="429"/>
        <v>Philippines</v>
      </c>
      <c r="KZ622" s="12">
        <v>622</v>
      </c>
    </row>
    <row r="623" spans="1:312" x14ac:dyDescent="0.3">
      <c r="A623" s="12" t="s">
        <v>10263</v>
      </c>
      <c r="B623" s="12" t="s">
        <v>306</v>
      </c>
      <c r="C623" s="12"/>
      <c r="D623" s="12" t="s">
        <v>10285</v>
      </c>
      <c r="E623" s="277" t="str">
        <f t="shared" si="387"/>
        <v>Philippines</v>
      </c>
      <c r="F623" s="12"/>
      <c r="G623" s="12" t="s">
        <v>376</v>
      </c>
      <c r="H623" s="12" t="s">
        <v>310</v>
      </c>
      <c r="I623" s="12" t="s">
        <v>377</v>
      </c>
      <c r="J623" s="278" t="s">
        <v>14564</v>
      </c>
      <c r="K623" s="12"/>
      <c r="L623" s="12"/>
      <c r="M623" s="12"/>
      <c r="N623" s="12"/>
      <c r="O623" s="12"/>
      <c r="P623" s="12"/>
      <c r="Q623" s="12"/>
      <c r="R623" s="12"/>
      <c r="S623" s="12"/>
      <c r="T623" s="12"/>
      <c r="U623" s="12"/>
      <c r="V623" s="12"/>
      <c r="W623" s="12"/>
      <c r="X623" s="12"/>
      <c r="Y623" s="12"/>
      <c r="Z623" s="12"/>
      <c r="AA623" s="12"/>
      <c r="AB623" s="12"/>
      <c r="AC623" s="12"/>
      <c r="AD623" s="12"/>
      <c r="BD623" s="13">
        <v>42237</v>
      </c>
      <c r="BE623" s="13">
        <v>43554</v>
      </c>
      <c r="BF623" s="12"/>
      <c r="BG623" s="12" t="s">
        <v>350</v>
      </c>
      <c r="BH623" s="14">
        <v>5178571.43</v>
      </c>
      <c r="BI623" s="12" t="s">
        <v>10286</v>
      </c>
      <c r="BJ623" s="12" t="s">
        <v>751</v>
      </c>
      <c r="BK623" s="12" t="s">
        <v>10287</v>
      </c>
      <c r="BL623" s="12" t="s">
        <v>10288</v>
      </c>
      <c r="BM623" s="12" t="s">
        <v>10289</v>
      </c>
      <c r="BN623" s="12" t="s">
        <v>10290</v>
      </c>
      <c r="BO623" s="12" t="s">
        <v>319</v>
      </c>
      <c r="BP623" s="12" t="s">
        <v>320</v>
      </c>
      <c r="BQ623" s="12" t="s">
        <v>319</v>
      </c>
      <c r="BR623" s="12" t="s">
        <v>10291</v>
      </c>
      <c r="BS623" s="12" t="s">
        <v>322</v>
      </c>
      <c r="BT623" s="12" t="s">
        <v>10292</v>
      </c>
      <c r="BU623" s="12" t="s">
        <v>10293</v>
      </c>
      <c r="BV623" s="14">
        <v>13304</v>
      </c>
      <c r="BW623" s="14">
        <v>5701</v>
      </c>
      <c r="BX623" s="14">
        <v>19005</v>
      </c>
      <c r="BY623" s="14">
        <v>86223</v>
      </c>
      <c r="BZ623" s="14">
        <v>36953</v>
      </c>
      <c r="CA623" s="14">
        <v>123176</v>
      </c>
      <c r="CB623" s="12" t="s">
        <v>10294</v>
      </c>
      <c r="CD623" s="14"/>
      <c r="CE623" s="14"/>
      <c r="CF623" s="14"/>
      <c r="CG623" s="14"/>
      <c r="CH623" s="14"/>
      <c r="CI623" s="14"/>
      <c r="CJ623" s="12"/>
      <c r="CK623" s="14"/>
      <c r="CL623" s="16"/>
      <c r="CM623" s="14"/>
      <c r="CN623" s="12"/>
      <c r="CO623" s="14"/>
      <c r="CP623" s="16"/>
      <c r="CQ623" s="14"/>
      <c r="CR623" s="12"/>
      <c r="CS623" s="14"/>
      <c r="CT623" s="16"/>
      <c r="CU623" s="14"/>
      <c r="CV623" s="12"/>
      <c r="CW623" s="14"/>
      <c r="CX623" s="16"/>
      <c r="CY623" s="14"/>
      <c r="CZ623" s="12"/>
      <c r="DA623" s="14"/>
      <c r="DB623" s="16"/>
      <c r="DC623" s="14"/>
      <c r="DD623" s="12"/>
      <c r="DE623" s="14"/>
      <c r="DF623" s="16"/>
      <c r="DG623" s="14"/>
      <c r="DH623" s="12"/>
      <c r="DI623" s="14"/>
      <c r="DJ623" s="16"/>
      <c r="DK623" s="14"/>
      <c r="DL623" s="12"/>
      <c r="DM623" s="14"/>
      <c r="DN623" s="16"/>
      <c r="DO623" s="14"/>
      <c r="DP623" s="12"/>
      <c r="DQ623" s="14"/>
      <c r="DR623" s="16"/>
      <c r="DS623" s="14"/>
      <c r="DT623" s="12"/>
      <c r="DU623" s="14"/>
      <c r="DV623" s="16"/>
      <c r="DW623" s="14"/>
      <c r="DX623" s="12"/>
      <c r="DY623" s="14"/>
      <c r="DZ623" s="16"/>
      <c r="EA623" s="14"/>
      <c r="EB623" s="12"/>
      <c r="EC623" s="14"/>
      <c r="ED623" s="16"/>
      <c r="EE623" s="14"/>
      <c r="EF623" s="12"/>
      <c r="EG623" s="12"/>
      <c r="EH623" s="14"/>
      <c r="EI623" s="16"/>
      <c r="EJ623" s="14"/>
      <c r="EK623" s="14">
        <v>13304</v>
      </c>
      <c r="EL623" s="14">
        <v>5701</v>
      </c>
      <c r="EM623" s="14">
        <v>19005</v>
      </c>
      <c r="EN623" s="14">
        <v>86223</v>
      </c>
      <c r="EO623" s="14">
        <v>36953</v>
      </c>
      <c r="EP623" s="14">
        <v>123176</v>
      </c>
      <c r="EQ623" s="12"/>
      <c r="ER623" s="14"/>
      <c r="ES623" s="16"/>
      <c r="ET623" s="14"/>
      <c r="EU623" s="12"/>
      <c r="EV623" s="14"/>
      <c r="EW623" s="16"/>
      <c r="EX623" s="14"/>
      <c r="EY623" s="12"/>
      <c r="EZ623" s="14"/>
      <c r="FA623" s="16"/>
      <c r="FB623" s="14"/>
      <c r="FC623" s="12"/>
      <c r="FD623" s="14"/>
      <c r="FE623" s="16"/>
      <c r="FF623" s="14"/>
      <c r="FG623" s="12" t="s">
        <v>320</v>
      </c>
      <c r="FH623" s="14">
        <v>19005</v>
      </c>
      <c r="FI623" s="16">
        <v>0.7</v>
      </c>
      <c r="FJ623" s="14">
        <v>123176</v>
      </c>
      <c r="FK623" s="12"/>
      <c r="FL623" s="14"/>
      <c r="FM623" s="16"/>
      <c r="FN623" s="14"/>
      <c r="FO623" s="12"/>
      <c r="FP623" s="14"/>
      <c r="FQ623" s="16"/>
      <c r="FR623" s="14"/>
      <c r="FS623" s="12"/>
      <c r="FT623" s="14"/>
      <c r="FU623" s="16"/>
      <c r="FV623" s="14"/>
      <c r="FW623" s="12"/>
      <c r="FX623" s="14"/>
      <c r="FY623" s="16"/>
      <c r="FZ623" s="14"/>
      <c r="GA623" s="12"/>
      <c r="GB623" s="14"/>
      <c r="GC623" s="16"/>
      <c r="GD623" s="14"/>
      <c r="GE623" s="12"/>
      <c r="GF623" s="14"/>
      <c r="GG623" s="16"/>
      <c r="GH623" s="14"/>
      <c r="GI623" s="12"/>
      <c r="GJ623" s="14"/>
      <c r="GK623" s="16"/>
      <c r="GL623" s="14"/>
      <c r="GM623" s="12"/>
      <c r="GN623" s="14"/>
      <c r="GO623" s="16"/>
      <c r="GP623" s="14"/>
      <c r="GQ623" s="12"/>
      <c r="GR623" s="14"/>
      <c r="GS623" s="16"/>
      <c r="GT623" s="14"/>
      <c r="GU623" s="12"/>
      <c r="GV623" s="14"/>
      <c r="GW623" s="16"/>
      <c r="GX623" s="14"/>
      <c r="GY623" s="12" t="s">
        <v>320</v>
      </c>
      <c r="GZ623" s="14"/>
      <c r="HA623" s="16"/>
      <c r="HB623" s="14"/>
      <c r="HC623" s="12"/>
      <c r="HD623" s="12"/>
      <c r="HE623" s="14"/>
      <c r="HF623" s="16"/>
      <c r="HG623" s="14"/>
      <c r="HH623" s="12" t="s">
        <v>320</v>
      </c>
      <c r="HI623" s="12" t="s">
        <v>416</v>
      </c>
      <c r="HJ623" s="12">
        <v>2017</v>
      </c>
      <c r="HK623" s="12" t="s">
        <v>320</v>
      </c>
      <c r="HL623" s="12" t="s">
        <v>320</v>
      </c>
      <c r="HM623" s="12" t="s">
        <v>619</v>
      </c>
      <c r="HN623" s="12">
        <v>2018</v>
      </c>
      <c r="HO623" s="12" t="s">
        <v>10295</v>
      </c>
      <c r="HP623" s="12" t="s">
        <v>453</v>
      </c>
      <c r="HQ623" s="12" t="s">
        <v>320</v>
      </c>
      <c r="HR623" s="12" t="s">
        <v>320</v>
      </c>
      <c r="HS623" s="12" t="s">
        <v>320</v>
      </c>
      <c r="HT623" s="12" t="s">
        <v>320</v>
      </c>
      <c r="HU623" s="12" t="s">
        <v>319</v>
      </c>
      <c r="HV623" s="12"/>
      <c r="HW623" s="12" t="s">
        <v>320</v>
      </c>
      <c r="HX623" s="12"/>
      <c r="HY623" s="12"/>
      <c r="HZ623" s="12" t="s">
        <v>331</v>
      </c>
      <c r="IA623" s="12" t="s">
        <v>10296</v>
      </c>
      <c r="IB623" s="12" t="s">
        <v>396</v>
      </c>
      <c r="IC623" s="12" t="s">
        <v>10297</v>
      </c>
      <c r="ID623" s="12" t="s">
        <v>334</v>
      </c>
      <c r="IE623" s="12" t="s">
        <v>478</v>
      </c>
      <c r="IF623" s="12" t="s">
        <v>320</v>
      </c>
      <c r="IG623" s="12" t="s">
        <v>320</v>
      </c>
      <c r="IH623" s="12" t="s">
        <v>320</v>
      </c>
      <c r="II623" s="12" t="s">
        <v>320</v>
      </c>
      <c r="IJ623" s="12" t="str">
        <f t="shared" si="388"/>
        <v>4. Transformative</v>
      </c>
      <c r="IK623" s="12">
        <f t="shared" si="389"/>
        <v>4</v>
      </c>
      <c r="IL623" s="11" t="s">
        <v>621</v>
      </c>
      <c r="IM623" s="12" t="s">
        <v>320</v>
      </c>
      <c r="IN623" s="12" t="s">
        <v>320</v>
      </c>
      <c r="IO623" s="12" t="s">
        <v>319</v>
      </c>
      <c r="IP623" s="12" t="s">
        <v>320</v>
      </c>
      <c r="IQ623" s="12" t="str">
        <f t="shared" si="390"/>
        <v>3. Responsive</v>
      </c>
      <c r="IR623" s="12">
        <f t="shared" si="391"/>
        <v>3</v>
      </c>
      <c r="IS623" s="12" t="s">
        <v>622</v>
      </c>
      <c r="IT623" s="12" t="s">
        <v>320</v>
      </c>
      <c r="IU623" s="12" t="s">
        <v>320</v>
      </c>
      <c r="IV623" s="12" t="s">
        <v>320</v>
      </c>
      <c r="IW623" s="11" t="str">
        <f t="shared" si="392"/>
        <v>4. Transformative</v>
      </c>
      <c r="IX623" s="12">
        <f t="shared" si="393"/>
        <v>3</v>
      </c>
      <c r="IY623" s="12" t="s">
        <v>419</v>
      </c>
      <c r="IZ623" s="12" t="s">
        <v>457</v>
      </c>
      <c r="JA623" s="12">
        <v>7</v>
      </c>
      <c r="JB623" s="12" t="s">
        <v>433</v>
      </c>
      <c r="JC623" s="12" t="s">
        <v>687</v>
      </c>
      <c r="JD623" s="12" t="s">
        <v>724</v>
      </c>
      <c r="JE623" s="12" t="s">
        <v>340</v>
      </c>
      <c r="JF623" s="12" t="s">
        <v>10298</v>
      </c>
      <c r="JG623" s="12" t="s">
        <v>10299</v>
      </c>
      <c r="JH623" s="12" t="s">
        <v>10300</v>
      </c>
      <c r="JI623" s="12" t="s">
        <v>10301</v>
      </c>
      <c r="JJ623" s="12" t="s">
        <v>10302</v>
      </c>
      <c r="JK623" s="12" t="s">
        <v>10303</v>
      </c>
      <c r="JL623" s="12" t="s">
        <v>10304</v>
      </c>
      <c r="JM623" s="12" t="s">
        <v>10305</v>
      </c>
      <c r="JN623" s="12"/>
      <c r="JO623" s="12" t="s">
        <v>10306</v>
      </c>
      <c r="JP623" s="15">
        <f t="shared" si="394"/>
        <v>19005</v>
      </c>
      <c r="JQ623" s="15">
        <f t="shared" si="395"/>
        <v>123176</v>
      </c>
      <c r="JR623" s="279">
        <f t="shared" si="396"/>
        <v>6.4812417784793475</v>
      </c>
      <c r="JS623" s="17">
        <f t="shared" si="397"/>
        <v>0.70002630886608785</v>
      </c>
      <c r="JT623" s="18">
        <f t="shared" si="398"/>
        <v>0.69999837630707284</v>
      </c>
      <c r="JU623" s="280">
        <f t="shared" si="399"/>
        <v>13304</v>
      </c>
      <c r="JV623" s="280">
        <f t="shared" si="400"/>
        <v>86223</v>
      </c>
      <c r="JW623" s="319" t="str">
        <f t="shared" si="401"/>
        <v/>
      </c>
      <c r="JX623" s="15">
        <f t="shared" si="402"/>
        <v>0</v>
      </c>
      <c r="JY623" s="15">
        <f t="shared" si="403"/>
        <v>0</v>
      </c>
      <c r="JZ623" s="19" t="str">
        <f t="shared" si="404"/>
        <v/>
      </c>
      <c r="KA623" s="52">
        <f t="shared" si="405"/>
        <v>1</v>
      </c>
      <c r="KB623" s="15">
        <f t="shared" si="406"/>
        <v>19005</v>
      </c>
      <c r="KC623" s="15">
        <f t="shared" si="407"/>
        <v>123176</v>
      </c>
      <c r="KD623" s="20">
        <f t="shared" si="408"/>
        <v>6.4812417784793475</v>
      </c>
      <c r="KE623" s="52" t="str">
        <f t="shared" si="409"/>
        <v/>
      </c>
      <c r="KF623" s="15">
        <f t="shared" si="410"/>
        <v>0</v>
      </c>
      <c r="KG623" s="15">
        <f t="shared" si="411"/>
        <v>0</v>
      </c>
      <c r="KH623" s="21" t="str">
        <f t="shared" si="412"/>
        <v/>
      </c>
      <c r="KI623" s="52" t="str">
        <f t="shared" si="413"/>
        <v/>
      </c>
      <c r="KJ623" s="15">
        <f t="shared" si="414"/>
        <v>0</v>
      </c>
      <c r="KK623" s="15">
        <f t="shared" si="415"/>
        <v>0</v>
      </c>
      <c r="KL623" s="19" t="str">
        <f t="shared" si="416"/>
        <v/>
      </c>
      <c r="KM623" s="52">
        <f t="shared" si="417"/>
        <v>1</v>
      </c>
      <c r="KN623" s="22">
        <f t="shared" si="418"/>
        <v>13303.5</v>
      </c>
      <c r="KO623" s="22">
        <f t="shared" si="419"/>
        <v>86223.2</v>
      </c>
      <c r="KP623" s="19">
        <f t="shared" si="420"/>
        <v>6.4812417784793475</v>
      </c>
      <c r="KQ623" s="11" t="str">
        <f t="shared" si="421"/>
        <v>4. Transformative</v>
      </c>
      <c r="KR623" s="11" t="str">
        <f t="shared" si="422"/>
        <v>3. Responsive</v>
      </c>
      <c r="KS623" s="11" t="str">
        <f t="shared" si="423"/>
        <v>4. Transformative</v>
      </c>
      <c r="KT623" s="11" t="str">
        <f t="shared" si="424"/>
        <v>It tested new ways for fighting poverty and measured results of innovation</v>
      </c>
      <c r="KU623" s="11" t="str">
        <f t="shared" si="425"/>
        <v>Intensive advocacy</v>
      </c>
      <c r="KV623" s="11" t="str">
        <f t="shared" si="426"/>
        <v>It linked and worked with strategic alliances and partners to take tested and effective solutions to scale</v>
      </c>
      <c r="KW623" s="11" t="str">
        <f t="shared" si="427"/>
        <v>Philippines - Typhoon Haiyan Reconstruction Assistance</v>
      </c>
      <c r="KX623" s="11" t="str">
        <f t="shared" si="428"/>
        <v>Typhoon Haiyan Reconstruction Assistance</v>
      </c>
      <c r="KY623" s="11" t="str">
        <f t="shared" si="429"/>
        <v>Philippines</v>
      </c>
      <c r="KZ623" s="12">
        <v>623</v>
      </c>
    </row>
    <row r="624" spans="1:312" x14ac:dyDescent="0.3">
      <c r="A624" s="12" t="s">
        <v>10263</v>
      </c>
      <c r="B624" s="12" t="s">
        <v>306</v>
      </c>
      <c r="C624" s="12"/>
      <c r="D624" s="12" t="s">
        <v>10340</v>
      </c>
      <c r="E624" s="277" t="str">
        <f t="shared" si="387"/>
        <v>Philippines</v>
      </c>
      <c r="F624" s="12"/>
      <c r="G624" s="12" t="s">
        <v>379</v>
      </c>
      <c r="H624" s="12" t="s">
        <v>384</v>
      </c>
      <c r="I624" s="12"/>
      <c r="J624" s="281" t="s">
        <v>10341</v>
      </c>
      <c r="K624" s="12"/>
      <c r="L624" s="12"/>
      <c r="M624" s="12"/>
      <c r="N624" s="12"/>
      <c r="O624" s="12"/>
      <c r="P624" s="12"/>
      <c r="Q624" s="12"/>
      <c r="R624" s="12"/>
      <c r="S624" s="12"/>
      <c r="T624" s="12"/>
      <c r="U624" s="12"/>
      <c r="V624" s="12"/>
      <c r="W624" s="12"/>
      <c r="X624" s="12"/>
      <c r="Y624" s="12"/>
      <c r="Z624" s="12"/>
      <c r="AA624" s="12"/>
      <c r="AB624" s="12"/>
      <c r="AC624" s="12"/>
      <c r="AD624" s="12"/>
      <c r="BD624" s="13">
        <v>42705</v>
      </c>
      <c r="BE624" s="13">
        <v>42826</v>
      </c>
      <c r="BF624" s="12"/>
      <c r="BG624" s="12" t="s">
        <v>817</v>
      </c>
      <c r="BH624" s="14"/>
      <c r="BI624" s="12" t="s">
        <v>10267</v>
      </c>
      <c r="BJ624" s="12" t="s">
        <v>10268</v>
      </c>
      <c r="BK624" s="12" t="s">
        <v>10269</v>
      </c>
      <c r="BL624" s="12"/>
      <c r="BM624" s="12"/>
      <c r="BN624" s="12"/>
      <c r="BO624" s="12" t="s">
        <v>320</v>
      </c>
      <c r="BP624" s="12" t="s">
        <v>319</v>
      </c>
      <c r="BQ624" s="12" t="s">
        <v>319</v>
      </c>
      <c r="BR624" s="12" t="s">
        <v>10342</v>
      </c>
      <c r="BS624" s="12" t="s">
        <v>357</v>
      </c>
      <c r="BT624" s="12" t="s">
        <v>10343</v>
      </c>
      <c r="BU624" s="12" t="s">
        <v>10344</v>
      </c>
      <c r="BV624" s="14"/>
      <c r="BW624" s="14"/>
      <c r="BX624" s="14"/>
      <c r="BY624" s="14"/>
      <c r="BZ624" s="14"/>
      <c r="CA624" s="14"/>
      <c r="CB624" s="12"/>
      <c r="CD624" s="14">
        <v>544</v>
      </c>
      <c r="CE624" s="14">
        <v>566</v>
      </c>
      <c r="CF624" s="14">
        <v>1110</v>
      </c>
      <c r="CG624" s="14"/>
      <c r="CH624" s="14"/>
      <c r="CI624" s="14"/>
      <c r="CJ624" s="12"/>
      <c r="CK624" s="14"/>
      <c r="CL624" s="16"/>
      <c r="CM624" s="14"/>
      <c r="CN624" s="12"/>
      <c r="CO624" s="14"/>
      <c r="CP624" s="16"/>
      <c r="CQ624" s="14"/>
      <c r="CR624" s="12"/>
      <c r="CS624" s="14"/>
      <c r="CT624" s="16"/>
      <c r="CU624" s="14"/>
      <c r="CV624" s="12"/>
      <c r="CW624" s="14"/>
      <c r="CX624" s="16"/>
      <c r="CY624" s="14"/>
      <c r="CZ624" s="12"/>
      <c r="DA624" s="14"/>
      <c r="DB624" s="16"/>
      <c r="DC624" s="14"/>
      <c r="DD624" s="12"/>
      <c r="DE624" s="14"/>
      <c r="DF624" s="16"/>
      <c r="DG624" s="14"/>
      <c r="DH624" s="12"/>
      <c r="DI624" s="14"/>
      <c r="DJ624" s="16"/>
      <c r="DK624" s="14"/>
      <c r="DL624" s="12"/>
      <c r="DM624" s="14"/>
      <c r="DN624" s="16"/>
      <c r="DO624" s="14"/>
      <c r="DP624" s="12"/>
      <c r="DQ624" s="14"/>
      <c r="DR624" s="16"/>
      <c r="DS624" s="14"/>
      <c r="DT624" s="12"/>
      <c r="DU624" s="14"/>
      <c r="DV624" s="16"/>
      <c r="DW624" s="14"/>
      <c r="DX624" s="12" t="s">
        <v>320</v>
      </c>
      <c r="DY624" s="14">
        <v>1110</v>
      </c>
      <c r="DZ624" s="16">
        <v>0.49</v>
      </c>
      <c r="EA624" s="14"/>
      <c r="EB624" s="12"/>
      <c r="EC624" s="14"/>
      <c r="ED624" s="16"/>
      <c r="EE624" s="14"/>
      <c r="EF624" s="12"/>
      <c r="EG624" s="12"/>
      <c r="EH624" s="14"/>
      <c r="EI624" s="16"/>
      <c r="EJ624" s="14"/>
      <c r="EK624" s="14"/>
      <c r="EL624" s="14"/>
      <c r="EM624" s="14"/>
      <c r="EN624" s="14"/>
      <c r="EO624" s="14"/>
      <c r="EP624" s="14"/>
      <c r="EQ624" s="12"/>
      <c r="ER624" s="14"/>
      <c r="ES624" s="16"/>
      <c r="ET624" s="14"/>
      <c r="EU624" s="12"/>
      <c r="EV624" s="14"/>
      <c r="EW624" s="16"/>
      <c r="EX624" s="14"/>
      <c r="EY624" s="12"/>
      <c r="EZ624" s="14"/>
      <c r="FA624" s="16"/>
      <c r="FB624" s="14"/>
      <c r="FC624" s="12"/>
      <c r="FD624" s="14"/>
      <c r="FE624" s="16"/>
      <c r="FF624" s="14"/>
      <c r="FG624" s="12"/>
      <c r="FH624" s="14"/>
      <c r="FI624" s="16"/>
      <c r="FJ624" s="14"/>
      <c r="FK624" s="12"/>
      <c r="FL624" s="14"/>
      <c r="FM624" s="16"/>
      <c r="FN624" s="14"/>
      <c r="FO624" s="12"/>
      <c r="FP624" s="14"/>
      <c r="FQ624" s="16"/>
      <c r="FR624" s="14"/>
      <c r="FS624" s="12"/>
      <c r="FT624" s="14"/>
      <c r="FU624" s="16"/>
      <c r="FV624" s="14"/>
      <c r="FW624" s="12"/>
      <c r="FX624" s="14"/>
      <c r="FY624" s="16"/>
      <c r="FZ624" s="14"/>
      <c r="GA624" s="12"/>
      <c r="GB624" s="14"/>
      <c r="GC624" s="16"/>
      <c r="GD624" s="14"/>
      <c r="GE624" s="12"/>
      <c r="GF624" s="14"/>
      <c r="GG624" s="16"/>
      <c r="GH624" s="14"/>
      <c r="GI624" s="12"/>
      <c r="GJ624" s="14"/>
      <c r="GK624" s="16"/>
      <c r="GL624" s="14"/>
      <c r="GM624" s="12"/>
      <c r="GN624" s="14"/>
      <c r="GO624" s="16"/>
      <c r="GP624" s="14"/>
      <c r="GQ624" s="12"/>
      <c r="GR624" s="14"/>
      <c r="GS624" s="16"/>
      <c r="GT624" s="14"/>
      <c r="GU624" s="12"/>
      <c r="GV624" s="14"/>
      <c r="GW624" s="16"/>
      <c r="GX624" s="14"/>
      <c r="GY624" s="12"/>
      <c r="GZ624" s="14"/>
      <c r="HA624" s="16"/>
      <c r="HB624" s="14"/>
      <c r="HC624" s="12"/>
      <c r="HD624" s="12"/>
      <c r="HE624" s="14"/>
      <c r="HF624" s="16"/>
      <c r="HG624" s="14"/>
      <c r="HH624" s="12" t="s">
        <v>319</v>
      </c>
      <c r="HI624" s="12"/>
      <c r="HJ624" s="12"/>
      <c r="HK624" s="12" t="s">
        <v>319</v>
      </c>
      <c r="HL624" s="12" t="s">
        <v>319</v>
      </c>
      <c r="HM624" s="12"/>
      <c r="HN624" s="12"/>
      <c r="HO624" s="12"/>
      <c r="HP624" s="12" t="s">
        <v>418</v>
      </c>
      <c r="HQ624" s="12" t="s">
        <v>319</v>
      </c>
      <c r="HR624" s="12" t="s">
        <v>319</v>
      </c>
      <c r="HS624" s="12" t="s">
        <v>319</v>
      </c>
      <c r="HT624" s="12" t="s">
        <v>319</v>
      </c>
      <c r="HU624" s="12" t="s">
        <v>319</v>
      </c>
      <c r="HV624" s="12" t="s">
        <v>319</v>
      </c>
      <c r="HW624" s="12" t="s">
        <v>319</v>
      </c>
      <c r="HX624" s="12" t="s">
        <v>319</v>
      </c>
      <c r="HY624" s="12"/>
      <c r="HZ624" s="12" t="s">
        <v>363</v>
      </c>
      <c r="IA624" s="12"/>
      <c r="IB624" s="12" t="s">
        <v>396</v>
      </c>
      <c r="IC624" s="12"/>
      <c r="ID624" s="12" t="s">
        <v>334</v>
      </c>
      <c r="IE624" s="12" t="s">
        <v>335</v>
      </c>
      <c r="IF624" s="12" t="s">
        <v>320</v>
      </c>
      <c r="IG624" s="12" t="s">
        <v>320</v>
      </c>
      <c r="IH624" s="12" t="s">
        <v>320</v>
      </c>
      <c r="II624" s="12" t="s">
        <v>320</v>
      </c>
      <c r="IJ624" s="12" t="str">
        <f t="shared" si="388"/>
        <v>2. Sensitive</v>
      </c>
      <c r="IK624" s="12">
        <f t="shared" si="389"/>
        <v>4</v>
      </c>
      <c r="IL624" s="12" t="s">
        <v>336</v>
      </c>
      <c r="IM624" s="12" t="s">
        <v>320</v>
      </c>
      <c r="IN624" s="12" t="s">
        <v>319</v>
      </c>
      <c r="IO624" s="12" t="s">
        <v>319</v>
      </c>
      <c r="IP624" s="12" t="s">
        <v>320</v>
      </c>
      <c r="IQ624" s="12" t="str">
        <f t="shared" si="390"/>
        <v>1. Tokenistic</v>
      </c>
      <c r="IR624" s="12">
        <f t="shared" si="391"/>
        <v>2</v>
      </c>
      <c r="IS624" s="12" t="s">
        <v>337</v>
      </c>
      <c r="IT624" s="12" t="s">
        <v>320</v>
      </c>
      <c r="IU624" s="12" t="s">
        <v>319</v>
      </c>
      <c r="IV624" s="12" t="s">
        <v>320</v>
      </c>
      <c r="IW624" s="11" t="str">
        <f t="shared" si="392"/>
        <v>1. Neutral</v>
      </c>
      <c r="IX624" s="12">
        <f t="shared" si="393"/>
        <v>2</v>
      </c>
      <c r="IY624" s="12" t="s">
        <v>419</v>
      </c>
      <c r="IZ624" s="12" t="s">
        <v>457</v>
      </c>
      <c r="JA624" s="12">
        <v>1</v>
      </c>
      <c r="JB624" s="12" t="s">
        <v>433</v>
      </c>
      <c r="JC624" s="12"/>
      <c r="JD624" s="12"/>
      <c r="JE624" s="12" t="s">
        <v>340</v>
      </c>
      <c r="JF624" s="12"/>
      <c r="JG624" s="12"/>
      <c r="JH624" s="12" t="s">
        <v>10345</v>
      </c>
      <c r="JI624" s="12" t="s">
        <v>10346</v>
      </c>
      <c r="JJ624" s="12" t="s">
        <v>10347</v>
      </c>
      <c r="JK624" s="12" t="s">
        <v>10348</v>
      </c>
      <c r="JL624" s="12" t="s">
        <v>10349</v>
      </c>
      <c r="JM624" s="12"/>
      <c r="JN624" s="12"/>
      <c r="JO624" s="12"/>
      <c r="JP624" s="15">
        <f t="shared" si="394"/>
        <v>1110</v>
      </c>
      <c r="JQ624" s="15">
        <f t="shared" si="395"/>
        <v>0</v>
      </c>
      <c r="JR624" s="279">
        <f t="shared" si="396"/>
        <v>0</v>
      </c>
      <c r="JS624" s="17">
        <f t="shared" si="397"/>
        <v>0.49009009009009008</v>
      </c>
      <c r="JT624" s="18" t="str">
        <f t="shared" si="398"/>
        <v/>
      </c>
      <c r="JU624" s="280">
        <f t="shared" si="399"/>
        <v>544</v>
      </c>
      <c r="JV624" s="280">
        <f t="shared" si="400"/>
        <v>0</v>
      </c>
      <c r="JW624" s="319">
        <f t="shared" si="401"/>
        <v>1</v>
      </c>
      <c r="JX624" s="15">
        <f t="shared" si="402"/>
        <v>1110</v>
      </c>
      <c r="JY624" s="15">
        <f t="shared" si="403"/>
        <v>0</v>
      </c>
      <c r="JZ624" s="19">
        <f t="shared" si="404"/>
        <v>0</v>
      </c>
      <c r="KA624" s="52" t="str">
        <f t="shared" si="405"/>
        <v/>
      </c>
      <c r="KB624" s="15">
        <f t="shared" si="406"/>
        <v>0</v>
      </c>
      <c r="KC624" s="15">
        <f t="shared" si="407"/>
        <v>0</v>
      </c>
      <c r="KD624" s="20" t="str">
        <f t="shared" si="408"/>
        <v/>
      </c>
      <c r="KE624" s="52" t="str">
        <f t="shared" si="409"/>
        <v/>
      </c>
      <c r="KF624" s="15">
        <f t="shared" si="410"/>
        <v>0</v>
      </c>
      <c r="KG624" s="15">
        <f t="shared" si="411"/>
        <v>0</v>
      </c>
      <c r="KH624" s="21" t="str">
        <f t="shared" si="412"/>
        <v/>
      </c>
      <c r="KI624" s="52" t="str">
        <f t="shared" si="413"/>
        <v/>
      </c>
      <c r="KJ624" s="15">
        <f t="shared" si="414"/>
        <v>0</v>
      </c>
      <c r="KK624" s="15">
        <f t="shared" si="415"/>
        <v>0</v>
      </c>
      <c r="KL624" s="19" t="str">
        <f t="shared" si="416"/>
        <v/>
      </c>
      <c r="KM624" s="52" t="str">
        <f t="shared" si="417"/>
        <v/>
      </c>
      <c r="KN624" s="22">
        <f t="shared" si="418"/>
        <v>0</v>
      </c>
      <c r="KO624" s="22">
        <f t="shared" si="419"/>
        <v>0</v>
      </c>
      <c r="KP624" s="19" t="str">
        <f t="shared" si="420"/>
        <v/>
      </c>
      <c r="KQ624" s="11" t="str">
        <f t="shared" si="421"/>
        <v>2. Sensitive</v>
      </c>
      <c r="KR624" s="11" t="str">
        <f t="shared" si="422"/>
        <v>1. Tokenistic</v>
      </c>
      <c r="KS624" s="11" t="str">
        <f t="shared" si="423"/>
        <v>1. Neutral</v>
      </c>
      <c r="KT624" s="11" t="str">
        <f t="shared" si="424"/>
        <v>It did not develop any specific innovation</v>
      </c>
      <c r="KU624" s="11" t="str">
        <f t="shared" si="425"/>
        <v>Little or no advocacy</v>
      </c>
      <c r="KV624" s="11" t="str">
        <f t="shared" si="426"/>
        <v>It linked and worked with strategic alliances and partners to take tested and effective solutions to scale</v>
      </c>
      <c r="KW624" s="11" t="str">
        <f t="shared" si="427"/>
        <v>Philippines - Typhoon Nock-ten Response</v>
      </c>
      <c r="KX624" s="11" t="str">
        <f t="shared" si="428"/>
        <v>Typhoon Nock-ten Response</v>
      </c>
      <c r="KY624" s="11" t="str">
        <f t="shared" si="429"/>
        <v>Philippines</v>
      </c>
      <c r="KZ624" s="12">
        <v>624</v>
      </c>
    </row>
    <row r="625" spans="1:312" x14ac:dyDescent="0.3">
      <c r="A625" s="12" t="s">
        <v>10350</v>
      </c>
      <c r="B625" s="12" t="s">
        <v>602</v>
      </c>
      <c r="C625" s="12"/>
      <c r="D625" s="12" t="s">
        <v>10351</v>
      </c>
      <c r="E625" s="277" t="str">
        <f t="shared" si="387"/>
        <v>Romania</v>
      </c>
      <c r="F625" s="12" t="s">
        <v>10352</v>
      </c>
      <c r="G625" s="12" t="s">
        <v>608</v>
      </c>
      <c r="H625" s="11" t="s">
        <v>310</v>
      </c>
      <c r="I625" s="12"/>
      <c r="J625" s="281"/>
      <c r="K625" s="12"/>
      <c r="L625" s="12"/>
      <c r="M625" s="12"/>
      <c r="N625" s="12"/>
      <c r="O625" s="12"/>
      <c r="P625" s="12"/>
      <c r="Q625" s="12"/>
      <c r="R625" s="12"/>
      <c r="S625" s="12"/>
      <c r="T625" s="12"/>
      <c r="U625" s="12"/>
      <c r="V625" s="12"/>
      <c r="W625" s="12"/>
      <c r="X625" s="12"/>
      <c r="Y625" s="12"/>
      <c r="Z625" s="12"/>
      <c r="AA625" s="12"/>
      <c r="AB625" s="12"/>
      <c r="AC625" s="12"/>
      <c r="AD625" s="12"/>
      <c r="BD625" s="13">
        <v>37622</v>
      </c>
      <c r="BE625" s="12"/>
      <c r="BF625" s="12"/>
      <c r="BG625" s="12" t="s">
        <v>312</v>
      </c>
      <c r="BH625" s="14">
        <v>2400000</v>
      </c>
      <c r="BI625" s="12" t="s">
        <v>10353</v>
      </c>
      <c r="BJ625" s="12" t="s">
        <v>10354</v>
      </c>
      <c r="BK625" s="12" t="s">
        <v>10355</v>
      </c>
      <c r="BL625" s="12" t="s">
        <v>10356</v>
      </c>
      <c r="BM625" s="12" t="s">
        <v>10357</v>
      </c>
      <c r="BN625" s="12" t="s">
        <v>10358</v>
      </c>
      <c r="BO625" s="12" t="s">
        <v>319</v>
      </c>
      <c r="BP625" s="12" t="s">
        <v>320</v>
      </c>
      <c r="BQ625" s="12" t="s">
        <v>319</v>
      </c>
      <c r="BR625" s="12" t="s">
        <v>10359</v>
      </c>
      <c r="BS625" s="12" t="s">
        <v>322</v>
      </c>
      <c r="BT625" s="12" t="s">
        <v>10360</v>
      </c>
      <c r="BU625" s="12" t="s">
        <v>10361</v>
      </c>
      <c r="BV625" s="14">
        <v>4234</v>
      </c>
      <c r="BW625" s="14">
        <v>1423</v>
      </c>
      <c r="BX625" s="14">
        <v>5657</v>
      </c>
      <c r="BY625" s="14">
        <v>17000</v>
      </c>
      <c r="BZ625" s="14">
        <v>3050</v>
      </c>
      <c r="CA625" s="14">
        <v>20050</v>
      </c>
      <c r="CB625" s="12" t="s">
        <v>10362</v>
      </c>
      <c r="CD625" s="14"/>
      <c r="CE625" s="14"/>
      <c r="CF625" s="14"/>
      <c r="CG625" s="14"/>
      <c r="CH625" s="14"/>
      <c r="CI625" s="14"/>
      <c r="CJ625" s="12"/>
      <c r="CK625" s="14"/>
      <c r="CL625" s="16"/>
      <c r="CM625" s="14"/>
      <c r="CN625" s="12"/>
      <c r="CO625" s="14"/>
      <c r="CP625" s="16"/>
      <c r="CQ625" s="14"/>
      <c r="CR625" s="12"/>
      <c r="CS625" s="14"/>
      <c r="CT625" s="16"/>
      <c r="CU625" s="14"/>
      <c r="CV625" s="12"/>
      <c r="CW625" s="14"/>
      <c r="CX625" s="16"/>
      <c r="CY625" s="14"/>
      <c r="CZ625" s="12"/>
      <c r="DA625" s="14"/>
      <c r="DB625" s="16"/>
      <c r="DC625" s="14"/>
      <c r="DD625" s="12"/>
      <c r="DE625" s="14"/>
      <c r="DF625" s="16"/>
      <c r="DG625" s="14"/>
      <c r="DH625" s="12"/>
      <c r="DI625" s="14"/>
      <c r="DJ625" s="16"/>
      <c r="DK625" s="14"/>
      <c r="DL625" s="12"/>
      <c r="DM625" s="14"/>
      <c r="DN625" s="16"/>
      <c r="DO625" s="14"/>
      <c r="DP625" s="12"/>
      <c r="DQ625" s="14"/>
      <c r="DR625" s="16"/>
      <c r="DS625" s="14"/>
      <c r="DT625" s="12"/>
      <c r="DU625" s="14"/>
      <c r="DV625" s="16"/>
      <c r="DW625" s="14"/>
      <c r="DX625" s="12"/>
      <c r="DY625" s="14"/>
      <c r="DZ625" s="16"/>
      <c r="EA625" s="14"/>
      <c r="EB625" s="12"/>
      <c r="EC625" s="14"/>
      <c r="ED625" s="16"/>
      <c r="EE625" s="14"/>
      <c r="EF625" s="12"/>
      <c r="EG625" s="12"/>
      <c r="EH625" s="14"/>
      <c r="EI625" s="16"/>
      <c r="EJ625" s="14"/>
      <c r="EK625" s="14">
        <v>4234</v>
      </c>
      <c r="EL625" s="14">
        <v>1423</v>
      </c>
      <c r="EM625" s="14">
        <v>5657</v>
      </c>
      <c r="EN625" s="14">
        <v>14809</v>
      </c>
      <c r="EO625" s="14">
        <v>15149</v>
      </c>
      <c r="EP625" s="14">
        <v>29958</v>
      </c>
      <c r="EQ625" s="12" t="s">
        <v>319</v>
      </c>
      <c r="ER625" s="14"/>
      <c r="ES625" s="16"/>
      <c r="ET625" s="14"/>
      <c r="EU625" s="11" t="s">
        <v>319</v>
      </c>
      <c r="EV625" s="14"/>
      <c r="EW625" s="16"/>
      <c r="EX625" s="14"/>
      <c r="EY625" s="12" t="s">
        <v>319</v>
      </c>
      <c r="EZ625" s="14"/>
      <c r="FA625" s="16"/>
      <c r="FB625" s="14"/>
      <c r="FC625" s="12" t="s">
        <v>319</v>
      </c>
      <c r="FD625" s="14"/>
      <c r="FE625" s="16"/>
      <c r="FF625" s="14"/>
      <c r="FG625" s="12" t="s">
        <v>319</v>
      </c>
      <c r="FH625" s="14"/>
      <c r="FI625" s="16"/>
      <c r="FJ625" s="14"/>
      <c r="FK625" s="12" t="s">
        <v>319</v>
      </c>
      <c r="FL625" s="14"/>
      <c r="FM625" s="16"/>
      <c r="FN625" s="14"/>
      <c r="FO625" s="12" t="s">
        <v>319</v>
      </c>
      <c r="FP625" s="14"/>
      <c r="FQ625" s="16"/>
      <c r="FR625" s="14"/>
      <c r="FS625" s="12" t="s">
        <v>319</v>
      </c>
      <c r="FT625" s="14"/>
      <c r="FU625" s="16"/>
      <c r="FV625" s="14"/>
      <c r="FW625" s="12" t="s">
        <v>319</v>
      </c>
      <c r="FX625" s="14"/>
      <c r="FY625" s="16"/>
      <c r="FZ625" s="14"/>
      <c r="GA625" s="11" t="s">
        <v>320</v>
      </c>
      <c r="GB625" s="14">
        <v>960</v>
      </c>
      <c r="GC625" s="16">
        <v>0.4</v>
      </c>
      <c r="GD625" s="14">
        <v>2004</v>
      </c>
      <c r="GE625" s="12" t="s">
        <v>319</v>
      </c>
      <c r="GF625" s="14"/>
      <c r="GG625" s="16"/>
      <c r="GH625" s="14"/>
      <c r="GI625" s="12" t="s">
        <v>319</v>
      </c>
      <c r="GJ625" s="14"/>
      <c r="GK625" s="16"/>
      <c r="GL625" s="14"/>
      <c r="GM625" s="12" t="s">
        <v>319</v>
      </c>
      <c r="GN625" s="14"/>
      <c r="GO625" s="16"/>
      <c r="GP625" s="14"/>
      <c r="GQ625" s="12" t="s">
        <v>320</v>
      </c>
      <c r="GR625" s="14">
        <v>3055</v>
      </c>
      <c r="GS625" s="16">
        <v>1</v>
      </c>
      <c r="GT625" s="14">
        <v>21385</v>
      </c>
      <c r="GU625" s="12" t="s">
        <v>319</v>
      </c>
      <c r="GV625" s="14"/>
      <c r="GW625" s="16"/>
      <c r="GX625" s="14"/>
      <c r="GY625" s="12" t="s">
        <v>319</v>
      </c>
      <c r="GZ625" s="14"/>
      <c r="HA625" s="16"/>
      <c r="HB625" s="14"/>
      <c r="HC625" s="12" t="s">
        <v>4341</v>
      </c>
      <c r="HD625" s="11" t="s">
        <v>320</v>
      </c>
      <c r="HE625" s="14">
        <v>1642</v>
      </c>
      <c r="HF625" s="16">
        <v>0.48</v>
      </c>
      <c r="HG625" s="14">
        <v>6568</v>
      </c>
      <c r="HH625" s="12" t="s">
        <v>319</v>
      </c>
      <c r="HI625" s="12"/>
      <c r="HJ625" s="12"/>
      <c r="HK625" s="12" t="s">
        <v>319</v>
      </c>
      <c r="HL625" s="12" t="s">
        <v>320</v>
      </c>
      <c r="HM625" s="12" t="s">
        <v>416</v>
      </c>
      <c r="HN625" s="12">
        <v>2018</v>
      </c>
      <c r="HO625" s="12" t="s">
        <v>10363</v>
      </c>
      <c r="HP625" s="12" t="s">
        <v>418</v>
      </c>
      <c r="HQ625" s="12" t="s">
        <v>319</v>
      </c>
      <c r="HR625" s="12" t="s">
        <v>319</v>
      </c>
      <c r="HS625" s="12" t="s">
        <v>319</v>
      </c>
      <c r="HT625" s="12" t="s">
        <v>319</v>
      </c>
      <c r="HU625" s="12" t="s">
        <v>319</v>
      </c>
      <c r="HV625" s="12" t="s">
        <v>319</v>
      </c>
      <c r="HW625" s="12" t="s">
        <v>319</v>
      </c>
      <c r="HX625" s="12" t="s">
        <v>319</v>
      </c>
      <c r="HY625" s="12"/>
      <c r="HZ625" s="11" t="s">
        <v>394</v>
      </c>
      <c r="IA625" s="12" t="s">
        <v>4342</v>
      </c>
      <c r="IB625" s="12" t="s">
        <v>396</v>
      </c>
      <c r="IC625" s="12" t="s">
        <v>4343</v>
      </c>
      <c r="ID625" s="11" t="s">
        <v>364</v>
      </c>
      <c r="IE625" s="12" t="s">
        <v>335</v>
      </c>
      <c r="IF625" s="12" t="s">
        <v>319</v>
      </c>
      <c r="IG625" s="12" t="s">
        <v>320</v>
      </c>
      <c r="IH625" s="12" t="s">
        <v>320</v>
      </c>
      <c r="II625" s="12" t="s">
        <v>319</v>
      </c>
      <c r="IJ625" s="12" t="str">
        <f t="shared" si="388"/>
        <v>1. Neutral</v>
      </c>
      <c r="IK625" s="12">
        <f t="shared" si="389"/>
        <v>2</v>
      </c>
      <c r="IL625" s="12" t="s">
        <v>723</v>
      </c>
      <c r="IM625" s="12"/>
      <c r="IN625" s="12"/>
      <c r="IO625" s="12"/>
      <c r="IP625" s="12"/>
      <c r="IQ625" s="12" t="str">
        <f t="shared" si="390"/>
        <v>0. Unaware</v>
      </c>
      <c r="IR625" s="12">
        <f t="shared" si="391"/>
        <v>0</v>
      </c>
      <c r="IS625" s="12" t="s">
        <v>456</v>
      </c>
      <c r="IT625" s="12"/>
      <c r="IU625" s="12"/>
      <c r="IV625" s="12"/>
      <c r="IW625" s="11" t="str">
        <f t="shared" si="392"/>
        <v>0. Harmful</v>
      </c>
      <c r="IX625" s="12">
        <f t="shared" si="393"/>
        <v>0</v>
      </c>
      <c r="IY625" s="11" t="s">
        <v>338</v>
      </c>
      <c r="IZ625" s="12" t="s">
        <v>457</v>
      </c>
      <c r="JA625" s="12">
        <v>1</v>
      </c>
      <c r="JB625" s="11" t="s">
        <v>433</v>
      </c>
      <c r="JC625" s="12"/>
      <c r="JD625" s="12"/>
      <c r="JE625" s="12" t="s">
        <v>420</v>
      </c>
      <c r="JF625" s="12"/>
      <c r="JG625" s="12"/>
      <c r="JH625" s="12" t="s">
        <v>10364</v>
      </c>
      <c r="JI625" s="12" t="s">
        <v>10365</v>
      </c>
      <c r="JJ625" s="12" t="s">
        <v>10366</v>
      </c>
      <c r="JK625" s="12" t="s">
        <v>10367</v>
      </c>
      <c r="JL625" s="12" t="s">
        <v>10368</v>
      </c>
      <c r="JM625" s="12" t="s">
        <v>10369</v>
      </c>
      <c r="JN625" s="12" t="s">
        <v>10370</v>
      </c>
      <c r="JO625" s="12"/>
      <c r="JP625" s="15">
        <f t="shared" si="394"/>
        <v>5657</v>
      </c>
      <c r="JQ625" s="15">
        <f t="shared" si="395"/>
        <v>29958</v>
      </c>
      <c r="JR625" s="279">
        <f t="shared" si="396"/>
        <v>5.2957397914088737</v>
      </c>
      <c r="JS625" s="17">
        <f t="shared" si="397"/>
        <v>0.74845324376878208</v>
      </c>
      <c r="JT625" s="18">
        <f t="shared" si="398"/>
        <v>0.49432538887776217</v>
      </c>
      <c r="JU625" s="280">
        <f t="shared" si="399"/>
        <v>4234</v>
      </c>
      <c r="JV625" s="280">
        <f t="shared" si="400"/>
        <v>14809</v>
      </c>
      <c r="JW625" s="319" t="str">
        <f t="shared" si="401"/>
        <v/>
      </c>
      <c r="JX625" s="15">
        <f t="shared" si="402"/>
        <v>0</v>
      </c>
      <c r="JY625" s="15">
        <f t="shared" si="403"/>
        <v>0</v>
      </c>
      <c r="JZ625" s="19" t="str">
        <f t="shared" si="404"/>
        <v/>
      </c>
      <c r="KA625" s="52" t="str">
        <f t="shared" si="405"/>
        <v/>
      </c>
      <c r="KB625" s="15">
        <f t="shared" si="406"/>
        <v>0</v>
      </c>
      <c r="KC625" s="15">
        <f t="shared" si="407"/>
        <v>0</v>
      </c>
      <c r="KD625" s="20" t="str">
        <f t="shared" si="408"/>
        <v/>
      </c>
      <c r="KE625" s="52">
        <f t="shared" si="409"/>
        <v>1</v>
      </c>
      <c r="KF625" s="15">
        <f t="shared" si="410"/>
        <v>3055</v>
      </c>
      <c r="KG625" s="15">
        <f t="shared" si="411"/>
        <v>21385</v>
      </c>
      <c r="KH625" s="21">
        <f t="shared" si="412"/>
        <v>7</v>
      </c>
      <c r="KI625" s="52" t="str">
        <f t="shared" si="413"/>
        <v/>
      </c>
      <c r="KJ625" s="15">
        <f t="shared" si="414"/>
        <v>0</v>
      </c>
      <c r="KK625" s="15">
        <f t="shared" si="415"/>
        <v>0</v>
      </c>
      <c r="KL625" s="19" t="str">
        <f t="shared" si="416"/>
        <v/>
      </c>
      <c r="KM625" s="52" t="str">
        <f t="shared" si="417"/>
        <v/>
      </c>
      <c r="KN625" s="22">
        <f t="shared" si="418"/>
        <v>0</v>
      </c>
      <c r="KO625" s="22">
        <f t="shared" si="419"/>
        <v>0</v>
      </c>
      <c r="KP625" s="19" t="str">
        <f t="shared" si="420"/>
        <v/>
      </c>
      <c r="KQ625" s="11" t="str">
        <f t="shared" si="421"/>
        <v>1. Neutral</v>
      </c>
      <c r="KR625" s="11" t="str">
        <f t="shared" si="422"/>
        <v>0. Unaware</v>
      </c>
      <c r="KS625" s="11" t="str">
        <f t="shared" si="423"/>
        <v>0. Harmful</v>
      </c>
      <c r="KT625" s="11" t="str">
        <f t="shared" si="424"/>
        <v>It tested new ways for fighting poverty, but did not measure results of innovation</v>
      </c>
      <c r="KU625" s="11" t="str">
        <f t="shared" si="425"/>
        <v>Little or no advocacy</v>
      </c>
      <c r="KV625" s="11" t="str">
        <f t="shared" si="426"/>
        <v>It linked and worked with strategic alliances and partners to take tested and effective solutions to scale</v>
      </c>
      <c r="KW625" s="11" t="str">
        <f t="shared" si="427"/>
        <v>Romania - Soutien aux programmes de SERA Romania, programmes de réforme du système de protection roumain</v>
      </c>
      <c r="KX625" s="11" t="str">
        <f t="shared" si="428"/>
        <v>Soutien aux programmes de SERA Romania, programmes de réforme du système de protection roumain</v>
      </c>
      <c r="KY625" s="11" t="str">
        <f t="shared" si="429"/>
        <v>Romania</v>
      </c>
      <c r="KZ625" s="12">
        <v>625</v>
      </c>
    </row>
    <row r="626" spans="1:312" x14ac:dyDescent="0.3">
      <c r="A626" s="12" t="s">
        <v>10371</v>
      </c>
      <c r="B626" s="12" t="s">
        <v>1874</v>
      </c>
      <c r="C626" s="12">
        <v>3297</v>
      </c>
      <c r="D626" s="12" t="s">
        <v>10486</v>
      </c>
      <c r="E626" s="277" t="str">
        <f t="shared" si="387"/>
        <v>Rwanda</v>
      </c>
      <c r="F626" s="12" t="s">
        <v>10487</v>
      </c>
      <c r="G626" s="12" t="s">
        <v>379</v>
      </c>
      <c r="H626" s="12" t="s">
        <v>383</v>
      </c>
      <c r="I626" s="12" t="s">
        <v>384</v>
      </c>
      <c r="J626" s="281" t="s">
        <v>10488</v>
      </c>
      <c r="K626" s="12"/>
      <c r="L626" s="12"/>
      <c r="M626" s="12"/>
      <c r="N626" s="12"/>
      <c r="O626" s="12"/>
      <c r="P626" s="12"/>
      <c r="Q626" s="12"/>
      <c r="R626" s="12"/>
      <c r="S626" s="12"/>
      <c r="T626" s="12"/>
      <c r="U626" s="12"/>
      <c r="V626" s="12"/>
      <c r="W626" s="12"/>
      <c r="X626" s="12"/>
      <c r="Y626" s="12"/>
      <c r="Z626" s="12"/>
      <c r="AA626" s="12"/>
      <c r="AB626" s="12"/>
      <c r="AC626" s="12"/>
      <c r="AD626" s="12"/>
      <c r="BD626" s="13">
        <v>42370</v>
      </c>
      <c r="BE626" s="13">
        <v>43435</v>
      </c>
      <c r="BF626" s="12"/>
      <c r="BG626" s="12" t="s">
        <v>312</v>
      </c>
      <c r="BH626" s="14">
        <v>870013</v>
      </c>
      <c r="BI626" s="12" t="s">
        <v>10489</v>
      </c>
      <c r="BJ626" s="12" t="s">
        <v>354</v>
      </c>
      <c r="BK626" s="12" t="s">
        <v>10490</v>
      </c>
      <c r="BL626" s="12" t="s">
        <v>10491</v>
      </c>
      <c r="BM626" s="12" t="s">
        <v>8849</v>
      </c>
      <c r="BN626" s="12" t="s">
        <v>10492</v>
      </c>
      <c r="BO626" s="11" t="s">
        <v>319</v>
      </c>
      <c r="BP626" s="11" t="s">
        <v>320</v>
      </c>
      <c r="BQ626" s="11" t="s">
        <v>319</v>
      </c>
      <c r="BR626" s="12" t="s">
        <v>10493</v>
      </c>
      <c r="BS626" s="12" t="s">
        <v>357</v>
      </c>
      <c r="BT626" s="12" t="s">
        <v>10494</v>
      </c>
      <c r="BU626" s="12" t="s">
        <v>10495</v>
      </c>
      <c r="BV626" s="14">
        <v>28569</v>
      </c>
      <c r="BW626" s="14">
        <v>20143</v>
      </c>
      <c r="BX626" s="14">
        <v>48712</v>
      </c>
      <c r="BY626" s="14">
        <v>83144</v>
      </c>
      <c r="BZ626" s="14">
        <v>65328</v>
      </c>
      <c r="CA626" s="14">
        <v>148472</v>
      </c>
      <c r="CB626" s="12" t="s">
        <v>10496</v>
      </c>
      <c r="CD626" s="14"/>
      <c r="CE626" s="14"/>
      <c r="CF626" s="14"/>
      <c r="CG626" s="14"/>
      <c r="CH626" s="14"/>
      <c r="CI626" s="14"/>
      <c r="CJ626" s="12"/>
      <c r="CK626" s="14"/>
      <c r="CL626" s="16"/>
      <c r="CM626" s="14"/>
      <c r="CN626" s="12"/>
      <c r="CO626" s="14"/>
      <c r="CP626" s="16"/>
      <c r="CQ626" s="14"/>
      <c r="CR626" s="12"/>
      <c r="CS626" s="14"/>
      <c r="CT626" s="16"/>
      <c r="CU626" s="14"/>
      <c r="CV626" s="12"/>
      <c r="CW626" s="14"/>
      <c r="CX626" s="16"/>
      <c r="CY626" s="14"/>
      <c r="CZ626" s="12"/>
      <c r="DA626" s="14"/>
      <c r="DB626" s="16"/>
      <c r="DC626" s="14"/>
      <c r="DD626" s="12"/>
      <c r="DE626" s="14"/>
      <c r="DF626" s="16"/>
      <c r="DG626" s="14"/>
      <c r="DH626" s="12"/>
      <c r="DI626" s="14"/>
      <c r="DJ626" s="16"/>
      <c r="DK626" s="14"/>
      <c r="DL626" s="12"/>
      <c r="DM626" s="14"/>
      <c r="DN626" s="16"/>
      <c r="DO626" s="14"/>
      <c r="DP626" s="12"/>
      <c r="DQ626" s="14"/>
      <c r="DR626" s="16"/>
      <c r="DS626" s="14"/>
      <c r="DT626" s="12"/>
      <c r="DU626" s="14"/>
      <c r="DV626" s="16"/>
      <c r="DW626" s="14"/>
      <c r="DX626" s="12"/>
      <c r="DY626" s="14"/>
      <c r="DZ626" s="16"/>
      <c r="EA626" s="14"/>
      <c r="EB626" s="12"/>
      <c r="EC626" s="14"/>
      <c r="ED626" s="16"/>
      <c r="EE626" s="14"/>
      <c r="EF626" s="12"/>
      <c r="EG626" s="12"/>
      <c r="EH626" s="14"/>
      <c r="EI626" s="16"/>
      <c r="EJ626" s="14"/>
      <c r="EK626" s="14">
        <v>24856</v>
      </c>
      <c r="EL626" s="14">
        <v>19966</v>
      </c>
      <c r="EM626" s="14">
        <v>44822</v>
      </c>
      <c r="EN626" s="14">
        <v>76609</v>
      </c>
      <c r="EO626" s="14">
        <v>60193</v>
      </c>
      <c r="EP626" s="14">
        <v>136802</v>
      </c>
      <c r="EQ626" s="12" t="s">
        <v>319</v>
      </c>
      <c r="ER626" s="14"/>
      <c r="ES626" s="16"/>
      <c r="ET626" s="14"/>
      <c r="EU626" s="11" t="s">
        <v>319</v>
      </c>
      <c r="EV626" s="14"/>
      <c r="EW626" s="16"/>
      <c r="EX626" s="14"/>
      <c r="EY626" s="12" t="s">
        <v>319</v>
      </c>
      <c r="EZ626" s="14"/>
      <c r="FA626" s="16"/>
      <c r="FB626" s="14"/>
      <c r="FC626" s="12" t="s">
        <v>319</v>
      </c>
      <c r="FD626" s="14"/>
      <c r="FE626" s="16"/>
      <c r="FF626" s="14"/>
      <c r="FG626" s="12" t="s">
        <v>319</v>
      </c>
      <c r="FH626" s="14"/>
      <c r="FI626" s="16"/>
      <c r="FJ626" s="14"/>
      <c r="FK626" s="12" t="s">
        <v>320</v>
      </c>
      <c r="FL626" s="14">
        <v>44822</v>
      </c>
      <c r="FM626" s="16">
        <v>0.55454910999999996</v>
      </c>
      <c r="FN626" s="14">
        <v>136802</v>
      </c>
      <c r="FO626" s="12" t="s">
        <v>320</v>
      </c>
      <c r="FP626" s="14">
        <v>200</v>
      </c>
      <c r="FQ626" s="16">
        <v>0.92</v>
      </c>
      <c r="FR626" s="14">
        <v>0</v>
      </c>
      <c r="FS626" s="12" t="s">
        <v>320</v>
      </c>
      <c r="FT626" s="14">
        <v>44822</v>
      </c>
      <c r="FU626" s="16">
        <v>0.55454910999999996</v>
      </c>
      <c r="FV626" s="14">
        <v>136802</v>
      </c>
      <c r="FW626" s="12" t="s">
        <v>319</v>
      </c>
      <c r="FX626" s="14"/>
      <c r="FY626" s="16"/>
      <c r="FZ626" s="14"/>
      <c r="GA626" s="12" t="s">
        <v>319</v>
      </c>
      <c r="GB626" s="14"/>
      <c r="GC626" s="16"/>
      <c r="GD626" s="14"/>
      <c r="GE626" s="12" t="s">
        <v>319</v>
      </c>
      <c r="GF626" s="14"/>
      <c r="GG626" s="16"/>
      <c r="GH626" s="14"/>
      <c r="GI626" s="12" t="s">
        <v>319</v>
      </c>
      <c r="GJ626" s="14"/>
      <c r="GK626" s="16"/>
      <c r="GL626" s="14"/>
      <c r="GM626" s="12" t="s">
        <v>320</v>
      </c>
      <c r="GN626" s="14"/>
      <c r="GO626" s="16"/>
      <c r="GP626" s="14"/>
      <c r="GQ626" s="12" t="s">
        <v>320</v>
      </c>
      <c r="GR626" s="14">
        <v>44822</v>
      </c>
      <c r="GS626" s="16">
        <v>0.55454910999999996</v>
      </c>
      <c r="GT626" s="14">
        <v>136802</v>
      </c>
      <c r="GU626" s="12" t="s">
        <v>319</v>
      </c>
      <c r="GV626" s="14"/>
      <c r="GW626" s="16"/>
      <c r="GX626" s="14"/>
      <c r="GY626" s="11" t="s">
        <v>320</v>
      </c>
      <c r="GZ626" s="14">
        <v>44822</v>
      </c>
      <c r="HA626" s="16">
        <v>0.55454910999999996</v>
      </c>
      <c r="HB626" s="14">
        <v>136802</v>
      </c>
      <c r="HC626" s="12"/>
      <c r="HD626" s="12"/>
      <c r="HE626" s="14"/>
      <c r="HF626" s="16"/>
      <c r="HG626" s="14"/>
      <c r="HH626" s="12" t="s">
        <v>320</v>
      </c>
      <c r="HI626" s="12" t="s">
        <v>451</v>
      </c>
      <c r="HJ626" s="12">
        <v>2017</v>
      </c>
      <c r="HK626" s="12" t="s">
        <v>320</v>
      </c>
      <c r="HL626" s="12" t="s">
        <v>319</v>
      </c>
      <c r="HM626" s="12"/>
      <c r="HN626" s="12"/>
      <c r="HO626" s="12" t="s">
        <v>10497</v>
      </c>
      <c r="HP626" s="12" t="s">
        <v>418</v>
      </c>
      <c r="HQ626" s="12" t="s">
        <v>319</v>
      </c>
      <c r="HR626" s="12" t="s">
        <v>319</v>
      </c>
      <c r="HS626" s="12" t="s">
        <v>319</v>
      </c>
      <c r="HT626" s="12" t="s">
        <v>319</v>
      </c>
      <c r="HU626" s="12" t="s">
        <v>319</v>
      </c>
      <c r="HV626" s="12" t="s">
        <v>319</v>
      </c>
      <c r="HW626" s="12" t="s">
        <v>319</v>
      </c>
      <c r="HX626" s="12"/>
      <c r="HY626" s="12"/>
      <c r="HZ626" s="12" t="s">
        <v>363</v>
      </c>
      <c r="IA626" s="12"/>
      <c r="IB626" s="12" t="s">
        <v>396</v>
      </c>
      <c r="IC626" s="12" t="s">
        <v>10498</v>
      </c>
      <c r="ID626" s="12" t="s">
        <v>334</v>
      </c>
      <c r="IE626" s="12" t="s">
        <v>478</v>
      </c>
      <c r="IF626" s="12" t="s">
        <v>320</v>
      </c>
      <c r="IG626" s="12" t="s">
        <v>320</v>
      </c>
      <c r="IH626" s="12" t="s">
        <v>320</v>
      </c>
      <c r="II626" s="12" t="s">
        <v>320</v>
      </c>
      <c r="IJ626" s="12" t="str">
        <f t="shared" si="388"/>
        <v>4. Transformative</v>
      </c>
      <c r="IK626" s="12">
        <f t="shared" si="389"/>
        <v>4</v>
      </c>
      <c r="IL626" s="12" t="s">
        <v>336</v>
      </c>
      <c r="IM626" s="12" t="s">
        <v>319</v>
      </c>
      <c r="IN626" s="12" t="s">
        <v>320</v>
      </c>
      <c r="IO626" s="12" t="s">
        <v>320</v>
      </c>
      <c r="IP626" s="12" t="s">
        <v>320</v>
      </c>
      <c r="IQ626" s="12" t="str">
        <f t="shared" si="390"/>
        <v>2. Accommodating</v>
      </c>
      <c r="IR626" s="12">
        <f t="shared" si="391"/>
        <v>3</v>
      </c>
      <c r="IS626" s="12" t="s">
        <v>622</v>
      </c>
      <c r="IT626" s="12" t="s">
        <v>319</v>
      </c>
      <c r="IU626" s="12" t="s">
        <v>320</v>
      </c>
      <c r="IV626" s="12" t="s">
        <v>320</v>
      </c>
      <c r="IW626" s="11" t="str">
        <f t="shared" si="392"/>
        <v>3. Responsive</v>
      </c>
      <c r="IX626" s="12">
        <f t="shared" si="393"/>
        <v>2</v>
      </c>
      <c r="IY626" s="12" t="s">
        <v>338</v>
      </c>
      <c r="IZ626" s="12" t="s">
        <v>457</v>
      </c>
      <c r="JA626" s="12">
        <v>2</v>
      </c>
      <c r="JB626" s="12" t="s">
        <v>433</v>
      </c>
      <c r="JC626" s="12"/>
      <c r="JD626" s="12"/>
      <c r="JE626" s="12" t="s">
        <v>420</v>
      </c>
      <c r="JF626" s="12"/>
      <c r="JG626" s="12" t="s">
        <v>10499</v>
      </c>
      <c r="JH626" s="12" t="s">
        <v>10500</v>
      </c>
      <c r="JI626" s="12" t="s">
        <v>10501</v>
      </c>
      <c r="JJ626" s="12" t="s">
        <v>10502</v>
      </c>
      <c r="JK626" s="12"/>
      <c r="JL626" s="12" t="s">
        <v>10503</v>
      </c>
      <c r="JM626" s="12" t="s">
        <v>10504</v>
      </c>
      <c r="JN626" s="12" t="s">
        <v>10505</v>
      </c>
      <c r="JO626" s="12"/>
      <c r="JP626" s="15">
        <f t="shared" si="394"/>
        <v>44822</v>
      </c>
      <c r="JQ626" s="15">
        <f t="shared" si="395"/>
        <v>136802</v>
      </c>
      <c r="JR626" s="279">
        <f t="shared" si="396"/>
        <v>3.0521172638436482</v>
      </c>
      <c r="JS626" s="17">
        <f t="shared" si="397"/>
        <v>0.55454910535005131</v>
      </c>
      <c r="JT626" s="18">
        <f t="shared" si="398"/>
        <v>0.55999912281984177</v>
      </c>
      <c r="JU626" s="280">
        <f t="shared" si="399"/>
        <v>24856</v>
      </c>
      <c r="JV626" s="280">
        <f t="shared" si="400"/>
        <v>76609</v>
      </c>
      <c r="JW626" s="319" t="str">
        <f t="shared" si="401"/>
        <v/>
      </c>
      <c r="JX626" s="15">
        <f t="shared" si="402"/>
        <v>0</v>
      </c>
      <c r="JY626" s="15">
        <f t="shared" si="403"/>
        <v>0</v>
      </c>
      <c r="JZ626" s="19" t="str">
        <f t="shared" si="404"/>
        <v/>
      </c>
      <c r="KA626" s="52">
        <f t="shared" si="405"/>
        <v>1</v>
      </c>
      <c r="KB626" s="15">
        <f t="shared" si="406"/>
        <v>200</v>
      </c>
      <c r="KC626" s="15">
        <f t="shared" si="407"/>
        <v>0</v>
      </c>
      <c r="KD626" s="20">
        <f t="shared" si="408"/>
        <v>0</v>
      </c>
      <c r="KE626" s="52">
        <f t="shared" si="409"/>
        <v>1</v>
      </c>
      <c r="KF626" s="15">
        <f t="shared" si="410"/>
        <v>44822</v>
      </c>
      <c r="KG626" s="15">
        <f t="shared" si="411"/>
        <v>136802</v>
      </c>
      <c r="KH626" s="21">
        <f t="shared" si="412"/>
        <v>3.0521172638436482</v>
      </c>
      <c r="KI626" s="52">
        <f t="shared" si="413"/>
        <v>1</v>
      </c>
      <c r="KJ626" s="15">
        <f t="shared" si="414"/>
        <v>44822</v>
      </c>
      <c r="KK626" s="15">
        <f t="shared" si="415"/>
        <v>136802</v>
      </c>
      <c r="KL626" s="19">
        <f t="shared" si="416"/>
        <v>3.0521172638436482</v>
      </c>
      <c r="KM626" s="52">
        <f t="shared" si="417"/>
        <v>1</v>
      </c>
      <c r="KN626" s="22">
        <f t="shared" si="418"/>
        <v>44822</v>
      </c>
      <c r="KO626" s="22">
        <f t="shared" si="419"/>
        <v>136802</v>
      </c>
      <c r="KP626" s="19">
        <f t="shared" si="420"/>
        <v>3.0521172638436482</v>
      </c>
      <c r="KQ626" s="11" t="str">
        <f t="shared" si="421"/>
        <v>4. Transformative</v>
      </c>
      <c r="KR626" s="11" t="str">
        <f t="shared" si="422"/>
        <v>2. Accommodating</v>
      </c>
      <c r="KS626" s="11" t="str">
        <f t="shared" si="423"/>
        <v>3. Responsive</v>
      </c>
      <c r="KT626" s="11" t="str">
        <f t="shared" si="424"/>
        <v>It did not develop any specific innovation</v>
      </c>
      <c r="KU626" s="11" t="str">
        <f t="shared" si="425"/>
        <v>Little or no advocacy</v>
      </c>
      <c r="KV626" s="11" t="str">
        <f t="shared" si="426"/>
        <v>It linked and worked with strategic alliances and partners to take tested and effective solutions to scale</v>
      </c>
      <c r="KW626" s="11" t="str">
        <f t="shared" si="427"/>
        <v>Rwanda - Better Environment for Education (BEE)</v>
      </c>
      <c r="KX626" s="11" t="str">
        <f t="shared" si="428"/>
        <v>Better Environment for Education (BEE)</v>
      </c>
      <c r="KY626" s="11" t="str">
        <f t="shared" si="429"/>
        <v>Rwanda</v>
      </c>
      <c r="KZ626" s="12">
        <v>626</v>
      </c>
    </row>
    <row r="627" spans="1:312" x14ac:dyDescent="0.3">
      <c r="A627" s="12" t="s">
        <v>10371</v>
      </c>
      <c r="B627" s="12" t="s">
        <v>1874</v>
      </c>
      <c r="C627" s="12">
        <v>3298</v>
      </c>
      <c r="D627" s="12" t="s">
        <v>10540</v>
      </c>
      <c r="E627" s="277" t="str">
        <f t="shared" si="387"/>
        <v>Rwanda</v>
      </c>
      <c r="F627" s="12" t="s">
        <v>10541</v>
      </c>
      <c r="G627" s="12" t="s">
        <v>608</v>
      </c>
      <c r="H627" s="12" t="s">
        <v>380</v>
      </c>
      <c r="I627" s="12" t="s">
        <v>381</v>
      </c>
      <c r="J627" s="281" t="s">
        <v>8430</v>
      </c>
      <c r="K627" s="12"/>
      <c r="L627" s="12"/>
      <c r="M627" s="12"/>
      <c r="N627" s="12"/>
      <c r="O627" s="12"/>
      <c r="P627" s="12"/>
      <c r="Q627" s="12"/>
      <c r="R627" s="12"/>
      <c r="S627" s="12"/>
      <c r="T627" s="12"/>
      <c r="U627" s="12"/>
      <c r="V627" s="12"/>
      <c r="W627" s="12"/>
      <c r="X627" s="12"/>
      <c r="Y627" s="12"/>
      <c r="Z627" s="12"/>
      <c r="AA627" s="12"/>
      <c r="AB627" s="12"/>
      <c r="AC627" s="12"/>
      <c r="AD627" s="12"/>
      <c r="BD627" s="13">
        <v>42221</v>
      </c>
      <c r="BE627" s="13">
        <v>42735</v>
      </c>
      <c r="BF627" s="13">
        <v>42825</v>
      </c>
      <c r="BG627" s="12" t="s">
        <v>749</v>
      </c>
      <c r="BH627" s="14">
        <v>424019</v>
      </c>
      <c r="BI627" s="12" t="s">
        <v>10510</v>
      </c>
      <c r="BJ627" s="12" t="s">
        <v>354</v>
      </c>
      <c r="BK627" s="12" t="s">
        <v>10511</v>
      </c>
      <c r="BL627" s="12" t="s">
        <v>10512</v>
      </c>
      <c r="BM627" s="12" t="s">
        <v>10513</v>
      </c>
      <c r="BN627" s="12" t="s">
        <v>10492</v>
      </c>
      <c r="BO627" s="12" t="s">
        <v>319</v>
      </c>
      <c r="BP627" s="12" t="s">
        <v>320</v>
      </c>
      <c r="BQ627" s="12" t="s">
        <v>319</v>
      </c>
      <c r="BR627" s="12" t="s">
        <v>10542</v>
      </c>
      <c r="BS627" s="12" t="s">
        <v>357</v>
      </c>
      <c r="BT627" s="12" t="s">
        <v>10543</v>
      </c>
      <c r="BU627" s="12" t="s">
        <v>10544</v>
      </c>
      <c r="BV627" s="14">
        <v>7925</v>
      </c>
      <c r="BW627" s="14">
        <v>7315</v>
      </c>
      <c r="BX627" s="14">
        <v>15240</v>
      </c>
      <c r="BY627" s="14">
        <v>19812</v>
      </c>
      <c r="BZ627" s="14">
        <v>18288</v>
      </c>
      <c r="CA627" s="14">
        <v>38100</v>
      </c>
      <c r="CB627" s="12" t="s">
        <v>10545</v>
      </c>
      <c r="CD627" s="14"/>
      <c r="CE627" s="14"/>
      <c r="CF627" s="14"/>
      <c r="CG627" s="14"/>
      <c r="CH627" s="14"/>
      <c r="CI627" s="14"/>
      <c r="CJ627" s="12"/>
      <c r="CK627" s="14"/>
      <c r="CL627" s="16"/>
      <c r="CM627" s="14"/>
      <c r="CN627" s="12"/>
      <c r="CO627" s="14"/>
      <c r="CP627" s="16"/>
      <c r="CQ627" s="14"/>
      <c r="CR627" s="12"/>
      <c r="CS627" s="14"/>
      <c r="CT627" s="16"/>
      <c r="CU627" s="14"/>
      <c r="CV627" s="12"/>
      <c r="CW627" s="14"/>
      <c r="CX627" s="16"/>
      <c r="CY627" s="14"/>
      <c r="CZ627" s="12"/>
      <c r="DA627" s="14"/>
      <c r="DB627" s="16"/>
      <c r="DC627" s="14"/>
      <c r="DD627" s="12"/>
      <c r="DE627" s="14"/>
      <c r="DF627" s="16"/>
      <c r="DG627" s="14"/>
      <c r="DH627" s="12"/>
      <c r="DI627" s="14"/>
      <c r="DJ627" s="16"/>
      <c r="DK627" s="14"/>
      <c r="DL627" s="12"/>
      <c r="DM627" s="14"/>
      <c r="DN627" s="16"/>
      <c r="DO627" s="14"/>
      <c r="DP627" s="12"/>
      <c r="DQ627" s="14"/>
      <c r="DR627" s="16"/>
      <c r="DS627" s="14"/>
      <c r="DT627" s="12"/>
      <c r="DU627" s="14"/>
      <c r="DV627" s="16"/>
      <c r="DW627" s="14"/>
      <c r="DX627" s="12"/>
      <c r="DY627" s="14"/>
      <c r="DZ627" s="16"/>
      <c r="EA627" s="14"/>
      <c r="EB627" s="12"/>
      <c r="EC627" s="14"/>
      <c r="ED627" s="16"/>
      <c r="EE627" s="14"/>
      <c r="EF627" s="12"/>
      <c r="EG627" s="12"/>
      <c r="EH627" s="14"/>
      <c r="EI627" s="16"/>
      <c r="EJ627" s="14"/>
      <c r="EK627" s="14">
        <v>7726</v>
      </c>
      <c r="EL627" s="14">
        <v>7131</v>
      </c>
      <c r="EM627" s="14">
        <v>14857</v>
      </c>
      <c r="EN627" s="14">
        <v>19314</v>
      </c>
      <c r="EO627" s="14">
        <v>17829</v>
      </c>
      <c r="EP627" s="14">
        <v>37143</v>
      </c>
      <c r="EQ627" s="12" t="s">
        <v>319</v>
      </c>
      <c r="ER627" s="14"/>
      <c r="ES627" s="16"/>
      <c r="ET627" s="14"/>
      <c r="EU627" s="11" t="s">
        <v>319</v>
      </c>
      <c r="EV627" s="14"/>
      <c r="EW627" s="16"/>
      <c r="EX627" s="14"/>
      <c r="EY627" s="12" t="s">
        <v>319</v>
      </c>
      <c r="EZ627" s="14"/>
      <c r="FA627" s="16"/>
      <c r="FB627" s="14"/>
      <c r="FC627" s="12" t="s">
        <v>319</v>
      </c>
      <c r="FD627" s="14"/>
      <c r="FE627" s="16"/>
      <c r="FF627" s="14"/>
      <c r="FG627" s="12" t="s">
        <v>319</v>
      </c>
      <c r="FH627" s="14"/>
      <c r="FI627" s="16"/>
      <c r="FJ627" s="14"/>
      <c r="FK627" s="12" t="s">
        <v>319</v>
      </c>
      <c r="FL627" s="14"/>
      <c r="FM627" s="16"/>
      <c r="FN627" s="14"/>
      <c r="FO627" s="12" t="s">
        <v>320</v>
      </c>
      <c r="FP627" s="14">
        <v>14617</v>
      </c>
      <c r="FQ627" s="16">
        <v>0.52</v>
      </c>
      <c r="FR627" s="14">
        <v>28678</v>
      </c>
      <c r="FS627" s="12" t="s">
        <v>319</v>
      </c>
      <c r="FT627" s="14"/>
      <c r="FU627" s="16"/>
      <c r="FV627" s="14"/>
      <c r="FW627" s="12" t="s">
        <v>319</v>
      </c>
      <c r="FX627" s="14"/>
      <c r="FY627" s="16"/>
      <c r="FZ627" s="14"/>
      <c r="GA627" s="12" t="s">
        <v>319</v>
      </c>
      <c r="GB627" s="14"/>
      <c r="GC627" s="16"/>
      <c r="GD627" s="14"/>
      <c r="GE627" s="12" t="s">
        <v>319</v>
      </c>
      <c r="GF627" s="14"/>
      <c r="GG627" s="16"/>
      <c r="GH627" s="14"/>
      <c r="GI627" s="12" t="s">
        <v>319</v>
      </c>
      <c r="GJ627" s="14"/>
      <c r="GK627" s="16"/>
      <c r="GL627" s="14"/>
      <c r="GM627" s="12" t="s">
        <v>319</v>
      </c>
      <c r="GN627" s="14"/>
      <c r="GO627" s="16"/>
      <c r="GP627" s="14"/>
      <c r="GQ627" s="12" t="s">
        <v>319</v>
      </c>
      <c r="GR627" s="14"/>
      <c r="GS627" s="16"/>
      <c r="GT627" s="14"/>
      <c r="GU627" s="12" t="s">
        <v>319</v>
      </c>
      <c r="GV627" s="14"/>
      <c r="GW627" s="16"/>
      <c r="GX627" s="14"/>
      <c r="GY627" s="11" t="s">
        <v>320</v>
      </c>
      <c r="GZ627" s="14">
        <v>240</v>
      </c>
      <c r="HA627" s="16">
        <v>0.52</v>
      </c>
      <c r="HB627" s="14">
        <v>600</v>
      </c>
      <c r="HC627" s="12"/>
      <c r="HD627" s="12"/>
      <c r="HE627" s="14"/>
      <c r="HF627" s="16"/>
      <c r="HG627" s="14"/>
      <c r="HH627" s="12" t="s">
        <v>320</v>
      </c>
      <c r="HI627" s="12" t="s">
        <v>328</v>
      </c>
      <c r="HJ627" s="12">
        <v>2016</v>
      </c>
      <c r="HK627" s="12" t="s">
        <v>320</v>
      </c>
      <c r="HL627" s="12" t="s">
        <v>320</v>
      </c>
      <c r="HM627" s="12"/>
      <c r="HN627" s="12"/>
      <c r="HO627" s="12" t="s">
        <v>10546</v>
      </c>
      <c r="HP627" s="12" t="s">
        <v>330</v>
      </c>
      <c r="HQ627" s="12" t="s">
        <v>319</v>
      </c>
      <c r="HR627" s="12" t="s">
        <v>319</v>
      </c>
      <c r="HS627" s="12" t="s">
        <v>320</v>
      </c>
      <c r="HT627" s="12" t="s">
        <v>320</v>
      </c>
      <c r="HU627" s="12" t="s">
        <v>320</v>
      </c>
      <c r="HV627" s="12" t="s">
        <v>319</v>
      </c>
      <c r="HW627" s="12" t="s">
        <v>319</v>
      </c>
      <c r="HX627" s="12"/>
      <c r="HY627" s="12"/>
      <c r="HZ627" s="12" t="s">
        <v>331</v>
      </c>
      <c r="IA627" s="12" t="s">
        <v>10547</v>
      </c>
      <c r="IB627" s="12" t="s">
        <v>396</v>
      </c>
      <c r="IC627" s="12" t="s">
        <v>10548</v>
      </c>
      <c r="ID627" s="12" t="s">
        <v>364</v>
      </c>
      <c r="IE627" s="12"/>
      <c r="IF627" s="12"/>
      <c r="IG627" s="12"/>
      <c r="IH627" s="12"/>
      <c r="II627" s="12"/>
      <c r="IJ627" s="12" t="str">
        <f t="shared" si="388"/>
        <v>No marker score</v>
      </c>
      <c r="IK627" s="12">
        <f t="shared" si="389"/>
        <v>0</v>
      </c>
      <c r="IL627" s="12"/>
      <c r="IM627" s="12"/>
      <c r="IN627" s="12"/>
      <c r="IO627" s="12"/>
      <c r="IP627" s="12"/>
      <c r="IQ627" s="12" t="str">
        <f t="shared" si="390"/>
        <v>No marker score</v>
      </c>
      <c r="IR627" s="12">
        <f t="shared" si="391"/>
        <v>0</v>
      </c>
      <c r="IS627" s="12"/>
      <c r="IT627" s="12"/>
      <c r="IU627" s="12"/>
      <c r="IV627" s="12"/>
      <c r="IW627" s="11" t="str">
        <f t="shared" si="392"/>
        <v>No marker score</v>
      </c>
      <c r="IX627" s="12">
        <f t="shared" si="393"/>
        <v>0</v>
      </c>
      <c r="IY627" s="12" t="s">
        <v>419</v>
      </c>
      <c r="IZ627" s="12" t="s">
        <v>339</v>
      </c>
      <c r="JA627" s="12"/>
      <c r="JB627" s="12"/>
      <c r="JC627" s="12"/>
      <c r="JD627" s="12"/>
      <c r="JE627" s="12" t="s">
        <v>420</v>
      </c>
      <c r="JF627" s="12"/>
      <c r="JG627" s="12" t="s">
        <v>10549</v>
      </c>
      <c r="JH627" s="12" t="s">
        <v>10550</v>
      </c>
      <c r="JI627" s="12" t="s">
        <v>10551</v>
      </c>
      <c r="JJ627" s="12" t="s">
        <v>10552</v>
      </c>
      <c r="JK627" s="12" t="s">
        <v>10553</v>
      </c>
      <c r="JL627" s="12" t="s">
        <v>10554</v>
      </c>
      <c r="JM627" s="12" t="s">
        <v>10555</v>
      </c>
      <c r="JN627" s="12" t="s">
        <v>10556</v>
      </c>
      <c r="JO627" s="12" t="s">
        <v>10557</v>
      </c>
      <c r="JP627" s="15">
        <f t="shared" si="394"/>
        <v>14857</v>
      </c>
      <c r="JQ627" s="15">
        <f t="shared" si="395"/>
        <v>37143</v>
      </c>
      <c r="JR627" s="279">
        <f t="shared" si="396"/>
        <v>2.5000336541697514</v>
      </c>
      <c r="JS627" s="17">
        <f t="shared" si="397"/>
        <v>0.52002423100222117</v>
      </c>
      <c r="JT627" s="18">
        <f t="shared" si="398"/>
        <v>0.51999030772958565</v>
      </c>
      <c r="JU627" s="280">
        <f t="shared" si="399"/>
        <v>7726</v>
      </c>
      <c r="JV627" s="280">
        <f t="shared" si="400"/>
        <v>19314</v>
      </c>
      <c r="JW627" s="319" t="str">
        <f t="shared" si="401"/>
        <v/>
      </c>
      <c r="JX627" s="15">
        <f t="shared" si="402"/>
        <v>0</v>
      </c>
      <c r="JY627" s="15">
        <f t="shared" si="403"/>
        <v>0</v>
      </c>
      <c r="JZ627" s="19" t="str">
        <f t="shared" si="404"/>
        <v/>
      </c>
      <c r="KA627" s="52">
        <f t="shared" si="405"/>
        <v>1</v>
      </c>
      <c r="KB627" s="15">
        <f t="shared" si="406"/>
        <v>14617</v>
      </c>
      <c r="KC627" s="15">
        <f t="shared" si="407"/>
        <v>28678</v>
      </c>
      <c r="KD627" s="20">
        <f t="shared" si="408"/>
        <v>1.9619620989259081</v>
      </c>
      <c r="KE627" s="52" t="str">
        <f t="shared" si="409"/>
        <v/>
      </c>
      <c r="KF627" s="15">
        <f t="shared" si="410"/>
        <v>0</v>
      </c>
      <c r="KG627" s="15">
        <f t="shared" si="411"/>
        <v>0</v>
      </c>
      <c r="KH627" s="21" t="str">
        <f t="shared" si="412"/>
        <v/>
      </c>
      <c r="KI627" s="52" t="str">
        <f t="shared" si="413"/>
        <v/>
      </c>
      <c r="KJ627" s="15">
        <f t="shared" si="414"/>
        <v>0</v>
      </c>
      <c r="KK627" s="15">
        <f t="shared" si="415"/>
        <v>0</v>
      </c>
      <c r="KL627" s="19" t="str">
        <f t="shared" si="416"/>
        <v/>
      </c>
      <c r="KM627" s="52">
        <f t="shared" si="417"/>
        <v>1</v>
      </c>
      <c r="KN627" s="22">
        <f t="shared" si="418"/>
        <v>240</v>
      </c>
      <c r="KO627" s="22">
        <f t="shared" si="419"/>
        <v>600</v>
      </c>
      <c r="KP627" s="19">
        <f t="shared" si="420"/>
        <v>2.5</v>
      </c>
      <c r="KQ627" s="11" t="str">
        <f t="shared" si="421"/>
        <v>No marker score</v>
      </c>
      <c r="KR627" s="11" t="str">
        <f t="shared" si="422"/>
        <v>No marker score</v>
      </c>
      <c r="KS627" s="11" t="str">
        <f t="shared" si="423"/>
        <v>No marker score</v>
      </c>
      <c r="KT627" s="11" t="str">
        <f t="shared" si="424"/>
        <v>It tested new ways for fighting poverty and measured results of innovation</v>
      </c>
      <c r="KU627" s="11" t="str">
        <f t="shared" si="425"/>
        <v>Moderate advocacy</v>
      </c>
      <c r="KV627" s="11" t="str">
        <f t="shared" si="426"/>
        <v>It linked and worked with strategic alliances and partners to take tested and effective solutions to scale</v>
      </c>
      <c r="KW627" s="11" t="str">
        <f t="shared" si="427"/>
        <v>Rwanda - Child Sensitive Social Protection &amp; Nutrition Specific Intervention Project (CSSP)</v>
      </c>
      <c r="KX627" s="11" t="str">
        <f t="shared" si="428"/>
        <v>Child Sensitive Social Protection &amp; Nutrition Specific Intervention Project (CSSP)</v>
      </c>
      <c r="KY627" s="11" t="str">
        <f t="shared" si="429"/>
        <v>Rwanda</v>
      </c>
      <c r="KZ627" s="12">
        <v>627</v>
      </c>
    </row>
    <row r="628" spans="1:312" x14ac:dyDescent="0.3">
      <c r="A628" s="12" t="s">
        <v>10371</v>
      </c>
      <c r="B628" s="12" t="s">
        <v>1874</v>
      </c>
      <c r="C628" s="12"/>
      <c r="D628" s="12" t="s">
        <v>10506</v>
      </c>
      <c r="E628" s="277" t="str">
        <f t="shared" si="387"/>
        <v>Rwanda</v>
      </c>
      <c r="F628" s="12" t="s">
        <v>10507</v>
      </c>
      <c r="G628" s="12" t="s">
        <v>379</v>
      </c>
      <c r="H628" s="12" t="s">
        <v>383</v>
      </c>
      <c r="I628" s="12" t="s">
        <v>384</v>
      </c>
      <c r="J628" s="281" t="s">
        <v>14737</v>
      </c>
      <c r="K628" s="12" t="s">
        <v>10508</v>
      </c>
      <c r="L628" s="12" t="s">
        <v>488</v>
      </c>
      <c r="M628" s="12" t="s">
        <v>383</v>
      </c>
      <c r="N628" s="12" t="s">
        <v>384</v>
      </c>
      <c r="O628" s="12" t="s">
        <v>10509</v>
      </c>
      <c r="P628" s="12"/>
      <c r="Q628" s="12"/>
      <c r="R628" s="12"/>
      <c r="S628" s="12"/>
      <c r="T628" s="12"/>
      <c r="U628" s="12"/>
      <c r="V628" s="12"/>
      <c r="W628" s="12"/>
      <c r="X628" s="12"/>
      <c r="Y628" s="12"/>
      <c r="Z628" s="12"/>
      <c r="AA628" s="12"/>
      <c r="AB628" s="12"/>
      <c r="AC628" s="12"/>
      <c r="AD628" s="12"/>
      <c r="BD628" s="13">
        <v>42139</v>
      </c>
      <c r="BE628" s="13">
        <v>43234</v>
      </c>
      <c r="BF628" s="13">
        <v>43373</v>
      </c>
      <c r="BG628" s="12" t="s">
        <v>350</v>
      </c>
      <c r="BH628" s="14">
        <v>724085</v>
      </c>
      <c r="BI628" s="12" t="s">
        <v>10510</v>
      </c>
      <c r="BJ628" s="12" t="s">
        <v>354</v>
      </c>
      <c r="BK628" s="12" t="s">
        <v>10511</v>
      </c>
      <c r="BL628" s="12" t="s">
        <v>10512</v>
      </c>
      <c r="BM628" s="12" t="s">
        <v>10513</v>
      </c>
      <c r="BN628" s="12" t="s">
        <v>10492</v>
      </c>
      <c r="BO628" s="12" t="s">
        <v>319</v>
      </c>
      <c r="BP628" s="12" t="s">
        <v>320</v>
      </c>
      <c r="BQ628" s="12" t="s">
        <v>319</v>
      </c>
      <c r="BR628" s="12" t="s">
        <v>10514</v>
      </c>
      <c r="BS628" s="12" t="s">
        <v>357</v>
      </c>
      <c r="BT628" s="12" t="s">
        <v>10515</v>
      </c>
      <c r="BU628" s="12" t="s">
        <v>10516</v>
      </c>
      <c r="BV628" s="14">
        <v>10000</v>
      </c>
      <c r="BW628" s="14">
        <v>0</v>
      </c>
      <c r="BX628" s="14">
        <v>10000</v>
      </c>
      <c r="BY628" s="14">
        <v>27040</v>
      </c>
      <c r="BZ628" s="14">
        <v>24960</v>
      </c>
      <c r="CA628" s="14">
        <v>52000</v>
      </c>
      <c r="CB628" s="12" t="s">
        <v>10517</v>
      </c>
      <c r="CD628" s="14"/>
      <c r="CE628" s="14"/>
      <c r="CF628" s="14"/>
      <c r="CG628" s="14"/>
      <c r="CH628" s="14"/>
      <c r="CI628" s="14"/>
      <c r="CJ628" s="12"/>
      <c r="CK628" s="14"/>
      <c r="CL628" s="16"/>
      <c r="CM628" s="14"/>
      <c r="CN628" s="12"/>
      <c r="CO628" s="14"/>
      <c r="CP628" s="16"/>
      <c r="CQ628" s="14"/>
      <c r="CR628" s="12"/>
      <c r="CS628" s="14"/>
      <c r="CT628" s="16"/>
      <c r="CU628" s="14"/>
      <c r="CV628" s="12"/>
      <c r="CW628" s="14"/>
      <c r="CX628" s="16"/>
      <c r="CY628" s="14"/>
      <c r="CZ628" s="12"/>
      <c r="DA628" s="14"/>
      <c r="DB628" s="16"/>
      <c r="DC628" s="14"/>
      <c r="DD628" s="12"/>
      <c r="DE628" s="14"/>
      <c r="DF628" s="16"/>
      <c r="DG628" s="14"/>
      <c r="DH628" s="12"/>
      <c r="DI628" s="14"/>
      <c r="DJ628" s="16"/>
      <c r="DK628" s="14"/>
      <c r="DL628" s="12"/>
      <c r="DM628" s="14"/>
      <c r="DN628" s="16"/>
      <c r="DO628" s="14"/>
      <c r="DP628" s="12"/>
      <c r="DQ628" s="14"/>
      <c r="DR628" s="16"/>
      <c r="DS628" s="14"/>
      <c r="DT628" s="12"/>
      <c r="DU628" s="14"/>
      <c r="DV628" s="16"/>
      <c r="DW628" s="14"/>
      <c r="DX628" s="12"/>
      <c r="DY628" s="14"/>
      <c r="DZ628" s="16"/>
      <c r="EA628" s="14"/>
      <c r="EB628" s="12"/>
      <c r="EC628" s="14"/>
      <c r="ED628" s="16"/>
      <c r="EE628" s="14"/>
      <c r="EF628" s="12"/>
      <c r="EG628" s="12"/>
      <c r="EH628" s="14"/>
      <c r="EI628" s="16"/>
      <c r="EJ628" s="14"/>
      <c r="EK628" s="14">
        <v>8959</v>
      </c>
      <c r="EL628" s="14">
        <v>0</v>
      </c>
      <c r="EM628" s="14">
        <v>8959</v>
      </c>
      <c r="EN628" s="14">
        <v>24225</v>
      </c>
      <c r="EO628" s="14">
        <v>22362</v>
      </c>
      <c r="EP628" s="14">
        <v>46587</v>
      </c>
      <c r="EQ628" s="12" t="s">
        <v>319</v>
      </c>
      <c r="ER628" s="14"/>
      <c r="ES628" s="16"/>
      <c r="ET628" s="14"/>
      <c r="EU628" s="11" t="s">
        <v>319</v>
      </c>
      <c r="EV628" s="14"/>
      <c r="EW628" s="16"/>
      <c r="EX628" s="14"/>
      <c r="EY628" s="12" t="s">
        <v>319</v>
      </c>
      <c r="EZ628" s="14"/>
      <c r="FA628" s="16"/>
      <c r="FB628" s="14"/>
      <c r="FC628" s="12" t="s">
        <v>319</v>
      </c>
      <c r="FD628" s="14"/>
      <c r="FE628" s="16"/>
      <c r="FF628" s="14"/>
      <c r="FG628" s="12" t="s">
        <v>319</v>
      </c>
      <c r="FH628" s="14"/>
      <c r="FI628" s="16"/>
      <c r="FJ628" s="14"/>
      <c r="FK628" s="12" t="s">
        <v>320</v>
      </c>
      <c r="FL628" s="14">
        <v>100</v>
      </c>
      <c r="FM628" s="16">
        <v>1</v>
      </c>
      <c r="FN628" s="14">
        <v>520</v>
      </c>
      <c r="FO628" s="12" t="s">
        <v>319</v>
      </c>
      <c r="FP628" s="14"/>
      <c r="FQ628" s="16"/>
      <c r="FR628" s="14"/>
      <c r="FS628" s="12" t="s">
        <v>319</v>
      </c>
      <c r="FT628" s="14"/>
      <c r="FU628" s="16"/>
      <c r="FV628" s="14"/>
      <c r="FW628" s="12" t="s">
        <v>319</v>
      </c>
      <c r="FX628" s="14"/>
      <c r="FY628" s="16"/>
      <c r="FZ628" s="14"/>
      <c r="GA628" s="12" t="s">
        <v>319</v>
      </c>
      <c r="GB628" s="14"/>
      <c r="GC628" s="16"/>
      <c r="GD628" s="14"/>
      <c r="GE628" s="12" t="s">
        <v>319</v>
      </c>
      <c r="GF628" s="14"/>
      <c r="GG628" s="16"/>
      <c r="GH628" s="14"/>
      <c r="GI628" s="12" t="s">
        <v>319</v>
      </c>
      <c r="GJ628" s="14"/>
      <c r="GK628" s="16"/>
      <c r="GL628" s="14"/>
      <c r="GM628" s="12" t="s">
        <v>319</v>
      </c>
      <c r="GN628" s="14"/>
      <c r="GO628" s="16"/>
      <c r="GP628" s="14"/>
      <c r="GQ628" s="12" t="s">
        <v>319</v>
      </c>
      <c r="GR628" s="14"/>
      <c r="GS628" s="16"/>
      <c r="GT628" s="14"/>
      <c r="GU628" s="12" t="s">
        <v>319</v>
      </c>
      <c r="GV628" s="14"/>
      <c r="GW628" s="16"/>
      <c r="GX628" s="14"/>
      <c r="GY628" s="11" t="s">
        <v>320</v>
      </c>
      <c r="GZ628" s="14">
        <v>8959</v>
      </c>
      <c r="HA628" s="16">
        <v>1</v>
      </c>
      <c r="HB628" s="14">
        <v>46587</v>
      </c>
      <c r="HC628" s="12"/>
      <c r="HD628" s="12"/>
      <c r="HE628" s="14"/>
      <c r="HF628" s="16"/>
      <c r="HG628" s="14"/>
      <c r="HH628" s="12" t="s">
        <v>320</v>
      </c>
      <c r="HI628" s="12" t="s">
        <v>619</v>
      </c>
      <c r="HJ628" s="12">
        <v>2016</v>
      </c>
      <c r="HK628" s="12" t="s">
        <v>320</v>
      </c>
      <c r="HL628" s="12" t="s">
        <v>320</v>
      </c>
      <c r="HM628" s="12" t="s">
        <v>431</v>
      </c>
      <c r="HN628" s="12">
        <v>2018</v>
      </c>
      <c r="HO628" s="12" t="s">
        <v>10518</v>
      </c>
      <c r="HP628" s="12" t="s">
        <v>418</v>
      </c>
      <c r="HQ628" s="12" t="s">
        <v>319</v>
      </c>
      <c r="HR628" s="12" t="s">
        <v>319</v>
      </c>
      <c r="HS628" s="12" t="s">
        <v>319</v>
      </c>
      <c r="HT628" s="12" t="s">
        <v>319</v>
      </c>
      <c r="HU628" s="12" t="s">
        <v>319</v>
      </c>
      <c r="HV628" s="12" t="s">
        <v>319</v>
      </c>
      <c r="HW628" s="12" t="s">
        <v>319</v>
      </c>
      <c r="HX628" s="12"/>
      <c r="HY628" s="12"/>
      <c r="HZ628" s="12" t="s">
        <v>331</v>
      </c>
      <c r="IA628" s="12" t="s">
        <v>10519</v>
      </c>
      <c r="IB628" s="12" t="s">
        <v>396</v>
      </c>
      <c r="IC628" s="12" t="s">
        <v>10520</v>
      </c>
      <c r="ID628" s="12" t="s">
        <v>364</v>
      </c>
      <c r="IE628" s="12" t="s">
        <v>478</v>
      </c>
      <c r="IF628" s="12" t="s">
        <v>319</v>
      </c>
      <c r="IG628" s="12" t="s">
        <v>320</v>
      </c>
      <c r="IH628" s="12" t="s">
        <v>320</v>
      </c>
      <c r="II628" s="12" t="s">
        <v>320</v>
      </c>
      <c r="IJ628" s="12" t="str">
        <f t="shared" si="388"/>
        <v>3. Responsive</v>
      </c>
      <c r="IK628" s="12">
        <f t="shared" si="389"/>
        <v>3</v>
      </c>
      <c r="IL628" s="12" t="s">
        <v>336</v>
      </c>
      <c r="IM628" s="12" t="s">
        <v>319</v>
      </c>
      <c r="IN628" s="12" t="s">
        <v>320</v>
      </c>
      <c r="IO628" s="12" t="s">
        <v>320</v>
      </c>
      <c r="IP628" s="12" t="s">
        <v>320</v>
      </c>
      <c r="IQ628" s="12" t="str">
        <f t="shared" si="390"/>
        <v>2. Accommodating</v>
      </c>
      <c r="IR628" s="12">
        <f t="shared" si="391"/>
        <v>3</v>
      </c>
      <c r="IS628" s="12" t="s">
        <v>337</v>
      </c>
      <c r="IT628" s="12" t="s">
        <v>319</v>
      </c>
      <c r="IU628" s="12" t="s">
        <v>320</v>
      </c>
      <c r="IV628" s="12" t="s">
        <v>319</v>
      </c>
      <c r="IW628" s="11" t="str">
        <f t="shared" si="392"/>
        <v>1. Neutral</v>
      </c>
      <c r="IX628" s="12">
        <f t="shared" si="393"/>
        <v>1</v>
      </c>
      <c r="IY628" s="12" t="s">
        <v>338</v>
      </c>
      <c r="IZ628" s="12" t="s">
        <v>457</v>
      </c>
      <c r="JA628" s="12">
        <v>1</v>
      </c>
      <c r="JB628" s="12" t="s">
        <v>433</v>
      </c>
      <c r="JC628" s="12"/>
      <c r="JD628" s="12"/>
      <c r="JE628" s="12" t="s">
        <v>365</v>
      </c>
      <c r="JF628" s="12" t="s">
        <v>10521</v>
      </c>
      <c r="JG628" s="12" t="s">
        <v>10522</v>
      </c>
      <c r="JH628" s="12" t="s">
        <v>10523</v>
      </c>
      <c r="JI628" s="12" t="s">
        <v>10524</v>
      </c>
      <c r="JJ628" s="12"/>
      <c r="JK628" s="12" t="s">
        <v>10525</v>
      </c>
      <c r="JL628" s="12" t="s">
        <v>10526</v>
      </c>
      <c r="JM628" s="12" t="s">
        <v>10527</v>
      </c>
      <c r="JN628" s="12"/>
      <c r="JO628" s="12"/>
      <c r="JP628" s="15">
        <f t="shared" si="394"/>
        <v>8959</v>
      </c>
      <c r="JQ628" s="15">
        <f t="shared" si="395"/>
        <v>46587</v>
      </c>
      <c r="JR628" s="279">
        <f t="shared" si="396"/>
        <v>5.2000223239200807</v>
      </c>
      <c r="JS628" s="17">
        <f t="shared" si="397"/>
        <v>1</v>
      </c>
      <c r="JT628" s="18">
        <f t="shared" si="398"/>
        <v>0.5199948483482516</v>
      </c>
      <c r="JU628" s="280">
        <f t="shared" si="399"/>
        <v>8959</v>
      </c>
      <c r="JV628" s="280">
        <f t="shared" si="400"/>
        <v>24225</v>
      </c>
      <c r="JW628" s="319" t="str">
        <f t="shared" si="401"/>
        <v/>
      </c>
      <c r="JX628" s="15">
        <f t="shared" si="402"/>
        <v>0</v>
      </c>
      <c r="JY628" s="15">
        <f t="shared" si="403"/>
        <v>0</v>
      </c>
      <c r="JZ628" s="19" t="str">
        <f t="shared" si="404"/>
        <v/>
      </c>
      <c r="KA628" s="52" t="str">
        <f t="shared" si="405"/>
        <v/>
      </c>
      <c r="KB628" s="15">
        <f t="shared" si="406"/>
        <v>0</v>
      </c>
      <c r="KC628" s="15">
        <f t="shared" si="407"/>
        <v>0</v>
      </c>
      <c r="KD628" s="20" t="str">
        <f t="shared" si="408"/>
        <v/>
      </c>
      <c r="KE628" s="52" t="str">
        <f t="shared" si="409"/>
        <v/>
      </c>
      <c r="KF628" s="15">
        <f t="shared" si="410"/>
        <v>0</v>
      </c>
      <c r="KG628" s="15">
        <f t="shared" si="411"/>
        <v>0</v>
      </c>
      <c r="KH628" s="21" t="str">
        <f t="shared" si="412"/>
        <v/>
      </c>
      <c r="KI628" s="52" t="str">
        <f t="shared" si="413"/>
        <v/>
      </c>
      <c r="KJ628" s="15">
        <f t="shared" si="414"/>
        <v>0</v>
      </c>
      <c r="KK628" s="15">
        <f t="shared" si="415"/>
        <v>0</v>
      </c>
      <c r="KL628" s="19" t="str">
        <f t="shared" si="416"/>
        <v/>
      </c>
      <c r="KM628" s="52">
        <f t="shared" si="417"/>
        <v>1</v>
      </c>
      <c r="KN628" s="22">
        <f t="shared" si="418"/>
        <v>8959</v>
      </c>
      <c r="KO628" s="22">
        <f t="shared" si="419"/>
        <v>46587</v>
      </c>
      <c r="KP628" s="19">
        <f t="shared" si="420"/>
        <v>5.2000223239200807</v>
      </c>
      <c r="KQ628" s="11" t="str">
        <f t="shared" si="421"/>
        <v>3. Responsive</v>
      </c>
      <c r="KR628" s="11" t="str">
        <f t="shared" si="422"/>
        <v>2. Accommodating</v>
      </c>
      <c r="KS628" s="11" t="str">
        <f t="shared" si="423"/>
        <v>1. Neutral</v>
      </c>
      <c r="KT628" s="11" t="str">
        <f t="shared" si="424"/>
        <v>It tested new ways for fighting poverty and measured results of innovation</v>
      </c>
      <c r="KU628" s="11" t="str">
        <f t="shared" si="425"/>
        <v>Little or no advocacy</v>
      </c>
      <c r="KV628" s="11" t="str">
        <f t="shared" si="426"/>
        <v>It linked and worked with strategic alliances and partners to take tested and effective solutions to scale</v>
      </c>
      <c r="KW628" s="11" t="str">
        <f t="shared" si="427"/>
        <v>Rwanda - Enterprise Development for Out of School Adolescent Girls (EDOAG) and Economic Empowerment for Out of School Girls (EE4G)</v>
      </c>
      <c r="KX628" s="11" t="str">
        <f t="shared" si="428"/>
        <v>Enterprise Development for Out of School Adolescent Girls (EDOAG) and Economic Empowerment for Out of School Girls (EE4G)</v>
      </c>
      <c r="KY628" s="11" t="str">
        <f t="shared" si="429"/>
        <v>Rwanda</v>
      </c>
      <c r="KZ628" s="12">
        <v>628</v>
      </c>
    </row>
    <row r="629" spans="1:312" x14ac:dyDescent="0.3">
      <c r="A629" s="12" t="s">
        <v>10371</v>
      </c>
      <c r="B629" s="12" t="s">
        <v>1874</v>
      </c>
      <c r="C629" s="12">
        <v>3303</v>
      </c>
      <c r="D629" s="12" t="s">
        <v>10418</v>
      </c>
      <c r="E629" s="277" t="str">
        <f t="shared" si="387"/>
        <v>Rwanda</v>
      </c>
      <c r="F629" s="12" t="s">
        <v>10419</v>
      </c>
      <c r="G629" s="12" t="s">
        <v>425</v>
      </c>
      <c r="H629" s="12" t="s">
        <v>310</v>
      </c>
      <c r="I629" s="12" t="s">
        <v>426</v>
      </c>
      <c r="J629" s="281" t="s">
        <v>14675</v>
      </c>
      <c r="K629" s="12"/>
      <c r="L629" s="12"/>
      <c r="M629" s="12"/>
      <c r="N629" s="12"/>
      <c r="O629" s="12"/>
      <c r="P629" s="12"/>
      <c r="Q629" s="12"/>
      <c r="R629" s="12"/>
      <c r="S629" s="12"/>
      <c r="T629" s="12"/>
      <c r="U629" s="12"/>
      <c r="V629" s="12"/>
      <c r="W629" s="12"/>
      <c r="X629" s="12"/>
      <c r="Y629" s="12"/>
      <c r="Z629" s="12"/>
      <c r="AA629" s="12"/>
      <c r="AB629" s="12"/>
      <c r="AC629" s="12"/>
      <c r="AD629" s="12"/>
      <c r="BD629" s="13">
        <v>42370</v>
      </c>
      <c r="BE629" s="13">
        <v>44196</v>
      </c>
      <c r="BF629" s="12"/>
      <c r="BG629" s="12" t="s">
        <v>609</v>
      </c>
      <c r="BH629" s="14">
        <v>2354786</v>
      </c>
      <c r="BI629" s="12" t="s">
        <v>10420</v>
      </c>
      <c r="BJ629" s="12" t="s">
        <v>10421</v>
      </c>
      <c r="BK629" s="12" t="s">
        <v>10422</v>
      </c>
      <c r="BL629" s="12" t="s">
        <v>10423</v>
      </c>
      <c r="BM629" s="12" t="s">
        <v>10424</v>
      </c>
      <c r="BN629" s="12" t="s">
        <v>10379</v>
      </c>
      <c r="BO629" s="12" t="s">
        <v>319</v>
      </c>
      <c r="BP629" s="12" t="s">
        <v>320</v>
      </c>
      <c r="BQ629" s="12" t="s">
        <v>319</v>
      </c>
      <c r="BR629" s="12" t="s">
        <v>10425</v>
      </c>
      <c r="BS629" s="12" t="s">
        <v>615</v>
      </c>
      <c r="BT629" s="12" t="s">
        <v>10426</v>
      </c>
      <c r="BU629" s="12" t="s">
        <v>10427</v>
      </c>
      <c r="BV629" s="14">
        <v>14051</v>
      </c>
      <c r="BW629" s="14">
        <v>4413</v>
      </c>
      <c r="BX629" s="14">
        <v>18464</v>
      </c>
      <c r="BY629" s="14">
        <v>30441</v>
      </c>
      <c r="BZ629" s="14">
        <v>9560</v>
      </c>
      <c r="CA629" s="14">
        <v>40001</v>
      </c>
      <c r="CB629" s="12" t="s">
        <v>10428</v>
      </c>
      <c r="CD629" s="14"/>
      <c r="CE629" s="14"/>
      <c r="CF629" s="14"/>
      <c r="CG629" s="14"/>
      <c r="CH629" s="14"/>
      <c r="CI629" s="14"/>
      <c r="CJ629" s="12"/>
      <c r="CK629" s="14"/>
      <c r="CL629" s="16"/>
      <c r="CM629" s="14"/>
      <c r="CN629" s="12"/>
      <c r="CO629" s="14"/>
      <c r="CP629" s="16"/>
      <c r="CQ629" s="14"/>
      <c r="CR629" s="12"/>
      <c r="CS629" s="14"/>
      <c r="CT629" s="16"/>
      <c r="CU629" s="14"/>
      <c r="CV629" s="12"/>
      <c r="CW629" s="14"/>
      <c r="CX629" s="16"/>
      <c r="CY629" s="14"/>
      <c r="CZ629" s="12"/>
      <c r="DA629" s="14"/>
      <c r="DB629" s="16"/>
      <c r="DC629" s="14"/>
      <c r="DD629" s="12"/>
      <c r="DE629" s="14"/>
      <c r="DF629" s="16"/>
      <c r="DG629" s="14"/>
      <c r="DH629" s="12"/>
      <c r="DI629" s="14"/>
      <c r="DJ629" s="16"/>
      <c r="DK629" s="14"/>
      <c r="DL629" s="12"/>
      <c r="DM629" s="14"/>
      <c r="DN629" s="16"/>
      <c r="DO629" s="14"/>
      <c r="DP629" s="12"/>
      <c r="DQ629" s="14"/>
      <c r="DR629" s="16"/>
      <c r="DS629" s="14"/>
      <c r="DT629" s="12"/>
      <c r="DU629" s="14"/>
      <c r="DV629" s="16"/>
      <c r="DW629" s="14"/>
      <c r="DX629" s="12"/>
      <c r="DY629" s="14"/>
      <c r="DZ629" s="16"/>
      <c r="EA629" s="14"/>
      <c r="EB629" s="12"/>
      <c r="EC629" s="14"/>
      <c r="ED629" s="16"/>
      <c r="EE629" s="14"/>
      <c r="EF629" s="12"/>
      <c r="EG629" s="12"/>
      <c r="EH629" s="14"/>
      <c r="EI629" s="16"/>
      <c r="EJ629" s="14"/>
      <c r="EK629" s="14">
        <v>5225</v>
      </c>
      <c r="EL629" s="14">
        <v>1641</v>
      </c>
      <c r="EM629" s="14">
        <v>6866</v>
      </c>
      <c r="EN629" s="14">
        <v>2261</v>
      </c>
      <c r="EO629" s="14">
        <v>7160</v>
      </c>
      <c r="EP629" s="14">
        <v>9421</v>
      </c>
      <c r="EQ629" s="12" t="s">
        <v>319</v>
      </c>
      <c r="ER629" s="14"/>
      <c r="ES629" s="16"/>
      <c r="ET629" s="14"/>
      <c r="EU629" s="11" t="s">
        <v>319</v>
      </c>
      <c r="EV629" s="14"/>
      <c r="EW629" s="16"/>
      <c r="EX629" s="14"/>
      <c r="EY629" s="12" t="s">
        <v>319</v>
      </c>
      <c r="EZ629" s="14"/>
      <c r="FA629" s="16"/>
      <c r="FB629" s="14"/>
      <c r="FC629" s="12" t="s">
        <v>319</v>
      </c>
      <c r="FD629" s="14"/>
      <c r="FE629" s="16"/>
      <c r="FF629" s="14"/>
      <c r="FG629" s="12" t="s">
        <v>319</v>
      </c>
      <c r="FH629" s="14"/>
      <c r="FI629" s="16"/>
      <c r="FJ629" s="14"/>
      <c r="FK629" s="12" t="s">
        <v>319</v>
      </c>
      <c r="FL629" s="14"/>
      <c r="FM629" s="16"/>
      <c r="FN629" s="14"/>
      <c r="FO629" s="12" t="s">
        <v>319</v>
      </c>
      <c r="FP629" s="14"/>
      <c r="FQ629" s="16"/>
      <c r="FR629" s="14"/>
      <c r="FS629" s="12" t="s">
        <v>320</v>
      </c>
      <c r="FT629" s="14">
        <v>3457</v>
      </c>
      <c r="FU629" s="16">
        <v>0.76</v>
      </c>
      <c r="FV629" s="14">
        <v>2556</v>
      </c>
      <c r="FW629" s="12" t="s">
        <v>319</v>
      </c>
      <c r="FX629" s="14"/>
      <c r="FY629" s="16"/>
      <c r="FZ629" s="14"/>
      <c r="GA629" s="12" t="s">
        <v>319</v>
      </c>
      <c r="GB629" s="14"/>
      <c r="GC629" s="16"/>
      <c r="GD629" s="14"/>
      <c r="GE629" s="12" t="s">
        <v>319</v>
      </c>
      <c r="GF629" s="14"/>
      <c r="GG629" s="16"/>
      <c r="GH629" s="14"/>
      <c r="GI629" s="12" t="s">
        <v>319</v>
      </c>
      <c r="GJ629" s="14"/>
      <c r="GK629" s="16"/>
      <c r="GL629" s="14"/>
      <c r="GM629" s="11" t="s">
        <v>320</v>
      </c>
      <c r="GN629" s="14">
        <v>3600</v>
      </c>
      <c r="GO629" s="16">
        <v>0.78</v>
      </c>
      <c r="GP629" s="14">
        <v>2556</v>
      </c>
      <c r="GQ629" s="12" t="s">
        <v>319</v>
      </c>
      <c r="GR629" s="14"/>
      <c r="GS629" s="16"/>
      <c r="GT629" s="14"/>
      <c r="GU629" s="12" t="s">
        <v>319</v>
      </c>
      <c r="GV629" s="14"/>
      <c r="GW629" s="16"/>
      <c r="GX629" s="14"/>
      <c r="GY629" s="12" t="s">
        <v>319</v>
      </c>
      <c r="GZ629" s="14"/>
      <c r="HA629" s="16"/>
      <c r="HB629" s="14"/>
      <c r="HC629" s="12"/>
      <c r="HD629" s="12"/>
      <c r="HE629" s="14"/>
      <c r="HF629" s="16"/>
      <c r="HG629" s="14"/>
      <c r="HH629" s="12" t="s">
        <v>320</v>
      </c>
      <c r="HI629" s="12" t="s">
        <v>522</v>
      </c>
      <c r="HJ629" s="12">
        <v>2016</v>
      </c>
      <c r="HK629" s="12" t="s">
        <v>320</v>
      </c>
      <c r="HL629" s="12" t="s">
        <v>319</v>
      </c>
      <c r="HM629" s="12"/>
      <c r="HN629" s="12"/>
      <c r="HO629" s="12" t="s">
        <v>10429</v>
      </c>
      <c r="HP629" s="12" t="s">
        <v>418</v>
      </c>
      <c r="HQ629" s="12" t="s">
        <v>319</v>
      </c>
      <c r="HR629" s="12" t="s">
        <v>319</v>
      </c>
      <c r="HS629" s="12" t="s">
        <v>320</v>
      </c>
      <c r="HT629" s="12" t="s">
        <v>320</v>
      </c>
      <c r="HU629" s="12" t="s">
        <v>320</v>
      </c>
      <c r="HV629" s="12" t="s">
        <v>320</v>
      </c>
      <c r="HW629" s="12" t="s">
        <v>319</v>
      </c>
      <c r="HX629" s="12" t="s">
        <v>319</v>
      </c>
      <c r="HY629" s="12"/>
      <c r="HZ629" s="12" t="s">
        <v>394</v>
      </c>
      <c r="IA629" s="12" t="s">
        <v>10430</v>
      </c>
      <c r="IB629" s="12" t="s">
        <v>667</v>
      </c>
      <c r="IC629" s="12" t="s">
        <v>10431</v>
      </c>
      <c r="ID629" s="12" t="s">
        <v>334</v>
      </c>
      <c r="IE629" s="12" t="s">
        <v>335</v>
      </c>
      <c r="IF629" s="12" t="s">
        <v>320</v>
      </c>
      <c r="IG629" s="12" t="s">
        <v>320</v>
      </c>
      <c r="IH629" s="12" t="s">
        <v>320</v>
      </c>
      <c r="II629" s="12" t="s">
        <v>320</v>
      </c>
      <c r="IJ629" s="12" t="str">
        <f t="shared" si="388"/>
        <v>2. Sensitive</v>
      </c>
      <c r="IK629" s="12">
        <f t="shared" si="389"/>
        <v>4</v>
      </c>
      <c r="IL629" s="11" t="s">
        <v>621</v>
      </c>
      <c r="IM629" s="12" t="s">
        <v>320</v>
      </c>
      <c r="IN629" s="12" t="s">
        <v>320</v>
      </c>
      <c r="IO629" s="12" t="s">
        <v>320</v>
      </c>
      <c r="IP629" s="12" t="s">
        <v>319</v>
      </c>
      <c r="IQ629" s="12" t="str">
        <f t="shared" si="390"/>
        <v>3. Responsive</v>
      </c>
      <c r="IR629" s="12">
        <f t="shared" si="391"/>
        <v>3</v>
      </c>
      <c r="IS629" s="12" t="s">
        <v>622</v>
      </c>
      <c r="IT629" s="12" t="s">
        <v>320</v>
      </c>
      <c r="IU629" s="12" t="s">
        <v>320</v>
      </c>
      <c r="IV629" s="12" t="s">
        <v>320</v>
      </c>
      <c r="IW629" s="11" t="str">
        <f t="shared" si="392"/>
        <v>4. Transformative</v>
      </c>
      <c r="IX629" s="12">
        <f t="shared" si="393"/>
        <v>3</v>
      </c>
      <c r="IY629" s="12" t="s">
        <v>338</v>
      </c>
      <c r="IZ629" s="12" t="s">
        <v>457</v>
      </c>
      <c r="JA629" s="12">
        <v>1</v>
      </c>
      <c r="JB629" s="12" t="s">
        <v>433</v>
      </c>
      <c r="JC629" s="12"/>
      <c r="JD629" s="12"/>
      <c r="JE629" s="12" t="s">
        <v>340</v>
      </c>
      <c r="JF629" s="12" t="s">
        <v>10432</v>
      </c>
      <c r="JG629" s="12" t="s">
        <v>10433</v>
      </c>
      <c r="JH629" s="12" t="s">
        <v>10434</v>
      </c>
      <c r="JI629" s="12"/>
      <c r="JJ629" s="12"/>
      <c r="JK629" s="12" t="s">
        <v>10435</v>
      </c>
      <c r="JL629" s="12" t="s">
        <v>10436</v>
      </c>
      <c r="JM629" s="12" t="s">
        <v>10437</v>
      </c>
      <c r="JN629" s="12" t="s">
        <v>10438</v>
      </c>
      <c r="JO629" s="12" t="s">
        <v>10439</v>
      </c>
      <c r="JP629" s="15">
        <f t="shared" si="394"/>
        <v>6866</v>
      </c>
      <c r="JQ629" s="15">
        <f t="shared" si="395"/>
        <v>9421</v>
      </c>
      <c r="JR629" s="279">
        <f t="shared" si="396"/>
        <v>1.3721235071366151</v>
      </c>
      <c r="JS629" s="17">
        <f t="shared" si="397"/>
        <v>0.76099621322458488</v>
      </c>
      <c r="JT629" s="18">
        <f t="shared" si="398"/>
        <v>0.2399957541662244</v>
      </c>
      <c r="JU629" s="280">
        <f t="shared" si="399"/>
        <v>5225</v>
      </c>
      <c r="JV629" s="280">
        <f t="shared" si="400"/>
        <v>2261</v>
      </c>
      <c r="JW629" s="319" t="str">
        <f t="shared" si="401"/>
        <v/>
      </c>
      <c r="JX629" s="15">
        <f t="shared" si="402"/>
        <v>0</v>
      </c>
      <c r="JY629" s="15">
        <f t="shared" si="403"/>
        <v>0</v>
      </c>
      <c r="JZ629" s="19" t="str">
        <f t="shared" si="404"/>
        <v/>
      </c>
      <c r="KA629" s="52" t="str">
        <f t="shared" si="405"/>
        <v/>
      </c>
      <c r="KB629" s="15">
        <f t="shared" si="406"/>
        <v>0</v>
      </c>
      <c r="KC629" s="15">
        <f t="shared" si="407"/>
        <v>0</v>
      </c>
      <c r="KD629" s="20" t="str">
        <f t="shared" si="408"/>
        <v/>
      </c>
      <c r="KE629" s="52" t="str">
        <f t="shared" si="409"/>
        <v/>
      </c>
      <c r="KF629" s="15">
        <f t="shared" si="410"/>
        <v>0</v>
      </c>
      <c r="KG629" s="15">
        <f t="shared" si="411"/>
        <v>0</v>
      </c>
      <c r="KH629" s="21" t="str">
        <f t="shared" si="412"/>
        <v/>
      </c>
      <c r="KI629" s="52">
        <f t="shared" si="413"/>
        <v>1</v>
      </c>
      <c r="KJ629" s="15">
        <f t="shared" si="414"/>
        <v>3457</v>
      </c>
      <c r="KK629" s="15">
        <f t="shared" si="415"/>
        <v>2556</v>
      </c>
      <c r="KL629" s="19">
        <f t="shared" si="416"/>
        <v>0.73936939542956326</v>
      </c>
      <c r="KM629" s="52" t="str">
        <f t="shared" si="417"/>
        <v/>
      </c>
      <c r="KN629" s="22">
        <f t="shared" si="418"/>
        <v>0</v>
      </c>
      <c r="KO629" s="22">
        <f t="shared" si="419"/>
        <v>0</v>
      </c>
      <c r="KP629" s="19" t="str">
        <f t="shared" si="420"/>
        <v/>
      </c>
      <c r="KQ629" s="11" t="str">
        <f t="shared" si="421"/>
        <v>2. Sensitive</v>
      </c>
      <c r="KR629" s="11" t="str">
        <f t="shared" si="422"/>
        <v>3. Responsive</v>
      </c>
      <c r="KS629" s="11" t="str">
        <f t="shared" si="423"/>
        <v>4. Transformative</v>
      </c>
      <c r="KT629" s="11" t="str">
        <f t="shared" si="424"/>
        <v>It tested new ways for fighting poverty, but did not measure results of innovation</v>
      </c>
      <c r="KU629" s="11" t="str">
        <f t="shared" si="425"/>
        <v>Little or no advocacy</v>
      </c>
      <c r="KV629" s="11" t="str">
        <f t="shared" si="426"/>
        <v>It took tested solutions to scale on its own</v>
      </c>
      <c r="KW629" s="11" t="str">
        <f t="shared" si="427"/>
        <v>Rwanda - EVERY VOICE COUNTS " EVC"</v>
      </c>
      <c r="KX629" s="11" t="str">
        <f t="shared" si="428"/>
        <v>EVERY VOICE COUNTS " EVC"</v>
      </c>
      <c r="KY629" s="11" t="str">
        <f t="shared" si="429"/>
        <v>Rwanda</v>
      </c>
      <c r="KZ629" s="12">
        <v>629</v>
      </c>
    </row>
    <row r="630" spans="1:312" x14ac:dyDescent="0.3">
      <c r="A630" s="12" t="s">
        <v>10371</v>
      </c>
      <c r="B630" s="12" t="s">
        <v>1874</v>
      </c>
      <c r="C630" s="12"/>
      <c r="D630" s="12" t="s">
        <v>10440</v>
      </c>
      <c r="E630" s="277" t="str">
        <f t="shared" si="387"/>
        <v>Rwanda</v>
      </c>
      <c r="F630" s="12" t="s">
        <v>10441</v>
      </c>
      <c r="G630" s="12" t="s">
        <v>467</v>
      </c>
      <c r="H630" s="12" t="s">
        <v>383</v>
      </c>
      <c r="I630" s="12" t="s">
        <v>384</v>
      </c>
      <c r="J630" s="281" t="s">
        <v>10442</v>
      </c>
      <c r="K630" s="12" t="s">
        <v>10443</v>
      </c>
      <c r="L630" s="12" t="s">
        <v>467</v>
      </c>
      <c r="M630" s="12" t="s">
        <v>310</v>
      </c>
      <c r="N630" s="12" t="s">
        <v>468</v>
      </c>
      <c r="O630" s="281" t="s">
        <v>9212</v>
      </c>
      <c r="P630" s="12"/>
      <c r="Q630" s="12"/>
      <c r="R630" s="12"/>
      <c r="S630" s="12"/>
      <c r="T630" s="12"/>
      <c r="U630" s="12"/>
      <c r="V630" s="12"/>
      <c r="W630" s="12"/>
      <c r="X630" s="12"/>
      <c r="Y630" s="12"/>
      <c r="Z630" s="12"/>
      <c r="AA630" s="12"/>
      <c r="AB630" s="12"/>
      <c r="AC630" s="12"/>
      <c r="AD630" s="12"/>
      <c r="BD630" s="13">
        <v>42064</v>
      </c>
      <c r="BE630" s="13">
        <v>43890</v>
      </c>
      <c r="BF630" s="12"/>
      <c r="BG630" s="12" t="s">
        <v>350</v>
      </c>
      <c r="BH630" s="14">
        <v>4023856</v>
      </c>
      <c r="BI630" s="12" t="s">
        <v>10444</v>
      </c>
      <c r="BJ630" s="12" t="s">
        <v>354</v>
      </c>
      <c r="BK630" s="12" t="s">
        <v>10445</v>
      </c>
      <c r="BL630" s="12" t="s">
        <v>10446</v>
      </c>
      <c r="BM630" s="12" t="s">
        <v>10447</v>
      </c>
      <c r="BN630" s="12" t="s">
        <v>10448</v>
      </c>
      <c r="BO630" s="11" t="s">
        <v>319</v>
      </c>
      <c r="BP630" s="11" t="s">
        <v>320</v>
      </c>
      <c r="BQ630" s="11" t="s">
        <v>319</v>
      </c>
      <c r="BR630" s="12" t="s">
        <v>10449</v>
      </c>
      <c r="BS630" s="12" t="s">
        <v>357</v>
      </c>
      <c r="BT630" s="12" t="s">
        <v>10450</v>
      </c>
      <c r="BU630" s="12" t="s">
        <v>10451</v>
      </c>
      <c r="BV630" s="14">
        <v>153678</v>
      </c>
      <c r="BW630" s="14">
        <v>73394</v>
      </c>
      <c r="BX630" s="14">
        <v>227072</v>
      </c>
      <c r="BY630" s="14">
        <v>507139</v>
      </c>
      <c r="BZ630" s="14">
        <v>242199</v>
      </c>
      <c r="CA630" s="14">
        <v>749338</v>
      </c>
      <c r="CB630" s="12" t="s">
        <v>10452</v>
      </c>
      <c r="CD630" s="14"/>
      <c r="CE630" s="14"/>
      <c r="CF630" s="14"/>
      <c r="CG630" s="14"/>
      <c r="CH630" s="14"/>
      <c r="CI630" s="14"/>
      <c r="CJ630" s="12"/>
      <c r="CK630" s="14"/>
      <c r="CL630" s="16"/>
      <c r="CM630" s="14"/>
      <c r="CN630" s="12"/>
      <c r="CO630" s="14"/>
      <c r="CP630" s="16"/>
      <c r="CQ630" s="14"/>
      <c r="CR630" s="12"/>
      <c r="CS630" s="14"/>
      <c r="CT630" s="16"/>
      <c r="CU630" s="14"/>
      <c r="CV630" s="12"/>
      <c r="CW630" s="14"/>
      <c r="CX630" s="16"/>
      <c r="CY630" s="14"/>
      <c r="CZ630" s="12"/>
      <c r="DA630" s="14"/>
      <c r="DB630" s="16"/>
      <c r="DC630" s="14"/>
      <c r="DD630" s="12"/>
      <c r="DE630" s="14"/>
      <c r="DF630" s="16"/>
      <c r="DG630" s="14"/>
      <c r="DH630" s="12"/>
      <c r="DI630" s="14"/>
      <c r="DJ630" s="16"/>
      <c r="DK630" s="14"/>
      <c r="DL630" s="12"/>
      <c r="DM630" s="14"/>
      <c r="DN630" s="16"/>
      <c r="DO630" s="14"/>
      <c r="DP630" s="12"/>
      <c r="DQ630" s="14"/>
      <c r="DR630" s="16"/>
      <c r="DS630" s="14"/>
      <c r="DT630" s="12"/>
      <c r="DU630" s="14"/>
      <c r="DV630" s="16"/>
      <c r="DW630" s="14"/>
      <c r="DX630" s="12"/>
      <c r="DY630" s="14"/>
      <c r="DZ630" s="16"/>
      <c r="EA630" s="14"/>
      <c r="EB630" s="12"/>
      <c r="EC630" s="14"/>
      <c r="ED630" s="16"/>
      <c r="EE630" s="14"/>
      <c r="EF630" s="12"/>
      <c r="EG630" s="12"/>
      <c r="EH630" s="14"/>
      <c r="EI630" s="16"/>
      <c r="EJ630" s="14"/>
      <c r="EK630" s="14">
        <v>68683</v>
      </c>
      <c r="EL630" s="14">
        <v>18257</v>
      </c>
      <c r="EM630" s="14">
        <v>86940</v>
      </c>
      <c r="EN630" s="14">
        <v>226654</v>
      </c>
      <c r="EO630" s="14">
        <v>60248</v>
      </c>
      <c r="EP630" s="14">
        <v>286902</v>
      </c>
      <c r="EQ630" s="12" t="s">
        <v>319</v>
      </c>
      <c r="ER630" s="14"/>
      <c r="ES630" s="16"/>
      <c r="ET630" s="14"/>
      <c r="EU630" s="11" t="s">
        <v>319</v>
      </c>
      <c r="EV630" s="14"/>
      <c r="EW630" s="16"/>
      <c r="EX630" s="14"/>
      <c r="EY630" s="12" t="s">
        <v>319</v>
      </c>
      <c r="EZ630" s="14"/>
      <c r="FA630" s="16"/>
      <c r="FB630" s="14"/>
      <c r="FC630" s="12" t="s">
        <v>319</v>
      </c>
      <c r="FD630" s="14"/>
      <c r="FE630" s="16"/>
      <c r="FF630" s="14"/>
      <c r="FG630" s="12" t="s">
        <v>320</v>
      </c>
      <c r="FH630" s="14">
        <v>95901</v>
      </c>
      <c r="FI630" s="16">
        <v>0.75</v>
      </c>
      <c r="FJ630" s="14">
        <v>316473</v>
      </c>
      <c r="FK630" s="12" t="s">
        <v>320</v>
      </c>
      <c r="FL630" s="14">
        <v>6330</v>
      </c>
      <c r="FM630" s="16">
        <v>0.73</v>
      </c>
      <c r="FN630" s="14">
        <v>0</v>
      </c>
      <c r="FO630" s="12" t="s">
        <v>319</v>
      </c>
      <c r="FP630" s="14"/>
      <c r="FQ630" s="16"/>
      <c r="FR630" s="14"/>
      <c r="FS630" s="12" t="s">
        <v>320</v>
      </c>
      <c r="FT630" s="14"/>
      <c r="FU630" s="16"/>
      <c r="FV630" s="14"/>
      <c r="FW630" s="11" t="s">
        <v>320</v>
      </c>
      <c r="FX630" s="14">
        <v>86940</v>
      </c>
      <c r="FY630" s="16">
        <v>0.79</v>
      </c>
      <c r="FZ630" s="14">
        <v>286902</v>
      </c>
      <c r="GA630" s="12" t="s">
        <v>319</v>
      </c>
      <c r="GB630" s="14"/>
      <c r="GC630" s="16"/>
      <c r="GD630" s="14"/>
      <c r="GE630" s="12" t="s">
        <v>319</v>
      </c>
      <c r="GF630" s="14"/>
      <c r="GG630" s="16"/>
      <c r="GH630" s="14"/>
      <c r="GI630" s="12" t="s">
        <v>319</v>
      </c>
      <c r="GJ630" s="14"/>
      <c r="GK630" s="16"/>
      <c r="GL630" s="14"/>
      <c r="GM630" s="12"/>
      <c r="GN630" s="14"/>
      <c r="GO630" s="16"/>
      <c r="GP630" s="14"/>
      <c r="GQ630" s="12" t="s">
        <v>319</v>
      </c>
      <c r="GR630" s="14"/>
      <c r="GS630" s="16"/>
      <c r="GT630" s="14"/>
      <c r="GU630" s="12" t="s">
        <v>319</v>
      </c>
      <c r="GV630" s="14"/>
      <c r="GW630" s="16"/>
      <c r="GX630" s="14"/>
      <c r="GY630" s="11" t="s">
        <v>320</v>
      </c>
      <c r="GZ630" s="14">
        <v>78189</v>
      </c>
      <c r="HA630" s="16">
        <v>1</v>
      </c>
      <c r="HB630" s="14">
        <v>258024</v>
      </c>
      <c r="HC630" s="12"/>
      <c r="HD630" s="12"/>
      <c r="HE630" s="14"/>
      <c r="HF630" s="16"/>
      <c r="HG630" s="14"/>
      <c r="HH630" s="12" t="s">
        <v>319</v>
      </c>
      <c r="HI630" s="12"/>
      <c r="HJ630" s="12"/>
      <c r="HK630" s="12"/>
      <c r="HL630" s="12" t="s">
        <v>320</v>
      </c>
      <c r="HM630" s="12" t="s">
        <v>619</v>
      </c>
      <c r="HN630" s="12">
        <v>2018</v>
      </c>
      <c r="HO630" s="12" t="s">
        <v>10453</v>
      </c>
      <c r="HP630" s="12" t="s">
        <v>330</v>
      </c>
      <c r="HQ630" s="12" t="s">
        <v>319</v>
      </c>
      <c r="HR630" s="12" t="s">
        <v>319</v>
      </c>
      <c r="HS630" s="12" t="s">
        <v>319</v>
      </c>
      <c r="HT630" s="12" t="s">
        <v>320</v>
      </c>
      <c r="HU630" s="12" t="s">
        <v>320</v>
      </c>
      <c r="HV630" s="12" t="s">
        <v>319</v>
      </c>
      <c r="HW630" s="12" t="s">
        <v>319</v>
      </c>
      <c r="HX630" s="12"/>
      <c r="HY630" s="12"/>
      <c r="HZ630" s="12" t="s">
        <v>394</v>
      </c>
      <c r="IA630" s="12" t="s">
        <v>10454</v>
      </c>
      <c r="IB630" s="12" t="s">
        <v>396</v>
      </c>
      <c r="IC630" s="12" t="s">
        <v>10455</v>
      </c>
      <c r="ID630" s="12" t="s">
        <v>334</v>
      </c>
      <c r="IE630" s="12" t="s">
        <v>478</v>
      </c>
      <c r="IF630" s="12" t="s">
        <v>320</v>
      </c>
      <c r="IG630" s="12" t="s">
        <v>320</v>
      </c>
      <c r="IH630" s="12" t="s">
        <v>320</v>
      </c>
      <c r="II630" s="12" t="s">
        <v>320</v>
      </c>
      <c r="IJ630" s="12" t="str">
        <f t="shared" si="388"/>
        <v>4. Transformative</v>
      </c>
      <c r="IK630" s="12">
        <f t="shared" si="389"/>
        <v>4</v>
      </c>
      <c r="IL630" s="11" t="s">
        <v>621</v>
      </c>
      <c r="IM630" s="12"/>
      <c r="IN630" s="12" t="s">
        <v>320</v>
      </c>
      <c r="IO630" s="12" t="s">
        <v>320</v>
      </c>
      <c r="IP630" s="12" t="s">
        <v>320</v>
      </c>
      <c r="IQ630" s="12" t="str">
        <f t="shared" si="390"/>
        <v>3. Responsive</v>
      </c>
      <c r="IR630" s="12">
        <f t="shared" si="391"/>
        <v>3</v>
      </c>
      <c r="IS630" s="12" t="s">
        <v>622</v>
      </c>
      <c r="IT630" s="12"/>
      <c r="IU630" s="12" t="s">
        <v>320</v>
      </c>
      <c r="IV630" s="12" t="s">
        <v>320</v>
      </c>
      <c r="IW630" s="11" t="str">
        <f t="shared" si="392"/>
        <v>3. Responsive</v>
      </c>
      <c r="IX630" s="12">
        <f t="shared" si="393"/>
        <v>2</v>
      </c>
      <c r="IY630" s="12" t="s">
        <v>338</v>
      </c>
      <c r="IZ630" s="12" t="s">
        <v>457</v>
      </c>
      <c r="JA630" s="12">
        <v>3</v>
      </c>
      <c r="JB630" s="12" t="s">
        <v>651</v>
      </c>
      <c r="JC630" s="12" t="s">
        <v>433</v>
      </c>
      <c r="JD630" s="12"/>
      <c r="JE630" s="12" t="s">
        <v>340</v>
      </c>
      <c r="JF630" s="12" t="s">
        <v>10456</v>
      </c>
      <c r="JG630" s="12" t="s">
        <v>10457</v>
      </c>
      <c r="JH630" s="12" t="s">
        <v>10458</v>
      </c>
      <c r="JI630" s="12" t="s">
        <v>10459</v>
      </c>
      <c r="JJ630" s="12" t="s">
        <v>10460</v>
      </c>
      <c r="JK630" s="12" t="s">
        <v>10461</v>
      </c>
      <c r="JL630" s="12" t="s">
        <v>10462</v>
      </c>
      <c r="JM630" s="12" t="s">
        <v>10463</v>
      </c>
      <c r="JN630" s="12"/>
      <c r="JO630" s="12"/>
      <c r="JP630" s="15">
        <f t="shared" si="394"/>
        <v>86940</v>
      </c>
      <c r="JQ630" s="15">
        <f t="shared" si="395"/>
        <v>286902</v>
      </c>
      <c r="JR630" s="279">
        <f t="shared" si="396"/>
        <v>3.3</v>
      </c>
      <c r="JS630" s="17">
        <f t="shared" si="397"/>
        <v>0.79000460087416613</v>
      </c>
      <c r="JT630" s="18">
        <f t="shared" si="398"/>
        <v>0.79000494942523924</v>
      </c>
      <c r="JU630" s="280">
        <f t="shared" si="399"/>
        <v>68683</v>
      </c>
      <c r="JV630" s="280">
        <f t="shared" si="400"/>
        <v>226654</v>
      </c>
      <c r="JW630" s="319" t="str">
        <f t="shared" si="401"/>
        <v/>
      </c>
      <c r="JX630" s="15">
        <f t="shared" si="402"/>
        <v>0</v>
      </c>
      <c r="JY630" s="15">
        <f t="shared" si="403"/>
        <v>0</v>
      </c>
      <c r="JZ630" s="19" t="str">
        <f t="shared" si="404"/>
        <v/>
      </c>
      <c r="KA630" s="52">
        <f t="shared" si="405"/>
        <v>1</v>
      </c>
      <c r="KB630" s="15">
        <f t="shared" si="406"/>
        <v>95901</v>
      </c>
      <c r="KC630" s="15">
        <f t="shared" si="407"/>
        <v>316473</v>
      </c>
      <c r="KD630" s="20">
        <f t="shared" si="408"/>
        <v>3.2999968717740171</v>
      </c>
      <c r="KE630" s="52" t="str">
        <f t="shared" si="409"/>
        <v/>
      </c>
      <c r="KF630" s="15">
        <f t="shared" si="410"/>
        <v>0</v>
      </c>
      <c r="KG630" s="15">
        <f t="shared" si="411"/>
        <v>0</v>
      </c>
      <c r="KH630" s="21" t="str">
        <f t="shared" si="412"/>
        <v/>
      </c>
      <c r="KI630" s="52">
        <f t="shared" si="413"/>
        <v>1</v>
      </c>
      <c r="KJ630" s="15">
        <f t="shared" si="414"/>
        <v>0</v>
      </c>
      <c r="KK630" s="15">
        <f t="shared" si="415"/>
        <v>0</v>
      </c>
      <c r="KL630" s="19" t="str">
        <f t="shared" si="416"/>
        <v/>
      </c>
      <c r="KM630" s="52">
        <f t="shared" si="417"/>
        <v>1</v>
      </c>
      <c r="KN630" s="22">
        <f t="shared" si="418"/>
        <v>78189</v>
      </c>
      <c r="KO630" s="22">
        <f t="shared" si="419"/>
        <v>258024</v>
      </c>
      <c r="KP630" s="19">
        <f t="shared" si="420"/>
        <v>3.3000038368568467</v>
      </c>
      <c r="KQ630" s="11" t="str">
        <f t="shared" si="421"/>
        <v>4. Transformative</v>
      </c>
      <c r="KR630" s="11" t="str">
        <f t="shared" si="422"/>
        <v>3. Responsive</v>
      </c>
      <c r="KS630" s="11" t="str">
        <f t="shared" si="423"/>
        <v>3. Responsive</v>
      </c>
      <c r="KT630" s="11" t="str">
        <f t="shared" si="424"/>
        <v>It tested new ways for fighting poverty, but did not measure results of innovation</v>
      </c>
      <c r="KU630" s="11" t="str">
        <f t="shared" si="425"/>
        <v>Moderate advocacy</v>
      </c>
      <c r="KV630" s="11" t="str">
        <f t="shared" si="426"/>
        <v>It linked and worked with strategic alliances and partners to take tested and effective solutions to scale</v>
      </c>
      <c r="KW630" s="11" t="str">
        <f t="shared" si="427"/>
        <v>Rwanda - Gender Equality &amp; Women's Empowerment Project &amp; Literacy for Empowerment</v>
      </c>
      <c r="KX630" s="11" t="str">
        <f t="shared" si="428"/>
        <v>Gender Equality &amp; Women's Empowerment Project &amp; Literacy for Empowerment</v>
      </c>
      <c r="KY630" s="11" t="str">
        <f t="shared" si="429"/>
        <v>Rwanda</v>
      </c>
      <c r="KZ630" s="12">
        <v>630</v>
      </c>
    </row>
    <row r="631" spans="1:312" x14ac:dyDescent="0.3">
      <c r="A631" s="12" t="s">
        <v>10371</v>
      </c>
      <c r="B631" s="12" t="s">
        <v>1874</v>
      </c>
      <c r="C631" s="12">
        <v>3296</v>
      </c>
      <c r="D631" s="12" t="s">
        <v>10464</v>
      </c>
      <c r="E631" s="277" t="str">
        <f t="shared" si="387"/>
        <v>Rwanda</v>
      </c>
      <c r="F631" s="12" t="s">
        <v>10465</v>
      </c>
      <c r="G631" s="12" t="s">
        <v>488</v>
      </c>
      <c r="H631" s="12" t="s">
        <v>310</v>
      </c>
      <c r="I631" s="12" t="s">
        <v>506</v>
      </c>
      <c r="J631" s="281" t="s">
        <v>9230</v>
      </c>
      <c r="K631" s="12"/>
      <c r="L631" s="12"/>
      <c r="M631" s="12"/>
      <c r="N631" s="12"/>
      <c r="O631" s="12"/>
      <c r="P631" s="12"/>
      <c r="Q631" s="12"/>
      <c r="R631" s="12"/>
      <c r="S631" s="12"/>
      <c r="T631" s="12"/>
      <c r="U631" s="12"/>
      <c r="V631" s="12"/>
      <c r="W631" s="12"/>
      <c r="X631" s="12"/>
      <c r="Y631" s="12"/>
      <c r="Z631" s="12"/>
      <c r="AA631" s="12"/>
      <c r="AB631" s="12"/>
      <c r="AC631" s="12"/>
      <c r="AD631" s="12"/>
      <c r="BD631" s="13">
        <v>41883</v>
      </c>
      <c r="BE631" s="13">
        <v>43343</v>
      </c>
      <c r="BF631" s="12"/>
      <c r="BG631" s="12" t="s">
        <v>609</v>
      </c>
      <c r="BH631" s="14">
        <v>4821973</v>
      </c>
      <c r="BI631" s="12" t="s">
        <v>10466</v>
      </c>
      <c r="BJ631" s="12" t="s">
        <v>10467</v>
      </c>
      <c r="BK631" s="12" t="s">
        <v>10468</v>
      </c>
      <c r="BL631" s="12" t="s">
        <v>10377</v>
      </c>
      <c r="BM631" s="12" t="s">
        <v>10378</v>
      </c>
      <c r="BN631" s="12" t="s">
        <v>10379</v>
      </c>
      <c r="BO631" s="11" t="s">
        <v>319</v>
      </c>
      <c r="BP631" s="11" t="s">
        <v>320</v>
      </c>
      <c r="BQ631" s="11" t="s">
        <v>319</v>
      </c>
      <c r="BR631" s="12" t="s">
        <v>10469</v>
      </c>
      <c r="BS631" s="12" t="s">
        <v>357</v>
      </c>
      <c r="BT631" s="12"/>
      <c r="BU631" s="12"/>
      <c r="BV631" s="14">
        <v>39854</v>
      </c>
      <c r="BW631" s="14">
        <v>38722</v>
      </c>
      <c r="BX631" s="14">
        <v>78576</v>
      </c>
      <c r="BY631" s="14">
        <v>590162</v>
      </c>
      <c r="BZ631" s="14">
        <v>543864</v>
      </c>
      <c r="CA631" s="14">
        <v>1134026</v>
      </c>
      <c r="CB631" s="12" t="s">
        <v>10470</v>
      </c>
      <c r="CD631" s="14"/>
      <c r="CE631" s="14"/>
      <c r="CF631" s="14"/>
      <c r="CG631" s="14"/>
      <c r="CH631" s="14"/>
      <c r="CI631" s="14"/>
      <c r="CJ631" s="12"/>
      <c r="CK631" s="14"/>
      <c r="CL631" s="16"/>
      <c r="CM631" s="14"/>
      <c r="CN631" s="12"/>
      <c r="CO631" s="14"/>
      <c r="CP631" s="16"/>
      <c r="CQ631" s="14"/>
      <c r="CR631" s="12"/>
      <c r="CS631" s="14"/>
      <c r="CT631" s="16"/>
      <c r="CU631" s="14"/>
      <c r="CV631" s="12"/>
      <c r="CW631" s="14"/>
      <c r="CX631" s="16"/>
      <c r="CY631" s="14"/>
      <c r="CZ631" s="12"/>
      <c r="DA631" s="14"/>
      <c r="DB631" s="16"/>
      <c r="DC631" s="14"/>
      <c r="DD631" s="12"/>
      <c r="DE631" s="14"/>
      <c r="DF631" s="16"/>
      <c r="DG631" s="14"/>
      <c r="DH631" s="12"/>
      <c r="DI631" s="14"/>
      <c r="DJ631" s="16"/>
      <c r="DK631" s="14"/>
      <c r="DL631" s="12"/>
      <c r="DM631" s="14"/>
      <c r="DN631" s="16"/>
      <c r="DO631" s="14"/>
      <c r="DP631" s="12"/>
      <c r="DQ631" s="14"/>
      <c r="DR631" s="16"/>
      <c r="DS631" s="14"/>
      <c r="DT631" s="12"/>
      <c r="DU631" s="14"/>
      <c r="DV631" s="16"/>
      <c r="DW631" s="14"/>
      <c r="DX631" s="12"/>
      <c r="DY631" s="14"/>
      <c r="DZ631" s="16"/>
      <c r="EA631" s="14"/>
      <c r="EB631" s="12"/>
      <c r="EC631" s="14"/>
      <c r="ED631" s="16"/>
      <c r="EE631" s="14"/>
      <c r="EF631" s="12"/>
      <c r="EG631" s="12"/>
      <c r="EH631" s="14"/>
      <c r="EI631" s="16"/>
      <c r="EJ631" s="14"/>
      <c r="EK631" s="14">
        <v>1828</v>
      </c>
      <c r="EL631" s="14">
        <v>2129</v>
      </c>
      <c r="EM631" s="14">
        <v>3957</v>
      </c>
      <c r="EN631" s="14">
        <v>176472</v>
      </c>
      <c r="EO631" s="14">
        <v>98734</v>
      </c>
      <c r="EP631" s="14">
        <v>275206</v>
      </c>
      <c r="EQ631" s="12" t="s">
        <v>319</v>
      </c>
      <c r="ER631" s="14"/>
      <c r="ES631" s="16"/>
      <c r="ET631" s="14"/>
      <c r="EU631" s="11" t="s">
        <v>319</v>
      </c>
      <c r="EV631" s="14"/>
      <c r="EW631" s="16"/>
      <c r="EX631" s="14"/>
      <c r="EY631" s="12" t="s">
        <v>319</v>
      </c>
      <c r="EZ631" s="14"/>
      <c r="FA631" s="16"/>
      <c r="FB631" s="14"/>
      <c r="FC631" s="12" t="s">
        <v>319</v>
      </c>
      <c r="FD631" s="14"/>
      <c r="FE631" s="16"/>
      <c r="FF631" s="14"/>
      <c r="FG631" s="12" t="s">
        <v>319</v>
      </c>
      <c r="FH631" s="14"/>
      <c r="FI631" s="16"/>
      <c r="FJ631" s="14"/>
      <c r="FK631" s="12" t="s">
        <v>319</v>
      </c>
      <c r="FL631" s="14"/>
      <c r="FM631" s="16"/>
      <c r="FN631" s="14"/>
      <c r="FO631" s="12" t="s">
        <v>319</v>
      </c>
      <c r="FP631" s="14"/>
      <c r="FQ631" s="16"/>
      <c r="FR631" s="14"/>
      <c r="FS631" s="12" t="s">
        <v>320</v>
      </c>
      <c r="FT631" s="14"/>
      <c r="FU631" s="16"/>
      <c r="FV631" s="14"/>
      <c r="FW631" s="12" t="s">
        <v>320</v>
      </c>
      <c r="FX631" s="14"/>
      <c r="FY631" s="16"/>
      <c r="FZ631" s="14"/>
      <c r="GA631" s="12" t="s">
        <v>319</v>
      </c>
      <c r="GB631" s="14"/>
      <c r="GC631" s="16"/>
      <c r="GD631" s="14"/>
      <c r="GE631" s="12" t="s">
        <v>319</v>
      </c>
      <c r="GF631" s="14"/>
      <c r="GG631" s="16"/>
      <c r="GH631" s="14"/>
      <c r="GI631" s="12" t="s">
        <v>319</v>
      </c>
      <c r="GJ631" s="14"/>
      <c r="GK631" s="16"/>
      <c r="GL631" s="14"/>
      <c r="GM631" s="11" t="s">
        <v>320</v>
      </c>
      <c r="GN631" s="14">
        <v>1320</v>
      </c>
      <c r="GO631" s="16"/>
      <c r="GP631" s="14"/>
      <c r="GQ631" s="12" t="s">
        <v>319</v>
      </c>
      <c r="GR631" s="14"/>
      <c r="GS631" s="16"/>
      <c r="GT631" s="14"/>
      <c r="GU631" s="12" t="s">
        <v>319</v>
      </c>
      <c r="GV631" s="14"/>
      <c r="GW631" s="16"/>
      <c r="GX631" s="14"/>
      <c r="GY631" s="12" t="s">
        <v>319</v>
      </c>
      <c r="GZ631" s="14"/>
      <c r="HA631" s="16"/>
      <c r="HB631" s="14"/>
      <c r="HC631" s="12"/>
      <c r="HD631" s="12"/>
      <c r="HE631" s="14"/>
      <c r="HF631" s="16"/>
      <c r="HG631" s="14"/>
      <c r="HH631" s="12" t="s">
        <v>320</v>
      </c>
      <c r="HI631" s="12"/>
      <c r="HJ631" s="12">
        <v>2017</v>
      </c>
      <c r="HK631" s="12" t="s">
        <v>320</v>
      </c>
      <c r="HL631" s="12" t="s">
        <v>320</v>
      </c>
      <c r="HM631" s="12" t="s">
        <v>544</v>
      </c>
      <c r="HN631" s="12">
        <v>2018</v>
      </c>
      <c r="HO631" s="12" t="s">
        <v>10471</v>
      </c>
      <c r="HP631" s="12" t="s">
        <v>330</v>
      </c>
      <c r="HQ631" s="12" t="s">
        <v>319</v>
      </c>
      <c r="HR631" s="12" t="s">
        <v>319</v>
      </c>
      <c r="HS631" s="12" t="s">
        <v>320</v>
      </c>
      <c r="HT631" s="12" t="s">
        <v>320</v>
      </c>
      <c r="HU631" s="12" t="s">
        <v>320</v>
      </c>
      <c r="HV631" s="12" t="s">
        <v>319</v>
      </c>
      <c r="HW631" s="12" t="s">
        <v>319</v>
      </c>
      <c r="HX631" s="12"/>
      <c r="HY631" s="12"/>
      <c r="HZ631" s="12" t="s">
        <v>331</v>
      </c>
      <c r="IA631" s="12" t="s">
        <v>10472</v>
      </c>
      <c r="IB631" s="12" t="s">
        <v>396</v>
      </c>
      <c r="IC631" s="12" t="s">
        <v>10473</v>
      </c>
      <c r="ID631" s="12" t="s">
        <v>477</v>
      </c>
      <c r="IE631" s="12" t="s">
        <v>478</v>
      </c>
      <c r="IF631" s="12"/>
      <c r="IG631" s="12"/>
      <c r="IH631" s="12"/>
      <c r="II631" s="12"/>
      <c r="IJ631" s="12" t="str">
        <f t="shared" si="388"/>
        <v>No marker score</v>
      </c>
      <c r="IK631" s="12">
        <f t="shared" si="389"/>
        <v>0</v>
      </c>
      <c r="IL631" s="12"/>
      <c r="IM631" s="12"/>
      <c r="IN631" s="12"/>
      <c r="IO631" s="12"/>
      <c r="IP631" s="12"/>
      <c r="IQ631" s="12" t="str">
        <f t="shared" si="390"/>
        <v>No marker score</v>
      </c>
      <c r="IR631" s="12">
        <f t="shared" si="391"/>
        <v>0</v>
      </c>
      <c r="IS631" s="12" t="s">
        <v>622</v>
      </c>
      <c r="IT631" s="12"/>
      <c r="IU631" s="12"/>
      <c r="IV631" s="12" t="s">
        <v>320</v>
      </c>
      <c r="IW631" s="11" t="str">
        <f t="shared" si="392"/>
        <v>3. Responsive</v>
      </c>
      <c r="IX631" s="12">
        <f t="shared" si="393"/>
        <v>1</v>
      </c>
      <c r="IY631" s="12" t="s">
        <v>338</v>
      </c>
      <c r="IZ631" s="12" t="s">
        <v>457</v>
      </c>
      <c r="JA631" s="12">
        <v>2</v>
      </c>
      <c r="JB631" s="12" t="s">
        <v>433</v>
      </c>
      <c r="JC631" s="12"/>
      <c r="JD631" s="12"/>
      <c r="JE631" s="12" t="s">
        <v>340</v>
      </c>
      <c r="JF631" s="12" t="s">
        <v>10474</v>
      </c>
      <c r="JG631" s="12" t="s">
        <v>10475</v>
      </c>
      <c r="JH631" s="12" t="s">
        <v>10476</v>
      </c>
      <c r="JI631" s="12" t="s">
        <v>10477</v>
      </c>
      <c r="JJ631" s="12" t="s">
        <v>10478</v>
      </c>
      <c r="JK631" s="12"/>
      <c r="JL631" s="12"/>
      <c r="JM631" s="12"/>
      <c r="JN631" s="12"/>
      <c r="JO631" s="12"/>
      <c r="JP631" s="15">
        <f t="shared" si="394"/>
        <v>3957</v>
      </c>
      <c r="JQ631" s="15">
        <f t="shared" si="395"/>
        <v>275206</v>
      </c>
      <c r="JR631" s="279">
        <f t="shared" si="396"/>
        <v>69.549153399039682</v>
      </c>
      <c r="JS631" s="17">
        <f t="shared" si="397"/>
        <v>0.46196613596158709</v>
      </c>
      <c r="JT631" s="18">
        <f t="shared" si="398"/>
        <v>0.64123601956352694</v>
      </c>
      <c r="JU631" s="280">
        <f t="shared" si="399"/>
        <v>1828</v>
      </c>
      <c r="JV631" s="280">
        <f t="shared" si="400"/>
        <v>176472</v>
      </c>
      <c r="JW631" s="319" t="str">
        <f t="shared" si="401"/>
        <v/>
      </c>
      <c r="JX631" s="15">
        <f t="shared" si="402"/>
        <v>0</v>
      </c>
      <c r="JY631" s="15">
        <f t="shared" si="403"/>
        <v>0</v>
      </c>
      <c r="JZ631" s="19" t="str">
        <f t="shared" si="404"/>
        <v/>
      </c>
      <c r="KA631" s="52" t="str">
        <f t="shared" si="405"/>
        <v/>
      </c>
      <c r="KB631" s="15">
        <f t="shared" si="406"/>
        <v>0</v>
      </c>
      <c r="KC631" s="15">
        <f t="shared" si="407"/>
        <v>0</v>
      </c>
      <c r="KD631" s="20" t="str">
        <f t="shared" si="408"/>
        <v/>
      </c>
      <c r="KE631" s="52" t="str">
        <f t="shared" si="409"/>
        <v/>
      </c>
      <c r="KF631" s="15">
        <f t="shared" si="410"/>
        <v>0</v>
      </c>
      <c r="KG631" s="15">
        <f t="shared" si="411"/>
        <v>0</v>
      </c>
      <c r="KH631" s="21" t="str">
        <f t="shared" si="412"/>
        <v/>
      </c>
      <c r="KI631" s="52">
        <f t="shared" si="413"/>
        <v>1</v>
      </c>
      <c r="KJ631" s="15">
        <f t="shared" si="414"/>
        <v>0</v>
      </c>
      <c r="KK631" s="15">
        <f t="shared" si="415"/>
        <v>0</v>
      </c>
      <c r="KL631" s="19" t="str">
        <f t="shared" si="416"/>
        <v/>
      </c>
      <c r="KM631" s="52" t="str">
        <f t="shared" si="417"/>
        <v/>
      </c>
      <c r="KN631" s="22">
        <f t="shared" si="418"/>
        <v>0</v>
      </c>
      <c r="KO631" s="22">
        <f t="shared" si="419"/>
        <v>0</v>
      </c>
      <c r="KP631" s="19" t="str">
        <f t="shared" si="420"/>
        <v/>
      </c>
      <c r="KQ631" s="11" t="str">
        <f t="shared" si="421"/>
        <v>No marker score</v>
      </c>
      <c r="KR631" s="11" t="str">
        <f t="shared" si="422"/>
        <v>No marker score</v>
      </c>
      <c r="KS631" s="11" t="str">
        <f t="shared" si="423"/>
        <v>3. Responsive</v>
      </c>
      <c r="KT631" s="11" t="str">
        <f t="shared" si="424"/>
        <v>It tested new ways for fighting poverty and measured results of innovation</v>
      </c>
      <c r="KU631" s="11" t="str">
        <f t="shared" si="425"/>
        <v>Moderate advocacy</v>
      </c>
      <c r="KV631" s="11" t="str">
        <f t="shared" si="426"/>
        <v>It linked and worked with strategic alliances and partners to take tested and effective solutions to scale</v>
      </c>
      <c r="KW631" s="11" t="str">
        <f t="shared" si="427"/>
        <v>Rwanda - Indashyikirwa "Agent For Change" Project</v>
      </c>
      <c r="KX631" s="11" t="str">
        <f t="shared" si="428"/>
        <v>Indashyikirwa "Agent For Change" Project</v>
      </c>
      <c r="KY631" s="11" t="str">
        <f t="shared" si="429"/>
        <v>Rwanda</v>
      </c>
      <c r="KZ631" s="12">
        <v>631</v>
      </c>
    </row>
    <row r="632" spans="1:312" x14ac:dyDescent="0.3">
      <c r="A632" s="12" t="s">
        <v>10371</v>
      </c>
      <c r="B632" s="12" t="s">
        <v>1874</v>
      </c>
      <c r="C632" s="12">
        <v>3309</v>
      </c>
      <c r="D632" s="12" t="s">
        <v>10372</v>
      </c>
      <c r="E632" s="277" t="str">
        <f t="shared" si="387"/>
        <v>Rwanda</v>
      </c>
      <c r="F632" s="12" t="s">
        <v>10373</v>
      </c>
      <c r="G632" s="12" t="s">
        <v>605</v>
      </c>
      <c r="H632" s="12" t="s">
        <v>310</v>
      </c>
      <c r="I632" s="12" t="s">
        <v>606</v>
      </c>
      <c r="J632" s="281" t="s">
        <v>792</v>
      </c>
      <c r="K632" s="12"/>
      <c r="L632" s="12"/>
      <c r="M632" s="12"/>
      <c r="N632" s="12"/>
      <c r="O632" s="12"/>
      <c r="P632" s="12"/>
      <c r="Q632" s="12"/>
      <c r="R632" s="12"/>
      <c r="S632" s="12"/>
      <c r="T632" s="12"/>
      <c r="U632" s="12"/>
      <c r="V632" s="12"/>
      <c r="W632" s="12"/>
      <c r="X632" s="12"/>
      <c r="Y632" s="12"/>
      <c r="Z632" s="12"/>
      <c r="AA632" s="12"/>
      <c r="AB632" s="12"/>
      <c r="AC632" s="12"/>
      <c r="AD632" s="12"/>
      <c r="BD632" s="13">
        <v>42461</v>
      </c>
      <c r="BE632" s="13">
        <v>43555</v>
      </c>
      <c r="BF632" s="12"/>
      <c r="BG632" s="12" t="s">
        <v>312</v>
      </c>
      <c r="BH632" s="14">
        <v>533415</v>
      </c>
      <c r="BI632" s="12" t="s">
        <v>10374</v>
      </c>
      <c r="BJ632" s="12" t="s">
        <v>10375</v>
      </c>
      <c r="BK632" s="12" t="s">
        <v>10376</v>
      </c>
      <c r="BL632" s="12" t="s">
        <v>10377</v>
      </c>
      <c r="BM632" s="12" t="s">
        <v>10378</v>
      </c>
      <c r="BN632" s="12" t="s">
        <v>10379</v>
      </c>
      <c r="BO632" s="12" t="s">
        <v>319</v>
      </c>
      <c r="BP632" s="12" t="s">
        <v>320</v>
      </c>
      <c r="BQ632" s="12" t="s">
        <v>319</v>
      </c>
      <c r="BR632" s="12" t="s">
        <v>10380</v>
      </c>
      <c r="BS632" s="12" t="s">
        <v>357</v>
      </c>
      <c r="BT632" s="12" t="s">
        <v>10381</v>
      </c>
      <c r="BU632" s="12" t="s">
        <v>10382</v>
      </c>
      <c r="BV632" s="14"/>
      <c r="BW632" s="14"/>
      <c r="BX632" s="14">
        <v>505</v>
      </c>
      <c r="BY632" s="14"/>
      <c r="BZ632" s="14"/>
      <c r="CA632" s="14">
        <v>59540</v>
      </c>
      <c r="CB632" s="12" t="s">
        <v>10383</v>
      </c>
      <c r="CD632" s="14"/>
      <c r="CE632" s="14"/>
      <c r="CF632" s="14"/>
      <c r="CG632" s="14"/>
      <c r="CH632" s="14"/>
      <c r="CI632" s="14"/>
      <c r="CJ632" s="12"/>
      <c r="CK632" s="14"/>
      <c r="CL632" s="16"/>
      <c r="CM632" s="14"/>
      <c r="CN632" s="12"/>
      <c r="CO632" s="14"/>
      <c r="CP632" s="16"/>
      <c r="CQ632" s="14"/>
      <c r="CR632" s="12"/>
      <c r="CS632" s="14"/>
      <c r="CT632" s="16"/>
      <c r="CU632" s="14"/>
      <c r="CV632" s="12"/>
      <c r="CW632" s="14"/>
      <c r="CX632" s="16"/>
      <c r="CY632" s="14"/>
      <c r="CZ632" s="12"/>
      <c r="DA632" s="14"/>
      <c r="DB632" s="16"/>
      <c r="DC632" s="14"/>
      <c r="DD632" s="12"/>
      <c r="DE632" s="14"/>
      <c r="DF632" s="16"/>
      <c r="DG632" s="14"/>
      <c r="DH632" s="12"/>
      <c r="DI632" s="14"/>
      <c r="DJ632" s="16"/>
      <c r="DK632" s="14"/>
      <c r="DL632" s="12"/>
      <c r="DM632" s="14"/>
      <c r="DN632" s="16"/>
      <c r="DO632" s="14"/>
      <c r="DP632" s="12"/>
      <c r="DQ632" s="14"/>
      <c r="DR632" s="16"/>
      <c r="DS632" s="14"/>
      <c r="DT632" s="12"/>
      <c r="DU632" s="14"/>
      <c r="DV632" s="16"/>
      <c r="DW632" s="14"/>
      <c r="DX632" s="12"/>
      <c r="DY632" s="14"/>
      <c r="DZ632" s="16"/>
      <c r="EA632" s="14"/>
      <c r="EB632" s="12"/>
      <c r="EC632" s="14"/>
      <c r="ED632" s="16"/>
      <c r="EE632" s="14"/>
      <c r="EF632" s="12"/>
      <c r="EG632" s="12"/>
      <c r="EH632" s="14"/>
      <c r="EI632" s="16"/>
      <c r="EJ632" s="14"/>
      <c r="EK632" s="14">
        <v>19</v>
      </c>
      <c r="EL632" s="14">
        <v>17</v>
      </c>
      <c r="EM632" s="14">
        <v>36</v>
      </c>
      <c r="EN632" s="14">
        <v>0</v>
      </c>
      <c r="EO632" s="14">
        <v>0</v>
      </c>
      <c r="EP632" s="14">
        <v>0</v>
      </c>
      <c r="EQ632" s="12" t="s">
        <v>319</v>
      </c>
      <c r="ER632" s="14"/>
      <c r="ES632" s="16"/>
      <c r="ET632" s="14"/>
      <c r="EU632" s="11" t="s">
        <v>319</v>
      </c>
      <c r="EV632" s="14"/>
      <c r="EW632" s="16"/>
      <c r="EX632" s="14"/>
      <c r="EY632" s="12" t="s">
        <v>319</v>
      </c>
      <c r="EZ632" s="14"/>
      <c r="FA632" s="16"/>
      <c r="FB632" s="14"/>
      <c r="FC632" s="12" t="s">
        <v>319</v>
      </c>
      <c r="FD632" s="14"/>
      <c r="FE632" s="16"/>
      <c r="FF632" s="14"/>
      <c r="FG632" s="12" t="s">
        <v>319</v>
      </c>
      <c r="FH632" s="14"/>
      <c r="FI632" s="16"/>
      <c r="FJ632" s="14"/>
      <c r="FK632" s="12" t="s">
        <v>319</v>
      </c>
      <c r="FL632" s="14"/>
      <c r="FM632" s="16"/>
      <c r="FN632" s="14"/>
      <c r="FO632" s="12" t="s">
        <v>319</v>
      </c>
      <c r="FP632" s="14"/>
      <c r="FQ632" s="16"/>
      <c r="FR632" s="14"/>
      <c r="FS632" s="12" t="s">
        <v>320</v>
      </c>
      <c r="FT632" s="14"/>
      <c r="FU632" s="16"/>
      <c r="FV632" s="14"/>
      <c r="FW632" s="11" t="s">
        <v>320</v>
      </c>
      <c r="FX632" s="14">
        <v>36</v>
      </c>
      <c r="FY632" s="16">
        <v>0.53</v>
      </c>
      <c r="FZ632" s="14">
        <v>0</v>
      </c>
      <c r="GA632" s="12" t="s">
        <v>319</v>
      </c>
      <c r="GB632" s="14"/>
      <c r="GC632" s="16"/>
      <c r="GD632" s="14"/>
      <c r="GE632" s="12" t="s">
        <v>319</v>
      </c>
      <c r="GF632" s="14"/>
      <c r="GG632" s="16"/>
      <c r="GH632" s="14"/>
      <c r="GI632" s="12" t="s">
        <v>319</v>
      </c>
      <c r="GJ632" s="14"/>
      <c r="GK632" s="16"/>
      <c r="GL632" s="14"/>
      <c r="GM632" s="12" t="s">
        <v>319</v>
      </c>
      <c r="GN632" s="14"/>
      <c r="GO632" s="16"/>
      <c r="GP632" s="14"/>
      <c r="GQ632" s="12" t="s">
        <v>319</v>
      </c>
      <c r="GR632" s="14"/>
      <c r="GS632" s="16"/>
      <c r="GT632" s="14"/>
      <c r="GU632" s="12" t="s">
        <v>319</v>
      </c>
      <c r="GV632" s="14"/>
      <c r="GW632" s="16"/>
      <c r="GX632" s="14"/>
      <c r="GY632" s="12" t="s">
        <v>319</v>
      </c>
      <c r="GZ632" s="14"/>
      <c r="HA632" s="16"/>
      <c r="HB632" s="14"/>
      <c r="HC632" s="12"/>
      <c r="HD632" s="12"/>
      <c r="HE632" s="14"/>
      <c r="HF632" s="16"/>
      <c r="HG632" s="14"/>
      <c r="HH632" s="12" t="s">
        <v>320</v>
      </c>
      <c r="HI632" s="12" t="s">
        <v>544</v>
      </c>
      <c r="HJ632" s="12">
        <v>2017</v>
      </c>
      <c r="HK632" s="12" t="s">
        <v>320</v>
      </c>
      <c r="HL632" s="12" t="s">
        <v>319</v>
      </c>
      <c r="HM632" s="12"/>
      <c r="HN632" s="12"/>
      <c r="HO632" s="12" t="s">
        <v>10384</v>
      </c>
      <c r="HP632" s="12" t="s">
        <v>418</v>
      </c>
      <c r="HQ632" s="12"/>
      <c r="HR632" s="12"/>
      <c r="HS632" s="12"/>
      <c r="HT632" s="12"/>
      <c r="HU632" s="12"/>
      <c r="HV632" s="12"/>
      <c r="HW632" s="12"/>
      <c r="HX632" s="12"/>
      <c r="HY632" s="12"/>
      <c r="HZ632" s="12" t="s">
        <v>394</v>
      </c>
      <c r="IA632" s="12" t="s">
        <v>10385</v>
      </c>
      <c r="IB632" s="12" t="s">
        <v>333</v>
      </c>
      <c r="IC632" s="12" t="s">
        <v>10386</v>
      </c>
      <c r="ID632" s="12" t="s">
        <v>364</v>
      </c>
      <c r="IE632" s="12" t="s">
        <v>335</v>
      </c>
      <c r="IF632" s="12" t="s">
        <v>320</v>
      </c>
      <c r="IG632" s="12" t="s">
        <v>320</v>
      </c>
      <c r="IH632" s="12" t="s">
        <v>320</v>
      </c>
      <c r="II632" s="12" t="s">
        <v>319</v>
      </c>
      <c r="IJ632" s="12" t="str">
        <f t="shared" si="388"/>
        <v>1. Neutral</v>
      </c>
      <c r="IK632" s="12">
        <f t="shared" si="389"/>
        <v>3</v>
      </c>
      <c r="IL632" s="12" t="s">
        <v>336</v>
      </c>
      <c r="IM632" s="12" t="s">
        <v>320</v>
      </c>
      <c r="IN632" s="12" t="s">
        <v>320</v>
      </c>
      <c r="IO632" s="12" t="s">
        <v>320</v>
      </c>
      <c r="IP632" s="12" t="s">
        <v>320</v>
      </c>
      <c r="IQ632" s="12" t="str">
        <f t="shared" si="390"/>
        <v>2. Accommodating</v>
      </c>
      <c r="IR632" s="12">
        <f t="shared" si="391"/>
        <v>4</v>
      </c>
      <c r="IS632" s="12" t="s">
        <v>337</v>
      </c>
      <c r="IT632" s="12" t="s">
        <v>320</v>
      </c>
      <c r="IU632" s="12" t="s">
        <v>320</v>
      </c>
      <c r="IV632" s="12" t="s">
        <v>320</v>
      </c>
      <c r="IW632" s="11" t="str">
        <f t="shared" si="392"/>
        <v>2. Sensitive</v>
      </c>
      <c r="IX632" s="12">
        <f t="shared" si="393"/>
        <v>3</v>
      </c>
      <c r="IY632" s="12" t="s">
        <v>338</v>
      </c>
      <c r="IZ632" s="12" t="s">
        <v>457</v>
      </c>
      <c r="JA632" s="12">
        <v>6</v>
      </c>
      <c r="JB632" s="12" t="s">
        <v>651</v>
      </c>
      <c r="JC632" s="12" t="s">
        <v>433</v>
      </c>
      <c r="JD632" s="12"/>
      <c r="JE632" s="12" t="s">
        <v>340</v>
      </c>
      <c r="JF632" s="12"/>
      <c r="JG632" s="12" t="s">
        <v>10387</v>
      </c>
      <c r="JH632" s="12" t="s">
        <v>10388</v>
      </c>
      <c r="JI632" s="12" t="s">
        <v>10389</v>
      </c>
      <c r="JJ632" s="12"/>
      <c r="JK632" s="12" t="s">
        <v>10390</v>
      </c>
      <c r="JL632" s="12" t="s">
        <v>10391</v>
      </c>
      <c r="JM632" s="12" t="s">
        <v>10392</v>
      </c>
      <c r="JN632" s="12" t="s">
        <v>10393</v>
      </c>
      <c r="JO632" s="12" t="s">
        <v>10394</v>
      </c>
      <c r="JP632" s="15">
        <f t="shared" si="394"/>
        <v>36</v>
      </c>
      <c r="JQ632" s="15">
        <f t="shared" si="395"/>
        <v>0</v>
      </c>
      <c r="JR632" s="279">
        <f t="shared" si="396"/>
        <v>0</v>
      </c>
      <c r="JS632" s="17">
        <f t="shared" si="397"/>
        <v>0.52777777777777779</v>
      </c>
      <c r="JT632" s="18" t="str">
        <f t="shared" si="398"/>
        <v/>
      </c>
      <c r="JU632" s="280">
        <f t="shared" si="399"/>
        <v>19</v>
      </c>
      <c r="JV632" s="280">
        <f t="shared" si="400"/>
        <v>0</v>
      </c>
      <c r="JW632" s="319" t="str">
        <f t="shared" si="401"/>
        <v/>
      </c>
      <c r="JX632" s="15">
        <f t="shared" si="402"/>
        <v>0</v>
      </c>
      <c r="JY632" s="15">
        <f t="shared" si="403"/>
        <v>0</v>
      </c>
      <c r="JZ632" s="19" t="str">
        <f t="shared" si="404"/>
        <v/>
      </c>
      <c r="KA632" s="52" t="str">
        <f t="shared" si="405"/>
        <v/>
      </c>
      <c r="KB632" s="15">
        <f t="shared" si="406"/>
        <v>0</v>
      </c>
      <c r="KC632" s="15">
        <f t="shared" si="407"/>
        <v>0</v>
      </c>
      <c r="KD632" s="20" t="str">
        <f t="shared" si="408"/>
        <v/>
      </c>
      <c r="KE632" s="52" t="str">
        <f t="shared" si="409"/>
        <v/>
      </c>
      <c r="KF632" s="15">
        <f t="shared" si="410"/>
        <v>0</v>
      </c>
      <c r="KG632" s="15">
        <f t="shared" si="411"/>
        <v>0</v>
      </c>
      <c r="KH632" s="21" t="str">
        <f t="shared" si="412"/>
        <v/>
      </c>
      <c r="KI632" s="52">
        <f t="shared" si="413"/>
        <v>1</v>
      </c>
      <c r="KJ632" s="15">
        <f t="shared" si="414"/>
        <v>0</v>
      </c>
      <c r="KK632" s="15">
        <f t="shared" si="415"/>
        <v>0</v>
      </c>
      <c r="KL632" s="19" t="str">
        <f t="shared" si="416"/>
        <v/>
      </c>
      <c r="KM632" s="52" t="str">
        <f t="shared" si="417"/>
        <v/>
      </c>
      <c r="KN632" s="22">
        <f t="shared" si="418"/>
        <v>0</v>
      </c>
      <c r="KO632" s="22">
        <f t="shared" si="419"/>
        <v>0</v>
      </c>
      <c r="KP632" s="19" t="str">
        <f t="shared" si="420"/>
        <v/>
      </c>
      <c r="KQ632" s="11" t="str">
        <f t="shared" si="421"/>
        <v>1. Neutral</v>
      </c>
      <c r="KR632" s="11" t="str">
        <f t="shared" si="422"/>
        <v>2. Accommodating</v>
      </c>
      <c r="KS632" s="11" t="str">
        <f t="shared" si="423"/>
        <v>2. Sensitive</v>
      </c>
      <c r="KT632" s="11" t="str">
        <f t="shared" si="424"/>
        <v>It tested new ways for fighting poverty, but did not measure results of innovation</v>
      </c>
      <c r="KU632" s="11" t="str">
        <f t="shared" si="425"/>
        <v>Little or no advocacy</v>
      </c>
      <c r="KV632" s="11" t="str">
        <f t="shared" si="426"/>
        <v>It did not take tested solutions to scale</v>
      </c>
      <c r="KW632" s="11" t="str">
        <f t="shared" si="427"/>
        <v>Rwanda - Learning for change (L4C): Strengthening Women's Voices in East Africa-ADA Framework Programme</v>
      </c>
      <c r="KX632" s="11" t="str">
        <f t="shared" si="428"/>
        <v>Learning for change (L4C): Strengthening Women's Voices in East Africa-ADA Framework Programme</v>
      </c>
      <c r="KY632" s="11" t="str">
        <f t="shared" si="429"/>
        <v>Rwanda</v>
      </c>
      <c r="KZ632" s="12">
        <v>632</v>
      </c>
    </row>
    <row r="633" spans="1:312" x14ac:dyDescent="0.3">
      <c r="A633" s="12" t="s">
        <v>10371</v>
      </c>
      <c r="B633" s="12" t="s">
        <v>1874</v>
      </c>
      <c r="C633" s="12"/>
      <c r="D633" s="12" t="s">
        <v>2276</v>
      </c>
      <c r="E633" s="277" t="str">
        <f t="shared" si="387"/>
        <v>Rwanda</v>
      </c>
      <c r="F633" s="12" t="s">
        <v>3436</v>
      </c>
      <c r="G633" s="12" t="s">
        <v>488</v>
      </c>
      <c r="H633" s="12" t="s">
        <v>554</v>
      </c>
      <c r="I633" s="12" t="s">
        <v>384</v>
      </c>
      <c r="J633" s="281" t="s">
        <v>9230</v>
      </c>
      <c r="K633" s="12" t="s">
        <v>3436</v>
      </c>
      <c r="L633" s="12" t="s">
        <v>488</v>
      </c>
      <c r="M633" s="12" t="s">
        <v>383</v>
      </c>
      <c r="N633" s="12" t="s">
        <v>384</v>
      </c>
      <c r="O633" s="12" t="s">
        <v>2277</v>
      </c>
      <c r="P633" s="12"/>
      <c r="Q633" s="12"/>
      <c r="R633" s="12"/>
      <c r="S633" s="12"/>
      <c r="T633" s="12"/>
      <c r="U633" s="12"/>
      <c r="V633" s="12"/>
      <c r="W633" s="12"/>
      <c r="X633" s="12"/>
      <c r="Y633" s="12"/>
      <c r="Z633" s="12"/>
      <c r="AA633" s="12"/>
      <c r="AB633" s="12"/>
      <c r="AC633" s="12"/>
      <c r="AD633" s="12"/>
      <c r="BD633" s="13">
        <v>42552</v>
      </c>
      <c r="BE633" s="13">
        <v>42916</v>
      </c>
      <c r="BF633" s="12"/>
      <c r="BG633" s="12" t="s">
        <v>350</v>
      </c>
      <c r="BH633" s="14">
        <v>375579</v>
      </c>
      <c r="BI633" s="12" t="s">
        <v>2278</v>
      </c>
      <c r="BJ633" s="12" t="s">
        <v>2279</v>
      </c>
      <c r="BK633" s="12" t="s">
        <v>2280</v>
      </c>
      <c r="BL633" s="12"/>
      <c r="BM633" s="12"/>
      <c r="BN633" s="12"/>
      <c r="BO633" s="12" t="s">
        <v>319</v>
      </c>
      <c r="BP633" s="12" t="s">
        <v>320</v>
      </c>
      <c r="BQ633" s="12" t="s">
        <v>319</v>
      </c>
      <c r="BR633" s="12" t="s">
        <v>2281</v>
      </c>
      <c r="BS633" s="12" t="s">
        <v>357</v>
      </c>
      <c r="BT633" s="12" t="s">
        <v>10479</v>
      </c>
      <c r="BU633" s="12" t="s">
        <v>10480</v>
      </c>
      <c r="BV633" s="14">
        <v>1174</v>
      </c>
      <c r="BW633" s="14">
        <v>518</v>
      </c>
      <c r="BX633" s="14">
        <v>1692</v>
      </c>
      <c r="BY633" s="14">
        <v>3482</v>
      </c>
      <c r="BZ633" s="14">
        <v>3212</v>
      </c>
      <c r="CA633" s="14">
        <v>6694</v>
      </c>
      <c r="CB633" s="12" t="s">
        <v>10481</v>
      </c>
      <c r="CD633" s="14"/>
      <c r="CE633" s="14"/>
      <c r="CF633" s="14"/>
      <c r="CG633" s="14"/>
      <c r="CH633" s="14"/>
      <c r="CI633" s="14"/>
      <c r="CJ633" s="12"/>
      <c r="CK633" s="14"/>
      <c r="CL633" s="16"/>
      <c r="CM633" s="14"/>
      <c r="CN633" s="12"/>
      <c r="CO633" s="14"/>
      <c r="CP633" s="16"/>
      <c r="CQ633" s="14"/>
      <c r="CR633" s="12"/>
      <c r="CS633" s="14"/>
      <c r="CT633" s="16"/>
      <c r="CU633" s="14"/>
      <c r="CV633" s="12"/>
      <c r="CW633" s="14"/>
      <c r="CX633" s="16"/>
      <c r="CY633" s="14"/>
      <c r="CZ633" s="12"/>
      <c r="DA633" s="14"/>
      <c r="DB633" s="16"/>
      <c r="DC633" s="14"/>
      <c r="DD633" s="12"/>
      <c r="DE633" s="14"/>
      <c r="DF633" s="16"/>
      <c r="DG633" s="14"/>
      <c r="DH633" s="12"/>
      <c r="DI633" s="14"/>
      <c r="DJ633" s="16"/>
      <c r="DK633" s="14"/>
      <c r="DL633" s="12"/>
      <c r="DM633" s="14"/>
      <c r="DN633" s="16"/>
      <c r="DO633" s="14"/>
      <c r="DP633" s="12"/>
      <c r="DQ633" s="14"/>
      <c r="DR633" s="16"/>
      <c r="DS633" s="14"/>
      <c r="DT633" s="12"/>
      <c r="DU633" s="14"/>
      <c r="DV633" s="16"/>
      <c r="DW633" s="14"/>
      <c r="DX633" s="12"/>
      <c r="DY633" s="14"/>
      <c r="DZ633" s="16"/>
      <c r="EA633" s="14"/>
      <c r="EB633" s="12"/>
      <c r="EC633" s="14"/>
      <c r="ED633" s="16"/>
      <c r="EE633" s="14"/>
      <c r="EF633" s="12"/>
      <c r="EG633" s="12"/>
      <c r="EH633" s="14"/>
      <c r="EI633" s="16"/>
      <c r="EJ633" s="14"/>
      <c r="EK633" s="14">
        <v>1174</v>
      </c>
      <c r="EL633" s="14">
        <v>518</v>
      </c>
      <c r="EM633" s="14">
        <v>1692</v>
      </c>
      <c r="EN633" s="14">
        <v>3482</v>
      </c>
      <c r="EO633" s="14">
        <v>3212</v>
      </c>
      <c r="EP633" s="14">
        <v>6694</v>
      </c>
      <c r="EQ633" s="12"/>
      <c r="ER633" s="14"/>
      <c r="ES633" s="16"/>
      <c r="ET633" s="14"/>
      <c r="EU633" s="12"/>
      <c r="EV633" s="14"/>
      <c r="EW633" s="16"/>
      <c r="EX633" s="14"/>
      <c r="EY633" s="12"/>
      <c r="EZ633" s="14"/>
      <c r="FA633" s="16"/>
      <c r="FB633" s="14"/>
      <c r="FC633" s="12"/>
      <c r="FD633" s="14"/>
      <c r="FE633" s="16"/>
      <c r="FF633" s="14"/>
      <c r="FG633" s="12"/>
      <c r="FH633" s="14"/>
      <c r="FI633" s="16"/>
      <c r="FJ633" s="14"/>
      <c r="FK633" s="12"/>
      <c r="FL633" s="14"/>
      <c r="FM633" s="16"/>
      <c r="FN633" s="14"/>
      <c r="FO633" s="12"/>
      <c r="FP633" s="14"/>
      <c r="FQ633" s="16"/>
      <c r="FR633" s="14"/>
      <c r="FS633" s="12"/>
      <c r="FT633" s="14"/>
      <c r="FU633" s="16"/>
      <c r="FV633" s="14"/>
      <c r="FW633" s="12"/>
      <c r="FX633" s="14"/>
      <c r="FY633" s="16"/>
      <c r="FZ633" s="14"/>
      <c r="GA633" s="12"/>
      <c r="GB633" s="14"/>
      <c r="GC633" s="16"/>
      <c r="GD633" s="14"/>
      <c r="GE633" s="12"/>
      <c r="GF633" s="14"/>
      <c r="GG633" s="16"/>
      <c r="GH633" s="14"/>
      <c r="GI633" s="12"/>
      <c r="GJ633" s="14"/>
      <c r="GK633" s="16"/>
      <c r="GL633" s="14"/>
      <c r="GM633" s="12"/>
      <c r="GN633" s="14"/>
      <c r="GO633" s="16"/>
      <c r="GP633" s="14"/>
      <c r="GQ633" s="12"/>
      <c r="GR633" s="14"/>
      <c r="GS633" s="16"/>
      <c r="GT633" s="14"/>
      <c r="GU633" s="12"/>
      <c r="GV633" s="14"/>
      <c r="GW633" s="16"/>
      <c r="GX633" s="14"/>
      <c r="GY633" s="11" t="s">
        <v>320</v>
      </c>
      <c r="GZ633" s="14">
        <v>1692</v>
      </c>
      <c r="HA633" s="16">
        <v>0.69</v>
      </c>
      <c r="HB633" s="14">
        <v>6694</v>
      </c>
      <c r="HC633" s="12"/>
      <c r="HD633" s="12"/>
      <c r="HE633" s="14"/>
      <c r="HF633" s="16"/>
      <c r="HG633" s="14"/>
      <c r="HH633" s="12" t="s">
        <v>319</v>
      </c>
      <c r="HI633" s="12"/>
      <c r="HJ633" s="12"/>
      <c r="HK633" s="12"/>
      <c r="HL633" s="12" t="s">
        <v>319</v>
      </c>
      <c r="HM633" s="12"/>
      <c r="HN633" s="12"/>
      <c r="HO633" s="12"/>
      <c r="HP633" s="12" t="s">
        <v>418</v>
      </c>
      <c r="HQ633" s="12"/>
      <c r="HR633" s="12"/>
      <c r="HS633" s="12"/>
      <c r="HT633" s="12"/>
      <c r="HU633" s="12"/>
      <c r="HV633" s="12"/>
      <c r="HW633" s="12"/>
      <c r="HX633" s="12"/>
      <c r="HY633" s="12"/>
      <c r="HZ633" s="12" t="s">
        <v>363</v>
      </c>
      <c r="IA633" s="12"/>
      <c r="IB633" s="12" t="s">
        <v>333</v>
      </c>
      <c r="IC633" s="12"/>
      <c r="ID633" s="12" t="s">
        <v>364</v>
      </c>
      <c r="IE633" s="12" t="s">
        <v>1909</v>
      </c>
      <c r="IF633" s="12"/>
      <c r="IG633" s="12"/>
      <c r="IH633" s="12"/>
      <c r="II633" s="12"/>
      <c r="IJ633" s="12" t="str">
        <f t="shared" si="388"/>
        <v>0. Harmful</v>
      </c>
      <c r="IK633" s="12">
        <f t="shared" si="389"/>
        <v>0</v>
      </c>
      <c r="IL633" s="12" t="s">
        <v>723</v>
      </c>
      <c r="IM633" s="12"/>
      <c r="IN633" s="12"/>
      <c r="IO633" s="12"/>
      <c r="IP633" s="12"/>
      <c r="IQ633" s="12" t="str">
        <f t="shared" si="390"/>
        <v>0. Unaware</v>
      </c>
      <c r="IR633" s="12">
        <f t="shared" si="391"/>
        <v>0</v>
      </c>
      <c r="IS633" s="12" t="s">
        <v>456</v>
      </c>
      <c r="IT633" s="12"/>
      <c r="IU633" s="12"/>
      <c r="IV633" s="12"/>
      <c r="IW633" s="11" t="str">
        <f t="shared" si="392"/>
        <v>0. Harmful</v>
      </c>
      <c r="IX633" s="12">
        <f t="shared" si="393"/>
        <v>0</v>
      </c>
      <c r="IY633" s="12" t="s">
        <v>338</v>
      </c>
      <c r="IZ633" s="12" t="s">
        <v>457</v>
      </c>
      <c r="JA633" s="12">
        <v>1</v>
      </c>
      <c r="JB633" s="12" t="s">
        <v>724</v>
      </c>
      <c r="JC633" s="12"/>
      <c r="JD633" s="12"/>
      <c r="JE633" s="12" t="s">
        <v>420</v>
      </c>
      <c r="JF633" s="12"/>
      <c r="JG633" s="12" t="s">
        <v>2285</v>
      </c>
      <c r="JH633" s="12" t="s">
        <v>3440</v>
      </c>
      <c r="JI633" s="12" t="s">
        <v>3441</v>
      </c>
      <c r="JJ633" s="12" t="s">
        <v>10482</v>
      </c>
      <c r="JK633" s="12" t="s">
        <v>10483</v>
      </c>
      <c r="JL633" s="12" t="s">
        <v>10484</v>
      </c>
      <c r="JM633" s="12"/>
      <c r="JN633" s="12" t="s">
        <v>10485</v>
      </c>
      <c r="JO633" s="12"/>
      <c r="JP633" s="15">
        <f t="shared" si="394"/>
        <v>1692</v>
      </c>
      <c r="JQ633" s="15">
        <f t="shared" si="395"/>
        <v>6694</v>
      </c>
      <c r="JR633" s="279">
        <f t="shared" si="396"/>
        <v>3.9562647754137115</v>
      </c>
      <c r="JS633" s="17">
        <f t="shared" si="397"/>
        <v>0.69385342789598103</v>
      </c>
      <c r="JT633" s="18">
        <f t="shared" si="398"/>
        <v>0.52016731401254857</v>
      </c>
      <c r="JU633" s="280">
        <f t="shared" si="399"/>
        <v>1174</v>
      </c>
      <c r="JV633" s="280">
        <f t="shared" si="400"/>
        <v>3482</v>
      </c>
      <c r="JW633" s="319" t="str">
        <f t="shared" si="401"/>
        <v/>
      </c>
      <c r="JX633" s="15">
        <f t="shared" si="402"/>
        <v>0</v>
      </c>
      <c r="JY633" s="15">
        <f t="shared" si="403"/>
        <v>0</v>
      </c>
      <c r="JZ633" s="19" t="str">
        <f t="shared" si="404"/>
        <v/>
      </c>
      <c r="KA633" s="52" t="str">
        <f t="shared" si="405"/>
        <v/>
      </c>
      <c r="KB633" s="15">
        <f t="shared" si="406"/>
        <v>0</v>
      </c>
      <c r="KC633" s="15">
        <f t="shared" si="407"/>
        <v>0</v>
      </c>
      <c r="KD633" s="20" t="str">
        <f t="shared" si="408"/>
        <v/>
      </c>
      <c r="KE633" s="52" t="str">
        <f t="shared" si="409"/>
        <v/>
      </c>
      <c r="KF633" s="15">
        <f t="shared" si="410"/>
        <v>0</v>
      </c>
      <c r="KG633" s="15">
        <f t="shared" si="411"/>
        <v>0</v>
      </c>
      <c r="KH633" s="21" t="str">
        <f t="shared" si="412"/>
        <v/>
      </c>
      <c r="KI633" s="52" t="str">
        <f t="shared" si="413"/>
        <v/>
      </c>
      <c r="KJ633" s="15">
        <f t="shared" si="414"/>
        <v>0</v>
      </c>
      <c r="KK633" s="15">
        <f t="shared" si="415"/>
        <v>0</v>
      </c>
      <c r="KL633" s="19" t="str">
        <f t="shared" si="416"/>
        <v/>
      </c>
      <c r="KM633" s="52">
        <f t="shared" si="417"/>
        <v>1</v>
      </c>
      <c r="KN633" s="22">
        <f t="shared" si="418"/>
        <v>1692</v>
      </c>
      <c r="KO633" s="22">
        <f t="shared" si="419"/>
        <v>6694</v>
      </c>
      <c r="KP633" s="19">
        <f t="shared" si="420"/>
        <v>3.9562647754137115</v>
      </c>
      <c r="KQ633" s="11" t="str">
        <f t="shared" si="421"/>
        <v>0. Harmful</v>
      </c>
      <c r="KR633" s="11" t="str">
        <f t="shared" si="422"/>
        <v>0. Unaware</v>
      </c>
      <c r="KS633" s="11" t="str">
        <f t="shared" si="423"/>
        <v>0. Harmful</v>
      </c>
      <c r="KT633" s="11" t="str">
        <f t="shared" si="424"/>
        <v>It did not develop any specific innovation</v>
      </c>
      <c r="KU633" s="11" t="str">
        <f t="shared" si="425"/>
        <v>Little or no advocacy</v>
      </c>
      <c r="KV633" s="11" t="str">
        <f t="shared" si="426"/>
        <v>It did not take tested solutions to scale</v>
      </c>
      <c r="KW633" s="11" t="str">
        <f t="shared" si="427"/>
        <v>Rwanda - Lendwithcare</v>
      </c>
      <c r="KX633" s="11" t="str">
        <f t="shared" si="428"/>
        <v>Lendwithcare</v>
      </c>
      <c r="KY633" s="11" t="str">
        <f t="shared" si="429"/>
        <v>Rwanda</v>
      </c>
      <c r="KZ633" s="12">
        <v>633</v>
      </c>
    </row>
    <row r="634" spans="1:312" x14ac:dyDescent="0.3">
      <c r="A634" s="12" t="s">
        <v>10371</v>
      </c>
      <c r="B634" s="12" t="s">
        <v>1874</v>
      </c>
      <c r="C634" s="12">
        <v>3310</v>
      </c>
      <c r="D634" s="12" t="s">
        <v>10395</v>
      </c>
      <c r="E634" s="277" t="str">
        <f t="shared" si="387"/>
        <v>Rwanda</v>
      </c>
      <c r="F634" s="12" t="s">
        <v>10396</v>
      </c>
      <c r="G634" s="12" t="s">
        <v>376</v>
      </c>
      <c r="H634" s="12" t="s">
        <v>383</v>
      </c>
      <c r="I634" s="12" t="s">
        <v>384</v>
      </c>
      <c r="J634" s="281" t="s">
        <v>14592</v>
      </c>
      <c r="K634" s="12"/>
      <c r="L634" s="12"/>
      <c r="M634" s="12"/>
      <c r="N634" s="12"/>
      <c r="O634" s="12"/>
      <c r="P634" s="12"/>
      <c r="Q634" s="12"/>
      <c r="R634" s="12"/>
      <c r="S634" s="12"/>
      <c r="T634" s="12"/>
      <c r="U634" s="12"/>
      <c r="V634" s="12"/>
      <c r="W634" s="12"/>
      <c r="X634" s="12"/>
      <c r="Y634" s="12"/>
      <c r="Z634" s="12"/>
      <c r="AA634" s="12"/>
      <c r="AB634" s="12"/>
      <c r="AC634" s="12"/>
      <c r="AD634" s="12"/>
      <c r="BD634" s="13">
        <v>41579</v>
      </c>
      <c r="BE634" s="13">
        <v>43100</v>
      </c>
      <c r="BF634" s="13">
        <v>43189</v>
      </c>
      <c r="BG634" s="12" t="s">
        <v>350</v>
      </c>
      <c r="BH634" s="14">
        <v>1251607</v>
      </c>
      <c r="BI634" s="12" t="s">
        <v>10397</v>
      </c>
      <c r="BJ634" s="12" t="s">
        <v>354</v>
      </c>
      <c r="BK634" s="12" t="s">
        <v>10398</v>
      </c>
      <c r="BL634" s="12" t="s">
        <v>10399</v>
      </c>
      <c r="BM634" s="12" t="s">
        <v>10400</v>
      </c>
      <c r="BN634" s="12" t="s">
        <v>10401</v>
      </c>
      <c r="BO634" s="11" t="s">
        <v>319</v>
      </c>
      <c r="BP634" s="11" t="s">
        <v>320</v>
      </c>
      <c r="BQ634" s="11" t="s">
        <v>319</v>
      </c>
      <c r="BR634" s="12" t="s">
        <v>10402</v>
      </c>
      <c r="BS634" s="12" t="s">
        <v>357</v>
      </c>
      <c r="BT634" s="12" t="s">
        <v>10403</v>
      </c>
      <c r="BU634" s="12" t="s">
        <v>10404</v>
      </c>
      <c r="BV634" s="14">
        <v>210000</v>
      </c>
      <c r="BW634" s="14">
        <v>90000</v>
      </c>
      <c r="BX634" s="14">
        <v>300000</v>
      </c>
      <c r="BY634" s="14">
        <v>630000</v>
      </c>
      <c r="BZ634" s="14">
        <v>270000</v>
      </c>
      <c r="CA634" s="14">
        <v>900000</v>
      </c>
      <c r="CB634" s="12" t="s">
        <v>10405</v>
      </c>
      <c r="CD634" s="14"/>
      <c r="CE634" s="14"/>
      <c r="CF634" s="14"/>
      <c r="CG634" s="14"/>
      <c r="CH634" s="14"/>
      <c r="CI634" s="14"/>
      <c r="CJ634" s="12"/>
      <c r="CK634" s="14"/>
      <c r="CL634" s="16"/>
      <c r="CM634" s="14"/>
      <c r="CN634" s="12"/>
      <c r="CO634" s="14"/>
      <c r="CP634" s="16"/>
      <c r="CQ634" s="14"/>
      <c r="CR634" s="12"/>
      <c r="CS634" s="14"/>
      <c r="CT634" s="16"/>
      <c r="CU634" s="14"/>
      <c r="CV634" s="12"/>
      <c r="CW634" s="14"/>
      <c r="CX634" s="16"/>
      <c r="CY634" s="14"/>
      <c r="CZ634" s="12"/>
      <c r="DA634" s="14"/>
      <c r="DB634" s="16"/>
      <c r="DC634" s="14"/>
      <c r="DD634" s="12"/>
      <c r="DE634" s="14"/>
      <c r="DF634" s="16"/>
      <c r="DG634" s="14"/>
      <c r="DH634" s="12"/>
      <c r="DI634" s="14"/>
      <c r="DJ634" s="16"/>
      <c r="DK634" s="14"/>
      <c r="DL634" s="12"/>
      <c r="DM634" s="14"/>
      <c r="DN634" s="16"/>
      <c r="DO634" s="14"/>
      <c r="DP634" s="12"/>
      <c r="DQ634" s="14"/>
      <c r="DR634" s="16"/>
      <c r="DS634" s="14"/>
      <c r="DT634" s="12"/>
      <c r="DU634" s="14"/>
      <c r="DV634" s="16"/>
      <c r="DW634" s="14"/>
      <c r="DX634" s="12"/>
      <c r="DY634" s="14"/>
      <c r="DZ634" s="16"/>
      <c r="EA634" s="14"/>
      <c r="EB634" s="12"/>
      <c r="EC634" s="14"/>
      <c r="ED634" s="16"/>
      <c r="EE634" s="14"/>
      <c r="EF634" s="12"/>
      <c r="EG634" s="12"/>
      <c r="EH634" s="14"/>
      <c r="EI634" s="16"/>
      <c r="EJ634" s="14"/>
      <c r="EK634" s="14">
        <v>231590</v>
      </c>
      <c r="EL634" s="14">
        <v>99253</v>
      </c>
      <c r="EM634" s="14">
        <v>330843</v>
      </c>
      <c r="EN634" s="14">
        <v>694770</v>
      </c>
      <c r="EO634" s="14">
        <v>297759</v>
      </c>
      <c r="EP634" s="14">
        <v>992529</v>
      </c>
      <c r="EQ634" s="12" t="s">
        <v>319</v>
      </c>
      <c r="ER634" s="14"/>
      <c r="ES634" s="16"/>
      <c r="ET634" s="14"/>
      <c r="EU634" s="11" t="s">
        <v>319</v>
      </c>
      <c r="EV634" s="14"/>
      <c r="EW634" s="16"/>
      <c r="EX634" s="14"/>
      <c r="EY634" s="12" t="s">
        <v>319</v>
      </c>
      <c r="EZ634" s="14"/>
      <c r="FA634" s="16"/>
      <c r="FB634" s="14"/>
      <c r="FC634" s="12" t="s">
        <v>319</v>
      </c>
      <c r="FD634" s="14"/>
      <c r="FE634" s="16"/>
      <c r="FF634" s="14"/>
      <c r="FG634" s="12" t="s">
        <v>319</v>
      </c>
      <c r="FH634" s="14"/>
      <c r="FI634" s="16"/>
      <c r="FJ634" s="14"/>
      <c r="FK634" s="12" t="s">
        <v>319</v>
      </c>
      <c r="FL634" s="14"/>
      <c r="FM634" s="16"/>
      <c r="FN634" s="14"/>
      <c r="FO634" s="12" t="s">
        <v>319</v>
      </c>
      <c r="FP634" s="14"/>
      <c r="FQ634" s="16"/>
      <c r="FR634" s="14"/>
      <c r="FS634" s="12" t="s">
        <v>319</v>
      </c>
      <c r="FT634" s="14"/>
      <c r="FU634" s="16"/>
      <c r="FV634" s="14"/>
      <c r="FW634" s="12" t="s">
        <v>319</v>
      </c>
      <c r="FX634" s="14"/>
      <c r="FY634" s="16"/>
      <c r="FZ634" s="14"/>
      <c r="GA634" s="12" t="s">
        <v>319</v>
      </c>
      <c r="GB634" s="14"/>
      <c r="GC634" s="16"/>
      <c r="GD634" s="14"/>
      <c r="GE634" s="12" t="s">
        <v>319</v>
      </c>
      <c r="GF634" s="14"/>
      <c r="GG634" s="16"/>
      <c r="GH634" s="14"/>
      <c r="GI634" s="12" t="s">
        <v>319</v>
      </c>
      <c r="GJ634" s="14"/>
      <c r="GK634" s="16"/>
      <c r="GL634" s="14"/>
      <c r="GM634" s="12" t="s">
        <v>319</v>
      </c>
      <c r="GN634" s="14"/>
      <c r="GO634" s="16"/>
      <c r="GP634" s="14"/>
      <c r="GQ634" s="12" t="s">
        <v>319</v>
      </c>
      <c r="GR634" s="14"/>
      <c r="GS634" s="16"/>
      <c r="GT634" s="14"/>
      <c r="GU634" s="12" t="s">
        <v>319</v>
      </c>
      <c r="GV634" s="14"/>
      <c r="GW634" s="16"/>
      <c r="GX634" s="14"/>
      <c r="GY634" s="11" t="s">
        <v>320</v>
      </c>
      <c r="GZ634" s="14">
        <v>330843</v>
      </c>
      <c r="HA634" s="16">
        <v>0.7</v>
      </c>
      <c r="HB634" s="14">
        <v>992529</v>
      </c>
      <c r="HC634" s="12"/>
      <c r="HD634" s="12" t="s">
        <v>319</v>
      </c>
      <c r="HE634" s="14"/>
      <c r="HF634" s="16"/>
      <c r="HG634" s="14"/>
      <c r="HH634" s="12" t="s">
        <v>319</v>
      </c>
      <c r="HI634" s="12"/>
      <c r="HJ634" s="12"/>
      <c r="HK634" s="12"/>
      <c r="HL634" s="12" t="s">
        <v>320</v>
      </c>
      <c r="HM634" s="12" t="s">
        <v>619</v>
      </c>
      <c r="HN634" s="12">
        <v>2017</v>
      </c>
      <c r="HO634" s="12" t="s">
        <v>10406</v>
      </c>
      <c r="HP634" s="12" t="s">
        <v>330</v>
      </c>
      <c r="HQ634" s="12" t="s">
        <v>319</v>
      </c>
      <c r="HR634" s="12" t="s">
        <v>319</v>
      </c>
      <c r="HS634" s="12" t="s">
        <v>319</v>
      </c>
      <c r="HT634" s="12" t="s">
        <v>320</v>
      </c>
      <c r="HU634" s="12" t="s">
        <v>320</v>
      </c>
      <c r="HV634" s="12" t="s">
        <v>319</v>
      </c>
      <c r="HW634" s="12" t="s">
        <v>319</v>
      </c>
      <c r="HX634" s="12" t="s">
        <v>319</v>
      </c>
      <c r="HY634" s="12"/>
      <c r="HZ634" s="12" t="s">
        <v>331</v>
      </c>
      <c r="IA634" s="12" t="s">
        <v>10407</v>
      </c>
      <c r="IB634" s="12" t="s">
        <v>396</v>
      </c>
      <c r="IC634" s="12" t="s">
        <v>10408</v>
      </c>
      <c r="ID634" s="12" t="s">
        <v>364</v>
      </c>
      <c r="IE634" s="12" t="s">
        <v>478</v>
      </c>
      <c r="IF634" s="12" t="s">
        <v>319</v>
      </c>
      <c r="IG634" s="12" t="s">
        <v>319</v>
      </c>
      <c r="IH634" s="12" t="s">
        <v>320</v>
      </c>
      <c r="II634" s="12" t="s">
        <v>320</v>
      </c>
      <c r="IJ634" s="12" t="str">
        <f t="shared" si="388"/>
        <v>3. Responsive</v>
      </c>
      <c r="IK634" s="12">
        <f t="shared" si="389"/>
        <v>2</v>
      </c>
      <c r="IL634" s="12" t="s">
        <v>336</v>
      </c>
      <c r="IM634" s="12" t="s">
        <v>320</v>
      </c>
      <c r="IN634" s="12" t="s">
        <v>320</v>
      </c>
      <c r="IO634" s="12" t="s">
        <v>320</v>
      </c>
      <c r="IP634" s="12" t="s">
        <v>320</v>
      </c>
      <c r="IQ634" s="12" t="str">
        <f t="shared" si="390"/>
        <v>2. Accommodating</v>
      </c>
      <c r="IR634" s="12">
        <f t="shared" si="391"/>
        <v>4</v>
      </c>
      <c r="IS634" s="12" t="s">
        <v>622</v>
      </c>
      <c r="IT634" s="12" t="s">
        <v>319</v>
      </c>
      <c r="IU634" s="12" t="s">
        <v>319</v>
      </c>
      <c r="IV634" s="12" t="s">
        <v>320</v>
      </c>
      <c r="IW634" s="11" t="str">
        <f t="shared" si="392"/>
        <v>3. Responsive</v>
      </c>
      <c r="IX634" s="12">
        <f t="shared" si="393"/>
        <v>1</v>
      </c>
      <c r="IY634" s="12" t="s">
        <v>338</v>
      </c>
      <c r="IZ634" s="12" t="s">
        <v>432</v>
      </c>
      <c r="JA634" s="12">
        <v>7</v>
      </c>
      <c r="JB634" s="12" t="s">
        <v>623</v>
      </c>
      <c r="JC634" s="12" t="s">
        <v>724</v>
      </c>
      <c r="JD634" s="12"/>
      <c r="JE634" s="12" t="s">
        <v>420</v>
      </c>
      <c r="JF634" s="12"/>
      <c r="JG634" s="12" t="s">
        <v>10409</v>
      </c>
      <c r="JH634" s="12" t="s">
        <v>10410</v>
      </c>
      <c r="JI634" s="12" t="s">
        <v>10411</v>
      </c>
      <c r="JJ634" s="12" t="s">
        <v>10412</v>
      </c>
      <c r="JK634" s="12" t="s">
        <v>10413</v>
      </c>
      <c r="JL634" s="12" t="s">
        <v>10414</v>
      </c>
      <c r="JM634" s="12" t="s">
        <v>10415</v>
      </c>
      <c r="JN634" s="12" t="s">
        <v>10416</v>
      </c>
      <c r="JO634" s="12" t="s">
        <v>10417</v>
      </c>
      <c r="JP634" s="15">
        <f t="shared" si="394"/>
        <v>330843</v>
      </c>
      <c r="JQ634" s="15">
        <f t="shared" si="395"/>
        <v>992529</v>
      </c>
      <c r="JR634" s="279">
        <f t="shared" si="396"/>
        <v>3</v>
      </c>
      <c r="JS634" s="17">
        <f t="shared" si="397"/>
        <v>0.69999969774182924</v>
      </c>
      <c r="JT634" s="18">
        <f t="shared" si="398"/>
        <v>0.69999969774182924</v>
      </c>
      <c r="JU634" s="280">
        <f t="shared" si="399"/>
        <v>231590</v>
      </c>
      <c r="JV634" s="280">
        <f t="shared" si="400"/>
        <v>694770</v>
      </c>
      <c r="JW634" s="319" t="str">
        <f t="shared" si="401"/>
        <v/>
      </c>
      <c r="JX634" s="15">
        <f t="shared" si="402"/>
        <v>0</v>
      </c>
      <c r="JY634" s="15">
        <f t="shared" si="403"/>
        <v>0</v>
      </c>
      <c r="JZ634" s="19" t="str">
        <f t="shared" si="404"/>
        <v/>
      </c>
      <c r="KA634" s="52" t="str">
        <f t="shared" si="405"/>
        <v/>
      </c>
      <c r="KB634" s="15">
        <f t="shared" si="406"/>
        <v>0</v>
      </c>
      <c r="KC634" s="15">
        <f t="shared" si="407"/>
        <v>0</v>
      </c>
      <c r="KD634" s="20" t="str">
        <f t="shared" si="408"/>
        <v/>
      </c>
      <c r="KE634" s="52" t="str">
        <f t="shared" si="409"/>
        <v/>
      </c>
      <c r="KF634" s="15">
        <f t="shared" si="410"/>
        <v>0</v>
      </c>
      <c r="KG634" s="15">
        <f t="shared" si="411"/>
        <v>0</v>
      </c>
      <c r="KH634" s="21" t="str">
        <f t="shared" si="412"/>
        <v/>
      </c>
      <c r="KI634" s="52" t="str">
        <f t="shared" si="413"/>
        <v/>
      </c>
      <c r="KJ634" s="15">
        <f t="shared" si="414"/>
        <v>0</v>
      </c>
      <c r="KK634" s="15">
        <f t="shared" si="415"/>
        <v>0</v>
      </c>
      <c r="KL634" s="19" t="str">
        <f t="shared" si="416"/>
        <v/>
      </c>
      <c r="KM634" s="52">
        <f t="shared" si="417"/>
        <v>1</v>
      </c>
      <c r="KN634" s="22">
        <f t="shared" si="418"/>
        <v>330843</v>
      </c>
      <c r="KO634" s="22">
        <f t="shared" si="419"/>
        <v>992529</v>
      </c>
      <c r="KP634" s="19">
        <f t="shared" si="420"/>
        <v>3</v>
      </c>
      <c r="KQ634" s="11" t="str">
        <f t="shared" si="421"/>
        <v>3. Responsive</v>
      </c>
      <c r="KR634" s="11" t="str">
        <f t="shared" si="422"/>
        <v>2. Accommodating</v>
      </c>
      <c r="KS634" s="11" t="str">
        <f t="shared" si="423"/>
        <v>3. Responsive</v>
      </c>
      <c r="KT634" s="11" t="str">
        <f t="shared" si="424"/>
        <v>It tested new ways for fighting poverty and measured results of innovation</v>
      </c>
      <c r="KU634" s="11" t="str">
        <f t="shared" si="425"/>
        <v>Moderate advocacy</v>
      </c>
      <c r="KV634" s="11" t="str">
        <f t="shared" si="426"/>
        <v>It linked and worked with strategic alliances and partners to take tested and effective solutions to scale</v>
      </c>
      <c r="KW634" s="11" t="str">
        <f t="shared" si="427"/>
        <v>Rwanda - PROFIR: Promoting Opportunities for Financial Inclusion in Rwanda</v>
      </c>
      <c r="KX634" s="11" t="str">
        <f t="shared" si="428"/>
        <v>PROFIR: Promoting Opportunities for Financial Inclusion in Rwanda</v>
      </c>
      <c r="KY634" s="11" t="str">
        <f t="shared" si="429"/>
        <v>Rwanda</v>
      </c>
      <c r="KZ634" s="12">
        <v>634</v>
      </c>
    </row>
    <row r="635" spans="1:312" x14ac:dyDescent="0.3">
      <c r="A635" s="12" t="s">
        <v>10371</v>
      </c>
      <c r="B635" s="12" t="s">
        <v>1874</v>
      </c>
      <c r="C635" s="12">
        <v>3312</v>
      </c>
      <c r="D635" s="12" t="s">
        <v>10528</v>
      </c>
      <c r="E635" s="277" t="str">
        <f t="shared" si="387"/>
        <v>Rwanda</v>
      </c>
      <c r="F635" s="12" t="s">
        <v>10529</v>
      </c>
      <c r="G635" s="12" t="s">
        <v>379</v>
      </c>
      <c r="H635" s="12" t="s">
        <v>384</v>
      </c>
      <c r="I635" s="12" t="s">
        <v>384</v>
      </c>
      <c r="J635" s="278" t="s">
        <v>10530</v>
      </c>
      <c r="K635" s="12"/>
      <c r="L635" s="12"/>
      <c r="M635" s="12"/>
      <c r="N635" s="12"/>
      <c r="O635" s="12"/>
      <c r="P635" s="12"/>
      <c r="Q635" s="12"/>
      <c r="R635" s="12"/>
      <c r="S635" s="12"/>
      <c r="T635" s="12"/>
      <c r="U635" s="12"/>
      <c r="V635" s="12"/>
      <c r="W635" s="12"/>
      <c r="X635" s="12"/>
      <c r="Y635" s="12"/>
      <c r="Z635" s="12"/>
      <c r="AA635" s="12"/>
      <c r="AB635" s="12"/>
      <c r="AC635" s="12"/>
      <c r="AD635" s="12"/>
      <c r="BD635" s="13">
        <v>42186</v>
      </c>
      <c r="BE635" s="13">
        <v>44012</v>
      </c>
      <c r="BF635" s="12"/>
      <c r="BG635" s="12" t="s">
        <v>312</v>
      </c>
      <c r="BH635" s="14">
        <v>1437650</v>
      </c>
      <c r="BI635" s="12" t="s">
        <v>10489</v>
      </c>
      <c r="BJ635" s="12" t="s">
        <v>354</v>
      </c>
      <c r="BK635" s="12" t="s">
        <v>10490</v>
      </c>
      <c r="BL635" s="12" t="s">
        <v>10491</v>
      </c>
      <c r="BM635" s="12" t="s">
        <v>8849</v>
      </c>
      <c r="BN635" s="12" t="s">
        <v>10492</v>
      </c>
      <c r="BO635" s="11" t="s">
        <v>319</v>
      </c>
      <c r="BP635" s="11" t="s">
        <v>320</v>
      </c>
      <c r="BQ635" s="11" t="s">
        <v>319</v>
      </c>
      <c r="BR635" s="12" t="s">
        <v>10531</v>
      </c>
      <c r="BS635" s="12" t="s">
        <v>357</v>
      </c>
      <c r="BT635" s="12" t="s">
        <v>10532</v>
      </c>
      <c r="BU635" s="12" t="s">
        <v>10495</v>
      </c>
      <c r="BV635" s="14">
        <v>25014</v>
      </c>
      <c r="BW635" s="14">
        <v>19873</v>
      </c>
      <c r="BX635" s="14">
        <v>44887</v>
      </c>
      <c r="BY635" s="14">
        <v>76969</v>
      </c>
      <c r="BZ635" s="14">
        <v>60476</v>
      </c>
      <c r="CA635" s="14">
        <v>137445</v>
      </c>
      <c r="CB635" s="12" t="s">
        <v>10533</v>
      </c>
      <c r="CD635" s="14"/>
      <c r="CE635" s="14"/>
      <c r="CF635" s="14"/>
      <c r="CG635" s="14"/>
      <c r="CH635" s="14"/>
      <c r="CI635" s="14"/>
      <c r="CJ635" s="12"/>
      <c r="CK635" s="14"/>
      <c r="CL635" s="16"/>
      <c r="CM635" s="14"/>
      <c r="CN635" s="12"/>
      <c r="CO635" s="14"/>
      <c r="CP635" s="16"/>
      <c r="CQ635" s="14"/>
      <c r="CR635" s="12"/>
      <c r="CS635" s="14"/>
      <c r="CT635" s="16"/>
      <c r="CU635" s="14"/>
      <c r="CV635" s="12"/>
      <c r="CW635" s="14"/>
      <c r="CX635" s="16"/>
      <c r="CY635" s="14"/>
      <c r="CZ635" s="12"/>
      <c r="DA635" s="14"/>
      <c r="DB635" s="16"/>
      <c r="DC635" s="14"/>
      <c r="DD635" s="12"/>
      <c r="DE635" s="14"/>
      <c r="DF635" s="16"/>
      <c r="DG635" s="14"/>
      <c r="DH635" s="12"/>
      <c r="DI635" s="14"/>
      <c r="DJ635" s="16"/>
      <c r="DK635" s="14"/>
      <c r="DL635" s="12"/>
      <c r="DM635" s="14"/>
      <c r="DN635" s="16"/>
      <c r="DO635" s="14"/>
      <c r="DP635" s="12"/>
      <c r="DQ635" s="14"/>
      <c r="DR635" s="16"/>
      <c r="DS635" s="14"/>
      <c r="DT635" s="12"/>
      <c r="DU635" s="14"/>
      <c r="DV635" s="16"/>
      <c r="DW635" s="14"/>
      <c r="DX635" s="12"/>
      <c r="DY635" s="14"/>
      <c r="DZ635" s="16"/>
      <c r="EA635" s="14"/>
      <c r="EB635" s="12"/>
      <c r="EC635" s="14"/>
      <c r="ED635" s="16"/>
      <c r="EE635" s="14"/>
      <c r="EF635" s="12"/>
      <c r="EG635" s="12"/>
      <c r="EH635" s="14"/>
      <c r="EI635" s="16"/>
      <c r="EJ635" s="14"/>
      <c r="EK635" s="14">
        <v>30847</v>
      </c>
      <c r="EL635" s="14">
        <v>23479</v>
      </c>
      <c r="EM635" s="14">
        <v>54326</v>
      </c>
      <c r="EN635" s="14">
        <v>92827</v>
      </c>
      <c r="EO635" s="14">
        <v>72935</v>
      </c>
      <c r="EP635" s="14">
        <v>165762</v>
      </c>
      <c r="EQ635" s="12" t="s">
        <v>319</v>
      </c>
      <c r="ER635" s="14"/>
      <c r="ES635" s="16"/>
      <c r="ET635" s="14"/>
      <c r="EU635" s="11" t="s">
        <v>319</v>
      </c>
      <c r="EV635" s="14"/>
      <c r="EW635" s="16"/>
      <c r="EX635" s="14"/>
      <c r="EY635" s="12" t="s">
        <v>319</v>
      </c>
      <c r="EZ635" s="14"/>
      <c r="FA635" s="16"/>
      <c r="FB635" s="14"/>
      <c r="FC635" s="12" t="s">
        <v>319</v>
      </c>
      <c r="FD635" s="14"/>
      <c r="FE635" s="16"/>
      <c r="FF635" s="14"/>
      <c r="FG635" s="12" t="s">
        <v>319</v>
      </c>
      <c r="FH635" s="14"/>
      <c r="FI635" s="16"/>
      <c r="FJ635" s="14"/>
      <c r="FK635" s="12" t="s">
        <v>320</v>
      </c>
      <c r="FL635" s="14">
        <v>54326</v>
      </c>
      <c r="FM635" s="16">
        <v>0.56699999999999995</v>
      </c>
      <c r="FN635" s="14">
        <v>165762</v>
      </c>
      <c r="FO635" s="12" t="s">
        <v>319</v>
      </c>
      <c r="FP635" s="14"/>
      <c r="FQ635" s="16"/>
      <c r="FR635" s="14"/>
      <c r="FS635" s="12" t="s">
        <v>320</v>
      </c>
      <c r="FT635" s="14">
        <v>54326</v>
      </c>
      <c r="FU635" s="16">
        <v>0.56699999999999995</v>
      </c>
      <c r="FV635" s="14">
        <v>165762</v>
      </c>
      <c r="FW635" s="12" t="s">
        <v>319</v>
      </c>
      <c r="FX635" s="14"/>
      <c r="FY635" s="16"/>
      <c r="FZ635" s="14"/>
      <c r="GA635" s="12" t="s">
        <v>319</v>
      </c>
      <c r="GB635" s="14"/>
      <c r="GC635" s="16"/>
      <c r="GD635" s="14"/>
      <c r="GE635" s="12" t="s">
        <v>319</v>
      </c>
      <c r="GF635" s="14"/>
      <c r="GG635" s="16"/>
      <c r="GH635" s="14"/>
      <c r="GI635" s="12" t="s">
        <v>319</v>
      </c>
      <c r="GJ635" s="14"/>
      <c r="GK635" s="16"/>
      <c r="GL635" s="14"/>
      <c r="GM635" s="12" t="s">
        <v>319</v>
      </c>
      <c r="GN635" s="14"/>
      <c r="GO635" s="16"/>
      <c r="GP635" s="14"/>
      <c r="GQ635" s="12" t="s">
        <v>320</v>
      </c>
      <c r="GR635" s="14">
        <v>54326</v>
      </c>
      <c r="GS635" s="16">
        <v>0.56699999999999995</v>
      </c>
      <c r="GT635" s="14">
        <v>165762</v>
      </c>
      <c r="GU635" s="12" t="s">
        <v>319</v>
      </c>
      <c r="GV635" s="14"/>
      <c r="GW635" s="16"/>
      <c r="GX635" s="14"/>
      <c r="GY635" s="11" t="s">
        <v>320</v>
      </c>
      <c r="GZ635" s="14">
        <v>54326</v>
      </c>
      <c r="HA635" s="16">
        <v>0.56699999999999995</v>
      </c>
      <c r="HB635" s="14">
        <v>165762</v>
      </c>
      <c r="HC635" s="12"/>
      <c r="HD635" s="12"/>
      <c r="HE635" s="14"/>
      <c r="HF635" s="16"/>
      <c r="HG635" s="14"/>
      <c r="HH635" s="12" t="s">
        <v>320</v>
      </c>
      <c r="HI635" s="12" t="s">
        <v>451</v>
      </c>
      <c r="HJ635" s="12">
        <v>2017</v>
      </c>
      <c r="HK635" s="12" t="s">
        <v>320</v>
      </c>
      <c r="HL635" s="12" t="s">
        <v>319</v>
      </c>
      <c r="HM635" s="12"/>
      <c r="HN635" s="12"/>
      <c r="HO635" s="12" t="s">
        <v>10534</v>
      </c>
      <c r="HP635" s="12" t="s">
        <v>418</v>
      </c>
      <c r="HQ635" s="12" t="s">
        <v>319</v>
      </c>
      <c r="HR635" s="12" t="s">
        <v>319</v>
      </c>
      <c r="HS635" s="12" t="s">
        <v>319</v>
      </c>
      <c r="HT635" s="12" t="s">
        <v>319</v>
      </c>
      <c r="HU635" s="12" t="s">
        <v>319</v>
      </c>
      <c r="HV635" s="12" t="s">
        <v>319</v>
      </c>
      <c r="HW635" s="12" t="s">
        <v>319</v>
      </c>
      <c r="HX635" s="12"/>
      <c r="HY635" s="12"/>
      <c r="HZ635" s="12" t="s">
        <v>363</v>
      </c>
      <c r="IA635" s="12"/>
      <c r="IB635" s="12" t="s">
        <v>396</v>
      </c>
      <c r="IC635" s="12" t="s">
        <v>10535</v>
      </c>
      <c r="ID635" s="12" t="s">
        <v>334</v>
      </c>
      <c r="IE635" s="12" t="s">
        <v>478</v>
      </c>
      <c r="IF635" s="12" t="s">
        <v>320</v>
      </c>
      <c r="IG635" s="12" t="s">
        <v>320</v>
      </c>
      <c r="IH635" s="12" t="s">
        <v>320</v>
      </c>
      <c r="II635" s="12" t="s">
        <v>320</v>
      </c>
      <c r="IJ635" s="12" t="str">
        <f t="shared" si="388"/>
        <v>4. Transformative</v>
      </c>
      <c r="IK635" s="12">
        <f t="shared" si="389"/>
        <v>4</v>
      </c>
      <c r="IL635" s="12" t="s">
        <v>336</v>
      </c>
      <c r="IM635" s="12" t="s">
        <v>319</v>
      </c>
      <c r="IN635" s="12" t="s">
        <v>320</v>
      </c>
      <c r="IO635" s="12" t="s">
        <v>320</v>
      </c>
      <c r="IP635" s="12" t="s">
        <v>320</v>
      </c>
      <c r="IQ635" s="12" t="str">
        <f t="shared" si="390"/>
        <v>2. Accommodating</v>
      </c>
      <c r="IR635" s="12">
        <f t="shared" si="391"/>
        <v>3</v>
      </c>
      <c r="IS635" s="12" t="s">
        <v>622</v>
      </c>
      <c r="IT635" s="12" t="s">
        <v>319</v>
      </c>
      <c r="IU635" s="12" t="s">
        <v>320</v>
      </c>
      <c r="IV635" s="12" t="s">
        <v>320</v>
      </c>
      <c r="IW635" s="11" t="str">
        <f t="shared" si="392"/>
        <v>3. Responsive</v>
      </c>
      <c r="IX635" s="12">
        <f t="shared" si="393"/>
        <v>2</v>
      </c>
      <c r="IY635" s="12" t="s">
        <v>338</v>
      </c>
      <c r="IZ635" s="12" t="s">
        <v>457</v>
      </c>
      <c r="JA635" s="12">
        <v>2</v>
      </c>
      <c r="JB635" s="12" t="s">
        <v>433</v>
      </c>
      <c r="JC635" s="12"/>
      <c r="JD635" s="12"/>
      <c r="JE635" s="12" t="s">
        <v>420</v>
      </c>
      <c r="JF635" s="12"/>
      <c r="JG635" s="12" t="s">
        <v>10536</v>
      </c>
      <c r="JH635" s="12" t="s">
        <v>10500</v>
      </c>
      <c r="JI635" s="12" t="s">
        <v>10501</v>
      </c>
      <c r="JJ635" s="12" t="s">
        <v>10537</v>
      </c>
      <c r="JK635" s="12" t="s">
        <v>10538</v>
      </c>
      <c r="JL635" s="12" t="s">
        <v>10503</v>
      </c>
      <c r="JM635" s="12" t="s">
        <v>10504</v>
      </c>
      <c r="JN635" s="12" t="s">
        <v>10539</v>
      </c>
      <c r="JO635" s="12"/>
      <c r="JP635" s="15">
        <f t="shared" si="394"/>
        <v>54326</v>
      </c>
      <c r="JQ635" s="15">
        <f t="shared" si="395"/>
        <v>165762</v>
      </c>
      <c r="JR635" s="279">
        <f t="shared" si="396"/>
        <v>3.0512461804660753</v>
      </c>
      <c r="JS635" s="17">
        <f t="shared" si="397"/>
        <v>0.56781283363398738</v>
      </c>
      <c r="JT635" s="18">
        <f t="shared" si="398"/>
        <v>0.56000168916880833</v>
      </c>
      <c r="JU635" s="280">
        <f t="shared" si="399"/>
        <v>30847</v>
      </c>
      <c r="JV635" s="280">
        <f t="shared" si="400"/>
        <v>92827</v>
      </c>
      <c r="JW635" s="319" t="str">
        <f t="shared" si="401"/>
        <v/>
      </c>
      <c r="JX635" s="15">
        <f t="shared" si="402"/>
        <v>0</v>
      </c>
      <c r="JY635" s="15">
        <f t="shared" si="403"/>
        <v>0</v>
      </c>
      <c r="JZ635" s="19" t="str">
        <f t="shared" si="404"/>
        <v/>
      </c>
      <c r="KA635" s="52" t="str">
        <f t="shared" si="405"/>
        <v/>
      </c>
      <c r="KB635" s="15">
        <f t="shared" si="406"/>
        <v>0</v>
      </c>
      <c r="KC635" s="15">
        <f t="shared" si="407"/>
        <v>0</v>
      </c>
      <c r="KD635" s="20" t="str">
        <f t="shared" si="408"/>
        <v/>
      </c>
      <c r="KE635" s="52">
        <f t="shared" si="409"/>
        <v>1</v>
      </c>
      <c r="KF635" s="15">
        <f t="shared" si="410"/>
        <v>54326</v>
      </c>
      <c r="KG635" s="15">
        <f t="shared" si="411"/>
        <v>165762</v>
      </c>
      <c r="KH635" s="21">
        <f t="shared" si="412"/>
        <v>3.0512461804660753</v>
      </c>
      <c r="KI635" s="52">
        <f t="shared" si="413"/>
        <v>1</v>
      </c>
      <c r="KJ635" s="15">
        <f t="shared" si="414"/>
        <v>54326</v>
      </c>
      <c r="KK635" s="15">
        <f t="shared" si="415"/>
        <v>165762</v>
      </c>
      <c r="KL635" s="19">
        <f t="shared" si="416"/>
        <v>3.0512461804660753</v>
      </c>
      <c r="KM635" s="52">
        <f t="shared" si="417"/>
        <v>1</v>
      </c>
      <c r="KN635" s="22">
        <f t="shared" si="418"/>
        <v>54326</v>
      </c>
      <c r="KO635" s="22">
        <f t="shared" si="419"/>
        <v>165762</v>
      </c>
      <c r="KP635" s="19">
        <f t="shared" si="420"/>
        <v>3.0512461804660753</v>
      </c>
      <c r="KQ635" s="11" t="str">
        <f t="shared" si="421"/>
        <v>4. Transformative</v>
      </c>
      <c r="KR635" s="11" t="str">
        <f t="shared" si="422"/>
        <v>2. Accommodating</v>
      </c>
      <c r="KS635" s="11" t="str">
        <f t="shared" si="423"/>
        <v>3. Responsive</v>
      </c>
      <c r="KT635" s="11" t="str">
        <f t="shared" si="424"/>
        <v>It did not develop any specific innovation</v>
      </c>
      <c r="KU635" s="11" t="str">
        <f t="shared" si="425"/>
        <v>Little or no advocacy</v>
      </c>
      <c r="KV635" s="11" t="str">
        <f t="shared" si="426"/>
        <v>It linked and worked with strategic alliances and partners to take tested and effective solutions to scale</v>
      </c>
      <c r="KW635" s="11" t="str">
        <f t="shared" si="427"/>
        <v>Rwanda - Safe Schools for Girls (SS4G)</v>
      </c>
      <c r="KX635" s="11" t="str">
        <f t="shared" si="428"/>
        <v>Safe Schools for Girls (SS4G)</v>
      </c>
      <c r="KY635" s="11" t="str">
        <f t="shared" si="429"/>
        <v>Rwanda</v>
      </c>
      <c r="KZ635" s="12">
        <v>635</v>
      </c>
    </row>
    <row r="636" spans="1:312" x14ac:dyDescent="0.3">
      <c r="A636" s="12" t="s">
        <v>10558</v>
      </c>
      <c r="B636" s="12" t="s">
        <v>602</v>
      </c>
      <c r="C636" s="12"/>
      <c r="D636" s="12" t="s">
        <v>10589</v>
      </c>
      <c r="E636" s="277" t="str">
        <f t="shared" si="387"/>
        <v>Serbia</v>
      </c>
      <c r="F636" s="12" t="s">
        <v>10590</v>
      </c>
      <c r="G636" s="12" t="s">
        <v>379</v>
      </c>
      <c r="H636" s="12" t="s">
        <v>384</v>
      </c>
      <c r="I636" s="12" t="s">
        <v>384</v>
      </c>
      <c r="J636" s="281" t="s">
        <v>12008</v>
      </c>
      <c r="K636" s="12"/>
      <c r="L636" s="12"/>
      <c r="M636" s="12"/>
      <c r="N636" s="12"/>
      <c r="O636" s="12"/>
      <c r="P636" s="12"/>
      <c r="Q636" s="12"/>
      <c r="R636" s="12"/>
      <c r="S636" s="12"/>
      <c r="T636" s="12"/>
      <c r="U636" s="12"/>
      <c r="V636" s="12"/>
      <c r="W636" s="12"/>
      <c r="X636" s="12"/>
      <c r="Y636" s="12"/>
      <c r="Z636" s="12"/>
      <c r="AA636" s="12"/>
      <c r="AB636" s="12"/>
      <c r="AC636" s="12"/>
      <c r="AD636" s="12"/>
      <c r="BD636" s="13">
        <v>42401</v>
      </c>
      <c r="BE636" s="13">
        <v>42767</v>
      </c>
      <c r="BF636" s="13">
        <v>42795</v>
      </c>
      <c r="BG636" s="12" t="s">
        <v>908</v>
      </c>
      <c r="BH636" s="14">
        <v>400000</v>
      </c>
      <c r="BI636" s="12" t="s">
        <v>10561</v>
      </c>
      <c r="BJ636" s="12" t="s">
        <v>10562</v>
      </c>
      <c r="BK636" s="12" t="s">
        <v>10563</v>
      </c>
      <c r="BL636" s="12" t="s">
        <v>10564</v>
      </c>
      <c r="BM636" s="12" t="s">
        <v>10565</v>
      </c>
      <c r="BN636" s="12" t="s">
        <v>10566</v>
      </c>
      <c r="BO636" s="12" t="s">
        <v>320</v>
      </c>
      <c r="BP636" s="11" t="s">
        <v>320</v>
      </c>
      <c r="BQ636" s="12" t="s">
        <v>320</v>
      </c>
      <c r="BR636" s="12" t="s">
        <v>10591</v>
      </c>
      <c r="BS636" s="12" t="s">
        <v>615</v>
      </c>
      <c r="BT636" s="12" t="s">
        <v>10592</v>
      </c>
      <c r="BU636" s="12" t="s">
        <v>10593</v>
      </c>
      <c r="BV636" s="14">
        <v>2500</v>
      </c>
      <c r="BW636" s="14">
        <v>2500</v>
      </c>
      <c r="BX636" s="14">
        <v>5000</v>
      </c>
      <c r="BY636" s="14"/>
      <c r="BZ636" s="14"/>
      <c r="CA636" s="14"/>
      <c r="CB636" s="12" t="s">
        <v>10570</v>
      </c>
      <c r="CD636" s="14">
        <v>2500</v>
      </c>
      <c r="CE636" s="14">
        <v>2500</v>
      </c>
      <c r="CF636" s="14">
        <v>5000</v>
      </c>
      <c r="CG636" s="14"/>
      <c r="CH636" s="14"/>
      <c r="CI636" s="14"/>
      <c r="CJ636" s="12"/>
      <c r="CK636" s="14"/>
      <c r="CL636" s="16"/>
      <c r="CM636" s="14"/>
      <c r="CN636" s="12"/>
      <c r="CO636" s="14"/>
      <c r="CP636" s="16"/>
      <c r="CQ636" s="14"/>
      <c r="CR636" s="12"/>
      <c r="CS636" s="14"/>
      <c r="CT636" s="16"/>
      <c r="CU636" s="14"/>
      <c r="CV636" s="12" t="s">
        <v>320</v>
      </c>
      <c r="CW636" s="14">
        <v>5000</v>
      </c>
      <c r="CX636" s="16">
        <v>0.5</v>
      </c>
      <c r="CY636" s="14"/>
      <c r="CZ636" s="12"/>
      <c r="DA636" s="14"/>
      <c r="DB636" s="16"/>
      <c r="DC636" s="14"/>
      <c r="DD636" s="12"/>
      <c r="DE636" s="14"/>
      <c r="DF636" s="16"/>
      <c r="DG636" s="14"/>
      <c r="DH636" s="12"/>
      <c r="DI636" s="14"/>
      <c r="DJ636" s="16"/>
      <c r="DK636" s="14"/>
      <c r="DL636" s="12"/>
      <c r="DM636" s="14"/>
      <c r="DN636" s="16"/>
      <c r="DO636" s="14"/>
      <c r="DP636" s="12" t="s">
        <v>320</v>
      </c>
      <c r="DQ636" s="14">
        <v>5000</v>
      </c>
      <c r="DR636" s="16">
        <v>0.5</v>
      </c>
      <c r="DS636" s="14"/>
      <c r="DT636" s="12"/>
      <c r="DU636" s="14"/>
      <c r="DV636" s="16"/>
      <c r="DW636" s="14"/>
      <c r="DX636" s="12" t="s">
        <v>320</v>
      </c>
      <c r="DY636" s="14"/>
      <c r="DZ636" s="16"/>
      <c r="EA636" s="14"/>
      <c r="EB636" s="11" t="s">
        <v>320</v>
      </c>
      <c r="EC636" s="14">
        <v>5000</v>
      </c>
      <c r="ED636" s="16">
        <v>0.5</v>
      </c>
      <c r="EE636" s="14"/>
      <c r="EF636" s="12"/>
      <c r="EG636" s="12"/>
      <c r="EH636" s="14"/>
      <c r="EI636" s="16"/>
      <c r="EJ636" s="14"/>
      <c r="EK636" s="14"/>
      <c r="EL636" s="14"/>
      <c r="EM636" s="14"/>
      <c r="EN636" s="14"/>
      <c r="EO636" s="14"/>
      <c r="EP636" s="14"/>
      <c r="EQ636" s="12"/>
      <c r="ER636" s="14"/>
      <c r="ES636" s="16"/>
      <c r="ET636" s="14"/>
      <c r="EU636" s="12"/>
      <c r="EV636" s="14"/>
      <c r="EW636" s="16"/>
      <c r="EX636" s="14"/>
      <c r="EY636" s="12"/>
      <c r="EZ636" s="14"/>
      <c r="FA636" s="16"/>
      <c r="FB636" s="14"/>
      <c r="FC636" s="12"/>
      <c r="FD636" s="14"/>
      <c r="FE636" s="16"/>
      <c r="FF636" s="14"/>
      <c r="FG636" s="12"/>
      <c r="FH636" s="14"/>
      <c r="FI636" s="16"/>
      <c r="FJ636" s="14"/>
      <c r="FK636" s="12"/>
      <c r="FL636" s="14"/>
      <c r="FM636" s="16"/>
      <c r="FN636" s="14"/>
      <c r="FO636" s="12" t="s">
        <v>320</v>
      </c>
      <c r="FP636" s="14">
        <v>2100</v>
      </c>
      <c r="FQ636" s="16">
        <v>0.5</v>
      </c>
      <c r="FR636" s="14">
        <v>0</v>
      </c>
      <c r="FS636" s="12"/>
      <c r="FT636" s="14"/>
      <c r="FU636" s="16"/>
      <c r="FV636" s="14"/>
      <c r="FW636" s="12"/>
      <c r="FX636" s="14"/>
      <c r="FY636" s="16"/>
      <c r="FZ636" s="14"/>
      <c r="GA636" s="12"/>
      <c r="GB636" s="14"/>
      <c r="GC636" s="16"/>
      <c r="GD636" s="14"/>
      <c r="GE636" s="12"/>
      <c r="GF636" s="14"/>
      <c r="GG636" s="16"/>
      <c r="GH636" s="14"/>
      <c r="GI636" s="12"/>
      <c r="GJ636" s="14"/>
      <c r="GK636" s="16"/>
      <c r="GL636" s="14"/>
      <c r="GM636" s="12"/>
      <c r="GN636" s="14"/>
      <c r="GO636" s="16"/>
      <c r="GP636" s="14"/>
      <c r="GQ636" s="12"/>
      <c r="GR636" s="14"/>
      <c r="GS636" s="16"/>
      <c r="GT636" s="14"/>
      <c r="GU636" s="12"/>
      <c r="GV636" s="14"/>
      <c r="GW636" s="16"/>
      <c r="GX636" s="14"/>
      <c r="GY636" s="12"/>
      <c r="GZ636" s="14"/>
      <c r="HA636" s="16"/>
      <c r="HB636" s="14"/>
      <c r="HC636" s="12"/>
      <c r="HD636" s="12"/>
      <c r="HE636" s="14"/>
      <c r="HF636" s="16"/>
      <c r="HG636" s="14"/>
      <c r="HH636" s="12" t="s">
        <v>319</v>
      </c>
      <c r="HI636" s="12"/>
      <c r="HJ636" s="12"/>
      <c r="HK636" s="12"/>
      <c r="HL636" s="12" t="s">
        <v>319</v>
      </c>
      <c r="HM636" s="12"/>
      <c r="HN636" s="12"/>
      <c r="HO636" s="12"/>
      <c r="HP636" s="12" t="s">
        <v>330</v>
      </c>
      <c r="HQ636" s="12"/>
      <c r="HR636" s="12"/>
      <c r="HS636" s="12"/>
      <c r="HT636" s="12"/>
      <c r="HU636" s="12"/>
      <c r="HV636" s="12"/>
      <c r="HW636" s="12"/>
      <c r="HX636" s="12"/>
      <c r="HY636" s="12"/>
      <c r="HZ636" s="12" t="s">
        <v>363</v>
      </c>
      <c r="IA636" s="12"/>
      <c r="IB636" s="12" t="s">
        <v>396</v>
      </c>
      <c r="IC636" s="12"/>
      <c r="ID636" s="12" t="s">
        <v>334</v>
      </c>
      <c r="IE636" s="12" t="s">
        <v>335</v>
      </c>
      <c r="IF636" s="12" t="s">
        <v>320</v>
      </c>
      <c r="IG636" s="12" t="s">
        <v>320</v>
      </c>
      <c r="IH636" s="12" t="s">
        <v>320</v>
      </c>
      <c r="II636" s="12" t="s">
        <v>320</v>
      </c>
      <c r="IJ636" s="12" t="str">
        <f t="shared" si="388"/>
        <v>2. Sensitive</v>
      </c>
      <c r="IK636" s="12">
        <f t="shared" si="389"/>
        <v>4</v>
      </c>
      <c r="IL636" s="12" t="s">
        <v>336</v>
      </c>
      <c r="IM636" s="12" t="s">
        <v>320</v>
      </c>
      <c r="IN636" s="12" t="s">
        <v>320</v>
      </c>
      <c r="IO636" s="12" t="s">
        <v>320</v>
      </c>
      <c r="IP636" s="12" t="s">
        <v>320</v>
      </c>
      <c r="IQ636" s="12" t="str">
        <f t="shared" si="390"/>
        <v>2. Accommodating</v>
      </c>
      <c r="IR636" s="12">
        <f t="shared" si="391"/>
        <v>4</v>
      </c>
      <c r="IS636" s="12" t="s">
        <v>337</v>
      </c>
      <c r="IT636" s="12" t="s">
        <v>320</v>
      </c>
      <c r="IU636" s="12" t="s">
        <v>319</v>
      </c>
      <c r="IV636" s="12" t="s">
        <v>320</v>
      </c>
      <c r="IW636" s="11" t="str">
        <f t="shared" si="392"/>
        <v>1. Neutral</v>
      </c>
      <c r="IX636" s="12">
        <f t="shared" si="393"/>
        <v>2</v>
      </c>
      <c r="IY636" s="12" t="s">
        <v>338</v>
      </c>
      <c r="IZ636" s="12" t="s">
        <v>457</v>
      </c>
      <c r="JA636" s="12">
        <v>4</v>
      </c>
      <c r="JB636" s="12" t="s">
        <v>624</v>
      </c>
      <c r="JC636" s="12" t="s">
        <v>623</v>
      </c>
      <c r="JD636" s="12"/>
      <c r="JE636" s="12" t="s">
        <v>365</v>
      </c>
      <c r="JF636" s="12"/>
      <c r="JG636" s="12"/>
      <c r="JH636" s="12"/>
      <c r="JI636" s="12"/>
      <c r="JJ636" s="12"/>
      <c r="JK636" s="12"/>
      <c r="JL636" s="12"/>
      <c r="JM636" s="12"/>
      <c r="JN636" s="12"/>
      <c r="JO636" s="12"/>
      <c r="JP636" s="15">
        <f t="shared" si="394"/>
        <v>5000</v>
      </c>
      <c r="JQ636" s="15">
        <f t="shared" si="395"/>
        <v>0</v>
      </c>
      <c r="JR636" s="279">
        <f t="shared" si="396"/>
        <v>0</v>
      </c>
      <c r="JS636" s="17">
        <f t="shared" si="397"/>
        <v>0.5</v>
      </c>
      <c r="JT636" s="18" t="str">
        <f t="shared" si="398"/>
        <v/>
      </c>
      <c r="JU636" s="280">
        <f t="shared" si="399"/>
        <v>2500</v>
      </c>
      <c r="JV636" s="280">
        <f t="shared" si="400"/>
        <v>0</v>
      </c>
      <c r="JW636" s="319">
        <f t="shared" si="401"/>
        <v>1</v>
      </c>
      <c r="JX636" s="15">
        <f t="shared" si="402"/>
        <v>5000</v>
      </c>
      <c r="JY636" s="15">
        <f t="shared" si="403"/>
        <v>0</v>
      </c>
      <c r="JZ636" s="19">
        <f t="shared" si="404"/>
        <v>0</v>
      </c>
      <c r="KA636" s="52">
        <f t="shared" si="405"/>
        <v>1</v>
      </c>
      <c r="KB636" s="15">
        <f t="shared" si="406"/>
        <v>5000</v>
      </c>
      <c r="KC636" s="15">
        <f t="shared" si="407"/>
        <v>0</v>
      </c>
      <c r="KD636" s="20">
        <f t="shared" si="408"/>
        <v>0</v>
      </c>
      <c r="KE636" s="52" t="str">
        <f t="shared" si="409"/>
        <v/>
      </c>
      <c r="KF636" s="15">
        <f t="shared" si="410"/>
        <v>0</v>
      </c>
      <c r="KG636" s="15">
        <f t="shared" si="411"/>
        <v>0</v>
      </c>
      <c r="KH636" s="21" t="str">
        <f t="shared" si="412"/>
        <v/>
      </c>
      <c r="KI636" s="52" t="str">
        <f t="shared" si="413"/>
        <v/>
      </c>
      <c r="KJ636" s="15">
        <f t="shared" si="414"/>
        <v>0</v>
      </c>
      <c r="KK636" s="15">
        <f t="shared" si="415"/>
        <v>0</v>
      </c>
      <c r="KL636" s="19" t="str">
        <f t="shared" si="416"/>
        <v/>
      </c>
      <c r="KM636" s="52" t="str">
        <f t="shared" si="417"/>
        <v/>
      </c>
      <c r="KN636" s="22">
        <f t="shared" si="418"/>
        <v>0</v>
      </c>
      <c r="KO636" s="22">
        <f t="shared" si="419"/>
        <v>0</v>
      </c>
      <c r="KP636" s="19" t="str">
        <f t="shared" si="420"/>
        <v/>
      </c>
      <c r="KQ636" s="11" t="str">
        <f t="shared" si="421"/>
        <v>2. Sensitive</v>
      </c>
      <c r="KR636" s="11" t="str">
        <f t="shared" si="422"/>
        <v>2. Accommodating</v>
      </c>
      <c r="KS636" s="11" t="str">
        <f t="shared" si="423"/>
        <v>1. Neutral</v>
      </c>
      <c r="KT636" s="11" t="str">
        <f t="shared" si="424"/>
        <v>It did not develop any specific innovation</v>
      </c>
      <c r="KU636" s="11" t="str">
        <f t="shared" si="425"/>
        <v>Moderate advocacy</v>
      </c>
      <c r="KV636" s="11" t="str">
        <f t="shared" si="426"/>
        <v>It linked and worked with strategic alliances and partners to take tested and effective solutions to scale</v>
      </c>
      <c r="KW636" s="11" t="str">
        <f t="shared" si="427"/>
        <v>Serbia - CARE Refugee Response in the Balkans</v>
      </c>
      <c r="KX636" s="11" t="str">
        <f t="shared" si="428"/>
        <v>CARE Refugee Response in the Balkans</v>
      </c>
      <c r="KY636" s="11" t="str">
        <f t="shared" si="429"/>
        <v>Serbia</v>
      </c>
      <c r="KZ636" s="12">
        <v>636</v>
      </c>
    </row>
    <row r="637" spans="1:312" x14ac:dyDescent="0.3">
      <c r="A637" s="12" t="s">
        <v>10558</v>
      </c>
      <c r="B637" s="12" t="s">
        <v>602</v>
      </c>
      <c r="C637" s="12"/>
      <c r="D637" s="12" t="s">
        <v>10571</v>
      </c>
      <c r="E637" s="277" t="str">
        <f t="shared" si="387"/>
        <v>Serbia</v>
      </c>
      <c r="F637" s="12" t="s">
        <v>10572</v>
      </c>
      <c r="G637" s="12" t="s">
        <v>1738</v>
      </c>
      <c r="H637" s="12" t="s">
        <v>310</v>
      </c>
      <c r="I637" s="12" t="s">
        <v>907</v>
      </c>
      <c r="J637" s="281" t="s">
        <v>5183</v>
      </c>
      <c r="K637" s="12"/>
      <c r="L637" s="12"/>
      <c r="M637" s="12"/>
      <c r="N637" s="12"/>
      <c r="O637" s="12"/>
      <c r="P637" s="12"/>
      <c r="Q637" s="12"/>
      <c r="R637" s="12"/>
      <c r="S637" s="12"/>
      <c r="T637" s="12"/>
      <c r="U637" s="12"/>
      <c r="V637" s="12"/>
      <c r="W637" s="12"/>
      <c r="X637" s="12"/>
      <c r="Y637" s="12"/>
      <c r="Z637" s="12"/>
      <c r="AA637" s="12"/>
      <c r="AB637" s="12"/>
      <c r="AC637" s="12"/>
      <c r="AD637" s="12"/>
      <c r="BD637" s="13">
        <v>42736</v>
      </c>
      <c r="BE637" s="13">
        <v>43039</v>
      </c>
      <c r="BF637" s="13">
        <v>43073</v>
      </c>
      <c r="BG637" s="12" t="s">
        <v>908</v>
      </c>
      <c r="BH637" s="14">
        <v>2762718.51</v>
      </c>
      <c r="BI637" s="12" t="s">
        <v>10561</v>
      </c>
      <c r="BJ637" s="12" t="s">
        <v>10562</v>
      </c>
      <c r="BK637" s="12" t="s">
        <v>10563</v>
      </c>
      <c r="BL637" s="12" t="s">
        <v>10564</v>
      </c>
      <c r="BM637" s="12" t="s">
        <v>10565</v>
      </c>
      <c r="BN637" s="12" t="s">
        <v>10566</v>
      </c>
      <c r="BO637" s="12" t="s">
        <v>320</v>
      </c>
      <c r="BP637" s="11" t="s">
        <v>320</v>
      </c>
      <c r="BQ637" s="12" t="s">
        <v>320</v>
      </c>
      <c r="BR637" s="12" t="s">
        <v>10573</v>
      </c>
      <c r="BS637" s="12" t="s">
        <v>322</v>
      </c>
      <c r="BT637" s="12" t="s">
        <v>10574</v>
      </c>
      <c r="BU637" s="12" t="s">
        <v>10569</v>
      </c>
      <c r="BV637" s="14">
        <v>1050</v>
      </c>
      <c r="BW637" s="14">
        <v>1050</v>
      </c>
      <c r="BX637" s="14">
        <v>2100</v>
      </c>
      <c r="BY637" s="14"/>
      <c r="BZ637" s="14"/>
      <c r="CA637" s="14"/>
      <c r="CB637" s="12" t="s">
        <v>10575</v>
      </c>
      <c r="CD637" s="14"/>
      <c r="CE637" s="14"/>
      <c r="CF637" s="14">
        <v>2100</v>
      </c>
      <c r="CG637" s="14"/>
      <c r="CH637" s="14"/>
      <c r="CI637" s="14"/>
      <c r="CJ637" s="12"/>
      <c r="CK637" s="14"/>
      <c r="CL637" s="16"/>
      <c r="CM637" s="14"/>
      <c r="CN637" s="12"/>
      <c r="CO637" s="14"/>
      <c r="CP637" s="16"/>
      <c r="CQ637" s="14"/>
      <c r="CR637" s="12"/>
      <c r="CS637" s="14"/>
      <c r="CT637" s="16"/>
      <c r="CU637" s="14"/>
      <c r="CV637" s="12" t="s">
        <v>320</v>
      </c>
      <c r="CW637" s="14">
        <v>2100</v>
      </c>
      <c r="CX637" s="16">
        <v>0.5</v>
      </c>
      <c r="CY637" s="14">
        <v>0</v>
      </c>
      <c r="CZ637" s="12"/>
      <c r="DA637" s="14"/>
      <c r="DB637" s="16"/>
      <c r="DC637" s="14"/>
      <c r="DD637" s="12"/>
      <c r="DE637" s="14"/>
      <c r="DF637" s="16"/>
      <c r="DG637" s="14"/>
      <c r="DH637" s="12"/>
      <c r="DI637" s="14"/>
      <c r="DJ637" s="16"/>
      <c r="DK637" s="14"/>
      <c r="DL637" s="12"/>
      <c r="DM637" s="14"/>
      <c r="DN637" s="16"/>
      <c r="DO637" s="14"/>
      <c r="DP637" s="12"/>
      <c r="DQ637" s="14"/>
      <c r="DR637" s="16"/>
      <c r="DS637" s="14"/>
      <c r="DT637" s="12"/>
      <c r="DU637" s="14"/>
      <c r="DV637" s="16"/>
      <c r="DW637" s="14"/>
      <c r="DX637" s="12"/>
      <c r="DY637" s="14"/>
      <c r="DZ637" s="16"/>
      <c r="EA637" s="14"/>
      <c r="EB637" s="12"/>
      <c r="EC637" s="14"/>
      <c r="ED637" s="16"/>
      <c r="EE637" s="14"/>
      <c r="EF637" s="12"/>
      <c r="EG637" s="12"/>
      <c r="EH637" s="14"/>
      <c r="EI637" s="16"/>
      <c r="EJ637" s="14"/>
      <c r="EK637" s="14"/>
      <c r="EL637" s="14"/>
      <c r="EM637" s="14"/>
      <c r="EN637" s="14"/>
      <c r="EO637" s="14"/>
      <c r="EP637" s="14"/>
      <c r="EQ637" s="12"/>
      <c r="ER637" s="14"/>
      <c r="ES637" s="16"/>
      <c r="ET637" s="14"/>
      <c r="EU637" s="12"/>
      <c r="EV637" s="14"/>
      <c r="EW637" s="16"/>
      <c r="EX637" s="14"/>
      <c r="EY637" s="12"/>
      <c r="EZ637" s="14"/>
      <c r="FA637" s="16"/>
      <c r="FB637" s="14"/>
      <c r="FC637" s="12"/>
      <c r="FD637" s="14"/>
      <c r="FE637" s="16"/>
      <c r="FF637" s="14"/>
      <c r="FG637" s="12"/>
      <c r="FH637" s="14"/>
      <c r="FI637" s="16"/>
      <c r="FJ637" s="14"/>
      <c r="FK637" s="12"/>
      <c r="FL637" s="14"/>
      <c r="FM637" s="16"/>
      <c r="FN637" s="14"/>
      <c r="FO637" s="12" t="s">
        <v>320</v>
      </c>
      <c r="FP637" s="14">
        <v>2100</v>
      </c>
      <c r="FQ637" s="16">
        <v>0.5</v>
      </c>
      <c r="FR637" s="14">
        <v>0</v>
      </c>
      <c r="FS637" s="12"/>
      <c r="FT637" s="14"/>
      <c r="FU637" s="16"/>
      <c r="FV637" s="14"/>
      <c r="FW637" s="12"/>
      <c r="FX637" s="14"/>
      <c r="FY637" s="16"/>
      <c r="FZ637" s="14"/>
      <c r="GA637" s="12"/>
      <c r="GB637" s="14"/>
      <c r="GC637" s="16"/>
      <c r="GD637" s="14"/>
      <c r="GE637" s="12"/>
      <c r="GF637" s="14"/>
      <c r="GG637" s="16"/>
      <c r="GH637" s="14"/>
      <c r="GI637" s="12"/>
      <c r="GJ637" s="14"/>
      <c r="GK637" s="16"/>
      <c r="GL637" s="14"/>
      <c r="GM637" s="12"/>
      <c r="GN637" s="14"/>
      <c r="GO637" s="16"/>
      <c r="GP637" s="14"/>
      <c r="GQ637" s="12"/>
      <c r="GR637" s="14"/>
      <c r="GS637" s="16"/>
      <c r="GT637" s="14"/>
      <c r="GU637" s="12"/>
      <c r="GV637" s="14"/>
      <c r="GW637" s="16"/>
      <c r="GX637" s="14"/>
      <c r="GY637" s="12"/>
      <c r="GZ637" s="14"/>
      <c r="HA637" s="16"/>
      <c r="HB637" s="14"/>
      <c r="HC637" s="12"/>
      <c r="HD637" s="12"/>
      <c r="HE637" s="14"/>
      <c r="HF637" s="16"/>
      <c r="HG637" s="14"/>
      <c r="HH637" s="12" t="s">
        <v>320</v>
      </c>
      <c r="HI637" s="12" t="s">
        <v>560</v>
      </c>
      <c r="HJ637" s="12">
        <v>2017</v>
      </c>
      <c r="HK637" s="12" t="s">
        <v>319</v>
      </c>
      <c r="HL637" s="12" t="s">
        <v>319</v>
      </c>
      <c r="HM637" s="12"/>
      <c r="HN637" s="12"/>
      <c r="HO637" s="12"/>
      <c r="HP637" s="12" t="s">
        <v>330</v>
      </c>
      <c r="HQ637" s="12"/>
      <c r="HR637" s="12"/>
      <c r="HS637" s="12"/>
      <c r="HT637" s="12"/>
      <c r="HU637" s="12"/>
      <c r="HV637" s="12"/>
      <c r="HW637" s="12"/>
      <c r="HX637" s="12"/>
      <c r="HY637" s="12"/>
      <c r="HZ637" s="12" t="s">
        <v>363</v>
      </c>
      <c r="IA637" s="12"/>
      <c r="IB637" s="12" t="s">
        <v>396</v>
      </c>
      <c r="IC637" s="12"/>
      <c r="ID637" s="12" t="s">
        <v>334</v>
      </c>
      <c r="IE637" s="12" t="s">
        <v>335</v>
      </c>
      <c r="IF637" s="12" t="s">
        <v>320</v>
      </c>
      <c r="IG637" s="12" t="s">
        <v>320</v>
      </c>
      <c r="IH637" s="12" t="s">
        <v>320</v>
      </c>
      <c r="II637" s="12" t="s">
        <v>320</v>
      </c>
      <c r="IJ637" s="12" t="str">
        <f t="shared" si="388"/>
        <v>2. Sensitive</v>
      </c>
      <c r="IK637" s="12">
        <f t="shared" si="389"/>
        <v>4</v>
      </c>
      <c r="IL637" s="12" t="s">
        <v>336</v>
      </c>
      <c r="IM637" s="12" t="s">
        <v>320</v>
      </c>
      <c r="IN637" s="12" t="s">
        <v>320</v>
      </c>
      <c r="IO637" s="12" t="s">
        <v>320</v>
      </c>
      <c r="IP637" s="12" t="s">
        <v>320</v>
      </c>
      <c r="IQ637" s="12" t="str">
        <f t="shared" si="390"/>
        <v>2. Accommodating</v>
      </c>
      <c r="IR637" s="12">
        <f t="shared" si="391"/>
        <v>4</v>
      </c>
      <c r="IS637" s="12" t="s">
        <v>337</v>
      </c>
      <c r="IT637" s="12" t="s">
        <v>320</v>
      </c>
      <c r="IU637" s="12" t="s">
        <v>319</v>
      </c>
      <c r="IV637" s="12" t="s">
        <v>320</v>
      </c>
      <c r="IW637" s="11" t="str">
        <f t="shared" si="392"/>
        <v>1. Neutral</v>
      </c>
      <c r="IX637" s="12">
        <f t="shared" si="393"/>
        <v>2</v>
      </c>
      <c r="IY637" s="12" t="s">
        <v>338</v>
      </c>
      <c r="IZ637" s="12" t="s">
        <v>457</v>
      </c>
      <c r="JA637" s="12">
        <v>1</v>
      </c>
      <c r="JB637" s="12" t="s">
        <v>624</v>
      </c>
      <c r="JC637" s="12" t="s">
        <v>623</v>
      </c>
      <c r="JD637" s="12"/>
      <c r="JE637" s="12" t="s">
        <v>365</v>
      </c>
      <c r="JF637" s="12"/>
      <c r="JG637" s="12"/>
      <c r="JH637" s="12"/>
      <c r="JI637" s="12"/>
      <c r="JJ637" s="12"/>
      <c r="JK637" s="12"/>
      <c r="JL637" s="12"/>
      <c r="JM637" s="12"/>
      <c r="JN637" s="12"/>
      <c r="JO637" s="12"/>
      <c r="JP637" s="15">
        <f t="shared" si="394"/>
        <v>2100</v>
      </c>
      <c r="JQ637" s="15">
        <f t="shared" si="395"/>
        <v>0</v>
      </c>
      <c r="JR637" s="279">
        <f t="shared" si="396"/>
        <v>0</v>
      </c>
      <c r="JS637" s="17">
        <f t="shared" si="397"/>
        <v>0</v>
      </c>
      <c r="JT637" s="18" t="str">
        <f t="shared" si="398"/>
        <v/>
      </c>
      <c r="JU637" s="280">
        <f t="shared" si="399"/>
        <v>0</v>
      </c>
      <c r="JV637" s="280">
        <f t="shared" si="400"/>
        <v>0</v>
      </c>
      <c r="JW637" s="319">
        <f t="shared" si="401"/>
        <v>1</v>
      </c>
      <c r="JX637" s="15">
        <f t="shared" si="402"/>
        <v>2100</v>
      </c>
      <c r="JY637" s="15">
        <f t="shared" si="403"/>
        <v>0</v>
      </c>
      <c r="JZ637" s="19">
        <f t="shared" si="404"/>
        <v>0</v>
      </c>
      <c r="KA637" s="52">
        <f t="shared" si="405"/>
        <v>1</v>
      </c>
      <c r="KB637" s="15">
        <f t="shared" si="406"/>
        <v>2100</v>
      </c>
      <c r="KC637" s="15">
        <f t="shared" si="407"/>
        <v>0</v>
      </c>
      <c r="KD637" s="20">
        <f t="shared" si="408"/>
        <v>0</v>
      </c>
      <c r="KE637" s="52" t="str">
        <f t="shared" si="409"/>
        <v/>
      </c>
      <c r="KF637" s="15">
        <f t="shared" si="410"/>
        <v>0</v>
      </c>
      <c r="KG637" s="15">
        <f t="shared" si="411"/>
        <v>0</v>
      </c>
      <c r="KH637" s="21" t="str">
        <f t="shared" si="412"/>
        <v/>
      </c>
      <c r="KI637" s="52" t="str">
        <f t="shared" si="413"/>
        <v/>
      </c>
      <c r="KJ637" s="15">
        <f t="shared" si="414"/>
        <v>0</v>
      </c>
      <c r="KK637" s="15">
        <f t="shared" si="415"/>
        <v>0</v>
      </c>
      <c r="KL637" s="19" t="str">
        <f t="shared" si="416"/>
        <v/>
      </c>
      <c r="KM637" s="52" t="str">
        <f t="shared" si="417"/>
        <v/>
      </c>
      <c r="KN637" s="22">
        <f t="shared" si="418"/>
        <v>0</v>
      </c>
      <c r="KO637" s="22">
        <f t="shared" si="419"/>
        <v>0</v>
      </c>
      <c r="KP637" s="19" t="str">
        <f t="shared" si="420"/>
        <v/>
      </c>
      <c r="KQ637" s="11" t="str">
        <f t="shared" si="421"/>
        <v>2. Sensitive</v>
      </c>
      <c r="KR637" s="11" t="str">
        <f t="shared" si="422"/>
        <v>2. Accommodating</v>
      </c>
      <c r="KS637" s="11" t="str">
        <f t="shared" si="423"/>
        <v>1. Neutral</v>
      </c>
      <c r="KT637" s="11" t="str">
        <f t="shared" si="424"/>
        <v>It did not develop any specific innovation</v>
      </c>
      <c r="KU637" s="11" t="str">
        <f t="shared" si="425"/>
        <v>Moderate advocacy</v>
      </c>
      <c r="KV637" s="11" t="str">
        <f t="shared" si="426"/>
        <v>It linked and worked with strategic alliances and partners to take tested and effective solutions to scale</v>
      </c>
      <c r="KW637" s="11" t="str">
        <f t="shared" si="427"/>
        <v>Serbia - Food Assistance for Refugees in Serbia</v>
      </c>
      <c r="KX637" s="11" t="str">
        <f t="shared" si="428"/>
        <v>Food Assistance for Refugees in Serbia</v>
      </c>
      <c r="KY637" s="11" t="str">
        <f t="shared" si="429"/>
        <v>Serbia</v>
      </c>
      <c r="KZ637" s="12">
        <v>637</v>
      </c>
    </row>
    <row r="638" spans="1:312" x14ac:dyDescent="0.3">
      <c r="A638" s="12" t="s">
        <v>10558</v>
      </c>
      <c r="B638" s="12" t="s">
        <v>602</v>
      </c>
      <c r="C638" s="12"/>
      <c r="D638" s="12" t="s">
        <v>10576</v>
      </c>
      <c r="E638" s="277" t="str">
        <f t="shared" si="387"/>
        <v>Serbia</v>
      </c>
      <c r="F638" s="12" t="s">
        <v>10577</v>
      </c>
      <c r="G638" s="12" t="s">
        <v>1738</v>
      </c>
      <c r="H638" s="12" t="s">
        <v>310</v>
      </c>
      <c r="I638" s="12" t="s">
        <v>2595</v>
      </c>
      <c r="J638" s="281"/>
      <c r="K638" s="12"/>
      <c r="L638" s="12"/>
      <c r="M638" s="12"/>
      <c r="N638" s="12"/>
      <c r="O638" s="12"/>
      <c r="P638" s="12"/>
      <c r="Q638" s="12"/>
      <c r="R638" s="12"/>
      <c r="S638" s="12"/>
      <c r="T638" s="12"/>
      <c r="U638" s="12"/>
      <c r="V638" s="12"/>
      <c r="W638" s="12"/>
      <c r="X638" s="12"/>
      <c r="Y638" s="12"/>
      <c r="Z638" s="12"/>
      <c r="AA638" s="12"/>
      <c r="AB638" s="12"/>
      <c r="AC638" s="12"/>
      <c r="AD638" s="12"/>
      <c r="BD638" s="13">
        <v>42675</v>
      </c>
      <c r="BE638" s="13">
        <v>42735</v>
      </c>
      <c r="BF638" s="12"/>
      <c r="BG638" s="12" t="s">
        <v>817</v>
      </c>
      <c r="BH638" s="14">
        <v>251988</v>
      </c>
      <c r="BI638" s="12" t="s">
        <v>10561</v>
      </c>
      <c r="BJ638" s="12" t="s">
        <v>10562</v>
      </c>
      <c r="BK638" s="12" t="s">
        <v>10563</v>
      </c>
      <c r="BL638" s="12" t="s">
        <v>10564</v>
      </c>
      <c r="BM638" s="12" t="s">
        <v>10565</v>
      </c>
      <c r="BN638" s="12" t="s">
        <v>10566</v>
      </c>
      <c r="BO638" s="12" t="s">
        <v>320</v>
      </c>
      <c r="BP638" s="11" t="s">
        <v>320</v>
      </c>
      <c r="BQ638" s="12" t="s">
        <v>320</v>
      </c>
      <c r="BR638" s="12" t="s">
        <v>10578</v>
      </c>
      <c r="BS638" s="12" t="s">
        <v>322</v>
      </c>
      <c r="BT638" s="12" t="s">
        <v>10579</v>
      </c>
      <c r="BU638" s="12" t="s">
        <v>10580</v>
      </c>
      <c r="BV638" s="14">
        <v>1445</v>
      </c>
      <c r="BW638" s="14">
        <v>2750</v>
      </c>
      <c r="BX638" s="14">
        <v>4195</v>
      </c>
      <c r="BY638" s="14"/>
      <c r="BZ638" s="14"/>
      <c r="CA638" s="14"/>
      <c r="CB638" s="12" t="s">
        <v>10581</v>
      </c>
      <c r="CD638" s="14">
        <v>1445</v>
      </c>
      <c r="CE638" s="14">
        <v>2750</v>
      </c>
      <c r="CF638" s="14">
        <v>4195</v>
      </c>
      <c r="CG638" s="14"/>
      <c r="CH638" s="14"/>
      <c r="CI638" s="14"/>
      <c r="CJ638" s="12"/>
      <c r="CK638" s="14"/>
      <c r="CL638" s="16"/>
      <c r="CM638" s="14"/>
      <c r="CN638" s="12"/>
      <c r="CO638" s="14"/>
      <c r="CP638" s="16"/>
      <c r="CQ638" s="14"/>
      <c r="CR638" s="12"/>
      <c r="CS638" s="14"/>
      <c r="CT638" s="16"/>
      <c r="CU638" s="14"/>
      <c r="CV638" s="12" t="s">
        <v>320</v>
      </c>
      <c r="CW638" s="14">
        <v>1500</v>
      </c>
      <c r="CX638" s="16">
        <v>0.5</v>
      </c>
      <c r="CY638" s="14">
        <v>0</v>
      </c>
      <c r="CZ638" s="12"/>
      <c r="DA638" s="14"/>
      <c r="DB638" s="16"/>
      <c r="DC638" s="14"/>
      <c r="DD638" s="12"/>
      <c r="DE638" s="14"/>
      <c r="DF638" s="16"/>
      <c r="DG638" s="14"/>
      <c r="DH638" s="12"/>
      <c r="DI638" s="14"/>
      <c r="DJ638" s="16"/>
      <c r="DK638" s="14"/>
      <c r="DL638" s="12"/>
      <c r="DM638" s="14"/>
      <c r="DN638" s="16"/>
      <c r="DO638" s="14"/>
      <c r="DP638" s="12" t="s">
        <v>320</v>
      </c>
      <c r="DQ638" s="14">
        <v>2445</v>
      </c>
      <c r="DR638" s="16">
        <v>0.35</v>
      </c>
      <c r="DS638" s="14"/>
      <c r="DT638" s="12"/>
      <c r="DU638" s="14"/>
      <c r="DV638" s="16"/>
      <c r="DW638" s="14"/>
      <c r="DX638" s="12" t="s">
        <v>320</v>
      </c>
      <c r="DY638" s="14">
        <v>1000</v>
      </c>
      <c r="DZ638" s="16">
        <v>0.5</v>
      </c>
      <c r="EA638" s="14"/>
      <c r="EB638" s="11" t="s">
        <v>320</v>
      </c>
      <c r="EC638" s="14">
        <v>4195</v>
      </c>
      <c r="ED638" s="16">
        <v>0.35</v>
      </c>
      <c r="EE638" s="14"/>
      <c r="EF638" s="12"/>
      <c r="EG638" s="12"/>
      <c r="EH638" s="14"/>
      <c r="EI638" s="16"/>
      <c r="EJ638" s="14"/>
      <c r="EK638" s="14"/>
      <c r="EL638" s="14"/>
      <c r="EM638" s="14"/>
      <c r="EN638" s="14"/>
      <c r="EO638" s="14"/>
      <c r="EP638" s="14"/>
      <c r="EQ638" s="12"/>
      <c r="ER638" s="14"/>
      <c r="ES638" s="16"/>
      <c r="ET638" s="14"/>
      <c r="EU638" s="12"/>
      <c r="EV638" s="14"/>
      <c r="EW638" s="16"/>
      <c r="EX638" s="14"/>
      <c r="EY638" s="12"/>
      <c r="EZ638" s="14"/>
      <c r="FA638" s="16"/>
      <c r="FB638" s="14"/>
      <c r="FC638" s="12"/>
      <c r="FD638" s="14"/>
      <c r="FE638" s="16"/>
      <c r="FF638" s="14"/>
      <c r="FG638" s="12"/>
      <c r="FH638" s="14"/>
      <c r="FI638" s="16"/>
      <c r="FJ638" s="14"/>
      <c r="FK638" s="12"/>
      <c r="FL638" s="14"/>
      <c r="FM638" s="16"/>
      <c r="FN638" s="14"/>
      <c r="FO638" s="12" t="s">
        <v>320</v>
      </c>
      <c r="FP638" s="14">
        <v>2100</v>
      </c>
      <c r="FQ638" s="16">
        <v>0.5</v>
      </c>
      <c r="FR638" s="14">
        <v>0</v>
      </c>
      <c r="FS638" s="12"/>
      <c r="FT638" s="14"/>
      <c r="FU638" s="16"/>
      <c r="FV638" s="14"/>
      <c r="FW638" s="12"/>
      <c r="FX638" s="14"/>
      <c r="FY638" s="16"/>
      <c r="FZ638" s="14"/>
      <c r="GA638" s="12"/>
      <c r="GB638" s="14"/>
      <c r="GC638" s="16"/>
      <c r="GD638" s="14"/>
      <c r="GE638" s="12"/>
      <c r="GF638" s="14"/>
      <c r="GG638" s="16"/>
      <c r="GH638" s="14"/>
      <c r="GI638" s="12"/>
      <c r="GJ638" s="14"/>
      <c r="GK638" s="16"/>
      <c r="GL638" s="14"/>
      <c r="GM638" s="12"/>
      <c r="GN638" s="14"/>
      <c r="GO638" s="16"/>
      <c r="GP638" s="14"/>
      <c r="GQ638" s="12"/>
      <c r="GR638" s="14"/>
      <c r="GS638" s="16"/>
      <c r="GT638" s="14"/>
      <c r="GU638" s="12"/>
      <c r="GV638" s="14"/>
      <c r="GW638" s="16"/>
      <c r="GX638" s="14"/>
      <c r="GY638" s="12"/>
      <c r="GZ638" s="14"/>
      <c r="HA638" s="16"/>
      <c r="HB638" s="14"/>
      <c r="HC638" s="12"/>
      <c r="HD638" s="12"/>
      <c r="HE638" s="14"/>
      <c r="HF638" s="16"/>
      <c r="HG638" s="14"/>
      <c r="HH638" s="12" t="s">
        <v>319</v>
      </c>
      <c r="HI638" s="12"/>
      <c r="HJ638" s="12"/>
      <c r="HK638" s="12"/>
      <c r="HL638" s="12" t="s">
        <v>319</v>
      </c>
      <c r="HM638" s="12"/>
      <c r="HN638" s="12"/>
      <c r="HO638" s="12"/>
      <c r="HP638" s="12" t="s">
        <v>330</v>
      </c>
      <c r="HQ638" s="12"/>
      <c r="HR638" s="12"/>
      <c r="HS638" s="12"/>
      <c r="HT638" s="12"/>
      <c r="HU638" s="12"/>
      <c r="HV638" s="12"/>
      <c r="HW638" s="12"/>
      <c r="HX638" s="12"/>
      <c r="HY638" s="12"/>
      <c r="HZ638" s="12" t="s">
        <v>363</v>
      </c>
      <c r="IA638" s="12"/>
      <c r="IB638" s="12" t="s">
        <v>396</v>
      </c>
      <c r="IC638" s="12"/>
      <c r="ID638" s="12" t="s">
        <v>334</v>
      </c>
      <c r="IE638" s="12" t="s">
        <v>335</v>
      </c>
      <c r="IF638" s="12" t="s">
        <v>320</v>
      </c>
      <c r="IG638" s="12" t="s">
        <v>320</v>
      </c>
      <c r="IH638" s="12" t="s">
        <v>320</v>
      </c>
      <c r="II638" s="12" t="s">
        <v>320</v>
      </c>
      <c r="IJ638" s="12" t="str">
        <f t="shared" si="388"/>
        <v>2. Sensitive</v>
      </c>
      <c r="IK638" s="12">
        <f t="shared" si="389"/>
        <v>4</v>
      </c>
      <c r="IL638" s="12" t="s">
        <v>336</v>
      </c>
      <c r="IM638" s="12" t="s">
        <v>320</v>
      </c>
      <c r="IN638" s="12" t="s">
        <v>320</v>
      </c>
      <c r="IO638" s="12" t="s">
        <v>320</v>
      </c>
      <c r="IP638" s="12" t="s">
        <v>320</v>
      </c>
      <c r="IQ638" s="12" t="str">
        <f t="shared" si="390"/>
        <v>2. Accommodating</v>
      </c>
      <c r="IR638" s="12">
        <f t="shared" si="391"/>
        <v>4</v>
      </c>
      <c r="IS638" s="12" t="s">
        <v>337</v>
      </c>
      <c r="IT638" s="12" t="s">
        <v>320</v>
      </c>
      <c r="IU638" s="12" t="s">
        <v>319</v>
      </c>
      <c r="IV638" s="12" t="s">
        <v>320</v>
      </c>
      <c r="IW638" s="11" t="str">
        <f t="shared" si="392"/>
        <v>1. Neutral</v>
      </c>
      <c r="IX638" s="12">
        <f t="shared" si="393"/>
        <v>2</v>
      </c>
      <c r="IY638" s="12" t="s">
        <v>338</v>
      </c>
      <c r="IZ638" s="12" t="s">
        <v>457</v>
      </c>
      <c r="JA638" s="12">
        <v>3</v>
      </c>
      <c r="JB638" s="12" t="s">
        <v>624</v>
      </c>
      <c r="JC638" s="12" t="s">
        <v>623</v>
      </c>
      <c r="JD638" s="12"/>
      <c r="JE638" s="12" t="s">
        <v>365</v>
      </c>
      <c r="JF638" s="12"/>
      <c r="JG638" s="12"/>
      <c r="JH638" s="12"/>
      <c r="JI638" s="12"/>
      <c r="JJ638" s="12"/>
      <c r="JK638" s="12"/>
      <c r="JL638" s="12"/>
      <c r="JM638" s="12"/>
      <c r="JN638" s="12"/>
      <c r="JO638" s="12"/>
      <c r="JP638" s="15">
        <f t="shared" si="394"/>
        <v>4195</v>
      </c>
      <c r="JQ638" s="15">
        <f t="shared" si="395"/>
        <v>0</v>
      </c>
      <c r="JR638" s="279">
        <f t="shared" si="396"/>
        <v>0</v>
      </c>
      <c r="JS638" s="17">
        <f t="shared" si="397"/>
        <v>0.34445768772348034</v>
      </c>
      <c r="JT638" s="18" t="str">
        <f t="shared" si="398"/>
        <v/>
      </c>
      <c r="JU638" s="280">
        <f t="shared" si="399"/>
        <v>1445</v>
      </c>
      <c r="JV638" s="280">
        <f t="shared" si="400"/>
        <v>0</v>
      </c>
      <c r="JW638" s="319">
        <f t="shared" si="401"/>
        <v>1</v>
      </c>
      <c r="JX638" s="15">
        <f t="shared" si="402"/>
        <v>4195</v>
      </c>
      <c r="JY638" s="15">
        <f t="shared" si="403"/>
        <v>0</v>
      </c>
      <c r="JZ638" s="19">
        <f t="shared" si="404"/>
        <v>0</v>
      </c>
      <c r="KA638" s="52">
        <f t="shared" si="405"/>
        <v>1</v>
      </c>
      <c r="KB638" s="15">
        <f t="shared" si="406"/>
        <v>2100</v>
      </c>
      <c r="KC638" s="15">
        <f t="shared" si="407"/>
        <v>0</v>
      </c>
      <c r="KD638" s="20">
        <f t="shared" si="408"/>
        <v>0</v>
      </c>
      <c r="KE638" s="52" t="str">
        <f t="shared" si="409"/>
        <v/>
      </c>
      <c r="KF638" s="15">
        <f t="shared" si="410"/>
        <v>0</v>
      </c>
      <c r="KG638" s="15">
        <f t="shared" si="411"/>
        <v>0</v>
      </c>
      <c r="KH638" s="21" t="str">
        <f t="shared" si="412"/>
        <v/>
      </c>
      <c r="KI638" s="52" t="str">
        <f t="shared" si="413"/>
        <v/>
      </c>
      <c r="KJ638" s="15">
        <f t="shared" si="414"/>
        <v>0</v>
      </c>
      <c r="KK638" s="15">
        <f t="shared" si="415"/>
        <v>0</v>
      </c>
      <c r="KL638" s="19" t="str">
        <f t="shared" si="416"/>
        <v/>
      </c>
      <c r="KM638" s="52" t="str">
        <f t="shared" si="417"/>
        <v/>
      </c>
      <c r="KN638" s="22">
        <f t="shared" si="418"/>
        <v>0</v>
      </c>
      <c r="KO638" s="22">
        <f t="shared" si="419"/>
        <v>0</v>
      </c>
      <c r="KP638" s="19" t="str">
        <f t="shared" si="420"/>
        <v/>
      </c>
      <c r="KQ638" s="11" t="str">
        <f t="shared" si="421"/>
        <v>2. Sensitive</v>
      </c>
      <c r="KR638" s="11" t="str">
        <f t="shared" si="422"/>
        <v>2. Accommodating</v>
      </c>
      <c r="KS638" s="11" t="str">
        <f t="shared" si="423"/>
        <v>1. Neutral</v>
      </c>
      <c r="KT638" s="11" t="str">
        <f t="shared" si="424"/>
        <v>It did not develop any specific innovation</v>
      </c>
      <c r="KU638" s="11" t="str">
        <f t="shared" si="425"/>
        <v>Moderate advocacy</v>
      </c>
      <c r="KV638" s="11" t="str">
        <f t="shared" si="426"/>
        <v>It linked and worked with strategic alliances and partners to take tested and effective solutions to scale</v>
      </c>
      <c r="KW638" s="11" t="str">
        <f t="shared" si="427"/>
        <v>Serbia - Food, Winterization and Shelter for Refugees in Serbia</v>
      </c>
      <c r="KX638" s="11" t="str">
        <f t="shared" si="428"/>
        <v>Food, Winterization and Shelter for Refugees in Serbia</v>
      </c>
      <c r="KY638" s="11" t="str">
        <f t="shared" si="429"/>
        <v>Serbia</v>
      </c>
      <c r="KZ638" s="12">
        <v>638</v>
      </c>
    </row>
    <row r="639" spans="1:312" x14ac:dyDescent="0.3">
      <c r="A639" s="12" t="s">
        <v>10558</v>
      </c>
      <c r="B639" s="12" t="s">
        <v>602</v>
      </c>
      <c r="C639" s="12">
        <v>3323</v>
      </c>
      <c r="D639" s="12" t="s">
        <v>1754</v>
      </c>
      <c r="E639" s="277" t="str">
        <f t="shared" si="387"/>
        <v>Serbia</v>
      </c>
      <c r="F639" s="12" t="s">
        <v>1755</v>
      </c>
      <c r="G639" s="12" t="s">
        <v>605</v>
      </c>
      <c r="H639" s="12" t="s">
        <v>310</v>
      </c>
      <c r="I639" s="12" t="s">
        <v>606</v>
      </c>
      <c r="J639" s="281" t="s">
        <v>792</v>
      </c>
      <c r="K639" s="12"/>
      <c r="L639" s="12"/>
      <c r="M639" s="12"/>
      <c r="N639" s="12"/>
      <c r="O639" s="12"/>
      <c r="P639" s="12"/>
      <c r="Q639" s="12"/>
      <c r="R639" s="12"/>
      <c r="S639" s="12"/>
      <c r="T639" s="12"/>
      <c r="U639" s="12"/>
      <c r="V639" s="12"/>
      <c r="W639" s="12"/>
      <c r="X639" s="12"/>
      <c r="Y639" s="12"/>
      <c r="Z639" s="12"/>
      <c r="AA639" s="12"/>
      <c r="AB639" s="12"/>
      <c r="AC639" s="12"/>
      <c r="AD639" s="12"/>
      <c r="BD639" s="13">
        <v>42309</v>
      </c>
      <c r="BE639" s="13">
        <v>43404</v>
      </c>
      <c r="BF639" s="12"/>
      <c r="BG639" s="12" t="s">
        <v>1757</v>
      </c>
      <c r="BH639" s="14">
        <v>1256496.6599999999</v>
      </c>
      <c r="BI639" s="12" t="s">
        <v>8158</v>
      </c>
      <c r="BJ639" s="12" t="s">
        <v>354</v>
      </c>
      <c r="BK639" s="12" t="s">
        <v>1759</v>
      </c>
      <c r="BL639" s="12" t="s">
        <v>1760</v>
      </c>
      <c r="BM639" s="12" t="s">
        <v>1761</v>
      </c>
      <c r="BN639" s="12" t="s">
        <v>1762</v>
      </c>
      <c r="BO639" s="12" t="s">
        <v>319</v>
      </c>
      <c r="BP639" s="12" t="s">
        <v>320</v>
      </c>
      <c r="BQ639" s="12" t="s">
        <v>319</v>
      </c>
      <c r="BR639" s="12" t="s">
        <v>1763</v>
      </c>
      <c r="BS639" s="12" t="s">
        <v>1535</v>
      </c>
      <c r="BT639" s="12" t="s">
        <v>1764</v>
      </c>
      <c r="BU639" s="12" t="s">
        <v>1765</v>
      </c>
      <c r="BV639" s="14">
        <v>4620</v>
      </c>
      <c r="BW639" s="14">
        <v>2380</v>
      </c>
      <c r="BX639" s="14">
        <v>7000</v>
      </c>
      <c r="BY639" s="14">
        <v>14000</v>
      </c>
      <c r="BZ639" s="14">
        <v>6000</v>
      </c>
      <c r="CA639" s="14">
        <v>20000</v>
      </c>
      <c r="CB639" s="12" t="s">
        <v>8159</v>
      </c>
      <c r="CD639" s="14"/>
      <c r="CE639" s="14"/>
      <c r="CF639" s="14"/>
      <c r="CG639" s="14"/>
      <c r="CH639" s="14"/>
      <c r="CI639" s="14"/>
      <c r="CJ639" s="12"/>
      <c r="CK639" s="14"/>
      <c r="CL639" s="16"/>
      <c r="CM639" s="14"/>
      <c r="CN639" s="12"/>
      <c r="CO639" s="14"/>
      <c r="CP639" s="16"/>
      <c r="CQ639" s="14"/>
      <c r="CR639" s="12"/>
      <c r="CS639" s="14"/>
      <c r="CT639" s="16"/>
      <c r="CU639" s="14"/>
      <c r="CV639" s="12"/>
      <c r="CW639" s="14"/>
      <c r="CX639" s="16"/>
      <c r="CY639" s="14"/>
      <c r="CZ639" s="12"/>
      <c r="DA639" s="14"/>
      <c r="DB639" s="16"/>
      <c r="DC639" s="14"/>
      <c r="DD639" s="12"/>
      <c r="DE639" s="14"/>
      <c r="DF639" s="16"/>
      <c r="DG639" s="14"/>
      <c r="DH639" s="12"/>
      <c r="DI639" s="14"/>
      <c r="DJ639" s="16"/>
      <c r="DK639" s="14"/>
      <c r="DL639" s="12"/>
      <c r="DM639" s="14"/>
      <c r="DN639" s="16"/>
      <c r="DO639" s="14"/>
      <c r="DP639" s="12"/>
      <c r="DQ639" s="14"/>
      <c r="DR639" s="16"/>
      <c r="DS639" s="14"/>
      <c r="DT639" s="12"/>
      <c r="DU639" s="14"/>
      <c r="DV639" s="16"/>
      <c r="DW639" s="14"/>
      <c r="DX639" s="12"/>
      <c r="DY639" s="14"/>
      <c r="DZ639" s="16"/>
      <c r="EA639" s="14"/>
      <c r="EB639" s="12"/>
      <c r="EC639" s="14"/>
      <c r="ED639" s="16"/>
      <c r="EE639" s="14"/>
      <c r="EF639" s="12"/>
      <c r="EG639" s="12"/>
      <c r="EH639" s="14"/>
      <c r="EI639" s="16"/>
      <c r="EJ639" s="14"/>
      <c r="EK639" s="14">
        <v>3900</v>
      </c>
      <c r="EL639" s="14">
        <v>1179</v>
      </c>
      <c r="EM639" s="14">
        <v>5079</v>
      </c>
      <c r="EN639" s="14">
        <v>11560</v>
      </c>
      <c r="EO639" s="14">
        <v>3000</v>
      </c>
      <c r="EP639" s="14">
        <v>14560</v>
      </c>
      <c r="EQ639" s="12" t="s">
        <v>319</v>
      </c>
      <c r="ER639" s="14"/>
      <c r="ES639" s="16"/>
      <c r="ET639" s="14"/>
      <c r="EU639" s="11" t="s">
        <v>319</v>
      </c>
      <c r="EV639" s="14"/>
      <c r="EW639" s="16"/>
      <c r="EX639" s="14"/>
      <c r="EY639" s="12" t="s">
        <v>319</v>
      </c>
      <c r="EZ639" s="14"/>
      <c r="FA639" s="16"/>
      <c r="FB639" s="14"/>
      <c r="FC639" s="12" t="s">
        <v>319</v>
      </c>
      <c r="FD639" s="14"/>
      <c r="FE639" s="16"/>
      <c r="FF639" s="14"/>
      <c r="FG639" s="12" t="s">
        <v>319</v>
      </c>
      <c r="FH639" s="14"/>
      <c r="FI639" s="16"/>
      <c r="FJ639" s="14"/>
      <c r="FK639" s="12" t="s">
        <v>320</v>
      </c>
      <c r="FL639" s="14">
        <v>1434</v>
      </c>
      <c r="FM639" s="16">
        <v>0.71619999999999995</v>
      </c>
      <c r="FN639" s="14">
        <v>4200</v>
      </c>
      <c r="FO639" s="12" t="s">
        <v>319</v>
      </c>
      <c r="FP639" s="14"/>
      <c r="FQ639" s="16"/>
      <c r="FR639" s="14"/>
      <c r="FS639" s="12" t="s">
        <v>320</v>
      </c>
      <c r="FT639" s="14">
        <v>1495</v>
      </c>
      <c r="FU639" s="16">
        <v>0.84619999999999995</v>
      </c>
      <c r="FV639" s="14">
        <v>4200</v>
      </c>
      <c r="FW639" s="11" t="s">
        <v>320</v>
      </c>
      <c r="FX639" s="14">
        <v>187</v>
      </c>
      <c r="FY639" s="16">
        <v>0.63100000000000001</v>
      </c>
      <c r="FZ639" s="14">
        <v>500</v>
      </c>
      <c r="GA639" s="11" t="s">
        <v>320</v>
      </c>
      <c r="GB639" s="14">
        <v>790</v>
      </c>
      <c r="GC639" s="16">
        <v>0.73419999999999996</v>
      </c>
      <c r="GD639" s="14">
        <v>2200</v>
      </c>
      <c r="GE639" s="12" t="s">
        <v>319</v>
      </c>
      <c r="GF639" s="14"/>
      <c r="GG639" s="16"/>
      <c r="GH639" s="14"/>
      <c r="GI639" s="12" t="s">
        <v>319</v>
      </c>
      <c r="GJ639" s="14"/>
      <c r="GK639" s="16"/>
      <c r="GL639" s="14"/>
      <c r="GM639" s="11" t="s">
        <v>320</v>
      </c>
      <c r="GN639" s="14">
        <v>88</v>
      </c>
      <c r="GO639" s="16">
        <v>0.79549999999999998</v>
      </c>
      <c r="GP639" s="14">
        <v>260</v>
      </c>
      <c r="GQ639" s="12" t="s">
        <v>319</v>
      </c>
      <c r="GR639" s="14"/>
      <c r="GS639" s="16"/>
      <c r="GT639" s="14"/>
      <c r="GU639" s="12" t="s">
        <v>319</v>
      </c>
      <c r="GV639" s="14"/>
      <c r="GW639" s="16"/>
      <c r="GX639" s="14"/>
      <c r="GY639" s="12" t="s">
        <v>319</v>
      </c>
      <c r="GZ639" s="14"/>
      <c r="HA639" s="16"/>
      <c r="HB639" s="14"/>
      <c r="HC639" s="12" t="s">
        <v>1767</v>
      </c>
      <c r="HD639" s="12" t="s">
        <v>320</v>
      </c>
      <c r="HE639" s="14">
        <v>1085</v>
      </c>
      <c r="HF639" s="16">
        <v>0.7742</v>
      </c>
      <c r="HG639" s="14">
        <v>3200</v>
      </c>
      <c r="HH639" s="12" t="s">
        <v>320</v>
      </c>
      <c r="HI639" s="12" t="s">
        <v>361</v>
      </c>
      <c r="HJ639" s="12">
        <v>2016</v>
      </c>
      <c r="HK639" s="12" t="s">
        <v>319</v>
      </c>
      <c r="HL639" s="12" t="s">
        <v>320</v>
      </c>
      <c r="HM639" s="12" t="s">
        <v>327</v>
      </c>
      <c r="HN639" s="12">
        <v>2017</v>
      </c>
      <c r="HO639" s="12" t="s">
        <v>1768</v>
      </c>
      <c r="HP639" s="12" t="s">
        <v>330</v>
      </c>
      <c r="HQ639" s="12" t="s">
        <v>320</v>
      </c>
      <c r="HR639" s="12" t="s">
        <v>320</v>
      </c>
      <c r="HS639" s="12" t="s">
        <v>320</v>
      </c>
      <c r="HT639" s="12" t="s">
        <v>320</v>
      </c>
      <c r="HU639" s="12" t="s">
        <v>320</v>
      </c>
      <c r="HV639" s="12"/>
      <c r="HW639" s="12" t="s">
        <v>320</v>
      </c>
      <c r="HX639" s="12"/>
      <c r="HY639" s="12"/>
      <c r="HZ639" s="12" t="s">
        <v>394</v>
      </c>
      <c r="IA639" s="12" t="s">
        <v>1769</v>
      </c>
      <c r="IB639" s="12" t="s">
        <v>667</v>
      </c>
      <c r="IC639" s="12"/>
      <c r="ID639" s="12" t="s">
        <v>334</v>
      </c>
      <c r="IE639" s="12" t="s">
        <v>478</v>
      </c>
      <c r="IF639" s="12" t="s">
        <v>320</v>
      </c>
      <c r="IG639" s="12" t="s">
        <v>320</v>
      </c>
      <c r="IH639" s="12" t="s">
        <v>320</v>
      </c>
      <c r="II639" s="12" t="s">
        <v>320</v>
      </c>
      <c r="IJ639" s="12" t="str">
        <f t="shared" si="388"/>
        <v>4. Transformative</v>
      </c>
      <c r="IK639" s="12">
        <f t="shared" si="389"/>
        <v>4</v>
      </c>
      <c r="IL639" s="12" t="s">
        <v>336</v>
      </c>
      <c r="IM639" s="12" t="s">
        <v>320</v>
      </c>
      <c r="IN639" s="12" t="s">
        <v>320</v>
      </c>
      <c r="IO639" s="12" t="s">
        <v>320</v>
      </c>
      <c r="IP639" s="12" t="s">
        <v>320</v>
      </c>
      <c r="IQ639" s="12" t="str">
        <f t="shared" si="390"/>
        <v>2. Accommodating</v>
      </c>
      <c r="IR639" s="12">
        <f t="shared" si="391"/>
        <v>4</v>
      </c>
      <c r="IS639" s="12" t="s">
        <v>337</v>
      </c>
      <c r="IT639" s="12" t="s">
        <v>319</v>
      </c>
      <c r="IU639" s="12" t="s">
        <v>320</v>
      </c>
      <c r="IV639" s="12" t="s">
        <v>319</v>
      </c>
      <c r="IW639" s="11" t="str">
        <f t="shared" si="392"/>
        <v>1. Neutral</v>
      </c>
      <c r="IX639" s="12">
        <f t="shared" si="393"/>
        <v>1</v>
      </c>
      <c r="IY639" s="12" t="s">
        <v>338</v>
      </c>
      <c r="IZ639" s="12" t="s">
        <v>527</v>
      </c>
      <c r="JA639" s="12">
        <v>7</v>
      </c>
      <c r="JB639" s="12" t="s">
        <v>433</v>
      </c>
      <c r="JC639" s="12"/>
      <c r="JD639" s="12"/>
      <c r="JE639" s="12" t="s">
        <v>340</v>
      </c>
      <c r="JF639" s="12" t="s">
        <v>8160</v>
      </c>
      <c r="JG639" s="12"/>
      <c r="JH639" s="12" t="s">
        <v>1771</v>
      </c>
      <c r="JI639" s="12" t="s">
        <v>1772</v>
      </c>
      <c r="JJ639" s="12" t="s">
        <v>1773</v>
      </c>
      <c r="JK639" s="12" t="s">
        <v>1774</v>
      </c>
      <c r="JL639" s="12" t="s">
        <v>1775</v>
      </c>
      <c r="JM639" s="12" t="s">
        <v>1776</v>
      </c>
      <c r="JN639" s="12" t="s">
        <v>1777</v>
      </c>
      <c r="JO639" s="12"/>
      <c r="JP639" s="15">
        <f t="shared" si="394"/>
        <v>5079</v>
      </c>
      <c r="JQ639" s="15">
        <f t="shared" si="395"/>
        <v>14560</v>
      </c>
      <c r="JR639" s="279">
        <f t="shared" si="396"/>
        <v>2.8667060444969481</v>
      </c>
      <c r="JS639" s="17">
        <f t="shared" si="397"/>
        <v>0.76786769049025394</v>
      </c>
      <c r="JT639" s="18">
        <f t="shared" si="398"/>
        <v>0.79395604395604391</v>
      </c>
      <c r="JU639" s="280">
        <f t="shared" si="399"/>
        <v>3900</v>
      </c>
      <c r="JV639" s="280">
        <f t="shared" si="400"/>
        <v>11560</v>
      </c>
      <c r="JW639" s="319" t="str">
        <f t="shared" si="401"/>
        <v/>
      </c>
      <c r="JX639" s="15">
        <f t="shared" si="402"/>
        <v>0</v>
      </c>
      <c r="JY639" s="15">
        <f t="shared" si="403"/>
        <v>0</v>
      </c>
      <c r="JZ639" s="19" t="str">
        <f t="shared" si="404"/>
        <v/>
      </c>
      <c r="KA639" s="52" t="str">
        <f t="shared" si="405"/>
        <v/>
      </c>
      <c r="KB639" s="15">
        <f t="shared" si="406"/>
        <v>0</v>
      </c>
      <c r="KC639" s="15">
        <f t="shared" si="407"/>
        <v>0</v>
      </c>
      <c r="KD639" s="20" t="str">
        <f t="shared" si="408"/>
        <v/>
      </c>
      <c r="KE639" s="52" t="str">
        <f t="shared" si="409"/>
        <v/>
      </c>
      <c r="KF639" s="15">
        <f t="shared" si="410"/>
        <v>0</v>
      </c>
      <c r="KG639" s="15">
        <f t="shared" si="411"/>
        <v>0</v>
      </c>
      <c r="KH639" s="21" t="str">
        <f t="shared" si="412"/>
        <v/>
      </c>
      <c r="KI639" s="52">
        <f t="shared" si="413"/>
        <v>1</v>
      </c>
      <c r="KJ639" s="15">
        <f t="shared" si="414"/>
        <v>1495</v>
      </c>
      <c r="KK639" s="15">
        <f t="shared" si="415"/>
        <v>4200</v>
      </c>
      <c r="KL639" s="19">
        <f t="shared" si="416"/>
        <v>2.8093645484949832</v>
      </c>
      <c r="KM639" s="52" t="str">
        <f t="shared" si="417"/>
        <v/>
      </c>
      <c r="KN639" s="22">
        <f t="shared" si="418"/>
        <v>0</v>
      </c>
      <c r="KO639" s="22">
        <f t="shared" si="419"/>
        <v>0</v>
      </c>
      <c r="KP639" s="19" t="str">
        <f t="shared" si="420"/>
        <v/>
      </c>
      <c r="KQ639" s="11" t="str">
        <f t="shared" si="421"/>
        <v>4. Transformative</v>
      </c>
      <c r="KR639" s="11" t="str">
        <f t="shared" si="422"/>
        <v>2. Accommodating</v>
      </c>
      <c r="KS639" s="11" t="str">
        <f t="shared" si="423"/>
        <v>1. Neutral</v>
      </c>
      <c r="KT639" s="11" t="str">
        <f t="shared" si="424"/>
        <v>It tested new ways for fighting poverty, but did not measure results of innovation</v>
      </c>
      <c r="KU639" s="11" t="str">
        <f t="shared" si="425"/>
        <v>Moderate advocacy</v>
      </c>
      <c r="KV639" s="11" t="str">
        <f t="shared" si="426"/>
        <v>It took tested solutions to scale on its own</v>
      </c>
      <c r="KW639" s="11" t="str">
        <f t="shared" si="427"/>
        <v>Serbia - For Active Inclusion and Rights of Roma Women in the Western Balkans II (FAIR II)</v>
      </c>
      <c r="KX639" s="11" t="str">
        <f t="shared" si="428"/>
        <v>For Active Inclusion and Rights of Roma Women in the Western Balkans II (FAIR II)</v>
      </c>
      <c r="KY639" s="11" t="str">
        <f t="shared" si="429"/>
        <v>Serbia</v>
      </c>
      <c r="KZ639" s="12">
        <v>639</v>
      </c>
    </row>
    <row r="640" spans="1:312" x14ac:dyDescent="0.3">
      <c r="A640" s="12" t="s">
        <v>10558</v>
      </c>
      <c r="B640" s="12" t="s">
        <v>602</v>
      </c>
      <c r="C640" s="12">
        <v>2806</v>
      </c>
      <c r="D640" s="12" t="s">
        <v>603</v>
      </c>
      <c r="E640" s="277" t="str">
        <f t="shared" si="387"/>
        <v>Serbia</v>
      </c>
      <c r="F640" s="12" t="s">
        <v>604</v>
      </c>
      <c r="G640" s="12" t="s">
        <v>605</v>
      </c>
      <c r="H640" s="12" t="s">
        <v>310</v>
      </c>
      <c r="I640" s="12" t="s">
        <v>606</v>
      </c>
      <c r="J640" s="281" t="s">
        <v>792</v>
      </c>
      <c r="K640" s="12" t="s">
        <v>607</v>
      </c>
      <c r="L640" s="12" t="s">
        <v>608</v>
      </c>
      <c r="M640" s="12" t="s">
        <v>383</v>
      </c>
      <c r="N640" s="12" t="s">
        <v>384</v>
      </c>
      <c r="O640" s="278" t="s">
        <v>8164</v>
      </c>
      <c r="P640" s="12"/>
      <c r="Q640" s="12"/>
      <c r="R640" s="12" t="s">
        <v>383</v>
      </c>
      <c r="S640" s="12" t="s">
        <v>384</v>
      </c>
      <c r="T640" s="12"/>
      <c r="U640" s="12"/>
      <c r="V640" s="12"/>
      <c r="W640" s="12"/>
      <c r="X640" s="12"/>
      <c r="Y640" s="12"/>
      <c r="Z640" s="12"/>
      <c r="AA640" s="12"/>
      <c r="AB640" s="12"/>
      <c r="AC640" s="12"/>
      <c r="AD640" s="12"/>
      <c r="BD640" s="13">
        <v>41609</v>
      </c>
      <c r="BE640" s="13">
        <v>42704</v>
      </c>
      <c r="BF640" s="12"/>
      <c r="BG640" s="12" t="s">
        <v>609</v>
      </c>
      <c r="BH640" s="14">
        <v>1471221</v>
      </c>
      <c r="BI640" s="12" t="s">
        <v>6841</v>
      </c>
      <c r="BJ640" s="12" t="s">
        <v>611</v>
      </c>
      <c r="BK640" s="12" t="s">
        <v>612</v>
      </c>
      <c r="BL640" s="12" t="s">
        <v>6842</v>
      </c>
      <c r="BM640" s="12" t="s">
        <v>354</v>
      </c>
      <c r="BN640" s="12" t="s">
        <v>613</v>
      </c>
      <c r="BO640" s="12" t="s">
        <v>319</v>
      </c>
      <c r="BP640" s="12" t="s">
        <v>320</v>
      </c>
      <c r="BQ640" s="12" t="s">
        <v>319</v>
      </c>
      <c r="BR640" s="12" t="s">
        <v>10582</v>
      </c>
      <c r="BS640" s="12" t="s">
        <v>615</v>
      </c>
      <c r="BT640" s="12" t="s">
        <v>616</v>
      </c>
      <c r="BU640" s="12" t="s">
        <v>617</v>
      </c>
      <c r="BV640" s="14">
        <v>31</v>
      </c>
      <c r="BW640" s="14">
        <v>123</v>
      </c>
      <c r="BX640" s="14">
        <v>154</v>
      </c>
      <c r="BY640" s="14">
        <v>1000</v>
      </c>
      <c r="BZ640" s="14">
        <v>4400</v>
      </c>
      <c r="CA640" s="14">
        <v>5400</v>
      </c>
      <c r="CB640" s="12" t="s">
        <v>6843</v>
      </c>
      <c r="CD640" s="14"/>
      <c r="CE640" s="14"/>
      <c r="CF640" s="14"/>
      <c r="CG640" s="14"/>
      <c r="CH640" s="14"/>
      <c r="CI640" s="14"/>
      <c r="CJ640" s="12"/>
      <c r="CK640" s="14"/>
      <c r="CL640" s="16"/>
      <c r="CM640" s="14"/>
      <c r="CN640" s="12"/>
      <c r="CO640" s="14"/>
      <c r="CP640" s="16"/>
      <c r="CQ640" s="14"/>
      <c r="CR640" s="12"/>
      <c r="CS640" s="14"/>
      <c r="CT640" s="16"/>
      <c r="CU640" s="14"/>
      <c r="CV640" s="12"/>
      <c r="CW640" s="14"/>
      <c r="CX640" s="16"/>
      <c r="CY640" s="14"/>
      <c r="CZ640" s="12"/>
      <c r="DA640" s="14"/>
      <c r="DB640" s="16"/>
      <c r="DC640" s="14"/>
      <c r="DD640" s="12"/>
      <c r="DE640" s="14"/>
      <c r="DF640" s="16"/>
      <c r="DG640" s="14"/>
      <c r="DH640" s="12"/>
      <c r="DI640" s="14"/>
      <c r="DJ640" s="16"/>
      <c r="DK640" s="14"/>
      <c r="DL640" s="12"/>
      <c r="DM640" s="14"/>
      <c r="DN640" s="16"/>
      <c r="DO640" s="14"/>
      <c r="DP640" s="12"/>
      <c r="DQ640" s="14"/>
      <c r="DR640" s="16"/>
      <c r="DS640" s="14"/>
      <c r="DT640" s="12"/>
      <c r="DU640" s="14"/>
      <c r="DV640" s="16"/>
      <c r="DW640" s="14"/>
      <c r="DX640" s="12"/>
      <c r="DY640" s="14"/>
      <c r="DZ640" s="16"/>
      <c r="EA640" s="14"/>
      <c r="EB640" s="12"/>
      <c r="EC640" s="14"/>
      <c r="ED640" s="16"/>
      <c r="EE640" s="14"/>
      <c r="EF640" s="12"/>
      <c r="EG640" s="12"/>
      <c r="EH640" s="14"/>
      <c r="EI640" s="16"/>
      <c r="EJ640" s="14"/>
      <c r="EK640" s="14">
        <v>502</v>
      </c>
      <c r="EL640" s="14">
        <v>1652</v>
      </c>
      <c r="EM640" s="14">
        <v>2154</v>
      </c>
      <c r="EN640" s="14">
        <v>9844</v>
      </c>
      <c r="EO640" s="14">
        <v>15028</v>
      </c>
      <c r="EP640" s="14">
        <v>24872</v>
      </c>
      <c r="EQ640" s="12"/>
      <c r="ER640" s="14"/>
      <c r="ES640" s="16"/>
      <c r="ET640" s="14"/>
      <c r="EU640" s="12"/>
      <c r="EV640" s="14"/>
      <c r="EW640" s="16"/>
      <c r="EX640" s="14"/>
      <c r="EY640" s="12"/>
      <c r="EZ640" s="14"/>
      <c r="FA640" s="16"/>
      <c r="FB640" s="14"/>
      <c r="FC640" s="12"/>
      <c r="FD640" s="14"/>
      <c r="FE640" s="16"/>
      <c r="FF640" s="14"/>
      <c r="FG640" s="12"/>
      <c r="FH640" s="14"/>
      <c r="FI640" s="16"/>
      <c r="FJ640" s="14"/>
      <c r="FK640" s="12" t="s">
        <v>320</v>
      </c>
      <c r="FL640" s="14">
        <v>1303</v>
      </c>
      <c r="FM640" s="16">
        <v>0.08</v>
      </c>
      <c r="FN640" s="14"/>
      <c r="FO640" s="12"/>
      <c r="FP640" s="14"/>
      <c r="FQ640" s="16"/>
      <c r="FR640" s="14"/>
      <c r="FS640" s="12" t="s">
        <v>320</v>
      </c>
      <c r="FT640" s="14">
        <v>2154</v>
      </c>
      <c r="FU640" s="16">
        <v>0.23</v>
      </c>
      <c r="FV640" s="14"/>
      <c r="FW640" s="11" t="s">
        <v>320</v>
      </c>
      <c r="FX640" s="14">
        <v>2154</v>
      </c>
      <c r="FY640" s="16">
        <v>0.23</v>
      </c>
      <c r="FZ640" s="14"/>
      <c r="GA640" s="12"/>
      <c r="GB640" s="14"/>
      <c r="GC640" s="16"/>
      <c r="GD640" s="14"/>
      <c r="GE640" s="12"/>
      <c r="GF640" s="14"/>
      <c r="GG640" s="16"/>
      <c r="GH640" s="14"/>
      <c r="GI640" s="12"/>
      <c r="GJ640" s="14"/>
      <c r="GK640" s="16"/>
      <c r="GL640" s="14"/>
      <c r="GM640" s="12"/>
      <c r="GN640" s="14"/>
      <c r="GO640" s="16"/>
      <c r="GP640" s="14"/>
      <c r="GQ640" s="12" t="s">
        <v>320</v>
      </c>
      <c r="GR640" s="14">
        <v>2154</v>
      </c>
      <c r="GS640" s="16">
        <v>0.3</v>
      </c>
      <c r="GT640" s="14"/>
      <c r="GU640" s="12"/>
      <c r="GV640" s="14"/>
      <c r="GW640" s="16"/>
      <c r="GX640" s="14"/>
      <c r="GY640" s="12"/>
      <c r="GZ640" s="14"/>
      <c r="HA640" s="16"/>
      <c r="HB640" s="14"/>
      <c r="HC640" s="12"/>
      <c r="HD640" s="12"/>
      <c r="HE640" s="14"/>
      <c r="HF640" s="16"/>
      <c r="HG640" s="14"/>
      <c r="HH640" s="12" t="s">
        <v>319</v>
      </c>
      <c r="HI640" s="12"/>
      <c r="HJ640" s="12"/>
      <c r="HK640" s="12" t="s">
        <v>320</v>
      </c>
      <c r="HL640" s="12" t="s">
        <v>319</v>
      </c>
      <c r="HM640" s="12" t="s">
        <v>619</v>
      </c>
      <c r="HN640" s="12"/>
      <c r="HO640" s="12" t="s">
        <v>620</v>
      </c>
      <c r="HP640" s="12" t="s">
        <v>453</v>
      </c>
      <c r="HQ640" s="12"/>
      <c r="HR640" s="12"/>
      <c r="HS640" s="12"/>
      <c r="HT640" s="12"/>
      <c r="HU640" s="12"/>
      <c r="HV640" s="12"/>
      <c r="HW640" s="12"/>
      <c r="HX640" s="12"/>
      <c r="HY640" s="12"/>
      <c r="HZ640" s="12" t="s">
        <v>394</v>
      </c>
      <c r="IA640" s="12" t="s">
        <v>10583</v>
      </c>
      <c r="IB640" s="12" t="s">
        <v>396</v>
      </c>
      <c r="IC640" s="12"/>
      <c r="ID640" s="12" t="s">
        <v>477</v>
      </c>
      <c r="IE640" s="12" t="s">
        <v>478</v>
      </c>
      <c r="IF640" s="12" t="s">
        <v>320</v>
      </c>
      <c r="IG640" s="12" t="s">
        <v>320</v>
      </c>
      <c r="IH640" s="12" t="s">
        <v>320</v>
      </c>
      <c r="II640" s="12" t="s">
        <v>320</v>
      </c>
      <c r="IJ640" s="12" t="str">
        <f t="shared" si="388"/>
        <v>4. Transformative</v>
      </c>
      <c r="IK640" s="12">
        <f t="shared" si="389"/>
        <v>4</v>
      </c>
      <c r="IL640" s="11" t="s">
        <v>621</v>
      </c>
      <c r="IM640" s="12" t="s">
        <v>320</v>
      </c>
      <c r="IN640" s="12" t="s">
        <v>320</v>
      </c>
      <c r="IO640" s="12" t="s">
        <v>320</v>
      </c>
      <c r="IP640" s="12" t="s">
        <v>320</v>
      </c>
      <c r="IQ640" s="12" t="str">
        <f t="shared" si="390"/>
        <v>4. Transformational</v>
      </c>
      <c r="IR640" s="12">
        <f t="shared" si="391"/>
        <v>4</v>
      </c>
      <c r="IS640" s="12" t="s">
        <v>622</v>
      </c>
      <c r="IT640" s="12" t="s">
        <v>320</v>
      </c>
      <c r="IU640" s="12" t="s">
        <v>320</v>
      </c>
      <c r="IV640" s="12" t="s">
        <v>320</v>
      </c>
      <c r="IW640" s="11" t="str">
        <f t="shared" si="392"/>
        <v>4. Transformative</v>
      </c>
      <c r="IX640" s="12">
        <f t="shared" si="393"/>
        <v>3</v>
      </c>
      <c r="IY640" s="12" t="s">
        <v>338</v>
      </c>
      <c r="IZ640" s="12" t="s">
        <v>527</v>
      </c>
      <c r="JA640" s="12">
        <v>2</v>
      </c>
      <c r="JB640" s="12" t="s">
        <v>433</v>
      </c>
      <c r="JC640" s="12" t="s">
        <v>623</v>
      </c>
      <c r="JD640" s="12" t="s">
        <v>624</v>
      </c>
      <c r="JE640" s="12" t="s">
        <v>340</v>
      </c>
      <c r="JF640" s="12" t="s">
        <v>3144</v>
      </c>
      <c r="JG640" s="12" t="s">
        <v>626</v>
      </c>
      <c r="JH640" s="12" t="s">
        <v>10583</v>
      </c>
      <c r="JI640" s="12" t="s">
        <v>6846</v>
      </c>
      <c r="JJ640" s="12" t="s">
        <v>6847</v>
      </c>
      <c r="JK640" s="12" t="s">
        <v>630</v>
      </c>
      <c r="JL640" s="12" t="s">
        <v>6848</v>
      </c>
      <c r="JM640" s="12" t="s">
        <v>632</v>
      </c>
      <c r="JN640" s="12" t="s">
        <v>10584</v>
      </c>
      <c r="JO640" s="12" t="s">
        <v>634</v>
      </c>
      <c r="JP640" s="15">
        <f t="shared" si="394"/>
        <v>2154</v>
      </c>
      <c r="JQ640" s="15">
        <f t="shared" si="395"/>
        <v>24872</v>
      </c>
      <c r="JR640" s="279">
        <f t="shared" si="396"/>
        <v>11.546889507892294</v>
      </c>
      <c r="JS640" s="17">
        <f t="shared" si="397"/>
        <v>0.2330547818012999</v>
      </c>
      <c r="JT640" s="18">
        <f t="shared" si="398"/>
        <v>0.39578642650369894</v>
      </c>
      <c r="JU640" s="280">
        <f t="shared" si="399"/>
        <v>502</v>
      </c>
      <c r="JV640" s="280">
        <f t="shared" si="400"/>
        <v>9844</v>
      </c>
      <c r="JW640" s="319" t="str">
        <f t="shared" si="401"/>
        <v/>
      </c>
      <c r="JX640" s="15">
        <f t="shared" si="402"/>
        <v>0</v>
      </c>
      <c r="JY640" s="15">
        <f t="shared" si="403"/>
        <v>0</v>
      </c>
      <c r="JZ640" s="19" t="str">
        <f t="shared" si="404"/>
        <v/>
      </c>
      <c r="KA640" s="52" t="str">
        <f t="shared" si="405"/>
        <v/>
      </c>
      <c r="KB640" s="15">
        <f t="shared" si="406"/>
        <v>0</v>
      </c>
      <c r="KC640" s="15">
        <f t="shared" si="407"/>
        <v>0</v>
      </c>
      <c r="KD640" s="20" t="str">
        <f t="shared" si="408"/>
        <v/>
      </c>
      <c r="KE640" s="52">
        <f t="shared" si="409"/>
        <v>1</v>
      </c>
      <c r="KF640" s="15">
        <f t="shared" si="410"/>
        <v>2154</v>
      </c>
      <c r="KG640" s="15">
        <f t="shared" si="411"/>
        <v>0</v>
      </c>
      <c r="KH640" s="21">
        <f t="shared" si="412"/>
        <v>0</v>
      </c>
      <c r="KI640" s="52">
        <f t="shared" si="413"/>
        <v>1</v>
      </c>
      <c r="KJ640" s="15">
        <f t="shared" si="414"/>
        <v>2154</v>
      </c>
      <c r="KK640" s="15">
        <f t="shared" si="415"/>
        <v>0</v>
      </c>
      <c r="KL640" s="19">
        <f t="shared" si="416"/>
        <v>0</v>
      </c>
      <c r="KM640" s="52" t="str">
        <f t="shared" si="417"/>
        <v/>
      </c>
      <c r="KN640" s="22">
        <f t="shared" si="418"/>
        <v>0</v>
      </c>
      <c r="KO640" s="22">
        <f t="shared" si="419"/>
        <v>0</v>
      </c>
      <c r="KP640" s="19" t="str">
        <f t="shared" si="420"/>
        <v/>
      </c>
      <c r="KQ640" s="11" t="str">
        <f t="shared" si="421"/>
        <v>4. Transformative</v>
      </c>
      <c r="KR640" s="11" t="str">
        <f t="shared" si="422"/>
        <v>4. Transformational</v>
      </c>
      <c r="KS640" s="11" t="str">
        <f t="shared" si="423"/>
        <v>4. Transformative</v>
      </c>
      <c r="KT640" s="11" t="str">
        <f t="shared" si="424"/>
        <v>It tested new ways for fighting poverty, but did not measure results of innovation</v>
      </c>
      <c r="KU640" s="11" t="str">
        <f t="shared" si="425"/>
        <v>Intensive advocacy</v>
      </c>
      <c r="KV640" s="11" t="str">
        <f t="shared" si="426"/>
        <v>It linked and worked with strategic alliances and partners to take tested and effective solutions to scale</v>
      </c>
      <c r="KW640" s="11" t="str">
        <f t="shared" si="427"/>
        <v>Serbia - The Boys and Men as Allies in Violence Prevention and Gender Transformation in the Western Balkans</v>
      </c>
      <c r="KX640" s="11" t="str">
        <f t="shared" si="428"/>
        <v>The Boys and Men as Allies in Violence Prevention and Gender Transformation in the Western Balkans</v>
      </c>
      <c r="KY640" s="11" t="str">
        <f t="shared" si="429"/>
        <v>Serbia</v>
      </c>
      <c r="KZ640" s="12">
        <v>640</v>
      </c>
    </row>
    <row r="641" spans="1:312" x14ac:dyDescent="0.3">
      <c r="A641" s="12" t="s">
        <v>10558</v>
      </c>
      <c r="B641" s="12" t="s">
        <v>602</v>
      </c>
      <c r="C641" s="12"/>
      <c r="D641" s="12" t="s">
        <v>10585</v>
      </c>
      <c r="E641" s="277" t="str">
        <f t="shared" ref="E641:E704" si="430">A641</f>
        <v>Serbia</v>
      </c>
      <c r="F641" s="12" t="s">
        <v>10586</v>
      </c>
      <c r="G641" s="12" t="s">
        <v>488</v>
      </c>
      <c r="H641" s="12" t="s">
        <v>310</v>
      </c>
      <c r="I641" s="12" t="s">
        <v>506</v>
      </c>
      <c r="J641" s="281" t="s">
        <v>9230</v>
      </c>
      <c r="K641" s="12"/>
      <c r="L641" s="12"/>
      <c r="M641" s="12"/>
      <c r="N641" s="12"/>
      <c r="O641" s="12"/>
      <c r="P641" s="12"/>
      <c r="Q641" s="12"/>
      <c r="R641" s="12"/>
      <c r="S641" s="12"/>
      <c r="T641" s="12"/>
      <c r="U641" s="12"/>
      <c r="V641" s="12"/>
      <c r="W641" s="12"/>
      <c r="X641" s="12"/>
      <c r="Y641" s="12"/>
      <c r="Z641" s="12"/>
      <c r="AA641" s="12"/>
      <c r="AB641" s="12"/>
      <c r="AC641" s="12"/>
      <c r="AD641" s="12"/>
      <c r="BD641" s="13">
        <v>42797</v>
      </c>
      <c r="BE641" s="13">
        <v>42856</v>
      </c>
      <c r="BF641" s="12"/>
      <c r="BG641" s="12" t="s">
        <v>908</v>
      </c>
      <c r="BH641" s="14">
        <v>150000</v>
      </c>
      <c r="BI641" s="12" t="s">
        <v>10561</v>
      </c>
      <c r="BJ641" s="12" t="s">
        <v>10562</v>
      </c>
      <c r="BK641" s="12" t="s">
        <v>10563</v>
      </c>
      <c r="BL641" s="12" t="s">
        <v>10564</v>
      </c>
      <c r="BM641" s="12" t="s">
        <v>10565</v>
      </c>
      <c r="BN641" s="12" t="s">
        <v>10566</v>
      </c>
      <c r="BO641" s="12" t="s">
        <v>320</v>
      </c>
      <c r="BP641" s="11" t="s">
        <v>320</v>
      </c>
      <c r="BQ641" s="12" t="s">
        <v>320</v>
      </c>
      <c r="BR641" s="12" t="s">
        <v>10567</v>
      </c>
      <c r="BS641" s="12" t="s">
        <v>322</v>
      </c>
      <c r="BT641" s="12" t="s">
        <v>10587</v>
      </c>
      <c r="BU641" s="12" t="s">
        <v>10569</v>
      </c>
      <c r="BV641" s="14">
        <v>772</v>
      </c>
      <c r="BW641" s="14">
        <v>738</v>
      </c>
      <c r="BX641" s="14">
        <v>1510</v>
      </c>
      <c r="BY641" s="14"/>
      <c r="BZ641" s="14"/>
      <c r="CA641" s="14"/>
      <c r="CB641" s="12" t="s">
        <v>10588</v>
      </c>
      <c r="CD641" s="14">
        <v>772</v>
      </c>
      <c r="CE641" s="14">
        <v>738</v>
      </c>
      <c r="CF641" s="14">
        <v>1510</v>
      </c>
      <c r="CG641" s="14"/>
      <c r="CH641" s="14"/>
      <c r="CI641" s="14"/>
      <c r="CJ641" s="12"/>
      <c r="CK641" s="14"/>
      <c r="CL641" s="16"/>
      <c r="CM641" s="14"/>
      <c r="CN641" s="12"/>
      <c r="CO641" s="14"/>
      <c r="CP641" s="16"/>
      <c r="CQ641" s="14"/>
      <c r="CR641" s="12"/>
      <c r="CS641" s="14"/>
      <c r="CT641" s="16"/>
      <c r="CU641" s="14"/>
      <c r="CV641" s="12" t="s">
        <v>320</v>
      </c>
      <c r="CW641" s="14">
        <v>1400</v>
      </c>
      <c r="CX641" s="16">
        <v>0.5</v>
      </c>
      <c r="CY641" s="14">
        <v>0</v>
      </c>
      <c r="CZ641" s="12"/>
      <c r="DA641" s="14"/>
      <c r="DB641" s="16"/>
      <c r="DC641" s="14"/>
      <c r="DD641" s="12"/>
      <c r="DE641" s="14"/>
      <c r="DF641" s="16"/>
      <c r="DG641" s="14"/>
      <c r="DH641" s="12"/>
      <c r="DI641" s="14"/>
      <c r="DJ641" s="16"/>
      <c r="DK641" s="14"/>
      <c r="DL641" s="12"/>
      <c r="DM641" s="14"/>
      <c r="DN641" s="16"/>
      <c r="DO641" s="14"/>
      <c r="DP641" s="12" t="s">
        <v>319</v>
      </c>
      <c r="DQ641" s="14"/>
      <c r="DR641" s="16"/>
      <c r="DS641" s="14"/>
      <c r="DT641" s="12"/>
      <c r="DU641" s="14"/>
      <c r="DV641" s="16"/>
      <c r="DW641" s="14"/>
      <c r="DX641" s="12"/>
      <c r="DY641" s="14"/>
      <c r="DZ641" s="16"/>
      <c r="EA641" s="14"/>
      <c r="EB641" s="12"/>
      <c r="EC641" s="14"/>
      <c r="ED641" s="16"/>
      <c r="EE641" s="14"/>
      <c r="EF641" s="12"/>
      <c r="EG641" s="12"/>
      <c r="EH641" s="14"/>
      <c r="EI641" s="16"/>
      <c r="EJ641" s="14"/>
      <c r="EK641" s="14"/>
      <c r="EL641" s="14"/>
      <c r="EM641" s="14"/>
      <c r="EN641" s="14"/>
      <c r="EO641" s="14"/>
      <c r="EP641" s="14"/>
      <c r="EQ641" s="12"/>
      <c r="ER641" s="14"/>
      <c r="ES641" s="16"/>
      <c r="ET641" s="14"/>
      <c r="EU641" s="12"/>
      <c r="EV641" s="14"/>
      <c r="EW641" s="16"/>
      <c r="EX641" s="14"/>
      <c r="EY641" s="12"/>
      <c r="EZ641" s="14"/>
      <c r="FA641" s="16"/>
      <c r="FB641" s="14"/>
      <c r="FC641" s="12"/>
      <c r="FD641" s="14"/>
      <c r="FE641" s="16"/>
      <c r="FF641" s="14"/>
      <c r="FG641" s="12"/>
      <c r="FH641" s="14"/>
      <c r="FI641" s="16"/>
      <c r="FJ641" s="14"/>
      <c r="FK641" s="12"/>
      <c r="FL641" s="14"/>
      <c r="FM641" s="16"/>
      <c r="FN641" s="14"/>
      <c r="FO641" s="12" t="s">
        <v>320</v>
      </c>
      <c r="FP641" s="14">
        <v>2100</v>
      </c>
      <c r="FQ641" s="16">
        <v>0.5</v>
      </c>
      <c r="FR641" s="14">
        <v>0</v>
      </c>
      <c r="FS641" s="12"/>
      <c r="FT641" s="14"/>
      <c r="FU641" s="16"/>
      <c r="FV641" s="14"/>
      <c r="FW641" s="12"/>
      <c r="FX641" s="14"/>
      <c r="FY641" s="16"/>
      <c r="FZ641" s="14"/>
      <c r="GA641" s="12"/>
      <c r="GB641" s="14"/>
      <c r="GC641" s="16"/>
      <c r="GD641" s="14"/>
      <c r="GE641" s="12"/>
      <c r="GF641" s="14"/>
      <c r="GG641" s="16"/>
      <c r="GH641" s="14"/>
      <c r="GI641" s="12"/>
      <c r="GJ641" s="14"/>
      <c r="GK641" s="16"/>
      <c r="GL641" s="14"/>
      <c r="GM641" s="12"/>
      <c r="GN641" s="14"/>
      <c r="GO641" s="16"/>
      <c r="GP641" s="14"/>
      <c r="GQ641" s="12"/>
      <c r="GR641" s="14"/>
      <c r="GS641" s="16"/>
      <c r="GT641" s="14"/>
      <c r="GU641" s="12"/>
      <c r="GV641" s="14"/>
      <c r="GW641" s="16"/>
      <c r="GX641" s="14"/>
      <c r="GY641" s="12"/>
      <c r="GZ641" s="14"/>
      <c r="HA641" s="16"/>
      <c r="HB641" s="14"/>
      <c r="HC641" s="12"/>
      <c r="HD641" s="12"/>
      <c r="HE641" s="14"/>
      <c r="HF641" s="16"/>
      <c r="HG641" s="14"/>
      <c r="HH641" s="12" t="s">
        <v>320</v>
      </c>
      <c r="HI641" s="12" t="s">
        <v>560</v>
      </c>
      <c r="HJ641" s="12">
        <v>2017</v>
      </c>
      <c r="HK641" s="12" t="s">
        <v>320</v>
      </c>
      <c r="HL641" s="12" t="s">
        <v>320</v>
      </c>
      <c r="HM641" s="12"/>
      <c r="HN641" s="12"/>
      <c r="HO641" s="12"/>
      <c r="HP641" s="12" t="s">
        <v>330</v>
      </c>
      <c r="HQ641" s="12"/>
      <c r="HR641" s="12"/>
      <c r="HS641" s="12"/>
      <c r="HT641" s="12"/>
      <c r="HU641" s="12"/>
      <c r="HV641" s="12"/>
      <c r="HW641" s="12"/>
      <c r="HX641" s="12"/>
      <c r="HY641" s="12"/>
      <c r="HZ641" s="12" t="s">
        <v>363</v>
      </c>
      <c r="IA641" s="12"/>
      <c r="IB641" s="12" t="s">
        <v>396</v>
      </c>
      <c r="IC641" s="12"/>
      <c r="ID641" s="12" t="s">
        <v>334</v>
      </c>
      <c r="IE641" s="12" t="s">
        <v>335</v>
      </c>
      <c r="IF641" s="12" t="s">
        <v>320</v>
      </c>
      <c r="IG641" s="12" t="s">
        <v>320</v>
      </c>
      <c r="IH641" s="12" t="s">
        <v>320</v>
      </c>
      <c r="II641" s="12" t="s">
        <v>320</v>
      </c>
      <c r="IJ641" s="12" t="str">
        <f t="shared" si="388"/>
        <v>2. Sensitive</v>
      </c>
      <c r="IK641" s="12">
        <f t="shared" si="389"/>
        <v>4</v>
      </c>
      <c r="IL641" s="12" t="s">
        <v>336</v>
      </c>
      <c r="IM641" s="12" t="s">
        <v>320</v>
      </c>
      <c r="IN641" s="12" t="s">
        <v>320</v>
      </c>
      <c r="IO641" s="12" t="s">
        <v>320</v>
      </c>
      <c r="IP641" s="12" t="s">
        <v>320</v>
      </c>
      <c r="IQ641" s="12" t="str">
        <f t="shared" si="390"/>
        <v>2. Accommodating</v>
      </c>
      <c r="IR641" s="12">
        <f t="shared" si="391"/>
        <v>4</v>
      </c>
      <c r="IS641" s="12" t="s">
        <v>337</v>
      </c>
      <c r="IT641" s="12" t="s">
        <v>320</v>
      </c>
      <c r="IU641" s="12" t="s">
        <v>319</v>
      </c>
      <c r="IV641" s="12" t="s">
        <v>320</v>
      </c>
      <c r="IW641" s="11" t="str">
        <f t="shared" si="392"/>
        <v>1. Neutral</v>
      </c>
      <c r="IX641" s="12">
        <f t="shared" si="393"/>
        <v>2</v>
      </c>
      <c r="IY641" s="12" t="s">
        <v>338</v>
      </c>
      <c r="IZ641" s="12" t="s">
        <v>457</v>
      </c>
      <c r="JA641" s="12">
        <v>3</v>
      </c>
      <c r="JB641" s="12" t="s">
        <v>624</v>
      </c>
      <c r="JC641" s="12" t="s">
        <v>623</v>
      </c>
      <c r="JD641" s="12"/>
      <c r="JE641" s="12" t="s">
        <v>365</v>
      </c>
      <c r="JF641" s="12"/>
      <c r="JG641" s="12"/>
      <c r="JH641" s="12"/>
      <c r="JI641" s="12"/>
      <c r="JJ641" s="12"/>
      <c r="JK641" s="12"/>
      <c r="JL641" s="12"/>
      <c r="JM641" s="12"/>
      <c r="JN641" s="12"/>
      <c r="JO641" s="12"/>
      <c r="JP641" s="15">
        <f t="shared" si="394"/>
        <v>1510</v>
      </c>
      <c r="JQ641" s="15">
        <f t="shared" si="395"/>
        <v>0</v>
      </c>
      <c r="JR641" s="279">
        <f t="shared" si="396"/>
        <v>0</v>
      </c>
      <c r="JS641" s="17">
        <f t="shared" si="397"/>
        <v>0.51125827814569536</v>
      </c>
      <c r="JT641" s="18" t="str">
        <f t="shared" si="398"/>
        <v/>
      </c>
      <c r="JU641" s="280">
        <f t="shared" si="399"/>
        <v>772</v>
      </c>
      <c r="JV641" s="280">
        <f t="shared" si="400"/>
        <v>0</v>
      </c>
      <c r="JW641" s="319">
        <f t="shared" si="401"/>
        <v>1</v>
      </c>
      <c r="JX641" s="15">
        <f t="shared" si="402"/>
        <v>1510</v>
      </c>
      <c r="JY641" s="15">
        <f t="shared" si="403"/>
        <v>0</v>
      </c>
      <c r="JZ641" s="19">
        <f t="shared" si="404"/>
        <v>0</v>
      </c>
      <c r="KA641" s="52">
        <f t="shared" si="405"/>
        <v>1</v>
      </c>
      <c r="KB641" s="15">
        <f t="shared" si="406"/>
        <v>2100</v>
      </c>
      <c r="KC641" s="15">
        <f t="shared" si="407"/>
        <v>0</v>
      </c>
      <c r="KD641" s="20">
        <f t="shared" si="408"/>
        <v>0</v>
      </c>
      <c r="KE641" s="52" t="str">
        <f t="shared" si="409"/>
        <v/>
      </c>
      <c r="KF641" s="15">
        <f t="shared" si="410"/>
        <v>0</v>
      </c>
      <c r="KG641" s="15">
        <f t="shared" si="411"/>
        <v>0</v>
      </c>
      <c r="KH641" s="21" t="str">
        <f t="shared" si="412"/>
        <v/>
      </c>
      <c r="KI641" s="52" t="str">
        <f t="shared" si="413"/>
        <v/>
      </c>
      <c r="KJ641" s="15">
        <f t="shared" si="414"/>
        <v>0</v>
      </c>
      <c r="KK641" s="15">
        <f t="shared" si="415"/>
        <v>0</v>
      </c>
      <c r="KL641" s="19" t="str">
        <f t="shared" si="416"/>
        <v/>
      </c>
      <c r="KM641" s="52" t="str">
        <f t="shared" si="417"/>
        <v/>
      </c>
      <c r="KN641" s="22">
        <f t="shared" si="418"/>
        <v>0</v>
      </c>
      <c r="KO641" s="22">
        <f t="shared" si="419"/>
        <v>0</v>
      </c>
      <c r="KP641" s="19" t="str">
        <f t="shared" si="420"/>
        <v/>
      </c>
      <c r="KQ641" s="11" t="str">
        <f t="shared" si="421"/>
        <v>2. Sensitive</v>
      </c>
      <c r="KR641" s="11" t="str">
        <f t="shared" si="422"/>
        <v>2. Accommodating</v>
      </c>
      <c r="KS641" s="11" t="str">
        <f t="shared" si="423"/>
        <v>1. Neutral</v>
      </c>
      <c r="KT641" s="11" t="str">
        <f t="shared" si="424"/>
        <v>It did not develop any specific innovation</v>
      </c>
      <c r="KU641" s="11" t="str">
        <f t="shared" si="425"/>
        <v>Moderate advocacy</v>
      </c>
      <c r="KV641" s="11" t="str">
        <f t="shared" si="426"/>
        <v>It linked and worked with strategic alliances and partners to take tested and effective solutions to scale</v>
      </c>
      <c r="KW641" s="11" t="str">
        <f t="shared" si="427"/>
        <v>Serbia - Urgent Nutritional Needs of Vulnerable Migrant Groups in Serbia</v>
      </c>
      <c r="KX641" s="11" t="str">
        <f t="shared" si="428"/>
        <v>Urgent Nutritional Needs of Vulnerable Migrant Groups in Serbia</v>
      </c>
      <c r="KY641" s="11" t="str">
        <f t="shared" si="429"/>
        <v>Serbia</v>
      </c>
      <c r="KZ641" s="12">
        <v>641</v>
      </c>
    </row>
    <row r="642" spans="1:312" x14ac:dyDescent="0.3">
      <c r="A642" s="12" t="s">
        <v>10558</v>
      </c>
      <c r="B642" s="12" t="s">
        <v>602</v>
      </c>
      <c r="C642" s="12"/>
      <c r="D642" s="12" t="s">
        <v>10559</v>
      </c>
      <c r="E642" s="277" t="str">
        <f t="shared" si="430"/>
        <v>Serbia</v>
      </c>
      <c r="F642" s="12" t="s">
        <v>10560</v>
      </c>
      <c r="G642" s="12" t="s">
        <v>379</v>
      </c>
      <c r="H642" s="12" t="s">
        <v>384</v>
      </c>
      <c r="I642" s="12" t="s">
        <v>384</v>
      </c>
      <c r="J642" s="281" t="s">
        <v>12008</v>
      </c>
      <c r="K642" s="12"/>
      <c r="L642" s="12"/>
      <c r="M642" s="12"/>
      <c r="N642" s="12"/>
      <c r="O642" s="12"/>
      <c r="P642" s="12"/>
      <c r="Q642" s="12"/>
      <c r="R642" s="12"/>
      <c r="S642" s="12"/>
      <c r="T642" s="12"/>
      <c r="U642" s="12"/>
      <c r="V642" s="12"/>
      <c r="W642" s="12"/>
      <c r="X642" s="12"/>
      <c r="Y642" s="12"/>
      <c r="Z642" s="12"/>
      <c r="AA642" s="12"/>
      <c r="AB642" s="12"/>
      <c r="AC642" s="12"/>
      <c r="AD642" s="12"/>
      <c r="BD642" s="13">
        <v>42856</v>
      </c>
      <c r="BE642" s="13">
        <v>43038</v>
      </c>
      <c r="BF642" s="12"/>
      <c r="BG642" s="12" t="s">
        <v>908</v>
      </c>
      <c r="BH642" s="14">
        <v>300000</v>
      </c>
      <c r="BI642" s="12" t="s">
        <v>10561</v>
      </c>
      <c r="BJ642" s="12" t="s">
        <v>10562</v>
      </c>
      <c r="BK642" s="12" t="s">
        <v>10563</v>
      </c>
      <c r="BL642" s="12" t="s">
        <v>10564</v>
      </c>
      <c r="BM642" s="12" t="s">
        <v>10565</v>
      </c>
      <c r="BN642" s="12" t="s">
        <v>10566</v>
      </c>
      <c r="BO642" s="12" t="s">
        <v>320</v>
      </c>
      <c r="BP642" s="11" t="s">
        <v>320</v>
      </c>
      <c r="BQ642" s="12" t="s">
        <v>320</v>
      </c>
      <c r="BR642" s="12" t="s">
        <v>10567</v>
      </c>
      <c r="BS642" s="12" t="s">
        <v>615</v>
      </c>
      <c r="BT642" s="12" t="s">
        <v>10568</v>
      </c>
      <c r="BU642" s="12" t="s">
        <v>10569</v>
      </c>
      <c r="BV642" s="14">
        <v>1224</v>
      </c>
      <c r="BW642" s="14">
        <v>3147</v>
      </c>
      <c r="BX642" s="14">
        <v>4764</v>
      </c>
      <c r="BY642" s="14"/>
      <c r="BZ642" s="14"/>
      <c r="CA642" s="14"/>
      <c r="CB642" s="12" t="s">
        <v>10570</v>
      </c>
      <c r="CD642" s="14">
        <v>1445</v>
      </c>
      <c r="CE642" s="14">
        <v>2750</v>
      </c>
      <c r="CF642" s="14">
        <v>4195</v>
      </c>
      <c r="CG642" s="14"/>
      <c r="CH642" s="14"/>
      <c r="CI642" s="14"/>
      <c r="CJ642" s="12"/>
      <c r="CK642" s="14"/>
      <c r="CL642" s="16"/>
      <c r="CM642" s="14"/>
      <c r="CN642" s="12"/>
      <c r="CO642" s="14"/>
      <c r="CP642" s="16"/>
      <c r="CQ642" s="14"/>
      <c r="CR642" s="12"/>
      <c r="CS642" s="14"/>
      <c r="CT642" s="16"/>
      <c r="CU642" s="14"/>
      <c r="CV642" s="12" t="s">
        <v>319</v>
      </c>
      <c r="CW642" s="14"/>
      <c r="CX642" s="16"/>
      <c r="CY642" s="14"/>
      <c r="CZ642" s="12"/>
      <c r="DA642" s="14"/>
      <c r="DB642" s="16"/>
      <c r="DC642" s="14"/>
      <c r="DD642" s="12"/>
      <c r="DE642" s="14"/>
      <c r="DF642" s="16"/>
      <c r="DG642" s="14"/>
      <c r="DH642" s="12"/>
      <c r="DI642" s="14"/>
      <c r="DJ642" s="16"/>
      <c r="DK642" s="14"/>
      <c r="DL642" s="12"/>
      <c r="DM642" s="14"/>
      <c r="DN642" s="16"/>
      <c r="DO642" s="14"/>
      <c r="DP642" s="12" t="s">
        <v>320</v>
      </c>
      <c r="DQ642" s="14">
        <v>2773</v>
      </c>
      <c r="DR642" s="16">
        <v>0.4</v>
      </c>
      <c r="DS642" s="14"/>
      <c r="DT642" s="12"/>
      <c r="DU642" s="14"/>
      <c r="DV642" s="16"/>
      <c r="DW642" s="14"/>
      <c r="DX642" s="12"/>
      <c r="DY642" s="14"/>
      <c r="DZ642" s="16"/>
      <c r="EA642" s="14"/>
      <c r="EB642" s="11" t="s">
        <v>320</v>
      </c>
      <c r="EC642" s="14">
        <v>4195</v>
      </c>
      <c r="ED642" s="16">
        <v>0.2</v>
      </c>
      <c r="EE642" s="14"/>
      <c r="EF642" s="12"/>
      <c r="EG642" s="12"/>
      <c r="EH642" s="14"/>
      <c r="EI642" s="16"/>
      <c r="EJ642" s="14"/>
      <c r="EK642" s="14"/>
      <c r="EL642" s="14"/>
      <c r="EM642" s="14"/>
      <c r="EN642" s="14"/>
      <c r="EO642" s="14"/>
      <c r="EP642" s="14"/>
      <c r="EQ642" s="12"/>
      <c r="ER642" s="14"/>
      <c r="ES642" s="16"/>
      <c r="ET642" s="14"/>
      <c r="EU642" s="12"/>
      <c r="EV642" s="14"/>
      <c r="EW642" s="16"/>
      <c r="EX642" s="14"/>
      <c r="EY642" s="12"/>
      <c r="EZ642" s="14"/>
      <c r="FA642" s="16"/>
      <c r="FB642" s="14"/>
      <c r="FC642" s="12"/>
      <c r="FD642" s="14"/>
      <c r="FE642" s="16"/>
      <c r="FF642" s="14"/>
      <c r="FG642" s="12"/>
      <c r="FH642" s="14"/>
      <c r="FI642" s="16"/>
      <c r="FJ642" s="14"/>
      <c r="FK642" s="12"/>
      <c r="FL642" s="14"/>
      <c r="FM642" s="16"/>
      <c r="FN642" s="14"/>
      <c r="FO642" s="12" t="s">
        <v>320</v>
      </c>
      <c r="FP642" s="14">
        <v>2100</v>
      </c>
      <c r="FQ642" s="16">
        <v>0.5</v>
      </c>
      <c r="FR642" s="14">
        <v>0</v>
      </c>
      <c r="FS642" s="12"/>
      <c r="FT642" s="14"/>
      <c r="FU642" s="16"/>
      <c r="FV642" s="14"/>
      <c r="FW642" s="12"/>
      <c r="FX642" s="14"/>
      <c r="FY642" s="16"/>
      <c r="FZ642" s="14"/>
      <c r="GA642" s="12"/>
      <c r="GB642" s="14"/>
      <c r="GC642" s="16"/>
      <c r="GD642" s="14"/>
      <c r="GE642" s="12"/>
      <c r="GF642" s="14"/>
      <c r="GG642" s="16"/>
      <c r="GH642" s="14"/>
      <c r="GI642" s="12"/>
      <c r="GJ642" s="14"/>
      <c r="GK642" s="16"/>
      <c r="GL642" s="14"/>
      <c r="GM642" s="12"/>
      <c r="GN642" s="14"/>
      <c r="GO642" s="16"/>
      <c r="GP642" s="14"/>
      <c r="GQ642" s="12"/>
      <c r="GR642" s="14"/>
      <c r="GS642" s="16"/>
      <c r="GT642" s="14"/>
      <c r="GU642" s="12"/>
      <c r="GV642" s="14"/>
      <c r="GW642" s="16"/>
      <c r="GX642" s="14"/>
      <c r="GY642" s="12"/>
      <c r="GZ642" s="14"/>
      <c r="HA642" s="16"/>
      <c r="HB642" s="14"/>
      <c r="HC642" s="12"/>
      <c r="HD642" s="12"/>
      <c r="HE642" s="14"/>
      <c r="HF642" s="16"/>
      <c r="HG642" s="14"/>
      <c r="HH642" s="12" t="s">
        <v>319</v>
      </c>
      <c r="HI642" s="12"/>
      <c r="HJ642" s="12"/>
      <c r="HK642" s="12"/>
      <c r="HL642" s="12" t="s">
        <v>319</v>
      </c>
      <c r="HM642" s="12"/>
      <c r="HN642" s="12"/>
      <c r="HO642" s="12"/>
      <c r="HP642" s="12" t="s">
        <v>330</v>
      </c>
      <c r="HQ642" s="12"/>
      <c r="HR642" s="12"/>
      <c r="HS642" s="12"/>
      <c r="HT642" s="12"/>
      <c r="HU642" s="12"/>
      <c r="HV642" s="12"/>
      <c r="HW642" s="12"/>
      <c r="HX642" s="12"/>
      <c r="HY642" s="12"/>
      <c r="HZ642" s="12" t="s">
        <v>363</v>
      </c>
      <c r="IA642" s="12"/>
      <c r="IB642" s="12" t="s">
        <v>396</v>
      </c>
      <c r="IC642" s="12"/>
      <c r="ID642" s="12" t="s">
        <v>334</v>
      </c>
      <c r="IE642" s="12" t="s">
        <v>335</v>
      </c>
      <c r="IF642" s="12" t="s">
        <v>320</v>
      </c>
      <c r="IG642" s="12" t="s">
        <v>320</v>
      </c>
      <c r="IH642" s="12" t="s">
        <v>320</v>
      </c>
      <c r="II642" s="12" t="s">
        <v>320</v>
      </c>
      <c r="IJ642" s="12" t="str">
        <f t="shared" ref="IJ642:IJ705" si="431">IF(IE642="","No marker score",IF(ISNUMBER(SEARCH("select",IE642)),"",IF(ISNUMBER(SEARCH("Did NOT",IE642)),"0. Harmful",IF(ISNUMBER(SEARCH("CHALLENGED",IE642)),IF(IK642=4,"4. Transformative",IF(IK642&gt;1,"3. Responsive",IF(IK642&lt;=1,"No marker score",""))),IF(ISNUMBER(SEARCH("WORKED WITH",IE642)),IF(IK642=4,"2. Sensitive",IF(IK642&gt;1,"1. Neutral","0. Harmful")))))))</f>
        <v>2. Sensitive</v>
      </c>
      <c r="IK642" s="12">
        <f t="shared" ref="IK642:IK705" si="432">COUNTIF(IF642:II642,"=YES")</f>
        <v>4</v>
      </c>
      <c r="IL642" s="12" t="s">
        <v>336</v>
      </c>
      <c r="IM642" s="12" t="s">
        <v>320</v>
      </c>
      <c r="IN642" s="12" t="s">
        <v>320</v>
      </c>
      <c r="IO642" s="12" t="s">
        <v>320</v>
      </c>
      <c r="IP642" s="12" t="s">
        <v>320</v>
      </c>
      <c r="IQ642" s="12" t="str">
        <f t="shared" ref="IQ642:IQ705" si="433">IF(IL642="","No marker score",IF(ISNUMBER(SEARCH("select",IL642)),"",IF(ISNUMBER(SEARCH("Did NOT",IL642)),"0. Unaware",IF(ISNUMBER(SEARCH("CHALLENGED",IL642)),IF(IR642=4,"4. Transformational",IF(IR642&gt;1,"3. Responsive",IF(IR642&lt;=1,"No marker score",""))),IF(ISNUMBER(SEARCH("WORKED WITH",IL642)),IF(IR642&gt;=3,"2. Accommodating",IF(IR642&gt;=1,"1. Tokenistic","0. Unaware")))))))</f>
        <v>2. Accommodating</v>
      </c>
      <c r="IR642" s="12">
        <f t="shared" ref="IR642:IR705" si="434">COUNTIF(IM642:IP642,"=YES")</f>
        <v>4</v>
      </c>
      <c r="IS642" s="12" t="s">
        <v>337</v>
      </c>
      <c r="IT642" s="12" t="s">
        <v>320</v>
      </c>
      <c r="IU642" s="12" t="s">
        <v>319</v>
      </c>
      <c r="IV642" s="12" t="s">
        <v>320</v>
      </c>
      <c r="IW642" s="11" t="str">
        <f t="shared" ref="IW642:IW705" si="435">IF(IS642="","No marker score",IF(ISNUMBER(SEARCH("select",IS642)),"",IF(ISNUMBER(SEARCH("Did NOT",IS642)),"0. Harmful",IF(ISNUMBER(SEARCH("well",IS642)),IF(IX642=3,"4. Transformative",IF(IX642&gt;=1,"3. Responsive",IF(IX642=0,"No marker score",""))),IF(ISNUMBER(SEARCH(".",IS642)),IF(IX642&gt;=3,"2. Sensitive",IF(IX642&gt;=1,"1. Neutral","0. Harmful")))))))</f>
        <v>1. Neutral</v>
      </c>
      <c r="IX642" s="12">
        <f t="shared" ref="IX642:IX705" si="436">COUNTIF(IT642:IV642,"=YES")</f>
        <v>2</v>
      </c>
      <c r="IY642" s="12" t="s">
        <v>338</v>
      </c>
      <c r="IZ642" s="12" t="s">
        <v>457</v>
      </c>
      <c r="JA642" s="12">
        <v>4</v>
      </c>
      <c r="JB642" s="12" t="s">
        <v>624</v>
      </c>
      <c r="JC642" s="12" t="s">
        <v>623</v>
      </c>
      <c r="JD642" s="12"/>
      <c r="JE642" s="12" t="s">
        <v>365</v>
      </c>
      <c r="JF642" s="12"/>
      <c r="JG642" s="12"/>
      <c r="JH642" s="12"/>
      <c r="JI642" s="12"/>
      <c r="JJ642" s="12"/>
      <c r="JK642" s="12"/>
      <c r="JL642" s="12"/>
      <c r="JM642" s="12"/>
      <c r="JN642" s="12"/>
      <c r="JO642" s="12"/>
      <c r="JP642" s="15">
        <f t="shared" ref="JP642:JP705" si="437">MAX(CF642,EM642)</f>
        <v>4195</v>
      </c>
      <c r="JQ642" s="15">
        <f t="shared" ref="JQ642:JQ705" si="438">MAX(CI642,EP642)</f>
        <v>0</v>
      </c>
      <c r="JR642" s="279">
        <f t="shared" ref="JR642:JR705" si="439">IFERROR(JQ642/JP642,"")</f>
        <v>0</v>
      </c>
      <c r="JS642" s="17">
        <f t="shared" ref="JS642:JS705" si="440">IFERROR(MAX(CD642,EK642)/JP642,"")</f>
        <v>0.34445768772348034</v>
      </c>
      <c r="JT642" s="18" t="str">
        <f t="shared" ref="JT642:JT705" si="441">IFERROR(MAX(CG642,EN642)/JQ642,"")</f>
        <v/>
      </c>
      <c r="JU642" s="280">
        <f t="shared" ref="JU642:JU705" si="442">IFERROR(MAX(CD642,EK642),"")</f>
        <v>1445</v>
      </c>
      <c r="JV642" s="280">
        <f t="shared" ref="JV642:JV705" si="443">IFERROR(MAX(CG642,EN642),"")</f>
        <v>0</v>
      </c>
      <c r="JW642" s="319">
        <f t="shared" ref="JW642:JW705" si="444">IF(BO642="yes",1,"")</f>
        <v>1</v>
      </c>
      <c r="JX642" s="15">
        <f t="shared" ref="JX642:JX705" si="445">CF642</f>
        <v>4195</v>
      </c>
      <c r="JY642" s="15">
        <f t="shared" ref="JY642:JY705" si="446">CI642</f>
        <v>0</v>
      </c>
      <c r="JZ642" s="19">
        <f t="shared" ref="JZ642:JZ705" si="447">IFERROR(JY642/JX642,"")</f>
        <v>0</v>
      </c>
      <c r="KA642" s="52">
        <f t="shared" ref="KA642:KA705" si="448">IF((OR(CV642="yes", DL642="yes", EQ642="yes", EU642="yes", FC642="yes", FG642="yes", FO642="yes", GI642="yes", GU642="yes")), 1, "")</f>
        <v>1</v>
      </c>
      <c r="KB642" s="15">
        <f t="shared" ref="KB642:KB705" si="449">MAX(CW642,DM642,ER642,EV642,FD642,FH642,FP642,GJ642,GV642)</f>
        <v>2100</v>
      </c>
      <c r="KC642" s="15">
        <f t="shared" ref="KC642:KC705" si="450">MAX(CY642,DO642,ET642,EX642,FF642,FJ642,FR642,GL642,GX642)</f>
        <v>0</v>
      </c>
      <c r="KD642" s="20">
        <f t="shared" ref="KD642:KD705" si="451">IFERROR(KC642/KB642,"")</f>
        <v>0</v>
      </c>
      <c r="KE642" s="52" t="str">
        <f t="shared" ref="KE642:KE705" si="452">IF((OR(DT642="yes", GQ642="yes")), 1, "")</f>
        <v/>
      </c>
      <c r="KF642" s="15">
        <f t="shared" ref="KF642:KF705" si="453">MAX(DU642,GR642)</f>
        <v>0</v>
      </c>
      <c r="KG642" s="15">
        <f t="shared" ref="KG642:KG705" si="454">MAX(DW642,GT642)</f>
        <v>0</v>
      </c>
      <c r="KH642" s="21" t="str">
        <f t="shared" ref="KH642:KH705" si="455">IFERROR(KG642/KF642,"")</f>
        <v/>
      </c>
      <c r="KI642" s="52" t="str">
        <f t="shared" ref="KI642:KI705" si="456">IF((OR(CZ642="yes", FS642="yes")), 1, "")</f>
        <v/>
      </c>
      <c r="KJ642" s="15">
        <f t="shared" ref="KJ642:KJ705" si="457">MAX(DA642,FT642)</f>
        <v>0</v>
      </c>
      <c r="KK642" s="15">
        <f t="shared" ref="KK642:KK705" si="458">MAX(DC642,FV642)</f>
        <v>0</v>
      </c>
      <c r="KL642" s="19" t="str">
        <f t="shared" ref="KL642:KL705" si="459">IFERROR(KK642/KJ642,"")</f>
        <v/>
      </c>
      <c r="KM642" s="52" t="str">
        <f t="shared" ref="KM642:KM705" si="460">IF((OR(FG642="yes", GY642="yes")), 1, "")</f>
        <v/>
      </c>
      <c r="KN642" s="22">
        <f t="shared" ref="KN642:KN705" si="461">IFERROR(MAX((FH642*FI642),GZ642),"")</f>
        <v>0</v>
      </c>
      <c r="KO642" s="22">
        <f t="shared" ref="KO642:KO705" si="462">IFERROR(MAX((FJ642*FI642),HB642),"")</f>
        <v>0</v>
      </c>
      <c r="KP642" s="19" t="str">
        <f t="shared" ref="KP642:KP705" si="463">IFERROR(KO642/KN642,"")</f>
        <v/>
      </c>
      <c r="KQ642" s="11" t="str">
        <f t="shared" ref="KQ642:KQ705" si="464">IJ642</f>
        <v>2. Sensitive</v>
      </c>
      <c r="KR642" s="11" t="str">
        <f t="shared" ref="KR642:KR705" si="465">IQ642</f>
        <v>2. Accommodating</v>
      </c>
      <c r="KS642" s="11" t="str">
        <f t="shared" ref="KS642:KS705" si="466">IW642</f>
        <v>1. Neutral</v>
      </c>
      <c r="KT642" s="11" t="str">
        <f t="shared" ref="KT642:KT705" si="467">HZ642</f>
        <v>It did not develop any specific innovation</v>
      </c>
      <c r="KU642" s="11" t="str">
        <f t="shared" ref="KU642:KU705" si="468">HP642</f>
        <v>Moderate advocacy</v>
      </c>
      <c r="KV642" s="11" t="str">
        <f t="shared" ref="KV642:KV705" si="469">IB642</f>
        <v>It linked and worked with strategic alliances and partners to take tested and effective solutions to scale</v>
      </c>
      <c r="KW642" s="11" t="str">
        <f t="shared" ref="KW642:KW705" si="470">A642&amp;" - "&amp;D642</f>
        <v>Serbia - Winterization Assistance for Refugees and Migrants in the Balkans</v>
      </c>
      <c r="KX642" s="11" t="str">
        <f t="shared" ref="KX642:KX705" si="471">D642</f>
        <v>Winterization Assistance for Refugees and Migrants in the Balkans</v>
      </c>
      <c r="KY642" s="11" t="str">
        <f t="shared" ref="KY642:KY705" si="472">A642</f>
        <v>Serbia</v>
      </c>
      <c r="KZ642" s="12">
        <v>642</v>
      </c>
    </row>
    <row r="643" spans="1:312" x14ac:dyDescent="0.3">
      <c r="A643" s="12" t="s">
        <v>10594</v>
      </c>
      <c r="B643" s="12" t="s">
        <v>1596</v>
      </c>
      <c r="C643" s="12">
        <v>3696</v>
      </c>
      <c r="D643" s="12" t="s">
        <v>10615</v>
      </c>
      <c r="E643" s="277" t="str">
        <f t="shared" si="430"/>
        <v>Sierra Leone</v>
      </c>
      <c r="F643" s="12">
        <v>3696</v>
      </c>
      <c r="G643" s="12" t="s">
        <v>379</v>
      </c>
      <c r="H643" s="12" t="s">
        <v>310</v>
      </c>
      <c r="I643" s="12" t="s">
        <v>2595</v>
      </c>
      <c r="J643" s="281" t="s">
        <v>10616</v>
      </c>
      <c r="K643" s="12"/>
      <c r="L643" s="12"/>
      <c r="M643" s="12"/>
      <c r="N643" s="12"/>
      <c r="O643" s="12"/>
      <c r="P643" s="12"/>
      <c r="Q643" s="12"/>
      <c r="R643" s="12"/>
      <c r="S643" s="12"/>
      <c r="T643" s="12"/>
      <c r="U643" s="12"/>
      <c r="V643" s="12"/>
      <c r="W643" s="12"/>
      <c r="X643" s="12"/>
      <c r="Y643" s="12"/>
      <c r="Z643" s="12"/>
      <c r="AA643" s="12"/>
      <c r="AB643" s="12"/>
      <c r="AC643" s="12"/>
      <c r="AD643" s="12"/>
      <c r="BD643" s="13">
        <v>42309</v>
      </c>
      <c r="BE643" s="13">
        <v>42886</v>
      </c>
      <c r="BF643" s="13">
        <v>42947</v>
      </c>
      <c r="BG643" s="12" t="s">
        <v>817</v>
      </c>
      <c r="BH643" s="14">
        <v>6097561</v>
      </c>
      <c r="BI643" s="12" t="s">
        <v>10617</v>
      </c>
      <c r="BJ643" s="12" t="s">
        <v>1899</v>
      </c>
      <c r="BK643" s="12" t="s">
        <v>10618</v>
      </c>
      <c r="BL643" s="12" t="s">
        <v>10598</v>
      </c>
      <c r="BM643" s="12" t="s">
        <v>10599</v>
      </c>
      <c r="BN643" s="12" t="s">
        <v>10600</v>
      </c>
      <c r="BO643" s="12" t="s">
        <v>320</v>
      </c>
      <c r="BP643" s="12" t="s">
        <v>319</v>
      </c>
      <c r="BQ643" s="12" t="s">
        <v>319</v>
      </c>
      <c r="BR643" s="12" t="s">
        <v>10619</v>
      </c>
      <c r="BS643" s="12" t="s">
        <v>357</v>
      </c>
      <c r="BT643" s="12" t="s">
        <v>10620</v>
      </c>
      <c r="BU643" s="12" t="s">
        <v>10621</v>
      </c>
      <c r="BV643" s="14">
        <v>45760</v>
      </c>
      <c r="BW643" s="14">
        <v>42240</v>
      </c>
      <c r="BX643" s="14">
        <v>88000</v>
      </c>
      <c r="BY643" s="14">
        <v>82955</v>
      </c>
      <c r="BZ643" s="14">
        <v>67565</v>
      </c>
      <c r="CA643" s="14">
        <v>150520</v>
      </c>
      <c r="CB643" s="12" t="s">
        <v>10622</v>
      </c>
      <c r="CD643" s="14">
        <v>276835</v>
      </c>
      <c r="CE643" s="14">
        <v>256876</v>
      </c>
      <c r="CF643" s="14">
        <v>533711</v>
      </c>
      <c r="CG643" s="14">
        <v>82955</v>
      </c>
      <c r="CH643" s="14">
        <v>67565</v>
      </c>
      <c r="CI643" s="14">
        <v>150520</v>
      </c>
      <c r="CJ643" s="12" t="s">
        <v>319</v>
      </c>
      <c r="CK643" s="14"/>
      <c r="CL643" s="16"/>
      <c r="CM643" s="14"/>
      <c r="CN643" s="12" t="s">
        <v>319</v>
      </c>
      <c r="CO643" s="14"/>
      <c r="CP643" s="16"/>
      <c r="CQ643" s="14"/>
      <c r="CR643" s="12" t="s">
        <v>319</v>
      </c>
      <c r="CS643" s="14"/>
      <c r="CT643" s="16"/>
      <c r="CU643" s="14"/>
      <c r="CV643" s="12" t="s">
        <v>319</v>
      </c>
      <c r="CW643" s="14"/>
      <c r="CX643" s="16"/>
      <c r="CY643" s="14"/>
      <c r="CZ643" s="12" t="s">
        <v>319</v>
      </c>
      <c r="DA643" s="14"/>
      <c r="DB643" s="16"/>
      <c r="DC643" s="14"/>
      <c r="DD643" s="12" t="s">
        <v>319</v>
      </c>
      <c r="DE643" s="14"/>
      <c r="DF643" s="16"/>
      <c r="DG643" s="14"/>
      <c r="DH643" s="12" t="s">
        <v>320</v>
      </c>
      <c r="DI643" s="14">
        <v>493215</v>
      </c>
      <c r="DJ643" s="16">
        <v>0.50877609156250303</v>
      </c>
      <c r="DK643" s="14"/>
      <c r="DL643" s="11" t="s">
        <v>320</v>
      </c>
      <c r="DM643" s="14">
        <v>4039</v>
      </c>
      <c r="DN643" s="16">
        <v>0.55954444169348805</v>
      </c>
      <c r="DO643" s="14">
        <v>24234</v>
      </c>
      <c r="DP643" s="12" t="s">
        <v>319</v>
      </c>
      <c r="DQ643" s="14"/>
      <c r="DR643" s="16"/>
      <c r="DS643" s="14"/>
      <c r="DT643" s="12" t="s">
        <v>319</v>
      </c>
      <c r="DU643" s="14"/>
      <c r="DV643" s="16"/>
      <c r="DW643" s="14"/>
      <c r="DX643" s="12" t="s">
        <v>319</v>
      </c>
      <c r="DY643" s="14"/>
      <c r="DZ643" s="16"/>
      <c r="EA643" s="14"/>
      <c r="EB643" s="11" t="s">
        <v>320</v>
      </c>
      <c r="EC643" s="14">
        <v>36457</v>
      </c>
      <c r="ED643" s="16">
        <v>0.64840771319636803</v>
      </c>
      <c r="EE643" s="14">
        <v>73580</v>
      </c>
      <c r="EF643" s="12"/>
      <c r="EG643" s="12"/>
      <c r="EH643" s="14"/>
      <c r="EI643" s="16"/>
      <c r="EJ643" s="14"/>
      <c r="EK643" s="14"/>
      <c r="EL643" s="14"/>
      <c r="EM643" s="14">
        <v>0</v>
      </c>
      <c r="EN643" s="14"/>
      <c r="EO643" s="14"/>
      <c r="EP643" s="14">
        <v>0</v>
      </c>
      <c r="EQ643" s="12" t="s">
        <v>319</v>
      </c>
      <c r="ER643" s="14"/>
      <c r="ES643" s="16"/>
      <c r="ET643" s="14"/>
      <c r="EU643" s="11" t="s">
        <v>319</v>
      </c>
      <c r="EV643" s="14"/>
      <c r="EW643" s="16"/>
      <c r="EX643" s="14"/>
      <c r="EY643" s="12" t="s">
        <v>319</v>
      </c>
      <c r="EZ643" s="14"/>
      <c r="FA643" s="16"/>
      <c r="FB643" s="14"/>
      <c r="FC643" s="12" t="s">
        <v>319</v>
      </c>
      <c r="FD643" s="14"/>
      <c r="FE643" s="16"/>
      <c r="FF643" s="14"/>
      <c r="FG643" s="12" t="s">
        <v>319</v>
      </c>
      <c r="FH643" s="14"/>
      <c r="FI643" s="16"/>
      <c r="FJ643" s="14"/>
      <c r="FK643" s="12" t="s">
        <v>319</v>
      </c>
      <c r="FL643" s="14"/>
      <c r="FM643" s="16"/>
      <c r="FN643" s="14"/>
      <c r="FO643" s="12" t="s">
        <v>319</v>
      </c>
      <c r="FP643" s="14"/>
      <c r="FQ643" s="16"/>
      <c r="FR643" s="14"/>
      <c r="FS643" s="12" t="s">
        <v>319</v>
      </c>
      <c r="FT643" s="14"/>
      <c r="FU643" s="16"/>
      <c r="FV643" s="14"/>
      <c r="FW643" s="12" t="s">
        <v>319</v>
      </c>
      <c r="FX643" s="14"/>
      <c r="FY643" s="16"/>
      <c r="FZ643" s="14"/>
      <c r="GA643" s="12" t="s">
        <v>319</v>
      </c>
      <c r="GB643" s="14"/>
      <c r="GC643" s="16"/>
      <c r="GD643" s="14"/>
      <c r="GE643" s="12" t="s">
        <v>319</v>
      </c>
      <c r="GF643" s="14"/>
      <c r="GG643" s="16"/>
      <c r="GH643" s="14"/>
      <c r="GI643" s="12" t="s">
        <v>319</v>
      </c>
      <c r="GJ643" s="14"/>
      <c r="GK643" s="16"/>
      <c r="GL643" s="14"/>
      <c r="GM643" s="12" t="s">
        <v>319</v>
      </c>
      <c r="GN643" s="14"/>
      <c r="GO643" s="16"/>
      <c r="GP643" s="14"/>
      <c r="GQ643" s="12" t="s">
        <v>319</v>
      </c>
      <c r="GR643" s="14"/>
      <c r="GS643" s="16"/>
      <c r="GT643" s="14"/>
      <c r="GU643" s="12" t="s">
        <v>319</v>
      </c>
      <c r="GV643" s="14"/>
      <c r="GW643" s="16"/>
      <c r="GX643" s="14"/>
      <c r="GY643" s="12" t="s">
        <v>319</v>
      </c>
      <c r="GZ643" s="14"/>
      <c r="HA643" s="16"/>
      <c r="HB643" s="14"/>
      <c r="HC643" s="12"/>
      <c r="HD643" s="12"/>
      <c r="HE643" s="14"/>
      <c r="HF643" s="16"/>
      <c r="HG643" s="14"/>
      <c r="HH643" s="12" t="s">
        <v>320</v>
      </c>
      <c r="HI643" s="12" t="s">
        <v>451</v>
      </c>
      <c r="HJ643" s="12">
        <v>2017</v>
      </c>
      <c r="HK643" s="12" t="s">
        <v>320</v>
      </c>
      <c r="HL643" s="12" t="s">
        <v>319</v>
      </c>
      <c r="HM643" s="12"/>
      <c r="HN643" s="12"/>
      <c r="HO643" s="12"/>
      <c r="HP643" s="12" t="s">
        <v>418</v>
      </c>
      <c r="HQ643" s="12" t="s">
        <v>319</v>
      </c>
      <c r="HR643" s="12" t="s">
        <v>319</v>
      </c>
      <c r="HS643" s="12" t="s">
        <v>320</v>
      </c>
      <c r="HT643" s="12" t="s">
        <v>319</v>
      </c>
      <c r="HU643" s="12" t="s">
        <v>320</v>
      </c>
      <c r="HV643" s="12" t="s">
        <v>320</v>
      </c>
      <c r="HW643" s="12" t="s">
        <v>319</v>
      </c>
      <c r="HX643" s="12" t="s">
        <v>320</v>
      </c>
      <c r="HY643" s="12" t="s">
        <v>10623</v>
      </c>
      <c r="HZ643" s="12" t="s">
        <v>363</v>
      </c>
      <c r="IA643" s="12"/>
      <c r="IB643" s="12" t="s">
        <v>396</v>
      </c>
      <c r="IC643" s="12"/>
      <c r="ID643" s="12" t="s">
        <v>364</v>
      </c>
      <c r="IE643" s="12" t="s">
        <v>335</v>
      </c>
      <c r="IF643" s="12" t="s">
        <v>319</v>
      </c>
      <c r="IG643" s="12" t="s">
        <v>320</v>
      </c>
      <c r="IH643" s="12" t="s">
        <v>320</v>
      </c>
      <c r="II643" s="12" t="s">
        <v>320</v>
      </c>
      <c r="IJ643" s="12" t="str">
        <f t="shared" si="431"/>
        <v>1. Neutral</v>
      </c>
      <c r="IK643" s="12">
        <f t="shared" si="432"/>
        <v>3</v>
      </c>
      <c r="IL643" s="12" t="s">
        <v>723</v>
      </c>
      <c r="IM643" s="12" t="s">
        <v>320</v>
      </c>
      <c r="IN643" s="12" t="s">
        <v>319</v>
      </c>
      <c r="IO643" s="12" t="s">
        <v>319</v>
      </c>
      <c r="IP643" s="12" t="s">
        <v>319</v>
      </c>
      <c r="IQ643" s="12" t="str">
        <f t="shared" si="433"/>
        <v>0. Unaware</v>
      </c>
      <c r="IR643" s="12">
        <f t="shared" si="434"/>
        <v>1</v>
      </c>
      <c r="IS643" s="12" t="s">
        <v>337</v>
      </c>
      <c r="IT643" s="12" t="s">
        <v>320</v>
      </c>
      <c r="IU643" s="12" t="s">
        <v>320</v>
      </c>
      <c r="IV643" s="12" t="s">
        <v>320</v>
      </c>
      <c r="IW643" s="11" t="str">
        <f t="shared" si="435"/>
        <v>2. Sensitive</v>
      </c>
      <c r="IX643" s="12">
        <f t="shared" si="436"/>
        <v>3</v>
      </c>
      <c r="IY643" s="12" t="s">
        <v>338</v>
      </c>
      <c r="IZ643" s="12" t="s">
        <v>457</v>
      </c>
      <c r="JA643" s="12">
        <v>8</v>
      </c>
      <c r="JB643" s="12" t="s">
        <v>623</v>
      </c>
      <c r="JC643" s="12" t="s">
        <v>433</v>
      </c>
      <c r="JD643" s="12" t="s">
        <v>687</v>
      </c>
      <c r="JE643" s="12" t="s">
        <v>340</v>
      </c>
      <c r="JF643" s="12" t="s">
        <v>10624</v>
      </c>
      <c r="JG643" s="12" t="s">
        <v>6286</v>
      </c>
      <c r="JH643" s="12" t="s">
        <v>10625</v>
      </c>
      <c r="JI643" s="12" t="s">
        <v>10626</v>
      </c>
      <c r="JJ643" s="12" t="s">
        <v>10627</v>
      </c>
      <c r="JK643" s="12" t="s">
        <v>10628</v>
      </c>
      <c r="JL643" s="12" t="s">
        <v>10629</v>
      </c>
      <c r="JM643" s="12" t="s">
        <v>10630</v>
      </c>
      <c r="JN643" s="12" t="s">
        <v>10631</v>
      </c>
      <c r="JO643" s="12" t="s">
        <v>10632</v>
      </c>
      <c r="JP643" s="15">
        <f t="shared" si="437"/>
        <v>533711</v>
      </c>
      <c r="JQ643" s="15">
        <f t="shared" si="438"/>
        <v>150520</v>
      </c>
      <c r="JR643" s="279">
        <f t="shared" si="439"/>
        <v>0.28202529084092326</v>
      </c>
      <c r="JS643" s="17">
        <f t="shared" si="440"/>
        <v>0.51869832175091013</v>
      </c>
      <c r="JT643" s="18">
        <f t="shared" si="441"/>
        <v>0.55112277438214186</v>
      </c>
      <c r="JU643" s="280">
        <f t="shared" si="442"/>
        <v>276835</v>
      </c>
      <c r="JV643" s="280">
        <f t="shared" si="443"/>
        <v>82955</v>
      </c>
      <c r="JW643" s="319">
        <f t="shared" si="444"/>
        <v>1</v>
      </c>
      <c r="JX643" s="15">
        <f t="shared" si="445"/>
        <v>533711</v>
      </c>
      <c r="JY643" s="15">
        <f t="shared" si="446"/>
        <v>150520</v>
      </c>
      <c r="JZ643" s="19">
        <f t="shared" si="447"/>
        <v>0.28202529084092326</v>
      </c>
      <c r="KA643" s="52">
        <f t="shared" si="448"/>
        <v>1</v>
      </c>
      <c r="KB643" s="15">
        <f t="shared" si="449"/>
        <v>4039</v>
      </c>
      <c r="KC643" s="15">
        <f t="shared" si="450"/>
        <v>24234</v>
      </c>
      <c r="KD643" s="20">
        <f t="shared" si="451"/>
        <v>6</v>
      </c>
      <c r="KE643" s="52" t="str">
        <f t="shared" si="452"/>
        <v/>
      </c>
      <c r="KF643" s="15">
        <f t="shared" si="453"/>
        <v>0</v>
      </c>
      <c r="KG643" s="15">
        <f t="shared" si="454"/>
        <v>0</v>
      </c>
      <c r="KH643" s="21" t="str">
        <f t="shared" si="455"/>
        <v/>
      </c>
      <c r="KI643" s="52" t="str">
        <f t="shared" si="456"/>
        <v/>
      </c>
      <c r="KJ643" s="15">
        <f t="shared" si="457"/>
        <v>0</v>
      </c>
      <c r="KK643" s="15">
        <f t="shared" si="458"/>
        <v>0</v>
      </c>
      <c r="KL643" s="19" t="str">
        <f t="shared" si="459"/>
        <v/>
      </c>
      <c r="KM643" s="52" t="str">
        <f t="shared" si="460"/>
        <v/>
      </c>
      <c r="KN643" s="22">
        <f t="shared" si="461"/>
        <v>0</v>
      </c>
      <c r="KO643" s="22">
        <f t="shared" si="462"/>
        <v>0</v>
      </c>
      <c r="KP643" s="19" t="str">
        <f t="shared" si="463"/>
        <v/>
      </c>
      <c r="KQ643" s="11" t="str">
        <f t="shared" si="464"/>
        <v>1. Neutral</v>
      </c>
      <c r="KR643" s="11" t="str">
        <f t="shared" si="465"/>
        <v>0. Unaware</v>
      </c>
      <c r="KS643" s="11" t="str">
        <f t="shared" si="466"/>
        <v>2. Sensitive</v>
      </c>
      <c r="KT643" s="11" t="str">
        <f t="shared" si="467"/>
        <v>It did not develop any specific innovation</v>
      </c>
      <c r="KU643" s="11" t="str">
        <f t="shared" si="468"/>
        <v>Little or no advocacy</v>
      </c>
      <c r="KV643" s="11" t="str">
        <f t="shared" si="469"/>
        <v>It linked and worked with strategic alliances and partners to take tested and effective solutions to scale</v>
      </c>
      <c r="KW643" s="11" t="str">
        <f t="shared" si="470"/>
        <v>Sierra Leone - Epidemic Control and Reinforcement of Health Services (ECRHS) Phase I</v>
      </c>
      <c r="KX643" s="11" t="str">
        <f t="shared" si="471"/>
        <v>Epidemic Control and Reinforcement of Health Services (ECRHS) Phase I</v>
      </c>
      <c r="KY643" s="11" t="str">
        <f t="shared" si="472"/>
        <v>Sierra Leone</v>
      </c>
      <c r="KZ643" s="12">
        <v>643</v>
      </c>
    </row>
    <row r="644" spans="1:312" x14ac:dyDescent="0.3">
      <c r="A644" s="12" t="s">
        <v>10594</v>
      </c>
      <c r="B644" s="12" t="s">
        <v>1596</v>
      </c>
      <c r="C644" s="12">
        <v>3700</v>
      </c>
      <c r="D644" s="12" t="s">
        <v>10652</v>
      </c>
      <c r="E644" s="277" t="str">
        <f t="shared" si="430"/>
        <v>Sierra Leone</v>
      </c>
      <c r="F644" s="12">
        <v>3700</v>
      </c>
      <c r="G644" s="12" t="s">
        <v>608</v>
      </c>
      <c r="H644" s="12" t="s">
        <v>310</v>
      </c>
      <c r="I644" s="12" t="s">
        <v>2595</v>
      </c>
      <c r="J644" s="281" t="s">
        <v>14601</v>
      </c>
      <c r="K644" s="12"/>
      <c r="L644" s="12"/>
      <c r="M644" s="12"/>
      <c r="N644" s="12"/>
      <c r="O644" s="12"/>
      <c r="P644" s="12"/>
      <c r="Q644" s="12"/>
      <c r="R644" s="12"/>
      <c r="S644" s="12"/>
      <c r="T644" s="12"/>
      <c r="U644" s="12"/>
      <c r="V644" s="12"/>
      <c r="W644" s="12"/>
      <c r="X644" s="12"/>
      <c r="Y644" s="12"/>
      <c r="Z644" s="12"/>
      <c r="AA644" s="12"/>
      <c r="AB644" s="12"/>
      <c r="AC644" s="12"/>
      <c r="AD644" s="12"/>
      <c r="BD644" s="13">
        <v>41426</v>
      </c>
      <c r="BE644" s="13">
        <v>42916</v>
      </c>
      <c r="BF644" s="13">
        <v>43100</v>
      </c>
      <c r="BG644" s="12" t="s">
        <v>312</v>
      </c>
      <c r="BH644" s="14">
        <v>651873</v>
      </c>
      <c r="BI644" s="12" t="s">
        <v>10653</v>
      </c>
      <c r="BJ644" s="12" t="s">
        <v>751</v>
      </c>
      <c r="BK644" s="12" t="s">
        <v>10654</v>
      </c>
      <c r="BL644" s="12" t="s">
        <v>10598</v>
      </c>
      <c r="BM644" s="12" t="s">
        <v>10599</v>
      </c>
      <c r="BN644" s="12" t="s">
        <v>10600</v>
      </c>
      <c r="BO644" s="11" t="s">
        <v>319</v>
      </c>
      <c r="BP644" s="11" t="s">
        <v>320</v>
      </c>
      <c r="BQ644" s="11" t="s">
        <v>319</v>
      </c>
      <c r="BR644" s="12" t="s">
        <v>10655</v>
      </c>
      <c r="BS644" s="12" t="s">
        <v>322</v>
      </c>
      <c r="BT644" s="12" t="s">
        <v>10656</v>
      </c>
      <c r="BU644" s="12" t="s">
        <v>10657</v>
      </c>
      <c r="BV644" s="14">
        <v>6000</v>
      </c>
      <c r="BW644" s="14"/>
      <c r="BX644" s="14">
        <v>6000</v>
      </c>
      <c r="BY644" s="14">
        <v>61320</v>
      </c>
      <c r="BZ644" s="14">
        <v>64680</v>
      </c>
      <c r="CA644" s="14">
        <v>126000</v>
      </c>
      <c r="CB644" s="12" t="s">
        <v>10658</v>
      </c>
      <c r="CD644" s="14"/>
      <c r="CE644" s="14"/>
      <c r="CF644" s="14"/>
      <c r="CG644" s="14"/>
      <c r="CH644" s="14"/>
      <c r="CI644" s="14"/>
      <c r="CJ644" s="12"/>
      <c r="CK644" s="14"/>
      <c r="CL644" s="16"/>
      <c r="CM644" s="14"/>
      <c r="CN644" s="12"/>
      <c r="CO644" s="14"/>
      <c r="CP644" s="16"/>
      <c r="CQ644" s="14"/>
      <c r="CR644" s="12"/>
      <c r="CS644" s="14"/>
      <c r="CT644" s="16"/>
      <c r="CU644" s="14"/>
      <c r="CV644" s="12"/>
      <c r="CW644" s="14"/>
      <c r="CX644" s="16"/>
      <c r="CY644" s="14"/>
      <c r="CZ644" s="12"/>
      <c r="DA644" s="14"/>
      <c r="DB644" s="16"/>
      <c r="DC644" s="14"/>
      <c r="DD644" s="12"/>
      <c r="DE644" s="14"/>
      <c r="DF644" s="16"/>
      <c r="DG644" s="14"/>
      <c r="DH644" s="12"/>
      <c r="DI644" s="14"/>
      <c r="DJ644" s="16"/>
      <c r="DK644" s="14"/>
      <c r="DL644" s="12"/>
      <c r="DM644" s="14"/>
      <c r="DN644" s="16"/>
      <c r="DO644" s="14"/>
      <c r="DP644" s="12"/>
      <c r="DQ644" s="14"/>
      <c r="DR644" s="16"/>
      <c r="DS644" s="14"/>
      <c r="DT644" s="12"/>
      <c r="DU644" s="14"/>
      <c r="DV644" s="16"/>
      <c r="DW644" s="14"/>
      <c r="DX644" s="12"/>
      <c r="DY644" s="14"/>
      <c r="DZ644" s="16"/>
      <c r="EA644" s="14"/>
      <c r="EB644" s="12"/>
      <c r="EC644" s="14"/>
      <c r="ED644" s="16"/>
      <c r="EE644" s="14"/>
      <c r="EF644" s="12"/>
      <c r="EG644" s="12"/>
      <c r="EH644" s="14"/>
      <c r="EI644" s="16"/>
      <c r="EJ644" s="14"/>
      <c r="EK644" s="14">
        <v>5886</v>
      </c>
      <c r="EL644" s="14">
        <v>3207</v>
      </c>
      <c r="EM644" s="14">
        <v>9093</v>
      </c>
      <c r="EN644" s="14">
        <v>159148</v>
      </c>
      <c r="EO644" s="14">
        <v>111347</v>
      </c>
      <c r="EP644" s="14">
        <v>270495</v>
      </c>
      <c r="EQ644" s="12" t="s">
        <v>320</v>
      </c>
      <c r="ER644" s="14">
        <v>545</v>
      </c>
      <c r="ES644" s="16">
        <v>0.76513761467889896</v>
      </c>
      <c r="ET644" s="14">
        <v>32700</v>
      </c>
      <c r="EU644" s="12"/>
      <c r="EV644" s="14"/>
      <c r="EW644" s="16"/>
      <c r="EX644" s="14"/>
      <c r="EY644" s="12"/>
      <c r="EZ644" s="14"/>
      <c r="FA644" s="16"/>
      <c r="FB644" s="14"/>
      <c r="FC644" s="12"/>
      <c r="FD644" s="14"/>
      <c r="FE644" s="16"/>
      <c r="FF644" s="14"/>
      <c r="FG644" s="12" t="s">
        <v>320</v>
      </c>
      <c r="FH644" s="14">
        <v>1655</v>
      </c>
      <c r="FI644" s="16">
        <v>0.69184290030211404</v>
      </c>
      <c r="FJ644" s="14">
        <v>99300</v>
      </c>
      <c r="FK644" s="12"/>
      <c r="FL644" s="14"/>
      <c r="FM644" s="16"/>
      <c r="FN644" s="14"/>
      <c r="FO644" s="12"/>
      <c r="FP644" s="14"/>
      <c r="FQ644" s="16"/>
      <c r="FR644" s="14"/>
      <c r="FS644" s="12"/>
      <c r="FT644" s="14"/>
      <c r="FU644" s="16"/>
      <c r="FV644" s="14"/>
      <c r="FW644" s="12"/>
      <c r="FX644" s="14"/>
      <c r="FY644" s="16"/>
      <c r="FZ644" s="14"/>
      <c r="GA644" s="12"/>
      <c r="GB644" s="14"/>
      <c r="GC644" s="16"/>
      <c r="GD644" s="14"/>
      <c r="GE644" s="12"/>
      <c r="GF644" s="14"/>
      <c r="GG644" s="16"/>
      <c r="GH644" s="14"/>
      <c r="GI644" s="12"/>
      <c r="GJ644" s="14"/>
      <c r="GK644" s="16"/>
      <c r="GL644" s="14"/>
      <c r="GM644" s="12"/>
      <c r="GN644" s="14"/>
      <c r="GO644" s="16"/>
      <c r="GP644" s="14"/>
      <c r="GQ644" s="12" t="s">
        <v>320</v>
      </c>
      <c r="GR644" s="14">
        <v>4973</v>
      </c>
      <c r="GS644" s="16">
        <v>0.59099135330786201</v>
      </c>
      <c r="GT644" s="14">
        <v>23295</v>
      </c>
      <c r="GU644" s="12"/>
      <c r="GV644" s="14"/>
      <c r="GW644" s="16"/>
      <c r="GX644" s="14"/>
      <c r="GY644" s="11" t="s">
        <v>320</v>
      </c>
      <c r="GZ644" s="14">
        <v>1920</v>
      </c>
      <c r="HA644" s="16">
        <v>0.64583333333333304</v>
      </c>
      <c r="HB644" s="14">
        <v>115200</v>
      </c>
      <c r="HC644" s="12"/>
      <c r="HD644" s="12"/>
      <c r="HE644" s="14"/>
      <c r="HF644" s="16"/>
      <c r="HG644" s="14"/>
      <c r="HH644" s="12" t="s">
        <v>319</v>
      </c>
      <c r="HI644" s="12"/>
      <c r="HJ644" s="12"/>
      <c r="HK644" s="12" t="s">
        <v>319</v>
      </c>
      <c r="HL644" s="12" t="s">
        <v>320</v>
      </c>
      <c r="HM644" s="12" t="s">
        <v>361</v>
      </c>
      <c r="HN644" s="12">
        <v>2017</v>
      </c>
      <c r="HO644" s="12" t="s">
        <v>10659</v>
      </c>
      <c r="HP644" s="12" t="s">
        <v>330</v>
      </c>
      <c r="HQ644" s="12" t="s">
        <v>319</v>
      </c>
      <c r="HR644" s="12" t="s">
        <v>320</v>
      </c>
      <c r="HS644" s="12" t="s">
        <v>320</v>
      </c>
      <c r="HT644" s="12" t="s">
        <v>319</v>
      </c>
      <c r="HU644" s="12" t="s">
        <v>320</v>
      </c>
      <c r="HV644" s="12" t="s">
        <v>319</v>
      </c>
      <c r="HW644" s="12" t="s">
        <v>319</v>
      </c>
      <c r="HX644" s="12" t="s">
        <v>319</v>
      </c>
      <c r="HY644" s="12"/>
      <c r="HZ644" s="12" t="s">
        <v>394</v>
      </c>
      <c r="IA644" s="12" t="s">
        <v>10660</v>
      </c>
      <c r="IB644" s="12" t="s">
        <v>396</v>
      </c>
      <c r="IC644" s="12" t="s">
        <v>10661</v>
      </c>
      <c r="ID644" s="12" t="s">
        <v>334</v>
      </c>
      <c r="IE644" s="12" t="s">
        <v>478</v>
      </c>
      <c r="IF644" s="12" t="s">
        <v>319</v>
      </c>
      <c r="IG644" s="12" t="s">
        <v>320</v>
      </c>
      <c r="IH644" s="12" t="s">
        <v>320</v>
      </c>
      <c r="II644" s="12" t="s">
        <v>320</v>
      </c>
      <c r="IJ644" s="12" t="str">
        <f t="shared" si="431"/>
        <v>3. Responsive</v>
      </c>
      <c r="IK644" s="12">
        <f t="shared" si="432"/>
        <v>3</v>
      </c>
      <c r="IL644" s="12" t="s">
        <v>336</v>
      </c>
      <c r="IM644" s="12" t="s">
        <v>319</v>
      </c>
      <c r="IN644" s="12" t="s">
        <v>320</v>
      </c>
      <c r="IO644" s="12" t="s">
        <v>320</v>
      </c>
      <c r="IP644" s="12" t="s">
        <v>320</v>
      </c>
      <c r="IQ644" s="12" t="str">
        <f t="shared" si="433"/>
        <v>2. Accommodating</v>
      </c>
      <c r="IR644" s="12">
        <f t="shared" si="434"/>
        <v>3</v>
      </c>
      <c r="IS644" s="12" t="s">
        <v>622</v>
      </c>
      <c r="IT644" s="12" t="s">
        <v>320</v>
      </c>
      <c r="IU644" s="12" t="s">
        <v>319</v>
      </c>
      <c r="IV644" s="12" t="s">
        <v>320</v>
      </c>
      <c r="IW644" s="11" t="str">
        <f t="shared" si="435"/>
        <v>3. Responsive</v>
      </c>
      <c r="IX644" s="12">
        <f t="shared" si="436"/>
        <v>2</v>
      </c>
      <c r="IY644" s="12" t="s">
        <v>338</v>
      </c>
      <c r="IZ644" s="12" t="s">
        <v>457</v>
      </c>
      <c r="JA644" s="12">
        <v>22</v>
      </c>
      <c r="JB644" s="12" t="s">
        <v>433</v>
      </c>
      <c r="JC644" s="12" t="s">
        <v>623</v>
      </c>
      <c r="JD644" s="12" t="s">
        <v>724</v>
      </c>
      <c r="JE644" s="12" t="s">
        <v>340</v>
      </c>
      <c r="JF644" s="12" t="s">
        <v>10662</v>
      </c>
      <c r="JG644" s="12"/>
      <c r="JH644" s="12" t="s">
        <v>10663</v>
      </c>
      <c r="JI644" s="12" t="s">
        <v>10664</v>
      </c>
      <c r="JJ644" s="12" t="s">
        <v>10665</v>
      </c>
      <c r="JK644" s="12" t="s">
        <v>10666</v>
      </c>
      <c r="JL644" s="12" t="s">
        <v>10667</v>
      </c>
      <c r="JM644" s="12" t="s">
        <v>10668</v>
      </c>
      <c r="JN644" s="12"/>
      <c r="JO644" s="12" t="s">
        <v>10669</v>
      </c>
      <c r="JP644" s="15">
        <f t="shared" si="437"/>
        <v>9093</v>
      </c>
      <c r="JQ644" s="15">
        <f t="shared" si="438"/>
        <v>270495</v>
      </c>
      <c r="JR644" s="279">
        <f t="shared" si="439"/>
        <v>29.747608050148465</v>
      </c>
      <c r="JS644" s="17">
        <f t="shared" si="440"/>
        <v>0.64731111844275813</v>
      </c>
      <c r="JT644" s="18">
        <f t="shared" si="441"/>
        <v>0.58835838000702412</v>
      </c>
      <c r="JU644" s="280">
        <f t="shared" si="442"/>
        <v>5886</v>
      </c>
      <c r="JV644" s="280">
        <f t="shared" si="443"/>
        <v>159148</v>
      </c>
      <c r="JW644" s="319" t="str">
        <f t="shared" si="444"/>
        <v/>
      </c>
      <c r="JX644" s="15">
        <f t="shared" si="445"/>
        <v>0</v>
      </c>
      <c r="JY644" s="15">
        <f t="shared" si="446"/>
        <v>0</v>
      </c>
      <c r="JZ644" s="19" t="str">
        <f t="shared" si="447"/>
        <v/>
      </c>
      <c r="KA644" s="52">
        <f t="shared" si="448"/>
        <v>1</v>
      </c>
      <c r="KB644" s="15">
        <f t="shared" si="449"/>
        <v>1655</v>
      </c>
      <c r="KC644" s="15">
        <f t="shared" si="450"/>
        <v>99300</v>
      </c>
      <c r="KD644" s="20">
        <f t="shared" si="451"/>
        <v>60</v>
      </c>
      <c r="KE644" s="52">
        <f t="shared" si="452"/>
        <v>1</v>
      </c>
      <c r="KF644" s="15">
        <f t="shared" si="453"/>
        <v>4973</v>
      </c>
      <c r="KG644" s="15">
        <f t="shared" si="454"/>
        <v>23295</v>
      </c>
      <c r="KH644" s="21">
        <f t="shared" si="455"/>
        <v>4.6842951940478583</v>
      </c>
      <c r="KI644" s="52" t="str">
        <f t="shared" si="456"/>
        <v/>
      </c>
      <c r="KJ644" s="15">
        <f t="shared" si="457"/>
        <v>0</v>
      </c>
      <c r="KK644" s="15">
        <f t="shared" si="458"/>
        <v>0</v>
      </c>
      <c r="KL644" s="19" t="str">
        <f t="shared" si="459"/>
        <v/>
      </c>
      <c r="KM644" s="52">
        <f t="shared" si="460"/>
        <v>1</v>
      </c>
      <c r="KN644" s="22">
        <f t="shared" si="461"/>
        <v>1920</v>
      </c>
      <c r="KO644" s="22">
        <f t="shared" si="462"/>
        <v>115200</v>
      </c>
      <c r="KP644" s="19">
        <f t="shared" si="463"/>
        <v>60</v>
      </c>
      <c r="KQ644" s="11" t="str">
        <f t="shared" si="464"/>
        <v>3. Responsive</v>
      </c>
      <c r="KR644" s="11" t="str">
        <f t="shared" si="465"/>
        <v>2. Accommodating</v>
      </c>
      <c r="KS644" s="11" t="str">
        <f t="shared" si="466"/>
        <v>3. Responsive</v>
      </c>
      <c r="KT644" s="11" t="str">
        <f t="shared" si="467"/>
        <v>It tested new ways for fighting poverty, but did not measure results of innovation</v>
      </c>
      <c r="KU644" s="11" t="str">
        <f t="shared" si="468"/>
        <v>Moderate advocacy</v>
      </c>
      <c r="KV644" s="11" t="str">
        <f t="shared" si="469"/>
        <v>It linked and worked with strategic alliances and partners to take tested and effective solutions to scale</v>
      </c>
      <c r="KW644" s="11" t="str">
        <f t="shared" si="470"/>
        <v>Sierra Leone - HIV and AIDS Prevention Program(HAPP III)</v>
      </c>
      <c r="KX644" s="11" t="str">
        <f t="shared" si="471"/>
        <v>HIV and AIDS Prevention Program(HAPP III)</v>
      </c>
      <c r="KY644" s="11" t="str">
        <f t="shared" si="472"/>
        <v>Sierra Leone</v>
      </c>
      <c r="KZ644" s="12">
        <v>644</v>
      </c>
    </row>
    <row r="645" spans="1:312" x14ac:dyDescent="0.3">
      <c r="A645" s="12" t="s">
        <v>10594</v>
      </c>
      <c r="B645" s="12" t="s">
        <v>1596</v>
      </c>
      <c r="C645" s="12">
        <v>3697</v>
      </c>
      <c r="D645" s="12" t="s">
        <v>10633</v>
      </c>
      <c r="E645" s="277" t="str">
        <f t="shared" si="430"/>
        <v>Sierra Leone</v>
      </c>
      <c r="F645" s="12">
        <v>3697</v>
      </c>
      <c r="G645" s="12" t="s">
        <v>379</v>
      </c>
      <c r="H645" s="12" t="s">
        <v>310</v>
      </c>
      <c r="I645" s="12" t="s">
        <v>655</v>
      </c>
      <c r="J645" s="281" t="s">
        <v>4991</v>
      </c>
      <c r="K645" s="12"/>
      <c r="L645" s="12"/>
      <c r="M645" s="12"/>
      <c r="N645" s="12"/>
      <c r="O645" s="12"/>
      <c r="P645" s="12"/>
      <c r="Q645" s="12"/>
      <c r="R645" s="12"/>
      <c r="S645" s="12"/>
      <c r="T645" s="12"/>
      <c r="U645" s="12"/>
      <c r="V645" s="12"/>
      <c r="W645" s="12"/>
      <c r="X645" s="12"/>
      <c r="Y645" s="12"/>
      <c r="Z645" s="12"/>
      <c r="AA645" s="12"/>
      <c r="AB645" s="12"/>
      <c r="AC645" s="12"/>
      <c r="AD645" s="12"/>
      <c r="BD645" s="13">
        <v>42230</v>
      </c>
      <c r="BE645" s="13">
        <v>42658</v>
      </c>
      <c r="BF645" s="13">
        <v>43100</v>
      </c>
      <c r="BG645" s="12" t="s">
        <v>908</v>
      </c>
      <c r="BH645" s="14">
        <v>4550110</v>
      </c>
      <c r="BI645" s="12" t="s">
        <v>10634</v>
      </c>
      <c r="BJ645" s="12" t="s">
        <v>354</v>
      </c>
      <c r="BK645" s="12" t="s">
        <v>10635</v>
      </c>
      <c r="BL645" s="12" t="s">
        <v>10636</v>
      </c>
      <c r="BM645" s="12" t="s">
        <v>10637</v>
      </c>
      <c r="BN645" s="12" t="s">
        <v>10638</v>
      </c>
      <c r="BO645" s="12" t="s">
        <v>320</v>
      </c>
      <c r="BP645" s="12" t="s">
        <v>319</v>
      </c>
      <c r="BQ645" s="12" t="s">
        <v>319</v>
      </c>
      <c r="BR645" s="12" t="s">
        <v>10639</v>
      </c>
      <c r="BS645" s="12" t="s">
        <v>357</v>
      </c>
      <c r="BT645" s="12" t="s">
        <v>10640</v>
      </c>
      <c r="BU645" s="12" t="s">
        <v>10641</v>
      </c>
      <c r="BV645" s="14">
        <v>9000</v>
      </c>
      <c r="BW645" s="14">
        <v>2540</v>
      </c>
      <c r="BX645" s="14">
        <v>11540</v>
      </c>
      <c r="BY645" s="14">
        <v>45000</v>
      </c>
      <c r="BZ645" s="14">
        <v>12700</v>
      </c>
      <c r="CA645" s="14">
        <v>57700</v>
      </c>
      <c r="CB645" s="12" t="s">
        <v>10642</v>
      </c>
      <c r="CD645" s="14">
        <v>5919</v>
      </c>
      <c r="CE645" s="14">
        <v>2537</v>
      </c>
      <c r="CF645" s="14">
        <v>8456</v>
      </c>
      <c r="CG645" s="14">
        <v>29595</v>
      </c>
      <c r="CH645" s="14">
        <v>12685</v>
      </c>
      <c r="CI645" s="14">
        <v>42280</v>
      </c>
      <c r="CJ645" s="12"/>
      <c r="CK645" s="14"/>
      <c r="CL645" s="16"/>
      <c r="CM645" s="14"/>
      <c r="CN645" s="12" t="s">
        <v>320</v>
      </c>
      <c r="CO645" s="14">
        <v>8466</v>
      </c>
      <c r="CP645" s="16">
        <v>0.7</v>
      </c>
      <c r="CQ645" s="14">
        <v>42280</v>
      </c>
      <c r="CR645" s="12"/>
      <c r="CS645" s="14"/>
      <c r="CT645" s="16"/>
      <c r="CU645" s="14"/>
      <c r="CV645" s="12"/>
      <c r="CW645" s="14"/>
      <c r="CX645" s="16"/>
      <c r="CY645" s="14"/>
      <c r="CZ645" s="12"/>
      <c r="DA645" s="14"/>
      <c r="DB645" s="16"/>
      <c r="DC645" s="14"/>
      <c r="DD645" s="12"/>
      <c r="DE645" s="14"/>
      <c r="DF645" s="16"/>
      <c r="DG645" s="14"/>
      <c r="DH645" s="12"/>
      <c r="DI645" s="14"/>
      <c r="DJ645" s="16"/>
      <c r="DK645" s="14"/>
      <c r="DL645" s="12"/>
      <c r="DM645" s="14"/>
      <c r="DN645" s="16"/>
      <c r="DO645" s="14"/>
      <c r="DP645" s="12"/>
      <c r="DQ645" s="14"/>
      <c r="DR645" s="16"/>
      <c r="DS645" s="14"/>
      <c r="DT645" s="12"/>
      <c r="DU645" s="14"/>
      <c r="DV645" s="16"/>
      <c r="DW645" s="14"/>
      <c r="DX645" s="12"/>
      <c r="DY645" s="14"/>
      <c r="DZ645" s="16"/>
      <c r="EA645" s="14"/>
      <c r="EB645" s="12"/>
      <c r="EC645" s="14"/>
      <c r="ED645" s="16"/>
      <c r="EE645" s="14"/>
      <c r="EF645" s="12"/>
      <c r="EG645" s="12"/>
      <c r="EH645" s="14"/>
      <c r="EI645" s="16"/>
      <c r="EJ645" s="14"/>
      <c r="EK645" s="14"/>
      <c r="EL645" s="14"/>
      <c r="EM645" s="14"/>
      <c r="EN645" s="14"/>
      <c r="EO645" s="14"/>
      <c r="EP645" s="14"/>
      <c r="EQ645" s="12"/>
      <c r="ER645" s="14"/>
      <c r="ES645" s="16"/>
      <c r="ET645" s="14"/>
      <c r="EU645" s="12"/>
      <c r="EV645" s="14"/>
      <c r="EW645" s="16"/>
      <c r="EX645" s="14"/>
      <c r="EY645" s="12"/>
      <c r="EZ645" s="14"/>
      <c r="FA645" s="16"/>
      <c r="FB645" s="14"/>
      <c r="FC645" s="12"/>
      <c r="FD645" s="14"/>
      <c r="FE645" s="16"/>
      <c r="FF645" s="14"/>
      <c r="FG645" s="12"/>
      <c r="FH645" s="14"/>
      <c r="FI645" s="16"/>
      <c r="FJ645" s="14"/>
      <c r="FK645" s="12"/>
      <c r="FL645" s="14"/>
      <c r="FM645" s="16"/>
      <c r="FN645" s="14"/>
      <c r="FO645" s="12"/>
      <c r="FP645" s="14"/>
      <c r="FQ645" s="16"/>
      <c r="FR645" s="14"/>
      <c r="FS645" s="12"/>
      <c r="FT645" s="14"/>
      <c r="FU645" s="16"/>
      <c r="FV645" s="14"/>
      <c r="FW645" s="12"/>
      <c r="FX645" s="14"/>
      <c r="FY645" s="16"/>
      <c r="FZ645" s="14"/>
      <c r="GA645" s="12"/>
      <c r="GB645" s="14"/>
      <c r="GC645" s="16"/>
      <c r="GD645" s="14"/>
      <c r="GE645" s="12"/>
      <c r="GF645" s="14"/>
      <c r="GG645" s="16"/>
      <c r="GH645" s="14"/>
      <c r="GI645" s="12"/>
      <c r="GJ645" s="14"/>
      <c r="GK645" s="16"/>
      <c r="GL645" s="14"/>
      <c r="GM645" s="12"/>
      <c r="GN645" s="14"/>
      <c r="GO645" s="16"/>
      <c r="GP645" s="14"/>
      <c r="GQ645" s="12"/>
      <c r="GR645" s="14"/>
      <c r="GS645" s="16"/>
      <c r="GT645" s="14"/>
      <c r="GU645" s="12"/>
      <c r="GV645" s="14"/>
      <c r="GW645" s="16"/>
      <c r="GX645" s="14"/>
      <c r="GY645" s="12"/>
      <c r="GZ645" s="14"/>
      <c r="HA645" s="16"/>
      <c r="HB645" s="14"/>
      <c r="HC645" s="12"/>
      <c r="HD645" s="12"/>
      <c r="HE645" s="14"/>
      <c r="HF645" s="16"/>
      <c r="HG645" s="14"/>
      <c r="HH645" s="12" t="s">
        <v>320</v>
      </c>
      <c r="HI645" s="12" t="s">
        <v>431</v>
      </c>
      <c r="HJ645" s="12">
        <v>2017</v>
      </c>
      <c r="HK645" s="12"/>
      <c r="HL645" s="12" t="s">
        <v>320</v>
      </c>
      <c r="HM645" s="12" t="s">
        <v>361</v>
      </c>
      <c r="HN645" s="12">
        <v>2017</v>
      </c>
      <c r="HO645" s="12"/>
      <c r="HP645" s="12"/>
      <c r="HQ645" s="12" t="s">
        <v>319</v>
      </c>
      <c r="HR645" s="12" t="s">
        <v>319</v>
      </c>
      <c r="HS645" s="12" t="s">
        <v>319</v>
      </c>
      <c r="HT645" s="12" t="s">
        <v>319</v>
      </c>
      <c r="HU645" s="12" t="s">
        <v>319</v>
      </c>
      <c r="HV645" s="12" t="s">
        <v>319</v>
      </c>
      <c r="HW645" s="12" t="s">
        <v>319</v>
      </c>
      <c r="HX645" s="12" t="s">
        <v>319</v>
      </c>
      <c r="HY645" s="12"/>
      <c r="HZ645" s="12" t="s">
        <v>363</v>
      </c>
      <c r="IA645" s="12"/>
      <c r="IB645" s="12" t="s">
        <v>333</v>
      </c>
      <c r="IC645" s="12"/>
      <c r="ID645" s="12" t="s">
        <v>364</v>
      </c>
      <c r="IE645" s="12" t="s">
        <v>335</v>
      </c>
      <c r="IF645" s="12" t="s">
        <v>319</v>
      </c>
      <c r="IG645" s="12" t="s">
        <v>320</v>
      </c>
      <c r="IH645" s="12" t="s">
        <v>320</v>
      </c>
      <c r="II645" s="12" t="s">
        <v>320</v>
      </c>
      <c r="IJ645" s="12" t="str">
        <f t="shared" si="431"/>
        <v>1. Neutral</v>
      </c>
      <c r="IK645" s="12">
        <f t="shared" si="432"/>
        <v>3</v>
      </c>
      <c r="IL645" s="12" t="s">
        <v>336</v>
      </c>
      <c r="IM645" s="12" t="s">
        <v>320</v>
      </c>
      <c r="IN645" s="12" t="s">
        <v>320</v>
      </c>
      <c r="IO645" s="12" t="s">
        <v>320</v>
      </c>
      <c r="IP645" s="12" t="s">
        <v>320</v>
      </c>
      <c r="IQ645" s="12" t="str">
        <f t="shared" si="433"/>
        <v>2. Accommodating</v>
      </c>
      <c r="IR645" s="12">
        <f t="shared" si="434"/>
        <v>4</v>
      </c>
      <c r="IS645" s="12" t="s">
        <v>337</v>
      </c>
      <c r="IT645" s="12" t="s">
        <v>320</v>
      </c>
      <c r="IU645" s="12" t="s">
        <v>320</v>
      </c>
      <c r="IV645" s="12" t="s">
        <v>320</v>
      </c>
      <c r="IW645" s="11" t="str">
        <f t="shared" si="435"/>
        <v>2. Sensitive</v>
      </c>
      <c r="IX645" s="12">
        <f t="shared" si="436"/>
        <v>3</v>
      </c>
      <c r="IY645" s="12" t="s">
        <v>338</v>
      </c>
      <c r="IZ645" s="12" t="s">
        <v>527</v>
      </c>
      <c r="JA645" s="12">
        <v>5</v>
      </c>
      <c r="JB645" s="12" t="s">
        <v>433</v>
      </c>
      <c r="JC645" s="12" t="s">
        <v>624</v>
      </c>
      <c r="JD645" s="12" t="s">
        <v>724</v>
      </c>
      <c r="JE645" s="12" t="s">
        <v>340</v>
      </c>
      <c r="JF645" s="12" t="s">
        <v>10643</v>
      </c>
      <c r="JG645" s="12" t="s">
        <v>10644</v>
      </c>
      <c r="JH645" s="12" t="s">
        <v>10645</v>
      </c>
      <c r="JI645" s="12" t="s">
        <v>10646</v>
      </c>
      <c r="JJ645" s="12" t="s">
        <v>10647</v>
      </c>
      <c r="JK645" s="12" t="s">
        <v>10648</v>
      </c>
      <c r="JL645" s="12" t="s">
        <v>10649</v>
      </c>
      <c r="JM645" s="12" t="s">
        <v>10650</v>
      </c>
      <c r="JN645" s="12"/>
      <c r="JO645" s="12" t="s">
        <v>10651</v>
      </c>
      <c r="JP645" s="15">
        <f t="shared" si="437"/>
        <v>8456</v>
      </c>
      <c r="JQ645" s="15">
        <f t="shared" si="438"/>
        <v>42280</v>
      </c>
      <c r="JR645" s="279">
        <f t="shared" si="439"/>
        <v>5</v>
      </c>
      <c r="JS645" s="17">
        <f t="shared" si="440"/>
        <v>0.69997634815515608</v>
      </c>
      <c r="JT645" s="18">
        <f t="shared" si="441"/>
        <v>0.69997634815515608</v>
      </c>
      <c r="JU645" s="280">
        <f t="shared" si="442"/>
        <v>5919</v>
      </c>
      <c r="JV645" s="280">
        <f t="shared" si="443"/>
        <v>29595</v>
      </c>
      <c r="JW645" s="319">
        <f t="shared" si="444"/>
        <v>1</v>
      </c>
      <c r="JX645" s="15">
        <f t="shared" si="445"/>
        <v>8456</v>
      </c>
      <c r="JY645" s="15">
        <f t="shared" si="446"/>
        <v>42280</v>
      </c>
      <c r="JZ645" s="19">
        <f t="shared" si="447"/>
        <v>5</v>
      </c>
      <c r="KA645" s="52" t="str">
        <f t="shared" si="448"/>
        <v/>
      </c>
      <c r="KB645" s="15">
        <f t="shared" si="449"/>
        <v>0</v>
      </c>
      <c r="KC645" s="15">
        <f t="shared" si="450"/>
        <v>0</v>
      </c>
      <c r="KD645" s="20" t="str">
        <f t="shared" si="451"/>
        <v/>
      </c>
      <c r="KE645" s="52" t="str">
        <f t="shared" si="452"/>
        <v/>
      </c>
      <c r="KF645" s="15">
        <f t="shared" si="453"/>
        <v>0</v>
      </c>
      <c r="KG645" s="15">
        <f t="shared" si="454"/>
        <v>0</v>
      </c>
      <c r="KH645" s="21" t="str">
        <f t="shared" si="455"/>
        <v/>
      </c>
      <c r="KI645" s="52" t="str">
        <f t="shared" si="456"/>
        <v/>
      </c>
      <c r="KJ645" s="15">
        <f t="shared" si="457"/>
        <v>0</v>
      </c>
      <c r="KK645" s="15">
        <f t="shared" si="458"/>
        <v>0</v>
      </c>
      <c r="KL645" s="19" t="str">
        <f t="shared" si="459"/>
        <v/>
      </c>
      <c r="KM645" s="52" t="str">
        <f t="shared" si="460"/>
        <v/>
      </c>
      <c r="KN645" s="22">
        <f t="shared" si="461"/>
        <v>0</v>
      </c>
      <c r="KO645" s="22">
        <f t="shared" si="462"/>
        <v>0</v>
      </c>
      <c r="KP645" s="19" t="str">
        <f t="shared" si="463"/>
        <v/>
      </c>
      <c r="KQ645" s="11" t="str">
        <f t="shared" si="464"/>
        <v>1. Neutral</v>
      </c>
      <c r="KR645" s="11" t="str">
        <f t="shared" si="465"/>
        <v>2. Accommodating</v>
      </c>
      <c r="KS645" s="11" t="str">
        <f t="shared" si="466"/>
        <v>2. Sensitive</v>
      </c>
      <c r="KT645" s="11" t="str">
        <f t="shared" si="467"/>
        <v>It did not develop any specific innovation</v>
      </c>
      <c r="KU645" s="11">
        <f t="shared" si="468"/>
        <v>0</v>
      </c>
      <c r="KV645" s="11" t="str">
        <f t="shared" si="469"/>
        <v>It did not take tested solutions to scale</v>
      </c>
      <c r="KW645" s="11" t="str">
        <f t="shared" si="470"/>
        <v>Sierra Leone - Rapid Ebola Social Safety Network and Economic Recovery (RESSNER)</v>
      </c>
      <c r="KX645" s="11" t="str">
        <f t="shared" si="471"/>
        <v>Rapid Ebola Social Safety Network and Economic Recovery (RESSNER)</v>
      </c>
      <c r="KY645" s="11" t="str">
        <f t="shared" si="472"/>
        <v>Sierra Leone</v>
      </c>
      <c r="KZ645" s="12">
        <v>645</v>
      </c>
    </row>
    <row r="646" spans="1:312" x14ac:dyDescent="0.3">
      <c r="A646" s="12" t="s">
        <v>10594</v>
      </c>
      <c r="B646" s="12" t="s">
        <v>1596</v>
      </c>
      <c r="C646" s="12">
        <v>3698</v>
      </c>
      <c r="D646" s="12" t="s">
        <v>10670</v>
      </c>
      <c r="E646" s="277" t="str">
        <f t="shared" si="430"/>
        <v>Sierra Leone</v>
      </c>
      <c r="F646" s="12">
        <v>3698</v>
      </c>
      <c r="G646" s="12" t="s">
        <v>608</v>
      </c>
      <c r="H646" s="12" t="s">
        <v>310</v>
      </c>
      <c r="I646" s="12" t="s">
        <v>506</v>
      </c>
      <c r="J646" s="281" t="s">
        <v>9230</v>
      </c>
      <c r="K646" s="12"/>
      <c r="L646" s="12"/>
      <c r="M646" s="12"/>
      <c r="N646" s="12"/>
      <c r="O646" s="12"/>
      <c r="P646" s="12"/>
      <c r="Q646" s="12"/>
      <c r="R646" s="12"/>
      <c r="S646" s="12"/>
      <c r="T646" s="12"/>
      <c r="U646" s="12"/>
      <c r="V646" s="12"/>
      <c r="W646" s="12"/>
      <c r="X646" s="12"/>
      <c r="Y646" s="12"/>
      <c r="Z646" s="12"/>
      <c r="AA646" s="12"/>
      <c r="AB646" s="12"/>
      <c r="AC646" s="12"/>
      <c r="AD646" s="12"/>
      <c r="BD646" s="13">
        <v>42461</v>
      </c>
      <c r="BE646" s="13">
        <v>43100</v>
      </c>
      <c r="BF646" s="13">
        <v>43008</v>
      </c>
      <c r="BG646" s="12" t="s">
        <v>817</v>
      </c>
      <c r="BH646" s="14">
        <v>448208.43</v>
      </c>
      <c r="BI646" s="12" t="s">
        <v>10671</v>
      </c>
      <c r="BJ646" s="12" t="s">
        <v>10672</v>
      </c>
      <c r="BK646" s="12" t="s">
        <v>10673</v>
      </c>
      <c r="BL646" s="12" t="s">
        <v>10598</v>
      </c>
      <c r="BM646" s="12" t="s">
        <v>10599</v>
      </c>
      <c r="BN646" s="12" t="s">
        <v>10600</v>
      </c>
      <c r="BO646" s="12" t="s">
        <v>320</v>
      </c>
      <c r="BP646" s="12" t="s">
        <v>319</v>
      </c>
      <c r="BQ646" s="12" t="s">
        <v>319</v>
      </c>
      <c r="BR646" s="12" t="s">
        <v>10674</v>
      </c>
      <c r="BS646" s="12" t="s">
        <v>357</v>
      </c>
      <c r="BT646" s="12" t="s">
        <v>10675</v>
      </c>
      <c r="BU646" s="12" t="s">
        <v>10676</v>
      </c>
      <c r="BV646" s="14">
        <v>5</v>
      </c>
      <c r="BW646" s="14">
        <v>22</v>
      </c>
      <c r="BX646" s="14">
        <v>27</v>
      </c>
      <c r="BY646" s="14">
        <v>517283</v>
      </c>
      <c r="BZ646" s="14">
        <v>496997</v>
      </c>
      <c r="CA646" s="14">
        <v>1014280</v>
      </c>
      <c r="CB646" s="12" t="s">
        <v>10677</v>
      </c>
      <c r="CD646" s="14">
        <v>4</v>
      </c>
      <c r="CE646" s="14">
        <v>23</v>
      </c>
      <c r="CF646" s="14">
        <v>27</v>
      </c>
      <c r="CG646" s="14">
        <v>517283</v>
      </c>
      <c r="CH646" s="14">
        <v>496997</v>
      </c>
      <c r="CI646" s="14">
        <v>1014280</v>
      </c>
      <c r="CJ646" s="12"/>
      <c r="CK646" s="14"/>
      <c r="CL646" s="16"/>
      <c r="CM646" s="14"/>
      <c r="CN646" s="12"/>
      <c r="CO646" s="14"/>
      <c r="CP646" s="16"/>
      <c r="CQ646" s="14"/>
      <c r="CR646" s="12"/>
      <c r="CS646" s="14"/>
      <c r="CT646" s="16"/>
      <c r="CU646" s="14"/>
      <c r="CV646" s="12"/>
      <c r="CW646" s="14"/>
      <c r="CX646" s="16"/>
      <c r="CY646" s="14"/>
      <c r="CZ646" s="12"/>
      <c r="DA646" s="14"/>
      <c r="DB646" s="16"/>
      <c r="DC646" s="14"/>
      <c r="DD646" s="12"/>
      <c r="DE646" s="14"/>
      <c r="DF646" s="16"/>
      <c r="DG646" s="14"/>
      <c r="DH646" s="12" t="s">
        <v>320</v>
      </c>
      <c r="DI646" s="14">
        <v>27</v>
      </c>
      <c r="DJ646" s="16">
        <v>0.15</v>
      </c>
      <c r="DK646" s="14">
        <v>1014280</v>
      </c>
      <c r="DL646" s="12"/>
      <c r="DM646" s="14"/>
      <c r="DN646" s="16"/>
      <c r="DO646" s="14"/>
      <c r="DP646" s="12"/>
      <c r="DQ646" s="14"/>
      <c r="DR646" s="16"/>
      <c r="DS646" s="14"/>
      <c r="DT646" s="12"/>
      <c r="DU646" s="14"/>
      <c r="DV646" s="16"/>
      <c r="DW646" s="14"/>
      <c r="DX646" s="12"/>
      <c r="DY646" s="14"/>
      <c r="DZ646" s="16"/>
      <c r="EA646" s="14"/>
      <c r="EB646" s="12"/>
      <c r="EC646" s="14"/>
      <c r="ED646" s="16"/>
      <c r="EE646" s="14"/>
      <c r="EF646" s="12"/>
      <c r="EG646" s="12"/>
      <c r="EH646" s="14"/>
      <c r="EI646" s="16"/>
      <c r="EJ646" s="14"/>
      <c r="EK646" s="14"/>
      <c r="EL646" s="14"/>
      <c r="EM646" s="14"/>
      <c r="EN646" s="14"/>
      <c r="EO646" s="14"/>
      <c r="EP646" s="14"/>
      <c r="EQ646" s="12"/>
      <c r="ER646" s="14"/>
      <c r="ES646" s="16"/>
      <c r="ET646" s="14"/>
      <c r="EU646" s="12"/>
      <c r="EV646" s="14"/>
      <c r="EW646" s="16"/>
      <c r="EX646" s="14"/>
      <c r="EY646" s="12"/>
      <c r="EZ646" s="14"/>
      <c r="FA646" s="16"/>
      <c r="FB646" s="14"/>
      <c r="FC646" s="12"/>
      <c r="FD646" s="14"/>
      <c r="FE646" s="16"/>
      <c r="FF646" s="14"/>
      <c r="FG646" s="12"/>
      <c r="FH646" s="14"/>
      <c r="FI646" s="16"/>
      <c r="FJ646" s="14"/>
      <c r="FK646" s="12"/>
      <c r="FL646" s="14"/>
      <c r="FM646" s="16"/>
      <c r="FN646" s="14"/>
      <c r="FO646" s="12"/>
      <c r="FP646" s="14"/>
      <c r="FQ646" s="16"/>
      <c r="FR646" s="14"/>
      <c r="FS646" s="12"/>
      <c r="FT646" s="14"/>
      <c r="FU646" s="16"/>
      <c r="FV646" s="14"/>
      <c r="FW646" s="12"/>
      <c r="FX646" s="14"/>
      <c r="FY646" s="16"/>
      <c r="FZ646" s="14"/>
      <c r="GA646" s="12"/>
      <c r="GB646" s="14"/>
      <c r="GC646" s="16"/>
      <c r="GD646" s="14"/>
      <c r="GE646" s="12"/>
      <c r="GF646" s="14"/>
      <c r="GG646" s="16"/>
      <c r="GH646" s="14"/>
      <c r="GI646" s="12"/>
      <c r="GJ646" s="14"/>
      <c r="GK646" s="16"/>
      <c r="GL646" s="14"/>
      <c r="GM646" s="12"/>
      <c r="GN646" s="14"/>
      <c r="GO646" s="16"/>
      <c r="GP646" s="14"/>
      <c r="GQ646" s="12"/>
      <c r="GR646" s="14"/>
      <c r="GS646" s="16"/>
      <c r="GT646" s="14"/>
      <c r="GU646" s="12"/>
      <c r="GV646" s="14"/>
      <c r="GW646" s="16"/>
      <c r="GX646" s="14"/>
      <c r="GY646" s="12"/>
      <c r="GZ646" s="14"/>
      <c r="HA646" s="16"/>
      <c r="HB646" s="14"/>
      <c r="HC646" s="12"/>
      <c r="HD646" s="12"/>
      <c r="HE646" s="14"/>
      <c r="HF646" s="16"/>
      <c r="HG646" s="14"/>
      <c r="HH646" s="12" t="s">
        <v>319</v>
      </c>
      <c r="HI646" s="12"/>
      <c r="HJ646" s="12"/>
      <c r="HK646" s="12"/>
      <c r="HL646" s="12" t="s">
        <v>319</v>
      </c>
      <c r="HM646" s="12"/>
      <c r="HN646" s="12"/>
      <c r="HO646" s="12"/>
      <c r="HP646" s="12" t="s">
        <v>418</v>
      </c>
      <c r="HQ646" s="12" t="s">
        <v>319</v>
      </c>
      <c r="HR646" s="12" t="s">
        <v>319</v>
      </c>
      <c r="HS646" s="12" t="s">
        <v>320</v>
      </c>
      <c r="HT646" s="12" t="s">
        <v>320</v>
      </c>
      <c r="HU646" s="12" t="s">
        <v>319</v>
      </c>
      <c r="HV646" s="12" t="s">
        <v>319</v>
      </c>
      <c r="HW646" s="12" t="s">
        <v>319</v>
      </c>
      <c r="HX646" s="12" t="s">
        <v>319</v>
      </c>
      <c r="HY646" s="12"/>
      <c r="HZ646" s="12" t="s">
        <v>363</v>
      </c>
      <c r="IA646" s="12"/>
      <c r="IB646" s="12" t="s">
        <v>396</v>
      </c>
      <c r="IC646" s="12" t="s">
        <v>10678</v>
      </c>
      <c r="ID646" s="12" t="s">
        <v>364</v>
      </c>
      <c r="IE646" s="12" t="s">
        <v>335</v>
      </c>
      <c r="IF646" s="12" t="s">
        <v>320</v>
      </c>
      <c r="IG646" s="12" t="s">
        <v>319</v>
      </c>
      <c r="IH646" s="12" t="s">
        <v>320</v>
      </c>
      <c r="II646" s="12" t="s">
        <v>320</v>
      </c>
      <c r="IJ646" s="12" t="str">
        <f t="shared" si="431"/>
        <v>1. Neutral</v>
      </c>
      <c r="IK646" s="12">
        <f t="shared" si="432"/>
        <v>3</v>
      </c>
      <c r="IL646" s="12" t="s">
        <v>336</v>
      </c>
      <c r="IM646" s="12" t="s">
        <v>320</v>
      </c>
      <c r="IN646" s="12" t="s">
        <v>320</v>
      </c>
      <c r="IO646" s="12" t="s">
        <v>320</v>
      </c>
      <c r="IP646" s="12" t="s">
        <v>320</v>
      </c>
      <c r="IQ646" s="12" t="str">
        <f t="shared" si="433"/>
        <v>2. Accommodating</v>
      </c>
      <c r="IR646" s="12">
        <f t="shared" si="434"/>
        <v>4</v>
      </c>
      <c r="IS646" s="12" t="s">
        <v>337</v>
      </c>
      <c r="IT646" s="12" t="s">
        <v>320</v>
      </c>
      <c r="IU646" s="12" t="s">
        <v>319</v>
      </c>
      <c r="IV646" s="12" t="s">
        <v>320</v>
      </c>
      <c r="IW646" s="11" t="str">
        <f t="shared" si="435"/>
        <v>1. Neutral</v>
      </c>
      <c r="IX646" s="12">
        <f t="shared" si="436"/>
        <v>2</v>
      </c>
      <c r="IY646" s="12" t="s">
        <v>338</v>
      </c>
      <c r="IZ646" s="12" t="s">
        <v>527</v>
      </c>
      <c r="JA646" s="12">
        <v>2</v>
      </c>
      <c r="JB646" s="12" t="s">
        <v>831</v>
      </c>
      <c r="JC646" s="12" t="s">
        <v>687</v>
      </c>
      <c r="JD646" s="12"/>
      <c r="JE646" s="12" t="s">
        <v>420</v>
      </c>
      <c r="JF646" s="12"/>
      <c r="JG646" s="12"/>
      <c r="JH646" s="12" t="s">
        <v>10679</v>
      </c>
      <c r="JI646" s="12" t="s">
        <v>10680</v>
      </c>
      <c r="JJ646" s="12"/>
      <c r="JK646" s="12" t="s">
        <v>10681</v>
      </c>
      <c r="JL646" s="12" t="s">
        <v>10682</v>
      </c>
      <c r="JM646" s="12"/>
      <c r="JN646" s="12" t="s">
        <v>10683</v>
      </c>
      <c r="JO646" s="12" t="s">
        <v>10684</v>
      </c>
      <c r="JP646" s="15">
        <f t="shared" si="437"/>
        <v>27</v>
      </c>
      <c r="JQ646" s="15">
        <f t="shared" si="438"/>
        <v>1014280</v>
      </c>
      <c r="JR646" s="279">
        <f t="shared" si="439"/>
        <v>37565.925925925927</v>
      </c>
      <c r="JS646" s="17">
        <f t="shared" si="440"/>
        <v>0.14814814814814814</v>
      </c>
      <c r="JT646" s="18">
        <f t="shared" si="441"/>
        <v>0.51000019718420952</v>
      </c>
      <c r="JU646" s="280">
        <f t="shared" si="442"/>
        <v>4</v>
      </c>
      <c r="JV646" s="280">
        <f t="shared" si="443"/>
        <v>517283</v>
      </c>
      <c r="JW646" s="319">
        <f t="shared" si="444"/>
        <v>1</v>
      </c>
      <c r="JX646" s="15">
        <f t="shared" si="445"/>
        <v>27</v>
      </c>
      <c r="JY646" s="15">
        <f t="shared" si="446"/>
        <v>1014280</v>
      </c>
      <c r="JZ646" s="19">
        <f t="shared" si="447"/>
        <v>37565.925925925927</v>
      </c>
      <c r="KA646" s="52" t="str">
        <f t="shared" si="448"/>
        <v/>
      </c>
      <c r="KB646" s="15">
        <f t="shared" si="449"/>
        <v>0</v>
      </c>
      <c r="KC646" s="15">
        <f t="shared" si="450"/>
        <v>0</v>
      </c>
      <c r="KD646" s="20" t="str">
        <f t="shared" si="451"/>
        <v/>
      </c>
      <c r="KE646" s="52" t="str">
        <f t="shared" si="452"/>
        <v/>
      </c>
      <c r="KF646" s="15">
        <f t="shared" si="453"/>
        <v>0</v>
      </c>
      <c r="KG646" s="15">
        <f t="shared" si="454"/>
        <v>0</v>
      </c>
      <c r="KH646" s="21" t="str">
        <f t="shared" si="455"/>
        <v/>
      </c>
      <c r="KI646" s="52" t="str">
        <f t="shared" si="456"/>
        <v/>
      </c>
      <c r="KJ646" s="15">
        <f t="shared" si="457"/>
        <v>0</v>
      </c>
      <c r="KK646" s="15">
        <f t="shared" si="458"/>
        <v>0</v>
      </c>
      <c r="KL646" s="19" t="str">
        <f t="shared" si="459"/>
        <v/>
      </c>
      <c r="KM646" s="52" t="str">
        <f t="shared" si="460"/>
        <v/>
      </c>
      <c r="KN646" s="22">
        <f t="shared" si="461"/>
        <v>0</v>
      </c>
      <c r="KO646" s="22">
        <f t="shared" si="462"/>
        <v>0</v>
      </c>
      <c r="KP646" s="19" t="str">
        <f t="shared" si="463"/>
        <v/>
      </c>
      <c r="KQ646" s="11" t="str">
        <f t="shared" si="464"/>
        <v>1. Neutral</v>
      </c>
      <c r="KR646" s="11" t="str">
        <f t="shared" si="465"/>
        <v>2. Accommodating</v>
      </c>
      <c r="KS646" s="11" t="str">
        <f t="shared" si="466"/>
        <v>1. Neutral</v>
      </c>
      <c r="KT646" s="11" t="str">
        <f t="shared" si="467"/>
        <v>It did not develop any specific innovation</v>
      </c>
      <c r="KU646" s="11" t="str">
        <f t="shared" si="468"/>
        <v>Little or no advocacy</v>
      </c>
      <c r="KV646" s="11" t="str">
        <f t="shared" si="469"/>
        <v>It linked and worked with strategic alliances and partners to take tested and effective solutions to scale</v>
      </c>
      <c r="KW646" s="11" t="str">
        <f t="shared" si="470"/>
        <v>Sierra Leone - Resilient Zero: A Strengthened Public Health System in Sierra Leone</v>
      </c>
      <c r="KX646" s="11" t="str">
        <f t="shared" si="471"/>
        <v>Resilient Zero: A Strengthened Public Health System in Sierra Leone</v>
      </c>
      <c r="KY646" s="11" t="str">
        <f t="shared" si="472"/>
        <v>Sierra Leone</v>
      </c>
      <c r="KZ646" s="12">
        <v>646</v>
      </c>
    </row>
    <row r="647" spans="1:312" x14ac:dyDescent="0.3">
      <c r="A647" s="12" t="s">
        <v>10594</v>
      </c>
      <c r="B647" s="12" t="s">
        <v>1596</v>
      </c>
      <c r="C647" s="12">
        <v>3701</v>
      </c>
      <c r="D647" s="12" t="s">
        <v>10595</v>
      </c>
      <c r="E647" s="277" t="str">
        <f t="shared" si="430"/>
        <v>Sierra Leone</v>
      </c>
      <c r="F647" s="12">
        <v>3701</v>
      </c>
      <c r="G647" s="12" t="s">
        <v>425</v>
      </c>
      <c r="H647" s="12" t="s">
        <v>383</v>
      </c>
      <c r="I647" s="12" t="s">
        <v>384</v>
      </c>
      <c r="J647" s="278" t="s">
        <v>3967</v>
      </c>
      <c r="K647" s="12"/>
      <c r="L647" s="12"/>
      <c r="M647" s="12"/>
      <c r="N647" s="12"/>
      <c r="O647" s="12"/>
      <c r="P647" s="12"/>
      <c r="Q647" s="12"/>
      <c r="R647" s="12"/>
      <c r="S647" s="12"/>
      <c r="T647" s="12"/>
      <c r="U647" s="12"/>
      <c r="V647" s="12"/>
      <c r="W647" s="12"/>
      <c r="X647" s="12"/>
      <c r="Y647" s="12"/>
      <c r="Z647" s="12"/>
      <c r="AA647" s="12"/>
      <c r="AB647" s="12"/>
      <c r="AC647" s="12"/>
      <c r="AD647" s="12"/>
      <c r="BD647" s="13">
        <v>42156</v>
      </c>
      <c r="BE647" s="13">
        <v>42766</v>
      </c>
      <c r="BF647" s="12"/>
      <c r="BG647" s="12" t="s">
        <v>350</v>
      </c>
      <c r="BH647" s="14">
        <f>170715/0.94</f>
        <v>181611.70212765958</v>
      </c>
      <c r="BI647" s="12" t="s">
        <v>10596</v>
      </c>
      <c r="BJ647" s="12" t="s">
        <v>4377</v>
      </c>
      <c r="BK647" s="12" t="s">
        <v>10597</v>
      </c>
      <c r="BL647" s="12" t="s">
        <v>10598</v>
      </c>
      <c r="BM647" s="12" t="s">
        <v>10599</v>
      </c>
      <c r="BN647" s="12" t="s">
        <v>10600</v>
      </c>
      <c r="BO647" s="12" t="s">
        <v>319</v>
      </c>
      <c r="BP647" s="12" t="s">
        <v>320</v>
      </c>
      <c r="BQ647" s="12" t="s">
        <v>319</v>
      </c>
      <c r="BR647" s="12" t="s">
        <v>10601</v>
      </c>
      <c r="BS647" s="12" t="s">
        <v>357</v>
      </c>
      <c r="BT647" s="12" t="s">
        <v>10602</v>
      </c>
      <c r="BU647" s="12" t="s">
        <v>10603</v>
      </c>
      <c r="BV647" s="14">
        <v>10000</v>
      </c>
      <c r="BW647" s="14">
        <v>2190</v>
      </c>
      <c r="BX647" s="14">
        <v>12190</v>
      </c>
      <c r="BY647" s="14">
        <v>50000</v>
      </c>
      <c r="BZ647" s="14">
        <v>10950</v>
      </c>
      <c r="CA647" s="14">
        <v>60950</v>
      </c>
      <c r="CB647" s="12" t="s">
        <v>10604</v>
      </c>
      <c r="CD647" s="14"/>
      <c r="CE647" s="14"/>
      <c r="CF647" s="14"/>
      <c r="CG647" s="14"/>
      <c r="CH647" s="14"/>
      <c r="CI647" s="14"/>
      <c r="CJ647" s="12"/>
      <c r="CK647" s="14"/>
      <c r="CL647" s="16"/>
      <c r="CM647" s="14"/>
      <c r="CN647" s="12"/>
      <c r="CO647" s="14"/>
      <c r="CP647" s="16"/>
      <c r="CQ647" s="14"/>
      <c r="CR647" s="12"/>
      <c r="CS647" s="14"/>
      <c r="CT647" s="16"/>
      <c r="CU647" s="14"/>
      <c r="CV647" s="12"/>
      <c r="CW647" s="14"/>
      <c r="CX647" s="16"/>
      <c r="CY647" s="14"/>
      <c r="CZ647" s="12"/>
      <c r="DA647" s="14"/>
      <c r="DB647" s="16"/>
      <c r="DC647" s="14"/>
      <c r="DD647" s="12"/>
      <c r="DE647" s="14"/>
      <c r="DF647" s="16"/>
      <c r="DG647" s="14"/>
      <c r="DH647" s="12"/>
      <c r="DI647" s="14"/>
      <c r="DJ647" s="16"/>
      <c r="DK647" s="14"/>
      <c r="DL647" s="12"/>
      <c r="DM647" s="14"/>
      <c r="DN647" s="16"/>
      <c r="DO647" s="14"/>
      <c r="DP647" s="12"/>
      <c r="DQ647" s="14"/>
      <c r="DR647" s="16"/>
      <c r="DS647" s="14"/>
      <c r="DT647" s="12"/>
      <c r="DU647" s="14"/>
      <c r="DV647" s="16"/>
      <c r="DW647" s="14"/>
      <c r="DX647" s="12"/>
      <c r="DY647" s="14"/>
      <c r="DZ647" s="16"/>
      <c r="EA647" s="14"/>
      <c r="EB647" s="12"/>
      <c r="EC647" s="14"/>
      <c r="ED647" s="16"/>
      <c r="EE647" s="14"/>
      <c r="EF647" s="12"/>
      <c r="EG647" s="12"/>
      <c r="EH647" s="14"/>
      <c r="EI647" s="16"/>
      <c r="EJ647" s="14"/>
      <c r="EK647" s="14">
        <v>2800</v>
      </c>
      <c r="EL647" s="14">
        <v>1167</v>
      </c>
      <c r="EM647" s="14">
        <v>3967</v>
      </c>
      <c r="EN647" s="14">
        <v>14000</v>
      </c>
      <c r="EO647" s="14">
        <v>5835</v>
      </c>
      <c r="EP647" s="14">
        <v>19835</v>
      </c>
      <c r="EQ647" s="12"/>
      <c r="ER647" s="14"/>
      <c r="ES647" s="16"/>
      <c r="ET647" s="14"/>
      <c r="EU647" s="12"/>
      <c r="EV647" s="14"/>
      <c r="EW647" s="16"/>
      <c r="EX647" s="14"/>
      <c r="EY647" s="12"/>
      <c r="EZ647" s="14"/>
      <c r="FA647" s="16"/>
      <c r="FB647" s="14"/>
      <c r="FC647" s="12"/>
      <c r="FD647" s="14"/>
      <c r="FE647" s="16"/>
      <c r="FF647" s="14"/>
      <c r="FG647" s="12"/>
      <c r="FH647" s="14"/>
      <c r="FI647" s="16"/>
      <c r="FJ647" s="14"/>
      <c r="FK647" s="12"/>
      <c r="FL647" s="14"/>
      <c r="FM647" s="16"/>
      <c r="FN647" s="14"/>
      <c r="FO647" s="12"/>
      <c r="FP647" s="14"/>
      <c r="FQ647" s="16"/>
      <c r="FR647" s="14"/>
      <c r="FS647" s="12"/>
      <c r="FT647" s="14"/>
      <c r="FU647" s="16"/>
      <c r="FV647" s="14"/>
      <c r="FW647" s="12"/>
      <c r="FX647" s="14"/>
      <c r="FY647" s="16"/>
      <c r="FZ647" s="14"/>
      <c r="GA647" s="12"/>
      <c r="GB647" s="14"/>
      <c r="GC647" s="16"/>
      <c r="GD647" s="14"/>
      <c r="GE647" s="12"/>
      <c r="GF647" s="14"/>
      <c r="GG647" s="16"/>
      <c r="GH647" s="14"/>
      <c r="GI647" s="12"/>
      <c r="GJ647" s="14"/>
      <c r="GK647" s="16"/>
      <c r="GL647" s="14"/>
      <c r="GM647" s="12"/>
      <c r="GN647" s="14"/>
      <c r="GO647" s="16"/>
      <c r="GP647" s="14"/>
      <c r="GQ647" s="12"/>
      <c r="GR647" s="14"/>
      <c r="GS647" s="16"/>
      <c r="GT647" s="14"/>
      <c r="GU647" s="12"/>
      <c r="GV647" s="14"/>
      <c r="GW647" s="16"/>
      <c r="GX647" s="14"/>
      <c r="GY647" s="11" t="s">
        <v>320</v>
      </c>
      <c r="GZ647" s="14">
        <v>2800</v>
      </c>
      <c r="HA647" s="16">
        <v>1</v>
      </c>
      <c r="HB647" s="14">
        <v>16800</v>
      </c>
      <c r="HC647" s="12"/>
      <c r="HD647" s="12"/>
      <c r="HE647" s="14"/>
      <c r="HF647" s="16"/>
      <c r="HG647" s="14"/>
      <c r="HH647" s="12" t="s">
        <v>320</v>
      </c>
      <c r="HI647" s="12" t="s">
        <v>451</v>
      </c>
      <c r="HJ647" s="12">
        <v>2017</v>
      </c>
      <c r="HK647" s="12" t="s">
        <v>320</v>
      </c>
      <c r="HL647" s="12" t="s">
        <v>320</v>
      </c>
      <c r="HM647" s="12" t="s">
        <v>451</v>
      </c>
      <c r="HN647" s="12">
        <v>2017</v>
      </c>
      <c r="HO647" s="12" t="s">
        <v>10605</v>
      </c>
      <c r="HP647" s="12" t="s">
        <v>418</v>
      </c>
      <c r="HQ647" s="12" t="s">
        <v>319</v>
      </c>
      <c r="HR647" s="12" t="s">
        <v>319</v>
      </c>
      <c r="HS647" s="12" t="s">
        <v>320</v>
      </c>
      <c r="HT647" s="12" t="s">
        <v>319</v>
      </c>
      <c r="HU647" s="12" t="s">
        <v>319</v>
      </c>
      <c r="HV647" s="12" t="s">
        <v>319</v>
      </c>
      <c r="HW647" s="12" t="s">
        <v>319</v>
      </c>
      <c r="HX647" s="12" t="s">
        <v>319</v>
      </c>
      <c r="HY647" s="12"/>
      <c r="HZ647" s="12" t="s">
        <v>394</v>
      </c>
      <c r="IA647" s="12" t="s">
        <v>10606</v>
      </c>
      <c r="IB647" s="12" t="s">
        <v>396</v>
      </c>
      <c r="IC647" s="12" t="s">
        <v>10607</v>
      </c>
      <c r="ID647" s="12" t="s">
        <v>334</v>
      </c>
      <c r="IE647" s="12" t="s">
        <v>335</v>
      </c>
      <c r="IF647" s="12" t="s">
        <v>320</v>
      </c>
      <c r="IG647" s="12" t="s">
        <v>320</v>
      </c>
      <c r="IH647" s="12" t="s">
        <v>320</v>
      </c>
      <c r="II647" s="12" t="s">
        <v>320</v>
      </c>
      <c r="IJ647" s="12" t="str">
        <f t="shared" si="431"/>
        <v>2. Sensitive</v>
      </c>
      <c r="IK647" s="12">
        <f t="shared" si="432"/>
        <v>4</v>
      </c>
      <c r="IL647" s="11" t="s">
        <v>621</v>
      </c>
      <c r="IM647" s="12" t="s">
        <v>319</v>
      </c>
      <c r="IN647" s="12" t="s">
        <v>320</v>
      </c>
      <c r="IO647" s="12" t="s">
        <v>320</v>
      </c>
      <c r="IP647" s="12" t="s">
        <v>320</v>
      </c>
      <c r="IQ647" s="12" t="str">
        <f t="shared" si="433"/>
        <v>3. Responsive</v>
      </c>
      <c r="IR647" s="12">
        <f t="shared" si="434"/>
        <v>3</v>
      </c>
      <c r="IS647" s="12" t="s">
        <v>337</v>
      </c>
      <c r="IT647" s="12" t="s">
        <v>320</v>
      </c>
      <c r="IU647" s="12" t="s">
        <v>320</v>
      </c>
      <c r="IV647" s="12" t="s">
        <v>320</v>
      </c>
      <c r="IW647" s="11" t="str">
        <f t="shared" si="435"/>
        <v>2. Sensitive</v>
      </c>
      <c r="IX647" s="12">
        <f t="shared" si="436"/>
        <v>3</v>
      </c>
      <c r="IY647" s="12" t="s">
        <v>338</v>
      </c>
      <c r="IZ647" s="12" t="s">
        <v>457</v>
      </c>
      <c r="JA647" s="12">
        <v>3</v>
      </c>
      <c r="JB647" s="12" t="s">
        <v>433</v>
      </c>
      <c r="JC647" s="12" t="s">
        <v>724</v>
      </c>
      <c r="JD647" s="12" t="s">
        <v>2236</v>
      </c>
      <c r="JE647" s="12" t="s">
        <v>340</v>
      </c>
      <c r="JF647" s="12" t="s">
        <v>10608</v>
      </c>
      <c r="JG647" s="12"/>
      <c r="JH647" s="12" t="s">
        <v>10609</v>
      </c>
      <c r="JI647" s="12" t="s">
        <v>10610</v>
      </c>
      <c r="JJ647" s="12" t="s">
        <v>10611</v>
      </c>
      <c r="JK647" s="12" t="s">
        <v>10612</v>
      </c>
      <c r="JL647" s="12" t="s">
        <v>10613</v>
      </c>
      <c r="JM647" s="12" t="s">
        <v>10614</v>
      </c>
      <c r="JN647" s="12"/>
      <c r="JO647" s="12"/>
      <c r="JP647" s="15">
        <f t="shared" si="437"/>
        <v>3967</v>
      </c>
      <c r="JQ647" s="15">
        <f t="shared" si="438"/>
        <v>19835</v>
      </c>
      <c r="JR647" s="279">
        <f t="shared" si="439"/>
        <v>5</v>
      </c>
      <c r="JS647" s="17">
        <f t="shared" si="440"/>
        <v>0.70582304008066554</v>
      </c>
      <c r="JT647" s="18">
        <f t="shared" si="441"/>
        <v>0.70582304008066554</v>
      </c>
      <c r="JU647" s="280">
        <f t="shared" si="442"/>
        <v>2800</v>
      </c>
      <c r="JV647" s="280">
        <f t="shared" si="443"/>
        <v>14000</v>
      </c>
      <c r="JW647" s="319" t="str">
        <f t="shared" si="444"/>
        <v/>
      </c>
      <c r="JX647" s="15">
        <f t="shared" si="445"/>
        <v>0</v>
      </c>
      <c r="JY647" s="15">
        <f t="shared" si="446"/>
        <v>0</v>
      </c>
      <c r="JZ647" s="19" t="str">
        <f t="shared" si="447"/>
        <v/>
      </c>
      <c r="KA647" s="52" t="str">
        <f t="shared" si="448"/>
        <v/>
      </c>
      <c r="KB647" s="15">
        <f t="shared" si="449"/>
        <v>0</v>
      </c>
      <c r="KC647" s="15">
        <f t="shared" si="450"/>
        <v>0</v>
      </c>
      <c r="KD647" s="20" t="str">
        <f t="shared" si="451"/>
        <v/>
      </c>
      <c r="KE647" s="52" t="str">
        <f t="shared" si="452"/>
        <v/>
      </c>
      <c r="KF647" s="15">
        <f t="shared" si="453"/>
        <v>0</v>
      </c>
      <c r="KG647" s="15">
        <f t="shared" si="454"/>
        <v>0</v>
      </c>
      <c r="KH647" s="21" t="str">
        <f t="shared" si="455"/>
        <v/>
      </c>
      <c r="KI647" s="52" t="str">
        <f t="shared" si="456"/>
        <v/>
      </c>
      <c r="KJ647" s="15">
        <f t="shared" si="457"/>
        <v>0</v>
      </c>
      <c r="KK647" s="15">
        <f t="shared" si="458"/>
        <v>0</v>
      </c>
      <c r="KL647" s="19" t="str">
        <f t="shared" si="459"/>
        <v/>
      </c>
      <c r="KM647" s="52">
        <f t="shared" si="460"/>
        <v>1</v>
      </c>
      <c r="KN647" s="22">
        <f t="shared" si="461"/>
        <v>2800</v>
      </c>
      <c r="KO647" s="22">
        <f t="shared" si="462"/>
        <v>16800</v>
      </c>
      <c r="KP647" s="19">
        <f t="shared" si="463"/>
        <v>6</v>
      </c>
      <c r="KQ647" s="11" t="str">
        <f t="shared" si="464"/>
        <v>2. Sensitive</v>
      </c>
      <c r="KR647" s="11" t="str">
        <f t="shared" si="465"/>
        <v>3. Responsive</v>
      </c>
      <c r="KS647" s="11" t="str">
        <f t="shared" si="466"/>
        <v>2. Sensitive</v>
      </c>
      <c r="KT647" s="11" t="str">
        <f t="shared" si="467"/>
        <v>It tested new ways for fighting poverty, but did not measure results of innovation</v>
      </c>
      <c r="KU647" s="11" t="str">
        <f t="shared" si="468"/>
        <v>Little or no advocacy</v>
      </c>
      <c r="KV647" s="11" t="str">
        <f t="shared" si="469"/>
        <v>It linked and worked with strategic alliances and partners to take tested and effective solutions to scale</v>
      </c>
      <c r="KW647" s="11" t="str">
        <f t="shared" si="470"/>
        <v>Sierra Leone - Women Empowerment &amp; Business Development Project</v>
      </c>
      <c r="KX647" s="11" t="str">
        <f t="shared" si="471"/>
        <v>Women Empowerment &amp; Business Development Project</v>
      </c>
      <c r="KY647" s="11" t="str">
        <f t="shared" si="472"/>
        <v>Sierra Leone</v>
      </c>
      <c r="KZ647" s="12">
        <v>647</v>
      </c>
    </row>
    <row r="648" spans="1:312" x14ac:dyDescent="0.3">
      <c r="A648" s="12" t="s">
        <v>10685</v>
      </c>
      <c r="B648" s="12" t="s">
        <v>1874</v>
      </c>
      <c r="C648" s="12"/>
      <c r="D648" s="12" t="s">
        <v>10912</v>
      </c>
      <c r="E648" s="277" t="str">
        <f t="shared" si="430"/>
        <v>Somalia</v>
      </c>
      <c r="F648" s="12" t="s">
        <v>10913</v>
      </c>
      <c r="G648" s="12" t="s">
        <v>488</v>
      </c>
      <c r="H648" s="12" t="s">
        <v>310</v>
      </c>
      <c r="I648" s="12" t="s">
        <v>506</v>
      </c>
      <c r="J648" s="281" t="s">
        <v>9230</v>
      </c>
      <c r="K648" s="12"/>
      <c r="L648" s="12"/>
      <c r="M648" s="12"/>
      <c r="N648" s="12"/>
      <c r="O648" s="12"/>
      <c r="P648" s="12"/>
      <c r="Q648" s="12"/>
      <c r="R648" s="12"/>
      <c r="S648" s="12"/>
      <c r="T648" s="12"/>
      <c r="U648" s="12"/>
      <c r="V648" s="12"/>
      <c r="W648" s="12"/>
      <c r="X648" s="12"/>
      <c r="Y648" s="12"/>
      <c r="Z648" s="12"/>
      <c r="AA648" s="12"/>
      <c r="AB648" s="12"/>
      <c r="AC648" s="12"/>
      <c r="AD648" s="12"/>
      <c r="BD648" s="13">
        <v>42644</v>
      </c>
      <c r="BE648" s="13">
        <v>44135</v>
      </c>
      <c r="BF648" s="12"/>
      <c r="BG648" s="12" t="s">
        <v>609</v>
      </c>
      <c r="BH648" s="14">
        <v>2540999</v>
      </c>
      <c r="BI648" s="12" t="s">
        <v>10882</v>
      </c>
      <c r="BJ648" s="12" t="s">
        <v>8849</v>
      </c>
      <c r="BK648" s="12" t="s">
        <v>10725</v>
      </c>
      <c r="BL648" s="12" t="s">
        <v>10883</v>
      </c>
      <c r="BM648" s="12" t="s">
        <v>444</v>
      </c>
      <c r="BN648" s="12" t="s">
        <v>10884</v>
      </c>
      <c r="BO648" s="12" t="s">
        <v>319</v>
      </c>
      <c r="BP648" s="12" t="s">
        <v>320</v>
      </c>
      <c r="BQ648" s="12" t="s">
        <v>319</v>
      </c>
      <c r="BR648" s="12" t="s">
        <v>10914</v>
      </c>
      <c r="BS648" s="12" t="s">
        <v>322</v>
      </c>
      <c r="BT648" s="12" t="s">
        <v>10915</v>
      </c>
      <c r="BU648" s="12" t="s">
        <v>10916</v>
      </c>
      <c r="BV648" s="14">
        <v>4554</v>
      </c>
      <c r="BW648" s="14">
        <v>1952</v>
      </c>
      <c r="BX648" s="14">
        <v>6506</v>
      </c>
      <c r="BY648" s="14">
        <v>27327</v>
      </c>
      <c r="BZ648" s="14">
        <v>11711</v>
      </c>
      <c r="CA648" s="14">
        <v>39038</v>
      </c>
      <c r="CB648" s="12" t="s">
        <v>10917</v>
      </c>
      <c r="CD648" s="14"/>
      <c r="CE648" s="14"/>
      <c r="CF648" s="14"/>
      <c r="CG648" s="14"/>
      <c r="CH648" s="14"/>
      <c r="CI648" s="14"/>
      <c r="CJ648" s="12"/>
      <c r="CK648" s="14"/>
      <c r="CL648" s="16"/>
      <c r="CM648" s="14"/>
      <c r="CN648" s="12"/>
      <c r="CO648" s="14"/>
      <c r="CP648" s="16"/>
      <c r="CQ648" s="14">
        <v>0</v>
      </c>
      <c r="CR648" s="12"/>
      <c r="CS648" s="14"/>
      <c r="CT648" s="16"/>
      <c r="CU648" s="14"/>
      <c r="CV648" s="12"/>
      <c r="CW648" s="14"/>
      <c r="CX648" s="16"/>
      <c r="CY648" s="14"/>
      <c r="CZ648" s="12"/>
      <c r="DA648" s="14"/>
      <c r="DB648" s="16"/>
      <c r="DC648" s="14"/>
      <c r="DD648" s="12"/>
      <c r="DE648" s="14"/>
      <c r="DF648" s="16"/>
      <c r="DG648" s="14"/>
      <c r="DH648" s="12"/>
      <c r="DI648" s="14"/>
      <c r="DJ648" s="16"/>
      <c r="DK648" s="14"/>
      <c r="DL648" s="12"/>
      <c r="DM648" s="14"/>
      <c r="DN648" s="16"/>
      <c r="DO648" s="14"/>
      <c r="DP648" s="12"/>
      <c r="DQ648" s="14"/>
      <c r="DR648" s="16"/>
      <c r="DS648" s="14"/>
      <c r="DT648" s="12"/>
      <c r="DU648" s="14"/>
      <c r="DV648" s="16"/>
      <c r="DW648" s="14"/>
      <c r="DX648" s="12"/>
      <c r="DY648" s="14"/>
      <c r="DZ648" s="16"/>
      <c r="EA648" s="14"/>
      <c r="EB648" s="12"/>
      <c r="EC648" s="14"/>
      <c r="ED648" s="16"/>
      <c r="EE648" s="14"/>
      <c r="EF648" s="12"/>
      <c r="EG648" s="12"/>
      <c r="EH648" s="14"/>
      <c r="EI648" s="16"/>
      <c r="EJ648" s="14"/>
      <c r="EK648" s="14">
        <v>550</v>
      </c>
      <c r="EL648" s="14">
        <v>296</v>
      </c>
      <c r="EM648" s="14">
        <v>846</v>
      </c>
      <c r="EN648" s="14">
        <v>3299</v>
      </c>
      <c r="EO648" s="14">
        <v>1777</v>
      </c>
      <c r="EP648" s="14">
        <v>5076</v>
      </c>
      <c r="EQ648" s="12" t="s">
        <v>319</v>
      </c>
      <c r="ER648" s="14"/>
      <c r="ES648" s="16"/>
      <c r="ET648" s="14"/>
      <c r="EU648" s="11" t="s">
        <v>319</v>
      </c>
      <c r="EV648" s="14"/>
      <c r="EW648" s="16"/>
      <c r="EX648" s="14"/>
      <c r="EY648" s="12" t="s">
        <v>319</v>
      </c>
      <c r="EZ648" s="14"/>
      <c r="FA648" s="16"/>
      <c r="FB648" s="14"/>
      <c r="FC648" s="12" t="s">
        <v>320</v>
      </c>
      <c r="FD648" s="14"/>
      <c r="FE648" s="16"/>
      <c r="FF648" s="14"/>
      <c r="FG648" s="12" t="s">
        <v>320</v>
      </c>
      <c r="FH648" s="14"/>
      <c r="FI648" s="16"/>
      <c r="FJ648" s="14"/>
      <c r="FK648" s="12" t="s">
        <v>319</v>
      </c>
      <c r="FL648" s="14"/>
      <c r="FM648" s="16"/>
      <c r="FN648" s="14"/>
      <c r="FO648" s="12" t="s">
        <v>319</v>
      </c>
      <c r="FP648" s="14"/>
      <c r="FQ648" s="16"/>
      <c r="FR648" s="14"/>
      <c r="FS648" s="12" t="s">
        <v>320</v>
      </c>
      <c r="FT648" s="14">
        <v>846</v>
      </c>
      <c r="FU648" s="16">
        <v>0.65</v>
      </c>
      <c r="FV648" s="14">
        <v>5076</v>
      </c>
      <c r="FW648" s="12" t="s">
        <v>320</v>
      </c>
      <c r="FX648" s="14"/>
      <c r="FY648" s="16"/>
      <c r="FZ648" s="14"/>
      <c r="GA648" s="12" t="s">
        <v>319</v>
      </c>
      <c r="GB648" s="14"/>
      <c r="GC648" s="16"/>
      <c r="GD648" s="14"/>
      <c r="GE648" s="12" t="s">
        <v>319</v>
      </c>
      <c r="GF648" s="14"/>
      <c r="GG648" s="16"/>
      <c r="GH648" s="14"/>
      <c r="GI648" s="12" t="s">
        <v>319</v>
      </c>
      <c r="GJ648" s="14"/>
      <c r="GK648" s="16"/>
      <c r="GL648" s="14"/>
      <c r="GM648" s="12" t="s">
        <v>320</v>
      </c>
      <c r="GN648" s="14"/>
      <c r="GO648" s="16"/>
      <c r="GP648" s="14"/>
      <c r="GQ648" s="12" t="s">
        <v>319</v>
      </c>
      <c r="GR648" s="14"/>
      <c r="GS648" s="16"/>
      <c r="GT648" s="14"/>
      <c r="GU648" s="12" t="s">
        <v>319</v>
      </c>
      <c r="GV648" s="14"/>
      <c r="GW648" s="16"/>
      <c r="GX648" s="14"/>
      <c r="GY648" s="12" t="s">
        <v>320</v>
      </c>
      <c r="GZ648" s="14"/>
      <c r="HA648" s="16"/>
      <c r="HB648" s="14"/>
      <c r="HC648" s="12"/>
      <c r="HD648" s="12"/>
      <c r="HE648" s="14"/>
      <c r="HF648" s="16"/>
      <c r="HG648" s="14"/>
      <c r="HH648" s="12" t="s">
        <v>320</v>
      </c>
      <c r="HI648" s="12" t="s">
        <v>560</v>
      </c>
      <c r="HJ648" s="12">
        <v>2017</v>
      </c>
      <c r="HK648" s="12" t="s">
        <v>320</v>
      </c>
      <c r="HL648" s="12" t="s">
        <v>319</v>
      </c>
      <c r="HM648" s="12"/>
      <c r="HN648" s="12"/>
      <c r="HO648" s="12"/>
      <c r="HP648" s="12" t="s">
        <v>330</v>
      </c>
      <c r="HQ648" s="12" t="s">
        <v>319</v>
      </c>
      <c r="HR648" s="12" t="s">
        <v>320</v>
      </c>
      <c r="HS648" s="12" t="s">
        <v>319</v>
      </c>
      <c r="HT648" s="12" t="s">
        <v>320</v>
      </c>
      <c r="HU648" s="12" t="s">
        <v>319</v>
      </c>
      <c r="HV648" s="12" t="s">
        <v>319</v>
      </c>
      <c r="HW648" s="12" t="s">
        <v>319</v>
      </c>
      <c r="HX648" s="12" t="s">
        <v>319</v>
      </c>
      <c r="HY648" s="12"/>
      <c r="HZ648" s="12" t="s">
        <v>363</v>
      </c>
      <c r="IA648" s="12"/>
      <c r="IB648" s="12" t="s">
        <v>667</v>
      </c>
      <c r="IC648" s="12" t="s">
        <v>1323</v>
      </c>
      <c r="ID648" s="12" t="s">
        <v>334</v>
      </c>
      <c r="IE648" s="12" t="s">
        <v>335</v>
      </c>
      <c r="IF648" s="12" t="s">
        <v>320</v>
      </c>
      <c r="IG648" s="12" t="s">
        <v>320</v>
      </c>
      <c r="IH648" s="12" t="s">
        <v>320</v>
      </c>
      <c r="II648" s="12" t="s">
        <v>320</v>
      </c>
      <c r="IJ648" s="12" t="str">
        <f t="shared" si="431"/>
        <v>2. Sensitive</v>
      </c>
      <c r="IK648" s="12">
        <f t="shared" si="432"/>
        <v>4</v>
      </c>
      <c r="IL648" s="12" t="s">
        <v>336</v>
      </c>
      <c r="IM648" s="12" t="s">
        <v>320</v>
      </c>
      <c r="IN648" s="12" t="s">
        <v>320</v>
      </c>
      <c r="IO648" s="12" t="s">
        <v>320</v>
      </c>
      <c r="IP648" s="12" t="s">
        <v>320</v>
      </c>
      <c r="IQ648" s="12" t="str">
        <f t="shared" si="433"/>
        <v>2. Accommodating</v>
      </c>
      <c r="IR648" s="12">
        <f t="shared" si="434"/>
        <v>4</v>
      </c>
      <c r="IS648" s="12" t="s">
        <v>337</v>
      </c>
      <c r="IT648" s="12" t="s">
        <v>319</v>
      </c>
      <c r="IU648" s="12" t="s">
        <v>320</v>
      </c>
      <c r="IV648" s="12" t="s">
        <v>320</v>
      </c>
      <c r="IW648" s="11" t="str">
        <f t="shared" si="435"/>
        <v>1. Neutral</v>
      </c>
      <c r="IX648" s="12">
        <f t="shared" si="436"/>
        <v>2</v>
      </c>
      <c r="IY648" s="12" t="s">
        <v>419</v>
      </c>
      <c r="IZ648" s="12" t="s">
        <v>432</v>
      </c>
      <c r="JA648" s="12">
        <v>3</v>
      </c>
      <c r="JB648" s="12" t="s">
        <v>433</v>
      </c>
      <c r="JC648" s="12"/>
      <c r="JD648" s="12"/>
      <c r="JE648" s="12" t="s">
        <v>365</v>
      </c>
      <c r="JF648" s="12"/>
      <c r="JG648" s="12"/>
      <c r="JH648" s="12" t="s">
        <v>10918</v>
      </c>
      <c r="JI648" s="12" t="s">
        <v>10919</v>
      </c>
      <c r="JJ648" s="12" t="s">
        <v>10920</v>
      </c>
      <c r="JK648" s="12" t="s">
        <v>10921</v>
      </c>
      <c r="JL648" s="12" t="s">
        <v>10922</v>
      </c>
      <c r="JM648" s="12" t="s">
        <v>10923</v>
      </c>
      <c r="JN648" s="12"/>
      <c r="JO648" s="12"/>
      <c r="JP648" s="15">
        <f t="shared" si="437"/>
        <v>846</v>
      </c>
      <c r="JQ648" s="15">
        <f t="shared" si="438"/>
        <v>5076</v>
      </c>
      <c r="JR648" s="279">
        <f t="shared" si="439"/>
        <v>6</v>
      </c>
      <c r="JS648" s="17">
        <f t="shared" si="440"/>
        <v>0.65011820330969272</v>
      </c>
      <c r="JT648" s="18">
        <f t="shared" si="441"/>
        <v>0.64992119779353819</v>
      </c>
      <c r="JU648" s="280">
        <f t="shared" si="442"/>
        <v>550</v>
      </c>
      <c r="JV648" s="280">
        <f t="shared" si="443"/>
        <v>3299</v>
      </c>
      <c r="JW648" s="319" t="str">
        <f t="shared" si="444"/>
        <v/>
      </c>
      <c r="JX648" s="15">
        <f t="shared" si="445"/>
        <v>0</v>
      </c>
      <c r="JY648" s="15">
        <f t="shared" si="446"/>
        <v>0</v>
      </c>
      <c r="JZ648" s="19" t="str">
        <f t="shared" si="447"/>
        <v/>
      </c>
      <c r="KA648" s="52">
        <f t="shared" si="448"/>
        <v>1</v>
      </c>
      <c r="KB648" s="15">
        <f t="shared" si="449"/>
        <v>0</v>
      </c>
      <c r="KC648" s="15">
        <f t="shared" si="450"/>
        <v>0</v>
      </c>
      <c r="KD648" s="20" t="str">
        <f t="shared" si="451"/>
        <v/>
      </c>
      <c r="KE648" s="52" t="str">
        <f t="shared" si="452"/>
        <v/>
      </c>
      <c r="KF648" s="15">
        <f t="shared" si="453"/>
        <v>0</v>
      </c>
      <c r="KG648" s="15">
        <f t="shared" si="454"/>
        <v>0</v>
      </c>
      <c r="KH648" s="21" t="str">
        <f t="shared" si="455"/>
        <v/>
      </c>
      <c r="KI648" s="52">
        <f t="shared" si="456"/>
        <v>1</v>
      </c>
      <c r="KJ648" s="15">
        <f t="shared" si="457"/>
        <v>846</v>
      </c>
      <c r="KK648" s="15">
        <f t="shared" si="458"/>
        <v>5076</v>
      </c>
      <c r="KL648" s="19">
        <f t="shared" si="459"/>
        <v>6</v>
      </c>
      <c r="KM648" s="52">
        <f t="shared" si="460"/>
        <v>1</v>
      </c>
      <c r="KN648" s="22">
        <f t="shared" si="461"/>
        <v>0</v>
      </c>
      <c r="KO648" s="22">
        <f t="shared" si="462"/>
        <v>0</v>
      </c>
      <c r="KP648" s="19" t="str">
        <f t="shared" si="463"/>
        <v/>
      </c>
      <c r="KQ648" s="11" t="str">
        <f t="shared" si="464"/>
        <v>2. Sensitive</v>
      </c>
      <c r="KR648" s="11" t="str">
        <f t="shared" si="465"/>
        <v>2. Accommodating</v>
      </c>
      <c r="KS648" s="11" t="str">
        <f t="shared" si="466"/>
        <v>1. Neutral</v>
      </c>
      <c r="KT648" s="11" t="str">
        <f t="shared" si="467"/>
        <v>It did not develop any specific innovation</v>
      </c>
      <c r="KU648" s="11" t="str">
        <f t="shared" si="468"/>
        <v>Moderate advocacy</v>
      </c>
      <c r="KV648" s="11" t="str">
        <f t="shared" si="469"/>
        <v>It took tested solutions to scale on its own</v>
      </c>
      <c r="KW648" s="11" t="str">
        <f t="shared" si="470"/>
        <v>Somalia - Challenging Harmful  Attitudes and Norms for Gender Equality and Empowerment in Somalia/Somaliland (CHANGES)</v>
      </c>
      <c r="KX648" s="11" t="str">
        <f t="shared" si="471"/>
        <v>Challenging Harmful  Attitudes and Norms for Gender Equality and Empowerment in Somalia/Somaliland (CHANGES)</v>
      </c>
      <c r="KY648" s="11" t="str">
        <f t="shared" si="472"/>
        <v>Somalia</v>
      </c>
      <c r="KZ648" s="287">
        <v>648</v>
      </c>
    </row>
    <row r="649" spans="1:312" x14ac:dyDescent="0.3">
      <c r="A649" s="12" t="s">
        <v>10685</v>
      </c>
      <c r="B649" s="12" t="s">
        <v>1874</v>
      </c>
      <c r="C649" s="12">
        <v>3338</v>
      </c>
      <c r="D649" s="12" t="s">
        <v>10739</v>
      </c>
      <c r="E649" s="277" t="str">
        <f t="shared" si="430"/>
        <v>Somalia</v>
      </c>
      <c r="F649" s="12" t="s">
        <v>10740</v>
      </c>
      <c r="G649" s="12" t="s">
        <v>425</v>
      </c>
      <c r="H649" s="12" t="s">
        <v>380</v>
      </c>
      <c r="I649" s="12" t="s">
        <v>517</v>
      </c>
      <c r="J649" s="281" t="s">
        <v>14578</v>
      </c>
      <c r="K649" s="12"/>
      <c r="L649" s="12"/>
      <c r="M649" s="12"/>
      <c r="N649" s="12"/>
      <c r="O649" s="12"/>
      <c r="P649" s="12"/>
      <c r="Q649" s="12"/>
      <c r="R649" s="12"/>
      <c r="S649" s="12"/>
      <c r="T649" s="12"/>
      <c r="U649" s="12"/>
      <c r="V649" s="12"/>
      <c r="W649" s="12"/>
      <c r="X649" s="12"/>
      <c r="Y649" s="12"/>
      <c r="Z649" s="12"/>
      <c r="AA649" s="12"/>
      <c r="AB649" s="12"/>
      <c r="AC649" s="12"/>
      <c r="AD649" s="12"/>
      <c r="BD649" s="13">
        <v>41318</v>
      </c>
      <c r="BE649" s="13">
        <v>42716</v>
      </c>
      <c r="BF649" s="13">
        <v>42959</v>
      </c>
      <c r="BG649" s="12" t="s">
        <v>749</v>
      </c>
      <c r="BH649" s="14">
        <v>10400000</v>
      </c>
      <c r="BI649" s="12" t="s">
        <v>10741</v>
      </c>
      <c r="BJ649" s="12" t="s">
        <v>8688</v>
      </c>
      <c r="BK649" s="12" t="s">
        <v>10725</v>
      </c>
      <c r="BL649" s="12" t="s">
        <v>10742</v>
      </c>
      <c r="BM649" s="12" t="s">
        <v>354</v>
      </c>
      <c r="BN649" s="12" t="s">
        <v>10743</v>
      </c>
      <c r="BO649" s="12" t="s">
        <v>320</v>
      </c>
      <c r="BP649" s="12" t="s">
        <v>320</v>
      </c>
      <c r="BQ649" s="12" t="s">
        <v>320</v>
      </c>
      <c r="BR649" s="12" t="s">
        <v>10744</v>
      </c>
      <c r="BS649" s="12" t="s">
        <v>357</v>
      </c>
      <c r="BT649" s="12" t="s">
        <v>10745</v>
      </c>
      <c r="BU649" s="12" t="s">
        <v>10746</v>
      </c>
      <c r="BV649" s="14">
        <v>14400</v>
      </c>
      <c r="BW649" s="14">
        <v>21600</v>
      </c>
      <c r="BX649" s="14">
        <v>36000</v>
      </c>
      <c r="BY649" s="14">
        <v>86400</v>
      </c>
      <c r="BZ649" s="14">
        <v>129600</v>
      </c>
      <c r="CA649" s="14">
        <v>216000</v>
      </c>
      <c r="CB649" s="12" t="s">
        <v>10747</v>
      </c>
      <c r="CD649" s="14">
        <v>2226</v>
      </c>
      <c r="CE649" s="14">
        <v>3338</v>
      </c>
      <c r="CF649" s="14">
        <v>5564</v>
      </c>
      <c r="CG649" s="14">
        <v>13356</v>
      </c>
      <c r="CH649" s="14">
        <v>20028</v>
      </c>
      <c r="CI649" s="14">
        <v>33384</v>
      </c>
      <c r="CJ649" s="12"/>
      <c r="CK649" s="14"/>
      <c r="CL649" s="16"/>
      <c r="CM649" s="14"/>
      <c r="CN649" s="12" t="s">
        <v>320</v>
      </c>
      <c r="CO649" s="14">
        <v>1782</v>
      </c>
      <c r="CP649" s="16">
        <v>0.4</v>
      </c>
      <c r="CQ649" s="14">
        <v>16692</v>
      </c>
      <c r="CR649" s="12"/>
      <c r="CS649" s="14"/>
      <c r="CT649" s="16"/>
      <c r="CU649" s="14"/>
      <c r="CV649" s="12" t="s">
        <v>320</v>
      </c>
      <c r="CW649" s="14"/>
      <c r="CX649" s="16"/>
      <c r="CY649" s="14"/>
      <c r="CZ649" s="12"/>
      <c r="DA649" s="14"/>
      <c r="DB649" s="16"/>
      <c r="DC649" s="14"/>
      <c r="DD649" s="12"/>
      <c r="DE649" s="14"/>
      <c r="DF649" s="16"/>
      <c r="DG649" s="14"/>
      <c r="DH649" s="12"/>
      <c r="DI649" s="14"/>
      <c r="DJ649" s="16"/>
      <c r="DK649" s="14"/>
      <c r="DL649" s="11" t="s">
        <v>320</v>
      </c>
      <c r="DM649" s="14">
        <v>1782</v>
      </c>
      <c r="DN649" s="16">
        <v>0.4</v>
      </c>
      <c r="DO649" s="14">
        <v>16692</v>
      </c>
      <c r="DP649" s="12"/>
      <c r="DQ649" s="14"/>
      <c r="DR649" s="16"/>
      <c r="DS649" s="14"/>
      <c r="DT649" s="12"/>
      <c r="DU649" s="14"/>
      <c r="DV649" s="16"/>
      <c r="DW649" s="14"/>
      <c r="DX649" s="12"/>
      <c r="DY649" s="14"/>
      <c r="DZ649" s="16"/>
      <c r="EA649" s="14"/>
      <c r="EB649" s="12"/>
      <c r="EC649" s="14"/>
      <c r="ED649" s="16"/>
      <c r="EE649" s="14"/>
      <c r="EF649" s="12"/>
      <c r="EG649" s="12"/>
      <c r="EH649" s="14"/>
      <c r="EI649" s="16"/>
      <c r="EJ649" s="14"/>
      <c r="EK649" s="14">
        <v>2299</v>
      </c>
      <c r="EL649" s="14">
        <v>3448</v>
      </c>
      <c r="EM649" s="14">
        <v>5747</v>
      </c>
      <c r="EN649" s="14">
        <v>13794</v>
      </c>
      <c r="EO649" s="14">
        <v>20688</v>
      </c>
      <c r="EP649" s="14">
        <v>34482</v>
      </c>
      <c r="EQ649" s="12" t="s">
        <v>319</v>
      </c>
      <c r="ER649" s="14"/>
      <c r="ES649" s="16"/>
      <c r="ET649" s="14"/>
      <c r="EU649" s="11" t="s">
        <v>319</v>
      </c>
      <c r="EV649" s="14"/>
      <c r="EW649" s="16"/>
      <c r="EX649" s="14"/>
      <c r="EY649" s="12" t="s">
        <v>320</v>
      </c>
      <c r="EZ649" s="14">
        <v>400</v>
      </c>
      <c r="FA649" s="16">
        <v>0.4</v>
      </c>
      <c r="FB649" s="14">
        <v>2400</v>
      </c>
      <c r="FC649" s="12" t="s">
        <v>319</v>
      </c>
      <c r="FD649" s="14"/>
      <c r="FE649" s="16"/>
      <c r="FF649" s="14"/>
      <c r="FG649" s="12" t="s">
        <v>319</v>
      </c>
      <c r="FH649" s="14"/>
      <c r="FI649" s="16"/>
      <c r="FJ649" s="14"/>
      <c r="FK649" s="12" t="s">
        <v>319</v>
      </c>
      <c r="FL649" s="14"/>
      <c r="FM649" s="16"/>
      <c r="FN649" s="14"/>
      <c r="FO649" s="12" t="s">
        <v>320</v>
      </c>
      <c r="FP649" s="14">
        <v>1782</v>
      </c>
      <c r="FQ649" s="16">
        <v>0.4</v>
      </c>
      <c r="FR649" s="14">
        <v>10692</v>
      </c>
      <c r="FS649" s="12" t="s">
        <v>319</v>
      </c>
      <c r="FT649" s="14"/>
      <c r="FU649" s="16"/>
      <c r="FV649" s="14"/>
      <c r="FW649" s="12" t="s">
        <v>319</v>
      </c>
      <c r="FX649" s="14"/>
      <c r="FY649" s="16"/>
      <c r="FZ649" s="14"/>
      <c r="GA649" s="12" t="s">
        <v>319</v>
      </c>
      <c r="GB649" s="14"/>
      <c r="GC649" s="16"/>
      <c r="GD649" s="14"/>
      <c r="GE649" s="12" t="s">
        <v>320</v>
      </c>
      <c r="GF649" s="14">
        <v>1782</v>
      </c>
      <c r="GG649" s="16">
        <v>0.4</v>
      </c>
      <c r="GH649" s="14">
        <v>10692</v>
      </c>
      <c r="GI649" s="11" t="s">
        <v>320</v>
      </c>
      <c r="GJ649" s="14">
        <v>1782</v>
      </c>
      <c r="GK649" s="16">
        <v>0.4</v>
      </c>
      <c r="GL649" s="14">
        <v>10692</v>
      </c>
      <c r="GM649" s="12" t="s">
        <v>319</v>
      </c>
      <c r="GN649" s="14"/>
      <c r="GO649" s="16"/>
      <c r="GP649" s="14"/>
      <c r="GQ649" s="12" t="s">
        <v>319</v>
      </c>
      <c r="GR649" s="14"/>
      <c r="GS649" s="16"/>
      <c r="GT649" s="14"/>
      <c r="GU649" s="12" t="s">
        <v>319</v>
      </c>
      <c r="GV649" s="14"/>
      <c r="GW649" s="16"/>
      <c r="GX649" s="14"/>
      <c r="GY649" s="12" t="s">
        <v>319</v>
      </c>
      <c r="GZ649" s="14"/>
      <c r="HA649" s="16"/>
      <c r="HB649" s="14"/>
      <c r="HC649" s="12"/>
      <c r="HD649" s="12"/>
      <c r="HE649" s="14"/>
      <c r="HF649" s="16"/>
      <c r="HG649" s="14"/>
      <c r="HH649" s="12" t="s">
        <v>319</v>
      </c>
      <c r="HI649" s="12"/>
      <c r="HJ649" s="12"/>
      <c r="HK649" s="12" t="s">
        <v>319</v>
      </c>
      <c r="HL649" s="12" t="s">
        <v>320</v>
      </c>
      <c r="HM649" s="12" t="s">
        <v>327</v>
      </c>
      <c r="HN649" s="12">
        <v>2017</v>
      </c>
      <c r="HO649" s="12" t="s">
        <v>10748</v>
      </c>
      <c r="HP649" s="12" t="s">
        <v>330</v>
      </c>
      <c r="HQ649" s="12" t="s">
        <v>320</v>
      </c>
      <c r="HR649" s="12" t="s">
        <v>320</v>
      </c>
      <c r="HS649" s="12" t="s">
        <v>320</v>
      </c>
      <c r="HT649" s="12" t="s">
        <v>320</v>
      </c>
      <c r="HU649" s="12" t="s">
        <v>320</v>
      </c>
      <c r="HV649" s="12" t="s">
        <v>320</v>
      </c>
      <c r="HW649" s="12" t="s">
        <v>320</v>
      </c>
      <c r="HX649" s="12"/>
      <c r="HY649" s="12"/>
      <c r="HZ649" s="12" t="s">
        <v>394</v>
      </c>
      <c r="IA649" s="12" t="s">
        <v>10749</v>
      </c>
      <c r="IB649" s="12" t="s">
        <v>667</v>
      </c>
      <c r="IC649" s="12" t="s">
        <v>10750</v>
      </c>
      <c r="ID649" s="12" t="s">
        <v>364</v>
      </c>
      <c r="IE649" s="12" t="s">
        <v>335</v>
      </c>
      <c r="IF649" s="12" t="s">
        <v>320</v>
      </c>
      <c r="IG649" s="12" t="s">
        <v>320</v>
      </c>
      <c r="IH649" s="12" t="s">
        <v>320</v>
      </c>
      <c r="II649" s="12" t="s">
        <v>320</v>
      </c>
      <c r="IJ649" s="12" t="str">
        <f t="shared" si="431"/>
        <v>2. Sensitive</v>
      </c>
      <c r="IK649" s="12">
        <f t="shared" si="432"/>
        <v>4</v>
      </c>
      <c r="IL649" s="12" t="s">
        <v>336</v>
      </c>
      <c r="IM649" s="12" t="s">
        <v>320</v>
      </c>
      <c r="IN649" s="12" t="s">
        <v>320</v>
      </c>
      <c r="IO649" s="12" t="s">
        <v>320</v>
      </c>
      <c r="IP649" s="12" t="s">
        <v>320</v>
      </c>
      <c r="IQ649" s="12" t="str">
        <f t="shared" si="433"/>
        <v>2. Accommodating</v>
      </c>
      <c r="IR649" s="12">
        <f t="shared" si="434"/>
        <v>4</v>
      </c>
      <c r="IS649" s="12" t="s">
        <v>622</v>
      </c>
      <c r="IT649" s="12" t="s">
        <v>320</v>
      </c>
      <c r="IU649" s="12" t="s">
        <v>320</v>
      </c>
      <c r="IV649" s="12" t="s">
        <v>320</v>
      </c>
      <c r="IW649" s="11" t="str">
        <f t="shared" si="435"/>
        <v>4. Transformative</v>
      </c>
      <c r="IX649" s="12">
        <f t="shared" si="436"/>
        <v>3</v>
      </c>
      <c r="IY649" s="12" t="s">
        <v>758</v>
      </c>
      <c r="IZ649" s="12" t="s">
        <v>432</v>
      </c>
      <c r="JA649" s="12">
        <v>3</v>
      </c>
      <c r="JB649" s="12" t="s">
        <v>623</v>
      </c>
      <c r="JC649" s="12" t="s">
        <v>651</v>
      </c>
      <c r="JD649" s="12" t="s">
        <v>585</v>
      </c>
      <c r="JE649" s="12" t="s">
        <v>365</v>
      </c>
      <c r="JF649" s="12"/>
      <c r="JG649" s="12" t="s">
        <v>10751</v>
      </c>
      <c r="JH649" s="12" t="s">
        <v>10752</v>
      </c>
      <c r="JI649" s="12" t="s">
        <v>10753</v>
      </c>
      <c r="JJ649" s="12" t="s">
        <v>10754</v>
      </c>
      <c r="JK649" s="12" t="s">
        <v>10755</v>
      </c>
      <c r="JL649" s="12" t="s">
        <v>10756</v>
      </c>
      <c r="JM649" s="12" t="s">
        <v>10757</v>
      </c>
      <c r="JN649" s="12" t="s">
        <v>10758</v>
      </c>
      <c r="JO649" s="12" t="s">
        <v>10759</v>
      </c>
      <c r="JP649" s="15">
        <f t="shared" si="437"/>
        <v>5747</v>
      </c>
      <c r="JQ649" s="15">
        <f t="shared" si="438"/>
        <v>34482</v>
      </c>
      <c r="JR649" s="279">
        <f t="shared" si="439"/>
        <v>6</v>
      </c>
      <c r="JS649" s="17">
        <f t="shared" si="440"/>
        <v>0.40003480076561682</v>
      </c>
      <c r="JT649" s="18">
        <f t="shared" si="441"/>
        <v>0.40003480076561682</v>
      </c>
      <c r="JU649" s="280">
        <f t="shared" si="442"/>
        <v>2299</v>
      </c>
      <c r="JV649" s="280">
        <f t="shared" si="443"/>
        <v>13794</v>
      </c>
      <c r="JW649" s="319">
        <f t="shared" si="444"/>
        <v>1</v>
      </c>
      <c r="JX649" s="15">
        <f t="shared" si="445"/>
        <v>5564</v>
      </c>
      <c r="JY649" s="15">
        <f t="shared" si="446"/>
        <v>33384</v>
      </c>
      <c r="JZ649" s="19">
        <f t="shared" si="447"/>
        <v>6</v>
      </c>
      <c r="KA649" s="52">
        <f t="shared" si="448"/>
        <v>1</v>
      </c>
      <c r="KB649" s="15">
        <f t="shared" si="449"/>
        <v>1782</v>
      </c>
      <c r="KC649" s="15">
        <f t="shared" si="450"/>
        <v>16692</v>
      </c>
      <c r="KD649" s="20">
        <f t="shared" si="451"/>
        <v>9.3670033670033668</v>
      </c>
      <c r="KE649" s="52" t="str">
        <f t="shared" si="452"/>
        <v/>
      </c>
      <c r="KF649" s="15">
        <f t="shared" si="453"/>
        <v>0</v>
      </c>
      <c r="KG649" s="15">
        <f t="shared" si="454"/>
        <v>0</v>
      </c>
      <c r="KH649" s="21" t="str">
        <f t="shared" si="455"/>
        <v/>
      </c>
      <c r="KI649" s="52" t="str">
        <f t="shared" si="456"/>
        <v/>
      </c>
      <c r="KJ649" s="15">
        <f t="shared" si="457"/>
        <v>0</v>
      </c>
      <c r="KK649" s="15">
        <f t="shared" si="458"/>
        <v>0</v>
      </c>
      <c r="KL649" s="19" t="str">
        <f t="shared" si="459"/>
        <v/>
      </c>
      <c r="KM649" s="52" t="str">
        <f t="shared" si="460"/>
        <v/>
      </c>
      <c r="KN649" s="22">
        <f t="shared" si="461"/>
        <v>0</v>
      </c>
      <c r="KO649" s="22">
        <f t="shared" si="462"/>
        <v>0</v>
      </c>
      <c r="KP649" s="19" t="str">
        <f t="shared" si="463"/>
        <v/>
      </c>
      <c r="KQ649" s="11" t="str">
        <f t="shared" si="464"/>
        <v>2. Sensitive</v>
      </c>
      <c r="KR649" s="11" t="str">
        <f t="shared" si="465"/>
        <v>2. Accommodating</v>
      </c>
      <c r="KS649" s="11" t="str">
        <f t="shared" si="466"/>
        <v>4. Transformative</v>
      </c>
      <c r="KT649" s="11" t="str">
        <f t="shared" si="467"/>
        <v>It tested new ways for fighting poverty, but did not measure results of innovation</v>
      </c>
      <c r="KU649" s="11" t="str">
        <f t="shared" si="468"/>
        <v>Moderate advocacy</v>
      </c>
      <c r="KV649" s="11" t="str">
        <f t="shared" si="469"/>
        <v>It took tested solutions to scale on its own</v>
      </c>
      <c r="KW649" s="11" t="str">
        <f t="shared" si="470"/>
        <v>Somalia - Deegankaagu waa Noloshaada</v>
      </c>
      <c r="KX649" s="11" t="str">
        <f t="shared" si="471"/>
        <v>Deegankaagu waa Noloshaada</v>
      </c>
      <c r="KY649" s="11" t="str">
        <f t="shared" si="472"/>
        <v>Somalia</v>
      </c>
      <c r="KZ649" s="12">
        <v>649</v>
      </c>
    </row>
    <row r="650" spans="1:312" x14ac:dyDescent="0.3">
      <c r="A650" s="12" t="s">
        <v>10685</v>
      </c>
      <c r="B650" s="12" t="s">
        <v>1874</v>
      </c>
      <c r="C650" s="12"/>
      <c r="D650" s="12" t="s">
        <v>10760</v>
      </c>
      <c r="E650" s="277" t="str">
        <f t="shared" si="430"/>
        <v>Somalia</v>
      </c>
      <c r="F650" s="12" t="s">
        <v>10761</v>
      </c>
      <c r="G650" s="12" t="s">
        <v>425</v>
      </c>
      <c r="H650" s="12" t="s">
        <v>380</v>
      </c>
      <c r="I650" s="12" t="s">
        <v>517</v>
      </c>
      <c r="J650" s="281"/>
      <c r="K650" s="12"/>
      <c r="L650" s="12"/>
      <c r="M650" s="12"/>
      <c r="N650" s="12"/>
      <c r="O650" s="12"/>
      <c r="P650" s="12"/>
      <c r="Q650" s="12"/>
      <c r="R650" s="12"/>
      <c r="S650" s="12"/>
      <c r="T650" s="12"/>
      <c r="U650" s="12"/>
      <c r="V650" s="12"/>
      <c r="W650" s="12"/>
      <c r="X650" s="12"/>
      <c r="Y650" s="12"/>
      <c r="Z650" s="12"/>
      <c r="AA650" s="12"/>
      <c r="AB650" s="12"/>
      <c r="AC650" s="12"/>
      <c r="AD650" s="12"/>
      <c r="BD650" s="13">
        <v>42736</v>
      </c>
      <c r="BE650" s="13">
        <v>43839</v>
      </c>
      <c r="BF650" s="12"/>
      <c r="BG650" s="12" t="s">
        <v>350</v>
      </c>
      <c r="BH650" s="14">
        <v>4524363</v>
      </c>
      <c r="BI650" s="12" t="s">
        <v>10688</v>
      </c>
      <c r="BJ650" s="12" t="s">
        <v>10762</v>
      </c>
      <c r="BK650" s="12" t="s">
        <v>10763</v>
      </c>
      <c r="BL650" s="12" t="s">
        <v>10764</v>
      </c>
      <c r="BM650" s="12" t="s">
        <v>8466</v>
      </c>
      <c r="BN650" s="12" t="s">
        <v>10765</v>
      </c>
      <c r="BO650" s="12" t="s">
        <v>320</v>
      </c>
      <c r="BP650" s="12" t="s">
        <v>320</v>
      </c>
      <c r="BQ650" s="12" t="s">
        <v>320</v>
      </c>
      <c r="BR650" s="12" t="s">
        <v>10766</v>
      </c>
      <c r="BS650" s="12" t="s">
        <v>322</v>
      </c>
      <c r="BT650" s="12" t="s">
        <v>10767</v>
      </c>
      <c r="BU650" s="12" t="s">
        <v>10768</v>
      </c>
      <c r="BV650" s="14">
        <v>54000</v>
      </c>
      <c r="BW650" s="14">
        <v>36000</v>
      </c>
      <c r="BX650" s="14">
        <v>90000</v>
      </c>
      <c r="BY650" s="14">
        <v>110000</v>
      </c>
      <c r="BZ650" s="14">
        <v>70000</v>
      </c>
      <c r="CA650" s="14">
        <v>180000</v>
      </c>
      <c r="CB650" s="12"/>
      <c r="CD650" s="14">
        <v>5616</v>
      </c>
      <c r="CE650" s="14">
        <v>1094</v>
      </c>
      <c r="CF650" s="14">
        <v>6710</v>
      </c>
      <c r="CG650" s="14">
        <v>4052</v>
      </c>
      <c r="CH650" s="14">
        <v>1736</v>
      </c>
      <c r="CI650" s="14">
        <v>5788</v>
      </c>
      <c r="CJ650" s="12"/>
      <c r="CK650" s="14"/>
      <c r="CL650" s="16"/>
      <c r="CM650" s="14"/>
      <c r="CN650" s="12"/>
      <c r="CO650" s="14"/>
      <c r="CP650" s="16"/>
      <c r="CQ650" s="14"/>
      <c r="CR650" s="12" t="s">
        <v>320</v>
      </c>
      <c r="CS650" s="14">
        <v>18</v>
      </c>
      <c r="CT650" s="16">
        <v>0.6</v>
      </c>
      <c r="CU650" s="14">
        <v>200</v>
      </c>
      <c r="CV650" s="12"/>
      <c r="CW650" s="14"/>
      <c r="CX650" s="16"/>
      <c r="CY650" s="14"/>
      <c r="CZ650" s="12" t="s">
        <v>320</v>
      </c>
      <c r="DA650" s="14">
        <v>173</v>
      </c>
      <c r="DB650" s="16">
        <v>0.56999999999999995</v>
      </c>
      <c r="DC650" s="14">
        <v>180</v>
      </c>
      <c r="DD650" s="12"/>
      <c r="DE650" s="14"/>
      <c r="DF650" s="16"/>
      <c r="DG650" s="14"/>
      <c r="DH650" s="12" t="s">
        <v>320</v>
      </c>
      <c r="DI650" s="14">
        <v>3317</v>
      </c>
      <c r="DJ650" s="16">
        <v>0.99199999999999999</v>
      </c>
      <c r="DK650" s="14">
        <v>3000</v>
      </c>
      <c r="DL650" s="12" t="s">
        <v>320</v>
      </c>
      <c r="DM650" s="14">
        <v>0</v>
      </c>
      <c r="DN650" s="16">
        <v>0</v>
      </c>
      <c r="DO650" s="14">
        <v>0</v>
      </c>
      <c r="DP650" s="12" t="s">
        <v>320</v>
      </c>
      <c r="DQ650" s="14">
        <v>202</v>
      </c>
      <c r="DR650" s="16">
        <v>0.61299999999999999</v>
      </c>
      <c r="DS650" s="14">
        <v>308</v>
      </c>
      <c r="DT650" s="12"/>
      <c r="DU650" s="14"/>
      <c r="DV650" s="16"/>
      <c r="DW650" s="14"/>
      <c r="DX650" s="12"/>
      <c r="DY650" s="14"/>
      <c r="DZ650" s="16"/>
      <c r="EA650" s="14"/>
      <c r="EB650" s="11" t="s">
        <v>320</v>
      </c>
      <c r="EC650" s="14">
        <v>3000</v>
      </c>
      <c r="ED650" s="16">
        <v>0.7</v>
      </c>
      <c r="EE650" s="14">
        <v>2100</v>
      </c>
      <c r="EF650" s="12"/>
      <c r="EG650" s="12"/>
      <c r="EH650" s="14"/>
      <c r="EI650" s="16"/>
      <c r="EJ650" s="14"/>
      <c r="EK650" s="14">
        <v>5616</v>
      </c>
      <c r="EL650" s="14">
        <v>1094</v>
      </c>
      <c r="EM650" s="14">
        <v>6710</v>
      </c>
      <c r="EN650" s="14">
        <v>4052</v>
      </c>
      <c r="EO650" s="14">
        <v>1736</v>
      </c>
      <c r="EP650" s="14">
        <v>5788</v>
      </c>
      <c r="EQ650" s="12"/>
      <c r="ER650" s="14"/>
      <c r="ES650" s="16"/>
      <c r="ET650" s="14"/>
      <c r="EU650" s="12"/>
      <c r="EV650" s="14"/>
      <c r="EW650" s="16"/>
      <c r="EX650" s="14"/>
      <c r="EY650" s="12"/>
      <c r="EZ650" s="14"/>
      <c r="FA650" s="16"/>
      <c r="FB650" s="14"/>
      <c r="FC650" s="12"/>
      <c r="FD650" s="14"/>
      <c r="FE650" s="16"/>
      <c r="FF650" s="14"/>
      <c r="FG650" s="12"/>
      <c r="FH650" s="14"/>
      <c r="FI650" s="16"/>
      <c r="FJ650" s="14"/>
      <c r="FK650" s="12" t="s">
        <v>320</v>
      </c>
      <c r="FL650" s="14">
        <v>18</v>
      </c>
      <c r="FM650" s="16"/>
      <c r="FN650" s="14"/>
      <c r="FO650" s="12"/>
      <c r="FP650" s="14"/>
      <c r="FQ650" s="16"/>
      <c r="FR650" s="14"/>
      <c r="FS650" s="12" t="s">
        <v>320</v>
      </c>
      <c r="FT650" s="14">
        <v>173</v>
      </c>
      <c r="FU650" s="16"/>
      <c r="FV650" s="14"/>
      <c r="FW650" s="12"/>
      <c r="FX650" s="14"/>
      <c r="FY650" s="16"/>
      <c r="FZ650" s="14"/>
      <c r="GA650" s="11" t="s">
        <v>320</v>
      </c>
      <c r="GB650" s="14">
        <v>3317</v>
      </c>
      <c r="GC650" s="16"/>
      <c r="GD650" s="14"/>
      <c r="GE650" s="12"/>
      <c r="GF650" s="14"/>
      <c r="GG650" s="16"/>
      <c r="GH650" s="14"/>
      <c r="GI650" s="12"/>
      <c r="GJ650" s="14"/>
      <c r="GK650" s="16"/>
      <c r="GL650" s="14"/>
      <c r="GM650" s="11" t="s">
        <v>320</v>
      </c>
      <c r="GN650" s="14">
        <v>202</v>
      </c>
      <c r="GO650" s="16"/>
      <c r="GP650" s="14"/>
      <c r="GQ650" s="12"/>
      <c r="GR650" s="14"/>
      <c r="GS650" s="16"/>
      <c r="GT650" s="14"/>
      <c r="GU650" s="12" t="s">
        <v>320</v>
      </c>
      <c r="GV650" s="14">
        <v>3000</v>
      </c>
      <c r="GW650" s="16"/>
      <c r="GX650" s="14"/>
      <c r="GY650" s="12"/>
      <c r="GZ650" s="14"/>
      <c r="HA650" s="16"/>
      <c r="HB650" s="14"/>
      <c r="HC650" s="12"/>
      <c r="HD650" s="12"/>
      <c r="HE650" s="14"/>
      <c r="HF650" s="16"/>
      <c r="HG650" s="14"/>
      <c r="HH650" s="12"/>
      <c r="HI650" s="12"/>
      <c r="HJ650" s="12"/>
      <c r="HK650" s="12"/>
      <c r="HL650" s="12" t="s">
        <v>319</v>
      </c>
      <c r="HM650" s="12"/>
      <c r="HN650" s="12"/>
      <c r="HO650" s="12" t="s">
        <v>10769</v>
      </c>
      <c r="HP650" s="12" t="s">
        <v>330</v>
      </c>
      <c r="HQ650" s="12" t="s">
        <v>320</v>
      </c>
      <c r="HR650" s="12" t="s">
        <v>320</v>
      </c>
      <c r="HS650" s="12"/>
      <c r="HT650" s="12" t="s">
        <v>320</v>
      </c>
      <c r="HU650" s="12" t="s">
        <v>320</v>
      </c>
      <c r="HV650" s="12" t="s">
        <v>320</v>
      </c>
      <c r="HW650" s="12" t="s">
        <v>320</v>
      </c>
      <c r="HX650" s="12"/>
      <c r="HY650" s="12"/>
      <c r="HZ650" s="12" t="s">
        <v>363</v>
      </c>
      <c r="IA650" s="12" t="s">
        <v>10770</v>
      </c>
      <c r="IB650" s="12"/>
      <c r="IC650" s="12"/>
      <c r="ID650" s="12" t="s">
        <v>334</v>
      </c>
      <c r="IE650" s="12" t="s">
        <v>335</v>
      </c>
      <c r="IF650" s="12" t="s">
        <v>320</v>
      </c>
      <c r="IG650" s="12" t="s">
        <v>320</v>
      </c>
      <c r="IH650" s="12" t="s">
        <v>320</v>
      </c>
      <c r="II650" s="12" t="s">
        <v>320</v>
      </c>
      <c r="IJ650" s="12" t="str">
        <f t="shared" si="431"/>
        <v>2. Sensitive</v>
      </c>
      <c r="IK650" s="12">
        <f t="shared" si="432"/>
        <v>4</v>
      </c>
      <c r="IL650" s="12"/>
      <c r="IM650" s="12"/>
      <c r="IN650" s="12"/>
      <c r="IO650" s="12"/>
      <c r="IP650" s="12"/>
      <c r="IQ650" s="12" t="str">
        <f t="shared" si="433"/>
        <v>No marker score</v>
      </c>
      <c r="IR650" s="12">
        <f t="shared" si="434"/>
        <v>0</v>
      </c>
      <c r="IS650" s="12"/>
      <c r="IT650" s="12"/>
      <c r="IU650" s="12"/>
      <c r="IV650" s="12"/>
      <c r="IW650" s="11" t="str">
        <f t="shared" si="435"/>
        <v>No marker score</v>
      </c>
      <c r="IX650" s="12">
        <f t="shared" si="436"/>
        <v>0</v>
      </c>
      <c r="IY650" s="12"/>
      <c r="IZ650" s="12"/>
      <c r="JA650" s="12"/>
      <c r="JB650" s="12"/>
      <c r="JC650" s="12"/>
      <c r="JD650" s="12"/>
      <c r="JE650" s="12" t="s">
        <v>420</v>
      </c>
      <c r="JF650" s="12"/>
      <c r="JG650" s="12"/>
      <c r="JH650" s="12"/>
      <c r="JI650" s="12"/>
      <c r="JJ650" s="12"/>
      <c r="JK650" s="12"/>
      <c r="JL650" s="12"/>
      <c r="JM650" s="12"/>
      <c r="JN650" s="12"/>
      <c r="JO650" s="12"/>
      <c r="JP650" s="15">
        <f t="shared" si="437"/>
        <v>6710</v>
      </c>
      <c r="JQ650" s="15">
        <f t="shared" si="438"/>
        <v>5788</v>
      </c>
      <c r="JR650" s="279">
        <f t="shared" si="439"/>
        <v>0.86259314456035763</v>
      </c>
      <c r="JS650" s="17">
        <f t="shared" si="440"/>
        <v>0.83695976154992546</v>
      </c>
      <c r="JT650" s="18">
        <f t="shared" si="441"/>
        <v>0.70006910850034554</v>
      </c>
      <c r="JU650" s="280">
        <f t="shared" si="442"/>
        <v>5616</v>
      </c>
      <c r="JV650" s="280">
        <f t="shared" si="443"/>
        <v>4052</v>
      </c>
      <c r="JW650" s="319">
        <f t="shared" si="444"/>
        <v>1</v>
      </c>
      <c r="JX650" s="15">
        <f t="shared" si="445"/>
        <v>6710</v>
      </c>
      <c r="JY650" s="15">
        <f t="shared" si="446"/>
        <v>5788</v>
      </c>
      <c r="JZ650" s="19">
        <f t="shared" si="447"/>
        <v>0.86259314456035763</v>
      </c>
      <c r="KA650" s="52">
        <f t="shared" si="448"/>
        <v>1</v>
      </c>
      <c r="KB650" s="15">
        <f t="shared" si="449"/>
        <v>3000</v>
      </c>
      <c r="KC650" s="15">
        <f t="shared" si="450"/>
        <v>0</v>
      </c>
      <c r="KD650" s="20">
        <f t="shared" si="451"/>
        <v>0</v>
      </c>
      <c r="KE650" s="52" t="str">
        <f t="shared" si="452"/>
        <v/>
      </c>
      <c r="KF650" s="15">
        <f t="shared" si="453"/>
        <v>0</v>
      </c>
      <c r="KG650" s="15">
        <f t="shared" si="454"/>
        <v>0</v>
      </c>
      <c r="KH650" s="21" t="str">
        <f t="shared" si="455"/>
        <v/>
      </c>
      <c r="KI650" s="52">
        <f t="shared" si="456"/>
        <v>1</v>
      </c>
      <c r="KJ650" s="15">
        <f t="shared" si="457"/>
        <v>173</v>
      </c>
      <c r="KK650" s="15">
        <f t="shared" si="458"/>
        <v>180</v>
      </c>
      <c r="KL650" s="19">
        <f t="shared" si="459"/>
        <v>1.0404624277456647</v>
      </c>
      <c r="KM650" s="52" t="str">
        <f t="shared" si="460"/>
        <v/>
      </c>
      <c r="KN650" s="22">
        <f t="shared" si="461"/>
        <v>0</v>
      </c>
      <c r="KO650" s="22">
        <f t="shared" si="462"/>
        <v>0</v>
      </c>
      <c r="KP650" s="19" t="str">
        <f t="shared" si="463"/>
        <v/>
      </c>
      <c r="KQ650" s="11" t="str">
        <f t="shared" si="464"/>
        <v>2. Sensitive</v>
      </c>
      <c r="KR650" s="11" t="str">
        <f t="shared" si="465"/>
        <v>No marker score</v>
      </c>
      <c r="KS650" s="11" t="str">
        <f t="shared" si="466"/>
        <v>No marker score</v>
      </c>
      <c r="KT650" s="11" t="str">
        <f t="shared" si="467"/>
        <v>It did not develop any specific innovation</v>
      </c>
      <c r="KU650" s="11" t="str">
        <f t="shared" si="468"/>
        <v>Moderate advocacy</v>
      </c>
      <c r="KV650" s="11">
        <f t="shared" si="469"/>
        <v>0</v>
      </c>
      <c r="KW650" s="11" t="str">
        <f t="shared" si="470"/>
        <v>Somalia - Durable Solution for Internally Displaced persons and Returnees in Somalia (DSIRS)</v>
      </c>
      <c r="KX650" s="11" t="str">
        <f t="shared" si="471"/>
        <v>Durable Solution for Internally Displaced persons and Returnees in Somalia (DSIRS)</v>
      </c>
      <c r="KY650" s="11" t="str">
        <f t="shared" si="472"/>
        <v>Somalia</v>
      </c>
      <c r="KZ650" s="12">
        <v>650</v>
      </c>
    </row>
    <row r="651" spans="1:312" x14ac:dyDescent="0.3">
      <c r="A651" s="12" t="s">
        <v>10685</v>
      </c>
      <c r="B651" s="12" t="s">
        <v>1874</v>
      </c>
      <c r="C651" s="12"/>
      <c r="D651" s="12" t="s">
        <v>10924</v>
      </c>
      <c r="E651" s="277" t="str">
        <f t="shared" si="430"/>
        <v>Somalia</v>
      </c>
      <c r="F651" s="12" t="s">
        <v>10925</v>
      </c>
      <c r="G651" s="12" t="s">
        <v>488</v>
      </c>
      <c r="H651" s="12" t="s">
        <v>384</v>
      </c>
      <c r="I651" s="12" t="s">
        <v>384</v>
      </c>
      <c r="J651" s="281" t="s">
        <v>14738</v>
      </c>
      <c r="K651" s="12"/>
      <c r="L651" s="12"/>
      <c r="M651" s="12"/>
      <c r="N651" s="12"/>
      <c r="O651" s="12"/>
      <c r="P651" s="12"/>
      <c r="Q651" s="12"/>
      <c r="R651" s="12"/>
      <c r="S651" s="12"/>
      <c r="T651" s="12"/>
      <c r="U651" s="12"/>
      <c r="V651" s="12"/>
      <c r="W651" s="12"/>
      <c r="X651" s="12"/>
      <c r="Y651" s="12"/>
      <c r="Z651" s="12"/>
      <c r="AA651" s="12"/>
      <c r="AB651" s="12"/>
      <c r="AC651" s="12"/>
      <c r="AD651" s="12"/>
      <c r="BD651" s="13">
        <v>42809</v>
      </c>
      <c r="BE651" s="13">
        <v>43008</v>
      </c>
      <c r="BF651" s="12"/>
      <c r="BG651" s="12" t="s">
        <v>817</v>
      </c>
      <c r="BH651" s="14">
        <v>190704</v>
      </c>
      <c r="BI651" s="12" t="s">
        <v>10699</v>
      </c>
      <c r="BJ651" s="12" t="s">
        <v>10700</v>
      </c>
      <c r="BK651" s="12" t="s">
        <v>10701</v>
      </c>
      <c r="BL651" s="12" t="s">
        <v>10702</v>
      </c>
      <c r="BM651" s="12" t="s">
        <v>10703</v>
      </c>
      <c r="BN651" s="12" t="s">
        <v>10704</v>
      </c>
      <c r="BO651" s="12" t="s">
        <v>320</v>
      </c>
      <c r="BP651" s="12" t="s">
        <v>319</v>
      </c>
      <c r="BQ651" s="12" t="s">
        <v>319</v>
      </c>
      <c r="BR651" s="12" t="s">
        <v>10926</v>
      </c>
      <c r="BS651" s="12" t="s">
        <v>357</v>
      </c>
      <c r="BT651" s="12" t="s">
        <v>10927</v>
      </c>
      <c r="BU651" s="12" t="s">
        <v>10707</v>
      </c>
      <c r="BV651" s="14">
        <v>13506</v>
      </c>
      <c r="BW651" s="14">
        <v>14055</v>
      </c>
      <c r="BX651" s="14">
        <v>27561</v>
      </c>
      <c r="BY651" s="14"/>
      <c r="BZ651" s="14"/>
      <c r="CA651" s="14"/>
      <c r="CB651" s="12" t="s">
        <v>10928</v>
      </c>
      <c r="CD651" s="14">
        <v>13506</v>
      </c>
      <c r="CE651" s="14">
        <v>14055</v>
      </c>
      <c r="CF651" s="14">
        <v>27561</v>
      </c>
      <c r="CG651" s="14"/>
      <c r="CH651" s="14"/>
      <c r="CI651" s="14"/>
      <c r="CJ651" s="12" t="s">
        <v>319</v>
      </c>
      <c r="CK651" s="14"/>
      <c r="CL651" s="16"/>
      <c r="CM651" s="14"/>
      <c r="CN651" s="12" t="s">
        <v>320</v>
      </c>
      <c r="CO651" s="14">
        <v>3724</v>
      </c>
      <c r="CP651" s="16">
        <v>0.51</v>
      </c>
      <c r="CQ651" s="14"/>
      <c r="CR651" s="12" t="s">
        <v>319</v>
      </c>
      <c r="CS651" s="14"/>
      <c r="CT651" s="16"/>
      <c r="CU651" s="14"/>
      <c r="CV651" s="12" t="s">
        <v>320</v>
      </c>
      <c r="CW651" s="14">
        <v>2878</v>
      </c>
      <c r="CX651" s="16">
        <v>0.49</v>
      </c>
      <c r="CY651" s="14"/>
      <c r="CZ651" s="12" t="s">
        <v>319</v>
      </c>
      <c r="DA651" s="14"/>
      <c r="DB651" s="16"/>
      <c r="DC651" s="14"/>
      <c r="DD651" s="12" t="s">
        <v>319</v>
      </c>
      <c r="DE651" s="14"/>
      <c r="DF651" s="16"/>
      <c r="DG651" s="14"/>
      <c r="DH651" s="12" t="s">
        <v>319</v>
      </c>
      <c r="DI651" s="14"/>
      <c r="DJ651" s="16"/>
      <c r="DK651" s="14"/>
      <c r="DL651" s="12" t="s">
        <v>319</v>
      </c>
      <c r="DM651" s="14"/>
      <c r="DN651" s="16"/>
      <c r="DO651" s="14"/>
      <c r="DP651" s="12" t="s">
        <v>319</v>
      </c>
      <c r="DQ651" s="14"/>
      <c r="DR651" s="16"/>
      <c r="DS651" s="14"/>
      <c r="DT651" s="12" t="s">
        <v>319</v>
      </c>
      <c r="DU651" s="14"/>
      <c r="DV651" s="16"/>
      <c r="DW651" s="14"/>
      <c r="DX651" s="12" t="s">
        <v>319</v>
      </c>
      <c r="DY651" s="14"/>
      <c r="DZ651" s="16"/>
      <c r="EA651" s="14"/>
      <c r="EB651" s="11" t="s">
        <v>320</v>
      </c>
      <c r="EC651" s="14">
        <v>20959</v>
      </c>
      <c r="ED651" s="16">
        <v>0.49</v>
      </c>
      <c r="EE651" s="14"/>
      <c r="EF651" s="12"/>
      <c r="EG651" s="12"/>
      <c r="EH651" s="14"/>
      <c r="EI651" s="16"/>
      <c r="EJ651" s="14"/>
      <c r="EK651" s="14"/>
      <c r="EL651" s="14"/>
      <c r="EM651" s="14"/>
      <c r="EN651" s="14"/>
      <c r="EO651" s="14"/>
      <c r="EP651" s="14"/>
      <c r="EQ651" s="12"/>
      <c r="ER651" s="14"/>
      <c r="ES651" s="16"/>
      <c r="ET651" s="14"/>
      <c r="EU651" s="12"/>
      <c r="EV651" s="14"/>
      <c r="EW651" s="16"/>
      <c r="EX651" s="14"/>
      <c r="EY651" s="12"/>
      <c r="EZ651" s="14"/>
      <c r="FA651" s="16"/>
      <c r="FB651" s="14"/>
      <c r="FC651" s="12"/>
      <c r="FD651" s="14"/>
      <c r="FE651" s="16"/>
      <c r="FF651" s="14"/>
      <c r="FG651" s="12"/>
      <c r="FH651" s="14"/>
      <c r="FI651" s="16"/>
      <c r="FJ651" s="14"/>
      <c r="FK651" s="12"/>
      <c r="FL651" s="14"/>
      <c r="FM651" s="16"/>
      <c r="FN651" s="14"/>
      <c r="FO651" s="12"/>
      <c r="FP651" s="14"/>
      <c r="FQ651" s="16"/>
      <c r="FR651" s="14"/>
      <c r="FS651" s="12"/>
      <c r="FT651" s="14"/>
      <c r="FU651" s="16"/>
      <c r="FV651" s="14"/>
      <c r="FW651" s="12"/>
      <c r="FX651" s="14"/>
      <c r="FY651" s="16"/>
      <c r="FZ651" s="14"/>
      <c r="GA651" s="12"/>
      <c r="GB651" s="14"/>
      <c r="GC651" s="16"/>
      <c r="GD651" s="14"/>
      <c r="GE651" s="12"/>
      <c r="GF651" s="14"/>
      <c r="GG651" s="16"/>
      <c r="GH651" s="14"/>
      <c r="GI651" s="12"/>
      <c r="GJ651" s="14"/>
      <c r="GK651" s="16"/>
      <c r="GL651" s="14"/>
      <c r="GM651" s="12"/>
      <c r="GN651" s="14"/>
      <c r="GO651" s="16"/>
      <c r="GP651" s="14"/>
      <c r="GQ651" s="12"/>
      <c r="GR651" s="14"/>
      <c r="GS651" s="16"/>
      <c r="GT651" s="14"/>
      <c r="GU651" s="12"/>
      <c r="GV651" s="14"/>
      <c r="GW651" s="16"/>
      <c r="GX651" s="14"/>
      <c r="GY651" s="12"/>
      <c r="GZ651" s="14"/>
      <c r="HA651" s="16"/>
      <c r="HB651" s="14"/>
      <c r="HC651" s="12"/>
      <c r="HD651" s="12"/>
      <c r="HE651" s="14"/>
      <c r="HF651" s="16"/>
      <c r="HG651" s="14"/>
      <c r="HH651" s="12" t="s">
        <v>319</v>
      </c>
      <c r="HI651" s="12"/>
      <c r="HJ651" s="12"/>
      <c r="HK651" s="12" t="s">
        <v>319</v>
      </c>
      <c r="HL651" s="12" t="s">
        <v>319</v>
      </c>
      <c r="HM651" s="12"/>
      <c r="HN651" s="12">
        <v>2017</v>
      </c>
      <c r="HO651" s="12"/>
      <c r="HP651" s="12" t="s">
        <v>330</v>
      </c>
      <c r="HQ651" s="12" t="s">
        <v>319</v>
      </c>
      <c r="HR651" s="12" t="s">
        <v>320</v>
      </c>
      <c r="HS651" s="12" t="s">
        <v>320</v>
      </c>
      <c r="HT651" s="12" t="s">
        <v>320</v>
      </c>
      <c r="HU651" s="12" t="s">
        <v>319</v>
      </c>
      <c r="HV651" s="12" t="s">
        <v>319</v>
      </c>
      <c r="HW651" s="12" t="s">
        <v>320</v>
      </c>
      <c r="HX651" s="12" t="s">
        <v>319</v>
      </c>
      <c r="HY651" s="12"/>
      <c r="HZ651" s="12" t="s">
        <v>363</v>
      </c>
      <c r="IA651" s="12"/>
      <c r="IB651" s="12" t="s">
        <v>667</v>
      </c>
      <c r="IC651" s="12"/>
      <c r="ID651" s="12" t="s">
        <v>334</v>
      </c>
      <c r="IE651" s="12" t="s">
        <v>335</v>
      </c>
      <c r="IF651" s="12" t="s">
        <v>320</v>
      </c>
      <c r="IG651" s="12" t="s">
        <v>320</v>
      </c>
      <c r="IH651" s="12" t="s">
        <v>320</v>
      </c>
      <c r="II651" s="12" t="s">
        <v>320</v>
      </c>
      <c r="IJ651" s="12" t="str">
        <f t="shared" si="431"/>
        <v>2. Sensitive</v>
      </c>
      <c r="IK651" s="12">
        <f t="shared" si="432"/>
        <v>4</v>
      </c>
      <c r="IL651" s="12" t="s">
        <v>336</v>
      </c>
      <c r="IM651" s="12" t="s">
        <v>320</v>
      </c>
      <c r="IN651" s="12" t="s">
        <v>320</v>
      </c>
      <c r="IO651" s="12" t="s">
        <v>320</v>
      </c>
      <c r="IP651" s="12" t="s">
        <v>320</v>
      </c>
      <c r="IQ651" s="12" t="str">
        <f t="shared" si="433"/>
        <v>2. Accommodating</v>
      </c>
      <c r="IR651" s="12">
        <f t="shared" si="434"/>
        <v>4</v>
      </c>
      <c r="IS651" s="12" t="s">
        <v>337</v>
      </c>
      <c r="IT651" s="12" t="s">
        <v>320</v>
      </c>
      <c r="IU651" s="12"/>
      <c r="IV651" s="12"/>
      <c r="IW651" s="11" t="str">
        <f t="shared" si="435"/>
        <v>1. Neutral</v>
      </c>
      <c r="IX651" s="12">
        <f t="shared" si="436"/>
        <v>1</v>
      </c>
      <c r="IY651" s="12" t="s">
        <v>419</v>
      </c>
      <c r="IZ651" s="12" t="s">
        <v>339</v>
      </c>
      <c r="JA651" s="12"/>
      <c r="JB651" s="12"/>
      <c r="JC651" s="12"/>
      <c r="JD651" s="12"/>
      <c r="JE651" s="12" t="s">
        <v>420</v>
      </c>
      <c r="JF651" s="12"/>
      <c r="JG651" s="12"/>
      <c r="JH651" s="12" t="s">
        <v>10709</v>
      </c>
      <c r="JI651" s="12" t="s">
        <v>10710</v>
      </c>
      <c r="JJ651" s="12" t="s">
        <v>10711</v>
      </c>
      <c r="JK651" s="12" t="s">
        <v>10929</v>
      </c>
      <c r="JL651" s="12"/>
      <c r="JM651" s="12"/>
      <c r="JN651" s="12"/>
      <c r="JO651" s="12" t="s">
        <v>10930</v>
      </c>
      <c r="JP651" s="15">
        <f t="shared" si="437"/>
        <v>27561</v>
      </c>
      <c r="JQ651" s="15">
        <f t="shared" si="438"/>
        <v>0</v>
      </c>
      <c r="JR651" s="279">
        <f t="shared" si="439"/>
        <v>0</v>
      </c>
      <c r="JS651" s="17">
        <f t="shared" si="440"/>
        <v>0.49004027430064223</v>
      </c>
      <c r="JT651" s="18" t="str">
        <f t="shared" si="441"/>
        <v/>
      </c>
      <c r="JU651" s="280">
        <f t="shared" si="442"/>
        <v>13506</v>
      </c>
      <c r="JV651" s="280">
        <f t="shared" si="443"/>
        <v>0</v>
      </c>
      <c r="JW651" s="319">
        <f t="shared" si="444"/>
        <v>1</v>
      </c>
      <c r="JX651" s="15">
        <f t="shared" si="445"/>
        <v>27561</v>
      </c>
      <c r="JY651" s="15">
        <f t="shared" si="446"/>
        <v>0</v>
      </c>
      <c r="JZ651" s="19">
        <f t="shared" si="447"/>
        <v>0</v>
      </c>
      <c r="KA651" s="52">
        <f t="shared" si="448"/>
        <v>1</v>
      </c>
      <c r="KB651" s="15">
        <f t="shared" si="449"/>
        <v>2878</v>
      </c>
      <c r="KC651" s="15">
        <f t="shared" si="450"/>
        <v>0</v>
      </c>
      <c r="KD651" s="20">
        <f t="shared" si="451"/>
        <v>0</v>
      </c>
      <c r="KE651" s="52" t="str">
        <f t="shared" si="452"/>
        <v/>
      </c>
      <c r="KF651" s="15">
        <f t="shared" si="453"/>
        <v>0</v>
      </c>
      <c r="KG651" s="15">
        <f t="shared" si="454"/>
        <v>0</v>
      </c>
      <c r="KH651" s="21" t="str">
        <f t="shared" si="455"/>
        <v/>
      </c>
      <c r="KI651" s="52" t="str">
        <f t="shared" si="456"/>
        <v/>
      </c>
      <c r="KJ651" s="15">
        <f t="shared" si="457"/>
        <v>0</v>
      </c>
      <c r="KK651" s="15">
        <f t="shared" si="458"/>
        <v>0</v>
      </c>
      <c r="KL651" s="19" t="str">
        <f t="shared" si="459"/>
        <v/>
      </c>
      <c r="KM651" s="52" t="str">
        <f t="shared" si="460"/>
        <v/>
      </c>
      <c r="KN651" s="22">
        <f t="shared" si="461"/>
        <v>0</v>
      </c>
      <c r="KO651" s="22">
        <f t="shared" si="462"/>
        <v>0</v>
      </c>
      <c r="KP651" s="19" t="str">
        <f t="shared" si="463"/>
        <v/>
      </c>
      <c r="KQ651" s="11" t="str">
        <f t="shared" si="464"/>
        <v>2. Sensitive</v>
      </c>
      <c r="KR651" s="11" t="str">
        <f t="shared" si="465"/>
        <v>2. Accommodating</v>
      </c>
      <c r="KS651" s="11" t="str">
        <f t="shared" si="466"/>
        <v>1. Neutral</v>
      </c>
      <c r="KT651" s="11" t="str">
        <f t="shared" si="467"/>
        <v>It did not develop any specific innovation</v>
      </c>
      <c r="KU651" s="11" t="str">
        <f t="shared" si="468"/>
        <v>Moderate advocacy</v>
      </c>
      <c r="KV651" s="11" t="str">
        <f t="shared" si="469"/>
        <v>It took tested solutions to scale on its own</v>
      </c>
      <c r="KW651" s="11" t="str">
        <f t="shared" si="470"/>
        <v>Somalia - East Africa Crisis Appeal Somalia Project</v>
      </c>
      <c r="KX651" s="11" t="str">
        <f t="shared" si="471"/>
        <v>East Africa Crisis Appeal Somalia Project</v>
      </c>
      <c r="KY651" s="11" t="str">
        <f t="shared" si="472"/>
        <v>Somalia</v>
      </c>
      <c r="KZ651" s="12">
        <v>651</v>
      </c>
    </row>
    <row r="652" spans="1:312" x14ac:dyDescent="0.3">
      <c r="A652" s="12" t="s">
        <v>10685</v>
      </c>
      <c r="B652" s="12" t="s">
        <v>1874</v>
      </c>
      <c r="C652" s="12"/>
      <c r="D652" s="12" t="s">
        <v>11089</v>
      </c>
      <c r="E652" s="277" t="str">
        <f t="shared" si="430"/>
        <v>Somalia</v>
      </c>
      <c r="F652" s="12" t="s">
        <v>11090</v>
      </c>
      <c r="G652" s="12" t="s">
        <v>379</v>
      </c>
      <c r="H652" s="12" t="s">
        <v>310</v>
      </c>
      <c r="I652" s="12" t="s">
        <v>655</v>
      </c>
      <c r="J652" s="281" t="s">
        <v>4991</v>
      </c>
      <c r="K652" s="12"/>
      <c r="L652" s="12"/>
      <c r="M652" s="12"/>
      <c r="N652" s="12"/>
      <c r="O652" s="12"/>
      <c r="P652" s="12"/>
      <c r="Q652" s="12"/>
      <c r="R652" s="12"/>
      <c r="S652" s="12"/>
      <c r="T652" s="12"/>
      <c r="U652" s="12"/>
      <c r="V652" s="12"/>
      <c r="W652" s="12"/>
      <c r="X652" s="12"/>
      <c r="Y652" s="12"/>
      <c r="Z652" s="12"/>
      <c r="AA652" s="12"/>
      <c r="AB652" s="12"/>
      <c r="AC652" s="12"/>
      <c r="AD652" s="12"/>
      <c r="BD652" s="13">
        <v>42644</v>
      </c>
      <c r="BE652" s="13">
        <v>43008</v>
      </c>
      <c r="BF652" s="12"/>
      <c r="BG652" s="12" t="s">
        <v>817</v>
      </c>
      <c r="BH652" s="14">
        <v>1700000</v>
      </c>
      <c r="BI652" s="12" t="s">
        <v>10699</v>
      </c>
      <c r="BJ652" s="12" t="s">
        <v>10700</v>
      </c>
      <c r="BK652" s="12" t="s">
        <v>10701</v>
      </c>
      <c r="BL652" s="12" t="s">
        <v>10702</v>
      </c>
      <c r="BM652" s="12" t="s">
        <v>10703</v>
      </c>
      <c r="BN652" s="12" t="s">
        <v>10704</v>
      </c>
      <c r="BO652" s="12" t="s">
        <v>320</v>
      </c>
      <c r="BP652" s="12" t="s">
        <v>319</v>
      </c>
      <c r="BQ652" s="12" t="s">
        <v>319</v>
      </c>
      <c r="BR652" s="12" t="s">
        <v>10857</v>
      </c>
      <c r="BS652" s="12" t="s">
        <v>322</v>
      </c>
      <c r="BT652" s="12" t="s">
        <v>11091</v>
      </c>
      <c r="BU652" s="12" t="s">
        <v>10707</v>
      </c>
      <c r="BV652" s="14">
        <v>11976</v>
      </c>
      <c r="BW652" s="14">
        <v>12466</v>
      </c>
      <c r="BX652" s="14">
        <v>22442</v>
      </c>
      <c r="BY652" s="14"/>
      <c r="BZ652" s="14"/>
      <c r="CA652" s="14"/>
      <c r="CB652" s="12" t="s">
        <v>10708</v>
      </c>
      <c r="CD652" s="14">
        <v>11976</v>
      </c>
      <c r="CE652" s="14">
        <v>12466</v>
      </c>
      <c r="CF652" s="14">
        <v>24442</v>
      </c>
      <c r="CG652" s="14"/>
      <c r="CH652" s="14"/>
      <c r="CI652" s="14"/>
      <c r="CJ652" s="12" t="s">
        <v>319</v>
      </c>
      <c r="CK652" s="14"/>
      <c r="CL652" s="16"/>
      <c r="CM652" s="14"/>
      <c r="CN652" s="12" t="s">
        <v>319</v>
      </c>
      <c r="CO652" s="14"/>
      <c r="CP652" s="16"/>
      <c r="CQ652" s="14"/>
      <c r="CR652" s="12" t="s">
        <v>319</v>
      </c>
      <c r="CS652" s="14"/>
      <c r="CT652" s="16"/>
      <c r="CU652" s="14"/>
      <c r="CV652" s="12" t="s">
        <v>320</v>
      </c>
      <c r="CW652" s="14">
        <v>4405</v>
      </c>
      <c r="CX652" s="16">
        <v>0.8</v>
      </c>
      <c r="CY652" s="14"/>
      <c r="CZ652" s="12" t="s">
        <v>319</v>
      </c>
      <c r="DA652" s="14"/>
      <c r="DB652" s="16"/>
      <c r="DC652" s="14"/>
      <c r="DD652" s="12" t="s">
        <v>319</v>
      </c>
      <c r="DE652" s="14"/>
      <c r="DF652" s="16"/>
      <c r="DG652" s="14"/>
      <c r="DH652" s="12" t="s">
        <v>319</v>
      </c>
      <c r="DI652" s="14"/>
      <c r="DJ652" s="16"/>
      <c r="DK652" s="14"/>
      <c r="DL652" s="11" t="s">
        <v>320</v>
      </c>
      <c r="DM652" s="14">
        <v>2278</v>
      </c>
      <c r="DN652" s="16">
        <v>0.49</v>
      </c>
      <c r="DO652" s="14"/>
      <c r="DP652" s="12" t="s">
        <v>319</v>
      </c>
      <c r="DQ652" s="14"/>
      <c r="DR652" s="16"/>
      <c r="DS652" s="14"/>
      <c r="DT652" s="12" t="s">
        <v>319</v>
      </c>
      <c r="DU652" s="14"/>
      <c r="DV652" s="16"/>
      <c r="DW652" s="14"/>
      <c r="DX652" s="12" t="s">
        <v>319</v>
      </c>
      <c r="DY652" s="14"/>
      <c r="DZ652" s="16"/>
      <c r="EA652" s="14"/>
      <c r="EB652" s="11" t="s">
        <v>320</v>
      </c>
      <c r="EC652" s="14">
        <v>15759</v>
      </c>
      <c r="ED652" s="16">
        <v>0.49</v>
      </c>
      <c r="EE652" s="14"/>
      <c r="EF652" s="12"/>
      <c r="EG652" s="12"/>
      <c r="EH652" s="14"/>
      <c r="EI652" s="16"/>
      <c r="EJ652" s="14"/>
      <c r="EK652" s="14"/>
      <c r="EL652" s="14"/>
      <c r="EM652" s="14"/>
      <c r="EN652" s="14"/>
      <c r="EO652" s="14"/>
      <c r="EP652" s="14"/>
      <c r="EQ652" s="12"/>
      <c r="ER652" s="14"/>
      <c r="ES652" s="16"/>
      <c r="ET652" s="14"/>
      <c r="EU652" s="12"/>
      <c r="EV652" s="14"/>
      <c r="EW652" s="16"/>
      <c r="EX652" s="14"/>
      <c r="EY652" s="12"/>
      <c r="EZ652" s="14"/>
      <c r="FA652" s="16"/>
      <c r="FB652" s="14"/>
      <c r="FC652" s="12"/>
      <c r="FD652" s="14"/>
      <c r="FE652" s="16"/>
      <c r="FF652" s="14"/>
      <c r="FG652" s="12"/>
      <c r="FH652" s="14"/>
      <c r="FI652" s="16"/>
      <c r="FJ652" s="14"/>
      <c r="FK652" s="12"/>
      <c r="FL652" s="14"/>
      <c r="FM652" s="16"/>
      <c r="FN652" s="14"/>
      <c r="FO652" s="12"/>
      <c r="FP652" s="14"/>
      <c r="FQ652" s="16"/>
      <c r="FR652" s="14"/>
      <c r="FS652" s="12"/>
      <c r="FT652" s="14"/>
      <c r="FU652" s="16"/>
      <c r="FV652" s="14"/>
      <c r="FW652" s="12"/>
      <c r="FX652" s="14"/>
      <c r="FY652" s="16"/>
      <c r="FZ652" s="14"/>
      <c r="GA652" s="12"/>
      <c r="GB652" s="14"/>
      <c r="GC652" s="16"/>
      <c r="GD652" s="14"/>
      <c r="GE652" s="12"/>
      <c r="GF652" s="14"/>
      <c r="GG652" s="16"/>
      <c r="GH652" s="14"/>
      <c r="GI652" s="12"/>
      <c r="GJ652" s="14"/>
      <c r="GK652" s="16"/>
      <c r="GL652" s="14"/>
      <c r="GM652" s="12"/>
      <c r="GN652" s="14"/>
      <c r="GO652" s="16"/>
      <c r="GP652" s="14"/>
      <c r="GQ652" s="12"/>
      <c r="GR652" s="14"/>
      <c r="GS652" s="16"/>
      <c r="GT652" s="14"/>
      <c r="GU652" s="12"/>
      <c r="GV652" s="14"/>
      <c r="GW652" s="16"/>
      <c r="GX652" s="14"/>
      <c r="GY652" s="12"/>
      <c r="GZ652" s="14"/>
      <c r="HA652" s="16"/>
      <c r="HB652" s="14"/>
      <c r="HC652" s="12"/>
      <c r="HD652" s="12"/>
      <c r="HE652" s="14"/>
      <c r="HF652" s="16"/>
      <c r="HG652" s="14"/>
      <c r="HH652" s="12" t="s">
        <v>320</v>
      </c>
      <c r="HI652" s="12" t="s">
        <v>361</v>
      </c>
      <c r="HJ652" s="12">
        <v>2016</v>
      </c>
      <c r="HK652" s="12" t="s">
        <v>320</v>
      </c>
      <c r="HL652" s="12" t="s">
        <v>320</v>
      </c>
      <c r="HM652" s="12" t="s">
        <v>619</v>
      </c>
      <c r="HN652" s="12"/>
      <c r="HO652" s="12" t="s">
        <v>11092</v>
      </c>
      <c r="HP652" s="12" t="s">
        <v>330</v>
      </c>
      <c r="HQ652" s="12" t="s">
        <v>319</v>
      </c>
      <c r="HR652" s="12"/>
      <c r="HS652" s="12"/>
      <c r="HT652" s="12" t="s">
        <v>320</v>
      </c>
      <c r="HU652" s="12"/>
      <c r="HV652" s="12"/>
      <c r="HW652" s="12" t="s">
        <v>319</v>
      </c>
      <c r="HX652" s="12"/>
      <c r="HY652" s="12"/>
      <c r="HZ652" s="12" t="s">
        <v>363</v>
      </c>
      <c r="IA652" s="12"/>
      <c r="IB652" s="12" t="s">
        <v>667</v>
      </c>
      <c r="IC652" s="12"/>
      <c r="ID652" s="12" t="s">
        <v>334</v>
      </c>
      <c r="IE652" s="12" t="s">
        <v>335</v>
      </c>
      <c r="IF652" s="12" t="s">
        <v>320</v>
      </c>
      <c r="IG652" s="12" t="s">
        <v>320</v>
      </c>
      <c r="IH652" s="12" t="s">
        <v>320</v>
      </c>
      <c r="II652" s="12" t="s">
        <v>320</v>
      </c>
      <c r="IJ652" s="12" t="str">
        <f t="shared" si="431"/>
        <v>2. Sensitive</v>
      </c>
      <c r="IK652" s="12">
        <f t="shared" si="432"/>
        <v>4</v>
      </c>
      <c r="IL652" s="12" t="s">
        <v>336</v>
      </c>
      <c r="IM652" s="12" t="s">
        <v>320</v>
      </c>
      <c r="IN652" s="12" t="s">
        <v>320</v>
      </c>
      <c r="IO652" s="12" t="s">
        <v>320</v>
      </c>
      <c r="IP652" s="12" t="s">
        <v>320</v>
      </c>
      <c r="IQ652" s="12" t="str">
        <f t="shared" si="433"/>
        <v>2. Accommodating</v>
      </c>
      <c r="IR652" s="12">
        <f t="shared" si="434"/>
        <v>4</v>
      </c>
      <c r="IS652" s="12" t="s">
        <v>337</v>
      </c>
      <c r="IT652" s="12" t="s">
        <v>320</v>
      </c>
      <c r="IU652" s="12"/>
      <c r="IV652" s="12"/>
      <c r="IW652" s="11" t="str">
        <f t="shared" si="435"/>
        <v>1. Neutral</v>
      </c>
      <c r="IX652" s="12">
        <f t="shared" si="436"/>
        <v>1</v>
      </c>
      <c r="IY652" s="12" t="s">
        <v>758</v>
      </c>
      <c r="IZ652" s="12" t="s">
        <v>339</v>
      </c>
      <c r="JA652" s="12"/>
      <c r="JB652" s="12"/>
      <c r="JC652" s="12"/>
      <c r="JD652" s="12"/>
      <c r="JE652" s="12" t="s">
        <v>420</v>
      </c>
      <c r="JF652" s="12"/>
      <c r="JG652" s="12"/>
      <c r="JH652" s="12" t="s">
        <v>10720</v>
      </c>
      <c r="JI652" s="12" t="s">
        <v>10709</v>
      </c>
      <c r="JJ652" s="12" t="s">
        <v>10710</v>
      </c>
      <c r="JK652" s="12" t="s">
        <v>10711</v>
      </c>
      <c r="JL652" s="12" t="s">
        <v>11093</v>
      </c>
      <c r="JM652" s="12"/>
      <c r="JN652" s="12"/>
      <c r="JO652" s="12" t="s">
        <v>10836</v>
      </c>
      <c r="JP652" s="15">
        <f t="shared" si="437"/>
        <v>24442</v>
      </c>
      <c r="JQ652" s="15">
        <f t="shared" si="438"/>
        <v>0</v>
      </c>
      <c r="JR652" s="279">
        <f t="shared" si="439"/>
        <v>0</v>
      </c>
      <c r="JS652" s="17">
        <f t="shared" si="440"/>
        <v>0.48997627035430819</v>
      </c>
      <c r="JT652" s="18" t="str">
        <f t="shared" si="441"/>
        <v/>
      </c>
      <c r="JU652" s="280">
        <f t="shared" si="442"/>
        <v>11976</v>
      </c>
      <c r="JV652" s="280">
        <f t="shared" si="443"/>
        <v>0</v>
      </c>
      <c r="JW652" s="319">
        <f t="shared" si="444"/>
        <v>1</v>
      </c>
      <c r="JX652" s="15">
        <f t="shared" si="445"/>
        <v>24442</v>
      </c>
      <c r="JY652" s="15">
        <f t="shared" si="446"/>
        <v>0</v>
      </c>
      <c r="JZ652" s="19">
        <f t="shared" si="447"/>
        <v>0</v>
      </c>
      <c r="KA652" s="52">
        <f t="shared" si="448"/>
        <v>1</v>
      </c>
      <c r="KB652" s="15">
        <f t="shared" si="449"/>
        <v>4405</v>
      </c>
      <c r="KC652" s="15">
        <f t="shared" si="450"/>
        <v>0</v>
      </c>
      <c r="KD652" s="20">
        <f t="shared" si="451"/>
        <v>0</v>
      </c>
      <c r="KE652" s="52" t="str">
        <f t="shared" si="452"/>
        <v/>
      </c>
      <c r="KF652" s="15">
        <f t="shared" si="453"/>
        <v>0</v>
      </c>
      <c r="KG652" s="15">
        <f t="shared" si="454"/>
        <v>0</v>
      </c>
      <c r="KH652" s="21" t="str">
        <f t="shared" si="455"/>
        <v/>
      </c>
      <c r="KI652" s="52" t="str">
        <f t="shared" si="456"/>
        <v/>
      </c>
      <c r="KJ652" s="15">
        <f t="shared" si="457"/>
        <v>0</v>
      </c>
      <c r="KK652" s="15">
        <f t="shared" si="458"/>
        <v>0</v>
      </c>
      <c r="KL652" s="19" t="str">
        <f t="shared" si="459"/>
        <v/>
      </c>
      <c r="KM652" s="52" t="str">
        <f t="shared" si="460"/>
        <v/>
      </c>
      <c r="KN652" s="22">
        <f t="shared" si="461"/>
        <v>0</v>
      </c>
      <c r="KO652" s="22">
        <f t="shared" si="462"/>
        <v>0</v>
      </c>
      <c r="KP652" s="19" t="str">
        <f t="shared" si="463"/>
        <v/>
      </c>
      <c r="KQ652" s="11" t="str">
        <f t="shared" si="464"/>
        <v>2. Sensitive</v>
      </c>
      <c r="KR652" s="11" t="str">
        <f t="shared" si="465"/>
        <v>2. Accommodating</v>
      </c>
      <c r="KS652" s="11" t="str">
        <f t="shared" si="466"/>
        <v>1. Neutral</v>
      </c>
      <c r="KT652" s="11" t="str">
        <f t="shared" si="467"/>
        <v>It did not develop any specific innovation</v>
      </c>
      <c r="KU652" s="11" t="str">
        <f t="shared" si="468"/>
        <v>Moderate advocacy</v>
      </c>
      <c r="KV652" s="11" t="str">
        <f t="shared" si="469"/>
        <v>It took tested solutions to scale on its own</v>
      </c>
      <c r="KW652" s="11" t="str">
        <f t="shared" si="470"/>
        <v>Somalia - EMERGENCY ASSISTANCE FOR DISASTER AFFECTED SOMALIS</v>
      </c>
      <c r="KX652" s="11" t="str">
        <f t="shared" si="471"/>
        <v>EMERGENCY ASSISTANCE FOR DISASTER AFFECTED SOMALIS</v>
      </c>
      <c r="KY652" s="11" t="str">
        <f t="shared" si="472"/>
        <v>Somalia</v>
      </c>
      <c r="KZ652" s="12">
        <v>652</v>
      </c>
    </row>
    <row r="653" spans="1:312" x14ac:dyDescent="0.3">
      <c r="A653" s="282" t="s">
        <v>10685</v>
      </c>
      <c r="B653" s="282" t="s">
        <v>1874</v>
      </c>
      <c r="C653" s="282"/>
      <c r="D653" s="282" t="s">
        <v>11025</v>
      </c>
      <c r="E653" s="277" t="str">
        <f t="shared" si="430"/>
        <v>Somalia</v>
      </c>
      <c r="F653" s="282" t="s">
        <v>11026</v>
      </c>
      <c r="G653" s="282" t="s">
        <v>608</v>
      </c>
      <c r="H653" s="282" t="s">
        <v>380</v>
      </c>
      <c r="I653" s="282" t="s">
        <v>381</v>
      </c>
      <c r="J653" s="281" t="s">
        <v>14624</v>
      </c>
      <c r="K653" s="282"/>
      <c r="L653" s="282"/>
      <c r="M653" s="282"/>
      <c r="N653" s="282"/>
      <c r="O653" s="282"/>
      <c r="P653" s="282"/>
      <c r="Q653" s="282"/>
      <c r="R653" s="282"/>
      <c r="S653" s="282"/>
      <c r="T653" s="282"/>
      <c r="U653" s="282"/>
      <c r="V653" s="282"/>
      <c r="W653" s="282"/>
      <c r="X653" s="282"/>
      <c r="Y653" s="282"/>
      <c r="Z653" s="282"/>
      <c r="AA653" s="282"/>
      <c r="AB653" s="282"/>
      <c r="AC653" s="282"/>
      <c r="AD653" s="282"/>
      <c r="AE653" s="282"/>
      <c r="AF653" s="282"/>
      <c r="AG653" s="282"/>
      <c r="AH653" s="282"/>
      <c r="AI653" s="282"/>
      <c r="AJ653" s="282"/>
      <c r="AK653" s="282"/>
      <c r="AL653" s="282"/>
      <c r="AM653" s="282"/>
      <c r="AN653" s="282"/>
      <c r="AO653" s="282"/>
      <c r="AP653" s="282"/>
      <c r="AQ653" s="282"/>
      <c r="AR653" s="282"/>
      <c r="AS653" s="282"/>
      <c r="AT653" s="282"/>
      <c r="AU653" s="282"/>
      <c r="AV653" s="282"/>
      <c r="AW653" s="282"/>
      <c r="AX653" s="282"/>
      <c r="AY653" s="282"/>
      <c r="AZ653" s="282"/>
      <c r="BA653" s="282"/>
      <c r="BB653" s="282"/>
      <c r="BC653" s="282"/>
      <c r="BD653" s="283">
        <v>42767</v>
      </c>
      <c r="BE653" s="283">
        <v>42886</v>
      </c>
      <c r="BF653" s="283"/>
      <c r="BG653" s="283" t="s">
        <v>817</v>
      </c>
      <c r="BH653" s="284">
        <v>900000</v>
      </c>
      <c r="BI653" s="282" t="s">
        <v>10699</v>
      </c>
      <c r="BJ653" s="282" t="s">
        <v>10700</v>
      </c>
      <c r="BK653" s="282" t="s">
        <v>10701</v>
      </c>
      <c r="BL653" s="282" t="s">
        <v>10702</v>
      </c>
      <c r="BM653" s="282" t="s">
        <v>10703</v>
      </c>
      <c r="BN653" s="282" t="s">
        <v>10704</v>
      </c>
      <c r="BO653" s="282" t="s">
        <v>320</v>
      </c>
      <c r="BP653" s="282" t="s">
        <v>319</v>
      </c>
      <c r="BQ653" s="282" t="s">
        <v>319</v>
      </c>
      <c r="BR653" s="282" t="s">
        <v>11027</v>
      </c>
      <c r="BS653" s="282" t="s">
        <v>322</v>
      </c>
      <c r="BT653" s="282" t="s">
        <v>11028</v>
      </c>
      <c r="BU653" s="282" t="s">
        <v>10707</v>
      </c>
      <c r="BV653" s="284">
        <v>13891</v>
      </c>
      <c r="BW653" s="284">
        <v>13196</v>
      </c>
      <c r="BX653" s="284">
        <v>27087</v>
      </c>
      <c r="BY653" s="284"/>
      <c r="BZ653" s="284"/>
      <c r="CA653" s="284"/>
      <c r="CB653" s="285" t="s">
        <v>11029</v>
      </c>
      <c r="CC653" s="285"/>
      <c r="CD653" s="284">
        <v>13891</v>
      </c>
      <c r="CE653" s="284">
        <v>13196</v>
      </c>
      <c r="CF653" s="284">
        <v>27087</v>
      </c>
      <c r="CG653" s="284"/>
      <c r="CH653" s="284"/>
      <c r="CI653" s="284"/>
      <c r="CJ653" s="282" t="s">
        <v>319</v>
      </c>
      <c r="CK653" s="284"/>
      <c r="CL653" s="286"/>
      <c r="CM653" s="284"/>
      <c r="CN653" s="287" t="s">
        <v>320</v>
      </c>
      <c r="CO653" s="284">
        <v>27087</v>
      </c>
      <c r="CP653" s="286">
        <v>0.51</v>
      </c>
      <c r="CQ653" s="284"/>
      <c r="CR653" s="282" t="s">
        <v>319</v>
      </c>
      <c r="CS653" s="284"/>
      <c r="CT653" s="286"/>
      <c r="CU653" s="284"/>
      <c r="CV653" s="289" t="s">
        <v>320</v>
      </c>
      <c r="CW653" s="300">
        <v>27087</v>
      </c>
      <c r="CX653" s="308">
        <v>0.51</v>
      </c>
      <c r="CY653" s="300"/>
      <c r="CZ653" s="282" t="s">
        <v>319</v>
      </c>
      <c r="DA653" s="284"/>
      <c r="DB653" s="286"/>
      <c r="DC653" s="284"/>
      <c r="DD653" s="287" t="s">
        <v>319</v>
      </c>
      <c r="DE653" s="284"/>
      <c r="DF653" s="286"/>
      <c r="DG653" s="284"/>
      <c r="DH653" s="282" t="s">
        <v>319</v>
      </c>
      <c r="DI653" s="284"/>
      <c r="DJ653" s="286"/>
      <c r="DK653" s="284"/>
      <c r="DL653" s="282" t="s">
        <v>319</v>
      </c>
      <c r="DM653" s="284"/>
      <c r="DN653" s="286"/>
      <c r="DO653" s="284"/>
      <c r="DP653" s="282" t="s">
        <v>319</v>
      </c>
      <c r="DQ653" s="284"/>
      <c r="DR653" s="286"/>
      <c r="DS653" s="284"/>
      <c r="DT653" s="282" t="s">
        <v>319</v>
      </c>
      <c r="DU653" s="284"/>
      <c r="DV653" s="286"/>
      <c r="DW653" s="284"/>
      <c r="DX653" s="282" t="s">
        <v>319</v>
      </c>
      <c r="DY653" s="284"/>
      <c r="DZ653" s="286"/>
      <c r="EA653" s="284"/>
      <c r="EB653" s="282" t="s">
        <v>319</v>
      </c>
      <c r="EC653" s="284"/>
      <c r="ED653" s="286"/>
      <c r="EE653" s="284"/>
      <c r="EF653" s="285"/>
      <c r="EG653" s="287"/>
      <c r="EH653" s="284"/>
      <c r="EI653" s="286"/>
      <c r="EJ653" s="284"/>
      <c r="EK653" s="284"/>
      <c r="EL653" s="284"/>
      <c r="EM653" s="284"/>
      <c r="EN653" s="284"/>
      <c r="EO653" s="284"/>
      <c r="EP653" s="284"/>
      <c r="EQ653" s="282"/>
      <c r="ER653" s="284"/>
      <c r="ES653" s="286"/>
      <c r="ET653" s="284"/>
      <c r="EU653" s="305"/>
      <c r="EV653" s="300"/>
      <c r="EW653" s="308"/>
      <c r="EX653" s="300"/>
      <c r="EY653" s="282"/>
      <c r="EZ653" s="284"/>
      <c r="FA653" s="286"/>
      <c r="FB653" s="284"/>
      <c r="FC653" s="282"/>
      <c r="FD653" s="284"/>
      <c r="FE653" s="286"/>
      <c r="FF653" s="284"/>
      <c r="FG653" s="282"/>
      <c r="FH653" s="284"/>
      <c r="FI653" s="286"/>
      <c r="FJ653" s="284"/>
      <c r="FK653" s="282"/>
      <c r="FL653" s="284"/>
      <c r="FM653" s="286"/>
      <c r="FN653" s="284"/>
      <c r="FO653" s="305"/>
      <c r="FP653" s="300"/>
      <c r="FQ653" s="308"/>
      <c r="FR653" s="300"/>
      <c r="FS653" s="282"/>
      <c r="FT653" s="284"/>
      <c r="FU653" s="286"/>
      <c r="FV653" s="284"/>
      <c r="FW653" s="282"/>
      <c r="FX653" s="284"/>
      <c r="FY653" s="286"/>
      <c r="FZ653" s="284"/>
      <c r="GA653" s="282"/>
      <c r="GB653" s="284"/>
      <c r="GC653" s="286"/>
      <c r="GD653" s="284"/>
      <c r="GE653" s="282"/>
      <c r="GF653" s="284"/>
      <c r="GG653" s="286"/>
      <c r="GH653" s="284"/>
      <c r="GI653" s="282"/>
      <c r="GJ653" s="284"/>
      <c r="GK653" s="286"/>
      <c r="GL653" s="284"/>
      <c r="GM653" s="282"/>
      <c r="GN653" s="284"/>
      <c r="GO653" s="286"/>
      <c r="GP653" s="284"/>
      <c r="GQ653" s="282"/>
      <c r="GR653" s="284"/>
      <c r="GS653" s="286"/>
      <c r="GT653" s="284"/>
      <c r="GU653" s="282"/>
      <c r="GV653" s="284"/>
      <c r="GW653" s="286"/>
      <c r="GX653" s="284"/>
      <c r="GY653" s="282"/>
      <c r="GZ653" s="284"/>
      <c r="HA653" s="286"/>
      <c r="HB653" s="284"/>
      <c r="HC653" s="282"/>
      <c r="HD653" s="282"/>
      <c r="HE653" s="284"/>
      <c r="HF653" s="286"/>
      <c r="HG653" s="284"/>
      <c r="HH653" s="282" t="s">
        <v>319</v>
      </c>
      <c r="HI653" s="282"/>
      <c r="HJ653" s="282"/>
      <c r="HK653" s="282" t="s">
        <v>319</v>
      </c>
      <c r="HL653" s="282" t="s">
        <v>319</v>
      </c>
      <c r="HM653" s="282"/>
      <c r="HN653" s="282"/>
      <c r="HO653" s="282"/>
      <c r="HP653" s="282" t="s">
        <v>330</v>
      </c>
      <c r="HQ653" s="282" t="s">
        <v>319</v>
      </c>
      <c r="HR653" s="282" t="s">
        <v>320</v>
      </c>
      <c r="HS653" s="282" t="s">
        <v>320</v>
      </c>
      <c r="HT653" s="282" t="s">
        <v>320</v>
      </c>
      <c r="HU653" s="282" t="s">
        <v>319</v>
      </c>
      <c r="HV653" s="282" t="s">
        <v>319</v>
      </c>
      <c r="HW653" s="282" t="s">
        <v>319</v>
      </c>
      <c r="HX653" s="282" t="s">
        <v>319</v>
      </c>
      <c r="HY653" s="282"/>
      <c r="HZ653" s="282" t="s">
        <v>363</v>
      </c>
      <c r="IA653" s="282"/>
      <c r="IB653" s="282" t="s">
        <v>667</v>
      </c>
      <c r="IC653" s="282"/>
      <c r="ID653" s="282" t="s">
        <v>334</v>
      </c>
      <c r="IE653" s="282" t="s">
        <v>335</v>
      </c>
      <c r="IF653" s="282" t="s">
        <v>320</v>
      </c>
      <c r="IG653" s="282" t="s">
        <v>320</v>
      </c>
      <c r="IH653" s="282" t="s">
        <v>320</v>
      </c>
      <c r="II653" s="282" t="s">
        <v>320</v>
      </c>
      <c r="IJ653" s="12" t="str">
        <f t="shared" si="431"/>
        <v>2. Sensitive</v>
      </c>
      <c r="IK653" s="287">
        <f t="shared" si="432"/>
        <v>4</v>
      </c>
      <c r="IL653" s="282" t="s">
        <v>336</v>
      </c>
      <c r="IM653" s="282" t="s">
        <v>320</v>
      </c>
      <c r="IN653" s="282" t="s">
        <v>320</v>
      </c>
      <c r="IO653" s="282" t="s">
        <v>320</v>
      </c>
      <c r="IP653" s="282" t="s">
        <v>320</v>
      </c>
      <c r="IQ653" s="287" t="str">
        <f t="shared" si="433"/>
        <v>2. Accommodating</v>
      </c>
      <c r="IR653" s="287">
        <f t="shared" si="434"/>
        <v>4</v>
      </c>
      <c r="IS653" s="282" t="s">
        <v>337</v>
      </c>
      <c r="IT653" s="282" t="s">
        <v>320</v>
      </c>
      <c r="IU653" s="282"/>
      <c r="IV653" s="282" t="s">
        <v>320</v>
      </c>
      <c r="IW653" s="11" t="str">
        <f t="shared" si="435"/>
        <v>1. Neutral</v>
      </c>
      <c r="IX653" s="287">
        <f t="shared" si="436"/>
        <v>2</v>
      </c>
      <c r="IY653" s="282" t="s">
        <v>419</v>
      </c>
      <c r="IZ653" s="282" t="s">
        <v>432</v>
      </c>
      <c r="JA653" s="282"/>
      <c r="JB653" s="282"/>
      <c r="JC653" s="282"/>
      <c r="JD653" s="282"/>
      <c r="JE653" s="282" t="s">
        <v>420</v>
      </c>
      <c r="JF653" s="282"/>
      <c r="JG653" s="282" t="s">
        <v>6399</v>
      </c>
      <c r="JH653" s="282" t="s">
        <v>10720</v>
      </c>
      <c r="JI653" s="282" t="s">
        <v>11030</v>
      </c>
      <c r="JJ653" s="282" t="s">
        <v>10710</v>
      </c>
      <c r="JK653" s="282" t="s">
        <v>10711</v>
      </c>
      <c r="JL653" s="282"/>
      <c r="JM653" s="282"/>
      <c r="JN653" s="282"/>
      <c r="JO653" s="282" t="s">
        <v>10825</v>
      </c>
      <c r="JP653" s="15">
        <f t="shared" si="437"/>
        <v>27087</v>
      </c>
      <c r="JQ653" s="15">
        <f t="shared" si="438"/>
        <v>0</v>
      </c>
      <c r="JR653" s="279">
        <f t="shared" si="439"/>
        <v>0</v>
      </c>
      <c r="JS653" s="17">
        <f t="shared" si="440"/>
        <v>0.51282903237715505</v>
      </c>
      <c r="JT653" s="18" t="str">
        <f t="shared" si="441"/>
        <v/>
      </c>
      <c r="JU653" s="280">
        <f t="shared" si="442"/>
        <v>13891</v>
      </c>
      <c r="JV653" s="280">
        <f t="shared" si="443"/>
        <v>0</v>
      </c>
      <c r="JW653" s="319">
        <f t="shared" si="444"/>
        <v>1</v>
      </c>
      <c r="JX653" s="15">
        <f t="shared" si="445"/>
        <v>27087</v>
      </c>
      <c r="JY653" s="15">
        <f t="shared" si="446"/>
        <v>0</v>
      </c>
      <c r="JZ653" s="19">
        <f t="shared" si="447"/>
        <v>0</v>
      </c>
      <c r="KA653" s="52">
        <f t="shared" si="448"/>
        <v>1</v>
      </c>
      <c r="KB653" s="15">
        <f t="shared" si="449"/>
        <v>27087</v>
      </c>
      <c r="KC653" s="15">
        <f t="shared" si="450"/>
        <v>0</v>
      </c>
      <c r="KD653" s="20">
        <f t="shared" si="451"/>
        <v>0</v>
      </c>
      <c r="KE653" s="52" t="str">
        <f t="shared" si="452"/>
        <v/>
      </c>
      <c r="KF653" s="15">
        <f t="shared" si="453"/>
        <v>0</v>
      </c>
      <c r="KG653" s="15">
        <f t="shared" si="454"/>
        <v>0</v>
      </c>
      <c r="KH653" s="21" t="str">
        <f t="shared" si="455"/>
        <v/>
      </c>
      <c r="KI653" s="52" t="str">
        <f t="shared" si="456"/>
        <v/>
      </c>
      <c r="KJ653" s="15">
        <f t="shared" si="457"/>
        <v>0</v>
      </c>
      <c r="KK653" s="15">
        <f t="shared" si="458"/>
        <v>0</v>
      </c>
      <c r="KL653" s="19" t="str">
        <f t="shared" si="459"/>
        <v/>
      </c>
      <c r="KM653" s="52" t="str">
        <f t="shared" si="460"/>
        <v/>
      </c>
      <c r="KN653" s="22">
        <f t="shared" si="461"/>
        <v>0</v>
      </c>
      <c r="KO653" s="22">
        <f t="shared" si="462"/>
        <v>0</v>
      </c>
      <c r="KP653" s="19" t="str">
        <f t="shared" si="463"/>
        <v/>
      </c>
      <c r="KQ653" s="11" t="str">
        <f t="shared" si="464"/>
        <v>2. Sensitive</v>
      </c>
      <c r="KR653" s="11" t="str">
        <f t="shared" si="465"/>
        <v>2. Accommodating</v>
      </c>
      <c r="KS653" s="11" t="str">
        <f t="shared" si="466"/>
        <v>1. Neutral</v>
      </c>
      <c r="KT653" s="11" t="str">
        <f t="shared" si="467"/>
        <v>It did not develop any specific innovation</v>
      </c>
      <c r="KU653" s="11" t="str">
        <f t="shared" si="468"/>
        <v>Moderate advocacy</v>
      </c>
      <c r="KV653" s="11" t="str">
        <f t="shared" si="469"/>
        <v>It took tested solutions to scale on its own</v>
      </c>
      <c r="KW653" s="11" t="str">
        <f t="shared" si="470"/>
        <v>Somalia - Emergency food security response project</v>
      </c>
      <c r="KX653" s="11" t="str">
        <f t="shared" si="471"/>
        <v>Emergency food security response project</v>
      </c>
      <c r="KY653" s="11" t="str">
        <f t="shared" si="472"/>
        <v>Somalia</v>
      </c>
      <c r="KZ653" s="12">
        <v>653</v>
      </c>
    </row>
    <row r="654" spans="1:312" x14ac:dyDescent="0.3">
      <c r="A654" s="282" t="s">
        <v>10685</v>
      </c>
      <c r="B654" s="282" t="s">
        <v>1874</v>
      </c>
      <c r="C654" s="282">
        <v>3333</v>
      </c>
      <c r="D654" s="282" t="s">
        <v>10697</v>
      </c>
      <c r="E654" s="277" t="str">
        <f t="shared" si="430"/>
        <v>Somalia</v>
      </c>
      <c r="F654" s="282" t="s">
        <v>10698</v>
      </c>
      <c r="G654" s="282" t="s">
        <v>376</v>
      </c>
      <c r="H654" s="282" t="s">
        <v>310</v>
      </c>
      <c r="I654" s="282" t="s">
        <v>377</v>
      </c>
      <c r="J654" s="281" t="s">
        <v>14582</v>
      </c>
      <c r="K654" s="282"/>
      <c r="L654" s="282"/>
      <c r="M654" s="282"/>
      <c r="N654" s="282"/>
      <c r="O654" s="282"/>
      <c r="P654" s="282"/>
      <c r="Q654" s="282"/>
      <c r="R654" s="282"/>
      <c r="S654" s="282"/>
      <c r="T654" s="282"/>
      <c r="U654" s="282"/>
      <c r="V654" s="282"/>
      <c r="W654" s="282"/>
      <c r="X654" s="282"/>
      <c r="Y654" s="282"/>
      <c r="Z654" s="282"/>
      <c r="AA654" s="282"/>
      <c r="AB654" s="282"/>
      <c r="AC654" s="282"/>
      <c r="AD654" s="282"/>
      <c r="AE654" s="282"/>
      <c r="AF654" s="282"/>
      <c r="AG654" s="282"/>
      <c r="AH654" s="282"/>
      <c r="AI654" s="282"/>
      <c r="AJ654" s="282"/>
      <c r="AK654" s="282"/>
      <c r="AL654" s="282"/>
      <c r="AM654" s="282"/>
      <c r="AN654" s="282"/>
      <c r="AO654" s="282"/>
      <c r="AP654" s="282"/>
      <c r="AQ654" s="282"/>
      <c r="AR654" s="282"/>
      <c r="AS654" s="282"/>
      <c r="AT654" s="282"/>
      <c r="AU654" s="282"/>
      <c r="AV654" s="282"/>
      <c r="AW654" s="282"/>
      <c r="AX654" s="282"/>
      <c r="AY654" s="282"/>
      <c r="AZ654" s="282"/>
      <c r="BA654" s="282"/>
      <c r="BB654" s="282"/>
      <c r="BC654" s="282"/>
      <c r="BD654" s="283">
        <v>42444</v>
      </c>
      <c r="BE654" s="283">
        <v>42916</v>
      </c>
      <c r="BF654" s="283"/>
      <c r="BG654" s="283" t="s">
        <v>817</v>
      </c>
      <c r="BH654" s="284">
        <v>1652333.6633663401</v>
      </c>
      <c r="BI654" s="282" t="s">
        <v>10699</v>
      </c>
      <c r="BJ654" s="282" t="s">
        <v>10700</v>
      </c>
      <c r="BK654" s="282" t="s">
        <v>10701</v>
      </c>
      <c r="BL654" s="282" t="s">
        <v>10702</v>
      </c>
      <c r="BM654" s="282" t="s">
        <v>10703</v>
      </c>
      <c r="BN654" s="282" t="s">
        <v>10704</v>
      </c>
      <c r="BO654" s="282" t="s">
        <v>320</v>
      </c>
      <c r="BP654" s="282" t="s">
        <v>319</v>
      </c>
      <c r="BQ654" s="282" t="s">
        <v>319</v>
      </c>
      <c r="BR654" s="282" t="s">
        <v>10705</v>
      </c>
      <c r="BS654" s="282" t="s">
        <v>357</v>
      </c>
      <c r="BT654" s="282" t="s">
        <v>10706</v>
      </c>
      <c r="BU654" s="282" t="s">
        <v>10707</v>
      </c>
      <c r="BV654" s="284">
        <v>8976</v>
      </c>
      <c r="BW654" s="284">
        <v>8624</v>
      </c>
      <c r="BX654" s="284">
        <v>17600</v>
      </c>
      <c r="BY654" s="284"/>
      <c r="BZ654" s="284"/>
      <c r="CA654" s="284"/>
      <c r="CB654" s="285" t="s">
        <v>10708</v>
      </c>
      <c r="CC654" s="285"/>
      <c r="CD654" s="284">
        <v>8976</v>
      </c>
      <c r="CE654" s="284">
        <v>8624</v>
      </c>
      <c r="CF654" s="284">
        <v>17600</v>
      </c>
      <c r="CG654" s="284"/>
      <c r="CH654" s="284"/>
      <c r="CI654" s="284"/>
      <c r="CJ654" s="282" t="s">
        <v>319</v>
      </c>
      <c r="CK654" s="284"/>
      <c r="CL654" s="286"/>
      <c r="CM654" s="284"/>
      <c r="CN654" s="287" t="s">
        <v>320</v>
      </c>
      <c r="CO654" s="284">
        <v>5500</v>
      </c>
      <c r="CP654" s="286"/>
      <c r="CQ654" s="284"/>
      <c r="CR654" s="282" t="s">
        <v>319</v>
      </c>
      <c r="CS654" s="284"/>
      <c r="CT654" s="286"/>
      <c r="CU654" s="284"/>
      <c r="CV654" s="289" t="s">
        <v>320</v>
      </c>
      <c r="CW654" s="300">
        <v>12100</v>
      </c>
      <c r="CX654" s="308"/>
      <c r="CY654" s="300"/>
      <c r="CZ654" s="282" t="s">
        <v>319</v>
      </c>
      <c r="DA654" s="284"/>
      <c r="DB654" s="286"/>
      <c r="DC654" s="284"/>
      <c r="DD654" s="287" t="s">
        <v>319</v>
      </c>
      <c r="DE654" s="284"/>
      <c r="DF654" s="286"/>
      <c r="DG654" s="284"/>
      <c r="DH654" s="282" t="s">
        <v>319</v>
      </c>
      <c r="DI654" s="284"/>
      <c r="DJ654" s="286"/>
      <c r="DK654" s="284"/>
      <c r="DL654" s="282" t="s">
        <v>319</v>
      </c>
      <c r="DM654" s="284"/>
      <c r="DN654" s="286"/>
      <c r="DO654" s="284"/>
      <c r="DP654" s="282" t="s">
        <v>319</v>
      </c>
      <c r="DQ654" s="284"/>
      <c r="DR654" s="286"/>
      <c r="DS654" s="284"/>
      <c r="DT654" s="282" t="s">
        <v>319</v>
      </c>
      <c r="DU654" s="284"/>
      <c r="DV654" s="286"/>
      <c r="DW654" s="284"/>
      <c r="DX654" s="282" t="s">
        <v>319</v>
      </c>
      <c r="DY654" s="284"/>
      <c r="DZ654" s="286"/>
      <c r="EA654" s="284"/>
      <c r="EB654" s="282" t="s">
        <v>320</v>
      </c>
      <c r="EC654" s="284">
        <v>12100</v>
      </c>
      <c r="ED654" s="286"/>
      <c r="EE654" s="284"/>
      <c r="EF654" s="285"/>
      <c r="EG654" s="287"/>
      <c r="EH654" s="284"/>
      <c r="EI654" s="286"/>
      <c r="EJ654" s="284"/>
      <c r="EK654" s="284"/>
      <c r="EL654" s="284"/>
      <c r="EM654" s="284"/>
      <c r="EN654" s="284"/>
      <c r="EO654" s="284"/>
      <c r="EP654" s="284"/>
      <c r="EQ654" s="282"/>
      <c r="ER654" s="284"/>
      <c r="ES654" s="286"/>
      <c r="ET654" s="284"/>
      <c r="EU654" s="305"/>
      <c r="EV654" s="300"/>
      <c r="EW654" s="308"/>
      <c r="EX654" s="300"/>
      <c r="EY654" s="282"/>
      <c r="EZ654" s="284"/>
      <c r="FA654" s="286"/>
      <c r="FB654" s="284"/>
      <c r="FC654" s="282"/>
      <c r="FD654" s="284"/>
      <c r="FE654" s="286"/>
      <c r="FF654" s="284"/>
      <c r="FG654" s="282"/>
      <c r="FH654" s="284"/>
      <c r="FI654" s="286"/>
      <c r="FJ654" s="284"/>
      <c r="FK654" s="282"/>
      <c r="FL654" s="284"/>
      <c r="FM654" s="286"/>
      <c r="FN654" s="284"/>
      <c r="FO654" s="305"/>
      <c r="FP654" s="300"/>
      <c r="FQ654" s="308"/>
      <c r="FR654" s="300"/>
      <c r="FS654" s="282"/>
      <c r="FT654" s="284"/>
      <c r="FU654" s="286"/>
      <c r="FV654" s="284"/>
      <c r="FW654" s="282"/>
      <c r="FX654" s="284"/>
      <c r="FY654" s="286"/>
      <c r="FZ654" s="284"/>
      <c r="GA654" s="282"/>
      <c r="GB654" s="284"/>
      <c r="GC654" s="286"/>
      <c r="GD654" s="284"/>
      <c r="GE654" s="282"/>
      <c r="GF654" s="284"/>
      <c r="GG654" s="286"/>
      <c r="GH654" s="284"/>
      <c r="GI654" s="282"/>
      <c r="GJ654" s="284"/>
      <c r="GK654" s="286"/>
      <c r="GL654" s="284"/>
      <c r="GM654" s="282"/>
      <c r="GN654" s="284"/>
      <c r="GO654" s="286"/>
      <c r="GP654" s="284"/>
      <c r="GQ654" s="282"/>
      <c r="GR654" s="284"/>
      <c r="GS654" s="286"/>
      <c r="GT654" s="284"/>
      <c r="GU654" s="282"/>
      <c r="GV654" s="284"/>
      <c r="GW654" s="286"/>
      <c r="GX654" s="284"/>
      <c r="GY654" s="282"/>
      <c r="GZ654" s="284"/>
      <c r="HA654" s="286"/>
      <c r="HB654" s="284"/>
      <c r="HC654" s="282"/>
      <c r="HD654" s="282"/>
      <c r="HE654" s="284"/>
      <c r="HF654" s="286"/>
      <c r="HG654" s="284"/>
      <c r="HH654" s="282" t="s">
        <v>320</v>
      </c>
      <c r="HI654" s="282" t="s">
        <v>522</v>
      </c>
      <c r="HJ654" s="282">
        <v>2017</v>
      </c>
      <c r="HK654" s="282" t="s">
        <v>319</v>
      </c>
      <c r="HL654" s="282" t="s">
        <v>319</v>
      </c>
      <c r="HM654" s="282"/>
      <c r="HN654" s="282"/>
      <c r="HO654" s="282"/>
      <c r="HP654" s="282" t="s">
        <v>330</v>
      </c>
      <c r="HQ654" s="282" t="s">
        <v>319</v>
      </c>
      <c r="HR654" s="282" t="s">
        <v>320</v>
      </c>
      <c r="HS654" s="282" t="s">
        <v>320</v>
      </c>
      <c r="HT654" s="282" t="s">
        <v>320</v>
      </c>
      <c r="HU654" s="282" t="s">
        <v>319</v>
      </c>
      <c r="HV654" s="282" t="s">
        <v>319</v>
      </c>
      <c r="HW654" s="282" t="s">
        <v>319</v>
      </c>
      <c r="HX654" s="282" t="s">
        <v>319</v>
      </c>
      <c r="HY654" s="282"/>
      <c r="HZ654" s="282" t="s">
        <v>394</v>
      </c>
      <c r="IA654" s="282"/>
      <c r="IB654" s="282" t="s">
        <v>667</v>
      </c>
      <c r="IC654" s="282"/>
      <c r="ID654" s="282" t="s">
        <v>334</v>
      </c>
      <c r="IE654" s="282" t="s">
        <v>335</v>
      </c>
      <c r="IF654" s="282" t="s">
        <v>320</v>
      </c>
      <c r="IG654" s="282" t="s">
        <v>320</v>
      </c>
      <c r="IH654" s="282" t="s">
        <v>320</v>
      </c>
      <c r="II654" s="282" t="s">
        <v>320</v>
      </c>
      <c r="IJ654" s="12" t="str">
        <f t="shared" si="431"/>
        <v>2. Sensitive</v>
      </c>
      <c r="IK654" s="287">
        <f t="shared" si="432"/>
        <v>4</v>
      </c>
      <c r="IL654" s="282" t="s">
        <v>336</v>
      </c>
      <c r="IM654" s="282" t="s">
        <v>320</v>
      </c>
      <c r="IN654" s="282" t="s">
        <v>320</v>
      </c>
      <c r="IO654" s="282" t="s">
        <v>320</v>
      </c>
      <c r="IP654" s="282" t="s">
        <v>320</v>
      </c>
      <c r="IQ654" s="287" t="str">
        <f t="shared" si="433"/>
        <v>2. Accommodating</v>
      </c>
      <c r="IR654" s="287">
        <f t="shared" si="434"/>
        <v>4</v>
      </c>
      <c r="IS654" s="282" t="s">
        <v>337</v>
      </c>
      <c r="IT654" s="282" t="s">
        <v>320</v>
      </c>
      <c r="IU654" s="282"/>
      <c r="IV654" s="282"/>
      <c r="IW654" s="11" t="str">
        <f t="shared" si="435"/>
        <v>1. Neutral</v>
      </c>
      <c r="IX654" s="287">
        <f t="shared" si="436"/>
        <v>1</v>
      </c>
      <c r="IY654" s="282" t="s">
        <v>419</v>
      </c>
      <c r="IZ654" s="282" t="s">
        <v>432</v>
      </c>
      <c r="JA654" s="282"/>
      <c r="JB654" s="282" t="s">
        <v>433</v>
      </c>
      <c r="JC654" s="282"/>
      <c r="JD654" s="282"/>
      <c r="JE654" s="282" t="s">
        <v>420</v>
      </c>
      <c r="JF654" s="282"/>
      <c r="JG654" s="282" t="s">
        <v>6286</v>
      </c>
      <c r="JH654" s="282" t="s">
        <v>10709</v>
      </c>
      <c r="JI654" s="282" t="s">
        <v>10710</v>
      </c>
      <c r="JJ654" s="282" t="s">
        <v>10711</v>
      </c>
      <c r="JK654" s="282" t="s">
        <v>10712</v>
      </c>
      <c r="JL654" s="282" t="s">
        <v>10713</v>
      </c>
      <c r="JM654" s="282"/>
      <c r="JN654" s="282"/>
      <c r="JO654" s="282" t="s">
        <v>10714</v>
      </c>
      <c r="JP654" s="15">
        <f t="shared" si="437"/>
        <v>17600</v>
      </c>
      <c r="JQ654" s="15">
        <f t="shared" si="438"/>
        <v>0</v>
      </c>
      <c r="JR654" s="279">
        <f t="shared" si="439"/>
        <v>0</v>
      </c>
      <c r="JS654" s="17">
        <f t="shared" si="440"/>
        <v>0.51</v>
      </c>
      <c r="JT654" s="18" t="str">
        <f t="shared" si="441"/>
        <v/>
      </c>
      <c r="JU654" s="280">
        <f t="shared" si="442"/>
        <v>8976</v>
      </c>
      <c r="JV654" s="280">
        <f t="shared" si="443"/>
        <v>0</v>
      </c>
      <c r="JW654" s="319">
        <f t="shared" si="444"/>
        <v>1</v>
      </c>
      <c r="JX654" s="15">
        <f t="shared" si="445"/>
        <v>17600</v>
      </c>
      <c r="JY654" s="15">
        <f t="shared" si="446"/>
        <v>0</v>
      </c>
      <c r="JZ654" s="19">
        <f t="shared" si="447"/>
        <v>0</v>
      </c>
      <c r="KA654" s="52">
        <f t="shared" si="448"/>
        <v>1</v>
      </c>
      <c r="KB654" s="15">
        <f t="shared" si="449"/>
        <v>12100</v>
      </c>
      <c r="KC654" s="15">
        <f t="shared" si="450"/>
        <v>0</v>
      </c>
      <c r="KD654" s="20">
        <f t="shared" si="451"/>
        <v>0</v>
      </c>
      <c r="KE654" s="52" t="str">
        <f t="shared" si="452"/>
        <v/>
      </c>
      <c r="KF654" s="15">
        <f t="shared" si="453"/>
        <v>0</v>
      </c>
      <c r="KG654" s="15">
        <f t="shared" si="454"/>
        <v>0</v>
      </c>
      <c r="KH654" s="21" t="str">
        <f t="shared" si="455"/>
        <v/>
      </c>
      <c r="KI654" s="52" t="str">
        <f t="shared" si="456"/>
        <v/>
      </c>
      <c r="KJ654" s="15">
        <f t="shared" si="457"/>
        <v>0</v>
      </c>
      <c r="KK654" s="15">
        <f t="shared" si="458"/>
        <v>0</v>
      </c>
      <c r="KL654" s="19" t="str">
        <f t="shared" si="459"/>
        <v/>
      </c>
      <c r="KM654" s="52" t="str">
        <f t="shared" si="460"/>
        <v/>
      </c>
      <c r="KN654" s="22">
        <f t="shared" si="461"/>
        <v>0</v>
      </c>
      <c r="KO654" s="22">
        <f t="shared" si="462"/>
        <v>0</v>
      </c>
      <c r="KP654" s="19" t="str">
        <f t="shared" si="463"/>
        <v/>
      </c>
      <c r="KQ654" s="11" t="str">
        <f t="shared" si="464"/>
        <v>2. Sensitive</v>
      </c>
      <c r="KR654" s="11" t="str">
        <f t="shared" si="465"/>
        <v>2. Accommodating</v>
      </c>
      <c r="KS654" s="11" t="str">
        <f t="shared" si="466"/>
        <v>1. Neutral</v>
      </c>
      <c r="KT654" s="11" t="str">
        <f t="shared" si="467"/>
        <v>It tested new ways for fighting poverty, but did not measure results of innovation</v>
      </c>
      <c r="KU654" s="11" t="str">
        <f t="shared" si="468"/>
        <v>Moderate advocacy</v>
      </c>
      <c r="KV654" s="11" t="str">
        <f t="shared" si="469"/>
        <v>It took tested solutions to scale on its own</v>
      </c>
      <c r="KW654" s="11" t="str">
        <f t="shared" si="470"/>
        <v>Somalia - Emergency Livelihoods and WASH Project for drought and conflict affected populations in Lower Juba region, Somalia - 2016</v>
      </c>
      <c r="KX654" s="11" t="str">
        <f t="shared" si="471"/>
        <v>Emergency Livelihoods and WASH Project for drought and conflict affected populations in Lower Juba region, Somalia - 2016</v>
      </c>
      <c r="KY654" s="11" t="str">
        <f t="shared" si="472"/>
        <v>Somalia</v>
      </c>
      <c r="KZ654" s="12">
        <v>654</v>
      </c>
    </row>
    <row r="655" spans="1:312" x14ac:dyDescent="0.3">
      <c r="A655" s="12" t="s">
        <v>10685</v>
      </c>
      <c r="B655" s="12" t="s">
        <v>1874</v>
      </c>
      <c r="C655" s="12">
        <v>3326</v>
      </c>
      <c r="D655" s="12" t="s">
        <v>11031</v>
      </c>
      <c r="E655" s="277" t="str">
        <f t="shared" si="430"/>
        <v>Somalia</v>
      </c>
      <c r="F655" s="12" t="s">
        <v>11032</v>
      </c>
      <c r="G655" s="12" t="s">
        <v>608</v>
      </c>
      <c r="H655" s="12" t="s">
        <v>380</v>
      </c>
      <c r="I655" s="12" t="s">
        <v>381</v>
      </c>
      <c r="J655" s="281" t="s">
        <v>14624</v>
      </c>
      <c r="K655" s="12"/>
      <c r="L655" s="12"/>
      <c r="M655" s="12"/>
      <c r="N655" s="12"/>
      <c r="O655" s="12"/>
      <c r="P655" s="12"/>
      <c r="Q655" s="12"/>
      <c r="R655" s="12"/>
      <c r="S655" s="12"/>
      <c r="T655" s="12"/>
      <c r="U655" s="12"/>
      <c r="V655" s="12"/>
      <c r="W655" s="12"/>
      <c r="X655" s="12"/>
      <c r="Y655" s="12"/>
      <c r="Z655" s="12"/>
      <c r="AA655" s="12"/>
      <c r="AB655" s="12"/>
      <c r="AC655" s="12"/>
      <c r="AD655" s="12"/>
      <c r="BD655" s="13">
        <v>42430</v>
      </c>
      <c r="BE655" s="13">
        <v>42735</v>
      </c>
      <c r="BF655" s="12"/>
      <c r="BG655" s="12" t="s">
        <v>817</v>
      </c>
      <c r="BH655" s="14">
        <v>215895</v>
      </c>
      <c r="BI655" s="12" t="s">
        <v>10699</v>
      </c>
      <c r="BJ655" s="12" t="s">
        <v>10700</v>
      </c>
      <c r="BK655" s="12" t="s">
        <v>10701</v>
      </c>
      <c r="BL655" s="12" t="s">
        <v>10702</v>
      </c>
      <c r="BM655" s="12" t="s">
        <v>10703</v>
      </c>
      <c r="BN655" s="12" t="s">
        <v>10704</v>
      </c>
      <c r="BO655" s="12" t="s">
        <v>320</v>
      </c>
      <c r="BP655" s="12" t="s">
        <v>319</v>
      </c>
      <c r="BQ655" s="12" t="s">
        <v>319</v>
      </c>
      <c r="BR655" s="12" t="s">
        <v>11033</v>
      </c>
      <c r="BS655" s="12" t="s">
        <v>357</v>
      </c>
      <c r="BT655" s="12" t="s">
        <v>11034</v>
      </c>
      <c r="BU655" s="12" t="s">
        <v>11035</v>
      </c>
      <c r="BV655" s="14">
        <v>1750</v>
      </c>
      <c r="BW655" s="14">
        <v>1250</v>
      </c>
      <c r="BX655" s="14">
        <v>3000</v>
      </c>
      <c r="BY655" s="14"/>
      <c r="BZ655" s="14"/>
      <c r="CA655" s="14"/>
      <c r="CB655" s="12" t="s">
        <v>10935</v>
      </c>
      <c r="CD655" s="14">
        <v>1750</v>
      </c>
      <c r="CE655" s="14">
        <v>1250</v>
      </c>
      <c r="CF655" s="14">
        <v>3000</v>
      </c>
      <c r="CG655" s="14"/>
      <c r="CH655" s="14"/>
      <c r="CI655" s="14"/>
      <c r="CJ655" s="12" t="s">
        <v>319</v>
      </c>
      <c r="CK655" s="14"/>
      <c r="CL655" s="16"/>
      <c r="CM655" s="14"/>
      <c r="CN655" s="12" t="s">
        <v>319</v>
      </c>
      <c r="CO655" s="14"/>
      <c r="CP655" s="16"/>
      <c r="CQ655" s="14"/>
      <c r="CR655" s="12" t="s">
        <v>319</v>
      </c>
      <c r="CS655" s="14"/>
      <c r="CT655" s="16"/>
      <c r="CU655" s="14"/>
      <c r="CV655" s="12" t="s">
        <v>320</v>
      </c>
      <c r="CW655" s="14">
        <v>3000</v>
      </c>
      <c r="CX655" s="16">
        <v>0.49</v>
      </c>
      <c r="CY655" s="14"/>
      <c r="CZ655" s="12" t="s">
        <v>319</v>
      </c>
      <c r="DA655" s="14"/>
      <c r="DB655" s="16"/>
      <c r="DC655" s="14"/>
      <c r="DD655" s="12" t="s">
        <v>319</v>
      </c>
      <c r="DE655" s="14"/>
      <c r="DF655" s="16"/>
      <c r="DG655" s="14"/>
      <c r="DH655" s="12" t="s">
        <v>319</v>
      </c>
      <c r="DI655" s="14"/>
      <c r="DJ655" s="16"/>
      <c r="DK655" s="14"/>
      <c r="DL655" s="11" t="s">
        <v>319</v>
      </c>
      <c r="DM655" s="14"/>
      <c r="DN655" s="16"/>
      <c r="DO655" s="14"/>
      <c r="DP655" s="12" t="s">
        <v>319</v>
      </c>
      <c r="DQ655" s="14"/>
      <c r="DR655" s="16"/>
      <c r="DS655" s="14"/>
      <c r="DT655" s="12" t="s">
        <v>319</v>
      </c>
      <c r="DU655" s="14"/>
      <c r="DV655" s="16"/>
      <c r="DW655" s="14"/>
      <c r="DX655" s="12" t="s">
        <v>319</v>
      </c>
      <c r="DY655" s="14"/>
      <c r="DZ655" s="16"/>
      <c r="EA655" s="14"/>
      <c r="EB655" s="12" t="s">
        <v>319</v>
      </c>
      <c r="EC655" s="14"/>
      <c r="ED655" s="16"/>
      <c r="EE655" s="14"/>
      <c r="EF655" s="12" t="s">
        <v>10820</v>
      </c>
      <c r="EG655" s="12" t="s">
        <v>320</v>
      </c>
      <c r="EH655" s="14">
        <v>10805</v>
      </c>
      <c r="EI655" s="16">
        <v>0.7</v>
      </c>
      <c r="EJ655" s="14"/>
      <c r="EK655" s="14"/>
      <c r="EL655" s="14"/>
      <c r="EM655" s="14"/>
      <c r="EN655" s="14"/>
      <c r="EO655" s="14"/>
      <c r="EP655" s="14"/>
      <c r="EQ655" s="12"/>
      <c r="ER655" s="14"/>
      <c r="ES655" s="16"/>
      <c r="ET655" s="14"/>
      <c r="EU655" s="12"/>
      <c r="EV655" s="14"/>
      <c r="EW655" s="16"/>
      <c r="EX655" s="14"/>
      <c r="EY655" s="12"/>
      <c r="EZ655" s="14"/>
      <c r="FA655" s="16"/>
      <c r="FB655" s="14"/>
      <c r="FC655" s="12"/>
      <c r="FD655" s="14"/>
      <c r="FE655" s="16"/>
      <c r="FF655" s="14"/>
      <c r="FG655" s="12"/>
      <c r="FH655" s="14"/>
      <c r="FI655" s="16"/>
      <c r="FJ655" s="14"/>
      <c r="FK655" s="12"/>
      <c r="FL655" s="14"/>
      <c r="FM655" s="16"/>
      <c r="FN655" s="14"/>
      <c r="FO655" s="12"/>
      <c r="FP655" s="14"/>
      <c r="FQ655" s="16"/>
      <c r="FR655" s="14"/>
      <c r="FS655" s="12"/>
      <c r="FT655" s="14"/>
      <c r="FU655" s="16"/>
      <c r="FV655" s="14"/>
      <c r="FW655" s="12"/>
      <c r="FX655" s="14"/>
      <c r="FY655" s="16"/>
      <c r="FZ655" s="14"/>
      <c r="GA655" s="12"/>
      <c r="GB655" s="14"/>
      <c r="GC655" s="16"/>
      <c r="GD655" s="14"/>
      <c r="GE655" s="12"/>
      <c r="GF655" s="14"/>
      <c r="GG655" s="16"/>
      <c r="GH655" s="14"/>
      <c r="GI655" s="12"/>
      <c r="GJ655" s="14"/>
      <c r="GK655" s="16"/>
      <c r="GL655" s="14"/>
      <c r="GM655" s="12"/>
      <c r="GN655" s="14"/>
      <c r="GO655" s="16"/>
      <c r="GP655" s="14"/>
      <c r="GQ655" s="12"/>
      <c r="GR655" s="14"/>
      <c r="GS655" s="16"/>
      <c r="GT655" s="14"/>
      <c r="GU655" s="12"/>
      <c r="GV655" s="14"/>
      <c r="GW655" s="16"/>
      <c r="GX655" s="14"/>
      <c r="GY655" s="12"/>
      <c r="GZ655" s="14"/>
      <c r="HA655" s="16"/>
      <c r="HB655" s="14"/>
      <c r="HC655" s="12"/>
      <c r="HD655" s="12"/>
      <c r="HE655" s="14"/>
      <c r="HF655" s="16"/>
      <c r="HG655" s="14"/>
      <c r="HH655" s="12" t="s">
        <v>319</v>
      </c>
      <c r="HI655" s="12"/>
      <c r="HJ655" s="12"/>
      <c r="HK655" s="12" t="s">
        <v>319</v>
      </c>
      <c r="HL655" s="12" t="s">
        <v>319</v>
      </c>
      <c r="HM655" s="12"/>
      <c r="HN655" s="12"/>
      <c r="HO655" s="12"/>
      <c r="HP655" s="12" t="s">
        <v>330</v>
      </c>
      <c r="HQ655" s="12" t="s">
        <v>319</v>
      </c>
      <c r="HR655" s="12" t="s">
        <v>320</v>
      </c>
      <c r="HS655" s="12" t="s">
        <v>320</v>
      </c>
      <c r="HT655" s="12" t="s">
        <v>320</v>
      </c>
      <c r="HU655" s="12" t="s">
        <v>319</v>
      </c>
      <c r="HV655" s="12" t="s">
        <v>319</v>
      </c>
      <c r="HW655" s="12" t="s">
        <v>319</v>
      </c>
      <c r="HX655" s="12" t="s">
        <v>319</v>
      </c>
      <c r="HY655" s="12"/>
      <c r="HZ655" s="12" t="s">
        <v>363</v>
      </c>
      <c r="IA655" s="12"/>
      <c r="IB655" s="12" t="s">
        <v>667</v>
      </c>
      <c r="IC655" s="12"/>
      <c r="ID655" s="12" t="s">
        <v>334</v>
      </c>
      <c r="IE655" s="12" t="s">
        <v>335</v>
      </c>
      <c r="IF655" s="12" t="s">
        <v>320</v>
      </c>
      <c r="IG655" s="12" t="s">
        <v>320</v>
      </c>
      <c r="IH655" s="12" t="s">
        <v>320</v>
      </c>
      <c r="II655" s="12" t="s">
        <v>320</v>
      </c>
      <c r="IJ655" s="12" t="str">
        <f t="shared" si="431"/>
        <v>2. Sensitive</v>
      </c>
      <c r="IK655" s="12">
        <f t="shared" si="432"/>
        <v>4</v>
      </c>
      <c r="IL655" s="12" t="s">
        <v>336</v>
      </c>
      <c r="IM655" s="12" t="s">
        <v>320</v>
      </c>
      <c r="IN655" s="12" t="s">
        <v>320</v>
      </c>
      <c r="IO655" s="12" t="s">
        <v>320</v>
      </c>
      <c r="IP655" s="12" t="s">
        <v>320</v>
      </c>
      <c r="IQ655" s="12" t="str">
        <f t="shared" si="433"/>
        <v>2. Accommodating</v>
      </c>
      <c r="IR655" s="12">
        <f t="shared" si="434"/>
        <v>4</v>
      </c>
      <c r="IS655" s="12" t="s">
        <v>337</v>
      </c>
      <c r="IT655" s="12" t="s">
        <v>320</v>
      </c>
      <c r="IU655" s="12"/>
      <c r="IV655" s="12" t="s">
        <v>320</v>
      </c>
      <c r="IW655" s="11" t="str">
        <f t="shared" si="435"/>
        <v>1. Neutral</v>
      </c>
      <c r="IX655" s="12">
        <f t="shared" si="436"/>
        <v>2</v>
      </c>
      <c r="IY655" s="12" t="s">
        <v>419</v>
      </c>
      <c r="IZ655" s="12" t="s">
        <v>432</v>
      </c>
      <c r="JA655" s="12"/>
      <c r="JB655" s="12"/>
      <c r="JC655" s="12"/>
      <c r="JD655" s="12"/>
      <c r="JE655" s="12" t="s">
        <v>420</v>
      </c>
      <c r="JF655" s="12"/>
      <c r="JG655" s="12" t="s">
        <v>6399</v>
      </c>
      <c r="JH655" s="12" t="s">
        <v>11036</v>
      </c>
      <c r="JI655" s="12" t="s">
        <v>11037</v>
      </c>
      <c r="JJ655" s="12" t="s">
        <v>11038</v>
      </c>
      <c r="JK655" s="12" t="s">
        <v>11039</v>
      </c>
      <c r="JL655" s="12" t="s">
        <v>11040</v>
      </c>
      <c r="JM655" s="12" t="s">
        <v>11041</v>
      </c>
      <c r="JN655" s="12"/>
      <c r="JO655" s="12" t="s">
        <v>10825</v>
      </c>
      <c r="JP655" s="15">
        <f t="shared" si="437"/>
        <v>3000</v>
      </c>
      <c r="JQ655" s="15">
        <f t="shared" si="438"/>
        <v>0</v>
      </c>
      <c r="JR655" s="279">
        <f t="shared" si="439"/>
        <v>0</v>
      </c>
      <c r="JS655" s="17">
        <f t="shared" si="440"/>
        <v>0.58333333333333337</v>
      </c>
      <c r="JT655" s="18" t="str">
        <f t="shared" si="441"/>
        <v/>
      </c>
      <c r="JU655" s="280">
        <f t="shared" si="442"/>
        <v>1750</v>
      </c>
      <c r="JV655" s="280">
        <f t="shared" si="443"/>
        <v>0</v>
      </c>
      <c r="JW655" s="319">
        <f t="shared" si="444"/>
        <v>1</v>
      </c>
      <c r="JX655" s="15">
        <f t="shared" si="445"/>
        <v>3000</v>
      </c>
      <c r="JY655" s="15">
        <f t="shared" si="446"/>
        <v>0</v>
      </c>
      <c r="JZ655" s="19">
        <f t="shared" si="447"/>
        <v>0</v>
      </c>
      <c r="KA655" s="52">
        <f t="shared" si="448"/>
        <v>1</v>
      </c>
      <c r="KB655" s="15">
        <f t="shared" si="449"/>
        <v>3000</v>
      </c>
      <c r="KC655" s="15">
        <f t="shared" si="450"/>
        <v>0</v>
      </c>
      <c r="KD655" s="20">
        <f t="shared" si="451"/>
        <v>0</v>
      </c>
      <c r="KE655" s="52" t="str">
        <f t="shared" si="452"/>
        <v/>
      </c>
      <c r="KF655" s="15">
        <f t="shared" si="453"/>
        <v>0</v>
      </c>
      <c r="KG655" s="15">
        <f t="shared" si="454"/>
        <v>0</v>
      </c>
      <c r="KH655" s="21" t="str">
        <f t="shared" si="455"/>
        <v/>
      </c>
      <c r="KI655" s="52" t="str">
        <f t="shared" si="456"/>
        <v/>
      </c>
      <c r="KJ655" s="15">
        <f t="shared" si="457"/>
        <v>0</v>
      </c>
      <c r="KK655" s="15">
        <f t="shared" si="458"/>
        <v>0</v>
      </c>
      <c r="KL655" s="19" t="str">
        <f t="shared" si="459"/>
        <v/>
      </c>
      <c r="KM655" s="52" t="str">
        <f t="shared" si="460"/>
        <v/>
      </c>
      <c r="KN655" s="22">
        <f t="shared" si="461"/>
        <v>0</v>
      </c>
      <c r="KO655" s="22">
        <f t="shared" si="462"/>
        <v>0</v>
      </c>
      <c r="KP655" s="19" t="str">
        <f t="shared" si="463"/>
        <v/>
      </c>
      <c r="KQ655" s="11" t="str">
        <f t="shared" si="464"/>
        <v>2. Sensitive</v>
      </c>
      <c r="KR655" s="11" t="str">
        <f t="shared" si="465"/>
        <v>2. Accommodating</v>
      </c>
      <c r="KS655" s="11" t="str">
        <f t="shared" si="466"/>
        <v>1. Neutral</v>
      </c>
      <c r="KT655" s="11" t="str">
        <f t="shared" si="467"/>
        <v>It did not develop any specific innovation</v>
      </c>
      <c r="KU655" s="11" t="str">
        <f t="shared" si="468"/>
        <v>Moderate advocacy</v>
      </c>
      <c r="KV655" s="11" t="str">
        <f t="shared" si="469"/>
        <v>It took tested solutions to scale on its own</v>
      </c>
      <c r="KW655" s="11" t="str">
        <f t="shared" si="470"/>
        <v>Somalia - Emergency Nutrition support for acute malnourished drought affected population</v>
      </c>
      <c r="KX655" s="11" t="str">
        <f t="shared" si="471"/>
        <v>Emergency Nutrition support for acute malnourished drought affected population</v>
      </c>
      <c r="KY655" s="11" t="str">
        <f t="shared" si="472"/>
        <v>Somalia</v>
      </c>
      <c r="KZ655" s="12">
        <v>655</v>
      </c>
    </row>
    <row r="656" spans="1:312" x14ac:dyDescent="0.3">
      <c r="A656" s="12" t="s">
        <v>10685</v>
      </c>
      <c r="B656" s="12" t="s">
        <v>1874</v>
      </c>
      <c r="C656" s="12"/>
      <c r="D656" s="12" t="s">
        <v>11094</v>
      </c>
      <c r="E656" s="277" t="str">
        <f t="shared" si="430"/>
        <v>Somalia</v>
      </c>
      <c r="F656" s="12" t="s">
        <v>11095</v>
      </c>
      <c r="G656" s="12" t="s">
        <v>425</v>
      </c>
      <c r="H656" s="12" t="s">
        <v>380</v>
      </c>
      <c r="I656" s="12" t="s">
        <v>907</v>
      </c>
      <c r="J656" s="281" t="s">
        <v>5183</v>
      </c>
      <c r="K656" s="12"/>
      <c r="L656" s="12"/>
      <c r="M656" s="12"/>
      <c r="N656" s="12"/>
      <c r="O656" s="12"/>
      <c r="P656" s="12"/>
      <c r="Q656" s="12"/>
      <c r="R656" s="12"/>
      <c r="S656" s="12"/>
      <c r="T656" s="12"/>
      <c r="U656" s="12"/>
      <c r="V656" s="12"/>
      <c r="W656" s="12"/>
      <c r="X656" s="12"/>
      <c r="Y656" s="12"/>
      <c r="Z656" s="12"/>
      <c r="AA656" s="12"/>
      <c r="AB656" s="12"/>
      <c r="AC656" s="12"/>
      <c r="AD656" s="12"/>
      <c r="BD656" s="13">
        <v>42856</v>
      </c>
      <c r="BE656" s="13">
        <v>43099</v>
      </c>
      <c r="BF656" s="12"/>
      <c r="BG656" s="12" t="s">
        <v>817</v>
      </c>
      <c r="BH656" s="14">
        <v>915200</v>
      </c>
      <c r="BI656" s="12" t="s">
        <v>10699</v>
      </c>
      <c r="BJ656" s="12" t="s">
        <v>10700</v>
      </c>
      <c r="BK656" s="12" t="s">
        <v>10701</v>
      </c>
      <c r="BL656" s="12" t="s">
        <v>10702</v>
      </c>
      <c r="BM656" s="12" t="s">
        <v>10703</v>
      </c>
      <c r="BN656" s="12" t="s">
        <v>10704</v>
      </c>
      <c r="BO656" s="12" t="s">
        <v>320</v>
      </c>
      <c r="BP656" s="12" t="s">
        <v>319</v>
      </c>
      <c r="BQ656" s="12" t="s">
        <v>319</v>
      </c>
      <c r="BR656" s="12" t="s">
        <v>10828</v>
      </c>
      <c r="BS656" s="12" t="s">
        <v>322</v>
      </c>
      <c r="BT656" s="12" t="s">
        <v>10829</v>
      </c>
      <c r="BU656" s="12" t="s">
        <v>10707</v>
      </c>
      <c r="BV656" s="14">
        <v>38211</v>
      </c>
      <c r="BW656" s="14">
        <v>36765</v>
      </c>
      <c r="BX656" s="14"/>
      <c r="BY656" s="14"/>
      <c r="BZ656" s="14"/>
      <c r="CA656" s="14"/>
      <c r="CB656" s="12" t="s">
        <v>11096</v>
      </c>
      <c r="CD656" s="14">
        <v>36765</v>
      </c>
      <c r="CE656" s="14">
        <v>38211</v>
      </c>
      <c r="CF656" s="14">
        <v>74976</v>
      </c>
      <c r="CG656" s="14"/>
      <c r="CH656" s="14"/>
      <c r="CI656" s="14"/>
      <c r="CJ656" s="12" t="s">
        <v>319</v>
      </c>
      <c r="CK656" s="14"/>
      <c r="CL656" s="16"/>
      <c r="CM656" s="14"/>
      <c r="CN656" s="12" t="s">
        <v>320</v>
      </c>
      <c r="CO656" s="14">
        <v>1696</v>
      </c>
      <c r="CP656" s="16">
        <v>0.49</v>
      </c>
      <c r="CQ656" s="14"/>
      <c r="CR656" s="12" t="s">
        <v>319</v>
      </c>
      <c r="CS656" s="14"/>
      <c r="CT656" s="16"/>
      <c r="CU656" s="14"/>
      <c r="CV656" s="12" t="s">
        <v>320</v>
      </c>
      <c r="CW656" s="14">
        <v>1074</v>
      </c>
      <c r="CX656" s="16">
        <v>0.7</v>
      </c>
      <c r="CY656" s="14"/>
      <c r="CZ656" s="12" t="s">
        <v>319</v>
      </c>
      <c r="DA656" s="14"/>
      <c r="DB656" s="16"/>
      <c r="DC656" s="14"/>
      <c r="DD656" s="12" t="s">
        <v>319</v>
      </c>
      <c r="DE656" s="14"/>
      <c r="DF656" s="16"/>
      <c r="DG656" s="14"/>
      <c r="DH656" s="12" t="s">
        <v>319</v>
      </c>
      <c r="DI656" s="14"/>
      <c r="DJ656" s="16"/>
      <c r="DK656" s="14"/>
      <c r="DL656" s="12" t="s">
        <v>319</v>
      </c>
      <c r="DM656" s="14"/>
      <c r="DN656" s="16"/>
      <c r="DO656" s="14"/>
      <c r="DP656" s="12" t="s">
        <v>319</v>
      </c>
      <c r="DQ656" s="14"/>
      <c r="DR656" s="16"/>
      <c r="DS656" s="14"/>
      <c r="DT656" s="12" t="s">
        <v>319</v>
      </c>
      <c r="DU656" s="14"/>
      <c r="DV656" s="16"/>
      <c r="DW656" s="14"/>
      <c r="DX656" s="12" t="s">
        <v>319</v>
      </c>
      <c r="DY656" s="14"/>
      <c r="DZ656" s="16"/>
      <c r="EA656" s="14"/>
      <c r="EB656" s="11" t="s">
        <v>320</v>
      </c>
      <c r="EC656" s="14">
        <v>72206</v>
      </c>
      <c r="ED656" s="16">
        <v>0.49</v>
      </c>
      <c r="EE656" s="14"/>
      <c r="EF656" s="12"/>
      <c r="EG656" s="12"/>
      <c r="EH656" s="14"/>
      <c r="EI656" s="16"/>
      <c r="EJ656" s="14"/>
      <c r="EK656" s="14"/>
      <c r="EL656" s="14"/>
      <c r="EM656" s="14"/>
      <c r="EN656" s="14"/>
      <c r="EO656" s="14"/>
      <c r="EP656" s="14"/>
      <c r="EQ656" s="12"/>
      <c r="ER656" s="14"/>
      <c r="ES656" s="16"/>
      <c r="ET656" s="14"/>
      <c r="EU656" s="12"/>
      <c r="EV656" s="14"/>
      <c r="EW656" s="16"/>
      <c r="EX656" s="14"/>
      <c r="EY656" s="12"/>
      <c r="EZ656" s="14"/>
      <c r="FA656" s="16"/>
      <c r="FB656" s="14"/>
      <c r="FC656" s="12"/>
      <c r="FD656" s="14"/>
      <c r="FE656" s="16"/>
      <c r="FF656" s="14"/>
      <c r="FG656" s="12"/>
      <c r="FH656" s="14"/>
      <c r="FI656" s="16"/>
      <c r="FJ656" s="14"/>
      <c r="FK656" s="12"/>
      <c r="FL656" s="14"/>
      <c r="FM656" s="16"/>
      <c r="FN656" s="14"/>
      <c r="FO656" s="12"/>
      <c r="FP656" s="14"/>
      <c r="FQ656" s="16"/>
      <c r="FR656" s="14"/>
      <c r="FS656" s="12"/>
      <c r="FT656" s="14"/>
      <c r="FU656" s="16"/>
      <c r="FV656" s="14"/>
      <c r="FW656" s="12"/>
      <c r="FX656" s="14"/>
      <c r="FY656" s="16"/>
      <c r="FZ656" s="14"/>
      <c r="GA656" s="12"/>
      <c r="GB656" s="14"/>
      <c r="GC656" s="16"/>
      <c r="GD656" s="14"/>
      <c r="GE656" s="12"/>
      <c r="GF656" s="14"/>
      <c r="GG656" s="16"/>
      <c r="GH656" s="14"/>
      <c r="GI656" s="12"/>
      <c r="GJ656" s="14"/>
      <c r="GK656" s="16"/>
      <c r="GL656" s="14"/>
      <c r="GM656" s="12"/>
      <c r="GN656" s="14"/>
      <c r="GO656" s="16"/>
      <c r="GP656" s="14"/>
      <c r="GQ656" s="12"/>
      <c r="GR656" s="14"/>
      <c r="GS656" s="16"/>
      <c r="GT656" s="14"/>
      <c r="GU656" s="12"/>
      <c r="GV656" s="14"/>
      <c r="GW656" s="16"/>
      <c r="GX656" s="14"/>
      <c r="GY656" s="12"/>
      <c r="GZ656" s="14"/>
      <c r="HA656" s="16"/>
      <c r="HB656" s="14"/>
      <c r="HC656" s="12"/>
      <c r="HD656" s="12"/>
      <c r="HE656" s="14"/>
      <c r="HF656" s="16"/>
      <c r="HG656" s="14"/>
      <c r="HH656" s="12" t="s">
        <v>319</v>
      </c>
      <c r="HI656" s="12"/>
      <c r="HJ656" s="12"/>
      <c r="HK656" s="12" t="s">
        <v>319</v>
      </c>
      <c r="HL656" s="12" t="s">
        <v>320</v>
      </c>
      <c r="HM656" s="12" t="s">
        <v>361</v>
      </c>
      <c r="HN656" s="12">
        <v>2017</v>
      </c>
      <c r="HO656" s="12"/>
      <c r="HP656" s="12" t="s">
        <v>330</v>
      </c>
      <c r="HQ656" s="12" t="s">
        <v>319</v>
      </c>
      <c r="HR656" s="12" t="s">
        <v>320</v>
      </c>
      <c r="HS656" s="12" t="s">
        <v>320</v>
      </c>
      <c r="HT656" s="12" t="s">
        <v>320</v>
      </c>
      <c r="HU656" s="12" t="s">
        <v>319</v>
      </c>
      <c r="HV656" s="12" t="s">
        <v>319</v>
      </c>
      <c r="HW656" s="12" t="s">
        <v>320</v>
      </c>
      <c r="HX656" s="12" t="s">
        <v>319</v>
      </c>
      <c r="HY656" s="12"/>
      <c r="HZ656" s="12" t="s">
        <v>363</v>
      </c>
      <c r="IA656" s="12"/>
      <c r="IB656" s="12" t="s">
        <v>667</v>
      </c>
      <c r="IC656" s="12"/>
      <c r="ID656" s="12" t="s">
        <v>334</v>
      </c>
      <c r="IE656" s="12" t="s">
        <v>335</v>
      </c>
      <c r="IF656" s="12" t="s">
        <v>320</v>
      </c>
      <c r="IG656" s="12" t="s">
        <v>320</v>
      </c>
      <c r="IH656" s="12" t="s">
        <v>320</v>
      </c>
      <c r="II656" s="12" t="s">
        <v>320</v>
      </c>
      <c r="IJ656" s="12" t="str">
        <f t="shared" si="431"/>
        <v>2. Sensitive</v>
      </c>
      <c r="IK656" s="12">
        <f t="shared" si="432"/>
        <v>4</v>
      </c>
      <c r="IL656" s="12" t="s">
        <v>336</v>
      </c>
      <c r="IM656" s="12" t="s">
        <v>320</v>
      </c>
      <c r="IN656" s="12" t="s">
        <v>320</v>
      </c>
      <c r="IO656" s="12" t="s">
        <v>320</v>
      </c>
      <c r="IP656" s="12" t="s">
        <v>320</v>
      </c>
      <c r="IQ656" s="12" t="str">
        <f t="shared" si="433"/>
        <v>2. Accommodating</v>
      </c>
      <c r="IR656" s="12">
        <f t="shared" si="434"/>
        <v>4</v>
      </c>
      <c r="IS656" s="12"/>
      <c r="IT656" s="12" t="s">
        <v>320</v>
      </c>
      <c r="IU656" s="12"/>
      <c r="IV656" s="12"/>
      <c r="IW656" s="11" t="str">
        <f t="shared" si="435"/>
        <v>No marker score</v>
      </c>
      <c r="IX656" s="12">
        <f t="shared" si="436"/>
        <v>1</v>
      </c>
      <c r="IY656" s="12" t="s">
        <v>419</v>
      </c>
      <c r="IZ656" s="12" t="s">
        <v>432</v>
      </c>
      <c r="JA656" s="12"/>
      <c r="JB656" s="12" t="s">
        <v>433</v>
      </c>
      <c r="JC656" s="12"/>
      <c r="JD656" s="12"/>
      <c r="JE656" s="12" t="s">
        <v>420</v>
      </c>
      <c r="JF656" s="12"/>
      <c r="JG656" s="12" t="s">
        <v>6286</v>
      </c>
      <c r="JH656" s="12" t="s">
        <v>10709</v>
      </c>
      <c r="JI656" s="12" t="s">
        <v>10710</v>
      </c>
      <c r="JJ656" s="12" t="s">
        <v>10711</v>
      </c>
      <c r="JK656" s="12" t="s">
        <v>11097</v>
      </c>
      <c r="JL656" s="12" t="s">
        <v>10720</v>
      </c>
      <c r="JM656" s="12"/>
      <c r="JN656" s="12"/>
      <c r="JO656" s="12" t="s">
        <v>11098</v>
      </c>
      <c r="JP656" s="15">
        <f t="shared" si="437"/>
        <v>74976</v>
      </c>
      <c r="JQ656" s="15">
        <f t="shared" si="438"/>
        <v>0</v>
      </c>
      <c r="JR656" s="279">
        <f t="shared" si="439"/>
        <v>0</v>
      </c>
      <c r="JS656" s="17">
        <f t="shared" si="440"/>
        <v>0.49035691421254801</v>
      </c>
      <c r="JT656" s="18" t="str">
        <f t="shared" si="441"/>
        <v/>
      </c>
      <c r="JU656" s="280">
        <f t="shared" si="442"/>
        <v>36765</v>
      </c>
      <c r="JV656" s="280">
        <f t="shared" si="443"/>
        <v>0</v>
      </c>
      <c r="JW656" s="319">
        <f t="shared" si="444"/>
        <v>1</v>
      </c>
      <c r="JX656" s="15">
        <f t="shared" si="445"/>
        <v>74976</v>
      </c>
      <c r="JY656" s="15">
        <f t="shared" si="446"/>
        <v>0</v>
      </c>
      <c r="JZ656" s="19">
        <f t="shared" si="447"/>
        <v>0</v>
      </c>
      <c r="KA656" s="52">
        <f t="shared" si="448"/>
        <v>1</v>
      </c>
      <c r="KB656" s="15">
        <f t="shared" si="449"/>
        <v>1074</v>
      </c>
      <c r="KC656" s="15">
        <f t="shared" si="450"/>
        <v>0</v>
      </c>
      <c r="KD656" s="20">
        <f t="shared" si="451"/>
        <v>0</v>
      </c>
      <c r="KE656" s="52" t="str">
        <f t="shared" si="452"/>
        <v/>
      </c>
      <c r="KF656" s="15">
        <f t="shared" si="453"/>
        <v>0</v>
      </c>
      <c r="KG656" s="15">
        <f t="shared" si="454"/>
        <v>0</v>
      </c>
      <c r="KH656" s="21" t="str">
        <f t="shared" si="455"/>
        <v/>
      </c>
      <c r="KI656" s="52" t="str">
        <f t="shared" si="456"/>
        <v/>
      </c>
      <c r="KJ656" s="15">
        <f t="shared" si="457"/>
        <v>0</v>
      </c>
      <c r="KK656" s="15">
        <f t="shared" si="458"/>
        <v>0</v>
      </c>
      <c r="KL656" s="19" t="str">
        <f t="shared" si="459"/>
        <v/>
      </c>
      <c r="KM656" s="52" t="str">
        <f t="shared" si="460"/>
        <v/>
      </c>
      <c r="KN656" s="22">
        <f t="shared" si="461"/>
        <v>0</v>
      </c>
      <c r="KO656" s="22">
        <f t="shared" si="462"/>
        <v>0</v>
      </c>
      <c r="KP656" s="19" t="str">
        <f t="shared" si="463"/>
        <v/>
      </c>
      <c r="KQ656" s="11" t="str">
        <f t="shared" si="464"/>
        <v>2. Sensitive</v>
      </c>
      <c r="KR656" s="11" t="str">
        <f t="shared" si="465"/>
        <v>2. Accommodating</v>
      </c>
      <c r="KS656" s="11" t="str">
        <f t="shared" si="466"/>
        <v>No marker score</v>
      </c>
      <c r="KT656" s="11" t="str">
        <f t="shared" si="467"/>
        <v>It did not develop any specific innovation</v>
      </c>
      <c r="KU656" s="11" t="str">
        <f t="shared" si="468"/>
        <v>Moderate advocacy</v>
      </c>
      <c r="KV656" s="11" t="str">
        <f t="shared" si="469"/>
        <v>It took tested solutions to scale on its own</v>
      </c>
      <c r="KW656" s="11" t="str">
        <f t="shared" si="470"/>
        <v>Somalia - EMERGENCY RESPONSE FOR DISASTER AFFECTED COMMUNITIES</v>
      </c>
      <c r="KX656" s="11" t="str">
        <f t="shared" si="471"/>
        <v>EMERGENCY RESPONSE FOR DISASTER AFFECTED COMMUNITIES</v>
      </c>
      <c r="KY656" s="11" t="str">
        <f t="shared" si="472"/>
        <v>Somalia</v>
      </c>
      <c r="KZ656" s="12">
        <v>656</v>
      </c>
    </row>
    <row r="657" spans="1:312" x14ac:dyDescent="0.3">
      <c r="A657" s="12" t="s">
        <v>10685</v>
      </c>
      <c r="B657" s="12" t="s">
        <v>1874</v>
      </c>
      <c r="C657" s="12">
        <v>3350</v>
      </c>
      <c r="D657" s="12" t="s">
        <v>10771</v>
      </c>
      <c r="E657" s="277" t="str">
        <f t="shared" si="430"/>
        <v>Somalia</v>
      </c>
      <c r="F657" s="12" t="s">
        <v>9448</v>
      </c>
      <c r="G657" s="12" t="s">
        <v>425</v>
      </c>
      <c r="H657" s="12" t="s">
        <v>310</v>
      </c>
      <c r="I657" s="12" t="s">
        <v>426</v>
      </c>
      <c r="J657" s="278" t="s">
        <v>14563</v>
      </c>
      <c r="K657" s="12"/>
      <c r="L657" s="12"/>
      <c r="M657" s="12"/>
      <c r="N657" s="12"/>
      <c r="O657" s="12"/>
      <c r="P657" s="12"/>
      <c r="Q657" s="12"/>
      <c r="R657" s="12"/>
      <c r="S657" s="12"/>
      <c r="T657" s="12"/>
      <c r="U657" s="12"/>
      <c r="V657" s="12"/>
      <c r="W657" s="12"/>
      <c r="X657" s="12"/>
      <c r="Y657" s="12"/>
      <c r="Z657" s="12"/>
      <c r="AA657" s="12"/>
      <c r="AB657" s="12"/>
      <c r="AC657" s="12"/>
      <c r="AD657" s="12"/>
      <c r="BD657" s="13">
        <v>42370</v>
      </c>
      <c r="BE657" s="13">
        <v>44196</v>
      </c>
      <c r="BF657" s="12"/>
      <c r="BG657" s="12" t="s">
        <v>312</v>
      </c>
      <c r="BH657" s="14">
        <v>2180357</v>
      </c>
      <c r="BI657" s="12" t="s">
        <v>10688</v>
      </c>
      <c r="BJ657" s="12" t="s">
        <v>10772</v>
      </c>
      <c r="BK657" s="12" t="s">
        <v>10763</v>
      </c>
      <c r="BL657" s="12" t="s">
        <v>10773</v>
      </c>
      <c r="BM657" s="12" t="s">
        <v>10774</v>
      </c>
      <c r="BN657" s="12" t="s">
        <v>10775</v>
      </c>
      <c r="BO657" s="12" t="s">
        <v>320</v>
      </c>
      <c r="BP657" s="12" t="s">
        <v>320</v>
      </c>
      <c r="BQ657" s="12" t="s">
        <v>320</v>
      </c>
      <c r="BR657" s="12" t="s">
        <v>10776</v>
      </c>
      <c r="BS657" s="12" t="s">
        <v>322</v>
      </c>
      <c r="BT657" s="12" t="s">
        <v>10777</v>
      </c>
      <c r="BU657" s="12" t="s">
        <v>10778</v>
      </c>
      <c r="BV657" s="14">
        <v>535</v>
      </c>
      <c r="BW657" s="14">
        <v>1145</v>
      </c>
      <c r="BX657" s="14">
        <v>1680</v>
      </c>
      <c r="BY657" s="14">
        <v>19707</v>
      </c>
      <c r="BZ657" s="14">
        <v>27253</v>
      </c>
      <c r="CA657" s="14">
        <v>46960</v>
      </c>
      <c r="CB657" s="12" t="s">
        <v>10779</v>
      </c>
      <c r="CD657" s="14">
        <v>268</v>
      </c>
      <c r="CE657" s="14">
        <v>328</v>
      </c>
      <c r="CF657" s="14">
        <v>596</v>
      </c>
      <c r="CG657" s="14">
        <v>1017</v>
      </c>
      <c r="CH657" s="14">
        <v>1658</v>
      </c>
      <c r="CI657" s="14">
        <v>2675</v>
      </c>
      <c r="CJ657" s="12"/>
      <c r="CK657" s="14"/>
      <c r="CL657" s="16"/>
      <c r="CM657" s="14"/>
      <c r="CN657" s="12"/>
      <c r="CO657" s="14"/>
      <c r="CP657" s="16"/>
      <c r="CQ657" s="14"/>
      <c r="CR657" s="12"/>
      <c r="CS657" s="14"/>
      <c r="CT657" s="16"/>
      <c r="CU657" s="14"/>
      <c r="CV657" s="12"/>
      <c r="CW657" s="14"/>
      <c r="CX657" s="16"/>
      <c r="CY657" s="14"/>
      <c r="CZ657" s="12"/>
      <c r="DA657" s="14"/>
      <c r="DB657" s="16"/>
      <c r="DC657" s="14"/>
      <c r="DD657" s="11" t="s">
        <v>320</v>
      </c>
      <c r="DE657" s="14">
        <v>596</v>
      </c>
      <c r="DF657" s="16">
        <v>0.45</v>
      </c>
      <c r="DG657" s="14">
        <v>2675</v>
      </c>
      <c r="DH657" s="12"/>
      <c r="DI657" s="14"/>
      <c r="DJ657" s="16"/>
      <c r="DK657" s="14"/>
      <c r="DL657" s="12"/>
      <c r="DM657" s="14"/>
      <c r="DN657" s="16"/>
      <c r="DO657" s="14"/>
      <c r="DP657" s="12"/>
      <c r="DQ657" s="14"/>
      <c r="DR657" s="16"/>
      <c r="DS657" s="14"/>
      <c r="DT657" s="12"/>
      <c r="DU657" s="14"/>
      <c r="DV657" s="16"/>
      <c r="DW657" s="14"/>
      <c r="DX657" s="12"/>
      <c r="DY657" s="14"/>
      <c r="DZ657" s="16"/>
      <c r="EA657" s="14"/>
      <c r="EB657" s="12"/>
      <c r="EC657" s="14"/>
      <c r="ED657" s="16"/>
      <c r="EE657" s="14"/>
      <c r="EF657" s="12"/>
      <c r="EG657" s="12"/>
      <c r="EH657" s="14"/>
      <c r="EI657" s="16"/>
      <c r="EJ657" s="14"/>
      <c r="EK657" s="14">
        <v>268</v>
      </c>
      <c r="EL657" s="14">
        <v>328</v>
      </c>
      <c r="EM657" s="14">
        <v>596</v>
      </c>
      <c r="EN657" s="14">
        <v>1017</v>
      </c>
      <c r="EO657" s="14">
        <v>1658</v>
      </c>
      <c r="EP657" s="14">
        <v>2675</v>
      </c>
      <c r="EQ657" s="12"/>
      <c r="ER657" s="14"/>
      <c r="ES657" s="16"/>
      <c r="ET657" s="14"/>
      <c r="EU657" s="12"/>
      <c r="EV657" s="14"/>
      <c r="EW657" s="16"/>
      <c r="EX657" s="14"/>
      <c r="EY657" s="12"/>
      <c r="EZ657" s="14"/>
      <c r="FA657" s="16"/>
      <c r="FB657" s="14"/>
      <c r="FC657" s="12"/>
      <c r="FD657" s="14"/>
      <c r="FE657" s="16"/>
      <c r="FF657" s="14"/>
      <c r="FG657" s="12"/>
      <c r="FH657" s="14"/>
      <c r="FI657" s="16"/>
      <c r="FJ657" s="14"/>
      <c r="FK657" s="12"/>
      <c r="FL657" s="14"/>
      <c r="FM657" s="16"/>
      <c r="FN657" s="14"/>
      <c r="FO657" s="12"/>
      <c r="FP657" s="14"/>
      <c r="FQ657" s="16"/>
      <c r="FR657" s="14"/>
      <c r="FS657" s="12"/>
      <c r="FT657" s="14"/>
      <c r="FU657" s="16"/>
      <c r="FV657" s="14"/>
      <c r="FW657" s="12"/>
      <c r="FX657" s="14"/>
      <c r="FY657" s="16"/>
      <c r="FZ657" s="14"/>
      <c r="GA657" s="12"/>
      <c r="GB657" s="14"/>
      <c r="GC657" s="16"/>
      <c r="GD657" s="14"/>
      <c r="GE657" s="12"/>
      <c r="GF657" s="14"/>
      <c r="GG657" s="16"/>
      <c r="GH657" s="14"/>
      <c r="GI657" s="12"/>
      <c r="GJ657" s="14"/>
      <c r="GK657" s="16"/>
      <c r="GL657" s="14"/>
      <c r="GM657" s="11" t="s">
        <v>320</v>
      </c>
      <c r="GN657" s="14">
        <v>596</v>
      </c>
      <c r="GO657" s="16"/>
      <c r="GP657" s="14"/>
      <c r="GQ657" s="12"/>
      <c r="GR657" s="14"/>
      <c r="GS657" s="16"/>
      <c r="GT657" s="14"/>
      <c r="GU657" s="12"/>
      <c r="GV657" s="14"/>
      <c r="GW657" s="16"/>
      <c r="GX657" s="14"/>
      <c r="GY657" s="12"/>
      <c r="GZ657" s="14"/>
      <c r="HA657" s="16"/>
      <c r="HB657" s="14"/>
      <c r="HC657" s="12"/>
      <c r="HD657" s="12"/>
      <c r="HE657" s="14"/>
      <c r="HF657" s="16"/>
      <c r="HG657" s="14"/>
      <c r="HH657" s="12"/>
      <c r="HI657" s="12"/>
      <c r="HJ657" s="12"/>
      <c r="HK657" s="12"/>
      <c r="HL657" s="12" t="s">
        <v>319</v>
      </c>
      <c r="HM657" s="12"/>
      <c r="HN657" s="12"/>
      <c r="HO657" s="12"/>
      <c r="HP657" s="12" t="s">
        <v>453</v>
      </c>
      <c r="HQ657" s="12" t="s">
        <v>320</v>
      </c>
      <c r="HR657" s="12" t="s">
        <v>320</v>
      </c>
      <c r="HS657" s="12" t="s">
        <v>320</v>
      </c>
      <c r="HT657" s="12" t="s">
        <v>320</v>
      </c>
      <c r="HU657" s="12" t="s">
        <v>320</v>
      </c>
      <c r="HV657" s="12" t="s">
        <v>320</v>
      </c>
      <c r="HW657" s="12" t="s">
        <v>320</v>
      </c>
      <c r="HX657" s="12"/>
      <c r="HY657" s="12"/>
      <c r="HZ657" s="12" t="s">
        <v>363</v>
      </c>
      <c r="IA657" s="12" t="s">
        <v>10780</v>
      </c>
      <c r="IB657" s="12" t="s">
        <v>396</v>
      </c>
      <c r="IC657" s="12" t="s">
        <v>10781</v>
      </c>
      <c r="ID657" s="12" t="s">
        <v>334</v>
      </c>
      <c r="IE657" s="12" t="s">
        <v>335</v>
      </c>
      <c r="IF657" s="12" t="s">
        <v>319</v>
      </c>
      <c r="IG657" s="12" t="s">
        <v>320</v>
      </c>
      <c r="IH657" s="12" t="s">
        <v>320</v>
      </c>
      <c r="II657" s="12" t="s">
        <v>320</v>
      </c>
      <c r="IJ657" s="12" t="str">
        <f t="shared" si="431"/>
        <v>1. Neutral</v>
      </c>
      <c r="IK657" s="12">
        <f t="shared" si="432"/>
        <v>3</v>
      </c>
      <c r="IL657" s="12" t="s">
        <v>336</v>
      </c>
      <c r="IM657" s="12" t="s">
        <v>320</v>
      </c>
      <c r="IN657" s="12"/>
      <c r="IO657" s="12" t="s">
        <v>320</v>
      </c>
      <c r="IP657" s="12"/>
      <c r="IQ657" s="12" t="str">
        <f t="shared" si="433"/>
        <v>1. Tokenistic</v>
      </c>
      <c r="IR657" s="12">
        <f t="shared" si="434"/>
        <v>2</v>
      </c>
      <c r="IS657" s="12"/>
      <c r="IT657" s="12" t="s">
        <v>319</v>
      </c>
      <c r="IU657" s="12"/>
      <c r="IV657" s="12" t="s">
        <v>320</v>
      </c>
      <c r="IW657" s="11" t="str">
        <f t="shared" si="435"/>
        <v>No marker score</v>
      </c>
      <c r="IX657" s="12">
        <f t="shared" si="436"/>
        <v>1</v>
      </c>
      <c r="IY657" s="12" t="s">
        <v>338</v>
      </c>
      <c r="IZ657" s="12" t="s">
        <v>457</v>
      </c>
      <c r="JA657" s="12"/>
      <c r="JB657" s="12" t="s">
        <v>433</v>
      </c>
      <c r="JC657" s="12" t="s">
        <v>651</v>
      </c>
      <c r="JD657" s="12" t="s">
        <v>687</v>
      </c>
      <c r="JE657" s="12" t="s">
        <v>340</v>
      </c>
      <c r="JF657" s="12"/>
      <c r="JG657" s="12" t="s">
        <v>10782</v>
      </c>
      <c r="JH657" s="12" t="s">
        <v>10783</v>
      </c>
      <c r="JI657" s="12" t="s">
        <v>10784</v>
      </c>
      <c r="JJ657" s="12" t="s">
        <v>10785</v>
      </c>
      <c r="JK657" s="12"/>
      <c r="JL657" s="12"/>
      <c r="JM657" s="12"/>
      <c r="JN657" s="12"/>
      <c r="JO657" s="12"/>
      <c r="JP657" s="15">
        <f t="shared" si="437"/>
        <v>596</v>
      </c>
      <c r="JQ657" s="15">
        <f t="shared" si="438"/>
        <v>2675</v>
      </c>
      <c r="JR657" s="279">
        <f t="shared" si="439"/>
        <v>4.4882550335570466</v>
      </c>
      <c r="JS657" s="17">
        <f t="shared" si="440"/>
        <v>0.44966442953020136</v>
      </c>
      <c r="JT657" s="18">
        <f t="shared" si="441"/>
        <v>0.38018691588785047</v>
      </c>
      <c r="JU657" s="280">
        <f t="shared" si="442"/>
        <v>268</v>
      </c>
      <c r="JV657" s="280">
        <f t="shared" si="443"/>
        <v>1017</v>
      </c>
      <c r="JW657" s="319">
        <f t="shared" si="444"/>
        <v>1</v>
      </c>
      <c r="JX657" s="15">
        <f t="shared" si="445"/>
        <v>596</v>
      </c>
      <c r="JY657" s="15">
        <f t="shared" si="446"/>
        <v>2675</v>
      </c>
      <c r="JZ657" s="19">
        <f t="shared" si="447"/>
        <v>4.4882550335570466</v>
      </c>
      <c r="KA657" s="52" t="str">
        <f t="shared" si="448"/>
        <v/>
      </c>
      <c r="KB657" s="15">
        <f t="shared" si="449"/>
        <v>0</v>
      </c>
      <c r="KC657" s="15">
        <f t="shared" si="450"/>
        <v>0</v>
      </c>
      <c r="KD657" s="20" t="str">
        <f t="shared" si="451"/>
        <v/>
      </c>
      <c r="KE657" s="52" t="str">
        <f t="shared" si="452"/>
        <v/>
      </c>
      <c r="KF657" s="15">
        <f t="shared" si="453"/>
        <v>0</v>
      </c>
      <c r="KG657" s="15">
        <f t="shared" si="454"/>
        <v>0</v>
      </c>
      <c r="KH657" s="21" t="str">
        <f t="shared" si="455"/>
        <v/>
      </c>
      <c r="KI657" s="52" t="str">
        <f t="shared" si="456"/>
        <v/>
      </c>
      <c r="KJ657" s="15">
        <f t="shared" si="457"/>
        <v>0</v>
      </c>
      <c r="KK657" s="15">
        <f t="shared" si="458"/>
        <v>0</v>
      </c>
      <c r="KL657" s="19" t="str">
        <f t="shared" si="459"/>
        <v/>
      </c>
      <c r="KM657" s="52" t="str">
        <f t="shared" si="460"/>
        <v/>
      </c>
      <c r="KN657" s="22">
        <f t="shared" si="461"/>
        <v>0</v>
      </c>
      <c r="KO657" s="22">
        <f t="shared" si="462"/>
        <v>0</v>
      </c>
      <c r="KP657" s="19" t="str">
        <f t="shared" si="463"/>
        <v/>
      </c>
      <c r="KQ657" s="11" t="str">
        <f t="shared" si="464"/>
        <v>1. Neutral</v>
      </c>
      <c r="KR657" s="11" t="str">
        <f t="shared" si="465"/>
        <v>1. Tokenistic</v>
      </c>
      <c r="KS657" s="11" t="str">
        <f t="shared" si="466"/>
        <v>No marker score</v>
      </c>
      <c r="KT657" s="11" t="str">
        <f t="shared" si="467"/>
        <v>It did not develop any specific innovation</v>
      </c>
      <c r="KU657" s="11" t="str">
        <f t="shared" si="468"/>
        <v>Intensive advocacy</v>
      </c>
      <c r="KV657" s="11" t="str">
        <f t="shared" si="469"/>
        <v>It linked and worked with strategic alliances and partners to take tested and effective solutions to scale</v>
      </c>
      <c r="KW657" s="11" t="str">
        <f t="shared" si="470"/>
        <v>Somalia - Every Voices Count Project</v>
      </c>
      <c r="KX657" s="11" t="str">
        <f t="shared" si="471"/>
        <v>Every Voices Count Project</v>
      </c>
      <c r="KY657" s="11" t="str">
        <f t="shared" si="472"/>
        <v>Somalia</v>
      </c>
      <c r="KZ657" s="12">
        <v>657</v>
      </c>
    </row>
    <row r="658" spans="1:312" x14ac:dyDescent="0.3">
      <c r="A658" s="12" t="s">
        <v>10685</v>
      </c>
      <c r="B658" s="12" t="s">
        <v>1874</v>
      </c>
      <c r="C658" s="12"/>
      <c r="D658" s="12" t="s">
        <v>11042</v>
      </c>
      <c r="E658" s="277" t="str">
        <f t="shared" si="430"/>
        <v>Somalia</v>
      </c>
      <c r="F658" s="12" t="s">
        <v>11043</v>
      </c>
      <c r="G658" s="12" t="s">
        <v>608</v>
      </c>
      <c r="H658" s="12" t="s">
        <v>380</v>
      </c>
      <c r="I658" s="12" t="s">
        <v>381</v>
      </c>
      <c r="J658" s="281" t="s">
        <v>11578</v>
      </c>
      <c r="K658" s="12"/>
      <c r="L658" s="12"/>
      <c r="M658" s="12"/>
      <c r="N658" s="12"/>
      <c r="O658" s="12"/>
      <c r="P658" s="12"/>
      <c r="Q658" s="12"/>
      <c r="R658" s="12"/>
      <c r="S658" s="12"/>
      <c r="T658" s="12"/>
      <c r="U658" s="12"/>
      <c r="V658" s="12"/>
      <c r="W658" s="12"/>
      <c r="X658" s="12"/>
      <c r="Y658" s="12"/>
      <c r="Z658" s="12"/>
      <c r="AA658" s="12"/>
      <c r="AB658" s="12"/>
      <c r="AC658" s="12"/>
      <c r="AD658" s="12"/>
      <c r="BD658" s="13">
        <v>42767</v>
      </c>
      <c r="BE658" s="13">
        <v>43100</v>
      </c>
      <c r="BF658" s="12"/>
      <c r="BG658" s="12" t="s">
        <v>817</v>
      </c>
      <c r="BH658" s="14">
        <v>263987</v>
      </c>
      <c r="BI658" s="12" t="s">
        <v>10699</v>
      </c>
      <c r="BJ658" s="12" t="s">
        <v>10700</v>
      </c>
      <c r="BK658" s="12" t="s">
        <v>10701</v>
      </c>
      <c r="BL658" s="12" t="s">
        <v>10702</v>
      </c>
      <c r="BM658" s="12" t="s">
        <v>10703</v>
      </c>
      <c r="BN658" s="12" t="s">
        <v>10704</v>
      </c>
      <c r="BO658" s="12" t="s">
        <v>320</v>
      </c>
      <c r="BP658" s="12" t="s">
        <v>319</v>
      </c>
      <c r="BQ658" s="12" t="s">
        <v>319</v>
      </c>
      <c r="BR658" s="12" t="s">
        <v>11042</v>
      </c>
      <c r="BS658" s="12" t="s">
        <v>357</v>
      </c>
      <c r="BT658" s="12" t="s">
        <v>11044</v>
      </c>
      <c r="BU658" s="12" t="s">
        <v>11045</v>
      </c>
      <c r="BV658" s="14">
        <v>7000</v>
      </c>
      <c r="BW658" s="14">
        <v>2800</v>
      </c>
      <c r="BX658" s="14">
        <v>9800</v>
      </c>
      <c r="BY658" s="14">
        <v>20000</v>
      </c>
      <c r="BZ658" s="14">
        <v>6000</v>
      </c>
      <c r="CA658" s="14">
        <v>26000</v>
      </c>
      <c r="CB658" s="12" t="s">
        <v>11046</v>
      </c>
      <c r="CD658" s="14">
        <v>7000</v>
      </c>
      <c r="CE658" s="14">
        <v>2800</v>
      </c>
      <c r="CF658" s="14">
        <v>9800</v>
      </c>
      <c r="CG658" s="14">
        <v>20000</v>
      </c>
      <c r="CH658" s="14">
        <v>6000</v>
      </c>
      <c r="CI658" s="14">
        <v>26000</v>
      </c>
      <c r="CJ658" s="12" t="s">
        <v>319</v>
      </c>
      <c r="CK658" s="14"/>
      <c r="CL658" s="16"/>
      <c r="CM658" s="14"/>
      <c r="CN658" s="12" t="s">
        <v>319</v>
      </c>
      <c r="CO658" s="14"/>
      <c r="CP658" s="16"/>
      <c r="CQ658" s="14"/>
      <c r="CR658" s="12" t="s">
        <v>319</v>
      </c>
      <c r="CS658" s="14"/>
      <c r="CT658" s="16"/>
      <c r="CU658" s="14"/>
      <c r="CV658" s="12" t="s">
        <v>319</v>
      </c>
      <c r="CW658" s="14"/>
      <c r="CX658" s="16"/>
      <c r="CY658" s="14"/>
      <c r="CZ658" s="12" t="s">
        <v>319</v>
      </c>
      <c r="DA658" s="14"/>
      <c r="DB658" s="16"/>
      <c r="DC658" s="14"/>
      <c r="DD658" s="12" t="s">
        <v>319</v>
      </c>
      <c r="DE658" s="14"/>
      <c r="DF658" s="16"/>
      <c r="DG658" s="14"/>
      <c r="DH658" s="12" t="s">
        <v>319</v>
      </c>
      <c r="DI658" s="14"/>
      <c r="DJ658" s="16"/>
      <c r="DK658" s="14"/>
      <c r="DL658" s="12" t="s">
        <v>319</v>
      </c>
      <c r="DM658" s="14"/>
      <c r="DN658" s="16"/>
      <c r="DO658" s="14"/>
      <c r="DP658" s="12" t="s">
        <v>320</v>
      </c>
      <c r="DQ658" s="14">
        <v>9800</v>
      </c>
      <c r="DR658" s="16"/>
      <c r="DS658" s="14"/>
      <c r="DT658" s="12" t="s">
        <v>319</v>
      </c>
      <c r="DU658" s="14"/>
      <c r="DV658" s="16"/>
      <c r="DW658" s="14"/>
      <c r="DX658" s="12" t="s">
        <v>319</v>
      </c>
      <c r="DY658" s="14"/>
      <c r="DZ658" s="16"/>
      <c r="EA658" s="14"/>
      <c r="EB658" s="12" t="s">
        <v>319</v>
      </c>
      <c r="EC658" s="14"/>
      <c r="ED658" s="16"/>
      <c r="EE658" s="14"/>
      <c r="EF658" s="12"/>
      <c r="EG658" s="12"/>
      <c r="EH658" s="14"/>
      <c r="EI658" s="16"/>
      <c r="EJ658" s="14"/>
      <c r="EK658" s="14"/>
      <c r="EL658" s="14"/>
      <c r="EM658" s="14"/>
      <c r="EN658" s="14"/>
      <c r="EO658" s="14"/>
      <c r="EP658" s="14"/>
      <c r="EQ658" s="12"/>
      <c r="ER658" s="14"/>
      <c r="ES658" s="16"/>
      <c r="ET658" s="14"/>
      <c r="EU658" s="12"/>
      <c r="EV658" s="14"/>
      <c r="EW658" s="16"/>
      <c r="EX658" s="14"/>
      <c r="EY658" s="12"/>
      <c r="EZ658" s="14"/>
      <c r="FA658" s="16"/>
      <c r="FB658" s="14"/>
      <c r="FC658" s="12"/>
      <c r="FD658" s="14"/>
      <c r="FE658" s="16"/>
      <c r="FF658" s="14"/>
      <c r="FG658" s="12"/>
      <c r="FH658" s="14"/>
      <c r="FI658" s="16"/>
      <c r="FJ658" s="14"/>
      <c r="FK658" s="12"/>
      <c r="FL658" s="14"/>
      <c r="FM658" s="16"/>
      <c r="FN658" s="14"/>
      <c r="FO658" s="12"/>
      <c r="FP658" s="14"/>
      <c r="FQ658" s="16"/>
      <c r="FR658" s="14"/>
      <c r="FS658" s="12"/>
      <c r="FT658" s="14"/>
      <c r="FU658" s="16"/>
      <c r="FV658" s="14"/>
      <c r="FW658" s="12"/>
      <c r="FX658" s="14"/>
      <c r="FY658" s="16"/>
      <c r="FZ658" s="14"/>
      <c r="GA658" s="12"/>
      <c r="GB658" s="14"/>
      <c r="GC658" s="16"/>
      <c r="GD658" s="14"/>
      <c r="GE658" s="12"/>
      <c r="GF658" s="14"/>
      <c r="GG658" s="16"/>
      <c r="GH658" s="14"/>
      <c r="GI658" s="12"/>
      <c r="GJ658" s="14"/>
      <c r="GK658" s="16"/>
      <c r="GL658" s="14"/>
      <c r="GM658" s="12"/>
      <c r="GN658" s="14"/>
      <c r="GO658" s="16"/>
      <c r="GP658" s="14"/>
      <c r="GQ658" s="12"/>
      <c r="GR658" s="14"/>
      <c r="GS658" s="16"/>
      <c r="GT658" s="14"/>
      <c r="GU658" s="12"/>
      <c r="GV658" s="14"/>
      <c r="GW658" s="16"/>
      <c r="GX658" s="14"/>
      <c r="GY658" s="12"/>
      <c r="GZ658" s="14"/>
      <c r="HA658" s="16"/>
      <c r="HB658" s="14"/>
      <c r="HC658" s="12"/>
      <c r="HD658" s="12"/>
      <c r="HE658" s="14"/>
      <c r="HF658" s="16"/>
      <c r="HG658" s="14"/>
      <c r="HH658" s="12" t="s">
        <v>319</v>
      </c>
      <c r="HI658" s="12"/>
      <c r="HJ658" s="12"/>
      <c r="HK658" s="12" t="s">
        <v>319</v>
      </c>
      <c r="HL658" s="12" t="s">
        <v>319</v>
      </c>
      <c r="HM658" s="12"/>
      <c r="HN658" s="12"/>
      <c r="HO658" s="12"/>
      <c r="HP658" s="12" t="s">
        <v>453</v>
      </c>
      <c r="HQ658" s="12" t="s">
        <v>319</v>
      </c>
      <c r="HR658" s="12" t="s">
        <v>320</v>
      </c>
      <c r="HS658" s="12" t="s">
        <v>320</v>
      </c>
      <c r="HT658" s="12" t="s">
        <v>320</v>
      </c>
      <c r="HU658" s="12" t="s">
        <v>320</v>
      </c>
      <c r="HV658" s="12" t="s">
        <v>319</v>
      </c>
      <c r="HW658" s="12" t="s">
        <v>319</v>
      </c>
      <c r="HX658" s="12" t="s">
        <v>319</v>
      </c>
      <c r="HY658" s="12"/>
      <c r="HZ658" s="12" t="s">
        <v>363</v>
      </c>
      <c r="IA658" s="12"/>
      <c r="IB658" s="12" t="s">
        <v>667</v>
      </c>
      <c r="IC658" s="12"/>
      <c r="ID658" s="12" t="s">
        <v>334</v>
      </c>
      <c r="IE658" s="12" t="s">
        <v>335</v>
      </c>
      <c r="IF658" s="12" t="s">
        <v>320</v>
      </c>
      <c r="IG658" s="12" t="s">
        <v>320</v>
      </c>
      <c r="IH658" s="12" t="s">
        <v>320</v>
      </c>
      <c r="II658" s="12" t="s">
        <v>320</v>
      </c>
      <c r="IJ658" s="12" t="str">
        <f t="shared" si="431"/>
        <v>2. Sensitive</v>
      </c>
      <c r="IK658" s="12">
        <f t="shared" si="432"/>
        <v>4</v>
      </c>
      <c r="IL658" s="12" t="s">
        <v>336</v>
      </c>
      <c r="IM658" s="12" t="s">
        <v>320</v>
      </c>
      <c r="IN658" s="12" t="s">
        <v>320</v>
      </c>
      <c r="IO658" s="12" t="s">
        <v>320</v>
      </c>
      <c r="IP658" s="12" t="s">
        <v>320</v>
      </c>
      <c r="IQ658" s="12" t="str">
        <f t="shared" si="433"/>
        <v>2. Accommodating</v>
      </c>
      <c r="IR658" s="12">
        <f t="shared" si="434"/>
        <v>4</v>
      </c>
      <c r="IS658" s="12" t="s">
        <v>337</v>
      </c>
      <c r="IT658" s="12" t="s">
        <v>320</v>
      </c>
      <c r="IU658" s="12"/>
      <c r="IV658" s="12" t="s">
        <v>320</v>
      </c>
      <c r="IW658" s="11" t="str">
        <f t="shared" si="435"/>
        <v>1. Neutral</v>
      </c>
      <c r="IX658" s="12">
        <f t="shared" si="436"/>
        <v>2</v>
      </c>
      <c r="IY658" s="12" t="s">
        <v>419</v>
      </c>
      <c r="IZ658" s="12" t="s">
        <v>339</v>
      </c>
      <c r="JA658" s="12"/>
      <c r="JB658" s="12"/>
      <c r="JC658" s="12"/>
      <c r="JD658" s="12"/>
      <c r="JE658" s="12" t="s">
        <v>420</v>
      </c>
      <c r="JF658" s="12"/>
      <c r="JG658" s="12"/>
      <c r="JH658" s="12"/>
      <c r="JI658" s="12" t="s">
        <v>11047</v>
      </c>
      <c r="JJ658" s="12" t="s">
        <v>11048</v>
      </c>
      <c r="JK658" s="12"/>
      <c r="JL658" s="12" t="s">
        <v>11049</v>
      </c>
      <c r="JM658" s="12"/>
      <c r="JN658" s="12"/>
      <c r="JO658" s="12" t="s">
        <v>11050</v>
      </c>
      <c r="JP658" s="15">
        <f t="shared" si="437"/>
        <v>9800</v>
      </c>
      <c r="JQ658" s="15">
        <f t="shared" si="438"/>
        <v>26000</v>
      </c>
      <c r="JR658" s="279">
        <f t="shared" si="439"/>
        <v>2.6530612244897958</v>
      </c>
      <c r="JS658" s="17">
        <f t="shared" si="440"/>
        <v>0.7142857142857143</v>
      </c>
      <c r="JT658" s="18">
        <f t="shared" si="441"/>
        <v>0.76923076923076927</v>
      </c>
      <c r="JU658" s="280">
        <f t="shared" si="442"/>
        <v>7000</v>
      </c>
      <c r="JV658" s="280">
        <f t="shared" si="443"/>
        <v>20000</v>
      </c>
      <c r="JW658" s="319">
        <f t="shared" si="444"/>
        <v>1</v>
      </c>
      <c r="JX658" s="15">
        <f t="shared" si="445"/>
        <v>9800</v>
      </c>
      <c r="JY658" s="15">
        <f t="shared" si="446"/>
        <v>26000</v>
      </c>
      <c r="JZ658" s="19">
        <f t="shared" si="447"/>
        <v>2.6530612244897958</v>
      </c>
      <c r="KA658" s="52" t="str">
        <f t="shared" si="448"/>
        <v/>
      </c>
      <c r="KB658" s="15">
        <f t="shared" si="449"/>
        <v>0</v>
      </c>
      <c r="KC658" s="15">
        <f t="shared" si="450"/>
        <v>0</v>
      </c>
      <c r="KD658" s="20" t="str">
        <f t="shared" si="451"/>
        <v/>
      </c>
      <c r="KE658" s="52" t="str">
        <f t="shared" si="452"/>
        <v/>
      </c>
      <c r="KF658" s="15">
        <f t="shared" si="453"/>
        <v>0</v>
      </c>
      <c r="KG658" s="15">
        <f t="shared" si="454"/>
        <v>0</v>
      </c>
      <c r="KH658" s="21" t="str">
        <f t="shared" si="455"/>
        <v/>
      </c>
      <c r="KI658" s="52" t="str">
        <f t="shared" si="456"/>
        <v/>
      </c>
      <c r="KJ658" s="15">
        <f t="shared" si="457"/>
        <v>0</v>
      </c>
      <c r="KK658" s="15">
        <f t="shared" si="458"/>
        <v>0</v>
      </c>
      <c r="KL658" s="19" t="str">
        <f t="shared" si="459"/>
        <v/>
      </c>
      <c r="KM658" s="52" t="str">
        <f t="shared" si="460"/>
        <v/>
      </c>
      <c r="KN658" s="22">
        <f t="shared" si="461"/>
        <v>0</v>
      </c>
      <c r="KO658" s="22">
        <f t="shared" si="462"/>
        <v>0</v>
      </c>
      <c r="KP658" s="19" t="str">
        <f t="shared" si="463"/>
        <v/>
      </c>
      <c r="KQ658" s="11" t="str">
        <f t="shared" si="464"/>
        <v>2. Sensitive</v>
      </c>
      <c r="KR658" s="11" t="str">
        <f t="shared" si="465"/>
        <v>2. Accommodating</v>
      </c>
      <c r="KS658" s="11" t="str">
        <f t="shared" si="466"/>
        <v>1. Neutral</v>
      </c>
      <c r="KT658" s="11" t="str">
        <f t="shared" si="467"/>
        <v>It did not develop any specific innovation</v>
      </c>
      <c r="KU658" s="11" t="str">
        <f t="shared" si="468"/>
        <v>Intensive advocacy</v>
      </c>
      <c r="KV658" s="11" t="str">
        <f t="shared" si="469"/>
        <v>It took tested solutions to scale on its own</v>
      </c>
      <c r="KW658" s="11" t="str">
        <f t="shared" si="470"/>
        <v>Somalia - GBV Prevention and Response in IDP Communities Project</v>
      </c>
      <c r="KX658" s="11" t="str">
        <f t="shared" si="471"/>
        <v>GBV Prevention and Response in IDP Communities Project</v>
      </c>
      <c r="KY658" s="11" t="str">
        <f t="shared" si="472"/>
        <v>Somalia</v>
      </c>
      <c r="KZ658" s="12">
        <v>658</v>
      </c>
    </row>
    <row r="659" spans="1:312" x14ac:dyDescent="0.3">
      <c r="A659" s="12" t="s">
        <v>10685</v>
      </c>
      <c r="B659" s="12" t="s">
        <v>1874</v>
      </c>
      <c r="C659" s="12"/>
      <c r="D659" s="12" t="s">
        <v>10786</v>
      </c>
      <c r="E659" s="277" t="str">
        <f t="shared" si="430"/>
        <v>Somalia</v>
      </c>
      <c r="F659" s="12" t="s">
        <v>10787</v>
      </c>
      <c r="G659" s="12" t="s">
        <v>425</v>
      </c>
      <c r="H659" s="12" t="s">
        <v>384</v>
      </c>
      <c r="I659" s="12" t="s">
        <v>384</v>
      </c>
      <c r="J659" s="281" t="s">
        <v>10788</v>
      </c>
      <c r="K659" s="12"/>
      <c r="L659" s="12"/>
      <c r="M659" s="12"/>
      <c r="N659" s="12"/>
      <c r="O659" s="12"/>
      <c r="P659" s="12"/>
      <c r="Q659" s="12"/>
      <c r="R659" s="12"/>
      <c r="S659" s="12"/>
      <c r="T659" s="12"/>
      <c r="U659" s="12"/>
      <c r="V659" s="12"/>
      <c r="W659" s="12"/>
      <c r="X659" s="12"/>
      <c r="Y659" s="12"/>
      <c r="Z659" s="12"/>
      <c r="AA659" s="12"/>
      <c r="AB659" s="12"/>
      <c r="AC659" s="12"/>
      <c r="AD659" s="12"/>
      <c r="BD659" s="13">
        <v>42800</v>
      </c>
      <c r="BE659" s="13">
        <v>43159</v>
      </c>
      <c r="BF659" s="12"/>
      <c r="BG659" s="12" t="s">
        <v>817</v>
      </c>
      <c r="BH659" s="14">
        <v>445078</v>
      </c>
      <c r="BI659" s="12" t="s">
        <v>10699</v>
      </c>
      <c r="BJ659" s="12" t="s">
        <v>10700</v>
      </c>
      <c r="BK659" s="12" t="s">
        <v>10701</v>
      </c>
      <c r="BL659" s="12" t="s">
        <v>10702</v>
      </c>
      <c r="BM659" s="12" t="s">
        <v>10703</v>
      </c>
      <c r="BN659" s="12" t="s">
        <v>10704</v>
      </c>
      <c r="BO659" s="12" t="s">
        <v>320</v>
      </c>
      <c r="BP659" s="12" t="s">
        <v>319</v>
      </c>
      <c r="BQ659" s="12" t="s">
        <v>319</v>
      </c>
      <c r="BR659" s="12" t="s">
        <v>10789</v>
      </c>
      <c r="BS659" s="12" t="s">
        <v>357</v>
      </c>
      <c r="BT659" s="12" t="s">
        <v>10790</v>
      </c>
      <c r="BU659" s="12" t="s">
        <v>10707</v>
      </c>
      <c r="BV659" s="14">
        <v>2480</v>
      </c>
      <c r="BW659" s="14">
        <v>2357</v>
      </c>
      <c r="BX659" s="14">
        <v>4837</v>
      </c>
      <c r="BY659" s="14"/>
      <c r="BZ659" s="14"/>
      <c r="CA659" s="14"/>
      <c r="CB659" s="12" t="s">
        <v>10719</v>
      </c>
      <c r="CD659" s="14">
        <v>2480</v>
      </c>
      <c r="CE659" s="14">
        <v>2357</v>
      </c>
      <c r="CF659" s="14">
        <v>4837</v>
      </c>
      <c r="CG659" s="14"/>
      <c r="CH659" s="14"/>
      <c r="CI659" s="14"/>
      <c r="CJ659" s="12" t="s">
        <v>319</v>
      </c>
      <c r="CK659" s="14"/>
      <c r="CL659" s="16"/>
      <c r="CM659" s="14"/>
      <c r="CN659" s="12" t="s">
        <v>320</v>
      </c>
      <c r="CO659" s="14">
        <v>4837</v>
      </c>
      <c r="CP659" s="16">
        <v>0.51</v>
      </c>
      <c r="CQ659" s="14"/>
      <c r="CR659" s="12" t="s">
        <v>319</v>
      </c>
      <c r="CS659" s="14"/>
      <c r="CT659" s="16"/>
      <c r="CU659" s="14"/>
      <c r="CV659" s="12" t="s">
        <v>319</v>
      </c>
      <c r="CW659" s="14"/>
      <c r="CX659" s="16"/>
      <c r="CY659" s="14"/>
      <c r="CZ659" s="12" t="s">
        <v>319</v>
      </c>
      <c r="DA659" s="14"/>
      <c r="DB659" s="16"/>
      <c r="DC659" s="14"/>
      <c r="DD659" s="12" t="s">
        <v>319</v>
      </c>
      <c r="DE659" s="14"/>
      <c r="DF659" s="16"/>
      <c r="DG659" s="14"/>
      <c r="DH659" s="12" t="s">
        <v>319</v>
      </c>
      <c r="DI659" s="14"/>
      <c r="DJ659" s="16"/>
      <c r="DK659" s="14"/>
      <c r="DL659" s="12" t="s">
        <v>319</v>
      </c>
      <c r="DM659" s="14"/>
      <c r="DN659" s="16"/>
      <c r="DO659" s="14"/>
      <c r="DP659" s="12" t="s">
        <v>319</v>
      </c>
      <c r="DQ659" s="14"/>
      <c r="DR659" s="16"/>
      <c r="DS659" s="14"/>
      <c r="DT659" s="12" t="s">
        <v>319</v>
      </c>
      <c r="DU659" s="14"/>
      <c r="DV659" s="16"/>
      <c r="DW659" s="14"/>
      <c r="DX659" s="12" t="s">
        <v>319</v>
      </c>
      <c r="DY659" s="14"/>
      <c r="DZ659" s="16"/>
      <c r="EA659" s="14"/>
      <c r="EB659" s="12" t="s">
        <v>319</v>
      </c>
      <c r="EC659" s="14"/>
      <c r="ED659" s="16"/>
      <c r="EE659" s="14"/>
      <c r="EF659" s="12"/>
      <c r="EG659" s="12"/>
      <c r="EH659" s="14"/>
      <c r="EI659" s="16"/>
      <c r="EJ659" s="14"/>
      <c r="EK659" s="14"/>
      <c r="EL659" s="14"/>
      <c r="EM659" s="14"/>
      <c r="EN659" s="14"/>
      <c r="EO659" s="14"/>
      <c r="EP659" s="14"/>
      <c r="EQ659" s="12"/>
      <c r="ER659" s="14"/>
      <c r="ES659" s="16"/>
      <c r="ET659" s="14"/>
      <c r="EU659" s="12"/>
      <c r="EV659" s="14"/>
      <c r="EW659" s="16"/>
      <c r="EX659" s="14"/>
      <c r="EY659" s="12"/>
      <c r="EZ659" s="14"/>
      <c r="FA659" s="16"/>
      <c r="FB659" s="14"/>
      <c r="FC659" s="12"/>
      <c r="FD659" s="14"/>
      <c r="FE659" s="16"/>
      <c r="FF659" s="14"/>
      <c r="FG659" s="12"/>
      <c r="FH659" s="14"/>
      <c r="FI659" s="16"/>
      <c r="FJ659" s="14"/>
      <c r="FK659" s="12"/>
      <c r="FL659" s="14"/>
      <c r="FM659" s="16"/>
      <c r="FN659" s="14"/>
      <c r="FO659" s="12"/>
      <c r="FP659" s="14"/>
      <c r="FQ659" s="16"/>
      <c r="FR659" s="14"/>
      <c r="FS659" s="12"/>
      <c r="FT659" s="14"/>
      <c r="FU659" s="16"/>
      <c r="FV659" s="14"/>
      <c r="FW659" s="12"/>
      <c r="FX659" s="14"/>
      <c r="FY659" s="16"/>
      <c r="FZ659" s="14"/>
      <c r="GA659" s="12"/>
      <c r="GB659" s="14"/>
      <c r="GC659" s="16"/>
      <c r="GD659" s="14"/>
      <c r="GE659" s="12"/>
      <c r="GF659" s="14"/>
      <c r="GG659" s="16"/>
      <c r="GH659" s="14"/>
      <c r="GI659" s="12"/>
      <c r="GJ659" s="14"/>
      <c r="GK659" s="16"/>
      <c r="GL659" s="14"/>
      <c r="GM659" s="12"/>
      <c r="GN659" s="14"/>
      <c r="GO659" s="16"/>
      <c r="GP659" s="14"/>
      <c r="GQ659" s="12"/>
      <c r="GR659" s="14"/>
      <c r="GS659" s="16"/>
      <c r="GT659" s="14"/>
      <c r="GU659" s="12"/>
      <c r="GV659" s="14"/>
      <c r="GW659" s="16"/>
      <c r="GX659" s="14"/>
      <c r="GY659" s="12"/>
      <c r="GZ659" s="14"/>
      <c r="HA659" s="16"/>
      <c r="HB659" s="14"/>
      <c r="HC659" s="12"/>
      <c r="HD659" s="12"/>
      <c r="HE659" s="14"/>
      <c r="HF659" s="16"/>
      <c r="HG659" s="14"/>
      <c r="HH659" s="12" t="s">
        <v>319</v>
      </c>
      <c r="HI659" s="12"/>
      <c r="HJ659" s="12"/>
      <c r="HK659" s="12" t="s">
        <v>319</v>
      </c>
      <c r="HL659" s="12" t="s">
        <v>319</v>
      </c>
      <c r="HM659" s="12"/>
      <c r="HN659" s="12"/>
      <c r="HO659" s="12"/>
      <c r="HP659" s="12" t="s">
        <v>330</v>
      </c>
      <c r="HQ659" s="12" t="s">
        <v>319</v>
      </c>
      <c r="HR659" s="12" t="s">
        <v>320</v>
      </c>
      <c r="HS659" s="12" t="s">
        <v>320</v>
      </c>
      <c r="HT659" s="12" t="s">
        <v>320</v>
      </c>
      <c r="HU659" s="12" t="s">
        <v>319</v>
      </c>
      <c r="HV659" s="12" t="s">
        <v>319</v>
      </c>
      <c r="HW659" s="12" t="s">
        <v>320</v>
      </c>
      <c r="HX659" s="12" t="s">
        <v>319</v>
      </c>
      <c r="HY659" s="12"/>
      <c r="HZ659" s="12" t="s">
        <v>363</v>
      </c>
      <c r="IA659" s="12"/>
      <c r="IB659" s="12" t="s">
        <v>667</v>
      </c>
      <c r="IC659" s="12"/>
      <c r="ID659" s="12" t="s">
        <v>334</v>
      </c>
      <c r="IE659" s="12" t="s">
        <v>335</v>
      </c>
      <c r="IF659" s="12" t="s">
        <v>320</v>
      </c>
      <c r="IG659" s="12" t="s">
        <v>320</v>
      </c>
      <c r="IH659" s="12" t="s">
        <v>320</v>
      </c>
      <c r="II659" s="12" t="s">
        <v>320</v>
      </c>
      <c r="IJ659" s="12" t="str">
        <f t="shared" si="431"/>
        <v>2. Sensitive</v>
      </c>
      <c r="IK659" s="12">
        <f t="shared" si="432"/>
        <v>4</v>
      </c>
      <c r="IL659" s="12" t="s">
        <v>336</v>
      </c>
      <c r="IM659" s="12" t="s">
        <v>320</v>
      </c>
      <c r="IN659" s="12" t="s">
        <v>320</v>
      </c>
      <c r="IO659" s="12" t="s">
        <v>320</v>
      </c>
      <c r="IP659" s="12" t="s">
        <v>320</v>
      </c>
      <c r="IQ659" s="12" t="str">
        <f t="shared" si="433"/>
        <v>2. Accommodating</v>
      </c>
      <c r="IR659" s="12">
        <f t="shared" si="434"/>
        <v>4</v>
      </c>
      <c r="IS659" s="12" t="s">
        <v>337</v>
      </c>
      <c r="IT659" s="12" t="s">
        <v>320</v>
      </c>
      <c r="IU659" s="12" t="s">
        <v>320</v>
      </c>
      <c r="IV659" s="12" t="s">
        <v>319</v>
      </c>
      <c r="IW659" s="11" t="str">
        <f t="shared" si="435"/>
        <v>1. Neutral</v>
      </c>
      <c r="IX659" s="12">
        <f t="shared" si="436"/>
        <v>2</v>
      </c>
      <c r="IY659" s="12" t="s">
        <v>419</v>
      </c>
      <c r="IZ659" s="12" t="s">
        <v>457</v>
      </c>
      <c r="JA659" s="12">
        <v>1</v>
      </c>
      <c r="JB659" s="12" t="s">
        <v>433</v>
      </c>
      <c r="JC659" s="12"/>
      <c r="JD659" s="12"/>
      <c r="JE659" s="12" t="s">
        <v>420</v>
      </c>
      <c r="JF659" s="12"/>
      <c r="JG659" s="12" t="s">
        <v>6399</v>
      </c>
      <c r="JH659" s="12" t="s">
        <v>10720</v>
      </c>
      <c r="JI659" s="12" t="s">
        <v>10709</v>
      </c>
      <c r="JJ659" s="12" t="s">
        <v>10710</v>
      </c>
      <c r="JK659" s="12" t="s">
        <v>10711</v>
      </c>
      <c r="JL659" s="12"/>
      <c r="JM659" s="12"/>
      <c r="JN659" s="12"/>
      <c r="JO659" s="12" t="s">
        <v>10721</v>
      </c>
      <c r="JP659" s="15">
        <f t="shared" si="437"/>
        <v>4837</v>
      </c>
      <c r="JQ659" s="15">
        <f t="shared" si="438"/>
        <v>0</v>
      </c>
      <c r="JR659" s="279">
        <f t="shared" si="439"/>
        <v>0</v>
      </c>
      <c r="JS659" s="17">
        <f t="shared" si="440"/>
        <v>0.51271449245400036</v>
      </c>
      <c r="JT659" s="18" t="str">
        <f t="shared" si="441"/>
        <v/>
      </c>
      <c r="JU659" s="280">
        <f t="shared" si="442"/>
        <v>2480</v>
      </c>
      <c r="JV659" s="280">
        <f t="shared" si="443"/>
        <v>0</v>
      </c>
      <c r="JW659" s="319">
        <f t="shared" si="444"/>
        <v>1</v>
      </c>
      <c r="JX659" s="15">
        <f t="shared" si="445"/>
        <v>4837</v>
      </c>
      <c r="JY659" s="15">
        <f t="shared" si="446"/>
        <v>0</v>
      </c>
      <c r="JZ659" s="19">
        <f t="shared" si="447"/>
        <v>0</v>
      </c>
      <c r="KA659" s="52" t="str">
        <f t="shared" si="448"/>
        <v/>
      </c>
      <c r="KB659" s="15">
        <f t="shared" si="449"/>
        <v>0</v>
      </c>
      <c r="KC659" s="15">
        <f t="shared" si="450"/>
        <v>0</v>
      </c>
      <c r="KD659" s="20" t="str">
        <f t="shared" si="451"/>
        <v/>
      </c>
      <c r="KE659" s="52" t="str">
        <f t="shared" si="452"/>
        <v/>
      </c>
      <c r="KF659" s="15">
        <f t="shared" si="453"/>
        <v>0</v>
      </c>
      <c r="KG659" s="15">
        <f t="shared" si="454"/>
        <v>0</v>
      </c>
      <c r="KH659" s="21" t="str">
        <f t="shared" si="455"/>
        <v/>
      </c>
      <c r="KI659" s="52" t="str">
        <f t="shared" si="456"/>
        <v/>
      </c>
      <c r="KJ659" s="15">
        <f t="shared" si="457"/>
        <v>0</v>
      </c>
      <c r="KK659" s="15">
        <f t="shared" si="458"/>
        <v>0</v>
      </c>
      <c r="KL659" s="19" t="str">
        <f t="shared" si="459"/>
        <v/>
      </c>
      <c r="KM659" s="52" t="str">
        <f t="shared" si="460"/>
        <v/>
      </c>
      <c r="KN659" s="22">
        <f t="shared" si="461"/>
        <v>0</v>
      </c>
      <c r="KO659" s="22">
        <f t="shared" si="462"/>
        <v>0</v>
      </c>
      <c r="KP659" s="19" t="str">
        <f t="shared" si="463"/>
        <v/>
      </c>
      <c r="KQ659" s="11" t="str">
        <f t="shared" si="464"/>
        <v>2. Sensitive</v>
      </c>
      <c r="KR659" s="11" t="str">
        <f t="shared" si="465"/>
        <v>2. Accommodating</v>
      </c>
      <c r="KS659" s="11" t="str">
        <f t="shared" si="466"/>
        <v>1. Neutral</v>
      </c>
      <c r="KT659" s="11" t="str">
        <f t="shared" si="467"/>
        <v>It did not develop any specific innovation</v>
      </c>
      <c r="KU659" s="11" t="str">
        <f t="shared" si="468"/>
        <v>Moderate advocacy</v>
      </c>
      <c r="KV659" s="11" t="str">
        <f t="shared" si="469"/>
        <v>It took tested solutions to scale on its own</v>
      </c>
      <c r="KW659" s="11" t="str">
        <f t="shared" si="470"/>
        <v>Somalia - Help slachtoffers hongernood (SHO) Somalia</v>
      </c>
      <c r="KX659" s="11" t="str">
        <f t="shared" si="471"/>
        <v>Help slachtoffers hongernood (SHO) Somalia</v>
      </c>
      <c r="KY659" s="11" t="str">
        <f t="shared" si="472"/>
        <v>Somalia</v>
      </c>
      <c r="KZ659" s="12">
        <v>659</v>
      </c>
    </row>
    <row r="660" spans="1:312" x14ac:dyDescent="0.3">
      <c r="A660" s="12" t="s">
        <v>10685</v>
      </c>
      <c r="B660" s="12" t="s">
        <v>1874</v>
      </c>
      <c r="C660" s="12">
        <v>3342</v>
      </c>
      <c r="D660" s="12" t="s">
        <v>10958</v>
      </c>
      <c r="E660" s="277" t="str">
        <f t="shared" si="430"/>
        <v>Somalia</v>
      </c>
      <c r="F660" s="12" t="s">
        <v>10959</v>
      </c>
      <c r="G660" s="12" t="s">
        <v>379</v>
      </c>
      <c r="H660" s="12" t="s">
        <v>380</v>
      </c>
      <c r="I660" s="12" t="s">
        <v>384</v>
      </c>
      <c r="J660" s="281" t="s">
        <v>10960</v>
      </c>
      <c r="K660" s="12"/>
      <c r="L660" s="12"/>
      <c r="M660" s="12"/>
      <c r="N660" s="12"/>
      <c r="O660" s="12"/>
      <c r="P660" s="12"/>
      <c r="Q660" s="12"/>
      <c r="R660" s="12"/>
      <c r="S660" s="12"/>
      <c r="T660" s="12"/>
      <c r="U660" s="12"/>
      <c r="V660" s="12"/>
      <c r="W660" s="12"/>
      <c r="X660" s="12"/>
      <c r="Y660" s="12"/>
      <c r="Z660" s="12"/>
      <c r="AA660" s="12"/>
      <c r="AB660" s="12"/>
      <c r="AC660" s="12"/>
      <c r="AD660" s="12"/>
      <c r="BD660" s="13">
        <v>42047</v>
      </c>
      <c r="BE660" s="13">
        <v>42735</v>
      </c>
      <c r="BF660" s="13">
        <v>42794</v>
      </c>
      <c r="BG660" s="12" t="s">
        <v>312</v>
      </c>
      <c r="BH660" s="14">
        <v>800000</v>
      </c>
      <c r="BI660" s="12" t="s">
        <v>10961</v>
      </c>
      <c r="BJ660" s="12" t="s">
        <v>751</v>
      </c>
      <c r="BK660" s="12" t="s">
        <v>10962</v>
      </c>
      <c r="BL660" s="12" t="s">
        <v>10798</v>
      </c>
      <c r="BM660" s="12" t="s">
        <v>10963</v>
      </c>
      <c r="BN660" s="12" t="s">
        <v>10800</v>
      </c>
      <c r="BO660" s="11" t="s">
        <v>319</v>
      </c>
      <c r="BP660" s="11" t="s">
        <v>320</v>
      </c>
      <c r="BQ660" s="11" t="s">
        <v>319</v>
      </c>
      <c r="BR660" s="12" t="s">
        <v>10964</v>
      </c>
      <c r="BS660" s="12" t="s">
        <v>357</v>
      </c>
      <c r="BT660" s="12" t="s">
        <v>10965</v>
      </c>
      <c r="BU660" s="12" t="s">
        <v>10966</v>
      </c>
      <c r="BV660" s="14">
        <v>56442</v>
      </c>
      <c r="BW660" s="14">
        <v>38166</v>
      </c>
      <c r="BX660" s="14">
        <v>94608</v>
      </c>
      <c r="BY660" s="14">
        <v>112884</v>
      </c>
      <c r="BZ660" s="14">
        <v>76332</v>
      </c>
      <c r="CA660" s="14">
        <v>189216</v>
      </c>
      <c r="CB660" s="12" t="s">
        <v>10967</v>
      </c>
      <c r="CD660" s="14"/>
      <c r="CE660" s="14"/>
      <c r="CF660" s="14"/>
      <c r="CG660" s="14"/>
      <c r="CH660" s="14"/>
      <c r="CI660" s="14"/>
      <c r="CJ660" s="12"/>
      <c r="CK660" s="14"/>
      <c r="CL660" s="16"/>
      <c r="CM660" s="14"/>
      <c r="CN660" s="12"/>
      <c r="CO660" s="14"/>
      <c r="CP660" s="16"/>
      <c r="CQ660" s="14"/>
      <c r="CR660" s="12"/>
      <c r="CS660" s="14"/>
      <c r="CT660" s="16"/>
      <c r="CU660" s="14"/>
      <c r="CV660" s="12"/>
      <c r="CW660" s="14"/>
      <c r="CX660" s="16"/>
      <c r="CY660" s="14"/>
      <c r="CZ660" s="12"/>
      <c r="DA660" s="14"/>
      <c r="DB660" s="16"/>
      <c r="DC660" s="14"/>
      <c r="DD660" s="12"/>
      <c r="DE660" s="14"/>
      <c r="DF660" s="16"/>
      <c r="DG660" s="14"/>
      <c r="DH660" s="12"/>
      <c r="DI660" s="14"/>
      <c r="DJ660" s="16"/>
      <c r="DK660" s="14"/>
      <c r="DL660" s="12"/>
      <c r="DM660" s="14"/>
      <c r="DN660" s="16"/>
      <c r="DO660" s="14"/>
      <c r="DP660" s="12"/>
      <c r="DQ660" s="14"/>
      <c r="DR660" s="16"/>
      <c r="DS660" s="14"/>
      <c r="DT660" s="12"/>
      <c r="DU660" s="14"/>
      <c r="DV660" s="16"/>
      <c r="DW660" s="14"/>
      <c r="DX660" s="12"/>
      <c r="DY660" s="14"/>
      <c r="DZ660" s="16"/>
      <c r="EA660" s="14"/>
      <c r="EB660" s="12"/>
      <c r="EC660" s="14"/>
      <c r="ED660" s="16"/>
      <c r="EE660" s="14"/>
      <c r="EF660" s="12"/>
      <c r="EG660" s="12"/>
      <c r="EH660" s="14"/>
      <c r="EI660" s="16"/>
      <c r="EJ660" s="14"/>
      <c r="EK660" s="14">
        <v>56442</v>
      </c>
      <c r="EL660" s="14">
        <v>38166</v>
      </c>
      <c r="EM660" s="14">
        <v>94608</v>
      </c>
      <c r="EN660" s="14">
        <v>112884</v>
      </c>
      <c r="EO660" s="14">
        <v>76332</v>
      </c>
      <c r="EP660" s="14">
        <v>189216</v>
      </c>
      <c r="EQ660" s="12"/>
      <c r="ER660" s="14"/>
      <c r="ES660" s="16"/>
      <c r="ET660" s="14"/>
      <c r="EU660" s="12"/>
      <c r="EV660" s="14"/>
      <c r="EW660" s="16"/>
      <c r="EX660" s="14"/>
      <c r="EY660" s="12"/>
      <c r="EZ660" s="14"/>
      <c r="FA660" s="16"/>
      <c r="FB660" s="14"/>
      <c r="FC660" s="12"/>
      <c r="FD660" s="14"/>
      <c r="FE660" s="16"/>
      <c r="FF660" s="14"/>
      <c r="FG660" s="12"/>
      <c r="FH660" s="14"/>
      <c r="FI660" s="16"/>
      <c r="FJ660" s="14"/>
      <c r="FK660" s="12"/>
      <c r="FL660" s="14"/>
      <c r="FM660" s="16"/>
      <c r="FN660" s="14"/>
      <c r="FO660" s="12"/>
      <c r="FP660" s="14"/>
      <c r="FQ660" s="16"/>
      <c r="FR660" s="14"/>
      <c r="FS660" s="12"/>
      <c r="FT660" s="14"/>
      <c r="FU660" s="16"/>
      <c r="FV660" s="14"/>
      <c r="FW660" s="12"/>
      <c r="FX660" s="14"/>
      <c r="FY660" s="16"/>
      <c r="FZ660" s="14"/>
      <c r="GA660" s="12"/>
      <c r="GB660" s="14"/>
      <c r="GC660" s="16"/>
      <c r="GD660" s="14"/>
      <c r="GE660" s="12"/>
      <c r="GF660" s="14"/>
      <c r="GG660" s="16"/>
      <c r="GH660" s="14"/>
      <c r="GI660" s="12"/>
      <c r="GJ660" s="14"/>
      <c r="GK660" s="16"/>
      <c r="GL660" s="14"/>
      <c r="GM660" s="11" t="s">
        <v>320</v>
      </c>
      <c r="GN660" s="14">
        <v>94608</v>
      </c>
      <c r="GO660" s="16">
        <v>0.6</v>
      </c>
      <c r="GP660" s="14">
        <v>189216</v>
      </c>
      <c r="GQ660" s="12"/>
      <c r="GR660" s="14"/>
      <c r="GS660" s="16"/>
      <c r="GT660" s="14"/>
      <c r="GU660" s="12"/>
      <c r="GV660" s="14"/>
      <c r="GW660" s="16"/>
      <c r="GX660" s="14"/>
      <c r="GY660" s="12"/>
      <c r="GZ660" s="14"/>
      <c r="HA660" s="16"/>
      <c r="HB660" s="14"/>
      <c r="HC660" s="12"/>
      <c r="HD660" s="12"/>
      <c r="HE660" s="14"/>
      <c r="HF660" s="16"/>
      <c r="HG660" s="14"/>
      <c r="HH660" s="12" t="s">
        <v>320</v>
      </c>
      <c r="HI660" s="12" t="s">
        <v>431</v>
      </c>
      <c r="HJ660" s="12">
        <v>2017</v>
      </c>
      <c r="HK660" s="12" t="s">
        <v>320</v>
      </c>
      <c r="HL660" s="12" t="s">
        <v>319</v>
      </c>
      <c r="HM660" s="12"/>
      <c r="HN660" s="12"/>
      <c r="HO660" s="12"/>
      <c r="HP660" s="12" t="s">
        <v>330</v>
      </c>
      <c r="HQ660" s="12" t="s">
        <v>319</v>
      </c>
      <c r="HR660" s="12" t="s">
        <v>320</v>
      </c>
      <c r="HS660" s="12" t="s">
        <v>320</v>
      </c>
      <c r="HT660" s="12" t="s">
        <v>320</v>
      </c>
      <c r="HU660" s="12" t="s">
        <v>320</v>
      </c>
      <c r="HV660" s="12" t="s">
        <v>319</v>
      </c>
      <c r="HW660" s="12" t="s">
        <v>320</v>
      </c>
      <c r="HX660" s="12"/>
      <c r="HY660" s="12"/>
      <c r="HZ660" s="12" t="s">
        <v>394</v>
      </c>
      <c r="IA660" s="12" t="s">
        <v>10968</v>
      </c>
      <c r="IB660" s="12" t="s">
        <v>667</v>
      </c>
      <c r="IC660" s="12" t="s">
        <v>10968</v>
      </c>
      <c r="ID660" s="12" t="s">
        <v>364</v>
      </c>
      <c r="IE660" s="12" t="s">
        <v>335</v>
      </c>
      <c r="IF660" s="12" t="s">
        <v>320</v>
      </c>
      <c r="IG660" s="12" t="s">
        <v>320</v>
      </c>
      <c r="IH660" s="12" t="s">
        <v>320</v>
      </c>
      <c r="II660" s="12" t="s">
        <v>320</v>
      </c>
      <c r="IJ660" s="12" t="str">
        <f t="shared" si="431"/>
        <v>2. Sensitive</v>
      </c>
      <c r="IK660" s="12">
        <f t="shared" si="432"/>
        <v>4</v>
      </c>
      <c r="IL660" s="11" t="s">
        <v>621</v>
      </c>
      <c r="IM660" s="12" t="s">
        <v>320</v>
      </c>
      <c r="IN660" s="12" t="s">
        <v>319</v>
      </c>
      <c r="IO660" s="12" t="s">
        <v>320</v>
      </c>
      <c r="IP660" s="12" t="s">
        <v>320</v>
      </c>
      <c r="IQ660" s="12" t="str">
        <f t="shared" si="433"/>
        <v>3. Responsive</v>
      </c>
      <c r="IR660" s="12">
        <f t="shared" si="434"/>
        <v>3</v>
      </c>
      <c r="IS660" s="12" t="s">
        <v>337</v>
      </c>
      <c r="IT660" s="12" t="s">
        <v>320</v>
      </c>
      <c r="IU660" s="12" t="s">
        <v>319</v>
      </c>
      <c r="IV660" s="12" t="s">
        <v>320</v>
      </c>
      <c r="IW660" s="11" t="str">
        <f t="shared" si="435"/>
        <v>1. Neutral</v>
      </c>
      <c r="IX660" s="12">
        <f t="shared" si="436"/>
        <v>2</v>
      </c>
      <c r="IY660" s="12" t="s">
        <v>338</v>
      </c>
      <c r="IZ660" s="12" t="s">
        <v>339</v>
      </c>
      <c r="JA660" s="12"/>
      <c r="JB660" s="12"/>
      <c r="JC660" s="12"/>
      <c r="JD660" s="12"/>
      <c r="JE660" s="12" t="s">
        <v>420</v>
      </c>
      <c r="JF660" s="12"/>
      <c r="JG660" s="12"/>
      <c r="JH660" s="12" t="s">
        <v>10969</v>
      </c>
      <c r="JI660" s="12" t="s">
        <v>10970</v>
      </c>
      <c r="JJ660" s="12" t="s">
        <v>10971</v>
      </c>
      <c r="JK660" s="12" t="s">
        <v>10972</v>
      </c>
      <c r="JL660" s="12" t="s">
        <v>10973</v>
      </c>
      <c r="JM660" s="12" t="s">
        <v>10974</v>
      </c>
      <c r="JN660" s="12"/>
      <c r="JO660" s="12" t="s">
        <v>10975</v>
      </c>
      <c r="JP660" s="15">
        <f t="shared" si="437"/>
        <v>94608</v>
      </c>
      <c r="JQ660" s="15">
        <f t="shared" si="438"/>
        <v>189216</v>
      </c>
      <c r="JR660" s="279">
        <f t="shared" si="439"/>
        <v>2</v>
      </c>
      <c r="JS660" s="17">
        <f t="shared" si="440"/>
        <v>0.59658802638254693</v>
      </c>
      <c r="JT660" s="18">
        <f t="shared" si="441"/>
        <v>0.59658802638254693</v>
      </c>
      <c r="JU660" s="280">
        <f t="shared" si="442"/>
        <v>56442</v>
      </c>
      <c r="JV660" s="280">
        <f t="shared" si="443"/>
        <v>112884</v>
      </c>
      <c r="JW660" s="319" t="str">
        <f t="shared" si="444"/>
        <v/>
      </c>
      <c r="JX660" s="15">
        <f t="shared" si="445"/>
        <v>0</v>
      </c>
      <c r="JY660" s="15">
        <f t="shared" si="446"/>
        <v>0</v>
      </c>
      <c r="JZ660" s="19" t="str">
        <f t="shared" si="447"/>
        <v/>
      </c>
      <c r="KA660" s="52" t="str">
        <f t="shared" si="448"/>
        <v/>
      </c>
      <c r="KB660" s="15">
        <f t="shared" si="449"/>
        <v>0</v>
      </c>
      <c r="KC660" s="15">
        <f t="shared" si="450"/>
        <v>0</v>
      </c>
      <c r="KD660" s="20" t="str">
        <f t="shared" si="451"/>
        <v/>
      </c>
      <c r="KE660" s="52" t="str">
        <f t="shared" si="452"/>
        <v/>
      </c>
      <c r="KF660" s="15">
        <f t="shared" si="453"/>
        <v>0</v>
      </c>
      <c r="KG660" s="15">
        <f t="shared" si="454"/>
        <v>0</v>
      </c>
      <c r="KH660" s="21" t="str">
        <f t="shared" si="455"/>
        <v/>
      </c>
      <c r="KI660" s="52" t="str">
        <f t="shared" si="456"/>
        <v/>
      </c>
      <c r="KJ660" s="15">
        <f t="shared" si="457"/>
        <v>0</v>
      </c>
      <c r="KK660" s="15">
        <f t="shared" si="458"/>
        <v>0</v>
      </c>
      <c r="KL660" s="19" t="str">
        <f t="shared" si="459"/>
        <v/>
      </c>
      <c r="KM660" s="52" t="str">
        <f t="shared" si="460"/>
        <v/>
      </c>
      <c r="KN660" s="22">
        <f t="shared" si="461"/>
        <v>0</v>
      </c>
      <c r="KO660" s="22">
        <f t="shared" si="462"/>
        <v>0</v>
      </c>
      <c r="KP660" s="19" t="str">
        <f t="shared" si="463"/>
        <v/>
      </c>
      <c r="KQ660" s="11" t="str">
        <f t="shared" si="464"/>
        <v>2. Sensitive</v>
      </c>
      <c r="KR660" s="11" t="str">
        <f t="shared" si="465"/>
        <v>3. Responsive</v>
      </c>
      <c r="KS660" s="11" t="str">
        <f t="shared" si="466"/>
        <v>1. Neutral</v>
      </c>
      <c r="KT660" s="11" t="str">
        <f t="shared" si="467"/>
        <v>It tested new ways for fighting poverty, but did not measure results of innovation</v>
      </c>
      <c r="KU660" s="11" t="str">
        <f t="shared" si="468"/>
        <v>Moderate advocacy</v>
      </c>
      <c r="KV660" s="11" t="str">
        <f t="shared" si="469"/>
        <v>It took tested solutions to scale on its own</v>
      </c>
      <c r="KW660" s="11" t="str">
        <f t="shared" si="470"/>
        <v>Somalia - HORSEED BULSHO - CDD</v>
      </c>
      <c r="KX660" s="11" t="str">
        <f t="shared" si="471"/>
        <v>HORSEED BULSHO - CDD</v>
      </c>
      <c r="KY660" s="11" t="str">
        <f t="shared" si="472"/>
        <v>Somalia</v>
      </c>
      <c r="KZ660" s="12">
        <v>660</v>
      </c>
    </row>
    <row r="661" spans="1:312" x14ac:dyDescent="0.3">
      <c r="A661" s="12" t="s">
        <v>10685</v>
      </c>
      <c r="B661" s="12" t="s">
        <v>1874</v>
      </c>
      <c r="C661" s="12">
        <v>3337</v>
      </c>
      <c r="D661" s="12" t="s">
        <v>10791</v>
      </c>
      <c r="E661" s="277" t="str">
        <f t="shared" si="430"/>
        <v>Somalia</v>
      </c>
      <c r="F661" s="12" t="s">
        <v>10792</v>
      </c>
      <c r="G661" s="12" t="s">
        <v>425</v>
      </c>
      <c r="H661" s="12" t="s">
        <v>380</v>
      </c>
      <c r="I661" s="12" t="s">
        <v>517</v>
      </c>
      <c r="J661" s="281" t="s">
        <v>14578</v>
      </c>
      <c r="K661" s="12" t="s">
        <v>10793</v>
      </c>
      <c r="L661" s="12" t="s">
        <v>425</v>
      </c>
      <c r="M661" s="12" t="s">
        <v>383</v>
      </c>
      <c r="N661" s="12" t="s">
        <v>426</v>
      </c>
      <c r="O661" s="12" t="s">
        <v>10794</v>
      </c>
      <c r="P661" s="12"/>
      <c r="Q661" s="12"/>
      <c r="R661" s="12"/>
      <c r="S661" s="12"/>
      <c r="T661" s="12"/>
      <c r="U661" s="12"/>
      <c r="V661" s="12"/>
      <c r="W661" s="12"/>
      <c r="X661" s="12"/>
      <c r="Y661" s="12"/>
      <c r="Z661" s="12"/>
      <c r="AA661" s="12"/>
      <c r="AB661" s="12"/>
      <c r="AC661" s="12"/>
      <c r="AD661" s="12"/>
      <c r="BD661" s="13">
        <v>42013</v>
      </c>
      <c r="BE661" s="12"/>
      <c r="BF661" s="12"/>
      <c r="BG661" s="12" t="s">
        <v>312</v>
      </c>
      <c r="BH661" s="14">
        <v>3393931</v>
      </c>
      <c r="BI661" s="12" t="s">
        <v>10795</v>
      </c>
      <c r="BJ661" s="12" t="s">
        <v>10796</v>
      </c>
      <c r="BK661" s="12" t="s">
        <v>10797</v>
      </c>
      <c r="BL661" s="12" t="s">
        <v>10798</v>
      </c>
      <c r="BM661" s="12" t="s">
        <v>10799</v>
      </c>
      <c r="BN661" s="12" t="s">
        <v>10800</v>
      </c>
      <c r="BO661" s="12" t="s">
        <v>319</v>
      </c>
      <c r="BP661" s="12" t="s">
        <v>320</v>
      </c>
      <c r="BQ661" s="12" t="s">
        <v>319</v>
      </c>
      <c r="BR661" s="12" t="s">
        <v>10801</v>
      </c>
      <c r="BS661" s="12" t="s">
        <v>357</v>
      </c>
      <c r="BT661" s="12" t="s">
        <v>10802</v>
      </c>
      <c r="BU661" s="12" t="s">
        <v>10803</v>
      </c>
      <c r="BV661" s="14">
        <v>13045</v>
      </c>
      <c r="BW661" s="14">
        <v>14824</v>
      </c>
      <c r="BX661" s="14">
        <v>27869</v>
      </c>
      <c r="BY661" s="14">
        <v>18905</v>
      </c>
      <c r="BZ661" s="14">
        <v>18905</v>
      </c>
      <c r="CA661" s="14">
        <v>37810</v>
      </c>
      <c r="CB661" s="12" t="s">
        <v>10804</v>
      </c>
      <c r="CD661" s="14"/>
      <c r="CE661" s="14"/>
      <c r="CF661" s="14"/>
      <c r="CG661" s="14"/>
      <c r="CH661" s="14"/>
      <c r="CI661" s="14"/>
      <c r="CJ661" s="12"/>
      <c r="CK661" s="14"/>
      <c r="CL661" s="16"/>
      <c r="CM661" s="14"/>
      <c r="CN661" s="12"/>
      <c r="CO661" s="14"/>
      <c r="CP661" s="16"/>
      <c r="CQ661" s="14"/>
      <c r="CR661" s="12"/>
      <c r="CS661" s="14"/>
      <c r="CT661" s="16"/>
      <c r="CU661" s="14"/>
      <c r="CV661" s="12"/>
      <c r="CW661" s="14"/>
      <c r="CX661" s="16"/>
      <c r="CY661" s="14"/>
      <c r="CZ661" s="12"/>
      <c r="DA661" s="14"/>
      <c r="DB661" s="16"/>
      <c r="DC661" s="14"/>
      <c r="DD661" s="12"/>
      <c r="DE661" s="14"/>
      <c r="DF661" s="16"/>
      <c r="DG661" s="14"/>
      <c r="DH661" s="12"/>
      <c r="DI661" s="14"/>
      <c r="DJ661" s="16"/>
      <c r="DK661" s="14"/>
      <c r="DL661" s="12"/>
      <c r="DM661" s="14"/>
      <c r="DN661" s="16"/>
      <c r="DO661" s="14"/>
      <c r="DP661" s="12"/>
      <c r="DQ661" s="14"/>
      <c r="DR661" s="16"/>
      <c r="DS661" s="14"/>
      <c r="DT661" s="12"/>
      <c r="DU661" s="14"/>
      <c r="DV661" s="16"/>
      <c r="DW661" s="14"/>
      <c r="DX661" s="12"/>
      <c r="DY661" s="14"/>
      <c r="DZ661" s="16"/>
      <c r="EA661" s="14"/>
      <c r="EB661" s="12"/>
      <c r="EC661" s="14"/>
      <c r="ED661" s="16"/>
      <c r="EE661" s="14"/>
      <c r="EF661" s="12"/>
      <c r="EG661" s="12"/>
      <c r="EH661" s="14"/>
      <c r="EI661" s="16"/>
      <c r="EJ661" s="14"/>
      <c r="EK661" s="14">
        <v>13045</v>
      </c>
      <c r="EL661" s="14">
        <v>14824</v>
      </c>
      <c r="EM661" s="14">
        <v>27869</v>
      </c>
      <c r="EN661" s="14">
        <v>18905</v>
      </c>
      <c r="EO661" s="14">
        <v>18905</v>
      </c>
      <c r="EP661" s="14">
        <v>37810</v>
      </c>
      <c r="EQ661" s="12"/>
      <c r="ER661" s="14"/>
      <c r="ES661" s="16"/>
      <c r="ET661" s="14"/>
      <c r="EU661" s="12"/>
      <c r="EV661" s="14"/>
      <c r="EW661" s="16"/>
      <c r="EX661" s="14"/>
      <c r="EY661" s="12"/>
      <c r="EZ661" s="14"/>
      <c r="FA661" s="16"/>
      <c r="FB661" s="14"/>
      <c r="FC661" s="12"/>
      <c r="FD661" s="14"/>
      <c r="FE661" s="16"/>
      <c r="FF661" s="14"/>
      <c r="FG661" s="12"/>
      <c r="FH661" s="14"/>
      <c r="FI661" s="16"/>
      <c r="FJ661" s="14"/>
      <c r="FK661" s="12" t="s">
        <v>320</v>
      </c>
      <c r="FL661" s="14">
        <v>27869</v>
      </c>
      <c r="FM661" s="16">
        <v>0.47</v>
      </c>
      <c r="FN661" s="14"/>
      <c r="FO661" s="12"/>
      <c r="FP661" s="14"/>
      <c r="FQ661" s="16"/>
      <c r="FR661" s="14"/>
      <c r="FS661" s="12"/>
      <c r="FT661" s="14"/>
      <c r="FU661" s="16"/>
      <c r="FV661" s="14"/>
      <c r="FW661" s="12"/>
      <c r="FX661" s="14"/>
      <c r="FY661" s="16"/>
      <c r="FZ661" s="14"/>
      <c r="GA661" s="12"/>
      <c r="GB661" s="14"/>
      <c r="GC661" s="16"/>
      <c r="GD661" s="14"/>
      <c r="GE661" s="12"/>
      <c r="GF661" s="14"/>
      <c r="GG661" s="16"/>
      <c r="GH661" s="14"/>
      <c r="GI661" s="12"/>
      <c r="GJ661" s="14"/>
      <c r="GK661" s="16"/>
      <c r="GL661" s="14"/>
      <c r="GM661" s="12"/>
      <c r="GN661" s="14"/>
      <c r="GO661" s="16"/>
      <c r="GP661" s="14"/>
      <c r="GQ661" s="12"/>
      <c r="GR661" s="14"/>
      <c r="GS661" s="16"/>
      <c r="GT661" s="14"/>
      <c r="GU661" s="12"/>
      <c r="GV661" s="14"/>
      <c r="GW661" s="16"/>
      <c r="GX661" s="14"/>
      <c r="GY661" s="12"/>
      <c r="GZ661" s="14"/>
      <c r="HA661" s="16"/>
      <c r="HB661" s="14"/>
      <c r="HC661" s="12"/>
      <c r="HD661" s="12"/>
      <c r="HE661" s="14"/>
      <c r="HF661" s="16"/>
      <c r="HG661" s="14"/>
      <c r="HH661" s="12" t="s">
        <v>319</v>
      </c>
      <c r="HI661" s="12"/>
      <c r="HJ661" s="12"/>
      <c r="HK661" s="12" t="s">
        <v>319</v>
      </c>
      <c r="HL661" s="12" t="s">
        <v>319</v>
      </c>
      <c r="HM661" s="12"/>
      <c r="HN661" s="12">
        <v>2017</v>
      </c>
      <c r="HO661" s="12"/>
      <c r="HP661" s="12" t="s">
        <v>330</v>
      </c>
      <c r="HQ661" s="12" t="s">
        <v>319</v>
      </c>
      <c r="HR661" s="12" t="s">
        <v>319</v>
      </c>
      <c r="HS661" s="12" t="s">
        <v>320</v>
      </c>
      <c r="HT661" s="12" t="s">
        <v>320</v>
      </c>
      <c r="HU661" s="12" t="s">
        <v>320</v>
      </c>
      <c r="HV661" s="12" t="s">
        <v>320</v>
      </c>
      <c r="HW661" s="12" t="s">
        <v>320</v>
      </c>
      <c r="HX661" s="12"/>
      <c r="HY661" s="12"/>
      <c r="HZ661" s="12" t="s">
        <v>363</v>
      </c>
      <c r="IA661" s="12"/>
      <c r="IB661" s="12" t="s">
        <v>667</v>
      </c>
      <c r="IC661" s="12"/>
      <c r="ID661" s="12" t="s">
        <v>334</v>
      </c>
      <c r="IE661" s="12" t="s">
        <v>335</v>
      </c>
      <c r="IF661" s="12" t="s">
        <v>320</v>
      </c>
      <c r="IG661" s="12" t="s">
        <v>320</v>
      </c>
      <c r="IH661" s="12" t="s">
        <v>320</v>
      </c>
      <c r="II661" s="12" t="s">
        <v>320</v>
      </c>
      <c r="IJ661" s="12" t="str">
        <f t="shared" si="431"/>
        <v>2. Sensitive</v>
      </c>
      <c r="IK661" s="12">
        <f t="shared" si="432"/>
        <v>4</v>
      </c>
      <c r="IL661" s="12" t="s">
        <v>336</v>
      </c>
      <c r="IM661" s="12" t="s">
        <v>320</v>
      </c>
      <c r="IN661" s="12" t="s">
        <v>320</v>
      </c>
      <c r="IO661" s="12" t="s">
        <v>320</v>
      </c>
      <c r="IP661" s="12" t="s">
        <v>320</v>
      </c>
      <c r="IQ661" s="12" t="str">
        <f t="shared" si="433"/>
        <v>2. Accommodating</v>
      </c>
      <c r="IR661" s="12">
        <f t="shared" si="434"/>
        <v>4</v>
      </c>
      <c r="IS661" s="12" t="s">
        <v>337</v>
      </c>
      <c r="IT661" s="12" t="s">
        <v>319</v>
      </c>
      <c r="IU661" s="12" t="s">
        <v>320</v>
      </c>
      <c r="IV661" s="12" t="s">
        <v>319</v>
      </c>
      <c r="IW661" s="11" t="str">
        <f t="shared" si="435"/>
        <v>1. Neutral</v>
      </c>
      <c r="IX661" s="12">
        <f t="shared" si="436"/>
        <v>1</v>
      </c>
      <c r="IY661" s="12" t="s">
        <v>338</v>
      </c>
      <c r="IZ661" s="12" t="s">
        <v>339</v>
      </c>
      <c r="JA661" s="12"/>
      <c r="JB661" s="12" t="s">
        <v>831</v>
      </c>
      <c r="JC661" s="12" t="s">
        <v>687</v>
      </c>
      <c r="JD661" s="12" t="s">
        <v>724</v>
      </c>
      <c r="JE661" s="12" t="s">
        <v>420</v>
      </c>
      <c r="JF661" s="12"/>
      <c r="JG661" s="12" t="s">
        <v>10805</v>
      </c>
      <c r="JH661" s="12" t="s">
        <v>10806</v>
      </c>
      <c r="JI661" s="12" t="s">
        <v>10807</v>
      </c>
      <c r="JJ661" s="12" t="s">
        <v>10808</v>
      </c>
      <c r="JK661" s="12" t="s">
        <v>10809</v>
      </c>
      <c r="JL661" s="12" t="s">
        <v>10810</v>
      </c>
      <c r="JM661" s="12" t="s">
        <v>10811</v>
      </c>
      <c r="JN661" s="12" t="s">
        <v>10812</v>
      </c>
      <c r="JO661" s="12" t="s">
        <v>10813</v>
      </c>
      <c r="JP661" s="15">
        <f t="shared" si="437"/>
        <v>27869</v>
      </c>
      <c r="JQ661" s="15">
        <f t="shared" si="438"/>
        <v>37810</v>
      </c>
      <c r="JR661" s="279">
        <f t="shared" si="439"/>
        <v>1.3567045821522121</v>
      </c>
      <c r="JS661" s="17">
        <f t="shared" si="440"/>
        <v>0.46808281603215041</v>
      </c>
      <c r="JT661" s="18">
        <f t="shared" si="441"/>
        <v>0.5</v>
      </c>
      <c r="JU661" s="280">
        <f t="shared" si="442"/>
        <v>13045</v>
      </c>
      <c r="JV661" s="280">
        <f t="shared" si="443"/>
        <v>18905</v>
      </c>
      <c r="JW661" s="319" t="str">
        <f t="shared" si="444"/>
        <v/>
      </c>
      <c r="JX661" s="15">
        <f t="shared" si="445"/>
        <v>0</v>
      </c>
      <c r="JY661" s="15">
        <f t="shared" si="446"/>
        <v>0</v>
      </c>
      <c r="JZ661" s="19" t="str">
        <f t="shared" si="447"/>
        <v/>
      </c>
      <c r="KA661" s="52" t="str">
        <f t="shared" si="448"/>
        <v/>
      </c>
      <c r="KB661" s="15">
        <f t="shared" si="449"/>
        <v>0</v>
      </c>
      <c r="KC661" s="15">
        <f t="shared" si="450"/>
        <v>0</v>
      </c>
      <c r="KD661" s="20" t="str">
        <f t="shared" si="451"/>
        <v/>
      </c>
      <c r="KE661" s="52" t="str">
        <f t="shared" si="452"/>
        <v/>
      </c>
      <c r="KF661" s="15">
        <f t="shared" si="453"/>
        <v>0</v>
      </c>
      <c r="KG661" s="15">
        <f t="shared" si="454"/>
        <v>0</v>
      </c>
      <c r="KH661" s="21" t="str">
        <f t="shared" si="455"/>
        <v/>
      </c>
      <c r="KI661" s="52" t="str">
        <f t="shared" si="456"/>
        <v/>
      </c>
      <c r="KJ661" s="15">
        <f t="shared" si="457"/>
        <v>0</v>
      </c>
      <c r="KK661" s="15">
        <f t="shared" si="458"/>
        <v>0</v>
      </c>
      <c r="KL661" s="19" t="str">
        <f t="shared" si="459"/>
        <v/>
      </c>
      <c r="KM661" s="52" t="str">
        <f t="shared" si="460"/>
        <v/>
      </c>
      <c r="KN661" s="22">
        <f t="shared" si="461"/>
        <v>0</v>
      </c>
      <c r="KO661" s="22">
        <f t="shared" si="462"/>
        <v>0</v>
      </c>
      <c r="KP661" s="19" t="str">
        <f t="shared" si="463"/>
        <v/>
      </c>
      <c r="KQ661" s="11" t="str">
        <f t="shared" si="464"/>
        <v>2. Sensitive</v>
      </c>
      <c r="KR661" s="11" t="str">
        <f t="shared" si="465"/>
        <v>2. Accommodating</v>
      </c>
      <c r="KS661" s="11" t="str">
        <f t="shared" si="466"/>
        <v>1. Neutral</v>
      </c>
      <c r="KT661" s="11" t="str">
        <f t="shared" si="467"/>
        <v>It did not develop any specific innovation</v>
      </c>
      <c r="KU661" s="11" t="str">
        <f t="shared" si="468"/>
        <v>Moderate advocacy</v>
      </c>
      <c r="KV661" s="11" t="str">
        <f t="shared" si="469"/>
        <v>It took tested solutions to scale on its own</v>
      </c>
      <c r="KW661" s="11" t="str">
        <f t="shared" si="470"/>
        <v>Somalia - HORUMARINT ELMIGA II  (Education for Empowerment through Cohesive and Harmonised System)</v>
      </c>
      <c r="KX661" s="11" t="str">
        <f t="shared" si="471"/>
        <v>HORUMARINT ELMIGA II  (Education for Empowerment through Cohesive and Harmonised System)</v>
      </c>
      <c r="KY661" s="11" t="str">
        <f t="shared" si="472"/>
        <v>Somalia</v>
      </c>
      <c r="KZ661" s="12">
        <v>661</v>
      </c>
    </row>
    <row r="662" spans="1:312" x14ac:dyDescent="0.3">
      <c r="A662" s="12" t="s">
        <v>10685</v>
      </c>
      <c r="B662" s="12" t="s">
        <v>1874</v>
      </c>
      <c r="C662" s="12"/>
      <c r="D662" s="12" t="s">
        <v>10715</v>
      </c>
      <c r="E662" s="277" t="str">
        <f t="shared" si="430"/>
        <v>Somalia</v>
      </c>
      <c r="F662" s="12" t="s">
        <v>10716</v>
      </c>
      <c r="G662" s="12" t="s">
        <v>1738</v>
      </c>
      <c r="H662" s="12" t="s">
        <v>384</v>
      </c>
      <c r="I662" s="12" t="s">
        <v>384</v>
      </c>
      <c r="J662" s="281" t="s">
        <v>14739</v>
      </c>
      <c r="K662" s="12"/>
      <c r="L662" s="12"/>
      <c r="M662" s="12"/>
      <c r="N662" s="12"/>
      <c r="O662" s="12"/>
      <c r="P662" s="12"/>
      <c r="Q662" s="12"/>
      <c r="R662" s="12"/>
      <c r="S662" s="12"/>
      <c r="T662" s="12"/>
      <c r="U662" s="12"/>
      <c r="V662" s="12"/>
      <c r="W662" s="12"/>
      <c r="X662" s="12"/>
      <c r="Y662" s="12"/>
      <c r="Z662" s="12"/>
      <c r="AA662" s="12"/>
      <c r="AB662" s="12"/>
      <c r="AC662" s="12"/>
      <c r="AD662" s="12"/>
      <c r="BD662" s="13">
        <v>42846</v>
      </c>
      <c r="BE662" s="13">
        <v>42936</v>
      </c>
      <c r="BF662" s="12"/>
      <c r="BG662" s="12" t="s">
        <v>817</v>
      </c>
      <c r="BH662" s="14">
        <v>109000</v>
      </c>
      <c r="BI662" s="12" t="s">
        <v>10699</v>
      </c>
      <c r="BJ662" s="12" t="s">
        <v>10700</v>
      </c>
      <c r="BK662" s="12" t="s">
        <v>10701</v>
      </c>
      <c r="BL662" s="12" t="s">
        <v>10702</v>
      </c>
      <c r="BM662" s="12" t="s">
        <v>10703</v>
      </c>
      <c r="BN662" s="12" t="s">
        <v>10704</v>
      </c>
      <c r="BO662" s="12" t="s">
        <v>320</v>
      </c>
      <c r="BP662" s="12" t="s">
        <v>319</v>
      </c>
      <c r="BQ662" s="12" t="s">
        <v>319</v>
      </c>
      <c r="BR662" s="12" t="s">
        <v>10717</v>
      </c>
      <c r="BS662" s="12" t="s">
        <v>357</v>
      </c>
      <c r="BT662" s="12" t="s">
        <v>10718</v>
      </c>
      <c r="BU662" s="12" t="s">
        <v>10707</v>
      </c>
      <c r="BV662" s="14">
        <v>1560</v>
      </c>
      <c r="BW662" s="14">
        <v>1500</v>
      </c>
      <c r="BX662" s="14">
        <v>3060</v>
      </c>
      <c r="BY662" s="14"/>
      <c r="BZ662" s="14"/>
      <c r="CA662" s="14"/>
      <c r="CB662" s="12" t="s">
        <v>10719</v>
      </c>
      <c r="CD662" s="14">
        <v>1560</v>
      </c>
      <c r="CE662" s="14">
        <v>1500</v>
      </c>
      <c r="CF662" s="14">
        <v>3060</v>
      </c>
      <c r="CG662" s="14"/>
      <c r="CH662" s="14"/>
      <c r="CI662" s="14"/>
      <c r="CJ662" s="12" t="s">
        <v>319</v>
      </c>
      <c r="CK662" s="14"/>
      <c r="CL662" s="16"/>
      <c r="CM662" s="14"/>
      <c r="CN662" s="12" t="s">
        <v>320</v>
      </c>
      <c r="CO662" s="14">
        <v>3060</v>
      </c>
      <c r="CP662" s="16">
        <v>0.51</v>
      </c>
      <c r="CQ662" s="14"/>
      <c r="CR662" s="12" t="s">
        <v>319</v>
      </c>
      <c r="CS662" s="14"/>
      <c r="CT662" s="16"/>
      <c r="CU662" s="14"/>
      <c r="CV662" s="12" t="s">
        <v>319</v>
      </c>
      <c r="CW662" s="14"/>
      <c r="CX662" s="16"/>
      <c r="CY662" s="14"/>
      <c r="CZ662" s="12" t="s">
        <v>319</v>
      </c>
      <c r="DA662" s="14"/>
      <c r="DB662" s="16"/>
      <c r="DC662" s="14"/>
      <c r="DD662" s="12" t="s">
        <v>319</v>
      </c>
      <c r="DE662" s="14"/>
      <c r="DF662" s="16"/>
      <c r="DG662" s="14"/>
      <c r="DH662" s="12" t="s">
        <v>319</v>
      </c>
      <c r="DI662" s="14"/>
      <c r="DJ662" s="16"/>
      <c r="DK662" s="14"/>
      <c r="DL662" s="12" t="s">
        <v>319</v>
      </c>
      <c r="DM662" s="14"/>
      <c r="DN662" s="16"/>
      <c r="DO662" s="14"/>
      <c r="DP662" s="12" t="s">
        <v>319</v>
      </c>
      <c r="DQ662" s="14"/>
      <c r="DR662" s="16"/>
      <c r="DS662" s="14"/>
      <c r="DT662" s="12" t="s">
        <v>319</v>
      </c>
      <c r="DU662" s="14"/>
      <c r="DV662" s="16"/>
      <c r="DW662" s="14"/>
      <c r="DX662" s="12" t="s">
        <v>319</v>
      </c>
      <c r="DY662" s="14"/>
      <c r="DZ662" s="16"/>
      <c r="EA662" s="14"/>
      <c r="EB662" s="12" t="s">
        <v>319</v>
      </c>
      <c r="EC662" s="14"/>
      <c r="ED662" s="16"/>
      <c r="EE662" s="14"/>
      <c r="EF662" s="12"/>
      <c r="EG662" s="12"/>
      <c r="EH662" s="14"/>
      <c r="EI662" s="16"/>
      <c r="EJ662" s="14"/>
      <c r="EK662" s="14"/>
      <c r="EL662" s="14"/>
      <c r="EM662" s="14"/>
      <c r="EN662" s="14"/>
      <c r="EO662" s="14"/>
      <c r="EP662" s="14"/>
      <c r="EQ662" s="12"/>
      <c r="ER662" s="14"/>
      <c r="ES662" s="16"/>
      <c r="ET662" s="14"/>
      <c r="EU662" s="12"/>
      <c r="EV662" s="14"/>
      <c r="EW662" s="16"/>
      <c r="EX662" s="14"/>
      <c r="EY662" s="12"/>
      <c r="EZ662" s="14"/>
      <c r="FA662" s="16"/>
      <c r="FB662" s="14"/>
      <c r="FC662" s="12"/>
      <c r="FD662" s="14"/>
      <c r="FE662" s="16"/>
      <c r="FF662" s="14"/>
      <c r="FG662" s="12"/>
      <c r="FH662" s="14"/>
      <c r="FI662" s="16"/>
      <c r="FJ662" s="14"/>
      <c r="FK662" s="12"/>
      <c r="FL662" s="14"/>
      <c r="FM662" s="16"/>
      <c r="FN662" s="14"/>
      <c r="FO662" s="12"/>
      <c r="FP662" s="14"/>
      <c r="FQ662" s="16"/>
      <c r="FR662" s="14"/>
      <c r="FS662" s="12"/>
      <c r="FT662" s="14"/>
      <c r="FU662" s="16"/>
      <c r="FV662" s="14"/>
      <c r="FW662" s="12"/>
      <c r="FX662" s="14"/>
      <c r="FY662" s="16"/>
      <c r="FZ662" s="14"/>
      <c r="GA662" s="12"/>
      <c r="GB662" s="14"/>
      <c r="GC662" s="16"/>
      <c r="GD662" s="14"/>
      <c r="GE662" s="12"/>
      <c r="GF662" s="14"/>
      <c r="GG662" s="16"/>
      <c r="GH662" s="14"/>
      <c r="GI662" s="12"/>
      <c r="GJ662" s="14"/>
      <c r="GK662" s="16"/>
      <c r="GL662" s="14"/>
      <c r="GM662" s="12"/>
      <c r="GN662" s="14"/>
      <c r="GO662" s="16"/>
      <c r="GP662" s="14"/>
      <c r="GQ662" s="12"/>
      <c r="GR662" s="14"/>
      <c r="GS662" s="16"/>
      <c r="GT662" s="14"/>
      <c r="GU662" s="12"/>
      <c r="GV662" s="14"/>
      <c r="GW662" s="16"/>
      <c r="GX662" s="14"/>
      <c r="GY662" s="12"/>
      <c r="GZ662" s="14"/>
      <c r="HA662" s="16"/>
      <c r="HB662" s="14"/>
      <c r="HC662" s="12"/>
      <c r="HD662" s="12"/>
      <c r="HE662" s="14"/>
      <c r="HF662" s="16"/>
      <c r="HG662" s="14"/>
      <c r="HH662" s="12" t="s">
        <v>319</v>
      </c>
      <c r="HI662" s="12"/>
      <c r="HJ662" s="12"/>
      <c r="HK662" s="12" t="s">
        <v>319</v>
      </c>
      <c r="HL662" s="12" t="s">
        <v>319</v>
      </c>
      <c r="HM662" s="12"/>
      <c r="HN662" s="12"/>
      <c r="HO662" s="12"/>
      <c r="HP662" s="12" t="s">
        <v>330</v>
      </c>
      <c r="HQ662" s="12" t="s">
        <v>319</v>
      </c>
      <c r="HR662" s="12" t="s">
        <v>320</v>
      </c>
      <c r="HS662" s="12" t="s">
        <v>320</v>
      </c>
      <c r="HT662" s="12" t="s">
        <v>320</v>
      </c>
      <c r="HU662" s="12" t="s">
        <v>319</v>
      </c>
      <c r="HV662" s="12" t="s">
        <v>319</v>
      </c>
      <c r="HW662" s="12" t="s">
        <v>319</v>
      </c>
      <c r="HX662" s="12" t="s">
        <v>319</v>
      </c>
      <c r="HY662" s="12"/>
      <c r="HZ662" s="12" t="s">
        <v>363</v>
      </c>
      <c r="IA662" s="12"/>
      <c r="IB662" s="12" t="s">
        <v>667</v>
      </c>
      <c r="IC662" s="12"/>
      <c r="ID662" s="12" t="s">
        <v>334</v>
      </c>
      <c r="IE662" s="12" t="s">
        <v>335</v>
      </c>
      <c r="IF662" s="12" t="s">
        <v>320</v>
      </c>
      <c r="IG662" s="12" t="s">
        <v>320</v>
      </c>
      <c r="IH662" s="12" t="s">
        <v>320</v>
      </c>
      <c r="II662" s="12" t="s">
        <v>320</v>
      </c>
      <c r="IJ662" s="12" t="str">
        <f t="shared" si="431"/>
        <v>2. Sensitive</v>
      </c>
      <c r="IK662" s="12">
        <f t="shared" si="432"/>
        <v>4</v>
      </c>
      <c r="IL662" s="12" t="s">
        <v>336</v>
      </c>
      <c r="IM662" s="12" t="s">
        <v>320</v>
      </c>
      <c r="IN662" s="12" t="s">
        <v>320</v>
      </c>
      <c r="IO662" s="12" t="s">
        <v>320</v>
      </c>
      <c r="IP662" s="12" t="s">
        <v>320</v>
      </c>
      <c r="IQ662" s="12" t="str">
        <f t="shared" si="433"/>
        <v>2. Accommodating</v>
      </c>
      <c r="IR662" s="12">
        <f t="shared" si="434"/>
        <v>4</v>
      </c>
      <c r="IS662" s="12" t="s">
        <v>337</v>
      </c>
      <c r="IT662" s="12" t="s">
        <v>320</v>
      </c>
      <c r="IU662" s="12"/>
      <c r="IV662" s="12" t="s">
        <v>320</v>
      </c>
      <c r="IW662" s="11" t="str">
        <f t="shared" si="435"/>
        <v>1. Neutral</v>
      </c>
      <c r="IX662" s="12">
        <f t="shared" si="436"/>
        <v>2</v>
      </c>
      <c r="IY662" s="12" t="s">
        <v>419</v>
      </c>
      <c r="IZ662" s="12" t="s">
        <v>339</v>
      </c>
      <c r="JA662" s="12"/>
      <c r="JB662" s="12" t="s">
        <v>433</v>
      </c>
      <c r="JC662" s="12"/>
      <c r="JD662" s="12"/>
      <c r="JE662" s="12" t="s">
        <v>420</v>
      </c>
      <c r="JF662" s="12"/>
      <c r="JG662" s="12" t="s">
        <v>6399</v>
      </c>
      <c r="JH662" s="12" t="s">
        <v>10720</v>
      </c>
      <c r="JI662" s="12" t="s">
        <v>10709</v>
      </c>
      <c r="JJ662" s="12" t="s">
        <v>10710</v>
      </c>
      <c r="JK662" s="12" t="s">
        <v>10711</v>
      </c>
      <c r="JL662" s="12"/>
      <c r="JM662" s="12"/>
      <c r="JN662" s="12"/>
      <c r="JO662" s="12" t="s">
        <v>10721</v>
      </c>
      <c r="JP662" s="15">
        <f t="shared" si="437"/>
        <v>3060</v>
      </c>
      <c r="JQ662" s="15">
        <f t="shared" si="438"/>
        <v>0</v>
      </c>
      <c r="JR662" s="279">
        <f t="shared" si="439"/>
        <v>0</v>
      </c>
      <c r="JS662" s="17">
        <f t="shared" si="440"/>
        <v>0.50980392156862742</v>
      </c>
      <c r="JT662" s="18" t="str">
        <f t="shared" si="441"/>
        <v/>
      </c>
      <c r="JU662" s="280">
        <f t="shared" si="442"/>
        <v>1560</v>
      </c>
      <c r="JV662" s="280">
        <f t="shared" si="443"/>
        <v>0</v>
      </c>
      <c r="JW662" s="319">
        <f t="shared" si="444"/>
        <v>1</v>
      </c>
      <c r="JX662" s="15">
        <f t="shared" si="445"/>
        <v>3060</v>
      </c>
      <c r="JY662" s="15">
        <f t="shared" si="446"/>
        <v>0</v>
      </c>
      <c r="JZ662" s="19">
        <f t="shared" si="447"/>
        <v>0</v>
      </c>
      <c r="KA662" s="52" t="str">
        <f t="shared" si="448"/>
        <v/>
      </c>
      <c r="KB662" s="15">
        <f t="shared" si="449"/>
        <v>0</v>
      </c>
      <c r="KC662" s="15">
        <f t="shared" si="450"/>
        <v>0</v>
      </c>
      <c r="KD662" s="20" t="str">
        <f t="shared" si="451"/>
        <v/>
      </c>
      <c r="KE662" s="52" t="str">
        <f t="shared" si="452"/>
        <v/>
      </c>
      <c r="KF662" s="15">
        <f t="shared" si="453"/>
        <v>0</v>
      </c>
      <c r="KG662" s="15">
        <f t="shared" si="454"/>
        <v>0</v>
      </c>
      <c r="KH662" s="21" t="str">
        <f t="shared" si="455"/>
        <v/>
      </c>
      <c r="KI662" s="52" t="str">
        <f t="shared" si="456"/>
        <v/>
      </c>
      <c r="KJ662" s="15">
        <f t="shared" si="457"/>
        <v>0</v>
      </c>
      <c r="KK662" s="15">
        <f t="shared" si="458"/>
        <v>0</v>
      </c>
      <c r="KL662" s="19" t="str">
        <f t="shared" si="459"/>
        <v/>
      </c>
      <c r="KM662" s="52" t="str">
        <f t="shared" si="460"/>
        <v/>
      </c>
      <c r="KN662" s="22">
        <f t="shared" si="461"/>
        <v>0</v>
      </c>
      <c r="KO662" s="22">
        <f t="shared" si="462"/>
        <v>0</v>
      </c>
      <c r="KP662" s="19" t="str">
        <f t="shared" si="463"/>
        <v/>
      </c>
      <c r="KQ662" s="11" t="str">
        <f t="shared" si="464"/>
        <v>2. Sensitive</v>
      </c>
      <c r="KR662" s="11" t="str">
        <f t="shared" si="465"/>
        <v>2. Accommodating</v>
      </c>
      <c r="KS662" s="11" t="str">
        <f t="shared" si="466"/>
        <v>1. Neutral</v>
      </c>
      <c r="KT662" s="11" t="str">
        <f t="shared" si="467"/>
        <v>It did not develop any specific innovation</v>
      </c>
      <c r="KU662" s="11" t="str">
        <f t="shared" si="468"/>
        <v>Moderate advocacy</v>
      </c>
      <c r="KV662" s="11" t="str">
        <f t="shared" si="469"/>
        <v>It took tested solutions to scale on its own</v>
      </c>
      <c r="KW662" s="11" t="str">
        <f t="shared" si="470"/>
        <v>Somalia - Immediate response to drought-related malnutrition and acute watery diarrhoea outbreak in North east Somalia</v>
      </c>
      <c r="KX662" s="11" t="str">
        <f t="shared" si="471"/>
        <v>Immediate response to drought-related malnutrition and acute watery diarrhoea outbreak in North east Somalia</v>
      </c>
      <c r="KY662" s="11" t="str">
        <f t="shared" si="472"/>
        <v>Somalia</v>
      </c>
      <c r="KZ662" s="12">
        <v>662</v>
      </c>
    </row>
    <row r="663" spans="1:312" x14ac:dyDescent="0.3">
      <c r="A663" s="12" t="s">
        <v>10685</v>
      </c>
      <c r="B663" s="12" t="s">
        <v>1874</v>
      </c>
      <c r="C663" s="12"/>
      <c r="D663" s="12" t="s">
        <v>10976</v>
      </c>
      <c r="E663" s="277" t="str">
        <f t="shared" si="430"/>
        <v>Somalia</v>
      </c>
      <c r="F663" s="12" t="s">
        <v>10977</v>
      </c>
      <c r="G663" s="12" t="s">
        <v>379</v>
      </c>
      <c r="H663" s="12" t="s">
        <v>310</v>
      </c>
      <c r="I663" s="12" t="s">
        <v>655</v>
      </c>
      <c r="J663" s="281" t="s">
        <v>4991</v>
      </c>
      <c r="K663" s="12"/>
      <c r="L663" s="12"/>
      <c r="M663" s="12"/>
      <c r="N663" s="12"/>
      <c r="O663" s="12"/>
      <c r="P663" s="12"/>
      <c r="Q663" s="12"/>
      <c r="R663" s="12"/>
      <c r="S663" s="12"/>
      <c r="T663" s="12"/>
      <c r="U663" s="12"/>
      <c r="V663" s="12"/>
      <c r="W663" s="12"/>
      <c r="X663" s="12"/>
      <c r="Y663" s="12"/>
      <c r="Z663" s="12"/>
      <c r="AA663" s="12"/>
      <c r="AB663" s="12"/>
      <c r="AC663" s="12"/>
      <c r="AD663" s="12"/>
      <c r="BD663" s="13">
        <v>42644</v>
      </c>
      <c r="BE663" s="13">
        <v>43099</v>
      </c>
      <c r="BF663" s="12"/>
      <c r="BG663" s="12" t="s">
        <v>817</v>
      </c>
      <c r="BH663" s="14">
        <v>7605427</v>
      </c>
      <c r="BI663" s="12" t="s">
        <v>10699</v>
      </c>
      <c r="BJ663" s="12" t="s">
        <v>10700</v>
      </c>
      <c r="BK663" s="12" t="s">
        <v>10701</v>
      </c>
      <c r="BL663" s="12" t="s">
        <v>10702</v>
      </c>
      <c r="BM663" s="12" t="s">
        <v>10703</v>
      </c>
      <c r="BN663" s="12" t="s">
        <v>10704</v>
      </c>
      <c r="BO663" s="12" t="s">
        <v>320</v>
      </c>
      <c r="BP663" s="12" t="s">
        <v>319</v>
      </c>
      <c r="BQ663" s="12" t="s">
        <v>319</v>
      </c>
      <c r="BR663" s="12" t="s">
        <v>10857</v>
      </c>
      <c r="BS663" s="12" t="s">
        <v>322</v>
      </c>
      <c r="BT663" s="12" t="s">
        <v>10978</v>
      </c>
      <c r="BU663" s="12" t="s">
        <v>10707</v>
      </c>
      <c r="BV663" s="14">
        <v>76367</v>
      </c>
      <c r="BW663" s="14">
        <v>79485</v>
      </c>
      <c r="BX663" s="14">
        <v>155852</v>
      </c>
      <c r="BY663" s="14">
        <v>40000</v>
      </c>
      <c r="BZ663" s="14">
        <v>25000</v>
      </c>
      <c r="CA663" s="14">
        <v>65000</v>
      </c>
      <c r="CB663" s="12" t="s">
        <v>10979</v>
      </c>
      <c r="CD663" s="14">
        <v>76367</v>
      </c>
      <c r="CE663" s="14">
        <v>79485</v>
      </c>
      <c r="CF663" s="14">
        <v>155852</v>
      </c>
      <c r="CG663" s="14"/>
      <c r="CH663" s="14"/>
      <c r="CI663" s="14"/>
      <c r="CJ663" s="12" t="s">
        <v>319</v>
      </c>
      <c r="CK663" s="14"/>
      <c r="CL663" s="16"/>
      <c r="CM663" s="14"/>
      <c r="CN663" s="12" t="s">
        <v>320</v>
      </c>
      <c r="CO663" s="14">
        <v>29790</v>
      </c>
      <c r="CP663" s="16">
        <v>0.6</v>
      </c>
      <c r="CQ663" s="14"/>
      <c r="CR663" s="12" t="s">
        <v>319</v>
      </c>
      <c r="CS663" s="14"/>
      <c r="CT663" s="16"/>
      <c r="CU663" s="14"/>
      <c r="CV663" s="12" t="s">
        <v>320</v>
      </c>
      <c r="CW663" s="14">
        <v>17108</v>
      </c>
      <c r="CX663" s="16">
        <v>0.6</v>
      </c>
      <c r="CY663" s="14"/>
      <c r="CZ663" s="12" t="s">
        <v>319</v>
      </c>
      <c r="DA663" s="14"/>
      <c r="DB663" s="16"/>
      <c r="DC663" s="14"/>
      <c r="DD663" s="12" t="s">
        <v>319</v>
      </c>
      <c r="DE663" s="14"/>
      <c r="DF663" s="16"/>
      <c r="DG663" s="14"/>
      <c r="DH663" s="12" t="s">
        <v>319</v>
      </c>
      <c r="DI663" s="14"/>
      <c r="DJ663" s="16"/>
      <c r="DK663" s="14"/>
      <c r="DL663" s="12" t="s">
        <v>319</v>
      </c>
      <c r="DM663" s="14"/>
      <c r="DN663" s="16"/>
      <c r="DO663" s="14"/>
      <c r="DP663" s="12" t="s">
        <v>320</v>
      </c>
      <c r="DQ663" s="14">
        <v>9382</v>
      </c>
      <c r="DR663" s="16">
        <v>0.95</v>
      </c>
      <c r="DS663" s="14"/>
      <c r="DT663" s="12" t="s">
        <v>319</v>
      </c>
      <c r="DU663" s="14"/>
      <c r="DV663" s="16"/>
      <c r="DW663" s="14"/>
      <c r="DX663" s="12" t="s">
        <v>319</v>
      </c>
      <c r="DY663" s="14"/>
      <c r="DZ663" s="16"/>
      <c r="EA663" s="14"/>
      <c r="EB663" s="11" t="s">
        <v>320</v>
      </c>
      <c r="EC663" s="14">
        <v>99304</v>
      </c>
      <c r="ED663" s="16">
        <v>0.49</v>
      </c>
      <c r="EE663" s="14"/>
      <c r="EF663" s="12" t="s">
        <v>10980</v>
      </c>
      <c r="EG663" s="12" t="s">
        <v>320</v>
      </c>
      <c r="EH663" s="14">
        <v>268</v>
      </c>
      <c r="EI663" s="16">
        <v>0.49</v>
      </c>
      <c r="EJ663" s="14"/>
      <c r="EK663" s="14"/>
      <c r="EL663" s="14"/>
      <c r="EM663" s="14"/>
      <c r="EN663" s="14"/>
      <c r="EO663" s="14"/>
      <c r="EP663" s="14"/>
      <c r="EQ663" s="12"/>
      <c r="ER663" s="14"/>
      <c r="ES663" s="16"/>
      <c r="ET663" s="14"/>
      <c r="EU663" s="12"/>
      <c r="EV663" s="14"/>
      <c r="EW663" s="16"/>
      <c r="EX663" s="14"/>
      <c r="EY663" s="12"/>
      <c r="EZ663" s="14"/>
      <c r="FA663" s="16"/>
      <c r="FB663" s="14"/>
      <c r="FC663" s="12"/>
      <c r="FD663" s="14"/>
      <c r="FE663" s="16"/>
      <c r="FF663" s="14"/>
      <c r="FG663" s="12"/>
      <c r="FH663" s="14"/>
      <c r="FI663" s="16"/>
      <c r="FJ663" s="14"/>
      <c r="FK663" s="12"/>
      <c r="FL663" s="14"/>
      <c r="FM663" s="16"/>
      <c r="FN663" s="14"/>
      <c r="FO663" s="12"/>
      <c r="FP663" s="14"/>
      <c r="FQ663" s="16"/>
      <c r="FR663" s="14"/>
      <c r="FS663" s="12"/>
      <c r="FT663" s="14"/>
      <c r="FU663" s="16"/>
      <c r="FV663" s="14"/>
      <c r="FW663" s="12"/>
      <c r="FX663" s="14"/>
      <c r="FY663" s="16"/>
      <c r="FZ663" s="14"/>
      <c r="GA663" s="12"/>
      <c r="GB663" s="14"/>
      <c r="GC663" s="16"/>
      <c r="GD663" s="14"/>
      <c r="GE663" s="12"/>
      <c r="GF663" s="14"/>
      <c r="GG663" s="16"/>
      <c r="GH663" s="14"/>
      <c r="GI663" s="12"/>
      <c r="GJ663" s="14"/>
      <c r="GK663" s="16"/>
      <c r="GL663" s="14"/>
      <c r="GM663" s="12"/>
      <c r="GN663" s="14"/>
      <c r="GO663" s="16"/>
      <c r="GP663" s="14"/>
      <c r="GQ663" s="12"/>
      <c r="GR663" s="14"/>
      <c r="GS663" s="16"/>
      <c r="GT663" s="14"/>
      <c r="GU663" s="12"/>
      <c r="GV663" s="14"/>
      <c r="GW663" s="16"/>
      <c r="GX663" s="14"/>
      <c r="GY663" s="12"/>
      <c r="GZ663" s="14"/>
      <c r="HA663" s="16"/>
      <c r="HB663" s="14"/>
      <c r="HC663" s="12"/>
      <c r="HD663" s="12"/>
      <c r="HE663" s="14"/>
      <c r="HF663" s="16"/>
      <c r="HG663" s="14"/>
      <c r="HH663" s="12" t="s">
        <v>320</v>
      </c>
      <c r="HI663" s="12" t="s">
        <v>361</v>
      </c>
      <c r="HJ663" s="12">
        <v>2016</v>
      </c>
      <c r="HK663" s="12" t="s">
        <v>320</v>
      </c>
      <c r="HL663" s="12" t="s">
        <v>320</v>
      </c>
      <c r="HM663" s="12" t="s">
        <v>361</v>
      </c>
      <c r="HN663" s="12">
        <v>2017</v>
      </c>
      <c r="HO663" s="12"/>
      <c r="HP663" s="12" t="s">
        <v>330</v>
      </c>
      <c r="HQ663" s="12" t="s">
        <v>319</v>
      </c>
      <c r="HR663" s="12" t="s">
        <v>320</v>
      </c>
      <c r="HS663" s="12" t="s">
        <v>320</v>
      </c>
      <c r="HT663" s="12" t="s">
        <v>320</v>
      </c>
      <c r="HU663" s="12" t="s">
        <v>319</v>
      </c>
      <c r="HV663" s="12" t="s">
        <v>319</v>
      </c>
      <c r="HW663" s="12" t="s">
        <v>320</v>
      </c>
      <c r="HX663" s="12" t="s">
        <v>319</v>
      </c>
      <c r="HY663" s="12"/>
      <c r="HZ663" s="12" t="s">
        <v>363</v>
      </c>
      <c r="IA663" s="12"/>
      <c r="IB663" s="12" t="s">
        <v>667</v>
      </c>
      <c r="IC663" s="12"/>
      <c r="ID663" s="12" t="s">
        <v>334</v>
      </c>
      <c r="IE663" s="12" t="s">
        <v>335</v>
      </c>
      <c r="IF663" s="12" t="s">
        <v>320</v>
      </c>
      <c r="IG663" s="12" t="s">
        <v>320</v>
      </c>
      <c r="IH663" s="12" t="s">
        <v>320</v>
      </c>
      <c r="II663" s="12" t="s">
        <v>320</v>
      </c>
      <c r="IJ663" s="12" t="str">
        <f t="shared" si="431"/>
        <v>2. Sensitive</v>
      </c>
      <c r="IK663" s="12">
        <f t="shared" si="432"/>
        <v>4</v>
      </c>
      <c r="IL663" s="12" t="s">
        <v>336</v>
      </c>
      <c r="IM663" s="12" t="s">
        <v>320</v>
      </c>
      <c r="IN663" s="12" t="s">
        <v>320</v>
      </c>
      <c r="IO663" s="12" t="s">
        <v>320</v>
      </c>
      <c r="IP663" s="12" t="s">
        <v>320</v>
      </c>
      <c r="IQ663" s="12" t="str">
        <f t="shared" si="433"/>
        <v>2. Accommodating</v>
      </c>
      <c r="IR663" s="12">
        <f t="shared" si="434"/>
        <v>4</v>
      </c>
      <c r="IS663" s="12"/>
      <c r="IT663" s="12" t="s">
        <v>320</v>
      </c>
      <c r="IU663" s="12"/>
      <c r="IV663" s="12"/>
      <c r="IW663" s="11" t="str">
        <f t="shared" si="435"/>
        <v>No marker score</v>
      </c>
      <c r="IX663" s="12">
        <f t="shared" si="436"/>
        <v>1</v>
      </c>
      <c r="IY663" s="12" t="s">
        <v>419</v>
      </c>
      <c r="IZ663" s="12" t="s">
        <v>432</v>
      </c>
      <c r="JA663" s="12">
        <v>1</v>
      </c>
      <c r="JB663" s="12" t="s">
        <v>433</v>
      </c>
      <c r="JC663" s="12"/>
      <c r="JD663" s="12"/>
      <c r="JE663" s="12" t="s">
        <v>420</v>
      </c>
      <c r="JF663" s="12"/>
      <c r="JG663" s="12" t="s">
        <v>10981</v>
      </c>
      <c r="JH663" s="12" t="s">
        <v>10709</v>
      </c>
      <c r="JI663" s="12" t="s">
        <v>10710</v>
      </c>
      <c r="JJ663" s="12" t="s">
        <v>10711</v>
      </c>
      <c r="JK663" s="12" t="s">
        <v>10712</v>
      </c>
      <c r="JL663" s="12" t="s">
        <v>10713</v>
      </c>
      <c r="JM663" s="12"/>
      <c r="JN663" s="12"/>
      <c r="JO663" s="12" t="s">
        <v>10836</v>
      </c>
      <c r="JP663" s="15">
        <f t="shared" si="437"/>
        <v>155852</v>
      </c>
      <c r="JQ663" s="15">
        <f t="shared" si="438"/>
        <v>0</v>
      </c>
      <c r="JR663" s="279">
        <f t="shared" si="439"/>
        <v>0</v>
      </c>
      <c r="JS663" s="17">
        <f t="shared" si="440"/>
        <v>0.48999692015501889</v>
      </c>
      <c r="JT663" s="18" t="str">
        <f t="shared" si="441"/>
        <v/>
      </c>
      <c r="JU663" s="280">
        <f t="shared" si="442"/>
        <v>76367</v>
      </c>
      <c r="JV663" s="280">
        <f t="shared" si="443"/>
        <v>0</v>
      </c>
      <c r="JW663" s="319">
        <f t="shared" si="444"/>
        <v>1</v>
      </c>
      <c r="JX663" s="15">
        <f t="shared" si="445"/>
        <v>155852</v>
      </c>
      <c r="JY663" s="15">
        <f t="shared" si="446"/>
        <v>0</v>
      </c>
      <c r="JZ663" s="19">
        <f t="shared" si="447"/>
        <v>0</v>
      </c>
      <c r="KA663" s="52">
        <f t="shared" si="448"/>
        <v>1</v>
      </c>
      <c r="KB663" s="15">
        <f t="shared" si="449"/>
        <v>17108</v>
      </c>
      <c r="KC663" s="15">
        <f t="shared" si="450"/>
        <v>0</v>
      </c>
      <c r="KD663" s="20">
        <f t="shared" si="451"/>
        <v>0</v>
      </c>
      <c r="KE663" s="52" t="str">
        <f t="shared" si="452"/>
        <v/>
      </c>
      <c r="KF663" s="15">
        <f t="shared" si="453"/>
        <v>0</v>
      </c>
      <c r="KG663" s="15">
        <f t="shared" si="454"/>
        <v>0</v>
      </c>
      <c r="KH663" s="21" t="str">
        <f t="shared" si="455"/>
        <v/>
      </c>
      <c r="KI663" s="52" t="str">
        <f t="shared" si="456"/>
        <v/>
      </c>
      <c r="KJ663" s="15">
        <f t="shared" si="457"/>
        <v>0</v>
      </c>
      <c r="KK663" s="15">
        <f t="shared" si="458"/>
        <v>0</v>
      </c>
      <c r="KL663" s="19" t="str">
        <f t="shared" si="459"/>
        <v/>
      </c>
      <c r="KM663" s="52" t="str">
        <f t="shared" si="460"/>
        <v/>
      </c>
      <c r="KN663" s="22">
        <f t="shared" si="461"/>
        <v>0</v>
      </c>
      <c r="KO663" s="22">
        <f t="shared" si="462"/>
        <v>0</v>
      </c>
      <c r="KP663" s="19" t="str">
        <f t="shared" si="463"/>
        <v/>
      </c>
      <c r="KQ663" s="11" t="str">
        <f t="shared" si="464"/>
        <v>2. Sensitive</v>
      </c>
      <c r="KR663" s="11" t="str">
        <f t="shared" si="465"/>
        <v>2. Accommodating</v>
      </c>
      <c r="KS663" s="11" t="str">
        <f t="shared" si="466"/>
        <v>No marker score</v>
      </c>
      <c r="KT663" s="11" t="str">
        <f t="shared" si="467"/>
        <v>It did not develop any specific innovation</v>
      </c>
      <c r="KU663" s="11" t="str">
        <f t="shared" si="468"/>
        <v>Moderate advocacy</v>
      </c>
      <c r="KV663" s="11" t="str">
        <f t="shared" si="469"/>
        <v>It took tested solutions to scale on its own</v>
      </c>
      <c r="KW663" s="11" t="str">
        <f t="shared" si="470"/>
        <v>Somalia - Multisectoral Assiatnce Response for Somalis</v>
      </c>
      <c r="KX663" s="11" t="str">
        <f t="shared" si="471"/>
        <v>Multisectoral Assiatnce Response for Somalis</v>
      </c>
      <c r="KY663" s="11" t="str">
        <f t="shared" si="472"/>
        <v>Somalia</v>
      </c>
      <c r="KZ663" s="12">
        <v>663</v>
      </c>
    </row>
    <row r="664" spans="1:312" x14ac:dyDescent="0.3">
      <c r="A664" s="282" t="s">
        <v>10685</v>
      </c>
      <c r="B664" s="282" t="s">
        <v>1874</v>
      </c>
      <c r="C664" s="282"/>
      <c r="D664" s="282" t="s">
        <v>10976</v>
      </c>
      <c r="E664" s="277" t="str">
        <f t="shared" si="430"/>
        <v>Somalia</v>
      </c>
      <c r="F664" s="282" t="s">
        <v>11099</v>
      </c>
      <c r="G664" s="282" t="s">
        <v>379</v>
      </c>
      <c r="H664" s="282" t="s">
        <v>310</v>
      </c>
      <c r="I664" s="282" t="s">
        <v>655</v>
      </c>
      <c r="J664" s="281" t="s">
        <v>14740</v>
      </c>
      <c r="K664" s="282"/>
      <c r="L664" s="282"/>
      <c r="M664" s="282"/>
      <c r="N664" s="282"/>
      <c r="O664" s="282"/>
      <c r="P664" s="282"/>
      <c r="Q664" s="282"/>
      <c r="R664" s="282"/>
      <c r="S664" s="282"/>
      <c r="T664" s="282"/>
      <c r="U664" s="282"/>
      <c r="V664" s="282"/>
      <c r="W664" s="282"/>
      <c r="X664" s="282"/>
      <c r="Y664" s="282"/>
      <c r="Z664" s="282"/>
      <c r="AA664" s="282"/>
      <c r="AB664" s="282"/>
      <c r="AC664" s="282"/>
      <c r="AD664" s="282"/>
      <c r="AE664" s="282"/>
      <c r="AF664" s="282"/>
      <c r="AG664" s="282"/>
      <c r="AH664" s="282"/>
      <c r="AI664" s="282"/>
      <c r="AJ664" s="282"/>
      <c r="AK664" s="282"/>
      <c r="AL664" s="282"/>
      <c r="AM664" s="282"/>
      <c r="AN664" s="282"/>
      <c r="AO664" s="282"/>
      <c r="AP664" s="282"/>
      <c r="AQ664" s="282"/>
      <c r="AR664" s="282"/>
      <c r="AS664" s="282"/>
      <c r="AT664" s="282"/>
      <c r="AU664" s="282"/>
      <c r="AV664" s="282"/>
      <c r="AW664" s="282"/>
      <c r="AX664" s="282"/>
      <c r="AY664" s="282"/>
      <c r="AZ664" s="282"/>
      <c r="BA664" s="282"/>
      <c r="BB664" s="282"/>
      <c r="BC664" s="282"/>
      <c r="BD664" s="283">
        <v>42826</v>
      </c>
      <c r="BE664" s="283">
        <v>43008</v>
      </c>
      <c r="BF664" s="283"/>
      <c r="BG664" s="283" t="s">
        <v>817</v>
      </c>
      <c r="BH664" s="284">
        <v>5500000</v>
      </c>
      <c r="BI664" s="282" t="s">
        <v>10699</v>
      </c>
      <c r="BJ664" s="282" t="s">
        <v>10700</v>
      </c>
      <c r="BK664" s="282" t="s">
        <v>10701</v>
      </c>
      <c r="BL664" s="282" t="s">
        <v>10702</v>
      </c>
      <c r="BM664" s="282" t="s">
        <v>10703</v>
      </c>
      <c r="BN664" s="282" t="s">
        <v>10704</v>
      </c>
      <c r="BO664" s="282" t="s">
        <v>320</v>
      </c>
      <c r="BP664" s="282" t="s">
        <v>319</v>
      </c>
      <c r="BQ664" s="282" t="s">
        <v>319</v>
      </c>
      <c r="BR664" s="282" t="s">
        <v>11100</v>
      </c>
      <c r="BS664" s="282" t="s">
        <v>357</v>
      </c>
      <c r="BT664" s="282" t="s">
        <v>11028</v>
      </c>
      <c r="BU664" s="282" t="s">
        <v>10707</v>
      </c>
      <c r="BV664" s="284">
        <v>76367</v>
      </c>
      <c r="BW664" s="284">
        <v>79485</v>
      </c>
      <c r="BX664" s="284"/>
      <c r="BY664" s="284"/>
      <c r="BZ664" s="284"/>
      <c r="CA664" s="284"/>
      <c r="CB664" s="285" t="s">
        <v>11101</v>
      </c>
      <c r="CC664" s="285"/>
      <c r="CD664" s="284">
        <v>11606</v>
      </c>
      <c r="CE664" s="284">
        <v>12197</v>
      </c>
      <c r="CF664" s="284">
        <v>23803</v>
      </c>
      <c r="CG664" s="284"/>
      <c r="CH664" s="284"/>
      <c r="CI664" s="284"/>
      <c r="CJ664" s="282" t="s">
        <v>319</v>
      </c>
      <c r="CK664" s="284"/>
      <c r="CL664" s="286"/>
      <c r="CM664" s="284"/>
      <c r="CN664" s="287" t="s">
        <v>320</v>
      </c>
      <c r="CO664" s="284">
        <v>29790</v>
      </c>
      <c r="CP664" s="286"/>
      <c r="CQ664" s="284"/>
      <c r="CR664" s="282" t="s">
        <v>319</v>
      </c>
      <c r="CS664" s="284"/>
      <c r="CT664" s="286"/>
      <c r="CU664" s="284"/>
      <c r="CV664" s="289" t="s">
        <v>320</v>
      </c>
      <c r="CW664" s="300">
        <v>29790</v>
      </c>
      <c r="CX664" s="308"/>
      <c r="CY664" s="300"/>
      <c r="CZ664" s="282" t="s">
        <v>319</v>
      </c>
      <c r="DA664" s="284"/>
      <c r="DB664" s="286"/>
      <c r="DC664" s="284"/>
      <c r="DD664" s="287" t="s">
        <v>319</v>
      </c>
      <c r="DE664" s="284"/>
      <c r="DF664" s="286"/>
      <c r="DG664" s="284"/>
      <c r="DH664" s="282" t="s">
        <v>319</v>
      </c>
      <c r="DI664" s="284"/>
      <c r="DJ664" s="286"/>
      <c r="DK664" s="284"/>
      <c r="DL664" s="282" t="s">
        <v>319</v>
      </c>
      <c r="DM664" s="284"/>
      <c r="DN664" s="286"/>
      <c r="DO664" s="284"/>
      <c r="DP664" s="282" t="s">
        <v>319</v>
      </c>
      <c r="DQ664" s="284"/>
      <c r="DR664" s="286"/>
      <c r="DS664" s="284"/>
      <c r="DT664" s="282" t="s">
        <v>319</v>
      </c>
      <c r="DU664" s="284"/>
      <c r="DV664" s="286"/>
      <c r="DW664" s="284"/>
      <c r="DX664" s="282" t="s">
        <v>319</v>
      </c>
      <c r="DY664" s="284"/>
      <c r="DZ664" s="286"/>
      <c r="EA664" s="284"/>
      <c r="EB664" s="282" t="s">
        <v>319</v>
      </c>
      <c r="EC664" s="284"/>
      <c r="ED664" s="286"/>
      <c r="EE664" s="284"/>
      <c r="EF664" s="285"/>
      <c r="EG664" s="287"/>
      <c r="EH664" s="284"/>
      <c r="EI664" s="286"/>
      <c r="EJ664" s="284"/>
      <c r="EK664" s="284"/>
      <c r="EL664" s="284"/>
      <c r="EM664" s="284"/>
      <c r="EN664" s="284"/>
      <c r="EO664" s="284"/>
      <c r="EP664" s="284"/>
      <c r="EQ664" s="282"/>
      <c r="ER664" s="284"/>
      <c r="ES664" s="286"/>
      <c r="ET664" s="284"/>
      <c r="EU664" s="305"/>
      <c r="EV664" s="300"/>
      <c r="EW664" s="308"/>
      <c r="EX664" s="300"/>
      <c r="EY664" s="282"/>
      <c r="EZ664" s="284"/>
      <c r="FA664" s="286"/>
      <c r="FB664" s="284"/>
      <c r="FC664" s="282"/>
      <c r="FD664" s="284"/>
      <c r="FE664" s="286"/>
      <c r="FF664" s="284"/>
      <c r="FG664" s="282"/>
      <c r="FH664" s="284"/>
      <c r="FI664" s="286"/>
      <c r="FJ664" s="284"/>
      <c r="FK664" s="282"/>
      <c r="FL664" s="284"/>
      <c r="FM664" s="286"/>
      <c r="FN664" s="284"/>
      <c r="FO664" s="305"/>
      <c r="FP664" s="300"/>
      <c r="FQ664" s="308"/>
      <c r="FR664" s="300"/>
      <c r="FS664" s="282"/>
      <c r="FT664" s="284"/>
      <c r="FU664" s="286"/>
      <c r="FV664" s="284"/>
      <c r="FW664" s="282"/>
      <c r="FX664" s="284"/>
      <c r="FY664" s="286"/>
      <c r="FZ664" s="284"/>
      <c r="GA664" s="282"/>
      <c r="GB664" s="284"/>
      <c r="GC664" s="286"/>
      <c r="GD664" s="284"/>
      <c r="GE664" s="282"/>
      <c r="GF664" s="284"/>
      <c r="GG664" s="286"/>
      <c r="GH664" s="284"/>
      <c r="GI664" s="282"/>
      <c r="GJ664" s="284"/>
      <c r="GK664" s="286"/>
      <c r="GL664" s="284"/>
      <c r="GM664" s="282"/>
      <c r="GN664" s="284"/>
      <c r="GO664" s="286"/>
      <c r="GP664" s="284"/>
      <c r="GQ664" s="282"/>
      <c r="GR664" s="284"/>
      <c r="GS664" s="286"/>
      <c r="GT664" s="284"/>
      <c r="GU664" s="282"/>
      <c r="GV664" s="284"/>
      <c r="GW664" s="286"/>
      <c r="GX664" s="284"/>
      <c r="GY664" s="282"/>
      <c r="GZ664" s="284"/>
      <c r="HA664" s="286"/>
      <c r="HB664" s="284"/>
      <c r="HC664" s="282"/>
      <c r="HD664" s="282"/>
      <c r="HE664" s="284"/>
      <c r="HF664" s="286"/>
      <c r="HG664" s="284"/>
      <c r="HH664" s="282" t="s">
        <v>319</v>
      </c>
      <c r="HI664" s="282"/>
      <c r="HJ664" s="282">
        <v>2016</v>
      </c>
      <c r="HK664" s="282" t="s">
        <v>319</v>
      </c>
      <c r="HL664" s="282" t="s">
        <v>319</v>
      </c>
      <c r="HM664" s="282"/>
      <c r="HN664" s="282">
        <v>2017</v>
      </c>
      <c r="HO664" s="282"/>
      <c r="HP664" s="282" t="s">
        <v>330</v>
      </c>
      <c r="HQ664" s="282" t="s">
        <v>319</v>
      </c>
      <c r="HR664" s="282" t="s">
        <v>320</v>
      </c>
      <c r="HS664" s="282" t="s">
        <v>320</v>
      </c>
      <c r="HT664" s="282" t="s">
        <v>320</v>
      </c>
      <c r="HU664" s="282" t="s">
        <v>319</v>
      </c>
      <c r="HV664" s="282" t="s">
        <v>319</v>
      </c>
      <c r="HW664" s="282" t="s">
        <v>319</v>
      </c>
      <c r="HX664" s="282" t="s">
        <v>319</v>
      </c>
      <c r="HY664" s="282"/>
      <c r="HZ664" s="282" t="s">
        <v>363</v>
      </c>
      <c r="IA664" s="282"/>
      <c r="IB664" s="282" t="s">
        <v>667</v>
      </c>
      <c r="IC664" s="282"/>
      <c r="ID664" s="282" t="s">
        <v>334</v>
      </c>
      <c r="IE664" s="282" t="s">
        <v>335</v>
      </c>
      <c r="IF664" s="282" t="s">
        <v>320</v>
      </c>
      <c r="IG664" s="282" t="s">
        <v>320</v>
      </c>
      <c r="IH664" s="282" t="s">
        <v>320</v>
      </c>
      <c r="II664" s="282" t="s">
        <v>320</v>
      </c>
      <c r="IJ664" s="12" t="str">
        <f t="shared" si="431"/>
        <v>2. Sensitive</v>
      </c>
      <c r="IK664" s="287">
        <f t="shared" si="432"/>
        <v>4</v>
      </c>
      <c r="IL664" s="282" t="s">
        <v>336</v>
      </c>
      <c r="IM664" s="282" t="s">
        <v>320</v>
      </c>
      <c r="IN664" s="282" t="s">
        <v>320</v>
      </c>
      <c r="IO664" s="282" t="s">
        <v>320</v>
      </c>
      <c r="IP664" s="282" t="s">
        <v>320</v>
      </c>
      <c r="IQ664" s="287" t="str">
        <f t="shared" si="433"/>
        <v>2. Accommodating</v>
      </c>
      <c r="IR664" s="287">
        <f t="shared" si="434"/>
        <v>4</v>
      </c>
      <c r="IS664" s="282" t="s">
        <v>337</v>
      </c>
      <c r="IT664" s="282" t="s">
        <v>320</v>
      </c>
      <c r="IU664" s="282"/>
      <c r="IV664" s="282"/>
      <c r="IW664" s="11" t="str">
        <f t="shared" si="435"/>
        <v>1. Neutral</v>
      </c>
      <c r="IX664" s="287">
        <f t="shared" si="436"/>
        <v>1</v>
      </c>
      <c r="IY664" s="282" t="s">
        <v>419</v>
      </c>
      <c r="IZ664" s="282" t="s">
        <v>339</v>
      </c>
      <c r="JA664" s="282"/>
      <c r="JB664" s="282"/>
      <c r="JC664" s="282"/>
      <c r="JD664" s="282"/>
      <c r="JE664" s="282" t="s">
        <v>420</v>
      </c>
      <c r="JF664" s="282"/>
      <c r="JG664" s="282"/>
      <c r="JH664" s="282" t="s">
        <v>10709</v>
      </c>
      <c r="JI664" s="282" t="s">
        <v>10710</v>
      </c>
      <c r="JJ664" s="282" t="s">
        <v>10711</v>
      </c>
      <c r="JK664" s="282" t="s">
        <v>10712</v>
      </c>
      <c r="JL664" s="282" t="s">
        <v>10713</v>
      </c>
      <c r="JM664" s="282"/>
      <c r="JN664" s="282"/>
      <c r="JO664" s="282" t="s">
        <v>10930</v>
      </c>
      <c r="JP664" s="15">
        <f t="shared" si="437"/>
        <v>23803</v>
      </c>
      <c r="JQ664" s="15">
        <f t="shared" si="438"/>
        <v>0</v>
      </c>
      <c r="JR664" s="279">
        <f t="shared" si="439"/>
        <v>0</v>
      </c>
      <c r="JS664" s="17">
        <f t="shared" si="440"/>
        <v>0.48758559845397637</v>
      </c>
      <c r="JT664" s="18" t="str">
        <f t="shared" si="441"/>
        <v/>
      </c>
      <c r="JU664" s="280">
        <f t="shared" si="442"/>
        <v>11606</v>
      </c>
      <c r="JV664" s="280">
        <f t="shared" si="443"/>
        <v>0</v>
      </c>
      <c r="JW664" s="319">
        <f t="shared" si="444"/>
        <v>1</v>
      </c>
      <c r="JX664" s="15">
        <f t="shared" si="445"/>
        <v>23803</v>
      </c>
      <c r="JY664" s="15">
        <f t="shared" si="446"/>
        <v>0</v>
      </c>
      <c r="JZ664" s="19">
        <f t="shared" si="447"/>
        <v>0</v>
      </c>
      <c r="KA664" s="52">
        <f t="shared" si="448"/>
        <v>1</v>
      </c>
      <c r="KB664" s="15">
        <f t="shared" si="449"/>
        <v>29790</v>
      </c>
      <c r="KC664" s="15">
        <f t="shared" si="450"/>
        <v>0</v>
      </c>
      <c r="KD664" s="20">
        <f t="shared" si="451"/>
        <v>0</v>
      </c>
      <c r="KE664" s="52" t="str">
        <f t="shared" si="452"/>
        <v/>
      </c>
      <c r="KF664" s="15">
        <f t="shared" si="453"/>
        <v>0</v>
      </c>
      <c r="KG664" s="15">
        <f t="shared" si="454"/>
        <v>0</v>
      </c>
      <c r="KH664" s="21" t="str">
        <f t="shared" si="455"/>
        <v/>
      </c>
      <c r="KI664" s="52" t="str">
        <f t="shared" si="456"/>
        <v/>
      </c>
      <c r="KJ664" s="15">
        <f t="shared" si="457"/>
        <v>0</v>
      </c>
      <c r="KK664" s="15">
        <f t="shared" si="458"/>
        <v>0</v>
      </c>
      <c r="KL664" s="19" t="str">
        <f t="shared" si="459"/>
        <v/>
      </c>
      <c r="KM664" s="52" t="str">
        <f t="shared" si="460"/>
        <v/>
      </c>
      <c r="KN664" s="22">
        <f t="shared" si="461"/>
        <v>0</v>
      </c>
      <c r="KO664" s="22">
        <f t="shared" si="462"/>
        <v>0</v>
      </c>
      <c r="KP664" s="19" t="str">
        <f t="shared" si="463"/>
        <v/>
      </c>
      <c r="KQ664" s="11" t="str">
        <f t="shared" si="464"/>
        <v>2. Sensitive</v>
      </c>
      <c r="KR664" s="11" t="str">
        <f t="shared" si="465"/>
        <v>2. Accommodating</v>
      </c>
      <c r="KS664" s="11" t="str">
        <f t="shared" si="466"/>
        <v>1. Neutral</v>
      </c>
      <c r="KT664" s="11" t="str">
        <f t="shared" si="467"/>
        <v>It did not develop any specific innovation</v>
      </c>
      <c r="KU664" s="11" t="str">
        <f t="shared" si="468"/>
        <v>Moderate advocacy</v>
      </c>
      <c r="KV664" s="11" t="str">
        <f t="shared" si="469"/>
        <v>It took tested solutions to scale on its own</v>
      </c>
      <c r="KW664" s="11" t="str">
        <f t="shared" si="470"/>
        <v>Somalia - Multisectoral Assiatnce Response for Somalis</v>
      </c>
      <c r="KX664" s="11" t="str">
        <f t="shared" si="471"/>
        <v>Multisectoral Assiatnce Response for Somalis</v>
      </c>
      <c r="KY664" s="11" t="str">
        <f t="shared" si="472"/>
        <v>Somalia</v>
      </c>
      <c r="KZ664" s="12">
        <v>664</v>
      </c>
    </row>
    <row r="665" spans="1:312" x14ac:dyDescent="0.3">
      <c r="A665" s="12" t="s">
        <v>10685</v>
      </c>
      <c r="B665" s="12" t="s">
        <v>1874</v>
      </c>
      <c r="C665" s="12"/>
      <c r="D665" s="12" t="s">
        <v>10931</v>
      </c>
      <c r="E665" s="277" t="str">
        <f t="shared" si="430"/>
        <v>Somalia</v>
      </c>
      <c r="F665" s="12" t="s">
        <v>10932</v>
      </c>
      <c r="G665" s="12" t="s">
        <v>488</v>
      </c>
      <c r="H665" s="12" t="s">
        <v>310</v>
      </c>
      <c r="I665" s="12" t="s">
        <v>506</v>
      </c>
      <c r="J665" s="281" t="s">
        <v>9230</v>
      </c>
      <c r="K665" s="12"/>
      <c r="L665" s="12"/>
      <c r="M665" s="12"/>
      <c r="N665" s="12"/>
      <c r="O665" s="12"/>
      <c r="P665" s="12"/>
      <c r="Q665" s="12"/>
      <c r="R665" s="12"/>
      <c r="S665" s="12"/>
      <c r="T665" s="12"/>
      <c r="U665" s="12"/>
      <c r="V665" s="12"/>
      <c r="W665" s="12"/>
      <c r="X665" s="12"/>
      <c r="Y665" s="12"/>
      <c r="Z665" s="12"/>
      <c r="AA665" s="12"/>
      <c r="AB665" s="12"/>
      <c r="AC665" s="12"/>
      <c r="AD665" s="12"/>
      <c r="BD665" s="13">
        <v>42780</v>
      </c>
      <c r="BE665" s="13">
        <v>42961</v>
      </c>
      <c r="BF665" s="12"/>
      <c r="BG665" s="12" t="s">
        <v>817</v>
      </c>
      <c r="BH665" s="14">
        <v>586824</v>
      </c>
      <c r="BI665" s="12" t="s">
        <v>10699</v>
      </c>
      <c r="BJ665" s="12" t="s">
        <v>10700</v>
      </c>
      <c r="BK665" s="12" t="s">
        <v>10701</v>
      </c>
      <c r="BL665" s="12" t="s">
        <v>10702</v>
      </c>
      <c r="BM665" s="12" t="s">
        <v>10703</v>
      </c>
      <c r="BN665" s="12" t="s">
        <v>10704</v>
      </c>
      <c r="BO665" s="12" t="s">
        <v>320</v>
      </c>
      <c r="BP665" s="12" t="s">
        <v>319</v>
      </c>
      <c r="BQ665" s="12" t="s">
        <v>319</v>
      </c>
      <c r="BR665" s="12" t="s">
        <v>10931</v>
      </c>
      <c r="BS665" s="12" t="s">
        <v>322</v>
      </c>
      <c r="BT665" s="12" t="s">
        <v>10933</v>
      </c>
      <c r="BU665" s="12" t="s">
        <v>10934</v>
      </c>
      <c r="BV665" s="14">
        <v>6388</v>
      </c>
      <c r="BW665" s="14">
        <v>1826</v>
      </c>
      <c r="BX665" s="14">
        <v>8214</v>
      </c>
      <c r="BY665" s="14"/>
      <c r="BZ665" s="14"/>
      <c r="CA665" s="14"/>
      <c r="CB665" s="12" t="s">
        <v>10935</v>
      </c>
      <c r="CD665" s="14">
        <v>6388</v>
      </c>
      <c r="CE665" s="14">
        <v>1826</v>
      </c>
      <c r="CF665" s="14">
        <v>8214</v>
      </c>
      <c r="CG665" s="14"/>
      <c r="CH665" s="14"/>
      <c r="CI665" s="14"/>
      <c r="CJ665" s="12" t="s">
        <v>319</v>
      </c>
      <c r="CK665" s="14"/>
      <c r="CL665" s="16"/>
      <c r="CM665" s="14"/>
      <c r="CN665" s="12" t="s">
        <v>319</v>
      </c>
      <c r="CO665" s="14"/>
      <c r="CP665" s="16"/>
      <c r="CQ665" s="14"/>
      <c r="CR665" s="12" t="s">
        <v>319</v>
      </c>
      <c r="CS665" s="14"/>
      <c r="CT665" s="16"/>
      <c r="CU665" s="14"/>
      <c r="CV665" s="12" t="s">
        <v>320</v>
      </c>
      <c r="CW665" s="14">
        <v>8214</v>
      </c>
      <c r="CX665" s="16">
        <v>0.71</v>
      </c>
      <c r="CY665" s="14"/>
      <c r="CZ665" s="12" t="s">
        <v>319</v>
      </c>
      <c r="DA665" s="14"/>
      <c r="DB665" s="16"/>
      <c r="DC665" s="14"/>
      <c r="DD665" s="12" t="s">
        <v>319</v>
      </c>
      <c r="DE665" s="14"/>
      <c r="DF665" s="16"/>
      <c r="DG665" s="14"/>
      <c r="DH665" s="12" t="s">
        <v>319</v>
      </c>
      <c r="DI665" s="14"/>
      <c r="DJ665" s="16"/>
      <c r="DK665" s="14"/>
      <c r="DL665" s="12" t="s">
        <v>319</v>
      </c>
      <c r="DM665" s="14"/>
      <c r="DN665" s="16"/>
      <c r="DO665" s="14"/>
      <c r="DP665" s="12" t="s">
        <v>319</v>
      </c>
      <c r="DQ665" s="14"/>
      <c r="DR665" s="16"/>
      <c r="DS665" s="14"/>
      <c r="DT665" s="12" t="s">
        <v>319</v>
      </c>
      <c r="DU665" s="14"/>
      <c r="DV665" s="16"/>
      <c r="DW665" s="14"/>
      <c r="DX665" s="12" t="s">
        <v>319</v>
      </c>
      <c r="DY665" s="14"/>
      <c r="DZ665" s="16"/>
      <c r="EA665" s="14"/>
      <c r="EB665" s="12" t="s">
        <v>319</v>
      </c>
      <c r="EC665" s="14"/>
      <c r="ED665" s="16"/>
      <c r="EE665" s="14"/>
      <c r="EF665" s="12"/>
      <c r="EG665" s="12"/>
      <c r="EH665" s="14"/>
      <c r="EI665" s="16"/>
      <c r="EJ665" s="14"/>
      <c r="EK665" s="14"/>
      <c r="EL665" s="14"/>
      <c r="EM665" s="14"/>
      <c r="EN665" s="14"/>
      <c r="EO665" s="14"/>
      <c r="EP665" s="14"/>
      <c r="EQ665" s="12"/>
      <c r="ER665" s="14"/>
      <c r="ES665" s="16"/>
      <c r="ET665" s="14"/>
      <c r="EU665" s="12"/>
      <c r="EV665" s="14"/>
      <c r="EW665" s="16"/>
      <c r="EX665" s="14"/>
      <c r="EY665" s="12"/>
      <c r="EZ665" s="14"/>
      <c r="FA665" s="16"/>
      <c r="FB665" s="14"/>
      <c r="FC665" s="12"/>
      <c r="FD665" s="14"/>
      <c r="FE665" s="16"/>
      <c r="FF665" s="14"/>
      <c r="FG665" s="12"/>
      <c r="FH665" s="14"/>
      <c r="FI665" s="16"/>
      <c r="FJ665" s="14"/>
      <c r="FK665" s="12"/>
      <c r="FL665" s="14"/>
      <c r="FM665" s="16"/>
      <c r="FN665" s="14"/>
      <c r="FO665" s="12"/>
      <c r="FP665" s="14"/>
      <c r="FQ665" s="16"/>
      <c r="FR665" s="14"/>
      <c r="FS665" s="12"/>
      <c r="FT665" s="14"/>
      <c r="FU665" s="16"/>
      <c r="FV665" s="14"/>
      <c r="FW665" s="12"/>
      <c r="FX665" s="14"/>
      <c r="FY665" s="16"/>
      <c r="FZ665" s="14"/>
      <c r="GA665" s="12"/>
      <c r="GB665" s="14"/>
      <c r="GC665" s="16"/>
      <c r="GD665" s="14"/>
      <c r="GE665" s="12"/>
      <c r="GF665" s="14"/>
      <c r="GG665" s="16"/>
      <c r="GH665" s="14"/>
      <c r="GI665" s="12"/>
      <c r="GJ665" s="14"/>
      <c r="GK665" s="16"/>
      <c r="GL665" s="14"/>
      <c r="GM665" s="12"/>
      <c r="GN665" s="14"/>
      <c r="GO665" s="16"/>
      <c r="GP665" s="14"/>
      <c r="GQ665" s="12"/>
      <c r="GR665" s="14"/>
      <c r="GS665" s="16"/>
      <c r="GT665" s="14"/>
      <c r="GU665" s="12"/>
      <c r="GV665" s="14"/>
      <c r="GW665" s="16"/>
      <c r="GX665" s="14"/>
      <c r="GY665" s="12"/>
      <c r="GZ665" s="14"/>
      <c r="HA665" s="16"/>
      <c r="HB665" s="14"/>
      <c r="HC665" s="12"/>
      <c r="HD665" s="12"/>
      <c r="HE665" s="14"/>
      <c r="HF665" s="16"/>
      <c r="HG665" s="14"/>
      <c r="HH665" s="12" t="s">
        <v>319</v>
      </c>
      <c r="HI665" s="12"/>
      <c r="HJ665" s="12"/>
      <c r="HK665" s="12" t="s">
        <v>319</v>
      </c>
      <c r="HL665" s="12" t="s">
        <v>319</v>
      </c>
      <c r="HM665" s="12"/>
      <c r="HN665" s="12">
        <v>2017</v>
      </c>
      <c r="HO665" s="12"/>
      <c r="HP665" s="12" t="s">
        <v>330</v>
      </c>
      <c r="HQ665" s="12" t="s">
        <v>319</v>
      </c>
      <c r="HR665" s="12" t="s">
        <v>320</v>
      </c>
      <c r="HS665" s="12" t="s">
        <v>320</v>
      </c>
      <c r="HT665" s="12" t="s">
        <v>320</v>
      </c>
      <c r="HU665" s="12" t="s">
        <v>319</v>
      </c>
      <c r="HV665" s="12" t="s">
        <v>319</v>
      </c>
      <c r="HW665" s="12" t="s">
        <v>320</v>
      </c>
      <c r="HX665" s="12" t="s">
        <v>319</v>
      </c>
      <c r="HY665" s="12"/>
      <c r="HZ665" s="12" t="s">
        <v>363</v>
      </c>
      <c r="IA665" s="12"/>
      <c r="IB665" s="12" t="s">
        <v>667</v>
      </c>
      <c r="IC665" s="12"/>
      <c r="ID665" s="12" t="s">
        <v>334</v>
      </c>
      <c r="IE665" s="12" t="s">
        <v>335</v>
      </c>
      <c r="IF665" s="12" t="s">
        <v>320</v>
      </c>
      <c r="IG665" s="12" t="s">
        <v>320</v>
      </c>
      <c r="IH665" s="12" t="s">
        <v>320</v>
      </c>
      <c r="II665" s="12" t="s">
        <v>320</v>
      </c>
      <c r="IJ665" s="12" t="str">
        <f t="shared" si="431"/>
        <v>2. Sensitive</v>
      </c>
      <c r="IK665" s="12">
        <f t="shared" si="432"/>
        <v>4</v>
      </c>
      <c r="IL665" s="12" t="s">
        <v>336</v>
      </c>
      <c r="IM665" s="12" t="s">
        <v>320</v>
      </c>
      <c r="IN665" s="12" t="s">
        <v>320</v>
      </c>
      <c r="IO665" s="12" t="s">
        <v>320</v>
      </c>
      <c r="IP665" s="12" t="s">
        <v>320</v>
      </c>
      <c r="IQ665" s="12" t="str">
        <f t="shared" si="433"/>
        <v>2. Accommodating</v>
      </c>
      <c r="IR665" s="12">
        <f t="shared" si="434"/>
        <v>4</v>
      </c>
      <c r="IS665" s="12" t="s">
        <v>337</v>
      </c>
      <c r="IT665" s="12" t="s">
        <v>320</v>
      </c>
      <c r="IU665" s="12"/>
      <c r="IV665" s="12"/>
      <c r="IW665" s="11" t="str">
        <f t="shared" si="435"/>
        <v>1. Neutral</v>
      </c>
      <c r="IX665" s="12">
        <f t="shared" si="436"/>
        <v>1</v>
      </c>
      <c r="IY665" s="12" t="s">
        <v>338</v>
      </c>
      <c r="IZ665" s="12" t="s">
        <v>339</v>
      </c>
      <c r="JA665" s="12"/>
      <c r="JB665" s="12"/>
      <c r="JC665" s="12"/>
      <c r="JD665" s="12"/>
      <c r="JE665" s="12" t="s">
        <v>420</v>
      </c>
      <c r="JF665" s="12"/>
      <c r="JG665" s="12"/>
      <c r="JH665" s="12" t="s">
        <v>10709</v>
      </c>
      <c r="JI665" s="12" t="s">
        <v>10710</v>
      </c>
      <c r="JJ665" s="12"/>
      <c r="JK665" s="12" t="s">
        <v>10720</v>
      </c>
      <c r="JL665" s="12"/>
      <c r="JM665" s="12"/>
      <c r="JN665" s="12"/>
      <c r="JO665" s="12" t="s">
        <v>10825</v>
      </c>
      <c r="JP665" s="15">
        <f t="shared" si="437"/>
        <v>8214</v>
      </c>
      <c r="JQ665" s="15">
        <f t="shared" si="438"/>
        <v>0</v>
      </c>
      <c r="JR665" s="279">
        <f t="shared" si="439"/>
        <v>0</v>
      </c>
      <c r="JS665" s="17">
        <f t="shared" si="440"/>
        <v>0.77769661553445335</v>
      </c>
      <c r="JT665" s="18" t="str">
        <f t="shared" si="441"/>
        <v/>
      </c>
      <c r="JU665" s="280">
        <f t="shared" si="442"/>
        <v>6388</v>
      </c>
      <c r="JV665" s="280">
        <f t="shared" si="443"/>
        <v>0</v>
      </c>
      <c r="JW665" s="319">
        <f t="shared" si="444"/>
        <v>1</v>
      </c>
      <c r="JX665" s="15">
        <f t="shared" si="445"/>
        <v>8214</v>
      </c>
      <c r="JY665" s="15">
        <f t="shared" si="446"/>
        <v>0</v>
      </c>
      <c r="JZ665" s="19">
        <f t="shared" si="447"/>
        <v>0</v>
      </c>
      <c r="KA665" s="52">
        <f t="shared" si="448"/>
        <v>1</v>
      </c>
      <c r="KB665" s="15">
        <f t="shared" si="449"/>
        <v>8214</v>
      </c>
      <c r="KC665" s="15">
        <f t="shared" si="450"/>
        <v>0</v>
      </c>
      <c r="KD665" s="20">
        <f t="shared" si="451"/>
        <v>0</v>
      </c>
      <c r="KE665" s="52" t="str">
        <f t="shared" si="452"/>
        <v/>
      </c>
      <c r="KF665" s="15">
        <f t="shared" si="453"/>
        <v>0</v>
      </c>
      <c r="KG665" s="15">
        <f t="shared" si="454"/>
        <v>0</v>
      </c>
      <c r="KH665" s="21" t="str">
        <f t="shared" si="455"/>
        <v/>
      </c>
      <c r="KI665" s="52" t="str">
        <f t="shared" si="456"/>
        <v/>
      </c>
      <c r="KJ665" s="15">
        <f t="shared" si="457"/>
        <v>0</v>
      </c>
      <c r="KK665" s="15">
        <f t="shared" si="458"/>
        <v>0</v>
      </c>
      <c r="KL665" s="19" t="str">
        <f t="shared" si="459"/>
        <v/>
      </c>
      <c r="KM665" s="52" t="str">
        <f t="shared" si="460"/>
        <v/>
      </c>
      <c r="KN665" s="22">
        <f t="shared" si="461"/>
        <v>0</v>
      </c>
      <c r="KO665" s="22">
        <f t="shared" si="462"/>
        <v>0</v>
      </c>
      <c r="KP665" s="19" t="str">
        <f t="shared" si="463"/>
        <v/>
      </c>
      <c r="KQ665" s="11" t="str">
        <f t="shared" si="464"/>
        <v>2. Sensitive</v>
      </c>
      <c r="KR665" s="11" t="str">
        <f t="shared" si="465"/>
        <v>2. Accommodating</v>
      </c>
      <c r="KS665" s="11" t="str">
        <f t="shared" si="466"/>
        <v>1. Neutral</v>
      </c>
      <c r="KT665" s="11" t="str">
        <f t="shared" si="467"/>
        <v>It did not develop any specific innovation</v>
      </c>
      <c r="KU665" s="11" t="str">
        <f t="shared" si="468"/>
        <v>Moderate advocacy</v>
      </c>
      <c r="KV665" s="11" t="str">
        <f t="shared" si="469"/>
        <v>It took tested solutions to scale on its own</v>
      </c>
      <c r="KW665" s="11" t="str">
        <f t="shared" si="470"/>
        <v>Somalia - Providing Emergency Health and Nutrition Services to drought affected Communities in Somalia project</v>
      </c>
      <c r="KX665" s="11" t="str">
        <f t="shared" si="471"/>
        <v>Providing Emergency Health and Nutrition Services to drought affected Communities in Somalia project</v>
      </c>
      <c r="KY665" s="11" t="str">
        <f t="shared" si="472"/>
        <v>Somalia</v>
      </c>
      <c r="KZ665" s="12">
        <v>665</v>
      </c>
    </row>
    <row r="666" spans="1:312" x14ac:dyDescent="0.3">
      <c r="A666" s="282" t="s">
        <v>10685</v>
      </c>
      <c r="B666" s="282" t="s">
        <v>1874</v>
      </c>
      <c r="C666" s="282">
        <v>3325</v>
      </c>
      <c r="D666" s="282" t="s">
        <v>11051</v>
      </c>
      <c r="E666" s="277" t="str">
        <f t="shared" si="430"/>
        <v>Somalia</v>
      </c>
      <c r="F666" s="282" t="s">
        <v>11052</v>
      </c>
      <c r="G666" s="282" t="s">
        <v>608</v>
      </c>
      <c r="H666" s="282" t="s">
        <v>380</v>
      </c>
      <c r="I666" s="282" t="s">
        <v>381</v>
      </c>
      <c r="J666" s="281" t="s">
        <v>14624</v>
      </c>
      <c r="K666" s="282"/>
      <c r="L666" s="282"/>
      <c r="M666" s="282"/>
      <c r="N666" s="282"/>
      <c r="O666" s="282"/>
      <c r="P666" s="282"/>
      <c r="Q666" s="282"/>
      <c r="R666" s="282"/>
      <c r="S666" s="282"/>
      <c r="T666" s="282"/>
      <c r="U666" s="282"/>
      <c r="V666" s="282"/>
      <c r="W666" s="282"/>
      <c r="X666" s="282"/>
      <c r="Y666" s="282"/>
      <c r="Z666" s="282"/>
      <c r="AA666" s="282"/>
      <c r="AB666" s="282"/>
      <c r="AC666" s="282"/>
      <c r="AD666" s="282"/>
      <c r="AE666" s="282"/>
      <c r="AF666" s="282"/>
      <c r="AG666" s="282"/>
      <c r="AH666" s="282"/>
      <c r="AI666" s="282"/>
      <c r="AJ666" s="282"/>
      <c r="AK666" s="282"/>
      <c r="AL666" s="282"/>
      <c r="AM666" s="282"/>
      <c r="AN666" s="282"/>
      <c r="AO666" s="282"/>
      <c r="AP666" s="282"/>
      <c r="AQ666" s="282"/>
      <c r="AR666" s="282"/>
      <c r="AS666" s="282"/>
      <c r="AT666" s="282"/>
      <c r="AU666" s="282"/>
      <c r="AV666" s="282"/>
      <c r="AW666" s="282"/>
      <c r="AX666" s="282"/>
      <c r="AY666" s="282"/>
      <c r="AZ666" s="282"/>
      <c r="BA666" s="282"/>
      <c r="BB666" s="282"/>
      <c r="BC666" s="282"/>
      <c r="BD666" s="283">
        <v>42856</v>
      </c>
      <c r="BE666" s="283">
        <v>42947</v>
      </c>
      <c r="BF666" s="283"/>
      <c r="BG666" s="283" t="s">
        <v>817</v>
      </c>
      <c r="BH666" s="284">
        <v>250000</v>
      </c>
      <c r="BI666" s="282" t="s">
        <v>10699</v>
      </c>
      <c r="BJ666" s="282" t="s">
        <v>10700</v>
      </c>
      <c r="BK666" s="282" t="s">
        <v>10701</v>
      </c>
      <c r="BL666" s="282" t="s">
        <v>10702</v>
      </c>
      <c r="BM666" s="282" t="s">
        <v>10703</v>
      </c>
      <c r="BN666" s="282" t="s">
        <v>10704</v>
      </c>
      <c r="BO666" s="282" t="s">
        <v>320</v>
      </c>
      <c r="BP666" s="282" t="s">
        <v>319</v>
      </c>
      <c r="BQ666" s="282" t="s">
        <v>319</v>
      </c>
      <c r="BR666" s="282" t="s">
        <v>11053</v>
      </c>
      <c r="BS666" s="282" t="s">
        <v>357</v>
      </c>
      <c r="BT666" s="282" t="s">
        <v>10829</v>
      </c>
      <c r="BU666" s="282" t="s">
        <v>10707</v>
      </c>
      <c r="BV666" s="284">
        <v>2997</v>
      </c>
      <c r="BW666" s="284">
        <v>3189</v>
      </c>
      <c r="BX666" s="284">
        <v>6186</v>
      </c>
      <c r="BY666" s="284"/>
      <c r="BZ666" s="284"/>
      <c r="CA666" s="284"/>
      <c r="CB666" s="285" t="s">
        <v>11029</v>
      </c>
      <c r="CC666" s="285"/>
      <c r="CD666" s="284">
        <v>3189</v>
      </c>
      <c r="CE666" s="284">
        <v>2997</v>
      </c>
      <c r="CF666" s="284">
        <v>6186</v>
      </c>
      <c r="CG666" s="284"/>
      <c r="CH666" s="284"/>
      <c r="CI666" s="284"/>
      <c r="CJ666" s="282" t="s">
        <v>319</v>
      </c>
      <c r="CK666" s="284"/>
      <c r="CL666" s="286"/>
      <c r="CM666" s="284"/>
      <c r="CN666" s="287" t="s">
        <v>320</v>
      </c>
      <c r="CO666" s="284">
        <v>6186</v>
      </c>
      <c r="CP666" s="286">
        <v>0.52</v>
      </c>
      <c r="CQ666" s="284"/>
      <c r="CR666" s="282" t="s">
        <v>319</v>
      </c>
      <c r="CS666" s="284"/>
      <c r="CT666" s="286"/>
      <c r="CU666" s="284"/>
      <c r="CV666" s="289" t="s">
        <v>320</v>
      </c>
      <c r="CW666" s="300">
        <v>6186</v>
      </c>
      <c r="CX666" s="308">
        <v>0.52</v>
      </c>
      <c r="CY666" s="300"/>
      <c r="CZ666" s="282" t="s">
        <v>319</v>
      </c>
      <c r="DA666" s="284"/>
      <c r="DB666" s="286"/>
      <c r="DC666" s="284"/>
      <c r="DD666" s="287" t="s">
        <v>319</v>
      </c>
      <c r="DE666" s="284"/>
      <c r="DF666" s="286"/>
      <c r="DG666" s="284"/>
      <c r="DH666" s="282" t="s">
        <v>319</v>
      </c>
      <c r="DI666" s="284"/>
      <c r="DJ666" s="286"/>
      <c r="DK666" s="284"/>
      <c r="DL666" s="282" t="s">
        <v>319</v>
      </c>
      <c r="DM666" s="284"/>
      <c r="DN666" s="286"/>
      <c r="DO666" s="284"/>
      <c r="DP666" s="282" t="s">
        <v>319</v>
      </c>
      <c r="DQ666" s="284"/>
      <c r="DR666" s="286"/>
      <c r="DS666" s="284"/>
      <c r="DT666" s="282" t="s">
        <v>319</v>
      </c>
      <c r="DU666" s="284"/>
      <c r="DV666" s="286"/>
      <c r="DW666" s="284"/>
      <c r="DX666" s="282" t="s">
        <v>319</v>
      </c>
      <c r="DY666" s="284"/>
      <c r="DZ666" s="286"/>
      <c r="EA666" s="284"/>
      <c r="EB666" s="282" t="s">
        <v>319</v>
      </c>
      <c r="EC666" s="284"/>
      <c r="ED666" s="286"/>
      <c r="EE666" s="284"/>
      <c r="EF666" s="285"/>
      <c r="EG666" s="287"/>
      <c r="EH666" s="284"/>
      <c r="EI666" s="286"/>
      <c r="EJ666" s="284"/>
      <c r="EK666" s="284"/>
      <c r="EL666" s="284"/>
      <c r="EM666" s="284"/>
      <c r="EN666" s="284"/>
      <c r="EO666" s="284"/>
      <c r="EP666" s="284"/>
      <c r="EQ666" s="282"/>
      <c r="ER666" s="284"/>
      <c r="ES666" s="286"/>
      <c r="ET666" s="284"/>
      <c r="EU666" s="305"/>
      <c r="EV666" s="300"/>
      <c r="EW666" s="308"/>
      <c r="EX666" s="300"/>
      <c r="EY666" s="282"/>
      <c r="EZ666" s="284"/>
      <c r="FA666" s="286"/>
      <c r="FB666" s="284"/>
      <c r="FC666" s="282"/>
      <c r="FD666" s="284"/>
      <c r="FE666" s="286"/>
      <c r="FF666" s="284"/>
      <c r="FG666" s="282"/>
      <c r="FH666" s="284"/>
      <c r="FI666" s="286"/>
      <c r="FJ666" s="284"/>
      <c r="FK666" s="282"/>
      <c r="FL666" s="284"/>
      <c r="FM666" s="286"/>
      <c r="FN666" s="284"/>
      <c r="FO666" s="305"/>
      <c r="FP666" s="300"/>
      <c r="FQ666" s="308"/>
      <c r="FR666" s="300"/>
      <c r="FS666" s="282"/>
      <c r="FT666" s="284"/>
      <c r="FU666" s="286"/>
      <c r="FV666" s="284"/>
      <c r="FW666" s="282"/>
      <c r="FX666" s="284"/>
      <c r="FY666" s="286"/>
      <c r="FZ666" s="284"/>
      <c r="GA666" s="282"/>
      <c r="GB666" s="284"/>
      <c r="GC666" s="286"/>
      <c r="GD666" s="284"/>
      <c r="GE666" s="282"/>
      <c r="GF666" s="284"/>
      <c r="GG666" s="286"/>
      <c r="GH666" s="284"/>
      <c r="GI666" s="282"/>
      <c r="GJ666" s="284"/>
      <c r="GK666" s="286"/>
      <c r="GL666" s="284"/>
      <c r="GM666" s="282"/>
      <c r="GN666" s="284"/>
      <c r="GO666" s="286"/>
      <c r="GP666" s="284"/>
      <c r="GQ666" s="282"/>
      <c r="GR666" s="284"/>
      <c r="GS666" s="286"/>
      <c r="GT666" s="284"/>
      <c r="GU666" s="282"/>
      <c r="GV666" s="284"/>
      <c r="GW666" s="286"/>
      <c r="GX666" s="284"/>
      <c r="GY666" s="282"/>
      <c r="GZ666" s="284"/>
      <c r="HA666" s="286"/>
      <c r="HB666" s="284"/>
      <c r="HC666" s="282"/>
      <c r="HD666" s="282"/>
      <c r="HE666" s="284"/>
      <c r="HF666" s="286"/>
      <c r="HG666" s="284"/>
      <c r="HH666" s="282" t="s">
        <v>319</v>
      </c>
      <c r="HI666" s="282"/>
      <c r="HJ666" s="282"/>
      <c r="HK666" s="282" t="s">
        <v>319</v>
      </c>
      <c r="HL666" s="282" t="s">
        <v>319</v>
      </c>
      <c r="HM666" s="282"/>
      <c r="HN666" s="282"/>
      <c r="HO666" s="282"/>
      <c r="HP666" s="282" t="s">
        <v>330</v>
      </c>
      <c r="HQ666" s="282" t="s">
        <v>319</v>
      </c>
      <c r="HR666" s="282" t="s">
        <v>320</v>
      </c>
      <c r="HS666" s="282" t="s">
        <v>320</v>
      </c>
      <c r="HT666" s="282" t="s">
        <v>320</v>
      </c>
      <c r="HU666" s="282" t="s">
        <v>319</v>
      </c>
      <c r="HV666" s="282" t="s">
        <v>319</v>
      </c>
      <c r="HW666" s="282" t="s">
        <v>319</v>
      </c>
      <c r="HX666" s="282" t="s">
        <v>319</v>
      </c>
      <c r="HY666" s="282"/>
      <c r="HZ666" s="282" t="s">
        <v>394</v>
      </c>
      <c r="IA666" s="282"/>
      <c r="IB666" s="282" t="s">
        <v>667</v>
      </c>
      <c r="IC666" s="282"/>
      <c r="ID666" s="282" t="s">
        <v>334</v>
      </c>
      <c r="IE666" s="282" t="s">
        <v>335</v>
      </c>
      <c r="IF666" s="282" t="s">
        <v>320</v>
      </c>
      <c r="IG666" s="282" t="s">
        <v>320</v>
      </c>
      <c r="IH666" s="282" t="s">
        <v>320</v>
      </c>
      <c r="II666" s="282" t="s">
        <v>320</v>
      </c>
      <c r="IJ666" s="12" t="str">
        <f t="shared" si="431"/>
        <v>2. Sensitive</v>
      </c>
      <c r="IK666" s="287">
        <f t="shared" si="432"/>
        <v>4</v>
      </c>
      <c r="IL666" s="282" t="s">
        <v>336</v>
      </c>
      <c r="IM666" s="282" t="s">
        <v>320</v>
      </c>
      <c r="IN666" s="282" t="s">
        <v>320</v>
      </c>
      <c r="IO666" s="282" t="s">
        <v>320</v>
      </c>
      <c r="IP666" s="282" t="s">
        <v>320</v>
      </c>
      <c r="IQ666" s="287" t="str">
        <f t="shared" si="433"/>
        <v>2. Accommodating</v>
      </c>
      <c r="IR666" s="287">
        <f t="shared" si="434"/>
        <v>4</v>
      </c>
      <c r="IS666" s="282" t="s">
        <v>337</v>
      </c>
      <c r="IT666" s="282" t="s">
        <v>320</v>
      </c>
      <c r="IU666" s="282"/>
      <c r="IV666" s="282" t="s">
        <v>320</v>
      </c>
      <c r="IW666" s="11" t="str">
        <f t="shared" si="435"/>
        <v>1. Neutral</v>
      </c>
      <c r="IX666" s="287">
        <f t="shared" si="436"/>
        <v>2</v>
      </c>
      <c r="IY666" s="282" t="s">
        <v>419</v>
      </c>
      <c r="IZ666" s="282" t="s">
        <v>432</v>
      </c>
      <c r="JA666" s="282"/>
      <c r="JB666" s="282"/>
      <c r="JC666" s="282"/>
      <c r="JD666" s="282"/>
      <c r="JE666" s="282" t="s">
        <v>420</v>
      </c>
      <c r="JF666" s="282"/>
      <c r="JG666" s="282" t="s">
        <v>6399</v>
      </c>
      <c r="JH666" s="282" t="s">
        <v>10720</v>
      </c>
      <c r="JI666" s="282" t="s">
        <v>11030</v>
      </c>
      <c r="JJ666" s="282" t="s">
        <v>10710</v>
      </c>
      <c r="JK666" s="282" t="s">
        <v>10711</v>
      </c>
      <c r="JL666" s="282" t="s">
        <v>10712</v>
      </c>
      <c r="JM666" s="282" t="s">
        <v>10713</v>
      </c>
      <c r="JN666" s="282"/>
      <c r="JO666" s="282" t="s">
        <v>10825</v>
      </c>
      <c r="JP666" s="15">
        <f t="shared" si="437"/>
        <v>6186</v>
      </c>
      <c r="JQ666" s="15">
        <f t="shared" si="438"/>
        <v>0</v>
      </c>
      <c r="JR666" s="279">
        <f t="shared" si="439"/>
        <v>0</v>
      </c>
      <c r="JS666" s="17">
        <f t="shared" si="440"/>
        <v>0.51551891367604263</v>
      </c>
      <c r="JT666" s="18" t="str">
        <f t="shared" si="441"/>
        <v/>
      </c>
      <c r="JU666" s="280">
        <f t="shared" si="442"/>
        <v>3189</v>
      </c>
      <c r="JV666" s="280">
        <f t="shared" si="443"/>
        <v>0</v>
      </c>
      <c r="JW666" s="319">
        <f t="shared" si="444"/>
        <v>1</v>
      </c>
      <c r="JX666" s="15">
        <f t="shared" si="445"/>
        <v>6186</v>
      </c>
      <c r="JY666" s="15">
        <f t="shared" si="446"/>
        <v>0</v>
      </c>
      <c r="JZ666" s="19">
        <f t="shared" si="447"/>
        <v>0</v>
      </c>
      <c r="KA666" s="52">
        <f t="shared" si="448"/>
        <v>1</v>
      </c>
      <c r="KB666" s="15">
        <f t="shared" si="449"/>
        <v>6186</v>
      </c>
      <c r="KC666" s="15">
        <f t="shared" si="450"/>
        <v>0</v>
      </c>
      <c r="KD666" s="20">
        <f t="shared" si="451"/>
        <v>0</v>
      </c>
      <c r="KE666" s="52" t="str">
        <f t="shared" si="452"/>
        <v/>
      </c>
      <c r="KF666" s="15">
        <f t="shared" si="453"/>
        <v>0</v>
      </c>
      <c r="KG666" s="15">
        <f t="shared" si="454"/>
        <v>0</v>
      </c>
      <c r="KH666" s="21" t="str">
        <f t="shared" si="455"/>
        <v/>
      </c>
      <c r="KI666" s="52" t="str">
        <f t="shared" si="456"/>
        <v/>
      </c>
      <c r="KJ666" s="15">
        <f t="shared" si="457"/>
        <v>0</v>
      </c>
      <c r="KK666" s="15">
        <f t="shared" si="458"/>
        <v>0</v>
      </c>
      <c r="KL666" s="19" t="str">
        <f t="shared" si="459"/>
        <v/>
      </c>
      <c r="KM666" s="52" t="str">
        <f t="shared" si="460"/>
        <v/>
      </c>
      <c r="KN666" s="22">
        <f t="shared" si="461"/>
        <v>0</v>
      </c>
      <c r="KO666" s="22">
        <f t="shared" si="462"/>
        <v>0</v>
      </c>
      <c r="KP666" s="19" t="str">
        <f t="shared" si="463"/>
        <v/>
      </c>
      <c r="KQ666" s="11" t="str">
        <f t="shared" si="464"/>
        <v>2. Sensitive</v>
      </c>
      <c r="KR666" s="11" t="str">
        <f t="shared" si="465"/>
        <v>2. Accommodating</v>
      </c>
      <c r="KS666" s="11" t="str">
        <f t="shared" si="466"/>
        <v>1. Neutral</v>
      </c>
      <c r="KT666" s="11" t="str">
        <f t="shared" si="467"/>
        <v>It tested new ways for fighting poverty, but did not measure results of innovation</v>
      </c>
      <c r="KU666" s="11" t="str">
        <f t="shared" si="468"/>
        <v>Moderate advocacy</v>
      </c>
      <c r="KV666" s="11" t="str">
        <f t="shared" si="469"/>
        <v>It took tested solutions to scale on its own</v>
      </c>
      <c r="KW666" s="11" t="str">
        <f t="shared" si="470"/>
        <v>Somalia - Puntland Drought Response project</v>
      </c>
      <c r="KX666" s="11" t="str">
        <f t="shared" si="471"/>
        <v>Puntland Drought Response project</v>
      </c>
      <c r="KY666" s="11" t="str">
        <f t="shared" si="472"/>
        <v>Somalia</v>
      </c>
      <c r="KZ666" s="12">
        <v>666</v>
      </c>
    </row>
    <row r="667" spans="1:312" x14ac:dyDescent="0.3">
      <c r="A667" s="12" t="s">
        <v>10685</v>
      </c>
      <c r="B667" s="12" t="s">
        <v>1874</v>
      </c>
      <c r="C667" s="12"/>
      <c r="D667" s="12" t="s">
        <v>10722</v>
      </c>
      <c r="E667" s="277" t="str">
        <f t="shared" si="430"/>
        <v>Somalia</v>
      </c>
      <c r="F667" s="12" t="s">
        <v>10723</v>
      </c>
      <c r="G667" s="12" t="s">
        <v>1738</v>
      </c>
      <c r="H667" s="12" t="s">
        <v>310</v>
      </c>
      <c r="I667" s="12" t="s">
        <v>3316</v>
      </c>
      <c r="J667" s="281" t="s">
        <v>14604</v>
      </c>
      <c r="K667" s="12"/>
      <c r="L667" s="12"/>
      <c r="M667" s="12"/>
      <c r="N667" s="12"/>
      <c r="O667" s="12"/>
      <c r="P667" s="12"/>
      <c r="Q667" s="12"/>
      <c r="R667" s="12"/>
      <c r="S667" s="12"/>
      <c r="T667" s="12"/>
      <c r="U667" s="12"/>
      <c r="V667" s="12"/>
      <c r="W667" s="12"/>
      <c r="X667" s="12"/>
      <c r="Y667" s="12"/>
      <c r="Z667" s="12"/>
      <c r="AA667" s="12"/>
      <c r="AB667" s="12"/>
      <c r="AC667" s="12"/>
      <c r="AD667" s="12"/>
      <c r="BD667" s="13">
        <v>42522</v>
      </c>
      <c r="BE667" s="13">
        <v>43616</v>
      </c>
      <c r="BF667" s="12"/>
      <c r="BG667" s="12" t="s">
        <v>908</v>
      </c>
      <c r="BH667" s="14"/>
      <c r="BI667" s="12" t="s">
        <v>10724</v>
      </c>
      <c r="BJ667" s="12" t="s">
        <v>8849</v>
      </c>
      <c r="BK667" s="12" t="s">
        <v>10725</v>
      </c>
      <c r="BL667" s="12" t="s">
        <v>10726</v>
      </c>
      <c r="BM667" s="12" t="s">
        <v>354</v>
      </c>
      <c r="BN667" s="12" t="s">
        <v>10727</v>
      </c>
      <c r="BO667" s="12" t="s">
        <v>320</v>
      </c>
      <c r="BP667" s="12" t="s">
        <v>320</v>
      </c>
      <c r="BQ667" s="12" t="s">
        <v>320</v>
      </c>
      <c r="BR667" s="12" t="s">
        <v>10728</v>
      </c>
      <c r="BS667" s="12" t="s">
        <v>1535</v>
      </c>
      <c r="BT667" s="12" t="s">
        <v>10729</v>
      </c>
      <c r="BU667" s="12" t="s">
        <v>10730</v>
      </c>
      <c r="BV667" s="14">
        <v>27536</v>
      </c>
      <c r="BW667" s="14">
        <v>6884</v>
      </c>
      <c r="BX667" s="14">
        <v>34420</v>
      </c>
      <c r="BY667" s="14">
        <v>8260</v>
      </c>
      <c r="BZ667" s="14">
        <v>2065</v>
      </c>
      <c r="CA667" s="14">
        <v>10325</v>
      </c>
      <c r="CB667" s="12" t="s">
        <v>10731</v>
      </c>
      <c r="CD667" s="14"/>
      <c r="CE667" s="14"/>
      <c r="CF667" s="14"/>
      <c r="CG667" s="14"/>
      <c r="CH667" s="14"/>
      <c r="CI667" s="14"/>
      <c r="CJ667" s="12" t="s">
        <v>319</v>
      </c>
      <c r="CK667" s="14"/>
      <c r="CL667" s="16"/>
      <c r="CM667" s="14"/>
      <c r="CN667" s="12" t="s">
        <v>320</v>
      </c>
      <c r="CO667" s="14">
        <v>600</v>
      </c>
      <c r="CP667" s="16">
        <v>0.9</v>
      </c>
      <c r="CQ667" s="14"/>
      <c r="CR667" s="12" t="s">
        <v>320</v>
      </c>
      <c r="CS667" s="14">
        <v>1900</v>
      </c>
      <c r="CT667" s="16">
        <v>0.01</v>
      </c>
      <c r="CU667" s="14"/>
      <c r="CV667" s="12" t="s">
        <v>320</v>
      </c>
      <c r="CW667" s="14"/>
      <c r="CX667" s="16"/>
      <c r="CY667" s="14"/>
      <c r="CZ667" s="12" t="s">
        <v>319</v>
      </c>
      <c r="DA667" s="14"/>
      <c r="DB667" s="16"/>
      <c r="DC667" s="14"/>
      <c r="DD667" s="12" t="s">
        <v>319</v>
      </c>
      <c r="DE667" s="14"/>
      <c r="DF667" s="16"/>
      <c r="DG667" s="14"/>
      <c r="DH667" s="12" t="s">
        <v>319</v>
      </c>
      <c r="DI667" s="14"/>
      <c r="DJ667" s="16"/>
      <c r="DK667" s="14"/>
      <c r="DL667" s="12" t="s">
        <v>320</v>
      </c>
      <c r="DM667" s="14"/>
      <c r="DN667" s="16"/>
      <c r="DO667" s="14"/>
      <c r="DP667" s="12" t="s">
        <v>319</v>
      </c>
      <c r="DQ667" s="14"/>
      <c r="DR667" s="16"/>
      <c r="DS667" s="14"/>
      <c r="DT667" s="12" t="s">
        <v>319</v>
      </c>
      <c r="DU667" s="14"/>
      <c r="DV667" s="16"/>
      <c r="DW667" s="14"/>
      <c r="DX667" s="12" t="s">
        <v>319</v>
      </c>
      <c r="DY667" s="14"/>
      <c r="DZ667" s="16"/>
      <c r="EA667" s="14"/>
      <c r="EB667" s="12" t="s">
        <v>320</v>
      </c>
      <c r="EC667" s="14"/>
      <c r="ED667" s="16"/>
      <c r="EE667" s="14"/>
      <c r="EF667" s="12" t="s">
        <v>8416</v>
      </c>
      <c r="EG667" s="12" t="s">
        <v>320</v>
      </c>
      <c r="EH667" s="14"/>
      <c r="EI667" s="16"/>
      <c r="EJ667" s="14"/>
      <c r="EK667" s="14">
        <v>27536</v>
      </c>
      <c r="EL667" s="14">
        <v>6884</v>
      </c>
      <c r="EM667" s="14">
        <v>34420</v>
      </c>
      <c r="EN667" s="14">
        <v>8260</v>
      </c>
      <c r="EO667" s="14">
        <v>2065</v>
      </c>
      <c r="EP667" s="14">
        <v>10325</v>
      </c>
      <c r="EQ667" s="12" t="s">
        <v>319</v>
      </c>
      <c r="ER667" s="14"/>
      <c r="ES667" s="16"/>
      <c r="ET667" s="14"/>
      <c r="EU667" s="11" t="s">
        <v>320</v>
      </c>
      <c r="EV667" s="14">
        <v>34420</v>
      </c>
      <c r="EW667" s="16">
        <v>0.8</v>
      </c>
      <c r="EX667" s="14">
        <v>10325</v>
      </c>
      <c r="EY667" s="12" t="s">
        <v>320</v>
      </c>
      <c r="EZ667" s="14"/>
      <c r="FA667" s="16"/>
      <c r="FB667" s="14"/>
      <c r="FC667" s="12" t="s">
        <v>320</v>
      </c>
      <c r="FD667" s="14"/>
      <c r="FE667" s="16"/>
      <c r="FF667" s="14"/>
      <c r="FG667" s="12" t="s">
        <v>320</v>
      </c>
      <c r="FH667" s="14"/>
      <c r="FI667" s="16"/>
      <c r="FJ667" s="14"/>
      <c r="FK667" s="12" t="s">
        <v>319</v>
      </c>
      <c r="FL667" s="14"/>
      <c r="FM667" s="16"/>
      <c r="FN667" s="14"/>
      <c r="FO667" s="12" t="s">
        <v>319</v>
      </c>
      <c r="FP667" s="14"/>
      <c r="FQ667" s="16"/>
      <c r="FR667" s="14"/>
      <c r="FS667" s="12" t="s">
        <v>319</v>
      </c>
      <c r="FT667" s="14"/>
      <c r="FU667" s="16"/>
      <c r="FV667" s="14"/>
      <c r="FW667" s="12" t="s">
        <v>320</v>
      </c>
      <c r="FX667" s="14"/>
      <c r="FY667" s="16"/>
      <c r="FZ667" s="14"/>
      <c r="GA667" s="12" t="s">
        <v>319</v>
      </c>
      <c r="GB667" s="14"/>
      <c r="GC667" s="16"/>
      <c r="GD667" s="14"/>
      <c r="GE667" s="11" t="s">
        <v>320</v>
      </c>
      <c r="GF667" s="14"/>
      <c r="GG667" s="16"/>
      <c r="GH667" s="14"/>
      <c r="GI667" s="12" t="s">
        <v>320</v>
      </c>
      <c r="GJ667" s="14"/>
      <c r="GK667" s="16"/>
      <c r="GL667" s="14"/>
      <c r="GM667" s="12" t="s">
        <v>320</v>
      </c>
      <c r="GN667" s="14"/>
      <c r="GO667" s="16"/>
      <c r="GP667" s="14"/>
      <c r="GQ667" s="12" t="s">
        <v>319</v>
      </c>
      <c r="GR667" s="14"/>
      <c r="GS667" s="16"/>
      <c r="GT667" s="14"/>
      <c r="GU667" s="12" t="s">
        <v>319</v>
      </c>
      <c r="GV667" s="14"/>
      <c r="GW667" s="16"/>
      <c r="GX667" s="14"/>
      <c r="GY667" s="12" t="s">
        <v>319</v>
      </c>
      <c r="GZ667" s="14"/>
      <c r="HA667" s="16"/>
      <c r="HB667" s="14"/>
      <c r="HC667" s="12"/>
      <c r="HD667" s="12"/>
      <c r="HE667" s="14"/>
      <c r="HF667" s="16"/>
      <c r="HG667" s="14"/>
      <c r="HH667" s="12" t="s">
        <v>320</v>
      </c>
      <c r="HI667" s="12" t="s">
        <v>560</v>
      </c>
      <c r="HJ667" s="12"/>
      <c r="HK667" s="12" t="s">
        <v>319</v>
      </c>
      <c r="HL667" s="12" t="s">
        <v>319</v>
      </c>
      <c r="HM667" s="12"/>
      <c r="HN667" s="12"/>
      <c r="HO667" s="12"/>
      <c r="HP667" s="12" t="s">
        <v>330</v>
      </c>
      <c r="HQ667" s="12" t="s">
        <v>319</v>
      </c>
      <c r="HR667" s="12" t="s">
        <v>320</v>
      </c>
      <c r="HS667" s="12" t="s">
        <v>320</v>
      </c>
      <c r="HT667" s="12" t="s">
        <v>320</v>
      </c>
      <c r="HU667" s="12" t="s">
        <v>320</v>
      </c>
      <c r="HV667" s="12" t="s">
        <v>319</v>
      </c>
      <c r="HW667" s="12" t="s">
        <v>319</v>
      </c>
      <c r="HX667" s="12"/>
      <c r="HY667" s="12"/>
      <c r="HZ667" s="12" t="s">
        <v>363</v>
      </c>
      <c r="IA667" s="12"/>
      <c r="IB667" s="12" t="s">
        <v>396</v>
      </c>
      <c r="IC667" s="12"/>
      <c r="ID667" s="12" t="s">
        <v>364</v>
      </c>
      <c r="IE667" s="12" t="s">
        <v>335</v>
      </c>
      <c r="IF667" s="12" t="s">
        <v>320</v>
      </c>
      <c r="IG667" s="12" t="s">
        <v>320</v>
      </c>
      <c r="IH667" s="12" t="s">
        <v>320</v>
      </c>
      <c r="II667" s="12" t="s">
        <v>320</v>
      </c>
      <c r="IJ667" s="12" t="str">
        <f t="shared" si="431"/>
        <v>2. Sensitive</v>
      </c>
      <c r="IK667" s="12">
        <f t="shared" si="432"/>
        <v>4</v>
      </c>
      <c r="IL667" s="12" t="s">
        <v>336</v>
      </c>
      <c r="IM667" s="12" t="s">
        <v>320</v>
      </c>
      <c r="IN667" s="12" t="s">
        <v>320</v>
      </c>
      <c r="IO667" s="12" t="s">
        <v>320</v>
      </c>
      <c r="IP667" s="12" t="s">
        <v>320</v>
      </c>
      <c r="IQ667" s="12" t="str">
        <f t="shared" si="433"/>
        <v>2. Accommodating</v>
      </c>
      <c r="IR667" s="12">
        <f t="shared" si="434"/>
        <v>4</v>
      </c>
      <c r="IS667" s="12" t="s">
        <v>337</v>
      </c>
      <c r="IT667" s="12" t="s">
        <v>320</v>
      </c>
      <c r="IU667" s="12" t="s">
        <v>320</v>
      </c>
      <c r="IV667" s="12" t="s">
        <v>320</v>
      </c>
      <c r="IW667" s="11" t="str">
        <f t="shared" si="435"/>
        <v>2. Sensitive</v>
      </c>
      <c r="IX667" s="12">
        <f t="shared" si="436"/>
        <v>3</v>
      </c>
      <c r="IY667" s="12" t="s">
        <v>419</v>
      </c>
      <c r="IZ667" s="12" t="s">
        <v>339</v>
      </c>
      <c r="JA667" s="12"/>
      <c r="JB667" s="12"/>
      <c r="JC667" s="12"/>
      <c r="JD667" s="12"/>
      <c r="JE667" s="12" t="s">
        <v>340</v>
      </c>
      <c r="JF667" s="12" t="s">
        <v>10732</v>
      </c>
      <c r="JG667" s="12" t="s">
        <v>6286</v>
      </c>
      <c r="JH667" s="12" t="s">
        <v>10733</v>
      </c>
      <c r="JI667" s="12" t="s">
        <v>10734</v>
      </c>
      <c r="JJ667" s="12" t="s">
        <v>10735</v>
      </c>
      <c r="JK667" s="12" t="s">
        <v>10736</v>
      </c>
      <c r="JL667" s="12" t="s">
        <v>10737</v>
      </c>
      <c r="JM667" s="12" t="s">
        <v>10738</v>
      </c>
      <c r="JN667" s="12"/>
      <c r="JO667" s="12"/>
      <c r="JP667" s="15">
        <f t="shared" si="437"/>
        <v>34420</v>
      </c>
      <c r="JQ667" s="15">
        <f t="shared" si="438"/>
        <v>10325</v>
      </c>
      <c r="JR667" s="279">
        <f t="shared" si="439"/>
        <v>0.29997094712376526</v>
      </c>
      <c r="JS667" s="17">
        <f t="shared" si="440"/>
        <v>0.8</v>
      </c>
      <c r="JT667" s="18">
        <f t="shared" si="441"/>
        <v>0.8</v>
      </c>
      <c r="JU667" s="280">
        <f t="shared" si="442"/>
        <v>27536</v>
      </c>
      <c r="JV667" s="280">
        <f t="shared" si="443"/>
        <v>8260</v>
      </c>
      <c r="JW667" s="319">
        <f t="shared" si="444"/>
        <v>1</v>
      </c>
      <c r="JX667" s="15">
        <f t="shared" si="445"/>
        <v>0</v>
      </c>
      <c r="JY667" s="15">
        <f t="shared" si="446"/>
        <v>0</v>
      </c>
      <c r="JZ667" s="19" t="str">
        <f t="shared" si="447"/>
        <v/>
      </c>
      <c r="KA667" s="52">
        <f t="shared" si="448"/>
        <v>1</v>
      </c>
      <c r="KB667" s="15">
        <f t="shared" si="449"/>
        <v>34420</v>
      </c>
      <c r="KC667" s="15">
        <f t="shared" si="450"/>
        <v>10325</v>
      </c>
      <c r="KD667" s="20">
        <f t="shared" si="451"/>
        <v>0.29997094712376526</v>
      </c>
      <c r="KE667" s="52" t="str">
        <f t="shared" si="452"/>
        <v/>
      </c>
      <c r="KF667" s="15">
        <f t="shared" si="453"/>
        <v>0</v>
      </c>
      <c r="KG667" s="15">
        <f t="shared" si="454"/>
        <v>0</v>
      </c>
      <c r="KH667" s="21" t="str">
        <f t="shared" si="455"/>
        <v/>
      </c>
      <c r="KI667" s="52" t="str">
        <f t="shared" si="456"/>
        <v/>
      </c>
      <c r="KJ667" s="15">
        <f t="shared" si="457"/>
        <v>0</v>
      </c>
      <c r="KK667" s="15">
        <f t="shared" si="458"/>
        <v>0</v>
      </c>
      <c r="KL667" s="19" t="str">
        <f t="shared" si="459"/>
        <v/>
      </c>
      <c r="KM667" s="52">
        <f t="shared" si="460"/>
        <v>1</v>
      </c>
      <c r="KN667" s="22">
        <f t="shared" si="461"/>
        <v>0</v>
      </c>
      <c r="KO667" s="22">
        <f t="shared" si="462"/>
        <v>0</v>
      </c>
      <c r="KP667" s="19" t="str">
        <f t="shared" si="463"/>
        <v/>
      </c>
      <c r="KQ667" s="11" t="str">
        <f t="shared" si="464"/>
        <v>2. Sensitive</v>
      </c>
      <c r="KR667" s="11" t="str">
        <f t="shared" si="465"/>
        <v>2. Accommodating</v>
      </c>
      <c r="KS667" s="11" t="str">
        <f t="shared" si="466"/>
        <v>2. Sensitive</v>
      </c>
      <c r="KT667" s="11" t="str">
        <f t="shared" si="467"/>
        <v>It did not develop any specific innovation</v>
      </c>
      <c r="KU667" s="11" t="str">
        <f t="shared" si="468"/>
        <v>Moderate advocacy</v>
      </c>
      <c r="KV667" s="11" t="str">
        <f t="shared" si="469"/>
        <v>It linked and worked with strategic alliances and partners to take tested and effective solutions to scale</v>
      </c>
      <c r="KW667" s="11" t="str">
        <f t="shared" si="470"/>
        <v>Somalia - Resilience  Returnee Integraton (RRI)</v>
      </c>
      <c r="KX667" s="11" t="str">
        <f t="shared" si="471"/>
        <v>Resilience  Returnee Integraton (RRI)</v>
      </c>
      <c r="KY667" s="11" t="str">
        <f t="shared" si="472"/>
        <v>Somalia</v>
      </c>
      <c r="KZ667" s="12">
        <v>667</v>
      </c>
    </row>
    <row r="668" spans="1:312" x14ac:dyDescent="0.3">
      <c r="A668" s="12" t="s">
        <v>10685</v>
      </c>
      <c r="B668" s="12" t="s">
        <v>1874</v>
      </c>
      <c r="C668" s="12">
        <v>3330</v>
      </c>
      <c r="D668" s="12" t="s">
        <v>10814</v>
      </c>
      <c r="E668" s="277" t="str">
        <f t="shared" si="430"/>
        <v>Somalia</v>
      </c>
      <c r="F668" s="12" t="s">
        <v>10815</v>
      </c>
      <c r="G668" s="12" t="s">
        <v>425</v>
      </c>
      <c r="H668" s="12" t="s">
        <v>380</v>
      </c>
      <c r="I668" s="12" t="s">
        <v>426</v>
      </c>
      <c r="J668" s="278" t="s">
        <v>14563</v>
      </c>
      <c r="K668" s="12"/>
      <c r="L668" s="12"/>
      <c r="M668" s="12"/>
      <c r="N668" s="12"/>
      <c r="O668" s="12"/>
      <c r="P668" s="12"/>
      <c r="Q668" s="12"/>
      <c r="R668" s="12"/>
      <c r="S668" s="12"/>
      <c r="T668" s="12"/>
      <c r="U668" s="12"/>
      <c r="V668" s="12"/>
      <c r="W668" s="12"/>
      <c r="X668" s="12"/>
      <c r="Y668" s="12"/>
      <c r="Z668" s="12"/>
      <c r="AA668" s="12"/>
      <c r="AB668" s="12"/>
      <c r="AC668" s="12"/>
      <c r="AD668" s="12"/>
      <c r="BD668" s="13">
        <v>41277</v>
      </c>
      <c r="BE668" s="13">
        <v>42735</v>
      </c>
      <c r="BF668" s="12"/>
      <c r="BG668" s="12" t="s">
        <v>817</v>
      </c>
      <c r="BH668" s="14">
        <v>1649568</v>
      </c>
      <c r="BI668" s="12" t="s">
        <v>10699</v>
      </c>
      <c r="BJ668" s="12" t="s">
        <v>10700</v>
      </c>
      <c r="BK668" s="12" t="s">
        <v>10701</v>
      </c>
      <c r="BL668" s="12" t="s">
        <v>10702</v>
      </c>
      <c r="BM668" s="12" t="s">
        <v>10703</v>
      </c>
      <c r="BN668" s="12" t="s">
        <v>10704</v>
      </c>
      <c r="BO668" s="12" t="s">
        <v>320</v>
      </c>
      <c r="BP668" s="12" t="s">
        <v>319</v>
      </c>
      <c r="BQ668" s="12" t="s">
        <v>319</v>
      </c>
      <c r="BR668" s="12" t="s">
        <v>10816</v>
      </c>
      <c r="BS668" s="12" t="s">
        <v>322</v>
      </c>
      <c r="BT668" s="12" t="s">
        <v>10817</v>
      </c>
      <c r="BU668" s="12" t="s">
        <v>10818</v>
      </c>
      <c r="BV668" s="14">
        <v>17800</v>
      </c>
      <c r="BW668" s="14">
        <v>12765</v>
      </c>
      <c r="BX668" s="14">
        <v>30565</v>
      </c>
      <c r="BY668" s="14"/>
      <c r="BZ668" s="14"/>
      <c r="CA668" s="14"/>
      <c r="CB668" s="12" t="s">
        <v>10819</v>
      </c>
      <c r="CD668" s="14">
        <v>17800</v>
      </c>
      <c r="CE668" s="14">
        <v>12765</v>
      </c>
      <c r="CF668" s="14">
        <v>30565</v>
      </c>
      <c r="CG668" s="14"/>
      <c r="CH668" s="14"/>
      <c r="CI668" s="14"/>
      <c r="CJ668" s="12" t="s">
        <v>319</v>
      </c>
      <c r="CK668" s="14"/>
      <c r="CL668" s="16"/>
      <c r="CM668" s="14"/>
      <c r="CN668" s="12" t="s">
        <v>319</v>
      </c>
      <c r="CO668" s="14"/>
      <c r="CP668" s="16"/>
      <c r="CQ668" s="14"/>
      <c r="CR668" s="12" t="s">
        <v>319</v>
      </c>
      <c r="CS668" s="14"/>
      <c r="CT668" s="16"/>
      <c r="CU668" s="14"/>
      <c r="CV668" s="12" t="s">
        <v>320</v>
      </c>
      <c r="CW668" s="14">
        <v>9870</v>
      </c>
      <c r="CX668" s="16">
        <v>0.49</v>
      </c>
      <c r="CY668" s="14"/>
      <c r="CZ668" s="12" t="s">
        <v>319</v>
      </c>
      <c r="DA668" s="14"/>
      <c r="DB668" s="16"/>
      <c r="DC668" s="14"/>
      <c r="DD668" s="12" t="s">
        <v>319</v>
      </c>
      <c r="DE668" s="14"/>
      <c r="DF668" s="16"/>
      <c r="DG668" s="14"/>
      <c r="DH668" s="12" t="s">
        <v>319</v>
      </c>
      <c r="DI668" s="14"/>
      <c r="DJ668" s="16"/>
      <c r="DK668" s="14"/>
      <c r="DL668" s="11" t="s">
        <v>320</v>
      </c>
      <c r="DM668" s="14">
        <v>4210</v>
      </c>
      <c r="DN668" s="16">
        <v>0.8</v>
      </c>
      <c r="DO668" s="14"/>
      <c r="DP668" s="12" t="s">
        <v>319</v>
      </c>
      <c r="DQ668" s="14"/>
      <c r="DR668" s="16"/>
      <c r="DS668" s="14"/>
      <c r="DT668" s="12" t="s">
        <v>319</v>
      </c>
      <c r="DU668" s="14"/>
      <c r="DV668" s="16"/>
      <c r="DW668" s="14"/>
      <c r="DX668" s="12" t="s">
        <v>319</v>
      </c>
      <c r="DY668" s="14"/>
      <c r="DZ668" s="16"/>
      <c r="EA668" s="14"/>
      <c r="EB668" s="11" t="s">
        <v>320</v>
      </c>
      <c r="EC668" s="14">
        <v>5680</v>
      </c>
      <c r="ED668" s="16">
        <v>0.49</v>
      </c>
      <c r="EE668" s="14"/>
      <c r="EF668" s="12" t="s">
        <v>10820</v>
      </c>
      <c r="EG668" s="12" t="s">
        <v>320</v>
      </c>
      <c r="EH668" s="14">
        <v>10805</v>
      </c>
      <c r="EI668" s="16">
        <v>0.7</v>
      </c>
      <c r="EJ668" s="14"/>
      <c r="EK668" s="14"/>
      <c r="EL668" s="14"/>
      <c r="EM668" s="14"/>
      <c r="EN668" s="14"/>
      <c r="EO668" s="14"/>
      <c r="EP668" s="14"/>
      <c r="EQ668" s="12"/>
      <c r="ER668" s="14"/>
      <c r="ES668" s="16"/>
      <c r="ET668" s="14"/>
      <c r="EU668" s="12"/>
      <c r="EV668" s="14"/>
      <c r="EW668" s="16"/>
      <c r="EX668" s="14"/>
      <c r="EY668" s="12"/>
      <c r="EZ668" s="14"/>
      <c r="FA668" s="16"/>
      <c r="FB668" s="14"/>
      <c r="FC668" s="12"/>
      <c r="FD668" s="14"/>
      <c r="FE668" s="16"/>
      <c r="FF668" s="14"/>
      <c r="FG668" s="12"/>
      <c r="FH668" s="14"/>
      <c r="FI668" s="16"/>
      <c r="FJ668" s="14"/>
      <c r="FK668" s="12"/>
      <c r="FL668" s="14"/>
      <c r="FM668" s="16"/>
      <c r="FN668" s="14"/>
      <c r="FO668" s="12"/>
      <c r="FP668" s="14"/>
      <c r="FQ668" s="16"/>
      <c r="FR668" s="14"/>
      <c r="FS668" s="12"/>
      <c r="FT668" s="14"/>
      <c r="FU668" s="16"/>
      <c r="FV668" s="14"/>
      <c r="FW668" s="12"/>
      <c r="FX668" s="14"/>
      <c r="FY668" s="16"/>
      <c r="FZ668" s="14"/>
      <c r="GA668" s="12"/>
      <c r="GB668" s="14"/>
      <c r="GC668" s="16"/>
      <c r="GD668" s="14"/>
      <c r="GE668" s="12"/>
      <c r="GF668" s="14"/>
      <c r="GG668" s="16"/>
      <c r="GH668" s="14"/>
      <c r="GI668" s="12"/>
      <c r="GJ668" s="14"/>
      <c r="GK668" s="16"/>
      <c r="GL668" s="14"/>
      <c r="GM668" s="12"/>
      <c r="GN668" s="14"/>
      <c r="GO668" s="16"/>
      <c r="GP668" s="14"/>
      <c r="GQ668" s="12"/>
      <c r="GR668" s="14"/>
      <c r="GS668" s="16"/>
      <c r="GT668" s="14"/>
      <c r="GU668" s="12"/>
      <c r="GV668" s="14"/>
      <c r="GW668" s="16"/>
      <c r="GX668" s="14"/>
      <c r="GY668" s="12"/>
      <c r="GZ668" s="14"/>
      <c r="HA668" s="16"/>
      <c r="HB668" s="14"/>
      <c r="HC668" s="12"/>
      <c r="HD668" s="12"/>
      <c r="HE668" s="14"/>
      <c r="HF668" s="16"/>
      <c r="HG668" s="14"/>
      <c r="HH668" s="12" t="s">
        <v>320</v>
      </c>
      <c r="HI668" s="12"/>
      <c r="HJ668" s="12"/>
      <c r="HK668" s="12" t="s">
        <v>319</v>
      </c>
      <c r="HL668" s="12" t="s">
        <v>319</v>
      </c>
      <c r="HM668" s="12"/>
      <c r="HN668" s="12"/>
      <c r="HO668" s="12"/>
      <c r="HP668" s="12" t="s">
        <v>330</v>
      </c>
      <c r="HQ668" s="12" t="s">
        <v>319</v>
      </c>
      <c r="HR668" s="12" t="s">
        <v>320</v>
      </c>
      <c r="HS668" s="12" t="s">
        <v>320</v>
      </c>
      <c r="HT668" s="12" t="s">
        <v>320</v>
      </c>
      <c r="HU668" s="12" t="s">
        <v>319</v>
      </c>
      <c r="HV668" s="12" t="s">
        <v>319</v>
      </c>
      <c r="HW668" s="12" t="s">
        <v>319</v>
      </c>
      <c r="HX668" s="12" t="s">
        <v>319</v>
      </c>
      <c r="HY668" s="12"/>
      <c r="HZ668" s="12" t="s">
        <v>363</v>
      </c>
      <c r="IA668" s="12"/>
      <c r="IB668" s="12" t="s">
        <v>667</v>
      </c>
      <c r="IC668" s="12"/>
      <c r="ID668" s="12" t="s">
        <v>334</v>
      </c>
      <c r="IE668" s="12" t="s">
        <v>335</v>
      </c>
      <c r="IF668" s="12" t="s">
        <v>320</v>
      </c>
      <c r="IG668" s="12" t="s">
        <v>320</v>
      </c>
      <c r="IH668" s="12" t="s">
        <v>320</v>
      </c>
      <c r="II668" s="12" t="s">
        <v>320</v>
      </c>
      <c r="IJ668" s="12" t="str">
        <f t="shared" si="431"/>
        <v>2. Sensitive</v>
      </c>
      <c r="IK668" s="12">
        <f t="shared" si="432"/>
        <v>4</v>
      </c>
      <c r="IL668" s="12" t="s">
        <v>336</v>
      </c>
      <c r="IM668" s="12" t="s">
        <v>320</v>
      </c>
      <c r="IN668" s="12" t="s">
        <v>320</v>
      </c>
      <c r="IO668" s="12" t="s">
        <v>320</v>
      </c>
      <c r="IP668" s="12" t="s">
        <v>320</v>
      </c>
      <c r="IQ668" s="12" t="str">
        <f t="shared" si="433"/>
        <v>2. Accommodating</v>
      </c>
      <c r="IR668" s="12">
        <f t="shared" si="434"/>
        <v>4</v>
      </c>
      <c r="IS668" s="12" t="s">
        <v>337</v>
      </c>
      <c r="IT668" s="12" t="s">
        <v>320</v>
      </c>
      <c r="IU668" s="12"/>
      <c r="IV668" s="12" t="s">
        <v>320</v>
      </c>
      <c r="IW668" s="11" t="str">
        <f t="shared" si="435"/>
        <v>1. Neutral</v>
      </c>
      <c r="IX668" s="12">
        <f t="shared" si="436"/>
        <v>2</v>
      </c>
      <c r="IY668" s="12" t="s">
        <v>419</v>
      </c>
      <c r="IZ668" s="12" t="s">
        <v>432</v>
      </c>
      <c r="JA668" s="12">
        <v>1</v>
      </c>
      <c r="JB668" s="12" t="s">
        <v>433</v>
      </c>
      <c r="JC668" s="12"/>
      <c r="JD668" s="12"/>
      <c r="JE668" s="12" t="s">
        <v>420</v>
      </c>
      <c r="JF668" s="12"/>
      <c r="JG668" s="12" t="s">
        <v>6399</v>
      </c>
      <c r="JH668" s="12" t="s">
        <v>10821</v>
      </c>
      <c r="JI668" s="12" t="s">
        <v>10822</v>
      </c>
      <c r="JJ668" s="12"/>
      <c r="JK668" s="12" t="s">
        <v>10823</v>
      </c>
      <c r="JL668" s="12" t="s">
        <v>10824</v>
      </c>
      <c r="JM668" s="12"/>
      <c r="JN668" s="12"/>
      <c r="JO668" s="12" t="s">
        <v>10825</v>
      </c>
      <c r="JP668" s="15">
        <f t="shared" si="437"/>
        <v>30565</v>
      </c>
      <c r="JQ668" s="15">
        <f t="shared" si="438"/>
        <v>0</v>
      </c>
      <c r="JR668" s="279">
        <f t="shared" si="439"/>
        <v>0</v>
      </c>
      <c r="JS668" s="17">
        <f t="shared" si="440"/>
        <v>0.58236545067888112</v>
      </c>
      <c r="JT668" s="18" t="str">
        <f t="shared" si="441"/>
        <v/>
      </c>
      <c r="JU668" s="280">
        <f t="shared" si="442"/>
        <v>17800</v>
      </c>
      <c r="JV668" s="280">
        <f t="shared" si="443"/>
        <v>0</v>
      </c>
      <c r="JW668" s="319">
        <f t="shared" si="444"/>
        <v>1</v>
      </c>
      <c r="JX668" s="15">
        <f t="shared" si="445"/>
        <v>30565</v>
      </c>
      <c r="JY668" s="15">
        <f t="shared" si="446"/>
        <v>0</v>
      </c>
      <c r="JZ668" s="19">
        <f t="shared" si="447"/>
        <v>0</v>
      </c>
      <c r="KA668" s="52">
        <f t="shared" si="448"/>
        <v>1</v>
      </c>
      <c r="KB668" s="15">
        <f t="shared" si="449"/>
        <v>9870</v>
      </c>
      <c r="KC668" s="15">
        <f t="shared" si="450"/>
        <v>0</v>
      </c>
      <c r="KD668" s="20">
        <f t="shared" si="451"/>
        <v>0</v>
      </c>
      <c r="KE668" s="52" t="str">
        <f t="shared" si="452"/>
        <v/>
      </c>
      <c r="KF668" s="15">
        <f t="shared" si="453"/>
        <v>0</v>
      </c>
      <c r="KG668" s="15">
        <f t="shared" si="454"/>
        <v>0</v>
      </c>
      <c r="KH668" s="21" t="str">
        <f t="shared" si="455"/>
        <v/>
      </c>
      <c r="KI668" s="52" t="str">
        <f t="shared" si="456"/>
        <v/>
      </c>
      <c r="KJ668" s="15">
        <f t="shared" si="457"/>
        <v>0</v>
      </c>
      <c r="KK668" s="15">
        <f t="shared" si="458"/>
        <v>0</v>
      </c>
      <c r="KL668" s="19" t="str">
        <f t="shared" si="459"/>
        <v/>
      </c>
      <c r="KM668" s="52" t="str">
        <f t="shared" si="460"/>
        <v/>
      </c>
      <c r="KN668" s="22">
        <f t="shared" si="461"/>
        <v>0</v>
      </c>
      <c r="KO668" s="22">
        <f t="shared" si="462"/>
        <v>0</v>
      </c>
      <c r="KP668" s="19" t="str">
        <f t="shared" si="463"/>
        <v/>
      </c>
      <c r="KQ668" s="11" t="str">
        <f t="shared" si="464"/>
        <v>2. Sensitive</v>
      </c>
      <c r="KR668" s="11" t="str">
        <f t="shared" si="465"/>
        <v>2. Accommodating</v>
      </c>
      <c r="KS668" s="11" t="str">
        <f t="shared" si="466"/>
        <v>1. Neutral</v>
      </c>
      <c r="KT668" s="11" t="str">
        <f t="shared" si="467"/>
        <v>It did not develop any specific innovation</v>
      </c>
      <c r="KU668" s="11" t="str">
        <f t="shared" si="468"/>
        <v>Moderate advocacy</v>
      </c>
      <c r="KV668" s="11" t="str">
        <f t="shared" si="469"/>
        <v>It took tested solutions to scale on its own</v>
      </c>
      <c r="KW668" s="11" t="str">
        <f t="shared" si="470"/>
        <v>Somalia - Resilience in the Horn</v>
      </c>
      <c r="KX668" s="11" t="str">
        <f t="shared" si="471"/>
        <v>Resilience in the Horn</v>
      </c>
      <c r="KY668" s="11" t="str">
        <f t="shared" si="472"/>
        <v>Somalia</v>
      </c>
      <c r="KZ668" s="12">
        <v>668</v>
      </c>
    </row>
    <row r="669" spans="1:312" x14ac:dyDescent="0.3">
      <c r="A669" s="12" t="s">
        <v>10685</v>
      </c>
      <c r="B669" s="12" t="s">
        <v>1874</v>
      </c>
      <c r="C669" s="12">
        <v>3348</v>
      </c>
      <c r="D669" s="12" t="s">
        <v>10686</v>
      </c>
      <c r="E669" s="277" t="str">
        <f t="shared" si="430"/>
        <v>Somalia</v>
      </c>
      <c r="F669" s="12" t="s">
        <v>10687</v>
      </c>
      <c r="G669" s="12" t="s">
        <v>379</v>
      </c>
      <c r="H669" s="12" t="s">
        <v>310</v>
      </c>
      <c r="I669" s="12" t="s">
        <v>655</v>
      </c>
      <c r="J669" s="281" t="s">
        <v>4991</v>
      </c>
      <c r="K669" s="12"/>
      <c r="L669" s="12"/>
      <c r="M669" s="12"/>
      <c r="N669" s="12"/>
      <c r="O669" s="12"/>
      <c r="P669" s="12"/>
      <c r="Q669" s="12"/>
      <c r="R669" s="12"/>
      <c r="S669" s="12"/>
      <c r="T669" s="12"/>
      <c r="U669" s="12"/>
      <c r="V669" s="12"/>
      <c r="W669" s="12"/>
      <c r="X669" s="12"/>
      <c r="Y669" s="12"/>
      <c r="Z669" s="12"/>
      <c r="AA669" s="12"/>
      <c r="AB669" s="12"/>
      <c r="AC669" s="12"/>
      <c r="AD669" s="12"/>
      <c r="BD669" s="13">
        <v>40816</v>
      </c>
      <c r="BE669" s="12"/>
      <c r="BF669" s="12"/>
      <c r="BG669" s="12" t="s">
        <v>312</v>
      </c>
      <c r="BH669" s="14">
        <v>8341819</v>
      </c>
      <c r="BI669" s="12" t="s">
        <v>10688</v>
      </c>
      <c r="BJ669" s="12" t="s">
        <v>10689</v>
      </c>
      <c r="BK669" s="12" t="s">
        <v>10690</v>
      </c>
      <c r="BL669" s="12"/>
      <c r="BM669" s="12"/>
      <c r="BN669" s="12"/>
      <c r="BO669" s="12" t="s">
        <v>319</v>
      </c>
      <c r="BP669" s="12" t="s">
        <v>320</v>
      </c>
      <c r="BQ669" s="12" t="s">
        <v>319</v>
      </c>
      <c r="BR669" s="12" t="s">
        <v>10691</v>
      </c>
      <c r="BS669" s="12" t="s">
        <v>322</v>
      </c>
      <c r="BT669" s="12" t="s">
        <v>10692</v>
      </c>
      <c r="BU669" s="12" t="s">
        <v>10693</v>
      </c>
      <c r="BV669" s="14">
        <v>3006</v>
      </c>
      <c r="BW669" s="14">
        <v>4025</v>
      </c>
      <c r="BX669" s="14">
        <v>7301</v>
      </c>
      <c r="BY669" s="14"/>
      <c r="BZ669" s="14"/>
      <c r="CA669" s="14"/>
      <c r="CB669" s="12"/>
      <c r="CD669" s="14"/>
      <c r="CE669" s="14"/>
      <c r="CF669" s="14"/>
      <c r="CG669" s="14"/>
      <c r="CH669" s="14"/>
      <c r="CI669" s="14"/>
      <c r="CJ669" s="12"/>
      <c r="CK669" s="14"/>
      <c r="CL669" s="16"/>
      <c r="CM669" s="14"/>
      <c r="CN669" s="12"/>
      <c r="CO669" s="14"/>
      <c r="CP669" s="16"/>
      <c r="CQ669" s="14"/>
      <c r="CR669" s="12"/>
      <c r="CS669" s="14"/>
      <c r="CT669" s="16"/>
      <c r="CU669" s="14"/>
      <c r="CV669" s="12"/>
      <c r="CW669" s="14"/>
      <c r="CX669" s="16"/>
      <c r="CY669" s="14"/>
      <c r="CZ669" s="12"/>
      <c r="DA669" s="14"/>
      <c r="DB669" s="16"/>
      <c r="DC669" s="14"/>
      <c r="DD669" s="12"/>
      <c r="DE669" s="14"/>
      <c r="DF669" s="16"/>
      <c r="DG669" s="14"/>
      <c r="DH669" s="12"/>
      <c r="DI669" s="14"/>
      <c r="DJ669" s="16"/>
      <c r="DK669" s="14"/>
      <c r="DL669" s="12"/>
      <c r="DM669" s="14"/>
      <c r="DN669" s="16"/>
      <c r="DO669" s="14"/>
      <c r="DP669" s="12"/>
      <c r="DQ669" s="14"/>
      <c r="DR669" s="16"/>
      <c r="DS669" s="14"/>
      <c r="DT669" s="12"/>
      <c r="DU669" s="14"/>
      <c r="DV669" s="16"/>
      <c r="DW669" s="14"/>
      <c r="DX669" s="12"/>
      <c r="DY669" s="14"/>
      <c r="DZ669" s="16"/>
      <c r="EA669" s="14"/>
      <c r="EB669" s="12"/>
      <c r="EC669" s="14"/>
      <c r="ED669" s="16"/>
      <c r="EE669" s="14"/>
      <c r="EF669" s="12"/>
      <c r="EG669" s="12"/>
      <c r="EH669" s="14"/>
      <c r="EI669" s="16"/>
      <c r="EJ669" s="14"/>
      <c r="EK669" s="14">
        <v>3006</v>
      </c>
      <c r="EL669" s="14">
        <v>4025</v>
      </c>
      <c r="EM669" s="14">
        <v>7031</v>
      </c>
      <c r="EN669" s="14"/>
      <c r="EO669" s="14"/>
      <c r="EP669" s="14"/>
      <c r="EQ669" s="12"/>
      <c r="ER669" s="14"/>
      <c r="ES669" s="16"/>
      <c r="ET669" s="14"/>
      <c r="EU669" s="12"/>
      <c r="EV669" s="14"/>
      <c r="EW669" s="16"/>
      <c r="EX669" s="14"/>
      <c r="EY669" s="12"/>
      <c r="EZ669" s="14"/>
      <c r="FA669" s="16"/>
      <c r="FB669" s="14"/>
      <c r="FC669" s="12"/>
      <c r="FD669" s="14"/>
      <c r="FE669" s="16"/>
      <c r="FF669" s="14"/>
      <c r="FG669" s="12"/>
      <c r="FH669" s="14"/>
      <c r="FI669" s="16"/>
      <c r="FJ669" s="14"/>
      <c r="FK669" s="12" t="s">
        <v>320</v>
      </c>
      <c r="FL669" s="14">
        <v>7301</v>
      </c>
      <c r="FM669" s="16">
        <v>0.41</v>
      </c>
      <c r="FN669" s="14"/>
      <c r="FO669" s="12"/>
      <c r="FP669" s="14"/>
      <c r="FQ669" s="16"/>
      <c r="FR669" s="14"/>
      <c r="FS669" s="12"/>
      <c r="FT669" s="14"/>
      <c r="FU669" s="16"/>
      <c r="FV669" s="14"/>
      <c r="FW669" s="12"/>
      <c r="FX669" s="14"/>
      <c r="FY669" s="16"/>
      <c r="FZ669" s="14"/>
      <c r="GA669" s="12"/>
      <c r="GB669" s="14"/>
      <c r="GC669" s="16"/>
      <c r="GD669" s="14"/>
      <c r="GE669" s="12"/>
      <c r="GF669" s="14"/>
      <c r="GG669" s="16"/>
      <c r="GH669" s="14"/>
      <c r="GI669" s="12"/>
      <c r="GJ669" s="14"/>
      <c r="GK669" s="16"/>
      <c r="GL669" s="14"/>
      <c r="GM669" s="12"/>
      <c r="GN669" s="14"/>
      <c r="GO669" s="16"/>
      <c r="GP669" s="14"/>
      <c r="GQ669" s="12"/>
      <c r="GR669" s="14"/>
      <c r="GS669" s="16"/>
      <c r="GT669" s="14"/>
      <c r="GU669" s="12"/>
      <c r="GV669" s="14"/>
      <c r="GW669" s="16"/>
      <c r="GX669" s="14"/>
      <c r="GY669" s="12"/>
      <c r="GZ669" s="14"/>
      <c r="HA669" s="16"/>
      <c r="HB669" s="14"/>
      <c r="HC669" s="12"/>
      <c r="HD669" s="12"/>
      <c r="HE669" s="14"/>
      <c r="HF669" s="16"/>
      <c r="HG669" s="14"/>
      <c r="HH669" s="12"/>
      <c r="HI669" s="12"/>
      <c r="HJ669" s="12"/>
      <c r="HK669" s="12"/>
      <c r="HL669" s="12" t="s">
        <v>319</v>
      </c>
      <c r="HM669" s="12"/>
      <c r="HN669" s="12"/>
      <c r="HO669" s="12" t="s">
        <v>10694</v>
      </c>
      <c r="HP669" s="12"/>
      <c r="HQ669" s="12" t="s">
        <v>320</v>
      </c>
      <c r="HR669" s="12"/>
      <c r="HS669" s="12"/>
      <c r="HT669" s="12"/>
      <c r="HU669" s="12"/>
      <c r="HV669" s="12"/>
      <c r="HW669" s="12"/>
      <c r="HX669" s="12"/>
      <c r="HY669" s="12"/>
      <c r="HZ669" s="12" t="s">
        <v>363</v>
      </c>
      <c r="IA669" s="12"/>
      <c r="IB669" s="12" t="s">
        <v>667</v>
      </c>
      <c r="IC669" s="12"/>
      <c r="ID669" s="12" t="s">
        <v>334</v>
      </c>
      <c r="IE669" s="12" t="s">
        <v>335</v>
      </c>
      <c r="IF669" s="12" t="s">
        <v>320</v>
      </c>
      <c r="IG669" s="12" t="s">
        <v>320</v>
      </c>
      <c r="IH669" s="12" t="s">
        <v>320</v>
      </c>
      <c r="II669" s="12" t="s">
        <v>320</v>
      </c>
      <c r="IJ669" s="12" t="str">
        <f t="shared" si="431"/>
        <v>2. Sensitive</v>
      </c>
      <c r="IK669" s="12">
        <f t="shared" si="432"/>
        <v>4</v>
      </c>
      <c r="IL669" s="12" t="s">
        <v>336</v>
      </c>
      <c r="IM669" s="12" t="s">
        <v>320</v>
      </c>
      <c r="IN669" s="12"/>
      <c r="IO669" s="12" t="s">
        <v>320</v>
      </c>
      <c r="IP669" s="12"/>
      <c r="IQ669" s="12" t="str">
        <f t="shared" si="433"/>
        <v>1. Tokenistic</v>
      </c>
      <c r="IR669" s="12">
        <f t="shared" si="434"/>
        <v>2</v>
      </c>
      <c r="IS669" s="12"/>
      <c r="IT669" s="12"/>
      <c r="IU669" s="12"/>
      <c r="IV669" s="12"/>
      <c r="IW669" s="11" t="str">
        <f t="shared" si="435"/>
        <v>No marker score</v>
      </c>
      <c r="IX669" s="12">
        <f t="shared" si="436"/>
        <v>0</v>
      </c>
      <c r="IY669" s="12" t="s">
        <v>419</v>
      </c>
      <c r="IZ669" s="12" t="s">
        <v>432</v>
      </c>
      <c r="JA669" s="12">
        <v>8</v>
      </c>
      <c r="JB669" s="12" t="s">
        <v>433</v>
      </c>
      <c r="JC669" s="12" t="s">
        <v>687</v>
      </c>
      <c r="JD669" s="12" t="s">
        <v>624</v>
      </c>
      <c r="JE669" s="12" t="s">
        <v>420</v>
      </c>
      <c r="JF669" s="12"/>
      <c r="JG669" s="12"/>
      <c r="JH669" s="12" t="s">
        <v>10695</v>
      </c>
      <c r="JI669" s="12" t="s">
        <v>10696</v>
      </c>
      <c r="JJ669" s="12"/>
      <c r="JK669" s="12"/>
      <c r="JL669" s="12"/>
      <c r="JM669" s="12"/>
      <c r="JN669" s="12"/>
      <c r="JO669" s="12"/>
      <c r="JP669" s="15">
        <f t="shared" si="437"/>
        <v>7031</v>
      </c>
      <c r="JQ669" s="15">
        <f t="shared" si="438"/>
        <v>0</v>
      </c>
      <c r="JR669" s="279">
        <f t="shared" si="439"/>
        <v>0</v>
      </c>
      <c r="JS669" s="17">
        <f t="shared" si="440"/>
        <v>0.42753520125160005</v>
      </c>
      <c r="JT669" s="18" t="str">
        <f t="shared" si="441"/>
        <v/>
      </c>
      <c r="JU669" s="280">
        <f t="shared" si="442"/>
        <v>3006</v>
      </c>
      <c r="JV669" s="280">
        <f t="shared" si="443"/>
        <v>0</v>
      </c>
      <c r="JW669" s="319" t="str">
        <f t="shared" si="444"/>
        <v/>
      </c>
      <c r="JX669" s="15">
        <f t="shared" si="445"/>
        <v>0</v>
      </c>
      <c r="JY669" s="15">
        <f t="shared" si="446"/>
        <v>0</v>
      </c>
      <c r="JZ669" s="19" t="str">
        <f t="shared" si="447"/>
        <v/>
      </c>
      <c r="KA669" s="52" t="str">
        <f t="shared" si="448"/>
        <v/>
      </c>
      <c r="KB669" s="15">
        <f t="shared" si="449"/>
        <v>0</v>
      </c>
      <c r="KC669" s="15">
        <f t="shared" si="450"/>
        <v>0</v>
      </c>
      <c r="KD669" s="20" t="str">
        <f t="shared" si="451"/>
        <v/>
      </c>
      <c r="KE669" s="52" t="str">
        <f t="shared" si="452"/>
        <v/>
      </c>
      <c r="KF669" s="15">
        <f t="shared" si="453"/>
        <v>0</v>
      </c>
      <c r="KG669" s="15">
        <f t="shared" si="454"/>
        <v>0</v>
      </c>
      <c r="KH669" s="21" t="str">
        <f t="shared" si="455"/>
        <v/>
      </c>
      <c r="KI669" s="52" t="str">
        <f t="shared" si="456"/>
        <v/>
      </c>
      <c r="KJ669" s="15">
        <f t="shared" si="457"/>
        <v>0</v>
      </c>
      <c r="KK669" s="15">
        <f t="shared" si="458"/>
        <v>0</v>
      </c>
      <c r="KL669" s="19" t="str">
        <f t="shared" si="459"/>
        <v/>
      </c>
      <c r="KM669" s="52" t="str">
        <f t="shared" si="460"/>
        <v/>
      </c>
      <c r="KN669" s="22">
        <f t="shared" si="461"/>
        <v>0</v>
      </c>
      <c r="KO669" s="22">
        <f t="shared" si="462"/>
        <v>0</v>
      </c>
      <c r="KP669" s="19" t="str">
        <f t="shared" si="463"/>
        <v/>
      </c>
      <c r="KQ669" s="11" t="str">
        <f t="shared" si="464"/>
        <v>2. Sensitive</v>
      </c>
      <c r="KR669" s="11" t="str">
        <f t="shared" si="465"/>
        <v>1. Tokenistic</v>
      </c>
      <c r="KS669" s="11" t="str">
        <f t="shared" si="466"/>
        <v>No marker score</v>
      </c>
      <c r="KT669" s="11" t="str">
        <f t="shared" si="467"/>
        <v>It did not develop any specific innovation</v>
      </c>
      <c r="KU669" s="11">
        <f t="shared" si="468"/>
        <v>0</v>
      </c>
      <c r="KV669" s="11" t="str">
        <f t="shared" si="469"/>
        <v>It took tested solutions to scale on its own</v>
      </c>
      <c r="KW669" s="11" t="str">
        <f t="shared" si="470"/>
        <v>Somalia - Somali Youth learners Initiative (SYLI) Previousl known as Somali Youth leaders Initiative</v>
      </c>
      <c r="KX669" s="11" t="str">
        <f t="shared" si="471"/>
        <v>Somali Youth learners Initiative (SYLI) Previousl known as Somali Youth leaders Initiative</v>
      </c>
      <c r="KY669" s="11" t="str">
        <f t="shared" si="472"/>
        <v>Somalia</v>
      </c>
      <c r="KZ669" s="12">
        <v>669</v>
      </c>
    </row>
    <row r="670" spans="1:312" x14ac:dyDescent="0.3">
      <c r="A670" s="282" t="s">
        <v>10685</v>
      </c>
      <c r="B670" s="282" t="s">
        <v>1874</v>
      </c>
      <c r="C670" s="282">
        <v>3329</v>
      </c>
      <c r="D670" s="282" t="s">
        <v>11054</v>
      </c>
      <c r="E670" s="277" t="str">
        <f t="shared" si="430"/>
        <v>Somalia</v>
      </c>
      <c r="F670" s="282" t="s">
        <v>11055</v>
      </c>
      <c r="G670" s="282" t="s">
        <v>608</v>
      </c>
      <c r="H670" s="282" t="s">
        <v>310</v>
      </c>
      <c r="I670" s="282" t="s">
        <v>655</v>
      </c>
      <c r="J670" s="281" t="s">
        <v>14740</v>
      </c>
      <c r="K670" s="282"/>
      <c r="L670" s="282"/>
      <c r="M670" s="282"/>
      <c r="N670" s="282"/>
      <c r="O670" s="282"/>
      <c r="P670" s="282"/>
      <c r="Q670" s="282"/>
      <c r="R670" s="282"/>
      <c r="S670" s="282"/>
      <c r="T670" s="282"/>
      <c r="U670" s="282"/>
      <c r="V670" s="282"/>
      <c r="W670" s="282"/>
      <c r="X670" s="282"/>
      <c r="Y670" s="282"/>
      <c r="Z670" s="282"/>
      <c r="AA670" s="282"/>
      <c r="AB670" s="282"/>
      <c r="AC670" s="282"/>
      <c r="AD670" s="282"/>
      <c r="AE670" s="282"/>
      <c r="AF670" s="282"/>
      <c r="AG670" s="282"/>
      <c r="AH670" s="282"/>
      <c r="AI670" s="282"/>
      <c r="AJ670" s="282"/>
      <c r="AK670" s="282"/>
      <c r="AL670" s="282"/>
      <c r="AM670" s="282"/>
      <c r="AN670" s="282"/>
      <c r="AO670" s="282"/>
      <c r="AP670" s="282"/>
      <c r="AQ670" s="282"/>
      <c r="AR670" s="282"/>
      <c r="AS670" s="282"/>
      <c r="AT670" s="282"/>
      <c r="AU670" s="282"/>
      <c r="AV670" s="282"/>
      <c r="AW670" s="282"/>
      <c r="AX670" s="282"/>
      <c r="AY670" s="282"/>
      <c r="AZ670" s="282"/>
      <c r="BA670" s="282"/>
      <c r="BB670" s="282"/>
      <c r="BC670" s="282"/>
      <c r="BD670" s="283">
        <v>42220</v>
      </c>
      <c r="BE670" s="283">
        <v>42613</v>
      </c>
      <c r="BF670" s="283"/>
      <c r="BG670" s="283" t="s">
        <v>817</v>
      </c>
      <c r="BH670" s="284">
        <v>3345704</v>
      </c>
      <c r="BI670" s="282" t="s">
        <v>10699</v>
      </c>
      <c r="BJ670" s="282" t="s">
        <v>10700</v>
      </c>
      <c r="BK670" s="282" t="s">
        <v>10701</v>
      </c>
      <c r="BL670" s="282" t="s">
        <v>10702</v>
      </c>
      <c r="BM670" s="282" t="s">
        <v>10703</v>
      </c>
      <c r="BN670" s="282" t="s">
        <v>10704</v>
      </c>
      <c r="BO670" s="282" t="s">
        <v>320</v>
      </c>
      <c r="BP670" s="282" t="s">
        <v>319</v>
      </c>
      <c r="BQ670" s="282" t="s">
        <v>319</v>
      </c>
      <c r="BR670" s="282" t="s">
        <v>11053</v>
      </c>
      <c r="BS670" s="282" t="s">
        <v>357</v>
      </c>
      <c r="BT670" s="282" t="s">
        <v>11056</v>
      </c>
      <c r="BU670" s="282" t="s">
        <v>10707</v>
      </c>
      <c r="BV670" s="284">
        <v>14063</v>
      </c>
      <c r="BW670" s="284">
        <v>14712</v>
      </c>
      <c r="BX670" s="284">
        <v>28775</v>
      </c>
      <c r="BY670" s="284"/>
      <c r="BZ670" s="284"/>
      <c r="CA670" s="284"/>
      <c r="CB670" s="285" t="s">
        <v>11029</v>
      </c>
      <c r="CC670" s="285"/>
      <c r="CD670" s="284">
        <v>14063</v>
      </c>
      <c r="CE670" s="284">
        <v>14712</v>
      </c>
      <c r="CF670" s="284">
        <v>28775</v>
      </c>
      <c r="CG670" s="284"/>
      <c r="CH670" s="284"/>
      <c r="CI670" s="284"/>
      <c r="CJ670" s="282" t="s">
        <v>319</v>
      </c>
      <c r="CK670" s="284"/>
      <c r="CL670" s="286"/>
      <c r="CM670" s="284"/>
      <c r="CN670" s="287" t="s">
        <v>320</v>
      </c>
      <c r="CO670" s="284">
        <v>28775</v>
      </c>
      <c r="CP670" s="286">
        <v>0.49</v>
      </c>
      <c r="CQ670" s="284"/>
      <c r="CR670" s="282" t="s">
        <v>319</v>
      </c>
      <c r="CS670" s="284"/>
      <c r="CT670" s="286"/>
      <c r="CU670" s="284"/>
      <c r="CV670" s="289" t="s">
        <v>320</v>
      </c>
      <c r="CW670" s="300">
        <v>28775</v>
      </c>
      <c r="CX670" s="308">
        <v>0.49</v>
      </c>
      <c r="CY670" s="300"/>
      <c r="CZ670" s="282" t="s">
        <v>319</v>
      </c>
      <c r="DA670" s="284"/>
      <c r="DB670" s="286"/>
      <c r="DC670" s="284"/>
      <c r="DD670" s="287" t="s">
        <v>319</v>
      </c>
      <c r="DE670" s="284"/>
      <c r="DF670" s="286"/>
      <c r="DG670" s="284"/>
      <c r="DH670" s="282" t="s">
        <v>319</v>
      </c>
      <c r="DI670" s="284"/>
      <c r="DJ670" s="286"/>
      <c r="DK670" s="284"/>
      <c r="DL670" s="282" t="s">
        <v>319</v>
      </c>
      <c r="DM670" s="284"/>
      <c r="DN670" s="286"/>
      <c r="DO670" s="284"/>
      <c r="DP670" s="282" t="s">
        <v>319</v>
      </c>
      <c r="DQ670" s="284"/>
      <c r="DR670" s="286"/>
      <c r="DS670" s="284"/>
      <c r="DT670" s="282" t="s">
        <v>319</v>
      </c>
      <c r="DU670" s="284"/>
      <c r="DV670" s="286"/>
      <c r="DW670" s="284"/>
      <c r="DX670" s="282" t="s">
        <v>319</v>
      </c>
      <c r="DY670" s="284"/>
      <c r="DZ670" s="286"/>
      <c r="EA670" s="284"/>
      <c r="EB670" s="282" t="s">
        <v>319</v>
      </c>
      <c r="EC670" s="284"/>
      <c r="ED670" s="286"/>
      <c r="EE670" s="284"/>
      <c r="EF670" s="285"/>
      <c r="EG670" s="287"/>
      <c r="EH670" s="284"/>
      <c r="EI670" s="286"/>
      <c r="EJ670" s="284"/>
      <c r="EK670" s="284"/>
      <c r="EL670" s="284"/>
      <c r="EM670" s="284"/>
      <c r="EN670" s="284"/>
      <c r="EO670" s="284"/>
      <c r="EP670" s="284"/>
      <c r="EQ670" s="282"/>
      <c r="ER670" s="284"/>
      <c r="ES670" s="286"/>
      <c r="ET670" s="284"/>
      <c r="EU670" s="305"/>
      <c r="EV670" s="300"/>
      <c r="EW670" s="308"/>
      <c r="EX670" s="300"/>
      <c r="EY670" s="282"/>
      <c r="EZ670" s="284"/>
      <c r="FA670" s="286"/>
      <c r="FB670" s="284"/>
      <c r="FC670" s="282"/>
      <c r="FD670" s="284"/>
      <c r="FE670" s="286"/>
      <c r="FF670" s="284"/>
      <c r="FG670" s="282"/>
      <c r="FH670" s="284"/>
      <c r="FI670" s="286"/>
      <c r="FJ670" s="284"/>
      <c r="FK670" s="282"/>
      <c r="FL670" s="284"/>
      <c r="FM670" s="286"/>
      <c r="FN670" s="284"/>
      <c r="FO670" s="305"/>
      <c r="FP670" s="300"/>
      <c r="FQ670" s="308"/>
      <c r="FR670" s="300"/>
      <c r="FS670" s="282"/>
      <c r="FT670" s="284"/>
      <c r="FU670" s="286"/>
      <c r="FV670" s="284"/>
      <c r="FW670" s="282"/>
      <c r="FX670" s="284"/>
      <c r="FY670" s="286"/>
      <c r="FZ670" s="284"/>
      <c r="GA670" s="282"/>
      <c r="GB670" s="284"/>
      <c r="GC670" s="286"/>
      <c r="GD670" s="284"/>
      <c r="GE670" s="282"/>
      <c r="GF670" s="284"/>
      <c r="GG670" s="286"/>
      <c r="GH670" s="284"/>
      <c r="GI670" s="282"/>
      <c r="GJ670" s="284"/>
      <c r="GK670" s="286"/>
      <c r="GL670" s="284"/>
      <c r="GM670" s="282"/>
      <c r="GN670" s="284"/>
      <c r="GO670" s="286"/>
      <c r="GP670" s="284"/>
      <c r="GQ670" s="282"/>
      <c r="GR670" s="284"/>
      <c r="GS670" s="286"/>
      <c r="GT670" s="284"/>
      <c r="GU670" s="282"/>
      <c r="GV670" s="284"/>
      <c r="GW670" s="286"/>
      <c r="GX670" s="284"/>
      <c r="GY670" s="282"/>
      <c r="GZ670" s="284"/>
      <c r="HA670" s="286"/>
      <c r="HB670" s="284"/>
      <c r="HC670" s="282"/>
      <c r="HD670" s="282"/>
      <c r="HE670" s="284"/>
      <c r="HF670" s="286"/>
      <c r="HG670" s="284"/>
      <c r="HH670" s="282" t="s">
        <v>319</v>
      </c>
      <c r="HI670" s="282"/>
      <c r="HJ670" s="282"/>
      <c r="HK670" s="282" t="s">
        <v>319</v>
      </c>
      <c r="HL670" s="282" t="s">
        <v>319</v>
      </c>
      <c r="HM670" s="282"/>
      <c r="HN670" s="282"/>
      <c r="HO670" s="282"/>
      <c r="HP670" s="282" t="s">
        <v>330</v>
      </c>
      <c r="HQ670" s="282" t="s">
        <v>319</v>
      </c>
      <c r="HR670" s="282" t="s">
        <v>320</v>
      </c>
      <c r="HS670" s="282" t="s">
        <v>320</v>
      </c>
      <c r="HT670" s="282" t="s">
        <v>320</v>
      </c>
      <c r="HU670" s="282" t="s">
        <v>319</v>
      </c>
      <c r="HV670" s="282" t="s">
        <v>319</v>
      </c>
      <c r="HW670" s="282" t="s">
        <v>320</v>
      </c>
      <c r="HX670" s="282" t="s">
        <v>319</v>
      </c>
      <c r="HY670" s="282"/>
      <c r="HZ670" s="282" t="s">
        <v>363</v>
      </c>
      <c r="IA670" s="282"/>
      <c r="IB670" s="282" t="s">
        <v>667</v>
      </c>
      <c r="IC670" s="282"/>
      <c r="ID670" s="282" t="s">
        <v>334</v>
      </c>
      <c r="IE670" s="282" t="s">
        <v>335</v>
      </c>
      <c r="IF670" s="282" t="s">
        <v>320</v>
      </c>
      <c r="IG670" s="282" t="s">
        <v>320</v>
      </c>
      <c r="IH670" s="282" t="s">
        <v>320</v>
      </c>
      <c r="II670" s="282" t="s">
        <v>320</v>
      </c>
      <c r="IJ670" s="12" t="str">
        <f t="shared" si="431"/>
        <v>2. Sensitive</v>
      </c>
      <c r="IK670" s="287">
        <f t="shared" si="432"/>
        <v>4</v>
      </c>
      <c r="IL670" s="282" t="s">
        <v>336</v>
      </c>
      <c r="IM670" s="282" t="s">
        <v>320</v>
      </c>
      <c r="IN670" s="282" t="s">
        <v>320</v>
      </c>
      <c r="IO670" s="282" t="s">
        <v>320</v>
      </c>
      <c r="IP670" s="282" t="s">
        <v>320</v>
      </c>
      <c r="IQ670" s="287" t="str">
        <f t="shared" si="433"/>
        <v>2. Accommodating</v>
      </c>
      <c r="IR670" s="287">
        <f t="shared" si="434"/>
        <v>4</v>
      </c>
      <c r="IS670" s="282" t="s">
        <v>337</v>
      </c>
      <c r="IT670" s="282" t="s">
        <v>320</v>
      </c>
      <c r="IU670" s="282"/>
      <c r="IV670" s="282" t="s">
        <v>320</v>
      </c>
      <c r="IW670" s="11" t="str">
        <f t="shared" si="435"/>
        <v>1. Neutral</v>
      </c>
      <c r="IX670" s="287">
        <f t="shared" si="436"/>
        <v>2</v>
      </c>
      <c r="IY670" s="282" t="s">
        <v>419</v>
      </c>
      <c r="IZ670" s="282" t="s">
        <v>432</v>
      </c>
      <c r="JA670" s="282">
        <v>1</v>
      </c>
      <c r="JB670" s="282" t="s">
        <v>433</v>
      </c>
      <c r="JC670" s="282"/>
      <c r="JD670" s="282"/>
      <c r="JE670" s="282" t="s">
        <v>420</v>
      </c>
      <c r="JF670" s="282"/>
      <c r="JG670" s="282" t="s">
        <v>6399</v>
      </c>
      <c r="JH670" s="282" t="s">
        <v>10821</v>
      </c>
      <c r="JI670" s="282" t="s">
        <v>10822</v>
      </c>
      <c r="JJ670" s="282" t="s">
        <v>11057</v>
      </c>
      <c r="JK670" s="282" t="s">
        <v>11058</v>
      </c>
      <c r="JL670" s="282" t="s">
        <v>10824</v>
      </c>
      <c r="JM670" s="282" t="s">
        <v>10823</v>
      </c>
      <c r="JN670" s="282"/>
      <c r="JO670" s="282" t="s">
        <v>10825</v>
      </c>
      <c r="JP670" s="15">
        <f t="shared" si="437"/>
        <v>28775</v>
      </c>
      <c r="JQ670" s="15">
        <f t="shared" si="438"/>
        <v>0</v>
      </c>
      <c r="JR670" s="279">
        <f t="shared" si="439"/>
        <v>0</v>
      </c>
      <c r="JS670" s="17">
        <f t="shared" si="440"/>
        <v>0.48872284969591662</v>
      </c>
      <c r="JT670" s="18" t="str">
        <f t="shared" si="441"/>
        <v/>
      </c>
      <c r="JU670" s="280">
        <f t="shared" si="442"/>
        <v>14063</v>
      </c>
      <c r="JV670" s="280">
        <f t="shared" si="443"/>
        <v>0</v>
      </c>
      <c r="JW670" s="319">
        <f t="shared" si="444"/>
        <v>1</v>
      </c>
      <c r="JX670" s="15">
        <f t="shared" si="445"/>
        <v>28775</v>
      </c>
      <c r="JY670" s="15">
        <f t="shared" si="446"/>
        <v>0</v>
      </c>
      <c r="JZ670" s="19">
        <f t="shared" si="447"/>
        <v>0</v>
      </c>
      <c r="KA670" s="52">
        <f t="shared" si="448"/>
        <v>1</v>
      </c>
      <c r="KB670" s="15">
        <f t="shared" si="449"/>
        <v>28775</v>
      </c>
      <c r="KC670" s="15">
        <f t="shared" si="450"/>
        <v>0</v>
      </c>
      <c r="KD670" s="20">
        <f t="shared" si="451"/>
        <v>0</v>
      </c>
      <c r="KE670" s="52" t="str">
        <f t="shared" si="452"/>
        <v/>
      </c>
      <c r="KF670" s="15">
        <f t="shared" si="453"/>
        <v>0</v>
      </c>
      <c r="KG670" s="15">
        <f t="shared" si="454"/>
        <v>0</v>
      </c>
      <c r="KH670" s="21" t="str">
        <f t="shared" si="455"/>
        <v/>
      </c>
      <c r="KI670" s="52" t="str">
        <f t="shared" si="456"/>
        <v/>
      </c>
      <c r="KJ670" s="15">
        <f t="shared" si="457"/>
        <v>0</v>
      </c>
      <c r="KK670" s="15">
        <f t="shared" si="458"/>
        <v>0</v>
      </c>
      <c r="KL670" s="19" t="str">
        <f t="shared" si="459"/>
        <v/>
      </c>
      <c r="KM670" s="52" t="str">
        <f t="shared" si="460"/>
        <v/>
      </c>
      <c r="KN670" s="22">
        <f t="shared" si="461"/>
        <v>0</v>
      </c>
      <c r="KO670" s="22">
        <f t="shared" si="462"/>
        <v>0</v>
      </c>
      <c r="KP670" s="19" t="str">
        <f t="shared" si="463"/>
        <v/>
      </c>
      <c r="KQ670" s="11" t="str">
        <f t="shared" si="464"/>
        <v>2. Sensitive</v>
      </c>
      <c r="KR670" s="11" t="str">
        <f t="shared" si="465"/>
        <v>2. Accommodating</v>
      </c>
      <c r="KS670" s="11" t="str">
        <f t="shared" si="466"/>
        <v>1. Neutral</v>
      </c>
      <c r="KT670" s="11" t="str">
        <f t="shared" si="467"/>
        <v>It did not develop any specific innovation</v>
      </c>
      <c r="KU670" s="11" t="str">
        <f t="shared" si="468"/>
        <v>Moderate advocacy</v>
      </c>
      <c r="KV670" s="11" t="str">
        <f t="shared" si="469"/>
        <v>It took tested solutions to scale on its own</v>
      </c>
      <c r="KW670" s="11" t="str">
        <f t="shared" si="470"/>
        <v>Somalia - SOMALIA EMERGENCY FOOD ASSISTANCE PROJECT, LOWER JUBA</v>
      </c>
      <c r="KX670" s="11" t="str">
        <f t="shared" si="471"/>
        <v>SOMALIA EMERGENCY FOOD ASSISTANCE PROJECT, LOWER JUBA</v>
      </c>
      <c r="KY670" s="11" t="str">
        <f t="shared" si="472"/>
        <v>Somalia</v>
      </c>
      <c r="KZ670" s="12">
        <v>670</v>
      </c>
    </row>
    <row r="671" spans="1:312" x14ac:dyDescent="0.3">
      <c r="A671" s="12" t="s">
        <v>10685</v>
      </c>
      <c r="B671" s="12" t="s">
        <v>1874</v>
      </c>
      <c r="C671" s="12">
        <v>3328</v>
      </c>
      <c r="D671" s="12" t="s">
        <v>10982</v>
      </c>
      <c r="E671" s="277" t="str">
        <f t="shared" si="430"/>
        <v>Somalia</v>
      </c>
      <c r="F671" s="12" t="s">
        <v>10983</v>
      </c>
      <c r="G671" s="12" t="s">
        <v>379</v>
      </c>
      <c r="H671" s="12" t="s">
        <v>310</v>
      </c>
      <c r="I671" s="12" t="s">
        <v>655</v>
      </c>
      <c r="J671" s="281" t="s">
        <v>4991</v>
      </c>
      <c r="K671" s="12"/>
      <c r="L671" s="12"/>
      <c r="M671" s="12"/>
      <c r="N671" s="12"/>
      <c r="O671" s="12"/>
      <c r="P671" s="12"/>
      <c r="Q671" s="12"/>
      <c r="R671" s="12"/>
      <c r="S671" s="12"/>
      <c r="T671" s="12"/>
      <c r="U671" s="12"/>
      <c r="V671" s="12"/>
      <c r="W671" s="12"/>
      <c r="X671" s="12"/>
      <c r="Y671" s="12"/>
      <c r="Z671" s="12"/>
      <c r="AA671" s="12"/>
      <c r="AB671" s="12"/>
      <c r="AC671" s="12"/>
      <c r="AD671" s="12"/>
      <c r="BD671" s="13">
        <v>42278</v>
      </c>
      <c r="BE671" s="13">
        <v>42643</v>
      </c>
      <c r="BF671" s="13">
        <v>42704</v>
      </c>
      <c r="BG671" s="12" t="s">
        <v>817</v>
      </c>
      <c r="BH671" s="14">
        <v>3485091</v>
      </c>
      <c r="BI671" s="12" t="s">
        <v>10699</v>
      </c>
      <c r="BJ671" s="12" t="s">
        <v>10700</v>
      </c>
      <c r="BK671" s="12" t="s">
        <v>10701</v>
      </c>
      <c r="BL671" s="12" t="s">
        <v>10702</v>
      </c>
      <c r="BM671" s="12" t="s">
        <v>10703</v>
      </c>
      <c r="BN671" s="12" t="s">
        <v>10704</v>
      </c>
      <c r="BO671" s="12" t="s">
        <v>320</v>
      </c>
      <c r="BP671" s="12" t="s">
        <v>319</v>
      </c>
      <c r="BQ671" s="12" t="s">
        <v>319</v>
      </c>
      <c r="BR671" s="12" t="s">
        <v>10857</v>
      </c>
      <c r="BS671" s="12" t="s">
        <v>322</v>
      </c>
      <c r="BT671" s="12" t="s">
        <v>10984</v>
      </c>
      <c r="BU671" s="12" t="s">
        <v>10707</v>
      </c>
      <c r="BV671" s="14">
        <v>110606</v>
      </c>
      <c r="BW671" s="14">
        <v>115121</v>
      </c>
      <c r="BX671" s="14">
        <v>225727</v>
      </c>
      <c r="BY671" s="14"/>
      <c r="BZ671" s="14"/>
      <c r="CA671" s="14"/>
      <c r="CB671" s="12"/>
      <c r="CE671" s="14"/>
      <c r="CF671" s="14"/>
      <c r="CG671" s="14"/>
      <c r="CH671" s="14"/>
      <c r="CI671" s="14"/>
      <c r="CJ671" s="12" t="s">
        <v>319</v>
      </c>
      <c r="CK671" s="14"/>
      <c r="CL671" s="16"/>
      <c r="CM671" s="14"/>
      <c r="CN671" s="12" t="s">
        <v>320</v>
      </c>
      <c r="CO671" s="14">
        <v>12305</v>
      </c>
      <c r="CP671" s="16"/>
      <c r="CQ671" s="14"/>
      <c r="CR671" s="12" t="s">
        <v>319</v>
      </c>
      <c r="CS671" s="14"/>
      <c r="CT671" s="16"/>
      <c r="CU671" s="14"/>
      <c r="CV671" s="12" t="s">
        <v>320</v>
      </c>
      <c r="CW671" s="14">
        <v>6492</v>
      </c>
      <c r="CX671" s="16"/>
      <c r="CY671" s="14"/>
      <c r="CZ671" s="12" t="s">
        <v>319</v>
      </c>
      <c r="DA671" s="14"/>
      <c r="DB671" s="16"/>
      <c r="DC671" s="14"/>
      <c r="DD671" s="12" t="s">
        <v>319</v>
      </c>
      <c r="DE671" s="14"/>
      <c r="DF671" s="16"/>
      <c r="DG671" s="14"/>
      <c r="DH671" s="12" t="s">
        <v>319</v>
      </c>
      <c r="DI671" s="14"/>
      <c r="DJ671" s="16"/>
      <c r="DK671" s="14"/>
      <c r="DL671" s="11" t="s">
        <v>320</v>
      </c>
      <c r="DM671" s="14">
        <v>8225</v>
      </c>
      <c r="DN671" s="16"/>
      <c r="DO671" s="14"/>
      <c r="DP671" s="12" t="s">
        <v>320</v>
      </c>
      <c r="DQ671" s="14">
        <v>25000</v>
      </c>
      <c r="DR671" s="16"/>
      <c r="DS671" s="14"/>
      <c r="DT671" s="12" t="s">
        <v>319</v>
      </c>
      <c r="DU671" s="14"/>
      <c r="DV671" s="16"/>
      <c r="DW671" s="14"/>
      <c r="DX671" s="12" t="s">
        <v>319</v>
      </c>
      <c r="DY671" s="14"/>
      <c r="DZ671" s="16"/>
      <c r="EA671" s="14"/>
      <c r="EB671" s="11" t="s">
        <v>320</v>
      </c>
      <c r="EC671" s="14">
        <v>173705</v>
      </c>
      <c r="ED671" s="16"/>
      <c r="EE671" s="14"/>
      <c r="EF671" s="12"/>
      <c r="EG671" s="12"/>
      <c r="EH671" s="14"/>
      <c r="EI671" s="16"/>
      <c r="EJ671" s="14"/>
      <c r="EK671" s="14"/>
      <c r="EL671" s="14"/>
      <c r="EM671" s="14"/>
      <c r="EN671" s="14"/>
      <c r="EO671" s="14"/>
      <c r="EP671" s="14"/>
      <c r="EQ671" s="12"/>
      <c r="ER671" s="14"/>
      <c r="ES671" s="16"/>
      <c r="ET671" s="14"/>
      <c r="EU671" s="12"/>
      <c r="EV671" s="14"/>
      <c r="EW671" s="16"/>
      <c r="EX671" s="14"/>
      <c r="EY671" s="12"/>
      <c r="EZ671" s="14"/>
      <c r="FA671" s="16"/>
      <c r="FB671" s="14"/>
      <c r="FC671" s="12"/>
      <c r="FD671" s="14"/>
      <c r="FE671" s="16"/>
      <c r="FF671" s="14"/>
      <c r="FG671" s="12"/>
      <c r="FH671" s="14"/>
      <c r="FI671" s="16"/>
      <c r="FJ671" s="14"/>
      <c r="FK671" s="12"/>
      <c r="FL671" s="14"/>
      <c r="FM671" s="16"/>
      <c r="FN671" s="14"/>
      <c r="FO671" s="12"/>
      <c r="FP671" s="14"/>
      <c r="FQ671" s="16"/>
      <c r="FR671" s="14"/>
      <c r="FS671" s="12"/>
      <c r="FT671" s="14"/>
      <c r="FU671" s="16"/>
      <c r="FV671" s="14"/>
      <c r="FW671" s="12"/>
      <c r="FX671" s="14"/>
      <c r="FY671" s="16"/>
      <c r="FZ671" s="14"/>
      <c r="GA671" s="12"/>
      <c r="GB671" s="14"/>
      <c r="GC671" s="16"/>
      <c r="GD671" s="14"/>
      <c r="GE671" s="12"/>
      <c r="GF671" s="14"/>
      <c r="GG671" s="16"/>
      <c r="GH671" s="14"/>
      <c r="GI671" s="12"/>
      <c r="GJ671" s="14"/>
      <c r="GK671" s="16"/>
      <c r="GL671" s="14"/>
      <c r="GM671" s="12"/>
      <c r="GN671" s="14"/>
      <c r="GO671" s="16"/>
      <c r="GP671" s="14"/>
      <c r="GQ671" s="12"/>
      <c r="GR671" s="14"/>
      <c r="GS671" s="16"/>
      <c r="GT671" s="14"/>
      <c r="GU671" s="12"/>
      <c r="GV671" s="14"/>
      <c r="GW671" s="16"/>
      <c r="GX671" s="14"/>
      <c r="GY671" s="12"/>
      <c r="GZ671" s="14"/>
      <c r="HA671" s="16"/>
      <c r="HB671" s="14"/>
      <c r="HC671" s="12"/>
      <c r="HD671" s="12"/>
      <c r="HE671" s="14"/>
      <c r="HF671" s="16"/>
      <c r="HG671" s="14"/>
      <c r="HH671" s="12" t="s">
        <v>320</v>
      </c>
      <c r="HI671" s="12" t="s">
        <v>361</v>
      </c>
      <c r="HJ671" s="12">
        <v>2016</v>
      </c>
      <c r="HK671" s="12" t="s">
        <v>320</v>
      </c>
      <c r="HL671" s="12" t="s">
        <v>319</v>
      </c>
      <c r="HM671" s="12"/>
      <c r="HN671" s="12"/>
      <c r="HO671" s="12"/>
      <c r="HP671" s="12" t="s">
        <v>330</v>
      </c>
      <c r="HQ671" s="12" t="s">
        <v>319</v>
      </c>
      <c r="HR671" s="12"/>
      <c r="HS671" s="12"/>
      <c r="HT671" s="12" t="s">
        <v>320</v>
      </c>
      <c r="HU671" s="12"/>
      <c r="HV671" s="12"/>
      <c r="HW671" s="12" t="s">
        <v>320</v>
      </c>
      <c r="HX671" s="12"/>
      <c r="HY671" s="12"/>
      <c r="HZ671" s="12" t="s">
        <v>394</v>
      </c>
      <c r="IA671" s="12"/>
      <c r="IB671" s="12" t="s">
        <v>667</v>
      </c>
      <c r="IC671" s="12"/>
      <c r="ID671" s="12" t="s">
        <v>334</v>
      </c>
      <c r="IE671" s="12" t="s">
        <v>335</v>
      </c>
      <c r="IF671" s="12" t="s">
        <v>320</v>
      </c>
      <c r="IG671" s="12" t="s">
        <v>320</v>
      </c>
      <c r="IH671" s="12" t="s">
        <v>320</v>
      </c>
      <c r="II671" s="12" t="s">
        <v>320</v>
      </c>
      <c r="IJ671" s="12" t="str">
        <f t="shared" si="431"/>
        <v>2. Sensitive</v>
      </c>
      <c r="IK671" s="12">
        <f t="shared" si="432"/>
        <v>4</v>
      </c>
      <c r="IL671" s="12" t="s">
        <v>336</v>
      </c>
      <c r="IM671" s="12" t="s">
        <v>320</v>
      </c>
      <c r="IN671" s="12" t="s">
        <v>320</v>
      </c>
      <c r="IO671" s="12" t="s">
        <v>320</v>
      </c>
      <c r="IP671" s="12" t="s">
        <v>320</v>
      </c>
      <c r="IQ671" s="12" t="str">
        <f t="shared" si="433"/>
        <v>2. Accommodating</v>
      </c>
      <c r="IR671" s="12">
        <f t="shared" si="434"/>
        <v>4</v>
      </c>
      <c r="IS671" s="12"/>
      <c r="IT671" s="12" t="s">
        <v>320</v>
      </c>
      <c r="IU671" s="12"/>
      <c r="IV671" s="12"/>
      <c r="IW671" s="11" t="str">
        <f t="shared" si="435"/>
        <v>No marker score</v>
      </c>
      <c r="IX671" s="12">
        <f t="shared" si="436"/>
        <v>1</v>
      </c>
      <c r="IY671" s="12" t="s">
        <v>758</v>
      </c>
      <c r="IZ671" s="12" t="s">
        <v>339</v>
      </c>
      <c r="JA671" s="12"/>
      <c r="JB671" s="12"/>
      <c r="JC671" s="12"/>
      <c r="JD671" s="12"/>
      <c r="JE671" s="12"/>
      <c r="JF671" s="12"/>
      <c r="JG671" s="12" t="s">
        <v>10985</v>
      </c>
      <c r="JH671" s="12" t="s">
        <v>10986</v>
      </c>
      <c r="JI671" s="12" t="s">
        <v>10987</v>
      </c>
      <c r="JJ671" s="12" t="s">
        <v>10988</v>
      </c>
      <c r="JK671" s="12" t="s">
        <v>10989</v>
      </c>
      <c r="JL671" s="12" t="s">
        <v>10990</v>
      </c>
      <c r="JM671" s="12"/>
      <c r="JN671" s="12"/>
      <c r="JO671" s="12" t="s">
        <v>10825</v>
      </c>
      <c r="JP671" s="15">
        <f t="shared" si="437"/>
        <v>0</v>
      </c>
      <c r="JQ671" s="15">
        <f t="shared" si="438"/>
        <v>0</v>
      </c>
      <c r="JR671" s="279" t="str">
        <f t="shared" si="439"/>
        <v/>
      </c>
      <c r="JS671" s="17" t="str">
        <f t="shared" si="440"/>
        <v/>
      </c>
      <c r="JT671" s="18" t="str">
        <f t="shared" si="441"/>
        <v/>
      </c>
      <c r="JU671" s="280">
        <f t="shared" si="442"/>
        <v>0</v>
      </c>
      <c r="JV671" s="280">
        <f t="shared" si="443"/>
        <v>0</v>
      </c>
      <c r="JW671" s="319">
        <f t="shared" si="444"/>
        <v>1</v>
      </c>
      <c r="JX671" s="15">
        <f t="shared" si="445"/>
        <v>0</v>
      </c>
      <c r="JY671" s="15">
        <f t="shared" si="446"/>
        <v>0</v>
      </c>
      <c r="JZ671" s="19" t="str">
        <f t="shared" si="447"/>
        <v/>
      </c>
      <c r="KA671" s="52">
        <f t="shared" si="448"/>
        <v>1</v>
      </c>
      <c r="KB671" s="15">
        <f t="shared" si="449"/>
        <v>8225</v>
      </c>
      <c r="KC671" s="15">
        <f t="shared" si="450"/>
        <v>0</v>
      </c>
      <c r="KD671" s="20">
        <f t="shared" si="451"/>
        <v>0</v>
      </c>
      <c r="KE671" s="52" t="str">
        <f t="shared" si="452"/>
        <v/>
      </c>
      <c r="KF671" s="15">
        <f t="shared" si="453"/>
        <v>0</v>
      </c>
      <c r="KG671" s="15">
        <f t="shared" si="454"/>
        <v>0</v>
      </c>
      <c r="KH671" s="21" t="str">
        <f t="shared" si="455"/>
        <v/>
      </c>
      <c r="KI671" s="52" t="str">
        <f t="shared" si="456"/>
        <v/>
      </c>
      <c r="KJ671" s="15">
        <f t="shared" si="457"/>
        <v>0</v>
      </c>
      <c r="KK671" s="15">
        <f t="shared" si="458"/>
        <v>0</v>
      </c>
      <c r="KL671" s="19" t="str">
        <f t="shared" si="459"/>
        <v/>
      </c>
      <c r="KM671" s="52" t="str">
        <f t="shared" si="460"/>
        <v/>
      </c>
      <c r="KN671" s="22">
        <f t="shared" si="461"/>
        <v>0</v>
      </c>
      <c r="KO671" s="22">
        <f t="shared" si="462"/>
        <v>0</v>
      </c>
      <c r="KP671" s="19" t="str">
        <f t="shared" si="463"/>
        <v/>
      </c>
      <c r="KQ671" s="11" t="str">
        <f t="shared" si="464"/>
        <v>2. Sensitive</v>
      </c>
      <c r="KR671" s="11" t="str">
        <f t="shared" si="465"/>
        <v>2. Accommodating</v>
      </c>
      <c r="KS671" s="11" t="str">
        <f t="shared" si="466"/>
        <v>No marker score</v>
      </c>
      <c r="KT671" s="11" t="str">
        <f t="shared" si="467"/>
        <v>It tested new ways for fighting poverty, but did not measure results of innovation</v>
      </c>
      <c r="KU671" s="11" t="str">
        <f t="shared" si="468"/>
        <v>Moderate advocacy</v>
      </c>
      <c r="KV671" s="11" t="str">
        <f t="shared" si="469"/>
        <v>It took tested solutions to scale on its own</v>
      </c>
      <c r="KW671" s="11" t="str">
        <f t="shared" si="470"/>
        <v>Somalia - Somalia Emergency Response Project</v>
      </c>
      <c r="KX671" s="11" t="str">
        <f t="shared" si="471"/>
        <v>Somalia Emergency Response Project</v>
      </c>
      <c r="KY671" s="11" t="str">
        <f t="shared" si="472"/>
        <v>Somalia</v>
      </c>
      <c r="KZ671" s="12">
        <v>671</v>
      </c>
    </row>
    <row r="672" spans="1:312" x14ac:dyDescent="0.3">
      <c r="A672" s="12" t="s">
        <v>10685</v>
      </c>
      <c r="B672" s="12" t="s">
        <v>1874</v>
      </c>
      <c r="C672" s="12">
        <v>3331</v>
      </c>
      <c r="D672" s="12" t="s">
        <v>10826</v>
      </c>
      <c r="E672" s="277" t="str">
        <f t="shared" si="430"/>
        <v>Somalia</v>
      </c>
      <c r="F672" s="12" t="s">
        <v>10827</v>
      </c>
      <c r="G672" s="12" t="s">
        <v>425</v>
      </c>
      <c r="H672" s="12" t="s">
        <v>380</v>
      </c>
      <c r="I672" s="12" t="s">
        <v>907</v>
      </c>
      <c r="J672" s="281" t="s">
        <v>5183</v>
      </c>
      <c r="K672" s="12"/>
      <c r="L672" s="12"/>
      <c r="M672" s="12"/>
      <c r="N672" s="12"/>
      <c r="O672" s="12"/>
      <c r="P672" s="12"/>
      <c r="Q672" s="12"/>
      <c r="R672" s="12"/>
      <c r="S672" s="12"/>
      <c r="T672" s="12"/>
      <c r="U672" s="12"/>
      <c r="V672" s="12"/>
      <c r="W672" s="12"/>
      <c r="X672" s="12"/>
      <c r="Y672" s="12"/>
      <c r="Z672" s="12"/>
      <c r="AA672" s="12"/>
      <c r="AB672" s="12"/>
      <c r="AC672" s="12"/>
      <c r="AD672" s="12"/>
      <c r="BD672" s="13">
        <v>42491</v>
      </c>
      <c r="BE672" s="13">
        <v>42794</v>
      </c>
      <c r="BF672" s="12"/>
      <c r="BG672" s="12" t="s">
        <v>817</v>
      </c>
      <c r="BH672" s="14">
        <v>831171</v>
      </c>
      <c r="BI672" s="12" t="s">
        <v>10699</v>
      </c>
      <c r="BJ672" s="12" t="s">
        <v>10700</v>
      </c>
      <c r="BK672" s="12" t="s">
        <v>10701</v>
      </c>
      <c r="BL672" s="12" t="s">
        <v>10702</v>
      </c>
      <c r="BM672" s="12" t="s">
        <v>10703</v>
      </c>
      <c r="BN672" s="12" t="s">
        <v>10704</v>
      </c>
      <c r="BO672" s="12" t="s">
        <v>320</v>
      </c>
      <c r="BP672" s="12" t="s">
        <v>319</v>
      </c>
      <c r="BQ672" s="12" t="s">
        <v>319</v>
      </c>
      <c r="BR672" s="12" t="s">
        <v>10828</v>
      </c>
      <c r="BS672" s="12" t="s">
        <v>322</v>
      </c>
      <c r="BT672" s="12" t="s">
        <v>10829</v>
      </c>
      <c r="BU672" s="12" t="s">
        <v>10707</v>
      </c>
      <c r="BV672" s="14">
        <v>35990</v>
      </c>
      <c r="BW672" s="14">
        <v>35840</v>
      </c>
      <c r="BX672" s="14">
        <v>71830</v>
      </c>
      <c r="BY672" s="14"/>
      <c r="BZ672" s="14"/>
      <c r="CA672" s="14"/>
      <c r="CB672" s="12" t="s">
        <v>10708</v>
      </c>
      <c r="CD672" s="14">
        <v>38732</v>
      </c>
      <c r="CE672" s="14">
        <v>43461</v>
      </c>
      <c r="CF672" s="14">
        <v>82193</v>
      </c>
      <c r="CG672" s="14"/>
      <c r="CH672" s="14"/>
      <c r="CI672" s="14"/>
      <c r="CJ672" s="12" t="s">
        <v>319</v>
      </c>
      <c r="CK672" s="14"/>
      <c r="CL672" s="16"/>
      <c r="CM672" s="14"/>
      <c r="CN672" s="12" t="s">
        <v>320</v>
      </c>
      <c r="CO672" s="14">
        <v>15000</v>
      </c>
      <c r="CP672" s="16"/>
      <c r="CQ672" s="14"/>
      <c r="CR672" s="12" t="s">
        <v>319</v>
      </c>
      <c r="CS672" s="14"/>
      <c r="CT672" s="16"/>
      <c r="CU672" s="14"/>
      <c r="CV672" s="12" t="s">
        <v>319</v>
      </c>
      <c r="CW672" s="14"/>
      <c r="CX672" s="16"/>
      <c r="CY672" s="14"/>
      <c r="CZ672" s="12" t="s">
        <v>319</v>
      </c>
      <c r="DA672" s="14"/>
      <c r="DB672" s="16"/>
      <c r="DC672" s="14"/>
      <c r="DD672" s="12" t="s">
        <v>319</v>
      </c>
      <c r="DE672" s="14"/>
      <c r="DF672" s="16"/>
      <c r="DG672" s="14"/>
      <c r="DH672" s="12" t="s">
        <v>319</v>
      </c>
      <c r="DI672" s="14"/>
      <c r="DJ672" s="16"/>
      <c r="DK672" s="14"/>
      <c r="DL672" s="11" t="s">
        <v>320</v>
      </c>
      <c r="DM672" s="14">
        <v>10000</v>
      </c>
      <c r="DN672" s="16"/>
      <c r="DO672" s="14"/>
      <c r="DP672" s="12" t="s">
        <v>319</v>
      </c>
      <c r="DQ672" s="14"/>
      <c r="DR672" s="16"/>
      <c r="DS672" s="14"/>
      <c r="DT672" s="12" t="s">
        <v>319</v>
      </c>
      <c r="DU672" s="14"/>
      <c r="DV672" s="16"/>
      <c r="DW672" s="14"/>
      <c r="DX672" s="12" t="s">
        <v>319</v>
      </c>
      <c r="DY672" s="14"/>
      <c r="DZ672" s="16"/>
      <c r="EA672" s="14"/>
      <c r="EB672" s="11" t="s">
        <v>320</v>
      </c>
      <c r="EC672" s="14">
        <v>57193</v>
      </c>
      <c r="ED672" s="16"/>
      <c r="EE672" s="14"/>
      <c r="EF672" s="12"/>
      <c r="EG672" s="12"/>
      <c r="EH672" s="14"/>
      <c r="EI672" s="16"/>
      <c r="EJ672" s="14"/>
      <c r="EK672" s="14"/>
      <c r="EL672" s="14"/>
      <c r="EM672" s="14"/>
      <c r="EN672" s="14"/>
      <c r="EO672" s="14"/>
      <c r="EP672" s="14"/>
      <c r="EQ672" s="12"/>
      <c r="ER672" s="14"/>
      <c r="ES672" s="16"/>
      <c r="ET672" s="14"/>
      <c r="EU672" s="12"/>
      <c r="EV672" s="14"/>
      <c r="EW672" s="16"/>
      <c r="EX672" s="14"/>
      <c r="EY672" s="12"/>
      <c r="EZ672" s="14"/>
      <c r="FA672" s="16"/>
      <c r="FB672" s="14"/>
      <c r="FC672" s="12"/>
      <c r="FD672" s="14"/>
      <c r="FE672" s="16"/>
      <c r="FF672" s="14"/>
      <c r="FG672" s="12"/>
      <c r="FH672" s="14"/>
      <c r="FI672" s="16"/>
      <c r="FJ672" s="14"/>
      <c r="FK672" s="12"/>
      <c r="FL672" s="14"/>
      <c r="FM672" s="16"/>
      <c r="FN672" s="14"/>
      <c r="FO672" s="12"/>
      <c r="FP672" s="14"/>
      <c r="FQ672" s="16"/>
      <c r="FR672" s="14"/>
      <c r="FS672" s="12"/>
      <c r="FT672" s="14"/>
      <c r="FU672" s="16"/>
      <c r="FV672" s="14"/>
      <c r="FW672" s="12"/>
      <c r="FX672" s="14"/>
      <c r="FY672" s="16"/>
      <c r="FZ672" s="14"/>
      <c r="GA672" s="12"/>
      <c r="GB672" s="14"/>
      <c r="GC672" s="16"/>
      <c r="GD672" s="14"/>
      <c r="GE672" s="12"/>
      <c r="GF672" s="14"/>
      <c r="GG672" s="16"/>
      <c r="GH672" s="14"/>
      <c r="GI672" s="12"/>
      <c r="GJ672" s="14"/>
      <c r="GK672" s="16"/>
      <c r="GL672" s="14"/>
      <c r="GM672" s="12"/>
      <c r="GN672" s="14"/>
      <c r="GO672" s="16"/>
      <c r="GP672" s="14"/>
      <c r="GQ672" s="12"/>
      <c r="GR672" s="14"/>
      <c r="GS672" s="16"/>
      <c r="GT672" s="14"/>
      <c r="GU672" s="12"/>
      <c r="GV672" s="14"/>
      <c r="GW672" s="16"/>
      <c r="GX672" s="14"/>
      <c r="GY672" s="12"/>
      <c r="GZ672" s="14"/>
      <c r="HA672" s="16"/>
      <c r="HB672" s="14"/>
      <c r="HC672" s="12"/>
      <c r="HD672" s="12"/>
      <c r="HE672" s="14"/>
      <c r="HF672" s="16"/>
      <c r="HG672" s="14"/>
      <c r="HH672" s="12" t="s">
        <v>320</v>
      </c>
      <c r="HI672" s="12" t="s">
        <v>361</v>
      </c>
      <c r="HJ672" s="12">
        <v>2016</v>
      </c>
      <c r="HK672" s="12" t="s">
        <v>319</v>
      </c>
      <c r="HL672" s="12" t="s">
        <v>319</v>
      </c>
      <c r="HM672" s="12"/>
      <c r="HN672" s="12"/>
      <c r="HO672" s="12"/>
      <c r="HP672" s="12" t="s">
        <v>330</v>
      </c>
      <c r="HQ672" s="12" t="s">
        <v>319</v>
      </c>
      <c r="HR672" s="12" t="s">
        <v>320</v>
      </c>
      <c r="HS672" s="12" t="s">
        <v>320</v>
      </c>
      <c r="HT672" s="12" t="s">
        <v>320</v>
      </c>
      <c r="HU672" s="12" t="s">
        <v>319</v>
      </c>
      <c r="HV672" s="12" t="s">
        <v>319</v>
      </c>
      <c r="HW672" s="12" t="s">
        <v>319</v>
      </c>
      <c r="HX672" s="12" t="s">
        <v>319</v>
      </c>
      <c r="HY672" s="12"/>
      <c r="HZ672" s="12" t="s">
        <v>363</v>
      </c>
      <c r="IA672" s="12"/>
      <c r="IB672" s="12" t="s">
        <v>667</v>
      </c>
      <c r="IC672" s="12"/>
      <c r="ID672" s="12" t="s">
        <v>334</v>
      </c>
      <c r="IE672" s="12" t="s">
        <v>335</v>
      </c>
      <c r="IF672" s="12" t="s">
        <v>320</v>
      </c>
      <c r="IG672" s="12" t="s">
        <v>320</v>
      </c>
      <c r="IH672" s="12" t="s">
        <v>320</v>
      </c>
      <c r="II672" s="12" t="s">
        <v>320</v>
      </c>
      <c r="IJ672" s="12" t="str">
        <f t="shared" si="431"/>
        <v>2. Sensitive</v>
      </c>
      <c r="IK672" s="12">
        <f t="shared" si="432"/>
        <v>4</v>
      </c>
      <c r="IL672" s="12" t="s">
        <v>336</v>
      </c>
      <c r="IM672" s="12" t="s">
        <v>320</v>
      </c>
      <c r="IN672" s="12" t="s">
        <v>320</v>
      </c>
      <c r="IO672" s="12" t="s">
        <v>320</v>
      </c>
      <c r="IP672" s="12" t="s">
        <v>320</v>
      </c>
      <c r="IQ672" s="12" t="str">
        <f t="shared" si="433"/>
        <v>2. Accommodating</v>
      </c>
      <c r="IR672" s="12">
        <f t="shared" si="434"/>
        <v>4</v>
      </c>
      <c r="IS672" s="12" t="s">
        <v>337</v>
      </c>
      <c r="IT672" s="12" t="s">
        <v>320</v>
      </c>
      <c r="IU672" s="12"/>
      <c r="IV672" s="12" t="s">
        <v>320</v>
      </c>
      <c r="IW672" s="11" t="str">
        <f t="shared" si="435"/>
        <v>1. Neutral</v>
      </c>
      <c r="IX672" s="12">
        <f t="shared" si="436"/>
        <v>2</v>
      </c>
      <c r="IY672" s="12" t="s">
        <v>419</v>
      </c>
      <c r="IZ672" s="12" t="s">
        <v>432</v>
      </c>
      <c r="JA672" s="12">
        <v>1</v>
      </c>
      <c r="JB672" s="12" t="s">
        <v>433</v>
      </c>
      <c r="JC672" s="12"/>
      <c r="JD672" s="12"/>
      <c r="JE672" s="12" t="s">
        <v>420</v>
      </c>
      <c r="JF672" s="12"/>
      <c r="JG672" s="12"/>
      <c r="JH672" s="12" t="s">
        <v>10830</v>
      </c>
      <c r="JI672" s="12" t="s">
        <v>10831</v>
      </c>
      <c r="JJ672" s="12" t="s">
        <v>10832</v>
      </c>
      <c r="JK672" s="12" t="s">
        <v>10833</v>
      </c>
      <c r="JL672" s="12" t="s">
        <v>10834</v>
      </c>
      <c r="JM672" s="12" t="s">
        <v>10835</v>
      </c>
      <c r="JN672" s="12"/>
      <c r="JO672" s="12" t="s">
        <v>10836</v>
      </c>
      <c r="JP672" s="15">
        <f t="shared" si="437"/>
        <v>82193</v>
      </c>
      <c r="JQ672" s="15">
        <f t="shared" si="438"/>
        <v>0</v>
      </c>
      <c r="JR672" s="279">
        <f t="shared" si="439"/>
        <v>0</v>
      </c>
      <c r="JS672" s="17">
        <f t="shared" si="440"/>
        <v>0.47123234338690645</v>
      </c>
      <c r="JT672" s="18" t="str">
        <f t="shared" si="441"/>
        <v/>
      </c>
      <c r="JU672" s="280">
        <f t="shared" si="442"/>
        <v>38732</v>
      </c>
      <c r="JV672" s="280">
        <f t="shared" si="443"/>
        <v>0</v>
      </c>
      <c r="JW672" s="319">
        <f t="shared" si="444"/>
        <v>1</v>
      </c>
      <c r="JX672" s="15">
        <f t="shared" si="445"/>
        <v>82193</v>
      </c>
      <c r="JY672" s="15">
        <f t="shared" si="446"/>
        <v>0</v>
      </c>
      <c r="JZ672" s="19">
        <f t="shared" si="447"/>
        <v>0</v>
      </c>
      <c r="KA672" s="52">
        <f t="shared" si="448"/>
        <v>1</v>
      </c>
      <c r="KB672" s="15">
        <f t="shared" si="449"/>
        <v>10000</v>
      </c>
      <c r="KC672" s="15">
        <f t="shared" si="450"/>
        <v>0</v>
      </c>
      <c r="KD672" s="20">
        <f t="shared" si="451"/>
        <v>0</v>
      </c>
      <c r="KE672" s="52" t="str">
        <f t="shared" si="452"/>
        <v/>
      </c>
      <c r="KF672" s="15">
        <f t="shared" si="453"/>
        <v>0</v>
      </c>
      <c r="KG672" s="15">
        <f t="shared" si="454"/>
        <v>0</v>
      </c>
      <c r="KH672" s="21" t="str">
        <f t="shared" si="455"/>
        <v/>
      </c>
      <c r="KI672" s="52" t="str">
        <f t="shared" si="456"/>
        <v/>
      </c>
      <c r="KJ672" s="15">
        <f t="shared" si="457"/>
        <v>0</v>
      </c>
      <c r="KK672" s="15">
        <f t="shared" si="458"/>
        <v>0</v>
      </c>
      <c r="KL672" s="19" t="str">
        <f t="shared" si="459"/>
        <v/>
      </c>
      <c r="KM672" s="52" t="str">
        <f t="shared" si="460"/>
        <v/>
      </c>
      <c r="KN672" s="22">
        <f t="shared" si="461"/>
        <v>0</v>
      </c>
      <c r="KO672" s="22">
        <f t="shared" si="462"/>
        <v>0</v>
      </c>
      <c r="KP672" s="19" t="str">
        <f t="shared" si="463"/>
        <v/>
      </c>
      <c r="KQ672" s="11" t="str">
        <f t="shared" si="464"/>
        <v>2. Sensitive</v>
      </c>
      <c r="KR672" s="11" t="str">
        <f t="shared" si="465"/>
        <v>2. Accommodating</v>
      </c>
      <c r="KS672" s="11" t="str">
        <f t="shared" si="466"/>
        <v>1. Neutral</v>
      </c>
      <c r="KT672" s="11" t="str">
        <f t="shared" si="467"/>
        <v>It did not develop any specific innovation</v>
      </c>
      <c r="KU672" s="11" t="str">
        <f t="shared" si="468"/>
        <v>Moderate advocacy</v>
      </c>
      <c r="KV672" s="11" t="str">
        <f t="shared" si="469"/>
        <v>It took tested solutions to scale on its own</v>
      </c>
      <c r="KW672" s="11" t="str">
        <f t="shared" si="470"/>
        <v>Somalia - Somalia Humanitarian Emergency Response project</v>
      </c>
      <c r="KX672" s="11" t="str">
        <f t="shared" si="471"/>
        <v>Somalia Humanitarian Emergency Response project</v>
      </c>
      <c r="KY672" s="11" t="str">
        <f t="shared" si="472"/>
        <v>Somalia</v>
      </c>
      <c r="KZ672" s="12">
        <v>672</v>
      </c>
    </row>
    <row r="673" spans="1:312" x14ac:dyDescent="0.3">
      <c r="A673" s="12" t="s">
        <v>10685</v>
      </c>
      <c r="B673" s="12" t="s">
        <v>1874</v>
      </c>
      <c r="C673" s="12">
        <v>3341</v>
      </c>
      <c r="D673" s="12" t="s">
        <v>10837</v>
      </c>
      <c r="E673" s="277" t="str">
        <f t="shared" si="430"/>
        <v>Somalia</v>
      </c>
      <c r="F673" s="12" t="s">
        <v>10838</v>
      </c>
      <c r="G673" s="12" t="s">
        <v>425</v>
      </c>
      <c r="H673" s="12" t="s">
        <v>380</v>
      </c>
      <c r="I673" s="12" t="s">
        <v>517</v>
      </c>
      <c r="J673" s="281" t="s">
        <v>14578</v>
      </c>
      <c r="K673" s="12"/>
      <c r="L673" s="12" t="s">
        <v>425</v>
      </c>
      <c r="M673" s="12"/>
      <c r="N673" s="12"/>
      <c r="O673" s="12"/>
      <c r="P673" s="12"/>
      <c r="Q673" s="12" t="s">
        <v>425</v>
      </c>
      <c r="R673" s="12"/>
      <c r="S673" s="12"/>
      <c r="T673" s="12"/>
      <c r="U673" s="12"/>
      <c r="V673" s="12" t="s">
        <v>425</v>
      </c>
      <c r="W673" s="12"/>
      <c r="X673" s="12"/>
      <c r="Y673" s="12"/>
      <c r="Z673" s="12"/>
      <c r="AA673" s="12" t="s">
        <v>425</v>
      </c>
      <c r="AB673" s="12"/>
      <c r="AC673" s="12"/>
      <c r="AD673" s="12"/>
      <c r="BD673" s="13">
        <v>42370</v>
      </c>
      <c r="BE673" s="13">
        <v>43466</v>
      </c>
      <c r="BF673" s="12"/>
      <c r="BG673" s="12" t="s">
        <v>908</v>
      </c>
      <c r="BH673" s="14">
        <v>3161085</v>
      </c>
      <c r="BI673" s="12" t="s">
        <v>10839</v>
      </c>
      <c r="BJ673" s="12" t="s">
        <v>10840</v>
      </c>
      <c r="BK673" s="12" t="s">
        <v>10841</v>
      </c>
      <c r="BL673" s="12" t="s">
        <v>10842</v>
      </c>
      <c r="BM673" s="12" t="s">
        <v>10843</v>
      </c>
      <c r="BN673" s="12" t="s">
        <v>10844</v>
      </c>
      <c r="BO673" s="12" t="s">
        <v>320</v>
      </c>
      <c r="BP673" s="12" t="s">
        <v>320</v>
      </c>
      <c r="BQ673" s="12" t="s">
        <v>320</v>
      </c>
      <c r="BR673" s="12" t="s">
        <v>10845</v>
      </c>
      <c r="BS673" s="12" t="s">
        <v>357</v>
      </c>
      <c r="BT673" s="12" t="s">
        <v>10846</v>
      </c>
      <c r="BU673" s="12" t="s">
        <v>10847</v>
      </c>
      <c r="BV673" s="14">
        <v>21629</v>
      </c>
      <c r="BW673" s="14">
        <v>32443</v>
      </c>
      <c r="BX673" s="14">
        <v>54072</v>
      </c>
      <c r="BY673" s="14"/>
      <c r="BZ673" s="14"/>
      <c r="CA673" s="14"/>
      <c r="CB673" s="12" t="s">
        <v>10848</v>
      </c>
      <c r="CD673" s="14"/>
      <c r="CE673" s="14"/>
      <c r="CF673" s="14">
        <v>2388</v>
      </c>
      <c r="CG673" s="14"/>
      <c r="CH673" s="14"/>
      <c r="CI673" s="14"/>
      <c r="CJ673" s="12"/>
      <c r="CK673" s="14"/>
      <c r="CL673" s="16"/>
      <c r="CM673" s="14"/>
      <c r="CN673" s="12" t="s">
        <v>320</v>
      </c>
      <c r="CO673" s="14">
        <v>1507</v>
      </c>
      <c r="CP673" s="16"/>
      <c r="CQ673" s="14"/>
      <c r="CR673" s="12" t="s">
        <v>319</v>
      </c>
      <c r="CS673" s="14"/>
      <c r="CT673" s="16"/>
      <c r="CU673" s="14"/>
      <c r="CV673" s="12" t="s">
        <v>320</v>
      </c>
      <c r="CW673" s="14">
        <v>881</v>
      </c>
      <c r="CX673" s="16"/>
      <c r="CY673" s="14"/>
      <c r="CZ673" s="12"/>
      <c r="DA673" s="14"/>
      <c r="DB673" s="16"/>
      <c r="DC673" s="14"/>
      <c r="DD673" s="12"/>
      <c r="DE673" s="14"/>
      <c r="DF673" s="16"/>
      <c r="DG673" s="14"/>
      <c r="DH673" s="12"/>
      <c r="DI673" s="14"/>
      <c r="DJ673" s="16"/>
      <c r="DK673" s="14"/>
      <c r="DL673" s="12"/>
      <c r="DM673" s="14"/>
      <c r="DN673" s="16"/>
      <c r="DO673" s="14"/>
      <c r="DP673" s="12"/>
      <c r="DQ673" s="14"/>
      <c r="DR673" s="16"/>
      <c r="DS673" s="14"/>
      <c r="DT673" s="12"/>
      <c r="DU673" s="14"/>
      <c r="DV673" s="16"/>
      <c r="DW673" s="14"/>
      <c r="DX673" s="12"/>
      <c r="DY673" s="14"/>
      <c r="DZ673" s="16"/>
      <c r="EA673" s="14"/>
      <c r="EB673" s="12"/>
      <c r="EC673" s="14"/>
      <c r="ED673" s="16"/>
      <c r="EE673" s="14"/>
      <c r="EF673" s="12"/>
      <c r="EG673" s="12"/>
      <c r="EH673" s="14"/>
      <c r="EI673" s="16"/>
      <c r="EJ673" s="14"/>
      <c r="EK673" s="14">
        <v>21629</v>
      </c>
      <c r="EL673" s="14">
        <v>32443</v>
      </c>
      <c r="EM673" s="14">
        <v>54072</v>
      </c>
      <c r="EN673" s="14"/>
      <c r="EO673" s="14"/>
      <c r="EP673" s="14"/>
      <c r="EQ673" s="12" t="s">
        <v>320</v>
      </c>
      <c r="ER673" s="14"/>
      <c r="ES673" s="16"/>
      <c r="ET673" s="14"/>
      <c r="EU673" s="11" t="s">
        <v>320</v>
      </c>
      <c r="EV673" s="14">
        <v>54072</v>
      </c>
      <c r="EW673" s="16">
        <v>0.4</v>
      </c>
      <c r="EX673" s="14"/>
      <c r="EY673" s="12" t="s">
        <v>320</v>
      </c>
      <c r="EZ673" s="14"/>
      <c r="FA673" s="16"/>
      <c r="FB673" s="14"/>
      <c r="FC673" s="12" t="s">
        <v>320</v>
      </c>
      <c r="FD673" s="14"/>
      <c r="FE673" s="16"/>
      <c r="FF673" s="14"/>
      <c r="FG673" s="12" t="s">
        <v>319</v>
      </c>
      <c r="FH673" s="14"/>
      <c r="FI673" s="16"/>
      <c r="FJ673" s="14"/>
      <c r="FK673" s="12" t="s">
        <v>319</v>
      </c>
      <c r="FL673" s="14"/>
      <c r="FM673" s="16"/>
      <c r="FN673" s="14"/>
      <c r="FO673" s="12" t="s">
        <v>320</v>
      </c>
      <c r="FP673" s="14"/>
      <c r="FQ673" s="16"/>
      <c r="FR673" s="14"/>
      <c r="FS673" s="12" t="s">
        <v>319</v>
      </c>
      <c r="FT673" s="14"/>
      <c r="FU673" s="16"/>
      <c r="FV673" s="14"/>
      <c r="FW673" s="12" t="s">
        <v>319</v>
      </c>
      <c r="FX673" s="14"/>
      <c r="FY673" s="16"/>
      <c r="FZ673" s="14"/>
      <c r="GA673" s="12" t="s">
        <v>319</v>
      </c>
      <c r="GB673" s="14"/>
      <c r="GC673" s="16"/>
      <c r="GD673" s="14"/>
      <c r="GE673" s="12" t="s">
        <v>320</v>
      </c>
      <c r="GF673" s="14"/>
      <c r="GG673" s="16"/>
      <c r="GH673" s="14"/>
      <c r="GI673" s="12" t="s">
        <v>320</v>
      </c>
      <c r="GJ673" s="14"/>
      <c r="GK673" s="16"/>
      <c r="GL673" s="14"/>
      <c r="GM673" s="12" t="s">
        <v>320</v>
      </c>
      <c r="GN673" s="14"/>
      <c r="GO673" s="16"/>
      <c r="GP673" s="14"/>
      <c r="GQ673" s="12" t="s">
        <v>319</v>
      </c>
      <c r="GR673" s="14"/>
      <c r="GS673" s="16"/>
      <c r="GT673" s="14"/>
      <c r="GU673" s="12" t="s">
        <v>320</v>
      </c>
      <c r="GV673" s="14"/>
      <c r="GW673" s="16"/>
      <c r="GX673" s="14"/>
      <c r="GY673" s="12" t="s">
        <v>319</v>
      </c>
      <c r="GZ673" s="14"/>
      <c r="HA673" s="16"/>
      <c r="HB673" s="14"/>
      <c r="HC673" s="12"/>
      <c r="HD673" s="12"/>
      <c r="HE673" s="14"/>
      <c r="HF673" s="16"/>
      <c r="HG673" s="14"/>
      <c r="HH673" s="12" t="s">
        <v>319</v>
      </c>
      <c r="HI673" s="12" t="s">
        <v>1175</v>
      </c>
      <c r="HJ673" s="12"/>
      <c r="HK673" s="12" t="s">
        <v>319</v>
      </c>
      <c r="HL673" s="12" t="s">
        <v>319</v>
      </c>
      <c r="HM673" s="12"/>
      <c r="HN673" s="12"/>
      <c r="HO673" s="12"/>
      <c r="HP673" s="12" t="s">
        <v>418</v>
      </c>
      <c r="HQ673" s="12" t="s">
        <v>319</v>
      </c>
      <c r="HR673" s="12" t="s">
        <v>320</v>
      </c>
      <c r="HS673" s="12" t="s">
        <v>320</v>
      </c>
      <c r="HT673" s="12" t="s">
        <v>320</v>
      </c>
      <c r="HU673" s="12" t="s">
        <v>320</v>
      </c>
      <c r="HV673" s="12" t="s">
        <v>319</v>
      </c>
      <c r="HW673" s="12" t="s">
        <v>320</v>
      </c>
      <c r="HX673" s="12"/>
      <c r="HY673" s="12"/>
      <c r="HZ673" s="12" t="s">
        <v>363</v>
      </c>
      <c r="IA673" s="12"/>
      <c r="IB673" s="12" t="s">
        <v>396</v>
      </c>
      <c r="IC673" s="12" t="s">
        <v>10849</v>
      </c>
      <c r="ID673" s="12" t="s">
        <v>364</v>
      </c>
      <c r="IE673" s="12" t="s">
        <v>335</v>
      </c>
      <c r="IF673" s="12" t="s">
        <v>320</v>
      </c>
      <c r="IG673" s="12" t="s">
        <v>320</v>
      </c>
      <c r="IH673" s="12" t="s">
        <v>320</v>
      </c>
      <c r="II673" s="12" t="s">
        <v>320</v>
      </c>
      <c r="IJ673" s="12" t="str">
        <f t="shared" si="431"/>
        <v>2. Sensitive</v>
      </c>
      <c r="IK673" s="12">
        <f t="shared" si="432"/>
        <v>4</v>
      </c>
      <c r="IL673" s="12" t="s">
        <v>336</v>
      </c>
      <c r="IM673" s="12" t="s">
        <v>320</v>
      </c>
      <c r="IN673" s="12" t="s">
        <v>319</v>
      </c>
      <c r="IO673" s="12" t="s">
        <v>320</v>
      </c>
      <c r="IP673" s="12" t="s">
        <v>320</v>
      </c>
      <c r="IQ673" s="12" t="str">
        <f t="shared" si="433"/>
        <v>2. Accommodating</v>
      </c>
      <c r="IR673" s="12">
        <f t="shared" si="434"/>
        <v>3</v>
      </c>
      <c r="IS673" s="12" t="s">
        <v>622</v>
      </c>
      <c r="IT673" s="12" t="s">
        <v>320</v>
      </c>
      <c r="IU673" s="12" t="s">
        <v>320</v>
      </c>
      <c r="IV673" s="12" t="s">
        <v>320</v>
      </c>
      <c r="IW673" s="11" t="str">
        <f t="shared" si="435"/>
        <v>4. Transformative</v>
      </c>
      <c r="IX673" s="12">
        <f t="shared" si="436"/>
        <v>3</v>
      </c>
      <c r="IY673" s="12" t="s">
        <v>419</v>
      </c>
      <c r="IZ673" s="12" t="s">
        <v>457</v>
      </c>
      <c r="JA673" s="12">
        <v>2</v>
      </c>
      <c r="JB673" s="12" t="s">
        <v>624</v>
      </c>
      <c r="JC673" s="12"/>
      <c r="JD673" s="12"/>
      <c r="JE673" s="12" t="s">
        <v>365</v>
      </c>
      <c r="JF673" s="12"/>
      <c r="JG673" s="12"/>
      <c r="JH673" s="12" t="s">
        <v>10733</v>
      </c>
      <c r="JI673" s="12" t="s">
        <v>10850</v>
      </c>
      <c r="JJ673" s="12" t="s">
        <v>10851</v>
      </c>
      <c r="JK673" s="12" t="s">
        <v>10852</v>
      </c>
      <c r="JL673" s="12" t="s">
        <v>10853</v>
      </c>
      <c r="JM673" s="12" t="s">
        <v>10854</v>
      </c>
      <c r="JN673" s="12"/>
      <c r="JO673" s="12"/>
      <c r="JP673" s="15">
        <f t="shared" si="437"/>
        <v>54072</v>
      </c>
      <c r="JQ673" s="15">
        <f t="shared" si="438"/>
        <v>0</v>
      </c>
      <c r="JR673" s="279">
        <f t="shared" si="439"/>
        <v>0</v>
      </c>
      <c r="JS673" s="17">
        <f t="shared" si="440"/>
        <v>0.4000036987720077</v>
      </c>
      <c r="JT673" s="18" t="str">
        <f t="shared" si="441"/>
        <v/>
      </c>
      <c r="JU673" s="280">
        <f t="shared" si="442"/>
        <v>21629</v>
      </c>
      <c r="JV673" s="280">
        <f t="shared" si="443"/>
        <v>0</v>
      </c>
      <c r="JW673" s="319">
        <f t="shared" si="444"/>
        <v>1</v>
      </c>
      <c r="JX673" s="15">
        <f t="shared" si="445"/>
        <v>2388</v>
      </c>
      <c r="JY673" s="15">
        <f t="shared" si="446"/>
        <v>0</v>
      </c>
      <c r="JZ673" s="19">
        <f t="shared" si="447"/>
        <v>0</v>
      </c>
      <c r="KA673" s="52">
        <f t="shared" si="448"/>
        <v>1</v>
      </c>
      <c r="KB673" s="15">
        <f t="shared" si="449"/>
        <v>54072</v>
      </c>
      <c r="KC673" s="15">
        <f t="shared" si="450"/>
        <v>0</v>
      </c>
      <c r="KD673" s="20">
        <f t="shared" si="451"/>
        <v>0</v>
      </c>
      <c r="KE673" s="52" t="str">
        <f t="shared" si="452"/>
        <v/>
      </c>
      <c r="KF673" s="15">
        <f t="shared" si="453"/>
        <v>0</v>
      </c>
      <c r="KG673" s="15">
        <f t="shared" si="454"/>
        <v>0</v>
      </c>
      <c r="KH673" s="21" t="str">
        <f t="shared" si="455"/>
        <v/>
      </c>
      <c r="KI673" s="52" t="str">
        <f t="shared" si="456"/>
        <v/>
      </c>
      <c r="KJ673" s="15">
        <f t="shared" si="457"/>
        <v>0</v>
      </c>
      <c r="KK673" s="15">
        <f t="shared" si="458"/>
        <v>0</v>
      </c>
      <c r="KL673" s="19" t="str">
        <f t="shared" si="459"/>
        <v/>
      </c>
      <c r="KM673" s="52" t="str">
        <f t="shared" si="460"/>
        <v/>
      </c>
      <c r="KN673" s="22">
        <f t="shared" si="461"/>
        <v>0</v>
      </c>
      <c r="KO673" s="22">
        <f t="shared" si="462"/>
        <v>0</v>
      </c>
      <c r="KP673" s="19" t="str">
        <f t="shared" si="463"/>
        <v/>
      </c>
      <c r="KQ673" s="11" t="str">
        <f t="shared" si="464"/>
        <v>2. Sensitive</v>
      </c>
      <c r="KR673" s="11" t="str">
        <f t="shared" si="465"/>
        <v>2. Accommodating</v>
      </c>
      <c r="KS673" s="11" t="str">
        <f t="shared" si="466"/>
        <v>4. Transformative</v>
      </c>
      <c r="KT673" s="11" t="str">
        <f t="shared" si="467"/>
        <v>It did not develop any specific innovation</v>
      </c>
      <c r="KU673" s="11" t="str">
        <f t="shared" si="468"/>
        <v>Little or no advocacy</v>
      </c>
      <c r="KV673" s="11" t="str">
        <f t="shared" si="469"/>
        <v>It linked and worked with strategic alliances and partners to take tested and effective solutions to scale</v>
      </c>
      <c r="KW673" s="11" t="str">
        <f t="shared" si="470"/>
        <v>Somalia - SOMALIA RESILIENCE PROGRAM (SOMREP) AFGOYE - South and Central Somalia Resilience &amp; Social Protection Programme</v>
      </c>
      <c r="KX673" s="11" t="str">
        <f t="shared" si="471"/>
        <v>SOMALIA RESILIENCE PROGRAM (SOMREP) AFGOYE - South and Central Somalia Resilience &amp; Social Protection Programme</v>
      </c>
      <c r="KY673" s="11" t="str">
        <f t="shared" si="472"/>
        <v>Somalia</v>
      </c>
      <c r="KZ673" s="287">
        <v>673</v>
      </c>
    </row>
    <row r="674" spans="1:312" x14ac:dyDescent="0.3">
      <c r="A674" s="12" t="s">
        <v>10685</v>
      </c>
      <c r="B674" s="12" t="s">
        <v>1874</v>
      </c>
      <c r="C674" s="12">
        <v>3340</v>
      </c>
      <c r="D674" s="12" t="s">
        <v>11059</v>
      </c>
      <c r="E674" s="277" t="str">
        <f t="shared" si="430"/>
        <v>Somalia</v>
      </c>
      <c r="F674" s="12" t="s">
        <v>11060</v>
      </c>
      <c r="G674" s="12" t="s">
        <v>608</v>
      </c>
      <c r="H674" s="12" t="s">
        <v>380</v>
      </c>
      <c r="I674" s="12" t="s">
        <v>384</v>
      </c>
      <c r="J674" s="281" t="s">
        <v>11061</v>
      </c>
      <c r="K674" s="12"/>
      <c r="L674" s="12"/>
      <c r="M674" s="12"/>
      <c r="N674" s="12"/>
      <c r="O674" s="12"/>
      <c r="P674" s="12"/>
      <c r="Q674" s="12"/>
      <c r="R674" s="12"/>
      <c r="S674" s="12"/>
      <c r="T674" s="12"/>
      <c r="U674" s="12"/>
      <c r="V674" s="12"/>
      <c r="W674" s="12"/>
      <c r="X674" s="12"/>
      <c r="Y674" s="12"/>
      <c r="Z674" s="12"/>
      <c r="AA674" s="12"/>
      <c r="AB674" s="12"/>
      <c r="AC674" s="12"/>
      <c r="AD674" s="12"/>
      <c r="BD674" s="13">
        <v>41562</v>
      </c>
      <c r="BE674" s="13">
        <v>42657</v>
      </c>
      <c r="BF674" s="12"/>
      <c r="BG674" s="12" t="s">
        <v>749</v>
      </c>
      <c r="BH674" s="14">
        <v>1863400</v>
      </c>
      <c r="BI674" s="12" t="s">
        <v>10961</v>
      </c>
      <c r="BJ674" s="12" t="s">
        <v>751</v>
      </c>
      <c r="BK674" s="12" t="s">
        <v>11062</v>
      </c>
      <c r="BL674" s="12" t="s">
        <v>10798</v>
      </c>
      <c r="BM674" s="12" t="s">
        <v>10963</v>
      </c>
      <c r="BN674" s="12" t="s">
        <v>10800</v>
      </c>
      <c r="BO674" s="12" t="s">
        <v>320</v>
      </c>
      <c r="BP674" s="12" t="s">
        <v>320</v>
      </c>
      <c r="BQ674" s="12" t="s">
        <v>320</v>
      </c>
      <c r="BR674" s="12" t="s">
        <v>11063</v>
      </c>
      <c r="BS674" s="12" t="s">
        <v>357</v>
      </c>
      <c r="BT674" s="12" t="s">
        <v>11064</v>
      </c>
      <c r="BU674" s="12" t="s">
        <v>11065</v>
      </c>
      <c r="BV674" s="14">
        <v>7320</v>
      </c>
      <c r="BW674" s="14">
        <v>10980</v>
      </c>
      <c r="BX674" s="14">
        <v>18300</v>
      </c>
      <c r="BY674" s="14">
        <v>43920</v>
      </c>
      <c r="BZ674" s="14">
        <v>65880</v>
      </c>
      <c r="CA674" s="14">
        <v>109800</v>
      </c>
      <c r="CB674" s="12" t="s">
        <v>11066</v>
      </c>
      <c r="CD674" s="14"/>
      <c r="CE674" s="14"/>
      <c r="CF674" s="14"/>
      <c r="CG674" s="14"/>
      <c r="CH674" s="14"/>
      <c r="CI674" s="14"/>
      <c r="CJ674" s="12"/>
      <c r="CK674" s="14"/>
      <c r="CL674" s="16"/>
      <c r="CM674" s="14"/>
      <c r="CN674" s="12" t="s">
        <v>320</v>
      </c>
      <c r="CO674" s="14"/>
      <c r="CP674" s="16"/>
      <c r="CQ674" s="14"/>
      <c r="CR674" s="12"/>
      <c r="CS674" s="14"/>
      <c r="CT674" s="16"/>
      <c r="CU674" s="14"/>
      <c r="CV674" s="12"/>
      <c r="CW674" s="14"/>
      <c r="CX674" s="16"/>
      <c r="CY674" s="14"/>
      <c r="CZ674" s="12"/>
      <c r="DA674" s="14"/>
      <c r="DB674" s="16"/>
      <c r="DC674" s="14"/>
      <c r="DD674" s="12"/>
      <c r="DE674" s="14"/>
      <c r="DF674" s="16"/>
      <c r="DG674" s="14"/>
      <c r="DH674" s="12"/>
      <c r="DI674" s="14"/>
      <c r="DJ674" s="16"/>
      <c r="DK674" s="14"/>
      <c r="DL674" s="12"/>
      <c r="DM674" s="14"/>
      <c r="DN674" s="16"/>
      <c r="DO674" s="14"/>
      <c r="DP674" s="12"/>
      <c r="DQ674" s="14"/>
      <c r="DR674" s="16"/>
      <c r="DS674" s="14"/>
      <c r="DT674" s="12"/>
      <c r="DU674" s="14"/>
      <c r="DV674" s="16"/>
      <c r="DW674" s="14"/>
      <c r="DX674" s="12"/>
      <c r="DY674" s="14"/>
      <c r="DZ674" s="16"/>
      <c r="EA674" s="14"/>
      <c r="EB674" s="12"/>
      <c r="EC674" s="14"/>
      <c r="ED674" s="16"/>
      <c r="EE674" s="14"/>
      <c r="EF674" s="12"/>
      <c r="EG674" s="12"/>
      <c r="EH674" s="14"/>
      <c r="EI674" s="16"/>
      <c r="EJ674" s="14"/>
      <c r="EK674" s="14">
        <v>7320</v>
      </c>
      <c r="EL674" s="14">
        <v>10980</v>
      </c>
      <c r="EM674" s="14">
        <v>18300</v>
      </c>
      <c r="EN674" s="14">
        <v>43920</v>
      </c>
      <c r="EO674" s="14">
        <v>65880</v>
      </c>
      <c r="EP674" s="14">
        <v>109800</v>
      </c>
      <c r="EQ674" s="12" t="s">
        <v>320</v>
      </c>
      <c r="ER674" s="14"/>
      <c r="ES674" s="16"/>
      <c r="ET674" s="14"/>
      <c r="EU674" s="11" t="s">
        <v>320</v>
      </c>
      <c r="EV674" s="14">
        <v>18300</v>
      </c>
      <c r="EW674" s="16">
        <v>0.4</v>
      </c>
      <c r="EX674" s="14">
        <v>109800</v>
      </c>
      <c r="EY674" s="12" t="s">
        <v>319</v>
      </c>
      <c r="EZ674" s="14"/>
      <c r="FA674" s="16"/>
      <c r="FB674" s="14"/>
      <c r="FC674" s="12" t="s">
        <v>320</v>
      </c>
      <c r="FD674" s="14"/>
      <c r="FE674" s="16"/>
      <c r="FF674" s="14"/>
      <c r="FG674" s="12" t="s">
        <v>319</v>
      </c>
      <c r="FH674" s="14"/>
      <c r="FI674" s="16"/>
      <c r="FJ674" s="14"/>
      <c r="FK674" s="12" t="s">
        <v>319</v>
      </c>
      <c r="FL674" s="14"/>
      <c r="FM674" s="16"/>
      <c r="FN674" s="14"/>
      <c r="FO674" s="12" t="s">
        <v>320</v>
      </c>
      <c r="FP674" s="14"/>
      <c r="FQ674" s="16"/>
      <c r="FR674" s="14"/>
      <c r="FS674" s="12" t="s">
        <v>319</v>
      </c>
      <c r="FT674" s="14"/>
      <c r="FU674" s="16"/>
      <c r="FV674" s="14"/>
      <c r="FW674" s="12" t="s">
        <v>319</v>
      </c>
      <c r="FX674" s="14"/>
      <c r="FY674" s="16"/>
      <c r="FZ674" s="14"/>
      <c r="GA674" s="12" t="s">
        <v>319</v>
      </c>
      <c r="GB674" s="14"/>
      <c r="GC674" s="16"/>
      <c r="GD674" s="14"/>
      <c r="GE674" s="12" t="s">
        <v>320</v>
      </c>
      <c r="GF674" s="14"/>
      <c r="GG674" s="16"/>
      <c r="GH674" s="14"/>
      <c r="GI674" s="12" t="s">
        <v>320</v>
      </c>
      <c r="GJ674" s="14"/>
      <c r="GK674" s="16"/>
      <c r="GL674" s="14"/>
      <c r="GM674" s="12" t="s">
        <v>320</v>
      </c>
      <c r="GN674" s="14"/>
      <c r="GO674" s="16"/>
      <c r="GP674" s="14"/>
      <c r="GQ674" s="12" t="s">
        <v>319</v>
      </c>
      <c r="GR674" s="14"/>
      <c r="GS674" s="16"/>
      <c r="GT674" s="14"/>
      <c r="GU674" s="12" t="s">
        <v>320</v>
      </c>
      <c r="GV674" s="14"/>
      <c r="GW674" s="16"/>
      <c r="GX674" s="14"/>
      <c r="GY674" s="12" t="s">
        <v>319</v>
      </c>
      <c r="GZ674" s="14"/>
      <c r="HA674" s="16"/>
      <c r="HB674" s="14"/>
      <c r="HC674" s="12"/>
      <c r="HD674" s="12"/>
      <c r="HE674" s="14"/>
      <c r="HF674" s="16"/>
      <c r="HG674" s="14"/>
      <c r="HH674" s="12" t="s">
        <v>319</v>
      </c>
      <c r="HI674" s="12"/>
      <c r="HJ674" s="12"/>
      <c r="HK674" s="12" t="s">
        <v>319</v>
      </c>
      <c r="HL674" s="12" t="s">
        <v>319</v>
      </c>
      <c r="HM674" s="12"/>
      <c r="HN674" s="12"/>
      <c r="HO674" s="12"/>
      <c r="HP674" s="12" t="s">
        <v>330</v>
      </c>
      <c r="HQ674" s="12" t="s">
        <v>319</v>
      </c>
      <c r="HR674" s="12" t="s">
        <v>320</v>
      </c>
      <c r="HS674" s="12" t="s">
        <v>320</v>
      </c>
      <c r="HT674" s="12" t="s">
        <v>320</v>
      </c>
      <c r="HU674" s="12" t="s">
        <v>319</v>
      </c>
      <c r="HV674" s="12" t="s">
        <v>319</v>
      </c>
      <c r="HW674" s="12" t="s">
        <v>319</v>
      </c>
      <c r="HX674" s="12"/>
      <c r="HY674" s="12"/>
      <c r="HZ674" s="12" t="s">
        <v>363</v>
      </c>
      <c r="IA674" s="12"/>
      <c r="IB674" s="12" t="s">
        <v>667</v>
      </c>
      <c r="IC674" s="12"/>
      <c r="ID674" s="12" t="s">
        <v>364</v>
      </c>
      <c r="IE674" s="12" t="s">
        <v>335</v>
      </c>
      <c r="IF674" s="12" t="s">
        <v>320</v>
      </c>
      <c r="IG674" s="12" t="s">
        <v>320</v>
      </c>
      <c r="IH674" s="12" t="s">
        <v>320</v>
      </c>
      <c r="II674" s="12" t="s">
        <v>320</v>
      </c>
      <c r="IJ674" s="12" t="str">
        <f t="shared" si="431"/>
        <v>2. Sensitive</v>
      </c>
      <c r="IK674" s="12">
        <f t="shared" si="432"/>
        <v>4</v>
      </c>
      <c r="IL674" s="12" t="s">
        <v>336</v>
      </c>
      <c r="IM674" s="12" t="s">
        <v>320</v>
      </c>
      <c r="IN674" s="12" t="s">
        <v>320</v>
      </c>
      <c r="IO674" s="12" t="s">
        <v>320</v>
      </c>
      <c r="IP674" s="12" t="s">
        <v>320</v>
      </c>
      <c r="IQ674" s="12" t="str">
        <f t="shared" si="433"/>
        <v>2. Accommodating</v>
      </c>
      <c r="IR674" s="12">
        <f t="shared" si="434"/>
        <v>4</v>
      </c>
      <c r="IS674" s="12" t="s">
        <v>622</v>
      </c>
      <c r="IT674" s="12" t="s">
        <v>320</v>
      </c>
      <c r="IU674" s="12" t="s">
        <v>320</v>
      </c>
      <c r="IV674" s="12" t="s">
        <v>320</v>
      </c>
      <c r="IW674" s="11" t="str">
        <f t="shared" si="435"/>
        <v>4. Transformative</v>
      </c>
      <c r="IX674" s="12">
        <f t="shared" si="436"/>
        <v>3</v>
      </c>
      <c r="IY674" s="12" t="s">
        <v>419</v>
      </c>
      <c r="IZ674" s="12" t="s">
        <v>339</v>
      </c>
      <c r="JA674" s="12"/>
      <c r="JB674" s="12"/>
      <c r="JC674" s="12"/>
      <c r="JD674" s="12"/>
      <c r="JE674" s="12" t="s">
        <v>420</v>
      </c>
      <c r="JF674" s="12"/>
      <c r="JG674" s="12"/>
      <c r="JH674" s="12" t="s">
        <v>11067</v>
      </c>
      <c r="JI674" s="12" t="s">
        <v>11068</v>
      </c>
      <c r="JJ674" s="12" t="s">
        <v>10850</v>
      </c>
      <c r="JK674" s="12" t="s">
        <v>11069</v>
      </c>
      <c r="JL674" s="12" t="s">
        <v>11070</v>
      </c>
      <c r="JM674" s="12" t="s">
        <v>11071</v>
      </c>
      <c r="JN674" s="12"/>
      <c r="JO674" s="12" t="s">
        <v>10759</v>
      </c>
      <c r="JP674" s="15">
        <f t="shared" si="437"/>
        <v>18300</v>
      </c>
      <c r="JQ674" s="15">
        <f t="shared" si="438"/>
        <v>109800</v>
      </c>
      <c r="JR674" s="279">
        <f t="shared" si="439"/>
        <v>6</v>
      </c>
      <c r="JS674" s="17">
        <f t="shared" si="440"/>
        <v>0.4</v>
      </c>
      <c r="JT674" s="18">
        <f t="shared" si="441"/>
        <v>0.4</v>
      </c>
      <c r="JU674" s="280">
        <f t="shared" si="442"/>
        <v>7320</v>
      </c>
      <c r="JV674" s="280">
        <f t="shared" si="443"/>
        <v>43920</v>
      </c>
      <c r="JW674" s="319">
        <f t="shared" si="444"/>
        <v>1</v>
      </c>
      <c r="JX674" s="15">
        <f t="shared" si="445"/>
        <v>0</v>
      </c>
      <c r="JY674" s="15">
        <f t="shared" si="446"/>
        <v>0</v>
      </c>
      <c r="JZ674" s="19" t="str">
        <f t="shared" si="447"/>
        <v/>
      </c>
      <c r="KA674" s="52">
        <f t="shared" si="448"/>
        <v>1</v>
      </c>
      <c r="KB674" s="15">
        <f t="shared" si="449"/>
        <v>18300</v>
      </c>
      <c r="KC674" s="15">
        <f t="shared" si="450"/>
        <v>109800</v>
      </c>
      <c r="KD674" s="20">
        <f t="shared" si="451"/>
        <v>6</v>
      </c>
      <c r="KE674" s="52" t="str">
        <f t="shared" si="452"/>
        <v/>
      </c>
      <c r="KF674" s="15">
        <f t="shared" si="453"/>
        <v>0</v>
      </c>
      <c r="KG674" s="15">
        <f t="shared" si="454"/>
        <v>0</v>
      </c>
      <c r="KH674" s="21" t="str">
        <f t="shared" si="455"/>
        <v/>
      </c>
      <c r="KI674" s="52" t="str">
        <f t="shared" si="456"/>
        <v/>
      </c>
      <c r="KJ674" s="15">
        <f t="shared" si="457"/>
        <v>0</v>
      </c>
      <c r="KK674" s="15">
        <f t="shared" si="458"/>
        <v>0</v>
      </c>
      <c r="KL674" s="19" t="str">
        <f t="shared" si="459"/>
        <v/>
      </c>
      <c r="KM674" s="52" t="str">
        <f t="shared" si="460"/>
        <v/>
      </c>
      <c r="KN674" s="22">
        <f t="shared" si="461"/>
        <v>0</v>
      </c>
      <c r="KO674" s="22">
        <f t="shared" si="462"/>
        <v>0</v>
      </c>
      <c r="KP674" s="19" t="str">
        <f t="shared" si="463"/>
        <v/>
      </c>
      <c r="KQ674" s="11" t="str">
        <f t="shared" si="464"/>
        <v>2. Sensitive</v>
      </c>
      <c r="KR674" s="11" t="str">
        <f t="shared" si="465"/>
        <v>2. Accommodating</v>
      </c>
      <c r="KS674" s="11" t="str">
        <f t="shared" si="466"/>
        <v>4. Transformative</v>
      </c>
      <c r="KT674" s="11" t="str">
        <f t="shared" si="467"/>
        <v>It did not develop any specific innovation</v>
      </c>
      <c r="KU674" s="11" t="str">
        <f t="shared" si="468"/>
        <v>Moderate advocacy</v>
      </c>
      <c r="KV674" s="11" t="str">
        <f t="shared" si="469"/>
        <v>It took tested solutions to scale on its own</v>
      </c>
      <c r="KW674" s="11" t="str">
        <f t="shared" si="470"/>
        <v>Somalia - Somalia Resilience Program -SOMREP Resilience in Badhan</v>
      </c>
      <c r="KX674" s="11" t="str">
        <f t="shared" si="471"/>
        <v>Somalia Resilience Program -SOMREP Resilience in Badhan</v>
      </c>
      <c r="KY674" s="11" t="str">
        <f t="shared" si="472"/>
        <v>Somalia</v>
      </c>
      <c r="KZ674" s="12">
        <v>674</v>
      </c>
    </row>
    <row r="675" spans="1:312" x14ac:dyDescent="0.3">
      <c r="A675" s="12" t="s">
        <v>10685</v>
      </c>
      <c r="B675" s="12" t="s">
        <v>1874</v>
      </c>
      <c r="C675" s="12">
        <v>3332</v>
      </c>
      <c r="D675" s="12" t="s">
        <v>10855</v>
      </c>
      <c r="E675" s="277" t="str">
        <f t="shared" si="430"/>
        <v>Somalia</v>
      </c>
      <c r="F675" s="12" t="s">
        <v>10856</v>
      </c>
      <c r="G675" s="12" t="s">
        <v>425</v>
      </c>
      <c r="H675" s="12" t="s">
        <v>384</v>
      </c>
      <c r="I675" s="12" t="s">
        <v>384</v>
      </c>
      <c r="J675" s="281" t="s">
        <v>14741</v>
      </c>
      <c r="K675" s="12"/>
      <c r="L675" s="12"/>
      <c r="M675" s="12"/>
      <c r="N675" s="12"/>
      <c r="O675" s="12"/>
      <c r="P675" s="12"/>
      <c r="Q675" s="12"/>
      <c r="R675" s="12"/>
      <c r="S675" s="12"/>
      <c r="T675" s="12"/>
      <c r="U675" s="12"/>
      <c r="V675" s="12"/>
      <c r="W675" s="12"/>
      <c r="X675" s="12"/>
      <c r="Y675" s="12"/>
      <c r="Z675" s="12"/>
      <c r="AA675" s="12"/>
      <c r="AB675" s="12"/>
      <c r="AC675" s="12"/>
      <c r="AD675" s="12"/>
      <c r="BD675" s="13">
        <v>42552</v>
      </c>
      <c r="BE675" s="13">
        <v>42643</v>
      </c>
      <c r="BF675" s="12"/>
      <c r="BG675" s="12" t="s">
        <v>817</v>
      </c>
      <c r="BH675" s="14">
        <v>640199</v>
      </c>
      <c r="BI675" s="12" t="s">
        <v>10699</v>
      </c>
      <c r="BJ675" s="12" t="s">
        <v>10700</v>
      </c>
      <c r="BK675" s="12" t="s">
        <v>10701</v>
      </c>
      <c r="BL675" s="12" t="s">
        <v>10702</v>
      </c>
      <c r="BM675" s="12" t="s">
        <v>10703</v>
      </c>
      <c r="BN675" s="12" t="s">
        <v>10704</v>
      </c>
      <c r="BO675" s="12" t="s">
        <v>320</v>
      </c>
      <c r="BP675" s="12" t="s">
        <v>319</v>
      </c>
      <c r="BQ675" s="12" t="s">
        <v>319</v>
      </c>
      <c r="BR675" s="12" t="s">
        <v>10857</v>
      </c>
      <c r="BS675" s="12" t="s">
        <v>357</v>
      </c>
      <c r="BT675" s="12" t="s">
        <v>10858</v>
      </c>
      <c r="BU675" s="12" t="s">
        <v>10707</v>
      </c>
      <c r="BV675" s="14">
        <v>10700</v>
      </c>
      <c r="BW675" s="14">
        <v>10000</v>
      </c>
      <c r="BX675" s="14">
        <v>20700</v>
      </c>
      <c r="BY675" s="14"/>
      <c r="BZ675" s="14"/>
      <c r="CA675" s="14"/>
      <c r="CB675" s="12" t="s">
        <v>10859</v>
      </c>
      <c r="CD675" s="14">
        <v>10700</v>
      </c>
      <c r="CE675" s="14">
        <v>10000</v>
      </c>
      <c r="CF675" s="14">
        <v>20700</v>
      </c>
      <c r="CG675" s="14"/>
      <c r="CH675" s="14"/>
      <c r="CI675" s="14"/>
      <c r="CJ675" s="12" t="s">
        <v>319</v>
      </c>
      <c r="CK675" s="14"/>
      <c r="CL675" s="16"/>
      <c r="CM675" s="14"/>
      <c r="CN675" s="12" t="s">
        <v>320</v>
      </c>
      <c r="CO675" s="14">
        <v>4600</v>
      </c>
      <c r="CP675" s="16">
        <v>0.51</v>
      </c>
      <c r="CQ675" s="14"/>
      <c r="CR675" s="12" t="s">
        <v>319</v>
      </c>
      <c r="CS675" s="14"/>
      <c r="CT675" s="16"/>
      <c r="CU675" s="14"/>
      <c r="CV675" s="12" t="s">
        <v>319</v>
      </c>
      <c r="CW675" s="14"/>
      <c r="CX675" s="16"/>
      <c r="CY675" s="14"/>
      <c r="CZ675" s="12" t="s">
        <v>319</v>
      </c>
      <c r="DA675" s="14"/>
      <c r="DB675" s="16"/>
      <c r="DC675" s="14"/>
      <c r="DD675" s="12" t="s">
        <v>319</v>
      </c>
      <c r="DE675" s="14"/>
      <c r="DF675" s="16"/>
      <c r="DG675" s="14"/>
      <c r="DH675" s="12" t="s">
        <v>319</v>
      </c>
      <c r="DI675" s="14"/>
      <c r="DJ675" s="16"/>
      <c r="DK675" s="14"/>
      <c r="DL675" s="12" t="s">
        <v>319</v>
      </c>
      <c r="DM675" s="14"/>
      <c r="DN675" s="16"/>
      <c r="DO675" s="14"/>
      <c r="DP675" s="12" t="s">
        <v>319</v>
      </c>
      <c r="DQ675" s="14"/>
      <c r="DR675" s="16"/>
      <c r="DS675" s="14"/>
      <c r="DT675" s="12" t="s">
        <v>319</v>
      </c>
      <c r="DU675" s="14"/>
      <c r="DV675" s="16"/>
      <c r="DW675" s="14"/>
      <c r="DX675" s="12" t="s">
        <v>319</v>
      </c>
      <c r="DY675" s="14"/>
      <c r="DZ675" s="16"/>
      <c r="EA675" s="14"/>
      <c r="EB675" s="11" t="s">
        <v>320</v>
      </c>
      <c r="EC675" s="14">
        <v>16100</v>
      </c>
      <c r="ED675" s="16">
        <v>0.49</v>
      </c>
      <c r="EE675" s="14"/>
      <c r="EF675" s="12"/>
      <c r="EG675" s="12"/>
      <c r="EH675" s="14"/>
      <c r="EI675" s="16"/>
      <c r="EJ675" s="14"/>
      <c r="EK675" s="14"/>
      <c r="EL675" s="14"/>
      <c r="EM675" s="14"/>
      <c r="EN675" s="14"/>
      <c r="EO675" s="14"/>
      <c r="EP675" s="14"/>
      <c r="EQ675" s="12"/>
      <c r="ER675" s="14"/>
      <c r="ES675" s="16"/>
      <c r="ET675" s="14"/>
      <c r="EU675" s="12"/>
      <c r="EV675" s="14"/>
      <c r="EW675" s="16"/>
      <c r="EX675" s="14"/>
      <c r="EY675" s="12"/>
      <c r="EZ675" s="14"/>
      <c r="FA675" s="16"/>
      <c r="FB675" s="14"/>
      <c r="FC675" s="12"/>
      <c r="FD675" s="14"/>
      <c r="FE675" s="16"/>
      <c r="FF675" s="14"/>
      <c r="FG675" s="12"/>
      <c r="FH675" s="14"/>
      <c r="FI675" s="16"/>
      <c r="FJ675" s="14"/>
      <c r="FK675" s="12"/>
      <c r="FL675" s="14"/>
      <c r="FM675" s="16"/>
      <c r="FN675" s="14"/>
      <c r="FO675" s="12"/>
      <c r="FP675" s="14"/>
      <c r="FQ675" s="16"/>
      <c r="FR675" s="14"/>
      <c r="FS675" s="12"/>
      <c r="FT675" s="14"/>
      <c r="FU675" s="16"/>
      <c r="FV675" s="14"/>
      <c r="FW675" s="12"/>
      <c r="FX675" s="14"/>
      <c r="FY675" s="16"/>
      <c r="FZ675" s="14"/>
      <c r="GA675" s="12"/>
      <c r="GB675" s="14"/>
      <c r="GC675" s="16"/>
      <c r="GD675" s="14"/>
      <c r="GE675" s="12"/>
      <c r="GF675" s="14"/>
      <c r="GG675" s="16"/>
      <c r="GH675" s="14"/>
      <c r="GI675" s="12"/>
      <c r="GJ675" s="14"/>
      <c r="GK675" s="16"/>
      <c r="GL675" s="14"/>
      <c r="GM675" s="12"/>
      <c r="GN675" s="14"/>
      <c r="GO675" s="16"/>
      <c r="GP675" s="14"/>
      <c r="GQ675" s="12"/>
      <c r="GR675" s="14"/>
      <c r="GS675" s="16"/>
      <c r="GT675" s="14"/>
      <c r="GU675" s="12"/>
      <c r="GV675" s="14"/>
      <c r="GW675" s="16"/>
      <c r="GX675" s="14"/>
      <c r="GY675" s="12"/>
      <c r="GZ675" s="14"/>
      <c r="HA675" s="16"/>
      <c r="HB675" s="14"/>
      <c r="HC675" s="12"/>
      <c r="HD675" s="12"/>
      <c r="HE675" s="14"/>
      <c r="HF675" s="16"/>
      <c r="HG675" s="14"/>
      <c r="HH675" s="12" t="s">
        <v>319</v>
      </c>
      <c r="HI675" s="12" t="s">
        <v>361</v>
      </c>
      <c r="HJ675" s="12">
        <v>2016</v>
      </c>
      <c r="HK675" s="12" t="s">
        <v>319</v>
      </c>
      <c r="HL675" s="12" t="s">
        <v>320</v>
      </c>
      <c r="HM675" s="12" t="s">
        <v>361</v>
      </c>
      <c r="HN675" s="12">
        <v>2017</v>
      </c>
      <c r="HO675" s="12"/>
      <c r="HP675" s="12" t="s">
        <v>330</v>
      </c>
      <c r="HQ675" s="12" t="s">
        <v>319</v>
      </c>
      <c r="HR675" s="12" t="s">
        <v>320</v>
      </c>
      <c r="HS675" s="12" t="s">
        <v>320</v>
      </c>
      <c r="HT675" s="12" t="s">
        <v>320</v>
      </c>
      <c r="HU675" s="12" t="s">
        <v>319</v>
      </c>
      <c r="HV675" s="12" t="s">
        <v>319</v>
      </c>
      <c r="HW675" s="12" t="s">
        <v>319</v>
      </c>
      <c r="HX675" s="12" t="s">
        <v>319</v>
      </c>
      <c r="HY675" s="12"/>
      <c r="HZ675" s="12" t="s">
        <v>363</v>
      </c>
      <c r="IA675" s="12"/>
      <c r="IB675" s="12" t="s">
        <v>667</v>
      </c>
      <c r="IC675" s="12"/>
      <c r="ID675" s="12" t="s">
        <v>334</v>
      </c>
      <c r="IE675" s="12" t="s">
        <v>335</v>
      </c>
      <c r="IF675" s="12" t="s">
        <v>320</v>
      </c>
      <c r="IG675" s="12" t="s">
        <v>320</v>
      </c>
      <c r="IH675" s="12" t="s">
        <v>320</v>
      </c>
      <c r="II675" s="12" t="s">
        <v>320</v>
      </c>
      <c r="IJ675" s="12" t="str">
        <f t="shared" si="431"/>
        <v>2. Sensitive</v>
      </c>
      <c r="IK675" s="12">
        <f t="shared" si="432"/>
        <v>4</v>
      </c>
      <c r="IL675" s="12" t="s">
        <v>336</v>
      </c>
      <c r="IM675" s="12" t="s">
        <v>320</v>
      </c>
      <c r="IN675" s="12" t="s">
        <v>320</v>
      </c>
      <c r="IO675" s="12" t="s">
        <v>320</v>
      </c>
      <c r="IP675" s="12" t="s">
        <v>320</v>
      </c>
      <c r="IQ675" s="12" t="str">
        <f t="shared" si="433"/>
        <v>2. Accommodating</v>
      </c>
      <c r="IR675" s="12">
        <f t="shared" si="434"/>
        <v>4</v>
      </c>
      <c r="IS675" s="12" t="s">
        <v>337</v>
      </c>
      <c r="IT675" s="12" t="s">
        <v>320</v>
      </c>
      <c r="IU675" s="12" t="s">
        <v>320</v>
      </c>
      <c r="IV675" s="12" t="s">
        <v>320</v>
      </c>
      <c r="IW675" s="11" t="str">
        <f t="shared" si="435"/>
        <v>2. Sensitive</v>
      </c>
      <c r="IX675" s="12">
        <f t="shared" si="436"/>
        <v>3</v>
      </c>
      <c r="IY675" s="12" t="s">
        <v>419</v>
      </c>
      <c r="IZ675" s="12" t="s">
        <v>339</v>
      </c>
      <c r="JA675" s="12"/>
      <c r="JB675" s="12"/>
      <c r="JC675" s="12"/>
      <c r="JD675" s="12"/>
      <c r="JE675" s="12" t="s">
        <v>420</v>
      </c>
      <c r="JF675" s="12"/>
      <c r="JG675" s="12" t="s">
        <v>10860</v>
      </c>
      <c r="JH675" s="12" t="s">
        <v>10861</v>
      </c>
      <c r="JI675" s="12" t="s">
        <v>10862</v>
      </c>
      <c r="JJ675" s="12" t="s">
        <v>10863</v>
      </c>
      <c r="JK675" s="12" t="s">
        <v>10864</v>
      </c>
      <c r="JL675" s="12" t="s">
        <v>10865</v>
      </c>
      <c r="JM675" s="12" t="s">
        <v>10866</v>
      </c>
      <c r="JN675" s="12"/>
      <c r="JO675" s="12" t="s">
        <v>10867</v>
      </c>
      <c r="JP675" s="15">
        <f t="shared" si="437"/>
        <v>20700</v>
      </c>
      <c r="JQ675" s="15">
        <f t="shared" si="438"/>
        <v>0</v>
      </c>
      <c r="JR675" s="279">
        <f t="shared" si="439"/>
        <v>0</v>
      </c>
      <c r="JS675" s="17">
        <f t="shared" si="440"/>
        <v>0.51690821256038644</v>
      </c>
      <c r="JT675" s="18" t="str">
        <f t="shared" si="441"/>
        <v/>
      </c>
      <c r="JU675" s="280">
        <f t="shared" si="442"/>
        <v>10700</v>
      </c>
      <c r="JV675" s="280">
        <f t="shared" si="443"/>
        <v>0</v>
      </c>
      <c r="JW675" s="319">
        <f t="shared" si="444"/>
        <v>1</v>
      </c>
      <c r="JX675" s="15">
        <f t="shared" si="445"/>
        <v>20700</v>
      </c>
      <c r="JY675" s="15">
        <f t="shared" si="446"/>
        <v>0</v>
      </c>
      <c r="JZ675" s="19">
        <f t="shared" si="447"/>
        <v>0</v>
      </c>
      <c r="KA675" s="52" t="str">
        <f t="shared" si="448"/>
        <v/>
      </c>
      <c r="KB675" s="15">
        <f t="shared" si="449"/>
        <v>0</v>
      </c>
      <c r="KC675" s="15">
        <f t="shared" si="450"/>
        <v>0</v>
      </c>
      <c r="KD675" s="20" t="str">
        <f t="shared" si="451"/>
        <v/>
      </c>
      <c r="KE675" s="52" t="str">
        <f t="shared" si="452"/>
        <v/>
      </c>
      <c r="KF675" s="15">
        <f t="shared" si="453"/>
        <v>0</v>
      </c>
      <c r="KG675" s="15">
        <f t="shared" si="454"/>
        <v>0</v>
      </c>
      <c r="KH675" s="21" t="str">
        <f t="shared" si="455"/>
        <v/>
      </c>
      <c r="KI675" s="52" t="str">
        <f t="shared" si="456"/>
        <v/>
      </c>
      <c r="KJ675" s="15">
        <f t="shared" si="457"/>
        <v>0</v>
      </c>
      <c r="KK675" s="15">
        <f t="shared" si="458"/>
        <v>0</v>
      </c>
      <c r="KL675" s="19" t="str">
        <f t="shared" si="459"/>
        <v/>
      </c>
      <c r="KM675" s="52" t="str">
        <f t="shared" si="460"/>
        <v/>
      </c>
      <c r="KN675" s="22">
        <f t="shared" si="461"/>
        <v>0</v>
      </c>
      <c r="KO675" s="22">
        <f t="shared" si="462"/>
        <v>0</v>
      </c>
      <c r="KP675" s="19" t="str">
        <f t="shared" si="463"/>
        <v/>
      </c>
      <c r="KQ675" s="11" t="str">
        <f t="shared" si="464"/>
        <v>2. Sensitive</v>
      </c>
      <c r="KR675" s="11" t="str">
        <f t="shared" si="465"/>
        <v>2. Accommodating</v>
      </c>
      <c r="KS675" s="11" t="str">
        <f t="shared" si="466"/>
        <v>2. Sensitive</v>
      </c>
      <c r="KT675" s="11" t="str">
        <f t="shared" si="467"/>
        <v>It did not develop any specific innovation</v>
      </c>
      <c r="KU675" s="11" t="str">
        <f t="shared" si="468"/>
        <v>Moderate advocacy</v>
      </c>
      <c r="KV675" s="11" t="str">
        <f t="shared" si="469"/>
        <v>It took tested solutions to scale on its own</v>
      </c>
      <c r="KW675" s="11" t="str">
        <f t="shared" si="470"/>
        <v>Somalia - SOMALIA SOMALILAND PUNTLAND JOINT RESPONSE PROJECT 1</v>
      </c>
      <c r="KX675" s="11" t="str">
        <f t="shared" si="471"/>
        <v>SOMALIA SOMALILAND PUNTLAND JOINT RESPONSE PROJECT 1</v>
      </c>
      <c r="KY675" s="11" t="str">
        <f t="shared" si="472"/>
        <v>Somalia</v>
      </c>
      <c r="KZ675" s="12">
        <v>675</v>
      </c>
    </row>
    <row r="676" spans="1:312" x14ac:dyDescent="0.3">
      <c r="A676" s="12" t="s">
        <v>10685</v>
      </c>
      <c r="B676" s="12" t="s">
        <v>1874</v>
      </c>
      <c r="C676" s="12"/>
      <c r="D676" s="12" t="s">
        <v>10868</v>
      </c>
      <c r="E676" s="277" t="str">
        <f t="shared" si="430"/>
        <v>Somalia</v>
      </c>
      <c r="F676" s="12" t="s">
        <v>10869</v>
      </c>
      <c r="G676" s="12" t="s">
        <v>425</v>
      </c>
      <c r="H676" s="12" t="s">
        <v>384</v>
      </c>
      <c r="I676" s="12" t="s">
        <v>384</v>
      </c>
      <c r="J676" s="281" t="s">
        <v>14741</v>
      </c>
      <c r="K676" s="12"/>
      <c r="L676" s="12"/>
      <c r="M676" s="12"/>
      <c r="N676" s="12"/>
      <c r="O676" s="12"/>
      <c r="P676" s="12"/>
      <c r="Q676" s="12"/>
      <c r="R676" s="12"/>
      <c r="S676" s="12"/>
      <c r="T676" s="12"/>
      <c r="U676" s="12"/>
      <c r="V676" s="12"/>
      <c r="W676" s="12"/>
      <c r="X676" s="12"/>
      <c r="Y676" s="12"/>
      <c r="Z676" s="12"/>
      <c r="AA676" s="12"/>
      <c r="AB676" s="12"/>
      <c r="AC676" s="12"/>
      <c r="AD676" s="12"/>
      <c r="BD676" s="13">
        <v>42782</v>
      </c>
      <c r="BE676" s="13">
        <v>42963</v>
      </c>
      <c r="BF676" s="12"/>
      <c r="BG676" s="12" t="s">
        <v>817</v>
      </c>
      <c r="BH676" s="14">
        <v>433161</v>
      </c>
      <c r="BI676" s="12" t="s">
        <v>10699</v>
      </c>
      <c r="BJ676" s="12" t="s">
        <v>10700</v>
      </c>
      <c r="BK676" s="12" t="s">
        <v>10701</v>
      </c>
      <c r="BL676" s="12" t="s">
        <v>10702</v>
      </c>
      <c r="BM676" s="12" t="s">
        <v>10703</v>
      </c>
      <c r="BN676" s="12" t="s">
        <v>10704</v>
      </c>
      <c r="BO676" s="12" t="s">
        <v>320</v>
      </c>
      <c r="BP676" s="12" t="s">
        <v>319</v>
      </c>
      <c r="BQ676" s="12" t="s">
        <v>319</v>
      </c>
      <c r="BR676" s="12" t="s">
        <v>10857</v>
      </c>
      <c r="BS676" s="12" t="s">
        <v>357</v>
      </c>
      <c r="BT676" s="12" t="s">
        <v>10870</v>
      </c>
      <c r="BU676" s="12" t="s">
        <v>10707</v>
      </c>
      <c r="BV676" s="14">
        <v>24200</v>
      </c>
      <c r="BW676" s="14">
        <v>20000</v>
      </c>
      <c r="BX676" s="14">
        <v>44200</v>
      </c>
      <c r="BY676" s="14"/>
      <c r="BZ676" s="14"/>
      <c r="CA676" s="14"/>
      <c r="CB676" s="12" t="s">
        <v>10871</v>
      </c>
      <c r="CD676" s="14">
        <v>24200</v>
      </c>
      <c r="CE676" s="14">
        <v>20000</v>
      </c>
      <c r="CF676" s="14">
        <v>44200</v>
      </c>
      <c r="CG676" s="14"/>
      <c r="CH676" s="14"/>
      <c r="CI676" s="14"/>
      <c r="CJ676" s="12" t="s">
        <v>319</v>
      </c>
      <c r="CK676" s="14"/>
      <c r="CL676" s="16"/>
      <c r="CM676" s="14"/>
      <c r="CN676" s="12" t="s">
        <v>320</v>
      </c>
      <c r="CO676" s="14">
        <v>7200</v>
      </c>
      <c r="CP676" s="16">
        <v>0.51</v>
      </c>
      <c r="CQ676" s="14"/>
      <c r="CR676" s="12" t="s">
        <v>319</v>
      </c>
      <c r="CS676" s="14"/>
      <c r="CT676" s="16"/>
      <c r="CU676" s="14"/>
      <c r="CV676" s="12" t="s">
        <v>319</v>
      </c>
      <c r="CW676" s="14"/>
      <c r="CX676" s="16"/>
      <c r="CY676" s="14"/>
      <c r="CZ676" s="12" t="s">
        <v>319</v>
      </c>
      <c r="DA676" s="14"/>
      <c r="DB676" s="16"/>
      <c r="DC676" s="14"/>
      <c r="DD676" s="12" t="s">
        <v>319</v>
      </c>
      <c r="DE676" s="14"/>
      <c r="DF676" s="16"/>
      <c r="DG676" s="14"/>
      <c r="DH676" s="12" t="s">
        <v>319</v>
      </c>
      <c r="DI676" s="14"/>
      <c r="DJ676" s="16"/>
      <c r="DK676" s="14"/>
      <c r="DL676" s="12" t="s">
        <v>319</v>
      </c>
      <c r="DM676" s="14"/>
      <c r="DN676" s="16"/>
      <c r="DO676" s="14"/>
      <c r="DP676" s="12" t="s">
        <v>319</v>
      </c>
      <c r="DQ676" s="14"/>
      <c r="DR676" s="16"/>
      <c r="DS676" s="14"/>
      <c r="DT676" s="12" t="s">
        <v>319</v>
      </c>
      <c r="DU676" s="14"/>
      <c r="DV676" s="16"/>
      <c r="DW676" s="14"/>
      <c r="DX676" s="12" t="s">
        <v>319</v>
      </c>
      <c r="DY676" s="14"/>
      <c r="DZ676" s="16"/>
      <c r="EA676" s="14"/>
      <c r="EB676" s="11" t="s">
        <v>320</v>
      </c>
      <c r="EC676" s="14">
        <v>37000</v>
      </c>
      <c r="ED676" s="16">
        <v>0.49</v>
      </c>
      <c r="EE676" s="14"/>
      <c r="EF676" s="12"/>
      <c r="EG676" s="12"/>
      <c r="EH676" s="14"/>
      <c r="EI676" s="16"/>
      <c r="EJ676" s="14"/>
      <c r="EK676" s="14"/>
      <c r="EL676" s="14"/>
      <c r="EM676" s="14"/>
      <c r="EN676" s="14"/>
      <c r="EO676" s="14"/>
      <c r="EP676" s="14"/>
      <c r="EQ676" s="12"/>
      <c r="ER676" s="14"/>
      <c r="ES676" s="16"/>
      <c r="ET676" s="14"/>
      <c r="EU676" s="12"/>
      <c r="EV676" s="14"/>
      <c r="EW676" s="16"/>
      <c r="EX676" s="14"/>
      <c r="EY676" s="12"/>
      <c r="EZ676" s="14"/>
      <c r="FA676" s="16"/>
      <c r="FB676" s="14"/>
      <c r="FC676" s="12"/>
      <c r="FD676" s="14"/>
      <c r="FE676" s="16"/>
      <c r="FF676" s="14"/>
      <c r="FG676" s="12"/>
      <c r="FH676" s="14"/>
      <c r="FI676" s="16"/>
      <c r="FJ676" s="14"/>
      <c r="FK676" s="12"/>
      <c r="FL676" s="14"/>
      <c r="FM676" s="16"/>
      <c r="FN676" s="14"/>
      <c r="FO676" s="12"/>
      <c r="FP676" s="14"/>
      <c r="FQ676" s="16"/>
      <c r="FR676" s="14"/>
      <c r="FS676" s="12"/>
      <c r="FT676" s="14"/>
      <c r="FU676" s="16"/>
      <c r="FV676" s="14"/>
      <c r="FW676" s="12"/>
      <c r="FX676" s="14"/>
      <c r="FY676" s="16"/>
      <c r="FZ676" s="14"/>
      <c r="GA676" s="12"/>
      <c r="GB676" s="14"/>
      <c r="GC676" s="16"/>
      <c r="GD676" s="14"/>
      <c r="GE676" s="12"/>
      <c r="GF676" s="14"/>
      <c r="GG676" s="16"/>
      <c r="GH676" s="14"/>
      <c r="GI676" s="12"/>
      <c r="GJ676" s="14"/>
      <c r="GK676" s="16"/>
      <c r="GL676" s="14"/>
      <c r="GM676" s="12"/>
      <c r="GN676" s="14"/>
      <c r="GO676" s="16"/>
      <c r="GP676" s="14"/>
      <c r="GQ676" s="12"/>
      <c r="GR676" s="14"/>
      <c r="GS676" s="16"/>
      <c r="GT676" s="14"/>
      <c r="GU676" s="12"/>
      <c r="GV676" s="14"/>
      <c r="GW676" s="16"/>
      <c r="GX676" s="14"/>
      <c r="GY676" s="12"/>
      <c r="GZ676" s="14"/>
      <c r="HA676" s="16"/>
      <c r="HB676" s="14"/>
      <c r="HC676" s="12"/>
      <c r="HD676" s="12"/>
      <c r="HE676" s="14"/>
      <c r="HF676" s="16"/>
      <c r="HG676" s="14"/>
      <c r="HH676" s="12" t="s">
        <v>319</v>
      </c>
      <c r="HI676" s="12"/>
      <c r="HJ676" s="12"/>
      <c r="HK676" s="12" t="s">
        <v>319</v>
      </c>
      <c r="HL676" s="12" t="s">
        <v>320</v>
      </c>
      <c r="HM676" s="12" t="s">
        <v>619</v>
      </c>
      <c r="HN676" s="12">
        <v>2017</v>
      </c>
      <c r="HO676" s="12"/>
      <c r="HP676" s="12" t="s">
        <v>330</v>
      </c>
      <c r="HQ676" s="12" t="s">
        <v>319</v>
      </c>
      <c r="HR676" s="12" t="s">
        <v>320</v>
      </c>
      <c r="HS676" s="12" t="s">
        <v>320</v>
      </c>
      <c r="HT676" s="12" t="s">
        <v>320</v>
      </c>
      <c r="HU676" s="12" t="s">
        <v>319</v>
      </c>
      <c r="HV676" s="12" t="s">
        <v>319</v>
      </c>
      <c r="HW676" s="12" t="s">
        <v>319</v>
      </c>
      <c r="HX676" s="12" t="s">
        <v>319</v>
      </c>
      <c r="HY676" s="12"/>
      <c r="HZ676" s="12" t="s">
        <v>363</v>
      </c>
      <c r="IA676" s="12"/>
      <c r="IB676" s="12" t="s">
        <v>667</v>
      </c>
      <c r="IC676" s="12"/>
      <c r="ID676" s="12" t="s">
        <v>334</v>
      </c>
      <c r="IE676" s="12" t="s">
        <v>335</v>
      </c>
      <c r="IF676" s="12" t="s">
        <v>320</v>
      </c>
      <c r="IG676" s="12" t="s">
        <v>320</v>
      </c>
      <c r="IH676" s="12" t="s">
        <v>320</v>
      </c>
      <c r="II676" s="12" t="s">
        <v>320</v>
      </c>
      <c r="IJ676" s="12" t="str">
        <f t="shared" si="431"/>
        <v>2. Sensitive</v>
      </c>
      <c r="IK676" s="12">
        <f t="shared" si="432"/>
        <v>4</v>
      </c>
      <c r="IL676" s="12" t="s">
        <v>336</v>
      </c>
      <c r="IM676" s="12" t="s">
        <v>320</v>
      </c>
      <c r="IN676" s="12" t="s">
        <v>320</v>
      </c>
      <c r="IO676" s="12" t="s">
        <v>320</v>
      </c>
      <c r="IP676" s="12" t="s">
        <v>320</v>
      </c>
      <c r="IQ676" s="12" t="str">
        <f t="shared" si="433"/>
        <v>2. Accommodating</v>
      </c>
      <c r="IR676" s="12">
        <f t="shared" si="434"/>
        <v>4</v>
      </c>
      <c r="IS676" s="12" t="s">
        <v>337</v>
      </c>
      <c r="IT676" s="12" t="s">
        <v>320</v>
      </c>
      <c r="IU676" s="12"/>
      <c r="IV676" s="12"/>
      <c r="IW676" s="11" t="str">
        <f t="shared" si="435"/>
        <v>1. Neutral</v>
      </c>
      <c r="IX676" s="12">
        <f t="shared" si="436"/>
        <v>1</v>
      </c>
      <c r="IY676" s="12" t="s">
        <v>419</v>
      </c>
      <c r="IZ676" s="12" t="s">
        <v>339</v>
      </c>
      <c r="JA676" s="12"/>
      <c r="JB676" s="12"/>
      <c r="JC676" s="12"/>
      <c r="JD676" s="12"/>
      <c r="JE676" s="12" t="s">
        <v>420</v>
      </c>
      <c r="JF676" s="12"/>
      <c r="JG676" s="12" t="s">
        <v>10872</v>
      </c>
      <c r="JH676" s="12" t="s">
        <v>10861</v>
      </c>
      <c r="JI676" s="12" t="s">
        <v>10862</v>
      </c>
      <c r="JJ676" s="12" t="s">
        <v>10863</v>
      </c>
      <c r="JK676" s="12" t="s">
        <v>10864</v>
      </c>
      <c r="JL676" s="12" t="s">
        <v>10865</v>
      </c>
      <c r="JM676" s="12" t="s">
        <v>10866</v>
      </c>
      <c r="JN676" s="12"/>
      <c r="JO676" s="12" t="s">
        <v>10825</v>
      </c>
      <c r="JP676" s="15">
        <f t="shared" si="437"/>
        <v>44200</v>
      </c>
      <c r="JQ676" s="15">
        <f t="shared" si="438"/>
        <v>0</v>
      </c>
      <c r="JR676" s="279">
        <f t="shared" si="439"/>
        <v>0</v>
      </c>
      <c r="JS676" s="17">
        <f t="shared" si="440"/>
        <v>0.54751131221719462</v>
      </c>
      <c r="JT676" s="18" t="str">
        <f t="shared" si="441"/>
        <v/>
      </c>
      <c r="JU676" s="280">
        <f t="shared" si="442"/>
        <v>24200</v>
      </c>
      <c r="JV676" s="280">
        <f t="shared" si="443"/>
        <v>0</v>
      </c>
      <c r="JW676" s="319">
        <f t="shared" si="444"/>
        <v>1</v>
      </c>
      <c r="JX676" s="15">
        <f t="shared" si="445"/>
        <v>44200</v>
      </c>
      <c r="JY676" s="15">
        <f t="shared" si="446"/>
        <v>0</v>
      </c>
      <c r="JZ676" s="19">
        <f t="shared" si="447"/>
        <v>0</v>
      </c>
      <c r="KA676" s="52" t="str">
        <f t="shared" si="448"/>
        <v/>
      </c>
      <c r="KB676" s="15">
        <f t="shared" si="449"/>
        <v>0</v>
      </c>
      <c r="KC676" s="15">
        <f t="shared" si="450"/>
        <v>0</v>
      </c>
      <c r="KD676" s="20" t="str">
        <f t="shared" si="451"/>
        <v/>
      </c>
      <c r="KE676" s="52" t="str">
        <f t="shared" si="452"/>
        <v/>
      </c>
      <c r="KF676" s="15">
        <f t="shared" si="453"/>
        <v>0</v>
      </c>
      <c r="KG676" s="15">
        <f t="shared" si="454"/>
        <v>0</v>
      </c>
      <c r="KH676" s="21" t="str">
        <f t="shared" si="455"/>
        <v/>
      </c>
      <c r="KI676" s="52" t="str">
        <f t="shared" si="456"/>
        <v/>
      </c>
      <c r="KJ676" s="15">
        <f t="shared" si="457"/>
        <v>0</v>
      </c>
      <c r="KK676" s="15">
        <f t="shared" si="458"/>
        <v>0</v>
      </c>
      <c r="KL676" s="19" t="str">
        <f t="shared" si="459"/>
        <v/>
      </c>
      <c r="KM676" s="52" t="str">
        <f t="shared" si="460"/>
        <v/>
      </c>
      <c r="KN676" s="22">
        <f t="shared" si="461"/>
        <v>0</v>
      </c>
      <c r="KO676" s="22">
        <f t="shared" si="462"/>
        <v>0</v>
      </c>
      <c r="KP676" s="19" t="str">
        <f t="shared" si="463"/>
        <v/>
      </c>
      <c r="KQ676" s="11" t="str">
        <f t="shared" si="464"/>
        <v>2. Sensitive</v>
      </c>
      <c r="KR676" s="11" t="str">
        <f t="shared" si="465"/>
        <v>2. Accommodating</v>
      </c>
      <c r="KS676" s="11" t="str">
        <f t="shared" si="466"/>
        <v>1. Neutral</v>
      </c>
      <c r="KT676" s="11" t="str">
        <f t="shared" si="467"/>
        <v>It did not develop any specific innovation</v>
      </c>
      <c r="KU676" s="11" t="str">
        <f t="shared" si="468"/>
        <v>Moderate advocacy</v>
      </c>
      <c r="KV676" s="11" t="str">
        <f t="shared" si="469"/>
        <v>It took tested solutions to scale on its own</v>
      </c>
      <c r="KW676" s="11" t="str">
        <f t="shared" si="470"/>
        <v>Somalia - SOMALIA SOMALILAND PUNTLAND JOINT RESPONSE PROJECT 2</v>
      </c>
      <c r="KX676" s="11" t="str">
        <f t="shared" si="471"/>
        <v>SOMALIA SOMALILAND PUNTLAND JOINT RESPONSE PROJECT 2</v>
      </c>
      <c r="KY676" s="11" t="str">
        <f t="shared" si="472"/>
        <v>Somalia</v>
      </c>
      <c r="KZ676" s="287">
        <v>676</v>
      </c>
    </row>
    <row r="677" spans="1:312" x14ac:dyDescent="0.3">
      <c r="A677" s="12" t="s">
        <v>10685</v>
      </c>
      <c r="B677" s="12" t="s">
        <v>1874</v>
      </c>
      <c r="C677" s="12">
        <v>3339</v>
      </c>
      <c r="D677" s="12" t="s">
        <v>10991</v>
      </c>
      <c r="E677" s="277" t="str">
        <f t="shared" si="430"/>
        <v>Somalia</v>
      </c>
      <c r="F677" s="12" t="s">
        <v>10992</v>
      </c>
      <c r="G677" s="12" t="s">
        <v>379</v>
      </c>
      <c r="H677" s="12" t="s">
        <v>310</v>
      </c>
      <c r="I677" s="12" t="s">
        <v>655</v>
      </c>
      <c r="J677" s="281" t="s">
        <v>4991</v>
      </c>
      <c r="K677" s="12"/>
      <c r="L677" s="12"/>
      <c r="M677" s="12"/>
      <c r="N677" s="12"/>
      <c r="O677" s="12"/>
      <c r="P677" s="12"/>
      <c r="Q677" s="12"/>
      <c r="R677" s="12"/>
      <c r="S677" s="12"/>
      <c r="T677" s="12"/>
      <c r="U677" s="12"/>
      <c r="V677" s="12"/>
      <c r="W677" s="12"/>
      <c r="X677" s="12"/>
      <c r="Y677" s="12"/>
      <c r="Z677" s="12"/>
      <c r="AA677" s="12"/>
      <c r="AB677" s="12"/>
      <c r="AC677" s="12"/>
      <c r="AD677" s="12"/>
      <c r="BD677" s="13">
        <v>41912</v>
      </c>
      <c r="BE677" s="13">
        <v>41912</v>
      </c>
      <c r="BF677" s="13">
        <v>43069</v>
      </c>
      <c r="BG677" s="12" t="s">
        <v>749</v>
      </c>
      <c r="BH677" s="14">
        <v>3500000</v>
      </c>
      <c r="BI677" s="12" t="s">
        <v>10993</v>
      </c>
      <c r="BJ677" s="12" t="s">
        <v>10994</v>
      </c>
      <c r="BK677" s="12">
        <f>252-634517977</f>
        <v>-634517725</v>
      </c>
      <c r="BL677" s="12" t="s">
        <v>10995</v>
      </c>
      <c r="BM677" s="12" t="s">
        <v>10996</v>
      </c>
      <c r="BN677" s="12">
        <f>252-633666604</f>
        <v>-633666352</v>
      </c>
      <c r="BO677" s="31" t="s">
        <v>320</v>
      </c>
      <c r="BP677" s="12" t="s">
        <v>320</v>
      </c>
      <c r="BQ677" s="31" t="s">
        <v>320</v>
      </c>
      <c r="BR677" s="12" t="s">
        <v>10997</v>
      </c>
      <c r="BS677" s="12" t="s">
        <v>357</v>
      </c>
      <c r="BT677" s="12" t="s">
        <v>10998</v>
      </c>
      <c r="BU677" s="12" t="s">
        <v>10999</v>
      </c>
      <c r="BV677" s="14">
        <v>13229</v>
      </c>
      <c r="BW677" s="14">
        <v>12211</v>
      </c>
      <c r="BX677" s="14">
        <v>25440</v>
      </c>
      <c r="BY677" s="14"/>
      <c r="BZ677" s="14"/>
      <c r="CA677" s="14"/>
      <c r="CB677" s="12" t="s">
        <v>11000</v>
      </c>
      <c r="CD677" s="14"/>
      <c r="CE677" s="14"/>
      <c r="CF677" s="14"/>
      <c r="CG677" s="14"/>
      <c r="CH677" s="14"/>
      <c r="CI677" s="14"/>
      <c r="CJ677" s="12" t="s">
        <v>319</v>
      </c>
      <c r="CK677" s="14"/>
      <c r="CL677" s="16"/>
      <c r="CM677" s="14"/>
      <c r="CN677" s="12" t="s">
        <v>320</v>
      </c>
      <c r="CO677" s="14">
        <v>11220</v>
      </c>
      <c r="CP677" s="16">
        <v>0.55000000000000004</v>
      </c>
      <c r="CQ677" s="14"/>
      <c r="CR677" s="12" t="s">
        <v>319</v>
      </c>
      <c r="CS677" s="14"/>
      <c r="CT677" s="16"/>
      <c r="CU677" s="14"/>
      <c r="CV677" s="12" t="s">
        <v>320</v>
      </c>
      <c r="CW677" s="14"/>
      <c r="CX677" s="16"/>
      <c r="CY677" s="14"/>
      <c r="CZ677" s="12" t="s">
        <v>320</v>
      </c>
      <c r="DA677" s="14"/>
      <c r="DB677" s="16"/>
      <c r="DC677" s="14"/>
      <c r="DD677" s="12" t="s">
        <v>320</v>
      </c>
      <c r="DE677" s="14"/>
      <c r="DF677" s="16"/>
      <c r="DG677" s="14"/>
      <c r="DH677" s="12" t="s">
        <v>319</v>
      </c>
      <c r="DI677" s="14"/>
      <c r="DJ677" s="16"/>
      <c r="DK677" s="14"/>
      <c r="DL677" s="12" t="s">
        <v>320</v>
      </c>
      <c r="DM677" s="14"/>
      <c r="DN677" s="16"/>
      <c r="DO677" s="14"/>
      <c r="DP677" s="12" t="s">
        <v>319</v>
      </c>
      <c r="DQ677" s="14"/>
      <c r="DR677" s="16"/>
      <c r="DS677" s="14"/>
      <c r="DT677" s="12" t="s">
        <v>319</v>
      </c>
      <c r="DU677" s="14"/>
      <c r="DV677" s="16"/>
      <c r="DW677" s="14"/>
      <c r="DX677" s="12" t="s">
        <v>319</v>
      </c>
      <c r="DY677" s="14"/>
      <c r="DZ677" s="16"/>
      <c r="EA677" s="14"/>
      <c r="EB677" s="12" t="s">
        <v>320</v>
      </c>
      <c r="EC677" s="14"/>
      <c r="ED677" s="16"/>
      <c r="EE677" s="14"/>
      <c r="EF677" s="12"/>
      <c r="EG677" s="12"/>
      <c r="EH677" s="14"/>
      <c r="EI677" s="16"/>
      <c r="EJ677" s="14"/>
      <c r="EK677" s="14">
        <v>10021</v>
      </c>
      <c r="EL677" s="14">
        <v>9250</v>
      </c>
      <c r="EM677" s="14">
        <v>19271</v>
      </c>
      <c r="EN677" s="14"/>
      <c r="EO677" s="14"/>
      <c r="EP677" s="14"/>
      <c r="EQ677" s="12" t="s">
        <v>320</v>
      </c>
      <c r="ER677" s="14">
        <v>3264</v>
      </c>
      <c r="ES677" s="16">
        <v>0.5</v>
      </c>
      <c r="ET677" s="14"/>
      <c r="EU677" s="12" t="s">
        <v>320</v>
      </c>
      <c r="EV677" s="14"/>
      <c r="EW677" s="16"/>
      <c r="EX677" s="14"/>
      <c r="EY677" s="12"/>
      <c r="EZ677" s="14"/>
      <c r="FA677" s="16"/>
      <c r="FB677" s="14"/>
      <c r="FC677" s="12" t="s">
        <v>320</v>
      </c>
      <c r="FD677" s="14">
        <v>620</v>
      </c>
      <c r="FE677" s="16">
        <f>FD677/25440</f>
        <v>2.4371069182389939E-2</v>
      </c>
      <c r="FF677" s="14"/>
      <c r="FG677" s="12" t="s">
        <v>320</v>
      </c>
      <c r="FH677" s="14">
        <v>4060</v>
      </c>
      <c r="FI677" s="16">
        <f>FH677/25440</f>
        <v>0.15959119496855345</v>
      </c>
      <c r="FJ677" s="14"/>
      <c r="FK677" s="12"/>
      <c r="FL677" s="14"/>
      <c r="FM677" s="16"/>
      <c r="FN677" s="14"/>
      <c r="FO677" s="12" t="s">
        <v>320</v>
      </c>
      <c r="FP677" s="14">
        <v>3978</v>
      </c>
      <c r="FQ677" s="16">
        <f>FP677/25440</f>
        <v>0.15636792452830189</v>
      </c>
      <c r="FR677" s="14"/>
      <c r="FS677" s="12"/>
      <c r="FT677" s="14"/>
      <c r="FU677" s="16">
        <v>0</v>
      </c>
      <c r="FV677" s="14"/>
      <c r="FW677" s="12" t="s">
        <v>320</v>
      </c>
      <c r="FX677" s="14"/>
      <c r="FY677" s="16"/>
      <c r="FZ677" s="14"/>
      <c r="GA677" s="12"/>
      <c r="GB677" s="14"/>
      <c r="GC677" s="16">
        <v>0</v>
      </c>
      <c r="GD677" s="14"/>
      <c r="GE677" s="12"/>
      <c r="GF677" s="14"/>
      <c r="GG677" s="16">
        <v>0</v>
      </c>
      <c r="GH677" s="14"/>
      <c r="GI677" s="12" t="s">
        <v>320</v>
      </c>
      <c r="GJ677" s="14"/>
      <c r="GK677" s="16"/>
      <c r="GL677" s="14"/>
      <c r="GM677" s="12" t="s">
        <v>320</v>
      </c>
      <c r="GN677" s="14"/>
      <c r="GO677" s="16"/>
      <c r="GP677" s="14"/>
      <c r="GQ677" s="12"/>
      <c r="GR677" s="14"/>
      <c r="GS677" s="16"/>
      <c r="GT677" s="14"/>
      <c r="GU677" s="12" t="s">
        <v>320</v>
      </c>
      <c r="GV677" s="14">
        <v>7350</v>
      </c>
      <c r="GW677" s="16">
        <f>GV677/25440</f>
        <v>0.28891509433962265</v>
      </c>
      <c r="GX677" s="14"/>
      <c r="GY677" s="12" t="s">
        <v>320</v>
      </c>
      <c r="GZ677" s="14"/>
      <c r="HA677" s="16"/>
      <c r="HB677" s="14"/>
      <c r="HC677" s="12"/>
      <c r="HD677" s="12" t="s">
        <v>319</v>
      </c>
      <c r="HE677" s="14"/>
      <c r="HF677" s="16"/>
      <c r="HG677" s="14"/>
      <c r="HH677" s="12" t="s">
        <v>319</v>
      </c>
      <c r="HI677" s="12"/>
      <c r="HJ677" s="12"/>
      <c r="HK677" s="12"/>
      <c r="HL677" s="12" t="s">
        <v>320</v>
      </c>
      <c r="HM677" s="12" t="s">
        <v>361</v>
      </c>
      <c r="HN677" s="12">
        <v>2017</v>
      </c>
      <c r="HO677" s="12" t="s">
        <v>11001</v>
      </c>
      <c r="HP677" s="12" t="s">
        <v>330</v>
      </c>
      <c r="HQ677" s="12" t="s">
        <v>319</v>
      </c>
      <c r="HR677" s="12" t="s">
        <v>320</v>
      </c>
      <c r="HS677" s="12" t="s">
        <v>320</v>
      </c>
      <c r="HT677" s="12" t="s">
        <v>320</v>
      </c>
      <c r="HU677" s="12" t="s">
        <v>320</v>
      </c>
      <c r="HV677" s="12" t="s">
        <v>319</v>
      </c>
      <c r="HW677" s="12" t="s">
        <v>319</v>
      </c>
      <c r="HX677" s="12"/>
      <c r="HY677" s="12"/>
      <c r="HZ677" s="12" t="s">
        <v>331</v>
      </c>
      <c r="IA677" s="12" t="s">
        <v>11002</v>
      </c>
      <c r="IB677" s="12" t="s">
        <v>396</v>
      </c>
      <c r="IC677" s="12" t="s">
        <v>11003</v>
      </c>
      <c r="ID677" s="12" t="s">
        <v>364</v>
      </c>
      <c r="IE677" s="12" t="s">
        <v>478</v>
      </c>
      <c r="IF677" s="12" t="s">
        <v>320</v>
      </c>
      <c r="IG677" s="12" t="s">
        <v>320</v>
      </c>
      <c r="IH677" s="12" t="s">
        <v>320</v>
      </c>
      <c r="II677" s="12" t="s">
        <v>320</v>
      </c>
      <c r="IJ677" s="12" t="str">
        <f t="shared" si="431"/>
        <v>4. Transformative</v>
      </c>
      <c r="IK677" s="12">
        <f t="shared" si="432"/>
        <v>4</v>
      </c>
      <c r="IL677" s="11" t="s">
        <v>621</v>
      </c>
      <c r="IM677" s="12" t="s">
        <v>320</v>
      </c>
      <c r="IN677" s="12" t="s">
        <v>319</v>
      </c>
      <c r="IO677" s="12" t="s">
        <v>320</v>
      </c>
      <c r="IP677" s="12" t="s">
        <v>320</v>
      </c>
      <c r="IQ677" s="12" t="str">
        <f t="shared" si="433"/>
        <v>3. Responsive</v>
      </c>
      <c r="IR677" s="12">
        <f t="shared" si="434"/>
        <v>3</v>
      </c>
      <c r="IS677" s="12" t="s">
        <v>622</v>
      </c>
      <c r="IT677" s="12" t="s">
        <v>320</v>
      </c>
      <c r="IU677" s="12" t="s">
        <v>320</v>
      </c>
      <c r="IV677" s="12" t="s">
        <v>320</v>
      </c>
      <c r="IW677" s="11" t="str">
        <f t="shared" si="435"/>
        <v>4. Transformative</v>
      </c>
      <c r="IX677" s="12">
        <f t="shared" si="436"/>
        <v>3</v>
      </c>
      <c r="IY677" s="12" t="s">
        <v>419</v>
      </c>
      <c r="IZ677" s="12" t="s">
        <v>339</v>
      </c>
      <c r="JA677" s="12">
        <v>1</v>
      </c>
      <c r="JB677" s="12" t="s">
        <v>585</v>
      </c>
      <c r="JC677" s="12"/>
      <c r="JD677" s="12"/>
      <c r="JE677" s="12" t="s">
        <v>420</v>
      </c>
      <c r="JF677" s="12"/>
      <c r="JG677" s="12" t="s">
        <v>11004</v>
      </c>
      <c r="JH677" s="12" t="s">
        <v>11005</v>
      </c>
      <c r="JI677" s="12" t="s">
        <v>11006</v>
      </c>
      <c r="JJ677" s="12" t="s">
        <v>11007</v>
      </c>
      <c r="JK677" s="12" t="s">
        <v>11008</v>
      </c>
      <c r="JL677" s="12" t="s">
        <v>11009</v>
      </c>
      <c r="JM677" s="12" t="s">
        <v>11010</v>
      </c>
      <c r="JN677" s="12"/>
      <c r="JO677" s="12" t="s">
        <v>11011</v>
      </c>
      <c r="JP677" s="15">
        <f t="shared" si="437"/>
        <v>19271</v>
      </c>
      <c r="JQ677" s="15">
        <f t="shared" si="438"/>
        <v>0</v>
      </c>
      <c r="JR677" s="279">
        <f t="shared" si="439"/>
        <v>0</v>
      </c>
      <c r="JS677" s="17">
        <f t="shared" si="440"/>
        <v>0.52000415131544808</v>
      </c>
      <c r="JT677" s="18" t="str">
        <f t="shared" si="441"/>
        <v/>
      </c>
      <c r="JU677" s="280">
        <f t="shared" si="442"/>
        <v>10021</v>
      </c>
      <c r="JV677" s="280">
        <f t="shared" si="443"/>
        <v>0</v>
      </c>
      <c r="JW677" s="319">
        <f t="shared" si="444"/>
        <v>1</v>
      </c>
      <c r="JX677" s="15">
        <f t="shared" si="445"/>
        <v>0</v>
      </c>
      <c r="JY677" s="15">
        <f t="shared" si="446"/>
        <v>0</v>
      </c>
      <c r="JZ677" s="19" t="str">
        <f t="shared" si="447"/>
        <v/>
      </c>
      <c r="KA677" s="52">
        <f t="shared" si="448"/>
        <v>1</v>
      </c>
      <c r="KB677" s="15">
        <f t="shared" si="449"/>
        <v>7350</v>
      </c>
      <c r="KC677" s="15">
        <f t="shared" si="450"/>
        <v>0</v>
      </c>
      <c r="KD677" s="20">
        <f t="shared" si="451"/>
        <v>0</v>
      </c>
      <c r="KE677" s="52" t="str">
        <f t="shared" si="452"/>
        <v/>
      </c>
      <c r="KF677" s="15">
        <f t="shared" si="453"/>
        <v>0</v>
      </c>
      <c r="KG677" s="15">
        <f t="shared" si="454"/>
        <v>0</v>
      </c>
      <c r="KH677" s="21" t="str">
        <f t="shared" si="455"/>
        <v/>
      </c>
      <c r="KI677" s="52">
        <f t="shared" si="456"/>
        <v>1</v>
      </c>
      <c r="KJ677" s="15">
        <f t="shared" si="457"/>
        <v>0</v>
      </c>
      <c r="KK677" s="15">
        <f t="shared" si="458"/>
        <v>0</v>
      </c>
      <c r="KL677" s="19" t="str">
        <f t="shared" si="459"/>
        <v/>
      </c>
      <c r="KM677" s="52">
        <f t="shared" si="460"/>
        <v>1</v>
      </c>
      <c r="KN677" s="22">
        <f t="shared" si="461"/>
        <v>647.94025157232704</v>
      </c>
      <c r="KO677" s="22">
        <f t="shared" si="462"/>
        <v>0</v>
      </c>
      <c r="KP677" s="19">
        <f t="shared" si="463"/>
        <v>0</v>
      </c>
      <c r="KQ677" s="11" t="str">
        <f t="shared" si="464"/>
        <v>4. Transformative</v>
      </c>
      <c r="KR677" s="11" t="str">
        <f t="shared" si="465"/>
        <v>3. Responsive</v>
      </c>
      <c r="KS677" s="11" t="str">
        <f t="shared" si="466"/>
        <v>4. Transformative</v>
      </c>
      <c r="KT677" s="11" t="str">
        <f t="shared" si="467"/>
        <v>It tested new ways for fighting poverty and measured results of innovation</v>
      </c>
      <c r="KU677" s="11" t="str">
        <f t="shared" si="468"/>
        <v>Moderate advocacy</v>
      </c>
      <c r="KV677" s="11" t="str">
        <f t="shared" si="469"/>
        <v>It linked and worked with strategic alliances and partners to take tested and effective solutions to scale</v>
      </c>
      <c r="KW677" s="11" t="str">
        <f t="shared" si="470"/>
        <v>Somalia - Somlia Towards Reaching Resilience (STORRE)</v>
      </c>
      <c r="KX677" s="11" t="str">
        <f t="shared" si="471"/>
        <v>Somlia Towards Reaching Resilience (STORRE)</v>
      </c>
      <c r="KY677" s="11" t="str">
        <f t="shared" si="472"/>
        <v>Somalia</v>
      </c>
      <c r="KZ677" s="287">
        <v>677</v>
      </c>
    </row>
    <row r="678" spans="1:312" x14ac:dyDescent="0.3">
      <c r="A678" s="12" t="s">
        <v>10685</v>
      </c>
      <c r="B678" s="12" t="s">
        <v>1874</v>
      </c>
      <c r="C678" s="12">
        <v>3349</v>
      </c>
      <c r="D678" s="12" t="s">
        <v>10873</v>
      </c>
      <c r="E678" s="277" t="str">
        <f t="shared" si="430"/>
        <v>Somalia</v>
      </c>
      <c r="F678" s="12" t="s">
        <v>10874</v>
      </c>
      <c r="G678" s="12" t="s">
        <v>425</v>
      </c>
      <c r="H678" s="12" t="s">
        <v>310</v>
      </c>
      <c r="I678" s="12" t="s">
        <v>426</v>
      </c>
      <c r="J678" s="281"/>
      <c r="K678" s="12"/>
      <c r="L678" s="12"/>
      <c r="M678" s="12"/>
      <c r="N678" s="12"/>
      <c r="O678" s="12"/>
      <c r="P678" s="12"/>
      <c r="Q678" s="12"/>
      <c r="R678" s="12"/>
      <c r="S678" s="12"/>
      <c r="T678" s="12"/>
      <c r="U678" s="12"/>
      <c r="V678" s="12"/>
      <c r="W678" s="12"/>
      <c r="X678" s="12"/>
      <c r="Y678" s="12"/>
      <c r="Z678" s="12"/>
      <c r="AA678" s="12"/>
      <c r="AB678" s="12"/>
      <c r="AC678" s="12"/>
      <c r="AD678" s="12"/>
      <c r="BD678" s="13">
        <v>41596</v>
      </c>
      <c r="BE678" s="13">
        <v>42735</v>
      </c>
      <c r="BF678" s="12"/>
      <c r="BG678" s="12" t="s">
        <v>350</v>
      </c>
      <c r="BH678" s="14">
        <v>1066667</v>
      </c>
      <c r="BI678" s="12" t="s">
        <v>10688</v>
      </c>
      <c r="BJ678" s="12" t="s">
        <v>10772</v>
      </c>
      <c r="BK678" s="12" t="s">
        <v>10875</v>
      </c>
      <c r="BL678" s="12" t="s">
        <v>10773</v>
      </c>
      <c r="BM678" s="12" t="s">
        <v>10774</v>
      </c>
      <c r="BN678" s="12" t="s">
        <v>10876</v>
      </c>
      <c r="BO678" s="12" t="s">
        <v>320</v>
      </c>
      <c r="BP678" s="12" t="s">
        <v>320</v>
      </c>
      <c r="BQ678" s="12" t="s">
        <v>320</v>
      </c>
      <c r="BR678" s="12" t="s">
        <v>10877</v>
      </c>
      <c r="BS678" s="12" t="s">
        <v>322</v>
      </c>
      <c r="BT678" s="12" t="s">
        <v>10777</v>
      </c>
      <c r="BU678" s="12" t="s">
        <v>10878</v>
      </c>
      <c r="BV678" s="14">
        <v>923</v>
      </c>
      <c r="BW678" s="14">
        <v>1725</v>
      </c>
      <c r="BX678" s="14">
        <v>2648</v>
      </c>
      <c r="BY678" s="14"/>
      <c r="BZ678" s="14"/>
      <c r="CA678" s="14"/>
      <c r="CB678" s="12" t="s">
        <v>10879</v>
      </c>
      <c r="CD678" s="14">
        <v>517</v>
      </c>
      <c r="CE678" s="14">
        <v>693</v>
      </c>
      <c r="CF678" s="14">
        <v>1210</v>
      </c>
      <c r="CG678" s="14">
        <v>2358</v>
      </c>
      <c r="CH678" s="14">
        <v>2642</v>
      </c>
      <c r="CI678" s="14">
        <v>5000</v>
      </c>
      <c r="CJ678" s="12"/>
      <c r="CK678" s="14"/>
      <c r="CL678" s="16"/>
      <c r="CM678" s="14"/>
      <c r="CN678" s="12"/>
      <c r="CO678" s="14"/>
      <c r="CP678" s="16"/>
      <c r="CQ678" s="14"/>
      <c r="CR678" s="12"/>
      <c r="CS678" s="14"/>
      <c r="CT678" s="16"/>
      <c r="CU678" s="14"/>
      <c r="CV678" s="12"/>
      <c r="CW678" s="14"/>
      <c r="CX678" s="16"/>
      <c r="CY678" s="14"/>
      <c r="CZ678" s="12"/>
      <c r="DA678" s="14"/>
      <c r="DB678" s="16"/>
      <c r="DC678" s="14"/>
      <c r="DD678" s="11" t="s">
        <v>320</v>
      </c>
      <c r="DE678" s="14">
        <v>1210</v>
      </c>
      <c r="DF678" s="16">
        <v>0.42699999999999999</v>
      </c>
      <c r="DG678" s="14">
        <v>5000</v>
      </c>
      <c r="DH678" s="12"/>
      <c r="DI678" s="14"/>
      <c r="DJ678" s="16"/>
      <c r="DK678" s="14"/>
      <c r="DL678" s="12"/>
      <c r="DM678" s="14"/>
      <c r="DN678" s="16"/>
      <c r="DO678" s="14"/>
      <c r="DP678" s="12"/>
      <c r="DQ678" s="14"/>
      <c r="DR678" s="16"/>
      <c r="DS678" s="14"/>
      <c r="DT678" s="12"/>
      <c r="DU678" s="14"/>
      <c r="DV678" s="16"/>
      <c r="DW678" s="14"/>
      <c r="DX678" s="12"/>
      <c r="DY678" s="14"/>
      <c r="DZ678" s="16"/>
      <c r="EA678" s="14"/>
      <c r="EB678" s="12"/>
      <c r="EC678" s="14"/>
      <c r="ED678" s="16"/>
      <c r="EE678" s="14"/>
      <c r="EF678" s="12"/>
      <c r="EG678" s="12"/>
      <c r="EH678" s="14"/>
      <c r="EI678" s="16"/>
      <c r="EJ678" s="14"/>
      <c r="EK678" s="14">
        <v>517</v>
      </c>
      <c r="EL678" s="14">
        <v>693</v>
      </c>
      <c r="EM678" s="14">
        <v>1210</v>
      </c>
      <c r="EN678" s="14">
        <v>2358</v>
      </c>
      <c r="EO678" s="14">
        <v>2642</v>
      </c>
      <c r="EP678" s="14">
        <v>5000</v>
      </c>
      <c r="EQ678" s="12"/>
      <c r="ER678" s="14"/>
      <c r="ES678" s="16"/>
      <c r="ET678" s="14"/>
      <c r="EU678" s="12"/>
      <c r="EV678" s="14"/>
      <c r="EW678" s="16"/>
      <c r="EX678" s="14"/>
      <c r="EY678" s="12"/>
      <c r="EZ678" s="14"/>
      <c r="FA678" s="16"/>
      <c r="FB678" s="14"/>
      <c r="FC678" s="12"/>
      <c r="FD678" s="14"/>
      <c r="FE678" s="16"/>
      <c r="FF678" s="14"/>
      <c r="FG678" s="12"/>
      <c r="FH678" s="14"/>
      <c r="FI678" s="16"/>
      <c r="FJ678" s="14"/>
      <c r="FK678" s="12"/>
      <c r="FL678" s="14"/>
      <c r="FM678" s="16"/>
      <c r="FN678" s="14"/>
      <c r="FO678" s="12"/>
      <c r="FP678" s="14"/>
      <c r="FQ678" s="16"/>
      <c r="FR678" s="14"/>
      <c r="FS678" s="12"/>
      <c r="FT678" s="14"/>
      <c r="FU678" s="16"/>
      <c r="FV678" s="14"/>
      <c r="FW678" s="12"/>
      <c r="FX678" s="14"/>
      <c r="FY678" s="16"/>
      <c r="FZ678" s="14"/>
      <c r="GA678" s="12"/>
      <c r="GB678" s="14"/>
      <c r="GC678" s="16"/>
      <c r="GD678" s="14"/>
      <c r="GE678" s="12"/>
      <c r="GF678" s="14"/>
      <c r="GG678" s="16"/>
      <c r="GH678" s="14"/>
      <c r="GI678" s="12"/>
      <c r="GJ678" s="14"/>
      <c r="GK678" s="16"/>
      <c r="GL678" s="14"/>
      <c r="GM678" s="11" t="s">
        <v>320</v>
      </c>
      <c r="GN678" s="14"/>
      <c r="GO678" s="16"/>
      <c r="GP678" s="14">
        <v>2648</v>
      </c>
      <c r="GQ678" s="12"/>
      <c r="GR678" s="14"/>
      <c r="GS678" s="16"/>
      <c r="GT678" s="14"/>
      <c r="GU678" s="12"/>
      <c r="GV678" s="14"/>
      <c r="GW678" s="16"/>
      <c r="GX678" s="14"/>
      <c r="GY678" s="12"/>
      <c r="GZ678" s="14"/>
      <c r="HA678" s="16"/>
      <c r="HB678" s="14"/>
      <c r="HC678" s="12"/>
      <c r="HD678" s="12"/>
      <c r="HE678" s="14"/>
      <c r="HF678" s="16"/>
      <c r="HG678" s="14"/>
      <c r="HH678" s="12" t="s">
        <v>319</v>
      </c>
      <c r="HI678" s="12"/>
      <c r="HJ678" s="12"/>
      <c r="HK678" s="12"/>
      <c r="HL678" s="12" t="s">
        <v>320</v>
      </c>
      <c r="HM678" s="12" t="s">
        <v>544</v>
      </c>
      <c r="HN678" s="12">
        <v>2017</v>
      </c>
      <c r="HO678" s="12"/>
      <c r="HP678" s="12" t="s">
        <v>453</v>
      </c>
      <c r="HQ678" s="12" t="s">
        <v>320</v>
      </c>
      <c r="HR678" s="12" t="s">
        <v>320</v>
      </c>
      <c r="HS678" s="12" t="s">
        <v>320</v>
      </c>
      <c r="HT678" s="12" t="s">
        <v>320</v>
      </c>
      <c r="HU678" s="12" t="s">
        <v>320</v>
      </c>
      <c r="HV678" s="12" t="s">
        <v>320</v>
      </c>
      <c r="HW678" s="12" t="s">
        <v>320</v>
      </c>
      <c r="HX678" s="12"/>
      <c r="HY678" s="12"/>
      <c r="HZ678" s="12" t="s">
        <v>363</v>
      </c>
      <c r="IA678" s="12" t="s">
        <v>10770</v>
      </c>
      <c r="IB678" s="12" t="s">
        <v>396</v>
      </c>
      <c r="IC678" s="12" t="s">
        <v>10781</v>
      </c>
      <c r="ID678" s="12"/>
      <c r="IE678" s="12" t="s">
        <v>335</v>
      </c>
      <c r="IF678" s="12" t="s">
        <v>320</v>
      </c>
      <c r="IG678" s="12" t="s">
        <v>320</v>
      </c>
      <c r="IH678" s="12" t="s">
        <v>320</v>
      </c>
      <c r="II678" s="12" t="s">
        <v>320</v>
      </c>
      <c r="IJ678" s="12" t="str">
        <f t="shared" si="431"/>
        <v>2. Sensitive</v>
      </c>
      <c r="IK678" s="12">
        <f t="shared" si="432"/>
        <v>4</v>
      </c>
      <c r="IL678" s="12"/>
      <c r="IM678" s="12"/>
      <c r="IN678" s="12"/>
      <c r="IO678" s="12"/>
      <c r="IP678" s="12"/>
      <c r="IQ678" s="12" t="str">
        <f t="shared" si="433"/>
        <v>No marker score</v>
      </c>
      <c r="IR678" s="12">
        <f t="shared" si="434"/>
        <v>0</v>
      </c>
      <c r="IS678" s="12"/>
      <c r="IT678" s="12"/>
      <c r="IU678" s="12"/>
      <c r="IV678" s="12"/>
      <c r="IW678" s="11" t="str">
        <f t="shared" si="435"/>
        <v>No marker score</v>
      </c>
      <c r="IX678" s="12">
        <f t="shared" si="436"/>
        <v>0</v>
      </c>
      <c r="IY678" s="12" t="s">
        <v>338</v>
      </c>
      <c r="IZ678" s="12" t="s">
        <v>457</v>
      </c>
      <c r="JA678" s="12"/>
      <c r="JB678" s="12" t="s">
        <v>433</v>
      </c>
      <c r="JC678" s="12" t="s">
        <v>624</v>
      </c>
      <c r="JD678" s="12" t="s">
        <v>651</v>
      </c>
      <c r="JE678" s="12" t="s">
        <v>340</v>
      </c>
      <c r="JF678" s="12"/>
      <c r="JG678" s="12"/>
      <c r="JH678" s="12"/>
      <c r="JI678" s="12"/>
      <c r="JJ678" s="12"/>
      <c r="JK678" s="12"/>
      <c r="JL678" s="12"/>
      <c r="JM678" s="12"/>
      <c r="JN678" s="12"/>
      <c r="JO678" s="12"/>
      <c r="JP678" s="15">
        <f t="shared" si="437"/>
        <v>1210</v>
      </c>
      <c r="JQ678" s="15">
        <f t="shared" si="438"/>
        <v>5000</v>
      </c>
      <c r="JR678" s="279">
        <f t="shared" si="439"/>
        <v>4.1322314049586772</v>
      </c>
      <c r="JS678" s="17">
        <f t="shared" si="440"/>
        <v>0.42727272727272725</v>
      </c>
      <c r="JT678" s="18">
        <f t="shared" si="441"/>
        <v>0.47160000000000002</v>
      </c>
      <c r="JU678" s="280">
        <f t="shared" si="442"/>
        <v>517</v>
      </c>
      <c r="JV678" s="280">
        <f t="shared" si="443"/>
        <v>2358</v>
      </c>
      <c r="JW678" s="319">
        <f t="shared" si="444"/>
        <v>1</v>
      </c>
      <c r="JX678" s="15">
        <f t="shared" si="445"/>
        <v>1210</v>
      </c>
      <c r="JY678" s="15">
        <f t="shared" si="446"/>
        <v>5000</v>
      </c>
      <c r="JZ678" s="19">
        <f t="shared" si="447"/>
        <v>4.1322314049586772</v>
      </c>
      <c r="KA678" s="52" t="str">
        <f t="shared" si="448"/>
        <v/>
      </c>
      <c r="KB678" s="15">
        <f t="shared" si="449"/>
        <v>0</v>
      </c>
      <c r="KC678" s="15">
        <f t="shared" si="450"/>
        <v>0</v>
      </c>
      <c r="KD678" s="20" t="str">
        <f t="shared" si="451"/>
        <v/>
      </c>
      <c r="KE678" s="52" t="str">
        <f t="shared" si="452"/>
        <v/>
      </c>
      <c r="KF678" s="15">
        <f t="shared" si="453"/>
        <v>0</v>
      </c>
      <c r="KG678" s="15">
        <f t="shared" si="454"/>
        <v>0</v>
      </c>
      <c r="KH678" s="21" t="str">
        <f t="shared" si="455"/>
        <v/>
      </c>
      <c r="KI678" s="52" t="str">
        <f t="shared" si="456"/>
        <v/>
      </c>
      <c r="KJ678" s="15">
        <f t="shared" si="457"/>
        <v>0</v>
      </c>
      <c r="KK678" s="15">
        <f t="shared" si="458"/>
        <v>0</v>
      </c>
      <c r="KL678" s="19" t="str">
        <f t="shared" si="459"/>
        <v/>
      </c>
      <c r="KM678" s="52" t="str">
        <f t="shared" si="460"/>
        <v/>
      </c>
      <c r="KN678" s="22">
        <f t="shared" si="461"/>
        <v>0</v>
      </c>
      <c r="KO678" s="22">
        <f t="shared" si="462"/>
        <v>0</v>
      </c>
      <c r="KP678" s="19" t="str">
        <f t="shared" si="463"/>
        <v/>
      </c>
      <c r="KQ678" s="11" t="str">
        <f t="shared" si="464"/>
        <v>2. Sensitive</v>
      </c>
      <c r="KR678" s="11" t="str">
        <f t="shared" si="465"/>
        <v>No marker score</v>
      </c>
      <c r="KS678" s="11" t="str">
        <f t="shared" si="466"/>
        <v>No marker score</v>
      </c>
      <c r="KT678" s="11" t="str">
        <f t="shared" si="467"/>
        <v>It did not develop any specific innovation</v>
      </c>
      <c r="KU678" s="11" t="str">
        <f t="shared" si="468"/>
        <v>Intensive advocacy</v>
      </c>
      <c r="KV678" s="11" t="str">
        <f t="shared" si="469"/>
        <v>It linked and worked with strategic alliances and partners to take tested and effective solutions to scale</v>
      </c>
      <c r="KW678" s="11" t="str">
        <f t="shared" si="470"/>
        <v>Somalia - Strengthening Civil Society Organisations and Public Sector Engagements in Somalia (SCOPES) Project</v>
      </c>
      <c r="KX678" s="11" t="str">
        <f t="shared" si="471"/>
        <v>Strengthening Civil Society Organisations and Public Sector Engagements in Somalia (SCOPES) Project</v>
      </c>
      <c r="KY678" s="11" t="str">
        <f t="shared" si="472"/>
        <v>Somalia</v>
      </c>
      <c r="KZ678" s="12">
        <v>678</v>
      </c>
    </row>
    <row r="679" spans="1:312" x14ac:dyDescent="0.3">
      <c r="A679" s="12" t="s">
        <v>10685</v>
      </c>
      <c r="B679" s="12" t="s">
        <v>1874</v>
      </c>
      <c r="C679" s="12">
        <v>3345</v>
      </c>
      <c r="D679" s="12" t="s">
        <v>10936</v>
      </c>
      <c r="E679" s="277" t="str">
        <f t="shared" si="430"/>
        <v>Somalia</v>
      </c>
      <c r="F679" s="12" t="s">
        <v>10937</v>
      </c>
      <c r="G679" s="12" t="s">
        <v>488</v>
      </c>
      <c r="H679" s="12" t="s">
        <v>310</v>
      </c>
      <c r="I679" s="12" t="s">
        <v>506</v>
      </c>
      <c r="J679" s="281" t="s">
        <v>9230</v>
      </c>
      <c r="K679" s="12"/>
      <c r="L679" s="12"/>
      <c r="M679" s="12"/>
      <c r="N679" s="12"/>
      <c r="O679" s="12"/>
      <c r="P679" s="12"/>
      <c r="Q679" s="12"/>
      <c r="R679" s="12"/>
      <c r="S679" s="12"/>
      <c r="T679" s="12"/>
      <c r="U679" s="12"/>
      <c r="V679" s="12"/>
      <c r="W679" s="12"/>
      <c r="X679" s="12"/>
      <c r="Y679" s="12"/>
      <c r="Z679" s="12"/>
      <c r="AA679" s="12"/>
      <c r="AB679" s="12"/>
      <c r="AC679" s="12"/>
      <c r="AD679" s="12"/>
      <c r="BD679" s="13">
        <v>41334</v>
      </c>
      <c r="BE679" s="13">
        <v>42822</v>
      </c>
      <c r="BF679" s="12"/>
      <c r="BG679" s="12" t="s">
        <v>312</v>
      </c>
      <c r="BH679" s="14">
        <v>19049129.359999999</v>
      </c>
      <c r="BI679" s="12" t="s">
        <v>10938</v>
      </c>
      <c r="BJ679" s="12" t="s">
        <v>10939</v>
      </c>
      <c r="BK679" s="12" t="s">
        <v>10940</v>
      </c>
      <c r="BL679" s="12" t="s">
        <v>10941</v>
      </c>
      <c r="BM679" s="12" t="s">
        <v>10942</v>
      </c>
      <c r="BN679" s="12" t="s">
        <v>10943</v>
      </c>
      <c r="BO679" s="12" t="s">
        <v>320</v>
      </c>
      <c r="BP679" s="12" t="s">
        <v>320</v>
      </c>
      <c r="BQ679" s="12" t="s">
        <v>320</v>
      </c>
      <c r="BR679" s="12" t="s">
        <v>10944</v>
      </c>
      <c r="BS679" s="12" t="s">
        <v>322</v>
      </c>
      <c r="BT679" s="12" t="s">
        <v>10945</v>
      </c>
      <c r="BU679" s="12" t="s">
        <v>10946</v>
      </c>
      <c r="BV679" s="14">
        <v>21377</v>
      </c>
      <c r="BW679" s="14">
        <v>16224</v>
      </c>
      <c r="BX679" s="14">
        <v>37601</v>
      </c>
      <c r="BY679" s="14">
        <v>18905</v>
      </c>
      <c r="BZ679" s="14">
        <v>18905</v>
      </c>
      <c r="CA679" s="14">
        <v>37810</v>
      </c>
      <c r="CB679" s="12" t="s">
        <v>10947</v>
      </c>
      <c r="CD679" s="14">
        <v>5394</v>
      </c>
      <c r="CE679" s="14">
        <v>6583</v>
      </c>
      <c r="CF679" s="38">
        <v>11977</v>
      </c>
      <c r="CG679" s="14"/>
      <c r="CH679" s="14"/>
      <c r="CI679" s="14"/>
      <c r="CJ679" s="12"/>
      <c r="CK679" s="14"/>
      <c r="CL679" s="16"/>
      <c r="CM679" s="14"/>
      <c r="CN679" s="12"/>
      <c r="CO679" s="14"/>
      <c r="CP679" s="16"/>
      <c r="CQ679" s="14"/>
      <c r="CR679" s="12"/>
      <c r="CS679" s="14"/>
      <c r="CT679" s="16"/>
      <c r="CU679" s="14"/>
      <c r="CV679" s="12"/>
      <c r="CW679" s="14"/>
      <c r="CX679" s="16"/>
      <c r="CY679" s="14"/>
      <c r="CZ679" s="12"/>
      <c r="DA679" s="14"/>
      <c r="DB679" s="16"/>
      <c r="DC679" s="14"/>
      <c r="DD679" s="12"/>
      <c r="DE679" s="14"/>
      <c r="DF679" s="16"/>
      <c r="DG679" s="14"/>
      <c r="DH679" s="12"/>
      <c r="DI679" s="14"/>
      <c r="DJ679" s="16"/>
      <c r="DK679" s="14"/>
      <c r="DL679" s="12"/>
      <c r="DM679" s="14"/>
      <c r="DN679" s="16"/>
      <c r="DO679" s="14"/>
      <c r="DP679" s="12"/>
      <c r="DQ679" s="14"/>
      <c r="DR679" s="16"/>
      <c r="DS679" s="14"/>
      <c r="DT679" s="12"/>
      <c r="DU679" s="14"/>
      <c r="DV679" s="16"/>
      <c r="DW679" s="14"/>
      <c r="DX679" s="12"/>
      <c r="DY679" s="14"/>
      <c r="DZ679" s="16"/>
      <c r="EA679" s="14"/>
      <c r="EB679" s="11" t="s">
        <v>320</v>
      </c>
      <c r="EC679" s="14">
        <v>11987</v>
      </c>
      <c r="ED679" s="16">
        <v>0.56999999999999995</v>
      </c>
      <c r="EE679" s="14"/>
      <c r="EF679" s="12"/>
      <c r="EG679" s="12"/>
      <c r="EH679" s="14"/>
      <c r="EI679" s="16"/>
      <c r="EJ679" s="14"/>
      <c r="EK679" s="14">
        <v>21377</v>
      </c>
      <c r="EL679" s="14">
        <v>16224</v>
      </c>
      <c r="EM679" s="14">
        <v>37601</v>
      </c>
      <c r="EN679" s="14">
        <v>18905</v>
      </c>
      <c r="EO679" s="14">
        <v>18905</v>
      </c>
      <c r="EP679" s="14">
        <v>37810</v>
      </c>
      <c r="EQ679" s="12"/>
      <c r="ER679" s="14"/>
      <c r="ES679" s="16"/>
      <c r="ET679" s="14"/>
      <c r="EU679" s="12"/>
      <c r="EV679" s="14"/>
      <c r="EW679" s="16"/>
      <c r="EX679" s="14"/>
      <c r="EY679" s="12"/>
      <c r="EZ679" s="14"/>
      <c r="FA679" s="16"/>
      <c r="FB679" s="14"/>
      <c r="FC679" s="12"/>
      <c r="FD679" s="14"/>
      <c r="FE679" s="16"/>
      <c r="FF679" s="14"/>
      <c r="FG679" s="12"/>
      <c r="FH679" s="14"/>
      <c r="FI679" s="16"/>
      <c r="FJ679" s="14"/>
      <c r="FK679" s="12" t="s">
        <v>320</v>
      </c>
      <c r="FL679" s="14">
        <v>37601</v>
      </c>
      <c r="FM679" s="16">
        <v>0.56999999999999995</v>
      </c>
      <c r="FN679" s="14">
        <v>37810</v>
      </c>
      <c r="FO679" s="12"/>
      <c r="FP679" s="14"/>
      <c r="FQ679" s="16"/>
      <c r="FR679" s="14"/>
      <c r="FS679" s="12"/>
      <c r="FT679" s="14"/>
      <c r="FU679" s="16"/>
      <c r="FV679" s="14"/>
      <c r="FW679" s="12"/>
      <c r="FX679" s="14"/>
      <c r="FY679" s="16"/>
      <c r="FZ679" s="14"/>
      <c r="GA679" s="12"/>
      <c r="GB679" s="14"/>
      <c r="GC679" s="16"/>
      <c r="GD679" s="14"/>
      <c r="GE679" s="12"/>
      <c r="GF679" s="14"/>
      <c r="GG679" s="16"/>
      <c r="GH679" s="14"/>
      <c r="GI679" s="12"/>
      <c r="GJ679" s="14"/>
      <c r="GK679" s="16"/>
      <c r="GL679" s="14"/>
      <c r="GM679" s="12"/>
      <c r="GN679" s="14"/>
      <c r="GO679" s="16"/>
      <c r="GP679" s="14"/>
      <c r="GQ679" s="12"/>
      <c r="GR679" s="14"/>
      <c r="GS679" s="16"/>
      <c r="GT679" s="14"/>
      <c r="GU679" s="12"/>
      <c r="GV679" s="14"/>
      <c r="GW679" s="16"/>
      <c r="GX679" s="14"/>
      <c r="GY679" s="12"/>
      <c r="GZ679" s="14"/>
      <c r="HA679" s="16"/>
      <c r="HB679" s="14"/>
      <c r="HC679" s="12"/>
      <c r="HD679" s="12"/>
      <c r="HE679" s="14"/>
      <c r="HF679" s="16"/>
      <c r="HG679" s="14"/>
      <c r="HH679" s="12" t="s">
        <v>320</v>
      </c>
      <c r="HI679" s="12" t="s">
        <v>328</v>
      </c>
      <c r="HJ679" s="12">
        <v>2017</v>
      </c>
      <c r="HK679" s="12" t="s">
        <v>320</v>
      </c>
      <c r="HL679" s="12" t="s">
        <v>319</v>
      </c>
      <c r="HM679" s="12"/>
      <c r="HN679" s="12"/>
      <c r="HO679" s="12" t="s">
        <v>10948</v>
      </c>
      <c r="HP679" s="12" t="s">
        <v>330</v>
      </c>
      <c r="HQ679" s="12"/>
      <c r="HR679" s="12"/>
      <c r="HS679" s="12"/>
      <c r="HT679" s="12" t="s">
        <v>320</v>
      </c>
      <c r="HU679" s="12" t="s">
        <v>320</v>
      </c>
      <c r="HV679" s="12"/>
      <c r="HW679" s="12"/>
      <c r="HX679" s="12"/>
      <c r="HY679" s="12"/>
      <c r="HZ679" s="12" t="s">
        <v>363</v>
      </c>
      <c r="IA679" s="12"/>
      <c r="IB679" s="12"/>
      <c r="IC679" s="12"/>
      <c r="ID679" s="12" t="s">
        <v>334</v>
      </c>
      <c r="IE679" s="12" t="s">
        <v>478</v>
      </c>
      <c r="IF679" s="12" t="s">
        <v>320</v>
      </c>
      <c r="IG679" s="12" t="s">
        <v>320</v>
      </c>
      <c r="IH679" s="12" t="s">
        <v>320</v>
      </c>
      <c r="II679" s="12" t="s">
        <v>320</v>
      </c>
      <c r="IJ679" s="12" t="str">
        <f t="shared" si="431"/>
        <v>4. Transformative</v>
      </c>
      <c r="IK679" s="12">
        <f t="shared" si="432"/>
        <v>4</v>
      </c>
      <c r="IL679" s="11" t="s">
        <v>621</v>
      </c>
      <c r="IM679" s="12" t="s">
        <v>320</v>
      </c>
      <c r="IN679" s="12" t="s">
        <v>320</v>
      </c>
      <c r="IO679" s="12" t="s">
        <v>320</v>
      </c>
      <c r="IP679" s="12" t="s">
        <v>320</v>
      </c>
      <c r="IQ679" s="12" t="str">
        <f t="shared" si="433"/>
        <v>4. Transformational</v>
      </c>
      <c r="IR679" s="12">
        <f t="shared" si="434"/>
        <v>4</v>
      </c>
      <c r="IS679" s="12"/>
      <c r="IT679" s="12"/>
      <c r="IU679" s="12"/>
      <c r="IV679" s="12"/>
      <c r="IW679" s="11" t="str">
        <f t="shared" si="435"/>
        <v>No marker score</v>
      </c>
      <c r="IX679" s="12">
        <f t="shared" si="436"/>
        <v>0</v>
      </c>
      <c r="IY679" s="12" t="s">
        <v>338</v>
      </c>
      <c r="IZ679" s="12" t="s">
        <v>432</v>
      </c>
      <c r="JA679" s="12">
        <v>8</v>
      </c>
      <c r="JB679" s="12" t="s">
        <v>433</v>
      </c>
      <c r="JC679" s="12" t="s">
        <v>687</v>
      </c>
      <c r="JD679" s="12" t="s">
        <v>651</v>
      </c>
      <c r="JE679" s="12" t="s">
        <v>365</v>
      </c>
      <c r="JF679" s="12" t="s">
        <v>10949</v>
      </c>
      <c r="JG679" s="12"/>
      <c r="JH679" s="12" t="s">
        <v>10950</v>
      </c>
      <c r="JI679" s="12" t="s">
        <v>10951</v>
      </c>
      <c r="JJ679" s="12" t="s">
        <v>10952</v>
      </c>
      <c r="JK679" s="12" t="s">
        <v>10953</v>
      </c>
      <c r="JL679" s="12" t="s">
        <v>10954</v>
      </c>
      <c r="JM679" s="12" t="s">
        <v>10955</v>
      </c>
      <c r="JN679" s="12" t="s">
        <v>10956</v>
      </c>
      <c r="JO679" s="12" t="s">
        <v>10957</v>
      </c>
      <c r="JP679" s="15">
        <f t="shared" si="437"/>
        <v>37601</v>
      </c>
      <c r="JQ679" s="15">
        <f t="shared" si="438"/>
        <v>37810</v>
      </c>
      <c r="JR679" s="279">
        <f t="shared" si="439"/>
        <v>1.0055583628094997</v>
      </c>
      <c r="JS679" s="17">
        <f t="shared" si="440"/>
        <v>0.56852211377356987</v>
      </c>
      <c r="JT679" s="18">
        <f t="shared" si="441"/>
        <v>0.5</v>
      </c>
      <c r="JU679" s="280">
        <f t="shared" si="442"/>
        <v>21377</v>
      </c>
      <c r="JV679" s="280">
        <f t="shared" si="443"/>
        <v>18905</v>
      </c>
      <c r="JW679" s="319">
        <f t="shared" si="444"/>
        <v>1</v>
      </c>
      <c r="JX679" s="15">
        <f t="shared" si="445"/>
        <v>11977</v>
      </c>
      <c r="JY679" s="15">
        <f t="shared" si="446"/>
        <v>0</v>
      </c>
      <c r="JZ679" s="19">
        <f t="shared" si="447"/>
        <v>0</v>
      </c>
      <c r="KA679" s="52" t="str">
        <f t="shared" si="448"/>
        <v/>
      </c>
      <c r="KB679" s="15">
        <f t="shared" si="449"/>
        <v>0</v>
      </c>
      <c r="KC679" s="15">
        <f t="shared" si="450"/>
        <v>0</v>
      </c>
      <c r="KD679" s="20" t="str">
        <f t="shared" si="451"/>
        <v/>
      </c>
      <c r="KE679" s="52" t="str">
        <f t="shared" si="452"/>
        <v/>
      </c>
      <c r="KF679" s="15">
        <f t="shared" si="453"/>
        <v>0</v>
      </c>
      <c r="KG679" s="15">
        <f t="shared" si="454"/>
        <v>0</v>
      </c>
      <c r="KH679" s="21" t="str">
        <f t="shared" si="455"/>
        <v/>
      </c>
      <c r="KI679" s="52" t="str">
        <f t="shared" si="456"/>
        <v/>
      </c>
      <c r="KJ679" s="15">
        <f t="shared" si="457"/>
        <v>0</v>
      </c>
      <c r="KK679" s="15">
        <f t="shared" si="458"/>
        <v>0</v>
      </c>
      <c r="KL679" s="19" t="str">
        <f t="shared" si="459"/>
        <v/>
      </c>
      <c r="KM679" s="52" t="str">
        <f t="shared" si="460"/>
        <v/>
      </c>
      <c r="KN679" s="22">
        <f t="shared" si="461"/>
        <v>0</v>
      </c>
      <c r="KO679" s="22">
        <f t="shared" si="462"/>
        <v>0</v>
      </c>
      <c r="KP679" s="19" t="str">
        <f t="shared" si="463"/>
        <v/>
      </c>
      <c r="KQ679" s="11" t="str">
        <f t="shared" si="464"/>
        <v>4. Transformative</v>
      </c>
      <c r="KR679" s="11" t="str">
        <f t="shared" si="465"/>
        <v>4. Transformational</v>
      </c>
      <c r="KS679" s="11" t="str">
        <f t="shared" si="466"/>
        <v>No marker score</v>
      </c>
      <c r="KT679" s="11" t="str">
        <f t="shared" si="467"/>
        <v>It did not develop any specific innovation</v>
      </c>
      <c r="KU679" s="11" t="str">
        <f t="shared" si="468"/>
        <v>Moderate advocacy</v>
      </c>
      <c r="KV679" s="11">
        <f t="shared" si="469"/>
        <v>0</v>
      </c>
      <c r="KW679" s="11" t="str">
        <f t="shared" si="470"/>
        <v>Somalia - The Somali Girls Education Promotion Project (SOMGEP) - Kobcinta Waxbarashada Gabdhaha in Somali</v>
      </c>
      <c r="KX679" s="11" t="str">
        <f t="shared" si="471"/>
        <v>The Somali Girls Education Promotion Project (SOMGEP) - Kobcinta Waxbarashada Gabdhaha in Somali</v>
      </c>
      <c r="KY679" s="11" t="str">
        <f t="shared" si="472"/>
        <v>Somalia</v>
      </c>
      <c r="KZ679" s="12">
        <v>679</v>
      </c>
    </row>
    <row r="680" spans="1:312" x14ac:dyDescent="0.3">
      <c r="A680" s="12" t="s">
        <v>10685</v>
      </c>
      <c r="B680" s="12" t="s">
        <v>1874</v>
      </c>
      <c r="C680" s="12">
        <v>3336</v>
      </c>
      <c r="D680" s="12" t="s">
        <v>10880</v>
      </c>
      <c r="E680" s="277" t="str">
        <f t="shared" si="430"/>
        <v>Somalia</v>
      </c>
      <c r="F680" s="12" t="s">
        <v>10881</v>
      </c>
      <c r="G680" s="12" t="s">
        <v>425</v>
      </c>
      <c r="H680" s="12" t="s">
        <v>380</v>
      </c>
      <c r="I680" s="12" t="s">
        <v>517</v>
      </c>
      <c r="J680" s="281" t="s">
        <v>14578</v>
      </c>
      <c r="K680" s="12"/>
      <c r="L680" s="12"/>
      <c r="M680" s="12"/>
      <c r="N680" s="12"/>
      <c r="O680" s="12"/>
      <c r="P680" s="12"/>
      <c r="Q680" s="12"/>
      <c r="R680" s="12"/>
      <c r="S680" s="12"/>
      <c r="T680" s="12"/>
      <c r="U680" s="12"/>
      <c r="V680" s="12"/>
      <c r="W680" s="12"/>
      <c r="X680" s="12"/>
      <c r="Y680" s="12"/>
      <c r="Z680" s="12"/>
      <c r="AA680" s="12"/>
      <c r="AB680" s="12"/>
      <c r="AC680" s="12"/>
      <c r="AD680" s="12"/>
      <c r="BD680" s="13">
        <v>41606</v>
      </c>
      <c r="BE680" s="13">
        <v>42517</v>
      </c>
      <c r="BF680" s="13">
        <v>42762</v>
      </c>
      <c r="BG680" s="12" t="s">
        <v>350</v>
      </c>
      <c r="BH680" s="14">
        <v>2821000</v>
      </c>
      <c r="BI680" s="12" t="s">
        <v>10882</v>
      </c>
      <c r="BJ680" s="12" t="s">
        <v>8849</v>
      </c>
      <c r="BK680" s="12" t="s">
        <v>10725</v>
      </c>
      <c r="BL680" s="12" t="s">
        <v>10883</v>
      </c>
      <c r="BM680" s="12" t="s">
        <v>444</v>
      </c>
      <c r="BN680" s="12" t="s">
        <v>10884</v>
      </c>
      <c r="BO680" s="12" t="s">
        <v>319</v>
      </c>
      <c r="BP680" s="12" t="s">
        <v>320</v>
      </c>
      <c r="BQ680" s="12" t="s">
        <v>319</v>
      </c>
      <c r="BR680" s="12" t="s">
        <v>10885</v>
      </c>
      <c r="BS680" s="12" t="s">
        <v>357</v>
      </c>
      <c r="BT680" s="12" t="s">
        <v>10886</v>
      </c>
      <c r="BU680" s="12" t="s">
        <v>10887</v>
      </c>
      <c r="BV680" s="14">
        <v>3309</v>
      </c>
      <c r="BW680" s="14">
        <v>1418</v>
      </c>
      <c r="BX680" s="14">
        <v>4727</v>
      </c>
      <c r="BY680" s="14">
        <v>19853</v>
      </c>
      <c r="BZ680" s="14">
        <v>8509</v>
      </c>
      <c r="CA680" s="14">
        <v>28362</v>
      </c>
      <c r="CB680" s="12" t="s">
        <v>10888</v>
      </c>
      <c r="CD680" s="14"/>
      <c r="CE680" s="14"/>
      <c r="CF680" s="14"/>
      <c r="CG680" s="14"/>
      <c r="CH680" s="14"/>
      <c r="CI680" s="14"/>
      <c r="CJ680" s="12"/>
      <c r="CK680" s="14"/>
      <c r="CL680" s="16"/>
      <c r="CM680" s="14"/>
      <c r="CN680" s="12"/>
      <c r="CO680" s="14"/>
      <c r="CP680" s="16"/>
      <c r="CQ680" s="14">
        <v>0</v>
      </c>
      <c r="CR680" s="12"/>
      <c r="CS680" s="14"/>
      <c r="CT680" s="16"/>
      <c r="CU680" s="14"/>
      <c r="CV680" s="12"/>
      <c r="CW680" s="14"/>
      <c r="CX680" s="16"/>
      <c r="CY680" s="14"/>
      <c r="CZ680" s="12"/>
      <c r="DA680" s="14"/>
      <c r="DB680" s="16"/>
      <c r="DC680" s="14"/>
      <c r="DD680" s="12"/>
      <c r="DE680" s="14"/>
      <c r="DF680" s="16"/>
      <c r="DG680" s="14"/>
      <c r="DH680" s="12"/>
      <c r="DI680" s="14"/>
      <c r="DJ680" s="16"/>
      <c r="DK680" s="14"/>
      <c r="DL680" s="12"/>
      <c r="DM680" s="14"/>
      <c r="DN680" s="16"/>
      <c r="DO680" s="14"/>
      <c r="DP680" s="12"/>
      <c r="DQ680" s="14"/>
      <c r="DR680" s="16"/>
      <c r="DS680" s="14"/>
      <c r="DT680" s="12"/>
      <c r="DU680" s="14"/>
      <c r="DV680" s="16"/>
      <c r="DW680" s="14"/>
      <c r="DX680" s="12"/>
      <c r="DY680" s="14"/>
      <c r="DZ680" s="16"/>
      <c r="EA680" s="14"/>
      <c r="EB680" s="12"/>
      <c r="EC680" s="14"/>
      <c r="ED680" s="16"/>
      <c r="EE680" s="14"/>
      <c r="EF680" s="12"/>
      <c r="EG680" s="12"/>
      <c r="EH680" s="14"/>
      <c r="EI680" s="16"/>
      <c r="EJ680" s="14"/>
      <c r="EK680" s="14">
        <v>3309</v>
      </c>
      <c r="EL680" s="14">
        <v>1418</v>
      </c>
      <c r="EM680" s="14">
        <v>4727</v>
      </c>
      <c r="EN680" s="14">
        <v>19853</v>
      </c>
      <c r="EO680" s="14">
        <v>8509</v>
      </c>
      <c r="EP680" s="14">
        <v>28362</v>
      </c>
      <c r="EQ680" s="12"/>
      <c r="ER680" s="14"/>
      <c r="ES680" s="16"/>
      <c r="ET680" s="14"/>
      <c r="EU680" s="12"/>
      <c r="EV680" s="14"/>
      <c r="EW680" s="16"/>
      <c r="EX680" s="14"/>
      <c r="EY680" s="12"/>
      <c r="EZ680" s="14"/>
      <c r="FA680" s="16"/>
      <c r="FB680" s="14"/>
      <c r="FC680" s="12" t="s">
        <v>320</v>
      </c>
      <c r="FD680" s="14">
        <v>931</v>
      </c>
      <c r="FE680" s="16">
        <v>0.5</v>
      </c>
      <c r="FF680" s="14">
        <v>5586</v>
      </c>
      <c r="FG680" s="12" t="s">
        <v>320</v>
      </c>
      <c r="FH680" s="14">
        <v>3796</v>
      </c>
      <c r="FI680" s="16">
        <v>0.8</v>
      </c>
      <c r="FJ680" s="14">
        <v>22776</v>
      </c>
      <c r="FK680" s="12"/>
      <c r="FL680" s="14"/>
      <c r="FM680" s="16"/>
      <c r="FN680" s="14"/>
      <c r="FO680" s="12"/>
      <c r="FP680" s="14"/>
      <c r="FQ680" s="16"/>
      <c r="FR680" s="14"/>
      <c r="FS680" s="12"/>
      <c r="FT680" s="14"/>
      <c r="FU680" s="16"/>
      <c r="FV680" s="14"/>
      <c r="FW680" s="12"/>
      <c r="FX680" s="14"/>
      <c r="FY680" s="16"/>
      <c r="FZ680" s="14"/>
      <c r="GA680" s="12"/>
      <c r="GB680" s="14"/>
      <c r="GC680" s="16"/>
      <c r="GD680" s="14"/>
      <c r="GE680" s="12"/>
      <c r="GF680" s="14"/>
      <c r="GG680" s="16"/>
      <c r="GH680" s="14"/>
      <c r="GI680" s="12"/>
      <c r="GJ680" s="14"/>
      <c r="GK680" s="16"/>
      <c r="GL680" s="14"/>
      <c r="GM680" s="12"/>
      <c r="GN680" s="14"/>
      <c r="GO680" s="16"/>
      <c r="GP680" s="14"/>
      <c r="GQ680" s="12"/>
      <c r="GR680" s="14"/>
      <c r="GS680" s="16"/>
      <c r="GT680" s="14"/>
      <c r="GU680" s="12"/>
      <c r="GV680" s="14"/>
      <c r="GW680" s="16"/>
      <c r="GX680" s="14"/>
      <c r="GY680" s="12"/>
      <c r="GZ680" s="14"/>
      <c r="HA680" s="16"/>
      <c r="HB680" s="14"/>
      <c r="HC680" s="12"/>
      <c r="HD680" s="12"/>
      <c r="HE680" s="14"/>
      <c r="HF680" s="16"/>
      <c r="HG680" s="14"/>
      <c r="HH680" s="12" t="s">
        <v>320</v>
      </c>
      <c r="HI680" s="12" t="s">
        <v>544</v>
      </c>
      <c r="HJ680" s="12">
        <v>2017</v>
      </c>
      <c r="HK680" s="12" t="s">
        <v>319</v>
      </c>
      <c r="HL680" s="12" t="s">
        <v>319</v>
      </c>
      <c r="HM680" s="12"/>
      <c r="HN680" s="12"/>
      <c r="HO680" s="12" t="s">
        <v>10889</v>
      </c>
      <c r="HP680" s="12" t="s">
        <v>330</v>
      </c>
      <c r="HQ680" s="12" t="s">
        <v>319</v>
      </c>
      <c r="HR680" s="12" t="s">
        <v>320</v>
      </c>
      <c r="HS680" s="12" t="s">
        <v>320</v>
      </c>
      <c r="HT680" s="12" t="s">
        <v>320</v>
      </c>
      <c r="HU680" s="12" t="s">
        <v>319</v>
      </c>
      <c r="HV680" s="12" t="s">
        <v>319</v>
      </c>
      <c r="HW680" s="12" t="s">
        <v>319</v>
      </c>
      <c r="HX680" s="12"/>
      <c r="HY680" s="12"/>
      <c r="HZ680" s="12" t="s">
        <v>394</v>
      </c>
      <c r="IA680" s="12"/>
      <c r="IB680" s="12" t="s">
        <v>333</v>
      </c>
      <c r="IC680" s="12"/>
      <c r="ID680" s="12" t="s">
        <v>364</v>
      </c>
      <c r="IE680" s="12" t="s">
        <v>335</v>
      </c>
      <c r="IF680" s="12" t="s">
        <v>320</v>
      </c>
      <c r="IG680" s="12" t="s">
        <v>320</v>
      </c>
      <c r="IH680" s="12" t="s">
        <v>320</v>
      </c>
      <c r="II680" s="12" t="s">
        <v>320</v>
      </c>
      <c r="IJ680" s="12" t="str">
        <f t="shared" si="431"/>
        <v>2. Sensitive</v>
      </c>
      <c r="IK680" s="12">
        <f t="shared" si="432"/>
        <v>4</v>
      </c>
      <c r="IL680" s="12" t="s">
        <v>336</v>
      </c>
      <c r="IM680" s="12" t="s">
        <v>320</v>
      </c>
      <c r="IN680" s="12" t="s">
        <v>320</v>
      </c>
      <c r="IO680" s="12" t="s">
        <v>320</v>
      </c>
      <c r="IP680" s="12" t="s">
        <v>320</v>
      </c>
      <c r="IQ680" s="12" t="str">
        <f t="shared" si="433"/>
        <v>2. Accommodating</v>
      </c>
      <c r="IR680" s="12">
        <f t="shared" si="434"/>
        <v>4</v>
      </c>
      <c r="IS680" s="12" t="s">
        <v>622</v>
      </c>
      <c r="IT680" s="12" t="s">
        <v>320</v>
      </c>
      <c r="IU680" s="12" t="s">
        <v>320</v>
      </c>
      <c r="IV680" s="12" t="s">
        <v>319</v>
      </c>
      <c r="IW680" s="11" t="str">
        <f t="shared" si="435"/>
        <v>3. Responsive</v>
      </c>
      <c r="IX680" s="12">
        <f t="shared" si="436"/>
        <v>2</v>
      </c>
      <c r="IY680" s="12" t="s">
        <v>758</v>
      </c>
      <c r="IZ680" s="12" t="s">
        <v>527</v>
      </c>
      <c r="JA680" s="12"/>
      <c r="JB680" s="12" t="s">
        <v>433</v>
      </c>
      <c r="JC680" s="12" t="s">
        <v>433</v>
      </c>
      <c r="JD680" s="12" t="s">
        <v>433</v>
      </c>
      <c r="JE680" s="12" t="s">
        <v>365</v>
      </c>
      <c r="JF680" s="12"/>
      <c r="JG680" s="12" t="s">
        <v>6286</v>
      </c>
      <c r="JH680" s="12" t="s">
        <v>10890</v>
      </c>
      <c r="JI680" s="12" t="s">
        <v>10891</v>
      </c>
      <c r="JJ680" s="12" t="s">
        <v>10892</v>
      </c>
      <c r="JK680" s="12" t="s">
        <v>10893</v>
      </c>
      <c r="JL680" s="12" t="s">
        <v>10894</v>
      </c>
      <c r="JM680" s="12" t="s">
        <v>10895</v>
      </c>
      <c r="JN680" s="12"/>
      <c r="JO680" s="12"/>
      <c r="JP680" s="15">
        <f t="shared" si="437"/>
        <v>4727</v>
      </c>
      <c r="JQ680" s="15">
        <f t="shared" si="438"/>
        <v>28362</v>
      </c>
      <c r="JR680" s="279">
        <f t="shared" si="439"/>
        <v>6</v>
      </c>
      <c r="JS680" s="17">
        <f t="shared" si="440"/>
        <v>0.70002115506663842</v>
      </c>
      <c r="JT680" s="18">
        <f t="shared" si="441"/>
        <v>0.69998589662224098</v>
      </c>
      <c r="JU680" s="280">
        <f t="shared" si="442"/>
        <v>3309</v>
      </c>
      <c r="JV680" s="280">
        <f t="shared" si="443"/>
        <v>19853</v>
      </c>
      <c r="JW680" s="319" t="str">
        <f t="shared" si="444"/>
        <v/>
      </c>
      <c r="JX680" s="15">
        <f t="shared" si="445"/>
        <v>0</v>
      </c>
      <c r="JY680" s="15">
        <f t="shared" si="446"/>
        <v>0</v>
      </c>
      <c r="JZ680" s="19" t="str">
        <f t="shared" si="447"/>
        <v/>
      </c>
      <c r="KA680" s="52">
        <f t="shared" si="448"/>
        <v>1</v>
      </c>
      <c r="KB680" s="15">
        <f t="shared" si="449"/>
        <v>3796</v>
      </c>
      <c r="KC680" s="15">
        <f t="shared" si="450"/>
        <v>22776</v>
      </c>
      <c r="KD680" s="20">
        <f t="shared" si="451"/>
        <v>6</v>
      </c>
      <c r="KE680" s="52" t="str">
        <f t="shared" si="452"/>
        <v/>
      </c>
      <c r="KF680" s="15">
        <f t="shared" si="453"/>
        <v>0</v>
      </c>
      <c r="KG680" s="15">
        <f t="shared" si="454"/>
        <v>0</v>
      </c>
      <c r="KH680" s="21" t="str">
        <f t="shared" si="455"/>
        <v/>
      </c>
      <c r="KI680" s="52" t="str">
        <f t="shared" si="456"/>
        <v/>
      </c>
      <c r="KJ680" s="15">
        <f t="shared" si="457"/>
        <v>0</v>
      </c>
      <c r="KK680" s="15">
        <f t="shared" si="458"/>
        <v>0</v>
      </c>
      <c r="KL680" s="19" t="str">
        <f t="shared" si="459"/>
        <v/>
      </c>
      <c r="KM680" s="52">
        <f t="shared" si="460"/>
        <v>1</v>
      </c>
      <c r="KN680" s="22">
        <f t="shared" si="461"/>
        <v>3036.8</v>
      </c>
      <c r="KO680" s="22">
        <f t="shared" si="462"/>
        <v>18220.8</v>
      </c>
      <c r="KP680" s="19">
        <f t="shared" si="463"/>
        <v>5.9999999999999991</v>
      </c>
      <c r="KQ680" s="11" t="str">
        <f t="shared" si="464"/>
        <v>2. Sensitive</v>
      </c>
      <c r="KR680" s="11" t="str">
        <f t="shared" si="465"/>
        <v>2. Accommodating</v>
      </c>
      <c r="KS680" s="11" t="str">
        <f t="shared" si="466"/>
        <v>3. Responsive</v>
      </c>
      <c r="KT680" s="11" t="str">
        <f t="shared" si="467"/>
        <v>It tested new ways for fighting poverty, but did not measure results of innovation</v>
      </c>
      <c r="KU680" s="11" t="str">
        <f t="shared" si="468"/>
        <v>Moderate advocacy</v>
      </c>
      <c r="KV680" s="11" t="str">
        <f t="shared" si="469"/>
        <v>It did not take tested solutions to scale</v>
      </c>
      <c r="KW680" s="11" t="str">
        <f t="shared" si="470"/>
        <v>Somalia - Towards Self Reliance II</v>
      </c>
      <c r="KX680" s="11" t="str">
        <f t="shared" si="471"/>
        <v>Towards Self Reliance II</v>
      </c>
      <c r="KY680" s="11" t="str">
        <f t="shared" si="472"/>
        <v>Somalia</v>
      </c>
      <c r="KZ680" s="12">
        <v>680</v>
      </c>
    </row>
    <row r="681" spans="1:312" x14ac:dyDescent="0.3">
      <c r="A681" s="12" t="s">
        <v>10685</v>
      </c>
      <c r="B681" s="12" t="s">
        <v>1874</v>
      </c>
      <c r="C681" s="12"/>
      <c r="D681" s="12" t="s">
        <v>11072</v>
      </c>
      <c r="E681" s="277" t="str">
        <f t="shared" si="430"/>
        <v>Somalia</v>
      </c>
      <c r="F681" s="12" t="s">
        <v>11073</v>
      </c>
      <c r="G681" s="12" t="s">
        <v>608</v>
      </c>
      <c r="H681" s="12" t="s">
        <v>384</v>
      </c>
      <c r="I681" s="12" t="s">
        <v>384</v>
      </c>
      <c r="J681" s="281" t="s">
        <v>11074</v>
      </c>
      <c r="K681" s="12" t="s">
        <v>11075</v>
      </c>
      <c r="L681" s="12" t="s">
        <v>608</v>
      </c>
      <c r="M681" s="12" t="s">
        <v>384</v>
      </c>
      <c r="N681" s="12" t="s">
        <v>384</v>
      </c>
      <c r="O681" s="278" t="s">
        <v>11074</v>
      </c>
      <c r="P681" s="12"/>
      <c r="Q681" s="12"/>
      <c r="R681" s="12"/>
      <c r="S681" s="12"/>
      <c r="T681" s="12"/>
      <c r="U681" s="12"/>
      <c r="V681" s="12"/>
      <c r="W681" s="12"/>
      <c r="X681" s="12"/>
      <c r="Y681" s="12"/>
      <c r="Z681" s="12"/>
      <c r="AA681" s="12"/>
      <c r="AB681" s="12"/>
      <c r="AC681" s="12"/>
      <c r="AD681" s="12"/>
      <c r="BD681" s="13">
        <v>42171</v>
      </c>
      <c r="BE681" s="13">
        <v>43541</v>
      </c>
      <c r="BF681" s="12"/>
      <c r="BG681" s="12" t="s">
        <v>312</v>
      </c>
      <c r="BH681" s="14">
        <v>7792800</v>
      </c>
      <c r="BI681" s="12" t="s">
        <v>11076</v>
      </c>
      <c r="BJ681" s="12" t="s">
        <v>444</v>
      </c>
      <c r="BK681" s="12" t="s">
        <v>11077</v>
      </c>
      <c r="BL681" s="12" t="s">
        <v>10798</v>
      </c>
      <c r="BM681" s="12" t="s">
        <v>10799</v>
      </c>
      <c r="BN681" s="12" t="s">
        <v>10800</v>
      </c>
      <c r="BO681" s="12" t="s">
        <v>320</v>
      </c>
      <c r="BP681" s="12" t="s">
        <v>320</v>
      </c>
      <c r="BQ681" s="12" t="s">
        <v>320</v>
      </c>
      <c r="BR681" s="12" t="s">
        <v>11078</v>
      </c>
      <c r="BS681" s="12" t="s">
        <v>322</v>
      </c>
      <c r="BT681" s="12" t="s">
        <v>11079</v>
      </c>
      <c r="BU681" s="12" t="s">
        <v>11080</v>
      </c>
      <c r="BV681" s="14">
        <v>347805</v>
      </c>
      <c r="BW681" s="14">
        <v>319064</v>
      </c>
      <c r="BX681" s="14">
        <v>666869</v>
      </c>
      <c r="BY681" s="14">
        <v>635000</v>
      </c>
      <c r="BZ681" s="14">
        <v>527210</v>
      </c>
      <c r="CA681" s="14">
        <v>1162210</v>
      </c>
      <c r="CB681" s="12" t="s">
        <v>11081</v>
      </c>
      <c r="CD681" s="14">
        <v>156512.25</v>
      </c>
      <c r="CE681" s="14">
        <v>191292.75</v>
      </c>
      <c r="CF681" s="14">
        <v>347805</v>
      </c>
      <c r="CG681" s="14">
        <v>522994</v>
      </c>
      <c r="CH681" s="14">
        <v>639216</v>
      </c>
      <c r="CI681" s="14">
        <v>1162210</v>
      </c>
      <c r="CJ681" s="12"/>
      <c r="CK681" s="14"/>
      <c r="CL681" s="16"/>
      <c r="CM681" s="14"/>
      <c r="CN681" s="12"/>
      <c r="CO681" s="14"/>
      <c r="CP681" s="16"/>
      <c r="CQ681" s="14"/>
      <c r="CR681" s="12"/>
      <c r="CS681" s="14"/>
      <c r="CT681" s="16"/>
      <c r="CU681" s="14"/>
      <c r="CV681" s="12"/>
      <c r="CW681" s="14"/>
      <c r="CX681" s="16"/>
      <c r="CY681" s="14"/>
      <c r="CZ681" s="12"/>
      <c r="DA681" s="14"/>
      <c r="DB681" s="16"/>
      <c r="DC681" s="14"/>
      <c r="DD681" s="12"/>
      <c r="DE681" s="14"/>
      <c r="DF681" s="16"/>
      <c r="DG681" s="14"/>
      <c r="DH681" s="12"/>
      <c r="DI681" s="14"/>
      <c r="DJ681" s="16"/>
      <c r="DK681" s="14"/>
      <c r="DL681" s="12"/>
      <c r="DM681" s="14"/>
      <c r="DN681" s="16"/>
      <c r="DO681" s="14"/>
      <c r="DP681" s="12"/>
      <c r="DQ681" s="14"/>
      <c r="DR681" s="16"/>
      <c r="DS681" s="14"/>
      <c r="DT681" s="12"/>
      <c r="DU681" s="14"/>
      <c r="DV681" s="16"/>
      <c r="DW681" s="14"/>
      <c r="DX681" s="12"/>
      <c r="DY681" s="14"/>
      <c r="DZ681" s="16"/>
      <c r="EA681" s="14"/>
      <c r="EB681" s="12" t="s">
        <v>320</v>
      </c>
      <c r="EC681" s="38">
        <v>347805</v>
      </c>
      <c r="ED681" s="16">
        <v>0.45</v>
      </c>
      <c r="EE681" s="14">
        <v>1162210</v>
      </c>
      <c r="EF681" s="12"/>
      <c r="EG681" s="12"/>
      <c r="EH681" s="14"/>
      <c r="EI681" s="16"/>
      <c r="EJ681" s="14"/>
      <c r="EK681" s="14">
        <v>347805</v>
      </c>
      <c r="EL681" s="14">
        <v>319064</v>
      </c>
      <c r="EM681" s="14">
        <v>666869</v>
      </c>
      <c r="EN681" s="14">
        <v>635000</v>
      </c>
      <c r="EO681" s="14">
        <v>527210</v>
      </c>
      <c r="EP681" s="14">
        <v>1162210</v>
      </c>
      <c r="EQ681" s="12" t="s">
        <v>319</v>
      </c>
      <c r="ER681" s="14"/>
      <c r="ES681" s="16"/>
      <c r="ET681" s="14"/>
      <c r="EU681" s="11" t="s">
        <v>319</v>
      </c>
      <c r="EV681" s="14"/>
      <c r="EW681" s="16"/>
      <c r="EX681" s="14"/>
      <c r="EY681" s="12" t="s">
        <v>319</v>
      </c>
      <c r="EZ681" s="14"/>
      <c r="FA681" s="16"/>
      <c r="FB681" s="14"/>
      <c r="FC681" s="12" t="s">
        <v>319</v>
      </c>
      <c r="FD681" s="14"/>
      <c r="FE681" s="16"/>
      <c r="FF681" s="14"/>
      <c r="FG681" s="12" t="s">
        <v>319</v>
      </c>
      <c r="FH681" s="14"/>
      <c r="FI681" s="16"/>
      <c r="FJ681" s="14"/>
      <c r="FK681" s="12" t="s">
        <v>319</v>
      </c>
      <c r="FL681" s="14"/>
      <c r="FM681" s="16"/>
      <c r="FN681" s="14"/>
      <c r="FO681" s="12" t="s">
        <v>319</v>
      </c>
      <c r="FP681" s="14"/>
      <c r="FQ681" s="16"/>
      <c r="FR681" s="14"/>
      <c r="FS681" s="12" t="s">
        <v>319</v>
      </c>
      <c r="FT681" s="14"/>
      <c r="FU681" s="16"/>
      <c r="FV681" s="14"/>
      <c r="FW681" s="12" t="s">
        <v>319</v>
      </c>
      <c r="FX681" s="14"/>
      <c r="FY681" s="16"/>
      <c r="FZ681" s="14"/>
      <c r="GA681" s="12" t="s">
        <v>319</v>
      </c>
      <c r="GB681" s="14"/>
      <c r="GC681" s="16"/>
      <c r="GD681" s="14"/>
      <c r="GE681" s="12" t="s">
        <v>319</v>
      </c>
      <c r="GF681" s="14"/>
      <c r="GG681" s="16"/>
      <c r="GH681" s="14"/>
      <c r="GI681" s="12" t="s">
        <v>319</v>
      </c>
      <c r="GJ681" s="14"/>
      <c r="GK681" s="16"/>
      <c r="GL681" s="14"/>
      <c r="GM681" s="12" t="s">
        <v>319</v>
      </c>
      <c r="GN681" s="14"/>
      <c r="GO681" s="16"/>
      <c r="GP681" s="14"/>
      <c r="GQ681" s="12" t="s">
        <v>319</v>
      </c>
      <c r="GR681" s="14"/>
      <c r="GS681" s="16"/>
      <c r="GT681" s="14"/>
      <c r="GU681" s="12" t="s">
        <v>320</v>
      </c>
      <c r="GV681" s="14">
        <v>666869</v>
      </c>
      <c r="GW681" s="16">
        <v>0.45</v>
      </c>
      <c r="GX681" s="14">
        <v>1162210</v>
      </c>
      <c r="GY681" s="12" t="s">
        <v>319</v>
      </c>
      <c r="GZ681" s="14"/>
      <c r="HA681" s="16"/>
      <c r="HB681" s="14"/>
      <c r="HC681" s="12"/>
      <c r="HD681" s="12"/>
      <c r="HE681" s="14"/>
      <c r="HF681" s="16"/>
      <c r="HG681" s="14"/>
      <c r="HH681" s="12" t="s">
        <v>320</v>
      </c>
      <c r="HI681" s="12" t="s">
        <v>416</v>
      </c>
      <c r="HJ681" s="12">
        <v>2017</v>
      </c>
      <c r="HK681" s="12" t="s">
        <v>319</v>
      </c>
      <c r="HL681" s="12" t="s">
        <v>319</v>
      </c>
      <c r="HM681" s="12"/>
      <c r="HN681" s="12">
        <v>2017</v>
      </c>
      <c r="HO681" s="12"/>
      <c r="HP681" s="12" t="s">
        <v>330</v>
      </c>
      <c r="HQ681" s="12" t="s">
        <v>319</v>
      </c>
      <c r="HR681" s="12" t="s">
        <v>319</v>
      </c>
      <c r="HS681" s="12" t="s">
        <v>320</v>
      </c>
      <c r="HT681" s="12" t="s">
        <v>320</v>
      </c>
      <c r="HU681" s="12" t="s">
        <v>320</v>
      </c>
      <c r="HV681" s="12" t="s">
        <v>320</v>
      </c>
      <c r="HW681" s="12" t="s">
        <v>320</v>
      </c>
      <c r="HX681" s="12"/>
      <c r="HY681" s="12"/>
      <c r="HZ681" s="12" t="s">
        <v>363</v>
      </c>
      <c r="IA681" s="12"/>
      <c r="IB681" s="12" t="s">
        <v>667</v>
      </c>
      <c r="IC681" s="12"/>
      <c r="ID681" s="12" t="s">
        <v>334</v>
      </c>
      <c r="IE681" s="12" t="s">
        <v>335</v>
      </c>
      <c r="IF681" s="12" t="s">
        <v>320</v>
      </c>
      <c r="IG681" s="12" t="s">
        <v>320</v>
      </c>
      <c r="IH681" s="12" t="s">
        <v>320</v>
      </c>
      <c r="II681" s="12" t="s">
        <v>320</v>
      </c>
      <c r="IJ681" s="12" t="str">
        <f t="shared" si="431"/>
        <v>2. Sensitive</v>
      </c>
      <c r="IK681" s="12">
        <f t="shared" si="432"/>
        <v>4</v>
      </c>
      <c r="IL681" s="12" t="s">
        <v>336</v>
      </c>
      <c r="IM681" s="12" t="s">
        <v>320</v>
      </c>
      <c r="IN681" s="12" t="s">
        <v>320</v>
      </c>
      <c r="IO681" s="12" t="s">
        <v>320</v>
      </c>
      <c r="IP681" s="12" t="s">
        <v>320</v>
      </c>
      <c r="IQ681" s="12" t="str">
        <f t="shared" si="433"/>
        <v>2. Accommodating</v>
      </c>
      <c r="IR681" s="12">
        <f t="shared" si="434"/>
        <v>4</v>
      </c>
      <c r="IS681" s="12" t="s">
        <v>337</v>
      </c>
      <c r="IT681" s="12" t="s">
        <v>319</v>
      </c>
      <c r="IU681" s="12" t="s">
        <v>320</v>
      </c>
      <c r="IV681" s="12" t="s">
        <v>319</v>
      </c>
      <c r="IW681" s="11" t="str">
        <f t="shared" si="435"/>
        <v>1. Neutral</v>
      </c>
      <c r="IX681" s="12">
        <f t="shared" si="436"/>
        <v>1</v>
      </c>
      <c r="IY681" s="12" t="s">
        <v>338</v>
      </c>
      <c r="IZ681" s="12" t="s">
        <v>339</v>
      </c>
      <c r="JA681" s="12"/>
      <c r="JB681" s="12" t="s">
        <v>831</v>
      </c>
      <c r="JC681" s="12" t="s">
        <v>687</v>
      </c>
      <c r="JD681" s="12" t="s">
        <v>724</v>
      </c>
      <c r="JE681" s="12" t="s">
        <v>420</v>
      </c>
      <c r="JF681" s="12"/>
      <c r="JG681" s="12" t="s">
        <v>11082</v>
      </c>
      <c r="JH681" s="12" t="s">
        <v>11083</v>
      </c>
      <c r="JI681" s="12" t="s">
        <v>11084</v>
      </c>
      <c r="JJ681" s="12" t="s">
        <v>11085</v>
      </c>
      <c r="JK681" s="12" t="s">
        <v>10736</v>
      </c>
      <c r="JL681" s="12" t="s">
        <v>11086</v>
      </c>
      <c r="JM681" s="12" t="s">
        <v>11087</v>
      </c>
      <c r="JN681" s="12" t="s">
        <v>11088</v>
      </c>
      <c r="JO681" s="12"/>
      <c r="JP681" s="15">
        <f t="shared" si="437"/>
        <v>666869</v>
      </c>
      <c r="JQ681" s="15">
        <f t="shared" si="438"/>
        <v>1162210</v>
      </c>
      <c r="JR681" s="279">
        <f t="shared" si="439"/>
        <v>1.7427860644294457</v>
      </c>
      <c r="JS681" s="17">
        <f t="shared" si="440"/>
        <v>0.52154920981482122</v>
      </c>
      <c r="JT681" s="18">
        <f t="shared" si="441"/>
        <v>0.5463728586055876</v>
      </c>
      <c r="JU681" s="280">
        <f t="shared" si="442"/>
        <v>347805</v>
      </c>
      <c r="JV681" s="280">
        <f t="shared" si="443"/>
        <v>635000</v>
      </c>
      <c r="JW681" s="319">
        <f t="shared" si="444"/>
        <v>1</v>
      </c>
      <c r="JX681" s="15">
        <f t="shared" si="445"/>
        <v>347805</v>
      </c>
      <c r="JY681" s="15">
        <f t="shared" si="446"/>
        <v>1162210</v>
      </c>
      <c r="JZ681" s="19">
        <f t="shared" si="447"/>
        <v>3.3415563318526185</v>
      </c>
      <c r="KA681" s="52">
        <f t="shared" si="448"/>
        <v>1</v>
      </c>
      <c r="KB681" s="15">
        <f t="shared" si="449"/>
        <v>666869</v>
      </c>
      <c r="KC681" s="15">
        <f t="shared" si="450"/>
        <v>1162210</v>
      </c>
      <c r="KD681" s="20">
        <f t="shared" si="451"/>
        <v>1.7427860644294457</v>
      </c>
      <c r="KE681" s="52" t="str">
        <f t="shared" si="452"/>
        <v/>
      </c>
      <c r="KF681" s="15">
        <f t="shared" si="453"/>
        <v>0</v>
      </c>
      <c r="KG681" s="15">
        <f t="shared" si="454"/>
        <v>0</v>
      </c>
      <c r="KH681" s="21" t="str">
        <f t="shared" si="455"/>
        <v/>
      </c>
      <c r="KI681" s="52" t="str">
        <f t="shared" si="456"/>
        <v/>
      </c>
      <c r="KJ681" s="15">
        <f t="shared" si="457"/>
        <v>0</v>
      </c>
      <c r="KK681" s="15">
        <f t="shared" si="458"/>
        <v>0</v>
      </c>
      <c r="KL681" s="19" t="str">
        <f t="shared" si="459"/>
        <v/>
      </c>
      <c r="KM681" s="52" t="str">
        <f t="shared" si="460"/>
        <v/>
      </c>
      <c r="KN681" s="22">
        <f t="shared" si="461"/>
        <v>0</v>
      </c>
      <c r="KO681" s="22">
        <f t="shared" si="462"/>
        <v>0</v>
      </c>
      <c r="KP681" s="19" t="str">
        <f t="shared" si="463"/>
        <v/>
      </c>
      <c r="KQ681" s="11" t="str">
        <f t="shared" si="464"/>
        <v>2. Sensitive</v>
      </c>
      <c r="KR681" s="11" t="str">
        <f t="shared" si="465"/>
        <v>2. Accommodating</v>
      </c>
      <c r="KS681" s="11" t="str">
        <f t="shared" si="466"/>
        <v>1. Neutral</v>
      </c>
      <c r="KT681" s="11" t="str">
        <f t="shared" si="467"/>
        <v>It did not develop any specific innovation</v>
      </c>
      <c r="KU681" s="11" t="str">
        <f t="shared" si="468"/>
        <v>Moderate advocacy</v>
      </c>
      <c r="KV681" s="11" t="str">
        <f t="shared" si="469"/>
        <v>It took tested solutions to scale on its own</v>
      </c>
      <c r="KW681" s="11" t="str">
        <f t="shared" si="470"/>
        <v>Somalia - Water for Infrastructure Development for Resilience Program in Somaliland (WIDRP)</v>
      </c>
      <c r="KX681" s="11" t="str">
        <f t="shared" si="471"/>
        <v>Water for Infrastructure Development for Resilience Program in Somaliland (WIDRP)</v>
      </c>
      <c r="KY681" s="11" t="str">
        <f t="shared" si="472"/>
        <v>Somalia</v>
      </c>
      <c r="KZ681" s="12">
        <v>681</v>
      </c>
    </row>
    <row r="682" spans="1:312" x14ac:dyDescent="0.3">
      <c r="A682" s="12" t="s">
        <v>10685</v>
      </c>
      <c r="B682" s="12" t="s">
        <v>1874</v>
      </c>
      <c r="C682" s="12">
        <v>3347</v>
      </c>
      <c r="D682" s="12" t="s">
        <v>11012</v>
      </c>
      <c r="E682" s="277" t="str">
        <f t="shared" si="430"/>
        <v>Somalia</v>
      </c>
      <c r="F682" s="12" t="s">
        <v>11013</v>
      </c>
      <c r="G682" s="12" t="s">
        <v>379</v>
      </c>
      <c r="H682" s="12" t="s">
        <v>383</v>
      </c>
      <c r="I682" s="12" t="s">
        <v>384</v>
      </c>
      <c r="J682" s="281" t="s">
        <v>14648</v>
      </c>
      <c r="K682" s="12"/>
      <c r="L682" s="12"/>
      <c r="M682" s="12"/>
      <c r="N682" s="12"/>
      <c r="O682" s="12"/>
      <c r="P682" s="12"/>
      <c r="Q682" s="12"/>
      <c r="R682" s="12"/>
      <c r="S682" s="12"/>
      <c r="T682" s="12"/>
      <c r="U682" s="12"/>
      <c r="V682" s="12"/>
      <c r="W682" s="12"/>
      <c r="X682" s="12"/>
      <c r="Y682" s="12"/>
      <c r="Z682" s="12"/>
      <c r="AA682" s="12"/>
      <c r="AB682" s="12"/>
      <c r="AC682" s="12"/>
      <c r="AD682" s="12"/>
      <c r="BD682" s="13">
        <v>41596</v>
      </c>
      <c r="BE682" s="13">
        <v>42735</v>
      </c>
      <c r="BF682" s="12"/>
      <c r="BG682" s="12" t="s">
        <v>312</v>
      </c>
      <c r="BH682" s="14">
        <v>8946181</v>
      </c>
      <c r="BI682" s="12" t="s">
        <v>10688</v>
      </c>
      <c r="BJ682" s="12" t="s">
        <v>10772</v>
      </c>
      <c r="BK682" s="12" t="s">
        <v>10875</v>
      </c>
      <c r="BL682" s="12"/>
      <c r="BM682" s="12"/>
      <c r="BN682" s="12"/>
      <c r="BO682" s="12" t="s">
        <v>320</v>
      </c>
      <c r="BP682" s="12" t="s">
        <v>320</v>
      </c>
      <c r="BQ682" s="12" t="s">
        <v>320</v>
      </c>
      <c r="BR682" s="12" t="s">
        <v>11014</v>
      </c>
      <c r="BS682" s="12" t="s">
        <v>322</v>
      </c>
      <c r="BT682" s="12" t="s">
        <v>11015</v>
      </c>
      <c r="BU682" s="12" t="s">
        <v>11016</v>
      </c>
      <c r="BV682" s="14">
        <v>12040</v>
      </c>
      <c r="BW682" s="14">
        <v>18060</v>
      </c>
      <c r="BX682" s="14">
        <v>30100</v>
      </c>
      <c r="BY682" s="14"/>
      <c r="BZ682" s="14"/>
      <c r="CA682" s="14"/>
      <c r="CB682" s="12" t="s">
        <v>11017</v>
      </c>
      <c r="CD682" s="14">
        <v>17092</v>
      </c>
      <c r="CE682" s="14">
        <v>18293</v>
      </c>
      <c r="CF682" s="14">
        <v>35385</v>
      </c>
      <c r="CG682" s="14">
        <v>735</v>
      </c>
      <c r="CH682" s="14">
        <v>765</v>
      </c>
      <c r="CI682" s="14">
        <v>1500</v>
      </c>
      <c r="CJ682" s="12"/>
      <c r="CK682" s="14"/>
      <c r="CL682" s="16"/>
      <c r="CM682" s="14"/>
      <c r="CN682" s="12"/>
      <c r="CO682" s="14"/>
      <c r="CP682" s="16"/>
      <c r="CQ682" s="14"/>
      <c r="CR682" s="12" t="s">
        <v>320</v>
      </c>
      <c r="CS682" s="14">
        <v>35385</v>
      </c>
      <c r="CT682" s="16">
        <v>0.48</v>
      </c>
      <c r="CU682" s="14">
        <v>1500</v>
      </c>
      <c r="CV682" s="12"/>
      <c r="CW682" s="14"/>
      <c r="CX682" s="16"/>
      <c r="CY682" s="14"/>
      <c r="CZ682" s="12"/>
      <c r="DA682" s="14"/>
      <c r="DB682" s="16"/>
      <c r="DC682" s="14"/>
      <c r="DD682" s="12"/>
      <c r="DE682" s="14"/>
      <c r="DF682" s="16"/>
      <c r="DG682" s="14"/>
      <c r="DH682" s="12"/>
      <c r="DI682" s="14"/>
      <c r="DJ682" s="16"/>
      <c r="DK682" s="14"/>
      <c r="DL682" s="12"/>
      <c r="DM682" s="14"/>
      <c r="DN682" s="16"/>
      <c r="DO682" s="14"/>
      <c r="DP682" s="12"/>
      <c r="DQ682" s="14"/>
      <c r="DR682" s="16"/>
      <c r="DS682" s="14"/>
      <c r="DT682" s="12"/>
      <c r="DU682" s="14"/>
      <c r="DV682" s="16"/>
      <c r="DW682" s="14"/>
      <c r="DX682" s="12"/>
      <c r="DY682" s="14"/>
      <c r="DZ682" s="16"/>
      <c r="EA682" s="14"/>
      <c r="EB682" s="12"/>
      <c r="EC682" s="14"/>
      <c r="ED682" s="16"/>
      <c r="EE682" s="14"/>
      <c r="EF682" s="12"/>
      <c r="EG682" s="12"/>
      <c r="EH682" s="14"/>
      <c r="EI682" s="16"/>
      <c r="EJ682" s="14"/>
      <c r="EK682" s="14">
        <v>17092</v>
      </c>
      <c r="EL682" s="14">
        <v>18293</v>
      </c>
      <c r="EM682" s="14">
        <v>35385</v>
      </c>
      <c r="EN682" s="14">
        <v>1179963</v>
      </c>
      <c r="EO682" s="14">
        <v>1508462</v>
      </c>
      <c r="EP682" s="14">
        <v>2688425</v>
      </c>
      <c r="EQ682" s="12"/>
      <c r="ER682" s="14"/>
      <c r="ES682" s="16"/>
      <c r="ET682" s="14"/>
      <c r="EU682" s="12"/>
      <c r="EV682" s="14"/>
      <c r="EW682" s="16"/>
      <c r="EX682" s="14"/>
      <c r="EY682" s="12"/>
      <c r="EZ682" s="14"/>
      <c r="FA682" s="16"/>
      <c r="FB682" s="14"/>
      <c r="FC682" s="12"/>
      <c r="FD682" s="14"/>
      <c r="FE682" s="16"/>
      <c r="FF682" s="14"/>
      <c r="FG682" s="12"/>
      <c r="FH682" s="14"/>
      <c r="FI682" s="16"/>
      <c r="FJ682" s="14"/>
      <c r="FK682" s="12" t="s">
        <v>320</v>
      </c>
      <c r="FL682" s="14">
        <v>35385</v>
      </c>
      <c r="FM682" s="16">
        <v>0.48</v>
      </c>
      <c r="FN682" s="14">
        <v>3191247</v>
      </c>
      <c r="FO682" s="12"/>
      <c r="FP682" s="14"/>
      <c r="FQ682" s="16"/>
      <c r="FR682" s="14"/>
      <c r="FS682" s="12"/>
      <c r="FT682" s="14"/>
      <c r="FU682" s="16"/>
      <c r="FV682" s="14"/>
      <c r="FW682" s="12"/>
      <c r="FX682" s="14"/>
      <c r="FY682" s="16"/>
      <c r="FZ682" s="14"/>
      <c r="GA682" s="12"/>
      <c r="GB682" s="14"/>
      <c r="GC682" s="16"/>
      <c r="GD682" s="14"/>
      <c r="GE682" s="12"/>
      <c r="GF682" s="14"/>
      <c r="GG682" s="16"/>
      <c r="GH682" s="14"/>
      <c r="GI682" s="12"/>
      <c r="GJ682" s="14"/>
      <c r="GK682" s="16"/>
      <c r="GL682" s="14"/>
      <c r="GM682" s="12"/>
      <c r="GN682" s="14"/>
      <c r="GO682" s="16"/>
      <c r="GP682" s="14"/>
      <c r="GQ682" s="12"/>
      <c r="GR682" s="14"/>
      <c r="GS682" s="16"/>
      <c r="GT682" s="14"/>
      <c r="GU682" s="12"/>
      <c r="GV682" s="14"/>
      <c r="GW682" s="16"/>
      <c r="GX682" s="14"/>
      <c r="GY682" s="12"/>
      <c r="GZ682" s="14"/>
      <c r="HA682" s="16"/>
      <c r="HB682" s="14"/>
      <c r="HC682" s="12"/>
      <c r="HD682" s="12"/>
      <c r="HE682" s="14"/>
      <c r="HF682" s="16"/>
      <c r="HG682" s="14"/>
      <c r="HH682" s="12" t="s">
        <v>320</v>
      </c>
      <c r="HI682" s="12" t="s">
        <v>328</v>
      </c>
      <c r="HJ682" s="12">
        <v>2016</v>
      </c>
      <c r="HK682" s="12" t="s">
        <v>320</v>
      </c>
      <c r="HL682" s="12" t="s">
        <v>319</v>
      </c>
      <c r="HM682" s="12"/>
      <c r="HN682" s="12"/>
      <c r="HO682" s="12" t="s">
        <v>11018</v>
      </c>
      <c r="HP682" s="12" t="s">
        <v>330</v>
      </c>
      <c r="HQ682" s="12" t="s">
        <v>320</v>
      </c>
      <c r="HR682" s="12"/>
      <c r="HS682" s="12"/>
      <c r="HT682" s="12" t="s">
        <v>320</v>
      </c>
      <c r="HU682" s="12"/>
      <c r="HV682" s="12"/>
      <c r="HW682" s="12"/>
      <c r="HX682" s="12"/>
      <c r="HY682" s="12"/>
      <c r="HZ682" s="12" t="s">
        <v>363</v>
      </c>
      <c r="IA682" s="12"/>
      <c r="IB682" s="12" t="s">
        <v>667</v>
      </c>
      <c r="IC682" s="12"/>
      <c r="ID682" s="12" t="s">
        <v>364</v>
      </c>
      <c r="IE682" s="12" t="s">
        <v>478</v>
      </c>
      <c r="IF682" s="12" t="s">
        <v>320</v>
      </c>
      <c r="IG682" s="12" t="s">
        <v>320</v>
      </c>
      <c r="IH682" s="12" t="s">
        <v>320</v>
      </c>
      <c r="II682" s="12" t="s">
        <v>320</v>
      </c>
      <c r="IJ682" s="12" t="str">
        <f t="shared" si="431"/>
        <v>4. Transformative</v>
      </c>
      <c r="IK682" s="12">
        <f t="shared" si="432"/>
        <v>4</v>
      </c>
      <c r="IL682" s="12" t="s">
        <v>336</v>
      </c>
      <c r="IM682" s="12" t="s">
        <v>320</v>
      </c>
      <c r="IN682" s="12" t="s">
        <v>320</v>
      </c>
      <c r="IO682" s="12" t="s">
        <v>319</v>
      </c>
      <c r="IP682" s="12" t="s">
        <v>320</v>
      </c>
      <c r="IQ682" s="12" t="str">
        <f t="shared" si="433"/>
        <v>2. Accommodating</v>
      </c>
      <c r="IR682" s="12">
        <f t="shared" si="434"/>
        <v>3</v>
      </c>
      <c r="IS682" s="12" t="s">
        <v>337</v>
      </c>
      <c r="IT682" s="12" t="s">
        <v>320</v>
      </c>
      <c r="IU682" s="12" t="s">
        <v>319</v>
      </c>
      <c r="IV682" s="12" t="s">
        <v>320</v>
      </c>
      <c r="IW682" s="11" t="str">
        <f t="shared" si="435"/>
        <v>1. Neutral</v>
      </c>
      <c r="IX682" s="12">
        <f t="shared" si="436"/>
        <v>2</v>
      </c>
      <c r="IY682" s="12" t="s">
        <v>419</v>
      </c>
      <c r="IZ682" s="12" t="s">
        <v>432</v>
      </c>
      <c r="JA682" s="12">
        <v>2</v>
      </c>
      <c r="JB682" s="12" t="s">
        <v>687</v>
      </c>
      <c r="JC682" s="12" t="s">
        <v>687</v>
      </c>
      <c r="JD682" s="12" t="s">
        <v>623</v>
      </c>
      <c r="JE682" s="12" t="s">
        <v>420</v>
      </c>
      <c r="JF682" s="12"/>
      <c r="JG682" s="12"/>
      <c r="JH682" s="12" t="s">
        <v>11019</v>
      </c>
      <c r="JI682" s="12" t="s">
        <v>11020</v>
      </c>
      <c r="JJ682" s="12" t="s">
        <v>11021</v>
      </c>
      <c r="JK682" s="12" t="s">
        <v>11022</v>
      </c>
      <c r="JL682" s="12"/>
      <c r="JM682" s="12"/>
      <c r="JN682" s="12" t="s">
        <v>11023</v>
      </c>
      <c r="JO682" s="12" t="s">
        <v>11024</v>
      </c>
      <c r="JP682" s="15">
        <f t="shared" si="437"/>
        <v>35385</v>
      </c>
      <c r="JQ682" s="15">
        <f t="shared" si="438"/>
        <v>2688425</v>
      </c>
      <c r="JR682" s="279">
        <f t="shared" si="439"/>
        <v>75.97640243040837</v>
      </c>
      <c r="JS682" s="17">
        <f t="shared" si="440"/>
        <v>0.48302953228769252</v>
      </c>
      <c r="JT682" s="18">
        <f t="shared" si="441"/>
        <v>0.43890493504561223</v>
      </c>
      <c r="JU682" s="280">
        <f t="shared" si="442"/>
        <v>17092</v>
      </c>
      <c r="JV682" s="280">
        <f t="shared" si="443"/>
        <v>1179963</v>
      </c>
      <c r="JW682" s="319">
        <f t="shared" si="444"/>
        <v>1</v>
      </c>
      <c r="JX682" s="15">
        <f t="shared" si="445"/>
        <v>35385</v>
      </c>
      <c r="JY682" s="15">
        <f t="shared" si="446"/>
        <v>1500</v>
      </c>
      <c r="JZ682" s="19">
        <f t="shared" si="447"/>
        <v>4.2390843577787198E-2</v>
      </c>
      <c r="KA682" s="52" t="str">
        <f t="shared" si="448"/>
        <v/>
      </c>
      <c r="KB682" s="15">
        <f t="shared" si="449"/>
        <v>0</v>
      </c>
      <c r="KC682" s="15">
        <f t="shared" si="450"/>
        <v>0</v>
      </c>
      <c r="KD682" s="20" t="str">
        <f t="shared" si="451"/>
        <v/>
      </c>
      <c r="KE682" s="52" t="str">
        <f t="shared" si="452"/>
        <v/>
      </c>
      <c r="KF682" s="15">
        <f t="shared" si="453"/>
        <v>0</v>
      </c>
      <c r="KG682" s="15">
        <f t="shared" si="454"/>
        <v>0</v>
      </c>
      <c r="KH682" s="21" t="str">
        <f t="shared" si="455"/>
        <v/>
      </c>
      <c r="KI682" s="52" t="str">
        <f t="shared" si="456"/>
        <v/>
      </c>
      <c r="KJ682" s="15">
        <f t="shared" si="457"/>
        <v>0</v>
      </c>
      <c r="KK682" s="15">
        <f t="shared" si="458"/>
        <v>0</v>
      </c>
      <c r="KL682" s="19" t="str">
        <f t="shared" si="459"/>
        <v/>
      </c>
      <c r="KM682" s="52" t="str">
        <f t="shared" si="460"/>
        <v/>
      </c>
      <c r="KN682" s="22">
        <f t="shared" si="461"/>
        <v>0</v>
      </c>
      <c r="KO682" s="22">
        <f t="shared" si="462"/>
        <v>0</v>
      </c>
      <c r="KP682" s="19" t="str">
        <f t="shared" si="463"/>
        <v/>
      </c>
      <c r="KQ682" s="11" t="str">
        <f t="shared" si="464"/>
        <v>4. Transformative</v>
      </c>
      <c r="KR682" s="11" t="str">
        <f t="shared" si="465"/>
        <v>2. Accommodating</v>
      </c>
      <c r="KS682" s="11" t="str">
        <f t="shared" si="466"/>
        <v>1. Neutral</v>
      </c>
      <c r="KT682" s="11" t="str">
        <f t="shared" si="467"/>
        <v>It did not develop any specific innovation</v>
      </c>
      <c r="KU682" s="11" t="str">
        <f t="shared" si="468"/>
        <v>Moderate advocacy</v>
      </c>
      <c r="KV682" s="11" t="str">
        <f t="shared" si="469"/>
        <v>It took tested solutions to scale on its own</v>
      </c>
      <c r="KW682" s="11" t="str">
        <f t="shared" si="470"/>
        <v>Somalia - Waxbar Carurtaada (Educate your Children)</v>
      </c>
      <c r="KX682" s="11" t="str">
        <f t="shared" si="471"/>
        <v>Waxbar Carurtaada (Educate your Children)</v>
      </c>
      <c r="KY682" s="11" t="str">
        <f t="shared" si="472"/>
        <v>Somalia</v>
      </c>
      <c r="KZ682" s="287">
        <v>682</v>
      </c>
    </row>
    <row r="683" spans="1:312" x14ac:dyDescent="0.3">
      <c r="A683" s="12" t="s">
        <v>10685</v>
      </c>
      <c r="B683" s="12" t="s">
        <v>1874</v>
      </c>
      <c r="C683" s="12">
        <v>3346</v>
      </c>
      <c r="D683" s="12" t="s">
        <v>10896</v>
      </c>
      <c r="E683" s="277" t="str">
        <f t="shared" si="430"/>
        <v>Somalia</v>
      </c>
      <c r="F683" s="12" t="s">
        <v>10897</v>
      </c>
      <c r="G683" s="12" t="s">
        <v>425</v>
      </c>
      <c r="H683" s="12" t="s">
        <v>310</v>
      </c>
      <c r="I683" s="12" t="s">
        <v>907</v>
      </c>
      <c r="J683" s="281" t="s">
        <v>14621</v>
      </c>
      <c r="K683" s="12"/>
      <c r="L683" s="12"/>
      <c r="M683" s="12"/>
      <c r="N683" s="12"/>
      <c r="O683" s="12"/>
      <c r="P683" s="12"/>
      <c r="Q683" s="12"/>
      <c r="R683" s="12"/>
      <c r="S683" s="12"/>
      <c r="T683" s="12"/>
      <c r="U683" s="12"/>
      <c r="V683" s="12"/>
      <c r="W683" s="12"/>
      <c r="X683" s="12"/>
      <c r="Y683" s="12"/>
      <c r="Z683" s="12"/>
      <c r="AA683" s="12"/>
      <c r="AB683" s="12"/>
      <c r="AC683" s="12"/>
      <c r="AD683" s="12"/>
      <c r="BD683" s="13">
        <v>41242</v>
      </c>
      <c r="BE683" s="13">
        <v>43169</v>
      </c>
      <c r="BF683" s="12"/>
      <c r="BG683" s="12" t="s">
        <v>312</v>
      </c>
      <c r="BH683" s="14"/>
      <c r="BI683" s="12" t="s">
        <v>10898</v>
      </c>
      <c r="BJ683" s="12" t="s">
        <v>10899</v>
      </c>
      <c r="BK683" s="12" t="s">
        <v>10900</v>
      </c>
      <c r="BL683" s="12" t="s">
        <v>10901</v>
      </c>
      <c r="BM683" s="12" t="s">
        <v>10902</v>
      </c>
      <c r="BN683" s="12" t="s">
        <v>10690</v>
      </c>
      <c r="BO683" s="12" t="s">
        <v>319</v>
      </c>
      <c r="BP683" s="12" t="s">
        <v>320</v>
      </c>
      <c r="BQ683" s="12" t="s">
        <v>319</v>
      </c>
      <c r="BR683" s="12" t="s">
        <v>10903</v>
      </c>
      <c r="BS683" s="12" t="s">
        <v>322</v>
      </c>
      <c r="BT683" s="12" t="s">
        <v>10904</v>
      </c>
      <c r="BU683" s="12"/>
      <c r="BV683" s="14">
        <v>4322</v>
      </c>
      <c r="BW683" s="14">
        <v>6483</v>
      </c>
      <c r="BX683" s="14">
        <v>10805</v>
      </c>
      <c r="BY683" s="14">
        <v>12966</v>
      </c>
      <c r="BZ683" s="14">
        <v>19449</v>
      </c>
      <c r="CA683" s="14">
        <v>32415</v>
      </c>
      <c r="CB683" s="12"/>
      <c r="CD683" s="14"/>
      <c r="CE683" s="14"/>
      <c r="CF683" s="14">
        <v>0</v>
      </c>
      <c r="CG683" s="14"/>
      <c r="CH683" s="14"/>
      <c r="CI683" s="14">
        <v>0</v>
      </c>
      <c r="CJ683" s="12"/>
      <c r="CK683" s="14"/>
      <c r="CL683" s="16"/>
      <c r="CM683" s="14"/>
      <c r="CN683" s="12"/>
      <c r="CO683" s="14"/>
      <c r="CP683" s="16"/>
      <c r="CQ683" s="14"/>
      <c r="CR683" s="12"/>
      <c r="CS683" s="14"/>
      <c r="CT683" s="16"/>
      <c r="CU683" s="14"/>
      <c r="CV683" s="12"/>
      <c r="CW683" s="14"/>
      <c r="CX683" s="16"/>
      <c r="CY683" s="14"/>
      <c r="CZ683" s="12"/>
      <c r="DA683" s="14"/>
      <c r="DB683" s="16"/>
      <c r="DC683" s="14"/>
      <c r="DD683" s="12"/>
      <c r="DE683" s="14"/>
      <c r="DF683" s="16"/>
      <c r="DG683" s="14"/>
      <c r="DH683" s="12"/>
      <c r="DI683" s="14"/>
      <c r="DJ683" s="16"/>
      <c r="DK683" s="14"/>
      <c r="DL683" s="12"/>
      <c r="DM683" s="14"/>
      <c r="DN683" s="16"/>
      <c r="DO683" s="14"/>
      <c r="DP683" s="12"/>
      <c r="DQ683" s="14"/>
      <c r="DR683" s="16"/>
      <c r="DS683" s="14"/>
      <c r="DT683" s="12"/>
      <c r="DU683" s="14"/>
      <c r="DV683" s="16"/>
      <c r="DW683" s="14"/>
      <c r="DX683" s="12"/>
      <c r="DY683" s="14"/>
      <c r="DZ683" s="16"/>
      <c r="EA683" s="14"/>
      <c r="EB683" s="12"/>
      <c r="EC683" s="14"/>
      <c r="ED683" s="16"/>
      <c r="EE683" s="14"/>
      <c r="EF683" s="12"/>
      <c r="EG683" s="12"/>
      <c r="EH683" s="14"/>
      <c r="EI683" s="16"/>
      <c r="EJ683" s="14"/>
      <c r="EK683" s="14">
        <v>4322</v>
      </c>
      <c r="EL683" s="14">
        <v>6483</v>
      </c>
      <c r="EM683" s="14">
        <v>10805</v>
      </c>
      <c r="EN683" s="14">
        <v>12966</v>
      </c>
      <c r="EO683" s="14">
        <v>19449</v>
      </c>
      <c r="EP683" s="14">
        <v>32415</v>
      </c>
      <c r="EQ683" s="12"/>
      <c r="ER683" s="14"/>
      <c r="ES683" s="16"/>
      <c r="ET683" s="14"/>
      <c r="EU683" s="12"/>
      <c r="EV683" s="14"/>
      <c r="EW683" s="16"/>
      <c r="EX683" s="14"/>
      <c r="EY683" s="12"/>
      <c r="EZ683" s="14"/>
      <c r="FA683" s="16"/>
      <c r="FB683" s="14"/>
      <c r="FC683" s="12"/>
      <c r="FD683" s="14"/>
      <c r="FE683" s="16"/>
      <c r="FF683" s="14"/>
      <c r="FG683" s="12"/>
      <c r="FH683" s="14"/>
      <c r="FI683" s="16"/>
      <c r="FJ683" s="14"/>
      <c r="FK683" s="12" t="s">
        <v>320</v>
      </c>
      <c r="FL683" s="14">
        <v>10805</v>
      </c>
      <c r="FM683" s="16"/>
      <c r="FN683" s="14"/>
      <c r="FO683" s="12"/>
      <c r="FP683" s="14"/>
      <c r="FQ683" s="16"/>
      <c r="FR683" s="14"/>
      <c r="FS683" s="12"/>
      <c r="FT683" s="14"/>
      <c r="FU683" s="16"/>
      <c r="FV683" s="14"/>
      <c r="FW683" s="12"/>
      <c r="FX683" s="14"/>
      <c r="FY683" s="16"/>
      <c r="FZ683" s="14"/>
      <c r="GA683" s="12"/>
      <c r="GB683" s="14"/>
      <c r="GC683" s="16"/>
      <c r="GD683" s="14"/>
      <c r="GE683" s="12"/>
      <c r="GF683" s="14"/>
      <c r="GG683" s="16"/>
      <c r="GH683" s="14"/>
      <c r="GI683" s="12"/>
      <c r="GJ683" s="14"/>
      <c r="GK683" s="16"/>
      <c r="GL683" s="14"/>
      <c r="GM683" s="12"/>
      <c r="GN683" s="14"/>
      <c r="GO683" s="16"/>
      <c r="GP683" s="14"/>
      <c r="GQ683" s="12"/>
      <c r="GR683" s="14"/>
      <c r="GS683" s="16"/>
      <c r="GT683" s="14"/>
      <c r="GU683" s="12"/>
      <c r="GV683" s="14"/>
      <c r="GW683" s="16"/>
      <c r="GX683" s="14"/>
      <c r="GY683" s="12"/>
      <c r="GZ683" s="14"/>
      <c r="HA683" s="16"/>
      <c r="HB683" s="14"/>
      <c r="HC683" s="12"/>
      <c r="HD683" s="12"/>
      <c r="HE683" s="14"/>
      <c r="HF683" s="16"/>
      <c r="HG683" s="14"/>
      <c r="HH683" s="12" t="s">
        <v>320</v>
      </c>
      <c r="HI683" s="12" t="s">
        <v>328</v>
      </c>
      <c r="HJ683" s="12">
        <v>2016</v>
      </c>
      <c r="HK683" s="12"/>
      <c r="HL683" s="12"/>
      <c r="HM683" s="12"/>
      <c r="HN683" s="12"/>
      <c r="HO683" s="12"/>
      <c r="HP683" s="12" t="s">
        <v>330</v>
      </c>
      <c r="HQ683" s="12"/>
      <c r="HR683" s="12"/>
      <c r="HS683" s="12"/>
      <c r="HT683" s="12" t="s">
        <v>320</v>
      </c>
      <c r="HU683" s="12"/>
      <c r="HV683" s="12"/>
      <c r="HW683" s="12"/>
      <c r="HX683" s="12"/>
      <c r="HY683" s="12"/>
      <c r="HZ683" s="12" t="s">
        <v>394</v>
      </c>
      <c r="IA683" s="12"/>
      <c r="IB683" s="12" t="s">
        <v>667</v>
      </c>
      <c r="IC683" s="12"/>
      <c r="ID683" s="12"/>
      <c r="IE683" s="12"/>
      <c r="IF683" s="12"/>
      <c r="IG683" s="12"/>
      <c r="IH683" s="12"/>
      <c r="II683" s="12"/>
      <c r="IJ683" s="12" t="str">
        <f t="shared" si="431"/>
        <v>No marker score</v>
      </c>
      <c r="IK683" s="12">
        <f t="shared" si="432"/>
        <v>0</v>
      </c>
      <c r="IL683" s="11" t="s">
        <v>621</v>
      </c>
      <c r="IM683" s="12" t="s">
        <v>320</v>
      </c>
      <c r="IN683" s="12" t="s">
        <v>320</v>
      </c>
      <c r="IO683" s="12" t="s">
        <v>320</v>
      </c>
      <c r="IP683" s="12" t="s">
        <v>320</v>
      </c>
      <c r="IQ683" s="12" t="str">
        <f t="shared" si="433"/>
        <v>4. Transformational</v>
      </c>
      <c r="IR683" s="12">
        <f t="shared" si="434"/>
        <v>4</v>
      </c>
      <c r="IS683" s="12"/>
      <c r="IT683" s="12"/>
      <c r="IU683" s="12"/>
      <c r="IV683" s="12"/>
      <c r="IW683" s="11" t="str">
        <f t="shared" si="435"/>
        <v>No marker score</v>
      </c>
      <c r="IX683" s="12">
        <f t="shared" si="436"/>
        <v>0</v>
      </c>
      <c r="IY683" s="12"/>
      <c r="IZ683" s="12" t="s">
        <v>527</v>
      </c>
      <c r="JA683" s="12">
        <v>4</v>
      </c>
      <c r="JB683" s="12" t="s">
        <v>831</v>
      </c>
      <c r="JC683" s="12" t="s">
        <v>687</v>
      </c>
      <c r="JD683" s="12" t="s">
        <v>433</v>
      </c>
      <c r="JE683" s="12" t="s">
        <v>420</v>
      </c>
      <c r="JF683" s="12"/>
      <c r="JG683" s="12" t="s">
        <v>10905</v>
      </c>
      <c r="JH683" s="12" t="s">
        <v>10906</v>
      </c>
      <c r="JI683" s="12" t="s">
        <v>10907</v>
      </c>
      <c r="JJ683" s="12" t="s">
        <v>10908</v>
      </c>
      <c r="JK683" s="12" t="s">
        <v>10909</v>
      </c>
      <c r="JL683" s="12" t="s">
        <v>10910</v>
      </c>
      <c r="JM683" s="12"/>
      <c r="JN683" s="12"/>
      <c r="JO683" s="12" t="s">
        <v>10911</v>
      </c>
      <c r="JP683" s="15">
        <f t="shared" si="437"/>
        <v>10805</v>
      </c>
      <c r="JQ683" s="15">
        <f t="shared" si="438"/>
        <v>32415</v>
      </c>
      <c r="JR683" s="279">
        <f t="shared" si="439"/>
        <v>3</v>
      </c>
      <c r="JS683" s="17">
        <f t="shared" si="440"/>
        <v>0.4</v>
      </c>
      <c r="JT683" s="18">
        <f t="shared" si="441"/>
        <v>0.4</v>
      </c>
      <c r="JU683" s="280">
        <f t="shared" si="442"/>
        <v>4322</v>
      </c>
      <c r="JV683" s="280">
        <f t="shared" si="443"/>
        <v>12966</v>
      </c>
      <c r="JW683" s="319" t="str">
        <f t="shared" si="444"/>
        <v/>
      </c>
      <c r="JX683" s="15">
        <f t="shared" si="445"/>
        <v>0</v>
      </c>
      <c r="JY683" s="15">
        <f t="shared" si="446"/>
        <v>0</v>
      </c>
      <c r="JZ683" s="19" t="str">
        <f t="shared" si="447"/>
        <v/>
      </c>
      <c r="KA683" s="52" t="str">
        <f t="shared" si="448"/>
        <v/>
      </c>
      <c r="KB683" s="15">
        <f t="shared" si="449"/>
        <v>0</v>
      </c>
      <c r="KC683" s="15">
        <f t="shared" si="450"/>
        <v>0</v>
      </c>
      <c r="KD683" s="20" t="str">
        <f t="shared" si="451"/>
        <v/>
      </c>
      <c r="KE683" s="52" t="str">
        <f t="shared" si="452"/>
        <v/>
      </c>
      <c r="KF683" s="15">
        <f t="shared" si="453"/>
        <v>0</v>
      </c>
      <c r="KG683" s="15">
        <f t="shared" si="454"/>
        <v>0</v>
      </c>
      <c r="KH683" s="21" t="str">
        <f t="shared" si="455"/>
        <v/>
      </c>
      <c r="KI683" s="52" t="str">
        <f t="shared" si="456"/>
        <v/>
      </c>
      <c r="KJ683" s="15">
        <f t="shared" si="457"/>
        <v>0</v>
      </c>
      <c r="KK683" s="15">
        <f t="shared" si="458"/>
        <v>0</v>
      </c>
      <c r="KL683" s="19" t="str">
        <f t="shared" si="459"/>
        <v/>
      </c>
      <c r="KM683" s="52" t="str">
        <f t="shared" si="460"/>
        <v/>
      </c>
      <c r="KN683" s="22">
        <f t="shared" si="461"/>
        <v>0</v>
      </c>
      <c r="KO683" s="22">
        <f t="shared" si="462"/>
        <v>0</v>
      </c>
      <c r="KP683" s="19" t="str">
        <f t="shared" si="463"/>
        <v/>
      </c>
      <c r="KQ683" s="11" t="str">
        <f t="shared" si="464"/>
        <v>No marker score</v>
      </c>
      <c r="KR683" s="11" t="str">
        <f t="shared" si="465"/>
        <v>4. Transformational</v>
      </c>
      <c r="KS683" s="11" t="str">
        <f t="shared" si="466"/>
        <v>No marker score</v>
      </c>
      <c r="KT683" s="11" t="str">
        <f t="shared" si="467"/>
        <v>It tested new ways for fighting poverty, but did not measure results of innovation</v>
      </c>
      <c r="KU683" s="11" t="str">
        <f t="shared" si="468"/>
        <v>Moderate advocacy</v>
      </c>
      <c r="KV683" s="11" t="str">
        <f t="shared" si="469"/>
        <v>It took tested solutions to scale on its own</v>
      </c>
      <c r="KW683" s="11" t="str">
        <f t="shared" si="470"/>
        <v>Somalia - Waxbarashada Waa Iftiin - Education is light Phase II</v>
      </c>
      <c r="KX683" s="11" t="str">
        <f t="shared" si="471"/>
        <v>Waxbarashada Waa Iftiin - Education is light Phase II</v>
      </c>
      <c r="KY683" s="11" t="str">
        <f t="shared" si="472"/>
        <v>Somalia</v>
      </c>
      <c r="KZ683" s="12">
        <v>683</v>
      </c>
    </row>
    <row r="684" spans="1:312" x14ac:dyDescent="0.3">
      <c r="A684" s="12" t="s">
        <v>11102</v>
      </c>
      <c r="B684" s="12" t="s">
        <v>7217</v>
      </c>
      <c r="C684" s="12"/>
      <c r="D684" s="12" t="s">
        <v>11103</v>
      </c>
      <c r="E684" s="277" t="str">
        <f t="shared" si="430"/>
        <v>South Africa</v>
      </c>
      <c r="F684" s="12"/>
      <c r="G684" s="12" t="s">
        <v>379</v>
      </c>
      <c r="H684" s="12" t="s">
        <v>489</v>
      </c>
      <c r="I684" s="12" t="s">
        <v>384</v>
      </c>
      <c r="J684" s="281" t="s">
        <v>14613</v>
      </c>
      <c r="K684" s="12"/>
      <c r="L684" s="12"/>
      <c r="M684" s="12"/>
      <c r="N684" s="12"/>
      <c r="O684" s="12"/>
      <c r="P684" s="12"/>
      <c r="Q684" s="12"/>
      <c r="R684" s="12"/>
      <c r="S684" s="12"/>
      <c r="T684" s="12"/>
      <c r="U684" s="12"/>
      <c r="V684" s="12"/>
      <c r="W684" s="12"/>
      <c r="X684" s="12"/>
      <c r="Y684" s="12"/>
      <c r="Z684" s="12"/>
      <c r="AA684" s="12"/>
      <c r="AB684" s="12"/>
      <c r="AC684" s="12"/>
      <c r="AD684" s="12"/>
      <c r="BD684" s="13">
        <v>41859</v>
      </c>
      <c r="BE684" s="13">
        <v>42735</v>
      </c>
      <c r="BF684" s="13">
        <v>43100</v>
      </c>
      <c r="BG684" s="12" t="s">
        <v>749</v>
      </c>
      <c r="BH684" s="14">
        <v>1127356</v>
      </c>
      <c r="BI684" s="12" t="s">
        <v>3263</v>
      </c>
      <c r="BJ684" s="12" t="s">
        <v>3264</v>
      </c>
      <c r="BK684" s="12" t="s">
        <v>3265</v>
      </c>
      <c r="BL684" s="12" t="s">
        <v>3266</v>
      </c>
      <c r="BM684" s="12" t="s">
        <v>3267</v>
      </c>
      <c r="BN684" s="12" t="s">
        <v>3268</v>
      </c>
      <c r="BO684" s="12" t="s">
        <v>319</v>
      </c>
      <c r="BP684" s="12" t="s">
        <v>320</v>
      </c>
      <c r="BQ684" s="12" t="s">
        <v>319</v>
      </c>
      <c r="BR684" s="12" t="s">
        <v>9515</v>
      </c>
      <c r="BS684" s="12" t="s">
        <v>615</v>
      </c>
      <c r="BT684" s="12" t="s">
        <v>3270</v>
      </c>
      <c r="BU684" s="12" t="s">
        <v>3271</v>
      </c>
      <c r="BV684" s="14"/>
      <c r="BW684" s="14"/>
      <c r="BX684" s="14">
        <v>3700</v>
      </c>
      <c r="BY684" s="14"/>
      <c r="BZ684" s="14"/>
      <c r="CA684" s="14"/>
      <c r="CB684" s="12"/>
      <c r="CD684" s="14"/>
      <c r="CE684" s="14"/>
      <c r="CF684" s="14"/>
      <c r="CG684" s="14"/>
      <c r="CH684" s="14"/>
      <c r="CI684" s="14"/>
      <c r="CJ684" s="12"/>
      <c r="CK684" s="14"/>
      <c r="CL684" s="16"/>
      <c r="CM684" s="14"/>
      <c r="CN684" s="12"/>
      <c r="CO684" s="14"/>
      <c r="CP684" s="16"/>
      <c r="CQ684" s="14"/>
      <c r="CR684" s="12"/>
      <c r="CS684" s="14"/>
      <c r="CT684" s="16"/>
      <c r="CU684" s="14"/>
      <c r="CV684" s="12"/>
      <c r="CW684" s="14"/>
      <c r="CX684" s="16"/>
      <c r="CY684" s="14"/>
      <c r="CZ684" s="12"/>
      <c r="DA684" s="14"/>
      <c r="DB684" s="16"/>
      <c r="DC684" s="14"/>
      <c r="DD684" s="12"/>
      <c r="DE684" s="14"/>
      <c r="DF684" s="16"/>
      <c r="DG684" s="14"/>
      <c r="DH684" s="12"/>
      <c r="DI684" s="14"/>
      <c r="DJ684" s="16"/>
      <c r="DK684" s="14"/>
      <c r="DL684" s="12"/>
      <c r="DM684" s="14"/>
      <c r="DN684" s="16"/>
      <c r="DO684" s="14"/>
      <c r="DP684" s="12"/>
      <c r="DQ684" s="14"/>
      <c r="DR684" s="16"/>
      <c r="DS684" s="14"/>
      <c r="DT684" s="12"/>
      <c r="DU684" s="14"/>
      <c r="DV684" s="16"/>
      <c r="DW684" s="14"/>
      <c r="DX684" s="12"/>
      <c r="DY684" s="14"/>
      <c r="DZ684" s="16"/>
      <c r="EA684" s="14"/>
      <c r="EB684" s="12"/>
      <c r="EC684" s="14"/>
      <c r="ED684" s="16"/>
      <c r="EE684" s="14"/>
      <c r="EF684" s="12"/>
      <c r="EG684" s="12"/>
      <c r="EH684" s="14"/>
      <c r="EI684" s="16"/>
      <c r="EJ684" s="14"/>
      <c r="EK684" s="14"/>
      <c r="EL684" s="14"/>
      <c r="EM684" s="14"/>
      <c r="EN684" s="14"/>
      <c r="EO684" s="14"/>
      <c r="EP684" s="14"/>
      <c r="EQ684" s="12" t="s">
        <v>319</v>
      </c>
      <c r="ER684" s="14"/>
      <c r="ES684" s="16"/>
      <c r="ET684" s="14"/>
      <c r="EU684" s="11" t="s">
        <v>319</v>
      </c>
      <c r="EV684" s="14"/>
      <c r="EW684" s="16"/>
      <c r="EX684" s="14"/>
      <c r="EY684" s="12" t="s">
        <v>319</v>
      </c>
      <c r="EZ684" s="14"/>
      <c r="FA684" s="16"/>
      <c r="FB684" s="14"/>
      <c r="FC684" s="12" t="s">
        <v>319</v>
      </c>
      <c r="FD684" s="14"/>
      <c r="FE684" s="16"/>
      <c r="FF684" s="14"/>
      <c r="FG684" s="12" t="s">
        <v>319</v>
      </c>
      <c r="FH684" s="14"/>
      <c r="FI684" s="16"/>
      <c r="FJ684" s="14"/>
      <c r="FK684" s="12" t="s">
        <v>319</v>
      </c>
      <c r="FL684" s="14"/>
      <c r="FM684" s="16"/>
      <c r="FN684" s="14"/>
      <c r="FO684" s="12" t="s">
        <v>320</v>
      </c>
      <c r="FP684" s="14">
        <v>3700</v>
      </c>
      <c r="FQ684" s="16"/>
      <c r="FR684" s="14"/>
      <c r="FS684" s="12" t="s">
        <v>319</v>
      </c>
      <c r="FT684" s="14"/>
      <c r="FU684" s="16"/>
      <c r="FV684" s="14"/>
      <c r="FW684" s="12" t="s">
        <v>319</v>
      </c>
      <c r="FX684" s="14"/>
      <c r="FY684" s="16"/>
      <c r="FZ684" s="14"/>
      <c r="GA684" s="12" t="s">
        <v>319</v>
      </c>
      <c r="GB684" s="14"/>
      <c r="GC684" s="16"/>
      <c r="GD684" s="14"/>
      <c r="GE684" s="12" t="s">
        <v>319</v>
      </c>
      <c r="GF684" s="14"/>
      <c r="GG684" s="16"/>
      <c r="GH684" s="14"/>
      <c r="GI684" s="12" t="s">
        <v>319</v>
      </c>
      <c r="GJ684" s="14"/>
      <c r="GK684" s="16"/>
      <c r="GL684" s="14"/>
      <c r="GM684" s="12" t="s">
        <v>319</v>
      </c>
      <c r="GN684" s="14"/>
      <c r="GO684" s="16"/>
      <c r="GP684" s="14"/>
      <c r="GQ684" s="12" t="s">
        <v>319</v>
      </c>
      <c r="GR684" s="14"/>
      <c r="GS684" s="16"/>
      <c r="GT684" s="14"/>
      <c r="GU684" s="12" t="s">
        <v>319</v>
      </c>
      <c r="GV684" s="14"/>
      <c r="GW684" s="16"/>
      <c r="GX684" s="14"/>
      <c r="GY684" s="12" t="s">
        <v>319</v>
      </c>
      <c r="GZ684" s="14"/>
      <c r="HA684" s="16"/>
      <c r="HB684" s="14"/>
      <c r="HC684" s="12"/>
      <c r="HD684" s="12" t="s">
        <v>319</v>
      </c>
      <c r="HE684" s="14"/>
      <c r="HF684" s="16"/>
      <c r="HG684" s="14"/>
      <c r="HH684" s="12"/>
      <c r="HI684" s="12"/>
      <c r="HJ684" s="12"/>
      <c r="HK684" s="12"/>
      <c r="HL684" s="12"/>
      <c r="HM684" s="12"/>
      <c r="HN684" s="12"/>
      <c r="HO684" s="12"/>
      <c r="HP684" s="12"/>
      <c r="HQ684" s="12"/>
      <c r="HR684" s="12"/>
      <c r="HS684" s="12"/>
      <c r="HT684" s="12"/>
      <c r="HU684" s="12"/>
      <c r="HV684" s="12"/>
      <c r="HW684" s="12"/>
      <c r="HX684" s="12"/>
      <c r="HY684" s="12"/>
      <c r="HZ684" s="12"/>
      <c r="IA684" s="12"/>
      <c r="IB684" s="12"/>
      <c r="IC684" s="12"/>
      <c r="ID684" s="12"/>
      <c r="IE684" s="12"/>
      <c r="IF684" s="12"/>
      <c r="IG684" s="12"/>
      <c r="IH684" s="12"/>
      <c r="II684" s="12"/>
      <c r="IJ684" s="12" t="str">
        <f t="shared" si="431"/>
        <v>No marker score</v>
      </c>
      <c r="IK684" s="12">
        <f t="shared" si="432"/>
        <v>0</v>
      </c>
      <c r="IL684" s="12"/>
      <c r="IM684" s="12"/>
      <c r="IN684" s="12"/>
      <c r="IO684" s="12"/>
      <c r="IP684" s="12"/>
      <c r="IQ684" s="12" t="str">
        <f t="shared" si="433"/>
        <v>No marker score</v>
      </c>
      <c r="IR684" s="12">
        <f t="shared" si="434"/>
        <v>0</v>
      </c>
      <c r="IS684" s="12"/>
      <c r="IT684" s="12"/>
      <c r="IU684" s="12"/>
      <c r="IV684" s="12"/>
      <c r="IW684" s="11" t="str">
        <f t="shared" si="435"/>
        <v>No marker score</v>
      </c>
      <c r="IX684" s="12">
        <f t="shared" si="436"/>
        <v>0</v>
      </c>
      <c r="IY684" s="12"/>
      <c r="IZ684" s="12"/>
      <c r="JA684" s="12"/>
      <c r="JB684" s="12"/>
      <c r="JC684" s="12"/>
      <c r="JD684" s="12"/>
      <c r="JE684" s="12"/>
      <c r="JF684" s="12"/>
      <c r="JG684" s="12"/>
      <c r="JH684" s="12"/>
      <c r="JI684" s="12"/>
      <c r="JJ684" s="12"/>
      <c r="JK684" s="12"/>
      <c r="JL684" s="12"/>
      <c r="JM684" s="12"/>
      <c r="JN684" s="12"/>
      <c r="JO684" s="12"/>
      <c r="JP684" s="15">
        <f t="shared" si="437"/>
        <v>0</v>
      </c>
      <c r="JQ684" s="15">
        <f t="shared" si="438"/>
        <v>0</v>
      </c>
      <c r="JR684" s="279" t="str">
        <f t="shared" si="439"/>
        <v/>
      </c>
      <c r="JS684" s="17" t="str">
        <f t="shared" si="440"/>
        <v/>
      </c>
      <c r="JT684" s="18" t="str">
        <f t="shared" si="441"/>
        <v/>
      </c>
      <c r="JU684" s="280">
        <f t="shared" si="442"/>
        <v>0</v>
      </c>
      <c r="JV684" s="280">
        <f t="shared" si="443"/>
        <v>0</v>
      </c>
      <c r="JW684" s="319" t="str">
        <f t="shared" si="444"/>
        <v/>
      </c>
      <c r="JX684" s="15">
        <f t="shared" si="445"/>
        <v>0</v>
      </c>
      <c r="JY684" s="15">
        <f t="shared" si="446"/>
        <v>0</v>
      </c>
      <c r="JZ684" s="19" t="str">
        <f t="shared" si="447"/>
        <v/>
      </c>
      <c r="KA684" s="52">
        <f t="shared" si="448"/>
        <v>1</v>
      </c>
      <c r="KB684" s="15">
        <f t="shared" si="449"/>
        <v>3700</v>
      </c>
      <c r="KC684" s="15">
        <f t="shared" si="450"/>
        <v>0</v>
      </c>
      <c r="KD684" s="20">
        <f t="shared" si="451"/>
        <v>0</v>
      </c>
      <c r="KE684" s="52" t="str">
        <f t="shared" si="452"/>
        <v/>
      </c>
      <c r="KF684" s="15">
        <f t="shared" si="453"/>
        <v>0</v>
      </c>
      <c r="KG684" s="15">
        <f t="shared" si="454"/>
        <v>0</v>
      </c>
      <c r="KH684" s="21" t="str">
        <f t="shared" si="455"/>
        <v/>
      </c>
      <c r="KI684" s="52" t="str">
        <f t="shared" si="456"/>
        <v/>
      </c>
      <c r="KJ684" s="15">
        <f t="shared" si="457"/>
        <v>0</v>
      </c>
      <c r="KK684" s="15">
        <f t="shared" si="458"/>
        <v>0</v>
      </c>
      <c r="KL684" s="19" t="str">
        <f t="shared" si="459"/>
        <v/>
      </c>
      <c r="KM684" s="52" t="str">
        <f t="shared" si="460"/>
        <v/>
      </c>
      <c r="KN684" s="22">
        <f t="shared" si="461"/>
        <v>0</v>
      </c>
      <c r="KO684" s="22">
        <f t="shared" si="462"/>
        <v>0</v>
      </c>
      <c r="KP684" s="19" t="str">
        <f t="shared" si="463"/>
        <v/>
      </c>
      <c r="KQ684" s="11" t="str">
        <f t="shared" si="464"/>
        <v>No marker score</v>
      </c>
      <c r="KR684" s="11" t="str">
        <f t="shared" si="465"/>
        <v>No marker score</v>
      </c>
      <c r="KS684" s="11" t="str">
        <f t="shared" si="466"/>
        <v>No marker score</v>
      </c>
      <c r="KT684" s="11">
        <f t="shared" si="467"/>
        <v>0</v>
      </c>
      <c r="KU684" s="11">
        <f t="shared" si="468"/>
        <v>0</v>
      </c>
      <c r="KV684" s="11">
        <f t="shared" si="469"/>
        <v>0</v>
      </c>
      <c r="KW684" s="11" t="str">
        <f t="shared" si="470"/>
        <v>South Africa - Nutrilite Little Bits</v>
      </c>
      <c r="KX684" s="11" t="str">
        <f t="shared" si="471"/>
        <v>Nutrilite Little Bits</v>
      </c>
      <c r="KY684" s="11" t="str">
        <f t="shared" si="472"/>
        <v>South Africa</v>
      </c>
      <c r="KZ684" s="12">
        <v>684</v>
      </c>
    </row>
    <row r="685" spans="1:312" x14ac:dyDescent="0.3">
      <c r="A685" s="12" t="s">
        <v>11104</v>
      </c>
      <c r="B685" s="12" t="s">
        <v>1874</v>
      </c>
      <c r="C685" s="12"/>
      <c r="D685" s="12" t="s">
        <v>11119</v>
      </c>
      <c r="E685" s="277" t="str">
        <f t="shared" si="430"/>
        <v>South Sudan</v>
      </c>
      <c r="F685" s="12"/>
      <c r="G685" s="12" t="s">
        <v>425</v>
      </c>
      <c r="H685" s="12" t="s">
        <v>310</v>
      </c>
      <c r="I685" s="12" t="s">
        <v>426</v>
      </c>
      <c r="J685" s="281" t="s">
        <v>14742</v>
      </c>
      <c r="K685" s="12"/>
      <c r="L685" s="12"/>
      <c r="M685" s="12"/>
      <c r="N685" s="12"/>
      <c r="O685" s="12"/>
      <c r="P685" s="12"/>
      <c r="Q685" s="12"/>
      <c r="R685" s="12"/>
      <c r="S685" s="12"/>
      <c r="T685" s="12"/>
      <c r="U685" s="12"/>
      <c r="V685" s="12"/>
      <c r="W685" s="12"/>
      <c r="X685" s="12"/>
      <c r="Y685" s="12"/>
      <c r="Z685" s="12"/>
      <c r="AA685" s="12"/>
      <c r="AB685" s="12"/>
      <c r="AC685" s="12"/>
      <c r="AD685" s="12"/>
      <c r="BD685" s="13">
        <v>42614</v>
      </c>
      <c r="BE685" s="13">
        <v>44439</v>
      </c>
      <c r="BF685" s="12"/>
      <c r="BG685" s="12" t="s">
        <v>749</v>
      </c>
      <c r="BH685" s="14">
        <v>4657500</v>
      </c>
      <c r="BI685" s="12" t="s">
        <v>11120</v>
      </c>
      <c r="BJ685" s="12" t="s">
        <v>6607</v>
      </c>
      <c r="BK685" s="12" t="s">
        <v>11121</v>
      </c>
      <c r="BL685" s="12"/>
      <c r="BM685" s="12"/>
      <c r="BN685" s="12"/>
      <c r="BO685" s="12" t="s">
        <v>320</v>
      </c>
      <c r="BP685" s="12" t="s">
        <v>320</v>
      </c>
      <c r="BQ685" s="12" t="s">
        <v>320</v>
      </c>
      <c r="BR685" s="12" t="s">
        <v>11122</v>
      </c>
      <c r="BS685" s="12" t="s">
        <v>322</v>
      </c>
      <c r="BT685" s="12" t="s">
        <v>11123</v>
      </c>
      <c r="BU685" s="12" t="s">
        <v>11124</v>
      </c>
      <c r="BV685" s="14">
        <v>22825</v>
      </c>
      <c r="BW685" s="14">
        <v>18377</v>
      </c>
      <c r="BX685" s="14">
        <v>41202</v>
      </c>
      <c r="BY685" s="14">
        <v>43984</v>
      </c>
      <c r="BZ685" s="14">
        <v>42272</v>
      </c>
      <c r="CA685" s="14">
        <v>86256</v>
      </c>
      <c r="CB685" s="12" t="s">
        <v>11112</v>
      </c>
      <c r="CD685" s="14"/>
      <c r="CE685" s="14"/>
      <c r="CF685" s="14">
        <v>0</v>
      </c>
      <c r="CG685" s="14"/>
      <c r="CH685" s="14"/>
      <c r="CI685" s="14">
        <v>0</v>
      </c>
      <c r="CJ685" s="12" t="s">
        <v>319</v>
      </c>
      <c r="CK685" s="14"/>
      <c r="CL685" s="16"/>
      <c r="CM685" s="14"/>
      <c r="CN685" s="12" t="s">
        <v>319</v>
      </c>
      <c r="CO685" s="14"/>
      <c r="CP685" s="16"/>
      <c r="CQ685" s="14"/>
      <c r="CR685" s="12" t="s">
        <v>319</v>
      </c>
      <c r="CS685" s="14"/>
      <c r="CT685" s="16"/>
      <c r="CU685" s="14"/>
      <c r="CV685" s="12" t="s">
        <v>320</v>
      </c>
      <c r="CW685" s="14"/>
      <c r="CX685" s="16"/>
      <c r="CY685" s="14"/>
      <c r="CZ685" s="12" t="s">
        <v>320</v>
      </c>
      <c r="DA685" s="14"/>
      <c r="DB685" s="16"/>
      <c r="DC685" s="14"/>
      <c r="DD685" s="12" t="s">
        <v>319</v>
      </c>
      <c r="DE685" s="14"/>
      <c r="DF685" s="16"/>
      <c r="DG685" s="14"/>
      <c r="DH685" s="12" t="s">
        <v>319</v>
      </c>
      <c r="DI685" s="14"/>
      <c r="DJ685" s="16"/>
      <c r="DK685" s="14"/>
      <c r="DL685" s="12" t="s">
        <v>320</v>
      </c>
      <c r="DM685" s="14"/>
      <c r="DN685" s="16"/>
      <c r="DO685" s="14"/>
      <c r="DP685" s="12" t="s">
        <v>319</v>
      </c>
      <c r="DQ685" s="14"/>
      <c r="DR685" s="16"/>
      <c r="DS685" s="14"/>
      <c r="DT685" s="12" t="s">
        <v>319</v>
      </c>
      <c r="DU685" s="14"/>
      <c r="DV685" s="16"/>
      <c r="DW685" s="14"/>
      <c r="DX685" s="12" t="s">
        <v>319</v>
      </c>
      <c r="DY685" s="14"/>
      <c r="DZ685" s="16"/>
      <c r="EA685" s="14"/>
      <c r="EB685" s="12" t="s">
        <v>319</v>
      </c>
      <c r="EC685" s="14"/>
      <c r="ED685" s="16"/>
      <c r="EE685" s="14"/>
      <c r="EF685" s="12"/>
      <c r="EG685" s="12" t="s">
        <v>319</v>
      </c>
      <c r="EH685" s="14"/>
      <c r="EI685" s="16"/>
      <c r="EJ685" s="14"/>
      <c r="EK685" s="14"/>
      <c r="EL685" s="14"/>
      <c r="EM685" s="14">
        <v>0</v>
      </c>
      <c r="EN685" s="14"/>
      <c r="EO685" s="14"/>
      <c r="EP685" s="14"/>
      <c r="EQ685" s="12"/>
      <c r="ER685" s="14"/>
      <c r="ES685" s="16"/>
      <c r="ET685" s="14"/>
      <c r="EU685" s="12" t="s">
        <v>320</v>
      </c>
      <c r="EV685" s="14"/>
      <c r="EW685" s="16"/>
      <c r="EX685" s="14"/>
      <c r="EY685" s="12" t="s">
        <v>320</v>
      </c>
      <c r="EZ685" s="14"/>
      <c r="FA685" s="16"/>
      <c r="FB685" s="14"/>
      <c r="FC685" s="12"/>
      <c r="FD685" s="14"/>
      <c r="FE685" s="16"/>
      <c r="FF685" s="14"/>
      <c r="FG685" s="12" t="s">
        <v>320</v>
      </c>
      <c r="FH685" s="14"/>
      <c r="FI685" s="16"/>
      <c r="FJ685" s="14"/>
      <c r="FK685" s="12"/>
      <c r="FL685" s="14"/>
      <c r="FM685" s="16"/>
      <c r="FN685" s="14"/>
      <c r="FO685" s="12"/>
      <c r="FP685" s="14"/>
      <c r="FQ685" s="16"/>
      <c r="FR685" s="14"/>
      <c r="FS685" s="12" t="s">
        <v>320</v>
      </c>
      <c r="FT685" s="14"/>
      <c r="FU685" s="16"/>
      <c r="FV685" s="14"/>
      <c r="FW685" s="12"/>
      <c r="FX685" s="14"/>
      <c r="FY685" s="16"/>
      <c r="FZ685" s="14"/>
      <c r="GA685" s="12"/>
      <c r="GB685" s="14"/>
      <c r="GC685" s="16"/>
      <c r="GD685" s="14"/>
      <c r="GE685" s="12"/>
      <c r="GF685" s="14"/>
      <c r="GG685" s="16"/>
      <c r="GH685" s="14"/>
      <c r="GI685" s="12"/>
      <c r="GJ685" s="14"/>
      <c r="GK685" s="16"/>
      <c r="GL685" s="14"/>
      <c r="GM685" s="12" t="s">
        <v>320</v>
      </c>
      <c r="GN685" s="14"/>
      <c r="GO685" s="16"/>
      <c r="GP685" s="14"/>
      <c r="GQ685" s="12"/>
      <c r="GR685" s="14"/>
      <c r="GS685" s="16"/>
      <c r="GT685" s="14"/>
      <c r="GU685" s="12"/>
      <c r="GV685" s="14"/>
      <c r="GW685" s="16"/>
      <c r="GX685" s="14"/>
      <c r="GY685" s="12" t="s">
        <v>320</v>
      </c>
      <c r="GZ685" s="14"/>
      <c r="HA685" s="16"/>
      <c r="HB685" s="14"/>
      <c r="HC685" s="12"/>
      <c r="HD685" s="12"/>
      <c r="HE685" s="14"/>
      <c r="HF685" s="16"/>
      <c r="HG685" s="14"/>
      <c r="HH685" s="12" t="s">
        <v>320</v>
      </c>
      <c r="HI685" s="12" t="s">
        <v>1175</v>
      </c>
      <c r="HJ685" s="12">
        <v>2017</v>
      </c>
      <c r="HK685" s="12" t="s">
        <v>320</v>
      </c>
      <c r="HL685" s="12" t="s">
        <v>319</v>
      </c>
      <c r="HM685" s="12"/>
      <c r="HN685" s="12"/>
      <c r="HO685" s="12"/>
      <c r="HP685" s="12" t="s">
        <v>330</v>
      </c>
      <c r="HQ685" s="12" t="s">
        <v>320</v>
      </c>
      <c r="HR685" s="12" t="s">
        <v>320</v>
      </c>
      <c r="HS685" s="12" t="s">
        <v>320</v>
      </c>
      <c r="HT685" s="12" t="s">
        <v>320</v>
      </c>
      <c r="HU685" s="12" t="s">
        <v>320</v>
      </c>
      <c r="HV685" s="12" t="s">
        <v>320</v>
      </c>
      <c r="HW685" s="12" t="s">
        <v>320</v>
      </c>
      <c r="HX685" s="12"/>
      <c r="HY685" s="12"/>
      <c r="HZ685" s="12" t="s">
        <v>363</v>
      </c>
      <c r="IA685" s="12"/>
      <c r="IB685" s="12" t="s">
        <v>667</v>
      </c>
      <c r="IC685" s="12"/>
      <c r="ID685" s="12" t="s">
        <v>477</v>
      </c>
      <c r="IE685" s="12" t="s">
        <v>335</v>
      </c>
      <c r="IF685" s="12" t="s">
        <v>320</v>
      </c>
      <c r="IG685" s="12" t="s">
        <v>320</v>
      </c>
      <c r="IH685" s="12" t="s">
        <v>320</v>
      </c>
      <c r="II685" s="12" t="s">
        <v>320</v>
      </c>
      <c r="IJ685" s="12" t="str">
        <f t="shared" si="431"/>
        <v>2. Sensitive</v>
      </c>
      <c r="IK685" s="12">
        <f t="shared" si="432"/>
        <v>4</v>
      </c>
      <c r="IL685" s="11" t="s">
        <v>621</v>
      </c>
      <c r="IM685" s="12" t="s">
        <v>320</v>
      </c>
      <c r="IN685" s="12" t="s">
        <v>320</v>
      </c>
      <c r="IO685" s="12" t="s">
        <v>320</v>
      </c>
      <c r="IP685" s="12" t="s">
        <v>320</v>
      </c>
      <c r="IQ685" s="12" t="str">
        <f t="shared" si="433"/>
        <v>4. Transformational</v>
      </c>
      <c r="IR685" s="12">
        <f t="shared" si="434"/>
        <v>4</v>
      </c>
      <c r="IS685" s="12" t="s">
        <v>622</v>
      </c>
      <c r="IT685" s="12" t="s">
        <v>320</v>
      </c>
      <c r="IU685" s="12" t="s">
        <v>320</v>
      </c>
      <c r="IV685" s="12" t="s">
        <v>320</v>
      </c>
      <c r="IW685" s="11" t="str">
        <f t="shared" si="435"/>
        <v>4. Transformative</v>
      </c>
      <c r="IX685" s="12">
        <f t="shared" si="436"/>
        <v>3</v>
      </c>
      <c r="IY685" s="12" t="s">
        <v>419</v>
      </c>
      <c r="IZ685" s="12" t="s">
        <v>432</v>
      </c>
      <c r="JA685" s="12">
        <v>2</v>
      </c>
      <c r="JB685" s="12" t="s">
        <v>433</v>
      </c>
      <c r="JC685" s="12" t="s">
        <v>384</v>
      </c>
      <c r="JD685" s="11" t="s">
        <v>725</v>
      </c>
      <c r="JE685" s="12" t="s">
        <v>420</v>
      </c>
      <c r="JF685" s="12"/>
      <c r="JG685" s="12" t="s">
        <v>11125</v>
      </c>
      <c r="JH685" s="12" t="s">
        <v>1323</v>
      </c>
      <c r="JI685" s="12" t="s">
        <v>11126</v>
      </c>
      <c r="JJ685" s="12" t="s">
        <v>11127</v>
      </c>
      <c r="JK685" s="12" t="s">
        <v>11128</v>
      </c>
      <c r="JL685" s="12" t="s">
        <v>11129</v>
      </c>
      <c r="JM685" s="12" t="s">
        <v>11130</v>
      </c>
      <c r="JN685" s="12"/>
      <c r="JO685" s="12" t="s">
        <v>11131</v>
      </c>
      <c r="JP685" s="15">
        <f t="shared" si="437"/>
        <v>0</v>
      </c>
      <c r="JQ685" s="15">
        <f t="shared" si="438"/>
        <v>0</v>
      </c>
      <c r="JR685" s="279" t="str">
        <f t="shared" si="439"/>
        <v/>
      </c>
      <c r="JS685" s="17" t="str">
        <f t="shared" si="440"/>
        <v/>
      </c>
      <c r="JT685" s="18" t="str">
        <f t="shared" si="441"/>
        <v/>
      </c>
      <c r="JU685" s="280">
        <f t="shared" si="442"/>
        <v>0</v>
      </c>
      <c r="JV685" s="280">
        <f t="shared" si="443"/>
        <v>0</v>
      </c>
      <c r="JW685" s="319">
        <f t="shared" si="444"/>
        <v>1</v>
      </c>
      <c r="JX685" s="15">
        <f t="shared" si="445"/>
        <v>0</v>
      </c>
      <c r="JY685" s="15">
        <f t="shared" si="446"/>
        <v>0</v>
      </c>
      <c r="JZ685" s="19" t="str">
        <f t="shared" si="447"/>
        <v/>
      </c>
      <c r="KA685" s="52">
        <f t="shared" si="448"/>
        <v>1</v>
      </c>
      <c r="KB685" s="15">
        <f t="shared" si="449"/>
        <v>0</v>
      </c>
      <c r="KC685" s="15">
        <f t="shared" si="450"/>
        <v>0</v>
      </c>
      <c r="KD685" s="20" t="str">
        <f t="shared" si="451"/>
        <v/>
      </c>
      <c r="KE685" s="52" t="str">
        <f t="shared" si="452"/>
        <v/>
      </c>
      <c r="KF685" s="15">
        <f t="shared" si="453"/>
        <v>0</v>
      </c>
      <c r="KG685" s="15">
        <f t="shared" si="454"/>
        <v>0</v>
      </c>
      <c r="KH685" s="21" t="str">
        <f t="shared" si="455"/>
        <v/>
      </c>
      <c r="KI685" s="52">
        <f t="shared" si="456"/>
        <v>1</v>
      </c>
      <c r="KJ685" s="15">
        <f t="shared" si="457"/>
        <v>0</v>
      </c>
      <c r="KK685" s="15">
        <f t="shared" si="458"/>
        <v>0</v>
      </c>
      <c r="KL685" s="19" t="str">
        <f t="shared" si="459"/>
        <v/>
      </c>
      <c r="KM685" s="52">
        <f t="shared" si="460"/>
        <v>1</v>
      </c>
      <c r="KN685" s="22">
        <f t="shared" si="461"/>
        <v>0</v>
      </c>
      <c r="KO685" s="22">
        <f t="shared" si="462"/>
        <v>0</v>
      </c>
      <c r="KP685" s="19" t="str">
        <f t="shared" si="463"/>
        <v/>
      </c>
      <c r="KQ685" s="11" t="str">
        <f t="shared" si="464"/>
        <v>2. Sensitive</v>
      </c>
      <c r="KR685" s="11" t="str">
        <f t="shared" si="465"/>
        <v>4. Transformational</v>
      </c>
      <c r="KS685" s="11" t="str">
        <f t="shared" si="466"/>
        <v>4. Transformative</v>
      </c>
      <c r="KT685" s="11" t="str">
        <f t="shared" si="467"/>
        <v>It did not develop any specific innovation</v>
      </c>
      <c r="KU685" s="11" t="str">
        <f t="shared" si="468"/>
        <v>Moderate advocacy</v>
      </c>
      <c r="KV685" s="11" t="str">
        <f t="shared" si="469"/>
        <v>It took tested solutions to scale on its own</v>
      </c>
      <c r="KW685" s="11" t="str">
        <f t="shared" si="470"/>
        <v>South Sudan - Addressing Root Causes of Violent Conflict in four Counties of Jonglei State, South Sudan (ARC)</v>
      </c>
      <c r="KX685" s="11" t="str">
        <f t="shared" si="471"/>
        <v>Addressing Root Causes of Violent Conflict in four Counties of Jonglei State, South Sudan (ARC)</v>
      </c>
      <c r="KY685" s="11" t="str">
        <f t="shared" si="472"/>
        <v>South Sudan</v>
      </c>
      <c r="KZ685" s="12">
        <v>685</v>
      </c>
    </row>
    <row r="686" spans="1:312" x14ac:dyDescent="0.3">
      <c r="A686" s="12" t="s">
        <v>11104</v>
      </c>
      <c r="B686" s="12" t="s">
        <v>1874</v>
      </c>
      <c r="C686" s="12">
        <v>3361</v>
      </c>
      <c r="D686" s="12" t="s">
        <v>11272</v>
      </c>
      <c r="E686" s="277" t="str">
        <f t="shared" si="430"/>
        <v>South Sudan</v>
      </c>
      <c r="F686" s="12">
        <v>3361</v>
      </c>
      <c r="G686" s="12" t="s">
        <v>608</v>
      </c>
      <c r="H686" s="12" t="s">
        <v>310</v>
      </c>
      <c r="I686" s="12" t="s">
        <v>1285</v>
      </c>
      <c r="J686" s="281" t="s">
        <v>1334</v>
      </c>
      <c r="K686" s="12"/>
      <c r="L686" s="12"/>
      <c r="M686" s="12"/>
      <c r="N686" s="12"/>
      <c r="O686" s="12"/>
      <c r="P686" s="12"/>
      <c r="Q686" s="12"/>
      <c r="R686" s="12"/>
      <c r="S686" s="12"/>
      <c r="T686" s="12"/>
      <c r="U686" s="12"/>
      <c r="V686" s="12"/>
      <c r="W686" s="12"/>
      <c r="X686" s="12"/>
      <c r="Y686" s="12"/>
      <c r="Z686" s="12"/>
      <c r="AA686" s="12"/>
      <c r="AB686" s="12"/>
      <c r="AC686" s="12"/>
      <c r="AD686" s="12"/>
      <c r="BD686" s="13">
        <v>42461</v>
      </c>
      <c r="BE686" s="13">
        <v>42825</v>
      </c>
      <c r="BF686" s="13">
        <v>42886</v>
      </c>
      <c r="BG686" s="12" t="s">
        <v>908</v>
      </c>
      <c r="BH686" s="14">
        <v>643963</v>
      </c>
      <c r="BI686" s="12" t="s">
        <v>11106</v>
      </c>
      <c r="BJ686" s="12" t="s">
        <v>6607</v>
      </c>
      <c r="BK686" s="12" t="s">
        <v>11107</v>
      </c>
      <c r="BL686" s="12" t="s">
        <v>11108</v>
      </c>
      <c r="BM686" s="12" t="s">
        <v>354</v>
      </c>
      <c r="BN686" s="12" t="s">
        <v>11108</v>
      </c>
      <c r="BO686" s="12" t="s">
        <v>320</v>
      </c>
      <c r="BP686" s="12" t="s">
        <v>320</v>
      </c>
      <c r="BQ686" s="12" t="s">
        <v>320</v>
      </c>
      <c r="BR686" s="12" t="s">
        <v>11273</v>
      </c>
      <c r="BS686" s="12" t="s">
        <v>322</v>
      </c>
      <c r="BT686" s="12" t="s">
        <v>11274</v>
      </c>
      <c r="BU686" s="12" t="s">
        <v>11111</v>
      </c>
      <c r="BV686" s="14">
        <v>11730</v>
      </c>
      <c r="BW686" s="14">
        <v>6240</v>
      </c>
      <c r="BX686" s="14">
        <v>17970</v>
      </c>
      <c r="BY686" s="14"/>
      <c r="BZ686" s="14"/>
      <c r="CA686" s="14">
        <v>0</v>
      </c>
      <c r="CB686" s="12" t="s">
        <v>11112</v>
      </c>
      <c r="CD686" s="14">
        <v>12785</v>
      </c>
      <c r="CE686" s="14">
        <v>5480</v>
      </c>
      <c r="CF686" s="14">
        <v>18265</v>
      </c>
      <c r="CG686" s="14"/>
      <c r="CH686" s="14"/>
      <c r="CI686" s="14">
        <v>0</v>
      </c>
      <c r="CJ686" s="12" t="s">
        <v>319</v>
      </c>
      <c r="CK686" s="14"/>
      <c r="CL686" s="16"/>
      <c r="CM686" s="14"/>
      <c r="CN686" s="12" t="s">
        <v>320</v>
      </c>
      <c r="CO686" s="14">
        <v>14790</v>
      </c>
      <c r="CP686" s="16">
        <v>0.79</v>
      </c>
      <c r="CQ686" s="14"/>
      <c r="CR686" s="12" t="s">
        <v>319</v>
      </c>
      <c r="CS686" s="14"/>
      <c r="CT686" s="16"/>
      <c r="CU686" s="14"/>
      <c r="CV686" s="12" t="s">
        <v>320</v>
      </c>
      <c r="CW686" s="14">
        <v>12390</v>
      </c>
      <c r="CX686" s="16">
        <v>0.81</v>
      </c>
      <c r="CY686" s="14"/>
      <c r="CZ686" s="12" t="s">
        <v>320</v>
      </c>
      <c r="DA686" s="14">
        <v>18265</v>
      </c>
      <c r="DB686" s="16">
        <v>0.7</v>
      </c>
      <c r="DC686" s="14">
        <v>0</v>
      </c>
      <c r="DD686" s="12" t="s">
        <v>319</v>
      </c>
      <c r="DE686" s="14"/>
      <c r="DF686" s="16"/>
      <c r="DG686" s="14"/>
      <c r="DH686" s="12" t="s">
        <v>319</v>
      </c>
      <c r="DI686" s="14"/>
      <c r="DJ686" s="16"/>
      <c r="DK686" s="14"/>
      <c r="DL686" s="11" t="s">
        <v>320</v>
      </c>
      <c r="DM686" s="14">
        <v>12390</v>
      </c>
      <c r="DN686" s="16">
        <v>0.81</v>
      </c>
      <c r="DO686" s="14"/>
      <c r="DP686" s="12" t="s">
        <v>319</v>
      </c>
      <c r="DQ686" s="14"/>
      <c r="DR686" s="16"/>
      <c r="DS686" s="14"/>
      <c r="DT686" s="12" t="s">
        <v>319</v>
      </c>
      <c r="DU686" s="14"/>
      <c r="DV686" s="16"/>
      <c r="DW686" s="14"/>
      <c r="DX686" s="12" t="s">
        <v>319</v>
      </c>
      <c r="DY686" s="14"/>
      <c r="DZ686" s="16"/>
      <c r="EA686" s="14"/>
      <c r="EB686" s="12" t="s">
        <v>319</v>
      </c>
      <c r="EC686" s="14"/>
      <c r="ED686" s="16"/>
      <c r="EE686" s="14"/>
      <c r="EF686" s="12"/>
      <c r="EG686" s="12" t="s">
        <v>319</v>
      </c>
      <c r="EH686" s="14"/>
      <c r="EI686" s="16"/>
      <c r="EJ686" s="14"/>
      <c r="EK686" s="14">
        <v>5418</v>
      </c>
      <c r="EL686" s="14">
        <v>294</v>
      </c>
      <c r="EM686" s="14">
        <v>5712</v>
      </c>
      <c r="EN686" s="14">
        <v>27090</v>
      </c>
      <c r="EO686" s="14">
        <v>1470</v>
      </c>
      <c r="EP686" s="14">
        <v>28560</v>
      </c>
      <c r="EQ686" s="12"/>
      <c r="ER686" s="14"/>
      <c r="ES686" s="16"/>
      <c r="ET686" s="14"/>
      <c r="EU686" s="12"/>
      <c r="EV686" s="14"/>
      <c r="EW686" s="16"/>
      <c r="EX686" s="14"/>
      <c r="EY686" s="12"/>
      <c r="EZ686" s="14"/>
      <c r="FA686" s="16"/>
      <c r="FB686" s="14"/>
      <c r="FC686" s="12"/>
      <c r="FD686" s="14"/>
      <c r="FE686" s="16"/>
      <c r="FF686" s="14"/>
      <c r="FG686" s="12"/>
      <c r="FH686" s="14"/>
      <c r="FI686" s="16"/>
      <c r="FJ686" s="14"/>
      <c r="FK686" s="12"/>
      <c r="FL686" s="14"/>
      <c r="FM686" s="16"/>
      <c r="FN686" s="14"/>
      <c r="FO686" s="12" t="s">
        <v>320</v>
      </c>
      <c r="FP686" s="14">
        <v>5712</v>
      </c>
      <c r="FQ686" s="16">
        <v>0.95</v>
      </c>
      <c r="FR686" s="14">
        <v>28560</v>
      </c>
      <c r="FS686" s="12"/>
      <c r="FT686" s="14"/>
      <c r="FU686" s="16"/>
      <c r="FV686" s="14"/>
      <c r="FW686" s="12"/>
      <c r="FX686" s="14"/>
      <c r="FY686" s="16"/>
      <c r="FZ686" s="14"/>
      <c r="GA686" s="12"/>
      <c r="GB686" s="14"/>
      <c r="GC686" s="16"/>
      <c r="GD686" s="14"/>
      <c r="GE686" s="12"/>
      <c r="GF686" s="14"/>
      <c r="GG686" s="16"/>
      <c r="GH686" s="14"/>
      <c r="GI686" s="12"/>
      <c r="GJ686" s="14"/>
      <c r="GK686" s="16"/>
      <c r="GL686" s="14"/>
      <c r="GM686" s="12"/>
      <c r="GN686" s="14"/>
      <c r="GO686" s="16"/>
      <c r="GP686" s="14"/>
      <c r="GQ686" s="12"/>
      <c r="GR686" s="14"/>
      <c r="GS686" s="16"/>
      <c r="GT686" s="14"/>
      <c r="GU686" s="12"/>
      <c r="GV686" s="14"/>
      <c r="GW686" s="16"/>
      <c r="GX686" s="14"/>
      <c r="GY686" s="11" t="s">
        <v>320</v>
      </c>
      <c r="GZ686" s="14">
        <v>5418</v>
      </c>
      <c r="HA686" s="16">
        <v>1</v>
      </c>
      <c r="HB686" s="14">
        <v>27090</v>
      </c>
      <c r="HC686" s="12"/>
      <c r="HD686" s="12"/>
      <c r="HE686" s="14"/>
      <c r="HF686" s="16"/>
      <c r="HG686" s="14"/>
      <c r="HH686" s="12" t="s">
        <v>320</v>
      </c>
      <c r="HI686" s="12" t="s">
        <v>451</v>
      </c>
      <c r="HJ686" s="12">
        <v>2017</v>
      </c>
      <c r="HK686" s="12" t="s">
        <v>320</v>
      </c>
      <c r="HL686" s="12" t="s">
        <v>319</v>
      </c>
      <c r="HM686" s="12"/>
      <c r="HN686" s="12"/>
      <c r="HO686" s="12"/>
      <c r="HP686" s="12" t="s">
        <v>330</v>
      </c>
      <c r="HQ686" s="12" t="s">
        <v>320</v>
      </c>
      <c r="HR686" s="12"/>
      <c r="HS686" s="12" t="s">
        <v>320</v>
      </c>
      <c r="HT686" s="12" t="s">
        <v>320</v>
      </c>
      <c r="HU686" s="12" t="s">
        <v>320</v>
      </c>
      <c r="HV686" s="12" t="s">
        <v>320</v>
      </c>
      <c r="HW686" s="12" t="s">
        <v>320</v>
      </c>
      <c r="HX686" s="12"/>
      <c r="HY686" s="12"/>
      <c r="HZ686" s="12" t="s">
        <v>394</v>
      </c>
      <c r="IA686" s="12" t="s">
        <v>2587</v>
      </c>
      <c r="IB686" s="12" t="s">
        <v>667</v>
      </c>
      <c r="IC686" s="12" t="s">
        <v>11275</v>
      </c>
      <c r="ID686" s="12" t="s">
        <v>477</v>
      </c>
      <c r="IE686" s="12" t="s">
        <v>335</v>
      </c>
      <c r="IF686" s="12" t="s">
        <v>320</v>
      </c>
      <c r="IG686" s="12" t="s">
        <v>320</v>
      </c>
      <c r="IH686" s="12" t="s">
        <v>320</v>
      </c>
      <c r="II686" s="12" t="s">
        <v>320</v>
      </c>
      <c r="IJ686" s="12" t="str">
        <f t="shared" si="431"/>
        <v>2. Sensitive</v>
      </c>
      <c r="IK686" s="12">
        <f t="shared" si="432"/>
        <v>4</v>
      </c>
      <c r="IL686" s="12" t="s">
        <v>336</v>
      </c>
      <c r="IM686" s="12" t="s">
        <v>320</v>
      </c>
      <c r="IN686" s="12" t="s">
        <v>320</v>
      </c>
      <c r="IO686" s="12" t="s">
        <v>320</v>
      </c>
      <c r="IP686" s="12" t="s">
        <v>320</v>
      </c>
      <c r="IQ686" s="12" t="str">
        <f t="shared" si="433"/>
        <v>2. Accommodating</v>
      </c>
      <c r="IR686" s="12">
        <f t="shared" si="434"/>
        <v>4</v>
      </c>
      <c r="IS686" s="12" t="s">
        <v>622</v>
      </c>
      <c r="IT686" s="12" t="s">
        <v>320</v>
      </c>
      <c r="IU686" s="12" t="s">
        <v>320</v>
      </c>
      <c r="IV686" s="12" t="s">
        <v>320</v>
      </c>
      <c r="IW686" s="11" t="str">
        <f t="shared" si="435"/>
        <v>4. Transformative</v>
      </c>
      <c r="IX686" s="12">
        <f t="shared" si="436"/>
        <v>3</v>
      </c>
      <c r="IY686" s="12" t="s">
        <v>419</v>
      </c>
      <c r="IZ686" s="12" t="s">
        <v>432</v>
      </c>
      <c r="JA686" s="12"/>
      <c r="JB686" s="12"/>
      <c r="JC686" s="12"/>
      <c r="JD686" s="12"/>
      <c r="JE686" s="12" t="s">
        <v>420</v>
      </c>
      <c r="JF686" s="12"/>
      <c r="JG686" s="12" t="s">
        <v>11276</v>
      </c>
      <c r="JH686" s="12" t="s">
        <v>1323</v>
      </c>
      <c r="JI686" s="12" t="s">
        <v>11154</v>
      </c>
      <c r="JJ686" s="12" t="s">
        <v>11277</v>
      </c>
      <c r="JK686" s="12" t="s">
        <v>11278</v>
      </c>
      <c r="JL686" s="12" t="s">
        <v>11279</v>
      </c>
      <c r="JM686" s="12" t="s">
        <v>11117</v>
      </c>
      <c r="JN686" s="12" t="s">
        <v>11280</v>
      </c>
      <c r="JO686" s="12" t="s">
        <v>11160</v>
      </c>
      <c r="JP686" s="15">
        <f t="shared" si="437"/>
        <v>18265</v>
      </c>
      <c r="JQ686" s="15">
        <f t="shared" si="438"/>
        <v>28560</v>
      </c>
      <c r="JR686" s="279">
        <f t="shared" si="439"/>
        <v>1.5636463180947167</v>
      </c>
      <c r="JS686" s="17">
        <f t="shared" si="440"/>
        <v>0.69997262523952919</v>
      </c>
      <c r="JT686" s="18">
        <f t="shared" si="441"/>
        <v>0.94852941176470584</v>
      </c>
      <c r="JU686" s="280">
        <f t="shared" si="442"/>
        <v>12785</v>
      </c>
      <c r="JV686" s="280">
        <f t="shared" si="443"/>
        <v>27090</v>
      </c>
      <c r="JW686" s="319">
        <f t="shared" si="444"/>
        <v>1</v>
      </c>
      <c r="JX686" s="15">
        <f t="shared" si="445"/>
        <v>18265</v>
      </c>
      <c r="JY686" s="15">
        <f t="shared" si="446"/>
        <v>0</v>
      </c>
      <c r="JZ686" s="19">
        <f t="shared" si="447"/>
        <v>0</v>
      </c>
      <c r="KA686" s="52">
        <f t="shared" si="448"/>
        <v>1</v>
      </c>
      <c r="KB686" s="15">
        <f t="shared" si="449"/>
        <v>12390</v>
      </c>
      <c r="KC686" s="15">
        <f t="shared" si="450"/>
        <v>28560</v>
      </c>
      <c r="KD686" s="20">
        <f t="shared" si="451"/>
        <v>2.3050847457627119</v>
      </c>
      <c r="KE686" s="52" t="str">
        <f t="shared" si="452"/>
        <v/>
      </c>
      <c r="KF686" s="15">
        <f t="shared" si="453"/>
        <v>0</v>
      </c>
      <c r="KG686" s="15">
        <f t="shared" si="454"/>
        <v>0</v>
      </c>
      <c r="KH686" s="21" t="str">
        <f t="shared" si="455"/>
        <v/>
      </c>
      <c r="KI686" s="52">
        <f t="shared" si="456"/>
        <v>1</v>
      </c>
      <c r="KJ686" s="15">
        <f t="shared" si="457"/>
        <v>18265</v>
      </c>
      <c r="KK686" s="15">
        <f t="shared" si="458"/>
        <v>0</v>
      </c>
      <c r="KL686" s="19">
        <f t="shared" si="459"/>
        <v>0</v>
      </c>
      <c r="KM686" s="52">
        <f t="shared" si="460"/>
        <v>1</v>
      </c>
      <c r="KN686" s="22">
        <f t="shared" si="461"/>
        <v>5418</v>
      </c>
      <c r="KO686" s="22">
        <f t="shared" si="462"/>
        <v>27090</v>
      </c>
      <c r="KP686" s="19">
        <f t="shared" si="463"/>
        <v>5</v>
      </c>
      <c r="KQ686" s="11" t="str">
        <f t="shared" si="464"/>
        <v>2. Sensitive</v>
      </c>
      <c r="KR686" s="11" t="str">
        <f t="shared" si="465"/>
        <v>2. Accommodating</v>
      </c>
      <c r="KS686" s="11" t="str">
        <f t="shared" si="466"/>
        <v>4. Transformative</v>
      </c>
      <c r="KT686" s="11" t="str">
        <f t="shared" si="467"/>
        <v>It tested new ways for fighting poverty, but did not measure results of innovation</v>
      </c>
      <c r="KU686" s="11" t="str">
        <f t="shared" si="468"/>
        <v>Moderate advocacy</v>
      </c>
      <c r="KV686" s="11" t="str">
        <f t="shared" si="469"/>
        <v>It took tested solutions to scale on its own</v>
      </c>
      <c r="KW686" s="11" t="str">
        <f t="shared" si="470"/>
        <v>South Sudan - Beyond the Harvest - SDC - BTH</v>
      </c>
      <c r="KX686" s="11" t="str">
        <f t="shared" si="471"/>
        <v>Beyond the Harvest - SDC - BTH</v>
      </c>
      <c r="KY686" s="11" t="str">
        <f t="shared" si="472"/>
        <v>South Sudan</v>
      </c>
      <c r="KZ686" s="12">
        <v>686</v>
      </c>
    </row>
    <row r="687" spans="1:312" x14ac:dyDescent="0.3">
      <c r="A687" s="12" t="s">
        <v>11104</v>
      </c>
      <c r="B687" s="12" t="s">
        <v>1874</v>
      </c>
      <c r="C687" s="12"/>
      <c r="D687" s="12" t="s">
        <v>11168</v>
      </c>
      <c r="E687" s="277" t="str">
        <f t="shared" si="430"/>
        <v>South Sudan</v>
      </c>
      <c r="F687" s="12"/>
      <c r="G687" s="12" t="s">
        <v>379</v>
      </c>
      <c r="H687" s="12" t="s">
        <v>383</v>
      </c>
      <c r="I687" s="12" t="s">
        <v>384</v>
      </c>
      <c r="J687" s="281" t="s">
        <v>14724</v>
      </c>
      <c r="K687" s="12"/>
      <c r="L687" s="12"/>
      <c r="M687" s="12"/>
      <c r="N687" s="12"/>
      <c r="O687" s="12"/>
      <c r="P687" s="12"/>
      <c r="Q687" s="12"/>
      <c r="R687" s="12"/>
      <c r="S687" s="12"/>
      <c r="T687" s="12"/>
      <c r="U687" s="12"/>
      <c r="V687" s="12"/>
      <c r="W687" s="12"/>
      <c r="X687" s="12"/>
      <c r="Y687" s="12"/>
      <c r="Z687" s="12"/>
      <c r="AA687" s="12"/>
      <c r="AB687" s="12"/>
      <c r="AC687" s="12"/>
      <c r="AD687" s="12"/>
      <c r="BD687" s="13">
        <v>42795</v>
      </c>
      <c r="BE687" s="13">
        <v>43039</v>
      </c>
      <c r="BF687" s="12"/>
      <c r="BG687" s="12" t="s">
        <v>817</v>
      </c>
      <c r="BH687" s="14">
        <v>150000</v>
      </c>
      <c r="BI687" s="12" t="s">
        <v>11169</v>
      </c>
      <c r="BJ687" s="12" t="s">
        <v>317</v>
      </c>
      <c r="BK687" s="12" t="s">
        <v>11170</v>
      </c>
      <c r="BL687" s="12" t="s">
        <v>11171</v>
      </c>
      <c r="BM687" s="12" t="s">
        <v>11172</v>
      </c>
      <c r="BN687" s="12" t="s">
        <v>11173</v>
      </c>
      <c r="BO687" s="12" t="s">
        <v>320</v>
      </c>
      <c r="BP687" s="12" t="s">
        <v>319</v>
      </c>
      <c r="BQ687" s="12" t="s">
        <v>319</v>
      </c>
      <c r="BR687" s="12" t="s">
        <v>11174</v>
      </c>
      <c r="BS687" s="12" t="s">
        <v>322</v>
      </c>
      <c r="BT687" s="12" t="s">
        <v>11175</v>
      </c>
      <c r="BU687" s="12" t="s">
        <v>11176</v>
      </c>
      <c r="BV687" s="14">
        <v>20735</v>
      </c>
      <c r="BW687" s="14">
        <v>4000</v>
      </c>
      <c r="BX687" s="14">
        <v>24735</v>
      </c>
      <c r="BY687" s="14">
        <v>4000</v>
      </c>
      <c r="BZ687" s="14">
        <v>20735</v>
      </c>
      <c r="CA687" s="14">
        <v>24735</v>
      </c>
      <c r="CB687" s="12" t="s">
        <v>11177</v>
      </c>
      <c r="CD687" s="14">
        <v>1171</v>
      </c>
      <c r="CE687" s="14">
        <v>418</v>
      </c>
      <c r="CF687" s="14">
        <v>1589</v>
      </c>
      <c r="CG687" s="14">
        <v>418</v>
      </c>
      <c r="CH687" s="14">
        <v>1171</v>
      </c>
      <c r="CI687" s="14">
        <v>1589</v>
      </c>
      <c r="CJ687" s="12"/>
      <c r="CK687" s="14"/>
      <c r="CL687" s="16"/>
      <c r="CM687" s="14"/>
      <c r="CN687" s="12"/>
      <c r="CO687" s="14"/>
      <c r="CP687" s="16"/>
      <c r="CQ687" s="14"/>
      <c r="CR687" s="12"/>
      <c r="CS687" s="14"/>
      <c r="CT687" s="16"/>
      <c r="CU687" s="14"/>
      <c r="CV687" s="12"/>
      <c r="CW687" s="14"/>
      <c r="CX687" s="16"/>
      <c r="CY687" s="14"/>
      <c r="CZ687" s="12"/>
      <c r="DA687" s="14"/>
      <c r="DB687" s="16"/>
      <c r="DC687" s="14"/>
      <c r="DD687" s="12"/>
      <c r="DE687" s="14"/>
      <c r="DF687" s="16"/>
      <c r="DG687" s="14"/>
      <c r="DH687" s="12" t="s">
        <v>320</v>
      </c>
      <c r="DI687" s="14"/>
      <c r="DJ687" s="16"/>
      <c r="DK687" s="14"/>
      <c r="DL687" s="12"/>
      <c r="DM687" s="14"/>
      <c r="DN687" s="16"/>
      <c r="DO687" s="14"/>
      <c r="DP687" s="12"/>
      <c r="DQ687" s="14"/>
      <c r="DR687" s="16"/>
      <c r="DS687" s="14"/>
      <c r="DT687" s="12" t="s">
        <v>320</v>
      </c>
      <c r="DU687" s="14">
        <v>1589</v>
      </c>
      <c r="DV687" s="16">
        <v>0.74</v>
      </c>
      <c r="DW687" s="14">
        <v>1589</v>
      </c>
      <c r="DX687" s="12"/>
      <c r="DY687" s="14"/>
      <c r="DZ687" s="16"/>
      <c r="EA687" s="14"/>
      <c r="EB687" s="12"/>
      <c r="EC687" s="14"/>
      <c r="ED687" s="16"/>
      <c r="EE687" s="14"/>
      <c r="EF687" s="12"/>
      <c r="EG687" s="12"/>
      <c r="EH687" s="14"/>
      <c r="EI687" s="16"/>
      <c r="EJ687" s="14"/>
      <c r="EK687" s="14"/>
      <c r="EL687" s="14"/>
      <c r="EM687" s="14"/>
      <c r="EN687" s="14"/>
      <c r="EO687" s="14"/>
      <c r="EP687" s="14"/>
      <c r="EQ687" s="12"/>
      <c r="ER687" s="14"/>
      <c r="ES687" s="16"/>
      <c r="ET687" s="14"/>
      <c r="EU687" s="12"/>
      <c r="EV687" s="14"/>
      <c r="EW687" s="16"/>
      <c r="EX687" s="14"/>
      <c r="EY687" s="12"/>
      <c r="EZ687" s="14"/>
      <c r="FA687" s="16"/>
      <c r="FB687" s="14"/>
      <c r="FC687" s="12"/>
      <c r="FD687" s="14"/>
      <c r="FE687" s="16"/>
      <c r="FF687" s="14"/>
      <c r="FG687" s="12"/>
      <c r="FH687" s="14"/>
      <c r="FI687" s="16"/>
      <c r="FJ687" s="14"/>
      <c r="FK687" s="12"/>
      <c r="FL687" s="14"/>
      <c r="FM687" s="16"/>
      <c r="FN687" s="14"/>
      <c r="FO687" s="12"/>
      <c r="FP687" s="14"/>
      <c r="FQ687" s="16"/>
      <c r="FR687" s="14"/>
      <c r="FS687" s="12"/>
      <c r="FT687" s="14"/>
      <c r="FU687" s="16"/>
      <c r="FV687" s="14"/>
      <c r="FW687" s="12"/>
      <c r="FX687" s="14"/>
      <c r="FY687" s="16"/>
      <c r="FZ687" s="14"/>
      <c r="GA687" s="12"/>
      <c r="GB687" s="14"/>
      <c r="GC687" s="16"/>
      <c r="GD687" s="14"/>
      <c r="GE687" s="12"/>
      <c r="GF687" s="14"/>
      <c r="GG687" s="16"/>
      <c r="GH687" s="14"/>
      <c r="GI687" s="12"/>
      <c r="GJ687" s="14"/>
      <c r="GK687" s="16"/>
      <c r="GL687" s="14"/>
      <c r="GM687" s="12"/>
      <c r="GN687" s="14"/>
      <c r="GO687" s="16"/>
      <c r="GP687" s="14"/>
      <c r="GQ687" s="12"/>
      <c r="GR687" s="14"/>
      <c r="GS687" s="16"/>
      <c r="GT687" s="14"/>
      <c r="GU687" s="12"/>
      <c r="GV687" s="14"/>
      <c r="GW687" s="16"/>
      <c r="GX687" s="14"/>
      <c r="GY687" s="12"/>
      <c r="GZ687" s="14"/>
      <c r="HA687" s="16"/>
      <c r="HB687" s="14"/>
      <c r="HC687" s="12"/>
      <c r="HD687" s="12"/>
      <c r="HE687" s="14"/>
      <c r="HF687" s="16"/>
      <c r="HG687" s="14"/>
      <c r="HH687" s="12" t="s">
        <v>319</v>
      </c>
      <c r="HI687" s="12"/>
      <c r="HJ687" s="12"/>
      <c r="HK687" s="12" t="s">
        <v>319</v>
      </c>
      <c r="HL687" s="12" t="s">
        <v>319</v>
      </c>
      <c r="HM687" s="12"/>
      <c r="HN687" s="12"/>
      <c r="HO687" s="12"/>
      <c r="HP687" s="12" t="s">
        <v>453</v>
      </c>
      <c r="HQ687" s="12" t="s">
        <v>320</v>
      </c>
      <c r="HR687" s="12" t="s">
        <v>320</v>
      </c>
      <c r="HS687" s="12" t="s">
        <v>320</v>
      </c>
      <c r="HT687" s="12" t="s">
        <v>320</v>
      </c>
      <c r="HU687" s="12" t="s">
        <v>320</v>
      </c>
      <c r="HV687" s="12" t="s">
        <v>320</v>
      </c>
      <c r="HW687" s="12" t="s">
        <v>320</v>
      </c>
      <c r="HX687" s="12"/>
      <c r="HY687" s="12"/>
      <c r="HZ687" s="12" t="s">
        <v>394</v>
      </c>
      <c r="IA687" s="12" t="s">
        <v>11178</v>
      </c>
      <c r="IB687" s="12" t="s">
        <v>396</v>
      </c>
      <c r="IC687" s="12"/>
      <c r="ID687" s="12" t="s">
        <v>477</v>
      </c>
      <c r="IE687" s="12" t="s">
        <v>478</v>
      </c>
      <c r="IF687" s="12" t="s">
        <v>320</v>
      </c>
      <c r="IG687" s="12" t="s">
        <v>320</v>
      </c>
      <c r="IH687" s="12" t="s">
        <v>320</v>
      </c>
      <c r="II687" s="12" t="s">
        <v>320</v>
      </c>
      <c r="IJ687" s="12" t="str">
        <f t="shared" si="431"/>
        <v>4. Transformative</v>
      </c>
      <c r="IK687" s="12">
        <f t="shared" si="432"/>
        <v>4</v>
      </c>
      <c r="IL687" s="12" t="s">
        <v>336</v>
      </c>
      <c r="IM687" s="12" t="s">
        <v>320</v>
      </c>
      <c r="IN687" s="12" t="s">
        <v>320</v>
      </c>
      <c r="IO687" s="12" t="s">
        <v>320</v>
      </c>
      <c r="IP687" s="12" t="s">
        <v>320</v>
      </c>
      <c r="IQ687" s="12" t="str">
        <f t="shared" si="433"/>
        <v>2. Accommodating</v>
      </c>
      <c r="IR687" s="12">
        <f t="shared" si="434"/>
        <v>4</v>
      </c>
      <c r="IS687" s="12" t="s">
        <v>622</v>
      </c>
      <c r="IT687" s="12" t="s">
        <v>320</v>
      </c>
      <c r="IU687" s="12" t="s">
        <v>320</v>
      </c>
      <c r="IV687" s="12" t="s">
        <v>320</v>
      </c>
      <c r="IW687" s="11" t="str">
        <f t="shared" si="435"/>
        <v>4. Transformative</v>
      </c>
      <c r="IX687" s="12">
        <f t="shared" si="436"/>
        <v>3</v>
      </c>
      <c r="IY687" s="12" t="s">
        <v>338</v>
      </c>
      <c r="IZ687" s="12" t="s">
        <v>432</v>
      </c>
      <c r="JA687" s="12">
        <v>1</v>
      </c>
      <c r="JB687" s="12" t="s">
        <v>687</v>
      </c>
      <c r="JC687" s="12" t="s">
        <v>687</v>
      </c>
      <c r="JD687" s="12" t="s">
        <v>832</v>
      </c>
      <c r="JE687" s="12" t="s">
        <v>420</v>
      </c>
      <c r="JF687" s="12"/>
      <c r="JG687" s="12"/>
      <c r="JH687" s="12" t="s">
        <v>11179</v>
      </c>
      <c r="JI687" s="12" t="s">
        <v>11180</v>
      </c>
      <c r="JJ687" s="12" t="s">
        <v>11181</v>
      </c>
      <c r="JK687" s="12" t="s">
        <v>11182</v>
      </c>
      <c r="JL687" s="12" t="s">
        <v>11183</v>
      </c>
      <c r="JM687" s="12" t="s">
        <v>11184</v>
      </c>
      <c r="JN687" s="12" t="s">
        <v>11185</v>
      </c>
      <c r="JO687" s="12" t="s">
        <v>11118</v>
      </c>
      <c r="JP687" s="15">
        <f t="shared" si="437"/>
        <v>1589</v>
      </c>
      <c r="JQ687" s="15">
        <f t="shared" si="438"/>
        <v>1589</v>
      </c>
      <c r="JR687" s="279">
        <f t="shared" si="439"/>
        <v>1</v>
      </c>
      <c r="JS687" s="17">
        <f t="shared" si="440"/>
        <v>0.73694147262429199</v>
      </c>
      <c r="JT687" s="18">
        <f t="shared" si="441"/>
        <v>0.26305852737570801</v>
      </c>
      <c r="JU687" s="280">
        <f t="shared" si="442"/>
        <v>1171</v>
      </c>
      <c r="JV687" s="280">
        <f t="shared" si="443"/>
        <v>418</v>
      </c>
      <c r="JW687" s="319">
        <f t="shared" si="444"/>
        <v>1</v>
      </c>
      <c r="JX687" s="15">
        <f t="shared" si="445"/>
        <v>1589</v>
      </c>
      <c r="JY687" s="15">
        <f t="shared" si="446"/>
        <v>1589</v>
      </c>
      <c r="JZ687" s="19">
        <f t="shared" si="447"/>
        <v>1</v>
      </c>
      <c r="KA687" s="52" t="str">
        <f t="shared" si="448"/>
        <v/>
      </c>
      <c r="KB687" s="15">
        <f t="shared" si="449"/>
        <v>0</v>
      </c>
      <c r="KC687" s="15">
        <f t="shared" si="450"/>
        <v>0</v>
      </c>
      <c r="KD687" s="20" t="str">
        <f t="shared" si="451"/>
        <v/>
      </c>
      <c r="KE687" s="52">
        <f t="shared" si="452"/>
        <v>1</v>
      </c>
      <c r="KF687" s="15">
        <f t="shared" si="453"/>
        <v>1589</v>
      </c>
      <c r="KG687" s="15">
        <f t="shared" si="454"/>
        <v>1589</v>
      </c>
      <c r="KH687" s="21">
        <f t="shared" si="455"/>
        <v>1</v>
      </c>
      <c r="KI687" s="52" t="str">
        <f t="shared" si="456"/>
        <v/>
      </c>
      <c r="KJ687" s="15">
        <f t="shared" si="457"/>
        <v>0</v>
      </c>
      <c r="KK687" s="15">
        <f t="shared" si="458"/>
        <v>0</v>
      </c>
      <c r="KL687" s="19" t="str">
        <f t="shared" si="459"/>
        <v/>
      </c>
      <c r="KM687" s="52" t="str">
        <f t="shared" si="460"/>
        <v/>
      </c>
      <c r="KN687" s="22">
        <f t="shared" si="461"/>
        <v>0</v>
      </c>
      <c r="KO687" s="22">
        <f t="shared" si="462"/>
        <v>0</v>
      </c>
      <c r="KP687" s="19" t="str">
        <f t="shared" si="463"/>
        <v/>
      </c>
      <c r="KQ687" s="11" t="str">
        <f t="shared" si="464"/>
        <v>4. Transformative</v>
      </c>
      <c r="KR687" s="11" t="str">
        <f t="shared" si="465"/>
        <v>2. Accommodating</v>
      </c>
      <c r="KS687" s="11" t="str">
        <f t="shared" si="466"/>
        <v>4. Transformative</v>
      </c>
      <c r="KT687" s="11" t="str">
        <f t="shared" si="467"/>
        <v>It tested new ways for fighting poverty, but did not measure results of innovation</v>
      </c>
      <c r="KU687" s="11" t="str">
        <f t="shared" si="468"/>
        <v>Intensive advocacy</v>
      </c>
      <c r="KV687" s="11" t="str">
        <f t="shared" si="469"/>
        <v>It linked and worked with strategic alliances and partners to take tested and effective solutions to scale</v>
      </c>
      <c r="KW687" s="11" t="str">
        <f t="shared" si="470"/>
        <v>South Sudan - CARE South Sudan Integrated Safe Motherhood Project</v>
      </c>
      <c r="KX687" s="11" t="str">
        <f t="shared" si="471"/>
        <v>CARE South Sudan Integrated Safe Motherhood Project</v>
      </c>
      <c r="KY687" s="11" t="str">
        <f t="shared" si="472"/>
        <v>South Sudan</v>
      </c>
      <c r="KZ687" s="12">
        <v>687</v>
      </c>
    </row>
    <row r="688" spans="1:312" x14ac:dyDescent="0.3">
      <c r="A688" s="12" t="s">
        <v>11104</v>
      </c>
      <c r="B688" s="12" t="s">
        <v>1874</v>
      </c>
      <c r="C688" s="12"/>
      <c r="D688" s="12" t="s">
        <v>11281</v>
      </c>
      <c r="E688" s="277" t="str">
        <f t="shared" si="430"/>
        <v>South Sudan</v>
      </c>
      <c r="F688" s="12"/>
      <c r="G688" s="12" t="s">
        <v>608</v>
      </c>
      <c r="H688" s="12" t="s">
        <v>380</v>
      </c>
      <c r="I688" s="12" t="s">
        <v>381</v>
      </c>
      <c r="J688" s="281" t="s">
        <v>14624</v>
      </c>
      <c r="K688" s="12"/>
      <c r="L688" s="12"/>
      <c r="M688" s="12"/>
      <c r="N688" s="12"/>
      <c r="O688" s="12"/>
      <c r="P688" s="12"/>
      <c r="Q688" s="12"/>
      <c r="R688" s="12"/>
      <c r="S688" s="12"/>
      <c r="T688" s="12"/>
      <c r="U688" s="12"/>
      <c r="V688" s="12"/>
      <c r="W688" s="12"/>
      <c r="X688" s="12"/>
      <c r="Y688" s="12"/>
      <c r="Z688" s="12"/>
      <c r="AA688" s="12"/>
      <c r="AB688" s="12"/>
      <c r="AC688" s="12"/>
      <c r="AD688" s="12"/>
      <c r="BD688" s="13">
        <v>42826</v>
      </c>
      <c r="BE688" s="13">
        <v>43008</v>
      </c>
      <c r="BF688" s="12"/>
      <c r="BG688" s="12" t="s">
        <v>817</v>
      </c>
      <c r="BH688" s="14">
        <v>100000</v>
      </c>
      <c r="BI688" s="12" t="s">
        <v>11224</v>
      </c>
      <c r="BJ688" s="12" t="s">
        <v>354</v>
      </c>
      <c r="BK688" s="12" t="s">
        <v>11238</v>
      </c>
      <c r="BL688" s="12"/>
      <c r="BM688" s="12"/>
      <c r="BN688" s="12"/>
      <c r="BO688" s="12" t="s">
        <v>320</v>
      </c>
      <c r="BP688" s="12" t="s">
        <v>319</v>
      </c>
      <c r="BQ688" s="12" t="s">
        <v>319</v>
      </c>
      <c r="BR688" s="12" t="s">
        <v>11282</v>
      </c>
      <c r="BS688" s="12" t="s">
        <v>357</v>
      </c>
      <c r="BT688" s="12" t="s">
        <v>11283</v>
      </c>
      <c r="BU688" s="12" t="s">
        <v>11284</v>
      </c>
      <c r="BV688" s="14">
        <v>2143</v>
      </c>
      <c r="BW688" s="14">
        <v>1873</v>
      </c>
      <c r="BX688" s="14">
        <v>4016</v>
      </c>
      <c r="BY688" s="14">
        <v>0</v>
      </c>
      <c r="BZ688" s="14">
        <v>0</v>
      </c>
      <c r="CA688" s="14">
        <v>0</v>
      </c>
      <c r="CB688" s="12" t="s">
        <v>11285</v>
      </c>
      <c r="CD688" s="14">
        <v>0</v>
      </c>
      <c r="CE688" s="14">
        <v>0</v>
      </c>
      <c r="CF688" s="14">
        <v>0</v>
      </c>
      <c r="CG688" s="14">
        <v>0</v>
      </c>
      <c r="CH688" s="14">
        <v>0</v>
      </c>
      <c r="CI688" s="14">
        <v>0</v>
      </c>
      <c r="CJ688" s="12" t="s">
        <v>319</v>
      </c>
      <c r="CK688" s="14"/>
      <c r="CL688" s="16"/>
      <c r="CM688" s="14"/>
      <c r="CN688" s="12" t="s">
        <v>319</v>
      </c>
      <c r="CO688" s="14"/>
      <c r="CP688" s="16"/>
      <c r="CQ688" s="14">
        <v>0</v>
      </c>
      <c r="CR688" s="12" t="s">
        <v>319</v>
      </c>
      <c r="CS688" s="14"/>
      <c r="CT688" s="16"/>
      <c r="CU688" s="14">
        <v>0</v>
      </c>
      <c r="CV688" s="12" t="s">
        <v>319</v>
      </c>
      <c r="CW688" s="14"/>
      <c r="CX688" s="16"/>
      <c r="CY688" s="14"/>
      <c r="CZ688" s="12" t="s">
        <v>319</v>
      </c>
      <c r="DA688" s="14"/>
      <c r="DB688" s="16"/>
      <c r="DC688" s="14">
        <v>0</v>
      </c>
      <c r="DD688" s="12" t="s">
        <v>319</v>
      </c>
      <c r="DE688" s="14"/>
      <c r="DF688" s="16"/>
      <c r="DG688" s="14"/>
      <c r="DH688" s="12" t="s">
        <v>326</v>
      </c>
      <c r="DI688" s="14">
        <v>0</v>
      </c>
      <c r="DJ688" s="16">
        <v>0</v>
      </c>
      <c r="DK688" s="14">
        <v>0</v>
      </c>
      <c r="DL688" s="12" t="s">
        <v>319</v>
      </c>
      <c r="DM688" s="14"/>
      <c r="DN688" s="16"/>
      <c r="DO688" s="14"/>
      <c r="DP688" s="12" t="s">
        <v>319</v>
      </c>
      <c r="DQ688" s="14"/>
      <c r="DR688" s="16"/>
      <c r="DS688" s="14"/>
      <c r="DT688" s="12" t="s">
        <v>319</v>
      </c>
      <c r="DU688" s="14"/>
      <c r="DV688" s="16"/>
      <c r="DW688" s="14"/>
      <c r="DX688" s="12" t="s">
        <v>319</v>
      </c>
      <c r="DY688" s="14"/>
      <c r="DZ688" s="16"/>
      <c r="EA688" s="14"/>
      <c r="EB688" s="12" t="s">
        <v>319</v>
      </c>
      <c r="EC688" s="14"/>
      <c r="ED688" s="16"/>
      <c r="EE688" s="14"/>
      <c r="EF688" s="12"/>
      <c r="EG688" s="12"/>
      <c r="EH688" s="14"/>
      <c r="EI688" s="16"/>
      <c r="EJ688" s="14"/>
      <c r="EK688" s="14"/>
      <c r="EL688" s="14"/>
      <c r="EM688" s="14"/>
      <c r="EN688" s="14"/>
      <c r="EO688" s="14"/>
      <c r="EP688" s="14"/>
      <c r="EQ688" s="12"/>
      <c r="ER688" s="14"/>
      <c r="ES688" s="16"/>
      <c r="ET688" s="14"/>
      <c r="EU688" s="12"/>
      <c r="EV688" s="14"/>
      <c r="EW688" s="16"/>
      <c r="EX688" s="14"/>
      <c r="EY688" s="12"/>
      <c r="EZ688" s="14"/>
      <c r="FA688" s="16"/>
      <c r="FB688" s="14"/>
      <c r="FC688" s="12"/>
      <c r="FD688" s="14"/>
      <c r="FE688" s="16"/>
      <c r="FF688" s="14"/>
      <c r="FG688" s="12"/>
      <c r="FH688" s="14"/>
      <c r="FI688" s="16"/>
      <c r="FJ688" s="14"/>
      <c r="FK688" s="12"/>
      <c r="FL688" s="14"/>
      <c r="FM688" s="16"/>
      <c r="FN688" s="14"/>
      <c r="FO688" s="12"/>
      <c r="FP688" s="14"/>
      <c r="FQ688" s="16"/>
      <c r="FR688" s="14"/>
      <c r="FS688" s="12"/>
      <c r="FT688" s="14"/>
      <c r="FU688" s="16"/>
      <c r="FV688" s="14"/>
      <c r="FW688" s="12"/>
      <c r="FX688" s="14"/>
      <c r="FY688" s="16"/>
      <c r="FZ688" s="14"/>
      <c r="GA688" s="12"/>
      <c r="GB688" s="14"/>
      <c r="GC688" s="16"/>
      <c r="GD688" s="14"/>
      <c r="GE688" s="12"/>
      <c r="GF688" s="14"/>
      <c r="GG688" s="16"/>
      <c r="GH688" s="14"/>
      <c r="GI688" s="12"/>
      <c r="GJ688" s="14"/>
      <c r="GK688" s="16"/>
      <c r="GL688" s="14"/>
      <c r="GM688" s="12"/>
      <c r="GN688" s="14"/>
      <c r="GO688" s="16"/>
      <c r="GP688" s="14"/>
      <c r="GQ688" s="12"/>
      <c r="GR688" s="14"/>
      <c r="GS688" s="16"/>
      <c r="GT688" s="14"/>
      <c r="GU688" s="12"/>
      <c r="GV688" s="14"/>
      <c r="GW688" s="16"/>
      <c r="GX688" s="14"/>
      <c r="GY688" s="12"/>
      <c r="GZ688" s="14"/>
      <c r="HA688" s="16"/>
      <c r="HB688" s="14"/>
      <c r="HC688" s="12"/>
      <c r="HD688" s="12"/>
      <c r="HE688" s="14"/>
      <c r="HF688" s="16"/>
      <c r="HG688" s="14"/>
      <c r="HH688" s="12" t="s">
        <v>319</v>
      </c>
      <c r="HI688" s="12"/>
      <c r="HJ688" s="12"/>
      <c r="HK688" s="12" t="s">
        <v>319</v>
      </c>
      <c r="HL688" s="12" t="s">
        <v>319</v>
      </c>
      <c r="HM688" s="12"/>
      <c r="HN688" s="12"/>
      <c r="HO688" s="12"/>
      <c r="HP688" s="12" t="s">
        <v>418</v>
      </c>
      <c r="HQ688" s="12" t="s">
        <v>319</v>
      </c>
      <c r="HR688" s="12"/>
      <c r="HS688" s="12"/>
      <c r="HT688" s="12" t="s">
        <v>319</v>
      </c>
      <c r="HU688" s="12"/>
      <c r="HV688" s="12"/>
      <c r="HW688" s="12" t="s">
        <v>319</v>
      </c>
      <c r="HX688" s="12"/>
      <c r="HY688" s="12"/>
      <c r="HZ688" s="12" t="s">
        <v>363</v>
      </c>
      <c r="IA688" s="12"/>
      <c r="IB688" s="12" t="s">
        <v>333</v>
      </c>
      <c r="IC688" s="12"/>
      <c r="ID688" s="12" t="s">
        <v>364</v>
      </c>
      <c r="IE688" s="12" t="s">
        <v>335</v>
      </c>
      <c r="IF688" s="12" t="s">
        <v>320</v>
      </c>
      <c r="IG688" s="12" t="s">
        <v>319</v>
      </c>
      <c r="IH688" s="12" t="s">
        <v>320</v>
      </c>
      <c r="II688" s="12" t="s">
        <v>320</v>
      </c>
      <c r="IJ688" s="12" t="str">
        <f t="shared" si="431"/>
        <v>1. Neutral</v>
      </c>
      <c r="IK688" s="12">
        <f t="shared" si="432"/>
        <v>3</v>
      </c>
      <c r="IL688" s="12" t="s">
        <v>336</v>
      </c>
      <c r="IM688" s="12" t="s">
        <v>320</v>
      </c>
      <c r="IN688" s="12" t="s">
        <v>320</v>
      </c>
      <c r="IO688" s="12" t="s">
        <v>320</v>
      </c>
      <c r="IP688" s="12" t="s">
        <v>320</v>
      </c>
      <c r="IQ688" s="12" t="str">
        <f t="shared" si="433"/>
        <v>2. Accommodating</v>
      </c>
      <c r="IR688" s="12">
        <f t="shared" si="434"/>
        <v>4</v>
      </c>
      <c r="IS688" s="12" t="s">
        <v>456</v>
      </c>
      <c r="IT688" s="12" t="s">
        <v>320</v>
      </c>
      <c r="IU688" s="12" t="s">
        <v>319</v>
      </c>
      <c r="IV688" s="12" t="s">
        <v>319</v>
      </c>
      <c r="IW688" s="11" t="str">
        <f t="shared" si="435"/>
        <v>0. Harmful</v>
      </c>
      <c r="IX688" s="12">
        <f t="shared" si="436"/>
        <v>1</v>
      </c>
      <c r="IY688" s="12" t="s">
        <v>338</v>
      </c>
      <c r="IZ688" s="12" t="s">
        <v>339</v>
      </c>
      <c r="JA688" s="12"/>
      <c r="JB688" s="12"/>
      <c r="JC688" s="12"/>
      <c r="JD688" s="12"/>
      <c r="JE688" s="12"/>
      <c r="JF688" s="12"/>
      <c r="JG688" s="12"/>
      <c r="JH688" s="12"/>
      <c r="JI688" s="12"/>
      <c r="JJ688" s="12"/>
      <c r="JK688" s="12"/>
      <c r="JL688" s="12"/>
      <c r="JM688" s="12"/>
      <c r="JN688" s="12"/>
      <c r="JO688" s="12"/>
      <c r="JP688" s="15">
        <f t="shared" si="437"/>
        <v>0</v>
      </c>
      <c r="JQ688" s="15">
        <f t="shared" si="438"/>
        <v>0</v>
      </c>
      <c r="JR688" s="279" t="str">
        <f t="shared" si="439"/>
        <v/>
      </c>
      <c r="JS688" s="17" t="str">
        <f t="shared" si="440"/>
        <v/>
      </c>
      <c r="JT688" s="18" t="str">
        <f t="shared" si="441"/>
        <v/>
      </c>
      <c r="JU688" s="280">
        <f t="shared" si="442"/>
        <v>0</v>
      </c>
      <c r="JV688" s="280">
        <f t="shared" si="443"/>
        <v>0</v>
      </c>
      <c r="JW688" s="319">
        <f t="shared" si="444"/>
        <v>1</v>
      </c>
      <c r="JX688" s="15">
        <f t="shared" si="445"/>
        <v>0</v>
      </c>
      <c r="JY688" s="15">
        <f t="shared" si="446"/>
        <v>0</v>
      </c>
      <c r="JZ688" s="19" t="str">
        <f t="shared" si="447"/>
        <v/>
      </c>
      <c r="KA688" s="52" t="str">
        <f t="shared" si="448"/>
        <v/>
      </c>
      <c r="KB688" s="15">
        <f t="shared" si="449"/>
        <v>0</v>
      </c>
      <c r="KC688" s="15">
        <f t="shared" si="450"/>
        <v>0</v>
      </c>
      <c r="KD688" s="20" t="str">
        <f t="shared" si="451"/>
        <v/>
      </c>
      <c r="KE688" s="52" t="str">
        <f t="shared" si="452"/>
        <v/>
      </c>
      <c r="KF688" s="15">
        <f t="shared" si="453"/>
        <v>0</v>
      </c>
      <c r="KG688" s="15">
        <f t="shared" si="454"/>
        <v>0</v>
      </c>
      <c r="KH688" s="21" t="str">
        <f t="shared" si="455"/>
        <v/>
      </c>
      <c r="KI688" s="52" t="str">
        <f t="shared" si="456"/>
        <v/>
      </c>
      <c r="KJ688" s="15">
        <f t="shared" si="457"/>
        <v>0</v>
      </c>
      <c r="KK688" s="15">
        <f t="shared" si="458"/>
        <v>0</v>
      </c>
      <c r="KL688" s="19" t="str">
        <f t="shared" si="459"/>
        <v/>
      </c>
      <c r="KM688" s="52" t="str">
        <f t="shared" si="460"/>
        <v/>
      </c>
      <c r="KN688" s="22">
        <f t="shared" si="461"/>
        <v>0</v>
      </c>
      <c r="KO688" s="22">
        <f t="shared" si="462"/>
        <v>0</v>
      </c>
      <c r="KP688" s="19" t="str">
        <f t="shared" si="463"/>
        <v/>
      </c>
      <c r="KQ688" s="11" t="str">
        <f t="shared" si="464"/>
        <v>1. Neutral</v>
      </c>
      <c r="KR688" s="11" t="str">
        <f t="shared" si="465"/>
        <v>2. Accommodating</v>
      </c>
      <c r="KS688" s="11" t="str">
        <f t="shared" si="466"/>
        <v>0. Harmful</v>
      </c>
      <c r="KT688" s="11" t="str">
        <f t="shared" si="467"/>
        <v>It did not develop any specific innovation</v>
      </c>
      <c r="KU688" s="11" t="str">
        <f t="shared" si="468"/>
        <v>Little or no advocacy</v>
      </c>
      <c r="KV688" s="11" t="str">
        <f t="shared" si="469"/>
        <v>It did not take tested solutions to scale</v>
      </c>
      <c r="KW688" s="11" t="str">
        <f t="shared" si="470"/>
        <v>South Sudan - CHF Project - Health</v>
      </c>
      <c r="KX688" s="11" t="str">
        <f t="shared" si="471"/>
        <v>CHF Project - Health</v>
      </c>
      <c r="KY688" s="11" t="str">
        <f t="shared" si="472"/>
        <v>South Sudan</v>
      </c>
      <c r="KZ688" s="12">
        <v>688</v>
      </c>
    </row>
    <row r="689" spans="1:312" x14ac:dyDescent="0.3">
      <c r="A689" s="12" t="s">
        <v>11104</v>
      </c>
      <c r="B689" s="12" t="s">
        <v>1874</v>
      </c>
      <c r="C689" s="12"/>
      <c r="D689" s="12" t="s">
        <v>11286</v>
      </c>
      <c r="E689" s="277" t="str">
        <f t="shared" si="430"/>
        <v>South Sudan</v>
      </c>
      <c r="F689" s="12"/>
      <c r="G689" s="12" t="s">
        <v>608</v>
      </c>
      <c r="H689" s="12" t="s">
        <v>380</v>
      </c>
      <c r="I689" s="12" t="s">
        <v>381</v>
      </c>
      <c r="J689" s="281" t="s">
        <v>14624</v>
      </c>
      <c r="K689" s="12"/>
      <c r="L689" s="12"/>
      <c r="M689" s="12"/>
      <c r="N689" s="12"/>
      <c r="O689" s="12"/>
      <c r="P689" s="12"/>
      <c r="Q689" s="12"/>
      <c r="R689" s="12"/>
      <c r="S689" s="12"/>
      <c r="T689" s="12"/>
      <c r="U689" s="12"/>
      <c r="V689" s="12"/>
      <c r="W689" s="12"/>
      <c r="X689" s="12"/>
      <c r="Y689" s="12"/>
      <c r="Z689" s="12"/>
      <c r="AA689" s="12"/>
      <c r="AB689" s="12"/>
      <c r="AC689" s="12"/>
      <c r="AD689" s="12"/>
      <c r="BD689" s="13">
        <v>42614</v>
      </c>
      <c r="BE689" s="13">
        <v>42766</v>
      </c>
      <c r="BF689" s="12"/>
      <c r="BG689" s="12" t="s">
        <v>908</v>
      </c>
      <c r="BH689" s="14">
        <v>581996</v>
      </c>
      <c r="BI689" s="12" t="s">
        <v>11268</v>
      </c>
      <c r="BJ689" s="12" t="s">
        <v>354</v>
      </c>
      <c r="BK689" s="12" t="s">
        <v>11269</v>
      </c>
      <c r="BL689" s="12"/>
      <c r="BM689" s="12"/>
      <c r="BN689" s="12"/>
      <c r="BO689" s="12" t="s">
        <v>320</v>
      </c>
      <c r="BP689" s="12" t="s">
        <v>319</v>
      </c>
      <c r="BQ689" s="12" t="s">
        <v>319</v>
      </c>
      <c r="BR689" s="12" t="s">
        <v>11287</v>
      </c>
      <c r="BS689" s="12" t="s">
        <v>357</v>
      </c>
      <c r="BT689" s="12" t="s">
        <v>11283</v>
      </c>
      <c r="BU689" s="12" t="s">
        <v>11288</v>
      </c>
      <c r="BV689" s="14">
        <v>30035</v>
      </c>
      <c r="BW689" s="14">
        <v>14342</v>
      </c>
      <c r="BX689" s="14">
        <v>44377</v>
      </c>
      <c r="BY689" s="14">
        <v>10928</v>
      </c>
      <c r="BZ689" s="14">
        <v>9781</v>
      </c>
      <c r="CA689" s="14">
        <v>20709</v>
      </c>
      <c r="CB689" s="12" t="s">
        <v>11288</v>
      </c>
      <c r="CD689" s="14">
        <v>55877</v>
      </c>
      <c r="CE689" s="14">
        <v>38795</v>
      </c>
      <c r="CF689" s="14">
        <v>94672</v>
      </c>
      <c r="CG689" s="14">
        <v>154719</v>
      </c>
      <c r="CH689" s="14">
        <v>75025</v>
      </c>
      <c r="CI689" s="14">
        <v>229744</v>
      </c>
      <c r="CJ689" s="12" t="s">
        <v>319</v>
      </c>
      <c r="CK689" s="14"/>
      <c r="CL689" s="16"/>
      <c r="CM689" s="14"/>
      <c r="CN689" s="12" t="s">
        <v>319</v>
      </c>
      <c r="CO689" s="14"/>
      <c r="CP689" s="16"/>
      <c r="CQ689" s="14"/>
      <c r="CR689" s="12" t="s">
        <v>319</v>
      </c>
      <c r="CS689" s="14"/>
      <c r="CT689" s="16"/>
      <c r="CU689" s="14">
        <v>0</v>
      </c>
      <c r="CV689" s="12" t="s">
        <v>320</v>
      </c>
      <c r="CW689" s="14">
        <v>94672</v>
      </c>
      <c r="CX689" s="16">
        <v>0.51</v>
      </c>
      <c r="CY689" s="14">
        <v>229744</v>
      </c>
      <c r="CZ689" s="12" t="s">
        <v>319</v>
      </c>
      <c r="DA689" s="14"/>
      <c r="DB689" s="16"/>
      <c r="DC689" s="14">
        <v>0</v>
      </c>
      <c r="DD689" s="12" t="s">
        <v>319</v>
      </c>
      <c r="DE689" s="14"/>
      <c r="DF689" s="16"/>
      <c r="DG689" s="14"/>
      <c r="DH689" s="12" t="s">
        <v>319</v>
      </c>
      <c r="DI689" s="14"/>
      <c r="DJ689" s="16"/>
      <c r="DK689" s="14"/>
      <c r="DL689" s="12" t="s">
        <v>319</v>
      </c>
      <c r="DM689" s="14"/>
      <c r="DN689" s="16"/>
      <c r="DO689" s="14"/>
      <c r="DP689" s="12" t="s">
        <v>319</v>
      </c>
      <c r="DQ689" s="14"/>
      <c r="DR689" s="16"/>
      <c r="DS689" s="14"/>
      <c r="DT689" s="12" t="s">
        <v>319</v>
      </c>
      <c r="DU689" s="14"/>
      <c r="DV689" s="16"/>
      <c r="DW689" s="14"/>
      <c r="DX689" s="12" t="s">
        <v>319</v>
      </c>
      <c r="DY689" s="14"/>
      <c r="DZ689" s="16"/>
      <c r="EA689" s="14"/>
      <c r="EB689" s="12" t="s">
        <v>319</v>
      </c>
      <c r="EC689" s="14"/>
      <c r="ED689" s="16"/>
      <c r="EE689" s="14"/>
      <c r="EF689" s="12"/>
      <c r="EG689" s="12"/>
      <c r="EH689" s="14"/>
      <c r="EI689" s="16"/>
      <c r="EJ689" s="14"/>
      <c r="EK689" s="14"/>
      <c r="EL689" s="14"/>
      <c r="EM689" s="14"/>
      <c r="EN689" s="14"/>
      <c r="EO689" s="14"/>
      <c r="EP689" s="14"/>
      <c r="EQ689" s="12"/>
      <c r="ER689" s="14"/>
      <c r="ES689" s="16"/>
      <c r="ET689" s="14"/>
      <c r="EU689" s="12"/>
      <c r="EV689" s="14"/>
      <c r="EW689" s="16"/>
      <c r="EX689" s="14"/>
      <c r="EY689" s="12"/>
      <c r="EZ689" s="14"/>
      <c r="FA689" s="16"/>
      <c r="FB689" s="14"/>
      <c r="FC689" s="12"/>
      <c r="FD689" s="14"/>
      <c r="FE689" s="16"/>
      <c r="FF689" s="14"/>
      <c r="FG689" s="12"/>
      <c r="FH689" s="14"/>
      <c r="FI689" s="16"/>
      <c r="FJ689" s="14"/>
      <c r="FK689" s="12"/>
      <c r="FL689" s="14"/>
      <c r="FM689" s="16"/>
      <c r="FN689" s="14"/>
      <c r="FO689" s="12"/>
      <c r="FP689" s="14"/>
      <c r="FQ689" s="16"/>
      <c r="FR689" s="14"/>
      <c r="FS689" s="12"/>
      <c r="FT689" s="14"/>
      <c r="FU689" s="16"/>
      <c r="FV689" s="14"/>
      <c r="FW689" s="12"/>
      <c r="FX689" s="14"/>
      <c r="FY689" s="16"/>
      <c r="FZ689" s="14"/>
      <c r="GA689" s="12"/>
      <c r="GB689" s="14"/>
      <c r="GC689" s="16"/>
      <c r="GD689" s="14"/>
      <c r="GE689" s="12"/>
      <c r="GF689" s="14"/>
      <c r="GG689" s="16"/>
      <c r="GH689" s="14"/>
      <c r="GI689" s="12"/>
      <c r="GJ689" s="14"/>
      <c r="GK689" s="16"/>
      <c r="GL689" s="14"/>
      <c r="GM689" s="12"/>
      <c r="GN689" s="14"/>
      <c r="GO689" s="16"/>
      <c r="GP689" s="14"/>
      <c r="GQ689" s="12"/>
      <c r="GR689" s="14"/>
      <c r="GS689" s="16"/>
      <c r="GT689" s="14"/>
      <c r="GU689" s="12"/>
      <c r="GV689" s="14"/>
      <c r="GW689" s="16"/>
      <c r="GX689" s="14"/>
      <c r="GY689" s="12"/>
      <c r="GZ689" s="14"/>
      <c r="HA689" s="16"/>
      <c r="HB689" s="14"/>
      <c r="HC689" s="12"/>
      <c r="HD689" s="12"/>
      <c r="HE689" s="14"/>
      <c r="HF689" s="16"/>
      <c r="HG689" s="14"/>
      <c r="HH689" s="12" t="s">
        <v>320</v>
      </c>
      <c r="HI689" s="12" t="s">
        <v>431</v>
      </c>
      <c r="HJ689" s="12">
        <v>2017</v>
      </c>
      <c r="HK689" s="12" t="s">
        <v>320</v>
      </c>
      <c r="HL689" s="12" t="s">
        <v>319</v>
      </c>
      <c r="HM689" s="12"/>
      <c r="HN689" s="12"/>
      <c r="HO689" s="12"/>
      <c r="HP689" s="12"/>
      <c r="HQ689" s="12" t="s">
        <v>319</v>
      </c>
      <c r="HR689" s="12" t="s">
        <v>319</v>
      </c>
      <c r="HS689" s="12" t="s">
        <v>319</v>
      </c>
      <c r="HT689" s="12" t="s">
        <v>320</v>
      </c>
      <c r="HU689" s="12" t="s">
        <v>319</v>
      </c>
      <c r="HV689" s="12" t="s">
        <v>320</v>
      </c>
      <c r="HW689" s="12" t="s">
        <v>319</v>
      </c>
      <c r="HX689" s="12"/>
      <c r="HY689" s="12"/>
      <c r="HZ689" s="12" t="s">
        <v>363</v>
      </c>
      <c r="IA689" s="12"/>
      <c r="IB689" s="12" t="s">
        <v>667</v>
      </c>
      <c r="IC689" s="12"/>
      <c r="ID689" s="12" t="s">
        <v>334</v>
      </c>
      <c r="IE689" s="12" t="s">
        <v>335</v>
      </c>
      <c r="IF689" s="12" t="s">
        <v>320</v>
      </c>
      <c r="IG689" s="12" t="s">
        <v>320</v>
      </c>
      <c r="IH689" s="12" t="s">
        <v>320</v>
      </c>
      <c r="II689" s="12" t="s">
        <v>320</v>
      </c>
      <c r="IJ689" s="12" t="str">
        <f t="shared" si="431"/>
        <v>2. Sensitive</v>
      </c>
      <c r="IK689" s="12">
        <f t="shared" si="432"/>
        <v>4</v>
      </c>
      <c r="IL689" s="12" t="s">
        <v>336</v>
      </c>
      <c r="IM689" s="12" t="s">
        <v>320</v>
      </c>
      <c r="IN689" s="12" t="s">
        <v>319</v>
      </c>
      <c r="IO689" s="12" t="s">
        <v>320</v>
      </c>
      <c r="IP689" s="12" t="s">
        <v>320</v>
      </c>
      <c r="IQ689" s="12" t="str">
        <f t="shared" si="433"/>
        <v>2. Accommodating</v>
      </c>
      <c r="IR689" s="12">
        <f t="shared" si="434"/>
        <v>3</v>
      </c>
      <c r="IS689" s="12" t="s">
        <v>456</v>
      </c>
      <c r="IT689" s="12" t="s">
        <v>319</v>
      </c>
      <c r="IU689" s="12" t="s">
        <v>319</v>
      </c>
      <c r="IV689" s="12" t="s">
        <v>319</v>
      </c>
      <c r="IW689" s="11" t="str">
        <f t="shared" si="435"/>
        <v>0. Harmful</v>
      </c>
      <c r="IX689" s="12">
        <f t="shared" si="436"/>
        <v>0</v>
      </c>
      <c r="IY689" s="12" t="s">
        <v>338</v>
      </c>
      <c r="IZ689" s="12" t="s">
        <v>339</v>
      </c>
      <c r="JA689" s="12"/>
      <c r="JB689" s="12" t="s">
        <v>687</v>
      </c>
      <c r="JC689" s="12"/>
      <c r="JD689" s="12"/>
      <c r="JE689" s="12"/>
      <c r="JF689" s="12"/>
      <c r="JG689" s="12" t="s">
        <v>11289</v>
      </c>
      <c r="JH689" s="12"/>
      <c r="JI689" s="12"/>
      <c r="JJ689" s="12"/>
      <c r="JK689" s="12"/>
      <c r="JL689" s="12"/>
      <c r="JM689" s="12"/>
      <c r="JN689" s="12"/>
      <c r="JO689" s="12"/>
      <c r="JP689" s="15">
        <f t="shared" si="437"/>
        <v>94672</v>
      </c>
      <c r="JQ689" s="15">
        <f t="shared" si="438"/>
        <v>229744</v>
      </c>
      <c r="JR689" s="279">
        <f t="shared" si="439"/>
        <v>2.4267365218860908</v>
      </c>
      <c r="JS689" s="17">
        <f t="shared" si="440"/>
        <v>0.5902167483522055</v>
      </c>
      <c r="JT689" s="18">
        <f t="shared" si="441"/>
        <v>0.67344087331986913</v>
      </c>
      <c r="JU689" s="280">
        <f t="shared" si="442"/>
        <v>55877</v>
      </c>
      <c r="JV689" s="280">
        <f t="shared" si="443"/>
        <v>154719</v>
      </c>
      <c r="JW689" s="319">
        <f t="shared" si="444"/>
        <v>1</v>
      </c>
      <c r="JX689" s="15">
        <f t="shared" si="445"/>
        <v>94672</v>
      </c>
      <c r="JY689" s="15">
        <f t="shared" si="446"/>
        <v>229744</v>
      </c>
      <c r="JZ689" s="19">
        <f t="shared" si="447"/>
        <v>2.4267365218860908</v>
      </c>
      <c r="KA689" s="52">
        <f t="shared" si="448"/>
        <v>1</v>
      </c>
      <c r="KB689" s="15">
        <f t="shared" si="449"/>
        <v>94672</v>
      </c>
      <c r="KC689" s="15">
        <f t="shared" si="450"/>
        <v>229744</v>
      </c>
      <c r="KD689" s="20">
        <f t="shared" si="451"/>
        <v>2.4267365218860908</v>
      </c>
      <c r="KE689" s="52" t="str">
        <f t="shared" si="452"/>
        <v/>
      </c>
      <c r="KF689" s="15">
        <f t="shared" si="453"/>
        <v>0</v>
      </c>
      <c r="KG689" s="15">
        <f t="shared" si="454"/>
        <v>0</v>
      </c>
      <c r="KH689" s="21" t="str">
        <f t="shared" si="455"/>
        <v/>
      </c>
      <c r="KI689" s="52" t="str">
        <f t="shared" si="456"/>
        <v/>
      </c>
      <c r="KJ689" s="15">
        <f t="shared" si="457"/>
        <v>0</v>
      </c>
      <c r="KK689" s="15">
        <f t="shared" si="458"/>
        <v>0</v>
      </c>
      <c r="KL689" s="19" t="str">
        <f t="shared" si="459"/>
        <v/>
      </c>
      <c r="KM689" s="52" t="str">
        <f t="shared" si="460"/>
        <v/>
      </c>
      <c r="KN689" s="22">
        <f t="shared" si="461"/>
        <v>0</v>
      </c>
      <c r="KO689" s="22">
        <f t="shared" si="462"/>
        <v>0</v>
      </c>
      <c r="KP689" s="19" t="str">
        <f t="shared" si="463"/>
        <v/>
      </c>
      <c r="KQ689" s="11" t="str">
        <f t="shared" si="464"/>
        <v>2. Sensitive</v>
      </c>
      <c r="KR689" s="11" t="str">
        <f t="shared" si="465"/>
        <v>2. Accommodating</v>
      </c>
      <c r="KS689" s="11" t="str">
        <f t="shared" si="466"/>
        <v>0. Harmful</v>
      </c>
      <c r="KT689" s="11" t="str">
        <f t="shared" si="467"/>
        <v>It did not develop any specific innovation</v>
      </c>
      <c r="KU689" s="11">
        <f t="shared" si="468"/>
        <v>0</v>
      </c>
      <c r="KV689" s="11" t="str">
        <f t="shared" si="469"/>
        <v>It took tested solutions to scale on its own</v>
      </c>
      <c r="KW689" s="11" t="str">
        <f t="shared" si="470"/>
        <v>South Sudan - CHF Project - Nutrition</v>
      </c>
      <c r="KX689" s="11" t="str">
        <f t="shared" si="471"/>
        <v>CHF Project - Nutrition</v>
      </c>
      <c r="KY689" s="11" t="str">
        <f t="shared" si="472"/>
        <v>South Sudan</v>
      </c>
      <c r="KZ689" s="12">
        <v>689</v>
      </c>
    </row>
    <row r="690" spans="1:312" x14ac:dyDescent="0.3">
      <c r="A690" s="12" t="s">
        <v>11104</v>
      </c>
      <c r="B690" s="12" t="s">
        <v>1874</v>
      </c>
      <c r="C690" s="12"/>
      <c r="D690" s="12" t="s">
        <v>11161</v>
      </c>
      <c r="E690" s="277" t="str">
        <f t="shared" si="430"/>
        <v>South Sudan</v>
      </c>
      <c r="F690" s="12"/>
      <c r="G690" s="12" t="s">
        <v>488</v>
      </c>
      <c r="H690" s="12" t="s">
        <v>384</v>
      </c>
      <c r="I690" s="12" t="s">
        <v>384</v>
      </c>
      <c r="J690" s="281" t="s">
        <v>14738</v>
      </c>
      <c r="K690" s="12"/>
      <c r="L690" s="12"/>
      <c r="M690" s="12"/>
      <c r="N690" s="12"/>
      <c r="O690" s="12"/>
      <c r="P690" s="12"/>
      <c r="Q690" s="12"/>
      <c r="R690" s="12"/>
      <c r="S690" s="12"/>
      <c r="T690" s="12"/>
      <c r="U690" s="12"/>
      <c r="V690" s="12"/>
      <c r="W690" s="12"/>
      <c r="X690" s="12"/>
      <c r="Y690" s="12"/>
      <c r="Z690" s="12"/>
      <c r="AA690" s="12"/>
      <c r="AB690" s="12"/>
      <c r="AC690" s="12"/>
      <c r="AD690" s="12"/>
      <c r="BD690" s="13">
        <v>42887</v>
      </c>
      <c r="BE690" s="13">
        <v>43008</v>
      </c>
      <c r="BF690" s="12"/>
      <c r="BG690" s="12" t="s">
        <v>908</v>
      </c>
      <c r="BH690" s="14">
        <v>296174</v>
      </c>
      <c r="BI690" s="12" t="s">
        <v>11162</v>
      </c>
      <c r="BJ690" s="12" t="s">
        <v>444</v>
      </c>
      <c r="BK690" s="12" t="s">
        <v>11163</v>
      </c>
      <c r="BL690" s="12"/>
      <c r="BM690" s="12"/>
      <c r="BN690" s="12"/>
      <c r="BO690" s="12" t="s">
        <v>320</v>
      </c>
      <c r="BP690" s="12" t="s">
        <v>320</v>
      </c>
      <c r="BQ690" s="12" t="s">
        <v>320</v>
      </c>
      <c r="BR690" s="12" t="s">
        <v>11164</v>
      </c>
      <c r="BS690" s="12" t="s">
        <v>322</v>
      </c>
      <c r="BT690" s="12" t="s">
        <v>11165</v>
      </c>
      <c r="BU690" s="12" t="s">
        <v>11166</v>
      </c>
      <c r="BV690" s="14">
        <v>11690</v>
      </c>
      <c r="BW690" s="14">
        <v>5010</v>
      </c>
      <c r="BX690" s="14">
        <v>16700</v>
      </c>
      <c r="BY690" s="14">
        <v>58450</v>
      </c>
      <c r="BZ690" s="14">
        <v>25050</v>
      </c>
      <c r="CA690" s="14">
        <v>83500</v>
      </c>
      <c r="CB690" s="12" t="s">
        <v>11112</v>
      </c>
      <c r="CD690" s="14"/>
      <c r="CE690" s="14"/>
      <c r="CF690" s="14">
        <v>0</v>
      </c>
      <c r="CG690" s="14"/>
      <c r="CH690" s="14"/>
      <c r="CI690" s="14">
        <v>0</v>
      </c>
      <c r="CJ690" s="12" t="s">
        <v>319</v>
      </c>
      <c r="CK690" s="14"/>
      <c r="CL690" s="16"/>
      <c r="CM690" s="14"/>
      <c r="CN690" s="12" t="s">
        <v>319</v>
      </c>
      <c r="CO690" s="14"/>
      <c r="CP690" s="16"/>
      <c r="CQ690" s="14"/>
      <c r="CR690" s="12" t="s">
        <v>319</v>
      </c>
      <c r="CS690" s="14"/>
      <c r="CT690" s="16"/>
      <c r="CU690" s="14"/>
      <c r="CV690" s="12" t="s">
        <v>320</v>
      </c>
      <c r="CW690" s="14">
        <v>0</v>
      </c>
      <c r="CX690" s="16"/>
      <c r="CY690" s="14"/>
      <c r="CZ690" s="12" t="s">
        <v>320</v>
      </c>
      <c r="DA690" s="14"/>
      <c r="DB690" s="16"/>
      <c r="DC690" s="14"/>
      <c r="DD690" s="12" t="s">
        <v>319</v>
      </c>
      <c r="DE690" s="14"/>
      <c r="DF690" s="16"/>
      <c r="DG690" s="14"/>
      <c r="DH690" s="12" t="s">
        <v>319</v>
      </c>
      <c r="DI690" s="14"/>
      <c r="DJ690" s="16"/>
      <c r="DK690" s="14"/>
      <c r="DL690" s="12" t="s">
        <v>319</v>
      </c>
      <c r="DM690" s="14"/>
      <c r="DN690" s="16"/>
      <c r="DO690" s="14"/>
      <c r="DP690" s="12" t="s">
        <v>319</v>
      </c>
      <c r="DQ690" s="14"/>
      <c r="DR690" s="16"/>
      <c r="DS690" s="14"/>
      <c r="DT690" s="12" t="s">
        <v>319</v>
      </c>
      <c r="DU690" s="14"/>
      <c r="DV690" s="16"/>
      <c r="DW690" s="14"/>
      <c r="DX690" s="12" t="s">
        <v>319</v>
      </c>
      <c r="DY690" s="14"/>
      <c r="DZ690" s="16"/>
      <c r="EA690" s="14"/>
      <c r="EB690" s="12" t="s">
        <v>319</v>
      </c>
      <c r="EC690" s="14"/>
      <c r="ED690" s="16"/>
      <c r="EE690" s="14"/>
      <c r="EF690" s="12"/>
      <c r="EG690" s="12" t="s">
        <v>319</v>
      </c>
      <c r="EH690" s="14"/>
      <c r="EI690" s="16"/>
      <c r="EJ690" s="14"/>
      <c r="EK690" s="14"/>
      <c r="EL690" s="14"/>
      <c r="EM690" s="14">
        <v>0</v>
      </c>
      <c r="EN690" s="14"/>
      <c r="EO690" s="14"/>
      <c r="EP690" s="14"/>
      <c r="EQ690" s="12"/>
      <c r="ER690" s="14"/>
      <c r="ES690" s="16"/>
      <c r="ET690" s="14"/>
      <c r="EU690" s="12"/>
      <c r="EV690" s="14"/>
      <c r="EW690" s="16"/>
      <c r="EX690" s="14"/>
      <c r="EY690" s="12"/>
      <c r="EZ690" s="14"/>
      <c r="FA690" s="16"/>
      <c r="FB690" s="14"/>
      <c r="FC690" s="12"/>
      <c r="FD690" s="14"/>
      <c r="FE690" s="16"/>
      <c r="FF690" s="14"/>
      <c r="FG690" s="12"/>
      <c r="FH690" s="14"/>
      <c r="FI690" s="16"/>
      <c r="FJ690" s="14"/>
      <c r="FK690" s="12"/>
      <c r="FL690" s="14"/>
      <c r="FM690" s="16"/>
      <c r="FN690" s="14"/>
      <c r="FO690" s="12"/>
      <c r="FP690" s="14"/>
      <c r="FQ690" s="16"/>
      <c r="FR690" s="14"/>
      <c r="FS690" s="12"/>
      <c r="FT690" s="14"/>
      <c r="FU690" s="16"/>
      <c r="FV690" s="14"/>
      <c r="FW690" s="12"/>
      <c r="FX690" s="14"/>
      <c r="FY690" s="16"/>
      <c r="FZ690" s="14"/>
      <c r="GA690" s="12"/>
      <c r="GB690" s="14"/>
      <c r="GC690" s="16"/>
      <c r="GD690" s="14"/>
      <c r="GE690" s="12"/>
      <c r="GF690" s="14"/>
      <c r="GG690" s="16"/>
      <c r="GH690" s="14"/>
      <c r="GI690" s="12"/>
      <c r="GJ690" s="14"/>
      <c r="GK690" s="16"/>
      <c r="GL690" s="14"/>
      <c r="GM690" s="12"/>
      <c r="GN690" s="14"/>
      <c r="GO690" s="16"/>
      <c r="GP690" s="14"/>
      <c r="GQ690" s="12"/>
      <c r="GR690" s="14"/>
      <c r="GS690" s="16"/>
      <c r="GT690" s="14"/>
      <c r="GU690" s="12"/>
      <c r="GV690" s="14"/>
      <c r="GW690" s="16"/>
      <c r="GX690" s="14"/>
      <c r="GY690" s="11" t="s">
        <v>320</v>
      </c>
      <c r="GZ690" s="14">
        <v>0</v>
      </c>
      <c r="HA690" s="16">
        <v>1</v>
      </c>
      <c r="HB690" s="14"/>
      <c r="HC690" s="12"/>
      <c r="HD690" s="12"/>
      <c r="HE690" s="14"/>
      <c r="HF690" s="16"/>
      <c r="HG690" s="14"/>
      <c r="HH690" s="12" t="s">
        <v>319</v>
      </c>
      <c r="HI690" s="12"/>
      <c r="HJ690" s="12"/>
      <c r="HK690" s="12" t="s">
        <v>319</v>
      </c>
      <c r="HL690" s="12" t="s">
        <v>319</v>
      </c>
      <c r="HM690" s="12"/>
      <c r="HN690" s="12"/>
      <c r="HO690" s="12"/>
      <c r="HP690" s="12" t="s">
        <v>330</v>
      </c>
      <c r="HQ690" s="12" t="s">
        <v>319</v>
      </c>
      <c r="HR690" s="12"/>
      <c r="HS690" s="12" t="s">
        <v>320</v>
      </c>
      <c r="HT690" s="12" t="s">
        <v>319</v>
      </c>
      <c r="HU690" s="12" t="s">
        <v>319</v>
      </c>
      <c r="HV690" s="12" t="s">
        <v>320</v>
      </c>
      <c r="HW690" s="12" t="s">
        <v>319</v>
      </c>
      <c r="HX690" s="12"/>
      <c r="HY690" s="12"/>
      <c r="HZ690" s="12" t="s">
        <v>363</v>
      </c>
      <c r="IA690" s="12"/>
      <c r="IB690" s="12" t="s">
        <v>667</v>
      </c>
      <c r="IC690" s="12"/>
      <c r="ID690" s="12" t="s">
        <v>477</v>
      </c>
      <c r="IE690" s="12" t="s">
        <v>335</v>
      </c>
      <c r="IF690" s="12" t="s">
        <v>320</v>
      </c>
      <c r="IG690" s="12" t="s">
        <v>320</v>
      </c>
      <c r="IH690" s="12" t="s">
        <v>320</v>
      </c>
      <c r="II690" s="12" t="s">
        <v>320</v>
      </c>
      <c r="IJ690" s="12" t="str">
        <f t="shared" si="431"/>
        <v>2. Sensitive</v>
      </c>
      <c r="IK690" s="12">
        <f t="shared" si="432"/>
        <v>4</v>
      </c>
      <c r="IL690" s="12" t="s">
        <v>336</v>
      </c>
      <c r="IM690" s="12" t="s">
        <v>320</v>
      </c>
      <c r="IN690" s="12" t="s">
        <v>320</v>
      </c>
      <c r="IO690" s="12" t="s">
        <v>320</v>
      </c>
      <c r="IP690" s="12" t="s">
        <v>320</v>
      </c>
      <c r="IQ690" s="12" t="str">
        <f t="shared" si="433"/>
        <v>2. Accommodating</v>
      </c>
      <c r="IR690" s="12">
        <f t="shared" si="434"/>
        <v>4</v>
      </c>
      <c r="IS690" s="12" t="s">
        <v>622</v>
      </c>
      <c r="IT690" s="12" t="s">
        <v>320</v>
      </c>
      <c r="IU690" s="12" t="s">
        <v>320</v>
      </c>
      <c r="IV690" s="12" t="s">
        <v>320</v>
      </c>
      <c r="IW690" s="11" t="str">
        <f t="shared" si="435"/>
        <v>4. Transformative</v>
      </c>
      <c r="IX690" s="12">
        <f t="shared" si="436"/>
        <v>3</v>
      </c>
      <c r="IY690" s="12" t="s">
        <v>338</v>
      </c>
      <c r="IZ690" s="12" t="s">
        <v>339</v>
      </c>
      <c r="JA690" s="12"/>
      <c r="JB690" s="12"/>
      <c r="JC690" s="12" t="s">
        <v>687</v>
      </c>
      <c r="JD690" s="12" t="s">
        <v>384</v>
      </c>
      <c r="JE690" s="12" t="s">
        <v>420</v>
      </c>
      <c r="JF690" s="12"/>
      <c r="JG690" s="12"/>
      <c r="JH690" s="12"/>
      <c r="JI690" s="12"/>
      <c r="JJ690" s="12"/>
      <c r="JK690" s="12"/>
      <c r="JL690" s="12"/>
      <c r="JM690" s="12"/>
      <c r="JN690" s="12"/>
      <c r="JO690" s="12" t="s">
        <v>11167</v>
      </c>
      <c r="JP690" s="15">
        <f t="shared" si="437"/>
        <v>0</v>
      </c>
      <c r="JQ690" s="15">
        <f t="shared" si="438"/>
        <v>0</v>
      </c>
      <c r="JR690" s="279" t="str">
        <f t="shared" si="439"/>
        <v/>
      </c>
      <c r="JS690" s="17" t="str">
        <f t="shared" si="440"/>
        <v/>
      </c>
      <c r="JT690" s="18" t="str">
        <f t="shared" si="441"/>
        <v/>
      </c>
      <c r="JU690" s="280">
        <f t="shared" si="442"/>
        <v>0</v>
      </c>
      <c r="JV690" s="280">
        <f t="shared" si="443"/>
        <v>0</v>
      </c>
      <c r="JW690" s="319">
        <f t="shared" si="444"/>
        <v>1</v>
      </c>
      <c r="JX690" s="15">
        <f t="shared" si="445"/>
        <v>0</v>
      </c>
      <c r="JY690" s="15">
        <f t="shared" si="446"/>
        <v>0</v>
      </c>
      <c r="JZ690" s="19" t="str">
        <f t="shared" si="447"/>
        <v/>
      </c>
      <c r="KA690" s="52">
        <f t="shared" si="448"/>
        <v>1</v>
      </c>
      <c r="KB690" s="15">
        <f t="shared" si="449"/>
        <v>0</v>
      </c>
      <c r="KC690" s="15">
        <f t="shared" si="450"/>
        <v>0</v>
      </c>
      <c r="KD690" s="20" t="str">
        <f t="shared" si="451"/>
        <v/>
      </c>
      <c r="KE690" s="52" t="str">
        <f t="shared" si="452"/>
        <v/>
      </c>
      <c r="KF690" s="15">
        <f t="shared" si="453"/>
        <v>0</v>
      </c>
      <c r="KG690" s="15">
        <f t="shared" si="454"/>
        <v>0</v>
      </c>
      <c r="KH690" s="21" t="str">
        <f t="shared" si="455"/>
        <v/>
      </c>
      <c r="KI690" s="52">
        <f t="shared" si="456"/>
        <v>1</v>
      </c>
      <c r="KJ690" s="15">
        <f t="shared" si="457"/>
        <v>0</v>
      </c>
      <c r="KK690" s="15">
        <f t="shared" si="458"/>
        <v>0</v>
      </c>
      <c r="KL690" s="19" t="str">
        <f t="shared" si="459"/>
        <v/>
      </c>
      <c r="KM690" s="52">
        <f t="shared" si="460"/>
        <v>1</v>
      </c>
      <c r="KN690" s="22">
        <f t="shared" si="461"/>
        <v>0</v>
      </c>
      <c r="KO690" s="22">
        <f t="shared" si="462"/>
        <v>0</v>
      </c>
      <c r="KP690" s="19" t="str">
        <f t="shared" si="463"/>
        <v/>
      </c>
      <c r="KQ690" s="11" t="str">
        <f t="shared" si="464"/>
        <v>2. Sensitive</v>
      </c>
      <c r="KR690" s="11" t="str">
        <f t="shared" si="465"/>
        <v>2. Accommodating</v>
      </c>
      <c r="KS690" s="11" t="str">
        <f t="shared" si="466"/>
        <v>4. Transformative</v>
      </c>
      <c r="KT690" s="11" t="str">
        <f t="shared" si="467"/>
        <v>It did not develop any specific innovation</v>
      </c>
      <c r="KU690" s="11" t="str">
        <f t="shared" si="468"/>
        <v>Moderate advocacy</v>
      </c>
      <c r="KV690" s="11" t="str">
        <f t="shared" si="469"/>
        <v>It took tested solutions to scale on its own</v>
      </c>
      <c r="KW690" s="11" t="str">
        <f t="shared" si="470"/>
        <v>South Sudan - Disasters Emergency Committee Response to the East Africa Crisis - CARE UK Humanitarian Appeal</v>
      </c>
      <c r="KX690" s="11" t="str">
        <f t="shared" si="471"/>
        <v>Disasters Emergency Committee Response to the East Africa Crisis - CARE UK Humanitarian Appeal</v>
      </c>
      <c r="KY690" s="11" t="str">
        <f t="shared" si="472"/>
        <v>South Sudan</v>
      </c>
      <c r="KZ690" s="12">
        <v>690</v>
      </c>
    </row>
    <row r="691" spans="1:312" x14ac:dyDescent="0.3">
      <c r="A691" s="12" t="s">
        <v>11104</v>
      </c>
      <c r="B691" s="12" t="s">
        <v>1874</v>
      </c>
      <c r="C691" s="12"/>
      <c r="D691" s="12" t="s">
        <v>11132</v>
      </c>
      <c r="E691" s="277" t="str">
        <f t="shared" si="430"/>
        <v>South Sudan</v>
      </c>
      <c r="F691" s="12"/>
      <c r="G691" s="12" t="s">
        <v>425</v>
      </c>
      <c r="H691" s="12" t="s">
        <v>310</v>
      </c>
      <c r="I691" s="12" t="s">
        <v>426</v>
      </c>
      <c r="J691" s="281" t="s">
        <v>14742</v>
      </c>
      <c r="K691" s="12"/>
      <c r="L691" s="12"/>
      <c r="M691" s="12"/>
      <c r="N691" s="12"/>
      <c r="O691" s="12"/>
      <c r="P691" s="12"/>
      <c r="Q691" s="12"/>
      <c r="R691" s="12"/>
      <c r="S691" s="12"/>
      <c r="T691" s="12"/>
      <c r="U691" s="12"/>
      <c r="V691" s="12"/>
      <c r="W691" s="12"/>
      <c r="X691" s="12"/>
      <c r="Y691" s="12"/>
      <c r="Z691" s="12"/>
      <c r="AA691" s="12"/>
      <c r="AB691" s="12"/>
      <c r="AC691" s="12"/>
      <c r="AD691" s="12"/>
      <c r="BD691" s="13">
        <v>42795</v>
      </c>
      <c r="BE691" s="13">
        <v>43100</v>
      </c>
      <c r="BF691" s="12"/>
      <c r="BG691" s="12" t="s">
        <v>908</v>
      </c>
      <c r="BH691" s="14">
        <v>1117000</v>
      </c>
      <c r="BI691" s="12" t="s">
        <v>11133</v>
      </c>
      <c r="BJ691" s="12" t="s">
        <v>11134</v>
      </c>
      <c r="BK691" s="12" t="s">
        <v>11135</v>
      </c>
      <c r="BL691" s="12"/>
      <c r="BM691" s="12"/>
      <c r="BN691" s="12"/>
      <c r="BO691" s="12" t="s">
        <v>320</v>
      </c>
      <c r="BP691" s="12" t="s">
        <v>319</v>
      </c>
      <c r="BQ691" s="12" t="s">
        <v>319</v>
      </c>
      <c r="BR691" s="12" t="s">
        <v>11136</v>
      </c>
      <c r="BS691" s="12" t="s">
        <v>357</v>
      </c>
      <c r="BT691" s="12" t="s">
        <v>11137</v>
      </c>
      <c r="BU691" s="12" t="s">
        <v>11138</v>
      </c>
      <c r="BV691" s="14">
        <v>1362</v>
      </c>
      <c r="BW691" s="14">
        <v>1257</v>
      </c>
      <c r="BX691" s="14">
        <v>2619</v>
      </c>
      <c r="BY691" s="14">
        <v>6810</v>
      </c>
      <c r="BZ691" s="14">
        <v>6285</v>
      </c>
      <c r="CA691" s="14">
        <v>13095</v>
      </c>
      <c r="CB691" s="12"/>
      <c r="CD691" s="14"/>
      <c r="CE691" s="14"/>
      <c r="CF691" s="14"/>
      <c r="CG691" s="14"/>
      <c r="CH691" s="14"/>
      <c r="CI691" s="14"/>
      <c r="CJ691" s="12" t="s">
        <v>319</v>
      </c>
      <c r="CK691" s="14"/>
      <c r="CL691" s="16"/>
      <c r="CM691" s="14"/>
      <c r="CN691" s="12" t="s">
        <v>320</v>
      </c>
      <c r="CO691" s="14"/>
      <c r="CP691" s="16"/>
      <c r="CQ691" s="14">
        <v>0</v>
      </c>
      <c r="CR691" s="12" t="s">
        <v>319</v>
      </c>
      <c r="CS691" s="14"/>
      <c r="CT691" s="16"/>
      <c r="CU691" s="14">
        <v>0</v>
      </c>
      <c r="CV691" s="12" t="s">
        <v>320</v>
      </c>
      <c r="CW691" s="14"/>
      <c r="CX691" s="16"/>
      <c r="CY691" s="14"/>
      <c r="CZ691" s="12" t="s">
        <v>320</v>
      </c>
      <c r="DA691" s="14"/>
      <c r="DB691" s="16"/>
      <c r="DC691" s="14"/>
      <c r="DD691" s="12" t="s">
        <v>319</v>
      </c>
      <c r="DE691" s="14"/>
      <c r="DF691" s="16"/>
      <c r="DG691" s="14"/>
      <c r="DH691" s="12" t="s">
        <v>319</v>
      </c>
      <c r="DI691" s="14"/>
      <c r="DJ691" s="16"/>
      <c r="DK691" s="14"/>
      <c r="DL691" s="12"/>
      <c r="DM691" s="14"/>
      <c r="DN691" s="16"/>
      <c r="DO691" s="14"/>
      <c r="DP691" s="12" t="s">
        <v>319</v>
      </c>
      <c r="DQ691" s="14"/>
      <c r="DR691" s="16"/>
      <c r="DS691" s="14"/>
      <c r="DT691" s="12" t="s">
        <v>319</v>
      </c>
      <c r="DU691" s="14"/>
      <c r="DV691" s="16"/>
      <c r="DW691" s="14"/>
      <c r="DX691" s="12" t="s">
        <v>319</v>
      </c>
      <c r="DY691" s="14"/>
      <c r="DZ691" s="16"/>
      <c r="EA691" s="14"/>
      <c r="EB691" s="12" t="s">
        <v>319</v>
      </c>
      <c r="EC691" s="14"/>
      <c r="ED691" s="16"/>
      <c r="EE691" s="14"/>
      <c r="EF691" s="12"/>
      <c r="EG691" s="12"/>
      <c r="EH691" s="14"/>
      <c r="EI691" s="16"/>
      <c r="EJ691" s="14"/>
      <c r="EK691" s="14"/>
      <c r="EL691" s="14"/>
      <c r="EM691" s="14"/>
      <c r="EN691" s="14"/>
      <c r="EO691" s="14"/>
      <c r="EP691" s="14"/>
      <c r="EQ691" s="12"/>
      <c r="ER691" s="14"/>
      <c r="ES691" s="16"/>
      <c r="ET691" s="14"/>
      <c r="EU691" s="12"/>
      <c r="EV691" s="14"/>
      <c r="EW691" s="16"/>
      <c r="EX691" s="14"/>
      <c r="EY691" s="12"/>
      <c r="EZ691" s="14"/>
      <c r="FA691" s="16"/>
      <c r="FB691" s="14"/>
      <c r="FC691" s="12"/>
      <c r="FD691" s="14"/>
      <c r="FE691" s="16"/>
      <c r="FF691" s="14"/>
      <c r="FG691" s="12"/>
      <c r="FH691" s="14"/>
      <c r="FI691" s="16"/>
      <c r="FJ691" s="14"/>
      <c r="FK691" s="12"/>
      <c r="FL691" s="14"/>
      <c r="FM691" s="16"/>
      <c r="FN691" s="14"/>
      <c r="FO691" s="12"/>
      <c r="FP691" s="14"/>
      <c r="FQ691" s="16"/>
      <c r="FR691" s="14"/>
      <c r="FS691" s="12"/>
      <c r="FT691" s="14"/>
      <c r="FU691" s="16"/>
      <c r="FV691" s="14"/>
      <c r="FW691" s="12"/>
      <c r="FX691" s="14"/>
      <c r="FY691" s="16"/>
      <c r="FZ691" s="14"/>
      <c r="GA691" s="12"/>
      <c r="GB691" s="14"/>
      <c r="GC691" s="16"/>
      <c r="GD691" s="14"/>
      <c r="GE691" s="12"/>
      <c r="GF691" s="14"/>
      <c r="GG691" s="16"/>
      <c r="GH691" s="14"/>
      <c r="GI691" s="12"/>
      <c r="GJ691" s="14"/>
      <c r="GK691" s="16"/>
      <c r="GL691" s="14"/>
      <c r="GM691" s="12"/>
      <c r="GN691" s="14"/>
      <c r="GO691" s="16"/>
      <c r="GP691" s="14"/>
      <c r="GQ691" s="12"/>
      <c r="GR691" s="14"/>
      <c r="GS691" s="16"/>
      <c r="GT691" s="14"/>
      <c r="GU691" s="12"/>
      <c r="GV691" s="14"/>
      <c r="GW691" s="16"/>
      <c r="GX691" s="14"/>
      <c r="GY691" s="12"/>
      <c r="GZ691" s="14"/>
      <c r="HA691" s="16"/>
      <c r="HB691" s="14"/>
      <c r="HC691" s="12"/>
      <c r="HD691" s="12"/>
      <c r="HE691" s="14"/>
      <c r="HF691" s="16"/>
      <c r="HG691" s="14"/>
      <c r="HH691" s="12" t="s">
        <v>319</v>
      </c>
      <c r="HI691" s="12"/>
      <c r="HJ691" s="12"/>
      <c r="HK691" s="12" t="s">
        <v>319</v>
      </c>
      <c r="HL691" s="12" t="s">
        <v>319</v>
      </c>
      <c r="HM691" s="12"/>
      <c r="HN691" s="12"/>
      <c r="HO691" s="12"/>
      <c r="HP691" s="12" t="s">
        <v>330</v>
      </c>
      <c r="HQ691" s="12" t="s">
        <v>320</v>
      </c>
      <c r="HR691" s="12" t="s">
        <v>320</v>
      </c>
      <c r="HS691" s="12" t="s">
        <v>320</v>
      </c>
      <c r="HT691" s="12" t="s">
        <v>320</v>
      </c>
      <c r="HU691" s="12" t="s">
        <v>320</v>
      </c>
      <c r="HV691" s="12" t="s">
        <v>319</v>
      </c>
      <c r="HW691" s="12" t="s">
        <v>319</v>
      </c>
      <c r="HX691" s="12"/>
      <c r="HY691" s="12"/>
      <c r="HZ691" s="12" t="s">
        <v>394</v>
      </c>
      <c r="IA691" s="12" t="s">
        <v>11139</v>
      </c>
      <c r="IB691" s="12" t="s">
        <v>667</v>
      </c>
      <c r="IC691" s="12"/>
      <c r="ID691" s="12" t="s">
        <v>477</v>
      </c>
      <c r="IE691" s="12" t="s">
        <v>478</v>
      </c>
      <c r="IF691" s="12" t="s">
        <v>320</v>
      </c>
      <c r="IG691" s="12" t="s">
        <v>320</v>
      </c>
      <c r="IH691" s="12" t="s">
        <v>320</v>
      </c>
      <c r="II691" s="12" t="s">
        <v>320</v>
      </c>
      <c r="IJ691" s="12" t="str">
        <f t="shared" si="431"/>
        <v>4. Transformative</v>
      </c>
      <c r="IK691" s="12">
        <f t="shared" si="432"/>
        <v>4</v>
      </c>
      <c r="IL691" s="12" t="s">
        <v>336</v>
      </c>
      <c r="IM691" s="12" t="s">
        <v>320</v>
      </c>
      <c r="IN691" s="12" t="s">
        <v>320</v>
      </c>
      <c r="IO691" s="12" t="s">
        <v>320</v>
      </c>
      <c r="IP691" s="12" t="s">
        <v>320</v>
      </c>
      <c r="IQ691" s="12" t="str">
        <f t="shared" si="433"/>
        <v>2. Accommodating</v>
      </c>
      <c r="IR691" s="12">
        <f t="shared" si="434"/>
        <v>4</v>
      </c>
      <c r="IS691" s="12" t="s">
        <v>337</v>
      </c>
      <c r="IT691" s="12" t="s">
        <v>320</v>
      </c>
      <c r="IU691" s="12" t="s">
        <v>320</v>
      </c>
      <c r="IV691" s="12" t="s">
        <v>320</v>
      </c>
      <c r="IW691" s="11" t="str">
        <f t="shared" si="435"/>
        <v>2. Sensitive</v>
      </c>
      <c r="IX691" s="12">
        <f t="shared" si="436"/>
        <v>3</v>
      </c>
      <c r="IY691" s="12" t="s">
        <v>419</v>
      </c>
      <c r="IZ691" s="12" t="s">
        <v>339</v>
      </c>
      <c r="JA691" s="12"/>
      <c r="JB691" s="12" t="s">
        <v>831</v>
      </c>
      <c r="JC691" s="12" t="s">
        <v>433</v>
      </c>
      <c r="JD691" s="12"/>
      <c r="JE691" s="12" t="s">
        <v>420</v>
      </c>
      <c r="JF691" s="12"/>
      <c r="JG691" s="12"/>
      <c r="JH691" s="12"/>
      <c r="JI691" s="12"/>
      <c r="JJ691" s="12"/>
      <c r="JK691" s="12" t="s">
        <v>11140</v>
      </c>
      <c r="JL691" s="12" t="s">
        <v>11141</v>
      </c>
      <c r="JM691" s="12" t="s">
        <v>11142</v>
      </c>
      <c r="JN691" s="12" t="s">
        <v>11143</v>
      </c>
      <c r="JO691" s="12" t="s">
        <v>11144</v>
      </c>
      <c r="JP691" s="15">
        <f t="shared" si="437"/>
        <v>0</v>
      </c>
      <c r="JQ691" s="15">
        <f t="shared" si="438"/>
        <v>0</v>
      </c>
      <c r="JR691" s="279" t="str">
        <f t="shared" si="439"/>
        <v/>
      </c>
      <c r="JS691" s="17" t="str">
        <f t="shared" si="440"/>
        <v/>
      </c>
      <c r="JT691" s="18" t="str">
        <f t="shared" si="441"/>
        <v/>
      </c>
      <c r="JU691" s="280">
        <f t="shared" si="442"/>
        <v>0</v>
      </c>
      <c r="JV691" s="280">
        <f t="shared" si="443"/>
        <v>0</v>
      </c>
      <c r="JW691" s="319">
        <f t="shared" si="444"/>
        <v>1</v>
      </c>
      <c r="JX691" s="15">
        <f t="shared" si="445"/>
        <v>0</v>
      </c>
      <c r="JY691" s="15">
        <f t="shared" si="446"/>
        <v>0</v>
      </c>
      <c r="JZ691" s="19" t="str">
        <f t="shared" si="447"/>
        <v/>
      </c>
      <c r="KA691" s="52">
        <f t="shared" si="448"/>
        <v>1</v>
      </c>
      <c r="KB691" s="15">
        <f t="shared" si="449"/>
        <v>0</v>
      </c>
      <c r="KC691" s="15">
        <f t="shared" si="450"/>
        <v>0</v>
      </c>
      <c r="KD691" s="20" t="str">
        <f t="shared" si="451"/>
        <v/>
      </c>
      <c r="KE691" s="52" t="str">
        <f t="shared" si="452"/>
        <v/>
      </c>
      <c r="KF691" s="15">
        <f t="shared" si="453"/>
        <v>0</v>
      </c>
      <c r="KG691" s="15">
        <f t="shared" si="454"/>
        <v>0</v>
      </c>
      <c r="KH691" s="21" t="str">
        <f t="shared" si="455"/>
        <v/>
      </c>
      <c r="KI691" s="52">
        <f t="shared" si="456"/>
        <v>1</v>
      </c>
      <c r="KJ691" s="15">
        <f t="shared" si="457"/>
        <v>0</v>
      </c>
      <c r="KK691" s="15">
        <f t="shared" si="458"/>
        <v>0</v>
      </c>
      <c r="KL691" s="19" t="str">
        <f t="shared" si="459"/>
        <v/>
      </c>
      <c r="KM691" s="52" t="str">
        <f t="shared" si="460"/>
        <v/>
      </c>
      <c r="KN691" s="22">
        <f t="shared" si="461"/>
        <v>0</v>
      </c>
      <c r="KO691" s="22">
        <f t="shared" si="462"/>
        <v>0</v>
      </c>
      <c r="KP691" s="19" t="str">
        <f t="shared" si="463"/>
        <v/>
      </c>
      <c r="KQ691" s="11" t="str">
        <f t="shared" si="464"/>
        <v>4. Transformative</v>
      </c>
      <c r="KR691" s="11" t="str">
        <f t="shared" si="465"/>
        <v>2. Accommodating</v>
      </c>
      <c r="KS691" s="11" t="str">
        <f t="shared" si="466"/>
        <v>2. Sensitive</v>
      </c>
      <c r="KT691" s="11" t="str">
        <f t="shared" si="467"/>
        <v>It tested new ways for fighting poverty, but did not measure results of innovation</v>
      </c>
      <c r="KU691" s="11" t="str">
        <f t="shared" si="468"/>
        <v>Moderate advocacy</v>
      </c>
      <c r="KV691" s="11" t="str">
        <f t="shared" si="469"/>
        <v>It took tested solutions to scale on its own</v>
      </c>
      <c r="KW691" s="11" t="str">
        <f t="shared" si="470"/>
        <v>South Sudan - Dutch NGO South Sudan Joint Response 3 (SSJR3)</v>
      </c>
      <c r="KX691" s="11" t="str">
        <f t="shared" si="471"/>
        <v>Dutch NGO South Sudan Joint Response 3 (SSJR3)</v>
      </c>
      <c r="KY691" s="11" t="str">
        <f t="shared" si="472"/>
        <v>South Sudan</v>
      </c>
      <c r="KZ691" s="12">
        <v>691</v>
      </c>
    </row>
    <row r="692" spans="1:312" x14ac:dyDescent="0.3">
      <c r="A692" s="12" t="s">
        <v>11104</v>
      </c>
      <c r="B692" s="12" t="s">
        <v>1874</v>
      </c>
      <c r="C692" s="12"/>
      <c r="D692" s="12" t="s">
        <v>11186</v>
      </c>
      <c r="E692" s="277" t="str">
        <f t="shared" si="430"/>
        <v>South Sudan</v>
      </c>
      <c r="F692" s="12"/>
      <c r="G692" s="12" t="s">
        <v>379</v>
      </c>
      <c r="H692" s="12" t="s">
        <v>380</v>
      </c>
      <c r="I692" s="12" t="s">
        <v>381</v>
      </c>
      <c r="J692" s="281" t="s">
        <v>14583</v>
      </c>
      <c r="K692" s="12"/>
      <c r="L692" s="12"/>
      <c r="M692" s="12"/>
      <c r="N692" s="12"/>
      <c r="O692" s="12"/>
      <c r="P692" s="12"/>
      <c r="Q692" s="12"/>
      <c r="R692" s="12"/>
      <c r="S692" s="12"/>
      <c r="T692" s="12"/>
      <c r="U692" s="12"/>
      <c r="V692" s="12"/>
      <c r="W692" s="12"/>
      <c r="X692" s="12"/>
      <c r="Y692" s="12"/>
      <c r="Z692" s="12"/>
      <c r="AA692" s="12"/>
      <c r="AB692" s="12"/>
      <c r="AC692" s="12"/>
      <c r="AD692" s="12"/>
      <c r="BD692" s="13">
        <v>42840</v>
      </c>
      <c r="BE692" s="13">
        <v>42932</v>
      </c>
      <c r="BF692" s="13">
        <v>42993</v>
      </c>
      <c r="BG692" s="12" t="s">
        <v>908</v>
      </c>
      <c r="BH692" s="14">
        <v>108158</v>
      </c>
      <c r="BI692" s="12" t="s">
        <v>11187</v>
      </c>
      <c r="BJ692" s="12" t="s">
        <v>11188</v>
      </c>
      <c r="BK692" s="12" t="s">
        <v>11189</v>
      </c>
      <c r="BL692" s="12" t="s">
        <v>11190</v>
      </c>
      <c r="BM692" s="12" t="s">
        <v>8688</v>
      </c>
      <c r="BN692" s="12" t="s">
        <v>11147</v>
      </c>
      <c r="BO692" s="12" t="s">
        <v>320</v>
      </c>
      <c r="BP692" s="11" t="s">
        <v>320</v>
      </c>
      <c r="BQ692" s="12" t="s">
        <v>320</v>
      </c>
      <c r="BR692" s="12" t="s">
        <v>11148</v>
      </c>
      <c r="BS692" s="12" t="s">
        <v>322</v>
      </c>
      <c r="BT692" s="12" t="s">
        <v>11191</v>
      </c>
      <c r="BU692" s="12" t="s">
        <v>11111</v>
      </c>
      <c r="BV692" s="14">
        <v>3448</v>
      </c>
      <c r="BW692" s="14">
        <v>1478</v>
      </c>
      <c r="BX692" s="14">
        <v>4926</v>
      </c>
      <c r="BY692" s="14">
        <v>17240</v>
      </c>
      <c r="BZ692" s="14">
        <v>7390</v>
      </c>
      <c r="CA692" s="14">
        <v>24630</v>
      </c>
      <c r="CB692" s="12" t="s">
        <v>11192</v>
      </c>
      <c r="CD692" s="14">
        <v>3448</v>
      </c>
      <c r="CE692" s="14">
        <v>1478</v>
      </c>
      <c r="CF692" s="14">
        <v>4926</v>
      </c>
      <c r="CG692" s="14">
        <v>17240</v>
      </c>
      <c r="CH692" s="14">
        <v>7390</v>
      </c>
      <c r="CI692" s="14">
        <v>24630</v>
      </c>
      <c r="CJ692" s="12" t="s">
        <v>319</v>
      </c>
      <c r="CK692" s="14"/>
      <c r="CL692" s="16"/>
      <c r="CM692" s="14"/>
      <c r="CN692" s="12" t="s">
        <v>319</v>
      </c>
      <c r="CO692" s="14"/>
      <c r="CP692" s="16"/>
      <c r="CQ692" s="14"/>
      <c r="CR692" s="12" t="s">
        <v>319</v>
      </c>
      <c r="CS692" s="14"/>
      <c r="CT692" s="16"/>
      <c r="CU692" s="14"/>
      <c r="CV692" s="12" t="s">
        <v>320</v>
      </c>
      <c r="CW692" s="14">
        <v>4926</v>
      </c>
      <c r="CX692" s="16">
        <v>0.7</v>
      </c>
      <c r="CY692" s="14"/>
      <c r="CZ692" s="12" t="s">
        <v>320</v>
      </c>
      <c r="DA692" s="14"/>
      <c r="DB692" s="16"/>
      <c r="DC692" s="14"/>
      <c r="DD692" s="12" t="s">
        <v>319</v>
      </c>
      <c r="DE692" s="14"/>
      <c r="DF692" s="16"/>
      <c r="DG692" s="14"/>
      <c r="DH692" s="12" t="s">
        <v>319</v>
      </c>
      <c r="DI692" s="14"/>
      <c r="DJ692" s="16"/>
      <c r="DK692" s="14"/>
      <c r="DL692" s="11" t="s">
        <v>320</v>
      </c>
      <c r="DM692" s="14">
        <v>4926</v>
      </c>
      <c r="DN692" s="16">
        <v>0.7</v>
      </c>
      <c r="DO692" s="14"/>
      <c r="DP692" s="12" t="s">
        <v>319</v>
      </c>
      <c r="DQ692" s="14"/>
      <c r="DR692" s="16"/>
      <c r="DS692" s="14"/>
      <c r="DT692" s="12" t="s">
        <v>319</v>
      </c>
      <c r="DU692" s="14"/>
      <c r="DV692" s="16"/>
      <c r="DW692" s="14"/>
      <c r="DX692" s="12" t="s">
        <v>319</v>
      </c>
      <c r="DY692" s="14"/>
      <c r="DZ692" s="16"/>
      <c r="EA692" s="14"/>
      <c r="EB692" s="12" t="s">
        <v>319</v>
      </c>
      <c r="EC692" s="14"/>
      <c r="ED692" s="16"/>
      <c r="EE692" s="14"/>
      <c r="EF692" s="12"/>
      <c r="EG692" s="12" t="s">
        <v>319</v>
      </c>
      <c r="EH692" s="14"/>
      <c r="EI692" s="16"/>
      <c r="EJ692" s="14"/>
      <c r="EK692" s="14">
        <v>5418</v>
      </c>
      <c r="EL692" s="14">
        <v>294</v>
      </c>
      <c r="EM692" s="14">
        <v>5712</v>
      </c>
      <c r="EN692" s="14"/>
      <c r="EO692" s="14"/>
      <c r="EP692" s="14"/>
      <c r="EQ692" s="12"/>
      <c r="ER692" s="14"/>
      <c r="ES692" s="16"/>
      <c r="ET692" s="14"/>
      <c r="EU692" s="12"/>
      <c r="EV692" s="14"/>
      <c r="EW692" s="16"/>
      <c r="EX692" s="14"/>
      <c r="EY692" s="12"/>
      <c r="EZ692" s="14"/>
      <c r="FA692" s="16"/>
      <c r="FB692" s="14"/>
      <c r="FC692" s="12"/>
      <c r="FD692" s="14"/>
      <c r="FE692" s="16"/>
      <c r="FF692" s="14"/>
      <c r="FG692" s="12"/>
      <c r="FH692" s="14"/>
      <c r="FI692" s="16"/>
      <c r="FJ692" s="14"/>
      <c r="FK692" s="12"/>
      <c r="FL692" s="14"/>
      <c r="FM692" s="16"/>
      <c r="FN692" s="14"/>
      <c r="FO692" s="12"/>
      <c r="FP692" s="14"/>
      <c r="FQ692" s="16"/>
      <c r="FR692" s="14"/>
      <c r="FS692" s="12"/>
      <c r="FT692" s="14"/>
      <c r="FU692" s="16"/>
      <c r="FV692" s="14"/>
      <c r="FW692" s="12"/>
      <c r="FX692" s="14"/>
      <c r="FY692" s="16"/>
      <c r="FZ692" s="14"/>
      <c r="GA692" s="12"/>
      <c r="GB692" s="14"/>
      <c r="GC692" s="16"/>
      <c r="GD692" s="14"/>
      <c r="GE692" s="12"/>
      <c r="GF692" s="14"/>
      <c r="GG692" s="16"/>
      <c r="GH692" s="14"/>
      <c r="GI692" s="12"/>
      <c r="GJ692" s="14"/>
      <c r="GK692" s="16"/>
      <c r="GL692" s="14"/>
      <c r="GM692" s="12"/>
      <c r="GN692" s="14"/>
      <c r="GO692" s="16"/>
      <c r="GP692" s="14"/>
      <c r="GQ692" s="12"/>
      <c r="GR692" s="14"/>
      <c r="GS692" s="16"/>
      <c r="GT692" s="14"/>
      <c r="GU692" s="12"/>
      <c r="GV692" s="14"/>
      <c r="GW692" s="16"/>
      <c r="GX692" s="14"/>
      <c r="GY692" s="11" t="s">
        <v>320</v>
      </c>
      <c r="GZ692" s="14">
        <v>5418</v>
      </c>
      <c r="HA692" s="16">
        <v>1</v>
      </c>
      <c r="HB692" s="14"/>
      <c r="HC692" s="12"/>
      <c r="HD692" s="12"/>
      <c r="HE692" s="14"/>
      <c r="HF692" s="16"/>
      <c r="HG692" s="14"/>
      <c r="HH692" s="12" t="s">
        <v>319</v>
      </c>
      <c r="HI692" s="12"/>
      <c r="HJ692" s="12"/>
      <c r="HK692" s="12" t="s">
        <v>319</v>
      </c>
      <c r="HL692" s="12" t="s">
        <v>319</v>
      </c>
      <c r="HM692" s="12"/>
      <c r="HN692" s="12"/>
      <c r="HO692" s="12" t="s">
        <v>11193</v>
      </c>
      <c r="HP692" s="12" t="s">
        <v>418</v>
      </c>
      <c r="HQ692" s="12" t="s">
        <v>319</v>
      </c>
      <c r="HR692" s="12" t="s">
        <v>319</v>
      </c>
      <c r="HS692" s="12" t="s">
        <v>319</v>
      </c>
      <c r="HT692" s="12" t="s">
        <v>319</v>
      </c>
      <c r="HU692" s="12" t="s">
        <v>319</v>
      </c>
      <c r="HV692" s="12" t="s">
        <v>319</v>
      </c>
      <c r="HW692" s="12" t="s">
        <v>319</v>
      </c>
      <c r="HX692" s="12"/>
      <c r="HY692" s="12"/>
      <c r="HZ692" s="12" t="s">
        <v>363</v>
      </c>
      <c r="IA692" s="12"/>
      <c r="IB692" s="12" t="s">
        <v>333</v>
      </c>
      <c r="IC692" s="12"/>
      <c r="ID692" s="12" t="s">
        <v>364</v>
      </c>
      <c r="IE692" s="12" t="s">
        <v>335</v>
      </c>
      <c r="IF692" s="12" t="s">
        <v>320</v>
      </c>
      <c r="IG692" s="12" t="s">
        <v>320</v>
      </c>
      <c r="IH692" s="12" t="s">
        <v>320</v>
      </c>
      <c r="II692" s="12" t="s">
        <v>320</v>
      </c>
      <c r="IJ692" s="12" t="str">
        <f t="shared" si="431"/>
        <v>2. Sensitive</v>
      </c>
      <c r="IK692" s="12">
        <f t="shared" si="432"/>
        <v>4</v>
      </c>
      <c r="IL692" s="12" t="s">
        <v>336</v>
      </c>
      <c r="IM692" s="12" t="s">
        <v>320</v>
      </c>
      <c r="IN692" s="12" t="s">
        <v>319</v>
      </c>
      <c r="IO692" s="12" t="s">
        <v>320</v>
      </c>
      <c r="IP692" s="12" t="s">
        <v>320</v>
      </c>
      <c r="IQ692" s="12" t="str">
        <f t="shared" si="433"/>
        <v>2. Accommodating</v>
      </c>
      <c r="IR692" s="12">
        <f t="shared" si="434"/>
        <v>3</v>
      </c>
      <c r="IS692" s="12" t="s">
        <v>622</v>
      </c>
      <c r="IT692" s="12" t="s">
        <v>319</v>
      </c>
      <c r="IU692" s="12" t="s">
        <v>320</v>
      </c>
      <c r="IV692" s="12" t="s">
        <v>320</v>
      </c>
      <c r="IW692" s="11" t="str">
        <f t="shared" si="435"/>
        <v>3. Responsive</v>
      </c>
      <c r="IX692" s="12">
        <f t="shared" si="436"/>
        <v>2</v>
      </c>
      <c r="IY692" s="12" t="s">
        <v>419</v>
      </c>
      <c r="IZ692" s="12" t="s">
        <v>339</v>
      </c>
      <c r="JA692" s="12"/>
      <c r="JB692" s="11" t="s">
        <v>384</v>
      </c>
      <c r="JC692" s="12" t="s">
        <v>384</v>
      </c>
      <c r="JD692" s="12" t="s">
        <v>384</v>
      </c>
      <c r="JE692" s="12" t="s">
        <v>420</v>
      </c>
      <c r="JF692" s="12"/>
      <c r="JG692" s="12"/>
      <c r="JH692" s="12" t="s">
        <v>6587</v>
      </c>
      <c r="JI692" s="12" t="s">
        <v>11194</v>
      </c>
      <c r="JJ692" s="12"/>
      <c r="JK692" s="12" t="s">
        <v>11195</v>
      </c>
      <c r="JL692" s="12" t="s">
        <v>11196</v>
      </c>
      <c r="JM692" s="12"/>
      <c r="JN692" s="12" t="s">
        <v>11197</v>
      </c>
      <c r="JO692" s="12" t="s">
        <v>11198</v>
      </c>
      <c r="JP692" s="15">
        <f t="shared" si="437"/>
        <v>5712</v>
      </c>
      <c r="JQ692" s="15">
        <f t="shared" si="438"/>
        <v>24630</v>
      </c>
      <c r="JR692" s="279">
        <f t="shared" si="439"/>
        <v>4.3119747899159666</v>
      </c>
      <c r="JS692" s="17">
        <f t="shared" si="440"/>
        <v>0.94852941176470584</v>
      </c>
      <c r="JT692" s="18">
        <f t="shared" si="441"/>
        <v>0.6999593991067804</v>
      </c>
      <c r="JU692" s="280">
        <f t="shared" si="442"/>
        <v>5418</v>
      </c>
      <c r="JV692" s="280">
        <f t="shared" si="443"/>
        <v>17240</v>
      </c>
      <c r="JW692" s="319">
        <f t="shared" si="444"/>
        <v>1</v>
      </c>
      <c r="JX692" s="15">
        <f t="shared" si="445"/>
        <v>4926</v>
      </c>
      <c r="JY692" s="15">
        <f t="shared" si="446"/>
        <v>24630</v>
      </c>
      <c r="JZ692" s="19">
        <f t="shared" si="447"/>
        <v>5</v>
      </c>
      <c r="KA692" s="52">
        <f t="shared" si="448"/>
        <v>1</v>
      </c>
      <c r="KB692" s="15">
        <f t="shared" si="449"/>
        <v>4926</v>
      </c>
      <c r="KC692" s="15">
        <f t="shared" si="450"/>
        <v>0</v>
      </c>
      <c r="KD692" s="20">
        <f t="shared" si="451"/>
        <v>0</v>
      </c>
      <c r="KE692" s="52" t="str">
        <f t="shared" si="452"/>
        <v/>
      </c>
      <c r="KF692" s="15">
        <f t="shared" si="453"/>
        <v>0</v>
      </c>
      <c r="KG692" s="15">
        <f t="shared" si="454"/>
        <v>0</v>
      </c>
      <c r="KH692" s="21" t="str">
        <f t="shared" si="455"/>
        <v/>
      </c>
      <c r="KI692" s="52">
        <f t="shared" si="456"/>
        <v>1</v>
      </c>
      <c r="KJ692" s="15">
        <f t="shared" si="457"/>
        <v>0</v>
      </c>
      <c r="KK692" s="15">
        <f t="shared" si="458"/>
        <v>0</v>
      </c>
      <c r="KL692" s="19" t="str">
        <f t="shared" si="459"/>
        <v/>
      </c>
      <c r="KM692" s="52">
        <f t="shared" si="460"/>
        <v>1</v>
      </c>
      <c r="KN692" s="22">
        <f t="shared" si="461"/>
        <v>5418</v>
      </c>
      <c r="KO692" s="22">
        <f t="shared" si="462"/>
        <v>0</v>
      </c>
      <c r="KP692" s="19">
        <f t="shared" si="463"/>
        <v>0</v>
      </c>
      <c r="KQ692" s="11" t="str">
        <f t="shared" si="464"/>
        <v>2. Sensitive</v>
      </c>
      <c r="KR692" s="11" t="str">
        <f t="shared" si="465"/>
        <v>2. Accommodating</v>
      </c>
      <c r="KS692" s="11" t="str">
        <f t="shared" si="466"/>
        <v>3. Responsive</v>
      </c>
      <c r="KT692" s="11" t="str">
        <f t="shared" si="467"/>
        <v>It did not develop any specific innovation</v>
      </c>
      <c r="KU692" s="11" t="str">
        <f t="shared" si="468"/>
        <v>Little or no advocacy</v>
      </c>
      <c r="KV692" s="11" t="str">
        <f t="shared" si="469"/>
        <v>It did not take tested solutions to scale</v>
      </c>
      <c r="KW692" s="11" t="str">
        <f t="shared" si="470"/>
        <v>South Sudan - Emergency Livelihoods Support to Most Vulnerable Households in Jonglei and Upper Nile</v>
      </c>
      <c r="KX692" s="11" t="str">
        <f t="shared" si="471"/>
        <v>Emergency Livelihoods Support to Most Vulnerable Households in Jonglei and Upper Nile</v>
      </c>
      <c r="KY692" s="11" t="str">
        <f t="shared" si="472"/>
        <v>South Sudan</v>
      </c>
      <c r="KZ692" s="12">
        <v>692</v>
      </c>
    </row>
    <row r="693" spans="1:312" x14ac:dyDescent="0.3">
      <c r="A693" s="12" t="s">
        <v>11104</v>
      </c>
      <c r="B693" s="12" t="s">
        <v>1874</v>
      </c>
      <c r="C693" s="12"/>
      <c r="D693" s="12" t="s">
        <v>11199</v>
      </c>
      <c r="E693" s="277" t="str">
        <f t="shared" si="430"/>
        <v>South Sudan</v>
      </c>
      <c r="F693" s="12"/>
      <c r="G693" s="12" t="s">
        <v>379</v>
      </c>
      <c r="H693" s="12" t="s">
        <v>380</v>
      </c>
      <c r="I693" s="12" t="s">
        <v>381</v>
      </c>
      <c r="J693" s="281" t="s">
        <v>14583</v>
      </c>
      <c r="K693" s="12"/>
      <c r="L693" s="12"/>
      <c r="M693" s="12"/>
      <c r="N693" s="12"/>
      <c r="O693" s="12"/>
      <c r="P693" s="12"/>
      <c r="Q693" s="12"/>
      <c r="R693" s="12"/>
      <c r="S693" s="12"/>
      <c r="T693" s="12"/>
      <c r="U693" s="12"/>
      <c r="V693" s="12"/>
      <c r="W693" s="12"/>
      <c r="X693" s="12"/>
      <c r="Y693" s="12"/>
      <c r="Z693" s="12"/>
      <c r="AA693" s="12"/>
      <c r="AB693" s="12"/>
      <c r="AC693" s="12"/>
      <c r="AD693" s="12"/>
      <c r="BD693" s="13">
        <v>42685</v>
      </c>
      <c r="BE693" s="13">
        <v>42855</v>
      </c>
      <c r="BF693" s="13">
        <v>42855</v>
      </c>
      <c r="BG693" s="12" t="s">
        <v>908</v>
      </c>
      <c r="BH693" s="14">
        <v>149246</v>
      </c>
      <c r="BI693" s="12" t="s">
        <v>11187</v>
      </c>
      <c r="BJ693" s="12" t="s">
        <v>11188</v>
      </c>
      <c r="BK693" s="12" t="s">
        <v>11189</v>
      </c>
      <c r="BL693" s="12" t="s">
        <v>11190</v>
      </c>
      <c r="BM693" s="12" t="s">
        <v>8688</v>
      </c>
      <c r="BN693" s="12" t="s">
        <v>11147</v>
      </c>
      <c r="BO693" s="12" t="s">
        <v>320</v>
      </c>
      <c r="BP693" s="11" t="s">
        <v>320</v>
      </c>
      <c r="BQ693" s="12" t="s">
        <v>320</v>
      </c>
      <c r="BR693" s="12" t="s">
        <v>11148</v>
      </c>
      <c r="BS693" s="12" t="s">
        <v>322</v>
      </c>
      <c r="BT693" s="12" t="s">
        <v>11200</v>
      </c>
      <c r="BU693" s="12" t="s">
        <v>11111</v>
      </c>
      <c r="BV693" s="14">
        <v>6860</v>
      </c>
      <c r="BW693" s="14">
        <v>2940</v>
      </c>
      <c r="BX693" s="14">
        <v>9800</v>
      </c>
      <c r="BY693" s="14">
        <v>34300</v>
      </c>
      <c r="BZ693" s="14">
        <v>14700</v>
      </c>
      <c r="CA693" s="14">
        <v>49000</v>
      </c>
      <c r="CB693" s="12" t="s">
        <v>11192</v>
      </c>
      <c r="CD693" s="14">
        <v>6860</v>
      </c>
      <c r="CE693" s="14">
        <v>2940</v>
      </c>
      <c r="CF693" s="14">
        <v>9800</v>
      </c>
      <c r="CG693" s="14">
        <v>34300</v>
      </c>
      <c r="CH693" s="14">
        <v>14700</v>
      </c>
      <c r="CI693" s="14">
        <v>49000</v>
      </c>
      <c r="CJ693" s="12" t="s">
        <v>319</v>
      </c>
      <c r="CK693" s="14"/>
      <c r="CL693" s="16"/>
      <c r="CM693" s="14"/>
      <c r="CN693" s="12" t="s">
        <v>319</v>
      </c>
      <c r="CO693" s="14"/>
      <c r="CP693" s="16"/>
      <c r="CQ693" s="14"/>
      <c r="CR693" s="12" t="s">
        <v>319</v>
      </c>
      <c r="CS693" s="14"/>
      <c r="CT693" s="16"/>
      <c r="CU693" s="14"/>
      <c r="CV693" s="12" t="s">
        <v>320</v>
      </c>
      <c r="CW693" s="14">
        <v>9800</v>
      </c>
      <c r="CX693" s="16">
        <v>0.7</v>
      </c>
      <c r="CY693" s="14"/>
      <c r="CZ693" s="12" t="s">
        <v>320</v>
      </c>
      <c r="DA693" s="14"/>
      <c r="DB693" s="16"/>
      <c r="DC693" s="14"/>
      <c r="DD693" s="12" t="s">
        <v>319</v>
      </c>
      <c r="DE693" s="14"/>
      <c r="DF693" s="16"/>
      <c r="DG693" s="14"/>
      <c r="DH693" s="12" t="s">
        <v>319</v>
      </c>
      <c r="DI693" s="14"/>
      <c r="DJ693" s="16"/>
      <c r="DK693" s="14"/>
      <c r="DL693" s="11" t="s">
        <v>320</v>
      </c>
      <c r="DM693" s="14">
        <v>9800</v>
      </c>
      <c r="DN693" s="16">
        <v>0.7</v>
      </c>
      <c r="DO693" s="14"/>
      <c r="DP693" s="12" t="s">
        <v>319</v>
      </c>
      <c r="DQ693" s="14"/>
      <c r="DR693" s="16"/>
      <c r="DS693" s="14"/>
      <c r="DT693" s="12" t="s">
        <v>319</v>
      </c>
      <c r="DU693" s="14"/>
      <c r="DV693" s="16"/>
      <c r="DW693" s="14"/>
      <c r="DX693" s="12" t="s">
        <v>319</v>
      </c>
      <c r="DY693" s="14"/>
      <c r="DZ693" s="16"/>
      <c r="EA693" s="14"/>
      <c r="EB693" s="12" t="s">
        <v>319</v>
      </c>
      <c r="EC693" s="14"/>
      <c r="ED693" s="16"/>
      <c r="EE693" s="14"/>
      <c r="EF693" s="12"/>
      <c r="EG693" s="12" t="s">
        <v>319</v>
      </c>
      <c r="EH693" s="14"/>
      <c r="EI693" s="16"/>
      <c r="EJ693" s="14"/>
      <c r="EK693" s="14">
        <v>5418</v>
      </c>
      <c r="EL693" s="14">
        <v>294</v>
      </c>
      <c r="EM693" s="14">
        <v>5712</v>
      </c>
      <c r="EN693" s="14"/>
      <c r="EO693" s="14"/>
      <c r="EP693" s="14"/>
      <c r="EQ693" s="12"/>
      <c r="ER693" s="14"/>
      <c r="ES693" s="16"/>
      <c r="ET693" s="14"/>
      <c r="EU693" s="12"/>
      <c r="EV693" s="14"/>
      <c r="EW693" s="16"/>
      <c r="EX693" s="14"/>
      <c r="EY693" s="12"/>
      <c r="EZ693" s="14"/>
      <c r="FA693" s="16"/>
      <c r="FB693" s="14"/>
      <c r="FC693" s="12"/>
      <c r="FD693" s="14"/>
      <c r="FE693" s="16"/>
      <c r="FF693" s="14"/>
      <c r="FG693" s="12"/>
      <c r="FH693" s="14"/>
      <c r="FI693" s="16"/>
      <c r="FJ693" s="14"/>
      <c r="FK693" s="12"/>
      <c r="FL693" s="14"/>
      <c r="FM693" s="16"/>
      <c r="FN693" s="14"/>
      <c r="FO693" s="12"/>
      <c r="FP693" s="14"/>
      <c r="FQ693" s="16"/>
      <c r="FR693" s="14"/>
      <c r="FS693" s="12"/>
      <c r="FT693" s="14"/>
      <c r="FU693" s="16"/>
      <c r="FV693" s="14"/>
      <c r="FW693" s="12"/>
      <c r="FX693" s="14"/>
      <c r="FY693" s="16"/>
      <c r="FZ693" s="14"/>
      <c r="GA693" s="12"/>
      <c r="GB693" s="14"/>
      <c r="GC693" s="16"/>
      <c r="GD693" s="14"/>
      <c r="GE693" s="12"/>
      <c r="GF693" s="14"/>
      <c r="GG693" s="16"/>
      <c r="GH693" s="14"/>
      <c r="GI693" s="12"/>
      <c r="GJ693" s="14"/>
      <c r="GK693" s="16"/>
      <c r="GL693" s="14"/>
      <c r="GM693" s="12"/>
      <c r="GN693" s="14"/>
      <c r="GO693" s="16"/>
      <c r="GP693" s="14"/>
      <c r="GQ693" s="12"/>
      <c r="GR693" s="14"/>
      <c r="GS693" s="16"/>
      <c r="GT693" s="14"/>
      <c r="GU693" s="12"/>
      <c r="GV693" s="14"/>
      <c r="GW693" s="16"/>
      <c r="GX693" s="14"/>
      <c r="GY693" s="11" t="s">
        <v>320</v>
      </c>
      <c r="GZ693" s="14">
        <v>5418</v>
      </c>
      <c r="HA693" s="16">
        <v>1</v>
      </c>
      <c r="HB693" s="14"/>
      <c r="HC693" s="12"/>
      <c r="HD693" s="12"/>
      <c r="HE693" s="14"/>
      <c r="HF693" s="16"/>
      <c r="HG693" s="14"/>
      <c r="HH693" s="12" t="s">
        <v>319</v>
      </c>
      <c r="HI693" s="12"/>
      <c r="HJ693" s="12"/>
      <c r="HK693" s="12" t="s">
        <v>319</v>
      </c>
      <c r="HL693" s="12" t="s">
        <v>319</v>
      </c>
      <c r="HM693" s="12"/>
      <c r="HN693" s="12"/>
      <c r="HO693" s="12" t="s">
        <v>11193</v>
      </c>
      <c r="HP693" s="12" t="s">
        <v>418</v>
      </c>
      <c r="HQ693" s="12" t="s">
        <v>319</v>
      </c>
      <c r="HR693" s="12" t="s">
        <v>319</v>
      </c>
      <c r="HS693" s="12" t="s">
        <v>319</v>
      </c>
      <c r="HT693" s="12" t="s">
        <v>319</v>
      </c>
      <c r="HU693" s="12" t="s">
        <v>319</v>
      </c>
      <c r="HV693" s="12" t="s">
        <v>319</v>
      </c>
      <c r="HW693" s="12" t="s">
        <v>319</v>
      </c>
      <c r="HX693" s="12"/>
      <c r="HY693" s="12"/>
      <c r="HZ693" s="12" t="s">
        <v>363</v>
      </c>
      <c r="IA693" s="12"/>
      <c r="IB693" s="12" t="s">
        <v>333</v>
      </c>
      <c r="IC693" s="12"/>
      <c r="ID693" s="12" t="s">
        <v>364</v>
      </c>
      <c r="IE693" s="12" t="s">
        <v>335</v>
      </c>
      <c r="IF693" s="12" t="s">
        <v>320</v>
      </c>
      <c r="IG693" s="12" t="s">
        <v>320</v>
      </c>
      <c r="IH693" s="12" t="s">
        <v>320</v>
      </c>
      <c r="II693" s="12" t="s">
        <v>320</v>
      </c>
      <c r="IJ693" s="12" t="str">
        <f t="shared" si="431"/>
        <v>2. Sensitive</v>
      </c>
      <c r="IK693" s="12">
        <f t="shared" si="432"/>
        <v>4</v>
      </c>
      <c r="IL693" s="12" t="s">
        <v>336</v>
      </c>
      <c r="IM693" s="12" t="s">
        <v>320</v>
      </c>
      <c r="IN693" s="12" t="s">
        <v>319</v>
      </c>
      <c r="IO693" s="12" t="s">
        <v>320</v>
      </c>
      <c r="IP693" s="12" t="s">
        <v>320</v>
      </c>
      <c r="IQ693" s="12" t="str">
        <f t="shared" si="433"/>
        <v>2. Accommodating</v>
      </c>
      <c r="IR693" s="12">
        <f t="shared" si="434"/>
        <v>3</v>
      </c>
      <c r="IS693" s="12" t="s">
        <v>622</v>
      </c>
      <c r="IT693" s="12" t="s">
        <v>319</v>
      </c>
      <c r="IU693" s="12" t="s">
        <v>320</v>
      </c>
      <c r="IV693" s="12" t="s">
        <v>320</v>
      </c>
      <c r="IW693" s="11" t="str">
        <f t="shared" si="435"/>
        <v>3. Responsive</v>
      </c>
      <c r="IX693" s="12">
        <f t="shared" si="436"/>
        <v>2</v>
      </c>
      <c r="IY693" s="12" t="s">
        <v>419</v>
      </c>
      <c r="IZ693" s="12" t="s">
        <v>339</v>
      </c>
      <c r="JA693" s="12"/>
      <c r="JB693" s="12" t="s">
        <v>384</v>
      </c>
      <c r="JC693" s="12" t="s">
        <v>384</v>
      </c>
      <c r="JD693" s="12" t="s">
        <v>384</v>
      </c>
      <c r="JE693" s="12" t="s">
        <v>420</v>
      </c>
      <c r="JF693" s="12"/>
      <c r="JG693" s="12"/>
      <c r="JH693" s="12" t="s">
        <v>6587</v>
      </c>
      <c r="JI693" s="12" t="s">
        <v>11194</v>
      </c>
      <c r="JJ693" s="12"/>
      <c r="JK693" s="12" t="s">
        <v>11195</v>
      </c>
      <c r="JL693" s="12"/>
      <c r="JM693" s="12"/>
      <c r="JN693" s="12" t="s">
        <v>11197</v>
      </c>
      <c r="JO693" s="12" t="s">
        <v>11201</v>
      </c>
      <c r="JP693" s="15">
        <f t="shared" si="437"/>
        <v>9800</v>
      </c>
      <c r="JQ693" s="15">
        <f t="shared" si="438"/>
        <v>49000</v>
      </c>
      <c r="JR693" s="279">
        <f t="shared" si="439"/>
        <v>5</v>
      </c>
      <c r="JS693" s="17">
        <f t="shared" si="440"/>
        <v>0.7</v>
      </c>
      <c r="JT693" s="18">
        <f t="shared" si="441"/>
        <v>0.7</v>
      </c>
      <c r="JU693" s="280">
        <f t="shared" si="442"/>
        <v>6860</v>
      </c>
      <c r="JV693" s="280">
        <f t="shared" si="443"/>
        <v>34300</v>
      </c>
      <c r="JW693" s="319">
        <f t="shared" si="444"/>
        <v>1</v>
      </c>
      <c r="JX693" s="15">
        <f t="shared" si="445"/>
        <v>9800</v>
      </c>
      <c r="JY693" s="15">
        <f t="shared" si="446"/>
        <v>49000</v>
      </c>
      <c r="JZ693" s="19">
        <f t="shared" si="447"/>
        <v>5</v>
      </c>
      <c r="KA693" s="52">
        <f t="shared" si="448"/>
        <v>1</v>
      </c>
      <c r="KB693" s="15">
        <f t="shared" si="449"/>
        <v>9800</v>
      </c>
      <c r="KC693" s="15">
        <f t="shared" si="450"/>
        <v>0</v>
      </c>
      <c r="KD693" s="20">
        <f t="shared" si="451"/>
        <v>0</v>
      </c>
      <c r="KE693" s="52" t="str">
        <f t="shared" si="452"/>
        <v/>
      </c>
      <c r="KF693" s="15">
        <f t="shared" si="453"/>
        <v>0</v>
      </c>
      <c r="KG693" s="15">
        <f t="shared" si="454"/>
        <v>0</v>
      </c>
      <c r="KH693" s="21" t="str">
        <f t="shared" si="455"/>
        <v/>
      </c>
      <c r="KI693" s="52">
        <f t="shared" si="456"/>
        <v>1</v>
      </c>
      <c r="KJ693" s="15">
        <f t="shared" si="457"/>
        <v>0</v>
      </c>
      <c r="KK693" s="15">
        <f t="shared" si="458"/>
        <v>0</v>
      </c>
      <c r="KL693" s="19" t="str">
        <f t="shared" si="459"/>
        <v/>
      </c>
      <c r="KM693" s="52">
        <f t="shared" si="460"/>
        <v>1</v>
      </c>
      <c r="KN693" s="22">
        <f t="shared" si="461"/>
        <v>5418</v>
      </c>
      <c r="KO693" s="22">
        <f t="shared" si="462"/>
        <v>0</v>
      </c>
      <c r="KP693" s="19">
        <f t="shared" si="463"/>
        <v>0</v>
      </c>
      <c r="KQ693" s="11" t="str">
        <f t="shared" si="464"/>
        <v>2. Sensitive</v>
      </c>
      <c r="KR693" s="11" t="str">
        <f t="shared" si="465"/>
        <v>2. Accommodating</v>
      </c>
      <c r="KS693" s="11" t="str">
        <f t="shared" si="466"/>
        <v>3. Responsive</v>
      </c>
      <c r="KT693" s="11" t="str">
        <f t="shared" si="467"/>
        <v>It did not develop any specific innovation</v>
      </c>
      <c r="KU693" s="11" t="str">
        <f t="shared" si="468"/>
        <v>Little or no advocacy</v>
      </c>
      <c r="KV693" s="11" t="str">
        <f t="shared" si="469"/>
        <v>It did not take tested solutions to scale</v>
      </c>
      <c r="KW693" s="11" t="str">
        <f t="shared" si="470"/>
        <v>South Sudan - Emergency Livelihoods Support to Most Vulnerable Households in Parieng County of Unity State</v>
      </c>
      <c r="KX693" s="11" t="str">
        <f t="shared" si="471"/>
        <v>Emergency Livelihoods Support to Most Vulnerable Households in Parieng County of Unity State</v>
      </c>
      <c r="KY693" s="11" t="str">
        <f t="shared" si="472"/>
        <v>South Sudan</v>
      </c>
      <c r="KZ693" s="12">
        <v>693</v>
      </c>
    </row>
    <row r="694" spans="1:312" x14ac:dyDescent="0.3">
      <c r="A694" s="12" t="s">
        <v>11104</v>
      </c>
      <c r="B694" s="12" t="s">
        <v>1874</v>
      </c>
      <c r="C694" s="12"/>
      <c r="D694" s="12" t="s">
        <v>11202</v>
      </c>
      <c r="E694" s="277" t="str">
        <f t="shared" si="430"/>
        <v>South Sudan</v>
      </c>
      <c r="F694" s="12"/>
      <c r="G694" s="12" t="s">
        <v>379</v>
      </c>
      <c r="H694" s="12" t="s">
        <v>380</v>
      </c>
      <c r="I694" s="12" t="s">
        <v>381</v>
      </c>
      <c r="J694" s="281" t="s">
        <v>14615</v>
      </c>
      <c r="K694" s="12"/>
      <c r="L694" s="12"/>
      <c r="M694" s="12"/>
      <c r="N694" s="12"/>
      <c r="O694" s="12"/>
      <c r="P694" s="12"/>
      <c r="Q694" s="12"/>
      <c r="R694" s="12"/>
      <c r="S694" s="12"/>
      <c r="T694" s="12"/>
      <c r="U694" s="12"/>
      <c r="V694" s="12"/>
      <c r="W694" s="12"/>
      <c r="X694" s="12"/>
      <c r="Y694" s="12"/>
      <c r="Z694" s="12"/>
      <c r="AA694" s="12"/>
      <c r="AB694" s="12"/>
      <c r="AC694" s="12"/>
      <c r="AD694" s="12"/>
      <c r="BD694" s="13">
        <v>42649</v>
      </c>
      <c r="BE694" s="13">
        <v>42740</v>
      </c>
      <c r="BF694" s="13">
        <v>42771</v>
      </c>
      <c r="BG694" s="12" t="s">
        <v>908</v>
      </c>
      <c r="BH694" s="14">
        <v>276780</v>
      </c>
      <c r="BI694" s="12" t="s">
        <v>11106</v>
      </c>
      <c r="BJ694" s="12" t="s">
        <v>6607</v>
      </c>
      <c r="BK694" s="12" t="s">
        <v>11107</v>
      </c>
      <c r="BL694" s="12" t="s">
        <v>11203</v>
      </c>
      <c r="BM694" s="12" t="s">
        <v>11204</v>
      </c>
      <c r="BN694" s="12" t="s">
        <v>11205</v>
      </c>
      <c r="BO694" s="12" t="s">
        <v>320</v>
      </c>
      <c r="BP694" s="12" t="s">
        <v>320</v>
      </c>
      <c r="BQ694" s="12" t="s">
        <v>320</v>
      </c>
      <c r="BR694" s="12" t="s">
        <v>11164</v>
      </c>
      <c r="BS694" s="12" t="s">
        <v>322</v>
      </c>
      <c r="BT694" s="12" t="s">
        <v>11206</v>
      </c>
      <c r="BU694" s="12" t="s">
        <v>11207</v>
      </c>
      <c r="BV694" s="14">
        <v>8197</v>
      </c>
      <c r="BW694" s="14">
        <v>6835</v>
      </c>
      <c r="BX694" s="14">
        <v>15032</v>
      </c>
      <c r="BY694" s="14">
        <v>46900</v>
      </c>
      <c r="BZ694" s="14">
        <v>43292</v>
      </c>
      <c r="CA694" s="14">
        <v>90192</v>
      </c>
      <c r="CB694" s="12" t="s">
        <v>11112</v>
      </c>
      <c r="CD694" s="14">
        <v>9101</v>
      </c>
      <c r="CE694" s="14">
        <v>8400</v>
      </c>
      <c r="CF694" s="14">
        <v>17501</v>
      </c>
      <c r="CG694" s="14"/>
      <c r="CH694" s="14"/>
      <c r="CI694" s="14">
        <v>0</v>
      </c>
      <c r="CJ694" s="12" t="s">
        <v>319</v>
      </c>
      <c r="CK694" s="14"/>
      <c r="CL694" s="16"/>
      <c r="CM694" s="14"/>
      <c r="CN694" s="12" t="s">
        <v>319</v>
      </c>
      <c r="CO694" s="14"/>
      <c r="CP694" s="16"/>
      <c r="CQ694" s="14"/>
      <c r="CR694" s="12" t="s">
        <v>319</v>
      </c>
      <c r="CS694" s="14"/>
      <c r="CT694" s="16"/>
      <c r="CU694" s="14"/>
      <c r="CV694" s="12" t="s">
        <v>320</v>
      </c>
      <c r="CW694" s="14">
        <v>17501</v>
      </c>
      <c r="CX694" s="16">
        <v>0.52</v>
      </c>
      <c r="CY694" s="14"/>
      <c r="CZ694" s="12" t="s">
        <v>319</v>
      </c>
      <c r="DA694" s="14"/>
      <c r="DB694" s="16"/>
      <c r="DC694" s="14">
        <v>0</v>
      </c>
      <c r="DD694" s="12" t="s">
        <v>319</v>
      </c>
      <c r="DE694" s="14"/>
      <c r="DF694" s="16"/>
      <c r="DG694" s="14"/>
      <c r="DH694" s="12" t="s">
        <v>319</v>
      </c>
      <c r="DI694" s="14"/>
      <c r="DJ694" s="16"/>
      <c r="DK694" s="14"/>
      <c r="DL694" s="12" t="s">
        <v>319</v>
      </c>
      <c r="DM694" s="14"/>
      <c r="DN694" s="16"/>
      <c r="DO694" s="14"/>
      <c r="DP694" s="12" t="s">
        <v>319</v>
      </c>
      <c r="DQ694" s="14"/>
      <c r="DR694" s="16"/>
      <c r="DS694" s="14"/>
      <c r="DT694" s="12" t="s">
        <v>319</v>
      </c>
      <c r="DU694" s="14"/>
      <c r="DV694" s="16"/>
      <c r="DW694" s="14"/>
      <c r="DX694" s="12" t="s">
        <v>319</v>
      </c>
      <c r="DY694" s="14"/>
      <c r="DZ694" s="16"/>
      <c r="EA694" s="14"/>
      <c r="EB694" s="12" t="s">
        <v>319</v>
      </c>
      <c r="EC694" s="14"/>
      <c r="ED694" s="16"/>
      <c r="EE694" s="14"/>
      <c r="EF694" s="12"/>
      <c r="EG694" s="12" t="s">
        <v>319</v>
      </c>
      <c r="EH694" s="14"/>
      <c r="EI694" s="16"/>
      <c r="EJ694" s="14"/>
      <c r="EK694" s="14"/>
      <c r="EL694" s="14"/>
      <c r="EM694" s="14">
        <v>0</v>
      </c>
      <c r="EN694" s="14"/>
      <c r="EO694" s="14"/>
      <c r="EP694" s="14"/>
      <c r="EQ694" s="12"/>
      <c r="ER694" s="14"/>
      <c r="ES694" s="16"/>
      <c r="ET694" s="14"/>
      <c r="EU694" s="12"/>
      <c r="EV694" s="14"/>
      <c r="EW694" s="16"/>
      <c r="EX694" s="14"/>
      <c r="EY694" s="12"/>
      <c r="EZ694" s="14"/>
      <c r="FA694" s="16"/>
      <c r="FB694" s="14"/>
      <c r="FC694" s="12"/>
      <c r="FD694" s="14"/>
      <c r="FE694" s="16"/>
      <c r="FF694" s="14"/>
      <c r="FG694" s="12"/>
      <c r="FH694" s="14"/>
      <c r="FI694" s="16"/>
      <c r="FJ694" s="14"/>
      <c r="FK694" s="12"/>
      <c r="FL694" s="14"/>
      <c r="FM694" s="16"/>
      <c r="FN694" s="14"/>
      <c r="FO694" s="12"/>
      <c r="FP694" s="14"/>
      <c r="FQ694" s="16"/>
      <c r="FR694" s="14"/>
      <c r="FS694" s="12"/>
      <c r="FT694" s="14"/>
      <c r="FU694" s="16"/>
      <c r="FV694" s="14"/>
      <c r="FW694" s="12"/>
      <c r="FX694" s="14"/>
      <c r="FY694" s="16"/>
      <c r="FZ694" s="14"/>
      <c r="GA694" s="12"/>
      <c r="GB694" s="14"/>
      <c r="GC694" s="16"/>
      <c r="GD694" s="14"/>
      <c r="GE694" s="12"/>
      <c r="GF694" s="14"/>
      <c r="GG694" s="16"/>
      <c r="GH694" s="14"/>
      <c r="GI694" s="12"/>
      <c r="GJ694" s="14"/>
      <c r="GK694" s="16"/>
      <c r="GL694" s="14"/>
      <c r="GM694" s="12"/>
      <c r="GN694" s="14"/>
      <c r="GO694" s="16"/>
      <c r="GP694" s="14"/>
      <c r="GQ694" s="12"/>
      <c r="GR694" s="14"/>
      <c r="GS694" s="16"/>
      <c r="GT694" s="14"/>
      <c r="GU694" s="12"/>
      <c r="GV694" s="14"/>
      <c r="GW694" s="16"/>
      <c r="GX694" s="14"/>
      <c r="GY694" s="11" t="s">
        <v>320</v>
      </c>
      <c r="GZ694" s="14">
        <v>0</v>
      </c>
      <c r="HA694" s="16">
        <v>1</v>
      </c>
      <c r="HB694" s="14"/>
      <c r="HC694" s="12"/>
      <c r="HD694" s="12"/>
      <c r="HE694" s="14"/>
      <c r="HF694" s="16"/>
      <c r="HG694" s="14"/>
      <c r="HH694" s="12" t="s">
        <v>319</v>
      </c>
      <c r="HI694" s="12"/>
      <c r="HJ694" s="12"/>
      <c r="HK694" s="12" t="s">
        <v>319</v>
      </c>
      <c r="HL694" s="12" t="s">
        <v>319</v>
      </c>
      <c r="HM694" s="12"/>
      <c r="HN694" s="12"/>
      <c r="HO694" s="12"/>
      <c r="HP694" s="12" t="s">
        <v>330</v>
      </c>
      <c r="HQ694" s="12" t="s">
        <v>319</v>
      </c>
      <c r="HR694" s="12"/>
      <c r="HS694" s="12" t="s">
        <v>320</v>
      </c>
      <c r="HT694" s="12" t="s">
        <v>319</v>
      </c>
      <c r="HU694" s="12" t="s">
        <v>319</v>
      </c>
      <c r="HV694" s="12" t="s">
        <v>320</v>
      </c>
      <c r="HW694" s="12" t="s">
        <v>319</v>
      </c>
      <c r="HX694" s="12"/>
      <c r="HY694" s="12"/>
      <c r="HZ694" s="12" t="s">
        <v>363</v>
      </c>
      <c r="IA694" s="12"/>
      <c r="IB694" s="12" t="s">
        <v>667</v>
      </c>
      <c r="IC694" s="12"/>
      <c r="ID694" s="12" t="s">
        <v>364</v>
      </c>
      <c r="IE694" s="12" t="s">
        <v>335</v>
      </c>
      <c r="IF694" s="12" t="s">
        <v>320</v>
      </c>
      <c r="IG694" s="12" t="s">
        <v>320</v>
      </c>
      <c r="IH694" s="12" t="s">
        <v>320</v>
      </c>
      <c r="II694" s="12" t="s">
        <v>320</v>
      </c>
      <c r="IJ694" s="12" t="str">
        <f t="shared" si="431"/>
        <v>2. Sensitive</v>
      </c>
      <c r="IK694" s="12">
        <f t="shared" si="432"/>
        <v>4</v>
      </c>
      <c r="IL694" s="12" t="s">
        <v>336</v>
      </c>
      <c r="IM694" s="12" t="s">
        <v>320</v>
      </c>
      <c r="IN694" s="12" t="s">
        <v>320</v>
      </c>
      <c r="IO694" s="12" t="s">
        <v>320</v>
      </c>
      <c r="IP694" s="12" t="s">
        <v>320</v>
      </c>
      <c r="IQ694" s="12" t="str">
        <f t="shared" si="433"/>
        <v>2. Accommodating</v>
      </c>
      <c r="IR694" s="12">
        <f t="shared" si="434"/>
        <v>4</v>
      </c>
      <c r="IS694" s="12" t="s">
        <v>622</v>
      </c>
      <c r="IT694" s="12" t="s">
        <v>320</v>
      </c>
      <c r="IU694" s="12" t="s">
        <v>320</v>
      </c>
      <c r="IV694" s="12" t="s">
        <v>320</v>
      </c>
      <c r="IW694" s="11" t="str">
        <f t="shared" si="435"/>
        <v>4. Transformative</v>
      </c>
      <c r="IX694" s="12">
        <f t="shared" si="436"/>
        <v>3</v>
      </c>
      <c r="IY694" s="12" t="s">
        <v>338</v>
      </c>
      <c r="IZ694" s="12" t="s">
        <v>339</v>
      </c>
      <c r="JA694" s="12"/>
      <c r="JB694" s="12"/>
      <c r="JC694" s="12" t="s">
        <v>687</v>
      </c>
      <c r="JD694" s="12" t="s">
        <v>384</v>
      </c>
      <c r="JE694" s="12" t="s">
        <v>420</v>
      </c>
      <c r="JF694" s="12"/>
      <c r="JG694" s="12"/>
      <c r="JH694" s="12"/>
      <c r="JI694" s="12"/>
      <c r="JJ694" s="12"/>
      <c r="JK694" s="12"/>
      <c r="JL694" s="12"/>
      <c r="JM694" s="12"/>
      <c r="JN694" s="12"/>
      <c r="JO694" s="12" t="s">
        <v>11160</v>
      </c>
      <c r="JP694" s="15">
        <f t="shared" si="437"/>
        <v>17501</v>
      </c>
      <c r="JQ694" s="15">
        <f t="shared" si="438"/>
        <v>0</v>
      </c>
      <c r="JR694" s="279">
        <f t="shared" si="439"/>
        <v>0</v>
      </c>
      <c r="JS694" s="17">
        <f t="shared" si="440"/>
        <v>0.52002742700417115</v>
      </c>
      <c r="JT694" s="18" t="str">
        <f t="shared" si="441"/>
        <v/>
      </c>
      <c r="JU694" s="280">
        <f t="shared" si="442"/>
        <v>9101</v>
      </c>
      <c r="JV694" s="280">
        <f t="shared" si="443"/>
        <v>0</v>
      </c>
      <c r="JW694" s="319">
        <f t="shared" si="444"/>
        <v>1</v>
      </c>
      <c r="JX694" s="15">
        <f t="shared" si="445"/>
        <v>17501</v>
      </c>
      <c r="JY694" s="15">
        <f t="shared" si="446"/>
        <v>0</v>
      </c>
      <c r="JZ694" s="19">
        <f t="shared" si="447"/>
        <v>0</v>
      </c>
      <c r="KA694" s="52">
        <f t="shared" si="448"/>
        <v>1</v>
      </c>
      <c r="KB694" s="15">
        <f t="shared" si="449"/>
        <v>17501</v>
      </c>
      <c r="KC694" s="15">
        <f t="shared" si="450"/>
        <v>0</v>
      </c>
      <c r="KD694" s="20">
        <f t="shared" si="451"/>
        <v>0</v>
      </c>
      <c r="KE694" s="52" t="str">
        <f t="shared" si="452"/>
        <v/>
      </c>
      <c r="KF694" s="15">
        <f t="shared" si="453"/>
        <v>0</v>
      </c>
      <c r="KG694" s="15">
        <f t="shared" si="454"/>
        <v>0</v>
      </c>
      <c r="KH694" s="21" t="str">
        <f t="shared" si="455"/>
        <v/>
      </c>
      <c r="KI694" s="52" t="str">
        <f t="shared" si="456"/>
        <v/>
      </c>
      <c r="KJ694" s="15">
        <f t="shared" si="457"/>
        <v>0</v>
      </c>
      <c r="KK694" s="15">
        <f t="shared" si="458"/>
        <v>0</v>
      </c>
      <c r="KL694" s="19" t="str">
        <f t="shared" si="459"/>
        <v/>
      </c>
      <c r="KM694" s="52">
        <f t="shared" si="460"/>
        <v>1</v>
      </c>
      <c r="KN694" s="22">
        <f t="shared" si="461"/>
        <v>0</v>
      </c>
      <c r="KO694" s="22">
        <f t="shared" si="462"/>
        <v>0</v>
      </c>
      <c r="KP694" s="19" t="str">
        <f t="shared" si="463"/>
        <v/>
      </c>
      <c r="KQ694" s="11" t="str">
        <f t="shared" si="464"/>
        <v>2. Sensitive</v>
      </c>
      <c r="KR694" s="11" t="str">
        <f t="shared" si="465"/>
        <v>2. Accommodating</v>
      </c>
      <c r="KS694" s="11" t="str">
        <f t="shared" si="466"/>
        <v>4. Transformative</v>
      </c>
      <c r="KT694" s="11" t="str">
        <f t="shared" si="467"/>
        <v>It did not develop any specific innovation</v>
      </c>
      <c r="KU694" s="11" t="str">
        <f t="shared" si="468"/>
        <v>Moderate advocacy</v>
      </c>
      <c r="KV694" s="11" t="str">
        <f t="shared" si="469"/>
        <v>It took tested solutions to scale on its own</v>
      </c>
      <c r="KW694" s="11" t="str">
        <f t="shared" si="470"/>
        <v>South Sudan - Emergency NFI and Nutrition Project in Eastern Equatoria and Unity States</v>
      </c>
      <c r="KX694" s="11" t="str">
        <f t="shared" si="471"/>
        <v>Emergency NFI and Nutrition Project in Eastern Equatoria and Unity States</v>
      </c>
      <c r="KY694" s="11" t="str">
        <f t="shared" si="472"/>
        <v>South Sudan</v>
      </c>
      <c r="KZ694" s="12">
        <v>694</v>
      </c>
    </row>
    <row r="695" spans="1:312" x14ac:dyDescent="0.3">
      <c r="A695" s="12" t="s">
        <v>11104</v>
      </c>
      <c r="B695" s="12" t="s">
        <v>1874</v>
      </c>
      <c r="C695" s="12">
        <v>3353</v>
      </c>
      <c r="D695" s="12" t="s">
        <v>11105</v>
      </c>
      <c r="E695" s="277" t="str">
        <f t="shared" si="430"/>
        <v>South Sudan</v>
      </c>
      <c r="F695" s="12">
        <v>3353</v>
      </c>
      <c r="G695" s="12" t="s">
        <v>376</v>
      </c>
      <c r="H695" s="12" t="s">
        <v>310</v>
      </c>
      <c r="I695" s="12" t="s">
        <v>377</v>
      </c>
      <c r="J695" s="281" t="s">
        <v>14582</v>
      </c>
      <c r="K695" s="12"/>
      <c r="L695" s="12"/>
      <c r="M695" s="12"/>
      <c r="N695" s="12"/>
      <c r="O695" s="12"/>
      <c r="P695" s="12"/>
      <c r="Q695" s="12"/>
      <c r="R695" s="12"/>
      <c r="S695" s="12"/>
      <c r="T695" s="12"/>
      <c r="U695" s="12"/>
      <c r="V695" s="12"/>
      <c r="W695" s="12"/>
      <c r="X695" s="12"/>
      <c r="Y695" s="12"/>
      <c r="Z695" s="12"/>
      <c r="AA695" s="12"/>
      <c r="AB695" s="12"/>
      <c r="AC695" s="12"/>
      <c r="AD695" s="12"/>
      <c r="BD695" s="13">
        <v>42095</v>
      </c>
      <c r="BE695" s="13">
        <v>43190</v>
      </c>
      <c r="BF695" s="12"/>
      <c r="BG695" s="12" t="s">
        <v>908</v>
      </c>
      <c r="BH695" s="14">
        <v>2442791</v>
      </c>
      <c r="BI695" s="12" t="s">
        <v>11106</v>
      </c>
      <c r="BJ695" s="12" t="s">
        <v>6607</v>
      </c>
      <c r="BK695" s="12" t="s">
        <v>11107</v>
      </c>
      <c r="BL695" s="12" t="s">
        <v>11108</v>
      </c>
      <c r="BM695" s="12" t="s">
        <v>354</v>
      </c>
      <c r="BN695" s="12" t="s">
        <v>11108</v>
      </c>
      <c r="BO695" s="12" t="s">
        <v>320</v>
      </c>
      <c r="BP695" s="12" t="s">
        <v>320</v>
      </c>
      <c r="BQ695" s="12" t="s">
        <v>320</v>
      </c>
      <c r="BR695" s="12" t="s">
        <v>11109</v>
      </c>
      <c r="BS695" s="12" t="s">
        <v>322</v>
      </c>
      <c r="BT695" s="12" t="s">
        <v>11110</v>
      </c>
      <c r="BU695" s="12" t="s">
        <v>11111</v>
      </c>
      <c r="BV695" s="14">
        <v>21958</v>
      </c>
      <c r="BW695" s="14">
        <v>8042</v>
      </c>
      <c r="BX695" s="14">
        <v>30000</v>
      </c>
      <c r="BY695" s="14">
        <v>131748</v>
      </c>
      <c r="BZ695" s="14">
        <v>48252</v>
      </c>
      <c r="CA695" s="14">
        <v>180000</v>
      </c>
      <c r="CB695" s="12" t="s">
        <v>11112</v>
      </c>
      <c r="CD695" s="14">
        <v>10428</v>
      </c>
      <c r="CE695" s="14">
        <v>8233</v>
      </c>
      <c r="CF695" s="14">
        <v>18661</v>
      </c>
      <c r="CG695" s="14">
        <v>54814</v>
      </c>
      <c r="CH695" s="14">
        <v>43183</v>
      </c>
      <c r="CI695" s="14">
        <v>97997</v>
      </c>
      <c r="CJ695" s="12"/>
      <c r="CK695" s="14"/>
      <c r="CL695" s="16"/>
      <c r="CM695" s="14"/>
      <c r="CN695" s="12"/>
      <c r="CO695" s="14"/>
      <c r="CP695" s="16"/>
      <c r="CQ695" s="14"/>
      <c r="CR695" s="12"/>
      <c r="CS695" s="14"/>
      <c r="CT695" s="16"/>
      <c r="CU695" s="14"/>
      <c r="CV695" s="12" t="s">
        <v>319</v>
      </c>
      <c r="CW695" s="14"/>
      <c r="CX695" s="16"/>
      <c r="CY695" s="14"/>
      <c r="CZ695" s="12" t="s">
        <v>320</v>
      </c>
      <c r="DA695" s="14">
        <v>972</v>
      </c>
      <c r="DB695" s="16">
        <v>0.51</v>
      </c>
      <c r="DC695" s="14">
        <v>0</v>
      </c>
      <c r="DD695" s="12"/>
      <c r="DE695" s="14"/>
      <c r="DF695" s="16"/>
      <c r="DG695" s="14"/>
      <c r="DH695" s="12"/>
      <c r="DI695" s="14"/>
      <c r="DJ695" s="16"/>
      <c r="DK695" s="14"/>
      <c r="DL695" s="11" t="s">
        <v>320</v>
      </c>
      <c r="DM695" s="14">
        <v>18661</v>
      </c>
      <c r="DN695" s="16">
        <v>0.59</v>
      </c>
      <c r="DO695" s="14">
        <v>97997</v>
      </c>
      <c r="DP695" s="12" t="s">
        <v>319</v>
      </c>
      <c r="DQ695" s="14"/>
      <c r="DR695" s="16"/>
      <c r="DS695" s="14"/>
      <c r="DT695" s="12"/>
      <c r="DU695" s="14"/>
      <c r="DV695" s="16"/>
      <c r="DW695" s="14"/>
      <c r="DX695" s="12"/>
      <c r="DY695" s="14"/>
      <c r="DZ695" s="16"/>
      <c r="EA695" s="14"/>
      <c r="EB695" s="12"/>
      <c r="EC695" s="14"/>
      <c r="ED695" s="16"/>
      <c r="EE695" s="14"/>
      <c r="EF695" s="12"/>
      <c r="EG695" s="12"/>
      <c r="EH695" s="14"/>
      <c r="EI695" s="16"/>
      <c r="EJ695" s="14"/>
      <c r="EK695" s="14">
        <v>10428</v>
      </c>
      <c r="EL695" s="14">
        <v>8233</v>
      </c>
      <c r="EM695" s="14">
        <v>18661</v>
      </c>
      <c r="EN695" s="14">
        <v>54814</v>
      </c>
      <c r="EO695" s="14">
        <v>43183</v>
      </c>
      <c r="EP695" s="14">
        <v>97997</v>
      </c>
      <c r="EQ695" s="12"/>
      <c r="ER695" s="14"/>
      <c r="ES695" s="16"/>
      <c r="ET695" s="14"/>
      <c r="EU695" s="12"/>
      <c r="EV695" s="14"/>
      <c r="EW695" s="16"/>
      <c r="EX695" s="14"/>
      <c r="EY695" s="12"/>
      <c r="EZ695" s="14"/>
      <c r="FA695" s="16"/>
      <c r="FB695" s="14"/>
      <c r="FC695" s="12"/>
      <c r="FD695" s="14"/>
      <c r="FE695" s="16"/>
      <c r="FF695" s="14"/>
      <c r="FG695" s="12"/>
      <c r="FH695" s="14"/>
      <c r="FI695" s="16"/>
      <c r="FJ695" s="14"/>
      <c r="FK695" s="12"/>
      <c r="FL695" s="14"/>
      <c r="FM695" s="16"/>
      <c r="FN695" s="14"/>
      <c r="FO695" s="12" t="s">
        <v>320</v>
      </c>
      <c r="FP695" s="14">
        <v>18661</v>
      </c>
      <c r="FQ695" s="16">
        <v>0.56000000000000005</v>
      </c>
      <c r="FR695" s="14">
        <v>97997</v>
      </c>
      <c r="FS695" s="12"/>
      <c r="FT695" s="14"/>
      <c r="FU695" s="16"/>
      <c r="FV695" s="14"/>
      <c r="FW695" s="12"/>
      <c r="FX695" s="14"/>
      <c r="FY695" s="16"/>
      <c r="FZ695" s="14"/>
      <c r="GA695" s="12"/>
      <c r="GB695" s="14"/>
      <c r="GC695" s="16"/>
      <c r="GD695" s="14"/>
      <c r="GE695" s="12"/>
      <c r="GF695" s="14"/>
      <c r="GG695" s="16"/>
      <c r="GH695" s="14"/>
      <c r="GI695" s="12"/>
      <c r="GJ695" s="14"/>
      <c r="GK695" s="16"/>
      <c r="GL695" s="14"/>
      <c r="GM695" s="12"/>
      <c r="GN695" s="14"/>
      <c r="GO695" s="16"/>
      <c r="GP695" s="14"/>
      <c r="GQ695" s="12"/>
      <c r="GR695" s="14"/>
      <c r="GS695" s="16"/>
      <c r="GT695" s="14"/>
      <c r="GU695" s="12"/>
      <c r="GV695" s="14"/>
      <c r="GW695" s="16"/>
      <c r="GX695" s="14"/>
      <c r="GY695" s="12"/>
      <c r="GZ695" s="14"/>
      <c r="HA695" s="16"/>
      <c r="HB695" s="14"/>
      <c r="HC695" s="12"/>
      <c r="HD695" s="12"/>
      <c r="HE695" s="14"/>
      <c r="HF695" s="16"/>
      <c r="HG695" s="14"/>
      <c r="HH695" s="12" t="s">
        <v>320</v>
      </c>
      <c r="HI695" s="12"/>
      <c r="HJ695" s="12">
        <v>2016</v>
      </c>
      <c r="HK695" s="12" t="s">
        <v>320</v>
      </c>
      <c r="HL695" s="12" t="s">
        <v>320</v>
      </c>
      <c r="HM695" s="12" t="s">
        <v>560</v>
      </c>
      <c r="HN695" s="12">
        <v>2017</v>
      </c>
      <c r="HO695" s="12"/>
      <c r="HP695" s="12"/>
      <c r="HQ695" s="12" t="s">
        <v>320</v>
      </c>
      <c r="HR695" s="12"/>
      <c r="HS695" s="12" t="s">
        <v>320</v>
      </c>
      <c r="HT695" s="12" t="s">
        <v>320</v>
      </c>
      <c r="HU695" s="12" t="s">
        <v>320</v>
      </c>
      <c r="HV695" s="12" t="s">
        <v>320</v>
      </c>
      <c r="HW695" s="12" t="s">
        <v>320</v>
      </c>
      <c r="HX695" s="12"/>
      <c r="HY695" s="12"/>
      <c r="HZ695" s="12" t="s">
        <v>363</v>
      </c>
      <c r="IA695" s="12"/>
      <c r="IB695" s="12" t="s">
        <v>333</v>
      </c>
      <c r="IC695" s="12"/>
      <c r="ID695" s="12" t="s">
        <v>334</v>
      </c>
      <c r="IE695" s="12" t="s">
        <v>335</v>
      </c>
      <c r="IF695" s="12" t="s">
        <v>320</v>
      </c>
      <c r="IG695" s="12" t="s">
        <v>320</v>
      </c>
      <c r="IH695" s="12" t="s">
        <v>320</v>
      </c>
      <c r="II695" s="12" t="s">
        <v>320</v>
      </c>
      <c r="IJ695" s="12" t="str">
        <f t="shared" si="431"/>
        <v>2. Sensitive</v>
      </c>
      <c r="IK695" s="12">
        <f t="shared" si="432"/>
        <v>4</v>
      </c>
      <c r="IL695" s="12" t="s">
        <v>336</v>
      </c>
      <c r="IM695" s="12" t="s">
        <v>320</v>
      </c>
      <c r="IN695" s="12" t="s">
        <v>320</v>
      </c>
      <c r="IO695" s="12" t="s">
        <v>320</v>
      </c>
      <c r="IP695" s="12" t="s">
        <v>320</v>
      </c>
      <c r="IQ695" s="12" t="str">
        <f t="shared" si="433"/>
        <v>2. Accommodating</v>
      </c>
      <c r="IR695" s="12">
        <f t="shared" si="434"/>
        <v>4</v>
      </c>
      <c r="IS695" s="12" t="s">
        <v>622</v>
      </c>
      <c r="IT695" s="12" t="s">
        <v>320</v>
      </c>
      <c r="IU695" s="12" t="s">
        <v>320</v>
      </c>
      <c r="IV695" s="12" t="s">
        <v>320</v>
      </c>
      <c r="IW695" s="11" t="str">
        <f t="shared" si="435"/>
        <v>4. Transformative</v>
      </c>
      <c r="IX695" s="12">
        <f t="shared" si="436"/>
        <v>3</v>
      </c>
      <c r="IY695" s="12" t="s">
        <v>419</v>
      </c>
      <c r="IZ695" s="12" t="s">
        <v>432</v>
      </c>
      <c r="JA695" s="12"/>
      <c r="JB695" s="12"/>
      <c r="JC695" s="12"/>
      <c r="JD695" s="12"/>
      <c r="JE695" s="12" t="s">
        <v>420</v>
      </c>
      <c r="JF695" s="12"/>
      <c r="JG695" s="12"/>
      <c r="JH695" s="12" t="s">
        <v>11113</v>
      </c>
      <c r="JI695" s="12" t="s">
        <v>11114</v>
      </c>
      <c r="JJ695" s="12"/>
      <c r="JK695" s="12" t="s">
        <v>11115</v>
      </c>
      <c r="JL695" s="12" t="s">
        <v>11116</v>
      </c>
      <c r="JM695" s="12" t="s">
        <v>11117</v>
      </c>
      <c r="JN695" s="12"/>
      <c r="JO695" s="12" t="s">
        <v>11118</v>
      </c>
      <c r="JP695" s="15">
        <f t="shared" si="437"/>
        <v>18661</v>
      </c>
      <c r="JQ695" s="15">
        <f t="shared" si="438"/>
        <v>97997</v>
      </c>
      <c r="JR695" s="279">
        <f t="shared" si="439"/>
        <v>5.2514334708750869</v>
      </c>
      <c r="JS695" s="17">
        <f t="shared" si="440"/>
        <v>0.55881249665076893</v>
      </c>
      <c r="JT695" s="18">
        <f t="shared" si="441"/>
        <v>0.5593436533771442</v>
      </c>
      <c r="JU695" s="280">
        <f t="shared" si="442"/>
        <v>10428</v>
      </c>
      <c r="JV695" s="280">
        <f t="shared" si="443"/>
        <v>54814</v>
      </c>
      <c r="JW695" s="319">
        <f t="shared" si="444"/>
        <v>1</v>
      </c>
      <c r="JX695" s="15">
        <f t="shared" si="445"/>
        <v>18661</v>
      </c>
      <c r="JY695" s="15">
        <f t="shared" si="446"/>
        <v>97997</v>
      </c>
      <c r="JZ695" s="19">
        <f t="shared" si="447"/>
        <v>5.2514334708750869</v>
      </c>
      <c r="KA695" s="52">
        <f t="shared" si="448"/>
        <v>1</v>
      </c>
      <c r="KB695" s="15">
        <f t="shared" si="449"/>
        <v>18661</v>
      </c>
      <c r="KC695" s="15">
        <f t="shared" si="450"/>
        <v>97997</v>
      </c>
      <c r="KD695" s="20">
        <f t="shared" si="451"/>
        <v>5.2514334708750869</v>
      </c>
      <c r="KE695" s="52" t="str">
        <f t="shared" si="452"/>
        <v/>
      </c>
      <c r="KF695" s="15">
        <f t="shared" si="453"/>
        <v>0</v>
      </c>
      <c r="KG695" s="15">
        <f t="shared" si="454"/>
        <v>0</v>
      </c>
      <c r="KH695" s="21" t="str">
        <f t="shared" si="455"/>
        <v/>
      </c>
      <c r="KI695" s="52">
        <f t="shared" si="456"/>
        <v>1</v>
      </c>
      <c r="KJ695" s="15">
        <f t="shared" si="457"/>
        <v>972</v>
      </c>
      <c r="KK695" s="15">
        <f t="shared" si="458"/>
        <v>0</v>
      </c>
      <c r="KL695" s="19">
        <f t="shared" si="459"/>
        <v>0</v>
      </c>
      <c r="KM695" s="52" t="str">
        <f t="shared" si="460"/>
        <v/>
      </c>
      <c r="KN695" s="22">
        <f t="shared" si="461"/>
        <v>0</v>
      </c>
      <c r="KO695" s="22">
        <f t="shared" si="462"/>
        <v>0</v>
      </c>
      <c r="KP695" s="19" t="str">
        <f t="shared" si="463"/>
        <v/>
      </c>
      <c r="KQ695" s="11" t="str">
        <f t="shared" si="464"/>
        <v>2. Sensitive</v>
      </c>
      <c r="KR695" s="11" t="str">
        <f t="shared" si="465"/>
        <v>2. Accommodating</v>
      </c>
      <c r="KS695" s="11" t="str">
        <f t="shared" si="466"/>
        <v>4. Transformative</v>
      </c>
      <c r="KT695" s="11" t="str">
        <f t="shared" si="467"/>
        <v>It did not develop any specific innovation</v>
      </c>
      <c r="KU695" s="11">
        <f t="shared" si="468"/>
        <v>0</v>
      </c>
      <c r="KV695" s="11" t="str">
        <f t="shared" si="469"/>
        <v>It did not take tested solutions to scale</v>
      </c>
      <c r="KW695" s="11" t="str">
        <f t="shared" si="470"/>
        <v>South Sudan - Fortifying Equality For Economic Diversification (FEED)</v>
      </c>
      <c r="KX695" s="11" t="str">
        <f t="shared" si="471"/>
        <v>Fortifying Equality For Economic Diversification (FEED)</v>
      </c>
      <c r="KY695" s="11" t="str">
        <f t="shared" si="472"/>
        <v>South Sudan</v>
      </c>
      <c r="KZ695" s="12">
        <v>695</v>
      </c>
    </row>
    <row r="696" spans="1:312" x14ac:dyDescent="0.3">
      <c r="A696" s="12" t="s">
        <v>11104</v>
      </c>
      <c r="B696" s="12" t="s">
        <v>1874</v>
      </c>
      <c r="C696" s="12">
        <v>3353</v>
      </c>
      <c r="D696" s="12" t="s">
        <v>11208</v>
      </c>
      <c r="E696" s="277" t="str">
        <f t="shared" si="430"/>
        <v>South Sudan</v>
      </c>
      <c r="F696" s="12">
        <v>3352</v>
      </c>
      <c r="G696" s="12" t="s">
        <v>379</v>
      </c>
      <c r="H696" s="12" t="s">
        <v>380</v>
      </c>
      <c r="I696" s="12" t="s">
        <v>381</v>
      </c>
      <c r="J696" s="281" t="s">
        <v>11578</v>
      </c>
      <c r="K696" s="12"/>
      <c r="L696" s="12"/>
      <c r="M696" s="12"/>
      <c r="N696" s="12"/>
      <c r="O696" s="12"/>
      <c r="P696" s="12"/>
      <c r="Q696" s="12"/>
      <c r="R696" s="12"/>
      <c r="S696" s="12"/>
      <c r="T696" s="12"/>
      <c r="U696" s="12"/>
      <c r="V696" s="12"/>
      <c r="W696" s="12"/>
      <c r="X696" s="12"/>
      <c r="Y696" s="12"/>
      <c r="Z696" s="12"/>
      <c r="AA696" s="12"/>
      <c r="AB696" s="12"/>
      <c r="AC696" s="12"/>
      <c r="AD696" s="12"/>
      <c r="BD696" s="13">
        <v>42736</v>
      </c>
      <c r="BE696" s="13">
        <v>43100</v>
      </c>
      <c r="BF696" s="12"/>
      <c r="BG696" s="12" t="s">
        <v>817</v>
      </c>
      <c r="BH696" s="14">
        <v>1775843</v>
      </c>
      <c r="BI696" s="12" t="s">
        <v>11209</v>
      </c>
      <c r="BJ696" s="12" t="s">
        <v>6607</v>
      </c>
      <c r="BK696" s="12" t="s">
        <v>11210</v>
      </c>
      <c r="BL696" s="12"/>
      <c r="BM696" s="12"/>
      <c r="BN696" s="12"/>
      <c r="BO696" s="12" t="s">
        <v>320</v>
      </c>
      <c r="BP696" s="12" t="s">
        <v>319</v>
      </c>
      <c r="BQ696" s="12" t="s">
        <v>319</v>
      </c>
      <c r="BR696" s="12" t="s">
        <v>11211</v>
      </c>
      <c r="BS696" s="12" t="s">
        <v>322</v>
      </c>
      <c r="BT696" s="12" t="s">
        <v>11212</v>
      </c>
      <c r="BU696" s="12" t="s">
        <v>11212</v>
      </c>
      <c r="BV696" s="14">
        <v>44131</v>
      </c>
      <c r="BW696" s="14">
        <v>42828</v>
      </c>
      <c r="BX696" s="14">
        <v>86959</v>
      </c>
      <c r="BY696" s="14">
        <v>71260</v>
      </c>
      <c r="BZ696" s="14">
        <v>65779</v>
      </c>
      <c r="CA696" s="14">
        <v>137039</v>
      </c>
      <c r="CB696" s="12" t="s">
        <v>11112</v>
      </c>
      <c r="CD696" s="14">
        <v>56508</v>
      </c>
      <c r="CE696" s="14">
        <v>36594</v>
      </c>
      <c r="CF696" s="14">
        <v>93102</v>
      </c>
      <c r="CG696" s="14">
        <v>89051</v>
      </c>
      <c r="CH696" s="14">
        <v>57668</v>
      </c>
      <c r="CI696" s="14">
        <v>146719</v>
      </c>
      <c r="CJ696" s="12"/>
      <c r="CK696" s="14"/>
      <c r="CL696" s="16"/>
      <c r="CM696" s="14"/>
      <c r="CN696" s="12"/>
      <c r="CO696" s="14"/>
      <c r="CP696" s="16"/>
      <c r="CQ696" s="14"/>
      <c r="CR696" s="12"/>
      <c r="CS696" s="14"/>
      <c r="CT696" s="16"/>
      <c r="CU696" s="14"/>
      <c r="CV696" s="12"/>
      <c r="CW696" s="14"/>
      <c r="CX696" s="16"/>
      <c r="CY696" s="14"/>
      <c r="CZ696" s="12"/>
      <c r="DA696" s="14"/>
      <c r="DB696" s="16"/>
      <c r="DC696" s="14"/>
      <c r="DD696" s="12"/>
      <c r="DE696" s="14"/>
      <c r="DF696" s="16"/>
      <c r="DG696" s="14"/>
      <c r="DH696" s="12" t="s">
        <v>320</v>
      </c>
      <c r="DI696" s="14">
        <v>93102</v>
      </c>
      <c r="DJ696" s="16">
        <v>0.61</v>
      </c>
      <c r="DK696" s="14">
        <v>146719</v>
      </c>
      <c r="DL696" s="12"/>
      <c r="DM696" s="14"/>
      <c r="DN696" s="16"/>
      <c r="DO696" s="14"/>
      <c r="DP696" s="12"/>
      <c r="DQ696" s="14"/>
      <c r="DR696" s="16"/>
      <c r="DS696" s="14"/>
      <c r="DT696" s="12" t="s">
        <v>320</v>
      </c>
      <c r="DU696" s="14">
        <v>6257</v>
      </c>
      <c r="DV696" s="16">
        <v>1</v>
      </c>
      <c r="DW696" s="14">
        <v>6257</v>
      </c>
      <c r="DX696" s="12"/>
      <c r="DY696" s="14"/>
      <c r="DZ696" s="16"/>
      <c r="EA696" s="14"/>
      <c r="EB696" s="12"/>
      <c r="EC696" s="14"/>
      <c r="ED696" s="16"/>
      <c r="EE696" s="14"/>
      <c r="EF696" s="12"/>
      <c r="EG696" s="12"/>
      <c r="EH696" s="14"/>
      <c r="EI696" s="16"/>
      <c r="EJ696" s="14"/>
      <c r="EK696" s="14"/>
      <c r="EL696" s="14"/>
      <c r="EM696" s="14"/>
      <c r="EN696" s="14"/>
      <c r="EO696" s="14"/>
      <c r="EP696" s="14"/>
      <c r="EQ696" s="12"/>
      <c r="ER696" s="14"/>
      <c r="ES696" s="16"/>
      <c r="ET696" s="14"/>
      <c r="EU696" s="12"/>
      <c r="EV696" s="14"/>
      <c r="EW696" s="16"/>
      <c r="EX696" s="14"/>
      <c r="EY696" s="12"/>
      <c r="EZ696" s="14"/>
      <c r="FA696" s="16"/>
      <c r="FB696" s="14"/>
      <c r="FC696" s="12"/>
      <c r="FD696" s="14"/>
      <c r="FE696" s="16"/>
      <c r="FF696" s="14"/>
      <c r="FG696" s="12"/>
      <c r="FH696" s="14"/>
      <c r="FI696" s="16"/>
      <c r="FJ696" s="14"/>
      <c r="FK696" s="12"/>
      <c r="FL696" s="14"/>
      <c r="FM696" s="16"/>
      <c r="FN696" s="14"/>
      <c r="FO696" s="12"/>
      <c r="FP696" s="14"/>
      <c r="FQ696" s="16"/>
      <c r="FR696" s="14"/>
      <c r="FS696" s="12"/>
      <c r="FT696" s="14"/>
      <c r="FU696" s="16"/>
      <c r="FV696" s="14"/>
      <c r="FW696" s="12"/>
      <c r="FX696" s="14"/>
      <c r="FY696" s="16"/>
      <c r="FZ696" s="14"/>
      <c r="GA696" s="12"/>
      <c r="GB696" s="14"/>
      <c r="GC696" s="16"/>
      <c r="GD696" s="14"/>
      <c r="GE696" s="12"/>
      <c r="GF696" s="14"/>
      <c r="GG696" s="16"/>
      <c r="GH696" s="14"/>
      <c r="GI696" s="12"/>
      <c r="GJ696" s="14"/>
      <c r="GK696" s="16"/>
      <c r="GL696" s="14"/>
      <c r="GM696" s="12"/>
      <c r="GN696" s="14"/>
      <c r="GO696" s="16"/>
      <c r="GP696" s="14"/>
      <c r="GQ696" s="12"/>
      <c r="GR696" s="14"/>
      <c r="GS696" s="16"/>
      <c r="GT696" s="14"/>
      <c r="GU696" s="12"/>
      <c r="GV696" s="14"/>
      <c r="GW696" s="16"/>
      <c r="GX696" s="14"/>
      <c r="GY696" s="12"/>
      <c r="GZ696" s="14"/>
      <c r="HA696" s="16"/>
      <c r="HB696" s="14"/>
      <c r="HC696" s="12"/>
      <c r="HD696" s="12"/>
      <c r="HE696" s="14"/>
      <c r="HF696" s="16"/>
      <c r="HG696" s="14"/>
      <c r="HH696" s="12" t="s">
        <v>319</v>
      </c>
      <c r="HI696" s="12"/>
      <c r="HJ696" s="12"/>
      <c r="HK696" s="12" t="s">
        <v>319</v>
      </c>
      <c r="HL696" s="12" t="s">
        <v>320</v>
      </c>
      <c r="HM696" s="12"/>
      <c r="HN696" s="12"/>
      <c r="HO696" s="12"/>
      <c r="HP696" s="12" t="s">
        <v>453</v>
      </c>
      <c r="HQ696" s="12" t="s">
        <v>320</v>
      </c>
      <c r="HR696" s="12" t="s">
        <v>320</v>
      </c>
      <c r="HS696" s="12" t="s">
        <v>320</v>
      </c>
      <c r="HT696" s="12" t="s">
        <v>320</v>
      </c>
      <c r="HU696" s="12" t="s">
        <v>320</v>
      </c>
      <c r="HV696" s="12" t="s">
        <v>320</v>
      </c>
      <c r="HW696" s="12" t="s">
        <v>320</v>
      </c>
      <c r="HX696" s="12"/>
      <c r="HY696" s="12"/>
      <c r="HZ696" s="12" t="s">
        <v>363</v>
      </c>
      <c r="IA696" s="12"/>
      <c r="IB696" s="12" t="s">
        <v>333</v>
      </c>
      <c r="IC696" s="12"/>
      <c r="ID696" s="12" t="s">
        <v>334</v>
      </c>
      <c r="IE696" s="12" t="s">
        <v>335</v>
      </c>
      <c r="IF696" s="12" t="s">
        <v>320</v>
      </c>
      <c r="IG696" s="12" t="s">
        <v>320</v>
      </c>
      <c r="IH696" s="12"/>
      <c r="II696" s="12" t="s">
        <v>320</v>
      </c>
      <c r="IJ696" s="12" t="str">
        <f t="shared" si="431"/>
        <v>1. Neutral</v>
      </c>
      <c r="IK696" s="12">
        <f t="shared" si="432"/>
        <v>3</v>
      </c>
      <c r="IL696" s="12" t="s">
        <v>336</v>
      </c>
      <c r="IM696" s="12" t="s">
        <v>320</v>
      </c>
      <c r="IN696" s="12" t="s">
        <v>320</v>
      </c>
      <c r="IO696" s="12" t="s">
        <v>320</v>
      </c>
      <c r="IP696" s="12" t="s">
        <v>320</v>
      </c>
      <c r="IQ696" s="12" t="str">
        <f t="shared" si="433"/>
        <v>2. Accommodating</v>
      </c>
      <c r="IR696" s="12">
        <f t="shared" si="434"/>
        <v>4</v>
      </c>
      <c r="IS696" s="12" t="s">
        <v>622</v>
      </c>
      <c r="IT696" s="12" t="s">
        <v>320</v>
      </c>
      <c r="IU696" s="12" t="s">
        <v>320</v>
      </c>
      <c r="IV696" s="12" t="s">
        <v>320</v>
      </c>
      <c r="IW696" s="11" t="str">
        <f t="shared" si="435"/>
        <v>4. Transformative</v>
      </c>
      <c r="IX696" s="12">
        <f t="shared" si="436"/>
        <v>3</v>
      </c>
      <c r="IY696" s="12" t="s">
        <v>419</v>
      </c>
      <c r="IZ696" s="12" t="s">
        <v>432</v>
      </c>
      <c r="JA696" s="12">
        <v>1</v>
      </c>
      <c r="JB696" s="12" t="s">
        <v>687</v>
      </c>
      <c r="JC696" s="12" t="s">
        <v>687</v>
      </c>
      <c r="JD696" s="12"/>
      <c r="JE696" s="12" t="s">
        <v>420</v>
      </c>
      <c r="JF696" s="12"/>
      <c r="JG696" s="12"/>
      <c r="JH696" s="12"/>
      <c r="JI696" s="12"/>
      <c r="JJ696" s="12"/>
      <c r="JK696" s="12" t="s">
        <v>11213</v>
      </c>
      <c r="JL696" s="12" t="s">
        <v>11214</v>
      </c>
      <c r="JM696" s="12"/>
      <c r="JN696" s="12"/>
      <c r="JO696" s="12" t="s">
        <v>11118</v>
      </c>
      <c r="JP696" s="15">
        <f t="shared" si="437"/>
        <v>93102</v>
      </c>
      <c r="JQ696" s="15">
        <f t="shared" si="438"/>
        <v>146719</v>
      </c>
      <c r="JR696" s="279">
        <f t="shared" si="439"/>
        <v>1.5758952546669245</v>
      </c>
      <c r="JS696" s="17">
        <f t="shared" si="440"/>
        <v>0.60694721917896499</v>
      </c>
      <c r="JT696" s="18">
        <f t="shared" si="441"/>
        <v>0.60694933853147859</v>
      </c>
      <c r="JU696" s="280">
        <f t="shared" si="442"/>
        <v>56508</v>
      </c>
      <c r="JV696" s="280">
        <f t="shared" si="443"/>
        <v>89051</v>
      </c>
      <c r="JW696" s="319">
        <f t="shared" si="444"/>
        <v>1</v>
      </c>
      <c r="JX696" s="15">
        <f t="shared" si="445"/>
        <v>93102</v>
      </c>
      <c r="JY696" s="15">
        <f t="shared" si="446"/>
        <v>146719</v>
      </c>
      <c r="JZ696" s="19">
        <f t="shared" si="447"/>
        <v>1.5758952546669245</v>
      </c>
      <c r="KA696" s="52" t="str">
        <f t="shared" si="448"/>
        <v/>
      </c>
      <c r="KB696" s="15">
        <f t="shared" si="449"/>
        <v>0</v>
      </c>
      <c r="KC696" s="15">
        <f t="shared" si="450"/>
        <v>0</v>
      </c>
      <c r="KD696" s="20" t="str">
        <f t="shared" si="451"/>
        <v/>
      </c>
      <c r="KE696" s="52">
        <f t="shared" si="452"/>
        <v>1</v>
      </c>
      <c r="KF696" s="15">
        <f t="shared" si="453"/>
        <v>6257</v>
      </c>
      <c r="KG696" s="15">
        <f t="shared" si="454"/>
        <v>6257</v>
      </c>
      <c r="KH696" s="21">
        <f t="shared" si="455"/>
        <v>1</v>
      </c>
      <c r="KI696" s="52" t="str">
        <f t="shared" si="456"/>
        <v/>
      </c>
      <c r="KJ696" s="15">
        <f t="shared" si="457"/>
        <v>0</v>
      </c>
      <c r="KK696" s="15">
        <f t="shared" si="458"/>
        <v>0</v>
      </c>
      <c r="KL696" s="19" t="str">
        <f t="shared" si="459"/>
        <v/>
      </c>
      <c r="KM696" s="52" t="str">
        <f t="shared" si="460"/>
        <v/>
      </c>
      <c r="KN696" s="22">
        <f t="shared" si="461"/>
        <v>0</v>
      </c>
      <c r="KO696" s="22">
        <f t="shared" si="462"/>
        <v>0</v>
      </c>
      <c r="KP696" s="19" t="str">
        <f t="shared" si="463"/>
        <v/>
      </c>
      <c r="KQ696" s="11" t="str">
        <f t="shared" si="464"/>
        <v>1. Neutral</v>
      </c>
      <c r="KR696" s="11" t="str">
        <f t="shared" si="465"/>
        <v>2. Accommodating</v>
      </c>
      <c r="KS696" s="11" t="str">
        <f t="shared" si="466"/>
        <v>4. Transformative</v>
      </c>
      <c r="KT696" s="11" t="str">
        <f t="shared" si="467"/>
        <v>It did not develop any specific innovation</v>
      </c>
      <c r="KU696" s="11" t="str">
        <f t="shared" si="468"/>
        <v>Intensive advocacy</v>
      </c>
      <c r="KV696" s="11" t="str">
        <f t="shared" si="469"/>
        <v>It did not take tested solutions to scale</v>
      </c>
      <c r="KW696" s="11" t="str">
        <f t="shared" si="470"/>
        <v>South Sudan - Health and Nutrition Project for Refugees and Host Communities (UNHCR)</v>
      </c>
      <c r="KX696" s="11" t="str">
        <f t="shared" si="471"/>
        <v>Health and Nutrition Project for Refugees and Host Communities (UNHCR)</v>
      </c>
      <c r="KY696" s="11" t="str">
        <f t="shared" si="472"/>
        <v>South Sudan</v>
      </c>
      <c r="KZ696" s="287">
        <v>696</v>
      </c>
    </row>
    <row r="697" spans="1:312" x14ac:dyDescent="0.3">
      <c r="A697" s="12" t="s">
        <v>11104</v>
      </c>
      <c r="B697" s="12" t="s">
        <v>1874</v>
      </c>
      <c r="C697" s="12">
        <v>3360</v>
      </c>
      <c r="D697" s="12" t="s">
        <v>11215</v>
      </c>
      <c r="E697" s="277" t="str">
        <f t="shared" si="430"/>
        <v>South Sudan</v>
      </c>
      <c r="F697" s="12">
        <v>3360</v>
      </c>
      <c r="G697" s="12" t="s">
        <v>379</v>
      </c>
      <c r="H697" s="12" t="s">
        <v>383</v>
      </c>
      <c r="I697" s="12" t="s">
        <v>384</v>
      </c>
      <c r="J697" s="281" t="s">
        <v>14743</v>
      </c>
      <c r="K697" s="12"/>
      <c r="L697" s="12"/>
      <c r="M697" s="12"/>
      <c r="N697" s="12"/>
      <c r="O697" s="12"/>
      <c r="P697" s="12"/>
      <c r="Q697" s="12"/>
      <c r="R697" s="12"/>
      <c r="S697" s="12"/>
      <c r="T697" s="12"/>
      <c r="U697" s="12"/>
      <c r="V697" s="12"/>
      <c r="W697" s="12"/>
      <c r="X697" s="12"/>
      <c r="Y697" s="12"/>
      <c r="Z697" s="12"/>
      <c r="AA697" s="12"/>
      <c r="AB697" s="12"/>
      <c r="AC697" s="12"/>
      <c r="AD697" s="12"/>
      <c r="BD697" s="13">
        <v>42370</v>
      </c>
      <c r="BE697" s="13">
        <v>42735</v>
      </c>
      <c r="BF697" s="12"/>
      <c r="BG697" s="12" t="s">
        <v>908</v>
      </c>
      <c r="BH697" s="14">
        <v>43500</v>
      </c>
      <c r="BI697" s="12" t="s">
        <v>11216</v>
      </c>
      <c r="BJ697" s="12" t="s">
        <v>11217</v>
      </c>
      <c r="BK697" s="12" t="s">
        <v>11107</v>
      </c>
      <c r="BL697" s="12"/>
      <c r="BM697" s="12"/>
      <c r="BN697" s="12"/>
      <c r="BO697" s="12" t="s">
        <v>320</v>
      </c>
      <c r="BP697" s="11" t="s">
        <v>320</v>
      </c>
      <c r="BQ697" s="12" t="s">
        <v>320</v>
      </c>
      <c r="BR697" s="12" t="s">
        <v>11148</v>
      </c>
      <c r="BS697" s="12" t="s">
        <v>357</v>
      </c>
      <c r="BT697" s="12" t="s">
        <v>11218</v>
      </c>
      <c r="BU697" s="12" t="s">
        <v>11111</v>
      </c>
      <c r="BV697" s="14">
        <v>400</v>
      </c>
      <c r="BW697" s="14">
        <v>50</v>
      </c>
      <c r="BX697" s="14">
        <v>450</v>
      </c>
      <c r="BY697" s="14">
        <v>2000</v>
      </c>
      <c r="BZ697" s="14">
        <v>250</v>
      </c>
      <c r="CA697" s="14">
        <v>2250</v>
      </c>
      <c r="CB697" s="12" t="s">
        <v>11219</v>
      </c>
      <c r="CD697" s="14">
        <v>164</v>
      </c>
      <c r="CE697" s="14">
        <v>76</v>
      </c>
      <c r="CF697" s="14">
        <v>240</v>
      </c>
      <c r="CG697" s="14">
        <v>820</v>
      </c>
      <c r="CH697" s="14">
        <v>380</v>
      </c>
      <c r="CI697" s="14">
        <v>1200</v>
      </c>
      <c r="CJ697" s="12" t="s">
        <v>319</v>
      </c>
      <c r="CK697" s="14"/>
      <c r="CL697" s="16"/>
      <c r="CM697" s="14"/>
      <c r="CN697" s="12" t="s">
        <v>319</v>
      </c>
      <c r="CO697" s="14"/>
      <c r="CP697" s="16"/>
      <c r="CQ697" s="14"/>
      <c r="CR697" s="12" t="s">
        <v>319</v>
      </c>
      <c r="CS697" s="14"/>
      <c r="CT697" s="16"/>
      <c r="CU697" s="14"/>
      <c r="CV697" s="12" t="s">
        <v>319</v>
      </c>
      <c r="CW697" s="14"/>
      <c r="CX697" s="16"/>
      <c r="CY697" s="14"/>
      <c r="CZ697" s="12" t="s">
        <v>319</v>
      </c>
      <c r="DA697" s="14"/>
      <c r="DB697" s="16"/>
      <c r="DC697" s="14">
        <v>0</v>
      </c>
      <c r="DD697" s="12" t="s">
        <v>319</v>
      </c>
      <c r="DE697" s="14"/>
      <c r="DF697" s="16"/>
      <c r="DG697" s="14"/>
      <c r="DH697" s="12" t="s">
        <v>319</v>
      </c>
      <c r="DI697" s="14"/>
      <c r="DJ697" s="16"/>
      <c r="DK697" s="14"/>
      <c r="DL697" s="11" t="s">
        <v>320</v>
      </c>
      <c r="DM697" s="14">
        <v>240</v>
      </c>
      <c r="DN697" s="16">
        <v>0.68</v>
      </c>
      <c r="DO697" s="14">
        <v>1200</v>
      </c>
      <c r="DP697" s="12" t="s">
        <v>319</v>
      </c>
      <c r="DQ697" s="14"/>
      <c r="DR697" s="16"/>
      <c r="DS697" s="14"/>
      <c r="DT697" s="12" t="s">
        <v>319</v>
      </c>
      <c r="DU697" s="14"/>
      <c r="DV697" s="16"/>
      <c r="DW697" s="14"/>
      <c r="DX697" s="12" t="s">
        <v>319</v>
      </c>
      <c r="DY697" s="14"/>
      <c r="DZ697" s="16"/>
      <c r="EA697" s="14"/>
      <c r="EB697" s="12" t="s">
        <v>319</v>
      </c>
      <c r="EC697" s="14"/>
      <c r="ED697" s="16"/>
      <c r="EE697" s="14"/>
      <c r="EF697" s="12"/>
      <c r="EG697" s="12" t="s">
        <v>319</v>
      </c>
      <c r="EH697" s="14"/>
      <c r="EI697" s="16"/>
      <c r="EJ697" s="14"/>
      <c r="EK697" s="14"/>
      <c r="EL697" s="14">
        <v>294</v>
      </c>
      <c r="EM697" s="14">
        <v>294</v>
      </c>
      <c r="EN697" s="14"/>
      <c r="EO697" s="14"/>
      <c r="EP697" s="14"/>
      <c r="EQ697" s="12"/>
      <c r="ER697" s="14"/>
      <c r="ES697" s="16"/>
      <c r="ET697" s="14"/>
      <c r="EU697" s="12"/>
      <c r="EV697" s="14"/>
      <c r="EW697" s="16"/>
      <c r="EX697" s="14"/>
      <c r="EY697" s="12"/>
      <c r="EZ697" s="14"/>
      <c r="FA697" s="16"/>
      <c r="FB697" s="14"/>
      <c r="FC697" s="12"/>
      <c r="FD697" s="14"/>
      <c r="FE697" s="16"/>
      <c r="FF697" s="14"/>
      <c r="FG697" s="12" t="s">
        <v>320</v>
      </c>
      <c r="FH697" s="14">
        <v>240</v>
      </c>
      <c r="FI697" s="16">
        <v>0.68</v>
      </c>
      <c r="FJ697" s="14">
        <v>1200</v>
      </c>
      <c r="FK697" s="12"/>
      <c r="FL697" s="14"/>
      <c r="FM697" s="16"/>
      <c r="FN697" s="14"/>
      <c r="FO697" s="12"/>
      <c r="FP697" s="14"/>
      <c r="FQ697" s="16"/>
      <c r="FR697" s="14"/>
      <c r="FS697" s="12"/>
      <c r="FT697" s="14"/>
      <c r="FU697" s="16"/>
      <c r="FV697" s="14"/>
      <c r="FW697" s="12"/>
      <c r="FX697" s="14"/>
      <c r="FY697" s="16"/>
      <c r="FZ697" s="14"/>
      <c r="GA697" s="12"/>
      <c r="GB697" s="14"/>
      <c r="GC697" s="16"/>
      <c r="GD697" s="14"/>
      <c r="GE697" s="12"/>
      <c r="GF697" s="14"/>
      <c r="GG697" s="16"/>
      <c r="GH697" s="14"/>
      <c r="GI697" s="12"/>
      <c r="GJ697" s="14"/>
      <c r="GK697" s="16"/>
      <c r="GL697" s="14"/>
      <c r="GM697" s="12"/>
      <c r="GN697" s="14"/>
      <c r="GO697" s="16"/>
      <c r="GP697" s="14"/>
      <c r="GQ697" s="12"/>
      <c r="GR697" s="14"/>
      <c r="GS697" s="16"/>
      <c r="GT697" s="14"/>
      <c r="GU697" s="12"/>
      <c r="GV697" s="14"/>
      <c r="GW697" s="16"/>
      <c r="GX697" s="14"/>
      <c r="GY697" s="11" t="s">
        <v>320</v>
      </c>
      <c r="GZ697" s="14">
        <v>0</v>
      </c>
      <c r="HA697" s="16">
        <v>1</v>
      </c>
      <c r="HB697" s="14"/>
      <c r="HC697" s="12"/>
      <c r="HD697" s="12"/>
      <c r="HE697" s="14"/>
      <c r="HF697" s="16"/>
      <c r="HG697" s="14"/>
      <c r="HH697" s="12" t="s">
        <v>319</v>
      </c>
      <c r="HI697" s="12"/>
      <c r="HJ697" s="12"/>
      <c r="HK697" s="12" t="s">
        <v>319</v>
      </c>
      <c r="HL697" s="12" t="s">
        <v>319</v>
      </c>
      <c r="HM697" s="12"/>
      <c r="HN697" s="12"/>
      <c r="HO697" s="12"/>
      <c r="HP697" s="12" t="s">
        <v>330</v>
      </c>
      <c r="HQ697" s="12" t="s">
        <v>320</v>
      </c>
      <c r="HR697" s="12" t="s">
        <v>320</v>
      </c>
      <c r="HS697" s="12" t="s">
        <v>320</v>
      </c>
      <c r="HT697" s="12" t="s">
        <v>319</v>
      </c>
      <c r="HU697" s="12" t="s">
        <v>320</v>
      </c>
      <c r="HV697" s="12" t="s">
        <v>320</v>
      </c>
      <c r="HW697" s="12" t="s">
        <v>319</v>
      </c>
      <c r="HX697" s="12"/>
      <c r="HY697" s="12"/>
      <c r="HZ697" s="12" t="s">
        <v>331</v>
      </c>
      <c r="IA697" s="12" t="s">
        <v>1323</v>
      </c>
      <c r="IB697" s="12" t="s">
        <v>667</v>
      </c>
      <c r="IC697" s="12" t="s">
        <v>11220</v>
      </c>
      <c r="ID697" s="12" t="s">
        <v>334</v>
      </c>
      <c r="IE697" s="12" t="s">
        <v>335</v>
      </c>
      <c r="IF697" s="12" t="s">
        <v>320</v>
      </c>
      <c r="IG697" s="12" t="s">
        <v>320</v>
      </c>
      <c r="IH697" s="12" t="s">
        <v>320</v>
      </c>
      <c r="II697" s="12" t="s">
        <v>320</v>
      </c>
      <c r="IJ697" s="12" t="str">
        <f t="shared" si="431"/>
        <v>2. Sensitive</v>
      </c>
      <c r="IK697" s="12">
        <f t="shared" si="432"/>
        <v>4</v>
      </c>
      <c r="IL697" s="12" t="s">
        <v>336</v>
      </c>
      <c r="IM697" s="12" t="s">
        <v>320</v>
      </c>
      <c r="IN697" s="12" t="s">
        <v>320</v>
      </c>
      <c r="IO697" s="12" t="s">
        <v>320</v>
      </c>
      <c r="IP697" s="12" t="s">
        <v>320</v>
      </c>
      <c r="IQ697" s="12" t="str">
        <f t="shared" si="433"/>
        <v>2. Accommodating</v>
      </c>
      <c r="IR697" s="12">
        <f t="shared" si="434"/>
        <v>4</v>
      </c>
      <c r="IS697" s="12" t="s">
        <v>337</v>
      </c>
      <c r="IT697" s="12" t="s">
        <v>319</v>
      </c>
      <c r="IU697" s="12" t="s">
        <v>320</v>
      </c>
      <c r="IV697" s="12" t="s">
        <v>320</v>
      </c>
      <c r="IW697" s="11" t="str">
        <f t="shared" si="435"/>
        <v>1. Neutral</v>
      </c>
      <c r="IX697" s="12">
        <f t="shared" si="436"/>
        <v>2</v>
      </c>
      <c r="IY697" s="12" t="s">
        <v>419</v>
      </c>
      <c r="IZ697" s="12" t="s">
        <v>339</v>
      </c>
      <c r="JA697" s="12">
        <v>2</v>
      </c>
      <c r="JB697" s="12" t="s">
        <v>687</v>
      </c>
      <c r="JC697" s="12" t="s">
        <v>831</v>
      </c>
      <c r="JD697" s="12" t="s">
        <v>384</v>
      </c>
      <c r="JE697" s="12" t="s">
        <v>420</v>
      </c>
      <c r="JF697" s="12"/>
      <c r="JG697" s="12" t="s">
        <v>11221</v>
      </c>
      <c r="JH697" s="12" t="s">
        <v>1323</v>
      </c>
      <c r="JI697" s="12"/>
      <c r="JJ697" s="12"/>
      <c r="JK697" s="12" t="s">
        <v>11156</v>
      </c>
      <c r="JL697" s="12" t="s">
        <v>11158</v>
      </c>
      <c r="JM697" s="12"/>
      <c r="JN697" s="12"/>
      <c r="JO697" s="12" t="s">
        <v>11167</v>
      </c>
      <c r="JP697" s="15">
        <f t="shared" si="437"/>
        <v>294</v>
      </c>
      <c r="JQ697" s="15">
        <f t="shared" si="438"/>
        <v>1200</v>
      </c>
      <c r="JR697" s="279">
        <f t="shared" si="439"/>
        <v>4.0816326530612246</v>
      </c>
      <c r="JS697" s="17">
        <f t="shared" si="440"/>
        <v>0.55782312925170063</v>
      </c>
      <c r="JT697" s="18">
        <f t="shared" si="441"/>
        <v>0.68333333333333335</v>
      </c>
      <c r="JU697" s="280">
        <f t="shared" si="442"/>
        <v>164</v>
      </c>
      <c r="JV697" s="280">
        <f t="shared" si="443"/>
        <v>820</v>
      </c>
      <c r="JW697" s="319">
        <f t="shared" si="444"/>
        <v>1</v>
      </c>
      <c r="JX697" s="15">
        <f t="shared" si="445"/>
        <v>240</v>
      </c>
      <c r="JY697" s="15">
        <f t="shared" si="446"/>
        <v>1200</v>
      </c>
      <c r="JZ697" s="19">
        <f t="shared" si="447"/>
        <v>5</v>
      </c>
      <c r="KA697" s="52">
        <f t="shared" si="448"/>
        <v>1</v>
      </c>
      <c r="KB697" s="15">
        <f t="shared" si="449"/>
        <v>240</v>
      </c>
      <c r="KC697" s="15">
        <f t="shared" si="450"/>
        <v>1200</v>
      </c>
      <c r="KD697" s="20">
        <f t="shared" si="451"/>
        <v>5</v>
      </c>
      <c r="KE697" s="52" t="str">
        <f t="shared" si="452"/>
        <v/>
      </c>
      <c r="KF697" s="15">
        <f t="shared" si="453"/>
        <v>0</v>
      </c>
      <c r="KG697" s="15">
        <f t="shared" si="454"/>
        <v>0</v>
      </c>
      <c r="KH697" s="21" t="str">
        <f t="shared" si="455"/>
        <v/>
      </c>
      <c r="KI697" s="52" t="str">
        <f t="shared" si="456"/>
        <v/>
      </c>
      <c r="KJ697" s="15">
        <f t="shared" si="457"/>
        <v>0</v>
      </c>
      <c r="KK697" s="15">
        <f t="shared" si="458"/>
        <v>0</v>
      </c>
      <c r="KL697" s="19" t="str">
        <f t="shared" si="459"/>
        <v/>
      </c>
      <c r="KM697" s="52">
        <f t="shared" si="460"/>
        <v>1</v>
      </c>
      <c r="KN697" s="22">
        <f t="shared" si="461"/>
        <v>163.20000000000002</v>
      </c>
      <c r="KO697" s="22">
        <f t="shared" si="462"/>
        <v>816.00000000000011</v>
      </c>
      <c r="KP697" s="19">
        <f t="shared" si="463"/>
        <v>5</v>
      </c>
      <c r="KQ697" s="11" t="str">
        <f t="shared" si="464"/>
        <v>2. Sensitive</v>
      </c>
      <c r="KR697" s="11" t="str">
        <f t="shared" si="465"/>
        <v>2. Accommodating</v>
      </c>
      <c r="KS697" s="11" t="str">
        <f t="shared" si="466"/>
        <v>1. Neutral</v>
      </c>
      <c r="KT697" s="11" t="str">
        <f t="shared" si="467"/>
        <v>It tested new ways for fighting poverty and measured results of innovation</v>
      </c>
      <c r="KU697" s="11" t="str">
        <f t="shared" si="468"/>
        <v>Moderate advocacy</v>
      </c>
      <c r="KV697" s="11" t="str">
        <f t="shared" si="469"/>
        <v>It took tested solutions to scale on its own</v>
      </c>
      <c r="KW697" s="11" t="str">
        <f t="shared" si="470"/>
        <v>South Sudan - HELSEL FOR FEED - VSLA in Eastern Equatoria</v>
      </c>
      <c r="KX697" s="11" t="str">
        <f t="shared" si="471"/>
        <v>HELSEL FOR FEED - VSLA in Eastern Equatoria</v>
      </c>
      <c r="KY697" s="11" t="str">
        <f t="shared" si="472"/>
        <v>South Sudan</v>
      </c>
      <c r="KZ697" s="12">
        <v>697</v>
      </c>
    </row>
    <row r="698" spans="1:312" x14ac:dyDescent="0.3">
      <c r="A698" s="12" t="s">
        <v>11104</v>
      </c>
      <c r="B698" s="12" t="s">
        <v>1874</v>
      </c>
      <c r="C698" s="12"/>
      <c r="D698" s="12" t="s">
        <v>11222</v>
      </c>
      <c r="E698" s="277" t="str">
        <f t="shared" si="430"/>
        <v>South Sudan</v>
      </c>
      <c r="F698" s="12"/>
      <c r="G698" s="12" t="s">
        <v>379</v>
      </c>
      <c r="H698" s="12" t="s">
        <v>380</v>
      </c>
      <c r="I698" s="12" t="s">
        <v>381</v>
      </c>
      <c r="J698" s="281" t="s">
        <v>8430</v>
      </c>
      <c r="K698" s="12"/>
      <c r="L698" s="12"/>
      <c r="M698" s="12"/>
      <c r="N698" s="12"/>
      <c r="O698" s="12"/>
      <c r="P698" s="12"/>
      <c r="Q698" s="12"/>
      <c r="R698" s="12"/>
      <c r="S698" s="12"/>
      <c r="T698" s="12"/>
      <c r="U698" s="12"/>
      <c r="V698" s="12"/>
      <c r="W698" s="12"/>
      <c r="X698" s="12"/>
      <c r="Y698" s="12"/>
      <c r="Z698" s="12"/>
      <c r="AA698" s="12"/>
      <c r="AB698" s="12"/>
      <c r="AC698" s="12"/>
      <c r="AD698" s="12"/>
      <c r="BD698" s="13">
        <v>42736</v>
      </c>
      <c r="BE698" s="13">
        <v>43100</v>
      </c>
      <c r="BF698" s="13"/>
      <c r="BG698" s="12" t="s">
        <v>908</v>
      </c>
      <c r="BH698" s="14">
        <v>2442791</v>
      </c>
      <c r="BI698" s="12" t="s">
        <v>11203</v>
      </c>
      <c r="BJ698" s="12" t="s">
        <v>11223</v>
      </c>
      <c r="BK698" s="12" t="s">
        <v>11205</v>
      </c>
      <c r="BL698" s="12" t="s">
        <v>11224</v>
      </c>
      <c r="BM698" s="12" t="s">
        <v>11223</v>
      </c>
      <c r="BN698" s="12" t="s">
        <v>11225</v>
      </c>
      <c r="BO698" s="12" t="s">
        <v>320</v>
      </c>
      <c r="BP698" s="12" t="s">
        <v>319</v>
      </c>
      <c r="BQ698" s="12" t="s">
        <v>319</v>
      </c>
      <c r="BR698" s="12" t="s">
        <v>11226</v>
      </c>
      <c r="BS698" s="12" t="s">
        <v>322</v>
      </c>
      <c r="BT698" s="12" t="s">
        <v>11227</v>
      </c>
      <c r="BU698" s="12" t="s">
        <v>11228</v>
      </c>
      <c r="BV698" s="14">
        <v>7719</v>
      </c>
      <c r="BW698" s="14">
        <v>7125</v>
      </c>
      <c r="BX698" s="14">
        <v>14844</v>
      </c>
      <c r="BY698" s="14">
        <v>210600</v>
      </c>
      <c r="BZ698" s="14">
        <v>194400</v>
      </c>
      <c r="CA698" s="14">
        <v>405000</v>
      </c>
      <c r="CB698" s="12" t="s">
        <v>11229</v>
      </c>
      <c r="CD698" s="14">
        <v>2744</v>
      </c>
      <c r="CE698" s="14">
        <v>2762</v>
      </c>
      <c r="CF698" s="14">
        <v>5506</v>
      </c>
      <c r="CG698" s="14">
        <v>136370</v>
      </c>
      <c r="CH698" s="14">
        <v>125370</v>
      </c>
      <c r="CI698" s="14">
        <v>261740</v>
      </c>
      <c r="CJ698" s="12" t="s">
        <v>319</v>
      </c>
      <c r="CK698" s="14"/>
      <c r="CL698" s="16"/>
      <c r="CM698" s="14"/>
      <c r="CN698" s="12" t="s">
        <v>319</v>
      </c>
      <c r="CO698" s="14"/>
      <c r="CP698" s="16"/>
      <c r="CQ698" s="14"/>
      <c r="CR698" s="12" t="s">
        <v>319</v>
      </c>
      <c r="CS698" s="14"/>
      <c r="CT698" s="16"/>
      <c r="CU698" s="14"/>
      <c r="CV698" s="12" t="s">
        <v>320</v>
      </c>
      <c r="CW698" s="14">
        <v>5606</v>
      </c>
      <c r="CX698" s="16">
        <v>0.51</v>
      </c>
      <c r="CY698" s="14">
        <v>261390</v>
      </c>
      <c r="CZ698" s="12"/>
      <c r="DA698" s="14"/>
      <c r="DB698" s="16"/>
      <c r="DC698" s="14"/>
      <c r="DD698" s="12"/>
      <c r="DE698" s="14"/>
      <c r="DF698" s="16"/>
      <c r="DG698" s="14"/>
      <c r="DH698" s="12"/>
      <c r="DI698" s="14"/>
      <c r="DJ698" s="16"/>
      <c r="DK698" s="14"/>
      <c r="DL698" s="12"/>
      <c r="DM698" s="14"/>
      <c r="DN698" s="16"/>
      <c r="DO698" s="14"/>
      <c r="DP698" s="12"/>
      <c r="DQ698" s="14"/>
      <c r="DR698" s="16"/>
      <c r="DS698" s="14"/>
      <c r="DT698" s="12"/>
      <c r="DU698" s="14"/>
      <c r="DV698" s="16"/>
      <c r="DW698" s="14"/>
      <c r="DX698" s="12"/>
      <c r="DY698" s="14"/>
      <c r="DZ698" s="16"/>
      <c r="EA698" s="14"/>
      <c r="EB698" s="12"/>
      <c r="EC698" s="14"/>
      <c r="ED698" s="16"/>
      <c r="EE698" s="14"/>
      <c r="EF698" s="12"/>
      <c r="EG698" s="12"/>
      <c r="EH698" s="14"/>
      <c r="EI698" s="16"/>
      <c r="EJ698" s="14"/>
      <c r="EK698" s="14"/>
      <c r="EL698" s="14"/>
      <c r="EM698" s="14"/>
      <c r="EN698" s="14"/>
      <c r="EO698" s="14"/>
      <c r="EP698" s="14"/>
      <c r="EQ698" s="12"/>
      <c r="ER698" s="14"/>
      <c r="ES698" s="16"/>
      <c r="ET698" s="14"/>
      <c r="EU698" s="12"/>
      <c r="EV698" s="14"/>
      <c r="EW698" s="16"/>
      <c r="EX698" s="14"/>
      <c r="EY698" s="12"/>
      <c r="EZ698" s="14"/>
      <c r="FA698" s="16"/>
      <c r="FB698" s="14"/>
      <c r="FC698" s="12"/>
      <c r="FD698" s="14"/>
      <c r="FE698" s="16"/>
      <c r="FF698" s="14"/>
      <c r="FG698" s="12"/>
      <c r="FH698" s="14"/>
      <c r="FI698" s="16"/>
      <c r="FJ698" s="14"/>
      <c r="FK698" s="12"/>
      <c r="FL698" s="14"/>
      <c r="FM698" s="16"/>
      <c r="FN698" s="14"/>
      <c r="FO698" s="12"/>
      <c r="FP698" s="14"/>
      <c r="FQ698" s="16"/>
      <c r="FR698" s="14"/>
      <c r="FS698" s="12"/>
      <c r="FT698" s="14"/>
      <c r="FU698" s="16"/>
      <c r="FV698" s="14"/>
      <c r="FW698" s="12"/>
      <c r="FX698" s="14"/>
      <c r="FY698" s="16"/>
      <c r="FZ698" s="14"/>
      <c r="GA698" s="12"/>
      <c r="GB698" s="14"/>
      <c r="GC698" s="16"/>
      <c r="GD698" s="14"/>
      <c r="GE698" s="12"/>
      <c r="GF698" s="14"/>
      <c r="GG698" s="16"/>
      <c r="GH698" s="14"/>
      <c r="GI698" s="12"/>
      <c r="GJ698" s="14"/>
      <c r="GK698" s="16"/>
      <c r="GL698" s="14"/>
      <c r="GM698" s="12"/>
      <c r="GN698" s="14"/>
      <c r="GO698" s="16"/>
      <c r="GP698" s="14"/>
      <c r="GQ698" s="12"/>
      <c r="GR698" s="14"/>
      <c r="GS698" s="16"/>
      <c r="GT698" s="14"/>
      <c r="GU698" s="12"/>
      <c r="GV698" s="14"/>
      <c r="GW698" s="16"/>
      <c r="GX698" s="14"/>
      <c r="GZ698" s="14"/>
      <c r="HA698" s="16"/>
      <c r="HB698" s="14"/>
      <c r="HC698" s="12"/>
      <c r="HD698" s="12"/>
      <c r="HE698" s="14"/>
      <c r="HF698" s="16"/>
      <c r="HG698" s="14"/>
      <c r="HH698" s="12" t="s">
        <v>319</v>
      </c>
      <c r="HI698" s="12"/>
      <c r="HJ698" s="12"/>
      <c r="HK698" s="12" t="s">
        <v>319</v>
      </c>
      <c r="HL698" s="12" t="s">
        <v>319</v>
      </c>
      <c r="HM698" s="12"/>
      <c r="HN698" s="12"/>
      <c r="HO698" s="12" t="s">
        <v>11230</v>
      </c>
      <c r="HP698" s="12" t="s">
        <v>453</v>
      </c>
      <c r="HQ698" s="12"/>
      <c r="HR698" s="12" t="s">
        <v>320</v>
      </c>
      <c r="HS698" s="12" t="s">
        <v>320</v>
      </c>
      <c r="HT698" s="12" t="s">
        <v>320</v>
      </c>
      <c r="HU698" s="12" t="s">
        <v>320</v>
      </c>
      <c r="HV698" s="12" t="s">
        <v>320</v>
      </c>
      <c r="HW698" s="12" t="s">
        <v>320</v>
      </c>
      <c r="HX698" s="12"/>
      <c r="HY698" s="12"/>
      <c r="HZ698" s="12" t="s">
        <v>394</v>
      </c>
      <c r="IA698" s="12" t="s">
        <v>11231</v>
      </c>
      <c r="IB698" s="12" t="s">
        <v>333</v>
      </c>
      <c r="IC698" s="12"/>
      <c r="ID698" s="12" t="s">
        <v>334</v>
      </c>
      <c r="IE698" s="12" t="s">
        <v>335</v>
      </c>
      <c r="IF698" s="12" t="s">
        <v>320</v>
      </c>
      <c r="IG698" s="12" t="s">
        <v>320</v>
      </c>
      <c r="IH698" s="12" t="s">
        <v>320</v>
      </c>
      <c r="II698" s="12" t="s">
        <v>320</v>
      </c>
      <c r="IJ698" s="12" t="str">
        <f t="shared" si="431"/>
        <v>2. Sensitive</v>
      </c>
      <c r="IK698" s="12">
        <f t="shared" si="432"/>
        <v>4</v>
      </c>
      <c r="IL698" s="12" t="s">
        <v>336</v>
      </c>
      <c r="IM698" s="12" t="s">
        <v>320</v>
      </c>
      <c r="IN698" s="12" t="s">
        <v>320</v>
      </c>
      <c r="IO698" s="12" t="s">
        <v>320</v>
      </c>
      <c r="IP698" s="12" t="s">
        <v>320</v>
      </c>
      <c r="IQ698" s="12" t="str">
        <f t="shared" si="433"/>
        <v>2. Accommodating</v>
      </c>
      <c r="IR698" s="12">
        <f t="shared" si="434"/>
        <v>4</v>
      </c>
      <c r="IS698" s="12" t="s">
        <v>622</v>
      </c>
      <c r="IT698" s="12" t="s">
        <v>320</v>
      </c>
      <c r="IU698" s="12" t="s">
        <v>320</v>
      </c>
      <c r="IV698" s="12" t="s">
        <v>320</v>
      </c>
      <c r="IW698" s="11" t="str">
        <f t="shared" si="435"/>
        <v>4. Transformative</v>
      </c>
      <c r="IX698" s="12">
        <f t="shared" si="436"/>
        <v>3</v>
      </c>
      <c r="IY698" s="12"/>
      <c r="IZ698" s="12"/>
      <c r="JA698" s="12">
        <v>4</v>
      </c>
      <c r="JB698" s="12" t="s">
        <v>831</v>
      </c>
      <c r="JC698" s="12" t="s">
        <v>2236</v>
      </c>
      <c r="JD698" s="12" t="s">
        <v>687</v>
      </c>
      <c r="JE698" s="12" t="s">
        <v>365</v>
      </c>
      <c r="JF698" s="12"/>
      <c r="JG698" s="12"/>
      <c r="JH698" s="12" t="s">
        <v>11232</v>
      </c>
      <c r="JI698" s="12" t="s">
        <v>11233</v>
      </c>
      <c r="JJ698" s="12" t="s">
        <v>11234</v>
      </c>
      <c r="JK698" s="12" t="s">
        <v>11235</v>
      </c>
      <c r="JL698" s="12" t="s">
        <v>11236</v>
      </c>
      <c r="JM698" s="12" t="s">
        <v>11234</v>
      </c>
      <c r="JN698" s="12"/>
      <c r="JO698" s="12"/>
      <c r="JP698" s="15">
        <f t="shared" si="437"/>
        <v>5506</v>
      </c>
      <c r="JQ698" s="15">
        <f t="shared" si="438"/>
        <v>261740</v>
      </c>
      <c r="JR698" s="279">
        <f t="shared" si="439"/>
        <v>47.537232110424988</v>
      </c>
      <c r="JS698" s="17">
        <f t="shared" si="440"/>
        <v>0.49836541954231744</v>
      </c>
      <c r="JT698" s="18">
        <f t="shared" si="441"/>
        <v>0.52101321922518529</v>
      </c>
      <c r="JU698" s="280">
        <f t="shared" si="442"/>
        <v>2744</v>
      </c>
      <c r="JV698" s="280">
        <f t="shared" si="443"/>
        <v>136370</v>
      </c>
      <c r="JW698" s="319">
        <f t="shared" si="444"/>
        <v>1</v>
      </c>
      <c r="JX698" s="15">
        <f t="shared" si="445"/>
        <v>5506</v>
      </c>
      <c r="JY698" s="15">
        <f t="shared" si="446"/>
        <v>261740</v>
      </c>
      <c r="JZ698" s="19">
        <f t="shared" si="447"/>
        <v>47.537232110424988</v>
      </c>
      <c r="KA698" s="52">
        <f t="shared" si="448"/>
        <v>1</v>
      </c>
      <c r="KB698" s="15">
        <f t="shared" si="449"/>
        <v>5606</v>
      </c>
      <c r="KC698" s="15">
        <f t="shared" si="450"/>
        <v>261390</v>
      </c>
      <c r="KD698" s="20">
        <f t="shared" si="451"/>
        <v>46.626828398144845</v>
      </c>
      <c r="KE698" s="52" t="str">
        <f t="shared" si="452"/>
        <v/>
      </c>
      <c r="KF698" s="15">
        <f t="shared" si="453"/>
        <v>0</v>
      </c>
      <c r="KG698" s="15">
        <f t="shared" si="454"/>
        <v>0</v>
      </c>
      <c r="KH698" s="21" t="str">
        <f t="shared" si="455"/>
        <v/>
      </c>
      <c r="KI698" s="52" t="str">
        <f t="shared" si="456"/>
        <v/>
      </c>
      <c r="KJ698" s="15">
        <f t="shared" si="457"/>
        <v>0</v>
      </c>
      <c r="KK698" s="15">
        <f t="shared" si="458"/>
        <v>0</v>
      </c>
      <c r="KL698" s="19" t="str">
        <f t="shared" si="459"/>
        <v/>
      </c>
      <c r="KM698" s="52" t="str">
        <f t="shared" si="460"/>
        <v/>
      </c>
      <c r="KN698" s="22">
        <f t="shared" si="461"/>
        <v>0</v>
      </c>
      <c r="KO698" s="22">
        <f t="shared" si="462"/>
        <v>0</v>
      </c>
      <c r="KP698" s="19" t="str">
        <f t="shared" si="463"/>
        <v/>
      </c>
      <c r="KQ698" s="11" t="str">
        <f t="shared" si="464"/>
        <v>2. Sensitive</v>
      </c>
      <c r="KR698" s="11" t="str">
        <f t="shared" si="465"/>
        <v>2. Accommodating</v>
      </c>
      <c r="KS698" s="11" t="str">
        <f t="shared" si="466"/>
        <v>4. Transformative</v>
      </c>
      <c r="KT698" s="11" t="str">
        <f t="shared" si="467"/>
        <v>It tested new ways for fighting poverty, but did not measure results of innovation</v>
      </c>
      <c r="KU698" s="11" t="str">
        <f t="shared" si="468"/>
        <v>Intensive advocacy</v>
      </c>
      <c r="KV698" s="11" t="str">
        <f t="shared" si="469"/>
        <v>It did not take tested solutions to scale</v>
      </c>
      <c r="KW698" s="11" t="str">
        <f t="shared" si="470"/>
        <v>South Sudan - Integrated Emergency Nutrition Response to Malnourished Children Under Five Years of Age and Pregnant and Lactating Mothers in 4 Counties (Mayom, Rubkona, Abiemnon and Pariang) and Bentiu POC IDP Camp in Northern Unity State</v>
      </c>
      <c r="KX698" s="11" t="str">
        <f t="shared" si="471"/>
        <v>Integrated Emergency Nutrition Response to Malnourished Children Under Five Years of Age and Pregnant and Lactating Mothers in 4 Counties (Mayom, Rubkona, Abiemnon and Pariang) and Bentiu POC IDP Camp in Northern Unity State</v>
      </c>
      <c r="KY698" s="11" t="str">
        <f t="shared" si="472"/>
        <v>South Sudan</v>
      </c>
      <c r="KZ698" s="12">
        <v>698</v>
      </c>
    </row>
    <row r="699" spans="1:312" x14ac:dyDescent="0.3">
      <c r="A699" s="282" t="s">
        <v>11104</v>
      </c>
      <c r="B699" s="282" t="s">
        <v>1874</v>
      </c>
      <c r="C699" s="282"/>
      <c r="D699" s="282" t="s">
        <v>11237</v>
      </c>
      <c r="E699" s="277" t="str">
        <f t="shared" si="430"/>
        <v>South Sudan</v>
      </c>
      <c r="F699" s="282"/>
      <c r="G699" s="282" t="s">
        <v>379</v>
      </c>
      <c r="H699" s="282" t="s">
        <v>383</v>
      </c>
      <c r="I699" s="282" t="s">
        <v>384</v>
      </c>
      <c r="J699" s="281" t="s">
        <v>12008</v>
      </c>
      <c r="K699" s="282"/>
      <c r="L699" s="282"/>
      <c r="M699" s="282"/>
      <c r="N699" s="282"/>
      <c r="O699" s="282"/>
      <c r="P699" s="282"/>
      <c r="Q699" s="282"/>
      <c r="R699" s="282"/>
      <c r="S699" s="282"/>
      <c r="T699" s="282"/>
      <c r="U699" s="282"/>
      <c r="V699" s="282"/>
      <c r="W699" s="282"/>
      <c r="X699" s="282"/>
      <c r="Y699" s="282"/>
      <c r="Z699" s="282"/>
      <c r="AA699" s="282"/>
      <c r="AB699" s="282"/>
      <c r="AC699" s="282"/>
      <c r="AD699" s="282"/>
      <c r="AE699" s="282"/>
      <c r="AF699" s="282"/>
      <c r="AG699" s="282"/>
      <c r="AH699" s="282"/>
      <c r="AI699" s="282"/>
      <c r="AJ699" s="282"/>
      <c r="AK699" s="282"/>
      <c r="AL699" s="282"/>
      <c r="AM699" s="282"/>
      <c r="AN699" s="282"/>
      <c r="AO699" s="282"/>
      <c r="AP699" s="282"/>
      <c r="AQ699" s="282"/>
      <c r="AR699" s="282"/>
      <c r="AS699" s="282"/>
      <c r="AT699" s="282"/>
      <c r="AU699" s="282"/>
      <c r="AV699" s="282"/>
      <c r="AW699" s="282"/>
      <c r="AX699" s="282"/>
      <c r="AY699" s="282"/>
      <c r="AZ699" s="282"/>
      <c r="BA699" s="282"/>
      <c r="BB699" s="282"/>
      <c r="BC699" s="282"/>
      <c r="BD699" s="283">
        <v>42705</v>
      </c>
      <c r="BE699" s="283">
        <v>42978</v>
      </c>
      <c r="BF699" s="283"/>
      <c r="BG699" s="283" t="s">
        <v>908</v>
      </c>
      <c r="BH699" s="284">
        <v>405372.72</v>
      </c>
      <c r="BI699" s="282" t="s">
        <v>11224</v>
      </c>
      <c r="BJ699" s="282" t="s">
        <v>354</v>
      </c>
      <c r="BK699" s="282" t="s">
        <v>11238</v>
      </c>
      <c r="BL699" s="282"/>
      <c r="BM699" s="282"/>
      <c r="BN699" s="282"/>
      <c r="BO699" s="282" t="s">
        <v>320</v>
      </c>
      <c r="BP699" s="282" t="s">
        <v>319</v>
      </c>
      <c r="BQ699" s="282" t="s">
        <v>319</v>
      </c>
      <c r="BR699" s="282" t="s">
        <v>11239</v>
      </c>
      <c r="BS699" s="282" t="s">
        <v>357</v>
      </c>
      <c r="BT699" s="282" t="s">
        <v>11240</v>
      </c>
      <c r="BU699" s="282" t="s">
        <v>11241</v>
      </c>
      <c r="BV699" s="284">
        <v>12500</v>
      </c>
      <c r="BW699" s="284">
        <v>370</v>
      </c>
      <c r="BX699" s="284">
        <v>12870</v>
      </c>
      <c r="BY699" s="284">
        <v>61110</v>
      </c>
      <c r="BZ699" s="284">
        <v>1890</v>
      </c>
      <c r="CA699" s="284">
        <v>63000</v>
      </c>
      <c r="CB699" s="285" t="s">
        <v>11241</v>
      </c>
      <c r="CC699" s="285"/>
      <c r="CD699" s="284">
        <v>11321</v>
      </c>
      <c r="CE699" s="284">
        <v>349</v>
      </c>
      <c r="CF699" s="284">
        <v>11670</v>
      </c>
      <c r="CG699" s="284">
        <v>50381</v>
      </c>
      <c r="CH699" s="284">
        <v>1559</v>
      </c>
      <c r="CI699" s="284">
        <v>51940</v>
      </c>
      <c r="CJ699" s="282" t="s">
        <v>319</v>
      </c>
      <c r="CK699" s="284"/>
      <c r="CL699" s="286"/>
      <c r="CM699" s="284"/>
      <c r="CN699" s="287" t="s">
        <v>319</v>
      </c>
      <c r="CO699" s="284"/>
      <c r="CP699" s="286"/>
      <c r="CQ699" s="284"/>
      <c r="CR699" s="282" t="s">
        <v>319</v>
      </c>
      <c r="CS699" s="284"/>
      <c r="CT699" s="286"/>
      <c r="CU699" s="284">
        <v>0</v>
      </c>
      <c r="CV699" s="289" t="s">
        <v>320</v>
      </c>
      <c r="CW699" s="300">
        <v>11670</v>
      </c>
      <c r="CX699" s="308">
        <v>0.97</v>
      </c>
      <c r="CY699" s="300">
        <v>51940</v>
      </c>
      <c r="CZ699" s="282" t="s">
        <v>319</v>
      </c>
      <c r="DA699" s="284"/>
      <c r="DB699" s="286"/>
      <c r="DC699" s="284">
        <v>0</v>
      </c>
      <c r="DD699" s="287" t="s">
        <v>319</v>
      </c>
      <c r="DE699" s="284"/>
      <c r="DF699" s="286"/>
      <c r="DG699" s="284"/>
      <c r="DH699" s="282" t="s">
        <v>319</v>
      </c>
      <c r="DI699" s="284"/>
      <c r="DJ699" s="286"/>
      <c r="DK699" s="284"/>
      <c r="DL699" s="282" t="s">
        <v>319</v>
      </c>
      <c r="DM699" s="284"/>
      <c r="DN699" s="286"/>
      <c r="DO699" s="284"/>
      <c r="DP699" s="282" t="s">
        <v>319</v>
      </c>
      <c r="DQ699" s="284"/>
      <c r="DR699" s="286"/>
      <c r="DS699" s="284"/>
      <c r="DT699" s="282" t="s">
        <v>319</v>
      </c>
      <c r="DU699" s="284"/>
      <c r="DV699" s="286"/>
      <c r="DW699" s="284"/>
      <c r="DX699" s="282" t="s">
        <v>319</v>
      </c>
      <c r="DY699" s="284"/>
      <c r="DZ699" s="286"/>
      <c r="EA699" s="284"/>
      <c r="EB699" s="282" t="s">
        <v>319</v>
      </c>
      <c r="EC699" s="284"/>
      <c r="ED699" s="286"/>
      <c r="EE699" s="284"/>
      <c r="EF699" s="285"/>
      <c r="EG699" s="287"/>
      <c r="EH699" s="284"/>
      <c r="EI699" s="286"/>
      <c r="EJ699" s="284"/>
      <c r="EK699" s="284"/>
      <c r="EL699" s="284"/>
      <c r="EM699" s="284"/>
      <c r="EN699" s="284"/>
      <c r="EO699" s="284"/>
      <c r="EP699" s="284"/>
      <c r="EQ699" s="282"/>
      <c r="ER699" s="284"/>
      <c r="ES699" s="286"/>
      <c r="ET699" s="284"/>
      <c r="EU699" s="305"/>
      <c r="EV699" s="300"/>
      <c r="EW699" s="308"/>
      <c r="EX699" s="300"/>
      <c r="EY699" s="282"/>
      <c r="EZ699" s="284"/>
      <c r="FA699" s="286"/>
      <c r="FB699" s="284"/>
      <c r="FC699" s="282"/>
      <c r="FD699" s="284"/>
      <c r="FE699" s="286"/>
      <c r="FF699" s="284"/>
      <c r="FG699" s="282"/>
      <c r="FH699" s="284"/>
      <c r="FI699" s="286"/>
      <c r="FJ699" s="284"/>
      <c r="FK699" s="282"/>
      <c r="FL699" s="284"/>
      <c r="FM699" s="286"/>
      <c r="FN699" s="284"/>
      <c r="FO699" s="305"/>
      <c r="FP699" s="300"/>
      <c r="FQ699" s="308"/>
      <c r="FR699" s="300"/>
      <c r="FS699" s="282"/>
      <c r="FT699" s="284"/>
      <c r="FU699" s="286"/>
      <c r="FV699" s="284"/>
      <c r="FW699" s="282"/>
      <c r="FX699" s="284"/>
      <c r="FY699" s="286"/>
      <c r="FZ699" s="284"/>
      <c r="GA699" s="282"/>
      <c r="GB699" s="284"/>
      <c r="GC699" s="286"/>
      <c r="GD699" s="284"/>
      <c r="GE699" s="282"/>
      <c r="GF699" s="284"/>
      <c r="GG699" s="286"/>
      <c r="GH699" s="284"/>
      <c r="GI699" s="282"/>
      <c r="GJ699" s="284"/>
      <c r="GK699" s="286"/>
      <c r="GL699" s="284"/>
      <c r="GM699" s="282"/>
      <c r="GN699" s="284"/>
      <c r="GO699" s="286"/>
      <c r="GP699" s="284"/>
      <c r="GQ699" s="282"/>
      <c r="GR699" s="284"/>
      <c r="GS699" s="286"/>
      <c r="GT699" s="284"/>
      <c r="GU699" s="282"/>
      <c r="GV699" s="284"/>
      <c r="GW699" s="286"/>
      <c r="GX699" s="284"/>
      <c r="GY699" s="282"/>
      <c r="GZ699" s="284"/>
      <c r="HA699" s="286"/>
      <c r="HB699" s="284"/>
      <c r="HC699" s="282"/>
      <c r="HD699" s="282"/>
      <c r="HE699" s="284"/>
      <c r="HF699" s="286"/>
      <c r="HG699" s="284"/>
      <c r="HH699" s="282" t="s">
        <v>319</v>
      </c>
      <c r="HI699" s="282"/>
      <c r="HJ699" s="282"/>
      <c r="HK699" s="282" t="s">
        <v>319</v>
      </c>
      <c r="HL699" s="282" t="s">
        <v>320</v>
      </c>
      <c r="HM699" s="282" t="s">
        <v>522</v>
      </c>
      <c r="HN699" s="282">
        <v>2017</v>
      </c>
      <c r="HO699" s="282"/>
      <c r="HP699" s="282"/>
      <c r="HQ699" s="282" t="s">
        <v>319</v>
      </c>
      <c r="HR699" s="282" t="s">
        <v>319</v>
      </c>
      <c r="HS699" s="282" t="s">
        <v>319</v>
      </c>
      <c r="HT699" s="282" t="s">
        <v>320</v>
      </c>
      <c r="HU699" s="282" t="s">
        <v>319</v>
      </c>
      <c r="HV699" s="282" t="s">
        <v>320</v>
      </c>
      <c r="HW699" s="282" t="s">
        <v>319</v>
      </c>
      <c r="HX699" s="282"/>
      <c r="HY699" s="282"/>
      <c r="HZ699" s="282" t="s">
        <v>363</v>
      </c>
      <c r="IA699" s="282"/>
      <c r="IB699" s="282" t="s">
        <v>667</v>
      </c>
      <c r="IC699" s="282"/>
      <c r="ID699" s="282" t="s">
        <v>334</v>
      </c>
      <c r="IE699" s="282" t="s">
        <v>335</v>
      </c>
      <c r="IF699" s="282" t="s">
        <v>320</v>
      </c>
      <c r="IG699" s="282" t="s">
        <v>320</v>
      </c>
      <c r="IH699" s="282" t="s">
        <v>320</v>
      </c>
      <c r="II699" s="282" t="s">
        <v>320</v>
      </c>
      <c r="IJ699" s="12" t="str">
        <f t="shared" si="431"/>
        <v>2. Sensitive</v>
      </c>
      <c r="IK699" s="287">
        <f t="shared" si="432"/>
        <v>4</v>
      </c>
      <c r="IL699" s="282" t="s">
        <v>336</v>
      </c>
      <c r="IM699" s="282" t="s">
        <v>320</v>
      </c>
      <c r="IN699" s="282" t="s">
        <v>319</v>
      </c>
      <c r="IO699" s="282" t="s">
        <v>320</v>
      </c>
      <c r="IP699" s="282" t="s">
        <v>320</v>
      </c>
      <c r="IQ699" s="287" t="str">
        <f t="shared" si="433"/>
        <v>2. Accommodating</v>
      </c>
      <c r="IR699" s="287">
        <f t="shared" si="434"/>
        <v>3</v>
      </c>
      <c r="IS699" s="282" t="s">
        <v>456</v>
      </c>
      <c r="IT699" s="282" t="s">
        <v>319</v>
      </c>
      <c r="IU699" s="282" t="s">
        <v>319</v>
      </c>
      <c r="IV699" s="282" t="s">
        <v>319</v>
      </c>
      <c r="IW699" s="11" t="str">
        <f t="shared" si="435"/>
        <v>0. Harmful</v>
      </c>
      <c r="IX699" s="287">
        <f t="shared" si="436"/>
        <v>0</v>
      </c>
      <c r="IY699" s="282" t="s">
        <v>338</v>
      </c>
      <c r="IZ699" s="282" t="s">
        <v>339</v>
      </c>
      <c r="JA699" s="282"/>
      <c r="JB699" s="282" t="s">
        <v>687</v>
      </c>
      <c r="JC699" s="282"/>
      <c r="JD699" s="282"/>
      <c r="JE699" s="282"/>
      <c r="JF699" s="282"/>
      <c r="JG699" s="282"/>
      <c r="JH699" s="282"/>
      <c r="JI699" s="282"/>
      <c r="JJ699" s="282"/>
      <c r="JK699" s="282" t="s">
        <v>11242</v>
      </c>
      <c r="JL699" s="282" t="s">
        <v>11243</v>
      </c>
      <c r="JM699" s="282" t="s">
        <v>11244</v>
      </c>
      <c r="JN699" s="282"/>
      <c r="JO699" s="282" t="s">
        <v>11245</v>
      </c>
      <c r="JP699" s="15">
        <f t="shared" si="437"/>
        <v>11670</v>
      </c>
      <c r="JQ699" s="15">
        <f t="shared" si="438"/>
        <v>51940</v>
      </c>
      <c r="JR699" s="279">
        <f t="shared" si="439"/>
        <v>4.4507283633247647</v>
      </c>
      <c r="JS699" s="17">
        <f t="shared" si="440"/>
        <v>0.97009425878320477</v>
      </c>
      <c r="JT699" s="18">
        <f t="shared" si="441"/>
        <v>0.96998459761263001</v>
      </c>
      <c r="JU699" s="280">
        <f t="shared" si="442"/>
        <v>11321</v>
      </c>
      <c r="JV699" s="280">
        <f t="shared" si="443"/>
        <v>50381</v>
      </c>
      <c r="JW699" s="319">
        <f t="shared" si="444"/>
        <v>1</v>
      </c>
      <c r="JX699" s="15">
        <f t="shared" si="445"/>
        <v>11670</v>
      </c>
      <c r="JY699" s="15">
        <f t="shared" si="446"/>
        <v>51940</v>
      </c>
      <c r="JZ699" s="19">
        <f t="shared" si="447"/>
        <v>4.4507283633247647</v>
      </c>
      <c r="KA699" s="52">
        <f t="shared" si="448"/>
        <v>1</v>
      </c>
      <c r="KB699" s="15">
        <f t="shared" si="449"/>
        <v>11670</v>
      </c>
      <c r="KC699" s="15">
        <f t="shared" si="450"/>
        <v>51940</v>
      </c>
      <c r="KD699" s="20">
        <f t="shared" si="451"/>
        <v>4.4507283633247647</v>
      </c>
      <c r="KE699" s="52" t="str">
        <f t="shared" si="452"/>
        <v/>
      </c>
      <c r="KF699" s="15">
        <f t="shared" si="453"/>
        <v>0</v>
      </c>
      <c r="KG699" s="15">
        <f t="shared" si="454"/>
        <v>0</v>
      </c>
      <c r="KH699" s="21" t="str">
        <f t="shared" si="455"/>
        <v/>
      </c>
      <c r="KI699" s="52" t="str">
        <f t="shared" si="456"/>
        <v/>
      </c>
      <c r="KJ699" s="15">
        <f t="shared" si="457"/>
        <v>0</v>
      </c>
      <c r="KK699" s="15">
        <f t="shared" si="458"/>
        <v>0</v>
      </c>
      <c r="KL699" s="19" t="str">
        <f t="shared" si="459"/>
        <v/>
      </c>
      <c r="KM699" s="52" t="str">
        <f t="shared" si="460"/>
        <v/>
      </c>
      <c r="KN699" s="22">
        <f t="shared" si="461"/>
        <v>0</v>
      </c>
      <c r="KO699" s="22">
        <f t="shared" si="462"/>
        <v>0</v>
      </c>
      <c r="KP699" s="19" t="str">
        <f t="shared" si="463"/>
        <v/>
      </c>
      <c r="KQ699" s="11" t="str">
        <f t="shared" si="464"/>
        <v>2. Sensitive</v>
      </c>
      <c r="KR699" s="11" t="str">
        <f t="shared" si="465"/>
        <v>2. Accommodating</v>
      </c>
      <c r="KS699" s="11" t="str">
        <f t="shared" si="466"/>
        <v>0. Harmful</v>
      </c>
      <c r="KT699" s="11" t="str">
        <f t="shared" si="467"/>
        <v>It did not develop any specific innovation</v>
      </c>
      <c r="KU699" s="11">
        <f t="shared" si="468"/>
        <v>0</v>
      </c>
      <c r="KV699" s="11" t="str">
        <f t="shared" si="469"/>
        <v>It took tested solutions to scale on its own</v>
      </c>
      <c r="KW699" s="11" t="str">
        <f t="shared" si="470"/>
        <v>South Sudan - Integrated Food Security and Nutrition project in Pariang county, Unity State.</v>
      </c>
      <c r="KX699" s="11" t="str">
        <f t="shared" si="471"/>
        <v>Integrated Food Security and Nutrition project in Pariang county, Unity State.</v>
      </c>
      <c r="KY699" s="11" t="str">
        <f t="shared" si="472"/>
        <v>South Sudan</v>
      </c>
      <c r="KZ699" s="287">
        <v>699</v>
      </c>
    </row>
    <row r="700" spans="1:312" x14ac:dyDescent="0.3">
      <c r="A700" s="12" t="s">
        <v>11104</v>
      </c>
      <c r="B700" s="12" t="s">
        <v>1874</v>
      </c>
      <c r="C700" s="12">
        <v>3351</v>
      </c>
      <c r="D700" s="12" t="s">
        <v>11246</v>
      </c>
      <c r="E700" s="277" t="str">
        <f t="shared" si="430"/>
        <v>South Sudan</v>
      </c>
      <c r="F700" s="12">
        <v>3351</v>
      </c>
      <c r="G700" s="12" t="s">
        <v>379</v>
      </c>
      <c r="H700" s="12" t="s">
        <v>383</v>
      </c>
      <c r="I700" s="12" t="s">
        <v>384</v>
      </c>
      <c r="J700" s="281" t="s">
        <v>14744</v>
      </c>
      <c r="K700" s="12"/>
      <c r="L700" s="12"/>
      <c r="M700" s="12"/>
      <c r="N700" s="12"/>
      <c r="O700" s="12"/>
      <c r="P700" s="12"/>
      <c r="Q700" s="12"/>
      <c r="R700" s="12"/>
      <c r="S700" s="12"/>
      <c r="T700" s="12"/>
      <c r="U700" s="12"/>
      <c r="V700" s="12"/>
      <c r="W700" s="12"/>
      <c r="X700" s="12"/>
      <c r="Y700" s="12"/>
      <c r="Z700" s="12"/>
      <c r="AA700" s="12"/>
      <c r="AB700" s="12"/>
      <c r="AC700" s="12"/>
      <c r="AD700" s="12"/>
      <c r="BD700" s="13">
        <v>42370</v>
      </c>
      <c r="BE700" s="13">
        <v>42735</v>
      </c>
      <c r="BF700" s="12"/>
      <c r="BG700" s="12" t="s">
        <v>817</v>
      </c>
      <c r="BH700" s="14">
        <v>1000000</v>
      </c>
      <c r="BI700" s="12" t="s">
        <v>11247</v>
      </c>
      <c r="BJ700" s="12" t="s">
        <v>317</v>
      </c>
      <c r="BK700" s="12" t="s">
        <v>11248</v>
      </c>
      <c r="BL700" s="12"/>
      <c r="BM700" s="12"/>
      <c r="BN700" s="12"/>
      <c r="BO700" s="12" t="s">
        <v>320</v>
      </c>
      <c r="BP700" s="12" t="s">
        <v>319</v>
      </c>
      <c r="BQ700" s="12" t="s">
        <v>319</v>
      </c>
      <c r="BR700" s="12" t="s">
        <v>11249</v>
      </c>
      <c r="BS700" s="12" t="s">
        <v>357</v>
      </c>
      <c r="BT700" s="12" t="s">
        <v>11250</v>
      </c>
      <c r="BU700" s="12" t="s">
        <v>11251</v>
      </c>
      <c r="BV700" s="14">
        <v>43170</v>
      </c>
      <c r="BW700" s="14">
        <v>39849</v>
      </c>
      <c r="BX700" s="14">
        <v>83019</v>
      </c>
      <c r="BY700" s="14"/>
      <c r="BZ700" s="14"/>
      <c r="CA700" s="14">
        <v>0</v>
      </c>
      <c r="CB700" s="12" t="s">
        <v>11112</v>
      </c>
      <c r="CD700" s="14">
        <v>48570</v>
      </c>
      <c r="CE700" s="14">
        <v>44663</v>
      </c>
      <c r="CF700" s="14">
        <v>93233</v>
      </c>
      <c r="CG700" s="14"/>
      <c r="CH700" s="14"/>
      <c r="CI700" s="14">
        <v>0</v>
      </c>
      <c r="CJ700" s="12"/>
      <c r="CK700" s="14"/>
      <c r="CL700" s="16"/>
      <c r="CM700" s="14"/>
      <c r="CN700" s="12"/>
      <c r="CO700" s="14"/>
      <c r="CP700" s="16"/>
      <c r="CQ700" s="14"/>
      <c r="CR700" s="12"/>
      <c r="CS700" s="14"/>
      <c r="CT700" s="16"/>
      <c r="CU700" s="14"/>
      <c r="CV700" s="12" t="s">
        <v>320</v>
      </c>
      <c r="CW700" s="14">
        <v>5820</v>
      </c>
      <c r="CX700" s="16">
        <v>0</v>
      </c>
      <c r="CY700" s="14"/>
      <c r="CZ700" s="12" t="s">
        <v>320</v>
      </c>
      <c r="DA700" s="14">
        <v>10</v>
      </c>
      <c r="DB700" s="16">
        <v>1</v>
      </c>
      <c r="DC700" s="14"/>
      <c r="DD700" s="12"/>
      <c r="DE700" s="14"/>
      <c r="DF700" s="16"/>
      <c r="DG700" s="14"/>
      <c r="DH700" s="12" t="s">
        <v>320</v>
      </c>
      <c r="DI700" s="14">
        <v>93233</v>
      </c>
      <c r="DJ700" s="16">
        <v>0.52</v>
      </c>
      <c r="DK700" s="14">
        <v>0</v>
      </c>
      <c r="DL700" s="12"/>
      <c r="DM700" s="14"/>
      <c r="DN700" s="16"/>
      <c r="DO700" s="14"/>
      <c r="DP700" s="12"/>
      <c r="DQ700" s="14"/>
      <c r="DR700" s="16"/>
      <c r="DS700" s="14"/>
      <c r="DT700" s="12" t="s">
        <v>320</v>
      </c>
      <c r="DU700" s="14">
        <v>5703</v>
      </c>
      <c r="DV700" s="16">
        <v>1</v>
      </c>
      <c r="DW700" s="14"/>
      <c r="DX700" s="12"/>
      <c r="DY700" s="14"/>
      <c r="DZ700" s="16"/>
      <c r="EA700" s="14"/>
      <c r="EB700" s="12"/>
      <c r="EC700" s="14"/>
      <c r="ED700" s="16"/>
      <c r="EE700" s="14"/>
      <c r="EF700" s="12"/>
      <c r="EG700" s="12"/>
      <c r="EH700" s="14"/>
      <c r="EI700" s="16"/>
      <c r="EJ700" s="14"/>
      <c r="EK700" s="14"/>
      <c r="EL700" s="14"/>
      <c r="EM700" s="14"/>
      <c r="EN700" s="14"/>
      <c r="EO700" s="14"/>
      <c r="EP700" s="14"/>
      <c r="EQ700" s="12"/>
      <c r="ER700" s="14"/>
      <c r="ES700" s="16"/>
      <c r="ET700" s="14"/>
      <c r="EU700" s="12"/>
      <c r="EV700" s="14"/>
      <c r="EW700" s="16"/>
      <c r="EX700" s="14"/>
      <c r="EY700" s="12"/>
      <c r="EZ700" s="14"/>
      <c r="FA700" s="16"/>
      <c r="FB700" s="14"/>
      <c r="FC700" s="12"/>
      <c r="FD700" s="14"/>
      <c r="FE700" s="16"/>
      <c r="FF700" s="14"/>
      <c r="FG700" s="12"/>
      <c r="FH700" s="14"/>
      <c r="FI700" s="16"/>
      <c r="FJ700" s="14"/>
      <c r="FK700" s="12"/>
      <c r="FL700" s="14"/>
      <c r="FM700" s="16"/>
      <c r="FN700" s="14"/>
      <c r="FO700" s="12"/>
      <c r="FP700" s="14"/>
      <c r="FQ700" s="16"/>
      <c r="FR700" s="14"/>
      <c r="FS700" s="12"/>
      <c r="FT700" s="14"/>
      <c r="FU700" s="16"/>
      <c r="FV700" s="14"/>
      <c r="FW700" s="12"/>
      <c r="FX700" s="14"/>
      <c r="FY700" s="16"/>
      <c r="FZ700" s="14"/>
      <c r="GA700" s="12"/>
      <c r="GB700" s="14"/>
      <c r="GC700" s="16"/>
      <c r="GD700" s="14"/>
      <c r="GE700" s="12"/>
      <c r="GF700" s="14"/>
      <c r="GG700" s="16"/>
      <c r="GH700" s="14"/>
      <c r="GI700" s="12"/>
      <c r="GJ700" s="14"/>
      <c r="GK700" s="16"/>
      <c r="GL700" s="14"/>
      <c r="GM700" s="12"/>
      <c r="GN700" s="14"/>
      <c r="GO700" s="16"/>
      <c r="GP700" s="14"/>
      <c r="GQ700" s="12"/>
      <c r="GR700" s="14"/>
      <c r="GS700" s="16"/>
      <c r="GT700" s="14"/>
      <c r="GU700" s="12"/>
      <c r="GV700" s="14"/>
      <c r="GW700" s="16"/>
      <c r="GX700" s="14"/>
      <c r="GY700" s="12"/>
      <c r="GZ700" s="14"/>
      <c r="HA700" s="16"/>
      <c r="HB700" s="14"/>
      <c r="HC700" s="12"/>
      <c r="HD700" s="12"/>
      <c r="HE700" s="14"/>
      <c r="HF700" s="16"/>
      <c r="HG700" s="14"/>
      <c r="HH700" s="12" t="s">
        <v>319</v>
      </c>
      <c r="HI700" s="12"/>
      <c r="HJ700" s="12"/>
      <c r="HK700" s="12" t="s">
        <v>319</v>
      </c>
      <c r="HL700" s="12" t="s">
        <v>320</v>
      </c>
      <c r="HM700" s="12"/>
      <c r="HN700" s="12"/>
      <c r="HO700" s="12"/>
      <c r="HP700" s="12" t="s">
        <v>453</v>
      </c>
      <c r="HQ700" s="12" t="s">
        <v>320</v>
      </c>
      <c r="HR700" s="12" t="s">
        <v>320</v>
      </c>
      <c r="HS700" s="12" t="s">
        <v>320</v>
      </c>
      <c r="HT700" s="12" t="s">
        <v>320</v>
      </c>
      <c r="HU700" s="12" t="s">
        <v>320</v>
      </c>
      <c r="HV700" s="12" t="s">
        <v>320</v>
      </c>
      <c r="HW700" s="12" t="s">
        <v>320</v>
      </c>
      <c r="HX700" s="12"/>
      <c r="HY700" s="12"/>
      <c r="HZ700" s="12" t="s">
        <v>363</v>
      </c>
      <c r="IA700" s="12"/>
      <c r="IB700" s="12" t="s">
        <v>333</v>
      </c>
      <c r="IC700" s="12"/>
      <c r="ID700" s="12" t="s">
        <v>477</v>
      </c>
      <c r="IE700" s="12" t="s">
        <v>335</v>
      </c>
      <c r="IF700" s="12" t="s">
        <v>320</v>
      </c>
      <c r="IG700" s="12" t="s">
        <v>320</v>
      </c>
      <c r="IH700" s="12" t="s">
        <v>320</v>
      </c>
      <c r="II700" s="12" t="s">
        <v>320</v>
      </c>
      <c r="IJ700" s="12" t="str">
        <f t="shared" si="431"/>
        <v>2. Sensitive</v>
      </c>
      <c r="IK700" s="12">
        <f t="shared" si="432"/>
        <v>4</v>
      </c>
      <c r="IL700" s="12" t="s">
        <v>336</v>
      </c>
      <c r="IM700" s="12" t="s">
        <v>320</v>
      </c>
      <c r="IN700" s="12" t="s">
        <v>320</v>
      </c>
      <c r="IO700" s="12" t="s">
        <v>320</v>
      </c>
      <c r="IP700" s="12" t="s">
        <v>320</v>
      </c>
      <c r="IQ700" s="12" t="str">
        <f t="shared" si="433"/>
        <v>2. Accommodating</v>
      </c>
      <c r="IR700" s="12">
        <f t="shared" si="434"/>
        <v>4</v>
      </c>
      <c r="IS700" s="12" t="s">
        <v>622</v>
      </c>
      <c r="IT700" s="12" t="s">
        <v>320</v>
      </c>
      <c r="IU700" s="12" t="s">
        <v>320</v>
      </c>
      <c r="IV700" s="12" t="s">
        <v>320</v>
      </c>
      <c r="IW700" s="11" t="str">
        <f t="shared" si="435"/>
        <v>4. Transformative</v>
      </c>
      <c r="IX700" s="12">
        <f t="shared" si="436"/>
        <v>3</v>
      </c>
      <c r="IY700" s="12" t="s">
        <v>419</v>
      </c>
      <c r="IZ700" s="12" t="s">
        <v>432</v>
      </c>
      <c r="JA700" s="12">
        <v>1</v>
      </c>
      <c r="JB700" s="12" t="s">
        <v>687</v>
      </c>
      <c r="JC700" s="12" t="s">
        <v>687</v>
      </c>
      <c r="JD700" s="12"/>
      <c r="JE700" s="12" t="s">
        <v>420</v>
      </c>
      <c r="JF700" s="12"/>
      <c r="JG700" s="12"/>
      <c r="JH700" s="12"/>
      <c r="JI700" s="12"/>
      <c r="JJ700" s="12"/>
      <c r="JK700" s="12" t="s">
        <v>11252</v>
      </c>
      <c r="JL700" s="12" t="s">
        <v>11253</v>
      </c>
      <c r="JM700" s="12" t="s">
        <v>11254</v>
      </c>
      <c r="JN700" s="12" t="s">
        <v>11255</v>
      </c>
      <c r="JO700" s="12" t="s">
        <v>11118</v>
      </c>
      <c r="JP700" s="15">
        <f t="shared" si="437"/>
        <v>93233</v>
      </c>
      <c r="JQ700" s="15">
        <f t="shared" si="438"/>
        <v>0</v>
      </c>
      <c r="JR700" s="279">
        <f t="shared" si="439"/>
        <v>0</v>
      </c>
      <c r="JS700" s="17">
        <f t="shared" si="440"/>
        <v>0.52095288149045937</v>
      </c>
      <c r="JT700" s="18" t="str">
        <f t="shared" si="441"/>
        <v/>
      </c>
      <c r="JU700" s="280">
        <f t="shared" si="442"/>
        <v>48570</v>
      </c>
      <c r="JV700" s="280">
        <f t="shared" si="443"/>
        <v>0</v>
      </c>
      <c r="JW700" s="319">
        <f t="shared" si="444"/>
        <v>1</v>
      </c>
      <c r="JX700" s="15">
        <f t="shared" si="445"/>
        <v>93233</v>
      </c>
      <c r="JY700" s="15">
        <f t="shared" si="446"/>
        <v>0</v>
      </c>
      <c r="JZ700" s="19">
        <f t="shared" si="447"/>
        <v>0</v>
      </c>
      <c r="KA700" s="52">
        <f t="shared" si="448"/>
        <v>1</v>
      </c>
      <c r="KB700" s="15">
        <f t="shared" si="449"/>
        <v>5820</v>
      </c>
      <c r="KC700" s="15">
        <f t="shared" si="450"/>
        <v>0</v>
      </c>
      <c r="KD700" s="20">
        <f t="shared" si="451"/>
        <v>0</v>
      </c>
      <c r="KE700" s="52">
        <f t="shared" si="452"/>
        <v>1</v>
      </c>
      <c r="KF700" s="15">
        <f t="shared" si="453"/>
        <v>5703</v>
      </c>
      <c r="KG700" s="15">
        <f t="shared" si="454"/>
        <v>0</v>
      </c>
      <c r="KH700" s="21">
        <f t="shared" si="455"/>
        <v>0</v>
      </c>
      <c r="KI700" s="52">
        <f t="shared" si="456"/>
        <v>1</v>
      </c>
      <c r="KJ700" s="15">
        <f t="shared" si="457"/>
        <v>10</v>
      </c>
      <c r="KK700" s="15">
        <f t="shared" si="458"/>
        <v>0</v>
      </c>
      <c r="KL700" s="19">
        <f t="shared" si="459"/>
        <v>0</v>
      </c>
      <c r="KM700" s="52" t="str">
        <f t="shared" si="460"/>
        <v/>
      </c>
      <c r="KN700" s="22">
        <f t="shared" si="461"/>
        <v>0</v>
      </c>
      <c r="KO700" s="22">
        <f t="shared" si="462"/>
        <v>0</v>
      </c>
      <c r="KP700" s="19" t="str">
        <f t="shared" si="463"/>
        <v/>
      </c>
      <c r="KQ700" s="11" t="str">
        <f t="shared" si="464"/>
        <v>2. Sensitive</v>
      </c>
      <c r="KR700" s="11" t="str">
        <f t="shared" si="465"/>
        <v>2. Accommodating</v>
      </c>
      <c r="KS700" s="11" t="str">
        <f t="shared" si="466"/>
        <v>4. Transformative</v>
      </c>
      <c r="KT700" s="11" t="str">
        <f t="shared" si="467"/>
        <v>It did not develop any specific innovation</v>
      </c>
      <c r="KU700" s="11" t="str">
        <f t="shared" si="468"/>
        <v>Intensive advocacy</v>
      </c>
      <c r="KV700" s="11" t="str">
        <f t="shared" si="469"/>
        <v>It did not take tested solutions to scale</v>
      </c>
      <c r="KW700" s="11" t="str">
        <f t="shared" si="470"/>
        <v>South Sudan - Integrated Health and Nutrition Response for the Conflict-affected Population in Unity State, South Sudan ( GE)</v>
      </c>
      <c r="KX700" s="11" t="str">
        <f t="shared" si="471"/>
        <v>Integrated Health and Nutrition Response for the Conflict-affected Population in Unity State, South Sudan ( GE)</v>
      </c>
      <c r="KY700" s="11" t="str">
        <f t="shared" si="472"/>
        <v>South Sudan</v>
      </c>
      <c r="KZ700" s="12">
        <v>700</v>
      </c>
    </row>
    <row r="701" spans="1:312" x14ac:dyDescent="0.3">
      <c r="A701" s="12" t="s">
        <v>11104</v>
      </c>
      <c r="B701" s="12" t="s">
        <v>1874</v>
      </c>
      <c r="C701" s="12"/>
      <c r="D701" s="12" t="s">
        <v>11256</v>
      </c>
      <c r="E701" s="277" t="str">
        <f t="shared" si="430"/>
        <v>South Sudan</v>
      </c>
      <c r="F701" s="12"/>
      <c r="G701" s="12" t="s">
        <v>379</v>
      </c>
      <c r="H701" s="12" t="s">
        <v>380</v>
      </c>
      <c r="I701" s="12" t="s">
        <v>384</v>
      </c>
      <c r="J701" s="281" t="s">
        <v>11257</v>
      </c>
      <c r="K701" s="12"/>
      <c r="L701" s="12"/>
      <c r="M701" s="12"/>
      <c r="N701" s="12"/>
      <c r="O701" s="12"/>
      <c r="P701" s="12"/>
      <c r="Q701" s="12"/>
      <c r="R701" s="12"/>
      <c r="S701" s="12"/>
      <c r="T701" s="12"/>
      <c r="U701" s="12"/>
      <c r="V701" s="12"/>
      <c r="W701" s="12"/>
      <c r="X701" s="12"/>
      <c r="Y701" s="12"/>
      <c r="Z701" s="12"/>
      <c r="AA701" s="12"/>
      <c r="AB701" s="12"/>
      <c r="AC701" s="12"/>
      <c r="AD701" s="12"/>
      <c r="BD701" s="13">
        <v>42644</v>
      </c>
      <c r="BE701" s="13">
        <v>43159</v>
      </c>
      <c r="BF701" s="13"/>
      <c r="BG701" s="12" t="s">
        <v>817</v>
      </c>
      <c r="BH701" s="14">
        <v>622000</v>
      </c>
      <c r="BI701" s="12" t="s">
        <v>11247</v>
      </c>
      <c r="BJ701" s="12" t="s">
        <v>317</v>
      </c>
      <c r="BK701" s="12" t="s">
        <v>11248</v>
      </c>
      <c r="BL701" s="12"/>
      <c r="BM701" s="12"/>
      <c r="BN701" s="12"/>
      <c r="BO701" s="12" t="s">
        <v>320</v>
      </c>
      <c r="BP701" s="12" t="s">
        <v>320</v>
      </c>
      <c r="BQ701" s="12" t="s">
        <v>320</v>
      </c>
      <c r="BR701" s="12" t="s">
        <v>11258</v>
      </c>
      <c r="BS701" s="12" t="s">
        <v>322</v>
      </c>
      <c r="BT701" s="12" t="s">
        <v>11259</v>
      </c>
      <c r="BU701" s="12" t="s">
        <v>11260</v>
      </c>
      <c r="BV701" s="14">
        <v>49062</v>
      </c>
      <c r="BW701" s="14">
        <v>48461</v>
      </c>
      <c r="BX701" s="14">
        <v>97523</v>
      </c>
      <c r="BY701" s="14">
        <v>60415</v>
      </c>
      <c r="BZ701" s="14">
        <v>62881</v>
      </c>
      <c r="CA701" s="14">
        <v>123296</v>
      </c>
      <c r="CB701" s="12" t="s">
        <v>11112</v>
      </c>
      <c r="CD701" s="14">
        <v>26327</v>
      </c>
      <c r="CE701" s="14">
        <v>26310</v>
      </c>
      <c r="CF701" s="14">
        <v>52637</v>
      </c>
      <c r="CG701" s="14">
        <v>157962</v>
      </c>
      <c r="CH701" s="14">
        <v>157860</v>
      </c>
      <c r="CI701" s="14">
        <v>315822</v>
      </c>
      <c r="CJ701" s="12"/>
      <c r="CK701" s="14"/>
      <c r="CL701" s="16"/>
      <c r="CM701" s="14"/>
      <c r="CN701" s="12"/>
      <c r="CO701" s="14"/>
      <c r="CP701" s="16"/>
      <c r="CQ701" s="14"/>
      <c r="CR701" s="12"/>
      <c r="CS701" s="14"/>
      <c r="CT701" s="16"/>
      <c r="CU701" s="14"/>
      <c r="CV701" s="12"/>
      <c r="CW701" s="14"/>
      <c r="CX701" s="16"/>
      <c r="CY701" s="14"/>
      <c r="CZ701" s="12"/>
      <c r="DA701" s="14"/>
      <c r="DB701" s="16"/>
      <c r="DC701" s="14"/>
      <c r="DD701" s="12"/>
      <c r="DE701" s="14"/>
      <c r="DF701" s="16"/>
      <c r="DG701" s="14"/>
      <c r="DH701" s="12" t="s">
        <v>320</v>
      </c>
      <c r="DI701" s="14">
        <v>52637</v>
      </c>
      <c r="DJ701" s="16">
        <v>0.5</v>
      </c>
      <c r="DK701" s="14">
        <v>315822</v>
      </c>
      <c r="DL701" s="12"/>
      <c r="DM701" s="14"/>
      <c r="DN701" s="16"/>
      <c r="DO701" s="14"/>
      <c r="DP701" s="12"/>
      <c r="DQ701" s="14"/>
      <c r="DR701" s="16"/>
      <c r="DS701" s="14"/>
      <c r="DT701" s="12" t="s">
        <v>320</v>
      </c>
      <c r="DU701" s="14">
        <v>5913</v>
      </c>
      <c r="DV701" s="16">
        <v>1</v>
      </c>
      <c r="DW701" s="14">
        <v>5913</v>
      </c>
      <c r="DX701" s="12"/>
      <c r="DY701" s="14"/>
      <c r="DZ701" s="16"/>
      <c r="EA701" s="14"/>
      <c r="EB701" s="12"/>
      <c r="EC701" s="14"/>
      <c r="ED701" s="16"/>
      <c r="EE701" s="14"/>
      <c r="EF701" s="12"/>
      <c r="EG701" s="12"/>
      <c r="EH701" s="14"/>
      <c r="EI701" s="16"/>
      <c r="EJ701" s="14"/>
      <c r="EK701" s="14">
        <v>26327</v>
      </c>
      <c r="EL701" s="14">
        <v>26310</v>
      </c>
      <c r="EM701" s="14">
        <v>52637</v>
      </c>
      <c r="EN701" s="14">
        <v>157962</v>
      </c>
      <c r="EO701" s="14">
        <v>157860</v>
      </c>
      <c r="EP701" s="14">
        <v>315822</v>
      </c>
      <c r="EQ701" s="12"/>
      <c r="ER701" s="14"/>
      <c r="ES701" s="16"/>
      <c r="ET701" s="14"/>
      <c r="EU701" s="12"/>
      <c r="EV701" s="14"/>
      <c r="EW701" s="16"/>
      <c r="EX701" s="14"/>
      <c r="EY701" s="12"/>
      <c r="EZ701" s="14"/>
      <c r="FA701" s="16"/>
      <c r="FB701" s="14"/>
      <c r="FC701" s="12"/>
      <c r="FD701" s="14"/>
      <c r="FE701" s="16"/>
      <c r="FF701" s="14"/>
      <c r="FG701" s="12"/>
      <c r="FH701" s="14"/>
      <c r="FI701" s="16"/>
      <c r="FJ701" s="14"/>
      <c r="FK701" s="12"/>
      <c r="FL701" s="14"/>
      <c r="FM701" s="16"/>
      <c r="FN701" s="14"/>
      <c r="FO701" s="12"/>
      <c r="FP701" s="14"/>
      <c r="FQ701" s="16"/>
      <c r="FR701" s="14"/>
      <c r="FS701" s="12"/>
      <c r="FT701" s="14"/>
      <c r="FU701" s="16"/>
      <c r="FV701" s="14"/>
      <c r="FW701" s="12"/>
      <c r="FX701" s="14"/>
      <c r="FY701" s="16"/>
      <c r="FZ701" s="14"/>
      <c r="GA701" s="12" t="s">
        <v>320</v>
      </c>
      <c r="GB701" s="14">
        <v>52637</v>
      </c>
      <c r="GC701" s="16">
        <v>0.52</v>
      </c>
      <c r="GD701" s="14">
        <v>315822</v>
      </c>
      <c r="GE701" s="12"/>
      <c r="GF701" s="14"/>
      <c r="GG701" s="16"/>
      <c r="GH701" s="14"/>
      <c r="GI701" s="12"/>
      <c r="GJ701" s="14"/>
      <c r="GK701" s="16"/>
      <c r="GL701" s="14"/>
      <c r="GM701" s="12"/>
      <c r="GN701" s="14"/>
      <c r="GO701" s="16"/>
      <c r="GP701" s="14"/>
      <c r="GQ701" s="12" t="s">
        <v>320</v>
      </c>
      <c r="GR701" s="14">
        <v>5913</v>
      </c>
      <c r="GS701" s="16">
        <v>1</v>
      </c>
      <c r="GT701" s="14">
        <v>29565</v>
      </c>
      <c r="GU701" s="12"/>
      <c r="GV701" s="14"/>
      <c r="GW701" s="16"/>
      <c r="GX701" s="14"/>
      <c r="GZ701" s="14"/>
      <c r="HA701" s="16"/>
      <c r="HB701" s="14"/>
      <c r="HC701" s="12"/>
      <c r="HD701" s="12"/>
      <c r="HE701" s="14"/>
      <c r="HF701" s="16"/>
      <c r="HG701" s="14"/>
      <c r="HH701" s="12" t="s">
        <v>319</v>
      </c>
      <c r="HI701" s="12"/>
      <c r="HJ701" s="12"/>
      <c r="HK701" s="12" t="s">
        <v>319</v>
      </c>
      <c r="HL701" s="12" t="s">
        <v>320</v>
      </c>
      <c r="HM701" s="12"/>
      <c r="HN701" s="12"/>
      <c r="HO701" s="12"/>
      <c r="HP701" s="12" t="s">
        <v>453</v>
      </c>
      <c r="HQ701" s="12" t="s">
        <v>320</v>
      </c>
      <c r="HR701" s="12" t="s">
        <v>320</v>
      </c>
      <c r="HS701" s="12" t="s">
        <v>320</v>
      </c>
      <c r="HT701" s="12" t="s">
        <v>320</v>
      </c>
      <c r="HU701" s="12" t="s">
        <v>320</v>
      </c>
      <c r="HV701" s="12" t="s">
        <v>320</v>
      </c>
      <c r="HW701" s="12" t="s">
        <v>320</v>
      </c>
      <c r="HX701" s="12"/>
      <c r="HY701" s="12"/>
      <c r="HZ701" s="12" t="s">
        <v>363</v>
      </c>
      <c r="IA701" s="12"/>
      <c r="IB701" s="12" t="s">
        <v>333</v>
      </c>
      <c r="IC701" s="12"/>
      <c r="ID701" s="12" t="s">
        <v>334</v>
      </c>
      <c r="IE701" s="12" t="s">
        <v>335</v>
      </c>
      <c r="IF701" s="12" t="s">
        <v>320</v>
      </c>
      <c r="IG701" s="12" t="s">
        <v>320</v>
      </c>
      <c r="IH701" s="12"/>
      <c r="II701" s="12" t="s">
        <v>320</v>
      </c>
      <c r="IJ701" s="12" t="str">
        <f t="shared" si="431"/>
        <v>1. Neutral</v>
      </c>
      <c r="IK701" s="12">
        <f t="shared" si="432"/>
        <v>3</v>
      </c>
      <c r="IL701" s="12" t="s">
        <v>336</v>
      </c>
      <c r="IM701" s="12" t="s">
        <v>320</v>
      </c>
      <c r="IN701" s="12" t="s">
        <v>320</v>
      </c>
      <c r="IO701" s="12" t="s">
        <v>320</v>
      </c>
      <c r="IP701" s="12" t="s">
        <v>320</v>
      </c>
      <c r="IQ701" s="12" t="str">
        <f t="shared" si="433"/>
        <v>2. Accommodating</v>
      </c>
      <c r="IR701" s="12">
        <f t="shared" si="434"/>
        <v>4</v>
      </c>
      <c r="IS701" s="12" t="s">
        <v>622</v>
      </c>
      <c r="IT701" s="12" t="s">
        <v>320</v>
      </c>
      <c r="IU701" s="12" t="s">
        <v>320</v>
      </c>
      <c r="IV701" s="12" t="s">
        <v>320</v>
      </c>
      <c r="IW701" s="11" t="str">
        <f t="shared" si="435"/>
        <v>4. Transformative</v>
      </c>
      <c r="IX701" s="12">
        <f t="shared" si="436"/>
        <v>3</v>
      </c>
      <c r="IY701" s="12" t="s">
        <v>419</v>
      </c>
      <c r="IZ701" s="12" t="s">
        <v>432</v>
      </c>
      <c r="JA701" s="12">
        <v>1</v>
      </c>
      <c r="JB701" s="12" t="s">
        <v>687</v>
      </c>
      <c r="JC701" s="12" t="s">
        <v>687</v>
      </c>
      <c r="JD701" s="12"/>
      <c r="JE701" s="12" t="s">
        <v>420</v>
      </c>
      <c r="JF701" s="12"/>
      <c r="JG701" s="12"/>
      <c r="JH701" s="12"/>
      <c r="JI701" s="12"/>
      <c r="JJ701" s="12"/>
      <c r="JK701" s="12" t="s">
        <v>11261</v>
      </c>
      <c r="JL701" s="12" t="s">
        <v>11214</v>
      </c>
      <c r="JM701" s="12" t="s">
        <v>11262</v>
      </c>
      <c r="JN701" s="12" t="s">
        <v>11185</v>
      </c>
      <c r="JO701" s="12" t="s">
        <v>11118</v>
      </c>
      <c r="JP701" s="15">
        <f t="shared" si="437"/>
        <v>52637</v>
      </c>
      <c r="JQ701" s="15">
        <f t="shared" si="438"/>
        <v>315822</v>
      </c>
      <c r="JR701" s="279">
        <f t="shared" si="439"/>
        <v>6</v>
      </c>
      <c r="JS701" s="17">
        <f t="shared" si="440"/>
        <v>0.50016148336721322</v>
      </c>
      <c r="JT701" s="18">
        <f t="shared" si="441"/>
        <v>0.50016148336721322</v>
      </c>
      <c r="JU701" s="280">
        <f t="shared" si="442"/>
        <v>26327</v>
      </c>
      <c r="JV701" s="280">
        <f t="shared" si="443"/>
        <v>157962</v>
      </c>
      <c r="JW701" s="319">
        <f t="shared" si="444"/>
        <v>1</v>
      </c>
      <c r="JX701" s="15">
        <f t="shared" si="445"/>
        <v>52637</v>
      </c>
      <c r="JY701" s="15">
        <f t="shared" si="446"/>
        <v>315822</v>
      </c>
      <c r="JZ701" s="19">
        <f t="shared" si="447"/>
        <v>6</v>
      </c>
      <c r="KA701" s="52" t="str">
        <f t="shared" si="448"/>
        <v/>
      </c>
      <c r="KB701" s="15">
        <f t="shared" si="449"/>
        <v>0</v>
      </c>
      <c r="KC701" s="15">
        <f t="shared" si="450"/>
        <v>0</v>
      </c>
      <c r="KD701" s="20" t="str">
        <f t="shared" si="451"/>
        <v/>
      </c>
      <c r="KE701" s="52">
        <f t="shared" si="452"/>
        <v>1</v>
      </c>
      <c r="KF701" s="15">
        <f t="shared" si="453"/>
        <v>5913</v>
      </c>
      <c r="KG701" s="15">
        <f t="shared" si="454"/>
        <v>29565</v>
      </c>
      <c r="KH701" s="21">
        <f t="shared" si="455"/>
        <v>5</v>
      </c>
      <c r="KI701" s="52" t="str">
        <f t="shared" si="456"/>
        <v/>
      </c>
      <c r="KJ701" s="15">
        <f t="shared" si="457"/>
        <v>0</v>
      </c>
      <c r="KK701" s="15">
        <f t="shared" si="458"/>
        <v>0</v>
      </c>
      <c r="KL701" s="19" t="str">
        <f t="shared" si="459"/>
        <v/>
      </c>
      <c r="KM701" s="52" t="str">
        <f t="shared" si="460"/>
        <v/>
      </c>
      <c r="KN701" s="22">
        <f t="shared" si="461"/>
        <v>0</v>
      </c>
      <c r="KO701" s="22">
        <f t="shared" si="462"/>
        <v>0</v>
      </c>
      <c r="KP701" s="19" t="str">
        <f t="shared" si="463"/>
        <v/>
      </c>
      <c r="KQ701" s="11" t="str">
        <f t="shared" si="464"/>
        <v>1. Neutral</v>
      </c>
      <c r="KR701" s="11" t="str">
        <f t="shared" si="465"/>
        <v>2. Accommodating</v>
      </c>
      <c r="KS701" s="11" t="str">
        <f t="shared" si="466"/>
        <v>4. Transformative</v>
      </c>
      <c r="KT701" s="11" t="str">
        <f t="shared" si="467"/>
        <v>It did not develop any specific innovation</v>
      </c>
      <c r="KU701" s="11" t="str">
        <f t="shared" si="468"/>
        <v>Intensive advocacy</v>
      </c>
      <c r="KV701" s="11" t="str">
        <f t="shared" si="469"/>
        <v>It did not take tested solutions to scale</v>
      </c>
      <c r="KW701" s="11" t="str">
        <f t="shared" si="470"/>
        <v>South Sudan - Pariang Integrated Primary Health Care Project (HPF)</v>
      </c>
      <c r="KX701" s="11" t="str">
        <f t="shared" si="471"/>
        <v>Pariang Integrated Primary Health Care Project (HPF)</v>
      </c>
      <c r="KY701" s="11" t="str">
        <f t="shared" si="472"/>
        <v>South Sudan</v>
      </c>
      <c r="KZ701" s="12">
        <v>701</v>
      </c>
    </row>
    <row r="702" spans="1:312" x14ac:dyDescent="0.3">
      <c r="A702" s="12" t="s">
        <v>11104</v>
      </c>
      <c r="B702" s="12" t="s">
        <v>1874</v>
      </c>
      <c r="C702" s="12">
        <v>3358</v>
      </c>
      <c r="D702" s="12" t="s">
        <v>11145</v>
      </c>
      <c r="E702" s="277" t="str">
        <f t="shared" si="430"/>
        <v>South Sudan</v>
      </c>
      <c r="F702" s="12">
        <v>3358</v>
      </c>
      <c r="G702" s="12" t="s">
        <v>425</v>
      </c>
      <c r="H702" s="12" t="s">
        <v>310</v>
      </c>
      <c r="I702" s="12" t="s">
        <v>426</v>
      </c>
      <c r="J702" s="278" t="s">
        <v>14563</v>
      </c>
      <c r="K702" s="12"/>
      <c r="L702" s="12"/>
      <c r="M702" s="12"/>
      <c r="N702" s="12"/>
      <c r="O702" s="12"/>
      <c r="P702" s="12"/>
      <c r="Q702" s="12"/>
      <c r="R702" s="12"/>
      <c r="S702" s="12"/>
      <c r="T702" s="12"/>
      <c r="U702" s="12"/>
      <c r="V702" s="12"/>
      <c r="W702" s="12"/>
      <c r="X702" s="12"/>
      <c r="Y702" s="12"/>
      <c r="Z702" s="12"/>
      <c r="AA702" s="12"/>
      <c r="AB702" s="12"/>
      <c r="AC702" s="12"/>
      <c r="AD702" s="12"/>
      <c r="BD702" s="13">
        <v>42370</v>
      </c>
      <c r="BE702" s="13">
        <v>43100</v>
      </c>
      <c r="BF702" s="13">
        <v>42794</v>
      </c>
      <c r="BG702" s="12" t="s">
        <v>908</v>
      </c>
      <c r="BH702" s="14">
        <v>1112661</v>
      </c>
      <c r="BI702" s="12" t="s">
        <v>11146</v>
      </c>
      <c r="BJ702" s="12" t="s">
        <v>8688</v>
      </c>
      <c r="BK702" s="12" t="s">
        <v>11147</v>
      </c>
      <c r="BL702" s="12" t="s">
        <v>11147</v>
      </c>
      <c r="BM702" s="12" t="s">
        <v>354</v>
      </c>
      <c r="BN702" s="12" t="s">
        <v>11147</v>
      </c>
      <c r="BO702" s="12" t="s">
        <v>320</v>
      </c>
      <c r="BP702" s="11" t="s">
        <v>320</v>
      </c>
      <c r="BQ702" s="12" t="s">
        <v>320</v>
      </c>
      <c r="BR702" s="12" t="s">
        <v>11148</v>
      </c>
      <c r="BS702" s="12" t="s">
        <v>322</v>
      </c>
      <c r="BT702" s="12" t="s">
        <v>11149</v>
      </c>
      <c r="BU702" s="12" t="s">
        <v>11111</v>
      </c>
      <c r="BV702" s="14">
        <v>2525</v>
      </c>
      <c r="BW702" s="14">
        <v>1753</v>
      </c>
      <c r="BX702" s="14">
        <v>4278</v>
      </c>
      <c r="BY702" s="14">
        <v>12625</v>
      </c>
      <c r="BZ702" s="14">
        <v>8765</v>
      </c>
      <c r="CA702" s="14">
        <v>21390</v>
      </c>
      <c r="CB702" s="12" t="s">
        <v>11150</v>
      </c>
      <c r="CD702" s="14">
        <v>2525</v>
      </c>
      <c r="CE702" s="14">
        <v>1753</v>
      </c>
      <c r="CF702" s="14">
        <v>4278</v>
      </c>
      <c r="CG702" s="14">
        <v>12625</v>
      </c>
      <c r="CH702" s="14">
        <v>8765</v>
      </c>
      <c r="CI702" s="14">
        <v>21390</v>
      </c>
      <c r="CJ702" s="12" t="s">
        <v>319</v>
      </c>
      <c r="CK702" s="14"/>
      <c r="CL702" s="16"/>
      <c r="CM702" s="14"/>
      <c r="CN702" s="12" t="s">
        <v>320</v>
      </c>
      <c r="CO702" s="14">
        <v>1833</v>
      </c>
      <c r="CP702" s="16">
        <v>0.75</v>
      </c>
      <c r="CQ702" s="14"/>
      <c r="CR702" s="12" t="s">
        <v>319</v>
      </c>
      <c r="CS702" s="14"/>
      <c r="CT702" s="16"/>
      <c r="CU702" s="14"/>
      <c r="CV702" s="12" t="s">
        <v>320</v>
      </c>
      <c r="CW702" s="14">
        <v>2345</v>
      </c>
      <c r="CX702" s="16">
        <v>0.7</v>
      </c>
      <c r="CY702" s="14"/>
      <c r="CZ702" s="12" t="s">
        <v>320</v>
      </c>
      <c r="DA702" s="14"/>
      <c r="DB702" s="16"/>
      <c r="DC702" s="14"/>
      <c r="DD702" s="12" t="s">
        <v>319</v>
      </c>
      <c r="DE702" s="14"/>
      <c r="DF702" s="16"/>
      <c r="DG702" s="14"/>
      <c r="DH702" s="12" t="s">
        <v>319</v>
      </c>
      <c r="DI702" s="14"/>
      <c r="DJ702" s="16"/>
      <c r="DK702" s="14"/>
      <c r="DL702" s="11" t="s">
        <v>320</v>
      </c>
      <c r="DM702" s="14">
        <v>2345</v>
      </c>
      <c r="DN702" s="16">
        <v>0.7</v>
      </c>
      <c r="DO702" s="14"/>
      <c r="DP702" s="12" t="s">
        <v>320</v>
      </c>
      <c r="DQ702" s="14">
        <v>116</v>
      </c>
      <c r="DR702" s="16">
        <v>0.6</v>
      </c>
      <c r="DS702" s="14"/>
      <c r="DT702" s="12" t="s">
        <v>319</v>
      </c>
      <c r="DU702" s="14"/>
      <c r="DV702" s="16"/>
      <c r="DW702" s="14"/>
      <c r="DX702" s="12" t="s">
        <v>319</v>
      </c>
      <c r="DY702" s="14"/>
      <c r="DZ702" s="16"/>
      <c r="EA702" s="14"/>
      <c r="EB702" s="11" t="s">
        <v>319</v>
      </c>
      <c r="EC702" s="14"/>
      <c r="ED702" s="16"/>
      <c r="EE702" s="14"/>
      <c r="EF702" s="12"/>
      <c r="EG702" s="12" t="s">
        <v>319</v>
      </c>
      <c r="EH702" s="14"/>
      <c r="EI702" s="16"/>
      <c r="EJ702" s="14"/>
      <c r="EK702" s="14">
        <v>5418</v>
      </c>
      <c r="EL702" s="14">
        <v>294</v>
      </c>
      <c r="EM702" s="14">
        <v>5712</v>
      </c>
      <c r="EN702" s="14"/>
      <c r="EO702" s="14"/>
      <c r="EP702" s="14"/>
      <c r="EQ702" s="12"/>
      <c r="ER702" s="14"/>
      <c r="ES702" s="16"/>
      <c r="ET702" s="14"/>
      <c r="EU702" s="12"/>
      <c r="EV702" s="14"/>
      <c r="EW702" s="16"/>
      <c r="EX702" s="14"/>
      <c r="EY702" s="12"/>
      <c r="EZ702" s="14"/>
      <c r="FA702" s="16"/>
      <c r="FB702" s="14"/>
      <c r="FC702" s="12"/>
      <c r="FD702" s="14"/>
      <c r="FE702" s="16"/>
      <c r="FF702" s="14"/>
      <c r="FG702" s="12"/>
      <c r="FH702" s="14"/>
      <c r="FI702" s="16"/>
      <c r="FJ702" s="14"/>
      <c r="FK702" s="12"/>
      <c r="FL702" s="14"/>
      <c r="FM702" s="16"/>
      <c r="FN702" s="14"/>
      <c r="FO702" s="12"/>
      <c r="FP702" s="14"/>
      <c r="FQ702" s="16"/>
      <c r="FR702" s="14"/>
      <c r="FS702" s="12"/>
      <c r="FT702" s="14"/>
      <c r="FU702" s="16"/>
      <c r="FV702" s="14"/>
      <c r="FW702" s="12"/>
      <c r="FX702" s="14"/>
      <c r="FY702" s="16"/>
      <c r="FZ702" s="14"/>
      <c r="GA702" s="12"/>
      <c r="GB702" s="14"/>
      <c r="GC702" s="16"/>
      <c r="GD702" s="14"/>
      <c r="GE702" s="12"/>
      <c r="GF702" s="14"/>
      <c r="GG702" s="16"/>
      <c r="GH702" s="14"/>
      <c r="GI702" s="12"/>
      <c r="GJ702" s="14"/>
      <c r="GK702" s="16"/>
      <c r="GL702" s="14"/>
      <c r="GM702" s="12"/>
      <c r="GN702" s="14"/>
      <c r="GO702" s="16"/>
      <c r="GP702" s="14"/>
      <c r="GQ702" s="12"/>
      <c r="GR702" s="14"/>
      <c r="GS702" s="16"/>
      <c r="GT702" s="14"/>
      <c r="GU702" s="12"/>
      <c r="GV702" s="14"/>
      <c r="GW702" s="16"/>
      <c r="GX702" s="14"/>
      <c r="GY702" s="11" t="s">
        <v>320</v>
      </c>
      <c r="GZ702" s="14">
        <v>5418</v>
      </c>
      <c r="HA702" s="16">
        <v>1</v>
      </c>
      <c r="HB702" s="14"/>
      <c r="HC702" s="12"/>
      <c r="HD702" s="12"/>
      <c r="HE702" s="14"/>
      <c r="HF702" s="16"/>
      <c r="HG702" s="14"/>
      <c r="HH702" s="12" t="s">
        <v>320</v>
      </c>
      <c r="HI702" s="12" t="s">
        <v>451</v>
      </c>
      <c r="HJ702" s="12">
        <v>2017</v>
      </c>
      <c r="HK702" s="12" t="s">
        <v>320</v>
      </c>
      <c r="HL702" s="12" t="s">
        <v>319</v>
      </c>
      <c r="HM702" s="12"/>
      <c r="HN702" s="12"/>
      <c r="HO702" s="12"/>
      <c r="HP702" s="12" t="s">
        <v>418</v>
      </c>
      <c r="HQ702" s="12" t="s">
        <v>320</v>
      </c>
      <c r="HR702" s="12" t="s">
        <v>320</v>
      </c>
      <c r="HS702" s="12" t="s">
        <v>320</v>
      </c>
      <c r="HT702" s="12" t="s">
        <v>319</v>
      </c>
      <c r="HU702" s="12" t="s">
        <v>320</v>
      </c>
      <c r="HV702" s="12" t="s">
        <v>320</v>
      </c>
      <c r="HW702" s="12" t="s">
        <v>319</v>
      </c>
      <c r="HX702" s="12"/>
      <c r="HY702" s="12"/>
      <c r="HZ702" s="12" t="s">
        <v>331</v>
      </c>
      <c r="IA702" s="12" t="s">
        <v>11151</v>
      </c>
      <c r="IB702" s="12" t="s">
        <v>667</v>
      </c>
      <c r="IC702" s="12" t="s">
        <v>11152</v>
      </c>
      <c r="ID702" s="12" t="s">
        <v>364</v>
      </c>
      <c r="IE702" s="12" t="s">
        <v>335</v>
      </c>
      <c r="IF702" s="12" t="s">
        <v>320</v>
      </c>
      <c r="IG702" s="12" t="s">
        <v>320</v>
      </c>
      <c r="IH702" s="12" t="s">
        <v>320</v>
      </c>
      <c r="II702" s="12" t="s">
        <v>320</v>
      </c>
      <c r="IJ702" s="12" t="str">
        <f t="shared" si="431"/>
        <v>2. Sensitive</v>
      </c>
      <c r="IK702" s="12">
        <f t="shared" si="432"/>
        <v>4</v>
      </c>
      <c r="IL702" s="12" t="s">
        <v>336</v>
      </c>
      <c r="IM702" s="12" t="s">
        <v>320</v>
      </c>
      <c r="IN702" s="12" t="s">
        <v>320</v>
      </c>
      <c r="IO702" s="12" t="s">
        <v>320</v>
      </c>
      <c r="IP702" s="12" t="s">
        <v>320</v>
      </c>
      <c r="IQ702" s="12" t="str">
        <f t="shared" si="433"/>
        <v>2. Accommodating</v>
      </c>
      <c r="IR702" s="12">
        <f t="shared" si="434"/>
        <v>4</v>
      </c>
      <c r="IS702" s="12" t="s">
        <v>622</v>
      </c>
      <c r="IT702" s="12" t="s">
        <v>319</v>
      </c>
      <c r="IU702" s="12" t="s">
        <v>320</v>
      </c>
      <c r="IV702" s="12" t="s">
        <v>320</v>
      </c>
      <c r="IW702" s="11" t="str">
        <f t="shared" si="435"/>
        <v>3. Responsive</v>
      </c>
      <c r="IX702" s="12">
        <f t="shared" si="436"/>
        <v>2</v>
      </c>
      <c r="IY702" s="12" t="s">
        <v>419</v>
      </c>
      <c r="IZ702" s="12" t="s">
        <v>339</v>
      </c>
      <c r="JA702" s="12">
        <v>2</v>
      </c>
      <c r="JB702" s="12" t="s">
        <v>384</v>
      </c>
      <c r="JC702" s="12" t="s">
        <v>384</v>
      </c>
      <c r="JD702" s="12" t="s">
        <v>384</v>
      </c>
      <c r="JE702" s="12" t="s">
        <v>420</v>
      </c>
      <c r="JF702" s="12"/>
      <c r="JG702" s="12" t="s">
        <v>11153</v>
      </c>
      <c r="JH702" s="12" t="s">
        <v>11154</v>
      </c>
      <c r="JI702" s="12" t="s">
        <v>11155</v>
      </c>
      <c r="JJ702" s="12"/>
      <c r="JK702" s="12" t="s">
        <v>11156</v>
      </c>
      <c r="JL702" s="12" t="s">
        <v>11157</v>
      </c>
      <c r="JM702" s="12" t="s">
        <v>11158</v>
      </c>
      <c r="JN702" s="12" t="s">
        <v>11159</v>
      </c>
      <c r="JO702" s="12" t="s">
        <v>11160</v>
      </c>
      <c r="JP702" s="15">
        <f t="shared" si="437"/>
        <v>5712</v>
      </c>
      <c r="JQ702" s="15">
        <f t="shared" si="438"/>
        <v>21390</v>
      </c>
      <c r="JR702" s="279">
        <f t="shared" si="439"/>
        <v>3.7447478991596639</v>
      </c>
      <c r="JS702" s="17">
        <f t="shared" si="440"/>
        <v>0.94852941176470584</v>
      </c>
      <c r="JT702" s="18">
        <f t="shared" si="441"/>
        <v>0.59022907900888266</v>
      </c>
      <c r="JU702" s="280">
        <f t="shared" si="442"/>
        <v>5418</v>
      </c>
      <c r="JV702" s="280">
        <f t="shared" si="443"/>
        <v>12625</v>
      </c>
      <c r="JW702" s="319">
        <f t="shared" si="444"/>
        <v>1</v>
      </c>
      <c r="JX702" s="15">
        <f t="shared" si="445"/>
        <v>4278</v>
      </c>
      <c r="JY702" s="15">
        <f t="shared" si="446"/>
        <v>21390</v>
      </c>
      <c r="JZ702" s="19">
        <f t="shared" si="447"/>
        <v>5</v>
      </c>
      <c r="KA702" s="52">
        <f t="shared" si="448"/>
        <v>1</v>
      </c>
      <c r="KB702" s="15">
        <f t="shared" si="449"/>
        <v>2345</v>
      </c>
      <c r="KC702" s="15">
        <f t="shared" si="450"/>
        <v>0</v>
      </c>
      <c r="KD702" s="20">
        <f t="shared" si="451"/>
        <v>0</v>
      </c>
      <c r="KE702" s="52" t="str">
        <f t="shared" si="452"/>
        <v/>
      </c>
      <c r="KF702" s="15">
        <f t="shared" si="453"/>
        <v>0</v>
      </c>
      <c r="KG702" s="15">
        <f t="shared" si="454"/>
        <v>0</v>
      </c>
      <c r="KH702" s="21" t="str">
        <f t="shared" si="455"/>
        <v/>
      </c>
      <c r="KI702" s="52">
        <f t="shared" si="456"/>
        <v>1</v>
      </c>
      <c r="KJ702" s="15">
        <f t="shared" si="457"/>
        <v>0</v>
      </c>
      <c r="KK702" s="15">
        <f t="shared" si="458"/>
        <v>0</v>
      </c>
      <c r="KL702" s="19" t="str">
        <f t="shared" si="459"/>
        <v/>
      </c>
      <c r="KM702" s="52">
        <f t="shared" si="460"/>
        <v>1</v>
      </c>
      <c r="KN702" s="22">
        <f t="shared" si="461"/>
        <v>5418</v>
      </c>
      <c r="KO702" s="22">
        <f t="shared" si="462"/>
        <v>0</v>
      </c>
      <c r="KP702" s="19">
        <f t="shared" si="463"/>
        <v>0</v>
      </c>
      <c r="KQ702" s="11" t="str">
        <f t="shared" si="464"/>
        <v>2. Sensitive</v>
      </c>
      <c r="KR702" s="11" t="str">
        <f t="shared" si="465"/>
        <v>2. Accommodating</v>
      </c>
      <c r="KS702" s="11" t="str">
        <f t="shared" si="466"/>
        <v>3. Responsive</v>
      </c>
      <c r="KT702" s="11" t="str">
        <f t="shared" si="467"/>
        <v>It tested new ways for fighting poverty and measured results of innovation</v>
      </c>
      <c r="KU702" s="11" t="str">
        <f t="shared" si="468"/>
        <v>Little or no advocacy</v>
      </c>
      <c r="KV702" s="11" t="str">
        <f t="shared" si="469"/>
        <v>It took tested solutions to scale on its own</v>
      </c>
      <c r="KW702" s="11" t="str">
        <f t="shared" si="470"/>
        <v>South Sudan - South Sudan Joint Initiative 2</v>
      </c>
      <c r="KX702" s="11" t="str">
        <f t="shared" si="471"/>
        <v>South Sudan Joint Initiative 2</v>
      </c>
      <c r="KY702" s="11" t="str">
        <f t="shared" si="472"/>
        <v>South Sudan</v>
      </c>
      <c r="KZ702" s="12">
        <v>702</v>
      </c>
    </row>
    <row r="703" spans="1:312" x14ac:dyDescent="0.3">
      <c r="A703" s="12" t="s">
        <v>11104</v>
      </c>
      <c r="B703" s="12" t="s">
        <v>1874</v>
      </c>
      <c r="C703" s="12"/>
      <c r="D703" s="12" t="s">
        <v>11290</v>
      </c>
      <c r="E703" s="277" t="str">
        <f t="shared" si="430"/>
        <v>South Sudan</v>
      </c>
      <c r="F703" s="12"/>
      <c r="G703" s="12" t="s">
        <v>608</v>
      </c>
      <c r="H703" s="12" t="s">
        <v>380</v>
      </c>
      <c r="I703" s="12" t="s">
        <v>381</v>
      </c>
      <c r="J703" s="281" t="s">
        <v>8430</v>
      </c>
      <c r="K703" s="12"/>
      <c r="L703" s="12"/>
      <c r="M703" s="12"/>
      <c r="N703" s="12"/>
      <c r="O703" s="12"/>
      <c r="P703" s="12"/>
      <c r="Q703" s="12"/>
      <c r="R703" s="12"/>
      <c r="S703" s="12"/>
      <c r="T703" s="12"/>
      <c r="U703" s="12"/>
      <c r="V703" s="12"/>
      <c r="W703" s="12"/>
      <c r="X703" s="12"/>
      <c r="Y703" s="12"/>
      <c r="Z703" s="12"/>
      <c r="AA703" s="12"/>
      <c r="AB703" s="12"/>
      <c r="AC703" s="12"/>
      <c r="AD703" s="12"/>
      <c r="BD703" s="13">
        <v>42552</v>
      </c>
      <c r="BE703" s="13">
        <v>42643</v>
      </c>
      <c r="BF703" s="13">
        <v>42825</v>
      </c>
      <c r="BG703" s="12" t="s">
        <v>908</v>
      </c>
      <c r="BH703" s="14">
        <v>77133</v>
      </c>
      <c r="BI703" s="12" t="s">
        <v>11291</v>
      </c>
      <c r="BJ703" s="12" t="s">
        <v>354</v>
      </c>
      <c r="BK703" s="12" t="s">
        <v>11248</v>
      </c>
      <c r="BL703" s="12" t="s">
        <v>11171</v>
      </c>
      <c r="BM703" s="12" t="s">
        <v>11172</v>
      </c>
      <c r="BN703" s="12" t="s">
        <v>11292</v>
      </c>
      <c r="BO703" s="12" t="s">
        <v>320</v>
      </c>
      <c r="BP703" s="12" t="s">
        <v>319</v>
      </c>
      <c r="BQ703" s="12" t="s">
        <v>319</v>
      </c>
      <c r="BR703" s="12" t="s">
        <v>11290</v>
      </c>
      <c r="BS703" s="12" t="s">
        <v>322</v>
      </c>
      <c r="BT703" s="12" t="s">
        <v>11293</v>
      </c>
      <c r="BU703" s="12" t="s">
        <v>11294</v>
      </c>
      <c r="BV703" s="14">
        <v>61</v>
      </c>
      <c r="BW703" s="14">
        <v>60</v>
      </c>
      <c r="BX703" s="14">
        <v>121</v>
      </c>
      <c r="BY703" s="14"/>
      <c r="BZ703" s="14"/>
      <c r="CA703" s="14">
        <v>0</v>
      </c>
      <c r="CB703" s="12" t="s">
        <v>11295</v>
      </c>
      <c r="CD703" s="14">
        <v>85</v>
      </c>
      <c r="CE703" s="14">
        <v>79</v>
      </c>
      <c r="CF703" s="14">
        <v>164</v>
      </c>
      <c r="CG703" s="14"/>
      <c r="CH703" s="14"/>
      <c r="CI703" s="14"/>
      <c r="CJ703" s="12" t="s">
        <v>319</v>
      </c>
      <c r="CK703" s="14"/>
      <c r="CL703" s="16"/>
      <c r="CM703" s="14"/>
      <c r="CN703" s="12" t="s">
        <v>319</v>
      </c>
      <c r="CO703" s="14"/>
      <c r="CP703" s="16"/>
      <c r="CQ703" s="14"/>
      <c r="CR703" s="12" t="s">
        <v>319</v>
      </c>
      <c r="CS703" s="14"/>
      <c r="CT703" s="16"/>
      <c r="CU703" s="14"/>
      <c r="CV703" s="12" t="s">
        <v>319</v>
      </c>
      <c r="CW703" s="14"/>
      <c r="CX703" s="16"/>
      <c r="CY703" s="14"/>
      <c r="CZ703" s="12" t="s">
        <v>319</v>
      </c>
      <c r="DA703" s="14"/>
      <c r="DB703" s="16"/>
      <c r="DC703" s="14"/>
      <c r="DD703" s="12" t="s">
        <v>319</v>
      </c>
      <c r="DE703" s="14"/>
      <c r="DF703" s="16"/>
      <c r="DG703" s="14"/>
      <c r="DH703" s="12" t="s">
        <v>320</v>
      </c>
      <c r="DI703" s="14">
        <v>164</v>
      </c>
      <c r="DJ703" s="16">
        <v>0.52</v>
      </c>
      <c r="DK703" s="14"/>
      <c r="DL703" s="12" t="s">
        <v>319</v>
      </c>
      <c r="DM703" s="14"/>
      <c r="DN703" s="16"/>
      <c r="DO703" s="14"/>
      <c r="DP703" s="12" t="s">
        <v>319</v>
      </c>
      <c r="DQ703" s="14"/>
      <c r="DR703" s="16"/>
      <c r="DS703" s="14"/>
      <c r="DT703" s="12" t="s">
        <v>319</v>
      </c>
      <c r="DU703" s="14"/>
      <c r="DV703" s="16"/>
      <c r="DW703" s="14"/>
      <c r="DX703" s="12" t="s">
        <v>319</v>
      </c>
      <c r="DY703" s="14"/>
      <c r="DZ703" s="16"/>
      <c r="EA703" s="14"/>
      <c r="EB703" s="12" t="s">
        <v>319</v>
      </c>
      <c r="EC703" s="14"/>
      <c r="ED703" s="16"/>
      <c r="EE703" s="14"/>
      <c r="EF703" s="12"/>
      <c r="EG703" s="12"/>
      <c r="EH703" s="14"/>
      <c r="EI703" s="16"/>
      <c r="EJ703" s="14"/>
      <c r="EK703" s="14"/>
      <c r="EL703" s="14"/>
      <c r="EM703" s="14"/>
      <c r="EN703" s="14"/>
      <c r="EO703" s="14"/>
      <c r="EP703" s="14"/>
      <c r="EQ703" s="12"/>
      <c r="ER703" s="14"/>
      <c r="ES703" s="16"/>
      <c r="ET703" s="14"/>
      <c r="EU703" s="12"/>
      <c r="EV703" s="14"/>
      <c r="EW703" s="16"/>
      <c r="EX703" s="14"/>
      <c r="EY703" s="12"/>
      <c r="EZ703" s="14"/>
      <c r="FA703" s="16"/>
      <c r="FB703" s="14"/>
      <c r="FC703" s="12"/>
      <c r="FD703" s="14"/>
      <c r="FE703" s="16"/>
      <c r="FF703" s="14"/>
      <c r="FG703" s="12"/>
      <c r="FH703" s="14"/>
      <c r="FI703" s="16"/>
      <c r="FJ703" s="14"/>
      <c r="FK703" s="12"/>
      <c r="FL703" s="14"/>
      <c r="FM703" s="16"/>
      <c r="FN703" s="14"/>
      <c r="FO703" s="12"/>
      <c r="FP703" s="14"/>
      <c r="FQ703" s="16"/>
      <c r="FR703" s="14"/>
      <c r="FS703" s="12"/>
      <c r="FT703" s="14"/>
      <c r="FU703" s="16"/>
      <c r="FV703" s="14"/>
      <c r="FW703" s="12"/>
      <c r="FX703" s="14"/>
      <c r="FY703" s="16"/>
      <c r="FZ703" s="14"/>
      <c r="GA703" s="12"/>
      <c r="GB703" s="14"/>
      <c r="GC703" s="16"/>
      <c r="GD703" s="14"/>
      <c r="GE703" s="12"/>
      <c r="GF703" s="14"/>
      <c r="GG703" s="16"/>
      <c r="GH703" s="14"/>
      <c r="GI703" s="12"/>
      <c r="GJ703" s="14"/>
      <c r="GK703" s="16"/>
      <c r="GL703" s="14"/>
      <c r="GM703" s="12"/>
      <c r="GN703" s="14"/>
      <c r="GO703" s="16"/>
      <c r="GP703" s="14"/>
      <c r="GQ703" s="12"/>
      <c r="GR703" s="14"/>
      <c r="GS703" s="16"/>
      <c r="GT703" s="14"/>
      <c r="GU703" s="12"/>
      <c r="GV703" s="14"/>
      <c r="GW703" s="16"/>
      <c r="GX703" s="14"/>
      <c r="GY703" s="12"/>
      <c r="GZ703" s="14"/>
      <c r="HA703" s="16"/>
      <c r="HB703" s="14"/>
      <c r="HC703" s="12"/>
      <c r="HD703" s="12"/>
      <c r="HE703" s="14"/>
      <c r="HF703" s="16"/>
      <c r="HG703" s="14"/>
      <c r="HH703" s="12" t="s">
        <v>319</v>
      </c>
      <c r="HI703" s="12"/>
      <c r="HJ703" s="12"/>
      <c r="HK703" s="12" t="s">
        <v>319</v>
      </c>
      <c r="HL703" s="12" t="s">
        <v>319</v>
      </c>
      <c r="HM703" s="12"/>
      <c r="HN703" s="12"/>
      <c r="HO703" s="12"/>
      <c r="HP703" s="12" t="s">
        <v>453</v>
      </c>
      <c r="HQ703" s="12" t="s">
        <v>320</v>
      </c>
      <c r="HR703" s="12" t="s">
        <v>320</v>
      </c>
      <c r="HS703" s="12" t="s">
        <v>320</v>
      </c>
      <c r="HT703" s="12" t="s">
        <v>320</v>
      </c>
      <c r="HU703" s="12" t="s">
        <v>320</v>
      </c>
      <c r="HV703" s="12" t="s">
        <v>320</v>
      </c>
      <c r="HW703" s="12" t="s">
        <v>320</v>
      </c>
      <c r="HX703" s="12"/>
      <c r="HY703" s="12"/>
      <c r="HZ703" s="12" t="s">
        <v>394</v>
      </c>
      <c r="IA703" s="12" t="s">
        <v>11296</v>
      </c>
      <c r="IB703" s="12" t="s">
        <v>333</v>
      </c>
      <c r="IC703" s="12" t="s">
        <v>11297</v>
      </c>
      <c r="ID703" s="12" t="s">
        <v>334</v>
      </c>
      <c r="IE703" s="12" t="s">
        <v>335</v>
      </c>
      <c r="IF703" s="12" t="s">
        <v>320</v>
      </c>
      <c r="IG703" s="12" t="s">
        <v>320</v>
      </c>
      <c r="IH703" s="12" t="s">
        <v>320</v>
      </c>
      <c r="II703" s="12" t="s">
        <v>320</v>
      </c>
      <c r="IJ703" s="12" t="str">
        <f t="shared" si="431"/>
        <v>2. Sensitive</v>
      </c>
      <c r="IK703" s="12">
        <f t="shared" si="432"/>
        <v>4</v>
      </c>
      <c r="IL703" s="12" t="s">
        <v>336</v>
      </c>
      <c r="IM703" s="12" t="s">
        <v>320</v>
      </c>
      <c r="IN703" s="12" t="s">
        <v>320</v>
      </c>
      <c r="IO703" s="12" t="s">
        <v>320</v>
      </c>
      <c r="IP703" s="12" t="s">
        <v>320</v>
      </c>
      <c r="IQ703" s="12" t="str">
        <f t="shared" si="433"/>
        <v>2. Accommodating</v>
      </c>
      <c r="IR703" s="12">
        <f t="shared" si="434"/>
        <v>4</v>
      </c>
      <c r="IS703" s="12" t="s">
        <v>622</v>
      </c>
      <c r="IT703" s="12" t="s">
        <v>320</v>
      </c>
      <c r="IU703" s="12" t="s">
        <v>320</v>
      </c>
      <c r="IV703" s="12" t="s">
        <v>320</v>
      </c>
      <c r="IW703" s="11" t="str">
        <f t="shared" si="435"/>
        <v>4. Transformative</v>
      </c>
      <c r="IX703" s="12">
        <f t="shared" si="436"/>
        <v>3</v>
      </c>
      <c r="IY703" s="12" t="s">
        <v>338</v>
      </c>
      <c r="IZ703" s="12" t="s">
        <v>339</v>
      </c>
      <c r="JA703" s="12">
        <v>3</v>
      </c>
      <c r="JB703" s="12" t="s">
        <v>831</v>
      </c>
      <c r="JC703" s="12" t="s">
        <v>832</v>
      </c>
      <c r="JD703" s="12" t="s">
        <v>687</v>
      </c>
      <c r="JE703" s="12" t="s">
        <v>365</v>
      </c>
      <c r="JF703" s="12"/>
      <c r="JG703" s="12" t="s">
        <v>11298</v>
      </c>
      <c r="JH703" s="12" t="s">
        <v>11299</v>
      </c>
      <c r="JI703" s="12"/>
      <c r="JJ703" s="12"/>
      <c r="JK703" s="12" t="s">
        <v>11300</v>
      </c>
      <c r="JL703" s="12" t="s">
        <v>11301</v>
      </c>
      <c r="JM703" s="12" t="s">
        <v>11302</v>
      </c>
      <c r="JN703" s="12" t="s">
        <v>11303</v>
      </c>
      <c r="JO703" s="12"/>
      <c r="JP703" s="15">
        <f t="shared" si="437"/>
        <v>164</v>
      </c>
      <c r="JQ703" s="15">
        <f t="shared" si="438"/>
        <v>0</v>
      </c>
      <c r="JR703" s="279">
        <f t="shared" si="439"/>
        <v>0</v>
      </c>
      <c r="JS703" s="17">
        <f t="shared" si="440"/>
        <v>0.51829268292682928</v>
      </c>
      <c r="JT703" s="18" t="str">
        <f t="shared" si="441"/>
        <v/>
      </c>
      <c r="JU703" s="280">
        <f t="shared" si="442"/>
        <v>85</v>
      </c>
      <c r="JV703" s="280">
        <f t="shared" si="443"/>
        <v>0</v>
      </c>
      <c r="JW703" s="319">
        <f t="shared" si="444"/>
        <v>1</v>
      </c>
      <c r="JX703" s="15">
        <f t="shared" si="445"/>
        <v>164</v>
      </c>
      <c r="JY703" s="15">
        <f t="shared" si="446"/>
        <v>0</v>
      </c>
      <c r="JZ703" s="19">
        <f t="shared" si="447"/>
        <v>0</v>
      </c>
      <c r="KA703" s="52" t="str">
        <f t="shared" si="448"/>
        <v/>
      </c>
      <c r="KB703" s="15">
        <f t="shared" si="449"/>
        <v>0</v>
      </c>
      <c r="KC703" s="15">
        <f t="shared" si="450"/>
        <v>0</v>
      </c>
      <c r="KD703" s="20" t="str">
        <f t="shared" si="451"/>
        <v/>
      </c>
      <c r="KE703" s="52" t="str">
        <f t="shared" si="452"/>
        <v/>
      </c>
      <c r="KF703" s="15">
        <f t="shared" si="453"/>
        <v>0</v>
      </c>
      <c r="KG703" s="15">
        <f t="shared" si="454"/>
        <v>0</v>
      </c>
      <c r="KH703" s="21" t="str">
        <f t="shared" si="455"/>
        <v/>
      </c>
      <c r="KI703" s="52" t="str">
        <f t="shared" si="456"/>
        <v/>
      </c>
      <c r="KJ703" s="15">
        <f t="shared" si="457"/>
        <v>0</v>
      </c>
      <c r="KK703" s="15">
        <f t="shared" si="458"/>
        <v>0</v>
      </c>
      <c r="KL703" s="19" t="str">
        <f t="shared" si="459"/>
        <v/>
      </c>
      <c r="KM703" s="52" t="str">
        <f t="shared" si="460"/>
        <v/>
      </c>
      <c r="KN703" s="22">
        <f t="shared" si="461"/>
        <v>0</v>
      </c>
      <c r="KO703" s="22">
        <f t="shared" si="462"/>
        <v>0</v>
      </c>
      <c r="KP703" s="19" t="str">
        <f t="shared" si="463"/>
        <v/>
      </c>
      <c r="KQ703" s="11" t="str">
        <f t="shared" si="464"/>
        <v>2. Sensitive</v>
      </c>
      <c r="KR703" s="11" t="str">
        <f t="shared" si="465"/>
        <v>2. Accommodating</v>
      </c>
      <c r="KS703" s="11" t="str">
        <f t="shared" si="466"/>
        <v>4. Transformative</v>
      </c>
      <c r="KT703" s="11" t="str">
        <f t="shared" si="467"/>
        <v>It tested new ways for fighting poverty, but did not measure results of innovation</v>
      </c>
      <c r="KU703" s="11" t="str">
        <f t="shared" si="468"/>
        <v>Intensive advocacy</v>
      </c>
      <c r="KV703" s="11" t="str">
        <f t="shared" si="469"/>
        <v>It did not take tested solutions to scale</v>
      </c>
      <c r="KW703" s="11" t="str">
        <f t="shared" si="470"/>
        <v>South Sudan - Strengthening Community Engagement and Social Mobilization for Polio outbreak Response in Mayom, Pariang, Abiemnom counties.</v>
      </c>
      <c r="KX703" s="11" t="str">
        <f t="shared" si="471"/>
        <v>Strengthening Community Engagement and Social Mobilization for Polio outbreak Response in Mayom, Pariang, Abiemnom counties.</v>
      </c>
      <c r="KY703" s="11" t="str">
        <f t="shared" si="472"/>
        <v>South Sudan</v>
      </c>
      <c r="KZ703" s="12">
        <v>703</v>
      </c>
    </row>
    <row r="704" spans="1:312" x14ac:dyDescent="0.3">
      <c r="A704" s="282" t="s">
        <v>11104</v>
      </c>
      <c r="B704" s="282" t="s">
        <v>1874</v>
      </c>
      <c r="C704" s="282"/>
      <c r="D704" s="282" t="s">
        <v>11263</v>
      </c>
      <c r="E704" s="277" t="str">
        <f t="shared" si="430"/>
        <v>South Sudan</v>
      </c>
      <c r="F704" s="282"/>
      <c r="G704" s="282" t="s">
        <v>379</v>
      </c>
      <c r="H704" s="282" t="s">
        <v>380</v>
      </c>
      <c r="I704" s="282" t="s">
        <v>381</v>
      </c>
      <c r="J704" s="281" t="s">
        <v>14583</v>
      </c>
      <c r="K704" s="282"/>
      <c r="L704" s="282"/>
      <c r="M704" s="282"/>
      <c r="N704" s="282"/>
      <c r="O704" s="282"/>
      <c r="P704" s="282"/>
      <c r="Q704" s="282"/>
      <c r="R704" s="282"/>
      <c r="S704" s="282"/>
      <c r="T704" s="282"/>
      <c r="U704" s="282"/>
      <c r="V704" s="282"/>
      <c r="W704" s="282"/>
      <c r="X704" s="282"/>
      <c r="Y704" s="282"/>
      <c r="Z704" s="282"/>
      <c r="AA704" s="282"/>
      <c r="AB704" s="282"/>
      <c r="AC704" s="282"/>
      <c r="AD704" s="282"/>
      <c r="AE704" s="282"/>
      <c r="AF704" s="282"/>
      <c r="AG704" s="282"/>
      <c r="AH704" s="282"/>
      <c r="AI704" s="282"/>
      <c r="AJ704" s="282"/>
      <c r="AK704" s="282"/>
      <c r="AL704" s="282"/>
      <c r="AM704" s="282"/>
      <c r="AN704" s="282"/>
      <c r="AO704" s="282"/>
      <c r="AP704" s="282"/>
      <c r="AQ704" s="282"/>
      <c r="AR704" s="282"/>
      <c r="AS704" s="282"/>
      <c r="AT704" s="282"/>
      <c r="AU704" s="282"/>
      <c r="AV704" s="282"/>
      <c r="AW704" s="282"/>
      <c r="AX704" s="282"/>
      <c r="AY704" s="282"/>
      <c r="AZ704" s="282"/>
      <c r="BA704" s="282"/>
      <c r="BB704" s="282"/>
      <c r="BC704" s="282"/>
      <c r="BD704" s="283">
        <v>42720</v>
      </c>
      <c r="BE704" s="283">
        <v>42825</v>
      </c>
      <c r="BF704" s="283">
        <v>42916</v>
      </c>
      <c r="BG704" s="283" t="s">
        <v>908</v>
      </c>
      <c r="BH704" s="284">
        <v>129700</v>
      </c>
      <c r="BI704" s="282" t="s">
        <v>11106</v>
      </c>
      <c r="BJ704" s="282" t="s">
        <v>11188</v>
      </c>
      <c r="BK704" s="282" t="s">
        <v>11264</v>
      </c>
      <c r="BL704" s="282" t="s">
        <v>11190</v>
      </c>
      <c r="BM704" s="282" t="s">
        <v>8688</v>
      </c>
      <c r="BN704" s="282" t="s">
        <v>11147</v>
      </c>
      <c r="BO704" s="282" t="s">
        <v>320</v>
      </c>
      <c r="BP704" s="282" t="s">
        <v>320</v>
      </c>
      <c r="BQ704" s="282" t="s">
        <v>320</v>
      </c>
      <c r="BR704" s="282" t="s">
        <v>11148</v>
      </c>
      <c r="BS704" s="282" t="s">
        <v>322</v>
      </c>
      <c r="BT704" s="282" t="s">
        <v>11265</v>
      </c>
      <c r="BU704" s="282" t="s">
        <v>11111</v>
      </c>
      <c r="BV704" s="284">
        <v>5221</v>
      </c>
      <c r="BW704" s="284">
        <v>2237</v>
      </c>
      <c r="BX704" s="284">
        <v>7458</v>
      </c>
      <c r="BY704" s="284">
        <v>26105</v>
      </c>
      <c r="BZ704" s="284">
        <v>11185</v>
      </c>
      <c r="CA704" s="284">
        <v>37290</v>
      </c>
      <c r="CB704" s="285" t="s">
        <v>11192</v>
      </c>
      <c r="CC704" s="285"/>
      <c r="CD704" s="284">
        <v>5221</v>
      </c>
      <c r="CE704" s="284">
        <v>2237</v>
      </c>
      <c r="CF704" s="284">
        <v>7458</v>
      </c>
      <c r="CG704" s="284">
        <v>26105</v>
      </c>
      <c r="CH704" s="284">
        <v>11185</v>
      </c>
      <c r="CI704" s="284">
        <v>37290</v>
      </c>
      <c r="CJ704" s="282" t="s">
        <v>319</v>
      </c>
      <c r="CK704" s="284"/>
      <c r="CL704" s="286"/>
      <c r="CM704" s="284"/>
      <c r="CN704" s="287" t="s">
        <v>319</v>
      </c>
      <c r="CO704" s="284"/>
      <c r="CP704" s="286"/>
      <c r="CQ704" s="284"/>
      <c r="CR704" s="282" t="s">
        <v>319</v>
      </c>
      <c r="CS704" s="284"/>
      <c r="CT704" s="286"/>
      <c r="CU704" s="284"/>
      <c r="CV704" s="289" t="s">
        <v>320</v>
      </c>
      <c r="CW704" s="300">
        <v>7458</v>
      </c>
      <c r="CX704" s="308">
        <v>0.7</v>
      </c>
      <c r="CY704" s="300">
        <v>37290</v>
      </c>
      <c r="CZ704" s="282" t="s">
        <v>319</v>
      </c>
      <c r="DA704" s="284"/>
      <c r="DB704" s="286"/>
      <c r="DC704" s="284"/>
      <c r="DD704" s="287" t="s">
        <v>319</v>
      </c>
      <c r="DE704" s="284"/>
      <c r="DF704" s="286"/>
      <c r="DG704" s="284"/>
      <c r="DH704" s="282" t="s">
        <v>319</v>
      </c>
      <c r="DI704" s="284"/>
      <c r="DJ704" s="286"/>
      <c r="DK704" s="284"/>
      <c r="DL704" s="282" t="s">
        <v>320</v>
      </c>
      <c r="DM704" s="284">
        <v>7458</v>
      </c>
      <c r="DN704" s="286">
        <v>0.7</v>
      </c>
      <c r="DO704" s="284"/>
      <c r="DP704" s="282" t="s">
        <v>319</v>
      </c>
      <c r="DQ704" s="284"/>
      <c r="DR704" s="286"/>
      <c r="DS704" s="284"/>
      <c r="DT704" s="282" t="s">
        <v>319</v>
      </c>
      <c r="DU704" s="284"/>
      <c r="DV704" s="286"/>
      <c r="DW704" s="284"/>
      <c r="DX704" s="282" t="s">
        <v>319</v>
      </c>
      <c r="DY704" s="284"/>
      <c r="DZ704" s="286"/>
      <c r="EA704" s="284"/>
      <c r="EB704" s="282" t="s">
        <v>319</v>
      </c>
      <c r="EC704" s="284"/>
      <c r="ED704" s="286"/>
      <c r="EE704" s="284"/>
      <c r="EF704" s="285"/>
      <c r="EG704" s="287" t="s">
        <v>319</v>
      </c>
      <c r="EH704" s="284"/>
      <c r="EI704" s="286"/>
      <c r="EJ704" s="284"/>
      <c r="EK704" s="284">
        <v>5418</v>
      </c>
      <c r="EL704" s="284">
        <v>294</v>
      </c>
      <c r="EM704" s="284">
        <v>5712</v>
      </c>
      <c r="EN704" s="284"/>
      <c r="EO704" s="284"/>
      <c r="EP704" s="284"/>
      <c r="EQ704" s="282"/>
      <c r="ER704" s="284"/>
      <c r="ES704" s="286"/>
      <c r="ET704" s="284"/>
      <c r="EU704" s="305"/>
      <c r="EV704" s="300"/>
      <c r="EW704" s="308"/>
      <c r="EX704" s="300"/>
      <c r="EY704" s="282"/>
      <c r="EZ704" s="284"/>
      <c r="FA704" s="286"/>
      <c r="FB704" s="284"/>
      <c r="FC704" s="282"/>
      <c r="FD704" s="284"/>
      <c r="FE704" s="286"/>
      <c r="FF704" s="284"/>
      <c r="FG704" s="282"/>
      <c r="FH704" s="284"/>
      <c r="FI704" s="286"/>
      <c r="FJ704" s="284"/>
      <c r="FK704" s="282"/>
      <c r="FL704" s="284"/>
      <c r="FM704" s="286"/>
      <c r="FN704" s="284"/>
      <c r="FO704" s="305"/>
      <c r="FP704" s="300"/>
      <c r="FQ704" s="308"/>
      <c r="FR704" s="300"/>
      <c r="FS704" s="282"/>
      <c r="FT704" s="284"/>
      <c r="FU704" s="286"/>
      <c r="FV704" s="284"/>
      <c r="FW704" s="282"/>
      <c r="FX704" s="284"/>
      <c r="FY704" s="286"/>
      <c r="FZ704" s="284"/>
      <c r="GA704" s="282"/>
      <c r="GB704" s="284"/>
      <c r="GC704" s="286"/>
      <c r="GD704" s="284"/>
      <c r="GE704" s="282"/>
      <c r="GF704" s="284"/>
      <c r="GG704" s="286"/>
      <c r="GH704" s="284"/>
      <c r="GI704" s="282"/>
      <c r="GJ704" s="284"/>
      <c r="GK704" s="286"/>
      <c r="GL704" s="284"/>
      <c r="GM704" s="282"/>
      <c r="GN704" s="284"/>
      <c r="GO704" s="286"/>
      <c r="GP704" s="284"/>
      <c r="GQ704" s="282"/>
      <c r="GR704" s="284"/>
      <c r="GS704" s="286"/>
      <c r="GT704" s="284"/>
      <c r="GU704" s="282"/>
      <c r="GV704" s="284"/>
      <c r="GW704" s="286"/>
      <c r="GX704" s="284"/>
      <c r="GY704" s="282" t="s">
        <v>320</v>
      </c>
      <c r="GZ704" s="284">
        <v>5418</v>
      </c>
      <c r="HA704" s="286">
        <v>1</v>
      </c>
      <c r="HB704" s="284"/>
      <c r="HC704" s="282"/>
      <c r="HD704" s="282"/>
      <c r="HE704" s="284"/>
      <c r="HF704" s="286"/>
      <c r="HG704" s="284"/>
      <c r="HH704" s="282" t="s">
        <v>319</v>
      </c>
      <c r="HI704" s="282"/>
      <c r="HJ704" s="282"/>
      <c r="HK704" s="282" t="s">
        <v>319</v>
      </c>
      <c r="HL704" s="282" t="s">
        <v>319</v>
      </c>
      <c r="HM704" s="282"/>
      <c r="HN704" s="282"/>
      <c r="HO704" s="282" t="s">
        <v>11193</v>
      </c>
      <c r="HP704" s="282" t="s">
        <v>418</v>
      </c>
      <c r="HQ704" s="282" t="s">
        <v>319</v>
      </c>
      <c r="HR704" s="282" t="s">
        <v>319</v>
      </c>
      <c r="HS704" s="282" t="s">
        <v>319</v>
      </c>
      <c r="HT704" s="282" t="s">
        <v>319</v>
      </c>
      <c r="HU704" s="282" t="s">
        <v>319</v>
      </c>
      <c r="HV704" s="282" t="s">
        <v>319</v>
      </c>
      <c r="HW704" s="282" t="s">
        <v>319</v>
      </c>
      <c r="HX704" s="282"/>
      <c r="HY704" s="282"/>
      <c r="HZ704" s="282" t="s">
        <v>363</v>
      </c>
      <c r="IA704" s="282"/>
      <c r="IB704" s="282" t="s">
        <v>333</v>
      </c>
      <c r="IC704" s="282"/>
      <c r="ID704" s="282" t="s">
        <v>364</v>
      </c>
      <c r="IE704" s="282" t="s">
        <v>335</v>
      </c>
      <c r="IF704" s="282" t="s">
        <v>320</v>
      </c>
      <c r="IG704" s="282" t="s">
        <v>320</v>
      </c>
      <c r="IH704" s="282" t="s">
        <v>320</v>
      </c>
      <c r="II704" s="282" t="s">
        <v>320</v>
      </c>
      <c r="IJ704" s="12" t="str">
        <f t="shared" si="431"/>
        <v>2. Sensitive</v>
      </c>
      <c r="IK704" s="287">
        <f t="shared" si="432"/>
        <v>4</v>
      </c>
      <c r="IL704" s="282" t="s">
        <v>336</v>
      </c>
      <c r="IM704" s="282" t="s">
        <v>320</v>
      </c>
      <c r="IN704" s="282" t="s">
        <v>319</v>
      </c>
      <c r="IO704" s="282" t="s">
        <v>320</v>
      </c>
      <c r="IP704" s="282" t="s">
        <v>320</v>
      </c>
      <c r="IQ704" s="287" t="str">
        <f t="shared" si="433"/>
        <v>2. Accommodating</v>
      </c>
      <c r="IR704" s="287">
        <f t="shared" si="434"/>
        <v>3</v>
      </c>
      <c r="IS704" s="282" t="s">
        <v>622</v>
      </c>
      <c r="IT704" s="282" t="s">
        <v>319</v>
      </c>
      <c r="IU704" s="282" t="s">
        <v>320</v>
      </c>
      <c r="IV704" s="282" t="s">
        <v>320</v>
      </c>
      <c r="IW704" s="11" t="str">
        <f t="shared" si="435"/>
        <v>3. Responsive</v>
      </c>
      <c r="IX704" s="287">
        <f t="shared" si="436"/>
        <v>2</v>
      </c>
      <c r="IY704" s="282" t="s">
        <v>419</v>
      </c>
      <c r="IZ704" s="282" t="s">
        <v>339</v>
      </c>
      <c r="JA704" s="282"/>
      <c r="JB704" s="282" t="s">
        <v>384</v>
      </c>
      <c r="JC704" s="282" t="s">
        <v>384</v>
      </c>
      <c r="JD704" s="282" t="s">
        <v>384</v>
      </c>
      <c r="JE704" s="282" t="s">
        <v>420</v>
      </c>
      <c r="JF704" s="282"/>
      <c r="JG704" s="282"/>
      <c r="JH704" s="282" t="s">
        <v>6587</v>
      </c>
      <c r="JI704" s="282" t="s">
        <v>11194</v>
      </c>
      <c r="JJ704" s="282"/>
      <c r="JK704" s="282" t="s">
        <v>11195</v>
      </c>
      <c r="JL704" s="282"/>
      <c r="JM704" s="282"/>
      <c r="JN704" s="282" t="s">
        <v>11266</v>
      </c>
      <c r="JO704" s="282" t="s">
        <v>11167</v>
      </c>
      <c r="JP704" s="15">
        <f t="shared" si="437"/>
        <v>7458</v>
      </c>
      <c r="JQ704" s="15">
        <f t="shared" si="438"/>
        <v>37290</v>
      </c>
      <c r="JR704" s="279">
        <f t="shared" si="439"/>
        <v>5</v>
      </c>
      <c r="JS704" s="17">
        <f t="shared" si="440"/>
        <v>0.7264682220434433</v>
      </c>
      <c r="JT704" s="18">
        <f t="shared" si="441"/>
        <v>0.70005363368195228</v>
      </c>
      <c r="JU704" s="280">
        <f t="shared" si="442"/>
        <v>5418</v>
      </c>
      <c r="JV704" s="280">
        <f t="shared" si="443"/>
        <v>26105</v>
      </c>
      <c r="JW704" s="319">
        <f t="shared" si="444"/>
        <v>1</v>
      </c>
      <c r="JX704" s="15">
        <f t="shared" si="445"/>
        <v>7458</v>
      </c>
      <c r="JY704" s="15">
        <f t="shared" si="446"/>
        <v>37290</v>
      </c>
      <c r="JZ704" s="19">
        <f t="shared" si="447"/>
        <v>5</v>
      </c>
      <c r="KA704" s="52">
        <f t="shared" si="448"/>
        <v>1</v>
      </c>
      <c r="KB704" s="15">
        <f t="shared" si="449"/>
        <v>7458</v>
      </c>
      <c r="KC704" s="15">
        <f t="shared" si="450"/>
        <v>37290</v>
      </c>
      <c r="KD704" s="20">
        <f t="shared" si="451"/>
        <v>5</v>
      </c>
      <c r="KE704" s="52" t="str">
        <f t="shared" si="452"/>
        <v/>
      </c>
      <c r="KF704" s="15">
        <f t="shared" si="453"/>
        <v>0</v>
      </c>
      <c r="KG704" s="15">
        <f t="shared" si="454"/>
        <v>0</v>
      </c>
      <c r="KH704" s="21" t="str">
        <f t="shared" si="455"/>
        <v/>
      </c>
      <c r="KI704" s="52" t="str">
        <f t="shared" si="456"/>
        <v/>
      </c>
      <c r="KJ704" s="15">
        <f t="shared" si="457"/>
        <v>0</v>
      </c>
      <c r="KK704" s="15">
        <f t="shared" si="458"/>
        <v>0</v>
      </c>
      <c r="KL704" s="19" t="str">
        <f t="shared" si="459"/>
        <v/>
      </c>
      <c r="KM704" s="52">
        <f t="shared" si="460"/>
        <v>1</v>
      </c>
      <c r="KN704" s="22">
        <f t="shared" si="461"/>
        <v>5418</v>
      </c>
      <c r="KO704" s="22">
        <f t="shared" si="462"/>
        <v>0</v>
      </c>
      <c r="KP704" s="19">
        <f t="shared" si="463"/>
        <v>0</v>
      </c>
      <c r="KQ704" s="11" t="str">
        <f t="shared" si="464"/>
        <v>2. Sensitive</v>
      </c>
      <c r="KR704" s="11" t="str">
        <f t="shared" si="465"/>
        <v>2. Accommodating</v>
      </c>
      <c r="KS704" s="11" t="str">
        <f t="shared" si="466"/>
        <v>3. Responsive</v>
      </c>
      <c r="KT704" s="11" t="str">
        <f t="shared" si="467"/>
        <v>It did not develop any specific innovation</v>
      </c>
      <c r="KU704" s="11" t="str">
        <f t="shared" si="468"/>
        <v>Little or no advocacy</v>
      </c>
      <c r="KV704" s="11" t="str">
        <f t="shared" si="469"/>
        <v>It did not take tested solutions to scale</v>
      </c>
      <c r="KW704" s="11" t="str">
        <f t="shared" si="470"/>
        <v>South Sudan - Torit-Agricultutral Inputs - FAO</v>
      </c>
      <c r="KX704" s="11" t="str">
        <f t="shared" si="471"/>
        <v>Torit-Agricultutral Inputs - FAO</v>
      </c>
      <c r="KY704" s="11" t="str">
        <f t="shared" si="472"/>
        <v>South Sudan</v>
      </c>
      <c r="KZ704" s="12">
        <v>704</v>
      </c>
    </row>
    <row r="705" spans="1:312" x14ac:dyDescent="0.3">
      <c r="A705" s="12" t="s">
        <v>11104</v>
      </c>
      <c r="B705" s="12" t="s">
        <v>1874</v>
      </c>
      <c r="C705" s="12">
        <v>3357</v>
      </c>
      <c r="D705" s="12" t="s">
        <v>11267</v>
      </c>
      <c r="E705" s="277" t="str">
        <f t="shared" ref="E705:E768" si="473">A705</f>
        <v>South Sudan</v>
      </c>
      <c r="F705" s="12">
        <v>3357</v>
      </c>
      <c r="G705" s="12" t="s">
        <v>379</v>
      </c>
      <c r="H705" s="12" t="s">
        <v>380</v>
      </c>
      <c r="I705" s="12" t="s">
        <v>381</v>
      </c>
      <c r="J705" s="281" t="s">
        <v>7763</v>
      </c>
      <c r="K705" s="12"/>
      <c r="L705" s="12"/>
      <c r="M705" s="12"/>
      <c r="N705" s="12"/>
      <c r="O705" s="12"/>
      <c r="P705" s="12"/>
      <c r="Q705" s="12"/>
      <c r="R705" s="12"/>
      <c r="S705" s="12"/>
      <c r="T705" s="12"/>
      <c r="U705" s="12"/>
      <c r="V705" s="12"/>
      <c r="W705" s="12"/>
      <c r="X705" s="12"/>
      <c r="Y705" s="12"/>
      <c r="Z705" s="12"/>
      <c r="AA705" s="12"/>
      <c r="AB705" s="12"/>
      <c r="AC705" s="12"/>
      <c r="AD705" s="12"/>
      <c r="BD705" s="13">
        <v>42644</v>
      </c>
      <c r="BE705" s="13">
        <v>43008</v>
      </c>
      <c r="BF705" s="13">
        <v>43100</v>
      </c>
      <c r="BG705" s="12" t="s">
        <v>908</v>
      </c>
      <c r="BH705" s="14">
        <v>864108</v>
      </c>
      <c r="BI705" s="12" t="s">
        <v>11268</v>
      </c>
      <c r="BJ705" s="12" t="s">
        <v>354</v>
      </c>
      <c r="BK705" s="12" t="s">
        <v>11269</v>
      </c>
      <c r="BL705" s="12"/>
      <c r="BM705" s="12"/>
      <c r="BN705" s="12"/>
      <c r="BO705" s="12" t="s">
        <v>320</v>
      </c>
      <c r="BP705" s="12" t="s">
        <v>319</v>
      </c>
      <c r="BQ705" s="12" t="s">
        <v>319</v>
      </c>
      <c r="BR705" s="12" t="s">
        <v>11270</v>
      </c>
      <c r="BS705" s="12" t="s">
        <v>357</v>
      </c>
      <c r="BT705" s="12" t="s">
        <v>11240</v>
      </c>
      <c r="BU705" s="12" t="s">
        <v>11271</v>
      </c>
      <c r="BV705" s="14">
        <v>75747</v>
      </c>
      <c r="BW705" s="14">
        <v>60106</v>
      </c>
      <c r="BX705" s="14">
        <v>135853</v>
      </c>
      <c r="BY705" s="14">
        <v>378735</v>
      </c>
      <c r="BZ705" s="14">
        <v>300530</v>
      </c>
      <c r="CA705" s="14">
        <v>679265</v>
      </c>
      <c r="CB705" s="12" t="s">
        <v>11271</v>
      </c>
      <c r="CD705" s="14">
        <v>33215</v>
      </c>
      <c r="CE705" s="14">
        <v>28277</v>
      </c>
      <c r="CF705" s="14">
        <v>61492</v>
      </c>
      <c r="CG705" s="14">
        <v>166075</v>
      </c>
      <c r="CH705" s="14">
        <v>141385</v>
      </c>
      <c r="CI705" s="14">
        <v>307460</v>
      </c>
      <c r="CJ705" s="12" t="s">
        <v>319</v>
      </c>
      <c r="CK705" s="14"/>
      <c r="CL705" s="16"/>
      <c r="CM705" s="14"/>
      <c r="CN705" s="12" t="s">
        <v>319</v>
      </c>
      <c r="CO705" s="14"/>
      <c r="CP705" s="16"/>
      <c r="CQ705" s="14">
        <v>0</v>
      </c>
      <c r="CR705" s="12" t="s">
        <v>319</v>
      </c>
      <c r="CS705" s="14"/>
      <c r="CT705" s="16"/>
      <c r="CU705" s="14">
        <v>0</v>
      </c>
      <c r="CV705" s="12" t="s">
        <v>320</v>
      </c>
      <c r="CW705" s="14">
        <v>61492</v>
      </c>
      <c r="CX705" s="16">
        <v>0.54</v>
      </c>
      <c r="CY705" s="14"/>
      <c r="CZ705" s="12" t="s">
        <v>319</v>
      </c>
      <c r="DA705" s="14"/>
      <c r="DB705" s="16"/>
      <c r="DC705" s="14">
        <v>0</v>
      </c>
      <c r="DD705" s="12" t="s">
        <v>319</v>
      </c>
      <c r="DE705" s="14"/>
      <c r="DF705" s="16"/>
      <c r="DG705" s="14"/>
      <c r="DH705" s="12" t="s">
        <v>319</v>
      </c>
      <c r="DI705" s="14"/>
      <c r="DJ705" s="16"/>
      <c r="DK705" s="14"/>
      <c r="DL705" s="12" t="s">
        <v>319</v>
      </c>
      <c r="DM705" s="14"/>
      <c r="DN705" s="16"/>
      <c r="DO705" s="14"/>
      <c r="DP705" s="12" t="s">
        <v>319</v>
      </c>
      <c r="DQ705" s="14"/>
      <c r="DR705" s="16"/>
      <c r="DS705" s="14"/>
      <c r="DT705" s="12" t="s">
        <v>319</v>
      </c>
      <c r="DU705" s="14"/>
      <c r="DV705" s="16"/>
      <c r="DW705" s="14"/>
      <c r="DX705" s="12" t="s">
        <v>319</v>
      </c>
      <c r="DY705" s="14"/>
      <c r="DZ705" s="16"/>
      <c r="EA705" s="14"/>
      <c r="EB705" s="12" t="s">
        <v>319</v>
      </c>
      <c r="EC705" s="14"/>
      <c r="ED705" s="16"/>
      <c r="EE705" s="14"/>
      <c r="EF705" s="12"/>
      <c r="EG705" s="12"/>
      <c r="EH705" s="14"/>
      <c r="EI705" s="16"/>
      <c r="EJ705" s="14"/>
      <c r="EK705" s="14"/>
      <c r="EL705" s="14"/>
      <c r="EM705" s="14"/>
      <c r="EN705" s="14"/>
      <c r="EO705" s="14"/>
      <c r="EP705" s="14"/>
      <c r="EQ705" s="12"/>
      <c r="ER705" s="14"/>
      <c r="ES705" s="16"/>
      <c r="ET705" s="14"/>
      <c r="EU705" s="12"/>
      <c r="EV705" s="14"/>
      <c r="EW705" s="16"/>
      <c r="EX705" s="14"/>
      <c r="EY705" s="12"/>
      <c r="EZ705" s="14"/>
      <c r="FA705" s="16"/>
      <c r="FB705" s="14"/>
      <c r="FC705" s="12"/>
      <c r="FD705" s="14"/>
      <c r="FE705" s="16"/>
      <c r="FF705" s="14"/>
      <c r="FG705" s="12"/>
      <c r="FH705" s="14"/>
      <c r="FI705" s="16"/>
      <c r="FJ705" s="14"/>
      <c r="FK705" s="12"/>
      <c r="FL705" s="14"/>
      <c r="FM705" s="16"/>
      <c r="FN705" s="14"/>
      <c r="FO705" s="12"/>
      <c r="FP705" s="14"/>
      <c r="FQ705" s="16"/>
      <c r="FR705" s="14"/>
      <c r="FS705" s="12"/>
      <c r="FT705" s="14"/>
      <c r="FU705" s="16"/>
      <c r="FV705" s="14"/>
      <c r="FW705" s="12"/>
      <c r="FX705" s="14"/>
      <c r="FY705" s="16"/>
      <c r="FZ705" s="14"/>
      <c r="GA705" s="12"/>
      <c r="GB705" s="14"/>
      <c r="GC705" s="16"/>
      <c r="GD705" s="14"/>
      <c r="GE705" s="12"/>
      <c r="GF705" s="14"/>
      <c r="GG705" s="16"/>
      <c r="GH705" s="14"/>
      <c r="GI705" s="12"/>
      <c r="GJ705" s="14"/>
      <c r="GK705" s="16"/>
      <c r="GL705" s="14"/>
      <c r="GM705" s="12"/>
      <c r="GN705" s="14"/>
      <c r="GO705" s="16"/>
      <c r="GP705" s="14"/>
      <c r="GQ705" s="12"/>
      <c r="GR705" s="14"/>
      <c r="GS705" s="16"/>
      <c r="GT705" s="14"/>
      <c r="GU705" s="12"/>
      <c r="GV705" s="14"/>
      <c r="GW705" s="16"/>
      <c r="GX705" s="14"/>
      <c r="GY705" s="12"/>
      <c r="GZ705" s="14"/>
      <c r="HA705" s="16"/>
      <c r="HB705" s="14"/>
      <c r="HC705" s="12"/>
      <c r="HD705" s="12"/>
      <c r="HE705" s="14"/>
      <c r="HF705" s="16"/>
      <c r="HG705" s="14"/>
      <c r="HH705" s="12" t="s">
        <v>319</v>
      </c>
      <c r="HI705" s="12"/>
      <c r="HJ705" s="12"/>
      <c r="HK705" s="12" t="s">
        <v>319</v>
      </c>
      <c r="HL705" s="12" t="s">
        <v>319</v>
      </c>
      <c r="HM705" s="12"/>
      <c r="HN705" s="12"/>
      <c r="HO705" s="12"/>
      <c r="HP705" s="12"/>
      <c r="HQ705" s="12" t="s">
        <v>319</v>
      </c>
      <c r="HR705" s="12" t="s">
        <v>319</v>
      </c>
      <c r="HS705" s="12" t="s">
        <v>319</v>
      </c>
      <c r="HT705" s="12" t="s">
        <v>320</v>
      </c>
      <c r="HU705" s="12" t="s">
        <v>319</v>
      </c>
      <c r="HV705" s="12" t="s">
        <v>320</v>
      </c>
      <c r="HW705" s="12" t="s">
        <v>319</v>
      </c>
      <c r="HX705" s="12"/>
      <c r="HY705" s="12"/>
      <c r="HZ705" s="12" t="s">
        <v>363</v>
      </c>
      <c r="IA705" s="12"/>
      <c r="IB705" s="12" t="s">
        <v>667</v>
      </c>
      <c r="IC705" s="12"/>
      <c r="ID705" s="12" t="s">
        <v>334</v>
      </c>
      <c r="IE705" s="12" t="s">
        <v>335</v>
      </c>
      <c r="IF705" s="12" t="s">
        <v>320</v>
      </c>
      <c r="IG705" s="12" t="s">
        <v>320</v>
      </c>
      <c r="IH705" s="12" t="s">
        <v>320</v>
      </c>
      <c r="II705" s="12" t="s">
        <v>320</v>
      </c>
      <c r="IJ705" s="12" t="str">
        <f t="shared" si="431"/>
        <v>2. Sensitive</v>
      </c>
      <c r="IK705" s="12">
        <f t="shared" si="432"/>
        <v>4</v>
      </c>
      <c r="IL705" s="12" t="s">
        <v>336</v>
      </c>
      <c r="IM705" s="12" t="s">
        <v>320</v>
      </c>
      <c r="IN705" s="12" t="s">
        <v>319</v>
      </c>
      <c r="IO705" s="12" t="s">
        <v>320</v>
      </c>
      <c r="IP705" s="12" t="s">
        <v>320</v>
      </c>
      <c r="IQ705" s="12" t="str">
        <f t="shared" si="433"/>
        <v>2. Accommodating</v>
      </c>
      <c r="IR705" s="12">
        <f t="shared" si="434"/>
        <v>3</v>
      </c>
      <c r="IS705" s="12" t="s">
        <v>456</v>
      </c>
      <c r="IT705" s="12" t="s">
        <v>319</v>
      </c>
      <c r="IU705" s="12" t="s">
        <v>319</v>
      </c>
      <c r="IV705" s="12" t="s">
        <v>319</v>
      </c>
      <c r="IW705" s="11" t="str">
        <f t="shared" si="435"/>
        <v>0. Harmful</v>
      </c>
      <c r="IX705" s="12">
        <f t="shared" si="436"/>
        <v>0</v>
      </c>
      <c r="IY705" s="12" t="s">
        <v>338</v>
      </c>
      <c r="IZ705" s="12" t="s">
        <v>339</v>
      </c>
      <c r="JA705" s="12"/>
      <c r="JB705" s="12" t="s">
        <v>687</v>
      </c>
      <c r="JC705" s="12"/>
      <c r="JD705" s="12"/>
      <c r="JE705" s="12"/>
      <c r="JF705" s="12"/>
      <c r="JG705" s="12"/>
      <c r="JH705" s="12"/>
      <c r="JI705" s="12"/>
      <c r="JJ705" s="12"/>
      <c r="JK705" s="12" t="s">
        <v>11242</v>
      </c>
      <c r="JL705" s="12"/>
      <c r="JM705" s="12"/>
      <c r="JN705" s="12"/>
      <c r="JO705" s="12" t="s">
        <v>11245</v>
      </c>
      <c r="JP705" s="15">
        <f t="shared" si="437"/>
        <v>61492</v>
      </c>
      <c r="JQ705" s="15">
        <f t="shared" si="438"/>
        <v>307460</v>
      </c>
      <c r="JR705" s="279">
        <f t="shared" si="439"/>
        <v>5</v>
      </c>
      <c r="JS705" s="17">
        <f t="shared" si="440"/>
        <v>0.54015156443114554</v>
      </c>
      <c r="JT705" s="18">
        <f t="shared" si="441"/>
        <v>0.54015156443114554</v>
      </c>
      <c r="JU705" s="280">
        <f t="shared" si="442"/>
        <v>33215</v>
      </c>
      <c r="JV705" s="280">
        <f t="shared" si="443"/>
        <v>166075</v>
      </c>
      <c r="JW705" s="319">
        <f t="shared" si="444"/>
        <v>1</v>
      </c>
      <c r="JX705" s="15">
        <f t="shared" si="445"/>
        <v>61492</v>
      </c>
      <c r="JY705" s="15">
        <f t="shared" si="446"/>
        <v>307460</v>
      </c>
      <c r="JZ705" s="19">
        <f t="shared" si="447"/>
        <v>5</v>
      </c>
      <c r="KA705" s="52">
        <f t="shared" si="448"/>
        <v>1</v>
      </c>
      <c r="KB705" s="15">
        <f t="shared" si="449"/>
        <v>61492</v>
      </c>
      <c r="KC705" s="15">
        <f t="shared" si="450"/>
        <v>0</v>
      </c>
      <c r="KD705" s="20">
        <f t="shared" si="451"/>
        <v>0</v>
      </c>
      <c r="KE705" s="52" t="str">
        <f t="shared" si="452"/>
        <v/>
      </c>
      <c r="KF705" s="15">
        <f t="shared" si="453"/>
        <v>0</v>
      </c>
      <c r="KG705" s="15">
        <f t="shared" si="454"/>
        <v>0</v>
      </c>
      <c r="KH705" s="21" t="str">
        <f t="shared" si="455"/>
        <v/>
      </c>
      <c r="KI705" s="52" t="str">
        <f t="shared" si="456"/>
        <v/>
      </c>
      <c r="KJ705" s="15">
        <f t="shared" si="457"/>
        <v>0</v>
      </c>
      <c r="KK705" s="15">
        <f t="shared" si="458"/>
        <v>0</v>
      </c>
      <c r="KL705" s="19" t="str">
        <f t="shared" si="459"/>
        <v/>
      </c>
      <c r="KM705" s="52" t="str">
        <f t="shared" si="460"/>
        <v/>
      </c>
      <c r="KN705" s="22">
        <f t="shared" si="461"/>
        <v>0</v>
      </c>
      <c r="KO705" s="22">
        <f t="shared" si="462"/>
        <v>0</v>
      </c>
      <c r="KP705" s="19" t="str">
        <f t="shared" si="463"/>
        <v/>
      </c>
      <c r="KQ705" s="11" t="str">
        <f t="shared" si="464"/>
        <v>2. Sensitive</v>
      </c>
      <c r="KR705" s="11" t="str">
        <f t="shared" si="465"/>
        <v>2. Accommodating</v>
      </c>
      <c r="KS705" s="11" t="str">
        <f t="shared" si="466"/>
        <v>0. Harmful</v>
      </c>
      <c r="KT705" s="11" t="str">
        <f t="shared" si="467"/>
        <v>It did not develop any specific innovation</v>
      </c>
      <c r="KU705" s="11">
        <f t="shared" si="468"/>
        <v>0</v>
      </c>
      <c r="KV705" s="11" t="str">
        <f t="shared" si="469"/>
        <v>It took tested solutions to scale on its own</v>
      </c>
      <c r="KW705" s="11" t="str">
        <f t="shared" si="470"/>
        <v>South Sudan - WFP Project - TSFP and Warehouse Management</v>
      </c>
      <c r="KX705" s="11" t="str">
        <f t="shared" si="471"/>
        <v>WFP Project - TSFP and Warehouse Management</v>
      </c>
      <c r="KY705" s="11" t="str">
        <f t="shared" si="472"/>
        <v>South Sudan</v>
      </c>
      <c r="KZ705" s="12">
        <v>705</v>
      </c>
    </row>
    <row r="706" spans="1:312" x14ac:dyDescent="0.3">
      <c r="A706" s="12" t="s">
        <v>11304</v>
      </c>
      <c r="B706" s="12" t="s">
        <v>306</v>
      </c>
      <c r="C706" s="12"/>
      <c r="D706" s="12" t="s">
        <v>11355</v>
      </c>
      <c r="E706" s="277" t="str">
        <f t="shared" si="473"/>
        <v>Sri Lanka</v>
      </c>
      <c r="F706" s="12" t="s">
        <v>11356</v>
      </c>
      <c r="G706" s="12" t="s">
        <v>379</v>
      </c>
      <c r="H706" s="12" t="s">
        <v>383</v>
      </c>
      <c r="I706" s="12" t="s">
        <v>384</v>
      </c>
      <c r="J706" s="281" t="s">
        <v>8164</v>
      </c>
      <c r="K706" s="12"/>
      <c r="L706" s="12"/>
      <c r="M706" s="12"/>
      <c r="N706" s="12"/>
      <c r="O706" s="12"/>
      <c r="P706" s="12"/>
      <c r="Q706" s="12"/>
      <c r="R706" s="12"/>
      <c r="S706" s="12"/>
      <c r="T706" s="12"/>
      <c r="U706" s="12"/>
      <c r="V706" s="12"/>
      <c r="W706" s="12"/>
      <c r="X706" s="12"/>
      <c r="Y706" s="12"/>
      <c r="Z706" s="12"/>
      <c r="AA706" s="12"/>
      <c r="AB706" s="12"/>
      <c r="AC706" s="12"/>
      <c r="AD706" s="12"/>
      <c r="BD706" s="13">
        <v>42156</v>
      </c>
      <c r="BE706" s="13">
        <v>43069</v>
      </c>
      <c r="BF706" s="13">
        <v>43251</v>
      </c>
      <c r="BG706" s="12" t="s">
        <v>312</v>
      </c>
      <c r="BH706" s="14">
        <v>1103314</v>
      </c>
      <c r="BI706" s="12" t="s">
        <v>11357</v>
      </c>
      <c r="BJ706" s="12" t="s">
        <v>354</v>
      </c>
      <c r="BK706" s="12" t="s">
        <v>11358</v>
      </c>
      <c r="BL706" s="12" t="s">
        <v>11320</v>
      </c>
      <c r="BM706" s="12" t="s">
        <v>11321</v>
      </c>
      <c r="BN706" s="12" t="s">
        <v>11322</v>
      </c>
      <c r="BO706" s="11" t="s">
        <v>319</v>
      </c>
      <c r="BP706" s="11" t="s">
        <v>320</v>
      </c>
      <c r="BQ706" s="11" t="s">
        <v>319</v>
      </c>
      <c r="BR706" s="12" t="s">
        <v>11359</v>
      </c>
      <c r="BS706" s="12" t="s">
        <v>322</v>
      </c>
      <c r="BT706" s="12" t="s">
        <v>11360</v>
      </c>
      <c r="BU706" s="12" t="s">
        <v>11361</v>
      </c>
      <c r="BV706" s="14">
        <v>2550</v>
      </c>
      <c r="BW706" s="14">
        <v>2450</v>
      </c>
      <c r="BX706" s="14">
        <v>5000</v>
      </c>
      <c r="BY706" s="14">
        <v>160827</v>
      </c>
      <c r="BZ706" s="14">
        <v>107253</v>
      </c>
      <c r="CA706" s="14">
        <v>268080</v>
      </c>
      <c r="CB706" s="12" t="s">
        <v>11362</v>
      </c>
      <c r="CD706" s="14"/>
      <c r="CE706" s="14"/>
      <c r="CF706" s="14"/>
      <c r="CG706" s="14"/>
      <c r="CH706" s="14"/>
      <c r="CI706" s="14"/>
      <c r="CJ706" s="12"/>
      <c r="CK706" s="14"/>
      <c r="CL706" s="16"/>
      <c r="CM706" s="14"/>
      <c r="CN706" s="12"/>
      <c r="CO706" s="14"/>
      <c r="CP706" s="16"/>
      <c r="CQ706" s="14"/>
      <c r="CR706" s="12"/>
      <c r="CS706" s="14"/>
      <c r="CT706" s="16"/>
      <c r="CU706" s="14"/>
      <c r="CV706" s="12"/>
      <c r="CW706" s="14"/>
      <c r="CX706" s="16"/>
      <c r="CY706" s="14"/>
      <c r="CZ706" s="12"/>
      <c r="DA706" s="14"/>
      <c r="DB706" s="16"/>
      <c r="DC706" s="14"/>
      <c r="DD706" s="12"/>
      <c r="DE706" s="14"/>
      <c r="DF706" s="16"/>
      <c r="DG706" s="14"/>
      <c r="DH706" s="12"/>
      <c r="DI706" s="14"/>
      <c r="DJ706" s="16"/>
      <c r="DK706" s="14"/>
      <c r="DL706" s="12"/>
      <c r="DM706" s="14"/>
      <c r="DN706" s="16"/>
      <c r="DO706" s="14"/>
      <c r="DP706" s="12"/>
      <c r="DQ706" s="14"/>
      <c r="DR706" s="16"/>
      <c r="DS706" s="14"/>
      <c r="DT706" s="12"/>
      <c r="DU706" s="14"/>
      <c r="DV706" s="16"/>
      <c r="DW706" s="14"/>
      <c r="DX706" s="12"/>
      <c r="DY706" s="14"/>
      <c r="DZ706" s="16"/>
      <c r="EA706" s="14"/>
      <c r="EB706" s="12"/>
      <c r="EC706" s="14"/>
      <c r="ED706" s="16"/>
      <c r="EE706" s="14"/>
      <c r="EF706" s="12"/>
      <c r="EG706" s="12"/>
      <c r="EH706" s="14"/>
      <c r="EI706" s="16"/>
      <c r="EJ706" s="14"/>
      <c r="EK706" s="14">
        <v>5411</v>
      </c>
      <c r="EL706" s="14">
        <v>5654</v>
      </c>
      <c r="EM706" s="14">
        <v>11065</v>
      </c>
      <c r="EN706" s="14">
        <v>160827</v>
      </c>
      <c r="EO706" s="14">
        <v>107253</v>
      </c>
      <c r="EP706" s="14">
        <v>268080</v>
      </c>
      <c r="EQ706" s="12" t="s">
        <v>319</v>
      </c>
      <c r="ER706" s="14"/>
      <c r="ES706" s="16"/>
      <c r="ET706" s="14"/>
      <c r="EU706" s="11" t="s">
        <v>319</v>
      </c>
      <c r="EV706" s="14"/>
      <c r="EW706" s="16"/>
      <c r="EX706" s="14"/>
      <c r="EY706" s="12" t="s">
        <v>319</v>
      </c>
      <c r="EZ706" s="14"/>
      <c r="FA706" s="16"/>
      <c r="FB706" s="14"/>
      <c r="FC706" s="12" t="s">
        <v>319</v>
      </c>
      <c r="FD706" s="14"/>
      <c r="FE706" s="16"/>
      <c r="FF706" s="14"/>
      <c r="FG706" s="12" t="s">
        <v>319</v>
      </c>
      <c r="FH706" s="14"/>
      <c r="FI706" s="16"/>
      <c r="FJ706" s="14"/>
      <c r="FK706" s="12" t="s">
        <v>319</v>
      </c>
      <c r="FL706" s="14"/>
      <c r="FM706" s="16"/>
      <c r="FN706" s="14"/>
      <c r="FO706" s="12" t="s">
        <v>319</v>
      </c>
      <c r="FP706" s="14"/>
      <c r="FQ706" s="16"/>
      <c r="FR706" s="14"/>
      <c r="FS706" s="12" t="s">
        <v>319</v>
      </c>
      <c r="FT706" s="14"/>
      <c r="FU706" s="16"/>
      <c r="FV706" s="14"/>
      <c r="FW706" s="12" t="s">
        <v>319</v>
      </c>
      <c r="FX706" s="14"/>
      <c r="FY706" s="16"/>
      <c r="FZ706" s="14"/>
      <c r="GA706" s="12" t="s">
        <v>319</v>
      </c>
      <c r="GB706" s="14"/>
      <c r="GC706" s="16"/>
      <c r="GD706" s="14"/>
      <c r="GE706" s="12" t="s">
        <v>319</v>
      </c>
      <c r="GF706" s="14"/>
      <c r="GG706" s="16"/>
      <c r="GH706" s="14"/>
      <c r="GI706" s="12" t="s">
        <v>319</v>
      </c>
      <c r="GJ706" s="14"/>
      <c r="GK706" s="16"/>
      <c r="GL706" s="14"/>
      <c r="GM706" s="11" t="s">
        <v>320</v>
      </c>
      <c r="GN706" s="14">
        <v>11065</v>
      </c>
      <c r="GO706" s="16">
        <v>0.48899999999999999</v>
      </c>
      <c r="GP706" s="14"/>
      <c r="GQ706" s="12" t="s">
        <v>319</v>
      </c>
      <c r="GR706" s="14"/>
      <c r="GS706" s="16"/>
      <c r="GT706" s="14"/>
      <c r="GU706" s="12" t="s">
        <v>319</v>
      </c>
      <c r="GV706" s="14"/>
      <c r="GW706" s="16"/>
      <c r="GX706" s="14"/>
      <c r="GY706" s="12" t="s">
        <v>319</v>
      </c>
      <c r="GZ706" s="14"/>
      <c r="HA706" s="16"/>
      <c r="HB706" s="14"/>
      <c r="HC706" s="12"/>
      <c r="HD706" s="12"/>
      <c r="HE706" s="14"/>
      <c r="HF706" s="16"/>
      <c r="HG706" s="14"/>
      <c r="HH706" s="12" t="s">
        <v>319</v>
      </c>
      <c r="HI706" s="12"/>
      <c r="HJ706" s="12"/>
      <c r="HK706" s="12"/>
      <c r="HL706" s="12" t="s">
        <v>320</v>
      </c>
      <c r="HM706" s="12" t="s">
        <v>416</v>
      </c>
      <c r="HN706" s="12">
        <v>2018</v>
      </c>
      <c r="HO706" s="12" t="s">
        <v>11363</v>
      </c>
      <c r="HP706" s="12" t="s">
        <v>330</v>
      </c>
      <c r="HQ706" s="12"/>
      <c r="HR706" s="12"/>
      <c r="HS706" s="12"/>
      <c r="HT706" s="12" t="s">
        <v>320</v>
      </c>
      <c r="HU706" s="12" t="s">
        <v>320</v>
      </c>
      <c r="HV706" s="12"/>
      <c r="HW706" s="12"/>
      <c r="HX706" s="12"/>
      <c r="HY706" s="12"/>
      <c r="HZ706" s="12" t="s">
        <v>331</v>
      </c>
      <c r="IA706" s="12" t="s">
        <v>11364</v>
      </c>
      <c r="IB706" s="12" t="s">
        <v>396</v>
      </c>
      <c r="IC706" s="12" t="s">
        <v>11365</v>
      </c>
      <c r="ID706" s="12" t="s">
        <v>364</v>
      </c>
      <c r="IE706" s="12" t="s">
        <v>335</v>
      </c>
      <c r="IF706" s="12" t="s">
        <v>320</v>
      </c>
      <c r="IG706" s="12" t="s">
        <v>320</v>
      </c>
      <c r="IH706" s="12" t="s">
        <v>320</v>
      </c>
      <c r="II706" s="12" t="s">
        <v>320</v>
      </c>
      <c r="IJ706" s="12" t="str">
        <f t="shared" ref="IJ706:IJ769" si="474">IF(IE706="","No marker score",IF(ISNUMBER(SEARCH("select",IE706)),"",IF(ISNUMBER(SEARCH("Did NOT",IE706)),"0. Harmful",IF(ISNUMBER(SEARCH("CHALLENGED",IE706)),IF(IK706=4,"4. Transformative",IF(IK706&gt;1,"3. Responsive",IF(IK706&lt;=1,"No marker score",""))),IF(ISNUMBER(SEARCH("WORKED WITH",IE706)),IF(IK706=4,"2. Sensitive",IF(IK706&gt;1,"1. Neutral","0. Harmful")))))))</f>
        <v>2. Sensitive</v>
      </c>
      <c r="IK706" s="12">
        <f t="shared" ref="IK706:IK769" si="475">COUNTIF(IF706:II706,"=YES")</f>
        <v>4</v>
      </c>
      <c r="IL706" s="12" t="s">
        <v>336</v>
      </c>
      <c r="IM706" s="12" t="s">
        <v>320</v>
      </c>
      <c r="IN706" s="12" t="s">
        <v>320</v>
      </c>
      <c r="IO706" s="12" t="s">
        <v>320</v>
      </c>
      <c r="IP706" s="12" t="s">
        <v>320</v>
      </c>
      <c r="IQ706" s="12" t="str">
        <f t="shared" ref="IQ706:IQ769" si="476">IF(IL706="","No marker score",IF(ISNUMBER(SEARCH("select",IL706)),"",IF(ISNUMBER(SEARCH("Did NOT",IL706)),"0. Unaware",IF(ISNUMBER(SEARCH("CHALLENGED",IL706)),IF(IR706=4,"4. Transformational",IF(IR706&gt;1,"3. Responsive",IF(IR706&lt;=1,"No marker score",""))),IF(ISNUMBER(SEARCH("WORKED WITH",IL706)),IF(IR706&gt;=3,"2. Accommodating",IF(IR706&gt;=1,"1. Tokenistic","0. Unaware")))))))</f>
        <v>2. Accommodating</v>
      </c>
      <c r="IR706" s="12">
        <f t="shared" ref="IR706:IR769" si="477">COUNTIF(IM706:IP706,"=YES")</f>
        <v>4</v>
      </c>
      <c r="IS706" s="12" t="s">
        <v>337</v>
      </c>
      <c r="IT706" s="12" t="s">
        <v>320</v>
      </c>
      <c r="IU706" s="12" t="s">
        <v>320</v>
      </c>
      <c r="IV706" s="12"/>
      <c r="IW706" s="11" t="str">
        <f t="shared" ref="IW706:IW769" si="478">IF(IS706="","No marker score",IF(ISNUMBER(SEARCH("select",IS706)),"",IF(ISNUMBER(SEARCH("Did NOT",IS706)),"0. Harmful",IF(ISNUMBER(SEARCH("well",IS706)),IF(IX706=3,"4. Transformative",IF(IX706&gt;=1,"3. Responsive",IF(IX706=0,"No marker score",""))),IF(ISNUMBER(SEARCH(".",IS706)),IF(IX706&gt;=3,"2. Sensitive",IF(IX706&gt;=1,"1. Neutral","0. Harmful")))))))</f>
        <v>1. Neutral</v>
      </c>
      <c r="IX706" s="12">
        <f t="shared" ref="IX706:IX769" si="479">COUNTIF(IT706:IV706,"=YES")</f>
        <v>2</v>
      </c>
      <c r="IY706" s="12" t="s">
        <v>338</v>
      </c>
      <c r="IZ706" s="12" t="s">
        <v>432</v>
      </c>
      <c r="JA706" s="12">
        <v>1</v>
      </c>
      <c r="JB706" s="12" t="s">
        <v>687</v>
      </c>
      <c r="JC706" s="12" t="s">
        <v>651</v>
      </c>
      <c r="JD706" s="12" t="s">
        <v>624</v>
      </c>
      <c r="JE706" s="12" t="s">
        <v>340</v>
      </c>
      <c r="JF706" s="12" t="s">
        <v>11366</v>
      </c>
      <c r="JG706" s="12"/>
      <c r="JH706" s="12" t="s">
        <v>11331</v>
      </c>
      <c r="JI706" s="12" t="s">
        <v>11367</v>
      </c>
      <c r="JJ706" s="12" t="s">
        <v>11368</v>
      </c>
      <c r="JK706" s="12" t="s">
        <v>11334</v>
      </c>
      <c r="JL706" s="12" t="s">
        <v>11335</v>
      </c>
      <c r="JM706" s="12" t="s">
        <v>11369</v>
      </c>
      <c r="JN706" s="12" t="s">
        <v>11370</v>
      </c>
      <c r="JO706" s="12"/>
      <c r="JP706" s="15">
        <f t="shared" ref="JP706:JP769" si="480">MAX(CF706,EM706)</f>
        <v>11065</v>
      </c>
      <c r="JQ706" s="15">
        <f t="shared" ref="JQ706:JQ769" si="481">MAX(CI706,EP706)</f>
        <v>268080</v>
      </c>
      <c r="JR706" s="279">
        <f t="shared" ref="JR706:JR769" si="482">IFERROR(JQ706/JP706,"")</f>
        <v>24.227745142340712</v>
      </c>
      <c r="JS706" s="17">
        <f t="shared" ref="JS706:JS769" si="483">IFERROR(MAX(CD706,EK706)/JP706,"")</f>
        <v>0.48901943063714415</v>
      </c>
      <c r="JT706" s="18">
        <f t="shared" ref="JT706:JT769" si="484">IFERROR(MAX(CG706,EN706)/JQ706,"")</f>
        <v>0.59992166517457479</v>
      </c>
      <c r="JU706" s="280">
        <f t="shared" ref="JU706:JU769" si="485">IFERROR(MAX(CD706,EK706),"")</f>
        <v>5411</v>
      </c>
      <c r="JV706" s="280">
        <f t="shared" ref="JV706:JV769" si="486">IFERROR(MAX(CG706,EN706),"")</f>
        <v>160827</v>
      </c>
      <c r="JW706" s="319" t="str">
        <f t="shared" ref="JW706:JW769" si="487">IF(BO706="yes",1,"")</f>
        <v/>
      </c>
      <c r="JX706" s="15">
        <f t="shared" ref="JX706:JX769" si="488">CF706</f>
        <v>0</v>
      </c>
      <c r="JY706" s="15">
        <f t="shared" ref="JY706:JY769" si="489">CI706</f>
        <v>0</v>
      </c>
      <c r="JZ706" s="19" t="str">
        <f t="shared" ref="JZ706:JZ769" si="490">IFERROR(JY706/JX706,"")</f>
        <v/>
      </c>
      <c r="KA706" s="52" t="str">
        <f t="shared" ref="KA706:KA769" si="491">IF((OR(CV706="yes", DL706="yes", EQ706="yes", EU706="yes", FC706="yes", FG706="yes", FO706="yes", GI706="yes", GU706="yes")), 1, "")</f>
        <v/>
      </c>
      <c r="KB706" s="15">
        <f t="shared" ref="KB706:KB769" si="492">MAX(CW706,DM706,ER706,EV706,FD706,FH706,FP706,GJ706,GV706)</f>
        <v>0</v>
      </c>
      <c r="KC706" s="15">
        <f t="shared" ref="KC706:KC769" si="493">MAX(CY706,DO706,ET706,EX706,FF706,FJ706,FR706,GL706,GX706)</f>
        <v>0</v>
      </c>
      <c r="KD706" s="20" t="str">
        <f t="shared" ref="KD706:KD769" si="494">IFERROR(KC706/KB706,"")</f>
        <v/>
      </c>
      <c r="KE706" s="52" t="str">
        <f t="shared" ref="KE706:KE769" si="495">IF((OR(DT706="yes", GQ706="yes")), 1, "")</f>
        <v/>
      </c>
      <c r="KF706" s="15">
        <f t="shared" ref="KF706:KF769" si="496">MAX(DU706,GR706)</f>
        <v>0</v>
      </c>
      <c r="KG706" s="15">
        <f t="shared" ref="KG706:KG769" si="497">MAX(DW706,GT706)</f>
        <v>0</v>
      </c>
      <c r="KH706" s="21" t="str">
        <f t="shared" ref="KH706:KH769" si="498">IFERROR(KG706/KF706,"")</f>
        <v/>
      </c>
      <c r="KI706" s="52" t="str">
        <f t="shared" ref="KI706:KI769" si="499">IF((OR(CZ706="yes", FS706="yes")), 1, "")</f>
        <v/>
      </c>
      <c r="KJ706" s="15">
        <f t="shared" ref="KJ706:KJ769" si="500">MAX(DA706,FT706)</f>
        <v>0</v>
      </c>
      <c r="KK706" s="15">
        <f t="shared" ref="KK706:KK769" si="501">MAX(DC706,FV706)</f>
        <v>0</v>
      </c>
      <c r="KL706" s="19" t="str">
        <f t="shared" ref="KL706:KL769" si="502">IFERROR(KK706/KJ706,"")</f>
        <v/>
      </c>
      <c r="KM706" s="52" t="str">
        <f t="shared" ref="KM706:KM769" si="503">IF((OR(FG706="yes", GY706="yes")), 1, "")</f>
        <v/>
      </c>
      <c r="KN706" s="22">
        <f t="shared" ref="KN706:KN769" si="504">IFERROR(MAX((FH706*FI706),GZ706),"")</f>
        <v>0</v>
      </c>
      <c r="KO706" s="22">
        <f t="shared" ref="KO706:KO769" si="505">IFERROR(MAX((FJ706*FI706),HB706),"")</f>
        <v>0</v>
      </c>
      <c r="KP706" s="19" t="str">
        <f t="shared" ref="KP706:KP769" si="506">IFERROR(KO706/KN706,"")</f>
        <v/>
      </c>
      <c r="KQ706" s="11" t="str">
        <f t="shared" ref="KQ706:KQ769" si="507">IJ706</f>
        <v>2. Sensitive</v>
      </c>
      <c r="KR706" s="11" t="str">
        <f t="shared" ref="KR706:KR769" si="508">IQ706</f>
        <v>2. Accommodating</v>
      </c>
      <c r="KS706" s="11" t="str">
        <f t="shared" ref="KS706:KS769" si="509">IW706</f>
        <v>1. Neutral</v>
      </c>
      <c r="KT706" s="11" t="str">
        <f t="shared" ref="KT706:KT769" si="510">HZ706</f>
        <v>It tested new ways for fighting poverty and measured results of innovation</v>
      </c>
      <c r="KU706" s="11" t="str">
        <f t="shared" ref="KU706:KU769" si="511">HP706</f>
        <v>Moderate advocacy</v>
      </c>
      <c r="KV706" s="11" t="str">
        <f t="shared" ref="KV706:KV769" si="512">IB706</f>
        <v>It linked and worked with strategic alliances and partners to take tested and effective solutions to scale</v>
      </c>
      <c r="KW706" s="11" t="str">
        <f t="shared" ref="KW706:KW769" si="513">A706&amp;" - "&amp;D706</f>
        <v>Sri Lanka - Community governance programe (Enhancing Community Participation in Local Governance in Sri Lanka- SPACE)</v>
      </c>
      <c r="KX706" s="11" t="str">
        <f t="shared" ref="KX706:KX769" si="514">D706</f>
        <v>Community governance programe (Enhancing Community Participation in Local Governance in Sri Lanka- SPACE)</v>
      </c>
      <c r="KY706" s="11" t="str">
        <f t="shared" ref="KY706:KY769" si="515">A706</f>
        <v>Sri Lanka</v>
      </c>
      <c r="KZ706" s="12">
        <v>706</v>
      </c>
    </row>
    <row r="707" spans="1:312" x14ac:dyDescent="0.3">
      <c r="A707" s="12" t="s">
        <v>11304</v>
      </c>
      <c r="B707" s="12" t="s">
        <v>306</v>
      </c>
      <c r="C707" s="12"/>
      <c r="D707" s="12" t="s">
        <v>11316</v>
      </c>
      <c r="E707" s="277" t="str">
        <f t="shared" si="473"/>
        <v>Sri Lanka</v>
      </c>
      <c r="F707" s="12" t="s">
        <v>11317</v>
      </c>
      <c r="G707" s="12" t="s">
        <v>1738</v>
      </c>
      <c r="H707" s="12" t="s">
        <v>380</v>
      </c>
      <c r="I707" s="12" t="s">
        <v>517</v>
      </c>
      <c r="J707" s="281" t="s">
        <v>14578</v>
      </c>
      <c r="K707" s="12"/>
      <c r="L707" s="12"/>
      <c r="M707" s="12"/>
      <c r="N707" s="12"/>
      <c r="O707" s="12"/>
      <c r="P707" s="12"/>
      <c r="Q707" s="12"/>
      <c r="R707" s="12"/>
      <c r="S707" s="12"/>
      <c r="T707" s="12"/>
      <c r="U707" s="12"/>
      <c r="V707" s="12"/>
      <c r="W707" s="12"/>
      <c r="X707" s="12"/>
      <c r="Y707" s="12"/>
      <c r="Z707" s="12"/>
      <c r="AA707" s="12"/>
      <c r="AB707" s="12"/>
      <c r="AC707" s="12"/>
      <c r="AD707" s="12"/>
      <c r="BD707" s="13">
        <v>42368</v>
      </c>
      <c r="BE707" s="13">
        <v>43465</v>
      </c>
      <c r="BF707" s="12"/>
      <c r="BG707" s="12" t="s">
        <v>312</v>
      </c>
      <c r="BH707" s="14">
        <v>800000</v>
      </c>
      <c r="BI707" s="12" t="s">
        <v>11318</v>
      </c>
      <c r="BJ707" s="12" t="s">
        <v>354</v>
      </c>
      <c r="BK707" s="12" t="s">
        <v>11319</v>
      </c>
      <c r="BL707" s="12" t="s">
        <v>11320</v>
      </c>
      <c r="BM707" s="12" t="s">
        <v>11321</v>
      </c>
      <c r="BN707" s="12" t="s">
        <v>11322</v>
      </c>
      <c r="BO707" s="12" t="s">
        <v>319</v>
      </c>
      <c r="BP707" s="12" t="s">
        <v>320</v>
      </c>
      <c r="BQ707" s="12" t="s">
        <v>319</v>
      </c>
      <c r="BR707" s="12" t="s">
        <v>11323</v>
      </c>
      <c r="BS707" s="12" t="s">
        <v>322</v>
      </c>
      <c r="BT707" s="12" t="s">
        <v>11324</v>
      </c>
      <c r="BU707" s="12" t="s">
        <v>11325</v>
      </c>
      <c r="BV707" s="14">
        <v>1275</v>
      </c>
      <c r="BW707" s="14">
        <v>1225</v>
      </c>
      <c r="BX707" s="14">
        <v>2500</v>
      </c>
      <c r="BY707" s="14">
        <v>1992109</v>
      </c>
      <c r="BZ707" s="14">
        <v>1845911</v>
      </c>
      <c r="CA707" s="14">
        <v>3838020</v>
      </c>
      <c r="CB707" s="12" t="s">
        <v>11326</v>
      </c>
      <c r="CD707" s="14"/>
      <c r="CE707" s="14"/>
      <c r="CF707" s="14"/>
      <c r="CG707" s="14"/>
      <c r="CH707" s="14"/>
      <c r="CI707" s="14"/>
      <c r="CJ707" s="12"/>
      <c r="CK707" s="14"/>
      <c r="CL707" s="16"/>
      <c r="CM707" s="14"/>
      <c r="CN707" s="12"/>
      <c r="CO707" s="14"/>
      <c r="CP707" s="16"/>
      <c r="CQ707" s="14"/>
      <c r="CR707" s="12"/>
      <c r="CS707" s="14"/>
      <c r="CT707" s="16"/>
      <c r="CU707" s="14"/>
      <c r="CV707" s="12"/>
      <c r="CW707" s="14"/>
      <c r="CX707" s="16"/>
      <c r="CY707" s="14"/>
      <c r="CZ707" s="12"/>
      <c r="DA707" s="14"/>
      <c r="DB707" s="16"/>
      <c r="DC707" s="14"/>
      <c r="DD707" s="12"/>
      <c r="DE707" s="14"/>
      <c r="DF707" s="16"/>
      <c r="DG707" s="14"/>
      <c r="DH707" s="12"/>
      <c r="DI707" s="14"/>
      <c r="DJ707" s="16"/>
      <c r="DK707" s="14"/>
      <c r="DL707" s="12"/>
      <c r="DM707" s="14"/>
      <c r="DN707" s="16"/>
      <c r="DO707" s="14"/>
      <c r="DP707" s="12"/>
      <c r="DQ707" s="14"/>
      <c r="DR707" s="16"/>
      <c r="DS707" s="14"/>
      <c r="DT707" s="12"/>
      <c r="DU707" s="14"/>
      <c r="DV707" s="16"/>
      <c r="DW707" s="14"/>
      <c r="DX707" s="12"/>
      <c r="DY707" s="14"/>
      <c r="DZ707" s="16"/>
      <c r="EA707" s="14"/>
      <c r="EB707" s="12"/>
      <c r="EC707" s="14"/>
      <c r="ED707" s="16"/>
      <c r="EE707" s="14"/>
      <c r="EF707" s="12"/>
      <c r="EG707" s="12"/>
      <c r="EH707" s="14"/>
      <c r="EI707" s="16"/>
      <c r="EJ707" s="14"/>
      <c r="EK707" s="14">
        <v>2677</v>
      </c>
      <c r="EL707" s="14">
        <v>2376</v>
      </c>
      <c r="EM707" s="14">
        <v>5053</v>
      </c>
      <c r="EN707" s="14">
        <v>8031</v>
      </c>
      <c r="EO707" s="14">
        <v>7128</v>
      </c>
      <c r="EP707" s="14">
        <v>15159</v>
      </c>
      <c r="EQ707" s="12" t="s">
        <v>319</v>
      </c>
      <c r="ER707" s="14"/>
      <c r="ES707" s="16"/>
      <c r="ET707" s="14"/>
      <c r="EU707" s="11" t="s">
        <v>319</v>
      </c>
      <c r="EV707" s="14"/>
      <c r="EW707" s="16"/>
      <c r="EX707" s="14"/>
      <c r="EY707" s="12" t="s">
        <v>319</v>
      </c>
      <c r="EZ707" s="14"/>
      <c r="FA707" s="16"/>
      <c r="FB707" s="14"/>
      <c r="FC707" s="12" t="s">
        <v>319</v>
      </c>
      <c r="FD707" s="14"/>
      <c r="FE707" s="16"/>
      <c r="FF707" s="14"/>
      <c r="FG707" s="12" t="s">
        <v>319</v>
      </c>
      <c r="FH707" s="14"/>
      <c r="FI707" s="16"/>
      <c r="FJ707" s="14"/>
      <c r="FK707" s="12" t="s">
        <v>319</v>
      </c>
      <c r="FL707" s="14"/>
      <c r="FM707" s="16"/>
      <c r="FN707" s="14"/>
      <c r="FO707" s="12" t="s">
        <v>319</v>
      </c>
      <c r="FP707" s="14"/>
      <c r="FQ707" s="16"/>
      <c r="FR707" s="14"/>
      <c r="FS707" s="12" t="s">
        <v>319</v>
      </c>
      <c r="FT707" s="14"/>
      <c r="FU707" s="16"/>
      <c r="FV707" s="14"/>
      <c r="FW707" s="12" t="s">
        <v>319</v>
      </c>
      <c r="FX707" s="14"/>
      <c r="FY707" s="16"/>
      <c r="FZ707" s="14"/>
      <c r="GA707" s="12" t="s">
        <v>319</v>
      </c>
      <c r="GB707" s="14"/>
      <c r="GC707" s="16"/>
      <c r="GD707" s="14"/>
      <c r="GE707" s="12" t="s">
        <v>319</v>
      </c>
      <c r="GF707" s="14"/>
      <c r="GG707" s="16"/>
      <c r="GH707" s="14"/>
      <c r="GI707" s="12" t="s">
        <v>319</v>
      </c>
      <c r="GJ707" s="14"/>
      <c r="GK707" s="16"/>
      <c r="GL707" s="14"/>
      <c r="GM707" s="11" t="s">
        <v>320</v>
      </c>
      <c r="GN707" s="14">
        <v>5053</v>
      </c>
      <c r="GO707" s="16">
        <v>0.52900000000000003</v>
      </c>
      <c r="GP707" s="14"/>
      <c r="GQ707" s="12" t="s">
        <v>319</v>
      </c>
      <c r="GR707" s="14"/>
      <c r="GS707" s="16"/>
      <c r="GT707" s="14"/>
      <c r="GU707" s="12" t="s">
        <v>319</v>
      </c>
      <c r="GV707" s="14"/>
      <c r="GW707" s="16"/>
      <c r="GX707" s="14"/>
      <c r="GY707" s="12" t="s">
        <v>319</v>
      </c>
      <c r="GZ707" s="14"/>
      <c r="HA707" s="16"/>
      <c r="HB707" s="14"/>
      <c r="HC707" s="12"/>
      <c r="HD707" s="12"/>
      <c r="HE707" s="14"/>
      <c r="HF707" s="16"/>
      <c r="HG707" s="14"/>
      <c r="HH707" s="12" t="s">
        <v>319</v>
      </c>
      <c r="HI707" s="12"/>
      <c r="HJ707" s="12"/>
      <c r="HK707" s="12"/>
      <c r="HL707" s="12" t="s">
        <v>319</v>
      </c>
      <c r="HM707" s="12"/>
      <c r="HN707" s="12"/>
      <c r="HO707" s="12" t="s">
        <v>11327</v>
      </c>
      <c r="HP707" s="12" t="s">
        <v>330</v>
      </c>
      <c r="HQ707" s="12" t="s">
        <v>320</v>
      </c>
      <c r="HR707" s="12"/>
      <c r="HS707" s="12"/>
      <c r="HT707" s="12" t="s">
        <v>320</v>
      </c>
      <c r="HU707" s="12" t="s">
        <v>320</v>
      </c>
      <c r="HV707" s="12"/>
      <c r="HW707" s="12"/>
      <c r="HX707" s="12"/>
      <c r="HY707" s="12"/>
      <c r="HZ707" s="12" t="s">
        <v>331</v>
      </c>
      <c r="IA707" s="12" t="s">
        <v>11328</v>
      </c>
      <c r="IB707" s="12" t="s">
        <v>396</v>
      </c>
      <c r="IC707" s="12" t="s">
        <v>11329</v>
      </c>
      <c r="ID707" s="12" t="s">
        <v>334</v>
      </c>
      <c r="IE707" s="12" t="s">
        <v>335</v>
      </c>
      <c r="IF707" s="12" t="s">
        <v>320</v>
      </c>
      <c r="IG707" s="12" t="s">
        <v>320</v>
      </c>
      <c r="IH707" s="12" t="s">
        <v>320</v>
      </c>
      <c r="II707" s="12" t="s">
        <v>320</v>
      </c>
      <c r="IJ707" s="12" t="str">
        <f t="shared" si="474"/>
        <v>2. Sensitive</v>
      </c>
      <c r="IK707" s="12">
        <f t="shared" si="475"/>
        <v>4</v>
      </c>
      <c r="IL707" s="12" t="s">
        <v>336</v>
      </c>
      <c r="IM707" s="12" t="s">
        <v>320</v>
      </c>
      <c r="IN707" s="12" t="s">
        <v>320</v>
      </c>
      <c r="IO707" s="12" t="s">
        <v>320</v>
      </c>
      <c r="IP707" s="12" t="s">
        <v>320</v>
      </c>
      <c r="IQ707" s="12" t="str">
        <f t="shared" si="476"/>
        <v>2. Accommodating</v>
      </c>
      <c r="IR707" s="12">
        <f t="shared" si="477"/>
        <v>4</v>
      </c>
      <c r="IS707" s="12" t="s">
        <v>337</v>
      </c>
      <c r="IT707" s="12" t="s">
        <v>320</v>
      </c>
      <c r="IU707" s="12" t="s">
        <v>320</v>
      </c>
      <c r="IV707" s="12"/>
      <c r="IW707" s="11" t="str">
        <f t="shared" si="478"/>
        <v>1. Neutral</v>
      </c>
      <c r="IX707" s="12">
        <f t="shared" si="479"/>
        <v>2</v>
      </c>
      <c r="IY707" s="12" t="s">
        <v>338</v>
      </c>
      <c r="IZ707" s="12" t="s">
        <v>527</v>
      </c>
      <c r="JA707" s="12">
        <v>2</v>
      </c>
      <c r="JB707" s="12" t="s">
        <v>687</v>
      </c>
      <c r="JC707" s="12" t="s">
        <v>651</v>
      </c>
      <c r="JD707" s="12" t="s">
        <v>624</v>
      </c>
      <c r="JE707" s="12" t="s">
        <v>340</v>
      </c>
      <c r="JF707" s="12" t="s">
        <v>11330</v>
      </c>
      <c r="JG707" s="12"/>
      <c r="JH707" s="12" t="s">
        <v>11331</v>
      </c>
      <c r="JI707" s="12" t="s">
        <v>11332</v>
      </c>
      <c r="JJ707" s="12" t="s">
        <v>11333</v>
      </c>
      <c r="JK707" s="12" t="s">
        <v>11334</v>
      </c>
      <c r="JL707" s="12" t="s">
        <v>11335</v>
      </c>
      <c r="JM707" s="12" t="s">
        <v>11336</v>
      </c>
      <c r="JN707" s="12" t="s">
        <v>11337</v>
      </c>
      <c r="JO707" s="12"/>
      <c r="JP707" s="15">
        <f t="shared" si="480"/>
        <v>5053</v>
      </c>
      <c r="JQ707" s="15">
        <f t="shared" si="481"/>
        <v>15159</v>
      </c>
      <c r="JR707" s="279">
        <f t="shared" si="482"/>
        <v>3</v>
      </c>
      <c r="JS707" s="17">
        <f t="shared" si="483"/>
        <v>0.52978428656243814</v>
      </c>
      <c r="JT707" s="18">
        <f t="shared" si="484"/>
        <v>0.52978428656243814</v>
      </c>
      <c r="JU707" s="280">
        <f t="shared" si="485"/>
        <v>2677</v>
      </c>
      <c r="JV707" s="280">
        <f t="shared" si="486"/>
        <v>8031</v>
      </c>
      <c r="JW707" s="319" t="str">
        <f t="shared" si="487"/>
        <v/>
      </c>
      <c r="JX707" s="15">
        <f t="shared" si="488"/>
        <v>0</v>
      </c>
      <c r="JY707" s="15">
        <f t="shared" si="489"/>
        <v>0</v>
      </c>
      <c r="JZ707" s="19" t="str">
        <f t="shared" si="490"/>
        <v/>
      </c>
      <c r="KA707" s="52" t="str">
        <f t="shared" si="491"/>
        <v/>
      </c>
      <c r="KB707" s="15">
        <f t="shared" si="492"/>
        <v>0</v>
      </c>
      <c r="KC707" s="15">
        <f t="shared" si="493"/>
        <v>0</v>
      </c>
      <c r="KD707" s="20" t="str">
        <f t="shared" si="494"/>
        <v/>
      </c>
      <c r="KE707" s="52" t="str">
        <f t="shared" si="495"/>
        <v/>
      </c>
      <c r="KF707" s="15">
        <f t="shared" si="496"/>
        <v>0</v>
      </c>
      <c r="KG707" s="15">
        <f t="shared" si="497"/>
        <v>0</v>
      </c>
      <c r="KH707" s="21" t="str">
        <f t="shared" si="498"/>
        <v/>
      </c>
      <c r="KI707" s="52" t="str">
        <f t="shared" si="499"/>
        <v/>
      </c>
      <c r="KJ707" s="15">
        <f t="shared" si="500"/>
        <v>0</v>
      </c>
      <c r="KK707" s="15">
        <f t="shared" si="501"/>
        <v>0</v>
      </c>
      <c r="KL707" s="19" t="str">
        <f t="shared" si="502"/>
        <v/>
      </c>
      <c r="KM707" s="52" t="str">
        <f t="shared" si="503"/>
        <v/>
      </c>
      <c r="KN707" s="22">
        <f t="shared" si="504"/>
        <v>0</v>
      </c>
      <c r="KO707" s="22">
        <f t="shared" si="505"/>
        <v>0</v>
      </c>
      <c r="KP707" s="19" t="str">
        <f t="shared" si="506"/>
        <v/>
      </c>
      <c r="KQ707" s="11" t="str">
        <f t="shared" si="507"/>
        <v>2. Sensitive</v>
      </c>
      <c r="KR707" s="11" t="str">
        <f t="shared" si="508"/>
        <v>2. Accommodating</v>
      </c>
      <c r="KS707" s="11" t="str">
        <f t="shared" si="509"/>
        <v>1. Neutral</v>
      </c>
      <c r="KT707" s="11" t="str">
        <f t="shared" si="510"/>
        <v>It tested new ways for fighting poverty and measured results of innovation</v>
      </c>
      <c r="KU707" s="11" t="str">
        <f t="shared" si="511"/>
        <v>Moderate advocacy</v>
      </c>
      <c r="KV707" s="11" t="str">
        <f t="shared" si="512"/>
        <v>It linked and worked with strategic alliances and partners to take tested and effective solutions to scale</v>
      </c>
      <c r="KW707" s="11" t="str">
        <f t="shared" si="513"/>
        <v>Sri Lanka - Community governance programe (Redrawing the Margins- Rtm)</v>
      </c>
      <c r="KX707" s="11" t="str">
        <f t="shared" si="514"/>
        <v>Community governance programe (Redrawing the Margins- Rtm)</v>
      </c>
      <c r="KY707" s="11" t="str">
        <f t="shared" si="515"/>
        <v>Sri Lanka</v>
      </c>
      <c r="KZ707" s="12">
        <v>707</v>
      </c>
    </row>
    <row r="708" spans="1:312" x14ac:dyDescent="0.3">
      <c r="A708" s="12" t="s">
        <v>11304</v>
      </c>
      <c r="B708" s="12" t="s">
        <v>306</v>
      </c>
      <c r="C708" s="12"/>
      <c r="D708" s="12" t="s">
        <v>11338</v>
      </c>
      <c r="E708" s="277" t="str">
        <f t="shared" si="473"/>
        <v>Sri Lanka</v>
      </c>
      <c r="F708" s="12" t="s">
        <v>11339</v>
      </c>
      <c r="G708" s="12" t="s">
        <v>425</v>
      </c>
      <c r="H708" s="12" t="s">
        <v>383</v>
      </c>
      <c r="I708" s="12" t="s">
        <v>384</v>
      </c>
      <c r="J708" s="278" t="s">
        <v>3967</v>
      </c>
      <c r="K708" s="12"/>
      <c r="L708" s="12"/>
      <c r="M708" s="12"/>
      <c r="N708" s="12"/>
      <c r="O708" s="12"/>
      <c r="P708" s="12"/>
      <c r="Q708" s="12"/>
      <c r="R708" s="12"/>
      <c r="S708" s="12"/>
      <c r="T708" s="12"/>
      <c r="U708" s="12"/>
      <c r="V708" s="12"/>
      <c r="W708" s="12"/>
      <c r="X708" s="12"/>
      <c r="Y708" s="12"/>
      <c r="Z708" s="12"/>
      <c r="AA708" s="12"/>
      <c r="AB708" s="12"/>
      <c r="AC708" s="12"/>
      <c r="AD708" s="12"/>
      <c r="BD708" s="13">
        <v>42675</v>
      </c>
      <c r="BE708" s="13">
        <v>42825</v>
      </c>
      <c r="BF708" s="13">
        <v>42855</v>
      </c>
      <c r="BG708" s="12" t="s">
        <v>350</v>
      </c>
      <c r="BH708" s="14">
        <v>177000</v>
      </c>
      <c r="BI708" s="12" t="s">
        <v>11340</v>
      </c>
      <c r="BJ708" s="12"/>
      <c r="BK708" s="12"/>
      <c r="BL708" s="12"/>
      <c r="BM708" s="12"/>
      <c r="BN708" s="12"/>
      <c r="BO708" s="12" t="s">
        <v>319</v>
      </c>
      <c r="BP708" s="12" t="s">
        <v>320</v>
      </c>
      <c r="BQ708" s="12" t="s">
        <v>319</v>
      </c>
      <c r="BR708" s="12" t="s">
        <v>11341</v>
      </c>
      <c r="BS708" s="12" t="s">
        <v>1535</v>
      </c>
      <c r="BT708" s="12" t="s">
        <v>11342</v>
      </c>
      <c r="BU708" s="12" t="s">
        <v>11343</v>
      </c>
      <c r="BV708" s="14">
        <v>13</v>
      </c>
      <c r="BW708" s="14">
        <v>0</v>
      </c>
      <c r="BX708" s="14">
        <v>13</v>
      </c>
      <c r="BY708" s="14">
        <v>200</v>
      </c>
      <c r="BZ708" s="14">
        <v>0</v>
      </c>
      <c r="CA708" s="14">
        <v>200</v>
      </c>
      <c r="CB708" s="12" t="s">
        <v>11344</v>
      </c>
      <c r="CD708" s="14"/>
      <c r="CE708" s="14"/>
      <c r="CF708" s="14"/>
      <c r="CG708" s="14"/>
      <c r="CH708" s="14"/>
      <c r="CI708" s="14"/>
      <c r="CJ708" s="12"/>
      <c r="CK708" s="14"/>
      <c r="CL708" s="16"/>
      <c r="CM708" s="14"/>
      <c r="CN708" s="12"/>
      <c r="CO708" s="14"/>
      <c r="CP708" s="16"/>
      <c r="CQ708" s="14"/>
      <c r="CR708" s="12"/>
      <c r="CS708" s="14"/>
      <c r="CT708" s="16"/>
      <c r="CU708" s="14"/>
      <c r="CV708" s="12"/>
      <c r="CW708" s="14"/>
      <c r="CX708" s="16"/>
      <c r="CY708" s="14"/>
      <c r="CZ708" s="12"/>
      <c r="DA708" s="14"/>
      <c r="DB708" s="16"/>
      <c r="DC708" s="14"/>
      <c r="DD708" s="12"/>
      <c r="DE708" s="14"/>
      <c r="DF708" s="16"/>
      <c r="DG708" s="14"/>
      <c r="DH708" s="12"/>
      <c r="DI708" s="14"/>
      <c r="DJ708" s="16"/>
      <c r="DK708" s="14"/>
      <c r="DL708" s="12"/>
      <c r="DM708" s="14"/>
      <c r="DN708" s="16"/>
      <c r="DO708" s="14"/>
      <c r="DP708" s="12"/>
      <c r="DQ708" s="14"/>
      <c r="DR708" s="16"/>
      <c r="DS708" s="14"/>
      <c r="DT708" s="12"/>
      <c r="DU708" s="14"/>
      <c r="DV708" s="16"/>
      <c r="DW708" s="14"/>
      <c r="DX708" s="12"/>
      <c r="DY708" s="14"/>
      <c r="DZ708" s="16"/>
      <c r="EA708" s="14"/>
      <c r="EB708" s="12"/>
      <c r="EC708" s="14"/>
      <c r="ED708" s="16"/>
      <c r="EE708" s="14"/>
      <c r="EF708" s="12"/>
      <c r="EG708" s="12"/>
      <c r="EH708" s="14"/>
      <c r="EI708" s="16"/>
      <c r="EJ708" s="14"/>
      <c r="EK708" s="14">
        <v>13</v>
      </c>
      <c r="EL708" s="14">
        <v>0</v>
      </c>
      <c r="EM708" s="14">
        <v>13</v>
      </c>
      <c r="EN708" s="14">
        <v>200</v>
      </c>
      <c r="EO708" s="14">
        <v>0</v>
      </c>
      <c r="EP708" s="14">
        <v>200</v>
      </c>
      <c r="EQ708" s="12"/>
      <c r="ER708" s="14"/>
      <c r="ES708" s="16"/>
      <c r="ET708" s="14"/>
      <c r="EU708" s="12"/>
      <c r="EV708" s="14"/>
      <c r="EW708" s="16"/>
      <c r="EX708" s="14"/>
      <c r="EY708" s="12"/>
      <c r="EZ708" s="14"/>
      <c r="FA708" s="16"/>
      <c r="FB708" s="14"/>
      <c r="FC708" s="12"/>
      <c r="FD708" s="14"/>
      <c r="FE708" s="16"/>
      <c r="FF708" s="14"/>
      <c r="FG708" s="12"/>
      <c r="FH708" s="14"/>
      <c r="FI708" s="16"/>
      <c r="FJ708" s="14"/>
      <c r="FK708" s="12"/>
      <c r="FL708" s="14"/>
      <c r="FM708" s="16"/>
      <c r="FN708" s="14"/>
      <c r="FO708" s="12"/>
      <c r="FP708" s="14"/>
      <c r="FQ708" s="16"/>
      <c r="FR708" s="14"/>
      <c r="FS708" s="12"/>
      <c r="FT708" s="14"/>
      <c r="FU708" s="16"/>
      <c r="FV708" s="14"/>
      <c r="FW708" s="12"/>
      <c r="FX708" s="14"/>
      <c r="FY708" s="16"/>
      <c r="FZ708" s="14"/>
      <c r="GA708" s="12"/>
      <c r="GB708" s="14"/>
      <c r="GC708" s="16"/>
      <c r="GD708" s="14"/>
      <c r="GE708" s="12"/>
      <c r="GF708" s="14"/>
      <c r="GG708" s="16"/>
      <c r="GH708" s="14"/>
      <c r="GI708" s="12"/>
      <c r="GJ708" s="14"/>
      <c r="GK708" s="16"/>
      <c r="GL708" s="14"/>
      <c r="GM708" s="12"/>
      <c r="GN708" s="14"/>
      <c r="GO708" s="16"/>
      <c r="GP708" s="14"/>
      <c r="GQ708" s="12"/>
      <c r="GR708" s="14"/>
      <c r="GS708" s="16"/>
      <c r="GT708" s="14"/>
      <c r="GU708" s="12"/>
      <c r="GV708" s="14"/>
      <c r="GW708" s="16"/>
      <c r="GX708" s="14"/>
      <c r="GY708" s="11" t="s">
        <v>320</v>
      </c>
      <c r="GZ708" s="14">
        <v>13</v>
      </c>
      <c r="HA708" s="16">
        <v>1</v>
      </c>
      <c r="HB708" s="14">
        <v>200</v>
      </c>
      <c r="HC708" s="12"/>
      <c r="HD708" s="12"/>
      <c r="HE708" s="14"/>
      <c r="HF708" s="16"/>
      <c r="HG708" s="14"/>
      <c r="HH708" s="12" t="s">
        <v>319</v>
      </c>
      <c r="HI708" s="12"/>
      <c r="HJ708" s="12"/>
      <c r="HK708" s="12"/>
      <c r="HL708" s="12" t="s">
        <v>320</v>
      </c>
      <c r="HM708" s="12" t="s">
        <v>361</v>
      </c>
      <c r="HN708" s="12">
        <v>2017</v>
      </c>
      <c r="HO708" s="12" t="s">
        <v>11345</v>
      </c>
      <c r="HP708" s="12" t="s">
        <v>418</v>
      </c>
      <c r="HQ708" s="12"/>
      <c r="HR708" s="12"/>
      <c r="HS708" s="12"/>
      <c r="HT708" s="12"/>
      <c r="HU708" s="12"/>
      <c r="HV708" s="12"/>
      <c r="HW708" s="12"/>
      <c r="HX708" s="12"/>
      <c r="HY708" s="12"/>
      <c r="HZ708" s="12" t="s">
        <v>363</v>
      </c>
      <c r="IA708" s="12"/>
      <c r="IB708" s="12" t="s">
        <v>333</v>
      </c>
      <c r="IC708" s="12"/>
      <c r="ID708" s="12" t="s">
        <v>364</v>
      </c>
      <c r="IE708" s="12" t="s">
        <v>335</v>
      </c>
      <c r="IF708" s="12" t="s">
        <v>320</v>
      </c>
      <c r="IG708" s="12" t="s">
        <v>320</v>
      </c>
      <c r="IH708" s="12" t="s">
        <v>320</v>
      </c>
      <c r="II708" s="12" t="s">
        <v>320</v>
      </c>
      <c r="IJ708" s="12" t="str">
        <f t="shared" si="474"/>
        <v>2. Sensitive</v>
      </c>
      <c r="IK708" s="12">
        <f t="shared" si="475"/>
        <v>4</v>
      </c>
      <c r="IL708" s="12" t="s">
        <v>336</v>
      </c>
      <c r="IM708" s="12" t="s">
        <v>320</v>
      </c>
      <c r="IN708" s="12" t="s">
        <v>320</v>
      </c>
      <c r="IO708" s="12" t="s">
        <v>320</v>
      </c>
      <c r="IP708" s="12" t="s">
        <v>320</v>
      </c>
      <c r="IQ708" s="12" t="str">
        <f t="shared" si="476"/>
        <v>2. Accommodating</v>
      </c>
      <c r="IR708" s="12">
        <f t="shared" si="477"/>
        <v>4</v>
      </c>
      <c r="IS708" s="12" t="s">
        <v>337</v>
      </c>
      <c r="IT708" s="12" t="s">
        <v>320</v>
      </c>
      <c r="IU708" s="12" t="s">
        <v>320</v>
      </c>
      <c r="IV708" s="12" t="s">
        <v>320</v>
      </c>
      <c r="IW708" s="11" t="str">
        <f t="shared" si="478"/>
        <v>2. Sensitive</v>
      </c>
      <c r="IX708" s="12">
        <f t="shared" si="479"/>
        <v>3</v>
      </c>
      <c r="IY708" s="12" t="s">
        <v>419</v>
      </c>
      <c r="IZ708" s="12" t="s">
        <v>457</v>
      </c>
      <c r="JA708" s="12">
        <v>14</v>
      </c>
      <c r="JB708" s="12" t="s">
        <v>624</v>
      </c>
      <c r="JC708" s="12"/>
      <c r="JD708" s="12"/>
      <c r="JE708" s="12" t="s">
        <v>365</v>
      </c>
      <c r="JF708" s="12" t="s">
        <v>11346</v>
      </c>
      <c r="JG708" s="12"/>
      <c r="JH708" s="12" t="s">
        <v>11347</v>
      </c>
      <c r="JI708" s="12" t="s">
        <v>11348</v>
      </c>
      <c r="JJ708" s="12" t="s">
        <v>11349</v>
      </c>
      <c r="JK708" s="12" t="s">
        <v>11350</v>
      </c>
      <c r="JL708" s="12" t="s">
        <v>11351</v>
      </c>
      <c r="JM708" s="12" t="s">
        <v>11352</v>
      </c>
      <c r="JN708" s="12" t="s">
        <v>11353</v>
      </c>
      <c r="JO708" s="12" t="s">
        <v>11354</v>
      </c>
      <c r="JP708" s="15">
        <f t="shared" si="480"/>
        <v>13</v>
      </c>
      <c r="JQ708" s="15">
        <f t="shared" si="481"/>
        <v>200</v>
      </c>
      <c r="JR708" s="279">
        <f t="shared" si="482"/>
        <v>15.384615384615385</v>
      </c>
      <c r="JS708" s="17">
        <f t="shared" si="483"/>
        <v>1</v>
      </c>
      <c r="JT708" s="18">
        <f t="shared" si="484"/>
        <v>1</v>
      </c>
      <c r="JU708" s="280">
        <f t="shared" si="485"/>
        <v>13</v>
      </c>
      <c r="JV708" s="280">
        <f t="shared" si="486"/>
        <v>200</v>
      </c>
      <c r="JW708" s="319" t="str">
        <f t="shared" si="487"/>
        <v/>
      </c>
      <c r="JX708" s="15">
        <f t="shared" si="488"/>
        <v>0</v>
      </c>
      <c r="JY708" s="15">
        <f t="shared" si="489"/>
        <v>0</v>
      </c>
      <c r="JZ708" s="19" t="str">
        <f t="shared" si="490"/>
        <v/>
      </c>
      <c r="KA708" s="52" t="str">
        <f t="shared" si="491"/>
        <v/>
      </c>
      <c r="KB708" s="15">
        <f t="shared" si="492"/>
        <v>0</v>
      </c>
      <c r="KC708" s="15">
        <f t="shared" si="493"/>
        <v>0</v>
      </c>
      <c r="KD708" s="20" t="str">
        <f t="shared" si="494"/>
        <v/>
      </c>
      <c r="KE708" s="52" t="str">
        <f t="shared" si="495"/>
        <v/>
      </c>
      <c r="KF708" s="15">
        <f t="shared" si="496"/>
        <v>0</v>
      </c>
      <c r="KG708" s="15">
        <f t="shared" si="497"/>
        <v>0</v>
      </c>
      <c r="KH708" s="21" t="str">
        <f t="shared" si="498"/>
        <v/>
      </c>
      <c r="KI708" s="52" t="str">
        <f t="shared" si="499"/>
        <v/>
      </c>
      <c r="KJ708" s="15">
        <f t="shared" si="500"/>
        <v>0</v>
      </c>
      <c r="KK708" s="15">
        <f t="shared" si="501"/>
        <v>0</v>
      </c>
      <c r="KL708" s="19" t="str">
        <f t="shared" si="502"/>
        <v/>
      </c>
      <c r="KM708" s="52">
        <f t="shared" si="503"/>
        <v>1</v>
      </c>
      <c r="KN708" s="22">
        <f t="shared" si="504"/>
        <v>13</v>
      </c>
      <c r="KO708" s="22">
        <f t="shared" si="505"/>
        <v>200</v>
      </c>
      <c r="KP708" s="19">
        <f t="shared" si="506"/>
        <v>15.384615384615385</v>
      </c>
      <c r="KQ708" s="11" t="str">
        <f t="shared" si="507"/>
        <v>2. Sensitive</v>
      </c>
      <c r="KR708" s="11" t="str">
        <f t="shared" si="508"/>
        <v>2. Accommodating</v>
      </c>
      <c r="KS708" s="11" t="str">
        <f t="shared" si="509"/>
        <v>2. Sensitive</v>
      </c>
      <c r="KT708" s="11" t="str">
        <f t="shared" si="510"/>
        <v>It did not develop any specific innovation</v>
      </c>
      <c r="KU708" s="11" t="str">
        <f t="shared" si="511"/>
        <v>Little or no advocacy</v>
      </c>
      <c r="KV708" s="11" t="str">
        <f t="shared" si="512"/>
        <v>It did not take tested solutions to scale</v>
      </c>
      <c r="KW708" s="11" t="str">
        <f t="shared" si="513"/>
        <v>Sri Lanka - Lasting Change Fund - Investing in womens economic empowerment a catalyst for positive change!</v>
      </c>
      <c r="KX708" s="11" t="str">
        <f t="shared" si="514"/>
        <v>Lasting Change Fund - Investing in womens economic empowerment a catalyst for positive change!</v>
      </c>
      <c r="KY708" s="11" t="str">
        <f t="shared" si="515"/>
        <v>Sri Lanka</v>
      </c>
      <c r="KZ708" s="12">
        <v>708</v>
      </c>
    </row>
    <row r="709" spans="1:312" x14ac:dyDescent="0.3">
      <c r="A709" s="12" t="s">
        <v>11304</v>
      </c>
      <c r="B709" s="12" t="s">
        <v>306</v>
      </c>
      <c r="C709" s="12"/>
      <c r="D709" s="12" t="s">
        <v>11382</v>
      </c>
      <c r="E709" s="277" t="str">
        <f t="shared" si="473"/>
        <v>Sri Lanka</v>
      </c>
      <c r="F709" s="12" t="s">
        <v>11383</v>
      </c>
      <c r="G709" s="12" t="s">
        <v>11384</v>
      </c>
      <c r="H709" s="12" t="s">
        <v>380</v>
      </c>
      <c r="I709" s="12" t="s">
        <v>517</v>
      </c>
      <c r="J709" s="281" t="s">
        <v>14578</v>
      </c>
      <c r="K709" s="12"/>
      <c r="L709" s="12"/>
      <c r="M709" s="12"/>
      <c r="N709" s="12"/>
      <c r="O709" s="12"/>
      <c r="P709" s="12"/>
      <c r="Q709" s="12"/>
      <c r="R709" s="12"/>
      <c r="S709" s="12"/>
      <c r="T709" s="12"/>
      <c r="U709" s="12"/>
      <c r="V709" s="12"/>
      <c r="W709" s="12"/>
      <c r="X709" s="12"/>
      <c r="Y709" s="12"/>
      <c r="Z709" s="12"/>
      <c r="AA709" s="12"/>
      <c r="AB709" s="12"/>
      <c r="AC709" s="12"/>
      <c r="AD709" s="12"/>
      <c r="BD709" s="13">
        <v>42371</v>
      </c>
      <c r="BE709" s="13">
        <v>43131</v>
      </c>
      <c r="BF709" s="13">
        <v>43220</v>
      </c>
      <c r="BG709" s="12" t="s">
        <v>609</v>
      </c>
      <c r="BH709" s="14">
        <v>523483.92</v>
      </c>
      <c r="BI709" s="12" t="s">
        <v>11320</v>
      </c>
      <c r="BJ709" s="12" t="s">
        <v>11385</v>
      </c>
      <c r="BK709" s="12" t="s">
        <v>11322</v>
      </c>
      <c r="BL709" s="12" t="s">
        <v>11386</v>
      </c>
      <c r="BM709" s="12" t="s">
        <v>354</v>
      </c>
      <c r="BN709" s="12" t="s">
        <v>11387</v>
      </c>
      <c r="BO709" s="12" t="s">
        <v>319</v>
      </c>
      <c r="BP709" s="12" t="s">
        <v>320</v>
      </c>
      <c r="BQ709" s="12" t="s">
        <v>319</v>
      </c>
      <c r="BR709" s="12" t="s">
        <v>11388</v>
      </c>
      <c r="BS709" s="12" t="s">
        <v>357</v>
      </c>
      <c r="BT709" s="12" t="s">
        <v>11389</v>
      </c>
      <c r="BU709" s="12" t="s">
        <v>11390</v>
      </c>
      <c r="BV709" s="14">
        <v>420</v>
      </c>
      <c r="BW709" s="14">
        <v>210</v>
      </c>
      <c r="BX709" s="14">
        <v>630</v>
      </c>
      <c r="BY709" s="14">
        <v>78205</v>
      </c>
      <c r="BZ709" s="14"/>
      <c r="CA709" s="14">
        <v>78205</v>
      </c>
      <c r="CB709" s="12" t="s">
        <v>11391</v>
      </c>
      <c r="CD709" s="14"/>
      <c r="CE709" s="14"/>
      <c r="CF709" s="14"/>
      <c r="CG709" s="14"/>
      <c r="CH709" s="14"/>
      <c r="CI709" s="14"/>
      <c r="CJ709" s="12"/>
      <c r="CK709" s="14"/>
      <c r="CL709" s="16"/>
      <c r="CM709" s="14"/>
      <c r="CN709" s="12"/>
      <c r="CO709" s="14"/>
      <c r="CP709" s="16"/>
      <c r="CQ709" s="14"/>
      <c r="CR709" s="12"/>
      <c r="CS709" s="14"/>
      <c r="CT709" s="16"/>
      <c r="CU709" s="14"/>
      <c r="CV709" s="12"/>
      <c r="CW709" s="14"/>
      <c r="CX709" s="16"/>
      <c r="CY709" s="14"/>
      <c r="CZ709" s="12"/>
      <c r="DA709" s="14"/>
      <c r="DB709" s="16"/>
      <c r="DC709" s="14"/>
      <c r="DD709" s="12"/>
      <c r="DE709" s="14"/>
      <c r="DF709" s="16"/>
      <c r="DG709" s="14"/>
      <c r="DH709" s="12"/>
      <c r="DI709" s="14"/>
      <c r="DJ709" s="16"/>
      <c r="DK709" s="14"/>
      <c r="DL709" s="12"/>
      <c r="DM709" s="14"/>
      <c r="DN709" s="16"/>
      <c r="DO709" s="14"/>
      <c r="DP709" s="12"/>
      <c r="DQ709" s="14"/>
      <c r="DR709" s="16"/>
      <c r="DS709" s="14"/>
      <c r="DT709" s="12"/>
      <c r="DU709" s="14"/>
      <c r="DV709" s="16"/>
      <c r="DW709" s="14"/>
      <c r="DX709" s="12"/>
      <c r="DY709" s="14"/>
      <c r="DZ709" s="16"/>
      <c r="EA709" s="14"/>
      <c r="EB709" s="12"/>
      <c r="EC709" s="14"/>
      <c r="ED709" s="16"/>
      <c r="EE709" s="14"/>
      <c r="EF709" s="12"/>
      <c r="EG709" s="12"/>
      <c r="EH709" s="14"/>
      <c r="EI709" s="16"/>
      <c r="EJ709" s="14"/>
      <c r="EK709" s="14">
        <v>420</v>
      </c>
      <c r="EL709" s="14">
        <v>210</v>
      </c>
      <c r="EM709" s="14">
        <v>630</v>
      </c>
      <c r="EN709" s="14">
        <v>40000</v>
      </c>
      <c r="EO709" s="14"/>
      <c r="EP709" s="14">
        <v>40000</v>
      </c>
      <c r="EQ709" s="12"/>
      <c r="ER709" s="14"/>
      <c r="ES709" s="16"/>
      <c r="ET709" s="14"/>
      <c r="EU709" s="12"/>
      <c r="EV709" s="14"/>
      <c r="EW709" s="16"/>
      <c r="EX709" s="14"/>
      <c r="EY709" s="12"/>
      <c r="EZ709" s="14"/>
      <c r="FA709" s="16"/>
      <c r="FB709" s="14"/>
      <c r="FC709" s="12"/>
      <c r="FD709" s="14"/>
      <c r="FE709" s="16"/>
      <c r="FF709" s="14"/>
      <c r="FG709" s="12"/>
      <c r="FH709" s="14"/>
      <c r="FI709" s="16"/>
      <c r="FJ709" s="14"/>
      <c r="FK709" s="12"/>
      <c r="FL709" s="14"/>
      <c r="FM709" s="16"/>
      <c r="FN709" s="14"/>
      <c r="FO709" s="12"/>
      <c r="FP709" s="14"/>
      <c r="FQ709" s="16"/>
      <c r="FR709" s="14"/>
      <c r="FS709" s="12" t="s">
        <v>320</v>
      </c>
      <c r="FT709" s="14"/>
      <c r="FU709" s="16"/>
      <c r="FV709" s="14"/>
      <c r="FW709" s="12" t="s">
        <v>320</v>
      </c>
      <c r="FX709" s="14"/>
      <c r="FY709" s="16"/>
      <c r="FZ709" s="14"/>
      <c r="GA709" s="12"/>
      <c r="GB709" s="14"/>
      <c r="GC709" s="16"/>
      <c r="GD709" s="14"/>
      <c r="GE709" s="12"/>
      <c r="GF709" s="14"/>
      <c r="GG709" s="16"/>
      <c r="GH709" s="14"/>
      <c r="GI709" s="12"/>
      <c r="GJ709" s="14"/>
      <c r="GK709" s="16"/>
      <c r="GL709" s="14"/>
      <c r="GM709" s="12" t="s">
        <v>320</v>
      </c>
      <c r="GN709" s="14"/>
      <c r="GO709" s="16"/>
      <c r="GP709" s="14"/>
      <c r="GQ709" s="12"/>
      <c r="GR709" s="14"/>
      <c r="GS709" s="16"/>
      <c r="GT709" s="14"/>
      <c r="GU709" s="12"/>
      <c r="GV709" s="14"/>
      <c r="GW709" s="16"/>
      <c r="GX709" s="14"/>
      <c r="GY709" s="12"/>
      <c r="GZ709" s="14"/>
      <c r="HA709" s="16"/>
      <c r="HB709" s="14"/>
      <c r="HC709" s="12" t="s">
        <v>11392</v>
      </c>
      <c r="HD709" s="12" t="s">
        <v>320</v>
      </c>
      <c r="HE709" s="14"/>
      <c r="HF709" s="16"/>
      <c r="HG709" s="14"/>
      <c r="HH709" s="12" t="s">
        <v>319</v>
      </c>
      <c r="HI709" s="12"/>
      <c r="HJ709" s="12"/>
      <c r="HK709" s="12" t="s">
        <v>319</v>
      </c>
      <c r="HL709" s="12" t="s">
        <v>320</v>
      </c>
      <c r="HM709" s="12" t="s">
        <v>619</v>
      </c>
      <c r="HN709" s="12">
        <v>2017</v>
      </c>
      <c r="HO709" s="12" t="s">
        <v>11393</v>
      </c>
      <c r="HP709" s="12" t="s">
        <v>330</v>
      </c>
      <c r="HQ709" s="12" t="s">
        <v>319</v>
      </c>
      <c r="HR709" s="12" t="s">
        <v>319</v>
      </c>
      <c r="HS709" s="12" t="s">
        <v>320</v>
      </c>
      <c r="HT709" s="12" t="s">
        <v>320</v>
      </c>
      <c r="HU709" s="12" t="s">
        <v>319</v>
      </c>
      <c r="HV709" s="12" t="s">
        <v>319</v>
      </c>
      <c r="HW709" s="12" t="s">
        <v>320</v>
      </c>
      <c r="HX709" s="12"/>
      <c r="HY709" s="12"/>
      <c r="HZ709" s="12" t="s">
        <v>363</v>
      </c>
      <c r="IA709" s="12"/>
      <c r="IB709" s="12" t="s">
        <v>333</v>
      </c>
      <c r="IC709" s="12"/>
      <c r="ID709" s="12" t="s">
        <v>477</v>
      </c>
      <c r="IE709" s="12" t="s">
        <v>478</v>
      </c>
      <c r="IF709" s="12" t="s">
        <v>320</v>
      </c>
      <c r="IG709" s="12" t="s">
        <v>320</v>
      </c>
      <c r="IH709" s="12" t="s">
        <v>320</v>
      </c>
      <c r="II709" s="12" t="s">
        <v>319</v>
      </c>
      <c r="IJ709" s="12" t="str">
        <f t="shared" si="474"/>
        <v>3. Responsive</v>
      </c>
      <c r="IK709" s="12">
        <f t="shared" si="475"/>
        <v>3</v>
      </c>
      <c r="IL709" s="11" t="s">
        <v>621</v>
      </c>
      <c r="IM709" s="12" t="s">
        <v>320</v>
      </c>
      <c r="IN709" s="12" t="s">
        <v>319</v>
      </c>
      <c r="IO709" s="12" t="s">
        <v>320</v>
      </c>
      <c r="IP709" s="12" t="s">
        <v>320</v>
      </c>
      <c r="IQ709" s="12" t="str">
        <f t="shared" si="476"/>
        <v>3. Responsive</v>
      </c>
      <c r="IR709" s="12">
        <f t="shared" si="477"/>
        <v>3</v>
      </c>
      <c r="IS709" s="12"/>
      <c r="IT709" s="12"/>
      <c r="IU709" s="12"/>
      <c r="IV709" s="12"/>
      <c r="IW709" s="11" t="str">
        <f t="shared" si="478"/>
        <v>No marker score</v>
      </c>
      <c r="IX709" s="12">
        <f t="shared" si="479"/>
        <v>0</v>
      </c>
      <c r="IY709" s="12" t="s">
        <v>338</v>
      </c>
      <c r="IZ709" s="12" t="s">
        <v>527</v>
      </c>
      <c r="JA709" s="12">
        <v>2</v>
      </c>
      <c r="JB709" s="12" t="s">
        <v>624</v>
      </c>
      <c r="JC709" s="12" t="s">
        <v>433</v>
      </c>
      <c r="JD709" s="12" t="s">
        <v>687</v>
      </c>
      <c r="JE709" s="12" t="s">
        <v>365</v>
      </c>
      <c r="JF709" s="12" t="s">
        <v>11394</v>
      </c>
      <c r="JG709" s="12" t="s">
        <v>11395</v>
      </c>
      <c r="JH709" s="12" t="s">
        <v>11396</v>
      </c>
      <c r="JI709" s="12" t="s">
        <v>11397</v>
      </c>
      <c r="JJ709" s="12" t="s">
        <v>11398</v>
      </c>
      <c r="JK709" s="12" t="s">
        <v>11399</v>
      </c>
      <c r="JL709" s="12" t="s">
        <v>11400</v>
      </c>
      <c r="JM709" s="12" t="s">
        <v>11401</v>
      </c>
      <c r="JN709" s="12" t="s">
        <v>11402</v>
      </c>
      <c r="JO709" s="12"/>
      <c r="JP709" s="15">
        <f t="shared" si="480"/>
        <v>630</v>
      </c>
      <c r="JQ709" s="15">
        <f t="shared" si="481"/>
        <v>40000</v>
      </c>
      <c r="JR709" s="279">
        <f t="shared" si="482"/>
        <v>63.492063492063494</v>
      </c>
      <c r="JS709" s="17">
        <f t="shared" si="483"/>
        <v>0.66666666666666663</v>
      </c>
      <c r="JT709" s="18">
        <f t="shared" si="484"/>
        <v>1</v>
      </c>
      <c r="JU709" s="280">
        <f t="shared" si="485"/>
        <v>420</v>
      </c>
      <c r="JV709" s="280">
        <f t="shared" si="486"/>
        <v>40000</v>
      </c>
      <c r="JW709" s="319" t="str">
        <f t="shared" si="487"/>
        <v/>
      </c>
      <c r="JX709" s="15">
        <f t="shared" si="488"/>
        <v>0</v>
      </c>
      <c r="JY709" s="15">
        <f t="shared" si="489"/>
        <v>0</v>
      </c>
      <c r="JZ709" s="19" t="str">
        <f t="shared" si="490"/>
        <v/>
      </c>
      <c r="KA709" s="52" t="str">
        <f t="shared" si="491"/>
        <v/>
      </c>
      <c r="KB709" s="15">
        <f t="shared" si="492"/>
        <v>0</v>
      </c>
      <c r="KC709" s="15">
        <f t="shared" si="493"/>
        <v>0</v>
      </c>
      <c r="KD709" s="20" t="str">
        <f t="shared" si="494"/>
        <v/>
      </c>
      <c r="KE709" s="52" t="str">
        <f t="shared" si="495"/>
        <v/>
      </c>
      <c r="KF709" s="15">
        <f t="shared" si="496"/>
        <v>0</v>
      </c>
      <c r="KG709" s="15">
        <f t="shared" si="497"/>
        <v>0</v>
      </c>
      <c r="KH709" s="21" t="str">
        <f t="shared" si="498"/>
        <v/>
      </c>
      <c r="KI709" s="52">
        <f t="shared" si="499"/>
        <v>1</v>
      </c>
      <c r="KJ709" s="15">
        <f t="shared" si="500"/>
        <v>0</v>
      </c>
      <c r="KK709" s="15">
        <f t="shared" si="501"/>
        <v>0</v>
      </c>
      <c r="KL709" s="19" t="str">
        <f t="shared" si="502"/>
        <v/>
      </c>
      <c r="KM709" s="52" t="str">
        <f t="shared" si="503"/>
        <v/>
      </c>
      <c r="KN709" s="22">
        <f t="shared" si="504"/>
        <v>0</v>
      </c>
      <c r="KO709" s="22">
        <f t="shared" si="505"/>
        <v>0</v>
      </c>
      <c r="KP709" s="19" t="str">
        <f t="shared" si="506"/>
        <v/>
      </c>
      <c r="KQ709" s="11" t="str">
        <f t="shared" si="507"/>
        <v>3. Responsive</v>
      </c>
      <c r="KR709" s="11" t="str">
        <f t="shared" si="508"/>
        <v>3. Responsive</v>
      </c>
      <c r="KS709" s="11" t="str">
        <f t="shared" si="509"/>
        <v>No marker score</v>
      </c>
      <c r="KT709" s="11" t="str">
        <f t="shared" si="510"/>
        <v>It did not develop any specific innovation</v>
      </c>
      <c r="KU709" s="11" t="str">
        <f t="shared" si="511"/>
        <v>Moderate advocacy</v>
      </c>
      <c r="KV709" s="11" t="str">
        <f t="shared" si="512"/>
        <v>It did not take tested solutions to scale</v>
      </c>
      <c r="KW709" s="11" t="str">
        <f t="shared" si="513"/>
        <v>Sri Lanka - Network, Engage &amp; Transform (The NET Project)</v>
      </c>
      <c r="KX709" s="11" t="str">
        <f t="shared" si="514"/>
        <v>Network, Engage &amp; Transform (The NET Project)</v>
      </c>
      <c r="KY709" s="11" t="str">
        <f t="shared" si="515"/>
        <v>Sri Lanka</v>
      </c>
      <c r="KZ709" s="12">
        <v>709</v>
      </c>
    </row>
    <row r="710" spans="1:312" x14ac:dyDescent="0.3">
      <c r="A710" s="12" t="s">
        <v>11304</v>
      </c>
      <c r="B710" s="12" t="s">
        <v>306</v>
      </c>
      <c r="C710" s="12"/>
      <c r="D710" s="12" t="s">
        <v>11371</v>
      </c>
      <c r="E710" s="277" t="str">
        <f t="shared" si="473"/>
        <v>Sri Lanka</v>
      </c>
      <c r="F710" s="12" t="s">
        <v>11372</v>
      </c>
      <c r="G710" s="12" t="s">
        <v>379</v>
      </c>
      <c r="H710" s="12" t="s">
        <v>384</v>
      </c>
      <c r="I710" s="12" t="s">
        <v>384</v>
      </c>
      <c r="J710" s="278" t="s">
        <v>6003</v>
      </c>
      <c r="K710" s="12"/>
      <c r="L710" s="12"/>
      <c r="M710" s="12"/>
      <c r="N710" s="12"/>
      <c r="O710" s="12"/>
      <c r="P710" s="12"/>
      <c r="Q710" s="12"/>
      <c r="R710" s="12"/>
      <c r="S710" s="12"/>
      <c r="T710" s="12"/>
      <c r="U710" s="12"/>
      <c r="V710" s="12"/>
      <c r="W710" s="12"/>
      <c r="X710" s="12"/>
      <c r="Y710" s="12"/>
      <c r="Z710" s="12"/>
      <c r="AA710" s="12"/>
      <c r="AB710" s="12"/>
      <c r="AC710" s="12"/>
      <c r="AD710" s="12"/>
      <c r="BD710" s="13">
        <v>42370</v>
      </c>
      <c r="BE710" s="13">
        <v>42735</v>
      </c>
      <c r="BF710" s="13">
        <v>42794</v>
      </c>
      <c r="BG710" s="12" t="s">
        <v>312</v>
      </c>
      <c r="BH710" s="14">
        <v>58518</v>
      </c>
      <c r="BI710" s="12" t="s">
        <v>11307</v>
      </c>
      <c r="BJ710" s="12" t="s">
        <v>11308</v>
      </c>
      <c r="BK710" s="12" t="s">
        <v>11309</v>
      </c>
      <c r="BL710" s="12"/>
      <c r="BM710" s="12"/>
      <c r="BN710" s="12"/>
      <c r="BO710" s="12" t="s">
        <v>319</v>
      </c>
      <c r="BP710" s="12" t="s">
        <v>320</v>
      </c>
      <c r="BQ710" s="12" t="s">
        <v>319</v>
      </c>
      <c r="BR710" s="12" t="s">
        <v>11373</v>
      </c>
      <c r="BS710" s="12" t="s">
        <v>357</v>
      </c>
      <c r="BT710" s="12" t="s">
        <v>11374</v>
      </c>
      <c r="BU710" s="12" t="s">
        <v>11375</v>
      </c>
      <c r="BV710" s="14">
        <v>231</v>
      </c>
      <c r="BW710" s="14"/>
      <c r="BX710" s="14">
        <v>231</v>
      </c>
      <c r="BY710" s="14">
        <v>669</v>
      </c>
      <c r="BZ710" s="14"/>
      <c r="CA710" s="14">
        <v>669</v>
      </c>
      <c r="CB710" s="12" t="s">
        <v>11313</v>
      </c>
      <c r="CD710" s="14"/>
      <c r="CE710" s="14"/>
      <c r="CF710" s="14"/>
      <c r="CG710" s="14"/>
      <c r="CH710" s="14"/>
      <c r="CI710" s="14"/>
      <c r="CJ710" s="12"/>
      <c r="CK710" s="14"/>
      <c r="CL710" s="16"/>
      <c r="CM710" s="14"/>
      <c r="CN710" s="12"/>
      <c r="CO710" s="14"/>
      <c r="CP710" s="16"/>
      <c r="CQ710" s="14"/>
      <c r="CR710" s="12"/>
      <c r="CS710" s="14"/>
      <c r="CT710" s="16"/>
      <c r="CU710" s="14"/>
      <c r="CV710" s="12"/>
      <c r="CW710" s="14"/>
      <c r="CX710" s="16"/>
      <c r="CY710" s="14"/>
      <c r="CZ710" s="12"/>
      <c r="DA710" s="14"/>
      <c r="DB710" s="16"/>
      <c r="DC710" s="14"/>
      <c r="DD710" s="12"/>
      <c r="DE710" s="14"/>
      <c r="DF710" s="16"/>
      <c r="DG710" s="14"/>
      <c r="DH710" s="12"/>
      <c r="DI710" s="14"/>
      <c r="DJ710" s="16"/>
      <c r="DK710" s="14"/>
      <c r="DL710" s="12"/>
      <c r="DM710" s="14"/>
      <c r="DN710" s="16"/>
      <c r="DO710" s="14"/>
      <c r="DP710" s="12"/>
      <c r="DQ710" s="14"/>
      <c r="DR710" s="16"/>
      <c r="DS710" s="14"/>
      <c r="DT710" s="12"/>
      <c r="DU710" s="14"/>
      <c r="DV710" s="16"/>
      <c r="DW710" s="14"/>
      <c r="DX710" s="12"/>
      <c r="DY710" s="14"/>
      <c r="DZ710" s="16"/>
      <c r="EA710" s="14"/>
      <c r="EB710" s="12"/>
      <c r="EC710" s="14"/>
      <c r="ED710" s="16"/>
      <c r="EE710" s="14"/>
      <c r="EF710" s="12"/>
      <c r="EG710" s="12"/>
      <c r="EH710" s="14"/>
      <c r="EI710" s="16"/>
      <c r="EJ710" s="14"/>
      <c r="EK710" s="14"/>
      <c r="EL710" s="14"/>
      <c r="EM710" s="14"/>
      <c r="EN710" s="14"/>
      <c r="EO710" s="14"/>
      <c r="EP710" s="14"/>
      <c r="EQ710" s="12"/>
      <c r="ER710" s="14"/>
      <c r="ES710" s="16"/>
      <c r="ET710" s="14"/>
      <c r="EU710" s="12"/>
      <c r="EV710" s="14"/>
      <c r="EW710" s="16"/>
      <c r="EX710" s="14"/>
      <c r="EY710" s="12"/>
      <c r="EZ710" s="14"/>
      <c r="FA710" s="16"/>
      <c r="FB710" s="14"/>
      <c r="FC710" s="12"/>
      <c r="FD710" s="14"/>
      <c r="FE710" s="16"/>
      <c r="FF710" s="14"/>
      <c r="FG710" s="12"/>
      <c r="FH710" s="14"/>
      <c r="FI710" s="16"/>
      <c r="FJ710" s="14"/>
      <c r="FK710" s="12"/>
      <c r="FL710" s="14"/>
      <c r="FM710" s="16"/>
      <c r="FN710" s="14"/>
      <c r="FO710" s="12"/>
      <c r="FP710" s="14"/>
      <c r="FQ710" s="16"/>
      <c r="FR710" s="14"/>
      <c r="FS710" s="12"/>
      <c r="FT710" s="14"/>
      <c r="FU710" s="16"/>
      <c r="FV710" s="14"/>
      <c r="FW710" s="12"/>
      <c r="FX710" s="14"/>
      <c r="FY710" s="16"/>
      <c r="FZ710" s="14"/>
      <c r="GA710" s="12"/>
      <c r="GB710" s="14"/>
      <c r="GC710" s="16"/>
      <c r="GD710" s="14"/>
      <c r="GE710" s="12"/>
      <c r="GF710" s="14"/>
      <c r="GG710" s="16"/>
      <c r="GH710" s="14"/>
      <c r="GI710" s="12"/>
      <c r="GJ710" s="14"/>
      <c r="GK710" s="16"/>
      <c r="GL710" s="14"/>
      <c r="GM710" s="12"/>
      <c r="GN710" s="14"/>
      <c r="GO710" s="16"/>
      <c r="GP710" s="14"/>
      <c r="GQ710" s="12"/>
      <c r="GR710" s="14"/>
      <c r="GS710" s="16"/>
      <c r="GT710" s="14"/>
      <c r="GU710" s="12"/>
      <c r="GV710" s="14"/>
      <c r="GW710" s="16"/>
      <c r="GX710" s="14"/>
      <c r="GY710" s="12"/>
      <c r="GZ710" s="14"/>
      <c r="HA710" s="16"/>
      <c r="HB710" s="14"/>
      <c r="HC710" s="12"/>
      <c r="HD710" s="12"/>
      <c r="HE710" s="14"/>
      <c r="HF710" s="16"/>
      <c r="HG710" s="14"/>
      <c r="HH710" s="12" t="s">
        <v>319</v>
      </c>
      <c r="HI710" s="12"/>
      <c r="HJ710" s="12"/>
      <c r="HK710" s="12" t="s">
        <v>319</v>
      </c>
      <c r="HL710" s="12" t="s">
        <v>319</v>
      </c>
      <c r="HM710" s="12"/>
      <c r="HN710" s="12"/>
      <c r="HO710" s="12"/>
      <c r="HP710" s="12" t="s">
        <v>418</v>
      </c>
      <c r="HQ710" s="12"/>
      <c r="HR710" s="12"/>
      <c r="HS710" s="12"/>
      <c r="HT710" s="12"/>
      <c r="HU710" s="12"/>
      <c r="HV710" s="12"/>
      <c r="HW710" s="12"/>
      <c r="HX710" s="12"/>
      <c r="HY710" s="12"/>
      <c r="HZ710" s="12" t="s">
        <v>363</v>
      </c>
      <c r="IA710" s="12"/>
      <c r="IB710" s="12" t="s">
        <v>333</v>
      </c>
      <c r="IC710" s="12"/>
      <c r="ID710" s="12" t="s">
        <v>364</v>
      </c>
      <c r="IE710" s="12" t="s">
        <v>335</v>
      </c>
      <c r="IF710" s="12" t="s">
        <v>320</v>
      </c>
      <c r="IG710" s="12" t="s">
        <v>320</v>
      </c>
      <c r="IH710" s="12" t="s">
        <v>319</v>
      </c>
      <c r="II710" s="12" t="s">
        <v>320</v>
      </c>
      <c r="IJ710" s="12" t="str">
        <f t="shared" si="474"/>
        <v>1. Neutral</v>
      </c>
      <c r="IK710" s="12">
        <f t="shared" si="475"/>
        <v>3</v>
      </c>
      <c r="IL710" s="12" t="s">
        <v>336</v>
      </c>
      <c r="IM710" s="12" t="s">
        <v>320</v>
      </c>
      <c r="IN710" s="12" t="s">
        <v>320</v>
      </c>
      <c r="IO710" s="12" t="s">
        <v>319</v>
      </c>
      <c r="IP710" s="12" t="s">
        <v>320</v>
      </c>
      <c r="IQ710" s="12" t="str">
        <f t="shared" si="476"/>
        <v>2. Accommodating</v>
      </c>
      <c r="IR710" s="12">
        <f t="shared" si="477"/>
        <v>3</v>
      </c>
      <c r="IS710" s="12" t="s">
        <v>456</v>
      </c>
      <c r="IT710" s="12" t="s">
        <v>320</v>
      </c>
      <c r="IU710" s="12" t="s">
        <v>320</v>
      </c>
      <c r="IV710" s="12" t="s">
        <v>320</v>
      </c>
      <c r="IW710" s="11" t="str">
        <f t="shared" si="478"/>
        <v>0. Harmful</v>
      </c>
      <c r="IX710" s="12">
        <f t="shared" si="479"/>
        <v>3</v>
      </c>
      <c r="IY710" s="12" t="s">
        <v>338</v>
      </c>
      <c r="IZ710" s="12" t="s">
        <v>432</v>
      </c>
      <c r="JA710" s="12"/>
      <c r="JB710" s="12" t="s">
        <v>384</v>
      </c>
      <c r="JC710" s="12"/>
      <c r="JD710" s="12"/>
      <c r="JE710" s="12" t="s">
        <v>420</v>
      </c>
      <c r="JF710" s="12"/>
      <c r="JG710" s="12"/>
      <c r="JH710" s="12" t="s">
        <v>11376</v>
      </c>
      <c r="JI710" s="12"/>
      <c r="JJ710" s="12"/>
      <c r="JK710" s="12" t="s">
        <v>11377</v>
      </c>
      <c r="JL710" s="12" t="s">
        <v>11378</v>
      </c>
      <c r="JM710" s="12" t="s">
        <v>11379</v>
      </c>
      <c r="JN710" s="12" t="s">
        <v>11380</v>
      </c>
      <c r="JO710" s="12" t="s">
        <v>11381</v>
      </c>
      <c r="JP710" s="15">
        <f t="shared" si="480"/>
        <v>0</v>
      </c>
      <c r="JQ710" s="15">
        <f t="shared" si="481"/>
        <v>0</v>
      </c>
      <c r="JR710" s="279" t="str">
        <f t="shared" si="482"/>
        <v/>
      </c>
      <c r="JS710" s="17" t="str">
        <f t="shared" si="483"/>
        <v/>
      </c>
      <c r="JT710" s="18" t="str">
        <f t="shared" si="484"/>
        <v/>
      </c>
      <c r="JU710" s="280">
        <f t="shared" si="485"/>
        <v>0</v>
      </c>
      <c r="JV710" s="280">
        <f t="shared" si="486"/>
        <v>0</v>
      </c>
      <c r="JW710" s="319" t="str">
        <f t="shared" si="487"/>
        <v/>
      </c>
      <c r="JX710" s="15">
        <f t="shared" si="488"/>
        <v>0</v>
      </c>
      <c r="JY710" s="15">
        <f t="shared" si="489"/>
        <v>0</v>
      </c>
      <c r="JZ710" s="19" t="str">
        <f t="shared" si="490"/>
        <v/>
      </c>
      <c r="KA710" s="52" t="str">
        <f t="shared" si="491"/>
        <v/>
      </c>
      <c r="KB710" s="15">
        <f t="shared" si="492"/>
        <v>0</v>
      </c>
      <c r="KC710" s="15">
        <f t="shared" si="493"/>
        <v>0</v>
      </c>
      <c r="KD710" s="20" t="str">
        <f t="shared" si="494"/>
        <v/>
      </c>
      <c r="KE710" s="52" t="str">
        <f t="shared" si="495"/>
        <v/>
      </c>
      <c r="KF710" s="15">
        <f t="shared" si="496"/>
        <v>0</v>
      </c>
      <c r="KG710" s="15">
        <f t="shared" si="497"/>
        <v>0</v>
      </c>
      <c r="KH710" s="21" t="str">
        <f t="shared" si="498"/>
        <v/>
      </c>
      <c r="KI710" s="52" t="str">
        <f t="shared" si="499"/>
        <v/>
      </c>
      <c r="KJ710" s="15">
        <f t="shared" si="500"/>
        <v>0</v>
      </c>
      <c r="KK710" s="15">
        <f t="shared" si="501"/>
        <v>0</v>
      </c>
      <c r="KL710" s="19" t="str">
        <f t="shared" si="502"/>
        <v/>
      </c>
      <c r="KM710" s="52" t="str">
        <f t="shared" si="503"/>
        <v/>
      </c>
      <c r="KN710" s="22">
        <f t="shared" si="504"/>
        <v>0</v>
      </c>
      <c r="KO710" s="22">
        <f t="shared" si="505"/>
        <v>0</v>
      </c>
      <c r="KP710" s="19" t="str">
        <f t="shared" si="506"/>
        <v/>
      </c>
      <c r="KQ710" s="11" t="str">
        <f t="shared" si="507"/>
        <v>1. Neutral</v>
      </c>
      <c r="KR710" s="11" t="str">
        <f t="shared" si="508"/>
        <v>2. Accommodating</v>
      </c>
      <c r="KS710" s="11" t="str">
        <f t="shared" si="509"/>
        <v>0. Harmful</v>
      </c>
      <c r="KT710" s="11" t="str">
        <f t="shared" si="510"/>
        <v>It did not develop any specific innovation</v>
      </c>
      <c r="KU710" s="11" t="str">
        <f t="shared" si="511"/>
        <v>Little or no advocacy</v>
      </c>
      <c r="KV710" s="11" t="str">
        <f t="shared" si="512"/>
        <v>It did not take tested solutions to scale</v>
      </c>
      <c r="KW710" s="11" t="str">
        <f t="shared" si="513"/>
        <v>Sri Lanka - PACE in the Community Phase One</v>
      </c>
      <c r="KX710" s="11" t="str">
        <f t="shared" si="514"/>
        <v>PACE in the Community Phase One</v>
      </c>
      <c r="KY710" s="11" t="str">
        <f t="shared" si="515"/>
        <v>Sri Lanka</v>
      </c>
      <c r="KZ710" s="12">
        <v>710</v>
      </c>
    </row>
    <row r="711" spans="1:312" x14ac:dyDescent="0.3">
      <c r="A711" s="12" t="s">
        <v>11304</v>
      </c>
      <c r="B711" s="12" t="s">
        <v>306</v>
      </c>
      <c r="C711" s="12"/>
      <c r="D711" s="12" t="s">
        <v>11305</v>
      </c>
      <c r="E711" s="277" t="str">
        <f t="shared" si="473"/>
        <v>Sri Lanka</v>
      </c>
      <c r="F711" s="12" t="s">
        <v>11306</v>
      </c>
      <c r="G711" s="12" t="s">
        <v>379</v>
      </c>
      <c r="H711" s="12" t="s">
        <v>384</v>
      </c>
      <c r="I711" s="12" t="s">
        <v>384</v>
      </c>
      <c r="J711" s="278" t="s">
        <v>6003</v>
      </c>
      <c r="K711" s="12"/>
      <c r="L711" s="12"/>
      <c r="M711" s="12"/>
      <c r="N711" s="12"/>
      <c r="O711" s="12"/>
      <c r="P711" s="12"/>
      <c r="Q711" s="12"/>
      <c r="R711" s="12"/>
      <c r="S711" s="12"/>
      <c r="T711" s="12"/>
      <c r="U711" s="12"/>
      <c r="V711" s="12"/>
      <c r="W711" s="12"/>
      <c r="X711" s="12"/>
      <c r="Y711" s="12"/>
      <c r="Z711" s="12"/>
      <c r="AA711" s="12"/>
      <c r="AB711" s="12"/>
      <c r="AC711" s="12"/>
      <c r="AD711" s="12"/>
      <c r="BD711" s="13">
        <v>42767</v>
      </c>
      <c r="BE711" s="13">
        <v>43131</v>
      </c>
      <c r="BF711" s="12"/>
      <c r="BG711" s="12" t="s">
        <v>312</v>
      </c>
      <c r="BH711" s="14">
        <v>152513.59</v>
      </c>
      <c r="BI711" s="12" t="s">
        <v>11307</v>
      </c>
      <c r="BJ711" s="12" t="s">
        <v>11308</v>
      </c>
      <c r="BK711" s="12" t="s">
        <v>11309</v>
      </c>
      <c r="BL711" s="12"/>
      <c r="BM711" s="12"/>
      <c r="BN711" s="12"/>
      <c r="BO711" s="12" t="s">
        <v>319</v>
      </c>
      <c r="BP711" s="12" t="s">
        <v>320</v>
      </c>
      <c r="BQ711" s="12" t="s">
        <v>319</v>
      </c>
      <c r="BR711" s="12" t="s">
        <v>11310</v>
      </c>
      <c r="BS711" s="12" t="s">
        <v>357</v>
      </c>
      <c r="BT711" s="12" t="s">
        <v>11311</v>
      </c>
      <c r="BU711" s="12" t="s">
        <v>11312</v>
      </c>
      <c r="BV711" s="14">
        <v>250</v>
      </c>
      <c r="BW711" s="14"/>
      <c r="BX711" s="14">
        <v>456</v>
      </c>
      <c r="BY711" s="14">
        <v>1975</v>
      </c>
      <c r="BZ711" s="14">
        <v>635</v>
      </c>
      <c r="CA711" s="14">
        <v>2610</v>
      </c>
      <c r="CB711" s="12" t="s">
        <v>11313</v>
      </c>
      <c r="CD711" s="14"/>
      <c r="CE711" s="14"/>
      <c r="CF711" s="14"/>
      <c r="CG711" s="14"/>
      <c r="CH711" s="14"/>
      <c r="CI711" s="14"/>
      <c r="CJ711" s="12"/>
      <c r="CK711" s="14"/>
      <c r="CL711" s="16"/>
      <c r="CM711" s="14"/>
      <c r="CN711" s="12"/>
      <c r="CO711" s="14"/>
      <c r="CP711" s="16"/>
      <c r="CQ711" s="14"/>
      <c r="CR711" s="12"/>
      <c r="CS711" s="14"/>
      <c r="CT711" s="16"/>
      <c r="CU711" s="14"/>
      <c r="CV711" s="12"/>
      <c r="CW711" s="14"/>
      <c r="CX711" s="16"/>
      <c r="CY711" s="14"/>
      <c r="CZ711" s="12"/>
      <c r="DA711" s="14"/>
      <c r="DB711" s="16"/>
      <c r="DC711" s="14"/>
      <c r="DD711" s="12"/>
      <c r="DE711" s="14"/>
      <c r="DF711" s="16"/>
      <c r="DG711" s="14"/>
      <c r="DH711" s="12"/>
      <c r="DI711" s="14"/>
      <c r="DJ711" s="16"/>
      <c r="DK711" s="14"/>
      <c r="DL711" s="12"/>
      <c r="DM711" s="14"/>
      <c r="DN711" s="16"/>
      <c r="DO711" s="14"/>
      <c r="DP711" s="12"/>
      <c r="DQ711" s="14"/>
      <c r="DR711" s="16"/>
      <c r="DS711" s="14"/>
      <c r="DT711" s="12"/>
      <c r="DU711" s="14"/>
      <c r="DV711" s="16"/>
      <c r="DW711" s="14"/>
      <c r="DX711" s="12"/>
      <c r="DY711" s="14"/>
      <c r="DZ711" s="16"/>
      <c r="EA711" s="14"/>
      <c r="EB711" s="12"/>
      <c r="EC711" s="14"/>
      <c r="ED711" s="16"/>
      <c r="EE711" s="14"/>
      <c r="EF711" s="12"/>
      <c r="EG711" s="12"/>
      <c r="EH711" s="14"/>
      <c r="EI711" s="16"/>
      <c r="EJ711" s="14"/>
      <c r="EK711" s="14"/>
      <c r="EL711" s="14"/>
      <c r="EM711" s="14"/>
      <c r="EN711" s="14"/>
      <c r="EO711" s="14"/>
      <c r="EP711" s="14"/>
      <c r="EQ711" s="12"/>
      <c r="ER711" s="14"/>
      <c r="ES711" s="16"/>
      <c r="ET711" s="14"/>
      <c r="EU711" s="12"/>
      <c r="EV711" s="14"/>
      <c r="EW711" s="16"/>
      <c r="EX711" s="14"/>
      <c r="EY711" s="12"/>
      <c r="EZ711" s="14"/>
      <c r="FA711" s="16"/>
      <c r="FB711" s="14"/>
      <c r="FC711" s="12"/>
      <c r="FD711" s="14"/>
      <c r="FE711" s="16"/>
      <c r="FF711" s="14"/>
      <c r="FG711" s="12"/>
      <c r="FH711" s="14"/>
      <c r="FI711" s="16"/>
      <c r="FJ711" s="14"/>
      <c r="FK711" s="12"/>
      <c r="FL711" s="14"/>
      <c r="FM711" s="16"/>
      <c r="FN711" s="14"/>
      <c r="FO711" s="12"/>
      <c r="FP711" s="14"/>
      <c r="FQ711" s="16"/>
      <c r="FR711" s="14"/>
      <c r="FS711" s="12"/>
      <c r="FT711" s="14"/>
      <c r="FU711" s="16"/>
      <c r="FV711" s="14"/>
      <c r="FW711" s="12"/>
      <c r="FX711" s="14"/>
      <c r="FY711" s="16"/>
      <c r="FZ711" s="14"/>
      <c r="GA711" s="12"/>
      <c r="GB711" s="14"/>
      <c r="GC711" s="16"/>
      <c r="GD711" s="14"/>
      <c r="GE711" s="12"/>
      <c r="GF711" s="14"/>
      <c r="GG711" s="16"/>
      <c r="GH711" s="14"/>
      <c r="GI711" s="12"/>
      <c r="GJ711" s="14"/>
      <c r="GK711" s="16"/>
      <c r="GL711" s="14"/>
      <c r="GM711" s="12"/>
      <c r="GN711" s="14"/>
      <c r="GO711" s="16"/>
      <c r="GP711" s="14"/>
      <c r="GQ711" s="12"/>
      <c r="GR711" s="14"/>
      <c r="GS711" s="16"/>
      <c r="GT711" s="14"/>
      <c r="GU711" s="12"/>
      <c r="GV711" s="14"/>
      <c r="GW711" s="16"/>
      <c r="GX711" s="14"/>
      <c r="GY711" s="12"/>
      <c r="GZ711" s="14"/>
      <c r="HA711" s="16"/>
      <c r="HB711" s="14"/>
      <c r="HC711" s="12"/>
      <c r="HD711" s="12"/>
      <c r="HE711" s="14"/>
      <c r="HF711" s="16"/>
      <c r="HG711" s="14"/>
      <c r="HH711" s="12" t="s">
        <v>319</v>
      </c>
      <c r="HI711" s="12"/>
      <c r="HJ711" s="12"/>
      <c r="HK711" s="12"/>
      <c r="HL711" s="12" t="s">
        <v>320</v>
      </c>
      <c r="HM711" s="12" t="s">
        <v>560</v>
      </c>
      <c r="HN711" s="12">
        <v>2018</v>
      </c>
      <c r="HO711" s="12"/>
      <c r="HP711" s="12" t="s">
        <v>418</v>
      </c>
      <c r="HQ711" s="12"/>
      <c r="HR711" s="12"/>
      <c r="HS711" s="12"/>
      <c r="HT711" s="12"/>
      <c r="HU711" s="12"/>
      <c r="HV711" s="12"/>
      <c r="HW711" s="12"/>
      <c r="HX711" s="12"/>
      <c r="HY711" s="12"/>
      <c r="HZ711" s="12" t="s">
        <v>363</v>
      </c>
      <c r="IA711" s="12"/>
      <c r="IB711" s="12" t="s">
        <v>333</v>
      </c>
      <c r="IC711" s="12"/>
      <c r="ID711" s="12" t="s">
        <v>364</v>
      </c>
      <c r="IE711" s="12" t="s">
        <v>335</v>
      </c>
      <c r="IF711" s="12" t="s">
        <v>320</v>
      </c>
      <c r="IG711" s="12" t="s">
        <v>320</v>
      </c>
      <c r="IH711" s="12" t="s">
        <v>320</v>
      </c>
      <c r="II711" s="12" t="s">
        <v>320</v>
      </c>
      <c r="IJ711" s="12" t="str">
        <f t="shared" si="474"/>
        <v>2. Sensitive</v>
      </c>
      <c r="IK711" s="12">
        <f t="shared" si="475"/>
        <v>4</v>
      </c>
      <c r="IL711" s="12" t="s">
        <v>336</v>
      </c>
      <c r="IM711" s="12" t="s">
        <v>320</v>
      </c>
      <c r="IN711" s="12" t="s">
        <v>320</v>
      </c>
      <c r="IO711" s="12" t="s">
        <v>319</v>
      </c>
      <c r="IP711" s="12" t="s">
        <v>320</v>
      </c>
      <c r="IQ711" s="12" t="str">
        <f t="shared" si="476"/>
        <v>2. Accommodating</v>
      </c>
      <c r="IR711" s="12">
        <f t="shared" si="477"/>
        <v>3</v>
      </c>
      <c r="IS711" s="12" t="s">
        <v>337</v>
      </c>
      <c r="IT711" s="12" t="s">
        <v>320</v>
      </c>
      <c r="IU711" s="12" t="s">
        <v>320</v>
      </c>
      <c r="IV711" s="12" t="s">
        <v>320</v>
      </c>
      <c r="IW711" s="11" t="str">
        <f t="shared" si="478"/>
        <v>2. Sensitive</v>
      </c>
      <c r="IX711" s="12">
        <f t="shared" si="479"/>
        <v>3</v>
      </c>
      <c r="IY711" s="12" t="s">
        <v>338</v>
      </c>
      <c r="IZ711" s="12" t="s">
        <v>432</v>
      </c>
      <c r="JA711" s="12"/>
      <c r="JB711" s="12" t="s">
        <v>724</v>
      </c>
      <c r="JC711" s="12"/>
      <c r="JD711" s="12"/>
      <c r="JE711" s="12" t="s">
        <v>420</v>
      </c>
      <c r="JF711" s="12"/>
      <c r="JG711" s="12"/>
      <c r="JH711" s="12" t="s">
        <v>11314</v>
      </c>
      <c r="JI711" s="12"/>
      <c r="JJ711" s="12"/>
      <c r="JK711" s="12" t="s">
        <v>11315</v>
      </c>
      <c r="JL711" s="12"/>
      <c r="JM711" s="12"/>
      <c r="JN711" s="12"/>
      <c r="JO711" s="12"/>
      <c r="JP711" s="15">
        <f t="shared" si="480"/>
        <v>0</v>
      </c>
      <c r="JQ711" s="15">
        <f t="shared" si="481"/>
        <v>0</v>
      </c>
      <c r="JR711" s="279" t="str">
        <f t="shared" si="482"/>
        <v/>
      </c>
      <c r="JS711" s="17" t="str">
        <f t="shared" si="483"/>
        <v/>
      </c>
      <c r="JT711" s="18" t="str">
        <f t="shared" si="484"/>
        <v/>
      </c>
      <c r="JU711" s="280">
        <f t="shared" si="485"/>
        <v>0</v>
      </c>
      <c r="JV711" s="280">
        <f t="shared" si="486"/>
        <v>0</v>
      </c>
      <c r="JW711" s="319" t="str">
        <f t="shared" si="487"/>
        <v/>
      </c>
      <c r="JX711" s="15">
        <f t="shared" si="488"/>
        <v>0</v>
      </c>
      <c r="JY711" s="15">
        <f t="shared" si="489"/>
        <v>0</v>
      </c>
      <c r="JZ711" s="19" t="str">
        <f t="shared" si="490"/>
        <v/>
      </c>
      <c r="KA711" s="52" t="str">
        <f t="shared" si="491"/>
        <v/>
      </c>
      <c r="KB711" s="15">
        <f t="shared" si="492"/>
        <v>0</v>
      </c>
      <c r="KC711" s="15">
        <f t="shared" si="493"/>
        <v>0</v>
      </c>
      <c r="KD711" s="20" t="str">
        <f t="shared" si="494"/>
        <v/>
      </c>
      <c r="KE711" s="52" t="str">
        <f t="shared" si="495"/>
        <v/>
      </c>
      <c r="KF711" s="15">
        <f t="shared" si="496"/>
        <v>0</v>
      </c>
      <c r="KG711" s="15">
        <f t="shared" si="497"/>
        <v>0</v>
      </c>
      <c r="KH711" s="21" t="str">
        <f t="shared" si="498"/>
        <v/>
      </c>
      <c r="KI711" s="52" t="str">
        <f t="shared" si="499"/>
        <v/>
      </c>
      <c r="KJ711" s="15">
        <f t="shared" si="500"/>
        <v>0</v>
      </c>
      <c r="KK711" s="15">
        <f t="shared" si="501"/>
        <v>0</v>
      </c>
      <c r="KL711" s="19" t="str">
        <f t="shared" si="502"/>
        <v/>
      </c>
      <c r="KM711" s="52" t="str">
        <f t="shared" si="503"/>
        <v/>
      </c>
      <c r="KN711" s="22">
        <f t="shared" si="504"/>
        <v>0</v>
      </c>
      <c r="KO711" s="22">
        <f t="shared" si="505"/>
        <v>0</v>
      </c>
      <c r="KP711" s="19" t="str">
        <f t="shared" si="506"/>
        <v/>
      </c>
      <c r="KQ711" s="11" t="str">
        <f t="shared" si="507"/>
        <v>2. Sensitive</v>
      </c>
      <c r="KR711" s="11" t="str">
        <f t="shared" si="508"/>
        <v>2. Accommodating</v>
      </c>
      <c r="KS711" s="11" t="str">
        <f t="shared" si="509"/>
        <v>2. Sensitive</v>
      </c>
      <c r="KT711" s="11" t="str">
        <f t="shared" si="510"/>
        <v>It did not develop any specific innovation</v>
      </c>
      <c r="KU711" s="11" t="str">
        <f t="shared" si="511"/>
        <v>Little or no advocacy</v>
      </c>
      <c r="KV711" s="11" t="str">
        <f t="shared" si="512"/>
        <v>It did not take tested solutions to scale</v>
      </c>
      <c r="KW711" s="11" t="str">
        <f t="shared" si="513"/>
        <v>Sri Lanka - Personal Advancement and Career Enhancement in plantation community</v>
      </c>
      <c r="KX711" s="11" t="str">
        <f t="shared" si="514"/>
        <v>Personal Advancement and Career Enhancement in plantation community</v>
      </c>
      <c r="KY711" s="11" t="str">
        <f t="shared" si="515"/>
        <v>Sri Lanka</v>
      </c>
      <c r="KZ711" s="12">
        <v>711</v>
      </c>
    </row>
    <row r="712" spans="1:312" x14ac:dyDescent="0.3">
      <c r="A712" s="12" t="s">
        <v>11304</v>
      </c>
      <c r="B712" s="12" t="s">
        <v>306</v>
      </c>
      <c r="C712" s="12"/>
      <c r="D712" s="12" t="s">
        <v>11403</v>
      </c>
      <c r="E712" s="277" t="str">
        <f t="shared" si="473"/>
        <v>Sri Lanka</v>
      </c>
      <c r="F712" s="12" t="s">
        <v>11404</v>
      </c>
      <c r="G712" s="12" t="s">
        <v>425</v>
      </c>
      <c r="H712" s="12" t="s">
        <v>383</v>
      </c>
      <c r="I712" s="12" t="s">
        <v>384</v>
      </c>
      <c r="J712" s="278" t="s">
        <v>3967</v>
      </c>
      <c r="K712" s="12"/>
      <c r="L712" s="12"/>
      <c r="M712" s="12"/>
      <c r="N712" s="12"/>
      <c r="O712" s="12"/>
      <c r="P712" s="12"/>
      <c r="Q712" s="12"/>
      <c r="R712" s="12"/>
      <c r="S712" s="12"/>
      <c r="T712" s="12"/>
      <c r="U712" s="12"/>
      <c r="V712" s="12"/>
      <c r="W712" s="12"/>
      <c r="X712" s="12"/>
      <c r="Y712" s="12"/>
      <c r="Z712" s="12"/>
      <c r="AA712" s="12"/>
      <c r="AB712" s="12"/>
      <c r="AC712" s="12"/>
      <c r="AD712" s="12"/>
      <c r="BD712" s="13">
        <v>41944</v>
      </c>
      <c r="BE712" s="13">
        <v>42735</v>
      </c>
      <c r="BF712" s="13">
        <v>42825</v>
      </c>
      <c r="BG712" s="12" t="s">
        <v>350</v>
      </c>
      <c r="BH712" s="14">
        <v>53844.6</v>
      </c>
      <c r="BI712" s="12" t="s">
        <v>11307</v>
      </c>
      <c r="BJ712" s="12" t="s">
        <v>11308</v>
      </c>
      <c r="BK712" s="12" t="s">
        <v>11405</v>
      </c>
      <c r="BL712" s="12"/>
      <c r="BM712" s="12"/>
      <c r="BN712" s="12"/>
      <c r="BO712" s="12" t="s">
        <v>319</v>
      </c>
      <c r="BP712" s="12" t="s">
        <v>320</v>
      </c>
      <c r="BQ712" s="12" t="s">
        <v>319</v>
      </c>
      <c r="BR712" s="12" t="s">
        <v>11406</v>
      </c>
      <c r="BS712" s="12" t="s">
        <v>1535</v>
      </c>
      <c r="BT712" s="12" t="s">
        <v>11407</v>
      </c>
      <c r="BU712" s="12" t="s">
        <v>11408</v>
      </c>
      <c r="BV712" s="14">
        <v>250</v>
      </c>
      <c r="BW712" s="14">
        <v>50</v>
      </c>
      <c r="BX712" s="14">
        <v>250</v>
      </c>
      <c r="BY712" s="14">
        <v>500</v>
      </c>
      <c r="BZ712" s="14">
        <v>500</v>
      </c>
      <c r="CA712" s="14">
        <v>1000</v>
      </c>
      <c r="CB712" s="12" t="s">
        <v>11409</v>
      </c>
      <c r="CD712" s="14"/>
      <c r="CE712" s="14"/>
      <c r="CF712" s="14"/>
      <c r="CG712" s="14"/>
      <c r="CH712" s="14"/>
      <c r="CI712" s="14"/>
      <c r="CJ712" s="12"/>
      <c r="CK712" s="14"/>
      <c r="CL712" s="16"/>
      <c r="CM712" s="14"/>
      <c r="CN712" s="12"/>
      <c r="CO712" s="14"/>
      <c r="CP712" s="16"/>
      <c r="CQ712" s="14"/>
      <c r="CR712" s="12"/>
      <c r="CS712" s="14"/>
      <c r="CT712" s="16"/>
      <c r="CU712" s="14"/>
      <c r="CV712" s="12"/>
      <c r="CW712" s="14"/>
      <c r="CX712" s="16"/>
      <c r="CY712" s="14"/>
      <c r="CZ712" s="12"/>
      <c r="DA712" s="14"/>
      <c r="DB712" s="16"/>
      <c r="DC712" s="14"/>
      <c r="DD712" s="12"/>
      <c r="DE712" s="14"/>
      <c r="DF712" s="16"/>
      <c r="DG712" s="14"/>
      <c r="DH712" s="12"/>
      <c r="DI712" s="14"/>
      <c r="DJ712" s="16"/>
      <c r="DK712" s="14"/>
      <c r="DL712" s="12"/>
      <c r="DM712" s="14"/>
      <c r="DN712" s="16"/>
      <c r="DO712" s="14"/>
      <c r="DP712" s="12"/>
      <c r="DQ712" s="14"/>
      <c r="DR712" s="16"/>
      <c r="DS712" s="14"/>
      <c r="DT712" s="12"/>
      <c r="DU712" s="14"/>
      <c r="DV712" s="16"/>
      <c r="DW712" s="14"/>
      <c r="DX712" s="12"/>
      <c r="DY712" s="14"/>
      <c r="DZ712" s="16"/>
      <c r="EA712" s="14"/>
      <c r="EB712" s="12"/>
      <c r="EC712" s="14"/>
      <c r="ED712" s="16"/>
      <c r="EE712" s="14"/>
      <c r="EF712" s="12"/>
      <c r="EG712" s="12"/>
      <c r="EH712" s="14"/>
      <c r="EI712" s="16"/>
      <c r="EJ712" s="14"/>
      <c r="EK712" s="14">
        <v>183</v>
      </c>
      <c r="EL712" s="14">
        <v>0</v>
      </c>
      <c r="EM712" s="14">
        <v>183</v>
      </c>
      <c r="EN712" s="14"/>
      <c r="EO712" s="14"/>
      <c r="EP712" s="14">
        <v>824</v>
      </c>
      <c r="EQ712" s="12"/>
      <c r="ER712" s="14"/>
      <c r="ES712" s="16"/>
      <c r="ET712" s="14"/>
      <c r="EU712" s="12"/>
      <c r="EV712" s="14"/>
      <c r="EW712" s="16"/>
      <c r="EX712" s="14"/>
      <c r="EY712" s="12"/>
      <c r="EZ712" s="14"/>
      <c r="FA712" s="16"/>
      <c r="FB712" s="14"/>
      <c r="FC712" s="12"/>
      <c r="FD712" s="14"/>
      <c r="FE712" s="16"/>
      <c r="FF712" s="14"/>
      <c r="FG712" s="12"/>
      <c r="FH712" s="14"/>
      <c r="FI712" s="16"/>
      <c r="FJ712" s="14"/>
      <c r="FK712" s="12"/>
      <c r="FL712" s="14"/>
      <c r="FM712" s="16"/>
      <c r="FN712" s="14"/>
      <c r="FO712" s="12"/>
      <c r="FP712" s="14"/>
      <c r="FQ712" s="16"/>
      <c r="FR712" s="14"/>
      <c r="FS712" s="12"/>
      <c r="FT712" s="14"/>
      <c r="FU712" s="16"/>
      <c r="FV712" s="14"/>
      <c r="FW712" s="12"/>
      <c r="FX712" s="14"/>
      <c r="FY712" s="16"/>
      <c r="FZ712" s="14"/>
      <c r="GA712" s="12"/>
      <c r="GB712" s="14"/>
      <c r="GC712" s="16"/>
      <c r="GD712" s="14"/>
      <c r="GE712" s="12"/>
      <c r="GF712" s="14"/>
      <c r="GG712" s="16"/>
      <c r="GH712" s="14"/>
      <c r="GI712" s="12"/>
      <c r="GJ712" s="14"/>
      <c r="GK712" s="16"/>
      <c r="GL712" s="14"/>
      <c r="GM712" s="12"/>
      <c r="GN712" s="14"/>
      <c r="GO712" s="16"/>
      <c r="GP712" s="14"/>
      <c r="GQ712" s="12"/>
      <c r="GR712" s="14"/>
      <c r="GS712" s="16"/>
      <c r="GT712" s="14"/>
      <c r="GU712" s="12"/>
      <c r="GV712" s="14"/>
      <c r="GW712" s="16"/>
      <c r="GX712" s="14"/>
      <c r="GY712" s="11" t="s">
        <v>320</v>
      </c>
      <c r="GZ712" s="14">
        <v>183</v>
      </c>
      <c r="HA712" s="16">
        <v>1</v>
      </c>
      <c r="HB712" s="14">
        <v>824</v>
      </c>
      <c r="HC712" s="12"/>
      <c r="HD712" s="12"/>
      <c r="HE712" s="14"/>
      <c r="HF712" s="16"/>
      <c r="HG712" s="14"/>
      <c r="HH712" s="12" t="s">
        <v>320</v>
      </c>
      <c r="HI712" s="12" t="s">
        <v>361</v>
      </c>
      <c r="HJ712" s="12">
        <v>2016</v>
      </c>
      <c r="HK712" s="12" t="s">
        <v>319</v>
      </c>
      <c r="HL712" s="12" t="s">
        <v>319</v>
      </c>
      <c r="HM712" s="12"/>
      <c r="HN712" s="12"/>
      <c r="HO712" s="12"/>
      <c r="HP712" s="12" t="s">
        <v>418</v>
      </c>
      <c r="HQ712" s="12"/>
      <c r="HR712" s="12"/>
      <c r="HS712" s="12"/>
      <c r="HT712" s="12"/>
      <c r="HU712" s="12"/>
      <c r="HV712" s="12"/>
      <c r="HW712" s="12"/>
      <c r="HX712" s="12"/>
      <c r="HY712" s="12"/>
      <c r="HZ712" s="12" t="s">
        <v>363</v>
      </c>
      <c r="IA712" s="12"/>
      <c r="IB712" s="12" t="s">
        <v>333</v>
      </c>
      <c r="IC712" s="12"/>
      <c r="ID712" s="12" t="s">
        <v>334</v>
      </c>
      <c r="IE712" s="12" t="s">
        <v>335</v>
      </c>
      <c r="IF712" s="12" t="s">
        <v>320</v>
      </c>
      <c r="IG712" s="12" t="s">
        <v>320</v>
      </c>
      <c r="IH712" s="12" t="s">
        <v>320</v>
      </c>
      <c r="II712" s="12" t="s">
        <v>320</v>
      </c>
      <c r="IJ712" s="12" t="str">
        <f t="shared" si="474"/>
        <v>2. Sensitive</v>
      </c>
      <c r="IK712" s="12">
        <f t="shared" si="475"/>
        <v>4</v>
      </c>
      <c r="IL712" s="12" t="s">
        <v>336</v>
      </c>
      <c r="IM712" s="12" t="s">
        <v>320</v>
      </c>
      <c r="IN712" s="12" t="s">
        <v>320</v>
      </c>
      <c r="IO712" s="12" t="s">
        <v>320</v>
      </c>
      <c r="IP712" s="12" t="s">
        <v>320</v>
      </c>
      <c r="IQ712" s="12" t="str">
        <f t="shared" si="476"/>
        <v>2. Accommodating</v>
      </c>
      <c r="IR712" s="12">
        <f t="shared" si="477"/>
        <v>4</v>
      </c>
      <c r="IS712" s="12" t="s">
        <v>337</v>
      </c>
      <c r="IT712" s="12" t="s">
        <v>320</v>
      </c>
      <c r="IU712" s="12" t="s">
        <v>320</v>
      </c>
      <c r="IV712" s="12" t="s">
        <v>320</v>
      </c>
      <c r="IW712" s="11" t="str">
        <f t="shared" si="478"/>
        <v>2. Sensitive</v>
      </c>
      <c r="IX712" s="12">
        <f t="shared" si="479"/>
        <v>3</v>
      </c>
      <c r="IY712" s="12" t="s">
        <v>338</v>
      </c>
      <c r="IZ712" s="12" t="s">
        <v>432</v>
      </c>
      <c r="JA712" s="12">
        <v>1</v>
      </c>
      <c r="JB712" s="12" t="s">
        <v>687</v>
      </c>
      <c r="JC712" s="12"/>
      <c r="JD712" s="12"/>
      <c r="JE712" s="12" t="s">
        <v>365</v>
      </c>
      <c r="JF712" s="12" t="s">
        <v>11410</v>
      </c>
      <c r="JG712" s="12"/>
      <c r="JH712" s="12" t="s">
        <v>11411</v>
      </c>
      <c r="JI712" s="12"/>
      <c r="JJ712" s="12"/>
      <c r="JK712" s="12" t="s">
        <v>11412</v>
      </c>
      <c r="JL712" s="12" t="s">
        <v>11413</v>
      </c>
      <c r="JM712" s="12" t="s">
        <v>11414</v>
      </c>
      <c r="JN712" s="12" t="s">
        <v>11415</v>
      </c>
      <c r="JO712" s="12" t="s">
        <v>11416</v>
      </c>
      <c r="JP712" s="15">
        <f t="shared" si="480"/>
        <v>183</v>
      </c>
      <c r="JQ712" s="15">
        <f t="shared" si="481"/>
        <v>824</v>
      </c>
      <c r="JR712" s="279">
        <f t="shared" si="482"/>
        <v>4.5027322404371581</v>
      </c>
      <c r="JS712" s="17">
        <f t="shared" si="483"/>
        <v>1</v>
      </c>
      <c r="JT712" s="18">
        <f t="shared" si="484"/>
        <v>0</v>
      </c>
      <c r="JU712" s="280">
        <f t="shared" si="485"/>
        <v>183</v>
      </c>
      <c r="JV712" s="280">
        <f t="shared" si="486"/>
        <v>0</v>
      </c>
      <c r="JW712" s="319" t="str">
        <f t="shared" si="487"/>
        <v/>
      </c>
      <c r="JX712" s="15">
        <f t="shared" si="488"/>
        <v>0</v>
      </c>
      <c r="JY712" s="15">
        <f t="shared" si="489"/>
        <v>0</v>
      </c>
      <c r="JZ712" s="19" t="str">
        <f t="shared" si="490"/>
        <v/>
      </c>
      <c r="KA712" s="52" t="str">
        <f t="shared" si="491"/>
        <v/>
      </c>
      <c r="KB712" s="15">
        <f t="shared" si="492"/>
        <v>0</v>
      </c>
      <c r="KC712" s="15">
        <f t="shared" si="493"/>
        <v>0</v>
      </c>
      <c r="KD712" s="20" t="str">
        <f t="shared" si="494"/>
        <v/>
      </c>
      <c r="KE712" s="52" t="str">
        <f t="shared" si="495"/>
        <v/>
      </c>
      <c r="KF712" s="15">
        <f t="shared" si="496"/>
        <v>0</v>
      </c>
      <c r="KG712" s="15">
        <f t="shared" si="497"/>
        <v>0</v>
      </c>
      <c r="KH712" s="21" t="str">
        <f t="shared" si="498"/>
        <v/>
      </c>
      <c r="KI712" s="52" t="str">
        <f t="shared" si="499"/>
        <v/>
      </c>
      <c r="KJ712" s="15">
        <f t="shared" si="500"/>
        <v>0</v>
      </c>
      <c r="KK712" s="15">
        <f t="shared" si="501"/>
        <v>0</v>
      </c>
      <c r="KL712" s="19" t="str">
        <f t="shared" si="502"/>
        <v/>
      </c>
      <c r="KM712" s="52">
        <f t="shared" si="503"/>
        <v>1</v>
      </c>
      <c r="KN712" s="22">
        <f t="shared" si="504"/>
        <v>183</v>
      </c>
      <c r="KO712" s="22">
        <f t="shared" si="505"/>
        <v>824</v>
      </c>
      <c r="KP712" s="19">
        <f t="shared" si="506"/>
        <v>4.5027322404371581</v>
      </c>
      <c r="KQ712" s="11" t="str">
        <f t="shared" si="507"/>
        <v>2. Sensitive</v>
      </c>
      <c r="KR712" s="11" t="str">
        <f t="shared" si="508"/>
        <v>2. Accommodating</v>
      </c>
      <c r="KS712" s="11" t="str">
        <f t="shared" si="509"/>
        <v>2. Sensitive</v>
      </c>
      <c r="KT712" s="11" t="str">
        <f t="shared" si="510"/>
        <v>It did not develop any specific innovation</v>
      </c>
      <c r="KU712" s="11" t="str">
        <f t="shared" si="511"/>
        <v>Little or no advocacy</v>
      </c>
      <c r="KV712" s="11" t="str">
        <f t="shared" si="512"/>
        <v>It did not take tested solutions to scale</v>
      </c>
      <c r="KW712" s="11" t="str">
        <f t="shared" si="513"/>
        <v>Sri Lanka - WEAVE  (Women Empowerment: Action, Voice and Enterprise)</v>
      </c>
      <c r="KX712" s="11" t="str">
        <f t="shared" si="514"/>
        <v>WEAVE  (Women Empowerment: Action, Voice and Enterprise)</v>
      </c>
      <c r="KY712" s="11" t="str">
        <f t="shared" si="515"/>
        <v>Sri Lanka</v>
      </c>
      <c r="KZ712" s="12">
        <v>712</v>
      </c>
    </row>
    <row r="713" spans="1:312" x14ac:dyDescent="0.3">
      <c r="A713" s="12" t="s">
        <v>11417</v>
      </c>
      <c r="B713" s="12" t="s">
        <v>1874</v>
      </c>
      <c r="C713" s="12">
        <v>3389</v>
      </c>
      <c r="D713" s="12" t="s">
        <v>11474</v>
      </c>
      <c r="E713" s="277" t="str">
        <f t="shared" si="473"/>
        <v>Sudan</v>
      </c>
      <c r="F713" s="12" t="s">
        <v>11475</v>
      </c>
      <c r="G713" s="12" t="s">
        <v>379</v>
      </c>
      <c r="H713" s="12" t="s">
        <v>383</v>
      </c>
      <c r="I713" s="12" t="s">
        <v>384</v>
      </c>
      <c r="J713" s="281" t="s">
        <v>5578</v>
      </c>
      <c r="K713" s="12"/>
      <c r="L713" s="12"/>
      <c r="M713" s="12"/>
      <c r="N713" s="12"/>
      <c r="O713" s="12"/>
      <c r="P713" s="12"/>
      <c r="Q713" s="12"/>
      <c r="R713" s="12"/>
      <c r="S713" s="12"/>
      <c r="T713" s="12"/>
      <c r="U713" s="12"/>
      <c r="V713" s="12"/>
      <c r="W713" s="12"/>
      <c r="X713" s="12"/>
      <c r="Y713" s="12"/>
      <c r="Z713" s="12"/>
      <c r="AA713" s="12"/>
      <c r="AB713" s="12"/>
      <c r="AC713" s="12"/>
      <c r="AD713" s="12"/>
      <c r="BD713" s="13">
        <v>42217</v>
      </c>
      <c r="BE713" s="13">
        <v>42947</v>
      </c>
      <c r="BF713" s="12"/>
      <c r="BG713" s="12" t="s">
        <v>817</v>
      </c>
      <c r="BH713" s="14">
        <v>70000</v>
      </c>
      <c r="BI713" s="12" t="s">
        <v>11423</v>
      </c>
      <c r="BJ713" s="12" t="s">
        <v>1856</v>
      </c>
      <c r="BK713" s="12" t="s">
        <v>11476</v>
      </c>
      <c r="BL713" s="12" t="s">
        <v>11477</v>
      </c>
      <c r="BM713" s="12" t="s">
        <v>11478</v>
      </c>
      <c r="BN713" s="12" t="s">
        <v>11479</v>
      </c>
      <c r="BO713" s="12" t="s">
        <v>320</v>
      </c>
      <c r="BP713" s="11" t="s">
        <v>320</v>
      </c>
      <c r="BQ713" s="12" t="s">
        <v>320</v>
      </c>
      <c r="BR713" s="12" t="s">
        <v>11480</v>
      </c>
      <c r="BS713" s="12" t="s">
        <v>322</v>
      </c>
      <c r="BT713" s="12" t="s">
        <v>11481</v>
      </c>
      <c r="BU713" s="12" t="s">
        <v>11482</v>
      </c>
      <c r="BV713" s="14">
        <v>7875</v>
      </c>
      <c r="BW713" s="14">
        <v>3375</v>
      </c>
      <c r="BX713" s="14">
        <v>11250</v>
      </c>
      <c r="BY713" s="14">
        <v>20799</v>
      </c>
      <c r="BZ713" s="14">
        <v>8914</v>
      </c>
      <c r="CA713" s="14">
        <v>29713</v>
      </c>
      <c r="CB713" s="12" t="s">
        <v>11483</v>
      </c>
      <c r="CD713" s="14">
        <v>7875</v>
      </c>
      <c r="CE713" s="14">
        <v>3375</v>
      </c>
      <c r="CF713" s="14">
        <v>11250</v>
      </c>
      <c r="CG713" s="14">
        <v>20799</v>
      </c>
      <c r="CH713" s="14">
        <v>8914</v>
      </c>
      <c r="CI713" s="14">
        <v>29713</v>
      </c>
      <c r="CJ713" s="12"/>
      <c r="CK713" s="14"/>
      <c r="CL713" s="16"/>
      <c r="CM713" s="14"/>
      <c r="CN713" s="12"/>
      <c r="CO713" s="14"/>
      <c r="CP713" s="16"/>
      <c r="CQ713" s="14"/>
      <c r="CR713" s="12"/>
      <c r="CS713" s="14"/>
      <c r="CT713" s="16"/>
      <c r="CU713" s="14"/>
      <c r="CV713" s="12"/>
      <c r="CW713" s="14"/>
      <c r="CX713" s="16"/>
      <c r="CY713" s="14"/>
      <c r="CZ713" s="12"/>
      <c r="DA713" s="14"/>
      <c r="DB713" s="16"/>
      <c r="DC713" s="14"/>
      <c r="DD713" s="12"/>
      <c r="DE713" s="14"/>
      <c r="DF713" s="16"/>
      <c r="DG713" s="14"/>
      <c r="DH713" s="12"/>
      <c r="DI713" s="14"/>
      <c r="DJ713" s="16"/>
      <c r="DK713" s="14"/>
      <c r="DL713" s="12"/>
      <c r="DM713" s="14"/>
      <c r="DN713" s="16"/>
      <c r="DO713" s="14"/>
      <c r="DP713" s="12"/>
      <c r="DQ713" s="14"/>
      <c r="DR713" s="16"/>
      <c r="DS713" s="14"/>
      <c r="DT713" s="12"/>
      <c r="DU713" s="14"/>
      <c r="DV713" s="16"/>
      <c r="DW713" s="14"/>
      <c r="DX713" s="12"/>
      <c r="DY713" s="14"/>
      <c r="DZ713" s="16"/>
      <c r="EA713" s="14"/>
      <c r="EB713" s="11" t="s">
        <v>320</v>
      </c>
      <c r="EC713" s="14">
        <v>11250</v>
      </c>
      <c r="ED713" s="16">
        <v>0.7</v>
      </c>
      <c r="EE713" s="14">
        <v>29713</v>
      </c>
      <c r="EF713" s="12" t="s">
        <v>11484</v>
      </c>
      <c r="EG713" s="12" t="s">
        <v>320</v>
      </c>
      <c r="EH713" s="14"/>
      <c r="EI713" s="16"/>
      <c r="EJ713" s="14"/>
      <c r="EK713" s="14"/>
      <c r="EL713" s="14"/>
      <c r="EM713" s="14"/>
      <c r="EN713" s="14"/>
      <c r="EO713" s="14"/>
      <c r="EP713" s="14"/>
      <c r="EQ713" s="12"/>
      <c r="ER713" s="14"/>
      <c r="ES713" s="16"/>
      <c r="ET713" s="14"/>
      <c r="EU713" s="12"/>
      <c r="EV713" s="14"/>
      <c r="EW713" s="16"/>
      <c r="EX713" s="14"/>
      <c r="EY713" s="12"/>
      <c r="EZ713" s="14"/>
      <c r="FA713" s="16"/>
      <c r="FB713" s="14"/>
      <c r="FC713" s="12"/>
      <c r="FD713" s="14"/>
      <c r="FE713" s="16"/>
      <c r="FF713" s="14"/>
      <c r="FG713" s="12"/>
      <c r="FH713" s="14"/>
      <c r="FI713" s="16"/>
      <c r="FJ713" s="14"/>
      <c r="FK713" s="12"/>
      <c r="FL713" s="14"/>
      <c r="FM713" s="16"/>
      <c r="FN713" s="14"/>
      <c r="FO713" s="12"/>
      <c r="FP713" s="14"/>
      <c r="FQ713" s="16"/>
      <c r="FR713" s="14"/>
      <c r="FS713" s="12"/>
      <c r="FT713" s="14"/>
      <c r="FU713" s="16"/>
      <c r="FV713" s="14"/>
      <c r="FW713" s="12"/>
      <c r="FX713" s="14"/>
      <c r="FY713" s="16"/>
      <c r="FZ713" s="14"/>
      <c r="GA713" s="12"/>
      <c r="GB713" s="14"/>
      <c r="GC713" s="16"/>
      <c r="GD713" s="14"/>
      <c r="GE713" s="12"/>
      <c r="GF713" s="14"/>
      <c r="GG713" s="16"/>
      <c r="GH713" s="14"/>
      <c r="GI713" s="12"/>
      <c r="GJ713" s="14"/>
      <c r="GK713" s="16"/>
      <c r="GL713" s="14"/>
      <c r="GM713" s="12"/>
      <c r="GN713" s="14"/>
      <c r="GO713" s="16"/>
      <c r="GP713" s="14"/>
      <c r="GQ713" s="12"/>
      <c r="GR713" s="14"/>
      <c r="GS713" s="16"/>
      <c r="GT713" s="14"/>
      <c r="GU713" s="12" t="s">
        <v>320</v>
      </c>
      <c r="GV713" s="14">
        <v>11250</v>
      </c>
      <c r="GW713" s="16">
        <v>0.7</v>
      </c>
      <c r="GX713" s="14">
        <v>29713</v>
      </c>
      <c r="GY713" s="12"/>
      <c r="GZ713" s="14"/>
      <c r="HA713" s="16"/>
      <c r="HB713" s="14"/>
      <c r="HC713" s="12"/>
      <c r="HD713" s="12"/>
      <c r="HE713" s="14"/>
      <c r="HF713" s="16"/>
      <c r="HG713" s="14"/>
      <c r="HH713" s="12" t="s">
        <v>319</v>
      </c>
      <c r="HI713" s="12"/>
      <c r="HJ713" s="12"/>
      <c r="HK713" s="12"/>
      <c r="HL713" s="12" t="s">
        <v>319</v>
      </c>
      <c r="HM713" s="12"/>
      <c r="HN713" s="12"/>
      <c r="HO713" s="12"/>
      <c r="HP713" s="12" t="s">
        <v>330</v>
      </c>
      <c r="HQ713" s="12" t="s">
        <v>319</v>
      </c>
      <c r="HR713" s="12" t="s">
        <v>319</v>
      </c>
      <c r="HS713" s="12" t="s">
        <v>319</v>
      </c>
      <c r="HT713" s="12" t="s">
        <v>319</v>
      </c>
      <c r="HU713" s="12" t="s">
        <v>320</v>
      </c>
      <c r="HV713" s="12" t="s">
        <v>319</v>
      </c>
      <c r="HW713" s="12" t="s">
        <v>320</v>
      </c>
      <c r="HX713" s="12"/>
      <c r="HY713" s="12"/>
      <c r="HZ713" s="12" t="s">
        <v>363</v>
      </c>
      <c r="IA713" s="12"/>
      <c r="IB713" s="12" t="s">
        <v>333</v>
      </c>
      <c r="IC713" s="12"/>
      <c r="ID713" s="12" t="s">
        <v>364</v>
      </c>
      <c r="IE713" s="12" t="s">
        <v>335</v>
      </c>
      <c r="IF713" s="12" t="s">
        <v>320</v>
      </c>
      <c r="IG713" s="12" t="s">
        <v>320</v>
      </c>
      <c r="IH713" s="12" t="s">
        <v>320</v>
      </c>
      <c r="II713" s="12" t="s">
        <v>320</v>
      </c>
      <c r="IJ713" s="12" t="str">
        <f t="shared" si="474"/>
        <v>2. Sensitive</v>
      </c>
      <c r="IK713" s="12">
        <f t="shared" si="475"/>
        <v>4</v>
      </c>
      <c r="IL713" s="12" t="s">
        <v>336</v>
      </c>
      <c r="IM713" s="12" t="s">
        <v>320</v>
      </c>
      <c r="IN713" s="12" t="s">
        <v>320</v>
      </c>
      <c r="IO713" s="12" t="s">
        <v>320</v>
      </c>
      <c r="IP713" s="12" t="s">
        <v>320</v>
      </c>
      <c r="IQ713" s="12" t="str">
        <f t="shared" si="476"/>
        <v>2. Accommodating</v>
      </c>
      <c r="IR713" s="12">
        <f t="shared" si="477"/>
        <v>4</v>
      </c>
      <c r="IS713" s="12" t="s">
        <v>337</v>
      </c>
      <c r="IT713" s="12" t="s">
        <v>320</v>
      </c>
      <c r="IU713" s="12" t="s">
        <v>320</v>
      </c>
      <c r="IV713" s="12" t="s">
        <v>319</v>
      </c>
      <c r="IW713" s="11" t="str">
        <f t="shared" si="478"/>
        <v>1. Neutral</v>
      </c>
      <c r="IX713" s="12">
        <f t="shared" si="479"/>
        <v>2</v>
      </c>
      <c r="IY713" s="12" t="s">
        <v>338</v>
      </c>
      <c r="IZ713" s="12" t="s">
        <v>339</v>
      </c>
      <c r="JA713" s="12"/>
      <c r="JB713" s="12"/>
      <c r="JC713" s="12"/>
      <c r="JD713" s="12"/>
      <c r="JE713" s="12" t="s">
        <v>340</v>
      </c>
      <c r="JF713" s="12" t="s">
        <v>11485</v>
      </c>
      <c r="JG713" s="12" t="s">
        <v>11486</v>
      </c>
      <c r="JH713" s="12" t="s">
        <v>11487</v>
      </c>
      <c r="JI713" s="12" t="s">
        <v>11488</v>
      </c>
      <c r="JJ713" s="12" t="s">
        <v>11489</v>
      </c>
      <c r="JK713" s="12" t="s">
        <v>11490</v>
      </c>
      <c r="JL713" s="12" t="s">
        <v>11491</v>
      </c>
      <c r="JM713" s="12" t="s">
        <v>11492</v>
      </c>
      <c r="JN713" s="12"/>
      <c r="JO713" s="12" t="s">
        <v>11493</v>
      </c>
      <c r="JP713" s="15">
        <f t="shared" si="480"/>
        <v>11250</v>
      </c>
      <c r="JQ713" s="15">
        <f t="shared" si="481"/>
        <v>29713</v>
      </c>
      <c r="JR713" s="279">
        <f t="shared" si="482"/>
        <v>2.6411555555555557</v>
      </c>
      <c r="JS713" s="17">
        <f t="shared" si="483"/>
        <v>0.7</v>
      </c>
      <c r="JT713" s="18">
        <f t="shared" si="484"/>
        <v>0.69999663446976068</v>
      </c>
      <c r="JU713" s="280">
        <f t="shared" si="485"/>
        <v>7875</v>
      </c>
      <c r="JV713" s="280">
        <f t="shared" si="486"/>
        <v>20799</v>
      </c>
      <c r="JW713" s="319">
        <f t="shared" si="487"/>
        <v>1</v>
      </c>
      <c r="JX713" s="15">
        <f t="shared" si="488"/>
        <v>11250</v>
      </c>
      <c r="JY713" s="15">
        <f t="shared" si="489"/>
        <v>29713</v>
      </c>
      <c r="JZ713" s="19">
        <f t="shared" si="490"/>
        <v>2.6411555555555557</v>
      </c>
      <c r="KA713" s="52">
        <f t="shared" si="491"/>
        <v>1</v>
      </c>
      <c r="KB713" s="15">
        <f t="shared" si="492"/>
        <v>11250</v>
      </c>
      <c r="KC713" s="15">
        <f t="shared" si="493"/>
        <v>29713</v>
      </c>
      <c r="KD713" s="20">
        <f t="shared" si="494"/>
        <v>2.6411555555555557</v>
      </c>
      <c r="KE713" s="52" t="str">
        <f t="shared" si="495"/>
        <v/>
      </c>
      <c r="KF713" s="15">
        <f t="shared" si="496"/>
        <v>0</v>
      </c>
      <c r="KG713" s="15">
        <f t="shared" si="497"/>
        <v>0</v>
      </c>
      <c r="KH713" s="21" t="str">
        <f t="shared" si="498"/>
        <v/>
      </c>
      <c r="KI713" s="52" t="str">
        <f t="shared" si="499"/>
        <v/>
      </c>
      <c r="KJ713" s="15">
        <f t="shared" si="500"/>
        <v>0</v>
      </c>
      <c r="KK713" s="15">
        <f t="shared" si="501"/>
        <v>0</v>
      </c>
      <c r="KL713" s="19" t="str">
        <f t="shared" si="502"/>
        <v/>
      </c>
      <c r="KM713" s="52" t="str">
        <f t="shared" si="503"/>
        <v/>
      </c>
      <c r="KN713" s="22">
        <f t="shared" si="504"/>
        <v>0</v>
      </c>
      <c r="KO713" s="22">
        <f t="shared" si="505"/>
        <v>0</v>
      </c>
      <c r="KP713" s="19" t="str">
        <f t="shared" si="506"/>
        <v/>
      </c>
      <c r="KQ713" s="11" t="str">
        <f t="shared" si="507"/>
        <v>2. Sensitive</v>
      </c>
      <c r="KR713" s="11" t="str">
        <f t="shared" si="508"/>
        <v>2. Accommodating</v>
      </c>
      <c r="KS713" s="11" t="str">
        <f t="shared" si="509"/>
        <v>1. Neutral</v>
      </c>
      <c r="KT713" s="11" t="str">
        <f t="shared" si="510"/>
        <v>It did not develop any specific innovation</v>
      </c>
      <c r="KU713" s="11" t="str">
        <f t="shared" si="511"/>
        <v>Moderate advocacy</v>
      </c>
      <c r="KV713" s="11" t="str">
        <f t="shared" si="512"/>
        <v>It did not take tested solutions to scale</v>
      </c>
      <c r="KW713" s="11" t="str">
        <f t="shared" si="513"/>
        <v>Sudan - Catapult to Impact Emergency Preparedness and DRR project.</v>
      </c>
      <c r="KX713" s="11" t="str">
        <f t="shared" si="514"/>
        <v>Catapult to Impact Emergency Preparedness and DRR project.</v>
      </c>
      <c r="KY713" s="11" t="str">
        <f t="shared" si="515"/>
        <v>Sudan</v>
      </c>
      <c r="KZ713" s="12">
        <v>713</v>
      </c>
    </row>
    <row r="714" spans="1:312" x14ac:dyDescent="0.3">
      <c r="A714" s="12" t="s">
        <v>11417</v>
      </c>
      <c r="B714" s="12" t="s">
        <v>1874</v>
      </c>
      <c r="C714" s="12"/>
      <c r="D714" s="12" t="s">
        <v>11516</v>
      </c>
      <c r="E714" s="277" t="str">
        <f t="shared" si="473"/>
        <v>Sudan</v>
      </c>
      <c r="F714" s="12" t="s">
        <v>11517</v>
      </c>
      <c r="G714" s="12" t="s">
        <v>608</v>
      </c>
      <c r="H714" s="12" t="s">
        <v>380</v>
      </c>
      <c r="I714" s="12" t="s">
        <v>381</v>
      </c>
      <c r="J714" s="281" t="s">
        <v>7763</v>
      </c>
      <c r="K714" s="12"/>
      <c r="L714" s="12"/>
      <c r="M714" s="12"/>
      <c r="N714" s="12"/>
      <c r="O714" s="12"/>
      <c r="P714" s="12"/>
      <c r="Q714" s="12"/>
      <c r="R714" s="12"/>
      <c r="S714" s="12"/>
      <c r="T714" s="12"/>
      <c r="U714" s="12"/>
      <c r="V714" s="12"/>
      <c r="W714" s="12"/>
      <c r="X714" s="12"/>
      <c r="Y714" s="12"/>
      <c r="Z714" s="12"/>
      <c r="AA714" s="12"/>
      <c r="AB714" s="12"/>
      <c r="AC714" s="12"/>
      <c r="AD714" s="12"/>
      <c r="BD714" s="13">
        <v>42370</v>
      </c>
      <c r="BE714" s="13">
        <v>42674</v>
      </c>
      <c r="BF714" s="12"/>
      <c r="BG714" s="12" t="s">
        <v>817</v>
      </c>
      <c r="BH714" s="14">
        <v>54516.25</v>
      </c>
      <c r="BI714" s="12" t="s">
        <v>11445</v>
      </c>
      <c r="BJ714" s="12" t="s">
        <v>11446</v>
      </c>
      <c r="BK714" s="12" t="s">
        <v>11447</v>
      </c>
      <c r="BL714" s="12" t="s">
        <v>11518</v>
      </c>
      <c r="BM714" s="12" t="s">
        <v>11519</v>
      </c>
      <c r="BN714" s="12" t="s">
        <v>11520</v>
      </c>
      <c r="BO714" s="12" t="s">
        <v>320</v>
      </c>
      <c r="BP714" s="12" t="s">
        <v>319</v>
      </c>
      <c r="BQ714" s="12" t="s">
        <v>319</v>
      </c>
      <c r="BR714" s="12" t="s">
        <v>11516</v>
      </c>
      <c r="BS714" s="12" t="s">
        <v>357</v>
      </c>
      <c r="BT714" s="12" t="s">
        <v>11521</v>
      </c>
      <c r="BU714" s="12" t="s">
        <v>11522</v>
      </c>
      <c r="BV714" s="14">
        <v>7520</v>
      </c>
      <c r="BW714" s="14">
        <v>5446</v>
      </c>
      <c r="BX714" s="14">
        <v>12966</v>
      </c>
      <c r="BY714" s="14">
        <v>8450</v>
      </c>
      <c r="BZ714" s="14">
        <v>6255</v>
      </c>
      <c r="CA714" s="14">
        <v>14705</v>
      </c>
      <c r="CB714" s="12" t="s">
        <v>11523</v>
      </c>
      <c r="CD714" s="14">
        <v>7520</v>
      </c>
      <c r="CE714" s="14">
        <v>5446</v>
      </c>
      <c r="CF714" s="14">
        <v>12966</v>
      </c>
      <c r="CG714" s="14">
        <v>8450</v>
      </c>
      <c r="CH714" s="14">
        <v>6255</v>
      </c>
      <c r="CI714" s="14">
        <v>14705</v>
      </c>
      <c r="CJ714" s="12"/>
      <c r="CK714" s="14"/>
      <c r="CL714" s="16"/>
      <c r="CM714" s="14"/>
      <c r="CN714" s="12"/>
      <c r="CO714" s="14"/>
      <c r="CP714" s="16"/>
      <c r="CQ714" s="14"/>
      <c r="CR714" s="12"/>
      <c r="CS714" s="14"/>
      <c r="CT714" s="16"/>
      <c r="CU714" s="14"/>
      <c r="CV714" s="12" t="s">
        <v>320</v>
      </c>
      <c r="CW714" s="14">
        <v>12966</v>
      </c>
      <c r="CX714" s="16">
        <v>0.42</v>
      </c>
      <c r="CY714" s="14">
        <v>14706</v>
      </c>
      <c r="CZ714" s="12"/>
      <c r="DA714" s="14"/>
      <c r="DB714" s="16"/>
      <c r="DC714" s="14"/>
      <c r="DD714" s="12"/>
      <c r="DE714" s="14"/>
      <c r="DF714" s="16"/>
      <c r="DG714" s="14"/>
      <c r="DH714" s="12"/>
      <c r="DI714" s="14"/>
      <c r="DJ714" s="16"/>
      <c r="DK714" s="14"/>
      <c r="DL714" s="12"/>
      <c r="DM714" s="14"/>
      <c r="DN714" s="16"/>
      <c r="DO714" s="14"/>
      <c r="DP714" s="12"/>
      <c r="DQ714" s="14"/>
      <c r="DR714" s="16"/>
      <c r="DS714" s="14"/>
      <c r="DT714" s="12"/>
      <c r="DU714" s="14"/>
      <c r="DV714" s="16"/>
      <c r="DW714" s="14"/>
      <c r="DX714" s="12"/>
      <c r="DY714" s="14"/>
      <c r="DZ714" s="16"/>
      <c r="EA714" s="14"/>
      <c r="EB714" s="12"/>
      <c r="EC714" s="14"/>
      <c r="ED714" s="16"/>
      <c r="EE714" s="14"/>
      <c r="EF714" s="12"/>
      <c r="EG714" s="12"/>
      <c r="EH714" s="14"/>
      <c r="EI714" s="16"/>
      <c r="EJ714" s="14"/>
      <c r="EK714" s="14"/>
      <c r="EL714" s="14"/>
      <c r="EM714" s="14"/>
      <c r="EN714" s="14"/>
      <c r="EO714" s="14"/>
      <c r="EP714" s="14"/>
      <c r="EQ714" s="12"/>
      <c r="ER714" s="14"/>
      <c r="ES714" s="16"/>
      <c r="ET714" s="14"/>
      <c r="EU714" s="12"/>
      <c r="EV714" s="14"/>
      <c r="EW714" s="16"/>
      <c r="EX714" s="14"/>
      <c r="EY714" s="12"/>
      <c r="EZ714" s="14"/>
      <c r="FA714" s="16"/>
      <c r="FB714" s="14"/>
      <c r="FC714" s="12"/>
      <c r="FD714" s="14"/>
      <c r="FE714" s="16"/>
      <c r="FF714" s="14"/>
      <c r="FG714" s="12"/>
      <c r="FH714" s="14"/>
      <c r="FI714" s="16"/>
      <c r="FJ714" s="14"/>
      <c r="FK714" s="12"/>
      <c r="FL714" s="14"/>
      <c r="FM714" s="16"/>
      <c r="FN714" s="14"/>
      <c r="FO714" s="12"/>
      <c r="FP714" s="14"/>
      <c r="FQ714" s="16"/>
      <c r="FR714" s="14"/>
      <c r="FS714" s="12"/>
      <c r="FT714" s="14"/>
      <c r="FU714" s="16"/>
      <c r="FV714" s="14"/>
      <c r="FW714" s="12"/>
      <c r="FX714" s="14"/>
      <c r="FY714" s="16"/>
      <c r="FZ714" s="14"/>
      <c r="GA714" s="12"/>
      <c r="GB714" s="14"/>
      <c r="GC714" s="16"/>
      <c r="GD714" s="14"/>
      <c r="GE714" s="12"/>
      <c r="GF714" s="14"/>
      <c r="GG714" s="16"/>
      <c r="GH714" s="14"/>
      <c r="GI714" s="12"/>
      <c r="GJ714" s="14"/>
      <c r="GK714" s="16"/>
      <c r="GL714" s="14"/>
      <c r="GM714" s="12"/>
      <c r="GN714" s="14"/>
      <c r="GO714" s="16"/>
      <c r="GP714" s="14"/>
      <c r="GQ714" s="12"/>
      <c r="GR714" s="14"/>
      <c r="GS714" s="16"/>
      <c r="GT714" s="14"/>
      <c r="GU714" s="12"/>
      <c r="GV714" s="14"/>
      <c r="GW714" s="16"/>
      <c r="GX714" s="14"/>
      <c r="GY714" s="12"/>
      <c r="GZ714" s="14"/>
      <c r="HA714" s="16"/>
      <c r="HB714" s="14"/>
      <c r="HC714" s="12"/>
      <c r="HD714" s="12"/>
      <c r="HE714" s="14"/>
      <c r="HF714" s="16"/>
      <c r="HG714" s="14"/>
      <c r="HH714" s="12" t="s">
        <v>319</v>
      </c>
      <c r="HI714" s="12"/>
      <c r="HJ714" s="12"/>
      <c r="HK714" s="12"/>
      <c r="HL714" s="12" t="s">
        <v>319</v>
      </c>
      <c r="HM714" s="12"/>
      <c r="HN714" s="12"/>
      <c r="HO714" s="12"/>
      <c r="HP714" s="12" t="s">
        <v>418</v>
      </c>
      <c r="HQ714" s="12"/>
      <c r="HR714" s="12"/>
      <c r="HS714" s="12"/>
      <c r="HT714" s="12"/>
      <c r="HU714" s="12"/>
      <c r="HV714" s="12"/>
      <c r="HW714" s="12"/>
      <c r="HX714" s="12"/>
      <c r="HY714" s="12"/>
      <c r="HZ714" s="12" t="s">
        <v>363</v>
      </c>
      <c r="IA714" s="12"/>
      <c r="IB714" s="12" t="s">
        <v>333</v>
      </c>
      <c r="IC714" s="12"/>
      <c r="ID714" s="12" t="s">
        <v>364</v>
      </c>
      <c r="IE714" s="12" t="s">
        <v>478</v>
      </c>
      <c r="IF714" s="12" t="s">
        <v>320</v>
      </c>
      <c r="IG714" s="12" t="s">
        <v>320</v>
      </c>
      <c r="IH714" s="12" t="s">
        <v>320</v>
      </c>
      <c r="II714" s="12" t="s">
        <v>319</v>
      </c>
      <c r="IJ714" s="12" t="str">
        <f t="shared" si="474"/>
        <v>3. Responsive</v>
      </c>
      <c r="IK714" s="12">
        <f t="shared" si="475"/>
        <v>3</v>
      </c>
      <c r="IL714" s="12" t="s">
        <v>336</v>
      </c>
      <c r="IM714" s="12" t="s">
        <v>320</v>
      </c>
      <c r="IN714" s="12" t="s">
        <v>320</v>
      </c>
      <c r="IO714" s="12" t="s">
        <v>320</v>
      </c>
      <c r="IP714" s="12" t="s">
        <v>320</v>
      </c>
      <c r="IQ714" s="12" t="str">
        <f t="shared" si="476"/>
        <v>2. Accommodating</v>
      </c>
      <c r="IR714" s="12">
        <f t="shared" si="477"/>
        <v>4</v>
      </c>
      <c r="IS714" s="12" t="s">
        <v>337</v>
      </c>
      <c r="IT714" s="12" t="s">
        <v>320</v>
      </c>
      <c r="IU714" s="12" t="s">
        <v>319</v>
      </c>
      <c r="IV714" s="12" t="s">
        <v>320</v>
      </c>
      <c r="IW714" s="11" t="str">
        <f t="shared" si="478"/>
        <v>1. Neutral</v>
      </c>
      <c r="IX714" s="12">
        <f t="shared" si="479"/>
        <v>2</v>
      </c>
      <c r="IY714" s="12" t="s">
        <v>338</v>
      </c>
      <c r="IZ714" s="12" t="s">
        <v>457</v>
      </c>
      <c r="JA714" s="12">
        <v>1</v>
      </c>
      <c r="JB714" s="12" t="s">
        <v>433</v>
      </c>
      <c r="JC714" s="12" t="s">
        <v>687</v>
      </c>
      <c r="JD714" s="12"/>
      <c r="JE714" s="12" t="s">
        <v>365</v>
      </c>
      <c r="JF714" s="12"/>
      <c r="JG714" s="12"/>
      <c r="JH714" s="12"/>
      <c r="JI714" s="12"/>
      <c r="JJ714" s="12"/>
      <c r="JK714" s="12" t="s">
        <v>11524</v>
      </c>
      <c r="JL714" s="12" t="s">
        <v>11525</v>
      </c>
      <c r="JM714" s="12" t="s">
        <v>11526</v>
      </c>
      <c r="JN714" s="12" t="s">
        <v>11527</v>
      </c>
      <c r="JO714" s="12" t="s">
        <v>11528</v>
      </c>
      <c r="JP714" s="15">
        <f t="shared" si="480"/>
        <v>12966</v>
      </c>
      <c r="JQ714" s="15">
        <f t="shared" si="481"/>
        <v>14705</v>
      </c>
      <c r="JR714" s="279">
        <f t="shared" si="482"/>
        <v>1.134120006169983</v>
      </c>
      <c r="JS714" s="17">
        <f t="shared" si="483"/>
        <v>0.57997840505938614</v>
      </c>
      <c r="JT714" s="18">
        <f t="shared" si="484"/>
        <v>0.57463447806868417</v>
      </c>
      <c r="JU714" s="280">
        <f t="shared" si="485"/>
        <v>7520</v>
      </c>
      <c r="JV714" s="280">
        <f t="shared" si="486"/>
        <v>8450</v>
      </c>
      <c r="JW714" s="319">
        <f t="shared" si="487"/>
        <v>1</v>
      </c>
      <c r="JX714" s="15">
        <f t="shared" si="488"/>
        <v>12966</v>
      </c>
      <c r="JY714" s="15">
        <f t="shared" si="489"/>
        <v>14705</v>
      </c>
      <c r="JZ714" s="19">
        <f t="shared" si="490"/>
        <v>1.134120006169983</v>
      </c>
      <c r="KA714" s="52">
        <f t="shared" si="491"/>
        <v>1</v>
      </c>
      <c r="KB714" s="15">
        <f t="shared" si="492"/>
        <v>12966</v>
      </c>
      <c r="KC714" s="15">
        <f t="shared" si="493"/>
        <v>14706</v>
      </c>
      <c r="KD714" s="20">
        <f t="shared" si="494"/>
        <v>1.1341971309578898</v>
      </c>
      <c r="KE714" s="52" t="str">
        <f t="shared" si="495"/>
        <v/>
      </c>
      <c r="KF714" s="15">
        <f t="shared" si="496"/>
        <v>0</v>
      </c>
      <c r="KG714" s="15">
        <f t="shared" si="497"/>
        <v>0</v>
      </c>
      <c r="KH714" s="21" t="str">
        <f t="shared" si="498"/>
        <v/>
      </c>
      <c r="KI714" s="52" t="str">
        <f t="shared" si="499"/>
        <v/>
      </c>
      <c r="KJ714" s="15">
        <f t="shared" si="500"/>
        <v>0</v>
      </c>
      <c r="KK714" s="15">
        <f t="shared" si="501"/>
        <v>0</v>
      </c>
      <c r="KL714" s="19" t="str">
        <f t="shared" si="502"/>
        <v/>
      </c>
      <c r="KM714" s="52" t="str">
        <f t="shared" si="503"/>
        <v/>
      </c>
      <c r="KN714" s="22">
        <f t="shared" si="504"/>
        <v>0</v>
      </c>
      <c r="KO714" s="22">
        <f t="shared" si="505"/>
        <v>0</v>
      </c>
      <c r="KP714" s="19" t="str">
        <f t="shared" si="506"/>
        <v/>
      </c>
      <c r="KQ714" s="11" t="str">
        <f t="shared" si="507"/>
        <v>3. Responsive</v>
      </c>
      <c r="KR714" s="11" t="str">
        <f t="shared" si="508"/>
        <v>2. Accommodating</v>
      </c>
      <c r="KS714" s="11" t="str">
        <f t="shared" si="509"/>
        <v>1. Neutral</v>
      </c>
      <c r="KT714" s="11" t="str">
        <f t="shared" si="510"/>
        <v>It did not develop any specific innovation</v>
      </c>
      <c r="KU714" s="11" t="str">
        <f t="shared" si="511"/>
        <v>Little or no advocacy</v>
      </c>
      <c r="KV714" s="11" t="str">
        <f t="shared" si="512"/>
        <v>It did not take tested solutions to scale</v>
      </c>
      <c r="KW714" s="11" t="str">
        <f t="shared" si="513"/>
        <v>Sudan - Contribute to the saving of lives while addressing underlying causes of undernutrition among vulnerable mothers and children in poor IDPs and affacted rural communities of Kass and AJsalam localities, SD.</v>
      </c>
      <c r="KX714" s="11" t="str">
        <f t="shared" si="514"/>
        <v>Contribute to the saving of lives while addressing underlying causes of undernutrition among vulnerable mothers and children in poor IDPs and affacted rural communities of Kass and AJsalam localities, SD.</v>
      </c>
      <c r="KY714" s="11" t="str">
        <f t="shared" si="515"/>
        <v>Sudan</v>
      </c>
      <c r="KZ714" s="12">
        <v>714</v>
      </c>
    </row>
    <row r="715" spans="1:312" x14ac:dyDescent="0.3">
      <c r="A715" s="12" t="s">
        <v>11417</v>
      </c>
      <c r="B715" s="12" t="s">
        <v>1874</v>
      </c>
      <c r="C715" s="12"/>
      <c r="D715" s="12" t="s">
        <v>11529</v>
      </c>
      <c r="E715" s="277" t="str">
        <f t="shared" si="473"/>
        <v>Sudan</v>
      </c>
      <c r="F715" s="12" t="s">
        <v>11530</v>
      </c>
      <c r="G715" s="12" t="s">
        <v>608</v>
      </c>
      <c r="H715" s="12" t="s">
        <v>380</v>
      </c>
      <c r="I715" s="12" t="s">
        <v>381</v>
      </c>
      <c r="J715" s="281" t="s">
        <v>11531</v>
      </c>
      <c r="K715" s="12"/>
      <c r="L715" s="12"/>
      <c r="M715" s="12"/>
      <c r="N715" s="12"/>
      <c r="O715" s="12"/>
      <c r="P715" s="12"/>
      <c r="Q715" s="12"/>
      <c r="R715" s="12"/>
      <c r="S715" s="12"/>
      <c r="T715" s="12"/>
      <c r="U715" s="12"/>
      <c r="V715" s="12"/>
      <c r="W715" s="12"/>
      <c r="X715" s="12"/>
      <c r="Y715" s="12"/>
      <c r="Z715" s="12"/>
      <c r="AA715" s="12"/>
      <c r="AB715" s="12"/>
      <c r="AC715" s="12"/>
      <c r="AD715" s="12"/>
      <c r="BD715" s="13">
        <v>42552</v>
      </c>
      <c r="BE715" s="13">
        <v>42916</v>
      </c>
      <c r="BF715" s="12"/>
      <c r="BG715" s="12" t="s">
        <v>908</v>
      </c>
      <c r="BH715" s="14">
        <v>47818</v>
      </c>
      <c r="BI715" s="12" t="s">
        <v>11532</v>
      </c>
      <c r="BJ715" s="12" t="s">
        <v>11533</v>
      </c>
      <c r="BK715" s="12" t="s">
        <v>11534</v>
      </c>
      <c r="BL715" s="12" t="s">
        <v>11445</v>
      </c>
      <c r="BM715" s="12" t="s">
        <v>11446</v>
      </c>
      <c r="BN715" s="12" t="s">
        <v>11447</v>
      </c>
      <c r="BO715" s="12" t="s">
        <v>320</v>
      </c>
      <c r="BP715" s="12" t="s">
        <v>319</v>
      </c>
      <c r="BQ715" s="12" t="s">
        <v>319</v>
      </c>
      <c r="BR715" s="12" t="s">
        <v>11535</v>
      </c>
      <c r="BS715" s="12" t="s">
        <v>357</v>
      </c>
      <c r="BT715" s="12" t="s">
        <v>11536</v>
      </c>
      <c r="BU715" s="12" t="s">
        <v>11537</v>
      </c>
      <c r="BV715" s="14">
        <v>5686</v>
      </c>
      <c r="BW715" s="14">
        <v>5470</v>
      </c>
      <c r="BX715" s="14">
        <v>11156</v>
      </c>
      <c r="BY715" s="14"/>
      <c r="BZ715" s="14"/>
      <c r="CA715" s="14"/>
      <c r="CB715" s="12" t="s">
        <v>11538</v>
      </c>
      <c r="CD715" s="14">
        <v>5686</v>
      </c>
      <c r="CE715" s="14">
        <v>5470</v>
      </c>
      <c r="CF715" s="14">
        <v>11156</v>
      </c>
      <c r="CG715" s="14"/>
      <c r="CH715" s="14"/>
      <c r="CI715" s="14"/>
      <c r="CJ715" s="12"/>
      <c r="CK715" s="14"/>
      <c r="CL715" s="16"/>
      <c r="CM715" s="14"/>
      <c r="CN715" s="12"/>
      <c r="CO715" s="14"/>
      <c r="CP715" s="16"/>
      <c r="CQ715" s="14"/>
      <c r="CR715" s="12"/>
      <c r="CS715" s="14"/>
      <c r="CT715" s="16"/>
      <c r="CU715" s="14"/>
      <c r="CV715" s="12"/>
      <c r="CW715" s="14"/>
      <c r="CX715" s="16"/>
      <c r="CY715" s="14"/>
      <c r="CZ715" s="12"/>
      <c r="DA715" s="14"/>
      <c r="DB715" s="16"/>
      <c r="DC715" s="14"/>
      <c r="DD715" s="12"/>
      <c r="DE715" s="14"/>
      <c r="DF715" s="16"/>
      <c r="DG715" s="14"/>
      <c r="DH715" s="12"/>
      <c r="DI715" s="14"/>
      <c r="DJ715" s="16"/>
      <c r="DK715" s="14"/>
      <c r="DL715" s="11" t="s">
        <v>320</v>
      </c>
      <c r="DM715" s="14">
        <v>11156</v>
      </c>
      <c r="DN715" s="16">
        <v>0.51</v>
      </c>
      <c r="DO715" s="14">
        <v>0</v>
      </c>
      <c r="DP715" s="12"/>
      <c r="DQ715" s="14"/>
      <c r="DR715" s="16"/>
      <c r="DS715" s="14"/>
      <c r="DT715" s="12"/>
      <c r="DU715" s="14"/>
      <c r="DV715" s="16"/>
      <c r="DW715" s="14"/>
      <c r="DX715" s="12"/>
      <c r="DY715" s="14"/>
      <c r="DZ715" s="16"/>
      <c r="EA715" s="14"/>
      <c r="EB715" s="12"/>
      <c r="EC715" s="14"/>
      <c r="ED715" s="16"/>
      <c r="EE715" s="14"/>
      <c r="EF715" s="12"/>
      <c r="EG715" s="12"/>
      <c r="EH715" s="14"/>
      <c r="EI715" s="16"/>
      <c r="EJ715" s="14"/>
      <c r="EK715" s="14"/>
      <c r="EL715" s="14"/>
      <c r="EM715" s="14"/>
      <c r="EN715" s="14"/>
      <c r="EO715" s="14"/>
      <c r="EP715" s="14"/>
      <c r="EQ715" s="12"/>
      <c r="ER715" s="14"/>
      <c r="ES715" s="16"/>
      <c r="ET715" s="14"/>
      <c r="EU715" s="12"/>
      <c r="EV715" s="14"/>
      <c r="EW715" s="16"/>
      <c r="EX715" s="14"/>
      <c r="EY715" s="12"/>
      <c r="EZ715" s="14"/>
      <c r="FA715" s="16"/>
      <c r="FB715" s="14"/>
      <c r="FC715" s="12"/>
      <c r="FD715" s="14"/>
      <c r="FE715" s="16"/>
      <c r="FF715" s="14"/>
      <c r="FG715" s="12"/>
      <c r="FH715" s="14"/>
      <c r="FI715" s="16"/>
      <c r="FJ715" s="14"/>
      <c r="FK715" s="12"/>
      <c r="FL715" s="14"/>
      <c r="FM715" s="16"/>
      <c r="FN715" s="14"/>
      <c r="FO715" s="12"/>
      <c r="FP715" s="14"/>
      <c r="FQ715" s="16"/>
      <c r="FR715" s="14"/>
      <c r="FS715" s="12"/>
      <c r="FT715" s="14"/>
      <c r="FU715" s="16"/>
      <c r="FV715" s="14"/>
      <c r="FW715" s="12"/>
      <c r="FX715" s="14"/>
      <c r="FY715" s="16"/>
      <c r="FZ715" s="14"/>
      <c r="GA715" s="12"/>
      <c r="GB715" s="14"/>
      <c r="GC715" s="16"/>
      <c r="GD715" s="14"/>
      <c r="GE715" s="12"/>
      <c r="GF715" s="14"/>
      <c r="GG715" s="16"/>
      <c r="GH715" s="14"/>
      <c r="GI715" s="12"/>
      <c r="GJ715" s="14"/>
      <c r="GK715" s="16"/>
      <c r="GL715" s="14"/>
      <c r="GM715" s="12"/>
      <c r="GN715" s="14"/>
      <c r="GO715" s="16"/>
      <c r="GP715" s="14"/>
      <c r="GQ715" s="12"/>
      <c r="GR715" s="14"/>
      <c r="GS715" s="16"/>
      <c r="GT715" s="14"/>
      <c r="GU715" s="12"/>
      <c r="GV715" s="14"/>
      <c r="GW715" s="16"/>
      <c r="GX715" s="14"/>
      <c r="GY715" s="12"/>
      <c r="GZ715" s="14"/>
      <c r="HA715" s="16"/>
      <c r="HB715" s="14"/>
      <c r="HC715" s="12"/>
      <c r="HD715" s="12"/>
      <c r="HE715" s="14"/>
      <c r="HF715" s="16"/>
      <c r="HG715" s="14"/>
      <c r="HH715" s="12" t="s">
        <v>319</v>
      </c>
      <c r="HI715" s="12"/>
      <c r="HJ715" s="12"/>
      <c r="HK715" s="12"/>
      <c r="HL715" s="12" t="s">
        <v>319</v>
      </c>
      <c r="HM715" s="12"/>
      <c r="HN715" s="12"/>
      <c r="HO715" s="12" t="s">
        <v>11539</v>
      </c>
      <c r="HP715" s="12" t="s">
        <v>330</v>
      </c>
      <c r="HQ715" s="12"/>
      <c r="HR715" s="12"/>
      <c r="HS715" s="12"/>
      <c r="HT715" s="12" t="s">
        <v>320</v>
      </c>
      <c r="HU715" s="12" t="s">
        <v>320</v>
      </c>
      <c r="HV715" s="12"/>
      <c r="HW715" s="12"/>
      <c r="HX715" s="12"/>
      <c r="HY715" s="12"/>
      <c r="HZ715" s="12" t="s">
        <v>363</v>
      </c>
      <c r="IA715" s="12"/>
      <c r="IB715" s="12" t="s">
        <v>333</v>
      </c>
      <c r="IC715" s="12"/>
      <c r="ID715" s="12" t="s">
        <v>364</v>
      </c>
      <c r="IE715" s="12" t="s">
        <v>335</v>
      </c>
      <c r="IF715" s="12" t="s">
        <v>320</v>
      </c>
      <c r="IG715" s="12" t="s">
        <v>320</v>
      </c>
      <c r="IH715" s="12" t="s">
        <v>320</v>
      </c>
      <c r="II715" s="12" t="s">
        <v>320</v>
      </c>
      <c r="IJ715" s="12" t="str">
        <f t="shared" si="474"/>
        <v>2. Sensitive</v>
      </c>
      <c r="IK715" s="12">
        <f t="shared" si="475"/>
        <v>4</v>
      </c>
      <c r="IL715" s="12" t="s">
        <v>336</v>
      </c>
      <c r="IM715" s="12" t="s">
        <v>320</v>
      </c>
      <c r="IN715" s="12" t="s">
        <v>319</v>
      </c>
      <c r="IO715" s="12" t="s">
        <v>320</v>
      </c>
      <c r="IP715" s="12" t="s">
        <v>320</v>
      </c>
      <c r="IQ715" s="12" t="str">
        <f t="shared" si="476"/>
        <v>2. Accommodating</v>
      </c>
      <c r="IR715" s="12">
        <f t="shared" si="477"/>
        <v>3</v>
      </c>
      <c r="IS715" s="12" t="s">
        <v>337</v>
      </c>
      <c r="IT715" s="12" t="s">
        <v>320</v>
      </c>
      <c r="IU715" s="12" t="s">
        <v>320</v>
      </c>
      <c r="IV715" s="12" t="s">
        <v>320</v>
      </c>
      <c r="IW715" s="11" t="str">
        <f t="shared" si="478"/>
        <v>2. Sensitive</v>
      </c>
      <c r="IX715" s="12">
        <f t="shared" si="479"/>
        <v>3</v>
      </c>
      <c r="IY715" s="12" t="s">
        <v>419</v>
      </c>
      <c r="IZ715" s="12" t="s">
        <v>432</v>
      </c>
      <c r="JA715" s="12">
        <v>2</v>
      </c>
      <c r="JB715" s="12" t="s">
        <v>831</v>
      </c>
      <c r="JC715" s="12" t="s">
        <v>687</v>
      </c>
      <c r="JD715" s="12" t="s">
        <v>433</v>
      </c>
      <c r="JE715" s="12" t="s">
        <v>365</v>
      </c>
      <c r="JF715" s="12" t="s">
        <v>11540</v>
      </c>
      <c r="JG715" s="12"/>
      <c r="JH715" s="12"/>
      <c r="JI715" s="12"/>
      <c r="JJ715" s="12"/>
      <c r="JK715" s="12"/>
      <c r="JL715" s="12"/>
      <c r="JM715" s="12"/>
      <c r="JN715" s="12"/>
      <c r="JO715" s="12" t="s">
        <v>11528</v>
      </c>
      <c r="JP715" s="15">
        <f t="shared" si="480"/>
        <v>11156</v>
      </c>
      <c r="JQ715" s="15">
        <f t="shared" si="481"/>
        <v>0</v>
      </c>
      <c r="JR715" s="279">
        <f t="shared" si="482"/>
        <v>0</v>
      </c>
      <c r="JS715" s="17">
        <f t="shared" si="483"/>
        <v>0.50968088920760124</v>
      </c>
      <c r="JT715" s="18" t="str">
        <f t="shared" si="484"/>
        <v/>
      </c>
      <c r="JU715" s="280">
        <f t="shared" si="485"/>
        <v>5686</v>
      </c>
      <c r="JV715" s="280">
        <f t="shared" si="486"/>
        <v>0</v>
      </c>
      <c r="JW715" s="319">
        <f t="shared" si="487"/>
        <v>1</v>
      </c>
      <c r="JX715" s="15">
        <f t="shared" si="488"/>
        <v>11156</v>
      </c>
      <c r="JY715" s="15">
        <f t="shared" si="489"/>
        <v>0</v>
      </c>
      <c r="JZ715" s="19">
        <f t="shared" si="490"/>
        <v>0</v>
      </c>
      <c r="KA715" s="52">
        <f t="shared" si="491"/>
        <v>1</v>
      </c>
      <c r="KB715" s="15">
        <f t="shared" si="492"/>
        <v>11156</v>
      </c>
      <c r="KC715" s="15">
        <f t="shared" si="493"/>
        <v>0</v>
      </c>
      <c r="KD715" s="20">
        <f t="shared" si="494"/>
        <v>0</v>
      </c>
      <c r="KE715" s="52" t="str">
        <f t="shared" si="495"/>
        <v/>
      </c>
      <c r="KF715" s="15">
        <f t="shared" si="496"/>
        <v>0</v>
      </c>
      <c r="KG715" s="15">
        <f t="shared" si="497"/>
        <v>0</v>
      </c>
      <c r="KH715" s="21" t="str">
        <f t="shared" si="498"/>
        <v/>
      </c>
      <c r="KI715" s="52" t="str">
        <f t="shared" si="499"/>
        <v/>
      </c>
      <c r="KJ715" s="15">
        <f t="shared" si="500"/>
        <v>0</v>
      </c>
      <c r="KK715" s="15">
        <f t="shared" si="501"/>
        <v>0</v>
      </c>
      <c r="KL715" s="19" t="str">
        <f t="shared" si="502"/>
        <v/>
      </c>
      <c r="KM715" s="52" t="str">
        <f t="shared" si="503"/>
        <v/>
      </c>
      <c r="KN715" s="22">
        <f t="shared" si="504"/>
        <v>0</v>
      </c>
      <c r="KO715" s="22">
        <f t="shared" si="505"/>
        <v>0</v>
      </c>
      <c r="KP715" s="19" t="str">
        <f t="shared" si="506"/>
        <v/>
      </c>
      <c r="KQ715" s="11" t="str">
        <f t="shared" si="507"/>
        <v>2. Sensitive</v>
      </c>
      <c r="KR715" s="11" t="str">
        <f t="shared" si="508"/>
        <v>2. Accommodating</v>
      </c>
      <c r="KS715" s="11" t="str">
        <f t="shared" si="509"/>
        <v>2. Sensitive</v>
      </c>
      <c r="KT715" s="11" t="str">
        <f t="shared" si="510"/>
        <v>It did not develop any specific innovation</v>
      </c>
      <c r="KU715" s="11" t="str">
        <f t="shared" si="511"/>
        <v>Moderate advocacy</v>
      </c>
      <c r="KV715" s="11" t="str">
        <f t="shared" si="512"/>
        <v>It did not take tested solutions to scale</v>
      </c>
      <c r="KW715" s="11" t="str">
        <f t="shared" si="513"/>
        <v>Sudan - Emergency Food Security and livelihood Support for IDPs &amp; Destitute Vulnerable Host Communties in North Darfur,Centeral Darfur, East Darfur &amp; South Kordfan States.</v>
      </c>
      <c r="KX715" s="11" t="str">
        <f t="shared" si="514"/>
        <v>Emergency Food Security and livelihood Support for IDPs &amp; Destitute Vulnerable Host Communties in North Darfur,Centeral Darfur, East Darfur &amp; South Kordfan States.</v>
      </c>
      <c r="KY715" s="11" t="str">
        <f t="shared" si="515"/>
        <v>Sudan</v>
      </c>
      <c r="KZ715" s="12">
        <v>715</v>
      </c>
    </row>
    <row r="716" spans="1:312" x14ac:dyDescent="0.3">
      <c r="A716" s="12" t="s">
        <v>11417</v>
      </c>
      <c r="B716" s="12" t="s">
        <v>1874</v>
      </c>
      <c r="C716" s="12"/>
      <c r="D716" s="12" t="s">
        <v>11541</v>
      </c>
      <c r="E716" s="277" t="str">
        <f t="shared" si="473"/>
        <v>Sudan</v>
      </c>
      <c r="F716" s="12" t="s">
        <v>11542</v>
      </c>
      <c r="G716" s="12" t="s">
        <v>608</v>
      </c>
      <c r="H716" s="12" t="s">
        <v>380</v>
      </c>
      <c r="I716" s="12" t="s">
        <v>381</v>
      </c>
      <c r="J716" s="281" t="s">
        <v>11531</v>
      </c>
      <c r="K716" s="12"/>
      <c r="L716" s="12"/>
      <c r="M716" s="12"/>
      <c r="N716" s="12"/>
      <c r="O716" s="12"/>
      <c r="P716" s="12"/>
      <c r="Q716" s="12"/>
      <c r="R716" s="12"/>
      <c r="S716" s="12"/>
      <c r="T716" s="12"/>
      <c r="U716" s="12"/>
      <c r="V716" s="12"/>
      <c r="W716" s="12"/>
      <c r="X716" s="12"/>
      <c r="Y716" s="12"/>
      <c r="Z716" s="12"/>
      <c r="AA716" s="12"/>
      <c r="AB716" s="12"/>
      <c r="AC716" s="12"/>
      <c r="AD716" s="12"/>
      <c r="BD716" s="13">
        <v>42502</v>
      </c>
      <c r="BE716" s="13">
        <v>42735</v>
      </c>
      <c r="BF716" s="13">
        <v>42866</v>
      </c>
      <c r="BG716" s="12" t="s">
        <v>817</v>
      </c>
      <c r="BH716" s="14">
        <v>384420.69</v>
      </c>
      <c r="BI716" s="12" t="s">
        <v>11420</v>
      </c>
      <c r="BJ716" s="12" t="s">
        <v>11421</v>
      </c>
      <c r="BK716" s="12" t="s">
        <v>11422</v>
      </c>
      <c r="BL716" s="12" t="s">
        <v>11445</v>
      </c>
      <c r="BM716" s="12" t="s">
        <v>11446</v>
      </c>
      <c r="BN716" s="12" t="s">
        <v>11447</v>
      </c>
      <c r="BO716" s="12" t="s">
        <v>320</v>
      </c>
      <c r="BP716" s="12" t="s">
        <v>319</v>
      </c>
      <c r="BQ716" s="12" t="s">
        <v>319</v>
      </c>
      <c r="BR716" s="12" t="s">
        <v>11543</v>
      </c>
      <c r="BS716" s="12" t="s">
        <v>357</v>
      </c>
      <c r="BT716" s="12" t="s">
        <v>11544</v>
      </c>
      <c r="BU716" s="12" t="s">
        <v>11545</v>
      </c>
      <c r="BV716" s="14">
        <v>36993</v>
      </c>
      <c r="BW716" s="14">
        <v>23047</v>
      </c>
      <c r="BX716" s="14">
        <v>60040</v>
      </c>
      <c r="BY716" s="14">
        <v>78700</v>
      </c>
      <c r="BZ716" s="14">
        <v>45504</v>
      </c>
      <c r="CA716" s="14">
        <v>124204</v>
      </c>
      <c r="CB716" s="12" t="s">
        <v>11546</v>
      </c>
      <c r="CD716" s="14">
        <v>39112</v>
      </c>
      <c r="CE716" s="14">
        <v>28017</v>
      </c>
      <c r="CF716" s="14">
        <v>67129</v>
      </c>
      <c r="CG716" s="14">
        <v>78700</v>
      </c>
      <c r="CH716" s="14">
        <v>45504</v>
      </c>
      <c r="CI716" s="14">
        <v>124204</v>
      </c>
      <c r="CJ716" s="12"/>
      <c r="CK716" s="14"/>
      <c r="CL716" s="16"/>
      <c r="CM716" s="14"/>
      <c r="CN716" s="12"/>
      <c r="CO716" s="14"/>
      <c r="CP716" s="16"/>
      <c r="CQ716" s="14"/>
      <c r="CR716" s="12"/>
      <c r="CS716" s="14"/>
      <c r="CT716" s="16"/>
      <c r="CU716" s="14"/>
      <c r="CV716" s="12" t="s">
        <v>320</v>
      </c>
      <c r="CW716" s="14">
        <v>10694</v>
      </c>
      <c r="CX716" s="16">
        <v>0.65</v>
      </c>
      <c r="CY716" s="14">
        <v>64164</v>
      </c>
      <c r="CZ716" s="12"/>
      <c r="DA716" s="14"/>
      <c r="DB716" s="16"/>
      <c r="DC716" s="14"/>
      <c r="DD716" s="12"/>
      <c r="DE716" s="14"/>
      <c r="DF716" s="16"/>
      <c r="DG716" s="14"/>
      <c r="DH716" s="12"/>
      <c r="DI716" s="14"/>
      <c r="DJ716" s="16"/>
      <c r="DK716" s="14"/>
      <c r="DL716" s="12"/>
      <c r="DM716" s="14"/>
      <c r="DN716" s="16"/>
      <c r="DO716" s="14"/>
      <c r="DP716" s="12"/>
      <c r="DQ716" s="14"/>
      <c r="DR716" s="16"/>
      <c r="DS716" s="14"/>
      <c r="DT716" s="12"/>
      <c r="DU716" s="14"/>
      <c r="DV716" s="16"/>
      <c r="DW716" s="14"/>
      <c r="DX716" s="12"/>
      <c r="DY716" s="14"/>
      <c r="DZ716" s="16"/>
      <c r="EA716" s="14"/>
      <c r="EB716" s="11" t="s">
        <v>320</v>
      </c>
      <c r="EC716" s="14">
        <v>55460</v>
      </c>
      <c r="ED716" s="16">
        <v>0.56999999999999995</v>
      </c>
      <c r="EE716" s="14"/>
      <c r="EF716" s="12"/>
      <c r="EG716" s="12"/>
      <c r="EH716" s="14"/>
      <c r="EI716" s="16"/>
      <c r="EJ716" s="14"/>
      <c r="EK716" s="14"/>
      <c r="EL716" s="14"/>
      <c r="EM716" s="14"/>
      <c r="EN716" s="14"/>
      <c r="EO716" s="14"/>
      <c r="EP716" s="14"/>
      <c r="EQ716" s="12"/>
      <c r="ER716" s="14"/>
      <c r="ES716" s="16"/>
      <c r="ET716" s="14"/>
      <c r="EU716" s="12"/>
      <c r="EV716" s="14"/>
      <c r="EW716" s="16"/>
      <c r="EX716" s="14"/>
      <c r="EY716" s="12"/>
      <c r="EZ716" s="14"/>
      <c r="FA716" s="16"/>
      <c r="FB716" s="14"/>
      <c r="FC716" s="12"/>
      <c r="FD716" s="14"/>
      <c r="FE716" s="16"/>
      <c r="FF716" s="14"/>
      <c r="FG716" s="12"/>
      <c r="FH716" s="14"/>
      <c r="FI716" s="16"/>
      <c r="FJ716" s="14"/>
      <c r="FK716" s="12"/>
      <c r="FL716" s="14"/>
      <c r="FM716" s="16"/>
      <c r="FN716" s="14"/>
      <c r="FO716" s="12"/>
      <c r="FP716" s="14"/>
      <c r="FQ716" s="16"/>
      <c r="FR716" s="14"/>
      <c r="FS716" s="12"/>
      <c r="FT716" s="14"/>
      <c r="FU716" s="16"/>
      <c r="FV716" s="14"/>
      <c r="FW716" s="12"/>
      <c r="FX716" s="14"/>
      <c r="FY716" s="16"/>
      <c r="FZ716" s="14"/>
      <c r="GA716" s="12"/>
      <c r="GB716" s="14"/>
      <c r="GC716" s="16"/>
      <c r="GD716" s="14"/>
      <c r="GE716" s="12"/>
      <c r="GF716" s="14"/>
      <c r="GG716" s="16"/>
      <c r="GH716" s="14"/>
      <c r="GI716" s="12"/>
      <c r="GJ716" s="14"/>
      <c r="GK716" s="16"/>
      <c r="GL716" s="14"/>
      <c r="GM716" s="12"/>
      <c r="GN716" s="14"/>
      <c r="GO716" s="16"/>
      <c r="GP716" s="14"/>
      <c r="GQ716" s="12"/>
      <c r="GR716" s="14"/>
      <c r="GS716" s="16"/>
      <c r="GT716" s="14"/>
      <c r="GU716" s="12"/>
      <c r="GV716" s="14"/>
      <c r="GW716" s="16"/>
      <c r="GX716" s="14"/>
      <c r="GY716" s="12"/>
      <c r="GZ716" s="14"/>
      <c r="HA716" s="16"/>
      <c r="HB716" s="14"/>
      <c r="HC716" s="12"/>
      <c r="HD716" s="12"/>
      <c r="HE716" s="14"/>
      <c r="HF716" s="16"/>
      <c r="HG716" s="14"/>
      <c r="HH716" s="12" t="s">
        <v>319</v>
      </c>
      <c r="HI716" s="12"/>
      <c r="HJ716" s="12"/>
      <c r="HK716" s="12"/>
      <c r="HL716" s="12" t="s">
        <v>319</v>
      </c>
      <c r="HM716" s="12"/>
      <c r="HN716" s="12"/>
      <c r="HO716" s="12"/>
      <c r="HP716" s="12" t="s">
        <v>418</v>
      </c>
      <c r="HQ716" s="12"/>
      <c r="HR716" s="12"/>
      <c r="HS716" s="12"/>
      <c r="HT716" s="12"/>
      <c r="HU716" s="12"/>
      <c r="HV716" s="12"/>
      <c r="HW716" s="12"/>
      <c r="HX716" s="12"/>
      <c r="HY716" s="12"/>
      <c r="HZ716" s="12" t="s">
        <v>363</v>
      </c>
      <c r="IA716" s="12"/>
      <c r="IB716" s="12" t="s">
        <v>333</v>
      </c>
      <c r="IC716" s="12"/>
      <c r="ID716" s="12" t="s">
        <v>364</v>
      </c>
      <c r="IE716" s="12" t="s">
        <v>335</v>
      </c>
      <c r="IF716" s="12" t="s">
        <v>320</v>
      </c>
      <c r="IG716" s="12" t="s">
        <v>320</v>
      </c>
      <c r="IH716" s="12" t="s">
        <v>320</v>
      </c>
      <c r="II716" s="12" t="s">
        <v>320</v>
      </c>
      <c r="IJ716" s="12" t="str">
        <f t="shared" si="474"/>
        <v>2. Sensitive</v>
      </c>
      <c r="IK716" s="12">
        <f t="shared" si="475"/>
        <v>4</v>
      </c>
      <c r="IL716" s="12" t="s">
        <v>336</v>
      </c>
      <c r="IM716" s="12" t="s">
        <v>320</v>
      </c>
      <c r="IN716" s="12" t="s">
        <v>320</v>
      </c>
      <c r="IO716" s="12" t="s">
        <v>320</v>
      </c>
      <c r="IP716" s="12" t="s">
        <v>320</v>
      </c>
      <c r="IQ716" s="12" t="str">
        <f t="shared" si="476"/>
        <v>2. Accommodating</v>
      </c>
      <c r="IR716" s="12">
        <f t="shared" si="477"/>
        <v>4</v>
      </c>
      <c r="IS716" s="12" t="s">
        <v>337</v>
      </c>
      <c r="IT716" s="12" t="s">
        <v>320</v>
      </c>
      <c r="IU716" s="12" t="s">
        <v>320</v>
      </c>
      <c r="IV716" s="12" t="s">
        <v>320</v>
      </c>
      <c r="IW716" s="11" t="str">
        <f t="shared" si="478"/>
        <v>2. Sensitive</v>
      </c>
      <c r="IX716" s="12">
        <f t="shared" si="479"/>
        <v>3</v>
      </c>
      <c r="IY716" s="12" t="s">
        <v>338</v>
      </c>
      <c r="IZ716" s="12" t="s">
        <v>527</v>
      </c>
      <c r="JA716" s="12">
        <v>1</v>
      </c>
      <c r="JB716" s="12" t="s">
        <v>433</v>
      </c>
      <c r="JC716" s="12" t="s">
        <v>687</v>
      </c>
      <c r="JD716" s="12"/>
      <c r="JE716" s="12" t="s">
        <v>420</v>
      </c>
      <c r="JF716" s="12"/>
      <c r="JG716" s="12"/>
      <c r="JH716" s="12"/>
      <c r="JI716" s="12"/>
      <c r="JJ716" s="12"/>
      <c r="JK716" s="12" t="s">
        <v>11547</v>
      </c>
      <c r="JL716" s="12" t="s">
        <v>11548</v>
      </c>
      <c r="JM716" s="12"/>
      <c r="JN716" s="12" t="s">
        <v>11549</v>
      </c>
      <c r="JO716" s="12" t="s">
        <v>11550</v>
      </c>
      <c r="JP716" s="15">
        <f t="shared" si="480"/>
        <v>67129</v>
      </c>
      <c r="JQ716" s="15">
        <f t="shared" si="481"/>
        <v>124204</v>
      </c>
      <c r="JR716" s="279">
        <f t="shared" si="482"/>
        <v>1.850228664213678</v>
      </c>
      <c r="JS716" s="17">
        <f t="shared" si="483"/>
        <v>0.58263939579019497</v>
      </c>
      <c r="JT716" s="18">
        <f t="shared" si="484"/>
        <v>0.63363498760104342</v>
      </c>
      <c r="JU716" s="280">
        <f t="shared" si="485"/>
        <v>39112</v>
      </c>
      <c r="JV716" s="280">
        <f t="shared" si="486"/>
        <v>78700</v>
      </c>
      <c r="JW716" s="319">
        <f t="shared" si="487"/>
        <v>1</v>
      </c>
      <c r="JX716" s="15">
        <f t="shared" si="488"/>
        <v>67129</v>
      </c>
      <c r="JY716" s="15">
        <f t="shared" si="489"/>
        <v>124204</v>
      </c>
      <c r="JZ716" s="19">
        <f t="shared" si="490"/>
        <v>1.850228664213678</v>
      </c>
      <c r="KA716" s="52">
        <f t="shared" si="491"/>
        <v>1</v>
      </c>
      <c r="KB716" s="15">
        <f t="shared" si="492"/>
        <v>10694</v>
      </c>
      <c r="KC716" s="15">
        <f t="shared" si="493"/>
        <v>64164</v>
      </c>
      <c r="KD716" s="20">
        <f t="shared" si="494"/>
        <v>6</v>
      </c>
      <c r="KE716" s="52" t="str">
        <f t="shared" si="495"/>
        <v/>
      </c>
      <c r="KF716" s="15">
        <f t="shared" si="496"/>
        <v>0</v>
      </c>
      <c r="KG716" s="15">
        <f t="shared" si="497"/>
        <v>0</v>
      </c>
      <c r="KH716" s="21" t="str">
        <f t="shared" si="498"/>
        <v/>
      </c>
      <c r="KI716" s="52" t="str">
        <f t="shared" si="499"/>
        <v/>
      </c>
      <c r="KJ716" s="15">
        <f t="shared" si="500"/>
        <v>0</v>
      </c>
      <c r="KK716" s="15">
        <f t="shared" si="501"/>
        <v>0</v>
      </c>
      <c r="KL716" s="19" t="str">
        <f t="shared" si="502"/>
        <v/>
      </c>
      <c r="KM716" s="52" t="str">
        <f t="shared" si="503"/>
        <v/>
      </c>
      <c r="KN716" s="22">
        <f t="shared" si="504"/>
        <v>0</v>
      </c>
      <c r="KO716" s="22">
        <f t="shared" si="505"/>
        <v>0</v>
      </c>
      <c r="KP716" s="19" t="str">
        <f t="shared" si="506"/>
        <v/>
      </c>
      <c r="KQ716" s="11" t="str">
        <f t="shared" si="507"/>
        <v>2. Sensitive</v>
      </c>
      <c r="KR716" s="11" t="str">
        <f t="shared" si="508"/>
        <v>2. Accommodating</v>
      </c>
      <c r="KS716" s="11" t="str">
        <f t="shared" si="509"/>
        <v>2. Sensitive</v>
      </c>
      <c r="KT716" s="11" t="str">
        <f t="shared" si="510"/>
        <v>It did not develop any specific innovation</v>
      </c>
      <c r="KU716" s="11" t="str">
        <f t="shared" si="511"/>
        <v>Little or no advocacy</v>
      </c>
      <c r="KV716" s="11" t="str">
        <f t="shared" si="512"/>
        <v>It did not take tested solutions to scale</v>
      </c>
      <c r="KW716" s="11" t="str">
        <f t="shared" si="513"/>
        <v>Sudan - Emergency WASH and Nutrition response to conflict affected people in Kalma camp and Kass, South Darfur: Building Communities Resilience, Facilitating Durable Solutions and Providing Comprehensive Nutrition Services</v>
      </c>
      <c r="KX716" s="11" t="str">
        <f t="shared" si="514"/>
        <v>Emergency WASH and Nutrition response to conflict affected people in Kalma camp and Kass, South Darfur: Building Communities Resilience, Facilitating Durable Solutions and Providing Comprehensive Nutrition Services</v>
      </c>
      <c r="KY716" s="11" t="str">
        <f t="shared" si="515"/>
        <v>Sudan</v>
      </c>
      <c r="KZ716" s="12">
        <v>716</v>
      </c>
    </row>
    <row r="717" spans="1:312" x14ac:dyDescent="0.3">
      <c r="A717" s="12" t="s">
        <v>11417</v>
      </c>
      <c r="B717" s="12" t="s">
        <v>1874</v>
      </c>
      <c r="C717" s="12"/>
      <c r="D717" s="12" t="s">
        <v>11635</v>
      </c>
      <c r="E717" s="277" t="str">
        <f t="shared" si="473"/>
        <v>Sudan</v>
      </c>
      <c r="F717" s="12" t="s">
        <v>11636</v>
      </c>
      <c r="G717" s="12" t="s">
        <v>608</v>
      </c>
      <c r="H717" s="12" t="s">
        <v>380</v>
      </c>
      <c r="I717" s="12" t="s">
        <v>381</v>
      </c>
      <c r="J717" s="281" t="s">
        <v>11531</v>
      </c>
      <c r="K717" s="12"/>
      <c r="L717" s="12"/>
      <c r="M717" s="12"/>
      <c r="N717" s="12"/>
      <c r="O717" s="12"/>
      <c r="P717" s="12"/>
      <c r="Q717" s="12"/>
      <c r="R717" s="12"/>
      <c r="S717" s="12"/>
      <c r="T717" s="12"/>
      <c r="U717" s="12"/>
      <c r="V717" s="12"/>
      <c r="W717" s="12"/>
      <c r="X717" s="12"/>
      <c r="Y717" s="12"/>
      <c r="Z717" s="12"/>
      <c r="AA717" s="12"/>
      <c r="AB717" s="12"/>
      <c r="AC717" s="12"/>
      <c r="AD717" s="12"/>
      <c r="BD717" s="13">
        <v>42552</v>
      </c>
      <c r="BE717" s="13">
        <v>42916</v>
      </c>
      <c r="BF717" s="13">
        <v>43069</v>
      </c>
      <c r="BG717" s="12" t="s">
        <v>817</v>
      </c>
      <c r="BH717" s="14">
        <v>500374.8</v>
      </c>
      <c r="BI717" s="12" t="s">
        <v>11445</v>
      </c>
      <c r="BJ717" s="12" t="s">
        <v>11446</v>
      </c>
      <c r="BK717" s="12" t="s">
        <v>11447</v>
      </c>
      <c r="BL717" s="12" t="s">
        <v>11532</v>
      </c>
      <c r="BM717" s="12" t="s">
        <v>11533</v>
      </c>
      <c r="BN717" s="12" t="s">
        <v>11534</v>
      </c>
      <c r="BO717" s="12" t="s">
        <v>320</v>
      </c>
      <c r="BP717" s="12" t="s">
        <v>319</v>
      </c>
      <c r="BQ717" s="12" t="s">
        <v>319</v>
      </c>
      <c r="BR717" s="12" t="s">
        <v>11637</v>
      </c>
      <c r="BS717" s="12" t="s">
        <v>357</v>
      </c>
      <c r="BT717" s="12" t="s">
        <v>11638</v>
      </c>
      <c r="BU717" s="12" t="s">
        <v>11639</v>
      </c>
      <c r="BV717" s="14">
        <v>51495</v>
      </c>
      <c r="BW717" s="14">
        <v>32785</v>
      </c>
      <c r="BX717" s="14"/>
      <c r="BY717" s="14"/>
      <c r="BZ717" s="14"/>
      <c r="CA717" s="14"/>
      <c r="CB717" s="12" t="s">
        <v>11640</v>
      </c>
      <c r="CD717" s="14">
        <v>33958</v>
      </c>
      <c r="CE717" s="14">
        <v>28926</v>
      </c>
      <c r="CF717" s="14">
        <v>62884</v>
      </c>
      <c r="CG717" s="14"/>
      <c r="CH717" s="14"/>
      <c r="CI717" s="14"/>
      <c r="CJ717" s="12"/>
      <c r="CK717" s="14"/>
      <c r="CL717" s="16"/>
      <c r="CM717" s="14"/>
      <c r="CN717" s="12"/>
      <c r="CO717" s="14"/>
      <c r="CP717" s="16"/>
      <c r="CQ717" s="14"/>
      <c r="CR717" s="12"/>
      <c r="CS717" s="14"/>
      <c r="CT717" s="16"/>
      <c r="CU717" s="14"/>
      <c r="CV717" s="12"/>
      <c r="CW717" s="14"/>
      <c r="CX717" s="16"/>
      <c r="CY717" s="14"/>
      <c r="CZ717" s="12"/>
      <c r="DA717" s="14"/>
      <c r="DB717" s="16"/>
      <c r="DC717" s="14"/>
      <c r="DD717" s="12"/>
      <c r="DE717" s="14"/>
      <c r="DF717" s="16"/>
      <c r="DG717" s="14"/>
      <c r="DH717" s="12" t="s">
        <v>320</v>
      </c>
      <c r="DI717" s="14">
        <v>62884</v>
      </c>
      <c r="DJ717" s="16">
        <v>0.54</v>
      </c>
      <c r="DK717" s="14"/>
      <c r="DL717" s="12"/>
      <c r="DM717" s="14"/>
      <c r="DN717" s="16"/>
      <c r="DO717" s="14"/>
      <c r="DP717" s="12"/>
      <c r="DQ717" s="14"/>
      <c r="DR717" s="16"/>
      <c r="DS717" s="14"/>
      <c r="DT717" s="12" t="s">
        <v>320</v>
      </c>
      <c r="DU717" s="14">
        <v>6425</v>
      </c>
      <c r="DV717" s="16">
        <v>1</v>
      </c>
      <c r="DW717" s="14"/>
      <c r="DX717" s="12"/>
      <c r="DY717" s="14"/>
      <c r="DZ717" s="16"/>
      <c r="EA717" s="14"/>
      <c r="EB717" s="12"/>
      <c r="EC717" s="14"/>
      <c r="ED717" s="16"/>
      <c r="EE717" s="14"/>
      <c r="EF717" s="12"/>
      <c r="EG717" s="12"/>
      <c r="EH717" s="14"/>
      <c r="EI717" s="16"/>
      <c r="EJ717" s="14"/>
      <c r="EK717" s="14"/>
      <c r="EL717" s="14"/>
      <c r="EM717" s="14"/>
      <c r="EN717" s="14"/>
      <c r="EO717" s="14"/>
      <c r="EP717" s="14"/>
      <c r="EQ717" s="12"/>
      <c r="ER717" s="14"/>
      <c r="ES717" s="16"/>
      <c r="ET717" s="14"/>
      <c r="EU717" s="12"/>
      <c r="EV717" s="14"/>
      <c r="EW717" s="16"/>
      <c r="EX717" s="14"/>
      <c r="EY717" s="12"/>
      <c r="EZ717" s="14"/>
      <c r="FA717" s="16"/>
      <c r="FB717" s="14"/>
      <c r="FC717" s="12"/>
      <c r="FD717" s="14"/>
      <c r="FE717" s="16"/>
      <c r="FF717" s="14"/>
      <c r="FG717" s="12"/>
      <c r="FH717" s="14"/>
      <c r="FI717" s="16"/>
      <c r="FJ717" s="14"/>
      <c r="FK717" s="12"/>
      <c r="FL717" s="14"/>
      <c r="FM717" s="16"/>
      <c r="FN717" s="14"/>
      <c r="FO717" s="12"/>
      <c r="FP717" s="14"/>
      <c r="FQ717" s="16"/>
      <c r="FR717" s="14"/>
      <c r="FS717" s="12"/>
      <c r="FT717" s="14"/>
      <c r="FU717" s="16"/>
      <c r="FV717" s="14"/>
      <c r="FW717" s="12"/>
      <c r="FX717" s="14"/>
      <c r="FY717" s="16"/>
      <c r="FZ717" s="14"/>
      <c r="GA717" s="12"/>
      <c r="GB717" s="14"/>
      <c r="GC717" s="16"/>
      <c r="GD717" s="14"/>
      <c r="GE717" s="12"/>
      <c r="GF717" s="14"/>
      <c r="GG717" s="16"/>
      <c r="GH717" s="14"/>
      <c r="GI717" s="12"/>
      <c r="GJ717" s="14"/>
      <c r="GK717" s="16"/>
      <c r="GL717" s="14"/>
      <c r="GM717" s="12"/>
      <c r="GN717" s="14"/>
      <c r="GO717" s="16"/>
      <c r="GP717" s="14"/>
      <c r="GQ717" s="12"/>
      <c r="GR717" s="14"/>
      <c r="GS717" s="16"/>
      <c r="GT717" s="14"/>
      <c r="GU717" s="12"/>
      <c r="GV717" s="14"/>
      <c r="GW717" s="16"/>
      <c r="GX717" s="14"/>
      <c r="GY717" s="12"/>
      <c r="GZ717" s="14"/>
      <c r="HA717" s="16"/>
      <c r="HB717" s="14"/>
      <c r="HC717" s="12"/>
      <c r="HD717" s="12"/>
      <c r="HE717" s="14"/>
      <c r="HF717" s="16"/>
      <c r="HG717" s="14"/>
      <c r="HH717" s="12" t="s">
        <v>319</v>
      </c>
      <c r="HI717" s="12"/>
      <c r="HJ717" s="12"/>
      <c r="HK717" s="12"/>
      <c r="HL717" s="12" t="s">
        <v>319</v>
      </c>
      <c r="HM717" s="12"/>
      <c r="HN717" s="12"/>
      <c r="HO717" s="12"/>
      <c r="HP717" s="12" t="s">
        <v>418</v>
      </c>
      <c r="HQ717" s="12"/>
      <c r="HR717" s="12"/>
      <c r="HS717" s="12"/>
      <c r="HT717" s="12"/>
      <c r="HU717" s="12"/>
      <c r="HV717" s="12"/>
      <c r="HW717" s="12"/>
      <c r="HX717" s="12"/>
      <c r="HY717" s="12"/>
      <c r="HZ717" s="12" t="s">
        <v>363</v>
      </c>
      <c r="IA717" s="12"/>
      <c r="IB717" s="12" t="s">
        <v>333</v>
      </c>
      <c r="IC717" s="12"/>
      <c r="ID717" s="12" t="s">
        <v>334</v>
      </c>
      <c r="IE717" s="12" t="s">
        <v>335</v>
      </c>
      <c r="IF717" s="12" t="s">
        <v>320</v>
      </c>
      <c r="IG717" s="12" t="s">
        <v>320</v>
      </c>
      <c r="IH717" s="12" t="s">
        <v>320</v>
      </c>
      <c r="II717" s="12" t="s">
        <v>320</v>
      </c>
      <c r="IJ717" s="12" t="str">
        <f t="shared" si="474"/>
        <v>2. Sensitive</v>
      </c>
      <c r="IK717" s="12">
        <f t="shared" si="475"/>
        <v>4</v>
      </c>
      <c r="IL717" s="12" t="s">
        <v>336</v>
      </c>
      <c r="IM717" s="12" t="s">
        <v>320</v>
      </c>
      <c r="IN717" s="12" t="s">
        <v>319</v>
      </c>
      <c r="IO717" s="12" t="s">
        <v>320</v>
      </c>
      <c r="IP717" s="12" t="s">
        <v>320</v>
      </c>
      <c r="IQ717" s="12" t="str">
        <f t="shared" si="476"/>
        <v>2. Accommodating</v>
      </c>
      <c r="IR717" s="12">
        <f t="shared" si="477"/>
        <v>3</v>
      </c>
      <c r="IS717" s="12" t="s">
        <v>337</v>
      </c>
      <c r="IT717" s="12" t="s">
        <v>320</v>
      </c>
      <c r="IU717" s="12" t="s">
        <v>320</v>
      </c>
      <c r="IV717" s="12" t="s">
        <v>320</v>
      </c>
      <c r="IW717" s="11" t="str">
        <f t="shared" si="478"/>
        <v>2. Sensitive</v>
      </c>
      <c r="IX717" s="12">
        <f t="shared" si="479"/>
        <v>3</v>
      </c>
      <c r="IY717" s="12" t="s">
        <v>338</v>
      </c>
      <c r="IZ717" s="12" t="s">
        <v>457</v>
      </c>
      <c r="JA717" s="12">
        <v>4</v>
      </c>
      <c r="JB717" s="12" t="s">
        <v>651</v>
      </c>
      <c r="JC717" s="12" t="s">
        <v>687</v>
      </c>
      <c r="JD717" s="12" t="s">
        <v>433</v>
      </c>
      <c r="JE717" s="12" t="s">
        <v>365</v>
      </c>
      <c r="JF717" s="12" t="s">
        <v>11641</v>
      </c>
      <c r="JG717" s="12" t="s">
        <v>11642</v>
      </c>
      <c r="JH717" s="12" t="s">
        <v>11643</v>
      </c>
      <c r="JI717" s="12" t="s">
        <v>11644</v>
      </c>
      <c r="JJ717" s="12"/>
      <c r="JK717" s="12" t="s">
        <v>11645</v>
      </c>
      <c r="JL717" s="12" t="s">
        <v>11646</v>
      </c>
      <c r="JM717" s="12"/>
      <c r="JN717" s="12"/>
      <c r="JO717" s="12" t="s">
        <v>11647</v>
      </c>
      <c r="JP717" s="15">
        <f t="shared" si="480"/>
        <v>62884</v>
      </c>
      <c r="JQ717" s="15">
        <f t="shared" si="481"/>
        <v>0</v>
      </c>
      <c r="JR717" s="279">
        <f t="shared" si="482"/>
        <v>0</v>
      </c>
      <c r="JS717" s="17">
        <f t="shared" si="483"/>
        <v>0.54001017746962665</v>
      </c>
      <c r="JT717" s="18" t="str">
        <f t="shared" si="484"/>
        <v/>
      </c>
      <c r="JU717" s="280">
        <f t="shared" si="485"/>
        <v>33958</v>
      </c>
      <c r="JV717" s="280">
        <f t="shared" si="486"/>
        <v>0</v>
      </c>
      <c r="JW717" s="319">
        <f t="shared" si="487"/>
        <v>1</v>
      </c>
      <c r="JX717" s="15">
        <f t="shared" si="488"/>
        <v>62884</v>
      </c>
      <c r="JY717" s="15">
        <f t="shared" si="489"/>
        <v>0</v>
      </c>
      <c r="JZ717" s="19">
        <f t="shared" si="490"/>
        <v>0</v>
      </c>
      <c r="KA717" s="52" t="str">
        <f t="shared" si="491"/>
        <v/>
      </c>
      <c r="KB717" s="15">
        <f t="shared" si="492"/>
        <v>0</v>
      </c>
      <c r="KC717" s="15">
        <f t="shared" si="493"/>
        <v>0</v>
      </c>
      <c r="KD717" s="20" t="str">
        <f t="shared" si="494"/>
        <v/>
      </c>
      <c r="KE717" s="52">
        <f t="shared" si="495"/>
        <v>1</v>
      </c>
      <c r="KF717" s="15">
        <f t="shared" si="496"/>
        <v>6425</v>
      </c>
      <c r="KG717" s="15">
        <f t="shared" si="497"/>
        <v>0</v>
      </c>
      <c r="KH717" s="21">
        <f t="shared" si="498"/>
        <v>0</v>
      </c>
      <c r="KI717" s="52" t="str">
        <f t="shared" si="499"/>
        <v/>
      </c>
      <c r="KJ717" s="15">
        <f t="shared" si="500"/>
        <v>0</v>
      </c>
      <c r="KK717" s="15">
        <f t="shared" si="501"/>
        <v>0</v>
      </c>
      <c r="KL717" s="19" t="str">
        <f t="shared" si="502"/>
        <v/>
      </c>
      <c r="KM717" s="52" t="str">
        <f t="shared" si="503"/>
        <v/>
      </c>
      <c r="KN717" s="22">
        <f t="shared" si="504"/>
        <v>0</v>
      </c>
      <c r="KO717" s="22">
        <f t="shared" si="505"/>
        <v>0</v>
      </c>
      <c r="KP717" s="19" t="str">
        <f t="shared" si="506"/>
        <v/>
      </c>
      <c r="KQ717" s="11" t="str">
        <f t="shared" si="507"/>
        <v>2. Sensitive</v>
      </c>
      <c r="KR717" s="11" t="str">
        <f t="shared" si="508"/>
        <v>2. Accommodating</v>
      </c>
      <c r="KS717" s="11" t="str">
        <f t="shared" si="509"/>
        <v>2. Sensitive</v>
      </c>
      <c r="KT717" s="11" t="str">
        <f t="shared" si="510"/>
        <v>It did not develop any specific innovation</v>
      </c>
      <c r="KU717" s="11" t="str">
        <f t="shared" si="511"/>
        <v>Little or no advocacy</v>
      </c>
      <c r="KV717" s="11" t="str">
        <f t="shared" si="512"/>
        <v>It did not take tested solutions to scale</v>
      </c>
      <c r="KW717" s="11" t="str">
        <f t="shared" si="513"/>
        <v>Sudan - Enhancing the Social Wellbeing of IDPS, Refugees and Host Populations in South Kordofan through a comprehensive Multisector social Services package-Pilot Consortium</v>
      </c>
      <c r="KX717" s="11" t="str">
        <f t="shared" si="514"/>
        <v>Enhancing the Social Wellbeing of IDPS, Refugees and Host Populations in South Kordofan through a comprehensive Multisector social Services package-Pilot Consortium</v>
      </c>
      <c r="KY717" s="11" t="str">
        <f t="shared" si="515"/>
        <v>Sudan</v>
      </c>
      <c r="KZ717" s="12">
        <v>717</v>
      </c>
    </row>
    <row r="718" spans="1:312" x14ac:dyDescent="0.3">
      <c r="A718" s="12" t="s">
        <v>11417</v>
      </c>
      <c r="B718" s="12" t="s">
        <v>1874</v>
      </c>
      <c r="C718" s="12">
        <v>3380</v>
      </c>
      <c r="D718" s="12" t="s">
        <v>441</v>
      </c>
      <c r="E718" s="277" t="str">
        <f t="shared" si="473"/>
        <v>Sudan</v>
      </c>
      <c r="F718" s="12" t="s">
        <v>9448</v>
      </c>
      <c r="G718" s="12" t="s">
        <v>425</v>
      </c>
      <c r="H718" s="12" t="s">
        <v>310</v>
      </c>
      <c r="I718" s="12" t="s">
        <v>426</v>
      </c>
      <c r="J718" s="278" t="s">
        <v>14563</v>
      </c>
      <c r="K718" s="12"/>
      <c r="L718" s="12"/>
      <c r="M718" s="12"/>
      <c r="N718" s="12"/>
      <c r="O718" s="12"/>
      <c r="P718" s="12"/>
      <c r="Q718" s="12"/>
      <c r="R718" s="12"/>
      <c r="S718" s="12"/>
      <c r="T718" s="12"/>
      <c r="U718" s="12"/>
      <c r="V718" s="12"/>
      <c r="W718" s="12"/>
      <c r="X718" s="12"/>
      <c r="Y718" s="12"/>
      <c r="Z718" s="12"/>
      <c r="AA718" s="12"/>
      <c r="AB718" s="12"/>
      <c r="AC718" s="12"/>
      <c r="AD718" s="12"/>
      <c r="BD718" s="13">
        <v>42370</v>
      </c>
      <c r="BE718" s="13">
        <v>44196</v>
      </c>
      <c r="BF718" s="12"/>
      <c r="BG718" s="12" t="s">
        <v>312</v>
      </c>
      <c r="BH718" s="14">
        <v>2378770</v>
      </c>
      <c r="BI718" s="12" t="s">
        <v>11431</v>
      </c>
      <c r="BJ718" s="12" t="s">
        <v>8849</v>
      </c>
      <c r="BK718" s="12" t="s">
        <v>11432</v>
      </c>
      <c r="BL718" s="12" t="s">
        <v>11433</v>
      </c>
      <c r="BM718" s="12" t="s">
        <v>11434</v>
      </c>
      <c r="BN718" s="12" t="s">
        <v>11435</v>
      </c>
      <c r="BO718" s="12" t="s">
        <v>319</v>
      </c>
      <c r="BP718" s="12" t="s">
        <v>320</v>
      </c>
      <c r="BQ718" s="12" t="s">
        <v>319</v>
      </c>
      <c r="BR718" s="12" t="s">
        <v>11436</v>
      </c>
      <c r="BS718" s="12" t="s">
        <v>357</v>
      </c>
      <c r="BT718" s="12" t="s">
        <v>11437</v>
      </c>
      <c r="BU718" s="12" t="s">
        <v>11438</v>
      </c>
      <c r="BV718" s="14">
        <v>6000</v>
      </c>
      <c r="BW718" s="14">
        <v>3000</v>
      </c>
      <c r="BX718" s="14">
        <v>9000</v>
      </c>
      <c r="BY718" s="14">
        <v>30000</v>
      </c>
      <c r="BZ718" s="14">
        <v>18000</v>
      </c>
      <c r="CA718" s="14">
        <v>48000</v>
      </c>
      <c r="CB718" s="12" t="s">
        <v>11439</v>
      </c>
      <c r="CD718" s="14"/>
      <c r="CE718" s="14"/>
      <c r="CF718" s="14"/>
      <c r="CG718" s="14"/>
      <c r="CH718" s="14"/>
      <c r="CI718" s="14"/>
      <c r="CJ718" s="12"/>
      <c r="CK718" s="14"/>
      <c r="CL718" s="16"/>
      <c r="CM718" s="14"/>
      <c r="CN718" s="12"/>
      <c r="CO718" s="14"/>
      <c r="CP718" s="16"/>
      <c r="CQ718" s="14"/>
      <c r="CR718" s="12"/>
      <c r="CS718" s="14"/>
      <c r="CT718" s="16"/>
      <c r="CU718" s="14"/>
      <c r="CV718" s="12"/>
      <c r="CW718" s="14"/>
      <c r="CX718" s="16"/>
      <c r="CY718" s="14"/>
      <c r="CZ718" s="12"/>
      <c r="DA718" s="14"/>
      <c r="DB718" s="16"/>
      <c r="DC718" s="14"/>
      <c r="DD718" s="12"/>
      <c r="DE718" s="14"/>
      <c r="DF718" s="16"/>
      <c r="DG718" s="14"/>
      <c r="DH718" s="12"/>
      <c r="DI718" s="14"/>
      <c r="DJ718" s="16"/>
      <c r="DK718" s="14"/>
      <c r="DL718" s="12"/>
      <c r="DM718" s="14"/>
      <c r="DN718" s="16"/>
      <c r="DO718" s="14"/>
      <c r="DP718" s="12"/>
      <c r="DQ718" s="14"/>
      <c r="DR718" s="16"/>
      <c r="DS718" s="14"/>
      <c r="DT718" s="12"/>
      <c r="DU718" s="14"/>
      <c r="DV718" s="16"/>
      <c r="DW718" s="14"/>
      <c r="DX718" s="12"/>
      <c r="DY718" s="14"/>
      <c r="DZ718" s="16"/>
      <c r="EA718" s="14"/>
      <c r="EB718" s="12"/>
      <c r="EC718" s="14"/>
      <c r="ED718" s="16"/>
      <c r="EE718" s="14"/>
      <c r="EF718" s="12"/>
      <c r="EG718" s="12"/>
      <c r="EH718" s="14"/>
      <c r="EI718" s="16"/>
      <c r="EJ718" s="14"/>
      <c r="EK718" s="14">
        <v>492</v>
      </c>
      <c r="EL718" s="14">
        <v>923</v>
      </c>
      <c r="EM718" s="14">
        <v>1415</v>
      </c>
      <c r="EN718" s="14">
        <v>27911</v>
      </c>
      <c r="EO718" s="14">
        <v>29883</v>
      </c>
      <c r="EP718" s="14">
        <v>57794</v>
      </c>
      <c r="EQ718" s="12"/>
      <c r="ER718" s="14"/>
      <c r="ES718" s="16"/>
      <c r="ET718" s="14"/>
      <c r="EU718" s="12"/>
      <c r="EV718" s="14"/>
      <c r="EW718" s="16"/>
      <c r="EX718" s="14"/>
      <c r="EY718" s="12"/>
      <c r="EZ718" s="14"/>
      <c r="FA718" s="16"/>
      <c r="FB718" s="14"/>
      <c r="FC718" s="12"/>
      <c r="FD718" s="14"/>
      <c r="FE718" s="16"/>
      <c r="FF718" s="14"/>
      <c r="FG718" s="12" t="s">
        <v>320</v>
      </c>
      <c r="FH718" s="14"/>
      <c r="FI718" s="16"/>
      <c r="FJ718" s="14"/>
      <c r="FK718" s="12"/>
      <c r="FL718" s="14"/>
      <c r="FM718" s="16"/>
      <c r="FN718" s="14"/>
      <c r="FO718" s="12" t="s">
        <v>320</v>
      </c>
      <c r="FP718" s="14"/>
      <c r="FQ718" s="16"/>
      <c r="FR718" s="14"/>
      <c r="FS718" s="12"/>
      <c r="FT718" s="14"/>
      <c r="FU718" s="16"/>
      <c r="FV718" s="14"/>
      <c r="FW718" s="12"/>
      <c r="FX718" s="14"/>
      <c r="FY718" s="16"/>
      <c r="FZ718" s="14"/>
      <c r="GA718" s="12"/>
      <c r="GB718" s="14"/>
      <c r="GC718" s="16"/>
      <c r="GD718" s="14"/>
      <c r="GE718" s="12"/>
      <c r="GF718" s="14"/>
      <c r="GG718" s="16"/>
      <c r="GH718" s="14"/>
      <c r="GI718" s="12"/>
      <c r="GJ718" s="14"/>
      <c r="GK718" s="16"/>
      <c r="GL718" s="14"/>
      <c r="GM718" s="11" t="s">
        <v>320</v>
      </c>
      <c r="GN718" s="14">
        <v>1415</v>
      </c>
      <c r="GO718" s="16">
        <v>0.36</v>
      </c>
      <c r="GP718" s="14"/>
      <c r="GQ718" s="12"/>
      <c r="GR718" s="14"/>
      <c r="GS718" s="16"/>
      <c r="GT718" s="14"/>
      <c r="GU718" s="12" t="s">
        <v>320</v>
      </c>
      <c r="GV718" s="14"/>
      <c r="GW718" s="16"/>
      <c r="GX718" s="14"/>
      <c r="GY718" s="12" t="s">
        <v>320</v>
      </c>
      <c r="GZ718" s="14"/>
      <c r="HA718" s="16"/>
      <c r="HB718" s="14"/>
      <c r="HC718" s="12"/>
      <c r="HD718" s="12"/>
      <c r="HE718" s="14"/>
      <c r="HF718" s="16"/>
      <c r="HG718" s="14"/>
      <c r="HH718" s="12" t="s">
        <v>319</v>
      </c>
      <c r="HI718" s="12"/>
      <c r="HJ718" s="12"/>
      <c r="HK718" s="12"/>
      <c r="HL718" s="12" t="s">
        <v>319</v>
      </c>
      <c r="HM718" s="12"/>
      <c r="HN718" s="12"/>
      <c r="HO718" s="12"/>
      <c r="HP718" s="12" t="s">
        <v>330</v>
      </c>
      <c r="HQ718" s="12"/>
      <c r="HR718" s="12" t="s">
        <v>320</v>
      </c>
      <c r="HS718" s="12" t="s">
        <v>320</v>
      </c>
      <c r="HT718" s="12"/>
      <c r="HU718" s="12" t="s">
        <v>320</v>
      </c>
      <c r="HV718" s="12"/>
      <c r="HW718" s="12"/>
      <c r="HX718" s="12"/>
      <c r="HY718" s="12"/>
      <c r="HZ718" s="12" t="s">
        <v>363</v>
      </c>
      <c r="IA718" s="12"/>
      <c r="IB718" s="12" t="s">
        <v>333</v>
      </c>
      <c r="IC718" s="12"/>
      <c r="ID718" s="12" t="s">
        <v>364</v>
      </c>
      <c r="IE718" s="12" t="s">
        <v>478</v>
      </c>
      <c r="IF718" s="12" t="s">
        <v>320</v>
      </c>
      <c r="IG718" s="12" t="s">
        <v>320</v>
      </c>
      <c r="IH718" s="12" t="s">
        <v>320</v>
      </c>
      <c r="II718" s="12" t="s">
        <v>319</v>
      </c>
      <c r="IJ718" s="12" t="str">
        <f t="shared" si="474"/>
        <v>3. Responsive</v>
      </c>
      <c r="IK718" s="12">
        <f t="shared" si="475"/>
        <v>3</v>
      </c>
      <c r="IL718" s="11" t="s">
        <v>621</v>
      </c>
      <c r="IM718" s="12" t="s">
        <v>320</v>
      </c>
      <c r="IN718" s="12" t="s">
        <v>320</v>
      </c>
      <c r="IO718" s="12" t="s">
        <v>320</v>
      </c>
      <c r="IP718" s="12" t="s">
        <v>319</v>
      </c>
      <c r="IQ718" s="12" t="str">
        <f t="shared" si="476"/>
        <v>3. Responsive</v>
      </c>
      <c r="IR718" s="12">
        <f t="shared" si="477"/>
        <v>3</v>
      </c>
      <c r="IS718" s="12" t="s">
        <v>337</v>
      </c>
      <c r="IT718" s="12" t="s">
        <v>320</v>
      </c>
      <c r="IU718" s="12" t="s">
        <v>319</v>
      </c>
      <c r="IV718" s="12" t="s">
        <v>320</v>
      </c>
      <c r="IW718" s="11" t="str">
        <f t="shared" si="478"/>
        <v>1. Neutral</v>
      </c>
      <c r="IX718" s="12">
        <f t="shared" si="479"/>
        <v>2</v>
      </c>
      <c r="IY718" s="12" t="s">
        <v>338</v>
      </c>
      <c r="IZ718" s="12" t="s">
        <v>527</v>
      </c>
      <c r="JA718" s="12">
        <v>3</v>
      </c>
      <c r="JB718" s="12" t="s">
        <v>433</v>
      </c>
      <c r="JC718" s="12" t="s">
        <v>687</v>
      </c>
      <c r="JD718" s="12"/>
      <c r="JE718" s="12" t="s">
        <v>340</v>
      </c>
      <c r="JF718" s="12" t="s">
        <v>11440</v>
      </c>
      <c r="JG718" s="12"/>
      <c r="JH718" s="12"/>
      <c r="JI718" s="12"/>
      <c r="JJ718" s="12"/>
      <c r="JK718" s="12"/>
      <c r="JL718" s="12"/>
      <c r="JM718" s="12"/>
      <c r="JN718" s="12" t="s">
        <v>11441</v>
      </c>
      <c r="JO718" s="12" t="s">
        <v>11442</v>
      </c>
      <c r="JP718" s="15">
        <f t="shared" si="480"/>
        <v>1415</v>
      </c>
      <c r="JQ718" s="15">
        <f t="shared" si="481"/>
        <v>57794</v>
      </c>
      <c r="JR718" s="279">
        <f t="shared" si="482"/>
        <v>40.843816254416964</v>
      </c>
      <c r="JS718" s="17">
        <f t="shared" si="483"/>
        <v>0.34770318021201413</v>
      </c>
      <c r="JT718" s="18">
        <f t="shared" si="484"/>
        <v>0.48293940547461672</v>
      </c>
      <c r="JU718" s="280">
        <f t="shared" si="485"/>
        <v>492</v>
      </c>
      <c r="JV718" s="280">
        <f t="shared" si="486"/>
        <v>27911</v>
      </c>
      <c r="JW718" s="319" t="str">
        <f t="shared" si="487"/>
        <v/>
      </c>
      <c r="JX718" s="15">
        <f t="shared" si="488"/>
        <v>0</v>
      </c>
      <c r="JY718" s="15">
        <f t="shared" si="489"/>
        <v>0</v>
      </c>
      <c r="JZ718" s="19" t="str">
        <f t="shared" si="490"/>
        <v/>
      </c>
      <c r="KA718" s="52">
        <f t="shared" si="491"/>
        <v>1</v>
      </c>
      <c r="KB718" s="15">
        <f t="shared" si="492"/>
        <v>0</v>
      </c>
      <c r="KC718" s="15">
        <f t="shared" si="493"/>
        <v>0</v>
      </c>
      <c r="KD718" s="20" t="str">
        <f t="shared" si="494"/>
        <v/>
      </c>
      <c r="KE718" s="52" t="str">
        <f t="shared" si="495"/>
        <v/>
      </c>
      <c r="KF718" s="15">
        <f t="shared" si="496"/>
        <v>0</v>
      </c>
      <c r="KG718" s="15">
        <f t="shared" si="497"/>
        <v>0</v>
      </c>
      <c r="KH718" s="21" t="str">
        <f t="shared" si="498"/>
        <v/>
      </c>
      <c r="KI718" s="52" t="str">
        <f t="shared" si="499"/>
        <v/>
      </c>
      <c r="KJ718" s="15">
        <f t="shared" si="500"/>
        <v>0</v>
      </c>
      <c r="KK718" s="15">
        <f t="shared" si="501"/>
        <v>0</v>
      </c>
      <c r="KL718" s="19" t="str">
        <f t="shared" si="502"/>
        <v/>
      </c>
      <c r="KM718" s="52">
        <f t="shared" si="503"/>
        <v>1</v>
      </c>
      <c r="KN718" s="22">
        <f t="shared" si="504"/>
        <v>0</v>
      </c>
      <c r="KO718" s="22">
        <f t="shared" si="505"/>
        <v>0</v>
      </c>
      <c r="KP718" s="19" t="str">
        <f t="shared" si="506"/>
        <v/>
      </c>
      <c r="KQ718" s="11" t="str">
        <f t="shared" si="507"/>
        <v>3. Responsive</v>
      </c>
      <c r="KR718" s="11" t="str">
        <f t="shared" si="508"/>
        <v>3. Responsive</v>
      </c>
      <c r="KS718" s="11" t="str">
        <f t="shared" si="509"/>
        <v>1. Neutral</v>
      </c>
      <c r="KT718" s="11" t="str">
        <f t="shared" si="510"/>
        <v>It did not develop any specific innovation</v>
      </c>
      <c r="KU718" s="11" t="str">
        <f t="shared" si="511"/>
        <v>Moderate advocacy</v>
      </c>
      <c r="KV718" s="11" t="str">
        <f t="shared" si="512"/>
        <v>It did not take tested solutions to scale</v>
      </c>
      <c r="KW718" s="11" t="str">
        <f t="shared" si="513"/>
        <v>Sudan - Every Voice Counts (EVC)</v>
      </c>
      <c r="KX718" s="11" t="str">
        <f t="shared" si="514"/>
        <v>Every Voice Counts (EVC)</v>
      </c>
      <c r="KY718" s="11" t="str">
        <f t="shared" si="515"/>
        <v>Sudan</v>
      </c>
      <c r="KZ718" s="12">
        <v>718</v>
      </c>
    </row>
    <row r="719" spans="1:312" x14ac:dyDescent="0.3">
      <c r="A719" s="282" t="s">
        <v>11417</v>
      </c>
      <c r="B719" s="282" t="s">
        <v>1874</v>
      </c>
      <c r="C719" s="282"/>
      <c r="D719" s="282" t="s">
        <v>11551</v>
      </c>
      <c r="E719" s="277" t="str">
        <f t="shared" si="473"/>
        <v>Sudan</v>
      </c>
      <c r="F719" s="282" t="s">
        <v>11552</v>
      </c>
      <c r="G719" s="282" t="s">
        <v>608</v>
      </c>
      <c r="H719" s="282" t="s">
        <v>380</v>
      </c>
      <c r="I719" s="282" t="s">
        <v>381</v>
      </c>
      <c r="J719" s="281" t="s">
        <v>7763</v>
      </c>
      <c r="K719" s="282"/>
      <c r="L719" s="282"/>
      <c r="M719" s="282"/>
      <c r="N719" s="282"/>
      <c r="O719" s="282"/>
      <c r="P719" s="282"/>
      <c r="Q719" s="282"/>
      <c r="R719" s="282"/>
      <c r="S719" s="282"/>
      <c r="T719" s="282"/>
      <c r="U719" s="282"/>
      <c r="V719" s="282"/>
      <c r="W719" s="282"/>
      <c r="X719" s="282"/>
      <c r="Y719" s="282"/>
      <c r="Z719" s="282"/>
      <c r="AA719" s="282"/>
      <c r="AB719" s="282"/>
      <c r="AC719" s="282"/>
      <c r="AD719" s="282"/>
      <c r="AE719" s="282"/>
      <c r="AF719" s="282"/>
      <c r="AG719" s="282"/>
      <c r="AH719" s="282"/>
      <c r="AI719" s="282"/>
      <c r="AJ719" s="282"/>
      <c r="AK719" s="282"/>
      <c r="AL719" s="282"/>
      <c r="AM719" s="282"/>
      <c r="AN719" s="282"/>
      <c r="AO719" s="282"/>
      <c r="AP719" s="282"/>
      <c r="AQ719" s="282"/>
      <c r="AR719" s="282"/>
      <c r="AS719" s="282"/>
      <c r="AT719" s="282"/>
      <c r="AU719" s="282"/>
      <c r="AV719" s="282"/>
      <c r="AW719" s="282"/>
      <c r="AX719" s="282"/>
      <c r="AY719" s="282"/>
      <c r="AZ719" s="282"/>
      <c r="BA719" s="282"/>
      <c r="BB719" s="282"/>
      <c r="BC719" s="282"/>
      <c r="BD719" s="283">
        <v>42736</v>
      </c>
      <c r="BE719" s="283">
        <v>43100</v>
      </c>
      <c r="BF719" s="283"/>
      <c r="BG719" s="283" t="s">
        <v>908</v>
      </c>
      <c r="BH719" s="284">
        <v>50048</v>
      </c>
      <c r="BI719" s="282" t="s">
        <v>11496</v>
      </c>
      <c r="BJ719" s="282" t="s">
        <v>11553</v>
      </c>
      <c r="BK719" s="282" t="s">
        <v>11554</v>
      </c>
      <c r="BL719" s="282" t="s">
        <v>11433</v>
      </c>
      <c r="BM719" s="282" t="s">
        <v>11434</v>
      </c>
      <c r="BN719" s="282" t="s">
        <v>11435</v>
      </c>
      <c r="BO719" s="282" t="s">
        <v>320</v>
      </c>
      <c r="BP719" s="282" t="s">
        <v>319</v>
      </c>
      <c r="BQ719" s="282" t="s">
        <v>319</v>
      </c>
      <c r="BR719" s="282" t="s">
        <v>11555</v>
      </c>
      <c r="BS719" s="282" t="s">
        <v>357</v>
      </c>
      <c r="BT719" s="282" t="s">
        <v>11556</v>
      </c>
      <c r="BU719" s="282" t="s">
        <v>11557</v>
      </c>
      <c r="BV719" s="284"/>
      <c r="BW719" s="284"/>
      <c r="BX719" s="284"/>
      <c r="BY719" s="284"/>
      <c r="BZ719" s="284"/>
      <c r="CA719" s="284"/>
      <c r="CB719" s="285"/>
      <c r="CC719" s="285"/>
      <c r="CD719" s="284"/>
      <c r="CE719" s="284"/>
      <c r="CF719" s="284"/>
      <c r="CG719" s="284"/>
      <c r="CH719" s="284"/>
      <c r="CI719" s="284"/>
      <c r="CJ719" s="282"/>
      <c r="CK719" s="284"/>
      <c r="CL719" s="286"/>
      <c r="CM719" s="284"/>
      <c r="CN719" s="287"/>
      <c r="CO719" s="284"/>
      <c r="CP719" s="286"/>
      <c r="CQ719" s="284"/>
      <c r="CR719" s="282"/>
      <c r="CS719" s="284"/>
      <c r="CT719" s="286"/>
      <c r="CU719" s="284"/>
      <c r="CV719" s="289" t="s">
        <v>320</v>
      </c>
      <c r="CW719" s="300"/>
      <c r="CX719" s="308"/>
      <c r="CY719" s="300"/>
      <c r="CZ719" s="282"/>
      <c r="DA719" s="284"/>
      <c r="DB719" s="286"/>
      <c r="DC719" s="284"/>
      <c r="DD719" s="287"/>
      <c r="DE719" s="284"/>
      <c r="DF719" s="286"/>
      <c r="DG719" s="284"/>
      <c r="DH719" s="282"/>
      <c r="DI719" s="284"/>
      <c r="DJ719" s="286"/>
      <c r="DK719" s="284"/>
      <c r="DL719" s="282"/>
      <c r="DM719" s="284"/>
      <c r="DN719" s="286"/>
      <c r="DO719" s="284"/>
      <c r="DP719" s="282"/>
      <c r="DQ719" s="284"/>
      <c r="DR719" s="286"/>
      <c r="DS719" s="284"/>
      <c r="DT719" s="282"/>
      <c r="DU719" s="284"/>
      <c r="DV719" s="286"/>
      <c r="DW719" s="284"/>
      <c r="DX719" s="282"/>
      <c r="DY719" s="284"/>
      <c r="DZ719" s="286"/>
      <c r="EA719" s="284"/>
      <c r="EB719" s="282"/>
      <c r="EC719" s="284"/>
      <c r="ED719" s="286"/>
      <c r="EE719" s="284"/>
      <c r="EF719" s="285"/>
      <c r="EG719" s="287"/>
      <c r="EH719" s="284"/>
      <c r="EI719" s="286"/>
      <c r="EJ719" s="284"/>
      <c r="EK719" s="284"/>
      <c r="EL719" s="284"/>
      <c r="EM719" s="284"/>
      <c r="EN719" s="284"/>
      <c r="EO719" s="284"/>
      <c r="EP719" s="284"/>
      <c r="EQ719" s="282"/>
      <c r="ER719" s="284"/>
      <c r="ES719" s="286"/>
      <c r="ET719" s="284"/>
      <c r="EU719" s="305"/>
      <c r="EV719" s="300"/>
      <c r="EW719" s="308"/>
      <c r="EX719" s="300"/>
      <c r="EY719" s="282"/>
      <c r="EZ719" s="284"/>
      <c r="FA719" s="286"/>
      <c r="FB719" s="284"/>
      <c r="FC719" s="282"/>
      <c r="FD719" s="284"/>
      <c r="FE719" s="286"/>
      <c r="FF719" s="284"/>
      <c r="FG719" s="282"/>
      <c r="FH719" s="284"/>
      <c r="FI719" s="286"/>
      <c r="FJ719" s="284"/>
      <c r="FK719" s="282"/>
      <c r="FL719" s="284"/>
      <c r="FM719" s="286"/>
      <c r="FN719" s="284"/>
      <c r="FO719" s="305"/>
      <c r="FP719" s="300"/>
      <c r="FQ719" s="308"/>
      <c r="FR719" s="300"/>
      <c r="FS719" s="282"/>
      <c r="FT719" s="284"/>
      <c r="FU719" s="286"/>
      <c r="FV719" s="284"/>
      <c r="FW719" s="282"/>
      <c r="FX719" s="284"/>
      <c r="FY719" s="286"/>
      <c r="FZ719" s="284"/>
      <c r="GA719" s="282"/>
      <c r="GB719" s="284"/>
      <c r="GC719" s="286"/>
      <c r="GD719" s="284"/>
      <c r="GE719" s="282"/>
      <c r="GF719" s="284"/>
      <c r="GG719" s="286"/>
      <c r="GH719" s="284"/>
      <c r="GI719" s="282"/>
      <c r="GJ719" s="284"/>
      <c r="GK719" s="286"/>
      <c r="GL719" s="284"/>
      <c r="GM719" s="282"/>
      <c r="GN719" s="284"/>
      <c r="GO719" s="286"/>
      <c r="GP719" s="284"/>
      <c r="GQ719" s="282"/>
      <c r="GR719" s="284"/>
      <c r="GS719" s="286"/>
      <c r="GT719" s="284"/>
      <c r="GU719" s="282"/>
      <c r="GV719" s="284"/>
      <c r="GW719" s="286"/>
      <c r="GX719" s="284"/>
      <c r="GY719" s="282"/>
      <c r="GZ719" s="284"/>
      <c r="HA719" s="286"/>
      <c r="HB719" s="284"/>
      <c r="HC719" s="282"/>
      <c r="HD719" s="282"/>
      <c r="HE719" s="284"/>
      <c r="HF719" s="286"/>
      <c r="HG719" s="284"/>
      <c r="HH719" s="282"/>
      <c r="HI719" s="282"/>
      <c r="HJ719" s="282"/>
      <c r="HK719" s="282"/>
      <c r="HL719" s="282"/>
      <c r="HM719" s="282"/>
      <c r="HN719" s="282"/>
      <c r="HO719" s="282"/>
      <c r="HP719" s="282"/>
      <c r="HQ719" s="282"/>
      <c r="HR719" s="282"/>
      <c r="HS719" s="282"/>
      <c r="HT719" s="282"/>
      <c r="HU719" s="282"/>
      <c r="HV719" s="282"/>
      <c r="HW719" s="282"/>
      <c r="HX719" s="282"/>
      <c r="HY719" s="282"/>
      <c r="HZ719" s="282"/>
      <c r="IA719" s="282"/>
      <c r="IB719" s="282"/>
      <c r="IC719" s="282"/>
      <c r="ID719" s="282"/>
      <c r="IE719" s="282"/>
      <c r="IF719" s="282"/>
      <c r="IG719" s="282"/>
      <c r="IH719" s="282"/>
      <c r="II719" s="282"/>
      <c r="IJ719" s="12" t="str">
        <f t="shared" si="474"/>
        <v>No marker score</v>
      </c>
      <c r="IK719" s="287">
        <f t="shared" si="475"/>
        <v>0</v>
      </c>
      <c r="IL719" s="282"/>
      <c r="IM719" s="282"/>
      <c r="IN719" s="282"/>
      <c r="IO719" s="282"/>
      <c r="IP719" s="282"/>
      <c r="IQ719" s="287" t="str">
        <f t="shared" si="476"/>
        <v>No marker score</v>
      </c>
      <c r="IR719" s="287">
        <f t="shared" si="477"/>
        <v>0</v>
      </c>
      <c r="IS719" s="282"/>
      <c r="IT719" s="282"/>
      <c r="IU719" s="282"/>
      <c r="IV719" s="282"/>
      <c r="IW719" s="11" t="str">
        <f t="shared" si="478"/>
        <v>No marker score</v>
      </c>
      <c r="IX719" s="287">
        <f t="shared" si="479"/>
        <v>0</v>
      </c>
      <c r="IY719" s="282"/>
      <c r="IZ719" s="282"/>
      <c r="JA719" s="282"/>
      <c r="JB719" s="282"/>
      <c r="JC719" s="282"/>
      <c r="JD719" s="282"/>
      <c r="JE719" s="282"/>
      <c r="JF719" s="282"/>
      <c r="JG719" s="282"/>
      <c r="JH719" s="282"/>
      <c r="JI719" s="282"/>
      <c r="JJ719" s="282"/>
      <c r="JK719" s="282"/>
      <c r="JL719" s="282"/>
      <c r="JM719" s="282"/>
      <c r="JN719" s="282" t="s">
        <v>11558</v>
      </c>
      <c r="JO719" s="282"/>
      <c r="JP719" s="15">
        <f t="shared" si="480"/>
        <v>0</v>
      </c>
      <c r="JQ719" s="15">
        <f t="shared" si="481"/>
        <v>0</v>
      </c>
      <c r="JR719" s="279" t="str">
        <f t="shared" si="482"/>
        <v/>
      </c>
      <c r="JS719" s="17" t="str">
        <f t="shared" si="483"/>
        <v/>
      </c>
      <c r="JT719" s="18" t="str">
        <f t="shared" si="484"/>
        <v/>
      </c>
      <c r="JU719" s="280">
        <f t="shared" si="485"/>
        <v>0</v>
      </c>
      <c r="JV719" s="280">
        <f t="shared" si="486"/>
        <v>0</v>
      </c>
      <c r="JW719" s="319">
        <f t="shared" si="487"/>
        <v>1</v>
      </c>
      <c r="JX719" s="15">
        <f t="shared" si="488"/>
        <v>0</v>
      </c>
      <c r="JY719" s="15">
        <f t="shared" si="489"/>
        <v>0</v>
      </c>
      <c r="JZ719" s="19" t="str">
        <f t="shared" si="490"/>
        <v/>
      </c>
      <c r="KA719" s="52">
        <f t="shared" si="491"/>
        <v>1</v>
      </c>
      <c r="KB719" s="15">
        <f t="shared" si="492"/>
        <v>0</v>
      </c>
      <c r="KC719" s="15">
        <f t="shared" si="493"/>
        <v>0</v>
      </c>
      <c r="KD719" s="20" t="str">
        <f t="shared" si="494"/>
        <v/>
      </c>
      <c r="KE719" s="52" t="str">
        <f t="shared" si="495"/>
        <v/>
      </c>
      <c r="KF719" s="15">
        <f t="shared" si="496"/>
        <v>0</v>
      </c>
      <c r="KG719" s="15">
        <f t="shared" si="497"/>
        <v>0</v>
      </c>
      <c r="KH719" s="21" t="str">
        <f t="shared" si="498"/>
        <v/>
      </c>
      <c r="KI719" s="52" t="str">
        <f t="shared" si="499"/>
        <v/>
      </c>
      <c r="KJ719" s="15">
        <f t="shared" si="500"/>
        <v>0</v>
      </c>
      <c r="KK719" s="15">
        <f t="shared" si="501"/>
        <v>0</v>
      </c>
      <c r="KL719" s="19" t="str">
        <f t="shared" si="502"/>
        <v/>
      </c>
      <c r="KM719" s="52" t="str">
        <f t="shared" si="503"/>
        <v/>
      </c>
      <c r="KN719" s="22">
        <f t="shared" si="504"/>
        <v>0</v>
      </c>
      <c r="KO719" s="22">
        <f t="shared" si="505"/>
        <v>0</v>
      </c>
      <c r="KP719" s="19" t="str">
        <f t="shared" si="506"/>
        <v/>
      </c>
      <c r="KQ719" s="11" t="str">
        <f t="shared" si="507"/>
        <v>No marker score</v>
      </c>
      <c r="KR719" s="11" t="str">
        <f t="shared" si="508"/>
        <v>No marker score</v>
      </c>
      <c r="KS719" s="11" t="str">
        <f t="shared" si="509"/>
        <v>No marker score</v>
      </c>
      <c r="KT719" s="11">
        <f t="shared" si="510"/>
        <v>0</v>
      </c>
      <c r="KU719" s="11">
        <f t="shared" si="511"/>
        <v>0</v>
      </c>
      <c r="KV719" s="11">
        <f t="shared" si="512"/>
        <v>0</v>
      </c>
      <c r="KW719" s="11" t="str">
        <f t="shared" si="513"/>
        <v>Sudan - MAM Prevention, Therapeutic supplementary feeding and Home Fortification</v>
      </c>
      <c r="KX719" s="11" t="str">
        <f t="shared" si="514"/>
        <v>MAM Prevention, Therapeutic supplementary feeding and Home Fortification</v>
      </c>
      <c r="KY719" s="11" t="str">
        <f t="shared" si="515"/>
        <v>Sudan</v>
      </c>
      <c r="KZ719" s="12">
        <v>719</v>
      </c>
    </row>
    <row r="720" spans="1:312" x14ac:dyDescent="0.3">
      <c r="A720" s="12" t="s">
        <v>11417</v>
      </c>
      <c r="B720" s="12" t="s">
        <v>1874</v>
      </c>
      <c r="C720" s="12">
        <v>3381</v>
      </c>
      <c r="D720" s="12" t="s">
        <v>11648</v>
      </c>
      <c r="E720" s="277" t="str">
        <f t="shared" si="473"/>
        <v>Sudan</v>
      </c>
      <c r="F720" s="12" t="s">
        <v>11649</v>
      </c>
      <c r="G720" s="12" t="s">
        <v>608</v>
      </c>
      <c r="H720" s="12" t="s">
        <v>380</v>
      </c>
      <c r="I720" s="12" t="s">
        <v>381</v>
      </c>
      <c r="J720" s="281" t="s">
        <v>11531</v>
      </c>
      <c r="K720" s="12"/>
      <c r="L720" s="12"/>
      <c r="M720" s="12"/>
      <c r="N720" s="12"/>
      <c r="O720" s="12"/>
      <c r="P720" s="12"/>
      <c r="Q720" s="12"/>
      <c r="R720" s="12"/>
      <c r="S720" s="12"/>
      <c r="T720" s="12"/>
      <c r="U720" s="12"/>
      <c r="V720" s="12"/>
      <c r="W720" s="12"/>
      <c r="X720" s="12"/>
      <c r="Y720" s="12"/>
      <c r="Z720" s="12"/>
      <c r="AA720" s="12"/>
      <c r="AB720" s="12"/>
      <c r="AC720" s="12"/>
      <c r="AD720" s="12"/>
      <c r="BD720" s="13">
        <v>42430</v>
      </c>
      <c r="BE720" s="13">
        <v>43159</v>
      </c>
      <c r="BF720" s="12"/>
      <c r="BG720" s="12" t="s">
        <v>312</v>
      </c>
      <c r="BH720" s="14">
        <v>650000</v>
      </c>
      <c r="BI720" s="12" t="s">
        <v>11650</v>
      </c>
      <c r="BJ720" s="12" t="s">
        <v>444</v>
      </c>
      <c r="BK720" s="12" t="s">
        <v>11651</v>
      </c>
      <c r="BL720" s="12" t="s">
        <v>11433</v>
      </c>
      <c r="BM720" s="12" t="s">
        <v>11434</v>
      </c>
      <c r="BN720" s="12" t="s">
        <v>11652</v>
      </c>
      <c r="BO720" s="12" t="s">
        <v>320</v>
      </c>
      <c r="BP720" s="12" t="s">
        <v>320</v>
      </c>
      <c r="BQ720" s="12" t="s">
        <v>320</v>
      </c>
      <c r="BR720" s="12" t="s">
        <v>11653</v>
      </c>
      <c r="BS720" s="12" t="s">
        <v>357</v>
      </c>
      <c r="BT720" s="12" t="s">
        <v>11654</v>
      </c>
      <c r="BU720" s="12" t="s">
        <v>11655</v>
      </c>
      <c r="BV720" s="14">
        <v>194907</v>
      </c>
      <c r="BW720" s="14">
        <v>67258</v>
      </c>
      <c r="BX720" s="14">
        <v>121229</v>
      </c>
      <c r="BY720" s="14"/>
      <c r="BZ720" s="14"/>
      <c r="CA720" s="14"/>
      <c r="CB720" s="12" t="s">
        <v>11656</v>
      </c>
      <c r="CD720" s="14">
        <v>595</v>
      </c>
      <c r="CE720" s="14">
        <v>1161</v>
      </c>
      <c r="CF720" s="14">
        <v>1756</v>
      </c>
      <c r="CG720" s="14"/>
      <c r="CH720" s="14"/>
      <c r="CI720" s="14"/>
      <c r="CJ720" s="12"/>
      <c r="CK720" s="14"/>
      <c r="CL720" s="16"/>
      <c r="CM720" s="14"/>
      <c r="CN720" s="12"/>
      <c r="CO720" s="14"/>
      <c r="CP720" s="16"/>
      <c r="CQ720" s="14"/>
      <c r="CR720" s="12"/>
      <c r="CS720" s="14"/>
      <c r="CT720" s="16"/>
      <c r="CU720" s="14"/>
      <c r="CV720" s="12"/>
      <c r="CW720" s="14"/>
      <c r="CX720" s="16"/>
      <c r="CY720" s="14"/>
      <c r="CZ720" s="12"/>
      <c r="DA720" s="14"/>
      <c r="DB720" s="16"/>
      <c r="DC720" s="14"/>
      <c r="DD720" s="12"/>
      <c r="DE720" s="14"/>
      <c r="DF720" s="16"/>
      <c r="DG720" s="14"/>
      <c r="DH720" s="12"/>
      <c r="DI720" s="14"/>
      <c r="DJ720" s="16"/>
      <c r="DK720" s="14"/>
      <c r="DL720" s="12"/>
      <c r="DM720" s="14"/>
      <c r="DN720" s="16"/>
      <c r="DO720" s="14"/>
      <c r="DP720" s="12"/>
      <c r="DQ720" s="14"/>
      <c r="DR720" s="16"/>
      <c r="DS720" s="14"/>
      <c r="DT720" s="12"/>
      <c r="DU720" s="14"/>
      <c r="DV720" s="16"/>
      <c r="DW720" s="14"/>
      <c r="DX720" s="12"/>
      <c r="DY720" s="14"/>
      <c r="DZ720" s="16"/>
      <c r="EA720" s="14"/>
      <c r="EB720" s="12"/>
      <c r="EC720" s="14"/>
      <c r="ED720" s="16"/>
      <c r="EE720" s="14"/>
      <c r="EF720" s="12" t="s">
        <v>11657</v>
      </c>
      <c r="EG720" s="12" t="s">
        <v>320</v>
      </c>
      <c r="EH720" s="14">
        <v>1756</v>
      </c>
      <c r="EI720" s="16">
        <v>0.33</v>
      </c>
      <c r="EJ720" s="14"/>
      <c r="EK720" s="14">
        <v>595</v>
      </c>
      <c r="EL720" s="14">
        <v>1161</v>
      </c>
      <c r="EM720" s="14">
        <v>1756</v>
      </c>
      <c r="EN720" s="14"/>
      <c r="EO720" s="14"/>
      <c r="EP720" s="14"/>
      <c r="EQ720" s="12" t="s">
        <v>320</v>
      </c>
      <c r="ER720" s="14">
        <v>1720</v>
      </c>
      <c r="ES720" s="16">
        <v>0.33</v>
      </c>
      <c r="ET720" s="14"/>
      <c r="EU720" s="12"/>
      <c r="EV720" s="14"/>
      <c r="EW720" s="16"/>
      <c r="EX720" s="14"/>
      <c r="EY720" s="12" t="s">
        <v>320</v>
      </c>
      <c r="EZ720" s="14">
        <v>36</v>
      </c>
      <c r="FA720" s="16">
        <v>0.5</v>
      </c>
      <c r="FB720" s="14"/>
      <c r="FC720" s="12"/>
      <c r="FD720" s="14"/>
      <c r="FE720" s="16"/>
      <c r="FF720" s="14"/>
      <c r="FG720" s="12"/>
      <c r="FH720" s="14"/>
      <c r="FI720" s="16"/>
      <c r="FJ720" s="14"/>
      <c r="FK720" s="12"/>
      <c r="FL720" s="14"/>
      <c r="FM720" s="16"/>
      <c r="FN720" s="14"/>
      <c r="FO720" s="12"/>
      <c r="FP720" s="14"/>
      <c r="FQ720" s="16"/>
      <c r="FR720" s="14"/>
      <c r="FS720" s="12"/>
      <c r="FT720" s="14"/>
      <c r="FU720" s="16"/>
      <c r="FV720" s="14"/>
      <c r="FW720" s="12"/>
      <c r="FX720" s="14"/>
      <c r="FY720" s="16"/>
      <c r="FZ720" s="14"/>
      <c r="GA720" s="12"/>
      <c r="GB720" s="14"/>
      <c r="GC720" s="16"/>
      <c r="GD720" s="14"/>
      <c r="GE720" s="12"/>
      <c r="GF720" s="14"/>
      <c r="GG720" s="16"/>
      <c r="GH720" s="14"/>
      <c r="GI720" s="12"/>
      <c r="GJ720" s="14"/>
      <c r="GK720" s="16"/>
      <c r="GL720" s="14"/>
      <c r="GM720" s="12"/>
      <c r="GN720" s="14"/>
      <c r="GO720" s="16"/>
      <c r="GP720" s="14"/>
      <c r="GQ720" s="12"/>
      <c r="GR720" s="14"/>
      <c r="GS720" s="16"/>
      <c r="GT720" s="14"/>
      <c r="GU720" s="12"/>
      <c r="GV720" s="14"/>
      <c r="GW720" s="16"/>
      <c r="GX720" s="14"/>
      <c r="GY720" s="12"/>
      <c r="GZ720" s="14"/>
      <c r="HA720" s="16"/>
      <c r="HB720" s="14"/>
      <c r="HC720" s="12"/>
      <c r="HD720" s="12"/>
      <c r="HE720" s="14"/>
      <c r="HF720" s="16"/>
      <c r="HG720" s="14"/>
      <c r="HH720" s="12" t="s">
        <v>319</v>
      </c>
      <c r="HI720" s="12"/>
      <c r="HJ720" s="12"/>
      <c r="HK720" s="12"/>
      <c r="HL720" s="12" t="s">
        <v>320</v>
      </c>
      <c r="HM720" s="12" t="s">
        <v>619</v>
      </c>
      <c r="HN720" s="12">
        <v>2017</v>
      </c>
      <c r="HO720" s="12" t="s">
        <v>11658</v>
      </c>
      <c r="HP720" s="12" t="s">
        <v>330</v>
      </c>
      <c r="HQ720" s="12"/>
      <c r="HR720" s="12" t="s">
        <v>320</v>
      </c>
      <c r="HS720" s="12"/>
      <c r="HT720" s="12"/>
      <c r="HU720" s="12" t="s">
        <v>320</v>
      </c>
      <c r="HV720" s="12"/>
      <c r="HW720" s="12"/>
      <c r="HX720" s="12"/>
      <c r="HY720" s="12"/>
      <c r="HZ720" s="12" t="s">
        <v>394</v>
      </c>
      <c r="IA720" s="12" t="s">
        <v>11659</v>
      </c>
      <c r="IB720" s="12" t="s">
        <v>333</v>
      </c>
      <c r="IC720" s="12"/>
      <c r="ID720" s="12" t="s">
        <v>364</v>
      </c>
      <c r="IE720" s="12" t="s">
        <v>478</v>
      </c>
      <c r="IF720" s="12" t="s">
        <v>320</v>
      </c>
      <c r="IG720" s="12" t="s">
        <v>320</v>
      </c>
      <c r="IH720" s="12" t="s">
        <v>320</v>
      </c>
      <c r="II720" s="12" t="s">
        <v>319</v>
      </c>
      <c r="IJ720" s="12" t="str">
        <f t="shared" si="474"/>
        <v>3. Responsive</v>
      </c>
      <c r="IK720" s="12">
        <f t="shared" si="475"/>
        <v>3</v>
      </c>
      <c r="IL720" s="11" t="s">
        <v>621</v>
      </c>
      <c r="IM720" s="12" t="s">
        <v>320</v>
      </c>
      <c r="IN720" s="12" t="s">
        <v>320</v>
      </c>
      <c r="IO720" s="12" t="s">
        <v>319</v>
      </c>
      <c r="IP720" s="12" t="s">
        <v>320</v>
      </c>
      <c r="IQ720" s="12" t="str">
        <f t="shared" si="476"/>
        <v>3. Responsive</v>
      </c>
      <c r="IR720" s="12">
        <f t="shared" si="477"/>
        <v>3</v>
      </c>
      <c r="IS720" s="12" t="s">
        <v>622</v>
      </c>
      <c r="IT720" s="12" t="s">
        <v>319</v>
      </c>
      <c r="IU720" s="12" t="s">
        <v>320</v>
      </c>
      <c r="IV720" s="12" t="s">
        <v>320</v>
      </c>
      <c r="IW720" s="11" t="str">
        <f t="shared" si="478"/>
        <v>3. Responsive</v>
      </c>
      <c r="IX720" s="12">
        <f t="shared" si="479"/>
        <v>2</v>
      </c>
      <c r="IY720" s="12" t="s">
        <v>419</v>
      </c>
      <c r="IZ720" s="12" t="s">
        <v>432</v>
      </c>
      <c r="JA720" s="12">
        <v>2</v>
      </c>
      <c r="JB720" s="12" t="s">
        <v>433</v>
      </c>
      <c r="JC720" s="12" t="s">
        <v>687</v>
      </c>
      <c r="JD720" s="12"/>
      <c r="JE720" s="12" t="s">
        <v>340</v>
      </c>
      <c r="JF720" s="12" t="s">
        <v>11660</v>
      </c>
      <c r="JG720" s="12"/>
      <c r="JH720" s="12" t="s">
        <v>11661</v>
      </c>
      <c r="JI720" s="12"/>
      <c r="JJ720" s="12"/>
      <c r="JK720" s="12" t="s">
        <v>11662</v>
      </c>
      <c r="JL720" s="12"/>
      <c r="JM720" s="12"/>
      <c r="JN720" s="12"/>
      <c r="JO720" s="12" t="s">
        <v>11663</v>
      </c>
      <c r="JP720" s="15">
        <f t="shared" si="480"/>
        <v>1756</v>
      </c>
      <c r="JQ720" s="15">
        <f t="shared" si="481"/>
        <v>0</v>
      </c>
      <c r="JR720" s="279">
        <f t="shared" si="482"/>
        <v>0</v>
      </c>
      <c r="JS720" s="17">
        <f t="shared" si="483"/>
        <v>0.33883826879271073</v>
      </c>
      <c r="JT720" s="18" t="str">
        <f t="shared" si="484"/>
        <v/>
      </c>
      <c r="JU720" s="280">
        <f t="shared" si="485"/>
        <v>595</v>
      </c>
      <c r="JV720" s="280">
        <f t="shared" si="486"/>
        <v>0</v>
      </c>
      <c r="JW720" s="319">
        <f t="shared" si="487"/>
        <v>1</v>
      </c>
      <c r="JX720" s="15">
        <f t="shared" si="488"/>
        <v>1756</v>
      </c>
      <c r="JY720" s="15">
        <f t="shared" si="489"/>
        <v>0</v>
      </c>
      <c r="JZ720" s="19">
        <f t="shared" si="490"/>
        <v>0</v>
      </c>
      <c r="KA720" s="52">
        <f t="shared" si="491"/>
        <v>1</v>
      </c>
      <c r="KB720" s="15">
        <f t="shared" si="492"/>
        <v>1720</v>
      </c>
      <c r="KC720" s="15">
        <f t="shared" si="493"/>
        <v>0</v>
      </c>
      <c r="KD720" s="20">
        <f t="shared" si="494"/>
        <v>0</v>
      </c>
      <c r="KE720" s="52" t="str">
        <f t="shared" si="495"/>
        <v/>
      </c>
      <c r="KF720" s="15">
        <f t="shared" si="496"/>
        <v>0</v>
      </c>
      <c r="KG720" s="15">
        <f t="shared" si="497"/>
        <v>0</v>
      </c>
      <c r="KH720" s="21" t="str">
        <f t="shared" si="498"/>
        <v/>
      </c>
      <c r="KI720" s="52" t="str">
        <f t="shared" si="499"/>
        <v/>
      </c>
      <c r="KJ720" s="15">
        <f t="shared" si="500"/>
        <v>0</v>
      </c>
      <c r="KK720" s="15">
        <f t="shared" si="501"/>
        <v>0</v>
      </c>
      <c r="KL720" s="19" t="str">
        <f t="shared" si="502"/>
        <v/>
      </c>
      <c r="KM720" s="52" t="str">
        <f t="shared" si="503"/>
        <v/>
      </c>
      <c r="KN720" s="22">
        <f t="shared" si="504"/>
        <v>0</v>
      </c>
      <c r="KO720" s="22">
        <f t="shared" si="505"/>
        <v>0</v>
      </c>
      <c r="KP720" s="19" t="str">
        <f t="shared" si="506"/>
        <v/>
      </c>
      <c r="KQ720" s="11" t="str">
        <f t="shared" si="507"/>
        <v>3. Responsive</v>
      </c>
      <c r="KR720" s="11" t="str">
        <f t="shared" si="508"/>
        <v>3. Responsive</v>
      </c>
      <c r="KS720" s="11" t="str">
        <f t="shared" si="509"/>
        <v>3. Responsive</v>
      </c>
      <c r="KT720" s="11" t="str">
        <f t="shared" si="510"/>
        <v>It tested new ways for fighting poverty, but did not measure results of innovation</v>
      </c>
      <c r="KU720" s="11" t="str">
        <f t="shared" si="511"/>
        <v>Moderate advocacy</v>
      </c>
      <c r="KV720" s="11" t="str">
        <f t="shared" si="512"/>
        <v>It did not take tested solutions to scale</v>
      </c>
      <c r="KW720" s="11" t="str">
        <f t="shared" si="513"/>
        <v>Sudan - Promoting Peace in East Darfur</v>
      </c>
      <c r="KX720" s="11" t="str">
        <f t="shared" si="514"/>
        <v>Promoting Peace in East Darfur</v>
      </c>
      <c r="KY720" s="11" t="str">
        <f t="shared" si="515"/>
        <v>Sudan</v>
      </c>
      <c r="KZ720" s="12">
        <v>720</v>
      </c>
    </row>
    <row r="721" spans="1:312" x14ac:dyDescent="0.3">
      <c r="A721" s="12" t="s">
        <v>11417</v>
      </c>
      <c r="B721" s="12" t="s">
        <v>1874</v>
      </c>
      <c r="C721" s="12">
        <v>3390</v>
      </c>
      <c r="D721" s="12" t="s">
        <v>11559</v>
      </c>
      <c r="E721" s="277" t="str">
        <f t="shared" si="473"/>
        <v>Sudan</v>
      </c>
      <c r="F721" s="12" t="s">
        <v>11560</v>
      </c>
      <c r="G721" s="12" t="s">
        <v>608</v>
      </c>
      <c r="H721" s="12" t="s">
        <v>310</v>
      </c>
      <c r="I721" s="12" t="s">
        <v>517</v>
      </c>
      <c r="J721" s="281" t="s">
        <v>14578</v>
      </c>
      <c r="K721" s="12"/>
      <c r="L721" s="12"/>
      <c r="M721" s="12"/>
      <c r="N721" s="12"/>
      <c r="O721" s="12"/>
      <c r="P721" s="12"/>
      <c r="Q721" s="12"/>
      <c r="R721" s="12"/>
      <c r="S721" s="12"/>
      <c r="T721" s="12"/>
      <c r="U721" s="12"/>
      <c r="V721" s="12"/>
      <c r="W721" s="12"/>
      <c r="X721" s="12"/>
      <c r="Y721" s="12"/>
      <c r="Z721" s="12"/>
      <c r="AA721" s="12"/>
      <c r="AB721" s="12"/>
      <c r="AC721" s="12"/>
      <c r="AD721" s="12"/>
      <c r="BD721" s="13">
        <v>42064</v>
      </c>
      <c r="BE721" s="13">
        <v>42794</v>
      </c>
      <c r="BF721" s="13">
        <v>43159</v>
      </c>
      <c r="BG721" s="12" t="s">
        <v>908</v>
      </c>
      <c r="BH721" s="14">
        <v>97000</v>
      </c>
      <c r="BI721" s="12" t="s">
        <v>11561</v>
      </c>
      <c r="BJ721" s="12" t="s">
        <v>11562</v>
      </c>
      <c r="BK721" s="12" t="s">
        <v>11432</v>
      </c>
      <c r="BL721" s="12" t="s">
        <v>11445</v>
      </c>
      <c r="BM721" s="12" t="s">
        <v>11446</v>
      </c>
      <c r="BN721" s="12" t="s">
        <v>11563</v>
      </c>
      <c r="BO721" s="12" t="s">
        <v>319</v>
      </c>
      <c r="BP721" s="12" t="s">
        <v>320</v>
      </c>
      <c r="BQ721" s="12" t="s">
        <v>319</v>
      </c>
      <c r="BR721" s="12" t="s">
        <v>11564</v>
      </c>
      <c r="BS721" s="12" t="s">
        <v>357</v>
      </c>
      <c r="BT721" s="12" t="s">
        <v>11565</v>
      </c>
      <c r="BU721" s="12" t="s">
        <v>11566</v>
      </c>
      <c r="BV721" s="14">
        <v>3500</v>
      </c>
      <c r="BW721" s="14">
        <v>2500</v>
      </c>
      <c r="BX721" s="14">
        <v>6000</v>
      </c>
      <c r="BY721" s="14">
        <v>18000</v>
      </c>
      <c r="BZ721" s="14">
        <v>18000</v>
      </c>
      <c r="CA721" s="14">
        <v>36000</v>
      </c>
      <c r="CB721" s="12" t="s">
        <v>11567</v>
      </c>
      <c r="CD721" s="14"/>
      <c r="CE721" s="14"/>
      <c r="CF721" s="14"/>
      <c r="CG721" s="14"/>
      <c r="CH721" s="14"/>
      <c r="CI721" s="14"/>
      <c r="CJ721" s="12"/>
      <c r="CK721" s="14"/>
      <c r="CL721" s="16"/>
      <c r="CM721" s="14"/>
      <c r="CN721" s="12"/>
      <c r="CO721" s="14"/>
      <c r="CP721" s="16"/>
      <c r="CQ721" s="14"/>
      <c r="CR721" s="12"/>
      <c r="CS721" s="14"/>
      <c r="CT721" s="16"/>
      <c r="CU721" s="14"/>
      <c r="CV721" s="12"/>
      <c r="CW721" s="14"/>
      <c r="CX721" s="16"/>
      <c r="CY721" s="14"/>
      <c r="CZ721" s="12"/>
      <c r="DA721" s="14"/>
      <c r="DB721" s="16"/>
      <c r="DC721" s="14"/>
      <c r="DD721" s="12"/>
      <c r="DE721" s="14"/>
      <c r="DF721" s="16"/>
      <c r="DG721" s="14"/>
      <c r="DH721" s="12"/>
      <c r="DI721" s="14"/>
      <c r="DJ721" s="16"/>
      <c r="DK721" s="14"/>
      <c r="DL721" s="12"/>
      <c r="DM721" s="14"/>
      <c r="DN721" s="16"/>
      <c r="DO721" s="14"/>
      <c r="DP721" s="12"/>
      <c r="DQ721" s="14"/>
      <c r="DR721" s="16"/>
      <c r="DS721" s="14"/>
      <c r="DT721" s="12"/>
      <c r="DU721" s="14"/>
      <c r="DV721" s="16"/>
      <c r="DW721" s="14"/>
      <c r="DX721" s="12"/>
      <c r="DY721" s="14"/>
      <c r="DZ721" s="16"/>
      <c r="EA721" s="14"/>
      <c r="EB721" s="12"/>
      <c r="EC721" s="14"/>
      <c r="ED721" s="16"/>
      <c r="EE721" s="14"/>
      <c r="EF721" s="12"/>
      <c r="EG721" s="12"/>
      <c r="EH721" s="14"/>
      <c r="EI721" s="16"/>
      <c r="EJ721" s="14"/>
      <c r="EK721" s="14">
        <v>4256</v>
      </c>
      <c r="EL721" s="14">
        <v>581</v>
      </c>
      <c r="EM721" s="14">
        <v>4837</v>
      </c>
      <c r="EN721" s="14">
        <v>26387</v>
      </c>
      <c r="EO721" s="14">
        <v>3602</v>
      </c>
      <c r="EP721" s="14">
        <v>29989</v>
      </c>
      <c r="EQ721" s="12" t="s">
        <v>320</v>
      </c>
      <c r="ER721" s="14">
        <v>225</v>
      </c>
      <c r="ES721" s="16">
        <v>0.52</v>
      </c>
      <c r="ET721" s="14">
        <v>22243</v>
      </c>
      <c r="EU721" s="12"/>
      <c r="EV721" s="14"/>
      <c r="EW721" s="16"/>
      <c r="EX721" s="14"/>
      <c r="EY721" s="12"/>
      <c r="EZ721" s="14"/>
      <c r="FA721" s="16"/>
      <c r="FB721" s="14"/>
      <c r="FC721" s="12"/>
      <c r="FD721" s="14"/>
      <c r="FE721" s="16"/>
      <c r="FF721" s="14"/>
      <c r="FG721" s="12"/>
      <c r="FH721" s="14"/>
      <c r="FI721" s="16"/>
      <c r="FJ721" s="14"/>
      <c r="FK721" s="12"/>
      <c r="FL721" s="14"/>
      <c r="FM721" s="16"/>
      <c r="FN721" s="14"/>
      <c r="FO721" s="12" t="s">
        <v>320</v>
      </c>
      <c r="FP721" s="14">
        <v>150</v>
      </c>
      <c r="FQ721" s="16">
        <v>1</v>
      </c>
      <c r="FR721" s="14">
        <v>900</v>
      </c>
      <c r="FS721" s="12"/>
      <c r="FT721" s="14"/>
      <c r="FU721" s="16"/>
      <c r="FV721" s="14"/>
      <c r="FW721" s="12"/>
      <c r="FX721" s="14"/>
      <c r="FY721" s="16"/>
      <c r="FZ721" s="14"/>
      <c r="GA721" s="12"/>
      <c r="GB721" s="14"/>
      <c r="GC721" s="16"/>
      <c r="GD721" s="14"/>
      <c r="GE721" s="12"/>
      <c r="GF721" s="14"/>
      <c r="GG721" s="16"/>
      <c r="GH721" s="14"/>
      <c r="GI721" s="12"/>
      <c r="GJ721" s="14"/>
      <c r="GK721" s="16"/>
      <c r="GL721" s="14"/>
      <c r="GM721" s="12"/>
      <c r="GN721" s="14"/>
      <c r="GO721" s="16"/>
      <c r="GP721" s="14"/>
      <c r="GQ721" s="12"/>
      <c r="GR721" s="14"/>
      <c r="GS721" s="16"/>
      <c r="GT721" s="14"/>
      <c r="GU721" s="12"/>
      <c r="GV721" s="14"/>
      <c r="GW721" s="16"/>
      <c r="GX721" s="14"/>
      <c r="GY721" s="11" t="s">
        <v>320</v>
      </c>
      <c r="GZ721" s="14">
        <v>3672</v>
      </c>
      <c r="HA721" s="16">
        <v>1</v>
      </c>
      <c r="HB721" s="14">
        <v>2106</v>
      </c>
      <c r="HC721" s="12" t="s">
        <v>11568</v>
      </c>
      <c r="HD721" s="12" t="s">
        <v>320</v>
      </c>
      <c r="HE721" s="14">
        <v>790</v>
      </c>
      <c r="HF721" s="16">
        <v>0.3</v>
      </c>
      <c r="HG721" s="14">
        <v>4740</v>
      </c>
      <c r="HH721" s="12" t="s">
        <v>319</v>
      </c>
      <c r="HI721" s="12"/>
      <c r="HJ721" s="12"/>
      <c r="HK721" s="12"/>
      <c r="HL721" s="12" t="s">
        <v>319</v>
      </c>
      <c r="HM721" s="12"/>
      <c r="HN721" s="12"/>
      <c r="HO721" s="12"/>
      <c r="HP721" s="12" t="s">
        <v>418</v>
      </c>
      <c r="HQ721" s="12"/>
      <c r="HR721" s="12"/>
      <c r="HS721" s="12"/>
      <c r="HT721" s="12"/>
      <c r="HU721" s="12"/>
      <c r="HV721" s="12"/>
      <c r="HW721" s="12"/>
      <c r="HX721" s="12"/>
      <c r="HY721" s="12"/>
      <c r="HZ721" s="12" t="s">
        <v>363</v>
      </c>
      <c r="IA721" s="12"/>
      <c r="IB721" s="12" t="s">
        <v>396</v>
      </c>
      <c r="IC721" s="12" t="s">
        <v>11569</v>
      </c>
      <c r="ID721" s="12" t="s">
        <v>364</v>
      </c>
      <c r="IE721" s="12" t="s">
        <v>478</v>
      </c>
      <c r="IF721" s="12" t="s">
        <v>320</v>
      </c>
      <c r="IG721" s="12" t="s">
        <v>320</v>
      </c>
      <c r="IH721" s="12" t="s">
        <v>320</v>
      </c>
      <c r="II721" s="12" t="s">
        <v>319</v>
      </c>
      <c r="IJ721" s="12" t="str">
        <f t="shared" si="474"/>
        <v>3. Responsive</v>
      </c>
      <c r="IK721" s="12">
        <f t="shared" si="475"/>
        <v>3</v>
      </c>
      <c r="IL721" s="12" t="s">
        <v>336</v>
      </c>
      <c r="IM721" s="12" t="s">
        <v>320</v>
      </c>
      <c r="IN721" s="12" t="s">
        <v>319</v>
      </c>
      <c r="IO721" s="12" t="s">
        <v>320</v>
      </c>
      <c r="IP721" s="12" t="s">
        <v>319</v>
      </c>
      <c r="IQ721" s="12" t="str">
        <f t="shared" si="476"/>
        <v>1. Tokenistic</v>
      </c>
      <c r="IR721" s="12">
        <f t="shared" si="477"/>
        <v>2</v>
      </c>
      <c r="IS721" s="12" t="s">
        <v>622</v>
      </c>
      <c r="IT721" s="12" t="s">
        <v>320</v>
      </c>
      <c r="IU721" s="12" t="s">
        <v>320</v>
      </c>
      <c r="IV721" s="12" t="s">
        <v>320</v>
      </c>
      <c r="IW721" s="11" t="str">
        <f t="shared" si="478"/>
        <v>4. Transformative</v>
      </c>
      <c r="IX721" s="12">
        <f t="shared" si="479"/>
        <v>3</v>
      </c>
      <c r="IY721" s="12" t="s">
        <v>419</v>
      </c>
      <c r="IZ721" s="12" t="s">
        <v>457</v>
      </c>
      <c r="JA721" s="12">
        <v>1</v>
      </c>
      <c r="JB721" s="12" t="s">
        <v>433</v>
      </c>
      <c r="JC721" s="12"/>
      <c r="JD721" s="12"/>
      <c r="JE721" s="12" t="s">
        <v>340</v>
      </c>
      <c r="JF721" s="12" t="s">
        <v>11570</v>
      </c>
      <c r="JG721" s="12"/>
      <c r="JH721" s="12" t="s">
        <v>11571</v>
      </c>
      <c r="JI721" s="12" t="s">
        <v>11572</v>
      </c>
      <c r="JJ721" s="12"/>
      <c r="JK721" s="12" t="s">
        <v>11573</v>
      </c>
      <c r="JL721" s="12" t="s">
        <v>11574</v>
      </c>
      <c r="JM721" s="12"/>
      <c r="JN721" s="12"/>
      <c r="JO721" s="12" t="s">
        <v>11575</v>
      </c>
      <c r="JP721" s="15">
        <f t="shared" si="480"/>
        <v>4837</v>
      </c>
      <c r="JQ721" s="15">
        <f t="shared" si="481"/>
        <v>29989</v>
      </c>
      <c r="JR721" s="279">
        <f t="shared" si="482"/>
        <v>6.1999173041141207</v>
      </c>
      <c r="JS721" s="17">
        <f t="shared" si="483"/>
        <v>0.87988422575976843</v>
      </c>
      <c r="JT721" s="18">
        <f t="shared" si="484"/>
        <v>0.87988929274067162</v>
      </c>
      <c r="JU721" s="280">
        <f t="shared" si="485"/>
        <v>4256</v>
      </c>
      <c r="JV721" s="280">
        <f t="shared" si="486"/>
        <v>26387</v>
      </c>
      <c r="JW721" s="319" t="str">
        <f t="shared" si="487"/>
        <v/>
      </c>
      <c r="JX721" s="15">
        <f t="shared" si="488"/>
        <v>0</v>
      </c>
      <c r="JY721" s="15">
        <f t="shared" si="489"/>
        <v>0</v>
      </c>
      <c r="JZ721" s="19" t="str">
        <f t="shared" si="490"/>
        <v/>
      </c>
      <c r="KA721" s="52">
        <f t="shared" si="491"/>
        <v>1</v>
      </c>
      <c r="KB721" s="15">
        <f t="shared" si="492"/>
        <v>225</v>
      </c>
      <c r="KC721" s="15">
        <f t="shared" si="493"/>
        <v>22243</v>
      </c>
      <c r="KD721" s="20">
        <f t="shared" si="494"/>
        <v>98.857777777777784</v>
      </c>
      <c r="KE721" s="52" t="str">
        <f t="shared" si="495"/>
        <v/>
      </c>
      <c r="KF721" s="15">
        <f t="shared" si="496"/>
        <v>0</v>
      </c>
      <c r="KG721" s="15">
        <f t="shared" si="497"/>
        <v>0</v>
      </c>
      <c r="KH721" s="21" t="str">
        <f t="shared" si="498"/>
        <v/>
      </c>
      <c r="KI721" s="52" t="str">
        <f t="shared" si="499"/>
        <v/>
      </c>
      <c r="KJ721" s="15">
        <f t="shared" si="500"/>
        <v>0</v>
      </c>
      <c r="KK721" s="15">
        <f t="shared" si="501"/>
        <v>0</v>
      </c>
      <c r="KL721" s="19" t="str">
        <f t="shared" si="502"/>
        <v/>
      </c>
      <c r="KM721" s="52">
        <f t="shared" si="503"/>
        <v>1</v>
      </c>
      <c r="KN721" s="22">
        <f t="shared" si="504"/>
        <v>3672</v>
      </c>
      <c r="KO721" s="22">
        <f t="shared" si="505"/>
        <v>2106</v>
      </c>
      <c r="KP721" s="19">
        <f t="shared" si="506"/>
        <v>0.57352941176470584</v>
      </c>
      <c r="KQ721" s="11" t="str">
        <f t="shared" si="507"/>
        <v>3. Responsive</v>
      </c>
      <c r="KR721" s="11" t="str">
        <f t="shared" si="508"/>
        <v>1. Tokenistic</v>
      </c>
      <c r="KS721" s="11" t="str">
        <f t="shared" si="509"/>
        <v>4. Transformative</v>
      </c>
      <c r="KT721" s="11" t="str">
        <f t="shared" si="510"/>
        <v>It did not develop any specific innovation</v>
      </c>
      <c r="KU721" s="11" t="str">
        <f t="shared" si="511"/>
        <v>Little or no advocacy</v>
      </c>
      <c r="KV721" s="11" t="str">
        <f t="shared" si="512"/>
        <v>It linked and worked with strategic alliances and partners to take tested and effective solutions to scale</v>
      </c>
      <c r="KW721" s="11" t="str">
        <f t="shared" si="513"/>
        <v>Sudan - Promoting Resilience to Increase Food Security in Vulnerable Communities of Gedaref State</v>
      </c>
      <c r="KX721" s="11" t="str">
        <f t="shared" si="514"/>
        <v>Promoting Resilience to Increase Food Security in Vulnerable Communities of Gedaref State</v>
      </c>
      <c r="KY721" s="11" t="str">
        <f t="shared" si="515"/>
        <v>Sudan</v>
      </c>
      <c r="KZ721" s="12">
        <v>721</v>
      </c>
    </row>
    <row r="722" spans="1:312" x14ac:dyDescent="0.3">
      <c r="A722" s="12" t="s">
        <v>11417</v>
      </c>
      <c r="B722" s="12" t="s">
        <v>1874</v>
      </c>
      <c r="C722" s="12">
        <v>3385</v>
      </c>
      <c r="D722" s="12" t="s">
        <v>11576</v>
      </c>
      <c r="E722" s="277" t="str">
        <f t="shared" si="473"/>
        <v>Sudan</v>
      </c>
      <c r="F722" s="12" t="s">
        <v>11577</v>
      </c>
      <c r="G722" s="12" t="s">
        <v>608</v>
      </c>
      <c r="H722" s="12" t="s">
        <v>380</v>
      </c>
      <c r="I722" s="12" t="s">
        <v>381</v>
      </c>
      <c r="J722" s="281" t="s">
        <v>11578</v>
      </c>
      <c r="K722" s="12"/>
      <c r="L722" s="12"/>
      <c r="M722" s="12"/>
      <c r="N722" s="12"/>
      <c r="O722" s="12"/>
      <c r="P722" s="12"/>
      <c r="Q722" s="12"/>
      <c r="R722" s="12"/>
      <c r="S722" s="12"/>
      <c r="T722" s="12"/>
      <c r="U722" s="12"/>
      <c r="V722" s="12"/>
      <c r="W722" s="12"/>
      <c r="X722" s="12"/>
      <c r="Y722" s="12"/>
      <c r="Z722" s="12"/>
      <c r="AA722" s="12"/>
      <c r="AB722" s="12"/>
      <c r="AC722" s="12"/>
      <c r="AD722" s="12"/>
      <c r="BD722" s="13">
        <v>42461</v>
      </c>
      <c r="BE722" s="13">
        <v>42735</v>
      </c>
      <c r="BF722" s="12"/>
      <c r="BG722" s="12" t="s">
        <v>817</v>
      </c>
      <c r="BH722" s="14">
        <v>400000</v>
      </c>
      <c r="BI722" s="12" t="s">
        <v>11579</v>
      </c>
      <c r="BJ722" s="12" t="s">
        <v>11580</v>
      </c>
      <c r="BK722" s="12" t="s">
        <v>11422</v>
      </c>
      <c r="BL722" s="12" t="s">
        <v>11445</v>
      </c>
      <c r="BM722" s="12" t="s">
        <v>11446</v>
      </c>
      <c r="BN722" s="12" t="s">
        <v>11563</v>
      </c>
      <c r="BO722" s="12" t="s">
        <v>320</v>
      </c>
      <c r="BP722" s="12" t="s">
        <v>319</v>
      </c>
      <c r="BQ722" s="12" t="s">
        <v>319</v>
      </c>
      <c r="BR722" s="12" t="s">
        <v>11581</v>
      </c>
      <c r="BS722" s="12" t="s">
        <v>357</v>
      </c>
      <c r="BT722" s="12" t="s">
        <v>11582</v>
      </c>
      <c r="BU722" s="12" t="s">
        <v>11583</v>
      </c>
      <c r="BV722" s="14">
        <v>15506</v>
      </c>
      <c r="BW722" s="14">
        <v>5941</v>
      </c>
      <c r="BX722" s="14">
        <v>21447</v>
      </c>
      <c r="BY722" s="14">
        <v>6630</v>
      </c>
      <c r="BZ722" s="14">
        <v>6370</v>
      </c>
      <c r="CA722" s="14">
        <v>13000</v>
      </c>
      <c r="CB722" s="12" t="s">
        <v>11584</v>
      </c>
      <c r="CD722" s="14">
        <v>16594</v>
      </c>
      <c r="CE722" s="14">
        <v>6364</v>
      </c>
      <c r="CF722" s="14">
        <v>22958</v>
      </c>
      <c r="CG722" s="14">
        <v>6630</v>
      </c>
      <c r="CH722" s="14">
        <v>6370</v>
      </c>
      <c r="CI722" s="14">
        <v>13000</v>
      </c>
      <c r="CJ722" s="12" t="s">
        <v>319</v>
      </c>
      <c r="CK722" s="14"/>
      <c r="CL722" s="16"/>
      <c r="CM722" s="14"/>
      <c r="CN722" s="12" t="s">
        <v>319</v>
      </c>
      <c r="CO722" s="14"/>
      <c r="CP722" s="16"/>
      <c r="CQ722" s="14"/>
      <c r="CR722" s="12" t="s">
        <v>319</v>
      </c>
      <c r="CS722" s="14"/>
      <c r="CT722" s="16"/>
      <c r="CU722" s="14"/>
      <c r="CV722" s="12" t="s">
        <v>319</v>
      </c>
      <c r="CW722" s="14"/>
      <c r="CX722" s="16"/>
      <c r="CY722" s="14"/>
      <c r="CZ722" s="12" t="s">
        <v>319</v>
      </c>
      <c r="DA722" s="14"/>
      <c r="DB722" s="16"/>
      <c r="DC722" s="14"/>
      <c r="DD722" s="12" t="s">
        <v>319</v>
      </c>
      <c r="DE722" s="14"/>
      <c r="DF722" s="16"/>
      <c r="DG722" s="14"/>
      <c r="DH722" s="12" t="s">
        <v>319</v>
      </c>
      <c r="DI722" s="14"/>
      <c r="DJ722" s="16"/>
      <c r="DK722" s="14"/>
      <c r="DL722" s="12" t="s">
        <v>319</v>
      </c>
      <c r="DM722" s="14"/>
      <c r="DN722" s="16"/>
      <c r="DO722" s="14"/>
      <c r="DP722" s="12" t="s">
        <v>319</v>
      </c>
      <c r="DQ722" s="14"/>
      <c r="DR722" s="16"/>
      <c r="DS722" s="14"/>
      <c r="DT722" s="12" t="s">
        <v>319</v>
      </c>
      <c r="DU722" s="14"/>
      <c r="DV722" s="16"/>
      <c r="DW722" s="14"/>
      <c r="DX722" s="12" t="s">
        <v>319</v>
      </c>
      <c r="DY722" s="14"/>
      <c r="DZ722" s="16"/>
      <c r="EA722" s="14"/>
      <c r="EB722" s="11" t="s">
        <v>320</v>
      </c>
      <c r="EC722" s="14">
        <v>22598</v>
      </c>
      <c r="ED722" s="16">
        <v>0.73431277104168502</v>
      </c>
      <c r="EE722" s="14">
        <v>13000</v>
      </c>
      <c r="EF722" s="12"/>
      <c r="EG722" s="12" t="s">
        <v>319</v>
      </c>
      <c r="EH722" s="14"/>
      <c r="EI722" s="16"/>
      <c r="EJ722" s="14"/>
      <c r="EK722" s="14"/>
      <c r="EL722" s="14"/>
      <c r="EM722" s="14"/>
      <c r="EN722" s="14"/>
      <c r="EO722" s="14"/>
      <c r="EP722" s="14"/>
      <c r="EQ722" s="12"/>
      <c r="ER722" s="14"/>
      <c r="ES722" s="16"/>
      <c r="ET722" s="14"/>
      <c r="EU722" s="12"/>
      <c r="EV722" s="14"/>
      <c r="EW722" s="16"/>
      <c r="EX722" s="14"/>
      <c r="EY722" s="12"/>
      <c r="EZ722" s="14"/>
      <c r="FA722" s="16"/>
      <c r="FB722" s="14"/>
      <c r="FC722" s="12"/>
      <c r="FD722" s="14"/>
      <c r="FE722" s="16"/>
      <c r="FF722" s="14"/>
      <c r="FG722" s="12"/>
      <c r="FH722" s="14"/>
      <c r="FI722" s="16"/>
      <c r="FJ722" s="14"/>
      <c r="FK722" s="12"/>
      <c r="FL722" s="14"/>
      <c r="FM722" s="16"/>
      <c r="FN722" s="14"/>
      <c r="FO722" s="12"/>
      <c r="FP722" s="14"/>
      <c r="FQ722" s="16"/>
      <c r="FR722" s="14"/>
      <c r="FS722" s="12"/>
      <c r="FT722" s="14"/>
      <c r="FU722" s="16"/>
      <c r="FV722" s="14"/>
      <c r="FW722" s="12"/>
      <c r="FX722" s="14"/>
      <c r="FY722" s="16"/>
      <c r="FZ722" s="14"/>
      <c r="GA722" s="12"/>
      <c r="GB722" s="14"/>
      <c r="GC722" s="16"/>
      <c r="GD722" s="14"/>
      <c r="GE722" s="12"/>
      <c r="GF722" s="14"/>
      <c r="GG722" s="16"/>
      <c r="GH722" s="14"/>
      <c r="GI722" s="12"/>
      <c r="GJ722" s="14"/>
      <c r="GK722" s="16"/>
      <c r="GL722" s="14"/>
      <c r="GM722" s="12"/>
      <c r="GN722" s="14"/>
      <c r="GO722" s="16"/>
      <c r="GP722" s="14"/>
      <c r="GQ722" s="12"/>
      <c r="GR722" s="14"/>
      <c r="GS722" s="16"/>
      <c r="GT722" s="14"/>
      <c r="GU722" s="12"/>
      <c r="GV722" s="14"/>
      <c r="GW722" s="16"/>
      <c r="GX722" s="14"/>
      <c r="GY722" s="12"/>
      <c r="GZ722" s="14"/>
      <c r="HA722" s="16"/>
      <c r="HB722" s="14"/>
      <c r="HC722" s="12"/>
      <c r="HD722" s="12"/>
      <c r="HE722" s="14"/>
      <c r="HF722" s="16"/>
      <c r="HG722" s="14"/>
      <c r="HH722" s="12" t="s">
        <v>319</v>
      </c>
      <c r="HI722" s="12"/>
      <c r="HJ722" s="12"/>
      <c r="HK722" s="12"/>
      <c r="HL722" s="12" t="s">
        <v>320</v>
      </c>
      <c r="HM722" s="12" t="s">
        <v>361</v>
      </c>
      <c r="HN722" s="12">
        <v>2017</v>
      </c>
      <c r="HO722" s="12" t="s">
        <v>11585</v>
      </c>
      <c r="HP722" s="12" t="s">
        <v>418</v>
      </c>
      <c r="HQ722" s="12" t="s">
        <v>319</v>
      </c>
      <c r="HR722" s="12" t="s">
        <v>319</v>
      </c>
      <c r="HS722" s="12" t="s">
        <v>319</v>
      </c>
      <c r="HT722" s="12" t="s">
        <v>319</v>
      </c>
      <c r="HU722" s="12" t="s">
        <v>319</v>
      </c>
      <c r="HV722" s="12" t="s">
        <v>319</v>
      </c>
      <c r="HW722" s="12" t="s">
        <v>319</v>
      </c>
      <c r="HX722" s="12" t="s">
        <v>319</v>
      </c>
      <c r="HY722" s="12"/>
      <c r="HZ722" s="12" t="s">
        <v>363</v>
      </c>
      <c r="IA722" s="12"/>
      <c r="IB722" s="12" t="s">
        <v>333</v>
      </c>
      <c r="IC722" s="12"/>
      <c r="ID722" s="12" t="s">
        <v>364</v>
      </c>
      <c r="IE722" s="12" t="s">
        <v>335</v>
      </c>
      <c r="IF722" s="12" t="s">
        <v>320</v>
      </c>
      <c r="IG722" s="12" t="s">
        <v>320</v>
      </c>
      <c r="IH722" s="12" t="s">
        <v>320</v>
      </c>
      <c r="II722" s="12" t="s">
        <v>320</v>
      </c>
      <c r="IJ722" s="12" t="str">
        <f t="shared" si="474"/>
        <v>2. Sensitive</v>
      </c>
      <c r="IK722" s="12">
        <f t="shared" si="475"/>
        <v>4</v>
      </c>
      <c r="IL722" s="12" t="s">
        <v>336</v>
      </c>
      <c r="IM722" s="12" t="s">
        <v>320</v>
      </c>
      <c r="IN722" s="12" t="s">
        <v>320</v>
      </c>
      <c r="IO722" s="12" t="s">
        <v>320</v>
      </c>
      <c r="IP722" s="12" t="s">
        <v>320</v>
      </c>
      <c r="IQ722" s="12" t="str">
        <f t="shared" si="476"/>
        <v>2. Accommodating</v>
      </c>
      <c r="IR722" s="12">
        <f t="shared" si="477"/>
        <v>4</v>
      </c>
      <c r="IS722" s="12" t="s">
        <v>337</v>
      </c>
      <c r="IT722" s="12" t="s">
        <v>320</v>
      </c>
      <c r="IU722" s="12" t="s">
        <v>319</v>
      </c>
      <c r="IV722" s="12" t="s">
        <v>320</v>
      </c>
      <c r="IW722" s="11" t="str">
        <f t="shared" si="478"/>
        <v>1. Neutral</v>
      </c>
      <c r="IX722" s="12">
        <f t="shared" si="479"/>
        <v>2</v>
      </c>
      <c r="IY722" s="12" t="s">
        <v>419</v>
      </c>
      <c r="IZ722" s="12" t="s">
        <v>432</v>
      </c>
      <c r="JA722" s="12">
        <v>3</v>
      </c>
      <c r="JB722" s="12" t="s">
        <v>687</v>
      </c>
      <c r="JC722" s="12" t="s">
        <v>433</v>
      </c>
      <c r="JD722" s="12" t="s">
        <v>624</v>
      </c>
      <c r="JE722" s="12" t="s">
        <v>420</v>
      </c>
      <c r="JF722" s="12"/>
      <c r="JG722" s="12" t="s">
        <v>11586</v>
      </c>
      <c r="JH722" s="12"/>
      <c r="JI722" s="12"/>
      <c r="JJ722" s="12"/>
      <c r="JK722" s="12" t="s">
        <v>11587</v>
      </c>
      <c r="JL722" s="12"/>
      <c r="JM722" s="12"/>
      <c r="JN722" s="12" t="s">
        <v>11588</v>
      </c>
      <c r="JO722" s="12" t="s">
        <v>11589</v>
      </c>
      <c r="JP722" s="15">
        <f t="shared" si="480"/>
        <v>22958</v>
      </c>
      <c r="JQ722" s="15">
        <f t="shared" si="481"/>
        <v>13000</v>
      </c>
      <c r="JR722" s="279">
        <f t="shared" si="482"/>
        <v>0.56625141562853909</v>
      </c>
      <c r="JS722" s="17">
        <f t="shared" si="483"/>
        <v>0.72279815314922902</v>
      </c>
      <c r="JT722" s="18">
        <f t="shared" si="484"/>
        <v>0.51</v>
      </c>
      <c r="JU722" s="280">
        <f t="shared" si="485"/>
        <v>16594</v>
      </c>
      <c r="JV722" s="280">
        <f t="shared" si="486"/>
        <v>6630</v>
      </c>
      <c r="JW722" s="319">
        <f t="shared" si="487"/>
        <v>1</v>
      </c>
      <c r="JX722" s="15">
        <f t="shared" si="488"/>
        <v>22958</v>
      </c>
      <c r="JY722" s="15">
        <f t="shared" si="489"/>
        <v>13000</v>
      </c>
      <c r="JZ722" s="19">
        <f t="shared" si="490"/>
        <v>0.56625141562853909</v>
      </c>
      <c r="KA722" s="52" t="str">
        <f t="shared" si="491"/>
        <v/>
      </c>
      <c r="KB722" s="15">
        <f t="shared" si="492"/>
        <v>0</v>
      </c>
      <c r="KC722" s="15">
        <f t="shared" si="493"/>
        <v>0</v>
      </c>
      <c r="KD722" s="20" t="str">
        <f t="shared" si="494"/>
        <v/>
      </c>
      <c r="KE722" s="52" t="str">
        <f t="shared" si="495"/>
        <v/>
      </c>
      <c r="KF722" s="15">
        <f t="shared" si="496"/>
        <v>0</v>
      </c>
      <c r="KG722" s="15">
        <f t="shared" si="497"/>
        <v>0</v>
      </c>
      <c r="KH722" s="21" t="str">
        <f t="shared" si="498"/>
        <v/>
      </c>
      <c r="KI722" s="52" t="str">
        <f t="shared" si="499"/>
        <v/>
      </c>
      <c r="KJ722" s="15">
        <f t="shared" si="500"/>
        <v>0</v>
      </c>
      <c r="KK722" s="15">
        <f t="shared" si="501"/>
        <v>0</v>
      </c>
      <c r="KL722" s="19" t="str">
        <f t="shared" si="502"/>
        <v/>
      </c>
      <c r="KM722" s="52" t="str">
        <f t="shared" si="503"/>
        <v/>
      </c>
      <c r="KN722" s="22">
        <f t="shared" si="504"/>
        <v>0</v>
      </c>
      <c r="KO722" s="22">
        <f t="shared" si="505"/>
        <v>0</v>
      </c>
      <c r="KP722" s="19" t="str">
        <f t="shared" si="506"/>
        <v/>
      </c>
      <c r="KQ722" s="11" t="str">
        <f t="shared" si="507"/>
        <v>2. Sensitive</v>
      </c>
      <c r="KR722" s="11" t="str">
        <f t="shared" si="508"/>
        <v>2. Accommodating</v>
      </c>
      <c r="KS722" s="11" t="str">
        <f t="shared" si="509"/>
        <v>1. Neutral</v>
      </c>
      <c r="KT722" s="11" t="str">
        <f t="shared" si="510"/>
        <v>It did not develop any specific innovation</v>
      </c>
      <c r="KU722" s="11" t="str">
        <f t="shared" si="511"/>
        <v>Little or no advocacy</v>
      </c>
      <c r="KV722" s="11" t="str">
        <f t="shared" si="512"/>
        <v>It did not take tested solutions to scale</v>
      </c>
      <c r="KW722" s="11" t="str">
        <f t="shared" si="513"/>
        <v>Sudan - Provision of WASH Services to South Sudanese Population in South Kordofan</v>
      </c>
      <c r="KX722" s="11" t="str">
        <f t="shared" si="514"/>
        <v>Provision of WASH Services to South Sudanese Population in South Kordofan</v>
      </c>
      <c r="KY722" s="11" t="str">
        <f t="shared" si="515"/>
        <v>Sudan</v>
      </c>
      <c r="KZ722" s="287">
        <v>722</v>
      </c>
    </row>
    <row r="723" spans="1:312" x14ac:dyDescent="0.3">
      <c r="A723" s="12" t="s">
        <v>11417</v>
      </c>
      <c r="B723" s="12" t="s">
        <v>1874</v>
      </c>
      <c r="C723" s="12"/>
      <c r="D723" s="12" t="s">
        <v>11590</v>
      </c>
      <c r="E723" s="277" t="str">
        <f t="shared" si="473"/>
        <v>Sudan</v>
      </c>
      <c r="F723" s="12" t="s">
        <v>11591</v>
      </c>
      <c r="G723" s="12" t="s">
        <v>608</v>
      </c>
      <c r="H723" s="12" t="s">
        <v>380</v>
      </c>
      <c r="I723" s="12" t="s">
        <v>381</v>
      </c>
      <c r="J723" s="281" t="s">
        <v>8430</v>
      </c>
      <c r="K723" s="12" t="s">
        <v>11592</v>
      </c>
      <c r="L723" s="12" t="s">
        <v>608</v>
      </c>
      <c r="M723" s="12" t="s">
        <v>380</v>
      </c>
      <c r="N723" s="12" t="s">
        <v>381</v>
      </c>
      <c r="O723" s="12" t="s">
        <v>8430</v>
      </c>
      <c r="P723" s="12"/>
      <c r="Q723" s="12"/>
      <c r="R723" s="12"/>
      <c r="S723" s="12"/>
      <c r="T723" s="12"/>
      <c r="U723" s="12"/>
      <c r="V723" s="12"/>
      <c r="W723" s="12"/>
      <c r="X723" s="12"/>
      <c r="Y723" s="12"/>
      <c r="Z723" s="12"/>
      <c r="AA723" s="12"/>
      <c r="AB723" s="12"/>
      <c r="AC723" s="12"/>
      <c r="AD723" s="12"/>
      <c r="BD723" s="13">
        <v>42736</v>
      </c>
      <c r="BE723" s="13">
        <v>43100</v>
      </c>
      <c r="BF723" s="12"/>
      <c r="BG723" s="12" t="s">
        <v>817</v>
      </c>
      <c r="BH723" s="14">
        <v>737140.86</v>
      </c>
      <c r="BI723" s="12" t="s">
        <v>11420</v>
      </c>
      <c r="BJ723" s="12" t="s">
        <v>11421</v>
      </c>
      <c r="BK723" s="12" t="s">
        <v>11593</v>
      </c>
      <c r="BL723" s="12" t="s">
        <v>11423</v>
      </c>
      <c r="BM723" s="12" t="s">
        <v>1856</v>
      </c>
      <c r="BN723" s="12" t="s">
        <v>11476</v>
      </c>
      <c r="BO723" s="12" t="s">
        <v>320</v>
      </c>
      <c r="BP723" s="12" t="s">
        <v>319</v>
      </c>
      <c r="BQ723" s="12" t="s">
        <v>319</v>
      </c>
      <c r="BR723" s="12" t="s">
        <v>11594</v>
      </c>
      <c r="BS723" s="12" t="s">
        <v>357</v>
      </c>
      <c r="BT723" s="12" t="s">
        <v>11595</v>
      </c>
      <c r="BU723" s="12" t="s">
        <v>11596</v>
      </c>
      <c r="BV723" s="14">
        <v>17626</v>
      </c>
      <c r="BW723" s="14">
        <v>14109</v>
      </c>
      <c r="BX723" s="14">
        <v>31735</v>
      </c>
      <c r="BY723" s="14">
        <v>7313</v>
      </c>
      <c r="BZ723" s="14">
        <v>9307</v>
      </c>
      <c r="CA723" s="14">
        <v>16620</v>
      </c>
      <c r="CB723" s="12" t="s">
        <v>11597</v>
      </c>
      <c r="CD723" s="14">
        <v>23915</v>
      </c>
      <c r="CE723" s="14">
        <v>18791</v>
      </c>
      <c r="CF723" s="14">
        <v>42706</v>
      </c>
      <c r="CG723" s="14">
        <v>7313</v>
      </c>
      <c r="CH723" s="14">
        <v>9307</v>
      </c>
      <c r="CI723" s="14">
        <v>16620</v>
      </c>
      <c r="CJ723" s="12"/>
      <c r="CK723" s="14"/>
      <c r="CL723" s="16"/>
      <c r="CM723" s="14"/>
      <c r="CN723" s="12"/>
      <c r="CO723" s="14"/>
      <c r="CP723" s="16"/>
      <c r="CQ723" s="14"/>
      <c r="CR723" s="12"/>
      <c r="CS723" s="14"/>
      <c r="CT723" s="16"/>
      <c r="CU723" s="14"/>
      <c r="CV723" s="12"/>
      <c r="CW723" s="14"/>
      <c r="CX723" s="16"/>
      <c r="CY723" s="14"/>
      <c r="CZ723" s="12"/>
      <c r="DA723" s="14"/>
      <c r="DB723" s="16"/>
      <c r="DC723" s="14"/>
      <c r="DD723" s="12"/>
      <c r="DE723" s="14"/>
      <c r="DF723" s="16"/>
      <c r="DG723" s="14"/>
      <c r="DH723" s="12"/>
      <c r="DI723" s="14"/>
      <c r="DJ723" s="16"/>
      <c r="DK723" s="14"/>
      <c r="DL723" s="12"/>
      <c r="DM723" s="14"/>
      <c r="DN723" s="16"/>
      <c r="DO723" s="14"/>
      <c r="DP723" s="12"/>
      <c r="DQ723" s="14"/>
      <c r="DR723" s="16"/>
      <c r="DS723" s="14"/>
      <c r="DT723" s="12"/>
      <c r="DU723" s="14"/>
      <c r="DV723" s="16"/>
      <c r="DW723" s="14"/>
      <c r="DX723" s="12"/>
      <c r="DY723" s="14"/>
      <c r="DZ723" s="16"/>
      <c r="EA723" s="14"/>
      <c r="EB723" s="11" t="s">
        <v>320</v>
      </c>
      <c r="EC723" s="14">
        <v>42706</v>
      </c>
      <c r="ED723" s="16">
        <v>0.56000000000000005</v>
      </c>
      <c r="EE723" s="14">
        <v>16620</v>
      </c>
      <c r="EF723" s="12"/>
      <c r="EG723" s="12"/>
      <c r="EH723" s="14"/>
      <c r="EI723" s="16"/>
      <c r="EJ723" s="14"/>
      <c r="EK723" s="14"/>
      <c r="EL723" s="14"/>
      <c r="EM723" s="14"/>
      <c r="EN723" s="14"/>
      <c r="EO723" s="14"/>
      <c r="EP723" s="14"/>
      <c r="EQ723" s="12"/>
      <c r="ER723" s="14"/>
      <c r="ES723" s="16"/>
      <c r="ET723" s="14"/>
      <c r="EU723" s="12"/>
      <c r="EV723" s="14"/>
      <c r="EW723" s="16"/>
      <c r="EX723" s="14"/>
      <c r="EY723" s="12"/>
      <c r="EZ723" s="14"/>
      <c r="FA723" s="16"/>
      <c r="FB723" s="14"/>
      <c r="FC723" s="12"/>
      <c r="FD723" s="14"/>
      <c r="FE723" s="16"/>
      <c r="FF723" s="14"/>
      <c r="FG723" s="12"/>
      <c r="FH723" s="14"/>
      <c r="FI723" s="16"/>
      <c r="FJ723" s="14"/>
      <c r="FK723" s="12"/>
      <c r="FL723" s="14"/>
      <c r="FM723" s="16"/>
      <c r="FN723" s="14"/>
      <c r="FO723" s="12"/>
      <c r="FP723" s="14"/>
      <c r="FQ723" s="16"/>
      <c r="FR723" s="14"/>
      <c r="FS723" s="12"/>
      <c r="FT723" s="14"/>
      <c r="FU723" s="16"/>
      <c r="FV723" s="14"/>
      <c r="FW723" s="12"/>
      <c r="FX723" s="14"/>
      <c r="FY723" s="16"/>
      <c r="FZ723" s="14"/>
      <c r="GA723" s="12"/>
      <c r="GB723" s="14"/>
      <c r="GC723" s="16"/>
      <c r="GD723" s="14"/>
      <c r="GE723" s="12"/>
      <c r="GF723" s="14"/>
      <c r="GG723" s="16"/>
      <c r="GH723" s="14"/>
      <c r="GI723" s="12"/>
      <c r="GJ723" s="14"/>
      <c r="GK723" s="16"/>
      <c r="GL723" s="14"/>
      <c r="GM723" s="12"/>
      <c r="GN723" s="14"/>
      <c r="GO723" s="16"/>
      <c r="GP723" s="14"/>
      <c r="GQ723" s="12"/>
      <c r="GR723" s="14"/>
      <c r="GS723" s="16"/>
      <c r="GT723" s="14"/>
      <c r="GU723" s="12"/>
      <c r="GV723" s="14"/>
      <c r="GW723" s="16"/>
      <c r="GX723" s="14"/>
      <c r="GY723" s="12"/>
      <c r="GZ723" s="14"/>
      <c r="HA723" s="16"/>
      <c r="HB723" s="14"/>
      <c r="HC723" s="12"/>
      <c r="HD723" s="12"/>
      <c r="HE723" s="14"/>
      <c r="HF723" s="16"/>
      <c r="HG723" s="14"/>
      <c r="HH723" s="12" t="s">
        <v>319</v>
      </c>
      <c r="HI723" s="12"/>
      <c r="HJ723" s="12"/>
      <c r="HK723" s="12"/>
      <c r="HL723" s="12" t="s">
        <v>319</v>
      </c>
      <c r="HM723" s="12"/>
      <c r="HN723" s="12"/>
      <c r="HO723" s="12"/>
      <c r="HP723" s="12" t="s">
        <v>418</v>
      </c>
      <c r="HQ723" s="12"/>
      <c r="HR723" s="12"/>
      <c r="HS723" s="12"/>
      <c r="HT723" s="12"/>
      <c r="HU723" s="12"/>
      <c r="HV723" s="12"/>
      <c r="HW723" s="12"/>
      <c r="HX723" s="12"/>
      <c r="HY723" s="12"/>
      <c r="HZ723" s="12" t="s">
        <v>363</v>
      </c>
      <c r="IA723" s="12"/>
      <c r="IB723" s="12" t="s">
        <v>333</v>
      </c>
      <c r="IC723" s="12"/>
      <c r="ID723" s="12" t="s">
        <v>364</v>
      </c>
      <c r="IE723" s="12" t="s">
        <v>335</v>
      </c>
      <c r="IF723" s="12" t="s">
        <v>320</v>
      </c>
      <c r="IG723" s="12" t="s">
        <v>320</v>
      </c>
      <c r="IH723" s="12" t="s">
        <v>320</v>
      </c>
      <c r="II723" s="12" t="s">
        <v>320</v>
      </c>
      <c r="IJ723" s="12" t="str">
        <f t="shared" si="474"/>
        <v>2. Sensitive</v>
      </c>
      <c r="IK723" s="12">
        <f t="shared" si="475"/>
        <v>4</v>
      </c>
      <c r="IL723" s="12" t="s">
        <v>336</v>
      </c>
      <c r="IM723" s="12" t="s">
        <v>320</v>
      </c>
      <c r="IN723" s="12" t="s">
        <v>320</v>
      </c>
      <c r="IO723" s="12" t="s">
        <v>320</v>
      </c>
      <c r="IP723" s="12" t="s">
        <v>320</v>
      </c>
      <c r="IQ723" s="12" t="str">
        <f t="shared" si="476"/>
        <v>2. Accommodating</v>
      </c>
      <c r="IR723" s="12">
        <f t="shared" si="477"/>
        <v>4</v>
      </c>
      <c r="IS723" s="12" t="s">
        <v>337</v>
      </c>
      <c r="IT723" s="12" t="s">
        <v>320</v>
      </c>
      <c r="IU723" s="12" t="s">
        <v>320</v>
      </c>
      <c r="IV723" s="12" t="s">
        <v>320</v>
      </c>
      <c r="IW723" s="11" t="str">
        <f t="shared" si="478"/>
        <v>2. Sensitive</v>
      </c>
      <c r="IX723" s="12">
        <f t="shared" si="479"/>
        <v>3</v>
      </c>
      <c r="IY723" s="12" t="s">
        <v>338</v>
      </c>
      <c r="IZ723" s="12" t="s">
        <v>339</v>
      </c>
      <c r="JA723" s="12"/>
      <c r="JB723" s="12" t="s">
        <v>687</v>
      </c>
      <c r="JC723" s="12"/>
      <c r="JD723" s="12"/>
      <c r="JE723" s="12" t="s">
        <v>365</v>
      </c>
      <c r="JF723" s="12" t="s">
        <v>11598</v>
      </c>
      <c r="JG723" s="12" t="s">
        <v>11599</v>
      </c>
      <c r="JH723" s="12"/>
      <c r="JI723" s="12"/>
      <c r="JJ723" s="12"/>
      <c r="JK723" s="12"/>
      <c r="JL723" s="12"/>
      <c r="JM723" s="12"/>
      <c r="JN723" s="12"/>
      <c r="JO723" s="12" t="s">
        <v>11442</v>
      </c>
      <c r="JP723" s="15">
        <f t="shared" si="480"/>
        <v>42706</v>
      </c>
      <c r="JQ723" s="15">
        <f t="shared" si="481"/>
        <v>16620</v>
      </c>
      <c r="JR723" s="279">
        <f t="shared" si="482"/>
        <v>0.38917248161850793</v>
      </c>
      <c r="JS723" s="17">
        <f t="shared" si="483"/>
        <v>0.55999157027115631</v>
      </c>
      <c r="JT723" s="18">
        <f t="shared" si="484"/>
        <v>0.44001203369434416</v>
      </c>
      <c r="JU723" s="280">
        <f t="shared" si="485"/>
        <v>23915</v>
      </c>
      <c r="JV723" s="280">
        <f t="shared" si="486"/>
        <v>7313</v>
      </c>
      <c r="JW723" s="319">
        <f t="shared" si="487"/>
        <v>1</v>
      </c>
      <c r="JX723" s="15">
        <f t="shared" si="488"/>
        <v>42706</v>
      </c>
      <c r="JY723" s="15">
        <f t="shared" si="489"/>
        <v>16620</v>
      </c>
      <c r="JZ723" s="19">
        <f t="shared" si="490"/>
        <v>0.38917248161850793</v>
      </c>
      <c r="KA723" s="52" t="str">
        <f t="shared" si="491"/>
        <v/>
      </c>
      <c r="KB723" s="15">
        <f t="shared" si="492"/>
        <v>0</v>
      </c>
      <c r="KC723" s="15">
        <f t="shared" si="493"/>
        <v>0</v>
      </c>
      <c r="KD723" s="20" t="str">
        <f t="shared" si="494"/>
        <v/>
      </c>
      <c r="KE723" s="52" t="str">
        <f t="shared" si="495"/>
        <v/>
      </c>
      <c r="KF723" s="15">
        <f t="shared" si="496"/>
        <v>0</v>
      </c>
      <c r="KG723" s="15">
        <f t="shared" si="497"/>
        <v>0</v>
      </c>
      <c r="KH723" s="21" t="str">
        <f t="shared" si="498"/>
        <v/>
      </c>
      <c r="KI723" s="52" t="str">
        <f t="shared" si="499"/>
        <v/>
      </c>
      <c r="KJ723" s="15">
        <f t="shared" si="500"/>
        <v>0</v>
      </c>
      <c r="KK723" s="15">
        <f t="shared" si="501"/>
        <v>0</v>
      </c>
      <c r="KL723" s="19" t="str">
        <f t="shared" si="502"/>
        <v/>
      </c>
      <c r="KM723" s="52" t="str">
        <f t="shared" si="503"/>
        <v/>
      </c>
      <c r="KN723" s="22">
        <f t="shared" si="504"/>
        <v>0</v>
      </c>
      <c r="KO723" s="22">
        <f t="shared" si="505"/>
        <v>0</v>
      </c>
      <c r="KP723" s="19" t="str">
        <f t="shared" si="506"/>
        <v/>
      </c>
      <c r="KQ723" s="11" t="str">
        <f t="shared" si="507"/>
        <v>2. Sensitive</v>
      </c>
      <c r="KR723" s="11" t="str">
        <f t="shared" si="508"/>
        <v>2. Accommodating</v>
      </c>
      <c r="KS723" s="11" t="str">
        <f t="shared" si="509"/>
        <v>2. Sensitive</v>
      </c>
      <c r="KT723" s="11" t="str">
        <f t="shared" si="510"/>
        <v>It did not develop any specific innovation</v>
      </c>
      <c r="KU723" s="11" t="str">
        <f t="shared" si="511"/>
        <v>Little or no advocacy</v>
      </c>
      <c r="KV723" s="11" t="str">
        <f t="shared" si="512"/>
        <v>It did not take tested solutions to scale</v>
      </c>
      <c r="KW723" s="11" t="str">
        <f t="shared" si="513"/>
        <v>Sudan - Provision of WASH services to South Sudanese refugees in South Kordofan and East Darfur States</v>
      </c>
      <c r="KX723" s="11" t="str">
        <f t="shared" si="514"/>
        <v>Provision of WASH services to South Sudanese refugees in South Kordofan and East Darfur States</v>
      </c>
      <c r="KY723" s="11" t="str">
        <f t="shared" si="515"/>
        <v>Sudan</v>
      </c>
      <c r="KZ723" s="12">
        <v>723</v>
      </c>
    </row>
    <row r="724" spans="1:312" x14ac:dyDescent="0.3">
      <c r="A724" s="12" t="s">
        <v>11417</v>
      </c>
      <c r="B724" s="12" t="s">
        <v>1874</v>
      </c>
      <c r="C724" s="12"/>
      <c r="D724" s="12" t="s">
        <v>11616</v>
      </c>
      <c r="E724" s="277" t="str">
        <f t="shared" si="473"/>
        <v>Sudan</v>
      </c>
      <c r="F724" s="12" t="s">
        <v>11617</v>
      </c>
      <c r="G724" s="12" t="s">
        <v>425</v>
      </c>
      <c r="H724" s="12" t="s">
        <v>380</v>
      </c>
      <c r="I724" s="12" t="s">
        <v>907</v>
      </c>
      <c r="J724" s="281" t="s">
        <v>5183</v>
      </c>
      <c r="K724" s="12"/>
      <c r="L724" s="12"/>
      <c r="M724" s="12"/>
      <c r="N724" s="12"/>
      <c r="O724" s="12"/>
      <c r="P724" s="12"/>
      <c r="Q724" s="12"/>
      <c r="R724" s="12"/>
      <c r="S724" s="12"/>
      <c r="T724" s="12"/>
      <c r="U724" s="12"/>
      <c r="V724" s="12"/>
      <c r="W724" s="12"/>
      <c r="X724" s="12"/>
      <c r="Y724" s="12"/>
      <c r="Z724" s="12"/>
      <c r="AA724" s="12"/>
      <c r="AB724" s="12"/>
      <c r="AC724" s="12"/>
      <c r="AD724" s="12"/>
      <c r="BD724" s="13">
        <v>42522</v>
      </c>
      <c r="BE724" s="13">
        <v>42886</v>
      </c>
      <c r="BF724" s="12"/>
      <c r="BG724" s="12" t="s">
        <v>817</v>
      </c>
      <c r="BH724" s="14"/>
      <c r="BI724" s="12" t="s">
        <v>11420</v>
      </c>
      <c r="BJ724" s="12" t="s">
        <v>11421</v>
      </c>
      <c r="BK724" s="12" t="s">
        <v>11422</v>
      </c>
      <c r="BL724" s="12" t="s">
        <v>11445</v>
      </c>
      <c r="BM724" s="12" t="s">
        <v>11446</v>
      </c>
      <c r="BN724" s="12" t="s">
        <v>11447</v>
      </c>
      <c r="BO724" s="12" t="s">
        <v>320</v>
      </c>
      <c r="BP724" s="12" t="s">
        <v>319</v>
      </c>
      <c r="BQ724" s="12" t="s">
        <v>319</v>
      </c>
      <c r="BR724" s="12" t="s">
        <v>11618</v>
      </c>
      <c r="BS724" s="12" t="s">
        <v>357</v>
      </c>
      <c r="BT724" s="12" t="s">
        <v>11619</v>
      </c>
      <c r="BU724" s="12" t="s">
        <v>11620</v>
      </c>
      <c r="BV724" s="14">
        <v>178944</v>
      </c>
      <c r="BW724" s="14">
        <v>174421</v>
      </c>
      <c r="BX724" s="14">
        <v>353355</v>
      </c>
      <c r="BY724" s="14"/>
      <c r="BZ724" s="14"/>
      <c r="CA724" s="14"/>
      <c r="CB724" s="12" t="s">
        <v>11621</v>
      </c>
      <c r="CD724" s="14">
        <v>174128</v>
      </c>
      <c r="CE724" s="14">
        <v>169727</v>
      </c>
      <c r="CF724" s="14">
        <v>343855</v>
      </c>
      <c r="CG724" s="14"/>
      <c r="CH724" s="14"/>
      <c r="CI724" s="14"/>
      <c r="CJ724" s="12"/>
      <c r="CK724" s="14"/>
      <c r="CL724" s="16"/>
      <c r="CM724" s="14"/>
      <c r="CN724" s="12"/>
      <c r="CO724" s="14"/>
      <c r="CP724" s="16"/>
      <c r="CQ724" s="14"/>
      <c r="CR724" s="12"/>
      <c r="CS724" s="14"/>
      <c r="CT724" s="16"/>
      <c r="CU724" s="14"/>
      <c r="CV724" s="12"/>
      <c r="CW724" s="14"/>
      <c r="CX724" s="16"/>
      <c r="CY724" s="14"/>
      <c r="CZ724" s="12"/>
      <c r="DA724" s="14"/>
      <c r="DB724" s="16"/>
      <c r="DC724" s="14"/>
      <c r="DD724" s="12"/>
      <c r="DE724" s="14"/>
      <c r="DF724" s="16"/>
      <c r="DG724" s="14"/>
      <c r="DH724" s="12"/>
      <c r="DI724" s="14"/>
      <c r="DJ724" s="16"/>
      <c r="DK724" s="14"/>
      <c r="DL724" s="12"/>
      <c r="DM724" s="14"/>
      <c r="DN724" s="16"/>
      <c r="DO724" s="14"/>
      <c r="DP724" s="12"/>
      <c r="DQ724" s="14"/>
      <c r="DR724" s="16"/>
      <c r="DS724" s="14"/>
      <c r="DT724" s="12"/>
      <c r="DU724" s="14"/>
      <c r="DV724" s="16"/>
      <c r="DW724" s="14"/>
      <c r="DX724" s="12"/>
      <c r="DY724" s="14"/>
      <c r="DZ724" s="16"/>
      <c r="EA724" s="14"/>
      <c r="EB724" s="11" t="s">
        <v>320</v>
      </c>
      <c r="EC724" s="14">
        <v>343855</v>
      </c>
      <c r="ED724" s="16">
        <v>0.5</v>
      </c>
      <c r="EE724" s="14"/>
      <c r="EF724" s="12"/>
      <c r="EG724" s="12"/>
      <c r="EH724" s="14"/>
      <c r="EI724" s="16"/>
      <c r="EJ724" s="14"/>
      <c r="EK724" s="14"/>
      <c r="EL724" s="14"/>
      <c r="EM724" s="14"/>
      <c r="EN724" s="14"/>
      <c r="EO724" s="14"/>
      <c r="EP724" s="14"/>
      <c r="EQ724" s="12"/>
      <c r="ER724" s="14"/>
      <c r="ES724" s="16"/>
      <c r="ET724" s="14"/>
      <c r="EU724" s="12"/>
      <c r="EV724" s="14"/>
      <c r="EW724" s="16"/>
      <c r="EX724" s="14"/>
      <c r="EY724" s="12"/>
      <c r="EZ724" s="14"/>
      <c r="FA724" s="16"/>
      <c r="FB724" s="14"/>
      <c r="FC724" s="12"/>
      <c r="FD724" s="14"/>
      <c r="FE724" s="16"/>
      <c r="FF724" s="14"/>
      <c r="FG724" s="12"/>
      <c r="FH724" s="14"/>
      <c r="FI724" s="16"/>
      <c r="FJ724" s="14"/>
      <c r="FK724" s="12"/>
      <c r="FL724" s="14"/>
      <c r="FM724" s="16"/>
      <c r="FN724" s="14"/>
      <c r="FO724" s="12"/>
      <c r="FP724" s="14"/>
      <c r="FQ724" s="16"/>
      <c r="FR724" s="14"/>
      <c r="FS724" s="12"/>
      <c r="FT724" s="14"/>
      <c r="FU724" s="16"/>
      <c r="FV724" s="14"/>
      <c r="FW724" s="12"/>
      <c r="FX724" s="14"/>
      <c r="FY724" s="16"/>
      <c r="FZ724" s="14"/>
      <c r="GA724" s="12"/>
      <c r="GB724" s="14"/>
      <c r="GC724" s="16"/>
      <c r="GD724" s="14"/>
      <c r="GE724" s="12"/>
      <c r="GF724" s="14"/>
      <c r="GG724" s="16"/>
      <c r="GH724" s="14"/>
      <c r="GI724" s="12"/>
      <c r="GJ724" s="14"/>
      <c r="GK724" s="16"/>
      <c r="GL724" s="14"/>
      <c r="GM724" s="12"/>
      <c r="GN724" s="14"/>
      <c r="GO724" s="16"/>
      <c r="GP724" s="14"/>
      <c r="GQ724" s="12"/>
      <c r="GR724" s="14"/>
      <c r="GS724" s="16"/>
      <c r="GT724" s="14"/>
      <c r="GU724" s="12"/>
      <c r="GV724" s="14"/>
      <c r="GW724" s="16"/>
      <c r="GX724" s="14"/>
      <c r="GY724" s="12"/>
      <c r="GZ724" s="14"/>
      <c r="HA724" s="16"/>
      <c r="HB724" s="14"/>
      <c r="HC724" s="12"/>
      <c r="HD724" s="12"/>
      <c r="HE724" s="14"/>
      <c r="HF724" s="16"/>
      <c r="HG724" s="14"/>
      <c r="HH724" s="12" t="s">
        <v>319</v>
      </c>
      <c r="HI724" s="12"/>
      <c r="HJ724" s="12"/>
      <c r="HK724" s="12" t="s">
        <v>320</v>
      </c>
      <c r="HL724" s="12" t="s">
        <v>319</v>
      </c>
      <c r="HM724" s="12"/>
      <c r="HN724" s="12"/>
      <c r="HO724" s="12" t="s">
        <v>11622</v>
      </c>
      <c r="HP724" s="12" t="s">
        <v>418</v>
      </c>
      <c r="HQ724" s="12"/>
      <c r="HR724" s="12"/>
      <c r="HS724" s="12"/>
      <c r="HT724" s="12"/>
      <c r="HU724" s="12"/>
      <c r="HV724" s="12"/>
      <c r="HW724" s="12"/>
      <c r="HX724" s="12"/>
      <c r="HY724" s="12"/>
      <c r="HZ724" s="12" t="s">
        <v>363</v>
      </c>
      <c r="IA724" s="12"/>
      <c r="IB724" s="12" t="s">
        <v>333</v>
      </c>
      <c r="IC724" s="12"/>
      <c r="ID724" s="12" t="s">
        <v>364</v>
      </c>
      <c r="IE724" s="12" t="s">
        <v>335</v>
      </c>
      <c r="IF724" s="12" t="s">
        <v>320</v>
      </c>
      <c r="IG724" s="12" t="s">
        <v>320</v>
      </c>
      <c r="IH724" s="12" t="s">
        <v>320</v>
      </c>
      <c r="II724" s="12" t="s">
        <v>320</v>
      </c>
      <c r="IJ724" s="12" t="str">
        <f t="shared" si="474"/>
        <v>2. Sensitive</v>
      </c>
      <c r="IK724" s="12">
        <f t="shared" si="475"/>
        <v>4</v>
      </c>
      <c r="IL724" s="12" t="s">
        <v>336</v>
      </c>
      <c r="IM724" s="12" t="s">
        <v>320</v>
      </c>
      <c r="IN724" s="12" t="s">
        <v>320</v>
      </c>
      <c r="IO724" s="12" t="s">
        <v>320</v>
      </c>
      <c r="IP724" s="12" t="s">
        <v>320</v>
      </c>
      <c r="IQ724" s="12" t="str">
        <f t="shared" si="476"/>
        <v>2. Accommodating</v>
      </c>
      <c r="IR724" s="12">
        <f t="shared" si="477"/>
        <v>4</v>
      </c>
      <c r="IS724" s="12" t="s">
        <v>337</v>
      </c>
      <c r="IT724" s="12" t="s">
        <v>320</v>
      </c>
      <c r="IU724" s="12" t="s">
        <v>320</v>
      </c>
      <c r="IV724" s="12" t="s">
        <v>320</v>
      </c>
      <c r="IW724" s="11" t="str">
        <f t="shared" si="478"/>
        <v>2. Sensitive</v>
      </c>
      <c r="IX724" s="12">
        <f t="shared" si="479"/>
        <v>3</v>
      </c>
      <c r="IY724" s="12" t="s">
        <v>338</v>
      </c>
      <c r="IZ724" s="12" t="s">
        <v>527</v>
      </c>
      <c r="JA724" s="12">
        <v>3</v>
      </c>
      <c r="JB724" s="12" t="s">
        <v>433</v>
      </c>
      <c r="JC724" s="12" t="s">
        <v>687</v>
      </c>
      <c r="JD724" s="12"/>
      <c r="JE724" s="12" t="s">
        <v>365</v>
      </c>
      <c r="JF724" s="12" t="s">
        <v>11623</v>
      </c>
      <c r="JG724" s="12" t="s">
        <v>11624</v>
      </c>
      <c r="JH724" s="12" t="s">
        <v>11625</v>
      </c>
      <c r="JI724" s="12" t="s">
        <v>11626</v>
      </c>
      <c r="JJ724" s="12"/>
      <c r="JK724" s="12"/>
      <c r="JL724" s="12"/>
      <c r="JM724" s="12"/>
      <c r="JN724" s="12"/>
      <c r="JO724" s="12" t="s">
        <v>11627</v>
      </c>
      <c r="JP724" s="15">
        <f t="shared" si="480"/>
        <v>343855</v>
      </c>
      <c r="JQ724" s="15">
        <f t="shared" si="481"/>
        <v>0</v>
      </c>
      <c r="JR724" s="279">
        <f t="shared" si="482"/>
        <v>0</v>
      </c>
      <c r="JS724" s="17">
        <f t="shared" si="483"/>
        <v>0.50639949978915533</v>
      </c>
      <c r="JT724" s="18" t="str">
        <f t="shared" si="484"/>
        <v/>
      </c>
      <c r="JU724" s="280">
        <f t="shared" si="485"/>
        <v>174128</v>
      </c>
      <c r="JV724" s="280">
        <f t="shared" si="486"/>
        <v>0</v>
      </c>
      <c r="JW724" s="319">
        <f t="shared" si="487"/>
        <v>1</v>
      </c>
      <c r="JX724" s="15">
        <f t="shared" si="488"/>
        <v>343855</v>
      </c>
      <c r="JY724" s="15">
        <f t="shared" si="489"/>
        <v>0</v>
      </c>
      <c r="JZ724" s="19">
        <f t="shared" si="490"/>
        <v>0</v>
      </c>
      <c r="KA724" s="52" t="str">
        <f t="shared" si="491"/>
        <v/>
      </c>
      <c r="KB724" s="15">
        <f t="shared" si="492"/>
        <v>0</v>
      </c>
      <c r="KC724" s="15">
        <f t="shared" si="493"/>
        <v>0</v>
      </c>
      <c r="KD724" s="20" t="str">
        <f t="shared" si="494"/>
        <v/>
      </c>
      <c r="KE724" s="52" t="str">
        <f t="shared" si="495"/>
        <v/>
      </c>
      <c r="KF724" s="15">
        <f t="shared" si="496"/>
        <v>0</v>
      </c>
      <c r="KG724" s="15">
        <f t="shared" si="497"/>
        <v>0</v>
      </c>
      <c r="KH724" s="21" t="str">
        <f t="shared" si="498"/>
        <v/>
      </c>
      <c r="KI724" s="52" t="str">
        <f t="shared" si="499"/>
        <v/>
      </c>
      <c r="KJ724" s="15">
        <f t="shared" si="500"/>
        <v>0</v>
      </c>
      <c r="KK724" s="15">
        <f t="shared" si="501"/>
        <v>0</v>
      </c>
      <c r="KL724" s="19" t="str">
        <f t="shared" si="502"/>
        <v/>
      </c>
      <c r="KM724" s="52" t="str">
        <f t="shared" si="503"/>
        <v/>
      </c>
      <c r="KN724" s="22">
        <f t="shared" si="504"/>
        <v>0</v>
      </c>
      <c r="KO724" s="22">
        <f t="shared" si="505"/>
        <v>0</v>
      </c>
      <c r="KP724" s="19" t="str">
        <f t="shared" si="506"/>
        <v/>
      </c>
      <c r="KQ724" s="11" t="str">
        <f t="shared" si="507"/>
        <v>2. Sensitive</v>
      </c>
      <c r="KR724" s="11" t="str">
        <f t="shared" si="508"/>
        <v>2. Accommodating</v>
      </c>
      <c r="KS724" s="11" t="str">
        <f t="shared" si="509"/>
        <v>2. Sensitive</v>
      </c>
      <c r="KT724" s="11" t="str">
        <f t="shared" si="510"/>
        <v>It did not develop any specific innovation</v>
      </c>
      <c r="KU724" s="11" t="str">
        <f t="shared" si="511"/>
        <v>Little or no advocacy</v>
      </c>
      <c r="KV724" s="11" t="str">
        <f t="shared" si="512"/>
        <v>It did not take tested solutions to scale</v>
      </c>
      <c r="KW724" s="11" t="str">
        <f t="shared" si="513"/>
        <v>Sudan - Reducing morbidity and malnutrition rates and increasing self-sufficiency through integrated WASH responses in East Darfur and South Darfur, Sudan</v>
      </c>
      <c r="KX724" s="11" t="str">
        <f t="shared" si="514"/>
        <v>Reducing morbidity and malnutrition rates and increasing self-sufficiency through integrated WASH responses in East Darfur and South Darfur, Sudan</v>
      </c>
      <c r="KY724" s="11" t="str">
        <f t="shared" si="515"/>
        <v>Sudan</v>
      </c>
      <c r="KZ724" s="12">
        <v>724</v>
      </c>
    </row>
    <row r="725" spans="1:312" x14ac:dyDescent="0.3">
      <c r="A725" s="12" t="s">
        <v>11417</v>
      </c>
      <c r="B725" s="12" t="s">
        <v>1874</v>
      </c>
      <c r="C725" s="12">
        <v>3379</v>
      </c>
      <c r="D725" s="12" t="s">
        <v>11443</v>
      </c>
      <c r="E725" s="277" t="str">
        <f t="shared" si="473"/>
        <v>Sudan</v>
      </c>
      <c r="F725" s="12" t="s">
        <v>11444</v>
      </c>
      <c r="G725" s="12" t="s">
        <v>425</v>
      </c>
      <c r="H725" s="12" t="s">
        <v>380</v>
      </c>
      <c r="I725" s="12" t="s">
        <v>517</v>
      </c>
      <c r="J725" s="281" t="s">
        <v>14578</v>
      </c>
      <c r="K725" s="12"/>
      <c r="L725" s="12"/>
      <c r="M725" s="12"/>
      <c r="N725" s="12"/>
      <c r="O725" s="12"/>
      <c r="P725" s="12"/>
      <c r="Q725" s="12"/>
      <c r="R725" s="12"/>
      <c r="S725" s="12"/>
      <c r="T725" s="12"/>
      <c r="U725" s="12"/>
      <c r="V725" s="12"/>
      <c r="W725" s="12"/>
      <c r="X725" s="12"/>
      <c r="Y725" s="12"/>
      <c r="Z725" s="12"/>
      <c r="AA725" s="12"/>
      <c r="AB725" s="12"/>
      <c r="AC725" s="12"/>
      <c r="AD725" s="12"/>
      <c r="BD725" s="13">
        <v>41970</v>
      </c>
      <c r="BE725" s="13">
        <v>42700</v>
      </c>
      <c r="BF725" s="12"/>
      <c r="BG725" s="12" t="s">
        <v>749</v>
      </c>
      <c r="BH725" s="14">
        <v>1701728.78</v>
      </c>
      <c r="BI725" s="12" t="s">
        <v>11433</v>
      </c>
      <c r="BJ725" s="12" t="s">
        <v>11434</v>
      </c>
      <c r="BK725" s="12" t="s">
        <v>11435</v>
      </c>
      <c r="BL725" s="12" t="s">
        <v>11445</v>
      </c>
      <c r="BM725" s="12" t="s">
        <v>11446</v>
      </c>
      <c r="BN725" s="12" t="s">
        <v>11447</v>
      </c>
      <c r="BO725" s="12" t="s">
        <v>319</v>
      </c>
      <c r="BP725" s="12" t="s">
        <v>320</v>
      </c>
      <c r="BQ725" s="12" t="s">
        <v>319</v>
      </c>
      <c r="BR725" s="12" t="s">
        <v>11448</v>
      </c>
      <c r="BS725" s="12" t="s">
        <v>357</v>
      </c>
      <c r="BT725" s="12" t="s">
        <v>11449</v>
      </c>
      <c r="BU725" s="12" t="s">
        <v>11450</v>
      </c>
      <c r="BV725" s="14">
        <v>15621</v>
      </c>
      <c r="BW725" s="14">
        <v>12275</v>
      </c>
      <c r="BX725" s="14">
        <v>27896</v>
      </c>
      <c r="BY725" s="14">
        <v>19129</v>
      </c>
      <c r="BZ725" s="14">
        <v>17699</v>
      </c>
      <c r="CA725" s="14">
        <v>36828</v>
      </c>
      <c r="CB725" s="12" t="s">
        <v>11451</v>
      </c>
      <c r="CD725" s="14"/>
      <c r="CE725" s="14"/>
      <c r="CF725" s="14"/>
      <c r="CG725" s="14"/>
      <c r="CH725" s="14"/>
      <c r="CI725" s="14"/>
      <c r="CJ725" s="12"/>
      <c r="CK725" s="14"/>
      <c r="CL725" s="16"/>
      <c r="CM725" s="14"/>
      <c r="CN725" s="12"/>
      <c r="CO725" s="14"/>
      <c r="CP725" s="16"/>
      <c r="CQ725" s="14"/>
      <c r="CR725" s="12"/>
      <c r="CS725" s="14"/>
      <c r="CT725" s="16"/>
      <c r="CU725" s="14"/>
      <c r="CV725" s="12"/>
      <c r="CW725" s="14"/>
      <c r="CX725" s="16"/>
      <c r="CY725" s="14"/>
      <c r="CZ725" s="12"/>
      <c r="DA725" s="14"/>
      <c r="DB725" s="16"/>
      <c r="DC725" s="14"/>
      <c r="DD725" s="12"/>
      <c r="DE725" s="14"/>
      <c r="DF725" s="16"/>
      <c r="DG725" s="14"/>
      <c r="DH725" s="12"/>
      <c r="DI725" s="14"/>
      <c r="DJ725" s="16"/>
      <c r="DK725" s="14"/>
      <c r="DL725" s="12"/>
      <c r="DM725" s="14"/>
      <c r="DN725" s="16"/>
      <c r="DO725" s="14"/>
      <c r="DP725" s="12"/>
      <c r="DQ725" s="14"/>
      <c r="DR725" s="16"/>
      <c r="DS725" s="14"/>
      <c r="DT725" s="12"/>
      <c r="DU725" s="14"/>
      <c r="DV725" s="16"/>
      <c r="DW725" s="14"/>
      <c r="DX725" s="12"/>
      <c r="DY725" s="14"/>
      <c r="DZ725" s="16"/>
      <c r="EA725" s="14"/>
      <c r="EB725" s="12"/>
      <c r="EC725" s="14"/>
      <c r="ED725" s="16"/>
      <c r="EE725" s="14"/>
      <c r="EF725" s="12"/>
      <c r="EG725" s="12"/>
      <c r="EH725" s="14"/>
      <c r="EI725" s="16"/>
      <c r="EJ725" s="14"/>
      <c r="EK725" s="14">
        <v>15621</v>
      </c>
      <c r="EL725" s="14">
        <v>12275</v>
      </c>
      <c r="EM725" s="14">
        <v>27896</v>
      </c>
      <c r="EN725" s="14">
        <v>19129</v>
      </c>
      <c r="EO725" s="14">
        <v>17699</v>
      </c>
      <c r="EP725" s="14">
        <v>36828</v>
      </c>
      <c r="EQ725" s="12" t="s">
        <v>320</v>
      </c>
      <c r="ER725" s="14">
        <v>1157</v>
      </c>
      <c r="ES725" s="16">
        <v>0.49</v>
      </c>
      <c r="ET725" s="14"/>
      <c r="EU725" s="12" t="s">
        <v>320</v>
      </c>
      <c r="EV725" s="14"/>
      <c r="EW725" s="16"/>
      <c r="EX725" s="14"/>
      <c r="EY725" s="12" t="s">
        <v>320</v>
      </c>
      <c r="EZ725" s="14"/>
      <c r="FA725" s="16"/>
      <c r="FB725" s="14"/>
      <c r="FC725" s="12"/>
      <c r="FD725" s="14"/>
      <c r="FE725" s="16"/>
      <c r="FF725" s="14"/>
      <c r="FG725" s="12" t="s">
        <v>320</v>
      </c>
      <c r="FH725" s="14">
        <v>6185</v>
      </c>
      <c r="FI725" s="16">
        <v>0.52</v>
      </c>
      <c r="FJ725" s="14"/>
      <c r="FK725" s="12"/>
      <c r="FL725" s="14"/>
      <c r="FM725" s="16"/>
      <c r="FN725" s="14"/>
      <c r="FO725" s="12"/>
      <c r="FP725" s="14"/>
      <c r="FQ725" s="16"/>
      <c r="FR725" s="14"/>
      <c r="FS725" s="12"/>
      <c r="FT725" s="14"/>
      <c r="FU725" s="16"/>
      <c r="FV725" s="14"/>
      <c r="FW725" s="12"/>
      <c r="FX725" s="14"/>
      <c r="FY725" s="16"/>
      <c r="FZ725" s="14"/>
      <c r="GA725" s="12"/>
      <c r="GB725" s="14"/>
      <c r="GC725" s="16"/>
      <c r="GD725" s="14"/>
      <c r="GE725" s="12"/>
      <c r="GF725" s="14"/>
      <c r="GG725" s="16"/>
      <c r="GH725" s="14"/>
      <c r="GI725" s="11" t="s">
        <v>320</v>
      </c>
      <c r="GJ725" s="14">
        <v>19697</v>
      </c>
      <c r="GK725" s="16">
        <v>0.6</v>
      </c>
      <c r="GL725" s="14"/>
      <c r="GM725" s="12"/>
      <c r="GN725" s="14"/>
      <c r="GO725" s="16"/>
      <c r="GP725" s="14"/>
      <c r="GQ725" s="12"/>
      <c r="GR725" s="14"/>
      <c r="GS725" s="16"/>
      <c r="GT725" s="14"/>
      <c r="GU725" s="12"/>
      <c r="GV725" s="14"/>
      <c r="GW725" s="16"/>
      <c r="GX725" s="14"/>
      <c r="GY725" s="12"/>
      <c r="GZ725" s="14"/>
      <c r="HA725" s="16"/>
      <c r="HB725" s="14"/>
      <c r="HC725" s="12"/>
      <c r="HD725" s="12"/>
      <c r="HE725" s="14"/>
      <c r="HF725" s="16"/>
      <c r="HG725" s="14"/>
      <c r="HH725" s="12" t="s">
        <v>320</v>
      </c>
      <c r="HI725" s="12" t="s">
        <v>1175</v>
      </c>
      <c r="HJ725" s="12">
        <v>2017</v>
      </c>
      <c r="HK725" s="12" t="s">
        <v>320</v>
      </c>
      <c r="HL725" s="12" t="s">
        <v>319</v>
      </c>
      <c r="HM725" s="12"/>
      <c r="HN725" s="12"/>
      <c r="HO725" s="12"/>
      <c r="HP725" s="12" t="s">
        <v>453</v>
      </c>
      <c r="HQ725" s="12" t="s">
        <v>320</v>
      </c>
      <c r="HR725" s="12" t="s">
        <v>320</v>
      </c>
      <c r="HS725" s="12" t="s">
        <v>320</v>
      </c>
      <c r="HT725" s="12"/>
      <c r="HU725" s="12" t="s">
        <v>320</v>
      </c>
      <c r="HV725" s="12"/>
      <c r="HW725" s="12"/>
      <c r="HX725" s="12"/>
      <c r="HY725" s="12"/>
      <c r="HZ725" s="12" t="s">
        <v>363</v>
      </c>
      <c r="IA725" s="12"/>
      <c r="IB725" s="12" t="s">
        <v>333</v>
      </c>
      <c r="IC725" s="12"/>
      <c r="ID725" s="12" t="s">
        <v>364</v>
      </c>
      <c r="IE725" s="12" t="s">
        <v>478</v>
      </c>
      <c r="IF725" s="12" t="s">
        <v>320</v>
      </c>
      <c r="IG725" s="12" t="s">
        <v>320</v>
      </c>
      <c r="IH725" s="12" t="s">
        <v>320</v>
      </c>
      <c r="II725" s="12" t="s">
        <v>320</v>
      </c>
      <c r="IJ725" s="12" t="str">
        <f t="shared" si="474"/>
        <v>4. Transformative</v>
      </c>
      <c r="IK725" s="12">
        <f t="shared" si="475"/>
        <v>4</v>
      </c>
      <c r="IL725" s="11" t="s">
        <v>621</v>
      </c>
      <c r="IM725" s="12" t="s">
        <v>320</v>
      </c>
      <c r="IN725" s="12" t="s">
        <v>320</v>
      </c>
      <c r="IO725" s="12" t="s">
        <v>320</v>
      </c>
      <c r="IP725" s="12" t="s">
        <v>320</v>
      </c>
      <c r="IQ725" s="12" t="str">
        <f t="shared" si="476"/>
        <v>4. Transformational</v>
      </c>
      <c r="IR725" s="12">
        <f t="shared" si="477"/>
        <v>4</v>
      </c>
      <c r="IS725" s="12" t="s">
        <v>622</v>
      </c>
      <c r="IT725" s="12" t="s">
        <v>320</v>
      </c>
      <c r="IU725" s="12" t="s">
        <v>320</v>
      </c>
      <c r="IV725" s="12" t="s">
        <v>320</v>
      </c>
      <c r="IW725" s="11" t="str">
        <f t="shared" si="478"/>
        <v>4. Transformative</v>
      </c>
      <c r="IX725" s="12">
        <f t="shared" si="479"/>
        <v>3</v>
      </c>
      <c r="IY725" s="12" t="s">
        <v>758</v>
      </c>
      <c r="IZ725" s="12" t="s">
        <v>432</v>
      </c>
      <c r="JA725" s="12">
        <v>3</v>
      </c>
      <c r="JB725" s="12" t="s">
        <v>433</v>
      </c>
      <c r="JC725" s="12" t="s">
        <v>687</v>
      </c>
      <c r="JD725" s="12"/>
      <c r="JE725" s="12" t="s">
        <v>340</v>
      </c>
      <c r="JF725" s="12" t="s">
        <v>11452</v>
      </c>
      <c r="JG725" s="12" t="s">
        <v>11453</v>
      </c>
      <c r="JH725" s="12" t="s">
        <v>11454</v>
      </c>
      <c r="JI725" s="12" t="s">
        <v>11455</v>
      </c>
      <c r="JJ725" s="12" t="s">
        <v>11456</v>
      </c>
      <c r="JK725" s="12"/>
      <c r="JL725" s="12"/>
      <c r="JM725" s="12"/>
      <c r="JN725" s="12" t="s">
        <v>11457</v>
      </c>
      <c r="JO725" s="12" t="s">
        <v>11458</v>
      </c>
      <c r="JP725" s="15">
        <f t="shared" si="480"/>
        <v>27896</v>
      </c>
      <c r="JQ725" s="15">
        <f t="shared" si="481"/>
        <v>36828</v>
      </c>
      <c r="JR725" s="279">
        <f t="shared" si="482"/>
        <v>1.3201892744479495</v>
      </c>
      <c r="JS725" s="17">
        <f t="shared" si="483"/>
        <v>0.55997275595067397</v>
      </c>
      <c r="JT725" s="18">
        <f t="shared" si="484"/>
        <v>0.51941457586618878</v>
      </c>
      <c r="JU725" s="280">
        <f t="shared" si="485"/>
        <v>15621</v>
      </c>
      <c r="JV725" s="280">
        <f t="shared" si="486"/>
        <v>19129</v>
      </c>
      <c r="JW725" s="319" t="str">
        <f t="shared" si="487"/>
        <v/>
      </c>
      <c r="JX725" s="15">
        <f t="shared" si="488"/>
        <v>0</v>
      </c>
      <c r="JY725" s="15">
        <f t="shared" si="489"/>
        <v>0</v>
      </c>
      <c r="JZ725" s="19" t="str">
        <f t="shared" si="490"/>
        <v/>
      </c>
      <c r="KA725" s="52">
        <f t="shared" si="491"/>
        <v>1</v>
      </c>
      <c r="KB725" s="15">
        <f t="shared" si="492"/>
        <v>19697</v>
      </c>
      <c r="KC725" s="15">
        <f t="shared" si="493"/>
        <v>0</v>
      </c>
      <c r="KD725" s="20">
        <f t="shared" si="494"/>
        <v>0</v>
      </c>
      <c r="KE725" s="52" t="str">
        <f t="shared" si="495"/>
        <v/>
      </c>
      <c r="KF725" s="15">
        <f t="shared" si="496"/>
        <v>0</v>
      </c>
      <c r="KG725" s="15">
        <f t="shared" si="497"/>
        <v>0</v>
      </c>
      <c r="KH725" s="21" t="str">
        <f t="shared" si="498"/>
        <v/>
      </c>
      <c r="KI725" s="52" t="str">
        <f t="shared" si="499"/>
        <v/>
      </c>
      <c r="KJ725" s="15">
        <f t="shared" si="500"/>
        <v>0</v>
      </c>
      <c r="KK725" s="15">
        <f t="shared" si="501"/>
        <v>0</v>
      </c>
      <c r="KL725" s="19" t="str">
        <f t="shared" si="502"/>
        <v/>
      </c>
      <c r="KM725" s="52">
        <f t="shared" si="503"/>
        <v>1</v>
      </c>
      <c r="KN725" s="22">
        <f t="shared" si="504"/>
        <v>3216.2000000000003</v>
      </c>
      <c r="KO725" s="22">
        <f t="shared" si="505"/>
        <v>0</v>
      </c>
      <c r="KP725" s="19">
        <f t="shared" si="506"/>
        <v>0</v>
      </c>
      <c r="KQ725" s="11" t="str">
        <f t="shared" si="507"/>
        <v>4. Transformative</v>
      </c>
      <c r="KR725" s="11" t="str">
        <f t="shared" si="508"/>
        <v>4. Transformational</v>
      </c>
      <c r="KS725" s="11" t="str">
        <f t="shared" si="509"/>
        <v>4. Transformative</v>
      </c>
      <c r="KT725" s="11" t="str">
        <f t="shared" si="510"/>
        <v>It did not develop any specific innovation</v>
      </c>
      <c r="KU725" s="11" t="str">
        <f t="shared" si="511"/>
        <v>Intensive advocacy</v>
      </c>
      <c r="KV725" s="11" t="str">
        <f t="shared" si="512"/>
        <v>It did not take tested solutions to scale</v>
      </c>
      <c r="KW725" s="11" t="str">
        <f t="shared" si="513"/>
        <v>Sudan - Secure Economies and Diversified Livelihoods for Peaceful Coexistence in South Darfur and South Kordofan (SEED)</v>
      </c>
      <c r="KX725" s="11" t="str">
        <f t="shared" si="514"/>
        <v>Secure Economies and Diversified Livelihoods for Peaceful Coexistence in South Darfur and South Kordofan (SEED)</v>
      </c>
      <c r="KY725" s="11" t="str">
        <f t="shared" si="515"/>
        <v>Sudan</v>
      </c>
      <c r="KZ725" s="12">
        <v>725</v>
      </c>
    </row>
    <row r="726" spans="1:312" x14ac:dyDescent="0.3">
      <c r="A726" s="12" t="s">
        <v>11417</v>
      </c>
      <c r="B726" s="12" t="s">
        <v>1874</v>
      </c>
      <c r="C726" s="12">
        <v>3391</v>
      </c>
      <c r="D726" s="12" t="s">
        <v>11494</v>
      </c>
      <c r="E726" s="277" t="str">
        <f t="shared" si="473"/>
        <v>Sudan</v>
      </c>
      <c r="F726" s="12" t="s">
        <v>11495</v>
      </c>
      <c r="G726" s="12" t="s">
        <v>379</v>
      </c>
      <c r="H726" s="12" t="s">
        <v>310</v>
      </c>
      <c r="I726" s="12" t="s">
        <v>655</v>
      </c>
      <c r="J726" s="281" t="s">
        <v>9916</v>
      </c>
      <c r="K726" s="12"/>
      <c r="L726" s="12"/>
      <c r="M726" s="12"/>
      <c r="N726" s="12"/>
      <c r="O726" s="12"/>
      <c r="P726" s="12"/>
      <c r="Q726" s="12"/>
      <c r="R726" s="12"/>
      <c r="S726" s="12"/>
      <c r="T726" s="12"/>
      <c r="U726" s="12"/>
      <c r="V726" s="12"/>
      <c r="W726" s="12"/>
      <c r="X726" s="12"/>
      <c r="Y726" s="12"/>
      <c r="Z726" s="12"/>
      <c r="AA726" s="12"/>
      <c r="AB726" s="12"/>
      <c r="AC726" s="12"/>
      <c r="AD726" s="12"/>
      <c r="BD726" s="13">
        <v>42263</v>
      </c>
      <c r="BE726" s="13">
        <v>42566</v>
      </c>
      <c r="BF726" s="12"/>
      <c r="BG726" s="12" t="s">
        <v>947</v>
      </c>
      <c r="BH726" s="14">
        <v>1500000</v>
      </c>
      <c r="BI726" s="12" t="s">
        <v>11496</v>
      </c>
      <c r="BJ726" s="12" t="s">
        <v>11497</v>
      </c>
      <c r="BK726" s="12" t="s">
        <v>11498</v>
      </c>
      <c r="BL726" s="12" t="s">
        <v>11423</v>
      </c>
      <c r="BM726" s="12" t="s">
        <v>1856</v>
      </c>
      <c r="BN726" s="12" t="s">
        <v>11476</v>
      </c>
      <c r="BO726" s="12" t="s">
        <v>320</v>
      </c>
      <c r="BP726" s="12" t="s">
        <v>319</v>
      </c>
      <c r="BQ726" s="12" t="s">
        <v>319</v>
      </c>
      <c r="BR726" s="12" t="s">
        <v>11499</v>
      </c>
      <c r="BS726" s="12" t="s">
        <v>357</v>
      </c>
      <c r="BT726" s="12" t="s">
        <v>11500</v>
      </c>
      <c r="BU726" s="12" t="s">
        <v>11501</v>
      </c>
      <c r="BV726" s="14">
        <v>168098</v>
      </c>
      <c r="BW726" s="14">
        <v>151764</v>
      </c>
      <c r="BX726" s="14">
        <v>319862</v>
      </c>
      <c r="BY726" s="14">
        <v>39431</v>
      </c>
      <c r="BZ726" s="14">
        <v>44581</v>
      </c>
      <c r="CA726" s="14">
        <v>84012</v>
      </c>
      <c r="CB726" s="12"/>
      <c r="CD726" s="38"/>
      <c r="CE726" s="38"/>
      <c r="CF726" s="38"/>
      <c r="CG726" s="38"/>
      <c r="CH726" s="38"/>
      <c r="CI726" s="38"/>
      <c r="CJ726" s="12"/>
      <c r="CK726" s="14"/>
      <c r="CL726" s="16"/>
      <c r="CM726" s="14"/>
      <c r="CN726" s="12"/>
      <c r="CO726" s="14"/>
      <c r="CP726" s="16"/>
      <c r="CQ726" s="14"/>
      <c r="CR726" s="12"/>
      <c r="CS726" s="14"/>
      <c r="CT726" s="16"/>
      <c r="CU726" s="14"/>
      <c r="CV726" s="31" t="s">
        <v>320</v>
      </c>
      <c r="CW726" s="38"/>
      <c r="CX726" s="310"/>
      <c r="CY726" s="38"/>
      <c r="CZ726" s="12"/>
      <c r="DA726" s="14"/>
      <c r="DB726" s="16"/>
      <c r="DC726" s="14"/>
      <c r="DD726" s="12"/>
      <c r="DE726" s="14"/>
      <c r="DF726" s="16"/>
      <c r="DG726" s="14"/>
      <c r="DH726" s="12"/>
      <c r="DI726" s="14"/>
      <c r="DJ726" s="16"/>
      <c r="DK726" s="14"/>
      <c r="DL726" s="12"/>
      <c r="DM726" s="14"/>
      <c r="DN726" s="16"/>
      <c r="DO726" s="14"/>
      <c r="DP726" s="12"/>
      <c r="DQ726" s="14"/>
      <c r="DR726" s="16"/>
      <c r="DS726" s="14"/>
      <c r="DT726" s="31"/>
      <c r="DU726" s="38"/>
      <c r="DV726" s="16"/>
      <c r="DW726" s="14">
        <v>209662</v>
      </c>
      <c r="DX726" s="12"/>
      <c r="DY726" s="14"/>
      <c r="DZ726" s="16"/>
      <c r="EA726" s="14"/>
      <c r="EB726" s="28"/>
      <c r="EC726" s="38"/>
      <c r="ED726" s="310"/>
      <c r="EE726" s="14">
        <v>69804</v>
      </c>
      <c r="EF726" s="12"/>
      <c r="EG726" s="12"/>
      <c r="EH726" s="14"/>
      <c r="EI726" s="16"/>
      <c r="EJ726" s="14"/>
      <c r="EK726" s="14"/>
      <c r="EL726" s="14"/>
      <c r="EM726" s="14"/>
      <c r="EN726" s="14"/>
      <c r="EO726" s="14"/>
      <c r="EP726" s="14"/>
      <c r="EQ726" s="12"/>
      <c r="ER726" s="14"/>
      <c r="ES726" s="16"/>
      <c r="ET726" s="14"/>
      <c r="EU726" s="12"/>
      <c r="EV726" s="14"/>
      <c r="EW726" s="16"/>
      <c r="EX726" s="14"/>
      <c r="EY726" s="12"/>
      <c r="EZ726" s="14"/>
      <c r="FA726" s="16"/>
      <c r="FB726" s="14"/>
      <c r="FC726" s="12"/>
      <c r="FD726" s="14"/>
      <c r="FE726" s="16"/>
      <c r="FF726" s="14"/>
      <c r="FG726" s="12"/>
      <c r="FH726" s="14"/>
      <c r="FI726" s="16"/>
      <c r="FJ726" s="14"/>
      <c r="FK726" s="12"/>
      <c r="FL726" s="14"/>
      <c r="FM726" s="16"/>
      <c r="FN726" s="14"/>
      <c r="FO726" s="12"/>
      <c r="FP726" s="14"/>
      <c r="FQ726" s="16"/>
      <c r="FR726" s="14"/>
      <c r="FS726" s="12"/>
      <c r="FT726" s="14"/>
      <c r="FU726" s="16"/>
      <c r="FV726" s="14"/>
      <c r="FW726" s="12"/>
      <c r="FX726" s="14"/>
      <c r="FY726" s="16"/>
      <c r="FZ726" s="14"/>
      <c r="GA726" s="12"/>
      <c r="GB726" s="14"/>
      <c r="GC726" s="16"/>
      <c r="GD726" s="14"/>
      <c r="GE726" s="12"/>
      <c r="GF726" s="14"/>
      <c r="GG726" s="16"/>
      <c r="GH726" s="14"/>
      <c r="GI726" s="12"/>
      <c r="GJ726" s="14"/>
      <c r="GK726" s="16"/>
      <c r="GL726" s="14"/>
      <c r="GM726" s="12"/>
      <c r="GN726" s="14"/>
      <c r="GO726" s="16"/>
      <c r="GP726" s="14"/>
      <c r="GQ726" s="12"/>
      <c r="GR726" s="14"/>
      <c r="GS726" s="16"/>
      <c r="GT726" s="14"/>
      <c r="GU726" s="12"/>
      <c r="GV726" s="14"/>
      <c r="GW726" s="16"/>
      <c r="GX726" s="14"/>
      <c r="GY726" s="12"/>
      <c r="GZ726" s="14"/>
      <c r="HA726" s="16"/>
      <c r="HB726" s="14"/>
      <c r="HC726" s="12"/>
      <c r="HD726" s="12"/>
      <c r="HE726" s="14"/>
      <c r="HF726" s="16"/>
      <c r="HG726" s="14"/>
      <c r="HH726" s="12" t="s">
        <v>319</v>
      </c>
      <c r="HI726" s="12"/>
      <c r="HJ726" s="12"/>
      <c r="HK726" s="12" t="s">
        <v>320</v>
      </c>
      <c r="HL726" s="12" t="s">
        <v>319</v>
      </c>
      <c r="HM726" s="12"/>
      <c r="HN726" s="12"/>
      <c r="HO726" s="12" t="s">
        <v>11502</v>
      </c>
      <c r="HP726" s="12" t="s">
        <v>453</v>
      </c>
      <c r="HQ726" s="12"/>
      <c r="HR726" s="12" t="s">
        <v>320</v>
      </c>
      <c r="HS726" s="12"/>
      <c r="HT726" s="12"/>
      <c r="HU726" s="12" t="s">
        <v>320</v>
      </c>
      <c r="HV726" s="12"/>
      <c r="HW726" s="12"/>
      <c r="HX726" s="12"/>
      <c r="HY726" s="12"/>
      <c r="HZ726" s="12" t="s">
        <v>363</v>
      </c>
      <c r="IA726" s="12"/>
      <c r="IB726" s="12" t="s">
        <v>396</v>
      </c>
      <c r="IC726" s="12" t="s">
        <v>11503</v>
      </c>
      <c r="ID726" s="12" t="s">
        <v>334</v>
      </c>
      <c r="IE726" s="12" t="s">
        <v>335</v>
      </c>
      <c r="IF726" s="12" t="s">
        <v>320</v>
      </c>
      <c r="IG726" s="12" t="s">
        <v>320</v>
      </c>
      <c r="IH726" s="12" t="s">
        <v>320</v>
      </c>
      <c r="II726" s="12" t="s">
        <v>320</v>
      </c>
      <c r="IJ726" s="12" t="str">
        <f t="shared" si="474"/>
        <v>2. Sensitive</v>
      </c>
      <c r="IK726" s="12">
        <f t="shared" si="475"/>
        <v>4</v>
      </c>
      <c r="IL726" s="12" t="s">
        <v>336</v>
      </c>
      <c r="IM726" s="12" t="s">
        <v>320</v>
      </c>
      <c r="IN726" s="12" t="s">
        <v>320</v>
      </c>
      <c r="IO726" s="12" t="s">
        <v>320</v>
      </c>
      <c r="IP726" s="12" t="s">
        <v>320</v>
      </c>
      <c r="IQ726" s="12" t="str">
        <f t="shared" si="476"/>
        <v>2. Accommodating</v>
      </c>
      <c r="IR726" s="12">
        <f t="shared" si="477"/>
        <v>4</v>
      </c>
      <c r="IS726" s="12" t="s">
        <v>337</v>
      </c>
      <c r="IT726" s="12" t="s">
        <v>320</v>
      </c>
      <c r="IU726" s="12" t="s">
        <v>319</v>
      </c>
      <c r="IV726" s="12" t="s">
        <v>320</v>
      </c>
      <c r="IW726" s="11" t="str">
        <f t="shared" si="478"/>
        <v>1. Neutral</v>
      </c>
      <c r="IX726" s="12">
        <f t="shared" si="479"/>
        <v>2</v>
      </c>
      <c r="IY726" s="12" t="s">
        <v>338</v>
      </c>
      <c r="IZ726" s="12" t="s">
        <v>457</v>
      </c>
      <c r="JA726" s="12">
        <v>3</v>
      </c>
      <c r="JB726" s="12" t="s">
        <v>687</v>
      </c>
      <c r="JC726" s="12" t="s">
        <v>433</v>
      </c>
      <c r="JD726" s="12" t="s">
        <v>651</v>
      </c>
      <c r="JE726" s="12" t="s">
        <v>340</v>
      </c>
      <c r="JF726" s="12" t="s">
        <v>11504</v>
      </c>
      <c r="JG726" s="12"/>
      <c r="JH726" s="12" t="s">
        <v>11505</v>
      </c>
      <c r="JI726" s="12" t="s">
        <v>11506</v>
      </c>
      <c r="JJ726" s="12" t="s">
        <v>11507</v>
      </c>
      <c r="JK726" s="12" t="s">
        <v>11508</v>
      </c>
      <c r="JL726" s="12" t="s">
        <v>11509</v>
      </c>
      <c r="JM726" s="12" t="s">
        <v>11510</v>
      </c>
      <c r="JN726" s="31" t="s">
        <v>14745</v>
      </c>
      <c r="JO726" s="12" t="s">
        <v>11511</v>
      </c>
      <c r="JP726" s="15">
        <f t="shared" si="480"/>
        <v>0</v>
      </c>
      <c r="JQ726" s="15">
        <f t="shared" si="481"/>
        <v>0</v>
      </c>
      <c r="JR726" s="279" t="str">
        <f t="shared" si="482"/>
        <v/>
      </c>
      <c r="JS726" s="17" t="str">
        <f t="shared" si="483"/>
        <v/>
      </c>
      <c r="JT726" s="18" t="str">
        <f t="shared" si="484"/>
        <v/>
      </c>
      <c r="JU726" s="280">
        <f t="shared" si="485"/>
        <v>0</v>
      </c>
      <c r="JV726" s="280">
        <f t="shared" si="486"/>
        <v>0</v>
      </c>
      <c r="JW726" s="319">
        <f t="shared" si="487"/>
        <v>1</v>
      </c>
      <c r="JX726" s="15">
        <f t="shared" si="488"/>
        <v>0</v>
      </c>
      <c r="JY726" s="15">
        <f t="shared" si="489"/>
        <v>0</v>
      </c>
      <c r="JZ726" s="19" t="str">
        <f t="shared" si="490"/>
        <v/>
      </c>
      <c r="KA726" s="52">
        <f t="shared" si="491"/>
        <v>1</v>
      </c>
      <c r="KB726" s="15">
        <f t="shared" si="492"/>
        <v>0</v>
      </c>
      <c r="KC726" s="15">
        <f t="shared" si="493"/>
        <v>0</v>
      </c>
      <c r="KD726" s="20" t="str">
        <f t="shared" si="494"/>
        <v/>
      </c>
      <c r="KE726" s="52" t="str">
        <f t="shared" si="495"/>
        <v/>
      </c>
      <c r="KF726" s="15">
        <f t="shared" si="496"/>
        <v>0</v>
      </c>
      <c r="KG726" s="15">
        <f t="shared" si="497"/>
        <v>209662</v>
      </c>
      <c r="KH726" s="21" t="str">
        <f t="shared" si="498"/>
        <v/>
      </c>
      <c r="KI726" s="52" t="str">
        <f t="shared" si="499"/>
        <v/>
      </c>
      <c r="KJ726" s="15">
        <f t="shared" si="500"/>
        <v>0</v>
      </c>
      <c r="KK726" s="15">
        <f t="shared" si="501"/>
        <v>0</v>
      </c>
      <c r="KL726" s="19" t="str">
        <f t="shared" si="502"/>
        <v/>
      </c>
      <c r="KM726" s="52" t="str">
        <f t="shared" si="503"/>
        <v/>
      </c>
      <c r="KN726" s="22">
        <f t="shared" si="504"/>
        <v>0</v>
      </c>
      <c r="KO726" s="22">
        <f t="shared" si="505"/>
        <v>0</v>
      </c>
      <c r="KP726" s="19" t="str">
        <f t="shared" si="506"/>
        <v/>
      </c>
      <c r="KQ726" s="11" t="str">
        <f t="shared" si="507"/>
        <v>2. Sensitive</v>
      </c>
      <c r="KR726" s="11" t="str">
        <f t="shared" si="508"/>
        <v>2. Accommodating</v>
      </c>
      <c r="KS726" s="11" t="str">
        <f t="shared" si="509"/>
        <v>1. Neutral</v>
      </c>
      <c r="KT726" s="11" t="str">
        <f t="shared" si="510"/>
        <v>It did not develop any specific innovation</v>
      </c>
      <c r="KU726" s="11" t="str">
        <f t="shared" si="511"/>
        <v>Intensive advocacy</v>
      </c>
      <c r="KV726" s="11" t="str">
        <f t="shared" si="512"/>
        <v>It linked and worked with strategic alliances and partners to take tested and effective solutions to scale</v>
      </c>
      <c r="KW726" s="11" t="str">
        <f t="shared" si="513"/>
        <v>Sudan - South Darfur Emergency Assistance Project</v>
      </c>
      <c r="KX726" s="11" t="str">
        <f t="shared" si="514"/>
        <v>South Darfur Emergency Assistance Project</v>
      </c>
      <c r="KY726" s="11" t="str">
        <f t="shared" si="515"/>
        <v>Sudan</v>
      </c>
      <c r="KZ726" s="287">
        <v>726</v>
      </c>
    </row>
    <row r="727" spans="1:312" x14ac:dyDescent="0.3">
      <c r="A727" s="12" t="s">
        <v>11417</v>
      </c>
      <c r="B727" s="12" t="s">
        <v>1874</v>
      </c>
      <c r="C727" s="12"/>
      <c r="D727" s="12" t="s">
        <v>11494</v>
      </c>
      <c r="E727" s="277" t="str">
        <f t="shared" si="473"/>
        <v>Sudan</v>
      </c>
      <c r="F727" s="12" t="s">
        <v>11495</v>
      </c>
      <c r="G727" s="12" t="s">
        <v>379</v>
      </c>
      <c r="H727" s="12" t="s">
        <v>310</v>
      </c>
      <c r="I727" s="12" t="s">
        <v>655</v>
      </c>
      <c r="J727" s="281" t="s">
        <v>9916</v>
      </c>
      <c r="K727" s="12"/>
      <c r="L727" s="12"/>
      <c r="M727" s="12"/>
      <c r="N727" s="12"/>
      <c r="O727" s="12"/>
      <c r="P727" s="12"/>
      <c r="Q727" s="12"/>
      <c r="R727" s="12"/>
      <c r="S727" s="12"/>
      <c r="T727" s="12"/>
      <c r="U727" s="12"/>
      <c r="V727" s="12"/>
      <c r="W727" s="12"/>
      <c r="X727" s="12"/>
      <c r="Y727" s="12"/>
      <c r="Z727" s="12"/>
      <c r="AA727" s="12"/>
      <c r="AB727" s="12"/>
      <c r="AC727" s="12"/>
      <c r="AD727" s="12"/>
      <c r="BD727" s="13">
        <v>42566</v>
      </c>
      <c r="BE727" s="13">
        <v>42869</v>
      </c>
      <c r="BF727" s="13">
        <v>43234</v>
      </c>
      <c r="BG727" s="12" t="s">
        <v>947</v>
      </c>
      <c r="BH727" s="14">
        <v>2700000</v>
      </c>
      <c r="BI727" s="12" t="s">
        <v>11496</v>
      </c>
      <c r="BJ727" s="12" t="s">
        <v>11497</v>
      </c>
      <c r="BK727" s="12" t="s">
        <v>11498</v>
      </c>
      <c r="BL727" s="12" t="s">
        <v>11423</v>
      </c>
      <c r="BM727" s="12" t="s">
        <v>1856</v>
      </c>
      <c r="BN727" s="12" t="s">
        <v>11476</v>
      </c>
      <c r="BO727" s="12" t="s">
        <v>320</v>
      </c>
      <c r="BP727" s="12" t="s">
        <v>319</v>
      </c>
      <c r="BQ727" s="12" t="s">
        <v>319</v>
      </c>
      <c r="BR727" s="12" t="s">
        <v>11512</v>
      </c>
      <c r="BS727" s="12" t="s">
        <v>357</v>
      </c>
      <c r="BT727" s="12" t="s">
        <v>11513</v>
      </c>
      <c r="BU727" s="12" t="s">
        <v>11501</v>
      </c>
      <c r="BV727" s="14">
        <v>145003</v>
      </c>
      <c r="BW727" s="14">
        <v>139317</v>
      </c>
      <c r="BX727" s="14">
        <v>284320</v>
      </c>
      <c r="BY727" s="14"/>
      <c r="BZ727" s="14"/>
      <c r="CA727" s="14"/>
      <c r="CB727" s="12" t="s">
        <v>11514</v>
      </c>
      <c r="CD727" s="14">
        <v>162000</v>
      </c>
      <c r="CE727" s="14">
        <v>108000</v>
      </c>
      <c r="CF727" s="14">
        <v>270000</v>
      </c>
      <c r="CG727" s="14"/>
      <c r="CH727" s="14"/>
      <c r="CI727" s="14"/>
      <c r="CJ727" s="12"/>
      <c r="CK727" s="14"/>
      <c r="CL727" s="16"/>
      <c r="CM727" s="14"/>
      <c r="CN727" s="12"/>
      <c r="CO727" s="14"/>
      <c r="CP727" s="16"/>
      <c r="CQ727" s="14"/>
      <c r="CR727" s="12"/>
      <c r="CS727" s="14"/>
      <c r="CT727" s="16"/>
      <c r="CU727" s="14"/>
      <c r="CV727" s="12" t="s">
        <v>320</v>
      </c>
      <c r="CW727" s="14">
        <v>78173</v>
      </c>
      <c r="CX727" s="16">
        <v>0.88</v>
      </c>
      <c r="CY727" s="14"/>
      <c r="CZ727" s="12"/>
      <c r="DA727" s="14"/>
      <c r="DB727" s="16"/>
      <c r="DC727" s="14"/>
      <c r="DD727" s="12"/>
      <c r="DE727" s="14"/>
      <c r="DF727" s="16"/>
      <c r="DG727" s="14"/>
      <c r="DH727" s="12" t="s">
        <v>320</v>
      </c>
      <c r="DI727" s="14">
        <v>100078</v>
      </c>
      <c r="DJ727" s="16">
        <v>0.49</v>
      </c>
      <c r="DK727" s="14"/>
      <c r="DL727" s="12"/>
      <c r="DM727" s="14"/>
      <c r="DN727" s="16"/>
      <c r="DO727" s="14"/>
      <c r="DP727" s="12"/>
      <c r="DQ727" s="14"/>
      <c r="DR727" s="16"/>
      <c r="DS727" s="14"/>
      <c r="DT727" s="12" t="s">
        <v>320</v>
      </c>
      <c r="DU727" s="14">
        <v>4483</v>
      </c>
      <c r="DV727" s="16">
        <v>1</v>
      </c>
      <c r="DW727" s="14"/>
      <c r="DX727" s="12"/>
      <c r="DY727" s="14"/>
      <c r="DZ727" s="16"/>
      <c r="EA727" s="14"/>
      <c r="EB727" s="11" t="s">
        <v>320</v>
      </c>
      <c r="EC727" s="14">
        <v>252126</v>
      </c>
      <c r="ED727" s="16">
        <v>0.55000000000000004</v>
      </c>
      <c r="EE727" s="14"/>
      <c r="EF727" s="12"/>
      <c r="EG727" s="12"/>
      <c r="EH727" s="14"/>
      <c r="EI727" s="16"/>
      <c r="EJ727" s="14"/>
      <c r="EK727" s="14"/>
      <c r="EL727" s="14"/>
      <c r="EM727" s="14"/>
      <c r="EN727" s="14"/>
      <c r="EO727" s="14"/>
      <c r="EP727" s="14"/>
      <c r="EQ727" s="12"/>
      <c r="ER727" s="14"/>
      <c r="ES727" s="16"/>
      <c r="ET727" s="14"/>
      <c r="EU727" s="12"/>
      <c r="EV727" s="14"/>
      <c r="EW727" s="16"/>
      <c r="EX727" s="14"/>
      <c r="EY727" s="12"/>
      <c r="EZ727" s="14"/>
      <c r="FA727" s="16"/>
      <c r="FB727" s="14"/>
      <c r="FC727" s="12"/>
      <c r="FD727" s="14"/>
      <c r="FE727" s="16"/>
      <c r="FF727" s="14"/>
      <c r="FG727" s="12"/>
      <c r="FH727" s="14"/>
      <c r="FI727" s="16"/>
      <c r="FJ727" s="14"/>
      <c r="FK727" s="12"/>
      <c r="FL727" s="14"/>
      <c r="FM727" s="16"/>
      <c r="FN727" s="14"/>
      <c r="FO727" s="12"/>
      <c r="FP727" s="14"/>
      <c r="FQ727" s="16"/>
      <c r="FR727" s="14"/>
      <c r="FS727" s="12"/>
      <c r="FT727" s="14"/>
      <c r="FU727" s="16"/>
      <c r="FV727" s="14"/>
      <c r="FW727" s="12"/>
      <c r="FX727" s="14"/>
      <c r="FY727" s="16"/>
      <c r="FZ727" s="14"/>
      <c r="GA727" s="12"/>
      <c r="GB727" s="14"/>
      <c r="GC727" s="16"/>
      <c r="GD727" s="14"/>
      <c r="GE727" s="12"/>
      <c r="GF727" s="14"/>
      <c r="GG727" s="16"/>
      <c r="GH727" s="14"/>
      <c r="GI727" s="12"/>
      <c r="GJ727" s="14"/>
      <c r="GK727" s="16"/>
      <c r="GL727" s="14"/>
      <c r="GM727" s="12"/>
      <c r="GN727" s="14"/>
      <c r="GO727" s="16"/>
      <c r="GP727" s="14"/>
      <c r="GQ727" s="12"/>
      <c r="GR727" s="14"/>
      <c r="GS727" s="16"/>
      <c r="GT727" s="14"/>
      <c r="GU727" s="12"/>
      <c r="GV727" s="14"/>
      <c r="GW727" s="16"/>
      <c r="GX727" s="14"/>
      <c r="GY727" s="12"/>
      <c r="GZ727" s="14"/>
      <c r="HA727" s="16"/>
      <c r="HB727" s="14"/>
      <c r="HC727" s="12"/>
      <c r="HD727" s="12"/>
      <c r="HE727" s="14"/>
      <c r="HF727" s="16"/>
      <c r="HG727" s="14"/>
      <c r="HH727" s="12" t="s">
        <v>320</v>
      </c>
      <c r="HI727" s="12"/>
      <c r="HJ727" s="12"/>
      <c r="HK727" s="12" t="s">
        <v>320</v>
      </c>
      <c r="HL727" s="12" t="s">
        <v>319</v>
      </c>
      <c r="HM727" s="12"/>
      <c r="HN727" s="12"/>
      <c r="HO727" s="12" t="s">
        <v>11515</v>
      </c>
      <c r="HP727" s="12" t="s">
        <v>453</v>
      </c>
      <c r="HQ727" s="12"/>
      <c r="HR727" s="12" t="s">
        <v>320</v>
      </c>
      <c r="HS727" s="12"/>
      <c r="HT727" s="12"/>
      <c r="HU727" s="12" t="s">
        <v>320</v>
      </c>
      <c r="HV727" s="12"/>
      <c r="HW727" s="12"/>
      <c r="HX727" s="12"/>
      <c r="HY727" s="12"/>
      <c r="HZ727" s="12" t="s">
        <v>394</v>
      </c>
      <c r="IA727" s="12"/>
      <c r="IB727" s="12" t="s">
        <v>396</v>
      </c>
      <c r="IC727" s="12"/>
      <c r="ID727" s="12" t="s">
        <v>334</v>
      </c>
      <c r="IE727" s="12" t="s">
        <v>478</v>
      </c>
      <c r="IF727" s="12" t="s">
        <v>320</v>
      </c>
      <c r="IG727" s="12" t="s">
        <v>320</v>
      </c>
      <c r="IH727" s="12" t="s">
        <v>320</v>
      </c>
      <c r="II727" s="12" t="s">
        <v>320</v>
      </c>
      <c r="IJ727" s="12" t="str">
        <f t="shared" si="474"/>
        <v>4. Transformative</v>
      </c>
      <c r="IK727" s="12">
        <f t="shared" si="475"/>
        <v>4</v>
      </c>
      <c r="IL727" s="12" t="s">
        <v>336</v>
      </c>
      <c r="IM727" s="12" t="s">
        <v>320</v>
      </c>
      <c r="IN727" s="12" t="s">
        <v>320</v>
      </c>
      <c r="IO727" s="12" t="s">
        <v>320</v>
      </c>
      <c r="IP727" s="12" t="s">
        <v>320</v>
      </c>
      <c r="IQ727" s="12" t="str">
        <f t="shared" si="476"/>
        <v>2. Accommodating</v>
      </c>
      <c r="IR727" s="12">
        <f t="shared" si="477"/>
        <v>4</v>
      </c>
      <c r="IS727" s="12" t="s">
        <v>337</v>
      </c>
      <c r="IT727" s="12" t="s">
        <v>320</v>
      </c>
      <c r="IU727" s="12" t="s">
        <v>319</v>
      </c>
      <c r="IV727" s="12" t="s">
        <v>320</v>
      </c>
      <c r="IW727" s="11" t="str">
        <f t="shared" si="478"/>
        <v>1. Neutral</v>
      </c>
      <c r="IX727" s="12">
        <f t="shared" si="479"/>
        <v>2</v>
      </c>
      <c r="IY727" s="12" t="s">
        <v>338</v>
      </c>
      <c r="IZ727" s="12" t="s">
        <v>457</v>
      </c>
      <c r="JA727" s="12">
        <v>3</v>
      </c>
      <c r="JB727" s="12" t="s">
        <v>687</v>
      </c>
      <c r="JC727" s="12" t="s">
        <v>433</v>
      </c>
      <c r="JD727" s="12" t="s">
        <v>651</v>
      </c>
      <c r="JE727" s="12" t="s">
        <v>340</v>
      </c>
      <c r="JF727" s="12" t="s">
        <v>11504</v>
      </c>
      <c r="JG727" s="12"/>
      <c r="JH727" s="12" t="s">
        <v>11505</v>
      </c>
      <c r="JI727" s="12" t="s">
        <v>11506</v>
      </c>
      <c r="JJ727" s="12" t="s">
        <v>11507</v>
      </c>
      <c r="JK727" s="12" t="s">
        <v>11508</v>
      </c>
      <c r="JL727" s="12" t="s">
        <v>11509</v>
      </c>
      <c r="JM727" s="12" t="s">
        <v>11510</v>
      </c>
      <c r="JN727" s="12"/>
      <c r="JO727" s="12" t="s">
        <v>11511</v>
      </c>
      <c r="JP727" s="15">
        <f t="shared" si="480"/>
        <v>270000</v>
      </c>
      <c r="JQ727" s="15">
        <f t="shared" si="481"/>
        <v>0</v>
      </c>
      <c r="JR727" s="279">
        <f t="shared" si="482"/>
        <v>0</v>
      </c>
      <c r="JS727" s="17">
        <f t="shared" si="483"/>
        <v>0.6</v>
      </c>
      <c r="JT727" s="18" t="str">
        <f t="shared" si="484"/>
        <v/>
      </c>
      <c r="JU727" s="280">
        <f t="shared" si="485"/>
        <v>162000</v>
      </c>
      <c r="JV727" s="280">
        <f t="shared" si="486"/>
        <v>0</v>
      </c>
      <c r="JW727" s="319">
        <f t="shared" si="487"/>
        <v>1</v>
      </c>
      <c r="JX727" s="15">
        <f t="shared" si="488"/>
        <v>270000</v>
      </c>
      <c r="JY727" s="15">
        <f t="shared" si="489"/>
        <v>0</v>
      </c>
      <c r="JZ727" s="19">
        <f t="shared" si="490"/>
        <v>0</v>
      </c>
      <c r="KA727" s="52">
        <f t="shared" si="491"/>
        <v>1</v>
      </c>
      <c r="KB727" s="15">
        <f t="shared" si="492"/>
        <v>78173</v>
      </c>
      <c r="KC727" s="15">
        <f t="shared" si="493"/>
        <v>0</v>
      </c>
      <c r="KD727" s="20">
        <f t="shared" si="494"/>
        <v>0</v>
      </c>
      <c r="KE727" s="52">
        <f t="shared" si="495"/>
        <v>1</v>
      </c>
      <c r="KF727" s="15">
        <f t="shared" si="496"/>
        <v>4483</v>
      </c>
      <c r="KG727" s="15">
        <f t="shared" si="497"/>
        <v>0</v>
      </c>
      <c r="KH727" s="21">
        <f t="shared" si="498"/>
        <v>0</v>
      </c>
      <c r="KI727" s="52" t="str">
        <f t="shared" si="499"/>
        <v/>
      </c>
      <c r="KJ727" s="15">
        <f t="shared" si="500"/>
        <v>0</v>
      </c>
      <c r="KK727" s="15">
        <f t="shared" si="501"/>
        <v>0</v>
      </c>
      <c r="KL727" s="19" t="str">
        <f t="shared" si="502"/>
        <v/>
      </c>
      <c r="KM727" s="52" t="str">
        <f t="shared" si="503"/>
        <v/>
      </c>
      <c r="KN727" s="22">
        <f t="shared" si="504"/>
        <v>0</v>
      </c>
      <c r="KO727" s="22">
        <f t="shared" si="505"/>
        <v>0</v>
      </c>
      <c r="KP727" s="19" t="str">
        <f t="shared" si="506"/>
        <v/>
      </c>
      <c r="KQ727" s="11" t="str">
        <f t="shared" si="507"/>
        <v>4. Transformative</v>
      </c>
      <c r="KR727" s="11" t="str">
        <f t="shared" si="508"/>
        <v>2. Accommodating</v>
      </c>
      <c r="KS727" s="11" t="str">
        <f t="shared" si="509"/>
        <v>1. Neutral</v>
      </c>
      <c r="KT727" s="11" t="str">
        <f t="shared" si="510"/>
        <v>It tested new ways for fighting poverty, but did not measure results of innovation</v>
      </c>
      <c r="KU727" s="11" t="str">
        <f t="shared" si="511"/>
        <v>Intensive advocacy</v>
      </c>
      <c r="KV727" s="11" t="str">
        <f t="shared" si="512"/>
        <v>It linked and worked with strategic alliances and partners to take tested and effective solutions to scale</v>
      </c>
      <c r="KW727" s="11" t="str">
        <f t="shared" si="513"/>
        <v>Sudan - South Darfur Emergency Assistance Project</v>
      </c>
      <c r="KX727" s="11" t="str">
        <f t="shared" si="514"/>
        <v>South Darfur Emergency Assistance Project</v>
      </c>
      <c r="KY727" s="11" t="str">
        <f t="shared" si="515"/>
        <v>Sudan</v>
      </c>
      <c r="KZ727" s="12">
        <v>727</v>
      </c>
    </row>
    <row r="728" spans="1:312" x14ac:dyDescent="0.3">
      <c r="A728" s="282" t="s">
        <v>11417</v>
      </c>
      <c r="B728" s="282" t="s">
        <v>1874</v>
      </c>
      <c r="C728" s="282"/>
      <c r="D728" s="282" t="s">
        <v>11600</v>
      </c>
      <c r="E728" s="277" t="str">
        <f t="shared" si="473"/>
        <v>Sudan</v>
      </c>
      <c r="F728" s="282" t="s">
        <v>11601</v>
      </c>
      <c r="G728" s="282" t="s">
        <v>608</v>
      </c>
      <c r="H728" s="282" t="s">
        <v>380</v>
      </c>
      <c r="I728" s="282" t="s">
        <v>381</v>
      </c>
      <c r="J728" s="281" t="s">
        <v>8430</v>
      </c>
      <c r="K728" s="282"/>
      <c r="L728" s="282"/>
      <c r="M728" s="282"/>
      <c r="N728" s="282"/>
      <c r="O728" s="282"/>
      <c r="P728" s="282"/>
      <c r="Q728" s="282"/>
      <c r="R728" s="282"/>
      <c r="S728" s="282"/>
      <c r="T728" s="282"/>
      <c r="U728" s="282"/>
      <c r="V728" s="282"/>
      <c r="W728" s="282"/>
      <c r="X728" s="282"/>
      <c r="Y728" s="282"/>
      <c r="Z728" s="282"/>
      <c r="AA728" s="282"/>
      <c r="AB728" s="282"/>
      <c r="AC728" s="282"/>
      <c r="AD728" s="282"/>
      <c r="AE728" s="282"/>
      <c r="AF728" s="282"/>
      <c r="AG728" s="282"/>
      <c r="AH728" s="282"/>
      <c r="AI728" s="282"/>
      <c r="AJ728" s="282"/>
      <c r="AK728" s="282"/>
      <c r="AL728" s="282"/>
      <c r="AM728" s="282"/>
      <c r="AN728" s="282"/>
      <c r="AO728" s="282"/>
      <c r="AP728" s="282"/>
      <c r="AQ728" s="282"/>
      <c r="AR728" s="282"/>
      <c r="AS728" s="282"/>
      <c r="AT728" s="282"/>
      <c r="AU728" s="282"/>
      <c r="AV728" s="282"/>
      <c r="AW728" s="282"/>
      <c r="AX728" s="282"/>
      <c r="AY728" s="282"/>
      <c r="AZ728" s="282"/>
      <c r="BA728" s="282"/>
      <c r="BB728" s="282"/>
      <c r="BC728" s="282"/>
      <c r="BD728" s="283">
        <v>42675</v>
      </c>
      <c r="BE728" s="283">
        <v>42825</v>
      </c>
      <c r="BF728" s="283"/>
      <c r="BG728" s="283" t="s">
        <v>817</v>
      </c>
      <c r="BH728" s="284">
        <v>140000</v>
      </c>
      <c r="BI728" s="282" t="s">
        <v>11420</v>
      </c>
      <c r="BJ728" s="282" t="s">
        <v>11421</v>
      </c>
      <c r="BK728" s="282" t="s">
        <v>11602</v>
      </c>
      <c r="BL728" s="282" t="s">
        <v>11445</v>
      </c>
      <c r="BM728" s="282" t="s">
        <v>11446</v>
      </c>
      <c r="BN728" s="282" t="s">
        <v>11447</v>
      </c>
      <c r="BO728" s="282" t="s">
        <v>320</v>
      </c>
      <c r="BP728" s="282" t="s">
        <v>319</v>
      </c>
      <c r="BQ728" s="282" t="s">
        <v>319</v>
      </c>
      <c r="BR728" s="282" t="s">
        <v>11603</v>
      </c>
      <c r="BS728" s="282" t="s">
        <v>357</v>
      </c>
      <c r="BT728" s="282" t="s">
        <v>11604</v>
      </c>
      <c r="BU728" s="282" t="s">
        <v>11605</v>
      </c>
      <c r="BV728" s="284">
        <v>6375</v>
      </c>
      <c r="BW728" s="284">
        <v>6125</v>
      </c>
      <c r="BX728" s="284">
        <v>12500</v>
      </c>
      <c r="BY728" s="284"/>
      <c r="BZ728" s="284"/>
      <c r="CA728" s="284"/>
      <c r="CB728" s="285" t="s">
        <v>11606</v>
      </c>
      <c r="CC728" s="285"/>
      <c r="CD728" s="284">
        <v>6375</v>
      </c>
      <c r="CE728" s="284">
        <v>6125</v>
      </c>
      <c r="CF728" s="284">
        <v>12500</v>
      </c>
      <c r="CG728" s="284"/>
      <c r="CH728" s="284"/>
      <c r="CI728" s="284"/>
      <c r="CJ728" s="282"/>
      <c r="CK728" s="284"/>
      <c r="CL728" s="286"/>
      <c r="CM728" s="284"/>
      <c r="CN728" s="287"/>
      <c r="CO728" s="284"/>
      <c r="CP728" s="286"/>
      <c r="CQ728" s="284"/>
      <c r="CR728" s="282"/>
      <c r="CS728" s="284"/>
      <c r="CT728" s="286"/>
      <c r="CU728" s="284"/>
      <c r="CV728" s="292" t="s">
        <v>320</v>
      </c>
      <c r="CW728" s="300">
        <v>12500</v>
      </c>
      <c r="CX728" s="308">
        <v>0.51</v>
      </c>
      <c r="CY728" s="300"/>
      <c r="CZ728" s="282"/>
      <c r="DA728" s="284"/>
      <c r="DB728" s="286"/>
      <c r="DC728" s="284"/>
      <c r="DD728" s="287"/>
      <c r="DE728" s="284"/>
      <c r="DF728" s="286"/>
      <c r="DG728" s="284"/>
      <c r="DH728" s="282"/>
      <c r="DI728" s="284"/>
      <c r="DJ728" s="286"/>
      <c r="DK728" s="284"/>
      <c r="DL728" s="282"/>
      <c r="DM728" s="284"/>
      <c r="DN728" s="286"/>
      <c r="DO728" s="284"/>
      <c r="DP728" s="282"/>
      <c r="DQ728" s="284"/>
      <c r="DR728" s="286"/>
      <c r="DS728" s="284"/>
      <c r="DT728" s="282"/>
      <c r="DU728" s="284"/>
      <c r="DV728" s="286"/>
      <c r="DW728" s="284"/>
      <c r="DX728" s="282"/>
      <c r="DY728" s="284"/>
      <c r="DZ728" s="286"/>
      <c r="EA728" s="284"/>
      <c r="EB728" s="282" t="s">
        <v>320</v>
      </c>
      <c r="EC728" s="284">
        <v>12500</v>
      </c>
      <c r="ED728" s="286">
        <v>0.51</v>
      </c>
      <c r="EE728" s="284">
        <v>0</v>
      </c>
      <c r="EF728" s="285"/>
      <c r="EG728" s="287"/>
      <c r="EH728" s="284"/>
      <c r="EI728" s="286"/>
      <c r="EJ728" s="284"/>
      <c r="EK728" s="284"/>
      <c r="EL728" s="284"/>
      <c r="EM728" s="284"/>
      <c r="EN728" s="284"/>
      <c r="EO728" s="284"/>
      <c r="EP728" s="284"/>
      <c r="EQ728" s="282"/>
      <c r="ER728" s="284"/>
      <c r="ES728" s="286"/>
      <c r="ET728" s="284"/>
      <c r="EU728" s="305"/>
      <c r="EV728" s="300"/>
      <c r="EW728" s="308"/>
      <c r="EX728" s="300"/>
      <c r="EY728" s="282"/>
      <c r="EZ728" s="284"/>
      <c r="FA728" s="286"/>
      <c r="FB728" s="284"/>
      <c r="FC728" s="282"/>
      <c r="FD728" s="284"/>
      <c r="FE728" s="286"/>
      <c r="FF728" s="284"/>
      <c r="FG728" s="282"/>
      <c r="FH728" s="284"/>
      <c r="FI728" s="286"/>
      <c r="FJ728" s="284"/>
      <c r="FK728" s="282"/>
      <c r="FL728" s="284"/>
      <c r="FM728" s="286"/>
      <c r="FN728" s="284"/>
      <c r="FO728" s="305"/>
      <c r="FP728" s="300"/>
      <c r="FQ728" s="308"/>
      <c r="FR728" s="300"/>
      <c r="FS728" s="282"/>
      <c r="FT728" s="284"/>
      <c r="FU728" s="286"/>
      <c r="FV728" s="284"/>
      <c r="FW728" s="282"/>
      <c r="FX728" s="284"/>
      <c r="FY728" s="286"/>
      <c r="FZ728" s="284"/>
      <c r="GA728" s="282"/>
      <c r="GB728" s="284"/>
      <c r="GC728" s="286"/>
      <c r="GD728" s="284"/>
      <c r="GE728" s="282"/>
      <c r="GF728" s="284"/>
      <c r="GG728" s="286"/>
      <c r="GH728" s="284"/>
      <c r="GI728" s="282"/>
      <c r="GJ728" s="284"/>
      <c r="GK728" s="286"/>
      <c r="GL728" s="284"/>
      <c r="GM728" s="282"/>
      <c r="GN728" s="284"/>
      <c r="GO728" s="286"/>
      <c r="GP728" s="284"/>
      <c r="GQ728" s="282"/>
      <c r="GR728" s="284"/>
      <c r="GS728" s="286"/>
      <c r="GT728" s="284"/>
      <c r="GU728" s="282"/>
      <c r="GV728" s="284"/>
      <c r="GW728" s="286"/>
      <c r="GX728" s="284"/>
      <c r="GY728" s="282"/>
      <c r="GZ728" s="284"/>
      <c r="HA728" s="286"/>
      <c r="HB728" s="284"/>
      <c r="HC728" s="282"/>
      <c r="HD728" s="282"/>
      <c r="HE728" s="284"/>
      <c r="HF728" s="286"/>
      <c r="HG728" s="284"/>
      <c r="HH728" s="282" t="s">
        <v>319</v>
      </c>
      <c r="HI728" s="282"/>
      <c r="HJ728" s="282"/>
      <c r="HK728" s="282"/>
      <c r="HL728" s="282" t="s">
        <v>319</v>
      </c>
      <c r="HM728" s="282"/>
      <c r="HN728" s="282"/>
      <c r="HO728" s="282"/>
      <c r="HP728" s="282" t="s">
        <v>418</v>
      </c>
      <c r="HQ728" s="282"/>
      <c r="HR728" s="282"/>
      <c r="HS728" s="282"/>
      <c r="HT728" s="282"/>
      <c r="HU728" s="282"/>
      <c r="HV728" s="282"/>
      <c r="HW728" s="282"/>
      <c r="HX728" s="282"/>
      <c r="HY728" s="282"/>
      <c r="HZ728" s="282" t="s">
        <v>363</v>
      </c>
      <c r="IA728" s="282"/>
      <c r="IB728" s="282" t="s">
        <v>333</v>
      </c>
      <c r="IC728" s="282"/>
      <c r="ID728" s="282" t="s">
        <v>364</v>
      </c>
      <c r="IE728" s="282" t="s">
        <v>335</v>
      </c>
      <c r="IF728" s="282" t="s">
        <v>320</v>
      </c>
      <c r="IG728" s="282" t="s">
        <v>319</v>
      </c>
      <c r="IH728" s="282" t="s">
        <v>320</v>
      </c>
      <c r="II728" s="282" t="s">
        <v>320</v>
      </c>
      <c r="IJ728" s="12" t="str">
        <f t="shared" si="474"/>
        <v>1. Neutral</v>
      </c>
      <c r="IK728" s="287">
        <f t="shared" si="475"/>
        <v>3</v>
      </c>
      <c r="IL728" s="282" t="s">
        <v>336</v>
      </c>
      <c r="IM728" s="282" t="s">
        <v>320</v>
      </c>
      <c r="IN728" s="282" t="s">
        <v>319</v>
      </c>
      <c r="IO728" s="282" t="s">
        <v>320</v>
      </c>
      <c r="IP728" s="282" t="s">
        <v>320</v>
      </c>
      <c r="IQ728" s="287" t="str">
        <f t="shared" si="476"/>
        <v>2. Accommodating</v>
      </c>
      <c r="IR728" s="287">
        <f t="shared" si="477"/>
        <v>3</v>
      </c>
      <c r="IS728" s="282" t="s">
        <v>337</v>
      </c>
      <c r="IT728" s="282" t="s">
        <v>320</v>
      </c>
      <c r="IU728" s="282" t="s">
        <v>319</v>
      </c>
      <c r="IV728" s="282" t="s">
        <v>320</v>
      </c>
      <c r="IW728" s="11" t="str">
        <f t="shared" si="478"/>
        <v>1. Neutral</v>
      </c>
      <c r="IX728" s="287">
        <f t="shared" si="479"/>
        <v>2</v>
      </c>
      <c r="IY728" s="282" t="s">
        <v>338</v>
      </c>
      <c r="IZ728" s="282" t="s">
        <v>339</v>
      </c>
      <c r="JA728" s="282"/>
      <c r="JB728" s="282" t="s">
        <v>687</v>
      </c>
      <c r="JC728" s="282"/>
      <c r="JD728" s="282"/>
      <c r="JE728" s="282" t="s">
        <v>365</v>
      </c>
      <c r="JF728" s="282" t="s">
        <v>11607</v>
      </c>
      <c r="JG728" s="282"/>
      <c r="JH728" s="282"/>
      <c r="JI728" s="282"/>
      <c r="JJ728" s="282"/>
      <c r="JK728" s="282" t="s">
        <v>11608</v>
      </c>
      <c r="JL728" s="282"/>
      <c r="JM728" s="282"/>
      <c r="JN728" s="282"/>
      <c r="JO728" s="282" t="s">
        <v>11609</v>
      </c>
      <c r="JP728" s="15">
        <f t="shared" si="480"/>
        <v>12500</v>
      </c>
      <c r="JQ728" s="15">
        <f t="shared" si="481"/>
        <v>0</v>
      </c>
      <c r="JR728" s="279">
        <f t="shared" si="482"/>
        <v>0</v>
      </c>
      <c r="JS728" s="17">
        <f t="shared" si="483"/>
        <v>0.51</v>
      </c>
      <c r="JT728" s="18" t="str">
        <f t="shared" si="484"/>
        <v/>
      </c>
      <c r="JU728" s="280">
        <f t="shared" si="485"/>
        <v>6375</v>
      </c>
      <c r="JV728" s="280">
        <f t="shared" si="486"/>
        <v>0</v>
      </c>
      <c r="JW728" s="319">
        <f t="shared" si="487"/>
        <v>1</v>
      </c>
      <c r="JX728" s="15">
        <f t="shared" si="488"/>
        <v>12500</v>
      </c>
      <c r="JY728" s="15">
        <f t="shared" si="489"/>
        <v>0</v>
      </c>
      <c r="JZ728" s="19">
        <f t="shared" si="490"/>
        <v>0</v>
      </c>
      <c r="KA728" s="52">
        <f t="shared" si="491"/>
        <v>1</v>
      </c>
      <c r="KB728" s="15">
        <f t="shared" si="492"/>
        <v>12500</v>
      </c>
      <c r="KC728" s="15">
        <f t="shared" si="493"/>
        <v>0</v>
      </c>
      <c r="KD728" s="20">
        <f t="shared" si="494"/>
        <v>0</v>
      </c>
      <c r="KE728" s="52" t="str">
        <f t="shared" si="495"/>
        <v/>
      </c>
      <c r="KF728" s="15">
        <f t="shared" si="496"/>
        <v>0</v>
      </c>
      <c r="KG728" s="15">
        <f t="shared" si="497"/>
        <v>0</v>
      </c>
      <c r="KH728" s="21" t="str">
        <f t="shared" si="498"/>
        <v/>
      </c>
      <c r="KI728" s="52" t="str">
        <f t="shared" si="499"/>
        <v/>
      </c>
      <c r="KJ728" s="15">
        <f t="shared" si="500"/>
        <v>0</v>
      </c>
      <c r="KK728" s="15">
        <f t="shared" si="501"/>
        <v>0</v>
      </c>
      <c r="KL728" s="19" t="str">
        <f t="shared" si="502"/>
        <v/>
      </c>
      <c r="KM728" s="52" t="str">
        <f t="shared" si="503"/>
        <v/>
      </c>
      <c r="KN728" s="22">
        <f t="shared" si="504"/>
        <v>0</v>
      </c>
      <c r="KO728" s="22">
        <f t="shared" si="505"/>
        <v>0</v>
      </c>
      <c r="KP728" s="19" t="str">
        <f t="shared" si="506"/>
        <v/>
      </c>
      <c r="KQ728" s="11" t="str">
        <f t="shared" si="507"/>
        <v>1. Neutral</v>
      </c>
      <c r="KR728" s="11" t="str">
        <f t="shared" si="508"/>
        <v>2. Accommodating</v>
      </c>
      <c r="KS728" s="11" t="str">
        <f t="shared" si="509"/>
        <v>1. Neutral</v>
      </c>
      <c r="KT728" s="11" t="str">
        <f t="shared" si="510"/>
        <v>It did not develop any specific innovation</v>
      </c>
      <c r="KU728" s="11" t="str">
        <f t="shared" si="511"/>
        <v>Little or no advocacy</v>
      </c>
      <c r="KV728" s="11" t="str">
        <f t="shared" si="512"/>
        <v>It did not take tested solutions to scale</v>
      </c>
      <c r="KW728" s="11" t="str">
        <f t="shared" si="513"/>
        <v>Sudan - Sudan Emergency Response and Early Livelihoods Recovery</v>
      </c>
      <c r="KX728" s="11" t="str">
        <f t="shared" si="514"/>
        <v>Sudan Emergency Response and Early Livelihoods Recovery</v>
      </c>
      <c r="KY728" s="11" t="str">
        <f t="shared" si="515"/>
        <v>Sudan</v>
      </c>
      <c r="KZ728" s="12">
        <v>728</v>
      </c>
    </row>
    <row r="729" spans="1:312" x14ac:dyDescent="0.3">
      <c r="A729" s="12" t="s">
        <v>11417</v>
      </c>
      <c r="B729" s="12" t="s">
        <v>1874</v>
      </c>
      <c r="C729" s="12">
        <v>3392</v>
      </c>
      <c r="D729" s="12" t="s">
        <v>11459</v>
      </c>
      <c r="E729" s="277" t="str">
        <f t="shared" si="473"/>
        <v>Sudan</v>
      </c>
      <c r="F729" s="12" t="s">
        <v>11460</v>
      </c>
      <c r="G729" s="12" t="s">
        <v>425</v>
      </c>
      <c r="H729" s="12" t="s">
        <v>310</v>
      </c>
      <c r="I729" s="12" t="s">
        <v>426</v>
      </c>
      <c r="J729" s="278" t="s">
        <v>14563</v>
      </c>
      <c r="K729" s="12"/>
      <c r="L729" s="12"/>
      <c r="M729" s="12"/>
      <c r="N729" s="12"/>
      <c r="O729" s="12"/>
      <c r="P729" s="12"/>
      <c r="Q729" s="12"/>
      <c r="R729" s="12"/>
      <c r="S729" s="12"/>
      <c r="T729" s="12"/>
      <c r="U729" s="12"/>
      <c r="V729" s="12"/>
      <c r="W729" s="12"/>
      <c r="X729" s="12"/>
      <c r="Y729" s="12"/>
      <c r="Z729" s="12"/>
      <c r="AA729" s="12"/>
      <c r="AB729" s="12"/>
      <c r="AC729" s="12"/>
      <c r="AD729" s="12"/>
      <c r="BD729" s="13">
        <v>41699</v>
      </c>
      <c r="BE729" s="13">
        <v>42735</v>
      </c>
      <c r="BF729" s="12"/>
      <c r="BG729" s="12" t="s">
        <v>749</v>
      </c>
      <c r="BH729" s="14">
        <v>2037219.17</v>
      </c>
      <c r="BI729" s="12" t="s">
        <v>11433</v>
      </c>
      <c r="BJ729" s="12" t="s">
        <v>11434</v>
      </c>
      <c r="BK729" s="12" t="s">
        <v>11435</v>
      </c>
      <c r="BL729" s="12" t="s">
        <v>11445</v>
      </c>
      <c r="BM729" s="12" t="s">
        <v>11446</v>
      </c>
      <c r="BN729" s="12" t="s">
        <v>11447</v>
      </c>
      <c r="BO729" s="12" t="s">
        <v>319</v>
      </c>
      <c r="BP729" s="12" t="s">
        <v>320</v>
      </c>
      <c r="BQ729" s="12" t="s">
        <v>319</v>
      </c>
      <c r="BR729" s="12" t="s">
        <v>11461</v>
      </c>
      <c r="BS729" s="12" t="s">
        <v>615</v>
      </c>
      <c r="BT729" s="12" t="s">
        <v>11462</v>
      </c>
      <c r="BU729" s="12" t="s">
        <v>11463</v>
      </c>
      <c r="BV729" s="14">
        <v>27593</v>
      </c>
      <c r="BW729" s="14">
        <v>25471</v>
      </c>
      <c r="BX729" s="14">
        <v>53064</v>
      </c>
      <c r="BY729" s="14"/>
      <c r="BZ729" s="14"/>
      <c r="CA729" s="14"/>
      <c r="CB729" s="12" t="s">
        <v>11464</v>
      </c>
      <c r="CD729" s="14"/>
      <c r="CE729" s="14"/>
      <c r="CF729" s="14"/>
      <c r="CG729" s="14"/>
      <c r="CH729" s="14"/>
      <c r="CI729" s="14"/>
      <c r="CJ729" s="12"/>
      <c r="CK729" s="14"/>
      <c r="CL729" s="16"/>
      <c r="CM729" s="14"/>
      <c r="CN729" s="12"/>
      <c r="CO729" s="14"/>
      <c r="CP729" s="16"/>
      <c r="CQ729" s="14"/>
      <c r="CR729" s="12"/>
      <c r="CS729" s="14"/>
      <c r="CT729" s="16"/>
      <c r="CU729" s="14"/>
      <c r="CV729" s="12"/>
      <c r="CW729" s="14"/>
      <c r="CX729" s="16"/>
      <c r="CY729" s="14"/>
      <c r="CZ729" s="12"/>
      <c r="DA729" s="14"/>
      <c r="DB729" s="16"/>
      <c r="DC729" s="14"/>
      <c r="DD729" s="12"/>
      <c r="DE729" s="14"/>
      <c r="DF729" s="16"/>
      <c r="DG729" s="14"/>
      <c r="DH729" s="12"/>
      <c r="DI729" s="14"/>
      <c r="DJ729" s="16"/>
      <c r="DK729" s="14"/>
      <c r="DL729" s="12"/>
      <c r="DM729" s="14"/>
      <c r="DN729" s="16"/>
      <c r="DO729" s="14"/>
      <c r="DP729" s="12"/>
      <c r="DQ729" s="14"/>
      <c r="DR729" s="16"/>
      <c r="DS729" s="14"/>
      <c r="DT729" s="12"/>
      <c r="DU729" s="14"/>
      <c r="DV729" s="16"/>
      <c r="DW729" s="14"/>
      <c r="DX729" s="12"/>
      <c r="DY729" s="14"/>
      <c r="DZ729" s="16"/>
      <c r="EA729" s="14"/>
      <c r="EB729" s="12"/>
      <c r="EC729" s="14"/>
      <c r="ED729" s="16"/>
      <c r="EE729" s="14"/>
      <c r="EF729" s="12"/>
      <c r="EG729" s="12"/>
      <c r="EH729" s="14"/>
      <c r="EI729" s="16"/>
      <c r="EJ729" s="14"/>
      <c r="EK729" s="14">
        <v>35770</v>
      </c>
      <c r="EL729" s="14">
        <v>15330</v>
      </c>
      <c r="EM729" s="14">
        <v>51100</v>
      </c>
      <c r="EN729" s="14"/>
      <c r="EO729" s="14"/>
      <c r="EP729" s="14"/>
      <c r="EQ729" s="12" t="s">
        <v>320</v>
      </c>
      <c r="ER729" s="14">
        <v>253</v>
      </c>
      <c r="ES729" s="16">
        <v>0.79</v>
      </c>
      <c r="ET729" s="14"/>
      <c r="EU729" s="12"/>
      <c r="EV729" s="14"/>
      <c r="EW729" s="16"/>
      <c r="EX729" s="14"/>
      <c r="EY729" s="12"/>
      <c r="EZ729" s="14"/>
      <c r="FA729" s="16"/>
      <c r="FB729" s="14"/>
      <c r="FC729" s="12"/>
      <c r="FD729" s="14"/>
      <c r="FE729" s="16"/>
      <c r="FF729" s="14"/>
      <c r="FG729" s="12" t="s">
        <v>320</v>
      </c>
      <c r="FH729" s="14">
        <v>39707</v>
      </c>
      <c r="FI729" s="16">
        <v>0.75</v>
      </c>
      <c r="FJ729" s="14"/>
      <c r="FK729" s="12"/>
      <c r="FL729" s="14"/>
      <c r="FM729" s="16"/>
      <c r="FN729" s="14"/>
      <c r="FO729" s="12"/>
      <c r="FP729" s="14"/>
      <c r="FQ729" s="16"/>
      <c r="FR729" s="14"/>
      <c r="FS729" s="12"/>
      <c r="FT729" s="14"/>
      <c r="FU729" s="16"/>
      <c r="FV729" s="14"/>
      <c r="FW729" s="12"/>
      <c r="FX729" s="14"/>
      <c r="FY729" s="16"/>
      <c r="FZ729" s="14"/>
      <c r="GA729" s="12"/>
      <c r="GB729" s="14"/>
      <c r="GC729" s="16"/>
      <c r="GD729" s="14"/>
      <c r="GE729" s="12"/>
      <c r="GF729" s="14"/>
      <c r="GG729" s="16"/>
      <c r="GH729" s="14"/>
      <c r="GI729" s="11" t="s">
        <v>320</v>
      </c>
      <c r="GJ729" s="14">
        <v>11140</v>
      </c>
      <c r="GK729" s="16">
        <v>0.51</v>
      </c>
      <c r="GL729" s="14"/>
      <c r="GM729" s="12"/>
      <c r="GN729" s="14"/>
      <c r="GO729" s="16"/>
      <c r="GP729" s="14"/>
      <c r="GQ729" s="12"/>
      <c r="GR729" s="14"/>
      <c r="GS729" s="16"/>
      <c r="GT729" s="14"/>
      <c r="GU729" s="12"/>
      <c r="GV729" s="14"/>
      <c r="GW729" s="16"/>
      <c r="GX729" s="14"/>
      <c r="GY729" s="12"/>
      <c r="GZ729" s="14"/>
      <c r="HA729" s="16"/>
      <c r="HB729" s="14"/>
      <c r="HC729" s="12"/>
      <c r="HD729" s="12"/>
      <c r="HE729" s="14"/>
      <c r="HF729" s="16"/>
      <c r="HG729" s="14"/>
      <c r="HH729" s="12" t="s">
        <v>320</v>
      </c>
      <c r="HI729" s="12" t="s">
        <v>431</v>
      </c>
      <c r="HJ729" s="12">
        <v>2017</v>
      </c>
      <c r="HK729" s="12" t="s">
        <v>320</v>
      </c>
      <c r="HL729" s="12" t="s">
        <v>319</v>
      </c>
      <c r="HM729" s="12"/>
      <c r="HN729" s="12"/>
      <c r="HO729" s="12" t="s">
        <v>11465</v>
      </c>
      <c r="HP729" s="12" t="s">
        <v>453</v>
      </c>
      <c r="HQ729" s="12" t="s">
        <v>320</v>
      </c>
      <c r="HR729" s="12"/>
      <c r="HS729" s="12"/>
      <c r="HT729" s="12"/>
      <c r="HU729" s="12" t="s">
        <v>320</v>
      </c>
      <c r="HV729" s="12"/>
      <c r="HW729" s="12"/>
      <c r="HX729" s="12"/>
      <c r="HY729" s="12"/>
      <c r="HZ729" s="12" t="s">
        <v>331</v>
      </c>
      <c r="IA729" s="12" t="s">
        <v>11466</v>
      </c>
      <c r="IB729" s="12" t="s">
        <v>333</v>
      </c>
      <c r="IC729" s="12"/>
      <c r="ID729" s="12" t="s">
        <v>334</v>
      </c>
      <c r="IE729" s="12" t="s">
        <v>478</v>
      </c>
      <c r="IF729" s="12" t="s">
        <v>320</v>
      </c>
      <c r="IG729" s="12" t="s">
        <v>320</v>
      </c>
      <c r="IH729" s="12" t="s">
        <v>320</v>
      </c>
      <c r="II729" s="12" t="s">
        <v>320</v>
      </c>
      <c r="IJ729" s="12" t="str">
        <f t="shared" si="474"/>
        <v>4. Transformative</v>
      </c>
      <c r="IK729" s="12">
        <f t="shared" si="475"/>
        <v>4</v>
      </c>
      <c r="IL729" s="11" t="s">
        <v>621</v>
      </c>
      <c r="IM729" s="12" t="s">
        <v>320</v>
      </c>
      <c r="IN729" s="12" t="s">
        <v>320</v>
      </c>
      <c r="IO729" s="12" t="s">
        <v>320</v>
      </c>
      <c r="IP729" s="12" t="s">
        <v>320</v>
      </c>
      <c r="IQ729" s="12" t="str">
        <f t="shared" si="476"/>
        <v>4. Transformational</v>
      </c>
      <c r="IR729" s="12">
        <f t="shared" si="477"/>
        <v>4</v>
      </c>
      <c r="IS729" s="12" t="s">
        <v>622</v>
      </c>
      <c r="IT729" s="12" t="s">
        <v>320</v>
      </c>
      <c r="IU729" s="12" t="s">
        <v>320</v>
      </c>
      <c r="IV729" s="12" t="s">
        <v>320</v>
      </c>
      <c r="IW729" s="11" t="str">
        <f t="shared" si="478"/>
        <v>4. Transformative</v>
      </c>
      <c r="IX729" s="12">
        <f t="shared" si="479"/>
        <v>3</v>
      </c>
      <c r="IY729" s="12" t="s">
        <v>419</v>
      </c>
      <c r="IZ729" s="12" t="s">
        <v>527</v>
      </c>
      <c r="JA729" s="12">
        <v>2</v>
      </c>
      <c r="JB729" s="12" t="s">
        <v>433</v>
      </c>
      <c r="JC729" s="12" t="s">
        <v>687</v>
      </c>
      <c r="JD729" s="12"/>
      <c r="JE729" s="12" t="s">
        <v>340</v>
      </c>
      <c r="JF729" s="12" t="s">
        <v>11467</v>
      </c>
      <c r="JG729" s="12"/>
      <c r="JH729" s="12" t="s">
        <v>11468</v>
      </c>
      <c r="JI729" s="12" t="s">
        <v>11469</v>
      </c>
      <c r="JJ729" s="12" t="s">
        <v>11470</v>
      </c>
      <c r="JK729" s="12" t="s">
        <v>11471</v>
      </c>
      <c r="JL729" s="12" t="s">
        <v>11472</v>
      </c>
      <c r="JM729" s="12"/>
      <c r="JN729" s="12"/>
      <c r="JO729" s="12" t="s">
        <v>11473</v>
      </c>
      <c r="JP729" s="15">
        <f t="shared" si="480"/>
        <v>51100</v>
      </c>
      <c r="JQ729" s="15">
        <f t="shared" si="481"/>
        <v>0</v>
      </c>
      <c r="JR729" s="279">
        <f t="shared" si="482"/>
        <v>0</v>
      </c>
      <c r="JS729" s="17">
        <f t="shared" si="483"/>
        <v>0.7</v>
      </c>
      <c r="JT729" s="18" t="str">
        <f t="shared" si="484"/>
        <v/>
      </c>
      <c r="JU729" s="280">
        <f t="shared" si="485"/>
        <v>35770</v>
      </c>
      <c r="JV729" s="280">
        <f t="shared" si="486"/>
        <v>0</v>
      </c>
      <c r="JW729" s="319" t="str">
        <f t="shared" si="487"/>
        <v/>
      </c>
      <c r="JX729" s="15">
        <f t="shared" si="488"/>
        <v>0</v>
      </c>
      <c r="JY729" s="15">
        <f t="shared" si="489"/>
        <v>0</v>
      </c>
      <c r="JZ729" s="19" t="str">
        <f t="shared" si="490"/>
        <v/>
      </c>
      <c r="KA729" s="52">
        <f t="shared" si="491"/>
        <v>1</v>
      </c>
      <c r="KB729" s="15">
        <f t="shared" si="492"/>
        <v>39707</v>
      </c>
      <c r="KC729" s="15">
        <f t="shared" si="493"/>
        <v>0</v>
      </c>
      <c r="KD729" s="20">
        <f t="shared" si="494"/>
        <v>0</v>
      </c>
      <c r="KE729" s="52" t="str">
        <f t="shared" si="495"/>
        <v/>
      </c>
      <c r="KF729" s="15">
        <f t="shared" si="496"/>
        <v>0</v>
      </c>
      <c r="KG729" s="15">
        <f t="shared" si="497"/>
        <v>0</v>
      </c>
      <c r="KH729" s="21" t="str">
        <f t="shared" si="498"/>
        <v/>
      </c>
      <c r="KI729" s="52" t="str">
        <f t="shared" si="499"/>
        <v/>
      </c>
      <c r="KJ729" s="15">
        <f t="shared" si="500"/>
        <v>0</v>
      </c>
      <c r="KK729" s="15">
        <f t="shared" si="501"/>
        <v>0</v>
      </c>
      <c r="KL729" s="19" t="str">
        <f t="shared" si="502"/>
        <v/>
      </c>
      <c r="KM729" s="52">
        <f t="shared" si="503"/>
        <v>1</v>
      </c>
      <c r="KN729" s="22">
        <f t="shared" si="504"/>
        <v>29780.25</v>
      </c>
      <c r="KO729" s="22">
        <f t="shared" si="505"/>
        <v>0</v>
      </c>
      <c r="KP729" s="19">
        <f t="shared" si="506"/>
        <v>0</v>
      </c>
      <c r="KQ729" s="11" t="str">
        <f t="shared" si="507"/>
        <v>4. Transformative</v>
      </c>
      <c r="KR729" s="11" t="str">
        <f t="shared" si="508"/>
        <v>4. Transformational</v>
      </c>
      <c r="KS729" s="11" t="str">
        <f t="shared" si="509"/>
        <v>4. Transformative</v>
      </c>
      <c r="KT729" s="11" t="str">
        <f t="shared" si="510"/>
        <v>It tested new ways for fighting poverty and measured results of innovation</v>
      </c>
      <c r="KU729" s="11" t="str">
        <f t="shared" si="511"/>
        <v>Intensive advocacy</v>
      </c>
      <c r="KV729" s="11" t="str">
        <f t="shared" si="512"/>
        <v>It did not take tested solutions to scale</v>
      </c>
      <c r="KW729" s="11" t="str">
        <f t="shared" si="513"/>
        <v>Sudan - Sudan Emergency Response and Early Livelihoods Recovery - RiH</v>
      </c>
      <c r="KX729" s="11" t="str">
        <f t="shared" si="514"/>
        <v>Sudan Emergency Response and Early Livelihoods Recovery - RiH</v>
      </c>
      <c r="KY729" s="11" t="str">
        <f t="shared" si="515"/>
        <v>Sudan</v>
      </c>
      <c r="KZ729" s="12">
        <v>729</v>
      </c>
    </row>
    <row r="730" spans="1:312" x14ac:dyDescent="0.3">
      <c r="A730" s="12" t="s">
        <v>11417</v>
      </c>
      <c r="B730" s="12" t="s">
        <v>1874</v>
      </c>
      <c r="C730" s="12"/>
      <c r="D730" s="12" t="s">
        <v>11418</v>
      </c>
      <c r="E730" s="277" t="str">
        <f t="shared" si="473"/>
        <v>Sudan</v>
      </c>
      <c r="F730" s="12" t="s">
        <v>11419</v>
      </c>
      <c r="G730" s="12" t="s">
        <v>376</v>
      </c>
      <c r="H730" s="12" t="s">
        <v>310</v>
      </c>
      <c r="I730" s="12" t="s">
        <v>377</v>
      </c>
      <c r="J730" s="278" t="s">
        <v>14564</v>
      </c>
      <c r="K730" s="12"/>
      <c r="L730" s="12"/>
      <c r="M730" s="12"/>
      <c r="N730" s="12"/>
      <c r="O730" s="12"/>
      <c r="P730" s="12"/>
      <c r="Q730" s="12"/>
      <c r="R730" s="12"/>
      <c r="S730" s="12"/>
      <c r="T730" s="12"/>
      <c r="U730" s="12"/>
      <c r="V730" s="12"/>
      <c r="W730" s="12"/>
      <c r="X730" s="12"/>
      <c r="Y730" s="12"/>
      <c r="Z730" s="12"/>
      <c r="AA730" s="12"/>
      <c r="AB730" s="12"/>
      <c r="AC730" s="12"/>
      <c r="AD730" s="12"/>
      <c r="BD730" s="13">
        <v>42829</v>
      </c>
      <c r="BE730" s="13">
        <v>43555</v>
      </c>
      <c r="BF730" s="12"/>
      <c r="BG730" s="12" t="s">
        <v>817</v>
      </c>
      <c r="BH730" s="14">
        <v>2370370.3703703699</v>
      </c>
      <c r="BI730" s="12" t="s">
        <v>11420</v>
      </c>
      <c r="BJ730" s="12" t="s">
        <v>11421</v>
      </c>
      <c r="BK730" s="12" t="s">
        <v>11422</v>
      </c>
      <c r="BL730" s="12" t="s">
        <v>11423</v>
      </c>
      <c r="BM730" s="12" t="s">
        <v>1856</v>
      </c>
      <c r="BN730" s="12" t="s">
        <v>11424</v>
      </c>
      <c r="BO730" s="12" t="s">
        <v>320</v>
      </c>
      <c r="BP730" s="12" t="s">
        <v>319</v>
      </c>
      <c r="BQ730" s="12" t="s">
        <v>319</v>
      </c>
      <c r="BR730" s="12" t="s">
        <v>11425</v>
      </c>
      <c r="BS730" s="12" t="s">
        <v>357</v>
      </c>
      <c r="BT730" s="12" t="s">
        <v>11426</v>
      </c>
      <c r="BU730" s="12" t="s">
        <v>11427</v>
      </c>
      <c r="BV730" s="14">
        <v>64380</v>
      </c>
      <c r="BW730" s="14">
        <v>48620</v>
      </c>
      <c r="BX730" s="14">
        <v>113000</v>
      </c>
      <c r="BY730" s="14">
        <v>107016</v>
      </c>
      <c r="BZ730" s="14">
        <v>78424</v>
      </c>
      <c r="CA730" s="14">
        <v>185440</v>
      </c>
      <c r="CB730" s="12" t="s">
        <v>11428</v>
      </c>
      <c r="CD730" s="14">
        <v>0</v>
      </c>
      <c r="CE730" s="14">
        <v>0</v>
      </c>
      <c r="CF730" s="14">
        <v>0</v>
      </c>
      <c r="CG730" s="14">
        <v>0</v>
      </c>
      <c r="CH730" s="14">
        <v>0</v>
      </c>
      <c r="CI730" s="14">
        <v>0</v>
      </c>
      <c r="CJ730" s="12"/>
      <c r="CK730" s="14"/>
      <c r="CL730" s="16"/>
      <c r="CM730" s="14"/>
      <c r="CN730" s="12"/>
      <c r="CO730" s="14"/>
      <c r="CP730" s="16"/>
      <c r="CQ730" s="14"/>
      <c r="CR730" s="12"/>
      <c r="CS730" s="14"/>
      <c r="CT730" s="16"/>
      <c r="CU730" s="14"/>
      <c r="CV730" s="12" t="s">
        <v>320</v>
      </c>
      <c r="CW730" s="14">
        <v>0</v>
      </c>
      <c r="CX730" s="16"/>
      <c r="CY730" s="14">
        <v>0</v>
      </c>
      <c r="CZ730" s="12"/>
      <c r="DA730" s="14"/>
      <c r="DB730" s="16"/>
      <c r="DC730" s="14"/>
      <c r="DD730" s="12"/>
      <c r="DE730" s="14"/>
      <c r="DF730" s="16"/>
      <c r="DG730" s="14"/>
      <c r="DH730" s="12"/>
      <c r="DI730" s="14"/>
      <c r="DJ730" s="16"/>
      <c r="DK730" s="14"/>
      <c r="DL730" s="12"/>
      <c r="DM730" s="14"/>
      <c r="DN730" s="16"/>
      <c r="DO730" s="14"/>
      <c r="DP730" s="12"/>
      <c r="DQ730" s="14"/>
      <c r="DR730" s="16"/>
      <c r="DS730" s="14"/>
      <c r="DT730" s="12"/>
      <c r="DU730" s="14"/>
      <c r="DV730" s="16"/>
      <c r="DW730" s="14"/>
      <c r="DX730" s="12"/>
      <c r="DY730" s="14"/>
      <c r="DZ730" s="16"/>
      <c r="EA730" s="14"/>
      <c r="EB730" s="12" t="s">
        <v>320</v>
      </c>
      <c r="EC730" s="14">
        <v>0</v>
      </c>
      <c r="ED730" s="16"/>
      <c r="EE730" s="14">
        <v>0</v>
      </c>
      <c r="EF730" s="12"/>
      <c r="EG730" s="12"/>
      <c r="EH730" s="14"/>
      <c r="EI730" s="16"/>
      <c r="EJ730" s="14"/>
      <c r="EK730" s="14"/>
      <c r="EL730" s="14"/>
      <c r="EM730" s="14"/>
      <c r="EN730" s="14"/>
      <c r="EO730" s="14"/>
      <c r="EP730" s="14"/>
      <c r="EQ730" s="12"/>
      <c r="ER730" s="14"/>
      <c r="ES730" s="16"/>
      <c r="ET730" s="14"/>
      <c r="EU730" s="12"/>
      <c r="EV730" s="14"/>
      <c r="EW730" s="16"/>
      <c r="EX730" s="14"/>
      <c r="EY730" s="12"/>
      <c r="EZ730" s="14"/>
      <c r="FA730" s="16"/>
      <c r="FB730" s="14"/>
      <c r="FC730" s="12"/>
      <c r="FD730" s="14"/>
      <c r="FE730" s="16"/>
      <c r="FF730" s="14"/>
      <c r="FG730" s="12"/>
      <c r="FH730" s="14"/>
      <c r="FI730" s="16"/>
      <c r="FJ730" s="14"/>
      <c r="FK730" s="12"/>
      <c r="FL730" s="14"/>
      <c r="FM730" s="16"/>
      <c r="FN730" s="14"/>
      <c r="FO730" s="12"/>
      <c r="FP730" s="14"/>
      <c r="FQ730" s="16"/>
      <c r="FR730" s="14"/>
      <c r="FS730" s="12"/>
      <c r="FT730" s="14"/>
      <c r="FU730" s="16"/>
      <c r="FV730" s="14"/>
      <c r="FW730" s="12"/>
      <c r="FX730" s="14"/>
      <c r="FY730" s="16"/>
      <c r="FZ730" s="14"/>
      <c r="GA730" s="12"/>
      <c r="GB730" s="14"/>
      <c r="GC730" s="16"/>
      <c r="GD730" s="14"/>
      <c r="GE730" s="12"/>
      <c r="GF730" s="14"/>
      <c r="GG730" s="16"/>
      <c r="GH730" s="14"/>
      <c r="GI730" s="12"/>
      <c r="GJ730" s="14"/>
      <c r="GK730" s="16"/>
      <c r="GL730" s="14"/>
      <c r="GM730" s="12"/>
      <c r="GN730" s="14"/>
      <c r="GO730" s="16"/>
      <c r="GP730" s="14"/>
      <c r="GQ730" s="12"/>
      <c r="GR730" s="14"/>
      <c r="GS730" s="16"/>
      <c r="GT730" s="14"/>
      <c r="GU730" s="12"/>
      <c r="GV730" s="14"/>
      <c r="GW730" s="16"/>
      <c r="GX730" s="14"/>
      <c r="GY730" s="12"/>
      <c r="GZ730" s="14"/>
      <c r="HA730" s="16"/>
      <c r="HB730" s="14"/>
      <c r="HC730" s="12"/>
      <c r="HD730" s="12"/>
      <c r="HE730" s="14"/>
      <c r="HF730" s="16"/>
      <c r="HG730" s="14"/>
      <c r="HH730" s="12" t="s">
        <v>319</v>
      </c>
      <c r="HI730" s="12"/>
      <c r="HJ730" s="12"/>
      <c r="HK730" s="12"/>
      <c r="HL730" s="12" t="s">
        <v>320</v>
      </c>
      <c r="HM730" s="12" t="s">
        <v>619</v>
      </c>
      <c r="HN730" s="12">
        <v>2017</v>
      </c>
      <c r="HO730" s="12" t="s">
        <v>11429</v>
      </c>
      <c r="HP730" s="12" t="s">
        <v>418</v>
      </c>
      <c r="HQ730" s="12"/>
      <c r="HR730" s="12"/>
      <c r="HS730" s="12"/>
      <c r="HT730" s="12"/>
      <c r="HU730" s="12"/>
      <c r="HV730" s="12"/>
      <c r="HW730" s="12"/>
      <c r="HX730" s="12"/>
      <c r="HY730" s="12"/>
      <c r="HZ730" s="12" t="s">
        <v>363</v>
      </c>
      <c r="IA730" s="12"/>
      <c r="IB730" s="12" t="s">
        <v>333</v>
      </c>
      <c r="IC730" s="12"/>
      <c r="ID730" s="12" t="s">
        <v>364</v>
      </c>
      <c r="IE730" s="12"/>
      <c r="IF730" s="12"/>
      <c r="IG730" s="12"/>
      <c r="IH730" s="12"/>
      <c r="II730" s="12"/>
      <c r="IJ730" s="12" t="str">
        <f t="shared" si="474"/>
        <v>No marker score</v>
      </c>
      <c r="IK730" s="12">
        <f t="shared" si="475"/>
        <v>0</v>
      </c>
      <c r="IL730" s="12"/>
      <c r="IM730" s="12"/>
      <c r="IN730" s="12"/>
      <c r="IO730" s="12"/>
      <c r="IP730" s="12"/>
      <c r="IQ730" s="12" t="str">
        <f t="shared" si="476"/>
        <v>No marker score</v>
      </c>
      <c r="IR730" s="12">
        <f t="shared" si="477"/>
        <v>0</v>
      </c>
      <c r="IS730" s="12"/>
      <c r="IT730" s="12"/>
      <c r="IU730" s="12"/>
      <c r="IV730" s="12"/>
      <c r="IW730" s="11" t="str">
        <f t="shared" si="478"/>
        <v>No marker score</v>
      </c>
      <c r="IX730" s="12">
        <f t="shared" si="479"/>
        <v>0</v>
      </c>
      <c r="IY730" s="12"/>
      <c r="IZ730" s="12" t="s">
        <v>527</v>
      </c>
      <c r="JA730" s="12">
        <v>2</v>
      </c>
      <c r="JB730" s="12" t="s">
        <v>433</v>
      </c>
      <c r="JC730" s="12" t="s">
        <v>687</v>
      </c>
      <c r="JD730" s="12"/>
      <c r="JE730" s="12" t="s">
        <v>420</v>
      </c>
      <c r="JF730" s="12"/>
      <c r="JG730" s="12"/>
      <c r="JH730" s="12"/>
      <c r="JI730" s="12"/>
      <c r="JJ730" s="12"/>
      <c r="JK730" s="12"/>
      <c r="JL730" s="12"/>
      <c r="JM730" s="12"/>
      <c r="JN730" s="12" t="s">
        <v>11430</v>
      </c>
      <c r="JO730" s="12"/>
      <c r="JP730" s="15">
        <f t="shared" si="480"/>
        <v>0</v>
      </c>
      <c r="JQ730" s="15">
        <f t="shared" si="481"/>
        <v>0</v>
      </c>
      <c r="JR730" s="279" t="str">
        <f t="shared" si="482"/>
        <v/>
      </c>
      <c r="JS730" s="17" t="str">
        <f t="shared" si="483"/>
        <v/>
      </c>
      <c r="JT730" s="18" t="str">
        <f t="shared" si="484"/>
        <v/>
      </c>
      <c r="JU730" s="280">
        <f t="shared" si="485"/>
        <v>0</v>
      </c>
      <c r="JV730" s="280">
        <f t="shared" si="486"/>
        <v>0</v>
      </c>
      <c r="JW730" s="319">
        <f t="shared" si="487"/>
        <v>1</v>
      </c>
      <c r="JX730" s="15">
        <f t="shared" si="488"/>
        <v>0</v>
      </c>
      <c r="JY730" s="15">
        <f t="shared" si="489"/>
        <v>0</v>
      </c>
      <c r="JZ730" s="19" t="str">
        <f t="shared" si="490"/>
        <v/>
      </c>
      <c r="KA730" s="52">
        <f t="shared" si="491"/>
        <v>1</v>
      </c>
      <c r="KB730" s="15">
        <f t="shared" si="492"/>
        <v>0</v>
      </c>
      <c r="KC730" s="15">
        <f t="shared" si="493"/>
        <v>0</v>
      </c>
      <c r="KD730" s="20" t="str">
        <f t="shared" si="494"/>
        <v/>
      </c>
      <c r="KE730" s="52" t="str">
        <f t="shared" si="495"/>
        <v/>
      </c>
      <c r="KF730" s="15">
        <f t="shared" si="496"/>
        <v>0</v>
      </c>
      <c r="KG730" s="15">
        <f t="shared" si="497"/>
        <v>0</v>
      </c>
      <c r="KH730" s="21" t="str">
        <f t="shared" si="498"/>
        <v/>
      </c>
      <c r="KI730" s="52" t="str">
        <f t="shared" si="499"/>
        <v/>
      </c>
      <c r="KJ730" s="15">
        <f t="shared" si="500"/>
        <v>0</v>
      </c>
      <c r="KK730" s="15">
        <f t="shared" si="501"/>
        <v>0</v>
      </c>
      <c r="KL730" s="19" t="str">
        <f t="shared" si="502"/>
        <v/>
      </c>
      <c r="KM730" s="52" t="str">
        <f t="shared" si="503"/>
        <v/>
      </c>
      <c r="KN730" s="22">
        <f t="shared" si="504"/>
        <v>0</v>
      </c>
      <c r="KO730" s="22">
        <f t="shared" si="505"/>
        <v>0</v>
      </c>
      <c r="KP730" s="19" t="str">
        <f t="shared" si="506"/>
        <v/>
      </c>
      <c r="KQ730" s="11" t="str">
        <f t="shared" si="507"/>
        <v>No marker score</v>
      </c>
      <c r="KR730" s="11" t="str">
        <f t="shared" si="508"/>
        <v>No marker score</v>
      </c>
      <c r="KS730" s="11" t="str">
        <f t="shared" si="509"/>
        <v>No marker score</v>
      </c>
      <c r="KT730" s="11" t="str">
        <f t="shared" si="510"/>
        <v>It did not develop any specific innovation</v>
      </c>
      <c r="KU730" s="11" t="str">
        <f t="shared" si="511"/>
        <v>Little or no advocacy</v>
      </c>
      <c r="KV730" s="11" t="str">
        <f t="shared" si="512"/>
        <v>It did not take tested solutions to scale</v>
      </c>
      <c r="KW730" s="11" t="str">
        <f t="shared" si="513"/>
        <v>Sudan - Sudan Emergency Water, Hygiene and Nutrition Services CARE Canada 2017-2019</v>
      </c>
      <c r="KX730" s="11" t="str">
        <f t="shared" si="514"/>
        <v>Sudan Emergency Water, Hygiene and Nutrition Services CARE Canada 2017-2019</v>
      </c>
      <c r="KY730" s="11" t="str">
        <f t="shared" si="515"/>
        <v>Sudan</v>
      </c>
      <c r="KZ730" s="12">
        <v>730</v>
      </c>
    </row>
    <row r="731" spans="1:312" x14ac:dyDescent="0.3">
      <c r="A731" s="12" t="s">
        <v>11417</v>
      </c>
      <c r="B731" s="12" t="s">
        <v>1874</v>
      </c>
      <c r="C731" s="12">
        <v>3393</v>
      </c>
      <c r="D731" s="12" t="s">
        <v>11610</v>
      </c>
      <c r="E731" s="277" t="str">
        <f t="shared" si="473"/>
        <v>Sudan</v>
      </c>
      <c r="F731" s="12" t="s">
        <v>11611</v>
      </c>
      <c r="G731" s="12" t="s">
        <v>608</v>
      </c>
      <c r="H731" s="12" t="s">
        <v>380</v>
      </c>
      <c r="I731" s="12" t="s">
        <v>381</v>
      </c>
      <c r="J731" s="281" t="s">
        <v>8430</v>
      </c>
      <c r="K731" s="12"/>
      <c r="L731" s="12"/>
      <c r="M731" s="12"/>
      <c r="N731" s="12"/>
      <c r="O731" s="12"/>
      <c r="P731" s="12"/>
      <c r="Q731" s="12"/>
      <c r="R731" s="12"/>
      <c r="S731" s="12"/>
      <c r="T731" s="12"/>
      <c r="U731" s="12"/>
      <c r="V731" s="12"/>
      <c r="W731" s="12"/>
      <c r="X731" s="12"/>
      <c r="Y731" s="12"/>
      <c r="Z731" s="12"/>
      <c r="AA731" s="12"/>
      <c r="AB731" s="12"/>
      <c r="AC731" s="12"/>
      <c r="AD731" s="12"/>
      <c r="BD731" s="13">
        <v>42278</v>
      </c>
      <c r="BE731" s="13">
        <v>42582</v>
      </c>
      <c r="BF731" s="13">
        <v>42674</v>
      </c>
      <c r="BG731" s="12" t="s">
        <v>817</v>
      </c>
      <c r="BH731" s="14">
        <v>489568</v>
      </c>
      <c r="BI731" s="12" t="s">
        <v>11612</v>
      </c>
      <c r="BJ731" s="12" t="s">
        <v>11421</v>
      </c>
      <c r="BK731" s="12" t="s">
        <v>11422</v>
      </c>
      <c r="BL731" s="12" t="s">
        <v>11423</v>
      </c>
      <c r="BM731" s="12" t="s">
        <v>1856</v>
      </c>
      <c r="BN731" s="12" t="s">
        <v>11476</v>
      </c>
      <c r="BO731" s="12" t="s">
        <v>320</v>
      </c>
      <c r="BP731" s="12" t="s">
        <v>319</v>
      </c>
      <c r="BQ731" s="12" t="s">
        <v>319</v>
      </c>
      <c r="BR731" s="12" t="s">
        <v>11613</v>
      </c>
      <c r="BS731" s="12" t="s">
        <v>357</v>
      </c>
      <c r="BT731" s="12"/>
      <c r="BU731" s="12"/>
      <c r="BV731" s="14">
        <v>13232</v>
      </c>
      <c r="BW731" s="14">
        <v>12215</v>
      </c>
      <c r="BX731" s="14">
        <v>25446</v>
      </c>
      <c r="BY731" s="14"/>
      <c r="BZ731" s="14"/>
      <c r="CA731" s="14"/>
      <c r="CB731" s="12" t="s">
        <v>11614</v>
      </c>
      <c r="CD731" s="14">
        <v>13232</v>
      </c>
      <c r="CE731" s="14">
        <v>12215</v>
      </c>
      <c r="CF731" s="14">
        <v>25447</v>
      </c>
      <c r="CG731" s="14"/>
      <c r="CH731" s="14"/>
      <c r="CI731" s="14"/>
      <c r="CJ731" s="12"/>
      <c r="CK731" s="14"/>
      <c r="CL731" s="16"/>
      <c r="CM731" s="14"/>
      <c r="CN731" s="12"/>
      <c r="CO731" s="14"/>
      <c r="CP731" s="16"/>
      <c r="CQ731" s="14"/>
      <c r="CR731" s="12"/>
      <c r="CS731" s="14"/>
      <c r="CT731" s="16"/>
      <c r="CU731" s="14"/>
      <c r="CV731" s="12"/>
      <c r="CW731" s="14"/>
      <c r="CX731" s="16"/>
      <c r="CY731" s="14"/>
      <c r="CZ731" s="12"/>
      <c r="DA731" s="14"/>
      <c r="DB731" s="16"/>
      <c r="DC731" s="14"/>
      <c r="DD731" s="12"/>
      <c r="DE731" s="14"/>
      <c r="DF731" s="16"/>
      <c r="DG731" s="14"/>
      <c r="DH731" s="12"/>
      <c r="DI731" s="14"/>
      <c r="DJ731" s="16"/>
      <c r="DK731" s="14"/>
      <c r="DL731" s="12"/>
      <c r="DM731" s="14"/>
      <c r="DN731" s="16"/>
      <c r="DO731" s="14"/>
      <c r="DP731" s="12"/>
      <c r="DQ731" s="14"/>
      <c r="DR731" s="16"/>
      <c r="DS731" s="14"/>
      <c r="DT731" s="12"/>
      <c r="DU731" s="14"/>
      <c r="DV731" s="16"/>
      <c r="DW731" s="14"/>
      <c r="DX731" s="12"/>
      <c r="DY731" s="14"/>
      <c r="DZ731" s="16"/>
      <c r="EA731" s="14"/>
      <c r="EB731" s="11" t="s">
        <v>320</v>
      </c>
      <c r="EC731" s="14">
        <v>25446</v>
      </c>
      <c r="ED731" s="16">
        <v>0.52</v>
      </c>
      <c r="EE731" s="14"/>
      <c r="EF731" s="12"/>
      <c r="EG731" s="12"/>
      <c r="EH731" s="14"/>
      <c r="EI731" s="16"/>
      <c r="EJ731" s="14"/>
      <c r="EK731" s="14"/>
      <c r="EL731" s="14"/>
      <c r="EM731" s="14"/>
      <c r="EN731" s="14"/>
      <c r="EO731" s="14"/>
      <c r="EP731" s="14"/>
      <c r="EQ731" s="12"/>
      <c r="ER731" s="14"/>
      <c r="ES731" s="16"/>
      <c r="ET731" s="14"/>
      <c r="EU731" s="12"/>
      <c r="EV731" s="14"/>
      <c r="EW731" s="16"/>
      <c r="EX731" s="14"/>
      <c r="EY731" s="12"/>
      <c r="EZ731" s="14"/>
      <c r="FA731" s="16"/>
      <c r="FB731" s="14"/>
      <c r="FC731" s="12"/>
      <c r="FD731" s="14"/>
      <c r="FE731" s="16"/>
      <c r="FF731" s="14"/>
      <c r="FG731" s="12"/>
      <c r="FH731" s="14"/>
      <c r="FI731" s="16"/>
      <c r="FJ731" s="14"/>
      <c r="FK731" s="12"/>
      <c r="FL731" s="14"/>
      <c r="FM731" s="16"/>
      <c r="FN731" s="14"/>
      <c r="FO731" s="12"/>
      <c r="FP731" s="14"/>
      <c r="FQ731" s="16"/>
      <c r="FR731" s="14"/>
      <c r="FS731" s="12"/>
      <c r="FT731" s="14"/>
      <c r="FU731" s="16"/>
      <c r="FV731" s="14"/>
      <c r="FW731" s="12"/>
      <c r="FX731" s="14"/>
      <c r="FY731" s="16"/>
      <c r="FZ731" s="14"/>
      <c r="GA731" s="12"/>
      <c r="GB731" s="14"/>
      <c r="GC731" s="16"/>
      <c r="GD731" s="14"/>
      <c r="GE731" s="12"/>
      <c r="GF731" s="14"/>
      <c r="GG731" s="16"/>
      <c r="GH731" s="14"/>
      <c r="GI731" s="12"/>
      <c r="GJ731" s="14"/>
      <c r="GK731" s="16"/>
      <c r="GL731" s="14"/>
      <c r="GM731" s="12"/>
      <c r="GN731" s="14"/>
      <c r="GO731" s="16"/>
      <c r="GP731" s="14"/>
      <c r="GQ731" s="12"/>
      <c r="GR731" s="14"/>
      <c r="GS731" s="16"/>
      <c r="GT731" s="14"/>
      <c r="GU731" s="12"/>
      <c r="GV731" s="14"/>
      <c r="GW731" s="16"/>
      <c r="GX731" s="14"/>
      <c r="GY731" s="12"/>
      <c r="GZ731" s="14"/>
      <c r="HA731" s="16"/>
      <c r="HB731" s="14"/>
      <c r="HC731" s="12"/>
      <c r="HD731" s="12"/>
      <c r="HE731" s="14"/>
      <c r="HF731" s="16"/>
      <c r="HG731" s="14"/>
      <c r="HH731" s="12" t="s">
        <v>319</v>
      </c>
      <c r="HI731" s="12"/>
      <c r="HJ731" s="12"/>
      <c r="HK731" s="12"/>
      <c r="HL731" s="12" t="s">
        <v>319</v>
      </c>
      <c r="HM731" s="12"/>
      <c r="HN731" s="12"/>
      <c r="HO731" s="12"/>
      <c r="HP731" s="12" t="s">
        <v>418</v>
      </c>
      <c r="HQ731" s="12"/>
      <c r="HR731" s="12" t="s">
        <v>319</v>
      </c>
      <c r="HS731" s="12" t="s">
        <v>319</v>
      </c>
      <c r="HT731" s="12"/>
      <c r="HU731" s="12"/>
      <c r="HV731" s="12"/>
      <c r="HW731" s="12"/>
      <c r="HX731" s="12"/>
      <c r="HY731" s="12"/>
      <c r="HZ731" s="12" t="s">
        <v>363</v>
      </c>
      <c r="IA731" s="12"/>
      <c r="IB731" s="12" t="s">
        <v>333</v>
      </c>
      <c r="IC731" s="12"/>
      <c r="ID731" s="12" t="s">
        <v>364</v>
      </c>
      <c r="IE731" s="12" t="s">
        <v>335</v>
      </c>
      <c r="IF731" s="12" t="s">
        <v>320</v>
      </c>
      <c r="IG731" s="12" t="s">
        <v>320</v>
      </c>
      <c r="IH731" s="12" t="s">
        <v>320</v>
      </c>
      <c r="II731" s="12" t="s">
        <v>320</v>
      </c>
      <c r="IJ731" s="12" t="str">
        <f t="shared" si="474"/>
        <v>2. Sensitive</v>
      </c>
      <c r="IK731" s="12">
        <f t="shared" si="475"/>
        <v>4</v>
      </c>
      <c r="IL731" s="12" t="s">
        <v>336</v>
      </c>
      <c r="IM731" s="12" t="s">
        <v>320</v>
      </c>
      <c r="IN731" s="12" t="s">
        <v>320</v>
      </c>
      <c r="IO731" s="12" t="s">
        <v>320</v>
      </c>
      <c r="IP731" s="12" t="s">
        <v>320</v>
      </c>
      <c r="IQ731" s="12" t="str">
        <f t="shared" si="476"/>
        <v>2. Accommodating</v>
      </c>
      <c r="IR731" s="12">
        <f t="shared" si="477"/>
        <v>4</v>
      </c>
      <c r="IS731" s="12" t="s">
        <v>337</v>
      </c>
      <c r="IT731" s="12" t="s">
        <v>320</v>
      </c>
      <c r="IU731" s="12" t="s">
        <v>320</v>
      </c>
      <c r="IV731" s="12" t="s">
        <v>320</v>
      </c>
      <c r="IW731" s="11" t="str">
        <f t="shared" si="478"/>
        <v>2. Sensitive</v>
      </c>
      <c r="IX731" s="12">
        <f t="shared" si="479"/>
        <v>3</v>
      </c>
      <c r="IY731" s="12" t="s">
        <v>338</v>
      </c>
      <c r="IZ731" s="12" t="s">
        <v>457</v>
      </c>
      <c r="JA731" s="12">
        <v>1</v>
      </c>
      <c r="JB731" s="12" t="s">
        <v>687</v>
      </c>
      <c r="JC731" s="12" t="s">
        <v>433</v>
      </c>
      <c r="JD731" s="12" t="s">
        <v>651</v>
      </c>
      <c r="JE731" s="12" t="s">
        <v>420</v>
      </c>
      <c r="JF731" s="12"/>
      <c r="JG731" s="12"/>
      <c r="JH731" s="12"/>
      <c r="JI731" s="12"/>
      <c r="JJ731" s="12"/>
      <c r="JK731" s="12"/>
      <c r="JL731" s="12"/>
      <c r="JM731" s="12"/>
      <c r="JN731" s="12"/>
      <c r="JO731" s="12" t="s">
        <v>11615</v>
      </c>
      <c r="JP731" s="15">
        <f t="shared" si="480"/>
        <v>25447</v>
      </c>
      <c r="JQ731" s="15">
        <f t="shared" si="481"/>
        <v>0</v>
      </c>
      <c r="JR731" s="279">
        <f t="shared" si="482"/>
        <v>0</v>
      </c>
      <c r="JS731" s="17">
        <f t="shared" si="483"/>
        <v>0.51998270916021538</v>
      </c>
      <c r="JT731" s="18" t="str">
        <f t="shared" si="484"/>
        <v/>
      </c>
      <c r="JU731" s="280">
        <f t="shared" si="485"/>
        <v>13232</v>
      </c>
      <c r="JV731" s="280">
        <f t="shared" si="486"/>
        <v>0</v>
      </c>
      <c r="JW731" s="319">
        <f t="shared" si="487"/>
        <v>1</v>
      </c>
      <c r="JX731" s="15">
        <f t="shared" si="488"/>
        <v>25447</v>
      </c>
      <c r="JY731" s="15">
        <f t="shared" si="489"/>
        <v>0</v>
      </c>
      <c r="JZ731" s="19">
        <f t="shared" si="490"/>
        <v>0</v>
      </c>
      <c r="KA731" s="52" t="str">
        <f t="shared" si="491"/>
        <v/>
      </c>
      <c r="KB731" s="15">
        <f t="shared" si="492"/>
        <v>0</v>
      </c>
      <c r="KC731" s="15">
        <f t="shared" si="493"/>
        <v>0</v>
      </c>
      <c r="KD731" s="20" t="str">
        <f t="shared" si="494"/>
        <v/>
      </c>
      <c r="KE731" s="52" t="str">
        <f t="shared" si="495"/>
        <v/>
      </c>
      <c r="KF731" s="15">
        <f t="shared" si="496"/>
        <v>0</v>
      </c>
      <c r="KG731" s="15">
        <f t="shared" si="497"/>
        <v>0</v>
      </c>
      <c r="KH731" s="21" t="str">
        <f t="shared" si="498"/>
        <v/>
      </c>
      <c r="KI731" s="52" t="str">
        <f t="shared" si="499"/>
        <v/>
      </c>
      <c r="KJ731" s="15">
        <f t="shared" si="500"/>
        <v>0</v>
      </c>
      <c r="KK731" s="15">
        <f t="shared" si="501"/>
        <v>0</v>
      </c>
      <c r="KL731" s="19" t="str">
        <f t="shared" si="502"/>
        <v/>
      </c>
      <c r="KM731" s="52" t="str">
        <f t="shared" si="503"/>
        <v/>
      </c>
      <c r="KN731" s="22">
        <f t="shared" si="504"/>
        <v>0</v>
      </c>
      <c r="KO731" s="22">
        <f t="shared" si="505"/>
        <v>0</v>
      </c>
      <c r="KP731" s="19" t="str">
        <f t="shared" si="506"/>
        <v/>
      </c>
      <c r="KQ731" s="11" t="str">
        <f t="shared" si="507"/>
        <v>2. Sensitive</v>
      </c>
      <c r="KR731" s="11" t="str">
        <f t="shared" si="508"/>
        <v>2. Accommodating</v>
      </c>
      <c r="KS731" s="11" t="str">
        <f t="shared" si="509"/>
        <v>2. Sensitive</v>
      </c>
      <c r="KT731" s="11" t="str">
        <f t="shared" si="510"/>
        <v>It did not develop any specific innovation</v>
      </c>
      <c r="KU731" s="11" t="str">
        <f t="shared" si="511"/>
        <v>Little or no advocacy</v>
      </c>
      <c r="KV731" s="11" t="str">
        <f t="shared" si="512"/>
        <v>It did not take tested solutions to scale</v>
      </c>
      <c r="KW731" s="11" t="str">
        <f t="shared" si="513"/>
        <v>Sudan - Sustaining equitable WASH services for conflict affected IDPs population in South Darfur and South Kordofan and underserved populationin South Kordofan.</v>
      </c>
      <c r="KX731" s="11" t="str">
        <f t="shared" si="514"/>
        <v>Sustaining equitable WASH services for conflict affected IDPs population in South Darfur and South Kordofan and underserved populationin South Kordofan.</v>
      </c>
      <c r="KY731" s="11" t="str">
        <f t="shared" si="515"/>
        <v>Sudan</v>
      </c>
      <c r="KZ731" s="12">
        <v>731</v>
      </c>
    </row>
    <row r="732" spans="1:312" x14ac:dyDescent="0.3">
      <c r="A732" s="12" t="s">
        <v>11417</v>
      </c>
      <c r="B732" s="12" t="s">
        <v>1874</v>
      </c>
      <c r="C732" s="12"/>
      <c r="D732" s="12" t="s">
        <v>11628</v>
      </c>
      <c r="E732" s="277" t="str">
        <f t="shared" si="473"/>
        <v>Sudan</v>
      </c>
      <c r="F732" s="12" t="s">
        <v>11629</v>
      </c>
      <c r="G732" s="12" t="s">
        <v>608</v>
      </c>
      <c r="H732" s="12" t="s">
        <v>380</v>
      </c>
      <c r="I732" s="12" t="s">
        <v>381</v>
      </c>
      <c r="J732" s="281" t="s">
        <v>11531</v>
      </c>
      <c r="K732" s="12"/>
      <c r="L732" s="12"/>
      <c r="M732" s="12"/>
      <c r="N732" s="12"/>
      <c r="O732" s="12"/>
      <c r="P732" s="12"/>
      <c r="Q732" s="12"/>
      <c r="R732" s="12"/>
      <c r="S732" s="12"/>
      <c r="T732" s="12"/>
      <c r="U732" s="12"/>
      <c r="V732" s="12"/>
      <c r="W732" s="12"/>
      <c r="X732" s="12"/>
      <c r="Y732" s="12"/>
      <c r="Z732" s="12"/>
      <c r="AA732" s="12"/>
      <c r="AB732" s="12"/>
      <c r="AC732" s="12"/>
      <c r="AD732" s="12"/>
      <c r="BD732" s="13">
        <v>42644</v>
      </c>
      <c r="BE732" s="13">
        <v>42947</v>
      </c>
      <c r="BF732" s="12"/>
      <c r="BG732" s="12" t="s">
        <v>817</v>
      </c>
      <c r="BH732" s="14">
        <v>395000</v>
      </c>
      <c r="BI732" s="12" t="s">
        <v>11420</v>
      </c>
      <c r="BJ732" s="12" t="s">
        <v>11421</v>
      </c>
      <c r="BK732" s="12" t="s">
        <v>11422</v>
      </c>
      <c r="BL732" s="12" t="s">
        <v>11445</v>
      </c>
      <c r="BM732" s="12" t="s">
        <v>11446</v>
      </c>
      <c r="BN732" s="12" t="s">
        <v>11447</v>
      </c>
      <c r="BO732" s="12" t="s">
        <v>320</v>
      </c>
      <c r="BP732" s="12" t="s">
        <v>319</v>
      </c>
      <c r="BQ732" s="12" t="s">
        <v>319</v>
      </c>
      <c r="BR732" s="12" t="s">
        <v>11630</v>
      </c>
      <c r="BS732" s="12" t="s">
        <v>357</v>
      </c>
      <c r="BT732" s="12" t="s">
        <v>11631</v>
      </c>
      <c r="BU732" s="12" t="s">
        <v>11632</v>
      </c>
      <c r="BV732" s="14">
        <v>10800</v>
      </c>
      <c r="BW732" s="14">
        <v>4780</v>
      </c>
      <c r="BX732" s="14">
        <v>15500</v>
      </c>
      <c r="BY732" s="14">
        <v>4000</v>
      </c>
      <c r="BZ732" s="14">
        <v>1500</v>
      </c>
      <c r="CA732" s="14">
        <v>5500</v>
      </c>
      <c r="CB732" s="12" t="s">
        <v>11633</v>
      </c>
      <c r="CD732" s="14">
        <v>6967</v>
      </c>
      <c r="CE732" s="14">
        <v>3031</v>
      </c>
      <c r="CF732" s="14">
        <v>9998</v>
      </c>
      <c r="CG732" s="14">
        <v>4000</v>
      </c>
      <c r="CH732" s="14">
        <v>1500</v>
      </c>
      <c r="CI732" s="14">
        <v>5500</v>
      </c>
      <c r="CJ732" s="12"/>
      <c r="CK732" s="14"/>
      <c r="CL732" s="16"/>
      <c r="CM732" s="14"/>
      <c r="CN732" s="12"/>
      <c r="CO732" s="14"/>
      <c r="CP732" s="16"/>
      <c r="CQ732" s="14"/>
      <c r="CR732" s="12"/>
      <c r="CS732" s="14"/>
      <c r="CT732" s="16"/>
      <c r="CU732" s="14"/>
      <c r="CV732" s="12"/>
      <c r="CW732" s="14"/>
      <c r="CX732" s="16"/>
      <c r="CY732" s="14"/>
      <c r="CZ732" s="12"/>
      <c r="DA732" s="14"/>
      <c r="DB732" s="16"/>
      <c r="DC732" s="14"/>
      <c r="DD732" s="12"/>
      <c r="DE732" s="14"/>
      <c r="DF732" s="16"/>
      <c r="DG732" s="14"/>
      <c r="DH732" s="12"/>
      <c r="DI732" s="14"/>
      <c r="DJ732" s="16"/>
      <c r="DK732" s="14"/>
      <c r="DL732" s="12"/>
      <c r="DM732" s="14"/>
      <c r="DN732" s="16"/>
      <c r="DO732" s="14"/>
      <c r="DP732" s="12"/>
      <c r="DQ732" s="14"/>
      <c r="DR732" s="16"/>
      <c r="DS732" s="14"/>
      <c r="DT732" s="12"/>
      <c r="DU732" s="14"/>
      <c r="DV732" s="16"/>
      <c r="DW732" s="14"/>
      <c r="DX732" s="12"/>
      <c r="DY732" s="14"/>
      <c r="DZ732" s="16"/>
      <c r="EA732" s="14"/>
      <c r="EB732" s="11" t="s">
        <v>320</v>
      </c>
      <c r="EC732" s="14">
        <v>9998</v>
      </c>
      <c r="ED732" s="16">
        <v>0.7</v>
      </c>
      <c r="EE732" s="14">
        <v>5500</v>
      </c>
      <c r="EF732" s="12"/>
      <c r="EG732" s="12"/>
      <c r="EH732" s="14"/>
      <c r="EI732" s="16"/>
      <c r="EJ732" s="14"/>
      <c r="EK732" s="14"/>
      <c r="EL732" s="14"/>
      <c r="EM732" s="14"/>
      <c r="EN732" s="14"/>
      <c r="EO732" s="14"/>
      <c r="EP732" s="14"/>
      <c r="EQ732" s="12"/>
      <c r="ER732" s="14"/>
      <c r="ES732" s="16"/>
      <c r="ET732" s="14"/>
      <c r="EU732" s="12"/>
      <c r="EV732" s="14"/>
      <c r="EW732" s="16"/>
      <c r="EX732" s="14"/>
      <c r="EY732" s="12"/>
      <c r="EZ732" s="14"/>
      <c r="FA732" s="16"/>
      <c r="FB732" s="14"/>
      <c r="FC732" s="12"/>
      <c r="FD732" s="14"/>
      <c r="FE732" s="16"/>
      <c r="FF732" s="14"/>
      <c r="FG732" s="12"/>
      <c r="FH732" s="14"/>
      <c r="FI732" s="16"/>
      <c r="FJ732" s="14"/>
      <c r="FK732" s="12"/>
      <c r="FL732" s="14"/>
      <c r="FM732" s="16"/>
      <c r="FN732" s="14"/>
      <c r="FO732" s="12"/>
      <c r="FP732" s="14"/>
      <c r="FQ732" s="16"/>
      <c r="FR732" s="14"/>
      <c r="FS732" s="12"/>
      <c r="FT732" s="14"/>
      <c r="FU732" s="16"/>
      <c r="FV732" s="14"/>
      <c r="FW732" s="12"/>
      <c r="FX732" s="14"/>
      <c r="FY732" s="16"/>
      <c r="FZ732" s="14"/>
      <c r="GA732" s="12"/>
      <c r="GB732" s="14"/>
      <c r="GC732" s="16"/>
      <c r="GD732" s="14"/>
      <c r="GE732" s="12"/>
      <c r="GF732" s="14"/>
      <c r="GG732" s="16"/>
      <c r="GH732" s="14"/>
      <c r="GI732" s="12"/>
      <c r="GJ732" s="14"/>
      <c r="GK732" s="16"/>
      <c r="GL732" s="14"/>
      <c r="GM732" s="12"/>
      <c r="GN732" s="14"/>
      <c r="GO732" s="16"/>
      <c r="GP732" s="14"/>
      <c r="GQ732" s="12"/>
      <c r="GR732" s="14"/>
      <c r="GS732" s="16"/>
      <c r="GT732" s="14"/>
      <c r="GU732" s="12"/>
      <c r="GV732" s="14"/>
      <c r="GW732" s="16"/>
      <c r="GX732" s="14"/>
      <c r="GY732" s="12"/>
      <c r="GZ732" s="14"/>
      <c r="HA732" s="16"/>
      <c r="HB732" s="14"/>
      <c r="HC732" s="12"/>
      <c r="HD732" s="12"/>
      <c r="HE732" s="14"/>
      <c r="HF732" s="16"/>
      <c r="HG732" s="14"/>
      <c r="HH732" s="12" t="s">
        <v>319</v>
      </c>
      <c r="HI732" s="12"/>
      <c r="HJ732" s="12"/>
      <c r="HK732" s="12"/>
      <c r="HL732" s="12" t="s">
        <v>319</v>
      </c>
      <c r="HM732" s="12"/>
      <c r="HN732" s="12"/>
      <c r="HO732" s="12"/>
      <c r="HP732" s="12" t="s">
        <v>418</v>
      </c>
      <c r="HQ732" s="12"/>
      <c r="HR732" s="12"/>
      <c r="HS732" s="12"/>
      <c r="HT732" s="12"/>
      <c r="HU732" s="12"/>
      <c r="HV732" s="12"/>
      <c r="HW732" s="12"/>
      <c r="HX732" s="12"/>
      <c r="HY732" s="12"/>
      <c r="HZ732" s="12" t="s">
        <v>363</v>
      </c>
      <c r="IA732" s="12"/>
      <c r="IB732" s="12" t="s">
        <v>333</v>
      </c>
      <c r="IC732" s="12"/>
      <c r="ID732" s="12" t="s">
        <v>364</v>
      </c>
      <c r="IE732" s="12" t="s">
        <v>335</v>
      </c>
      <c r="IF732" s="12" t="s">
        <v>320</v>
      </c>
      <c r="IG732" s="12" t="s">
        <v>320</v>
      </c>
      <c r="IH732" s="12" t="s">
        <v>320</v>
      </c>
      <c r="II732" s="12" t="s">
        <v>320</v>
      </c>
      <c r="IJ732" s="12" t="str">
        <f t="shared" si="474"/>
        <v>2. Sensitive</v>
      </c>
      <c r="IK732" s="12">
        <f t="shared" si="475"/>
        <v>4</v>
      </c>
      <c r="IL732" s="12" t="s">
        <v>336</v>
      </c>
      <c r="IM732" s="12" t="s">
        <v>320</v>
      </c>
      <c r="IN732" s="12" t="s">
        <v>320</v>
      </c>
      <c r="IO732" s="12" t="s">
        <v>320</v>
      </c>
      <c r="IP732" s="12" t="s">
        <v>320</v>
      </c>
      <c r="IQ732" s="12" t="str">
        <f t="shared" si="476"/>
        <v>2. Accommodating</v>
      </c>
      <c r="IR732" s="12">
        <f t="shared" si="477"/>
        <v>4</v>
      </c>
      <c r="IS732" s="12" t="s">
        <v>337</v>
      </c>
      <c r="IT732" s="12" t="s">
        <v>320</v>
      </c>
      <c r="IU732" s="12" t="s">
        <v>319</v>
      </c>
      <c r="IV732" s="12" t="s">
        <v>319</v>
      </c>
      <c r="IW732" s="11" t="str">
        <f t="shared" si="478"/>
        <v>1. Neutral</v>
      </c>
      <c r="IX732" s="12">
        <f t="shared" si="479"/>
        <v>1</v>
      </c>
      <c r="IY732" s="12" t="s">
        <v>338</v>
      </c>
      <c r="IZ732" s="12" t="s">
        <v>527</v>
      </c>
      <c r="JA732" s="12">
        <v>1</v>
      </c>
      <c r="JB732" s="12" t="s">
        <v>433</v>
      </c>
      <c r="JC732" s="12" t="s">
        <v>687</v>
      </c>
      <c r="JD732" s="12"/>
      <c r="JE732" s="12" t="s">
        <v>420</v>
      </c>
      <c r="JF732" s="12"/>
      <c r="JG732" s="12"/>
      <c r="JH732" s="12"/>
      <c r="JI732" s="12"/>
      <c r="JJ732" s="12"/>
      <c r="JK732" s="12"/>
      <c r="JL732" s="12"/>
      <c r="JM732" s="12"/>
      <c r="JN732" s="12"/>
      <c r="JO732" s="12" t="s">
        <v>11634</v>
      </c>
      <c r="JP732" s="15">
        <f t="shared" si="480"/>
        <v>9998</v>
      </c>
      <c r="JQ732" s="15">
        <f t="shared" si="481"/>
        <v>5500</v>
      </c>
      <c r="JR732" s="279">
        <f t="shared" si="482"/>
        <v>0.55011002200440084</v>
      </c>
      <c r="JS732" s="17">
        <f t="shared" si="483"/>
        <v>0.6968393678735747</v>
      </c>
      <c r="JT732" s="18">
        <f t="shared" si="484"/>
        <v>0.72727272727272729</v>
      </c>
      <c r="JU732" s="280">
        <f t="shared" si="485"/>
        <v>6967</v>
      </c>
      <c r="JV732" s="280">
        <f t="shared" si="486"/>
        <v>4000</v>
      </c>
      <c r="JW732" s="319">
        <f t="shared" si="487"/>
        <v>1</v>
      </c>
      <c r="JX732" s="15">
        <f t="shared" si="488"/>
        <v>9998</v>
      </c>
      <c r="JY732" s="15">
        <f t="shared" si="489"/>
        <v>5500</v>
      </c>
      <c r="JZ732" s="19">
        <f t="shared" si="490"/>
        <v>0.55011002200440084</v>
      </c>
      <c r="KA732" s="52" t="str">
        <f t="shared" si="491"/>
        <v/>
      </c>
      <c r="KB732" s="15">
        <f t="shared" si="492"/>
        <v>0</v>
      </c>
      <c r="KC732" s="15">
        <f t="shared" si="493"/>
        <v>0</v>
      </c>
      <c r="KD732" s="20" t="str">
        <f t="shared" si="494"/>
        <v/>
      </c>
      <c r="KE732" s="52" t="str">
        <f t="shared" si="495"/>
        <v/>
      </c>
      <c r="KF732" s="15">
        <f t="shared" si="496"/>
        <v>0</v>
      </c>
      <c r="KG732" s="15">
        <f t="shared" si="497"/>
        <v>0</v>
      </c>
      <c r="KH732" s="21" t="str">
        <f t="shared" si="498"/>
        <v/>
      </c>
      <c r="KI732" s="52" t="str">
        <f t="shared" si="499"/>
        <v/>
      </c>
      <c r="KJ732" s="15">
        <f t="shared" si="500"/>
        <v>0</v>
      </c>
      <c r="KK732" s="15">
        <f t="shared" si="501"/>
        <v>0</v>
      </c>
      <c r="KL732" s="19" t="str">
        <f t="shared" si="502"/>
        <v/>
      </c>
      <c r="KM732" s="52" t="str">
        <f t="shared" si="503"/>
        <v/>
      </c>
      <c r="KN732" s="22">
        <f t="shared" si="504"/>
        <v>0</v>
      </c>
      <c r="KO732" s="22">
        <f t="shared" si="505"/>
        <v>0</v>
      </c>
      <c r="KP732" s="19" t="str">
        <f t="shared" si="506"/>
        <v/>
      </c>
      <c r="KQ732" s="11" t="str">
        <f t="shared" si="507"/>
        <v>2. Sensitive</v>
      </c>
      <c r="KR732" s="11" t="str">
        <f t="shared" si="508"/>
        <v>2. Accommodating</v>
      </c>
      <c r="KS732" s="11" t="str">
        <f t="shared" si="509"/>
        <v>1. Neutral</v>
      </c>
      <c r="KT732" s="11" t="str">
        <f t="shared" si="510"/>
        <v>It did not develop any specific innovation</v>
      </c>
      <c r="KU732" s="11" t="str">
        <f t="shared" si="511"/>
        <v>Little or no advocacy</v>
      </c>
      <c r="KV732" s="11" t="str">
        <f t="shared" si="512"/>
        <v>It did not take tested solutions to scale</v>
      </c>
      <c r="KW732" s="11" t="str">
        <f t="shared" si="513"/>
        <v>Sudan - WASH Services for South Sudanese Refugees in Al Nimir, East Darfur.</v>
      </c>
      <c r="KX732" s="11" t="str">
        <f t="shared" si="514"/>
        <v>WASH Services for South Sudanese Refugees in Al Nimir, East Darfur.</v>
      </c>
      <c r="KY732" s="11" t="str">
        <f t="shared" si="515"/>
        <v>Sudan</v>
      </c>
      <c r="KZ732" s="12">
        <v>732</v>
      </c>
    </row>
    <row r="733" spans="1:312" x14ac:dyDescent="0.3">
      <c r="A733" s="12" t="s">
        <v>11664</v>
      </c>
      <c r="B733" s="12" t="s">
        <v>602</v>
      </c>
      <c r="C733" s="12"/>
      <c r="D733" s="43" t="s">
        <v>11665</v>
      </c>
      <c r="E733" s="277" t="str">
        <f t="shared" si="473"/>
        <v>Switzerland</v>
      </c>
      <c r="F733" s="12"/>
      <c r="G733" s="12" t="s">
        <v>1529</v>
      </c>
      <c r="H733" s="12"/>
      <c r="I733" s="12"/>
      <c r="J733" s="281"/>
      <c r="K733" s="12"/>
      <c r="L733" s="12"/>
      <c r="M733" s="12"/>
      <c r="N733" s="12"/>
      <c r="O733" s="12"/>
      <c r="P733" s="12"/>
      <c r="Q733" s="12"/>
      <c r="R733" s="12"/>
      <c r="S733" s="12"/>
      <c r="T733" s="12"/>
      <c r="U733" s="12"/>
      <c r="V733" s="12"/>
      <c r="W733" s="12"/>
      <c r="X733" s="12"/>
      <c r="Y733" s="12"/>
      <c r="Z733" s="12"/>
      <c r="AA733" s="12"/>
      <c r="AB733" s="12"/>
      <c r="AC733" s="12"/>
      <c r="AD733" s="12"/>
      <c r="BD733" s="13">
        <v>42552</v>
      </c>
      <c r="BE733" s="13">
        <v>42916</v>
      </c>
      <c r="BF733" s="12"/>
      <c r="BG733" s="12"/>
      <c r="BH733" s="14"/>
      <c r="BI733" s="12" t="s">
        <v>11666</v>
      </c>
      <c r="BJ733" s="12" t="s">
        <v>11667</v>
      </c>
      <c r="BK733" s="12" t="s">
        <v>11668</v>
      </c>
      <c r="BL733" s="12"/>
      <c r="BM733" s="12"/>
      <c r="BN733" s="12"/>
      <c r="BO733" s="12" t="s">
        <v>320</v>
      </c>
      <c r="BP733" s="12" t="s">
        <v>319</v>
      </c>
      <c r="BQ733" s="12" t="s">
        <v>319</v>
      </c>
      <c r="BR733" s="12" t="s">
        <v>11669</v>
      </c>
      <c r="BS733" s="12" t="s">
        <v>849</v>
      </c>
      <c r="BT733" s="12" t="s">
        <v>11670</v>
      </c>
      <c r="BU733" s="12" t="s">
        <v>11671</v>
      </c>
      <c r="BV733" s="14">
        <v>550</v>
      </c>
      <c r="BW733" s="14">
        <v>900</v>
      </c>
      <c r="BX733" s="14">
        <v>1450</v>
      </c>
      <c r="BY733" s="14">
        <v>50600000</v>
      </c>
      <c r="BZ733" s="14">
        <v>50600000</v>
      </c>
      <c r="CA733" s="14">
        <v>101200000</v>
      </c>
      <c r="CB733" s="12" t="s">
        <v>11672</v>
      </c>
      <c r="CD733" s="14">
        <v>550</v>
      </c>
      <c r="CE733" s="14">
        <v>900</v>
      </c>
      <c r="CF733" s="14">
        <v>1450</v>
      </c>
      <c r="CG733" s="14"/>
      <c r="CH733" s="14"/>
      <c r="CI733" s="14"/>
      <c r="CJ733" s="12"/>
      <c r="CK733" s="14"/>
      <c r="CL733" s="16"/>
      <c r="CM733" s="14"/>
      <c r="CN733" s="12" t="s">
        <v>320</v>
      </c>
      <c r="CO733" s="14"/>
      <c r="CP733" s="16"/>
      <c r="CQ733" s="14"/>
      <c r="CR733" s="12"/>
      <c r="CS733" s="14"/>
      <c r="CT733" s="16"/>
      <c r="CU733" s="14"/>
      <c r="CV733" s="12" t="s">
        <v>320</v>
      </c>
      <c r="CW733" s="14"/>
      <c r="CX733" s="16"/>
      <c r="CY733" s="14"/>
      <c r="CZ733" s="12" t="s">
        <v>320</v>
      </c>
      <c r="DA733" s="14"/>
      <c r="DB733" s="16"/>
      <c r="DC733" s="14"/>
      <c r="DD733" s="12" t="s">
        <v>320</v>
      </c>
      <c r="DE733" s="14"/>
      <c r="DF733" s="16"/>
      <c r="DG733" s="14"/>
      <c r="DH733" s="12"/>
      <c r="DI733" s="14"/>
      <c r="DJ733" s="16"/>
      <c r="DK733" s="14"/>
      <c r="DL733" s="12" t="s">
        <v>320</v>
      </c>
      <c r="DM733" s="14"/>
      <c r="DN733" s="16"/>
      <c r="DO733" s="14"/>
      <c r="DP733" s="12" t="s">
        <v>320</v>
      </c>
      <c r="DQ733" s="14"/>
      <c r="DR733" s="16"/>
      <c r="DS733" s="14"/>
      <c r="DT733" s="12" t="s">
        <v>320</v>
      </c>
      <c r="DU733" s="14"/>
      <c r="DV733" s="16"/>
      <c r="DW733" s="14"/>
      <c r="DX733" s="12"/>
      <c r="DY733" s="14"/>
      <c r="DZ733" s="16"/>
      <c r="EA733" s="14"/>
      <c r="EB733" s="12" t="s">
        <v>320</v>
      </c>
      <c r="EC733" s="14"/>
      <c r="ED733" s="16"/>
      <c r="EE733" s="14"/>
      <c r="EF733" s="12"/>
      <c r="EG733" s="12"/>
      <c r="EH733" s="14"/>
      <c r="EI733" s="16"/>
      <c r="EJ733" s="14"/>
      <c r="EK733" s="14"/>
      <c r="EL733" s="14"/>
      <c r="EM733" s="14"/>
      <c r="EN733" s="14"/>
      <c r="EO733" s="14"/>
      <c r="EP733" s="14"/>
      <c r="EQ733" s="12"/>
      <c r="ER733" s="14"/>
      <c r="ES733" s="16"/>
      <c r="ET733" s="14"/>
      <c r="EU733" s="12"/>
      <c r="EV733" s="14"/>
      <c r="EW733" s="16"/>
      <c r="EX733" s="14"/>
      <c r="EY733" s="12"/>
      <c r="EZ733" s="14"/>
      <c r="FA733" s="16"/>
      <c r="FB733" s="14"/>
      <c r="FC733" s="12"/>
      <c r="FD733" s="14"/>
      <c r="FE733" s="16"/>
      <c r="FF733" s="14"/>
      <c r="FG733" s="12"/>
      <c r="FH733" s="14"/>
      <c r="FI733" s="16"/>
      <c r="FJ733" s="14"/>
      <c r="FK733" s="12"/>
      <c r="FL733" s="14"/>
      <c r="FM733" s="16"/>
      <c r="FN733" s="14"/>
      <c r="FO733" s="12"/>
      <c r="FP733" s="14"/>
      <c r="FQ733" s="16"/>
      <c r="FR733" s="14"/>
      <c r="FS733" s="12"/>
      <c r="FT733" s="14"/>
      <c r="FU733" s="16"/>
      <c r="FV733" s="14"/>
      <c r="FW733" s="12"/>
      <c r="FX733" s="14"/>
      <c r="FY733" s="16"/>
      <c r="FZ733" s="14"/>
      <c r="GA733" s="12"/>
      <c r="GB733" s="14"/>
      <c r="GC733" s="16"/>
      <c r="GD733" s="14"/>
      <c r="GE733" s="12"/>
      <c r="GF733" s="14"/>
      <c r="GG733" s="16"/>
      <c r="GH733" s="14"/>
      <c r="GI733" s="12"/>
      <c r="GJ733" s="14"/>
      <c r="GK733" s="16"/>
      <c r="GL733" s="14"/>
      <c r="GM733" s="12"/>
      <c r="GN733" s="14"/>
      <c r="GO733" s="16"/>
      <c r="GP733" s="14"/>
      <c r="GQ733" s="12"/>
      <c r="GR733" s="14"/>
      <c r="GS733" s="16"/>
      <c r="GT733" s="14"/>
      <c r="GU733" s="12"/>
      <c r="GV733" s="14"/>
      <c r="GW733" s="16"/>
      <c r="GX733" s="14"/>
      <c r="GY733" s="12"/>
      <c r="GZ733" s="14"/>
      <c r="HA733" s="16"/>
      <c r="HB733" s="14"/>
      <c r="HC733" s="12"/>
      <c r="HD733" s="12"/>
      <c r="HE733" s="14"/>
      <c r="HF733" s="16"/>
      <c r="HG733" s="14"/>
      <c r="HH733" s="12" t="s">
        <v>319</v>
      </c>
      <c r="HI733" s="12"/>
      <c r="HJ733" s="12"/>
      <c r="HK733" s="12"/>
      <c r="HL733" s="12" t="s">
        <v>319</v>
      </c>
      <c r="HM733" s="12"/>
      <c r="HN733" s="12"/>
      <c r="HO733" s="12"/>
      <c r="HP733" s="12" t="s">
        <v>453</v>
      </c>
      <c r="HQ733" s="12" t="s">
        <v>320</v>
      </c>
      <c r="HR733" s="12"/>
      <c r="HS733" s="12"/>
      <c r="HT733" s="12"/>
      <c r="HU733" s="12" t="s">
        <v>320</v>
      </c>
      <c r="HV733" s="12" t="s">
        <v>320</v>
      </c>
      <c r="HW733" s="12"/>
      <c r="HX733" s="12" t="s">
        <v>320</v>
      </c>
      <c r="HY733" s="12" t="s">
        <v>11673</v>
      </c>
      <c r="HZ733" s="12" t="s">
        <v>394</v>
      </c>
      <c r="IA733" s="12" t="s">
        <v>11674</v>
      </c>
      <c r="IB733" s="12"/>
      <c r="IC733" s="12"/>
      <c r="ID733" s="12"/>
      <c r="IE733" s="12" t="s">
        <v>478</v>
      </c>
      <c r="IF733" s="12" t="s">
        <v>320</v>
      </c>
      <c r="IG733" s="12" t="s">
        <v>320</v>
      </c>
      <c r="IH733" s="12"/>
      <c r="II733" s="12"/>
      <c r="IJ733" s="12" t="str">
        <f t="shared" si="474"/>
        <v>3. Responsive</v>
      </c>
      <c r="IK733" s="12">
        <f t="shared" si="475"/>
        <v>2</v>
      </c>
      <c r="IL733" s="12"/>
      <c r="IM733" s="12"/>
      <c r="IN733" s="12"/>
      <c r="IO733" s="12"/>
      <c r="IP733" s="12"/>
      <c r="IQ733" s="12" t="str">
        <f t="shared" si="476"/>
        <v>No marker score</v>
      </c>
      <c r="IR733" s="12">
        <f t="shared" si="477"/>
        <v>0</v>
      </c>
      <c r="IS733" s="12"/>
      <c r="IT733" s="12"/>
      <c r="IU733" s="12"/>
      <c r="IV733" s="12"/>
      <c r="IW733" s="11" t="str">
        <f t="shared" si="478"/>
        <v>No marker score</v>
      </c>
      <c r="IX733" s="12">
        <f t="shared" si="479"/>
        <v>0</v>
      </c>
      <c r="IY733" s="12"/>
      <c r="IZ733" s="12"/>
      <c r="JA733" s="12"/>
      <c r="JB733" s="12"/>
      <c r="JC733" s="12"/>
      <c r="JD733" s="12"/>
      <c r="JE733" s="12"/>
      <c r="JF733" s="12"/>
      <c r="JG733" s="12"/>
      <c r="JH733" s="12"/>
      <c r="JI733" s="12"/>
      <c r="JJ733" s="12"/>
      <c r="JK733" s="12"/>
      <c r="JL733" s="12"/>
      <c r="JM733" s="12"/>
      <c r="JN733" s="12"/>
      <c r="JO733" s="12"/>
      <c r="JP733" s="15">
        <f t="shared" si="480"/>
        <v>1450</v>
      </c>
      <c r="JQ733" s="15">
        <f t="shared" si="481"/>
        <v>0</v>
      </c>
      <c r="JR733" s="279">
        <f t="shared" si="482"/>
        <v>0</v>
      </c>
      <c r="JS733" s="17">
        <f t="shared" si="483"/>
        <v>0.37931034482758619</v>
      </c>
      <c r="JT733" s="18" t="str">
        <f t="shared" si="484"/>
        <v/>
      </c>
      <c r="JU733" s="280">
        <f t="shared" si="485"/>
        <v>550</v>
      </c>
      <c r="JV733" s="280">
        <f t="shared" si="486"/>
        <v>0</v>
      </c>
      <c r="JW733" s="319">
        <f t="shared" si="487"/>
        <v>1</v>
      </c>
      <c r="JX733" s="15">
        <f t="shared" si="488"/>
        <v>1450</v>
      </c>
      <c r="JY733" s="15">
        <f t="shared" si="489"/>
        <v>0</v>
      </c>
      <c r="JZ733" s="19">
        <f t="shared" si="490"/>
        <v>0</v>
      </c>
      <c r="KA733" s="52">
        <f t="shared" si="491"/>
        <v>1</v>
      </c>
      <c r="KB733" s="15">
        <f t="shared" si="492"/>
        <v>0</v>
      </c>
      <c r="KC733" s="15">
        <f t="shared" si="493"/>
        <v>0</v>
      </c>
      <c r="KD733" s="20" t="str">
        <f t="shared" si="494"/>
        <v/>
      </c>
      <c r="KE733" s="52">
        <f t="shared" si="495"/>
        <v>1</v>
      </c>
      <c r="KF733" s="15">
        <f t="shared" si="496"/>
        <v>0</v>
      </c>
      <c r="KG733" s="15">
        <f t="shared" si="497"/>
        <v>0</v>
      </c>
      <c r="KH733" s="21" t="str">
        <f t="shared" si="498"/>
        <v/>
      </c>
      <c r="KI733" s="52">
        <f t="shared" si="499"/>
        <v>1</v>
      </c>
      <c r="KJ733" s="15">
        <f t="shared" si="500"/>
        <v>0</v>
      </c>
      <c r="KK733" s="15">
        <f t="shared" si="501"/>
        <v>0</v>
      </c>
      <c r="KL733" s="19" t="str">
        <f t="shared" si="502"/>
        <v/>
      </c>
      <c r="KM733" s="52" t="str">
        <f t="shared" si="503"/>
        <v/>
      </c>
      <c r="KN733" s="22">
        <f t="shared" si="504"/>
        <v>0</v>
      </c>
      <c r="KO733" s="22">
        <f t="shared" si="505"/>
        <v>0</v>
      </c>
      <c r="KP733" s="19" t="str">
        <f t="shared" si="506"/>
        <v/>
      </c>
      <c r="KQ733" s="11" t="str">
        <f t="shared" si="507"/>
        <v>3. Responsive</v>
      </c>
      <c r="KR733" s="11" t="str">
        <f t="shared" si="508"/>
        <v>No marker score</v>
      </c>
      <c r="KS733" s="11" t="str">
        <f t="shared" si="509"/>
        <v>No marker score</v>
      </c>
      <c r="KT733" s="11" t="str">
        <f t="shared" si="510"/>
        <v>It tested new ways for fighting poverty, but did not measure results of innovation</v>
      </c>
      <c r="KU733" s="11" t="str">
        <f t="shared" si="511"/>
        <v>Intensive advocacy</v>
      </c>
      <c r="KV733" s="11">
        <f t="shared" si="512"/>
        <v>0</v>
      </c>
      <c r="KW733" s="11" t="str">
        <f t="shared" si="513"/>
        <v>Switzerland - Humanitarian Advocacy (Grand Bargain Gender)</v>
      </c>
      <c r="KX733" s="11" t="str">
        <f t="shared" si="514"/>
        <v>Humanitarian Advocacy (Grand Bargain Gender)</v>
      </c>
      <c r="KY733" s="11" t="str">
        <f t="shared" si="515"/>
        <v>Switzerland</v>
      </c>
      <c r="KZ733" s="12">
        <v>733</v>
      </c>
    </row>
    <row r="734" spans="1:312" x14ac:dyDescent="0.3">
      <c r="A734" s="12" t="s">
        <v>11664</v>
      </c>
      <c r="B734" s="12" t="s">
        <v>602</v>
      </c>
      <c r="C734" s="12"/>
      <c r="D734" s="43" t="s">
        <v>11675</v>
      </c>
      <c r="E734" s="277" t="str">
        <f t="shared" si="473"/>
        <v>Switzerland</v>
      </c>
      <c r="F734" s="12"/>
      <c r="G734" s="12" t="s">
        <v>1529</v>
      </c>
      <c r="H734" s="12"/>
      <c r="I734" s="12"/>
      <c r="J734" s="281"/>
      <c r="K734" s="12"/>
      <c r="L734" s="12"/>
      <c r="M734" s="12"/>
      <c r="N734" s="12"/>
      <c r="O734" s="12"/>
      <c r="P734" s="12"/>
      <c r="Q734" s="12"/>
      <c r="R734" s="12"/>
      <c r="S734" s="12"/>
      <c r="T734" s="12"/>
      <c r="U734" s="12"/>
      <c r="V734" s="12"/>
      <c r="W734" s="12"/>
      <c r="X734" s="12"/>
      <c r="Y734" s="12"/>
      <c r="Z734" s="12"/>
      <c r="AA734" s="12"/>
      <c r="AB734" s="12"/>
      <c r="AC734" s="12"/>
      <c r="AD734" s="12"/>
      <c r="BD734" s="13">
        <v>42552</v>
      </c>
      <c r="BE734" s="13">
        <v>42916</v>
      </c>
      <c r="BF734" s="12"/>
      <c r="BG734" s="12"/>
      <c r="BH734" s="14"/>
      <c r="BI734" s="12" t="s">
        <v>11666</v>
      </c>
      <c r="BJ734" s="12" t="s">
        <v>11667</v>
      </c>
      <c r="BK734" s="12" t="s">
        <v>11668</v>
      </c>
      <c r="BL734" s="12" t="s">
        <v>11676</v>
      </c>
      <c r="BM734" s="12" t="s">
        <v>11677</v>
      </c>
      <c r="BN734" s="12" t="s">
        <v>11678</v>
      </c>
      <c r="BO734" s="12" t="s">
        <v>320</v>
      </c>
      <c r="BP734" s="12" t="s">
        <v>320</v>
      </c>
      <c r="BQ734" s="12" t="s">
        <v>320</v>
      </c>
      <c r="BR734" s="12" t="s">
        <v>11679</v>
      </c>
      <c r="BS734" s="12" t="s">
        <v>849</v>
      </c>
      <c r="BT734" s="12" t="s">
        <v>11670</v>
      </c>
      <c r="BU734" s="12" t="s">
        <v>11671</v>
      </c>
      <c r="BV734" s="14">
        <v>50</v>
      </c>
      <c r="BW734" s="14">
        <v>80</v>
      </c>
      <c r="BX734" s="14">
        <v>130</v>
      </c>
      <c r="BY734" s="38"/>
      <c r="BZ734" s="38"/>
      <c r="CA734" s="38"/>
      <c r="CB734" s="12" t="s">
        <v>11672</v>
      </c>
      <c r="CD734" s="14">
        <v>50</v>
      </c>
      <c r="CE734" s="14">
        <v>80</v>
      </c>
      <c r="CF734" s="14">
        <v>130</v>
      </c>
      <c r="CG734" s="14"/>
      <c r="CH734" s="14"/>
      <c r="CI734" s="14"/>
      <c r="CJ734" s="12"/>
      <c r="CK734" s="14"/>
      <c r="CL734" s="16"/>
      <c r="CM734" s="14"/>
      <c r="CN734" s="12"/>
      <c r="CO734" s="14"/>
      <c r="CP734" s="16"/>
      <c r="CQ734" s="14"/>
      <c r="CR734" s="12"/>
      <c r="CS734" s="14"/>
      <c r="CT734" s="16"/>
      <c r="CU734" s="14"/>
      <c r="CV734" s="12"/>
      <c r="CW734" s="14"/>
      <c r="CX734" s="16"/>
      <c r="CY734" s="14"/>
      <c r="CZ734" s="12"/>
      <c r="DA734" s="14"/>
      <c r="DB734" s="16"/>
      <c r="DC734" s="14"/>
      <c r="DD734" s="12"/>
      <c r="DE734" s="14"/>
      <c r="DF734" s="16"/>
      <c r="DG734" s="14"/>
      <c r="DH734" s="12"/>
      <c r="DI734" s="14"/>
      <c r="DJ734" s="16"/>
      <c r="DK734" s="14"/>
      <c r="DL734" s="12"/>
      <c r="DM734" s="14"/>
      <c r="DN734" s="16"/>
      <c r="DO734" s="14"/>
      <c r="DP734" s="12"/>
      <c r="DQ734" s="14"/>
      <c r="DR734" s="16"/>
      <c r="DS734" s="14"/>
      <c r="DT734" s="12"/>
      <c r="DU734" s="14"/>
      <c r="DV734" s="16"/>
      <c r="DW734" s="14"/>
      <c r="DX734" s="12"/>
      <c r="DY734" s="14"/>
      <c r="DZ734" s="16"/>
      <c r="EA734" s="14"/>
      <c r="EB734" s="12"/>
      <c r="EC734" s="14"/>
      <c r="ED734" s="16"/>
      <c r="EE734" s="14"/>
      <c r="EF734" s="12"/>
      <c r="EG734" s="12"/>
      <c r="EH734" s="14"/>
      <c r="EI734" s="16"/>
      <c r="EJ734" s="14"/>
      <c r="EK734" s="14"/>
      <c r="EL734" s="14"/>
      <c r="EM734" s="14"/>
      <c r="EN734" s="14"/>
      <c r="EO734" s="14"/>
      <c r="EP734" s="14"/>
      <c r="EQ734" s="12"/>
      <c r="ER734" s="14"/>
      <c r="ES734" s="16"/>
      <c r="ET734" s="14"/>
      <c r="EU734" s="12"/>
      <c r="EV734" s="14"/>
      <c r="EW734" s="16"/>
      <c r="EX734" s="14"/>
      <c r="EY734" s="12"/>
      <c r="EZ734" s="14"/>
      <c r="FA734" s="16"/>
      <c r="FB734" s="14"/>
      <c r="FC734" s="12"/>
      <c r="FD734" s="14"/>
      <c r="FE734" s="16"/>
      <c r="FF734" s="14"/>
      <c r="FG734" s="12"/>
      <c r="FH734" s="14"/>
      <c r="FI734" s="16"/>
      <c r="FJ734" s="14"/>
      <c r="FK734" s="12"/>
      <c r="FL734" s="14"/>
      <c r="FM734" s="16"/>
      <c r="FN734" s="14"/>
      <c r="FO734" s="12"/>
      <c r="FP734" s="14"/>
      <c r="FQ734" s="16"/>
      <c r="FR734" s="14"/>
      <c r="FS734" s="12"/>
      <c r="FT734" s="14"/>
      <c r="FU734" s="16"/>
      <c r="FV734" s="14"/>
      <c r="FW734" s="12"/>
      <c r="FX734" s="14"/>
      <c r="FY734" s="16"/>
      <c r="FZ734" s="14"/>
      <c r="GA734" s="12"/>
      <c r="GB734" s="14"/>
      <c r="GC734" s="16"/>
      <c r="GD734" s="14"/>
      <c r="GE734" s="12"/>
      <c r="GF734" s="14"/>
      <c r="GG734" s="16"/>
      <c r="GH734" s="14"/>
      <c r="GI734" s="12"/>
      <c r="GJ734" s="14"/>
      <c r="GK734" s="16"/>
      <c r="GL734" s="14"/>
      <c r="GM734" s="12"/>
      <c r="GN734" s="14"/>
      <c r="GO734" s="16"/>
      <c r="GP734" s="14"/>
      <c r="GQ734" s="12"/>
      <c r="GR734" s="14"/>
      <c r="GS734" s="16"/>
      <c r="GT734" s="14"/>
      <c r="GU734" s="12"/>
      <c r="GV734" s="14"/>
      <c r="GW734" s="16"/>
      <c r="GX734" s="14"/>
      <c r="GY734" s="12"/>
      <c r="GZ734" s="14"/>
      <c r="HA734" s="16"/>
      <c r="HB734" s="14"/>
      <c r="HC734" s="12"/>
      <c r="HD734" s="12"/>
      <c r="HE734" s="14"/>
      <c r="HF734" s="16"/>
      <c r="HG734" s="14"/>
      <c r="HH734" s="12" t="s">
        <v>319</v>
      </c>
      <c r="HI734" s="12"/>
      <c r="HJ734" s="12"/>
      <c r="HK734" s="12"/>
      <c r="HL734" s="12" t="s">
        <v>319</v>
      </c>
      <c r="HM734" s="12"/>
      <c r="HN734" s="12"/>
      <c r="HO734" s="12"/>
      <c r="HP734" s="12" t="s">
        <v>453</v>
      </c>
      <c r="HQ734" s="12" t="s">
        <v>320</v>
      </c>
      <c r="HR734" s="12" t="s">
        <v>320</v>
      </c>
      <c r="HS734" s="12" t="s">
        <v>320</v>
      </c>
      <c r="HT734" s="12" t="s">
        <v>320</v>
      </c>
      <c r="HU734" s="12" t="s">
        <v>320</v>
      </c>
      <c r="HV734" s="12" t="s">
        <v>320</v>
      </c>
      <c r="HW734" s="12"/>
      <c r="HX734" s="12"/>
      <c r="HY734" s="12"/>
      <c r="HZ734" s="12" t="s">
        <v>394</v>
      </c>
      <c r="IA734" s="12" t="s">
        <v>11674</v>
      </c>
      <c r="IB734" s="12"/>
      <c r="IC734" s="12"/>
      <c r="ID734" s="12"/>
      <c r="IE734" s="12" t="s">
        <v>478</v>
      </c>
      <c r="IF734" s="12" t="s">
        <v>320</v>
      </c>
      <c r="IG734" s="12" t="s">
        <v>320</v>
      </c>
      <c r="IH734" s="12"/>
      <c r="II734" s="12"/>
      <c r="IJ734" s="12" t="str">
        <f t="shared" si="474"/>
        <v>3. Responsive</v>
      </c>
      <c r="IK734" s="12">
        <f t="shared" si="475"/>
        <v>2</v>
      </c>
      <c r="IL734" s="12"/>
      <c r="IM734" s="12"/>
      <c r="IN734" s="12"/>
      <c r="IO734" s="12"/>
      <c r="IP734" s="12"/>
      <c r="IQ734" s="12" t="str">
        <f t="shared" si="476"/>
        <v>No marker score</v>
      </c>
      <c r="IR734" s="12">
        <f t="shared" si="477"/>
        <v>0</v>
      </c>
      <c r="IS734" s="12"/>
      <c r="IT734" s="12"/>
      <c r="IU734" s="12"/>
      <c r="IV734" s="12"/>
      <c r="IW734" s="11" t="str">
        <f t="shared" si="478"/>
        <v>No marker score</v>
      </c>
      <c r="IX734" s="12">
        <f t="shared" si="479"/>
        <v>0</v>
      </c>
      <c r="IY734" s="12"/>
      <c r="IZ734" s="12"/>
      <c r="JA734" s="12"/>
      <c r="JB734" s="12"/>
      <c r="JC734" s="12"/>
      <c r="JD734" s="12"/>
      <c r="JE734" s="12"/>
      <c r="JF734" s="12"/>
      <c r="JG734" s="12"/>
      <c r="JH734" s="12"/>
      <c r="JI734" s="12"/>
      <c r="JJ734" s="12"/>
      <c r="JK734" s="12"/>
      <c r="JL734" s="12"/>
      <c r="JM734" s="12"/>
      <c r="JN734" s="12"/>
      <c r="JO734" s="12"/>
      <c r="JP734" s="15">
        <f t="shared" si="480"/>
        <v>130</v>
      </c>
      <c r="JQ734" s="15">
        <f t="shared" si="481"/>
        <v>0</v>
      </c>
      <c r="JR734" s="279">
        <f t="shared" si="482"/>
        <v>0</v>
      </c>
      <c r="JS734" s="17">
        <f t="shared" si="483"/>
        <v>0.38461538461538464</v>
      </c>
      <c r="JT734" s="18" t="str">
        <f t="shared" si="484"/>
        <v/>
      </c>
      <c r="JU734" s="280">
        <f t="shared" si="485"/>
        <v>50</v>
      </c>
      <c r="JV734" s="280">
        <f t="shared" si="486"/>
        <v>0</v>
      </c>
      <c r="JW734" s="319">
        <f t="shared" si="487"/>
        <v>1</v>
      </c>
      <c r="JX734" s="15">
        <f t="shared" si="488"/>
        <v>130</v>
      </c>
      <c r="JY734" s="15">
        <f t="shared" si="489"/>
        <v>0</v>
      </c>
      <c r="JZ734" s="19">
        <f t="shared" si="490"/>
        <v>0</v>
      </c>
      <c r="KA734" s="52" t="str">
        <f t="shared" si="491"/>
        <v/>
      </c>
      <c r="KB734" s="15">
        <f t="shared" si="492"/>
        <v>0</v>
      </c>
      <c r="KC734" s="15">
        <f t="shared" si="493"/>
        <v>0</v>
      </c>
      <c r="KD734" s="20" t="str">
        <f t="shared" si="494"/>
        <v/>
      </c>
      <c r="KE734" s="52" t="str">
        <f t="shared" si="495"/>
        <v/>
      </c>
      <c r="KF734" s="15">
        <f t="shared" si="496"/>
        <v>0</v>
      </c>
      <c r="KG734" s="15">
        <f t="shared" si="497"/>
        <v>0</v>
      </c>
      <c r="KH734" s="21" t="str">
        <f t="shared" si="498"/>
        <v/>
      </c>
      <c r="KI734" s="52" t="str">
        <f t="shared" si="499"/>
        <v/>
      </c>
      <c r="KJ734" s="15">
        <f t="shared" si="500"/>
        <v>0</v>
      </c>
      <c r="KK734" s="15">
        <f t="shared" si="501"/>
        <v>0</v>
      </c>
      <c r="KL734" s="19" t="str">
        <f t="shared" si="502"/>
        <v/>
      </c>
      <c r="KM734" s="52" t="str">
        <f t="shared" si="503"/>
        <v/>
      </c>
      <c r="KN734" s="22">
        <f t="shared" si="504"/>
        <v>0</v>
      </c>
      <c r="KO734" s="22">
        <f t="shared" si="505"/>
        <v>0</v>
      </c>
      <c r="KP734" s="19" t="str">
        <f t="shared" si="506"/>
        <v/>
      </c>
      <c r="KQ734" s="11" t="str">
        <f t="shared" si="507"/>
        <v>3. Responsive</v>
      </c>
      <c r="KR734" s="11" t="str">
        <f t="shared" si="508"/>
        <v>No marker score</v>
      </c>
      <c r="KS734" s="11" t="str">
        <f t="shared" si="509"/>
        <v>No marker score</v>
      </c>
      <c r="KT734" s="11" t="str">
        <f t="shared" si="510"/>
        <v>It tested new ways for fighting poverty, but did not measure results of innovation</v>
      </c>
      <c r="KU734" s="11" t="str">
        <f t="shared" si="511"/>
        <v>Intensive advocacy</v>
      </c>
      <c r="KV734" s="11">
        <f t="shared" si="512"/>
        <v>0</v>
      </c>
      <c r="KW734" s="11" t="str">
        <f t="shared" si="513"/>
        <v>Switzerland - Humanitarian Advocacy (Grand Bargain Localisation Workstream/ Charter4Change)</v>
      </c>
      <c r="KX734" s="11" t="str">
        <f t="shared" si="514"/>
        <v>Humanitarian Advocacy (Grand Bargain Localisation Workstream/ Charter4Change)</v>
      </c>
      <c r="KY734" s="11" t="str">
        <f t="shared" si="515"/>
        <v>Switzerland</v>
      </c>
      <c r="KZ734" s="12">
        <v>734</v>
      </c>
    </row>
    <row r="735" spans="1:312" x14ac:dyDescent="0.3">
      <c r="A735" s="12" t="s">
        <v>11664</v>
      </c>
      <c r="B735" s="12" t="s">
        <v>602</v>
      </c>
      <c r="C735" s="12"/>
      <c r="D735" s="43" t="s">
        <v>11680</v>
      </c>
      <c r="E735" s="277" t="str">
        <f t="shared" si="473"/>
        <v>Switzerland</v>
      </c>
      <c r="F735" s="12"/>
      <c r="G735" s="12" t="s">
        <v>1529</v>
      </c>
      <c r="H735" s="12"/>
      <c r="I735" s="12"/>
      <c r="J735" s="281"/>
      <c r="K735" s="12"/>
      <c r="L735" s="12"/>
      <c r="M735" s="12"/>
      <c r="N735" s="12"/>
      <c r="O735" s="12"/>
      <c r="P735" s="12"/>
      <c r="Q735" s="12"/>
      <c r="R735" s="12"/>
      <c r="S735" s="12"/>
      <c r="T735" s="12"/>
      <c r="U735" s="12"/>
      <c r="V735" s="12"/>
      <c r="W735" s="12"/>
      <c r="X735" s="12"/>
      <c r="Y735" s="12"/>
      <c r="Z735" s="12"/>
      <c r="AA735" s="12"/>
      <c r="AB735" s="12"/>
      <c r="AC735" s="12"/>
      <c r="AD735" s="12"/>
      <c r="BD735" s="13">
        <v>42552</v>
      </c>
      <c r="BE735" s="13">
        <v>42916</v>
      </c>
      <c r="BF735" s="12"/>
      <c r="BG735" s="12"/>
      <c r="BH735" s="14"/>
      <c r="BI735" s="12" t="s">
        <v>11666</v>
      </c>
      <c r="BJ735" s="12" t="s">
        <v>11667</v>
      </c>
      <c r="BK735" s="12" t="s">
        <v>11668</v>
      </c>
      <c r="BL735" s="12"/>
      <c r="BM735" s="12"/>
      <c r="BN735" s="12"/>
      <c r="BO735" s="12" t="s">
        <v>320</v>
      </c>
      <c r="BP735" s="12" t="s">
        <v>319</v>
      </c>
      <c r="BQ735" s="12" t="s">
        <v>319</v>
      </c>
      <c r="BR735" s="12" t="s">
        <v>11681</v>
      </c>
      <c r="BS735" s="12" t="s">
        <v>849</v>
      </c>
      <c r="BT735" s="12" t="s">
        <v>11670</v>
      </c>
      <c r="BU735" s="12" t="s">
        <v>11671</v>
      </c>
      <c r="BV735" s="14">
        <v>20</v>
      </c>
      <c r="BW735" s="14">
        <v>20</v>
      </c>
      <c r="BX735" s="14">
        <v>40</v>
      </c>
      <c r="BY735" s="38"/>
      <c r="BZ735" s="38"/>
      <c r="CA735" s="38"/>
      <c r="CB735" s="12" t="s">
        <v>11682</v>
      </c>
      <c r="CD735" s="14">
        <v>20</v>
      </c>
      <c r="CE735" s="14">
        <v>20</v>
      </c>
      <c r="CF735" s="14">
        <v>40</v>
      </c>
      <c r="CG735" s="14"/>
      <c r="CH735" s="14"/>
      <c r="CI735" s="14"/>
      <c r="CJ735" s="12" t="s">
        <v>320</v>
      </c>
      <c r="CK735" s="14"/>
      <c r="CL735" s="16"/>
      <c r="CM735" s="14"/>
      <c r="CN735" s="12" t="s">
        <v>320</v>
      </c>
      <c r="CO735" s="14"/>
      <c r="CP735" s="16"/>
      <c r="CQ735" s="14"/>
      <c r="CR735" s="12" t="s">
        <v>320</v>
      </c>
      <c r="CS735" s="14"/>
      <c r="CT735" s="16"/>
      <c r="CU735" s="14"/>
      <c r="CV735" s="12" t="s">
        <v>320</v>
      </c>
      <c r="CW735" s="14"/>
      <c r="CX735" s="16"/>
      <c r="CY735" s="14"/>
      <c r="CZ735" s="12" t="s">
        <v>320</v>
      </c>
      <c r="DA735" s="14"/>
      <c r="DB735" s="16"/>
      <c r="DC735" s="14"/>
      <c r="DD735" s="12" t="s">
        <v>320</v>
      </c>
      <c r="DE735" s="14"/>
      <c r="DF735" s="16"/>
      <c r="DG735" s="14"/>
      <c r="DH735" s="12" t="s">
        <v>320</v>
      </c>
      <c r="DI735" s="14"/>
      <c r="DJ735" s="16"/>
      <c r="DK735" s="14"/>
      <c r="DL735" s="12" t="s">
        <v>320</v>
      </c>
      <c r="DM735" s="14"/>
      <c r="DN735" s="16"/>
      <c r="DO735" s="14"/>
      <c r="DP735" s="12" t="s">
        <v>320</v>
      </c>
      <c r="DQ735" s="14"/>
      <c r="DR735" s="16"/>
      <c r="DS735" s="14"/>
      <c r="DT735" s="12" t="s">
        <v>320</v>
      </c>
      <c r="DU735" s="14"/>
      <c r="DV735" s="16"/>
      <c r="DW735" s="14"/>
      <c r="DX735" s="12" t="s">
        <v>320</v>
      </c>
      <c r="DY735" s="14"/>
      <c r="DZ735" s="16"/>
      <c r="EA735" s="14"/>
      <c r="EB735" s="12" t="s">
        <v>320</v>
      </c>
      <c r="EC735" s="14"/>
      <c r="ED735" s="16"/>
      <c r="EE735" s="14"/>
      <c r="EF735" s="12"/>
      <c r="EG735" s="12"/>
      <c r="EH735" s="14"/>
      <c r="EI735" s="16"/>
      <c r="EJ735" s="14"/>
      <c r="EK735" s="14"/>
      <c r="EL735" s="14"/>
      <c r="EM735" s="14"/>
      <c r="EN735" s="14"/>
      <c r="EO735" s="14"/>
      <c r="EP735" s="14"/>
      <c r="EQ735" s="12"/>
      <c r="ER735" s="14"/>
      <c r="ES735" s="16"/>
      <c r="ET735" s="14"/>
      <c r="EU735" s="12"/>
      <c r="EV735" s="14"/>
      <c r="EW735" s="16"/>
      <c r="EX735" s="14"/>
      <c r="EY735" s="12"/>
      <c r="EZ735" s="14"/>
      <c r="FA735" s="16"/>
      <c r="FB735" s="14"/>
      <c r="FC735" s="12"/>
      <c r="FD735" s="14"/>
      <c r="FE735" s="16"/>
      <c r="FF735" s="14"/>
      <c r="FG735" s="12"/>
      <c r="FH735" s="14"/>
      <c r="FI735" s="16"/>
      <c r="FJ735" s="14"/>
      <c r="FK735" s="12"/>
      <c r="FL735" s="14"/>
      <c r="FM735" s="16"/>
      <c r="FN735" s="14"/>
      <c r="FO735" s="12"/>
      <c r="FP735" s="14"/>
      <c r="FQ735" s="16"/>
      <c r="FR735" s="14"/>
      <c r="FS735" s="12"/>
      <c r="FT735" s="14"/>
      <c r="FU735" s="16"/>
      <c r="FV735" s="14"/>
      <c r="FW735" s="12"/>
      <c r="FX735" s="14"/>
      <c r="FY735" s="16"/>
      <c r="FZ735" s="14"/>
      <c r="GA735" s="12"/>
      <c r="GB735" s="14"/>
      <c r="GC735" s="16"/>
      <c r="GD735" s="14"/>
      <c r="GE735" s="12"/>
      <c r="GF735" s="14"/>
      <c r="GG735" s="16"/>
      <c r="GH735" s="14"/>
      <c r="GI735" s="12"/>
      <c r="GJ735" s="14"/>
      <c r="GK735" s="16"/>
      <c r="GL735" s="14"/>
      <c r="GM735" s="12"/>
      <c r="GN735" s="14"/>
      <c r="GO735" s="16"/>
      <c r="GP735" s="14"/>
      <c r="GQ735" s="12"/>
      <c r="GR735" s="14"/>
      <c r="GS735" s="16"/>
      <c r="GT735" s="14"/>
      <c r="GU735" s="12"/>
      <c r="GV735" s="14"/>
      <c r="GW735" s="16"/>
      <c r="GX735" s="14"/>
      <c r="GY735" s="12"/>
      <c r="GZ735" s="14"/>
      <c r="HA735" s="16"/>
      <c r="HB735" s="14"/>
      <c r="HC735" s="12"/>
      <c r="HD735" s="12"/>
      <c r="HE735" s="14"/>
      <c r="HF735" s="16"/>
      <c r="HG735" s="14"/>
      <c r="HH735" s="12" t="s">
        <v>319</v>
      </c>
      <c r="HI735" s="12"/>
      <c r="HJ735" s="12"/>
      <c r="HK735" s="12"/>
      <c r="HL735" s="12" t="s">
        <v>319</v>
      </c>
      <c r="HM735" s="12"/>
      <c r="HN735" s="12"/>
      <c r="HO735" s="12"/>
      <c r="HP735" s="12" t="s">
        <v>453</v>
      </c>
      <c r="HQ735" s="12"/>
      <c r="HR735" s="12" t="s">
        <v>320</v>
      </c>
      <c r="HS735" s="12"/>
      <c r="HT735" s="12"/>
      <c r="HU735" s="12" t="s">
        <v>320</v>
      </c>
      <c r="HV735" s="12" t="s">
        <v>320</v>
      </c>
      <c r="HW735" s="12"/>
      <c r="HX735" s="12"/>
      <c r="HY735" s="12"/>
      <c r="HZ735" s="12" t="s">
        <v>363</v>
      </c>
      <c r="IA735" s="12"/>
      <c r="IB735" s="12"/>
      <c r="IC735" s="12"/>
      <c r="ID735" s="12"/>
      <c r="IE735" s="12" t="s">
        <v>478</v>
      </c>
      <c r="IF735" s="12" t="s">
        <v>320</v>
      </c>
      <c r="IG735" s="12" t="s">
        <v>320</v>
      </c>
      <c r="IH735" s="12"/>
      <c r="II735" s="12" t="s">
        <v>320</v>
      </c>
      <c r="IJ735" s="12" t="str">
        <f t="shared" si="474"/>
        <v>3. Responsive</v>
      </c>
      <c r="IK735" s="12">
        <f t="shared" si="475"/>
        <v>3</v>
      </c>
      <c r="IL735" s="12"/>
      <c r="IM735" s="12"/>
      <c r="IN735" s="12"/>
      <c r="IO735" s="12"/>
      <c r="IP735" s="12"/>
      <c r="IQ735" s="12" t="str">
        <f t="shared" si="476"/>
        <v>No marker score</v>
      </c>
      <c r="IR735" s="12">
        <f t="shared" si="477"/>
        <v>0</v>
      </c>
      <c r="IS735" s="12"/>
      <c r="IT735" s="12"/>
      <c r="IU735" s="12"/>
      <c r="IV735" s="12"/>
      <c r="IW735" s="11" t="str">
        <f t="shared" si="478"/>
        <v>No marker score</v>
      </c>
      <c r="IX735" s="12">
        <f t="shared" si="479"/>
        <v>0</v>
      </c>
      <c r="IY735" s="12"/>
      <c r="IZ735" s="12"/>
      <c r="JA735" s="12"/>
      <c r="JB735" s="12"/>
      <c r="JC735" s="12"/>
      <c r="JD735" s="12"/>
      <c r="JE735" s="12" t="s">
        <v>340</v>
      </c>
      <c r="JF735" s="12"/>
      <c r="JG735" s="12"/>
      <c r="JH735" s="12"/>
      <c r="JI735" s="12"/>
      <c r="JJ735" s="12"/>
      <c r="JK735" s="12"/>
      <c r="JL735" s="12"/>
      <c r="JM735" s="12"/>
      <c r="JN735" s="12"/>
      <c r="JO735" s="12"/>
      <c r="JP735" s="15">
        <f t="shared" si="480"/>
        <v>40</v>
      </c>
      <c r="JQ735" s="15">
        <f t="shared" si="481"/>
        <v>0</v>
      </c>
      <c r="JR735" s="279">
        <f t="shared" si="482"/>
        <v>0</v>
      </c>
      <c r="JS735" s="17">
        <f t="shared" si="483"/>
        <v>0.5</v>
      </c>
      <c r="JT735" s="18" t="str">
        <f t="shared" si="484"/>
        <v/>
      </c>
      <c r="JU735" s="280">
        <f t="shared" si="485"/>
        <v>20</v>
      </c>
      <c r="JV735" s="280">
        <f t="shared" si="486"/>
        <v>0</v>
      </c>
      <c r="JW735" s="319">
        <f t="shared" si="487"/>
        <v>1</v>
      </c>
      <c r="JX735" s="15">
        <f t="shared" si="488"/>
        <v>40</v>
      </c>
      <c r="JY735" s="15">
        <f t="shared" si="489"/>
        <v>0</v>
      </c>
      <c r="JZ735" s="19">
        <f t="shared" si="490"/>
        <v>0</v>
      </c>
      <c r="KA735" s="52">
        <f t="shared" si="491"/>
        <v>1</v>
      </c>
      <c r="KB735" s="15">
        <f t="shared" si="492"/>
        <v>0</v>
      </c>
      <c r="KC735" s="15">
        <f t="shared" si="493"/>
        <v>0</v>
      </c>
      <c r="KD735" s="20" t="str">
        <f t="shared" si="494"/>
        <v/>
      </c>
      <c r="KE735" s="52">
        <f t="shared" si="495"/>
        <v>1</v>
      </c>
      <c r="KF735" s="15">
        <f t="shared" si="496"/>
        <v>0</v>
      </c>
      <c r="KG735" s="15">
        <f t="shared" si="497"/>
        <v>0</v>
      </c>
      <c r="KH735" s="21" t="str">
        <f t="shared" si="498"/>
        <v/>
      </c>
      <c r="KI735" s="52">
        <f t="shared" si="499"/>
        <v>1</v>
      </c>
      <c r="KJ735" s="15">
        <f t="shared" si="500"/>
        <v>0</v>
      </c>
      <c r="KK735" s="15">
        <f t="shared" si="501"/>
        <v>0</v>
      </c>
      <c r="KL735" s="19" t="str">
        <f t="shared" si="502"/>
        <v/>
      </c>
      <c r="KM735" s="52" t="str">
        <f t="shared" si="503"/>
        <v/>
      </c>
      <c r="KN735" s="22">
        <f t="shared" si="504"/>
        <v>0</v>
      </c>
      <c r="KO735" s="22">
        <f t="shared" si="505"/>
        <v>0</v>
      </c>
      <c r="KP735" s="19" t="str">
        <f t="shared" si="506"/>
        <v/>
      </c>
      <c r="KQ735" s="11" t="str">
        <f t="shared" si="507"/>
        <v>3. Responsive</v>
      </c>
      <c r="KR735" s="11" t="str">
        <f t="shared" si="508"/>
        <v>No marker score</v>
      </c>
      <c r="KS735" s="11" t="str">
        <f t="shared" si="509"/>
        <v>No marker score</v>
      </c>
      <c r="KT735" s="11" t="str">
        <f t="shared" si="510"/>
        <v>It did not develop any specific innovation</v>
      </c>
      <c r="KU735" s="11" t="str">
        <f t="shared" si="511"/>
        <v>Intensive advocacy</v>
      </c>
      <c r="KV735" s="11">
        <f t="shared" si="512"/>
        <v>0</v>
      </c>
      <c r="KW735" s="11" t="str">
        <f t="shared" si="513"/>
        <v>Switzerland - Humanitarian Advocacy (Grand Bargain Needs Assessment Workstream)</v>
      </c>
      <c r="KX735" s="11" t="str">
        <f t="shared" si="514"/>
        <v>Humanitarian Advocacy (Grand Bargain Needs Assessment Workstream)</v>
      </c>
      <c r="KY735" s="11" t="str">
        <f t="shared" si="515"/>
        <v>Switzerland</v>
      </c>
      <c r="KZ735" s="12">
        <v>736</v>
      </c>
    </row>
    <row r="736" spans="1:312" x14ac:dyDescent="0.3">
      <c r="A736" s="12" t="s">
        <v>11664</v>
      </c>
      <c r="B736" s="12" t="s">
        <v>602</v>
      </c>
      <c r="C736" s="12"/>
      <c r="D736" s="43" t="s">
        <v>11683</v>
      </c>
      <c r="E736" s="277" t="str">
        <f t="shared" si="473"/>
        <v>Switzerland</v>
      </c>
      <c r="F736" s="12"/>
      <c r="G736" s="12" t="s">
        <v>1529</v>
      </c>
      <c r="H736" s="12"/>
      <c r="I736" s="12"/>
      <c r="J736" s="281"/>
      <c r="K736" s="12"/>
      <c r="L736" s="12"/>
      <c r="M736" s="12"/>
      <c r="N736" s="12"/>
      <c r="O736" s="12"/>
      <c r="P736" s="12"/>
      <c r="Q736" s="12"/>
      <c r="R736" s="12"/>
      <c r="S736" s="12"/>
      <c r="T736" s="12"/>
      <c r="U736" s="12"/>
      <c r="V736" s="12"/>
      <c r="W736" s="12"/>
      <c r="X736" s="12"/>
      <c r="Y736" s="12"/>
      <c r="Z736" s="12"/>
      <c r="AA736" s="12"/>
      <c r="AB736" s="12"/>
      <c r="AC736" s="12"/>
      <c r="AD736" s="12"/>
      <c r="BD736" s="13">
        <v>42552</v>
      </c>
      <c r="BE736" s="13">
        <v>42916</v>
      </c>
      <c r="BF736" s="12"/>
      <c r="BG736" s="12"/>
      <c r="BH736" s="14"/>
      <c r="BI736" s="12" t="s">
        <v>11666</v>
      </c>
      <c r="BJ736" s="12" t="s">
        <v>11667</v>
      </c>
      <c r="BK736" s="12" t="s">
        <v>11668</v>
      </c>
      <c r="BL736" s="12"/>
      <c r="BM736" s="12"/>
      <c r="BN736" s="12"/>
      <c r="BO736" s="12" t="s">
        <v>320</v>
      </c>
      <c r="BP736" s="12" t="s">
        <v>319</v>
      </c>
      <c r="BQ736" s="12" t="s">
        <v>319</v>
      </c>
      <c r="BR736" s="12" t="s">
        <v>11684</v>
      </c>
      <c r="BS736" s="12" t="s">
        <v>849</v>
      </c>
      <c r="BT736" s="12" t="s">
        <v>11670</v>
      </c>
      <c r="BU736" s="12" t="s">
        <v>11671</v>
      </c>
      <c r="BV736" s="14">
        <v>20</v>
      </c>
      <c r="BW736" s="14">
        <v>20</v>
      </c>
      <c r="BX736" s="14">
        <v>40</v>
      </c>
      <c r="BY736" s="38"/>
      <c r="BZ736" s="38"/>
      <c r="CA736" s="38"/>
      <c r="CB736" s="12" t="s">
        <v>11682</v>
      </c>
      <c r="CD736" s="14">
        <v>20</v>
      </c>
      <c r="CE736" s="14">
        <v>20</v>
      </c>
      <c r="CF736" s="14">
        <v>40</v>
      </c>
      <c r="CG736" s="14"/>
      <c r="CH736" s="14"/>
      <c r="CI736" s="14"/>
      <c r="CJ736" s="12" t="s">
        <v>320</v>
      </c>
      <c r="CK736" s="14"/>
      <c r="CL736" s="16"/>
      <c r="CM736" s="14"/>
      <c r="CN736" s="12" t="s">
        <v>320</v>
      </c>
      <c r="CO736" s="14"/>
      <c r="CP736" s="16"/>
      <c r="CQ736" s="14"/>
      <c r="CR736" s="12" t="s">
        <v>320</v>
      </c>
      <c r="CS736" s="14"/>
      <c r="CT736" s="16"/>
      <c r="CU736" s="14"/>
      <c r="CV736" s="12" t="s">
        <v>320</v>
      </c>
      <c r="CW736" s="14"/>
      <c r="CX736" s="16"/>
      <c r="CY736" s="14"/>
      <c r="CZ736" s="12" t="s">
        <v>320</v>
      </c>
      <c r="DA736" s="14"/>
      <c r="DB736" s="16"/>
      <c r="DC736" s="14"/>
      <c r="DD736" s="12" t="s">
        <v>320</v>
      </c>
      <c r="DE736" s="14"/>
      <c r="DF736" s="16"/>
      <c r="DG736" s="14"/>
      <c r="DH736" s="12" t="s">
        <v>320</v>
      </c>
      <c r="DI736" s="14"/>
      <c r="DJ736" s="16"/>
      <c r="DK736" s="14"/>
      <c r="DL736" s="12" t="s">
        <v>320</v>
      </c>
      <c r="DM736" s="14"/>
      <c r="DN736" s="16"/>
      <c r="DO736" s="14"/>
      <c r="DP736" s="12" t="s">
        <v>320</v>
      </c>
      <c r="DQ736" s="14"/>
      <c r="DR736" s="16"/>
      <c r="DS736" s="14"/>
      <c r="DT736" s="12" t="s">
        <v>320</v>
      </c>
      <c r="DU736" s="14"/>
      <c r="DV736" s="16"/>
      <c r="DW736" s="14"/>
      <c r="DX736" s="12" t="s">
        <v>320</v>
      </c>
      <c r="DY736" s="14"/>
      <c r="DZ736" s="16"/>
      <c r="EA736" s="14"/>
      <c r="EB736" s="12" t="s">
        <v>320</v>
      </c>
      <c r="EC736" s="14"/>
      <c r="ED736" s="16"/>
      <c r="EE736" s="14"/>
      <c r="EF736" s="12"/>
      <c r="EG736" s="12"/>
      <c r="EH736" s="14"/>
      <c r="EI736" s="16"/>
      <c r="EJ736" s="14"/>
      <c r="EK736" s="14"/>
      <c r="EL736" s="14"/>
      <c r="EM736" s="14"/>
      <c r="EN736" s="14"/>
      <c r="EO736" s="14"/>
      <c r="EP736" s="14"/>
      <c r="EQ736" s="12"/>
      <c r="ER736" s="14"/>
      <c r="ES736" s="16"/>
      <c r="ET736" s="14"/>
      <c r="EU736" s="12"/>
      <c r="EV736" s="14"/>
      <c r="EW736" s="16"/>
      <c r="EX736" s="14"/>
      <c r="EY736" s="12"/>
      <c r="EZ736" s="14"/>
      <c r="FA736" s="16"/>
      <c r="FB736" s="14"/>
      <c r="FC736" s="12"/>
      <c r="FD736" s="14"/>
      <c r="FE736" s="16"/>
      <c r="FF736" s="14"/>
      <c r="FG736" s="12"/>
      <c r="FH736" s="14"/>
      <c r="FI736" s="16"/>
      <c r="FJ736" s="14"/>
      <c r="FK736" s="12"/>
      <c r="FL736" s="14"/>
      <c r="FM736" s="16"/>
      <c r="FN736" s="14"/>
      <c r="FO736" s="12"/>
      <c r="FP736" s="14"/>
      <c r="FQ736" s="16"/>
      <c r="FR736" s="14"/>
      <c r="FS736" s="12"/>
      <c r="FT736" s="14"/>
      <c r="FU736" s="16"/>
      <c r="FV736" s="14"/>
      <c r="FW736" s="12"/>
      <c r="FX736" s="14"/>
      <c r="FY736" s="16"/>
      <c r="FZ736" s="14"/>
      <c r="GA736" s="12"/>
      <c r="GB736" s="14"/>
      <c r="GC736" s="16"/>
      <c r="GD736" s="14"/>
      <c r="GE736" s="12"/>
      <c r="GF736" s="14"/>
      <c r="GG736" s="16"/>
      <c r="GH736" s="14"/>
      <c r="GI736" s="12"/>
      <c r="GJ736" s="14"/>
      <c r="GK736" s="16"/>
      <c r="GL736" s="14"/>
      <c r="GM736" s="12"/>
      <c r="GN736" s="14"/>
      <c r="GO736" s="16"/>
      <c r="GP736" s="14"/>
      <c r="GQ736" s="12"/>
      <c r="GR736" s="14"/>
      <c r="GS736" s="16"/>
      <c r="GT736" s="14"/>
      <c r="GU736" s="12"/>
      <c r="GV736" s="14"/>
      <c r="GW736" s="16"/>
      <c r="GX736" s="14"/>
      <c r="GY736" s="12"/>
      <c r="GZ736" s="14"/>
      <c r="HA736" s="16"/>
      <c r="HB736" s="14"/>
      <c r="HC736" s="12"/>
      <c r="HD736" s="12"/>
      <c r="HE736" s="14"/>
      <c r="HF736" s="16"/>
      <c r="HG736" s="14"/>
      <c r="HH736" s="12" t="s">
        <v>319</v>
      </c>
      <c r="HI736" s="12"/>
      <c r="HJ736" s="12"/>
      <c r="HK736" s="12"/>
      <c r="HL736" s="12" t="s">
        <v>319</v>
      </c>
      <c r="HM736" s="12"/>
      <c r="HN736" s="12"/>
      <c r="HO736" s="12"/>
      <c r="HP736" s="12" t="s">
        <v>453</v>
      </c>
      <c r="HQ736" s="12"/>
      <c r="HR736" s="12" t="s">
        <v>320</v>
      </c>
      <c r="HS736" s="12"/>
      <c r="HT736" s="12"/>
      <c r="HU736" s="12" t="s">
        <v>320</v>
      </c>
      <c r="HV736" s="12" t="s">
        <v>320</v>
      </c>
      <c r="HW736" s="12"/>
      <c r="HX736" s="12"/>
      <c r="HY736" s="12"/>
      <c r="HZ736" s="12" t="s">
        <v>363</v>
      </c>
      <c r="IA736" s="12"/>
      <c r="IB736" s="12"/>
      <c r="IC736" s="12"/>
      <c r="ID736" s="12"/>
      <c r="IE736" s="12" t="s">
        <v>478</v>
      </c>
      <c r="IF736" s="12" t="s">
        <v>320</v>
      </c>
      <c r="IG736" s="12" t="s">
        <v>320</v>
      </c>
      <c r="IH736" s="12"/>
      <c r="II736" s="12" t="s">
        <v>320</v>
      </c>
      <c r="IJ736" s="12" t="str">
        <f t="shared" si="474"/>
        <v>3. Responsive</v>
      </c>
      <c r="IK736" s="12">
        <f t="shared" si="475"/>
        <v>3</v>
      </c>
      <c r="IL736" s="12"/>
      <c r="IM736" s="12"/>
      <c r="IN736" s="12"/>
      <c r="IO736" s="12"/>
      <c r="IP736" s="12"/>
      <c r="IQ736" s="12" t="str">
        <f t="shared" si="476"/>
        <v>No marker score</v>
      </c>
      <c r="IR736" s="12">
        <f t="shared" si="477"/>
        <v>0</v>
      </c>
      <c r="IS736" s="12"/>
      <c r="IT736" s="12"/>
      <c r="IU736" s="12"/>
      <c r="IV736" s="12"/>
      <c r="IW736" s="11" t="str">
        <f t="shared" si="478"/>
        <v>No marker score</v>
      </c>
      <c r="IX736" s="12">
        <f t="shared" si="479"/>
        <v>0</v>
      </c>
      <c r="IY736" s="12"/>
      <c r="IZ736" s="12"/>
      <c r="JA736" s="12"/>
      <c r="JB736" s="12"/>
      <c r="JC736" s="12"/>
      <c r="JD736" s="12"/>
      <c r="JE736" s="12" t="s">
        <v>340</v>
      </c>
      <c r="JF736" s="12"/>
      <c r="JG736" s="12"/>
      <c r="JH736" s="12"/>
      <c r="JI736" s="12"/>
      <c r="JJ736" s="12"/>
      <c r="JK736" s="12"/>
      <c r="JL736" s="12"/>
      <c r="JM736" s="12"/>
      <c r="JN736" s="12" t="s">
        <v>11685</v>
      </c>
      <c r="JO736" s="12"/>
      <c r="JP736" s="15">
        <f t="shared" si="480"/>
        <v>40</v>
      </c>
      <c r="JQ736" s="15">
        <f t="shared" si="481"/>
        <v>0</v>
      </c>
      <c r="JR736" s="279">
        <f t="shared" si="482"/>
        <v>0</v>
      </c>
      <c r="JS736" s="17">
        <f t="shared" si="483"/>
        <v>0.5</v>
      </c>
      <c r="JT736" s="18" t="str">
        <f t="shared" si="484"/>
        <v/>
      </c>
      <c r="JU736" s="280">
        <f t="shared" si="485"/>
        <v>20</v>
      </c>
      <c r="JV736" s="280">
        <f t="shared" si="486"/>
        <v>0</v>
      </c>
      <c r="JW736" s="319">
        <f t="shared" si="487"/>
        <v>1</v>
      </c>
      <c r="JX736" s="15">
        <f t="shared" si="488"/>
        <v>40</v>
      </c>
      <c r="JY736" s="15">
        <f t="shared" si="489"/>
        <v>0</v>
      </c>
      <c r="JZ736" s="19">
        <f t="shared" si="490"/>
        <v>0</v>
      </c>
      <c r="KA736" s="52">
        <f t="shared" si="491"/>
        <v>1</v>
      </c>
      <c r="KB736" s="15">
        <f t="shared" si="492"/>
        <v>0</v>
      </c>
      <c r="KC736" s="15">
        <f t="shared" si="493"/>
        <v>0</v>
      </c>
      <c r="KD736" s="20" t="str">
        <f t="shared" si="494"/>
        <v/>
      </c>
      <c r="KE736" s="52">
        <f t="shared" si="495"/>
        <v>1</v>
      </c>
      <c r="KF736" s="15">
        <f t="shared" si="496"/>
        <v>0</v>
      </c>
      <c r="KG736" s="15">
        <f t="shared" si="497"/>
        <v>0</v>
      </c>
      <c r="KH736" s="21" t="str">
        <f t="shared" si="498"/>
        <v/>
      </c>
      <c r="KI736" s="52">
        <f t="shared" si="499"/>
        <v>1</v>
      </c>
      <c r="KJ736" s="15">
        <f t="shared" si="500"/>
        <v>0</v>
      </c>
      <c r="KK736" s="15">
        <f t="shared" si="501"/>
        <v>0</v>
      </c>
      <c r="KL736" s="19" t="str">
        <f t="shared" si="502"/>
        <v/>
      </c>
      <c r="KM736" s="52" t="str">
        <f t="shared" si="503"/>
        <v/>
      </c>
      <c r="KN736" s="22">
        <f t="shared" si="504"/>
        <v>0</v>
      </c>
      <c r="KO736" s="22">
        <f t="shared" si="505"/>
        <v>0</v>
      </c>
      <c r="KP736" s="19" t="str">
        <f t="shared" si="506"/>
        <v/>
      </c>
      <c r="KQ736" s="11" t="str">
        <f t="shared" si="507"/>
        <v>3. Responsive</v>
      </c>
      <c r="KR736" s="11" t="str">
        <f t="shared" si="508"/>
        <v>No marker score</v>
      </c>
      <c r="KS736" s="11" t="str">
        <f t="shared" si="509"/>
        <v>No marker score</v>
      </c>
      <c r="KT736" s="11" t="str">
        <f t="shared" si="510"/>
        <v>It did not develop any specific innovation</v>
      </c>
      <c r="KU736" s="11" t="str">
        <f t="shared" si="511"/>
        <v>Intensive advocacy</v>
      </c>
      <c r="KV736" s="11">
        <f t="shared" si="512"/>
        <v>0</v>
      </c>
      <c r="KW736" s="11" t="str">
        <f t="shared" si="513"/>
        <v>Switzerland - Humanitarian Advocacy (Humanitarian Program Cycle)</v>
      </c>
      <c r="KX736" s="11" t="str">
        <f t="shared" si="514"/>
        <v>Humanitarian Advocacy (Humanitarian Program Cycle)</v>
      </c>
      <c r="KY736" s="11" t="str">
        <f t="shared" si="515"/>
        <v>Switzerland</v>
      </c>
      <c r="KZ736" s="12">
        <v>737</v>
      </c>
    </row>
    <row r="737" spans="1:312" x14ac:dyDescent="0.3">
      <c r="A737" s="12" t="s">
        <v>11664</v>
      </c>
      <c r="B737" s="12" t="s">
        <v>602</v>
      </c>
      <c r="C737" s="12"/>
      <c r="D737" s="43" t="s">
        <v>11686</v>
      </c>
      <c r="E737" s="277" t="str">
        <f t="shared" si="473"/>
        <v>Switzerland</v>
      </c>
      <c r="F737" s="12"/>
      <c r="G737" s="12" t="s">
        <v>1529</v>
      </c>
      <c r="H737" s="12"/>
      <c r="I737" s="12"/>
      <c r="J737" s="281"/>
      <c r="K737" s="12"/>
      <c r="L737" s="12"/>
      <c r="M737" s="12"/>
      <c r="N737" s="12"/>
      <c r="O737" s="12"/>
      <c r="P737" s="12"/>
      <c r="Q737" s="12"/>
      <c r="R737" s="12"/>
      <c r="S737" s="12"/>
      <c r="T737" s="12"/>
      <c r="U737" s="12"/>
      <c r="V737" s="12"/>
      <c r="W737" s="12"/>
      <c r="X737" s="12"/>
      <c r="Y737" s="12"/>
      <c r="Z737" s="12"/>
      <c r="AA737" s="12"/>
      <c r="AB737" s="12"/>
      <c r="AC737" s="12"/>
      <c r="AD737" s="12"/>
      <c r="BD737" s="13">
        <v>42552</v>
      </c>
      <c r="BE737" s="13">
        <v>42916</v>
      </c>
      <c r="BF737" s="12"/>
      <c r="BG737" s="12"/>
      <c r="BH737" s="14"/>
      <c r="BI737" s="12" t="s">
        <v>11666</v>
      </c>
      <c r="BJ737" s="12" t="s">
        <v>11667</v>
      </c>
      <c r="BK737" s="12" t="s">
        <v>11668</v>
      </c>
      <c r="BL737" s="12"/>
      <c r="BM737" s="12"/>
      <c r="BN737" s="12"/>
      <c r="BO737" s="12" t="s">
        <v>320</v>
      </c>
      <c r="BP737" s="12" t="s">
        <v>319</v>
      </c>
      <c r="BQ737" s="12" t="s">
        <v>319</v>
      </c>
      <c r="BR737" s="12" t="s">
        <v>11687</v>
      </c>
      <c r="BS737" s="12" t="s">
        <v>849</v>
      </c>
      <c r="BT737" s="12" t="s">
        <v>11670</v>
      </c>
      <c r="BU737" s="12" t="s">
        <v>11671</v>
      </c>
      <c r="BV737" s="14">
        <v>100</v>
      </c>
      <c r="BW737" s="14">
        <v>100</v>
      </c>
      <c r="BX737" s="14">
        <v>200</v>
      </c>
      <c r="BY737" s="38"/>
      <c r="BZ737" s="38"/>
      <c r="CA737" s="38"/>
      <c r="CB737" s="12" t="s">
        <v>11688</v>
      </c>
      <c r="CD737" s="14">
        <v>20</v>
      </c>
      <c r="CE737" s="14">
        <v>20</v>
      </c>
      <c r="CF737" s="14">
        <v>40</v>
      </c>
      <c r="CG737" s="14"/>
      <c r="CH737" s="14"/>
      <c r="CI737" s="14"/>
      <c r="CJ737" s="12" t="s">
        <v>319</v>
      </c>
      <c r="CK737" s="14"/>
      <c r="CL737" s="16"/>
      <c r="CM737" s="14"/>
      <c r="CN737" s="12" t="s">
        <v>319</v>
      </c>
      <c r="CO737" s="14"/>
      <c r="CP737" s="16"/>
      <c r="CQ737" s="14"/>
      <c r="CR737" s="12" t="s">
        <v>319</v>
      </c>
      <c r="CS737" s="14"/>
      <c r="CT737" s="16"/>
      <c r="CU737" s="14"/>
      <c r="CV737" s="12" t="s">
        <v>319</v>
      </c>
      <c r="CW737" s="14"/>
      <c r="CX737" s="16"/>
      <c r="CY737" s="14"/>
      <c r="CZ737" s="12" t="s">
        <v>319</v>
      </c>
      <c r="DA737" s="14"/>
      <c r="DB737" s="16"/>
      <c r="DC737" s="14"/>
      <c r="DD737" s="12" t="s">
        <v>319</v>
      </c>
      <c r="DE737" s="14"/>
      <c r="DF737" s="16"/>
      <c r="DG737" s="14"/>
      <c r="DH737" s="12" t="s">
        <v>319</v>
      </c>
      <c r="DI737" s="14"/>
      <c r="DJ737" s="16"/>
      <c r="DK737" s="14"/>
      <c r="DL737" s="12" t="s">
        <v>319</v>
      </c>
      <c r="DM737" s="14"/>
      <c r="DN737" s="16"/>
      <c r="DO737" s="14"/>
      <c r="DP737" s="12" t="s">
        <v>319</v>
      </c>
      <c r="DQ737" s="14"/>
      <c r="DR737" s="16"/>
      <c r="DS737" s="14"/>
      <c r="DT737" s="12" t="s">
        <v>319</v>
      </c>
      <c r="DU737" s="14"/>
      <c r="DV737" s="16"/>
      <c r="DW737" s="14"/>
      <c r="DX737" s="12" t="s">
        <v>319</v>
      </c>
      <c r="DY737" s="14"/>
      <c r="DZ737" s="16"/>
      <c r="EA737" s="14"/>
      <c r="EB737" s="12" t="s">
        <v>319</v>
      </c>
      <c r="EC737" s="14"/>
      <c r="ED737" s="16"/>
      <c r="EE737" s="14"/>
      <c r="EF737" s="12"/>
      <c r="EG737" s="12"/>
      <c r="EH737" s="14"/>
      <c r="EI737" s="16"/>
      <c r="EJ737" s="14"/>
      <c r="EK737" s="14"/>
      <c r="EL737" s="14"/>
      <c r="EM737" s="14"/>
      <c r="EN737" s="14"/>
      <c r="EO737" s="14"/>
      <c r="EP737" s="14"/>
      <c r="EQ737" s="12"/>
      <c r="ER737" s="14"/>
      <c r="ES737" s="16"/>
      <c r="ET737" s="14"/>
      <c r="EU737" s="12"/>
      <c r="EV737" s="14"/>
      <c r="EW737" s="16"/>
      <c r="EX737" s="14"/>
      <c r="EY737" s="12"/>
      <c r="EZ737" s="14"/>
      <c r="FA737" s="16"/>
      <c r="FB737" s="14"/>
      <c r="FC737" s="12"/>
      <c r="FD737" s="14"/>
      <c r="FE737" s="16"/>
      <c r="FF737" s="14"/>
      <c r="FG737" s="12"/>
      <c r="FH737" s="14"/>
      <c r="FI737" s="16"/>
      <c r="FJ737" s="14"/>
      <c r="FK737" s="12"/>
      <c r="FL737" s="14"/>
      <c r="FM737" s="16"/>
      <c r="FN737" s="14"/>
      <c r="FO737" s="12"/>
      <c r="FP737" s="14"/>
      <c r="FQ737" s="16"/>
      <c r="FR737" s="14"/>
      <c r="FS737" s="12"/>
      <c r="FT737" s="14"/>
      <c r="FU737" s="16"/>
      <c r="FV737" s="14"/>
      <c r="FW737" s="12"/>
      <c r="FX737" s="14"/>
      <c r="FY737" s="16"/>
      <c r="FZ737" s="14"/>
      <c r="GA737" s="12"/>
      <c r="GB737" s="14"/>
      <c r="GC737" s="16"/>
      <c r="GD737" s="14"/>
      <c r="GE737" s="12"/>
      <c r="GF737" s="14"/>
      <c r="GG737" s="16"/>
      <c r="GH737" s="14"/>
      <c r="GI737" s="12"/>
      <c r="GJ737" s="14"/>
      <c r="GK737" s="16"/>
      <c r="GL737" s="14"/>
      <c r="GM737" s="12"/>
      <c r="GN737" s="14"/>
      <c r="GO737" s="16"/>
      <c r="GP737" s="14"/>
      <c r="GQ737" s="12"/>
      <c r="GR737" s="14"/>
      <c r="GS737" s="16"/>
      <c r="GT737" s="14"/>
      <c r="GU737" s="12"/>
      <c r="GV737" s="14"/>
      <c r="GW737" s="16"/>
      <c r="GX737" s="14"/>
      <c r="GY737" s="12"/>
      <c r="GZ737" s="14"/>
      <c r="HA737" s="16"/>
      <c r="HB737" s="14"/>
      <c r="HC737" s="12"/>
      <c r="HD737" s="12"/>
      <c r="HE737" s="14"/>
      <c r="HF737" s="16"/>
      <c r="HG737" s="14"/>
      <c r="HH737" s="12" t="s">
        <v>319</v>
      </c>
      <c r="HI737" s="12"/>
      <c r="HJ737" s="12"/>
      <c r="HK737" s="12"/>
      <c r="HL737" s="12" t="s">
        <v>319</v>
      </c>
      <c r="HM737" s="12"/>
      <c r="HN737" s="12"/>
      <c r="HO737" s="12"/>
      <c r="HP737" s="12" t="s">
        <v>453</v>
      </c>
      <c r="HQ737" s="12"/>
      <c r="HR737" s="12" t="s">
        <v>320</v>
      </c>
      <c r="HS737" s="12"/>
      <c r="HT737" s="12"/>
      <c r="HU737" s="12" t="s">
        <v>320</v>
      </c>
      <c r="HV737" s="12" t="s">
        <v>320</v>
      </c>
      <c r="HW737" s="12"/>
      <c r="HX737" s="12"/>
      <c r="HY737" s="12"/>
      <c r="HZ737" s="12" t="s">
        <v>363</v>
      </c>
      <c r="IA737" s="12"/>
      <c r="IB737" s="12"/>
      <c r="IC737" s="12"/>
      <c r="ID737" s="12" t="s">
        <v>477</v>
      </c>
      <c r="IE737" s="12" t="s">
        <v>478</v>
      </c>
      <c r="IF737" s="12" t="s">
        <v>320</v>
      </c>
      <c r="IG737" s="12" t="s">
        <v>320</v>
      </c>
      <c r="IH737" s="12"/>
      <c r="II737" s="12" t="s">
        <v>320</v>
      </c>
      <c r="IJ737" s="12" t="str">
        <f t="shared" si="474"/>
        <v>3. Responsive</v>
      </c>
      <c r="IK737" s="12">
        <f t="shared" si="475"/>
        <v>3</v>
      </c>
      <c r="IL737" s="12"/>
      <c r="IM737" s="12"/>
      <c r="IN737" s="12"/>
      <c r="IO737" s="12"/>
      <c r="IP737" s="12"/>
      <c r="IQ737" s="12" t="str">
        <f t="shared" si="476"/>
        <v>No marker score</v>
      </c>
      <c r="IR737" s="12">
        <f t="shared" si="477"/>
        <v>0</v>
      </c>
      <c r="IS737" s="12"/>
      <c r="IT737" s="12"/>
      <c r="IU737" s="12"/>
      <c r="IV737" s="12"/>
      <c r="IW737" s="11" t="str">
        <f t="shared" si="478"/>
        <v>No marker score</v>
      </c>
      <c r="IX737" s="12">
        <f t="shared" si="479"/>
        <v>0</v>
      </c>
      <c r="IY737" s="12"/>
      <c r="IZ737" s="12"/>
      <c r="JA737" s="12"/>
      <c r="JB737" s="12"/>
      <c r="JC737" s="12"/>
      <c r="JD737" s="12"/>
      <c r="JE737" s="12" t="s">
        <v>340</v>
      </c>
      <c r="JF737" s="12" t="s">
        <v>11689</v>
      </c>
      <c r="JG737" s="12"/>
      <c r="JH737" s="12"/>
      <c r="JI737" s="12"/>
      <c r="JJ737" s="12"/>
      <c r="JK737" s="12"/>
      <c r="JL737" s="12"/>
      <c r="JM737" s="12"/>
      <c r="JN737" s="12"/>
      <c r="JO737" s="12"/>
      <c r="JP737" s="15">
        <f t="shared" si="480"/>
        <v>40</v>
      </c>
      <c r="JQ737" s="15">
        <f t="shared" si="481"/>
        <v>0</v>
      </c>
      <c r="JR737" s="279">
        <f t="shared" si="482"/>
        <v>0</v>
      </c>
      <c r="JS737" s="17">
        <f t="shared" si="483"/>
        <v>0.5</v>
      </c>
      <c r="JT737" s="18" t="str">
        <f t="shared" si="484"/>
        <v/>
      </c>
      <c r="JU737" s="280">
        <f t="shared" si="485"/>
        <v>20</v>
      </c>
      <c r="JV737" s="280">
        <f t="shared" si="486"/>
        <v>0</v>
      </c>
      <c r="JW737" s="319">
        <f t="shared" si="487"/>
        <v>1</v>
      </c>
      <c r="JX737" s="15">
        <f t="shared" si="488"/>
        <v>40</v>
      </c>
      <c r="JY737" s="15">
        <f t="shared" si="489"/>
        <v>0</v>
      </c>
      <c r="JZ737" s="19">
        <f t="shared" si="490"/>
        <v>0</v>
      </c>
      <c r="KA737" s="52" t="str">
        <f t="shared" si="491"/>
        <v/>
      </c>
      <c r="KB737" s="15">
        <f t="shared" si="492"/>
        <v>0</v>
      </c>
      <c r="KC737" s="15">
        <f t="shared" si="493"/>
        <v>0</v>
      </c>
      <c r="KD737" s="20" t="str">
        <f t="shared" si="494"/>
        <v/>
      </c>
      <c r="KE737" s="52" t="str">
        <f t="shared" si="495"/>
        <v/>
      </c>
      <c r="KF737" s="15">
        <f t="shared" si="496"/>
        <v>0</v>
      </c>
      <c r="KG737" s="15">
        <f t="shared" si="497"/>
        <v>0</v>
      </c>
      <c r="KH737" s="21" t="str">
        <f t="shared" si="498"/>
        <v/>
      </c>
      <c r="KI737" s="52" t="str">
        <f t="shared" si="499"/>
        <v/>
      </c>
      <c r="KJ737" s="15">
        <f t="shared" si="500"/>
        <v>0</v>
      </c>
      <c r="KK737" s="15">
        <f t="shared" si="501"/>
        <v>0</v>
      </c>
      <c r="KL737" s="19" t="str">
        <f t="shared" si="502"/>
        <v/>
      </c>
      <c r="KM737" s="52" t="str">
        <f t="shared" si="503"/>
        <v/>
      </c>
      <c r="KN737" s="22">
        <f t="shared" si="504"/>
        <v>0</v>
      </c>
      <c r="KO737" s="22">
        <f t="shared" si="505"/>
        <v>0</v>
      </c>
      <c r="KP737" s="19" t="str">
        <f t="shared" si="506"/>
        <v/>
      </c>
      <c r="KQ737" s="11" t="str">
        <f t="shared" si="507"/>
        <v>3. Responsive</v>
      </c>
      <c r="KR737" s="11" t="str">
        <f t="shared" si="508"/>
        <v>No marker score</v>
      </c>
      <c r="KS737" s="11" t="str">
        <f t="shared" si="509"/>
        <v>No marker score</v>
      </c>
      <c r="KT737" s="11" t="str">
        <f t="shared" si="510"/>
        <v>It did not develop any specific innovation</v>
      </c>
      <c r="KU737" s="11" t="str">
        <f t="shared" si="511"/>
        <v>Intensive advocacy</v>
      </c>
      <c r="KV737" s="11">
        <f t="shared" si="512"/>
        <v>0</v>
      </c>
      <c r="KW737" s="11" t="str">
        <f t="shared" si="513"/>
        <v>Switzerland - Humanitarian Advocacy (Protection of Humanitarians)</v>
      </c>
      <c r="KX737" s="11" t="str">
        <f t="shared" si="514"/>
        <v>Humanitarian Advocacy (Protection of Humanitarians)</v>
      </c>
      <c r="KY737" s="11" t="str">
        <f t="shared" si="515"/>
        <v>Switzerland</v>
      </c>
      <c r="KZ737" s="12">
        <v>738</v>
      </c>
    </row>
    <row r="738" spans="1:312" x14ac:dyDescent="0.3">
      <c r="A738" s="12" t="s">
        <v>11664</v>
      </c>
      <c r="B738" s="12" t="s">
        <v>602</v>
      </c>
      <c r="C738" s="12"/>
      <c r="D738" s="12" t="s">
        <v>11690</v>
      </c>
      <c r="E738" s="277" t="str">
        <f t="shared" si="473"/>
        <v>Switzerland</v>
      </c>
      <c r="F738" s="12"/>
      <c r="G738" s="12" t="s">
        <v>1529</v>
      </c>
      <c r="H738" s="12"/>
      <c r="I738" s="12"/>
      <c r="J738" s="281"/>
      <c r="K738" s="12"/>
      <c r="L738" s="12"/>
      <c r="M738" s="12"/>
      <c r="N738" s="12"/>
      <c r="O738" s="12"/>
      <c r="P738" s="12"/>
      <c r="Q738" s="12"/>
      <c r="R738" s="12"/>
      <c r="S738" s="12"/>
      <c r="T738" s="12"/>
      <c r="U738" s="12"/>
      <c r="V738" s="12"/>
      <c r="W738" s="12"/>
      <c r="X738" s="12"/>
      <c r="Y738" s="12"/>
      <c r="Z738" s="12"/>
      <c r="AA738" s="12"/>
      <c r="AB738" s="12"/>
      <c r="AC738" s="12"/>
      <c r="AD738" s="12"/>
      <c r="BD738" s="13">
        <v>42552</v>
      </c>
      <c r="BE738" s="13">
        <v>42916</v>
      </c>
      <c r="BF738" s="12"/>
      <c r="BG738" s="12"/>
      <c r="BH738" s="14"/>
      <c r="BI738" s="12" t="s">
        <v>11666</v>
      </c>
      <c r="BJ738" s="12" t="s">
        <v>11667</v>
      </c>
      <c r="BK738" s="12" t="s">
        <v>11668</v>
      </c>
      <c r="BL738" s="12"/>
      <c r="BM738" s="12"/>
      <c r="BN738" s="12"/>
      <c r="BO738" s="12" t="s">
        <v>320</v>
      </c>
      <c r="BP738" s="12" t="s">
        <v>319</v>
      </c>
      <c r="BQ738" s="12" t="s">
        <v>319</v>
      </c>
      <c r="BR738" s="12" t="s">
        <v>11687</v>
      </c>
      <c r="BS738" s="12" t="s">
        <v>849</v>
      </c>
      <c r="BT738" s="12" t="s">
        <v>11670</v>
      </c>
      <c r="BU738" s="12" t="s">
        <v>11691</v>
      </c>
      <c r="BV738" s="14">
        <v>50</v>
      </c>
      <c r="BW738" s="14">
        <v>50</v>
      </c>
      <c r="BX738" s="14">
        <v>100</v>
      </c>
      <c r="BY738" s="14">
        <v>9000000</v>
      </c>
      <c r="BZ738" s="14">
        <v>9000000</v>
      </c>
      <c r="CA738" s="14">
        <v>18000000</v>
      </c>
      <c r="CB738" s="12" t="s">
        <v>11692</v>
      </c>
      <c r="CD738" s="14">
        <v>50</v>
      </c>
      <c r="CE738" s="14">
        <v>50</v>
      </c>
      <c r="CF738" s="14">
        <v>100</v>
      </c>
      <c r="CG738" s="14"/>
      <c r="CH738" s="14"/>
      <c r="CI738" s="14"/>
      <c r="CJ738" s="12" t="s">
        <v>319</v>
      </c>
      <c r="CK738" s="14"/>
      <c r="CL738" s="16"/>
      <c r="CM738" s="14"/>
      <c r="CN738" s="12" t="s">
        <v>319</v>
      </c>
      <c r="CO738" s="14"/>
      <c r="CP738" s="16"/>
      <c r="CQ738" s="14"/>
      <c r="CR738" s="12" t="s">
        <v>319</v>
      </c>
      <c r="CS738" s="14"/>
      <c r="CT738" s="16"/>
      <c r="CU738" s="14"/>
      <c r="CV738" s="12" t="s">
        <v>319</v>
      </c>
      <c r="CW738" s="14"/>
      <c r="CX738" s="16"/>
      <c r="CY738" s="14"/>
      <c r="CZ738" s="12" t="s">
        <v>319</v>
      </c>
      <c r="DA738" s="14"/>
      <c r="DB738" s="16"/>
      <c r="DC738" s="14"/>
      <c r="DD738" s="12" t="s">
        <v>319</v>
      </c>
      <c r="DE738" s="14"/>
      <c r="DF738" s="16"/>
      <c r="DG738" s="14"/>
      <c r="DH738" s="12" t="s">
        <v>319</v>
      </c>
      <c r="DI738" s="14"/>
      <c r="DJ738" s="16"/>
      <c r="DK738" s="14"/>
      <c r="DL738" s="12" t="s">
        <v>319</v>
      </c>
      <c r="DM738" s="14"/>
      <c r="DN738" s="16"/>
      <c r="DO738" s="14"/>
      <c r="DP738" s="12" t="s">
        <v>319</v>
      </c>
      <c r="DQ738" s="14"/>
      <c r="DR738" s="16"/>
      <c r="DS738" s="14"/>
      <c r="DT738" s="12" t="s">
        <v>319</v>
      </c>
      <c r="DU738" s="14"/>
      <c r="DV738" s="16"/>
      <c r="DW738" s="14"/>
      <c r="DX738" s="12" t="s">
        <v>319</v>
      </c>
      <c r="DY738" s="14"/>
      <c r="DZ738" s="16"/>
      <c r="EA738" s="14"/>
      <c r="EB738" s="12" t="s">
        <v>319</v>
      </c>
      <c r="EC738" s="14"/>
      <c r="ED738" s="16"/>
      <c r="EE738" s="14"/>
      <c r="EF738" s="12"/>
      <c r="EG738" s="12"/>
      <c r="EH738" s="14"/>
      <c r="EI738" s="16"/>
      <c r="EJ738" s="14"/>
      <c r="EK738" s="14"/>
      <c r="EL738" s="14"/>
      <c r="EM738" s="14"/>
      <c r="EN738" s="14"/>
      <c r="EO738" s="14"/>
      <c r="EP738" s="14"/>
      <c r="EQ738" s="12"/>
      <c r="ER738" s="14"/>
      <c r="ES738" s="16"/>
      <c r="ET738" s="14"/>
      <c r="EU738" s="12"/>
      <c r="EV738" s="14"/>
      <c r="EW738" s="16"/>
      <c r="EX738" s="14"/>
      <c r="EY738" s="12"/>
      <c r="EZ738" s="14"/>
      <c r="FA738" s="16"/>
      <c r="FB738" s="14"/>
      <c r="FC738" s="12"/>
      <c r="FD738" s="14"/>
      <c r="FE738" s="16"/>
      <c r="FF738" s="14"/>
      <c r="FG738" s="12"/>
      <c r="FH738" s="14"/>
      <c r="FI738" s="16"/>
      <c r="FJ738" s="14"/>
      <c r="FK738" s="12"/>
      <c r="FL738" s="14"/>
      <c r="FM738" s="16"/>
      <c r="FN738" s="14"/>
      <c r="FO738" s="12"/>
      <c r="FP738" s="14"/>
      <c r="FQ738" s="16"/>
      <c r="FR738" s="14"/>
      <c r="FS738" s="12"/>
      <c r="FT738" s="14"/>
      <c r="FU738" s="16"/>
      <c r="FV738" s="14"/>
      <c r="FW738" s="12"/>
      <c r="FX738" s="14"/>
      <c r="FY738" s="16"/>
      <c r="FZ738" s="14"/>
      <c r="GA738" s="12"/>
      <c r="GB738" s="14"/>
      <c r="GC738" s="16"/>
      <c r="GD738" s="14"/>
      <c r="GE738" s="12"/>
      <c r="GF738" s="14"/>
      <c r="GG738" s="16"/>
      <c r="GH738" s="14"/>
      <c r="GI738" s="12"/>
      <c r="GJ738" s="14"/>
      <c r="GK738" s="16"/>
      <c r="GL738" s="14"/>
      <c r="GM738" s="12"/>
      <c r="GN738" s="14"/>
      <c r="GO738" s="16"/>
      <c r="GP738" s="14"/>
      <c r="GQ738" s="12"/>
      <c r="GR738" s="14"/>
      <c r="GS738" s="16"/>
      <c r="GT738" s="14"/>
      <c r="GU738" s="12"/>
      <c r="GV738" s="14"/>
      <c r="GW738" s="16"/>
      <c r="GX738" s="14"/>
      <c r="GY738" s="12"/>
      <c r="GZ738" s="14"/>
      <c r="HA738" s="16"/>
      <c r="HB738" s="14"/>
      <c r="HC738" s="12"/>
      <c r="HD738" s="12"/>
      <c r="HE738" s="14"/>
      <c r="HF738" s="16"/>
      <c r="HG738" s="14"/>
      <c r="HH738" s="12" t="s">
        <v>319</v>
      </c>
      <c r="HI738" s="12"/>
      <c r="HJ738" s="12"/>
      <c r="HK738" s="12"/>
      <c r="HL738" s="12" t="s">
        <v>319</v>
      </c>
      <c r="HM738" s="12"/>
      <c r="HN738" s="12"/>
      <c r="HO738" s="12"/>
      <c r="HP738" s="12" t="s">
        <v>453</v>
      </c>
      <c r="HQ738" s="12"/>
      <c r="HR738" s="12" t="s">
        <v>320</v>
      </c>
      <c r="HS738" s="12"/>
      <c r="HT738" s="12"/>
      <c r="HU738" s="12" t="s">
        <v>319</v>
      </c>
      <c r="HV738" s="12" t="s">
        <v>319</v>
      </c>
      <c r="HW738" s="12"/>
      <c r="HX738" s="12"/>
      <c r="HY738" s="12"/>
      <c r="HZ738" s="12" t="s">
        <v>363</v>
      </c>
      <c r="IA738" s="12"/>
      <c r="IB738" s="12"/>
      <c r="IC738" s="12"/>
      <c r="ID738" s="12" t="s">
        <v>334</v>
      </c>
      <c r="IE738" s="12" t="s">
        <v>478</v>
      </c>
      <c r="IF738" s="12" t="s">
        <v>320</v>
      </c>
      <c r="IG738" s="12" t="s">
        <v>320</v>
      </c>
      <c r="IH738" s="12"/>
      <c r="II738" s="12" t="s">
        <v>320</v>
      </c>
      <c r="IJ738" s="12" t="str">
        <f t="shared" si="474"/>
        <v>3. Responsive</v>
      </c>
      <c r="IK738" s="12">
        <f t="shared" si="475"/>
        <v>3</v>
      </c>
      <c r="IL738" s="12"/>
      <c r="IM738" s="12"/>
      <c r="IN738" s="12"/>
      <c r="IO738" s="12"/>
      <c r="IP738" s="12"/>
      <c r="IQ738" s="12" t="str">
        <f t="shared" si="476"/>
        <v>No marker score</v>
      </c>
      <c r="IR738" s="12">
        <f t="shared" si="477"/>
        <v>0</v>
      </c>
      <c r="IS738" s="12"/>
      <c r="IT738" s="12"/>
      <c r="IU738" s="12"/>
      <c r="IV738" s="12"/>
      <c r="IW738" s="11" t="str">
        <f t="shared" si="478"/>
        <v>No marker score</v>
      </c>
      <c r="IX738" s="12">
        <f t="shared" si="479"/>
        <v>0</v>
      </c>
      <c r="IY738" s="12"/>
      <c r="IZ738" s="12"/>
      <c r="JA738" s="12"/>
      <c r="JB738" s="12"/>
      <c r="JC738" s="12"/>
      <c r="JD738" s="12"/>
      <c r="JE738" s="12" t="s">
        <v>340</v>
      </c>
      <c r="JF738" s="12" t="s">
        <v>11689</v>
      </c>
      <c r="JG738" s="12"/>
      <c r="JH738" s="12"/>
      <c r="JI738" s="12"/>
      <c r="JJ738" s="12"/>
      <c r="JK738" s="12"/>
      <c r="JL738" s="12"/>
      <c r="JM738" s="12"/>
      <c r="JN738" s="12"/>
      <c r="JO738" s="12"/>
      <c r="JP738" s="15">
        <f t="shared" si="480"/>
        <v>100</v>
      </c>
      <c r="JQ738" s="15">
        <f t="shared" si="481"/>
        <v>0</v>
      </c>
      <c r="JR738" s="279">
        <f t="shared" si="482"/>
        <v>0</v>
      </c>
      <c r="JS738" s="17">
        <f t="shared" si="483"/>
        <v>0.5</v>
      </c>
      <c r="JT738" s="18" t="str">
        <f t="shared" si="484"/>
        <v/>
      </c>
      <c r="JU738" s="280">
        <f t="shared" si="485"/>
        <v>50</v>
      </c>
      <c r="JV738" s="280">
        <f t="shared" si="486"/>
        <v>0</v>
      </c>
      <c r="JW738" s="319">
        <f t="shared" si="487"/>
        <v>1</v>
      </c>
      <c r="JX738" s="15">
        <f t="shared" si="488"/>
        <v>100</v>
      </c>
      <c r="JY738" s="15">
        <f t="shared" si="489"/>
        <v>0</v>
      </c>
      <c r="JZ738" s="19">
        <f t="shared" si="490"/>
        <v>0</v>
      </c>
      <c r="KA738" s="52" t="str">
        <f t="shared" si="491"/>
        <v/>
      </c>
      <c r="KB738" s="15">
        <f t="shared" si="492"/>
        <v>0</v>
      </c>
      <c r="KC738" s="15">
        <f t="shared" si="493"/>
        <v>0</v>
      </c>
      <c r="KD738" s="20" t="str">
        <f t="shared" si="494"/>
        <v/>
      </c>
      <c r="KE738" s="52" t="str">
        <f t="shared" si="495"/>
        <v/>
      </c>
      <c r="KF738" s="15">
        <f t="shared" si="496"/>
        <v>0</v>
      </c>
      <c r="KG738" s="15">
        <f t="shared" si="497"/>
        <v>0</v>
      </c>
      <c r="KH738" s="21" t="str">
        <f t="shared" si="498"/>
        <v/>
      </c>
      <c r="KI738" s="52" t="str">
        <f t="shared" si="499"/>
        <v/>
      </c>
      <c r="KJ738" s="15">
        <f t="shared" si="500"/>
        <v>0</v>
      </c>
      <c r="KK738" s="15">
        <f t="shared" si="501"/>
        <v>0</v>
      </c>
      <c r="KL738" s="19" t="str">
        <f t="shared" si="502"/>
        <v/>
      </c>
      <c r="KM738" s="52" t="str">
        <f t="shared" si="503"/>
        <v/>
      </c>
      <c r="KN738" s="22">
        <f t="shared" si="504"/>
        <v>0</v>
      </c>
      <c r="KO738" s="22">
        <f t="shared" si="505"/>
        <v>0</v>
      </c>
      <c r="KP738" s="19" t="str">
        <f t="shared" si="506"/>
        <v/>
      </c>
      <c r="KQ738" s="11" t="str">
        <f t="shared" si="507"/>
        <v>3. Responsive</v>
      </c>
      <c r="KR738" s="11" t="str">
        <f t="shared" si="508"/>
        <v>No marker score</v>
      </c>
      <c r="KS738" s="11" t="str">
        <f t="shared" si="509"/>
        <v>No marker score</v>
      </c>
      <c r="KT738" s="11" t="str">
        <f t="shared" si="510"/>
        <v>It did not develop any specific innovation</v>
      </c>
      <c r="KU738" s="11" t="str">
        <f t="shared" si="511"/>
        <v>Intensive advocacy</v>
      </c>
      <c r="KV738" s="11">
        <f t="shared" si="512"/>
        <v>0</v>
      </c>
      <c r="KW738" s="11" t="str">
        <f t="shared" si="513"/>
        <v>Switzerland - Humanitarian Advocacy (Yemen)</v>
      </c>
      <c r="KX738" s="11" t="str">
        <f t="shared" si="514"/>
        <v>Humanitarian Advocacy (Yemen)</v>
      </c>
      <c r="KY738" s="11" t="str">
        <f t="shared" si="515"/>
        <v>Switzerland</v>
      </c>
      <c r="KZ738" s="287">
        <v>739</v>
      </c>
    </row>
    <row r="739" spans="1:312" x14ac:dyDescent="0.3">
      <c r="A739" s="11" t="s">
        <v>11693</v>
      </c>
      <c r="B739" s="11" t="s">
        <v>602</v>
      </c>
      <c r="D739" s="11" t="s">
        <v>11937</v>
      </c>
      <c r="E739" s="277" t="str">
        <f t="shared" si="473"/>
        <v>Syria</v>
      </c>
      <c r="F739" s="11" t="s">
        <v>11938</v>
      </c>
      <c r="G739" s="11" t="s">
        <v>379</v>
      </c>
      <c r="H739" s="11" t="s">
        <v>380</v>
      </c>
      <c r="I739" s="11" t="s">
        <v>381</v>
      </c>
      <c r="J739" s="278" t="s">
        <v>14624</v>
      </c>
      <c r="BD739" s="23">
        <v>42339</v>
      </c>
      <c r="BE739" s="23">
        <v>42613</v>
      </c>
      <c r="BG739" s="11" t="s">
        <v>908</v>
      </c>
      <c r="BH739" s="22">
        <v>351087.17</v>
      </c>
      <c r="BI739" s="11" t="s">
        <v>11939</v>
      </c>
      <c r="BJ739" s="11" t="s">
        <v>11940</v>
      </c>
      <c r="BK739" s="11" t="s">
        <v>11941</v>
      </c>
      <c r="BO739" s="11" t="s">
        <v>320</v>
      </c>
      <c r="BP739" s="11" t="s">
        <v>319</v>
      </c>
      <c r="BQ739" s="11" t="s">
        <v>319</v>
      </c>
      <c r="BR739" s="11" t="s">
        <v>11942</v>
      </c>
      <c r="BS739" s="11" t="s">
        <v>357</v>
      </c>
      <c r="BT739" s="11" t="s">
        <v>11943</v>
      </c>
      <c r="BU739" s="11" t="s">
        <v>11944</v>
      </c>
      <c r="BV739" s="22">
        <v>1106</v>
      </c>
      <c r="BW739" s="22">
        <v>1026</v>
      </c>
      <c r="BX739" s="22">
        <v>2132</v>
      </c>
      <c r="CD739" s="22">
        <v>1106</v>
      </c>
      <c r="CE739" s="22">
        <v>1026</v>
      </c>
      <c r="CF739" s="22">
        <v>2132</v>
      </c>
      <c r="CJ739" s="39"/>
      <c r="CK739" s="40"/>
      <c r="CL739" s="41"/>
      <c r="CM739" s="40"/>
      <c r="CN739" s="39"/>
      <c r="CO739" s="40"/>
      <c r="CP739" s="41"/>
      <c r="CQ739" s="40"/>
      <c r="CR739" s="39"/>
      <c r="CS739" s="40"/>
      <c r="CT739" s="41"/>
      <c r="CU739" s="40"/>
      <c r="CV739" s="39"/>
      <c r="CW739" s="40"/>
      <c r="CX739" s="41"/>
      <c r="CY739" s="40"/>
      <c r="CZ739" s="39"/>
      <c r="DA739" s="40"/>
      <c r="DB739" s="41"/>
      <c r="DC739" s="40"/>
      <c r="DD739" s="39"/>
      <c r="DE739" s="40"/>
      <c r="DF739" s="41"/>
      <c r="DG739" s="40"/>
      <c r="DH739" s="39"/>
      <c r="DI739" s="40"/>
      <c r="DJ739" s="41"/>
      <c r="DK739" s="40"/>
      <c r="DL739" s="11" t="s">
        <v>320</v>
      </c>
      <c r="DM739" s="40">
        <v>2132</v>
      </c>
      <c r="DN739" s="41">
        <v>0.5</v>
      </c>
      <c r="DO739" s="40"/>
      <c r="DP739" s="39"/>
      <c r="DQ739" s="40"/>
      <c r="DR739" s="41"/>
      <c r="DS739" s="40"/>
      <c r="DT739" s="39"/>
      <c r="DU739" s="40"/>
      <c r="DV739" s="41"/>
      <c r="DW739" s="40"/>
      <c r="DX739" s="39"/>
      <c r="DY739" s="40"/>
      <c r="DZ739" s="41"/>
      <c r="EA739" s="40"/>
      <c r="EB739" s="39"/>
      <c r="EC739" s="40"/>
      <c r="ED739" s="41"/>
      <c r="EE739" s="40"/>
      <c r="EF739" s="39"/>
      <c r="EG739" s="39"/>
      <c r="EH739" s="40"/>
      <c r="EI739" s="41"/>
      <c r="EJ739" s="40"/>
      <c r="EK739" s="40"/>
      <c r="EL739" s="40"/>
      <c r="EM739" s="40"/>
      <c r="EN739" s="40"/>
      <c r="EO739" s="40"/>
      <c r="EP739" s="40"/>
      <c r="EQ739" s="39"/>
      <c r="ER739" s="40"/>
      <c r="ES739" s="41"/>
      <c r="ET739" s="40"/>
      <c r="EU739" s="39"/>
      <c r="EV739" s="40"/>
      <c r="EW739" s="41"/>
      <c r="EX739" s="40"/>
      <c r="EY739" s="39"/>
      <c r="EZ739" s="40"/>
      <c r="FA739" s="41"/>
      <c r="FB739" s="40"/>
      <c r="FC739" s="39"/>
      <c r="FD739" s="40"/>
      <c r="FE739" s="41"/>
      <c r="FF739" s="40"/>
      <c r="FG739" s="39"/>
      <c r="FH739" s="40"/>
      <c r="FI739" s="41"/>
      <c r="FJ739" s="40"/>
      <c r="FK739" s="39"/>
      <c r="FL739" s="40"/>
      <c r="FM739" s="41"/>
      <c r="FN739" s="40"/>
      <c r="FO739" s="39"/>
      <c r="FP739" s="40"/>
      <c r="FQ739" s="41"/>
      <c r="FR739" s="40"/>
      <c r="FS739" s="39"/>
      <c r="FT739" s="40"/>
      <c r="FU739" s="41"/>
      <c r="FV739" s="40"/>
      <c r="FW739" s="39"/>
      <c r="FX739" s="40"/>
      <c r="FY739" s="41"/>
      <c r="FZ739" s="40"/>
      <c r="GA739" s="39"/>
      <c r="GB739" s="40"/>
      <c r="GC739" s="41"/>
      <c r="GD739" s="40"/>
      <c r="GE739" s="39"/>
      <c r="GF739" s="40"/>
      <c r="GG739" s="41"/>
      <c r="GH739" s="40"/>
      <c r="GI739" s="39"/>
      <c r="GJ739" s="40"/>
      <c r="GK739" s="41"/>
      <c r="GL739" s="40"/>
      <c r="GM739" s="39"/>
      <c r="GN739" s="40"/>
      <c r="GO739" s="41"/>
      <c r="GP739" s="40"/>
      <c r="GQ739" s="39"/>
      <c r="GR739" s="40"/>
      <c r="GS739" s="41"/>
      <c r="GT739" s="40"/>
      <c r="GU739" s="39"/>
      <c r="GV739" s="40"/>
      <c r="GW739" s="41"/>
      <c r="GX739" s="40"/>
      <c r="GY739" s="39"/>
      <c r="GZ739" s="40"/>
      <c r="HA739" s="41"/>
      <c r="HB739" s="40"/>
      <c r="HF739" s="18"/>
      <c r="HH739" s="11" t="s">
        <v>319</v>
      </c>
      <c r="HK739" s="11" t="s">
        <v>319</v>
      </c>
      <c r="HL739" s="11" t="s">
        <v>319</v>
      </c>
      <c r="HO739" s="11" t="s">
        <v>393</v>
      </c>
      <c r="HP739" s="11" t="s">
        <v>418</v>
      </c>
      <c r="HQ739" s="11" t="s">
        <v>319</v>
      </c>
      <c r="HS739" s="11" t="s">
        <v>320</v>
      </c>
      <c r="HT739" s="11" t="s">
        <v>319</v>
      </c>
      <c r="HU739" s="11" t="s">
        <v>319</v>
      </c>
      <c r="HV739" s="11" t="s">
        <v>319</v>
      </c>
      <c r="HW739" s="11" t="s">
        <v>319</v>
      </c>
      <c r="HX739" s="11" t="s">
        <v>319</v>
      </c>
      <c r="HZ739" s="11" t="s">
        <v>363</v>
      </c>
      <c r="IA739" s="11" t="s">
        <v>11945</v>
      </c>
      <c r="IB739" s="11" t="s">
        <v>667</v>
      </c>
      <c r="IC739" s="11" t="s">
        <v>11946</v>
      </c>
      <c r="ID739" s="11" t="s">
        <v>334</v>
      </c>
      <c r="IE739" s="11" t="s">
        <v>335</v>
      </c>
      <c r="IF739" s="11" t="s">
        <v>320</v>
      </c>
      <c r="IG739" s="11" t="s">
        <v>320</v>
      </c>
      <c r="IH739" s="11" t="s">
        <v>320</v>
      </c>
      <c r="II739" s="11" t="s">
        <v>320</v>
      </c>
      <c r="IJ739" s="12" t="str">
        <f t="shared" si="474"/>
        <v>2. Sensitive</v>
      </c>
      <c r="IK739" s="12">
        <f t="shared" si="475"/>
        <v>4</v>
      </c>
      <c r="IQ739" s="12" t="str">
        <f t="shared" si="476"/>
        <v>No marker score</v>
      </c>
      <c r="IR739" s="12">
        <f t="shared" si="477"/>
        <v>0</v>
      </c>
      <c r="IW739" s="11" t="str">
        <f t="shared" si="478"/>
        <v>No marker score</v>
      </c>
      <c r="IX739" s="12">
        <f t="shared" si="479"/>
        <v>0</v>
      </c>
      <c r="IY739" s="11" t="s">
        <v>338</v>
      </c>
      <c r="IZ739" s="11" t="s">
        <v>457</v>
      </c>
      <c r="JA739" s="11">
        <v>1</v>
      </c>
      <c r="JB739" s="11" t="s">
        <v>433</v>
      </c>
      <c r="JE739" s="11" t="s">
        <v>365</v>
      </c>
      <c r="JH739" s="11" t="s">
        <v>8476</v>
      </c>
      <c r="JI739" s="11" t="s">
        <v>3980</v>
      </c>
      <c r="JJ739" s="11" t="s">
        <v>11947</v>
      </c>
      <c r="JK739" s="11" t="s">
        <v>11948</v>
      </c>
      <c r="JL739" s="11" t="s">
        <v>11949</v>
      </c>
      <c r="JM739" s="11" t="s">
        <v>11950</v>
      </c>
      <c r="JP739" s="15">
        <f t="shared" si="480"/>
        <v>2132</v>
      </c>
      <c r="JQ739" s="15">
        <f t="shared" si="481"/>
        <v>0</v>
      </c>
      <c r="JR739" s="279">
        <f t="shared" si="482"/>
        <v>0</v>
      </c>
      <c r="JS739" s="17">
        <f t="shared" si="483"/>
        <v>0.51876172607879922</v>
      </c>
      <c r="JT739" s="18" t="str">
        <f t="shared" si="484"/>
        <v/>
      </c>
      <c r="JU739" s="280">
        <f t="shared" si="485"/>
        <v>1106</v>
      </c>
      <c r="JV739" s="280">
        <f t="shared" si="486"/>
        <v>0</v>
      </c>
      <c r="JW739" s="319">
        <f t="shared" si="487"/>
        <v>1</v>
      </c>
      <c r="JX739" s="15">
        <f t="shared" si="488"/>
        <v>2132</v>
      </c>
      <c r="JY739" s="15">
        <f t="shared" si="489"/>
        <v>0</v>
      </c>
      <c r="JZ739" s="19">
        <f t="shared" si="490"/>
        <v>0</v>
      </c>
      <c r="KA739" s="52">
        <f t="shared" si="491"/>
        <v>1</v>
      </c>
      <c r="KB739" s="15">
        <f t="shared" si="492"/>
        <v>2132</v>
      </c>
      <c r="KC739" s="15">
        <f t="shared" si="493"/>
        <v>0</v>
      </c>
      <c r="KD739" s="20">
        <f t="shared" si="494"/>
        <v>0</v>
      </c>
      <c r="KE739" s="52" t="str">
        <f t="shared" si="495"/>
        <v/>
      </c>
      <c r="KF739" s="15">
        <f t="shared" si="496"/>
        <v>0</v>
      </c>
      <c r="KG739" s="15">
        <f t="shared" si="497"/>
        <v>0</v>
      </c>
      <c r="KH739" s="21" t="str">
        <f t="shared" si="498"/>
        <v/>
      </c>
      <c r="KI739" s="52" t="str">
        <f t="shared" si="499"/>
        <v/>
      </c>
      <c r="KJ739" s="15">
        <f t="shared" si="500"/>
        <v>0</v>
      </c>
      <c r="KK739" s="15">
        <f t="shared" si="501"/>
        <v>0</v>
      </c>
      <c r="KL739" s="19" t="str">
        <f t="shared" si="502"/>
        <v/>
      </c>
      <c r="KM739" s="52" t="str">
        <f t="shared" si="503"/>
        <v/>
      </c>
      <c r="KN739" s="22">
        <f t="shared" si="504"/>
        <v>0</v>
      </c>
      <c r="KO739" s="22">
        <f t="shared" si="505"/>
        <v>0</v>
      </c>
      <c r="KP739" s="19" t="str">
        <f t="shared" si="506"/>
        <v/>
      </c>
      <c r="KQ739" s="11" t="str">
        <f t="shared" si="507"/>
        <v>2. Sensitive</v>
      </c>
      <c r="KR739" s="11" t="str">
        <f t="shared" si="508"/>
        <v>No marker score</v>
      </c>
      <c r="KS739" s="11" t="str">
        <f t="shared" si="509"/>
        <v>No marker score</v>
      </c>
      <c r="KT739" s="11" t="str">
        <f t="shared" si="510"/>
        <v>It did not develop any specific innovation</v>
      </c>
      <c r="KU739" s="11" t="str">
        <f t="shared" si="511"/>
        <v>Little or no advocacy</v>
      </c>
      <c r="KV739" s="11" t="str">
        <f t="shared" si="512"/>
        <v>It took tested solutions to scale on its own</v>
      </c>
      <c r="KW739" s="11" t="str">
        <f t="shared" si="513"/>
        <v>Syria - Building resilience where it is most needed: Enhancing food security and livelihood opportunities for Deir-Ez-Zor's most affected populations</v>
      </c>
      <c r="KX739" s="11" t="str">
        <f t="shared" si="514"/>
        <v>Building resilience where it is most needed: Enhancing food security and livelihood opportunities for Deir-Ez-Zor's most affected populations</v>
      </c>
      <c r="KY739" s="11" t="str">
        <f t="shared" si="515"/>
        <v>Syria</v>
      </c>
      <c r="KZ739" s="12">
        <v>740</v>
      </c>
    </row>
    <row r="740" spans="1:312" x14ac:dyDescent="0.3">
      <c r="A740" s="282" t="s">
        <v>11693</v>
      </c>
      <c r="B740" s="282" t="s">
        <v>602</v>
      </c>
      <c r="C740" s="282"/>
      <c r="D740" s="282" t="s">
        <v>11951</v>
      </c>
      <c r="E740" s="24" t="str">
        <f t="shared" si="473"/>
        <v>Syria</v>
      </c>
      <c r="F740" s="282" t="s">
        <v>11952</v>
      </c>
      <c r="G740" s="282" t="s">
        <v>379</v>
      </c>
      <c r="H740" s="282" t="s">
        <v>384</v>
      </c>
      <c r="I740" s="282" t="s">
        <v>377</v>
      </c>
      <c r="J740" s="281" t="s">
        <v>14582</v>
      </c>
      <c r="K740" s="282"/>
      <c r="L740" s="282"/>
      <c r="M740" s="282"/>
      <c r="N740" s="282"/>
      <c r="O740" s="282"/>
      <c r="P740" s="282"/>
      <c r="Q740" s="282"/>
      <c r="R740" s="282"/>
      <c r="S740" s="282"/>
      <c r="T740" s="282"/>
      <c r="U740" s="282"/>
      <c r="V740" s="282"/>
      <c r="W740" s="282"/>
      <c r="X740" s="282"/>
      <c r="Y740" s="282"/>
      <c r="Z740" s="282"/>
      <c r="AA740" s="282"/>
      <c r="AB740" s="282"/>
      <c r="AC740" s="282"/>
      <c r="AD740" s="282"/>
      <c r="AE740" s="282"/>
      <c r="AF740" s="282"/>
      <c r="AG740" s="282"/>
      <c r="AH740" s="282"/>
      <c r="AI740" s="282"/>
      <c r="AJ740" s="282"/>
      <c r="AK740" s="282"/>
      <c r="AL740" s="282"/>
      <c r="AM740" s="282"/>
      <c r="AN740" s="282"/>
      <c r="AO740" s="282"/>
      <c r="AP740" s="282"/>
      <c r="AQ740" s="282"/>
      <c r="AR740" s="282"/>
      <c r="AS740" s="282"/>
      <c r="AT740" s="282"/>
      <c r="AU740" s="282"/>
      <c r="AV740" s="282"/>
      <c r="AW740" s="282"/>
      <c r="AX740" s="282"/>
      <c r="AY740" s="282"/>
      <c r="AZ740" s="282"/>
      <c r="BA740" s="282"/>
      <c r="BB740" s="282"/>
      <c r="BC740" s="282"/>
      <c r="BD740" s="283">
        <v>42736</v>
      </c>
      <c r="BE740" s="283"/>
      <c r="BF740" s="283"/>
      <c r="BG740" s="283" t="s">
        <v>817</v>
      </c>
      <c r="BH740" s="284">
        <v>4010043.98</v>
      </c>
      <c r="BI740" s="282" t="s">
        <v>11953</v>
      </c>
      <c r="BJ740" s="282" t="s">
        <v>11580</v>
      </c>
      <c r="BK740" s="282" t="s">
        <v>11954</v>
      </c>
      <c r="BL740" s="282" t="s">
        <v>11955</v>
      </c>
      <c r="BM740" s="282" t="s">
        <v>11956</v>
      </c>
      <c r="BN740" s="282" t="s">
        <v>11957</v>
      </c>
      <c r="BO740" s="282" t="s">
        <v>320</v>
      </c>
      <c r="BP740" s="282" t="s">
        <v>319</v>
      </c>
      <c r="BQ740" s="282" t="s">
        <v>319</v>
      </c>
      <c r="BR740" s="282" t="s">
        <v>11958</v>
      </c>
      <c r="BS740" s="282" t="s">
        <v>357</v>
      </c>
      <c r="BT740" s="282" t="s">
        <v>11959</v>
      </c>
      <c r="BU740" s="282" t="s">
        <v>11960</v>
      </c>
      <c r="BV740" s="284">
        <v>23814</v>
      </c>
      <c r="BW740" s="284">
        <v>24786</v>
      </c>
      <c r="BX740" s="284">
        <v>48600</v>
      </c>
      <c r="BY740" s="284"/>
      <c r="BZ740" s="284"/>
      <c r="CA740" s="284"/>
      <c r="CB740" s="285"/>
      <c r="CC740" s="285"/>
      <c r="CD740" s="284"/>
      <c r="CE740" s="284"/>
      <c r="CF740" s="284"/>
      <c r="CG740" s="284"/>
      <c r="CH740" s="284"/>
      <c r="CI740" s="284"/>
      <c r="CJ740" s="282"/>
      <c r="CK740" s="284"/>
      <c r="CL740" s="286"/>
      <c r="CM740" s="284"/>
      <c r="CN740" s="287"/>
      <c r="CO740" s="284"/>
      <c r="CP740" s="286"/>
      <c r="CQ740" s="284"/>
      <c r="CR740" s="282"/>
      <c r="CS740" s="284"/>
      <c r="CT740" s="286"/>
      <c r="CU740" s="284"/>
      <c r="CV740" s="289"/>
      <c r="CW740" s="300"/>
      <c r="CX740" s="308"/>
      <c r="CY740" s="300"/>
      <c r="CZ740" s="282"/>
      <c r="DA740" s="284"/>
      <c r="DB740" s="286"/>
      <c r="DC740" s="284"/>
      <c r="DD740" s="287"/>
      <c r="DE740" s="284"/>
      <c r="DF740" s="286"/>
      <c r="DG740" s="284"/>
      <c r="DH740" s="282"/>
      <c r="DI740" s="284"/>
      <c r="DJ740" s="286"/>
      <c r="DK740" s="284"/>
      <c r="DL740" s="282"/>
      <c r="DM740" s="284"/>
      <c r="DN740" s="286"/>
      <c r="DO740" s="284"/>
      <c r="DP740" s="282"/>
      <c r="DQ740" s="284"/>
      <c r="DR740" s="286"/>
      <c r="DS740" s="284"/>
      <c r="DT740" s="282"/>
      <c r="DU740" s="284"/>
      <c r="DV740" s="286"/>
      <c r="DW740" s="284"/>
      <c r="DX740" s="282"/>
      <c r="DY740" s="284"/>
      <c r="DZ740" s="286"/>
      <c r="EA740" s="284"/>
      <c r="EB740" s="282" t="s">
        <v>320</v>
      </c>
      <c r="EC740" s="284"/>
      <c r="ED740" s="286"/>
      <c r="EE740" s="284"/>
      <c r="EF740" s="285"/>
      <c r="EG740" s="287"/>
      <c r="EH740" s="284"/>
      <c r="EI740" s="286"/>
      <c r="EJ740" s="284"/>
      <c r="EK740" s="284"/>
      <c r="EL740" s="284"/>
      <c r="EM740" s="284"/>
      <c r="EN740" s="284"/>
      <c r="EO740" s="284"/>
      <c r="EP740" s="284"/>
      <c r="EQ740" s="282"/>
      <c r="ER740" s="284"/>
      <c r="ES740" s="286"/>
      <c r="ET740" s="284"/>
      <c r="EU740" s="305"/>
      <c r="EV740" s="300"/>
      <c r="EW740" s="308"/>
      <c r="EX740" s="300"/>
      <c r="EY740" s="282"/>
      <c r="EZ740" s="284"/>
      <c r="FA740" s="286"/>
      <c r="FB740" s="284"/>
      <c r="FC740" s="282"/>
      <c r="FD740" s="284"/>
      <c r="FE740" s="286"/>
      <c r="FF740" s="284"/>
      <c r="FG740" s="282"/>
      <c r="FH740" s="284"/>
      <c r="FI740" s="286"/>
      <c r="FJ740" s="284"/>
      <c r="FK740" s="282"/>
      <c r="FL740" s="284"/>
      <c r="FM740" s="286"/>
      <c r="FN740" s="284"/>
      <c r="FO740" s="305"/>
      <c r="FP740" s="300"/>
      <c r="FQ740" s="308"/>
      <c r="FR740" s="300"/>
      <c r="FS740" s="282"/>
      <c r="FT740" s="284"/>
      <c r="FU740" s="286"/>
      <c r="FV740" s="284"/>
      <c r="FW740" s="282"/>
      <c r="FX740" s="284"/>
      <c r="FY740" s="286"/>
      <c r="FZ740" s="284"/>
      <c r="GA740" s="282"/>
      <c r="GB740" s="284"/>
      <c r="GC740" s="286"/>
      <c r="GD740" s="284"/>
      <c r="GE740" s="282"/>
      <c r="GF740" s="284"/>
      <c r="GG740" s="286"/>
      <c r="GH740" s="284"/>
      <c r="GI740" s="282"/>
      <c r="GJ740" s="284"/>
      <c r="GK740" s="286"/>
      <c r="GL740" s="284"/>
      <c r="GM740" s="282"/>
      <c r="GN740" s="284"/>
      <c r="GO740" s="286"/>
      <c r="GP740" s="284"/>
      <c r="GQ740" s="282"/>
      <c r="GR740" s="284"/>
      <c r="GS740" s="286"/>
      <c r="GT740" s="284"/>
      <c r="GU740" s="282"/>
      <c r="GV740" s="284"/>
      <c r="GW740" s="286"/>
      <c r="GX740" s="284"/>
      <c r="GY740" s="282"/>
      <c r="GZ740" s="284"/>
      <c r="HA740" s="286"/>
      <c r="HB740" s="284"/>
      <c r="HC740" s="282"/>
      <c r="HD740" s="282"/>
      <c r="HE740" s="284"/>
      <c r="HF740" s="286"/>
      <c r="HG740" s="284"/>
      <c r="HH740" s="282" t="s">
        <v>319</v>
      </c>
      <c r="HI740" s="282"/>
      <c r="HJ740" s="282"/>
      <c r="HK740" s="282"/>
      <c r="HL740" s="282"/>
      <c r="HM740" s="282"/>
      <c r="HN740" s="282"/>
      <c r="HO740" s="282"/>
      <c r="HP740" s="282" t="s">
        <v>418</v>
      </c>
      <c r="HQ740" s="282"/>
      <c r="HR740" s="282"/>
      <c r="HS740" s="282"/>
      <c r="HT740" s="282"/>
      <c r="HU740" s="282"/>
      <c r="HV740" s="282"/>
      <c r="HW740" s="282"/>
      <c r="HX740" s="282"/>
      <c r="HY740" s="282"/>
      <c r="HZ740" s="282" t="s">
        <v>363</v>
      </c>
      <c r="IA740" s="282"/>
      <c r="IB740" s="282" t="s">
        <v>333</v>
      </c>
      <c r="IC740" s="282"/>
      <c r="ID740" s="282" t="s">
        <v>334</v>
      </c>
      <c r="IE740" s="282" t="s">
        <v>335</v>
      </c>
      <c r="IF740" s="282" t="s">
        <v>320</v>
      </c>
      <c r="IG740" s="282" t="s">
        <v>320</v>
      </c>
      <c r="IH740" s="282" t="s">
        <v>320</v>
      </c>
      <c r="II740" s="282" t="s">
        <v>320</v>
      </c>
      <c r="IJ740" s="12" t="str">
        <f t="shared" si="474"/>
        <v>2. Sensitive</v>
      </c>
      <c r="IK740" s="287">
        <f t="shared" si="475"/>
        <v>4</v>
      </c>
      <c r="IL740" s="282"/>
      <c r="IM740" s="282" t="s">
        <v>319</v>
      </c>
      <c r="IN740" s="282" t="s">
        <v>319</v>
      </c>
      <c r="IO740" s="282" t="s">
        <v>319</v>
      </c>
      <c r="IP740" s="282" t="s">
        <v>319</v>
      </c>
      <c r="IQ740" s="287" t="str">
        <f t="shared" si="476"/>
        <v>No marker score</v>
      </c>
      <c r="IR740" s="287">
        <f t="shared" si="477"/>
        <v>0</v>
      </c>
      <c r="IS740" s="282"/>
      <c r="IT740" s="282"/>
      <c r="IU740" s="282"/>
      <c r="IV740" s="282"/>
      <c r="IW740" s="11" t="str">
        <f t="shared" si="478"/>
        <v>No marker score</v>
      </c>
      <c r="IX740" s="287">
        <f t="shared" si="479"/>
        <v>0</v>
      </c>
      <c r="IY740" s="282" t="s">
        <v>419</v>
      </c>
      <c r="IZ740" s="282" t="s">
        <v>457</v>
      </c>
      <c r="JA740" s="282">
        <v>2</v>
      </c>
      <c r="JB740" s="282" t="s">
        <v>433</v>
      </c>
      <c r="JC740" s="282"/>
      <c r="JD740" s="282"/>
      <c r="JE740" s="282" t="s">
        <v>365</v>
      </c>
      <c r="JF740" s="282" t="s">
        <v>11961</v>
      </c>
      <c r="JG740" s="282"/>
      <c r="JH740" s="282"/>
      <c r="JI740" s="282"/>
      <c r="JJ740" s="282"/>
      <c r="JK740" s="282"/>
      <c r="JL740" s="282"/>
      <c r="JM740" s="282"/>
      <c r="JN740" s="282"/>
      <c r="JO740" s="282"/>
      <c r="JP740" s="15">
        <f t="shared" si="480"/>
        <v>0</v>
      </c>
      <c r="JQ740" s="15">
        <f t="shared" si="481"/>
        <v>0</v>
      </c>
      <c r="JR740" s="279" t="str">
        <f t="shared" si="482"/>
        <v/>
      </c>
      <c r="JS740" s="17" t="str">
        <f t="shared" si="483"/>
        <v/>
      </c>
      <c r="JT740" s="18" t="str">
        <f t="shared" si="484"/>
        <v/>
      </c>
      <c r="JU740" s="280">
        <f t="shared" si="485"/>
        <v>0</v>
      </c>
      <c r="JV740" s="280">
        <f t="shared" si="486"/>
        <v>0</v>
      </c>
      <c r="JW740" s="319">
        <f t="shared" si="487"/>
        <v>1</v>
      </c>
      <c r="JX740" s="15">
        <f t="shared" si="488"/>
        <v>0</v>
      </c>
      <c r="JY740" s="15">
        <f t="shared" si="489"/>
        <v>0</v>
      </c>
      <c r="JZ740" s="19" t="str">
        <f t="shared" si="490"/>
        <v/>
      </c>
      <c r="KA740" s="52" t="str">
        <f t="shared" si="491"/>
        <v/>
      </c>
      <c r="KB740" s="15">
        <f t="shared" si="492"/>
        <v>0</v>
      </c>
      <c r="KC740" s="15">
        <f t="shared" si="493"/>
        <v>0</v>
      </c>
      <c r="KD740" s="20" t="str">
        <f t="shared" si="494"/>
        <v/>
      </c>
      <c r="KE740" s="52" t="str">
        <f t="shared" si="495"/>
        <v/>
      </c>
      <c r="KF740" s="15">
        <f t="shared" si="496"/>
        <v>0</v>
      </c>
      <c r="KG740" s="15">
        <f t="shared" si="497"/>
        <v>0</v>
      </c>
      <c r="KH740" s="21" t="str">
        <f t="shared" si="498"/>
        <v/>
      </c>
      <c r="KI740" s="52" t="str">
        <f t="shared" si="499"/>
        <v/>
      </c>
      <c r="KJ740" s="15">
        <f t="shared" si="500"/>
        <v>0</v>
      </c>
      <c r="KK740" s="15">
        <f t="shared" si="501"/>
        <v>0</v>
      </c>
      <c r="KL740" s="19" t="str">
        <f t="shared" si="502"/>
        <v/>
      </c>
      <c r="KM740" s="52" t="str">
        <f t="shared" si="503"/>
        <v/>
      </c>
      <c r="KN740" s="22">
        <f t="shared" si="504"/>
        <v>0</v>
      </c>
      <c r="KO740" s="22">
        <f t="shared" si="505"/>
        <v>0</v>
      </c>
      <c r="KP740" s="19" t="str">
        <f t="shared" si="506"/>
        <v/>
      </c>
      <c r="KQ740" s="11" t="str">
        <f t="shared" si="507"/>
        <v>2. Sensitive</v>
      </c>
      <c r="KR740" s="11" t="str">
        <f t="shared" si="508"/>
        <v>No marker score</v>
      </c>
      <c r="KS740" s="11" t="str">
        <f t="shared" si="509"/>
        <v>No marker score</v>
      </c>
      <c r="KT740" s="11" t="str">
        <f t="shared" si="510"/>
        <v>It did not develop any specific innovation</v>
      </c>
      <c r="KU740" s="11" t="str">
        <f t="shared" si="511"/>
        <v>Little or no advocacy</v>
      </c>
      <c r="KV740" s="11" t="str">
        <f t="shared" si="512"/>
        <v>It did not take tested solutions to scale</v>
      </c>
      <c r="KW740" s="11" t="str">
        <f t="shared" si="513"/>
        <v>Syria - CARE USA WASH Support to Southern Syria</v>
      </c>
      <c r="KX740" s="11" t="str">
        <f t="shared" si="514"/>
        <v>CARE USA WASH Support to Southern Syria</v>
      </c>
      <c r="KY740" s="11" t="str">
        <f t="shared" si="515"/>
        <v>Syria</v>
      </c>
      <c r="KZ740" s="12">
        <v>741</v>
      </c>
    </row>
    <row r="741" spans="1:312" x14ac:dyDescent="0.3">
      <c r="A741" s="12" t="s">
        <v>11693</v>
      </c>
      <c r="B741" s="12" t="s">
        <v>602</v>
      </c>
      <c r="C741" s="12">
        <v>3422</v>
      </c>
      <c r="D741" s="12" t="s">
        <v>11845</v>
      </c>
      <c r="E741" s="24" t="str">
        <f t="shared" si="473"/>
        <v>Syria</v>
      </c>
      <c r="F741" s="12" t="s">
        <v>11846</v>
      </c>
      <c r="G741" s="12" t="s">
        <v>605</v>
      </c>
      <c r="H741" s="12" t="s">
        <v>310</v>
      </c>
      <c r="I741" s="12" t="s">
        <v>907</v>
      </c>
      <c r="J741" s="281" t="s">
        <v>5183</v>
      </c>
      <c r="K741" s="12" t="s">
        <v>11847</v>
      </c>
      <c r="L741" s="12" t="s">
        <v>605</v>
      </c>
      <c r="M741" s="12" t="s">
        <v>310</v>
      </c>
      <c r="N741" s="12" t="s">
        <v>3316</v>
      </c>
      <c r="O741" s="281" t="s">
        <v>14616</v>
      </c>
      <c r="P741" s="12" t="s">
        <v>11848</v>
      </c>
      <c r="Q741" s="12" t="s">
        <v>605</v>
      </c>
      <c r="R741" s="12" t="s">
        <v>384</v>
      </c>
      <c r="S741" s="12" t="s">
        <v>384</v>
      </c>
      <c r="T741" s="281" t="s">
        <v>14632</v>
      </c>
      <c r="U741" s="12"/>
      <c r="V741" s="12"/>
      <c r="W741" s="12"/>
      <c r="X741" s="12"/>
      <c r="Y741" s="12"/>
      <c r="Z741" s="12"/>
      <c r="AA741" s="12"/>
      <c r="AB741" s="12"/>
      <c r="AC741" s="12"/>
      <c r="AD741" s="12"/>
      <c r="BD741" s="13">
        <v>42521</v>
      </c>
      <c r="BE741" s="13">
        <v>42614</v>
      </c>
      <c r="BF741" s="13">
        <v>42674</v>
      </c>
      <c r="BG741" s="12" t="s">
        <v>817</v>
      </c>
      <c r="BH741" s="14">
        <v>2034000</v>
      </c>
      <c r="BI741" s="12" t="s">
        <v>11849</v>
      </c>
      <c r="BJ741" s="12" t="s">
        <v>11850</v>
      </c>
      <c r="BK741" s="12"/>
      <c r="BL741" s="12" t="s">
        <v>11851</v>
      </c>
      <c r="BM741" s="12" t="s">
        <v>11852</v>
      </c>
      <c r="BN741" s="12"/>
      <c r="BO741" s="12" t="s">
        <v>320</v>
      </c>
      <c r="BP741" s="12" t="s">
        <v>319</v>
      </c>
      <c r="BQ741" s="12" t="s">
        <v>319</v>
      </c>
      <c r="BR741" s="12" t="s">
        <v>11853</v>
      </c>
      <c r="BS741" s="12" t="s">
        <v>357</v>
      </c>
      <c r="BT741" s="12" t="s">
        <v>11854</v>
      </c>
      <c r="BU741" s="12" t="s">
        <v>11855</v>
      </c>
      <c r="BV741" s="14">
        <v>25043</v>
      </c>
      <c r="BW741" s="14">
        <v>26066</v>
      </c>
      <c r="BX741" s="14">
        <v>51109</v>
      </c>
      <c r="BY741" s="14"/>
      <c r="BZ741" s="14"/>
      <c r="CA741" s="14"/>
      <c r="CB741" s="12"/>
      <c r="CD741" s="14">
        <v>25043</v>
      </c>
      <c r="CE741" s="14">
        <v>26066</v>
      </c>
      <c r="CF741" s="14">
        <v>51109</v>
      </c>
      <c r="CG741" s="14"/>
      <c r="CH741" s="14"/>
      <c r="CI741" s="14"/>
      <c r="CJ741" s="12"/>
      <c r="CK741" s="14"/>
      <c r="CL741" s="16"/>
      <c r="CM741" s="14"/>
      <c r="CN741" s="12"/>
      <c r="CO741" s="14"/>
      <c r="CP741" s="16"/>
      <c r="CQ741" s="14"/>
      <c r="CR741" s="12"/>
      <c r="CS741" s="14"/>
      <c r="CT741" s="16"/>
      <c r="CU741" s="14"/>
      <c r="CV741" s="12"/>
      <c r="CW741" s="14"/>
      <c r="CX741" s="16"/>
      <c r="CY741" s="14"/>
      <c r="CZ741" s="12"/>
      <c r="DA741" s="14"/>
      <c r="DB741" s="16"/>
      <c r="DC741" s="14"/>
      <c r="DD741" s="12"/>
      <c r="DE741" s="14"/>
      <c r="DF741" s="16"/>
      <c r="DG741" s="14"/>
      <c r="DH741" s="12"/>
      <c r="DI741" s="14"/>
      <c r="DJ741" s="16"/>
      <c r="DK741" s="14"/>
      <c r="DL741" s="12"/>
      <c r="DM741" s="14"/>
      <c r="DN741" s="16"/>
      <c r="DO741" s="14"/>
      <c r="DP741" s="12"/>
      <c r="DQ741" s="14"/>
      <c r="DR741" s="16"/>
      <c r="DS741" s="14"/>
      <c r="DT741" s="12"/>
      <c r="DU741" s="14"/>
      <c r="DV741" s="16"/>
      <c r="DW741" s="14"/>
      <c r="DX741" s="12" t="s">
        <v>320</v>
      </c>
      <c r="DY741" s="14">
        <v>51109</v>
      </c>
      <c r="DZ741" s="16">
        <v>0.49</v>
      </c>
      <c r="EA741" s="14"/>
      <c r="EB741" s="12"/>
      <c r="EC741" s="14"/>
      <c r="ED741" s="16"/>
      <c r="EE741" s="14"/>
      <c r="EF741" s="12"/>
      <c r="EG741" s="12"/>
      <c r="EH741" s="14"/>
      <c r="EI741" s="16"/>
      <c r="EJ741" s="14"/>
      <c r="EK741" s="14"/>
      <c r="EL741" s="14"/>
      <c r="EM741" s="14"/>
      <c r="EN741" s="14"/>
      <c r="EO741" s="14"/>
      <c r="EP741" s="14"/>
      <c r="EQ741" s="12"/>
      <c r="ER741" s="14"/>
      <c r="ES741" s="16"/>
      <c r="ET741" s="14"/>
      <c r="EU741" s="12"/>
      <c r="EV741" s="14"/>
      <c r="EW741" s="16"/>
      <c r="EX741" s="14"/>
      <c r="EY741" s="12"/>
      <c r="EZ741" s="14"/>
      <c r="FA741" s="16"/>
      <c r="FB741" s="14"/>
      <c r="FC741" s="12"/>
      <c r="FD741" s="14"/>
      <c r="FE741" s="16"/>
      <c r="FF741" s="14"/>
      <c r="FG741" s="12"/>
      <c r="FH741" s="14"/>
      <c r="FI741" s="16"/>
      <c r="FJ741" s="14"/>
      <c r="FK741" s="12"/>
      <c r="FL741" s="14"/>
      <c r="FM741" s="16"/>
      <c r="FN741" s="14"/>
      <c r="FO741" s="12"/>
      <c r="FP741" s="14"/>
      <c r="FQ741" s="16"/>
      <c r="FR741" s="14"/>
      <c r="FS741" s="12"/>
      <c r="FT741" s="14"/>
      <c r="FU741" s="16"/>
      <c r="FV741" s="14"/>
      <c r="FW741" s="12"/>
      <c r="FX741" s="14"/>
      <c r="FY741" s="16"/>
      <c r="FZ741" s="14"/>
      <c r="GA741" s="12"/>
      <c r="GB741" s="14"/>
      <c r="GC741" s="16"/>
      <c r="GD741" s="14"/>
      <c r="GE741" s="12"/>
      <c r="GF741" s="14"/>
      <c r="GG741" s="16"/>
      <c r="GH741" s="14"/>
      <c r="GI741" s="12"/>
      <c r="GJ741" s="14"/>
      <c r="GK741" s="16"/>
      <c r="GL741" s="14"/>
      <c r="GM741" s="12"/>
      <c r="GN741" s="14"/>
      <c r="GO741" s="16"/>
      <c r="GP741" s="14"/>
      <c r="GQ741" s="12"/>
      <c r="GR741" s="14"/>
      <c r="GS741" s="16"/>
      <c r="GT741" s="14"/>
      <c r="GU741" s="12"/>
      <c r="GV741" s="14"/>
      <c r="GW741" s="16"/>
      <c r="GX741" s="14"/>
      <c r="GY741" s="12"/>
      <c r="GZ741" s="14"/>
      <c r="HA741" s="16"/>
      <c r="HB741" s="14"/>
      <c r="HC741" s="12"/>
      <c r="HD741" s="12"/>
      <c r="HE741" s="14"/>
      <c r="HF741" s="16"/>
      <c r="HG741" s="14"/>
      <c r="HH741" s="12" t="s">
        <v>319</v>
      </c>
      <c r="HI741" s="12"/>
      <c r="HJ741" s="12"/>
      <c r="HK741" s="12"/>
      <c r="HL741" s="12" t="s">
        <v>319</v>
      </c>
      <c r="HM741" s="12"/>
      <c r="HN741" s="12"/>
      <c r="HO741" s="12"/>
      <c r="HP741" s="12" t="s">
        <v>418</v>
      </c>
      <c r="HQ741" s="12"/>
      <c r="HR741" s="12"/>
      <c r="HS741" s="12"/>
      <c r="HT741" s="12"/>
      <c r="HU741" s="12"/>
      <c r="HV741" s="12"/>
      <c r="HW741" s="12"/>
      <c r="HX741" s="12"/>
      <c r="HY741" s="12"/>
      <c r="HZ741" s="12" t="s">
        <v>363</v>
      </c>
      <c r="IA741" s="12"/>
      <c r="IB741" s="12" t="s">
        <v>667</v>
      </c>
      <c r="IC741" s="12"/>
      <c r="ID741" s="12" t="s">
        <v>364</v>
      </c>
      <c r="IE741" s="12" t="s">
        <v>335</v>
      </c>
      <c r="IF741" s="12" t="s">
        <v>320</v>
      </c>
      <c r="IG741" s="12" t="s">
        <v>320</v>
      </c>
      <c r="IH741" s="12" t="s">
        <v>320</v>
      </c>
      <c r="II741" s="12" t="s">
        <v>320</v>
      </c>
      <c r="IJ741" s="12" t="str">
        <f t="shared" si="474"/>
        <v>2. Sensitive</v>
      </c>
      <c r="IK741" s="12">
        <f t="shared" si="475"/>
        <v>4</v>
      </c>
      <c r="IL741" s="12"/>
      <c r="IM741" s="12"/>
      <c r="IN741" s="12"/>
      <c r="IO741" s="12"/>
      <c r="IP741" s="12"/>
      <c r="IQ741" s="12" t="str">
        <f t="shared" si="476"/>
        <v>No marker score</v>
      </c>
      <c r="IR741" s="12">
        <f t="shared" si="477"/>
        <v>0</v>
      </c>
      <c r="IS741" s="12"/>
      <c r="IT741" s="12"/>
      <c r="IU741" s="12"/>
      <c r="IV741" s="12"/>
      <c r="IW741" s="11" t="str">
        <f t="shared" si="478"/>
        <v>No marker score</v>
      </c>
      <c r="IX741" s="12">
        <f t="shared" si="479"/>
        <v>0</v>
      </c>
      <c r="IY741" s="12"/>
      <c r="IZ741" s="12"/>
      <c r="JA741" s="12">
        <v>2</v>
      </c>
      <c r="JB741" s="12" t="s">
        <v>433</v>
      </c>
      <c r="JC741" s="12"/>
      <c r="JD741" s="12"/>
      <c r="JE741" s="12"/>
      <c r="JF741" s="12"/>
      <c r="JG741" s="12"/>
      <c r="JH741" s="12"/>
      <c r="JI741" s="12"/>
      <c r="JJ741" s="12"/>
      <c r="JK741" s="12"/>
      <c r="JL741" s="12"/>
      <c r="JM741" s="12"/>
      <c r="JN741" s="12"/>
      <c r="JO741" s="12"/>
      <c r="JP741" s="15">
        <f t="shared" si="480"/>
        <v>51109</v>
      </c>
      <c r="JQ741" s="15">
        <f t="shared" si="481"/>
        <v>0</v>
      </c>
      <c r="JR741" s="279">
        <f t="shared" si="482"/>
        <v>0</v>
      </c>
      <c r="JS741" s="17">
        <f t="shared" si="483"/>
        <v>0.4899919779295232</v>
      </c>
      <c r="JT741" s="18" t="str">
        <f t="shared" si="484"/>
        <v/>
      </c>
      <c r="JU741" s="280">
        <f t="shared" si="485"/>
        <v>25043</v>
      </c>
      <c r="JV741" s="280">
        <f t="shared" si="486"/>
        <v>0</v>
      </c>
      <c r="JW741" s="319">
        <f t="shared" si="487"/>
        <v>1</v>
      </c>
      <c r="JX741" s="15">
        <f t="shared" si="488"/>
        <v>51109</v>
      </c>
      <c r="JY741" s="15">
        <f t="shared" si="489"/>
        <v>0</v>
      </c>
      <c r="JZ741" s="19">
        <f t="shared" si="490"/>
        <v>0</v>
      </c>
      <c r="KA741" s="52" t="str">
        <f t="shared" si="491"/>
        <v/>
      </c>
      <c r="KB741" s="15">
        <f t="shared" si="492"/>
        <v>0</v>
      </c>
      <c r="KC741" s="15">
        <f t="shared" si="493"/>
        <v>0</v>
      </c>
      <c r="KD741" s="20" t="str">
        <f t="shared" si="494"/>
        <v/>
      </c>
      <c r="KE741" s="52" t="str">
        <f t="shared" si="495"/>
        <v/>
      </c>
      <c r="KF741" s="15">
        <f t="shared" si="496"/>
        <v>0</v>
      </c>
      <c r="KG741" s="15">
        <f t="shared" si="497"/>
        <v>0</v>
      </c>
      <c r="KH741" s="21" t="str">
        <f t="shared" si="498"/>
        <v/>
      </c>
      <c r="KI741" s="52" t="str">
        <f t="shared" si="499"/>
        <v/>
      </c>
      <c r="KJ741" s="15">
        <f t="shared" si="500"/>
        <v>0</v>
      </c>
      <c r="KK741" s="15">
        <f t="shared" si="501"/>
        <v>0</v>
      </c>
      <c r="KL741" s="19" t="str">
        <f t="shared" si="502"/>
        <v/>
      </c>
      <c r="KM741" s="52" t="str">
        <f t="shared" si="503"/>
        <v/>
      </c>
      <c r="KN741" s="22">
        <f t="shared" si="504"/>
        <v>0</v>
      </c>
      <c r="KO741" s="22">
        <f t="shared" si="505"/>
        <v>0</v>
      </c>
      <c r="KP741" s="19" t="str">
        <f t="shared" si="506"/>
        <v/>
      </c>
      <c r="KQ741" s="11" t="str">
        <f t="shared" si="507"/>
        <v>2. Sensitive</v>
      </c>
      <c r="KR741" s="11" t="str">
        <f t="shared" si="508"/>
        <v>No marker score</v>
      </c>
      <c r="KS741" s="11" t="str">
        <f t="shared" si="509"/>
        <v>No marker score</v>
      </c>
      <c r="KT741" s="11" t="str">
        <f t="shared" si="510"/>
        <v>It did not develop any specific innovation</v>
      </c>
      <c r="KU741" s="11" t="str">
        <f t="shared" si="511"/>
        <v>Little or no advocacy</v>
      </c>
      <c r="KV741" s="11" t="str">
        <f t="shared" si="512"/>
        <v>It took tested solutions to scale on its own</v>
      </c>
      <c r="KW741" s="11" t="str">
        <f t="shared" si="513"/>
        <v>Syria - CAUTJO0025, CDEUJO0008, CDEUJO0009 Project co-financed by three donors Emergency Support and Preparednes in southern Syria</v>
      </c>
      <c r="KX741" s="11" t="str">
        <f t="shared" si="514"/>
        <v>CAUTJO0025, CDEUJO0008, CDEUJO0009 Project co-financed by three donors Emergency Support and Preparednes in southern Syria</v>
      </c>
      <c r="KY741" s="11" t="str">
        <f t="shared" si="515"/>
        <v>Syria</v>
      </c>
      <c r="KZ741" s="287">
        <v>742</v>
      </c>
    </row>
    <row r="742" spans="1:312" x14ac:dyDescent="0.3">
      <c r="A742" s="12" t="s">
        <v>11693</v>
      </c>
      <c r="B742" s="12" t="s">
        <v>602</v>
      </c>
      <c r="C742" s="12"/>
      <c r="D742" s="12" t="s">
        <v>11735</v>
      </c>
      <c r="E742" s="277" t="str">
        <f t="shared" si="473"/>
        <v>Syria</v>
      </c>
      <c r="F742" s="12" t="s">
        <v>11736</v>
      </c>
      <c r="G742" s="12" t="s">
        <v>1738</v>
      </c>
      <c r="H742" s="12" t="s">
        <v>310</v>
      </c>
      <c r="I742" s="12" t="s">
        <v>2595</v>
      </c>
      <c r="J742" s="281" t="s">
        <v>14603</v>
      </c>
      <c r="K742" s="12"/>
      <c r="L742" s="12"/>
      <c r="M742" s="12"/>
      <c r="N742" s="12"/>
      <c r="O742" s="12"/>
      <c r="P742" s="12"/>
      <c r="Q742" s="12"/>
      <c r="R742" s="12"/>
      <c r="S742" s="12"/>
      <c r="T742" s="12"/>
      <c r="U742" s="12"/>
      <c r="V742" s="12"/>
      <c r="W742" s="12"/>
      <c r="X742" s="12"/>
      <c r="Y742" s="12"/>
      <c r="Z742" s="12"/>
      <c r="AA742" s="12"/>
      <c r="AB742" s="12"/>
      <c r="AC742" s="12"/>
      <c r="AD742" s="12"/>
      <c r="BD742" s="13">
        <v>42552</v>
      </c>
      <c r="BE742" s="13">
        <v>43131</v>
      </c>
      <c r="BF742" s="12"/>
      <c r="BG742" s="12" t="s">
        <v>817</v>
      </c>
      <c r="BH742" s="14">
        <v>1861380</v>
      </c>
      <c r="BI742" s="12" t="s">
        <v>11737</v>
      </c>
      <c r="BJ742" s="12" t="s">
        <v>444</v>
      </c>
      <c r="BK742" s="12" t="s">
        <v>11738</v>
      </c>
      <c r="BL742" s="12" t="s">
        <v>11739</v>
      </c>
      <c r="BM742" s="12" t="s">
        <v>11740</v>
      </c>
      <c r="BN742" s="12" t="s">
        <v>11741</v>
      </c>
      <c r="BO742" s="12" t="s">
        <v>320</v>
      </c>
      <c r="BP742" s="12" t="s">
        <v>319</v>
      </c>
      <c r="BQ742" s="12" t="s">
        <v>319</v>
      </c>
      <c r="BR742" s="12" t="s">
        <v>11742</v>
      </c>
      <c r="BS742" s="12" t="s">
        <v>322</v>
      </c>
      <c r="BT742" s="12" t="s">
        <v>11743</v>
      </c>
      <c r="BU742" s="12" t="s">
        <v>11744</v>
      </c>
      <c r="BV742" s="14">
        <v>10000</v>
      </c>
      <c r="BW742" s="14">
        <v>10000</v>
      </c>
      <c r="BX742" s="14">
        <v>20000</v>
      </c>
      <c r="BY742" s="14"/>
      <c r="BZ742" s="14"/>
      <c r="CA742" s="14"/>
      <c r="CB742" s="12"/>
      <c r="CD742" s="14">
        <v>0</v>
      </c>
      <c r="CE742" s="14">
        <v>0</v>
      </c>
      <c r="CF742" s="14">
        <v>0</v>
      </c>
      <c r="CG742" s="14"/>
      <c r="CH742" s="14"/>
      <c r="CI742" s="14"/>
      <c r="CJ742" s="12"/>
      <c r="CK742" s="14"/>
      <c r="CL742" s="16"/>
      <c r="CM742" s="14"/>
      <c r="CN742" s="12"/>
      <c r="CO742" s="14"/>
      <c r="CP742" s="16"/>
      <c r="CQ742" s="14"/>
      <c r="CR742" s="12"/>
      <c r="CS742" s="14"/>
      <c r="CT742" s="16"/>
      <c r="CU742" s="14"/>
      <c r="CV742" s="12"/>
      <c r="CW742" s="14"/>
      <c r="CX742" s="16"/>
      <c r="CY742" s="14"/>
      <c r="CZ742" s="12"/>
      <c r="DA742" s="14"/>
      <c r="DB742" s="16"/>
      <c r="DC742" s="14"/>
      <c r="DD742" s="12"/>
      <c r="DE742" s="14"/>
      <c r="DF742" s="16"/>
      <c r="DG742" s="14"/>
      <c r="DH742" s="12"/>
      <c r="DI742" s="14"/>
      <c r="DJ742" s="16"/>
      <c r="DK742" s="14"/>
      <c r="DL742" s="12"/>
      <c r="DM742" s="14"/>
      <c r="DN742" s="16"/>
      <c r="DO742" s="14"/>
      <c r="DP742" s="12"/>
      <c r="DQ742" s="14"/>
      <c r="DR742" s="16"/>
      <c r="DS742" s="14"/>
      <c r="DT742" s="12"/>
      <c r="DU742" s="14"/>
      <c r="DV742" s="16"/>
      <c r="DW742" s="14"/>
      <c r="DX742" s="12" t="s">
        <v>320</v>
      </c>
      <c r="DY742" s="14"/>
      <c r="DZ742" s="16"/>
      <c r="EA742" s="14"/>
      <c r="EB742" s="12" t="s">
        <v>320</v>
      </c>
      <c r="EC742" s="14"/>
      <c r="ED742" s="16"/>
      <c r="EE742" s="14"/>
      <c r="EF742" s="12" t="s">
        <v>11745</v>
      </c>
      <c r="EG742" s="12" t="s">
        <v>320</v>
      </c>
      <c r="EH742" s="14"/>
      <c r="EI742" s="16"/>
      <c r="EJ742" s="14"/>
      <c r="EK742" s="14"/>
      <c r="EL742" s="14"/>
      <c r="EM742" s="14"/>
      <c r="EN742" s="14"/>
      <c r="EO742" s="14"/>
      <c r="EP742" s="14"/>
      <c r="EQ742" s="12"/>
      <c r="ER742" s="14"/>
      <c r="ES742" s="16"/>
      <c r="ET742" s="14"/>
      <c r="EU742" s="12"/>
      <c r="EV742" s="14"/>
      <c r="EW742" s="16"/>
      <c r="EX742" s="14"/>
      <c r="EY742" s="12"/>
      <c r="EZ742" s="14"/>
      <c r="FA742" s="16"/>
      <c r="FB742" s="14"/>
      <c r="FC742" s="12"/>
      <c r="FD742" s="14"/>
      <c r="FE742" s="16"/>
      <c r="FF742" s="14"/>
      <c r="FG742" s="12"/>
      <c r="FH742" s="14"/>
      <c r="FI742" s="16"/>
      <c r="FJ742" s="14"/>
      <c r="FK742" s="12"/>
      <c r="FL742" s="14"/>
      <c r="FM742" s="16"/>
      <c r="FN742" s="14"/>
      <c r="FO742" s="12"/>
      <c r="FP742" s="14"/>
      <c r="FQ742" s="16"/>
      <c r="FR742" s="14"/>
      <c r="FS742" s="12"/>
      <c r="FT742" s="14"/>
      <c r="FU742" s="16"/>
      <c r="FV742" s="14"/>
      <c r="FW742" s="12"/>
      <c r="FX742" s="14"/>
      <c r="FY742" s="16"/>
      <c r="FZ742" s="14"/>
      <c r="GA742" s="12"/>
      <c r="GB742" s="14"/>
      <c r="GC742" s="16"/>
      <c r="GD742" s="14"/>
      <c r="GE742" s="12"/>
      <c r="GF742" s="14"/>
      <c r="GG742" s="16"/>
      <c r="GH742" s="14"/>
      <c r="GI742" s="12"/>
      <c r="GJ742" s="14"/>
      <c r="GK742" s="16"/>
      <c r="GL742" s="14"/>
      <c r="GM742" s="12"/>
      <c r="GN742" s="14"/>
      <c r="GO742" s="16"/>
      <c r="GP742" s="14"/>
      <c r="GQ742" s="12"/>
      <c r="GR742" s="14"/>
      <c r="GS742" s="16"/>
      <c r="GT742" s="14"/>
      <c r="GU742" s="12"/>
      <c r="GV742" s="14"/>
      <c r="GW742" s="16"/>
      <c r="GX742" s="14"/>
      <c r="GY742" s="12"/>
      <c r="GZ742" s="14"/>
      <c r="HA742" s="16"/>
      <c r="HB742" s="14"/>
      <c r="HC742" s="12"/>
      <c r="HD742" s="12"/>
      <c r="HE742" s="14"/>
      <c r="HF742" s="16"/>
      <c r="HG742" s="14"/>
      <c r="HH742" s="12" t="s">
        <v>319</v>
      </c>
      <c r="HI742" s="12"/>
      <c r="HJ742" s="12"/>
      <c r="HK742" s="12"/>
      <c r="HL742" s="12" t="s">
        <v>320</v>
      </c>
      <c r="HM742" s="12" t="s">
        <v>544</v>
      </c>
      <c r="HN742" s="12">
        <v>2018</v>
      </c>
      <c r="HO742" s="12" t="s">
        <v>11746</v>
      </c>
      <c r="HP742" s="12" t="s">
        <v>418</v>
      </c>
      <c r="HQ742" s="12"/>
      <c r="HR742" s="12"/>
      <c r="HS742" s="12"/>
      <c r="HT742" s="12"/>
      <c r="HU742" s="12"/>
      <c r="HV742" s="12"/>
      <c r="HW742" s="12"/>
      <c r="HX742" s="12"/>
      <c r="HY742" s="12"/>
      <c r="HZ742" s="12" t="s">
        <v>363</v>
      </c>
      <c r="IA742" s="12"/>
      <c r="IB742" s="12" t="s">
        <v>396</v>
      </c>
      <c r="IC742" s="12" t="s">
        <v>11747</v>
      </c>
      <c r="ID742" s="12" t="s">
        <v>364</v>
      </c>
      <c r="IE742" s="12" t="s">
        <v>335</v>
      </c>
      <c r="IF742" s="12" t="s">
        <v>320</v>
      </c>
      <c r="IG742" s="12" t="s">
        <v>319</v>
      </c>
      <c r="IH742" s="12" t="s">
        <v>320</v>
      </c>
      <c r="II742" s="12" t="s">
        <v>320</v>
      </c>
      <c r="IJ742" s="12" t="str">
        <f t="shared" si="474"/>
        <v>1. Neutral</v>
      </c>
      <c r="IK742" s="12">
        <f t="shared" si="475"/>
        <v>3</v>
      </c>
      <c r="IL742" s="12"/>
      <c r="IM742" s="12"/>
      <c r="IN742" s="12"/>
      <c r="IO742" s="12"/>
      <c r="IP742" s="12"/>
      <c r="IQ742" s="12" t="str">
        <f t="shared" si="476"/>
        <v>No marker score</v>
      </c>
      <c r="IR742" s="12">
        <f t="shared" si="477"/>
        <v>0</v>
      </c>
      <c r="IS742" s="12"/>
      <c r="IT742" s="12"/>
      <c r="IU742" s="12"/>
      <c r="IV742" s="12"/>
      <c r="IW742" s="11" t="str">
        <f t="shared" si="478"/>
        <v>No marker score</v>
      </c>
      <c r="IX742" s="12">
        <f t="shared" si="479"/>
        <v>0</v>
      </c>
      <c r="IY742" s="12" t="s">
        <v>338</v>
      </c>
      <c r="IZ742" s="12" t="s">
        <v>457</v>
      </c>
      <c r="JA742" s="12">
        <v>1</v>
      </c>
      <c r="JB742" s="12" t="s">
        <v>433</v>
      </c>
      <c r="JC742" s="12" t="s">
        <v>624</v>
      </c>
      <c r="JD742" s="12"/>
      <c r="JE742" s="12" t="s">
        <v>340</v>
      </c>
      <c r="JF742" s="12" t="s">
        <v>11748</v>
      </c>
      <c r="JG742" s="12"/>
      <c r="JH742" s="12" t="s">
        <v>11749</v>
      </c>
      <c r="JI742" s="12"/>
      <c r="JJ742" s="12"/>
      <c r="JK742" s="12"/>
      <c r="JL742" s="12"/>
      <c r="JM742" s="12"/>
      <c r="JN742" s="12"/>
      <c r="JO742" s="12"/>
      <c r="JP742" s="15">
        <f t="shared" si="480"/>
        <v>0</v>
      </c>
      <c r="JQ742" s="15">
        <f t="shared" si="481"/>
        <v>0</v>
      </c>
      <c r="JR742" s="279" t="str">
        <f t="shared" si="482"/>
        <v/>
      </c>
      <c r="JS742" s="17" t="str">
        <f t="shared" si="483"/>
        <v/>
      </c>
      <c r="JT742" s="18" t="str">
        <f t="shared" si="484"/>
        <v/>
      </c>
      <c r="JU742" s="280">
        <f t="shared" si="485"/>
        <v>0</v>
      </c>
      <c r="JV742" s="280">
        <f t="shared" si="486"/>
        <v>0</v>
      </c>
      <c r="JW742" s="319">
        <f t="shared" si="487"/>
        <v>1</v>
      </c>
      <c r="JX742" s="15">
        <f t="shared" si="488"/>
        <v>0</v>
      </c>
      <c r="JY742" s="15">
        <f t="shared" si="489"/>
        <v>0</v>
      </c>
      <c r="JZ742" s="19" t="str">
        <f t="shared" si="490"/>
        <v/>
      </c>
      <c r="KA742" s="52" t="str">
        <f t="shared" si="491"/>
        <v/>
      </c>
      <c r="KB742" s="15">
        <f t="shared" si="492"/>
        <v>0</v>
      </c>
      <c r="KC742" s="15">
        <f t="shared" si="493"/>
        <v>0</v>
      </c>
      <c r="KD742" s="20" t="str">
        <f t="shared" si="494"/>
        <v/>
      </c>
      <c r="KE742" s="52" t="str">
        <f t="shared" si="495"/>
        <v/>
      </c>
      <c r="KF742" s="15">
        <f t="shared" si="496"/>
        <v>0</v>
      </c>
      <c r="KG742" s="15">
        <f t="shared" si="497"/>
        <v>0</v>
      </c>
      <c r="KH742" s="21" t="str">
        <f t="shared" si="498"/>
        <v/>
      </c>
      <c r="KI742" s="52" t="str">
        <f t="shared" si="499"/>
        <v/>
      </c>
      <c r="KJ742" s="15">
        <f t="shared" si="500"/>
        <v>0</v>
      </c>
      <c r="KK742" s="15">
        <f t="shared" si="501"/>
        <v>0</v>
      </c>
      <c r="KL742" s="19" t="str">
        <f t="shared" si="502"/>
        <v/>
      </c>
      <c r="KM742" s="52" t="str">
        <f t="shared" si="503"/>
        <v/>
      </c>
      <c r="KN742" s="22">
        <f t="shared" si="504"/>
        <v>0</v>
      </c>
      <c r="KO742" s="22">
        <f t="shared" si="505"/>
        <v>0</v>
      </c>
      <c r="KP742" s="19" t="str">
        <f t="shared" si="506"/>
        <v/>
      </c>
      <c r="KQ742" s="11" t="str">
        <f t="shared" si="507"/>
        <v>1. Neutral</v>
      </c>
      <c r="KR742" s="11" t="str">
        <f t="shared" si="508"/>
        <v>No marker score</v>
      </c>
      <c r="KS742" s="11" t="str">
        <f t="shared" si="509"/>
        <v>No marker score</v>
      </c>
      <c r="KT742" s="11" t="str">
        <f t="shared" si="510"/>
        <v>It did not develop any specific innovation</v>
      </c>
      <c r="KU742" s="11" t="str">
        <f t="shared" si="511"/>
        <v>Little or no advocacy</v>
      </c>
      <c r="KV742" s="11" t="str">
        <f t="shared" si="512"/>
        <v>It linked and worked with strategic alliances and partners to take tested and effective solutions to scale</v>
      </c>
      <c r="KW742" s="11" t="str">
        <f t="shared" si="513"/>
        <v>Syria - Cross-border emergency aid in southern Syria</v>
      </c>
      <c r="KX742" s="11" t="str">
        <f t="shared" si="514"/>
        <v>Cross-border emergency aid in southern Syria</v>
      </c>
      <c r="KY742" s="11" t="str">
        <f t="shared" si="515"/>
        <v>Syria</v>
      </c>
      <c r="KZ742" s="12">
        <v>743</v>
      </c>
    </row>
    <row r="743" spans="1:312" x14ac:dyDescent="0.3">
      <c r="A743" s="11" t="s">
        <v>11693</v>
      </c>
      <c r="B743" s="11" t="s">
        <v>602</v>
      </c>
      <c r="D743" s="11" t="s">
        <v>11893</v>
      </c>
      <c r="E743" s="24" t="str">
        <f t="shared" si="473"/>
        <v>Syria</v>
      </c>
      <c r="F743" s="11" t="s">
        <v>11894</v>
      </c>
      <c r="G743" s="11" t="s">
        <v>488</v>
      </c>
      <c r="H743" s="11" t="s">
        <v>310</v>
      </c>
      <c r="I743" s="11" t="s">
        <v>506</v>
      </c>
      <c r="J743" s="278" t="s">
        <v>9230</v>
      </c>
      <c r="BD743" s="23">
        <v>42736</v>
      </c>
      <c r="BE743" s="23">
        <v>42825</v>
      </c>
      <c r="BG743" s="11" t="s">
        <v>407</v>
      </c>
      <c r="BH743" s="22">
        <v>15859234.6</v>
      </c>
      <c r="BI743" s="11" t="s">
        <v>11895</v>
      </c>
      <c r="BJ743" s="11" t="s">
        <v>1309</v>
      </c>
      <c r="BK743" s="11" t="s">
        <v>11896</v>
      </c>
      <c r="BL743" s="11" t="s">
        <v>11897</v>
      </c>
      <c r="BM743" s="11" t="s">
        <v>11898</v>
      </c>
      <c r="BN743" s="11" t="s">
        <v>11899</v>
      </c>
      <c r="BO743" s="11" t="s">
        <v>320</v>
      </c>
      <c r="BP743" s="11" t="s">
        <v>320</v>
      </c>
      <c r="BQ743" s="12" t="s">
        <v>320</v>
      </c>
      <c r="BR743" s="11" t="s">
        <v>11900</v>
      </c>
      <c r="BS743" s="11" t="s">
        <v>357</v>
      </c>
      <c r="BT743" s="11" t="s">
        <v>11901</v>
      </c>
      <c r="BU743" s="11" t="s">
        <v>11902</v>
      </c>
      <c r="BV743" s="22">
        <v>3324</v>
      </c>
      <c r="BW743" s="22">
        <v>3469</v>
      </c>
      <c r="BX743" s="22">
        <v>6793</v>
      </c>
      <c r="CD743" s="22">
        <v>3324</v>
      </c>
      <c r="CE743" s="22">
        <v>3469</v>
      </c>
      <c r="CF743" s="22">
        <v>6793</v>
      </c>
      <c r="CJ743" s="39"/>
      <c r="CK743" s="40"/>
      <c r="CL743" s="41"/>
      <c r="CM743" s="40"/>
      <c r="CN743" s="39"/>
      <c r="CO743" s="40"/>
      <c r="CP743" s="41"/>
      <c r="CQ743" s="40"/>
      <c r="CR743" s="39"/>
      <c r="CS743" s="40"/>
      <c r="CT743" s="41"/>
      <c r="CU743" s="40"/>
      <c r="CV743" s="12" t="s">
        <v>320</v>
      </c>
      <c r="CW743" s="40">
        <v>5287</v>
      </c>
      <c r="CX743" s="41">
        <v>0.47</v>
      </c>
      <c r="CY743" s="40"/>
      <c r="CZ743" s="39"/>
      <c r="DA743" s="40"/>
      <c r="DB743" s="41"/>
      <c r="DC743" s="40"/>
      <c r="DD743" s="39"/>
      <c r="DE743" s="40"/>
      <c r="DF743" s="41"/>
      <c r="DG743" s="40"/>
      <c r="DH743" s="39"/>
      <c r="DI743" s="40"/>
      <c r="DJ743" s="41"/>
      <c r="DK743" s="40"/>
      <c r="DL743" s="11" t="s">
        <v>320</v>
      </c>
      <c r="DM743" s="40">
        <v>211</v>
      </c>
      <c r="DN743" s="41">
        <v>0.34</v>
      </c>
      <c r="DO743" s="40"/>
      <c r="DP743" s="12" t="s">
        <v>320</v>
      </c>
      <c r="DQ743" s="40">
        <v>1295</v>
      </c>
      <c r="DR743" s="41">
        <v>0.59</v>
      </c>
      <c r="DS743" s="40"/>
      <c r="DT743" s="39"/>
      <c r="DU743" s="40"/>
      <c r="DV743" s="41"/>
      <c r="DW743" s="40"/>
      <c r="DX743" s="39"/>
      <c r="DY743" s="40"/>
      <c r="DZ743" s="41"/>
      <c r="EA743" s="40"/>
      <c r="EB743" s="39"/>
      <c r="EC743" s="40"/>
      <c r="ED743" s="41"/>
      <c r="EE743" s="40"/>
      <c r="EF743" s="39"/>
      <c r="EG743" s="39"/>
      <c r="EH743" s="40"/>
      <c r="EI743" s="41"/>
      <c r="EJ743" s="40"/>
      <c r="EK743" s="40"/>
      <c r="EL743" s="40"/>
      <c r="EM743" s="40"/>
      <c r="EN743" s="40"/>
      <c r="EO743" s="40"/>
      <c r="EP743" s="40"/>
      <c r="EQ743" s="39"/>
      <c r="ER743" s="40"/>
      <c r="ES743" s="41"/>
      <c r="ET743" s="40"/>
      <c r="EU743" s="39"/>
      <c r="EV743" s="40"/>
      <c r="EW743" s="41"/>
      <c r="EX743" s="40"/>
      <c r="EY743" s="39"/>
      <c r="EZ743" s="40"/>
      <c r="FA743" s="41"/>
      <c r="FB743" s="40"/>
      <c r="FC743" s="39"/>
      <c r="FD743" s="40"/>
      <c r="FE743" s="41"/>
      <c r="FF743" s="40"/>
      <c r="FG743" s="39"/>
      <c r="FH743" s="40"/>
      <c r="FI743" s="41"/>
      <c r="FJ743" s="40"/>
      <c r="FK743" s="39"/>
      <c r="FL743" s="40"/>
      <c r="FM743" s="41"/>
      <c r="FN743" s="40"/>
      <c r="FO743" s="39"/>
      <c r="FP743" s="40"/>
      <c r="FQ743" s="41"/>
      <c r="FR743" s="40"/>
      <c r="FS743" s="39"/>
      <c r="FT743" s="40"/>
      <c r="FU743" s="41"/>
      <c r="FV743" s="40"/>
      <c r="FW743" s="39"/>
      <c r="FX743" s="40"/>
      <c r="FY743" s="41"/>
      <c r="FZ743" s="40"/>
      <c r="GA743" s="39"/>
      <c r="GB743" s="40"/>
      <c r="GC743" s="41"/>
      <c r="GD743" s="40"/>
      <c r="GE743" s="39"/>
      <c r="GF743" s="40"/>
      <c r="GG743" s="41"/>
      <c r="GH743" s="40"/>
      <c r="GI743" s="39"/>
      <c r="GJ743" s="40"/>
      <c r="GK743" s="41"/>
      <c r="GL743" s="40"/>
      <c r="GM743" s="39"/>
      <c r="GN743" s="40"/>
      <c r="GO743" s="41"/>
      <c r="GP743" s="40"/>
      <c r="GQ743" s="39"/>
      <c r="GR743" s="40"/>
      <c r="GS743" s="41"/>
      <c r="GT743" s="40"/>
      <c r="GU743" s="39"/>
      <c r="GV743" s="40"/>
      <c r="GW743" s="41"/>
      <c r="GX743" s="40"/>
      <c r="GY743" s="39"/>
      <c r="GZ743" s="40"/>
      <c r="HA743" s="41"/>
      <c r="HB743" s="40"/>
      <c r="HF743" s="18"/>
      <c r="HH743" s="11" t="s">
        <v>320</v>
      </c>
      <c r="HI743" s="11" t="s">
        <v>544</v>
      </c>
      <c r="HJ743" s="11">
        <v>2017</v>
      </c>
      <c r="HK743" s="11" t="s">
        <v>320</v>
      </c>
      <c r="HL743" s="11" t="s">
        <v>319</v>
      </c>
      <c r="HO743" s="11" t="s">
        <v>11903</v>
      </c>
      <c r="HP743" s="11" t="s">
        <v>330</v>
      </c>
      <c r="HQ743" s="11" t="s">
        <v>319</v>
      </c>
      <c r="HR743" s="11" t="s">
        <v>319</v>
      </c>
      <c r="HS743" s="11" t="s">
        <v>320</v>
      </c>
      <c r="HT743" s="11" t="s">
        <v>319</v>
      </c>
      <c r="HU743" s="11" t="s">
        <v>320</v>
      </c>
      <c r="HV743" s="11" t="s">
        <v>320</v>
      </c>
      <c r="HW743" s="11" t="s">
        <v>320</v>
      </c>
      <c r="HX743" s="11" t="s">
        <v>319</v>
      </c>
      <c r="HZ743" s="11" t="s">
        <v>394</v>
      </c>
      <c r="IA743" s="11" t="s">
        <v>11904</v>
      </c>
      <c r="IB743" s="11" t="s">
        <v>396</v>
      </c>
      <c r="IJ743" s="12" t="str">
        <f t="shared" si="474"/>
        <v>No marker score</v>
      </c>
      <c r="IK743" s="12">
        <f t="shared" si="475"/>
        <v>0</v>
      </c>
      <c r="IQ743" s="12" t="str">
        <f t="shared" si="476"/>
        <v>No marker score</v>
      </c>
      <c r="IR743" s="12">
        <f t="shared" si="477"/>
        <v>0</v>
      </c>
      <c r="IW743" s="11" t="str">
        <f t="shared" si="478"/>
        <v>No marker score</v>
      </c>
      <c r="IX743" s="12">
        <f t="shared" si="479"/>
        <v>0</v>
      </c>
      <c r="IY743" s="11" t="s">
        <v>419</v>
      </c>
      <c r="IZ743" s="11" t="s">
        <v>457</v>
      </c>
      <c r="JA743" s="11">
        <v>2</v>
      </c>
      <c r="JB743" s="11" t="s">
        <v>433</v>
      </c>
      <c r="JE743" s="11" t="s">
        <v>340</v>
      </c>
      <c r="JF743" s="11" t="s">
        <v>11905</v>
      </c>
      <c r="JG743" s="11" t="s">
        <v>11906</v>
      </c>
      <c r="JH743" s="11" t="s">
        <v>11907</v>
      </c>
      <c r="JI743" s="11" t="s">
        <v>11908</v>
      </c>
      <c r="JK743" s="11" t="s">
        <v>11909</v>
      </c>
      <c r="JL743" s="11" t="s">
        <v>11910</v>
      </c>
      <c r="JM743" s="11" t="s">
        <v>11911</v>
      </c>
      <c r="JP743" s="15">
        <f t="shared" si="480"/>
        <v>6793</v>
      </c>
      <c r="JQ743" s="15">
        <f t="shared" si="481"/>
        <v>0</v>
      </c>
      <c r="JR743" s="279">
        <f t="shared" si="482"/>
        <v>0</v>
      </c>
      <c r="JS743" s="17">
        <f t="shared" si="483"/>
        <v>0.48932724863830412</v>
      </c>
      <c r="JT743" s="18" t="str">
        <f t="shared" si="484"/>
        <v/>
      </c>
      <c r="JU743" s="280">
        <f t="shared" si="485"/>
        <v>3324</v>
      </c>
      <c r="JV743" s="280">
        <f t="shared" si="486"/>
        <v>0</v>
      </c>
      <c r="JW743" s="319">
        <f t="shared" si="487"/>
        <v>1</v>
      </c>
      <c r="JX743" s="15">
        <f t="shared" si="488"/>
        <v>6793</v>
      </c>
      <c r="JY743" s="15">
        <f t="shared" si="489"/>
        <v>0</v>
      </c>
      <c r="JZ743" s="19">
        <f t="shared" si="490"/>
        <v>0</v>
      </c>
      <c r="KA743" s="52">
        <f t="shared" si="491"/>
        <v>1</v>
      </c>
      <c r="KB743" s="15">
        <f t="shared" si="492"/>
        <v>5287</v>
      </c>
      <c r="KC743" s="15">
        <f t="shared" si="493"/>
        <v>0</v>
      </c>
      <c r="KD743" s="20">
        <f t="shared" si="494"/>
        <v>0</v>
      </c>
      <c r="KE743" s="52" t="str">
        <f t="shared" si="495"/>
        <v/>
      </c>
      <c r="KF743" s="15">
        <f t="shared" si="496"/>
        <v>0</v>
      </c>
      <c r="KG743" s="15">
        <f t="shared" si="497"/>
        <v>0</v>
      </c>
      <c r="KH743" s="21" t="str">
        <f t="shared" si="498"/>
        <v/>
      </c>
      <c r="KI743" s="52" t="str">
        <f t="shared" si="499"/>
        <v/>
      </c>
      <c r="KJ743" s="15">
        <f t="shared" si="500"/>
        <v>0</v>
      </c>
      <c r="KK743" s="15">
        <f t="shared" si="501"/>
        <v>0</v>
      </c>
      <c r="KL743" s="19" t="str">
        <f t="shared" si="502"/>
        <v/>
      </c>
      <c r="KM743" s="52" t="str">
        <f t="shared" si="503"/>
        <v/>
      </c>
      <c r="KN743" s="22">
        <f t="shared" si="504"/>
        <v>0</v>
      </c>
      <c r="KO743" s="22">
        <f t="shared" si="505"/>
        <v>0</v>
      </c>
      <c r="KP743" s="19" t="str">
        <f t="shared" si="506"/>
        <v/>
      </c>
      <c r="KQ743" s="11" t="str">
        <f t="shared" si="507"/>
        <v>No marker score</v>
      </c>
      <c r="KR743" s="11" t="str">
        <f t="shared" si="508"/>
        <v>No marker score</v>
      </c>
      <c r="KS743" s="11" t="str">
        <f t="shared" si="509"/>
        <v>No marker score</v>
      </c>
      <c r="KT743" s="11" t="str">
        <f t="shared" si="510"/>
        <v>It tested new ways for fighting poverty, but did not measure results of innovation</v>
      </c>
      <c r="KU743" s="11" t="str">
        <f t="shared" si="511"/>
        <v>Moderate advocacy</v>
      </c>
      <c r="KV743" s="11" t="str">
        <f t="shared" si="512"/>
        <v>It linked and worked with strategic alliances and partners to take tested and effective solutions to scale</v>
      </c>
      <c r="KW743" s="11" t="str">
        <f t="shared" si="513"/>
        <v>Syria - Developing resilience of households and communities affected by Conflict in Northern, Central and Southern Syria</v>
      </c>
      <c r="KX743" s="11" t="str">
        <f t="shared" si="514"/>
        <v>Developing resilience of households and communities affected by Conflict in Northern, Central and Southern Syria</v>
      </c>
      <c r="KY743" s="11" t="str">
        <f t="shared" si="515"/>
        <v>Syria</v>
      </c>
      <c r="KZ743" s="12">
        <v>744</v>
      </c>
    </row>
    <row r="744" spans="1:312" x14ac:dyDescent="0.3">
      <c r="A744" s="282" t="s">
        <v>11693</v>
      </c>
      <c r="B744" s="282" t="s">
        <v>602</v>
      </c>
      <c r="C744" s="282"/>
      <c r="D744" s="282" t="s">
        <v>11694</v>
      </c>
      <c r="E744" s="277" t="str">
        <f t="shared" si="473"/>
        <v>Syria</v>
      </c>
      <c r="F744" s="282" t="s">
        <v>11695</v>
      </c>
      <c r="G744" s="282" t="s">
        <v>488</v>
      </c>
      <c r="H744" s="282" t="s">
        <v>310</v>
      </c>
      <c r="I744" s="282" t="s">
        <v>506</v>
      </c>
      <c r="J744" s="281" t="s">
        <v>9230</v>
      </c>
      <c r="K744" s="282"/>
      <c r="L744" s="282"/>
      <c r="M744" s="282"/>
      <c r="N744" s="282"/>
      <c r="O744" s="282"/>
      <c r="P744" s="282"/>
      <c r="Q744" s="282"/>
      <c r="R744" s="282"/>
      <c r="S744" s="282"/>
      <c r="T744" s="282"/>
      <c r="U744" s="282"/>
      <c r="V744" s="282"/>
      <c r="W744" s="282"/>
      <c r="X744" s="282"/>
      <c r="Y744" s="282"/>
      <c r="Z744" s="282"/>
      <c r="AA744" s="282"/>
      <c r="AB744" s="282"/>
      <c r="AC744" s="282"/>
      <c r="AD744" s="282"/>
      <c r="AE744" s="282"/>
      <c r="AF744" s="282"/>
      <c r="AG744" s="282"/>
      <c r="AH744" s="282"/>
      <c r="AI744" s="282"/>
      <c r="AJ744" s="282"/>
      <c r="AK744" s="282"/>
      <c r="AL744" s="282"/>
      <c r="AM744" s="282"/>
      <c r="AN744" s="282"/>
      <c r="AO744" s="282"/>
      <c r="AP744" s="282"/>
      <c r="AQ744" s="282"/>
      <c r="AR744" s="282"/>
      <c r="AS744" s="282"/>
      <c r="AT744" s="282"/>
      <c r="AU744" s="282"/>
      <c r="AV744" s="282"/>
      <c r="AW744" s="282"/>
      <c r="AX744" s="282"/>
      <c r="AY744" s="282"/>
      <c r="AZ744" s="282"/>
      <c r="BA744" s="282"/>
      <c r="BB744" s="282"/>
      <c r="BC744" s="282"/>
      <c r="BD744" s="283">
        <v>42736</v>
      </c>
      <c r="BE744" s="283">
        <v>43921</v>
      </c>
      <c r="BF744" s="283"/>
      <c r="BG744" s="283" t="s">
        <v>817</v>
      </c>
      <c r="BH744" s="284">
        <v>10949500</v>
      </c>
      <c r="BI744" s="282"/>
      <c r="BJ744" s="282"/>
      <c r="BK744" s="282"/>
      <c r="BL744" s="282"/>
      <c r="BM744" s="282"/>
      <c r="BN744" s="282"/>
      <c r="BO744" s="282" t="s">
        <v>320</v>
      </c>
      <c r="BP744" s="282" t="s">
        <v>320</v>
      </c>
      <c r="BQ744" s="282" t="s">
        <v>320</v>
      </c>
      <c r="BR744" s="282" t="s">
        <v>11696</v>
      </c>
      <c r="BS744" s="282" t="s">
        <v>357</v>
      </c>
      <c r="BT744" s="282" t="s">
        <v>11697</v>
      </c>
      <c r="BU744" s="282" t="s">
        <v>11698</v>
      </c>
      <c r="BV744" s="284"/>
      <c r="BW744" s="284"/>
      <c r="BX744" s="284">
        <v>78967</v>
      </c>
      <c r="BY744" s="284"/>
      <c r="BZ744" s="284"/>
      <c r="CA744" s="284"/>
      <c r="CB744" s="285" t="s">
        <v>11699</v>
      </c>
      <c r="CC744" s="285"/>
      <c r="CD744" s="284"/>
      <c r="CE744" s="284"/>
      <c r="CF744" s="284"/>
      <c r="CG744" s="284"/>
      <c r="CH744" s="284"/>
      <c r="CI744" s="284"/>
      <c r="CJ744" s="282"/>
      <c r="CK744" s="284"/>
      <c r="CL744" s="286"/>
      <c r="CM744" s="284"/>
      <c r="CN744" s="287"/>
      <c r="CO744" s="284"/>
      <c r="CP744" s="286"/>
      <c r="CQ744" s="284"/>
      <c r="CR744" s="282"/>
      <c r="CS744" s="284"/>
      <c r="CT744" s="286"/>
      <c r="CU744" s="284"/>
      <c r="CV744" s="289" t="s">
        <v>320</v>
      </c>
      <c r="CW744" s="300"/>
      <c r="CX744" s="308"/>
      <c r="CY744" s="300"/>
      <c r="CZ744" s="282"/>
      <c r="DA744" s="284"/>
      <c r="DB744" s="286"/>
      <c r="DC744" s="284"/>
      <c r="DD744" s="287"/>
      <c r="DE744" s="284"/>
      <c r="DF744" s="286"/>
      <c r="DG744" s="284"/>
      <c r="DH744" s="282"/>
      <c r="DI744" s="284"/>
      <c r="DJ744" s="286"/>
      <c r="DK744" s="284"/>
      <c r="DL744" s="282"/>
      <c r="DM744" s="284"/>
      <c r="DN744" s="286"/>
      <c r="DO744" s="284"/>
      <c r="DP744" s="282"/>
      <c r="DQ744" s="284"/>
      <c r="DR744" s="286"/>
      <c r="DS744" s="284"/>
      <c r="DT744" s="282"/>
      <c r="DU744" s="284"/>
      <c r="DV744" s="286"/>
      <c r="DW744" s="284"/>
      <c r="DX744" s="282"/>
      <c r="DY744" s="284"/>
      <c r="DZ744" s="286"/>
      <c r="EA744" s="284"/>
      <c r="EB744" s="282"/>
      <c r="EC744" s="284"/>
      <c r="ED744" s="286"/>
      <c r="EE744" s="284"/>
      <c r="EF744" s="285"/>
      <c r="EG744" s="287"/>
      <c r="EH744" s="284"/>
      <c r="EI744" s="286"/>
      <c r="EJ744" s="284"/>
      <c r="EK744" s="284">
        <v>6</v>
      </c>
      <c r="EL744" s="284">
        <v>4</v>
      </c>
      <c r="EM744" s="284">
        <v>10</v>
      </c>
      <c r="EN744" s="284"/>
      <c r="EO744" s="284"/>
      <c r="EP744" s="284"/>
      <c r="EQ744" s="282"/>
      <c r="ER744" s="284"/>
      <c r="ES744" s="286"/>
      <c r="ET744" s="284"/>
      <c r="EU744" s="305"/>
      <c r="EV744" s="300"/>
      <c r="EW744" s="308"/>
      <c r="EX744" s="300"/>
      <c r="EY744" s="282"/>
      <c r="EZ744" s="284"/>
      <c r="FA744" s="286"/>
      <c r="FB744" s="284"/>
      <c r="FC744" s="282"/>
      <c r="FD744" s="284"/>
      <c r="FE744" s="286"/>
      <c r="FF744" s="284"/>
      <c r="FG744" s="282"/>
      <c r="FH744" s="284"/>
      <c r="FI744" s="286"/>
      <c r="FJ744" s="284"/>
      <c r="FK744" s="282"/>
      <c r="FL744" s="284"/>
      <c r="FM744" s="286"/>
      <c r="FN744" s="284"/>
      <c r="FO744" s="305" t="s">
        <v>320</v>
      </c>
      <c r="FP744" s="300"/>
      <c r="FQ744" s="308"/>
      <c r="FR744" s="300"/>
      <c r="FS744" s="282"/>
      <c r="FT744" s="284"/>
      <c r="FU744" s="286"/>
      <c r="FV744" s="284"/>
      <c r="FW744" s="282"/>
      <c r="FX744" s="284"/>
      <c r="FY744" s="286"/>
      <c r="FZ744" s="284"/>
      <c r="GA744" s="282"/>
      <c r="GB744" s="284"/>
      <c r="GC744" s="286"/>
      <c r="GD744" s="284"/>
      <c r="GE744" s="282"/>
      <c r="GF744" s="284"/>
      <c r="GG744" s="286"/>
      <c r="GH744" s="284"/>
      <c r="GI744" s="282"/>
      <c r="GJ744" s="284"/>
      <c r="GK744" s="286"/>
      <c r="GL744" s="284"/>
      <c r="GM744" s="282"/>
      <c r="GN744" s="284"/>
      <c r="GO744" s="286"/>
      <c r="GP744" s="284"/>
      <c r="GQ744" s="282"/>
      <c r="GR744" s="284"/>
      <c r="GS744" s="286"/>
      <c r="GT744" s="284"/>
      <c r="GU744" s="282"/>
      <c r="GV744" s="284"/>
      <c r="GW744" s="286"/>
      <c r="GX744" s="284"/>
      <c r="GY744" s="282"/>
      <c r="GZ744" s="284"/>
      <c r="HA744" s="286"/>
      <c r="HB744" s="284"/>
      <c r="HC744" s="282"/>
      <c r="HD744" s="282"/>
      <c r="HE744" s="284"/>
      <c r="HF744" s="286"/>
      <c r="HG744" s="284"/>
      <c r="HH744" s="282" t="s">
        <v>319</v>
      </c>
      <c r="HI744" s="282"/>
      <c r="HJ744" s="282"/>
      <c r="HK744" s="282" t="s">
        <v>319</v>
      </c>
      <c r="HL744" s="282" t="s">
        <v>320</v>
      </c>
      <c r="HM744" s="282"/>
      <c r="HN744" s="282"/>
      <c r="HO744" s="282"/>
      <c r="HP744" s="282"/>
      <c r="HQ744" s="282"/>
      <c r="HR744" s="282"/>
      <c r="HS744" s="282"/>
      <c r="HT744" s="282"/>
      <c r="HU744" s="282"/>
      <c r="HV744" s="282"/>
      <c r="HW744" s="282"/>
      <c r="HX744" s="282"/>
      <c r="HY744" s="282"/>
      <c r="HZ744" s="282" t="s">
        <v>394</v>
      </c>
      <c r="IA744" s="282" t="s">
        <v>11700</v>
      </c>
      <c r="IB744" s="282" t="s">
        <v>396</v>
      </c>
      <c r="IC744" s="282" t="s">
        <v>11701</v>
      </c>
      <c r="ID744" s="282"/>
      <c r="IE744" s="282"/>
      <c r="IF744" s="282"/>
      <c r="IG744" s="282"/>
      <c r="IH744" s="282"/>
      <c r="II744" s="282"/>
      <c r="IJ744" s="12" t="str">
        <f t="shared" si="474"/>
        <v>No marker score</v>
      </c>
      <c r="IK744" s="287">
        <f t="shared" si="475"/>
        <v>0</v>
      </c>
      <c r="IL744" s="282"/>
      <c r="IM744" s="282"/>
      <c r="IN744" s="282"/>
      <c r="IO744" s="282"/>
      <c r="IP744" s="282"/>
      <c r="IQ744" s="287" t="str">
        <f t="shared" si="476"/>
        <v>No marker score</v>
      </c>
      <c r="IR744" s="287">
        <f t="shared" si="477"/>
        <v>0</v>
      </c>
      <c r="IS744" s="282"/>
      <c r="IT744" s="282"/>
      <c r="IU744" s="282"/>
      <c r="IV744" s="282"/>
      <c r="IW744" s="11" t="str">
        <f t="shared" si="478"/>
        <v>No marker score</v>
      </c>
      <c r="IX744" s="287">
        <f t="shared" si="479"/>
        <v>0</v>
      </c>
      <c r="IY744" s="282" t="s">
        <v>419</v>
      </c>
      <c r="IZ744" s="282" t="s">
        <v>457</v>
      </c>
      <c r="JA744" s="282">
        <v>1</v>
      </c>
      <c r="JB744" s="282" t="s">
        <v>433</v>
      </c>
      <c r="JC744" s="282" t="s">
        <v>687</v>
      </c>
      <c r="JD744" s="282"/>
      <c r="JE744" s="282" t="s">
        <v>340</v>
      </c>
      <c r="JF744" s="282"/>
      <c r="JG744" s="282"/>
      <c r="JH744" s="282"/>
      <c r="JI744" s="282"/>
      <c r="JJ744" s="282"/>
      <c r="JK744" s="282"/>
      <c r="JL744" s="282"/>
      <c r="JM744" s="282"/>
      <c r="JN744" s="282"/>
      <c r="JO744" s="282"/>
      <c r="JP744" s="15">
        <f t="shared" si="480"/>
        <v>10</v>
      </c>
      <c r="JQ744" s="15">
        <f t="shared" si="481"/>
        <v>0</v>
      </c>
      <c r="JR744" s="279">
        <f t="shared" si="482"/>
        <v>0</v>
      </c>
      <c r="JS744" s="17">
        <f t="shared" si="483"/>
        <v>0.6</v>
      </c>
      <c r="JT744" s="18" t="str">
        <f t="shared" si="484"/>
        <v/>
      </c>
      <c r="JU744" s="280">
        <f t="shared" si="485"/>
        <v>6</v>
      </c>
      <c r="JV744" s="280">
        <f t="shared" si="486"/>
        <v>0</v>
      </c>
      <c r="JW744" s="319">
        <f t="shared" si="487"/>
        <v>1</v>
      </c>
      <c r="JX744" s="15">
        <f t="shared" si="488"/>
        <v>0</v>
      </c>
      <c r="JY744" s="15">
        <f t="shared" si="489"/>
        <v>0</v>
      </c>
      <c r="JZ744" s="19" t="str">
        <f t="shared" si="490"/>
        <v/>
      </c>
      <c r="KA744" s="52">
        <f t="shared" si="491"/>
        <v>1</v>
      </c>
      <c r="KB744" s="15">
        <f t="shared" si="492"/>
        <v>0</v>
      </c>
      <c r="KC744" s="15">
        <f t="shared" si="493"/>
        <v>0</v>
      </c>
      <c r="KD744" s="20" t="str">
        <f t="shared" si="494"/>
        <v/>
      </c>
      <c r="KE744" s="52" t="str">
        <f t="shared" si="495"/>
        <v/>
      </c>
      <c r="KF744" s="15">
        <f t="shared" si="496"/>
        <v>0</v>
      </c>
      <c r="KG744" s="15">
        <f t="shared" si="497"/>
        <v>0</v>
      </c>
      <c r="KH744" s="21" t="str">
        <f t="shared" si="498"/>
        <v/>
      </c>
      <c r="KI744" s="52" t="str">
        <f t="shared" si="499"/>
        <v/>
      </c>
      <c r="KJ744" s="15">
        <f t="shared" si="500"/>
        <v>0</v>
      </c>
      <c r="KK744" s="15">
        <f t="shared" si="501"/>
        <v>0</v>
      </c>
      <c r="KL744" s="19" t="str">
        <f t="shared" si="502"/>
        <v/>
      </c>
      <c r="KM744" s="52" t="str">
        <f t="shared" si="503"/>
        <v/>
      </c>
      <c r="KN744" s="22">
        <f t="shared" si="504"/>
        <v>0</v>
      </c>
      <c r="KO744" s="22">
        <f t="shared" si="505"/>
        <v>0</v>
      </c>
      <c r="KP744" s="19" t="str">
        <f t="shared" si="506"/>
        <v/>
      </c>
      <c r="KQ744" s="11" t="str">
        <f t="shared" si="507"/>
        <v>No marker score</v>
      </c>
      <c r="KR744" s="11" t="str">
        <f t="shared" si="508"/>
        <v>No marker score</v>
      </c>
      <c r="KS744" s="11" t="str">
        <f t="shared" si="509"/>
        <v>No marker score</v>
      </c>
      <c r="KT744" s="11" t="str">
        <f t="shared" si="510"/>
        <v>It tested new ways for fighting poverty, but did not measure results of innovation</v>
      </c>
      <c r="KU744" s="11">
        <f t="shared" si="511"/>
        <v>0</v>
      </c>
      <c r="KV744" s="11" t="str">
        <f t="shared" si="512"/>
        <v>It linked and worked with strategic alliances and partners to take tested and effective solutions to scale</v>
      </c>
      <c r="KW744" s="11" t="str">
        <f t="shared" si="513"/>
        <v>Syria - Developing resilience of households and communities affected by conflict in Syria</v>
      </c>
      <c r="KX744" s="11" t="str">
        <f t="shared" si="514"/>
        <v>Developing resilience of households and communities affected by conflict in Syria</v>
      </c>
      <c r="KY744" s="11" t="str">
        <f t="shared" si="515"/>
        <v>Syria</v>
      </c>
      <c r="KZ744" s="12">
        <v>745</v>
      </c>
    </row>
    <row r="745" spans="1:312" x14ac:dyDescent="0.3">
      <c r="A745" s="11" t="s">
        <v>11693</v>
      </c>
      <c r="B745" s="11" t="s">
        <v>602</v>
      </c>
      <c r="D745" s="11" t="s">
        <v>11768</v>
      </c>
      <c r="E745" s="24" t="str">
        <f t="shared" si="473"/>
        <v>Syria</v>
      </c>
      <c r="F745" s="11" t="s">
        <v>11769</v>
      </c>
      <c r="G745" s="11" t="s">
        <v>425</v>
      </c>
      <c r="H745" s="11" t="s">
        <v>310</v>
      </c>
      <c r="I745" s="11" t="s">
        <v>426</v>
      </c>
      <c r="J745" s="278" t="s">
        <v>14563</v>
      </c>
      <c r="BD745" s="23">
        <v>42430</v>
      </c>
      <c r="BE745" s="23">
        <v>42794</v>
      </c>
      <c r="BG745" s="11" t="s">
        <v>908</v>
      </c>
      <c r="BH745" s="22">
        <v>1015850</v>
      </c>
      <c r="BI745" s="11" t="s">
        <v>11760</v>
      </c>
      <c r="BJ745" s="11" t="s">
        <v>11761</v>
      </c>
      <c r="BK745" s="11" t="s">
        <v>11762</v>
      </c>
      <c r="BO745" s="11" t="s">
        <v>320</v>
      </c>
      <c r="BP745" s="11" t="s">
        <v>319</v>
      </c>
      <c r="BQ745" s="11" t="s">
        <v>319</v>
      </c>
      <c r="BR745" s="11" t="s">
        <v>11770</v>
      </c>
      <c r="BS745" s="11" t="s">
        <v>357</v>
      </c>
      <c r="BT745" s="11" t="s">
        <v>11771</v>
      </c>
      <c r="BU745" s="11" t="s">
        <v>11772</v>
      </c>
      <c r="BV745" s="22">
        <v>15648</v>
      </c>
      <c r="BW745" s="22">
        <v>16026</v>
      </c>
      <c r="BX745" s="22">
        <v>31674</v>
      </c>
      <c r="CD745" s="22">
        <v>15648</v>
      </c>
      <c r="CE745" s="22">
        <v>16026</v>
      </c>
      <c r="CF745" s="22">
        <v>31674</v>
      </c>
      <c r="CJ745" s="39"/>
      <c r="CK745" s="40"/>
      <c r="CL745" s="41"/>
      <c r="CM745" s="40"/>
      <c r="CN745" s="39" t="s">
        <v>320</v>
      </c>
      <c r="CO745" s="40">
        <v>13493</v>
      </c>
      <c r="CP745" s="41">
        <v>0.5</v>
      </c>
      <c r="CQ745" s="40"/>
      <c r="CR745" s="39"/>
      <c r="CS745" s="40"/>
      <c r="CT745" s="41"/>
      <c r="CU745" s="40"/>
      <c r="CV745" s="39"/>
      <c r="CW745" s="40"/>
      <c r="CX745" s="41"/>
      <c r="CY745" s="40"/>
      <c r="CZ745" s="39"/>
      <c r="DA745" s="40"/>
      <c r="DB745" s="41"/>
      <c r="DC745" s="40"/>
      <c r="DD745" s="39"/>
      <c r="DE745" s="40"/>
      <c r="DF745" s="41"/>
      <c r="DG745" s="40"/>
      <c r="DH745" s="39"/>
      <c r="DI745" s="40"/>
      <c r="DJ745" s="41"/>
      <c r="DK745" s="40"/>
      <c r="DL745" s="11" t="s">
        <v>320</v>
      </c>
      <c r="DM745" s="40">
        <v>18181</v>
      </c>
      <c r="DN745" s="41">
        <v>0.49</v>
      </c>
      <c r="DO745" s="40"/>
      <c r="DP745" s="39"/>
      <c r="DQ745" s="40"/>
      <c r="DR745" s="41"/>
      <c r="DS745" s="40"/>
      <c r="DT745" s="39"/>
      <c r="DU745" s="40"/>
      <c r="DV745" s="41"/>
      <c r="DW745" s="40"/>
      <c r="DX745" s="39"/>
      <c r="DY745" s="40"/>
      <c r="DZ745" s="41"/>
      <c r="EA745" s="40"/>
      <c r="EB745" s="39"/>
      <c r="EC745" s="40"/>
      <c r="ED745" s="41"/>
      <c r="EE745" s="40"/>
      <c r="EF745" s="39"/>
      <c r="EG745" s="39"/>
      <c r="EH745" s="40"/>
      <c r="EI745" s="41"/>
      <c r="EJ745" s="40"/>
      <c r="EK745" s="40"/>
      <c r="EL745" s="40"/>
      <c r="EM745" s="40"/>
      <c r="EN745" s="40"/>
      <c r="EO745" s="40"/>
      <c r="EP745" s="40"/>
      <c r="EQ745" s="39"/>
      <c r="ER745" s="40"/>
      <c r="ES745" s="41"/>
      <c r="ET745" s="40"/>
      <c r="EU745" s="39"/>
      <c r="EV745" s="40"/>
      <c r="EW745" s="41"/>
      <c r="EX745" s="40"/>
      <c r="EY745" s="39"/>
      <c r="EZ745" s="40"/>
      <c r="FA745" s="41"/>
      <c r="FB745" s="40"/>
      <c r="FC745" s="39"/>
      <c r="FD745" s="40"/>
      <c r="FE745" s="41"/>
      <c r="FF745" s="40"/>
      <c r="FG745" s="39"/>
      <c r="FH745" s="40"/>
      <c r="FI745" s="41"/>
      <c r="FJ745" s="40"/>
      <c r="FK745" s="39"/>
      <c r="FL745" s="40"/>
      <c r="FM745" s="41"/>
      <c r="FN745" s="40"/>
      <c r="FO745" s="39"/>
      <c r="FP745" s="40"/>
      <c r="FQ745" s="41"/>
      <c r="FR745" s="40"/>
      <c r="FS745" s="39"/>
      <c r="FT745" s="40"/>
      <c r="FU745" s="41"/>
      <c r="FV745" s="40"/>
      <c r="FW745" s="39"/>
      <c r="FX745" s="40"/>
      <c r="FY745" s="41"/>
      <c r="FZ745" s="40"/>
      <c r="GA745" s="39"/>
      <c r="GB745" s="40"/>
      <c r="GC745" s="41"/>
      <c r="GD745" s="40"/>
      <c r="GE745" s="39"/>
      <c r="GF745" s="40"/>
      <c r="GG745" s="41"/>
      <c r="GH745" s="40"/>
      <c r="GI745" s="39"/>
      <c r="GJ745" s="40"/>
      <c r="GK745" s="41"/>
      <c r="GL745" s="40"/>
      <c r="GM745" s="39"/>
      <c r="GN745" s="40"/>
      <c r="GO745" s="41"/>
      <c r="GP745" s="40"/>
      <c r="GQ745" s="39"/>
      <c r="GR745" s="40"/>
      <c r="GS745" s="41"/>
      <c r="GT745" s="40"/>
      <c r="GU745" s="39"/>
      <c r="GV745" s="40"/>
      <c r="GW745" s="41"/>
      <c r="GX745" s="40"/>
      <c r="GY745" s="39"/>
      <c r="GZ745" s="40"/>
      <c r="HA745" s="41"/>
      <c r="HB745" s="40"/>
      <c r="HF745" s="18"/>
      <c r="HH745" s="11" t="s">
        <v>320</v>
      </c>
      <c r="HK745" s="11" t="s">
        <v>319</v>
      </c>
      <c r="HL745" s="11" t="s">
        <v>319</v>
      </c>
      <c r="HP745" s="11" t="s">
        <v>418</v>
      </c>
      <c r="HQ745" s="11" t="s">
        <v>319</v>
      </c>
      <c r="HR745" s="11" t="s">
        <v>319</v>
      </c>
      <c r="HS745" s="11" t="s">
        <v>320</v>
      </c>
      <c r="HT745" s="11" t="s">
        <v>320</v>
      </c>
      <c r="HU745" s="11" t="s">
        <v>319</v>
      </c>
      <c r="HV745" s="11" t="s">
        <v>319</v>
      </c>
      <c r="HW745" s="11" t="s">
        <v>319</v>
      </c>
      <c r="HZ745" s="11" t="s">
        <v>331</v>
      </c>
      <c r="IA745" s="11" t="s">
        <v>11773</v>
      </c>
      <c r="IB745" s="11" t="s">
        <v>396</v>
      </c>
      <c r="ID745" s="11" t="s">
        <v>334</v>
      </c>
      <c r="IE745" s="11" t="s">
        <v>335</v>
      </c>
      <c r="IF745" s="11" t="s">
        <v>320</v>
      </c>
      <c r="IG745" s="11" t="s">
        <v>320</v>
      </c>
      <c r="IH745" s="11" t="s">
        <v>320</v>
      </c>
      <c r="II745" s="11" t="s">
        <v>320</v>
      </c>
      <c r="IJ745" s="12" t="str">
        <f t="shared" si="474"/>
        <v>2. Sensitive</v>
      </c>
      <c r="IK745" s="12">
        <f t="shared" si="475"/>
        <v>4</v>
      </c>
      <c r="IQ745" s="12" t="str">
        <f t="shared" si="476"/>
        <v>No marker score</v>
      </c>
      <c r="IR745" s="12">
        <f t="shared" si="477"/>
        <v>0</v>
      </c>
      <c r="IW745" s="11" t="str">
        <f t="shared" si="478"/>
        <v>No marker score</v>
      </c>
      <c r="IX745" s="12">
        <f t="shared" si="479"/>
        <v>0</v>
      </c>
      <c r="IY745" s="11" t="s">
        <v>338</v>
      </c>
      <c r="IZ745" s="11" t="s">
        <v>457</v>
      </c>
      <c r="JA745" s="11">
        <v>1</v>
      </c>
      <c r="JB745" s="11" t="s">
        <v>433</v>
      </c>
      <c r="JE745" s="11" t="s">
        <v>365</v>
      </c>
      <c r="JH745" s="11" t="s">
        <v>11774</v>
      </c>
      <c r="JI745" s="11" t="s">
        <v>11775</v>
      </c>
      <c r="JK745" s="11" t="s">
        <v>11776</v>
      </c>
      <c r="JL745" s="11" t="s">
        <v>11777</v>
      </c>
      <c r="JM745" s="11" t="s">
        <v>11778</v>
      </c>
      <c r="JP745" s="15">
        <f t="shared" si="480"/>
        <v>31674</v>
      </c>
      <c r="JQ745" s="15">
        <f t="shared" si="481"/>
        <v>0</v>
      </c>
      <c r="JR745" s="279">
        <f t="shared" si="482"/>
        <v>0</v>
      </c>
      <c r="JS745" s="17">
        <f t="shared" si="483"/>
        <v>0.49403296078802805</v>
      </c>
      <c r="JT745" s="18" t="str">
        <f t="shared" si="484"/>
        <v/>
      </c>
      <c r="JU745" s="280">
        <f t="shared" si="485"/>
        <v>15648</v>
      </c>
      <c r="JV745" s="280">
        <f t="shared" si="486"/>
        <v>0</v>
      </c>
      <c r="JW745" s="319">
        <f t="shared" si="487"/>
        <v>1</v>
      </c>
      <c r="JX745" s="15">
        <f t="shared" si="488"/>
        <v>31674</v>
      </c>
      <c r="JY745" s="15">
        <f t="shared" si="489"/>
        <v>0</v>
      </c>
      <c r="JZ745" s="19">
        <f t="shared" si="490"/>
        <v>0</v>
      </c>
      <c r="KA745" s="52">
        <f t="shared" si="491"/>
        <v>1</v>
      </c>
      <c r="KB745" s="15">
        <f t="shared" si="492"/>
        <v>18181</v>
      </c>
      <c r="KC745" s="15">
        <f t="shared" si="493"/>
        <v>0</v>
      </c>
      <c r="KD745" s="20">
        <f t="shared" si="494"/>
        <v>0</v>
      </c>
      <c r="KE745" s="52" t="str">
        <f t="shared" si="495"/>
        <v/>
      </c>
      <c r="KF745" s="15">
        <f t="shared" si="496"/>
        <v>0</v>
      </c>
      <c r="KG745" s="15">
        <f t="shared" si="497"/>
        <v>0</v>
      </c>
      <c r="KH745" s="21" t="str">
        <f t="shared" si="498"/>
        <v/>
      </c>
      <c r="KI745" s="52" t="str">
        <f t="shared" si="499"/>
        <v/>
      </c>
      <c r="KJ745" s="15">
        <f t="shared" si="500"/>
        <v>0</v>
      </c>
      <c r="KK745" s="15">
        <f t="shared" si="501"/>
        <v>0</v>
      </c>
      <c r="KL745" s="19" t="str">
        <f t="shared" si="502"/>
        <v/>
      </c>
      <c r="KM745" s="52" t="str">
        <f t="shared" si="503"/>
        <v/>
      </c>
      <c r="KN745" s="22">
        <f t="shared" si="504"/>
        <v>0</v>
      </c>
      <c r="KO745" s="22">
        <f t="shared" si="505"/>
        <v>0</v>
      </c>
      <c r="KP745" s="19" t="str">
        <f t="shared" si="506"/>
        <v/>
      </c>
      <c r="KQ745" s="11" t="str">
        <f t="shared" si="507"/>
        <v>2. Sensitive</v>
      </c>
      <c r="KR745" s="11" t="str">
        <f t="shared" si="508"/>
        <v>No marker score</v>
      </c>
      <c r="KS745" s="11" t="str">
        <f t="shared" si="509"/>
        <v>No marker score</v>
      </c>
      <c r="KT745" s="11" t="str">
        <f t="shared" si="510"/>
        <v>It tested new ways for fighting poverty and measured results of innovation</v>
      </c>
      <c r="KU745" s="11" t="str">
        <f t="shared" si="511"/>
        <v>Little or no advocacy</v>
      </c>
      <c r="KV745" s="11" t="str">
        <f t="shared" si="512"/>
        <v>It linked and worked with strategic alliances and partners to take tested and effective solutions to scale</v>
      </c>
      <c r="KW745" s="11" t="str">
        <f t="shared" si="513"/>
        <v>Syria - Dutch Relief Alliance: Syria Joint Response II</v>
      </c>
      <c r="KX745" s="11" t="str">
        <f t="shared" si="514"/>
        <v>Dutch Relief Alliance: Syria Joint Response II</v>
      </c>
      <c r="KY745" s="11" t="str">
        <f t="shared" si="515"/>
        <v>Syria</v>
      </c>
      <c r="KZ745" s="12">
        <v>746</v>
      </c>
    </row>
    <row r="746" spans="1:312" x14ac:dyDescent="0.3">
      <c r="A746" s="12" t="s">
        <v>11693</v>
      </c>
      <c r="B746" s="12" t="s">
        <v>602</v>
      </c>
      <c r="C746" s="12"/>
      <c r="D746" s="12" t="s">
        <v>11750</v>
      </c>
      <c r="E746" s="24" t="str">
        <f t="shared" si="473"/>
        <v>Syria</v>
      </c>
      <c r="F746" s="12" t="s">
        <v>11751</v>
      </c>
      <c r="G746" s="12" t="s">
        <v>1738</v>
      </c>
      <c r="H746" s="12" t="s">
        <v>310</v>
      </c>
      <c r="I746" s="12" t="s">
        <v>3316</v>
      </c>
      <c r="J746" s="281" t="s">
        <v>14616</v>
      </c>
      <c r="K746" s="12"/>
      <c r="L746" s="12"/>
      <c r="M746" s="12"/>
      <c r="N746" s="12"/>
      <c r="O746" s="12"/>
      <c r="P746" s="12"/>
      <c r="Q746" s="12"/>
      <c r="R746" s="12"/>
      <c r="S746" s="12"/>
      <c r="T746" s="12"/>
      <c r="U746" s="12"/>
      <c r="V746" s="12"/>
      <c r="W746" s="12"/>
      <c r="X746" s="12"/>
      <c r="Y746" s="12"/>
      <c r="Z746" s="12"/>
      <c r="AA746" s="12"/>
      <c r="AB746" s="12"/>
      <c r="AC746" s="12"/>
      <c r="AD746" s="12"/>
      <c r="BD746" s="13">
        <v>42705</v>
      </c>
      <c r="BE746" s="13">
        <v>43069</v>
      </c>
      <c r="BF746" s="12"/>
      <c r="BG746" s="12" t="s">
        <v>817</v>
      </c>
      <c r="BH746" s="14">
        <v>117779</v>
      </c>
      <c r="BI746" s="12" t="s">
        <v>11752</v>
      </c>
      <c r="BJ746" s="12" t="s">
        <v>11753</v>
      </c>
      <c r="BK746" s="12" t="s">
        <v>11754</v>
      </c>
      <c r="BL746" s="12"/>
      <c r="BM746" s="12"/>
      <c r="BN746" s="12"/>
      <c r="BO746" s="12" t="s">
        <v>320</v>
      </c>
      <c r="BP746" s="12" t="s">
        <v>319</v>
      </c>
      <c r="BQ746" s="12" t="s">
        <v>319</v>
      </c>
      <c r="BR746" s="12" t="s">
        <v>11755</v>
      </c>
      <c r="BS746" s="12" t="s">
        <v>357</v>
      </c>
      <c r="BT746" s="12" t="s">
        <v>11756</v>
      </c>
      <c r="BU746" s="12" t="s">
        <v>11757</v>
      </c>
      <c r="BV746" s="14">
        <v>4163</v>
      </c>
      <c r="BW746" s="14">
        <v>5542</v>
      </c>
      <c r="BX746" s="14">
        <v>9705</v>
      </c>
      <c r="BY746" s="14"/>
      <c r="BZ746" s="14"/>
      <c r="CA746" s="14">
        <v>48525</v>
      </c>
      <c r="CB746" s="12" t="s">
        <v>11699</v>
      </c>
      <c r="CD746" s="14"/>
      <c r="CE746" s="14"/>
      <c r="CF746" s="14"/>
      <c r="CG746" s="14"/>
      <c r="CH746" s="14"/>
      <c r="CI746" s="14"/>
      <c r="CJ746" s="12" t="s">
        <v>319</v>
      </c>
      <c r="CK746" s="14"/>
      <c r="CL746" s="16"/>
      <c r="CM746" s="14"/>
      <c r="CN746" s="12" t="s">
        <v>319</v>
      </c>
      <c r="CO746" s="14"/>
      <c r="CP746" s="16"/>
      <c r="CQ746" s="14"/>
      <c r="CR746" s="12" t="s">
        <v>319</v>
      </c>
      <c r="CS746" s="14"/>
      <c r="CT746" s="16"/>
      <c r="CU746" s="14"/>
      <c r="CV746" s="12" t="s">
        <v>320</v>
      </c>
      <c r="CW746" s="14"/>
      <c r="CX746" s="16"/>
      <c r="CY746" s="14"/>
      <c r="CZ746" s="12" t="s">
        <v>319</v>
      </c>
      <c r="DA746" s="14"/>
      <c r="DB746" s="16"/>
      <c r="DC746" s="14"/>
      <c r="DD746" s="12" t="s">
        <v>319</v>
      </c>
      <c r="DE746" s="14"/>
      <c r="DF746" s="16"/>
      <c r="DG746" s="14"/>
      <c r="DH746" s="11" t="s">
        <v>319</v>
      </c>
      <c r="DI746" s="14"/>
      <c r="DJ746" s="16"/>
      <c r="DK746" s="14"/>
      <c r="DL746" s="12" t="s">
        <v>319</v>
      </c>
      <c r="DM746" s="14"/>
      <c r="DN746" s="16"/>
      <c r="DO746" s="14"/>
      <c r="DP746" s="12" t="s">
        <v>319</v>
      </c>
      <c r="DQ746" s="14"/>
      <c r="DR746" s="16"/>
      <c r="DS746" s="14"/>
      <c r="DT746" s="12" t="s">
        <v>319</v>
      </c>
      <c r="DU746" s="14"/>
      <c r="DV746" s="16"/>
      <c r="DW746" s="14"/>
      <c r="DX746" s="12" t="s">
        <v>319</v>
      </c>
      <c r="DY746" s="14"/>
      <c r="DZ746" s="16"/>
      <c r="EA746" s="14"/>
      <c r="EB746" s="12" t="s">
        <v>319</v>
      </c>
      <c r="EC746" s="14"/>
      <c r="ED746" s="16"/>
      <c r="EE746" s="14"/>
      <c r="EF746" s="12"/>
      <c r="EG746" s="12"/>
      <c r="EH746" s="14"/>
      <c r="EI746" s="16"/>
      <c r="EJ746" s="14"/>
      <c r="EK746" s="14"/>
      <c r="EL746" s="14"/>
      <c r="EM746" s="14"/>
      <c r="EN746" s="14"/>
      <c r="EO746" s="14"/>
      <c r="EP746" s="14"/>
      <c r="EQ746" s="12"/>
      <c r="ER746" s="14"/>
      <c r="ES746" s="16"/>
      <c r="ET746" s="14"/>
      <c r="EU746" s="12"/>
      <c r="EV746" s="14"/>
      <c r="EW746" s="16"/>
      <c r="EX746" s="14"/>
      <c r="EY746" s="12"/>
      <c r="EZ746" s="14"/>
      <c r="FA746" s="16"/>
      <c r="FB746" s="14"/>
      <c r="FC746" s="12"/>
      <c r="FD746" s="14"/>
      <c r="FE746" s="16"/>
      <c r="FF746" s="14"/>
      <c r="FG746" s="12"/>
      <c r="FH746" s="14"/>
      <c r="FI746" s="16"/>
      <c r="FJ746" s="14"/>
      <c r="FK746" s="12"/>
      <c r="FL746" s="14"/>
      <c r="FM746" s="16"/>
      <c r="FN746" s="14"/>
      <c r="FO746" s="12"/>
      <c r="FP746" s="14"/>
      <c r="FQ746" s="16"/>
      <c r="FR746" s="14"/>
      <c r="FS746" s="12"/>
      <c r="FT746" s="14"/>
      <c r="FU746" s="16"/>
      <c r="FV746" s="14"/>
      <c r="FW746" s="12"/>
      <c r="FX746" s="14"/>
      <c r="FY746" s="16"/>
      <c r="FZ746" s="14"/>
      <c r="GA746" s="12"/>
      <c r="GB746" s="14"/>
      <c r="GC746" s="16"/>
      <c r="GD746" s="14"/>
      <c r="GE746" s="12"/>
      <c r="GF746" s="14"/>
      <c r="GG746" s="16"/>
      <c r="GH746" s="14"/>
      <c r="GI746" s="12"/>
      <c r="GJ746" s="14"/>
      <c r="GK746" s="16"/>
      <c r="GL746" s="14"/>
      <c r="GM746" s="12"/>
      <c r="GN746" s="14"/>
      <c r="GO746" s="16"/>
      <c r="GP746" s="14"/>
      <c r="GQ746" s="12"/>
      <c r="GR746" s="14"/>
      <c r="GS746" s="16"/>
      <c r="GT746" s="14"/>
      <c r="GU746" s="12"/>
      <c r="GV746" s="14"/>
      <c r="GW746" s="16"/>
      <c r="GX746" s="14"/>
      <c r="GY746" s="12"/>
      <c r="GZ746" s="14"/>
      <c r="HA746" s="16"/>
      <c r="HB746" s="14"/>
      <c r="HC746" s="12"/>
      <c r="HD746" s="12"/>
      <c r="HE746" s="14"/>
      <c r="HF746" s="16"/>
      <c r="HG746" s="14"/>
      <c r="HH746" s="12" t="s">
        <v>319</v>
      </c>
      <c r="HI746" s="12"/>
      <c r="HJ746" s="12"/>
      <c r="HK746" s="12" t="s">
        <v>319</v>
      </c>
      <c r="HL746" s="12" t="s">
        <v>320</v>
      </c>
      <c r="HM746" s="12"/>
      <c r="HN746" s="12"/>
      <c r="HO746" s="12"/>
      <c r="HP746" s="12"/>
      <c r="HQ746" s="12"/>
      <c r="HR746" s="12"/>
      <c r="HS746" s="12"/>
      <c r="HT746" s="12"/>
      <c r="HU746" s="12"/>
      <c r="HV746" s="12"/>
      <c r="HW746" s="12"/>
      <c r="HX746" s="12"/>
      <c r="HY746" s="12"/>
      <c r="HZ746" s="12"/>
      <c r="IA746" s="12"/>
      <c r="IB746" s="12"/>
      <c r="IC746" s="12"/>
      <c r="ID746" s="12"/>
      <c r="IE746" s="12"/>
      <c r="IF746" s="12"/>
      <c r="IG746" s="12"/>
      <c r="IH746" s="12"/>
      <c r="II746" s="12"/>
      <c r="IJ746" s="12" t="str">
        <f t="shared" si="474"/>
        <v>No marker score</v>
      </c>
      <c r="IK746" s="12">
        <f t="shared" si="475"/>
        <v>0</v>
      </c>
      <c r="IL746" s="12" t="s">
        <v>336</v>
      </c>
      <c r="IM746" s="12" t="s">
        <v>320</v>
      </c>
      <c r="IN746" s="12" t="s">
        <v>320</v>
      </c>
      <c r="IO746" s="12" t="s">
        <v>320</v>
      </c>
      <c r="IP746" s="12" t="s">
        <v>320</v>
      </c>
      <c r="IQ746" s="12" t="str">
        <f t="shared" si="476"/>
        <v>2. Accommodating</v>
      </c>
      <c r="IR746" s="12">
        <f t="shared" si="477"/>
        <v>4</v>
      </c>
      <c r="IS746" s="12"/>
      <c r="IT746" s="12"/>
      <c r="IU746" s="12"/>
      <c r="IV746" s="12"/>
      <c r="IW746" s="11" t="str">
        <f t="shared" si="478"/>
        <v>No marker score</v>
      </c>
      <c r="IX746" s="12">
        <f t="shared" si="479"/>
        <v>0</v>
      </c>
      <c r="IY746" s="12"/>
      <c r="IZ746" s="12"/>
      <c r="JA746" s="12"/>
      <c r="JB746" s="12"/>
      <c r="JC746" s="12"/>
      <c r="JD746" s="12"/>
      <c r="JE746" s="12"/>
      <c r="JF746" s="12"/>
      <c r="JG746" s="12"/>
      <c r="JH746" s="12"/>
      <c r="JI746" s="12"/>
      <c r="JJ746" s="12"/>
      <c r="JK746" s="12"/>
      <c r="JL746" s="12"/>
      <c r="JM746" s="12"/>
      <c r="JN746" s="12"/>
      <c r="JO746" s="12"/>
      <c r="JP746" s="15">
        <f t="shared" si="480"/>
        <v>0</v>
      </c>
      <c r="JQ746" s="15">
        <f t="shared" si="481"/>
        <v>0</v>
      </c>
      <c r="JR746" s="279" t="str">
        <f t="shared" si="482"/>
        <v/>
      </c>
      <c r="JS746" s="17" t="str">
        <f t="shared" si="483"/>
        <v/>
      </c>
      <c r="JT746" s="18" t="str">
        <f t="shared" si="484"/>
        <v/>
      </c>
      <c r="JU746" s="280">
        <f t="shared" si="485"/>
        <v>0</v>
      </c>
      <c r="JV746" s="280">
        <f t="shared" si="486"/>
        <v>0</v>
      </c>
      <c r="JW746" s="319">
        <f t="shared" si="487"/>
        <v>1</v>
      </c>
      <c r="JX746" s="15">
        <f t="shared" si="488"/>
        <v>0</v>
      </c>
      <c r="JY746" s="15">
        <f t="shared" si="489"/>
        <v>0</v>
      </c>
      <c r="JZ746" s="19" t="str">
        <f t="shared" si="490"/>
        <v/>
      </c>
      <c r="KA746" s="52">
        <f t="shared" si="491"/>
        <v>1</v>
      </c>
      <c r="KB746" s="15">
        <f t="shared" si="492"/>
        <v>0</v>
      </c>
      <c r="KC746" s="15">
        <f t="shared" si="493"/>
        <v>0</v>
      </c>
      <c r="KD746" s="20" t="str">
        <f t="shared" si="494"/>
        <v/>
      </c>
      <c r="KE746" s="52" t="str">
        <f t="shared" si="495"/>
        <v/>
      </c>
      <c r="KF746" s="15">
        <f t="shared" si="496"/>
        <v>0</v>
      </c>
      <c r="KG746" s="15">
        <f t="shared" si="497"/>
        <v>0</v>
      </c>
      <c r="KH746" s="21" t="str">
        <f t="shared" si="498"/>
        <v/>
      </c>
      <c r="KI746" s="52" t="str">
        <f t="shared" si="499"/>
        <v/>
      </c>
      <c r="KJ746" s="15">
        <f t="shared" si="500"/>
        <v>0</v>
      </c>
      <c r="KK746" s="15">
        <f t="shared" si="501"/>
        <v>0</v>
      </c>
      <c r="KL746" s="19" t="str">
        <f t="shared" si="502"/>
        <v/>
      </c>
      <c r="KM746" s="52" t="str">
        <f t="shared" si="503"/>
        <v/>
      </c>
      <c r="KN746" s="22">
        <f t="shared" si="504"/>
        <v>0</v>
      </c>
      <c r="KO746" s="22">
        <f t="shared" si="505"/>
        <v>0</v>
      </c>
      <c r="KP746" s="19" t="str">
        <f t="shared" si="506"/>
        <v/>
      </c>
      <c r="KQ746" s="11" t="str">
        <f t="shared" si="507"/>
        <v>No marker score</v>
      </c>
      <c r="KR746" s="11" t="str">
        <f t="shared" si="508"/>
        <v>2. Accommodating</v>
      </c>
      <c r="KS746" s="11" t="str">
        <f t="shared" si="509"/>
        <v>No marker score</v>
      </c>
      <c r="KT746" s="11">
        <f t="shared" si="510"/>
        <v>0</v>
      </c>
      <c r="KU746" s="11">
        <f t="shared" si="511"/>
        <v>0</v>
      </c>
      <c r="KV746" s="11">
        <f t="shared" si="512"/>
        <v>0</v>
      </c>
      <c r="KW746" s="11" t="str">
        <f t="shared" si="513"/>
        <v>Syria - Emergency relief in response to sudden spikes in humanitarian needs</v>
      </c>
      <c r="KX746" s="11" t="str">
        <f t="shared" si="514"/>
        <v>Emergency relief in response to sudden spikes in humanitarian needs</v>
      </c>
      <c r="KY746" s="11" t="str">
        <f t="shared" si="515"/>
        <v>Syria</v>
      </c>
      <c r="KZ746" s="12">
        <v>747</v>
      </c>
    </row>
    <row r="747" spans="1:312" x14ac:dyDescent="0.3">
      <c r="A747" s="11" t="s">
        <v>11693</v>
      </c>
      <c r="B747" s="11" t="s">
        <v>602</v>
      </c>
      <c r="D747" s="11" t="s">
        <v>11856</v>
      </c>
      <c r="E747" s="24" t="str">
        <f t="shared" si="473"/>
        <v>Syria</v>
      </c>
      <c r="F747" s="11" t="s">
        <v>11857</v>
      </c>
      <c r="G747" s="11" t="s">
        <v>605</v>
      </c>
      <c r="H747" s="11" t="s">
        <v>310</v>
      </c>
      <c r="I747" s="11" t="s">
        <v>606</v>
      </c>
      <c r="J747" s="278" t="s">
        <v>792</v>
      </c>
      <c r="BD747" s="23">
        <v>42643</v>
      </c>
      <c r="BE747" s="23">
        <v>42825</v>
      </c>
      <c r="BG747" s="11" t="s">
        <v>908</v>
      </c>
      <c r="BH747" s="22">
        <v>466145</v>
      </c>
      <c r="BI747" s="11" t="s">
        <v>11760</v>
      </c>
      <c r="BJ747" s="11" t="s">
        <v>11761</v>
      </c>
      <c r="BK747" s="11" t="s">
        <v>11762</v>
      </c>
      <c r="BO747" s="11" t="s">
        <v>320</v>
      </c>
      <c r="BP747" s="11" t="s">
        <v>319</v>
      </c>
      <c r="BQ747" s="11" t="s">
        <v>319</v>
      </c>
      <c r="BR747" s="11" t="s">
        <v>11858</v>
      </c>
      <c r="BS747" s="11" t="s">
        <v>357</v>
      </c>
      <c r="BT747" s="11" t="s">
        <v>11859</v>
      </c>
      <c r="BU747" s="11" t="s">
        <v>11860</v>
      </c>
      <c r="BV747" s="22">
        <v>5480</v>
      </c>
      <c r="BW747" s="22">
        <v>4915</v>
      </c>
      <c r="BX747" s="22">
        <v>10395</v>
      </c>
      <c r="CD747" s="22">
        <v>5480</v>
      </c>
      <c r="CE747" s="22">
        <v>4915</v>
      </c>
      <c r="CF747" s="22">
        <v>10395</v>
      </c>
      <c r="CJ747" s="39"/>
      <c r="CK747" s="40"/>
      <c r="CL747" s="41"/>
      <c r="CM747" s="40"/>
      <c r="CN747" s="39"/>
      <c r="CO747" s="40"/>
      <c r="CP747" s="41"/>
      <c r="CQ747" s="40"/>
      <c r="CR747" s="39"/>
      <c r="CS747" s="40"/>
      <c r="CT747" s="41"/>
      <c r="CU747" s="40"/>
      <c r="CV747" s="39"/>
      <c r="CW747" s="40"/>
      <c r="CX747" s="41"/>
      <c r="CY747" s="40"/>
      <c r="CZ747" s="39"/>
      <c r="DA747" s="40"/>
      <c r="DB747" s="41"/>
      <c r="DC747" s="40"/>
      <c r="DD747" s="39"/>
      <c r="DE747" s="40"/>
      <c r="DF747" s="41"/>
      <c r="DG747" s="40"/>
      <c r="DH747" s="39"/>
      <c r="DI747" s="40"/>
      <c r="DJ747" s="41"/>
      <c r="DK747" s="40"/>
      <c r="DL747" s="39"/>
      <c r="DM747" s="40"/>
      <c r="DN747" s="41"/>
      <c r="DO747" s="40"/>
      <c r="DP747" s="12" t="s">
        <v>320</v>
      </c>
      <c r="DQ747" s="40">
        <v>42</v>
      </c>
      <c r="DR747" s="41">
        <v>0.55000000000000004</v>
      </c>
      <c r="DS747" s="40"/>
      <c r="DT747" s="39"/>
      <c r="DU747" s="40"/>
      <c r="DV747" s="41"/>
      <c r="DW747" s="40"/>
      <c r="DX747" s="39"/>
      <c r="DY747" s="40"/>
      <c r="DZ747" s="41"/>
      <c r="EA747" s="40"/>
      <c r="EB747" s="11" t="s">
        <v>320</v>
      </c>
      <c r="EC747" s="40">
        <v>10353</v>
      </c>
      <c r="ED747" s="41">
        <v>0.53</v>
      </c>
      <c r="EE747" s="40"/>
      <c r="EF747" s="39"/>
      <c r="EG747" s="39"/>
      <c r="EH747" s="40"/>
      <c r="EI747" s="41"/>
      <c r="EJ747" s="40"/>
      <c r="EK747" s="40"/>
      <c r="EL747" s="40"/>
      <c r="EM747" s="40"/>
      <c r="EN747" s="40"/>
      <c r="EO747" s="40"/>
      <c r="EP747" s="40"/>
      <c r="EQ747" s="39"/>
      <c r="ER747" s="40"/>
      <c r="ES747" s="41"/>
      <c r="ET747" s="40"/>
      <c r="EU747" s="39"/>
      <c r="EV747" s="40"/>
      <c r="EW747" s="41"/>
      <c r="EX747" s="40"/>
      <c r="EY747" s="39"/>
      <c r="EZ747" s="40"/>
      <c r="FA747" s="41"/>
      <c r="FB747" s="40"/>
      <c r="FC747" s="39"/>
      <c r="FD747" s="40"/>
      <c r="FE747" s="41"/>
      <c r="FF747" s="40"/>
      <c r="FG747" s="39"/>
      <c r="FH747" s="40"/>
      <c r="FI747" s="41"/>
      <c r="FJ747" s="40"/>
      <c r="FK747" s="39"/>
      <c r="FL747" s="40"/>
      <c r="FM747" s="41"/>
      <c r="FN747" s="40"/>
      <c r="FO747" s="39"/>
      <c r="FP747" s="40"/>
      <c r="FQ747" s="41"/>
      <c r="FR747" s="40"/>
      <c r="FS747" s="39"/>
      <c r="FT747" s="40"/>
      <c r="FU747" s="41"/>
      <c r="FV747" s="40"/>
      <c r="FW747" s="39"/>
      <c r="FX747" s="40"/>
      <c r="FY747" s="41"/>
      <c r="FZ747" s="40"/>
      <c r="GA747" s="39"/>
      <c r="GB747" s="40"/>
      <c r="GC747" s="41"/>
      <c r="GD747" s="40"/>
      <c r="GE747" s="39"/>
      <c r="GF747" s="40"/>
      <c r="GG747" s="41"/>
      <c r="GH747" s="40"/>
      <c r="GI747" s="39"/>
      <c r="GJ747" s="40"/>
      <c r="GK747" s="41"/>
      <c r="GL747" s="40"/>
      <c r="GM747" s="39"/>
      <c r="GN747" s="40"/>
      <c r="GO747" s="41"/>
      <c r="GP747" s="40"/>
      <c r="GQ747" s="39"/>
      <c r="GR747" s="40"/>
      <c r="GS747" s="41"/>
      <c r="GT747" s="40"/>
      <c r="GU747" s="39"/>
      <c r="GV747" s="40"/>
      <c r="GW747" s="41"/>
      <c r="GX747" s="40"/>
      <c r="GY747" s="39"/>
      <c r="GZ747" s="40"/>
      <c r="HA747" s="41"/>
      <c r="HB747" s="40"/>
      <c r="HF747" s="18"/>
      <c r="HH747" s="11" t="s">
        <v>319</v>
      </c>
      <c r="HK747" s="11" t="s">
        <v>319</v>
      </c>
      <c r="HL747" s="11" t="s">
        <v>319</v>
      </c>
      <c r="HP747" s="11" t="s">
        <v>418</v>
      </c>
      <c r="HQ747" s="11" t="s">
        <v>319</v>
      </c>
      <c r="HR747" s="11" t="s">
        <v>320</v>
      </c>
      <c r="HS747" s="11" t="s">
        <v>320</v>
      </c>
      <c r="HT747" s="11" t="s">
        <v>320</v>
      </c>
      <c r="HU747" s="11" t="s">
        <v>319</v>
      </c>
      <c r="HV747" s="11" t="s">
        <v>319</v>
      </c>
      <c r="HW747" s="11" t="s">
        <v>319</v>
      </c>
      <c r="HZ747" s="11" t="s">
        <v>363</v>
      </c>
      <c r="IB747" s="11" t="s">
        <v>667</v>
      </c>
      <c r="ID747" s="11" t="s">
        <v>334</v>
      </c>
      <c r="IE747" s="11" t="s">
        <v>335</v>
      </c>
      <c r="IF747" s="11" t="s">
        <v>320</v>
      </c>
      <c r="IG747" s="11" t="s">
        <v>319</v>
      </c>
      <c r="IH747" s="11" t="s">
        <v>319</v>
      </c>
      <c r="II747" s="11" t="s">
        <v>320</v>
      </c>
      <c r="IJ747" s="12" t="str">
        <f t="shared" si="474"/>
        <v>1. Neutral</v>
      </c>
      <c r="IK747" s="12">
        <f t="shared" si="475"/>
        <v>2</v>
      </c>
      <c r="IQ747" s="12" t="str">
        <f t="shared" si="476"/>
        <v>No marker score</v>
      </c>
      <c r="IR747" s="12">
        <f t="shared" si="477"/>
        <v>0</v>
      </c>
      <c r="IW747" s="11" t="str">
        <f t="shared" si="478"/>
        <v>No marker score</v>
      </c>
      <c r="IX747" s="12">
        <f t="shared" si="479"/>
        <v>0</v>
      </c>
      <c r="IY747" s="11" t="s">
        <v>338</v>
      </c>
      <c r="IZ747" s="11" t="s">
        <v>457</v>
      </c>
      <c r="JA747" s="11">
        <v>2</v>
      </c>
      <c r="JB747" s="11" t="s">
        <v>433</v>
      </c>
      <c r="JE747" s="11" t="s">
        <v>420</v>
      </c>
      <c r="JG747" s="11" t="s">
        <v>11861</v>
      </c>
      <c r="JK747" s="11" t="s">
        <v>11862</v>
      </c>
      <c r="JL747" s="11" t="s">
        <v>11863</v>
      </c>
      <c r="JM747" s="11" t="s">
        <v>11864</v>
      </c>
      <c r="JP747" s="15">
        <f t="shared" si="480"/>
        <v>10395</v>
      </c>
      <c r="JQ747" s="15">
        <f t="shared" si="481"/>
        <v>0</v>
      </c>
      <c r="JR747" s="279">
        <f t="shared" si="482"/>
        <v>0</v>
      </c>
      <c r="JS747" s="17">
        <f t="shared" si="483"/>
        <v>0.52717652717652719</v>
      </c>
      <c r="JT747" s="18" t="str">
        <f t="shared" si="484"/>
        <v/>
      </c>
      <c r="JU747" s="280">
        <f t="shared" si="485"/>
        <v>5480</v>
      </c>
      <c r="JV747" s="280">
        <f t="shared" si="486"/>
        <v>0</v>
      </c>
      <c r="JW747" s="319">
        <f t="shared" si="487"/>
        <v>1</v>
      </c>
      <c r="JX747" s="15">
        <f t="shared" si="488"/>
        <v>10395</v>
      </c>
      <c r="JY747" s="15">
        <f t="shared" si="489"/>
        <v>0</v>
      </c>
      <c r="JZ747" s="19">
        <f t="shared" si="490"/>
        <v>0</v>
      </c>
      <c r="KA747" s="52" t="str">
        <f t="shared" si="491"/>
        <v/>
      </c>
      <c r="KB747" s="15">
        <f t="shared" si="492"/>
        <v>0</v>
      </c>
      <c r="KC747" s="15">
        <f t="shared" si="493"/>
        <v>0</v>
      </c>
      <c r="KD747" s="20" t="str">
        <f t="shared" si="494"/>
        <v/>
      </c>
      <c r="KE747" s="52" t="str">
        <f t="shared" si="495"/>
        <v/>
      </c>
      <c r="KF747" s="15">
        <f t="shared" si="496"/>
        <v>0</v>
      </c>
      <c r="KG747" s="15">
        <f t="shared" si="497"/>
        <v>0</v>
      </c>
      <c r="KH747" s="21" t="str">
        <f t="shared" si="498"/>
        <v/>
      </c>
      <c r="KI747" s="52" t="str">
        <f t="shared" si="499"/>
        <v/>
      </c>
      <c r="KJ747" s="15">
        <f t="shared" si="500"/>
        <v>0</v>
      </c>
      <c r="KK747" s="15">
        <f t="shared" si="501"/>
        <v>0</v>
      </c>
      <c r="KL747" s="19" t="str">
        <f t="shared" si="502"/>
        <v/>
      </c>
      <c r="KM747" s="52" t="str">
        <f t="shared" si="503"/>
        <v/>
      </c>
      <c r="KN747" s="22">
        <f t="shared" si="504"/>
        <v>0</v>
      </c>
      <c r="KO747" s="22">
        <f t="shared" si="505"/>
        <v>0</v>
      </c>
      <c r="KP747" s="19" t="str">
        <f t="shared" si="506"/>
        <v/>
      </c>
      <c r="KQ747" s="11" t="str">
        <f t="shared" si="507"/>
        <v>1. Neutral</v>
      </c>
      <c r="KR747" s="11" t="str">
        <f t="shared" si="508"/>
        <v>No marker score</v>
      </c>
      <c r="KS747" s="11" t="str">
        <f t="shared" si="509"/>
        <v>No marker score</v>
      </c>
      <c r="KT747" s="11" t="str">
        <f t="shared" si="510"/>
        <v>It did not develop any specific innovation</v>
      </c>
      <c r="KU747" s="11" t="str">
        <f t="shared" si="511"/>
        <v>Little or no advocacy</v>
      </c>
      <c r="KV747" s="11" t="str">
        <f t="shared" si="512"/>
        <v>It took tested solutions to scale on its own</v>
      </c>
      <c r="KW747" s="11" t="str">
        <f t="shared" si="513"/>
        <v>Syria - Emergency response for crisis affected communities in Aleppo</v>
      </c>
      <c r="KX747" s="11" t="str">
        <f t="shared" si="514"/>
        <v>Emergency response for crisis affected communities in Aleppo</v>
      </c>
      <c r="KY747" s="11" t="str">
        <f t="shared" si="515"/>
        <v>Syria</v>
      </c>
      <c r="KZ747" s="287">
        <v>748</v>
      </c>
    </row>
    <row r="748" spans="1:312" x14ac:dyDescent="0.3">
      <c r="A748" s="12" t="s">
        <v>11693</v>
      </c>
      <c r="B748" s="12" t="s">
        <v>602</v>
      </c>
      <c r="C748" s="12"/>
      <c r="D748" s="12" t="s">
        <v>11702</v>
      </c>
      <c r="E748" s="24" t="str">
        <f t="shared" si="473"/>
        <v>Syria</v>
      </c>
      <c r="F748" s="12" t="s">
        <v>11703</v>
      </c>
      <c r="G748" s="12" t="s">
        <v>467</v>
      </c>
      <c r="H748" s="12" t="s">
        <v>310</v>
      </c>
      <c r="I748" s="12" t="s">
        <v>11704</v>
      </c>
      <c r="J748" s="281" t="s">
        <v>11061</v>
      </c>
      <c r="K748" s="12"/>
      <c r="L748" s="12"/>
      <c r="M748" s="12"/>
      <c r="N748" s="12"/>
      <c r="O748" s="12"/>
      <c r="P748" s="12"/>
      <c r="Q748" s="12"/>
      <c r="R748" s="12"/>
      <c r="S748" s="12"/>
      <c r="T748" s="12"/>
      <c r="U748" s="12"/>
      <c r="V748" s="12"/>
      <c r="W748" s="12"/>
      <c r="X748" s="12"/>
      <c r="Y748" s="12"/>
      <c r="Z748" s="12"/>
      <c r="AA748" s="12"/>
      <c r="AB748" s="12"/>
      <c r="AC748" s="12"/>
      <c r="AD748" s="12"/>
      <c r="BD748" s="13">
        <v>42675</v>
      </c>
      <c r="BE748" s="13">
        <v>43830</v>
      </c>
      <c r="BF748" s="12"/>
      <c r="BG748" s="12" t="s">
        <v>817</v>
      </c>
      <c r="BH748" s="14">
        <v>1197342</v>
      </c>
      <c r="BI748" s="12"/>
      <c r="BJ748" s="12"/>
      <c r="BK748" s="12"/>
      <c r="BL748" s="12"/>
      <c r="BM748" s="12"/>
      <c r="BN748" s="12"/>
      <c r="BO748" s="12" t="s">
        <v>320</v>
      </c>
      <c r="BP748" s="12" t="s">
        <v>319</v>
      </c>
      <c r="BQ748" s="12" t="s">
        <v>319</v>
      </c>
      <c r="BR748" s="12" t="s">
        <v>11705</v>
      </c>
      <c r="BS748" s="12" t="s">
        <v>357</v>
      </c>
      <c r="BT748" s="12" t="s">
        <v>11706</v>
      </c>
      <c r="BU748" s="12" t="s">
        <v>11707</v>
      </c>
      <c r="BV748" s="14"/>
      <c r="BW748" s="14"/>
      <c r="BX748" s="14">
        <v>300</v>
      </c>
      <c r="BY748" s="14"/>
      <c r="BZ748" s="14"/>
      <c r="CA748" s="14">
        <v>1200</v>
      </c>
      <c r="CB748" s="12" t="s">
        <v>11708</v>
      </c>
      <c r="CD748" s="14">
        <v>21</v>
      </c>
      <c r="CE748" s="14">
        <v>59</v>
      </c>
      <c r="CF748" s="14">
        <v>80</v>
      </c>
      <c r="CG748" s="14">
        <v>213</v>
      </c>
      <c r="CH748" s="14">
        <v>215</v>
      </c>
      <c r="CI748" s="14">
        <v>428</v>
      </c>
      <c r="CJ748" s="12" t="s">
        <v>319</v>
      </c>
      <c r="CK748" s="14"/>
      <c r="CL748" s="16"/>
      <c r="CM748" s="14"/>
      <c r="CN748" s="12" t="s">
        <v>319</v>
      </c>
      <c r="CO748" s="14"/>
      <c r="CP748" s="16"/>
      <c r="CQ748" s="14"/>
      <c r="CR748" s="12" t="s">
        <v>319</v>
      </c>
      <c r="CS748" s="14"/>
      <c r="CT748" s="16"/>
      <c r="CU748" s="14"/>
      <c r="CV748" s="12" t="s">
        <v>319</v>
      </c>
      <c r="CW748" s="14"/>
      <c r="CX748" s="16"/>
      <c r="CY748" s="14"/>
      <c r="CZ748" s="12" t="s">
        <v>319</v>
      </c>
      <c r="DA748" s="14"/>
      <c r="DB748" s="16"/>
      <c r="DC748" s="14"/>
      <c r="DD748" s="12" t="s">
        <v>319</v>
      </c>
      <c r="DE748" s="14"/>
      <c r="DF748" s="16"/>
      <c r="DG748" s="14"/>
      <c r="DH748" s="12" t="s">
        <v>319</v>
      </c>
      <c r="DI748" s="14"/>
      <c r="DJ748" s="16"/>
      <c r="DK748" s="14"/>
      <c r="DL748" s="11" t="s">
        <v>320</v>
      </c>
      <c r="DM748" s="14">
        <v>80</v>
      </c>
      <c r="DN748" s="16">
        <v>0.26250000000000001</v>
      </c>
      <c r="DO748" s="14">
        <v>428</v>
      </c>
      <c r="DP748" s="12" t="s">
        <v>319</v>
      </c>
      <c r="DQ748" s="14"/>
      <c r="DR748" s="16"/>
      <c r="DS748" s="14"/>
      <c r="DT748" s="12" t="s">
        <v>319</v>
      </c>
      <c r="DU748" s="14"/>
      <c r="DV748" s="16"/>
      <c r="DW748" s="14"/>
      <c r="DX748" s="12" t="s">
        <v>319</v>
      </c>
      <c r="DY748" s="14"/>
      <c r="DZ748" s="16"/>
      <c r="EA748" s="14"/>
      <c r="EB748" s="12" t="s">
        <v>319</v>
      </c>
      <c r="EC748" s="14"/>
      <c r="ED748" s="16"/>
      <c r="EE748" s="14"/>
      <c r="EF748" s="12"/>
      <c r="EG748" s="12"/>
      <c r="EH748" s="14"/>
      <c r="EI748" s="16"/>
      <c r="EJ748" s="14"/>
      <c r="EK748" s="14"/>
      <c r="EL748" s="14"/>
      <c r="EM748" s="14"/>
      <c r="EN748" s="14"/>
      <c r="EO748" s="14"/>
      <c r="EP748" s="14"/>
      <c r="EQ748" s="12"/>
      <c r="ER748" s="14"/>
      <c r="ES748" s="16"/>
      <c r="ET748" s="14"/>
      <c r="EU748" s="12"/>
      <c r="EV748" s="14"/>
      <c r="EW748" s="16"/>
      <c r="EX748" s="14"/>
      <c r="EY748" s="12"/>
      <c r="EZ748" s="14"/>
      <c r="FA748" s="16"/>
      <c r="FB748" s="14"/>
      <c r="FC748" s="12"/>
      <c r="FD748" s="14"/>
      <c r="FE748" s="16"/>
      <c r="FF748" s="14"/>
      <c r="FG748" s="12"/>
      <c r="FH748" s="14"/>
      <c r="FI748" s="16"/>
      <c r="FJ748" s="14"/>
      <c r="FK748" s="12"/>
      <c r="FL748" s="14"/>
      <c r="FM748" s="16"/>
      <c r="FN748" s="14"/>
      <c r="FO748" s="12"/>
      <c r="FP748" s="14"/>
      <c r="FQ748" s="16"/>
      <c r="FR748" s="14"/>
      <c r="FS748" s="12"/>
      <c r="FT748" s="14"/>
      <c r="FU748" s="16"/>
      <c r="FV748" s="14"/>
      <c r="FW748" s="12"/>
      <c r="FX748" s="14"/>
      <c r="FY748" s="16"/>
      <c r="FZ748" s="14"/>
      <c r="GA748" s="12"/>
      <c r="GB748" s="14"/>
      <c r="GC748" s="16"/>
      <c r="GD748" s="14"/>
      <c r="GE748" s="12"/>
      <c r="GF748" s="14"/>
      <c r="GG748" s="16"/>
      <c r="GH748" s="14"/>
      <c r="GI748" s="12"/>
      <c r="GJ748" s="14"/>
      <c r="GK748" s="16"/>
      <c r="GL748" s="14"/>
      <c r="GM748" s="12"/>
      <c r="GN748" s="14"/>
      <c r="GO748" s="16"/>
      <c r="GP748" s="14"/>
      <c r="GQ748" s="12"/>
      <c r="GR748" s="14"/>
      <c r="GS748" s="16"/>
      <c r="GT748" s="14"/>
      <c r="GU748" s="12"/>
      <c r="GV748" s="14"/>
      <c r="GW748" s="16"/>
      <c r="GX748" s="14"/>
      <c r="GY748" s="12"/>
      <c r="GZ748" s="14"/>
      <c r="HA748" s="16"/>
      <c r="HB748" s="14"/>
      <c r="HC748" s="12"/>
      <c r="HD748" s="12"/>
      <c r="HE748" s="14"/>
      <c r="HF748" s="16"/>
      <c r="HG748" s="14"/>
      <c r="HH748" s="12" t="s">
        <v>319</v>
      </c>
      <c r="HI748" s="12"/>
      <c r="HJ748" s="12"/>
      <c r="HK748" s="12"/>
      <c r="HL748" s="12" t="s">
        <v>320</v>
      </c>
      <c r="HM748" s="12" t="s">
        <v>619</v>
      </c>
      <c r="HN748" s="12">
        <v>2017</v>
      </c>
      <c r="HO748" s="12"/>
      <c r="HP748" s="12" t="s">
        <v>418</v>
      </c>
      <c r="HQ748" s="12"/>
      <c r="HR748" s="12"/>
      <c r="HS748" s="12"/>
      <c r="HT748" s="12"/>
      <c r="HU748" s="12"/>
      <c r="HV748" s="12"/>
      <c r="HW748" s="12"/>
      <c r="HX748" s="12"/>
      <c r="HY748" s="12"/>
      <c r="HZ748" s="12" t="s">
        <v>363</v>
      </c>
      <c r="IA748" s="12" t="s">
        <v>11709</v>
      </c>
      <c r="IB748" s="12" t="s">
        <v>396</v>
      </c>
      <c r="IC748" s="12" t="s">
        <v>11701</v>
      </c>
      <c r="ID748" s="12" t="s">
        <v>364</v>
      </c>
      <c r="IE748" s="12" t="s">
        <v>478</v>
      </c>
      <c r="IF748" s="12" t="s">
        <v>319</v>
      </c>
      <c r="IG748" s="12" t="s">
        <v>320</v>
      </c>
      <c r="IH748" s="12" t="s">
        <v>320</v>
      </c>
      <c r="II748" s="12" t="s">
        <v>319</v>
      </c>
      <c r="IJ748" s="12" t="str">
        <f t="shared" si="474"/>
        <v>3. Responsive</v>
      </c>
      <c r="IK748" s="12">
        <f t="shared" si="475"/>
        <v>2</v>
      </c>
      <c r="IL748" s="12" t="s">
        <v>723</v>
      </c>
      <c r="IM748" s="12"/>
      <c r="IN748" s="12"/>
      <c r="IO748" s="12"/>
      <c r="IP748" s="12"/>
      <c r="IQ748" s="12" t="str">
        <f t="shared" si="476"/>
        <v>0. Unaware</v>
      </c>
      <c r="IR748" s="12">
        <f t="shared" si="477"/>
        <v>0</v>
      </c>
      <c r="IS748" s="12"/>
      <c r="IT748" s="12"/>
      <c r="IU748" s="12"/>
      <c r="IV748" s="12"/>
      <c r="IW748" s="11" t="str">
        <f t="shared" si="478"/>
        <v>No marker score</v>
      </c>
      <c r="IX748" s="12">
        <f t="shared" si="479"/>
        <v>0</v>
      </c>
      <c r="IY748" s="12" t="s">
        <v>338</v>
      </c>
      <c r="IZ748" s="12" t="s">
        <v>457</v>
      </c>
      <c r="JA748" s="12">
        <v>2</v>
      </c>
      <c r="JB748" s="12" t="s">
        <v>433</v>
      </c>
      <c r="JC748" s="12"/>
      <c r="JD748" s="12"/>
      <c r="JE748" s="12" t="s">
        <v>420</v>
      </c>
      <c r="JF748" s="12"/>
      <c r="JG748" s="12"/>
      <c r="JH748" s="12"/>
      <c r="JI748" s="12"/>
      <c r="JJ748" s="12"/>
      <c r="JK748" s="12"/>
      <c r="JL748" s="12"/>
      <c r="JM748" s="12"/>
      <c r="JN748" s="12"/>
      <c r="JO748" s="12"/>
      <c r="JP748" s="15">
        <f t="shared" si="480"/>
        <v>80</v>
      </c>
      <c r="JQ748" s="15">
        <f t="shared" si="481"/>
        <v>428</v>
      </c>
      <c r="JR748" s="279">
        <f t="shared" si="482"/>
        <v>5.35</v>
      </c>
      <c r="JS748" s="17">
        <f t="shared" si="483"/>
        <v>0.26250000000000001</v>
      </c>
      <c r="JT748" s="18">
        <f t="shared" si="484"/>
        <v>0.49766355140186919</v>
      </c>
      <c r="JU748" s="280">
        <f t="shared" si="485"/>
        <v>21</v>
      </c>
      <c r="JV748" s="280">
        <f t="shared" si="486"/>
        <v>213</v>
      </c>
      <c r="JW748" s="319">
        <f t="shared" si="487"/>
        <v>1</v>
      </c>
      <c r="JX748" s="15">
        <f t="shared" si="488"/>
        <v>80</v>
      </c>
      <c r="JY748" s="15">
        <f t="shared" si="489"/>
        <v>428</v>
      </c>
      <c r="JZ748" s="19">
        <f t="shared" si="490"/>
        <v>5.35</v>
      </c>
      <c r="KA748" s="52">
        <f t="shared" si="491"/>
        <v>1</v>
      </c>
      <c r="KB748" s="15">
        <f t="shared" si="492"/>
        <v>80</v>
      </c>
      <c r="KC748" s="15">
        <f t="shared" si="493"/>
        <v>428</v>
      </c>
      <c r="KD748" s="20">
        <f t="shared" si="494"/>
        <v>5.35</v>
      </c>
      <c r="KE748" s="52" t="str">
        <f t="shared" si="495"/>
        <v/>
      </c>
      <c r="KF748" s="15">
        <f t="shared" si="496"/>
        <v>0</v>
      </c>
      <c r="KG748" s="15">
        <f t="shared" si="497"/>
        <v>0</v>
      </c>
      <c r="KH748" s="21" t="str">
        <f t="shared" si="498"/>
        <v/>
      </c>
      <c r="KI748" s="52" t="str">
        <f t="shared" si="499"/>
        <v/>
      </c>
      <c r="KJ748" s="15">
        <f t="shared" si="500"/>
        <v>0</v>
      </c>
      <c r="KK748" s="15">
        <f t="shared" si="501"/>
        <v>0</v>
      </c>
      <c r="KL748" s="19" t="str">
        <f t="shared" si="502"/>
        <v/>
      </c>
      <c r="KM748" s="52" t="str">
        <f t="shared" si="503"/>
        <v/>
      </c>
      <c r="KN748" s="22">
        <f t="shared" si="504"/>
        <v>0</v>
      </c>
      <c r="KO748" s="22">
        <f t="shared" si="505"/>
        <v>0</v>
      </c>
      <c r="KP748" s="19" t="str">
        <f t="shared" si="506"/>
        <v/>
      </c>
      <c r="KQ748" s="11" t="str">
        <f t="shared" si="507"/>
        <v>3. Responsive</v>
      </c>
      <c r="KR748" s="11" t="str">
        <f t="shared" si="508"/>
        <v>0. Unaware</v>
      </c>
      <c r="KS748" s="11" t="str">
        <f t="shared" si="509"/>
        <v>No marker score</v>
      </c>
      <c r="KT748" s="11" t="str">
        <f t="shared" si="510"/>
        <v>It did not develop any specific innovation</v>
      </c>
      <c r="KU748" s="11" t="str">
        <f t="shared" si="511"/>
        <v>Little or no advocacy</v>
      </c>
      <c r="KV748" s="11" t="str">
        <f t="shared" si="512"/>
        <v>It linked and worked with strategic alliances and partners to take tested and effective solutions to scale</v>
      </c>
      <c r="KW748" s="11" t="str">
        <f t="shared" si="513"/>
        <v>Syria - Enhancing the resilience of the affected population in Syria (displaced populations and host communities</v>
      </c>
      <c r="KX748" s="11" t="str">
        <f t="shared" si="514"/>
        <v>Enhancing the resilience of the affected population in Syria (displaced populations and host communities</v>
      </c>
      <c r="KY748" s="11" t="str">
        <f t="shared" si="515"/>
        <v>Syria</v>
      </c>
      <c r="KZ748" s="287">
        <v>749</v>
      </c>
    </row>
    <row r="749" spans="1:312" x14ac:dyDescent="0.3">
      <c r="A749" s="11" t="s">
        <v>11693</v>
      </c>
      <c r="B749" s="11" t="s">
        <v>602</v>
      </c>
      <c r="D749" s="11" t="s">
        <v>11865</v>
      </c>
      <c r="E749" s="24" t="str">
        <f t="shared" si="473"/>
        <v>Syria</v>
      </c>
      <c r="F749" s="11" t="s">
        <v>11866</v>
      </c>
      <c r="G749" s="11" t="s">
        <v>605</v>
      </c>
      <c r="H749" s="11" t="s">
        <v>380</v>
      </c>
      <c r="I749" s="11" t="s">
        <v>907</v>
      </c>
      <c r="J749" s="278" t="s">
        <v>5183</v>
      </c>
      <c r="BD749" s="23">
        <v>42583</v>
      </c>
      <c r="BE749" s="23">
        <v>42947</v>
      </c>
      <c r="BG749" s="11" t="s">
        <v>908</v>
      </c>
      <c r="BH749" s="22">
        <v>1474302.9</v>
      </c>
      <c r="BI749" s="11" t="s">
        <v>11760</v>
      </c>
      <c r="BJ749" s="11" t="s">
        <v>11761</v>
      </c>
      <c r="BK749" s="11" t="s">
        <v>11762</v>
      </c>
      <c r="BL749" s="11" t="s">
        <v>11784</v>
      </c>
      <c r="BM749" s="11" t="s">
        <v>11785</v>
      </c>
      <c r="BN749" s="11" t="s">
        <v>11786</v>
      </c>
      <c r="BO749" s="11" t="s">
        <v>320</v>
      </c>
      <c r="BP749" s="11" t="s">
        <v>319</v>
      </c>
      <c r="BQ749" s="11" t="s">
        <v>319</v>
      </c>
      <c r="BR749" s="11" t="s">
        <v>11867</v>
      </c>
      <c r="BS749" s="11" t="s">
        <v>357</v>
      </c>
      <c r="BT749" s="11" t="s">
        <v>11868</v>
      </c>
      <c r="BU749" s="11" t="s">
        <v>11869</v>
      </c>
      <c r="BV749" s="22">
        <v>32099</v>
      </c>
      <c r="BW749" s="22">
        <v>29735</v>
      </c>
      <c r="BX749" s="22">
        <v>61834</v>
      </c>
      <c r="CD749" s="22">
        <v>32099</v>
      </c>
      <c r="CE749" s="22">
        <v>29735</v>
      </c>
      <c r="CF749" s="22">
        <v>61834</v>
      </c>
      <c r="CJ749" s="39"/>
      <c r="CK749" s="40"/>
      <c r="CL749" s="41"/>
      <c r="CM749" s="40"/>
      <c r="CN749" s="39" t="s">
        <v>320</v>
      </c>
      <c r="CO749" s="40">
        <v>21764</v>
      </c>
      <c r="CP749" s="41">
        <v>0.52</v>
      </c>
      <c r="CQ749" s="40"/>
      <c r="CR749" s="39"/>
      <c r="CS749" s="40"/>
      <c r="CT749" s="41"/>
      <c r="CU749" s="40"/>
      <c r="CV749" s="12" t="s">
        <v>320</v>
      </c>
      <c r="CW749" s="40">
        <v>4669</v>
      </c>
      <c r="CX749" s="41">
        <v>0.5</v>
      </c>
      <c r="CY749" s="40"/>
      <c r="CZ749" s="39"/>
      <c r="DA749" s="40"/>
      <c r="DB749" s="41"/>
      <c r="DC749" s="40"/>
      <c r="DD749" s="39"/>
      <c r="DE749" s="40"/>
      <c r="DF749" s="41"/>
      <c r="DG749" s="40"/>
      <c r="DH749" s="39"/>
      <c r="DI749" s="40"/>
      <c r="DJ749" s="41"/>
      <c r="DK749" s="40"/>
      <c r="DL749" s="39"/>
      <c r="DM749" s="40"/>
      <c r="DN749" s="41"/>
      <c r="DO749" s="40"/>
      <c r="DP749" s="39"/>
      <c r="DQ749" s="40"/>
      <c r="DR749" s="41"/>
      <c r="DS749" s="40"/>
      <c r="DT749" s="39"/>
      <c r="DU749" s="40"/>
      <c r="DV749" s="41"/>
      <c r="DW749" s="40"/>
      <c r="DX749" s="39"/>
      <c r="DY749" s="40"/>
      <c r="DZ749" s="41"/>
      <c r="EA749" s="40"/>
      <c r="EB749" s="11" t="s">
        <v>320</v>
      </c>
      <c r="EC749" s="40">
        <v>35401</v>
      </c>
      <c r="ED749" s="41">
        <v>0.5</v>
      </c>
      <c r="EE749" s="40"/>
      <c r="EF749" s="39"/>
      <c r="EG749" s="39"/>
      <c r="EH749" s="40"/>
      <c r="EI749" s="41"/>
      <c r="EJ749" s="40"/>
      <c r="EK749" s="40"/>
      <c r="EL749" s="40"/>
      <c r="EM749" s="40"/>
      <c r="EN749" s="40"/>
      <c r="EO749" s="40"/>
      <c r="EP749" s="40"/>
      <c r="EQ749" s="39"/>
      <c r="ER749" s="40"/>
      <c r="ES749" s="41"/>
      <c r="ET749" s="40"/>
      <c r="EU749" s="39"/>
      <c r="EV749" s="40"/>
      <c r="EW749" s="41"/>
      <c r="EX749" s="40"/>
      <c r="EY749" s="39"/>
      <c r="EZ749" s="40"/>
      <c r="FA749" s="41"/>
      <c r="FB749" s="40"/>
      <c r="FC749" s="39"/>
      <c r="FD749" s="40"/>
      <c r="FE749" s="41"/>
      <c r="FF749" s="40"/>
      <c r="FG749" s="39"/>
      <c r="FH749" s="40"/>
      <c r="FI749" s="41"/>
      <c r="FJ749" s="40"/>
      <c r="FK749" s="39"/>
      <c r="FL749" s="40"/>
      <c r="FM749" s="41"/>
      <c r="FN749" s="40"/>
      <c r="FO749" s="39"/>
      <c r="FP749" s="40"/>
      <c r="FQ749" s="41"/>
      <c r="FR749" s="40"/>
      <c r="FS749" s="39"/>
      <c r="FT749" s="40"/>
      <c r="FU749" s="41"/>
      <c r="FV749" s="40"/>
      <c r="FW749" s="39"/>
      <c r="FX749" s="40"/>
      <c r="FY749" s="41"/>
      <c r="FZ749" s="40"/>
      <c r="GA749" s="39"/>
      <c r="GB749" s="40"/>
      <c r="GC749" s="41"/>
      <c r="GD749" s="40"/>
      <c r="GE749" s="39"/>
      <c r="GF749" s="40"/>
      <c r="GG749" s="41"/>
      <c r="GH749" s="40"/>
      <c r="GI749" s="39"/>
      <c r="GJ749" s="40"/>
      <c r="GK749" s="41"/>
      <c r="GL749" s="40"/>
      <c r="GM749" s="39"/>
      <c r="GN749" s="40"/>
      <c r="GO749" s="41"/>
      <c r="GP749" s="40"/>
      <c r="GQ749" s="39"/>
      <c r="GR749" s="40"/>
      <c r="GS749" s="41"/>
      <c r="GT749" s="40"/>
      <c r="GU749" s="39"/>
      <c r="GV749" s="40"/>
      <c r="GW749" s="41"/>
      <c r="GX749" s="40"/>
      <c r="GY749" s="39"/>
      <c r="GZ749" s="40"/>
      <c r="HA749" s="41"/>
      <c r="HB749" s="40"/>
      <c r="HF749" s="18"/>
      <c r="HH749" s="11" t="s">
        <v>320</v>
      </c>
      <c r="HI749" s="11" t="s">
        <v>1175</v>
      </c>
      <c r="HJ749" s="11">
        <v>2017</v>
      </c>
      <c r="HK749" s="11" t="s">
        <v>320</v>
      </c>
      <c r="HL749" s="11" t="s">
        <v>320</v>
      </c>
      <c r="HM749" s="11" t="s">
        <v>522</v>
      </c>
      <c r="HN749" s="11">
        <v>2017</v>
      </c>
      <c r="HP749" s="11" t="s">
        <v>330</v>
      </c>
      <c r="HQ749" s="11" t="s">
        <v>319</v>
      </c>
      <c r="HR749" s="11" t="s">
        <v>320</v>
      </c>
      <c r="HS749" s="11" t="s">
        <v>320</v>
      </c>
      <c r="HT749" s="11" t="s">
        <v>320</v>
      </c>
      <c r="HU749" s="11" t="s">
        <v>319</v>
      </c>
      <c r="HV749" s="11" t="s">
        <v>319</v>
      </c>
      <c r="HW749" s="11" t="s">
        <v>320</v>
      </c>
      <c r="HZ749" s="11" t="s">
        <v>363</v>
      </c>
      <c r="IB749" s="11" t="s">
        <v>667</v>
      </c>
      <c r="ID749" s="11" t="s">
        <v>477</v>
      </c>
      <c r="IE749" s="11" t="s">
        <v>335</v>
      </c>
      <c r="IF749" s="11" t="s">
        <v>320</v>
      </c>
      <c r="IG749" s="11" t="s">
        <v>320</v>
      </c>
      <c r="IH749" s="11" t="s">
        <v>320</v>
      </c>
      <c r="II749" s="11" t="s">
        <v>320</v>
      </c>
      <c r="IJ749" s="12" t="str">
        <f t="shared" si="474"/>
        <v>2. Sensitive</v>
      </c>
      <c r="IK749" s="12">
        <f t="shared" si="475"/>
        <v>4</v>
      </c>
      <c r="IQ749" s="12" t="str">
        <f t="shared" si="476"/>
        <v>No marker score</v>
      </c>
      <c r="IR749" s="12">
        <f t="shared" si="477"/>
        <v>0</v>
      </c>
      <c r="IW749" s="11" t="str">
        <f t="shared" si="478"/>
        <v>No marker score</v>
      </c>
      <c r="IX749" s="12">
        <f t="shared" si="479"/>
        <v>0</v>
      </c>
      <c r="IY749" s="11" t="s">
        <v>338</v>
      </c>
      <c r="IZ749" s="11" t="s">
        <v>457</v>
      </c>
      <c r="JA749" s="11">
        <v>1</v>
      </c>
      <c r="JB749" s="11" t="s">
        <v>433</v>
      </c>
      <c r="JE749" s="11" t="s">
        <v>365</v>
      </c>
      <c r="JG749" s="11" t="s">
        <v>11870</v>
      </c>
      <c r="JH749" s="11" t="s">
        <v>11871</v>
      </c>
      <c r="JI749" s="11" t="s">
        <v>11791</v>
      </c>
      <c r="JK749" s="11" t="s">
        <v>11872</v>
      </c>
      <c r="JL749" s="11" t="s">
        <v>11873</v>
      </c>
      <c r="JP749" s="15">
        <f t="shared" si="480"/>
        <v>61834</v>
      </c>
      <c r="JQ749" s="15">
        <f t="shared" si="481"/>
        <v>0</v>
      </c>
      <c r="JR749" s="279">
        <f t="shared" si="482"/>
        <v>0</v>
      </c>
      <c r="JS749" s="17">
        <f t="shared" si="483"/>
        <v>0.51911569686580195</v>
      </c>
      <c r="JT749" s="18" t="str">
        <f t="shared" si="484"/>
        <v/>
      </c>
      <c r="JU749" s="280">
        <f t="shared" si="485"/>
        <v>32099</v>
      </c>
      <c r="JV749" s="280">
        <f t="shared" si="486"/>
        <v>0</v>
      </c>
      <c r="JW749" s="319">
        <f t="shared" si="487"/>
        <v>1</v>
      </c>
      <c r="JX749" s="15">
        <f t="shared" si="488"/>
        <v>61834</v>
      </c>
      <c r="JY749" s="15">
        <f t="shared" si="489"/>
        <v>0</v>
      </c>
      <c r="JZ749" s="19">
        <f t="shared" si="490"/>
        <v>0</v>
      </c>
      <c r="KA749" s="52">
        <f t="shared" si="491"/>
        <v>1</v>
      </c>
      <c r="KB749" s="15">
        <f t="shared" si="492"/>
        <v>4669</v>
      </c>
      <c r="KC749" s="15">
        <f t="shared" si="493"/>
        <v>0</v>
      </c>
      <c r="KD749" s="20">
        <f t="shared" si="494"/>
        <v>0</v>
      </c>
      <c r="KE749" s="52" t="str">
        <f t="shared" si="495"/>
        <v/>
      </c>
      <c r="KF749" s="15">
        <f t="shared" si="496"/>
        <v>0</v>
      </c>
      <c r="KG749" s="15">
        <f t="shared" si="497"/>
        <v>0</v>
      </c>
      <c r="KH749" s="21" t="str">
        <f t="shared" si="498"/>
        <v/>
      </c>
      <c r="KI749" s="52" t="str">
        <f t="shared" si="499"/>
        <v/>
      </c>
      <c r="KJ749" s="15">
        <f t="shared" si="500"/>
        <v>0</v>
      </c>
      <c r="KK749" s="15">
        <f t="shared" si="501"/>
        <v>0</v>
      </c>
      <c r="KL749" s="19" t="str">
        <f t="shared" si="502"/>
        <v/>
      </c>
      <c r="KM749" s="52" t="str">
        <f t="shared" si="503"/>
        <v/>
      </c>
      <c r="KN749" s="22">
        <f t="shared" si="504"/>
        <v>0</v>
      </c>
      <c r="KO749" s="22">
        <f t="shared" si="505"/>
        <v>0</v>
      </c>
      <c r="KP749" s="19" t="str">
        <f t="shared" si="506"/>
        <v/>
      </c>
      <c r="KQ749" s="11" t="str">
        <f t="shared" si="507"/>
        <v>2. Sensitive</v>
      </c>
      <c r="KR749" s="11" t="str">
        <f t="shared" si="508"/>
        <v>No marker score</v>
      </c>
      <c r="KS749" s="11" t="str">
        <f t="shared" si="509"/>
        <v>No marker score</v>
      </c>
      <c r="KT749" s="11" t="str">
        <f t="shared" si="510"/>
        <v>It did not develop any specific innovation</v>
      </c>
      <c r="KU749" s="11" t="str">
        <f t="shared" si="511"/>
        <v>Moderate advocacy</v>
      </c>
      <c r="KV749" s="11" t="str">
        <f t="shared" si="512"/>
        <v>It took tested solutions to scale on its own</v>
      </c>
      <c r="KW749" s="11" t="str">
        <f t="shared" si="513"/>
        <v>Syria - Integrated, multi-sector response to acute and urgent needs of vulnerable populations across Syria</v>
      </c>
      <c r="KX749" s="11" t="str">
        <f t="shared" si="514"/>
        <v>Integrated, multi-sector response to acute and urgent needs of vulnerable populations across Syria</v>
      </c>
      <c r="KY749" s="11" t="str">
        <f t="shared" si="515"/>
        <v>Syria</v>
      </c>
      <c r="KZ749" s="12">
        <v>750</v>
      </c>
    </row>
    <row r="750" spans="1:312" x14ac:dyDescent="0.3">
      <c r="A750" s="11" t="s">
        <v>11693</v>
      </c>
      <c r="B750" s="11" t="s">
        <v>602</v>
      </c>
      <c r="D750" s="11" t="s">
        <v>11865</v>
      </c>
      <c r="E750" s="24" t="str">
        <f t="shared" si="473"/>
        <v>Syria</v>
      </c>
      <c r="F750" s="11" t="s">
        <v>11874</v>
      </c>
      <c r="G750" s="11" t="s">
        <v>605</v>
      </c>
      <c r="H750" s="11" t="s">
        <v>310</v>
      </c>
      <c r="I750" s="11" t="s">
        <v>907</v>
      </c>
      <c r="J750" s="278" t="s">
        <v>5183</v>
      </c>
      <c r="BD750" s="23">
        <v>42583</v>
      </c>
      <c r="BE750" s="23">
        <v>42947</v>
      </c>
      <c r="BF750" s="23">
        <v>43008</v>
      </c>
      <c r="BG750" s="11" t="s">
        <v>817</v>
      </c>
      <c r="BH750" s="22">
        <v>1295430</v>
      </c>
      <c r="BI750" s="11" t="s">
        <v>11752</v>
      </c>
      <c r="BJ750" s="11" t="s">
        <v>11753</v>
      </c>
      <c r="BK750" s="11" t="s">
        <v>11754</v>
      </c>
      <c r="BO750" s="11" t="s">
        <v>320</v>
      </c>
      <c r="BP750" s="11" t="s">
        <v>319</v>
      </c>
      <c r="BQ750" s="11" t="s">
        <v>319</v>
      </c>
      <c r="BR750" s="11" t="s">
        <v>11875</v>
      </c>
      <c r="BS750" s="11" t="s">
        <v>357</v>
      </c>
      <c r="BT750" s="11" t="s">
        <v>11876</v>
      </c>
      <c r="BU750" s="11" t="s">
        <v>11877</v>
      </c>
      <c r="BV750" s="22">
        <v>17280</v>
      </c>
      <c r="BW750" s="22">
        <v>18720</v>
      </c>
      <c r="BX750" s="22">
        <v>36000</v>
      </c>
      <c r="CB750" s="15" t="s">
        <v>11878</v>
      </c>
      <c r="CD750" s="22">
        <v>11460</v>
      </c>
      <c r="CE750" s="22">
        <v>12415</v>
      </c>
      <c r="CF750" s="22">
        <v>23875</v>
      </c>
      <c r="CJ750" s="11" t="s">
        <v>319</v>
      </c>
      <c r="CL750" s="18"/>
      <c r="CN750" s="11" t="s">
        <v>319</v>
      </c>
      <c r="CP750" s="18"/>
      <c r="CR750" s="11" t="s">
        <v>319</v>
      </c>
      <c r="CT750" s="18"/>
      <c r="CV750" s="12" t="s">
        <v>320</v>
      </c>
      <c r="CW750" s="22">
        <v>23875</v>
      </c>
      <c r="CX750" s="18">
        <v>0.48</v>
      </c>
      <c r="CZ750" s="11" t="s">
        <v>319</v>
      </c>
      <c r="DB750" s="18"/>
      <c r="DD750" s="11" t="s">
        <v>319</v>
      </c>
      <c r="DF750" s="18"/>
      <c r="DH750" s="11" t="s">
        <v>319</v>
      </c>
      <c r="DJ750" s="18"/>
      <c r="DL750" s="11" t="s">
        <v>319</v>
      </c>
      <c r="DN750" s="18"/>
      <c r="DP750" s="11" t="s">
        <v>319</v>
      </c>
      <c r="DR750" s="18"/>
      <c r="DT750" s="11" t="s">
        <v>319</v>
      </c>
      <c r="DV750" s="18"/>
      <c r="DX750" s="11" t="s">
        <v>319</v>
      </c>
      <c r="DZ750" s="18"/>
      <c r="EB750" s="11" t="s">
        <v>319</v>
      </c>
      <c r="ED750" s="18"/>
      <c r="EI750" s="18"/>
      <c r="ES750" s="18"/>
      <c r="EW750" s="18"/>
      <c r="FA750" s="18"/>
      <c r="FE750" s="18"/>
      <c r="FI750" s="18"/>
      <c r="FM750" s="18"/>
      <c r="FQ750" s="18"/>
      <c r="FU750" s="18"/>
      <c r="FY750" s="18"/>
      <c r="GC750" s="18"/>
      <c r="GG750" s="18"/>
      <c r="GK750" s="18"/>
      <c r="GO750" s="18"/>
      <c r="GS750" s="18"/>
      <c r="GW750" s="18"/>
      <c r="HA750" s="18"/>
      <c r="HF750" s="18"/>
      <c r="HH750" s="11" t="s">
        <v>319</v>
      </c>
      <c r="HK750" s="11" t="s">
        <v>319</v>
      </c>
      <c r="HL750" s="11" t="s">
        <v>319</v>
      </c>
      <c r="HZ750" s="11" t="s">
        <v>363</v>
      </c>
      <c r="IB750" s="11" t="s">
        <v>667</v>
      </c>
      <c r="IC750" s="11" t="s">
        <v>11701</v>
      </c>
      <c r="ID750" s="11" t="s">
        <v>364</v>
      </c>
      <c r="IE750" s="11" t="s">
        <v>335</v>
      </c>
      <c r="IF750" s="11" t="s">
        <v>320</v>
      </c>
      <c r="IG750" s="11" t="s">
        <v>320</v>
      </c>
      <c r="IH750" s="11" t="s">
        <v>320</v>
      </c>
      <c r="II750" s="11" t="s">
        <v>320</v>
      </c>
      <c r="IJ750" s="12" t="str">
        <f t="shared" si="474"/>
        <v>2. Sensitive</v>
      </c>
      <c r="IK750" s="12">
        <f t="shared" si="475"/>
        <v>4</v>
      </c>
      <c r="IL750" s="12" t="s">
        <v>336</v>
      </c>
      <c r="IM750" s="11" t="s">
        <v>320</v>
      </c>
      <c r="IN750" s="11" t="s">
        <v>320</v>
      </c>
      <c r="IO750" s="11" t="s">
        <v>320</v>
      </c>
      <c r="IP750" s="11" t="s">
        <v>320</v>
      </c>
      <c r="IQ750" s="12" t="str">
        <f t="shared" si="476"/>
        <v>2. Accommodating</v>
      </c>
      <c r="IR750" s="12">
        <f t="shared" si="477"/>
        <v>4</v>
      </c>
      <c r="IW750" s="11" t="str">
        <f t="shared" si="478"/>
        <v>No marker score</v>
      </c>
      <c r="IX750" s="12">
        <f t="shared" si="479"/>
        <v>0</v>
      </c>
      <c r="IY750" s="11" t="s">
        <v>419</v>
      </c>
      <c r="IZ750" s="11" t="s">
        <v>457</v>
      </c>
      <c r="JA750" s="11">
        <v>2</v>
      </c>
      <c r="JB750" s="11" t="s">
        <v>831</v>
      </c>
      <c r="JE750" s="11" t="s">
        <v>340</v>
      </c>
      <c r="JP750" s="15">
        <f t="shared" si="480"/>
        <v>23875</v>
      </c>
      <c r="JQ750" s="15">
        <f t="shared" si="481"/>
        <v>0</v>
      </c>
      <c r="JR750" s="279">
        <f t="shared" si="482"/>
        <v>0</v>
      </c>
      <c r="JS750" s="17">
        <f t="shared" si="483"/>
        <v>0.48</v>
      </c>
      <c r="JT750" s="18" t="str">
        <f t="shared" si="484"/>
        <v/>
      </c>
      <c r="JU750" s="280">
        <f t="shared" si="485"/>
        <v>11460</v>
      </c>
      <c r="JV750" s="280">
        <f t="shared" si="486"/>
        <v>0</v>
      </c>
      <c r="JW750" s="319">
        <f t="shared" si="487"/>
        <v>1</v>
      </c>
      <c r="JX750" s="15">
        <f t="shared" si="488"/>
        <v>23875</v>
      </c>
      <c r="JY750" s="15">
        <f t="shared" si="489"/>
        <v>0</v>
      </c>
      <c r="JZ750" s="19">
        <f t="shared" si="490"/>
        <v>0</v>
      </c>
      <c r="KA750" s="52">
        <f t="shared" si="491"/>
        <v>1</v>
      </c>
      <c r="KB750" s="15">
        <f t="shared" si="492"/>
        <v>23875</v>
      </c>
      <c r="KC750" s="15">
        <f t="shared" si="493"/>
        <v>0</v>
      </c>
      <c r="KD750" s="20">
        <f t="shared" si="494"/>
        <v>0</v>
      </c>
      <c r="KE750" s="52" t="str">
        <f t="shared" si="495"/>
        <v/>
      </c>
      <c r="KF750" s="15">
        <f t="shared" si="496"/>
        <v>0</v>
      </c>
      <c r="KG750" s="15">
        <f t="shared" si="497"/>
        <v>0</v>
      </c>
      <c r="KH750" s="21" t="str">
        <f t="shared" si="498"/>
        <v/>
      </c>
      <c r="KI750" s="52" t="str">
        <f t="shared" si="499"/>
        <v/>
      </c>
      <c r="KJ750" s="15">
        <f t="shared" si="500"/>
        <v>0</v>
      </c>
      <c r="KK750" s="15">
        <f t="shared" si="501"/>
        <v>0</v>
      </c>
      <c r="KL750" s="19" t="str">
        <f t="shared" si="502"/>
        <v/>
      </c>
      <c r="KM750" s="52" t="str">
        <f t="shared" si="503"/>
        <v/>
      </c>
      <c r="KN750" s="22">
        <f t="shared" si="504"/>
        <v>0</v>
      </c>
      <c r="KO750" s="22">
        <f t="shared" si="505"/>
        <v>0</v>
      </c>
      <c r="KP750" s="19" t="str">
        <f t="shared" si="506"/>
        <v/>
      </c>
      <c r="KQ750" s="11" t="str">
        <f t="shared" si="507"/>
        <v>2. Sensitive</v>
      </c>
      <c r="KR750" s="11" t="str">
        <f t="shared" si="508"/>
        <v>2. Accommodating</v>
      </c>
      <c r="KS750" s="11" t="str">
        <f t="shared" si="509"/>
        <v>No marker score</v>
      </c>
      <c r="KT750" s="11" t="str">
        <f t="shared" si="510"/>
        <v>It did not develop any specific innovation</v>
      </c>
      <c r="KU750" s="11">
        <f t="shared" si="511"/>
        <v>0</v>
      </c>
      <c r="KV750" s="11" t="str">
        <f t="shared" si="512"/>
        <v>It took tested solutions to scale on its own</v>
      </c>
      <c r="KW750" s="11" t="str">
        <f t="shared" si="513"/>
        <v>Syria - Integrated, multi-sector response to acute and urgent needs of vulnerable populations across Syria</v>
      </c>
      <c r="KX750" s="11" t="str">
        <f t="shared" si="514"/>
        <v>Integrated, multi-sector response to acute and urgent needs of vulnerable populations across Syria</v>
      </c>
      <c r="KY750" s="11" t="str">
        <f t="shared" si="515"/>
        <v>Syria</v>
      </c>
      <c r="KZ750" s="12">
        <v>751</v>
      </c>
    </row>
    <row r="751" spans="1:312" x14ac:dyDescent="0.3">
      <c r="A751" s="11" t="s">
        <v>11693</v>
      </c>
      <c r="B751" s="11" t="s">
        <v>602</v>
      </c>
      <c r="D751" s="11" t="s">
        <v>11879</v>
      </c>
      <c r="E751" s="24" t="str">
        <f t="shared" si="473"/>
        <v>Syria</v>
      </c>
      <c r="F751" s="11" t="s">
        <v>11880</v>
      </c>
      <c r="G751" s="11" t="s">
        <v>605</v>
      </c>
      <c r="H751" s="11" t="s">
        <v>380</v>
      </c>
      <c r="I751" s="11" t="s">
        <v>517</v>
      </c>
      <c r="J751" s="278" t="s">
        <v>6222</v>
      </c>
      <c r="BD751" s="23">
        <v>42186</v>
      </c>
      <c r="BE751" s="23">
        <v>42794</v>
      </c>
      <c r="BF751" s="23">
        <v>42916</v>
      </c>
      <c r="BG751" s="11" t="s">
        <v>908</v>
      </c>
      <c r="BH751" s="22">
        <v>1647660</v>
      </c>
      <c r="BI751" s="11" t="s">
        <v>11881</v>
      </c>
      <c r="BJ751" s="11" t="s">
        <v>11882</v>
      </c>
      <c r="BK751" s="11" t="s">
        <v>11883</v>
      </c>
      <c r="BO751" s="11" t="s">
        <v>320</v>
      </c>
      <c r="BP751" s="11" t="s">
        <v>320</v>
      </c>
      <c r="BQ751" s="12" t="s">
        <v>320</v>
      </c>
      <c r="BR751" s="11" t="s">
        <v>11884</v>
      </c>
      <c r="BS751" s="11" t="s">
        <v>357</v>
      </c>
      <c r="BT751" s="11" t="s">
        <v>11885</v>
      </c>
      <c r="BU751" s="11" t="s">
        <v>11886</v>
      </c>
      <c r="BV751" s="22">
        <v>5599</v>
      </c>
      <c r="BW751" s="22">
        <v>4135</v>
      </c>
      <c r="BX751" s="22">
        <v>9734</v>
      </c>
      <c r="CD751" s="22">
        <v>5599</v>
      </c>
      <c r="CE751" s="22">
        <v>4135</v>
      </c>
      <c r="CF751" s="22">
        <v>9734</v>
      </c>
      <c r="CJ751" s="39"/>
      <c r="CK751" s="40"/>
      <c r="CL751" s="41"/>
      <c r="CM751" s="40"/>
      <c r="CN751" s="39"/>
      <c r="CO751" s="40"/>
      <c r="CP751" s="41"/>
      <c r="CQ751" s="40"/>
      <c r="CR751" s="39"/>
      <c r="CS751" s="40"/>
      <c r="CT751" s="41"/>
      <c r="CU751" s="40"/>
      <c r="CV751" s="39"/>
      <c r="CW751" s="40"/>
      <c r="CX751" s="41"/>
      <c r="CY751" s="40"/>
      <c r="CZ751" s="39"/>
      <c r="DA751" s="40"/>
      <c r="DB751" s="41"/>
      <c r="DC751" s="40"/>
      <c r="DD751" s="39"/>
      <c r="DE751" s="40"/>
      <c r="DF751" s="41"/>
      <c r="DG751" s="40"/>
      <c r="DH751" s="39"/>
      <c r="DI751" s="40"/>
      <c r="DJ751" s="41"/>
      <c r="DK751" s="40"/>
      <c r="DL751" s="11" t="s">
        <v>320</v>
      </c>
      <c r="DM751" s="40">
        <v>2571</v>
      </c>
      <c r="DN751" s="41">
        <v>0.51</v>
      </c>
      <c r="DO751" s="40"/>
      <c r="DP751" s="12" t="s">
        <v>320</v>
      </c>
      <c r="DQ751" s="40">
        <v>7163</v>
      </c>
      <c r="DR751" s="41">
        <v>0.6</v>
      </c>
      <c r="DS751" s="40"/>
      <c r="DT751" s="39"/>
      <c r="DU751" s="40"/>
      <c r="DV751" s="41"/>
      <c r="DW751" s="40"/>
      <c r="DX751" s="39"/>
      <c r="DY751" s="40"/>
      <c r="DZ751" s="41"/>
      <c r="EA751" s="40"/>
      <c r="EB751" s="39"/>
      <c r="EC751" s="40"/>
      <c r="ED751" s="41"/>
      <c r="EE751" s="40"/>
      <c r="EF751" s="39"/>
      <c r="EG751" s="39"/>
      <c r="EH751" s="40"/>
      <c r="EI751" s="41"/>
      <c r="EJ751" s="40"/>
      <c r="EK751" s="40"/>
      <c r="EL751" s="40"/>
      <c r="EM751" s="40"/>
      <c r="EN751" s="40"/>
      <c r="EO751" s="40"/>
      <c r="EP751" s="40"/>
      <c r="EQ751" s="39"/>
      <c r="ER751" s="40"/>
      <c r="ES751" s="41"/>
      <c r="ET751" s="40"/>
      <c r="EU751" s="39"/>
      <c r="EV751" s="40"/>
      <c r="EW751" s="41"/>
      <c r="EX751" s="40"/>
      <c r="EY751" s="39"/>
      <c r="EZ751" s="40"/>
      <c r="FA751" s="41"/>
      <c r="FB751" s="40"/>
      <c r="FC751" s="39"/>
      <c r="FD751" s="40"/>
      <c r="FE751" s="41"/>
      <c r="FF751" s="40"/>
      <c r="FG751" s="39"/>
      <c r="FH751" s="40"/>
      <c r="FI751" s="41"/>
      <c r="FJ751" s="40"/>
      <c r="FK751" s="39"/>
      <c r="FL751" s="40"/>
      <c r="FM751" s="41"/>
      <c r="FN751" s="40"/>
      <c r="FO751" s="39"/>
      <c r="FP751" s="40"/>
      <c r="FQ751" s="41"/>
      <c r="FR751" s="40"/>
      <c r="FS751" s="39"/>
      <c r="FT751" s="40"/>
      <c r="FU751" s="41"/>
      <c r="FV751" s="40"/>
      <c r="FW751" s="39"/>
      <c r="FX751" s="40"/>
      <c r="FY751" s="41"/>
      <c r="FZ751" s="40"/>
      <c r="GA751" s="39"/>
      <c r="GB751" s="40"/>
      <c r="GC751" s="41"/>
      <c r="GD751" s="40"/>
      <c r="GE751" s="39"/>
      <c r="GF751" s="40"/>
      <c r="GG751" s="41"/>
      <c r="GH751" s="40"/>
      <c r="GI751" s="39"/>
      <c r="GJ751" s="40"/>
      <c r="GK751" s="41"/>
      <c r="GL751" s="40"/>
      <c r="GM751" s="39"/>
      <c r="GN751" s="40"/>
      <c r="GO751" s="41"/>
      <c r="GP751" s="40"/>
      <c r="GQ751" s="39"/>
      <c r="GR751" s="40"/>
      <c r="GS751" s="41"/>
      <c r="GT751" s="40"/>
      <c r="GU751" s="39"/>
      <c r="GV751" s="40"/>
      <c r="GW751" s="41"/>
      <c r="GX751" s="40"/>
      <c r="GY751" s="39"/>
      <c r="GZ751" s="40"/>
      <c r="HA751" s="41"/>
      <c r="HB751" s="40"/>
      <c r="HF751" s="18"/>
      <c r="HH751" s="11" t="s">
        <v>320</v>
      </c>
      <c r="HI751" s="11" t="s">
        <v>415</v>
      </c>
      <c r="HJ751" s="11">
        <v>2017</v>
      </c>
      <c r="HK751" s="11" t="s">
        <v>320</v>
      </c>
      <c r="HL751" s="11" t="s">
        <v>320</v>
      </c>
      <c r="HM751" s="11" t="s">
        <v>415</v>
      </c>
      <c r="HN751" s="11">
        <v>2017</v>
      </c>
      <c r="HO751" s="11" t="s">
        <v>11887</v>
      </c>
      <c r="HP751" s="11" t="s">
        <v>330</v>
      </c>
      <c r="HQ751" s="11" t="s">
        <v>319</v>
      </c>
      <c r="HR751" s="11" t="s">
        <v>319</v>
      </c>
      <c r="HS751" s="11" t="s">
        <v>320</v>
      </c>
      <c r="HT751" s="11" t="s">
        <v>319</v>
      </c>
      <c r="HU751" s="11" t="s">
        <v>320</v>
      </c>
      <c r="HV751" s="11" t="s">
        <v>320</v>
      </c>
      <c r="HW751" s="11" t="s">
        <v>319</v>
      </c>
      <c r="HX751" s="11" t="s">
        <v>319</v>
      </c>
      <c r="HZ751" s="11" t="s">
        <v>331</v>
      </c>
      <c r="IB751" s="11" t="s">
        <v>396</v>
      </c>
      <c r="ID751" s="11" t="s">
        <v>477</v>
      </c>
      <c r="IE751" s="11" t="s">
        <v>335</v>
      </c>
      <c r="IF751" s="11" t="s">
        <v>320</v>
      </c>
      <c r="IG751" s="11" t="s">
        <v>320</v>
      </c>
      <c r="IH751" s="11" t="s">
        <v>320</v>
      </c>
      <c r="II751" s="11" t="s">
        <v>320</v>
      </c>
      <c r="IJ751" s="12" t="str">
        <f t="shared" si="474"/>
        <v>2. Sensitive</v>
      </c>
      <c r="IK751" s="12">
        <f t="shared" si="475"/>
        <v>4</v>
      </c>
      <c r="IQ751" s="12" t="str">
        <f t="shared" si="476"/>
        <v>No marker score</v>
      </c>
      <c r="IR751" s="12">
        <f t="shared" si="477"/>
        <v>0</v>
      </c>
      <c r="IW751" s="11" t="str">
        <f t="shared" si="478"/>
        <v>No marker score</v>
      </c>
      <c r="IX751" s="12">
        <f t="shared" si="479"/>
        <v>0</v>
      </c>
      <c r="IY751" s="11" t="s">
        <v>338</v>
      </c>
      <c r="IZ751" s="11" t="s">
        <v>457</v>
      </c>
      <c r="JA751" s="11">
        <v>1</v>
      </c>
      <c r="JE751" s="11" t="s">
        <v>365</v>
      </c>
      <c r="JF751" s="11" t="s">
        <v>11888</v>
      </c>
      <c r="JG751" s="11" t="s">
        <v>11889</v>
      </c>
      <c r="JH751" s="11" t="s">
        <v>11890</v>
      </c>
      <c r="JI751" s="11" t="s">
        <v>11891</v>
      </c>
      <c r="JJ751" s="11" t="s">
        <v>11892</v>
      </c>
      <c r="JP751" s="15">
        <f t="shared" si="480"/>
        <v>9734</v>
      </c>
      <c r="JQ751" s="15">
        <f t="shared" si="481"/>
        <v>0</v>
      </c>
      <c r="JR751" s="279">
        <f t="shared" si="482"/>
        <v>0</v>
      </c>
      <c r="JS751" s="17">
        <f t="shared" si="483"/>
        <v>0.57520032874460658</v>
      </c>
      <c r="JT751" s="18" t="str">
        <f t="shared" si="484"/>
        <v/>
      </c>
      <c r="JU751" s="280">
        <f t="shared" si="485"/>
        <v>5599</v>
      </c>
      <c r="JV751" s="280">
        <f t="shared" si="486"/>
        <v>0</v>
      </c>
      <c r="JW751" s="319">
        <f t="shared" si="487"/>
        <v>1</v>
      </c>
      <c r="JX751" s="15">
        <f t="shared" si="488"/>
        <v>9734</v>
      </c>
      <c r="JY751" s="15">
        <f t="shared" si="489"/>
        <v>0</v>
      </c>
      <c r="JZ751" s="19">
        <f t="shared" si="490"/>
        <v>0</v>
      </c>
      <c r="KA751" s="52">
        <f t="shared" si="491"/>
        <v>1</v>
      </c>
      <c r="KB751" s="15">
        <f t="shared" si="492"/>
        <v>2571</v>
      </c>
      <c r="KC751" s="15">
        <f t="shared" si="493"/>
        <v>0</v>
      </c>
      <c r="KD751" s="20">
        <f t="shared" si="494"/>
        <v>0</v>
      </c>
      <c r="KE751" s="52" t="str">
        <f t="shared" si="495"/>
        <v/>
      </c>
      <c r="KF751" s="15">
        <f t="shared" si="496"/>
        <v>0</v>
      </c>
      <c r="KG751" s="15">
        <f t="shared" si="497"/>
        <v>0</v>
      </c>
      <c r="KH751" s="21" t="str">
        <f t="shared" si="498"/>
        <v/>
      </c>
      <c r="KI751" s="52" t="str">
        <f t="shared" si="499"/>
        <v/>
      </c>
      <c r="KJ751" s="15">
        <f t="shared" si="500"/>
        <v>0</v>
      </c>
      <c r="KK751" s="15">
        <f t="shared" si="501"/>
        <v>0</v>
      </c>
      <c r="KL751" s="19" t="str">
        <f t="shared" si="502"/>
        <v/>
      </c>
      <c r="KM751" s="52" t="str">
        <f t="shared" si="503"/>
        <v/>
      </c>
      <c r="KN751" s="22">
        <f t="shared" si="504"/>
        <v>0</v>
      </c>
      <c r="KO751" s="22">
        <f t="shared" si="505"/>
        <v>0</v>
      </c>
      <c r="KP751" s="19" t="str">
        <f t="shared" si="506"/>
        <v/>
      </c>
      <c r="KQ751" s="11" t="str">
        <f t="shared" si="507"/>
        <v>2. Sensitive</v>
      </c>
      <c r="KR751" s="11" t="str">
        <f t="shared" si="508"/>
        <v>No marker score</v>
      </c>
      <c r="KS751" s="11" t="str">
        <f t="shared" si="509"/>
        <v>No marker score</v>
      </c>
      <c r="KT751" s="11" t="str">
        <f t="shared" si="510"/>
        <v>It tested new ways for fighting poverty and measured results of innovation</v>
      </c>
      <c r="KU751" s="11" t="str">
        <f t="shared" si="511"/>
        <v>Moderate advocacy</v>
      </c>
      <c r="KV751" s="11" t="str">
        <f t="shared" si="512"/>
        <v>It linked and worked with strategic alliances and partners to take tested and effective solutions to scale</v>
      </c>
      <c r="KW751" s="11" t="str">
        <f t="shared" si="513"/>
        <v>Syria - Livelihoods and resilience support to people affected by the Syrian Crisis</v>
      </c>
      <c r="KX751" s="11" t="str">
        <f t="shared" si="514"/>
        <v>Livelihoods and resilience support to people affected by the Syrian Crisis</v>
      </c>
      <c r="KY751" s="11" t="str">
        <f t="shared" si="515"/>
        <v>Syria</v>
      </c>
      <c r="KZ751" s="12">
        <v>752</v>
      </c>
    </row>
    <row r="752" spans="1:312" x14ac:dyDescent="0.3">
      <c r="A752" s="11" t="s">
        <v>11693</v>
      </c>
      <c r="B752" s="11" t="s">
        <v>602</v>
      </c>
      <c r="D752" s="11" t="s">
        <v>12072</v>
      </c>
      <c r="E752" s="277" t="str">
        <f t="shared" si="473"/>
        <v>Syria</v>
      </c>
      <c r="F752" s="11" t="s">
        <v>12073</v>
      </c>
      <c r="G752" s="11" t="s">
        <v>608</v>
      </c>
      <c r="H752" s="11" t="s">
        <v>380</v>
      </c>
      <c r="I752" s="11" t="s">
        <v>381</v>
      </c>
      <c r="J752" s="278" t="s">
        <v>12798</v>
      </c>
      <c r="BD752" s="23">
        <v>42887</v>
      </c>
      <c r="BE752" s="23">
        <v>43190</v>
      </c>
      <c r="BG752" s="11" t="s">
        <v>490</v>
      </c>
      <c r="BH752" s="22">
        <v>719749</v>
      </c>
      <c r="BI752" s="11" t="s">
        <v>11781</v>
      </c>
      <c r="BJ752" s="11" t="s">
        <v>11782</v>
      </c>
      <c r="BK752" s="11" t="s">
        <v>11783</v>
      </c>
      <c r="BO752" s="11" t="s">
        <v>320</v>
      </c>
      <c r="BP752" s="11" t="s">
        <v>319</v>
      </c>
      <c r="BQ752" s="11" t="s">
        <v>319</v>
      </c>
      <c r="BR752" s="11" t="s">
        <v>12074</v>
      </c>
      <c r="BS752" s="11" t="s">
        <v>357</v>
      </c>
      <c r="BT752" s="11" t="s">
        <v>11981</v>
      </c>
      <c r="BU752" s="11" t="s">
        <v>12075</v>
      </c>
      <c r="BV752" s="22">
        <v>17250</v>
      </c>
      <c r="BW752" s="22">
        <v>2</v>
      </c>
      <c r="BX752" s="22">
        <v>17252</v>
      </c>
      <c r="CD752" s="22">
        <v>17250</v>
      </c>
      <c r="CE752" s="22">
        <v>2</v>
      </c>
      <c r="CF752" s="22">
        <v>17252</v>
      </c>
      <c r="CJ752" s="39"/>
      <c r="CK752" s="40"/>
      <c r="CL752" s="41"/>
      <c r="CM752" s="40"/>
      <c r="CN752" s="39"/>
      <c r="CO752" s="40"/>
      <c r="CP752" s="41"/>
      <c r="CQ752" s="40"/>
      <c r="CR752" s="39"/>
      <c r="CS752" s="40"/>
      <c r="CT752" s="41"/>
      <c r="CU752" s="40"/>
      <c r="CV752" s="39"/>
      <c r="CW752" s="40"/>
      <c r="CX752" s="41"/>
      <c r="CY752" s="40"/>
      <c r="CZ752" s="39"/>
      <c r="DA752" s="40"/>
      <c r="DB752" s="41"/>
      <c r="DC752" s="40"/>
      <c r="DD752" s="39"/>
      <c r="DE752" s="40"/>
      <c r="DF752" s="41"/>
      <c r="DG752" s="40"/>
      <c r="DH752" s="39"/>
      <c r="DI752" s="40"/>
      <c r="DJ752" s="41"/>
      <c r="DK752" s="40"/>
      <c r="DL752" s="39"/>
      <c r="DM752" s="40"/>
      <c r="DN752" s="41"/>
      <c r="DO752" s="40"/>
      <c r="DP752" s="39"/>
      <c r="DQ752" s="40"/>
      <c r="DR752" s="41"/>
      <c r="DS752" s="40"/>
      <c r="DT752" s="12" t="s">
        <v>320</v>
      </c>
      <c r="DU752" s="40">
        <v>17252</v>
      </c>
      <c r="DV752" s="41">
        <v>1</v>
      </c>
      <c r="DW752" s="40"/>
      <c r="DX752" s="39"/>
      <c r="DY752" s="40"/>
      <c r="DZ752" s="41"/>
      <c r="EA752" s="40"/>
      <c r="EB752" s="39"/>
      <c r="EC752" s="40"/>
      <c r="ED752" s="41"/>
      <c r="EE752" s="40"/>
      <c r="EF752" s="39"/>
      <c r="EG752" s="39"/>
      <c r="EH752" s="40"/>
      <c r="EI752" s="41"/>
      <c r="EJ752" s="40"/>
      <c r="EK752" s="40"/>
      <c r="EL752" s="40"/>
      <c r="EM752" s="40"/>
      <c r="EN752" s="40"/>
      <c r="EO752" s="40"/>
      <c r="EP752" s="40"/>
      <c r="EQ752" s="39"/>
      <c r="ER752" s="40"/>
      <c r="ES752" s="41"/>
      <c r="ET752" s="40"/>
      <c r="EU752" s="39"/>
      <c r="EV752" s="40"/>
      <c r="EW752" s="41"/>
      <c r="EX752" s="40"/>
      <c r="EY752" s="39"/>
      <c r="EZ752" s="40"/>
      <c r="FA752" s="41"/>
      <c r="FB752" s="40"/>
      <c r="FC752" s="39"/>
      <c r="FD752" s="40"/>
      <c r="FE752" s="41"/>
      <c r="FF752" s="40"/>
      <c r="FG752" s="39"/>
      <c r="FH752" s="40"/>
      <c r="FI752" s="41"/>
      <c r="FJ752" s="40"/>
      <c r="FK752" s="39"/>
      <c r="FL752" s="40"/>
      <c r="FM752" s="41"/>
      <c r="FN752" s="40"/>
      <c r="FO752" s="39"/>
      <c r="FP752" s="40"/>
      <c r="FQ752" s="41"/>
      <c r="FR752" s="40"/>
      <c r="FS752" s="39"/>
      <c r="FT752" s="40"/>
      <c r="FU752" s="41"/>
      <c r="FV752" s="40"/>
      <c r="FW752" s="39"/>
      <c r="FX752" s="40"/>
      <c r="FY752" s="41"/>
      <c r="FZ752" s="40"/>
      <c r="GA752" s="39"/>
      <c r="GB752" s="40"/>
      <c r="GC752" s="41"/>
      <c r="GD752" s="40"/>
      <c r="GE752" s="39"/>
      <c r="GF752" s="40"/>
      <c r="GG752" s="41"/>
      <c r="GH752" s="40"/>
      <c r="GI752" s="39"/>
      <c r="GJ752" s="40"/>
      <c r="GK752" s="41"/>
      <c r="GL752" s="40"/>
      <c r="GM752" s="39"/>
      <c r="GN752" s="40"/>
      <c r="GO752" s="41"/>
      <c r="GP752" s="40"/>
      <c r="GQ752" s="39"/>
      <c r="GR752" s="40"/>
      <c r="GS752" s="41"/>
      <c r="GT752" s="40"/>
      <c r="GU752" s="39"/>
      <c r="GV752" s="40"/>
      <c r="GW752" s="41"/>
      <c r="GX752" s="40"/>
      <c r="GY752" s="39"/>
      <c r="GZ752" s="40"/>
      <c r="HA752" s="41"/>
      <c r="HB752" s="40"/>
      <c r="HF752" s="18"/>
      <c r="HH752" s="11" t="s">
        <v>319</v>
      </c>
      <c r="HK752" s="11" t="s">
        <v>319</v>
      </c>
      <c r="HL752" s="11" t="s">
        <v>319</v>
      </c>
      <c r="HO752" s="11" t="s">
        <v>393</v>
      </c>
      <c r="HP752" s="11" t="s">
        <v>418</v>
      </c>
      <c r="HQ752" s="11" t="s">
        <v>320</v>
      </c>
      <c r="HR752" s="11" t="s">
        <v>320</v>
      </c>
      <c r="HS752" s="11" t="s">
        <v>320</v>
      </c>
      <c r="HT752" s="11" t="s">
        <v>320</v>
      </c>
      <c r="HU752" s="11" t="s">
        <v>320</v>
      </c>
      <c r="HV752" s="11" t="s">
        <v>320</v>
      </c>
      <c r="HW752" s="11" t="s">
        <v>319</v>
      </c>
      <c r="HX752" s="11" t="s">
        <v>320</v>
      </c>
      <c r="HZ752" s="11" t="s">
        <v>394</v>
      </c>
      <c r="IA752" s="11" t="s">
        <v>12076</v>
      </c>
      <c r="IB752" s="11" t="s">
        <v>667</v>
      </c>
      <c r="IC752" s="11" t="s">
        <v>12077</v>
      </c>
      <c r="ID752" s="11" t="s">
        <v>477</v>
      </c>
      <c r="IE752" s="11" t="s">
        <v>335</v>
      </c>
      <c r="IF752" s="11" t="s">
        <v>320</v>
      </c>
      <c r="IG752" s="11" t="s">
        <v>320</v>
      </c>
      <c r="IH752" s="11" t="s">
        <v>320</v>
      </c>
      <c r="II752" s="11" t="s">
        <v>320</v>
      </c>
      <c r="IJ752" s="12" t="str">
        <f t="shared" si="474"/>
        <v>2. Sensitive</v>
      </c>
      <c r="IK752" s="12">
        <f t="shared" si="475"/>
        <v>4</v>
      </c>
      <c r="IQ752" s="12" t="str">
        <f t="shared" si="476"/>
        <v>No marker score</v>
      </c>
      <c r="IR752" s="12">
        <f t="shared" si="477"/>
        <v>0</v>
      </c>
      <c r="IW752" s="11" t="str">
        <f t="shared" si="478"/>
        <v>No marker score</v>
      </c>
      <c r="IX752" s="12">
        <f t="shared" si="479"/>
        <v>0</v>
      </c>
      <c r="IY752" s="11" t="s">
        <v>338</v>
      </c>
      <c r="IZ752" s="11" t="s">
        <v>457</v>
      </c>
      <c r="JB752" s="11" t="s">
        <v>433</v>
      </c>
      <c r="JE752" s="11" t="s">
        <v>365</v>
      </c>
      <c r="JF752" s="11" t="s">
        <v>12078</v>
      </c>
      <c r="JG752" s="11" t="s">
        <v>12079</v>
      </c>
      <c r="JH752" s="11" t="s">
        <v>12080</v>
      </c>
      <c r="JI752" s="11" t="s">
        <v>12081</v>
      </c>
      <c r="JJ752" s="11" t="s">
        <v>12082</v>
      </c>
      <c r="JK752" s="11" t="s">
        <v>12083</v>
      </c>
      <c r="JL752" s="11" t="s">
        <v>12084</v>
      </c>
      <c r="JP752" s="15">
        <f t="shared" si="480"/>
        <v>17252</v>
      </c>
      <c r="JQ752" s="15">
        <f t="shared" si="481"/>
        <v>0</v>
      </c>
      <c r="JR752" s="279">
        <f t="shared" si="482"/>
        <v>0</v>
      </c>
      <c r="JS752" s="17">
        <f t="shared" si="483"/>
        <v>0.99988407141201019</v>
      </c>
      <c r="JT752" s="18" t="str">
        <f t="shared" si="484"/>
        <v/>
      </c>
      <c r="JU752" s="280">
        <f t="shared" si="485"/>
        <v>17250</v>
      </c>
      <c r="JV752" s="280">
        <f t="shared" si="486"/>
        <v>0</v>
      </c>
      <c r="JW752" s="319">
        <f t="shared" si="487"/>
        <v>1</v>
      </c>
      <c r="JX752" s="15">
        <f t="shared" si="488"/>
        <v>17252</v>
      </c>
      <c r="JY752" s="15">
        <f t="shared" si="489"/>
        <v>0</v>
      </c>
      <c r="JZ752" s="19">
        <f t="shared" si="490"/>
        <v>0</v>
      </c>
      <c r="KA752" s="52" t="str">
        <f t="shared" si="491"/>
        <v/>
      </c>
      <c r="KB752" s="15">
        <f t="shared" si="492"/>
        <v>0</v>
      </c>
      <c r="KC752" s="15">
        <f t="shared" si="493"/>
        <v>0</v>
      </c>
      <c r="KD752" s="20" t="str">
        <f t="shared" si="494"/>
        <v/>
      </c>
      <c r="KE752" s="52">
        <f t="shared" si="495"/>
        <v>1</v>
      </c>
      <c r="KF752" s="15">
        <f t="shared" si="496"/>
        <v>17252</v>
      </c>
      <c r="KG752" s="15">
        <f t="shared" si="497"/>
        <v>0</v>
      </c>
      <c r="KH752" s="21">
        <f t="shared" si="498"/>
        <v>0</v>
      </c>
      <c r="KI752" s="52" t="str">
        <f t="shared" si="499"/>
        <v/>
      </c>
      <c r="KJ752" s="15">
        <f t="shared" si="500"/>
        <v>0</v>
      </c>
      <c r="KK752" s="15">
        <f t="shared" si="501"/>
        <v>0</v>
      </c>
      <c r="KL752" s="19" t="str">
        <f t="shared" si="502"/>
        <v/>
      </c>
      <c r="KM752" s="52" t="str">
        <f t="shared" si="503"/>
        <v/>
      </c>
      <c r="KN752" s="22">
        <f t="shared" si="504"/>
        <v>0</v>
      </c>
      <c r="KO752" s="22">
        <f t="shared" si="505"/>
        <v>0</v>
      </c>
      <c r="KP752" s="19" t="str">
        <f t="shared" si="506"/>
        <v/>
      </c>
      <c r="KQ752" s="11" t="str">
        <f t="shared" si="507"/>
        <v>2. Sensitive</v>
      </c>
      <c r="KR752" s="11" t="str">
        <f t="shared" si="508"/>
        <v>No marker score</v>
      </c>
      <c r="KS752" s="11" t="str">
        <f t="shared" si="509"/>
        <v>No marker score</v>
      </c>
      <c r="KT752" s="11" t="str">
        <f t="shared" si="510"/>
        <v>It tested new ways for fighting poverty, but did not measure results of innovation</v>
      </c>
      <c r="KU752" s="11" t="str">
        <f t="shared" si="511"/>
        <v>Little or no advocacy</v>
      </c>
      <c r="KV752" s="11" t="str">
        <f t="shared" si="512"/>
        <v>It took tested solutions to scale on its own</v>
      </c>
      <c r="KW752" s="11" t="str">
        <f t="shared" si="513"/>
        <v>Syria - Promoting Access to Family Planning (FP) and Gender Based Violence (GBV) Services in conflict affected communities in Syria</v>
      </c>
      <c r="KX752" s="11" t="str">
        <f t="shared" si="514"/>
        <v>Promoting Access to Family Planning (FP) and Gender Based Violence (GBV) Services in conflict affected communities in Syria</v>
      </c>
      <c r="KY752" s="11" t="str">
        <f t="shared" si="515"/>
        <v>Syria</v>
      </c>
      <c r="KZ752" s="12">
        <v>753</v>
      </c>
    </row>
    <row r="753" spans="1:312" x14ac:dyDescent="0.3">
      <c r="A753" s="11" t="s">
        <v>11693</v>
      </c>
      <c r="B753" s="11" t="s">
        <v>602</v>
      </c>
      <c r="D753" s="11" t="s">
        <v>12085</v>
      </c>
      <c r="E753" s="277" t="str">
        <f t="shared" si="473"/>
        <v>Syria</v>
      </c>
      <c r="F753" s="11" t="s">
        <v>12086</v>
      </c>
      <c r="G753" s="11" t="s">
        <v>608</v>
      </c>
      <c r="H753" s="11" t="s">
        <v>380</v>
      </c>
      <c r="I753" s="11" t="s">
        <v>381</v>
      </c>
      <c r="J753" s="278" t="s">
        <v>12798</v>
      </c>
      <c r="BD753" s="23">
        <v>42461</v>
      </c>
      <c r="BE753" s="23">
        <v>42855</v>
      </c>
      <c r="BG753" s="11" t="s">
        <v>947</v>
      </c>
      <c r="BH753" s="22">
        <v>44000</v>
      </c>
      <c r="BI753" s="11" t="s">
        <v>11881</v>
      </c>
      <c r="BJ753" s="11" t="s">
        <v>11882</v>
      </c>
      <c r="BK753" s="11" t="s">
        <v>11883</v>
      </c>
      <c r="BL753" s="11" t="s">
        <v>11760</v>
      </c>
      <c r="BM753" s="11" t="s">
        <v>11761</v>
      </c>
      <c r="BN753" s="11" t="s">
        <v>11762</v>
      </c>
      <c r="BO753" s="11" t="s">
        <v>320</v>
      </c>
      <c r="BP753" s="11" t="s">
        <v>319</v>
      </c>
      <c r="BQ753" s="11" t="s">
        <v>319</v>
      </c>
      <c r="BR753" s="11" t="s">
        <v>12087</v>
      </c>
      <c r="BS753" s="11" t="s">
        <v>357</v>
      </c>
      <c r="BT753" s="11" t="s">
        <v>11981</v>
      </c>
      <c r="BU753" s="11" t="s">
        <v>12088</v>
      </c>
      <c r="BV753" s="22">
        <v>55948</v>
      </c>
      <c r="BW753" s="22">
        <v>4971</v>
      </c>
      <c r="BX753" s="22">
        <v>60919</v>
      </c>
      <c r="CD753" s="22">
        <v>55948</v>
      </c>
      <c r="CE753" s="22">
        <v>4971</v>
      </c>
      <c r="CF753" s="22">
        <v>60919</v>
      </c>
      <c r="CJ753" s="39"/>
      <c r="CK753" s="40"/>
      <c r="CL753" s="41"/>
      <c r="CM753" s="40"/>
      <c r="CN753" s="39"/>
      <c r="CO753" s="40"/>
      <c r="CP753" s="41"/>
      <c r="CQ753" s="40"/>
      <c r="CR753" s="39"/>
      <c r="CS753" s="40"/>
      <c r="CT753" s="41"/>
      <c r="CU753" s="40"/>
      <c r="CV753" s="39"/>
      <c r="CW753" s="40"/>
      <c r="CX753" s="41"/>
      <c r="CY753" s="40"/>
      <c r="CZ753" s="39"/>
      <c r="DA753" s="40"/>
      <c r="DB753" s="41"/>
      <c r="DC753" s="40"/>
      <c r="DD753" s="39"/>
      <c r="DE753" s="40"/>
      <c r="DF753" s="41"/>
      <c r="DG753" s="40"/>
      <c r="DH753" s="39"/>
      <c r="DI753" s="40"/>
      <c r="DJ753" s="41"/>
      <c r="DK753" s="40"/>
      <c r="DL753" s="39"/>
      <c r="DM753" s="40"/>
      <c r="DN753" s="41"/>
      <c r="DO753" s="40"/>
      <c r="DP753" s="39"/>
      <c r="DQ753" s="40"/>
      <c r="DR753" s="41"/>
      <c r="DS753" s="40"/>
      <c r="DT753" s="12" t="s">
        <v>320</v>
      </c>
      <c r="DU753" s="40">
        <v>60919</v>
      </c>
      <c r="DV753" s="41">
        <v>0.92</v>
      </c>
      <c r="DW753" s="40"/>
      <c r="DX753" s="39"/>
      <c r="DY753" s="40"/>
      <c r="DZ753" s="41"/>
      <c r="EA753" s="40"/>
      <c r="EB753" s="39"/>
      <c r="EC753" s="40"/>
      <c r="ED753" s="41"/>
      <c r="EE753" s="40"/>
      <c r="EF753" s="39"/>
      <c r="EG753" s="39"/>
      <c r="EH753" s="40"/>
      <c r="EI753" s="41"/>
      <c r="EJ753" s="40"/>
      <c r="EK753" s="40"/>
      <c r="EL753" s="40"/>
      <c r="EM753" s="40"/>
      <c r="EN753" s="40"/>
      <c r="EO753" s="40"/>
      <c r="EP753" s="40"/>
      <c r="EQ753" s="39"/>
      <c r="ER753" s="40"/>
      <c r="ES753" s="41"/>
      <c r="ET753" s="40"/>
      <c r="EU753" s="39"/>
      <c r="EV753" s="40"/>
      <c r="EW753" s="41"/>
      <c r="EX753" s="40"/>
      <c r="EY753" s="39"/>
      <c r="EZ753" s="40"/>
      <c r="FA753" s="41"/>
      <c r="FB753" s="40"/>
      <c r="FC753" s="39"/>
      <c r="FD753" s="40"/>
      <c r="FE753" s="41"/>
      <c r="FF753" s="40"/>
      <c r="FG753" s="39"/>
      <c r="FH753" s="40"/>
      <c r="FI753" s="41"/>
      <c r="FJ753" s="40"/>
      <c r="FK753" s="39"/>
      <c r="FL753" s="40"/>
      <c r="FM753" s="41"/>
      <c r="FN753" s="40"/>
      <c r="FO753" s="39"/>
      <c r="FP753" s="40"/>
      <c r="FQ753" s="41"/>
      <c r="FR753" s="40"/>
      <c r="FS753" s="39"/>
      <c r="FT753" s="40"/>
      <c r="FU753" s="41"/>
      <c r="FV753" s="40"/>
      <c r="FW753" s="39"/>
      <c r="FX753" s="40"/>
      <c r="FY753" s="41"/>
      <c r="FZ753" s="40"/>
      <c r="GA753" s="39"/>
      <c r="GB753" s="40"/>
      <c r="GC753" s="41"/>
      <c r="GD753" s="40"/>
      <c r="GE753" s="39"/>
      <c r="GF753" s="40"/>
      <c r="GG753" s="41"/>
      <c r="GH753" s="40"/>
      <c r="GI753" s="39"/>
      <c r="GJ753" s="40"/>
      <c r="GK753" s="41"/>
      <c r="GL753" s="40"/>
      <c r="GM753" s="39"/>
      <c r="GN753" s="40"/>
      <c r="GO753" s="41"/>
      <c r="GP753" s="40"/>
      <c r="GQ753" s="39"/>
      <c r="GR753" s="40"/>
      <c r="GS753" s="41"/>
      <c r="GT753" s="40"/>
      <c r="GU753" s="39"/>
      <c r="GV753" s="40"/>
      <c r="GW753" s="41"/>
      <c r="GX753" s="40"/>
      <c r="GY753" s="39"/>
      <c r="GZ753" s="40"/>
      <c r="HA753" s="41"/>
      <c r="HB753" s="40"/>
      <c r="HF753" s="18"/>
      <c r="HK753" s="11" t="s">
        <v>319</v>
      </c>
      <c r="HL753" s="11" t="s">
        <v>319</v>
      </c>
      <c r="HO753" s="11" t="s">
        <v>393</v>
      </c>
      <c r="HP753" s="11" t="s">
        <v>453</v>
      </c>
      <c r="HQ753" s="11" t="s">
        <v>320</v>
      </c>
      <c r="HR753" s="11" t="s">
        <v>320</v>
      </c>
      <c r="HS753" s="11" t="s">
        <v>320</v>
      </c>
      <c r="HT753" s="11" t="s">
        <v>320</v>
      </c>
      <c r="HU753" s="11" t="s">
        <v>320</v>
      </c>
      <c r="HV753" s="11" t="s">
        <v>320</v>
      </c>
      <c r="HW753" s="11" t="s">
        <v>319</v>
      </c>
      <c r="HZ753" s="11" t="s">
        <v>394</v>
      </c>
      <c r="IA753" s="11" t="s">
        <v>12076</v>
      </c>
      <c r="IB753" s="11" t="s">
        <v>667</v>
      </c>
      <c r="IC753" s="11" t="s">
        <v>12077</v>
      </c>
      <c r="ID753" s="11" t="s">
        <v>477</v>
      </c>
      <c r="IE753" s="11" t="s">
        <v>335</v>
      </c>
      <c r="IF753" s="11" t="s">
        <v>320</v>
      </c>
      <c r="IG753" s="11" t="s">
        <v>320</v>
      </c>
      <c r="IH753" s="11" t="s">
        <v>320</v>
      </c>
      <c r="II753" s="11" t="s">
        <v>320</v>
      </c>
      <c r="IJ753" s="12" t="str">
        <f t="shared" si="474"/>
        <v>2. Sensitive</v>
      </c>
      <c r="IK753" s="12">
        <f t="shared" si="475"/>
        <v>4</v>
      </c>
      <c r="IQ753" s="12" t="str">
        <f t="shared" si="476"/>
        <v>No marker score</v>
      </c>
      <c r="IR753" s="12">
        <f t="shared" si="477"/>
        <v>0</v>
      </c>
      <c r="IW753" s="11" t="str">
        <f t="shared" si="478"/>
        <v>No marker score</v>
      </c>
      <c r="IX753" s="12">
        <f t="shared" si="479"/>
        <v>0</v>
      </c>
      <c r="IY753" s="11" t="s">
        <v>338</v>
      </c>
      <c r="IZ753" s="11" t="s">
        <v>457</v>
      </c>
      <c r="JA753" s="11">
        <v>1</v>
      </c>
      <c r="JB753" s="11" t="s">
        <v>433</v>
      </c>
      <c r="JE753" s="11" t="s">
        <v>365</v>
      </c>
      <c r="JH753" s="11" t="s">
        <v>12080</v>
      </c>
      <c r="JI753" s="11" t="s">
        <v>12081</v>
      </c>
      <c r="JJ753" s="11" t="s">
        <v>12082</v>
      </c>
      <c r="JK753" s="11" t="s">
        <v>12083</v>
      </c>
      <c r="JL753" s="11" t="s">
        <v>12089</v>
      </c>
      <c r="JP753" s="15">
        <f t="shared" si="480"/>
        <v>60919</v>
      </c>
      <c r="JQ753" s="15">
        <f t="shared" si="481"/>
        <v>0</v>
      </c>
      <c r="JR753" s="279">
        <f t="shared" si="482"/>
        <v>0</v>
      </c>
      <c r="JS753" s="17">
        <f t="shared" si="483"/>
        <v>0.91839984241369688</v>
      </c>
      <c r="JT753" s="18" t="str">
        <f t="shared" si="484"/>
        <v/>
      </c>
      <c r="JU753" s="280">
        <f t="shared" si="485"/>
        <v>55948</v>
      </c>
      <c r="JV753" s="280">
        <f t="shared" si="486"/>
        <v>0</v>
      </c>
      <c r="JW753" s="319">
        <f t="shared" si="487"/>
        <v>1</v>
      </c>
      <c r="JX753" s="15">
        <f t="shared" si="488"/>
        <v>60919</v>
      </c>
      <c r="JY753" s="15">
        <f t="shared" si="489"/>
        <v>0</v>
      </c>
      <c r="JZ753" s="19">
        <f t="shared" si="490"/>
        <v>0</v>
      </c>
      <c r="KA753" s="52" t="str">
        <f t="shared" si="491"/>
        <v/>
      </c>
      <c r="KB753" s="15">
        <f t="shared" si="492"/>
        <v>0</v>
      </c>
      <c r="KC753" s="15">
        <f t="shared" si="493"/>
        <v>0</v>
      </c>
      <c r="KD753" s="20" t="str">
        <f t="shared" si="494"/>
        <v/>
      </c>
      <c r="KE753" s="52">
        <f t="shared" si="495"/>
        <v>1</v>
      </c>
      <c r="KF753" s="15">
        <f t="shared" si="496"/>
        <v>60919</v>
      </c>
      <c r="KG753" s="15">
        <f t="shared" si="497"/>
        <v>0</v>
      </c>
      <c r="KH753" s="21">
        <f t="shared" si="498"/>
        <v>0</v>
      </c>
      <c r="KI753" s="52" t="str">
        <f t="shared" si="499"/>
        <v/>
      </c>
      <c r="KJ753" s="15">
        <f t="shared" si="500"/>
        <v>0</v>
      </c>
      <c r="KK753" s="15">
        <f t="shared" si="501"/>
        <v>0</v>
      </c>
      <c r="KL753" s="19" t="str">
        <f t="shared" si="502"/>
        <v/>
      </c>
      <c r="KM753" s="52" t="str">
        <f t="shared" si="503"/>
        <v/>
      </c>
      <c r="KN753" s="22">
        <f t="shared" si="504"/>
        <v>0</v>
      </c>
      <c r="KO753" s="22">
        <f t="shared" si="505"/>
        <v>0</v>
      </c>
      <c r="KP753" s="19" t="str">
        <f t="shared" si="506"/>
        <v/>
      </c>
      <c r="KQ753" s="11" t="str">
        <f t="shared" si="507"/>
        <v>2. Sensitive</v>
      </c>
      <c r="KR753" s="11" t="str">
        <f t="shared" si="508"/>
        <v>No marker score</v>
      </c>
      <c r="KS753" s="11" t="str">
        <f t="shared" si="509"/>
        <v>No marker score</v>
      </c>
      <c r="KT753" s="11" t="str">
        <f t="shared" si="510"/>
        <v>It tested new ways for fighting poverty, but did not measure results of innovation</v>
      </c>
      <c r="KU753" s="11" t="str">
        <f t="shared" si="511"/>
        <v>Intensive advocacy</v>
      </c>
      <c r="KV753" s="11" t="str">
        <f t="shared" si="512"/>
        <v>It took tested solutions to scale on its own</v>
      </c>
      <c r="KW753" s="11" t="str">
        <f t="shared" si="513"/>
        <v>Syria - Promoting Access to FP and GBV Services in conflict-affected communities in Syria</v>
      </c>
      <c r="KX753" s="11" t="str">
        <f t="shared" si="514"/>
        <v>Promoting Access to FP and GBV Services in conflict-affected communities in Syria</v>
      </c>
      <c r="KY753" s="11" t="str">
        <f t="shared" si="515"/>
        <v>Syria</v>
      </c>
      <c r="KZ753" s="12">
        <v>754</v>
      </c>
    </row>
    <row r="754" spans="1:312" x14ac:dyDescent="0.3">
      <c r="A754" s="11" t="s">
        <v>11693</v>
      </c>
      <c r="B754" s="11" t="s">
        <v>602</v>
      </c>
      <c r="D754" s="11" t="s">
        <v>11758</v>
      </c>
      <c r="E754" s="277" t="str">
        <f t="shared" si="473"/>
        <v>Syria</v>
      </c>
      <c r="F754" s="11" t="s">
        <v>11759</v>
      </c>
      <c r="G754" s="11" t="s">
        <v>714</v>
      </c>
      <c r="H754" s="11" t="s">
        <v>383</v>
      </c>
      <c r="I754" s="11" t="s">
        <v>384</v>
      </c>
      <c r="J754" s="278" t="s">
        <v>714</v>
      </c>
      <c r="BD754" s="23">
        <v>42719</v>
      </c>
      <c r="BE754" s="23">
        <v>42781</v>
      </c>
      <c r="BG754" s="11" t="s">
        <v>908</v>
      </c>
      <c r="BH754" s="22">
        <v>34141</v>
      </c>
      <c r="BI754" s="11" t="s">
        <v>11760</v>
      </c>
      <c r="BJ754" s="11" t="s">
        <v>11761</v>
      </c>
      <c r="BK754" s="11" t="s">
        <v>11762</v>
      </c>
      <c r="BO754" s="11" t="s">
        <v>320</v>
      </c>
      <c r="BP754" s="11" t="s">
        <v>319</v>
      </c>
      <c r="BQ754" s="11" t="s">
        <v>319</v>
      </c>
      <c r="BR754" s="11" t="s">
        <v>11763</v>
      </c>
      <c r="BS754" s="11" t="s">
        <v>357</v>
      </c>
      <c r="BT754" s="11" t="s">
        <v>11764</v>
      </c>
      <c r="BU754" s="11" t="s">
        <v>11765</v>
      </c>
      <c r="BV754" s="22">
        <v>731</v>
      </c>
      <c r="BW754" s="22">
        <v>714</v>
      </c>
      <c r="BX754" s="22">
        <v>1445</v>
      </c>
      <c r="CD754" s="22">
        <v>731</v>
      </c>
      <c r="CE754" s="22">
        <v>714</v>
      </c>
      <c r="CF754" s="22">
        <v>1445</v>
      </c>
      <c r="CJ754" s="39"/>
      <c r="CK754" s="40"/>
      <c r="CL754" s="41"/>
      <c r="CM754" s="40"/>
      <c r="CN754" s="39"/>
      <c r="CO754" s="40"/>
      <c r="CP754" s="41"/>
      <c r="CQ754" s="40"/>
      <c r="CR754" s="39"/>
      <c r="CS754" s="40"/>
      <c r="CT754" s="41"/>
      <c r="CU754" s="40"/>
      <c r="CV754" s="39"/>
      <c r="CW754" s="40"/>
      <c r="CX754" s="41"/>
      <c r="CY754" s="40"/>
      <c r="CZ754" s="39"/>
      <c r="DA754" s="40"/>
      <c r="DB754" s="41"/>
      <c r="DC754" s="40"/>
      <c r="DD754" s="39"/>
      <c r="DE754" s="40"/>
      <c r="DF754" s="41"/>
      <c r="DG754" s="40"/>
      <c r="DH754" s="39"/>
      <c r="DI754" s="40"/>
      <c r="DJ754" s="41"/>
      <c r="DK754" s="40"/>
      <c r="DL754" s="39"/>
      <c r="DM754" s="40"/>
      <c r="DN754" s="41"/>
      <c r="DO754" s="40"/>
      <c r="DP754" s="39"/>
      <c r="DQ754" s="40"/>
      <c r="DR754" s="41"/>
      <c r="DS754" s="40"/>
      <c r="DT754" s="39"/>
      <c r="DU754" s="40"/>
      <c r="DV754" s="41"/>
      <c r="DW754" s="40"/>
      <c r="DX754" s="12" t="s">
        <v>320</v>
      </c>
      <c r="DY754" s="40">
        <v>1445</v>
      </c>
      <c r="DZ754" s="41">
        <v>0.51</v>
      </c>
      <c r="EA754" s="40"/>
      <c r="EB754" s="39"/>
      <c r="EC754" s="40"/>
      <c r="ED754" s="41"/>
      <c r="EE754" s="40"/>
      <c r="EF754" s="39"/>
      <c r="EG754" s="39"/>
      <c r="EH754" s="40"/>
      <c r="EI754" s="41"/>
      <c r="EJ754" s="40"/>
      <c r="EK754" s="40"/>
      <c r="EL754" s="40"/>
      <c r="EM754" s="40"/>
      <c r="EN754" s="40"/>
      <c r="EO754" s="40"/>
      <c r="EP754" s="40"/>
      <c r="EQ754" s="39"/>
      <c r="ER754" s="40"/>
      <c r="ES754" s="41"/>
      <c r="ET754" s="40"/>
      <c r="EU754" s="39"/>
      <c r="EV754" s="40"/>
      <c r="EW754" s="41"/>
      <c r="EX754" s="40"/>
      <c r="EY754" s="39"/>
      <c r="EZ754" s="40"/>
      <c r="FA754" s="41"/>
      <c r="FB754" s="40"/>
      <c r="FC754" s="39"/>
      <c r="FD754" s="40"/>
      <c r="FE754" s="41"/>
      <c r="FF754" s="40"/>
      <c r="FG754" s="39"/>
      <c r="FH754" s="40"/>
      <c r="FI754" s="41"/>
      <c r="FJ754" s="40"/>
      <c r="FK754" s="39"/>
      <c r="FL754" s="40"/>
      <c r="FM754" s="41"/>
      <c r="FN754" s="40"/>
      <c r="FO754" s="39"/>
      <c r="FP754" s="40"/>
      <c r="FQ754" s="41"/>
      <c r="FR754" s="40"/>
      <c r="FS754" s="39"/>
      <c r="FT754" s="40"/>
      <c r="FU754" s="41"/>
      <c r="FV754" s="40"/>
      <c r="FW754" s="39"/>
      <c r="FX754" s="40"/>
      <c r="FY754" s="41"/>
      <c r="FZ754" s="40"/>
      <c r="GA754" s="39"/>
      <c r="GB754" s="40"/>
      <c r="GC754" s="41"/>
      <c r="GD754" s="40"/>
      <c r="GE754" s="39"/>
      <c r="GF754" s="40"/>
      <c r="GG754" s="41"/>
      <c r="GH754" s="40"/>
      <c r="GI754" s="39"/>
      <c r="GJ754" s="40"/>
      <c r="GK754" s="41"/>
      <c r="GL754" s="40"/>
      <c r="GM754" s="39"/>
      <c r="GN754" s="40"/>
      <c r="GO754" s="41"/>
      <c r="GP754" s="40"/>
      <c r="GQ754" s="39"/>
      <c r="GR754" s="40"/>
      <c r="GS754" s="41"/>
      <c r="GT754" s="40"/>
      <c r="GU754" s="39"/>
      <c r="GV754" s="40"/>
      <c r="GW754" s="41"/>
      <c r="GX754" s="40"/>
      <c r="GY754" s="39"/>
      <c r="GZ754" s="40"/>
      <c r="HA754" s="41"/>
      <c r="HB754" s="40"/>
      <c r="HF754" s="18"/>
      <c r="HH754" s="11" t="s">
        <v>319</v>
      </c>
      <c r="HK754" s="11" t="s">
        <v>319</v>
      </c>
      <c r="HL754" s="11" t="s">
        <v>319</v>
      </c>
      <c r="HP754" s="11" t="s">
        <v>418</v>
      </c>
      <c r="HQ754" s="11" t="s">
        <v>319</v>
      </c>
      <c r="HR754" s="11" t="s">
        <v>320</v>
      </c>
      <c r="HS754" s="11" t="s">
        <v>320</v>
      </c>
      <c r="HT754" s="11" t="s">
        <v>320</v>
      </c>
      <c r="HU754" s="11" t="s">
        <v>319</v>
      </c>
      <c r="HV754" s="11" t="s">
        <v>319</v>
      </c>
      <c r="HW754" s="11" t="s">
        <v>319</v>
      </c>
      <c r="HZ754" s="11" t="s">
        <v>363</v>
      </c>
      <c r="IB754" s="11" t="s">
        <v>667</v>
      </c>
      <c r="ID754" s="11" t="s">
        <v>477</v>
      </c>
      <c r="IE754" s="11" t="s">
        <v>335</v>
      </c>
      <c r="IF754" s="11" t="s">
        <v>320</v>
      </c>
      <c r="IG754" s="11" t="s">
        <v>320</v>
      </c>
      <c r="IH754" s="11" t="s">
        <v>320</v>
      </c>
      <c r="II754" s="11" t="s">
        <v>320</v>
      </c>
      <c r="IJ754" s="12" t="str">
        <f t="shared" si="474"/>
        <v>2. Sensitive</v>
      </c>
      <c r="IK754" s="12">
        <f t="shared" si="475"/>
        <v>4</v>
      </c>
      <c r="IQ754" s="12" t="str">
        <f t="shared" si="476"/>
        <v>No marker score</v>
      </c>
      <c r="IR754" s="12">
        <f t="shared" si="477"/>
        <v>0</v>
      </c>
      <c r="IW754" s="11" t="str">
        <f t="shared" si="478"/>
        <v>No marker score</v>
      </c>
      <c r="IX754" s="12">
        <f t="shared" si="479"/>
        <v>0</v>
      </c>
      <c r="IY754" s="11" t="s">
        <v>338</v>
      </c>
      <c r="IZ754" s="11" t="s">
        <v>457</v>
      </c>
      <c r="JA754" s="11">
        <v>1</v>
      </c>
      <c r="JB754" s="11" t="s">
        <v>433</v>
      </c>
      <c r="JE754" s="11" t="s">
        <v>420</v>
      </c>
      <c r="JG754" s="11" t="s">
        <v>11766</v>
      </c>
      <c r="JK754" s="11" t="s">
        <v>11767</v>
      </c>
      <c r="JL754" s="11" t="s">
        <v>11721</v>
      </c>
      <c r="JP754" s="15">
        <f t="shared" si="480"/>
        <v>1445</v>
      </c>
      <c r="JQ754" s="15">
        <f t="shared" si="481"/>
        <v>0</v>
      </c>
      <c r="JR754" s="279">
        <f t="shared" si="482"/>
        <v>0</v>
      </c>
      <c r="JS754" s="17">
        <f t="shared" si="483"/>
        <v>0.50588235294117645</v>
      </c>
      <c r="JT754" s="18" t="str">
        <f t="shared" si="484"/>
        <v/>
      </c>
      <c r="JU754" s="280">
        <f t="shared" si="485"/>
        <v>731</v>
      </c>
      <c r="JV754" s="280">
        <f t="shared" si="486"/>
        <v>0</v>
      </c>
      <c r="JW754" s="319">
        <f t="shared" si="487"/>
        <v>1</v>
      </c>
      <c r="JX754" s="15">
        <f t="shared" si="488"/>
        <v>1445</v>
      </c>
      <c r="JY754" s="15">
        <f t="shared" si="489"/>
        <v>0</v>
      </c>
      <c r="JZ754" s="19">
        <f t="shared" si="490"/>
        <v>0</v>
      </c>
      <c r="KA754" s="52" t="str">
        <f t="shared" si="491"/>
        <v/>
      </c>
      <c r="KB754" s="15">
        <f t="shared" si="492"/>
        <v>0</v>
      </c>
      <c r="KC754" s="15">
        <f t="shared" si="493"/>
        <v>0</v>
      </c>
      <c r="KD754" s="20" t="str">
        <f t="shared" si="494"/>
        <v/>
      </c>
      <c r="KE754" s="52" t="str">
        <f t="shared" si="495"/>
        <v/>
      </c>
      <c r="KF754" s="15">
        <f t="shared" si="496"/>
        <v>0</v>
      </c>
      <c r="KG754" s="15">
        <f t="shared" si="497"/>
        <v>0</v>
      </c>
      <c r="KH754" s="21" t="str">
        <f t="shared" si="498"/>
        <v/>
      </c>
      <c r="KI754" s="52" t="str">
        <f t="shared" si="499"/>
        <v/>
      </c>
      <c r="KJ754" s="15">
        <f t="shared" si="500"/>
        <v>0</v>
      </c>
      <c r="KK754" s="15">
        <f t="shared" si="501"/>
        <v>0</v>
      </c>
      <c r="KL754" s="19" t="str">
        <f t="shared" si="502"/>
        <v/>
      </c>
      <c r="KM754" s="52" t="str">
        <f t="shared" si="503"/>
        <v/>
      </c>
      <c r="KN754" s="22">
        <f t="shared" si="504"/>
        <v>0</v>
      </c>
      <c r="KO754" s="22">
        <f t="shared" si="505"/>
        <v>0</v>
      </c>
      <c r="KP754" s="19" t="str">
        <f t="shared" si="506"/>
        <v/>
      </c>
      <c r="KQ754" s="11" t="str">
        <f t="shared" si="507"/>
        <v>2. Sensitive</v>
      </c>
      <c r="KR754" s="11" t="str">
        <f t="shared" si="508"/>
        <v>No marker score</v>
      </c>
      <c r="KS754" s="11" t="str">
        <f t="shared" si="509"/>
        <v>No marker score</v>
      </c>
      <c r="KT754" s="11" t="str">
        <f t="shared" si="510"/>
        <v>It did not develop any specific innovation</v>
      </c>
      <c r="KU754" s="11" t="str">
        <f t="shared" si="511"/>
        <v>Little or no advocacy</v>
      </c>
      <c r="KV754" s="11" t="str">
        <f t="shared" si="512"/>
        <v>It took tested solutions to scale on its own</v>
      </c>
      <c r="KW754" s="11" t="str">
        <f t="shared" si="513"/>
        <v>Syria - Provision of essential emergency relief supplies to displaced populations fleeing Aleppo</v>
      </c>
      <c r="KX754" s="11" t="str">
        <f t="shared" si="514"/>
        <v>Provision of essential emergency relief supplies to displaced populations fleeing Aleppo</v>
      </c>
      <c r="KY754" s="11" t="str">
        <f t="shared" si="515"/>
        <v>Syria</v>
      </c>
      <c r="KZ754" s="12">
        <v>755</v>
      </c>
    </row>
    <row r="755" spans="1:312" x14ac:dyDescent="0.3">
      <c r="A755" s="11" t="s">
        <v>11693</v>
      </c>
      <c r="B755" s="11" t="s">
        <v>602</v>
      </c>
      <c r="D755" s="11" t="s">
        <v>11962</v>
      </c>
      <c r="E755" s="24" t="str">
        <f t="shared" si="473"/>
        <v>Syria</v>
      </c>
      <c r="F755" s="11" t="s">
        <v>11963</v>
      </c>
      <c r="G755" s="11" t="s">
        <v>379</v>
      </c>
      <c r="H755" s="11" t="s">
        <v>310</v>
      </c>
      <c r="I755" s="11" t="s">
        <v>655</v>
      </c>
      <c r="J755" s="278" t="s">
        <v>9916</v>
      </c>
      <c r="BD755" s="23">
        <v>42248</v>
      </c>
      <c r="BE755" s="23">
        <v>42613</v>
      </c>
      <c r="BG755" s="11" t="s">
        <v>817</v>
      </c>
      <c r="BH755" s="22">
        <v>2996600</v>
      </c>
      <c r="BI755" s="11" t="s">
        <v>11881</v>
      </c>
      <c r="BJ755" s="11" t="s">
        <v>11964</v>
      </c>
      <c r="BK755" s="11" t="s">
        <v>11883</v>
      </c>
      <c r="BO755" s="11" t="s">
        <v>320</v>
      </c>
      <c r="BP755" s="11" t="s">
        <v>319</v>
      </c>
      <c r="BQ755" s="11" t="s">
        <v>319</v>
      </c>
      <c r="BR755" s="11" t="s">
        <v>11965</v>
      </c>
      <c r="BS755" s="11" t="s">
        <v>357</v>
      </c>
      <c r="BT755" s="11" t="s">
        <v>11966</v>
      </c>
      <c r="BU755" s="11" t="s">
        <v>11967</v>
      </c>
      <c r="BV755" s="22">
        <v>13850</v>
      </c>
      <c r="BW755" s="22">
        <v>7247</v>
      </c>
      <c r="BX755" s="22">
        <v>21097</v>
      </c>
      <c r="CD755" s="22">
        <v>13850</v>
      </c>
      <c r="CE755" s="22">
        <v>7247</v>
      </c>
      <c r="CF755" s="22">
        <v>21097</v>
      </c>
      <c r="CJ755" s="39"/>
      <c r="CK755" s="40"/>
      <c r="CL755" s="41"/>
      <c r="CM755" s="40"/>
      <c r="CN755" s="39"/>
      <c r="CO755" s="40"/>
      <c r="CP755" s="41"/>
      <c r="CQ755" s="40"/>
      <c r="CR755" s="39"/>
      <c r="CS755" s="40"/>
      <c r="CT755" s="41"/>
      <c r="CU755" s="40"/>
      <c r="CV755" s="39"/>
      <c r="CW755" s="40"/>
      <c r="CX755" s="41"/>
      <c r="CY755" s="40"/>
      <c r="CZ755" s="39"/>
      <c r="DA755" s="40"/>
      <c r="DB755" s="41"/>
      <c r="DC755" s="40"/>
      <c r="DD755" s="39"/>
      <c r="DE755" s="40"/>
      <c r="DF755" s="41"/>
      <c r="DG755" s="40"/>
      <c r="DH755" s="12" t="s">
        <v>320</v>
      </c>
      <c r="DI755" s="40">
        <v>15560</v>
      </c>
      <c r="DJ755" s="41">
        <v>0.62</v>
      </c>
      <c r="DK755" s="40"/>
      <c r="DL755" s="11" t="s">
        <v>320</v>
      </c>
      <c r="DM755" s="40">
        <v>2599</v>
      </c>
      <c r="DN755" s="41">
        <v>0.49</v>
      </c>
      <c r="DO755" s="40"/>
      <c r="DP755" s="39"/>
      <c r="DQ755" s="40"/>
      <c r="DR755" s="41"/>
      <c r="DS755" s="40"/>
      <c r="DT755" s="12" t="s">
        <v>320</v>
      </c>
      <c r="DU755" s="40">
        <v>2938</v>
      </c>
      <c r="DV755" s="41">
        <v>1</v>
      </c>
      <c r="DW755" s="40"/>
      <c r="DX755" s="39"/>
      <c r="DY755" s="40"/>
      <c r="DZ755" s="41"/>
      <c r="EA755" s="40"/>
      <c r="EB755" s="39"/>
      <c r="EC755" s="40"/>
      <c r="ED755" s="41"/>
      <c r="EE755" s="40"/>
      <c r="EF755" s="39"/>
      <c r="EG755" s="39"/>
      <c r="EH755" s="40"/>
      <c r="EI755" s="41"/>
      <c r="EJ755" s="40"/>
      <c r="EK755" s="40"/>
      <c r="EL755" s="40"/>
      <c r="EM755" s="40"/>
      <c r="EN755" s="40"/>
      <c r="EO755" s="40"/>
      <c r="EP755" s="40"/>
      <c r="EQ755" s="39"/>
      <c r="ER755" s="40"/>
      <c r="ES755" s="41"/>
      <c r="ET755" s="40"/>
      <c r="EU755" s="39"/>
      <c r="EV755" s="40"/>
      <c r="EW755" s="41"/>
      <c r="EX755" s="40"/>
      <c r="EY755" s="39"/>
      <c r="EZ755" s="40"/>
      <c r="FA755" s="41"/>
      <c r="FB755" s="40"/>
      <c r="FC755" s="39"/>
      <c r="FD755" s="40"/>
      <c r="FE755" s="41"/>
      <c r="FF755" s="40"/>
      <c r="FG755" s="39"/>
      <c r="FH755" s="40"/>
      <c r="FI755" s="41"/>
      <c r="FJ755" s="40"/>
      <c r="FK755" s="39"/>
      <c r="FL755" s="40"/>
      <c r="FM755" s="41"/>
      <c r="FN755" s="40"/>
      <c r="FO755" s="39"/>
      <c r="FP755" s="40"/>
      <c r="FQ755" s="41"/>
      <c r="FR755" s="40"/>
      <c r="FS755" s="39"/>
      <c r="FT755" s="40"/>
      <c r="FU755" s="41"/>
      <c r="FV755" s="40"/>
      <c r="FW755" s="39"/>
      <c r="FX755" s="40"/>
      <c r="FY755" s="41"/>
      <c r="FZ755" s="40"/>
      <c r="GA755" s="39"/>
      <c r="GB755" s="40"/>
      <c r="GC755" s="41"/>
      <c r="GD755" s="40"/>
      <c r="GE755" s="39"/>
      <c r="GF755" s="40"/>
      <c r="GG755" s="41"/>
      <c r="GH755" s="40"/>
      <c r="GI755" s="39"/>
      <c r="GJ755" s="40"/>
      <c r="GK755" s="41"/>
      <c r="GL755" s="40"/>
      <c r="GM755" s="39"/>
      <c r="GN755" s="40"/>
      <c r="GO755" s="41"/>
      <c r="GP755" s="40"/>
      <c r="GQ755" s="39"/>
      <c r="GR755" s="40"/>
      <c r="GS755" s="41"/>
      <c r="GT755" s="40"/>
      <c r="GU755" s="39"/>
      <c r="GV755" s="40"/>
      <c r="GW755" s="41"/>
      <c r="GX755" s="40"/>
      <c r="GY755" s="39"/>
      <c r="GZ755" s="40"/>
      <c r="HA755" s="41"/>
      <c r="HB755" s="40"/>
      <c r="HF755" s="18"/>
      <c r="HH755" s="11" t="s">
        <v>320</v>
      </c>
      <c r="HI755" s="11" t="s">
        <v>327</v>
      </c>
      <c r="HJ755" s="11">
        <v>2016</v>
      </c>
      <c r="HK755" s="11" t="s">
        <v>320</v>
      </c>
      <c r="HL755" s="11" t="s">
        <v>319</v>
      </c>
      <c r="HP755" s="11" t="s">
        <v>330</v>
      </c>
      <c r="HQ755" s="11" t="s">
        <v>319</v>
      </c>
      <c r="HR755" s="11" t="s">
        <v>319</v>
      </c>
      <c r="HS755" s="11" t="s">
        <v>320</v>
      </c>
      <c r="HT755" s="11" t="s">
        <v>320</v>
      </c>
      <c r="HU755" s="11" t="s">
        <v>320</v>
      </c>
      <c r="HW755" s="11" t="s">
        <v>319</v>
      </c>
      <c r="HZ755" s="11" t="s">
        <v>394</v>
      </c>
      <c r="IA755" s="11" t="s">
        <v>11968</v>
      </c>
      <c r="IB755" s="11" t="s">
        <v>333</v>
      </c>
      <c r="ID755" s="11" t="s">
        <v>334</v>
      </c>
      <c r="IE755" s="11" t="s">
        <v>335</v>
      </c>
      <c r="IF755" s="11" t="s">
        <v>320</v>
      </c>
      <c r="IG755" s="11" t="s">
        <v>320</v>
      </c>
      <c r="IH755" s="11" t="s">
        <v>320</v>
      </c>
      <c r="II755" s="11" t="s">
        <v>320</v>
      </c>
      <c r="IJ755" s="12" t="str">
        <f t="shared" si="474"/>
        <v>2. Sensitive</v>
      </c>
      <c r="IK755" s="12">
        <f t="shared" si="475"/>
        <v>4</v>
      </c>
      <c r="IQ755" s="12" t="str">
        <f t="shared" si="476"/>
        <v>No marker score</v>
      </c>
      <c r="IR755" s="12">
        <f t="shared" si="477"/>
        <v>0</v>
      </c>
      <c r="IW755" s="11" t="str">
        <f t="shared" si="478"/>
        <v>No marker score</v>
      </c>
      <c r="IX755" s="12">
        <f t="shared" si="479"/>
        <v>0</v>
      </c>
      <c r="IY755" s="11" t="s">
        <v>338</v>
      </c>
      <c r="IZ755" s="11" t="s">
        <v>457</v>
      </c>
      <c r="JA755" s="11">
        <v>3</v>
      </c>
      <c r="JB755" s="11" t="s">
        <v>433</v>
      </c>
      <c r="JE755" s="11" t="s">
        <v>365</v>
      </c>
      <c r="JH755" s="11" t="s">
        <v>8476</v>
      </c>
      <c r="JI755" s="11" t="s">
        <v>11969</v>
      </c>
      <c r="JJ755" s="11" t="s">
        <v>11970</v>
      </c>
      <c r="JK755" s="11" t="s">
        <v>11971</v>
      </c>
      <c r="JL755" s="11" t="s">
        <v>11972</v>
      </c>
      <c r="JM755" s="11" t="s">
        <v>11973</v>
      </c>
      <c r="JP755" s="15">
        <f t="shared" si="480"/>
        <v>21097</v>
      </c>
      <c r="JQ755" s="15">
        <f t="shared" si="481"/>
        <v>0</v>
      </c>
      <c r="JR755" s="279">
        <f t="shared" si="482"/>
        <v>0</v>
      </c>
      <c r="JS755" s="17">
        <f t="shared" si="483"/>
        <v>0.65649144428117745</v>
      </c>
      <c r="JT755" s="18" t="str">
        <f t="shared" si="484"/>
        <v/>
      </c>
      <c r="JU755" s="280">
        <f t="shared" si="485"/>
        <v>13850</v>
      </c>
      <c r="JV755" s="280">
        <f t="shared" si="486"/>
        <v>0</v>
      </c>
      <c r="JW755" s="319">
        <f t="shared" si="487"/>
        <v>1</v>
      </c>
      <c r="JX755" s="15">
        <f t="shared" si="488"/>
        <v>21097</v>
      </c>
      <c r="JY755" s="15">
        <f t="shared" si="489"/>
        <v>0</v>
      </c>
      <c r="JZ755" s="19">
        <f t="shared" si="490"/>
        <v>0</v>
      </c>
      <c r="KA755" s="52">
        <f t="shared" si="491"/>
        <v>1</v>
      </c>
      <c r="KB755" s="15">
        <f t="shared" si="492"/>
        <v>2599</v>
      </c>
      <c r="KC755" s="15">
        <f t="shared" si="493"/>
        <v>0</v>
      </c>
      <c r="KD755" s="20">
        <f t="shared" si="494"/>
        <v>0</v>
      </c>
      <c r="KE755" s="52">
        <f t="shared" si="495"/>
        <v>1</v>
      </c>
      <c r="KF755" s="15">
        <f t="shared" si="496"/>
        <v>2938</v>
      </c>
      <c r="KG755" s="15">
        <f t="shared" si="497"/>
        <v>0</v>
      </c>
      <c r="KH755" s="21">
        <f t="shared" si="498"/>
        <v>0</v>
      </c>
      <c r="KI755" s="52" t="str">
        <f t="shared" si="499"/>
        <v/>
      </c>
      <c r="KJ755" s="15">
        <f t="shared" si="500"/>
        <v>0</v>
      </c>
      <c r="KK755" s="15">
        <f t="shared" si="501"/>
        <v>0</v>
      </c>
      <c r="KL755" s="19" t="str">
        <f t="shared" si="502"/>
        <v/>
      </c>
      <c r="KM755" s="52" t="str">
        <f t="shared" si="503"/>
        <v/>
      </c>
      <c r="KN755" s="22">
        <f t="shared" si="504"/>
        <v>0</v>
      </c>
      <c r="KO755" s="22">
        <f t="shared" si="505"/>
        <v>0</v>
      </c>
      <c r="KP755" s="19" t="str">
        <f t="shared" si="506"/>
        <v/>
      </c>
      <c r="KQ755" s="11" t="str">
        <f t="shared" si="507"/>
        <v>2. Sensitive</v>
      </c>
      <c r="KR755" s="11" t="str">
        <f t="shared" si="508"/>
        <v>No marker score</v>
      </c>
      <c r="KS755" s="11" t="str">
        <f t="shared" si="509"/>
        <v>No marker score</v>
      </c>
      <c r="KT755" s="11" t="str">
        <f t="shared" si="510"/>
        <v>It tested new ways for fighting poverty, but did not measure results of innovation</v>
      </c>
      <c r="KU755" s="11" t="str">
        <f t="shared" si="511"/>
        <v>Moderate advocacy</v>
      </c>
      <c r="KV755" s="11" t="str">
        <f t="shared" si="512"/>
        <v>It did not take tested solutions to scale</v>
      </c>
      <c r="KW755" s="11" t="str">
        <f t="shared" si="513"/>
        <v>Syria - Rapid Emergency Assistance to Conflict Affected Households in Syria, Phase II (REACH-S II)</v>
      </c>
      <c r="KX755" s="11" t="str">
        <f t="shared" si="514"/>
        <v>Rapid Emergency Assistance to Conflict Affected Households in Syria, Phase II (REACH-S II)</v>
      </c>
      <c r="KY755" s="11" t="str">
        <f t="shared" si="515"/>
        <v>Syria</v>
      </c>
      <c r="KZ755" s="12">
        <v>756</v>
      </c>
    </row>
    <row r="756" spans="1:312" x14ac:dyDescent="0.3">
      <c r="A756" s="11" t="s">
        <v>11693</v>
      </c>
      <c r="B756" s="11" t="s">
        <v>602</v>
      </c>
      <c r="D756" s="11" t="s">
        <v>11974</v>
      </c>
      <c r="E756" s="24" t="str">
        <f t="shared" si="473"/>
        <v>Syria</v>
      </c>
      <c r="F756" s="11" t="s">
        <v>11975</v>
      </c>
      <c r="G756" s="11" t="s">
        <v>379</v>
      </c>
      <c r="H756" s="11" t="s">
        <v>310</v>
      </c>
      <c r="I756" s="11" t="s">
        <v>655</v>
      </c>
      <c r="J756" s="278" t="s">
        <v>9916</v>
      </c>
      <c r="BD756" s="23">
        <v>42614</v>
      </c>
      <c r="BE756" s="23">
        <v>42978</v>
      </c>
      <c r="BG756" s="11" t="s">
        <v>817</v>
      </c>
      <c r="BH756" s="22">
        <v>6032831</v>
      </c>
      <c r="BI756" s="11" t="s">
        <v>11976</v>
      </c>
      <c r="BJ756" s="11" t="s">
        <v>11977</v>
      </c>
      <c r="BK756" s="11" t="s">
        <v>11978</v>
      </c>
      <c r="BL756" s="11" t="s">
        <v>11979</v>
      </c>
      <c r="BM756" s="11" t="s">
        <v>354</v>
      </c>
      <c r="BN756" s="11" t="s">
        <v>11980</v>
      </c>
      <c r="BO756" s="11" t="s">
        <v>320</v>
      </c>
      <c r="BP756" s="11" t="s">
        <v>319</v>
      </c>
      <c r="BQ756" s="11" t="s">
        <v>319</v>
      </c>
      <c r="BR756" s="11" t="s">
        <v>11965</v>
      </c>
      <c r="BS756" s="11" t="s">
        <v>357</v>
      </c>
      <c r="BT756" s="11" t="s">
        <v>11981</v>
      </c>
      <c r="BU756" s="11" t="s">
        <v>11982</v>
      </c>
      <c r="BV756" s="22">
        <v>143280</v>
      </c>
      <c r="BW756" s="22">
        <v>105929</v>
      </c>
      <c r="BX756" s="22">
        <v>249209</v>
      </c>
      <c r="CD756" s="22">
        <v>143280</v>
      </c>
      <c r="CE756" s="22">
        <v>105929</v>
      </c>
      <c r="CF756" s="22">
        <v>249209</v>
      </c>
      <c r="CJ756" s="39"/>
      <c r="CK756" s="40"/>
      <c r="CL756" s="41"/>
      <c r="CM756" s="40"/>
      <c r="CN756" s="39"/>
      <c r="CO756" s="40"/>
      <c r="CP756" s="41"/>
      <c r="CQ756" s="40"/>
      <c r="CR756" s="39"/>
      <c r="CS756" s="40"/>
      <c r="CT756" s="41"/>
      <c r="CU756" s="40"/>
      <c r="CV756" s="39"/>
      <c r="CW756" s="40"/>
      <c r="CX756" s="41"/>
      <c r="CY756" s="40"/>
      <c r="CZ756" s="39"/>
      <c r="DA756" s="40"/>
      <c r="DB756" s="41"/>
      <c r="DC756" s="40"/>
      <c r="DD756" s="39"/>
      <c r="DE756" s="40"/>
      <c r="DF756" s="41"/>
      <c r="DG756" s="40"/>
      <c r="DH756" s="12" t="s">
        <v>320</v>
      </c>
      <c r="DI756" s="40">
        <v>210929</v>
      </c>
      <c r="DJ756" s="41">
        <v>0.59</v>
      </c>
      <c r="DK756" s="40"/>
      <c r="DL756" s="11" t="s">
        <v>320</v>
      </c>
      <c r="DM756" s="40">
        <v>11991</v>
      </c>
      <c r="DN756" s="41">
        <v>0.51</v>
      </c>
      <c r="DO756" s="40"/>
      <c r="DP756" s="39"/>
      <c r="DQ756" s="40"/>
      <c r="DR756" s="41"/>
      <c r="DS756" s="40"/>
      <c r="DT756" s="39"/>
      <c r="DU756" s="40"/>
      <c r="DV756" s="41"/>
      <c r="DW756" s="40"/>
      <c r="DX756" s="12" t="s">
        <v>320</v>
      </c>
      <c r="DY756" s="40">
        <v>26289</v>
      </c>
      <c r="DZ756" s="41">
        <v>0.5</v>
      </c>
      <c r="EA756" s="40"/>
      <c r="EB756" s="39"/>
      <c r="EC756" s="40"/>
      <c r="ED756" s="41"/>
      <c r="EE756" s="40"/>
      <c r="EF756" s="39"/>
      <c r="EG756" s="39"/>
      <c r="EH756" s="40"/>
      <c r="EI756" s="41"/>
      <c r="EJ756" s="40"/>
      <c r="EK756" s="40"/>
      <c r="EL756" s="40"/>
      <c r="EM756" s="40"/>
      <c r="EN756" s="40"/>
      <c r="EO756" s="40"/>
      <c r="EP756" s="40"/>
      <c r="EQ756" s="39"/>
      <c r="ER756" s="40"/>
      <c r="ES756" s="41"/>
      <c r="ET756" s="40"/>
      <c r="EU756" s="39"/>
      <c r="EV756" s="40"/>
      <c r="EW756" s="41"/>
      <c r="EX756" s="40"/>
      <c r="EY756" s="39"/>
      <c r="EZ756" s="40"/>
      <c r="FA756" s="41"/>
      <c r="FB756" s="40"/>
      <c r="FC756" s="39"/>
      <c r="FD756" s="40"/>
      <c r="FE756" s="41"/>
      <c r="FF756" s="40"/>
      <c r="FG756" s="39"/>
      <c r="FH756" s="40"/>
      <c r="FI756" s="41"/>
      <c r="FJ756" s="40"/>
      <c r="FK756" s="39"/>
      <c r="FL756" s="40"/>
      <c r="FM756" s="41"/>
      <c r="FN756" s="40"/>
      <c r="FO756" s="39"/>
      <c r="FP756" s="40"/>
      <c r="FQ756" s="41"/>
      <c r="FR756" s="40"/>
      <c r="FS756" s="39"/>
      <c r="FT756" s="40"/>
      <c r="FU756" s="41"/>
      <c r="FV756" s="40"/>
      <c r="FW756" s="39"/>
      <c r="FX756" s="40"/>
      <c r="FY756" s="41"/>
      <c r="FZ756" s="40"/>
      <c r="GA756" s="39"/>
      <c r="GB756" s="40"/>
      <c r="GC756" s="41"/>
      <c r="GD756" s="40"/>
      <c r="GE756" s="39"/>
      <c r="GF756" s="40"/>
      <c r="GG756" s="41"/>
      <c r="GH756" s="40"/>
      <c r="GI756" s="39"/>
      <c r="GJ756" s="40"/>
      <c r="GK756" s="41"/>
      <c r="GL756" s="40"/>
      <c r="GM756" s="39"/>
      <c r="GN756" s="40"/>
      <c r="GO756" s="41"/>
      <c r="GP756" s="40"/>
      <c r="GQ756" s="39"/>
      <c r="GR756" s="40"/>
      <c r="GS756" s="41"/>
      <c r="GT756" s="40"/>
      <c r="GU756" s="39"/>
      <c r="GV756" s="40"/>
      <c r="GW756" s="41"/>
      <c r="GX756" s="40"/>
      <c r="GY756" s="39"/>
      <c r="GZ756" s="40"/>
      <c r="HA756" s="41"/>
      <c r="HB756" s="40"/>
      <c r="HF756" s="18"/>
      <c r="HH756" s="11" t="s">
        <v>320</v>
      </c>
      <c r="HI756" s="11" t="s">
        <v>544</v>
      </c>
      <c r="HJ756" s="11">
        <v>2016</v>
      </c>
      <c r="HK756" s="11" t="s">
        <v>320</v>
      </c>
      <c r="HL756" s="11" t="s">
        <v>320</v>
      </c>
      <c r="HM756" s="11" t="s">
        <v>522</v>
      </c>
      <c r="HN756" s="11">
        <v>2017</v>
      </c>
      <c r="HO756" s="11" t="s">
        <v>11983</v>
      </c>
      <c r="HP756" s="11" t="s">
        <v>418</v>
      </c>
      <c r="HS756" s="11" t="s">
        <v>320</v>
      </c>
      <c r="HT756" s="11" t="s">
        <v>320</v>
      </c>
      <c r="HU756" s="11" t="s">
        <v>320</v>
      </c>
      <c r="HZ756" s="11" t="s">
        <v>331</v>
      </c>
      <c r="IA756" s="11" t="s">
        <v>11984</v>
      </c>
      <c r="IB756" s="11" t="s">
        <v>396</v>
      </c>
      <c r="IC756" s="11" t="s">
        <v>11985</v>
      </c>
      <c r="ID756" s="11" t="s">
        <v>334</v>
      </c>
      <c r="IE756" s="11" t="s">
        <v>335</v>
      </c>
      <c r="IF756" s="11" t="s">
        <v>320</v>
      </c>
      <c r="IG756" s="11" t="s">
        <v>320</v>
      </c>
      <c r="IH756" s="11" t="s">
        <v>320</v>
      </c>
      <c r="II756" s="11" t="s">
        <v>320</v>
      </c>
      <c r="IJ756" s="12" t="str">
        <f t="shared" si="474"/>
        <v>2. Sensitive</v>
      </c>
      <c r="IK756" s="12">
        <f t="shared" si="475"/>
        <v>4</v>
      </c>
      <c r="IQ756" s="12" t="str">
        <f t="shared" si="476"/>
        <v>No marker score</v>
      </c>
      <c r="IR756" s="12">
        <f t="shared" si="477"/>
        <v>0</v>
      </c>
      <c r="IW756" s="11" t="str">
        <f t="shared" si="478"/>
        <v>No marker score</v>
      </c>
      <c r="IX756" s="12">
        <f t="shared" si="479"/>
        <v>0</v>
      </c>
      <c r="IY756" s="11" t="s">
        <v>338</v>
      </c>
      <c r="IZ756" s="11" t="s">
        <v>457</v>
      </c>
      <c r="JA756" s="11">
        <v>3</v>
      </c>
      <c r="JB756" s="11" t="s">
        <v>433</v>
      </c>
      <c r="JE756" s="11" t="s">
        <v>365</v>
      </c>
      <c r="JG756" s="11" t="s">
        <v>11986</v>
      </c>
      <c r="JH756" s="11" t="s">
        <v>11987</v>
      </c>
      <c r="JI756" s="11" t="s">
        <v>11988</v>
      </c>
      <c r="JJ756" s="11" t="s">
        <v>11989</v>
      </c>
      <c r="JK756" s="11" t="s">
        <v>11990</v>
      </c>
      <c r="JL756" s="11" t="s">
        <v>11991</v>
      </c>
      <c r="JM756" s="11" t="s">
        <v>11992</v>
      </c>
      <c r="JP756" s="15">
        <f t="shared" si="480"/>
        <v>249209</v>
      </c>
      <c r="JQ756" s="15">
        <f t="shared" si="481"/>
        <v>0</v>
      </c>
      <c r="JR756" s="279">
        <f t="shared" si="482"/>
        <v>0</v>
      </c>
      <c r="JS756" s="17">
        <f t="shared" si="483"/>
        <v>0.57493910733560982</v>
      </c>
      <c r="JT756" s="18" t="str">
        <f t="shared" si="484"/>
        <v/>
      </c>
      <c r="JU756" s="280">
        <f t="shared" si="485"/>
        <v>143280</v>
      </c>
      <c r="JV756" s="280">
        <f t="shared" si="486"/>
        <v>0</v>
      </c>
      <c r="JW756" s="319">
        <f t="shared" si="487"/>
        <v>1</v>
      </c>
      <c r="JX756" s="15">
        <f t="shared" si="488"/>
        <v>249209</v>
      </c>
      <c r="JY756" s="15">
        <f t="shared" si="489"/>
        <v>0</v>
      </c>
      <c r="JZ756" s="19">
        <f t="shared" si="490"/>
        <v>0</v>
      </c>
      <c r="KA756" s="52">
        <f t="shared" si="491"/>
        <v>1</v>
      </c>
      <c r="KB756" s="15">
        <f t="shared" si="492"/>
        <v>11991</v>
      </c>
      <c r="KC756" s="15">
        <f t="shared" si="493"/>
        <v>0</v>
      </c>
      <c r="KD756" s="20">
        <f t="shared" si="494"/>
        <v>0</v>
      </c>
      <c r="KE756" s="52" t="str">
        <f t="shared" si="495"/>
        <v/>
      </c>
      <c r="KF756" s="15">
        <f t="shared" si="496"/>
        <v>0</v>
      </c>
      <c r="KG756" s="15">
        <f t="shared" si="497"/>
        <v>0</v>
      </c>
      <c r="KH756" s="21" t="str">
        <f t="shared" si="498"/>
        <v/>
      </c>
      <c r="KI756" s="52" t="str">
        <f t="shared" si="499"/>
        <v/>
      </c>
      <c r="KJ756" s="15">
        <f t="shared" si="500"/>
        <v>0</v>
      </c>
      <c r="KK756" s="15">
        <f t="shared" si="501"/>
        <v>0</v>
      </c>
      <c r="KL756" s="19" t="str">
        <f t="shared" si="502"/>
        <v/>
      </c>
      <c r="KM756" s="52" t="str">
        <f t="shared" si="503"/>
        <v/>
      </c>
      <c r="KN756" s="22">
        <f t="shared" si="504"/>
        <v>0</v>
      </c>
      <c r="KO756" s="22">
        <f t="shared" si="505"/>
        <v>0</v>
      </c>
      <c r="KP756" s="19" t="str">
        <f t="shared" si="506"/>
        <v/>
      </c>
      <c r="KQ756" s="11" t="str">
        <f t="shared" si="507"/>
        <v>2. Sensitive</v>
      </c>
      <c r="KR756" s="11" t="str">
        <f t="shared" si="508"/>
        <v>No marker score</v>
      </c>
      <c r="KS756" s="11" t="str">
        <f t="shared" si="509"/>
        <v>No marker score</v>
      </c>
      <c r="KT756" s="11" t="str">
        <f t="shared" si="510"/>
        <v>It tested new ways for fighting poverty and measured results of innovation</v>
      </c>
      <c r="KU756" s="11" t="str">
        <f t="shared" si="511"/>
        <v>Little or no advocacy</v>
      </c>
      <c r="KV756" s="11" t="str">
        <f t="shared" si="512"/>
        <v>It linked and worked with strategic alliances and partners to take tested and effective solutions to scale</v>
      </c>
      <c r="KW756" s="11" t="str">
        <f t="shared" si="513"/>
        <v>Syria - Rapid Emergency Assistance to Conflict Affected Households in Syria, Phase III (REACH-S III)</v>
      </c>
      <c r="KX756" s="11" t="str">
        <f t="shared" si="514"/>
        <v>Rapid Emergency Assistance to Conflict Affected Households in Syria, Phase III (REACH-S III)</v>
      </c>
      <c r="KY756" s="11" t="str">
        <f t="shared" si="515"/>
        <v>Syria</v>
      </c>
      <c r="KZ756" s="12">
        <v>757</v>
      </c>
    </row>
    <row r="757" spans="1:312" x14ac:dyDescent="0.3">
      <c r="A757" s="11" t="s">
        <v>11693</v>
      </c>
      <c r="B757" s="11" t="s">
        <v>602</v>
      </c>
      <c r="D757" s="11" t="s">
        <v>11710</v>
      </c>
      <c r="E757" s="277" t="str">
        <f t="shared" si="473"/>
        <v>Syria</v>
      </c>
      <c r="F757" s="11" t="s">
        <v>11711</v>
      </c>
      <c r="G757" s="11" t="s">
        <v>309</v>
      </c>
      <c r="H757" s="11" t="s">
        <v>383</v>
      </c>
      <c r="I757" s="11" t="s">
        <v>384</v>
      </c>
      <c r="J757" s="278" t="s">
        <v>309</v>
      </c>
      <c r="BD757" s="23">
        <v>42597</v>
      </c>
      <c r="BE757" s="23">
        <v>42794</v>
      </c>
      <c r="BG757" s="11" t="s">
        <v>908</v>
      </c>
      <c r="BH757" s="22">
        <v>95816</v>
      </c>
      <c r="BI757" s="11" t="s">
        <v>11712</v>
      </c>
      <c r="BJ757" s="11" t="s">
        <v>11713</v>
      </c>
      <c r="BK757" s="11" t="s">
        <v>11714</v>
      </c>
      <c r="BO757" s="11" t="s">
        <v>320</v>
      </c>
      <c r="BP757" s="11" t="s">
        <v>319</v>
      </c>
      <c r="BQ757" s="11" t="s">
        <v>319</v>
      </c>
      <c r="BR757" s="11" t="s">
        <v>11715</v>
      </c>
      <c r="BS757" s="11" t="s">
        <v>357</v>
      </c>
      <c r="BT757" s="11" t="s">
        <v>11716</v>
      </c>
      <c r="BU757" s="11" t="s">
        <v>11717</v>
      </c>
      <c r="BV757" s="22">
        <v>2193</v>
      </c>
      <c r="BW757" s="22">
        <v>3369</v>
      </c>
      <c r="BX757" s="22">
        <v>5562</v>
      </c>
      <c r="CD757" s="22">
        <v>3369</v>
      </c>
      <c r="CE757" s="22">
        <v>2193</v>
      </c>
      <c r="CF757" s="22">
        <v>5562</v>
      </c>
      <c r="CJ757" s="39"/>
      <c r="CK757" s="40"/>
      <c r="CL757" s="41"/>
      <c r="CM757" s="40"/>
      <c r="CN757" s="39"/>
      <c r="CO757" s="40"/>
      <c r="CP757" s="41"/>
      <c r="CQ757" s="40"/>
      <c r="CR757" s="39"/>
      <c r="CS757" s="40"/>
      <c r="CT757" s="41"/>
      <c r="CU757" s="40"/>
      <c r="CV757" s="12" t="s">
        <v>320</v>
      </c>
      <c r="CW757" s="40">
        <v>5562</v>
      </c>
      <c r="CX757" s="41">
        <v>0.39</v>
      </c>
      <c r="CY757" s="40"/>
      <c r="CZ757" s="39"/>
      <c r="DA757" s="40"/>
      <c r="DB757" s="41"/>
      <c r="DC757" s="40"/>
      <c r="DD757" s="39"/>
      <c r="DE757" s="40"/>
      <c r="DF757" s="41"/>
      <c r="DG757" s="40"/>
      <c r="DH757" s="39"/>
      <c r="DI757" s="40"/>
      <c r="DJ757" s="41"/>
      <c r="DK757" s="40"/>
      <c r="DL757" s="39"/>
      <c r="DM757" s="40"/>
      <c r="DN757" s="41"/>
      <c r="DO757" s="40"/>
      <c r="DP757" s="39"/>
      <c r="DQ757" s="40"/>
      <c r="DR757" s="41"/>
      <c r="DS757" s="40"/>
      <c r="DT757" s="39"/>
      <c r="DU757" s="40"/>
      <c r="DV757" s="41"/>
      <c r="DW757" s="40"/>
      <c r="DX757" s="39"/>
      <c r="DY757" s="40"/>
      <c r="DZ757" s="41"/>
      <c r="EA757" s="40"/>
      <c r="EB757" s="39"/>
      <c r="EC757" s="40"/>
      <c r="ED757" s="41"/>
      <c r="EE757" s="40"/>
      <c r="EF757" s="39"/>
      <c r="EG757" s="39"/>
      <c r="EH757" s="40"/>
      <c r="EI757" s="41"/>
      <c r="EJ757" s="40"/>
      <c r="EK757" s="40"/>
      <c r="EL757" s="40"/>
      <c r="EM757" s="40"/>
      <c r="EN757" s="40"/>
      <c r="EO757" s="40"/>
      <c r="EP757" s="40"/>
      <c r="EQ757" s="39"/>
      <c r="ER757" s="40"/>
      <c r="ES757" s="41"/>
      <c r="ET757" s="40"/>
      <c r="EU757" s="39"/>
      <c r="EV757" s="40"/>
      <c r="EW757" s="41"/>
      <c r="EX757" s="40"/>
      <c r="EY757" s="39"/>
      <c r="EZ757" s="40"/>
      <c r="FA757" s="41"/>
      <c r="FB757" s="40"/>
      <c r="FC757" s="39"/>
      <c r="FD757" s="40"/>
      <c r="FE757" s="41"/>
      <c r="FF757" s="40"/>
      <c r="FG757" s="39"/>
      <c r="FH757" s="40"/>
      <c r="FI757" s="41"/>
      <c r="FJ757" s="40"/>
      <c r="FK757" s="39"/>
      <c r="FL757" s="40"/>
      <c r="FM757" s="41"/>
      <c r="FN757" s="40"/>
      <c r="FO757" s="39"/>
      <c r="FP757" s="40"/>
      <c r="FQ757" s="41"/>
      <c r="FR757" s="40"/>
      <c r="FS757" s="39"/>
      <c r="FT757" s="40"/>
      <c r="FU757" s="41"/>
      <c r="FV757" s="40"/>
      <c r="FW757" s="39"/>
      <c r="FX757" s="40"/>
      <c r="FY757" s="41"/>
      <c r="FZ757" s="40"/>
      <c r="GA757" s="39"/>
      <c r="GB757" s="40"/>
      <c r="GC757" s="41"/>
      <c r="GD757" s="40"/>
      <c r="GE757" s="39"/>
      <c r="GF757" s="40"/>
      <c r="GG757" s="41"/>
      <c r="GH757" s="40"/>
      <c r="GI757" s="39"/>
      <c r="GJ757" s="40"/>
      <c r="GK757" s="41"/>
      <c r="GL757" s="40"/>
      <c r="GM757" s="39"/>
      <c r="GN757" s="40"/>
      <c r="GO757" s="41"/>
      <c r="GP757" s="40"/>
      <c r="GQ757" s="39"/>
      <c r="GR757" s="40"/>
      <c r="GS757" s="41"/>
      <c r="GT757" s="40"/>
      <c r="GU757" s="39"/>
      <c r="GV757" s="40"/>
      <c r="GW757" s="41"/>
      <c r="GX757" s="40"/>
      <c r="GY757" s="39"/>
      <c r="GZ757" s="40"/>
      <c r="HA757" s="41"/>
      <c r="HB757" s="40"/>
      <c r="HF757" s="18"/>
      <c r="HH757" s="11" t="s">
        <v>319</v>
      </c>
      <c r="HK757" s="11" t="s">
        <v>319</v>
      </c>
      <c r="HL757" s="11" t="s">
        <v>319</v>
      </c>
      <c r="HP757" s="11" t="s">
        <v>418</v>
      </c>
      <c r="HQ757" s="11" t="s">
        <v>319</v>
      </c>
      <c r="HR757" s="11" t="s">
        <v>320</v>
      </c>
      <c r="HS757" s="11" t="s">
        <v>320</v>
      </c>
      <c r="HT757" s="11" t="s">
        <v>320</v>
      </c>
      <c r="HU757" s="11" t="s">
        <v>319</v>
      </c>
      <c r="HV757" s="11" t="s">
        <v>319</v>
      </c>
      <c r="HW757" s="11" t="s">
        <v>319</v>
      </c>
      <c r="HZ757" s="11" t="s">
        <v>363</v>
      </c>
      <c r="IB757" s="11" t="s">
        <v>667</v>
      </c>
      <c r="ID757" s="11" t="s">
        <v>334</v>
      </c>
      <c r="IE757" s="11" t="s">
        <v>335</v>
      </c>
      <c r="IF757" s="11" t="s">
        <v>320</v>
      </c>
      <c r="IG757" s="11" t="s">
        <v>319</v>
      </c>
      <c r="IH757" s="11" t="s">
        <v>319</v>
      </c>
      <c r="II757" s="11" t="s">
        <v>320</v>
      </c>
      <c r="IJ757" s="12" t="str">
        <f t="shared" si="474"/>
        <v>1. Neutral</v>
      </c>
      <c r="IK757" s="12">
        <f t="shared" si="475"/>
        <v>2</v>
      </c>
      <c r="IQ757" s="12" t="str">
        <f t="shared" si="476"/>
        <v>No marker score</v>
      </c>
      <c r="IR757" s="12">
        <f t="shared" si="477"/>
        <v>0</v>
      </c>
      <c r="IW757" s="11" t="str">
        <f t="shared" si="478"/>
        <v>No marker score</v>
      </c>
      <c r="IX757" s="12">
        <f t="shared" si="479"/>
        <v>0</v>
      </c>
      <c r="IY757" s="11" t="s">
        <v>338</v>
      </c>
      <c r="IZ757" s="11" t="s">
        <v>457</v>
      </c>
      <c r="JA757" s="11">
        <v>1</v>
      </c>
      <c r="JB757" s="11" t="s">
        <v>433</v>
      </c>
      <c r="JE757" s="11" t="s">
        <v>420</v>
      </c>
      <c r="JG757" s="11" t="s">
        <v>11718</v>
      </c>
      <c r="JK757" s="11" t="s">
        <v>11719</v>
      </c>
      <c r="JL757" s="11" t="s">
        <v>11720</v>
      </c>
      <c r="JM757" s="11" t="s">
        <v>11721</v>
      </c>
      <c r="JP757" s="15">
        <f t="shared" si="480"/>
        <v>5562</v>
      </c>
      <c r="JQ757" s="15">
        <f t="shared" si="481"/>
        <v>0</v>
      </c>
      <c r="JR757" s="279">
        <f t="shared" si="482"/>
        <v>0</v>
      </c>
      <c r="JS757" s="17">
        <f t="shared" si="483"/>
        <v>0.60571736785329022</v>
      </c>
      <c r="JT757" s="18" t="str">
        <f t="shared" si="484"/>
        <v/>
      </c>
      <c r="JU757" s="280">
        <f t="shared" si="485"/>
        <v>3369</v>
      </c>
      <c r="JV757" s="280">
        <f t="shared" si="486"/>
        <v>0</v>
      </c>
      <c r="JW757" s="319">
        <f t="shared" si="487"/>
        <v>1</v>
      </c>
      <c r="JX757" s="15">
        <f t="shared" si="488"/>
        <v>5562</v>
      </c>
      <c r="JY757" s="15">
        <f t="shared" si="489"/>
        <v>0</v>
      </c>
      <c r="JZ757" s="19">
        <f t="shared" si="490"/>
        <v>0</v>
      </c>
      <c r="KA757" s="52">
        <f t="shared" si="491"/>
        <v>1</v>
      </c>
      <c r="KB757" s="15">
        <f t="shared" si="492"/>
        <v>5562</v>
      </c>
      <c r="KC757" s="15">
        <f t="shared" si="493"/>
        <v>0</v>
      </c>
      <c r="KD757" s="20">
        <f t="shared" si="494"/>
        <v>0</v>
      </c>
      <c r="KE757" s="52" t="str">
        <f t="shared" si="495"/>
        <v/>
      </c>
      <c r="KF757" s="15">
        <f t="shared" si="496"/>
        <v>0</v>
      </c>
      <c r="KG757" s="15">
        <f t="shared" si="497"/>
        <v>0</v>
      </c>
      <c r="KH757" s="21" t="str">
        <f t="shared" si="498"/>
        <v/>
      </c>
      <c r="KI757" s="52" t="str">
        <f t="shared" si="499"/>
        <v/>
      </c>
      <c r="KJ757" s="15">
        <f t="shared" si="500"/>
        <v>0</v>
      </c>
      <c r="KK757" s="15">
        <f t="shared" si="501"/>
        <v>0</v>
      </c>
      <c r="KL757" s="19" t="str">
        <f t="shared" si="502"/>
        <v/>
      </c>
      <c r="KM757" s="52" t="str">
        <f t="shared" si="503"/>
        <v/>
      </c>
      <c r="KN757" s="22">
        <f t="shared" si="504"/>
        <v>0</v>
      </c>
      <c r="KO757" s="22">
        <f t="shared" si="505"/>
        <v>0</v>
      </c>
      <c r="KP757" s="19" t="str">
        <f t="shared" si="506"/>
        <v/>
      </c>
      <c r="KQ757" s="11" t="str">
        <f t="shared" si="507"/>
        <v>1. Neutral</v>
      </c>
      <c r="KR757" s="11" t="str">
        <f t="shared" si="508"/>
        <v>No marker score</v>
      </c>
      <c r="KS757" s="11" t="str">
        <f t="shared" si="509"/>
        <v>No marker score</v>
      </c>
      <c r="KT757" s="11" t="str">
        <f t="shared" si="510"/>
        <v>It did not develop any specific innovation</v>
      </c>
      <c r="KU757" s="11" t="str">
        <f t="shared" si="511"/>
        <v>Little or no advocacy</v>
      </c>
      <c r="KV757" s="11" t="str">
        <f t="shared" si="512"/>
        <v>It took tested solutions to scale on its own</v>
      </c>
      <c r="KW757" s="11" t="str">
        <f t="shared" si="513"/>
        <v>Syria - Rapid Response to Aleppo Emergency</v>
      </c>
      <c r="KX757" s="11" t="str">
        <f t="shared" si="514"/>
        <v>Rapid Response to Aleppo Emergency</v>
      </c>
      <c r="KY757" s="11" t="str">
        <f t="shared" si="515"/>
        <v>Syria</v>
      </c>
      <c r="KZ757" s="12">
        <v>758</v>
      </c>
    </row>
    <row r="758" spans="1:312" x14ac:dyDescent="0.3">
      <c r="A758" s="11" t="s">
        <v>11693</v>
      </c>
      <c r="B758" s="11" t="s">
        <v>602</v>
      </c>
      <c r="D758" s="11" t="s">
        <v>11993</v>
      </c>
      <c r="E758" s="24" t="str">
        <f t="shared" si="473"/>
        <v>Syria</v>
      </c>
      <c r="F758" s="11" t="s">
        <v>11994</v>
      </c>
      <c r="G758" s="11" t="s">
        <v>379</v>
      </c>
      <c r="H758" s="11" t="s">
        <v>380</v>
      </c>
      <c r="I758" s="11" t="s">
        <v>381</v>
      </c>
      <c r="J758" s="278" t="s">
        <v>14624</v>
      </c>
      <c r="BD758" s="23">
        <v>42309</v>
      </c>
      <c r="BE758" s="23">
        <v>42521</v>
      </c>
      <c r="BF758" s="23">
        <v>42797</v>
      </c>
      <c r="BG758" s="11" t="s">
        <v>407</v>
      </c>
      <c r="BH758" s="22">
        <v>555721.71</v>
      </c>
      <c r="BI758" s="11" t="s">
        <v>11939</v>
      </c>
      <c r="BJ758" s="11" t="s">
        <v>11940</v>
      </c>
      <c r="BK758" s="11" t="s">
        <v>11941</v>
      </c>
      <c r="BL758" s="11" t="s">
        <v>11995</v>
      </c>
      <c r="BM758" s="11" t="s">
        <v>444</v>
      </c>
      <c r="BN758" s="11" t="s">
        <v>11978</v>
      </c>
      <c r="BO758" s="11" t="s">
        <v>320</v>
      </c>
      <c r="BP758" s="11" t="s">
        <v>319</v>
      </c>
      <c r="BQ758" s="11" t="s">
        <v>319</v>
      </c>
      <c r="BR758" s="11" t="s">
        <v>11993</v>
      </c>
      <c r="BS758" s="11" t="s">
        <v>357</v>
      </c>
      <c r="BT758" s="11" t="s">
        <v>11996</v>
      </c>
      <c r="BU758" s="11" t="s">
        <v>11997</v>
      </c>
      <c r="BV758" s="22">
        <v>15664</v>
      </c>
      <c r="BW758" s="22">
        <v>11136</v>
      </c>
      <c r="BX758" s="22">
        <v>26800</v>
      </c>
      <c r="CD758" s="22">
        <v>15664</v>
      </c>
      <c r="CE758" s="22">
        <v>11136</v>
      </c>
      <c r="CF758" s="22">
        <v>26800</v>
      </c>
      <c r="CJ758" s="39"/>
      <c r="CK758" s="40"/>
      <c r="CL758" s="41"/>
      <c r="CM758" s="40"/>
      <c r="CN758" s="39"/>
      <c r="CO758" s="40"/>
      <c r="CP758" s="41"/>
      <c r="CQ758" s="40"/>
      <c r="CR758" s="39"/>
      <c r="CS758" s="40"/>
      <c r="CT758" s="41"/>
      <c r="CU758" s="40"/>
      <c r="CV758" s="39"/>
      <c r="CW758" s="40"/>
      <c r="CX758" s="41"/>
      <c r="CY758" s="40"/>
      <c r="CZ758" s="39"/>
      <c r="DA758" s="40"/>
      <c r="DB758" s="41"/>
      <c r="DC758" s="40"/>
      <c r="DD758" s="39"/>
      <c r="DE758" s="40"/>
      <c r="DF758" s="41"/>
      <c r="DG758" s="40"/>
      <c r="DH758" s="39"/>
      <c r="DI758" s="40"/>
      <c r="DJ758" s="41"/>
      <c r="DK758" s="40"/>
      <c r="DL758" s="39"/>
      <c r="DM758" s="40"/>
      <c r="DN758" s="41"/>
      <c r="DO758" s="40"/>
      <c r="DP758" s="39"/>
      <c r="DQ758" s="40"/>
      <c r="DR758" s="41"/>
      <c r="DS758" s="40"/>
      <c r="DT758" s="39"/>
      <c r="DU758" s="40"/>
      <c r="DV758" s="41"/>
      <c r="DW758" s="40"/>
      <c r="DX758" s="39"/>
      <c r="DY758" s="40"/>
      <c r="DZ758" s="41"/>
      <c r="EA758" s="40"/>
      <c r="EB758" s="11" t="s">
        <v>320</v>
      </c>
      <c r="EC758" s="40">
        <v>26800</v>
      </c>
      <c r="ED758" s="41">
        <v>0.57999999999999996</v>
      </c>
      <c r="EE758" s="40"/>
      <c r="EF758" s="39"/>
      <c r="EG758" s="39"/>
      <c r="EH758" s="40"/>
      <c r="EI758" s="41"/>
      <c r="EJ758" s="40"/>
      <c r="EK758" s="40"/>
      <c r="EL758" s="40"/>
      <c r="EM758" s="40"/>
      <c r="EN758" s="40"/>
      <c r="EO758" s="40"/>
      <c r="EP758" s="40"/>
      <c r="EQ758" s="39"/>
      <c r="ER758" s="40"/>
      <c r="ES758" s="41"/>
      <c r="ET758" s="40"/>
      <c r="EU758" s="39"/>
      <c r="EV758" s="40"/>
      <c r="EW758" s="41"/>
      <c r="EX758" s="40"/>
      <c r="EY758" s="39"/>
      <c r="EZ758" s="40"/>
      <c r="FA758" s="41"/>
      <c r="FB758" s="40"/>
      <c r="FC758" s="39"/>
      <c r="FD758" s="40"/>
      <c r="FE758" s="41"/>
      <c r="FF758" s="40"/>
      <c r="FG758" s="39"/>
      <c r="FH758" s="40"/>
      <c r="FI758" s="41"/>
      <c r="FJ758" s="40"/>
      <c r="FK758" s="39"/>
      <c r="FL758" s="40"/>
      <c r="FM758" s="41"/>
      <c r="FN758" s="40"/>
      <c r="FO758" s="39"/>
      <c r="FP758" s="40"/>
      <c r="FQ758" s="41"/>
      <c r="FR758" s="40"/>
      <c r="FS758" s="39"/>
      <c r="FT758" s="40"/>
      <c r="FU758" s="41"/>
      <c r="FV758" s="40"/>
      <c r="FW758" s="39"/>
      <c r="FX758" s="40"/>
      <c r="FY758" s="41"/>
      <c r="FZ758" s="40"/>
      <c r="GA758" s="39"/>
      <c r="GB758" s="40"/>
      <c r="GC758" s="41"/>
      <c r="GD758" s="40"/>
      <c r="GE758" s="39"/>
      <c r="GF758" s="40"/>
      <c r="GG758" s="41"/>
      <c r="GH758" s="40"/>
      <c r="GI758" s="39"/>
      <c r="GJ758" s="40"/>
      <c r="GK758" s="41"/>
      <c r="GL758" s="40"/>
      <c r="GM758" s="39"/>
      <c r="GN758" s="40"/>
      <c r="GO758" s="41"/>
      <c r="GP758" s="40"/>
      <c r="GQ758" s="39"/>
      <c r="GR758" s="40"/>
      <c r="GS758" s="41"/>
      <c r="GT758" s="40"/>
      <c r="GU758" s="39"/>
      <c r="GV758" s="40"/>
      <c r="GW758" s="41"/>
      <c r="GX758" s="40"/>
      <c r="GY758" s="39"/>
      <c r="GZ758" s="40"/>
      <c r="HA758" s="41"/>
      <c r="HB758" s="40"/>
      <c r="HF758" s="18"/>
      <c r="HH758" s="11" t="s">
        <v>319</v>
      </c>
      <c r="HK758" s="11" t="s">
        <v>319</v>
      </c>
      <c r="HL758" s="11" t="s">
        <v>319</v>
      </c>
      <c r="HO758" s="11" t="s">
        <v>393</v>
      </c>
      <c r="HP758" s="11" t="s">
        <v>330</v>
      </c>
      <c r="HR758" s="11" t="s">
        <v>320</v>
      </c>
      <c r="HS758" s="11" t="s">
        <v>320</v>
      </c>
      <c r="HT758" s="11" t="s">
        <v>320</v>
      </c>
      <c r="HU758" s="11" t="s">
        <v>320</v>
      </c>
      <c r="HW758" s="11" t="s">
        <v>319</v>
      </c>
      <c r="HZ758" s="11" t="s">
        <v>363</v>
      </c>
      <c r="IB758" s="11" t="s">
        <v>333</v>
      </c>
      <c r="ID758" s="11" t="s">
        <v>334</v>
      </c>
      <c r="IE758" s="11" t="s">
        <v>335</v>
      </c>
      <c r="IF758" s="11" t="s">
        <v>320</v>
      </c>
      <c r="IG758" s="11" t="s">
        <v>320</v>
      </c>
      <c r="IH758" s="11" t="s">
        <v>320</v>
      </c>
      <c r="II758" s="11" t="s">
        <v>320</v>
      </c>
      <c r="IJ758" s="12" t="str">
        <f t="shared" si="474"/>
        <v>2. Sensitive</v>
      </c>
      <c r="IK758" s="12">
        <f t="shared" si="475"/>
        <v>4</v>
      </c>
      <c r="IQ758" s="12" t="str">
        <f t="shared" si="476"/>
        <v>No marker score</v>
      </c>
      <c r="IR758" s="12">
        <f t="shared" si="477"/>
        <v>0</v>
      </c>
      <c r="IW758" s="11" t="str">
        <f t="shared" si="478"/>
        <v>No marker score</v>
      </c>
      <c r="IX758" s="12">
        <f t="shared" si="479"/>
        <v>0</v>
      </c>
      <c r="IY758" s="11" t="s">
        <v>338</v>
      </c>
      <c r="IZ758" s="11" t="s">
        <v>457</v>
      </c>
      <c r="JA758" s="11">
        <v>1</v>
      </c>
      <c r="JB758" s="11" t="s">
        <v>433</v>
      </c>
      <c r="JE758" s="11" t="s">
        <v>365</v>
      </c>
      <c r="JF758" s="11" t="s">
        <v>11998</v>
      </c>
      <c r="JG758" s="11" t="s">
        <v>11999</v>
      </c>
      <c r="JH758" s="11" t="s">
        <v>12000</v>
      </c>
      <c r="JI758" s="11" t="s">
        <v>12001</v>
      </c>
      <c r="JJ758" s="11" t="s">
        <v>12002</v>
      </c>
      <c r="JK758" s="11" t="s">
        <v>12003</v>
      </c>
      <c r="JL758" s="11" t="s">
        <v>12004</v>
      </c>
      <c r="JM758" s="11" t="s">
        <v>12005</v>
      </c>
      <c r="JP758" s="15">
        <f t="shared" si="480"/>
        <v>26800</v>
      </c>
      <c r="JQ758" s="15">
        <f t="shared" si="481"/>
        <v>0</v>
      </c>
      <c r="JR758" s="279">
        <f t="shared" si="482"/>
        <v>0</v>
      </c>
      <c r="JS758" s="17">
        <f t="shared" si="483"/>
        <v>0.58447761194029846</v>
      </c>
      <c r="JT758" s="18" t="str">
        <f t="shared" si="484"/>
        <v/>
      </c>
      <c r="JU758" s="280">
        <f t="shared" si="485"/>
        <v>15664</v>
      </c>
      <c r="JV758" s="280">
        <f t="shared" si="486"/>
        <v>0</v>
      </c>
      <c r="JW758" s="319">
        <f t="shared" si="487"/>
        <v>1</v>
      </c>
      <c r="JX758" s="15">
        <f t="shared" si="488"/>
        <v>26800</v>
      </c>
      <c r="JY758" s="15">
        <f t="shared" si="489"/>
        <v>0</v>
      </c>
      <c r="JZ758" s="19">
        <f t="shared" si="490"/>
        <v>0</v>
      </c>
      <c r="KA758" s="52" t="str">
        <f t="shared" si="491"/>
        <v/>
      </c>
      <c r="KB758" s="15">
        <f t="shared" si="492"/>
        <v>0</v>
      </c>
      <c r="KC758" s="15">
        <f t="shared" si="493"/>
        <v>0</v>
      </c>
      <c r="KD758" s="20" t="str">
        <f t="shared" si="494"/>
        <v/>
      </c>
      <c r="KE758" s="52" t="str">
        <f t="shared" si="495"/>
        <v/>
      </c>
      <c r="KF758" s="15">
        <f t="shared" si="496"/>
        <v>0</v>
      </c>
      <c r="KG758" s="15">
        <f t="shared" si="497"/>
        <v>0</v>
      </c>
      <c r="KH758" s="21" t="str">
        <f t="shared" si="498"/>
        <v/>
      </c>
      <c r="KI758" s="52" t="str">
        <f t="shared" si="499"/>
        <v/>
      </c>
      <c r="KJ758" s="15">
        <f t="shared" si="500"/>
        <v>0</v>
      </c>
      <c r="KK758" s="15">
        <f t="shared" si="501"/>
        <v>0</v>
      </c>
      <c r="KL758" s="19" t="str">
        <f t="shared" si="502"/>
        <v/>
      </c>
      <c r="KM758" s="52" t="str">
        <f t="shared" si="503"/>
        <v/>
      </c>
      <c r="KN758" s="22">
        <f t="shared" si="504"/>
        <v>0</v>
      </c>
      <c r="KO758" s="22">
        <f t="shared" si="505"/>
        <v>0</v>
      </c>
      <c r="KP758" s="19" t="str">
        <f t="shared" si="506"/>
        <v/>
      </c>
      <c r="KQ758" s="11" t="str">
        <f t="shared" si="507"/>
        <v>2. Sensitive</v>
      </c>
      <c r="KR758" s="11" t="str">
        <f t="shared" si="508"/>
        <v>No marker score</v>
      </c>
      <c r="KS758" s="11" t="str">
        <f t="shared" si="509"/>
        <v>No marker score</v>
      </c>
      <c r="KT758" s="11" t="str">
        <f t="shared" si="510"/>
        <v>It did not develop any specific innovation</v>
      </c>
      <c r="KU758" s="11" t="str">
        <f t="shared" si="511"/>
        <v>Moderate advocacy</v>
      </c>
      <c r="KV758" s="11" t="str">
        <f t="shared" si="512"/>
        <v>It did not take tested solutions to scale</v>
      </c>
      <c r="KW758" s="11" t="str">
        <f t="shared" si="513"/>
        <v>Syria - Restoring sustained access to lifesaving water supplies for underserved communities in rural Hassakeh</v>
      </c>
      <c r="KX758" s="11" t="str">
        <f t="shared" si="514"/>
        <v>Restoring sustained access to lifesaving water supplies for underserved communities in rural Hassakeh</v>
      </c>
      <c r="KY758" s="11" t="str">
        <f t="shared" si="515"/>
        <v>Syria</v>
      </c>
      <c r="KZ758" s="287">
        <v>759</v>
      </c>
    </row>
    <row r="759" spans="1:312" x14ac:dyDescent="0.3">
      <c r="A759" s="12" t="s">
        <v>11693</v>
      </c>
      <c r="B759" s="12" t="s">
        <v>602</v>
      </c>
      <c r="C759" s="12"/>
      <c r="D759" s="12" t="s">
        <v>11912</v>
      </c>
      <c r="E759" s="24" t="str">
        <f t="shared" si="473"/>
        <v>Syria</v>
      </c>
      <c r="F759" s="12" t="s">
        <v>11913</v>
      </c>
      <c r="G759" s="12" t="s">
        <v>488</v>
      </c>
      <c r="H759" s="12" t="s">
        <v>384</v>
      </c>
      <c r="I759" s="12" t="s">
        <v>384</v>
      </c>
      <c r="J759" s="281" t="s">
        <v>488</v>
      </c>
      <c r="K759" s="12"/>
      <c r="L759" s="12"/>
      <c r="M759" s="12"/>
      <c r="N759" s="12"/>
      <c r="O759" s="12"/>
      <c r="P759" s="12"/>
      <c r="Q759" s="12"/>
      <c r="R759" s="12"/>
      <c r="S759" s="12"/>
      <c r="T759" s="12"/>
      <c r="U759" s="12"/>
      <c r="V759" s="12"/>
      <c r="W759" s="12"/>
      <c r="X759" s="12"/>
      <c r="Y759" s="12"/>
      <c r="Z759" s="12"/>
      <c r="AA759" s="12"/>
      <c r="AB759" s="12"/>
      <c r="AC759" s="12"/>
      <c r="AD759" s="12"/>
      <c r="BD759" s="13">
        <v>42552</v>
      </c>
      <c r="BE759" s="13">
        <v>42643</v>
      </c>
      <c r="BF759" s="12"/>
      <c r="BG759" s="12" t="s">
        <v>817</v>
      </c>
      <c r="BH759" s="14">
        <v>66500</v>
      </c>
      <c r="BI759" s="12"/>
      <c r="BJ759" s="12"/>
      <c r="BK759" s="12"/>
      <c r="BL759" s="12"/>
      <c r="BM759" s="12"/>
      <c r="BN759" s="12"/>
      <c r="BO759" s="12" t="s">
        <v>320</v>
      </c>
      <c r="BP759" s="12" t="s">
        <v>319</v>
      </c>
      <c r="BQ759" s="12" t="s">
        <v>319</v>
      </c>
      <c r="BR759" s="12" t="s">
        <v>11914</v>
      </c>
      <c r="BS759" s="12" t="s">
        <v>357</v>
      </c>
      <c r="BT759" s="12" t="s">
        <v>11915</v>
      </c>
      <c r="BU759" s="12"/>
      <c r="BV759" s="14">
        <v>540</v>
      </c>
      <c r="BW759" s="14">
        <v>0</v>
      </c>
      <c r="BX759" s="14">
        <v>540</v>
      </c>
      <c r="BY759" s="14">
        <v>0</v>
      </c>
      <c r="BZ759" s="14">
        <v>0</v>
      </c>
      <c r="CA759" s="14">
        <v>0</v>
      </c>
      <c r="CB759" s="12" t="s">
        <v>11699</v>
      </c>
      <c r="CD759" s="14">
        <v>1012</v>
      </c>
      <c r="CE759" s="14"/>
      <c r="CF759" s="14">
        <v>1012</v>
      </c>
      <c r="CG759" s="14"/>
      <c r="CH759" s="14"/>
      <c r="CI759" s="14"/>
      <c r="CJ759" s="12" t="s">
        <v>319</v>
      </c>
      <c r="CK759" s="14"/>
      <c r="CL759" s="16"/>
      <c r="CM759" s="14"/>
      <c r="CN759" s="12" t="s">
        <v>319</v>
      </c>
      <c r="CO759" s="14"/>
      <c r="CP759" s="16"/>
      <c r="CQ759" s="14"/>
      <c r="CR759" s="12" t="s">
        <v>320</v>
      </c>
      <c r="CS759" s="14">
        <v>1012</v>
      </c>
      <c r="CT759" s="16">
        <v>1</v>
      </c>
      <c r="CU759" s="14"/>
      <c r="CV759" s="12" t="s">
        <v>319</v>
      </c>
      <c r="CW759" s="14"/>
      <c r="CX759" s="16"/>
      <c r="CY759" s="14"/>
      <c r="CZ759" s="12" t="s">
        <v>319</v>
      </c>
      <c r="DA759" s="14"/>
      <c r="DB759" s="16"/>
      <c r="DC759" s="14"/>
      <c r="DD759" s="12" t="s">
        <v>319</v>
      </c>
      <c r="DE759" s="14"/>
      <c r="DF759" s="16"/>
      <c r="DG759" s="14"/>
      <c r="DH759" s="12" t="s">
        <v>319</v>
      </c>
      <c r="DI759" s="14"/>
      <c r="DJ759" s="16"/>
      <c r="DK759" s="14"/>
      <c r="DL759" s="12" t="s">
        <v>319</v>
      </c>
      <c r="DM759" s="14"/>
      <c r="DN759" s="16"/>
      <c r="DO759" s="14"/>
      <c r="DP759" s="12" t="s">
        <v>320</v>
      </c>
      <c r="DQ759" s="14">
        <v>1012</v>
      </c>
      <c r="DR759" s="16">
        <v>1</v>
      </c>
      <c r="DS759" s="14"/>
      <c r="DT759" s="12" t="s">
        <v>319</v>
      </c>
      <c r="DU759" s="14"/>
      <c r="DV759" s="16"/>
      <c r="DW759" s="14"/>
      <c r="DX759" s="12" t="s">
        <v>319</v>
      </c>
      <c r="DY759" s="14"/>
      <c r="DZ759" s="16"/>
      <c r="EA759" s="14"/>
      <c r="EB759" s="12" t="s">
        <v>319</v>
      </c>
      <c r="EC759" s="14"/>
      <c r="ED759" s="16"/>
      <c r="EE759" s="14"/>
      <c r="EF759" s="12"/>
      <c r="EG759" s="12"/>
      <c r="EH759" s="14"/>
      <c r="EI759" s="16"/>
      <c r="EJ759" s="14"/>
      <c r="EK759" s="14"/>
      <c r="EL759" s="14"/>
      <c r="EM759" s="14"/>
      <c r="EN759" s="14"/>
      <c r="EO759" s="14"/>
      <c r="EP759" s="14"/>
      <c r="EQ759" s="12"/>
      <c r="ER759" s="14"/>
      <c r="ES759" s="16"/>
      <c r="ET759" s="14"/>
      <c r="EU759" s="12"/>
      <c r="EV759" s="14"/>
      <c r="EW759" s="16"/>
      <c r="EX759" s="14"/>
      <c r="EY759" s="12"/>
      <c r="EZ759" s="14"/>
      <c r="FA759" s="16"/>
      <c r="FB759" s="14"/>
      <c r="FC759" s="12"/>
      <c r="FD759" s="14"/>
      <c r="FE759" s="16"/>
      <c r="FF759" s="14"/>
      <c r="FG759" s="12"/>
      <c r="FH759" s="14"/>
      <c r="FI759" s="16"/>
      <c r="FJ759" s="14"/>
      <c r="FK759" s="12"/>
      <c r="FL759" s="14"/>
      <c r="FM759" s="16"/>
      <c r="FN759" s="14"/>
      <c r="FO759" s="12"/>
      <c r="FP759" s="14"/>
      <c r="FQ759" s="16"/>
      <c r="FR759" s="14"/>
      <c r="FS759" s="12"/>
      <c r="FT759" s="14"/>
      <c r="FU759" s="16"/>
      <c r="FV759" s="14"/>
      <c r="FW759" s="12"/>
      <c r="FX759" s="14"/>
      <c r="FY759" s="16"/>
      <c r="FZ759" s="14"/>
      <c r="GA759" s="12"/>
      <c r="GB759" s="14"/>
      <c r="GC759" s="16"/>
      <c r="GD759" s="14"/>
      <c r="GE759" s="12"/>
      <c r="GF759" s="14"/>
      <c r="GG759" s="16"/>
      <c r="GH759" s="14"/>
      <c r="GI759" s="12"/>
      <c r="GJ759" s="14"/>
      <c r="GK759" s="16"/>
      <c r="GL759" s="14"/>
      <c r="GM759" s="12"/>
      <c r="GN759" s="14"/>
      <c r="GO759" s="16"/>
      <c r="GP759" s="14"/>
      <c r="GQ759" s="12"/>
      <c r="GR759" s="14"/>
      <c r="GS759" s="16"/>
      <c r="GT759" s="14"/>
      <c r="GU759" s="12"/>
      <c r="GV759" s="14"/>
      <c r="GW759" s="16"/>
      <c r="GX759" s="14"/>
      <c r="GY759" s="12"/>
      <c r="GZ759" s="14"/>
      <c r="HA759" s="16"/>
      <c r="HB759" s="14"/>
      <c r="HC759" s="12"/>
      <c r="HD759" s="12"/>
      <c r="HE759" s="14"/>
      <c r="HF759" s="16"/>
      <c r="HG759" s="14"/>
      <c r="HH759" s="12" t="s">
        <v>319</v>
      </c>
      <c r="HI759" s="12"/>
      <c r="HJ759" s="12"/>
      <c r="HK759" s="12"/>
      <c r="HL759" s="12" t="s">
        <v>319</v>
      </c>
      <c r="HM759" s="12"/>
      <c r="HN759" s="12"/>
      <c r="HO759" s="12"/>
      <c r="HP759" s="12" t="s">
        <v>418</v>
      </c>
      <c r="HQ759" s="12"/>
      <c r="HR759" s="12"/>
      <c r="HS759" s="12"/>
      <c r="HT759" s="12"/>
      <c r="HU759" s="12"/>
      <c r="HV759" s="12"/>
      <c r="HW759" s="12"/>
      <c r="HX759" s="12"/>
      <c r="HY759" s="12"/>
      <c r="HZ759" s="12" t="s">
        <v>394</v>
      </c>
      <c r="IA759" s="12"/>
      <c r="IB759" s="12" t="s">
        <v>396</v>
      </c>
      <c r="IC759" s="12"/>
      <c r="ID759" s="12" t="s">
        <v>364</v>
      </c>
      <c r="IE759" s="12" t="s">
        <v>335</v>
      </c>
      <c r="IF759" s="12" t="s">
        <v>320</v>
      </c>
      <c r="IG759" s="12" t="s">
        <v>320</v>
      </c>
      <c r="IH759" s="12" t="s">
        <v>320</v>
      </c>
      <c r="II759" s="12" t="s">
        <v>320</v>
      </c>
      <c r="IJ759" s="12" t="str">
        <f t="shared" si="474"/>
        <v>2. Sensitive</v>
      </c>
      <c r="IK759" s="12">
        <f t="shared" si="475"/>
        <v>4</v>
      </c>
      <c r="IL759" s="12" t="s">
        <v>336</v>
      </c>
      <c r="IM759" s="12" t="s">
        <v>320</v>
      </c>
      <c r="IN759" s="12" t="s">
        <v>320</v>
      </c>
      <c r="IO759" s="12" t="s">
        <v>320</v>
      </c>
      <c r="IP759" s="12" t="s">
        <v>320</v>
      </c>
      <c r="IQ759" s="12" t="str">
        <f t="shared" si="476"/>
        <v>2. Accommodating</v>
      </c>
      <c r="IR759" s="12">
        <f t="shared" si="477"/>
        <v>4</v>
      </c>
      <c r="IS759" s="12" t="s">
        <v>337</v>
      </c>
      <c r="IT759" s="12" t="s">
        <v>320</v>
      </c>
      <c r="IU759" s="12" t="s">
        <v>320</v>
      </c>
      <c r="IV759" s="12" t="s">
        <v>320</v>
      </c>
      <c r="IW759" s="11" t="str">
        <f t="shared" si="478"/>
        <v>2. Sensitive</v>
      </c>
      <c r="IX759" s="12">
        <f t="shared" si="479"/>
        <v>3</v>
      </c>
      <c r="IY759" s="12"/>
      <c r="IZ759" s="12"/>
      <c r="JA759" s="12">
        <v>2</v>
      </c>
      <c r="JB759" s="12" t="s">
        <v>433</v>
      </c>
      <c r="JC759" s="12" t="s">
        <v>433</v>
      </c>
      <c r="JD759" s="12"/>
      <c r="JE759" s="12" t="s">
        <v>340</v>
      </c>
      <c r="JF759" s="12"/>
      <c r="JG759" s="12"/>
      <c r="JH759" s="12"/>
      <c r="JI759" s="12"/>
      <c r="JJ759" s="12"/>
      <c r="JK759" s="12"/>
      <c r="JL759" s="12"/>
      <c r="JM759" s="12"/>
      <c r="JN759" s="12"/>
      <c r="JO759" s="12"/>
      <c r="JP759" s="15">
        <f t="shared" si="480"/>
        <v>1012</v>
      </c>
      <c r="JQ759" s="15">
        <f t="shared" si="481"/>
        <v>0</v>
      </c>
      <c r="JR759" s="279">
        <f t="shared" si="482"/>
        <v>0</v>
      </c>
      <c r="JS759" s="17">
        <f t="shared" si="483"/>
        <v>1</v>
      </c>
      <c r="JT759" s="18" t="str">
        <f t="shared" si="484"/>
        <v/>
      </c>
      <c r="JU759" s="280">
        <f t="shared" si="485"/>
        <v>1012</v>
      </c>
      <c r="JV759" s="280">
        <f t="shared" si="486"/>
        <v>0</v>
      </c>
      <c r="JW759" s="319">
        <f t="shared" si="487"/>
        <v>1</v>
      </c>
      <c r="JX759" s="15">
        <f t="shared" si="488"/>
        <v>1012</v>
      </c>
      <c r="JY759" s="15">
        <f t="shared" si="489"/>
        <v>0</v>
      </c>
      <c r="JZ759" s="19">
        <f t="shared" si="490"/>
        <v>0</v>
      </c>
      <c r="KA759" s="52" t="str">
        <f t="shared" si="491"/>
        <v/>
      </c>
      <c r="KB759" s="15">
        <f t="shared" si="492"/>
        <v>0</v>
      </c>
      <c r="KC759" s="15">
        <f t="shared" si="493"/>
        <v>0</v>
      </c>
      <c r="KD759" s="20" t="str">
        <f t="shared" si="494"/>
        <v/>
      </c>
      <c r="KE759" s="52" t="str">
        <f t="shared" si="495"/>
        <v/>
      </c>
      <c r="KF759" s="15">
        <f t="shared" si="496"/>
        <v>0</v>
      </c>
      <c r="KG759" s="15">
        <f t="shared" si="497"/>
        <v>0</v>
      </c>
      <c r="KH759" s="21" t="str">
        <f t="shared" si="498"/>
        <v/>
      </c>
      <c r="KI759" s="52" t="str">
        <f t="shared" si="499"/>
        <v/>
      </c>
      <c r="KJ759" s="15">
        <f t="shared" si="500"/>
        <v>0</v>
      </c>
      <c r="KK759" s="15">
        <f t="shared" si="501"/>
        <v>0</v>
      </c>
      <c r="KL759" s="19" t="str">
        <f t="shared" si="502"/>
        <v/>
      </c>
      <c r="KM759" s="52" t="str">
        <f t="shared" si="503"/>
        <v/>
      </c>
      <c r="KN759" s="22">
        <f t="shared" si="504"/>
        <v>0</v>
      </c>
      <c r="KO759" s="22">
        <f t="shared" si="505"/>
        <v>0</v>
      </c>
      <c r="KP759" s="19" t="str">
        <f t="shared" si="506"/>
        <v/>
      </c>
      <c r="KQ759" s="11" t="str">
        <f t="shared" si="507"/>
        <v>2. Sensitive</v>
      </c>
      <c r="KR759" s="11" t="str">
        <f t="shared" si="508"/>
        <v>2. Accommodating</v>
      </c>
      <c r="KS759" s="11" t="str">
        <f t="shared" si="509"/>
        <v>2. Sensitive</v>
      </c>
      <c r="KT759" s="11" t="str">
        <f t="shared" si="510"/>
        <v>It tested new ways for fighting poverty, but did not measure results of innovation</v>
      </c>
      <c r="KU759" s="11" t="str">
        <f t="shared" si="511"/>
        <v>Little or no advocacy</v>
      </c>
      <c r="KV759" s="11" t="str">
        <f t="shared" si="512"/>
        <v>It linked and worked with strategic alliances and partners to take tested and effective solutions to scale</v>
      </c>
      <c r="KW759" s="11" t="str">
        <f t="shared" si="513"/>
        <v>Syria - Strengthening the Resilience of Syrian Women Affected by the Crisis</v>
      </c>
      <c r="KX759" s="11" t="str">
        <f t="shared" si="514"/>
        <v>Strengthening the Resilience of Syrian Women Affected by the Crisis</v>
      </c>
      <c r="KY759" s="11" t="str">
        <f t="shared" si="515"/>
        <v>Syria</v>
      </c>
      <c r="KZ759" s="12">
        <v>760</v>
      </c>
    </row>
    <row r="760" spans="1:312" x14ac:dyDescent="0.3">
      <c r="A760" s="12" t="s">
        <v>11693</v>
      </c>
      <c r="B760" s="12" t="s">
        <v>602</v>
      </c>
      <c r="C760" s="12"/>
      <c r="D760" s="12" t="s">
        <v>12006</v>
      </c>
      <c r="E760" s="277" t="str">
        <f t="shared" si="473"/>
        <v>Syria</v>
      </c>
      <c r="F760" s="12" t="s">
        <v>12007</v>
      </c>
      <c r="G760" s="12" t="s">
        <v>379</v>
      </c>
      <c r="H760" s="12"/>
      <c r="I760" s="12" t="s">
        <v>384</v>
      </c>
      <c r="J760" s="281" t="s">
        <v>12008</v>
      </c>
      <c r="K760" s="12"/>
      <c r="L760" s="12"/>
      <c r="M760" s="12"/>
      <c r="N760" s="12"/>
      <c r="O760" s="12"/>
      <c r="P760" s="12"/>
      <c r="Q760" s="12"/>
      <c r="R760" s="12"/>
      <c r="S760" s="12"/>
      <c r="T760" s="12"/>
      <c r="U760" s="12"/>
      <c r="V760" s="12"/>
      <c r="W760" s="12"/>
      <c r="X760" s="12"/>
      <c r="Y760" s="12"/>
      <c r="Z760" s="12"/>
      <c r="AA760" s="12"/>
      <c r="AB760" s="12"/>
      <c r="AC760" s="12"/>
      <c r="AD760" s="12"/>
      <c r="BD760" s="13">
        <v>42675</v>
      </c>
      <c r="BE760" s="13">
        <v>42855</v>
      </c>
      <c r="BF760" s="12"/>
      <c r="BG760" s="12" t="s">
        <v>908</v>
      </c>
      <c r="BH760" s="14">
        <v>259739</v>
      </c>
      <c r="BI760" s="12" t="s">
        <v>11752</v>
      </c>
      <c r="BJ760" s="12" t="s">
        <v>11753</v>
      </c>
      <c r="BK760" s="12" t="s">
        <v>11754</v>
      </c>
      <c r="BL760" s="12"/>
      <c r="BM760" s="12"/>
      <c r="BN760" s="12"/>
      <c r="BO760" s="12" t="s">
        <v>320</v>
      </c>
      <c r="BP760" s="11" t="s">
        <v>320</v>
      </c>
      <c r="BQ760" s="12" t="s">
        <v>320</v>
      </c>
      <c r="BR760" s="12" t="s">
        <v>12009</v>
      </c>
      <c r="BS760" s="12" t="s">
        <v>357</v>
      </c>
      <c r="BT760" s="12" t="s">
        <v>12010</v>
      </c>
      <c r="BU760" s="12" t="s">
        <v>12011</v>
      </c>
      <c r="BV760" s="14">
        <v>1800</v>
      </c>
      <c r="BW760" s="14">
        <v>1200</v>
      </c>
      <c r="BX760" s="14">
        <v>3000</v>
      </c>
      <c r="BY760" s="14">
        <v>0</v>
      </c>
      <c r="BZ760" s="14">
        <v>0</v>
      </c>
      <c r="CA760" s="14">
        <v>0</v>
      </c>
      <c r="CB760" s="12" t="s">
        <v>12012</v>
      </c>
      <c r="CD760" s="14">
        <v>2702</v>
      </c>
      <c r="CE760" s="14">
        <v>1231</v>
      </c>
      <c r="CF760" s="14">
        <v>3933</v>
      </c>
      <c r="CG760" s="14">
        <v>0</v>
      </c>
      <c r="CH760" s="14">
        <v>0</v>
      </c>
      <c r="CI760" s="14">
        <v>0</v>
      </c>
      <c r="CJ760" s="12" t="s">
        <v>319</v>
      </c>
      <c r="CK760" s="14"/>
      <c r="CL760" s="16"/>
      <c r="CM760" s="14"/>
      <c r="CN760" s="12" t="s">
        <v>319</v>
      </c>
      <c r="CO760" s="14"/>
      <c r="CP760" s="16"/>
      <c r="CQ760" s="14"/>
      <c r="CR760" s="12" t="s">
        <v>319</v>
      </c>
      <c r="CS760" s="14"/>
      <c r="CT760" s="16"/>
      <c r="CU760" s="14"/>
      <c r="CV760" s="12" t="s">
        <v>319</v>
      </c>
      <c r="CW760" s="14"/>
      <c r="CX760" s="16"/>
      <c r="CY760" s="14"/>
      <c r="CZ760" s="12" t="s">
        <v>319</v>
      </c>
      <c r="DA760" s="14"/>
      <c r="DB760" s="16"/>
      <c r="DC760" s="14"/>
      <c r="DD760" s="12" t="s">
        <v>319</v>
      </c>
      <c r="DE760" s="14"/>
      <c r="DF760" s="16"/>
      <c r="DG760" s="14"/>
      <c r="DH760" s="12" t="s">
        <v>319</v>
      </c>
      <c r="DI760" s="14"/>
      <c r="DJ760" s="16"/>
      <c r="DK760" s="14"/>
      <c r="DL760" s="12" t="s">
        <v>319</v>
      </c>
      <c r="DM760" s="14"/>
      <c r="DN760" s="16"/>
      <c r="DO760" s="14"/>
      <c r="DP760" s="12" t="s">
        <v>319</v>
      </c>
      <c r="DQ760" s="14"/>
      <c r="DR760" s="16"/>
      <c r="DS760" s="14"/>
      <c r="DT760" s="12" t="s">
        <v>319</v>
      </c>
      <c r="DU760" s="14"/>
      <c r="DV760" s="16"/>
      <c r="DW760" s="14"/>
      <c r="DX760" s="12" t="s">
        <v>319</v>
      </c>
      <c r="DY760" s="14"/>
      <c r="DZ760" s="16"/>
      <c r="EA760" s="14"/>
      <c r="EB760" s="12" t="s">
        <v>319</v>
      </c>
      <c r="EC760" s="14"/>
      <c r="ED760" s="16"/>
      <c r="EE760" s="14"/>
      <c r="EF760" s="12" t="s">
        <v>12013</v>
      </c>
      <c r="EG760" s="12" t="s">
        <v>320</v>
      </c>
      <c r="EH760" s="14">
        <v>3933</v>
      </c>
      <c r="EI760" s="16">
        <v>0.68700000000000006</v>
      </c>
      <c r="EJ760" s="14"/>
      <c r="EK760" s="14">
        <v>7000</v>
      </c>
      <c r="EL760" s="14">
        <v>3248</v>
      </c>
      <c r="EM760" s="14">
        <v>10248</v>
      </c>
      <c r="EN760" s="14"/>
      <c r="EO760" s="14"/>
      <c r="EP760" s="14"/>
      <c r="EQ760" s="12"/>
      <c r="ER760" s="14"/>
      <c r="ES760" s="16"/>
      <c r="ET760" s="14"/>
      <c r="EU760" s="12"/>
      <c r="EV760" s="14"/>
      <c r="EW760" s="16"/>
      <c r="EX760" s="14"/>
      <c r="EY760" s="12"/>
      <c r="EZ760" s="14"/>
      <c r="FA760" s="16"/>
      <c r="FB760" s="14"/>
      <c r="FC760" s="12"/>
      <c r="FD760" s="14"/>
      <c r="FE760" s="16"/>
      <c r="FF760" s="14"/>
      <c r="FG760" s="12"/>
      <c r="FH760" s="14"/>
      <c r="FI760" s="16"/>
      <c r="FJ760" s="14"/>
      <c r="FK760" s="12"/>
      <c r="FL760" s="14"/>
      <c r="FM760" s="16"/>
      <c r="FN760" s="14"/>
      <c r="FO760" s="12"/>
      <c r="FP760" s="14"/>
      <c r="FQ760" s="16"/>
      <c r="FR760" s="14"/>
      <c r="FS760" s="12"/>
      <c r="FT760" s="14"/>
      <c r="FU760" s="16"/>
      <c r="FV760" s="14"/>
      <c r="FW760" s="12"/>
      <c r="FX760" s="14"/>
      <c r="FY760" s="16"/>
      <c r="FZ760" s="14"/>
      <c r="GA760" s="12"/>
      <c r="GB760" s="14"/>
      <c r="GC760" s="16"/>
      <c r="GD760" s="14"/>
      <c r="GE760" s="12"/>
      <c r="GF760" s="14"/>
      <c r="GG760" s="16"/>
      <c r="GH760" s="14"/>
      <c r="GI760" s="12"/>
      <c r="GJ760" s="14"/>
      <c r="GK760" s="16"/>
      <c r="GL760" s="14"/>
      <c r="GM760" s="12"/>
      <c r="GN760" s="14"/>
      <c r="GO760" s="16"/>
      <c r="GP760" s="14"/>
      <c r="GQ760" s="12"/>
      <c r="GR760" s="14"/>
      <c r="GS760" s="16"/>
      <c r="GT760" s="14"/>
      <c r="GU760" s="12"/>
      <c r="GV760" s="14"/>
      <c r="GW760" s="16"/>
      <c r="GX760" s="14"/>
      <c r="GY760" s="12"/>
      <c r="GZ760" s="14"/>
      <c r="HA760" s="16"/>
      <c r="HB760" s="14"/>
      <c r="HC760" s="12"/>
      <c r="HD760" s="12"/>
      <c r="HE760" s="14"/>
      <c r="HF760" s="16"/>
      <c r="HG760" s="14"/>
      <c r="HH760" s="12" t="s">
        <v>320</v>
      </c>
      <c r="HI760" s="12" t="s">
        <v>416</v>
      </c>
      <c r="HJ760" s="12">
        <v>2017</v>
      </c>
      <c r="HK760" s="12" t="s">
        <v>320</v>
      </c>
      <c r="HL760" s="12" t="s">
        <v>319</v>
      </c>
      <c r="HM760" s="12"/>
      <c r="HN760" s="12"/>
      <c r="HO760" s="12"/>
      <c r="HP760" s="12" t="s">
        <v>418</v>
      </c>
      <c r="HQ760" s="12"/>
      <c r="HR760" s="12"/>
      <c r="HS760" s="12"/>
      <c r="HT760" s="12"/>
      <c r="HU760" s="12"/>
      <c r="HV760" s="12"/>
      <c r="HW760" s="12"/>
      <c r="HX760" s="12"/>
      <c r="HY760" s="12"/>
      <c r="HZ760" s="12" t="s">
        <v>394</v>
      </c>
      <c r="IA760" s="12"/>
      <c r="IB760" s="12" t="s">
        <v>396</v>
      </c>
      <c r="IC760" s="12"/>
      <c r="ID760" s="12" t="s">
        <v>364</v>
      </c>
      <c r="IE760" s="12" t="s">
        <v>335</v>
      </c>
      <c r="IF760" s="12" t="s">
        <v>320</v>
      </c>
      <c r="IG760" s="12" t="s">
        <v>320</v>
      </c>
      <c r="IH760" s="12" t="s">
        <v>320</v>
      </c>
      <c r="II760" s="12" t="s">
        <v>320</v>
      </c>
      <c r="IJ760" s="12" t="str">
        <f t="shared" si="474"/>
        <v>2. Sensitive</v>
      </c>
      <c r="IK760" s="12">
        <f t="shared" si="475"/>
        <v>4</v>
      </c>
      <c r="IL760" s="12" t="s">
        <v>336</v>
      </c>
      <c r="IM760" s="12" t="s">
        <v>320</v>
      </c>
      <c r="IN760" s="12" t="s">
        <v>320</v>
      </c>
      <c r="IO760" s="12" t="s">
        <v>320</v>
      </c>
      <c r="IP760" s="12" t="s">
        <v>320</v>
      </c>
      <c r="IQ760" s="12" t="str">
        <f t="shared" si="476"/>
        <v>2. Accommodating</v>
      </c>
      <c r="IR760" s="12">
        <f t="shared" si="477"/>
        <v>4</v>
      </c>
      <c r="IS760" s="12" t="s">
        <v>337</v>
      </c>
      <c r="IT760" s="12" t="s">
        <v>320</v>
      </c>
      <c r="IU760" s="12" t="s">
        <v>319</v>
      </c>
      <c r="IV760" s="12" t="s">
        <v>319</v>
      </c>
      <c r="IW760" s="11" t="str">
        <f t="shared" si="478"/>
        <v>1. Neutral</v>
      </c>
      <c r="IX760" s="12">
        <f t="shared" si="479"/>
        <v>1</v>
      </c>
      <c r="IY760" s="12" t="s">
        <v>419</v>
      </c>
      <c r="IZ760" s="12" t="s">
        <v>457</v>
      </c>
      <c r="JA760" s="12">
        <v>3</v>
      </c>
      <c r="JB760" s="12" t="s">
        <v>433</v>
      </c>
      <c r="JC760" s="12" t="s">
        <v>433</v>
      </c>
      <c r="JD760" s="12" t="s">
        <v>433</v>
      </c>
      <c r="JE760" s="12" t="s">
        <v>420</v>
      </c>
      <c r="JF760" s="12"/>
      <c r="JG760" s="12" t="s">
        <v>12014</v>
      </c>
      <c r="JH760" s="12" t="s">
        <v>12015</v>
      </c>
      <c r="JI760" s="12"/>
      <c r="JJ760" s="12"/>
      <c r="JK760" s="12"/>
      <c r="JL760" s="12"/>
      <c r="JM760" s="12"/>
      <c r="JN760" s="12"/>
      <c r="JO760" s="12"/>
      <c r="JP760" s="15">
        <f t="shared" si="480"/>
        <v>10248</v>
      </c>
      <c r="JQ760" s="15">
        <f t="shared" si="481"/>
        <v>0</v>
      </c>
      <c r="JR760" s="279">
        <f t="shared" si="482"/>
        <v>0</v>
      </c>
      <c r="JS760" s="17">
        <f t="shared" si="483"/>
        <v>0.68306010928961747</v>
      </c>
      <c r="JT760" s="18" t="str">
        <f t="shared" si="484"/>
        <v/>
      </c>
      <c r="JU760" s="280">
        <f t="shared" si="485"/>
        <v>7000</v>
      </c>
      <c r="JV760" s="280">
        <f t="shared" si="486"/>
        <v>0</v>
      </c>
      <c r="JW760" s="319">
        <f t="shared" si="487"/>
        <v>1</v>
      </c>
      <c r="JX760" s="15">
        <f t="shared" si="488"/>
        <v>3933</v>
      </c>
      <c r="JY760" s="15">
        <f t="shared" si="489"/>
        <v>0</v>
      </c>
      <c r="JZ760" s="19">
        <f t="shared" si="490"/>
        <v>0</v>
      </c>
      <c r="KA760" s="52" t="str">
        <f t="shared" si="491"/>
        <v/>
      </c>
      <c r="KB760" s="15">
        <f t="shared" si="492"/>
        <v>0</v>
      </c>
      <c r="KC760" s="15">
        <f t="shared" si="493"/>
        <v>0</v>
      </c>
      <c r="KD760" s="20" t="str">
        <f t="shared" si="494"/>
        <v/>
      </c>
      <c r="KE760" s="52" t="str">
        <f t="shared" si="495"/>
        <v/>
      </c>
      <c r="KF760" s="15">
        <f t="shared" si="496"/>
        <v>0</v>
      </c>
      <c r="KG760" s="15">
        <f t="shared" si="497"/>
        <v>0</v>
      </c>
      <c r="KH760" s="21" t="str">
        <f t="shared" si="498"/>
        <v/>
      </c>
      <c r="KI760" s="52" t="str">
        <f t="shared" si="499"/>
        <v/>
      </c>
      <c r="KJ760" s="15">
        <f t="shared" si="500"/>
        <v>0</v>
      </c>
      <c r="KK760" s="15">
        <f t="shared" si="501"/>
        <v>0</v>
      </c>
      <c r="KL760" s="19" t="str">
        <f t="shared" si="502"/>
        <v/>
      </c>
      <c r="KM760" s="52" t="str">
        <f t="shared" si="503"/>
        <v/>
      </c>
      <c r="KN760" s="22">
        <f t="shared" si="504"/>
        <v>0</v>
      </c>
      <c r="KO760" s="22">
        <f t="shared" si="505"/>
        <v>0</v>
      </c>
      <c r="KP760" s="19" t="str">
        <f t="shared" si="506"/>
        <v/>
      </c>
      <c r="KQ760" s="11" t="str">
        <f t="shared" si="507"/>
        <v>2. Sensitive</v>
      </c>
      <c r="KR760" s="11" t="str">
        <f t="shared" si="508"/>
        <v>2. Accommodating</v>
      </c>
      <c r="KS760" s="11" t="str">
        <f t="shared" si="509"/>
        <v>1. Neutral</v>
      </c>
      <c r="KT760" s="11" t="str">
        <f t="shared" si="510"/>
        <v>It tested new ways for fighting poverty, but did not measure results of innovation</v>
      </c>
      <c r="KU760" s="11" t="str">
        <f t="shared" si="511"/>
        <v>Little or no advocacy</v>
      </c>
      <c r="KV760" s="11" t="str">
        <f t="shared" si="512"/>
        <v>It linked and worked with strategic alliances and partners to take tested and effective solutions to scale</v>
      </c>
      <c r="KW760" s="11" t="str">
        <f t="shared" si="513"/>
        <v>Syria - Supporting Vulnerable Families to Cope with the Winter</v>
      </c>
      <c r="KX760" s="11" t="str">
        <f t="shared" si="514"/>
        <v>Supporting Vulnerable Families to Cope with the Winter</v>
      </c>
      <c r="KY760" s="11" t="str">
        <f t="shared" si="515"/>
        <v>Syria</v>
      </c>
      <c r="KZ760" s="12">
        <v>761</v>
      </c>
    </row>
    <row r="761" spans="1:312" x14ac:dyDescent="0.3">
      <c r="A761" s="11" t="s">
        <v>11693</v>
      </c>
      <c r="B761" s="11" t="s">
        <v>602</v>
      </c>
      <c r="D761" s="11" t="s">
        <v>12060</v>
      </c>
      <c r="E761" s="277" t="str">
        <f t="shared" si="473"/>
        <v>Syria</v>
      </c>
      <c r="F761" s="11" t="s">
        <v>12061</v>
      </c>
      <c r="G761" s="11" t="s">
        <v>1529</v>
      </c>
      <c r="H761" s="11" t="s">
        <v>383</v>
      </c>
      <c r="I761" s="11" t="s">
        <v>384</v>
      </c>
      <c r="J761" s="278" t="s">
        <v>12062</v>
      </c>
      <c r="K761" s="11" t="s">
        <v>12063</v>
      </c>
      <c r="L761" s="11" t="s">
        <v>1529</v>
      </c>
      <c r="M761" s="11" t="s">
        <v>383</v>
      </c>
      <c r="N761" s="11" t="s">
        <v>384</v>
      </c>
      <c r="O761" s="11" t="s">
        <v>1529</v>
      </c>
      <c r="BD761" s="23">
        <v>42607</v>
      </c>
      <c r="BE761" s="23">
        <v>42699</v>
      </c>
      <c r="BG761" s="11" t="s">
        <v>908</v>
      </c>
      <c r="BH761" s="22">
        <v>126000</v>
      </c>
      <c r="BI761" s="11" t="s">
        <v>11760</v>
      </c>
      <c r="BJ761" s="11" t="s">
        <v>11761</v>
      </c>
      <c r="BK761" s="11" t="s">
        <v>11762</v>
      </c>
      <c r="BL761" s="11" t="s">
        <v>12064</v>
      </c>
      <c r="BM761" s="11" t="s">
        <v>12065</v>
      </c>
      <c r="BN761" s="11" t="s">
        <v>12066</v>
      </c>
      <c r="BO761" s="11" t="s">
        <v>320</v>
      </c>
      <c r="BP761" s="11" t="s">
        <v>319</v>
      </c>
      <c r="BQ761" s="11" t="s">
        <v>319</v>
      </c>
      <c r="BR761" s="11" t="s">
        <v>12067</v>
      </c>
      <c r="BS761" s="11" t="s">
        <v>357</v>
      </c>
      <c r="BT761" s="11" t="s">
        <v>12068</v>
      </c>
      <c r="BU761" s="11" t="s">
        <v>12069</v>
      </c>
      <c r="BV761" s="22">
        <v>4455</v>
      </c>
      <c r="BW761" s="22">
        <v>4343</v>
      </c>
      <c r="BX761" s="22">
        <v>8798</v>
      </c>
      <c r="CD761" s="22">
        <v>4455</v>
      </c>
      <c r="CE761" s="22">
        <v>4343</v>
      </c>
      <c r="CF761" s="22">
        <v>8798</v>
      </c>
      <c r="CJ761" s="39"/>
      <c r="CK761" s="40"/>
      <c r="CL761" s="41"/>
      <c r="CM761" s="40"/>
      <c r="CN761" s="39"/>
      <c r="CO761" s="40"/>
      <c r="CP761" s="41"/>
      <c r="CQ761" s="40"/>
      <c r="CR761" s="39"/>
      <c r="CS761" s="40"/>
      <c r="CT761" s="41"/>
      <c r="CU761" s="40"/>
      <c r="CV761" s="12" t="s">
        <v>320</v>
      </c>
      <c r="CW761" s="40">
        <v>8798</v>
      </c>
      <c r="CX761" s="41">
        <v>0.51</v>
      </c>
      <c r="CY761" s="40"/>
      <c r="CZ761" s="39"/>
      <c r="DA761" s="40"/>
      <c r="DB761" s="41"/>
      <c r="DC761" s="40"/>
      <c r="DD761" s="39"/>
      <c r="DE761" s="40"/>
      <c r="DF761" s="41"/>
      <c r="DG761" s="40"/>
      <c r="DH761" s="39"/>
      <c r="DI761" s="40"/>
      <c r="DJ761" s="41"/>
      <c r="DK761" s="40"/>
      <c r="DL761" s="39"/>
      <c r="DM761" s="40"/>
      <c r="DN761" s="41"/>
      <c r="DO761" s="40"/>
      <c r="DP761" s="39"/>
      <c r="DQ761" s="40"/>
      <c r="DR761" s="41"/>
      <c r="DS761" s="40"/>
      <c r="DT761" s="39"/>
      <c r="DU761" s="40"/>
      <c r="DV761" s="41"/>
      <c r="DW761" s="40"/>
      <c r="DX761" s="39"/>
      <c r="DY761" s="40"/>
      <c r="DZ761" s="41"/>
      <c r="EA761" s="40"/>
      <c r="EB761" s="39"/>
      <c r="EC761" s="40"/>
      <c r="ED761" s="41"/>
      <c r="EE761" s="40"/>
      <c r="EF761" s="39"/>
      <c r="EG761" s="39"/>
      <c r="EH761" s="40"/>
      <c r="EI761" s="41"/>
      <c r="EJ761" s="40"/>
      <c r="EK761" s="40"/>
      <c r="EL761" s="40"/>
      <c r="EM761" s="40"/>
      <c r="EN761" s="40"/>
      <c r="EO761" s="40"/>
      <c r="EP761" s="40"/>
      <c r="EQ761" s="39"/>
      <c r="ER761" s="40"/>
      <c r="ES761" s="41"/>
      <c r="ET761" s="40"/>
      <c r="EU761" s="39"/>
      <c r="EV761" s="40"/>
      <c r="EW761" s="41"/>
      <c r="EX761" s="40"/>
      <c r="EY761" s="39"/>
      <c r="EZ761" s="40"/>
      <c r="FA761" s="41"/>
      <c r="FB761" s="40"/>
      <c r="FC761" s="39"/>
      <c r="FD761" s="40"/>
      <c r="FE761" s="41"/>
      <c r="FF761" s="40"/>
      <c r="FG761" s="39"/>
      <c r="FH761" s="40"/>
      <c r="FI761" s="41"/>
      <c r="FJ761" s="40"/>
      <c r="FK761" s="39"/>
      <c r="FL761" s="40"/>
      <c r="FM761" s="41"/>
      <c r="FN761" s="40"/>
      <c r="FO761" s="39"/>
      <c r="FP761" s="40"/>
      <c r="FQ761" s="41"/>
      <c r="FR761" s="40"/>
      <c r="FS761" s="39"/>
      <c r="FT761" s="40"/>
      <c r="FU761" s="41"/>
      <c r="FV761" s="40"/>
      <c r="FW761" s="39"/>
      <c r="FX761" s="40"/>
      <c r="FY761" s="41"/>
      <c r="FZ761" s="40"/>
      <c r="GA761" s="39"/>
      <c r="GB761" s="40"/>
      <c r="GC761" s="41"/>
      <c r="GD761" s="40"/>
      <c r="GE761" s="39"/>
      <c r="GF761" s="40"/>
      <c r="GG761" s="41"/>
      <c r="GH761" s="40"/>
      <c r="GI761" s="39"/>
      <c r="GJ761" s="40"/>
      <c r="GK761" s="41"/>
      <c r="GL761" s="40"/>
      <c r="GM761" s="39"/>
      <c r="GN761" s="40"/>
      <c r="GO761" s="41"/>
      <c r="GP761" s="40"/>
      <c r="GQ761" s="39"/>
      <c r="GR761" s="40"/>
      <c r="GS761" s="41"/>
      <c r="GT761" s="40"/>
      <c r="GU761" s="39"/>
      <c r="GV761" s="40"/>
      <c r="GW761" s="41"/>
      <c r="GX761" s="40"/>
      <c r="GY761" s="39"/>
      <c r="GZ761" s="40"/>
      <c r="HA761" s="41"/>
      <c r="HB761" s="40"/>
      <c r="HF761" s="18"/>
      <c r="HH761" s="11" t="s">
        <v>319</v>
      </c>
      <c r="HK761" s="11" t="s">
        <v>319</v>
      </c>
      <c r="HL761" s="11" t="s">
        <v>319</v>
      </c>
      <c r="HP761" s="11" t="s">
        <v>453</v>
      </c>
      <c r="HQ761" s="11" t="s">
        <v>319</v>
      </c>
      <c r="HR761" s="11" t="s">
        <v>320</v>
      </c>
      <c r="HS761" s="11" t="s">
        <v>320</v>
      </c>
      <c r="HT761" s="11" t="s">
        <v>320</v>
      </c>
      <c r="HU761" s="11" t="s">
        <v>319</v>
      </c>
      <c r="HV761" s="11" t="s">
        <v>319</v>
      </c>
      <c r="HW761" s="11" t="s">
        <v>319</v>
      </c>
      <c r="HZ761" s="11" t="s">
        <v>363</v>
      </c>
      <c r="IB761" s="11" t="s">
        <v>333</v>
      </c>
      <c r="ID761" s="11" t="s">
        <v>477</v>
      </c>
      <c r="IE761" s="11" t="s">
        <v>335</v>
      </c>
      <c r="IF761" s="11" t="s">
        <v>320</v>
      </c>
      <c r="IG761" s="11" t="s">
        <v>320</v>
      </c>
      <c r="IH761" s="11" t="s">
        <v>320</v>
      </c>
      <c r="II761" s="11" t="s">
        <v>320</v>
      </c>
      <c r="IJ761" s="12" t="str">
        <f t="shared" si="474"/>
        <v>2. Sensitive</v>
      </c>
      <c r="IK761" s="12">
        <f t="shared" si="475"/>
        <v>4</v>
      </c>
      <c r="IQ761" s="12" t="str">
        <f t="shared" si="476"/>
        <v>No marker score</v>
      </c>
      <c r="IR761" s="12">
        <f t="shared" si="477"/>
        <v>0</v>
      </c>
      <c r="IW761" s="11" t="str">
        <f t="shared" si="478"/>
        <v>No marker score</v>
      </c>
      <c r="IX761" s="12">
        <f t="shared" si="479"/>
        <v>0</v>
      </c>
      <c r="IY761" s="11" t="s">
        <v>338</v>
      </c>
      <c r="IZ761" s="11" t="s">
        <v>457</v>
      </c>
      <c r="JA761" s="11">
        <v>2</v>
      </c>
      <c r="JB761" s="11" t="s">
        <v>433</v>
      </c>
      <c r="JE761" s="11" t="s">
        <v>420</v>
      </c>
      <c r="JK761" s="11" t="s">
        <v>12070</v>
      </c>
      <c r="JL761" s="11" t="s">
        <v>12071</v>
      </c>
      <c r="JP761" s="15">
        <f t="shared" si="480"/>
        <v>8798</v>
      </c>
      <c r="JQ761" s="15">
        <f t="shared" si="481"/>
        <v>0</v>
      </c>
      <c r="JR761" s="279">
        <f t="shared" si="482"/>
        <v>0</v>
      </c>
      <c r="JS761" s="17">
        <f t="shared" si="483"/>
        <v>0.50636508297340299</v>
      </c>
      <c r="JT761" s="18" t="str">
        <f t="shared" si="484"/>
        <v/>
      </c>
      <c r="JU761" s="280">
        <f t="shared" si="485"/>
        <v>4455</v>
      </c>
      <c r="JV761" s="280">
        <f t="shared" si="486"/>
        <v>0</v>
      </c>
      <c r="JW761" s="319">
        <f t="shared" si="487"/>
        <v>1</v>
      </c>
      <c r="JX761" s="15">
        <f t="shared" si="488"/>
        <v>8798</v>
      </c>
      <c r="JY761" s="15">
        <f t="shared" si="489"/>
        <v>0</v>
      </c>
      <c r="JZ761" s="19">
        <f t="shared" si="490"/>
        <v>0</v>
      </c>
      <c r="KA761" s="52">
        <f t="shared" si="491"/>
        <v>1</v>
      </c>
      <c r="KB761" s="15">
        <f t="shared" si="492"/>
        <v>8798</v>
      </c>
      <c r="KC761" s="15">
        <f t="shared" si="493"/>
        <v>0</v>
      </c>
      <c r="KD761" s="20">
        <f t="shared" si="494"/>
        <v>0</v>
      </c>
      <c r="KE761" s="52" t="str">
        <f t="shared" si="495"/>
        <v/>
      </c>
      <c r="KF761" s="15">
        <f t="shared" si="496"/>
        <v>0</v>
      </c>
      <c r="KG761" s="15">
        <f t="shared" si="497"/>
        <v>0</v>
      </c>
      <c r="KH761" s="21" t="str">
        <f t="shared" si="498"/>
        <v/>
      </c>
      <c r="KI761" s="52" t="str">
        <f t="shared" si="499"/>
        <v/>
      </c>
      <c r="KJ761" s="15">
        <f t="shared" si="500"/>
        <v>0</v>
      </c>
      <c r="KK761" s="15">
        <f t="shared" si="501"/>
        <v>0</v>
      </c>
      <c r="KL761" s="19" t="str">
        <f t="shared" si="502"/>
        <v/>
      </c>
      <c r="KM761" s="52" t="str">
        <f t="shared" si="503"/>
        <v/>
      </c>
      <c r="KN761" s="22">
        <f t="shared" si="504"/>
        <v>0</v>
      </c>
      <c r="KO761" s="22">
        <f t="shared" si="505"/>
        <v>0</v>
      </c>
      <c r="KP761" s="19" t="str">
        <f t="shared" si="506"/>
        <v/>
      </c>
      <c r="KQ761" s="11" t="str">
        <f t="shared" si="507"/>
        <v>2. Sensitive</v>
      </c>
      <c r="KR761" s="11" t="str">
        <f t="shared" si="508"/>
        <v>No marker score</v>
      </c>
      <c r="KS761" s="11" t="str">
        <f t="shared" si="509"/>
        <v>No marker score</v>
      </c>
      <c r="KT761" s="11" t="str">
        <f t="shared" si="510"/>
        <v>It did not develop any specific innovation</v>
      </c>
      <c r="KU761" s="11" t="str">
        <f t="shared" si="511"/>
        <v>Intensive advocacy</v>
      </c>
      <c r="KV761" s="11" t="str">
        <f t="shared" si="512"/>
        <v>It did not take tested solutions to scale</v>
      </c>
      <c r="KW761" s="11" t="str">
        <f t="shared" si="513"/>
        <v>Syria - Syria Crisis: Emergency Response in Aleppo</v>
      </c>
      <c r="KX761" s="11" t="str">
        <f t="shared" si="514"/>
        <v>Syria Crisis: Emergency Response in Aleppo</v>
      </c>
      <c r="KY761" s="11" t="str">
        <f t="shared" si="515"/>
        <v>Syria</v>
      </c>
      <c r="KZ761" s="287">
        <v>762</v>
      </c>
    </row>
    <row r="762" spans="1:312" x14ac:dyDescent="0.3">
      <c r="A762" s="11" t="s">
        <v>11693</v>
      </c>
      <c r="B762" s="11" t="s">
        <v>602</v>
      </c>
      <c r="D762" s="11" t="s">
        <v>11779</v>
      </c>
      <c r="E762" s="277" t="str">
        <f t="shared" si="473"/>
        <v>Syria</v>
      </c>
      <c r="F762" s="11" t="s">
        <v>11780</v>
      </c>
      <c r="G762" s="11" t="s">
        <v>425</v>
      </c>
      <c r="H762" s="11" t="s">
        <v>310</v>
      </c>
      <c r="I762" s="11" t="s">
        <v>426</v>
      </c>
      <c r="J762" s="278" t="s">
        <v>14563</v>
      </c>
      <c r="BD762" s="23">
        <v>42795</v>
      </c>
      <c r="BE762" s="23">
        <v>43100</v>
      </c>
      <c r="BG762" s="11" t="s">
        <v>407</v>
      </c>
      <c r="BH762" s="22">
        <v>558295.84</v>
      </c>
      <c r="BI762" s="11" t="s">
        <v>11781</v>
      </c>
      <c r="BJ762" s="11" t="s">
        <v>11782</v>
      </c>
      <c r="BK762" s="11" t="s">
        <v>11783</v>
      </c>
      <c r="BL762" s="11" t="s">
        <v>11784</v>
      </c>
      <c r="BM762" s="11" t="s">
        <v>11785</v>
      </c>
      <c r="BN762" s="11" t="s">
        <v>11786</v>
      </c>
      <c r="BO762" s="11" t="s">
        <v>320</v>
      </c>
      <c r="BP762" s="11" t="s">
        <v>319</v>
      </c>
      <c r="BQ762" s="11" t="s">
        <v>319</v>
      </c>
      <c r="BR762" s="11" t="s">
        <v>11787</v>
      </c>
      <c r="BS762" s="11" t="s">
        <v>357</v>
      </c>
      <c r="BT762" s="11" t="s">
        <v>11788</v>
      </c>
      <c r="BU762" s="11" t="s">
        <v>11772</v>
      </c>
      <c r="CB762" s="15" t="s">
        <v>11789</v>
      </c>
      <c r="CJ762" s="39"/>
      <c r="CK762" s="40"/>
      <c r="CL762" s="41"/>
      <c r="CM762" s="40"/>
      <c r="CN762" s="39"/>
      <c r="CO762" s="40"/>
      <c r="CP762" s="41"/>
      <c r="CQ762" s="40"/>
      <c r="CR762" s="39"/>
      <c r="CS762" s="40"/>
      <c r="CT762" s="41"/>
      <c r="CU762" s="40"/>
      <c r="CV762" s="39"/>
      <c r="CW762" s="40"/>
      <c r="CX762" s="41"/>
      <c r="CY762" s="40"/>
      <c r="CZ762" s="39"/>
      <c r="DA762" s="40"/>
      <c r="DB762" s="41"/>
      <c r="DC762" s="40"/>
      <c r="DD762" s="39"/>
      <c r="DE762" s="40"/>
      <c r="DF762" s="41"/>
      <c r="DG762" s="40"/>
      <c r="DH762" s="39"/>
      <c r="DI762" s="40"/>
      <c r="DJ762" s="41"/>
      <c r="DK762" s="40"/>
      <c r="DL762" s="39"/>
      <c r="DM762" s="40"/>
      <c r="DN762" s="41"/>
      <c r="DO762" s="40"/>
      <c r="DP762" s="39"/>
      <c r="DQ762" s="40"/>
      <c r="DR762" s="41"/>
      <c r="DS762" s="40"/>
      <c r="DT762" s="39"/>
      <c r="DU762" s="40"/>
      <c r="DV762" s="41"/>
      <c r="DW762" s="40"/>
      <c r="DX762" s="39"/>
      <c r="DY762" s="40"/>
      <c r="DZ762" s="41"/>
      <c r="EA762" s="40"/>
      <c r="EB762" s="39"/>
      <c r="EC762" s="40"/>
      <c r="ED762" s="41"/>
      <c r="EE762" s="40"/>
      <c r="EF762" s="39"/>
      <c r="EG762" s="39"/>
      <c r="EH762" s="40"/>
      <c r="EI762" s="41"/>
      <c r="EJ762" s="40"/>
      <c r="EK762" s="40"/>
      <c r="EL762" s="40"/>
      <c r="EM762" s="40"/>
      <c r="EN762" s="40"/>
      <c r="EO762" s="40"/>
      <c r="EP762" s="40"/>
      <c r="EQ762" s="39"/>
      <c r="ER762" s="40"/>
      <c r="ES762" s="41"/>
      <c r="ET762" s="40"/>
      <c r="EU762" s="39"/>
      <c r="EV762" s="40"/>
      <c r="EW762" s="41"/>
      <c r="EX762" s="40"/>
      <c r="EY762" s="39"/>
      <c r="EZ762" s="40"/>
      <c r="FA762" s="41"/>
      <c r="FB762" s="40"/>
      <c r="FC762" s="39"/>
      <c r="FD762" s="40"/>
      <c r="FE762" s="41"/>
      <c r="FF762" s="40"/>
      <c r="FG762" s="39"/>
      <c r="FH762" s="40"/>
      <c r="FI762" s="41"/>
      <c r="FJ762" s="40"/>
      <c r="FK762" s="39"/>
      <c r="FL762" s="40"/>
      <c r="FM762" s="41"/>
      <c r="FN762" s="40"/>
      <c r="FO762" s="39"/>
      <c r="FP762" s="40"/>
      <c r="FQ762" s="41"/>
      <c r="FR762" s="40"/>
      <c r="FS762" s="39"/>
      <c r="FT762" s="40"/>
      <c r="FU762" s="41"/>
      <c r="FV762" s="40"/>
      <c r="FW762" s="39"/>
      <c r="FX762" s="40"/>
      <c r="FY762" s="41"/>
      <c r="FZ762" s="40"/>
      <c r="GA762" s="39"/>
      <c r="GB762" s="40"/>
      <c r="GC762" s="41"/>
      <c r="GD762" s="40"/>
      <c r="GE762" s="39"/>
      <c r="GF762" s="40"/>
      <c r="GG762" s="41"/>
      <c r="GH762" s="40"/>
      <c r="GI762" s="39"/>
      <c r="GJ762" s="40"/>
      <c r="GK762" s="41"/>
      <c r="GL762" s="40"/>
      <c r="GM762" s="39"/>
      <c r="GN762" s="40"/>
      <c r="GO762" s="41"/>
      <c r="GP762" s="40"/>
      <c r="GQ762" s="39"/>
      <c r="GR762" s="40"/>
      <c r="GS762" s="41"/>
      <c r="GT762" s="40"/>
      <c r="GU762" s="39"/>
      <c r="GV762" s="40"/>
      <c r="GW762" s="41"/>
      <c r="GX762" s="40"/>
      <c r="GY762" s="39"/>
      <c r="GZ762" s="40"/>
      <c r="HA762" s="41"/>
      <c r="HB762" s="40"/>
      <c r="HF762" s="18"/>
      <c r="HH762" s="11" t="s">
        <v>319</v>
      </c>
      <c r="HK762" s="11" t="s">
        <v>319</v>
      </c>
      <c r="HL762" s="11" t="s">
        <v>319</v>
      </c>
      <c r="HP762" s="11" t="s">
        <v>418</v>
      </c>
      <c r="HQ762" s="11" t="s">
        <v>319</v>
      </c>
      <c r="HR762" s="11" t="s">
        <v>320</v>
      </c>
      <c r="HS762" s="11" t="s">
        <v>320</v>
      </c>
      <c r="HT762" s="11" t="s">
        <v>320</v>
      </c>
      <c r="HU762" s="11" t="s">
        <v>319</v>
      </c>
      <c r="HV762" s="11" t="s">
        <v>319</v>
      </c>
      <c r="HW762" s="11" t="s">
        <v>319</v>
      </c>
      <c r="HZ762" s="11" t="s">
        <v>363</v>
      </c>
      <c r="IB762" s="11" t="s">
        <v>667</v>
      </c>
      <c r="ID762" s="11" t="s">
        <v>334</v>
      </c>
      <c r="IE762" s="11" t="s">
        <v>335</v>
      </c>
      <c r="IF762" s="11" t="s">
        <v>320</v>
      </c>
      <c r="IG762" s="11" t="s">
        <v>320</v>
      </c>
      <c r="IH762" s="11" t="s">
        <v>320</v>
      </c>
      <c r="II762" s="11" t="s">
        <v>320</v>
      </c>
      <c r="IJ762" s="12" t="str">
        <f t="shared" si="474"/>
        <v>2. Sensitive</v>
      </c>
      <c r="IK762" s="12">
        <f t="shared" si="475"/>
        <v>4</v>
      </c>
      <c r="IQ762" s="12" t="str">
        <f t="shared" si="476"/>
        <v>No marker score</v>
      </c>
      <c r="IR762" s="12">
        <f t="shared" si="477"/>
        <v>0</v>
      </c>
      <c r="IW762" s="11" t="str">
        <f t="shared" si="478"/>
        <v>No marker score</v>
      </c>
      <c r="IX762" s="12">
        <f t="shared" si="479"/>
        <v>0</v>
      </c>
      <c r="IY762" s="11" t="s">
        <v>338</v>
      </c>
      <c r="IZ762" s="11" t="s">
        <v>457</v>
      </c>
      <c r="JA762" s="11">
        <v>1</v>
      </c>
      <c r="JB762" s="11" t="s">
        <v>433</v>
      </c>
      <c r="JE762" s="11" t="s">
        <v>365</v>
      </c>
      <c r="JG762" s="11" t="s">
        <v>11790</v>
      </c>
      <c r="JH762" s="11" t="s">
        <v>11791</v>
      </c>
      <c r="JP762" s="15">
        <f t="shared" si="480"/>
        <v>0</v>
      </c>
      <c r="JQ762" s="15">
        <f t="shared" si="481"/>
        <v>0</v>
      </c>
      <c r="JR762" s="279" t="str">
        <f t="shared" si="482"/>
        <v/>
      </c>
      <c r="JS762" s="17" t="str">
        <f t="shared" si="483"/>
        <v/>
      </c>
      <c r="JT762" s="18" t="str">
        <f t="shared" si="484"/>
        <v/>
      </c>
      <c r="JU762" s="280">
        <f t="shared" si="485"/>
        <v>0</v>
      </c>
      <c r="JV762" s="280">
        <f t="shared" si="486"/>
        <v>0</v>
      </c>
      <c r="JW762" s="319">
        <f t="shared" si="487"/>
        <v>1</v>
      </c>
      <c r="JX762" s="15">
        <f t="shared" si="488"/>
        <v>0</v>
      </c>
      <c r="JY762" s="15">
        <f t="shared" si="489"/>
        <v>0</v>
      </c>
      <c r="JZ762" s="19" t="str">
        <f t="shared" si="490"/>
        <v/>
      </c>
      <c r="KA762" s="52" t="str">
        <f t="shared" si="491"/>
        <v/>
      </c>
      <c r="KB762" s="15">
        <f t="shared" si="492"/>
        <v>0</v>
      </c>
      <c r="KC762" s="15">
        <f t="shared" si="493"/>
        <v>0</v>
      </c>
      <c r="KD762" s="20" t="str">
        <f t="shared" si="494"/>
        <v/>
      </c>
      <c r="KE762" s="52" t="str">
        <f t="shared" si="495"/>
        <v/>
      </c>
      <c r="KF762" s="15">
        <f t="shared" si="496"/>
        <v>0</v>
      </c>
      <c r="KG762" s="15">
        <f t="shared" si="497"/>
        <v>0</v>
      </c>
      <c r="KH762" s="21" t="str">
        <f t="shared" si="498"/>
        <v/>
      </c>
      <c r="KI762" s="52" t="str">
        <f t="shared" si="499"/>
        <v/>
      </c>
      <c r="KJ762" s="15">
        <f t="shared" si="500"/>
        <v>0</v>
      </c>
      <c r="KK762" s="15">
        <f t="shared" si="501"/>
        <v>0</v>
      </c>
      <c r="KL762" s="19" t="str">
        <f t="shared" si="502"/>
        <v/>
      </c>
      <c r="KM762" s="52" t="str">
        <f t="shared" si="503"/>
        <v/>
      </c>
      <c r="KN762" s="22">
        <f t="shared" si="504"/>
        <v>0</v>
      </c>
      <c r="KO762" s="22">
        <f t="shared" si="505"/>
        <v>0</v>
      </c>
      <c r="KP762" s="19" t="str">
        <f t="shared" si="506"/>
        <v/>
      </c>
      <c r="KQ762" s="11" t="str">
        <f t="shared" si="507"/>
        <v>2. Sensitive</v>
      </c>
      <c r="KR762" s="11" t="str">
        <f t="shared" si="508"/>
        <v>No marker score</v>
      </c>
      <c r="KS762" s="11" t="str">
        <f t="shared" si="509"/>
        <v>No marker score</v>
      </c>
      <c r="KT762" s="11" t="str">
        <f t="shared" si="510"/>
        <v>It did not develop any specific innovation</v>
      </c>
      <c r="KU762" s="11" t="str">
        <f t="shared" si="511"/>
        <v>Little or no advocacy</v>
      </c>
      <c r="KV762" s="11" t="str">
        <f t="shared" si="512"/>
        <v>It took tested solutions to scale on its own</v>
      </c>
      <c r="KW762" s="11" t="str">
        <f t="shared" si="513"/>
        <v>Syria - Syria Joint Response III</v>
      </c>
      <c r="KX762" s="11" t="str">
        <f t="shared" si="514"/>
        <v>Syria Joint Response III</v>
      </c>
      <c r="KY762" s="11" t="str">
        <f t="shared" si="515"/>
        <v>Syria</v>
      </c>
      <c r="KZ762" s="12">
        <v>763</v>
      </c>
    </row>
    <row r="763" spans="1:312" x14ac:dyDescent="0.3">
      <c r="A763" s="282" t="s">
        <v>11693</v>
      </c>
      <c r="B763" s="282" t="s">
        <v>602</v>
      </c>
      <c r="C763" s="282"/>
      <c r="D763" s="282" t="s">
        <v>11792</v>
      </c>
      <c r="E763" s="24" t="str">
        <f t="shared" si="473"/>
        <v>Syria</v>
      </c>
      <c r="F763" s="282" t="s">
        <v>11793</v>
      </c>
      <c r="G763" s="282" t="s">
        <v>467</v>
      </c>
      <c r="H763" s="282" t="s">
        <v>310</v>
      </c>
      <c r="I763" s="282" t="s">
        <v>11704</v>
      </c>
      <c r="J763" s="278" t="s">
        <v>11061</v>
      </c>
      <c r="K763" s="282"/>
      <c r="L763" s="282"/>
      <c r="M763" s="282"/>
      <c r="N763" s="282"/>
      <c r="O763" s="282"/>
      <c r="P763" s="282"/>
      <c r="Q763" s="282"/>
      <c r="R763" s="282"/>
      <c r="S763" s="282"/>
      <c r="T763" s="282"/>
      <c r="U763" s="282"/>
      <c r="V763" s="282"/>
      <c r="W763" s="282"/>
      <c r="X763" s="282"/>
      <c r="Y763" s="282"/>
      <c r="Z763" s="282"/>
      <c r="AA763" s="282"/>
      <c r="AB763" s="282"/>
      <c r="AC763" s="282"/>
      <c r="AD763" s="282"/>
      <c r="AE763" s="282"/>
      <c r="AF763" s="282"/>
      <c r="AG763" s="282"/>
      <c r="AH763" s="282"/>
      <c r="AI763" s="282"/>
      <c r="AJ763" s="282"/>
      <c r="AK763" s="282"/>
      <c r="AL763" s="282"/>
      <c r="AM763" s="282"/>
      <c r="AN763" s="282"/>
      <c r="AO763" s="282"/>
      <c r="AP763" s="282"/>
      <c r="AQ763" s="282"/>
      <c r="AR763" s="282"/>
      <c r="AS763" s="282"/>
      <c r="AT763" s="282"/>
      <c r="AU763" s="282"/>
      <c r="AV763" s="282"/>
      <c r="AW763" s="282"/>
      <c r="AX763" s="282"/>
      <c r="AY763" s="282"/>
      <c r="AZ763" s="282"/>
      <c r="BA763" s="282"/>
      <c r="BB763" s="282"/>
      <c r="BC763" s="282"/>
      <c r="BD763" s="283">
        <v>42625</v>
      </c>
      <c r="BE763" s="283">
        <v>43039</v>
      </c>
      <c r="BF763" s="283"/>
      <c r="BG763" s="283" t="s">
        <v>407</v>
      </c>
      <c r="BH763" s="284">
        <v>804127.61</v>
      </c>
      <c r="BI763" s="282" t="s">
        <v>11795</v>
      </c>
      <c r="BJ763" s="282" t="s">
        <v>11796</v>
      </c>
      <c r="BK763" s="282" t="s">
        <v>11797</v>
      </c>
      <c r="BL763" s="282" t="s">
        <v>11798</v>
      </c>
      <c r="BM763" s="282" t="s">
        <v>11799</v>
      </c>
      <c r="BN763" s="282" t="s">
        <v>11800</v>
      </c>
      <c r="BO763" s="282" t="s">
        <v>320</v>
      </c>
      <c r="BP763" s="282" t="s">
        <v>320</v>
      </c>
      <c r="BQ763" s="282" t="s">
        <v>320</v>
      </c>
      <c r="BR763" s="282" t="s">
        <v>11801</v>
      </c>
      <c r="BS763" s="282" t="s">
        <v>357</v>
      </c>
      <c r="BT763" s="282" t="s">
        <v>11802</v>
      </c>
      <c r="BU763" s="282" t="s">
        <v>11803</v>
      </c>
      <c r="BV763" s="284"/>
      <c r="BW763" s="284"/>
      <c r="BX763" s="284"/>
      <c r="BY763" s="284"/>
      <c r="BZ763" s="284"/>
      <c r="CA763" s="284"/>
      <c r="CB763" s="285" t="s">
        <v>11804</v>
      </c>
      <c r="CC763" s="285"/>
      <c r="CD763" s="284"/>
      <c r="CE763" s="284"/>
      <c r="CF763" s="284"/>
      <c r="CG763" s="284"/>
      <c r="CH763" s="284"/>
      <c r="CI763" s="284"/>
      <c r="CJ763" s="282"/>
      <c r="CK763" s="284"/>
      <c r="CL763" s="286"/>
      <c r="CM763" s="284"/>
      <c r="CN763" s="287"/>
      <c r="CO763" s="284"/>
      <c r="CP763" s="286"/>
      <c r="CQ763" s="284"/>
      <c r="CR763" s="282"/>
      <c r="CS763" s="284"/>
      <c r="CT763" s="286"/>
      <c r="CU763" s="284"/>
      <c r="CV763" s="289"/>
      <c r="CW763" s="300"/>
      <c r="CX763" s="308"/>
      <c r="CY763" s="300"/>
      <c r="CZ763" s="282"/>
      <c r="DA763" s="284"/>
      <c r="DB763" s="286"/>
      <c r="DC763" s="284"/>
      <c r="DD763" s="287"/>
      <c r="DE763" s="284"/>
      <c r="DF763" s="286"/>
      <c r="DG763" s="284"/>
      <c r="DH763" s="282"/>
      <c r="DI763" s="284"/>
      <c r="DJ763" s="286"/>
      <c r="DK763" s="284"/>
      <c r="DL763" s="282"/>
      <c r="DM763" s="284"/>
      <c r="DN763" s="286"/>
      <c r="DO763" s="284"/>
      <c r="DP763" s="282"/>
      <c r="DQ763" s="284"/>
      <c r="DR763" s="286"/>
      <c r="DS763" s="284"/>
      <c r="DT763" s="282"/>
      <c r="DU763" s="284"/>
      <c r="DV763" s="286"/>
      <c r="DW763" s="284"/>
      <c r="DX763" s="282"/>
      <c r="DY763" s="284"/>
      <c r="DZ763" s="286"/>
      <c r="EA763" s="284"/>
      <c r="EB763" s="282"/>
      <c r="EC763" s="284"/>
      <c r="ED763" s="286"/>
      <c r="EE763" s="284"/>
      <c r="EF763" s="285"/>
      <c r="EG763" s="287"/>
      <c r="EH763" s="284"/>
      <c r="EI763" s="286"/>
      <c r="EJ763" s="284"/>
      <c r="EK763" s="284"/>
      <c r="EL763" s="284"/>
      <c r="EM763" s="284"/>
      <c r="EN763" s="284"/>
      <c r="EO763" s="284"/>
      <c r="EP763" s="284"/>
      <c r="EQ763" s="282"/>
      <c r="ER763" s="284"/>
      <c r="ES763" s="286"/>
      <c r="ET763" s="284"/>
      <c r="EU763" s="305"/>
      <c r="EV763" s="300"/>
      <c r="EW763" s="308"/>
      <c r="EX763" s="300"/>
      <c r="EY763" s="282"/>
      <c r="EZ763" s="284"/>
      <c r="FA763" s="286"/>
      <c r="FB763" s="284"/>
      <c r="FC763" s="282"/>
      <c r="FD763" s="284"/>
      <c r="FE763" s="286"/>
      <c r="FF763" s="284"/>
      <c r="FG763" s="282"/>
      <c r="FH763" s="284"/>
      <c r="FI763" s="286"/>
      <c r="FJ763" s="284"/>
      <c r="FK763" s="282"/>
      <c r="FL763" s="284"/>
      <c r="FM763" s="286"/>
      <c r="FN763" s="284"/>
      <c r="FO763" s="305"/>
      <c r="FP763" s="300"/>
      <c r="FQ763" s="308"/>
      <c r="FR763" s="300"/>
      <c r="FS763" s="282"/>
      <c r="FT763" s="284"/>
      <c r="FU763" s="286"/>
      <c r="FV763" s="284"/>
      <c r="FW763" s="282"/>
      <c r="FX763" s="284"/>
      <c r="FY763" s="286"/>
      <c r="FZ763" s="284"/>
      <c r="GA763" s="282"/>
      <c r="GB763" s="284"/>
      <c r="GC763" s="286"/>
      <c r="GD763" s="284"/>
      <c r="GE763" s="282"/>
      <c r="GF763" s="284"/>
      <c r="GG763" s="286"/>
      <c r="GH763" s="284"/>
      <c r="GI763" s="282"/>
      <c r="GJ763" s="284"/>
      <c r="GK763" s="286"/>
      <c r="GL763" s="284"/>
      <c r="GM763" s="282"/>
      <c r="GN763" s="284"/>
      <c r="GO763" s="286"/>
      <c r="GP763" s="284"/>
      <c r="GQ763" s="282"/>
      <c r="GR763" s="284"/>
      <c r="GS763" s="286"/>
      <c r="GT763" s="284"/>
      <c r="GU763" s="282"/>
      <c r="GV763" s="284"/>
      <c r="GW763" s="286"/>
      <c r="GX763" s="284"/>
      <c r="GY763" s="282"/>
      <c r="GZ763" s="284"/>
      <c r="HA763" s="286"/>
      <c r="HB763" s="284"/>
      <c r="HC763" s="282"/>
      <c r="HD763" s="282"/>
      <c r="HE763" s="284"/>
      <c r="HF763" s="286"/>
      <c r="HG763" s="284"/>
      <c r="HH763" s="282" t="s">
        <v>320</v>
      </c>
      <c r="HI763" s="282" t="s">
        <v>544</v>
      </c>
      <c r="HJ763" s="282">
        <v>2017</v>
      </c>
      <c r="HK763" s="282" t="s">
        <v>320</v>
      </c>
      <c r="HL763" s="282" t="s">
        <v>319</v>
      </c>
      <c r="HM763" s="282"/>
      <c r="HN763" s="282"/>
      <c r="HO763" s="282" t="s">
        <v>11805</v>
      </c>
      <c r="HP763" s="282" t="s">
        <v>330</v>
      </c>
      <c r="HQ763" s="282" t="s">
        <v>319</v>
      </c>
      <c r="HR763" s="282" t="s">
        <v>319</v>
      </c>
      <c r="HS763" s="282" t="s">
        <v>320</v>
      </c>
      <c r="HT763" s="282" t="s">
        <v>319</v>
      </c>
      <c r="HU763" s="282" t="s">
        <v>320</v>
      </c>
      <c r="HV763" s="282" t="s">
        <v>320</v>
      </c>
      <c r="HW763" s="282" t="s">
        <v>319</v>
      </c>
      <c r="HX763" s="282" t="s">
        <v>319</v>
      </c>
      <c r="HY763" s="282"/>
      <c r="HZ763" s="282" t="s">
        <v>394</v>
      </c>
      <c r="IA763" s="282" t="s">
        <v>11806</v>
      </c>
      <c r="IB763" s="282" t="s">
        <v>396</v>
      </c>
      <c r="IC763" s="282" t="s">
        <v>11807</v>
      </c>
      <c r="ID763" s="282" t="s">
        <v>477</v>
      </c>
      <c r="IE763" s="282" t="s">
        <v>335</v>
      </c>
      <c r="IF763" s="282" t="s">
        <v>320</v>
      </c>
      <c r="IG763" s="282" t="s">
        <v>320</v>
      </c>
      <c r="IH763" s="282" t="s">
        <v>320</v>
      </c>
      <c r="II763" s="282" t="s">
        <v>320</v>
      </c>
      <c r="IJ763" s="12" t="str">
        <f t="shared" si="474"/>
        <v>2. Sensitive</v>
      </c>
      <c r="IK763" s="287">
        <f t="shared" si="475"/>
        <v>4</v>
      </c>
      <c r="IL763" s="282"/>
      <c r="IM763" s="282"/>
      <c r="IN763" s="282"/>
      <c r="IO763" s="282"/>
      <c r="IP763" s="282"/>
      <c r="IQ763" s="287" t="str">
        <f t="shared" si="476"/>
        <v>No marker score</v>
      </c>
      <c r="IR763" s="287">
        <f t="shared" si="477"/>
        <v>0</v>
      </c>
      <c r="IS763" s="282"/>
      <c r="IT763" s="282"/>
      <c r="IU763" s="282"/>
      <c r="IV763" s="282"/>
      <c r="IW763" s="11" t="str">
        <f t="shared" si="478"/>
        <v>No marker score</v>
      </c>
      <c r="IX763" s="287">
        <f t="shared" si="479"/>
        <v>0</v>
      </c>
      <c r="IY763" s="282" t="s">
        <v>419</v>
      </c>
      <c r="IZ763" s="282" t="s">
        <v>457</v>
      </c>
      <c r="JA763" s="282">
        <v>1</v>
      </c>
      <c r="JB763" s="282" t="s">
        <v>433</v>
      </c>
      <c r="JC763" s="282"/>
      <c r="JD763" s="282"/>
      <c r="JE763" s="282" t="s">
        <v>340</v>
      </c>
      <c r="JF763" s="282" t="s">
        <v>11808</v>
      </c>
      <c r="JG763" s="282" t="s">
        <v>11809</v>
      </c>
      <c r="JH763" s="282" t="s">
        <v>11810</v>
      </c>
      <c r="JI763" s="282" t="s">
        <v>11811</v>
      </c>
      <c r="JJ763" s="282" t="s">
        <v>11812</v>
      </c>
      <c r="JK763" s="282" t="s">
        <v>11813</v>
      </c>
      <c r="JL763" s="282" t="s">
        <v>11814</v>
      </c>
      <c r="JM763" s="282" t="s">
        <v>11815</v>
      </c>
      <c r="JN763" s="282"/>
      <c r="JO763" s="282"/>
      <c r="JP763" s="15">
        <f t="shared" si="480"/>
        <v>0</v>
      </c>
      <c r="JQ763" s="15">
        <f t="shared" si="481"/>
        <v>0</v>
      </c>
      <c r="JR763" s="279" t="str">
        <f t="shared" si="482"/>
        <v/>
      </c>
      <c r="JS763" s="17" t="str">
        <f t="shared" si="483"/>
        <v/>
      </c>
      <c r="JT763" s="18" t="str">
        <f t="shared" si="484"/>
        <v/>
      </c>
      <c r="JU763" s="280">
        <f t="shared" si="485"/>
        <v>0</v>
      </c>
      <c r="JV763" s="280">
        <f t="shared" si="486"/>
        <v>0</v>
      </c>
      <c r="JW763" s="319">
        <f t="shared" si="487"/>
        <v>1</v>
      </c>
      <c r="JX763" s="15">
        <f t="shared" si="488"/>
        <v>0</v>
      </c>
      <c r="JY763" s="15">
        <f t="shared" si="489"/>
        <v>0</v>
      </c>
      <c r="JZ763" s="19" t="str">
        <f t="shared" si="490"/>
        <v/>
      </c>
      <c r="KA763" s="52" t="str">
        <f t="shared" si="491"/>
        <v/>
      </c>
      <c r="KB763" s="15">
        <f t="shared" si="492"/>
        <v>0</v>
      </c>
      <c r="KC763" s="15">
        <f t="shared" si="493"/>
        <v>0</v>
      </c>
      <c r="KD763" s="20" t="str">
        <f t="shared" si="494"/>
        <v/>
      </c>
      <c r="KE763" s="52" t="str">
        <f t="shared" si="495"/>
        <v/>
      </c>
      <c r="KF763" s="15">
        <f t="shared" si="496"/>
        <v>0</v>
      </c>
      <c r="KG763" s="15">
        <f t="shared" si="497"/>
        <v>0</v>
      </c>
      <c r="KH763" s="21" t="str">
        <f t="shared" si="498"/>
        <v/>
      </c>
      <c r="KI763" s="52" t="str">
        <f t="shared" si="499"/>
        <v/>
      </c>
      <c r="KJ763" s="15">
        <f t="shared" si="500"/>
        <v>0</v>
      </c>
      <c r="KK763" s="15">
        <f t="shared" si="501"/>
        <v>0</v>
      </c>
      <c r="KL763" s="19" t="str">
        <f t="shared" si="502"/>
        <v/>
      </c>
      <c r="KM763" s="52" t="str">
        <f t="shared" si="503"/>
        <v/>
      </c>
      <c r="KN763" s="22">
        <f t="shared" si="504"/>
        <v>0</v>
      </c>
      <c r="KO763" s="22">
        <f t="shared" si="505"/>
        <v>0</v>
      </c>
      <c r="KP763" s="19" t="str">
        <f t="shared" si="506"/>
        <v/>
      </c>
      <c r="KQ763" s="11" t="str">
        <f t="shared" si="507"/>
        <v>2. Sensitive</v>
      </c>
      <c r="KR763" s="11" t="str">
        <f t="shared" si="508"/>
        <v>No marker score</v>
      </c>
      <c r="KS763" s="11" t="str">
        <f t="shared" si="509"/>
        <v>No marker score</v>
      </c>
      <c r="KT763" s="11" t="str">
        <f t="shared" si="510"/>
        <v>It tested new ways for fighting poverty, but did not measure results of innovation</v>
      </c>
      <c r="KU763" s="11" t="str">
        <f t="shared" si="511"/>
        <v>Moderate advocacy</v>
      </c>
      <c r="KV763" s="11" t="str">
        <f t="shared" si="512"/>
        <v>It linked and worked with strategic alliances and partners to take tested and effective solutions to scale</v>
      </c>
      <c r="KW763" s="11" t="str">
        <f t="shared" si="513"/>
        <v>Syria - Syria Resilience Consortium</v>
      </c>
      <c r="KX763" s="11" t="str">
        <f t="shared" si="514"/>
        <v>Syria Resilience Consortium</v>
      </c>
      <c r="KY763" s="11" t="str">
        <f t="shared" si="515"/>
        <v>Syria</v>
      </c>
      <c r="KZ763" s="12">
        <v>764</v>
      </c>
    </row>
    <row r="764" spans="1:312" x14ac:dyDescent="0.3">
      <c r="A764" s="11" t="s">
        <v>11693</v>
      </c>
      <c r="B764" s="11" t="s">
        <v>602</v>
      </c>
      <c r="D764" s="11" t="s">
        <v>11792</v>
      </c>
      <c r="E764" s="24" t="str">
        <f t="shared" si="473"/>
        <v>Syria</v>
      </c>
      <c r="F764" s="11" t="s">
        <v>11916</v>
      </c>
      <c r="G764" s="11" t="s">
        <v>488</v>
      </c>
      <c r="H764" s="11" t="s">
        <v>380</v>
      </c>
      <c r="I764" s="11" t="s">
        <v>517</v>
      </c>
      <c r="J764" s="278" t="s">
        <v>14621</v>
      </c>
      <c r="BD764" s="23">
        <v>42717</v>
      </c>
      <c r="BE764" s="23">
        <v>43263</v>
      </c>
      <c r="BG764" s="11" t="s">
        <v>407</v>
      </c>
      <c r="BH764" s="22">
        <v>1580022.99</v>
      </c>
      <c r="BI764" s="11" t="s">
        <v>11818</v>
      </c>
      <c r="BJ764" s="11" t="s">
        <v>11819</v>
      </c>
      <c r="BK764" s="11" t="s">
        <v>11820</v>
      </c>
      <c r="BL764" s="11" t="s">
        <v>11798</v>
      </c>
      <c r="BM764" s="11" t="s">
        <v>11799</v>
      </c>
      <c r="BN764" s="11" t="s">
        <v>11800</v>
      </c>
      <c r="BO764" s="11" t="s">
        <v>320</v>
      </c>
      <c r="BP764" s="11" t="s">
        <v>320</v>
      </c>
      <c r="BQ764" s="12" t="s">
        <v>320</v>
      </c>
      <c r="BR764" s="11" t="s">
        <v>11801</v>
      </c>
      <c r="BS764" s="11" t="s">
        <v>357</v>
      </c>
      <c r="BT764" s="11" t="s">
        <v>11917</v>
      </c>
      <c r="BU764" s="11" t="s">
        <v>11918</v>
      </c>
      <c r="BV764" s="22">
        <v>1148</v>
      </c>
      <c r="BW764" s="22">
        <v>1320</v>
      </c>
      <c r="BX764" s="22">
        <v>2468</v>
      </c>
      <c r="CD764" s="22">
        <v>1148</v>
      </c>
      <c r="CE764" s="22">
        <v>1320</v>
      </c>
      <c r="CF764" s="22">
        <v>2468</v>
      </c>
      <c r="CJ764" s="39"/>
      <c r="CK764" s="40"/>
      <c r="CL764" s="41"/>
      <c r="CM764" s="40"/>
      <c r="CN764" s="39"/>
      <c r="CO764" s="40"/>
      <c r="CP764" s="41"/>
      <c r="CQ764" s="40"/>
      <c r="CR764" s="39"/>
      <c r="CS764" s="40"/>
      <c r="CT764" s="41"/>
      <c r="CU764" s="40"/>
      <c r="CV764" s="39"/>
      <c r="CW764" s="40"/>
      <c r="CX764" s="41"/>
      <c r="CY764" s="40"/>
      <c r="CZ764" s="39"/>
      <c r="DA764" s="40"/>
      <c r="DB764" s="41"/>
      <c r="DC764" s="40"/>
      <c r="DD764" s="39"/>
      <c r="DE764" s="40"/>
      <c r="DF764" s="41"/>
      <c r="DG764" s="40"/>
      <c r="DH764" s="39"/>
      <c r="DI764" s="40"/>
      <c r="DJ764" s="41"/>
      <c r="DK764" s="40"/>
      <c r="DL764" s="11" t="s">
        <v>320</v>
      </c>
      <c r="DM764" s="40">
        <v>2468</v>
      </c>
      <c r="DN764" s="41">
        <v>0.47</v>
      </c>
      <c r="DO764" s="40"/>
      <c r="DP764" s="39"/>
      <c r="DQ764" s="40"/>
      <c r="DR764" s="41"/>
      <c r="DS764" s="40"/>
      <c r="DT764" s="39"/>
      <c r="DU764" s="40"/>
      <c r="DV764" s="41"/>
      <c r="DW764" s="40"/>
      <c r="DX764" s="39"/>
      <c r="DY764" s="40"/>
      <c r="DZ764" s="41"/>
      <c r="EA764" s="40"/>
      <c r="EB764" s="39"/>
      <c r="EC764" s="40"/>
      <c r="ED764" s="41"/>
      <c r="EE764" s="40"/>
      <c r="EF764" s="39"/>
      <c r="EG764" s="39"/>
      <c r="EH764" s="40"/>
      <c r="EI764" s="41"/>
      <c r="EJ764" s="40"/>
      <c r="EK764" s="40"/>
      <c r="EL764" s="40"/>
      <c r="EM764" s="40"/>
      <c r="EN764" s="40"/>
      <c r="EO764" s="40"/>
      <c r="EP764" s="40"/>
      <c r="EQ764" s="39"/>
      <c r="ER764" s="40"/>
      <c r="ES764" s="41"/>
      <c r="ET764" s="40"/>
      <c r="EU764" s="39"/>
      <c r="EV764" s="40"/>
      <c r="EW764" s="41"/>
      <c r="EX764" s="40"/>
      <c r="EY764" s="39"/>
      <c r="EZ764" s="40"/>
      <c r="FA764" s="41"/>
      <c r="FB764" s="40"/>
      <c r="FC764" s="39"/>
      <c r="FD764" s="40"/>
      <c r="FE764" s="41"/>
      <c r="FF764" s="40"/>
      <c r="FG764" s="39"/>
      <c r="FH764" s="40"/>
      <c r="FI764" s="41"/>
      <c r="FJ764" s="40"/>
      <c r="FK764" s="39"/>
      <c r="FL764" s="40"/>
      <c r="FM764" s="41"/>
      <c r="FN764" s="40"/>
      <c r="FO764" s="39"/>
      <c r="FP764" s="40"/>
      <c r="FQ764" s="41"/>
      <c r="FR764" s="40"/>
      <c r="FS764" s="39"/>
      <c r="FT764" s="40"/>
      <c r="FU764" s="41"/>
      <c r="FV764" s="40"/>
      <c r="FW764" s="39"/>
      <c r="FX764" s="40"/>
      <c r="FY764" s="41"/>
      <c r="FZ764" s="40"/>
      <c r="GA764" s="39"/>
      <c r="GB764" s="40"/>
      <c r="GC764" s="41"/>
      <c r="GD764" s="40"/>
      <c r="GE764" s="39"/>
      <c r="GF764" s="40"/>
      <c r="GG764" s="41"/>
      <c r="GH764" s="40"/>
      <c r="GI764" s="39"/>
      <c r="GJ764" s="40"/>
      <c r="GK764" s="41"/>
      <c r="GL764" s="40"/>
      <c r="GM764" s="39"/>
      <c r="GN764" s="40"/>
      <c r="GO764" s="41"/>
      <c r="GP764" s="40"/>
      <c r="GQ764" s="39"/>
      <c r="GR764" s="40"/>
      <c r="GS764" s="41"/>
      <c r="GT764" s="40"/>
      <c r="GU764" s="39"/>
      <c r="GV764" s="40"/>
      <c r="GW764" s="41"/>
      <c r="GX764" s="40"/>
      <c r="GY764" s="39"/>
      <c r="GZ764" s="40"/>
      <c r="HA764" s="41"/>
      <c r="HB764" s="40"/>
      <c r="HF764" s="18"/>
      <c r="HH764" s="11" t="s">
        <v>320</v>
      </c>
      <c r="HI764" s="11" t="s">
        <v>544</v>
      </c>
      <c r="HJ764" s="11">
        <v>2017</v>
      </c>
      <c r="HK764" s="11" t="s">
        <v>320</v>
      </c>
      <c r="HL764" s="11" t="s">
        <v>319</v>
      </c>
      <c r="HO764" s="11" t="s">
        <v>11805</v>
      </c>
      <c r="HP764" s="11" t="s">
        <v>330</v>
      </c>
      <c r="HQ764" s="11" t="s">
        <v>319</v>
      </c>
      <c r="HR764" s="11" t="s">
        <v>319</v>
      </c>
      <c r="HS764" s="11" t="s">
        <v>320</v>
      </c>
      <c r="HT764" s="11" t="s">
        <v>319</v>
      </c>
      <c r="HU764" s="11" t="s">
        <v>320</v>
      </c>
      <c r="HV764" s="11" t="s">
        <v>320</v>
      </c>
      <c r="HW764" s="11" t="s">
        <v>319</v>
      </c>
      <c r="HX764" s="11" t="s">
        <v>319</v>
      </c>
      <c r="HZ764" s="11" t="s">
        <v>394</v>
      </c>
      <c r="IA764" s="11" t="s">
        <v>11919</v>
      </c>
      <c r="IB764" s="11" t="s">
        <v>396</v>
      </c>
      <c r="IC764" s="11" t="s">
        <v>11920</v>
      </c>
      <c r="ID764" s="11" t="s">
        <v>477</v>
      </c>
      <c r="IE764" s="11" t="s">
        <v>335</v>
      </c>
      <c r="IF764" s="11" t="s">
        <v>320</v>
      </c>
      <c r="IG764" s="11" t="s">
        <v>320</v>
      </c>
      <c r="IH764" s="11" t="s">
        <v>320</v>
      </c>
      <c r="II764" s="11" t="s">
        <v>320</v>
      </c>
      <c r="IJ764" s="12" t="str">
        <f t="shared" si="474"/>
        <v>2. Sensitive</v>
      </c>
      <c r="IK764" s="12">
        <f t="shared" si="475"/>
        <v>4</v>
      </c>
      <c r="IQ764" s="12" t="str">
        <f t="shared" si="476"/>
        <v>No marker score</v>
      </c>
      <c r="IR764" s="12">
        <f t="shared" si="477"/>
        <v>0</v>
      </c>
      <c r="IW764" s="11" t="str">
        <f t="shared" si="478"/>
        <v>No marker score</v>
      </c>
      <c r="IX764" s="12">
        <f t="shared" si="479"/>
        <v>0</v>
      </c>
      <c r="IY764" s="11" t="s">
        <v>419</v>
      </c>
      <c r="IZ764" s="11" t="s">
        <v>457</v>
      </c>
      <c r="JA764" s="11">
        <v>1</v>
      </c>
      <c r="JB764" s="11" t="s">
        <v>433</v>
      </c>
      <c r="JE764" s="11" t="s">
        <v>340</v>
      </c>
      <c r="JF764" s="11" t="s">
        <v>11921</v>
      </c>
      <c r="JG764" s="11" t="s">
        <v>11922</v>
      </c>
      <c r="JH764" s="11" t="s">
        <v>6589</v>
      </c>
      <c r="JI764" s="11" t="s">
        <v>11923</v>
      </c>
      <c r="JJ764" s="11" t="s">
        <v>11924</v>
      </c>
      <c r="JK764" s="11" t="s">
        <v>11925</v>
      </c>
      <c r="JL764" s="11" t="s">
        <v>11926</v>
      </c>
      <c r="JP764" s="15">
        <f t="shared" si="480"/>
        <v>2468</v>
      </c>
      <c r="JQ764" s="15">
        <f t="shared" si="481"/>
        <v>0</v>
      </c>
      <c r="JR764" s="279">
        <f t="shared" si="482"/>
        <v>0</v>
      </c>
      <c r="JS764" s="17">
        <f t="shared" si="483"/>
        <v>0.46515397082658022</v>
      </c>
      <c r="JT764" s="18" t="str">
        <f t="shared" si="484"/>
        <v/>
      </c>
      <c r="JU764" s="280">
        <f t="shared" si="485"/>
        <v>1148</v>
      </c>
      <c r="JV764" s="280">
        <f t="shared" si="486"/>
        <v>0</v>
      </c>
      <c r="JW764" s="319">
        <f t="shared" si="487"/>
        <v>1</v>
      </c>
      <c r="JX764" s="15">
        <f t="shared" si="488"/>
        <v>2468</v>
      </c>
      <c r="JY764" s="15">
        <f t="shared" si="489"/>
        <v>0</v>
      </c>
      <c r="JZ764" s="19">
        <f t="shared" si="490"/>
        <v>0</v>
      </c>
      <c r="KA764" s="52">
        <f t="shared" si="491"/>
        <v>1</v>
      </c>
      <c r="KB764" s="15">
        <f t="shared" si="492"/>
        <v>2468</v>
      </c>
      <c r="KC764" s="15">
        <f t="shared" si="493"/>
        <v>0</v>
      </c>
      <c r="KD764" s="20">
        <f t="shared" si="494"/>
        <v>0</v>
      </c>
      <c r="KE764" s="52" t="str">
        <f t="shared" si="495"/>
        <v/>
      </c>
      <c r="KF764" s="15">
        <f t="shared" si="496"/>
        <v>0</v>
      </c>
      <c r="KG764" s="15">
        <f t="shared" si="497"/>
        <v>0</v>
      </c>
      <c r="KH764" s="21" t="str">
        <f t="shared" si="498"/>
        <v/>
      </c>
      <c r="KI764" s="52" t="str">
        <f t="shared" si="499"/>
        <v/>
      </c>
      <c r="KJ764" s="15">
        <f t="shared" si="500"/>
        <v>0</v>
      </c>
      <c r="KK764" s="15">
        <f t="shared" si="501"/>
        <v>0</v>
      </c>
      <c r="KL764" s="19" t="str">
        <f t="shared" si="502"/>
        <v/>
      </c>
      <c r="KM764" s="52" t="str">
        <f t="shared" si="503"/>
        <v/>
      </c>
      <c r="KN764" s="22">
        <f t="shared" si="504"/>
        <v>0</v>
      </c>
      <c r="KO764" s="22">
        <f t="shared" si="505"/>
        <v>0</v>
      </c>
      <c r="KP764" s="19" t="str">
        <f t="shared" si="506"/>
        <v/>
      </c>
      <c r="KQ764" s="11" t="str">
        <f t="shared" si="507"/>
        <v>2. Sensitive</v>
      </c>
      <c r="KR764" s="11" t="str">
        <f t="shared" si="508"/>
        <v>No marker score</v>
      </c>
      <c r="KS764" s="11" t="str">
        <f t="shared" si="509"/>
        <v>No marker score</v>
      </c>
      <c r="KT764" s="11" t="str">
        <f t="shared" si="510"/>
        <v>It tested new ways for fighting poverty, but did not measure results of innovation</v>
      </c>
      <c r="KU764" s="11" t="str">
        <f t="shared" si="511"/>
        <v>Moderate advocacy</v>
      </c>
      <c r="KV764" s="11" t="str">
        <f t="shared" si="512"/>
        <v>It linked and worked with strategic alliances and partners to take tested and effective solutions to scale</v>
      </c>
      <c r="KW764" s="11" t="str">
        <f t="shared" si="513"/>
        <v>Syria - Syria Resilience Consortium</v>
      </c>
      <c r="KX764" s="11" t="str">
        <f t="shared" si="514"/>
        <v>Syria Resilience Consortium</v>
      </c>
      <c r="KY764" s="11" t="str">
        <f t="shared" si="515"/>
        <v>Syria</v>
      </c>
      <c r="KZ764" s="12">
        <v>765</v>
      </c>
    </row>
    <row r="765" spans="1:312" x14ac:dyDescent="0.3">
      <c r="A765" s="282" t="s">
        <v>11693</v>
      </c>
      <c r="B765" s="282" t="s">
        <v>602</v>
      </c>
      <c r="C765" s="282"/>
      <c r="D765" s="282" t="s">
        <v>11927</v>
      </c>
      <c r="E765" s="24" t="str">
        <f t="shared" si="473"/>
        <v>Syria</v>
      </c>
      <c r="F765" s="282" t="s">
        <v>11928</v>
      </c>
      <c r="G765" s="282" t="s">
        <v>488</v>
      </c>
      <c r="H765" s="282" t="s">
        <v>310</v>
      </c>
      <c r="I765" s="282" t="s">
        <v>506</v>
      </c>
      <c r="J765" s="281" t="s">
        <v>9230</v>
      </c>
      <c r="K765" s="282"/>
      <c r="L765" s="282"/>
      <c r="M765" s="282"/>
      <c r="N765" s="282"/>
      <c r="O765" s="282"/>
      <c r="P765" s="282"/>
      <c r="Q765" s="282"/>
      <c r="R765" s="282"/>
      <c r="S765" s="282"/>
      <c r="T765" s="282"/>
      <c r="U765" s="282"/>
      <c r="V765" s="282"/>
      <c r="W765" s="282"/>
      <c r="X765" s="282"/>
      <c r="Y765" s="282"/>
      <c r="Z765" s="282"/>
      <c r="AA765" s="282"/>
      <c r="AB765" s="282"/>
      <c r="AC765" s="282"/>
      <c r="AD765" s="282"/>
      <c r="AE765" s="282"/>
      <c r="AF765" s="282"/>
      <c r="AG765" s="282"/>
      <c r="AH765" s="282"/>
      <c r="AI765" s="282"/>
      <c r="AJ765" s="282"/>
      <c r="AK765" s="282"/>
      <c r="AL765" s="282"/>
      <c r="AM765" s="282"/>
      <c r="AN765" s="282"/>
      <c r="AO765" s="282"/>
      <c r="AP765" s="282"/>
      <c r="AQ765" s="282"/>
      <c r="AR765" s="282"/>
      <c r="AS765" s="282"/>
      <c r="AT765" s="282"/>
      <c r="AU765" s="282"/>
      <c r="AV765" s="282"/>
      <c r="AW765" s="282"/>
      <c r="AX765" s="282"/>
      <c r="AY765" s="282"/>
      <c r="AZ765" s="282"/>
      <c r="BA765" s="282"/>
      <c r="BB765" s="282"/>
      <c r="BC765" s="282"/>
      <c r="BD765" s="283">
        <v>42736</v>
      </c>
      <c r="BE765" s="283">
        <v>43921</v>
      </c>
      <c r="BF765" s="283"/>
      <c r="BG765" s="283" t="s">
        <v>312</v>
      </c>
      <c r="BH765" s="284">
        <v>17952791.57</v>
      </c>
      <c r="BI765" s="282" t="s">
        <v>11833</v>
      </c>
      <c r="BJ765" s="282" t="s">
        <v>11834</v>
      </c>
      <c r="BK765" s="282" t="s">
        <v>11835</v>
      </c>
      <c r="BL765" s="282" t="s">
        <v>11836</v>
      </c>
      <c r="BM765" s="282" t="s">
        <v>11837</v>
      </c>
      <c r="BN765" s="282" t="s">
        <v>11838</v>
      </c>
      <c r="BO765" s="282" t="s">
        <v>320</v>
      </c>
      <c r="BP765" s="282" t="s">
        <v>320</v>
      </c>
      <c r="BQ765" s="282" t="s">
        <v>320</v>
      </c>
      <c r="BR765" s="282" t="s">
        <v>11929</v>
      </c>
      <c r="BS765" s="282" t="s">
        <v>357</v>
      </c>
      <c r="BT765" s="282" t="s">
        <v>11840</v>
      </c>
      <c r="BU765" s="282" t="s">
        <v>11930</v>
      </c>
      <c r="BV765" s="284">
        <v>51930</v>
      </c>
      <c r="BW765" s="284">
        <v>51930</v>
      </c>
      <c r="BX765" s="284">
        <v>103860</v>
      </c>
      <c r="BY765" s="284"/>
      <c r="BZ765" s="284"/>
      <c r="CA765" s="284"/>
      <c r="CB765" s="285"/>
      <c r="CC765" s="285"/>
      <c r="CD765" s="284"/>
      <c r="CE765" s="284"/>
      <c r="CF765" s="284"/>
      <c r="CG765" s="284"/>
      <c r="CH765" s="284"/>
      <c r="CI765" s="284"/>
      <c r="CJ765" s="282"/>
      <c r="CK765" s="284"/>
      <c r="CL765" s="286"/>
      <c r="CM765" s="284"/>
      <c r="CN765" s="287" t="s">
        <v>320</v>
      </c>
      <c r="CO765" s="284"/>
      <c r="CP765" s="286"/>
      <c r="CQ765" s="284"/>
      <c r="CR765" s="282"/>
      <c r="CS765" s="284"/>
      <c r="CT765" s="286"/>
      <c r="CU765" s="284"/>
      <c r="CV765" s="305" t="s">
        <v>320</v>
      </c>
      <c r="CW765" s="300">
        <v>8316</v>
      </c>
      <c r="CX765" s="308"/>
      <c r="CY765" s="300"/>
      <c r="CZ765" s="282"/>
      <c r="DA765" s="284"/>
      <c r="DB765" s="286"/>
      <c r="DC765" s="284"/>
      <c r="DD765" s="287"/>
      <c r="DE765" s="284"/>
      <c r="DF765" s="286"/>
      <c r="DG765" s="284"/>
      <c r="DH765" s="282"/>
      <c r="DI765" s="284"/>
      <c r="DJ765" s="286"/>
      <c r="DK765" s="284"/>
      <c r="DL765" s="282" t="s">
        <v>320</v>
      </c>
      <c r="DM765" s="284"/>
      <c r="DN765" s="286"/>
      <c r="DO765" s="284"/>
      <c r="DP765" s="282" t="s">
        <v>320</v>
      </c>
      <c r="DQ765" s="284"/>
      <c r="DR765" s="286"/>
      <c r="DS765" s="284"/>
      <c r="DT765" s="282"/>
      <c r="DU765" s="284"/>
      <c r="DV765" s="286"/>
      <c r="DW765" s="284"/>
      <c r="DX765" s="282" t="s">
        <v>320</v>
      </c>
      <c r="DY765" s="284"/>
      <c r="DZ765" s="286"/>
      <c r="EA765" s="284"/>
      <c r="EB765" s="282" t="s">
        <v>320</v>
      </c>
      <c r="EC765" s="284"/>
      <c r="ED765" s="286"/>
      <c r="EE765" s="284"/>
      <c r="EF765" s="285"/>
      <c r="EG765" s="287"/>
      <c r="EH765" s="284"/>
      <c r="EI765" s="286"/>
      <c r="EJ765" s="284"/>
      <c r="EK765" s="284">
        <v>0</v>
      </c>
      <c r="EL765" s="284">
        <v>0</v>
      </c>
      <c r="EM765" s="284">
        <v>8316</v>
      </c>
      <c r="EN765" s="284"/>
      <c r="EO765" s="284"/>
      <c r="EP765" s="284"/>
      <c r="EQ765" s="282" t="s">
        <v>320</v>
      </c>
      <c r="ER765" s="284"/>
      <c r="ES765" s="286"/>
      <c r="ET765" s="284"/>
      <c r="EU765" s="305"/>
      <c r="EV765" s="300"/>
      <c r="EW765" s="308"/>
      <c r="EX765" s="300"/>
      <c r="EY765" s="282"/>
      <c r="EZ765" s="284"/>
      <c r="FA765" s="286"/>
      <c r="FB765" s="284"/>
      <c r="FC765" s="282"/>
      <c r="FD765" s="284"/>
      <c r="FE765" s="286"/>
      <c r="FF765" s="284"/>
      <c r="FG765" s="282" t="s">
        <v>320</v>
      </c>
      <c r="FH765" s="284"/>
      <c r="FI765" s="286"/>
      <c r="FJ765" s="284"/>
      <c r="FK765" s="282"/>
      <c r="FL765" s="284"/>
      <c r="FM765" s="286"/>
      <c r="FN765" s="284"/>
      <c r="FO765" s="305" t="s">
        <v>320</v>
      </c>
      <c r="FP765" s="300"/>
      <c r="FQ765" s="308"/>
      <c r="FR765" s="300"/>
      <c r="FS765" s="282"/>
      <c r="FT765" s="284"/>
      <c r="FU765" s="286"/>
      <c r="FV765" s="284"/>
      <c r="FW765" s="282" t="s">
        <v>320</v>
      </c>
      <c r="FX765" s="284"/>
      <c r="FY765" s="286"/>
      <c r="FZ765" s="284"/>
      <c r="GA765" s="282"/>
      <c r="GB765" s="284"/>
      <c r="GC765" s="286"/>
      <c r="GD765" s="284"/>
      <c r="GE765" s="282"/>
      <c r="GF765" s="284"/>
      <c r="GG765" s="286"/>
      <c r="GH765" s="284"/>
      <c r="GI765" s="282" t="s">
        <v>320</v>
      </c>
      <c r="GJ765" s="284"/>
      <c r="GK765" s="286"/>
      <c r="GL765" s="284"/>
      <c r="GM765" s="282" t="s">
        <v>320</v>
      </c>
      <c r="GN765" s="284"/>
      <c r="GO765" s="286"/>
      <c r="GP765" s="284"/>
      <c r="GQ765" s="282"/>
      <c r="GR765" s="284"/>
      <c r="GS765" s="286"/>
      <c r="GT765" s="284"/>
      <c r="GU765" s="282"/>
      <c r="GV765" s="284"/>
      <c r="GW765" s="286"/>
      <c r="GX765" s="284"/>
      <c r="GY765" s="282" t="s">
        <v>320</v>
      </c>
      <c r="GZ765" s="284"/>
      <c r="HA765" s="286"/>
      <c r="HB765" s="284"/>
      <c r="HC765" s="282"/>
      <c r="HD765" s="282"/>
      <c r="HE765" s="284"/>
      <c r="HF765" s="286"/>
      <c r="HG765" s="284"/>
      <c r="HH765" s="282" t="s">
        <v>320</v>
      </c>
      <c r="HI765" s="282" t="s">
        <v>415</v>
      </c>
      <c r="HJ765" s="282">
        <v>2017</v>
      </c>
      <c r="HK765" s="282" t="s">
        <v>319</v>
      </c>
      <c r="HL765" s="282" t="s">
        <v>320</v>
      </c>
      <c r="HM765" s="282"/>
      <c r="HN765" s="282"/>
      <c r="HO765" s="282"/>
      <c r="HP765" s="282" t="s">
        <v>330</v>
      </c>
      <c r="HQ765" s="282" t="s">
        <v>319</v>
      </c>
      <c r="HR765" s="282" t="s">
        <v>320</v>
      </c>
      <c r="HS765" s="282" t="s">
        <v>320</v>
      </c>
      <c r="HT765" s="282" t="s">
        <v>319</v>
      </c>
      <c r="HU765" s="282" t="s">
        <v>320</v>
      </c>
      <c r="HV765" s="282" t="s">
        <v>320</v>
      </c>
      <c r="HW765" s="282" t="s">
        <v>319</v>
      </c>
      <c r="HX765" s="282"/>
      <c r="HY765" s="282"/>
      <c r="HZ765" s="282" t="s">
        <v>331</v>
      </c>
      <c r="IA765" s="282" t="s">
        <v>11931</v>
      </c>
      <c r="IB765" s="282" t="s">
        <v>667</v>
      </c>
      <c r="IC765" s="282" t="s">
        <v>11932</v>
      </c>
      <c r="ID765" s="282" t="s">
        <v>334</v>
      </c>
      <c r="IE765" s="282" t="s">
        <v>335</v>
      </c>
      <c r="IF765" s="282" t="s">
        <v>320</v>
      </c>
      <c r="IG765" s="282" t="s">
        <v>320</v>
      </c>
      <c r="IH765" s="282" t="s">
        <v>320</v>
      </c>
      <c r="II765" s="282" t="s">
        <v>320</v>
      </c>
      <c r="IJ765" s="12" t="str">
        <f t="shared" si="474"/>
        <v>2. Sensitive</v>
      </c>
      <c r="IK765" s="287">
        <f t="shared" si="475"/>
        <v>4</v>
      </c>
      <c r="IL765" s="282" t="s">
        <v>336</v>
      </c>
      <c r="IM765" s="282" t="s">
        <v>320</v>
      </c>
      <c r="IN765" s="282" t="s">
        <v>320</v>
      </c>
      <c r="IO765" s="282" t="s">
        <v>320</v>
      </c>
      <c r="IP765" s="282" t="s">
        <v>320</v>
      </c>
      <c r="IQ765" s="287" t="str">
        <f t="shared" si="476"/>
        <v>2. Accommodating</v>
      </c>
      <c r="IR765" s="287">
        <f t="shared" si="477"/>
        <v>4</v>
      </c>
      <c r="IS765" s="282" t="s">
        <v>622</v>
      </c>
      <c r="IT765" s="282" t="s">
        <v>320</v>
      </c>
      <c r="IU765" s="282" t="s">
        <v>320</v>
      </c>
      <c r="IV765" s="282" t="s">
        <v>320</v>
      </c>
      <c r="IW765" s="11" t="str">
        <f t="shared" si="478"/>
        <v>4. Transformative</v>
      </c>
      <c r="IX765" s="287">
        <f t="shared" si="479"/>
        <v>3</v>
      </c>
      <c r="IY765" s="282" t="s">
        <v>419</v>
      </c>
      <c r="IZ765" s="282" t="s">
        <v>457</v>
      </c>
      <c r="JA765" s="282">
        <v>5</v>
      </c>
      <c r="JB765" s="282" t="s">
        <v>724</v>
      </c>
      <c r="JC765" s="282" t="s">
        <v>433</v>
      </c>
      <c r="JD765" s="282" t="s">
        <v>433</v>
      </c>
      <c r="JE765" s="282" t="s">
        <v>340</v>
      </c>
      <c r="JF765" s="282" t="s">
        <v>11843</v>
      </c>
      <c r="JG765" s="282" t="s">
        <v>11844</v>
      </c>
      <c r="JH765" s="282" t="s">
        <v>11933</v>
      </c>
      <c r="JI765" s="282" t="s">
        <v>11934</v>
      </c>
      <c r="JJ765" s="282"/>
      <c r="JK765" s="282"/>
      <c r="JL765" s="282"/>
      <c r="JM765" s="282"/>
      <c r="JN765" s="282"/>
      <c r="JO765" s="282"/>
      <c r="JP765" s="15">
        <f t="shared" si="480"/>
        <v>8316</v>
      </c>
      <c r="JQ765" s="15">
        <f t="shared" si="481"/>
        <v>0</v>
      </c>
      <c r="JR765" s="279">
        <f t="shared" si="482"/>
        <v>0</v>
      </c>
      <c r="JS765" s="17">
        <f t="shared" si="483"/>
        <v>0</v>
      </c>
      <c r="JT765" s="18" t="str">
        <f t="shared" si="484"/>
        <v/>
      </c>
      <c r="JU765" s="280">
        <f t="shared" si="485"/>
        <v>0</v>
      </c>
      <c r="JV765" s="280">
        <f t="shared" si="486"/>
        <v>0</v>
      </c>
      <c r="JW765" s="319">
        <f t="shared" si="487"/>
        <v>1</v>
      </c>
      <c r="JX765" s="15">
        <f t="shared" si="488"/>
        <v>0</v>
      </c>
      <c r="JY765" s="15">
        <f t="shared" si="489"/>
        <v>0</v>
      </c>
      <c r="JZ765" s="19" t="str">
        <f t="shared" si="490"/>
        <v/>
      </c>
      <c r="KA765" s="52">
        <f t="shared" si="491"/>
        <v>1</v>
      </c>
      <c r="KB765" s="15">
        <f t="shared" si="492"/>
        <v>8316</v>
      </c>
      <c r="KC765" s="15">
        <f t="shared" si="493"/>
        <v>0</v>
      </c>
      <c r="KD765" s="20">
        <f t="shared" si="494"/>
        <v>0</v>
      </c>
      <c r="KE765" s="52" t="str">
        <f t="shared" si="495"/>
        <v/>
      </c>
      <c r="KF765" s="15">
        <f t="shared" si="496"/>
        <v>0</v>
      </c>
      <c r="KG765" s="15">
        <f t="shared" si="497"/>
        <v>0</v>
      </c>
      <c r="KH765" s="21" t="str">
        <f t="shared" si="498"/>
        <v/>
      </c>
      <c r="KI765" s="52" t="str">
        <f t="shared" si="499"/>
        <v/>
      </c>
      <c r="KJ765" s="15">
        <f t="shared" si="500"/>
        <v>0</v>
      </c>
      <c r="KK765" s="15">
        <f t="shared" si="501"/>
        <v>0</v>
      </c>
      <c r="KL765" s="19" t="str">
        <f t="shared" si="502"/>
        <v/>
      </c>
      <c r="KM765" s="52">
        <f t="shared" si="503"/>
        <v>1</v>
      </c>
      <c r="KN765" s="22">
        <f t="shared" si="504"/>
        <v>0</v>
      </c>
      <c r="KO765" s="22">
        <f t="shared" si="505"/>
        <v>0</v>
      </c>
      <c r="KP765" s="19" t="str">
        <f t="shared" si="506"/>
        <v/>
      </c>
      <c r="KQ765" s="11" t="str">
        <f t="shared" si="507"/>
        <v>2. Sensitive</v>
      </c>
      <c r="KR765" s="11" t="str">
        <f t="shared" si="508"/>
        <v>2. Accommodating</v>
      </c>
      <c r="KS765" s="11" t="str">
        <f t="shared" si="509"/>
        <v>4. Transformative</v>
      </c>
      <c r="KT765" s="11" t="str">
        <f t="shared" si="510"/>
        <v>It tested new ways for fighting poverty and measured results of innovation</v>
      </c>
      <c r="KU765" s="11" t="str">
        <f t="shared" si="511"/>
        <v>Moderate advocacy</v>
      </c>
      <c r="KV765" s="11" t="str">
        <f t="shared" si="512"/>
        <v>It took tested solutions to scale on its own</v>
      </c>
      <c r="KW765" s="11" t="str">
        <f t="shared" si="513"/>
        <v>Syria - Syria Resilience project</v>
      </c>
      <c r="KX765" s="11" t="str">
        <f t="shared" si="514"/>
        <v>Syria Resilience project</v>
      </c>
      <c r="KY765" s="11" t="str">
        <f t="shared" si="515"/>
        <v>Syria</v>
      </c>
      <c r="KZ765" s="12">
        <v>766</v>
      </c>
    </row>
    <row r="766" spans="1:312" x14ac:dyDescent="0.3">
      <c r="A766" s="282" t="s">
        <v>11693</v>
      </c>
      <c r="B766" s="282" t="s">
        <v>602</v>
      </c>
      <c r="C766" s="282"/>
      <c r="D766" s="282" t="s">
        <v>11816</v>
      </c>
      <c r="E766" s="277" t="str">
        <f t="shared" si="473"/>
        <v>Syria</v>
      </c>
      <c r="F766" s="282" t="s">
        <v>11817</v>
      </c>
      <c r="G766" s="282" t="s">
        <v>467</v>
      </c>
      <c r="H766" s="282" t="s">
        <v>310</v>
      </c>
      <c r="I766" s="282" t="s">
        <v>468</v>
      </c>
      <c r="J766" s="278" t="s">
        <v>14715</v>
      </c>
      <c r="K766" s="282"/>
      <c r="L766" s="282"/>
      <c r="M766" s="282"/>
      <c r="N766" s="282"/>
      <c r="O766" s="282"/>
      <c r="P766" s="282"/>
      <c r="Q766" s="282"/>
      <c r="R766" s="282"/>
      <c r="S766" s="282"/>
      <c r="T766" s="282"/>
      <c r="U766" s="282"/>
      <c r="V766" s="282"/>
      <c r="W766" s="282"/>
      <c r="X766" s="282"/>
      <c r="Y766" s="282"/>
      <c r="Z766" s="282"/>
      <c r="AA766" s="282"/>
      <c r="AB766" s="282"/>
      <c r="AC766" s="282"/>
      <c r="AD766" s="282"/>
      <c r="AE766" s="282"/>
      <c r="AF766" s="282"/>
      <c r="AG766" s="282"/>
      <c r="AH766" s="282"/>
      <c r="AI766" s="282"/>
      <c r="AJ766" s="282"/>
      <c r="AK766" s="282"/>
      <c r="AL766" s="282"/>
      <c r="AM766" s="282"/>
      <c r="AN766" s="282"/>
      <c r="AO766" s="282"/>
      <c r="AP766" s="282"/>
      <c r="AQ766" s="282"/>
      <c r="AR766" s="282"/>
      <c r="AS766" s="282"/>
      <c r="AT766" s="282"/>
      <c r="AU766" s="282"/>
      <c r="AV766" s="282"/>
      <c r="AW766" s="282"/>
      <c r="AX766" s="282"/>
      <c r="AY766" s="282"/>
      <c r="AZ766" s="282"/>
      <c r="BA766" s="282"/>
      <c r="BB766" s="282"/>
      <c r="BC766" s="282"/>
      <c r="BD766" s="283">
        <v>42705</v>
      </c>
      <c r="BE766" s="283">
        <v>43039</v>
      </c>
      <c r="BF766" s="283"/>
      <c r="BG766" s="283" t="s">
        <v>407</v>
      </c>
      <c r="BH766" s="284">
        <v>503352.32000000001</v>
      </c>
      <c r="BI766" s="282" t="s">
        <v>11818</v>
      </c>
      <c r="BJ766" s="282" t="s">
        <v>11819</v>
      </c>
      <c r="BK766" s="282" t="s">
        <v>11820</v>
      </c>
      <c r="BL766" s="282" t="s">
        <v>11798</v>
      </c>
      <c r="BM766" s="282" t="s">
        <v>11799</v>
      </c>
      <c r="BN766" s="282" t="s">
        <v>11800</v>
      </c>
      <c r="BO766" s="282" t="s">
        <v>320</v>
      </c>
      <c r="BP766" s="282" t="s">
        <v>320</v>
      </c>
      <c r="BQ766" s="282" t="s">
        <v>320</v>
      </c>
      <c r="BR766" s="282" t="s">
        <v>11821</v>
      </c>
      <c r="BS766" s="282" t="s">
        <v>357</v>
      </c>
      <c r="BT766" s="282" t="s">
        <v>11822</v>
      </c>
      <c r="BU766" s="282" t="s">
        <v>11823</v>
      </c>
      <c r="BV766" s="284">
        <v>0</v>
      </c>
      <c r="BW766" s="284">
        <v>0</v>
      </c>
      <c r="BX766" s="284">
        <v>0</v>
      </c>
      <c r="BY766" s="284">
        <v>0</v>
      </c>
      <c r="BZ766" s="284">
        <v>0</v>
      </c>
      <c r="CA766" s="284">
        <v>0</v>
      </c>
      <c r="CB766" s="285" t="s">
        <v>11824</v>
      </c>
      <c r="CC766" s="285"/>
      <c r="CD766" s="284"/>
      <c r="CE766" s="284"/>
      <c r="CF766" s="284"/>
      <c r="CG766" s="284"/>
      <c r="CH766" s="284"/>
      <c r="CI766" s="284"/>
      <c r="CJ766" s="282"/>
      <c r="CK766" s="284"/>
      <c r="CL766" s="286"/>
      <c r="CM766" s="284"/>
      <c r="CN766" s="287"/>
      <c r="CO766" s="284"/>
      <c r="CP766" s="286"/>
      <c r="CQ766" s="284"/>
      <c r="CR766" s="282"/>
      <c r="CS766" s="284"/>
      <c r="CT766" s="286"/>
      <c r="CU766" s="284"/>
      <c r="CV766" s="289"/>
      <c r="CW766" s="300"/>
      <c r="CX766" s="308"/>
      <c r="CY766" s="300"/>
      <c r="CZ766" s="282"/>
      <c r="DA766" s="284"/>
      <c r="DB766" s="286"/>
      <c r="DC766" s="284"/>
      <c r="DD766" s="287"/>
      <c r="DE766" s="284"/>
      <c r="DF766" s="286"/>
      <c r="DG766" s="284"/>
      <c r="DH766" s="282"/>
      <c r="DI766" s="284"/>
      <c r="DJ766" s="286"/>
      <c r="DK766" s="284"/>
      <c r="DL766" s="282"/>
      <c r="DM766" s="284"/>
      <c r="DN766" s="286"/>
      <c r="DO766" s="284"/>
      <c r="DP766" s="282"/>
      <c r="DQ766" s="284"/>
      <c r="DR766" s="286"/>
      <c r="DS766" s="284"/>
      <c r="DT766" s="282"/>
      <c r="DU766" s="284"/>
      <c r="DV766" s="286"/>
      <c r="DW766" s="284"/>
      <c r="DX766" s="282"/>
      <c r="DY766" s="284"/>
      <c r="DZ766" s="286"/>
      <c r="EA766" s="284"/>
      <c r="EB766" s="282"/>
      <c r="EC766" s="284"/>
      <c r="ED766" s="286"/>
      <c r="EE766" s="284"/>
      <c r="EF766" s="285"/>
      <c r="EG766" s="287"/>
      <c r="EH766" s="284"/>
      <c r="EI766" s="286"/>
      <c r="EJ766" s="284"/>
      <c r="EK766" s="284"/>
      <c r="EL766" s="284"/>
      <c r="EM766" s="284"/>
      <c r="EN766" s="284"/>
      <c r="EO766" s="284"/>
      <c r="EP766" s="284"/>
      <c r="EQ766" s="282"/>
      <c r="ER766" s="284"/>
      <c r="ES766" s="286"/>
      <c r="ET766" s="284"/>
      <c r="EU766" s="305"/>
      <c r="EV766" s="300"/>
      <c r="EW766" s="308"/>
      <c r="EX766" s="300"/>
      <c r="EY766" s="282"/>
      <c r="EZ766" s="284"/>
      <c r="FA766" s="286"/>
      <c r="FB766" s="284"/>
      <c r="FC766" s="282"/>
      <c r="FD766" s="284"/>
      <c r="FE766" s="286"/>
      <c r="FF766" s="284"/>
      <c r="FG766" s="282"/>
      <c r="FH766" s="284"/>
      <c r="FI766" s="286"/>
      <c r="FJ766" s="284"/>
      <c r="FK766" s="282"/>
      <c r="FL766" s="284"/>
      <c r="FM766" s="286"/>
      <c r="FN766" s="284"/>
      <c r="FO766" s="305"/>
      <c r="FP766" s="300"/>
      <c r="FQ766" s="308"/>
      <c r="FR766" s="300"/>
      <c r="FS766" s="282"/>
      <c r="FT766" s="284"/>
      <c r="FU766" s="286"/>
      <c r="FV766" s="284"/>
      <c r="FW766" s="282"/>
      <c r="FX766" s="284"/>
      <c r="FY766" s="286"/>
      <c r="FZ766" s="284"/>
      <c r="GA766" s="282"/>
      <c r="GB766" s="284"/>
      <c r="GC766" s="286"/>
      <c r="GD766" s="284"/>
      <c r="GE766" s="282"/>
      <c r="GF766" s="284"/>
      <c r="GG766" s="286"/>
      <c r="GH766" s="284"/>
      <c r="GI766" s="282"/>
      <c r="GJ766" s="284"/>
      <c r="GK766" s="286"/>
      <c r="GL766" s="284"/>
      <c r="GM766" s="282"/>
      <c r="GN766" s="284"/>
      <c r="GO766" s="286"/>
      <c r="GP766" s="284"/>
      <c r="GQ766" s="282"/>
      <c r="GR766" s="284"/>
      <c r="GS766" s="286"/>
      <c r="GT766" s="284"/>
      <c r="GU766" s="282"/>
      <c r="GV766" s="284"/>
      <c r="GW766" s="286"/>
      <c r="GX766" s="284"/>
      <c r="GY766" s="282"/>
      <c r="GZ766" s="284"/>
      <c r="HA766" s="286"/>
      <c r="HB766" s="284"/>
      <c r="HC766" s="282"/>
      <c r="HD766" s="282"/>
      <c r="HE766" s="284"/>
      <c r="HF766" s="286"/>
      <c r="HG766" s="284"/>
      <c r="HH766" s="282" t="s">
        <v>320</v>
      </c>
      <c r="HI766" s="282" t="s">
        <v>544</v>
      </c>
      <c r="HJ766" s="282">
        <v>2017</v>
      </c>
      <c r="HK766" s="282" t="s">
        <v>320</v>
      </c>
      <c r="HL766" s="282" t="s">
        <v>319</v>
      </c>
      <c r="HM766" s="282"/>
      <c r="HN766" s="282"/>
      <c r="HO766" s="282" t="s">
        <v>11825</v>
      </c>
      <c r="HP766" s="282" t="s">
        <v>330</v>
      </c>
      <c r="HQ766" s="282" t="s">
        <v>319</v>
      </c>
      <c r="HR766" s="282" t="s">
        <v>319</v>
      </c>
      <c r="HS766" s="282" t="s">
        <v>320</v>
      </c>
      <c r="HT766" s="282" t="s">
        <v>319</v>
      </c>
      <c r="HU766" s="282" t="s">
        <v>320</v>
      </c>
      <c r="HV766" s="282" t="s">
        <v>320</v>
      </c>
      <c r="HW766" s="282" t="s">
        <v>319</v>
      </c>
      <c r="HX766" s="282" t="s">
        <v>319</v>
      </c>
      <c r="HY766" s="282"/>
      <c r="HZ766" s="282" t="s">
        <v>394</v>
      </c>
      <c r="IA766" s="282" t="s">
        <v>11826</v>
      </c>
      <c r="IB766" s="282" t="s">
        <v>396</v>
      </c>
      <c r="IC766" s="282" t="s">
        <v>11827</v>
      </c>
      <c r="ID766" s="282"/>
      <c r="IE766" s="282" t="s">
        <v>335</v>
      </c>
      <c r="IF766" s="282" t="s">
        <v>320</v>
      </c>
      <c r="IG766" s="282" t="s">
        <v>320</v>
      </c>
      <c r="IH766" s="282" t="s">
        <v>320</v>
      </c>
      <c r="II766" s="282" t="s">
        <v>320</v>
      </c>
      <c r="IJ766" s="12" t="str">
        <f t="shared" si="474"/>
        <v>2. Sensitive</v>
      </c>
      <c r="IK766" s="287">
        <f t="shared" si="475"/>
        <v>4</v>
      </c>
      <c r="IL766" s="282"/>
      <c r="IM766" s="282"/>
      <c r="IN766" s="282"/>
      <c r="IO766" s="282"/>
      <c r="IP766" s="282"/>
      <c r="IQ766" s="287" t="str">
        <f t="shared" si="476"/>
        <v>No marker score</v>
      </c>
      <c r="IR766" s="287">
        <f t="shared" si="477"/>
        <v>0</v>
      </c>
      <c r="IS766" s="282"/>
      <c r="IT766" s="282"/>
      <c r="IU766" s="282"/>
      <c r="IV766" s="282"/>
      <c r="IW766" s="11" t="str">
        <f t="shared" si="478"/>
        <v>No marker score</v>
      </c>
      <c r="IX766" s="287">
        <f t="shared" si="479"/>
        <v>0</v>
      </c>
      <c r="IY766" s="282" t="s">
        <v>419</v>
      </c>
      <c r="IZ766" s="282" t="s">
        <v>457</v>
      </c>
      <c r="JA766" s="282">
        <v>1</v>
      </c>
      <c r="JB766" s="282" t="s">
        <v>433</v>
      </c>
      <c r="JC766" s="282"/>
      <c r="JD766" s="282"/>
      <c r="JE766" s="282" t="s">
        <v>340</v>
      </c>
      <c r="JF766" s="282" t="s">
        <v>11828</v>
      </c>
      <c r="JG766" s="282" t="s">
        <v>11829</v>
      </c>
      <c r="JH766" s="282" t="s">
        <v>11830</v>
      </c>
      <c r="JI766" s="282"/>
      <c r="JJ766" s="282"/>
      <c r="JK766" s="282" t="s">
        <v>11831</v>
      </c>
      <c r="JL766" s="282"/>
      <c r="JM766" s="282"/>
      <c r="JN766" s="282"/>
      <c r="JO766" s="282"/>
      <c r="JP766" s="15">
        <f t="shared" si="480"/>
        <v>0</v>
      </c>
      <c r="JQ766" s="15">
        <f t="shared" si="481"/>
        <v>0</v>
      </c>
      <c r="JR766" s="279" t="str">
        <f t="shared" si="482"/>
        <v/>
      </c>
      <c r="JS766" s="17" t="str">
        <f t="shared" si="483"/>
        <v/>
      </c>
      <c r="JT766" s="18" t="str">
        <f t="shared" si="484"/>
        <v/>
      </c>
      <c r="JU766" s="280">
        <f t="shared" si="485"/>
        <v>0</v>
      </c>
      <c r="JV766" s="280">
        <f t="shared" si="486"/>
        <v>0</v>
      </c>
      <c r="JW766" s="319">
        <f t="shared" si="487"/>
        <v>1</v>
      </c>
      <c r="JX766" s="15">
        <f t="shared" si="488"/>
        <v>0</v>
      </c>
      <c r="JY766" s="15">
        <f t="shared" si="489"/>
        <v>0</v>
      </c>
      <c r="JZ766" s="19" t="str">
        <f t="shared" si="490"/>
        <v/>
      </c>
      <c r="KA766" s="52" t="str">
        <f t="shared" si="491"/>
        <v/>
      </c>
      <c r="KB766" s="15">
        <f t="shared" si="492"/>
        <v>0</v>
      </c>
      <c r="KC766" s="15">
        <f t="shared" si="493"/>
        <v>0</v>
      </c>
      <c r="KD766" s="20" t="str">
        <f t="shared" si="494"/>
        <v/>
      </c>
      <c r="KE766" s="52" t="str">
        <f t="shared" si="495"/>
        <v/>
      </c>
      <c r="KF766" s="15">
        <f t="shared" si="496"/>
        <v>0</v>
      </c>
      <c r="KG766" s="15">
        <f t="shared" si="497"/>
        <v>0</v>
      </c>
      <c r="KH766" s="21" t="str">
        <f t="shared" si="498"/>
        <v/>
      </c>
      <c r="KI766" s="52" t="str">
        <f t="shared" si="499"/>
        <v/>
      </c>
      <c r="KJ766" s="15">
        <f t="shared" si="500"/>
        <v>0</v>
      </c>
      <c r="KK766" s="15">
        <f t="shared" si="501"/>
        <v>0</v>
      </c>
      <c r="KL766" s="19" t="str">
        <f t="shared" si="502"/>
        <v/>
      </c>
      <c r="KM766" s="52" t="str">
        <f t="shared" si="503"/>
        <v/>
      </c>
      <c r="KN766" s="22">
        <f t="shared" si="504"/>
        <v>0</v>
      </c>
      <c r="KO766" s="22">
        <f t="shared" si="505"/>
        <v>0</v>
      </c>
      <c r="KP766" s="19" t="str">
        <f t="shared" si="506"/>
        <v/>
      </c>
      <c r="KQ766" s="11" t="str">
        <f t="shared" si="507"/>
        <v>2. Sensitive</v>
      </c>
      <c r="KR766" s="11" t="str">
        <f t="shared" si="508"/>
        <v>No marker score</v>
      </c>
      <c r="KS766" s="11" t="str">
        <f t="shared" si="509"/>
        <v>No marker score</v>
      </c>
      <c r="KT766" s="11" t="str">
        <f t="shared" si="510"/>
        <v>It tested new ways for fighting poverty, but did not measure results of innovation</v>
      </c>
      <c r="KU766" s="11" t="str">
        <f t="shared" si="511"/>
        <v>Moderate advocacy</v>
      </c>
      <c r="KV766" s="11" t="str">
        <f t="shared" si="512"/>
        <v>It linked and worked with strategic alliances and partners to take tested and effective solutions to scale</v>
      </c>
      <c r="KW766" s="11" t="str">
        <f t="shared" si="513"/>
        <v>Syria - Syria Reslience Consortium</v>
      </c>
      <c r="KX766" s="11" t="str">
        <f t="shared" si="514"/>
        <v>Syria Reslience Consortium</v>
      </c>
      <c r="KY766" s="11" t="str">
        <f t="shared" si="515"/>
        <v>Syria</v>
      </c>
      <c r="KZ766" s="12">
        <v>767</v>
      </c>
    </row>
    <row r="767" spans="1:312" x14ac:dyDescent="0.3">
      <c r="A767" s="12" t="s">
        <v>11693</v>
      </c>
      <c r="B767" s="12" t="s">
        <v>602</v>
      </c>
      <c r="C767" s="12"/>
      <c r="D767" s="12" t="s">
        <v>12016</v>
      </c>
      <c r="E767" s="24" t="str">
        <f t="shared" si="473"/>
        <v>Syria</v>
      </c>
      <c r="F767" s="12" t="s">
        <v>12017</v>
      </c>
      <c r="G767" s="12" t="s">
        <v>379</v>
      </c>
      <c r="H767" s="12" t="s">
        <v>310</v>
      </c>
      <c r="I767" s="12" t="s">
        <v>381</v>
      </c>
      <c r="J767" s="281" t="s">
        <v>11578</v>
      </c>
      <c r="K767" s="12" t="s">
        <v>12018</v>
      </c>
      <c r="L767" s="12" t="s">
        <v>379</v>
      </c>
      <c r="M767" s="12" t="s">
        <v>310</v>
      </c>
      <c r="N767" s="12" t="s">
        <v>381</v>
      </c>
      <c r="O767" s="278" t="s">
        <v>11578</v>
      </c>
      <c r="P767" s="12" t="s">
        <v>12019</v>
      </c>
      <c r="Q767" s="12" t="s">
        <v>605</v>
      </c>
      <c r="R767" s="12" t="s">
        <v>310</v>
      </c>
      <c r="S767" s="12" t="s">
        <v>907</v>
      </c>
      <c r="T767" s="12" t="s">
        <v>5183</v>
      </c>
      <c r="U767" s="12" t="s">
        <v>12020</v>
      </c>
      <c r="V767" s="12" t="s">
        <v>376</v>
      </c>
      <c r="W767" s="12" t="s">
        <v>310</v>
      </c>
      <c r="X767" s="12" t="s">
        <v>377</v>
      </c>
      <c r="Y767" s="278" t="s">
        <v>14582</v>
      </c>
      <c r="Z767" s="12"/>
      <c r="AA767" s="12"/>
      <c r="AB767" s="12"/>
      <c r="AC767" s="12"/>
      <c r="AD767" s="12"/>
      <c r="BD767" s="13">
        <v>42583</v>
      </c>
      <c r="BE767" s="13">
        <v>42947</v>
      </c>
      <c r="BF767" s="13">
        <v>43008</v>
      </c>
      <c r="BG767" s="12" t="s">
        <v>817</v>
      </c>
      <c r="BH767" s="14">
        <v>5026839.53</v>
      </c>
      <c r="BI767" s="12" t="s">
        <v>11849</v>
      </c>
      <c r="BJ767" s="12" t="s">
        <v>11850</v>
      </c>
      <c r="BK767" s="12"/>
      <c r="BL767" s="12" t="s">
        <v>11851</v>
      </c>
      <c r="BM767" s="12" t="s">
        <v>11852</v>
      </c>
      <c r="BN767" s="12"/>
      <c r="BO767" s="12" t="s">
        <v>320</v>
      </c>
      <c r="BP767" s="12" t="s">
        <v>319</v>
      </c>
      <c r="BQ767" s="12" t="s">
        <v>319</v>
      </c>
      <c r="BR767" s="12" t="s">
        <v>12021</v>
      </c>
      <c r="BS767" s="12" t="s">
        <v>357</v>
      </c>
      <c r="BT767" s="12" t="s">
        <v>11854</v>
      </c>
      <c r="BU767" s="12" t="s">
        <v>11855</v>
      </c>
      <c r="BV767" s="14">
        <v>46523</v>
      </c>
      <c r="BW767" s="14">
        <v>48421</v>
      </c>
      <c r="BX767" s="14">
        <v>94944</v>
      </c>
      <c r="BY767" s="14"/>
      <c r="BZ767" s="14"/>
      <c r="CA767" s="14"/>
      <c r="CB767" s="12"/>
      <c r="CD767" s="14">
        <v>46523</v>
      </c>
      <c r="CE767" s="14">
        <v>48421</v>
      </c>
      <c r="CF767" s="14">
        <v>94944</v>
      </c>
      <c r="CG767" s="14"/>
      <c r="CH767" s="14"/>
      <c r="CI767" s="14"/>
      <c r="CJ767" s="12"/>
      <c r="CK767" s="14"/>
      <c r="CL767" s="16"/>
      <c r="CM767" s="14"/>
      <c r="CN767" s="12"/>
      <c r="CO767" s="14"/>
      <c r="CP767" s="16"/>
      <c r="CQ767" s="14"/>
      <c r="CR767" s="12"/>
      <c r="CS767" s="14"/>
      <c r="CT767" s="16"/>
      <c r="CU767" s="14"/>
      <c r="CV767" s="12"/>
      <c r="CW767" s="14"/>
      <c r="CX767" s="16"/>
      <c r="CY767" s="14"/>
      <c r="CZ767" s="12"/>
      <c r="DA767" s="14"/>
      <c r="DB767" s="16"/>
      <c r="DC767" s="14"/>
      <c r="DD767" s="12"/>
      <c r="DE767" s="14"/>
      <c r="DF767" s="16"/>
      <c r="DG767" s="14"/>
      <c r="DH767" s="12"/>
      <c r="DI767" s="14"/>
      <c r="DJ767" s="16"/>
      <c r="DK767" s="14"/>
      <c r="DL767" s="12"/>
      <c r="DM767" s="14"/>
      <c r="DN767" s="16"/>
      <c r="DO767" s="14"/>
      <c r="DP767" s="12"/>
      <c r="DQ767" s="14"/>
      <c r="DR767" s="16"/>
      <c r="DS767" s="14"/>
      <c r="DT767" s="12"/>
      <c r="DU767" s="14"/>
      <c r="DV767" s="16"/>
      <c r="DW767" s="14"/>
      <c r="DX767" s="12" t="s">
        <v>320</v>
      </c>
      <c r="DY767" s="14">
        <v>94944</v>
      </c>
      <c r="DZ767" s="16">
        <v>0.49</v>
      </c>
      <c r="EA767" s="14"/>
      <c r="EB767" s="12"/>
      <c r="EC767" s="14"/>
      <c r="ED767" s="16"/>
      <c r="EE767" s="14"/>
      <c r="EF767" s="12"/>
      <c r="EG767" s="12"/>
      <c r="EH767" s="14"/>
      <c r="EI767" s="16"/>
      <c r="EJ767" s="14"/>
      <c r="EK767" s="14"/>
      <c r="EL767" s="14"/>
      <c r="EM767" s="14"/>
      <c r="EN767" s="14"/>
      <c r="EO767" s="14"/>
      <c r="EP767" s="14"/>
      <c r="EQ767" s="12"/>
      <c r="ER767" s="14"/>
      <c r="ES767" s="16"/>
      <c r="ET767" s="14"/>
      <c r="EU767" s="12"/>
      <c r="EV767" s="14"/>
      <c r="EW767" s="16"/>
      <c r="EX767" s="14"/>
      <c r="EY767" s="12"/>
      <c r="EZ767" s="14"/>
      <c r="FA767" s="16"/>
      <c r="FB767" s="14"/>
      <c r="FC767" s="12"/>
      <c r="FD767" s="14"/>
      <c r="FE767" s="16"/>
      <c r="FF767" s="14"/>
      <c r="FG767" s="12"/>
      <c r="FH767" s="14"/>
      <c r="FI767" s="16"/>
      <c r="FJ767" s="14"/>
      <c r="FK767" s="12"/>
      <c r="FL767" s="14"/>
      <c r="FM767" s="16"/>
      <c r="FN767" s="14"/>
      <c r="FO767" s="12"/>
      <c r="FP767" s="14"/>
      <c r="FQ767" s="16"/>
      <c r="FR767" s="14"/>
      <c r="FS767" s="12"/>
      <c r="FT767" s="14"/>
      <c r="FU767" s="16"/>
      <c r="FV767" s="14"/>
      <c r="FW767" s="12"/>
      <c r="FX767" s="14"/>
      <c r="FY767" s="16"/>
      <c r="FZ767" s="14"/>
      <c r="GA767" s="12"/>
      <c r="GB767" s="14"/>
      <c r="GC767" s="16"/>
      <c r="GD767" s="14"/>
      <c r="GE767" s="12"/>
      <c r="GF767" s="14"/>
      <c r="GG767" s="16"/>
      <c r="GH767" s="14"/>
      <c r="GI767" s="12"/>
      <c r="GJ767" s="14"/>
      <c r="GK767" s="16"/>
      <c r="GL767" s="14"/>
      <c r="GM767" s="12"/>
      <c r="GN767" s="14"/>
      <c r="GO767" s="16"/>
      <c r="GP767" s="14"/>
      <c r="GQ767" s="12"/>
      <c r="GR767" s="14"/>
      <c r="GS767" s="16"/>
      <c r="GT767" s="14"/>
      <c r="GU767" s="12"/>
      <c r="GV767" s="14"/>
      <c r="GW767" s="16"/>
      <c r="GX767" s="14"/>
      <c r="GY767" s="12"/>
      <c r="GZ767" s="14"/>
      <c r="HA767" s="16"/>
      <c r="HB767" s="14"/>
      <c r="HC767" s="12"/>
      <c r="HD767" s="12"/>
      <c r="HE767" s="14"/>
      <c r="HF767" s="16"/>
      <c r="HG767" s="14"/>
      <c r="HH767" s="12" t="s">
        <v>319</v>
      </c>
      <c r="HI767" s="12"/>
      <c r="HJ767" s="12"/>
      <c r="HK767" s="12"/>
      <c r="HL767" s="12" t="s">
        <v>319</v>
      </c>
      <c r="HM767" s="12"/>
      <c r="HN767" s="12"/>
      <c r="HO767" s="12"/>
      <c r="HP767" s="12" t="s">
        <v>418</v>
      </c>
      <c r="HQ767" s="12"/>
      <c r="HR767" s="12"/>
      <c r="HS767" s="12"/>
      <c r="HT767" s="12"/>
      <c r="HU767" s="12"/>
      <c r="HV767" s="12"/>
      <c r="HW767" s="12"/>
      <c r="HX767" s="12"/>
      <c r="HY767" s="12"/>
      <c r="HZ767" s="12" t="s">
        <v>363</v>
      </c>
      <c r="IA767" s="12"/>
      <c r="IB767" s="12"/>
      <c r="IC767" s="12"/>
      <c r="ID767" s="12"/>
      <c r="IE767" s="12" t="s">
        <v>335</v>
      </c>
      <c r="IF767" s="12" t="s">
        <v>320</v>
      </c>
      <c r="IG767" s="12" t="s">
        <v>320</v>
      </c>
      <c r="IH767" s="12" t="s">
        <v>320</v>
      </c>
      <c r="II767" s="12" t="s">
        <v>320</v>
      </c>
      <c r="IJ767" s="12" t="str">
        <f t="shared" si="474"/>
        <v>2. Sensitive</v>
      </c>
      <c r="IK767" s="12">
        <f t="shared" si="475"/>
        <v>4</v>
      </c>
      <c r="IL767" s="12"/>
      <c r="IM767" s="12"/>
      <c r="IN767" s="12"/>
      <c r="IO767" s="12"/>
      <c r="IP767" s="12"/>
      <c r="IQ767" s="12" t="str">
        <f t="shared" si="476"/>
        <v>No marker score</v>
      </c>
      <c r="IR767" s="12">
        <f t="shared" si="477"/>
        <v>0</v>
      </c>
      <c r="IS767" s="12"/>
      <c r="IT767" s="12"/>
      <c r="IU767" s="12"/>
      <c r="IV767" s="12"/>
      <c r="IW767" s="11" t="str">
        <f t="shared" si="478"/>
        <v>No marker score</v>
      </c>
      <c r="IX767" s="12">
        <f t="shared" si="479"/>
        <v>0</v>
      </c>
      <c r="IY767" s="12"/>
      <c r="IZ767" s="12"/>
      <c r="JA767" s="12">
        <v>5</v>
      </c>
      <c r="JB767" s="12" t="s">
        <v>433</v>
      </c>
      <c r="JC767" s="12" t="s">
        <v>433</v>
      </c>
      <c r="JD767" s="12" t="s">
        <v>433</v>
      </c>
      <c r="JE767" s="12" t="s">
        <v>420</v>
      </c>
      <c r="JF767" s="12"/>
      <c r="JG767" s="12"/>
      <c r="JH767" s="12" t="s">
        <v>12022</v>
      </c>
      <c r="JI767" s="12" t="s">
        <v>8458</v>
      </c>
      <c r="JJ767" s="12" t="s">
        <v>12023</v>
      </c>
      <c r="JK767" s="12" t="s">
        <v>12024</v>
      </c>
      <c r="JL767" s="12" t="s">
        <v>12025</v>
      </c>
      <c r="JM767" s="12" t="s">
        <v>12026</v>
      </c>
      <c r="JN767" s="12"/>
      <c r="JO767" s="12"/>
      <c r="JP767" s="15">
        <f t="shared" si="480"/>
        <v>94944</v>
      </c>
      <c r="JQ767" s="15">
        <f t="shared" si="481"/>
        <v>0</v>
      </c>
      <c r="JR767" s="279">
        <f t="shared" si="482"/>
        <v>0</v>
      </c>
      <c r="JS767" s="17">
        <f t="shared" si="483"/>
        <v>0.49000463431075159</v>
      </c>
      <c r="JT767" s="18" t="str">
        <f t="shared" si="484"/>
        <v/>
      </c>
      <c r="JU767" s="280">
        <f t="shared" si="485"/>
        <v>46523</v>
      </c>
      <c r="JV767" s="280">
        <f t="shared" si="486"/>
        <v>0</v>
      </c>
      <c r="JW767" s="319">
        <f t="shared" si="487"/>
        <v>1</v>
      </c>
      <c r="JX767" s="15">
        <f t="shared" si="488"/>
        <v>94944</v>
      </c>
      <c r="JY767" s="15">
        <f t="shared" si="489"/>
        <v>0</v>
      </c>
      <c r="JZ767" s="19">
        <f t="shared" si="490"/>
        <v>0</v>
      </c>
      <c r="KA767" s="52" t="str">
        <f t="shared" si="491"/>
        <v/>
      </c>
      <c r="KB767" s="15">
        <f t="shared" si="492"/>
        <v>0</v>
      </c>
      <c r="KC767" s="15">
        <f t="shared" si="493"/>
        <v>0</v>
      </c>
      <c r="KD767" s="20" t="str">
        <f t="shared" si="494"/>
        <v/>
      </c>
      <c r="KE767" s="52" t="str">
        <f t="shared" si="495"/>
        <v/>
      </c>
      <c r="KF767" s="15">
        <f t="shared" si="496"/>
        <v>0</v>
      </c>
      <c r="KG767" s="15">
        <f t="shared" si="497"/>
        <v>0</v>
      </c>
      <c r="KH767" s="21" t="str">
        <f t="shared" si="498"/>
        <v/>
      </c>
      <c r="KI767" s="52" t="str">
        <f t="shared" si="499"/>
        <v/>
      </c>
      <c r="KJ767" s="15">
        <f t="shared" si="500"/>
        <v>0</v>
      </c>
      <c r="KK767" s="15">
        <f t="shared" si="501"/>
        <v>0</v>
      </c>
      <c r="KL767" s="19" t="str">
        <f t="shared" si="502"/>
        <v/>
      </c>
      <c r="KM767" s="52" t="str">
        <f t="shared" si="503"/>
        <v/>
      </c>
      <c r="KN767" s="22">
        <f t="shared" si="504"/>
        <v>0</v>
      </c>
      <c r="KO767" s="22">
        <f t="shared" si="505"/>
        <v>0</v>
      </c>
      <c r="KP767" s="19" t="str">
        <f t="shared" si="506"/>
        <v/>
      </c>
      <c r="KQ767" s="11" t="str">
        <f t="shared" si="507"/>
        <v>2. Sensitive</v>
      </c>
      <c r="KR767" s="11" t="str">
        <f t="shared" si="508"/>
        <v>No marker score</v>
      </c>
      <c r="KS767" s="11" t="str">
        <f t="shared" si="509"/>
        <v>No marker score</v>
      </c>
      <c r="KT767" s="11" t="str">
        <f t="shared" si="510"/>
        <v>It did not develop any specific innovation</v>
      </c>
      <c r="KU767" s="11" t="str">
        <f t="shared" si="511"/>
        <v>Little or no advocacy</v>
      </c>
      <c r="KV767" s="11">
        <f t="shared" si="512"/>
        <v>0</v>
      </c>
      <c r="KW767" s="11" t="str">
        <f t="shared" si="513"/>
        <v>Syria - UNHCR: (US1V1) Targeted rehabilitation to IDP collective shelters in southern Syria  / (US1Q9) Shelter and NFI support to vulnerable populations in southern Syria. ECHO: Emergency support and preparedness in southern Syria   DFATD: Emergency WASH support to people affected by conflict</v>
      </c>
      <c r="KX767" s="11" t="str">
        <f t="shared" si="514"/>
        <v>UNHCR: (US1V1) Targeted rehabilitation to IDP collective shelters in southern Syria  / (US1Q9) Shelter and NFI support to vulnerable populations in southern Syria. ECHO: Emergency support and preparedness in southern Syria   DFATD: Emergency WASH support to people affected by conflict</v>
      </c>
      <c r="KY767" s="11" t="str">
        <f t="shared" si="515"/>
        <v>Syria</v>
      </c>
      <c r="KZ767" s="12">
        <v>768</v>
      </c>
    </row>
    <row r="768" spans="1:312" x14ac:dyDescent="0.3">
      <c r="A768" s="11" t="s">
        <v>11693</v>
      </c>
      <c r="B768" s="11" t="s">
        <v>602</v>
      </c>
      <c r="D768" s="11" t="s">
        <v>12027</v>
      </c>
      <c r="E768" s="277" t="str">
        <f t="shared" si="473"/>
        <v>Syria</v>
      </c>
      <c r="F768" s="11" t="s">
        <v>12028</v>
      </c>
      <c r="G768" s="11" t="s">
        <v>379</v>
      </c>
      <c r="H768" s="11" t="s">
        <v>380</v>
      </c>
      <c r="I768" s="11" t="s">
        <v>381</v>
      </c>
      <c r="J768" s="278" t="s">
        <v>11578</v>
      </c>
      <c r="BD768" s="23">
        <v>42370</v>
      </c>
      <c r="BE768" s="23">
        <v>42735</v>
      </c>
      <c r="BG768" s="11" t="s">
        <v>817</v>
      </c>
      <c r="BH768" s="22">
        <v>1800110</v>
      </c>
      <c r="BI768" s="11" t="s">
        <v>11881</v>
      </c>
      <c r="BJ768" s="11" t="s">
        <v>11882</v>
      </c>
      <c r="BK768" s="11" t="s">
        <v>11883</v>
      </c>
      <c r="BL768" s="11" t="s">
        <v>11760</v>
      </c>
      <c r="BM768" s="11" t="s">
        <v>11761</v>
      </c>
      <c r="BN768" s="11" t="s">
        <v>11762</v>
      </c>
      <c r="BO768" s="11" t="s">
        <v>320</v>
      </c>
      <c r="BP768" s="11" t="s">
        <v>319</v>
      </c>
      <c r="BQ768" s="11" t="s">
        <v>319</v>
      </c>
      <c r="BR768" s="11" t="s">
        <v>12029</v>
      </c>
      <c r="BS768" s="11" t="s">
        <v>357</v>
      </c>
      <c r="BT768" s="11" t="s">
        <v>12030</v>
      </c>
      <c r="BU768" s="11" t="s">
        <v>12031</v>
      </c>
      <c r="BV768" s="22">
        <v>59747</v>
      </c>
      <c r="BW768" s="22">
        <v>53403</v>
      </c>
      <c r="BX768" s="22">
        <v>113150</v>
      </c>
      <c r="CD768" s="22">
        <v>59747</v>
      </c>
      <c r="CE768" s="22">
        <v>53403</v>
      </c>
      <c r="CF768" s="22">
        <v>113150</v>
      </c>
      <c r="CJ768" s="39"/>
      <c r="CK768" s="40"/>
      <c r="CL768" s="41"/>
      <c r="CM768" s="40"/>
      <c r="CN768" s="12" t="s">
        <v>320</v>
      </c>
      <c r="CO768" s="40">
        <v>2444</v>
      </c>
      <c r="CP768" s="41">
        <v>0.56000000000000005</v>
      </c>
      <c r="CQ768" s="40"/>
      <c r="CR768" s="39"/>
      <c r="CS768" s="40"/>
      <c r="CT768" s="41"/>
      <c r="CU768" s="40"/>
      <c r="CV768" s="39"/>
      <c r="CW768" s="40"/>
      <c r="CX768" s="41"/>
      <c r="CY768" s="40"/>
      <c r="CZ768" s="39"/>
      <c r="DA768" s="40"/>
      <c r="DB768" s="41"/>
      <c r="DC768" s="40"/>
      <c r="DD768" s="39"/>
      <c r="DE768" s="40"/>
      <c r="DF768" s="41"/>
      <c r="DG768" s="40"/>
      <c r="DH768" s="39"/>
      <c r="DI768" s="40"/>
      <c r="DJ768" s="41"/>
      <c r="DK768" s="40"/>
      <c r="DL768" s="39"/>
      <c r="DM768" s="40"/>
      <c r="DN768" s="41"/>
      <c r="DO768" s="40"/>
      <c r="DP768" s="12" t="s">
        <v>320</v>
      </c>
      <c r="DQ768" s="40">
        <v>12766</v>
      </c>
      <c r="DR768" s="41">
        <v>0.77</v>
      </c>
      <c r="DS768" s="40"/>
      <c r="DT768" s="39"/>
      <c r="DU768" s="40"/>
      <c r="DV768" s="41"/>
      <c r="DW768" s="40"/>
      <c r="DX768" s="12" t="s">
        <v>320</v>
      </c>
      <c r="DY768" s="40">
        <v>97940</v>
      </c>
      <c r="DZ768" s="41">
        <v>0.51</v>
      </c>
      <c r="EA768" s="40"/>
      <c r="EB768" s="39"/>
      <c r="EC768" s="40"/>
      <c r="ED768" s="41"/>
      <c r="EE768" s="40"/>
      <c r="EF768" s="39"/>
      <c r="EG768" s="39"/>
      <c r="EH768" s="40"/>
      <c r="EI768" s="41"/>
      <c r="EJ768" s="40"/>
      <c r="EK768" s="40"/>
      <c r="EL768" s="40"/>
      <c r="EM768" s="40"/>
      <c r="EN768" s="40"/>
      <c r="EO768" s="40"/>
      <c r="EP768" s="40"/>
      <c r="EQ768" s="39"/>
      <c r="ER768" s="40"/>
      <c r="ES768" s="41"/>
      <c r="ET768" s="40"/>
      <c r="EU768" s="39"/>
      <c r="EV768" s="40"/>
      <c r="EW768" s="41"/>
      <c r="EX768" s="40"/>
      <c r="EY768" s="39"/>
      <c r="EZ768" s="40"/>
      <c r="FA768" s="41"/>
      <c r="FB768" s="40"/>
      <c r="FC768" s="39"/>
      <c r="FD768" s="40"/>
      <c r="FE768" s="41"/>
      <c r="FF768" s="40"/>
      <c r="FG768" s="39"/>
      <c r="FH768" s="40"/>
      <c r="FI768" s="41"/>
      <c r="FJ768" s="40"/>
      <c r="FK768" s="39"/>
      <c r="FL768" s="40"/>
      <c r="FM768" s="41"/>
      <c r="FN768" s="40"/>
      <c r="FO768" s="39"/>
      <c r="FP768" s="40"/>
      <c r="FQ768" s="41"/>
      <c r="FR768" s="40"/>
      <c r="FS768" s="39"/>
      <c r="FT768" s="40"/>
      <c r="FU768" s="41"/>
      <c r="FV768" s="40"/>
      <c r="FW768" s="39"/>
      <c r="FX768" s="40"/>
      <c r="FY768" s="41"/>
      <c r="FZ768" s="40"/>
      <c r="GA768" s="39"/>
      <c r="GB768" s="40"/>
      <c r="GC768" s="41"/>
      <c r="GD768" s="40"/>
      <c r="GE768" s="39"/>
      <c r="GF768" s="40"/>
      <c r="GG768" s="41"/>
      <c r="GH768" s="40"/>
      <c r="GI768" s="39"/>
      <c r="GJ768" s="40"/>
      <c r="GK768" s="41"/>
      <c r="GL768" s="40"/>
      <c r="GM768" s="39"/>
      <c r="GN768" s="40"/>
      <c r="GO768" s="41"/>
      <c r="GP768" s="40"/>
      <c r="GQ768" s="39"/>
      <c r="GR768" s="40"/>
      <c r="GS768" s="41"/>
      <c r="GT768" s="40"/>
      <c r="GU768" s="39"/>
      <c r="GV768" s="40"/>
      <c r="GW768" s="41"/>
      <c r="GX768" s="40"/>
      <c r="GY768" s="39"/>
      <c r="GZ768" s="40"/>
      <c r="HA768" s="41"/>
      <c r="HB768" s="40"/>
      <c r="HF768" s="18"/>
      <c r="HH768" s="11" t="s">
        <v>320</v>
      </c>
      <c r="HI768" s="11" t="s">
        <v>328</v>
      </c>
      <c r="HJ768" s="11">
        <v>2016</v>
      </c>
      <c r="HK768" s="11" t="s">
        <v>320</v>
      </c>
      <c r="HL768" s="11" t="s">
        <v>319</v>
      </c>
      <c r="HO768" s="11" t="s">
        <v>393</v>
      </c>
      <c r="HP768" s="11" t="s">
        <v>418</v>
      </c>
      <c r="HQ768" s="11" t="s">
        <v>319</v>
      </c>
      <c r="HR768" s="11" t="s">
        <v>320</v>
      </c>
      <c r="HS768" s="11" t="s">
        <v>320</v>
      </c>
      <c r="HT768" s="11" t="s">
        <v>320</v>
      </c>
      <c r="HU768" s="11" t="s">
        <v>319</v>
      </c>
      <c r="HV768" s="11" t="s">
        <v>319</v>
      </c>
      <c r="HW768" s="11" t="s">
        <v>319</v>
      </c>
      <c r="HZ768" s="11" t="s">
        <v>363</v>
      </c>
      <c r="IB768" s="11" t="s">
        <v>333</v>
      </c>
      <c r="ID768" s="11" t="s">
        <v>477</v>
      </c>
      <c r="IE768" s="11" t="s">
        <v>335</v>
      </c>
      <c r="IF768" s="11" t="s">
        <v>320</v>
      </c>
      <c r="IG768" s="11" t="s">
        <v>320</v>
      </c>
      <c r="IH768" s="11" t="s">
        <v>320</v>
      </c>
      <c r="II768" s="11" t="s">
        <v>320</v>
      </c>
      <c r="IJ768" s="12" t="str">
        <f t="shared" si="474"/>
        <v>2. Sensitive</v>
      </c>
      <c r="IK768" s="12">
        <f t="shared" si="475"/>
        <v>4</v>
      </c>
      <c r="IQ768" s="12" t="str">
        <f t="shared" si="476"/>
        <v>No marker score</v>
      </c>
      <c r="IR768" s="12">
        <f t="shared" si="477"/>
        <v>0</v>
      </c>
      <c r="IW768" s="11" t="str">
        <f t="shared" si="478"/>
        <v>No marker score</v>
      </c>
      <c r="IX768" s="12">
        <f t="shared" si="479"/>
        <v>0</v>
      </c>
      <c r="IY768" s="11" t="s">
        <v>338</v>
      </c>
      <c r="IZ768" s="11" t="s">
        <v>457</v>
      </c>
      <c r="JA768" s="11">
        <v>2</v>
      </c>
      <c r="JB768" s="11" t="s">
        <v>433</v>
      </c>
      <c r="JE768" s="11" t="s">
        <v>420</v>
      </c>
      <c r="JK768" s="11" t="s">
        <v>12032</v>
      </c>
      <c r="JL768" s="11" t="s">
        <v>12033</v>
      </c>
      <c r="JM768" s="11" t="s">
        <v>12034</v>
      </c>
      <c r="JP768" s="15">
        <f t="shared" si="480"/>
        <v>113150</v>
      </c>
      <c r="JQ768" s="15">
        <f t="shared" si="481"/>
        <v>0</v>
      </c>
      <c r="JR768" s="279">
        <f t="shared" si="482"/>
        <v>0</v>
      </c>
      <c r="JS768" s="17">
        <f t="shared" si="483"/>
        <v>0.52803358373840037</v>
      </c>
      <c r="JT768" s="18" t="str">
        <f t="shared" si="484"/>
        <v/>
      </c>
      <c r="JU768" s="280">
        <f t="shared" si="485"/>
        <v>59747</v>
      </c>
      <c r="JV768" s="280">
        <f t="shared" si="486"/>
        <v>0</v>
      </c>
      <c r="JW768" s="319">
        <f t="shared" si="487"/>
        <v>1</v>
      </c>
      <c r="JX768" s="15">
        <f t="shared" si="488"/>
        <v>113150</v>
      </c>
      <c r="JY768" s="15">
        <f t="shared" si="489"/>
        <v>0</v>
      </c>
      <c r="JZ768" s="19">
        <f t="shared" si="490"/>
        <v>0</v>
      </c>
      <c r="KA768" s="52" t="str">
        <f t="shared" si="491"/>
        <v/>
      </c>
      <c r="KB768" s="15">
        <f t="shared" si="492"/>
        <v>0</v>
      </c>
      <c r="KC768" s="15">
        <f t="shared" si="493"/>
        <v>0</v>
      </c>
      <c r="KD768" s="20" t="str">
        <f t="shared" si="494"/>
        <v/>
      </c>
      <c r="KE768" s="52" t="str">
        <f t="shared" si="495"/>
        <v/>
      </c>
      <c r="KF768" s="15">
        <f t="shared" si="496"/>
        <v>0</v>
      </c>
      <c r="KG768" s="15">
        <f t="shared" si="497"/>
        <v>0</v>
      </c>
      <c r="KH768" s="21" t="str">
        <f t="shared" si="498"/>
        <v/>
      </c>
      <c r="KI768" s="52" t="str">
        <f t="shared" si="499"/>
        <v/>
      </c>
      <c r="KJ768" s="15">
        <f t="shared" si="500"/>
        <v>0</v>
      </c>
      <c r="KK768" s="15">
        <f t="shared" si="501"/>
        <v>0</v>
      </c>
      <c r="KL768" s="19" t="str">
        <f t="shared" si="502"/>
        <v/>
      </c>
      <c r="KM768" s="52" t="str">
        <f t="shared" si="503"/>
        <v/>
      </c>
      <c r="KN768" s="22">
        <f t="shared" si="504"/>
        <v>0</v>
      </c>
      <c r="KO768" s="22">
        <f t="shared" si="505"/>
        <v>0</v>
      </c>
      <c r="KP768" s="19" t="str">
        <f t="shared" si="506"/>
        <v/>
      </c>
      <c r="KQ768" s="11" t="str">
        <f t="shared" si="507"/>
        <v>2. Sensitive</v>
      </c>
      <c r="KR768" s="11" t="str">
        <f t="shared" si="508"/>
        <v>No marker score</v>
      </c>
      <c r="KS768" s="11" t="str">
        <f t="shared" si="509"/>
        <v>No marker score</v>
      </c>
      <c r="KT768" s="11" t="str">
        <f t="shared" si="510"/>
        <v>It did not develop any specific innovation</v>
      </c>
      <c r="KU768" s="11" t="str">
        <f t="shared" si="511"/>
        <v>Little or no advocacy</v>
      </c>
      <c r="KV768" s="11" t="str">
        <f t="shared" si="512"/>
        <v>It did not take tested solutions to scale</v>
      </c>
      <c r="KW768" s="11" t="str">
        <f t="shared" si="513"/>
        <v>Syria - Voice to Voiceless: critical protection and emergency support for hard to reach communities in Syria</v>
      </c>
      <c r="KX768" s="11" t="str">
        <f t="shared" si="514"/>
        <v>Voice to Voiceless: critical protection and emergency support for hard to reach communities in Syria</v>
      </c>
      <c r="KY768" s="11" t="str">
        <f t="shared" si="515"/>
        <v>Syria</v>
      </c>
      <c r="KZ768" s="12">
        <v>769</v>
      </c>
    </row>
    <row r="769" spans="1:312" x14ac:dyDescent="0.3">
      <c r="A769" s="282" t="s">
        <v>11693</v>
      </c>
      <c r="B769" s="282" t="s">
        <v>602</v>
      </c>
      <c r="C769" s="282"/>
      <c r="D769" s="282" t="s">
        <v>11722</v>
      </c>
      <c r="E769" s="277" t="str">
        <f t="shared" ref="E769:E832" si="516">A769</f>
        <v>Syria</v>
      </c>
      <c r="F769" s="282" t="s">
        <v>11723</v>
      </c>
      <c r="G769" s="282" t="s">
        <v>309</v>
      </c>
      <c r="H769" s="282" t="s">
        <v>383</v>
      </c>
      <c r="I769" s="282" t="s">
        <v>384</v>
      </c>
      <c r="J769" s="278" t="s">
        <v>309</v>
      </c>
      <c r="K769" s="282" t="s">
        <v>11724</v>
      </c>
      <c r="L769" s="282" t="s">
        <v>714</v>
      </c>
      <c r="M769" s="282" t="s">
        <v>383</v>
      </c>
      <c r="N769" s="282" t="s">
        <v>384</v>
      </c>
      <c r="O769" s="282" t="s">
        <v>714</v>
      </c>
      <c r="P769" s="282"/>
      <c r="Q769" s="282" t="s">
        <v>379</v>
      </c>
      <c r="R769" s="282" t="s">
        <v>554</v>
      </c>
      <c r="S769" s="282"/>
      <c r="T769" s="282"/>
      <c r="U769" s="282"/>
      <c r="V769" s="282"/>
      <c r="W769" s="282"/>
      <c r="X769" s="282"/>
      <c r="Y769" s="282"/>
      <c r="Z769" s="282"/>
      <c r="AA769" s="282"/>
      <c r="AB769" s="282"/>
      <c r="AC769" s="282"/>
      <c r="AD769" s="282"/>
      <c r="AE769" s="282"/>
      <c r="AF769" s="282"/>
      <c r="AG769" s="282"/>
      <c r="AH769" s="282"/>
      <c r="AI769" s="282"/>
      <c r="AJ769" s="282"/>
      <c r="AK769" s="282"/>
      <c r="AL769" s="282"/>
      <c r="AM769" s="282"/>
      <c r="AN769" s="282"/>
      <c r="AO769" s="282"/>
      <c r="AP769" s="282"/>
      <c r="AQ769" s="282"/>
      <c r="AR769" s="282"/>
      <c r="AS769" s="282"/>
      <c r="AT769" s="282"/>
      <c r="AU769" s="282"/>
      <c r="AV769" s="282"/>
      <c r="AW769" s="282"/>
      <c r="AX769" s="282"/>
      <c r="AY769" s="282"/>
      <c r="AZ769" s="282"/>
      <c r="BA769" s="282"/>
      <c r="BB769" s="282"/>
      <c r="BC769" s="282"/>
      <c r="BD769" s="283">
        <v>42767</v>
      </c>
      <c r="BE769" s="283">
        <v>42947</v>
      </c>
      <c r="BF769" s="283"/>
      <c r="BG769" s="283" t="s">
        <v>908</v>
      </c>
      <c r="BH769" s="284">
        <v>83655.3</v>
      </c>
      <c r="BI769" s="282" t="s">
        <v>11712</v>
      </c>
      <c r="BJ769" s="282" t="s">
        <v>11713</v>
      </c>
      <c r="BK769" s="282" t="s">
        <v>11714</v>
      </c>
      <c r="BL769" s="282" t="s">
        <v>11725</v>
      </c>
      <c r="BM769" s="282" t="s">
        <v>11726</v>
      </c>
      <c r="BN769" s="282" t="s">
        <v>11727</v>
      </c>
      <c r="BO769" s="282" t="s">
        <v>320</v>
      </c>
      <c r="BP769" s="282" t="s">
        <v>319</v>
      </c>
      <c r="BQ769" s="282" t="s">
        <v>319</v>
      </c>
      <c r="BR769" s="282" t="s">
        <v>11728</v>
      </c>
      <c r="BS769" s="282" t="s">
        <v>357</v>
      </c>
      <c r="BT769" s="282" t="s">
        <v>11729</v>
      </c>
      <c r="BU769" s="282" t="s">
        <v>11730</v>
      </c>
      <c r="BV769" s="284">
        <v>2078</v>
      </c>
      <c r="BW769" s="284">
        <v>1944</v>
      </c>
      <c r="BX769" s="284">
        <v>4022</v>
      </c>
      <c r="BY769" s="284"/>
      <c r="BZ769" s="284"/>
      <c r="CA769" s="284"/>
      <c r="CB769" s="285"/>
      <c r="CC769" s="285"/>
      <c r="CD769" s="284">
        <v>2078</v>
      </c>
      <c r="CE769" s="284">
        <v>1944</v>
      </c>
      <c r="CF769" s="284">
        <v>4022</v>
      </c>
      <c r="CG769" s="284"/>
      <c r="CH769" s="284"/>
      <c r="CI769" s="284"/>
      <c r="CJ769" s="282"/>
      <c r="CK769" s="284"/>
      <c r="CL769" s="286"/>
      <c r="CM769" s="284"/>
      <c r="CN769" s="287" t="s">
        <v>320</v>
      </c>
      <c r="CO769" s="284">
        <v>4022</v>
      </c>
      <c r="CP769" s="286">
        <v>0.52</v>
      </c>
      <c r="CQ769" s="284"/>
      <c r="CR769" s="282"/>
      <c r="CS769" s="284"/>
      <c r="CT769" s="286"/>
      <c r="CU769" s="284"/>
      <c r="CV769" s="289" t="s">
        <v>320</v>
      </c>
      <c r="CW769" s="311">
        <v>4022</v>
      </c>
      <c r="CX769" s="312">
        <v>0.52</v>
      </c>
      <c r="CY769" s="300"/>
      <c r="CZ769" s="282"/>
      <c r="DA769" s="284"/>
      <c r="DB769" s="286"/>
      <c r="DC769" s="284"/>
      <c r="DD769" s="287"/>
      <c r="DE769" s="284"/>
      <c r="DF769" s="286"/>
      <c r="DG769" s="284"/>
      <c r="DH769" s="282"/>
      <c r="DI769" s="284"/>
      <c r="DJ769" s="286"/>
      <c r="DK769" s="284"/>
      <c r="DL769" s="282"/>
      <c r="DM769" s="284"/>
      <c r="DN769" s="286"/>
      <c r="DO769" s="284"/>
      <c r="DP769" s="282"/>
      <c r="DQ769" s="284"/>
      <c r="DR769" s="286"/>
      <c r="DS769" s="284"/>
      <c r="DT769" s="282"/>
      <c r="DU769" s="284"/>
      <c r="DV769" s="286"/>
      <c r="DW769" s="284"/>
      <c r="DX769" s="282"/>
      <c r="DY769" s="284"/>
      <c r="DZ769" s="286"/>
      <c r="EA769" s="284"/>
      <c r="EB769" s="282"/>
      <c r="EC769" s="284"/>
      <c r="ED769" s="286"/>
      <c r="EE769" s="284"/>
      <c r="EF769" s="285"/>
      <c r="EG769" s="287"/>
      <c r="EH769" s="284"/>
      <c r="EI769" s="286"/>
      <c r="EJ769" s="284"/>
      <c r="EK769" s="284"/>
      <c r="EL769" s="284"/>
      <c r="EM769" s="284"/>
      <c r="EN769" s="284"/>
      <c r="EO769" s="284"/>
      <c r="EP769" s="284"/>
      <c r="EQ769" s="282"/>
      <c r="ER769" s="284"/>
      <c r="ES769" s="286"/>
      <c r="ET769" s="284"/>
      <c r="EU769" s="305"/>
      <c r="EV769" s="300"/>
      <c r="EW769" s="308"/>
      <c r="EX769" s="300"/>
      <c r="EY769" s="282"/>
      <c r="EZ769" s="284"/>
      <c r="FA769" s="286"/>
      <c r="FB769" s="284"/>
      <c r="FC769" s="282"/>
      <c r="FD769" s="284"/>
      <c r="FE769" s="286"/>
      <c r="FF769" s="284"/>
      <c r="FG769" s="282"/>
      <c r="FH769" s="284"/>
      <c r="FI769" s="286"/>
      <c r="FJ769" s="284"/>
      <c r="FK769" s="282"/>
      <c r="FL769" s="284"/>
      <c r="FM769" s="286"/>
      <c r="FN769" s="284"/>
      <c r="FO769" s="305"/>
      <c r="FP769" s="300"/>
      <c r="FQ769" s="308"/>
      <c r="FR769" s="300"/>
      <c r="FS769" s="282"/>
      <c r="FT769" s="284"/>
      <c r="FU769" s="286"/>
      <c r="FV769" s="284"/>
      <c r="FW769" s="282"/>
      <c r="FX769" s="284"/>
      <c r="FY769" s="286"/>
      <c r="FZ769" s="284"/>
      <c r="GA769" s="282"/>
      <c r="GB769" s="284"/>
      <c r="GC769" s="286"/>
      <c r="GD769" s="284"/>
      <c r="GE769" s="282"/>
      <c r="GF769" s="284"/>
      <c r="GG769" s="286"/>
      <c r="GH769" s="284"/>
      <c r="GI769" s="282"/>
      <c r="GJ769" s="284"/>
      <c r="GK769" s="286"/>
      <c r="GL769" s="284"/>
      <c r="GM769" s="282"/>
      <c r="GN769" s="284"/>
      <c r="GO769" s="286"/>
      <c r="GP769" s="284"/>
      <c r="GQ769" s="282"/>
      <c r="GR769" s="284"/>
      <c r="GS769" s="286"/>
      <c r="GT769" s="284"/>
      <c r="GU769" s="282"/>
      <c r="GV769" s="284"/>
      <c r="GW769" s="286"/>
      <c r="GX769" s="284"/>
      <c r="GY769" s="282"/>
      <c r="GZ769" s="284"/>
      <c r="HA769" s="286"/>
      <c r="HB769" s="284"/>
      <c r="HC769" s="282"/>
      <c r="HD769" s="282"/>
      <c r="HE769" s="284"/>
      <c r="HF769" s="286"/>
      <c r="HG769" s="284"/>
      <c r="HH769" s="282" t="s">
        <v>319</v>
      </c>
      <c r="HI769" s="282"/>
      <c r="HJ769" s="282"/>
      <c r="HK769" s="282" t="s">
        <v>319</v>
      </c>
      <c r="HL769" s="282" t="s">
        <v>319</v>
      </c>
      <c r="HM769" s="282"/>
      <c r="HN769" s="282"/>
      <c r="HO769" s="282"/>
      <c r="HP769" s="282" t="s">
        <v>418</v>
      </c>
      <c r="HQ769" s="282" t="s">
        <v>319</v>
      </c>
      <c r="HR769" s="282" t="s">
        <v>319</v>
      </c>
      <c r="HS769" s="282" t="s">
        <v>320</v>
      </c>
      <c r="HT769" s="282" t="s">
        <v>320</v>
      </c>
      <c r="HU769" s="282" t="s">
        <v>319</v>
      </c>
      <c r="HV769" s="282"/>
      <c r="HW769" s="282" t="s">
        <v>319</v>
      </c>
      <c r="HX769" s="282"/>
      <c r="HY769" s="282"/>
      <c r="HZ769" s="282" t="s">
        <v>363</v>
      </c>
      <c r="IA769" s="282"/>
      <c r="IB769" s="282" t="s">
        <v>333</v>
      </c>
      <c r="IC769" s="282"/>
      <c r="ID769" s="282" t="s">
        <v>364</v>
      </c>
      <c r="IE769" s="282" t="s">
        <v>335</v>
      </c>
      <c r="IF769" s="282" t="s">
        <v>320</v>
      </c>
      <c r="IG769" s="282" t="s">
        <v>320</v>
      </c>
      <c r="IH769" s="282" t="s">
        <v>320</v>
      </c>
      <c r="II769" s="282" t="s">
        <v>320</v>
      </c>
      <c r="IJ769" s="12" t="str">
        <f t="shared" si="474"/>
        <v>2. Sensitive</v>
      </c>
      <c r="IK769" s="287">
        <f t="shared" si="475"/>
        <v>4</v>
      </c>
      <c r="IL769" s="282"/>
      <c r="IM769" s="282"/>
      <c r="IN769" s="282"/>
      <c r="IO769" s="282"/>
      <c r="IP769" s="282"/>
      <c r="IQ769" s="287" t="str">
        <f t="shared" si="476"/>
        <v>No marker score</v>
      </c>
      <c r="IR769" s="287">
        <f t="shared" si="477"/>
        <v>0</v>
      </c>
      <c r="IS769" s="282"/>
      <c r="IT769" s="282"/>
      <c r="IU769" s="282"/>
      <c r="IV769" s="282"/>
      <c r="IW769" s="11" t="str">
        <f t="shared" si="478"/>
        <v>No marker score</v>
      </c>
      <c r="IX769" s="287">
        <f t="shared" si="479"/>
        <v>0</v>
      </c>
      <c r="IY769" s="282" t="s">
        <v>338</v>
      </c>
      <c r="IZ769" s="282" t="s">
        <v>457</v>
      </c>
      <c r="JA769" s="282">
        <v>1</v>
      </c>
      <c r="JB769" s="282" t="s">
        <v>433</v>
      </c>
      <c r="JC769" s="282"/>
      <c r="JD769" s="282"/>
      <c r="JE769" s="282" t="s">
        <v>420</v>
      </c>
      <c r="JF769" s="282"/>
      <c r="JG769" s="282" t="s">
        <v>11731</v>
      </c>
      <c r="JH769" s="282" t="s">
        <v>11732</v>
      </c>
      <c r="JI769" s="282" t="s">
        <v>11733</v>
      </c>
      <c r="JJ769" s="282"/>
      <c r="JK769" s="282" t="s">
        <v>11734</v>
      </c>
      <c r="JL769" s="282"/>
      <c r="JM769" s="282"/>
      <c r="JN769" s="282"/>
      <c r="JO769" s="282"/>
      <c r="JP769" s="15">
        <f t="shared" si="480"/>
        <v>4022</v>
      </c>
      <c r="JQ769" s="15">
        <f t="shared" si="481"/>
        <v>0</v>
      </c>
      <c r="JR769" s="279">
        <f t="shared" si="482"/>
        <v>0</v>
      </c>
      <c r="JS769" s="17">
        <f t="shared" si="483"/>
        <v>0.51665837891596222</v>
      </c>
      <c r="JT769" s="18" t="str">
        <f t="shared" si="484"/>
        <v/>
      </c>
      <c r="JU769" s="280">
        <f t="shared" si="485"/>
        <v>2078</v>
      </c>
      <c r="JV769" s="280">
        <f t="shared" si="486"/>
        <v>0</v>
      </c>
      <c r="JW769" s="319">
        <f t="shared" si="487"/>
        <v>1</v>
      </c>
      <c r="JX769" s="15">
        <f t="shared" si="488"/>
        <v>4022</v>
      </c>
      <c r="JY769" s="15">
        <f t="shared" si="489"/>
        <v>0</v>
      </c>
      <c r="JZ769" s="19">
        <f t="shared" si="490"/>
        <v>0</v>
      </c>
      <c r="KA769" s="52">
        <f t="shared" si="491"/>
        <v>1</v>
      </c>
      <c r="KB769" s="15">
        <f t="shared" si="492"/>
        <v>4022</v>
      </c>
      <c r="KC769" s="15">
        <f t="shared" si="493"/>
        <v>0</v>
      </c>
      <c r="KD769" s="20">
        <f t="shared" si="494"/>
        <v>0</v>
      </c>
      <c r="KE769" s="52" t="str">
        <f t="shared" si="495"/>
        <v/>
      </c>
      <c r="KF769" s="15">
        <f t="shared" si="496"/>
        <v>0</v>
      </c>
      <c r="KG769" s="15">
        <f t="shared" si="497"/>
        <v>0</v>
      </c>
      <c r="KH769" s="21" t="str">
        <f t="shared" si="498"/>
        <v/>
      </c>
      <c r="KI769" s="52" t="str">
        <f t="shared" si="499"/>
        <v/>
      </c>
      <c r="KJ769" s="15">
        <f t="shared" si="500"/>
        <v>0</v>
      </c>
      <c r="KK769" s="15">
        <f t="shared" si="501"/>
        <v>0</v>
      </c>
      <c r="KL769" s="19" t="str">
        <f t="shared" si="502"/>
        <v/>
      </c>
      <c r="KM769" s="52" t="str">
        <f t="shared" si="503"/>
        <v/>
      </c>
      <c r="KN769" s="22">
        <f t="shared" si="504"/>
        <v>0</v>
      </c>
      <c r="KO769" s="22">
        <f t="shared" si="505"/>
        <v>0</v>
      </c>
      <c r="KP769" s="19" t="str">
        <f t="shared" si="506"/>
        <v/>
      </c>
      <c r="KQ769" s="11" t="str">
        <f t="shared" si="507"/>
        <v>2. Sensitive</v>
      </c>
      <c r="KR769" s="11" t="str">
        <f t="shared" si="508"/>
        <v>No marker score</v>
      </c>
      <c r="KS769" s="11" t="str">
        <f t="shared" si="509"/>
        <v>No marker score</v>
      </c>
      <c r="KT769" s="11" t="str">
        <f t="shared" si="510"/>
        <v>It did not develop any specific innovation</v>
      </c>
      <c r="KU769" s="11" t="str">
        <f t="shared" si="511"/>
        <v>Little or no advocacy</v>
      </c>
      <c r="KV769" s="11" t="str">
        <f t="shared" si="512"/>
        <v>It did not take tested solutions to scale</v>
      </c>
      <c r="KW769" s="11" t="str">
        <f t="shared" si="513"/>
        <v>Syria - Vouchers to meet basic and essential needs of displaced poulations fleeing Aleppo</v>
      </c>
      <c r="KX769" s="11" t="str">
        <f t="shared" si="514"/>
        <v>Vouchers to meet basic and essential needs of displaced poulations fleeing Aleppo</v>
      </c>
      <c r="KY769" s="11" t="str">
        <f t="shared" si="515"/>
        <v>Syria</v>
      </c>
      <c r="KZ769" s="12">
        <v>770</v>
      </c>
    </row>
    <row r="770" spans="1:312" x14ac:dyDescent="0.3">
      <c r="A770" s="11" t="s">
        <v>11693</v>
      </c>
      <c r="B770" s="11" t="s">
        <v>602</v>
      </c>
      <c r="C770" s="11">
        <v>3423</v>
      </c>
      <c r="D770" s="11" t="s">
        <v>12035</v>
      </c>
      <c r="E770" s="24" t="str">
        <f t="shared" si="516"/>
        <v>Syria</v>
      </c>
      <c r="F770" s="11" t="s">
        <v>12036</v>
      </c>
      <c r="G770" s="11" t="s">
        <v>379</v>
      </c>
      <c r="H770" s="11" t="s">
        <v>310</v>
      </c>
      <c r="I770" s="11" t="s">
        <v>655</v>
      </c>
      <c r="J770" s="278" t="s">
        <v>9916</v>
      </c>
      <c r="K770" s="11" t="s">
        <v>12037</v>
      </c>
      <c r="L770" s="11" t="s">
        <v>379</v>
      </c>
      <c r="M770" s="11" t="s">
        <v>310</v>
      </c>
      <c r="N770" s="11" t="s">
        <v>655</v>
      </c>
      <c r="O770" s="281" t="s">
        <v>9916</v>
      </c>
      <c r="BD770" s="23">
        <v>42514</v>
      </c>
      <c r="BE770" s="23">
        <v>42878</v>
      </c>
      <c r="BF770" s="23">
        <v>43031</v>
      </c>
      <c r="BG770" s="11" t="s">
        <v>817</v>
      </c>
      <c r="BH770" s="22">
        <v>1992351</v>
      </c>
      <c r="BI770" s="11" t="s">
        <v>12038</v>
      </c>
      <c r="BJ770" s="11" t="s">
        <v>11956</v>
      </c>
      <c r="BK770" s="11" t="s">
        <v>12039</v>
      </c>
      <c r="BL770" s="11" t="s">
        <v>12040</v>
      </c>
      <c r="BM770" s="11" t="s">
        <v>12041</v>
      </c>
      <c r="BN770" s="11" t="s">
        <v>12042</v>
      </c>
      <c r="BO770" s="11" t="s">
        <v>320</v>
      </c>
      <c r="BP770" s="11" t="s">
        <v>319</v>
      </c>
      <c r="BQ770" s="11" t="s">
        <v>319</v>
      </c>
      <c r="BR770" s="11" t="s">
        <v>12043</v>
      </c>
      <c r="BS770" s="11" t="s">
        <v>357</v>
      </c>
      <c r="BT770" s="11" t="s">
        <v>12044</v>
      </c>
      <c r="BU770" s="11" t="s">
        <v>12045</v>
      </c>
      <c r="BV770" s="22">
        <v>6677</v>
      </c>
      <c r="BW770" s="22">
        <v>7232</v>
      </c>
      <c r="BX770" s="22">
        <v>13909</v>
      </c>
      <c r="CB770" s="15" t="s">
        <v>12046</v>
      </c>
      <c r="CD770" s="22">
        <v>6671</v>
      </c>
      <c r="CE770" s="22">
        <v>6526</v>
      </c>
      <c r="CF770" s="22">
        <v>13197</v>
      </c>
      <c r="CJ770" s="11" t="s">
        <v>319</v>
      </c>
      <c r="CL770" s="18"/>
      <c r="CN770" s="11" t="s">
        <v>319</v>
      </c>
      <c r="CP770" s="18"/>
      <c r="CR770" s="11" t="s">
        <v>319</v>
      </c>
      <c r="CT770" s="18"/>
      <c r="CV770" s="11" t="s">
        <v>319</v>
      </c>
      <c r="CX770" s="18"/>
      <c r="CZ770" s="11" t="s">
        <v>319</v>
      </c>
      <c r="DB770" s="18"/>
      <c r="DD770" s="11" t="s">
        <v>319</v>
      </c>
      <c r="DF770" s="18"/>
      <c r="DH770" s="11" t="s">
        <v>319</v>
      </c>
      <c r="DJ770" s="18"/>
      <c r="DL770" s="11" t="s">
        <v>319</v>
      </c>
      <c r="DN770" s="18"/>
      <c r="DP770" s="12" t="s">
        <v>320</v>
      </c>
      <c r="DQ770" s="22">
        <v>1202</v>
      </c>
      <c r="DR770" s="18">
        <v>0.56000000000000005</v>
      </c>
      <c r="DT770" s="11" t="s">
        <v>319</v>
      </c>
      <c r="DV770" s="18"/>
      <c r="DX770" s="11" t="s">
        <v>319</v>
      </c>
      <c r="DZ770" s="18"/>
      <c r="EB770" s="11" t="s">
        <v>320</v>
      </c>
      <c r="EC770" s="22">
        <v>11961</v>
      </c>
      <c r="ED770" s="18">
        <v>0.5</v>
      </c>
      <c r="EI770" s="18"/>
      <c r="ES770" s="18"/>
      <c r="EW770" s="18"/>
      <c r="FA770" s="18"/>
      <c r="FE770" s="18"/>
      <c r="FI770" s="18"/>
      <c r="FM770" s="18"/>
      <c r="FQ770" s="18"/>
      <c r="FU770" s="18"/>
      <c r="FY770" s="18"/>
      <c r="GC770" s="18"/>
      <c r="GG770" s="18"/>
      <c r="GK770" s="18"/>
      <c r="GO770" s="18"/>
      <c r="GS770" s="18"/>
      <c r="GW770" s="18"/>
      <c r="HA770" s="18"/>
      <c r="HF770" s="18"/>
      <c r="HH770" s="11" t="s">
        <v>319</v>
      </c>
      <c r="HK770" s="11" t="s">
        <v>319</v>
      </c>
      <c r="HL770" s="11" t="s">
        <v>320</v>
      </c>
      <c r="HM770" s="11" t="s">
        <v>327</v>
      </c>
      <c r="HP770" s="11" t="s">
        <v>418</v>
      </c>
      <c r="HQ770" s="11" t="s">
        <v>320</v>
      </c>
      <c r="HR770" s="11" t="s">
        <v>319</v>
      </c>
      <c r="HS770" s="11" t="s">
        <v>320</v>
      </c>
      <c r="HT770" s="11" t="s">
        <v>319</v>
      </c>
      <c r="HU770" s="11" t="s">
        <v>320</v>
      </c>
      <c r="HV770" s="11" t="s">
        <v>319</v>
      </c>
      <c r="HW770" s="11" t="s">
        <v>320</v>
      </c>
      <c r="HX770" s="11" t="s">
        <v>319</v>
      </c>
      <c r="HZ770" s="11" t="s">
        <v>363</v>
      </c>
      <c r="IB770" s="11" t="s">
        <v>667</v>
      </c>
      <c r="ID770" s="11" t="s">
        <v>334</v>
      </c>
      <c r="IE770" s="11" t="s">
        <v>335</v>
      </c>
      <c r="IF770" s="11" t="s">
        <v>320</v>
      </c>
      <c r="IG770" s="11" t="s">
        <v>320</v>
      </c>
      <c r="IH770" s="11" t="s">
        <v>320</v>
      </c>
      <c r="II770" s="11" t="s">
        <v>320</v>
      </c>
      <c r="IJ770" s="12" t="str">
        <f t="shared" ref="IJ770:IJ833" si="517">IF(IE770="","No marker score",IF(ISNUMBER(SEARCH("select",IE770)),"",IF(ISNUMBER(SEARCH("Did NOT",IE770)),"0. Harmful",IF(ISNUMBER(SEARCH("CHALLENGED",IE770)),IF(IK770=4,"4. Transformative",IF(IK770&gt;1,"3. Responsive",IF(IK770&lt;=1,"No marker score",""))),IF(ISNUMBER(SEARCH("WORKED WITH",IE770)),IF(IK770=4,"2. Sensitive",IF(IK770&gt;1,"1. Neutral","0. Harmful")))))))</f>
        <v>2. Sensitive</v>
      </c>
      <c r="IK770" s="12">
        <f t="shared" ref="IK770:IK833" si="518">COUNTIF(IF770:II770,"=YES")</f>
        <v>4</v>
      </c>
      <c r="IL770" s="11" t="s">
        <v>723</v>
      </c>
      <c r="IM770" s="11" t="s">
        <v>319</v>
      </c>
      <c r="IN770" s="11" t="s">
        <v>319</v>
      </c>
      <c r="IO770" s="11" t="s">
        <v>319</v>
      </c>
      <c r="IP770" s="11" t="s">
        <v>319</v>
      </c>
      <c r="IQ770" s="12" t="str">
        <f t="shared" ref="IQ770:IQ833" si="519">IF(IL770="","No marker score",IF(ISNUMBER(SEARCH("select",IL770)),"",IF(ISNUMBER(SEARCH("Did NOT",IL770)),"0. Unaware",IF(ISNUMBER(SEARCH("CHALLENGED",IL770)),IF(IR770=4,"4. Transformational",IF(IR770&gt;1,"3. Responsive",IF(IR770&lt;=1,"No marker score",""))),IF(ISNUMBER(SEARCH("WORKED WITH",IL770)),IF(IR770&gt;=3,"2. Accommodating",IF(IR770&gt;=1,"1. Tokenistic","0. Unaware")))))))</f>
        <v>0. Unaware</v>
      </c>
      <c r="IR770" s="12">
        <f t="shared" ref="IR770:IR833" si="520">COUNTIF(IM770:IP770,"=YES")</f>
        <v>0</v>
      </c>
      <c r="IS770" s="11" t="s">
        <v>337</v>
      </c>
      <c r="IT770" s="11" t="s">
        <v>320</v>
      </c>
      <c r="IU770" s="11" t="s">
        <v>319</v>
      </c>
      <c r="IV770" s="11" t="s">
        <v>319</v>
      </c>
      <c r="IW770" s="11" t="str">
        <f t="shared" ref="IW770:IW833" si="521">IF(IS770="","No marker score",IF(ISNUMBER(SEARCH("select",IS770)),"",IF(ISNUMBER(SEARCH("Did NOT",IS770)),"0. Harmful",IF(ISNUMBER(SEARCH("well",IS770)),IF(IX770=3,"4. Transformative",IF(IX770&gt;=1,"3. Responsive",IF(IX770=0,"No marker score",""))),IF(ISNUMBER(SEARCH(".",IS770)),IF(IX770&gt;=3,"2. Sensitive",IF(IX770&gt;=1,"1. Neutral","0. Harmful")))))))</f>
        <v>1. Neutral</v>
      </c>
      <c r="IX770" s="12">
        <f t="shared" ref="IX770:IX833" si="522">COUNTIF(IT770:IV770,"=YES")</f>
        <v>1</v>
      </c>
      <c r="IY770" s="11" t="s">
        <v>419</v>
      </c>
      <c r="IZ770" s="11" t="s">
        <v>527</v>
      </c>
      <c r="JA770" s="11">
        <v>2</v>
      </c>
      <c r="JB770" s="11" t="s">
        <v>433</v>
      </c>
      <c r="JC770" s="11" t="s">
        <v>831</v>
      </c>
      <c r="JE770" s="11" t="s">
        <v>420</v>
      </c>
      <c r="JG770" s="11" t="s">
        <v>12047</v>
      </c>
      <c r="JH770" s="11" t="s">
        <v>12048</v>
      </c>
      <c r="JI770" s="11" t="s">
        <v>12049</v>
      </c>
      <c r="JJ770" s="11" t="s">
        <v>12050</v>
      </c>
      <c r="JK770" s="11" t="s">
        <v>12051</v>
      </c>
      <c r="JL770" s="11" t="s">
        <v>12052</v>
      </c>
      <c r="JP770" s="15">
        <f t="shared" ref="JP770:JP833" si="523">MAX(CF770,EM770)</f>
        <v>13197</v>
      </c>
      <c r="JQ770" s="15">
        <f t="shared" ref="JQ770:JQ833" si="524">MAX(CI770,EP770)</f>
        <v>0</v>
      </c>
      <c r="JR770" s="279">
        <f t="shared" ref="JR770:JR833" si="525">IFERROR(JQ770/JP770,"")</f>
        <v>0</v>
      </c>
      <c r="JS770" s="17">
        <f t="shared" ref="JS770:JS833" si="526">IFERROR(MAX(CD770,EK770)/JP770,"")</f>
        <v>0.50549367280442525</v>
      </c>
      <c r="JT770" s="18" t="str">
        <f t="shared" ref="JT770:JT833" si="527">IFERROR(MAX(CG770,EN770)/JQ770,"")</f>
        <v/>
      </c>
      <c r="JU770" s="280">
        <f t="shared" ref="JU770:JU833" si="528">IFERROR(MAX(CD770,EK770),"")</f>
        <v>6671</v>
      </c>
      <c r="JV770" s="280">
        <f t="shared" ref="JV770:JV833" si="529">IFERROR(MAX(CG770,EN770),"")</f>
        <v>0</v>
      </c>
      <c r="JW770" s="319">
        <f t="shared" ref="JW770:JW833" si="530">IF(BO770="yes",1,"")</f>
        <v>1</v>
      </c>
      <c r="JX770" s="15">
        <f t="shared" ref="JX770:JX833" si="531">CF770</f>
        <v>13197</v>
      </c>
      <c r="JY770" s="15">
        <f t="shared" ref="JY770:JY833" si="532">CI770</f>
        <v>0</v>
      </c>
      <c r="JZ770" s="19">
        <f t="shared" ref="JZ770:JZ833" si="533">IFERROR(JY770/JX770,"")</f>
        <v>0</v>
      </c>
      <c r="KA770" s="52" t="str">
        <f t="shared" ref="KA770:KA833" si="534">IF((OR(CV770="yes", DL770="yes", EQ770="yes", EU770="yes", FC770="yes", FG770="yes", FO770="yes", GI770="yes", GU770="yes")), 1, "")</f>
        <v/>
      </c>
      <c r="KB770" s="15">
        <f t="shared" ref="KB770:KB833" si="535">MAX(CW770,DM770,ER770,EV770,FD770,FH770,FP770,GJ770,GV770)</f>
        <v>0</v>
      </c>
      <c r="KC770" s="15">
        <f t="shared" ref="KC770:KC833" si="536">MAX(CY770,DO770,ET770,EX770,FF770,FJ770,FR770,GL770,GX770)</f>
        <v>0</v>
      </c>
      <c r="KD770" s="20" t="str">
        <f t="shared" ref="KD770:KD833" si="537">IFERROR(KC770/KB770,"")</f>
        <v/>
      </c>
      <c r="KE770" s="52" t="str">
        <f t="shared" ref="KE770:KE833" si="538">IF((OR(DT770="yes", GQ770="yes")), 1, "")</f>
        <v/>
      </c>
      <c r="KF770" s="15">
        <f t="shared" ref="KF770:KF833" si="539">MAX(DU770,GR770)</f>
        <v>0</v>
      </c>
      <c r="KG770" s="15">
        <f t="shared" ref="KG770:KG833" si="540">MAX(DW770,GT770)</f>
        <v>0</v>
      </c>
      <c r="KH770" s="21" t="str">
        <f t="shared" ref="KH770:KH833" si="541">IFERROR(KG770/KF770,"")</f>
        <v/>
      </c>
      <c r="KI770" s="52" t="str">
        <f t="shared" ref="KI770:KI833" si="542">IF((OR(CZ770="yes", FS770="yes")), 1, "")</f>
        <v/>
      </c>
      <c r="KJ770" s="15">
        <f t="shared" ref="KJ770:KJ833" si="543">MAX(DA770,FT770)</f>
        <v>0</v>
      </c>
      <c r="KK770" s="15">
        <f t="shared" ref="KK770:KK833" si="544">MAX(DC770,FV770)</f>
        <v>0</v>
      </c>
      <c r="KL770" s="19" t="str">
        <f t="shared" ref="KL770:KL833" si="545">IFERROR(KK770/KJ770,"")</f>
        <v/>
      </c>
      <c r="KM770" s="52" t="str">
        <f t="shared" ref="KM770:KM833" si="546">IF((OR(FG770="yes", GY770="yes")), 1, "")</f>
        <v/>
      </c>
      <c r="KN770" s="22">
        <f t="shared" ref="KN770:KN833" si="547">IFERROR(MAX((FH770*FI770),GZ770),"")</f>
        <v>0</v>
      </c>
      <c r="KO770" s="22">
        <f t="shared" ref="KO770:KO833" si="548">IFERROR(MAX((FJ770*FI770),HB770),"")</f>
        <v>0</v>
      </c>
      <c r="KP770" s="19" t="str">
        <f t="shared" ref="KP770:KP833" si="549">IFERROR(KO770/KN770,"")</f>
        <v/>
      </c>
      <c r="KQ770" s="11" t="str">
        <f t="shared" ref="KQ770:KQ833" si="550">IJ770</f>
        <v>2. Sensitive</v>
      </c>
      <c r="KR770" s="11" t="str">
        <f t="shared" ref="KR770:KR833" si="551">IQ770</f>
        <v>0. Unaware</v>
      </c>
      <c r="KS770" s="11" t="str">
        <f t="shared" ref="KS770:KS833" si="552">IW770</f>
        <v>1. Neutral</v>
      </c>
      <c r="KT770" s="11" t="str">
        <f t="shared" ref="KT770:KT833" si="553">HZ770</f>
        <v>It did not develop any specific innovation</v>
      </c>
      <c r="KU770" s="11" t="str">
        <f t="shared" ref="KU770:KU833" si="554">HP770</f>
        <v>Little or no advocacy</v>
      </c>
      <c r="KV770" s="11" t="str">
        <f t="shared" ref="KV770:KV833" si="555">IB770</f>
        <v>It took tested solutions to scale on its own</v>
      </c>
      <c r="KW770" s="11" t="str">
        <f t="shared" ref="KW770:KW833" si="556">A770&amp;" - "&amp;D770</f>
        <v>Syria - WASH and Protection support in Southern Syria</v>
      </c>
      <c r="KX770" s="11" t="str">
        <f t="shared" ref="KX770:KX833" si="557">D770</f>
        <v>WASH and Protection support in Southern Syria</v>
      </c>
      <c r="KY770" s="11" t="str">
        <f t="shared" ref="KY770:KY833" si="558">A770</f>
        <v>Syria</v>
      </c>
      <c r="KZ770" s="12">
        <v>771</v>
      </c>
    </row>
    <row r="771" spans="1:312" x14ac:dyDescent="0.3">
      <c r="A771" s="12" t="s">
        <v>11693</v>
      </c>
      <c r="B771" s="12" t="s">
        <v>602</v>
      </c>
      <c r="C771" s="12">
        <v>3424</v>
      </c>
      <c r="D771" s="12" t="s">
        <v>12053</v>
      </c>
      <c r="E771" s="24" t="str">
        <f t="shared" si="516"/>
        <v>Syria</v>
      </c>
      <c r="F771" s="12" t="s">
        <v>12054</v>
      </c>
      <c r="G771" s="12" t="s">
        <v>379</v>
      </c>
      <c r="H771" s="12" t="s">
        <v>384</v>
      </c>
      <c r="I771" s="12" t="s">
        <v>381</v>
      </c>
      <c r="J771" s="281" t="s">
        <v>8430</v>
      </c>
      <c r="K771" s="12"/>
      <c r="L771" s="12"/>
      <c r="M771" s="12"/>
      <c r="N771" s="12"/>
      <c r="O771" s="12"/>
      <c r="P771" s="12"/>
      <c r="Q771" s="12"/>
      <c r="R771" s="12"/>
      <c r="S771" s="12"/>
      <c r="T771" s="12"/>
      <c r="U771" s="12"/>
      <c r="V771" s="12"/>
      <c r="W771" s="12"/>
      <c r="X771" s="12"/>
      <c r="Y771" s="12"/>
      <c r="Z771" s="12"/>
      <c r="AA771" s="12"/>
      <c r="AB771" s="12"/>
      <c r="AC771" s="12"/>
      <c r="AD771" s="12"/>
      <c r="BD771" s="13">
        <v>42282</v>
      </c>
      <c r="BE771" s="13">
        <v>42735</v>
      </c>
      <c r="BF771" s="12"/>
      <c r="BG771" s="12" t="s">
        <v>817</v>
      </c>
      <c r="BH771" s="14">
        <v>2844513.34</v>
      </c>
      <c r="BI771" s="12" t="s">
        <v>11953</v>
      </c>
      <c r="BJ771" s="12" t="s">
        <v>11580</v>
      </c>
      <c r="BK771" s="12" t="s">
        <v>11954</v>
      </c>
      <c r="BL771" s="12" t="s">
        <v>11955</v>
      </c>
      <c r="BM771" s="12" t="s">
        <v>11956</v>
      </c>
      <c r="BN771" s="12" t="s">
        <v>11957</v>
      </c>
      <c r="BO771" s="12" t="s">
        <v>320</v>
      </c>
      <c r="BP771" s="12" t="s">
        <v>319</v>
      </c>
      <c r="BQ771" s="12" t="s">
        <v>319</v>
      </c>
      <c r="BR771" s="12" t="s">
        <v>11958</v>
      </c>
      <c r="BS771" s="12" t="s">
        <v>357</v>
      </c>
      <c r="BT771" s="12" t="s">
        <v>12055</v>
      </c>
      <c r="BU771" s="12" t="s">
        <v>12056</v>
      </c>
      <c r="BV771" s="14">
        <v>190491</v>
      </c>
      <c r="BW771" s="14">
        <v>206365</v>
      </c>
      <c r="BX771" s="14">
        <v>396856</v>
      </c>
      <c r="BY771" s="14"/>
      <c r="BZ771" s="14"/>
      <c r="CA771" s="14"/>
      <c r="CB771" s="12"/>
      <c r="CD771" s="14">
        <v>190491</v>
      </c>
      <c r="CE771" s="14">
        <v>206365</v>
      </c>
      <c r="CF771" s="14">
        <v>396856</v>
      </c>
      <c r="CG771" s="14"/>
      <c r="CH771" s="14"/>
      <c r="CI771" s="14"/>
      <c r="CJ771" s="12"/>
      <c r="CK771" s="14"/>
      <c r="CL771" s="16"/>
      <c r="CM771" s="14"/>
      <c r="CN771" s="12"/>
      <c r="CO771" s="14"/>
      <c r="CP771" s="16"/>
      <c r="CQ771" s="14"/>
      <c r="CR771" s="12"/>
      <c r="CS771" s="14"/>
      <c r="CT771" s="16"/>
      <c r="CU771" s="14"/>
      <c r="CV771" s="12"/>
      <c r="CW771" s="14"/>
      <c r="CX771" s="16"/>
      <c r="CY771" s="14"/>
      <c r="CZ771" s="12"/>
      <c r="DA771" s="14"/>
      <c r="DB771" s="16"/>
      <c r="DC771" s="14"/>
      <c r="DD771" s="12"/>
      <c r="DE771" s="14"/>
      <c r="DF771" s="16"/>
      <c r="DG771" s="14"/>
      <c r="DH771" s="12"/>
      <c r="DI771" s="14"/>
      <c r="DJ771" s="16"/>
      <c r="DK771" s="14"/>
      <c r="DL771" s="12"/>
      <c r="DM771" s="14"/>
      <c r="DN771" s="16"/>
      <c r="DO771" s="14"/>
      <c r="DP771" s="12"/>
      <c r="DQ771" s="14"/>
      <c r="DR771" s="16"/>
      <c r="DS771" s="14"/>
      <c r="DT771" s="12"/>
      <c r="DU771" s="14"/>
      <c r="DV771" s="16"/>
      <c r="DW771" s="14"/>
      <c r="DX771" s="12"/>
      <c r="DY771" s="14"/>
      <c r="DZ771" s="16"/>
      <c r="EA771" s="14"/>
      <c r="EB771" s="11" t="s">
        <v>320</v>
      </c>
      <c r="EC771" s="14">
        <v>396856</v>
      </c>
      <c r="ED771" s="16">
        <v>0.48</v>
      </c>
      <c r="EE771" s="14"/>
      <c r="EF771" s="12"/>
      <c r="EG771" s="12"/>
      <c r="EH771" s="14"/>
      <c r="EI771" s="16"/>
      <c r="EJ771" s="14"/>
      <c r="EK771" s="14"/>
      <c r="EL771" s="14"/>
      <c r="EM771" s="14"/>
      <c r="EN771" s="14"/>
      <c r="EO771" s="14"/>
      <c r="EP771" s="14"/>
      <c r="EQ771" s="12"/>
      <c r="ER771" s="14"/>
      <c r="ES771" s="16"/>
      <c r="ET771" s="14"/>
      <c r="EU771" s="12"/>
      <c r="EV771" s="14"/>
      <c r="EW771" s="16"/>
      <c r="EX771" s="14"/>
      <c r="EY771" s="12"/>
      <c r="EZ771" s="14"/>
      <c r="FA771" s="16"/>
      <c r="FB771" s="14"/>
      <c r="FC771" s="12"/>
      <c r="FD771" s="14"/>
      <c r="FE771" s="16"/>
      <c r="FF771" s="14"/>
      <c r="FG771" s="12"/>
      <c r="FH771" s="14"/>
      <c r="FI771" s="16"/>
      <c r="FJ771" s="14"/>
      <c r="FK771" s="12"/>
      <c r="FL771" s="14"/>
      <c r="FM771" s="16"/>
      <c r="FN771" s="14"/>
      <c r="FO771" s="12"/>
      <c r="FP771" s="14"/>
      <c r="FQ771" s="16"/>
      <c r="FR771" s="14"/>
      <c r="FS771" s="12"/>
      <c r="FT771" s="14"/>
      <c r="FU771" s="16"/>
      <c r="FV771" s="14"/>
      <c r="FW771" s="12"/>
      <c r="FX771" s="14"/>
      <c r="FY771" s="16"/>
      <c r="FZ771" s="14"/>
      <c r="GA771" s="12"/>
      <c r="GB771" s="14"/>
      <c r="GC771" s="16"/>
      <c r="GD771" s="14"/>
      <c r="GE771" s="12"/>
      <c r="GF771" s="14"/>
      <c r="GG771" s="16"/>
      <c r="GH771" s="14"/>
      <c r="GI771" s="12"/>
      <c r="GJ771" s="14"/>
      <c r="GK771" s="16"/>
      <c r="GL771" s="14"/>
      <c r="GM771" s="12"/>
      <c r="GN771" s="14"/>
      <c r="GO771" s="16"/>
      <c r="GP771" s="14"/>
      <c r="GQ771" s="12"/>
      <c r="GR771" s="14"/>
      <c r="GS771" s="16"/>
      <c r="GT771" s="14"/>
      <c r="GU771" s="12"/>
      <c r="GV771" s="14"/>
      <c r="GW771" s="16"/>
      <c r="GX771" s="14"/>
      <c r="GY771" s="12"/>
      <c r="GZ771" s="14"/>
      <c r="HA771" s="16"/>
      <c r="HB771" s="14"/>
      <c r="HC771" s="12"/>
      <c r="HD771" s="12"/>
      <c r="HE771" s="14"/>
      <c r="HF771" s="16"/>
      <c r="HG771" s="14"/>
      <c r="HH771" s="12" t="s">
        <v>319</v>
      </c>
      <c r="HI771" s="12"/>
      <c r="HJ771" s="12"/>
      <c r="HK771" s="12"/>
      <c r="HL771" s="12"/>
      <c r="HM771" s="12"/>
      <c r="HN771" s="12"/>
      <c r="HO771" s="12"/>
      <c r="HP771" s="12" t="s">
        <v>418</v>
      </c>
      <c r="HQ771" s="12"/>
      <c r="HR771" s="12"/>
      <c r="HS771" s="12"/>
      <c r="HT771" s="12"/>
      <c r="HU771" s="12"/>
      <c r="HV771" s="12"/>
      <c r="HW771" s="12"/>
      <c r="HX771" s="12"/>
      <c r="HY771" s="12"/>
      <c r="HZ771" s="12" t="s">
        <v>363</v>
      </c>
      <c r="IA771" s="12"/>
      <c r="IB771" s="12" t="s">
        <v>333</v>
      </c>
      <c r="IC771" s="12"/>
      <c r="ID771" s="12" t="s">
        <v>334</v>
      </c>
      <c r="IE771" s="12" t="s">
        <v>335</v>
      </c>
      <c r="IF771" s="12" t="s">
        <v>320</v>
      </c>
      <c r="IG771" s="12" t="s">
        <v>320</v>
      </c>
      <c r="IH771" s="12" t="s">
        <v>320</v>
      </c>
      <c r="II771" s="12" t="s">
        <v>320</v>
      </c>
      <c r="IJ771" s="12" t="str">
        <f t="shared" si="517"/>
        <v>2. Sensitive</v>
      </c>
      <c r="IK771" s="12">
        <f t="shared" si="518"/>
        <v>4</v>
      </c>
      <c r="IL771" s="12"/>
      <c r="IM771" s="12" t="s">
        <v>319</v>
      </c>
      <c r="IN771" s="12" t="s">
        <v>319</v>
      </c>
      <c r="IO771" s="12" t="s">
        <v>319</v>
      </c>
      <c r="IP771" s="12" t="s">
        <v>319</v>
      </c>
      <c r="IQ771" s="12" t="str">
        <f t="shared" si="519"/>
        <v>No marker score</v>
      </c>
      <c r="IR771" s="12">
        <f t="shared" si="520"/>
        <v>0</v>
      </c>
      <c r="IS771" s="12"/>
      <c r="IT771" s="12"/>
      <c r="IU771" s="12"/>
      <c r="IV771" s="12"/>
      <c r="IW771" s="11" t="str">
        <f t="shared" si="521"/>
        <v>No marker score</v>
      </c>
      <c r="IX771" s="12">
        <f t="shared" si="522"/>
        <v>0</v>
      </c>
      <c r="IY771" s="12" t="s">
        <v>419</v>
      </c>
      <c r="IZ771" s="12" t="s">
        <v>457</v>
      </c>
      <c r="JA771" s="12">
        <v>2</v>
      </c>
      <c r="JB771" s="12" t="s">
        <v>433</v>
      </c>
      <c r="JC771" s="12"/>
      <c r="JD771" s="12"/>
      <c r="JE771" s="12" t="s">
        <v>365</v>
      </c>
      <c r="JF771" s="12" t="s">
        <v>11961</v>
      </c>
      <c r="JG771" s="12"/>
      <c r="JH771" s="12"/>
      <c r="JI771" s="12"/>
      <c r="JJ771" s="12"/>
      <c r="JK771" s="12" t="s">
        <v>12057</v>
      </c>
      <c r="JL771" s="12" t="s">
        <v>12058</v>
      </c>
      <c r="JM771" s="12"/>
      <c r="JN771" s="12"/>
      <c r="JO771" s="12"/>
      <c r="JP771" s="15">
        <f t="shared" si="523"/>
        <v>396856</v>
      </c>
      <c r="JQ771" s="15">
        <f t="shared" si="524"/>
        <v>0</v>
      </c>
      <c r="JR771" s="279">
        <f t="shared" si="525"/>
        <v>0</v>
      </c>
      <c r="JS771" s="17">
        <f t="shared" si="526"/>
        <v>0.48000030237668073</v>
      </c>
      <c r="JT771" s="18" t="str">
        <f t="shared" si="527"/>
        <v/>
      </c>
      <c r="JU771" s="280">
        <f t="shared" si="528"/>
        <v>190491</v>
      </c>
      <c r="JV771" s="280">
        <f t="shared" si="529"/>
        <v>0</v>
      </c>
      <c r="JW771" s="319">
        <f t="shared" si="530"/>
        <v>1</v>
      </c>
      <c r="JX771" s="15">
        <f t="shared" si="531"/>
        <v>396856</v>
      </c>
      <c r="JY771" s="15">
        <f t="shared" si="532"/>
        <v>0</v>
      </c>
      <c r="JZ771" s="19">
        <f t="shared" si="533"/>
        <v>0</v>
      </c>
      <c r="KA771" s="52" t="str">
        <f t="shared" si="534"/>
        <v/>
      </c>
      <c r="KB771" s="15">
        <f t="shared" si="535"/>
        <v>0</v>
      </c>
      <c r="KC771" s="15">
        <f t="shared" si="536"/>
        <v>0</v>
      </c>
      <c r="KD771" s="20" t="str">
        <f t="shared" si="537"/>
        <v/>
      </c>
      <c r="KE771" s="52" t="str">
        <f t="shared" si="538"/>
        <v/>
      </c>
      <c r="KF771" s="15">
        <f t="shared" si="539"/>
        <v>0</v>
      </c>
      <c r="KG771" s="15">
        <f t="shared" si="540"/>
        <v>0</v>
      </c>
      <c r="KH771" s="21" t="str">
        <f t="shared" si="541"/>
        <v/>
      </c>
      <c r="KI771" s="52" t="str">
        <f t="shared" si="542"/>
        <v/>
      </c>
      <c r="KJ771" s="15">
        <f t="shared" si="543"/>
        <v>0</v>
      </c>
      <c r="KK771" s="15">
        <f t="shared" si="544"/>
        <v>0</v>
      </c>
      <c r="KL771" s="19" t="str">
        <f t="shared" si="545"/>
        <v/>
      </c>
      <c r="KM771" s="52" t="str">
        <f t="shared" si="546"/>
        <v/>
      </c>
      <c r="KN771" s="22">
        <f t="shared" si="547"/>
        <v>0</v>
      </c>
      <c r="KO771" s="22">
        <f t="shared" si="548"/>
        <v>0</v>
      </c>
      <c r="KP771" s="19" t="str">
        <f t="shared" si="549"/>
        <v/>
      </c>
      <c r="KQ771" s="11" t="str">
        <f t="shared" si="550"/>
        <v>2. Sensitive</v>
      </c>
      <c r="KR771" s="11" t="str">
        <f t="shared" si="551"/>
        <v>No marker score</v>
      </c>
      <c r="KS771" s="11" t="str">
        <f t="shared" si="552"/>
        <v>No marker score</v>
      </c>
      <c r="KT771" s="11" t="str">
        <f t="shared" si="553"/>
        <v>It did not develop any specific innovation</v>
      </c>
      <c r="KU771" s="11" t="str">
        <f t="shared" si="554"/>
        <v>Little or no advocacy</v>
      </c>
      <c r="KV771" s="11" t="str">
        <f t="shared" si="555"/>
        <v>It did not take tested solutions to scale</v>
      </c>
      <c r="KW771" s="11" t="str">
        <f t="shared" si="556"/>
        <v>Syria - WASH Support to confict Affected Communities</v>
      </c>
      <c r="KX771" s="11" t="str">
        <f t="shared" si="557"/>
        <v>WASH Support to confict Affected Communities</v>
      </c>
      <c r="KY771" s="11" t="str">
        <f t="shared" si="558"/>
        <v>Syria</v>
      </c>
      <c r="KZ771" s="12">
        <v>772</v>
      </c>
    </row>
    <row r="772" spans="1:312" x14ac:dyDescent="0.3">
      <c r="A772" s="12" t="s">
        <v>11693</v>
      </c>
      <c r="B772" s="12" t="s">
        <v>602</v>
      </c>
      <c r="C772" s="12"/>
      <c r="D772" s="12" t="s">
        <v>12053</v>
      </c>
      <c r="E772" s="24" t="str">
        <f t="shared" si="516"/>
        <v>Syria</v>
      </c>
      <c r="F772" s="12" t="s">
        <v>12059</v>
      </c>
      <c r="G772" s="12" t="s">
        <v>379</v>
      </c>
      <c r="H772" s="12" t="s">
        <v>384</v>
      </c>
      <c r="I772" s="12" t="s">
        <v>381</v>
      </c>
      <c r="J772" s="281" t="s">
        <v>8430</v>
      </c>
      <c r="K772" s="12"/>
      <c r="L772" s="12"/>
      <c r="M772" s="12"/>
      <c r="N772" s="12"/>
      <c r="O772" s="12"/>
      <c r="P772" s="12"/>
      <c r="Q772" s="12"/>
      <c r="R772" s="12"/>
      <c r="S772" s="12"/>
      <c r="T772" s="12"/>
      <c r="U772" s="12"/>
      <c r="V772" s="12"/>
      <c r="W772" s="12"/>
      <c r="X772" s="12"/>
      <c r="Y772" s="12"/>
      <c r="Z772" s="12"/>
      <c r="AA772" s="12"/>
      <c r="AB772" s="12"/>
      <c r="AC772" s="12"/>
      <c r="AD772" s="12"/>
      <c r="BD772" s="13">
        <v>42826</v>
      </c>
      <c r="BE772" s="13">
        <v>42916</v>
      </c>
      <c r="BF772" s="12"/>
      <c r="BG772" s="12" t="s">
        <v>817</v>
      </c>
      <c r="BH772" s="14">
        <v>305553</v>
      </c>
      <c r="BI772" s="12" t="s">
        <v>11953</v>
      </c>
      <c r="BJ772" s="12" t="s">
        <v>11580</v>
      </c>
      <c r="BK772" s="12" t="s">
        <v>11954</v>
      </c>
      <c r="BL772" s="12" t="s">
        <v>11955</v>
      </c>
      <c r="BM772" s="12" t="s">
        <v>11956</v>
      </c>
      <c r="BN772" s="12" t="s">
        <v>11957</v>
      </c>
      <c r="BO772" s="12" t="s">
        <v>320</v>
      </c>
      <c r="BP772" s="12" t="s">
        <v>319</v>
      </c>
      <c r="BQ772" s="12" t="s">
        <v>319</v>
      </c>
      <c r="BR772" s="12" t="s">
        <v>11958</v>
      </c>
      <c r="BS772" s="12" t="s">
        <v>357</v>
      </c>
      <c r="BT772" s="12" t="s">
        <v>12055</v>
      </c>
      <c r="BU772" s="12" t="s">
        <v>11960</v>
      </c>
      <c r="BV772" s="14">
        <v>203837</v>
      </c>
      <c r="BW772" s="14">
        <v>203838</v>
      </c>
      <c r="BX772" s="14">
        <v>407675</v>
      </c>
      <c r="BY772" s="14"/>
      <c r="BZ772" s="14"/>
      <c r="CA772" s="14"/>
      <c r="CB772" s="12"/>
      <c r="CD772" s="14">
        <v>203837</v>
      </c>
      <c r="CE772" s="14">
        <v>203838</v>
      </c>
      <c r="CF772" s="14">
        <v>407675</v>
      </c>
      <c r="CG772" s="14"/>
      <c r="CH772" s="14"/>
      <c r="CI772" s="14"/>
      <c r="CJ772" s="12"/>
      <c r="CK772" s="14"/>
      <c r="CL772" s="16"/>
      <c r="CM772" s="14"/>
      <c r="CN772" s="12"/>
      <c r="CO772" s="14"/>
      <c r="CP772" s="16"/>
      <c r="CQ772" s="14"/>
      <c r="CR772" s="12"/>
      <c r="CS772" s="14"/>
      <c r="CT772" s="16"/>
      <c r="CU772" s="14"/>
      <c r="CV772" s="12"/>
      <c r="CW772" s="14"/>
      <c r="CX772" s="16"/>
      <c r="CY772" s="14"/>
      <c r="CZ772" s="12"/>
      <c r="DA772" s="14"/>
      <c r="DB772" s="16"/>
      <c r="DC772" s="14"/>
      <c r="DD772" s="12"/>
      <c r="DE772" s="14"/>
      <c r="DF772" s="16"/>
      <c r="DG772" s="14"/>
      <c r="DH772" s="12"/>
      <c r="DI772" s="14"/>
      <c r="DJ772" s="16"/>
      <c r="DK772" s="14"/>
      <c r="DL772" s="12"/>
      <c r="DM772" s="14"/>
      <c r="DN772" s="16"/>
      <c r="DO772" s="14"/>
      <c r="DP772" s="12"/>
      <c r="DQ772" s="14"/>
      <c r="DR772" s="16"/>
      <c r="DS772" s="14"/>
      <c r="DT772" s="12"/>
      <c r="DU772" s="14"/>
      <c r="DV772" s="16"/>
      <c r="DW772" s="14"/>
      <c r="DX772" s="12"/>
      <c r="DY772" s="14"/>
      <c r="DZ772" s="16"/>
      <c r="EA772" s="14"/>
      <c r="EB772" s="11" t="s">
        <v>320</v>
      </c>
      <c r="EC772" s="14">
        <v>407675</v>
      </c>
      <c r="ED772" s="16">
        <v>0.5</v>
      </c>
      <c r="EE772" s="14"/>
      <c r="EF772" s="12"/>
      <c r="EG772" s="12"/>
      <c r="EH772" s="14"/>
      <c r="EI772" s="16"/>
      <c r="EJ772" s="14"/>
      <c r="EK772" s="14"/>
      <c r="EL772" s="14"/>
      <c r="EM772" s="14"/>
      <c r="EN772" s="14"/>
      <c r="EO772" s="14"/>
      <c r="EP772" s="14"/>
      <c r="EQ772" s="12"/>
      <c r="ER772" s="14"/>
      <c r="ES772" s="16"/>
      <c r="ET772" s="14"/>
      <c r="EU772" s="12"/>
      <c r="EV772" s="14"/>
      <c r="EW772" s="16"/>
      <c r="EX772" s="14"/>
      <c r="EY772" s="12"/>
      <c r="EZ772" s="14"/>
      <c r="FA772" s="16"/>
      <c r="FB772" s="14"/>
      <c r="FC772" s="12"/>
      <c r="FD772" s="14"/>
      <c r="FE772" s="16"/>
      <c r="FF772" s="14"/>
      <c r="FG772" s="12"/>
      <c r="FH772" s="14"/>
      <c r="FI772" s="16"/>
      <c r="FJ772" s="14"/>
      <c r="FK772" s="12"/>
      <c r="FL772" s="14"/>
      <c r="FM772" s="16"/>
      <c r="FN772" s="14"/>
      <c r="FO772" s="12"/>
      <c r="FP772" s="14"/>
      <c r="FQ772" s="16"/>
      <c r="FR772" s="14"/>
      <c r="FS772" s="12"/>
      <c r="FT772" s="14"/>
      <c r="FU772" s="16"/>
      <c r="FV772" s="14"/>
      <c r="FW772" s="12"/>
      <c r="FX772" s="14"/>
      <c r="FY772" s="16"/>
      <c r="FZ772" s="14"/>
      <c r="GA772" s="12"/>
      <c r="GB772" s="14"/>
      <c r="GC772" s="16"/>
      <c r="GD772" s="14"/>
      <c r="GE772" s="12"/>
      <c r="GF772" s="14"/>
      <c r="GG772" s="16"/>
      <c r="GH772" s="14"/>
      <c r="GI772" s="12"/>
      <c r="GJ772" s="14"/>
      <c r="GK772" s="16"/>
      <c r="GL772" s="14"/>
      <c r="GM772" s="12"/>
      <c r="GN772" s="14"/>
      <c r="GO772" s="16"/>
      <c r="GP772" s="14"/>
      <c r="GQ772" s="12"/>
      <c r="GR772" s="14"/>
      <c r="GS772" s="16"/>
      <c r="GT772" s="14"/>
      <c r="GU772" s="12"/>
      <c r="GV772" s="14"/>
      <c r="GW772" s="16"/>
      <c r="GX772" s="14"/>
      <c r="GY772" s="12"/>
      <c r="GZ772" s="14"/>
      <c r="HA772" s="16"/>
      <c r="HB772" s="14"/>
      <c r="HC772" s="12"/>
      <c r="HD772" s="12"/>
      <c r="HE772" s="14"/>
      <c r="HF772" s="16"/>
      <c r="HG772" s="14"/>
      <c r="HH772" s="12" t="s">
        <v>319</v>
      </c>
      <c r="HI772" s="12"/>
      <c r="HJ772" s="12"/>
      <c r="HK772" s="12"/>
      <c r="HL772" s="12"/>
      <c r="HM772" s="12"/>
      <c r="HN772" s="12"/>
      <c r="HO772" s="12"/>
      <c r="HP772" s="12" t="s">
        <v>418</v>
      </c>
      <c r="HQ772" s="12"/>
      <c r="HR772" s="12"/>
      <c r="HS772" s="12"/>
      <c r="HT772" s="12"/>
      <c r="HU772" s="12"/>
      <c r="HV772" s="12"/>
      <c r="HW772" s="12"/>
      <c r="HX772" s="12"/>
      <c r="HY772" s="12"/>
      <c r="HZ772" s="12" t="s">
        <v>363</v>
      </c>
      <c r="IA772" s="12"/>
      <c r="IB772" s="12" t="s">
        <v>333</v>
      </c>
      <c r="IC772" s="12"/>
      <c r="ID772" s="12" t="s">
        <v>334</v>
      </c>
      <c r="IE772" s="12" t="s">
        <v>335</v>
      </c>
      <c r="IF772" s="12" t="s">
        <v>320</v>
      </c>
      <c r="IG772" s="12" t="s">
        <v>320</v>
      </c>
      <c r="IH772" s="12" t="s">
        <v>320</v>
      </c>
      <c r="II772" s="12" t="s">
        <v>320</v>
      </c>
      <c r="IJ772" s="12" t="str">
        <f t="shared" si="517"/>
        <v>2. Sensitive</v>
      </c>
      <c r="IK772" s="12">
        <f t="shared" si="518"/>
        <v>4</v>
      </c>
      <c r="IL772" s="12"/>
      <c r="IM772" s="12" t="s">
        <v>319</v>
      </c>
      <c r="IN772" s="12" t="s">
        <v>319</v>
      </c>
      <c r="IO772" s="12" t="s">
        <v>319</v>
      </c>
      <c r="IP772" s="12" t="s">
        <v>319</v>
      </c>
      <c r="IQ772" s="12" t="str">
        <f t="shared" si="519"/>
        <v>No marker score</v>
      </c>
      <c r="IR772" s="12">
        <f t="shared" si="520"/>
        <v>0</v>
      </c>
      <c r="IS772" s="12"/>
      <c r="IT772" s="12"/>
      <c r="IU772" s="12"/>
      <c r="IV772" s="12"/>
      <c r="IW772" s="11" t="str">
        <f t="shared" si="521"/>
        <v>No marker score</v>
      </c>
      <c r="IX772" s="12">
        <f t="shared" si="522"/>
        <v>0</v>
      </c>
      <c r="IY772" s="12" t="s">
        <v>419</v>
      </c>
      <c r="IZ772" s="12" t="s">
        <v>457</v>
      </c>
      <c r="JA772" s="12">
        <v>2</v>
      </c>
      <c r="JB772" s="12" t="s">
        <v>433</v>
      </c>
      <c r="JC772" s="12"/>
      <c r="JD772" s="12"/>
      <c r="JE772" s="12" t="s">
        <v>365</v>
      </c>
      <c r="JF772" s="12" t="s">
        <v>11961</v>
      </c>
      <c r="JG772" s="12"/>
      <c r="JH772" s="12"/>
      <c r="JI772" s="12"/>
      <c r="JJ772" s="12"/>
      <c r="JK772" s="12" t="s">
        <v>12057</v>
      </c>
      <c r="JL772" s="12"/>
      <c r="JM772" s="12"/>
      <c r="JN772" s="12"/>
      <c r="JO772" s="12"/>
      <c r="JP772" s="15">
        <f t="shared" si="523"/>
        <v>407675</v>
      </c>
      <c r="JQ772" s="15">
        <f t="shared" si="524"/>
        <v>0</v>
      </c>
      <c r="JR772" s="279">
        <f t="shared" si="525"/>
        <v>0</v>
      </c>
      <c r="JS772" s="17">
        <f t="shared" si="526"/>
        <v>0.49999877353283867</v>
      </c>
      <c r="JT772" s="18" t="str">
        <f t="shared" si="527"/>
        <v/>
      </c>
      <c r="JU772" s="280">
        <f t="shared" si="528"/>
        <v>203837</v>
      </c>
      <c r="JV772" s="280">
        <f t="shared" si="529"/>
        <v>0</v>
      </c>
      <c r="JW772" s="319">
        <f t="shared" si="530"/>
        <v>1</v>
      </c>
      <c r="JX772" s="15">
        <f t="shared" si="531"/>
        <v>407675</v>
      </c>
      <c r="JY772" s="15">
        <f t="shared" si="532"/>
        <v>0</v>
      </c>
      <c r="JZ772" s="19">
        <f t="shared" si="533"/>
        <v>0</v>
      </c>
      <c r="KA772" s="52" t="str">
        <f t="shared" si="534"/>
        <v/>
      </c>
      <c r="KB772" s="15">
        <f t="shared" si="535"/>
        <v>0</v>
      </c>
      <c r="KC772" s="15">
        <f t="shared" si="536"/>
        <v>0</v>
      </c>
      <c r="KD772" s="20" t="str">
        <f t="shared" si="537"/>
        <v/>
      </c>
      <c r="KE772" s="52" t="str">
        <f t="shared" si="538"/>
        <v/>
      </c>
      <c r="KF772" s="15">
        <f t="shared" si="539"/>
        <v>0</v>
      </c>
      <c r="KG772" s="15">
        <f t="shared" si="540"/>
        <v>0</v>
      </c>
      <c r="KH772" s="21" t="str">
        <f t="shared" si="541"/>
        <v/>
      </c>
      <c r="KI772" s="52" t="str">
        <f t="shared" si="542"/>
        <v/>
      </c>
      <c r="KJ772" s="15">
        <f t="shared" si="543"/>
        <v>0</v>
      </c>
      <c r="KK772" s="15">
        <f t="shared" si="544"/>
        <v>0</v>
      </c>
      <c r="KL772" s="19" t="str">
        <f t="shared" si="545"/>
        <v/>
      </c>
      <c r="KM772" s="52" t="str">
        <f t="shared" si="546"/>
        <v/>
      </c>
      <c r="KN772" s="22">
        <f t="shared" si="547"/>
        <v>0</v>
      </c>
      <c r="KO772" s="22">
        <f t="shared" si="548"/>
        <v>0</v>
      </c>
      <c r="KP772" s="19" t="str">
        <f t="shared" si="549"/>
        <v/>
      </c>
      <c r="KQ772" s="11" t="str">
        <f t="shared" si="550"/>
        <v>2. Sensitive</v>
      </c>
      <c r="KR772" s="11" t="str">
        <f t="shared" si="551"/>
        <v>No marker score</v>
      </c>
      <c r="KS772" s="11" t="str">
        <f t="shared" si="552"/>
        <v>No marker score</v>
      </c>
      <c r="KT772" s="11" t="str">
        <f t="shared" si="553"/>
        <v>It did not develop any specific innovation</v>
      </c>
      <c r="KU772" s="11" t="str">
        <f t="shared" si="554"/>
        <v>Little or no advocacy</v>
      </c>
      <c r="KV772" s="11" t="str">
        <f t="shared" si="555"/>
        <v>It did not take tested solutions to scale</v>
      </c>
      <c r="KW772" s="11" t="str">
        <f t="shared" si="556"/>
        <v>Syria - WASH Support to confict Affected Communities</v>
      </c>
      <c r="KX772" s="11" t="str">
        <f t="shared" si="557"/>
        <v>WASH Support to confict Affected Communities</v>
      </c>
      <c r="KY772" s="11" t="str">
        <f t="shared" si="558"/>
        <v>Syria</v>
      </c>
      <c r="KZ772" s="12">
        <v>773</v>
      </c>
    </row>
    <row r="773" spans="1:312" x14ac:dyDescent="0.3">
      <c r="A773" s="12" t="s">
        <v>11693</v>
      </c>
      <c r="B773" s="12" t="s">
        <v>602</v>
      </c>
      <c r="C773" s="12"/>
      <c r="D773" s="12" t="s">
        <v>11832</v>
      </c>
      <c r="E773" s="24" t="str">
        <f t="shared" si="516"/>
        <v>Syria</v>
      </c>
      <c r="F773" s="12" t="s">
        <v>11061</v>
      </c>
      <c r="G773" s="12" t="s">
        <v>467</v>
      </c>
      <c r="H773" s="12" t="s">
        <v>310</v>
      </c>
      <c r="I773" s="12" t="s">
        <v>468</v>
      </c>
      <c r="J773" s="281"/>
      <c r="K773" s="12"/>
      <c r="L773" s="12"/>
      <c r="M773" s="12"/>
      <c r="N773" s="12"/>
      <c r="O773" s="12"/>
      <c r="P773" s="12"/>
      <c r="Q773" s="12"/>
      <c r="R773" s="12"/>
      <c r="S773" s="12"/>
      <c r="T773" s="12"/>
      <c r="U773" s="12"/>
      <c r="V773" s="12"/>
      <c r="W773" s="12"/>
      <c r="X773" s="12"/>
      <c r="Y773" s="12"/>
      <c r="Z773" s="12"/>
      <c r="AA773" s="12"/>
      <c r="AB773" s="12"/>
      <c r="AC773" s="12"/>
      <c r="AD773" s="12"/>
      <c r="BD773" s="13">
        <v>42614</v>
      </c>
      <c r="BE773" s="13">
        <v>43769</v>
      </c>
      <c r="BF773" s="12"/>
      <c r="BG773" s="12" t="s">
        <v>312</v>
      </c>
      <c r="BH773" s="14">
        <v>569202</v>
      </c>
      <c r="BI773" s="12" t="s">
        <v>11833</v>
      </c>
      <c r="BJ773" s="12" t="s">
        <v>11834</v>
      </c>
      <c r="BK773" s="12" t="s">
        <v>11835</v>
      </c>
      <c r="BL773" s="12" t="s">
        <v>11836</v>
      </c>
      <c r="BM773" s="12" t="s">
        <v>11837</v>
      </c>
      <c r="BN773" s="12" t="s">
        <v>11838</v>
      </c>
      <c r="BO773" s="12" t="s">
        <v>320</v>
      </c>
      <c r="BP773" s="12" t="s">
        <v>319</v>
      </c>
      <c r="BQ773" s="12" t="s">
        <v>319</v>
      </c>
      <c r="BR773" s="12" t="s">
        <v>11839</v>
      </c>
      <c r="BS773" s="12" t="s">
        <v>357</v>
      </c>
      <c r="BT773" s="12" t="s">
        <v>11840</v>
      </c>
      <c r="BU773" s="12" t="s">
        <v>11841</v>
      </c>
      <c r="BV773" s="14">
        <v>120</v>
      </c>
      <c r="BW773" s="14">
        <v>260</v>
      </c>
      <c r="BX773" s="14">
        <v>380</v>
      </c>
      <c r="BY773" s="14">
        <v>600</v>
      </c>
      <c r="BZ773" s="14">
        <v>1300</v>
      </c>
      <c r="CA773" s="14">
        <v>1900</v>
      </c>
      <c r="CB773" s="12" t="s">
        <v>11842</v>
      </c>
      <c r="CD773" s="14">
        <v>0</v>
      </c>
      <c r="CE773" s="14">
        <v>0</v>
      </c>
      <c r="CF773" s="14">
        <v>380</v>
      </c>
      <c r="CG773" s="14"/>
      <c r="CH773" s="14"/>
      <c r="CI773" s="14">
        <v>1900</v>
      </c>
      <c r="CJ773" s="12"/>
      <c r="CK773" s="14"/>
      <c r="CL773" s="16"/>
      <c r="CM773" s="14"/>
      <c r="CN773" s="12" t="s">
        <v>320</v>
      </c>
      <c r="CO773" s="14"/>
      <c r="CP773" s="16"/>
      <c r="CQ773" s="14"/>
      <c r="CR773" s="12"/>
      <c r="CS773" s="14"/>
      <c r="CT773" s="16"/>
      <c r="CU773" s="14"/>
      <c r="CV773" s="12"/>
      <c r="CW773" s="14"/>
      <c r="CX773" s="16"/>
      <c r="CY773" s="14"/>
      <c r="CZ773" s="12"/>
      <c r="DA773" s="14"/>
      <c r="DB773" s="16"/>
      <c r="DC773" s="14"/>
      <c r="DD773" s="12"/>
      <c r="DE773" s="14"/>
      <c r="DF773" s="16"/>
      <c r="DG773" s="14"/>
      <c r="DH773" s="12"/>
      <c r="DI773" s="14"/>
      <c r="DJ773" s="16"/>
      <c r="DK773" s="14"/>
      <c r="DL773" s="12" t="s">
        <v>320</v>
      </c>
      <c r="DM773" s="14"/>
      <c r="DN773" s="16"/>
      <c r="DO773" s="14"/>
      <c r="DP773" s="12"/>
      <c r="DQ773" s="14"/>
      <c r="DR773" s="16"/>
      <c r="DS773" s="14"/>
      <c r="DT773" s="12"/>
      <c r="DU773" s="14"/>
      <c r="DV773" s="16"/>
      <c r="DW773" s="14"/>
      <c r="DX773" s="12"/>
      <c r="DY773" s="14"/>
      <c r="DZ773" s="16"/>
      <c r="EA773" s="14"/>
      <c r="EB773" s="12"/>
      <c r="EC773" s="14"/>
      <c r="ED773" s="16"/>
      <c r="EE773" s="14"/>
      <c r="EF773" s="12"/>
      <c r="EG773" s="12"/>
      <c r="EH773" s="14"/>
      <c r="EI773" s="16"/>
      <c r="EJ773" s="14"/>
      <c r="EK773" s="14"/>
      <c r="EL773" s="14"/>
      <c r="EM773" s="14"/>
      <c r="EN773" s="14"/>
      <c r="EO773" s="14"/>
      <c r="EP773" s="14"/>
      <c r="EQ773" s="12"/>
      <c r="ER773" s="14"/>
      <c r="ES773" s="16"/>
      <c r="ET773" s="14"/>
      <c r="EU773" s="12"/>
      <c r="EV773" s="14"/>
      <c r="EW773" s="16"/>
      <c r="EX773" s="14"/>
      <c r="EY773" s="12"/>
      <c r="EZ773" s="14"/>
      <c r="FA773" s="16"/>
      <c r="FB773" s="14"/>
      <c r="FC773" s="12"/>
      <c r="FD773" s="14"/>
      <c r="FE773" s="16"/>
      <c r="FF773" s="14"/>
      <c r="FG773" s="12"/>
      <c r="FH773" s="14"/>
      <c r="FI773" s="16"/>
      <c r="FJ773" s="14"/>
      <c r="FK773" s="12"/>
      <c r="FL773" s="14"/>
      <c r="FM773" s="16"/>
      <c r="FN773" s="14"/>
      <c r="FO773" s="12"/>
      <c r="FP773" s="14"/>
      <c r="FQ773" s="16"/>
      <c r="FR773" s="14"/>
      <c r="FS773" s="12"/>
      <c r="FT773" s="14"/>
      <c r="FU773" s="16"/>
      <c r="FV773" s="14"/>
      <c r="FW773" s="12"/>
      <c r="FX773" s="14"/>
      <c r="FY773" s="16"/>
      <c r="FZ773" s="14"/>
      <c r="GA773" s="12"/>
      <c r="GB773" s="14"/>
      <c r="GC773" s="16"/>
      <c r="GD773" s="14"/>
      <c r="GE773" s="12"/>
      <c r="GF773" s="14"/>
      <c r="GG773" s="16"/>
      <c r="GH773" s="14"/>
      <c r="GI773" s="12"/>
      <c r="GJ773" s="14"/>
      <c r="GK773" s="16"/>
      <c r="GL773" s="14"/>
      <c r="GM773" s="12"/>
      <c r="GN773" s="14"/>
      <c r="GO773" s="16"/>
      <c r="GP773" s="14"/>
      <c r="GQ773" s="12"/>
      <c r="GR773" s="14"/>
      <c r="GS773" s="16"/>
      <c r="GT773" s="14"/>
      <c r="GU773" s="12"/>
      <c r="GV773" s="14"/>
      <c r="GW773" s="16"/>
      <c r="GX773" s="14"/>
      <c r="GY773" s="12"/>
      <c r="GZ773" s="14"/>
      <c r="HA773" s="16"/>
      <c r="HB773" s="14"/>
      <c r="HC773" s="12"/>
      <c r="HD773" s="12"/>
      <c r="HE773" s="14"/>
      <c r="HF773" s="16"/>
      <c r="HG773" s="14"/>
      <c r="HH773" s="12" t="s">
        <v>320</v>
      </c>
      <c r="HI773" s="12" t="s">
        <v>619</v>
      </c>
      <c r="HJ773" s="12">
        <v>2017</v>
      </c>
      <c r="HK773" s="12" t="s">
        <v>319</v>
      </c>
      <c r="HL773" s="12"/>
      <c r="HM773" s="12"/>
      <c r="HN773" s="12"/>
      <c r="HO773" s="12"/>
      <c r="HP773" s="12"/>
      <c r="HQ773" s="12"/>
      <c r="HR773" s="12"/>
      <c r="HS773" s="12"/>
      <c r="HT773" s="12"/>
      <c r="HU773" s="12"/>
      <c r="HV773" s="12"/>
      <c r="HW773" s="12"/>
      <c r="HX773" s="12"/>
      <c r="HY773" s="12"/>
      <c r="HZ773" s="12"/>
      <c r="IA773" s="12"/>
      <c r="IB773" s="12"/>
      <c r="IC773" s="12"/>
      <c r="ID773" s="12"/>
      <c r="IE773" s="12" t="s">
        <v>335</v>
      </c>
      <c r="IF773" s="12" t="s">
        <v>320</v>
      </c>
      <c r="IG773" s="12" t="s">
        <v>320</v>
      </c>
      <c r="IH773" s="12" t="s">
        <v>320</v>
      </c>
      <c r="II773" s="12" t="s">
        <v>320</v>
      </c>
      <c r="IJ773" s="12" t="str">
        <f t="shared" si="517"/>
        <v>2. Sensitive</v>
      </c>
      <c r="IK773" s="12">
        <f t="shared" si="518"/>
        <v>4</v>
      </c>
      <c r="IL773" s="12" t="s">
        <v>336</v>
      </c>
      <c r="IM773" s="12" t="s">
        <v>320</v>
      </c>
      <c r="IN773" s="12" t="s">
        <v>320</v>
      </c>
      <c r="IO773" s="12" t="s">
        <v>320</v>
      </c>
      <c r="IP773" s="12" t="s">
        <v>320</v>
      </c>
      <c r="IQ773" s="12" t="str">
        <f t="shared" si="519"/>
        <v>2. Accommodating</v>
      </c>
      <c r="IR773" s="12">
        <f t="shared" si="520"/>
        <v>4</v>
      </c>
      <c r="IS773" s="12" t="s">
        <v>622</v>
      </c>
      <c r="IT773" s="12" t="s">
        <v>320</v>
      </c>
      <c r="IU773" s="12" t="s">
        <v>320</v>
      </c>
      <c r="IV773" s="12" t="s">
        <v>320</v>
      </c>
      <c r="IW773" s="11" t="str">
        <f t="shared" si="521"/>
        <v>4. Transformative</v>
      </c>
      <c r="IX773" s="12">
        <f t="shared" si="522"/>
        <v>3</v>
      </c>
      <c r="IY773" s="12" t="s">
        <v>419</v>
      </c>
      <c r="IZ773" s="12" t="s">
        <v>457</v>
      </c>
      <c r="JA773" s="12">
        <v>3</v>
      </c>
      <c r="JB773" s="12" t="s">
        <v>724</v>
      </c>
      <c r="JC773" s="12" t="s">
        <v>433</v>
      </c>
      <c r="JD773" s="12" t="s">
        <v>433</v>
      </c>
      <c r="JE773" s="12" t="s">
        <v>340</v>
      </c>
      <c r="JF773" s="12" t="s">
        <v>11843</v>
      </c>
      <c r="JG773" s="12" t="s">
        <v>11844</v>
      </c>
      <c r="JH773" s="12"/>
      <c r="JI773" s="12"/>
      <c r="JJ773" s="12"/>
      <c r="JK773" s="12"/>
      <c r="JL773" s="12"/>
      <c r="JM773" s="12"/>
      <c r="JN773" s="12"/>
      <c r="JO773" s="12"/>
      <c r="JP773" s="15">
        <f t="shared" si="523"/>
        <v>380</v>
      </c>
      <c r="JQ773" s="15">
        <f t="shared" si="524"/>
        <v>1900</v>
      </c>
      <c r="JR773" s="279">
        <f t="shared" si="525"/>
        <v>5</v>
      </c>
      <c r="JS773" s="17">
        <f t="shared" si="526"/>
        <v>0</v>
      </c>
      <c r="JT773" s="18">
        <f t="shared" si="527"/>
        <v>0</v>
      </c>
      <c r="JU773" s="280">
        <f t="shared" si="528"/>
        <v>0</v>
      </c>
      <c r="JV773" s="280">
        <f t="shared" si="529"/>
        <v>0</v>
      </c>
      <c r="JW773" s="319">
        <f t="shared" si="530"/>
        <v>1</v>
      </c>
      <c r="JX773" s="15">
        <f t="shared" si="531"/>
        <v>380</v>
      </c>
      <c r="JY773" s="15">
        <f t="shared" si="532"/>
        <v>1900</v>
      </c>
      <c r="JZ773" s="19">
        <f t="shared" si="533"/>
        <v>5</v>
      </c>
      <c r="KA773" s="52">
        <f t="shared" si="534"/>
        <v>1</v>
      </c>
      <c r="KB773" s="15">
        <f t="shared" si="535"/>
        <v>0</v>
      </c>
      <c r="KC773" s="15">
        <f t="shared" si="536"/>
        <v>0</v>
      </c>
      <c r="KD773" s="20" t="str">
        <f t="shared" si="537"/>
        <v/>
      </c>
      <c r="KE773" s="52" t="str">
        <f t="shared" si="538"/>
        <v/>
      </c>
      <c r="KF773" s="15">
        <f t="shared" si="539"/>
        <v>0</v>
      </c>
      <c r="KG773" s="15">
        <f t="shared" si="540"/>
        <v>0</v>
      </c>
      <c r="KH773" s="21" t="str">
        <f t="shared" si="541"/>
        <v/>
      </c>
      <c r="KI773" s="52" t="str">
        <f t="shared" si="542"/>
        <v/>
      </c>
      <c r="KJ773" s="15">
        <f t="shared" si="543"/>
        <v>0</v>
      </c>
      <c r="KK773" s="15">
        <f t="shared" si="544"/>
        <v>0</v>
      </c>
      <c r="KL773" s="19" t="str">
        <f t="shared" si="545"/>
        <v/>
      </c>
      <c r="KM773" s="52" t="str">
        <f t="shared" si="546"/>
        <v/>
      </c>
      <c r="KN773" s="22">
        <f t="shared" si="547"/>
        <v>0</v>
      </c>
      <c r="KO773" s="22">
        <f t="shared" si="548"/>
        <v>0</v>
      </c>
      <c r="KP773" s="19" t="str">
        <f t="shared" si="549"/>
        <v/>
      </c>
      <c r="KQ773" s="11" t="str">
        <f t="shared" si="550"/>
        <v>2. Sensitive</v>
      </c>
      <c r="KR773" s="11" t="str">
        <f t="shared" si="551"/>
        <v>2. Accommodating</v>
      </c>
      <c r="KS773" s="11" t="str">
        <f t="shared" si="552"/>
        <v>4. Transformative</v>
      </c>
      <c r="KT773" s="11">
        <f t="shared" si="553"/>
        <v>0</v>
      </c>
      <c r="KU773" s="11">
        <f t="shared" si="554"/>
        <v>0</v>
      </c>
      <c r="KV773" s="11">
        <f t="shared" si="555"/>
        <v>0</v>
      </c>
      <c r="KW773" s="11" t="str">
        <f t="shared" si="556"/>
        <v>Syria - Whole of Syria Consortium</v>
      </c>
      <c r="KX773" s="11" t="str">
        <f t="shared" si="557"/>
        <v>Whole of Syria Consortium</v>
      </c>
      <c r="KY773" s="11" t="str">
        <f t="shared" si="558"/>
        <v>Syria</v>
      </c>
      <c r="KZ773" s="12">
        <v>774</v>
      </c>
    </row>
    <row r="774" spans="1:312" x14ac:dyDescent="0.3">
      <c r="A774" s="12" t="s">
        <v>11693</v>
      </c>
      <c r="B774" s="12" t="s">
        <v>602</v>
      </c>
      <c r="C774" s="12"/>
      <c r="D774" s="12" t="s">
        <v>11832</v>
      </c>
      <c r="E774" s="277" t="str">
        <f t="shared" si="516"/>
        <v>Syria</v>
      </c>
      <c r="F774" s="12" t="s">
        <v>11935</v>
      </c>
      <c r="G774" s="12" t="s">
        <v>488</v>
      </c>
      <c r="H774" s="12" t="s">
        <v>310</v>
      </c>
      <c r="I774" s="12" t="s">
        <v>517</v>
      </c>
      <c r="J774" s="281" t="s">
        <v>14746</v>
      </c>
      <c r="K774" s="12"/>
      <c r="L774" s="12"/>
      <c r="M774" s="12"/>
      <c r="N774" s="12"/>
      <c r="O774" s="12"/>
      <c r="P774" s="12"/>
      <c r="Q774" s="12"/>
      <c r="R774" s="12"/>
      <c r="S774" s="12"/>
      <c r="T774" s="12"/>
      <c r="U774" s="12"/>
      <c r="V774" s="12"/>
      <c r="W774" s="12"/>
      <c r="X774" s="12"/>
      <c r="Y774" s="12"/>
      <c r="Z774" s="12"/>
      <c r="AA774" s="12"/>
      <c r="AB774" s="12"/>
      <c r="AC774" s="12"/>
      <c r="AD774" s="12"/>
      <c r="BD774" s="13">
        <v>42370</v>
      </c>
      <c r="BE774" s="13">
        <v>43281</v>
      </c>
      <c r="BF774" s="12"/>
      <c r="BG774" s="12" t="s">
        <v>312</v>
      </c>
      <c r="BH774" s="14">
        <v>1526986.85</v>
      </c>
      <c r="BI774" s="12" t="s">
        <v>11833</v>
      </c>
      <c r="BJ774" s="12" t="s">
        <v>11834</v>
      </c>
      <c r="BK774" s="12" t="s">
        <v>11835</v>
      </c>
      <c r="BL774" s="12" t="s">
        <v>11836</v>
      </c>
      <c r="BM774" s="12" t="s">
        <v>11837</v>
      </c>
      <c r="BN774" s="12" t="s">
        <v>11838</v>
      </c>
      <c r="BO774" s="12" t="s">
        <v>320</v>
      </c>
      <c r="BP774" s="12" t="s">
        <v>320</v>
      </c>
      <c r="BQ774" s="12" t="s">
        <v>320</v>
      </c>
      <c r="BR774" s="12" t="s">
        <v>11936</v>
      </c>
      <c r="BS774" s="12" t="s">
        <v>357</v>
      </c>
      <c r="BT774" s="12" t="s">
        <v>11840</v>
      </c>
      <c r="BU774" s="12" t="s">
        <v>11841</v>
      </c>
      <c r="BV774" s="14">
        <v>600</v>
      </c>
      <c r="BW774" s="14">
        <v>1200</v>
      </c>
      <c r="BX774" s="14">
        <v>1800</v>
      </c>
      <c r="BY774" s="14">
        <v>3000</v>
      </c>
      <c r="BZ774" s="14">
        <v>6000</v>
      </c>
      <c r="CA774" s="14">
        <v>9000</v>
      </c>
      <c r="CB774" s="12" t="s">
        <v>11842</v>
      </c>
      <c r="CD774" s="14"/>
      <c r="CE774" s="14"/>
      <c r="CF774" s="14"/>
      <c r="CG774" s="14"/>
      <c r="CH774" s="14"/>
      <c r="CI774" s="14"/>
      <c r="CJ774" s="12"/>
      <c r="CK774" s="14"/>
      <c r="CL774" s="16"/>
      <c r="CM774" s="14"/>
      <c r="CN774" s="12" t="s">
        <v>320</v>
      </c>
      <c r="CO774" s="14"/>
      <c r="CP774" s="16"/>
      <c r="CQ774" s="14"/>
      <c r="CR774" s="12"/>
      <c r="CS774" s="14"/>
      <c r="CT774" s="16"/>
      <c r="CU774" s="14"/>
      <c r="CV774" s="12"/>
      <c r="CW774" s="14"/>
      <c r="CX774" s="16"/>
      <c r="CY774" s="14"/>
      <c r="CZ774" s="12"/>
      <c r="DA774" s="14"/>
      <c r="DB774" s="16"/>
      <c r="DC774" s="14"/>
      <c r="DD774" s="12"/>
      <c r="DE774" s="14"/>
      <c r="DF774" s="16"/>
      <c r="DG774" s="14"/>
      <c r="DH774" s="12"/>
      <c r="DI774" s="14"/>
      <c r="DJ774" s="16"/>
      <c r="DK774" s="14"/>
      <c r="DL774" s="12" t="s">
        <v>320</v>
      </c>
      <c r="DM774" s="14"/>
      <c r="DN774" s="16"/>
      <c r="DO774" s="14"/>
      <c r="DP774" s="12"/>
      <c r="DQ774" s="14"/>
      <c r="DR774" s="16"/>
      <c r="DS774" s="14"/>
      <c r="DT774" s="12"/>
      <c r="DU774" s="14"/>
      <c r="DV774" s="16"/>
      <c r="DW774" s="14"/>
      <c r="DX774" s="12"/>
      <c r="DY774" s="14"/>
      <c r="DZ774" s="16"/>
      <c r="EA774" s="14"/>
      <c r="EB774" s="12"/>
      <c r="EC774" s="14"/>
      <c r="ED774" s="16"/>
      <c r="EE774" s="14"/>
      <c r="EF774" s="12"/>
      <c r="EG774" s="12"/>
      <c r="EH774" s="14"/>
      <c r="EI774" s="16"/>
      <c r="EJ774" s="14"/>
      <c r="EK774" s="14">
        <v>0</v>
      </c>
      <c r="EL774" s="14">
        <v>0</v>
      </c>
      <c r="EM774" s="14">
        <v>0</v>
      </c>
      <c r="EN774" s="14">
        <v>0</v>
      </c>
      <c r="EO774" s="14">
        <v>0</v>
      </c>
      <c r="EP774" s="14">
        <v>0</v>
      </c>
      <c r="EQ774" s="12" t="s">
        <v>320</v>
      </c>
      <c r="ER774" s="14"/>
      <c r="ES774" s="16"/>
      <c r="ET774" s="14"/>
      <c r="EU774" s="11" t="s">
        <v>319</v>
      </c>
      <c r="EV774" s="14"/>
      <c r="EW774" s="16"/>
      <c r="EX774" s="14"/>
      <c r="EY774" s="12"/>
      <c r="EZ774" s="14"/>
      <c r="FA774" s="16"/>
      <c r="FB774" s="14"/>
      <c r="FC774" s="12"/>
      <c r="FD774" s="14"/>
      <c r="FE774" s="16"/>
      <c r="FF774" s="14"/>
      <c r="FG774" s="12" t="s">
        <v>320</v>
      </c>
      <c r="FH774" s="14"/>
      <c r="FI774" s="16"/>
      <c r="FJ774" s="14"/>
      <c r="FK774" s="12"/>
      <c r="FL774" s="14"/>
      <c r="FM774" s="16"/>
      <c r="FN774" s="14"/>
      <c r="FO774" s="12" t="s">
        <v>320</v>
      </c>
      <c r="FP774" s="14"/>
      <c r="FQ774" s="16"/>
      <c r="FR774" s="14"/>
      <c r="FS774" s="12"/>
      <c r="FT774" s="14"/>
      <c r="FU774" s="16"/>
      <c r="FV774" s="14"/>
      <c r="FW774" s="12" t="s">
        <v>320</v>
      </c>
      <c r="FX774" s="14"/>
      <c r="FY774" s="16"/>
      <c r="FZ774" s="14"/>
      <c r="GA774" s="12"/>
      <c r="GB774" s="14"/>
      <c r="GC774" s="16"/>
      <c r="GD774" s="14"/>
      <c r="GE774" s="12"/>
      <c r="GF774" s="14"/>
      <c r="GG774" s="16"/>
      <c r="GH774" s="14"/>
      <c r="GI774" s="12" t="s">
        <v>320</v>
      </c>
      <c r="GJ774" s="14"/>
      <c r="GK774" s="16"/>
      <c r="GL774" s="14"/>
      <c r="GM774" s="12" t="s">
        <v>320</v>
      </c>
      <c r="GN774" s="14"/>
      <c r="GO774" s="16"/>
      <c r="GP774" s="14"/>
      <c r="GQ774" s="12"/>
      <c r="GR774" s="14"/>
      <c r="GS774" s="16"/>
      <c r="GT774" s="14"/>
      <c r="GU774" s="12"/>
      <c r="GV774" s="14"/>
      <c r="GW774" s="16"/>
      <c r="GX774" s="14"/>
      <c r="GY774" s="12" t="s">
        <v>320</v>
      </c>
      <c r="GZ774" s="14"/>
      <c r="HA774" s="16"/>
      <c r="HB774" s="14"/>
      <c r="HC774" s="12"/>
      <c r="HD774" s="12"/>
      <c r="HE774" s="14"/>
      <c r="HF774" s="16"/>
      <c r="HG774" s="14"/>
      <c r="HH774" s="12" t="s">
        <v>320</v>
      </c>
      <c r="HI774" s="12" t="s">
        <v>415</v>
      </c>
      <c r="HJ774" s="12">
        <v>2017</v>
      </c>
      <c r="HK774" s="12" t="s">
        <v>319</v>
      </c>
      <c r="HL774" s="12"/>
      <c r="HM774" s="12"/>
      <c r="HN774" s="12"/>
      <c r="HO774" s="12"/>
      <c r="HP774" s="12"/>
      <c r="HQ774" s="12"/>
      <c r="HR774" s="12"/>
      <c r="HS774" s="12"/>
      <c r="HT774" s="12"/>
      <c r="HU774" s="12"/>
      <c r="HV774" s="12"/>
      <c r="HW774" s="12"/>
      <c r="HX774" s="12"/>
      <c r="HY774" s="12"/>
      <c r="HZ774" s="12"/>
      <c r="IA774" s="12"/>
      <c r="IB774" s="12"/>
      <c r="IC774" s="12"/>
      <c r="ID774" s="12"/>
      <c r="IE774" s="12" t="s">
        <v>335</v>
      </c>
      <c r="IF774" s="12" t="s">
        <v>320</v>
      </c>
      <c r="IG774" s="12" t="s">
        <v>320</v>
      </c>
      <c r="IH774" s="12" t="s">
        <v>320</v>
      </c>
      <c r="II774" s="12" t="s">
        <v>320</v>
      </c>
      <c r="IJ774" s="12" t="str">
        <f t="shared" si="517"/>
        <v>2. Sensitive</v>
      </c>
      <c r="IK774" s="12">
        <f t="shared" si="518"/>
        <v>4</v>
      </c>
      <c r="IL774" s="12" t="s">
        <v>336</v>
      </c>
      <c r="IM774" s="12" t="s">
        <v>320</v>
      </c>
      <c r="IN774" s="12" t="s">
        <v>320</v>
      </c>
      <c r="IO774" s="12" t="s">
        <v>320</v>
      </c>
      <c r="IP774" s="12" t="s">
        <v>320</v>
      </c>
      <c r="IQ774" s="12" t="str">
        <f t="shared" si="519"/>
        <v>2. Accommodating</v>
      </c>
      <c r="IR774" s="12">
        <f t="shared" si="520"/>
        <v>4</v>
      </c>
      <c r="IS774" s="12" t="s">
        <v>622</v>
      </c>
      <c r="IT774" s="12" t="s">
        <v>320</v>
      </c>
      <c r="IU774" s="12" t="s">
        <v>320</v>
      </c>
      <c r="IV774" s="12" t="s">
        <v>320</v>
      </c>
      <c r="IW774" s="11" t="str">
        <f t="shared" si="521"/>
        <v>4. Transformative</v>
      </c>
      <c r="IX774" s="12">
        <f t="shared" si="522"/>
        <v>3</v>
      </c>
      <c r="IY774" s="12" t="s">
        <v>419</v>
      </c>
      <c r="IZ774" s="12" t="s">
        <v>457</v>
      </c>
      <c r="JA774" s="12">
        <v>3</v>
      </c>
      <c r="JB774" s="12" t="s">
        <v>724</v>
      </c>
      <c r="JC774" s="12" t="s">
        <v>433</v>
      </c>
      <c r="JD774" s="12" t="s">
        <v>433</v>
      </c>
      <c r="JE774" s="12" t="s">
        <v>340</v>
      </c>
      <c r="JF774" s="12" t="s">
        <v>11843</v>
      </c>
      <c r="JG774" s="12" t="s">
        <v>11844</v>
      </c>
      <c r="JH774" s="12"/>
      <c r="JI774" s="12"/>
      <c r="JJ774" s="12"/>
      <c r="JK774" s="12"/>
      <c r="JL774" s="12"/>
      <c r="JM774" s="12"/>
      <c r="JN774" s="12"/>
      <c r="JO774" s="12"/>
      <c r="JP774" s="15">
        <f t="shared" si="523"/>
        <v>0</v>
      </c>
      <c r="JQ774" s="15">
        <f t="shared" si="524"/>
        <v>0</v>
      </c>
      <c r="JR774" s="279" t="str">
        <f t="shared" si="525"/>
        <v/>
      </c>
      <c r="JS774" s="17" t="str">
        <f t="shared" si="526"/>
        <v/>
      </c>
      <c r="JT774" s="18" t="str">
        <f t="shared" si="527"/>
        <v/>
      </c>
      <c r="JU774" s="280">
        <f t="shared" si="528"/>
        <v>0</v>
      </c>
      <c r="JV774" s="280">
        <f t="shared" si="529"/>
        <v>0</v>
      </c>
      <c r="JW774" s="319">
        <f t="shared" si="530"/>
        <v>1</v>
      </c>
      <c r="JX774" s="15">
        <f t="shared" si="531"/>
        <v>0</v>
      </c>
      <c r="JY774" s="15">
        <f t="shared" si="532"/>
        <v>0</v>
      </c>
      <c r="JZ774" s="19" t="str">
        <f t="shared" si="533"/>
        <v/>
      </c>
      <c r="KA774" s="52">
        <f t="shared" si="534"/>
        <v>1</v>
      </c>
      <c r="KB774" s="15">
        <f t="shared" si="535"/>
        <v>0</v>
      </c>
      <c r="KC774" s="15">
        <f t="shared" si="536"/>
        <v>0</v>
      </c>
      <c r="KD774" s="20" t="str">
        <f t="shared" si="537"/>
        <v/>
      </c>
      <c r="KE774" s="52" t="str">
        <f t="shared" si="538"/>
        <v/>
      </c>
      <c r="KF774" s="15">
        <f t="shared" si="539"/>
        <v>0</v>
      </c>
      <c r="KG774" s="15">
        <f t="shared" si="540"/>
        <v>0</v>
      </c>
      <c r="KH774" s="21" t="str">
        <f t="shared" si="541"/>
        <v/>
      </c>
      <c r="KI774" s="52" t="str">
        <f t="shared" si="542"/>
        <v/>
      </c>
      <c r="KJ774" s="15">
        <f t="shared" si="543"/>
        <v>0</v>
      </c>
      <c r="KK774" s="15">
        <f t="shared" si="544"/>
        <v>0</v>
      </c>
      <c r="KL774" s="19" t="str">
        <f t="shared" si="545"/>
        <v/>
      </c>
      <c r="KM774" s="52">
        <f t="shared" si="546"/>
        <v>1</v>
      </c>
      <c r="KN774" s="22">
        <f t="shared" si="547"/>
        <v>0</v>
      </c>
      <c r="KO774" s="22">
        <f t="shared" si="548"/>
        <v>0</v>
      </c>
      <c r="KP774" s="19" t="str">
        <f t="shared" si="549"/>
        <v/>
      </c>
      <c r="KQ774" s="11" t="str">
        <f t="shared" si="550"/>
        <v>2. Sensitive</v>
      </c>
      <c r="KR774" s="11" t="str">
        <f t="shared" si="551"/>
        <v>2. Accommodating</v>
      </c>
      <c r="KS774" s="11" t="str">
        <f t="shared" si="552"/>
        <v>4. Transformative</v>
      </c>
      <c r="KT774" s="11">
        <f t="shared" si="553"/>
        <v>0</v>
      </c>
      <c r="KU774" s="11">
        <f t="shared" si="554"/>
        <v>0</v>
      </c>
      <c r="KV774" s="11">
        <f t="shared" si="555"/>
        <v>0</v>
      </c>
      <c r="KW774" s="11" t="str">
        <f t="shared" si="556"/>
        <v>Syria - Whole of Syria Consortium</v>
      </c>
      <c r="KX774" s="11" t="str">
        <f t="shared" si="557"/>
        <v>Whole of Syria Consortium</v>
      </c>
      <c r="KY774" s="11" t="str">
        <f t="shared" si="558"/>
        <v>Syria</v>
      </c>
      <c r="KZ774" s="12">
        <v>775</v>
      </c>
    </row>
    <row r="775" spans="1:312" x14ac:dyDescent="0.3">
      <c r="A775" s="12" t="s">
        <v>12090</v>
      </c>
      <c r="B775" s="12" t="s">
        <v>7217</v>
      </c>
      <c r="C775" s="12"/>
      <c r="D775" s="12" t="s">
        <v>12265</v>
      </c>
      <c r="E775" s="277" t="str">
        <f t="shared" si="516"/>
        <v>Tanzania</v>
      </c>
      <c r="F775" s="12"/>
      <c r="G775" s="12" t="s">
        <v>608</v>
      </c>
      <c r="H775" s="12" t="s">
        <v>384</v>
      </c>
      <c r="I775" s="12" t="s">
        <v>384</v>
      </c>
      <c r="J775" s="281" t="s">
        <v>14747</v>
      </c>
      <c r="K775" s="12"/>
      <c r="L775" s="12"/>
      <c r="M775" s="12"/>
      <c r="N775" s="12"/>
      <c r="O775" s="12"/>
      <c r="P775" s="12"/>
      <c r="Q775" s="12"/>
      <c r="R775" s="12"/>
      <c r="S775" s="12"/>
      <c r="T775" s="12"/>
      <c r="U775" s="12"/>
      <c r="V775" s="12"/>
      <c r="W775" s="12"/>
      <c r="X775" s="12"/>
      <c r="Y775" s="12"/>
      <c r="Z775" s="12"/>
      <c r="AA775" s="12"/>
      <c r="AB775" s="12"/>
      <c r="AC775" s="12"/>
      <c r="AD775" s="12"/>
      <c r="BD775" s="13">
        <v>42795</v>
      </c>
      <c r="BE775" s="13">
        <v>43555</v>
      </c>
      <c r="BF775" s="12"/>
      <c r="BG775" s="12" t="s">
        <v>350</v>
      </c>
      <c r="BH775" s="14">
        <v>2031562.62</v>
      </c>
      <c r="BI775" s="12" t="s">
        <v>12208</v>
      </c>
      <c r="BJ775" s="12" t="s">
        <v>8849</v>
      </c>
      <c r="BK775" s="12" t="s">
        <v>12209</v>
      </c>
      <c r="BL775" s="12" t="s">
        <v>12167</v>
      </c>
      <c r="BM775" s="12" t="s">
        <v>12266</v>
      </c>
      <c r="BN775" s="12" t="s">
        <v>12267</v>
      </c>
      <c r="BO775" s="12" t="s">
        <v>319</v>
      </c>
      <c r="BP775" s="12" t="s">
        <v>320</v>
      </c>
      <c r="BQ775" s="12" t="s">
        <v>319</v>
      </c>
      <c r="BR775" s="12" t="s">
        <v>12268</v>
      </c>
      <c r="BS775" s="12" t="s">
        <v>357</v>
      </c>
      <c r="BT775" s="12" t="s">
        <v>12269</v>
      </c>
      <c r="BU775" s="12" t="s">
        <v>12270</v>
      </c>
      <c r="BV775" s="14">
        <v>4800</v>
      </c>
      <c r="BW775" s="14">
        <v>3200</v>
      </c>
      <c r="BX775" s="14">
        <v>8000</v>
      </c>
      <c r="BY775" s="14">
        <v>19200</v>
      </c>
      <c r="BZ775" s="14">
        <v>12800</v>
      </c>
      <c r="CA775" s="14">
        <v>32000</v>
      </c>
      <c r="CB775" s="12" t="s">
        <v>12271</v>
      </c>
      <c r="CD775" s="14"/>
      <c r="CE775" s="14"/>
      <c r="CF775" s="14"/>
      <c r="CG775" s="14"/>
      <c r="CH775" s="14"/>
      <c r="CI775" s="14"/>
      <c r="CJ775" s="12"/>
      <c r="CK775" s="14"/>
      <c r="CL775" s="16"/>
      <c r="CM775" s="14"/>
      <c r="CN775" s="12"/>
      <c r="CO775" s="14"/>
      <c r="CP775" s="16"/>
      <c r="CQ775" s="14"/>
      <c r="CR775" s="12"/>
      <c r="CS775" s="14"/>
      <c r="CT775" s="16"/>
      <c r="CU775" s="14"/>
      <c r="CV775" s="12"/>
      <c r="CW775" s="14"/>
      <c r="CX775" s="16"/>
      <c r="CY775" s="14"/>
      <c r="CZ775" s="12"/>
      <c r="DA775" s="14"/>
      <c r="DB775" s="16"/>
      <c r="DC775" s="14"/>
      <c r="DD775" s="12"/>
      <c r="DE775" s="14"/>
      <c r="DF775" s="16"/>
      <c r="DG775" s="14"/>
      <c r="DH775" s="12"/>
      <c r="DI775" s="14"/>
      <c r="DJ775" s="16"/>
      <c r="DK775" s="14"/>
      <c r="DL775" s="12"/>
      <c r="DM775" s="14"/>
      <c r="DN775" s="16"/>
      <c r="DO775" s="14"/>
      <c r="DP775" s="12"/>
      <c r="DQ775" s="14"/>
      <c r="DR775" s="16"/>
      <c r="DS775" s="14"/>
      <c r="DT775" s="12"/>
      <c r="DU775" s="14"/>
      <c r="DV775" s="16"/>
      <c r="DW775" s="14"/>
      <c r="DX775" s="12"/>
      <c r="DY775" s="14"/>
      <c r="DZ775" s="16"/>
      <c r="EA775" s="14"/>
      <c r="EB775" s="12"/>
      <c r="EC775" s="14"/>
      <c r="ED775" s="16"/>
      <c r="EE775" s="14"/>
      <c r="EF775" s="12"/>
      <c r="EG775" s="12"/>
      <c r="EH775" s="14"/>
      <c r="EI775" s="16"/>
      <c r="EJ775" s="14"/>
      <c r="EK775" s="14"/>
      <c r="EL775" s="14"/>
      <c r="EM775" s="14"/>
      <c r="EN775" s="14"/>
      <c r="EO775" s="14"/>
      <c r="EP775" s="14"/>
      <c r="EQ775" s="12"/>
      <c r="ER775" s="14"/>
      <c r="ES775" s="16"/>
      <c r="ET775" s="14"/>
      <c r="EU775" s="12"/>
      <c r="EV775" s="14"/>
      <c r="EW775" s="16"/>
      <c r="EX775" s="14"/>
      <c r="EY775" s="12"/>
      <c r="EZ775" s="14"/>
      <c r="FA775" s="16"/>
      <c r="FB775" s="14"/>
      <c r="FC775" s="12"/>
      <c r="FD775" s="14"/>
      <c r="FE775" s="16"/>
      <c r="FF775" s="14"/>
      <c r="FG775" s="12"/>
      <c r="FH775" s="14"/>
      <c r="FI775" s="16"/>
      <c r="FJ775" s="14"/>
      <c r="FK775" s="12"/>
      <c r="FL775" s="14"/>
      <c r="FM775" s="16"/>
      <c r="FN775" s="14"/>
      <c r="FO775" s="12"/>
      <c r="FP775" s="14"/>
      <c r="FQ775" s="16"/>
      <c r="FR775" s="14"/>
      <c r="FS775" s="12"/>
      <c r="FT775" s="14"/>
      <c r="FU775" s="16"/>
      <c r="FV775" s="14"/>
      <c r="FW775" s="12"/>
      <c r="FX775" s="14"/>
      <c r="FY775" s="16"/>
      <c r="FZ775" s="14"/>
      <c r="GA775" s="12"/>
      <c r="GB775" s="14"/>
      <c r="GC775" s="16"/>
      <c r="GD775" s="14"/>
      <c r="GE775" s="12"/>
      <c r="GF775" s="14"/>
      <c r="GG775" s="16"/>
      <c r="GH775" s="14"/>
      <c r="GI775" s="12"/>
      <c r="GJ775" s="14"/>
      <c r="GK775" s="16"/>
      <c r="GL775" s="14"/>
      <c r="GM775" s="12"/>
      <c r="GN775" s="14"/>
      <c r="GO775" s="16"/>
      <c r="GP775" s="14"/>
      <c r="GQ775" s="12"/>
      <c r="GR775" s="14"/>
      <c r="GS775" s="16"/>
      <c r="GT775" s="14"/>
      <c r="GU775" s="12"/>
      <c r="GV775" s="14"/>
      <c r="GW775" s="16"/>
      <c r="GX775" s="14"/>
      <c r="GY775" s="12"/>
      <c r="GZ775" s="14"/>
      <c r="HA775" s="16"/>
      <c r="HB775" s="14"/>
      <c r="HC775" s="12"/>
      <c r="HD775" s="12"/>
      <c r="HE775" s="14"/>
      <c r="HF775" s="16"/>
      <c r="HG775" s="14"/>
      <c r="HH775" s="12"/>
      <c r="HI775" s="12"/>
      <c r="HJ775" s="12"/>
      <c r="HK775" s="12"/>
      <c r="HL775" s="12"/>
      <c r="HM775" s="12"/>
      <c r="HN775" s="12"/>
      <c r="HO775" s="12"/>
      <c r="HP775" s="12"/>
      <c r="HQ775" s="12"/>
      <c r="HR775" s="12"/>
      <c r="HS775" s="12"/>
      <c r="HT775" s="12"/>
      <c r="HU775" s="12"/>
      <c r="HV775" s="12"/>
      <c r="HW775" s="12"/>
      <c r="HX775" s="12"/>
      <c r="HY775" s="12"/>
      <c r="HZ775" s="12"/>
      <c r="IA775" s="12"/>
      <c r="IB775" s="12"/>
      <c r="IC775" s="12"/>
      <c r="ID775" s="12"/>
      <c r="IE775" s="12" t="s">
        <v>478</v>
      </c>
      <c r="IF775" s="12" t="s">
        <v>320</v>
      </c>
      <c r="IG775" s="12" t="s">
        <v>320</v>
      </c>
      <c r="IH775" s="12" t="s">
        <v>320</v>
      </c>
      <c r="II775" s="12" t="s">
        <v>319</v>
      </c>
      <c r="IJ775" s="12" t="str">
        <f t="shared" si="517"/>
        <v>3. Responsive</v>
      </c>
      <c r="IK775" s="12">
        <f t="shared" si="518"/>
        <v>3</v>
      </c>
      <c r="IL775" s="12" t="s">
        <v>336</v>
      </c>
      <c r="IM775" s="12" t="s">
        <v>320</v>
      </c>
      <c r="IN775" s="12" t="s">
        <v>320</v>
      </c>
      <c r="IO775" s="12" t="s">
        <v>320</v>
      </c>
      <c r="IP775" s="12" t="s">
        <v>319</v>
      </c>
      <c r="IQ775" s="12" t="str">
        <f t="shared" si="519"/>
        <v>2. Accommodating</v>
      </c>
      <c r="IR775" s="12">
        <f t="shared" si="520"/>
        <v>3</v>
      </c>
      <c r="IS775" s="12" t="s">
        <v>337</v>
      </c>
      <c r="IT775" s="12" t="s">
        <v>320</v>
      </c>
      <c r="IU775" s="12" t="s">
        <v>320</v>
      </c>
      <c r="IV775" s="12" t="s">
        <v>319</v>
      </c>
      <c r="IW775" s="11" t="str">
        <f t="shared" si="521"/>
        <v>1. Neutral</v>
      </c>
      <c r="IX775" s="12">
        <f t="shared" si="522"/>
        <v>2</v>
      </c>
      <c r="IY775" s="12"/>
      <c r="IZ775" s="12"/>
      <c r="JA775" s="12"/>
      <c r="JB775" s="12"/>
      <c r="JC775" s="12"/>
      <c r="JD775" s="12"/>
      <c r="JE775" s="12"/>
      <c r="JF775" s="12"/>
      <c r="JG775" s="12"/>
      <c r="JH775" s="12"/>
      <c r="JI775" s="12"/>
      <c r="JJ775" s="12"/>
      <c r="JK775" s="12"/>
      <c r="JL775" s="12"/>
      <c r="JM775" s="12"/>
      <c r="JN775" s="12"/>
      <c r="JO775" s="12" t="s">
        <v>12272</v>
      </c>
      <c r="JP775" s="15">
        <f t="shared" si="523"/>
        <v>0</v>
      </c>
      <c r="JQ775" s="15">
        <f t="shared" si="524"/>
        <v>0</v>
      </c>
      <c r="JR775" s="279" t="str">
        <f t="shared" si="525"/>
        <v/>
      </c>
      <c r="JS775" s="17" t="str">
        <f t="shared" si="526"/>
        <v/>
      </c>
      <c r="JT775" s="18" t="str">
        <f t="shared" si="527"/>
        <v/>
      </c>
      <c r="JU775" s="280">
        <f t="shared" si="528"/>
        <v>0</v>
      </c>
      <c r="JV775" s="280">
        <f t="shared" si="529"/>
        <v>0</v>
      </c>
      <c r="JW775" s="319" t="str">
        <f t="shared" si="530"/>
        <v/>
      </c>
      <c r="JX775" s="15">
        <f t="shared" si="531"/>
        <v>0</v>
      </c>
      <c r="JY775" s="15">
        <f t="shared" si="532"/>
        <v>0</v>
      </c>
      <c r="JZ775" s="19" t="str">
        <f t="shared" si="533"/>
        <v/>
      </c>
      <c r="KA775" s="52" t="str">
        <f t="shared" si="534"/>
        <v/>
      </c>
      <c r="KB775" s="15">
        <f t="shared" si="535"/>
        <v>0</v>
      </c>
      <c r="KC775" s="15">
        <f t="shared" si="536"/>
        <v>0</v>
      </c>
      <c r="KD775" s="20" t="str">
        <f t="shared" si="537"/>
        <v/>
      </c>
      <c r="KE775" s="52" t="str">
        <f t="shared" si="538"/>
        <v/>
      </c>
      <c r="KF775" s="15">
        <f t="shared" si="539"/>
        <v>0</v>
      </c>
      <c r="KG775" s="15">
        <f t="shared" si="540"/>
        <v>0</v>
      </c>
      <c r="KH775" s="21" t="str">
        <f t="shared" si="541"/>
        <v/>
      </c>
      <c r="KI775" s="52" t="str">
        <f t="shared" si="542"/>
        <v/>
      </c>
      <c r="KJ775" s="15">
        <f t="shared" si="543"/>
        <v>0</v>
      </c>
      <c r="KK775" s="15">
        <f t="shared" si="544"/>
        <v>0</v>
      </c>
      <c r="KL775" s="19" t="str">
        <f t="shared" si="545"/>
        <v/>
      </c>
      <c r="KM775" s="52" t="str">
        <f t="shared" si="546"/>
        <v/>
      </c>
      <c r="KN775" s="22">
        <f t="shared" si="547"/>
        <v>0</v>
      </c>
      <c r="KO775" s="22">
        <f t="shared" si="548"/>
        <v>0</v>
      </c>
      <c r="KP775" s="19" t="str">
        <f t="shared" si="549"/>
        <v/>
      </c>
      <c r="KQ775" s="11" t="str">
        <f t="shared" si="550"/>
        <v>3. Responsive</v>
      </c>
      <c r="KR775" s="11" t="str">
        <f t="shared" si="551"/>
        <v>2. Accommodating</v>
      </c>
      <c r="KS775" s="11" t="str">
        <f t="shared" si="552"/>
        <v>1. Neutral</v>
      </c>
      <c r="KT775" s="11">
        <f t="shared" si="553"/>
        <v>0</v>
      </c>
      <c r="KU775" s="11">
        <f t="shared" si="554"/>
        <v>0</v>
      </c>
      <c r="KV775" s="11">
        <f t="shared" si="555"/>
        <v>0</v>
      </c>
      <c r="KW775" s="11" t="str">
        <f t="shared" si="556"/>
        <v>Tanzania - ALUTA</v>
      </c>
      <c r="KX775" s="11" t="str">
        <f t="shared" si="557"/>
        <v>ALUTA</v>
      </c>
      <c r="KY775" s="11" t="str">
        <f t="shared" si="558"/>
        <v>Tanzania</v>
      </c>
      <c r="KZ775" s="12">
        <v>776</v>
      </c>
    </row>
    <row r="776" spans="1:312" x14ac:dyDescent="0.3">
      <c r="A776" s="12" t="s">
        <v>12090</v>
      </c>
      <c r="B776" s="12" t="s">
        <v>7217</v>
      </c>
      <c r="C776" s="12">
        <v>3658</v>
      </c>
      <c r="D776" s="12" t="s">
        <v>12108</v>
      </c>
      <c r="E776" s="277" t="str">
        <f t="shared" si="516"/>
        <v>Tanzania</v>
      </c>
      <c r="F776" s="12" t="s">
        <v>12109</v>
      </c>
      <c r="G776" s="12" t="s">
        <v>1853</v>
      </c>
      <c r="H776" s="12" t="s">
        <v>310</v>
      </c>
      <c r="I776" s="12" t="s">
        <v>1854</v>
      </c>
      <c r="J776" s="281" t="s">
        <v>4495</v>
      </c>
      <c r="K776" s="12"/>
      <c r="L776" s="12"/>
      <c r="M776" s="12"/>
      <c r="N776" s="12"/>
      <c r="O776" s="12"/>
      <c r="P776" s="12"/>
      <c r="Q776" s="12"/>
      <c r="R776" s="12"/>
      <c r="S776" s="12"/>
      <c r="T776" s="12"/>
      <c r="U776" s="12"/>
      <c r="V776" s="12"/>
      <c r="W776" s="12"/>
      <c r="X776" s="12"/>
      <c r="Y776" s="12"/>
      <c r="Z776" s="12"/>
      <c r="AA776" s="12"/>
      <c r="AB776" s="12"/>
      <c r="AC776" s="12"/>
      <c r="AD776" s="12"/>
      <c r="BD776" s="13">
        <v>41640</v>
      </c>
      <c r="BE776" s="13">
        <v>43100</v>
      </c>
      <c r="BF776" s="12"/>
      <c r="BG776" s="12" t="s">
        <v>350</v>
      </c>
      <c r="BH776" s="14"/>
      <c r="BI776" s="12" t="s">
        <v>12110</v>
      </c>
      <c r="BJ776" s="12" t="s">
        <v>8849</v>
      </c>
      <c r="BK776" s="12" t="s">
        <v>12111</v>
      </c>
      <c r="BL776" s="12" t="s">
        <v>12112</v>
      </c>
      <c r="BM776" s="12" t="s">
        <v>12113</v>
      </c>
      <c r="BN776" s="12" t="s">
        <v>12114</v>
      </c>
      <c r="BO776" s="12" t="s">
        <v>319</v>
      </c>
      <c r="BP776" s="12" t="s">
        <v>320</v>
      </c>
      <c r="BQ776" s="12" t="s">
        <v>319</v>
      </c>
      <c r="BR776" s="12" t="s">
        <v>12115</v>
      </c>
      <c r="BS776" s="12" t="s">
        <v>357</v>
      </c>
      <c r="BT776" s="12" t="s">
        <v>12116</v>
      </c>
      <c r="BU776" s="12" t="s">
        <v>12117</v>
      </c>
      <c r="BV776" s="14">
        <v>36260</v>
      </c>
      <c r="BW776" s="14">
        <v>37740</v>
      </c>
      <c r="BX776" s="14">
        <v>74000</v>
      </c>
      <c r="BY776" s="14">
        <v>3659464</v>
      </c>
      <c r="BZ776" s="14">
        <v>3515956</v>
      </c>
      <c r="CA776" s="14">
        <v>7175420</v>
      </c>
      <c r="CB776" s="12" t="s">
        <v>12118</v>
      </c>
      <c r="CD776" s="14"/>
      <c r="CE776" s="14"/>
      <c r="CF776" s="14"/>
      <c r="CG776" s="14"/>
      <c r="CH776" s="14"/>
      <c r="CI776" s="14"/>
      <c r="CJ776" s="12"/>
      <c r="CK776" s="14"/>
      <c r="CL776" s="16"/>
      <c r="CM776" s="14"/>
      <c r="CN776" s="12"/>
      <c r="CO776" s="14"/>
      <c r="CP776" s="16"/>
      <c r="CQ776" s="14"/>
      <c r="CR776" s="12"/>
      <c r="CS776" s="14"/>
      <c r="CT776" s="16"/>
      <c r="CU776" s="14"/>
      <c r="CV776" s="12"/>
      <c r="CW776" s="14"/>
      <c r="CX776" s="16"/>
      <c r="CY776" s="14"/>
      <c r="CZ776" s="12"/>
      <c r="DA776" s="14"/>
      <c r="DB776" s="16"/>
      <c r="DC776" s="14"/>
      <c r="DD776" s="12"/>
      <c r="DE776" s="14"/>
      <c r="DF776" s="16"/>
      <c r="DG776" s="14"/>
      <c r="DH776" s="12"/>
      <c r="DI776" s="14"/>
      <c r="DJ776" s="16"/>
      <c r="DK776" s="14"/>
      <c r="DL776" s="12"/>
      <c r="DM776" s="14"/>
      <c r="DN776" s="16"/>
      <c r="DO776" s="14"/>
      <c r="DP776" s="12"/>
      <c r="DQ776" s="14"/>
      <c r="DR776" s="16"/>
      <c r="DS776" s="14"/>
      <c r="DT776" s="12"/>
      <c r="DU776" s="14"/>
      <c r="DV776" s="16"/>
      <c r="DW776" s="14"/>
      <c r="DX776" s="12"/>
      <c r="DY776" s="14"/>
      <c r="DZ776" s="16"/>
      <c r="EA776" s="14"/>
      <c r="EB776" s="12"/>
      <c r="EC776" s="14"/>
      <c r="ED776" s="16"/>
      <c r="EE776" s="14"/>
      <c r="EF776" s="12"/>
      <c r="EG776" s="12"/>
      <c r="EH776" s="14"/>
      <c r="EI776" s="16"/>
      <c r="EJ776" s="14"/>
      <c r="EK776" s="14">
        <v>449</v>
      </c>
      <c r="EL776" s="14">
        <v>515</v>
      </c>
      <c r="EM776" s="14">
        <v>964</v>
      </c>
      <c r="EN776" s="14">
        <v>2411</v>
      </c>
      <c r="EO776" s="14">
        <v>2409</v>
      </c>
      <c r="EP776" s="14">
        <v>4820</v>
      </c>
      <c r="EQ776" s="12" t="s">
        <v>319</v>
      </c>
      <c r="ER776" s="14"/>
      <c r="ES776" s="16"/>
      <c r="ET776" s="14"/>
      <c r="EU776" s="11" t="s">
        <v>319</v>
      </c>
      <c r="EV776" s="14"/>
      <c r="EW776" s="16"/>
      <c r="EX776" s="14"/>
      <c r="EY776" s="12" t="s">
        <v>319</v>
      </c>
      <c r="EZ776" s="14"/>
      <c r="FA776" s="16"/>
      <c r="FB776" s="14"/>
      <c r="FC776" s="12" t="s">
        <v>319</v>
      </c>
      <c r="FD776" s="14"/>
      <c r="FE776" s="16"/>
      <c r="FF776" s="14"/>
      <c r="FG776" s="12" t="s">
        <v>320</v>
      </c>
      <c r="FH776" s="14">
        <v>964</v>
      </c>
      <c r="FI776" s="16">
        <v>0.47</v>
      </c>
      <c r="FJ776" s="14">
        <v>4820</v>
      </c>
      <c r="FK776" s="12" t="s">
        <v>319</v>
      </c>
      <c r="FL776" s="14"/>
      <c r="FM776" s="16"/>
      <c r="FN776" s="14"/>
      <c r="FO776" s="12" t="s">
        <v>320</v>
      </c>
      <c r="FP776" s="14">
        <v>964</v>
      </c>
      <c r="FQ776" s="16">
        <v>0.47</v>
      </c>
      <c r="FR776" s="14">
        <v>4820</v>
      </c>
      <c r="FS776" s="12" t="s">
        <v>319</v>
      </c>
      <c r="FT776" s="14"/>
      <c r="FU776" s="16"/>
      <c r="FV776" s="14"/>
      <c r="FW776" s="12" t="s">
        <v>319</v>
      </c>
      <c r="FX776" s="14"/>
      <c r="FY776" s="16"/>
      <c r="FZ776" s="14"/>
      <c r="GA776" s="12" t="s">
        <v>319</v>
      </c>
      <c r="GB776" s="14"/>
      <c r="GC776" s="16"/>
      <c r="GD776" s="14"/>
      <c r="GE776" s="12" t="s">
        <v>319</v>
      </c>
      <c r="GF776" s="14"/>
      <c r="GG776" s="16"/>
      <c r="GH776" s="14"/>
      <c r="GI776" s="12" t="s">
        <v>320</v>
      </c>
      <c r="GJ776" s="14"/>
      <c r="GK776" s="16"/>
      <c r="GL776" s="14"/>
      <c r="GM776" s="11" t="s">
        <v>320</v>
      </c>
      <c r="GN776" s="14">
        <v>860</v>
      </c>
      <c r="GO776" s="16">
        <v>0.47</v>
      </c>
      <c r="GP776" s="14">
        <v>4300</v>
      </c>
      <c r="GQ776" s="12" t="s">
        <v>319</v>
      </c>
      <c r="GR776" s="14"/>
      <c r="GS776" s="16"/>
      <c r="GT776" s="14"/>
      <c r="GU776" s="12" t="s">
        <v>319</v>
      </c>
      <c r="GV776" s="14"/>
      <c r="GW776" s="16"/>
      <c r="GX776" s="14"/>
      <c r="GY776" s="12" t="s">
        <v>319</v>
      </c>
      <c r="GZ776" s="14"/>
      <c r="HA776" s="16"/>
      <c r="HB776" s="14"/>
      <c r="HC776" s="12"/>
      <c r="HD776" s="12"/>
      <c r="HE776" s="14"/>
      <c r="HF776" s="16"/>
      <c r="HG776" s="14"/>
      <c r="HH776" s="12" t="s">
        <v>320</v>
      </c>
      <c r="HI776" s="12" t="s">
        <v>361</v>
      </c>
      <c r="HJ776" s="12">
        <v>2016</v>
      </c>
      <c r="HK776" s="12" t="s">
        <v>320</v>
      </c>
      <c r="HL776" s="12" t="s">
        <v>320</v>
      </c>
      <c r="HM776" s="12" t="s">
        <v>327</v>
      </c>
      <c r="HN776" s="12">
        <v>2017</v>
      </c>
      <c r="HO776" s="12"/>
      <c r="HP776" s="12" t="s">
        <v>453</v>
      </c>
      <c r="HQ776" s="12" t="s">
        <v>320</v>
      </c>
      <c r="HR776" s="12" t="s">
        <v>319</v>
      </c>
      <c r="HS776" s="12" t="s">
        <v>320</v>
      </c>
      <c r="HT776" s="12" t="s">
        <v>320</v>
      </c>
      <c r="HU776" s="12" t="s">
        <v>320</v>
      </c>
      <c r="HV776" s="12" t="s">
        <v>319</v>
      </c>
      <c r="HW776" s="12" t="s">
        <v>319</v>
      </c>
      <c r="HX776" s="12" t="s">
        <v>319</v>
      </c>
      <c r="HY776" s="12"/>
      <c r="HZ776" s="12" t="s">
        <v>394</v>
      </c>
      <c r="IA776" s="12"/>
      <c r="IB776" s="12" t="s">
        <v>396</v>
      </c>
      <c r="IC776" s="12"/>
      <c r="ID776" s="12" t="s">
        <v>364</v>
      </c>
      <c r="IE776" s="12" t="s">
        <v>478</v>
      </c>
      <c r="IF776" s="12" t="s">
        <v>320</v>
      </c>
      <c r="IG776" s="12" t="s">
        <v>320</v>
      </c>
      <c r="IH776" s="12" t="s">
        <v>320</v>
      </c>
      <c r="II776" s="12" t="s">
        <v>319</v>
      </c>
      <c r="IJ776" s="12" t="str">
        <f t="shared" si="517"/>
        <v>3. Responsive</v>
      </c>
      <c r="IK776" s="12">
        <f t="shared" si="518"/>
        <v>3</v>
      </c>
      <c r="IL776" s="11" t="s">
        <v>621</v>
      </c>
      <c r="IM776" s="12" t="s">
        <v>320</v>
      </c>
      <c r="IN776" s="12" t="s">
        <v>320</v>
      </c>
      <c r="IO776" s="12" t="s">
        <v>320</v>
      </c>
      <c r="IP776" s="12" t="s">
        <v>320</v>
      </c>
      <c r="IQ776" s="12" t="str">
        <f t="shared" si="519"/>
        <v>4. Transformational</v>
      </c>
      <c r="IR776" s="12">
        <f t="shared" si="520"/>
        <v>4</v>
      </c>
      <c r="IS776" s="12" t="s">
        <v>337</v>
      </c>
      <c r="IT776" s="12" t="s">
        <v>320</v>
      </c>
      <c r="IU776" s="12" t="s">
        <v>319</v>
      </c>
      <c r="IV776" s="12" t="s">
        <v>319</v>
      </c>
      <c r="IW776" s="11" t="str">
        <f t="shared" si="521"/>
        <v>1. Neutral</v>
      </c>
      <c r="IX776" s="12">
        <f t="shared" si="522"/>
        <v>1</v>
      </c>
      <c r="IY776" s="12" t="s">
        <v>419</v>
      </c>
      <c r="IZ776" s="12" t="s">
        <v>527</v>
      </c>
      <c r="JA776" s="12">
        <v>2</v>
      </c>
      <c r="JB776" s="12" t="s">
        <v>1113</v>
      </c>
      <c r="JC776" s="12" t="s">
        <v>433</v>
      </c>
      <c r="JD776" s="12"/>
      <c r="JE776" s="12" t="s">
        <v>340</v>
      </c>
      <c r="JF776" s="12" t="s">
        <v>12119</v>
      </c>
      <c r="JG776" s="12"/>
      <c r="JH776" s="12" t="s">
        <v>12120</v>
      </c>
      <c r="JI776" s="12" t="s">
        <v>12121</v>
      </c>
      <c r="JJ776" s="12" t="s">
        <v>12122</v>
      </c>
      <c r="JK776" s="12" t="s">
        <v>12123</v>
      </c>
      <c r="JL776" s="12" t="s">
        <v>12124</v>
      </c>
      <c r="JM776" s="12" t="s">
        <v>12125</v>
      </c>
      <c r="JN776" s="12" t="s">
        <v>12126</v>
      </c>
      <c r="JO776" s="12"/>
      <c r="JP776" s="15">
        <f t="shared" si="523"/>
        <v>964</v>
      </c>
      <c r="JQ776" s="15">
        <f t="shared" si="524"/>
        <v>4820</v>
      </c>
      <c r="JR776" s="279">
        <f t="shared" si="525"/>
        <v>5</v>
      </c>
      <c r="JS776" s="17">
        <f t="shared" si="526"/>
        <v>0.46576763485477179</v>
      </c>
      <c r="JT776" s="18">
        <f t="shared" si="527"/>
        <v>0.50020746887966805</v>
      </c>
      <c r="JU776" s="280">
        <f t="shared" si="528"/>
        <v>449</v>
      </c>
      <c r="JV776" s="280">
        <f t="shared" si="529"/>
        <v>2411</v>
      </c>
      <c r="JW776" s="319" t="str">
        <f t="shared" si="530"/>
        <v/>
      </c>
      <c r="JX776" s="15">
        <f t="shared" si="531"/>
        <v>0</v>
      </c>
      <c r="JY776" s="15">
        <f t="shared" si="532"/>
        <v>0</v>
      </c>
      <c r="JZ776" s="19" t="str">
        <f t="shared" si="533"/>
        <v/>
      </c>
      <c r="KA776" s="52">
        <f t="shared" si="534"/>
        <v>1</v>
      </c>
      <c r="KB776" s="15">
        <f t="shared" si="535"/>
        <v>964</v>
      </c>
      <c r="KC776" s="15">
        <f t="shared" si="536"/>
        <v>4820</v>
      </c>
      <c r="KD776" s="20">
        <f t="shared" si="537"/>
        <v>5</v>
      </c>
      <c r="KE776" s="52" t="str">
        <f t="shared" si="538"/>
        <v/>
      </c>
      <c r="KF776" s="15">
        <f t="shared" si="539"/>
        <v>0</v>
      </c>
      <c r="KG776" s="15">
        <f t="shared" si="540"/>
        <v>0</v>
      </c>
      <c r="KH776" s="21" t="str">
        <f t="shared" si="541"/>
        <v/>
      </c>
      <c r="KI776" s="52" t="str">
        <f t="shared" si="542"/>
        <v/>
      </c>
      <c r="KJ776" s="15">
        <f t="shared" si="543"/>
        <v>0</v>
      </c>
      <c r="KK776" s="15">
        <f t="shared" si="544"/>
        <v>0</v>
      </c>
      <c r="KL776" s="19" t="str">
        <f t="shared" si="545"/>
        <v/>
      </c>
      <c r="KM776" s="52">
        <f t="shared" si="546"/>
        <v>1</v>
      </c>
      <c r="KN776" s="22">
        <f t="shared" si="547"/>
        <v>453.08</v>
      </c>
      <c r="KO776" s="22">
        <f t="shared" si="548"/>
        <v>2265.4</v>
      </c>
      <c r="KP776" s="19">
        <f t="shared" si="549"/>
        <v>5</v>
      </c>
      <c r="KQ776" s="11" t="str">
        <f t="shared" si="550"/>
        <v>3. Responsive</v>
      </c>
      <c r="KR776" s="11" t="str">
        <f t="shared" si="551"/>
        <v>4. Transformational</v>
      </c>
      <c r="KS776" s="11" t="str">
        <f t="shared" si="552"/>
        <v>1. Neutral</v>
      </c>
      <c r="KT776" s="11" t="str">
        <f t="shared" si="553"/>
        <v>It tested new ways for fighting poverty, but did not measure results of innovation</v>
      </c>
      <c r="KU776" s="11" t="str">
        <f t="shared" si="554"/>
        <v>Intensive advocacy</v>
      </c>
      <c r="KV776" s="11" t="str">
        <f t="shared" si="555"/>
        <v>It linked and worked with strategic alliances and partners to take tested and effective solutions to scale</v>
      </c>
      <c r="KW776" s="11" t="str">
        <f t="shared" si="556"/>
        <v>Tanzania - Ardhi Yetu (Our Land) Program</v>
      </c>
      <c r="KX776" s="11" t="str">
        <f t="shared" si="557"/>
        <v>Ardhi Yetu (Our Land) Program</v>
      </c>
      <c r="KY776" s="11" t="str">
        <f t="shared" si="558"/>
        <v>Tanzania</v>
      </c>
      <c r="KZ776" s="12">
        <v>777</v>
      </c>
    </row>
    <row r="777" spans="1:312" x14ac:dyDescent="0.3">
      <c r="A777" s="12" t="s">
        <v>12090</v>
      </c>
      <c r="B777" s="12" t="s">
        <v>7217</v>
      </c>
      <c r="C777" s="12">
        <v>3660</v>
      </c>
      <c r="D777" s="12" t="s">
        <v>12163</v>
      </c>
      <c r="E777" s="277" t="str">
        <f t="shared" si="516"/>
        <v>Tanzania</v>
      </c>
      <c r="F777" s="12"/>
      <c r="G777" s="12" t="s">
        <v>379</v>
      </c>
      <c r="H777" s="12" t="s">
        <v>383</v>
      </c>
      <c r="I777" s="12" t="s">
        <v>384</v>
      </c>
      <c r="J777" s="281" t="s">
        <v>1187</v>
      </c>
      <c r="K777" s="12"/>
      <c r="L777" s="12"/>
      <c r="M777" s="12"/>
      <c r="N777" s="12"/>
      <c r="O777" s="12"/>
      <c r="P777" s="12"/>
      <c r="Q777" s="12"/>
      <c r="R777" s="12"/>
      <c r="S777" s="12"/>
      <c r="T777" s="12"/>
      <c r="U777" s="12"/>
      <c r="V777" s="12"/>
      <c r="W777" s="12"/>
      <c r="X777" s="12"/>
      <c r="Y777" s="12"/>
      <c r="Z777" s="12"/>
      <c r="AA777" s="12"/>
      <c r="AB777" s="12"/>
      <c r="AC777" s="12"/>
      <c r="AD777" s="12"/>
      <c r="BD777" s="13">
        <v>42370</v>
      </c>
      <c r="BE777" s="13">
        <v>43646</v>
      </c>
      <c r="BF777" s="12"/>
      <c r="BG777" s="12" t="s">
        <v>312</v>
      </c>
      <c r="BH777" s="14">
        <v>840000</v>
      </c>
      <c r="BI777" s="12" t="s">
        <v>12164</v>
      </c>
      <c r="BJ777" s="12" t="s">
        <v>12165</v>
      </c>
      <c r="BK777" s="12" t="s">
        <v>12166</v>
      </c>
      <c r="BL777" s="12" t="s">
        <v>12167</v>
      </c>
      <c r="BM777" s="12" t="s">
        <v>12168</v>
      </c>
      <c r="BN777" s="12" t="s">
        <v>12169</v>
      </c>
      <c r="BO777" s="12" t="s">
        <v>319</v>
      </c>
      <c r="BP777" s="12" t="s">
        <v>320</v>
      </c>
      <c r="BQ777" s="12" t="s">
        <v>319</v>
      </c>
      <c r="BR777" s="12" t="s">
        <v>12170</v>
      </c>
      <c r="BS777" s="12" t="s">
        <v>357</v>
      </c>
      <c r="BT777" s="12" t="s">
        <v>12171</v>
      </c>
      <c r="BU777" s="12" t="s">
        <v>12172</v>
      </c>
      <c r="BV777" s="14">
        <v>1600</v>
      </c>
      <c r="BW777" s="14">
        <v>1800</v>
      </c>
      <c r="BX777" s="14">
        <v>3400</v>
      </c>
      <c r="BY777" s="14">
        <v>6400</v>
      </c>
      <c r="BZ777" s="14">
        <v>7200</v>
      </c>
      <c r="CA777" s="14">
        <v>13600</v>
      </c>
      <c r="CB777" s="12" t="s">
        <v>12173</v>
      </c>
      <c r="CD777" s="14"/>
      <c r="CE777" s="14"/>
      <c r="CF777" s="14"/>
      <c r="CG777" s="14"/>
      <c r="CH777" s="14"/>
      <c r="CI777" s="14"/>
      <c r="CJ777" s="12"/>
      <c r="CK777" s="14"/>
      <c r="CL777" s="16"/>
      <c r="CM777" s="14"/>
      <c r="CN777" s="12"/>
      <c r="CO777" s="14"/>
      <c r="CP777" s="16"/>
      <c r="CQ777" s="14"/>
      <c r="CR777" s="12"/>
      <c r="CS777" s="14"/>
      <c r="CT777" s="16"/>
      <c r="CU777" s="14"/>
      <c r="CV777" s="12"/>
      <c r="CW777" s="14"/>
      <c r="CX777" s="16"/>
      <c r="CY777" s="14"/>
      <c r="CZ777" s="12"/>
      <c r="DA777" s="14"/>
      <c r="DB777" s="16"/>
      <c r="DC777" s="14"/>
      <c r="DD777" s="12"/>
      <c r="DE777" s="14"/>
      <c r="DF777" s="16"/>
      <c r="DG777" s="14"/>
      <c r="DH777" s="12"/>
      <c r="DI777" s="14"/>
      <c r="DJ777" s="16"/>
      <c r="DK777" s="14"/>
      <c r="DL777" s="12"/>
      <c r="DM777" s="14"/>
      <c r="DN777" s="16"/>
      <c r="DO777" s="14"/>
      <c r="DP777" s="12"/>
      <c r="DQ777" s="14"/>
      <c r="DR777" s="16"/>
      <c r="DS777" s="14"/>
      <c r="DT777" s="12"/>
      <c r="DU777" s="14"/>
      <c r="DV777" s="16"/>
      <c r="DW777" s="14"/>
      <c r="DX777" s="12"/>
      <c r="DY777" s="14"/>
      <c r="DZ777" s="16"/>
      <c r="EA777" s="14"/>
      <c r="EB777" s="12"/>
      <c r="EC777" s="14"/>
      <c r="ED777" s="16"/>
      <c r="EE777" s="14"/>
      <c r="EF777" s="12"/>
      <c r="EG777" s="12"/>
      <c r="EH777" s="14"/>
      <c r="EI777" s="16"/>
      <c r="EJ777" s="14"/>
      <c r="EK777" s="14">
        <v>287</v>
      </c>
      <c r="EL777" s="14">
        <v>307</v>
      </c>
      <c r="EM777" s="14">
        <v>594</v>
      </c>
      <c r="EN777" s="14">
        <v>1148</v>
      </c>
      <c r="EO777" s="14">
        <v>1228</v>
      </c>
      <c r="EP777" s="14">
        <v>2376</v>
      </c>
      <c r="EQ777" s="12" t="s">
        <v>320</v>
      </c>
      <c r="ER777" s="14">
        <v>165</v>
      </c>
      <c r="ES777" s="16">
        <v>0.46</v>
      </c>
      <c r="ET777" s="14">
        <v>660</v>
      </c>
      <c r="EU777" s="11" t="s">
        <v>320</v>
      </c>
      <c r="EV777" s="14">
        <v>302</v>
      </c>
      <c r="EW777" s="16">
        <v>0.374</v>
      </c>
      <c r="EX777" s="14">
        <v>1208</v>
      </c>
      <c r="EY777" s="12" t="s">
        <v>319</v>
      </c>
      <c r="EZ777" s="14"/>
      <c r="FA777" s="16"/>
      <c r="FB777" s="14"/>
      <c r="FC777" s="12" t="s">
        <v>319</v>
      </c>
      <c r="FD777" s="14"/>
      <c r="FE777" s="16"/>
      <c r="FF777" s="14"/>
      <c r="FG777" s="12" t="s">
        <v>319</v>
      </c>
      <c r="FH777" s="14"/>
      <c r="FI777" s="16"/>
      <c r="FJ777" s="14"/>
      <c r="FK777" s="12" t="s">
        <v>319</v>
      </c>
      <c r="FL777" s="14"/>
      <c r="FM777" s="16"/>
      <c r="FN777" s="14"/>
      <c r="FO777" s="12" t="s">
        <v>320</v>
      </c>
      <c r="FP777" s="14">
        <v>329</v>
      </c>
      <c r="FQ777" s="16">
        <v>0.55000000000000004</v>
      </c>
      <c r="FR777" s="14">
        <v>1316</v>
      </c>
      <c r="FS777" s="12" t="s">
        <v>319</v>
      </c>
      <c r="FT777" s="14"/>
      <c r="FU777" s="16"/>
      <c r="FV777" s="14"/>
      <c r="FW777" s="12" t="s">
        <v>320</v>
      </c>
      <c r="FX777" s="14"/>
      <c r="FY777" s="16"/>
      <c r="FZ777" s="14"/>
      <c r="GA777" s="12" t="s">
        <v>319</v>
      </c>
      <c r="GB777" s="14"/>
      <c r="GC777" s="16"/>
      <c r="GD777" s="14"/>
      <c r="GE777" s="12" t="s">
        <v>319</v>
      </c>
      <c r="GF777" s="14"/>
      <c r="GG777" s="16"/>
      <c r="GH777" s="14"/>
      <c r="GI777" s="11" t="s">
        <v>320</v>
      </c>
      <c r="GJ777" s="14">
        <v>137</v>
      </c>
      <c r="GK777" s="16">
        <v>0.27</v>
      </c>
      <c r="GL777" s="14">
        <v>548</v>
      </c>
      <c r="GM777" s="11" t="s">
        <v>320</v>
      </c>
      <c r="GN777" s="14">
        <v>16</v>
      </c>
      <c r="GO777" s="16">
        <v>0.5</v>
      </c>
      <c r="GP777" s="14">
        <v>64</v>
      </c>
      <c r="GQ777" s="12" t="s">
        <v>319</v>
      </c>
      <c r="GR777" s="14"/>
      <c r="GS777" s="16"/>
      <c r="GT777" s="14"/>
      <c r="GU777" s="12" t="s">
        <v>319</v>
      </c>
      <c r="GV777" s="14"/>
      <c r="GW777" s="16"/>
      <c r="GX777" s="14"/>
      <c r="GY777" s="11" t="s">
        <v>320</v>
      </c>
      <c r="GZ777" s="14">
        <v>164</v>
      </c>
      <c r="HA777" s="16">
        <v>0.64600000000000002</v>
      </c>
      <c r="HB777" s="14">
        <v>656</v>
      </c>
      <c r="HC777" s="12"/>
      <c r="HD777" s="12"/>
      <c r="HE777" s="14"/>
      <c r="HF777" s="16"/>
      <c r="HG777" s="14"/>
      <c r="HH777" s="12" t="s">
        <v>320</v>
      </c>
      <c r="HI777" s="12" t="s">
        <v>522</v>
      </c>
      <c r="HJ777" s="12">
        <v>2016</v>
      </c>
      <c r="HK777" s="12" t="s">
        <v>319</v>
      </c>
      <c r="HL777" s="12" t="s">
        <v>320</v>
      </c>
      <c r="HM777" s="12" t="s">
        <v>619</v>
      </c>
      <c r="HN777" s="12">
        <v>2017</v>
      </c>
      <c r="HO777" s="12" t="s">
        <v>12174</v>
      </c>
      <c r="HP777" s="12" t="s">
        <v>330</v>
      </c>
      <c r="HQ777" s="12" t="s">
        <v>319</v>
      </c>
      <c r="HR777" s="12" t="s">
        <v>319</v>
      </c>
      <c r="HS777" s="12" t="s">
        <v>320</v>
      </c>
      <c r="HT777" s="12" t="s">
        <v>319</v>
      </c>
      <c r="HU777" s="12" t="s">
        <v>320</v>
      </c>
      <c r="HV777" s="12" t="s">
        <v>319</v>
      </c>
      <c r="HW777" s="12" t="s">
        <v>319</v>
      </c>
      <c r="HX777" s="12"/>
      <c r="HY777" s="12"/>
      <c r="HZ777" s="12" t="s">
        <v>394</v>
      </c>
      <c r="IA777" s="12" t="s">
        <v>12175</v>
      </c>
      <c r="IB777" s="12" t="s">
        <v>396</v>
      </c>
      <c r="IC777" s="12" t="s">
        <v>12176</v>
      </c>
      <c r="ID777" s="12" t="s">
        <v>364</v>
      </c>
      <c r="IE777" s="12" t="s">
        <v>335</v>
      </c>
      <c r="IF777" s="12" t="s">
        <v>320</v>
      </c>
      <c r="IG777" s="12" t="s">
        <v>319</v>
      </c>
      <c r="IH777" s="12" t="s">
        <v>320</v>
      </c>
      <c r="II777" s="12" t="s">
        <v>319</v>
      </c>
      <c r="IJ777" s="12" t="str">
        <f t="shared" si="517"/>
        <v>1. Neutral</v>
      </c>
      <c r="IK777" s="12">
        <f t="shared" si="518"/>
        <v>2</v>
      </c>
      <c r="IL777" s="12" t="s">
        <v>336</v>
      </c>
      <c r="IM777" s="12" t="s">
        <v>319</v>
      </c>
      <c r="IN777" s="12" t="s">
        <v>320</v>
      </c>
      <c r="IO777" s="12" t="s">
        <v>319</v>
      </c>
      <c r="IP777" s="12" t="s">
        <v>320</v>
      </c>
      <c r="IQ777" s="12" t="str">
        <f t="shared" si="519"/>
        <v>1. Tokenistic</v>
      </c>
      <c r="IR777" s="12">
        <f t="shared" si="520"/>
        <v>2</v>
      </c>
      <c r="IS777" s="12" t="s">
        <v>337</v>
      </c>
      <c r="IT777" s="12" t="s">
        <v>320</v>
      </c>
      <c r="IU777" s="12" t="s">
        <v>320</v>
      </c>
      <c r="IV777" s="12" t="s">
        <v>320</v>
      </c>
      <c r="IW777" s="11" t="str">
        <f t="shared" si="521"/>
        <v>2. Sensitive</v>
      </c>
      <c r="IX777" s="12">
        <f t="shared" si="522"/>
        <v>3</v>
      </c>
      <c r="IY777" s="12" t="s">
        <v>758</v>
      </c>
      <c r="IZ777" s="12" t="s">
        <v>527</v>
      </c>
      <c r="JA777" s="12">
        <v>2</v>
      </c>
      <c r="JB777" s="12" t="s">
        <v>831</v>
      </c>
      <c r="JC777" s="12" t="s">
        <v>651</v>
      </c>
      <c r="JD777" s="12"/>
      <c r="JE777" s="12" t="s">
        <v>420</v>
      </c>
      <c r="JF777" s="12"/>
      <c r="JG777" s="12" t="s">
        <v>12177</v>
      </c>
      <c r="JH777" s="12" t="s">
        <v>5850</v>
      </c>
      <c r="JI777" s="12" t="s">
        <v>12178</v>
      </c>
      <c r="JJ777" s="12" t="s">
        <v>12179</v>
      </c>
      <c r="JK777" s="12" t="s">
        <v>12180</v>
      </c>
      <c r="JL777" s="12" t="s">
        <v>12181</v>
      </c>
      <c r="JM777" s="12" t="s">
        <v>12182</v>
      </c>
      <c r="JN777" s="12" t="s">
        <v>12183</v>
      </c>
      <c r="JO777" s="12"/>
      <c r="JP777" s="15">
        <f t="shared" si="523"/>
        <v>594</v>
      </c>
      <c r="JQ777" s="15">
        <f t="shared" si="524"/>
        <v>2376</v>
      </c>
      <c r="JR777" s="279">
        <f t="shared" si="525"/>
        <v>4</v>
      </c>
      <c r="JS777" s="17">
        <f t="shared" si="526"/>
        <v>0.48316498316498319</v>
      </c>
      <c r="JT777" s="18">
        <f t="shared" si="527"/>
        <v>0.48316498316498319</v>
      </c>
      <c r="JU777" s="280">
        <f t="shared" si="528"/>
        <v>287</v>
      </c>
      <c r="JV777" s="280">
        <f t="shared" si="529"/>
        <v>1148</v>
      </c>
      <c r="JW777" s="319" t="str">
        <f t="shared" si="530"/>
        <v/>
      </c>
      <c r="JX777" s="15">
        <f t="shared" si="531"/>
        <v>0</v>
      </c>
      <c r="JY777" s="15">
        <f t="shared" si="532"/>
        <v>0</v>
      </c>
      <c r="JZ777" s="19" t="str">
        <f t="shared" si="533"/>
        <v/>
      </c>
      <c r="KA777" s="52">
        <f t="shared" si="534"/>
        <v>1</v>
      </c>
      <c r="KB777" s="15">
        <f t="shared" si="535"/>
        <v>329</v>
      </c>
      <c r="KC777" s="15">
        <f t="shared" si="536"/>
        <v>1316</v>
      </c>
      <c r="KD777" s="20">
        <f t="shared" si="537"/>
        <v>4</v>
      </c>
      <c r="KE777" s="52" t="str">
        <f t="shared" si="538"/>
        <v/>
      </c>
      <c r="KF777" s="15">
        <f t="shared" si="539"/>
        <v>0</v>
      </c>
      <c r="KG777" s="15">
        <f t="shared" si="540"/>
        <v>0</v>
      </c>
      <c r="KH777" s="21" t="str">
        <f t="shared" si="541"/>
        <v/>
      </c>
      <c r="KI777" s="52" t="str">
        <f t="shared" si="542"/>
        <v/>
      </c>
      <c r="KJ777" s="15">
        <f t="shared" si="543"/>
        <v>0</v>
      </c>
      <c r="KK777" s="15">
        <f t="shared" si="544"/>
        <v>0</v>
      </c>
      <c r="KL777" s="19" t="str">
        <f t="shared" si="545"/>
        <v/>
      </c>
      <c r="KM777" s="52">
        <f t="shared" si="546"/>
        <v>1</v>
      </c>
      <c r="KN777" s="22">
        <f t="shared" si="547"/>
        <v>164</v>
      </c>
      <c r="KO777" s="22">
        <f t="shared" si="548"/>
        <v>656</v>
      </c>
      <c r="KP777" s="19">
        <f t="shared" si="549"/>
        <v>4</v>
      </c>
      <c r="KQ777" s="11" t="str">
        <f t="shared" si="550"/>
        <v>1. Neutral</v>
      </c>
      <c r="KR777" s="11" t="str">
        <f t="shared" si="551"/>
        <v>1. Tokenistic</v>
      </c>
      <c r="KS777" s="11" t="str">
        <f t="shared" si="552"/>
        <v>2. Sensitive</v>
      </c>
      <c r="KT777" s="11" t="str">
        <f t="shared" si="553"/>
        <v>It tested new ways for fighting poverty, but did not measure results of innovation</v>
      </c>
      <c r="KU777" s="11" t="str">
        <f t="shared" si="554"/>
        <v>Moderate advocacy</v>
      </c>
      <c r="KV777" s="11" t="str">
        <f t="shared" si="555"/>
        <v>It linked and worked with strategic alliances and partners to take tested and effective solutions to scale</v>
      </c>
      <c r="KW777" s="11" t="str">
        <f t="shared" si="556"/>
        <v>Tanzania - CARE-WWF Alliance in Tanzania: Expanding up the Coast</v>
      </c>
      <c r="KX777" s="11" t="str">
        <f t="shared" si="557"/>
        <v>CARE-WWF Alliance in Tanzania: Expanding up the Coast</v>
      </c>
      <c r="KY777" s="11" t="str">
        <f t="shared" si="558"/>
        <v>Tanzania</v>
      </c>
      <c r="KZ777" s="12">
        <v>778</v>
      </c>
    </row>
    <row r="778" spans="1:312" x14ac:dyDescent="0.3">
      <c r="A778" s="12" t="s">
        <v>12090</v>
      </c>
      <c r="B778" s="12" t="s">
        <v>7217</v>
      </c>
      <c r="C778" s="12">
        <v>3657</v>
      </c>
      <c r="D778" s="12" t="s">
        <v>12146</v>
      </c>
      <c r="E778" s="277" t="str">
        <f t="shared" si="516"/>
        <v>Tanzania</v>
      </c>
      <c r="F778" s="12" t="s">
        <v>12147</v>
      </c>
      <c r="G778" s="12" t="s">
        <v>467</v>
      </c>
      <c r="H778" s="12" t="s">
        <v>310</v>
      </c>
      <c r="I778" s="12" t="s">
        <v>468</v>
      </c>
      <c r="J778" s="281" t="s">
        <v>9212</v>
      </c>
      <c r="K778" s="12"/>
      <c r="L778" s="12"/>
      <c r="M778" s="12"/>
      <c r="N778" s="12"/>
      <c r="O778" s="12"/>
      <c r="P778" s="12"/>
      <c r="Q778" s="12"/>
      <c r="R778" s="12"/>
      <c r="S778" s="12"/>
      <c r="T778" s="12"/>
      <c r="U778" s="12"/>
      <c r="V778" s="12"/>
      <c r="W778" s="12"/>
      <c r="X778" s="12"/>
      <c r="Y778" s="12"/>
      <c r="Z778" s="12"/>
      <c r="AA778" s="12"/>
      <c r="AB778" s="12"/>
      <c r="AC778" s="12"/>
      <c r="AD778" s="12"/>
      <c r="BD778" s="13">
        <v>41640</v>
      </c>
      <c r="BE778" s="13">
        <v>42855</v>
      </c>
      <c r="BF778" s="12"/>
      <c r="BG778" s="12" t="s">
        <v>350</v>
      </c>
      <c r="BH778" s="14">
        <v>506977</v>
      </c>
      <c r="BI778" s="12" t="s">
        <v>12112</v>
      </c>
      <c r="BJ778" s="12" t="s">
        <v>8849</v>
      </c>
      <c r="BK778" s="12" t="s">
        <v>12114</v>
      </c>
      <c r="BL778" s="12" t="s">
        <v>12148</v>
      </c>
      <c r="BM778" s="12" t="s">
        <v>12149</v>
      </c>
      <c r="BN778" s="12" t="s">
        <v>12150</v>
      </c>
      <c r="BO778" s="11" t="s">
        <v>319</v>
      </c>
      <c r="BP778" s="11" t="s">
        <v>320</v>
      </c>
      <c r="BQ778" s="11" t="s">
        <v>319</v>
      </c>
      <c r="BR778" s="12" t="s">
        <v>12151</v>
      </c>
      <c r="BS778" s="12" t="s">
        <v>357</v>
      </c>
      <c r="BT778" s="12" t="s">
        <v>12152</v>
      </c>
      <c r="BU778" s="12" t="s">
        <v>12153</v>
      </c>
      <c r="BV778" s="14">
        <v>66180</v>
      </c>
      <c r="BW778" s="14">
        <v>16545</v>
      </c>
      <c r="BX778" s="14">
        <v>82725</v>
      </c>
      <c r="BY778" s="14">
        <v>264720</v>
      </c>
      <c r="BZ778" s="14">
        <v>66180</v>
      </c>
      <c r="CA778" s="14">
        <v>330900</v>
      </c>
      <c r="CB778" s="12" t="s">
        <v>12154</v>
      </c>
      <c r="CD778" s="14"/>
      <c r="CE778" s="14"/>
      <c r="CF778" s="14"/>
      <c r="CG778" s="14"/>
      <c r="CH778" s="14"/>
      <c r="CI778" s="14"/>
      <c r="CJ778" s="12"/>
      <c r="CK778" s="14"/>
      <c r="CL778" s="16"/>
      <c r="CM778" s="14"/>
      <c r="CN778" s="12"/>
      <c r="CO778" s="14"/>
      <c r="CP778" s="16"/>
      <c r="CQ778" s="14"/>
      <c r="CR778" s="12"/>
      <c r="CS778" s="14"/>
      <c r="CT778" s="16"/>
      <c r="CU778" s="14"/>
      <c r="CV778" s="12"/>
      <c r="CW778" s="14"/>
      <c r="CX778" s="16"/>
      <c r="CY778" s="14"/>
      <c r="CZ778" s="12"/>
      <c r="DA778" s="14"/>
      <c r="DB778" s="16"/>
      <c r="DC778" s="14"/>
      <c r="DD778" s="12"/>
      <c r="DE778" s="14"/>
      <c r="DF778" s="16"/>
      <c r="DG778" s="14"/>
      <c r="DH778" s="12"/>
      <c r="DI778" s="14"/>
      <c r="DJ778" s="16"/>
      <c r="DK778" s="14"/>
      <c r="DL778" s="12"/>
      <c r="DM778" s="14"/>
      <c r="DN778" s="16"/>
      <c r="DO778" s="14"/>
      <c r="DP778" s="12"/>
      <c r="DQ778" s="14"/>
      <c r="DR778" s="16"/>
      <c r="DS778" s="14"/>
      <c r="DT778" s="12"/>
      <c r="DU778" s="14"/>
      <c r="DV778" s="16"/>
      <c r="DW778" s="14"/>
      <c r="DX778" s="12"/>
      <c r="DY778" s="14"/>
      <c r="DZ778" s="16"/>
      <c r="EA778" s="14"/>
      <c r="EB778" s="12"/>
      <c r="EC778" s="14"/>
      <c r="ED778" s="16"/>
      <c r="EE778" s="14"/>
      <c r="EF778" s="12"/>
      <c r="EG778" s="12"/>
      <c r="EH778" s="14"/>
      <c r="EI778" s="16"/>
      <c r="EJ778" s="14"/>
      <c r="EK778" s="14">
        <v>13534</v>
      </c>
      <c r="EL778" s="14">
        <v>6029</v>
      </c>
      <c r="EM778" s="14">
        <v>19563</v>
      </c>
      <c r="EN778" s="14">
        <v>49886</v>
      </c>
      <c r="EO778" s="14">
        <v>47929</v>
      </c>
      <c r="EP778" s="14">
        <v>97815</v>
      </c>
      <c r="EQ778" s="12" t="s">
        <v>319</v>
      </c>
      <c r="ER778" s="14"/>
      <c r="ES778" s="16"/>
      <c r="ET778" s="14"/>
      <c r="EU778" s="11" t="s">
        <v>319</v>
      </c>
      <c r="EV778" s="14"/>
      <c r="EW778" s="16"/>
      <c r="EX778" s="14"/>
      <c r="EY778" s="12" t="s">
        <v>319</v>
      </c>
      <c r="EZ778" s="14"/>
      <c r="FA778" s="16"/>
      <c r="FB778" s="14"/>
      <c r="FC778" s="12" t="s">
        <v>319</v>
      </c>
      <c r="FD778" s="14"/>
      <c r="FE778" s="16"/>
      <c r="FF778" s="14"/>
      <c r="FG778" s="12" t="s">
        <v>320</v>
      </c>
      <c r="FH778" s="14">
        <v>20140</v>
      </c>
      <c r="FI778" s="16">
        <v>0.8</v>
      </c>
      <c r="FJ778" s="14">
        <v>100700</v>
      </c>
      <c r="FK778" s="12" t="s">
        <v>319</v>
      </c>
      <c r="FL778" s="14"/>
      <c r="FM778" s="16"/>
      <c r="FN778" s="14"/>
      <c r="FO778" s="12" t="s">
        <v>319</v>
      </c>
      <c r="FP778" s="14"/>
      <c r="FQ778" s="16"/>
      <c r="FR778" s="14"/>
      <c r="FS778" s="12" t="s">
        <v>320</v>
      </c>
      <c r="FT778" s="14">
        <v>19477</v>
      </c>
      <c r="FU778" s="16">
        <v>0.75</v>
      </c>
      <c r="FV778" s="14">
        <v>97385</v>
      </c>
      <c r="FW778" s="12" t="s">
        <v>319</v>
      </c>
      <c r="FX778" s="14"/>
      <c r="FY778" s="16"/>
      <c r="FZ778" s="14"/>
      <c r="GA778" s="12" t="s">
        <v>319</v>
      </c>
      <c r="GB778" s="14"/>
      <c r="GC778" s="16"/>
      <c r="GD778" s="14"/>
      <c r="GE778" s="12" t="s">
        <v>319</v>
      </c>
      <c r="GF778" s="14"/>
      <c r="GG778" s="16"/>
      <c r="GH778" s="14"/>
      <c r="GI778" s="12" t="s">
        <v>319</v>
      </c>
      <c r="GJ778" s="14"/>
      <c r="GK778" s="16"/>
      <c r="GL778" s="14"/>
      <c r="GM778" s="12" t="s">
        <v>319</v>
      </c>
      <c r="GN778" s="14"/>
      <c r="GO778" s="16"/>
      <c r="GP778" s="14"/>
      <c r="GQ778" s="12" t="s">
        <v>319</v>
      </c>
      <c r="GR778" s="14"/>
      <c r="GS778" s="16"/>
      <c r="GT778" s="14"/>
      <c r="GU778" s="12" t="s">
        <v>319</v>
      </c>
      <c r="GV778" s="14"/>
      <c r="GW778" s="16"/>
      <c r="GX778" s="14"/>
      <c r="GY778" s="11" t="s">
        <v>320</v>
      </c>
      <c r="GZ778" s="14">
        <v>19477</v>
      </c>
      <c r="HA778" s="16">
        <v>0.79200000000000004</v>
      </c>
      <c r="HB778" s="14">
        <v>19385</v>
      </c>
      <c r="HC778" s="12"/>
      <c r="HD778" s="12"/>
      <c r="HE778" s="14"/>
      <c r="HF778" s="16"/>
      <c r="HG778" s="14"/>
      <c r="HH778" s="12" t="s">
        <v>319</v>
      </c>
      <c r="HI778" s="12"/>
      <c r="HJ778" s="12"/>
      <c r="HK778" s="12"/>
      <c r="HL778" s="12" t="s">
        <v>319</v>
      </c>
      <c r="HM778" s="12"/>
      <c r="HN778" s="12">
        <v>2017</v>
      </c>
      <c r="HO778" s="12" t="s">
        <v>12155</v>
      </c>
      <c r="HP778" s="12" t="s">
        <v>330</v>
      </c>
      <c r="HQ778" s="12" t="s">
        <v>319</v>
      </c>
      <c r="HR778" s="12" t="s">
        <v>320</v>
      </c>
      <c r="HS778" s="12" t="s">
        <v>319</v>
      </c>
      <c r="HT778" s="12" t="s">
        <v>320</v>
      </c>
      <c r="HU778" s="12" t="s">
        <v>319</v>
      </c>
      <c r="HV778" s="12" t="s">
        <v>319</v>
      </c>
      <c r="HW778" s="12" t="s">
        <v>319</v>
      </c>
      <c r="HX778" s="12" t="s">
        <v>319</v>
      </c>
      <c r="HY778" s="12"/>
      <c r="HZ778" s="12" t="s">
        <v>363</v>
      </c>
      <c r="IA778" s="12"/>
      <c r="IB778" s="12" t="s">
        <v>667</v>
      </c>
      <c r="IC778" s="12"/>
      <c r="ID778" s="12" t="s">
        <v>334</v>
      </c>
      <c r="IE778" s="12" t="s">
        <v>478</v>
      </c>
      <c r="IF778" s="12" t="s">
        <v>320</v>
      </c>
      <c r="IG778" s="12" t="s">
        <v>320</v>
      </c>
      <c r="IH778" s="12" t="s">
        <v>319</v>
      </c>
      <c r="II778" s="12" t="s">
        <v>319</v>
      </c>
      <c r="IJ778" s="12" t="str">
        <f t="shared" si="517"/>
        <v>3. Responsive</v>
      </c>
      <c r="IK778" s="12">
        <f t="shared" si="518"/>
        <v>2</v>
      </c>
      <c r="IL778" s="12" t="s">
        <v>336</v>
      </c>
      <c r="IM778" s="12" t="s">
        <v>320</v>
      </c>
      <c r="IN778" s="12" t="s">
        <v>320</v>
      </c>
      <c r="IO778" s="12" t="s">
        <v>320</v>
      </c>
      <c r="IP778" s="12" t="s">
        <v>320</v>
      </c>
      <c r="IQ778" s="12" t="str">
        <f t="shared" si="519"/>
        <v>2. Accommodating</v>
      </c>
      <c r="IR778" s="12">
        <f t="shared" si="520"/>
        <v>4</v>
      </c>
      <c r="IS778" s="12" t="s">
        <v>337</v>
      </c>
      <c r="IT778" s="12" t="s">
        <v>320</v>
      </c>
      <c r="IU778" s="12" t="s">
        <v>319</v>
      </c>
      <c r="IV778" s="12" t="s">
        <v>319</v>
      </c>
      <c r="IW778" s="11" t="str">
        <f t="shared" si="521"/>
        <v>1. Neutral</v>
      </c>
      <c r="IX778" s="12">
        <f t="shared" si="522"/>
        <v>1</v>
      </c>
      <c r="IY778" s="12" t="s">
        <v>419</v>
      </c>
      <c r="IZ778" s="12" t="s">
        <v>527</v>
      </c>
      <c r="JA778" s="12">
        <v>2</v>
      </c>
      <c r="JB778" s="12" t="s">
        <v>433</v>
      </c>
      <c r="JC778" s="12"/>
      <c r="JD778" s="12"/>
      <c r="JE778" s="12" t="s">
        <v>340</v>
      </c>
      <c r="JF778" s="12" t="s">
        <v>12156</v>
      </c>
      <c r="JG778" s="12"/>
      <c r="JH778" s="12" t="s">
        <v>12157</v>
      </c>
      <c r="JI778" s="12" t="s">
        <v>12158</v>
      </c>
      <c r="JJ778" s="12" t="s">
        <v>12159</v>
      </c>
      <c r="JK778" s="12" t="s">
        <v>12160</v>
      </c>
      <c r="JL778" s="12" t="s">
        <v>12161</v>
      </c>
      <c r="JM778" s="12" t="s">
        <v>12162</v>
      </c>
      <c r="JN778" s="12"/>
      <c r="JO778" s="12"/>
      <c r="JP778" s="15">
        <f t="shared" si="523"/>
        <v>19563</v>
      </c>
      <c r="JQ778" s="15">
        <f t="shared" si="524"/>
        <v>97815</v>
      </c>
      <c r="JR778" s="279">
        <f t="shared" si="525"/>
        <v>5</v>
      </c>
      <c r="JS778" s="17">
        <f t="shared" si="526"/>
        <v>0.69181618361192043</v>
      </c>
      <c r="JT778" s="18">
        <f t="shared" si="527"/>
        <v>0.51000357818330522</v>
      </c>
      <c r="JU778" s="280">
        <f t="shared" si="528"/>
        <v>13534</v>
      </c>
      <c r="JV778" s="280">
        <f t="shared" si="529"/>
        <v>49886</v>
      </c>
      <c r="JW778" s="319" t="str">
        <f t="shared" si="530"/>
        <v/>
      </c>
      <c r="JX778" s="15">
        <f t="shared" si="531"/>
        <v>0</v>
      </c>
      <c r="JY778" s="15">
        <f t="shared" si="532"/>
        <v>0</v>
      </c>
      <c r="JZ778" s="19" t="str">
        <f t="shared" si="533"/>
        <v/>
      </c>
      <c r="KA778" s="52">
        <f t="shared" si="534"/>
        <v>1</v>
      </c>
      <c r="KB778" s="15">
        <f t="shared" si="535"/>
        <v>20140</v>
      </c>
      <c r="KC778" s="15">
        <f t="shared" si="536"/>
        <v>100700</v>
      </c>
      <c r="KD778" s="20">
        <f t="shared" si="537"/>
        <v>5</v>
      </c>
      <c r="KE778" s="52" t="str">
        <f t="shared" si="538"/>
        <v/>
      </c>
      <c r="KF778" s="15">
        <f t="shared" si="539"/>
        <v>0</v>
      </c>
      <c r="KG778" s="15">
        <f t="shared" si="540"/>
        <v>0</v>
      </c>
      <c r="KH778" s="21" t="str">
        <f t="shared" si="541"/>
        <v/>
      </c>
      <c r="KI778" s="52">
        <f t="shared" si="542"/>
        <v>1</v>
      </c>
      <c r="KJ778" s="15">
        <f t="shared" si="543"/>
        <v>19477</v>
      </c>
      <c r="KK778" s="15">
        <f t="shared" si="544"/>
        <v>97385</v>
      </c>
      <c r="KL778" s="19">
        <f t="shared" si="545"/>
        <v>5</v>
      </c>
      <c r="KM778" s="52">
        <f t="shared" si="546"/>
        <v>1</v>
      </c>
      <c r="KN778" s="22">
        <f t="shared" si="547"/>
        <v>19477</v>
      </c>
      <c r="KO778" s="22">
        <f t="shared" si="548"/>
        <v>80560</v>
      </c>
      <c r="KP778" s="19">
        <f t="shared" si="549"/>
        <v>4.1361605996816762</v>
      </c>
      <c r="KQ778" s="11" t="str">
        <f t="shared" si="550"/>
        <v>3. Responsive</v>
      </c>
      <c r="KR778" s="11" t="str">
        <f t="shared" si="551"/>
        <v>2. Accommodating</v>
      </c>
      <c r="KS778" s="11" t="str">
        <f t="shared" si="552"/>
        <v>1. Neutral</v>
      </c>
      <c r="KT778" s="11" t="str">
        <f t="shared" si="553"/>
        <v>It did not develop any specific innovation</v>
      </c>
      <c r="KU778" s="11" t="str">
        <f t="shared" si="554"/>
        <v>Moderate advocacy</v>
      </c>
      <c r="KV778" s="11" t="str">
        <f t="shared" si="555"/>
        <v>It took tested solutions to scale on its own</v>
      </c>
      <c r="KW778" s="11" t="str">
        <f t="shared" si="556"/>
        <v>Tanzania - Gender Equality and Women Empowerment Program (GEWEP)</v>
      </c>
      <c r="KX778" s="11" t="str">
        <f t="shared" si="557"/>
        <v>Gender Equality and Women Empowerment Program (GEWEP)</v>
      </c>
      <c r="KY778" s="11" t="str">
        <f t="shared" si="558"/>
        <v>Tanzania</v>
      </c>
      <c r="KZ778" s="12">
        <v>779</v>
      </c>
    </row>
    <row r="779" spans="1:312" x14ac:dyDescent="0.3">
      <c r="A779" s="12" t="s">
        <v>12090</v>
      </c>
      <c r="B779" s="12" t="s">
        <v>7217</v>
      </c>
      <c r="C779" s="12"/>
      <c r="D779" s="12" t="s">
        <v>12127</v>
      </c>
      <c r="E779" s="277" t="str">
        <f t="shared" si="516"/>
        <v>Tanzania</v>
      </c>
      <c r="F779" s="12" t="s">
        <v>12128</v>
      </c>
      <c r="G779" s="12" t="s">
        <v>1853</v>
      </c>
      <c r="H779" s="12" t="s">
        <v>383</v>
      </c>
      <c r="I779" s="12" t="s">
        <v>384</v>
      </c>
      <c r="J779" s="281" t="s">
        <v>14748</v>
      </c>
      <c r="K779" s="12" t="s">
        <v>12129</v>
      </c>
      <c r="L779" s="12" t="s">
        <v>608</v>
      </c>
      <c r="M779" s="12" t="s">
        <v>383</v>
      </c>
      <c r="N779" s="12" t="s">
        <v>384</v>
      </c>
      <c r="O779" s="12" t="s">
        <v>12130</v>
      </c>
      <c r="P779" s="12" t="s">
        <v>12131</v>
      </c>
      <c r="Q779" s="12" t="s">
        <v>608</v>
      </c>
      <c r="R779" s="12" t="s">
        <v>554</v>
      </c>
      <c r="S779" s="12" t="s">
        <v>384</v>
      </c>
      <c r="T779" s="12" t="s">
        <v>12132</v>
      </c>
      <c r="U779" s="12" t="s">
        <v>12131</v>
      </c>
      <c r="V779" s="12" t="s">
        <v>608</v>
      </c>
      <c r="W779" s="12" t="s">
        <v>383</v>
      </c>
      <c r="X779" s="12" t="s">
        <v>384</v>
      </c>
      <c r="Y779" s="12" t="s">
        <v>12133</v>
      </c>
      <c r="Z779" s="12"/>
      <c r="AA779" s="12"/>
      <c r="AB779" s="12"/>
      <c r="AC779" s="12"/>
      <c r="AD779" s="12"/>
      <c r="BD779" s="13">
        <v>42736</v>
      </c>
      <c r="BE779" s="13">
        <v>43893</v>
      </c>
      <c r="BF779" s="12"/>
      <c r="BG779" s="12" t="s">
        <v>312</v>
      </c>
      <c r="BH779" s="14">
        <v>506852.22139714297</v>
      </c>
      <c r="BI779" s="12" t="s">
        <v>12134</v>
      </c>
      <c r="BJ779" s="12" t="s">
        <v>8688</v>
      </c>
      <c r="BK779" s="12" t="s">
        <v>12135</v>
      </c>
      <c r="BL779" s="12"/>
      <c r="BM779" s="12"/>
      <c r="BN779" s="12"/>
      <c r="BO779" s="12" t="s">
        <v>319</v>
      </c>
      <c r="BP779" s="12" t="s">
        <v>320</v>
      </c>
      <c r="BQ779" s="12" t="s">
        <v>319</v>
      </c>
      <c r="BR779" s="12" t="s">
        <v>12136</v>
      </c>
      <c r="BS779" s="12" t="s">
        <v>357</v>
      </c>
      <c r="BT779" s="12" t="s">
        <v>12137</v>
      </c>
      <c r="BU779" s="12" t="s">
        <v>12138</v>
      </c>
      <c r="BV779" s="14">
        <v>450</v>
      </c>
      <c r="BW779" s="14">
        <v>0</v>
      </c>
      <c r="BX779" s="14">
        <v>450</v>
      </c>
      <c r="BY779" s="14">
        <v>105000</v>
      </c>
      <c r="BZ779" s="14">
        <v>45000</v>
      </c>
      <c r="CA779" s="14">
        <v>150000</v>
      </c>
      <c r="CB779" s="12" t="s">
        <v>12139</v>
      </c>
      <c r="CD779" s="14"/>
      <c r="CE779" s="14"/>
      <c r="CF779" s="14"/>
      <c r="CG779" s="14"/>
      <c r="CH779" s="14"/>
      <c r="CI779" s="14"/>
      <c r="CJ779" s="12"/>
      <c r="CK779" s="14"/>
      <c r="CL779" s="16"/>
      <c r="CM779" s="14"/>
      <c r="CN779" s="12"/>
      <c r="CO779" s="14"/>
      <c r="CP779" s="16"/>
      <c r="CQ779" s="14"/>
      <c r="CR779" s="12"/>
      <c r="CS779" s="14"/>
      <c r="CT779" s="16"/>
      <c r="CU779" s="14"/>
      <c r="CV779" s="12"/>
      <c r="CW779" s="14"/>
      <c r="CX779" s="16"/>
      <c r="CY779" s="14"/>
      <c r="CZ779" s="12"/>
      <c r="DA779" s="14"/>
      <c r="DB779" s="16"/>
      <c r="DC779" s="14"/>
      <c r="DD779" s="12"/>
      <c r="DE779" s="14"/>
      <c r="DF779" s="16"/>
      <c r="DG779" s="14"/>
      <c r="DH779" s="12"/>
      <c r="DI779" s="14"/>
      <c r="DJ779" s="16"/>
      <c r="DK779" s="14"/>
      <c r="DL779" s="12"/>
      <c r="DM779" s="14"/>
      <c r="DN779" s="16"/>
      <c r="DO779" s="14"/>
      <c r="DP779" s="12"/>
      <c r="DQ779" s="14"/>
      <c r="DR779" s="16"/>
      <c r="DS779" s="14"/>
      <c r="DT779" s="12"/>
      <c r="DU779" s="14"/>
      <c r="DV779" s="16"/>
      <c r="DW779" s="14"/>
      <c r="DX779" s="12"/>
      <c r="DY779" s="14"/>
      <c r="DZ779" s="16"/>
      <c r="EA779" s="14"/>
      <c r="EB779" s="12"/>
      <c r="EC779" s="14"/>
      <c r="ED779" s="16"/>
      <c r="EE779" s="14"/>
      <c r="EF779" s="12"/>
      <c r="EG779" s="12"/>
      <c r="EH779" s="14"/>
      <c r="EI779" s="16"/>
      <c r="EJ779" s="14"/>
      <c r="EK779" s="14"/>
      <c r="EL779" s="14"/>
      <c r="EM779" s="14"/>
      <c r="EN779" s="14"/>
      <c r="EO779" s="14"/>
      <c r="EP779" s="14"/>
      <c r="EQ779" s="12"/>
      <c r="ER779" s="14"/>
      <c r="ES779" s="16"/>
      <c r="ET779" s="14"/>
      <c r="EU779" s="12"/>
      <c r="EV779" s="14"/>
      <c r="EW779" s="16"/>
      <c r="EX779" s="14"/>
      <c r="EY779" s="12"/>
      <c r="EZ779" s="14"/>
      <c r="FA779" s="16"/>
      <c r="FB779" s="14"/>
      <c r="FC779" s="12"/>
      <c r="FD779" s="14"/>
      <c r="FE779" s="16"/>
      <c r="FF779" s="14"/>
      <c r="FG779" s="12"/>
      <c r="FH779" s="14"/>
      <c r="FI779" s="16"/>
      <c r="FJ779" s="14"/>
      <c r="FK779" s="12"/>
      <c r="FL779" s="14"/>
      <c r="FM779" s="16"/>
      <c r="FN779" s="14"/>
      <c r="FO779" s="12"/>
      <c r="FP779" s="14"/>
      <c r="FQ779" s="16"/>
      <c r="FR779" s="14"/>
      <c r="FS779" s="12"/>
      <c r="FT779" s="14"/>
      <c r="FU779" s="16"/>
      <c r="FV779" s="14"/>
      <c r="FW779" s="12"/>
      <c r="FX779" s="14"/>
      <c r="FY779" s="16"/>
      <c r="FZ779" s="14"/>
      <c r="GA779" s="12"/>
      <c r="GB779" s="14"/>
      <c r="GC779" s="16"/>
      <c r="GD779" s="14"/>
      <c r="GE779" s="12"/>
      <c r="GF779" s="14"/>
      <c r="GG779" s="16"/>
      <c r="GH779" s="14"/>
      <c r="GI779" s="12"/>
      <c r="GJ779" s="14"/>
      <c r="GK779" s="16"/>
      <c r="GL779" s="14"/>
      <c r="GM779" s="12"/>
      <c r="GN779" s="14"/>
      <c r="GO779" s="16"/>
      <c r="GP779" s="14"/>
      <c r="GQ779" s="12"/>
      <c r="GR779" s="14"/>
      <c r="GS779" s="16"/>
      <c r="GT779" s="14"/>
      <c r="GU779" s="12"/>
      <c r="GV779" s="14"/>
      <c r="GW779" s="16"/>
      <c r="GX779" s="14"/>
      <c r="GY779" s="12" t="s">
        <v>320</v>
      </c>
      <c r="GZ779" s="14"/>
      <c r="HA779" s="16"/>
      <c r="HB779" s="14"/>
      <c r="HC779" s="12"/>
      <c r="HD779" s="12"/>
      <c r="HE779" s="14"/>
      <c r="HF779" s="16"/>
      <c r="HG779" s="14"/>
      <c r="HH779" s="12" t="s">
        <v>320</v>
      </c>
      <c r="HI779" s="12" t="s">
        <v>431</v>
      </c>
      <c r="HJ779" s="12">
        <v>2017</v>
      </c>
      <c r="HK779" s="12" t="s">
        <v>319</v>
      </c>
      <c r="HL779" s="12" t="s">
        <v>319</v>
      </c>
      <c r="HM779" s="12"/>
      <c r="HN779" s="12"/>
      <c r="HO779" s="12" t="s">
        <v>12140</v>
      </c>
      <c r="HP779" s="12" t="s">
        <v>418</v>
      </c>
      <c r="HQ779" s="12" t="s">
        <v>319</v>
      </c>
      <c r="HR779" s="12"/>
      <c r="HS779" s="12"/>
      <c r="HT779" s="12" t="s">
        <v>319</v>
      </c>
      <c r="HU779" s="12"/>
      <c r="HV779" s="12"/>
      <c r="HW779" s="12" t="s">
        <v>319</v>
      </c>
      <c r="HX779" s="12"/>
      <c r="HY779" s="12"/>
      <c r="HZ779" s="12"/>
      <c r="IA779" s="12"/>
      <c r="IB779" s="12"/>
      <c r="IC779" s="12"/>
      <c r="ID779" s="12"/>
      <c r="IE779" s="12" t="s">
        <v>335</v>
      </c>
      <c r="IF779" s="12" t="s">
        <v>320</v>
      </c>
      <c r="IG779" s="12" t="s">
        <v>320</v>
      </c>
      <c r="IH779" s="12" t="s">
        <v>320</v>
      </c>
      <c r="II779" s="12" t="s">
        <v>319</v>
      </c>
      <c r="IJ779" s="12" t="str">
        <f t="shared" si="517"/>
        <v>1. Neutral</v>
      </c>
      <c r="IK779" s="12">
        <f t="shared" si="518"/>
        <v>3</v>
      </c>
      <c r="IL779" s="12" t="s">
        <v>336</v>
      </c>
      <c r="IM779" s="12" t="s">
        <v>320</v>
      </c>
      <c r="IN779" s="12" t="s">
        <v>320</v>
      </c>
      <c r="IO779" s="12" t="s">
        <v>320</v>
      </c>
      <c r="IP779" s="12" t="s">
        <v>320</v>
      </c>
      <c r="IQ779" s="12" t="str">
        <f t="shared" si="519"/>
        <v>2. Accommodating</v>
      </c>
      <c r="IR779" s="12">
        <f t="shared" si="520"/>
        <v>4</v>
      </c>
      <c r="IS779" s="12" t="s">
        <v>337</v>
      </c>
      <c r="IT779" s="12" t="s">
        <v>320</v>
      </c>
      <c r="IU779" s="12" t="s">
        <v>320</v>
      </c>
      <c r="IV779" s="12" t="s">
        <v>320</v>
      </c>
      <c r="IW779" s="11" t="str">
        <f t="shared" si="521"/>
        <v>2. Sensitive</v>
      </c>
      <c r="IX779" s="12">
        <f t="shared" si="522"/>
        <v>3</v>
      </c>
      <c r="IY779" s="12" t="s">
        <v>758</v>
      </c>
      <c r="IZ779" s="12" t="s">
        <v>527</v>
      </c>
      <c r="JA779" s="12">
        <v>6</v>
      </c>
      <c r="JB779" s="12" t="s">
        <v>724</v>
      </c>
      <c r="JC779" s="12" t="s">
        <v>433</v>
      </c>
      <c r="JD779" s="12"/>
      <c r="JE779" s="12" t="s">
        <v>340</v>
      </c>
      <c r="JF779" s="12"/>
      <c r="JG779" s="12"/>
      <c r="JH779" s="12" t="s">
        <v>12141</v>
      </c>
      <c r="JI779" s="12" t="s">
        <v>12142</v>
      </c>
      <c r="JJ779" s="12"/>
      <c r="JK779" s="12" t="s">
        <v>12143</v>
      </c>
      <c r="JL779" s="12"/>
      <c r="JM779" s="12"/>
      <c r="JN779" s="12" t="s">
        <v>12144</v>
      </c>
      <c r="JO779" s="12" t="s">
        <v>12145</v>
      </c>
      <c r="JP779" s="15">
        <f t="shared" si="523"/>
        <v>0</v>
      </c>
      <c r="JQ779" s="15">
        <f t="shared" si="524"/>
        <v>0</v>
      </c>
      <c r="JR779" s="279" t="str">
        <f t="shared" si="525"/>
        <v/>
      </c>
      <c r="JS779" s="17" t="str">
        <f t="shared" si="526"/>
        <v/>
      </c>
      <c r="JT779" s="18" t="str">
        <f t="shared" si="527"/>
        <v/>
      </c>
      <c r="JU779" s="280">
        <f t="shared" si="528"/>
        <v>0</v>
      </c>
      <c r="JV779" s="280">
        <f t="shared" si="529"/>
        <v>0</v>
      </c>
      <c r="JW779" s="319" t="str">
        <f t="shared" si="530"/>
        <v/>
      </c>
      <c r="JX779" s="15">
        <f t="shared" si="531"/>
        <v>0</v>
      </c>
      <c r="JY779" s="15">
        <f t="shared" si="532"/>
        <v>0</v>
      </c>
      <c r="JZ779" s="19" t="str">
        <f t="shared" si="533"/>
        <v/>
      </c>
      <c r="KA779" s="52" t="str">
        <f t="shared" si="534"/>
        <v/>
      </c>
      <c r="KB779" s="15">
        <f t="shared" si="535"/>
        <v>0</v>
      </c>
      <c r="KC779" s="15">
        <f t="shared" si="536"/>
        <v>0</v>
      </c>
      <c r="KD779" s="20" t="str">
        <f t="shared" si="537"/>
        <v/>
      </c>
      <c r="KE779" s="52" t="str">
        <f t="shared" si="538"/>
        <v/>
      </c>
      <c r="KF779" s="15">
        <f t="shared" si="539"/>
        <v>0</v>
      </c>
      <c r="KG779" s="15">
        <f t="shared" si="540"/>
        <v>0</v>
      </c>
      <c r="KH779" s="21" t="str">
        <f t="shared" si="541"/>
        <v/>
      </c>
      <c r="KI779" s="52" t="str">
        <f t="shared" si="542"/>
        <v/>
      </c>
      <c r="KJ779" s="15">
        <f t="shared" si="543"/>
        <v>0</v>
      </c>
      <c r="KK779" s="15">
        <f t="shared" si="544"/>
        <v>0</v>
      </c>
      <c r="KL779" s="19" t="str">
        <f t="shared" si="545"/>
        <v/>
      </c>
      <c r="KM779" s="52">
        <f t="shared" si="546"/>
        <v>1</v>
      </c>
      <c r="KN779" s="22">
        <f t="shared" si="547"/>
        <v>0</v>
      </c>
      <c r="KO779" s="22">
        <f t="shared" si="548"/>
        <v>0</v>
      </c>
      <c r="KP779" s="19" t="str">
        <f t="shared" si="549"/>
        <v/>
      </c>
      <c r="KQ779" s="11" t="str">
        <f t="shared" si="550"/>
        <v>1. Neutral</v>
      </c>
      <c r="KR779" s="11" t="str">
        <f t="shared" si="551"/>
        <v>2. Accommodating</v>
      </c>
      <c r="KS779" s="11" t="str">
        <f t="shared" si="552"/>
        <v>2. Sensitive</v>
      </c>
      <c r="KT779" s="11">
        <f t="shared" si="553"/>
        <v>0</v>
      </c>
      <c r="KU779" s="11" t="str">
        <f t="shared" si="554"/>
        <v>Little or no advocacy</v>
      </c>
      <c r="KV779" s="11">
        <f t="shared" si="555"/>
        <v>0</v>
      </c>
      <c r="KW779" s="11" t="str">
        <f t="shared" si="556"/>
        <v>Tanzania - GO GREEN PROJECT</v>
      </c>
      <c r="KX779" s="11" t="str">
        <f t="shared" si="557"/>
        <v>GO GREEN PROJECT</v>
      </c>
      <c r="KY779" s="11" t="str">
        <f t="shared" si="558"/>
        <v>Tanzania</v>
      </c>
      <c r="KZ779" s="12">
        <v>780</v>
      </c>
    </row>
    <row r="780" spans="1:312" x14ac:dyDescent="0.3">
      <c r="A780" s="12" t="s">
        <v>12090</v>
      </c>
      <c r="B780" s="12" t="s">
        <v>7217</v>
      </c>
      <c r="C780" s="12">
        <v>3655</v>
      </c>
      <c r="D780" s="12" t="s">
        <v>12184</v>
      </c>
      <c r="E780" s="277" t="str">
        <f t="shared" si="516"/>
        <v>Tanzania</v>
      </c>
      <c r="F780" s="12" t="s">
        <v>12185</v>
      </c>
      <c r="G780" s="12" t="s">
        <v>379</v>
      </c>
      <c r="H780" s="12" t="s">
        <v>383</v>
      </c>
      <c r="I780" s="12" t="s">
        <v>1102</v>
      </c>
      <c r="J780" s="278" t="s">
        <v>1102</v>
      </c>
      <c r="K780" s="12"/>
      <c r="L780" s="12"/>
      <c r="M780" s="12"/>
      <c r="N780" s="12"/>
      <c r="O780" s="12"/>
      <c r="P780" s="12"/>
      <c r="Q780" s="12"/>
      <c r="R780" s="12"/>
      <c r="S780" s="12"/>
      <c r="T780" s="12"/>
      <c r="U780" s="12"/>
      <c r="V780" s="12"/>
      <c r="W780" s="12"/>
      <c r="X780" s="12"/>
      <c r="Y780" s="12"/>
      <c r="Z780" s="12"/>
      <c r="AA780" s="12"/>
      <c r="AB780" s="12"/>
      <c r="AC780" s="12"/>
      <c r="AD780" s="12"/>
      <c r="BD780" s="13">
        <v>41577</v>
      </c>
      <c r="BE780" s="12"/>
      <c r="BF780" s="13">
        <v>42916</v>
      </c>
      <c r="BG780" s="12" t="s">
        <v>350</v>
      </c>
      <c r="BH780" s="14">
        <v>787851</v>
      </c>
      <c r="BI780" s="12" t="s">
        <v>12186</v>
      </c>
      <c r="BJ780" s="12" t="s">
        <v>12187</v>
      </c>
      <c r="BK780" s="12" t="s">
        <v>12188</v>
      </c>
      <c r="BL780" s="12" t="s">
        <v>12189</v>
      </c>
      <c r="BM780" s="12" t="s">
        <v>12190</v>
      </c>
      <c r="BN780" s="12" t="s">
        <v>12191</v>
      </c>
      <c r="BO780" s="12" t="s">
        <v>319</v>
      </c>
      <c r="BP780" s="12" t="s">
        <v>320</v>
      </c>
      <c r="BQ780" s="12" t="s">
        <v>319</v>
      </c>
      <c r="BR780" s="12" t="s">
        <v>12192</v>
      </c>
      <c r="BS780" s="12" t="s">
        <v>357</v>
      </c>
      <c r="BT780" s="12" t="s">
        <v>12193</v>
      </c>
      <c r="BU780" s="12" t="s">
        <v>12194</v>
      </c>
      <c r="BV780" s="14">
        <v>68000</v>
      </c>
      <c r="BW780" s="14">
        <v>32000</v>
      </c>
      <c r="BX780" s="14">
        <v>100000</v>
      </c>
      <c r="BY780" s="14">
        <v>272000</v>
      </c>
      <c r="BZ780" s="14">
        <v>128000</v>
      </c>
      <c r="CA780" s="14">
        <v>400000</v>
      </c>
      <c r="CB780" s="12" t="s">
        <v>12195</v>
      </c>
      <c r="CD780" s="14"/>
      <c r="CE780" s="14"/>
      <c r="CF780" s="14"/>
      <c r="CG780" s="14"/>
      <c r="CH780" s="14"/>
      <c r="CI780" s="14"/>
      <c r="CJ780" s="12"/>
      <c r="CK780" s="14"/>
      <c r="CL780" s="16"/>
      <c r="CM780" s="14"/>
      <c r="CN780" s="12"/>
      <c r="CO780" s="14"/>
      <c r="CP780" s="16"/>
      <c r="CQ780" s="14"/>
      <c r="CR780" s="12"/>
      <c r="CS780" s="14"/>
      <c r="CT780" s="16"/>
      <c r="CU780" s="14"/>
      <c r="CV780" s="12"/>
      <c r="CW780" s="14"/>
      <c r="CX780" s="16"/>
      <c r="CY780" s="14"/>
      <c r="CZ780" s="12"/>
      <c r="DA780" s="14"/>
      <c r="DB780" s="16"/>
      <c r="DC780" s="14"/>
      <c r="DD780" s="12"/>
      <c r="DE780" s="14"/>
      <c r="DF780" s="16"/>
      <c r="DG780" s="14"/>
      <c r="DH780" s="12"/>
      <c r="DI780" s="14"/>
      <c r="DJ780" s="16"/>
      <c r="DK780" s="14"/>
      <c r="DL780" s="12"/>
      <c r="DM780" s="14"/>
      <c r="DN780" s="16"/>
      <c r="DO780" s="14"/>
      <c r="DP780" s="12"/>
      <c r="DQ780" s="14"/>
      <c r="DR780" s="16"/>
      <c r="DS780" s="14"/>
      <c r="DT780" s="12"/>
      <c r="DU780" s="14"/>
      <c r="DV780" s="16"/>
      <c r="DW780" s="14"/>
      <c r="DX780" s="12"/>
      <c r="DY780" s="14"/>
      <c r="DZ780" s="16"/>
      <c r="EA780" s="14"/>
      <c r="EB780" s="12"/>
      <c r="EC780" s="14"/>
      <c r="ED780" s="16"/>
      <c r="EE780" s="14"/>
      <c r="EF780" s="12"/>
      <c r="EG780" s="12"/>
      <c r="EH780" s="14"/>
      <c r="EI780" s="16"/>
      <c r="EJ780" s="14"/>
      <c r="EK780" s="14">
        <v>11834</v>
      </c>
      <c r="EL780" s="14">
        <v>3417</v>
      </c>
      <c r="EM780" s="14">
        <v>15251</v>
      </c>
      <c r="EN780" s="14">
        <v>47336</v>
      </c>
      <c r="EO780" s="14">
        <v>13668</v>
      </c>
      <c r="EP780" s="14">
        <v>61004</v>
      </c>
      <c r="EQ780" s="12" t="s">
        <v>319</v>
      </c>
      <c r="ER780" s="14"/>
      <c r="ES780" s="16"/>
      <c r="ET780" s="14"/>
      <c r="EU780" s="11" t="s">
        <v>319</v>
      </c>
      <c r="EV780" s="14"/>
      <c r="EW780" s="16"/>
      <c r="EX780" s="14"/>
      <c r="EY780" s="12" t="s">
        <v>319</v>
      </c>
      <c r="EZ780" s="14"/>
      <c r="FA780" s="16"/>
      <c r="FB780" s="14"/>
      <c r="FC780" s="12" t="s">
        <v>319</v>
      </c>
      <c r="FD780" s="14"/>
      <c r="FE780" s="16"/>
      <c r="FF780" s="14"/>
      <c r="FG780" s="12" t="s">
        <v>319</v>
      </c>
      <c r="FH780" s="14"/>
      <c r="FI780" s="16"/>
      <c r="FJ780" s="14"/>
      <c r="FK780" s="12" t="s">
        <v>319</v>
      </c>
      <c r="FL780" s="14"/>
      <c r="FM780" s="16"/>
      <c r="FN780" s="14"/>
      <c r="FO780" s="12" t="s">
        <v>319</v>
      </c>
      <c r="FP780" s="14"/>
      <c r="FQ780" s="16"/>
      <c r="FR780" s="14"/>
      <c r="FS780" s="12" t="s">
        <v>319</v>
      </c>
      <c r="FT780" s="14"/>
      <c r="FU780" s="16"/>
      <c r="FV780" s="14"/>
      <c r="FW780" s="12" t="s">
        <v>319</v>
      </c>
      <c r="FX780" s="14"/>
      <c r="FY780" s="16"/>
      <c r="FZ780" s="14"/>
      <c r="GA780" s="12" t="s">
        <v>319</v>
      </c>
      <c r="GB780" s="14"/>
      <c r="GC780" s="16"/>
      <c r="GD780" s="14"/>
      <c r="GE780" s="12" t="s">
        <v>319</v>
      </c>
      <c r="GF780" s="14"/>
      <c r="GG780" s="16"/>
      <c r="GH780" s="14"/>
      <c r="GI780" s="12" t="s">
        <v>319</v>
      </c>
      <c r="GJ780" s="14"/>
      <c r="GK780" s="16"/>
      <c r="GL780" s="14"/>
      <c r="GM780" s="12" t="s">
        <v>319</v>
      </c>
      <c r="GN780" s="14"/>
      <c r="GO780" s="16"/>
      <c r="GP780" s="14"/>
      <c r="GQ780" s="12" t="s">
        <v>319</v>
      </c>
      <c r="GR780" s="14"/>
      <c r="GS780" s="16"/>
      <c r="GT780" s="14"/>
      <c r="GU780" s="12" t="s">
        <v>319</v>
      </c>
      <c r="GV780" s="14"/>
      <c r="GW780" s="16"/>
      <c r="GX780" s="14"/>
      <c r="GY780" s="11" t="s">
        <v>320</v>
      </c>
      <c r="GZ780" s="14">
        <v>15251</v>
      </c>
      <c r="HA780" s="16">
        <v>0.77590000000000003</v>
      </c>
      <c r="HB780" s="14">
        <v>61004</v>
      </c>
      <c r="HC780" s="12"/>
      <c r="HD780" s="12" t="s">
        <v>319</v>
      </c>
      <c r="HE780" s="14"/>
      <c r="HF780" s="16"/>
      <c r="HG780" s="14"/>
      <c r="HH780" s="12" t="s">
        <v>320</v>
      </c>
      <c r="HI780" s="12" t="s">
        <v>1175</v>
      </c>
      <c r="HJ780" s="12">
        <v>2017</v>
      </c>
      <c r="HK780" s="12" t="s">
        <v>320</v>
      </c>
      <c r="HL780" s="12" t="s">
        <v>319</v>
      </c>
      <c r="HM780" s="12"/>
      <c r="HN780" s="12"/>
      <c r="HO780" s="12" t="s">
        <v>393</v>
      </c>
      <c r="HP780" s="12" t="s">
        <v>418</v>
      </c>
      <c r="HQ780" s="12" t="s">
        <v>320</v>
      </c>
      <c r="HR780" s="12" t="s">
        <v>319</v>
      </c>
      <c r="HS780" s="12" t="s">
        <v>320</v>
      </c>
      <c r="HT780" s="12" t="s">
        <v>320</v>
      </c>
      <c r="HU780" s="12" t="s">
        <v>320</v>
      </c>
      <c r="HV780" s="12" t="s">
        <v>319</v>
      </c>
      <c r="HW780" s="12" t="s">
        <v>320</v>
      </c>
      <c r="HX780" s="12" t="s">
        <v>319</v>
      </c>
      <c r="HY780" s="12"/>
      <c r="HZ780" s="12" t="s">
        <v>331</v>
      </c>
      <c r="IA780" s="12" t="s">
        <v>12196</v>
      </c>
      <c r="IB780" s="12" t="s">
        <v>396</v>
      </c>
      <c r="IC780" s="12" t="s">
        <v>12197</v>
      </c>
      <c r="ID780" s="12" t="s">
        <v>364</v>
      </c>
      <c r="IE780" s="12" t="s">
        <v>335</v>
      </c>
      <c r="IF780" s="12" t="s">
        <v>320</v>
      </c>
      <c r="IG780" s="12" t="s">
        <v>320</v>
      </c>
      <c r="IH780" s="12" t="s">
        <v>320</v>
      </c>
      <c r="II780" s="12" t="s">
        <v>320</v>
      </c>
      <c r="IJ780" s="12" t="str">
        <f t="shared" si="517"/>
        <v>2. Sensitive</v>
      </c>
      <c r="IK780" s="12">
        <f t="shared" si="518"/>
        <v>4</v>
      </c>
      <c r="IL780" s="12" t="s">
        <v>336</v>
      </c>
      <c r="IM780" s="12" t="s">
        <v>320</v>
      </c>
      <c r="IN780" s="12" t="s">
        <v>319</v>
      </c>
      <c r="IO780" s="12" t="s">
        <v>320</v>
      </c>
      <c r="IP780" s="12" t="s">
        <v>320</v>
      </c>
      <c r="IQ780" s="12" t="str">
        <f t="shared" si="519"/>
        <v>2. Accommodating</v>
      </c>
      <c r="IR780" s="12">
        <f t="shared" si="520"/>
        <v>3</v>
      </c>
      <c r="IS780" s="12" t="s">
        <v>337</v>
      </c>
      <c r="IT780" s="12" t="s">
        <v>319</v>
      </c>
      <c r="IU780" s="12" t="s">
        <v>319</v>
      </c>
      <c r="IV780" s="12" t="s">
        <v>320</v>
      </c>
      <c r="IW780" s="11" t="str">
        <f t="shared" si="521"/>
        <v>1. Neutral</v>
      </c>
      <c r="IX780" s="12">
        <f t="shared" si="522"/>
        <v>1</v>
      </c>
      <c r="IY780" s="12" t="s">
        <v>338</v>
      </c>
      <c r="IZ780" s="12" t="s">
        <v>432</v>
      </c>
      <c r="JA780" s="12">
        <v>3</v>
      </c>
      <c r="JB780" s="12" t="s">
        <v>724</v>
      </c>
      <c r="JC780" s="12" t="s">
        <v>687</v>
      </c>
      <c r="JD780" s="12" t="s">
        <v>831</v>
      </c>
      <c r="JE780" s="12" t="s">
        <v>420</v>
      </c>
      <c r="JF780" s="12"/>
      <c r="JG780" s="12" t="s">
        <v>12198</v>
      </c>
      <c r="JH780" s="12" t="s">
        <v>12199</v>
      </c>
      <c r="JI780" s="12" t="s">
        <v>12200</v>
      </c>
      <c r="JJ780" s="12" t="s">
        <v>12201</v>
      </c>
      <c r="JK780" s="12" t="s">
        <v>12202</v>
      </c>
      <c r="JL780" s="12" t="s">
        <v>12203</v>
      </c>
      <c r="JM780" s="12" t="s">
        <v>12204</v>
      </c>
      <c r="JN780" s="12" t="s">
        <v>12205</v>
      </c>
      <c r="JO780" s="12"/>
      <c r="JP780" s="15">
        <f t="shared" si="523"/>
        <v>15251</v>
      </c>
      <c r="JQ780" s="15">
        <f t="shared" si="524"/>
        <v>61004</v>
      </c>
      <c r="JR780" s="279">
        <f t="shared" si="525"/>
        <v>4</v>
      </c>
      <c r="JS780" s="17">
        <f t="shared" si="526"/>
        <v>0.77594911809061706</v>
      </c>
      <c r="JT780" s="18">
        <f t="shared" si="527"/>
        <v>0.77594911809061706</v>
      </c>
      <c r="JU780" s="280">
        <f t="shared" si="528"/>
        <v>11834</v>
      </c>
      <c r="JV780" s="280">
        <f t="shared" si="529"/>
        <v>47336</v>
      </c>
      <c r="JW780" s="319" t="str">
        <f t="shared" si="530"/>
        <v/>
      </c>
      <c r="JX780" s="15">
        <f t="shared" si="531"/>
        <v>0</v>
      </c>
      <c r="JY780" s="15">
        <f t="shared" si="532"/>
        <v>0</v>
      </c>
      <c r="JZ780" s="19" t="str">
        <f t="shared" si="533"/>
        <v/>
      </c>
      <c r="KA780" s="52" t="str">
        <f t="shared" si="534"/>
        <v/>
      </c>
      <c r="KB780" s="15">
        <f t="shared" si="535"/>
        <v>0</v>
      </c>
      <c r="KC780" s="15">
        <f t="shared" si="536"/>
        <v>0</v>
      </c>
      <c r="KD780" s="20" t="str">
        <f t="shared" si="537"/>
        <v/>
      </c>
      <c r="KE780" s="52" t="str">
        <f t="shared" si="538"/>
        <v/>
      </c>
      <c r="KF780" s="15">
        <f t="shared" si="539"/>
        <v>0</v>
      </c>
      <c r="KG780" s="15">
        <f t="shared" si="540"/>
        <v>0</v>
      </c>
      <c r="KH780" s="21" t="str">
        <f t="shared" si="541"/>
        <v/>
      </c>
      <c r="KI780" s="52" t="str">
        <f t="shared" si="542"/>
        <v/>
      </c>
      <c r="KJ780" s="15">
        <f t="shared" si="543"/>
        <v>0</v>
      </c>
      <c r="KK780" s="15">
        <f t="shared" si="544"/>
        <v>0</v>
      </c>
      <c r="KL780" s="19" t="str">
        <f t="shared" si="545"/>
        <v/>
      </c>
      <c r="KM780" s="52">
        <f t="shared" si="546"/>
        <v>1</v>
      </c>
      <c r="KN780" s="22">
        <f t="shared" si="547"/>
        <v>15251</v>
      </c>
      <c r="KO780" s="22">
        <f t="shared" si="548"/>
        <v>61004</v>
      </c>
      <c r="KP780" s="19">
        <f t="shared" si="549"/>
        <v>4</v>
      </c>
      <c r="KQ780" s="11" t="str">
        <f t="shared" si="550"/>
        <v>2. Sensitive</v>
      </c>
      <c r="KR780" s="11" t="str">
        <f t="shared" si="551"/>
        <v>2. Accommodating</v>
      </c>
      <c r="KS780" s="11" t="str">
        <f t="shared" si="552"/>
        <v>1. Neutral</v>
      </c>
      <c r="KT780" s="11" t="str">
        <f t="shared" si="553"/>
        <v>It tested new ways for fighting poverty and measured results of innovation</v>
      </c>
      <c r="KU780" s="11" t="str">
        <f t="shared" si="554"/>
        <v>Little or no advocacy</v>
      </c>
      <c r="KV780" s="11" t="str">
        <f t="shared" si="555"/>
        <v>It linked and worked with strategic alliances and partners to take tested and effective solutions to scale</v>
      </c>
      <c r="KW780" s="11" t="str">
        <f t="shared" si="556"/>
        <v>Tanzania - Link UP</v>
      </c>
      <c r="KX780" s="11" t="str">
        <f t="shared" si="557"/>
        <v>Link UP</v>
      </c>
      <c r="KY780" s="11" t="str">
        <f t="shared" si="558"/>
        <v>Tanzania</v>
      </c>
      <c r="KZ780" s="12">
        <v>781</v>
      </c>
    </row>
    <row r="781" spans="1:312" x14ac:dyDescent="0.3">
      <c r="A781" s="12" t="s">
        <v>12090</v>
      </c>
      <c r="B781" s="12" t="s">
        <v>7217</v>
      </c>
      <c r="C781" s="12">
        <v>3659</v>
      </c>
      <c r="D781" s="12" t="s">
        <v>12206</v>
      </c>
      <c r="E781" s="277" t="str">
        <f t="shared" si="516"/>
        <v>Tanzania</v>
      </c>
      <c r="F781" s="12" t="s">
        <v>12207</v>
      </c>
      <c r="G781" s="12" t="s">
        <v>379</v>
      </c>
      <c r="H781" s="12" t="s">
        <v>380</v>
      </c>
      <c r="I781" s="12" t="s">
        <v>381</v>
      </c>
      <c r="J781" s="281" t="s">
        <v>14635</v>
      </c>
      <c r="K781" s="12"/>
      <c r="L781" s="12"/>
      <c r="M781" s="12"/>
      <c r="N781" s="12"/>
      <c r="O781" s="12"/>
      <c r="P781" s="12"/>
      <c r="Q781" s="12"/>
      <c r="R781" s="12"/>
      <c r="S781" s="12"/>
      <c r="T781" s="12"/>
      <c r="U781" s="12"/>
      <c r="V781" s="12"/>
      <c r="W781" s="12"/>
      <c r="X781" s="12"/>
      <c r="Y781" s="12"/>
      <c r="Z781" s="12"/>
      <c r="AA781" s="12"/>
      <c r="AB781" s="12"/>
      <c r="AC781" s="12"/>
      <c r="AD781" s="12"/>
      <c r="BD781" s="13">
        <v>41399</v>
      </c>
      <c r="BE781" s="13">
        <v>42825</v>
      </c>
      <c r="BF781" s="12"/>
      <c r="BG781" s="12" t="s">
        <v>350</v>
      </c>
      <c r="BH781" s="14">
        <v>1874068</v>
      </c>
      <c r="BI781" s="12" t="s">
        <v>12208</v>
      </c>
      <c r="BJ781" s="12" t="s">
        <v>8849</v>
      </c>
      <c r="BK781" s="12" t="s">
        <v>12209</v>
      </c>
      <c r="BL781" s="12" t="s">
        <v>12210</v>
      </c>
      <c r="BM781" s="12" t="s">
        <v>12211</v>
      </c>
      <c r="BN781" s="12" t="s">
        <v>12212</v>
      </c>
      <c r="BO781" s="11" t="s">
        <v>319</v>
      </c>
      <c r="BP781" s="11" t="s">
        <v>320</v>
      </c>
      <c r="BQ781" s="11" t="s">
        <v>319</v>
      </c>
      <c r="BR781" s="12" t="s">
        <v>12213</v>
      </c>
      <c r="BS781" s="12" t="s">
        <v>357</v>
      </c>
      <c r="BT781" s="12" t="s">
        <v>12214</v>
      </c>
      <c r="BU781" s="12" t="s">
        <v>12215</v>
      </c>
      <c r="BV781" s="14">
        <v>49000</v>
      </c>
      <c r="BW781" s="14">
        <v>21000</v>
      </c>
      <c r="BX781" s="14">
        <v>70000</v>
      </c>
      <c r="BY781" s="14">
        <v>196000</v>
      </c>
      <c r="BZ781" s="14">
        <v>84000</v>
      </c>
      <c r="CA781" s="14">
        <v>280000</v>
      </c>
      <c r="CB781" s="12" t="s">
        <v>12216</v>
      </c>
      <c r="CD781" s="14"/>
      <c r="CE781" s="14"/>
      <c r="CF781" s="14"/>
      <c r="CG781" s="14"/>
      <c r="CH781" s="14"/>
      <c r="CI781" s="14"/>
      <c r="CJ781" s="12"/>
      <c r="CK781" s="14"/>
      <c r="CL781" s="16"/>
      <c r="CM781" s="14"/>
      <c r="CN781" s="12"/>
      <c r="CO781" s="14"/>
      <c r="CP781" s="16"/>
      <c r="CQ781" s="14"/>
      <c r="CR781" s="12"/>
      <c r="CS781" s="14"/>
      <c r="CT781" s="16"/>
      <c r="CU781" s="14"/>
      <c r="CV781" s="12"/>
      <c r="CW781" s="14"/>
      <c r="CX781" s="16"/>
      <c r="CY781" s="14"/>
      <c r="CZ781" s="12"/>
      <c r="DA781" s="14"/>
      <c r="DB781" s="16"/>
      <c r="DC781" s="14"/>
      <c r="DD781" s="12"/>
      <c r="DE781" s="14"/>
      <c r="DF781" s="16"/>
      <c r="DG781" s="14"/>
      <c r="DH781" s="12"/>
      <c r="DI781" s="14"/>
      <c r="DJ781" s="16"/>
      <c r="DK781" s="14"/>
      <c r="DL781" s="12"/>
      <c r="DM781" s="14"/>
      <c r="DN781" s="16"/>
      <c r="DO781" s="14"/>
      <c r="DP781" s="12"/>
      <c r="DQ781" s="14"/>
      <c r="DR781" s="16"/>
      <c r="DS781" s="14"/>
      <c r="DT781" s="12"/>
      <c r="DU781" s="14"/>
      <c r="DV781" s="16"/>
      <c r="DW781" s="14"/>
      <c r="DX781" s="12"/>
      <c r="DY781" s="14"/>
      <c r="DZ781" s="16"/>
      <c r="EA781" s="14"/>
      <c r="EB781" s="12"/>
      <c r="EC781" s="14"/>
      <c r="ED781" s="16"/>
      <c r="EE781" s="14"/>
      <c r="EF781" s="12"/>
      <c r="EG781" s="12"/>
      <c r="EH781" s="14"/>
      <c r="EI781" s="16"/>
      <c r="EJ781" s="14"/>
      <c r="EK781" s="14">
        <v>42226</v>
      </c>
      <c r="EL781" s="14">
        <v>12013</v>
      </c>
      <c r="EM781" s="14">
        <v>54239</v>
      </c>
      <c r="EN781" s="14">
        <v>168904</v>
      </c>
      <c r="EO781" s="14">
        <v>48052</v>
      </c>
      <c r="EP781" s="14">
        <v>216956</v>
      </c>
      <c r="EQ781" s="12" t="s">
        <v>319</v>
      </c>
      <c r="ER781" s="14"/>
      <c r="ES781" s="16"/>
      <c r="ET781" s="14"/>
      <c r="EU781" s="11" t="s">
        <v>319</v>
      </c>
      <c r="EV781" s="14"/>
      <c r="EW781" s="16"/>
      <c r="EX781" s="14"/>
      <c r="EY781" s="12" t="s">
        <v>319</v>
      </c>
      <c r="EZ781" s="14"/>
      <c r="FA781" s="16"/>
      <c r="FB781" s="14"/>
      <c r="FC781" s="12" t="s">
        <v>319</v>
      </c>
      <c r="FD781" s="14"/>
      <c r="FE781" s="16"/>
      <c r="FF781" s="14"/>
      <c r="FG781" s="12" t="s">
        <v>319</v>
      </c>
      <c r="FH781" s="14"/>
      <c r="FI781" s="16"/>
      <c r="FJ781" s="14"/>
      <c r="FK781" s="12" t="s">
        <v>319</v>
      </c>
      <c r="FL781" s="14"/>
      <c r="FM781" s="16"/>
      <c r="FN781" s="14"/>
      <c r="FO781" s="12" t="s">
        <v>319</v>
      </c>
      <c r="FP781" s="14"/>
      <c r="FQ781" s="16"/>
      <c r="FR781" s="14"/>
      <c r="FS781" s="12" t="s">
        <v>319</v>
      </c>
      <c r="FT781" s="14"/>
      <c r="FU781" s="16"/>
      <c r="FV781" s="14"/>
      <c r="FW781" s="12" t="s">
        <v>319</v>
      </c>
      <c r="FX781" s="14"/>
      <c r="FY781" s="16"/>
      <c r="FZ781" s="14"/>
      <c r="GA781" s="12" t="s">
        <v>319</v>
      </c>
      <c r="GB781" s="14"/>
      <c r="GC781" s="16"/>
      <c r="GD781" s="14"/>
      <c r="GE781" s="12" t="s">
        <v>319</v>
      </c>
      <c r="GF781" s="14"/>
      <c r="GG781" s="16"/>
      <c r="GH781" s="14"/>
      <c r="GI781" s="12" t="s">
        <v>319</v>
      </c>
      <c r="GJ781" s="14"/>
      <c r="GK781" s="16"/>
      <c r="GL781" s="14"/>
      <c r="GM781" s="12" t="s">
        <v>319</v>
      </c>
      <c r="GN781" s="14"/>
      <c r="GO781" s="16"/>
      <c r="GP781" s="14"/>
      <c r="GQ781" s="12" t="s">
        <v>319</v>
      </c>
      <c r="GR781" s="14"/>
      <c r="GS781" s="16"/>
      <c r="GT781" s="14"/>
      <c r="GU781" s="12" t="s">
        <v>319</v>
      </c>
      <c r="GV781" s="14"/>
      <c r="GW781" s="16"/>
      <c r="GX781" s="14"/>
      <c r="GY781" s="11" t="s">
        <v>320</v>
      </c>
      <c r="GZ781" s="14">
        <v>5174</v>
      </c>
      <c r="HA781" s="16">
        <v>0.7</v>
      </c>
      <c r="HB781" s="14">
        <v>144872</v>
      </c>
      <c r="HC781" s="12"/>
      <c r="HD781" s="12"/>
      <c r="HE781" s="14"/>
      <c r="HF781" s="16"/>
      <c r="HG781" s="14"/>
      <c r="HH781" s="12" t="s">
        <v>319</v>
      </c>
      <c r="HI781" s="12"/>
      <c r="HJ781" s="12"/>
      <c r="HK781" s="12" t="s">
        <v>319</v>
      </c>
      <c r="HL781" s="12" t="s">
        <v>319</v>
      </c>
      <c r="HM781" s="12"/>
      <c r="HN781" s="12"/>
      <c r="HO781" s="12"/>
      <c r="HP781" s="12" t="s">
        <v>418</v>
      </c>
      <c r="HQ781" s="12" t="s">
        <v>319</v>
      </c>
      <c r="HR781" s="12" t="s">
        <v>319</v>
      </c>
      <c r="HS781" s="12" t="s">
        <v>319</v>
      </c>
      <c r="HT781" s="12" t="s">
        <v>319</v>
      </c>
      <c r="HU781" s="12" t="s">
        <v>319</v>
      </c>
      <c r="HV781" s="12" t="s">
        <v>319</v>
      </c>
      <c r="HW781" s="12" t="s">
        <v>319</v>
      </c>
      <c r="HX781" s="12" t="s">
        <v>319</v>
      </c>
      <c r="HY781" s="12"/>
      <c r="HZ781" s="12" t="s">
        <v>363</v>
      </c>
      <c r="IA781" s="12"/>
      <c r="IB781" s="12" t="s">
        <v>396</v>
      </c>
      <c r="IC781" s="12" t="s">
        <v>12217</v>
      </c>
      <c r="ID781" s="12" t="s">
        <v>364</v>
      </c>
      <c r="IE781" s="12" t="s">
        <v>335</v>
      </c>
      <c r="IF781" s="12" t="s">
        <v>320</v>
      </c>
      <c r="IG781" s="12" t="s">
        <v>320</v>
      </c>
      <c r="IH781" s="12" t="s">
        <v>320</v>
      </c>
      <c r="II781" s="12" t="s">
        <v>319</v>
      </c>
      <c r="IJ781" s="12" t="str">
        <f t="shared" si="517"/>
        <v>1. Neutral</v>
      </c>
      <c r="IK781" s="12">
        <f t="shared" si="518"/>
        <v>3</v>
      </c>
      <c r="IL781" s="12" t="s">
        <v>336</v>
      </c>
      <c r="IM781" s="12" t="s">
        <v>320</v>
      </c>
      <c r="IN781" s="12" t="s">
        <v>320</v>
      </c>
      <c r="IO781" s="12" t="s">
        <v>320</v>
      </c>
      <c r="IP781" s="12" t="s">
        <v>320</v>
      </c>
      <c r="IQ781" s="12" t="str">
        <f t="shared" si="519"/>
        <v>2. Accommodating</v>
      </c>
      <c r="IR781" s="12">
        <f t="shared" si="520"/>
        <v>4</v>
      </c>
      <c r="IS781" s="12" t="s">
        <v>337</v>
      </c>
      <c r="IT781" s="12" t="s">
        <v>320</v>
      </c>
      <c r="IU781" s="12" t="s">
        <v>320</v>
      </c>
      <c r="IV781" s="12" t="s">
        <v>319</v>
      </c>
      <c r="IW781" s="11" t="str">
        <f t="shared" si="521"/>
        <v>1. Neutral</v>
      </c>
      <c r="IX781" s="12">
        <f t="shared" si="522"/>
        <v>2</v>
      </c>
      <c r="IY781" s="12" t="s">
        <v>419</v>
      </c>
      <c r="IZ781" s="12" t="s">
        <v>527</v>
      </c>
      <c r="JA781" s="12">
        <v>1</v>
      </c>
      <c r="JB781" s="12"/>
      <c r="JC781" s="12" t="s">
        <v>687</v>
      </c>
      <c r="JD781" s="12"/>
      <c r="JE781" s="12" t="s">
        <v>420</v>
      </c>
      <c r="JF781" s="12"/>
      <c r="JG781" s="12"/>
      <c r="JH781" s="12" t="s">
        <v>12218</v>
      </c>
      <c r="JI781" s="12" t="s">
        <v>12219</v>
      </c>
      <c r="JJ781" s="12" t="s">
        <v>12220</v>
      </c>
      <c r="JK781" s="12" t="s">
        <v>12221</v>
      </c>
      <c r="JL781" s="12" t="s">
        <v>12222</v>
      </c>
      <c r="JM781" s="12" t="s">
        <v>12223</v>
      </c>
      <c r="JN781" s="12"/>
      <c r="JO781" s="12" t="s">
        <v>12224</v>
      </c>
      <c r="JP781" s="15">
        <f t="shared" si="523"/>
        <v>54239</v>
      </c>
      <c r="JQ781" s="15">
        <f t="shared" si="524"/>
        <v>216956</v>
      </c>
      <c r="JR781" s="279">
        <f t="shared" si="525"/>
        <v>4</v>
      </c>
      <c r="JS781" s="17">
        <f t="shared" si="526"/>
        <v>0.77851730304762257</v>
      </c>
      <c r="JT781" s="18">
        <f t="shared" si="527"/>
        <v>0.77851730304762257</v>
      </c>
      <c r="JU781" s="280">
        <f t="shared" si="528"/>
        <v>42226</v>
      </c>
      <c r="JV781" s="280">
        <f t="shared" si="529"/>
        <v>168904</v>
      </c>
      <c r="JW781" s="319" t="str">
        <f t="shared" si="530"/>
        <v/>
      </c>
      <c r="JX781" s="15">
        <f t="shared" si="531"/>
        <v>0</v>
      </c>
      <c r="JY781" s="15">
        <f t="shared" si="532"/>
        <v>0</v>
      </c>
      <c r="JZ781" s="19" t="str">
        <f t="shared" si="533"/>
        <v/>
      </c>
      <c r="KA781" s="52" t="str">
        <f t="shared" si="534"/>
        <v/>
      </c>
      <c r="KB781" s="15">
        <f t="shared" si="535"/>
        <v>0</v>
      </c>
      <c r="KC781" s="15">
        <f t="shared" si="536"/>
        <v>0</v>
      </c>
      <c r="KD781" s="20" t="str">
        <f t="shared" si="537"/>
        <v/>
      </c>
      <c r="KE781" s="52" t="str">
        <f t="shared" si="538"/>
        <v/>
      </c>
      <c r="KF781" s="15">
        <f t="shared" si="539"/>
        <v>0</v>
      </c>
      <c r="KG781" s="15">
        <f t="shared" si="540"/>
        <v>0</v>
      </c>
      <c r="KH781" s="21" t="str">
        <f t="shared" si="541"/>
        <v/>
      </c>
      <c r="KI781" s="52" t="str">
        <f t="shared" si="542"/>
        <v/>
      </c>
      <c r="KJ781" s="15">
        <f t="shared" si="543"/>
        <v>0</v>
      </c>
      <c r="KK781" s="15">
        <f t="shared" si="544"/>
        <v>0</v>
      </c>
      <c r="KL781" s="19" t="str">
        <f t="shared" si="545"/>
        <v/>
      </c>
      <c r="KM781" s="52">
        <f t="shared" si="546"/>
        <v>1</v>
      </c>
      <c r="KN781" s="22">
        <f t="shared" si="547"/>
        <v>5174</v>
      </c>
      <c r="KO781" s="22">
        <f t="shared" si="548"/>
        <v>144872</v>
      </c>
      <c r="KP781" s="19">
        <f t="shared" si="549"/>
        <v>28</v>
      </c>
      <c r="KQ781" s="11" t="str">
        <f t="shared" si="550"/>
        <v>1. Neutral</v>
      </c>
      <c r="KR781" s="11" t="str">
        <f t="shared" si="551"/>
        <v>2. Accommodating</v>
      </c>
      <c r="KS781" s="11" t="str">
        <f t="shared" si="552"/>
        <v>1. Neutral</v>
      </c>
      <c r="KT781" s="11" t="str">
        <f t="shared" si="553"/>
        <v>It did not develop any specific innovation</v>
      </c>
      <c r="KU781" s="11" t="str">
        <f t="shared" si="554"/>
        <v>Little or no advocacy</v>
      </c>
      <c r="KV781" s="11" t="str">
        <f t="shared" si="555"/>
        <v>It linked and worked with strategic alliances and partners to take tested and effective solutions to scale</v>
      </c>
      <c r="KW781" s="11" t="str">
        <f t="shared" si="556"/>
        <v>Tanzania - Micro Lead Expansion project</v>
      </c>
      <c r="KX781" s="11" t="str">
        <f t="shared" si="557"/>
        <v>Micro Lead Expansion project</v>
      </c>
      <c r="KY781" s="11" t="str">
        <f t="shared" si="558"/>
        <v>Tanzania</v>
      </c>
      <c r="KZ781" s="12">
        <v>782</v>
      </c>
    </row>
    <row r="782" spans="1:312" x14ac:dyDescent="0.3">
      <c r="A782" s="12" t="s">
        <v>12090</v>
      </c>
      <c r="B782" s="12" t="s">
        <v>7217</v>
      </c>
      <c r="C782" s="12">
        <v>3654</v>
      </c>
      <c r="D782" s="12" t="s">
        <v>12225</v>
      </c>
      <c r="E782" s="277" t="str">
        <f t="shared" si="516"/>
        <v>Tanzania</v>
      </c>
      <c r="F782" s="12" t="s">
        <v>12226</v>
      </c>
      <c r="G782" s="12" t="s">
        <v>379</v>
      </c>
      <c r="H782" s="12" t="s">
        <v>310</v>
      </c>
      <c r="I782" s="12" t="s">
        <v>12227</v>
      </c>
      <c r="J782" s="281" t="s">
        <v>7797</v>
      </c>
      <c r="K782" s="12"/>
      <c r="L782" s="12"/>
      <c r="M782" s="12"/>
      <c r="N782" s="12"/>
      <c r="O782" s="12"/>
      <c r="P782" s="12"/>
      <c r="Q782" s="12"/>
      <c r="R782" s="12"/>
      <c r="S782" s="12"/>
      <c r="T782" s="12"/>
      <c r="U782" s="12"/>
      <c r="V782" s="12"/>
      <c r="W782" s="12"/>
      <c r="X782" s="12"/>
      <c r="Y782" s="12"/>
      <c r="Z782" s="12"/>
      <c r="AA782" s="12"/>
      <c r="AB782" s="12"/>
      <c r="AC782" s="12"/>
      <c r="AD782" s="12"/>
      <c r="BD782" s="13">
        <v>40940</v>
      </c>
      <c r="BE782" s="13">
        <v>42735</v>
      </c>
      <c r="BF782" s="13">
        <v>42916</v>
      </c>
      <c r="BG782" s="12" t="s">
        <v>350</v>
      </c>
      <c r="BH782" s="14">
        <v>3080000</v>
      </c>
      <c r="BI782" s="12" t="s">
        <v>12228</v>
      </c>
      <c r="BJ782" s="12" t="s">
        <v>12229</v>
      </c>
      <c r="BK782" s="12" t="s">
        <v>12230</v>
      </c>
      <c r="BL782" s="12" t="s">
        <v>12231</v>
      </c>
      <c r="BM782" s="12" t="s">
        <v>4694</v>
      </c>
      <c r="BN782" s="12" t="s">
        <v>12232</v>
      </c>
      <c r="BO782" s="11" t="s">
        <v>319</v>
      </c>
      <c r="BP782" s="11" t="s">
        <v>320</v>
      </c>
      <c r="BQ782" s="11" t="s">
        <v>319</v>
      </c>
      <c r="BR782" s="12" t="s">
        <v>12233</v>
      </c>
      <c r="BS782" s="12" t="s">
        <v>357</v>
      </c>
      <c r="BT782" s="12" t="s">
        <v>12234</v>
      </c>
      <c r="BU782" s="12" t="s">
        <v>12235</v>
      </c>
      <c r="BV782" s="14">
        <v>88587</v>
      </c>
      <c r="BW782" s="14">
        <v>188246</v>
      </c>
      <c r="BX782" s="14">
        <v>276833</v>
      </c>
      <c r="BY782" s="14">
        <v>162913</v>
      </c>
      <c r="BZ782" s="14">
        <v>346190</v>
      </c>
      <c r="CA782" s="14">
        <v>509103</v>
      </c>
      <c r="CB782" s="12" t="s">
        <v>12236</v>
      </c>
      <c r="CD782" s="14"/>
      <c r="CE782" s="14"/>
      <c r="CF782" s="14"/>
      <c r="CG782" s="14"/>
      <c r="CH782" s="14"/>
      <c r="CI782" s="14"/>
      <c r="CJ782" s="12"/>
      <c r="CK782" s="14"/>
      <c r="CL782" s="16"/>
      <c r="CM782" s="14"/>
      <c r="CN782" s="12"/>
      <c r="CO782" s="14"/>
      <c r="CP782" s="16"/>
      <c r="CQ782" s="14"/>
      <c r="CR782" s="12"/>
      <c r="CS782" s="14"/>
      <c r="CT782" s="16"/>
      <c r="CU782" s="14"/>
      <c r="CV782" s="12"/>
      <c r="CW782" s="14"/>
      <c r="CX782" s="16"/>
      <c r="CY782" s="14"/>
      <c r="CZ782" s="12"/>
      <c r="DA782" s="14"/>
      <c r="DB782" s="16"/>
      <c r="DC782" s="14"/>
      <c r="DD782" s="12"/>
      <c r="DE782" s="14"/>
      <c r="DF782" s="16"/>
      <c r="DG782" s="14"/>
      <c r="DH782" s="12"/>
      <c r="DI782" s="14"/>
      <c r="DJ782" s="16"/>
      <c r="DK782" s="14"/>
      <c r="DL782" s="12"/>
      <c r="DM782" s="14"/>
      <c r="DN782" s="16"/>
      <c r="DO782" s="14"/>
      <c r="DP782" s="12"/>
      <c r="DQ782" s="14"/>
      <c r="DR782" s="16"/>
      <c r="DS782" s="14"/>
      <c r="DT782" s="12"/>
      <c r="DU782" s="14"/>
      <c r="DV782" s="16"/>
      <c r="DW782" s="14"/>
      <c r="DX782" s="12"/>
      <c r="DY782" s="14"/>
      <c r="DZ782" s="16"/>
      <c r="EA782" s="14"/>
      <c r="EB782" s="12"/>
      <c r="EC782" s="14"/>
      <c r="ED782" s="16"/>
      <c r="EE782" s="14"/>
      <c r="EF782" s="12"/>
      <c r="EG782" s="12"/>
      <c r="EH782" s="14"/>
      <c r="EI782" s="16"/>
      <c r="EJ782" s="14"/>
      <c r="EK782" s="14">
        <v>1959</v>
      </c>
      <c r="EL782" s="14">
        <v>4571</v>
      </c>
      <c r="EM782" s="14">
        <v>6530</v>
      </c>
      <c r="EN782" s="14">
        <v>80496</v>
      </c>
      <c r="EO782" s="14">
        <v>187824</v>
      </c>
      <c r="EP782" s="14">
        <v>268320</v>
      </c>
      <c r="EQ782" s="12"/>
      <c r="ER782" s="14"/>
      <c r="ES782" s="16"/>
      <c r="ET782" s="14"/>
      <c r="EU782" s="11" t="s">
        <v>320</v>
      </c>
      <c r="EV782" s="14">
        <v>5800</v>
      </c>
      <c r="EW782" s="16">
        <v>0.32</v>
      </c>
      <c r="EX782" s="14">
        <v>148000</v>
      </c>
      <c r="EY782" s="12"/>
      <c r="EZ782" s="14"/>
      <c r="FA782" s="16"/>
      <c r="FB782" s="14"/>
      <c r="FC782" s="12"/>
      <c r="FD782" s="14"/>
      <c r="FE782" s="16"/>
      <c r="FF782" s="14"/>
      <c r="FG782" s="12" t="s">
        <v>320</v>
      </c>
      <c r="FH782" s="14">
        <v>5535</v>
      </c>
      <c r="FI782" s="16">
        <v>0.7</v>
      </c>
      <c r="FJ782" s="14">
        <v>22140</v>
      </c>
      <c r="FK782" s="12"/>
      <c r="FL782" s="14"/>
      <c r="FM782" s="16"/>
      <c r="FN782" s="14"/>
      <c r="FO782" s="12"/>
      <c r="FP782" s="14"/>
      <c r="FQ782" s="16"/>
      <c r="FR782" s="14"/>
      <c r="FS782" s="12"/>
      <c r="FT782" s="14"/>
      <c r="FU782" s="16"/>
      <c r="FV782" s="14"/>
      <c r="FW782" s="12"/>
      <c r="FX782" s="14"/>
      <c r="FY782" s="16"/>
      <c r="FZ782" s="14"/>
      <c r="GA782" s="12"/>
      <c r="GB782" s="14"/>
      <c r="GC782" s="16"/>
      <c r="GD782" s="14"/>
      <c r="GE782" s="12"/>
      <c r="GF782" s="14"/>
      <c r="GG782" s="16"/>
      <c r="GH782" s="14"/>
      <c r="GI782" s="12"/>
      <c r="GJ782" s="14"/>
      <c r="GK782" s="16"/>
      <c r="GL782" s="14"/>
      <c r="GM782" s="12"/>
      <c r="GN782" s="14"/>
      <c r="GO782" s="16"/>
      <c r="GP782" s="14"/>
      <c r="GQ782" s="12"/>
      <c r="GR782" s="14"/>
      <c r="GS782" s="16"/>
      <c r="GT782" s="14"/>
      <c r="GU782" s="12"/>
      <c r="GV782" s="14"/>
      <c r="GW782" s="16"/>
      <c r="GX782" s="14"/>
      <c r="GY782" s="11" t="s">
        <v>320</v>
      </c>
      <c r="GZ782" s="14">
        <v>5535</v>
      </c>
      <c r="HA782" s="16">
        <v>0.7</v>
      </c>
      <c r="HB782" s="14">
        <v>22140</v>
      </c>
      <c r="HC782" s="12" t="s">
        <v>12237</v>
      </c>
      <c r="HD782" s="12" t="s">
        <v>320</v>
      </c>
      <c r="HE782" s="14">
        <v>6530</v>
      </c>
      <c r="HF782" s="16">
        <v>0.15</v>
      </c>
      <c r="HG782" s="14">
        <v>26120</v>
      </c>
      <c r="HH782" s="12" t="s">
        <v>319</v>
      </c>
      <c r="HI782" s="12"/>
      <c r="HJ782" s="12"/>
      <c r="HK782" s="12" t="s">
        <v>319</v>
      </c>
      <c r="HL782" s="12" t="s">
        <v>319</v>
      </c>
      <c r="HM782" s="12"/>
      <c r="HN782" s="12"/>
      <c r="HO782" s="12"/>
      <c r="HP782" s="12" t="s">
        <v>453</v>
      </c>
      <c r="HQ782" s="12" t="s">
        <v>320</v>
      </c>
      <c r="HR782" s="12" t="s">
        <v>320</v>
      </c>
      <c r="HS782" s="12" t="s">
        <v>320</v>
      </c>
      <c r="HT782" s="12" t="s">
        <v>320</v>
      </c>
      <c r="HU782" s="12" t="s">
        <v>320</v>
      </c>
      <c r="HV782" s="12" t="s">
        <v>320</v>
      </c>
      <c r="HW782" s="12" t="s">
        <v>320</v>
      </c>
      <c r="HX782" s="12" t="s">
        <v>320</v>
      </c>
      <c r="HY782" s="12" t="s">
        <v>12238</v>
      </c>
      <c r="HZ782" s="12" t="s">
        <v>331</v>
      </c>
      <c r="IA782" s="12" t="s">
        <v>12239</v>
      </c>
      <c r="IB782" s="12" t="s">
        <v>396</v>
      </c>
      <c r="IC782" s="12" t="s">
        <v>12240</v>
      </c>
      <c r="ID782" s="12" t="s">
        <v>364</v>
      </c>
      <c r="IE782" s="12" t="s">
        <v>478</v>
      </c>
      <c r="IF782" s="12" t="s">
        <v>320</v>
      </c>
      <c r="IG782" s="12" t="s">
        <v>320</v>
      </c>
      <c r="IH782" s="12" t="s">
        <v>320</v>
      </c>
      <c r="II782" s="12" t="s">
        <v>319</v>
      </c>
      <c r="IJ782" s="12" t="str">
        <f t="shared" si="517"/>
        <v>3. Responsive</v>
      </c>
      <c r="IK782" s="12">
        <f t="shared" si="518"/>
        <v>3</v>
      </c>
      <c r="IL782" s="12" t="s">
        <v>336</v>
      </c>
      <c r="IM782" s="12" t="s">
        <v>320</v>
      </c>
      <c r="IN782" s="12" t="s">
        <v>320</v>
      </c>
      <c r="IO782" s="12" t="s">
        <v>320</v>
      </c>
      <c r="IP782" s="12" t="s">
        <v>320</v>
      </c>
      <c r="IQ782" s="12" t="str">
        <f t="shared" si="519"/>
        <v>2. Accommodating</v>
      </c>
      <c r="IR782" s="12">
        <f t="shared" si="520"/>
        <v>4</v>
      </c>
      <c r="IS782" s="12" t="s">
        <v>337</v>
      </c>
      <c r="IT782" s="12" t="s">
        <v>320</v>
      </c>
      <c r="IU782" s="12" t="s">
        <v>320</v>
      </c>
      <c r="IV782" s="12" t="s">
        <v>320</v>
      </c>
      <c r="IW782" s="11" t="str">
        <f t="shared" si="521"/>
        <v>2. Sensitive</v>
      </c>
      <c r="IX782" s="12">
        <f t="shared" si="522"/>
        <v>3</v>
      </c>
      <c r="IY782" s="12" t="s">
        <v>758</v>
      </c>
      <c r="IZ782" s="12" t="s">
        <v>457</v>
      </c>
      <c r="JA782" s="12">
        <v>10</v>
      </c>
      <c r="JB782" s="12" t="s">
        <v>687</v>
      </c>
      <c r="JC782" s="12" t="s">
        <v>433</v>
      </c>
      <c r="JD782" s="12"/>
      <c r="JE782" s="12" t="s">
        <v>340</v>
      </c>
      <c r="JF782" s="12" t="s">
        <v>12241</v>
      </c>
      <c r="JG782" s="12"/>
      <c r="JH782" s="12" t="s">
        <v>12242</v>
      </c>
      <c r="JI782" s="12" t="s">
        <v>12243</v>
      </c>
      <c r="JJ782" s="12" t="s">
        <v>12244</v>
      </c>
      <c r="JK782" s="12" t="s">
        <v>12245</v>
      </c>
      <c r="JL782" s="12" t="s">
        <v>12246</v>
      </c>
      <c r="JM782" s="12" t="s">
        <v>12247</v>
      </c>
      <c r="JN782" s="12" t="s">
        <v>12248</v>
      </c>
      <c r="JO782" s="12"/>
      <c r="JP782" s="15">
        <f t="shared" si="523"/>
        <v>6530</v>
      </c>
      <c r="JQ782" s="15">
        <f t="shared" si="524"/>
        <v>268320</v>
      </c>
      <c r="JR782" s="279">
        <f t="shared" si="525"/>
        <v>41.090352220520671</v>
      </c>
      <c r="JS782" s="17">
        <f t="shared" si="526"/>
        <v>0.3</v>
      </c>
      <c r="JT782" s="18">
        <f t="shared" si="527"/>
        <v>0.3</v>
      </c>
      <c r="JU782" s="280">
        <f t="shared" si="528"/>
        <v>1959</v>
      </c>
      <c r="JV782" s="280">
        <f t="shared" si="529"/>
        <v>80496</v>
      </c>
      <c r="JW782" s="319" t="str">
        <f t="shared" si="530"/>
        <v/>
      </c>
      <c r="JX782" s="15">
        <f t="shared" si="531"/>
        <v>0</v>
      </c>
      <c r="JY782" s="15">
        <f t="shared" si="532"/>
        <v>0</v>
      </c>
      <c r="JZ782" s="19" t="str">
        <f t="shared" si="533"/>
        <v/>
      </c>
      <c r="KA782" s="52">
        <f t="shared" si="534"/>
        <v>1</v>
      </c>
      <c r="KB782" s="15">
        <f t="shared" si="535"/>
        <v>5800</v>
      </c>
      <c r="KC782" s="15">
        <f t="shared" si="536"/>
        <v>148000</v>
      </c>
      <c r="KD782" s="20">
        <f t="shared" si="537"/>
        <v>25.517241379310345</v>
      </c>
      <c r="KE782" s="52" t="str">
        <f t="shared" si="538"/>
        <v/>
      </c>
      <c r="KF782" s="15">
        <f t="shared" si="539"/>
        <v>0</v>
      </c>
      <c r="KG782" s="15">
        <f t="shared" si="540"/>
        <v>0</v>
      </c>
      <c r="KH782" s="21" t="str">
        <f t="shared" si="541"/>
        <v/>
      </c>
      <c r="KI782" s="52" t="str">
        <f t="shared" si="542"/>
        <v/>
      </c>
      <c r="KJ782" s="15">
        <f t="shared" si="543"/>
        <v>0</v>
      </c>
      <c r="KK782" s="15">
        <f t="shared" si="544"/>
        <v>0</v>
      </c>
      <c r="KL782" s="19" t="str">
        <f t="shared" si="545"/>
        <v/>
      </c>
      <c r="KM782" s="52">
        <f t="shared" si="546"/>
        <v>1</v>
      </c>
      <c r="KN782" s="22">
        <f t="shared" si="547"/>
        <v>5535</v>
      </c>
      <c r="KO782" s="22">
        <f t="shared" si="548"/>
        <v>22140</v>
      </c>
      <c r="KP782" s="19">
        <f t="shared" si="549"/>
        <v>4</v>
      </c>
      <c r="KQ782" s="11" t="str">
        <f t="shared" si="550"/>
        <v>3. Responsive</v>
      </c>
      <c r="KR782" s="11" t="str">
        <f t="shared" si="551"/>
        <v>2. Accommodating</v>
      </c>
      <c r="KS782" s="11" t="str">
        <f t="shared" si="552"/>
        <v>2. Sensitive</v>
      </c>
      <c r="KT782" s="11" t="str">
        <f t="shared" si="553"/>
        <v>It tested new ways for fighting poverty and measured results of innovation</v>
      </c>
      <c r="KU782" s="11" t="str">
        <f t="shared" si="554"/>
        <v>Intensive advocacy</v>
      </c>
      <c r="KV782" s="11" t="str">
        <f t="shared" si="555"/>
        <v>It linked and worked with strategic alliances and partners to take tested and effective solutions to scale</v>
      </c>
      <c r="KW782" s="11" t="str">
        <f t="shared" si="556"/>
        <v>Tanzania - Pastoralist Programme</v>
      </c>
      <c r="KX782" s="11" t="str">
        <f t="shared" si="557"/>
        <v>Pastoralist Programme</v>
      </c>
      <c r="KY782" s="11" t="str">
        <f t="shared" si="558"/>
        <v>Tanzania</v>
      </c>
      <c r="KZ782" s="12">
        <v>783</v>
      </c>
    </row>
    <row r="783" spans="1:312" x14ac:dyDescent="0.3">
      <c r="A783" s="12" t="s">
        <v>12090</v>
      </c>
      <c r="B783" s="12" t="s">
        <v>7217</v>
      </c>
      <c r="C783" s="12">
        <v>3656</v>
      </c>
      <c r="D783" s="12" t="s">
        <v>12273</v>
      </c>
      <c r="E783" s="277" t="str">
        <f t="shared" si="516"/>
        <v>Tanzania</v>
      </c>
      <c r="F783" s="12" t="s">
        <v>12274</v>
      </c>
      <c r="G783" s="12" t="s">
        <v>608</v>
      </c>
      <c r="H783" s="12" t="s">
        <v>384</v>
      </c>
      <c r="I783" s="12" t="s">
        <v>384</v>
      </c>
      <c r="J783" s="281" t="s">
        <v>14683</v>
      </c>
      <c r="K783" s="12"/>
      <c r="L783" s="12"/>
      <c r="M783" s="12"/>
      <c r="N783" s="12"/>
      <c r="O783" s="12"/>
      <c r="P783" s="12"/>
      <c r="Q783" s="12"/>
      <c r="R783" s="12"/>
      <c r="S783" s="12"/>
      <c r="T783" s="12"/>
      <c r="U783" s="12"/>
      <c r="V783" s="12"/>
      <c r="W783" s="12"/>
      <c r="X783" s="12"/>
      <c r="Y783" s="12"/>
      <c r="Z783" s="12"/>
      <c r="AA783" s="12"/>
      <c r="AB783" s="12"/>
      <c r="AC783" s="12"/>
      <c r="AD783" s="12"/>
      <c r="BD783" s="13">
        <v>42736</v>
      </c>
      <c r="BE783" s="13">
        <v>43465</v>
      </c>
      <c r="BF783" s="12"/>
      <c r="BG783" s="12" t="s">
        <v>350</v>
      </c>
      <c r="BH783" s="14">
        <v>1537326.23</v>
      </c>
      <c r="BI783" s="12" t="s">
        <v>12275</v>
      </c>
      <c r="BJ783" s="12" t="s">
        <v>12276</v>
      </c>
      <c r="BK783" s="12" t="s">
        <v>12277</v>
      </c>
      <c r="BL783" s="12" t="s">
        <v>12278</v>
      </c>
      <c r="BM783" s="12" t="s">
        <v>12279</v>
      </c>
      <c r="BN783" s="12" t="s">
        <v>12280</v>
      </c>
      <c r="BO783" s="11" t="s">
        <v>319</v>
      </c>
      <c r="BP783" s="11" t="s">
        <v>320</v>
      </c>
      <c r="BQ783" s="11" t="s">
        <v>319</v>
      </c>
      <c r="BR783" s="12" t="s">
        <v>12281</v>
      </c>
      <c r="BS783" s="12" t="s">
        <v>357</v>
      </c>
      <c r="BT783" s="12" t="s">
        <v>12282</v>
      </c>
      <c r="BU783" s="12" t="s">
        <v>12283</v>
      </c>
      <c r="BV783" s="14">
        <v>59091</v>
      </c>
      <c r="BW783" s="14">
        <v>23083</v>
      </c>
      <c r="BX783" s="14">
        <v>81174</v>
      </c>
      <c r="BY783" s="14">
        <v>236364</v>
      </c>
      <c r="BZ783" s="14">
        <v>92332</v>
      </c>
      <c r="CA783" s="14">
        <v>328696</v>
      </c>
      <c r="CB783" s="12" t="s">
        <v>12284</v>
      </c>
      <c r="CD783" s="14"/>
      <c r="CE783" s="14"/>
      <c r="CF783" s="14"/>
      <c r="CG783" s="14"/>
      <c r="CH783" s="14"/>
      <c r="CI783" s="14"/>
      <c r="CJ783" s="12"/>
      <c r="CK783" s="14"/>
      <c r="CL783" s="16"/>
      <c r="CM783" s="14"/>
      <c r="CN783" s="12"/>
      <c r="CO783" s="14"/>
      <c r="CP783" s="16"/>
      <c r="CQ783" s="14"/>
      <c r="CR783" s="12"/>
      <c r="CS783" s="14"/>
      <c r="CT783" s="16"/>
      <c r="CU783" s="14"/>
      <c r="CV783" s="12"/>
      <c r="CW783" s="14"/>
      <c r="CX783" s="16"/>
      <c r="CY783" s="14"/>
      <c r="CZ783" s="12"/>
      <c r="DA783" s="14"/>
      <c r="DB783" s="16"/>
      <c r="DC783" s="14"/>
      <c r="DD783" s="12"/>
      <c r="DE783" s="14"/>
      <c r="DF783" s="16"/>
      <c r="DG783" s="14"/>
      <c r="DH783" s="12"/>
      <c r="DI783" s="14"/>
      <c r="DJ783" s="16"/>
      <c r="DK783" s="14"/>
      <c r="DL783" s="12"/>
      <c r="DM783" s="14"/>
      <c r="DN783" s="16"/>
      <c r="DO783" s="14"/>
      <c r="DP783" s="12"/>
      <c r="DQ783" s="14"/>
      <c r="DR783" s="16"/>
      <c r="DS783" s="14"/>
      <c r="DT783" s="12"/>
      <c r="DU783" s="14"/>
      <c r="DV783" s="16"/>
      <c r="DW783" s="14"/>
      <c r="DX783" s="12"/>
      <c r="DY783" s="14"/>
      <c r="DZ783" s="16"/>
      <c r="EA783" s="14"/>
      <c r="EB783" s="12"/>
      <c r="EC783" s="14"/>
      <c r="ED783" s="16"/>
      <c r="EE783" s="14"/>
      <c r="EF783" s="12"/>
      <c r="EG783" s="12"/>
      <c r="EH783" s="14"/>
      <c r="EI783" s="16"/>
      <c r="EJ783" s="14"/>
      <c r="EK783" s="14">
        <v>28410</v>
      </c>
      <c r="EL783" s="14">
        <v>12177</v>
      </c>
      <c r="EM783" s="14">
        <v>40587</v>
      </c>
      <c r="EN783" s="14">
        <v>113604</v>
      </c>
      <c r="EO783" s="14">
        <v>48708</v>
      </c>
      <c r="EP783" s="14">
        <v>162312</v>
      </c>
      <c r="EQ783" s="12" t="s">
        <v>319</v>
      </c>
      <c r="ER783" s="14"/>
      <c r="ES783" s="16"/>
      <c r="ET783" s="14"/>
      <c r="EU783" s="11" t="s">
        <v>319</v>
      </c>
      <c r="EV783" s="14"/>
      <c r="EW783" s="16"/>
      <c r="EX783" s="14"/>
      <c r="EY783" s="12" t="s">
        <v>319</v>
      </c>
      <c r="EZ783" s="14"/>
      <c r="FA783" s="16"/>
      <c r="FB783" s="14"/>
      <c r="FC783" s="12" t="s">
        <v>319</v>
      </c>
      <c r="FD783" s="14"/>
      <c r="FE783" s="16"/>
      <c r="FF783" s="14"/>
      <c r="FG783" s="12" t="s">
        <v>319</v>
      </c>
      <c r="FH783" s="14"/>
      <c r="FI783" s="16"/>
      <c r="FJ783" s="14"/>
      <c r="FK783" s="12" t="s">
        <v>319</v>
      </c>
      <c r="FL783" s="14"/>
      <c r="FM783" s="16"/>
      <c r="FN783" s="14"/>
      <c r="FO783" s="12" t="s">
        <v>319</v>
      </c>
      <c r="FP783" s="14"/>
      <c r="FQ783" s="16"/>
      <c r="FR783" s="14"/>
      <c r="FS783" s="12" t="s">
        <v>319</v>
      </c>
      <c r="FT783" s="14"/>
      <c r="FU783" s="16"/>
      <c r="FV783" s="14"/>
      <c r="FW783" s="12" t="s">
        <v>319</v>
      </c>
      <c r="FX783" s="14"/>
      <c r="FY783" s="16"/>
      <c r="FZ783" s="14"/>
      <c r="GA783" s="12" t="s">
        <v>319</v>
      </c>
      <c r="GB783" s="14"/>
      <c r="GC783" s="16"/>
      <c r="GD783" s="14"/>
      <c r="GE783" s="12" t="s">
        <v>319</v>
      </c>
      <c r="GF783" s="14"/>
      <c r="GG783" s="16"/>
      <c r="GH783" s="14"/>
      <c r="GI783" s="12" t="s">
        <v>319</v>
      </c>
      <c r="GJ783" s="14"/>
      <c r="GK783" s="16"/>
      <c r="GL783" s="14"/>
      <c r="GM783" s="12" t="s">
        <v>319</v>
      </c>
      <c r="GN783" s="14"/>
      <c r="GO783" s="16"/>
      <c r="GP783" s="14"/>
      <c r="GQ783" s="12" t="s">
        <v>319</v>
      </c>
      <c r="GR783" s="14"/>
      <c r="GS783" s="16"/>
      <c r="GT783" s="14"/>
      <c r="GU783" s="12" t="s">
        <v>319</v>
      </c>
      <c r="GV783" s="14"/>
      <c r="GW783" s="16"/>
      <c r="GX783" s="14"/>
      <c r="GY783" s="11" t="s">
        <v>320</v>
      </c>
      <c r="GZ783" s="14">
        <v>28401</v>
      </c>
      <c r="HA783" s="16">
        <v>0.7</v>
      </c>
      <c r="HB783" s="14">
        <v>162312</v>
      </c>
      <c r="HC783" s="12"/>
      <c r="HD783" s="12"/>
      <c r="HE783" s="14"/>
      <c r="HF783" s="16"/>
      <c r="HG783" s="14"/>
      <c r="HH783" s="12" t="s">
        <v>320</v>
      </c>
      <c r="HI783" s="12" t="s">
        <v>522</v>
      </c>
      <c r="HJ783" s="12">
        <v>2016</v>
      </c>
      <c r="HK783" s="12" t="s">
        <v>320</v>
      </c>
      <c r="HL783" s="12" t="s">
        <v>319</v>
      </c>
      <c r="HM783" s="12"/>
      <c r="HN783" s="12"/>
      <c r="HO783" s="12"/>
      <c r="HP783" s="12" t="s">
        <v>418</v>
      </c>
      <c r="HQ783" s="12" t="s">
        <v>320</v>
      </c>
      <c r="HR783" s="12" t="s">
        <v>319</v>
      </c>
      <c r="HS783" s="12" t="s">
        <v>320</v>
      </c>
      <c r="HT783" s="12" t="s">
        <v>320</v>
      </c>
      <c r="HU783" s="12" t="s">
        <v>319</v>
      </c>
      <c r="HV783" s="12" t="s">
        <v>319</v>
      </c>
      <c r="HW783" s="12" t="s">
        <v>319</v>
      </c>
      <c r="HX783" s="12" t="s">
        <v>319</v>
      </c>
      <c r="HY783" s="12"/>
      <c r="HZ783" s="12" t="s">
        <v>394</v>
      </c>
      <c r="IA783" s="12" t="s">
        <v>12285</v>
      </c>
      <c r="IB783" s="12" t="s">
        <v>396</v>
      </c>
      <c r="IC783" s="12" t="s">
        <v>12286</v>
      </c>
      <c r="ID783" s="12" t="s">
        <v>364</v>
      </c>
      <c r="IE783" s="12" t="s">
        <v>335</v>
      </c>
      <c r="IF783" s="12" t="s">
        <v>319</v>
      </c>
      <c r="IG783" s="12" t="s">
        <v>319</v>
      </c>
      <c r="IH783" s="12" t="s">
        <v>320</v>
      </c>
      <c r="II783" s="12" t="s">
        <v>320</v>
      </c>
      <c r="IJ783" s="12" t="str">
        <f t="shared" si="517"/>
        <v>1. Neutral</v>
      </c>
      <c r="IK783" s="12">
        <f t="shared" si="518"/>
        <v>2</v>
      </c>
      <c r="IL783" s="12" t="s">
        <v>336</v>
      </c>
      <c r="IM783" s="12" t="s">
        <v>320</v>
      </c>
      <c r="IN783" s="12" t="s">
        <v>320</v>
      </c>
      <c r="IO783" s="12" t="s">
        <v>320</v>
      </c>
      <c r="IP783" s="12" t="s">
        <v>320</v>
      </c>
      <c r="IQ783" s="12" t="str">
        <f t="shared" si="519"/>
        <v>2. Accommodating</v>
      </c>
      <c r="IR783" s="12">
        <f t="shared" si="520"/>
        <v>4</v>
      </c>
      <c r="IS783" s="12" t="s">
        <v>337</v>
      </c>
      <c r="IT783" s="12" t="s">
        <v>319</v>
      </c>
      <c r="IU783" s="12" t="s">
        <v>320</v>
      </c>
      <c r="IV783" s="12" t="s">
        <v>319</v>
      </c>
      <c r="IW783" s="11" t="str">
        <f t="shared" si="521"/>
        <v>1. Neutral</v>
      </c>
      <c r="IX783" s="12">
        <f t="shared" si="522"/>
        <v>1</v>
      </c>
      <c r="IY783" s="12" t="s">
        <v>338</v>
      </c>
      <c r="IZ783" s="12" t="s">
        <v>457</v>
      </c>
      <c r="JA783" s="12">
        <v>11</v>
      </c>
      <c r="JB783" s="12" t="s">
        <v>433</v>
      </c>
      <c r="JC783" s="12" t="s">
        <v>433</v>
      </c>
      <c r="JD783" s="12" t="s">
        <v>433</v>
      </c>
      <c r="JE783" s="12" t="s">
        <v>365</v>
      </c>
      <c r="JF783" s="12" t="s">
        <v>12287</v>
      </c>
      <c r="JG783" s="12" t="s">
        <v>12288</v>
      </c>
      <c r="JH783" s="12" t="s">
        <v>12289</v>
      </c>
      <c r="JI783" s="12"/>
      <c r="JJ783" s="12"/>
      <c r="JK783" s="12" t="s">
        <v>12290</v>
      </c>
      <c r="JL783" s="12" t="s">
        <v>12291</v>
      </c>
      <c r="JM783" s="12" t="s">
        <v>12292</v>
      </c>
      <c r="JN783" s="12"/>
      <c r="JO783" s="12" t="s">
        <v>12293</v>
      </c>
      <c r="JP783" s="15">
        <f t="shared" si="523"/>
        <v>40587</v>
      </c>
      <c r="JQ783" s="15">
        <f t="shared" si="524"/>
        <v>162312</v>
      </c>
      <c r="JR783" s="279">
        <f t="shared" si="525"/>
        <v>3.9991130164831103</v>
      </c>
      <c r="JS783" s="17">
        <f t="shared" si="526"/>
        <v>0.69997782541207776</v>
      </c>
      <c r="JT783" s="18">
        <f t="shared" si="527"/>
        <v>0.69991128197545471</v>
      </c>
      <c r="JU783" s="280">
        <f t="shared" si="528"/>
        <v>28410</v>
      </c>
      <c r="JV783" s="280">
        <f t="shared" si="529"/>
        <v>113604</v>
      </c>
      <c r="JW783" s="319" t="str">
        <f t="shared" si="530"/>
        <v/>
      </c>
      <c r="JX783" s="15">
        <f t="shared" si="531"/>
        <v>0</v>
      </c>
      <c r="JY783" s="15">
        <f t="shared" si="532"/>
        <v>0</v>
      </c>
      <c r="JZ783" s="19" t="str">
        <f t="shared" si="533"/>
        <v/>
      </c>
      <c r="KA783" s="52" t="str">
        <f t="shared" si="534"/>
        <v/>
      </c>
      <c r="KB783" s="15">
        <f t="shared" si="535"/>
        <v>0</v>
      </c>
      <c r="KC783" s="15">
        <f t="shared" si="536"/>
        <v>0</v>
      </c>
      <c r="KD783" s="20" t="str">
        <f t="shared" si="537"/>
        <v/>
      </c>
      <c r="KE783" s="52" t="str">
        <f t="shared" si="538"/>
        <v/>
      </c>
      <c r="KF783" s="15">
        <f t="shared" si="539"/>
        <v>0</v>
      </c>
      <c r="KG783" s="15">
        <f t="shared" si="540"/>
        <v>0</v>
      </c>
      <c r="KH783" s="21" t="str">
        <f t="shared" si="541"/>
        <v/>
      </c>
      <c r="KI783" s="52" t="str">
        <f t="shared" si="542"/>
        <v/>
      </c>
      <c r="KJ783" s="15">
        <f t="shared" si="543"/>
        <v>0</v>
      </c>
      <c r="KK783" s="15">
        <f t="shared" si="544"/>
        <v>0</v>
      </c>
      <c r="KL783" s="19" t="str">
        <f t="shared" si="545"/>
        <v/>
      </c>
      <c r="KM783" s="52">
        <f t="shared" si="546"/>
        <v>1</v>
      </c>
      <c r="KN783" s="22">
        <f t="shared" si="547"/>
        <v>28401</v>
      </c>
      <c r="KO783" s="22">
        <f t="shared" si="548"/>
        <v>162312</v>
      </c>
      <c r="KP783" s="19">
        <f t="shared" si="549"/>
        <v>5.7150100348579276</v>
      </c>
      <c r="KQ783" s="11" t="str">
        <f t="shared" si="550"/>
        <v>1. Neutral</v>
      </c>
      <c r="KR783" s="11" t="str">
        <f t="shared" si="551"/>
        <v>2. Accommodating</v>
      </c>
      <c r="KS783" s="11" t="str">
        <f t="shared" si="552"/>
        <v>1. Neutral</v>
      </c>
      <c r="KT783" s="11" t="str">
        <f t="shared" si="553"/>
        <v>It tested new ways for fighting poverty, but did not measure results of innovation</v>
      </c>
      <c r="KU783" s="11" t="str">
        <f t="shared" si="554"/>
        <v>Little or no advocacy</v>
      </c>
      <c r="KV783" s="11" t="str">
        <f t="shared" si="555"/>
        <v>It linked and worked with strategic alliances and partners to take tested and effective solutions to scale</v>
      </c>
      <c r="KW783" s="11" t="str">
        <f t="shared" si="556"/>
        <v>Tanzania - PESA KWA WOTE (PKW)</v>
      </c>
      <c r="KX783" s="11" t="str">
        <f t="shared" si="557"/>
        <v>PESA KWA WOTE (PKW)</v>
      </c>
      <c r="KY783" s="11" t="str">
        <f t="shared" si="558"/>
        <v>Tanzania</v>
      </c>
      <c r="KZ783" s="12">
        <v>784</v>
      </c>
    </row>
    <row r="784" spans="1:312" x14ac:dyDescent="0.3">
      <c r="A784" s="12" t="s">
        <v>12090</v>
      </c>
      <c r="B784" s="12" t="s">
        <v>7217</v>
      </c>
      <c r="C784" s="12"/>
      <c r="D784" s="12" t="s">
        <v>12249</v>
      </c>
      <c r="E784" s="277" t="str">
        <f t="shared" si="516"/>
        <v>Tanzania</v>
      </c>
      <c r="F784" s="12" t="s">
        <v>12250</v>
      </c>
      <c r="G784" s="12" t="s">
        <v>379</v>
      </c>
      <c r="H784" s="12" t="s">
        <v>383</v>
      </c>
      <c r="I784" s="12" t="s">
        <v>384</v>
      </c>
      <c r="J784" s="281" t="s">
        <v>14749</v>
      </c>
      <c r="K784" s="12"/>
      <c r="L784" s="12" t="s">
        <v>379</v>
      </c>
      <c r="M784" s="12" t="s">
        <v>383</v>
      </c>
      <c r="N784" s="12" t="s">
        <v>384</v>
      </c>
      <c r="O784" s="12" t="s">
        <v>1145</v>
      </c>
      <c r="P784" s="12"/>
      <c r="Q784" s="12"/>
      <c r="R784" s="12"/>
      <c r="S784" s="12"/>
      <c r="T784" s="12"/>
      <c r="U784" s="12"/>
      <c r="V784" s="12"/>
      <c r="W784" s="12"/>
      <c r="X784" s="12"/>
      <c r="Y784" s="12"/>
      <c r="Z784" s="12"/>
      <c r="AA784" s="12"/>
      <c r="AB784" s="12"/>
      <c r="AC784" s="12"/>
      <c r="AD784" s="12"/>
      <c r="BD784" s="13">
        <v>39995</v>
      </c>
      <c r="BE784" s="13">
        <v>41820</v>
      </c>
      <c r="BF784" s="13">
        <v>43281</v>
      </c>
      <c r="BG784" s="12" t="s">
        <v>312</v>
      </c>
      <c r="BH784" s="14">
        <v>500000</v>
      </c>
      <c r="BI784" s="12" t="s">
        <v>12251</v>
      </c>
      <c r="BJ784" s="12" t="s">
        <v>12252</v>
      </c>
      <c r="BK784" s="12" t="s">
        <v>12253</v>
      </c>
      <c r="BL784" s="12" t="s">
        <v>12096</v>
      </c>
      <c r="BM784" s="12" t="s">
        <v>12097</v>
      </c>
      <c r="BN784" s="12" t="s">
        <v>12098</v>
      </c>
      <c r="BO784" s="12" t="s">
        <v>320</v>
      </c>
      <c r="BP784" s="12" t="s">
        <v>320</v>
      </c>
      <c r="BQ784" s="12" t="s">
        <v>320</v>
      </c>
      <c r="BR784" s="12" t="s">
        <v>12254</v>
      </c>
      <c r="BS784" s="12" t="s">
        <v>357</v>
      </c>
      <c r="BT784" s="12" t="s">
        <v>12255</v>
      </c>
      <c r="BU784" s="12" t="s">
        <v>12256</v>
      </c>
      <c r="BV784" s="14">
        <v>2278</v>
      </c>
      <c r="BW784" s="14">
        <v>723</v>
      </c>
      <c r="BX784" s="14">
        <v>3001</v>
      </c>
      <c r="BY784" s="14">
        <v>141004</v>
      </c>
      <c r="BZ784" s="14">
        <v>87951</v>
      </c>
      <c r="CA784" s="14">
        <v>228955</v>
      </c>
      <c r="CB784" s="12" t="s">
        <v>12257</v>
      </c>
      <c r="CD784" s="14">
        <v>185</v>
      </c>
      <c r="CE784" s="14">
        <v>205</v>
      </c>
      <c r="CF784" s="14">
        <v>390</v>
      </c>
      <c r="CG784" s="14">
        <v>2220</v>
      </c>
      <c r="CH784" s="14">
        <v>2460</v>
      </c>
      <c r="CI784" s="14">
        <v>4680</v>
      </c>
      <c r="CJ784" s="12"/>
      <c r="CK784" s="14"/>
      <c r="CL784" s="16"/>
      <c r="CM784" s="14"/>
      <c r="CN784" s="12"/>
      <c r="CO784" s="14"/>
      <c r="CP784" s="16"/>
      <c r="CQ784" s="14"/>
      <c r="CR784" s="12" t="s">
        <v>320</v>
      </c>
      <c r="CS784" s="14">
        <v>81</v>
      </c>
      <c r="CT784" s="16">
        <v>0.39500000000000002</v>
      </c>
      <c r="CU784" s="14">
        <v>972</v>
      </c>
      <c r="CV784" s="12"/>
      <c r="CW784" s="14"/>
      <c r="CX784" s="16"/>
      <c r="CY784" s="14"/>
      <c r="CZ784" s="12"/>
      <c r="DA784" s="14"/>
      <c r="DB784" s="16"/>
      <c r="DC784" s="14"/>
      <c r="DD784" s="12"/>
      <c r="DE784" s="14"/>
      <c r="DF784" s="16"/>
      <c r="DG784" s="14"/>
      <c r="DH784" s="12"/>
      <c r="DI784" s="14"/>
      <c r="DJ784" s="16"/>
      <c r="DK784" s="14"/>
      <c r="DL784" s="12"/>
      <c r="DM784" s="14"/>
      <c r="DN784" s="16"/>
      <c r="DO784" s="14"/>
      <c r="DP784" s="12"/>
      <c r="DQ784" s="14"/>
      <c r="DR784" s="16"/>
      <c r="DS784" s="14"/>
      <c r="DT784" s="12" t="s">
        <v>320</v>
      </c>
      <c r="DU784" s="14">
        <v>101</v>
      </c>
      <c r="DV784" s="16">
        <v>0.56399999999999995</v>
      </c>
      <c r="DW784" s="14">
        <v>1212</v>
      </c>
      <c r="DX784" s="12"/>
      <c r="DY784" s="14"/>
      <c r="DZ784" s="16"/>
      <c r="EA784" s="14"/>
      <c r="EB784" s="12"/>
      <c r="EC784" s="14"/>
      <c r="ED784" s="16"/>
      <c r="EE784" s="14"/>
      <c r="EF784" s="12" t="s">
        <v>12258</v>
      </c>
      <c r="EG784" s="12" t="s">
        <v>320</v>
      </c>
      <c r="EH784" s="14">
        <v>130</v>
      </c>
      <c r="EI784" s="16">
        <v>0.61499999999999999</v>
      </c>
      <c r="EJ784" s="14"/>
      <c r="EK784" s="14">
        <v>213</v>
      </c>
      <c r="EL784" s="14">
        <v>238</v>
      </c>
      <c r="EM784" s="14">
        <v>451</v>
      </c>
      <c r="EN784" s="14">
        <v>2556</v>
      </c>
      <c r="EO784" s="14">
        <v>2856</v>
      </c>
      <c r="EP784" s="14">
        <v>5412</v>
      </c>
      <c r="EQ784" s="12"/>
      <c r="ER784" s="14"/>
      <c r="ES784" s="16"/>
      <c r="ET784" s="14"/>
      <c r="EU784" s="12"/>
      <c r="EV784" s="14"/>
      <c r="EW784" s="16"/>
      <c r="EX784" s="14"/>
      <c r="EY784" s="12"/>
      <c r="EZ784" s="14"/>
      <c r="FA784" s="16"/>
      <c r="FB784" s="14"/>
      <c r="FC784" s="12"/>
      <c r="FD784" s="14"/>
      <c r="FE784" s="16"/>
      <c r="FF784" s="14"/>
      <c r="FG784" s="12"/>
      <c r="FH784" s="14"/>
      <c r="FI784" s="16"/>
      <c r="FJ784" s="14"/>
      <c r="FK784" s="12" t="s">
        <v>320</v>
      </c>
      <c r="FL784" s="14">
        <v>96</v>
      </c>
      <c r="FM784" s="16">
        <v>0.42699999999999999</v>
      </c>
      <c r="FN784" s="14">
        <v>1152</v>
      </c>
      <c r="FO784" s="12"/>
      <c r="FP784" s="14"/>
      <c r="FQ784" s="16"/>
      <c r="FR784" s="14"/>
      <c r="FS784" s="12"/>
      <c r="FT784" s="14"/>
      <c r="FU784" s="16"/>
      <c r="FV784" s="14"/>
      <c r="FW784" s="12"/>
      <c r="FX784" s="14"/>
      <c r="FY784" s="16"/>
      <c r="FZ784" s="14"/>
      <c r="GA784" s="12"/>
      <c r="GB784" s="14"/>
      <c r="GC784" s="16"/>
      <c r="GD784" s="14"/>
      <c r="GE784" s="12"/>
      <c r="GF784" s="14"/>
      <c r="GG784" s="16"/>
      <c r="GH784" s="14"/>
      <c r="GI784" s="12"/>
      <c r="GJ784" s="14"/>
      <c r="GK784" s="16"/>
      <c r="GL784" s="14"/>
      <c r="GM784" s="12"/>
      <c r="GN784" s="14"/>
      <c r="GO784" s="16"/>
      <c r="GP784" s="14"/>
      <c r="GQ784" s="12" t="s">
        <v>320</v>
      </c>
      <c r="GR784" s="14">
        <v>135</v>
      </c>
      <c r="GS784" s="16">
        <v>0.54800000000000004</v>
      </c>
      <c r="GT784" s="14">
        <v>1620</v>
      </c>
      <c r="GU784" s="12"/>
      <c r="GV784" s="14"/>
      <c r="GW784" s="16"/>
      <c r="GX784" s="14"/>
      <c r="GY784" s="12"/>
      <c r="GZ784" s="14"/>
      <c r="HA784" s="16"/>
      <c r="HB784" s="14"/>
      <c r="HC784" s="12"/>
      <c r="HD784" s="12"/>
      <c r="HE784" s="14"/>
      <c r="HF784" s="16"/>
      <c r="HG784" s="14"/>
      <c r="HH784" s="12" t="s">
        <v>319</v>
      </c>
      <c r="HI784" s="12"/>
      <c r="HJ784" s="12"/>
      <c r="HK784" s="12"/>
      <c r="HL784" s="12"/>
      <c r="HM784" s="12"/>
      <c r="HN784" s="12"/>
      <c r="HO784" s="12"/>
      <c r="HP784" s="12" t="s">
        <v>418</v>
      </c>
      <c r="HQ784" s="12" t="s">
        <v>319</v>
      </c>
      <c r="HR784" s="12" t="s">
        <v>319</v>
      </c>
      <c r="HS784" s="12" t="s">
        <v>319</v>
      </c>
      <c r="HT784" s="12" t="s">
        <v>319</v>
      </c>
      <c r="HU784" s="12" t="s">
        <v>319</v>
      </c>
      <c r="HV784" s="12" t="s">
        <v>319</v>
      </c>
      <c r="HW784" s="12" t="s">
        <v>319</v>
      </c>
      <c r="HX784" s="12" t="s">
        <v>319</v>
      </c>
      <c r="HY784" s="12" t="s">
        <v>12259</v>
      </c>
      <c r="HZ784" s="12" t="s">
        <v>363</v>
      </c>
      <c r="IA784" s="12"/>
      <c r="IB784" s="12"/>
      <c r="IC784" s="12"/>
      <c r="ID784" s="12"/>
      <c r="IE784" s="12" t="s">
        <v>335</v>
      </c>
      <c r="IF784" s="12" t="s">
        <v>320</v>
      </c>
      <c r="IG784" s="12" t="s">
        <v>320</v>
      </c>
      <c r="IH784" s="12" t="s">
        <v>320</v>
      </c>
      <c r="II784" s="12" t="s">
        <v>320</v>
      </c>
      <c r="IJ784" s="12" t="str">
        <f t="shared" si="517"/>
        <v>2. Sensitive</v>
      </c>
      <c r="IK784" s="12">
        <f t="shared" si="518"/>
        <v>4</v>
      </c>
      <c r="IL784" s="12" t="s">
        <v>336</v>
      </c>
      <c r="IM784" s="12"/>
      <c r="IN784" s="12"/>
      <c r="IO784" s="12" t="s">
        <v>320</v>
      </c>
      <c r="IP784" s="12" t="s">
        <v>320</v>
      </c>
      <c r="IQ784" s="12" t="str">
        <f t="shared" si="519"/>
        <v>1. Tokenistic</v>
      </c>
      <c r="IR784" s="12">
        <f t="shared" si="520"/>
        <v>2</v>
      </c>
      <c r="IS784" s="12" t="s">
        <v>456</v>
      </c>
      <c r="IT784" s="12"/>
      <c r="IU784" s="12"/>
      <c r="IV784" s="12"/>
      <c r="IW784" s="11" t="str">
        <f t="shared" si="521"/>
        <v>0. Harmful</v>
      </c>
      <c r="IX784" s="12">
        <f t="shared" si="522"/>
        <v>0</v>
      </c>
      <c r="IY784" s="12" t="s">
        <v>338</v>
      </c>
      <c r="IZ784" s="12" t="s">
        <v>339</v>
      </c>
      <c r="JA784" s="12"/>
      <c r="JB784" s="12"/>
      <c r="JC784" s="12"/>
      <c r="JD784" s="12"/>
      <c r="JE784" s="12" t="s">
        <v>420</v>
      </c>
      <c r="JF784" s="12"/>
      <c r="JG784" s="12" t="s">
        <v>12260</v>
      </c>
      <c r="JH784" s="12" t="s">
        <v>12261</v>
      </c>
      <c r="JI784" s="12" t="s">
        <v>12262</v>
      </c>
      <c r="JJ784" s="12"/>
      <c r="JK784" s="12" t="s">
        <v>12263</v>
      </c>
      <c r="JL784" s="12"/>
      <c r="JM784" s="12"/>
      <c r="JN784" s="12" t="s">
        <v>12264</v>
      </c>
      <c r="JO784" s="12"/>
      <c r="JP784" s="15">
        <f t="shared" si="523"/>
        <v>451</v>
      </c>
      <c r="JQ784" s="15">
        <f t="shared" si="524"/>
        <v>5412</v>
      </c>
      <c r="JR784" s="279">
        <f t="shared" si="525"/>
        <v>12</v>
      </c>
      <c r="JS784" s="17">
        <f t="shared" si="526"/>
        <v>0.47228381374722839</v>
      </c>
      <c r="JT784" s="18">
        <f t="shared" si="527"/>
        <v>0.47228381374722839</v>
      </c>
      <c r="JU784" s="280">
        <f t="shared" si="528"/>
        <v>213</v>
      </c>
      <c r="JV784" s="280">
        <f t="shared" si="529"/>
        <v>2556</v>
      </c>
      <c r="JW784" s="319">
        <f t="shared" si="530"/>
        <v>1</v>
      </c>
      <c r="JX784" s="15">
        <f t="shared" si="531"/>
        <v>390</v>
      </c>
      <c r="JY784" s="15">
        <f t="shared" si="532"/>
        <v>4680</v>
      </c>
      <c r="JZ784" s="19">
        <f t="shared" si="533"/>
        <v>12</v>
      </c>
      <c r="KA784" s="52" t="str">
        <f t="shared" si="534"/>
        <v/>
      </c>
      <c r="KB784" s="15">
        <f t="shared" si="535"/>
        <v>0</v>
      </c>
      <c r="KC784" s="15">
        <f t="shared" si="536"/>
        <v>0</v>
      </c>
      <c r="KD784" s="20" t="str">
        <f t="shared" si="537"/>
        <v/>
      </c>
      <c r="KE784" s="52">
        <f t="shared" si="538"/>
        <v>1</v>
      </c>
      <c r="KF784" s="15">
        <f t="shared" si="539"/>
        <v>135</v>
      </c>
      <c r="KG784" s="15">
        <f t="shared" si="540"/>
        <v>1620</v>
      </c>
      <c r="KH784" s="21">
        <f t="shared" si="541"/>
        <v>12</v>
      </c>
      <c r="KI784" s="52" t="str">
        <f t="shared" si="542"/>
        <v/>
      </c>
      <c r="KJ784" s="15">
        <f t="shared" si="543"/>
        <v>0</v>
      </c>
      <c r="KK784" s="15">
        <f t="shared" si="544"/>
        <v>0</v>
      </c>
      <c r="KL784" s="19" t="str">
        <f t="shared" si="545"/>
        <v/>
      </c>
      <c r="KM784" s="52" t="str">
        <f t="shared" si="546"/>
        <v/>
      </c>
      <c r="KN784" s="22">
        <f t="shared" si="547"/>
        <v>0</v>
      </c>
      <c r="KO784" s="22">
        <f t="shared" si="548"/>
        <v>0</v>
      </c>
      <c r="KP784" s="19" t="str">
        <f t="shared" si="549"/>
        <v/>
      </c>
      <c r="KQ784" s="11" t="str">
        <f t="shared" si="550"/>
        <v>2. Sensitive</v>
      </c>
      <c r="KR784" s="11" t="str">
        <f t="shared" si="551"/>
        <v>1. Tokenistic</v>
      </c>
      <c r="KS784" s="11" t="str">
        <f t="shared" si="552"/>
        <v>0. Harmful</v>
      </c>
      <c r="KT784" s="11" t="str">
        <f t="shared" si="553"/>
        <v>It did not develop any specific innovation</v>
      </c>
      <c r="KU784" s="11" t="str">
        <f t="shared" si="554"/>
        <v>Little or no advocacy</v>
      </c>
      <c r="KV784" s="11">
        <f t="shared" si="555"/>
        <v>0</v>
      </c>
      <c r="KW784" s="11" t="str">
        <f t="shared" si="556"/>
        <v>Tanzania - Supporting Adolescent Girls' Empowerment (SAGE)</v>
      </c>
      <c r="KX784" s="11" t="str">
        <f t="shared" si="557"/>
        <v>Supporting Adolescent Girls' Empowerment (SAGE)</v>
      </c>
      <c r="KY784" s="11" t="str">
        <f t="shared" si="558"/>
        <v>Tanzania</v>
      </c>
      <c r="KZ784" s="12">
        <v>785</v>
      </c>
    </row>
    <row r="785" spans="1:312" x14ac:dyDescent="0.3">
      <c r="A785" s="12" t="s">
        <v>12090</v>
      </c>
      <c r="B785" s="12" t="s">
        <v>7217</v>
      </c>
      <c r="C785" s="12"/>
      <c r="D785" s="12" t="s">
        <v>12091</v>
      </c>
      <c r="E785" s="277" t="str">
        <f t="shared" si="516"/>
        <v>Tanzania</v>
      </c>
      <c r="F785" s="12" t="s">
        <v>12092</v>
      </c>
      <c r="G785" s="12" t="s">
        <v>376</v>
      </c>
      <c r="H785" s="12" t="s">
        <v>310</v>
      </c>
      <c r="I785" s="12" t="s">
        <v>377</v>
      </c>
      <c r="J785" s="281" t="s">
        <v>3886</v>
      </c>
      <c r="K785" s="12"/>
      <c r="L785" s="12"/>
      <c r="M785" s="12"/>
      <c r="N785" s="12"/>
      <c r="O785" s="12"/>
      <c r="P785" s="12"/>
      <c r="Q785" s="12"/>
      <c r="R785" s="12"/>
      <c r="S785" s="12"/>
      <c r="T785" s="12"/>
      <c r="U785" s="12"/>
      <c r="V785" s="12"/>
      <c r="W785" s="12"/>
      <c r="X785" s="12"/>
      <c r="Y785" s="12"/>
      <c r="Z785" s="12"/>
      <c r="AA785" s="12"/>
      <c r="AB785" s="12"/>
      <c r="AC785" s="12"/>
      <c r="AD785" s="12"/>
      <c r="BD785" s="13">
        <v>42741</v>
      </c>
      <c r="BE785" s="13">
        <v>44377</v>
      </c>
      <c r="BF785" s="12"/>
      <c r="BG785" s="12" t="s">
        <v>490</v>
      </c>
      <c r="BH785" s="14">
        <v>9518400</v>
      </c>
      <c r="BI785" s="12" t="s">
        <v>12093</v>
      </c>
      <c r="BJ785" s="12" t="s">
        <v>12094</v>
      </c>
      <c r="BK785" s="12" t="s">
        <v>12095</v>
      </c>
      <c r="BL785" s="12" t="s">
        <v>12096</v>
      </c>
      <c r="BM785" s="12" t="s">
        <v>12097</v>
      </c>
      <c r="BN785" s="12" t="s">
        <v>12098</v>
      </c>
      <c r="BO785" s="12" t="s">
        <v>319</v>
      </c>
      <c r="BP785" s="12" t="s">
        <v>320</v>
      </c>
      <c r="BQ785" s="12" t="s">
        <v>319</v>
      </c>
      <c r="BR785" s="12" t="s">
        <v>12099</v>
      </c>
      <c r="BS785" s="12" t="s">
        <v>357</v>
      </c>
      <c r="BT785" s="12" t="s">
        <v>12100</v>
      </c>
      <c r="BU785" s="12" t="s">
        <v>12101</v>
      </c>
      <c r="BV785" s="14">
        <v>832</v>
      </c>
      <c r="BW785" s="14">
        <v>554</v>
      </c>
      <c r="BX785" s="14">
        <v>1386</v>
      </c>
      <c r="BY785" s="14">
        <v>298995</v>
      </c>
      <c r="BZ785" s="14">
        <v>660510</v>
      </c>
      <c r="CA785" s="14">
        <v>959505</v>
      </c>
      <c r="CB785" s="12" t="s">
        <v>12102</v>
      </c>
      <c r="CD785" s="14"/>
      <c r="CE785" s="14"/>
      <c r="CF785" s="14"/>
      <c r="CG785" s="14"/>
      <c r="CH785" s="14"/>
      <c r="CI785" s="14"/>
      <c r="CJ785" s="12"/>
      <c r="CK785" s="14"/>
      <c r="CL785" s="16"/>
      <c r="CM785" s="14"/>
      <c r="CN785" s="12"/>
      <c r="CO785" s="14"/>
      <c r="CP785" s="16"/>
      <c r="CQ785" s="14"/>
      <c r="CR785" s="12"/>
      <c r="CS785" s="14"/>
      <c r="CT785" s="16"/>
      <c r="CU785" s="14"/>
      <c r="CV785" s="12"/>
      <c r="CW785" s="14"/>
      <c r="CX785" s="16"/>
      <c r="CY785" s="14"/>
      <c r="CZ785" s="12"/>
      <c r="DA785" s="14"/>
      <c r="DB785" s="16"/>
      <c r="DC785" s="14"/>
      <c r="DD785" s="12"/>
      <c r="DE785" s="14"/>
      <c r="DF785" s="16"/>
      <c r="DG785" s="14"/>
      <c r="DH785" s="12"/>
      <c r="DI785" s="14"/>
      <c r="DJ785" s="16"/>
      <c r="DK785" s="14"/>
      <c r="DL785" s="12"/>
      <c r="DM785" s="14"/>
      <c r="DN785" s="16"/>
      <c r="DO785" s="14"/>
      <c r="DP785" s="12"/>
      <c r="DQ785" s="14"/>
      <c r="DR785" s="16"/>
      <c r="DS785" s="14"/>
      <c r="DT785" s="12"/>
      <c r="DU785" s="14"/>
      <c r="DV785" s="16"/>
      <c r="DW785" s="14"/>
      <c r="DX785" s="12"/>
      <c r="DY785" s="14"/>
      <c r="DZ785" s="16"/>
      <c r="EA785" s="14"/>
      <c r="EB785" s="12"/>
      <c r="EC785" s="14"/>
      <c r="ED785" s="16"/>
      <c r="EE785" s="14"/>
      <c r="EF785" s="12"/>
      <c r="EG785" s="12"/>
      <c r="EH785" s="14"/>
      <c r="EI785" s="16"/>
      <c r="EJ785" s="14"/>
      <c r="EK785" s="14">
        <v>0</v>
      </c>
      <c r="EL785" s="14">
        <v>0</v>
      </c>
      <c r="EM785" s="14">
        <v>0</v>
      </c>
      <c r="EN785" s="14">
        <v>0</v>
      </c>
      <c r="EO785" s="14">
        <v>0</v>
      </c>
      <c r="EP785" s="14">
        <v>0</v>
      </c>
      <c r="EQ785" s="12"/>
      <c r="ER785" s="14"/>
      <c r="ES785" s="16"/>
      <c r="ET785" s="14"/>
      <c r="EU785" s="12"/>
      <c r="EV785" s="14"/>
      <c r="EW785" s="16"/>
      <c r="EX785" s="14"/>
      <c r="EY785" s="12"/>
      <c r="EZ785" s="14"/>
      <c r="FA785" s="16"/>
      <c r="FB785" s="14"/>
      <c r="FC785" s="12"/>
      <c r="FD785" s="14"/>
      <c r="FE785" s="16"/>
      <c r="FF785" s="14"/>
      <c r="FG785" s="12"/>
      <c r="FH785" s="14"/>
      <c r="FI785" s="16"/>
      <c r="FJ785" s="14"/>
      <c r="FK785" s="12"/>
      <c r="FL785" s="14"/>
      <c r="FM785" s="16"/>
      <c r="FN785" s="14"/>
      <c r="FO785" s="12"/>
      <c r="FP785" s="14"/>
      <c r="FQ785" s="16"/>
      <c r="FR785" s="14"/>
      <c r="FS785" s="12"/>
      <c r="FT785" s="14"/>
      <c r="FU785" s="16"/>
      <c r="FV785" s="14"/>
      <c r="FW785" s="12"/>
      <c r="FX785" s="14"/>
      <c r="FY785" s="16"/>
      <c r="FZ785" s="14"/>
      <c r="GA785" s="12"/>
      <c r="GB785" s="14"/>
      <c r="GC785" s="16"/>
      <c r="GD785" s="14"/>
      <c r="GE785" s="12"/>
      <c r="GF785" s="14"/>
      <c r="GG785" s="16"/>
      <c r="GH785" s="14"/>
      <c r="GI785" s="12"/>
      <c r="GJ785" s="14"/>
      <c r="GK785" s="16"/>
      <c r="GL785" s="14"/>
      <c r="GM785" s="12"/>
      <c r="GN785" s="14"/>
      <c r="GO785" s="16"/>
      <c r="GP785" s="14"/>
      <c r="GQ785" s="12" t="s">
        <v>320</v>
      </c>
      <c r="GR785" s="14"/>
      <c r="GS785" s="16"/>
      <c r="GT785" s="14"/>
      <c r="GU785" s="12"/>
      <c r="GV785" s="14"/>
      <c r="GW785" s="16"/>
      <c r="GX785" s="14"/>
      <c r="GY785" s="12"/>
      <c r="GZ785" s="14"/>
      <c r="HA785" s="16"/>
      <c r="HB785" s="14"/>
      <c r="HC785" s="12"/>
      <c r="HD785" s="12"/>
      <c r="HE785" s="14"/>
      <c r="HF785" s="16"/>
      <c r="HG785" s="14"/>
      <c r="HH785" s="12" t="s">
        <v>319</v>
      </c>
      <c r="HI785" s="12"/>
      <c r="HJ785" s="12"/>
      <c r="HK785" s="12"/>
      <c r="HL785" s="12" t="s">
        <v>320</v>
      </c>
      <c r="HM785" s="12" t="s">
        <v>327</v>
      </c>
      <c r="HN785" s="12">
        <v>2017</v>
      </c>
      <c r="HO785" s="12" t="s">
        <v>12103</v>
      </c>
      <c r="HP785" s="12" t="s">
        <v>418</v>
      </c>
      <c r="HQ785" s="12"/>
      <c r="HR785" s="12"/>
      <c r="HS785" s="12"/>
      <c r="HT785" s="12"/>
      <c r="HU785" s="12"/>
      <c r="HV785" s="12"/>
      <c r="HW785" s="12"/>
      <c r="HX785" s="12"/>
      <c r="HY785" s="12"/>
      <c r="HZ785" s="12"/>
      <c r="IA785" s="12"/>
      <c r="IB785" s="12"/>
      <c r="IC785" s="12"/>
      <c r="ID785" s="12"/>
      <c r="IE785" s="12" t="s">
        <v>335</v>
      </c>
      <c r="IF785" s="12" t="s">
        <v>320</v>
      </c>
      <c r="IG785" s="12" t="s">
        <v>320</v>
      </c>
      <c r="IH785" s="12" t="s">
        <v>320</v>
      </c>
      <c r="II785" s="12" t="s">
        <v>319</v>
      </c>
      <c r="IJ785" s="12" t="str">
        <f t="shared" si="517"/>
        <v>1. Neutral</v>
      </c>
      <c r="IK785" s="12">
        <f t="shared" si="518"/>
        <v>3</v>
      </c>
      <c r="IL785" s="11" t="s">
        <v>621</v>
      </c>
      <c r="IM785" s="12" t="s">
        <v>320</v>
      </c>
      <c r="IN785" s="12" t="s">
        <v>320</v>
      </c>
      <c r="IO785" s="12" t="s">
        <v>320</v>
      </c>
      <c r="IP785" s="12" t="s">
        <v>320</v>
      </c>
      <c r="IQ785" s="12" t="str">
        <f t="shared" si="519"/>
        <v>4. Transformational</v>
      </c>
      <c r="IR785" s="12">
        <f t="shared" si="520"/>
        <v>4</v>
      </c>
      <c r="IS785" s="12" t="s">
        <v>337</v>
      </c>
      <c r="IT785" s="12" t="s">
        <v>320</v>
      </c>
      <c r="IU785" s="12" t="s">
        <v>320</v>
      </c>
      <c r="IV785" s="12" t="s">
        <v>320</v>
      </c>
      <c r="IW785" s="11" t="str">
        <f t="shared" si="521"/>
        <v>2. Sensitive</v>
      </c>
      <c r="IX785" s="12">
        <f t="shared" si="522"/>
        <v>3</v>
      </c>
      <c r="IY785" s="12" t="s">
        <v>338</v>
      </c>
      <c r="IZ785" s="12" t="s">
        <v>527</v>
      </c>
      <c r="JA785" s="12">
        <v>3</v>
      </c>
      <c r="JB785" s="12" t="s">
        <v>687</v>
      </c>
      <c r="JC785" s="12" t="s">
        <v>831</v>
      </c>
      <c r="JD785" s="12"/>
      <c r="JE785" s="12" t="s">
        <v>420</v>
      </c>
      <c r="JF785" s="12"/>
      <c r="JG785" s="12"/>
      <c r="JH785" s="12" t="s">
        <v>12104</v>
      </c>
      <c r="JI785" s="12" t="s">
        <v>12105</v>
      </c>
      <c r="JJ785" s="12" t="s">
        <v>12106</v>
      </c>
      <c r="JK785" s="12"/>
      <c r="JL785" s="12"/>
      <c r="JM785" s="12"/>
      <c r="JN785" s="12" t="s">
        <v>12107</v>
      </c>
      <c r="JO785" s="12"/>
      <c r="JP785" s="15">
        <f t="shared" si="523"/>
        <v>0</v>
      </c>
      <c r="JQ785" s="15">
        <f t="shared" si="524"/>
        <v>0</v>
      </c>
      <c r="JR785" s="279" t="str">
        <f t="shared" si="525"/>
        <v/>
      </c>
      <c r="JS785" s="17" t="str">
        <f t="shared" si="526"/>
        <v/>
      </c>
      <c r="JT785" s="18" t="str">
        <f t="shared" si="527"/>
        <v/>
      </c>
      <c r="JU785" s="280">
        <f t="shared" si="528"/>
        <v>0</v>
      </c>
      <c r="JV785" s="280">
        <f t="shared" si="529"/>
        <v>0</v>
      </c>
      <c r="JW785" s="319" t="str">
        <f t="shared" si="530"/>
        <v/>
      </c>
      <c r="JX785" s="15">
        <f t="shared" si="531"/>
        <v>0</v>
      </c>
      <c r="JY785" s="15">
        <f t="shared" si="532"/>
        <v>0</v>
      </c>
      <c r="JZ785" s="19" t="str">
        <f t="shared" si="533"/>
        <v/>
      </c>
      <c r="KA785" s="52" t="str">
        <f t="shared" si="534"/>
        <v/>
      </c>
      <c r="KB785" s="15">
        <f t="shared" si="535"/>
        <v>0</v>
      </c>
      <c r="KC785" s="15">
        <f t="shared" si="536"/>
        <v>0</v>
      </c>
      <c r="KD785" s="20" t="str">
        <f t="shared" si="537"/>
        <v/>
      </c>
      <c r="KE785" s="52">
        <f t="shared" si="538"/>
        <v>1</v>
      </c>
      <c r="KF785" s="15">
        <f t="shared" si="539"/>
        <v>0</v>
      </c>
      <c r="KG785" s="15">
        <f t="shared" si="540"/>
        <v>0</v>
      </c>
      <c r="KH785" s="21" t="str">
        <f t="shared" si="541"/>
        <v/>
      </c>
      <c r="KI785" s="52" t="str">
        <f t="shared" si="542"/>
        <v/>
      </c>
      <c r="KJ785" s="15">
        <f t="shared" si="543"/>
        <v>0</v>
      </c>
      <c r="KK785" s="15">
        <f t="shared" si="544"/>
        <v>0</v>
      </c>
      <c r="KL785" s="19" t="str">
        <f t="shared" si="545"/>
        <v/>
      </c>
      <c r="KM785" s="52" t="str">
        <f t="shared" si="546"/>
        <v/>
      </c>
      <c r="KN785" s="22">
        <f t="shared" si="547"/>
        <v>0</v>
      </c>
      <c r="KO785" s="22">
        <f t="shared" si="548"/>
        <v>0</v>
      </c>
      <c r="KP785" s="19" t="str">
        <f t="shared" si="549"/>
        <v/>
      </c>
      <c r="KQ785" s="11" t="str">
        <f t="shared" si="550"/>
        <v>1. Neutral</v>
      </c>
      <c r="KR785" s="11" t="str">
        <f t="shared" si="551"/>
        <v>4. Transformational</v>
      </c>
      <c r="KS785" s="11" t="str">
        <f t="shared" si="552"/>
        <v>2. Sensitive</v>
      </c>
      <c r="KT785" s="11">
        <f t="shared" si="553"/>
        <v>0</v>
      </c>
      <c r="KU785" s="11" t="str">
        <f t="shared" si="554"/>
        <v>Little or no advocacy</v>
      </c>
      <c r="KV785" s="11">
        <f t="shared" si="555"/>
        <v>0</v>
      </c>
      <c r="KW785" s="11" t="str">
        <f t="shared" si="556"/>
        <v>Tanzania - Tabora Maternal and Newborn Health Initiative</v>
      </c>
      <c r="KX785" s="11" t="str">
        <f t="shared" si="557"/>
        <v>Tabora Maternal and Newborn Health Initiative</v>
      </c>
      <c r="KY785" s="11" t="str">
        <f t="shared" si="558"/>
        <v>Tanzania</v>
      </c>
      <c r="KZ785" s="12">
        <v>786</v>
      </c>
    </row>
    <row r="786" spans="1:312" x14ac:dyDescent="0.3">
      <c r="A786" s="12" t="s">
        <v>12294</v>
      </c>
      <c r="B786" s="12" t="s">
        <v>306</v>
      </c>
      <c r="C786" s="12"/>
      <c r="D786" s="43" t="s">
        <v>12317</v>
      </c>
      <c r="E786" s="277" t="str">
        <f t="shared" si="516"/>
        <v>Thailand</v>
      </c>
      <c r="F786" s="12" t="s">
        <v>12318</v>
      </c>
      <c r="G786" s="12" t="s">
        <v>12297</v>
      </c>
      <c r="H786" s="12" t="s">
        <v>489</v>
      </c>
      <c r="I786" s="12" t="s">
        <v>384</v>
      </c>
      <c r="J786" s="281" t="s">
        <v>12319</v>
      </c>
      <c r="K786" s="12"/>
      <c r="L786" s="12"/>
      <c r="M786" s="12"/>
      <c r="N786" s="12"/>
      <c r="O786" s="12"/>
      <c r="P786" s="12"/>
      <c r="Q786" s="12"/>
      <c r="R786" s="12"/>
      <c r="S786" s="12"/>
      <c r="T786" s="12"/>
      <c r="U786" s="12"/>
      <c r="V786" s="12"/>
      <c r="W786" s="12"/>
      <c r="X786" s="12"/>
      <c r="Y786" s="12"/>
      <c r="Z786" s="12"/>
      <c r="AA786" s="12"/>
      <c r="AB786" s="12"/>
      <c r="AC786" s="12"/>
      <c r="AD786" s="12"/>
      <c r="BD786" s="13">
        <v>42767</v>
      </c>
      <c r="BE786" s="13">
        <v>43496</v>
      </c>
      <c r="BF786" s="12"/>
      <c r="BG786" s="12" t="s">
        <v>312</v>
      </c>
      <c r="BH786" s="14">
        <v>408332</v>
      </c>
      <c r="BI786" s="12" t="s">
        <v>12299</v>
      </c>
      <c r="BJ786" s="12" t="s">
        <v>12300</v>
      </c>
      <c r="BK786" s="12" t="s">
        <v>12301</v>
      </c>
      <c r="BL786" s="12" t="s">
        <v>12320</v>
      </c>
      <c r="BM786" s="12" t="s">
        <v>12321</v>
      </c>
      <c r="BN786" s="12" t="s">
        <v>12322</v>
      </c>
      <c r="BO786" s="12" t="s">
        <v>320</v>
      </c>
      <c r="BP786" s="12" t="s">
        <v>320</v>
      </c>
      <c r="BQ786" s="12" t="s">
        <v>320</v>
      </c>
      <c r="BR786" s="12" t="s">
        <v>12323</v>
      </c>
      <c r="BS786" s="12" t="s">
        <v>357</v>
      </c>
      <c r="BT786" s="12" t="s">
        <v>12324</v>
      </c>
      <c r="BU786" s="12" t="s">
        <v>12325</v>
      </c>
      <c r="BV786" s="14">
        <v>0</v>
      </c>
      <c r="BW786" s="14">
        <v>0</v>
      </c>
      <c r="BX786" s="14">
        <v>3000</v>
      </c>
      <c r="BY786" s="14">
        <v>0</v>
      </c>
      <c r="BZ786" s="14">
        <v>0</v>
      </c>
      <c r="CA786" s="14">
        <v>0</v>
      </c>
      <c r="CB786" s="12"/>
      <c r="CD786" s="14">
        <v>0</v>
      </c>
      <c r="CE786" s="14">
        <v>0</v>
      </c>
      <c r="CF786" s="14">
        <v>0</v>
      </c>
      <c r="CG786" s="14"/>
      <c r="CH786" s="14"/>
      <c r="CI786" s="14"/>
      <c r="CJ786" s="12" t="s">
        <v>319</v>
      </c>
      <c r="CK786" s="14"/>
      <c r="CL786" s="16"/>
      <c r="CM786" s="14"/>
      <c r="CN786" s="12" t="s">
        <v>319</v>
      </c>
      <c r="CO786" s="14"/>
      <c r="CP786" s="16"/>
      <c r="CQ786" s="14"/>
      <c r="CR786" s="12" t="s">
        <v>319</v>
      </c>
      <c r="CS786" s="14"/>
      <c r="CT786" s="16"/>
      <c r="CU786" s="14"/>
      <c r="CV786" s="12" t="s">
        <v>320</v>
      </c>
      <c r="CW786" s="14"/>
      <c r="CX786" s="16"/>
      <c r="CY786" s="14"/>
      <c r="CZ786" s="12" t="s">
        <v>319</v>
      </c>
      <c r="DA786" s="14"/>
      <c r="DB786" s="16"/>
      <c r="DC786" s="14"/>
      <c r="DD786" s="12" t="s">
        <v>7463</v>
      </c>
      <c r="DE786" s="14"/>
      <c r="DF786" s="16"/>
      <c r="DG786" s="14"/>
      <c r="DH786" s="11" t="s">
        <v>319</v>
      </c>
      <c r="DI786" s="14"/>
      <c r="DJ786" s="16"/>
      <c r="DK786" s="14"/>
      <c r="DL786" s="12" t="s">
        <v>326</v>
      </c>
      <c r="DM786" s="14"/>
      <c r="DN786" s="16"/>
      <c r="DO786" s="14"/>
      <c r="DP786" s="12" t="s">
        <v>326</v>
      </c>
      <c r="DQ786" s="14"/>
      <c r="DR786" s="16"/>
      <c r="DS786" s="14"/>
      <c r="DT786" s="12" t="s">
        <v>319</v>
      </c>
      <c r="DU786" s="14"/>
      <c r="DV786" s="16"/>
      <c r="DW786" s="14"/>
      <c r="DX786" s="12" t="s">
        <v>319</v>
      </c>
      <c r="DY786" s="14"/>
      <c r="DZ786" s="16"/>
      <c r="EA786" s="14"/>
      <c r="EB786" s="11" t="s">
        <v>319</v>
      </c>
      <c r="EC786" s="14"/>
      <c r="ED786" s="16"/>
      <c r="EE786" s="14"/>
      <c r="EF786" s="12"/>
      <c r="EG786" s="12" t="s">
        <v>319</v>
      </c>
      <c r="EH786" s="14"/>
      <c r="EI786" s="16"/>
      <c r="EJ786" s="14"/>
      <c r="EK786" s="14">
        <v>0</v>
      </c>
      <c r="EL786" s="14">
        <v>0</v>
      </c>
      <c r="EM786" s="14">
        <v>350</v>
      </c>
      <c r="EN786" s="14">
        <v>0</v>
      </c>
      <c r="EO786" s="14">
        <v>0</v>
      </c>
      <c r="EP786" s="14">
        <v>0</v>
      </c>
      <c r="EQ786" s="12" t="s">
        <v>320</v>
      </c>
      <c r="ER786" s="14">
        <v>350</v>
      </c>
      <c r="ES786" s="16">
        <v>0</v>
      </c>
      <c r="ET786" s="14">
        <v>0</v>
      </c>
      <c r="EU786" s="11" t="s">
        <v>319</v>
      </c>
      <c r="EV786" s="14"/>
      <c r="EW786" s="16"/>
      <c r="EX786" s="14"/>
      <c r="EY786" s="12" t="s">
        <v>319</v>
      </c>
      <c r="EZ786" s="14"/>
      <c r="FA786" s="16"/>
      <c r="FB786" s="14"/>
      <c r="FC786" s="12" t="s">
        <v>319</v>
      </c>
      <c r="FD786" s="14"/>
      <c r="FE786" s="16"/>
      <c r="FF786" s="14"/>
      <c r="FG786" s="12" t="s">
        <v>319</v>
      </c>
      <c r="FH786" s="14"/>
      <c r="FI786" s="16"/>
      <c r="FJ786" s="14"/>
      <c r="FK786" s="12" t="s">
        <v>319</v>
      </c>
      <c r="FL786" s="14"/>
      <c r="FM786" s="16"/>
      <c r="FN786" s="14"/>
      <c r="FO786" s="12" t="s">
        <v>319</v>
      </c>
      <c r="FP786" s="14"/>
      <c r="FQ786" s="16"/>
      <c r="FR786" s="14"/>
      <c r="FS786" s="12" t="s">
        <v>319</v>
      </c>
      <c r="FT786" s="14">
        <v>0</v>
      </c>
      <c r="FU786" s="16">
        <v>0</v>
      </c>
      <c r="FV786" s="14">
        <v>0</v>
      </c>
      <c r="FW786" s="12" t="s">
        <v>319</v>
      </c>
      <c r="FX786" s="14"/>
      <c r="FY786" s="16"/>
      <c r="FZ786" s="14"/>
      <c r="GA786" s="12" t="s">
        <v>319</v>
      </c>
      <c r="GB786" s="14"/>
      <c r="GC786" s="16"/>
      <c r="GD786" s="14"/>
      <c r="GE786" s="12" t="s">
        <v>319</v>
      </c>
      <c r="GF786" s="14"/>
      <c r="GG786" s="16"/>
      <c r="GH786" s="14"/>
      <c r="GI786" s="12" t="s">
        <v>319</v>
      </c>
      <c r="GJ786" s="14"/>
      <c r="GK786" s="16"/>
      <c r="GL786" s="14"/>
      <c r="GM786" s="12" t="s">
        <v>319</v>
      </c>
      <c r="GN786" s="14"/>
      <c r="GO786" s="16"/>
      <c r="GP786" s="14"/>
      <c r="GQ786" s="12" t="s">
        <v>319</v>
      </c>
      <c r="GR786" s="14"/>
      <c r="GS786" s="16"/>
      <c r="GT786" s="14"/>
      <c r="GU786" s="12" t="s">
        <v>319</v>
      </c>
      <c r="GV786" s="14"/>
      <c r="GW786" s="16"/>
      <c r="GX786" s="14"/>
      <c r="GY786" s="12" t="s">
        <v>319</v>
      </c>
      <c r="GZ786" s="14"/>
      <c r="HA786" s="16"/>
      <c r="HB786" s="14"/>
      <c r="HC786" s="12"/>
      <c r="HD786" s="12" t="s">
        <v>319</v>
      </c>
      <c r="HE786" s="14"/>
      <c r="HF786" s="16"/>
      <c r="HG786" s="14"/>
      <c r="HH786" s="12" t="s">
        <v>319</v>
      </c>
      <c r="HI786" s="12"/>
      <c r="HJ786" s="12"/>
      <c r="HK786" s="12" t="s">
        <v>319</v>
      </c>
      <c r="HL786" s="12" t="s">
        <v>320</v>
      </c>
      <c r="HM786" s="12" t="s">
        <v>12326</v>
      </c>
      <c r="HN786" s="12">
        <v>2017</v>
      </c>
      <c r="HO786" s="12"/>
      <c r="HP786" s="12" t="s">
        <v>418</v>
      </c>
      <c r="HQ786" s="12" t="s">
        <v>319</v>
      </c>
      <c r="HR786" s="12" t="s">
        <v>319</v>
      </c>
      <c r="HS786" s="12" t="s">
        <v>319</v>
      </c>
      <c r="HT786" s="12" t="s">
        <v>319</v>
      </c>
      <c r="HU786" s="12" t="s">
        <v>319</v>
      </c>
      <c r="HV786" s="12" t="s">
        <v>319</v>
      </c>
      <c r="HW786" s="12" t="s">
        <v>320</v>
      </c>
      <c r="HX786" s="12" t="s">
        <v>319</v>
      </c>
      <c r="HY786" s="12"/>
      <c r="HZ786" s="12" t="s">
        <v>363</v>
      </c>
      <c r="IA786" s="12"/>
      <c r="IB786" s="12" t="s">
        <v>333</v>
      </c>
      <c r="IC786" s="12"/>
      <c r="ID786" s="12" t="s">
        <v>364</v>
      </c>
      <c r="IE786" s="12" t="s">
        <v>335</v>
      </c>
      <c r="IF786" s="12" t="s">
        <v>320</v>
      </c>
      <c r="IG786" s="12" t="s">
        <v>320</v>
      </c>
      <c r="IH786" s="12" t="s">
        <v>320</v>
      </c>
      <c r="II786" s="12" t="s">
        <v>320</v>
      </c>
      <c r="IJ786" s="12" t="str">
        <f t="shared" si="517"/>
        <v>2. Sensitive</v>
      </c>
      <c r="IK786" s="12">
        <f t="shared" si="518"/>
        <v>4</v>
      </c>
      <c r="IL786" s="12" t="s">
        <v>336</v>
      </c>
      <c r="IM786" s="12" t="s">
        <v>320</v>
      </c>
      <c r="IN786" s="12" t="s">
        <v>320</v>
      </c>
      <c r="IO786" s="12" t="s">
        <v>320</v>
      </c>
      <c r="IP786" s="12" t="s">
        <v>320</v>
      </c>
      <c r="IQ786" s="12" t="str">
        <f t="shared" si="519"/>
        <v>2. Accommodating</v>
      </c>
      <c r="IR786" s="12">
        <f t="shared" si="520"/>
        <v>4</v>
      </c>
      <c r="IS786" s="12" t="s">
        <v>337</v>
      </c>
      <c r="IT786" s="12" t="s">
        <v>320</v>
      </c>
      <c r="IU786" s="12" t="s">
        <v>319</v>
      </c>
      <c r="IV786" s="12" t="s">
        <v>319</v>
      </c>
      <c r="IW786" s="11" t="str">
        <f t="shared" si="521"/>
        <v>1. Neutral</v>
      </c>
      <c r="IX786" s="12">
        <f t="shared" si="522"/>
        <v>1</v>
      </c>
      <c r="IY786" s="12" t="s">
        <v>419</v>
      </c>
      <c r="IZ786" s="12" t="s">
        <v>432</v>
      </c>
      <c r="JA786" s="12">
        <v>1</v>
      </c>
      <c r="JB786" s="12" t="s">
        <v>831</v>
      </c>
      <c r="JC786" s="12" t="s">
        <v>2236</v>
      </c>
      <c r="JD786" s="12"/>
      <c r="JE786" s="12" t="s">
        <v>365</v>
      </c>
      <c r="JF786" s="12"/>
      <c r="JG786" s="12"/>
      <c r="JH786" s="12" t="s">
        <v>12327</v>
      </c>
      <c r="JI786" s="12"/>
      <c r="JJ786" s="12"/>
      <c r="JK786" s="12" t="s">
        <v>12328</v>
      </c>
      <c r="JL786" s="12"/>
      <c r="JM786" s="12"/>
      <c r="JN786" s="12"/>
      <c r="JO786" s="12"/>
      <c r="JP786" s="15">
        <f t="shared" si="523"/>
        <v>350</v>
      </c>
      <c r="JQ786" s="15">
        <f t="shared" si="524"/>
        <v>0</v>
      </c>
      <c r="JR786" s="279">
        <f t="shared" si="525"/>
        <v>0</v>
      </c>
      <c r="JS786" s="17">
        <f t="shared" si="526"/>
        <v>0</v>
      </c>
      <c r="JT786" s="18" t="str">
        <f t="shared" si="527"/>
        <v/>
      </c>
      <c r="JU786" s="280">
        <f t="shared" si="528"/>
        <v>0</v>
      </c>
      <c r="JV786" s="280">
        <f t="shared" si="529"/>
        <v>0</v>
      </c>
      <c r="JW786" s="319">
        <f t="shared" si="530"/>
        <v>1</v>
      </c>
      <c r="JX786" s="15">
        <f t="shared" si="531"/>
        <v>0</v>
      </c>
      <c r="JY786" s="15">
        <f t="shared" si="532"/>
        <v>0</v>
      </c>
      <c r="JZ786" s="19" t="str">
        <f t="shared" si="533"/>
        <v/>
      </c>
      <c r="KA786" s="52">
        <f t="shared" si="534"/>
        <v>1</v>
      </c>
      <c r="KB786" s="15">
        <f t="shared" si="535"/>
        <v>350</v>
      </c>
      <c r="KC786" s="15">
        <f t="shared" si="536"/>
        <v>0</v>
      </c>
      <c r="KD786" s="20">
        <f t="shared" si="537"/>
        <v>0</v>
      </c>
      <c r="KE786" s="52" t="str">
        <f t="shared" si="538"/>
        <v/>
      </c>
      <c r="KF786" s="15">
        <f t="shared" si="539"/>
        <v>0</v>
      </c>
      <c r="KG786" s="15">
        <f t="shared" si="540"/>
        <v>0</v>
      </c>
      <c r="KH786" s="21" t="str">
        <f t="shared" si="541"/>
        <v/>
      </c>
      <c r="KI786" s="52" t="str">
        <f t="shared" si="542"/>
        <v/>
      </c>
      <c r="KJ786" s="15">
        <f t="shared" si="543"/>
        <v>0</v>
      </c>
      <c r="KK786" s="15">
        <f t="shared" si="544"/>
        <v>0</v>
      </c>
      <c r="KL786" s="19" t="str">
        <f t="shared" si="545"/>
        <v/>
      </c>
      <c r="KM786" s="52" t="str">
        <f t="shared" si="546"/>
        <v/>
      </c>
      <c r="KN786" s="22">
        <f t="shared" si="547"/>
        <v>0</v>
      </c>
      <c r="KO786" s="22">
        <f t="shared" si="548"/>
        <v>0</v>
      </c>
      <c r="KP786" s="19" t="str">
        <f t="shared" si="549"/>
        <v/>
      </c>
      <c r="KQ786" s="11" t="str">
        <f t="shared" si="550"/>
        <v>2. Sensitive</v>
      </c>
      <c r="KR786" s="11" t="str">
        <f t="shared" si="551"/>
        <v>2. Accommodating</v>
      </c>
      <c r="KS786" s="11" t="str">
        <f t="shared" si="552"/>
        <v>1. Neutral</v>
      </c>
      <c r="KT786" s="11" t="str">
        <f t="shared" si="553"/>
        <v>It did not develop any specific innovation</v>
      </c>
      <c r="KU786" s="11" t="str">
        <f t="shared" si="554"/>
        <v>Little or no advocacy</v>
      </c>
      <c r="KV786" s="11" t="str">
        <f t="shared" si="555"/>
        <v>It did not take tested solutions to scale</v>
      </c>
      <c r="KW786" s="11" t="str">
        <f t="shared" si="556"/>
        <v>Thailand - Building Market Share and Social Good in Thailand (Hug Khao)</v>
      </c>
      <c r="KX786" s="11" t="str">
        <f t="shared" si="557"/>
        <v>Building Market Share and Social Good in Thailand (Hug Khao)</v>
      </c>
      <c r="KY786" s="11" t="str">
        <f t="shared" si="558"/>
        <v>Thailand</v>
      </c>
      <c r="KZ786" s="12">
        <v>787</v>
      </c>
    </row>
    <row r="787" spans="1:312" x14ac:dyDescent="0.3">
      <c r="A787" s="12" t="s">
        <v>12294</v>
      </c>
      <c r="B787" s="12" t="s">
        <v>306</v>
      </c>
      <c r="C787" s="12"/>
      <c r="D787" s="43" t="s">
        <v>12361</v>
      </c>
      <c r="E787" s="277" t="str">
        <f t="shared" si="516"/>
        <v>Thailand</v>
      </c>
      <c r="F787" s="12" t="s">
        <v>12362</v>
      </c>
      <c r="G787" s="12" t="s">
        <v>12297</v>
      </c>
      <c r="H787" s="12" t="s">
        <v>489</v>
      </c>
      <c r="I787" s="12" t="s">
        <v>384</v>
      </c>
      <c r="J787" s="281" t="s">
        <v>12363</v>
      </c>
      <c r="K787" s="12"/>
      <c r="L787" s="12"/>
      <c r="M787" s="12"/>
      <c r="N787" s="12"/>
      <c r="O787" s="12"/>
      <c r="P787" s="12"/>
      <c r="Q787" s="12"/>
      <c r="R787" s="12"/>
      <c r="S787" s="12"/>
      <c r="T787" s="12"/>
      <c r="U787" s="12"/>
      <c r="V787" s="12"/>
      <c r="W787" s="12"/>
      <c r="X787" s="12"/>
      <c r="Y787" s="12"/>
      <c r="Z787" s="12"/>
      <c r="AA787" s="12"/>
      <c r="AB787" s="12"/>
      <c r="AC787" s="12"/>
      <c r="AD787" s="12"/>
      <c r="BD787" s="13">
        <v>42552</v>
      </c>
      <c r="BE787" s="13">
        <v>43100</v>
      </c>
      <c r="BF787" s="12"/>
      <c r="BG787" s="12" t="s">
        <v>312</v>
      </c>
      <c r="BH787" s="14">
        <v>942140</v>
      </c>
      <c r="BI787" s="12" t="s">
        <v>12299</v>
      </c>
      <c r="BJ787" s="12" t="s">
        <v>12300</v>
      </c>
      <c r="BK787" s="12" t="s">
        <v>12301</v>
      </c>
      <c r="BL787" s="12" t="s">
        <v>12320</v>
      </c>
      <c r="BM787" s="12" t="s">
        <v>12321</v>
      </c>
      <c r="BN787" s="12" t="s">
        <v>12322</v>
      </c>
      <c r="BO787" s="12" t="s">
        <v>320</v>
      </c>
      <c r="BP787" s="12" t="s">
        <v>320</v>
      </c>
      <c r="BQ787" s="12" t="s">
        <v>320</v>
      </c>
      <c r="BR787" s="12" t="s">
        <v>12364</v>
      </c>
      <c r="BS787" s="12" t="s">
        <v>357</v>
      </c>
      <c r="BT787" s="12" t="s">
        <v>12365</v>
      </c>
      <c r="BU787" s="12" t="s">
        <v>12366</v>
      </c>
      <c r="BV787" s="14">
        <v>188</v>
      </c>
      <c r="BW787" s="14">
        <v>0</v>
      </c>
      <c r="BX787" s="14">
        <v>188</v>
      </c>
      <c r="BY787" s="14">
        <v>1537</v>
      </c>
      <c r="BZ787" s="14">
        <v>1642</v>
      </c>
      <c r="CA787" s="14">
        <v>3179</v>
      </c>
      <c r="CB787" s="12" t="s">
        <v>12367</v>
      </c>
      <c r="CD787" s="14">
        <v>0</v>
      </c>
      <c r="CE787" s="14">
        <v>0</v>
      </c>
      <c r="CF787" s="14">
        <v>0</v>
      </c>
      <c r="CG787" s="14"/>
      <c r="CH787" s="14"/>
      <c r="CI787" s="14"/>
      <c r="CJ787" s="12" t="s">
        <v>319</v>
      </c>
      <c r="CK787" s="14"/>
      <c r="CL787" s="16"/>
      <c r="CM787" s="14"/>
      <c r="CN787" s="12" t="s">
        <v>319</v>
      </c>
      <c r="CO787" s="14"/>
      <c r="CP787" s="16"/>
      <c r="CQ787" s="14"/>
      <c r="CR787" s="12" t="s">
        <v>319</v>
      </c>
      <c r="CS787" s="14"/>
      <c r="CT787" s="16"/>
      <c r="CU787" s="14"/>
      <c r="CV787" s="12" t="s">
        <v>320</v>
      </c>
      <c r="CW787" s="14"/>
      <c r="CX787" s="16"/>
      <c r="CY787" s="14"/>
      <c r="CZ787" s="12" t="s">
        <v>319</v>
      </c>
      <c r="DA787" s="14"/>
      <c r="DB787" s="16"/>
      <c r="DC787" s="14"/>
      <c r="DD787" s="12" t="s">
        <v>7463</v>
      </c>
      <c r="DE787" s="14"/>
      <c r="DF787" s="16"/>
      <c r="DG787" s="14"/>
      <c r="DH787" s="11" t="s">
        <v>319</v>
      </c>
      <c r="DI787" s="14"/>
      <c r="DJ787" s="16"/>
      <c r="DK787" s="14"/>
      <c r="DL787" s="12" t="s">
        <v>326</v>
      </c>
      <c r="DM787" s="14"/>
      <c r="DN787" s="16"/>
      <c r="DO787" s="14"/>
      <c r="DP787" s="12" t="s">
        <v>326</v>
      </c>
      <c r="DQ787" s="14"/>
      <c r="DR787" s="16"/>
      <c r="DS787" s="14"/>
      <c r="DT787" s="12" t="s">
        <v>319</v>
      </c>
      <c r="DU787" s="14"/>
      <c r="DV787" s="16"/>
      <c r="DW787" s="14"/>
      <c r="DX787" s="12" t="s">
        <v>319</v>
      </c>
      <c r="DY787" s="14"/>
      <c r="DZ787" s="16"/>
      <c r="EA787" s="14"/>
      <c r="EB787" s="11" t="s">
        <v>319</v>
      </c>
      <c r="EC787" s="14"/>
      <c r="ED787" s="16"/>
      <c r="EE787" s="14"/>
      <c r="EF787" s="12"/>
      <c r="EG787" s="12" t="s">
        <v>319</v>
      </c>
      <c r="EH787" s="14"/>
      <c r="EI787" s="16"/>
      <c r="EJ787" s="14"/>
      <c r="EK787" s="14">
        <v>188</v>
      </c>
      <c r="EL787" s="14">
        <v>12</v>
      </c>
      <c r="EM787" s="14">
        <v>200</v>
      </c>
      <c r="EN787" s="14">
        <v>0</v>
      </c>
      <c r="EO787" s="14">
        <v>0</v>
      </c>
      <c r="EP787" s="14">
        <v>0</v>
      </c>
      <c r="EQ787" s="12" t="s">
        <v>319</v>
      </c>
      <c r="ER787" s="14"/>
      <c r="ES787" s="16"/>
      <c r="ET787" s="14"/>
      <c r="EU787" s="11" t="s">
        <v>319</v>
      </c>
      <c r="EV787" s="14"/>
      <c r="EW787" s="16"/>
      <c r="EX787" s="14"/>
      <c r="EY787" s="12" t="s">
        <v>319</v>
      </c>
      <c r="EZ787" s="14"/>
      <c r="FA787" s="16"/>
      <c r="FB787" s="14"/>
      <c r="FC787" s="12" t="s">
        <v>319</v>
      </c>
      <c r="FD787" s="14"/>
      <c r="FE787" s="16"/>
      <c r="FF787" s="14"/>
      <c r="FG787" s="12" t="s">
        <v>319</v>
      </c>
      <c r="FH787" s="14"/>
      <c r="FI787" s="16"/>
      <c r="FJ787" s="14"/>
      <c r="FK787" s="12" t="s">
        <v>319</v>
      </c>
      <c r="FL787" s="14"/>
      <c r="FM787" s="16"/>
      <c r="FN787" s="14"/>
      <c r="FO787" s="12" t="s">
        <v>319</v>
      </c>
      <c r="FP787" s="14"/>
      <c r="FQ787" s="16"/>
      <c r="FR787" s="14"/>
      <c r="FS787" s="12" t="s">
        <v>319</v>
      </c>
      <c r="FT787" s="14">
        <v>0</v>
      </c>
      <c r="FU787" s="16">
        <v>0</v>
      </c>
      <c r="FV787" s="14">
        <v>0</v>
      </c>
      <c r="FW787" s="12" t="s">
        <v>319</v>
      </c>
      <c r="FX787" s="14"/>
      <c r="FY787" s="16"/>
      <c r="FZ787" s="14"/>
      <c r="GA787" s="12" t="s">
        <v>319</v>
      </c>
      <c r="GB787" s="14"/>
      <c r="GC787" s="16"/>
      <c r="GD787" s="14"/>
      <c r="GE787" s="12" t="s">
        <v>319</v>
      </c>
      <c r="GF787" s="14"/>
      <c r="GG787" s="16"/>
      <c r="GH787" s="14"/>
      <c r="GI787" s="12" t="s">
        <v>319</v>
      </c>
      <c r="GJ787" s="14"/>
      <c r="GK787" s="16"/>
      <c r="GL787" s="14"/>
      <c r="GM787" s="11" t="s">
        <v>320</v>
      </c>
      <c r="GN787" s="14">
        <v>12</v>
      </c>
      <c r="GO787" s="16">
        <v>0</v>
      </c>
      <c r="GP787" s="14">
        <v>0</v>
      </c>
      <c r="GQ787" s="12" t="s">
        <v>319</v>
      </c>
      <c r="GR787" s="14"/>
      <c r="GS787" s="16"/>
      <c r="GT787" s="14"/>
      <c r="GU787" s="12" t="s">
        <v>319</v>
      </c>
      <c r="GV787" s="14"/>
      <c r="GW787" s="16"/>
      <c r="GX787" s="14"/>
      <c r="GY787" s="11" t="s">
        <v>320</v>
      </c>
      <c r="GZ787" s="14">
        <v>188</v>
      </c>
      <c r="HA787" s="16">
        <v>1</v>
      </c>
      <c r="HB787" s="14">
        <v>0</v>
      </c>
      <c r="HC787" s="12"/>
      <c r="HD787" s="12" t="s">
        <v>319</v>
      </c>
      <c r="HE787" s="14"/>
      <c r="HF787" s="16"/>
      <c r="HG787" s="14"/>
      <c r="HH787" s="12" t="s">
        <v>319</v>
      </c>
      <c r="HI787" s="12"/>
      <c r="HJ787" s="12"/>
      <c r="HK787" s="12" t="s">
        <v>319</v>
      </c>
      <c r="HL787" s="12" t="s">
        <v>320</v>
      </c>
      <c r="HM787" s="12" t="s">
        <v>12353</v>
      </c>
      <c r="HN787" s="12">
        <v>2017</v>
      </c>
      <c r="HO787" s="12"/>
      <c r="HP787" s="12" t="s">
        <v>418</v>
      </c>
      <c r="HQ787" s="12" t="s">
        <v>319</v>
      </c>
      <c r="HR787" s="12" t="s">
        <v>319</v>
      </c>
      <c r="HS787" s="12" t="s">
        <v>319</v>
      </c>
      <c r="HT787" s="12" t="s">
        <v>319</v>
      </c>
      <c r="HU787" s="12" t="s">
        <v>319</v>
      </c>
      <c r="HV787" s="12" t="s">
        <v>319</v>
      </c>
      <c r="HW787" s="12" t="s">
        <v>319</v>
      </c>
      <c r="HX787" s="12" t="s">
        <v>319</v>
      </c>
      <c r="HY787" s="12"/>
      <c r="HZ787" s="12" t="s">
        <v>363</v>
      </c>
      <c r="IA787" s="12"/>
      <c r="IB787" s="12" t="s">
        <v>333</v>
      </c>
      <c r="IC787" s="12"/>
      <c r="ID787" s="12" t="s">
        <v>364</v>
      </c>
      <c r="IE787" s="12" t="s">
        <v>335</v>
      </c>
      <c r="IF787" s="12" t="s">
        <v>320</v>
      </c>
      <c r="IG787" s="12" t="s">
        <v>320</v>
      </c>
      <c r="IH787" s="12" t="s">
        <v>320</v>
      </c>
      <c r="II787" s="12" t="s">
        <v>320</v>
      </c>
      <c r="IJ787" s="12" t="str">
        <f t="shared" si="517"/>
        <v>2. Sensitive</v>
      </c>
      <c r="IK787" s="12">
        <f t="shared" si="518"/>
        <v>4</v>
      </c>
      <c r="IL787" s="12" t="s">
        <v>336</v>
      </c>
      <c r="IM787" s="12" t="s">
        <v>320</v>
      </c>
      <c r="IN787" s="12" t="s">
        <v>320</v>
      </c>
      <c r="IO787" s="12" t="s">
        <v>320</v>
      </c>
      <c r="IP787" s="12" t="s">
        <v>320</v>
      </c>
      <c r="IQ787" s="12" t="str">
        <f t="shared" si="519"/>
        <v>2. Accommodating</v>
      </c>
      <c r="IR787" s="12">
        <f t="shared" si="520"/>
        <v>4</v>
      </c>
      <c r="IS787" s="12" t="s">
        <v>337</v>
      </c>
      <c r="IT787" s="12" t="s">
        <v>320</v>
      </c>
      <c r="IU787" s="12" t="s">
        <v>320</v>
      </c>
      <c r="IV787" s="12" t="s">
        <v>319</v>
      </c>
      <c r="IW787" s="11" t="str">
        <f t="shared" si="521"/>
        <v>1. Neutral</v>
      </c>
      <c r="IX787" s="12">
        <f t="shared" si="522"/>
        <v>2</v>
      </c>
      <c r="IY787" s="12" t="s">
        <v>419</v>
      </c>
      <c r="IZ787" s="12" t="s">
        <v>339</v>
      </c>
      <c r="JA787" s="12"/>
      <c r="JB787" s="12"/>
      <c r="JC787" s="12"/>
      <c r="JD787" s="12"/>
      <c r="JE787" s="12" t="s">
        <v>365</v>
      </c>
      <c r="JF787" s="12"/>
      <c r="JG787" s="12" t="s">
        <v>12368</v>
      </c>
      <c r="JH787" s="12"/>
      <c r="JI787" s="12"/>
      <c r="JJ787" s="12"/>
      <c r="JK787" s="12" t="s">
        <v>12369</v>
      </c>
      <c r="JL787" s="12" t="s">
        <v>12370</v>
      </c>
      <c r="JM787" s="12"/>
      <c r="JN787" s="12"/>
      <c r="JO787" s="12"/>
      <c r="JP787" s="15">
        <f t="shared" si="523"/>
        <v>200</v>
      </c>
      <c r="JQ787" s="15">
        <f t="shared" si="524"/>
        <v>0</v>
      </c>
      <c r="JR787" s="279">
        <f t="shared" si="525"/>
        <v>0</v>
      </c>
      <c r="JS787" s="17">
        <f t="shared" si="526"/>
        <v>0.94</v>
      </c>
      <c r="JT787" s="18" t="str">
        <f t="shared" si="527"/>
        <v/>
      </c>
      <c r="JU787" s="280">
        <f t="shared" si="528"/>
        <v>188</v>
      </c>
      <c r="JV787" s="280">
        <f t="shared" si="529"/>
        <v>0</v>
      </c>
      <c r="JW787" s="319">
        <f t="shared" si="530"/>
        <v>1</v>
      </c>
      <c r="JX787" s="15">
        <f t="shared" si="531"/>
        <v>0</v>
      </c>
      <c r="JY787" s="15">
        <f t="shared" si="532"/>
        <v>0</v>
      </c>
      <c r="JZ787" s="19" t="str">
        <f t="shared" si="533"/>
        <v/>
      </c>
      <c r="KA787" s="52">
        <f t="shared" si="534"/>
        <v>1</v>
      </c>
      <c r="KB787" s="15">
        <f t="shared" si="535"/>
        <v>0</v>
      </c>
      <c r="KC787" s="15">
        <f t="shared" si="536"/>
        <v>0</v>
      </c>
      <c r="KD787" s="20" t="str">
        <f t="shared" si="537"/>
        <v/>
      </c>
      <c r="KE787" s="52" t="str">
        <f t="shared" si="538"/>
        <v/>
      </c>
      <c r="KF787" s="15">
        <f t="shared" si="539"/>
        <v>0</v>
      </c>
      <c r="KG787" s="15">
        <f t="shared" si="540"/>
        <v>0</v>
      </c>
      <c r="KH787" s="21" t="str">
        <f t="shared" si="541"/>
        <v/>
      </c>
      <c r="KI787" s="52" t="str">
        <f t="shared" si="542"/>
        <v/>
      </c>
      <c r="KJ787" s="15">
        <f t="shared" si="543"/>
        <v>0</v>
      </c>
      <c r="KK787" s="15">
        <f t="shared" si="544"/>
        <v>0</v>
      </c>
      <c r="KL787" s="19" t="str">
        <f t="shared" si="545"/>
        <v/>
      </c>
      <c r="KM787" s="52">
        <f t="shared" si="546"/>
        <v>1</v>
      </c>
      <c r="KN787" s="22">
        <f t="shared" si="547"/>
        <v>188</v>
      </c>
      <c r="KO787" s="22">
        <f t="shared" si="548"/>
        <v>0</v>
      </c>
      <c r="KP787" s="19">
        <f t="shared" si="549"/>
        <v>0</v>
      </c>
      <c r="KQ787" s="11" t="str">
        <f t="shared" si="550"/>
        <v>2. Sensitive</v>
      </c>
      <c r="KR787" s="11" t="str">
        <f t="shared" si="551"/>
        <v>2. Accommodating</v>
      </c>
      <c r="KS787" s="11" t="str">
        <f t="shared" si="552"/>
        <v>1. Neutral</v>
      </c>
      <c r="KT787" s="11" t="str">
        <f t="shared" si="553"/>
        <v>It did not develop any specific innovation</v>
      </c>
      <c r="KU787" s="11" t="str">
        <f t="shared" si="554"/>
        <v>Little or no advocacy</v>
      </c>
      <c r="KV787" s="11" t="str">
        <f t="shared" si="555"/>
        <v>It did not take tested solutions to scale</v>
      </c>
      <c r="KW787" s="11" t="str">
        <f t="shared" si="556"/>
        <v>Thailand - Chiva Pa Doi</v>
      </c>
      <c r="KX787" s="11" t="str">
        <f t="shared" si="557"/>
        <v>Chiva Pa Doi</v>
      </c>
      <c r="KY787" s="11" t="str">
        <f t="shared" si="558"/>
        <v>Thailand</v>
      </c>
      <c r="KZ787" s="12">
        <v>788</v>
      </c>
    </row>
    <row r="788" spans="1:312" x14ac:dyDescent="0.3">
      <c r="A788" s="12" t="s">
        <v>12294</v>
      </c>
      <c r="B788" s="12" t="s">
        <v>306</v>
      </c>
      <c r="C788" s="12">
        <v>3671</v>
      </c>
      <c r="D788" s="43" t="s">
        <v>12371</v>
      </c>
      <c r="E788" s="277" t="str">
        <f t="shared" si="516"/>
        <v>Thailand</v>
      </c>
      <c r="F788" s="12" t="s">
        <v>12372</v>
      </c>
      <c r="G788" s="12" t="s">
        <v>12297</v>
      </c>
      <c r="H788" s="12" t="s">
        <v>380</v>
      </c>
      <c r="I788" s="12" t="s">
        <v>381</v>
      </c>
      <c r="J788" s="281" t="s">
        <v>8430</v>
      </c>
      <c r="K788" s="12"/>
      <c r="L788" s="12"/>
      <c r="M788" s="12"/>
      <c r="N788" s="12"/>
      <c r="O788" s="12"/>
      <c r="P788" s="12"/>
      <c r="Q788" s="12"/>
      <c r="R788" s="12"/>
      <c r="S788" s="12"/>
      <c r="T788" s="12"/>
      <c r="U788" s="12"/>
      <c r="V788" s="12"/>
      <c r="W788" s="12"/>
      <c r="X788" s="12"/>
      <c r="Y788" s="12"/>
      <c r="Z788" s="12"/>
      <c r="AA788" s="12"/>
      <c r="AB788" s="12"/>
      <c r="AC788" s="12"/>
      <c r="AD788" s="12"/>
      <c r="BD788" s="13">
        <v>42156</v>
      </c>
      <c r="BE788" s="13">
        <v>42551</v>
      </c>
      <c r="BF788" s="13">
        <v>42643</v>
      </c>
      <c r="BG788" s="12" t="s">
        <v>312</v>
      </c>
      <c r="BH788" s="14">
        <v>124380</v>
      </c>
      <c r="BI788" s="12" t="s">
        <v>12373</v>
      </c>
      <c r="BJ788" s="12" t="s">
        <v>10599</v>
      </c>
      <c r="BK788" s="12" t="s">
        <v>12374</v>
      </c>
      <c r="BL788" s="12" t="s">
        <v>12375</v>
      </c>
      <c r="BM788" s="12" t="s">
        <v>12336</v>
      </c>
      <c r="BN788" s="12" t="s">
        <v>12376</v>
      </c>
      <c r="BO788" s="12" t="s">
        <v>319</v>
      </c>
      <c r="BP788" s="12" t="s">
        <v>320</v>
      </c>
      <c r="BQ788" s="12" t="s">
        <v>319</v>
      </c>
      <c r="BR788" s="12" t="s">
        <v>12377</v>
      </c>
      <c r="BS788" s="12" t="s">
        <v>357</v>
      </c>
      <c r="BT788" s="12" t="s">
        <v>12378</v>
      </c>
      <c r="BU788" s="12" t="s">
        <v>12379</v>
      </c>
      <c r="BV788" s="14">
        <v>160</v>
      </c>
      <c r="BW788" s="14">
        <v>150</v>
      </c>
      <c r="BX788" s="14">
        <v>310</v>
      </c>
      <c r="BY788" s="14">
        <v>180</v>
      </c>
      <c r="BZ788" s="14">
        <v>140</v>
      </c>
      <c r="CA788" s="14">
        <v>320</v>
      </c>
      <c r="CB788" s="12"/>
      <c r="CD788" s="14"/>
      <c r="CE788" s="14"/>
      <c r="CF788" s="14"/>
      <c r="CG788" s="14"/>
      <c r="CH788" s="14"/>
      <c r="CI788" s="14"/>
      <c r="CJ788" s="12"/>
      <c r="CK788" s="14"/>
      <c r="CL788" s="16"/>
      <c r="CM788" s="14"/>
      <c r="CN788" s="12"/>
      <c r="CO788" s="14"/>
      <c r="CP788" s="16"/>
      <c r="CQ788" s="14"/>
      <c r="CR788" s="12"/>
      <c r="CS788" s="14"/>
      <c r="CT788" s="16"/>
      <c r="CU788" s="14"/>
      <c r="CV788" s="12"/>
      <c r="CW788" s="14"/>
      <c r="CX788" s="16"/>
      <c r="CY788" s="14"/>
      <c r="CZ788" s="12"/>
      <c r="DA788" s="14"/>
      <c r="DB788" s="16"/>
      <c r="DC788" s="14"/>
      <c r="DD788" s="12"/>
      <c r="DE788" s="14"/>
      <c r="DF788" s="16"/>
      <c r="DG788" s="14"/>
      <c r="DH788" s="12"/>
      <c r="DI788" s="14"/>
      <c r="DJ788" s="16"/>
      <c r="DK788" s="14"/>
      <c r="DL788" s="12"/>
      <c r="DM788" s="14"/>
      <c r="DN788" s="16"/>
      <c r="DO788" s="14"/>
      <c r="DP788" s="12"/>
      <c r="DQ788" s="14"/>
      <c r="DR788" s="16"/>
      <c r="DS788" s="14"/>
      <c r="DT788" s="12"/>
      <c r="DU788" s="14"/>
      <c r="DV788" s="16"/>
      <c r="DW788" s="14"/>
      <c r="DX788" s="12"/>
      <c r="DY788" s="14"/>
      <c r="DZ788" s="16"/>
      <c r="EA788" s="14"/>
      <c r="EB788" s="12"/>
      <c r="EC788" s="14"/>
      <c r="ED788" s="16"/>
      <c r="EE788" s="14"/>
      <c r="EF788" s="12"/>
      <c r="EG788" s="12"/>
      <c r="EH788" s="14"/>
      <c r="EI788" s="16"/>
      <c r="EJ788" s="14"/>
      <c r="EK788" s="14">
        <v>200</v>
      </c>
      <c r="EL788" s="14">
        <v>100</v>
      </c>
      <c r="EM788" s="14">
        <v>300</v>
      </c>
      <c r="EN788" s="14">
        <v>160</v>
      </c>
      <c r="EO788" s="14">
        <v>80</v>
      </c>
      <c r="EP788" s="14">
        <v>240</v>
      </c>
      <c r="EQ788" s="12" t="s">
        <v>319</v>
      </c>
      <c r="ER788" s="14"/>
      <c r="ES788" s="16"/>
      <c r="ET788" s="14"/>
      <c r="EU788" s="11" t="s">
        <v>319</v>
      </c>
      <c r="EV788" s="14"/>
      <c r="EW788" s="16"/>
      <c r="EX788" s="14"/>
      <c r="EY788" s="12" t="s">
        <v>319</v>
      </c>
      <c r="EZ788" s="14"/>
      <c r="FA788" s="16"/>
      <c r="FB788" s="14"/>
      <c r="FC788" s="12" t="s">
        <v>319</v>
      </c>
      <c r="FD788" s="14"/>
      <c r="FE788" s="16"/>
      <c r="FF788" s="14"/>
      <c r="FG788" s="12" t="s">
        <v>319</v>
      </c>
      <c r="FH788" s="14"/>
      <c r="FI788" s="16"/>
      <c r="FJ788" s="14"/>
      <c r="FK788" s="12" t="s">
        <v>320</v>
      </c>
      <c r="FL788" s="14">
        <v>300</v>
      </c>
      <c r="FM788" s="16">
        <v>0.66</v>
      </c>
      <c r="FN788" s="14">
        <v>240</v>
      </c>
      <c r="FO788" s="12" t="s">
        <v>319</v>
      </c>
      <c r="FP788" s="14"/>
      <c r="FQ788" s="16"/>
      <c r="FR788" s="14"/>
      <c r="FS788" s="12" t="s">
        <v>319</v>
      </c>
      <c r="FT788" s="14">
        <v>0</v>
      </c>
      <c r="FU788" s="16">
        <v>0</v>
      </c>
      <c r="FV788" s="14">
        <v>0</v>
      </c>
      <c r="FW788" s="12" t="s">
        <v>319</v>
      </c>
      <c r="FX788" s="14"/>
      <c r="FY788" s="16"/>
      <c r="FZ788" s="14"/>
      <c r="GA788" s="12" t="s">
        <v>319</v>
      </c>
      <c r="GB788" s="14"/>
      <c r="GC788" s="16"/>
      <c r="GD788" s="14"/>
      <c r="GE788" s="12" t="s">
        <v>319</v>
      </c>
      <c r="GF788" s="14"/>
      <c r="GG788" s="16"/>
      <c r="GH788" s="14"/>
      <c r="GI788" s="12" t="s">
        <v>319</v>
      </c>
      <c r="GJ788" s="14"/>
      <c r="GK788" s="16"/>
      <c r="GL788" s="14"/>
      <c r="GM788" s="12" t="s">
        <v>319</v>
      </c>
      <c r="GN788" s="14"/>
      <c r="GO788" s="16"/>
      <c r="GP788" s="14"/>
      <c r="GQ788" s="12" t="s">
        <v>319</v>
      </c>
      <c r="GR788" s="14"/>
      <c r="GS788" s="16"/>
      <c r="GT788" s="14"/>
      <c r="GU788" s="12" t="s">
        <v>319</v>
      </c>
      <c r="GV788" s="14"/>
      <c r="GW788" s="16"/>
      <c r="GX788" s="14"/>
      <c r="GY788" s="12" t="s">
        <v>319</v>
      </c>
      <c r="GZ788" s="14"/>
      <c r="HA788" s="16"/>
      <c r="HB788" s="14"/>
      <c r="HC788" s="12"/>
      <c r="HD788" s="12" t="s">
        <v>319</v>
      </c>
      <c r="HE788" s="14"/>
      <c r="HF788" s="16"/>
      <c r="HG788" s="14"/>
      <c r="HH788" s="12" t="s">
        <v>320</v>
      </c>
      <c r="HI788" s="12" t="s">
        <v>12380</v>
      </c>
      <c r="HJ788" s="12">
        <v>2016</v>
      </c>
      <c r="HK788" s="12" t="s">
        <v>319</v>
      </c>
      <c r="HL788" s="12" t="s">
        <v>319</v>
      </c>
      <c r="HM788" s="12"/>
      <c r="HN788" s="12"/>
      <c r="HO788" s="12"/>
      <c r="HP788" s="12" t="s">
        <v>418</v>
      </c>
      <c r="HQ788" s="12" t="s">
        <v>319</v>
      </c>
      <c r="HR788" s="12" t="s">
        <v>319</v>
      </c>
      <c r="HS788" s="12" t="s">
        <v>319</v>
      </c>
      <c r="HT788" s="12" t="s">
        <v>320</v>
      </c>
      <c r="HU788" s="12" t="s">
        <v>319</v>
      </c>
      <c r="HV788" s="12" t="s">
        <v>319</v>
      </c>
      <c r="HW788" s="12" t="s">
        <v>319</v>
      </c>
      <c r="HX788" s="12"/>
      <c r="HY788" s="12"/>
      <c r="HZ788" s="12" t="s">
        <v>331</v>
      </c>
      <c r="IA788" s="12"/>
      <c r="IB788" s="12" t="s">
        <v>333</v>
      </c>
      <c r="IC788" s="12"/>
      <c r="ID788" s="12"/>
      <c r="IE788" s="12" t="s">
        <v>478</v>
      </c>
      <c r="IF788" s="12" t="s">
        <v>320</v>
      </c>
      <c r="IG788" s="12" t="s">
        <v>320</v>
      </c>
      <c r="IH788" s="12" t="s">
        <v>320</v>
      </c>
      <c r="II788" s="12" t="s">
        <v>320</v>
      </c>
      <c r="IJ788" s="12" t="str">
        <f t="shared" si="517"/>
        <v>4. Transformative</v>
      </c>
      <c r="IK788" s="12">
        <f t="shared" si="518"/>
        <v>4</v>
      </c>
      <c r="IL788" s="11" t="s">
        <v>621</v>
      </c>
      <c r="IM788" s="12" t="s">
        <v>320</v>
      </c>
      <c r="IN788" s="12" t="s">
        <v>320</v>
      </c>
      <c r="IO788" s="12" t="s">
        <v>320</v>
      </c>
      <c r="IP788" s="12" t="s">
        <v>320</v>
      </c>
      <c r="IQ788" s="12" t="str">
        <f t="shared" si="519"/>
        <v>4. Transformational</v>
      </c>
      <c r="IR788" s="12">
        <f t="shared" si="520"/>
        <v>4</v>
      </c>
      <c r="IS788" s="12" t="s">
        <v>337</v>
      </c>
      <c r="IT788" s="12" t="s">
        <v>320</v>
      </c>
      <c r="IU788" s="12" t="s">
        <v>319</v>
      </c>
      <c r="IV788" s="12" t="s">
        <v>319</v>
      </c>
      <c r="IW788" s="11" t="str">
        <f t="shared" si="521"/>
        <v>1. Neutral</v>
      </c>
      <c r="IX788" s="12">
        <f t="shared" si="522"/>
        <v>1</v>
      </c>
      <c r="IY788" s="12" t="s">
        <v>338</v>
      </c>
      <c r="IZ788" s="12" t="s">
        <v>339</v>
      </c>
      <c r="JA788" s="12"/>
      <c r="JB788" s="12" t="s">
        <v>687</v>
      </c>
      <c r="JC788" s="12" t="s">
        <v>624</v>
      </c>
      <c r="JD788" s="12" t="s">
        <v>623</v>
      </c>
      <c r="JE788" s="12" t="s">
        <v>420</v>
      </c>
      <c r="JF788" s="12"/>
      <c r="JG788" s="12"/>
      <c r="JH788" s="12"/>
      <c r="JI788" s="12"/>
      <c r="JJ788" s="12"/>
      <c r="JK788" s="12"/>
      <c r="JL788" s="12"/>
      <c r="JM788" s="12"/>
      <c r="JN788" s="12"/>
      <c r="JO788" s="12"/>
      <c r="JP788" s="15">
        <f t="shared" si="523"/>
        <v>300</v>
      </c>
      <c r="JQ788" s="15">
        <f t="shared" si="524"/>
        <v>240</v>
      </c>
      <c r="JR788" s="279">
        <f t="shared" si="525"/>
        <v>0.8</v>
      </c>
      <c r="JS788" s="17">
        <f t="shared" si="526"/>
        <v>0.66666666666666663</v>
      </c>
      <c r="JT788" s="18">
        <f t="shared" si="527"/>
        <v>0.66666666666666663</v>
      </c>
      <c r="JU788" s="280">
        <f t="shared" si="528"/>
        <v>200</v>
      </c>
      <c r="JV788" s="280">
        <f t="shared" si="529"/>
        <v>160</v>
      </c>
      <c r="JW788" s="319" t="str">
        <f t="shared" si="530"/>
        <v/>
      </c>
      <c r="JX788" s="15">
        <f t="shared" si="531"/>
        <v>0</v>
      </c>
      <c r="JY788" s="15">
        <f t="shared" si="532"/>
        <v>0</v>
      </c>
      <c r="JZ788" s="19" t="str">
        <f t="shared" si="533"/>
        <v/>
      </c>
      <c r="KA788" s="52" t="str">
        <f t="shared" si="534"/>
        <v/>
      </c>
      <c r="KB788" s="15">
        <f t="shared" si="535"/>
        <v>0</v>
      </c>
      <c r="KC788" s="15">
        <f t="shared" si="536"/>
        <v>0</v>
      </c>
      <c r="KD788" s="20" t="str">
        <f t="shared" si="537"/>
        <v/>
      </c>
      <c r="KE788" s="52" t="str">
        <f t="shared" si="538"/>
        <v/>
      </c>
      <c r="KF788" s="15">
        <f t="shared" si="539"/>
        <v>0</v>
      </c>
      <c r="KG788" s="15">
        <f t="shared" si="540"/>
        <v>0</v>
      </c>
      <c r="KH788" s="21" t="str">
        <f t="shared" si="541"/>
        <v/>
      </c>
      <c r="KI788" s="52" t="str">
        <f t="shared" si="542"/>
        <v/>
      </c>
      <c r="KJ788" s="15">
        <f t="shared" si="543"/>
        <v>0</v>
      </c>
      <c r="KK788" s="15">
        <f t="shared" si="544"/>
        <v>0</v>
      </c>
      <c r="KL788" s="19" t="str">
        <f t="shared" si="545"/>
        <v/>
      </c>
      <c r="KM788" s="52" t="str">
        <f t="shared" si="546"/>
        <v/>
      </c>
      <c r="KN788" s="22">
        <f t="shared" si="547"/>
        <v>0</v>
      </c>
      <c r="KO788" s="22">
        <f t="shared" si="548"/>
        <v>0</v>
      </c>
      <c r="KP788" s="19" t="str">
        <f t="shared" si="549"/>
        <v/>
      </c>
      <c r="KQ788" s="11" t="str">
        <f t="shared" si="550"/>
        <v>4. Transformative</v>
      </c>
      <c r="KR788" s="11" t="str">
        <f t="shared" si="551"/>
        <v>4. Transformational</v>
      </c>
      <c r="KS788" s="11" t="str">
        <f t="shared" si="552"/>
        <v>1. Neutral</v>
      </c>
      <c r="KT788" s="11" t="str">
        <f t="shared" si="553"/>
        <v>It tested new ways for fighting poverty and measured results of innovation</v>
      </c>
      <c r="KU788" s="11" t="str">
        <f t="shared" si="554"/>
        <v>Little or no advocacy</v>
      </c>
      <c r="KV788" s="11" t="str">
        <f t="shared" si="555"/>
        <v>It did not take tested solutions to scale</v>
      </c>
      <c r="KW788" s="11" t="str">
        <f t="shared" si="556"/>
        <v>Thailand - Community and Parents Participation in Early Childhood Development</v>
      </c>
      <c r="KX788" s="11" t="str">
        <f t="shared" si="557"/>
        <v>Community and Parents Participation in Early Childhood Development</v>
      </c>
      <c r="KY788" s="11" t="str">
        <f t="shared" si="558"/>
        <v>Thailand</v>
      </c>
      <c r="KZ788" s="12">
        <v>789</v>
      </c>
    </row>
    <row r="789" spans="1:312" x14ac:dyDescent="0.3">
      <c r="A789" s="12" t="s">
        <v>12294</v>
      </c>
      <c r="B789" s="12" t="s">
        <v>306</v>
      </c>
      <c r="C789" s="12"/>
      <c r="D789" s="43" t="s">
        <v>12381</v>
      </c>
      <c r="E789" s="277" t="str">
        <f t="shared" si="516"/>
        <v>Thailand</v>
      </c>
      <c r="F789" s="12" t="s">
        <v>12382</v>
      </c>
      <c r="G789" s="12" t="s">
        <v>12297</v>
      </c>
      <c r="H789" s="12" t="s">
        <v>380</v>
      </c>
      <c r="I789" s="12" t="s">
        <v>381</v>
      </c>
      <c r="J789" s="281" t="s">
        <v>12346</v>
      </c>
      <c r="K789" s="12"/>
      <c r="L789" s="12"/>
      <c r="M789" s="12"/>
      <c r="N789" s="12"/>
      <c r="O789" s="12"/>
      <c r="P789" s="12"/>
      <c r="Q789" s="12"/>
      <c r="R789" s="12"/>
      <c r="S789" s="12"/>
      <c r="T789" s="12"/>
      <c r="U789" s="12"/>
      <c r="V789" s="12"/>
      <c r="W789" s="12"/>
      <c r="X789" s="12"/>
      <c r="Y789" s="12"/>
      <c r="Z789" s="12"/>
      <c r="AA789" s="12"/>
      <c r="AB789" s="12"/>
      <c r="AC789" s="12"/>
      <c r="AD789" s="12"/>
      <c r="BD789" s="13">
        <v>42736</v>
      </c>
      <c r="BE789" s="13">
        <v>43100</v>
      </c>
      <c r="BF789" s="12"/>
      <c r="BG789" s="12" t="s">
        <v>312</v>
      </c>
      <c r="BH789" s="14">
        <v>29180</v>
      </c>
      <c r="BI789" s="12" t="s">
        <v>12299</v>
      </c>
      <c r="BJ789" s="12" t="s">
        <v>12300</v>
      </c>
      <c r="BK789" s="12" t="s">
        <v>12301</v>
      </c>
      <c r="BL789" s="12" t="s">
        <v>12347</v>
      </c>
      <c r="BM789" s="12" t="s">
        <v>12321</v>
      </c>
      <c r="BN789" s="12" t="s">
        <v>12348</v>
      </c>
      <c r="BO789" s="12" t="s">
        <v>319</v>
      </c>
      <c r="BP789" s="12" t="s">
        <v>320</v>
      </c>
      <c r="BQ789" s="12" t="s">
        <v>319</v>
      </c>
      <c r="BR789" s="12" t="s">
        <v>12383</v>
      </c>
      <c r="BS789" s="12" t="s">
        <v>357</v>
      </c>
      <c r="BT789" s="12" t="s">
        <v>12384</v>
      </c>
      <c r="BU789" s="12" t="s">
        <v>12385</v>
      </c>
      <c r="BV789" s="14">
        <v>150</v>
      </c>
      <c r="BW789" s="14">
        <v>150</v>
      </c>
      <c r="BX789" s="14">
        <v>300</v>
      </c>
      <c r="BY789" s="14">
        <v>150</v>
      </c>
      <c r="BZ789" s="14">
        <v>150</v>
      </c>
      <c r="CA789" s="14">
        <v>300</v>
      </c>
      <c r="CB789" s="12"/>
      <c r="CD789" s="14"/>
      <c r="CE789" s="14"/>
      <c r="CF789" s="14"/>
      <c r="CG789" s="14"/>
      <c r="CH789" s="14"/>
      <c r="CI789" s="14"/>
      <c r="CJ789" s="12"/>
      <c r="CK789" s="14"/>
      <c r="CL789" s="16"/>
      <c r="CM789" s="14"/>
      <c r="CN789" s="12"/>
      <c r="CO789" s="14"/>
      <c r="CP789" s="16"/>
      <c r="CQ789" s="14"/>
      <c r="CR789" s="12"/>
      <c r="CS789" s="14"/>
      <c r="CT789" s="16"/>
      <c r="CU789" s="14"/>
      <c r="CV789" s="12"/>
      <c r="CW789" s="14"/>
      <c r="CX789" s="16"/>
      <c r="CY789" s="14"/>
      <c r="CZ789" s="12"/>
      <c r="DA789" s="14"/>
      <c r="DB789" s="16"/>
      <c r="DC789" s="14"/>
      <c r="DD789" s="12"/>
      <c r="DE789" s="14"/>
      <c r="DF789" s="16"/>
      <c r="DG789" s="14"/>
      <c r="DH789" s="12"/>
      <c r="DI789" s="14"/>
      <c r="DJ789" s="16"/>
      <c r="DK789" s="14"/>
      <c r="DL789" s="12"/>
      <c r="DM789" s="14"/>
      <c r="DN789" s="16"/>
      <c r="DO789" s="14"/>
      <c r="DP789" s="12"/>
      <c r="DQ789" s="14"/>
      <c r="DR789" s="16"/>
      <c r="DS789" s="14"/>
      <c r="DT789" s="12"/>
      <c r="DU789" s="14"/>
      <c r="DV789" s="16"/>
      <c r="DW789" s="14"/>
      <c r="DX789" s="12"/>
      <c r="DY789" s="14"/>
      <c r="DZ789" s="16"/>
      <c r="EA789" s="14"/>
      <c r="EB789" s="12"/>
      <c r="EC789" s="14"/>
      <c r="ED789" s="16"/>
      <c r="EE789" s="14"/>
      <c r="EF789" s="12"/>
      <c r="EG789" s="12"/>
      <c r="EH789" s="14"/>
      <c r="EI789" s="16"/>
      <c r="EJ789" s="14"/>
      <c r="EK789" s="14">
        <v>14</v>
      </c>
      <c r="EL789" s="14">
        <v>11</v>
      </c>
      <c r="EM789" s="14">
        <v>25</v>
      </c>
      <c r="EN789" s="14">
        <v>0</v>
      </c>
      <c r="EO789" s="14">
        <v>0</v>
      </c>
      <c r="EP789" s="14">
        <v>0</v>
      </c>
      <c r="EQ789" s="12" t="s">
        <v>319</v>
      </c>
      <c r="ER789" s="14"/>
      <c r="ES789" s="16"/>
      <c r="ET789" s="14"/>
      <c r="EU789" s="11" t="s">
        <v>319</v>
      </c>
      <c r="EV789" s="14"/>
      <c r="EW789" s="16"/>
      <c r="EX789" s="14"/>
      <c r="EY789" s="12" t="s">
        <v>319</v>
      </c>
      <c r="EZ789" s="14"/>
      <c r="FA789" s="16"/>
      <c r="FB789" s="14"/>
      <c r="FC789" s="12" t="s">
        <v>319</v>
      </c>
      <c r="FD789" s="14"/>
      <c r="FE789" s="16"/>
      <c r="FF789" s="14"/>
      <c r="FG789" s="12" t="s">
        <v>319</v>
      </c>
      <c r="FH789" s="14"/>
      <c r="FI789" s="16"/>
      <c r="FJ789" s="14"/>
      <c r="FK789" s="12" t="s">
        <v>320</v>
      </c>
      <c r="FL789" s="14">
        <v>25</v>
      </c>
      <c r="FM789" s="16">
        <v>0.56000000000000005</v>
      </c>
      <c r="FN789" s="14">
        <v>0</v>
      </c>
      <c r="FO789" s="12" t="s">
        <v>319</v>
      </c>
      <c r="FP789" s="14"/>
      <c r="FQ789" s="16"/>
      <c r="FR789" s="14"/>
      <c r="FS789" s="12" t="s">
        <v>319</v>
      </c>
      <c r="FT789" s="14">
        <v>0</v>
      </c>
      <c r="FU789" s="16">
        <v>0</v>
      </c>
      <c r="FV789" s="14">
        <v>0</v>
      </c>
      <c r="FW789" s="12" t="s">
        <v>319</v>
      </c>
      <c r="FX789" s="14"/>
      <c r="FY789" s="16"/>
      <c r="FZ789" s="14"/>
      <c r="GA789" s="12" t="s">
        <v>319</v>
      </c>
      <c r="GB789" s="14"/>
      <c r="GC789" s="16"/>
      <c r="GD789" s="14"/>
      <c r="GE789" s="12" t="s">
        <v>319</v>
      </c>
      <c r="GF789" s="14"/>
      <c r="GG789" s="16"/>
      <c r="GH789" s="14"/>
      <c r="GI789" s="12" t="s">
        <v>319</v>
      </c>
      <c r="GJ789" s="14"/>
      <c r="GK789" s="16"/>
      <c r="GL789" s="14"/>
      <c r="GM789" s="12" t="s">
        <v>320</v>
      </c>
      <c r="GN789" s="14"/>
      <c r="GO789" s="16"/>
      <c r="GP789" s="14"/>
      <c r="GQ789" s="12" t="s">
        <v>319</v>
      </c>
      <c r="GR789" s="14"/>
      <c r="GS789" s="16"/>
      <c r="GT789" s="14"/>
      <c r="GU789" s="12" t="s">
        <v>319</v>
      </c>
      <c r="GV789" s="14"/>
      <c r="GW789" s="16"/>
      <c r="GX789" s="14"/>
      <c r="GY789" s="12" t="s">
        <v>319</v>
      </c>
      <c r="GZ789" s="14"/>
      <c r="HA789" s="16"/>
      <c r="HB789" s="14"/>
      <c r="HC789" s="12" t="s">
        <v>12352</v>
      </c>
      <c r="HD789" s="12" t="s">
        <v>320</v>
      </c>
      <c r="HE789" s="14"/>
      <c r="HF789" s="16"/>
      <c r="HG789" s="14"/>
      <c r="HH789" s="12" t="s">
        <v>319</v>
      </c>
      <c r="HI789" s="12"/>
      <c r="HJ789" s="12"/>
      <c r="HK789" s="12" t="s">
        <v>319</v>
      </c>
      <c r="HL789" s="12" t="s">
        <v>320</v>
      </c>
      <c r="HM789" s="12" t="s">
        <v>12353</v>
      </c>
      <c r="HN789" s="12">
        <v>2017</v>
      </c>
      <c r="HO789" s="12"/>
      <c r="HP789" s="12" t="s">
        <v>418</v>
      </c>
      <c r="HQ789" s="12" t="s">
        <v>319</v>
      </c>
      <c r="HR789" s="12" t="s">
        <v>319</v>
      </c>
      <c r="HS789" s="12" t="s">
        <v>319</v>
      </c>
      <c r="HT789" s="12" t="s">
        <v>320</v>
      </c>
      <c r="HU789" s="12" t="s">
        <v>319</v>
      </c>
      <c r="HV789" s="12" t="s">
        <v>319</v>
      </c>
      <c r="HW789" s="12" t="s">
        <v>319</v>
      </c>
      <c r="HX789" s="12" t="s">
        <v>319</v>
      </c>
      <c r="HY789" s="12"/>
      <c r="HZ789" s="12" t="s">
        <v>363</v>
      </c>
      <c r="IA789" s="12"/>
      <c r="IB789" s="12" t="s">
        <v>667</v>
      </c>
      <c r="IC789" s="12"/>
      <c r="ID789" s="12" t="s">
        <v>364</v>
      </c>
      <c r="IE789" s="12" t="s">
        <v>478</v>
      </c>
      <c r="IF789" s="12" t="s">
        <v>320</v>
      </c>
      <c r="IG789" s="12" t="s">
        <v>320</v>
      </c>
      <c r="IH789" s="12" t="s">
        <v>320</v>
      </c>
      <c r="II789" s="12" t="s">
        <v>319</v>
      </c>
      <c r="IJ789" s="12" t="str">
        <f t="shared" si="517"/>
        <v>3. Responsive</v>
      </c>
      <c r="IK789" s="12">
        <f t="shared" si="518"/>
        <v>3</v>
      </c>
      <c r="IL789" s="11" t="s">
        <v>621</v>
      </c>
      <c r="IM789" s="12" t="s">
        <v>320</v>
      </c>
      <c r="IN789" s="12" t="s">
        <v>320</v>
      </c>
      <c r="IO789" s="12" t="s">
        <v>320</v>
      </c>
      <c r="IP789" s="12" t="s">
        <v>320</v>
      </c>
      <c r="IQ789" s="12" t="str">
        <f t="shared" si="519"/>
        <v>4. Transformational</v>
      </c>
      <c r="IR789" s="12">
        <f t="shared" si="520"/>
        <v>4</v>
      </c>
      <c r="IS789" s="12" t="s">
        <v>622</v>
      </c>
      <c r="IT789" s="12" t="s">
        <v>320</v>
      </c>
      <c r="IU789" s="12" t="s">
        <v>319</v>
      </c>
      <c r="IV789" s="12" t="s">
        <v>320</v>
      </c>
      <c r="IW789" s="11" t="str">
        <f t="shared" si="521"/>
        <v>3. Responsive</v>
      </c>
      <c r="IX789" s="12">
        <f t="shared" si="522"/>
        <v>2</v>
      </c>
      <c r="IY789" s="12" t="s">
        <v>338</v>
      </c>
      <c r="IZ789" s="12" t="s">
        <v>339</v>
      </c>
      <c r="JA789" s="12"/>
      <c r="JB789" s="12"/>
      <c r="JC789" s="12"/>
      <c r="JD789" s="12"/>
      <c r="JE789" s="12" t="s">
        <v>420</v>
      </c>
      <c r="JF789" s="12" t="s">
        <v>342</v>
      </c>
      <c r="JG789" s="12" t="s">
        <v>12386</v>
      </c>
      <c r="JH789" s="12" t="s">
        <v>12387</v>
      </c>
      <c r="JI789" s="12" t="s">
        <v>12388</v>
      </c>
      <c r="JJ789" s="12" t="s">
        <v>12389</v>
      </c>
      <c r="JK789" s="12" t="s">
        <v>12390</v>
      </c>
      <c r="JL789" s="12" t="s">
        <v>12391</v>
      </c>
      <c r="JM789" s="12" t="s">
        <v>12392</v>
      </c>
      <c r="JN789" s="12" t="s">
        <v>12393</v>
      </c>
      <c r="JO789" s="12" t="s">
        <v>12394</v>
      </c>
      <c r="JP789" s="15">
        <f t="shared" si="523"/>
        <v>25</v>
      </c>
      <c r="JQ789" s="15">
        <f t="shared" si="524"/>
        <v>0</v>
      </c>
      <c r="JR789" s="279">
        <f t="shared" si="525"/>
        <v>0</v>
      </c>
      <c r="JS789" s="17">
        <f t="shared" si="526"/>
        <v>0.56000000000000005</v>
      </c>
      <c r="JT789" s="18" t="str">
        <f t="shared" si="527"/>
        <v/>
      </c>
      <c r="JU789" s="280">
        <f t="shared" si="528"/>
        <v>14</v>
      </c>
      <c r="JV789" s="280">
        <f t="shared" si="529"/>
        <v>0</v>
      </c>
      <c r="JW789" s="319" t="str">
        <f t="shared" si="530"/>
        <v/>
      </c>
      <c r="JX789" s="15">
        <f t="shared" si="531"/>
        <v>0</v>
      </c>
      <c r="JY789" s="15">
        <f t="shared" si="532"/>
        <v>0</v>
      </c>
      <c r="JZ789" s="19" t="str">
        <f t="shared" si="533"/>
        <v/>
      </c>
      <c r="KA789" s="52" t="str">
        <f t="shared" si="534"/>
        <v/>
      </c>
      <c r="KB789" s="15">
        <f t="shared" si="535"/>
        <v>0</v>
      </c>
      <c r="KC789" s="15">
        <f t="shared" si="536"/>
        <v>0</v>
      </c>
      <c r="KD789" s="20" t="str">
        <f t="shared" si="537"/>
        <v/>
      </c>
      <c r="KE789" s="52" t="str">
        <f t="shared" si="538"/>
        <v/>
      </c>
      <c r="KF789" s="15">
        <f t="shared" si="539"/>
        <v>0</v>
      </c>
      <c r="KG789" s="15">
        <f t="shared" si="540"/>
        <v>0</v>
      </c>
      <c r="KH789" s="21" t="str">
        <f t="shared" si="541"/>
        <v/>
      </c>
      <c r="KI789" s="52" t="str">
        <f t="shared" si="542"/>
        <v/>
      </c>
      <c r="KJ789" s="15">
        <f t="shared" si="543"/>
        <v>0</v>
      </c>
      <c r="KK789" s="15">
        <f t="shared" si="544"/>
        <v>0</v>
      </c>
      <c r="KL789" s="19" t="str">
        <f t="shared" si="545"/>
        <v/>
      </c>
      <c r="KM789" s="52" t="str">
        <f t="shared" si="546"/>
        <v/>
      </c>
      <c r="KN789" s="22">
        <f t="shared" si="547"/>
        <v>0</v>
      </c>
      <c r="KO789" s="22">
        <f t="shared" si="548"/>
        <v>0</v>
      </c>
      <c r="KP789" s="19" t="str">
        <f t="shared" si="549"/>
        <v/>
      </c>
      <c r="KQ789" s="11" t="str">
        <f t="shared" si="550"/>
        <v>3. Responsive</v>
      </c>
      <c r="KR789" s="11" t="str">
        <f t="shared" si="551"/>
        <v>4. Transformational</v>
      </c>
      <c r="KS789" s="11" t="str">
        <f t="shared" si="552"/>
        <v>3. Responsive</v>
      </c>
      <c r="KT789" s="11" t="str">
        <f t="shared" si="553"/>
        <v>It did not develop any specific innovation</v>
      </c>
      <c r="KU789" s="11" t="str">
        <f t="shared" si="554"/>
        <v>Little or no advocacy</v>
      </c>
      <c r="KV789" s="11" t="str">
        <f t="shared" si="555"/>
        <v>It took tested solutions to scale on its own</v>
      </c>
      <c r="KW789" s="11" t="str">
        <f t="shared" si="556"/>
        <v>Thailand - Enhancing the recognition and protection of the rights of Cambodian and Laotian migrant workers in the Thai construction sector (Triangle)</v>
      </c>
      <c r="KX789" s="11" t="str">
        <f t="shared" si="557"/>
        <v>Enhancing the recognition and protection of the rights of Cambodian and Laotian migrant workers in the Thai construction sector (Triangle)</v>
      </c>
      <c r="KY789" s="11" t="str">
        <f t="shared" si="558"/>
        <v>Thailand</v>
      </c>
      <c r="KZ789" s="12">
        <v>790</v>
      </c>
    </row>
    <row r="790" spans="1:312" x14ac:dyDescent="0.3">
      <c r="A790" s="12" t="s">
        <v>12294</v>
      </c>
      <c r="B790" s="12" t="s">
        <v>306</v>
      </c>
      <c r="C790" s="12">
        <v>3670</v>
      </c>
      <c r="D790" s="43" t="s">
        <v>12395</v>
      </c>
      <c r="E790" s="277" t="str">
        <f t="shared" si="516"/>
        <v>Thailand</v>
      </c>
      <c r="F790" s="12" t="s">
        <v>12396</v>
      </c>
      <c r="G790" s="12" t="s">
        <v>12297</v>
      </c>
      <c r="H790" s="12" t="s">
        <v>489</v>
      </c>
      <c r="I790" s="12" t="s">
        <v>384</v>
      </c>
      <c r="J790" s="281" t="s">
        <v>12397</v>
      </c>
      <c r="K790" s="12" t="s">
        <v>12398</v>
      </c>
      <c r="L790" s="12" t="s">
        <v>12297</v>
      </c>
      <c r="M790" s="12" t="s">
        <v>489</v>
      </c>
      <c r="N790" s="12" t="s">
        <v>384</v>
      </c>
      <c r="O790" s="12" t="s">
        <v>12399</v>
      </c>
      <c r="P790" s="12" t="s">
        <v>12400</v>
      </c>
      <c r="Q790" s="12" t="s">
        <v>12297</v>
      </c>
      <c r="R790" s="12" t="s">
        <v>383</v>
      </c>
      <c r="S790" s="12" t="s">
        <v>384</v>
      </c>
      <c r="T790" s="12" t="s">
        <v>12297</v>
      </c>
      <c r="U790" s="12"/>
      <c r="V790" s="12"/>
      <c r="W790" s="12"/>
      <c r="X790" s="12"/>
      <c r="Y790" s="12"/>
      <c r="Z790" s="12"/>
      <c r="AA790" s="12"/>
      <c r="AB790" s="12"/>
      <c r="AC790" s="12"/>
      <c r="AD790" s="12"/>
      <c r="BD790" s="13">
        <v>42005</v>
      </c>
      <c r="BE790" s="13">
        <v>43100</v>
      </c>
      <c r="BF790" s="12"/>
      <c r="BG790" s="12" t="s">
        <v>312</v>
      </c>
      <c r="BH790" s="14">
        <v>108649</v>
      </c>
      <c r="BI790" s="12" t="s">
        <v>12401</v>
      </c>
      <c r="BJ790" s="12" t="s">
        <v>10599</v>
      </c>
      <c r="BK790" s="12" t="s">
        <v>12374</v>
      </c>
      <c r="BL790" s="12" t="s">
        <v>12402</v>
      </c>
      <c r="BM790" s="12" t="s">
        <v>12336</v>
      </c>
      <c r="BN790" s="12" t="s">
        <v>12403</v>
      </c>
      <c r="BO790" s="12" t="s">
        <v>319</v>
      </c>
      <c r="BP790" s="12" t="s">
        <v>320</v>
      </c>
      <c r="BQ790" s="12" t="s">
        <v>319</v>
      </c>
      <c r="BR790" s="12" t="s">
        <v>12404</v>
      </c>
      <c r="BS790" s="12" t="s">
        <v>357</v>
      </c>
      <c r="BT790" s="12" t="s">
        <v>12405</v>
      </c>
      <c r="BU790" s="12" t="s">
        <v>12406</v>
      </c>
      <c r="BV790" s="14">
        <v>803</v>
      </c>
      <c r="BW790" s="14">
        <v>742</v>
      </c>
      <c r="BX790" s="14">
        <v>1545</v>
      </c>
      <c r="BY790" s="14">
        <v>2700</v>
      </c>
      <c r="BZ790" s="14">
        <v>2000</v>
      </c>
      <c r="CA790" s="14">
        <v>4700</v>
      </c>
      <c r="CB790" s="12"/>
      <c r="CD790" s="14"/>
      <c r="CE790" s="14"/>
      <c r="CF790" s="14"/>
      <c r="CG790" s="14"/>
      <c r="CH790" s="14"/>
      <c r="CI790" s="14"/>
      <c r="CJ790" s="12"/>
      <c r="CK790" s="14"/>
      <c r="CL790" s="16"/>
      <c r="CM790" s="14"/>
      <c r="CN790" s="12"/>
      <c r="CO790" s="14"/>
      <c r="CP790" s="16"/>
      <c r="CQ790" s="14"/>
      <c r="CR790" s="12"/>
      <c r="CS790" s="14"/>
      <c r="CT790" s="16"/>
      <c r="CU790" s="14"/>
      <c r="CV790" s="12"/>
      <c r="CW790" s="14"/>
      <c r="CX790" s="16"/>
      <c r="CY790" s="14"/>
      <c r="CZ790" s="12"/>
      <c r="DA790" s="14"/>
      <c r="DB790" s="16"/>
      <c r="DC790" s="14"/>
      <c r="DD790" s="12"/>
      <c r="DE790" s="14"/>
      <c r="DF790" s="16"/>
      <c r="DG790" s="14"/>
      <c r="DH790" s="12"/>
      <c r="DI790" s="14"/>
      <c r="DJ790" s="16"/>
      <c r="DK790" s="14"/>
      <c r="DL790" s="12"/>
      <c r="DM790" s="14"/>
      <c r="DN790" s="16"/>
      <c r="DO790" s="14"/>
      <c r="DP790" s="12"/>
      <c r="DQ790" s="14"/>
      <c r="DR790" s="16"/>
      <c r="DS790" s="14"/>
      <c r="DT790" s="12"/>
      <c r="DU790" s="14"/>
      <c r="DV790" s="16"/>
      <c r="DW790" s="14"/>
      <c r="DX790" s="12"/>
      <c r="DY790" s="14"/>
      <c r="DZ790" s="16"/>
      <c r="EA790" s="14"/>
      <c r="EB790" s="12"/>
      <c r="EC790" s="14"/>
      <c r="ED790" s="16"/>
      <c r="EE790" s="14"/>
      <c r="EF790" s="12"/>
      <c r="EG790" s="12"/>
      <c r="EH790" s="14"/>
      <c r="EI790" s="16"/>
      <c r="EJ790" s="14"/>
      <c r="EK790" s="14">
        <v>901</v>
      </c>
      <c r="EL790" s="14">
        <v>777</v>
      </c>
      <c r="EM790" s="14">
        <v>1678</v>
      </c>
      <c r="EN790" s="14">
        <v>2854</v>
      </c>
      <c r="EO790" s="14">
        <v>2300</v>
      </c>
      <c r="EP790" s="14">
        <v>5154</v>
      </c>
      <c r="EQ790" s="12" t="s">
        <v>319</v>
      </c>
      <c r="ER790" s="14"/>
      <c r="ES790" s="16"/>
      <c r="ET790" s="14"/>
      <c r="EU790" s="11" t="s">
        <v>319</v>
      </c>
      <c r="EV790" s="14"/>
      <c r="EW790" s="16"/>
      <c r="EX790" s="14"/>
      <c r="EY790" s="12" t="s">
        <v>319</v>
      </c>
      <c r="EZ790" s="14"/>
      <c r="FA790" s="16"/>
      <c r="FB790" s="14"/>
      <c r="FC790" s="12" t="s">
        <v>319</v>
      </c>
      <c r="FD790" s="14"/>
      <c r="FE790" s="16"/>
      <c r="FF790" s="14"/>
      <c r="FG790" s="12" t="s">
        <v>319</v>
      </c>
      <c r="FH790" s="14"/>
      <c r="FI790" s="16"/>
      <c r="FJ790" s="14"/>
      <c r="FK790" s="12" t="s">
        <v>320</v>
      </c>
      <c r="FL790" s="14">
        <v>1678</v>
      </c>
      <c r="FM790" s="16">
        <v>0.53</v>
      </c>
      <c r="FN790" s="14">
        <v>5154</v>
      </c>
      <c r="FO790" s="12" t="s">
        <v>319</v>
      </c>
      <c r="FP790" s="14"/>
      <c r="FQ790" s="16"/>
      <c r="FR790" s="14"/>
      <c r="FS790" s="12" t="s">
        <v>319</v>
      </c>
      <c r="FT790" s="14">
        <v>0</v>
      </c>
      <c r="FU790" s="16">
        <v>0</v>
      </c>
      <c r="FV790" s="14">
        <v>0</v>
      </c>
      <c r="FW790" s="12" t="s">
        <v>319</v>
      </c>
      <c r="FX790" s="14"/>
      <c r="FY790" s="16"/>
      <c r="FZ790" s="14"/>
      <c r="GA790" s="12" t="s">
        <v>319</v>
      </c>
      <c r="GB790" s="14"/>
      <c r="GC790" s="16"/>
      <c r="GD790" s="14"/>
      <c r="GE790" s="12" t="s">
        <v>319</v>
      </c>
      <c r="GF790" s="14"/>
      <c r="GG790" s="16"/>
      <c r="GH790" s="14"/>
      <c r="GI790" s="12" t="s">
        <v>319</v>
      </c>
      <c r="GJ790" s="14"/>
      <c r="GK790" s="16"/>
      <c r="GL790" s="14"/>
      <c r="GM790" s="12" t="s">
        <v>319</v>
      </c>
      <c r="GN790" s="14"/>
      <c r="GO790" s="16"/>
      <c r="GP790" s="14"/>
      <c r="GQ790" s="12" t="s">
        <v>319</v>
      </c>
      <c r="GR790" s="14"/>
      <c r="GS790" s="16"/>
      <c r="GT790" s="14"/>
      <c r="GU790" s="12" t="s">
        <v>319</v>
      </c>
      <c r="GV790" s="14"/>
      <c r="GW790" s="16"/>
      <c r="GX790" s="14"/>
      <c r="GY790" s="12" t="s">
        <v>319</v>
      </c>
      <c r="GZ790" s="14"/>
      <c r="HA790" s="16"/>
      <c r="HB790" s="14"/>
      <c r="HC790" s="12"/>
      <c r="HD790" s="12" t="s">
        <v>319</v>
      </c>
      <c r="HE790" s="14"/>
      <c r="HF790" s="16"/>
      <c r="HG790" s="14"/>
      <c r="HH790" s="12" t="s">
        <v>320</v>
      </c>
      <c r="HI790" s="12" t="s">
        <v>12407</v>
      </c>
      <c r="HJ790" s="12">
        <v>2017</v>
      </c>
      <c r="HK790" s="12" t="s">
        <v>319</v>
      </c>
      <c r="HL790" s="12"/>
      <c r="HM790" s="12"/>
      <c r="HN790" s="12"/>
      <c r="HO790" s="12"/>
      <c r="HP790" s="12"/>
      <c r="HQ790" s="12" t="s">
        <v>319</v>
      </c>
      <c r="HR790" s="12" t="s">
        <v>319</v>
      </c>
      <c r="HS790" s="12" t="s">
        <v>319</v>
      </c>
      <c r="HT790" s="12" t="s">
        <v>320</v>
      </c>
      <c r="HU790" s="12" t="s">
        <v>319</v>
      </c>
      <c r="HV790" s="12" t="s">
        <v>319</v>
      </c>
      <c r="HW790" s="12" t="s">
        <v>319</v>
      </c>
      <c r="HX790" s="12"/>
      <c r="HY790" s="12"/>
      <c r="HZ790" s="12" t="s">
        <v>363</v>
      </c>
      <c r="IA790" s="12"/>
      <c r="IB790" s="12" t="s">
        <v>333</v>
      </c>
      <c r="IC790" s="12"/>
      <c r="ID790" s="12" t="s">
        <v>477</v>
      </c>
      <c r="IE790" s="12" t="s">
        <v>478</v>
      </c>
      <c r="IF790" s="12" t="s">
        <v>320</v>
      </c>
      <c r="IG790" s="12" t="s">
        <v>320</v>
      </c>
      <c r="IH790" s="12" t="s">
        <v>320</v>
      </c>
      <c r="II790" s="12" t="s">
        <v>320</v>
      </c>
      <c r="IJ790" s="12" t="str">
        <f t="shared" si="517"/>
        <v>4. Transformative</v>
      </c>
      <c r="IK790" s="12">
        <f t="shared" si="518"/>
        <v>4</v>
      </c>
      <c r="IL790" s="11" t="s">
        <v>621</v>
      </c>
      <c r="IM790" s="12" t="s">
        <v>320</v>
      </c>
      <c r="IN790" s="12" t="s">
        <v>320</v>
      </c>
      <c r="IO790" s="12" t="s">
        <v>320</v>
      </c>
      <c r="IP790" s="12" t="s">
        <v>320</v>
      </c>
      <c r="IQ790" s="12" t="str">
        <f t="shared" si="519"/>
        <v>4. Transformational</v>
      </c>
      <c r="IR790" s="12">
        <f t="shared" si="520"/>
        <v>4</v>
      </c>
      <c r="IS790" s="12" t="s">
        <v>337</v>
      </c>
      <c r="IT790" s="12" t="s">
        <v>320</v>
      </c>
      <c r="IU790" s="12" t="s">
        <v>319</v>
      </c>
      <c r="IV790" s="12" t="s">
        <v>319</v>
      </c>
      <c r="IW790" s="11" t="str">
        <f t="shared" si="521"/>
        <v>1. Neutral</v>
      </c>
      <c r="IX790" s="12">
        <f t="shared" si="522"/>
        <v>1</v>
      </c>
      <c r="IY790" s="12" t="s">
        <v>338</v>
      </c>
      <c r="IZ790" s="12" t="s">
        <v>339</v>
      </c>
      <c r="JA790" s="12"/>
      <c r="JB790" s="12" t="s">
        <v>687</v>
      </c>
      <c r="JC790" s="12" t="s">
        <v>624</v>
      </c>
      <c r="JD790" s="12" t="s">
        <v>724</v>
      </c>
      <c r="JE790" s="12" t="s">
        <v>420</v>
      </c>
      <c r="JF790" s="12"/>
      <c r="JG790" s="12"/>
      <c r="JH790" s="12"/>
      <c r="JI790" s="12"/>
      <c r="JJ790" s="12"/>
      <c r="JK790" s="12"/>
      <c r="JL790" s="12"/>
      <c r="JM790" s="12"/>
      <c r="JN790" s="12"/>
      <c r="JO790" s="12"/>
      <c r="JP790" s="15">
        <f t="shared" si="523"/>
        <v>1678</v>
      </c>
      <c r="JQ790" s="15">
        <f t="shared" si="524"/>
        <v>5154</v>
      </c>
      <c r="JR790" s="279">
        <f t="shared" si="525"/>
        <v>3.0715137067938021</v>
      </c>
      <c r="JS790" s="17">
        <f t="shared" si="526"/>
        <v>0.53694874851013108</v>
      </c>
      <c r="JT790" s="18">
        <f t="shared" si="527"/>
        <v>0.55374466433837799</v>
      </c>
      <c r="JU790" s="280">
        <f t="shared" si="528"/>
        <v>901</v>
      </c>
      <c r="JV790" s="280">
        <f t="shared" si="529"/>
        <v>2854</v>
      </c>
      <c r="JW790" s="319" t="str">
        <f t="shared" si="530"/>
        <v/>
      </c>
      <c r="JX790" s="15">
        <f t="shared" si="531"/>
        <v>0</v>
      </c>
      <c r="JY790" s="15">
        <f t="shared" si="532"/>
        <v>0</v>
      </c>
      <c r="JZ790" s="19" t="str">
        <f t="shared" si="533"/>
        <v/>
      </c>
      <c r="KA790" s="52" t="str">
        <f t="shared" si="534"/>
        <v/>
      </c>
      <c r="KB790" s="15">
        <f t="shared" si="535"/>
        <v>0</v>
      </c>
      <c r="KC790" s="15">
        <f t="shared" si="536"/>
        <v>0</v>
      </c>
      <c r="KD790" s="20" t="str">
        <f t="shared" si="537"/>
        <v/>
      </c>
      <c r="KE790" s="52" t="str">
        <f t="shared" si="538"/>
        <v/>
      </c>
      <c r="KF790" s="15">
        <f t="shared" si="539"/>
        <v>0</v>
      </c>
      <c r="KG790" s="15">
        <f t="shared" si="540"/>
        <v>0</v>
      </c>
      <c r="KH790" s="21" t="str">
        <f t="shared" si="541"/>
        <v/>
      </c>
      <c r="KI790" s="52" t="str">
        <f t="shared" si="542"/>
        <v/>
      </c>
      <c r="KJ790" s="15">
        <f t="shared" si="543"/>
        <v>0</v>
      </c>
      <c r="KK790" s="15">
        <f t="shared" si="544"/>
        <v>0</v>
      </c>
      <c r="KL790" s="19" t="str">
        <f t="shared" si="545"/>
        <v/>
      </c>
      <c r="KM790" s="52" t="str">
        <f t="shared" si="546"/>
        <v/>
      </c>
      <c r="KN790" s="22">
        <f t="shared" si="547"/>
        <v>0</v>
      </c>
      <c r="KO790" s="22">
        <f t="shared" si="548"/>
        <v>0</v>
      </c>
      <c r="KP790" s="19" t="str">
        <f t="shared" si="549"/>
        <v/>
      </c>
      <c r="KQ790" s="11" t="str">
        <f t="shared" si="550"/>
        <v>4. Transformative</v>
      </c>
      <c r="KR790" s="11" t="str">
        <f t="shared" si="551"/>
        <v>4. Transformational</v>
      </c>
      <c r="KS790" s="11" t="str">
        <f t="shared" si="552"/>
        <v>1. Neutral</v>
      </c>
      <c r="KT790" s="11" t="str">
        <f t="shared" si="553"/>
        <v>It did not develop any specific innovation</v>
      </c>
      <c r="KU790" s="11">
        <f t="shared" si="554"/>
        <v>0</v>
      </c>
      <c r="KV790" s="11" t="str">
        <f t="shared" si="555"/>
        <v>It did not take tested solutions to scale</v>
      </c>
      <c r="KW790" s="11" t="str">
        <f t="shared" si="556"/>
        <v>Thailand - KLA TAM DEE (Stop bullying in schools)</v>
      </c>
      <c r="KX790" s="11" t="str">
        <f t="shared" si="557"/>
        <v>KLA TAM DEE (Stop bullying in schools)</v>
      </c>
      <c r="KY790" s="11" t="str">
        <f t="shared" si="558"/>
        <v>Thailand</v>
      </c>
      <c r="KZ790" s="12">
        <v>791</v>
      </c>
    </row>
    <row r="791" spans="1:312" x14ac:dyDescent="0.3">
      <c r="A791" s="12" t="s">
        <v>12294</v>
      </c>
      <c r="B791" s="12" t="s">
        <v>306</v>
      </c>
      <c r="C791" s="12">
        <v>3675</v>
      </c>
      <c r="D791" s="43" t="s">
        <v>12408</v>
      </c>
      <c r="E791" s="277" t="str">
        <f t="shared" si="516"/>
        <v>Thailand</v>
      </c>
      <c r="F791" s="12" t="s">
        <v>12409</v>
      </c>
      <c r="G791" s="12" t="s">
        <v>12297</v>
      </c>
      <c r="H791" s="12" t="s">
        <v>489</v>
      </c>
      <c r="I791" s="12" t="s">
        <v>384</v>
      </c>
      <c r="J791" s="281" t="s">
        <v>12410</v>
      </c>
      <c r="K791" s="12"/>
      <c r="L791" s="12"/>
      <c r="M791" s="12"/>
      <c r="N791" s="12"/>
      <c r="O791" s="12"/>
      <c r="P791" s="12"/>
      <c r="Q791" s="12"/>
      <c r="R791" s="12"/>
      <c r="S791" s="12"/>
      <c r="T791" s="12"/>
      <c r="U791" s="12"/>
      <c r="V791" s="12"/>
      <c r="W791" s="12"/>
      <c r="X791" s="12"/>
      <c r="Y791" s="12"/>
      <c r="Z791" s="12"/>
      <c r="AA791" s="12"/>
      <c r="AB791" s="12"/>
      <c r="AC791" s="12"/>
      <c r="AD791" s="12"/>
      <c r="BD791" s="13">
        <v>42541</v>
      </c>
      <c r="BE791" s="13">
        <v>42997</v>
      </c>
      <c r="BF791" s="12"/>
      <c r="BG791" s="12" t="s">
        <v>749</v>
      </c>
      <c r="BH791" s="14">
        <v>10285.709999999999</v>
      </c>
      <c r="BI791" s="12" t="s">
        <v>12299</v>
      </c>
      <c r="BJ791" s="12" t="s">
        <v>12300</v>
      </c>
      <c r="BK791" s="12" t="s">
        <v>12301</v>
      </c>
      <c r="BL791" s="12" t="s">
        <v>12320</v>
      </c>
      <c r="BM791" s="12" t="s">
        <v>12321</v>
      </c>
      <c r="BN791" s="12" t="s">
        <v>12322</v>
      </c>
      <c r="BO791" s="12" t="s">
        <v>320</v>
      </c>
      <c r="BP791" s="12" t="s">
        <v>320</v>
      </c>
      <c r="BQ791" s="12" t="s">
        <v>320</v>
      </c>
      <c r="BR791" s="12" t="s">
        <v>12411</v>
      </c>
      <c r="BS791" s="12" t="s">
        <v>357</v>
      </c>
      <c r="BT791" s="12" t="s">
        <v>12412</v>
      </c>
      <c r="BU791" s="12" t="s">
        <v>12413</v>
      </c>
      <c r="BV791" s="14">
        <v>353</v>
      </c>
      <c r="BW791" s="14">
        <v>367</v>
      </c>
      <c r="BX791" s="14">
        <v>720</v>
      </c>
      <c r="BY791" s="14">
        <v>0</v>
      </c>
      <c r="BZ791" s="14">
        <v>0</v>
      </c>
      <c r="CA791" s="14">
        <v>0</v>
      </c>
      <c r="CB791" s="12"/>
      <c r="CD791" s="14"/>
      <c r="CE791" s="14"/>
      <c r="CF791" s="14"/>
      <c r="CG791" s="14">
        <v>0</v>
      </c>
      <c r="CH791" s="14">
        <v>0</v>
      </c>
      <c r="CI791" s="14">
        <v>0</v>
      </c>
      <c r="CJ791" s="11" t="s">
        <v>319</v>
      </c>
      <c r="CK791" s="14"/>
      <c r="CL791" s="16"/>
      <c r="CM791" s="14"/>
      <c r="CN791" s="12" t="s">
        <v>319</v>
      </c>
      <c r="CO791" s="14"/>
      <c r="CP791" s="16"/>
      <c r="CQ791" s="14"/>
      <c r="CR791" s="12" t="s">
        <v>7463</v>
      </c>
      <c r="CS791" s="14"/>
      <c r="CT791" s="16"/>
      <c r="CU791" s="14"/>
      <c r="CV791" s="12" t="s">
        <v>319</v>
      </c>
      <c r="CW791" s="14"/>
      <c r="CX791" s="16"/>
      <c r="CY791" s="14"/>
      <c r="CZ791" s="12" t="s">
        <v>7463</v>
      </c>
      <c r="DA791" s="14"/>
      <c r="DB791" s="16"/>
      <c r="DC791" s="14"/>
      <c r="DD791" s="12" t="s">
        <v>319</v>
      </c>
      <c r="DE791" s="14"/>
      <c r="DF791" s="16"/>
      <c r="DG791" s="14"/>
      <c r="DH791" s="12" t="s">
        <v>7463</v>
      </c>
      <c r="DI791" s="14"/>
      <c r="DJ791" s="16"/>
      <c r="DK791" s="14"/>
      <c r="DL791" s="12" t="s">
        <v>319</v>
      </c>
      <c r="DM791" s="14"/>
      <c r="DN791" s="16"/>
      <c r="DO791" s="14"/>
      <c r="DP791" s="12" t="s">
        <v>326</v>
      </c>
      <c r="DQ791" s="14"/>
      <c r="DR791" s="16"/>
      <c r="DS791" s="14"/>
      <c r="DT791" s="12" t="s">
        <v>319</v>
      </c>
      <c r="DU791" s="14"/>
      <c r="DV791" s="16"/>
      <c r="DW791" s="14"/>
      <c r="DX791" s="12" t="s">
        <v>319</v>
      </c>
      <c r="DY791" s="14"/>
      <c r="DZ791" s="16"/>
      <c r="EA791" s="14"/>
      <c r="EB791" s="11" t="s">
        <v>319</v>
      </c>
      <c r="EC791" s="14"/>
      <c r="ED791" s="16"/>
      <c r="EE791" s="14"/>
      <c r="EF791" s="12"/>
      <c r="EG791" s="12" t="s">
        <v>319</v>
      </c>
      <c r="EH791" s="14"/>
      <c r="EI791" s="16"/>
      <c r="EJ791" s="14"/>
      <c r="EK791" s="14">
        <v>212</v>
      </c>
      <c r="EL791" s="14">
        <v>220</v>
      </c>
      <c r="EM791" s="14">
        <v>432</v>
      </c>
      <c r="EN791" s="14"/>
      <c r="EO791" s="14"/>
      <c r="EP791" s="14"/>
      <c r="EQ791" s="12" t="s">
        <v>319</v>
      </c>
      <c r="ER791" s="14"/>
      <c r="ES791" s="16"/>
      <c r="ET791" s="14"/>
      <c r="EU791" s="11" t="s">
        <v>319</v>
      </c>
      <c r="EV791" s="14"/>
      <c r="EW791" s="16"/>
      <c r="EX791" s="14"/>
      <c r="EY791" s="12" t="s">
        <v>319</v>
      </c>
      <c r="EZ791" s="14"/>
      <c r="FA791" s="16"/>
      <c r="FB791" s="14"/>
      <c r="FC791" s="12" t="s">
        <v>319</v>
      </c>
      <c r="FD791" s="14"/>
      <c r="FE791" s="16"/>
      <c r="FF791" s="14"/>
      <c r="FG791" s="12" t="s">
        <v>319</v>
      </c>
      <c r="FH791" s="14"/>
      <c r="FI791" s="16"/>
      <c r="FJ791" s="14"/>
      <c r="FK791" s="12" t="s">
        <v>319</v>
      </c>
      <c r="FL791" s="14"/>
      <c r="FM791" s="16"/>
      <c r="FN791" s="14"/>
      <c r="FO791" s="12" t="s">
        <v>319</v>
      </c>
      <c r="FP791" s="14"/>
      <c r="FQ791" s="16"/>
      <c r="FR791" s="14"/>
      <c r="FS791" s="12" t="s">
        <v>319</v>
      </c>
      <c r="FT791" s="14"/>
      <c r="FU791" s="16"/>
      <c r="FV791" s="14"/>
      <c r="FW791" s="12" t="s">
        <v>319</v>
      </c>
      <c r="FX791" s="14"/>
      <c r="FY791" s="16"/>
      <c r="FZ791" s="14"/>
      <c r="GA791" s="12" t="s">
        <v>319</v>
      </c>
      <c r="GB791" s="14"/>
      <c r="GC791" s="16"/>
      <c r="GD791" s="14"/>
      <c r="GE791" s="12" t="s">
        <v>319</v>
      </c>
      <c r="GF791" s="14"/>
      <c r="GG791" s="16"/>
      <c r="GH791" s="14"/>
      <c r="GI791" s="11" t="s">
        <v>320</v>
      </c>
      <c r="GJ791" s="14">
        <v>432</v>
      </c>
      <c r="GK791" s="16">
        <v>0.49</v>
      </c>
      <c r="GL791" s="14">
        <v>0</v>
      </c>
      <c r="GM791" s="12" t="s">
        <v>319</v>
      </c>
      <c r="GN791" s="14"/>
      <c r="GO791" s="16"/>
      <c r="GP791" s="14"/>
      <c r="GQ791" s="12" t="s">
        <v>319</v>
      </c>
      <c r="GR791" s="14"/>
      <c r="GS791" s="16"/>
      <c r="GT791" s="14"/>
      <c r="GU791" s="12" t="s">
        <v>319</v>
      </c>
      <c r="GV791" s="14"/>
      <c r="GW791" s="16"/>
      <c r="GX791" s="14"/>
      <c r="GY791" s="12" t="s">
        <v>319</v>
      </c>
      <c r="GZ791" s="14"/>
      <c r="HA791" s="16"/>
      <c r="HB791" s="14"/>
      <c r="HC791" s="12"/>
      <c r="HD791" s="12"/>
      <c r="HE791" s="14"/>
      <c r="HF791" s="16"/>
      <c r="HG791" s="14"/>
      <c r="HH791" s="12" t="s">
        <v>320</v>
      </c>
      <c r="HI791" s="12" t="s">
        <v>415</v>
      </c>
      <c r="HJ791" s="12">
        <v>2016</v>
      </c>
      <c r="HK791" s="12" t="s">
        <v>319</v>
      </c>
      <c r="HL791" s="12" t="s">
        <v>319</v>
      </c>
      <c r="HM791" s="12"/>
      <c r="HN791" s="12"/>
      <c r="HO791" s="12"/>
      <c r="HP791" s="12" t="s">
        <v>418</v>
      </c>
      <c r="HQ791" s="12" t="s">
        <v>319</v>
      </c>
      <c r="HR791" s="12" t="s">
        <v>319</v>
      </c>
      <c r="HS791" s="12" t="s">
        <v>319</v>
      </c>
      <c r="HT791" s="12" t="s">
        <v>320</v>
      </c>
      <c r="HU791" s="12" t="s">
        <v>319</v>
      </c>
      <c r="HV791" s="12" t="s">
        <v>319</v>
      </c>
      <c r="HW791" s="12" t="s">
        <v>319</v>
      </c>
      <c r="HX791" s="12" t="s">
        <v>319</v>
      </c>
      <c r="HY791" s="12"/>
      <c r="HZ791" s="12" t="s">
        <v>363</v>
      </c>
      <c r="IA791" s="12" t="s">
        <v>12414</v>
      </c>
      <c r="IB791" s="12" t="s">
        <v>667</v>
      </c>
      <c r="IC791" s="12" t="s">
        <v>12415</v>
      </c>
      <c r="ID791" s="12" t="s">
        <v>364</v>
      </c>
      <c r="IE791" s="12" t="s">
        <v>335</v>
      </c>
      <c r="IF791" s="12" t="s">
        <v>320</v>
      </c>
      <c r="IG791" s="12" t="s">
        <v>320</v>
      </c>
      <c r="IH791" s="12" t="s">
        <v>320</v>
      </c>
      <c r="II791" s="12" t="s">
        <v>319</v>
      </c>
      <c r="IJ791" s="12" t="str">
        <f t="shared" si="517"/>
        <v>1. Neutral</v>
      </c>
      <c r="IK791" s="12">
        <f t="shared" si="518"/>
        <v>3</v>
      </c>
      <c r="IL791" s="12" t="s">
        <v>336</v>
      </c>
      <c r="IM791" s="12" t="s">
        <v>319</v>
      </c>
      <c r="IN791" s="12" t="s">
        <v>320</v>
      </c>
      <c r="IO791" s="12" t="s">
        <v>320</v>
      </c>
      <c r="IP791" s="12" t="s">
        <v>320</v>
      </c>
      <c r="IQ791" s="12" t="str">
        <f t="shared" si="519"/>
        <v>2. Accommodating</v>
      </c>
      <c r="IR791" s="12">
        <f t="shared" si="520"/>
        <v>3</v>
      </c>
      <c r="IS791" s="12" t="s">
        <v>337</v>
      </c>
      <c r="IT791" s="12" t="s">
        <v>320</v>
      </c>
      <c r="IU791" s="12" t="s">
        <v>320</v>
      </c>
      <c r="IV791" s="12" t="s">
        <v>320</v>
      </c>
      <c r="IW791" s="11" t="str">
        <f t="shared" si="521"/>
        <v>2. Sensitive</v>
      </c>
      <c r="IX791" s="12">
        <f t="shared" si="522"/>
        <v>3</v>
      </c>
      <c r="IY791" s="12" t="s">
        <v>758</v>
      </c>
      <c r="IZ791" s="12" t="s">
        <v>527</v>
      </c>
      <c r="JA791" s="12"/>
      <c r="JB791" s="12" t="s">
        <v>624</v>
      </c>
      <c r="JC791" s="12" t="s">
        <v>433</v>
      </c>
      <c r="JD791" s="12" t="s">
        <v>724</v>
      </c>
      <c r="JE791" s="12" t="s">
        <v>420</v>
      </c>
      <c r="JF791" s="12"/>
      <c r="JG791" s="12" t="s">
        <v>12416</v>
      </c>
      <c r="JH791" s="12" t="s">
        <v>12417</v>
      </c>
      <c r="JI791" s="12" t="s">
        <v>12418</v>
      </c>
      <c r="JJ791" s="12" t="s">
        <v>12419</v>
      </c>
      <c r="JK791" s="12" t="s">
        <v>12420</v>
      </c>
      <c r="JL791" s="12" t="s">
        <v>12421</v>
      </c>
      <c r="JM791" s="12" t="s">
        <v>12422</v>
      </c>
      <c r="JN791" s="12"/>
      <c r="JO791" s="12" t="s">
        <v>12423</v>
      </c>
      <c r="JP791" s="15">
        <f t="shared" si="523"/>
        <v>432</v>
      </c>
      <c r="JQ791" s="15">
        <f t="shared" si="524"/>
        <v>0</v>
      </c>
      <c r="JR791" s="279">
        <f t="shared" si="525"/>
        <v>0</v>
      </c>
      <c r="JS791" s="17">
        <f t="shared" si="526"/>
        <v>0.49074074074074076</v>
      </c>
      <c r="JT791" s="18" t="str">
        <f t="shared" si="527"/>
        <v/>
      </c>
      <c r="JU791" s="280">
        <f t="shared" si="528"/>
        <v>212</v>
      </c>
      <c r="JV791" s="280">
        <f t="shared" si="529"/>
        <v>0</v>
      </c>
      <c r="JW791" s="319">
        <f t="shared" si="530"/>
        <v>1</v>
      </c>
      <c r="JX791" s="15">
        <f t="shared" si="531"/>
        <v>0</v>
      </c>
      <c r="JY791" s="15">
        <f t="shared" si="532"/>
        <v>0</v>
      </c>
      <c r="JZ791" s="19" t="str">
        <f t="shared" si="533"/>
        <v/>
      </c>
      <c r="KA791" s="52">
        <f t="shared" si="534"/>
        <v>1</v>
      </c>
      <c r="KB791" s="15">
        <f t="shared" si="535"/>
        <v>432</v>
      </c>
      <c r="KC791" s="15">
        <f t="shared" si="536"/>
        <v>0</v>
      </c>
      <c r="KD791" s="20">
        <f t="shared" si="537"/>
        <v>0</v>
      </c>
      <c r="KE791" s="52" t="str">
        <f t="shared" si="538"/>
        <v/>
      </c>
      <c r="KF791" s="15">
        <f t="shared" si="539"/>
        <v>0</v>
      </c>
      <c r="KG791" s="15">
        <f t="shared" si="540"/>
        <v>0</v>
      </c>
      <c r="KH791" s="21" t="str">
        <f t="shared" si="541"/>
        <v/>
      </c>
      <c r="KI791" s="52" t="str">
        <f t="shared" si="542"/>
        <v/>
      </c>
      <c r="KJ791" s="15">
        <f t="shared" si="543"/>
        <v>0</v>
      </c>
      <c r="KK791" s="15">
        <f t="shared" si="544"/>
        <v>0</v>
      </c>
      <c r="KL791" s="19" t="str">
        <f t="shared" si="545"/>
        <v/>
      </c>
      <c r="KM791" s="52" t="str">
        <f t="shared" si="546"/>
        <v/>
      </c>
      <c r="KN791" s="22">
        <f t="shared" si="547"/>
        <v>0</v>
      </c>
      <c r="KO791" s="22">
        <f t="shared" si="548"/>
        <v>0</v>
      </c>
      <c r="KP791" s="19" t="str">
        <f t="shared" si="549"/>
        <v/>
      </c>
      <c r="KQ791" s="11" t="str">
        <f t="shared" si="550"/>
        <v>1. Neutral</v>
      </c>
      <c r="KR791" s="11" t="str">
        <f t="shared" si="551"/>
        <v>2. Accommodating</v>
      </c>
      <c r="KS791" s="11" t="str">
        <f t="shared" si="552"/>
        <v>2. Sensitive</v>
      </c>
      <c r="KT791" s="11" t="str">
        <f t="shared" si="553"/>
        <v>It did not develop any specific innovation</v>
      </c>
      <c r="KU791" s="11" t="str">
        <f t="shared" si="554"/>
        <v>Little or no advocacy</v>
      </c>
      <c r="KV791" s="11" t="str">
        <f t="shared" si="555"/>
        <v>It took tested solutions to scale on its own</v>
      </c>
      <c r="KW791" s="11" t="str">
        <f t="shared" si="556"/>
        <v>Thailand - Klong Prasong Mangrove Forests Rehabilitation</v>
      </c>
      <c r="KX791" s="11" t="str">
        <f t="shared" si="557"/>
        <v>Klong Prasong Mangrove Forests Rehabilitation</v>
      </c>
      <c r="KY791" s="11" t="str">
        <f t="shared" si="558"/>
        <v>Thailand</v>
      </c>
      <c r="KZ791" s="12">
        <v>792</v>
      </c>
    </row>
    <row r="792" spans="1:312" x14ac:dyDescent="0.3">
      <c r="A792" s="12" t="s">
        <v>12294</v>
      </c>
      <c r="B792" s="12" t="s">
        <v>306</v>
      </c>
      <c r="C792" s="12">
        <v>3668</v>
      </c>
      <c r="D792" s="43" t="s">
        <v>12424</v>
      </c>
      <c r="E792" s="277" t="str">
        <f t="shared" si="516"/>
        <v>Thailand</v>
      </c>
      <c r="F792" s="12" t="s">
        <v>12425</v>
      </c>
      <c r="G792" s="12" t="s">
        <v>12297</v>
      </c>
      <c r="H792" s="12" t="s">
        <v>310</v>
      </c>
      <c r="I792" s="12" t="s">
        <v>12298</v>
      </c>
      <c r="J792" s="281" t="s">
        <v>14750</v>
      </c>
      <c r="K792" s="12"/>
      <c r="L792" s="12"/>
      <c r="M792" s="12"/>
      <c r="N792" s="12"/>
      <c r="O792" s="12"/>
      <c r="P792" s="12"/>
      <c r="Q792" s="12"/>
      <c r="R792" s="12"/>
      <c r="S792" s="12"/>
      <c r="T792" s="12"/>
      <c r="U792" s="12"/>
      <c r="V792" s="12"/>
      <c r="W792" s="12"/>
      <c r="X792" s="12"/>
      <c r="Y792" s="12"/>
      <c r="Z792" s="12"/>
      <c r="AA792" s="12"/>
      <c r="AB792" s="12"/>
      <c r="AC792" s="12"/>
      <c r="AD792" s="12"/>
      <c r="BD792" s="13">
        <v>42370</v>
      </c>
      <c r="BE792" s="13">
        <v>42643</v>
      </c>
      <c r="BF792" s="12"/>
      <c r="BG792" s="12" t="s">
        <v>312</v>
      </c>
      <c r="BH792" s="14">
        <v>6857</v>
      </c>
      <c r="BI792" s="12" t="s">
        <v>12401</v>
      </c>
      <c r="BJ792" s="12" t="s">
        <v>10599</v>
      </c>
      <c r="BK792" s="12" t="s">
        <v>12374</v>
      </c>
      <c r="BL792" s="12"/>
      <c r="BM792" s="12"/>
      <c r="BN792" s="12"/>
      <c r="BO792" s="12" t="s">
        <v>319</v>
      </c>
      <c r="BP792" s="12" t="s">
        <v>320</v>
      </c>
      <c r="BQ792" s="12" t="s">
        <v>319</v>
      </c>
      <c r="BR792" s="12" t="s">
        <v>12426</v>
      </c>
      <c r="BS792" s="12" t="s">
        <v>357</v>
      </c>
      <c r="BT792" s="12" t="s">
        <v>12427</v>
      </c>
      <c r="BU792" s="12" t="s">
        <v>12428</v>
      </c>
      <c r="BV792" s="14">
        <v>60</v>
      </c>
      <c r="BW792" s="14">
        <v>75</v>
      </c>
      <c r="BX792" s="14">
        <v>135</v>
      </c>
      <c r="BY792" s="14">
        <v>100</v>
      </c>
      <c r="BZ792" s="14">
        <v>150</v>
      </c>
      <c r="CA792" s="14">
        <v>250</v>
      </c>
      <c r="CB792" s="12"/>
      <c r="CD792" s="14"/>
      <c r="CE792" s="14"/>
      <c r="CF792" s="14"/>
      <c r="CG792" s="14"/>
      <c r="CH792" s="14"/>
      <c r="CI792" s="14"/>
      <c r="CJ792" s="12"/>
      <c r="CK792" s="14"/>
      <c r="CL792" s="16"/>
      <c r="CM792" s="14"/>
      <c r="CN792" s="12"/>
      <c r="CO792" s="14"/>
      <c r="CP792" s="16"/>
      <c r="CQ792" s="14"/>
      <c r="CR792" s="12"/>
      <c r="CS792" s="14"/>
      <c r="CT792" s="16"/>
      <c r="CU792" s="14"/>
      <c r="CV792" s="12"/>
      <c r="CW792" s="14"/>
      <c r="CX792" s="16"/>
      <c r="CY792" s="14"/>
      <c r="CZ792" s="12"/>
      <c r="DA792" s="14"/>
      <c r="DB792" s="16"/>
      <c r="DC792" s="14"/>
      <c r="DD792" s="12"/>
      <c r="DE792" s="14"/>
      <c r="DF792" s="16"/>
      <c r="DG792" s="14"/>
      <c r="DH792" s="12"/>
      <c r="DI792" s="14"/>
      <c r="DJ792" s="16"/>
      <c r="DK792" s="14"/>
      <c r="DL792" s="12"/>
      <c r="DM792" s="14"/>
      <c r="DN792" s="16"/>
      <c r="DO792" s="14"/>
      <c r="DP792" s="12"/>
      <c r="DQ792" s="14"/>
      <c r="DR792" s="16"/>
      <c r="DS792" s="14"/>
      <c r="DT792" s="12"/>
      <c r="DU792" s="14"/>
      <c r="DV792" s="16"/>
      <c r="DW792" s="14"/>
      <c r="DX792" s="12"/>
      <c r="DY792" s="14"/>
      <c r="DZ792" s="16"/>
      <c r="EA792" s="14"/>
      <c r="EB792" s="12"/>
      <c r="EC792" s="14"/>
      <c r="ED792" s="16"/>
      <c r="EE792" s="14"/>
      <c r="EF792" s="12"/>
      <c r="EG792" s="12"/>
      <c r="EH792" s="14"/>
      <c r="EI792" s="16"/>
      <c r="EJ792" s="14"/>
      <c r="EK792" s="14">
        <v>53</v>
      </c>
      <c r="EL792" s="14">
        <v>74</v>
      </c>
      <c r="EM792" s="14">
        <v>127</v>
      </c>
      <c r="EN792" s="14">
        <v>130</v>
      </c>
      <c r="EO792" s="14">
        <v>95</v>
      </c>
      <c r="EP792" s="14">
        <v>225</v>
      </c>
      <c r="EQ792" s="12" t="s">
        <v>319</v>
      </c>
      <c r="ER792" s="14"/>
      <c r="ES792" s="16"/>
      <c r="ET792" s="14"/>
      <c r="EU792" s="11" t="s">
        <v>319</v>
      </c>
      <c r="EV792" s="14"/>
      <c r="EW792" s="16"/>
      <c r="EX792" s="14"/>
      <c r="EY792" s="12" t="s">
        <v>319</v>
      </c>
      <c r="EZ792" s="14"/>
      <c r="FA792" s="16"/>
      <c r="FB792" s="14"/>
      <c r="FC792" s="12" t="s">
        <v>319</v>
      </c>
      <c r="FD792" s="14"/>
      <c r="FE792" s="16"/>
      <c r="FF792" s="14"/>
      <c r="FG792" s="12" t="s">
        <v>319</v>
      </c>
      <c r="FH792" s="14"/>
      <c r="FI792" s="16"/>
      <c r="FJ792" s="14"/>
      <c r="FK792" s="12" t="s">
        <v>320</v>
      </c>
      <c r="FL792" s="14">
        <v>127</v>
      </c>
      <c r="FM792" s="16">
        <v>0.41</v>
      </c>
      <c r="FN792" s="14">
        <v>225</v>
      </c>
      <c r="FO792" s="12" t="s">
        <v>319</v>
      </c>
      <c r="FP792" s="14"/>
      <c r="FQ792" s="16"/>
      <c r="FR792" s="14"/>
      <c r="FS792" s="12" t="s">
        <v>319</v>
      </c>
      <c r="FT792" s="14">
        <v>0</v>
      </c>
      <c r="FU792" s="16">
        <v>0</v>
      </c>
      <c r="FV792" s="14">
        <v>0</v>
      </c>
      <c r="FW792" s="11" t="s">
        <v>320</v>
      </c>
      <c r="FX792" s="14">
        <v>0</v>
      </c>
      <c r="FY792" s="16">
        <v>0.66</v>
      </c>
      <c r="FZ792" s="14">
        <v>0</v>
      </c>
      <c r="GA792" s="12" t="s">
        <v>319</v>
      </c>
      <c r="GB792" s="14"/>
      <c r="GC792" s="16"/>
      <c r="GD792" s="14"/>
      <c r="GE792" s="12" t="s">
        <v>319</v>
      </c>
      <c r="GF792" s="14"/>
      <c r="GG792" s="16"/>
      <c r="GH792" s="14"/>
      <c r="GI792" s="12" t="s">
        <v>319</v>
      </c>
      <c r="GJ792" s="14"/>
      <c r="GK792" s="16"/>
      <c r="GL792" s="14"/>
      <c r="GM792" s="12" t="s">
        <v>319</v>
      </c>
      <c r="GN792" s="14"/>
      <c r="GO792" s="16"/>
      <c r="GP792" s="14"/>
      <c r="GQ792" s="12" t="s">
        <v>320</v>
      </c>
      <c r="GR792" s="14"/>
      <c r="GS792" s="16"/>
      <c r="GT792" s="14"/>
      <c r="GU792" s="12" t="s">
        <v>319</v>
      </c>
      <c r="GV792" s="14"/>
      <c r="GW792" s="16"/>
      <c r="GX792" s="14"/>
      <c r="GY792" s="12" t="s">
        <v>319</v>
      </c>
      <c r="GZ792" s="14"/>
      <c r="HA792" s="16"/>
      <c r="HB792" s="14"/>
      <c r="HC792" s="12"/>
      <c r="HD792" s="12" t="s">
        <v>319</v>
      </c>
      <c r="HE792" s="14"/>
      <c r="HF792" s="16"/>
      <c r="HG792" s="14"/>
      <c r="HH792" s="12" t="s">
        <v>319</v>
      </c>
      <c r="HI792" s="12"/>
      <c r="HJ792" s="12"/>
      <c r="HK792" s="12" t="s">
        <v>319</v>
      </c>
      <c r="HL792" s="12" t="s">
        <v>319</v>
      </c>
      <c r="HM792" s="12"/>
      <c r="HN792" s="12"/>
      <c r="HO792" s="12"/>
      <c r="HP792" s="12" t="s">
        <v>418</v>
      </c>
      <c r="HQ792" s="12" t="s">
        <v>319</v>
      </c>
      <c r="HR792" s="12" t="s">
        <v>319</v>
      </c>
      <c r="HS792" s="12"/>
      <c r="HT792" s="12" t="s">
        <v>319</v>
      </c>
      <c r="HU792" s="12" t="s">
        <v>319</v>
      </c>
      <c r="HV792" s="12"/>
      <c r="HW792" s="12" t="s">
        <v>319</v>
      </c>
      <c r="HX792" s="12"/>
      <c r="HY792" s="12"/>
      <c r="HZ792" s="12" t="s">
        <v>363</v>
      </c>
      <c r="IA792" s="12"/>
      <c r="IB792" s="12" t="s">
        <v>333</v>
      </c>
      <c r="IC792" s="12"/>
      <c r="ID792" s="12" t="s">
        <v>364</v>
      </c>
      <c r="IE792" s="12" t="s">
        <v>335</v>
      </c>
      <c r="IF792" s="12" t="s">
        <v>319</v>
      </c>
      <c r="IG792" s="12" t="s">
        <v>320</v>
      </c>
      <c r="IH792" s="12" t="s">
        <v>320</v>
      </c>
      <c r="II792" s="12" t="s">
        <v>320</v>
      </c>
      <c r="IJ792" s="12" t="str">
        <f t="shared" si="517"/>
        <v>1. Neutral</v>
      </c>
      <c r="IK792" s="12">
        <f t="shared" si="518"/>
        <v>3</v>
      </c>
      <c r="IL792" s="12" t="s">
        <v>336</v>
      </c>
      <c r="IM792" s="12" t="s">
        <v>320</v>
      </c>
      <c r="IN792" s="12" t="s">
        <v>320</v>
      </c>
      <c r="IO792" s="12" t="s">
        <v>320</v>
      </c>
      <c r="IP792" s="12" t="s">
        <v>320</v>
      </c>
      <c r="IQ792" s="12" t="str">
        <f t="shared" si="519"/>
        <v>2. Accommodating</v>
      </c>
      <c r="IR792" s="12">
        <f t="shared" si="520"/>
        <v>4</v>
      </c>
      <c r="IS792" s="12" t="s">
        <v>337</v>
      </c>
      <c r="IT792" s="12" t="s">
        <v>320</v>
      </c>
      <c r="IU792" s="12" t="s">
        <v>320</v>
      </c>
      <c r="IV792" s="12" t="s">
        <v>319</v>
      </c>
      <c r="IW792" s="11" t="str">
        <f t="shared" si="521"/>
        <v>1. Neutral</v>
      </c>
      <c r="IX792" s="12">
        <f t="shared" si="522"/>
        <v>2</v>
      </c>
      <c r="IY792" s="12" t="s">
        <v>338</v>
      </c>
      <c r="IZ792" s="12" t="s">
        <v>339</v>
      </c>
      <c r="JA792" s="12"/>
      <c r="JB792" s="12" t="s">
        <v>433</v>
      </c>
      <c r="JC792" s="12" t="s">
        <v>687</v>
      </c>
      <c r="JD792" s="12" t="s">
        <v>623</v>
      </c>
      <c r="JE792" s="12" t="s">
        <v>420</v>
      </c>
      <c r="JF792" s="12"/>
      <c r="JG792" s="12" t="s">
        <v>12429</v>
      </c>
      <c r="JH792" s="12"/>
      <c r="JI792" s="12"/>
      <c r="JJ792" s="12"/>
      <c r="JK792" s="12"/>
      <c r="JL792" s="12"/>
      <c r="JM792" s="12"/>
      <c r="JN792" s="12"/>
      <c r="JO792" s="12"/>
      <c r="JP792" s="15">
        <f t="shared" si="523"/>
        <v>127</v>
      </c>
      <c r="JQ792" s="15">
        <f t="shared" si="524"/>
        <v>225</v>
      </c>
      <c r="JR792" s="279">
        <f t="shared" si="525"/>
        <v>1.7716535433070866</v>
      </c>
      <c r="JS792" s="17">
        <f t="shared" si="526"/>
        <v>0.41732283464566927</v>
      </c>
      <c r="JT792" s="18">
        <f t="shared" si="527"/>
        <v>0.57777777777777772</v>
      </c>
      <c r="JU792" s="280">
        <f t="shared" si="528"/>
        <v>53</v>
      </c>
      <c r="JV792" s="280">
        <f t="shared" si="529"/>
        <v>130</v>
      </c>
      <c r="JW792" s="319" t="str">
        <f t="shared" si="530"/>
        <v/>
      </c>
      <c r="JX792" s="15">
        <f t="shared" si="531"/>
        <v>0</v>
      </c>
      <c r="JY792" s="15">
        <f t="shared" si="532"/>
        <v>0</v>
      </c>
      <c r="JZ792" s="19" t="str">
        <f t="shared" si="533"/>
        <v/>
      </c>
      <c r="KA792" s="52" t="str">
        <f t="shared" si="534"/>
        <v/>
      </c>
      <c r="KB792" s="15">
        <f t="shared" si="535"/>
        <v>0</v>
      </c>
      <c r="KC792" s="15">
        <f t="shared" si="536"/>
        <v>0</v>
      </c>
      <c r="KD792" s="20" t="str">
        <f t="shared" si="537"/>
        <v/>
      </c>
      <c r="KE792" s="52">
        <f t="shared" si="538"/>
        <v>1</v>
      </c>
      <c r="KF792" s="15">
        <f t="shared" si="539"/>
        <v>0</v>
      </c>
      <c r="KG792" s="15">
        <f t="shared" si="540"/>
        <v>0</v>
      </c>
      <c r="KH792" s="21" t="str">
        <f t="shared" si="541"/>
        <v/>
      </c>
      <c r="KI792" s="52" t="str">
        <f t="shared" si="542"/>
        <v/>
      </c>
      <c r="KJ792" s="15">
        <f t="shared" si="543"/>
        <v>0</v>
      </c>
      <c r="KK792" s="15">
        <f t="shared" si="544"/>
        <v>0</v>
      </c>
      <c r="KL792" s="19" t="str">
        <f t="shared" si="545"/>
        <v/>
      </c>
      <c r="KM792" s="52" t="str">
        <f t="shared" si="546"/>
        <v/>
      </c>
      <c r="KN792" s="22">
        <f t="shared" si="547"/>
        <v>0</v>
      </c>
      <c r="KO792" s="22">
        <f t="shared" si="548"/>
        <v>0</v>
      </c>
      <c r="KP792" s="19" t="str">
        <f t="shared" si="549"/>
        <v/>
      </c>
      <c r="KQ792" s="11" t="str">
        <f t="shared" si="550"/>
        <v>1. Neutral</v>
      </c>
      <c r="KR792" s="11" t="str">
        <f t="shared" si="551"/>
        <v>2. Accommodating</v>
      </c>
      <c r="KS792" s="11" t="str">
        <f t="shared" si="552"/>
        <v>1. Neutral</v>
      </c>
      <c r="KT792" s="11" t="str">
        <f t="shared" si="553"/>
        <v>It did not develop any specific innovation</v>
      </c>
      <c r="KU792" s="11" t="str">
        <f t="shared" si="554"/>
        <v>Little or no advocacy</v>
      </c>
      <c r="KV792" s="11" t="str">
        <f t="shared" si="555"/>
        <v>It did not take tested solutions to scale</v>
      </c>
      <c r="KW792" s="11" t="str">
        <f t="shared" si="556"/>
        <v>Thailand - Migrant Children</v>
      </c>
      <c r="KX792" s="11" t="str">
        <f t="shared" si="557"/>
        <v>Migrant Children</v>
      </c>
      <c r="KY792" s="11" t="str">
        <f t="shared" si="558"/>
        <v>Thailand</v>
      </c>
      <c r="KZ792" s="12">
        <v>793</v>
      </c>
    </row>
    <row r="793" spans="1:312" x14ac:dyDescent="0.3">
      <c r="A793" s="12" t="s">
        <v>12294</v>
      </c>
      <c r="B793" s="12" t="s">
        <v>306</v>
      </c>
      <c r="C793" s="12">
        <v>3662</v>
      </c>
      <c r="D793" s="43" t="s">
        <v>12430</v>
      </c>
      <c r="E793" s="277" t="str">
        <f t="shared" si="516"/>
        <v>Thailand</v>
      </c>
      <c r="F793" s="12" t="s">
        <v>12431</v>
      </c>
      <c r="G793" s="12" t="s">
        <v>12297</v>
      </c>
      <c r="H793" s="12" t="s">
        <v>310</v>
      </c>
      <c r="I793" s="12" t="s">
        <v>12298</v>
      </c>
      <c r="J793" s="281" t="s">
        <v>14750</v>
      </c>
      <c r="K793" s="12" t="s">
        <v>12431</v>
      </c>
      <c r="L793" s="12" t="s">
        <v>12297</v>
      </c>
      <c r="M793" s="12" t="s">
        <v>383</v>
      </c>
      <c r="N793" s="12" t="s">
        <v>1472</v>
      </c>
      <c r="O793" s="281" t="s">
        <v>8559</v>
      </c>
      <c r="P793" s="12"/>
      <c r="Q793" s="12"/>
      <c r="R793" s="12"/>
      <c r="S793" s="12"/>
      <c r="T793" s="12"/>
      <c r="U793" s="12"/>
      <c r="V793" s="12"/>
      <c r="W793" s="12"/>
      <c r="X793" s="12"/>
      <c r="Y793" s="12"/>
      <c r="Z793" s="12"/>
      <c r="AA793" s="12"/>
      <c r="AB793" s="12"/>
      <c r="AC793" s="12"/>
      <c r="AD793" s="12"/>
      <c r="BD793" s="13">
        <v>41913</v>
      </c>
      <c r="BE793" s="13">
        <v>43008</v>
      </c>
      <c r="BF793" s="12"/>
      <c r="BG793" s="12" t="s">
        <v>312</v>
      </c>
      <c r="BH793" s="14">
        <v>3295562</v>
      </c>
      <c r="BI793" s="12" t="s">
        <v>12299</v>
      </c>
      <c r="BJ793" s="12" t="s">
        <v>12300</v>
      </c>
      <c r="BK793" s="12" t="s">
        <v>12301</v>
      </c>
      <c r="BL793" s="12" t="s">
        <v>12432</v>
      </c>
      <c r="BM793" s="12" t="s">
        <v>12321</v>
      </c>
      <c r="BN793" s="12" t="s">
        <v>12433</v>
      </c>
      <c r="BO793" s="12" t="s">
        <v>319</v>
      </c>
      <c r="BP793" s="12" t="s">
        <v>320</v>
      </c>
      <c r="BQ793" s="12" t="s">
        <v>319</v>
      </c>
      <c r="BR793" s="12" t="s">
        <v>12434</v>
      </c>
      <c r="BS793" s="12" t="s">
        <v>357</v>
      </c>
      <c r="BT793" s="12" t="s">
        <v>12435</v>
      </c>
      <c r="BU793" s="12" t="s">
        <v>12436</v>
      </c>
      <c r="BV793" s="14"/>
      <c r="BW793" s="14"/>
      <c r="BX793" s="14"/>
      <c r="BY793" s="14"/>
      <c r="BZ793" s="14"/>
      <c r="CA793" s="14"/>
      <c r="CB793" s="12" t="s">
        <v>12437</v>
      </c>
      <c r="CD793" s="14"/>
      <c r="CE793" s="14"/>
      <c r="CF793" s="14"/>
      <c r="CG793" s="14"/>
      <c r="CH793" s="14"/>
      <c r="CI793" s="14"/>
      <c r="CJ793" s="12"/>
      <c r="CK793" s="14"/>
      <c r="CL793" s="16"/>
      <c r="CM793" s="14"/>
      <c r="CN793" s="12"/>
      <c r="CO793" s="14"/>
      <c r="CP793" s="16"/>
      <c r="CQ793" s="14"/>
      <c r="CR793" s="12"/>
      <c r="CS793" s="14"/>
      <c r="CT793" s="16"/>
      <c r="CU793" s="14"/>
      <c r="CV793" s="12"/>
      <c r="CW793" s="14"/>
      <c r="CX793" s="16"/>
      <c r="CY793" s="14"/>
      <c r="CZ793" s="12"/>
      <c r="DA793" s="14"/>
      <c r="DB793" s="16"/>
      <c r="DC793" s="14"/>
      <c r="DD793" s="12"/>
      <c r="DE793" s="14"/>
      <c r="DF793" s="16"/>
      <c r="DG793" s="14"/>
      <c r="DH793" s="12"/>
      <c r="DI793" s="14"/>
      <c r="DJ793" s="16"/>
      <c r="DK793" s="14"/>
      <c r="DL793" s="12"/>
      <c r="DM793" s="14"/>
      <c r="DN793" s="16"/>
      <c r="DO793" s="14"/>
      <c r="DP793" s="12"/>
      <c r="DQ793" s="14"/>
      <c r="DR793" s="16"/>
      <c r="DS793" s="14"/>
      <c r="DT793" s="12"/>
      <c r="DU793" s="14"/>
      <c r="DV793" s="16"/>
      <c r="DW793" s="14"/>
      <c r="DX793" s="12"/>
      <c r="DY793" s="14"/>
      <c r="DZ793" s="16"/>
      <c r="EA793" s="14"/>
      <c r="EB793" s="12"/>
      <c r="EC793" s="14"/>
      <c r="ED793" s="16"/>
      <c r="EE793" s="14"/>
      <c r="EF793" s="12"/>
      <c r="EG793" s="12"/>
      <c r="EH793" s="14"/>
      <c r="EI793" s="16"/>
      <c r="EJ793" s="14"/>
      <c r="EK793" s="14">
        <v>0</v>
      </c>
      <c r="EL793" s="14">
        <v>0</v>
      </c>
      <c r="EM793" s="14">
        <v>12341</v>
      </c>
      <c r="EN793" s="14">
        <v>0</v>
      </c>
      <c r="EO793" s="14">
        <v>0</v>
      </c>
      <c r="EP793" s="14">
        <v>0</v>
      </c>
      <c r="EQ793" s="12" t="s">
        <v>319</v>
      </c>
      <c r="ER793" s="14"/>
      <c r="ES793" s="16"/>
      <c r="ET793" s="14"/>
      <c r="EU793" s="11" t="s">
        <v>319</v>
      </c>
      <c r="EV793" s="14"/>
      <c r="EW793" s="16"/>
      <c r="EX793" s="14"/>
      <c r="EY793" s="12" t="s">
        <v>319</v>
      </c>
      <c r="EZ793" s="14"/>
      <c r="FA793" s="16"/>
      <c r="FB793" s="14"/>
      <c r="FC793" s="12" t="s">
        <v>319</v>
      </c>
      <c r="FD793" s="14"/>
      <c r="FE793" s="16"/>
      <c r="FF793" s="14"/>
      <c r="FG793" s="12" t="s">
        <v>319</v>
      </c>
      <c r="FH793" s="14"/>
      <c r="FI793" s="16"/>
      <c r="FJ793" s="14"/>
      <c r="FK793" s="12" t="s">
        <v>319</v>
      </c>
      <c r="FL793" s="14"/>
      <c r="FM793" s="16"/>
      <c r="FN793" s="14"/>
      <c r="FO793" s="12" t="s">
        <v>319</v>
      </c>
      <c r="FP793" s="14"/>
      <c r="FQ793" s="16"/>
      <c r="FR793" s="14"/>
      <c r="FS793" s="12" t="s">
        <v>319</v>
      </c>
      <c r="FT793" s="14">
        <v>0</v>
      </c>
      <c r="FU793" s="16">
        <v>0</v>
      </c>
      <c r="FV793" s="14">
        <v>0</v>
      </c>
      <c r="FW793" s="12" t="s">
        <v>319</v>
      </c>
      <c r="FX793" s="14"/>
      <c r="FY793" s="16"/>
      <c r="FZ793" s="14"/>
      <c r="GA793" s="11" t="s">
        <v>320</v>
      </c>
      <c r="GB793" s="14">
        <v>12341</v>
      </c>
      <c r="GC793" s="16">
        <v>0</v>
      </c>
      <c r="GD793" s="14">
        <v>0</v>
      </c>
      <c r="GE793" s="12" t="s">
        <v>319</v>
      </c>
      <c r="GF793" s="14"/>
      <c r="GG793" s="16"/>
      <c r="GH793" s="14"/>
      <c r="GI793" s="12" t="s">
        <v>319</v>
      </c>
      <c r="GJ793" s="14"/>
      <c r="GK793" s="16"/>
      <c r="GL793" s="14"/>
      <c r="GM793" s="12" t="s">
        <v>319</v>
      </c>
      <c r="GN793" s="14"/>
      <c r="GO793" s="16"/>
      <c r="GP793" s="14"/>
      <c r="GQ793" s="12" t="s">
        <v>319</v>
      </c>
      <c r="GR793" s="14"/>
      <c r="GS793" s="16"/>
      <c r="GT793" s="14"/>
      <c r="GU793" s="12" t="s">
        <v>319</v>
      </c>
      <c r="GV793" s="14"/>
      <c r="GW793" s="16"/>
      <c r="GX793" s="14"/>
      <c r="GY793" s="12" t="s">
        <v>319</v>
      </c>
      <c r="GZ793" s="14"/>
      <c r="HA793" s="16"/>
      <c r="HB793" s="14"/>
      <c r="HC793" s="12"/>
      <c r="HD793" s="12" t="s">
        <v>319</v>
      </c>
      <c r="HE793" s="14"/>
      <c r="HF793" s="16"/>
      <c r="HG793" s="14"/>
      <c r="HH793" s="12" t="s">
        <v>319</v>
      </c>
      <c r="HI793" s="12"/>
      <c r="HJ793" s="12"/>
      <c r="HK793" s="12" t="s">
        <v>319</v>
      </c>
      <c r="HL793" s="12" t="s">
        <v>320</v>
      </c>
      <c r="HM793" s="12" t="s">
        <v>361</v>
      </c>
      <c r="HN793" s="12">
        <v>2017</v>
      </c>
      <c r="HO793" s="12" t="s">
        <v>12438</v>
      </c>
      <c r="HP793" s="12" t="s">
        <v>330</v>
      </c>
      <c r="HQ793" s="12" t="s">
        <v>319</v>
      </c>
      <c r="HR793" s="12" t="s">
        <v>319</v>
      </c>
      <c r="HS793" s="12" t="s">
        <v>319</v>
      </c>
      <c r="HT793" s="12" t="s">
        <v>320</v>
      </c>
      <c r="HU793" s="12" t="s">
        <v>320</v>
      </c>
      <c r="HV793" s="12" t="s">
        <v>319</v>
      </c>
      <c r="HW793" s="12" t="s">
        <v>319</v>
      </c>
      <c r="HX793" s="12"/>
      <c r="HY793" s="12"/>
      <c r="HZ793" s="12" t="s">
        <v>363</v>
      </c>
      <c r="IA793" s="12"/>
      <c r="IB793" s="12" t="s">
        <v>396</v>
      </c>
      <c r="IC793" s="12"/>
      <c r="ID793" s="12" t="s">
        <v>364</v>
      </c>
      <c r="IE793" s="12" t="s">
        <v>335</v>
      </c>
      <c r="IF793" s="12" t="s">
        <v>319</v>
      </c>
      <c r="IG793" s="12" t="s">
        <v>320</v>
      </c>
      <c r="IH793" s="12" t="s">
        <v>320</v>
      </c>
      <c r="II793" s="12" t="s">
        <v>319</v>
      </c>
      <c r="IJ793" s="12" t="str">
        <f t="shared" si="517"/>
        <v>1. Neutral</v>
      </c>
      <c r="IK793" s="12">
        <f t="shared" si="518"/>
        <v>2</v>
      </c>
      <c r="IL793" s="11" t="s">
        <v>621</v>
      </c>
      <c r="IM793" s="12" t="s">
        <v>320</v>
      </c>
      <c r="IN793" s="12" t="s">
        <v>320</v>
      </c>
      <c r="IO793" s="12" t="s">
        <v>320</v>
      </c>
      <c r="IP793" s="12" t="s">
        <v>320</v>
      </c>
      <c r="IQ793" s="12" t="str">
        <f t="shared" si="519"/>
        <v>4. Transformational</v>
      </c>
      <c r="IR793" s="12">
        <f t="shared" si="520"/>
        <v>4</v>
      </c>
      <c r="IS793" s="12" t="s">
        <v>337</v>
      </c>
      <c r="IT793" s="12" t="s">
        <v>320</v>
      </c>
      <c r="IU793" s="12" t="s">
        <v>319</v>
      </c>
      <c r="IV793" s="12" t="s">
        <v>319</v>
      </c>
      <c r="IW793" s="11" t="str">
        <f t="shared" si="521"/>
        <v>1. Neutral</v>
      </c>
      <c r="IX793" s="12">
        <f t="shared" si="522"/>
        <v>1</v>
      </c>
      <c r="IY793" s="12" t="s">
        <v>338</v>
      </c>
      <c r="IZ793" s="12" t="s">
        <v>527</v>
      </c>
      <c r="JA793" s="12">
        <v>3</v>
      </c>
      <c r="JB793" s="12" t="s">
        <v>433</v>
      </c>
      <c r="JC793" s="12" t="s">
        <v>831</v>
      </c>
      <c r="JD793" s="12"/>
      <c r="JE793" s="12" t="s">
        <v>340</v>
      </c>
      <c r="JF793" s="12"/>
      <c r="JG793" s="12" t="s">
        <v>12439</v>
      </c>
      <c r="JH793" s="12" t="s">
        <v>12440</v>
      </c>
      <c r="JI793" s="12" t="s">
        <v>12441</v>
      </c>
      <c r="JJ793" s="12" t="s">
        <v>12442</v>
      </c>
      <c r="JK793" s="12" t="s">
        <v>12443</v>
      </c>
      <c r="JL793" s="12"/>
      <c r="JM793" s="12"/>
      <c r="JN793" s="12"/>
      <c r="JO793" s="12"/>
      <c r="JP793" s="15">
        <f t="shared" si="523"/>
        <v>12341</v>
      </c>
      <c r="JQ793" s="15">
        <f t="shared" si="524"/>
        <v>0</v>
      </c>
      <c r="JR793" s="279">
        <f t="shared" si="525"/>
        <v>0</v>
      </c>
      <c r="JS793" s="17">
        <f t="shared" si="526"/>
        <v>0</v>
      </c>
      <c r="JT793" s="18" t="str">
        <f t="shared" si="527"/>
        <v/>
      </c>
      <c r="JU793" s="280">
        <f t="shared" si="528"/>
        <v>0</v>
      </c>
      <c r="JV793" s="280">
        <f t="shared" si="529"/>
        <v>0</v>
      </c>
      <c r="JW793" s="319" t="str">
        <f t="shared" si="530"/>
        <v/>
      </c>
      <c r="JX793" s="15">
        <f t="shared" si="531"/>
        <v>0</v>
      </c>
      <c r="JY793" s="15">
        <f t="shared" si="532"/>
        <v>0</v>
      </c>
      <c r="JZ793" s="19" t="str">
        <f t="shared" si="533"/>
        <v/>
      </c>
      <c r="KA793" s="52" t="str">
        <f t="shared" si="534"/>
        <v/>
      </c>
      <c r="KB793" s="15">
        <f t="shared" si="535"/>
        <v>0</v>
      </c>
      <c r="KC793" s="15">
        <f t="shared" si="536"/>
        <v>0</v>
      </c>
      <c r="KD793" s="20" t="str">
        <f t="shared" si="537"/>
        <v/>
      </c>
      <c r="KE793" s="52" t="str">
        <f t="shared" si="538"/>
        <v/>
      </c>
      <c r="KF793" s="15">
        <f t="shared" si="539"/>
        <v>0</v>
      </c>
      <c r="KG793" s="15">
        <f t="shared" si="540"/>
        <v>0</v>
      </c>
      <c r="KH793" s="21" t="str">
        <f t="shared" si="541"/>
        <v/>
      </c>
      <c r="KI793" s="52" t="str">
        <f t="shared" si="542"/>
        <v/>
      </c>
      <c r="KJ793" s="15">
        <f t="shared" si="543"/>
        <v>0</v>
      </c>
      <c r="KK793" s="15">
        <f t="shared" si="544"/>
        <v>0</v>
      </c>
      <c r="KL793" s="19" t="str">
        <f t="shared" si="545"/>
        <v/>
      </c>
      <c r="KM793" s="52" t="str">
        <f t="shared" si="546"/>
        <v/>
      </c>
      <c r="KN793" s="22">
        <f t="shared" si="547"/>
        <v>0</v>
      </c>
      <c r="KO793" s="22">
        <f t="shared" si="548"/>
        <v>0</v>
      </c>
      <c r="KP793" s="19" t="str">
        <f t="shared" si="549"/>
        <v/>
      </c>
      <c r="KQ793" s="11" t="str">
        <f t="shared" si="550"/>
        <v>1. Neutral</v>
      </c>
      <c r="KR793" s="11" t="str">
        <f t="shared" si="551"/>
        <v>4. Transformational</v>
      </c>
      <c r="KS793" s="11" t="str">
        <f t="shared" si="552"/>
        <v>1. Neutral</v>
      </c>
      <c r="KT793" s="11" t="str">
        <f t="shared" si="553"/>
        <v>It did not develop any specific innovation</v>
      </c>
      <c r="KU793" s="11" t="str">
        <f t="shared" si="554"/>
        <v>Moderate advocacy</v>
      </c>
      <c r="KV793" s="11" t="str">
        <f t="shared" si="555"/>
        <v>It linked and worked with strategic alliances and partners to take tested and effective solutions to scale</v>
      </c>
      <c r="KW793" s="11" t="str">
        <f t="shared" si="556"/>
        <v>Thailand - Partnership for Containment of Artemisinin Resistance and Moving Towards the Elimination of Plasmodium  (MAL-SSF)</v>
      </c>
      <c r="KX793" s="11" t="str">
        <f t="shared" si="557"/>
        <v>Partnership for Containment of Artemisinin Resistance and Moving Towards the Elimination of Plasmodium  (MAL-SSF)</v>
      </c>
      <c r="KY793" s="11" t="str">
        <f t="shared" si="558"/>
        <v>Thailand</v>
      </c>
      <c r="KZ793" s="12">
        <v>794</v>
      </c>
    </row>
    <row r="794" spans="1:312" x14ac:dyDescent="0.3">
      <c r="A794" s="12" t="s">
        <v>12294</v>
      </c>
      <c r="B794" s="12" t="s">
        <v>306</v>
      </c>
      <c r="C794" s="12">
        <v>3667</v>
      </c>
      <c r="D794" s="43" t="s">
        <v>12444</v>
      </c>
      <c r="E794" s="277" t="str">
        <f t="shared" si="516"/>
        <v>Thailand</v>
      </c>
      <c r="F794" s="12" t="s">
        <v>12445</v>
      </c>
      <c r="G794" s="12" t="s">
        <v>12297</v>
      </c>
      <c r="H794" s="12" t="s">
        <v>310</v>
      </c>
      <c r="I794" s="12" t="s">
        <v>12298</v>
      </c>
      <c r="J794" s="281" t="s">
        <v>14750</v>
      </c>
      <c r="K794" s="12"/>
      <c r="L794" s="12"/>
      <c r="M794" s="12"/>
      <c r="N794" s="12"/>
      <c r="O794" s="12"/>
      <c r="P794" s="12"/>
      <c r="Q794" s="12"/>
      <c r="R794" s="12"/>
      <c r="S794" s="12"/>
      <c r="T794" s="12"/>
      <c r="U794" s="12"/>
      <c r="V794" s="12"/>
      <c r="W794" s="12"/>
      <c r="X794" s="12"/>
      <c r="Y794" s="12"/>
      <c r="Z794" s="12"/>
      <c r="AA794" s="12"/>
      <c r="AB794" s="12"/>
      <c r="AC794" s="12"/>
      <c r="AD794" s="12"/>
      <c r="BD794" s="13">
        <v>42370</v>
      </c>
      <c r="BE794" s="13">
        <v>42643</v>
      </c>
      <c r="BF794" s="12"/>
      <c r="BG794" s="12" t="s">
        <v>312</v>
      </c>
      <c r="BH794" s="14">
        <v>1714</v>
      </c>
      <c r="BI794" s="12" t="s">
        <v>12446</v>
      </c>
      <c r="BJ794" s="12" t="s">
        <v>8849</v>
      </c>
      <c r="BK794" s="12" t="s">
        <v>12447</v>
      </c>
      <c r="BL794" s="12" t="s">
        <v>12448</v>
      </c>
      <c r="BM794" s="12" t="s">
        <v>12449</v>
      </c>
      <c r="BN794" s="12" t="s">
        <v>12450</v>
      </c>
      <c r="BO794" s="12" t="s">
        <v>319</v>
      </c>
      <c r="BP794" s="12" t="s">
        <v>320</v>
      </c>
      <c r="BQ794" s="12" t="s">
        <v>319</v>
      </c>
      <c r="BR794" s="12" t="s">
        <v>12451</v>
      </c>
      <c r="BS794" s="12" t="s">
        <v>357</v>
      </c>
      <c r="BT794" s="12" t="s">
        <v>12452</v>
      </c>
      <c r="BU794" s="12" t="s">
        <v>12453</v>
      </c>
      <c r="BV794" s="14">
        <v>300</v>
      </c>
      <c r="BW794" s="14">
        <v>200</v>
      </c>
      <c r="BX794" s="14">
        <v>500</v>
      </c>
      <c r="BY794" s="14">
        <v>200</v>
      </c>
      <c r="BZ794" s="14">
        <v>200</v>
      </c>
      <c r="CA794" s="14">
        <v>400</v>
      </c>
      <c r="CB794" s="12"/>
      <c r="CD794" s="14"/>
      <c r="CE794" s="14"/>
      <c r="CF794" s="14"/>
      <c r="CG794" s="14"/>
      <c r="CH794" s="14"/>
      <c r="CI794" s="14"/>
      <c r="CJ794" s="12"/>
      <c r="CK794" s="14"/>
      <c r="CL794" s="16"/>
      <c r="CM794" s="14"/>
      <c r="CN794" s="12"/>
      <c r="CO794" s="14"/>
      <c r="CP794" s="16"/>
      <c r="CQ794" s="14"/>
      <c r="CR794" s="12"/>
      <c r="CS794" s="14"/>
      <c r="CT794" s="16"/>
      <c r="CU794" s="14"/>
      <c r="CV794" s="12"/>
      <c r="CW794" s="14"/>
      <c r="CX794" s="16"/>
      <c r="CY794" s="14"/>
      <c r="CZ794" s="12"/>
      <c r="DA794" s="14"/>
      <c r="DB794" s="16"/>
      <c r="DC794" s="14"/>
      <c r="DD794" s="12"/>
      <c r="DE794" s="14"/>
      <c r="DF794" s="16"/>
      <c r="DG794" s="14"/>
      <c r="DH794" s="12"/>
      <c r="DI794" s="14"/>
      <c r="DJ794" s="16"/>
      <c r="DK794" s="14"/>
      <c r="DL794" s="12"/>
      <c r="DM794" s="14"/>
      <c r="DN794" s="16"/>
      <c r="DO794" s="14"/>
      <c r="DP794" s="12"/>
      <c r="DQ794" s="14"/>
      <c r="DR794" s="16"/>
      <c r="DS794" s="14"/>
      <c r="DT794" s="12"/>
      <c r="DU794" s="14"/>
      <c r="DV794" s="16"/>
      <c r="DW794" s="14"/>
      <c r="DX794" s="12"/>
      <c r="DY794" s="14"/>
      <c r="DZ794" s="16"/>
      <c r="EA794" s="14"/>
      <c r="EB794" s="12"/>
      <c r="EC794" s="14"/>
      <c r="ED794" s="16"/>
      <c r="EE794" s="14"/>
      <c r="EF794" s="12"/>
      <c r="EG794" s="12"/>
      <c r="EH794" s="14"/>
      <c r="EI794" s="16"/>
      <c r="EJ794" s="14"/>
      <c r="EK794" s="14">
        <v>60</v>
      </c>
      <c r="EL794" s="14">
        <v>180</v>
      </c>
      <c r="EM794" s="14">
        <v>240</v>
      </c>
      <c r="EN794" s="14">
        <v>80</v>
      </c>
      <c r="EO794" s="14">
        <v>120</v>
      </c>
      <c r="EP794" s="14">
        <v>200</v>
      </c>
      <c r="EQ794" s="12" t="s">
        <v>319</v>
      </c>
      <c r="ER794" s="14"/>
      <c r="ES794" s="16"/>
      <c r="ET794" s="14"/>
      <c r="EU794" s="11" t="s">
        <v>319</v>
      </c>
      <c r="EV794" s="14"/>
      <c r="EW794" s="16"/>
      <c r="EX794" s="14"/>
      <c r="EY794" s="12" t="s">
        <v>319</v>
      </c>
      <c r="EZ794" s="14"/>
      <c r="FA794" s="16"/>
      <c r="FB794" s="14"/>
      <c r="FC794" s="12" t="s">
        <v>319</v>
      </c>
      <c r="FD794" s="14"/>
      <c r="FE794" s="16"/>
      <c r="FF794" s="14"/>
      <c r="FG794" s="12" t="s">
        <v>319</v>
      </c>
      <c r="FH794" s="14"/>
      <c r="FI794" s="16"/>
      <c r="FJ794" s="14"/>
      <c r="FK794" s="12" t="s">
        <v>319</v>
      </c>
      <c r="FL794" s="14"/>
      <c r="FM794" s="16"/>
      <c r="FN794" s="14"/>
      <c r="FO794" s="12" t="s">
        <v>319</v>
      </c>
      <c r="FP794" s="14"/>
      <c r="FQ794" s="16"/>
      <c r="FR794" s="14"/>
      <c r="FS794" s="12" t="s">
        <v>319</v>
      </c>
      <c r="FT794" s="14"/>
      <c r="FU794" s="16"/>
      <c r="FV794" s="14"/>
      <c r="FW794" s="12" t="s">
        <v>319</v>
      </c>
      <c r="FX794" s="14"/>
      <c r="FY794" s="16"/>
      <c r="FZ794" s="14"/>
      <c r="GA794" s="11" t="s">
        <v>320</v>
      </c>
      <c r="GB794" s="14">
        <v>240</v>
      </c>
      <c r="GC794" s="16">
        <v>0.25</v>
      </c>
      <c r="GD794" s="14">
        <v>200</v>
      </c>
      <c r="GE794" s="12" t="s">
        <v>319</v>
      </c>
      <c r="GF794" s="14"/>
      <c r="GG794" s="16"/>
      <c r="GH794" s="14"/>
      <c r="GI794" s="12" t="s">
        <v>319</v>
      </c>
      <c r="GJ794" s="14"/>
      <c r="GK794" s="16"/>
      <c r="GL794" s="14"/>
      <c r="GM794" s="12" t="s">
        <v>319</v>
      </c>
      <c r="GN794" s="14"/>
      <c r="GO794" s="16"/>
      <c r="GP794" s="14"/>
      <c r="GQ794" s="12" t="s">
        <v>319</v>
      </c>
      <c r="GR794" s="14"/>
      <c r="GS794" s="16"/>
      <c r="GT794" s="14"/>
      <c r="GU794" s="12" t="s">
        <v>319</v>
      </c>
      <c r="GV794" s="14"/>
      <c r="GW794" s="16"/>
      <c r="GX794" s="14"/>
      <c r="GY794" s="12" t="s">
        <v>319</v>
      </c>
      <c r="GZ794" s="14"/>
      <c r="HA794" s="16"/>
      <c r="HB794" s="14"/>
      <c r="HC794" s="12"/>
      <c r="HD794" s="12" t="s">
        <v>319</v>
      </c>
      <c r="HE794" s="14"/>
      <c r="HF794" s="16"/>
      <c r="HG794" s="14"/>
      <c r="HH794" s="12" t="s">
        <v>319</v>
      </c>
      <c r="HI794" s="12"/>
      <c r="HJ794" s="12"/>
      <c r="HK794" s="12" t="s">
        <v>319</v>
      </c>
      <c r="HL794" s="12"/>
      <c r="HM794" s="12"/>
      <c r="HN794" s="12"/>
      <c r="HO794" s="12"/>
      <c r="HP794" s="12" t="s">
        <v>330</v>
      </c>
      <c r="HQ794" s="12" t="s">
        <v>319</v>
      </c>
      <c r="HR794" s="12" t="s">
        <v>319</v>
      </c>
      <c r="HS794" s="12" t="s">
        <v>319</v>
      </c>
      <c r="HT794" s="12" t="s">
        <v>320</v>
      </c>
      <c r="HU794" s="12" t="s">
        <v>320</v>
      </c>
      <c r="HV794" s="12" t="s">
        <v>319</v>
      </c>
      <c r="HW794" s="12" t="s">
        <v>320</v>
      </c>
      <c r="HX794" s="12"/>
      <c r="HY794" s="12"/>
      <c r="HZ794" s="12" t="s">
        <v>363</v>
      </c>
      <c r="IA794" s="12"/>
      <c r="IB794" s="12" t="s">
        <v>396</v>
      </c>
      <c r="IC794" s="12"/>
      <c r="ID794" s="12" t="s">
        <v>334</v>
      </c>
      <c r="IE794" s="12" t="s">
        <v>335</v>
      </c>
      <c r="IF794" s="12" t="s">
        <v>319</v>
      </c>
      <c r="IG794" s="12" t="s">
        <v>320</v>
      </c>
      <c r="IH794" s="12" t="s">
        <v>320</v>
      </c>
      <c r="II794" s="12" t="s">
        <v>320</v>
      </c>
      <c r="IJ794" s="12" t="str">
        <f t="shared" si="517"/>
        <v>1. Neutral</v>
      </c>
      <c r="IK794" s="12">
        <f t="shared" si="518"/>
        <v>3</v>
      </c>
      <c r="IL794" s="12" t="s">
        <v>336</v>
      </c>
      <c r="IM794" s="12" t="s">
        <v>320</v>
      </c>
      <c r="IN794" s="12" t="s">
        <v>320</v>
      </c>
      <c r="IO794" s="12" t="s">
        <v>320</v>
      </c>
      <c r="IP794" s="12" t="s">
        <v>320</v>
      </c>
      <c r="IQ794" s="12" t="str">
        <f t="shared" si="519"/>
        <v>2. Accommodating</v>
      </c>
      <c r="IR794" s="12">
        <f t="shared" si="520"/>
        <v>4</v>
      </c>
      <c r="IS794" s="12" t="s">
        <v>337</v>
      </c>
      <c r="IT794" s="12" t="s">
        <v>319</v>
      </c>
      <c r="IU794" s="12" t="s">
        <v>319</v>
      </c>
      <c r="IV794" s="12" t="s">
        <v>320</v>
      </c>
      <c r="IW794" s="11" t="str">
        <f t="shared" si="521"/>
        <v>1. Neutral</v>
      </c>
      <c r="IX794" s="12">
        <f t="shared" si="522"/>
        <v>1</v>
      </c>
      <c r="IY794" s="12" t="s">
        <v>338</v>
      </c>
      <c r="IZ794" s="12" t="s">
        <v>339</v>
      </c>
      <c r="JA794" s="12"/>
      <c r="JB794" s="12" t="s">
        <v>433</v>
      </c>
      <c r="JC794" s="12" t="s">
        <v>687</v>
      </c>
      <c r="JD794" s="12" t="s">
        <v>623</v>
      </c>
      <c r="JE794" s="12" t="s">
        <v>420</v>
      </c>
      <c r="JF794" s="12"/>
      <c r="JG794" s="12"/>
      <c r="JH794" s="12"/>
      <c r="JI794" s="12"/>
      <c r="JJ794" s="12"/>
      <c r="JK794" s="12"/>
      <c r="JL794" s="12"/>
      <c r="JM794" s="12"/>
      <c r="JN794" s="12"/>
      <c r="JO794" s="12"/>
      <c r="JP794" s="15">
        <f t="shared" si="523"/>
        <v>240</v>
      </c>
      <c r="JQ794" s="15">
        <f t="shared" si="524"/>
        <v>200</v>
      </c>
      <c r="JR794" s="279">
        <f t="shared" si="525"/>
        <v>0.83333333333333337</v>
      </c>
      <c r="JS794" s="17">
        <f t="shared" si="526"/>
        <v>0.25</v>
      </c>
      <c r="JT794" s="18">
        <f t="shared" si="527"/>
        <v>0.4</v>
      </c>
      <c r="JU794" s="280">
        <f t="shared" si="528"/>
        <v>60</v>
      </c>
      <c r="JV794" s="280">
        <f t="shared" si="529"/>
        <v>80</v>
      </c>
      <c r="JW794" s="319" t="str">
        <f t="shared" si="530"/>
        <v/>
      </c>
      <c r="JX794" s="15">
        <f t="shared" si="531"/>
        <v>0</v>
      </c>
      <c r="JY794" s="15">
        <f t="shared" si="532"/>
        <v>0</v>
      </c>
      <c r="JZ794" s="19" t="str">
        <f t="shared" si="533"/>
        <v/>
      </c>
      <c r="KA794" s="52" t="str">
        <f t="shared" si="534"/>
        <v/>
      </c>
      <c r="KB794" s="15">
        <f t="shared" si="535"/>
        <v>0</v>
      </c>
      <c r="KC794" s="15">
        <f t="shared" si="536"/>
        <v>0</v>
      </c>
      <c r="KD794" s="20" t="str">
        <f t="shared" si="537"/>
        <v/>
      </c>
      <c r="KE794" s="52" t="str">
        <f t="shared" si="538"/>
        <v/>
      </c>
      <c r="KF794" s="15">
        <f t="shared" si="539"/>
        <v>0</v>
      </c>
      <c r="KG794" s="15">
        <f t="shared" si="540"/>
        <v>0</v>
      </c>
      <c r="KH794" s="21" t="str">
        <f t="shared" si="541"/>
        <v/>
      </c>
      <c r="KI794" s="52" t="str">
        <f t="shared" si="542"/>
        <v/>
      </c>
      <c r="KJ794" s="15">
        <f t="shared" si="543"/>
        <v>0</v>
      </c>
      <c r="KK794" s="15">
        <f t="shared" si="544"/>
        <v>0</v>
      </c>
      <c r="KL794" s="19" t="str">
        <f t="shared" si="545"/>
        <v/>
      </c>
      <c r="KM794" s="52" t="str">
        <f t="shared" si="546"/>
        <v/>
      </c>
      <c r="KN794" s="22">
        <f t="shared" si="547"/>
        <v>0</v>
      </c>
      <c r="KO794" s="22">
        <f t="shared" si="548"/>
        <v>0</v>
      </c>
      <c r="KP794" s="19" t="str">
        <f t="shared" si="549"/>
        <v/>
      </c>
      <c r="KQ794" s="11" t="str">
        <f t="shared" si="550"/>
        <v>1. Neutral</v>
      </c>
      <c r="KR794" s="11" t="str">
        <f t="shared" si="551"/>
        <v>2. Accommodating</v>
      </c>
      <c r="KS794" s="11" t="str">
        <f t="shared" si="552"/>
        <v>1. Neutral</v>
      </c>
      <c r="KT794" s="11" t="str">
        <f t="shared" si="553"/>
        <v>It did not develop any specific innovation</v>
      </c>
      <c r="KU794" s="11" t="str">
        <f t="shared" si="554"/>
        <v>Moderate advocacy</v>
      </c>
      <c r="KV794" s="11" t="str">
        <f t="shared" si="555"/>
        <v>It linked and worked with strategic alliances and partners to take tested and effective solutions to scale</v>
      </c>
      <c r="KW794" s="11" t="str">
        <f t="shared" si="556"/>
        <v>Thailand - Power Teen V</v>
      </c>
      <c r="KX794" s="11" t="str">
        <f t="shared" si="557"/>
        <v>Power Teen V</v>
      </c>
      <c r="KY794" s="11" t="str">
        <f t="shared" si="558"/>
        <v>Thailand</v>
      </c>
      <c r="KZ794" s="12">
        <v>795</v>
      </c>
    </row>
    <row r="795" spans="1:312" x14ac:dyDescent="0.3">
      <c r="A795" s="12" t="s">
        <v>12294</v>
      </c>
      <c r="B795" s="12" t="s">
        <v>306</v>
      </c>
      <c r="C795" s="12">
        <v>3666</v>
      </c>
      <c r="D795" s="43" t="s">
        <v>12454</v>
      </c>
      <c r="E795" s="277" t="str">
        <f t="shared" si="516"/>
        <v>Thailand</v>
      </c>
      <c r="F795" s="12" t="s">
        <v>12455</v>
      </c>
      <c r="G795" s="12" t="s">
        <v>12297</v>
      </c>
      <c r="H795" s="12" t="s">
        <v>310</v>
      </c>
      <c r="I795" s="12" t="s">
        <v>12298</v>
      </c>
      <c r="J795" s="281" t="s">
        <v>14750</v>
      </c>
      <c r="K795" s="12"/>
      <c r="L795" s="12"/>
      <c r="M795" s="12"/>
      <c r="N795" s="12"/>
      <c r="O795" s="12"/>
      <c r="P795" s="12"/>
      <c r="Q795" s="12"/>
      <c r="R795" s="12"/>
      <c r="S795" s="12"/>
      <c r="T795" s="12"/>
      <c r="U795" s="12"/>
      <c r="V795" s="12"/>
      <c r="W795" s="12"/>
      <c r="X795" s="12"/>
      <c r="Y795" s="12"/>
      <c r="Z795" s="12"/>
      <c r="AA795" s="12"/>
      <c r="AB795" s="12"/>
      <c r="AC795" s="12"/>
      <c r="AD795" s="12"/>
      <c r="BD795" s="13">
        <v>42370</v>
      </c>
      <c r="BE795" s="13">
        <v>42643</v>
      </c>
      <c r="BF795" s="12"/>
      <c r="BG795" s="12" t="s">
        <v>312</v>
      </c>
      <c r="BH795" s="14">
        <v>3429</v>
      </c>
      <c r="BI795" s="12" t="s">
        <v>12456</v>
      </c>
      <c r="BJ795" s="12" t="s">
        <v>8849</v>
      </c>
      <c r="BK795" s="12" t="s">
        <v>12447</v>
      </c>
      <c r="BL795" s="12"/>
      <c r="BM795" s="12"/>
      <c r="BN795" s="12"/>
      <c r="BO795" s="12" t="s">
        <v>319</v>
      </c>
      <c r="BP795" s="12" t="s">
        <v>320</v>
      </c>
      <c r="BQ795" s="12" t="s">
        <v>319</v>
      </c>
      <c r="BR795" s="12" t="s">
        <v>12454</v>
      </c>
      <c r="BS795" s="12" t="s">
        <v>357</v>
      </c>
      <c r="BT795" s="12" t="s">
        <v>12457</v>
      </c>
      <c r="BU795" s="12" t="s">
        <v>12458</v>
      </c>
      <c r="BV795" s="14">
        <v>16</v>
      </c>
      <c r="BW795" s="14">
        <v>8</v>
      </c>
      <c r="BX795" s="14">
        <v>24</v>
      </c>
      <c r="BY795" s="14">
        <v>4</v>
      </c>
      <c r="BZ795" s="14">
        <v>5</v>
      </c>
      <c r="CA795" s="14">
        <v>9</v>
      </c>
      <c r="CB795" s="12"/>
      <c r="CD795" s="14"/>
      <c r="CE795" s="14"/>
      <c r="CF795" s="14"/>
      <c r="CG795" s="14"/>
      <c r="CH795" s="14"/>
      <c r="CI795" s="14"/>
      <c r="CJ795" s="12"/>
      <c r="CK795" s="14"/>
      <c r="CL795" s="16"/>
      <c r="CM795" s="14"/>
      <c r="CN795" s="12"/>
      <c r="CO795" s="14"/>
      <c r="CP795" s="16"/>
      <c r="CQ795" s="14"/>
      <c r="CR795" s="12"/>
      <c r="CS795" s="14"/>
      <c r="CT795" s="16"/>
      <c r="CU795" s="14"/>
      <c r="CV795" s="12"/>
      <c r="CW795" s="14"/>
      <c r="CX795" s="16"/>
      <c r="CY795" s="14"/>
      <c r="CZ795" s="12"/>
      <c r="DA795" s="14"/>
      <c r="DB795" s="16"/>
      <c r="DC795" s="14"/>
      <c r="DD795" s="12"/>
      <c r="DE795" s="14"/>
      <c r="DF795" s="16"/>
      <c r="DG795" s="14"/>
      <c r="DH795" s="12"/>
      <c r="DI795" s="14"/>
      <c r="DJ795" s="16"/>
      <c r="DK795" s="14"/>
      <c r="DL795" s="12"/>
      <c r="DM795" s="14"/>
      <c r="DN795" s="16"/>
      <c r="DO795" s="14"/>
      <c r="DP795" s="12"/>
      <c r="DQ795" s="14"/>
      <c r="DR795" s="16"/>
      <c r="DS795" s="14"/>
      <c r="DT795" s="12"/>
      <c r="DU795" s="14"/>
      <c r="DV795" s="16"/>
      <c r="DW795" s="14"/>
      <c r="DX795" s="12"/>
      <c r="DY795" s="14"/>
      <c r="DZ795" s="16"/>
      <c r="EA795" s="14"/>
      <c r="EB795" s="12"/>
      <c r="EC795" s="14"/>
      <c r="ED795" s="16"/>
      <c r="EE795" s="14"/>
      <c r="EF795" s="12"/>
      <c r="EG795" s="12"/>
      <c r="EH795" s="14"/>
      <c r="EI795" s="16"/>
      <c r="EJ795" s="14"/>
      <c r="EK795" s="14">
        <v>85</v>
      </c>
      <c r="EL795" s="14">
        <v>40</v>
      </c>
      <c r="EM795" s="14">
        <v>125</v>
      </c>
      <c r="EN795" s="14">
        <v>120</v>
      </c>
      <c r="EO795" s="14">
        <v>60</v>
      </c>
      <c r="EP795" s="14">
        <v>180</v>
      </c>
      <c r="EQ795" s="12" t="s">
        <v>319</v>
      </c>
      <c r="ER795" s="14"/>
      <c r="ES795" s="16"/>
      <c r="ET795" s="14"/>
      <c r="EU795" s="11" t="s">
        <v>319</v>
      </c>
      <c r="EV795" s="14"/>
      <c r="EW795" s="16"/>
      <c r="EX795" s="14"/>
      <c r="EY795" s="12" t="s">
        <v>319</v>
      </c>
      <c r="EZ795" s="14"/>
      <c r="FA795" s="16"/>
      <c r="FB795" s="14"/>
      <c r="FC795" s="12" t="s">
        <v>319</v>
      </c>
      <c r="FD795" s="14"/>
      <c r="FE795" s="16"/>
      <c r="FF795" s="14"/>
      <c r="FG795" s="12" t="s">
        <v>319</v>
      </c>
      <c r="FH795" s="14"/>
      <c r="FI795" s="16"/>
      <c r="FJ795" s="14"/>
      <c r="FK795" s="12" t="s">
        <v>319</v>
      </c>
      <c r="FL795" s="14"/>
      <c r="FM795" s="16"/>
      <c r="FN795" s="14"/>
      <c r="FO795" s="12" t="s">
        <v>319</v>
      </c>
      <c r="FP795" s="14"/>
      <c r="FQ795" s="16"/>
      <c r="FR795" s="14"/>
      <c r="FS795" s="12" t="s">
        <v>319</v>
      </c>
      <c r="FT795" s="14">
        <v>0</v>
      </c>
      <c r="FU795" s="16">
        <v>0</v>
      </c>
      <c r="FV795" s="14">
        <v>0</v>
      </c>
      <c r="FW795" s="12" t="s">
        <v>319</v>
      </c>
      <c r="FX795" s="14"/>
      <c r="FY795" s="16"/>
      <c r="FZ795" s="14"/>
      <c r="GA795" s="11" t="s">
        <v>320</v>
      </c>
      <c r="GB795" s="14">
        <v>125</v>
      </c>
      <c r="GC795" s="16">
        <v>0.68</v>
      </c>
      <c r="GD795" s="14">
        <v>180</v>
      </c>
      <c r="GE795" s="12" t="s">
        <v>319</v>
      </c>
      <c r="GF795" s="14"/>
      <c r="GG795" s="16"/>
      <c r="GH795" s="14"/>
      <c r="GI795" s="12" t="s">
        <v>319</v>
      </c>
      <c r="GJ795" s="14"/>
      <c r="GK795" s="16"/>
      <c r="GL795" s="14"/>
      <c r="GM795" s="12" t="s">
        <v>319</v>
      </c>
      <c r="GN795" s="14"/>
      <c r="GO795" s="16"/>
      <c r="GP795" s="14"/>
      <c r="GQ795" s="12" t="s">
        <v>319</v>
      </c>
      <c r="GR795" s="14"/>
      <c r="GS795" s="16"/>
      <c r="GT795" s="14"/>
      <c r="GU795" s="12" t="s">
        <v>319</v>
      </c>
      <c r="GV795" s="14"/>
      <c r="GW795" s="16"/>
      <c r="GX795" s="14"/>
      <c r="GY795" s="12" t="s">
        <v>319</v>
      </c>
      <c r="GZ795" s="14"/>
      <c r="HA795" s="16"/>
      <c r="HB795" s="14"/>
      <c r="HC795" s="12"/>
      <c r="HD795" s="12" t="s">
        <v>319</v>
      </c>
      <c r="HE795" s="14"/>
      <c r="HF795" s="16"/>
      <c r="HG795" s="14"/>
      <c r="HH795" s="12" t="s">
        <v>319</v>
      </c>
      <c r="HI795" s="12"/>
      <c r="HJ795" s="12"/>
      <c r="HK795" s="12" t="s">
        <v>319</v>
      </c>
      <c r="HL795" s="12"/>
      <c r="HM795" s="12"/>
      <c r="HN795" s="12"/>
      <c r="HO795" s="12"/>
      <c r="HP795" s="12" t="s">
        <v>418</v>
      </c>
      <c r="HQ795" s="12" t="s">
        <v>319</v>
      </c>
      <c r="HR795" s="12" t="s">
        <v>319</v>
      </c>
      <c r="HS795" s="12" t="s">
        <v>319</v>
      </c>
      <c r="HT795" s="12" t="s">
        <v>319</v>
      </c>
      <c r="HU795" s="12" t="s">
        <v>319</v>
      </c>
      <c r="HV795" s="12" t="s">
        <v>319</v>
      </c>
      <c r="HW795" s="12" t="s">
        <v>319</v>
      </c>
      <c r="HX795" s="12"/>
      <c r="HY795" s="12"/>
      <c r="HZ795" s="12" t="s">
        <v>363</v>
      </c>
      <c r="IA795" s="12"/>
      <c r="IB795" s="12" t="s">
        <v>396</v>
      </c>
      <c r="IC795" s="12"/>
      <c r="ID795" s="12" t="s">
        <v>334</v>
      </c>
      <c r="IE795" s="12" t="s">
        <v>335</v>
      </c>
      <c r="IF795" s="12" t="s">
        <v>320</v>
      </c>
      <c r="IG795" s="12" t="s">
        <v>320</v>
      </c>
      <c r="IH795" s="12" t="s">
        <v>320</v>
      </c>
      <c r="II795" s="12" t="s">
        <v>320</v>
      </c>
      <c r="IJ795" s="12" t="str">
        <f t="shared" si="517"/>
        <v>2. Sensitive</v>
      </c>
      <c r="IK795" s="12">
        <f t="shared" si="518"/>
        <v>4</v>
      </c>
      <c r="IL795" s="12" t="s">
        <v>336</v>
      </c>
      <c r="IM795" s="12" t="s">
        <v>320</v>
      </c>
      <c r="IN795" s="12" t="s">
        <v>320</v>
      </c>
      <c r="IO795" s="12" t="s">
        <v>320</v>
      </c>
      <c r="IP795" s="12" t="s">
        <v>320</v>
      </c>
      <c r="IQ795" s="12" t="str">
        <f t="shared" si="519"/>
        <v>2. Accommodating</v>
      </c>
      <c r="IR795" s="12">
        <f t="shared" si="520"/>
        <v>4</v>
      </c>
      <c r="IS795" s="12" t="s">
        <v>337</v>
      </c>
      <c r="IT795" s="12" t="s">
        <v>319</v>
      </c>
      <c r="IU795" s="12" t="s">
        <v>319</v>
      </c>
      <c r="IV795" s="12" t="s">
        <v>320</v>
      </c>
      <c r="IW795" s="11" t="str">
        <f t="shared" si="521"/>
        <v>1. Neutral</v>
      </c>
      <c r="IX795" s="12">
        <f t="shared" si="522"/>
        <v>1</v>
      </c>
      <c r="IY795" s="12" t="s">
        <v>338</v>
      </c>
      <c r="IZ795" s="12" t="s">
        <v>339</v>
      </c>
      <c r="JA795" s="12"/>
      <c r="JB795" s="12" t="s">
        <v>433</v>
      </c>
      <c r="JC795" s="12" t="s">
        <v>687</v>
      </c>
      <c r="JD795" s="12"/>
      <c r="JE795" s="12" t="s">
        <v>420</v>
      </c>
      <c r="JF795" s="12"/>
      <c r="JG795" s="12" t="s">
        <v>12459</v>
      </c>
      <c r="JH795" s="12"/>
      <c r="JI795" s="12"/>
      <c r="JJ795" s="12"/>
      <c r="JK795" s="12"/>
      <c r="JL795" s="12"/>
      <c r="JM795" s="12"/>
      <c r="JN795" s="12"/>
      <c r="JO795" s="12"/>
      <c r="JP795" s="15">
        <f t="shared" si="523"/>
        <v>125</v>
      </c>
      <c r="JQ795" s="15">
        <f t="shared" si="524"/>
        <v>180</v>
      </c>
      <c r="JR795" s="279">
        <f t="shared" si="525"/>
        <v>1.44</v>
      </c>
      <c r="JS795" s="17">
        <f t="shared" si="526"/>
        <v>0.68</v>
      </c>
      <c r="JT795" s="18">
        <f t="shared" si="527"/>
        <v>0.66666666666666663</v>
      </c>
      <c r="JU795" s="280">
        <f t="shared" si="528"/>
        <v>85</v>
      </c>
      <c r="JV795" s="280">
        <f t="shared" si="529"/>
        <v>120</v>
      </c>
      <c r="JW795" s="319" t="str">
        <f t="shared" si="530"/>
        <v/>
      </c>
      <c r="JX795" s="15">
        <f t="shared" si="531"/>
        <v>0</v>
      </c>
      <c r="JY795" s="15">
        <f t="shared" si="532"/>
        <v>0</v>
      </c>
      <c r="JZ795" s="19" t="str">
        <f t="shared" si="533"/>
        <v/>
      </c>
      <c r="KA795" s="52" t="str">
        <f t="shared" si="534"/>
        <v/>
      </c>
      <c r="KB795" s="15">
        <f t="shared" si="535"/>
        <v>0</v>
      </c>
      <c r="KC795" s="15">
        <f t="shared" si="536"/>
        <v>0</v>
      </c>
      <c r="KD795" s="20" t="str">
        <f t="shared" si="537"/>
        <v/>
      </c>
      <c r="KE795" s="52" t="str">
        <f t="shared" si="538"/>
        <v/>
      </c>
      <c r="KF795" s="15">
        <f t="shared" si="539"/>
        <v>0</v>
      </c>
      <c r="KG795" s="15">
        <f t="shared" si="540"/>
        <v>0</v>
      </c>
      <c r="KH795" s="21" t="str">
        <f t="shared" si="541"/>
        <v/>
      </c>
      <c r="KI795" s="52" t="str">
        <f t="shared" si="542"/>
        <v/>
      </c>
      <c r="KJ795" s="15">
        <f t="shared" si="543"/>
        <v>0</v>
      </c>
      <c r="KK795" s="15">
        <f t="shared" si="544"/>
        <v>0</v>
      </c>
      <c r="KL795" s="19" t="str">
        <f t="shared" si="545"/>
        <v/>
      </c>
      <c r="KM795" s="52" t="str">
        <f t="shared" si="546"/>
        <v/>
      </c>
      <c r="KN795" s="22">
        <f t="shared" si="547"/>
        <v>0</v>
      </c>
      <c r="KO795" s="22">
        <f t="shared" si="548"/>
        <v>0</v>
      </c>
      <c r="KP795" s="19" t="str">
        <f t="shared" si="549"/>
        <v/>
      </c>
      <c r="KQ795" s="11" t="str">
        <f t="shared" si="550"/>
        <v>2. Sensitive</v>
      </c>
      <c r="KR795" s="11" t="str">
        <f t="shared" si="551"/>
        <v>2. Accommodating</v>
      </c>
      <c r="KS795" s="11" t="str">
        <f t="shared" si="552"/>
        <v>1. Neutral</v>
      </c>
      <c r="KT795" s="11" t="str">
        <f t="shared" si="553"/>
        <v>It did not develop any specific innovation</v>
      </c>
      <c r="KU795" s="11" t="str">
        <f t="shared" si="554"/>
        <v>Little or no advocacy</v>
      </c>
      <c r="KV795" s="11" t="str">
        <f t="shared" si="555"/>
        <v>It linked and worked with strategic alliances and partners to take tested and effective solutions to scale</v>
      </c>
      <c r="KW795" s="11" t="str">
        <f t="shared" si="556"/>
        <v>Thailand - Promote Understanding of HIV Prevention among Women Migrant Workers</v>
      </c>
      <c r="KX795" s="11" t="str">
        <f t="shared" si="557"/>
        <v>Promote Understanding of HIV Prevention among Women Migrant Workers</v>
      </c>
      <c r="KY795" s="11" t="str">
        <f t="shared" si="558"/>
        <v>Thailand</v>
      </c>
      <c r="KZ795" s="12">
        <v>796</v>
      </c>
    </row>
    <row r="796" spans="1:312" x14ac:dyDescent="0.3">
      <c r="A796" s="12" t="s">
        <v>12294</v>
      </c>
      <c r="B796" s="12" t="s">
        <v>306</v>
      </c>
      <c r="C796" s="12">
        <v>3673</v>
      </c>
      <c r="D796" s="43" t="s">
        <v>12460</v>
      </c>
      <c r="E796" s="277" t="str">
        <f t="shared" si="516"/>
        <v>Thailand</v>
      </c>
      <c r="F796" s="12" t="s">
        <v>12461</v>
      </c>
      <c r="G796" s="12" t="s">
        <v>12297</v>
      </c>
      <c r="H796" s="12" t="s">
        <v>383</v>
      </c>
      <c r="I796" s="12" t="s">
        <v>384</v>
      </c>
      <c r="J796" s="281" t="s">
        <v>12462</v>
      </c>
      <c r="K796" s="12"/>
      <c r="L796" s="12"/>
      <c r="M796" s="12"/>
      <c r="N796" s="12"/>
      <c r="O796" s="12"/>
      <c r="P796" s="12"/>
      <c r="Q796" s="12"/>
      <c r="R796" s="12"/>
      <c r="S796" s="12"/>
      <c r="T796" s="12"/>
      <c r="U796" s="12"/>
      <c r="V796" s="12"/>
      <c r="W796" s="12"/>
      <c r="X796" s="12"/>
      <c r="Y796" s="12"/>
      <c r="Z796" s="12"/>
      <c r="AA796" s="12"/>
      <c r="AB796" s="12"/>
      <c r="AC796" s="12"/>
      <c r="AD796" s="12"/>
      <c r="BD796" s="13">
        <v>42401</v>
      </c>
      <c r="BE796" s="13">
        <v>42735</v>
      </c>
      <c r="BF796" s="13">
        <v>42825</v>
      </c>
      <c r="BG796" s="12" t="s">
        <v>312</v>
      </c>
      <c r="BH796" s="14">
        <v>148290</v>
      </c>
      <c r="BI796" s="12" t="s">
        <v>12299</v>
      </c>
      <c r="BJ796" s="12" t="s">
        <v>12300</v>
      </c>
      <c r="BK796" s="12" t="s">
        <v>12301</v>
      </c>
      <c r="BL796" s="12" t="s">
        <v>12347</v>
      </c>
      <c r="BM796" s="12" t="s">
        <v>12321</v>
      </c>
      <c r="BN796" s="12" t="s">
        <v>12348</v>
      </c>
      <c r="BO796" s="12" t="s">
        <v>319</v>
      </c>
      <c r="BP796" s="12" t="s">
        <v>320</v>
      </c>
      <c r="BQ796" s="12" t="s">
        <v>319</v>
      </c>
      <c r="BR796" s="12" t="s">
        <v>12463</v>
      </c>
      <c r="BS796" s="12" t="s">
        <v>357</v>
      </c>
      <c r="BT796" s="12" t="s">
        <v>12464</v>
      </c>
      <c r="BU796" s="12" t="s">
        <v>12465</v>
      </c>
      <c r="BV796" s="14">
        <v>1432</v>
      </c>
      <c r="BW796" s="14">
        <v>1172</v>
      </c>
      <c r="BX796" s="14">
        <v>2604</v>
      </c>
      <c r="BY796" s="14">
        <v>980</v>
      </c>
      <c r="BZ796" s="14">
        <v>802</v>
      </c>
      <c r="CA796" s="14">
        <v>1782</v>
      </c>
      <c r="CB796" s="12"/>
      <c r="CD796" s="14"/>
      <c r="CE796" s="14"/>
      <c r="CF796" s="14"/>
      <c r="CG796" s="14"/>
      <c r="CH796" s="14"/>
      <c r="CI796" s="14"/>
      <c r="CJ796" s="12"/>
      <c r="CK796" s="14"/>
      <c r="CL796" s="16"/>
      <c r="CM796" s="14"/>
      <c r="CN796" s="12"/>
      <c r="CO796" s="14"/>
      <c r="CP796" s="16"/>
      <c r="CQ796" s="14"/>
      <c r="CR796" s="12"/>
      <c r="CS796" s="14"/>
      <c r="CT796" s="16"/>
      <c r="CU796" s="14"/>
      <c r="CV796" s="12"/>
      <c r="CW796" s="14"/>
      <c r="CX796" s="16"/>
      <c r="CY796" s="14"/>
      <c r="CZ796" s="12"/>
      <c r="DA796" s="14"/>
      <c r="DB796" s="16"/>
      <c r="DC796" s="14"/>
      <c r="DD796" s="12"/>
      <c r="DE796" s="14"/>
      <c r="DF796" s="16"/>
      <c r="DG796" s="14"/>
      <c r="DH796" s="12"/>
      <c r="DI796" s="14"/>
      <c r="DJ796" s="16"/>
      <c r="DK796" s="14"/>
      <c r="DL796" s="12"/>
      <c r="DM796" s="14"/>
      <c r="DN796" s="16"/>
      <c r="DO796" s="14"/>
      <c r="DP796" s="12"/>
      <c r="DQ796" s="14"/>
      <c r="DR796" s="16"/>
      <c r="DS796" s="14"/>
      <c r="DT796" s="12"/>
      <c r="DU796" s="14"/>
      <c r="DV796" s="16"/>
      <c r="DW796" s="14"/>
      <c r="DX796" s="12"/>
      <c r="DY796" s="14"/>
      <c r="DZ796" s="16"/>
      <c r="EA796" s="14"/>
      <c r="EB796" s="12"/>
      <c r="EC796" s="14"/>
      <c r="ED796" s="16"/>
      <c r="EE796" s="14"/>
      <c r="EF796" s="12"/>
      <c r="EG796" s="12"/>
      <c r="EH796" s="14"/>
      <c r="EI796" s="16"/>
      <c r="EJ796" s="14"/>
      <c r="EK796" s="14">
        <v>1045</v>
      </c>
      <c r="EL796" s="14">
        <v>854</v>
      </c>
      <c r="EM796" s="14">
        <v>1899</v>
      </c>
      <c r="EN796" s="14">
        <v>956</v>
      </c>
      <c r="EO796" s="14">
        <v>781</v>
      </c>
      <c r="EP796" s="14">
        <v>1737</v>
      </c>
      <c r="EQ796" s="12" t="s">
        <v>319</v>
      </c>
      <c r="ER796" s="14"/>
      <c r="ES796" s="16"/>
      <c r="ET796" s="14"/>
      <c r="EU796" s="11" t="s">
        <v>319</v>
      </c>
      <c r="EV796" s="14"/>
      <c r="EW796" s="16"/>
      <c r="EX796" s="14"/>
      <c r="EY796" s="12" t="s">
        <v>319</v>
      </c>
      <c r="EZ796" s="14"/>
      <c r="FA796" s="16"/>
      <c r="FB796" s="14"/>
      <c r="FC796" s="12" t="s">
        <v>319</v>
      </c>
      <c r="FD796" s="14"/>
      <c r="FE796" s="16"/>
      <c r="FF796" s="14"/>
      <c r="FG796" s="12" t="s">
        <v>319</v>
      </c>
      <c r="FH796" s="14"/>
      <c r="FI796" s="16"/>
      <c r="FJ796" s="14"/>
      <c r="FK796" s="12" t="s">
        <v>320</v>
      </c>
      <c r="FL796" s="14">
        <v>1818</v>
      </c>
      <c r="FM796" s="16">
        <v>0.55000000000000004</v>
      </c>
      <c r="FN796" s="14">
        <v>1737</v>
      </c>
      <c r="FO796" s="12" t="s">
        <v>319</v>
      </c>
      <c r="FP796" s="14"/>
      <c r="FQ796" s="16"/>
      <c r="FR796" s="14"/>
      <c r="FS796" s="12" t="s">
        <v>319</v>
      </c>
      <c r="FT796" s="14">
        <v>0</v>
      </c>
      <c r="FU796" s="16">
        <v>0</v>
      </c>
      <c r="FV796" s="14">
        <v>0</v>
      </c>
      <c r="FW796" s="12" t="s">
        <v>319</v>
      </c>
      <c r="FX796" s="14"/>
      <c r="FY796" s="16"/>
      <c r="FZ796" s="14"/>
      <c r="GA796" s="12" t="s">
        <v>319</v>
      </c>
      <c r="GB796" s="14"/>
      <c r="GC796" s="16"/>
      <c r="GD796" s="14"/>
      <c r="GE796" s="12" t="s">
        <v>319</v>
      </c>
      <c r="GF796" s="14"/>
      <c r="GG796" s="16"/>
      <c r="GH796" s="14"/>
      <c r="GI796" s="12" t="s">
        <v>319</v>
      </c>
      <c r="GJ796" s="14"/>
      <c r="GK796" s="16"/>
      <c r="GL796" s="14"/>
      <c r="GM796" s="11" t="s">
        <v>320</v>
      </c>
      <c r="GN796" s="14">
        <v>36</v>
      </c>
      <c r="GO796" s="16">
        <v>0.44</v>
      </c>
      <c r="GP796" s="14">
        <v>0</v>
      </c>
      <c r="GQ796" s="12" t="s">
        <v>319</v>
      </c>
      <c r="GR796" s="14"/>
      <c r="GS796" s="16"/>
      <c r="GT796" s="14"/>
      <c r="GU796" s="12" t="s">
        <v>319</v>
      </c>
      <c r="GV796" s="14"/>
      <c r="GW796" s="16"/>
      <c r="GX796" s="14"/>
      <c r="GY796" s="12" t="s">
        <v>319</v>
      </c>
      <c r="GZ796" s="14"/>
      <c r="HA796" s="16"/>
      <c r="HB796" s="14"/>
      <c r="HC796" s="12"/>
      <c r="HD796" s="12" t="s">
        <v>319</v>
      </c>
      <c r="HE796" s="14"/>
      <c r="HF796" s="16"/>
      <c r="HG796" s="14"/>
      <c r="HH796" s="12" t="s">
        <v>320</v>
      </c>
      <c r="HI796" s="12" t="s">
        <v>12326</v>
      </c>
      <c r="HJ796" s="12">
        <v>2016</v>
      </c>
      <c r="HK796" s="12" t="s">
        <v>319</v>
      </c>
      <c r="HL796" s="12"/>
      <c r="HM796" s="12"/>
      <c r="HN796" s="12"/>
      <c r="HO796" s="12"/>
      <c r="HP796" s="12" t="s">
        <v>418</v>
      </c>
      <c r="HQ796" s="12" t="s">
        <v>319</v>
      </c>
      <c r="HR796" s="12" t="s">
        <v>319</v>
      </c>
      <c r="HS796" s="12" t="s">
        <v>319</v>
      </c>
      <c r="HT796" s="12" t="s">
        <v>320</v>
      </c>
      <c r="HU796" s="12" t="s">
        <v>320</v>
      </c>
      <c r="HV796" s="12" t="s">
        <v>319</v>
      </c>
      <c r="HW796" s="12" t="s">
        <v>319</v>
      </c>
      <c r="HX796" s="12" t="s">
        <v>319</v>
      </c>
      <c r="HY796" s="12"/>
      <c r="HZ796" s="12" t="s">
        <v>363</v>
      </c>
      <c r="IA796" s="12"/>
      <c r="IB796" s="12" t="s">
        <v>396</v>
      </c>
      <c r="IC796" s="12"/>
      <c r="ID796" s="12" t="s">
        <v>334</v>
      </c>
      <c r="IE796" s="12" t="s">
        <v>335</v>
      </c>
      <c r="IF796" s="12" t="s">
        <v>320</v>
      </c>
      <c r="IG796" s="12" t="s">
        <v>320</v>
      </c>
      <c r="IH796" s="12" t="s">
        <v>320</v>
      </c>
      <c r="II796" s="12" t="s">
        <v>320</v>
      </c>
      <c r="IJ796" s="12" t="str">
        <f t="shared" si="517"/>
        <v>2. Sensitive</v>
      </c>
      <c r="IK796" s="12">
        <f t="shared" si="518"/>
        <v>4</v>
      </c>
      <c r="IL796" s="12" t="s">
        <v>336</v>
      </c>
      <c r="IM796" s="12" t="s">
        <v>320</v>
      </c>
      <c r="IN796" s="12" t="s">
        <v>320</v>
      </c>
      <c r="IO796" s="12" t="s">
        <v>320</v>
      </c>
      <c r="IP796" s="12" t="s">
        <v>320</v>
      </c>
      <c r="IQ796" s="12" t="str">
        <f t="shared" si="519"/>
        <v>2. Accommodating</v>
      </c>
      <c r="IR796" s="12">
        <f t="shared" si="520"/>
        <v>4</v>
      </c>
      <c r="IS796" s="12" t="s">
        <v>337</v>
      </c>
      <c r="IT796" s="12" t="s">
        <v>320</v>
      </c>
      <c r="IU796" s="12" t="s">
        <v>320</v>
      </c>
      <c r="IV796" s="12" t="s">
        <v>319</v>
      </c>
      <c r="IW796" s="11" t="str">
        <f t="shared" si="521"/>
        <v>1. Neutral</v>
      </c>
      <c r="IX796" s="12">
        <f t="shared" si="522"/>
        <v>2</v>
      </c>
      <c r="IY796" s="12" t="s">
        <v>338</v>
      </c>
      <c r="IZ796" s="12" t="s">
        <v>432</v>
      </c>
      <c r="JA796" s="12">
        <v>2</v>
      </c>
      <c r="JB796" s="12" t="s">
        <v>433</v>
      </c>
      <c r="JC796" s="12"/>
      <c r="JD796" s="12"/>
      <c r="JE796" s="12" t="s">
        <v>420</v>
      </c>
      <c r="JF796" s="12"/>
      <c r="JG796" s="12" t="s">
        <v>12466</v>
      </c>
      <c r="JH796" s="12" t="s">
        <v>12467</v>
      </c>
      <c r="JI796" s="12" t="s">
        <v>12468</v>
      </c>
      <c r="JJ796" s="12" t="s">
        <v>12469</v>
      </c>
      <c r="JK796" s="12" t="s">
        <v>12470</v>
      </c>
      <c r="JL796" s="12" t="s">
        <v>12471</v>
      </c>
      <c r="JM796" s="12" t="s">
        <v>12472</v>
      </c>
      <c r="JN796" s="12" t="s">
        <v>12473</v>
      </c>
      <c r="JO796" s="12" t="s">
        <v>12474</v>
      </c>
      <c r="JP796" s="15">
        <f t="shared" si="523"/>
        <v>1899</v>
      </c>
      <c r="JQ796" s="15">
        <f t="shared" si="524"/>
        <v>1737</v>
      </c>
      <c r="JR796" s="279">
        <f t="shared" si="525"/>
        <v>0.91469194312796209</v>
      </c>
      <c r="JS796" s="17">
        <f t="shared" si="526"/>
        <v>0.55028962611901</v>
      </c>
      <c r="JT796" s="18">
        <f t="shared" si="527"/>
        <v>0.55037420840529649</v>
      </c>
      <c r="JU796" s="280">
        <f t="shared" si="528"/>
        <v>1045</v>
      </c>
      <c r="JV796" s="280">
        <f t="shared" si="529"/>
        <v>956</v>
      </c>
      <c r="JW796" s="319" t="str">
        <f t="shared" si="530"/>
        <v/>
      </c>
      <c r="JX796" s="15">
        <f t="shared" si="531"/>
        <v>0</v>
      </c>
      <c r="JY796" s="15">
        <f t="shared" si="532"/>
        <v>0</v>
      </c>
      <c r="JZ796" s="19" t="str">
        <f t="shared" si="533"/>
        <v/>
      </c>
      <c r="KA796" s="52" t="str">
        <f t="shared" si="534"/>
        <v/>
      </c>
      <c r="KB796" s="15">
        <f t="shared" si="535"/>
        <v>0</v>
      </c>
      <c r="KC796" s="15">
        <f t="shared" si="536"/>
        <v>0</v>
      </c>
      <c r="KD796" s="20" t="str">
        <f t="shared" si="537"/>
        <v/>
      </c>
      <c r="KE796" s="52" t="str">
        <f t="shared" si="538"/>
        <v/>
      </c>
      <c r="KF796" s="15">
        <f t="shared" si="539"/>
        <v>0</v>
      </c>
      <c r="KG796" s="15">
        <f t="shared" si="540"/>
        <v>0</v>
      </c>
      <c r="KH796" s="21" t="str">
        <f t="shared" si="541"/>
        <v/>
      </c>
      <c r="KI796" s="52" t="str">
        <f t="shared" si="542"/>
        <v/>
      </c>
      <c r="KJ796" s="15">
        <f t="shared" si="543"/>
        <v>0</v>
      </c>
      <c r="KK796" s="15">
        <f t="shared" si="544"/>
        <v>0</v>
      </c>
      <c r="KL796" s="19" t="str">
        <f t="shared" si="545"/>
        <v/>
      </c>
      <c r="KM796" s="52" t="str">
        <f t="shared" si="546"/>
        <v/>
      </c>
      <c r="KN796" s="22">
        <f t="shared" si="547"/>
        <v>0</v>
      </c>
      <c r="KO796" s="22">
        <f t="shared" si="548"/>
        <v>0</v>
      </c>
      <c r="KP796" s="19" t="str">
        <f t="shared" si="549"/>
        <v/>
      </c>
      <c r="KQ796" s="11" t="str">
        <f t="shared" si="550"/>
        <v>2. Sensitive</v>
      </c>
      <c r="KR796" s="11" t="str">
        <f t="shared" si="551"/>
        <v>2. Accommodating</v>
      </c>
      <c r="KS796" s="11" t="str">
        <f t="shared" si="552"/>
        <v>1. Neutral</v>
      </c>
      <c r="KT796" s="11" t="str">
        <f t="shared" si="553"/>
        <v>It did not develop any specific innovation</v>
      </c>
      <c r="KU796" s="11" t="str">
        <f t="shared" si="554"/>
        <v>Little or no advocacy</v>
      </c>
      <c r="KV796" s="11" t="str">
        <f t="shared" si="555"/>
        <v>It linked and worked with strategic alliances and partners to take tested and effective solutions to scale</v>
      </c>
      <c r="KW796" s="11" t="str">
        <f t="shared" si="556"/>
        <v>Thailand - Reducing the Prevalence Of Child Labour among migrant worker in Thai seafood industry (REPOCL)</v>
      </c>
      <c r="KX796" s="11" t="str">
        <f t="shared" si="557"/>
        <v>Reducing the Prevalence Of Child Labour among migrant worker in Thai seafood industry (REPOCL)</v>
      </c>
      <c r="KY796" s="11" t="str">
        <f t="shared" si="558"/>
        <v>Thailand</v>
      </c>
      <c r="KZ796" s="12">
        <v>797</v>
      </c>
    </row>
    <row r="797" spans="1:312" x14ac:dyDescent="0.3">
      <c r="A797" s="12" t="s">
        <v>12294</v>
      </c>
      <c r="B797" s="12" t="s">
        <v>306</v>
      </c>
      <c r="C797" s="12"/>
      <c r="D797" s="43" t="s">
        <v>12344</v>
      </c>
      <c r="E797" s="277" t="str">
        <f t="shared" si="516"/>
        <v>Thailand</v>
      </c>
      <c r="F797" s="12" t="s">
        <v>12345</v>
      </c>
      <c r="G797" s="12" t="s">
        <v>12297</v>
      </c>
      <c r="H797" s="12" t="s">
        <v>380</v>
      </c>
      <c r="I797" s="12" t="s">
        <v>381</v>
      </c>
      <c r="J797" s="281" t="s">
        <v>12346</v>
      </c>
      <c r="K797" s="12"/>
      <c r="L797" s="12"/>
      <c r="M797" s="12"/>
      <c r="N797" s="12"/>
      <c r="O797" s="12"/>
      <c r="P797" s="12"/>
      <c r="Q797" s="12"/>
      <c r="R797" s="12"/>
      <c r="S797" s="12"/>
      <c r="T797" s="12"/>
      <c r="U797" s="12"/>
      <c r="V797" s="12"/>
      <c r="W797" s="12"/>
      <c r="X797" s="12"/>
      <c r="Y797" s="12"/>
      <c r="Z797" s="12"/>
      <c r="AA797" s="12"/>
      <c r="AB797" s="12"/>
      <c r="AC797" s="12"/>
      <c r="AD797" s="12"/>
      <c r="BD797" s="13">
        <v>42901</v>
      </c>
      <c r="BE797" s="13">
        <v>43100</v>
      </c>
      <c r="BF797" s="12"/>
      <c r="BG797" s="12" t="s">
        <v>312</v>
      </c>
      <c r="BH797" s="14">
        <v>125868</v>
      </c>
      <c r="BI797" s="12" t="s">
        <v>12299</v>
      </c>
      <c r="BJ797" s="12" t="s">
        <v>12300</v>
      </c>
      <c r="BK797" s="12" t="s">
        <v>12301</v>
      </c>
      <c r="BL797" s="12" t="s">
        <v>12347</v>
      </c>
      <c r="BM797" s="12" t="s">
        <v>12321</v>
      </c>
      <c r="BN797" s="12" t="s">
        <v>12348</v>
      </c>
      <c r="BO797" s="12" t="s">
        <v>319</v>
      </c>
      <c r="BP797" s="12" t="s">
        <v>320</v>
      </c>
      <c r="BQ797" s="12" t="s">
        <v>319</v>
      </c>
      <c r="BR797" s="12" t="s">
        <v>12349</v>
      </c>
      <c r="BS797" s="12" t="s">
        <v>357</v>
      </c>
      <c r="BT797" s="12" t="s">
        <v>12350</v>
      </c>
      <c r="BU797" s="12" t="s">
        <v>12351</v>
      </c>
      <c r="BV797" s="14">
        <v>0</v>
      </c>
      <c r="BW797" s="14">
        <v>60</v>
      </c>
      <c r="BX797" s="14">
        <v>120</v>
      </c>
      <c r="BY797" s="14">
        <v>750</v>
      </c>
      <c r="BZ797" s="14">
        <v>750</v>
      </c>
      <c r="CA797" s="14">
        <v>1500</v>
      </c>
      <c r="CB797" s="12"/>
      <c r="CD797" s="14"/>
      <c r="CE797" s="14"/>
      <c r="CF797" s="14"/>
      <c r="CG797" s="14"/>
      <c r="CH797" s="14"/>
      <c r="CI797" s="14"/>
      <c r="CJ797" s="12"/>
      <c r="CK797" s="14"/>
      <c r="CL797" s="16"/>
      <c r="CM797" s="14"/>
      <c r="CN797" s="12"/>
      <c r="CO797" s="14"/>
      <c r="CP797" s="16"/>
      <c r="CQ797" s="14"/>
      <c r="CR797" s="12"/>
      <c r="CS797" s="14"/>
      <c r="CT797" s="16"/>
      <c r="CU797" s="14"/>
      <c r="CV797" s="12"/>
      <c r="CW797" s="14"/>
      <c r="CX797" s="16"/>
      <c r="CY797" s="14"/>
      <c r="CZ797" s="12"/>
      <c r="DA797" s="14"/>
      <c r="DB797" s="16"/>
      <c r="DC797" s="14"/>
      <c r="DD797" s="12"/>
      <c r="DE797" s="14"/>
      <c r="DF797" s="16"/>
      <c r="DG797" s="14"/>
      <c r="DH797" s="12"/>
      <c r="DI797" s="14"/>
      <c r="DJ797" s="16"/>
      <c r="DK797" s="14"/>
      <c r="DL797" s="12"/>
      <c r="DM797" s="14"/>
      <c r="DN797" s="16"/>
      <c r="DO797" s="14"/>
      <c r="DP797" s="12"/>
      <c r="DQ797" s="14"/>
      <c r="DR797" s="16"/>
      <c r="DS797" s="14"/>
      <c r="DT797" s="12"/>
      <c r="DU797" s="14"/>
      <c r="DV797" s="16"/>
      <c r="DW797" s="14"/>
      <c r="DX797" s="12"/>
      <c r="DY797" s="14"/>
      <c r="DZ797" s="16"/>
      <c r="EA797" s="14"/>
      <c r="EB797" s="12"/>
      <c r="EC797" s="14"/>
      <c r="ED797" s="16"/>
      <c r="EE797" s="14"/>
      <c r="EF797" s="12"/>
      <c r="EG797" s="12"/>
      <c r="EH797" s="14"/>
      <c r="EI797" s="16"/>
      <c r="EJ797" s="14"/>
      <c r="EK797" s="14">
        <v>0</v>
      </c>
      <c r="EL797" s="14">
        <v>0</v>
      </c>
      <c r="EM797" s="14">
        <v>0</v>
      </c>
      <c r="EN797" s="14">
        <v>0</v>
      </c>
      <c r="EO797" s="14">
        <v>0</v>
      </c>
      <c r="EP797" s="14">
        <v>0</v>
      </c>
      <c r="EQ797" s="12" t="s">
        <v>319</v>
      </c>
      <c r="ER797" s="14"/>
      <c r="ES797" s="16"/>
      <c r="ET797" s="14"/>
      <c r="EU797" s="11" t="s">
        <v>319</v>
      </c>
      <c r="EV797" s="14"/>
      <c r="EW797" s="16"/>
      <c r="EX797" s="14"/>
      <c r="EY797" s="12" t="s">
        <v>319</v>
      </c>
      <c r="EZ797" s="14"/>
      <c r="FA797" s="16"/>
      <c r="FB797" s="14"/>
      <c r="FC797" s="12" t="s">
        <v>319</v>
      </c>
      <c r="FD797" s="14"/>
      <c r="FE797" s="16"/>
      <c r="FF797" s="14"/>
      <c r="FG797" s="12" t="s">
        <v>319</v>
      </c>
      <c r="FH797" s="14"/>
      <c r="FI797" s="16"/>
      <c r="FJ797" s="14"/>
      <c r="FK797" s="12" t="s">
        <v>319</v>
      </c>
      <c r="FL797" s="14"/>
      <c r="FM797" s="16"/>
      <c r="FN797" s="14"/>
      <c r="FO797" s="12" t="s">
        <v>319</v>
      </c>
      <c r="FP797" s="14"/>
      <c r="FQ797" s="16"/>
      <c r="FR797" s="14"/>
      <c r="FS797" s="12" t="s">
        <v>319</v>
      </c>
      <c r="FT797" s="14">
        <v>0</v>
      </c>
      <c r="FU797" s="16">
        <v>0</v>
      </c>
      <c r="FV797" s="14">
        <v>0</v>
      </c>
      <c r="FW797" s="12" t="s">
        <v>319</v>
      </c>
      <c r="FX797" s="14"/>
      <c r="FY797" s="16"/>
      <c r="FZ797" s="14"/>
      <c r="GA797" s="12" t="s">
        <v>319</v>
      </c>
      <c r="GB797" s="14"/>
      <c r="GC797" s="16"/>
      <c r="GD797" s="14"/>
      <c r="GE797" s="12" t="s">
        <v>319</v>
      </c>
      <c r="GF797" s="14"/>
      <c r="GG797" s="16"/>
      <c r="GH797" s="14"/>
      <c r="GI797" s="12" t="s">
        <v>319</v>
      </c>
      <c r="GJ797" s="14"/>
      <c r="GK797" s="16"/>
      <c r="GL797" s="14"/>
      <c r="GM797" s="12" t="s">
        <v>320</v>
      </c>
      <c r="GN797" s="14">
        <v>0</v>
      </c>
      <c r="GO797" s="16">
        <v>0</v>
      </c>
      <c r="GP797" s="14">
        <v>0</v>
      </c>
      <c r="GQ797" s="12" t="s">
        <v>319</v>
      </c>
      <c r="GR797" s="14"/>
      <c r="GS797" s="16"/>
      <c r="GT797" s="14"/>
      <c r="GU797" s="12" t="s">
        <v>319</v>
      </c>
      <c r="GV797" s="14"/>
      <c r="GW797" s="16"/>
      <c r="GX797" s="14"/>
      <c r="GY797" s="12" t="s">
        <v>319</v>
      </c>
      <c r="GZ797" s="14"/>
      <c r="HA797" s="16"/>
      <c r="HB797" s="14"/>
      <c r="HC797" s="12" t="s">
        <v>12352</v>
      </c>
      <c r="HD797" s="12" t="s">
        <v>320</v>
      </c>
      <c r="HE797" s="14">
        <v>0</v>
      </c>
      <c r="HF797" s="16">
        <v>0</v>
      </c>
      <c r="HG797" s="14">
        <v>0</v>
      </c>
      <c r="HH797" s="12" t="s">
        <v>319</v>
      </c>
      <c r="HI797" s="12"/>
      <c r="HJ797" s="12"/>
      <c r="HK797" s="12" t="s">
        <v>319</v>
      </c>
      <c r="HL797" s="12" t="s">
        <v>320</v>
      </c>
      <c r="HM797" s="12" t="s">
        <v>12353</v>
      </c>
      <c r="HN797" s="12">
        <v>2017</v>
      </c>
      <c r="HO797" s="12"/>
      <c r="HP797" s="12" t="s">
        <v>418</v>
      </c>
      <c r="HQ797" s="12" t="s">
        <v>319</v>
      </c>
      <c r="HR797" s="12" t="s">
        <v>319</v>
      </c>
      <c r="HS797" s="12" t="s">
        <v>319</v>
      </c>
      <c r="HT797" s="12" t="s">
        <v>320</v>
      </c>
      <c r="HU797" s="12" t="s">
        <v>320</v>
      </c>
      <c r="HV797" s="12" t="s">
        <v>319</v>
      </c>
      <c r="HW797" s="12" t="s">
        <v>319</v>
      </c>
      <c r="HX797" s="12"/>
      <c r="HY797" s="12"/>
      <c r="HZ797" s="12" t="s">
        <v>394</v>
      </c>
      <c r="IA797" s="12"/>
      <c r="IB797" s="12" t="s">
        <v>333</v>
      </c>
      <c r="IC797" s="12"/>
      <c r="ID797" s="12" t="s">
        <v>364</v>
      </c>
      <c r="IE797" s="12" t="s">
        <v>478</v>
      </c>
      <c r="IF797" s="12" t="s">
        <v>320</v>
      </c>
      <c r="IG797" s="12" t="s">
        <v>320</v>
      </c>
      <c r="IH797" s="12" t="s">
        <v>320</v>
      </c>
      <c r="II797" s="12" t="s">
        <v>319</v>
      </c>
      <c r="IJ797" s="12" t="str">
        <f t="shared" si="517"/>
        <v>3. Responsive</v>
      </c>
      <c r="IK797" s="12">
        <f t="shared" si="518"/>
        <v>3</v>
      </c>
      <c r="IL797" s="11" t="s">
        <v>621</v>
      </c>
      <c r="IM797" s="12" t="s">
        <v>320</v>
      </c>
      <c r="IN797" s="12" t="s">
        <v>320</v>
      </c>
      <c r="IO797" s="12" t="s">
        <v>320</v>
      </c>
      <c r="IP797" s="12" t="s">
        <v>320</v>
      </c>
      <c r="IQ797" s="12" t="str">
        <f t="shared" si="519"/>
        <v>4. Transformational</v>
      </c>
      <c r="IR797" s="12">
        <f t="shared" si="520"/>
        <v>4</v>
      </c>
      <c r="IS797" s="12" t="s">
        <v>622</v>
      </c>
      <c r="IT797" s="12" t="s">
        <v>320</v>
      </c>
      <c r="IU797" s="12" t="s">
        <v>319</v>
      </c>
      <c r="IV797" s="12" t="s">
        <v>320</v>
      </c>
      <c r="IW797" s="11" t="str">
        <f t="shared" si="521"/>
        <v>3. Responsive</v>
      </c>
      <c r="IX797" s="12">
        <f t="shared" si="522"/>
        <v>2</v>
      </c>
      <c r="IY797" s="12" t="s">
        <v>338</v>
      </c>
      <c r="IZ797" s="12" t="s">
        <v>339</v>
      </c>
      <c r="JA797" s="12"/>
      <c r="JB797" s="12"/>
      <c r="JC797" s="12"/>
      <c r="JD797" s="12"/>
      <c r="JE797" s="12" t="s">
        <v>420</v>
      </c>
      <c r="JF797" s="12" t="s">
        <v>342</v>
      </c>
      <c r="JG797" s="12" t="s">
        <v>12354</v>
      </c>
      <c r="JH797" s="12" t="s">
        <v>12355</v>
      </c>
      <c r="JI797" s="12" t="s">
        <v>12356</v>
      </c>
      <c r="JJ797" s="12" t="s">
        <v>12357</v>
      </c>
      <c r="JK797" s="12" t="s">
        <v>12358</v>
      </c>
      <c r="JL797" s="12"/>
      <c r="JM797" s="12"/>
      <c r="JN797" s="12" t="s">
        <v>12359</v>
      </c>
      <c r="JO797" s="12" t="s">
        <v>12360</v>
      </c>
      <c r="JP797" s="15">
        <f t="shared" si="523"/>
        <v>0</v>
      </c>
      <c r="JQ797" s="15">
        <f t="shared" si="524"/>
        <v>0</v>
      </c>
      <c r="JR797" s="279" t="str">
        <f t="shared" si="525"/>
        <v/>
      </c>
      <c r="JS797" s="17" t="str">
        <f t="shared" si="526"/>
        <v/>
      </c>
      <c r="JT797" s="18" t="str">
        <f t="shared" si="527"/>
        <v/>
      </c>
      <c r="JU797" s="280">
        <f t="shared" si="528"/>
        <v>0</v>
      </c>
      <c r="JV797" s="280">
        <f t="shared" si="529"/>
        <v>0</v>
      </c>
      <c r="JW797" s="319" t="str">
        <f t="shared" si="530"/>
        <v/>
      </c>
      <c r="JX797" s="15">
        <f t="shared" si="531"/>
        <v>0</v>
      </c>
      <c r="JY797" s="15">
        <f t="shared" si="532"/>
        <v>0</v>
      </c>
      <c r="JZ797" s="19" t="str">
        <f t="shared" si="533"/>
        <v/>
      </c>
      <c r="KA797" s="52" t="str">
        <f t="shared" si="534"/>
        <v/>
      </c>
      <c r="KB797" s="15">
        <f t="shared" si="535"/>
        <v>0</v>
      </c>
      <c r="KC797" s="15">
        <f t="shared" si="536"/>
        <v>0</v>
      </c>
      <c r="KD797" s="20" t="str">
        <f t="shared" si="537"/>
        <v/>
      </c>
      <c r="KE797" s="52" t="str">
        <f t="shared" si="538"/>
        <v/>
      </c>
      <c r="KF797" s="15">
        <f t="shared" si="539"/>
        <v>0</v>
      </c>
      <c r="KG797" s="15">
        <f t="shared" si="540"/>
        <v>0</v>
      </c>
      <c r="KH797" s="21" t="str">
        <f t="shared" si="541"/>
        <v/>
      </c>
      <c r="KI797" s="52" t="str">
        <f t="shared" si="542"/>
        <v/>
      </c>
      <c r="KJ797" s="15">
        <f t="shared" si="543"/>
        <v>0</v>
      </c>
      <c r="KK797" s="15">
        <f t="shared" si="544"/>
        <v>0</v>
      </c>
      <c r="KL797" s="19" t="str">
        <f t="shared" si="545"/>
        <v/>
      </c>
      <c r="KM797" s="52" t="str">
        <f t="shared" si="546"/>
        <v/>
      </c>
      <c r="KN797" s="22">
        <f t="shared" si="547"/>
        <v>0</v>
      </c>
      <c r="KO797" s="22">
        <f t="shared" si="548"/>
        <v>0</v>
      </c>
      <c r="KP797" s="19" t="str">
        <f t="shared" si="549"/>
        <v/>
      </c>
      <c r="KQ797" s="11" t="str">
        <f t="shared" si="550"/>
        <v>3. Responsive</v>
      </c>
      <c r="KR797" s="11" t="str">
        <f t="shared" si="551"/>
        <v>4. Transformational</v>
      </c>
      <c r="KS797" s="11" t="str">
        <f t="shared" si="552"/>
        <v>3. Responsive</v>
      </c>
      <c r="KT797" s="11" t="str">
        <f t="shared" si="553"/>
        <v>It tested new ways for fighting poverty, but did not measure results of innovation</v>
      </c>
      <c r="KU797" s="11" t="str">
        <f t="shared" si="554"/>
        <v>Little or no advocacy</v>
      </c>
      <c r="KV797" s="11" t="str">
        <f t="shared" si="555"/>
        <v>It did not take tested solutions to scale</v>
      </c>
      <c r="KW797" s="11" t="str">
        <f t="shared" si="556"/>
        <v>Thailand - Ship to Shore (Phase 1)</v>
      </c>
      <c r="KX797" s="11" t="str">
        <f t="shared" si="557"/>
        <v>Ship to Shore (Phase 1)</v>
      </c>
      <c r="KY797" s="11" t="str">
        <f t="shared" si="558"/>
        <v>Thailand</v>
      </c>
      <c r="KZ797" s="12">
        <v>798</v>
      </c>
    </row>
    <row r="798" spans="1:312" x14ac:dyDescent="0.3">
      <c r="A798" s="12" t="s">
        <v>12294</v>
      </c>
      <c r="B798" s="12" t="s">
        <v>306</v>
      </c>
      <c r="C798" s="12">
        <v>3661</v>
      </c>
      <c r="D798" s="43" t="s">
        <v>12295</v>
      </c>
      <c r="E798" s="277" t="str">
        <f t="shared" si="516"/>
        <v>Thailand</v>
      </c>
      <c r="F798" s="12" t="s">
        <v>12296</v>
      </c>
      <c r="G798" s="12" t="s">
        <v>12297</v>
      </c>
      <c r="H798" s="12" t="s">
        <v>310</v>
      </c>
      <c r="I798" s="12" t="s">
        <v>12298</v>
      </c>
      <c r="J798" s="281" t="s">
        <v>14750</v>
      </c>
      <c r="K798" s="12" t="s">
        <v>12296</v>
      </c>
      <c r="L798" s="12" t="s">
        <v>12297</v>
      </c>
      <c r="M798" s="12" t="s">
        <v>383</v>
      </c>
      <c r="N798" s="12" t="s">
        <v>1472</v>
      </c>
      <c r="O798" s="281" t="s">
        <v>8559</v>
      </c>
      <c r="P798" s="12"/>
      <c r="Q798" s="12"/>
      <c r="R798" s="12"/>
      <c r="S798" s="12"/>
      <c r="T798" s="12"/>
      <c r="U798" s="12"/>
      <c r="V798" s="12"/>
      <c r="W798" s="12"/>
      <c r="X798" s="12"/>
      <c r="Y798" s="12"/>
      <c r="Z798" s="12"/>
      <c r="AA798" s="12"/>
      <c r="AB798" s="12"/>
      <c r="AC798" s="12"/>
      <c r="AD798" s="12"/>
      <c r="BD798" s="13">
        <v>42005</v>
      </c>
      <c r="BE798" s="13">
        <v>43100</v>
      </c>
      <c r="BF798" s="12"/>
      <c r="BG798" s="12" t="s">
        <v>312</v>
      </c>
      <c r="BH798" s="14">
        <v>22278214</v>
      </c>
      <c r="BI798" s="12" t="s">
        <v>12299</v>
      </c>
      <c r="BJ798" s="12" t="s">
        <v>12300</v>
      </c>
      <c r="BK798" s="12" t="s">
        <v>12301</v>
      </c>
      <c r="BL798" s="12" t="s">
        <v>12302</v>
      </c>
      <c r="BM798" s="12" t="s">
        <v>12303</v>
      </c>
      <c r="BN798" s="12" t="s">
        <v>12304</v>
      </c>
      <c r="BO798" s="12" t="s">
        <v>319</v>
      </c>
      <c r="BP798" s="12" t="s">
        <v>320</v>
      </c>
      <c r="BQ798" s="12" t="s">
        <v>319</v>
      </c>
      <c r="BR798" s="12" t="s">
        <v>12305</v>
      </c>
      <c r="BS798" s="12" t="s">
        <v>357</v>
      </c>
      <c r="BT798" s="12" t="s">
        <v>12306</v>
      </c>
      <c r="BU798" s="12" t="s">
        <v>12307</v>
      </c>
      <c r="BV798" s="14">
        <v>0</v>
      </c>
      <c r="BW798" s="14">
        <v>0</v>
      </c>
      <c r="BX798" s="14">
        <v>388585</v>
      </c>
      <c r="BY798" s="14">
        <v>0</v>
      </c>
      <c r="BZ798" s="14">
        <v>0</v>
      </c>
      <c r="CA798" s="14">
        <v>0</v>
      </c>
      <c r="CB798" s="12" t="s">
        <v>12308</v>
      </c>
      <c r="CD798" s="14"/>
      <c r="CE798" s="14"/>
      <c r="CF798" s="14"/>
      <c r="CG798" s="14"/>
      <c r="CH798" s="14"/>
      <c r="CI798" s="14"/>
      <c r="CJ798" s="12"/>
      <c r="CK798" s="14"/>
      <c r="CL798" s="16"/>
      <c r="CM798" s="14"/>
      <c r="CN798" s="12"/>
      <c r="CO798" s="14"/>
      <c r="CP798" s="16"/>
      <c r="CQ798" s="14"/>
      <c r="CR798" s="12"/>
      <c r="CS798" s="14"/>
      <c r="CT798" s="16"/>
      <c r="CU798" s="14"/>
      <c r="CV798" s="12"/>
      <c r="CW798" s="14"/>
      <c r="CX798" s="16"/>
      <c r="CY798" s="14"/>
      <c r="CZ798" s="12"/>
      <c r="DA798" s="14"/>
      <c r="DB798" s="16"/>
      <c r="DC798" s="14"/>
      <c r="DD798" s="12"/>
      <c r="DE798" s="14"/>
      <c r="DF798" s="16"/>
      <c r="DG798" s="14"/>
      <c r="DH798" s="12"/>
      <c r="DI798" s="14"/>
      <c r="DJ798" s="16"/>
      <c r="DK798" s="14"/>
      <c r="DL798" s="12"/>
      <c r="DM798" s="14"/>
      <c r="DN798" s="16"/>
      <c r="DO798" s="14"/>
      <c r="DP798" s="12"/>
      <c r="DQ798" s="14"/>
      <c r="DR798" s="16"/>
      <c r="DS798" s="14"/>
      <c r="DT798" s="12"/>
      <c r="DU798" s="14"/>
      <c r="DV798" s="16"/>
      <c r="DW798" s="14"/>
      <c r="DX798" s="12"/>
      <c r="DY798" s="14"/>
      <c r="DZ798" s="16"/>
      <c r="EA798" s="14"/>
      <c r="EB798" s="12"/>
      <c r="EC798" s="14"/>
      <c r="ED798" s="16"/>
      <c r="EE798" s="14"/>
      <c r="EF798" s="12"/>
      <c r="EG798" s="12"/>
      <c r="EH798" s="14"/>
      <c r="EI798" s="16"/>
      <c r="EJ798" s="14"/>
      <c r="EK798" s="14">
        <v>17841</v>
      </c>
      <c r="EL798" s="14">
        <v>85180</v>
      </c>
      <c r="EM798" s="14">
        <v>103021</v>
      </c>
      <c r="EN798" s="14"/>
      <c r="EO798" s="14"/>
      <c r="EP798" s="14"/>
      <c r="EQ798" s="12" t="s">
        <v>319</v>
      </c>
      <c r="ER798" s="14"/>
      <c r="ES798" s="16"/>
      <c r="ET798" s="14"/>
      <c r="EU798" s="11" t="s">
        <v>319</v>
      </c>
      <c r="EV798" s="14"/>
      <c r="EW798" s="16"/>
      <c r="EX798" s="14"/>
      <c r="EY798" s="12" t="s">
        <v>319</v>
      </c>
      <c r="EZ798" s="14"/>
      <c r="FA798" s="16"/>
      <c r="FB798" s="14"/>
      <c r="FC798" s="12" t="s">
        <v>319</v>
      </c>
      <c r="FD798" s="14"/>
      <c r="FE798" s="16"/>
      <c r="FF798" s="14"/>
      <c r="FG798" s="12" t="s">
        <v>319</v>
      </c>
      <c r="FH798" s="14"/>
      <c r="FI798" s="16"/>
      <c r="FJ798" s="14"/>
      <c r="FK798" s="12" t="s">
        <v>319</v>
      </c>
      <c r="FL798" s="14"/>
      <c r="FM798" s="16"/>
      <c r="FN798" s="14"/>
      <c r="FO798" s="12" t="s">
        <v>319</v>
      </c>
      <c r="FP798" s="14"/>
      <c r="FQ798" s="16"/>
      <c r="FR798" s="14"/>
      <c r="FS798" s="12" t="s">
        <v>319</v>
      </c>
      <c r="FT798" s="14">
        <v>0</v>
      </c>
      <c r="FU798" s="16">
        <v>0</v>
      </c>
      <c r="FV798" s="14">
        <v>0</v>
      </c>
      <c r="FW798" s="12" t="s">
        <v>319</v>
      </c>
      <c r="FX798" s="14"/>
      <c r="FY798" s="16"/>
      <c r="FZ798" s="14"/>
      <c r="GA798" s="11" t="s">
        <v>320</v>
      </c>
      <c r="GB798" s="14">
        <v>103021</v>
      </c>
      <c r="GC798" s="16">
        <v>0.17299999999999999</v>
      </c>
      <c r="GD798" s="14">
        <v>0</v>
      </c>
      <c r="GE798" s="12" t="s">
        <v>319</v>
      </c>
      <c r="GF798" s="14"/>
      <c r="GG798" s="16"/>
      <c r="GH798" s="14"/>
      <c r="GI798" s="12" t="s">
        <v>319</v>
      </c>
      <c r="GJ798" s="14"/>
      <c r="GK798" s="16"/>
      <c r="GL798" s="14"/>
      <c r="GM798" s="12" t="s">
        <v>320</v>
      </c>
      <c r="GN798" s="14"/>
      <c r="GO798" s="16"/>
      <c r="GP798" s="14"/>
      <c r="GQ798" s="12" t="s">
        <v>319</v>
      </c>
      <c r="GR798" s="14"/>
      <c r="GS798" s="16"/>
      <c r="GT798" s="14"/>
      <c r="GU798" s="12" t="s">
        <v>319</v>
      </c>
      <c r="GV798" s="14"/>
      <c r="GW798" s="16"/>
      <c r="GX798" s="14"/>
      <c r="GY798" s="12" t="s">
        <v>319</v>
      </c>
      <c r="GZ798" s="14"/>
      <c r="HA798" s="16"/>
      <c r="HB798" s="14"/>
      <c r="HC798" s="12"/>
      <c r="HD798" s="12" t="s">
        <v>319</v>
      </c>
      <c r="HE798" s="14"/>
      <c r="HF798" s="16"/>
      <c r="HG798" s="14"/>
      <c r="HH798" s="12" t="s">
        <v>319</v>
      </c>
      <c r="HI798" s="12"/>
      <c r="HJ798" s="12"/>
      <c r="HK798" s="12" t="s">
        <v>7463</v>
      </c>
      <c r="HL798" s="12" t="s">
        <v>320</v>
      </c>
      <c r="HM798" s="12" t="s">
        <v>544</v>
      </c>
      <c r="HN798" s="12">
        <v>2018</v>
      </c>
      <c r="HO798" s="12"/>
      <c r="HP798" s="12" t="s">
        <v>453</v>
      </c>
      <c r="HQ798" s="12" t="s">
        <v>320</v>
      </c>
      <c r="HR798" s="12" t="s">
        <v>320</v>
      </c>
      <c r="HS798" s="12" t="s">
        <v>319</v>
      </c>
      <c r="HT798" s="12" t="s">
        <v>320</v>
      </c>
      <c r="HU798" s="12" t="s">
        <v>320</v>
      </c>
      <c r="HV798" s="12" t="s">
        <v>319</v>
      </c>
      <c r="HW798" s="12" t="s">
        <v>320</v>
      </c>
      <c r="HX798" s="12"/>
      <c r="HY798" s="12"/>
      <c r="HZ798" s="12" t="s">
        <v>394</v>
      </c>
      <c r="IA798" s="12"/>
      <c r="IB798" s="12" t="s">
        <v>396</v>
      </c>
      <c r="IC798" s="12"/>
      <c r="ID798" s="12" t="s">
        <v>334</v>
      </c>
      <c r="IE798" s="12" t="s">
        <v>478</v>
      </c>
      <c r="IF798" s="12" t="s">
        <v>320</v>
      </c>
      <c r="IG798" s="12" t="s">
        <v>320</v>
      </c>
      <c r="IH798" s="12" t="s">
        <v>320</v>
      </c>
      <c r="II798" s="12" t="s">
        <v>320</v>
      </c>
      <c r="IJ798" s="12" t="str">
        <f t="shared" si="517"/>
        <v>4. Transformative</v>
      </c>
      <c r="IK798" s="12">
        <f t="shared" si="518"/>
        <v>4</v>
      </c>
      <c r="IL798" s="11" t="s">
        <v>621</v>
      </c>
      <c r="IM798" s="12" t="s">
        <v>320</v>
      </c>
      <c r="IN798" s="12" t="s">
        <v>320</v>
      </c>
      <c r="IO798" s="12" t="s">
        <v>320</v>
      </c>
      <c r="IP798" s="12" t="s">
        <v>320</v>
      </c>
      <c r="IQ798" s="12" t="str">
        <f t="shared" si="519"/>
        <v>4. Transformational</v>
      </c>
      <c r="IR798" s="12">
        <f t="shared" si="520"/>
        <v>4</v>
      </c>
      <c r="IS798" s="12" t="s">
        <v>337</v>
      </c>
      <c r="IT798" s="12" t="s">
        <v>320</v>
      </c>
      <c r="IU798" s="12" t="s">
        <v>320</v>
      </c>
      <c r="IV798" s="12" t="s">
        <v>320</v>
      </c>
      <c r="IW798" s="11" t="str">
        <f t="shared" si="521"/>
        <v>2. Sensitive</v>
      </c>
      <c r="IX798" s="12">
        <f t="shared" si="522"/>
        <v>3</v>
      </c>
      <c r="IY798" s="12" t="s">
        <v>338</v>
      </c>
      <c r="IZ798" s="12" t="s">
        <v>527</v>
      </c>
      <c r="JA798" s="12">
        <v>16</v>
      </c>
      <c r="JB798" s="12" t="s">
        <v>433</v>
      </c>
      <c r="JC798" s="12" t="s">
        <v>687</v>
      </c>
      <c r="JD798" s="12" t="s">
        <v>651</v>
      </c>
      <c r="JE798" s="12" t="s">
        <v>340</v>
      </c>
      <c r="JF798" s="12"/>
      <c r="JG798" s="12" t="s">
        <v>12309</v>
      </c>
      <c r="JH798" s="12" t="s">
        <v>12310</v>
      </c>
      <c r="JI798" s="12" t="s">
        <v>12311</v>
      </c>
      <c r="JJ798" s="12" t="s">
        <v>12312</v>
      </c>
      <c r="JK798" s="12" t="s">
        <v>12313</v>
      </c>
      <c r="JL798" s="12" t="s">
        <v>12314</v>
      </c>
      <c r="JM798" s="12" t="s">
        <v>12315</v>
      </c>
      <c r="JN798" s="12"/>
      <c r="JO798" s="12" t="s">
        <v>12316</v>
      </c>
      <c r="JP798" s="15">
        <f t="shared" si="523"/>
        <v>103021</v>
      </c>
      <c r="JQ798" s="15">
        <f t="shared" si="524"/>
        <v>0</v>
      </c>
      <c r="JR798" s="279">
        <f t="shared" si="525"/>
        <v>0</v>
      </c>
      <c r="JS798" s="17">
        <f t="shared" si="526"/>
        <v>0.17317828403917648</v>
      </c>
      <c r="JT798" s="18" t="str">
        <f t="shared" si="527"/>
        <v/>
      </c>
      <c r="JU798" s="280">
        <f t="shared" si="528"/>
        <v>17841</v>
      </c>
      <c r="JV798" s="280">
        <f t="shared" si="529"/>
        <v>0</v>
      </c>
      <c r="JW798" s="319" t="str">
        <f t="shared" si="530"/>
        <v/>
      </c>
      <c r="JX798" s="15">
        <f t="shared" si="531"/>
        <v>0</v>
      </c>
      <c r="JY798" s="15">
        <f t="shared" si="532"/>
        <v>0</v>
      </c>
      <c r="JZ798" s="19" t="str">
        <f t="shared" si="533"/>
        <v/>
      </c>
      <c r="KA798" s="52" t="str">
        <f t="shared" si="534"/>
        <v/>
      </c>
      <c r="KB798" s="15">
        <f t="shared" si="535"/>
        <v>0</v>
      </c>
      <c r="KC798" s="15">
        <f t="shared" si="536"/>
        <v>0</v>
      </c>
      <c r="KD798" s="20" t="str">
        <f t="shared" si="537"/>
        <v/>
      </c>
      <c r="KE798" s="52" t="str">
        <f t="shared" si="538"/>
        <v/>
      </c>
      <c r="KF798" s="15">
        <f t="shared" si="539"/>
        <v>0</v>
      </c>
      <c r="KG798" s="15">
        <f t="shared" si="540"/>
        <v>0</v>
      </c>
      <c r="KH798" s="21" t="str">
        <f t="shared" si="541"/>
        <v/>
      </c>
      <c r="KI798" s="52" t="str">
        <f t="shared" si="542"/>
        <v/>
      </c>
      <c r="KJ798" s="15">
        <f t="shared" si="543"/>
        <v>0</v>
      </c>
      <c r="KK798" s="15">
        <f t="shared" si="544"/>
        <v>0</v>
      </c>
      <c r="KL798" s="19" t="str">
        <f t="shared" si="545"/>
        <v/>
      </c>
      <c r="KM798" s="52" t="str">
        <f t="shared" si="546"/>
        <v/>
      </c>
      <c r="KN798" s="22">
        <f t="shared" si="547"/>
        <v>0</v>
      </c>
      <c r="KO798" s="22">
        <f t="shared" si="548"/>
        <v>0</v>
      </c>
      <c r="KP798" s="19" t="str">
        <f t="shared" si="549"/>
        <v/>
      </c>
      <c r="KQ798" s="11" t="str">
        <f t="shared" si="550"/>
        <v>4. Transformative</v>
      </c>
      <c r="KR798" s="11" t="str">
        <f t="shared" si="551"/>
        <v>4. Transformational</v>
      </c>
      <c r="KS798" s="11" t="str">
        <f t="shared" si="552"/>
        <v>2. Sensitive</v>
      </c>
      <c r="KT798" s="11" t="str">
        <f t="shared" si="553"/>
        <v>It tested new ways for fighting poverty, but did not measure results of innovation</v>
      </c>
      <c r="KU798" s="11" t="str">
        <f t="shared" si="554"/>
        <v>Intensive advocacy</v>
      </c>
      <c r="KV798" s="11" t="str">
        <f t="shared" si="555"/>
        <v>It linked and worked with strategic alliances and partners to take tested and effective solutions to scale</v>
      </c>
      <c r="KW798" s="11" t="str">
        <f t="shared" si="556"/>
        <v>Thailand - Stop TB ans AIDS through RTTR (STAR)</v>
      </c>
      <c r="KX798" s="11" t="str">
        <f t="shared" si="557"/>
        <v>Stop TB ans AIDS through RTTR (STAR)</v>
      </c>
      <c r="KY798" s="11" t="str">
        <f t="shared" si="558"/>
        <v>Thailand</v>
      </c>
      <c r="KZ798" s="12">
        <v>799</v>
      </c>
    </row>
    <row r="799" spans="1:312" x14ac:dyDescent="0.3">
      <c r="A799" s="12" t="s">
        <v>12294</v>
      </c>
      <c r="B799" s="12" t="s">
        <v>306</v>
      </c>
      <c r="C799" s="12">
        <v>3668</v>
      </c>
      <c r="D799" s="43" t="s">
        <v>12475</v>
      </c>
      <c r="E799" s="277" t="str">
        <f t="shared" si="516"/>
        <v>Thailand</v>
      </c>
      <c r="F799" s="12" t="s">
        <v>12425</v>
      </c>
      <c r="G799" s="12" t="s">
        <v>12297</v>
      </c>
      <c r="H799" s="12" t="s">
        <v>310</v>
      </c>
      <c r="I799" s="12" t="s">
        <v>12298</v>
      </c>
      <c r="J799" s="281" t="s">
        <v>14750</v>
      </c>
      <c r="K799" s="12"/>
      <c r="L799" s="12"/>
      <c r="M799" s="12"/>
      <c r="N799" s="12"/>
      <c r="O799" s="12"/>
      <c r="P799" s="12"/>
      <c r="Q799" s="12"/>
      <c r="R799" s="12"/>
      <c r="S799" s="12"/>
      <c r="T799" s="12"/>
      <c r="U799" s="12"/>
      <c r="V799" s="12"/>
      <c r="W799" s="12"/>
      <c r="X799" s="12"/>
      <c r="Y799" s="12"/>
      <c r="Z799" s="12"/>
      <c r="AA799" s="12"/>
      <c r="AB799" s="12"/>
      <c r="AC799" s="12"/>
      <c r="AD799" s="12"/>
      <c r="BD799" s="13">
        <v>42370</v>
      </c>
      <c r="BE799" s="13">
        <v>42643</v>
      </c>
      <c r="BF799" s="12"/>
      <c r="BG799" s="12" t="s">
        <v>312</v>
      </c>
      <c r="BH799" s="14">
        <v>5657</v>
      </c>
      <c r="BI799" s="12" t="s">
        <v>12446</v>
      </c>
      <c r="BJ799" s="12" t="s">
        <v>8849</v>
      </c>
      <c r="BK799" s="12" t="s">
        <v>12447</v>
      </c>
      <c r="BL799" s="12"/>
      <c r="BM799" s="12"/>
      <c r="BN799" s="12"/>
      <c r="BO799" s="12" t="s">
        <v>319</v>
      </c>
      <c r="BP799" s="12" t="s">
        <v>320</v>
      </c>
      <c r="BQ799" s="12" t="s">
        <v>319</v>
      </c>
      <c r="BR799" s="12" t="s">
        <v>12475</v>
      </c>
      <c r="BS799" s="12" t="s">
        <v>357</v>
      </c>
      <c r="BT799" s="12" t="s">
        <v>12457</v>
      </c>
      <c r="BU799" s="12" t="s">
        <v>12476</v>
      </c>
      <c r="BV799" s="14">
        <v>160</v>
      </c>
      <c r="BW799" s="14">
        <v>150</v>
      </c>
      <c r="BX799" s="14">
        <v>310</v>
      </c>
      <c r="BY799" s="14">
        <v>200</v>
      </c>
      <c r="BZ799" s="14">
        <v>130</v>
      </c>
      <c r="CA799" s="14">
        <v>330</v>
      </c>
      <c r="CB799" s="12"/>
      <c r="CD799" s="14"/>
      <c r="CE799" s="14"/>
      <c r="CF799" s="14"/>
      <c r="CG799" s="14"/>
      <c r="CH799" s="14"/>
      <c r="CI799" s="14"/>
      <c r="CJ799" s="12"/>
      <c r="CK799" s="14"/>
      <c r="CL799" s="16"/>
      <c r="CM799" s="14"/>
      <c r="CN799" s="12"/>
      <c r="CO799" s="14"/>
      <c r="CP799" s="16"/>
      <c r="CQ799" s="14"/>
      <c r="CR799" s="12"/>
      <c r="CS799" s="14"/>
      <c r="CT799" s="16"/>
      <c r="CU799" s="14"/>
      <c r="CV799" s="12"/>
      <c r="CW799" s="14"/>
      <c r="CX799" s="16"/>
      <c r="CY799" s="14"/>
      <c r="CZ799" s="12"/>
      <c r="DA799" s="14"/>
      <c r="DB799" s="16"/>
      <c r="DC799" s="14"/>
      <c r="DD799" s="12"/>
      <c r="DE799" s="14"/>
      <c r="DF799" s="16"/>
      <c r="DG799" s="14"/>
      <c r="DH799" s="12"/>
      <c r="DI799" s="14"/>
      <c r="DJ799" s="16"/>
      <c r="DK799" s="14"/>
      <c r="DL799" s="12"/>
      <c r="DM799" s="14"/>
      <c r="DN799" s="16"/>
      <c r="DO799" s="14"/>
      <c r="DP799" s="12"/>
      <c r="DQ799" s="14"/>
      <c r="DR799" s="16"/>
      <c r="DS799" s="14"/>
      <c r="DT799" s="12"/>
      <c r="DU799" s="14"/>
      <c r="DV799" s="16"/>
      <c r="DW799" s="14"/>
      <c r="DX799" s="12"/>
      <c r="DY799" s="14"/>
      <c r="DZ799" s="16"/>
      <c r="EA799" s="14"/>
      <c r="EB799" s="12"/>
      <c r="EC799" s="14"/>
      <c r="ED799" s="16"/>
      <c r="EE799" s="14"/>
      <c r="EF799" s="12"/>
      <c r="EG799" s="12"/>
      <c r="EH799" s="14"/>
      <c r="EI799" s="16"/>
      <c r="EJ799" s="14"/>
      <c r="EK799" s="14">
        <v>200</v>
      </c>
      <c r="EL799" s="14">
        <v>100</v>
      </c>
      <c r="EM799" s="14">
        <v>300</v>
      </c>
      <c r="EN799" s="14">
        <v>160</v>
      </c>
      <c r="EO799" s="14">
        <v>80</v>
      </c>
      <c r="EP799" s="14">
        <v>240</v>
      </c>
      <c r="EQ799" s="12" t="s">
        <v>319</v>
      </c>
      <c r="ER799" s="14"/>
      <c r="ES799" s="16"/>
      <c r="ET799" s="14"/>
      <c r="EU799" s="11" t="s">
        <v>319</v>
      </c>
      <c r="EV799" s="14"/>
      <c r="EW799" s="16"/>
      <c r="EX799" s="14"/>
      <c r="EY799" s="12" t="s">
        <v>319</v>
      </c>
      <c r="EZ799" s="14"/>
      <c r="FA799" s="16"/>
      <c r="FB799" s="14"/>
      <c r="FC799" s="12" t="s">
        <v>319</v>
      </c>
      <c r="FD799" s="14"/>
      <c r="FE799" s="16"/>
      <c r="FF799" s="14"/>
      <c r="FG799" s="12" t="s">
        <v>319</v>
      </c>
      <c r="FH799" s="14"/>
      <c r="FI799" s="16"/>
      <c r="FJ799" s="14"/>
      <c r="FK799" s="12" t="s">
        <v>319</v>
      </c>
      <c r="FL799" s="14"/>
      <c r="FM799" s="16"/>
      <c r="FN799" s="14"/>
      <c r="FO799" s="12" t="s">
        <v>319</v>
      </c>
      <c r="FP799" s="14"/>
      <c r="FQ799" s="16"/>
      <c r="FR799" s="14"/>
      <c r="FS799" s="12" t="s">
        <v>319</v>
      </c>
      <c r="FT799" s="14">
        <v>0</v>
      </c>
      <c r="FU799" s="16">
        <v>0</v>
      </c>
      <c r="FV799" s="14">
        <v>0</v>
      </c>
      <c r="FW799" s="11" t="s">
        <v>320</v>
      </c>
      <c r="FX799" s="14">
        <v>540</v>
      </c>
      <c r="FY799" s="16">
        <v>0.66</v>
      </c>
      <c r="FZ799" s="14">
        <v>240</v>
      </c>
      <c r="GA799" s="12" t="s">
        <v>319</v>
      </c>
      <c r="GB799" s="14"/>
      <c r="GC799" s="16"/>
      <c r="GD799" s="14"/>
      <c r="GE799" s="12" t="s">
        <v>319</v>
      </c>
      <c r="GF799" s="14"/>
      <c r="GG799" s="16"/>
      <c r="GH799" s="14"/>
      <c r="GI799" s="12" t="s">
        <v>319</v>
      </c>
      <c r="GJ799" s="14"/>
      <c r="GK799" s="16"/>
      <c r="GL799" s="14"/>
      <c r="GM799" s="12" t="s">
        <v>319</v>
      </c>
      <c r="GN799" s="14"/>
      <c r="GO799" s="16"/>
      <c r="GP799" s="14"/>
      <c r="GQ799" s="12" t="s">
        <v>319</v>
      </c>
      <c r="GR799" s="14"/>
      <c r="GS799" s="16"/>
      <c r="GT799" s="14"/>
      <c r="GU799" s="12" t="s">
        <v>319</v>
      </c>
      <c r="GV799" s="14"/>
      <c r="GW799" s="16"/>
      <c r="GX799" s="14"/>
      <c r="GY799" s="12" t="s">
        <v>319</v>
      </c>
      <c r="GZ799" s="14"/>
      <c r="HA799" s="16"/>
      <c r="HB799" s="14"/>
      <c r="HC799" s="12"/>
      <c r="HD799" s="12" t="s">
        <v>319</v>
      </c>
      <c r="HE799" s="14"/>
      <c r="HF799" s="16"/>
      <c r="HG799" s="14"/>
      <c r="HH799" s="12" t="s">
        <v>319</v>
      </c>
      <c r="HI799" s="12"/>
      <c r="HJ799" s="12"/>
      <c r="HK799" s="12" t="s">
        <v>319</v>
      </c>
      <c r="HL799" s="12" t="s">
        <v>319</v>
      </c>
      <c r="HM799" s="12"/>
      <c r="HN799" s="12"/>
      <c r="HO799" s="12"/>
      <c r="HP799" s="12" t="s">
        <v>418</v>
      </c>
      <c r="HQ799" s="12" t="s">
        <v>319</v>
      </c>
      <c r="HR799" s="12" t="s">
        <v>319</v>
      </c>
      <c r="HS799" s="12"/>
      <c r="HT799" s="12" t="s">
        <v>320</v>
      </c>
      <c r="HU799" s="12" t="s">
        <v>319</v>
      </c>
      <c r="HV799" s="12"/>
      <c r="HW799" s="12" t="s">
        <v>319</v>
      </c>
      <c r="HX799" s="12"/>
      <c r="HY799" s="12"/>
      <c r="HZ799" s="12" t="s">
        <v>363</v>
      </c>
      <c r="IA799" s="12"/>
      <c r="IB799" s="12" t="s">
        <v>396</v>
      </c>
      <c r="IC799" s="12"/>
      <c r="ID799" s="12" t="s">
        <v>334</v>
      </c>
      <c r="IE799" s="12" t="s">
        <v>335</v>
      </c>
      <c r="IF799" s="12" t="s">
        <v>320</v>
      </c>
      <c r="IG799" s="12" t="s">
        <v>320</v>
      </c>
      <c r="IH799" s="12" t="s">
        <v>320</v>
      </c>
      <c r="II799" s="12" t="s">
        <v>320</v>
      </c>
      <c r="IJ799" s="12" t="str">
        <f t="shared" si="517"/>
        <v>2. Sensitive</v>
      </c>
      <c r="IK799" s="12">
        <f t="shared" si="518"/>
        <v>4</v>
      </c>
      <c r="IL799" s="12" t="s">
        <v>336</v>
      </c>
      <c r="IM799" s="12" t="s">
        <v>320</v>
      </c>
      <c r="IN799" s="12" t="s">
        <v>320</v>
      </c>
      <c r="IO799" s="12" t="s">
        <v>320</v>
      </c>
      <c r="IP799" s="12" t="s">
        <v>320</v>
      </c>
      <c r="IQ799" s="12" t="str">
        <f t="shared" si="519"/>
        <v>2. Accommodating</v>
      </c>
      <c r="IR799" s="12">
        <f t="shared" si="520"/>
        <v>4</v>
      </c>
      <c r="IS799" s="12" t="s">
        <v>337</v>
      </c>
      <c r="IT799" s="12" t="s">
        <v>320</v>
      </c>
      <c r="IU799" s="12" t="s">
        <v>320</v>
      </c>
      <c r="IV799" s="12" t="s">
        <v>319</v>
      </c>
      <c r="IW799" s="11" t="str">
        <f t="shared" si="521"/>
        <v>1. Neutral</v>
      </c>
      <c r="IX799" s="12">
        <f t="shared" si="522"/>
        <v>2</v>
      </c>
      <c r="IY799" s="12" t="s">
        <v>338</v>
      </c>
      <c r="IZ799" s="12" t="s">
        <v>339</v>
      </c>
      <c r="JA799" s="12"/>
      <c r="JB799" s="12" t="s">
        <v>433</v>
      </c>
      <c r="JC799" s="12" t="s">
        <v>687</v>
      </c>
      <c r="JD799" s="12" t="s">
        <v>623</v>
      </c>
      <c r="JE799" s="12" t="s">
        <v>420</v>
      </c>
      <c r="JF799" s="12"/>
      <c r="JG799" s="12"/>
      <c r="JH799" s="12"/>
      <c r="JI799" s="12"/>
      <c r="JJ799" s="12"/>
      <c r="JK799" s="12"/>
      <c r="JL799" s="12"/>
      <c r="JM799" s="12"/>
      <c r="JN799" s="12"/>
      <c r="JO799" s="12"/>
      <c r="JP799" s="15">
        <f t="shared" si="523"/>
        <v>300</v>
      </c>
      <c r="JQ799" s="15">
        <f t="shared" si="524"/>
        <v>240</v>
      </c>
      <c r="JR799" s="279">
        <f t="shared" si="525"/>
        <v>0.8</v>
      </c>
      <c r="JS799" s="17">
        <f t="shared" si="526"/>
        <v>0.66666666666666663</v>
      </c>
      <c r="JT799" s="18">
        <f t="shared" si="527"/>
        <v>0.66666666666666663</v>
      </c>
      <c r="JU799" s="280">
        <f t="shared" si="528"/>
        <v>200</v>
      </c>
      <c r="JV799" s="280">
        <f t="shared" si="529"/>
        <v>160</v>
      </c>
      <c r="JW799" s="319" t="str">
        <f t="shared" si="530"/>
        <v/>
      </c>
      <c r="JX799" s="15">
        <f t="shared" si="531"/>
        <v>0</v>
      </c>
      <c r="JY799" s="15">
        <f t="shared" si="532"/>
        <v>0</v>
      </c>
      <c r="JZ799" s="19" t="str">
        <f t="shared" si="533"/>
        <v/>
      </c>
      <c r="KA799" s="52" t="str">
        <f t="shared" si="534"/>
        <v/>
      </c>
      <c r="KB799" s="15">
        <f t="shared" si="535"/>
        <v>0</v>
      </c>
      <c r="KC799" s="15">
        <f t="shared" si="536"/>
        <v>0</v>
      </c>
      <c r="KD799" s="20" t="str">
        <f t="shared" si="537"/>
        <v/>
      </c>
      <c r="KE799" s="52" t="str">
        <f t="shared" si="538"/>
        <v/>
      </c>
      <c r="KF799" s="15">
        <f t="shared" si="539"/>
        <v>0</v>
      </c>
      <c r="KG799" s="15">
        <f t="shared" si="540"/>
        <v>0</v>
      </c>
      <c r="KH799" s="21" t="str">
        <f t="shared" si="541"/>
        <v/>
      </c>
      <c r="KI799" s="52" t="str">
        <f t="shared" si="542"/>
        <v/>
      </c>
      <c r="KJ799" s="15">
        <f t="shared" si="543"/>
        <v>0</v>
      </c>
      <c r="KK799" s="15">
        <f t="shared" si="544"/>
        <v>0</v>
      </c>
      <c r="KL799" s="19" t="str">
        <f t="shared" si="545"/>
        <v/>
      </c>
      <c r="KM799" s="52" t="str">
        <f t="shared" si="546"/>
        <v/>
      </c>
      <c r="KN799" s="22">
        <f t="shared" si="547"/>
        <v>0</v>
      </c>
      <c r="KO799" s="22">
        <f t="shared" si="548"/>
        <v>0</v>
      </c>
      <c r="KP799" s="19" t="str">
        <f t="shared" si="549"/>
        <v/>
      </c>
      <c r="KQ799" s="11" t="str">
        <f t="shared" si="550"/>
        <v>2. Sensitive</v>
      </c>
      <c r="KR799" s="11" t="str">
        <f t="shared" si="551"/>
        <v>2. Accommodating</v>
      </c>
      <c r="KS799" s="11" t="str">
        <f t="shared" si="552"/>
        <v>1. Neutral</v>
      </c>
      <c r="KT799" s="11" t="str">
        <f t="shared" si="553"/>
        <v>It did not develop any specific innovation</v>
      </c>
      <c r="KU799" s="11" t="str">
        <f t="shared" si="554"/>
        <v>Little or no advocacy</v>
      </c>
      <c r="KV799" s="11" t="str">
        <f t="shared" si="555"/>
        <v>It linked and worked with strategic alliances and partners to take tested and effective solutions to scale</v>
      </c>
      <c r="KW799" s="11" t="str">
        <f t="shared" si="556"/>
        <v>Thailand - Strengthening Women Leaders to be Change Agent on Sexual and Reproductive Health Promotion</v>
      </c>
      <c r="KX799" s="11" t="str">
        <f t="shared" si="557"/>
        <v>Strengthening Women Leaders to be Change Agent on Sexual and Reproductive Health Promotion</v>
      </c>
      <c r="KY799" s="11" t="str">
        <f t="shared" si="558"/>
        <v>Thailand</v>
      </c>
      <c r="KZ799" s="12">
        <v>800</v>
      </c>
    </row>
    <row r="800" spans="1:312" x14ac:dyDescent="0.3">
      <c r="A800" s="12" t="s">
        <v>12294</v>
      </c>
      <c r="B800" s="12" t="s">
        <v>306</v>
      </c>
      <c r="C800" s="12">
        <v>3665</v>
      </c>
      <c r="D800" s="43" t="s">
        <v>12477</v>
      </c>
      <c r="E800" s="277" t="str">
        <f t="shared" si="516"/>
        <v>Thailand</v>
      </c>
      <c r="F800" s="12" t="s">
        <v>12478</v>
      </c>
      <c r="G800" s="12" t="s">
        <v>12297</v>
      </c>
      <c r="H800" s="12" t="s">
        <v>310</v>
      </c>
      <c r="I800" s="12" t="s">
        <v>384</v>
      </c>
      <c r="J800" s="281" t="s">
        <v>12479</v>
      </c>
      <c r="K800" s="12"/>
      <c r="L800" s="12"/>
      <c r="M800" s="12"/>
      <c r="N800" s="12"/>
      <c r="O800" s="12"/>
      <c r="P800" s="12"/>
      <c r="Q800" s="12"/>
      <c r="R800" s="12"/>
      <c r="S800" s="12"/>
      <c r="T800" s="12"/>
      <c r="U800" s="12"/>
      <c r="V800" s="12"/>
      <c r="W800" s="12"/>
      <c r="X800" s="12"/>
      <c r="Y800" s="12"/>
      <c r="Z800" s="12"/>
      <c r="AA800" s="12"/>
      <c r="AB800" s="12"/>
      <c r="AC800" s="12"/>
      <c r="AD800" s="12"/>
      <c r="BD800" s="13">
        <v>41913</v>
      </c>
      <c r="BE800" s="13">
        <v>43069</v>
      </c>
      <c r="BF800" s="12"/>
      <c r="BG800" s="12" t="s">
        <v>312</v>
      </c>
      <c r="BH800" s="14">
        <v>242268</v>
      </c>
      <c r="BI800" s="12" t="s">
        <v>12456</v>
      </c>
      <c r="BJ800" s="12" t="s">
        <v>8849</v>
      </c>
      <c r="BK800" s="12" t="s">
        <v>12447</v>
      </c>
      <c r="BL800" s="12" t="s">
        <v>12480</v>
      </c>
      <c r="BM800" s="12" t="s">
        <v>12481</v>
      </c>
      <c r="BN800" s="12" t="s">
        <v>12482</v>
      </c>
      <c r="BO800" s="12" t="s">
        <v>319</v>
      </c>
      <c r="BP800" s="12" t="s">
        <v>320</v>
      </c>
      <c r="BQ800" s="12" t="s">
        <v>319</v>
      </c>
      <c r="BR800" s="12" t="s">
        <v>12483</v>
      </c>
      <c r="BS800" s="12" t="s">
        <v>357</v>
      </c>
      <c r="BT800" s="12" t="s">
        <v>12484</v>
      </c>
      <c r="BU800" s="12" t="s">
        <v>12485</v>
      </c>
      <c r="BV800" s="14">
        <v>6000</v>
      </c>
      <c r="BW800" s="14">
        <v>5000</v>
      </c>
      <c r="BX800" s="14">
        <v>11000</v>
      </c>
      <c r="BY800" s="14">
        <v>8000</v>
      </c>
      <c r="BZ800" s="14">
        <v>6000</v>
      </c>
      <c r="CA800" s="14">
        <v>14000</v>
      </c>
      <c r="CB800" s="12"/>
      <c r="CD800" s="14"/>
      <c r="CE800" s="14"/>
      <c r="CF800" s="14"/>
      <c r="CG800" s="14"/>
      <c r="CH800" s="14"/>
      <c r="CI800" s="14"/>
      <c r="CJ800" s="12"/>
      <c r="CK800" s="14"/>
      <c r="CL800" s="16"/>
      <c r="CM800" s="14"/>
      <c r="CN800" s="12"/>
      <c r="CO800" s="14"/>
      <c r="CP800" s="16"/>
      <c r="CQ800" s="14"/>
      <c r="CR800" s="12"/>
      <c r="CS800" s="14"/>
      <c r="CT800" s="16"/>
      <c r="CU800" s="14"/>
      <c r="CV800" s="12"/>
      <c r="CW800" s="14"/>
      <c r="CX800" s="16"/>
      <c r="CY800" s="14"/>
      <c r="CZ800" s="12"/>
      <c r="DA800" s="14"/>
      <c r="DB800" s="16"/>
      <c r="DC800" s="14"/>
      <c r="DD800" s="12"/>
      <c r="DE800" s="14"/>
      <c r="DF800" s="16"/>
      <c r="DG800" s="14"/>
      <c r="DH800" s="12"/>
      <c r="DI800" s="14"/>
      <c r="DJ800" s="16"/>
      <c r="DK800" s="14"/>
      <c r="DL800" s="12"/>
      <c r="DM800" s="14"/>
      <c r="DN800" s="16"/>
      <c r="DO800" s="14"/>
      <c r="DP800" s="12"/>
      <c r="DQ800" s="14"/>
      <c r="DR800" s="16"/>
      <c r="DS800" s="14"/>
      <c r="DT800" s="12"/>
      <c r="DU800" s="14"/>
      <c r="DV800" s="16"/>
      <c r="DW800" s="14"/>
      <c r="DX800" s="12"/>
      <c r="DY800" s="14"/>
      <c r="DZ800" s="16"/>
      <c r="EA800" s="14"/>
      <c r="EB800" s="12"/>
      <c r="EC800" s="14"/>
      <c r="ED800" s="16"/>
      <c r="EE800" s="14"/>
      <c r="EF800" s="12"/>
      <c r="EG800" s="12"/>
      <c r="EH800" s="14"/>
      <c r="EI800" s="16"/>
      <c r="EJ800" s="14"/>
      <c r="EK800" s="14">
        <v>1500</v>
      </c>
      <c r="EL800" s="14">
        <v>1000</v>
      </c>
      <c r="EM800" s="14">
        <v>2500</v>
      </c>
      <c r="EN800" s="14">
        <v>3000</v>
      </c>
      <c r="EO800" s="14">
        <v>2500</v>
      </c>
      <c r="EP800" s="14">
        <v>5500</v>
      </c>
      <c r="EQ800" s="12" t="s">
        <v>319</v>
      </c>
      <c r="ER800" s="14"/>
      <c r="ES800" s="16"/>
      <c r="ET800" s="14"/>
      <c r="EU800" s="11" t="s">
        <v>319</v>
      </c>
      <c r="EV800" s="14"/>
      <c r="EW800" s="16"/>
      <c r="EX800" s="14"/>
      <c r="EY800" s="12" t="s">
        <v>319</v>
      </c>
      <c r="EZ800" s="14"/>
      <c r="FA800" s="16"/>
      <c r="FB800" s="14"/>
      <c r="FC800" s="12" t="s">
        <v>319</v>
      </c>
      <c r="FD800" s="14"/>
      <c r="FE800" s="16"/>
      <c r="FF800" s="14"/>
      <c r="FG800" s="12" t="s">
        <v>319</v>
      </c>
      <c r="FH800" s="14"/>
      <c r="FI800" s="16"/>
      <c r="FJ800" s="14"/>
      <c r="FK800" s="12" t="s">
        <v>319</v>
      </c>
      <c r="FL800" s="14"/>
      <c r="FM800" s="16"/>
      <c r="FN800" s="14"/>
      <c r="FO800" s="12" t="s">
        <v>319</v>
      </c>
      <c r="FP800" s="14"/>
      <c r="FQ800" s="16"/>
      <c r="FR800" s="14"/>
      <c r="FS800" s="12" t="s">
        <v>319</v>
      </c>
      <c r="FT800" s="14">
        <v>0</v>
      </c>
      <c r="FU800" s="16">
        <v>0</v>
      </c>
      <c r="FV800" s="14">
        <v>0</v>
      </c>
      <c r="FW800" s="12" t="s">
        <v>319</v>
      </c>
      <c r="FX800" s="14"/>
      <c r="FY800" s="16"/>
      <c r="FZ800" s="14"/>
      <c r="GA800" s="12" t="s">
        <v>319</v>
      </c>
      <c r="GB800" s="14"/>
      <c r="GC800" s="16"/>
      <c r="GD800" s="14"/>
      <c r="GE800" s="12" t="s">
        <v>319</v>
      </c>
      <c r="GF800" s="14"/>
      <c r="GG800" s="16"/>
      <c r="GH800" s="14"/>
      <c r="GI800" s="12" t="s">
        <v>319</v>
      </c>
      <c r="GJ800" s="14"/>
      <c r="GK800" s="16"/>
      <c r="GL800" s="14"/>
      <c r="GM800" s="12" t="s">
        <v>319</v>
      </c>
      <c r="GN800" s="14"/>
      <c r="GO800" s="16"/>
      <c r="GP800" s="14"/>
      <c r="GQ800" s="12" t="s">
        <v>320</v>
      </c>
      <c r="GR800" s="14">
        <v>2500</v>
      </c>
      <c r="GS800" s="16">
        <v>0.6</v>
      </c>
      <c r="GT800" s="14">
        <v>5500</v>
      </c>
      <c r="GU800" s="12" t="s">
        <v>319</v>
      </c>
      <c r="GV800" s="14"/>
      <c r="GW800" s="16"/>
      <c r="GX800" s="14"/>
      <c r="GY800" s="12" t="s">
        <v>319</v>
      </c>
      <c r="GZ800" s="14"/>
      <c r="HA800" s="16"/>
      <c r="HB800" s="14"/>
      <c r="HC800" s="12"/>
      <c r="HD800" s="12" t="s">
        <v>319</v>
      </c>
      <c r="HE800" s="14"/>
      <c r="HF800" s="16"/>
      <c r="HG800" s="14"/>
      <c r="HH800" s="12" t="s">
        <v>320</v>
      </c>
      <c r="HI800" s="12" t="s">
        <v>12486</v>
      </c>
      <c r="HJ800" s="12">
        <v>2016</v>
      </c>
      <c r="HK800" s="12" t="s">
        <v>319</v>
      </c>
      <c r="HL800" s="12" t="s">
        <v>319</v>
      </c>
      <c r="HM800" s="12"/>
      <c r="HN800" s="12"/>
      <c r="HO800" s="12"/>
      <c r="HP800" s="12" t="s">
        <v>418</v>
      </c>
      <c r="HQ800" s="12" t="s">
        <v>319</v>
      </c>
      <c r="HR800" s="12" t="s">
        <v>319</v>
      </c>
      <c r="HS800" s="12" t="s">
        <v>319</v>
      </c>
      <c r="HT800" s="12" t="s">
        <v>319</v>
      </c>
      <c r="HU800" s="12" t="s">
        <v>319</v>
      </c>
      <c r="HV800" s="12" t="s">
        <v>320</v>
      </c>
      <c r="HW800" s="12" t="s">
        <v>319</v>
      </c>
      <c r="HX800" s="12"/>
      <c r="HY800" s="12"/>
      <c r="HZ800" s="12" t="s">
        <v>363</v>
      </c>
      <c r="IA800" s="12"/>
      <c r="IB800" s="12" t="s">
        <v>667</v>
      </c>
      <c r="IC800" s="12"/>
      <c r="ID800" s="12" t="s">
        <v>477</v>
      </c>
      <c r="IE800" s="12" t="s">
        <v>478</v>
      </c>
      <c r="IF800" s="12" t="s">
        <v>320</v>
      </c>
      <c r="IG800" s="12" t="s">
        <v>320</v>
      </c>
      <c r="IH800" s="12" t="s">
        <v>320</v>
      </c>
      <c r="II800" s="12" t="s">
        <v>320</v>
      </c>
      <c r="IJ800" s="12" t="str">
        <f t="shared" si="517"/>
        <v>4. Transformative</v>
      </c>
      <c r="IK800" s="12">
        <f t="shared" si="518"/>
        <v>4</v>
      </c>
      <c r="IL800" s="11" t="s">
        <v>621</v>
      </c>
      <c r="IM800" s="12" t="s">
        <v>320</v>
      </c>
      <c r="IN800" s="12" t="s">
        <v>320</v>
      </c>
      <c r="IO800" s="12" t="s">
        <v>320</v>
      </c>
      <c r="IP800" s="12" t="s">
        <v>320</v>
      </c>
      <c r="IQ800" s="12" t="str">
        <f t="shared" si="519"/>
        <v>4. Transformational</v>
      </c>
      <c r="IR800" s="12">
        <f t="shared" si="520"/>
        <v>4</v>
      </c>
      <c r="IS800" s="12" t="s">
        <v>337</v>
      </c>
      <c r="IT800" s="12" t="s">
        <v>320</v>
      </c>
      <c r="IU800" s="12" t="s">
        <v>320</v>
      </c>
      <c r="IV800" s="12" t="s">
        <v>319</v>
      </c>
      <c r="IW800" s="11" t="str">
        <f t="shared" si="521"/>
        <v>1. Neutral</v>
      </c>
      <c r="IX800" s="12">
        <f t="shared" si="522"/>
        <v>2</v>
      </c>
      <c r="IY800" s="12" t="s">
        <v>338</v>
      </c>
      <c r="IZ800" s="12" t="s">
        <v>339</v>
      </c>
      <c r="JA800" s="12"/>
      <c r="JB800" s="12" t="s">
        <v>687</v>
      </c>
      <c r="JC800" s="12" t="s">
        <v>433</v>
      </c>
      <c r="JD800" s="12" t="s">
        <v>12487</v>
      </c>
      <c r="JE800" s="12" t="s">
        <v>420</v>
      </c>
      <c r="JF800" s="12"/>
      <c r="JG800" s="12"/>
      <c r="JH800" s="12"/>
      <c r="JI800" s="12"/>
      <c r="JJ800" s="12"/>
      <c r="JK800" s="12"/>
      <c r="JL800" s="12"/>
      <c r="JM800" s="12"/>
      <c r="JN800" s="12"/>
      <c r="JO800" s="12"/>
      <c r="JP800" s="15">
        <f t="shared" si="523"/>
        <v>2500</v>
      </c>
      <c r="JQ800" s="15">
        <f t="shared" si="524"/>
        <v>5500</v>
      </c>
      <c r="JR800" s="279">
        <f t="shared" si="525"/>
        <v>2.2000000000000002</v>
      </c>
      <c r="JS800" s="17">
        <f t="shared" si="526"/>
        <v>0.6</v>
      </c>
      <c r="JT800" s="18">
        <f t="shared" si="527"/>
        <v>0.54545454545454541</v>
      </c>
      <c r="JU800" s="280">
        <f t="shared" si="528"/>
        <v>1500</v>
      </c>
      <c r="JV800" s="280">
        <f t="shared" si="529"/>
        <v>3000</v>
      </c>
      <c r="JW800" s="319" t="str">
        <f t="shared" si="530"/>
        <v/>
      </c>
      <c r="JX800" s="15">
        <f t="shared" si="531"/>
        <v>0</v>
      </c>
      <c r="JY800" s="15">
        <f t="shared" si="532"/>
        <v>0</v>
      </c>
      <c r="JZ800" s="19" t="str">
        <f t="shared" si="533"/>
        <v/>
      </c>
      <c r="KA800" s="52" t="str">
        <f t="shared" si="534"/>
        <v/>
      </c>
      <c r="KB800" s="15">
        <f t="shared" si="535"/>
        <v>0</v>
      </c>
      <c r="KC800" s="15">
        <f t="shared" si="536"/>
        <v>0</v>
      </c>
      <c r="KD800" s="20" t="str">
        <f t="shared" si="537"/>
        <v/>
      </c>
      <c r="KE800" s="52">
        <f t="shared" si="538"/>
        <v>1</v>
      </c>
      <c r="KF800" s="15">
        <f t="shared" si="539"/>
        <v>2500</v>
      </c>
      <c r="KG800" s="15">
        <f t="shared" si="540"/>
        <v>5500</v>
      </c>
      <c r="KH800" s="21">
        <f t="shared" si="541"/>
        <v>2.2000000000000002</v>
      </c>
      <c r="KI800" s="52" t="str">
        <f t="shared" si="542"/>
        <v/>
      </c>
      <c r="KJ800" s="15">
        <f t="shared" si="543"/>
        <v>0</v>
      </c>
      <c r="KK800" s="15">
        <f t="shared" si="544"/>
        <v>0</v>
      </c>
      <c r="KL800" s="19" t="str">
        <f t="shared" si="545"/>
        <v/>
      </c>
      <c r="KM800" s="52" t="str">
        <f t="shared" si="546"/>
        <v/>
      </c>
      <c r="KN800" s="22">
        <f t="shared" si="547"/>
        <v>0</v>
      </c>
      <c r="KO800" s="22">
        <f t="shared" si="548"/>
        <v>0</v>
      </c>
      <c r="KP800" s="19" t="str">
        <f t="shared" si="549"/>
        <v/>
      </c>
      <c r="KQ800" s="11" t="str">
        <f t="shared" si="550"/>
        <v>4. Transformative</v>
      </c>
      <c r="KR800" s="11" t="str">
        <f t="shared" si="551"/>
        <v>4. Transformational</v>
      </c>
      <c r="KS800" s="11" t="str">
        <f t="shared" si="552"/>
        <v>1. Neutral</v>
      </c>
      <c r="KT800" s="11" t="str">
        <f t="shared" si="553"/>
        <v>It did not develop any specific innovation</v>
      </c>
      <c r="KU800" s="11" t="str">
        <f t="shared" si="554"/>
        <v>Little or no advocacy</v>
      </c>
      <c r="KV800" s="11" t="str">
        <f t="shared" si="555"/>
        <v>It took tested solutions to scale on its own</v>
      </c>
      <c r="KW800" s="11" t="str">
        <f t="shared" si="556"/>
        <v>Thailand - Teen  Pregnancy (Prevention &amp; Solving Pregnancy of Teenagers in Chiang Mai,  Lamphun ,Phayao)</v>
      </c>
      <c r="KX800" s="11" t="str">
        <f t="shared" si="557"/>
        <v>Teen  Pregnancy (Prevention &amp; Solving Pregnancy of Teenagers in Chiang Mai,  Lamphun ,Phayao)</v>
      </c>
      <c r="KY800" s="11" t="str">
        <f t="shared" si="558"/>
        <v>Thailand</v>
      </c>
      <c r="KZ800" s="12">
        <v>801</v>
      </c>
    </row>
    <row r="801" spans="1:312" x14ac:dyDescent="0.3">
      <c r="A801" s="12" t="s">
        <v>12294</v>
      </c>
      <c r="B801" s="12" t="s">
        <v>306</v>
      </c>
      <c r="C801" s="12">
        <v>3663</v>
      </c>
      <c r="D801" s="43" t="s">
        <v>12488</v>
      </c>
      <c r="E801" s="277" t="str">
        <f t="shared" si="516"/>
        <v>Thailand</v>
      </c>
      <c r="F801" s="12" t="s">
        <v>12489</v>
      </c>
      <c r="G801" s="12" t="s">
        <v>12297</v>
      </c>
      <c r="H801" s="12" t="s">
        <v>310</v>
      </c>
      <c r="I801" s="12" t="s">
        <v>12298</v>
      </c>
      <c r="J801" s="281" t="s">
        <v>14750</v>
      </c>
      <c r="K801" s="12" t="s">
        <v>12489</v>
      </c>
      <c r="L801" s="12" t="s">
        <v>12297</v>
      </c>
      <c r="M801" s="12" t="s">
        <v>383</v>
      </c>
      <c r="N801" s="12" t="s">
        <v>1472</v>
      </c>
      <c r="O801" s="281" t="s">
        <v>8559</v>
      </c>
      <c r="P801" s="12"/>
      <c r="Q801" s="12"/>
      <c r="R801" s="12"/>
      <c r="S801" s="12"/>
      <c r="T801" s="12"/>
      <c r="U801" s="12"/>
      <c r="V801" s="12"/>
      <c r="W801" s="12"/>
      <c r="X801" s="12"/>
      <c r="Y801" s="12"/>
      <c r="Z801" s="12"/>
      <c r="AA801" s="12"/>
      <c r="AB801" s="12"/>
      <c r="AC801" s="12"/>
      <c r="AD801" s="12"/>
      <c r="BD801" s="13">
        <v>41640</v>
      </c>
      <c r="BE801" s="13">
        <v>43100</v>
      </c>
      <c r="BF801" s="12"/>
      <c r="BG801" s="12" t="s">
        <v>312</v>
      </c>
      <c r="BH801" s="14">
        <v>2169785</v>
      </c>
      <c r="BI801" s="12" t="s">
        <v>12490</v>
      </c>
      <c r="BJ801" s="12" t="s">
        <v>12491</v>
      </c>
      <c r="BK801" s="12" t="s">
        <v>12492</v>
      </c>
      <c r="BL801" s="12" t="s">
        <v>12493</v>
      </c>
      <c r="BM801" s="12" t="s">
        <v>12494</v>
      </c>
      <c r="BN801" s="12" t="s">
        <v>12495</v>
      </c>
      <c r="BO801" s="12" t="s">
        <v>319</v>
      </c>
      <c r="BP801" s="12" t="s">
        <v>320</v>
      </c>
      <c r="BQ801" s="12" t="s">
        <v>319</v>
      </c>
      <c r="BR801" s="12" t="s">
        <v>12496</v>
      </c>
      <c r="BS801" s="12" t="s">
        <v>357</v>
      </c>
      <c r="BT801" s="12" t="s">
        <v>12497</v>
      </c>
      <c r="BU801" s="12" t="s">
        <v>12436</v>
      </c>
      <c r="BV801" s="14">
        <v>40817</v>
      </c>
      <c r="BW801" s="14">
        <v>83300</v>
      </c>
      <c r="BX801" s="14">
        <v>124117</v>
      </c>
      <c r="BY801" s="14">
        <v>140026</v>
      </c>
      <c r="BZ801" s="14">
        <v>134534</v>
      </c>
      <c r="CA801" s="14">
        <v>274560</v>
      </c>
      <c r="CB801" s="12"/>
      <c r="CD801" s="14"/>
      <c r="CE801" s="14"/>
      <c r="CF801" s="14"/>
      <c r="CG801" s="14"/>
      <c r="CH801" s="14"/>
      <c r="CI801" s="14"/>
      <c r="CJ801" s="12"/>
      <c r="CK801" s="14"/>
      <c r="CL801" s="16"/>
      <c r="CM801" s="14"/>
      <c r="CN801" s="12"/>
      <c r="CO801" s="14"/>
      <c r="CP801" s="16"/>
      <c r="CQ801" s="14"/>
      <c r="CR801" s="12"/>
      <c r="CS801" s="14"/>
      <c r="CT801" s="16"/>
      <c r="CU801" s="14"/>
      <c r="CV801" s="12"/>
      <c r="CW801" s="14"/>
      <c r="CX801" s="16"/>
      <c r="CY801" s="14"/>
      <c r="CZ801" s="12"/>
      <c r="DA801" s="14"/>
      <c r="DB801" s="16"/>
      <c r="DC801" s="14"/>
      <c r="DD801" s="12"/>
      <c r="DE801" s="14"/>
      <c r="DF801" s="16"/>
      <c r="DG801" s="14"/>
      <c r="DH801" s="12"/>
      <c r="DI801" s="14"/>
      <c r="DJ801" s="16"/>
      <c r="DK801" s="14"/>
      <c r="DL801" s="12"/>
      <c r="DM801" s="14"/>
      <c r="DN801" s="16"/>
      <c r="DO801" s="14"/>
      <c r="DP801" s="12"/>
      <c r="DQ801" s="14"/>
      <c r="DR801" s="16"/>
      <c r="DS801" s="14"/>
      <c r="DT801" s="12"/>
      <c r="DU801" s="14"/>
      <c r="DV801" s="16"/>
      <c r="DW801" s="14"/>
      <c r="DX801" s="12"/>
      <c r="DY801" s="14"/>
      <c r="DZ801" s="16"/>
      <c r="EA801" s="14"/>
      <c r="EB801" s="12"/>
      <c r="EC801" s="14"/>
      <c r="ED801" s="16"/>
      <c r="EE801" s="14"/>
      <c r="EF801" s="12"/>
      <c r="EG801" s="12"/>
      <c r="EH801" s="14"/>
      <c r="EI801" s="16"/>
      <c r="EJ801" s="14"/>
      <c r="EK801" s="14"/>
      <c r="EL801" s="14"/>
      <c r="EM801" s="14">
        <v>36034</v>
      </c>
      <c r="EN801" s="14"/>
      <c r="EO801" s="14"/>
      <c r="EP801" s="14"/>
      <c r="EQ801" s="12" t="s">
        <v>319</v>
      </c>
      <c r="ER801" s="14"/>
      <c r="ES801" s="16"/>
      <c r="ET801" s="14"/>
      <c r="EU801" s="11" t="s">
        <v>319</v>
      </c>
      <c r="EV801" s="14"/>
      <c r="EW801" s="16"/>
      <c r="EX801" s="14"/>
      <c r="EY801" s="12" t="s">
        <v>319</v>
      </c>
      <c r="EZ801" s="14"/>
      <c r="FA801" s="16"/>
      <c r="FB801" s="14"/>
      <c r="FC801" s="12" t="s">
        <v>319</v>
      </c>
      <c r="FD801" s="14"/>
      <c r="FE801" s="16"/>
      <c r="FF801" s="14"/>
      <c r="FG801" s="12" t="s">
        <v>319</v>
      </c>
      <c r="FH801" s="14"/>
      <c r="FI801" s="16"/>
      <c r="FJ801" s="14"/>
      <c r="FK801" s="12" t="s">
        <v>319</v>
      </c>
      <c r="FL801" s="14"/>
      <c r="FM801" s="16"/>
      <c r="FN801" s="14"/>
      <c r="FO801" s="12" t="s">
        <v>319</v>
      </c>
      <c r="FP801" s="14"/>
      <c r="FQ801" s="16"/>
      <c r="FR801" s="14"/>
      <c r="FS801" s="12" t="s">
        <v>319</v>
      </c>
      <c r="FT801" s="14">
        <v>0</v>
      </c>
      <c r="FU801" s="16">
        <v>0</v>
      </c>
      <c r="FV801" s="14">
        <v>0</v>
      </c>
      <c r="FW801" s="12" t="s">
        <v>319</v>
      </c>
      <c r="FX801" s="14"/>
      <c r="FY801" s="16"/>
      <c r="FZ801" s="14"/>
      <c r="GA801" s="11" t="s">
        <v>320</v>
      </c>
      <c r="GB801" s="14">
        <v>36034</v>
      </c>
      <c r="GC801" s="16">
        <v>0</v>
      </c>
      <c r="GD801" s="14">
        <v>0</v>
      </c>
      <c r="GE801" s="12" t="s">
        <v>319</v>
      </c>
      <c r="GF801" s="14"/>
      <c r="GG801" s="16"/>
      <c r="GH801" s="14"/>
      <c r="GI801" s="12" t="s">
        <v>319</v>
      </c>
      <c r="GJ801" s="14"/>
      <c r="GK801" s="16"/>
      <c r="GL801" s="14"/>
      <c r="GM801" s="12" t="s">
        <v>319</v>
      </c>
      <c r="GN801" s="14"/>
      <c r="GO801" s="16"/>
      <c r="GP801" s="14"/>
      <c r="GQ801" s="12" t="s">
        <v>319</v>
      </c>
      <c r="GR801" s="14"/>
      <c r="GS801" s="16"/>
      <c r="GT801" s="14"/>
      <c r="GU801" s="12" t="s">
        <v>319</v>
      </c>
      <c r="GV801" s="14"/>
      <c r="GW801" s="16"/>
      <c r="GX801" s="14"/>
      <c r="GY801" s="12" t="s">
        <v>319</v>
      </c>
      <c r="GZ801" s="14"/>
      <c r="HA801" s="16"/>
      <c r="HB801" s="14"/>
      <c r="HC801" s="12"/>
      <c r="HD801" s="12" t="s">
        <v>319</v>
      </c>
      <c r="HE801" s="14"/>
      <c r="HF801" s="16"/>
      <c r="HG801" s="14"/>
      <c r="HH801" s="12" t="s">
        <v>319</v>
      </c>
      <c r="HI801" s="12"/>
      <c r="HJ801" s="12"/>
      <c r="HK801" s="12" t="s">
        <v>319</v>
      </c>
      <c r="HL801" s="12" t="s">
        <v>320</v>
      </c>
      <c r="HM801" s="12" t="s">
        <v>361</v>
      </c>
      <c r="HN801" s="12">
        <v>2017</v>
      </c>
      <c r="HO801" s="12" t="s">
        <v>12498</v>
      </c>
      <c r="HP801" s="12" t="s">
        <v>330</v>
      </c>
      <c r="HQ801" s="12" t="s">
        <v>320</v>
      </c>
      <c r="HR801" s="12" t="s">
        <v>319</v>
      </c>
      <c r="HS801" s="12" t="s">
        <v>319</v>
      </c>
      <c r="HT801" s="12" t="s">
        <v>319</v>
      </c>
      <c r="HU801" s="12" t="s">
        <v>320</v>
      </c>
      <c r="HV801" s="12" t="s">
        <v>320</v>
      </c>
      <c r="HW801" s="12" t="s">
        <v>319</v>
      </c>
      <c r="HX801" s="12" t="s">
        <v>319</v>
      </c>
      <c r="HY801" s="12"/>
      <c r="HZ801" s="12" t="s">
        <v>363</v>
      </c>
      <c r="IA801" s="12"/>
      <c r="IB801" s="12" t="s">
        <v>396</v>
      </c>
      <c r="IC801" s="12"/>
      <c r="ID801" s="12" t="s">
        <v>364</v>
      </c>
      <c r="IE801" s="12" t="s">
        <v>335</v>
      </c>
      <c r="IF801" s="12" t="s">
        <v>320</v>
      </c>
      <c r="IG801" s="12" t="s">
        <v>320</v>
      </c>
      <c r="IH801" s="12" t="s">
        <v>320</v>
      </c>
      <c r="II801" s="12" t="s">
        <v>320</v>
      </c>
      <c r="IJ801" s="12" t="str">
        <f t="shared" si="517"/>
        <v>2. Sensitive</v>
      </c>
      <c r="IK801" s="12">
        <f t="shared" si="518"/>
        <v>4</v>
      </c>
      <c r="IL801" s="11" t="s">
        <v>621</v>
      </c>
      <c r="IM801" s="12" t="s">
        <v>320</v>
      </c>
      <c r="IN801" s="12" t="s">
        <v>320</v>
      </c>
      <c r="IO801" s="12" t="s">
        <v>320</v>
      </c>
      <c r="IP801" s="12" t="s">
        <v>320</v>
      </c>
      <c r="IQ801" s="12" t="str">
        <f t="shared" si="519"/>
        <v>4. Transformational</v>
      </c>
      <c r="IR801" s="12">
        <f t="shared" si="520"/>
        <v>4</v>
      </c>
      <c r="IS801" s="12" t="s">
        <v>337</v>
      </c>
      <c r="IT801" s="12" t="s">
        <v>320</v>
      </c>
      <c r="IU801" s="12" t="s">
        <v>319</v>
      </c>
      <c r="IV801" s="12" t="s">
        <v>319</v>
      </c>
      <c r="IW801" s="11" t="str">
        <f t="shared" si="521"/>
        <v>1. Neutral</v>
      </c>
      <c r="IX801" s="12">
        <f t="shared" si="522"/>
        <v>1</v>
      </c>
      <c r="IY801" s="12" t="s">
        <v>338</v>
      </c>
      <c r="IZ801" s="12" t="s">
        <v>527</v>
      </c>
      <c r="JA801" s="12">
        <v>3</v>
      </c>
      <c r="JB801" s="12" t="s">
        <v>433</v>
      </c>
      <c r="JC801" s="12" t="s">
        <v>831</v>
      </c>
      <c r="JD801" s="12"/>
      <c r="JE801" s="12" t="s">
        <v>340</v>
      </c>
      <c r="JF801" s="12"/>
      <c r="JG801" s="12"/>
      <c r="JH801" s="12" t="s">
        <v>12499</v>
      </c>
      <c r="JI801" s="12" t="s">
        <v>12500</v>
      </c>
      <c r="JJ801" s="12" t="s">
        <v>12501</v>
      </c>
      <c r="JK801" s="12" t="s">
        <v>12502</v>
      </c>
      <c r="JL801" s="12" t="s">
        <v>12503</v>
      </c>
      <c r="JM801" s="12" t="s">
        <v>12504</v>
      </c>
      <c r="JN801" s="12"/>
      <c r="JO801" s="12"/>
      <c r="JP801" s="15">
        <f t="shared" si="523"/>
        <v>36034</v>
      </c>
      <c r="JQ801" s="15">
        <f t="shared" si="524"/>
        <v>0</v>
      </c>
      <c r="JR801" s="279">
        <f t="shared" si="525"/>
        <v>0</v>
      </c>
      <c r="JS801" s="17">
        <f t="shared" si="526"/>
        <v>0</v>
      </c>
      <c r="JT801" s="18" t="str">
        <f t="shared" si="527"/>
        <v/>
      </c>
      <c r="JU801" s="280">
        <f t="shared" si="528"/>
        <v>0</v>
      </c>
      <c r="JV801" s="280">
        <f t="shared" si="529"/>
        <v>0</v>
      </c>
      <c r="JW801" s="319" t="str">
        <f t="shared" si="530"/>
        <v/>
      </c>
      <c r="JX801" s="15">
        <f t="shared" si="531"/>
        <v>0</v>
      </c>
      <c r="JY801" s="15">
        <f t="shared" si="532"/>
        <v>0</v>
      </c>
      <c r="JZ801" s="19" t="str">
        <f t="shared" si="533"/>
        <v/>
      </c>
      <c r="KA801" s="52" t="str">
        <f t="shared" si="534"/>
        <v/>
      </c>
      <c r="KB801" s="15">
        <f t="shared" si="535"/>
        <v>0</v>
      </c>
      <c r="KC801" s="15">
        <f t="shared" si="536"/>
        <v>0</v>
      </c>
      <c r="KD801" s="20" t="str">
        <f t="shared" si="537"/>
        <v/>
      </c>
      <c r="KE801" s="52" t="str">
        <f t="shared" si="538"/>
        <v/>
      </c>
      <c r="KF801" s="15">
        <f t="shared" si="539"/>
        <v>0</v>
      </c>
      <c r="KG801" s="15">
        <f t="shared" si="540"/>
        <v>0</v>
      </c>
      <c r="KH801" s="21" t="str">
        <f t="shared" si="541"/>
        <v/>
      </c>
      <c r="KI801" s="52" t="str">
        <f t="shared" si="542"/>
        <v/>
      </c>
      <c r="KJ801" s="15">
        <f t="shared" si="543"/>
        <v>0</v>
      </c>
      <c r="KK801" s="15">
        <f t="shared" si="544"/>
        <v>0</v>
      </c>
      <c r="KL801" s="19" t="str">
        <f t="shared" si="545"/>
        <v/>
      </c>
      <c r="KM801" s="52" t="str">
        <f t="shared" si="546"/>
        <v/>
      </c>
      <c r="KN801" s="22">
        <f t="shared" si="547"/>
        <v>0</v>
      </c>
      <c r="KO801" s="22">
        <f t="shared" si="548"/>
        <v>0</v>
      </c>
      <c r="KP801" s="19" t="str">
        <f t="shared" si="549"/>
        <v/>
      </c>
      <c r="KQ801" s="11" t="str">
        <f t="shared" si="550"/>
        <v>2. Sensitive</v>
      </c>
      <c r="KR801" s="11" t="str">
        <f t="shared" si="551"/>
        <v>4. Transformational</v>
      </c>
      <c r="KS801" s="11" t="str">
        <f t="shared" si="552"/>
        <v>1. Neutral</v>
      </c>
      <c r="KT801" s="11" t="str">
        <f t="shared" si="553"/>
        <v>It did not develop any specific innovation</v>
      </c>
      <c r="KU801" s="11" t="str">
        <f t="shared" si="554"/>
        <v>Moderate advocacy</v>
      </c>
      <c r="KV801" s="11" t="str">
        <f t="shared" si="555"/>
        <v>It linked and worked with strategic alliances and partners to take tested and effective solutions to scale</v>
      </c>
      <c r="KW801" s="11" t="str">
        <f t="shared" si="556"/>
        <v>Thailand - Thailand Regional Artemisinin Containment Initiative (RAI)</v>
      </c>
      <c r="KX801" s="11" t="str">
        <f t="shared" si="557"/>
        <v>Thailand Regional Artemisinin Containment Initiative (RAI)</v>
      </c>
      <c r="KY801" s="11" t="str">
        <f t="shared" si="558"/>
        <v>Thailand</v>
      </c>
      <c r="KZ801" s="12">
        <v>802</v>
      </c>
    </row>
    <row r="802" spans="1:312" x14ac:dyDescent="0.3">
      <c r="A802" s="12" t="s">
        <v>12294</v>
      </c>
      <c r="B802" s="12" t="s">
        <v>306</v>
      </c>
      <c r="C802" s="12">
        <v>3768</v>
      </c>
      <c r="D802" s="43" t="s">
        <v>12505</v>
      </c>
      <c r="E802" s="277" t="str">
        <f t="shared" si="516"/>
        <v>Thailand</v>
      </c>
      <c r="F802" s="12" t="s">
        <v>12506</v>
      </c>
      <c r="G802" s="12" t="s">
        <v>12297</v>
      </c>
      <c r="H802" s="12" t="s">
        <v>384</v>
      </c>
      <c r="I802" s="12" t="s">
        <v>384</v>
      </c>
      <c r="J802" s="281" t="s">
        <v>12507</v>
      </c>
      <c r="K802" s="12"/>
      <c r="L802" s="12"/>
      <c r="M802" s="12"/>
      <c r="N802" s="12"/>
      <c r="O802" s="12"/>
      <c r="P802" s="12"/>
      <c r="Q802" s="12"/>
      <c r="R802" s="12"/>
      <c r="S802" s="12"/>
      <c r="T802" s="12"/>
      <c r="U802" s="12"/>
      <c r="V802" s="12"/>
      <c r="W802" s="12"/>
      <c r="X802" s="12"/>
      <c r="Y802" s="12"/>
      <c r="Z802" s="12"/>
      <c r="AA802" s="12"/>
      <c r="AB802" s="12"/>
      <c r="AC802" s="12"/>
      <c r="AD802" s="12"/>
      <c r="BD802" s="13">
        <v>42522</v>
      </c>
      <c r="BE802" s="13">
        <v>42794</v>
      </c>
      <c r="BF802" s="13">
        <v>42855</v>
      </c>
      <c r="BG802" s="12" t="s">
        <v>312</v>
      </c>
      <c r="BH802" s="14">
        <v>60000</v>
      </c>
      <c r="BI802" s="12" t="s">
        <v>12299</v>
      </c>
      <c r="BJ802" s="12" t="s">
        <v>12300</v>
      </c>
      <c r="BK802" s="12" t="s">
        <v>12301</v>
      </c>
      <c r="BL802" s="12" t="s">
        <v>12347</v>
      </c>
      <c r="BM802" s="12" t="s">
        <v>12321</v>
      </c>
      <c r="BN802" s="12" t="s">
        <v>12348</v>
      </c>
      <c r="BO802" s="12" t="s">
        <v>319</v>
      </c>
      <c r="BP802" s="12" t="s">
        <v>320</v>
      </c>
      <c r="BQ802" s="12" t="s">
        <v>319</v>
      </c>
      <c r="BR802" s="12" t="s">
        <v>12508</v>
      </c>
      <c r="BS802" s="12" t="s">
        <v>357</v>
      </c>
      <c r="BT802" s="12" t="s">
        <v>12509</v>
      </c>
      <c r="BU802" s="12" t="s">
        <v>12510</v>
      </c>
      <c r="BV802" s="14">
        <v>0</v>
      </c>
      <c r="BW802" s="14">
        <v>0</v>
      </c>
      <c r="BX802" s="14">
        <v>0</v>
      </c>
      <c r="BY802" s="14">
        <v>0</v>
      </c>
      <c r="BZ802" s="14">
        <v>0</v>
      </c>
      <c r="CA802" s="14">
        <v>0</v>
      </c>
      <c r="CB802" s="12"/>
      <c r="CD802" s="14"/>
      <c r="CE802" s="14"/>
      <c r="CF802" s="14"/>
      <c r="CG802" s="14"/>
      <c r="CH802" s="14"/>
      <c r="CI802" s="14"/>
      <c r="CJ802" s="12"/>
      <c r="CK802" s="14"/>
      <c r="CL802" s="16"/>
      <c r="CM802" s="14"/>
      <c r="CN802" s="12"/>
      <c r="CO802" s="14"/>
      <c r="CP802" s="16"/>
      <c r="CQ802" s="14"/>
      <c r="CR802" s="12"/>
      <c r="CS802" s="14"/>
      <c r="CT802" s="16"/>
      <c r="CU802" s="14"/>
      <c r="CV802" s="12"/>
      <c r="CW802" s="14"/>
      <c r="CX802" s="16"/>
      <c r="CY802" s="14"/>
      <c r="CZ802" s="12"/>
      <c r="DA802" s="14"/>
      <c r="DB802" s="16"/>
      <c r="DC802" s="14"/>
      <c r="DD802" s="12"/>
      <c r="DE802" s="14"/>
      <c r="DF802" s="16"/>
      <c r="DG802" s="14"/>
      <c r="DH802" s="12"/>
      <c r="DI802" s="14"/>
      <c r="DJ802" s="16"/>
      <c r="DK802" s="14"/>
      <c r="DL802" s="12"/>
      <c r="DM802" s="14"/>
      <c r="DN802" s="16"/>
      <c r="DO802" s="14"/>
      <c r="DP802" s="12"/>
      <c r="DQ802" s="14"/>
      <c r="DR802" s="16"/>
      <c r="DS802" s="14"/>
      <c r="DT802" s="12"/>
      <c r="DU802" s="14"/>
      <c r="DV802" s="16"/>
      <c r="DW802" s="14"/>
      <c r="DX802" s="12"/>
      <c r="DY802" s="14"/>
      <c r="DZ802" s="16"/>
      <c r="EA802" s="14"/>
      <c r="EB802" s="12"/>
      <c r="EC802" s="14"/>
      <c r="ED802" s="16"/>
      <c r="EE802" s="14"/>
      <c r="EF802" s="12"/>
      <c r="EG802" s="12"/>
      <c r="EH802" s="14"/>
      <c r="EI802" s="16"/>
      <c r="EJ802" s="14"/>
      <c r="EK802" s="14">
        <v>17</v>
      </c>
      <c r="EL802" s="14">
        <v>29</v>
      </c>
      <c r="EM802" s="14">
        <v>46</v>
      </c>
      <c r="EN802" s="14"/>
      <c r="EO802" s="14"/>
      <c r="EP802" s="14"/>
      <c r="EQ802" s="12" t="s">
        <v>319</v>
      </c>
      <c r="ER802" s="14"/>
      <c r="ES802" s="16"/>
      <c r="ET802" s="14"/>
      <c r="EU802" s="11" t="s">
        <v>319</v>
      </c>
      <c r="EV802" s="14"/>
      <c r="EW802" s="16"/>
      <c r="EX802" s="14"/>
      <c r="EY802" s="12" t="s">
        <v>319</v>
      </c>
      <c r="EZ802" s="14"/>
      <c r="FA802" s="16"/>
      <c r="FB802" s="14"/>
      <c r="FC802" s="12" t="s">
        <v>319</v>
      </c>
      <c r="FD802" s="14"/>
      <c r="FE802" s="16"/>
      <c r="FF802" s="14"/>
      <c r="FG802" s="12" t="s">
        <v>319</v>
      </c>
      <c r="FH802" s="14"/>
      <c r="FI802" s="16"/>
      <c r="FJ802" s="14"/>
      <c r="FK802" s="12" t="s">
        <v>319</v>
      </c>
      <c r="FL802" s="14"/>
      <c r="FM802" s="16"/>
      <c r="FN802" s="14"/>
      <c r="FO802" s="12" t="s">
        <v>319</v>
      </c>
      <c r="FP802" s="14"/>
      <c r="FQ802" s="16"/>
      <c r="FR802" s="14"/>
      <c r="FS802" s="12" t="s">
        <v>319</v>
      </c>
      <c r="FT802" s="14"/>
      <c r="FU802" s="16"/>
      <c r="FV802" s="14"/>
      <c r="FW802" s="12" t="s">
        <v>319</v>
      </c>
      <c r="FX802" s="14"/>
      <c r="FY802" s="16"/>
      <c r="FZ802" s="14"/>
      <c r="GA802" s="12" t="s">
        <v>319</v>
      </c>
      <c r="GB802" s="14"/>
      <c r="GC802" s="16"/>
      <c r="GD802" s="14"/>
      <c r="GE802" s="12" t="s">
        <v>319</v>
      </c>
      <c r="GF802" s="14"/>
      <c r="GG802" s="16"/>
      <c r="GH802" s="14"/>
      <c r="GI802" s="12" t="s">
        <v>319</v>
      </c>
      <c r="GJ802" s="14"/>
      <c r="GK802" s="16"/>
      <c r="GL802" s="14"/>
      <c r="GM802" s="11" t="s">
        <v>320</v>
      </c>
      <c r="GN802" s="14">
        <v>36</v>
      </c>
      <c r="GO802" s="16">
        <v>0.54</v>
      </c>
      <c r="GP802" s="14"/>
      <c r="GQ802" s="12" t="s">
        <v>319</v>
      </c>
      <c r="GR802" s="14"/>
      <c r="GS802" s="16"/>
      <c r="GT802" s="14"/>
      <c r="GU802" s="12" t="s">
        <v>319</v>
      </c>
      <c r="GV802" s="14"/>
      <c r="GW802" s="16"/>
      <c r="GX802" s="14"/>
      <c r="GY802" s="12" t="s">
        <v>319</v>
      </c>
      <c r="GZ802" s="14"/>
      <c r="HA802" s="16"/>
      <c r="HB802" s="14"/>
      <c r="HC802" s="12" t="s">
        <v>12511</v>
      </c>
      <c r="HD802" s="12" t="s">
        <v>320</v>
      </c>
      <c r="HE802" s="14">
        <v>10</v>
      </c>
      <c r="HF802" s="16">
        <v>0.3</v>
      </c>
      <c r="HG802" s="14"/>
      <c r="HH802" s="12" t="s">
        <v>319</v>
      </c>
      <c r="HI802" s="12"/>
      <c r="HJ802" s="12"/>
      <c r="HK802" s="12" t="s">
        <v>319</v>
      </c>
      <c r="HL802" s="12" t="s">
        <v>326</v>
      </c>
      <c r="HM802" s="12" t="s">
        <v>522</v>
      </c>
      <c r="HN802" s="12">
        <v>2017</v>
      </c>
      <c r="HO802" s="12"/>
      <c r="HP802" s="12" t="s">
        <v>418</v>
      </c>
      <c r="HQ802" s="12" t="s">
        <v>319</v>
      </c>
      <c r="HR802" s="12" t="s">
        <v>319</v>
      </c>
      <c r="HS802" s="12" t="s">
        <v>319</v>
      </c>
      <c r="HT802" s="12" t="s">
        <v>319</v>
      </c>
      <c r="HU802" s="12" t="s">
        <v>320</v>
      </c>
      <c r="HV802" s="12" t="s">
        <v>319</v>
      </c>
      <c r="HW802" s="12" t="s">
        <v>319</v>
      </c>
      <c r="HX802" s="12"/>
      <c r="HY802" s="12"/>
      <c r="HZ802" s="12" t="s">
        <v>363</v>
      </c>
      <c r="IA802" s="12"/>
      <c r="IB802" s="12" t="s">
        <v>396</v>
      </c>
      <c r="IC802" s="12"/>
      <c r="ID802" s="12" t="s">
        <v>364</v>
      </c>
      <c r="IE802" s="12" t="s">
        <v>478</v>
      </c>
      <c r="IF802" s="12" t="s">
        <v>319</v>
      </c>
      <c r="IG802" s="12" t="s">
        <v>320</v>
      </c>
      <c r="IH802" s="12" t="s">
        <v>320</v>
      </c>
      <c r="II802" s="12" t="s">
        <v>319</v>
      </c>
      <c r="IJ802" s="12" t="str">
        <f t="shared" si="517"/>
        <v>3. Responsive</v>
      </c>
      <c r="IK802" s="12">
        <f t="shared" si="518"/>
        <v>2</v>
      </c>
      <c r="IL802" s="11" t="s">
        <v>621</v>
      </c>
      <c r="IM802" s="12" t="s">
        <v>320</v>
      </c>
      <c r="IN802" s="12" t="s">
        <v>320</v>
      </c>
      <c r="IO802" s="12" t="s">
        <v>320</v>
      </c>
      <c r="IP802" s="12" t="s">
        <v>320</v>
      </c>
      <c r="IQ802" s="12" t="str">
        <f t="shared" si="519"/>
        <v>4. Transformational</v>
      </c>
      <c r="IR802" s="12">
        <f t="shared" si="520"/>
        <v>4</v>
      </c>
      <c r="IS802" s="12" t="s">
        <v>622</v>
      </c>
      <c r="IT802" s="12" t="s">
        <v>320</v>
      </c>
      <c r="IU802" s="12"/>
      <c r="IV802" s="12" t="s">
        <v>320</v>
      </c>
      <c r="IW802" s="11" t="str">
        <f t="shared" si="521"/>
        <v>3. Responsive</v>
      </c>
      <c r="IX802" s="12">
        <f t="shared" si="522"/>
        <v>2</v>
      </c>
      <c r="IY802" s="12" t="s">
        <v>338</v>
      </c>
      <c r="IZ802" s="12" t="s">
        <v>339</v>
      </c>
      <c r="JA802" s="12">
        <v>5</v>
      </c>
      <c r="JB802" s="12" t="s">
        <v>433</v>
      </c>
      <c r="JC802" s="12" t="s">
        <v>687</v>
      </c>
      <c r="JD802" s="12" t="s">
        <v>623</v>
      </c>
      <c r="JE802" s="12" t="s">
        <v>340</v>
      </c>
      <c r="JF802" s="12" t="s">
        <v>340</v>
      </c>
      <c r="JG802" s="12" t="s">
        <v>12512</v>
      </c>
      <c r="JH802" s="12" t="s">
        <v>12513</v>
      </c>
      <c r="JI802" s="12" t="s">
        <v>12514</v>
      </c>
      <c r="JJ802" s="12"/>
      <c r="JK802" s="12" t="s">
        <v>12515</v>
      </c>
      <c r="JL802" s="12" t="s">
        <v>12516</v>
      </c>
      <c r="JM802" s="12" t="s">
        <v>12517</v>
      </c>
      <c r="JN802" s="12" t="s">
        <v>12518</v>
      </c>
      <c r="JO802" s="12" t="s">
        <v>12519</v>
      </c>
      <c r="JP802" s="15">
        <f t="shared" si="523"/>
        <v>46</v>
      </c>
      <c r="JQ802" s="15">
        <f t="shared" si="524"/>
        <v>0</v>
      </c>
      <c r="JR802" s="279">
        <f t="shared" si="525"/>
        <v>0</v>
      </c>
      <c r="JS802" s="17">
        <f t="shared" si="526"/>
        <v>0.36956521739130432</v>
      </c>
      <c r="JT802" s="18" t="str">
        <f t="shared" si="527"/>
        <v/>
      </c>
      <c r="JU802" s="280">
        <f t="shared" si="528"/>
        <v>17</v>
      </c>
      <c r="JV802" s="280">
        <f t="shared" si="529"/>
        <v>0</v>
      </c>
      <c r="JW802" s="319" t="str">
        <f t="shared" si="530"/>
        <v/>
      </c>
      <c r="JX802" s="15">
        <f t="shared" si="531"/>
        <v>0</v>
      </c>
      <c r="JY802" s="15">
        <f t="shared" si="532"/>
        <v>0</v>
      </c>
      <c r="JZ802" s="19" t="str">
        <f t="shared" si="533"/>
        <v/>
      </c>
      <c r="KA802" s="52" t="str">
        <f t="shared" si="534"/>
        <v/>
      </c>
      <c r="KB802" s="15">
        <f t="shared" si="535"/>
        <v>0</v>
      </c>
      <c r="KC802" s="15">
        <f t="shared" si="536"/>
        <v>0</v>
      </c>
      <c r="KD802" s="20" t="str">
        <f t="shared" si="537"/>
        <v/>
      </c>
      <c r="KE802" s="52" t="str">
        <f t="shared" si="538"/>
        <v/>
      </c>
      <c r="KF802" s="15">
        <f t="shared" si="539"/>
        <v>0</v>
      </c>
      <c r="KG802" s="15">
        <f t="shared" si="540"/>
        <v>0</v>
      </c>
      <c r="KH802" s="21" t="str">
        <f t="shared" si="541"/>
        <v/>
      </c>
      <c r="KI802" s="52" t="str">
        <f t="shared" si="542"/>
        <v/>
      </c>
      <c r="KJ802" s="15">
        <f t="shared" si="543"/>
        <v>0</v>
      </c>
      <c r="KK802" s="15">
        <f t="shared" si="544"/>
        <v>0</v>
      </c>
      <c r="KL802" s="19" t="str">
        <f t="shared" si="545"/>
        <v/>
      </c>
      <c r="KM802" s="52" t="str">
        <f t="shared" si="546"/>
        <v/>
      </c>
      <c r="KN802" s="22">
        <f t="shared" si="547"/>
        <v>0</v>
      </c>
      <c r="KO802" s="22">
        <f t="shared" si="548"/>
        <v>0</v>
      </c>
      <c r="KP802" s="19" t="str">
        <f t="shared" si="549"/>
        <v/>
      </c>
      <c r="KQ802" s="11" t="str">
        <f t="shared" si="550"/>
        <v>3. Responsive</v>
      </c>
      <c r="KR802" s="11" t="str">
        <f t="shared" si="551"/>
        <v>4. Transformational</v>
      </c>
      <c r="KS802" s="11" t="str">
        <f t="shared" si="552"/>
        <v>3. Responsive</v>
      </c>
      <c r="KT802" s="11" t="str">
        <f t="shared" si="553"/>
        <v>It did not develop any specific innovation</v>
      </c>
      <c r="KU802" s="11" t="str">
        <f t="shared" si="554"/>
        <v>Little or no advocacy</v>
      </c>
      <c r="KV802" s="11" t="str">
        <f t="shared" si="555"/>
        <v>It linked and worked with strategic alliances and partners to take tested and effective solutions to scale</v>
      </c>
      <c r="KW802" s="11" t="str">
        <f t="shared" si="556"/>
        <v>Thailand - Thailand Seafood Hotspot (Service contract)</v>
      </c>
      <c r="KX802" s="11" t="str">
        <f t="shared" si="557"/>
        <v>Thailand Seafood Hotspot (Service contract)</v>
      </c>
      <c r="KY802" s="11" t="str">
        <f t="shared" si="558"/>
        <v>Thailand</v>
      </c>
      <c r="KZ802" s="12">
        <v>803</v>
      </c>
    </row>
    <row r="803" spans="1:312" x14ac:dyDescent="0.3">
      <c r="A803" s="12" t="s">
        <v>12294</v>
      </c>
      <c r="B803" s="12" t="s">
        <v>306</v>
      </c>
      <c r="C803" s="12">
        <v>3669</v>
      </c>
      <c r="D803" s="43" t="s">
        <v>12520</v>
      </c>
      <c r="E803" s="277" t="str">
        <f t="shared" si="516"/>
        <v>Thailand</v>
      </c>
      <c r="F803" s="12" t="s">
        <v>12521</v>
      </c>
      <c r="G803" s="12" t="s">
        <v>12297</v>
      </c>
      <c r="H803" s="12" t="s">
        <v>489</v>
      </c>
      <c r="I803" s="12" t="s">
        <v>384</v>
      </c>
      <c r="J803" s="281" t="s">
        <v>12522</v>
      </c>
      <c r="K803" s="12"/>
      <c r="L803" s="12"/>
      <c r="M803" s="12"/>
      <c r="N803" s="12"/>
      <c r="O803" s="12"/>
      <c r="P803" s="12"/>
      <c r="Q803" s="12"/>
      <c r="R803" s="12"/>
      <c r="S803" s="12"/>
      <c r="T803" s="12"/>
      <c r="U803" s="12"/>
      <c r="V803" s="12"/>
      <c r="W803" s="12"/>
      <c r="X803" s="12"/>
      <c r="Y803" s="12"/>
      <c r="Z803" s="12"/>
      <c r="AA803" s="12"/>
      <c r="AB803" s="12"/>
      <c r="AC803" s="12"/>
      <c r="AD803" s="12"/>
      <c r="BD803" s="13">
        <v>42491</v>
      </c>
      <c r="BE803" s="13">
        <v>43191</v>
      </c>
      <c r="BF803" s="12"/>
      <c r="BG803" s="12" t="s">
        <v>312</v>
      </c>
      <c r="BH803" s="14">
        <v>138911</v>
      </c>
      <c r="BI803" s="12" t="s">
        <v>12523</v>
      </c>
      <c r="BJ803" s="12" t="s">
        <v>12336</v>
      </c>
      <c r="BK803" s="12" t="s">
        <v>12374</v>
      </c>
      <c r="BL803" s="12" t="s">
        <v>12524</v>
      </c>
      <c r="BM803" s="12" t="s">
        <v>12481</v>
      </c>
      <c r="BN803" s="12" t="s">
        <v>12403</v>
      </c>
      <c r="BO803" s="12" t="s">
        <v>319</v>
      </c>
      <c r="BP803" s="12" t="s">
        <v>320</v>
      </c>
      <c r="BQ803" s="12" t="s">
        <v>319</v>
      </c>
      <c r="BR803" s="12" t="s">
        <v>12525</v>
      </c>
      <c r="BS803" s="12" t="s">
        <v>357</v>
      </c>
      <c r="BT803" s="12" t="s">
        <v>12526</v>
      </c>
      <c r="BU803" s="12" t="s">
        <v>12527</v>
      </c>
      <c r="BV803" s="14">
        <v>375</v>
      </c>
      <c r="BW803" s="14">
        <v>425</v>
      </c>
      <c r="BX803" s="14">
        <v>800</v>
      </c>
      <c r="BY803" s="14">
        <v>628</v>
      </c>
      <c r="BZ803" s="14">
        <v>650</v>
      </c>
      <c r="CA803" s="14">
        <v>1278</v>
      </c>
      <c r="CB803" s="12"/>
      <c r="CD803" s="14"/>
      <c r="CE803" s="14"/>
      <c r="CF803" s="14"/>
      <c r="CG803" s="14"/>
      <c r="CH803" s="14"/>
      <c r="CI803" s="14"/>
      <c r="CJ803" s="12"/>
      <c r="CK803" s="14"/>
      <c r="CL803" s="16"/>
      <c r="CM803" s="14"/>
      <c r="CN803" s="12"/>
      <c r="CO803" s="14"/>
      <c r="CP803" s="16"/>
      <c r="CQ803" s="14"/>
      <c r="CR803" s="12"/>
      <c r="CS803" s="14"/>
      <c r="CT803" s="16"/>
      <c r="CU803" s="14"/>
      <c r="CV803" s="12"/>
      <c r="CW803" s="14"/>
      <c r="CX803" s="16"/>
      <c r="CY803" s="14"/>
      <c r="CZ803" s="12"/>
      <c r="DA803" s="14"/>
      <c r="DB803" s="16"/>
      <c r="DC803" s="14"/>
      <c r="DD803" s="12"/>
      <c r="DE803" s="14"/>
      <c r="DF803" s="16"/>
      <c r="DG803" s="14"/>
      <c r="DH803" s="12"/>
      <c r="DI803" s="14"/>
      <c r="DJ803" s="16"/>
      <c r="DK803" s="14"/>
      <c r="DL803" s="12"/>
      <c r="DM803" s="14"/>
      <c r="DN803" s="16"/>
      <c r="DO803" s="14"/>
      <c r="DP803" s="12"/>
      <c r="DQ803" s="14"/>
      <c r="DR803" s="16"/>
      <c r="DS803" s="14"/>
      <c r="DT803" s="12"/>
      <c r="DU803" s="14"/>
      <c r="DV803" s="16"/>
      <c r="DW803" s="14"/>
      <c r="DX803" s="12"/>
      <c r="DY803" s="14"/>
      <c r="DZ803" s="16"/>
      <c r="EA803" s="14"/>
      <c r="EB803" s="12"/>
      <c r="EC803" s="14"/>
      <c r="ED803" s="16"/>
      <c r="EE803" s="14"/>
      <c r="EF803" s="12"/>
      <c r="EG803" s="12"/>
      <c r="EH803" s="14"/>
      <c r="EI803" s="16"/>
      <c r="EJ803" s="14"/>
      <c r="EK803" s="14">
        <v>450</v>
      </c>
      <c r="EL803" s="14">
        <v>428</v>
      </c>
      <c r="EM803" s="14">
        <v>878</v>
      </c>
      <c r="EN803" s="14">
        <v>500</v>
      </c>
      <c r="EO803" s="14">
        <v>500</v>
      </c>
      <c r="EP803" s="14">
        <v>1000</v>
      </c>
      <c r="EQ803" s="12" t="s">
        <v>319</v>
      </c>
      <c r="ER803" s="14"/>
      <c r="ES803" s="16"/>
      <c r="ET803" s="14"/>
      <c r="EU803" s="11" t="s">
        <v>319</v>
      </c>
      <c r="EV803" s="14"/>
      <c r="EW803" s="16"/>
      <c r="EX803" s="14"/>
      <c r="EY803" s="12" t="s">
        <v>319</v>
      </c>
      <c r="EZ803" s="14"/>
      <c r="FA803" s="16"/>
      <c r="FB803" s="14"/>
      <c r="FC803" s="12" t="s">
        <v>319</v>
      </c>
      <c r="FD803" s="14"/>
      <c r="FE803" s="16"/>
      <c r="FF803" s="14"/>
      <c r="FG803" s="12" t="s">
        <v>320</v>
      </c>
      <c r="FH803" s="14">
        <v>961</v>
      </c>
      <c r="FI803" s="16">
        <v>0.47</v>
      </c>
      <c r="FJ803" s="14">
        <v>1000</v>
      </c>
      <c r="FK803" s="12" t="s">
        <v>319</v>
      </c>
      <c r="FL803" s="14"/>
      <c r="FM803" s="16"/>
      <c r="FN803" s="14"/>
      <c r="FO803" s="12" t="s">
        <v>319</v>
      </c>
      <c r="FP803" s="14"/>
      <c r="FQ803" s="16"/>
      <c r="FR803" s="14"/>
      <c r="FS803" s="12" t="s">
        <v>319</v>
      </c>
      <c r="FT803" s="14">
        <v>0</v>
      </c>
      <c r="FU803" s="16">
        <v>0</v>
      </c>
      <c r="FV803" s="14">
        <v>0</v>
      </c>
      <c r="FW803" s="12" t="s">
        <v>319</v>
      </c>
      <c r="FX803" s="14"/>
      <c r="FY803" s="16"/>
      <c r="FZ803" s="14"/>
      <c r="GA803" s="12" t="s">
        <v>319</v>
      </c>
      <c r="GB803" s="14"/>
      <c r="GC803" s="16"/>
      <c r="GD803" s="14"/>
      <c r="GE803" s="12" t="s">
        <v>319</v>
      </c>
      <c r="GF803" s="14"/>
      <c r="GG803" s="16"/>
      <c r="GH803" s="14"/>
      <c r="GI803" s="12" t="s">
        <v>319</v>
      </c>
      <c r="GJ803" s="14"/>
      <c r="GK803" s="16"/>
      <c r="GL803" s="14"/>
      <c r="GM803" s="12" t="s">
        <v>319</v>
      </c>
      <c r="GN803" s="14"/>
      <c r="GO803" s="16"/>
      <c r="GP803" s="14"/>
      <c r="GQ803" s="12" t="s">
        <v>319</v>
      </c>
      <c r="GR803" s="14"/>
      <c r="GS803" s="16"/>
      <c r="GT803" s="14"/>
      <c r="GU803" s="12" t="s">
        <v>319</v>
      </c>
      <c r="GV803" s="14"/>
      <c r="GW803" s="16"/>
      <c r="GX803" s="14"/>
      <c r="GY803" s="12" t="s">
        <v>319</v>
      </c>
      <c r="GZ803" s="14"/>
      <c r="HA803" s="16"/>
      <c r="HB803" s="14"/>
      <c r="HC803" s="12"/>
      <c r="HD803" s="12" t="s">
        <v>319</v>
      </c>
      <c r="HE803" s="14"/>
      <c r="HF803" s="16"/>
      <c r="HG803" s="14"/>
      <c r="HH803" s="12" t="s">
        <v>320</v>
      </c>
      <c r="HI803" s="12" t="s">
        <v>12353</v>
      </c>
      <c r="HJ803" s="12">
        <v>2016</v>
      </c>
      <c r="HK803" s="12" t="s">
        <v>319</v>
      </c>
      <c r="HL803" s="12" t="s">
        <v>319</v>
      </c>
      <c r="HM803" s="12"/>
      <c r="HN803" s="12"/>
      <c r="HO803" s="12"/>
      <c r="HP803" s="12" t="s">
        <v>418</v>
      </c>
      <c r="HQ803" s="12" t="s">
        <v>319</v>
      </c>
      <c r="HR803" s="12" t="s">
        <v>319</v>
      </c>
      <c r="HS803" s="12"/>
      <c r="HT803" s="12" t="s">
        <v>319</v>
      </c>
      <c r="HU803" s="12" t="s">
        <v>319</v>
      </c>
      <c r="HV803" s="12"/>
      <c r="HW803" s="12" t="s">
        <v>319</v>
      </c>
      <c r="HX803" s="12"/>
      <c r="HY803" s="12"/>
      <c r="HZ803" s="12" t="s">
        <v>331</v>
      </c>
      <c r="IA803" s="12"/>
      <c r="IB803" s="12" t="s">
        <v>333</v>
      </c>
      <c r="IC803" s="12"/>
      <c r="ID803" s="12" t="s">
        <v>334</v>
      </c>
      <c r="IE803" s="12" t="s">
        <v>335</v>
      </c>
      <c r="IF803" s="12" t="s">
        <v>320</v>
      </c>
      <c r="IG803" s="12" t="s">
        <v>320</v>
      </c>
      <c r="IH803" s="12" t="s">
        <v>320</v>
      </c>
      <c r="II803" s="12" t="s">
        <v>320</v>
      </c>
      <c r="IJ803" s="12" t="str">
        <f t="shared" si="517"/>
        <v>2. Sensitive</v>
      </c>
      <c r="IK803" s="12">
        <f t="shared" si="518"/>
        <v>4</v>
      </c>
      <c r="IL803" s="12" t="s">
        <v>336</v>
      </c>
      <c r="IM803" s="12" t="s">
        <v>320</v>
      </c>
      <c r="IN803" s="12" t="s">
        <v>320</v>
      </c>
      <c r="IO803" s="12" t="s">
        <v>320</v>
      </c>
      <c r="IP803" s="12" t="s">
        <v>320</v>
      </c>
      <c r="IQ803" s="12" t="str">
        <f t="shared" si="519"/>
        <v>2. Accommodating</v>
      </c>
      <c r="IR803" s="12">
        <f t="shared" si="520"/>
        <v>4</v>
      </c>
      <c r="IS803" s="12" t="s">
        <v>337</v>
      </c>
      <c r="IT803" s="12" t="s">
        <v>320</v>
      </c>
      <c r="IU803" s="12" t="s">
        <v>319</v>
      </c>
      <c r="IV803" s="12" t="s">
        <v>319</v>
      </c>
      <c r="IW803" s="11" t="str">
        <f t="shared" si="521"/>
        <v>1. Neutral</v>
      </c>
      <c r="IX803" s="12">
        <f t="shared" si="522"/>
        <v>1</v>
      </c>
      <c r="IY803" s="12" t="s">
        <v>338</v>
      </c>
      <c r="IZ803" s="12" t="s">
        <v>339</v>
      </c>
      <c r="JA803" s="12"/>
      <c r="JB803" s="12" t="s">
        <v>687</v>
      </c>
      <c r="JC803" s="12" t="s">
        <v>624</v>
      </c>
      <c r="JD803" s="12" t="s">
        <v>724</v>
      </c>
      <c r="JE803" s="12" t="s">
        <v>420</v>
      </c>
      <c r="JF803" s="12"/>
      <c r="JG803" s="12"/>
      <c r="JH803" s="12"/>
      <c r="JI803" s="12"/>
      <c r="JJ803" s="12"/>
      <c r="JK803" s="12"/>
      <c r="JL803" s="12"/>
      <c r="JM803" s="12"/>
      <c r="JN803" s="12"/>
      <c r="JO803" s="12"/>
      <c r="JP803" s="15">
        <f t="shared" si="523"/>
        <v>878</v>
      </c>
      <c r="JQ803" s="15">
        <f t="shared" si="524"/>
        <v>1000</v>
      </c>
      <c r="JR803" s="279">
        <f t="shared" si="525"/>
        <v>1.1389521640091116</v>
      </c>
      <c r="JS803" s="17">
        <f t="shared" si="526"/>
        <v>0.51252847380410027</v>
      </c>
      <c r="JT803" s="18">
        <f t="shared" si="527"/>
        <v>0.5</v>
      </c>
      <c r="JU803" s="280">
        <f t="shared" si="528"/>
        <v>450</v>
      </c>
      <c r="JV803" s="280">
        <f t="shared" si="529"/>
        <v>500</v>
      </c>
      <c r="JW803" s="319" t="str">
        <f t="shared" si="530"/>
        <v/>
      </c>
      <c r="JX803" s="15">
        <f t="shared" si="531"/>
        <v>0</v>
      </c>
      <c r="JY803" s="15">
        <f t="shared" si="532"/>
        <v>0</v>
      </c>
      <c r="JZ803" s="19" t="str">
        <f t="shared" si="533"/>
        <v/>
      </c>
      <c r="KA803" s="52">
        <f t="shared" si="534"/>
        <v>1</v>
      </c>
      <c r="KB803" s="15">
        <f t="shared" si="535"/>
        <v>961</v>
      </c>
      <c r="KC803" s="15">
        <f t="shared" si="536"/>
        <v>1000</v>
      </c>
      <c r="KD803" s="20">
        <f t="shared" si="537"/>
        <v>1.0405827263267429</v>
      </c>
      <c r="KE803" s="52" t="str">
        <f t="shared" si="538"/>
        <v/>
      </c>
      <c r="KF803" s="15">
        <f t="shared" si="539"/>
        <v>0</v>
      </c>
      <c r="KG803" s="15">
        <f t="shared" si="540"/>
        <v>0</v>
      </c>
      <c r="KH803" s="21" t="str">
        <f t="shared" si="541"/>
        <v/>
      </c>
      <c r="KI803" s="52" t="str">
        <f t="shared" si="542"/>
        <v/>
      </c>
      <c r="KJ803" s="15">
        <f t="shared" si="543"/>
        <v>0</v>
      </c>
      <c r="KK803" s="15">
        <f t="shared" si="544"/>
        <v>0</v>
      </c>
      <c r="KL803" s="19" t="str">
        <f t="shared" si="545"/>
        <v/>
      </c>
      <c r="KM803" s="52">
        <f t="shared" si="546"/>
        <v>1</v>
      </c>
      <c r="KN803" s="22">
        <f t="shared" si="547"/>
        <v>451.66999999999996</v>
      </c>
      <c r="KO803" s="22">
        <f t="shared" si="548"/>
        <v>470</v>
      </c>
      <c r="KP803" s="19">
        <f t="shared" si="549"/>
        <v>1.0405827263267431</v>
      </c>
      <c r="KQ803" s="11" t="str">
        <f t="shared" si="550"/>
        <v>2. Sensitive</v>
      </c>
      <c r="KR803" s="11" t="str">
        <f t="shared" si="551"/>
        <v>2. Accommodating</v>
      </c>
      <c r="KS803" s="11" t="str">
        <f t="shared" si="552"/>
        <v>1. Neutral</v>
      </c>
      <c r="KT803" s="11" t="str">
        <f t="shared" si="553"/>
        <v>It tested new ways for fighting poverty and measured results of innovation</v>
      </c>
      <c r="KU803" s="11" t="str">
        <f t="shared" si="554"/>
        <v>Little or no advocacy</v>
      </c>
      <c r="KV803" s="11" t="str">
        <f t="shared" si="555"/>
        <v>It did not take tested solutions to scale</v>
      </c>
      <c r="KW803" s="11" t="str">
        <f t="shared" si="556"/>
        <v>Thailand - Tipco Asphalt Group Youth Hero</v>
      </c>
      <c r="KX803" s="11" t="str">
        <f t="shared" si="557"/>
        <v>Tipco Asphalt Group Youth Hero</v>
      </c>
      <c r="KY803" s="11" t="str">
        <f t="shared" si="558"/>
        <v>Thailand</v>
      </c>
      <c r="KZ803" s="12">
        <v>804</v>
      </c>
    </row>
    <row r="804" spans="1:312" x14ac:dyDescent="0.3">
      <c r="A804" s="12" t="s">
        <v>12294</v>
      </c>
      <c r="B804" s="12" t="s">
        <v>306</v>
      </c>
      <c r="C804" s="12"/>
      <c r="D804" s="43" t="s">
        <v>14751</v>
      </c>
      <c r="E804" s="277" t="str">
        <f t="shared" si="516"/>
        <v>Thailand</v>
      </c>
      <c r="F804" s="12" t="s">
        <v>14752</v>
      </c>
      <c r="G804" s="12" t="s">
        <v>12297</v>
      </c>
      <c r="H804" s="12" t="s">
        <v>383</v>
      </c>
      <c r="I804" s="12" t="s">
        <v>384</v>
      </c>
      <c r="J804" s="281" t="s">
        <v>14753</v>
      </c>
      <c r="K804" s="12"/>
      <c r="L804" s="12"/>
      <c r="M804" s="12"/>
      <c r="N804" s="12"/>
      <c r="O804" s="12"/>
      <c r="P804" s="12"/>
      <c r="Q804" s="12"/>
      <c r="R804" s="12"/>
      <c r="S804" s="12"/>
      <c r="T804" s="12"/>
      <c r="U804" s="12"/>
      <c r="V804" s="12"/>
      <c r="W804" s="12"/>
      <c r="X804" s="12"/>
      <c r="Y804" s="12"/>
      <c r="Z804" s="12"/>
      <c r="AA804" s="12"/>
      <c r="AB804" s="12"/>
      <c r="AC804" s="12"/>
      <c r="AD804" s="12"/>
      <c r="BD804" s="13">
        <v>42186</v>
      </c>
      <c r="BE804" s="13">
        <v>42735</v>
      </c>
      <c r="BF804" s="13">
        <v>43100</v>
      </c>
      <c r="BG804" s="12" t="s">
        <v>312</v>
      </c>
      <c r="BH804" s="14">
        <v>1186360</v>
      </c>
      <c r="BI804" s="12" t="s">
        <v>12490</v>
      </c>
      <c r="BJ804" s="12" t="s">
        <v>12491</v>
      </c>
      <c r="BK804" s="301" t="s">
        <v>12492</v>
      </c>
      <c r="BL804" s="12" t="s">
        <v>12493</v>
      </c>
      <c r="BM804" s="12" t="s">
        <v>12494</v>
      </c>
      <c r="BN804" s="301" t="s">
        <v>12495</v>
      </c>
      <c r="BO804" s="12" t="s">
        <v>319</v>
      </c>
      <c r="BP804" s="12" t="s">
        <v>320</v>
      </c>
      <c r="BQ804" s="12" t="s">
        <v>319</v>
      </c>
      <c r="BR804" s="12" t="s">
        <v>14754</v>
      </c>
      <c r="BS804" s="12" t="s">
        <v>357</v>
      </c>
      <c r="BT804" s="12" t="s">
        <v>14755</v>
      </c>
      <c r="BU804" s="12" t="s">
        <v>14756</v>
      </c>
      <c r="BV804" s="14">
        <v>12651</v>
      </c>
      <c r="BW804" s="14">
        <v>12154</v>
      </c>
      <c r="BX804" s="14">
        <v>24805</v>
      </c>
      <c r="BY804" s="14">
        <v>25000</v>
      </c>
      <c r="BZ804" s="14">
        <v>24500</v>
      </c>
      <c r="CA804" s="14">
        <v>49500</v>
      </c>
      <c r="CB804" s="12"/>
      <c r="CD804" s="14"/>
      <c r="CE804" s="14"/>
      <c r="CF804" s="14"/>
      <c r="CG804" s="14"/>
      <c r="CH804" s="14"/>
      <c r="CI804" s="14"/>
      <c r="CJ804" s="12"/>
      <c r="CK804" s="14"/>
      <c r="CL804" s="16"/>
      <c r="CM804" s="14"/>
      <c r="CN804" s="12"/>
      <c r="CO804" s="14"/>
      <c r="CP804" s="16"/>
      <c r="CQ804" s="14"/>
      <c r="CR804" s="12"/>
      <c r="CS804" s="14"/>
      <c r="CT804" s="16"/>
      <c r="CU804" s="14"/>
      <c r="CV804" s="12"/>
      <c r="CW804" s="14"/>
      <c r="CX804" s="16"/>
      <c r="CY804" s="14"/>
      <c r="CZ804" s="12"/>
      <c r="DA804" s="14"/>
      <c r="DB804" s="16"/>
      <c r="DC804" s="14"/>
      <c r="DD804" s="12"/>
      <c r="DE804" s="14"/>
      <c r="DF804" s="16"/>
      <c r="DG804" s="14"/>
      <c r="DH804" s="12"/>
      <c r="DI804" s="14"/>
      <c r="DJ804" s="16"/>
      <c r="DK804" s="14"/>
      <c r="DL804" s="12"/>
      <c r="DM804" s="14"/>
      <c r="DN804" s="16"/>
      <c r="DO804" s="14"/>
      <c r="DP804" s="12"/>
      <c r="DQ804" s="14"/>
      <c r="DR804" s="16"/>
      <c r="DS804" s="14"/>
      <c r="DT804" s="12"/>
      <c r="DU804" s="14"/>
      <c r="DV804" s="16"/>
      <c r="DW804" s="14"/>
      <c r="DX804" s="12"/>
      <c r="DY804" s="14"/>
      <c r="DZ804" s="16"/>
      <c r="EA804" s="14"/>
      <c r="EB804" s="12"/>
      <c r="EC804" s="14"/>
      <c r="ED804" s="16"/>
      <c r="EE804" s="14"/>
      <c r="EF804" s="12"/>
      <c r="EG804" s="12"/>
      <c r="EH804" s="14"/>
      <c r="EI804" s="16"/>
      <c r="EJ804" s="14"/>
      <c r="EK804" s="14"/>
      <c r="EL804" s="14"/>
      <c r="EM804" s="14">
        <v>3746</v>
      </c>
      <c r="EN804" s="14"/>
      <c r="EO804" s="14"/>
      <c r="EP804" s="14"/>
      <c r="EQ804" s="12" t="s">
        <v>319</v>
      </c>
      <c r="ER804" s="14"/>
      <c r="ES804" s="16"/>
      <c r="ET804" s="14"/>
      <c r="EU804" s="12" t="s">
        <v>319</v>
      </c>
      <c r="EV804" s="14"/>
      <c r="EW804" s="16"/>
      <c r="EX804" s="14"/>
      <c r="EY804" s="12" t="s">
        <v>319</v>
      </c>
      <c r="EZ804" s="14"/>
      <c r="FA804" s="16"/>
      <c r="FB804" s="14"/>
      <c r="FC804" s="12" t="s">
        <v>319</v>
      </c>
      <c r="FD804" s="14"/>
      <c r="FE804" s="16"/>
      <c r="FF804" s="14"/>
      <c r="FG804" s="12" t="s">
        <v>319</v>
      </c>
      <c r="FH804" s="14"/>
      <c r="FI804" s="16"/>
      <c r="FJ804" s="14"/>
      <c r="FK804" s="12" t="s">
        <v>319</v>
      </c>
      <c r="FL804" s="14"/>
      <c r="FM804" s="16"/>
      <c r="FN804" s="14"/>
      <c r="FO804" s="12" t="s">
        <v>319</v>
      </c>
      <c r="FP804" s="14"/>
      <c r="FQ804" s="16"/>
      <c r="FR804" s="14"/>
      <c r="FS804" s="12" t="s">
        <v>319</v>
      </c>
      <c r="FT804" s="14"/>
      <c r="FU804" s="16"/>
      <c r="FV804" s="14"/>
      <c r="FW804" s="12" t="s">
        <v>319</v>
      </c>
      <c r="FX804" s="14"/>
      <c r="FY804" s="16"/>
      <c r="FZ804" s="14"/>
      <c r="GA804" s="12" t="s">
        <v>320</v>
      </c>
      <c r="GB804" s="14">
        <v>3746</v>
      </c>
      <c r="GC804" s="16">
        <v>0</v>
      </c>
      <c r="GD804" s="14"/>
      <c r="GE804" s="12" t="s">
        <v>319</v>
      </c>
      <c r="GF804" s="14"/>
      <c r="GG804" s="16"/>
      <c r="GH804" s="14"/>
      <c r="GI804" s="12" t="s">
        <v>319</v>
      </c>
      <c r="GJ804" s="14"/>
      <c r="GK804" s="16"/>
      <c r="GL804" s="14"/>
      <c r="GM804" s="12" t="s">
        <v>319</v>
      </c>
      <c r="GN804" s="14"/>
      <c r="GO804" s="16"/>
      <c r="GP804" s="14"/>
      <c r="GQ804" s="12" t="s">
        <v>319</v>
      </c>
      <c r="GR804" s="14"/>
      <c r="GS804" s="16"/>
      <c r="GT804" s="14"/>
      <c r="GU804" s="12" t="s">
        <v>319</v>
      </c>
      <c r="GV804" s="14"/>
      <c r="GW804" s="16"/>
      <c r="GX804" s="14"/>
      <c r="GY804" s="12" t="s">
        <v>319</v>
      </c>
      <c r="GZ804" s="14"/>
      <c r="HA804" s="16"/>
      <c r="HB804" s="14"/>
      <c r="HC804" s="12"/>
      <c r="HD804" s="12" t="s">
        <v>319</v>
      </c>
      <c r="HE804" s="14"/>
      <c r="HF804" s="16"/>
      <c r="HG804" s="14"/>
      <c r="HH804" s="12" t="s">
        <v>319</v>
      </c>
      <c r="HI804" s="12"/>
      <c r="HJ804" s="12"/>
      <c r="HK804" s="12" t="s">
        <v>319</v>
      </c>
      <c r="HL804" s="12" t="s">
        <v>320</v>
      </c>
      <c r="HM804" s="12" t="s">
        <v>361</v>
      </c>
      <c r="HN804" s="12">
        <v>2017</v>
      </c>
      <c r="HO804" s="12" t="s">
        <v>14757</v>
      </c>
      <c r="HP804" s="12" t="s">
        <v>330</v>
      </c>
      <c r="HQ804" s="12" t="s">
        <v>320</v>
      </c>
      <c r="HR804" s="12" t="s">
        <v>319</v>
      </c>
      <c r="HS804" s="12" t="s">
        <v>319</v>
      </c>
      <c r="HT804" s="12" t="s">
        <v>319</v>
      </c>
      <c r="HU804" s="12" t="s">
        <v>320</v>
      </c>
      <c r="HV804" s="12" t="s">
        <v>320</v>
      </c>
      <c r="HW804" s="12" t="s">
        <v>319</v>
      </c>
      <c r="HX804" s="12" t="s">
        <v>319</v>
      </c>
      <c r="HY804" s="12"/>
      <c r="HZ804" s="12" t="s">
        <v>394</v>
      </c>
      <c r="IA804" s="12"/>
      <c r="IB804" s="12" t="s">
        <v>396</v>
      </c>
      <c r="IC804" s="12"/>
      <c r="ID804" s="12" t="s">
        <v>364</v>
      </c>
      <c r="IE804" s="12" t="s">
        <v>335</v>
      </c>
      <c r="IF804" s="12" t="s">
        <v>320</v>
      </c>
      <c r="IG804" s="12" t="s">
        <v>320</v>
      </c>
      <c r="IH804" s="12" t="s">
        <v>320</v>
      </c>
      <c r="II804" s="12" t="s">
        <v>320</v>
      </c>
      <c r="IJ804" s="12" t="str">
        <f t="shared" si="517"/>
        <v>2. Sensitive</v>
      </c>
      <c r="IK804" s="12">
        <f t="shared" si="518"/>
        <v>4</v>
      </c>
      <c r="IL804" s="12" t="s">
        <v>621</v>
      </c>
      <c r="IM804" s="12" t="s">
        <v>320</v>
      </c>
      <c r="IN804" s="12" t="s">
        <v>320</v>
      </c>
      <c r="IO804" s="12" t="s">
        <v>320</v>
      </c>
      <c r="IP804" s="12" t="s">
        <v>320</v>
      </c>
      <c r="IQ804" s="12" t="str">
        <f t="shared" si="519"/>
        <v>4. Transformational</v>
      </c>
      <c r="IR804" s="12">
        <f t="shared" si="520"/>
        <v>4</v>
      </c>
      <c r="IS804" s="12" t="s">
        <v>337</v>
      </c>
      <c r="IT804" s="12" t="s">
        <v>320</v>
      </c>
      <c r="IU804" s="12" t="s">
        <v>319</v>
      </c>
      <c r="IV804" s="12" t="s">
        <v>319</v>
      </c>
      <c r="IW804" s="11" t="str">
        <f t="shared" si="521"/>
        <v>1. Neutral</v>
      </c>
      <c r="IX804" s="12">
        <f t="shared" si="522"/>
        <v>1</v>
      </c>
      <c r="IY804" s="12" t="s">
        <v>338</v>
      </c>
      <c r="IZ804" s="12" t="s">
        <v>527</v>
      </c>
      <c r="JA804" s="12">
        <v>8</v>
      </c>
      <c r="JB804" s="12" t="s">
        <v>831</v>
      </c>
      <c r="JC804" s="12"/>
      <c r="JD804" s="12"/>
      <c r="JE804" s="12" t="s">
        <v>365</v>
      </c>
      <c r="JF804" s="12"/>
      <c r="JG804" s="12" t="s">
        <v>14758</v>
      </c>
      <c r="JH804" s="12" t="s">
        <v>14759</v>
      </c>
      <c r="JI804" s="12" t="s">
        <v>14760</v>
      </c>
      <c r="JJ804" s="12" t="s">
        <v>14761</v>
      </c>
      <c r="JK804" s="12" t="s">
        <v>14762</v>
      </c>
      <c r="JL804" s="12" t="s">
        <v>14763</v>
      </c>
      <c r="JM804" s="12" t="s">
        <v>14764</v>
      </c>
      <c r="JN804" s="12"/>
      <c r="JO804" s="12"/>
      <c r="JP804" s="15">
        <f t="shared" si="523"/>
        <v>3746</v>
      </c>
      <c r="JQ804" s="15">
        <f t="shared" si="524"/>
        <v>0</v>
      </c>
      <c r="JR804" s="279">
        <f t="shared" si="525"/>
        <v>0</v>
      </c>
      <c r="JS804" s="17">
        <f t="shared" si="526"/>
        <v>0</v>
      </c>
      <c r="JT804" s="18" t="str">
        <f t="shared" si="527"/>
        <v/>
      </c>
      <c r="JU804" s="280">
        <f t="shared" si="528"/>
        <v>0</v>
      </c>
      <c r="JV804" s="280">
        <f t="shared" si="529"/>
        <v>0</v>
      </c>
      <c r="JW804" s="319" t="str">
        <f t="shared" si="530"/>
        <v/>
      </c>
      <c r="JX804" s="15">
        <f t="shared" si="531"/>
        <v>0</v>
      </c>
      <c r="JY804" s="15">
        <f t="shared" si="532"/>
        <v>0</v>
      </c>
      <c r="JZ804" s="19" t="str">
        <f t="shared" si="533"/>
        <v/>
      </c>
      <c r="KA804" s="52" t="str">
        <f t="shared" si="534"/>
        <v/>
      </c>
      <c r="KB804" s="15">
        <f t="shared" si="535"/>
        <v>0</v>
      </c>
      <c r="KC804" s="15">
        <f t="shared" si="536"/>
        <v>0</v>
      </c>
      <c r="KD804" s="20" t="str">
        <f t="shared" si="537"/>
        <v/>
      </c>
      <c r="KE804" s="52" t="str">
        <f t="shared" si="538"/>
        <v/>
      </c>
      <c r="KF804" s="15">
        <f t="shared" si="539"/>
        <v>0</v>
      </c>
      <c r="KG804" s="15">
        <f t="shared" si="540"/>
        <v>0</v>
      </c>
      <c r="KH804" s="21" t="str">
        <f t="shared" si="541"/>
        <v/>
      </c>
      <c r="KI804" s="52" t="str">
        <f t="shared" si="542"/>
        <v/>
      </c>
      <c r="KJ804" s="15">
        <f t="shared" si="543"/>
        <v>0</v>
      </c>
      <c r="KK804" s="15">
        <f t="shared" si="544"/>
        <v>0</v>
      </c>
      <c r="KL804" s="19" t="str">
        <f t="shared" si="545"/>
        <v/>
      </c>
      <c r="KM804" s="52" t="str">
        <f t="shared" si="546"/>
        <v/>
      </c>
      <c r="KN804" s="22">
        <f t="shared" si="547"/>
        <v>0</v>
      </c>
      <c r="KO804" s="22">
        <f t="shared" si="548"/>
        <v>0</v>
      </c>
      <c r="KP804" s="19" t="str">
        <f t="shared" si="549"/>
        <v/>
      </c>
      <c r="KQ804" s="11" t="str">
        <f t="shared" si="550"/>
        <v>2. Sensitive</v>
      </c>
      <c r="KR804" s="11" t="str">
        <f t="shared" si="551"/>
        <v>4. Transformational</v>
      </c>
      <c r="KS804" s="11" t="str">
        <f t="shared" si="552"/>
        <v>1. Neutral</v>
      </c>
      <c r="KT804" s="11" t="str">
        <f t="shared" si="553"/>
        <v>It tested new ways for fighting poverty, but did not measure results of innovation</v>
      </c>
      <c r="KU804" s="11" t="str">
        <f t="shared" si="554"/>
        <v>Moderate advocacy</v>
      </c>
      <c r="KV804" s="11" t="str">
        <f t="shared" si="555"/>
        <v>It linked and worked with strategic alliances and partners to take tested and effective solutions to scale</v>
      </c>
      <c r="KW804" s="11" t="str">
        <f t="shared" si="556"/>
        <v>Thailand - Trans-border malaria: Fine-scale mapping of high-risk populations and targeting of hotspots with appropriate and novel intervention packages.</v>
      </c>
      <c r="KX804" s="11" t="str">
        <f t="shared" si="557"/>
        <v>Trans-border malaria: Fine-scale mapping of high-risk populations and targeting of hotspots with appropriate and novel intervention packages.</v>
      </c>
      <c r="KY804" s="11" t="str">
        <f t="shared" si="558"/>
        <v>Thailand</v>
      </c>
      <c r="KZ804" s="12">
        <v>805</v>
      </c>
    </row>
    <row r="805" spans="1:312" x14ac:dyDescent="0.3">
      <c r="A805" s="12" t="s">
        <v>12294</v>
      </c>
      <c r="B805" s="12" t="s">
        <v>306</v>
      </c>
      <c r="C805" s="12"/>
      <c r="D805" s="43" t="s">
        <v>12528</v>
      </c>
      <c r="E805" s="277" t="str">
        <f t="shared" si="516"/>
        <v>Thailand</v>
      </c>
      <c r="F805" s="12" t="s">
        <v>12529</v>
      </c>
      <c r="G805" s="12" t="s">
        <v>12297</v>
      </c>
      <c r="H805" s="12" t="s">
        <v>489</v>
      </c>
      <c r="I805" s="12" t="s">
        <v>384</v>
      </c>
      <c r="J805" s="278" t="s">
        <v>5370</v>
      </c>
      <c r="K805" s="12"/>
      <c r="L805" s="12"/>
      <c r="M805" s="12"/>
      <c r="N805" s="12"/>
      <c r="O805" s="12"/>
      <c r="P805" s="12"/>
      <c r="Q805" s="12"/>
      <c r="R805" s="12"/>
      <c r="S805" s="12"/>
      <c r="T805" s="12"/>
      <c r="U805" s="12"/>
      <c r="V805" s="12"/>
      <c r="W805" s="12"/>
      <c r="X805" s="12"/>
      <c r="Y805" s="12"/>
      <c r="Z805" s="12"/>
      <c r="AA805" s="12"/>
      <c r="AB805" s="12"/>
      <c r="AC805" s="12"/>
      <c r="AD805" s="12"/>
      <c r="BD805" s="13">
        <v>42736</v>
      </c>
      <c r="BE805" s="13">
        <v>43830</v>
      </c>
      <c r="BF805" s="12"/>
      <c r="BG805" s="12" t="s">
        <v>749</v>
      </c>
      <c r="BH805" s="14">
        <v>379200</v>
      </c>
      <c r="BI805" s="12" t="s">
        <v>12299</v>
      </c>
      <c r="BJ805" s="12" t="s">
        <v>12300</v>
      </c>
      <c r="BK805" s="12" t="s">
        <v>12301</v>
      </c>
      <c r="BL805" s="12" t="s">
        <v>12320</v>
      </c>
      <c r="BM805" s="12" t="s">
        <v>12321</v>
      </c>
      <c r="BN805" s="12" t="s">
        <v>12322</v>
      </c>
      <c r="BO805" s="12" t="s">
        <v>320</v>
      </c>
      <c r="BP805" s="12" t="s">
        <v>320</v>
      </c>
      <c r="BQ805" s="12" t="s">
        <v>320</v>
      </c>
      <c r="BR805" s="12" t="s">
        <v>12530</v>
      </c>
      <c r="BS805" s="12" t="s">
        <v>357</v>
      </c>
      <c r="BT805" s="12" t="s">
        <v>12531</v>
      </c>
      <c r="BU805" s="12" t="s">
        <v>12532</v>
      </c>
      <c r="BV805" s="14">
        <v>2422</v>
      </c>
      <c r="BW805" s="14">
        <v>2548</v>
      </c>
      <c r="BX805" s="14">
        <v>4970</v>
      </c>
      <c r="BY805" s="14">
        <v>1354</v>
      </c>
      <c r="BZ805" s="14">
        <v>1447</v>
      </c>
      <c r="CA805" s="14">
        <v>2801</v>
      </c>
      <c r="CB805" s="12"/>
      <c r="CD805" s="14">
        <v>0</v>
      </c>
      <c r="CE805" s="14">
        <v>0</v>
      </c>
      <c r="CF805" s="14">
        <v>0</v>
      </c>
      <c r="CG805" s="14"/>
      <c r="CH805" s="14"/>
      <c r="CI805" s="14"/>
      <c r="CJ805" s="12" t="s">
        <v>319</v>
      </c>
      <c r="CK805" s="14"/>
      <c r="CL805" s="16"/>
      <c r="CM805" s="14"/>
      <c r="CN805" s="12" t="s">
        <v>319</v>
      </c>
      <c r="CO805" s="14"/>
      <c r="CP805" s="16"/>
      <c r="CQ805" s="14"/>
      <c r="CR805" s="12" t="s">
        <v>319</v>
      </c>
      <c r="CS805" s="14"/>
      <c r="CT805" s="16"/>
      <c r="CU805" s="14"/>
      <c r="CV805" s="12" t="s">
        <v>320</v>
      </c>
      <c r="CW805" s="14"/>
      <c r="CX805" s="16"/>
      <c r="CY805" s="14"/>
      <c r="CZ805" s="12" t="s">
        <v>319</v>
      </c>
      <c r="DA805" s="14"/>
      <c r="DB805" s="16"/>
      <c r="DC805" s="14"/>
      <c r="DD805" s="12" t="s">
        <v>7463</v>
      </c>
      <c r="DE805" s="14"/>
      <c r="DF805" s="16"/>
      <c r="DG805" s="14"/>
      <c r="DH805" s="11" t="s">
        <v>319</v>
      </c>
      <c r="DI805" s="14"/>
      <c r="DJ805" s="16"/>
      <c r="DK805" s="14"/>
      <c r="DL805" s="12" t="s">
        <v>326</v>
      </c>
      <c r="DM805" s="14"/>
      <c r="DN805" s="16"/>
      <c r="DO805" s="14"/>
      <c r="DP805" s="12" t="s">
        <v>326</v>
      </c>
      <c r="DQ805" s="14"/>
      <c r="DR805" s="16"/>
      <c r="DS805" s="14"/>
      <c r="DT805" s="12" t="s">
        <v>319</v>
      </c>
      <c r="DU805" s="14"/>
      <c r="DV805" s="16"/>
      <c r="DW805" s="14"/>
      <c r="DX805" s="12" t="s">
        <v>319</v>
      </c>
      <c r="DY805" s="14"/>
      <c r="DZ805" s="16"/>
      <c r="EA805" s="14"/>
      <c r="EB805" s="11" t="s">
        <v>319</v>
      </c>
      <c r="EC805" s="14"/>
      <c r="ED805" s="16"/>
      <c r="EE805" s="14"/>
      <c r="EF805" s="12"/>
      <c r="EG805" s="12" t="s">
        <v>319</v>
      </c>
      <c r="EH805" s="14"/>
      <c r="EI805" s="16"/>
      <c r="EJ805" s="14"/>
      <c r="EK805" s="14">
        <v>816</v>
      </c>
      <c r="EL805" s="14">
        <v>1693</v>
      </c>
      <c r="EM805" s="14">
        <v>2509</v>
      </c>
      <c r="EN805" s="14">
        <v>0</v>
      </c>
      <c r="EO805" s="14">
        <v>0</v>
      </c>
      <c r="EP805" s="14">
        <v>0</v>
      </c>
      <c r="EQ805" s="12" t="s">
        <v>319</v>
      </c>
      <c r="ER805" s="14"/>
      <c r="ES805" s="16"/>
      <c r="ET805" s="14"/>
      <c r="EU805" s="11" t="s">
        <v>320</v>
      </c>
      <c r="EV805" s="14">
        <v>2509</v>
      </c>
      <c r="EW805" s="16">
        <v>0.33</v>
      </c>
      <c r="EX805" s="14"/>
      <c r="EY805" s="12" t="s">
        <v>319</v>
      </c>
      <c r="EZ805" s="14"/>
      <c r="FA805" s="16"/>
      <c r="FB805" s="14"/>
      <c r="FC805" s="12" t="s">
        <v>319</v>
      </c>
      <c r="FD805" s="14"/>
      <c r="FE805" s="16"/>
      <c r="FF805" s="14"/>
      <c r="FG805" s="12" t="s">
        <v>319</v>
      </c>
      <c r="FH805" s="14"/>
      <c r="FI805" s="16"/>
      <c r="FJ805" s="14"/>
      <c r="FK805" s="12" t="s">
        <v>319</v>
      </c>
      <c r="FL805" s="14"/>
      <c r="FM805" s="16"/>
      <c r="FN805" s="14"/>
      <c r="FO805" s="12" t="s">
        <v>319</v>
      </c>
      <c r="FP805" s="14"/>
      <c r="FQ805" s="16"/>
      <c r="FR805" s="14"/>
      <c r="FS805" s="12" t="s">
        <v>319</v>
      </c>
      <c r="FT805" s="14"/>
      <c r="FU805" s="16"/>
      <c r="FV805" s="14"/>
      <c r="FW805" s="12" t="s">
        <v>319</v>
      </c>
      <c r="FX805" s="14"/>
      <c r="FY805" s="16"/>
      <c r="FZ805" s="14"/>
      <c r="GA805" s="12" t="s">
        <v>319</v>
      </c>
      <c r="GB805" s="14"/>
      <c r="GC805" s="16"/>
      <c r="GD805" s="14"/>
      <c r="GE805" s="12" t="s">
        <v>319</v>
      </c>
      <c r="GF805" s="14"/>
      <c r="GG805" s="16"/>
      <c r="GH805" s="14"/>
      <c r="GI805" s="11" t="s">
        <v>320</v>
      </c>
      <c r="GJ805" s="14">
        <v>2509</v>
      </c>
      <c r="GK805" s="16">
        <v>0.33</v>
      </c>
      <c r="GL805" s="14"/>
      <c r="GM805" s="12" t="s">
        <v>319</v>
      </c>
      <c r="GN805" s="14"/>
      <c r="GO805" s="16"/>
      <c r="GP805" s="14"/>
      <c r="GQ805" s="12" t="s">
        <v>319</v>
      </c>
      <c r="GR805" s="14"/>
      <c r="GS805" s="16"/>
      <c r="GT805" s="14"/>
      <c r="GU805" s="12" t="s">
        <v>319</v>
      </c>
      <c r="GV805" s="14"/>
      <c r="GW805" s="16"/>
      <c r="GX805" s="14"/>
      <c r="GY805" s="12" t="s">
        <v>319</v>
      </c>
      <c r="GZ805" s="14"/>
      <c r="HA805" s="16"/>
      <c r="HB805" s="14"/>
      <c r="HC805" s="12"/>
      <c r="HD805" s="12"/>
      <c r="HE805" s="14"/>
      <c r="HF805" s="16"/>
      <c r="HG805" s="14"/>
      <c r="HH805" s="12" t="s">
        <v>320</v>
      </c>
      <c r="HI805" s="12" t="s">
        <v>361</v>
      </c>
      <c r="HJ805" s="12">
        <v>2016</v>
      </c>
      <c r="HK805" s="12" t="s">
        <v>319</v>
      </c>
      <c r="HL805" s="12" t="s">
        <v>319</v>
      </c>
      <c r="HM805" s="12"/>
      <c r="HN805" s="12"/>
      <c r="HO805" s="12"/>
      <c r="HP805" s="12" t="s">
        <v>330</v>
      </c>
      <c r="HQ805" s="12" t="s">
        <v>320</v>
      </c>
      <c r="HR805" s="12" t="s">
        <v>319</v>
      </c>
      <c r="HS805" s="12" t="s">
        <v>319</v>
      </c>
      <c r="HT805" s="12" t="s">
        <v>319</v>
      </c>
      <c r="HU805" s="12" t="s">
        <v>319</v>
      </c>
      <c r="HV805" s="12" t="s">
        <v>319</v>
      </c>
      <c r="HW805" s="12" t="s">
        <v>320</v>
      </c>
      <c r="HX805" s="12" t="s">
        <v>319</v>
      </c>
      <c r="HY805" s="12"/>
      <c r="HZ805" s="12" t="s">
        <v>394</v>
      </c>
      <c r="IA805" s="12"/>
      <c r="IB805" s="12" t="s">
        <v>396</v>
      </c>
      <c r="IC805" s="12"/>
      <c r="ID805" s="12" t="s">
        <v>364</v>
      </c>
      <c r="IE805" s="12" t="s">
        <v>335</v>
      </c>
      <c r="IF805" s="12" t="s">
        <v>320</v>
      </c>
      <c r="IG805" s="12" t="s">
        <v>320</v>
      </c>
      <c r="IH805" s="12" t="s">
        <v>320</v>
      </c>
      <c r="II805" s="12" t="s">
        <v>320</v>
      </c>
      <c r="IJ805" s="12" t="str">
        <f t="shared" si="517"/>
        <v>2. Sensitive</v>
      </c>
      <c r="IK805" s="12">
        <f t="shared" si="518"/>
        <v>4</v>
      </c>
      <c r="IL805" s="11" t="s">
        <v>621</v>
      </c>
      <c r="IM805" s="12" t="s">
        <v>320</v>
      </c>
      <c r="IN805" s="12" t="s">
        <v>320</v>
      </c>
      <c r="IO805" s="12" t="s">
        <v>320</v>
      </c>
      <c r="IP805" s="12" t="s">
        <v>320</v>
      </c>
      <c r="IQ805" s="12" t="str">
        <f t="shared" si="519"/>
        <v>4. Transformational</v>
      </c>
      <c r="IR805" s="12">
        <f t="shared" si="520"/>
        <v>4</v>
      </c>
      <c r="IS805" s="12" t="s">
        <v>337</v>
      </c>
      <c r="IT805" s="12" t="s">
        <v>320</v>
      </c>
      <c r="IU805" s="12" t="s">
        <v>320</v>
      </c>
      <c r="IV805" s="12" t="s">
        <v>320</v>
      </c>
      <c r="IW805" s="11" t="str">
        <f t="shared" si="521"/>
        <v>2. Sensitive</v>
      </c>
      <c r="IX805" s="12">
        <f t="shared" si="522"/>
        <v>3</v>
      </c>
      <c r="IY805" s="12" t="s">
        <v>758</v>
      </c>
      <c r="IZ805" s="12" t="s">
        <v>339</v>
      </c>
      <c r="JA805" s="12">
        <v>12</v>
      </c>
      <c r="JB805" s="12" t="s">
        <v>687</v>
      </c>
      <c r="JC805" s="12" t="s">
        <v>623</v>
      </c>
      <c r="JD805" s="12" t="s">
        <v>433</v>
      </c>
      <c r="JE805" s="12" t="s">
        <v>365</v>
      </c>
      <c r="JF805" s="12"/>
      <c r="JG805" s="12" t="s">
        <v>12533</v>
      </c>
      <c r="JH805" s="12" t="s">
        <v>12534</v>
      </c>
      <c r="JI805" s="12"/>
      <c r="JJ805" s="12"/>
      <c r="JK805" s="12" t="s">
        <v>12535</v>
      </c>
      <c r="JL805" s="12" t="s">
        <v>12536</v>
      </c>
      <c r="JM805" s="12"/>
      <c r="JN805" s="12"/>
      <c r="JO805" s="12"/>
      <c r="JP805" s="15">
        <f t="shared" si="523"/>
        <v>2509</v>
      </c>
      <c r="JQ805" s="15">
        <f t="shared" si="524"/>
        <v>0</v>
      </c>
      <c r="JR805" s="279">
        <f t="shared" si="525"/>
        <v>0</v>
      </c>
      <c r="JS805" s="17">
        <f t="shared" si="526"/>
        <v>0.32522917497010762</v>
      </c>
      <c r="JT805" s="18" t="str">
        <f t="shared" si="527"/>
        <v/>
      </c>
      <c r="JU805" s="280">
        <f t="shared" si="528"/>
        <v>816</v>
      </c>
      <c r="JV805" s="280">
        <f t="shared" si="529"/>
        <v>0</v>
      </c>
      <c r="JW805" s="319">
        <f t="shared" si="530"/>
        <v>1</v>
      </c>
      <c r="JX805" s="15">
        <f t="shared" si="531"/>
        <v>0</v>
      </c>
      <c r="JY805" s="15">
        <f t="shared" si="532"/>
        <v>0</v>
      </c>
      <c r="JZ805" s="19" t="str">
        <f t="shared" si="533"/>
        <v/>
      </c>
      <c r="KA805" s="52">
        <f t="shared" si="534"/>
        <v>1</v>
      </c>
      <c r="KB805" s="15">
        <f t="shared" si="535"/>
        <v>2509</v>
      </c>
      <c r="KC805" s="15">
        <f t="shared" si="536"/>
        <v>0</v>
      </c>
      <c r="KD805" s="20">
        <f t="shared" si="537"/>
        <v>0</v>
      </c>
      <c r="KE805" s="52" t="str">
        <f t="shared" si="538"/>
        <v/>
      </c>
      <c r="KF805" s="15">
        <f t="shared" si="539"/>
        <v>0</v>
      </c>
      <c r="KG805" s="15">
        <f t="shared" si="540"/>
        <v>0</v>
      </c>
      <c r="KH805" s="21" t="str">
        <f t="shared" si="541"/>
        <v/>
      </c>
      <c r="KI805" s="52" t="str">
        <f t="shared" si="542"/>
        <v/>
      </c>
      <c r="KJ805" s="15">
        <f t="shared" si="543"/>
        <v>0</v>
      </c>
      <c r="KK805" s="15">
        <f t="shared" si="544"/>
        <v>0</v>
      </c>
      <c r="KL805" s="19" t="str">
        <f t="shared" si="545"/>
        <v/>
      </c>
      <c r="KM805" s="52" t="str">
        <f t="shared" si="546"/>
        <v/>
      </c>
      <c r="KN805" s="22">
        <f t="shared" si="547"/>
        <v>0</v>
      </c>
      <c r="KO805" s="22">
        <f t="shared" si="548"/>
        <v>0</v>
      </c>
      <c r="KP805" s="19" t="str">
        <f t="shared" si="549"/>
        <v/>
      </c>
      <c r="KQ805" s="11" t="str">
        <f t="shared" si="550"/>
        <v>2. Sensitive</v>
      </c>
      <c r="KR805" s="11" t="str">
        <f t="shared" si="551"/>
        <v>4. Transformational</v>
      </c>
      <c r="KS805" s="11" t="str">
        <f t="shared" si="552"/>
        <v>2. Sensitive</v>
      </c>
      <c r="KT805" s="11" t="str">
        <f t="shared" si="553"/>
        <v>It tested new ways for fighting poverty, but did not measure results of innovation</v>
      </c>
      <c r="KU805" s="11" t="str">
        <f t="shared" si="554"/>
        <v>Moderate advocacy</v>
      </c>
      <c r="KV805" s="11" t="str">
        <f t="shared" si="555"/>
        <v>It linked and worked with strategic alliances and partners to take tested and effective solutions to scale</v>
      </c>
      <c r="KW805" s="11" t="str">
        <f t="shared" si="556"/>
        <v>Thailand - Where The Rain  Falls (Phase 4)</v>
      </c>
      <c r="KX805" s="11" t="str">
        <f t="shared" si="557"/>
        <v>Where The Rain  Falls (Phase 4)</v>
      </c>
      <c r="KY805" s="11" t="str">
        <f t="shared" si="558"/>
        <v>Thailand</v>
      </c>
      <c r="KZ805" s="12">
        <v>806</v>
      </c>
    </row>
    <row r="806" spans="1:312" x14ac:dyDescent="0.3">
      <c r="A806" s="12" t="s">
        <v>12294</v>
      </c>
      <c r="B806" s="12" t="s">
        <v>306</v>
      </c>
      <c r="C806" s="12"/>
      <c r="D806" s="43" t="s">
        <v>12537</v>
      </c>
      <c r="E806" s="277" t="str">
        <f t="shared" si="516"/>
        <v>Thailand</v>
      </c>
      <c r="F806" s="12" t="s">
        <v>12538</v>
      </c>
      <c r="G806" s="12" t="s">
        <v>12297</v>
      </c>
      <c r="H806" s="12" t="s">
        <v>489</v>
      </c>
      <c r="I806" s="12" t="s">
        <v>384</v>
      </c>
      <c r="J806" s="281" t="s">
        <v>12539</v>
      </c>
      <c r="K806" s="12"/>
      <c r="L806" s="12"/>
      <c r="M806" s="12"/>
      <c r="N806" s="12"/>
      <c r="O806" s="12"/>
      <c r="P806" s="12"/>
      <c r="Q806" s="12"/>
      <c r="R806" s="12"/>
      <c r="S806" s="12"/>
      <c r="T806" s="12"/>
      <c r="U806" s="12"/>
      <c r="V806" s="12"/>
      <c r="W806" s="12"/>
      <c r="X806" s="12"/>
      <c r="Y806" s="12"/>
      <c r="Z806" s="12"/>
      <c r="AA806" s="12"/>
      <c r="AB806" s="12"/>
      <c r="AC806" s="12"/>
      <c r="AD806" s="12"/>
      <c r="BD806" s="13">
        <v>42522</v>
      </c>
      <c r="BE806" s="13">
        <v>42886</v>
      </c>
      <c r="BF806" s="13">
        <v>43008</v>
      </c>
      <c r="BG806" s="12" t="s">
        <v>312</v>
      </c>
      <c r="BH806" s="14">
        <v>35200</v>
      </c>
      <c r="BI806" s="12" t="s">
        <v>12299</v>
      </c>
      <c r="BJ806" s="12" t="s">
        <v>12300</v>
      </c>
      <c r="BK806" s="12" t="s">
        <v>12301</v>
      </c>
      <c r="BL806" s="12" t="s">
        <v>12320</v>
      </c>
      <c r="BM806" s="12" t="s">
        <v>12321</v>
      </c>
      <c r="BN806" s="12" t="s">
        <v>12322</v>
      </c>
      <c r="BO806" s="12" t="s">
        <v>320</v>
      </c>
      <c r="BP806" s="12" t="s">
        <v>320</v>
      </c>
      <c r="BQ806" s="12" t="s">
        <v>320</v>
      </c>
      <c r="BR806" s="12" t="s">
        <v>12540</v>
      </c>
      <c r="BS806" s="12" t="s">
        <v>357</v>
      </c>
      <c r="BT806" s="12" t="s">
        <v>12541</v>
      </c>
      <c r="BU806" s="12" t="s">
        <v>12542</v>
      </c>
      <c r="BV806" s="14">
        <v>406</v>
      </c>
      <c r="BW806" s="14">
        <v>296</v>
      </c>
      <c r="BX806" s="14">
        <v>702</v>
      </c>
      <c r="BY806" s="14">
        <v>0</v>
      </c>
      <c r="BZ806" s="14">
        <v>0</v>
      </c>
      <c r="CA806" s="14">
        <v>0</v>
      </c>
      <c r="CB806" s="12" t="s">
        <v>12543</v>
      </c>
      <c r="CD806" s="14">
        <v>0</v>
      </c>
      <c r="CE806" s="14">
        <v>0</v>
      </c>
      <c r="CF806" s="14">
        <v>0</v>
      </c>
      <c r="CG806" s="14"/>
      <c r="CH806" s="14"/>
      <c r="CI806" s="14"/>
      <c r="CJ806" s="12" t="s">
        <v>319</v>
      </c>
      <c r="CK806" s="14"/>
      <c r="CL806" s="16"/>
      <c r="CM806" s="14"/>
      <c r="CN806" s="12" t="s">
        <v>319</v>
      </c>
      <c r="CO806" s="14"/>
      <c r="CP806" s="16"/>
      <c r="CQ806" s="14"/>
      <c r="CR806" s="12" t="s">
        <v>319</v>
      </c>
      <c r="CS806" s="14"/>
      <c r="CT806" s="16"/>
      <c r="CU806" s="14"/>
      <c r="CV806" s="12" t="s">
        <v>320</v>
      </c>
      <c r="CW806" s="14"/>
      <c r="CX806" s="16"/>
      <c r="CY806" s="14"/>
      <c r="CZ806" s="12" t="s">
        <v>319</v>
      </c>
      <c r="DA806" s="14"/>
      <c r="DB806" s="16"/>
      <c r="DC806" s="14"/>
      <c r="DD806" s="12" t="s">
        <v>7463</v>
      </c>
      <c r="DE806" s="14"/>
      <c r="DF806" s="16"/>
      <c r="DG806" s="14"/>
      <c r="DH806" s="11" t="s">
        <v>319</v>
      </c>
      <c r="DI806" s="14"/>
      <c r="DJ806" s="16"/>
      <c r="DK806" s="14"/>
      <c r="DL806" s="12" t="s">
        <v>326</v>
      </c>
      <c r="DM806" s="14"/>
      <c r="DN806" s="16"/>
      <c r="DO806" s="14"/>
      <c r="DP806" s="12" t="s">
        <v>326</v>
      </c>
      <c r="DQ806" s="14"/>
      <c r="DR806" s="16"/>
      <c r="DS806" s="14"/>
      <c r="DT806" s="12" t="s">
        <v>319</v>
      </c>
      <c r="DU806" s="14"/>
      <c r="DV806" s="16"/>
      <c r="DW806" s="14"/>
      <c r="DX806" s="12" t="s">
        <v>319</v>
      </c>
      <c r="DY806" s="14"/>
      <c r="DZ806" s="16"/>
      <c r="EA806" s="14"/>
      <c r="EB806" s="11" t="s">
        <v>319</v>
      </c>
      <c r="EC806" s="14"/>
      <c r="ED806" s="16"/>
      <c r="EE806" s="14"/>
      <c r="EF806" s="12"/>
      <c r="EG806" s="12" t="s">
        <v>319</v>
      </c>
      <c r="EH806" s="14"/>
      <c r="EI806" s="16"/>
      <c r="EJ806" s="14"/>
      <c r="EK806" s="14">
        <v>168</v>
      </c>
      <c r="EL806" s="14">
        <v>119</v>
      </c>
      <c r="EM806" s="14">
        <v>287</v>
      </c>
      <c r="EN806" s="14">
        <v>330</v>
      </c>
      <c r="EO806" s="14">
        <v>280</v>
      </c>
      <c r="EP806" s="14">
        <v>610</v>
      </c>
      <c r="EQ806" s="12" t="s">
        <v>319</v>
      </c>
      <c r="ER806" s="14"/>
      <c r="ES806" s="16"/>
      <c r="ET806" s="14"/>
      <c r="EU806" s="11" t="s">
        <v>319</v>
      </c>
      <c r="EV806" s="14"/>
      <c r="EW806" s="16"/>
      <c r="EX806" s="14"/>
      <c r="EY806" s="12" t="s">
        <v>319</v>
      </c>
      <c r="EZ806" s="14"/>
      <c r="FA806" s="16"/>
      <c r="FB806" s="14"/>
      <c r="FC806" s="12" t="s">
        <v>319</v>
      </c>
      <c r="FD806" s="14"/>
      <c r="FE806" s="16"/>
      <c r="FF806" s="14"/>
      <c r="FG806" s="12" t="s">
        <v>319</v>
      </c>
      <c r="FH806" s="14"/>
      <c r="FI806" s="16"/>
      <c r="FJ806" s="14"/>
      <c r="FK806" s="12" t="s">
        <v>319</v>
      </c>
      <c r="FL806" s="14"/>
      <c r="FM806" s="16"/>
      <c r="FN806" s="14"/>
      <c r="FO806" s="12" t="s">
        <v>319</v>
      </c>
      <c r="FP806" s="14"/>
      <c r="FQ806" s="16"/>
      <c r="FR806" s="14"/>
      <c r="FS806" s="12" t="s">
        <v>319</v>
      </c>
      <c r="FT806" s="14"/>
      <c r="FU806" s="16"/>
      <c r="FV806" s="14"/>
      <c r="FW806" s="12" t="s">
        <v>319</v>
      </c>
      <c r="FX806" s="14"/>
      <c r="FY806" s="16"/>
      <c r="FZ806" s="14"/>
      <c r="GA806" s="12" t="s">
        <v>319</v>
      </c>
      <c r="GB806" s="14"/>
      <c r="GC806" s="16"/>
      <c r="GD806" s="14"/>
      <c r="GE806" s="12" t="s">
        <v>319</v>
      </c>
      <c r="GF806" s="14"/>
      <c r="GG806" s="16"/>
      <c r="GH806" s="14"/>
      <c r="GI806" s="12" t="s">
        <v>319</v>
      </c>
      <c r="GJ806" s="14"/>
      <c r="GK806" s="16"/>
      <c r="GL806" s="14"/>
      <c r="GM806" s="12" t="s">
        <v>319</v>
      </c>
      <c r="GN806" s="14"/>
      <c r="GO806" s="16"/>
      <c r="GP806" s="14"/>
      <c r="GQ806" s="12" t="s">
        <v>319</v>
      </c>
      <c r="GR806" s="14"/>
      <c r="GS806" s="16"/>
      <c r="GT806" s="14"/>
      <c r="GU806" s="12" t="s">
        <v>320</v>
      </c>
      <c r="GV806" s="14">
        <v>287</v>
      </c>
      <c r="GW806" s="16">
        <v>0.56000000000000005</v>
      </c>
      <c r="GX806" s="14">
        <v>610</v>
      </c>
      <c r="GY806" s="12" t="s">
        <v>319</v>
      </c>
      <c r="GZ806" s="14"/>
      <c r="HA806" s="16"/>
      <c r="HB806" s="14"/>
      <c r="HC806" s="12"/>
      <c r="HD806" s="12"/>
      <c r="HE806" s="14"/>
      <c r="HF806" s="16"/>
      <c r="HG806" s="14"/>
      <c r="HH806" s="12" t="s">
        <v>319</v>
      </c>
      <c r="HI806" s="12"/>
      <c r="HJ806" s="12"/>
      <c r="HK806" s="12" t="s">
        <v>319</v>
      </c>
      <c r="HL806" s="12" t="s">
        <v>320</v>
      </c>
      <c r="HM806" s="12" t="s">
        <v>12353</v>
      </c>
      <c r="HN806" s="12">
        <v>2017</v>
      </c>
      <c r="HO806" s="12"/>
      <c r="HP806" s="12" t="s">
        <v>418</v>
      </c>
      <c r="HQ806" s="12" t="s">
        <v>319</v>
      </c>
      <c r="HR806" s="12" t="s">
        <v>319</v>
      </c>
      <c r="HS806" s="12" t="s">
        <v>319</v>
      </c>
      <c r="HT806" s="12" t="s">
        <v>319</v>
      </c>
      <c r="HU806" s="12" t="s">
        <v>319</v>
      </c>
      <c r="HV806" s="12" t="s">
        <v>319</v>
      </c>
      <c r="HW806" s="12" t="s">
        <v>319</v>
      </c>
      <c r="HX806" s="12" t="s">
        <v>319</v>
      </c>
      <c r="HY806" s="12"/>
      <c r="HZ806" s="12" t="s">
        <v>394</v>
      </c>
      <c r="IA806" s="12"/>
      <c r="IB806" s="12" t="s">
        <v>667</v>
      </c>
      <c r="IC806" s="12"/>
      <c r="ID806" s="12" t="s">
        <v>364</v>
      </c>
      <c r="IE806" s="12" t="s">
        <v>335</v>
      </c>
      <c r="IF806" s="12" t="s">
        <v>320</v>
      </c>
      <c r="IG806" s="12" t="s">
        <v>319</v>
      </c>
      <c r="IH806" s="12" t="s">
        <v>320</v>
      </c>
      <c r="II806" s="12" t="s">
        <v>320</v>
      </c>
      <c r="IJ806" s="12" t="str">
        <f t="shared" si="517"/>
        <v>1. Neutral</v>
      </c>
      <c r="IK806" s="12">
        <f t="shared" si="518"/>
        <v>3</v>
      </c>
      <c r="IL806" s="12" t="s">
        <v>336</v>
      </c>
      <c r="IM806" s="12" t="s">
        <v>319</v>
      </c>
      <c r="IN806" s="12" t="s">
        <v>320</v>
      </c>
      <c r="IO806" s="12" t="s">
        <v>320</v>
      </c>
      <c r="IP806" s="12" t="s">
        <v>320</v>
      </c>
      <c r="IQ806" s="12" t="str">
        <f t="shared" si="519"/>
        <v>2. Accommodating</v>
      </c>
      <c r="IR806" s="12">
        <f t="shared" si="520"/>
        <v>3</v>
      </c>
      <c r="IS806" s="12" t="s">
        <v>337</v>
      </c>
      <c r="IT806" s="12" t="s">
        <v>320</v>
      </c>
      <c r="IU806" s="12" t="s">
        <v>319</v>
      </c>
      <c r="IV806" s="12" t="s">
        <v>319</v>
      </c>
      <c r="IW806" s="11" t="str">
        <f t="shared" si="521"/>
        <v>1. Neutral</v>
      </c>
      <c r="IX806" s="12">
        <f t="shared" si="522"/>
        <v>1</v>
      </c>
      <c r="IY806" s="12" t="s">
        <v>338</v>
      </c>
      <c r="IZ806" s="12" t="s">
        <v>339</v>
      </c>
      <c r="JA806" s="12"/>
      <c r="JB806" s="12"/>
      <c r="JC806" s="12"/>
      <c r="JD806" s="12"/>
      <c r="JE806" s="12" t="s">
        <v>420</v>
      </c>
      <c r="JF806" s="12"/>
      <c r="JG806" s="12"/>
      <c r="JH806" s="12" t="s">
        <v>12544</v>
      </c>
      <c r="JI806" s="12"/>
      <c r="JJ806" s="12"/>
      <c r="JK806" s="12" t="s">
        <v>12545</v>
      </c>
      <c r="JL806" s="12" t="s">
        <v>12546</v>
      </c>
      <c r="JM806" s="12"/>
      <c r="JN806" s="12"/>
      <c r="JO806" s="12"/>
      <c r="JP806" s="15">
        <f t="shared" si="523"/>
        <v>287</v>
      </c>
      <c r="JQ806" s="15">
        <f t="shared" si="524"/>
        <v>610</v>
      </c>
      <c r="JR806" s="279">
        <f t="shared" si="525"/>
        <v>2.1254355400696863</v>
      </c>
      <c r="JS806" s="17">
        <f t="shared" si="526"/>
        <v>0.58536585365853655</v>
      </c>
      <c r="JT806" s="18">
        <f t="shared" si="527"/>
        <v>0.54098360655737709</v>
      </c>
      <c r="JU806" s="280">
        <f t="shared" si="528"/>
        <v>168</v>
      </c>
      <c r="JV806" s="280">
        <f t="shared" si="529"/>
        <v>330</v>
      </c>
      <c r="JW806" s="319">
        <f t="shared" si="530"/>
        <v>1</v>
      </c>
      <c r="JX806" s="15">
        <f t="shared" si="531"/>
        <v>0</v>
      </c>
      <c r="JY806" s="15">
        <f t="shared" si="532"/>
        <v>0</v>
      </c>
      <c r="JZ806" s="19" t="str">
        <f t="shared" si="533"/>
        <v/>
      </c>
      <c r="KA806" s="52">
        <f t="shared" si="534"/>
        <v>1</v>
      </c>
      <c r="KB806" s="15">
        <f t="shared" si="535"/>
        <v>287</v>
      </c>
      <c r="KC806" s="15">
        <f t="shared" si="536"/>
        <v>610</v>
      </c>
      <c r="KD806" s="20">
        <f t="shared" si="537"/>
        <v>2.1254355400696863</v>
      </c>
      <c r="KE806" s="52" t="str">
        <f t="shared" si="538"/>
        <v/>
      </c>
      <c r="KF806" s="15">
        <f t="shared" si="539"/>
        <v>0</v>
      </c>
      <c r="KG806" s="15">
        <f t="shared" si="540"/>
        <v>0</v>
      </c>
      <c r="KH806" s="21" t="str">
        <f t="shared" si="541"/>
        <v/>
      </c>
      <c r="KI806" s="52" t="str">
        <f t="shared" si="542"/>
        <v/>
      </c>
      <c r="KJ806" s="15">
        <f t="shared" si="543"/>
        <v>0</v>
      </c>
      <c r="KK806" s="15">
        <f t="shared" si="544"/>
        <v>0</v>
      </c>
      <c r="KL806" s="19" t="str">
        <f t="shared" si="545"/>
        <v/>
      </c>
      <c r="KM806" s="52" t="str">
        <f t="shared" si="546"/>
        <v/>
      </c>
      <c r="KN806" s="22">
        <f t="shared" si="547"/>
        <v>0</v>
      </c>
      <c r="KO806" s="22">
        <f t="shared" si="548"/>
        <v>0</v>
      </c>
      <c r="KP806" s="19" t="str">
        <f t="shared" si="549"/>
        <v/>
      </c>
      <c r="KQ806" s="11" t="str">
        <f t="shared" si="550"/>
        <v>1. Neutral</v>
      </c>
      <c r="KR806" s="11" t="str">
        <f t="shared" si="551"/>
        <v>2. Accommodating</v>
      </c>
      <c r="KS806" s="11" t="str">
        <f t="shared" si="552"/>
        <v>1. Neutral</v>
      </c>
      <c r="KT806" s="11" t="str">
        <f t="shared" si="553"/>
        <v>It tested new ways for fighting poverty, but did not measure results of innovation</v>
      </c>
      <c r="KU806" s="11" t="str">
        <f t="shared" si="554"/>
        <v>Little or no advocacy</v>
      </c>
      <c r="KV806" s="11" t="str">
        <f t="shared" si="555"/>
        <v>It took tested solutions to scale on its own</v>
      </c>
      <c r="KW806" s="11" t="str">
        <f t="shared" si="556"/>
        <v>Thailand - Youth Empowerment in Chiang Mai Highland Area</v>
      </c>
      <c r="KX806" s="11" t="str">
        <f t="shared" si="557"/>
        <v>Youth Empowerment in Chiang Mai Highland Area</v>
      </c>
      <c r="KY806" s="11" t="str">
        <f t="shared" si="558"/>
        <v>Thailand</v>
      </c>
      <c r="KZ806" s="12">
        <v>807</v>
      </c>
    </row>
    <row r="807" spans="1:312" x14ac:dyDescent="0.3">
      <c r="A807" s="12" t="s">
        <v>12294</v>
      </c>
      <c r="B807" s="12" t="s">
        <v>306</v>
      </c>
      <c r="C807" s="12"/>
      <c r="D807" s="43" t="s">
        <v>12329</v>
      </c>
      <c r="E807" s="277" t="str">
        <f t="shared" si="516"/>
        <v>Thailand</v>
      </c>
      <c r="F807" s="12">
        <v>339</v>
      </c>
      <c r="G807" s="12" t="s">
        <v>4518</v>
      </c>
      <c r="H807" s="12" t="s">
        <v>489</v>
      </c>
      <c r="I807" s="12" t="s">
        <v>384</v>
      </c>
      <c r="J807" s="281" t="s">
        <v>14765</v>
      </c>
      <c r="K807" s="12" t="s">
        <v>12331</v>
      </c>
      <c r="L807" s="12" t="s">
        <v>12297</v>
      </c>
      <c r="M807" s="12" t="s">
        <v>489</v>
      </c>
      <c r="N807" s="12" t="s">
        <v>384</v>
      </c>
      <c r="O807" s="12" t="s">
        <v>12330</v>
      </c>
      <c r="P807" s="12"/>
      <c r="Q807" s="12"/>
      <c r="R807" s="12"/>
      <c r="S807" s="12"/>
      <c r="T807" s="12"/>
      <c r="U807" s="12"/>
      <c r="V807" s="12"/>
      <c r="W807" s="12"/>
      <c r="X807" s="12"/>
      <c r="Y807" s="12"/>
      <c r="Z807" s="12"/>
      <c r="AA807" s="12"/>
      <c r="AB807" s="12"/>
      <c r="AC807" s="12"/>
      <c r="AD807" s="12"/>
      <c r="BD807" s="13">
        <v>42826</v>
      </c>
      <c r="BE807" s="13">
        <v>43921</v>
      </c>
      <c r="BF807" s="12"/>
      <c r="BG807" s="12" t="s">
        <v>312</v>
      </c>
      <c r="BH807" s="14">
        <v>186396</v>
      </c>
      <c r="BI807" s="12" t="s">
        <v>12332</v>
      </c>
      <c r="BJ807" s="12" t="s">
        <v>12333</v>
      </c>
      <c r="BK807" s="12" t="s">
        <v>12334</v>
      </c>
      <c r="BL807" s="12" t="s">
        <v>12335</v>
      </c>
      <c r="BM807" s="12" t="s">
        <v>12336</v>
      </c>
      <c r="BN807" s="12" t="s">
        <v>12337</v>
      </c>
      <c r="BO807" s="12" t="s">
        <v>319</v>
      </c>
      <c r="BP807" s="12" t="s">
        <v>320</v>
      </c>
      <c r="BQ807" s="12" t="s">
        <v>319</v>
      </c>
      <c r="BR807" s="12" t="s">
        <v>12338</v>
      </c>
      <c r="BS807" s="12" t="s">
        <v>322</v>
      </c>
      <c r="BT807" s="12" t="s">
        <v>12339</v>
      </c>
      <c r="BU807" s="12" t="s">
        <v>12340</v>
      </c>
      <c r="BV807" s="14">
        <v>0</v>
      </c>
      <c r="BW807" s="14">
        <v>0</v>
      </c>
      <c r="BX807" s="14">
        <v>1440</v>
      </c>
      <c r="BY807" s="14">
        <v>1320</v>
      </c>
      <c r="BZ807" s="14">
        <v>1363</v>
      </c>
      <c r="CA807" s="14">
        <v>2683</v>
      </c>
      <c r="CB807" s="12" t="s">
        <v>12341</v>
      </c>
      <c r="CD807" s="14"/>
      <c r="CE807" s="14"/>
      <c r="CF807" s="14"/>
      <c r="CG807" s="14"/>
      <c r="CH807" s="14"/>
      <c r="CI807" s="14"/>
      <c r="CJ807" s="12"/>
      <c r="CK807" s="14"/>
      <c r="CL807" s="16"/>
      <c r="CM807" s="14"/>
      <c r="CN807" s="12"/>
      <c r="CO807" s="14"/>
      <c r="CP807" s="16"/>
      <c r="CQ807" s="14"/>
      <c r="CR807" s="12"/>
      <c r="CS807" s="14"/>
      <c r="CT807" s="16"/>
      <c r="CU807" s="14"/>
      <c r="CV807" s="12"/>
      <c r="CW807" s="14"/>
      <c r="CX807" s="16"/>
      <c r="CY807" s="14"/>
      <c r="CZ807" s="12"/>
      <c r="DA807" s="14"/>
      <c r="DB807" s="16"/>
      <c r="DC807" s="14"/>
      <c r="DD807" s="12"/>
      <c r="DE807" s="14"/>
      <c r="DF807" s="16"/>
      <c r="DG807" s="14"/>
      <c r="DH807" s="12"/>
      <c r="DI807" s="14"/>
      <c r="DJ807" s="16"/>
      <c r="DK807" s="14"/>
      <c r="DL807" s="12"/>
      <c r="DM807" s="14"/>
      <c r="DN807" s="16"/>
      <c r="DO807" s="14"/>
      <c r="DP807" s="12"/>
      <c r="DQ807" s="14"/>
      <c r="DR807" s="16"/>
      <c r="DS807" s="14"/>
      <c r="DT807" s="12"/>
      <c r="DU807" s="14"/>
      <c r="DV807" s="16"/>
      <c r="DW807" s="14"/>
      <c r="DX807" s="12"/>
      <c r="DY807" s="14"/>
      <c r="DZ807" s="16"/>
      <c r="EA807" s="14"/>
      <c r="EB807" s="12"/>
      <c r="EC807" s="14"/>
      <c r="ED807" s="16"/>
      <c r="EE807" s="14"/>
      <c r="EF807" s="12"/>
      <c r="EG807" s="12"/>
      <c r="EH807" s="14"/>
      <c r="EI807" s="16"/>
      <c r="EJ807" s="14"/>
      <c r="EK807" s="14">
        <v>68</v>
      </c>
      <c r="EL807" s="14">
        <v>37</v>
      </c>
      <c r="EM807" s="14">
        <v>105</v>
      </c>
      <c r="EN807" s="14"/>
      <c r="EO807" s="14"/>
      <c r="EP807" s="14"/>
      <c r="EQ807" s="12" t="s">
        <v>319</v>
      </c>
      <c r="ER807" s="14"/>
      <c r="ES807" s="16"/>
      <c r="ET807" s="14"/>
      <c r="EU807" s="11" t="s">
        <v>319</v>
      </c>
      <c r="EV807" s="14"/>
      <c r="EW807" s="16"/>
      <c r="EX807" s="14"/>
      <c r="EY807" s="12" t="s">
        <v>319</v>
      </c>
      <c r="EZ807" s="14"/>
      <c r="FA807" s="16"/>
      <c r="FB807" s="14"/>
      <c r="FC807" s="12" t="s">
        <v>319</v>
      </c>
      <c r="FD807" s="14"/>
      <c r="FE807" s="16"/>
      <c r="FF807" s="14"/>
      <c r="FG807" s="12" t="s">
        <v>319</v>
      </c>
      <c r="FH807" s="14"/>
      <c r="FI807" s="16"/>
      <c r="FJ807" s="14"/>
      <c r="FK807" s="12" t="s">
        <v>320</v>
      </c>
      <c r="FL807" s="14">
        <v>105</v>
      </c>
      <c r="FM807" s="16">
        <v>0.65</v>
      </c>
      <c r="FN807" s="14">
        <v>0</v>
      </c>
      <c r="FO807" s="12" t="s">
        <v>319</v>
      </c>
      <c r="FP807" s="14"/>
      <c r="FQ807" s="16"/>
      <c r="FR807" s="14"/>
      <c r="FS807" s="12" t="s">
        <v>319</v>
      </c>
      <c r="FT807" s="14">
        <v>0</v>
      </c>
      <c r="FU807" s="16">
        <v>0</v>
      </c>
      <c r="FV807" s="14">
        <v>0</v>
      </c>
      <c r="FW807" s="12" t="s">
        <v>319</v>
      </c>
      <c r="FX807" s="14"/>
      <c r="FY807" s="16"/>
      <c r="FZ807" s="14"/>
      <c r="GA807" s="12" t="s">
        <v>319</v>
      </c>
      <c r="GB807" s="14"/>
      <c r="GC807" s="16"/>
      <c r="GD807" s="14"/>
      <c r="GE807" s="12" t="s">
        <v>319</v>
      </c>
      <c r="GF807" s="14"/>
      <c r="GG807" s="16"/>
      <c r="GH807" s="14"/>
      <c r="GI807" s="12" t="s">
        <v>319</v>
      </c>
      <c r="GJ807" s="14"/>
      <c r="GK807" s="16"/>
      <c r="GL807" s="14"/>
      <c r="GM807" s="12" t="s">
        <v>319</v>
      </c>
      <c r="GN807" s="14"/>
      <c r="GO807" s="16"/>
      <c r="GP807" s="14"/>
      <c r="GQ807" s="12" t="s">
        <v>319</v>
      </c>
      <c r="GR807" s="14"/>
      <c r="GS807" s="16"/>
      <c r="GT807" s="14"/>
      <c r="GU807" s="12" t="s">
        <v>319</v>
      </c>
      <c r="GV807" s="14"/>
      <c r="GW807" s="16"/>
      <c r="GX807" s="14"/>
      <c r="GY807" s="12" t="s">
        <v>319</v>
      </c>
      <c r="GZ807" s="14"/>
      <c r="HA807" s="16"/>
      <c r="HB807" s="14"/>
      <c r="HC807" s="12"/>
      <c r="HD807" s="12"/>
      <c r="HE807" s="14"/>
      <c r="HF807" s="16"/>
      <c r="HG807" s="14"/>
      <c r="HH807" s="12" t="s">
        <v>320</v>
      </c>
      <c r="HI807" s="12" t="s">
        <v>415</v>
      </c>
      <c r="HJ807" s="12">
        <v>2017</v>
      </c>
      <c r="HK807" s="12" t="s">
        <v>319</v>
      </c>
      <c r="HL807" s="12" t="s">
        <v>319</v>
      </c>
      <c r="HM807" s="12"/>
      <c r="HN807" s="12"/>
      <c r="HO807" s="12"/>
      <c r="HP807" s="12" t="s">
        <v>418</v>
      </c>
      <c r="HQ807" s="12" t="s">
        <v>319</v>
      </c>
      <c r="HR807" s="12" t="s">
        <v>319</v>
      </c>
      <c r="HS807" s="12" t="s">
        <v>319</v>
      </c>
      <c r="HT807" s="12" t="s">
        <v>319</v>
      </c>
      <c r="HU807" s="12" t="s">
        <v>319</v>
      </c>
      <c r="HV807" s="12" t="s">
        <v>319</v>
      </c>
      <c r="HW807" s="12" t="s">
        <v>319</v>
      </c>
      <c r="HX807" s="12" t="s">
        <v>319</v>
      </c>
      <c r="HY807" s="12"/>
      <c r="HZ807" s="12" t="s">
        <v>363</v>
      </c>
      <c r="IA807" s="12"/>
      <c r="IB807" s="12" t="s">
        <v>333</v>
      </c>
      <c r="IC807" s="12"/>
      <c r="ID807" s="12" t="s">
        <v>364</v>
      </c>
      <c r="IE807" s="12" t="s">
        <v>335</v>
      </c>
      <c r="IF807" s="12" t="s">
        <v>320</v>
      </c>
      <c r="IG807" s="12" t="s">
        <v>320</v>
      </c>
      <c r="IH807" s="12" t="s">
        <v>320</v>
      </c>
      <c r="II807" s="12" t="s">
        <v>320</v>
      </c>
      <c r="IJ807" s="12" t="str">
        <f t="shared" si="517"/>
        <v>2. Sensitive</v>
      </c>
      <c r="IK807" s="12">
        <f t="shared" si="518"/>
        <v>4</v>
      </c>
      <c r="IL807" s="12" t="s">
        <v>336</v>
      </c>
      <c r="IM807" s="12" t="s">
        <v>320</v>
      </c>
      <c r="IN807" s="12" t="s">
        <v>320</v>
      </c>
      <c r="IO807" s="12" t="s">
        <v>319</v>
      </c>
      <c r="IP807" s="12" t="s">
        <v>320</v>
      </c>
      <c r="IQ807" s="12" t="str">
        <f t="shared" si="519"/>
        <v>2. Accommodating</v>
      </c>
      <c r="IR807" s="12">
        <f t="shared" si="520"/>
        <v>3</v>
      </c>
      <c r="IS807" s="12" t="s">
        <v>456</v>
      </c>
      <c r="IT807" s="12" t="s">
        <v>320</v>
      </c>
      <c r="IU807" s="12" t="s">
        <v>319</v>
      </c>
      <c r="IV807" s="12" t="s">
        <v>319</v>
      </c>
      <c r="IW807" s="11" t="str">
        <f t="shared" si="521"/>
        <v>0. Harmful</v>
      </c>
      <c r="IX807" s="12">
        <f t="shared" si="522"/>
        <v>1</v>
      </c>
      <c r="IY807" s="12" t="s">
        <v>338</v>
      </c>
      <c r="IZ807" s="12" t="s">
        <v>339</v>
      </c>
      <c r="JA807" s="12"/>
      <c r="JB807" s="12"/>
      <c r="JC807" s="12"/>
      <c r="JD807" s="12"/>
      <c r="JE807" s="12" t="s">
        <v>420</v>
      </c>
      <c r="JF807" s="12"/>
      <c r="JG807" s="12"/>
      <c r="JH807" s="12" t="s">
        <v>12342</v>
      </c>
      <c r="JI807" s="12"/>
      <c r="JJ807" s="12"/>
      <c r="JK807" s="12" t="s">
        <v>12343</v>
      </c>
      <c r="JL807" s="12"/>
      <c r="JM807" s="12"/>
      <c r="JN807" s="12"/>
      <c r="JO807" s="12"/>
      <c r="JP807" s="15">
        <f t="shared" si="523"/>
        <v>105</v>
      </c>
      <c r="JQ807" s="15">
        <f t="shared" si="524"/>
        <v>0</v>
      </c>
      <c r="JR807" s="279">
        <f t="shared" si="525"/>
        <v>0</v>
      </c>
      <c r="JS807" s="17">
        <f t="shared" si="526"/>
        <v>0.64761904761904765</v>
      </c>
      <c r="JT807" s="18" t="str">
        <f t="shared" si="527"/>
        <v/>
      </c>
      <c r="JU807" s="280">
        <f t="shared" si="528"/>
        <v>68</v>
      </c>
      <c r="JV807" s="280">
        <f t="shared" si="529"/>
        <v>0</v>
      </c>
      <c r="JW807" s="319" t="str">
        <f t="shared" si="530"/>
        <v/>
      </c>
      <c r="JX807" s="15">
        <f t="shared" si="531"/>
        <v>0</v>
      </c>
      <c r="JY807" s="15">
        <f t="shared" si="532"/>
        <v>0</v>
      </c>
      <c r="JZ807" s="19" t="str">
        <f t="shared" si="533"/>
        <v/>
      </c>
      <c r="KA807" s="52" t="str">
        <f t="shared" si="534"/>
        <v/>
      </c>
      <c r="KB807" s="15">
        <f t="shared" si="535"/>
        <v>0</v>
      </c>
      <c r="KC807" s="15">
        <f t="shared" si="536"/>
        <v>0</v>
      </c>
      <c r="KD807" s="20" t="str">
        <f t="shared" si="537"/>
        <v/>
      </c>
      <c r="KE807" s="52" t="str">
        <f t="shared" si="538"/>
        <v/>
      </c>
      <c r="KF807" s="15">
        <f t="shared" si="539"/>
        <v>0</v>
      </c>
      <c r="KG807" s="15">
        <f t="shared" si="540"/>
        <v>0</v>
      </c>
      <c r="KH807" s="21" t="str">
        <f t="shared" si="541"/>
        <v/>
      </c>
      <c r="KI807" s="52" t="str">
        <f t="shared" si="542"/>
        <v/>
      </c>
      <c r="KJ807" s="15">
        <f t="shared" si="543"/>
        <v>0</v>
      </c>
      <c r="KK807" s="15">
        <f t="shared" si="544"/>
        <v>0</v>
      </c>
      <c r="KL807" s="19" t="str">
        <f t="shared" si="545"/>
        <v/>
      </c>
      <c r="KM807" s="52" t="str">
        <f t="shared" si="546"/>
        <v/>
      </c>
      <c r="KN807" s="22">
        <f t="shared" si="547"/>
        <v>0</v>
      </c>
      <c r="KO807" s="22">
        <f t="shared" si="548"/>
        <v>0</v>
      </c>
      <c r="KP807" s="19" t="str">
        <f t="shared" si="549"/>
        <v/>
      </c>
      <c r="KQ807" s="11" t="str">
        <f t="shared" si="550"/>
        <v>2. Sensitive</v>
      </c>
      <c r="KR807" s="11" t="str">
        <f t="shared" si="551"/>
        <v>2. Accommodating</v>
      </c>
      <c r="KS807" s="11" t="str">
        <f t="shared" si="552"/>
        <v>0. Harmful</v>
      </c>
      <c r="KT807" s="11" t="str">
        <f t="shared" si="553"/>
        <v>It did not develop any specific innovation</v>
      </c>
      <c r="KU807" s="11" t="str">
        <f t="shared" si="554"/>
        <v>Little or no advocacy</v>
      </c>
      <c r="KV807" s="11" t="str">
        <f t="shared" si="555"/>
        <v>It did not take tested solutions to scale</v>
      </c>
      <c r="KW807" s="11" t="str">
        <f t="shared" si="556"/>
        <v>Thailand - Youth Leadership Development (YLD)</v>
      </c>
      <c r="KX807" s="11" t="str">
        <f t="shared" si="557"/>
        <v>Youth Leadership Development (YLD)</v>
      </c>
      <c r="KY807" s="11" t="str">
        <f t="shared" si="558"/>
        <v>Thailand</v>
      </c>
      <c r="KZ807" s="12">
        <v>808</v>
      </c>
    </row>
    <row r="808" spans="1:312" x14ac:dyDescent="0.3">
      <c r="A808" s="282" t="s">
        <v>12547</v>
      </c>
      <c r="B808" s="282" t="s">
        <v>306</v>
      </c>
      <c r="C808" s="282">
        <v>3681</v>
      </c>
      <c r="D808" s="282" t="s">
        <v>12638</v>
      </c>
      <c r="E808" s="277" t="str">
        <f t="shared" si="516"/>
        <v>Timor-Leste</v>
      </c>
      <c r="F808" s="282" t="s">
        <v>12639</v>
      </c>
      <c r="G808" s="282" t="s">
        <v>4518</v>
      </c>
      <c r="H808" s="282" t="s">
        <v>310</v>
      </c>
      <c r="I808" s="282" t="s">
        <v>3742</v>
      </c>
      <c r="J808" s="281" t="s">
        <v>14634</v>
      </c>
      <c r="K808" s="282"/>
      <c r="L808" s="282"/>
      <c r="M808" s="282"/>
      <c r="N808" s="282"/>
      <c r="O808" s="282"/>
      <c r="P808" s="282"/>
      <c r="Q808" s="282"/>
      <c r="R808" s="282"/>
      <c r="S808" s="282"/>
      <c r="T808" s="282"/>
      <c r="U808" s="282"/>
      <c r="V808" s="282"/>
      <c r="W808" s="282"/>
      <c r="X808" s="282"/>
      <c r="Y808" s="282"/>
      <c r="Z808" s="282"/>
      <c r="AA808" s="282"/>
      <c r="AB808" s="282"/>
      <c r="AC808" s="282"/>
      <c r="AD808" s="282"/>
      <c r="AE808" s="282"/>
      <c r="AF808" s="282"/>
      <c r="AG808" s="282"/>
      <c r="AH808" s="282"/>
      <c r="AI808" s="282"/>
      <c r="AJ808" s="282"/>
      <c r="AK808" s="282"/>
      <c r="AL808" s="282"/>
      <c r="AM808" s="282"/>
      <c r="AN808" s="282"/>
      <c r="AO808" s="282"/>
      <c r="AP808" s="282"/>
      <c r="AQ808" s="282"/>
      <c r="AR808" s="282"/>
      <c r="AS808" s="282"/>
      <c r="AT808" s="282"/>
      <c r="AU808" s="282"/>
      <c r="AV808" s="282"/>
      <c r="AW808" s="282"/>
      <c r="AX808" s="282"/>
      <c r="AY808" s="282"/>
      <c r="AZ808" s="282"/>
      <c r="BA808" s="282"/>
      <c r="BB808" s="282"/>
      <c r="BC808" s="282"/>
      <c r="BD808" s="283">
        <v>42403</v>
      </c>
      <c r="BE808" s="283">
        <v>43526</v>
      </c>
      <c r="BF808" s="283"/>
      <c r="BG808" s="283" t="s">
        <v>350</v>
      </c>
      <c r="BH808" s="284">
        <v>743000</v>
      </c>
      <c r="BI808" s="282" t="s">
        <v>12640</v>
      </c>
      <c r="BJ808" s="282" t="s">
        <v>354</v>
      </c>
      <c r="BK808" s="282" t="s">
        <v>12641</v>
      </c>
      <c r="BL808" s="282"/>
      <c r="BM808" s="282"/>
      <c r="BN808" s="282"/>
      <c r="BO808" s="12" t="s">
        <v>319</v>
      </c>
      <c r="BP808" s="12" t="s">
        <v>320</v>
      </c>
      <c r="BQ808" s="12" t="s">
        <v>319</v>
      </c>
      <c r="BR808" s="282" t="s">
        <v>12642</v>
      </c>
      <c r="BS808" s="282" t="s">
        <v>357</v>
      </c>
      <c r="BT808" s="282" t="s">
        <v>12643</v>
      </c>
      <c r="BU808" s="282" t="s">
        <v>12644</v>
      </c>
      <c r="BV808" s="284">
        <v>300</v>
      </c>
      <c r="BW808" s="284">
        <v>150</v>
      </c>
      <c r="BX808" s="284">
        <v>450</v>
      </c>
      <c r="BY808" s="284">
        <v>2943</v>
      </c>
      <c r="BZ808" s="284">
        <v>2872</v>
      </c>
      <c r="CA808" s="284">
        <v>5815</v>
      </c>
      <c r="CB808" s="285" t="s">
        <v>12645</v>
      </c>
      <c r="CC808" s="285"/>
      <c r="CD808" s="284"/>
      <c r="CE808" s="284"/>
      <c r="CF808" s="284"/>
      <c r="CG808" s="284"/>
      <c r="CH808" s="284"/>
      <c r="CI808" s="284"/>
      <c r="CJ808" s="282"/>
      <c r="CK808" s="284"/>
      <c r="CL808" s="286"/>
      <c r="CM808" s="284"/>
      <c r="CN808" s="287"/>
      <c r="CO808" s="284"/>
      <c r="CP808" s="286"/>
      <c r="CQ808" s="284"/>
      <c r="CR808" s="282"/>
      <c r="CS808" s="284"/>
      <c r="CT808" s="286"/>
      <c r="CU808" s="284"/>
      <c r="CV808" s="305"/>
      <c r="CW808" s="300"/>
      <c r="CX808" s="308"/>
      <c r="CY808" s="300"/>
      <c r="CZ808" s="282"/>
      <c r="DA808" s="284"/>
      <c r="DB808" s="286"/>
      <c r="DC808" s="284"/>
      <c r="DD808" s="287"/>
      <c r="DE808" s="284"/>
      <c r="DF808" s="286"/>
      <c r="DG808" s="284"/>
      <c r="DH808" s="282"/>
      <c r="DI808" s="284"/>
      <c r="DJ808" s="286"/>
      <c r="DK808" s="284"/>
      <c r="DL808" s="282"/>
      <c r="DM808" s="284"/>
      <c r="DN808" s="286"/>
      <c r="DO808" s="284"/>
      <c r="DP808" s="282"/>
      <c r="DQ808" s="284"/>
      <c r="DR808" s="286"/>
      <c r="DS808" s="284"/>
      <c r="DT808" s="282"/>
      <c r="DU808" s="284"/>
      <c r="DV808" s="286"/>
      <c r="DW808" s="284"/>
      <c r="DX808" s="282"/>
      <c r="DY808" s="284"/>
      <c r="DZ808" s="286"/>
      <c r="EA808" s="284"/>
      <c r="EB808" s="282"/>
      <c r="EC808" s="284"/>
      <c r="ED808" s="286"/>
      <c r="EE808" s="284"/>
      <c r="EF808" s="285"/>
      <c r="EG808" s="287"/>
      <c r="EH808" s="284"/>
      <c r="EI808" s="286"/>
      <c r="EJ808" s="284"/>
      <c r="EK808" s="284">
        <v>332</v>
      </c>
      <c r="EL808" s="284">
        <v>159</v>
      </c>
      <c r="EM808" s="284">
        <v>491</v>
      </c>
      <c r="EN808" s="284"/>
      <c r="EO808" s="284"/>
      <c r="EP808" s="284"/>
      <c r="EQ808" s="282" t="s">
        <v>320</v>
      </c>
      <c r="ER808" s="284">
        <v>491</v>
      </c>
      <c r="ES808" s="286">
        <v>0.67617107942973498</v>
      </c>
      <c r="ET808" s="284">
        <v>6060</v>
      </c>
      <c r="EU808" s="305" t="s">
        <v>320</v>
      </c>
      <c r="EV808" s="300">
        <v>53</v>
      </c>
      <c r="EW808" s="308">
        <v>0.43396226415094302</v>
      </c>
      <c r="EX808" s="300">
        <v>867</v>
      </c>
      <c r="EY808" s="282"/>
      <c r="EZ808" s="284"/>
      <c r="FA808" s="286"/>
      <c r="FB808" s="284"/>
      <c r="FC808" s="282" t="s">
        <v>320</v>
      </c>
      <c r="FD808" s="284">
        <v>50</v>
      </c>
      <c r="FE808" s="286">
        <v>0.06</v>
      </c>
      <c r="FF808" s="284">
        <v>1178</v>
      </c>
      <c r="FG808" s="282"/>
      <c r="FH808" s="284"/>
      <c r="FI808" s="286"/>
      <c r="FJ808" s="284"/>
      <c r="FK808" s="282"/>
      <c r="FL808" s="284"/>
      <c r="FM808" s="286"/>
      <c r="FN808" s="284"/>
      <c r="FO808" s="305"/>
      <c r="FP808" s="300"/>
      <c r="FQ808" s="308"/>
      <c r="FR808" s="300"/>
      <c r="FS808" s="282"/>
      <c r="FT808" s="284"/>
      <c r="FU808" s="286"/>
      <c r="FV808" s="284"/>
      <c r="FW808" s="282"/>
      <c r="FX808" s="284"/>
      <c r="FY808" s="286"/>
      <c r="FZ808" s="284"/>
      <c r="GA808" s="282"/>
      <c r="GB808" s="284"/>
      <c r="GC808" s="286"/>
      <c r="GD808" s="284"/>
      <c r="GE808" s="282"/>
      <c r="GF808" s="284"/>
      <c r="GG808" s="286"/>
      <c r="GH808" s="284"/>
      <c r="GI808" s="282"/>
      <c r="GJ808" s="284"/>
      <c r="GK808" s="286"/>
      <c r="GL808" s="284"/>
      <c r="GM808" s="282"/>
      <c r="GN808" s="284"/>
      <c r="GO808" s="286"/>
      <c r="GP808" s="284"/>
      <c r="GQ808" s="282"/>
      <c r="GR808" s="284"/>
      <c r="GS808" s="286"/>
      <c r="GT808" s="284"/>
      <c r="GU808" s="282"/>
      <c r="GV808" s="284"/>
      <c r="GW808" s="286"/>
      <c r="GX808" s="284"/>
      <c r="GY808" s="282" t="s">
        <v>320</v>
      </c>
      <c r="GZ808" s="284">
        <v>332</v>
      </c>
      <c r="HA808" s="286">
        <v>1</v>
      </c>
      <c r="HB808" s="284">
        <v>1328</v>
      </c>
      <c r="HC808" s="282"/>
      <c r="HD808" s="282"/>
      <c r="HE808" s="284"/>
      <c r="HF808" s="286"/>
      <c r="HG808" s="284"/>
      <c r="HH808" s="282" t="s">
        <v>320</v>
      </c>
      <c r="HI808" s="282" t="s">
        <v>431</v>
      </c>
      <c r="HJ808" s="282">
        <v>2016</v>
      </c>
      <c r="HK808" s="282" t="s">
        <v>319</v>
      </c>
      <c r="HL808" s="282" t="s">
        <v>320</v>
      </c>
      <c r="HM808" s="282" t="s">
        <v>328</v>
      </c>
      <c r="HN808" s="282">
        <v>2018</v>
      </c>
      <c r="HO808" s="282" t="s">
        <v>12646</v>
      </c>
      <c r="HP808" s="282" t="s">
        <v>418</v>
      </c>
      <c r="HQ808" s="282" t="s">
        <v>319</v>
      </c>
      <c r="HR808" s="282" t="s">
        <v>319</v>
      </c>
      <c r="HS808" s="282" t="s">
        <v>320</v>
      </c>
      <c r="HT808" s="282" t="s">
        <v>319</v>
      </c>
      <c r="HU808" s="282" t="s">
        <v>319</v>
      </c>
      <c r="HV808" s="282" t="s">
        <v>319</v>
      </c>
      <c r="HW808" s="282" t="s">
        <v>319</v>
      </c>
      <c r="HX808" s="282" t="s">
        <v>320</v>
      </c>
      <c r="HY808" s="282" t="s">
        <v>12647</v>
      </c>
      <c r="HZ808" s="282" t="s">
        <v>394</v>
      </c>
      <c r="IA808" s="282" t="s">
        <v>12648</v>
      </c>
      <c r="IB808" s="282" t="s">
        <v>333</v>
      </c>
      <c r="IC808" s="282"/>
      <c r="ID808" s="282" t="s">
        <v>364</v>
      </c>
      <c r="IE808" s="282" t="s">
        <v>335</v>
      </c>
      <c r="IF808" s="282" t="s">
        <v>320</v>
      </c>
      <c r="IG808" s="282" t="s">
        <v>320</v>
      </c>
      <c r="IH808" s="282" t="s">
        <v>320</v>
      </c>
      <c r="II808" s="282" t="s">
        <v>319</v>
      </c>
      <c r="IJ808" s="12" t="str">
        <f t="shared" si="517"/>
        <v>1. Neutral</v>
      </c>
      <c r="IK808" s="287">
        <f t="shared" si="518"/>
        <v>3</v>
      </c>
      <c r="IL808" s="282" t="s">
        <v>336</v>
      </c>
      <c r="IM808" s="282" t="s">
        <v>320</v>
      </c>
      <c r="IN808" s="282" t="s">
        <v>319</v>
      </c>
      <c r="IO808" s="282" t="s">
        <v>320</v>
      </c>
      <c r="IP808" s="282" t="s">
        <v>319</v>
      </c>
      <c r="IQ808" s="287" t="str">
        <f t="shared" si="519"/>
        <v>1. Tokenistic</v>
      </c>
      <c r="IR808" s="287">
        <f t="shared" si="520"/>
        <v>2</v>
      </c>
      <c r="IS808" s="282" t="s">
        <v>337</v>
      </c>
      <c r="IT808" s="282" t="s">
        <v>320</v>
      </c>
      <c r="IU808" s="282" t="s">
        <v>320</v>
      </c>
      <c r="IV808" s="282" t="s">
        <v>320</v>
      </c>
      <c r="IW808" s="11" t="str">
        <f t="shared" si="521"/>
        <v>2. Sensitive</v>
      </c>
      <c r="IX808" s="287">
        <f t="shared" si="522"/>
        <v>3</v>
      </c>
      <c r="IY808" s="282" t="s">
        <v>419</v>
      </c>
      <c r="IZ808" s="282" t="s">
        <v>432</v>
      </c>
      <c r="JA808" s="282">
        <v>1</v>
      </c>
      <c r="JB808" s="282" t="s">
        <v>687</v>
      </c>
      <c r="JC808" s="282"/>
      <c r="JD808" s="282"/>
      <c r="JE808" s="282" t="s">
        <v>420</v>
      </c>
      <c r="JF808" s="282"/>
      <c r="JG808" s="282"/>
      <c r="JH808" s="282" t="s">
        <v>12649</v>
      </c>
      <c r="JI808" s="282" t="s">
        <v>12650</v>
      </c>
      <c r="JJ808" s="282" t="s">
        <v>12651</v>
      </c>
      <c r="JK808" s="282" t="s">
        <v>12652</v>
      </c>
      <c r="JL808" s="282"/>
      <c r="JM808" s="282"/>
      <c r="JN808" s="282" t="s">
        <v>14766</v>
      </c>
      <c r="JO808" s="282" t="s">
        <v>12653</v>
      </c>
      <c r="JP808" s="15">
        <f t="shared" si="523"/>
        <v>491</v>
      </c>
      <c r="JQ808" s="15">
        <f t="shared" si="524"/>
        <v>0</v>
      </c>
      <c r="JR808" s="279">
        <f t="shared" si="525"/>
        <v>0</v>
      </c>
      <c r="JS808" s="17">
        <f t="shared" si="526"/>
        <v>0.6761710794297352</v>
      </c>
      <c r="JT808" s="18" t="str">
        <f t="shared" si="527"/>
        <v/>
      </c>
      <c r="JU808" s="280">
        <f t="shared" si="528"/>
        <v>332</v>
      </c>
      <c r="JV808" s="280">
        <f t="shared" si="529"/>
        <v>0</v>
      </c>
      <c r="JW808" s="319" t="str">
        <f t="shared" si="530"/>
        <v/>
      </c>
      <c r="JX808" s="15">
        <f t="shared" si="531"/>
        <v>0</v>
      </c>
      <c r="JY808" s="15">
        <f t="shared" si="532"/>
        <v>0</v>
      </c>
      <c r="JZ808" s="19" t="str">
        <f t="shared" si="533"/>
        <v/>
      </c>
      <c r="KA808" s="52">
        <f t="shared" si="534"/>
        <v>1</v>
      </c>
      <c r="KB808" s="15">
        <f t="shared" si="535"/>
        <v>491</v>
      </c>
      <c r="KC808" s="15">
        <f t="shared" si="536"/>
        <v>6060</v>
      </c>
      <c r="KD808" s="20">
        <f t="shared" si="537"/>
        <v>12.342158859470468</v>
      </c>
      <c r="KE808" s="52" t="str">
        <f t="shared" si="538"/>
        <v/>
      </c>
      <c r="KF808" s="15">
        <f t="shared" si="539"/>
        <v>0</v>
      </c>
      <c r="KG808" s="15">
        <f t="shared" si="540"/>
        <v>0</v>
      </c>
      <c r="KH808" s="21" t="str">
        <f t="shared" si="541"/>
        <v/>
      </c>
      <c r="KI808" s="52" t="str">
        <f t="shared" si="542"/>
        <v/>
      </c>
      <c r="KJ808" s="15">
        <f t="shared" si="543"/>
        <v>0</v>
      </c>
      <c r="KK808" s="15">
        <f t="shared" si="544"/>
        <v>0</v>
      </c>
      <c r="KL808" s="19" t="str">
        <f t="shared" si="545"/>
        <v/>
      </c>
      <c r="KM808" s="52">
        <f t="shared" si="546"/>
        <v>1</v>
      </c>
      <c r="KN808" s="22">
        <f t="shared" si="547"/>
        <v>332</v>
      </c>
      <c r="KO808" s="22">
        <f t="shared" si="548"/>
        <v>1328</v>
      </c>
      <c r="KP808" s="19">
        <f t="shared" si="549"/>
        <v>4</v>
      </c>
      <c r="KQ808" s="11" t="str">
        <f t="shared" si="550"/>
        <v>1. Neutral</v>
      </c>
      <c r="KR808" s="11" t="str">
        <f t="shared" si="551"/>
        <v>1. Tokenistic</v>
      </c>
      <c r="KS808" s="11" t="str">
        <f t="shared" si="552"/>
        <v>2. Sensitive</v>
      </c>
      <c r="KT808" s="11" t="str">
        <f t="shared" si="553"/>
        <v>It tested new ways for fighting poverty, but did not measure results of innovation</v>
      </c>
      <c r="KU808" s="11" t="str">
        <f t="shared" si="554"/>
        <v>Little or no advocacy</v>
      </c>
      <c r="KV808" s="11" t="str">
        <f t="shared" si="555"/>
        <v>It did not take tested solutions to scale</v>
      </c>
      <c r="KW808" s="11" t="str">
        <f t="shared" si="556"/>
        <v>Timor-Leste - Atsabe Rural Development Project for Improvement of Livelihoods (HAFORSA) Project</v>
      </c>
      <c r="KX808" s="11" t="str">
        <f t="shared" si="557"/>
        <v>Atsabe Rural Development Project for Improvement of Livelihoods (HAFORSA) Project</v>
      </c>
      <c r="KY808" s="11" t="str">
        <f t="shared" si="558"/>
        <v>Timor-Leste</v>
      </c>
      <c r="KZ808" s="12">
        <v>809</v>
      </c>
    </row>
    <row r="809" spans="1:312" x14ac:dyDescent="0.3">
      <c r="A809" s="12" t="s">
        <v>12547</v>
      </c>
      <c r="B809" s="12" t="s">
        <v>306</v>
      </c>
      <c r="C809" s="12">
        <v>3677</v>
      </c>
      <c r="D809" s="12" t="s">
        <v>12548</v>
      </c>
      <c r="E809" s="277" t="str">
        <f t="shared" si="516"/>
        <v>Timor-Leste</v>
      </c>
      <c r="F809" s="12" t="s">
        <v>12549</v>
      </c>
      <c r="G809" s="12" t="s">
        <v>309</v>
      </c>
      <c r="H809" s="12" t="s">
        <v>310</v>
      </c>
      <c r="I809" s="12" t="s">
        <v>384</v>
      </c>
      <c r="J809" s="281" t="s">
        <v>14767</v>
      </c>
      <c r="K809" s="12"/>
      <c r="L809" s="12"/>
      <c r="M809" s="12"/>
      <c r="N809" s="12"/>
      <c r="O809" s="12"/>
      <c r="P809" s="12"/>
      <c r="Q809" s="12"/>
      <c r="R809" s="12"/>
      <c r="S809" s="12"/>
      <c r="T809" s="12"/>
      <c r="U809" s="12"/>
      <c r="V809" s="12"/>
      <c r="W809" s="12"/>
      <c r="X809" s="12"/>
      <c r="Y809" s="12"/>
      <c r="Z809" s="12"/>
      <c r="AA809" s="12"/>
      <c r="AB809" s="12"/>
      <c r="AC809" s="12"/>
      <c r="AD809" s="12"/>
      <c r="BD809" s="13">
        <v>42278</v>
      </c>
      <c r="BE809" s="13">
        <v>42675</v>
      </c>
      <c r="BF809" s="13">
        <v>42719</v>
      </c>
      <c r="BG809" s="12" t="s">
        <v>312</v>
      </c>
      <c r="BH809" s="14">
        <v>541525</v>
      </c>
      <c r="BI809" s="12" t="s">
        <v>12550</v>
      </c>
      <c r="BJ809" s="12" t="s">
        <v>12551</v>
      </c>
      <c r="BK809" s="12" t="s">
        <v>12552</v>
      </c>
      <c r="BL809" s="12" t="s">
        <v>12553</v>
      </c>
      <c r="BM809" s="12" t="s">
        <v>12554</v>
      </c>
      <c r="BN809" s="12" t="s">
        <v>12555</v>
      </c>
      <c r="BO809" s="12" t="s">
        <v>319</v>
      </c>
      <c r="BP809" s="12" t="s">
        <v>320</v>
      </c>
      <c r="BQ809" s="12" t="s">
        <v>319</v>
      </c>
      <c r="BR809" s="12" t="s">
        <v>12556</v>
      </c>
      <c r="BS809" s="12" t="s">
        <v>322</v>
      </c>
      <c r="BT809" s="12" t="s">
        <v>12557</v>
      </c>
      <c r="BU809" s="12" t="s">
        <v>12558</v>
      </c>
      <c r="BV809" s="14">
        <v>4681</v>
      </c>
      <c r="BW809" s="14">
        <v>4495</v>
      </c>
      <c r="BX809" s="14">
        <v>9176</v>
      </c>
      <c r="BY809" s="14">
        <v>0</v>
      </c>
      <c r="BZ809" s="14">
        <v>0</v>
      </c>
      <c r="CA809" s="14">
        <v>0</v>
      </c>
      <c r="CB809" s="31" t="s">
        <v>14768</v>
      </c>
      <c r="CD809" s="14"/>
      <c r="CE809" s="14"/>
      <c r="CF809" s="14"/>
      <c r="CG809" s="14"/>
      <c r="CH809" s="14"/>
      <c r="CI809" s="14"/>
      <c r="CJ809" s="12"/>
      <c r="CK809" s="14"/>
      <c r="CL809" s="16"/>
      <c r="CM809" s="14"/>
      <c r="CN809" s="12"/>
      <c r="CO809" s="14"/>
      <c r="CP809" s="16"/>
      <c r="CQ809" s="14"/>
      <c r="CR809" s="12"/>
      <c r="CS809" s="14"/>
      <c r="CT809" s="16"/>
      <c r="CU809" s="14"/>
      <c r="CV809" s="12"/>
      <c r="CW809" s="14"/>
      <c r="CX809" s="16"/>
      <c r="CY809" s="14"/>
      <c r="CZ809" s="12"/>
      <c r="DA809" s="14"/>
      <c r="DB809" s="16"/>
      <c r="DC809" s="14"/>
      <c r="DD809" s="12"/>
      <c r="DE809" s="14"/>
      <c r="DF809" s="16"/>
      <c r="DG809" s="14"/>
      <c r="DH809" s="12"/>
      <c r="DI809" s="14"/>
      <c r="DJ809" s="16"/>
      <c r="DK809" s="14"/>
      <c r="DL809" s="12"/>
      <c r="DM809" s="14"/>
      <c r="DN809" s="16"/>
      <c r="DO809" s="14"/>
      <c r="DP809" s="12"/>
      <c r="DQ809" s="14"/>
      <c r="DR809" s="16"/>
      <c r="DS809" s="14"/>
      <c r="DT809" s="12"/>
      <c r="DU809" s="14"/>
      <c r="DV809" s="16"/>
      <c r="DW809" s="14"/>
      <c r="DX809" s="12"/>
      <c r="DY809" s="14"/>
      <c r="DZ809" s="16"/>
      <c r="EA809" s="14"/>
      <c r="EB809" s="12"/>
      <c r="EC809" s="14"/>
      <c r="ED809" s="16"/>
      <c r="EE809" s="14"/>
      <c r="EF809" s="12"/>
      <c r="EG809" s="12"/>
      <c r="EH809" s="14"/>
      <c r="EI809" s="16"/>
      <c r="EJ809" s="14"/>
      <c r="EK809" s="38"/>
      <c r="EL809" s="38"/>
      <c r="EM809" s="38"/>
      <c r="EN809" s="14"/>
      <c r="EO809" s="14"/>
      <c r="EP809" s="14"/>
      <c r="EQ809" s="12"/>
      <c r="ER809" s="14"/>
      <c r="ES809" s="16"/>
      <c r="ET809" s="14"/>
      <c r="EU809" s="12"/>
      <c r="EV809" s="14"/>
      <c r="EW809" s="16"/>
      <c r="EX809" s="14"/>
      <c r="EY809" s="12"/>
      <c r="EZ809" s="14"/>
      <c r="FA809" s="16"/>
      <c r="FB809" s="14"/>
      <c r="FC809" s="12"/>
      <c r="FD809" s="14"/>
      <c r="FE809" s="16"/>
      <c r="FF809" s="14"/>
      <c r="FG809" s="12"/>
      <c r="FH809" s="14"/>
      <c r="FI809" s="16"/>
      <c r="FJ809" s="14"/>
      <c r="FK809" s="12" t="s">
        <v>320</v>
      </c>
      <c r="FL809" s="38"/>
      <c r="FM809" s="310"/>
      <c r="FN809" s="14"/>
      <c r="FO809" s="12"/>
      <c r="FP809" s="14"/>
      <c r="FQ809" s="16"/>
      <c r="FR809" s="14"/>
      <c r="FS809" s="12"/>
      <c r="FT809" s="14"/>
      <c r="FU809" s="16"/>
      <c r="FV809" s="14"/>
      <c r="FW809" s="12"/>
      <c r="FX809" s="14"/>
      <c r="FY809" s="16"/>
      <c r="FZ809" s="14"/>
      <c r="GA809" s="12"/>
      <c r="GB809" s="14"/>
      <c r="GC809" s="16"/>
      <c r="GD809" s="14"/>
      <c r="GE809" s="12"/>
      <c r="GF809" s="14"/>
      <c r="GG809" s="16"/>
      <c r="GH809" s="14"/>
      <c r="GI809" s="12"/>
      <c r="GJ809" s="14"/>
      <c r="GK809" s="16"/>
      <c r="GL809" s="14"/>
      <c r="GM809" s="12"/>
      <c r="GN809" s="14"/>
      <c r="GO809" s="16"/>
      <c r="GP809" s="14"/>
      <c r="GQ809" s="12"/>
      <c r="GR809" s="14"/>
      <c r="GS809" s="16"/>
      <c r="GT809" s="14"/>
      <c r="GU809" s="12"/>
      <c r="GV809" s="14"/>
      <c r="GW809" s="16"/>
      <c r="GX809" s="14"/>
      <c r="GY809" s="12"/>
      <c r="GZ809" s="14"/>
      <c r="HA809" s="16"/>
      <c r="HB809" s="14"/>
      <c r="HC809" s="12"/>
      <c r="HD809" s="12"/>
      <c r="HE809" s="14"/>
      <c r="HF809" s="16"/>
      <c r="HG809" s="14"/>
      <c r="HH809" s="12" t="s">
        <v>319</v>
      </c>
      <c r="HI809" s="12"/>
      <c r="HJ809" s="12"/>
      <c r="HK809" s="12" t="s">
        <v>319</v>
      </c>
      <c r="HL809" s="12" t="s">
        <v>319</v>
      </c>
      <c r="HM809" s="12"/>
      <c r="HN809" s="12"/>
      <c r="HO809" s="12"/>
      <c r="HP809" s="12" t="s">
        <v>418</v>
      </c>
      <c r="HQ809" s="12"/>
      <c r="HR809" s="12"/>
      <c r="HS809" s="12"/>
      <c r="HT809" s="12"/>
      <c r="HU809" s="12"/>
      <c r="HV809" s="12"/>
      <c r="HW809" s="12"/>
      <c r="HX809" s="12"/>
      <c r="HY809" s="12"/>
      <c r="HZ809" s="12" t="s">
        <v>363</v>
      </c>
      <c r="IA809" s="12"/>
      <c r="IB809" s="12" t="s">
        <v>333</v>
      </c>
      <c r="IC809" s="12"/>
      <c r="ID809" s="12" t="s">
        <v>364</v>
      </c>
      <c r="IE809" s="12" t="s">
        <v>335</v>
      </c>
      <c r="IF809" s="12" t="s">
        <v>320</v>
      </c>
      <c r="IG809" s="12" t="s">
        <v>319</v>
      </c>
      <c r="IH809" s="12" t="s">
        <v>320</v>
      </c>
      <c r="II809" s="12" t="s">
        <v>319</v>
      </c>
      <c r="IJ809" s="12" t="str">
        <f t="shared" si="517"/>
        <v>1. Neutral</v>
      </c>
      <c r="IK809" s="12">
        <f t="shared" si="518"/>
        <v>2</v>
      </c>
      <c r="IL809" s="12" t="s">
        <v>723</v>
      </c>
      <c r="IM809" s="12" t="s">
        <v>320</v>
      </c>
      <c r="IN809" s="12" t="s">
        <v>319</v>
      </c>
      <c r="IO809" s="12" t="s">
        <v>319</v>
      </c>
      <c r="IP809" s="12" t="s">
        <v>319</v>
      </c>
      <c r="IQ809" s="12" t="str">
        <f t="shared" si="519"/>
        <v>0. Unaware</v>
      </c>
      <c r="IR809" s="12">
        <f t="shared" si="520"/>
        <v>1</v>
      </c>
      <c r="IS809" s="12" t="s">
        <v>337</v>
      </c>
      <c r="IT809" s="12" t="s">
        <v>320</v>
      </c>
      <c r="IU809" s="12" t="s">
        <v>320</v>
      </c>
      <c r="IV809" s="12" t="s">
        <v>319</v>
      </c>
      <c r="IW809" s="11" t="str">
        <f t="shared" si="521"/>
        <v>1. Neutral</v>
      </c>
      <c r="IX809" s="12">
        <f t="shared" si="522"/>
        <v>2</v>
      </c>
      <c r="IY809" s="12" t="s">
        <v>338</v>
      </c>
      <c r="IZ809" s="12" t="s">
        <v>339</v>
      </c>
      <c r="JA809" s="12">
        <v>1</v>
      </c>
      <c r="JB809" s="12" t="s">
        <v>623</v>
      </c>
      <c r="JC809" s="12"/>
      <c r="JD809" s="12"/>
      <c r="JE809" s="12" t="s">
        <v>420</v>
      </c>
      <c r="JF809" s="12"/>
      <c r="JG809" s="12" t="s">
        <v>12559</v>
      </c>
      <c r="JH809" s="12" t="s">
        <v>12560</v>
      </c>
      <c r="JI809" s="12" t="s">
        <v>12561</v>
      </c>
      <c r="JJ809" s="12" t="s">
        <v>12562</v>
      </c>
      <c r="JK809" s="12" t="s">
        <v>12563</v>
      </c>
      <c r="JL809" s="12" t="s">
        <v>12564</v>
      </c>
      <c r="JM809" s="12" t="s">
        <v>12565</v>
      </c>
      <c r="JN809" s="31" t="s">
        <v>14768</v>
      </c>
      <c r="JO809" s="12"/>
      <c r="JP809" s="15">
        <f t="shared" si="523"/>
        <v>0</v>
      </c>
      <c r="JQ809" s="15">
        <f t="shared" si="524"/>
        <v>0</v>
      </c>
      <c r="JR809" s="279" t="str">
        <f t="shared" si="525"/>
        <v/>
      </c>
      <c r="JS809" s="17" t="str">
        <f t="shared" si="526"/>
        <v/>
      </c>
      <c r="JT809" s="18" t="str">
        <f t="shared" si="527"/>
        <v/>
      </c>
      <c r="JU809" s="280">
        <f t="shared" si="528"/>
        <v>0</v>
      </c>
      <c r="JV809" s="280">
        <f t="shared" si="529"/>
        <v>0</v>
      </c>
      <c r="JW809" s="319" t="str">
        <f t="shared" si="530"/>
        <v/>
      </c>
      <c r="JX809" s="15">
        <f t="shared" si="531"/>
        <v>0</v>
      </c>
      <c r="JY809" s="15">
        <f t="shared" si="532"/>
        <v>0</v>
      </c>
      <c r="JZ809" s="19" t="str">
        <f t="shared" si="533"/>
        <v/>
      </c>
      <c r="KA809" s="52" t="str">
        <f t="shared" si="534"/>
        <v/>
      </c>
      <c r="KB809" s="15">
        <f t="shared" si="535"/>
        <v>0</v>
      </c>
      <c r="KC809" s="15">
        <f t="shared" si="536"/>
        <v>0</v>
      </c>
      <c r="KD809" s="20" t="str">
        <f t="shared" si="537"/>
        <v/>
      </c>
      <c r="KE809" s="52" t="str">
        <f t="shared" si="538"/>
        <v/>
      </c>
      <c r="KF809" s="15">
        <f t="shared" si="539"/>
        <v>0</v>
      </c>
      <c r="KG809" s="15">
        <f t="shared" si="540"/>
        <v>0</v>
      </c>
      <c r="KH809" s="21" t="str">
        <f t="shared" si="541"/>
        <v/>
      </c>
      <c r="KI809" s="52" t="str">
        <f t="shared" si="542"/>
        <v/>
      </c>
      <c r="KJ809" s="15">
        <f t="shared" si="543"/>
        <v>0</v>
      </c>
      <c r="KK809" s="15">
        <f t="shared" si="544"/>
        <v>0</v>
      </c>
      <c r="KL809" s="19" t="str">
        <f t="shared" si="545"/>
        <v/>
      </c>
      <c r="KM809" s="52" t="str">
        <f t="shared" si="546"/>
        <v/>
      </c>
      <c r="KN809" s="22">
        <f t="shared" si="547"/>
        <v>0</v>
      </c>
      <c r="KO809" s="22">
        <f t="shared" si="548"/>
        <v>0</v>
      </c>
      <c r="KP809" s="19" t="str">
        <f t="shared" si="549"/>
        <v/>
      </c>
      <c r="KQ809" s="11" t="str">
        <f t="shared" si="550"/>
        <v>1. Neutral</v>
      </c>
      <c r="KR809" s="11" t="str">
        <f t="shared" si="551"/>
        <v>0. Unaware</v>
      </c>
      <c r="KS809" s="11" t="str">
        <f t="shared" si="552"/>
        <v>1. Neutral</v>
      </c>
      <c r="KT809" s="11" t="str">
        <f t="shared" si="553"/>
        <v>It did not develop any specific innovation</v>
      </c>
      <c r="KU809" s="11" t="str">
        <f t="shared" si="554"/>
        <v>Little or no advocacy</v>
      </c>
      <c r="KV809" s="11" t="str">
        <f t="shared" si="555"/>
        <v>It did not take tested solutions to scale</v>
      </c>
      <c r="KW809" s="11" t="str">
        <f t="shared" si="556"/>
        <v>Timor-Leste - HANDS. Acronym for Tetum phrase "Halimar, Aprende no Discobre Suseso" meaning "Play, learn &amp; discover success".  </v>
      </c>
      <c r="KX809" s="11" t="str">
        <f t="shared" si="557"/>
        <v>HANDS. Acronym for Tetum phrase "Halimar, Aprende no Discobre Suseso" meaning "Play, learn &amp; discover success".  </v>
      </c>
      <c r="KY809" s="11" t="str">
        <f t="shared" si="558"/>
        <v>Timor-Leste</v>
      </c>
      <c r="KZ809" s="287">
        <v>810</v>
      </c>
    </row>
    <row r="810" spans="1:312" x14ac:dyDescent="0.3">
      <c r="A810" s="12" t="s">
        <v>12547</v>
      </c>
      <c r="B810" s="12" t="s">
        <v>306</v>
      </c>
      <c r="C810" s="12">
        <v>3680</v>
      </c>
      <c r="D810" s="12" t="s">
        <v>12566</v>
      </c>
      <c r="E810" s="277" t="str">
        <f t="shared" si="516"/>
        <v>Timor-Leste</v>
      </c>
      <c r="F810" s="12" t="s">
        <v>12567</v>
      </c>
      <c r="G810" s="12" t="s">
        <v>309</v>
      </c>
      <c r="H810" s="12" t="s">
        <v>310</v>
      </c>
      <c r="I810" s="12" t="s">
        <v>384</v>
      </c>
      <c r="J810" s="302" t="s">
        <v>14767</v>
      </c>
      <c r="K810" s="12" t="s">
        <v>12568</v>
      </c>
      <c r="L810" s="12" t="s">
        <v>309</v>
      </c>
      <c r="M810" s="12" t="s">
        <v>310</v>
      </c>
      <c r="N810" s="12" t="s">
        <v>311</v>
      </c>
      <c r="O810" s="12" t="s">
        <v>14769</v>
      </c>
      <c r="P810" s="12" t="s">
        <v>12567</v>
      </c>
      <c r="Q810" s="12" t="s">
        <v>4518</v>
      </c>
      <c r="R810" s="12" t="s">
        <v>554</v>
      </c>
      <c r="S810" s="12" t="s">
        <v>384</v>
      </c>
      <c r="T810" s="12" t="s">
        <v>12569</v>
      </c>
      <c r="U810" s="12"/>
      <c r="V810" s="12"/>
      <c r="W810" s="12"/>
      <c r="X810" s="12"/>
      <c r="Y810" s="12"/>
      <c r="Z810" s="12"/>
      <c r="AA810" s="12"/>
      <c r="AB810" s="12"/>
      <c r="AC810" s="12"/>
      <c r="AD810" s="12"/>
      <c r="BD810" s="13">
        <v>41808</v>
      </c>
      <c r="BE810" s="13">
        <v>43266</v>
      </c>
      <c r="BF810" s="12"/>
      <c r="BG810" s="12" t="s">
        <v>312</v>
      </c>
      <c r="BH810" s="14">
        <v>4680776</v>
      </c>
      <c r="BI810" s="12" t="s">
        <v>12553</v>
      </c>
      <c r="BJ810" s="12" t="s">
        <v>12570</v>
      </c>
      <c r="BK810" s="12" t="s">
        <v>12571</v>
      </c>
      <c r="BL810" s="12"/>
      <c r="BM810" s="12"/>
      <c r="BN810" s="12"/>
      <c r="BO810" s="11" t="s">
        <v>319</v>
      </c>
      <c r="BP810" s="11" t="s">
        <v>320</v>
      </c>
      <c r="BQ810" s="11" t="s">
        <v>319</v>
      </c>
      <c r="BR810" s="12" t="s">
        <v>12572</v>
      </c>
      <c r="BS810" s="12" t="s">
        <v>322</v>
      </c>
      <c r="BT810" s="12" t="s">
        <v>12573</v>
      </c>
      <c r="BU810" s="12" t="s">
        <v>12574</v>
      </c>
      <c r="BV810" s="14">
        <v>167000</v>
      </c>
      <c r="BW810" s="14">
        <v>223000</v>
      </c>
      <c r="BX810" s="14">
        <v>390000</v>
      </c>
      <c r="BY810" s="14">
        <v>524442</v>
      </c>
      <c r="BZ810" s="14">
        <v>541497</v>
      </c>
      <c r="CA810" s="14">
        <v>1065939</v>
      </c>
      <c r="CB810" s="12" t="s">
        <v>12575</v>
      </c>
      <c r="CD810" s="14"/>
      <c r="CE810" s="14"/>
      <c r="CF810" s="14"/>
      <c r="CG810" s="14"/>
      <c r="CH810" s="14"/>
      <c r="CI810" s="14"/>
      <c r="CJ810" s="12"/>
      <c r="CK810" s="14"/>
      <c r="CL810" s="16"/>
      <c r="CM810" s="14"/>
      <c r="CN810" s="12"/>
      <c r="CO810" s="14"/>
      <c r="CP810" s="16"/>
      <c r="CQ810" s="14"/>
      <c r="CR810" s="12"/>
      <c r="CS810" s="14"/>
      <c r="CT810" s="16"/>
      <c r="CU810" s="14"/>
      <c r="CV810" s="12"/>
      <c r="CW810" s="14"/>
      <c r="CX810" s="16"/>
      <c r="CY810" s="14"/>
      <c r="CZ810" s="12"/>
      <c r="DA810" s="14"/>
      <c r="DB810" s="16"/>
      <c r="DC810" s="14"/>
      <c r="DD810" s="12"/>
      <c r="DE810" s="14"/>
      <c r="DF810" s="16"/>
      <c r="DG810" s="14"/>
      <c r="DH810" s="12"/>
      <c r="DI810" s="14"/>
      <c r="DJ810" s="16"/>
      <c r="DK810" s="14"/>
      <c r="DL810" s="12"/>
      <c r="DM810" s="14"/>
      <c r="DN810" s="16"/>
      <c r="DO810" s="14"/>
      <c r="DP810" s="12"/>
      <c r="DQ810" s="14"/>
      <c r="DR810" s="16"/>
      <c r="DS810" s="14"/>
      <c r="DT810" s="12"/>
      <c r="DU810" s="14"/>
      <c r="DV810" s="16"/>
      <c r="DW810" s="14"/>
      <c r="DX810" s="12"/>
      <c r="DY810" s="14"/>
      <c r="DZ810" s="16"/>
      <c r="EA810" s="14"/>
      <c r="EB810" s="12"/>
      <c r="EC810" s="14"/>
      <c r="ED810" s="16"/>
      <c r="EE810" s="14"/>
      <c r="EF810" s="12"/>
      <c r="EG810" s="12"/>
      <c r="EH810" s="14"/>
      <c r="EI810" s="16"/>
      <c r="EJ810" s="14"/>
      <c r="EK810" s="14">
        <v>100468</v>
      </c>
      <c r="EL810" s="14">
        <v>173120</v>
      </c>
      <c r="EM810" s="14">
        <v>273588</v>
      </c>
      <c r="EN810" s="14">
        <v>287689</v>
      </c>
      <c r="EO810" s="14">
        <v>297046</v>
      </c>
      <c r="EP810" s="14">
        <v>584735</v>
      </c>
      <c r="EQ810" s="12" t="s">
        <v>320</v>
      </c>
      <c r="ER810" s="14">
        <v>90966</v>
      </c>
      <c r="ES810" s="16">
        <v>0.15</v>
      </c>
      <c r="ET810" s="14">
        <v>315652</v>
      </c>
      <c r="EU810" s="11" t="s">
        <v>320</v>
      </c>
      <c r="EV810" s="14">
        <v>90966</v>
      </c>
      <c r="EW810" s="16">
        <v>0.15</v>
      </c>
      <c r="EX810" s="14">
        <v>315652</v>
      </c>
      <c r="EY810" s="12" t="s">
        <v>320</v>
      </c>
      <c r="EZ810" s="14">
        <v>90966</v>
      </c>
      <c r="FA810" s="16">
        <v>0.15</v>
      </c>
      <c r="FB810" s="14">
        <v>315652</v>
      </c>
      <c r="FC810" s="12" t="s">
        <v>320</v>
      </c>
      <c r="FD810" s="14">
        <v>90966</v>
      </c>
      <c r="FE810" s="16">
        <v>0.15</v>
      </c>
      <c r="FF810" s="14">
        <v>315652</v>
      </c>
      <c r="FG810" s="12" t="s">
        <v>320</v>
      </c>
      <c r="FH810" s="14">
        <v>90966</v>
      </c>
      <c r="FI810" s="16">
        <v>0.15</v>
      </c>
      <c r="FJ810" s="14">
        <v>315652</v>
      </c>
      <c r="FK810" s="12" t="s">
        <v>320</v>
      </c>
      <c r="FL810" s="14">
        <v>273588</v>
      </c>
      <c r="FM810" s="16">
        <v>0.47499999999999998</v>
      </c>
      <c r="FN810" s="14">
        <v>584735</v>
      </c>
      <c r="FO810" s="12" t="s">
        <v>320</v>
      </c>
      <c r="FP810" s="14">
        <v>90966</v>
      </c>
      <c r="FQ810" s="16">
        <v>0.15</v>
      </c>
      <c r="FR810" s="14">
        <v>315652</v>
      </c>
      <c r="FS810" s="12" t="s">
        <v>320</v>
      </c>
      <c r="FT810" s="14">
        <v>90966</v>
      </c>
      <c r="FU810" s="16">
        <v>0.15</v>
      </c>
      <c r="FV810" s="14">
        <v>315652</v>
      </c>
      <c r="FW810" s="11" t="s">
        <v>320</v>
      </c>
      <c r="FX810" s="14">
        <v>90966</v>
      </c>
      <c r="FY810" s="16">
        <v>0.15</v>
      </c>
      <c r="FZ810" s="14">
        <v>315652</v>
      </c>
      <c r="GA810" s="11" t="s">
        <v>320</v>
      </c>
      <c r="GB810" s="14">
        <v>90966</v>
      </c>
      <c r="GC810" s="16">
        <v>0.15</v>
      </c>
      <c r="GD810" s="14">
        <v>315652</v>
      </c>
      <c r="GE810" s="12" t="s">
        <v>319</v>
      </c>
      <c r="GF810" s="14"/>
      <c r="GG810" s="16"/>
      <c r="GH810" s="14"/>
      <c r="GI810" s="12" t="s">
        <v>319</v>
      </c>
      <c r="GJ810" s="14"/>
      <c r="GK810" s="16"/>
      <c r="GL810" s="14"/>
      <c r="GM810" s="11" t="s">
        <v>320</v>
      </c>
      <c r="GN810" s="14">
        <v>90966</v>
      </c>
      <c r="GO810" s="16">
        <v>0.15</v>
      </c>
      <c r="GP810" s="14">
        <v>315652</v>
      </c>
      <c r="GQ810" s="12" t="s">
        <v>320</v>
      </c>
      <c r="GR810" s="14">
        <v>90966</v>
      </c>
      <c r="GS810" s="16">
        <v>0.15</v>
      </c>
      <c r="GT810" s="14">
        <v>315652</v>
      </c>
      <c r="GU810" s="12" t="s">
        <v>320</v>
      </c>
      <c r="GV810" s="14">
        <v>90966</v>
      </c>
      <c r="GW810" s="16">
        <v>0.15</v>
      </c>
      <c r="GX810" s="14">
        <v>315652</v>
      </c>
      <c r="GY810" s="11" t="s">
        <v>320</v>
      </c>
      <c r="GZ810" s="14">
        <v>90966</v>
      </c>
      <c r="HA810" s="16">
        <v>0.15</v>
      </c>
      <c r="HB810" s="14">
        <v>315652</v>
      </c>
      <c r="HC810" s="12"/>
      <c r="HD810" s="12" t="s">
        <v>319</v>
      </c>
      <c r="HE810" s="14"/>
      <c r="HF810" s="16"/>
      <c r="HG810" s="14"/>
      <c r="HH810" s="12" t="s">
        <v>320</v>
      </c>
      <c r="HI810" s="12" t="s">
        <v>415</v>
      </c>
      <c r="HJ810" s="12">
        <v>2016</v>
      </c>
      <c r="HK810" s="12" t="s">
        <v>320</v>
      </c>
      <c r="HL810" s="12" t="s">
        <v>319</v>
      </c>
      <c r="HM810" s="12"/>
      <c r="HN810" s="12"/>
      <c r="HO810" s="12" t="s">
        <v>12576</v>
      </c>
      <c r="HP810" s="12" t="s">
        <v>418</v>
      </c>
      <c r="HQ810" s="12" t="s">
        <v>319</v>
      </c>
      <c r="HR810" s="12" t="s">
        <v>319</v>
      </c>
      <c r="HS810" s="12" t="s">
        <v>319</v>
      </c>
      <c r="HT810" s="12" t="s">
        <v>320</v>
      </c>
      <c r="HU810" s="12" t="s">
        <v>320</v>
      </c>
      <c r="HV810" s="12" t="s">
        <v>320</v>
      </c>
      <c r="HW810" s="12" t="s">
        <v>319</v>
      </c>
      <c r="HX810" s="12" t="s">
        <v>319</v>
      </c>
      <c r="HY810" s="12"/>
      <c r="HZ810" s="12" t="s">
        <v>363</v>
      </c>
      <c r="IA810" s="12" t="s">
        <v>12577</v>
      </c>
      <c r="IB810" s="12" t="s">
        <v>667</v>
      </c>
      <c r="IC810" s="12" t="s">
        <v>12578</v>
      </c>
      <c r="ID810" s="12" t="s">
        <v>334</v>
      </c>
      <c r="IE810" s="12" t="s">
        <v>335</v>
      </c>
      <c r="IF810" s="12" t="s">
        <v>320</v>
      </c>
      <c r="IG810" s="12" t="s">
        <v>320</v>
      </c>
      <c r="IH810" s="12" t="s">
        <v>320</v>
      </c>
      <c r="II810" s="12" t="s">
        <v>320</v>
      </c>
      <c r="IJ810" s="12" t="str">
        <f t="shared" si="517"/>
        <v>2. Sensitive</v>
      </c>
      <c r="IK810" s="12">
        <f t="shared" si="518"/>
        <v>4</v>
      </c>
      <c r="IL810" s="12" t="s">
        <v>336</v>
      </c>
      <c r="IM810" s="12" t="s">
        <v>320</v>
      </c>
      <c r="IN810" s="12" t="s">
        <v>319</v>
      </c>
      <c r="IO810" s="12" t="s">
        <v>320</v>
      </c>
      <c r="IP810" s="12" t="s">
        <v>320</v>
      </c>
      <c r="IQ810" s="12" t="str">
        <f t="shared" si="519"/>
        <v>2. Accommodating</v>
      </c>
      <c r="IR810" s="12">
        <f t="shared" si="520"/>
        <v>3</v>
      </c>
      <c r="IS810" s="12" t="s">
        <v>337</v>
      </c>
      <c r="IT810" s="12" t="s">
        <v>320</v>
      </c>
      <c r="IU810" s="12" t="s">
        <v>320</v>
      </c>
      <c r="IV810" s="12" t="s">
        <v>320</v>
      </c>
      <c r="IW810" s="11" t="str">
        <f t="shared" si="521"/>
        <v>2. Sensitive</v>
      </c>
      <c r="IX810" s="12">
        <f t="shared" si="522"/>
        <v>3</v>
      </c>
      <c r="IY810" s="12" t="s">
        <v>419</v>
      </c>
      <c r="IZ810" s="12" t="s">
        <v>432</v>
      </c>
      <c r="JA810" s="12">
        <v>10</v>
      </c>
      <c r="JB810" s="12" t="s">
        <v>831</v>
      </c>
      <c r="JC810" s="12" t="s">
        <v>433</v>
      </c>
      <c r="JD810" s="12" t="s">
        <v>687</v>
      </c>
      <c r="JE810" s="12" t="s">
        <v>365</v>
      </c>
      <c r="JF810" s="12" t="s">
        <v>12579</v>
      </c>
      <c r="JG810" s="12" t="s">
        <v>12580</v>
      </c>
      <c r="JH810" s="12" t="s">
        <v>12581</v>
      </c>
      <c r="JI810" s="12" t="s">
        <v>12582</v>
      </c>
      <c r="JJ810" s="12" t="s">
        <v>12583</v>
      </c>
      <c r="JK810" s="12" t="s">
        <v>12584</v>
      </c>
      <c r="JL810" s="12" t="s">
        <v>12585</v>
      </c>
      <c r="JM810" s="12"/>
      <c r="JN810" s="12" t="s">
        <v>12586</v>
      </c>
      <c r="JO810" s="12"/>
      <c r="JP810" s="15">
        <f t="shared" si="523"/>
        <v>273588</v>
      </c>
      <c r="JQ810" s="15">
        <f t="shared" si="524"/>
        <v>584735</v>
      </c>
      <c r="JR810" s="279">
        <f t="shared" si="525"/>
        <v>2.1372830679708175</v>
      </c>
      <c r="JS810" s="17">
        <f t="shared" si="526"/>
        <v>0.36722370864219189</v>
      </c>
      <c r="JT810" s="18">
        <f t="shared" si="527"/>
        <v>0.49199893969062908</v>
      </c>
      <c r="JU810" s="280">
        <f t="shared" si="528"/>
        <v>100468</v>
      </c>
      <c r="JV810" s="280">
        <f t="shared" si="529"/>
        <v>287689</v>
      </c>
      <c r="JW810" s="319" t="str">
        <f t="shared" si="530"/>
        <v/>
      </c>
      <c r="JX810" s="15">
        <f t="shared" si="531"/>
        <v>0</v>
      </c>
      <c r="JY810" s="15">
        <f t="shared" si="532"/>
        <v>0</v>
      </c>
      <c r="JZ810" s="19" t="str">
        <f t="shared" si="533"/>
        <v/>
      </c>
      <c r="KA810" s="52">
        <f t="shared" si="534"/>
        <v>1</v>
      </c>
      <c r="KB810" s="15">
        <f t="shared" si="535"/>
        <v>90966</v>
      </c>
      <c r="KC810" s="15">
        <f t="shared" si="536"/>
        <v>315652</v>
      </c>
      <c r="KD810" s="20">
        <f t="shared" si="537"/>
        <v>3.4699997801376337</v>
      </c>
      <c r="KE810" s="52">
        <f t="shared" si="538"/>
        <v>1</v>
      </c>
      <c r="KF810" s="15">
        <f t="shared" si="539"/>
        <v>90966</v>
      </c>
      <c r="KG810" s="15">
        <f t="shared" si="540"/>
        <v>315652</v>
      </c>
      <c r="KH810" s="21">
        <f t="shared" si="541"/>
        <v>3.4699997801376337</v>
      </c>
      <c r="KI810" s="52">
        <f t="shared" si="542"/>
        <v>1</v>
      </c>
      <c r="KJ810" s="15">
        <f t="shared" si="543"/>
        <v>90966</v>
      </c>
      <c r="KK810" s="15">
        <f t="shared" si="544"/>
        <v>315652</v>
      </c>
      <c r="KL810" s="19">
        <f t="shared" si="545"/>
        <v>3.4699997801376337</v>
      </c>
      <c r="KM810" s="52">
        <f t="shared" si="546"/>
        <v>1</v>
      </c>
      <c r="KN810" s="22">
        <f t="shared" si="547"/>
        <v>90966</v>
      </c>
      <c r="KO810" s="22">
        <f t="shared" si="548"/>
        <v>315652</v>
      </c>
      <c r="KP810" s="19">
        <f t="shared" si="549"/>
        <v>3.4699997801376337</v>
      </c>
      <c r="KQ810" s="11" t="str">
        <f t="shared" si="550"/>
        <v>2. Sensitive</v>
      </c>
      <c r="KR810" s="11" t="str">
        <f t="shared" si="551"/>
        <v>2. Accommodating</v>
      </c>
      <c r="KS810" s="11" t="str">
        <f t="shared" si="552"/>
        <v>2. Sensitive</v>
      </c>
      <c r="KT810" s="11" t="str">
        <f t="shared" si="553"/>
        <v>It did not develop any specific innovation</v>
      </c>
      <c r="KU810" s="11" t="str">
        <f t="shared" si="554"/>
        <v>Little or no advocacy</v>
      </c>
      <c r="KV810" s="11" t="str">
        <f t="shared" si="555"/>
        <v>It took tested solutions to scale on its own</v>
      </c>
      <c r="KW810" s="11" t="str">
        <f t="shared" si="556"/>
        <v>Timor-Leste - Lafaek Learning Media (LLM)</v>
      </c>
      <c r="KX810" s="11" t="str">
        <f t="shared" si="557"/>
        <v>Lafaek Learning Media (LLM)</v>
      </c>
      <c r="KY810" s="11" t="str">
        <f t="shared" si="558"/>
        <v>Timor-Leste</v>
      </c>
      <c r="KZ810" s="12">
        <v>811</v>
      </c>
    </row>
    <row r="811" spans="1:312" x14ac:dyDescent="0.3">
      <c r="A811" s="282" t="s">
        <v>12547</v>
      </c>
      <c r="B811" s="282" t="s">
        <v>306</v>
      </c>
      <c r="C811" s="282"/>
      <c r="D811" s="282" t="s">
        <v>12587</v>
      </c>
      <c r="E811" s="277" t="str">
        <f t="shared" si="516"/>
        <v>Timor-Leste</v>
      </c>
      <c r="F811" s="282" t="s">
        <v>12588</v>
      </c>
      <c r="G811" s="282" t="s">
        <v>309</v>
      </c>
      <c r="H811" s="282" t="s">
        <v>310</v>
      </c>
      <c r="I811" s="282" t="s">
        <v>517</v>
      </c>
      <c r="J811" s="281" t="s">
        <v>14578</v>
      </c>
      <c r="K811" s="282"/>
      <c r="L811" s="282"/>
      <c r="M811" s="282"/>
      <c r="N811" s="282"/>
      <c r="O811" s="282"/>
      <c r="P811" s="282"/>
      <c r="Q811" s="282"/>
      <c r="R811" s="282"/>
      <c r="S811" s="282"/>
      <c r="T811" s="282"/>
      <c r="U811" s="282"/>
      <c r="V811" s="282"/>
      <c r="W811" s="282"/>
      <c r="X811" s="282"/>
      <c r="Y811" s="282"/>
      <c r="Z811" s="282"/>
      <c r="AA811" s="282"/>
      <c r="AB811" s="282"/>
      <c r="AC811" s="282"/>
      <c r="AD811" s="282"/>
      <c r="AE811" s="282"/>
      <c r="AF811" s="282"/>
      <c r="AG811" s="282"/>
      <c r="AH811" s="282"/>
      <c r="AI811" s="282"/>
      <c r="AJ811" s="282"/>
      <c r="AK811" s="282"/>
      <c r="AL811" s="282"/>
      <c r="AM811" s="282"/>
      <c r="AN811" s="282"/>
      <c r="AO811" s="282"/>
      <c r="AP811" s="282"/>
      <c r="AQ811" s="282"/>
      <c r="AR811" s="282"/>
      <c r="AS811" s="282"/>
      <c r="AT811" s="282"/>
      <c r="AU811" s="282"/>
      <c r="AV811" s="282"/>
      <c r="AW811" s="282"/>
      <c r="AX811" s="282"/>
      <c r="AY811" s="282"/>
      <c r="AZ811" s="282"/>
      <c r="BA811" s="282"/>
      <c r="BB811" s="282"/>
      <c r="BC811" s="282"/>
      <c r="BD811" s="283">
        <v>42614</v>
      </c>
      <c r="BE811" s="283">
        <v>43008</v>
      </c>
      <c r="BF811" s="283">
        <v>43069</v>
      </c>
      <c r="BG811" s="283" t="s">
        <v>490</v>
      </c>
      <c r="BH811" s="284">
        <v>272475</v>
      </c>
      <c r="BI811" s="282" t="s">
        <v>12589</v>
      </c>
      <c r="BJ811" s="282" t="s">
        <v>12590</v>
      </c>
      <c r="BK811" s="282" t="s">
        <v>12591</v>
      </c>
      <c r="BL811" s="282"/>
      <c r="BM811" s="282"/>
      <c r="BN811" s="282"/>
      <c r="BO811" s="12" t="s">
        <v>319</v>
      </c>
      <c r="BP811" s="12" t="s">
        <v>320</v>
      </c>
      <c r="BQ811" s="12" t="s">
        <v>319</v>
      </c>
      <c r="BR811" s="282" t="s">
        <v>12592</v>
      </c>
      <c r="BS811" s="282" t="s">
        <v>357</v>
      </c>
      <c r="BT811" s="282" t="s">
        <v>12593</v>
      </c>
      <c r="BU811" s="282" t="s">
        <v>12594</v>
      </c>
      <c r="BV811" s="284">
        <v>530</v>
      </c>
      <c r="BW811" s="284">
        <v>238</v>
      </c>
      <c r="BX811" s="284">
        <v>768</v>
      </c>
      <c r="BY811" s="284">
        <v>61611</v>
      </c>
      <c r="BZ811" s="284">
        <v>63264</v>
      </c>
      <c r="CA811" s="284">
        <v>124875</v>
      </c>
      <c r="CB811" s="285" t="s">
        <v>12595</v>
      </c>
      <c r="CC811" s="285"/>
      <c r="CD811" s="284"/>
      <c r="CE811" s="284"/>
      <c r="CF811" s="284"/>
      <c r="CG811" s="284"/>
      <c r="CH811" s="284"/>
      <c r="CI811" s="284"/>
      <c r="CJ811" s="282"/>
      <c r="CK811" s="284"/>
      <c r="CL811" s="286"/>
      <c r="CM811" s="284"/>
      <c r="CN811" s="287"/>
      <c r="CO811" s="284"/>
      <c r="CP811" s="286"/>
      <c r="CQ811" s="284"/>
      <c r="CR811" s="282"/>
      <c r="CS811" s="284"/>
      <c r="CT811" s="286"/>
      <c r="CU811" s="284"/>
      <c r="CV811" s="305"/>
      <c r="CW811" s="300"/>
      <c r="CX811" s="308"/>
      <c r="CY811" s="300"/>
      <c r="CZ811" s="282"/>
      <c r="DA811" s="284"/>
      <c r="DB811" s="286"/>
      <c r="DC811" s="284"/>
      <c r="DD811" s="287"/>
      <c r="DE811" s="284"/>
      <c r="DF811" s="286"/>
      <c r="DG811" s="284"/>
      <c r="DH811" s="282"/>
      <c r="DI811" s="284"/>
      <c r="DJ811" s="286"/>
      <c r="DK811" s="284"/>
      <c r="DL811" s="282"/>
      <c r="DM811" s="284"/>
      <c r="DN811" s="286"/>
      <c r="DO811" s="284"/>
      <c r="DP811" s="282"/>
      <c r="DQ811" s="284"/>
      <c r="DR811" s="286"/>
      <c r="DS811" s="284"/>
      <c r="DT811" s="282"/>
      <c r="DU811" s="284"/>
      <c r="DV811" s="286"/>
      <c r="DW811" s="284"/>
      <c r="DX811" s="282"/>
      <c r="DY811" s="284"/>
      <c r="DZ811" s="286"/>
      <c r="EA811" s="284"/>
      <c r="EB811" s="282"/>
      <c r="EC811" s="284"/>
      <c r="ED811" s="286"/>
      <c r="EE811" s="284"/>
      <c r="EF811" s="285"/>
      <c r="EG811" s="287"/>
      <c r="EH811" s="284"/>
      <c r="EI811" s="286"/>
      <c r="EJ811" s="284"/>
      <c r="EK811" s="284">
        <v>534</v>
      </c>
      <c r="EL811" s="284">
        <v>293</v>
      </c>
      <c r="EM811" s="284">
        <v>827</v>
      </c>
      <c r="EN811" s="284"/>
      <c r="EO811" s="284"/>
      <c r="EP811" s="284"/>
      <c r="EQ811" s="282"/>
      <c r="ER811" s="284"/>
      <c r="ES811" s="286"/>
      <c r="ET811" s="284"/>
      <c r="EU811" s="305"/>
      <c r="EV811" s="300"/>
      <c r="EW811" s="308"/>
      <c r="EX811" s="300"/>
      <c r="EY811" s="282"/>
      <c r="EZ811" s="284"/>
      <c r="FA811" s="286"/>
      <c r="FB811" s="284"/>
      <c r="FC811" s="282"/>
      <c r="FD811" s="284"/>
      <c r="FE811" s="286"/>
      <c r="FF811" s="284"/>
      <c r="FG811" s="282"/>
      <c r="FH811" s="284"/>
      <c r="FI811" s="286"/>
      <c r="FJ811" s="284"/>
      <c r="FK811" s="282"/>
      <c r="FL811" s="284"/>
      <c r="FM811" s="286"/>
      <c r="FN811" s="284"/>
      <c r="FO811" s="305"/>
      <c r="FP811" s="300"/>
      <c r="FQ811" s="308"/>
      <c r="FR811" s="300"/>
      <c r="FS811" s="282"/>
      <c r="FT811" s="284"/>
      <c r="FU811" s="286"/>
      <c r="FV811" s="284"/>
      <c r="FW811" s="282"/>
      <c r="FX811" s="284"/>
      <c r="FY811" s="286"/>
      <c r="FZ811" s="284"/>
      <c r="GA811" s="282" t="s">
        <v>320</v>
      </c>
      <c r="GB811" s="284">
        <v>827</v>
      </c>
      <c r="GC811" s="286">
        <v>0.64570737605804096</v>
      </c>
      <c r="GD811" s="284">
        <v>124875</v>
      </c>
      <c r="GE811" s="282"/>
      <c r="GF811" s="284"/>
      <c r="GG811" s="286"/>
      <c r="GH811" s="284"/>
      <c r="GI811" s="282"/>
      <c r="GJ811" s="284"/>
      <c r="GK811" s="286"/>
      <c r="GL811" s="284"/>
      <c r="GM811" s="282"/>
      <c r="GN811" s="284"/>
      <c r="GO811" s="286"/>
      <c r="GP811" s="284"/>
      <c r="GQ811" s="282" t="s">
        <v>320</v>
      </c>
      <c r="GR811" s="284">
        <v>827</v>
      </c>
      <c r="GS811" s="286">
        <v>0.64570737605804096</v>
      </c>
      <c r="GT811" s="284">
        <v>124875</v>
      </c>
      <c r="GU811" s="282"/>
      <c r="GV811" s="284"/>
      <c r="GW811" s="286"/>
      <c r="GX811" s="284"/>
      <c r="GY811" s="282"/>
      <c r="GZ811" s="284"/>
      <c r="HA811" s="286"/>
      <c r="HB811" s="284"/>
      <c r="HC811" s="282"/>
      <c r="HD811" s="282"/>
      <c r="HE811" s="284"/>
      <c r="HF811" s="286"/>
      <c r="HG811" s="284"/>
      <c r="HH811" s="282" t="s">
        <v>319</v>
      </c>
      <c r="HI811" s="282"/>
      <c r="HJ811" s="282"/>
      <c r="HK811" s="282"/>
      <c r="HL811" s="282" t="s">
        <v>320</v>
      </c>
      <c r="HM811" s="282" t="s">
        <v>328</v>
      </c>
      <c r="HN811" s="282">
        <v>2017</v>
      </c>
      <c r="HO811" s="282" t="s">
        <v>12596</v>
      </c>
      <c r="HP811" s="282" t="s">
        <v>330</v>
      </c>
      <c r="HQ811" s="282" t="s">
        <v>320</v>
      </c>
      <c r="HR811" s="282" t="s">
        <v>319</v>
      </c>
      <c r="HS811" s="282" t="s">
        <v>319</v>
      </c>
      <c r="HT811" s="282" t="s">
        <v>319</v>
      </c>
      <c r="HU811" s="282" t="s">
        <v>320</v>
      </c>
      <c r="HV811" s="282" t="s">
        <v>319</v>
      </c>
      <c r="HW811" s="282" t="s">
        <v>319</v>
      </c>
      <c r="HX811" s="282"/>
      <c r="HY811" s="282"/>
      <c r="HZ811" s="282" t="s">
        <v>363</v>
      </c>
      <c r="IA811" s="282"/>
      <c r="IB811" s="282" t="s">
        <v>396</v>
      </c>
      <c r="IC811" s="282" t="s">
        <v>12597</v>
      </c>
      <c r="ID811" s="282" t="s">
        <v>364</v>
      </c>
      <c r="IE811" s="282" t="s">
        <v>335</v>
      </c>
      <c r="IF811" s="282" t="s">
        <v>320</v>
      </c>
      <c r="IG811" s="282" t="s">
        <v>319</v>
      </c>
      <c r="IH811" s="282" t="s">
        <v>320</v>
      </c>
      <c r="II811" s="282" t="s">
        <v>319</v>
      </c>
      <c r="IJ811" s="12" t="str">
        <f t="shared" si="517"/>
        <v>1. Neutral</v>
      </c>
      <c r="IK811" s="287">
        <f t="shared" si="518"/>
        <v>2</v>
      </c>
      <c r="IL811" s="282" t="s">
        <v>336</v>
      </c>
      <c r="IM811" s="282" t="s">
        <v>320</v>
      </c>
      <c r="IN811" s="282" t="s">
        <v>320</v>
      </c>
      <c r="IO811" s="282" t="s">
        <v>320</v>
      </c>
      <c r="IP811" s="282" t="s">
        <v>319</v>
      </c>
      <c r="IQ811" s="287" t="str">
        <f t="shared" si="519"/>
        <v>2. Accommodating</v>
      </c>
      <c r="IR811" s="287">
        <f t="shared" si="520"/>
        <v>3</v>
      </c>
      <c r="IS811" s="282" t="s">
        <v>337</v>
      </c>
      <c r="IT811" s="282" t="s">
        <v>319</v>
      </c>
      <c r="IU811" s="282" t="s">
        <v>320</v>
      </c>
      <c r="IV811" s="282" t="s">
        <v>320</v>
      </c>
      <c r="IW811" s="11" t="str">
        <f t="shared" si="521"/>
        <v>1. Neutral</v>
      </c>
      <c r="IX811" s="287">
        <f t="shared" si="522"/>
        <v>2</v>
      </c>
      <c r="IY811" s="282" t="s">
        <v>338</v>
      </c>
      <c r="IZ811" s="282" t="s">
        <v>527</v>
      </c>
      <c r="JA811" s="282">
        <v>2</v>
      </c>
      <c r="JB811" s="282" t="s">
        <v>687</v>
      </c>
      <c r="JC811" s="282" t="s">
        <v>623</v>
      </c>
      <c r="JD811" s="282"/>
      <c r="JE811" s="282" t="s">
        <v>420</v>
      </c>
      <c r="JF811" s="282"/>
      <c r="JG811" s="282" t="s">
        <v>12598</v>
      </c>
      <c r="JH811" s="282" t="s">
        <v>12599</v>
      </c>
      <c r="JI811" s="282" t="s">
        <v>12600</v>
      </c>
      <c r="JJ811" s="282"/>
      <c r="JK811" s="282" t="s">
        <v>12601</v>
      </c>
      <c r="JL811" s="282" t="s">
        <v>12602</v>
      </c>
      <c r="JM811" s="282"/>
      <c r="JN811" s="282" t="s">
        <v>14770</v>
      </c>
      <c r="JO811" s="282"/>
      <c r="JP811" s="15">
        <f t="shared" si="523"/>
        <v>827</v>
      </c>
      <c r="JQ811" s="15">
        <f t="shared" si="524"/>
        <v>0</v>
      </c>
      <c r="JR811" s="279">
        <f t="shared" si="525"/>
        <v>0</v>
      </c>
      <c r="JS811" s="17">
        <f t="shared" si="526"/>
        <v>0.64570737605804107</v>
      </c>
      <c r="JT811" s="18" t="str">
        <f t="shared" si="527"/>
        <v/>
      </c>
      <c r="JU811" s="280">
        <f t="shared" si="528"/>
        <v>534</v>
      </c>
      <c r="JV811" s="280">
        <f t="shared" si="529"/>
        <v>0</v>
      </c>
      <c r="JW811" s="319" t="str">
        <f t="shared" si="530"/>
        <v/>
      </c>
      <c r="JX811" s="15">
        <f t="shared" si="531"/>
        <v>0</v>
      </c>
      <c r="JY811" s="15">
        <f t="shared" si="532"/>
        <v>0</v>
      </c>
      <c r="JZ811" s="19" t="str">
        <f t="shared" si="533"/>
        <v/>
      </c>
      <c r="KA811" s="52" t="str">
        <f t="shared" si="534"/>
        <v/>
      </c>
      <c r="KB811" s="15">
        <f t="shared" si="535"/>
        <v>0</v>
      </c>
      <c r="KC811" s="15">
        <f t="shared" si="536"/>
        <v>0</v>
      </c>
      <c r="KD811" s="20" t="str">
        <f t="shared" si="537"/>
        <v/>
      </c>
      <c r="KE811" s="52">
        <f t="shared" si="538"/>
        <v>1</v>
      </c>
      <c r="KF811" s="15">
        <f t="shared" si="539"/>
        <v>827</v>
      </c>
      <c r="KG811" s="15">
        <f t="shared" si="540"/>
        <v>124875</v>
      </c>
      <c r="KH811" s="21">
        <f t="shared" si="541"/>
        <v>150.99758162031438</v>
      </c>
      <c r="KI811" s="52" t="str">
        <f t="shared" si="542"/>
        <v/>
      </c>
      <c r="KJ811" s="15">
        <f t="shared" si="543"/>
        <v>0</v>
      </c>
      <c r="KK811" s="15">
        <f t="shared" si="544"/>
        <v>0</v>
      </c>
      <c r="KL811" s="19" t="str">
        <f t="shared" si="545"/>
        <v/>
      </c>
      <c r="KM811" s="52" t="str">
        <f t="shared" si="546"/>
        <v/>
      </c>
      <c r="KN811" s="22">
        <f t="shared" si="547"/>
        <v>0</v>
      </c>
      <c r="KO811" s="22">
        <f t="shared" si="548"/>
        <v>0</v>
      </c>
      <c r="KP811" s="19" t="str">
        <f t="shared" si="549"/>
        <v/>
      </c>
      <c r="KQ811" s="11" t="str">
        <f t="shared" si="550"/>
        <v>1. Neutral</v>
      </c>
      <c r="KR811" s="11" t="str">
        <f t="shared" si="551"/>
        <v>2. Accommodating</v>
      </c>
      <c r="KS811" s="11" t="str">
        <f t="shared" si="552"/>
        <v>1. Neutral</v>
      </c>
      <c r="KT811" s="11" t="str">
        <f t="shared" si="553"/>
        <v>It did not develop any specific innovation</v>
      </c>
      <c r="KU811" s="11" t="str">
        <f t="shared" si="554"/>
        <v>Moderate advocacy</v>
      </c>
      <c r="KV811" s="11" t="str">
        <f t="shared" si="555"/>
        <v>It linked and worked with strategic alliances and partners to take tested and effective solutions to scale</v>
      </c>
      <c r="KW811" s="11" t="str">
        <f t="shared" si="556"/>
        <v>Timor-Leste - Promosaun Praktika Importante iha Uma no Familia liu husi Grupu Supporta Inan no Kuidadu Saude Primaria (PPI) project</v>
      </c>
      <c r="KX811" s="11" t="str">
        <f t="shared" si="557"/>
        <v>Promosaun Praktika Importante iha Uma no Familia liu husi Grupu Supporta Inan no Kuidadu Saude Primaria (PPI) project</v>
      </c>
      <c r="KY811" s="11" t="str">
        <f t="shared" si="558"/>
        <v>Timor-Leste</v>
      </c>
      <c r="KZ811" s="12">
        <v>812</v>
      </c>
    </row>
    <row r="812" spans="1:312" x14ac:dyDescent="0.3">
      <c r="A812" s="12" t="s">
        <v>12547</v>
      </c>
      <c r="B812" s="12" t="s">
        <v>306</v>
      </c>
      <c r="C812" s="12"/>
      <c r="D812" s="12" t="s">
        <v>12603</v>
      </c>
      <c r="E812" s="277" t="str">
        <f t="shared" si="516"/>
        <v>Timor-Leste</v>
      </c>
      <c r="F812" s="12" t="s">
        <v>12604</v>
      </c>
      <c r="G812" s="12" t="s">
        <v>309</v>
      </c>
      <c r="H812" s="12" t="s">
        <v>310</v>
      </c>
      <c r="I812" s="12" t="s">
        <v>311</v>
      </c>
      <c r="J812" s="281" t="s">
        <v>14565</v>
      </c>
      <c r="K812" s="12" t="s">
        <v>12605</v>
      </c>
      <c r="L812" s="12" t="s">
        <v>608</v>
      </c>
      <c r="M812" s="12" t="s">
        <v>380</v>
      </c>
      <c r="N812" s="12" t="s">
        <v>381</v>
      </c>
      <c r="O812" s="281" t="s">
        <v>7763</v>
      </c>
      <c r="P812" s="12" t="s">
        <v>12606</v>
      </c>
      <c r="Q812" s="12" t="s">
        <v>1529</v>
      </c>
      <c r="R812" s="12" t="s">
        <v>384</v>
      </c>
      <c r="S812" s="12" t="s">
        <v>384</v>
      </c>
      <c r="T812" s="12" t="s">
        <v>14610</v>
      </c>
      <c r="U812" s="12" t="s">
        <v>12607</v>
      </c>
      <c r="V812" s="12" t="s">
        <v>309</v>
      </c>
      <c r="W812" s="12" t="s">
        <v>384</v>
      </c>
      <c r="X812" s="12" t="s">
        <v>384</v>
      </c>
      <c r="Y812" s="12" t="s">
        <v>12608</v>
      </c>
      <c r="Z812" s="12" t="s">
        <v>12609</v>
      </c>
      <c r="AA812" s="12" t="s">
        <v>488</v>
      </c>
      <c r="AB812" s="12" t="s">
        <v>384</v>
      </c>
      <c r="AC812" s="12" t="s">
        <v>384</v>
      </c>
      <c r="AD812" s="12" t="s">
        <v>14771</v>
      </c>
      <c r="BD812" s="13">
        <v>42550</v>
      </c>
      <c r="BE812" s="13">
        <v>42917</v>
      </c>
      <c r="BF812" s="12"/>
      <c r="BG812" s="12" t="s">
        <v>908</v>
      </c>
      <c r="BH812" s="14">
        <v>380648</v>
      </c>
      <c r="BI812" s="12" t="s">
        <v>12550</v>
      </c>
      <c r="BJ812" s="12" t="s">
        <v>1899</v>
      </c>
      <c r="BK812" s="12" t="s">
        <v>12552</v>
      </c>
      <c r="BL812" s="12"/>
      <c r="BM812" s="12"/>
      <c r="BN812" s="12"/>
      <c r="BO812" s="12" t="s">
        <v>320</v>
      </c>
      <c r="BP812" s="12" t="s">
        <v>319</v>
      </c>
      <c r="BQ812" s="12" t="s">
        <v>319</v>
      </c>
      <c r="BR812" s="12" t="s">
        <v>12610</v>
      </c>
      <c r="BS812" s="12" t="s">
        <v>357</v>
      </c>
      <c r="BT812" s="12" t="s">
        <v>12611</v>
      </c>
      <c r="BU812" s="12" t="s">
        <v>12612</v>
      </c>
      <c r="BV812" s="14">
        <v>1734</v>
      </c>
      <c r="BW812" s="14">
        <v>1673</v>
      </c>
      <c r="BX812" s="14">
        <v>3407</v>
      </c>
      <c r="BY812" s="14">
        <v>2635</v>
      </c>
      <c r="BZ812" s="14">
        <v>2709</v>
      </c>
      <c r="CA812" s="14">
        <v>5344</v>
      </c>
      <c r="CB812" s="12" t="s">
        <v>12613</v>
      </c>
      <c r="CD812" s="14">
        <v>1734</v>
      </c>
      <c r="CE812" s="14">
        <v>1673</v>
      </c>
      <c r="CF812" s="14">
        <v>3407</v>
      </c>
      <c r="CG812" s="14">
        <v>2635</v>
      </c>
      <c r="CH812" s="14">
        <v>2709</v>
      </c>
      <c r="CI812" s="14">
        <v>5344</v>
      </c>
      <c r="CJ812" s="12"/>
      <c r="CK812" s="14"/>
      <c r="CL812" s="16"/>
      <c r="CM812" s="14"/>
      <c r="CN812" s="12"/>
      <c r="CO812" s="14"/>
      <c r="CP812" s="16"/>
      <c r="CQ812" s="14"/>
      <c r="CR812" s="12"/>
      <c r="CS812" s="14"/>
      <c r="CT812" s="16"/>
      <c r="CU812" s="14"/>
      <c r="CV812" s="12" t="s">
        <v>320</v>
      </c>
      <c r="CW812" s="14">
        <v>3407</v>
      </c>
      <c r="CX812" s="16">
        <v>0.50890000000000002</v>
      </c>
      <c r="CY812" s="14">
        <v>5344</v>
      </c>
      <c r="CZ812" s="12"/>
      <c r="DA812" s="14"/>
      <c r="DB812" s="16"/>
      <c r="DC812" s="14"/>
      <c r="DD812" s="11" t="s">
        <v>320</v>
      </c>
      <c r="DE812" s="14">
        <v>2246</v>
      </c>
      <c r="DF812" s="16">
        <v>0.624</v>
      </c>
      <c r="DG812" s="14">
        <v>1954</v>
      </c>
      <c r="DH812" s="12" t="s">
        <v>320</v>
      </c>
      <c r="DI812" s="14">
        <v>2246</v>
      </c>
      <c r="DJ812" s="16">
        <v>0.624</v>
      </c>
      <c r="DK812" s="14">
        <v>1954</v>
      </c>
      <c r="DL812" s="12"/>
      <c r="DM812" s="14"/>
      <c r="DN812" s="16"/>
      <c r="DO812" s="14"/>
      <c r="DP812" s="12"/>
      <c r="DQ812" s="14"/>
      <c r="DR812" s="16"/>
      <c r="DS812" s="14"/>
      <c r="DT812" s="12"/>
      <c r="DU812" s="14"/>
      <c r="DV812" s="16"/>
      <c r="DW812" s="14"/>
      <c r="DX812" s="12"/>
      <c r="DY812" s="14"/>
      <c r="DZ812" s="16"/>
      <c r="EA812" s="14"/>
      <c r="EB812" s="11" t="s">
        <v>320</v>
      </c>
      <c r="EC812" s="14">
        <v>3407</v>
      </c>
      <c r="ED812" s="16">
        <v>0.50890000000000002</v>
      </c>
      <c r="EE812" s="14">
        <v>5344</v>
      </c>
      <c r="EF812" s="12"/>
      <c r="EG812" s="12"/>
      <c r="EH812" s="14"/>
      <c r="EI812" s="16"/>
      <c r="EJ812" s="14"/>
      <c r="EK812" s="14"/>
      <c r="EL812" s="14"/>
      <c r="EM812" s="14"/>
      <c r="EN812" s="14"/>
      <c r="EO812" s="14"/>
      <c r="EP812" s="14"/>
      <c r="EQ812" s="12"/>
      <c r="ER812" s="14"/>
      <c r="ES812" s="16"/>
      <c r="ET812" s="14"/>
      <c r="EU812" s="12"/>
      <c r="EV812" s="14"/>
      <c r="EW812" s="16"/>
      <c r="EX812" s="14"/>
      <c r="EY812" s="12"/>
      <c r="EZ812" s="14"/>
      <c r="FA812" s="16"/>
      <c r="FB812" s="14"/>
      <c r="FC812" s="12"/>
      <c r="FD812" s="14"/>
      <c r="FE812" s="16"/>
      <c r="FF812" s="14"/>
      <c r="FG812" s="12"/>
      <c r="FH812" s="14"/>
      <c r="FI812" s="16"/>
      <c r="FJ812" s="14"/>
      <c r="FK812" s="12"/>
      <c r="FL812" s="14"/>
      <c r="FM812" s="16"/>
      <c r="FN812" s="14"/>
      <c r="FO812" s="12"/>
      <c r="FP812" s="14"/>
      <c r="FQ812" s="16"/>
      <c r="FR812" s="14"/>
      <c r="FS812" s="12"/>
      <c r="FT812" s="14"/>
      <c r="FU812" s="16"/>
      <c r="FV812" s="14"/>
      <c r="FW812" s="12"/>
      <c r="FX812" s="14"/>
      <c r="FY812" s="16"/>
      <c r="FZ812" s="14"/>
      <c r="GA812" s="12"/>
      <c r="GB812" s="14"/>
      <c r="GC812" s="16"/>
      <c r="GD812" s="14"/>
      <c r="GE812" s="12"/>
      <c r="GF812" s="14"/>
      <c r="GG812" s="16"/>
      <c r="GH812" s="14"/>
      <c r="GI812" s="12"/>
      <c r="GJ812" s="14"/>
      <c r="GK812" s="16"/>
      <c r="GL812" s="14"/>
      <c r="GM812" s="12"/>
      <c r="GN812" s="14"/>
      <c r="GO812" s="16"/>
      <c r="GP812" s="14"/>
      <c r="GQ812" s="12"/>
      <c r="GR812" s="14"/>
      <c r="GS812" s="16"/>
      <c r="GT812" s="14"/>
      <c r="GU812" s="12"/>
      <c r="GV812" s="14"/>
      <c r="GW812" s="16"/>
      <c r="GX812" s="14"/>
      <c r="GY812" s="12"/>
      <c r="GZ812" s="14"/>
      <c r="HA812" s="16"/>
      <c r="HB812" s="14"/>
      <c r="HC812" s="12"/>
      <c r="HD812" s="12"/>
      <c r="HE812" s="14"/>
      <c r="HF812" s="16"/>
      <c r="HG812" s="14"/>
      <c r="HH812" s="12" t="s">
        <v>320</v>
      </c>
      <c r="HI812" s="12" t="s">
        <v>560</v>
      </c>
      <c r="HJ812" s="12">
        <v>2016</v>
      </c>
      <c r="HK812" s="12" t="s">
        <v>319</v>
      </c>
      <c r="HL812" s="12" t="s">
        <v>319</v>
      </c>
      <c r="HM812" s="12"/>
      <c r="HN812" s="12"/>
      <c r="HO812" s="12" t="s">
        <v>12614</v>
      </c>
      <c r="HP812" s="12" t="s">
        <v>330</v>
      </c>
      <c r="HQ812" s="12"/>
      <c r="HR812" s="12"/>
      <c r="HS812" s="12"/>
      <c r="HT812" s="12"/>
      <c r="HU812" s="12" t="s">
        <v>320</v>
      </c>
      <c r="HV812" s="12"/>
      <c r="HW812" s="12"/>
      <c r="HX812" s="12"/>
      <c r="HY812" s="12" t="s">
        <v>12615</v>
      </c>
      <c r="HZ812" s="12" t="s">
        <v>394</v>
      </c>
      <c r="IA812" s="12" t="s">
        <v>12616</v>
      </c>
      <c r="IB812" s="12"/>
      <c r="IC812" s="12"/>
      <c r="ID812" s="12"/>
      <c r="IE812" s="12" t="s">
        <v>478</v>
      </c>
      <c r="IF812" s="12" t="s">
        <v>320</v>
      </c>
      <c r="IG812" s="12" t="s">
        <v>320</v>
      </c>
      <c r="IH812" s="12" t="s">
        <v>320</v>
      </c>
      <c r="II812" s="12" t="s">
        <v>319</v>
      </c>
      <c r="IJ812" s="12" t="str">
        <f t="shared" si="517"/>
        <v>3. Responsive</v>
      </c>
      <c r="IK812" s="12">
        <f t="shared" si="518"/>
        <v>3</v>
      </c>
      <c r="IL812" s="12" t="s">
        <v>336</v>
      </c>
      <c r="IM812" s="12" t="s">
        <v>320</v>
      </c>
      <c r="IN812" s="12" t="s">
        <v>319</v>
      </c>
      <c r="IO812" s="12" t="s">
        <v>320</v>
      </c>
      <c r="IP812" s="12" t="s">
        <v>319</v>
      </c>
      <c r="IQ812" s="12" t="str">
        <f t="shared" si="519"/>
        <v>1. Tokenistic</v>
      </c>
      <c r="IR812" s="12">
        <f t="shared" si="520"/>
        <v>2</v>
      </c>
      <c r="IS812" s="12" t="s">
        <v>337</v>
      </c>
      <c r="IT812" s="12" t="s">
        <v>320</v>
      </c>
      <c r="IU812" s="12" t="s">
        <v>320</v>
      </c>
      <c r="IV812" s="12" t="s">
        <v>320</v>
      </c>
      <c r="IW812" s="11" t="str">
        <f t="shared" si="521"/>
        <v>2. Sensitive</v>
      </c>
      <c r="IX812" s="12">
        <f t="shared" si="522"/>
        <v>3</v>
      </c>
      <c r="IY812" s="12" t="s">
        <v>419</v>
      </c>
      <c r="IZ812" s="12" t="s">
        <v>432</v>
      </c>
      <c r="JA812" s="12">
        <v>9</v>
      </c>
      <c r="JB812" s="12" t="s">
        <v>831</v>
      </c>
      <c r="JC812" s="12" t="s">
        <v>687</v>
      </c>
      <c r="JD812" s="12" t="s">
        <v>832</v>
      </c>
      <c r="JE812" s="12" t="s">
        <v>420</v>
      </c>
      <c r="JF812" s="12"/>
      <c r="JG812" s="12" t="s">
        <v>12617</v>
      </c>
      <c r="JH812" s="12" t="s">
        <v>12618</v>
      </c>
      <c r="JI812" s="12" t="s">
        <v>12619</v>
      </c>
      <c r="JJ812" s="12" t="s">
        <v>12620</v>
      </c>
      <c r="JK812" s="12" t="s">
        <v>12621</v>
      </c>
      <c r="JL812" s="12" t="s">
        <v>12622</v>
      </c>
      <c r="JM812" s="12" t="s">
        <v>12623</v>
      </c>
      <c r="JN812" s="12" t="s">
        <v>12624</v>
      </c>
      <c r="JO812" s="12"/>
      <c r="JP812" s="15">
        <f t="shared" si="523"/>
        <v>3407</v>
      </c>
      <c r="JQ812" s="15">
        <f t="shared" si="524"/>
        <v>5344</v>
      </c>
      <c r="JR812" s="279">
        <f t="shared" si="525"/>
        <v>1.5685353683592604</v>
      </c>
      <c r="JS812" s="17">
        <f t="shared" si="526"/>
        <v>0.50895215732315824</v>
      </c>
      <c r="JT812" s="18">
        <f t="shared" si="527"/>
        <v>0.49307634730538924</v>
      </c>
      <c r="JU812" s="280">
        <f t="shared" si="528"/>
        <v>1734</v>
      </c>
      <c r="JV812" s="280">
        <f t="shared" si="529"/>
        <v>2635</v>
      </c>
      <c r="JW812" s="319">
        <f t="shared" si="530"/>
        <v>1</v>
      </c>
      <c r="JX812" s="15">
        <f t="shared" si="531"/>
        <v>3407</v>
      </c>
      <c r="JY812" s="15">
        <f t="shared" si="532"/>
        <v>5344</v>
      </c>
      <c r="JZ812" s="19">
        <f t="shared" si="533"/>
        <v>1.5685353683592604</v>
      </c>
      <c r="KA812" s="52">
        <f t="shared" si="534"/>
        <v>1</v>
      </c>
      <c r="KB812" s="15">
        <f t="shared" si="535"/>
        <v>3407</v>
      </c>
      <c r="KC812" s="15">
        <f t="shared" si="536"/>
        <v>5344</v>
      </c>
      <c r="KD812" s="20">
        <f t="shared" si="537"/>
        <v>1.5685353683592604</v>
      </c>
      <c r="KE812" s="52" t="str">
        <f t="shared" si="538"/>
        <v/>
      </c>
      <c r="KF812" s="15">
        <f t="shared" si="539"/>
        <v>0</v>
      </c>
      <c r="KG812" s="15">
        <f t="shared" si="540"/>
        <v>0</v>
      </c>
      <c r="KH812" s="21" t="str">
        <f t="shared" si="541"/>
        <v/>
      </c>
      <c r="KI812" s="52" t="str">
        <f t="shared" si="542"/>
        <v/>
      </c>
      <c r="KJ812" s="15">
        <f t="shared" si="543"/>
        <v>0</v>
      </c>
      <c r="KK812" s="15">
        <f t="shared" si="544"/>
        <v>0</v>
      </c>
      <c r="KL812" s="19" t="str">
        <f t="shared" si="545"/>
        <v/>
      </c>
      <c r="KM812" s="52" t="str">
        <f t="shared" si="546"/>
        <v/>
      </c>
      <c r="KN812" s="22">
        <f t="shared" si="547"/>
        <v>0</v>
      </c>
      <c r="KO812" s="22">
        <f t="shared" si="548"/>
        <v>0</v>
      </c>
      <c r="KP812" s="19" t="str">
        <f t="shared" si="549"/>
        <v/>
      </c>
      <c r="KQ812" s="11" t="str">
        <f t="shared" si="550"/>
        <v>3. Responsive</v>
      </c>
      <c r="KR812" s="11" t="str">
        <f t="shared" si="551"/>
        <v>1. Tokenistic</v>
      </c>
      <c r="KS812" s="11" t="str">
        <f t="shared" si="552"/>
        <v>2. Sensitive</v>
      </c>
      <c r="KT812" s="11" t="str">
        <f t="shared" si="553"/>
        <v>It tested new ways for fighting poverty, but did not measure results of innovation</v>
      </c>
      <c r="KU812" s="11" t="str">
        <f t="shared" si="554"/>
        <v>Moderate advocacy</v>
      </c>
      <c r="KV812" s="11">
        <f t="shared" si="555"/>
        <v>0</v>
      </c>
      <c r="KW812" s="11" t="str">
        <f t="shared" si="556"/>
        <v>Timor-Leste - Response to El Nino Project</v>
      </c>
      <c r="KX812" s="11" t="str">
        <f t="shared" si="557"/>
        <v>Response to El Nino Project</v>
      </c>
      <c r="KY812" s="11" t="str">
        <f t="shared" si="558"/>
        <v>Timor-Leste</v>
      </c>
      <c r="KZ812" s="287">
        <v>813</v>
      </c>
    </row>
    <row r="813" spans="1:312" x14ac:dyDescent="0.3">
      <c r="A813" s="12" t="s">
        <v>12547</v>
      </c>
      <c r="B813" s="12" t="s">
        <v>306</v>
      </c>
      <c r="C813" s="12">
        <v>3682</v>
      </c>
      <c r="D813" s="12" t="s">
        <v>12625</v>
      </c>
      <c r="E813" s="277" t="str">
        <f t="shared" si="516"/>
        <v>Timor-Leste</v>
      </c>
      <c r="F813" s="12" t="s">
        <v>12626</v>
      </c>
      <c r="G813" s="12" t="s">
        <v>309</v>
      </c>
      <c r="H813" s="12" t="s">
        <v>310</v>
      </c>
      <c r="I813" s="12" t="s">
        <v>311</v>
      </c>
      <c r="J813" s="281" t="s">
        <v>14565</v>
      </c>
      <c r="K813" s="12"/>
      <c r="L813" s="12"/>
      <c r="M813" s="12"/>
      <c r="N813" s="12"/>
      <c r="O813" s="12"/>
      <c r="P813" s="12"/>
      <c r="Q813" s="12"/>
      <c r="R813" s="12"/>
      <c r="S813" s="12"/>
      <c r="T813" s="12"/>
      <c r="U813" s="12"/>
      <c r="V813" s="12"/>
      <c r="W813" s="12"/>
      <c r="X813" s="12"/>
      <c r="Y813" s="12"/>
      <c r="Z813" s="12"/>
      <c r="AA813" s="12"/>
      <c r="AB813" s="12"/>
      <c r="AC813" s="12"/>
      <c r="AD813" s="12"/>
      <c r="BD813" s="13">
        <v>41456</v>
      </c>
      <c r="BE813" s="13">
        <v>42916</v>
      </c>
      <c r="BF813" s="12"/>
      <c r="BG813" s="12" t="s">
        <v>490</v>
      </c>
      <c r="BH813" s="14">
        <v>2259561</v>
      </c>
      <c r="BI813" s="12" t="s">
        <v>12589</v>
      </c>
      <c r="BJ813" s="12" t="s">
        <v>12627</v>
      </c>
      <c r="BK813" s="12" t="s">
        <v>12591</v>
      </c>
      <c r="BL813" s="12"/>
      <c r="BM813" s="12"/>
      <c r="BN813" s="12"/>
      <c r="BO813" s="12" t="s">
        <v>319</v>
      </c>
      <c r="BP813" s="12" t="s">
        <v>320</v>
      </c>
      <c r="BQ813" s="12" t="s">
        <v>319</v>
      </c>
      <c r="BR813" s="12" t="s">
        <v>12628</v>
      </c>
      <c r="BS813" s="12" t="s">
        <v>357</v>
      </c>
      <c r="BT813" s="12" t="s">
        <v>12629</v>
      </c>
      <c r="BU813" s="12" t="s">
        <v>12630</v>
      </c>
      <c r="BV813" s="14">
        <v>2097</v>
      </c>
      <c r="BW813" s="14">
        <v>1478</v>
      </c>
      <c r="BX813" s="14">
        <v>3575</v>
      </c>
      <c r="BY813" s="14">
        <v>2539</v>
      </c>
      <c r="BZ813" s="14">
        <v>4140</v>
      </c>
      <c r="CA813" s="14">
        <v>6679</v>
      </c>
      <c r="CB813" s="12" t="s">
        <v>12631</v>
      </c>
      <c r="CD813" s="14"/>
      <c r="CE813" s="14"/>
      <c r="CF813" s="14"/>
      <c r="CG813" s="14"/>
      <c r="CH813" s="14"/>
      <c r="CI813" s="14"/>
      <c r="CJ813" s="12"/>
      <c r="CK813" s="14"/>
      <c r="CL813" s="16"/>
      <c r="CM813" s="14"/>
      <c r="CN813" s="12"/>
      <c r="CO813" s="14"/>
      <c r="CP813" s="16"/>
      <c r="CQ813" s="14"/>
      <c r="CR813" s="12"/>
      <c r="CS813" s="14"/>
      <c r="CT813" s="16"/>
      <c r="CU813" s="14"/>
      <c r="CV813" s="12"/>
      <c r="CW813" s="14"/>
      <c r="CX813" s="16"/>
      <c r="CY813" s="14"/>
      <c r="CZ813" s="12"/>
      <c r="DA813" s="14"/>
      <c r="DB813" s="16"/>
      <c r="DC813" s="14"/>
      <c r="DD813" s="12"/>
      <c r="DE813" s="14"/>
      <c r="DF813" s="16"/>
      <c r="DG813" s="14"/>
      <c r="DH813" s="12"/>
      <c r="DI813" s="14"/>
      <c r="DJ813" s="16"/>
      <c r="DK813" s="14"/>
      <c r="DL813" s="12"/>
      <c r="DM813" s="14"/>
      <c r="DN813" s="16"/>
      <c r="DO813" s="14"/>
      <c r="DP813" s="12"/>
      <c r="DQ813" s="14"/>
      <c r="DR813" s="16"/>
      <c r="DS813" s="14"/>
      <c r="DT813" s="12"/>
      <c r="DU813" s="14"/>
      <c r="DV813" s="16"/>
      <c r="DW813" s="14"/>
      <c r="DX813" s="12"/>
      <c r="DY813" s="14"/>
      <c r="DZ813" s="16"/>
      <c r="EA813" s="14"/>
      <c r="EB813" s="12"/>
      <c r="EC813" s="14"/>
      <c r="ED813" s="16"/>
      <c r="EE813" s="14"/>
      <c r="EF813" s="12"/>
      <c r="EG813" s="12"/>
      <c r="EH813" s="14"/>
      <c r="EI813" s="16"/>
      <c r="EJ813" s="14"/>
      <c r="EK813" s="14">
        <v>2097</v>
      </c>
      <c r="EL813" s="14">
        <v>1478</v>
      </c>
      <c r="EM813" s="14">
        <v>3575</v>
      </c>
      <c r="EN813" s="38"/>
      <c r="EO813" s="38"/>
      <c r="EP813" s="38"/>
      <c r="EQ813" s="12" t="s">
        <v>319</v>
      </c>
      <c r="ER813" s="14"/>
      <c r="ES813" s="16"/>
      <c r="ET813" s="14"/>
      <c r="EU813" s="11" t="s">
        <v>319</v>
      </c>
      <c r="EV813" s="14"/>
      <c r="EW813" s="16"/>
      <c r="EX813" s="14"/>
      <c r="EY813" s="12" t="s">
        <v>319</v>
      </c>
      <c r="EZ813" s="14"/>
      <c r="FA813" s="16"/>
      <c r="FB813" s="14"/>
      <c r="FC813" s="12" t="s">
        <v>319</v>
      </c>
      <c r="FD813" s="14"/>
      <c r="FE813" s="16"/>
      <c r="FF813" s="14"/>
      <c r="FG813" s="12" t="s">
        <v>319</v>
      </c>
      <c r="FH813" s="14"/>
      <c r="FI813" s="16"/>
      <c r="FJ813" s="14"/>
      <c r="FK813" s="12" t="s">
        <v>319</v>
      </c>
      <c r="FL813" s="14"/>
      <c r="FM813" s="16"/>
      <c r="FN813" s="14"/>
      <c r="FO813" s="12" t="s">
        <v>320</v>
      </c>
      <c r="FP813" s="14">
        <v>3575</v>
      </c>
      <c r="FQ813" s="16">
        <v>0.58657342657342604</v>
      </c>
      <c r="FR813" s="14">
        <v>6679</v>
      </c>
      <c r="FS813" s="12" t="s">
        <v>319</v>
      </c>
      <c r="FT813" s="14"/>
      <c r="FU813" s="16"/>
      <c r="FV813" s="14"/>
      <c r="FW813" s="12" t="s">
        <v>319</v>
      </c>
      <c r="FX813" s="14"/>
      <c r="FY813" s="16"/>
      <c r="FZ813" s="14"/>
      <c r="GA813" s="12" t="s">
        <v>319</v>
      </c>
      <c r="GB813" s="14"/>
      <c r="GC813" s="16"/>
      <c r="GD813" s="14"/>
      <c r="GE813" s="12" t="s">
        <v>319</v>
      </c>
      <c r="GF813" s="14"/>
      <c r="GG813" s="16"/>
      <c r="GH813" s="14"/>
      <c r="GI813" s="12" t="s">
        <v>319</v>
      </c>
      <c r="GJ813" s="14"/>
      <c r="GK813" s="16"/>
      <c r="GL813" s="14"/>
      <c r="GM813" s="12" t="s">
        <v>319</v>
      </c>
      <c r="GN813" s="14"/>
      <c r="GO813" s="16"/>
      <c r="GP813" s="14"/>
      <c r="GQ813" s="12" t="s">
        <v>320</v>
      </c>
      <c r="GR813" s="14">
        <v>3575</v>
      </c>
      <c r="GS813" s="16">
        <v>0.58657342657342604</v>
      </c>
      <c r="GT813" s="14">
        <v>6679</v>
      </c>
      <c r="GU813" s="12" t="s">
        <v>319</v>
      </c>
      <c r="GV813" s="14"/>
      <c r="GW813" s="16"/>
      <c r="GX813" s="14"/>
      <c r="GY813" s="12" t="s">
        <v>319</v>
      </c>
      <c r="GZ813" s="14"/>
      <c r="HA813" s="16"/>
      <c r="HB813" s="14"/>
      <c r="HC813" s="12"/>
      <c r="HD813" s="12"/>
      <c r="HE813" s="14"/>
      <c r="HF813" s="16"/>
      <c r="HG813" s="14"/>
      <c r="HH813" s="12" t="s">
        <v>320</v>
      </c>
      <c r="HI813" s="12" t="s">
        <v>431</v>
      </c>
      <c r="HJ813" s="12">
        <v>2017</v>
      </c>
      <c r="HK813" s="12" t="s">
        <v>320</v>
      </c>
      <c r="HL813" s="12" t="s">
        <v>319</v>
      </c>
      <c r="HM813" s="12"/>
      <c r="HN813" s="12"/>
      <c r="HO813" s="12"/>
      <c r="HP813" s="12" t="s">
        <v>330</v>
      </c>
      <c r="HQ813" s="12" t="s">
        <v>319</v>
      </c>
      <c r="HR813" s="12" t="s">
        <v>319</v>
      </c>
      <c r="HS813" s="12" t="s">
        <v>320</v>
      </c>
      <c r="HT813" s="12" t="s">
        <v>319</v>
      </c>
      <c r="HU813" s="12" t="s">
        <v>320</v>
      </c>
      <c r="HV813" s="12" t="s">
        <v>319</v>
      </c>
      <c r="HW813" s="12" t="s">
        <v>319</v>
      </c>
      <c r="HX813" s="12"/>
      <c r="HY813" s="12"/>
      <c r="HZ813" s="12" t="s">
        <v>363</v>
      </c>
      <c r="IA813" s="12"/>
      <c r="IB813" s="12" t="s">
        <v>333</v>
      </c>
      <c r="IC813" s="12"/>
      <c r="ID813" s="12" t="s">
        <v>334</v>
      </c>
      <c r="IE813" s="12" t="s">
        <v>478</v>
      </c>
      <c r="IF813" s="12" t="s">
        <v>320</v>
      </c>
      <c r="IG813" s="12" t="s">
        <v>320</v>
      </c>
      <c r="IH813" s="12" t="s">
        <v>320</v>
      </c>
      <c r="II813" s="12" t="s">
        <v>319</v>
      </c>
      <c r="IJ813" s="12" t="str">
        <f t="shared" si="517"/>
        <v>3. Responsive</v>
      </c>
      <c r="IK813" s="12">
        <f t="shared" si="518"/>
        <v>3</v>
      </c>
      <c r="IL813" s="12" t="s">
        <v>336</v>
      </c>
      <c r="IM813" s="12" t="s">
        <v>320</v>
      </c>
      <c r="IN813" s="12" t="s">
        <v>320</v>
      </c>
      <c r="IO813" s="12" t="s">
        <v>320</v>
      </c>
      <c r="IP813" s="12" t="s">
        <v>319</v>
      </c>
      <c r="IQ813" s="12" t="str">
        <f t="shared" si="519"/>
        <v>2. Accommodating</v>
      </c>
      <c r="IR813" s="12">
        <f t="shared" si="520"/>
        <v>3</v>
      </c>
      <c r="IS813" s="12" t="s">
        <v>337</v>
      </c>
      <c r="IT813" s="12" t="s">
        <v>319</v>
      </c>
      <c r="IU813" s="12" t="s">
        <v>320</v>
      </c>
      <c r="IV813" s="12" t="s">
        <v>320</v>
      </c>
      <c r="IW813" s="11" t="str">
        <f t="shared" si="521"/>
        <v>1. Neutral</v>
      </c>
      <c r="IX813" s="12">
        <f t="shared" si="522"/>
        <v>2</v>
      </c>
      <c r="IY813" s="12" t="s">
        <v>419</v>
      </c>
      <c r="IZ813" s="12" t="s">
        <v>432</v>
      </c>
      <c r="JA813" s="12">
        <v>2</v>
      </c>
      <c r="JB813" s="12" t="s">
        <v>433</v>
      </c>
      <c r="JC813" s="12" t="s">
        <v>687</v>
      </c>
      <c r="JD813" s="12"/>
      <c r="JE813" s="12" t="s">
        <v>340</v>
      </c>
      <c r="JF813" s="12" t="s">
        <v>12632</v>
      </c>
      <c r="JG813" s="12" t="s">
        <v>12633</v>
      </c>
      <c r="JH813" s="12" t="s">
        <v>12634</v>
      </c>
      <c r="JI813" s="12" t="s">
        <v>12635</v>
      </c>
      <c r="JJ813" s="12"/>
      <c r="JK813" s="12" t="s">
        <v>12636</v>
      </c>
      <c r="JL813" s="12" t="s">
        <v>12637</v>
      </c>
      <c r="JM813" s="12"/>
      <c r="JN813" s="31" t="s">
        <v>14772</v>
      </c>
      <c r="JO813" s="12"/>
      <c r="JP813" s="15">
        <f t="shared" si="523"/>
        <v>3575</v>
      </c>
      <c r="JQ813" s="15">
        <f t="shared" si="524"/>
        <v>0</v>
      </c>
      <c r="JR813" s="279">
        <f t="shared" si="525"/>
        <v>0</v>
      </c>
      <c r="JS813" s="17">
        <f t="shared" si="526"/>
        <v>0.58657342657342659</v>
      </c>
      <c r="JT813" s="18" t="str">
        <f t="shared" si="527"/>
        <v/>
      </c>
      <c r="JU813" s="280">
        <f t="shared" si="528"/>
        <v>2097</v>
      </c>
      <c r="JV813" s="280">
        <f t="shared" si="529"/>
        <v>0</v>
      </c>
      <c r="JW813" s="319" t="str">
        <f t="shared" si="530"/>
        <v/>
      </c>
      <c r="JX813" s="15">
        <f t="shared" si="531"/>
        <v>0</v>
      </c>
      <c r="JY813" s="15">
        <f t="shared" si="532"/>
        <v>0</v>
      </c>
      <c r="JZ813" s="19" t="str">
        <f t="shared" si="533"/>
        <v/>
      </c>
      <c r="KA813" s="52">
        <f t="shared" si="534"/>
        <v>1</v>
      </c>
      <c r="KB813" s="15">
        <f t="shared" si="535"/>
        <v>3575</v>
      </c>
      <c r="KC813" s="15">
        <f t="shared" si="536"/>
        <v>6679</v>
      </c>
      <c r="KD813" s="20">
        <f t="shared" si="537"/>
        <v>1.8682517482517482</v>
      </c>
      <c r="KE813" s="52">
        <f t="shared" si="538"/>
        <v>1</v>
      </c>
      <c r="KF813" s="15">
        <f t="shared" si="539"/>
        <v>3575</v>
      </c>
      <c r="KG813" s="15">
        <f t="shared" si="540"/>
        <v>6679</v>
      </c>
      <c r="KH813" s="21">
        <f t="shared" si="541"/>
        <v>1.8682517482517482</v>
      </c>
      <c r="KI813" s="52" t="str">
        <f t="shared" si="542"/>
        <v/>
      </c>
      <c r="KJ813" s="15">
        <f t="shared" si="543"/>
        <v>0</v>
      </c>
      <c r="KK813" s="15">
        <f t="shared" si="544"/>
        <v>0</v>
      </c>
      <c r="KL813" s="19" t="str">
        <f t="shared" si="545"/>
        <v/>
      </c>
      <c r="KM813" s="52" t="str">
        <f t="shared" si="546"/>
        <v/>
      </c>
      <c r="KN813" s="22">
        <f t="shared" si="547"/>
        <v>0</v>
      </c>
      <c r="KO813" s="22">
        <f t="shared" si="548"/>
        <v>0</v>
      </c>
      <c r="KP813" s="19" t="str">
        <f t="shared" si="549"/>
        <v/>
      </c>
      <c r="KQ813" s="11" t="str">
        <f t="shared" si="550"/>
        <v>3. Responsive</v>
      </c>
      <c r="KR813" s="11" t="str">
        <f t="shared" si="551"/>
        <v>2. Accommodating</v>
      </c>
      <c r="KS813" s="11" t="str">
        <f t="shared" si="552"/>
        <v>1. Neutral</v>
      </c>
      <c r="KT813" s="11" t="str">
        <f t="shared" si="553"/>
        <v>It did not develop any specific innovation</v>
      </c>
      <c r="KU813" s="11" t="str">
        <f t="shared" si="554"/>
        <v>Moderate advocacy</v>
      </c>
      <c r="KV813" s="11" t="str">
        <f t="shared" si="555"/>
        <v>It did not take tested solutions to scale</v>
      </c>
      <c r="KW813" s="11" t="str">
        <f t="shared" si="556"/>
        <v>Timor-Leste - Safe Motherhood Project (SMP)</v>
      </c>
      <c r="KX813" s="11" t="str">
        <f t="shared" si="557"/>
        <v>Safe Motherhood Project (SMP)</v>
      </c>
      <c r="KY813" s="11" t="str">
        <f t="shared" si="558"/>
        <v>Timor-Leste</v>
      </c>
      <c r="KZ813" s="12">
        <v>814</v>
      </c>
    </row>
    <row r="814" spans="1:312" x14ac:dyDescent="0.3">
      <c r="A814" s="12" t="s">
        <v>12654</v>
      </c>
      <c r="B814" s="12" t="s">
        <v>602</v>
      </c>
      <c r="C814" s="12">
        <v>1111</v>
      </c>
      <c r="D814" s="12" t="s">
        <v>12655</v>
      </c>
      <c r="E814" s="277" t="str">
        <f t="shared" si="516"/>
        <v>Turkey</v>
      </c>
      <c r="F814" s="12"/>
      <c r="G814" s="12" t="s">
        <v>488</v>
      </c>
      <c r="H814" s="12" t="s">
        <v>489</v>
      </c>
      <c r="I814" s="12" t="s">
        <v>2595</v>
      </c>
      <c r="J814" s="281" t="s">
        <v>14601</v>
      </c>
      <c r="K814" s="12"/>
      <c r="L814" s="12"/>
      <c r="M814" s="12"/>
      <c r="N814" s="12"/>
      <c r="O814" s="12"/>
      <c r="P814" s="12"/>
      <c r="Q814" s="12"/>
      <c r="R814" s="12"/>
      <c r="S814" s="12"/>
      <c r="T814" s="12"/>
      <c r="U814" s="12"/>
      <c r="V814" s="12"/>
      <c r="W814" s="12"/>
      <c r="X814" s="12"/>
      <c r="Y814" s="12"/>
      <c r="Z814" s="12"/>
      <c r="AA814" s="12"/>
      <c r="AB814" s="12"/>
      <c r="AC814" s="12"/>
      <c r="AD814" s="12"/>
      <c r="BD814" s="13">
        <v>42248</v>
      </c>
      <c r="BE814" s="13">
        <v>42766</v>
      </c>
      <c r="BF814" s="12"/>
      <c r="BG814" s="12" t="s">
        <v>312</v>
      </c>
      <c r="BH814" s="14">
        <v>414000</v>
      </c>
      <c r="BI814" s="12" t="s">
        <v>12656</v>
      </c>
      <c r="BJ814" s="12" t="s">
        <v>444</v>
      </c>
      <c r="BK814" s="12" t="s">
        <v>12657</v>
      </c>
      <c r="BL814" s="12"/>
      <c r="BM814" s="12"/>
      <c r="BN814" s="12"/>
      <c r="BO814" s="12" t="s">
        <v>320</v>
      </c>
      <c r="BP814" s="12" t="s">
        <v>320</v>
      </c>
      <c r="BQ814" s="12" t="s">
        <v>320</v>
      </c>
      <c r="BR814" s="12" t="s">
        <v>12658</v>
      </c>
      <c r="BS814" s="12" t="s">
        <v>357</v>
      </c>
      <c r="BT814" s="12" t="s">
        <v>12659</v>
      </c>
      <c r="BU814" s="12" t="s">
        <v>12660</v>
      </c>
      <c r="BV814" s="14">
        <v>313</v>
      </c>
      <c r="BW814" s="14">
        <v>318</v>
      </c>
      <c r="BX814" s="14">
        <v>631</v>
      </c>
      <c r="BY814" s="14"/>
      <c r="BZ814" s="14"/>
      <c r="CA814" s="14"/>
      <c r="CB814" s="31" t="s">
        <v>14773</v>
      </c>
      <c r="CD814" s="14">
        <v>313</v>
      </c>
      <c r="CE814" s="14">
        <v>318</v>
      </c>
      <c r="CF814" s="14">
        <v>631</v>
      </c>
      <c r="CG814" s="14"/>
      <c r="CH814" s="14"/>
      <c r="CI814" s="14"/>
      <c r="CJ814" s="12"/>
      <c r="CK814" s="14"/>
      <c r="CL814" s="16"/>
      <c r="CM814" s="14"/>
      <c r="CN814" s="12"/>
      <c r="CO814" s="14"/>
      <c r="CP814" s="16"/>
      <c r="CQ814" s="14"/>
      <c r="CR814" s="12"/>
      <c r="CS814" s="14"/>
      <c r="CT814" s="16"/>
      <c r="CU814" s="14"/>
      <c r="CV814" s="12"/>
      <c r="CW814" s="14"/>
      <c r="CX814" s="16"/>
      <c r="CY814" s="14"/>
      <c r="CZ814" s="12"/>
      <c r="DA814" s="14"/>
      <c r="DB814" s="16"/>
      <c r="DC814" s="14"/>
      <c r="DD814" s="12"/>
      <c r="DE814" s="14"/>
      <c r="DF814" s="16"/>
      <c r="DG814" s="14"/>
      <c r="DH814" s="12"/>
      <c r="DI814" s="14"/>
      <c r="DJ814" s="16"/>
      <c r="DK814" s="14"/>
      <c r="DL814" s="11" t="s">
        <v>320</v>
      </c>
      <c r="DM814" s="14">
        <v>631</v>
      </c>
      <c r="DN814" s="16">
        <v>0.5</v>
      </c>
      <c r="DO814" s="14"/>
      <c r="DP814" s="12"/>
      <c r="DQ814" s="14"/>
      <c r="DR814" s="16"/>
      <c r="DS814" s="14"/>
      <c r="DT814" s="12"/>
      <c r="DU814" s="14"/>
      <c r="DV814" s="16"/>
      <c r="DW814" s="14"/>
      <c r="DX814" s="12"/>
      <c r="DY814" s="14"/>
      <c r="DZ814" s="16"/>
      <c r="EA814" s="14"/>
      <c r="EB814" s="12"/>
      <c r="EC814" s="14"/>
      <c r="ED814" s="16"/>
      <c r="EE814" s="14"/>
      <c r="EF814" s="12"/>
      <c r="EG814" s="12"/>
      <c r="EH814" s="14"/>
      <c r="EI814" s="16"/>
      <c r="EJ814" s="14"/>
      <c r="EK814" s="14"/>
      <c r="EL814" s="14"/>
      <c r="EM814" s="14"/>
      <c r="EN814" s="14"/>
      <c r="EO814" s="14"/>
      <c r="EP814" s="14"/>
      <c r="EQ814" s="12"/>
      <c r="ER814" s="14"/>
      <c r="ES814" s="16"/>
      <c r="ET814" s="14"/>
      <c r="EU814" s="12"/>
      <c r="EV814" s="14"/>
      <c r="EW814" s="16"/>
      <c r="EX814" s="14"/>
      <c r="EY814" s="12"/>
      <c r="EZ814" s="14"/>
      <c r="FA814" s="16"/>
      <c r="FB814" s="14"/>
      <c r="FC814" s="12"/>
      <c r="FD814" s="14"/>
      <c r="FE814" s="16"/>
      <c r="FF814" s="14"/>
      <c r="FG814" s="12"/>
      <c r="FH814" s="14"/>
      <c r="FI814" s="16"/>
      <c r="FJ814" s="14"/>
      <c r="FK814" s="12"/>
      <c r="FL814" s="14"/>
      <c r="FM814" s="16"/>
      <c r="FN814" s="14"/>
      <c r="FO814" s="12"/>
      <c r="FP814" s="14"/>
      <c r="FQ814" s="16"/>
      <c r="FR814" s="14"/>
      <c r="FS814" s="12"/>
      <c r="FT814" s="14"/>
      <c r="FU814" s="16"/>
      <c r="FV814" s="14"/>
      <c r="FW814" s="12"/>
      <c r="FX814" s="14"/>
      <c r="FY814" s="16"/>
      <c r="FZ814" s="14"/>
      <c r="GA814" s="12"/>
      <c r="GB814" s="14"/>
      <c r="GC814" s="16"/>
      <c r="GD814" s="14"/>
      <c r="GE814" s="12"/>
      <c r="GF814" s="14"/>
      <c r="GG814" s="16"/>
      <c r="GH814" s="14"/>
      <c r="GI814" s="12"/>
      <c r="GJ814" s="14"/>
      <c r="GK814" s="16"/>
      <c r="GL814" s="14"/>
      <c r="GM814" s="12"/>
      <c r="GN814" s="14"/>
      <c r="GO814" s="16"/>
      <c r="GP814" s="14"/>
      <c r="GQ814" s="12"/>
      <c r="GR814" s="14"/>
      <c r="GS814" s="16"/>
      <c r="GT814" s="14"/>
      <c r="GU814" s="12"/>
      <c r="GV814" s="14"/>
      <c r="GW814" s="16"/>
      <c r="GX814" s="14"/>
      <c r="GY814" s="12"/>
      <c r="GZ814" s="14"/>
      <c r="HA814" s="16"/>
      <c r="HB814" s="14"/>
      <c r="HC814" s="12"/>
      <c r="HD814" s="12"/>
      <c r="HE814" s="14"/>
      <c r="HF814" s="16"/>
      <c r="HG814" s="14"/>
      <c r="HH814" s="12" t="s">
        <v>320</v>
      </c>
      <c r="HI814" s="12" t="s">
        <v>544</v>
      </c>
      <c r="HJ814" s="12">
        <v>2017</v>
      </c>
      <c r="HK814" s="12" t="s">
        <v>320</v>
      </c>
      <c r="HL814" s="12" t="s">
        <v>319</v>
      </c>
      <c r="HM814" s="12"/>
      <c r="HN814" s="12"/>
      <c r="HO814" s="12"/>
      <c r="HP814" s="12" t="s">
        <v>330</v>
      </c>
      <c r="HQ814" s="12" t="s">
        <v>319</v>
      </c>
      <c r="HR814" s="12" t="s">
        <v>319</v>
      </c>
      <c r="HS814" s="12" t="s">
        <v>320</v>
      </c>
      <c r="HT814" s="12" t="s">
        <v>319</v>
      </c>
      <c r="HU814" s="12" t="s">
        <v>320</v>
      </c>
      <c r="HV814" s="12" t="s">
        <v>320</v>
      </c>
      <c r="HW814" s="12" t="s">
        <v>320</v>
      </c>
      <c r="HX814" s="12" t="s">
        <v>319</v>
      </c>
      <c r="HY814" s="12"/>
      <c r="HZ814" s="12" t="s">
        <v>394</v>
      </c>
      <c r="IA814" s="12"/>
      <c r="IB814" s="12" t="s">
        <v>333</v>
      </c>
      <c r="IC814" s="12"/>
      <c r="ID814" s="12" t="s">
        <v>477</v>
      </c>
      <c r="IE814" s="12" t="s">
        <v>478</v>
      </c>
      <c r="IF814" s="12"/>
      <c r="IG814" s="12"/>
      <c r="IH814" s="12"/>
      <c r="II814" s="12"/>
      <c r="IJ814" s="12" t="str">
        <f t="shared" si="517"/>
        <v>No marker score</v>
      </c>
      <c r="IK814" s="12">
        <f t="shared" si="518"/>
        <v>0</v>
      </c>
      <c r="IL814" s="12"/>
      <c r="IM814" s="12"/>
      <c r="IN814" s="12"/>
      <c r="IO814" s="12"/>
      <c r="IP814" s="12"/>
      <c r="IQ814" s="12" t="str">
        <f t="shared" si="519"/>
        <v>No marker score</v>
      </c>
      <c r="IR814" s="12">
        <f t="shared" si="520"/>
        <v>0</v>
      </c>
      <c r="IS814" s="12"/>
      <c r="IT814" s="12"/>
      <c r="IU814" s="12"/>
      <c r="IV814" s="12"/>
      <c r="IW814" s="11" t="str">
        <f t="shared" si="521"/>
        <v>No marker score</v>
      </c>
      <c r="IX814" s="12">
        <f t="shared" si="522"/>
        <v>0</v>
      </c>
      <c r="IY814" s="12" t="s">
        <v>419</v>
      </c>
      <c r="IZ814" s="12" t="s">
        <v>457</v>
      </c>
      <c r="JA814" s="12">
        <v>3</v>
      </c>
      <c r="JB814" s="12" t="s">
        <v>433</v>
      </c>
      <c r="JC814" s="12" t="s">
        <v>724</v>
      </c>
      <c r="JD814" s="12" t="s">
        <v>724</v>
      </c>
      <c r="JE814" s="12" t="s">
        <v>365</v>
      </c>
      <c r="JF814" s="12"/>
      <c r="JG814" s="12"/>
      <c r="JH814" s="12"/>
      <c r="JI814" s="12"/>
      <c r="JJ814" s="12"/>
      <c r="JK814" s="12" t="s">
        <v>12661</v>
      </c>
      <c r="JL814" s="12" t="s">
        <v>12662</v>
      </c>
      <c r="JM814" s="12" t="s">
        <v>12663</v>
      </c>
      <c r="JN814" s="31" t="s">
        <v>14773</v>
      </c>
      <c r="JO814" s="12"/>
      <c r="JP814" s="15">
        <f t="shared" si="523"/>
        <v>631</v>
      </c>
      <c r="JQ814" s="15">
        <f t="shared" si="524"/>
        <v>0</v>
      </c>
      <c r="JR814" s="279">
        <f t="shared" si="525"/>
        <v>0</v>
      </c>
      <c r="JS814" s="17">
        <f t="shared" si="526"/>
        <v>0.49603803486529319</v>
      </c>
      <c r="JT814" s="18" t="str">
        <f t="shared" si="527"/>
        <v/>
      </c>
      <c r="JU814" s="280">
        <f t="shared" si="528"/>
        <v>313</v>
      </c>
      <c r="JV814" s="280">
        <f t="shared" si="529"/>
        <v>0</v>
      </c>
      <c r="JW814" s="319">
        <f t="shared" si="530"/>
        <v>1</v>
      </c>
      <c r="JX814" s="15">
        <f t="shared" si="531"/>
        <v>631</v>
      </c>
      <c r="JY814" s="15">
        <f t="shared" si="532"/>
        <v>0</v>
      </c>
      <c r="JZ814" s="19">
        <f t="shared" si="533"/>
        <v>0</v>
      </c>
      <c r="KA814" s="52">
        <f t="shared" si="534"/>
        <v>1</v>
      </c>
      <c r="KB814" s="15">
        <f t="shared" si="535"/>
        <v>631</v>
      </c>
      <c r="KC814" s="15">
        <f t="shared" si="536"/>
        <v>0</v>
      </c>
      <c r="KD814" s="20">
        <f t="shared" si="537"/>
        <v>0</v>
      </c>
      <c r="KE814" s="52" t="str">
        <f t="shared" si="538"/>
        <v/>
      </c>
      <c r="KF814" s="15">
        <f t="shared" si="539"/>
        <v>0</v>
      </c>
      <c r="KG814" s="15">
        <f t="shared" si="540"/>
        <v>0</v>
      </c>
      <c r="KH814" s="21" t="str">
        <f t="shared" si="541"/>
        <v/>
      </c>
      <c r="KI814" s="52" t="str">
        <f t="shared" si="542"/>
        <v/>
      </c>
      <c r="KJ814" s="15">
        <f t="shared" si="543"/>
        <v>0</v>
      </c>
      <c r="KK814" s="15">
        <f t="shared" si="544"/>
        <v>0</v>
      </c>
      <c r="KL814" s="19" t="str">
        <f t="shared" si="545"/>
        <v/>
      </c>
      <c r="KM814" s="52" t="str">
        <f t="shared" si="546"/>
        <v/>
      </c>
      <c r="KN814" s="22">
        <f t="shared" si="547"/>
        <v>0</v>
      </c>
      <c r="KO814" s="22">
        <f t="shared" si="548"/>
        <v>0</v>
      </c>
      <c r="KP814" s="19" t="str">
        <f t="shared" si="549"/>
        <v/>
      </c>
      <c r="KQ814" s="11" t="str">
        <f t="shared" si="550"/>
        <v>No marker score</v>
      </c>
      <c r="KR814" s="11" t="str">
        <f t="shared" si="551"/>
        <v>No marker score</v>
      </c>
      <c r="KS814" s="11" t="str">
        <f t="shared" si="552"/>
        <v>No marker score</v>
      </c>
      <c r="KT814" s="11" t="str">
        <f t="shared" si="553"/>
        <v>It tested new ways for fighting poverty, but did not measure results of innovation</v>
      </c>
      <c r="KU814" s="11" t="str">
        <f t="shared" si="554"/>
        <v>Moderate advocacy</v>
      </c>
      <c r="KV814" s="11" t="str">
        <f t="shared" si="555"/>
        <v>It did not take tested solutions to scale</v>
      </c>
      <c r="KW814" s="11" t="str">
        <f t="shared" si="556"/>
        <v>Turkey - Improving workforce preparedness of 400 Syrian refugees in Gaziantep within four months.</v>
      </c>
      <c r="KX814" s="11" t="str">
        <f t="shared" si="557"/>
        <v>Improving workforce preparedness of 400 Syrian refugees in Gaziantep within four months.</v>
      </c>
      <c r="KY814" s="11" t="str">
        <f t="shared" si="558"/>
        <v>Turkey</v>
      </c>
      <c r="KZ814" s="12">
        <v>815</v>
      </c>
    </row>
    <row r="815" spans="1:312" x14ac:dyDescent="0.3">
      <c r="A815" s="12" t="s">
        <v>12654</v>
      </c>
      <c r="B815" s="12" t="s">
        <v>602</v>
      </c>
      <c r="C815" s="12">
        <v>3684</v>
      </c>
      <c r="D815" s="12" t="s">
        <v>12664</v>
      </c>
      <c r="E815" s="277" t="str">
        <f t="shared" si="516"/>
        <v>Turkey</v>
      </c>
      <c r="F815" s="12"/>
      <c r="G815" s="12" t="s">
        <v>488</v>
      </c>
      <c r="H815" s="12" t="s">
        <v>489</v>
      </c>
      <c r="I815" s="12"/>
      <c r="J815" s="281" t="s">
        <v>5183</v>
      </c>
      <c r="K815" s="12"/>
      <c r="L815" s="12"/>
      <c r="M815" s="12"/>
      <c r="N815" s="12"/>
      <c r="O815" s="12"/>
      <c r="P815" s="12"/>
      <c r="Q815" s="12"/>
      <c r="R815" s="12"/>
      <c r="S815" s="12"/>
      <c r="T815" s="12"/>
      <c r="U815" s="12"/>
      <c r="V815" s="12"/>
      <c r="W815" s="12"/>
      <c r="X815" s="12"/>
      <c r="Y815" s="12"/>
      <c r="Z815" s="12"/>
      <c r="AA815" s="12"/>
      <c r="AB815" s="12"/>
      <c r="AC815" s="12"/>
      <c r="AD815" s="12"/>
      <c r="BD815" s="13">
        <v>42675</v>
      </c>
      <c r="BE815" s="13">
        <v>42825</v>
      </c>
      <c r="BF815" s="12"/>
      <c r="BG815" s="12" t="s">
        <v>817</v>
      </c>
      <c r="BH815" s="14">
        <v>1374051.11739101</v>
      </c>
      <c r="BI815" s="12" t="s">
        <v>12656</v>
      </c>
      <c r="BJ815" s="12" t="s">
        <v>444</v>
      </c>
      <c r="BK815" s="12" t="s">
        <v>12657</v>
      </c>
      <c r="BL815" s="12" t="s">
        <v>12665</v>
      </c>
      <c r="BM815" s="12" t="s">
        <v>354</v>
      </c>
      <c r="BN815" s="12" t="s">
        <v>12666</v>
      </c>
      <c r="BO815" s="12" t="s">
        <v>320</v>
      </c>
      <c r="BP815" s="12" t="s">
        <v>319</v>
      </c>
      <c r="BQ815" s="12" t="s">
        <v>319</v>
      </c>
      <c r="BR815" s="12" t="s">
        <v>12667</v>
      </c>
      <c r="BS815" s="12" t="s">
        <v>357</v>
      </c>
      <c r="BT815" s="12" t="s">
        <v>12668</v>
      </c>
      <c r="BU815" s="12" t="s">
        <v>12669</v>
      </c>
      <c r="BV815" s="14">
        <v>19535</v>
      </c>
      <c r="BW815" s="14">
        <v>20379</v>
      </c>
      <c r="BX815" s="14">
        <v>39914</v>
      </c>
      <c r="BY815" s="14"/>
      <c r="BZ815" s="14"/>
      <c r="CA815" s="14"/>
      <c r="CB815" s="31" t="s">
        <v>14774</v>
      </c>
      <c r="CD815" s="38">
        <v>19602</v>
      </c>
      <c r="CE815" s="38">
        <v>20444</v>
      </c>
      <c r="CF815" s="38">
        <v>40046</v>
      </c>
      <c r="CG815" s="14"/>
      <c r="CH815" s="14"/>
      <c r="CI815" s="14"/>
      <c r="CJ815" s="12"/>
      <c r="CK815" s="14"/>
      <c r="CL815" s="16"/>
      <c r="CM815" s="14"/>
      <c r="CN815" s="12"/>
      <c r="CO815" s="14"/>
      <c r="CP815" s="16"/>
      <c r="CQ815" s="14"/>
      <c r="CR815" s="12"/>
      <c r="CS815" s="14"/>
      <c r="CT815" s="16"/>
      <c r="CU815" s="14"/>
      <c r="CV815" s="12"/>
      <c r="CW815" s="14"/>
      <c r="CX815" s="16"/>
      <c r="CY815" s="14"/>
      <c r="CZ815" s="12"/>
      <c r="DA815" s="14"/>
      <c r="DB815" s="16"/>
      <c r="DC815" s="14"/>
      <c r="DD815" s="12"/>
      <c r="DE815" s="14"/>
      <c r="DF815" s="16"/>
      <c r="DG815" s="14"/>
      <c r="DH815" s="12"/>
      <c r="DI815" s="14"/>
      <c r="DJ815" s="16"/>
      <c r="DK815" s="14"/>
      <c r="DL815" s="12"/>
      <c r="DM815" s="14"/>
      <c r="DN815" s="16"/>
      <c r="DO815" s="14"/>
      <c r="DP815" s="12" t="s">
        <v>320</v>
      </c>
      <c r="DQ815" s="14">
        <v>39914</v>
      </c>
      <c r="DR815" s="16">
        <v>0.49</v>
      </c>
      <c r="DS815" s="14"/>
      <c r="DT815" s="12"/>
      <c r="DU815" s="14"/>
      <c r="DV815" s="16"/>
      <c r="DW815" s="14"/>
      <c r="DX815" s="12"/>
      <c r="DY815" s="14"/>
      <c r="DZ815" s="16"/>
      <c r="EA815" s="14"/>
      <c r="EB815" s="12"/>
      <c r="EC815" s="14"/>
      <c r="ED815" s="16"/>
      <c r="EE815" s="14"/>
      <c r="EF815" s="12"/>
      <c r="EG815" s="12"/>
      <c r="EH815" s="14"/>
      <c r="EI815" s="16"/>
      <c r="EJ815" s="14"/>
      <c r="EK815" s="14"/>
      <c r="EL815" s="14"/>
      <c r="EM815" s="14"/>
      <c r="EN815" s="14"/>
      <c r="EO815" s="14"/>
      <c r="EP815" s="14"/>
      <c r="EQ815" s="12"/>
      <c r="ER815" s="14"/>
      <c r="ES815" s="16"/>
      <c r="ET815" s="14"/>
      <c r="EU815" s="12"/>
      <c r="EV815" s="14"/>
      <c r="EW815" s="16"/>
      <c r="EX815" s="14"/>
      <c r="EY815" s="12"/>
      <c r="EZ815" s="14"/>
      <c r="FA815" s="16"/>
      <c r="FB815" s="14"/>
      <c r="FC815" s="12"/>
      <c r="FD815" s="14"/>
      <c r="FE815" s="16"/>
      <c r="FF815" s="14"/>
      <c r="FG815" s="12"/>
      <c r="FH815" s="14"/>
      <c r="FI815" s="16"/>
      <c r="FJ815" s="14"/>
      <c r="FK815" s="12"/>
      <c r="FL815" s="14"/>
      <c r="FM815" s="16"/>
      <c r="FN815" s="14"/>
      <c r="FO815" s="12"/>
      <c r="FP815" s="14"/>
      <c r="FQ815" s="16"/>
      <c r="FR815" s="14"/>
      <c r="FS815" s="12"/>
      <c r="FT815" s="14"/>
      <c r="FU815" s="16"/>
      <c r="FV815" s="14"/>
      <c r="FW815" s="12"/>
      <c r="FX815" s="14"/>
      <c r="FY815" s="16"/>
      <c r="FZ815" s="14"/>
      <c r="GA815" s="12"/>
      <c r="GB815" s="14"/>
      <c r="GC815" s="16"/>
      <c r="GD815" s="14"/>
      <c r="GE815" s="12"/>
      <c r="GF815" s="14"/>
      <c r="GG815" s="16"/>
      <c r="GH815" s="14"/>
      <c r="GI815" s="12"/>
      <c r="GJ815" s="14"/>
      <c r="GK815" s="16"/>
      <c r="GL815" s="14"/>
      <c r="GM815" s="12"/>
      <c r="GN815" s="14"/>
      <c r="GO815" s="16"/>
      <c r="GP815" s="14"/>
      <c r="GQ815" s="12"/>
      <c r="GR815" s="14"/>
      <c r="GS815" s="16"/>
      <c r="GT815" s="14"/>
      <c r="GU815" s="12"/>
      <c r="GV815" s="14"/>
      <c r="GW815" s="16"/>
      <c r="GX815" s="14"/>
      <c r="GY815" s="12"/>
      <c r="GZ815" s="14"/>
      <c r="HA815" s="16"/>
      <c r="HB815" s="14"/>
      <c r="HC815" s="12"/>
      <c r="HD815" s="12"/>
      <c r="HE815" s="14"/>
      <c r="HF815" s="16"/>
      <c r="HG815" s="14"/>
      <c r="HH815" s="12" t="s">
        <v>320</v>
      </c>
      <c r="HI815" s="12" t="s">
        <v>416</v>
      </c>
      <c r="HJ815" s="12">
        <v>2017</v>
      </c>
      <c r="HK815" s="12" t="s">
        <v>320</v>
      </c>
      <c r="HL815" s="12" t="s">
        <v>320</v>
      </c>
      <c r="HM815" s="12" t="s">
        <v>1175</v>
      </c>
      <c r="HN815" s="12">
        <v>2018</v>
      </c>
      <c r="HO815" s="12"/>
      <c r="HP815" s="12" t="s">
        <v>330</v>
      </c>
      <c r="HQ815" s="12" t="s">
        <v>319</v>
      </c>
      <c r="HR815" s="12" t="s">
        <v>319</v>
      </c>
      <c r="HS815" s="12" t="s">
        <v>320</v>
      </c>
      <c r="HT815" s="12" t="s">
        <v>319</v>
      </c>
      <c r="HU815" s="12" t="s">
        <v>320</v>
      </c>
      <c r="HV815" s="12" t="s">
        <v>320</v>
      </c>
      <c r="HW815" s="12" t="s">
        <v>320</v>
      </c>
      <c r="HX815" s="12" t="s">
        <v>319</v>
      </c>
      <c r="HY815" s="12"/>
      <c r="HZ815" s="12" t="s">
        <v>394</v>
      </c>
      <c r="IA815" s="12"/>
      <c r="IB815" s="12" t="s">
        <v>333</v>
      </c>
      <c r="IC815" s="12"/>
      <c r="ID815" s="12" t="s">
        <v>477</v>
      </c>
      <c r="IE815" s="12" t="s">
        <v>478</v>
      </c>
      <c r="IF815" s="12"/>
      <c r="IG815" s="12"/>
      <c r="IH815" s="12"/>
      <c r="II815" s="12"/>
      <c r="IJ815" s="12" t="str">
        <f t="shared" si="517"/>
        <v>No marker score</v>
      </c>
      <c r="IK815" s="12">
        <f t="shared" si="518"/>
        <v>0</v>
      </c>
      <c r="IL815" s="12"/>
      <c r="IM815" s="12"/>
      <c r="IN815" s="12"/>
      <c r="IO815" s="12"/>
      <c r="IP815" s="12"/>
      <c r="IQ815" s="12" t="str">
        <f t="shared" si="519"/>
        <v>No marker score</v>
      </c>
      <c r="IR815" s="12">
        <f t="shared" si="520"/>
        <v>0</v>
      </c>
      <c r="IS815" s="12"/>
      <c r="IT815" s="12"/>
      <c r="IU815" s="12"/>
      <c r="IV815" s="12"/>
      <c r="IW815" s="11" t="str">
        <f t="shared" si="521"/>
        <v>No marker score</v>
      </c>
      <c r="IX815" s="12">
        <f t="shared" si="522"/>
        <v>0</v>
      </c>
      <c r="IY815" s="12" t="s">
        <v>419</v>
      </c>
      <c r="IZ815" s="12" t="s">
        <v>432</v>
      </c>
      <c r="JA815" s="12">
        <v>1</v>
      </c>
      <c r="JB815" s="12" t="s">
        <v>433</v>
      </c>
      <c r="JC815" s="12"/>
      <c r="JD815" s="12"/>
      <c r="JE815" s="12" t="s">
        <v>365</v>
      </c>
      <c r="JF815" s="12"/>
      <c r="JG815" s="12"/>
      <c r="JH815" s="12"/>
      <c r="JI815" s="12"/>
      <c r="JJ815" s="12"/>
      <c r="JK815" s="12" t="s">
        <v>12670</v>
      </c>
      <c r="JL815" s="12" t="s">
        <v>12671</v>
      </c>
      <c r="JM815" s="12" t="s">
        <v>12672</v>
      </c>
      <c r="JN815" s="31" t="s">
        <v>14774</v>
      </c>
      <c r="JO815" s="12"/>
      <c r="JP815" s="15">
        <f t="shared" si="523"/>
        <v>40046</v>
      </c>
      <c r="JQ815" s="15">
        <f t="shared" si="524"/>
        <v>0</v>
      </c>
      <c r="JR815" s="279">
        <f t="shared" si="525"/>
        <v>0</v>
      </c>
      <c r="JS815" s="17">
        <f t="shared" si="526"/>
        <v>0.48948708984667633</v>
      </c>
      <c r="JT815" s="18" t="str">
        <f t="shared" si="527"/>
        <v/>
      </c>
      <c r="JU815" s="280">
        <f t="shared" si="528"/>
        <v>19602</v>
      </c>
      <c r="JV815" s="280">
        <f t="shared" si="529"/>
        <v>0</v>
      </c>
      <c r="JW815" s="319">
        <f t="shared" si="530"/>
        <v>1</v>
      </c>
      <c r="JX815" s="15">
        <f t="shared" si="531"/>
        <v>40046</v>
      </c>
      <c r="JY815" s="15">
        <f t="shared" si="532"/>
        <v>0</v>
      </c>
      <c r="JZ815" s="19">
        <f t="shared" si="533"/>
        <v>0</v>
      </c>
      <c r="KA815" s="52" t="str">
        <f t="shared" si="534"/>
        <v/>
      </c>
      <c r="KB815" s="15">
        <f t="shared" si="535"/>
        <v>0</v>
      </c>
      <c r="KC815" s="15">
        <f t="shared" si="536"/>
        <v>0</v>
      </c>
      <c r="KD815" s="20" t="str">
        <f t="shared" si="537"/>
        <v/>
      </c>
      <c r="KE815" s="52" t="str">
        <f t="shared" si="538"/>
        <v/>
      </c>
      <c r="KF815" s="15">
        <f t="shared" si="539"/>
        <v>0</v>
      </c>
      <c r="KG815" s="15">
        <f t="shared" si="540"/>
        <v>0</v>
      </c>
      <c r="KH815" s="21" t="str">
        <f t="shared" si="541"/>
        <v/>
      </c>
      <c r="KI815" s="52" t="str">
        <f t="shared" si="542"/>
        <v/>
      </c>
      <c r="KJ815" s="15">
        <f t="shared" si="543"/>
        <v>0</v>
      </c>
      <c r="KK815" s="15">
        <f t="shared" si="544"/>
        <v>0</v>
      </c>
      <c r="KL815" s="19" t="str">
        <f t="shared" si="545"/>
        <v/>
      </c>
      <c r="KM815" s="52" t="str">
        <f t="shared" si="546"/>
        <v/>
      </c>
      <c r="KN815" s="22">
        <f t="shared" si="547"/>
        <v>0</v>
      </c>
      <c r="KO815" s="22">
        <f t="shared" si="548"/>
        <v>0</v>
      </c>
      <c r="KP815" s="19" t="str">
        <f t="shared" si="549"/>
        <v/>
      </c>
      <c r="KQ815" s="11" t="str">
        <f t="shared" si="550"/>
        <v>No marker score</v>
      </c>
      <c r="KR815" s="11" t="str">
        <f t="shared" si="551"/>
        <v>No marker score</v>
      </c>
      <c r="KS815" s="11" t="str">
        <f t="shared" si="552"/>
        <v>No marker score</v>
      </c>
      <c r="KT815" s="11" t="str">
        <f t="shared" si="553"/>
        <v>It tested new ways for fighting poverty, but did not measure results of innovation</v>
      </c>
      <c r="KU815" s="11" t="str">
        <f t="shared" si="554"/>
        <v>Moderate advocacy</v>
      </c>
      <c r="KV815" s="11" t="str">
        <f t="shared" si="555"/>
        <v>It did not take tested solutions to scale</v>
      </c>
      <c r="KW815" s="11" t="str">
        <f t="shared" si="556"/>
        <v>Turkey - Information Volunteers: Community-based Protection Program for Syrian Refugees in Southern Turkey</v>
      </c>
      <c r="KX815" s="11" t="str">
        <f t="shared" si="557"/>
        <v>Information Volunteers: Community-based Protection Program for Syrian Refugees in Southern Turkey</v>
      </c>
      <c r="KY815" s="11" t="str">
        <f t="shared" si="558"/>
        <v>Turkey</v>
      </c>
      <c r="KZ815" s="12">
        <v>816</v>
      </c>
    </row>
    <row r="816" spans="1:312" x14ac:dyDescent="0.3">
      <c r="A816" s="12" t="s">
        <v>12654</v>
      </c>
      <c r="B816" s="12" t="s">
        <v>602</v>
      </c>
      <c r="C816" s="12">
        <v>2222</v>
      </c>
      <c r="D816" s="12" t="s">
        <v>12690</v>
      </c>
      <c r="E816" s="277" t="str">
        <f t="shared" si="516"/>
        <v>Turkey</v>
      </c>
      <c r="F816" s="12"/>
      <c r="G816" s="12" t="s">
        <v>379</v>
      </c>
      <c r="H816" s="12" t="s">
        <v>489</v>
      </c>
      <c r="I816" s="12"/>
      <c r="J816" s="281" t="s">
        <v>379</v>
      </c>
      <c r="K816" s="12"/>
      <c r="L816" s="12"/>
      <c r="M816" s="12"/>
      <c r="N816" s="12"/>
      <c r="O816" s="12"/>
      <c r="P816" s="12"/>
      <c r="Q816" s="12"/>
      <c r="R816" s="12"/>
      <c r="S816" s="12"/>
      <c r="T816" s="12"/>
      <c r="U816" s="12"/>
      <c r="V816" s="12"/>
      <c r="W816" s="12"/>
      <c r="X816" s="12"/>
      <c r="Y816" s="12"/>
      <c r="Z816" s="12"/>
      <c r="AA816" s="12"/>
      <c r="AB816" s="12"/>
      <c r="AC816" s="12"/>
      <c r="AD816" s="12"/>
      <c r="BD816" s="13">
        <v>42156</v>
      </c>
      <c r="BE816" s="13">
        <v>42916</v>
      </c>
      <c r="BF816" s="12"/>
      <c r="BG816" s="12"/>
      <c r="BH816" s="14">
        <v>40000</v>
      </c>
      <c r="BI816" s="12" t="s">
        <v>12656</v>
      </c>
      <c r="BJ816" s="12" t="s">
        <v>444</v>
      </c>
      <c r="BK816" s="12" t="s">
        <v>12657</v>
      </c>
      <c r="BL816" s="12"/>
      <c r="BM816" s="12"/>
      <c r="BN816" s="12"/>
      <c r="BO816" s="12" t="s">
        <v>320</v>
      </c>
      <c r="BP816" s="12" t="s">
        <v>319</v>
      </c>
      <c r="BQ816" s="12" t="s">
        <v>319</v>
      </c>
      <c r="BR816" s="12" t="s">
        <v>12691</v>
      </c>
      <c r="BS816" s="12" t="s">
        <v>357</v>
      </c>
      <c r="BT816" s="12" t="s">
        <v>12692</v>
      </c>
      <c r="BU816" s="12" t="s">
        <v>12693</v>
      </c>
      <c r="BV816" s="14">
        <v>8320</v>
      </c>
      <c r="BW816" s="14">
        <v>7680</v>
      </c>
      <c r="BX816" s="14">
        <v>16000</v>
      </c>
      <c r="BY816" s="14"/>
      <c r="BZ816" s="14"/>
      <c r="CA816" s="14"/>
      <c r="CB816" s="31" t="s">
        <v>14775</v>
      </c>
      <c r="CD816" s="38">
        <v>7680</v>
      </c>
      <c r="CE816" s="38">
        <v>8320</v>
      </c>
      <c r="CF816" s="14">
        <v>16000</v>
      </c>
      <c r="CG816" s="14"/>
      <c r="CH816" s="14"/>
      <c r="CI816" s="14"/>
      <c r="CJ816" s="12"/>
      <c r="CK816" s="14"/>
      <c r="CL816" s="16"/>
      <c r="CM816" s="14"/>
      <c r="CN816" s="12"/>
      <c r="CO816" s="14"/>
      <c r="CP816" s="16"/>
      <c r="CQ816" s="14"/>
      <c r="CR816" s="12"/>
      <c r="CS816" s="14"/>
      <c r="CT816" s="16"/>
      <c r="CU816" s="14"/>
      <c r="CV816" s="12"/>
      <c r="CW816" s="14"/>
      <c r="CX816" s="16"/>
      <c r="CY816" s="14"/>
      <c r="CZ816" s="12"/>
      <c r="DA816" s="14"/>
      <c r="DB816" s="16"/>
      <c r="DC816" s="14"/>
      <c r="DD816" s="12"/>
      <c r="DE816" s="14"/>
      <c r="DF816" s="16"/>
      <c r="DG816" s="14"/>
      <c r="DH816" s="12"/>
      <c r="DI816" s="14"/>
      <c r="DJ816" s="16"/>
      <c r="DK816" s="14"/>
      <c r="DL816" s="12"/>
      <c r="DM816" s="14"/>
      <c r="DN816" s="16"/>
      <c r="DO816" s="14"/>
      <c r="DP816" s="12"/>
      <c r="DQ816" s="14"/>
      <c r="DR816" s="16"/>
      <c r="DS816" s="14"/>
      <c r="DT816" s="12"/>
      <c r="DU816" s="14"/>
      <c r="DV816" s="16"/>
      <c r="DW816" s="14"/>
      <c r="DX816" s="12"/>
      <c r="DY816" s="14"/>
      <c r="DZ816" s="16"/>
      <c r="EA816" s="14"/>
      <c r="EB816" s="11" t="s">
        <v>320</v>
      </c>
      <c r="EC816" s="14">
        <v>16000</v>
      </c>
      <c r="ED816" s="16">
        <v>0.52</v>
      </c>
      <c r="EE816" s="14"/>
      <c r="EF816" s="12"/>
      <c r="EG816" s="12"/>
      <c r="EH816" s="14"/>
      <c r="EI816" s="16"/>
      <c r="EJ816" s="14"/>
      <c r="EK816" s="14"/>
      <c r="EL816" s="14"/>
      <c r="EM816" s="14"/>
      <c r="EN816" s="14"/>
      <c r="EO816" s="14"/>
      <c r="EP816" s="14"/>
      <c r="EQ816" s="12"/>
      <c r="ER816" s="14"/>
      <c r="ES816" s="16"/>
      <c r="ET816" s="14"/>
      <c r="EU816" s="12"/>
      <c r="EV816" s="14"/>
      <c r="EW816" s="16"/>
      <c r="EX816" s="14"/>
      <c r="EY816" s="12"/>
      <c r="EZ816" s="14"/>
      <c r="FA816" s="16"/>
      <c r="FB816" s="14"/>
      <c r="FC816" s="12"/>
      <c r="FD816" s="14"/>
      <c r="FE816" s="16"/>
      <c r="FF816" s="14"/>
      <c r="FG816" s="12"/>
      <c r="FH816" s="14"/>
      <c r="FI816" s="16"/>
      <c r="FJ816" s="14"/>
      <c r="FK816" s="12"/>
      <c r="FL816" s="14"/>
      <c r="FM816" s="16"/>
      <c r="FN816" s="14"/>
      <c r="FO816" s="12"/>
      <c r="FP816" s="14"/>
      <c r="FQ816" s="16"/>
      <c r="FR816" s="14"/>
      <c r="FS816" s="12"/>
      <c r="FT816" s="14"/>
      <c r="FU816" s="16"/>
      <c r="FV816" s="14"/>
      <c r="FW816" s="12"/>
      <c r="FX816" s="14"/>
      <c r="FY816" s="16"/>
      <c r="FZ816" s="14"/>
      <c r="GA816" s="12"/>
      <c r="GB816" s="14"/>
      <c r="GC816" s="16"/>
      <c r="GD816" s="14"/>
      <c r="GE816" s="12"/>
      <c r="GF816" s="14"/>
      <c r="GG816" s="16"/>
      <c r="GH816" s="14"/>
      <c r="GI816" s="12"/>
      <c r="GJ816" s="14"/>
      <c r="GK816" s="16"/>
      <c r="GL816" s="14"/>
      <c r="GM816" s="12"/>
      <c r="GN816" s="14"/>
      <c r="GO816" s="16"/>
      <c r="GP816" s="14"/>
      <c r="GQ816" s="12"/>
      <c r="GR816" s="14"/>
      <c r="GS816" s="16"/>
      <c r="GT816" s="14"/>
      <c r="GU816" s="12"/>
      <c r="GV816" s="14"/>
      <c r="GW816" s="16"/>
      <c r="GX816" s="14"/>
      <c r="GY816" s="12"/>
      <c r="GZ816" s="14"/>
      <c r="HA816" s="16"/>
      <c r="HB816" s="14"/>
      <c r="HC816" s="12"/>
      <c r="HD816" s="12"/>
      <c r="HE816" s="14"/>
      <c r="HF816" s="16"/>
      <c r="HG816" s="14"/>
      <c r="HH816" s="12" t="s">
        <v>320</v>
      </c>
      <c r="HI816" s="12" t="s">
        <v>451</v>
      </c>
      <c r="HJ816" s="12">
        <v>2017</v>
      </c>
      <c r="HK816" s="12" t="s">
        <v>320</v>
      </c>
      <c r="HL816" s="12" t="s">
        <v>319</v>
      </c>
      <c r="HM816" s="12"/>
      <c r="HN816" s="12"/>
      <c r="HO816" s="12"/>
      <c r="HP816" s="12" t="s">
        <v>330</v>
      </c>
      <c r="HQ816" s="12" t="s">
        <v>319</v>
      </c>
      <c r="HR816" s="12" t="s">
        <v>319</v>
      </c>
      <c r="HS816" s="12" t="s">
        <v>320</v>
      </c>
      <c r="HT816" s="12" t="s">
        <v>319</v>
      </c>
      <c r="HU816" s="12" t="s">
        <v>320</v>
      </c>
      <c r="HV816" s="12" t="s">
        <v>320</v>
      </c>
      <c r="HW816" s="12" t="s">
        <v>320</v>
      </c>
      <c r="HX816" s="12" t="s">
        <v>319</v>
      </c>
      <c r="HY816" s="12"/>
      <c r="HZ816" s="12" t="s">
        <v>394</v>
      </c>
      <c r="IA816" s="12"/>
      <c r="IB816" s="12" t="s">
        <v>333</v>
      </c>
      <c r="IC816" s="12"/>
      <c r="ID816" s="12" t="s">
        <v>477</v>
      </c>
      <c r="IE816" s="12" t="s">
        <v>478</v>
      </c>
      <c r="IF816" s="12"/>
      <c r="IG816" s="12"/>
      <c r="IH816" s="12"/>
      <c r="II816" s="12"/>
      <c r="IJ816" s="12" t="str">
        <f t="shared" si="517"/>
        <v>No marker score</v>
      </c>
      <c r="IK816" s="12">
        <f t="shared" si="518"/>
        <v>0</v>
      </c>
      <c r="IL816" s="12"/>
      <c r="IM816" s="12"/>
      <c r="IN816" s="12"/>
      <c r="IO816" s="12"/>
      <c r="IP816" s="12"/>
      <c r="IQ816" s="12" t="str">
        <f t="shared" si="519"/>
        <v>No marker score</v>
      </c>
      <c r="IR816" s="12">
        <f t="shared" si="520"/>
        <v>0</v>
      </c>
      <c r="IS816" s="12"/>
      <c r="IT816" s="12"/>
      <c r="IU816" s="12"/>
      <c r="IV816" s="12"/>
      <c r="IW816" s="11" t="str">
        <f t="shared" si="521"/>
        <v>No marker score</v>
      </c>
      <c r="IX816" s="12">
        <f t="shared" si="522"/>
        <v>0</v>
      </c>
      <c r="IY816" s="12" t="s">
        <v>419</v>
      </c>
      <c r="IZ816" s="12" t="s">
        <v>339</v>
      </c>
      <c r="JA816" s="12">
        <v>1</v>
      </c>
      <c r="JB816" s="12" t="s">
        <v>687</v>
      </c>
      <c r="JC816" s="12"/>
      <c r="JD816" s="12"/>
      <c r="JE816" s="12" t="s">
        <v>365</v>
      </c>
      <c r="JF816" s="12"/>
      <c r="JG816" s="12"/>
      <c r="JH816" s="12"/>
      <c r="JI816" s="12"/>
      <c r="JJ816" s="12"/>
      <c r="JK816" s="12"/>
      <c r="JL816" s="12"/>
      <c r="JM816" s="12"/>
      <c r="JN816" s="31" t="s">
        <v>14775</v>
      </c>
      <c r="JO816" s="12"/>
      <c r="JP816" s="15">
        <f t="shared" si="523"/>
        <v>16000</v>
      </c>
      <c r="JQ816" s="15">
        <f t="shared" si="524"/>
        <v>0</v>
      </c>
      <c r="JR816" s="279">
        <f t="shared" si="525"/>
        <v>0</v>
      </c>
      <c r="JS816" s="17">
        <f t="shared" si="526"/>
        <v>0.48</v>
      </c>
      <c r="JT816" s="18" t="str">
        <f t="shared" si="527"/>
        <v/>
      </c>
      <c r="JU816" s="280">
        <f t="shared" si="528"/>
        <v>7680</v>
      </c>
      <c r="JV816" s="280">
        <f t="shared" si="529"/>
        <v>0</v>
      </c>
      <c r="JW816" s="319">
        <f t="shared" si="530"/>
        <v>1</v>
      </c>
      <c r="JX816" s="15">
        <f t="shared" si="531"/>
        <v>16000</v>
      </c>
      <c r="JY816" s="15">
        <f t="shared" si="532"/>
        <v>0</v>
      </c>
      <c r="JZ816" s="19">
        <f t="shared" si="533"/>
        <v>0</v>
      </c>
      <c r="KA816" s="52" t="str">
        <f t="shared" si="534"/>
        <v/>
      </c>
      <c r="KB816" s="15">
        <f t="shared" si="535"/>
        <v>0</v>
      </c>
      <c r="KC816" s="15">
        <f t="shared" si="536"/>
        <v>0</v>
      </c>
      <c r="KD816" s="20" t="str">
        <f t="shared" si="537"/>
        <v/>
      </c>
      <c r="KE816" s="52" t="str">
        <f t="shared" si="538"/>
        <v/>
      </c>
      <c r="KF816" s="15">
        <f t="shared" si="539"/>
        <v>0</v>
      </c>
      <c r="KG816" s="15">
        <f t="shared" si="540"/>
        <v>0</v>
      </c>
      <c r="KH816" s="21" t="str">
        <f t="shared" si="541"/>
        <v/>
      </c>
      <c r="KI816" s="52" t="str">
        <f t="shared" si="542"/>
        <v/>
      </c>
      <c r="KJ816" s="15">
        <f t="shared" si="543"/>
        <v>0</v>
      </c>
      <c r="KK816" s="15">
        <f t="shared" si="544"/>
        <v>0</v>
      </c>
      <c r="KL816" s="19" t="str">
        <f t="shared" si="545"/>
        <v/>
      </c>
      <c r="KM816" s="52" t="str">
        <f t="shared" si="546"/>
        <v/>
      </c>
      <c r="KN816" s="22">
        <f t="shared" si="547"/>
        <v>0</v>
      </c>
      <c r="KO816" s="22">
        <f t="shared" si="548"/>
        <v>0</v>
      </c>
      <c r="KP816" s="19" t="str">
        <f t="shared" si="549"/>
        <v/>
      </c>
      <c r="KQ816" s="11" t="str">
        <f t="shared" si="550"/>
        <v>No marker score</v>
      </c>
      <c r="KR816" s="11" t="str">
        <f t="shared" si="551"/>
        <v>No marker score</v>
      </c>
      <c r="KS816" s="11" t="str">
        <f t="shared" si="552"/>
        <v>No marker score</v>
      </c>
      <c r="KT816" s="11" t="str">
        <f t="shared" si="553"/>
        <v>It tested new ways for fighting poverty, but did not measure results of innovation</v>
      </c>
      <c r="KU816" s="11" t="str">
        <f t="shared" si="554"/>
        <v>Moderate advocacy</v>
      </c>
      <c r="KV816" s="11" t="str">
        <f t="shared" si="555"/>
        <v>It did not take tested solutions to scale</v>
      </c>
      <c r="KW816" s="11" t="str">
        <f t="shared" si="556"/>
        <v>Turkey - Interventions In Refugee Camp Aim To Meet Basic Needs And Improve Hygiene Practices</v>
      </c>
      <c r="KX816" s="11" t="str">
        <f t="shared" si="557"/>
        <v>Interventions In Refugee Camp Aim To Meet Basic Needs And Improve Hygiene Practices</v>
      </c>
      <c r="KY816" s="11" t="str">
        <f t="shared" si="558"/>
        <v>Turkey</v>
      </c>
      <c r="KZ816" s="12">
        <v>817</v>
      </c>
    </row>
    <row r="817" spans="1:312" x14ac:dyDescent="0.3">
      <c r="A817" s="12" t="s">
        <v>12654</v>
      </c>
      <c r="B817" s="12" t="s">
        <v>602</v>
      </c>
      <c r="C817" s="12">
        <v>3688</v>
      </c>
      <c r="D817" s="12" t="s">
        <v>12673</v>
      </c>
      <c r="E817" s="277" t="str">
        <f t="shared" si="516"/>
        <v>Turkey</v>
      </c>
      <c r="F817" s="12"/>
      <c r="G817" s="12" t="s">
        <v>488</v>
      </c>
      <c r="H817" s="12" t="s">
        <v>489</v>
      </c>
      <c r="I817" s="12"/>
      <c r="J817" s="281" t="s">
        <v>14776</v>
      </c>
      <c r="K817" s="12"/>
      <c r="L817" s="12"/>
      <c r="M817" s="12"/>
      <c r="N817" s="12"/>
      <c r="O817" s="12"/>
      <c r="P817" s="12"/>
      <c r="Q817" s="12"/>
      <c r="R817" s="12"/>
      <c r="S817" s="12"/>
      <c r="T817" s="12"/>
      <c r="U817" s="12"/>
      <c r="V817" s="12"/>
      <c r="W817" s="12"/>
      <c r="X817" s="12"/>
      <c r="Y817" s="12"/>
      <c r="Z817" s="12"/>
      <c r="AA817" s="12"/>
      <c r="AB817" s="12"/>
      <c r="AC817" s="12"/>
      <c r="AD817" s="12"/>
      <c r="BD817" s="13">
        <v>42309</v>
      </c>
      <c r="BE817" s="13">
        <v>42825</v>
      </c>
      <c r="BF817" s="12"/>
      <c r="BG817" s="12" t="s">
        <v>908</v>
      </c>
      <c r="BH817" s="14">
        <v>2400212.71590464</v>
      </c>
      <c r="BI817" s="12" t="s">
        <v>12656</v>
      </c>
      <c r="BJ817" s="12" t="s">
        <v>444</v>
      </c>
      <c r="BK817" s="12" t="s">
        <v>12657</v>
      </c>
      <c r="BL817" s="12"/>
      <c r="BM817" s="12"/>
      <c r="BN817" s="12"/>
      <c r="BO817" s="12" t="s">
        <v>320</v>
      </c>
      <c r="BP817" s="12" t="s">
        <v>319</v>
      </c>
      <c r="BQ817" s="12" t="s">
        <v>319</v>
      </c>
      <c r="BR817" s="12" t="s">
        <v>12674</v>
      </c>
      <c r="BS817" s="12" t="s">
        <v>357</v>
      </c>
      <c r="BT817" s="12" t="s">
        <v>12675</v>
      </c>
      <c r="BU817" s="12" t="s">
        <v>12676</v>
      </c>
      <c r="BV817" s="14">
        <v>2926</v>
      </c>
      <c r="BW817" s="14">
        <v>2867</v>
      </c>
      <c r="BX817" s="14">
        <v>5793</v>
      </c>
      <c r="BY817" s="14"/>
      <c r="BZ817" s="14"/>
      <c r="CA817" s="14"/>
      <c r="CB817" s="31" t="s">
        <v>14777</v>
      </c>
      <c r="CD817" s="14"/>
      <c r="CE817" s="14"/>
      <c r="CF817" s="14"/>
      <c r="CG817" s="14"/>
      <c r="CH817" s="14"/>
      <c r="CI817" s="14"/>
      <c r="CJ817" s="12"/>
      <c r="CK817" s="14"/>
      <c r="CL817" s="16"/>
      <c r="CM817" s="14"/>
      <c r="CN817" s="12" t="s">
        <v>320</v>
      </c>
      <c r="CO817" s="14">
        <v>5793</v>
      </c>
      <c r="CP817" s="16">
        <v>0.51</v>
      </c>
      <c r="CQ817" s="14"/>
      <c r="CR817" s="12"/>
      <c r="CS817" s="14"/>
      <c r="CT817" s="16"/>
      <c r="CU817" s="14"/>
      <c r="CV817" s="12"/>
      <c r="CW817" s="14"/>
      <c r="CX817" s="16"/>
      <c r="CY817" s="14"/>
      <c r="CZ817" s="12"/>
      <c r="DA817" s="14"/>
      <c r="DB817" s="16"/>
      <c r="DC817" s="14"/>
      <c r="DD817" s="12"/>
      <c r="DE817" s="14"/>
      <c r="DF817" s="16"/>
      <c r="DG817" s="14"/>
      <c r="DH817" s="12"/>
      <c r="DI817" s="14"/>
      <c r="DJ817" s="16"/>
      <c r="DK817" s="14"/>
      <c r="DL817" s="12"/>
      <c r="DM817" s="14"/>
      <c r="DN817" s="16"/>
      <c r="DO817" s="14"/>
      <c r="DP817" s="12"/>
      <c r="DQ817" s="14"/>
      <c r="DR817" s="16"/>
      <c r="DS817" s="14"/>
      <c r="DT817" s="12"/>
      <c r="DU817" s="14"/>
      <c r="DV817" s="16"/>
      <c r="DW817" s="14"/>
      <c r="DX817" s="12"/>
      <c r="DY817" s="14"/>
      <c r="DZ817" s="16"/>
      <c r="EA817" s="14"/>
      <c r="EB817" s="12"/>
      <c r="EC817" s="14"/>
      <c r="ED817" s="16"/>
      <c r="EE817" s="14"/>
      <c r="EF817" s="12"/>
      <c r="EG817" s="12"/>
      <c r="EH817" s="14"/>
      <c r="EI817" s="16"/>
      <c r="EJ817" s="14"/>
      <c r="EK817" s="14"/>
      <c r="EL817" s="14"/>
      <c r="EM817" s="14"/>
      <c r="EN817" s="14"/>
      <c r="EO817" s="14"/>
      <c r="EP817" s="14"/>
      <c r="EQ817" s="12"/>
      <c r="ER817" s="14"/>
      <c r="ES817" s="16"/>
      <c r="ET817" s="14"/>
      <c r="EU817" s="12"/>
      <c r="EV817" s="14"/>
      <c r="EW817" s="16"/>
      <c r="EX817" s="14"/>
      <c r="EY817" s="12"/>
      <c r="EZ817" s="14"/>
      <c r="FA817" s="16"/>
      <c r="FB817" s="14"/>
      <c r="FC817" s="12"/>
      <c r="FD817" s="14"/>
      <c r="FE817" s="16"/>
      <c r="FF817" s="14"/>
      <c r="FG817" s="12"/>
      <c r="FH817" s="14"/>
      <c r="FI817" s="16"/>
      <c r="FJ817" s="14"/>
      <c r="FK817" s="12"/>
      <c r="FL817" s="14"/>
      <c r="FM817" s="16"/>
      <c r="FN817" s="14"/>
      <c r="FO817" s="12"/>
      <c r="FP817" s="14"/>
      <c r="FQ817" s="16"/>
      <c r="FR817" s="14"/>
      <c r="FS817" s="12"/>
      <c r="FT817" s="14"/>
      <c r="FU817" s="16"/>
      <c r="FV817" s="14"/>
      <c r="FW817" s="12"/>
      <c r="FX817" s="14"/>
      <c r="FY817" s="16"/>
      <c r="FZ817" s="14"/>
      <c r="GA817" s="12"/>
      <c r="GB817" s="14"/>
      <c r="GC817" s="16"/>
      <c r="GD817" s="14"/>
      <c r="GE817" s="12"/>
      <c r="GF817" s="14"/>
      <c r="GG817" s="16"/>
      <c r="GH817" s="14"/>
      <c r="GI817" s="12"/>
      <c r="GJ817" s="14"/>
      <c r="GK817" s="16"/>
      <c r="GL817" s="14"/>
      <c r="GM817" s="12"/>
      <c r="GN817" s="14"/>
      <c r="GO817" s="16"/>
      <c r="GP817" s="14"/>
      <c r="GQ817" s="12"/>
      <c r="GR817" s="14"/>
      <c r="GS817" s="16"/>
      <c r="GT817" s="14"/>
      <c r="GU817" s="12"/>
      <c r="GV817" s="14"/>
      <c r="GW817" s="16"/>
      <c r="GX817" s="14"/>
      <c r="GY817" s="12"/>
      <c r="GZ817" s="14"/>
      <c r="HA817" s="16"/>
      <c r="HB817" s="14"/>
      <c r="HC817" s="12"/>
      <c r="HD817" s="12"/>
      <c r="HE817" s="14"/>
      <c r="HF817" s="16"/>
      <c r="HG817" s="14"/>
      <c r="HH817" s="12" t="s">
        <v>320</v>
      </c>
      <c r="HI817" s="12" t="s">
        <v>416</v>
      </c>
      <c r="HJ817" s="12">
        <v>2017</v>
      </c>
      <c r="HK817" s="12" t="s">
        <v>320</v>
      </c>
      <c r="HL817" s="12" t="s">
        <v>319</v>
      </c>
      <c r="HM817" s="12"/>
      <c r="HN817" s="12"/>
      <c r="HO817" s="12" t="s">
        <v>12677</v>
      </c>
      <c r="HP817" s="12" t="s">
        <v>330</v>
      </c>
      <c r="HQ817" s="12" t="s">
        <v>319</v>
      </c>
      <c r="HR817" s="12" t="s">
        <v>319</v>
      </c>
      <c r="HS817" s="12" t="s">
        <v>320</v>
      </c>
      <c r="HT817" s="12" t="s">
        <v>319</v>
      </c>
      <c r="HU817" s="12" t="s">
        <v>320</v>
      </c>
      <c r="HV817" s="12" t="s">
        <v>320</v>
      </c>
      <c r="HW817" s="12" t="s">
        <v>320</v>
      </c>
      <c r="HX817" s="12" t="s">
        <v>319</v>
      </c>
      <c r="HY817" s="12"/>
      <c r="HZ817" s="12" t="s">
        <v>394</v>
      </c>
      <c r="IA817" s="12" t="s">
        <v>12678</v>
      </c>
      <c r="IB817" s="12" t="s">
        <v>333</v>
      </c>
      <c r="IC817" s="12"/>
      <c r="ID817" s="12" t="s">
        <v>477</v>
      </c>
      <c r="IE817" s="12" t="s">
        <v>478</v>
      </c>
      <c r="IF817" s="12"/>
      <c r="IG817" s="12"/>
      <c r="IH817" s="12"/>
      <c r="II817" s="12"/>
      <c r="IJ817" s="12" t="str">
        <f t="shared" si="517"/>
        <v>No marker score</v>
      </c>
      <c r="IK817" s="12">
        <f t="shared" si="518"/>
        <v>0</v>
      </c>
      <c r="IL817" s="12"/>
      <c r="IM817" s="12"/>
      <c r="IN817" s="12"/>
      <c r="IO817" s="12"/>
      <c r="IP817" s="12"/>
      <c r="IQ817" s="12" t="str">
        <f t="shared" si="519"/>
        <v>No marker score</v>
      </c>
      <c r="IR817" s="12">
        <f t="shared" si="520"/>
        <v>0</v>
      </c>
      <c r="IS817" s="12"/>
      <c r="IT817" s="12"/>
      <c r="IU817" s="12"/>
      <c r="IV817" s="12"/>
      <c r="IW817" s="11" t="str">
        <f t="shared" si="521"/>
        <v>No marker score</v>
      </c>
      <c r="IX817" s="12">
        <f t="shared" si="522"/>
        <v>0</v>
      </c>
      <c r="IY817" s="12" t="s">
        <v>419</v>
      </c>
      <c r="IZ817" s="12" t="s">
        <v>339</v>
      </c>
      <c r="JA817" s="12"/>
      <c r="JB817" s="12"/>
      <c r="JC817" s="12"/>
      <c r="JD817" s="12"/>
      <c r="JE817" s="12"/>
      <c r="JF817" s="12"/>
      <c r="JG817" s="12"/>
      <c r="JH817" s="12"/>
      <c r="JI817" s="12"/>
      <c r="JJ817" s="12"/>
      <c r="JK817" s="12" t="s">
        <v>12679</v>
      </c>
      <c r="JL817" s="12" t="s">
        <v>12680</v>
      </c>
      <c r="JM817" s="12" t="s">
        <v>12681</v>
      </c>
      <c r="JN817" s="31" t="s">
        <v>14777</v>
      </c>
      <c r="JO817" s="12"/>
      <c r="JP817" s="15">
        <f t="shared" si="523"/>
        <v>0</v>
      </c>
      <c r="JQ817" s="15">
        <f t="shared" si="524"/>
        <v>0</v>
      </c>
      <c r="JR817" s="279" t="str">
        <f t="shared" si="525"/>
        <v/>
      </c>
      <c r="JS817" s="17" t="str">
        <f t="shared" si="526"/>
        <v/>
      </c>
      <c r="JT817" s="18" t="str">
        <f t="shared" si="527"/>
        <v/>
      </c>
      <c r="JU817" s="280">
        <f t="shared" si="528"/>
        <v>0</v>
      </c>
      <c r="JV817" s="280">
        <f t="shared" si="529"/>
        <v>0</v>
      </c>
      <c r="JW817" s="319">
        <f t="shared" si="530"/>
        <v>1</v>
      </c>
      <c r="JX817" s="15">
        <f t="shared" si="531"/>
        <v>0</v>
      </c>
      <c r="JY817" s="15">
        <f t="shared" si="532"/>
        <v>0</v>
      </c>
      <c r="JZ817" s="19" t="str">
        <f t="shared" si="533"/>
        <v/>
      </c>
      <c r="KA817" s="52" t="str">
        <f t="shared" si="534"/>
        <v/>
      </c>
      <c r="KB817" s="15">
        <f t="shared" si="535"/>
        <v>0</v>
      </c>
      <c r="KC817" s="15">
        <f t="shared" si="536"/>
        <v>0</v>
      </c>
      <c r="KD817" s="20" t="str">
        <f t="shared" si="537"/>
        <v/>
      </c>
      <c r="KE817" s="52" t="str">
        <f t="shared" si="538"/>
        <v/>
      </c>
      <c r="KF817" s="15">
        <f t="shared" si="539"/>
        <v>0</v>
      </c>
      <c r="KG817" s="15">
        <f t="shared" si="540"/>
        <v>0</v>
      </c>
      <c r="KH817" s="21" t="str">
        <f t="shared" si="541"/>
        <v/>
      </c>
      <c r="KI817" s="52" t="str">
        <f t="shared" si="542"/>
        <v/>
      </c>
      <c r="KJ817" s="15">
        <f t="shared" si="543"/>
        <v>0</v>
      </c>
      <c r="KK817" s="15">
        <f t="shared" si="544"/>
        <v>0</v>
      </c>
      <c r="KL817" s="19" t="str">
        <f t="shared" si="545"/>
        <v/>
      </c>
      <c r="KM817" s="52" t="str">
        <f t="shared" si="546"/>
        <v/>
      </c>
      <c r="KN817" s="22">
        <f t="shared" si="547"/>
        <v>0</v>
      </c>
      <c r="KO817" s="22">
        <f t="shared" si="548"/>
        <v>0</v>
      </c>
      <c r="KP817" s="19" t="str">
        <f t="shared" si="549"/>
        <v/>
      </c>
      <c r="KQ817" s="11" t="str">
        <f t="shared" si="550"/>
        <v>No marker score</v>
      </c>
      <c r="KR817" s="11" t="str">
        <f t="shared" si="551"/>
        <v>No marker score</v>
      </c>
      <c r="KS817" s="11" t="str">
        <f t="shared" si="552"/>
        <v>No marker score</v>
      </c>
      <c r="KT817" s="11" t="str">
        <f t="shared" si="553"/>
        <v>It tested new ways for fighting poverty, but did not measure results of innovation</v>
      </c>
      <c r="KU817" s="11" t="str">
        <f t="shared" si="554"/>
        <v>Moderate advocacy</v>
      </c>
      <c r="KV817" s="11" t="str">
        <f t="shared" si="555"/>
        <v>It did not take tested solutions to scale</v>
      </c>
      <c r="KW817" s="11" t="str">
        <f t="shared" si="556"/>
        <v>Turkey - Urgent basic humanitarian assistance, and coordination of information needs, for Syrian refugees in Turkey</v>
      </c>
      <c r="KX817" s="11" t="str">
        <f t="shared" si="557"/>
        <v>Urgent basic humanitarian assistance, and coordination of information needs, for Syrian refugees in Turkey</v>
      </c>
      <c r="KY817" s="11" t="str">
        <f t="shared" si="558"/>
        <v>Turkey</v>
      </c>
      <c r="KZ817" s="12">
        <v>818</v>
      </c>
    </row>
    <row r="818" spans="1:312" x14ac:dyDescent="0.3">
      <c r="A818" s="12" t="s">
        <v>12654</v>
      </c>
      <c r="B818" s="12" t="s">
        <v>602</v>
      </c>
      <c r="C818" s="12">
        <v>3686</v>
      </c>
      <c r="D818" s="12" t="s">
        <v>12682</v>
      </c>
      <c r="E818" s="277" t="str">
        <f t="shared" si="516"/>
        <v>Turkey</v>
      </c>
      <c r="F818" s="12"/>
      <c r="G818" s="12" t="s">
        <v>488</v>
      </c>
      <c r="H818" s="12" t="s">
        <v>489</v>
      </c>
      <c r="I818" s="12"/>
      <c r="J818" s="281" t="s">
        <v>5183</v>
      </c>
      <c r="K818" s="12"/>
      <c r="L818" s="12"/>
      <c r="M818" s="12"/>
      <c r="N818" s="12"/>
      <c r="O818" s="12"/>
      <c r="P818" s="12"/>
      <c r="Q818" s="12"/>
      <c r="R818" s="12"/>
      <c r="S818" s="12"/>
      <c r="T818" s="12"/>
      <c r="U818" s="12"/>
      <c r="V818" s="12"/>
      <c r="W818" s="12"/>
      <c r="X818" s="12"/>
      <c r="Y818" s="12"/>
      <c r="Z818" s="12"/>
      <c r="AA818" s="12"/>
      <c r="AB818" s="12"/>
      <c r="AC818" s="12"/>
      <c r="AD818" s="12"/>
      <c r="BD818" s="13">
        <v>42644</v>
      </c>
      <c r="BE818" s="13">
        <v>42794</v>
      </c>
      <c r="BF818" s="12"/>
      <c r="BG818" s="12" t="s">
        <v>817</v>
      </c>
      <c r="BH818" s="14">
        <v>1325736.1650972101</v>
      </c>
      <c r="BI818" s="12" t="s">
        <v>12656</v>
      </c>
      <c r="BJ818" s="12" t="s">
        <v>444</v>
      </c>
      <c r="BK818" s="12" t="s">
        <v>12657</v>
      </c>
      <c r="BL818" s="12" t="s">
        <v>12683</v>
      </c>
      <c r="BM818" s="12" t="s">
        <v>354</v>
      </c>
      <c r="BN818" s="12" t="s">
        <v>12684</v>
      </c>
      <c r="BO818" s="12" t="s">
        <v>320</v>
      </c>
      <c r="BP818" s="12" t="s">
        <v>319</v>
      </c>
      <c r="BQ818" s="12" t="s">
        <v>319</v>
      </c>
      <c r="BR818" s="12" t="s">
        <v>12685</v>
      </c>
      <c r="BS818" s="12" t="s">
        <v>357</v>
      </c>
      <c r="BT818" s="12" t="s">
        <v>12668</v>
      </c>
      <c r="BU818" s="12" t="s">
        <v>12686</v>
      </c>
      <c r="BV818" s="14">
        <v>13037</v>
      </c>
      <c r="BW818" s="14">
        <v>13506</v>
      </c>
      <c r="BX818" s="14">
        <v>26543</v>
      </c>
      <c r="BY818" s="14"/>
      <c r="BZ818" s="14"/>
      <c r="CA818" s="14"/>
      <c r="CB818" s="31" t="s">
        <v>14778</v>
      </c>
      <c r="CD818" s="14"/>
      <c r="CE818" s="14"/>
      <c r="CF818" s="14"/>
      <c r="CG818" s="14"/>
      <c r="CH818" s="14"/>
      <c r="CI818" s="14"/>
      <c r="CJ818" s="12"/>
      <c r="CK818" s="14"/>
      <c r="CL818" s="16"/>
      <c r="CM818" s="14"/>
      <c r="CN818" s="12" t="s">
        <v>320</v>
      </c>
      <c r="CO818" s="14">
        <v>26543</v>
      </c>
      <c r="CP818" s="16">
        <v>0.49</v>
      </c>
      <c r="CQ818" s="14"/>
      <c r="CR818" s="12"/>
      <c r="CS818" s="14"/>
      <c r="CT818" s="16"/>
      <c r="CU818" s="14"/>
      <c r="CV818" s="12"/>
      <c r="CW818" s="14"/>
      <c r="CX818" s="16"/>
      <c r="CY818" s="14"/>
      <c r="CZ818" s="12"/>
      <c r="DA818" s="14"/>
      <c r="DB818" s="16"/>
      <c r="DC818" s="14"/>
      <c r="DD818" s="12"/>
      <c r="DE818" s="14"/>
      <c r="DF818" s="16"/>
      <c r="DG818" s="14"/>
      <c r="DH818" s="12"/>
      <c r="DI818" s="14"/>
      <c r="DJ818" s="16"/>
      <c r="DK818" s="14"/>
      <c r="DL818" s="12"/>
      <c r="DM818" s="14"/>
      <c r="DN818" s="16"/>
      <c r="DO818" s="14"/>
      <c r="DP818" s="12"/>
      <c r="DQ818" s="14"/>
      <c r="DR818" s="16"/>
      <c r="DS818" s="14"/>
      <c r="DT818" s="12"/>
      <c r="DU818" s="14"/>
      <c r="DV818" s="16"/>
      <c r="DW818" s="14"/>
      <c r="DX818" s="12"/>
      <c r="DY818" s="14"/>
      <c r="DZ818" s="16"/>
      <c r="EA818" s="14"/>
      <c r="EB818" s="12"/>
      <c r="EC818" s="14"/>
      <c r="ED818" s="16"/>
      <c r="EE818" s="14"/>
      <c r="EF818" s="12"/>
      <c r="EG818" s="12"/>
      <c r="EH818" s="14"/>
      <c r="EI818" s="16"/>
      <c r="EJ818" s="14"/>
      <c r="EK818" s="14"/>
      <c r="EL818" s="14"/>
      <c r="EM818" s="14"/>
      <c r="EN818" s="14"/>
      <c r="EO818" s="14"/>
      <c r="EP818" s="14"/>
      <c r="EQ818" s="12"/>
      <c r="ER818" s="14"/>
      <c r="ES818" s="16"/>
      <c r="ET818" s="14"/>
      <c r="EU818" s="12"/>
      <c r="EV818" s="14"/>
      <c r="EW818" s="16"/>
      <c r="EX818" s="14"/>
      <c r="EY818" s="12"/>
      <c r="EZ818" s="14"/>
      <c r="FA818" s="16"/>
      <c r="FB818" s="14"/>
      <c r="FC818" s="12"/>
      <c r="FD818" s="14"/>
      <c r="FE818" s="16"/>
      <c r="FF818" s="14"/>
      <c r="FG818" s="12"/>
      <c r="FH818" s="14"/>
      <c r="FI818" s="16"/>
      <c r="FJ818" s="14"/>
      <c r="FK818" s="12"/>
      <c r="FL818" s="14"/>
      <c r="FM818" s="16"/>
      <c r="FN818" s="14"/>
      <c r="FO818" s="12"/>
      <c r="FP818" s="14"/>
      <c r="FQ818" s="16"/>
      <c r="FR818" s="14"/>
      <c r="FS818" s="12"/>
      <c r="FT818" s="14"/>
      <c r="FU818" s="16"/>
      <c r="FV818" s="14"/>
      <c r="FW818" s="12"/>
      <c r="FX818" s="14"/>
      <c r="FY818" s="16"/>
      <c r="FZ818" s="14"/>
      <c r="GA818" s="12"/>
      <c r="GB818" s="14"/>
      <c r="GC818" s="16"/>
      <c r="GD818" s="14"/>
      <c r="GE818" s="12"/>
      <c r="GF818" s="14"/>
      <c r="GG818" s="16"/>
      <c r="GH818" s="14"/>
      <c r="GI818" s="12"/>
      <c r="GJ818" s="14"/>
      <c r="GK818" s="16"/>
      <c r="GL818" s="14"/>
      <c r="GM818" s="12"/>
      <c r="GN818" s="14"/>
      <c r="GO818" s="16"/>
      <c r="GP818" s="14"/>
      <c r="GQ818" s="12"/>
      <c r="GR818" s="14"/>
      <c r="GS818" s="16"/>
      <c r="GT818" s="14"/>
      <c r="GU818" s="12"/>
      <c r="GV818" s="14"/>
      <c r="GW818" s="16"/>
      <c r="GX818" s="14"/>
      <c r="GY818" s="12"/>
      <c r="GZ818" s="14"/>
      <c r="HA818" s="16"/>
      <c r="HB818" s="14"/>
      <c r="HC818" s="12"/>
      <c r="HD818" s="12"/>
      <c r="HE818" s="14"/>
      <c r="HF818" s="16"/>
      <c r="HG818" s="14"/>
      <c r="HH818" s="12" t="s">
        <v>320</v>
      </c>
      <c r="HI818" s="12" t="s">
        <v>328</v>
      </c>
      <c r="HJ818" s="12">
        <v>2016</v>
      </c>
      <c r="HK818" s="12" t="s">
        <v>320</v>
      </c>
      <c r="HL818" s="12" t="s">
        <v>319</v>
      </c>
      <c r="HM818" s="12"/>
      <c r="HN818" s="12"/>
      <c r="HO818" s="12"/>
      <c r="HP818" s="12" t="s">
        <v>330</v>
      </c>
      <c r="HQ818" s="12" t="s">
        <v>319</v>
      </c>
      <c r="HR818" s="12" t="s">
        <v>319</v>
      </c>
      <c r="HS818" s="12" t="s">
        <v>320</v>
      </c>
      <c r="HT818" s="12" t="s">
        <v>319</v>
      </c>
      <c r="HU818" s="12" t="s">
        <v>320</v>
      </c>
      <c r="HV818" s="12" t="s">
        <v>320</v>
      </c>
      <c r="HW818" s="12" t="s">
        <v>320</v>
      </c>
      <c r="HX818" s="12" t="s">
        <v>319</v>
      </c>
      <c r="HY818" s="12"/>
      <c r="HZ818" s="12" t="s">
        <v>394</v>
      </c>
      <c r="IA818" s="12" t="s">
        <v>12687</v>
      </c>
      <c r="IB818" s="12" t="s">
        <v>333</v>
      </c>
      <c r="IC818" s="12"/>
      <c r="ID818" s="12" t="s">
        <v>477</v>
      </c>
      <c r="IE818" s="12" t="s">
        <v>478</v>
      </c>
      <c r="IF818" s="12"/>
      <c r="IG818" s="12"/>
      <c r="IH818" s="12"/>
      <c r="II818" s="12"/>
      <c r="IJ818" s="12" t="str">
        <f t="shared" si="517"/>
        <v>No marker score</v>
      </c>
      <c r="IK818" s="12">
        <f t="shared" si="518"/>
        <v>0</v>
      </c>
      <c r="IL818" s="12"/>
      <c r="IM818" s="12"/>
      <c r="IN818" s="12"/>
      <c r="IO818" s="12"/>
      <c r="IP818" s="12"/>
      <c r="IQ818" s="12" t="str">
        <f t="shared" si="519"/>
        <v>No marker score</v>
      </c>
      <c r="IR818" s="12">
        <f t="shared" si="520"/>
        <v>0</v>
      </c>
      <c r="IS818" s="12"/>
      <c r="IT818" s="12"/>
      <c r="IU818" s="12"/>
      <c r="IV818" s="12"/>
      <c r="IW818" s="11" t="str">
        <f t="shared" si="521"/>
        <v>No marker score</v>
      </c>
      <c r="IX818" s="12">
        <f t="shared" si="522"/>
        <v>0</v>
      </c>
      <c r="IY818" s="12" t="s">
        <v>419</v>
      </c>
      <c r="IZ818" s="12" t="s">
        <v>432</v>
      </c>
      <c r="JA818" s="12">
        <v>1</v>
      </c>
      <c r="JB818" s="12" t="s">
        <v>433</v>
      </c>
      <c r="JC818" s="12"/>
      <c r="JD818" s="12"/>
      <c r="JE818" s="12" t="s">
        <v>365</v>
      </c>
      <c r="JF818" s="12"/>
      <c r="JG818" s="12"/>
      <c r="JH818" s="12"/>
      <c r="JI818" s="12"/>
      <c r="JJ818" s="12"/>
      <c r="JK818" s="12" t="s">
        <v>12679</v>
      </c>
      <c r="JL818" s="12" t="s">
        <v>12688</v>
      </c>
      <c r="JM818" s="12" t="s">
        <v>12689</v>
      </c>
      <c r="JN818" s="31" t="s">
        <v>14778</v>
      </c>
      <c r="JO818" s="12"/>
      <c r="JP818" s="15">
        <f t="shared" si="523"/>
        <v>0</v>
      </c>
      <c r="JQ818" s="15">
        <f t="shared" si="524"/>
        <v>0</v>
      </c>
      <c r="JR818" s="279" t="str">
        <f t="shared" si="525"/>
        <v/>
      </c>
      <c r="JS818" s="17" t="str">
        <f t="shared" si="526"/>
        <v/>
      </c>
      <c r="JT818" s="18" t="str">
        <f t="shared" si="527"/>
        <v/>
      </c>
      <c r="JU818" s="280">
        <f t="shared" si="528"/>
        <v>0</v>
      </c>
      <c r="JV818" s="280">
        <f t="shared" si="529"/>
        <v>0</v>
      </c>
      <c r="JW818" s="319">
        <f t="shared" si="530"/>
        <v>1</v>
      </c>
      <c r="JX818" s="15">
        <f t="shared" si="531"/>
        <v>0</v>
      </c>
      <c r="JY818" s="15">
        <f t="shared" si="532"/>
        <v>0</v>
      </c>
      <c r="JZ818" s="19" t="str">
        <f t="shared" si="533"/>
        <v/>
      </c>
      <c r="KA818" s="52" t="str">
        <f t="shared" si="534"/>
        <v/>
      </c>
      <c r="KB818" s="15">
        <f t="shared" si="535"/>
        <v>0</v>
      </c>
      <c r="KC818" s="15">
        <f t="shared" si="536"/>
        <v>0</v>
      </c>
      <c r="KD818" s="20" t="str">
        <f t="shared" si="537"/>
        <v/>
      </c>
      <c r="KE818" s="52" t="str">
        <f t="shared" si="538"/>
        <v/>
      </c>
      <c r="KF818" s="15">
        <f t="shared" si="539"/>
        <v>0</v>
      </c>
      <c r="KG818" s="15">
        <f t="shared" si="540"/>
        <v>0</v>
      </c>
      <c r="KH818" s="21" t="str">
        <f t="shared" si="541"/>
        <v/>
      </c>
      <c r="KI818" s="52" t="str">
        <f t="shared" si="542"/>
        <v/>
      </c>
      <c r="KJ818" s="15">
        <f t="shared" si="543"/>
        <v>0</v>
      </c>
      <c r="KK818" s="15">
        <f t="shared" si="544"/>
        <v>0</v>
      </c>
      <c r="KL818" s="19" t="str">
        <f t="shared" si="545"/>
        <v/>
      </c>
      <c r="KM818" s="52" t="str">
        <f t="shared" si="546"/>
        <v/>
      </c>
      <c r="KN818" s="22">
        <f t="shared" si="547"/>
        <v>0</v>
      </c>
      <c r="KO818" s="22">
        <f t="shared" si="548"/>
        <v>0</v>
      </c>
      <c r="KP818" s="19" t="str">
        <f t="shared" si="549"/>
        <v/>
      </c>
      <c r="KQ818" s="11" t="str">
        <f t="shared" si="550"/>
        <v>No marker score</v>
      </c>
      <c r="KR818" s="11" t="str">
        <f t="shared" si="551"/>
        <v>No marker score</v>
      </c>
      <c r="KS818" s="11" t="str">
        <f t="shared" si="552"/>
        <v>No marker score</v>
      </c>
      <c r="KT818" s="11" t="str">
        <f t="shared" si="553"/>
        <v>It tested new ways for fighting poverty, but did not measure results of innovation</v>
      </c>
      <c r="KU818" s="11" t="str">
        <f t="shared" si="554"/>
        <v>Moderate advocacy</v>
      </c>
      <c r="KV818" s="11" t="str">
        <f t="shared" si="555"/>
        <v>It did not take tested solutions to scale</v>
      </c>
      <c r="KW818" s="11" t="str">
        <f t="shared" si="556"/>
        <v>Turkey - Urgent winterization needs of highly vulnerable refugees in Turkey</v>
      </c>
      <c r="KX818" s="11" t="str">
        <f t="shared" si="557"/>
        <v>Urgent winterization needs of highly vulnerable refugees in Turkey</v>
      </c>
      <c r="KY818" s="11" t="str">
        <f t="shared" si="558"/>
        <v>Turkey</v>
      </c>
      <c r="KZ818" s="12">
        <v>819</v>
      </c>
    </row>
    <row r="819" spans="1:312" x14ac:dyDescent="0.3">
      <c r="A819" s="12" t="s">
        <v>12694</v>
      </c>
      <c r="B819" s="12" t="s">
        <v>1874</v>
      </c>
      <c r="C819" s="12">
        <v>3442</v>
      </c>
      <c r="D819" s="12" t="s">
        <v>12776</v>
      </c>
      <c r="E819" s="277" t="str">
        <f t="shared" si="516"/>
        <v>Uganda</v>
      </c>
      <c r="F819" s="12" t="s">
        <v>12777</v>
      </c>
      <c r="G819" s="12" t="s">
        <v>488</v>
      </c>
      <c r="H819" s="12" t="s">
        <v>384</v>
      </c>
      <c r="I819" s="12" t="s">
        <v>384</v>
      </c>
      <c r="J819" s="281" t="s">
        <v>6656</v>
      </c>
      <c r="K819" s="12"/>
      <c r="L819" s="12"/>
      <c r="M819" s="12"/>
      <c r="N819" s="12"/>
      <c r="O819" s="12"/>
      <c r="P819" s="12"/>
      <c r="Q819" s="12"/>
      <c r="R819" s="12"/>
      <c r="S819" s="12"/>
      <c r="T819" s="12"/>
      <c r="U819" s="12"/>
      <c r="V819" s="12"/>
      <c r="W819" s="12"/>
      <c r="X819" s="12"/>
      <c r="Y819" s="12"/>
      <c r="Z819" s="12"/>
      <c r="AA819" s="12"/>
      <c r="AB819" s="12"/>
      <c r="AC819" s="12"/>
      <c r="AD819" s="12"/>
      <c r="BD819" s="13">
        <v>42465</v>
      </c>
      <c r="BE819" s="13">
        <v>42799</v>
      </c>
      <c r="BF819" s="12"/>
      <c r="BG819" s="12" t="s">
        <v>350</v>
      </c>
      <c r="BH819" s="14">
        <v>332932</v>
      </c>
      <c r="BI819" s="12" t="s">
        <v>12778</v>
      </c>
      <c r="BJ819" s="12" t="s">
        <v>1602</v>
      </c>
      <c r="BK819" s="12" t="s">
        <v>12701</v>
      </c>
      <c r="BL819" s="12"/>
      <c r="BM819" s="12"/>
      <c r="BN819" s="12"/>
      <c r="BO819" s="12" t="s">
        <v>319</v>
      </c>
      <c r="BP819" s="12" t="s">
        <v>320</v>
      </c>
      <c r="BQ819" s="12" t="s">
        <v>319</v>
      </c>
      <c r="BR819" s="12" t="s">
        <v>12779</v>
      </c>
      <c r="BS819" s="12" t="s">
        <v>322</v>
      </c>
      <c r="BT819" s="12" t="s">
        <v>12780</v>
      </c>
      <c r="BU819" s="12" t="s">
        <v>12781</v>
      </c>
      <c r="BV819" s="14">
        <v>13800</v>
      </c>
      <c r="BW819" s="14">
        <v>6200</v>
      </c>
      <c r="BX819" s="14">
        <v>20000</v>
      </c>
      <c r="BY819" s="14">
        <v>55200</v>
      </c>
      <c r="BZ819" s="14">
        <v>24800</v>
      </c>
      <c r="CA819" s="14">
        <v>80000</v>
      </c>
      <c r="CB819" s="12" t="s">
        <v>12782</v>
      </c>
      <c r="CD819" s="14"/>
      <c r="CE819" s="14"/>
      <c r="CF819" s="14"/>
      <c r="CG819" s="14"/>
      <c r="CH819" s="14"/>
      <c r="CI819" s="14"/>
      <c r="CJ819" s="12"/>
      <c r="CK819" s="14"/>
      <c r="CL819" s="16"/>
      <c r="CM819" s="14"/>
      <c r="CN819" s="12"/>
      <c r="CO819" s="14"/>
      <c r="CP819" s="16"/>
      <c r="CQ819" s="14"/>
      <c r="CR819" s="12"/>
      <c r="CS819" s="14"/>
      <c r="CT819" s="16"/>
      <c r="CU819" s="14"/>
      <c r="CV819" s="12"/>
      <c r="CW819" s="14"/>
      <c r="CX819" s="16"/>
      <c r="CY819" s="14"/>
      <c r="CZ819" s="12"/>
      <c r="DA819" s="14"/>
      <c r="DB819" s="16"/>
      <c r="DC819" s="14"/>
      <c r="DD819" s="12"/>
      <c r="DE819" s="14"/>
      <c r="DF819" s="16"/>
      <c r="DG819" s="14"/>
      <c r="DH819" s="12"/>
      <c r="DI819" s="14"/>
      <c r="DJ819" s="16"/>
      <c r="DK819" s="14"/>
      <c r="DL819" s="12"/>
      <c r="DM819" s="14"/>
      <c r="DN819" s="16"/>
      <c r="DO819" s="14"/>
      <c r="DP819" s="12"/>
      <c r="DQ819" s="14"/>
      <c r="DR819" s="16"/>
      <c r="DS819" s="14"/>
      <c r="DT819" s="12"/>
      <c r="DU819" s="14"/>
      <c r="DV819" s="16"/>
      <c r="DW819" s="14"/>
      <c r="DX819" s="12"/>
      <c r="DY819" s="14"/>
      <c r="DZ819" s="16"/>
      <c r="EA819" s="14"/>
      <c r="EB819" s="12"/>
      <c r="EC819" s="14"/>
      <c r="ED819" s="16"/>
      <c r="EE819" s="14"/>
      <c r="EF819" s="12"/>
      <c r="EG819" s="12"/>
      <c r="EH819" s="14"/>
      <c r="EI819" s="16"/>
      <c r="EJ819" s="14"/>
      <c r="EK819" s="14">
        <v>3010</v>
      </c>
      <c r="EL819" s="14">
        <v>1290</v>
      </c>
      <c r="EM819" s="14">
        <v>4300</v>
      </c>
      <c r="EN819" s="14">
        <v>12040</v>
      </c>
      <c r="EO819" s="14">
        <v>5160</v>
      </c>
      <c r="EP819" s="14">
        <v>17200</v>
      </c>
      <c r="EQ819" s="12" t="s">
        <v>319</v>
      </c>
      <c r="ER819" s="14"/>
      <c r="ES819" s="16"/>
      <c r="ET819" s="14"/>
      <c r="EU819" s="11" t="s">
        <v>319</v>
      </c>
      <c r="EV819" s="14"/>
      <c r="EW819" s="16"/>
      <c r="EX819" s="14"/>
      <c r="EY819" s="12" t="s">
        <v>319</v>
      </c>
      <c r="EZ819" s="14"/>
      <c r="FA819" s="16"/>
      <c r="FB819" s="14"/>
      <c r="FC819" s="12" t="s">
        <v>319</v>
      </c>
      <c r="FD819" s="14"/>
      <c r="FE819" s="16"/>
      <c r="FF819" s="14"/>
      <c r="FG819" s="12" t="s">
        <v>320</v>
      </c>
      <c r="FH819" s="14">
        <v>4300</v>
      </c>
      <c r="FI819" s="16">
        <v>0.7</v>
      </c>
      <c r="FJ819" s="14">
        <v>17200</v>
      </c>
      <c r="FK819" s="12" t="s">
        <v>319</v>
      </c>
      <c r="FL819" s="14"/>
      <c r="FM819" s="16"/>
      <c r="FN819" s="14"/>
      <c r="FO819" s="12" t="s">
        <v>319</v>
      </c>
      <c r="FP819" s="14"/>
      <c r="FQ819" s="16"/>
      <c r="FR819" s="14"/>
      <c r="FS819" s="12" t="s">
        <v>319</v>
      </c>
      <c r="FT819" s="14"/>
      <c r="FU819" s="16"/>
      <c r="FV819" s="14"/>
      <c r="FW819" s="12" t="s">
        <v>319</v>
      </c>
      <c r="FX819" s="14"/>
      <c r="FY819" s="16"/>
      <c r="FZ819" s="14"/>
      <c r="GA819" s="12" t="s">
        <v>319</v>
      </c>
      <c r="GB819" s="14"/>
      <c r="GC819" s="16"/>
      <c r="GD819" s="14"/>
      <c r="GE819" s="12" t="s">
        <v>319</v>
      </c>
      <c r="GF819" s="14"/>
      <c r="GG819" s="16"/>
      <c r="GH819" s="14"/>
      <c r="GI819" s="12" t="s">
        <v>319</v>
      </c>
      <c r="GJ819" s="14"/>
      <c r="GK819" s="16"/>
      <c r="GL819" s="14"/>
      <c r="GM819" s="12" t="s">
        <v>319</v>
      </c>
      <c r="GN819" s="14"/>
      <c r="GO819" s="16"/>
      <c r="GP819" s="14"/>
      <c r="GQ819" s="12" t="s">
        <v>319</v>
      </c>
      <c r="GR819" s="14"/>
      <c r="GS819" s="16"/>
      <c r="GT819" s="14"/>
      <c r="GU819" s="12" t="s">
        <v>319</v>
      </c>
      <c r="GV819" s="14"/>
      <c r="GW819" s="16"/>
      <c r="GX819" s="14"/>
      <c r="GY819" s="11" t="s">
        <v>320</v>
      </c>
      <c r="GZ819" s="14">
        <v>4300</v>
      </c>
      <c r="HA819" s="16">
        <v>0.7</v>
      </c>
      <c r="HB819" s="14">
        <v>17200</v>
      </c>
      <c r="HC819" s="12"/>
      <c r="HD819" s="12"/>
      <c r="HE819" s="14"/>
      <c r="HF819" s="16"/>
      <c r="HG819" s="14"/>
      <c r="HH819" s="12" t="s">
        <v>319</v>
      </c>
      <c r="HI819" s="12"/>
      <c r="HJ819" s="12"/>
      <c r="HK819" s="12" t="s">
        <v>319</v>
      </c>
      <c r="HL819" s="12" t="s">
        <v>319</v>
      </c>
      <c r="HM819" s="12"/>
      <c r="HN819" s="12"/>
      <c r="HO819" s="12" t="s">
        <v>393</v>
      </c>
      <c r="HP819" s="12" t="s">
        <v>330</v>
      </c>
      <c r="HQ819" s="12" t="s">
        <v>320</v>
      </c>
      <c r="HR819" s="12" t="s">
        <v>319</v>
      </c>
      <c r="HS819" s="12" t="s">
        <v>320</v>
      </c>
      <c r="HT819" s="12" t="s">
        <v>319</v>
      </c>
      <c r="HU819" s="12" t="s">
        <v>320</v>
      </c>
      <c r="HV819" s="12" t="s">
        <v>320</v>
      </c>
      <c r="HW819" s="12" t="s">
        <v>319</v>
      </c>
      <c r="HX819" s="12" t="s">
        <v>320</v>
      </c>
      <c r="HY819" s="12" t="s">
        <v>12783</v>
      </c>
      <c r="HZ819" s="12" t="s">
        <v>331</v>
      </c>
      <c r="IA819" s="12" t="s">
        <v>12784</v>
      </c>
      <c r="IB819" s="12" t="s">
        <v>396</v>
      </c>
      <c r="IC819" s="12" t="s">
        <v>12785</v>
      </c>
      <c r="ID819" s="12" t="s">
        <v>334</v>
      </c>
      <c r="IE819" s="12" t="s">
        <v>335</v>
      </c>
      <c r="IF819" s="12" t="s">
        <v>320</v>
      </c>
      <c r="IG819" s="12" t="s">
        <v>320</v>
      </c>
      <c r="IH819" s="12" t="s">
        <v>320</v>
      </c>
      <c r="II819" s="12" t="s">
        <v>320</v>
      </c>
      <c r="IJ819" s="12" t="str">
        <f t="shared" si="517"/>
        <v>2. Sensitive</v>
      </c>
      <c r="IK819" s="12">
        <f t="shared" si="518"/>
        <v>4</v>
      </c>
      <c r="IL819" s="12" t="s">
        <v>336</v>
      </c>
      <c r="IM819" s="12" t="s">
        <v>320</v>
      </c>
      <c r="IN819" s="12" t="s">
        <v>320</v>
      </c>
      <c r="IO819" s="12" t="s">
        <v>320</v>
      </c>
      <c r="IP819" s="12" t="s">
        <v>320</v>
      </c>
      <c r="IQ819" s="12" t="str">
        <f t="shared" si="519"/>
        <v>2. Accommodating</v>
      </c>
      <c r="IR819" s="12">
        <f t="shared" si="520"/>
        <v>4</v>
      </c>
      <c r="IS819" s="12" t="s">
        <v>337</v>
      </c>
      <c r="IT819" s="12" t="s">
        <v>320</v>
      </c>
      <c r="IU819" s="12" t="s">
        <v>320</v>
      </c>
      <c r="IV819" s="12" t="s">
        <v>320</v>
      </c>
      <c r="IW819" s="11" t="str">
        <f t="shared" si="521"/>
        <v>2. Sensitive</v>
      </c>
      <c r="IX819" s="12">
        <f t="shared" si="522"/>
        <v>3</v>
      </c>
      <c r="IY819" s="12" t="s">
        <v>338</v>
      </c>
      <c r="IZ819" s="12" t="s">
        <v>457</v>
      </c>
      <c r="JA819" s="12">
        <v>2</v>
      </c>
      <c r="JB819" s="12"/>
      <c r="JC819" s="12"/>
      <c r="JD819" s="12"/>
      <c r="JE819" s="12" t="s">
        <v>365</v>
      </c>
      <c r="JF819" s="12" t="s">
        <v>12786</v>
      </c>
      <c r="JG819" s="12"/>
      <c r="JH819" s="12" t="s">
        <v>12787</v>
      </c>
      <c r="JI819" s="12" t="s">
        <v>12788</v>
      </c>
      <c r="JJ819" s="12" t="s">
        <v>12789</v>
      </c>
      <c r="JK819" s="12" t="s">
        <v>12790</v>
      </c>
      <c r="JL819" s="12"/>
      <c r="JM819" s="12"/>
      <c r="JN819" s="12" t="s">
        <v>12791</v>
      </c>
      <c r="JO819" s="12" t="s">
        <v>12792</v>
      </c>
      <c r="JP819" s="15">
        <f t="shared" si="523"/>
        <v>4300</v>
      </c>
      <c r="JQ819" s="15">
        <f t="shared" si="524"/>
        <v>17200</v>
      </c>
      <c r="JR819" s="279">
        <f t="shared" si="525"/>
        <v>4</v>
      </c>
      <c r="JS819" s="17">
        <f t="shared" si="526"/>
        <v>0.7</v>
      </c>
      <c r="JT819" s="18">
        <f t="shared" si="527"/>
        <v>0.7</v>
      </c>
      <c r="JU819" s="280">
        <f t="shared" si="528"/>
        <v>3010</v>
      </c>
      <c r="JV819" s="280">
        <f t="shared" si="529"/>
        <v>12040</v>
      </c>
      <c r="JW819" s="319" t="str">
        <f t="shared" si="530"/>
        <v/>
      </c>
      <c r="JX819" s="15">
        <f t="shared" si="531"/>
        <v>0</v>
      </c>
      <c r="JY819" s="15">
        <f t="shared" si="532"/>
        <v>0</v>
      </c>
      <c r="JZ819" s="19" t="str">
        <f t="shared" si="533"/>
        <v/>
      </c>
      <c r="KA819" s="52">
        <f t="shared" si="534"/>
        <v>1</v>
      </c>
      <c r="KB819" s="15">
        <f t="shared" si="535"/>
        <v>4300</v>
      </c>
      <c r="KC819" s="15">
        <f t="shared" si="536"/>
        <v>17200</v>
      </c>
      <c r="KD819" s="20">
        <f t="shared" si="537"/>
        <v>4</v>
      </c>
      <c r="KE819" s="52" t="str">
        <f t="shared" si="538"/>
        <v/>
      </c>
      <c r="KF819" s="15">
        <f t="shared" si="539"/>
        <v>0</v>
      </c>
      <c r="KG819" s="15">
        <f t="shared" si="540"/>
        <v>0</v>
      </c>
      <c r="KH819" s="21" t="str">
        <f t="shared" si="541"/>
        <v/>
      </c>
      <c r="KI819" s="52" t="str">
        <f t="shared" si="542"/>
        <v/>
      </c>
      <c r="KJ819" s="15">
        <f t="shared" si="543"/>
        <v>0</v>
      </c>
      <c r="KK819" s="15">
        <f t="shared" si="544"/>
        <v>0</v>
      </c>
      <c r="KL819" s="19" t="str">
        <f t="shared" si="545"/>
        <v/>
      </c>
      <c r="KM819" s="52">
        <f t="shared" si="546"/>
        <v>1</v>
      </c>
      <c r="KN819" s="22">
        <f t="shared" si="547"/>
        <v>4300</v>
      </c>
      <c r="KO819" s="22">
        <f t="shared" si="548"/>
        <v>17200</v>
      </c>
      <c r="KP819" s="19">
        <f t="shared" si="549"/>
        <v>4</v>
      </c>
      <c r="KQ819" s="11" t="str">
        <f t="shared" si="550"/>
        <v>2. Sensitive</v>
      </c>
      <c r="KR819" s="11" t="str">
        <f t="shared" si="551"/>
        <v>2. Accommodating</v>
      </c>
      <c r="KS819" s="11" t="str">
        <f t="shared" si="552"/>
        <v>2. Sensitive</v>
      </c>
      <c r="KT819" s="11" t="str">
        <f t="shared" si="553"/>
        <v>It tested new ways for fighting poverty and measured results of innovation</v>
      </c>
      <c r="KU819" s="11" t="str">
        <f t="shared" si="554"/>
        <v>Moderate advocacy</v>
      </c>
      <c r="KV819" s="11" t="str">
        <f t="shared" si="555"/>
        <v>It linked and worked with strategic alliances and partners to take tested and effective solutions to scale</v>
      </c>
      <c r="KW819" s="11" t="str">
        <f t="shared" si="556"/>
        <v>Uganda - BARCLAYS PROJECT LINK</v>
      </c>
      <c r="KX819" s="11" t="str">
        <f t="shared" si="557"/>
        <v>BARCLAYS PROJECT LINK</v>
      </c>
      <c r="KY819" s="11" t="str">
        <f t="shared" si="558"/>
        <v>Uganda</v>
      </c>
      <c r="KZ819" s="12">
        <v>820</v>
      </c>
    </row>
    <row r="820" spans="1:312" x14ac:dyDescent="0.3">
      <c r="A820" s="12" t="s">
        <v>12694</v>
      </c>
      <c r="B820" s="12" t="s">
        <v>1874</v>
      </c>
      <c r="C820" s="12">
        <v>3441</v>
      </c>
      <c r="D820" s="12" t="s">
        <v>12816</v>
      </c>
      <c r="E820" s="277" t="str">
        <f t="shared" si="516"/>
        <v>Uganda</v>
      </c>
      <c r="F820" s="12" t="s">
        <v>12817</v>
      </c>
      <c r="G820" s="12" t="s">
        <v>379</v>
      </c>
      <c r="H820" s="12" t="s">
        <v>383</v>
      </c>
      <c r="I820" s="12" t="s">
        <v>384</v>
      </c>
      <c r="J820" s="278" t="s">
        <v>1102</v>
      </c>
      <c r="K820" s="12"/>
      <c r="L820" s="12"/>
      <c r="M820" s="12"/>
      <c r="N820" s="12"/>
      <c r="O820" s="12"/>
      <c r="P820" s="12"/>
      <c r="Q820" s="12"/>
      <c r="R820" s="12"/>
      <c r="S820" s="12"/>
      <c r="T820" s="12"/>
      <c r="U820" s="12"/>
      <c r="V820" s="12"/>
      <c r="W820" s="12"/>
      <c r="X820" s="12"/>
      <c r="Y820" s="12"/>
      <c r="Z820" s="12"/>
      <c r="AA820" s="12"/>
      <c r="AB820" s="12"/>
      <c r="AC820" s="12"/>
      <c r="AD820" s="12"/>
      <c r="BD820" s="13">
        <v>42370</v>
      </c>
      <c r="BE820" s="13">
        <v>43830</v>
      </c>
      <c r="BF820" s="12"/>
      <c r="BG820" s="12" t="s">
        <v>350</v>
      </c>
      <c r="BH820" s="14">
        <v>798062</v>
      </c>
      <c r="BI820" s="12" t="s">
        <v>12818</v>
      </c>
      <c r="BJ820" s="12" t="s">
        <v>3637</v>
      </c>
      <c r="BK820" s="12" t="s">
        <v>12819</v>
      </c>
      <c r="BL820" s="12"/>
      <c r="BM820" s="12"/>
      <c r="BN820" s="12"/>
      <c r="BO820" s="12" t="s">
        <v>319</v>
      </c>
      <c r="BP820" s="12" t="s">
        <v>320</v>
      </c>
      <c r="BQ820" s="12" t="s">
        <v>319</v>
      </c>
      <c r="BR820" s="12" t="s">
        <v>12820</v>
      </c>
      <c r="BS820" s="12" t="s">
        <v>357</v>
      </c>
      <c r="BT820" s="12" t="s">
        <v>12821</v>
      </c>
      <c r="BU820" s="12" t="s">
        <v>12822</v>
      </c>
      <c r="BV820" s="14">
        <v>1213</v>
      </c>
      <c r="BW820" s="14">
        <v>953</v>
      </c>
      <c r="BX820" s="14">
        <v>2166</v>
      </c>
      <c r="BY820" s="14">
        <v>4852</v>
      </c>
      <c r="BZ820" s="14">
        <v>3812</v>
      </c>
      <c r="CA820" s="14">
        <v>8664</v>
      </c>
      <c r="CB820" s="12" t="s">
        <v>12782</v>
      </c>
      <c r="CD820" s="14"/>
      <c r="CE820" s="14"/>
      <c r="CF820" s="14"/>
      <c r="CG820" s="14"/>
      <c r="CH820" s="14"/>
      <c r="CI820" s="14"/>
      <c r="CJ820" s="12"/>
      <c r="CK820" s="14"/>
      <c r="CL820" s="16"/>
      <c r="CM820" s="14"/>
      <c r="CN820" s="12"/>
      <c r="CO820" s="14"/>
      <c r="CP820" s="16"/>
      <c r="CQ820" s="14"/>
      <c r="CR820" s="12"/>
      <c r="CS820" s="14"/>
      <c r="CT820" s="16"/>
      <c r="CU820" s="14"/>
      <c r="CV820" s="12"/>
      <c r="CW820" s="14"/>
      <c r="CX820" s="16"/>
      <c r="CY820" s="14"/>
      <c r="CZ820" s="12"/>
      <c r="DA820" s="14"/>
      <c r="DB820" s="16"/>
      <c r="DC820" s="14"/>
      <c r="DD820" s="12"/>
      <c r="DE820" s="14"/>
      <c r="DF820" s="16"/>
      <c r="DG820" s="14"/>
      <c r="DH820" s="12"/>
      <c r="DI820" s="14"/>
      <c r="DJ820" s="16"/>
      <c r="DK820" s="14"/>
      <c r="DL820" s="12"/>
      <c r="DM820" s="14"/>
      <c r="DN820" s="16"/>
      <c r="DO820" s="14"/>
      <c r="DP820" s="12"/>
      <c r="DQ820" s="14"/>
      <c r="DR820" s="16"/>
      <c r="DS820" s="14"/>
      <c r="DT820" s="12"/>
      <c r="DU820" s="14"/>
      <c r="DV820" s="16"/>
      <c r="DW820" s="14"/>
      <c r="DX820" s="12"/>
      <c r="DY820" s="14"/>
      <c r="DZ820" s="16"/>
      <c r="EA820" s="14"/>
      <c r="EB820" s="12"/>
      <c r="EC820" s="14"/>
      <c r="ED820" s="16"/>
      <c r="EE820" s="14"/>
      <c r="EF820" s="12"/>
      <c r="EG820" s="12"/>
      <c r="EH820" s="14"/>
      <c r="EI820" s="16"/>
      <c r="EJ820" s="14"/>
      <c r="EK820" s="14">
        <v>497</v>
      </c>
      <c r="EL820" s="14">
        <v>213</v>
      </c>
      <c r="EM820" s="14">
        <v>710</v>
      </c>
      <c r="EN820" s="14">
        <v>1988</v>
      </c>
      <c r="EO820" s="14">
        <v>852</v>
      </c>
      <c r="EP820" s="14">
        <v>2840</v>
      </c>
      <c r="EQ820" s="12" t="s">
        <v>319</v>
      </c>
      <c r="ER820" s="14"/>
      <c r="ES820" s="16"/>
      <c r="ET820" s="14"/>
      <c r="EU820" s="11" t="s">
        <v>319</v>
      </c>
      <c r="EV820" s="14"/>
      <c r="EW820" s="16"/>
      <c r="EX820" s="14"/>
      <c r="EY820" s="12" t="s">
        <v>319</v>
      </c>
      <c r="EZ820" s="14"/>
      <c r="FA820" s="16"/>
      <c r="FB820" s="14"/>
      <c r="FC820" s="12" t="s">
        <v>319</v>
      </c>
      <c r="FD820" s="14"/>
      <c r="FE820" s="16"/>
      <c r="FF820" s="14"/>
      <c r="FG820" s="12" t="s">
        <v>320</v>
      </c>
      <c r="FH820" s="14">
        <v>710</v>
      </c>
      <c r="FI820" s="16">
        <v>0.7</v>
      </c>
      <c r="FJ820" s="14">
        <v>2840</v>
      </c>
      <c r="FK820" s="12" t="s">
        <v>319</v>
      </c>
      <c r="FL820" s="14"/>
      <c r="FM820" s="16"/>
      <c r="FN820" s="14"/>
      <c r="FO820" s="12" t="s">
        <v>319</v>
      </c>
      <c r="FP820" s="14"/>
      <c r="FQ820" s="16"/>
      <c r="FR820" s="14"/>
      <c r="FS820" s="12" t="s">
        <v>320</v>
      </c>
      <c r="FT820" s="14">
        <v>4</v>
      </c>
      <c r="FU820" s="16">
        <v>1</v>
      </c>
      <c r="FV820" s="14">
        <v>16</v>
      </c>
      <c r="FW820" s="11" t="s">
        <v>320</v>
      </c>
      <c r="FX820" s="14">
        <v>241</v>
      </c>
      <c r="FY820" s="16">
        <v>0.804979253112033</v>
      </c>
      <c r="FZ820" s="14">
        <v>964</v>
      </c>
      <c r="GA820" s="12" t="s">
        <v>319</v>
      </c>
      <c r="GB820" s="14"/>
      <c r="GC820" s="16"/>
      <c r="GD820" s="14"/>
      <c r="GE820" s="12" t="s">
        <v>319</v>
      </c>
      <c r="GF820" s="14"/>
      <c r="GG820" s="16"/>
      <c r="GH820" s="14"/>
      <c r="GI820" s="12" t="s">
        <v>319</v>
      </c>
      <c r="GJ820" s="14"/>
      <c r="GK820" s="16"/>
      <c r="GL820" s="14"/>
      <c r="GM820" s="12" t="s">
        <v>319</v>
      </c>
      <c r="GN820" s="14"/>
      <c r="GO820" s="16"/>
      <c r="GP820" s="14"/>
      <c r="GQ820" s="12" t="s">
        <v>319</v>
      </c>
      <c r="GR820" s="14"/>
      <c r="GS820" s="16"/>
      <c r="GT820" s="14"/>
      <c r="GU820" s="12" t="s">
        <v>319</v>
      </c>
      <c r="GV820" s="14"/>
      <c r="GW820" s="16"/>
      <c r="GX820" s="14"/>
      <c r="GY820" s="11" t="s">
        <v>320</v>
      </c>
      <c r="GZ820" s="14">
        <v>710</v>
      </c>
      <c r="HA820" s="16">
        <v>0.7</v>
      </c>
      <c r="HB820" s="14">
        <v>2840</v>
      </c>
      <c r="HC820" s="12"/>
      <c r="HD820" s="12"/>
      <c r="HE820" s="14"/>
      <c r="HF820" s="16"/>
      <c r="HG820" s="14"/>
      <c r="HH820" s="12" t="s">
        <v>319</v>
      </c>
      <c r="HI820" s="12"/>
      <c r="HJ820" s="12"/>
      <c r="HK820" s="12" t="s">
        <v>319</v>
      </c>
      <c r="HL820" s="12" t="s">
        <v>319</v>
      </c>
      <c r="HM820" s="12"/>
      <c r="HN820" s="12"/>
      <c r="HO820" s="12"/>
      <c r="HP820" s="12" t="s">
        <v>330</v>
      </c>
      <c r="HQ820" s="12" t="s">
        <v>320</v>
      </c>
      <c r="HR820" s="12" t="s">
        <v>319</v>
      </c>
      <c r="HS820" s="12" t="s">
        <v>320</v>
      </c>
      <c r="HT820" s="12" t="s">
        <v>319</v>
      </c>
      <c r="HU820" s="12" t="s">
        <v>320</v>
      </c>
      <c r="HV820" s="12" t="s">
        <v>319</v>
      </c>
      <c r="HW820" s="12" t="s">
        <v>319</v>
      </c>
      <c r="HX820" s="12" t="s">
        <v>320</v>
      </c>
      <c r="HY820" s="12" t="s">
        <v>12823</v>
      </c>
      <c r="HZ820" s="12" t="s">
        <v>331</v>
      </c>
      <c r="IA820" s="12" t="s">
        <v>12824</v>
      </c>
      <c r="IB820" s="12" t="s">
        <v>396</v>
      </c>
      <c r="IC820" s="12" t="s">
        <v>12825</v>
      </c>
      <c r="ID820" s="12" t="s">
        <v>334</v>
      </c>
      <c r="IE820" s="12" t="s">
        <v>478</v>
      </c>
      <c r="IF820" s="12" t="s">
        <v>320</v>
      </c>
      <c r="IG820" s="12" t="s">
        <v>320</v>
      </c>
      <c r="IH820" s="12" t="s">
        <v>320</v>
      </c>
      <c r="II820" s="12" t="s">
        <v>320</v>
      </c>
      <c r="IJ820" s="12" t="str">
        <f t="shared" si="517"/>
        <v>4. Transformative</v>
      </c>
      <c r="IK820" s="12">
        <f t="shared" si="518"/>
        <v>4</v>
      </c>
      <c r="IL820" s="12" t="s">
        <v>336</v>
      </c>
      <c r="IM820" s="12" t="s">
        <v>320</v>
      </c>
      <c r="IN820" s="12" t="s">
        <v>320</v>
      </c>
      <c r="IO820" s="12" t="s">
        <v>320</v>
      </c>
      <c r="IP820" s="12" t="s">
        <v>320</v>
      </c>
      <c r="IQ820" s="12" t="str">
        <f t="shared" si="519"/>
        <v>2. Accommodating</v>
      </c>
      <c r="IR820" s="12">
        <f t="shared" si="520"/>
        <v>4</v>
      </c>
      <c r="IS820" s="12" t="s">
        <v>337</v>
      </c>
      <c r="IT820" s="12" t="s">
        <v>320</v>
      </c>
      <c r="IU820" s="12" t="s">
        <v>320</v>
      </c>
      <c r="IV820" s="12" t="s">
        <v>320</v>
      </c>
      <c r="IW820" s="11" t="str">
        <f t="shared" si="521"/>
        <v>2. Sensitive</v>
      </c>
      <c r="IX820" s="12">
        <f t="shared" si="522"/>
        <v>3</v>
      </c>
      <c r="IY820" s="12" t="s">
        <v>338</v>
      </c>
      <c r="IZ820" s="12" t="s">
        <v>457</v>
      </c>
      <c r="JA820" s="12">
        <v>4</v>
      </c>
      <c r="JB820" s="12" t="s">
        <v>585</v>
      </c>
      <c r="JC820" s="12" t="s">
        <v>433</v>
      </c>
      <c r="JD820" s="12" t="s">
        <v>724</v>
      </c>
      <c r="JE820" s="12" t="s">
        <v>365</v>
      </c>
      <c r="JF820" s="12" t="s">
        <v>12826</v>
      </c>
      <c r="JG820" s="12"/>
      <c r="JH820" s="12" t="s">
        <v>12787</v>
      </c>
      <c r="JI820" s="12" t="s">
        <v>12827</v>
      </c>
      <c r="JJ820" s="12" t="s">
        <v>12828</v>
      </c>
      <c r="JK820" s="12" t="s">
        <v>12829</v>
      </c>
      <c r="JL820" s="12" t="s">
        <v>12830</v>
      </c>
      <c r="JM820" s="12" t="s">
        <v>12831</v>
      </c>
      <c r="JN820" s="12" t="s">
        <v>12832</v>
      </c>
      <c r="JO820" s="12" t="s">
        <v>12833</v>
      </c>
      <c r="JP820" s="15">
        <f t="shared" si="523"/>
        <v>710</v>
      </c>
      <c r="JQ820" s="15">
        <f t="shared" si="524"/>
        <v>2840</v>
      </c>
      <c r="JR820" s="279">
        <f t="shared" si="525"/>
        <v>4</v>
      </c>
      <c r="JS820" s="17">
        <f t="shared" si="526"/>
        <v>0.7</v>
      </c>
      <c r="JT820" s="18">
        <f t="shared" si="527"/>
        <v>0.7</v>
      </c>
      <c r="JU820" s="280">
        <f t="shared" si="528"/>
        <v>497</v>
      </c>
      <c r="JV820" s="280">
        <f t="shared" si="529"/>
        <v>1988</v>
      </c>
      <c r="JW820" s="319" t="str">
        <f t="shared" si="530"/>
        <v/>
      </c>
      <c r="JX820" s="15">
        <f t="shared" si="531"/>
        <v>0</v>
      </c>
      <c r="JY820" s="15">
        <f t="shared" si="532"/>
        <v>0</v>
      </c>
      <c r="JZ820" s="19" t="str">
        <f t="shared" si="533"/>
        <v/>
      </c>
      <c r="KA820" s="52">
        <f t="shared" si="534"/>
        <v>1</v>
      </c>
      <c r="KB820" s="15">
        <f t="shared" si="535"/>
        <v>710</v>
      </c>
      <c r="KC820" s="15">
        <f t="shared" si="536"/>
        <v>2840</v>
      </c>
      <c r="KD820" s="20">
        <f t="shared" si="537"/>
        <v>4</v>
      </c>
      <c r="KE820" s="52" t="str">
        <f t="shared" si="538"/>
        <v/>
      </c>
      <c r="KF820" s="15">
        <f t="shared" si="539"/>
        <v>0</v>
      </c>
      <c r="KG820" s="15">
        <f t="shared" si="540"/>
        <v>0</v>
      </c>
      <c r="KH820" s="21" t="str">
        <f t="shared" si="541"/>
        <v/>
      </c>
      <c r="KI820" s="52">
        <f t="shared" si="542"/>
        <v>1</v>
      </c>
      <c r="KJ820" s="15">
        <f t="shared" si="543"/>
        <v>4</v>
      </c>
      <c r="KK820" s="15">
        <f t="shared" si="544"/>
        <v>16</v>
      </c>
      <c r="KL820" s="19">
        <f t="shared" si="545"/>
        <v>4</v>
      </c>
      <c r="KM820" s="52">
        <f t="shared" si="546"/>
        <v>1</v>
      </c>
      <c r="KN820" s="22">
        <f t="shared" si="547"/>
        <v>710</v>
      </c>
      <c r="KO820" s="22">
        <f t="shared" si="548"/>
        <v>2840</v>
      </c>
      <c r="KP820" s="19">
        <f t="shared" si="549"/>
        <v>4</v>
      </c>
      <c r="KQ820" s="11" t="str">
        <f t="shared" si="550"/>
        <v>4. Transformative</v>
      </c>
      <c r="KR820" s="11" t="str">
        <f t="shared" si="551"/>
        <v>2. Accommodating</v>
      </c>
      <c r="KS820" s="11" t="str">
        <f t="shared" si="552"/>
        <v>2. Sensitive</v>
      </c>
      <c r="KT820" s="11" t="str">
        <f t="shared" si="553"/>
        <v>It tested new ways for fighting poverty and measured results of innovation</v>
      </c>
      <c r="KU820" s="11" t="str">
        <f t="shared" si="554"/>
        <v>Moderate advocacy</v>
      </c>
      <c r="KV820" s="11" t="str">
        <f t="shared" si="555"/>
        <v>It linked and worked with strategic alliances and partners to take tested and effective solutions to scale</v>
      </c>
      <c r="KW820" s="11" t="str">
        <f t="shared" si="556"/>
        <v>Uganda - Digital Sub-Wallets for Increased Financial Empowerment of Women</v>
      </c>
      <c r="KX820" s="11" t="str">
        <f t="shared" si="557"/>
        <v>Digital Sub-Wallets for Increased Financial Empowerment of Women</v>
      </c>
      <c r="KY820" s="11" t="str">
        <f t="shared" si="558"/>
        <v>Uganda</v>
      </c>
      <c r="KZ820" s="12">
        <v>821</v>
      </c>
    </row>
    <row r="821" spans="1:312" x14ac:dyDescent="0.3">
      <c r="A821" s="12" t="s">
        <v>12694</v>
      </c>
      <c r="B821" s="12" t="s">
        <v>1874</v>
      </c>
      <c r="C821" s="12">
        <v>3438</v>
      </c>
      <c r="D821" s="12" t="s">
        <v>12856</v>
      </c>
      <c r="E821" s="277" t="str">
        <f t="shared" si="516"/>
        <v>Uganda</v>
      </c>
      <c r="F821" s="12" t="s">
        <v>12857</v>
      </c>
      <c r="G821" s="12" t="s">
        <v>608</v>
      </c>
      <c r="H821" s="12" t="s">
        <v>380</v>
      </c>
      <c r="I821" s="12" t="s">
        <v>384</v>
      </c>
      <c r="J821" s="281" t="s">
        <v>14683</v>
      </c>
      <c r="K821" s="12"/>
      <c r="L821" s="12"/>
      <c r="M821" s="12"/>
      <c r="N821" s="12"/>
      <c r="O821" s="12"/>
      <c r="P821" s="12"/>
      <c r="Q821" s="12"/>
      <c r="R821" s="12"/>
      <c r="S821" s="12"/>
      <c r="T821" s="12"/>
      <c r="U821" s="12"/>
      <c r="V821" s="12"/>
      <c r="W821" s="12"/>
      <c r="X821" s="12"/>
      <c r="Y821" s="12"/>
      <c r="Z821" s="12"/>
      <c r="AA821" s="12"/>
      <c r="AB821" s="12"/>
      <c r="AC821" s="12"/>
      <c r="AD821" s="12"/>
      <c r="BD821" s="13">
        <v>42248</v>
      </c>
      <c r="BE821" s="13">
        <v>42734</v>
      </c>
      <c r="BF821" s="13">
        <v>42855</v>
      </c>
      <c r="BG821" s="12" t="s">
        <v>350</v>
      </c>
      <c r="BH821" s="14">
        <v>284880</v>
      </c>
      <c r="BI821" s="12" t="s">
        <v>12778</v>
      </c>
      <c r="BJ821" s="12" t="s">
        <v>1602</v>
      </c>
      <c r="BK821" s="12" t="s">
        <v>12701</v>
      </c>
      <c r="BL821" s="12"/>
      <c r="BM821" s="12"/>
      <c r="BN821" s="12"/>
      <c r="BO821" s="12" t="s">
        <v>319</v>
      </c>
      <c r="BP821" s="12" t="s">
        <v>320</v>
      </c>
      <c r="BQ821" s="12" t="s">
        <v>319</v>
      </c>
      <c r="BR821" s="12" t="s">
        <v>12858</v>
      </c>
      <c r="BS821" s="12" t="s">
        <v>357</v>
      </c>
      <c r="BT821" s="12" t="s">
        <v>12859</v>
      </c>
      <c r="BU821" s="12" t="s">
        <v>12860</v>
      </c>
      <c r="BV821" s="14">
        <v>6793</v>
      </c>
      <c r="BW821" s="14">
        <v>5557</v>
      </c>
      <c r="BX821" s="14">
        <v>12350</v>
      </c>
      <c r="BY821" s="14">
        <v>27172</v>
      </c>
      <c r="BZ821" s="14">
        <v>22228</v>
      </c>
      <c r="CA821" s="14">
        <v>49400</v>
      </c>
      <c r="CB821" s="12" t="s">
        <v>12782</v>
      </c>
      <c r="CD821" s="14"/>
      <c r="CE821" s="14"/>
      <c r="CF821" s="14"/>
      <c r="CG821" s="14"/>
      <c r="CH821" s="14"/>
      <c r="CI821" s="14"/>
      <c r="CJ821" s="12"/>
      <c r="CK821" s="14"/>
      <c r="CL821" s="16"/>
      <c r="CM821" s="14"/>
      <c r="CN821" s="12"/>
      <c r="CO821" s="14"/>
      <c r="CP821" s="16"/>
      <c r="CQ821" s="14"/>
      <c r="CR821" s="12"/>
      <c r="CS821" s="14"/>
      <c r="CT821" s="16"/>
      <c r="CU821" s="14"/>
      <c r="CV821" s="12"/>
      <c r="CW821" s="14"/>
      <c r="CX821" s="16"/>
      <c r="CY821" s="14"/>
      <c r="CZ821" s="12"/>
      <c r="DA821" s="14"/>
      <c r="DB821" s="16"/>
      <c r="DC821" s="14"/>
      <c r="DD821" s="12"/>
      <c r="DE821" s="14"/>
      <c r="DF821" s="16"/>
      <c r="DG821" s="14"/>
      <c r="DH821" s="12"/>
      <c r="DI821" s="14"/>
      <c r="DJ821" s="16"/>
      <c r="DK821" s="14"/>
      <c r="DL821" s="12"/>
      <c r="DM821" s="14"/>
      <c r="DN821" s="16"/>
      <c r="DO821" s="14"/>
      <c r="DP821" s="12"/>
      <c r="DQ821" s="14"/>
      <c r="DR821" s="16"/>
      <c r="DS821" s="14"/>
      <c r="DT821" s="12"/>
      <c r="DU821" s="14"/>
      <c r="DV821" s="16"/>
      <c r="DW821" s="14"/>
      <c r="DX821" s="12"/>
      <c r="DY821" s="14"/>
      <c r="DZ821" s="16"/>
      <c r="EA821" s="14"/>
      <c r="EB821" s="12"/>
      <c r="EC821" s="14"/>
      <c r="ED821" s="16"/>
      <c r="EE821" s="14"/>
      <c r="EF821" s="12"/>
      <c r="EG821" s="12"/>
      <c r="EH821" s="14"/>
      <c r="EI821" s="16"/>
      <c r="EJ821" s="14"/>
      <c r="EK821" s="14">
        <v>3912.48</v>
      </c>
      <c r="EL821" s="14">
        <v>3611.52</v>
      </c>
      <c r="EM821" s="14">
        <v>7524</v>
      </c>
      <c r="EN821" s="14">
        <v>15649.92</v>
      </c>
      <c r="EO821" s="14">
        <v>14446.08</v>
      </c>
      <c r="EP821" s="14">
        <v>30096</v>
      </c>
      <c r="EQ821" s="12" t="s">
        <v>319</v>
      </c>
      <c r="ER821" s="14"/>
      <c r="ES821" s="16"/>
      <c r="ET821" s="14"/>
      <c r="EU821" s="11" t="s">
        <v>319</v>
      </c>
      <c r="EV821" s="14"/>
      <c r="EW821" s="16"/>
      <c r="EX821" s="14"/>
      <c r="EY821" s="12" t="s">
        <v>319</v>
      </c>
      <c r="EZ821" s="14"/>
      <c r="FA821" s="16"/>
      <c r="FB821" s="14"/>
      <c r="FC821" s="12" t="s">
        <v>319</v>
      </c>
      <c r="FD821" s="14"/>
      <c r="FE821" s="16"/>
      <c r="FF821" s="14"/>
      <c r="FG821" s="12" t="s">
        <v>320</v>
      </c>
      <c r="FH821" s="14">
        <v>7524</v>
      </c>
      <c r="FI821" s="16">
        <v>0.52</v>
      </c>
      <c r="FJ821" s="14">
        <v>30096</v>
      </c>
      <c r="FK821" s="12" t="s">
        <v>319</v>
      </c>
      <c r="FL821" s="14"/>
      <c r="FM821" s="16"/>
      <c r="FN821" s="14"/>
      <c r="FO821" s="12" t="s">
        <v>319</v>
      </c>
      <c r="FP821" s="14"/>
      <c r="FQ821" s="16"/>
      <c r="FR821" s="14"/>
      <c r="FS821" s="12" t="s">
        <v>319</v>
      </c>
      <c r="FT821" s="14"/>
      <c r="FU821" s="16"/>
      <c r="FV821" s="14"/>
      <c r="FW821" s="12" t="s">
        <v>319</v>
      </c>
      <c r="FX821" s="14"/>
      <c r="FY821" s="16"/>
      <c r="FZ821" s="14"/>
      <c r="GA821" s="12" t="s">
        <v>319</v>
      </c>
      <c r="GB821" s="14"/>
      <c r="GC821" s="16"/>
      <c r="GD821" s="14"/>
      <c r="GE821" s="12" t="s">
        <v>319</v>
      </c>
      <c r="GF821" s="14"/>
      <c r="GG821" s="16"/>
      <c r="GH821" s="14"/>
      <c r="GI821" s="12" t="s">
        <v>319</v>
      </c>
      <c r="GJ821" s="14"/>
      <c r="GK821" s="16"/>
      <c r="GL821" s="14"/>
      <c r="GM821" s="12" t="s">
        <v>319</v>
      </c>
      <c r="GN821" s="14"/>
      <c r="GO821" s="16"/>
      <c r="GP821" s="14"/>
      <c r="GQ821" s="12" t="s">
        <v>319</v>
      </c>
      <c r="GR821" s="14"/>
      <c r="GS821" s="16"/>
      <c r="GT821" s="14"/>
      <c r="GU821" s="12" t="s">
        <v>319</v>
      </c>
      <c r="GV821" s="14"/>
      <c r="GW821" s="16"/>
      <c r="GX821" s="14"/>
      <c r="GY821" s="11" t="s">
        <v>320</v>
      </c>
      <c r="GZ821" s="14">
        <v>7524</v>
      </c>
      <c r="HA821" s="16">
        <v>0.52</v>
      </c>
      <c r="HB821" s="14">
        <v>30096</v>
      </c>
      <c r="HC821" s="12"/>
      <c r="HD821" s="12"/>
      <c r="HE821" s="14"/>
      <c r="HF821" s="16"/>
      <c r="HG821" s="14"/>
      <c r="HH821" s="12" t="s">
        <v>319</v>
      </c>
      <c r="HI821" s="12"/>
      <c r="HJ821" s="12"/>
      <c r="HK821" s="12" t="s">
        <v>319</v>
      </c>
      <c r="HL821" s="12" t="s">
        <v>319</v>
      </c>
      <c r="HM821" s="12"/>
      <c r="HN821" s="12"/>
      <c r="HO821" s="12" t="s">
        <v>393</v>
      </c>
      <c r="HP821" s="12" t="s">
        <v>330</v>
      </c>
      <c r="HQ821" s="12" t="s">
        <v>320</v>
      </c>
      <c r="HR821" s="12" t="s">
        <v>319</v>
      </c>
      <c r="HS821" s="12" t="s">
        <v>320</v>
      </c>
      <c r="HT821" s="12" t="s">
        <v>319</v>
      </c>
      <c r="HU821" s="12" t="s">
        <v>319</v>
      </c>
      <c r="HV821" s="12" t="s">
        <v>320</v>
      </c>
      <c r="HW821" s="12" t="s">
        <v>319</v>
      </c>
      <c r="HX821" s="12" t="s">
        <v>320</v>
      </c>
      <c r="HY821" s="12" t="s">
        <v>12861</v>
      </c>
      <c r="HZ821" s="12" t="s">
        <v>331</v>
      </c>
      <c r="IA821" s="12" t="s">
        <v>12862</v>
      </c>
      <c r="IB821" s="12" t="s">
        <v>396</v>
      </c>
      <c r="IC821" s="12" t="s">
        <v>12863</v>
      </c>
      <c r="ID821" s="12" t="s">
        <v>334</v>
      </c>
      <c r="IE821" s="12" t="s">
        <v>335</v>
      </c>
      <c r="IF821" s="12" t="s">
        <v>320</v>
      </c>
      <c r="IG821" s="12" t="s">
        <v>320</v>
      </c>
      <c r="IH821" s="12" t="s">
        <v>320</v>
      </c>
      <c r="II821" s="12" t="s">
        <v>320</v>
      </c>
      <c r="IJ821" s="12" t="str">
        <f t="shared" si="517"/>
        <v>2. Sensitive</v>
      </c>
      <c r="IK821" s="12">
        <f t="shared" si="518"/>
        <v>4</v>
      </c>
      <c r="IL821" s="12" t="s">
        <v>336</v>
      </c>
      <c r="IM821" s="12" t="s">
        <v>320</v>
      </c>
      <c r="IN821" s="12" t="s">
        <v>320</v>
      </c>
      <c r="IO821" s="12" t="s">
        <v>320</v>
      </c>
      <c r="IP821" s="12" t="s">
        <v>320</v>
      </c>
      <c r="IQ821" s="12" t="str">
        <f t="shared" si="519"/>
        <v>2. Accommodating</v>
      </c>
      <c r="IR821" s="12">
        <f t="shared" si="520"/>
        <v>4</v>
      </c>
      <c r="IS821" s="12" t="s">
        <v>337</v>
      </c>
      <c r="IT821" s="12" t="s">
        <v>320</v>
      </c>
      <c r="IU821" s="12" t="s">
        <v>320</v>
      </c>
      <c r="IV821" s="12" t="s">
        <v>320</v>
      </c>
      <c r="IW821" s="11" t="str">
        <f t="shared" si="521"/>
        <v>2. Sensitive</v>
      </c>
      <c r="IX821" s="12">
        <f t="shared" si="522"/>
        <v>3</v>
      </c>
      <c r="IY821" s="12" t="s">
        <v>338</v>
      </c>
      <c r="IZ821" s="12" t="s">
        <v>457</v>
      </c>
      <c r="JA821" s="12">
        <v>2</v>
      </c>
      <c r="JB821" s="12"/>
      <c r="JC821" s="12"/>
      <c r="JD821" s="12"/>
      <c r="JE821" s="12" t="s">
        <v>365</v>
      </c>
      <c r="JF821" s="12" t="s">
        <v>12864</v>
      </c>
      <c r="JG821" s="12"/>
      <c r="JH821" s="12" t="s">
        <v>12787</v>
      </c>
      <c r="JI821" s="12" t="s">
        <v>12865</v>
      </c>
      <c r="JJ821" s="12"/>
      <c r="JK821" s="12" t="s">
        <v>12866</v>
      </c>
      <c r="JL821" s="12" t="s">
        <v>12867</v>
      </c>
      <c r="JM821" s="12" t="s">
        <v>12868</v>
      </c>
      <c r="JN821" s="12" t="s">
        <v>12832</v>
      </c>
      <c r="JO821" s="12" t="s">
        <v>12869</v>
      </c>
      <c r="JP821" s="15">
        <f t="shared" si="523"/>
        <v>7524</v>
      </c>
      <c r="JQ821" s="15">
        <f t="shared" si="524"/>
        <v>30096</v>
      </c>
      <c r="JR821" s="279">
        <f t="shared" si="525"/>
        <v>4</v>
      </c>
      <c r="JS821" s="17">
        <f t="shared" si="526"/>
        <v>0.52</v>
      </c>
      <c r="JT821" s="18">
        <f t="shared" si="527"/>
        <v>0.52</v>
      </c>
      <c r="JU821" s="280">
        <f t="shared" si="528"/>
        <v>3912.48</v>
      </c>
      <c r="JV821" s="280">
        <f t="shared" si="529"/>
        <v>15649.92</v>
      </c>
      <c r="JW821" s="319" t="str">
        <f t="shared" si="530"/>
        <v/>
      </c>
      <c r="JX821" s="15">
        <f t="shared" si="531"/>
        <v>0</v>
      </c>
      <c r="JY821" s="15">
        <f t="shared" si="532"/>
        <v>0</v>
      </c>
      <c r="JZ821" s="19" t="str">
        <f t="shared" si="533"/>
        <v/>
      </c>
      <c r="KA821" s="52">
        <f t="shared" si="534"/>
        <v>1</v>
      </c>
      <c r="KB821" s="15">
        <f t="shared" si="535"/>
        <v>7524</v>
      </c>
      <c r="KC821" s="15">
        <f t="shared" si="536"/>
        <v>30096</v>
      </c>
      <c r="KD821" s="20">
        <f t="shared" si="537"/>
        <v>4</v>
      </c>
      <c r="KE821" s="52" t="str">
        <f t="shared" si="538"/>
        <v/>
      </c>
      <c r="KF821" s="15">
        <f t="shared" si="539"/>
        <v>0</v>
      </c>
      <c r="KG821" s="15">
        <f t="shared" si="540"/>
        <v>0</v>
      </c>
      <c r="KH821" s="21" t="str">
        <f t="shared" si="541"/>
        <v/>
      </c>
      <c r="KI821" s="52" t="str">
        <f t="shared" si="542"/>
        <v/>
      </c>
      <c r="KJ821" s="15">
        <f t="shared" si="543"/>
        <v>0</v>
      </c>
      <c r="KK821" s="15">
        <f t="shared" si="544"/>
        <v>0</v>
      </c>
      <c r="KL821" s="19" t="str">
        <f t="shared" si="545"/>
        <v/>
      </c>
      <c r="KM821" s="52">
        <f t="shared" si="546"/>
        <v>1</v>
      </c>
      <c r="KN821" s="22">
        <f t="shared" si="547"/>
        <v>7524</v>
      </c>
      <c r="KO821" s="22">
        <f t="shared" si="548"/>
        <v>30096</v>
      </c>
      <c r="KP821" s="19">
        <f t="shared" si="549"/>
        <v>4</v>
      </c>
      <c r="KQ821" s="11" t="str">
        <f t="shared" si="550"/>
        <v>2. Sensitive</v>
      </c>
      <c r="KR821" s="11" t="str">
        <f t="shared" si="551"/>
        <v>2. Accommodating</v>
      </c>
      <c r="KS821" s="11" t="str">
        <f t="shared" si="552"/>
        <v>2. Sensitive</v>
      </c>
      <c r="KT821" s="11" t="str">
        <f t="shared" si="553"/>
        <v>It tested new ways for fighting poverty and measured results of innovation</v>
      </c>
      <c r="KU821" s="11" t="str">
        <f t="shared" si="554"/>
        <v>Moderate advocacy</v>
      </c>
      <c r="KV821" s="11" t="str">
        <f t="shared" si="555"/>
        <v>It linked and worked with strategic alliances and partners to take tested and effective solutions to scale</v>
      </c>
      <c r="KW821" s="11" t="str">
        <f t="shared" si="556"/>
        <v>Uganda - Digitalized Financial Services for Youth</v>
      </c>
      <c r="KX821" s="11" t="str">
        <f t="shared" si="557"/>
        <v>Digitalized Financial Services for Youth</v>
      </c>
      <c r="KY821" s="11" t="str">
        <f t="shared" si="558"/>
        <v>Uganda</v>
      </c>
      <c r="KZ821" s="12">
        <v>822</v>
      </c>
    </row>
    <row r="822" spans="1:312" x14ac:dyDescent="0.3">
      <c r="A822" s="12" t="s">
        <v>12694</v>
      </c>
      <c r="B822" s="12" t="s">
        <v>1874</v>
      </c>
      <c r="C822" s="12"/>
      <c r="D822" s="12" t="s">
        <v>12793</v>
      </c>
      <c r="E822" s="277" t="str">
        <f t="shared" si="516"/>
        <v>Uganda</v>
      </c>
      <c r="F822" s="12" t="s">
        <v>12794</v>
      </c>
      <c r="G822" s="12" t="s">
        <v>488</v>
      </c>
      <c r="H822" s="12" t="s">
        <v>380</v>
      </c>
      <c r="I822" s="12" t="s">
        <v>907</v>
      </c>
      <c r="J822" s="281" t="s">
        <v>5183</v>
      </c>
      <c r="K822" s="12" t="s">
        <v>12795</v>
      </c>
      <c r="L822" s="12" t="s">
        <v>488</v>
      </c>
      <c r="M822" s="12" t="s">
        <v>380</v>
      </c>
      <c r="N822" s="12" t="s">
        <v>907</v>
      </c>
      <c r="O822" s="12"/>
      <c r="P822" s="12" t="s">
        <v>3231</v>
      </c>
      <c r="Q822" s="12" t="s">
        <v>608</v>
      </c>
      <c r="R822" s="12" t="s">
        <v>310</v>
      </c>
      <c r="S822" s="12" t="s">
        <v>384</v>
      </c>
      <c r="T822" s="12" t="s">
        <v>12796</v>
      </c>
      <c r="U822" s="12" t="s">
        <v>12797</v>
      </c>
      <c r="V822" s="12" t="s">
        <v>608</v>
      </c>
      <c r="W822" s="12" t="s">
        <v>380</v>
      </c>
      <c r="X822" s="12" t="s">
        <v>381</v>
      </c>
      <c r="Y822" s="12" t="s">
        <v>12798</v>
      </c>
      <c r="Z822" s="12" t="s">
        <v>12799</v>
      </c>
      <c r="AA822" s="12" t="s">
        <v>608</v>
      </c>
      <c r="AB822" s="12" t="s">
        <v>380</v>
      </c>
      <c r="AC822" s="12" t="s">
        <v>381</v>
      </c>
      <c r="AD822" s="12" t="s">
        <v>12798</v>
      </c>
      <c r="BD822" s="13">
        <v>42736</v>
      </c>
      <c r="BE822" s="13">
        <v>43404</v>
      </c>
      <c r="BF822" s="12"/>
      <c r="BG822" s="12" t="s">
        <v>817</v>
      </c>
      <c r="BH822" s="14">
        <v>3466939.16</v>
      </c>
      <c r="BI822" s="12" t="s">
        <v>12800</v>
      </c>
      <c r="BJ822" s="12" t="s">
        <v>7477</v>
      </c>
      <c r="BK822" s="12" t="s">
        <v>12801</v>
      </c>
      <c r="BL822" s="12" t="s">
        <v>12802</v>
      </c>
      <c r="BM822" s="12" t="s">
        <v>1899</v>
      </c>
      <c r="BN822" s="12" t="s">
        <v>12803</v>
      </c>
      <c r="BO822" s="12" t="s">
        <v>320</v>
      </c>
      <c r="BP822" s="12" t="s">
        <v>319</v>
      </c>
      <c r="BQ822" s="12" t="s">
        <v>319</v>
      </c>
      <c r="BR822" s="12" t="s">
        <v>12804</v>
      </c>
      <c r="BS822" s="12" t="s">
        <v>357</v>
      </c>
      <c r="BT822" s="12" t="s">
        <v>12805</v>
      </c>
      <c r="BU822" s="12" t="s">
        <v>12806</v>
      </c>
      <c r="BV822" s="14">
        <v>73667</v>
      </c>
      <c r="BW822" s="14">
        <v>62573</v>
      </c>
      <c r="BX822" s="14">
        <v>136240</v>
      </c>
      <c r="BY822" s="14">
        <v>126437</v>
      </c>
      <c r="BZ822" s="14">
        <v>116869</v>
      </c>
      <c r="CA822" s="14">
        <v>243306</v>
      </c>
      <c r="CB822" s="12" t="s">
        <v>12807</v>
      </c>
      <c r="CD822" s="14">
        <v>69550</v>
      </c>
      <c r="CE822" s="14">
        <v>35937</v>
      </c>
      <c r="CF822" s="14">
        <v>105487</v>
      </c>
      <c r="CG822" s="14">
        <v>4530</v>
      </c>
      <c r="CH822" s="14">
        <v>32970</v>
      </c>
      <c r="CI822" s="14">
        <v>37500</v>
      </c>
      <c r="CJ822" s="12"/>
      <c r="CK822" s="14"/>
      <c r="CL822" s="16"/>
      <c r="CM822" s="14"/>
      <c r="CN822" s="12"/>
      <c r="CO822" s="14"/>
      <c r="CP822" s="16"/>
      <c r="CQ822" s="14"/>
      <c r="CR822" s="12"/>
      <c r="CS822" s="14"/>
      <c r="CT822" s="16"/>
      <c r="CU822" s="14"/>
      <c r="CV822" s="12"/>
      <c r="CW822" s="14"/>
      <c r="CX822" s="16"/>
      <c r="CY822" s="14"/>
      <c r="CZ822" s="12" t="s">
        <v>320</v>
      </c>
      <c r="DA822" s="14">
        <v>512</v>
      </c>
      <c r="DB822" s="16"/>
      <c r="DC822" s="14"/>
      <c r="DD822" s="12"/>
      <c r="DE822" s="14"/>
      <c r="DF822" s="16"/>
      <c r="DG822" s="14"/>
      <c r="DH822" s="12"/>
      <c r="DI822" s="14"/>
      <c r="DJ822" s="16"/>
      <c r="DK822" s="14"/>
      <c r="DL822" s="12"/>
      <c r="DM822" s="14"/>
      <c r="DN822" s="16"/>
      <c r="DO822" s="14"/>
      <c r="DP822" s="12" t="s">
        <v>320</v>
      </c>
      <c r="DQ822" s="14">
        <v>6276</v>
      </c>
      <c r="DR822" s="16"/>
      <c r="DS822" s="14"/>
      <c r="DT822" s="12" t="s">
        <v>320</v>
      </c>
      <c r="DU822" s="14">
        <v>88404</v>
      </c>
      <c r="DV822" s="16"/>
      <c r="DW822" s="14"/>
      <c r="DX822" s="12" t="s">
        <v>320</v>
      </c>
      <c r="DY822" s="14">
        <v>10295</v>
      </c>
      <c r="DZ822" s="16"/>
      <c r="EA822" s="14"/>
      <c r="EB822" s="12"/>
      <c r="EC822" s="14"/>
      <c r="ED822" s="16"/>
      <c r="EE822" s="14"/>
      <c r="EF822" s="12"/>
      <c r="EG822" s="12"/>
      <c r="EH822" s="14"/>
      <c r="EI822" s="16"/>
      <c r="EJ822" s="14"/>
      <c r="EK822" s="14"/>
      <c r="EL822" s="14"/>
      <c r="EM822" s="14"/>
      <c r="EN822" s="14"/>
      <c r="EO822" s="14"/>
      <c r="EP822" s="14"/>
      <c r="EQ822" s="12"/>
      <c r="ER822" s="14"/>
      <c r="ES822" s="16"/>
      <c r="ET822" s="14"/>
      <c r="EU822" s="12"/>
      <c r="EV822" s="14"/>
      <c r="EW822" s="16"/>
      <c r="EX822" s="14"/>
      <c r="EY822" s="12"/>
      <c r="EZ822" s="14"/>
      <c r="FA822" s="16"/>
      <c r="FB822" s="14"/>
      <c r="FC822" s="12"/>
      <c r="FD822" s="14"/>
      <c r="FE822" s="16"/>
      <c r="FF822" s="14"/>
      <c r="FG822" s="12"/>
      <c r="FH822" s="14"/>
      <c r="FI822" s="16"/>
      <c r="FJ822" s="14"/>
      <c r="FK822" s="12"/>
      <c r="FL822" s="14"/>
      <c r="FM822" s="16"/>
      <c r="FN822" s="14"/>
      <c r="FO822" s="12"/>
      <c r="FP822" s="14"/>
      <c r="FQ822" s="16"/>
      <c r="FR822" s="14"/>
      <c r="FS822" s="12"/>
      <c r="FT822" s="14"/>
      <c r="FU822" s="16"/>
      <c r="FV822" s="14"/>
      <c r="FW822" s="12"/>
      <c r="FX822" s="14"/>
      <c r="FY822" s="16"/>
      <c r="FZ822" s="14"/>
      <c r="GA822" s="12"/>
      <c r="GB822" s="14"/>
      <c r="GC822" s="16"/>
      <c r="GD822" s="14"/>
      <c r="GE822" s="12"/>
      <c r="GF822" s="14"/>
      <c r="GG822" s="16"/>
      <c r="GH822" s="14"/>
      <c r="GI822" s="12"/>
      <c r="GJ822" s="14"/>
      <c r="GK822" s="16"/>
      <c r="GL822" s="14"/>
      <c r="GM822" s="12"/>
      <c r="GN822" s="14"/>
      <c r="GO822" s="16"/>
      <c r="GP822" s="14"/>
      <c r="GQ822" s="12"/>
      <c r="GR822" s="14"/>
      <c r="GS822" s="16"/>
      <c r="GT822" s="14"/>
      <c r="GU822" s="12"/>
      <c r="GV822" s="14"/>
      <c r="GW822" s="16"/>
      <c r="GX822" s="14"/>
      <c r="GY822" s="12"/>
      <c r="GZ822" s="14"/>
      <c r="HA822" s="16"/>
      <c r="HB822" s="14"/>
      <c r="HC822" s="12"/>
      <c r="HD822" s="12"/>
      <c r="HE822" s="14"/>
      <c r="HF822" s="16"/>
      <c r="HG822" s="14"/>
      <c r="HH822" s="12" t="s">
        <v>319</v>
      </c>
      <c r="HI822" s="12"/>
      <c r="HJ822" s="12"/>
      <c r="HK822" s="12" t="s">
        <v>319</v>
      </c>
      <c r="HL822" s="12" t="s">
        <v>320</v>
      </c>
      <c r="HM822" s="12" t="s">
        <v>522</v>
      </c>
      <c r="HN822" s="12">
        <v>2017</v>
      </c>
      <c r="HO822" s="12" t="s">
        <v>12808</v>
      </c>
      <c r="HP822" s="12" t="s">
        <v>418</v>
      </c>
      <c r="HQ822" s="12" t="s">
        <v>319</v>
      </c>
      <c r="HR822" s="12" t="s">
        <v>319</v>
      </c>
      <c r="HS822" s="12" t="s">
        <v>320</v>
      </c>
      <c r="HT822" s="12" t="s">
        <v>320</v>
      </c>
      <c r="HU822" s="12" t="s">
        <v>319</v>
      </c>
      <c r="HV822" s="12" t="s">
        <v>319</v>
      </c>
      <c r="HW822" s="12" t="s">
        <v>319</v>
      </c>
      <c r="HX822" s="12" t="s">
        <v>319</v>
      </c>
      <c r="HY822" s="12"/>
      <c r="HZ822" s="12" t="s">
        <v>363</v>
      </c>
      <c r="IA822" s="12"/>
      <c r="IB822" s="12" t="s">
        <v>333</v>
      </c>
      <c r="IC822" s="12"/>
      <c r="ID822" s="12" t="s">
        <v>334</v>
      </c>
      <c r="IE822" s="12" t="s">
        <v>335</v>
      </c>
      <c r="IF822" s="12" t="s">
        <v>320</v>
      </c>
      <c r="IG822" s="12" t="s">
        <v>320</v>
      </c>
      <c r="IH822" s="12" t="s">
        <v>320</v>
      </c>
      <c r="II822" s="12" t="s">
        <v>320</v>
      </c>
      <c r="IJ822" s="12" t="str">
        <f t="shared" si="517"/>
        <v>2. Sensitive</v>
      </c>
      <c r="IK822" s="12">
        <f t="shared" si="518"/>
        <v>4</v>
      </c>
      <c r="IL822" s="12" t="s">
        <v>723</v>
      </c>
      <c r="IM822" s="12" t="s">
        <v>320</v>
      </c>
      <c r="IN822" s="12" t="s">
        <v>320</v>
      </c>
      <c r="IO822" s="12" t="s">
        <v>320</v>
      </c>
      <c r="IP822" s="12" t="s">
        <v>320</v>
      </c>
      <c r="IQ822" s="12" t="str">
        <f t="shared" si="519"/>
        <v>0. Unaware</v>
      </c>
      <c r="IR822" s="12">
        <f t="shared" si="520"/>
        <v>4</v>
      </c>
      <c r="IS822" s="12" t="s">
        <v>622</v>
      </c>
      <c r="IT822" s="12" t="s">
        <v>319</v>
      </c>
      <c r="IU822" s="12" t="s">
        <v>320</v>
      </c>
      <c r="IV822" s="12" t="s">
        <v>319</v>
      </c>
      <c r="IW822" s="11" t="str">
        <f t="shared" si="521"/>
        <v>3. Responsive</v>
      </c>
      <c r="IX822" s="12">
        <f t="shared" si="522"/>
        <v>1</v>
      </c>
      <c r="IY822" s="12" t="s">
        <v>338</v>
      </c>
      <c r="IZ822" s="12" t="s">
        <v>339</v>
      </c>
      <c r="JA822" s="12"/>
      <c r="JB822" s="12"/>
      <c r="JC822" s="12"/>
      <c r="JD822" s="12"/>
      <c r="JE822" s="12" t="s">
        <v>420</v>
      </c>
      <c r="JF822" s="12"/>
      <c r="JG822" s="12" t="s">
        <v>12809</v>
      </c>
      <c r="JH822" s="12" t="s">
        <v>12810</v>
      </c>
      <c r="JI822" s="12" t="s">
        <v>8457</v>
      </c>
      <c r="JJ822" s="12" t="s">
        <v>12811</v>
      </c>
      <c r="JK822" s="12" t="s">
        <v>12812</v>
      </c>
      <c r="JL822" s="12" t="s">
        <v>12813</v>
      </c>
      <c r="JM822" s="12" t="s">
        <v>12814</v>
      </c>
      <c r="JN822" s="12" t="s">
        <v>12815</v>
      </c>
      <c r="JO822" s="12"/>
      <c r="JP822" s="15">
        <f t="shared" si="523"/>
        <v>105487</v>
      </c>
      <c r="JQ822" s="15">
        <f t="shared" si="524"/>
        <v>37500</v>
      </c>
      <c r="JR822" s="279">
        <f t="shared" si="525"/>
        <v>0.35549404191985745</v>
      </c>
      <c r="JS822" s="17">
        <f t="shared" si="526"/>
        <v>0.65932294974736227</v>
      </c>
      <c r="JT822" s="18">
        <f t="shared" si="527"/>
        <v>0.1208</v>
      </c>
      <c r="JU822" s="280">
        <f t="shared" si="528"/>
        <v>69550</v>
      </c>
      <c r="JV822" s="280">
        <f t="shared" si="529"/>
        <v>4530</v>
      </c>
      <c r="JW822" s="319">
        <f t="shared" si="530"/>
        <v>1</v>
      </c>
      <c r="JX822" s="15">
        <f t="shared" si="531"/>
        <v>105487</v>
      </c>
      <c r="JY822" s="15">
        <f t="shared" si="532"/>
        <v>37500</v>
      </c>
      <c r="JZ822" s="19">
        <f t="shared" si="533"/>
        <v>0.35549404191985745</v>
      </c>
      <c r="KA822" s="52" t="str">
        <f t="shared" si="534"/>
        <v/>
      </c>
      <c r="KB822" s="15">
        <f t="shared" si="535"/>
        <v>0</v>
      </c>
      <c r="KC822" s="15">
        <f t="shared" si="536"/>
        <v>0</v>
      </c>
      <c r="KD822" s="20" t="str">
        <f t="shared" si="537"/>
        <v/>
      </c>
      <c r="KE822" s="52">
        <f t="shared" si="538"/>
        <v>1</v>
      </c>
      <c r="KF822" s="15">
        <f t="shared" si="539"/>
        <v>88404</v>
      </c>
      <c r="KG822" s="15">
        <f t="shared" si="540"/>
        <v>0</v>
      </c>
      <c r="KH822" s="21">
        <f t="shared" si="541"/>
        <v>0</v>
      </c>
      <c r="KI822" s="52">
        <f t="shared" si="542"/>
        <v>1</v>
      </c>
      <c r="KJ822" s="15">
        <f t="shared" si="543"/>
        <v>512</v>
      </c>
      <c r="KK822" s="15">
        <f t="shared" si="544"/>
        <v>0</v>
      </c>
      <c r="KL822" s="19">
        <f t="shared" si="545"/>
        <v>0</v>
      </c>
      <c r="KM822" s="52" t="str">
        <f t="shared" si="546"/>
        <v/>
      </c>
      <c r="KN822" s="22">
        <f t="shared" si="547"/>
        <v>0</v>
      </c>
      <c r="KO822" s="22">
        <f t="shared" si="548"/>
        <v>0</v>
      </c>
      <c r="KP822" s="19" t="str">
        <f t="shared" si="549"/>
        <v/>
      </c>
      <c r="KQ822" s="11" t="str">
        <f t="shared" si="550"/>
        <v>2. Sensitive</v>
      </c>
      <c r="KR822" s="11" t="str">
        <f t="shared" si="551"/>
        <v>0. Unaware</v>
      </c>
      <c r="KS822" s="11" t="str">
        <f t="shared" si="552"/>
        <v>3. Responsive</v>
      </c>
      <c r="KT822" s="11" t="str">
        <f t="shared" si="553"/>
        <v>It did not develop any specific innovation</v>
      </c>
      <c r="KU822" s="11" t="str">
        <f t="shared" si="554"/>
        <v>Little or no advocacy</v>
      </c>
      <c r="KV822" s="11" t="str">
        <f t="shared" si="555"/>
        <v>It did not take tested solutions to scale</v>
      </c>
      <c r="KW822" s="11" t="str">
        <f t="shared" si="556"/>
        <v>Uganda - Emergency response for refugees, asylum seekers from South Sudan and host communities in Rhino and Imvepi Camps in West-Nile Uganda (2017), with funding from Czech, ECHO-Oxfam, SAFPAC, UNFPA, Norway and UNHCR</v>
      </c>
      <c r="KX822" s="11" t="str">
        <f t="shared" si="557"/>
        <v>Emergency response for refugees, asylum seekers from South Sudan and host communities in Rhino and Imvepi Camps in West-Nile Uganda (2017), with funding from Czech, ECHO-Oxfam, SAFPAC, UNFPA, Norway and UNHCR</v>
      </c>
      <c r="KY822" s="11" t="str">
        <f t="shared" si="558"/>
        <v>Uganda</v>
      </c>
      <c r="KZ822" s="12">
        <v>823</v>
      </c>
    </row>
    <row r="823" spans="1:312" x14ac:dyDescent="0.3">
      <c r="A823" s="12" t="s">
        <v>12694</v>
      </c>
      <c r="B823" s="12" t="s">
        <v>1874</v>
      </c>
      <c r="C823" s="12">
        <v>3435</v>
      </c>
      <c r="D823" s="12" t="s">
        <v>12695</v>
      </c>
      <c r="E823" s="277" t="str">
        <f t="shared" si="516"/>
        <v>Uganda</v>
      </c>
      <c r="F823" s="12" t="s">
        <v>12696</v>
      </c>
      <c r="G823" s="12" t="s">
        <v>1853</v>
      </c>
      <c r="H823" s="12" t="s">
        <v>310</v>
      </c>
      <c r="I823" s="12" t="s">
        <v>1854</v>
      </c>
      <c r="J823" s="281" t="s">
        <v>4495</v>
      </c>
      <c r="K823" s="12"/>
      <c r="L823" s="12"/>
      <c r="M823" s="12"/>
      <c r="N823" s="12"/>
      <c r="O823" s="12"/>
      <c r="P823" s="12"/>
      <c r="Q823" s="12"/>
      <c r="R823" s="12"/>
      <c r="S823" s="12"/>
      <c r="T823" s="12"/>
      <c r="U823" s="12"/>
      <c r="V823" s="12"/>
      <c r="W823" s="12"/>
      <c r="X823" s="12"/>
      <c r="Y823" s="12"/>
      <c r="Z823" s="12"/>
      <c r="AA823" s="12"/>
      <c r="AB823" s="12"/>
      <c r="AC823" s="12"/>
      <c r="AD823" s="12"/>
      <c r="BD823" s="13">
        <v>41365</v>
      </c>
      <c r="BE823" s="13">
        <v>43100</v>
      </c>
      <c r="BF823" s="12"/>
      <c r="BG823" s="12" t="s">
        <v>749</v>
      </c>
      <c r="BH823" s="14">
        <v>38411210</v>
      </c>
      <c r="BI823" s="12" t="s">
        <v>12697</v>
      </c>
      <c r="BJ823" s="12" t="s">
        <v>12698</v>
      </c>
      <c r="BK823" s="12" t="s">
        <v>12699</v>
      </c>
      <c r="BL823" s="12" t="s">
        <v>12700</v>
      </c>
      <c r="BM823" s="12" t="s">
        <v>7457</v>
      </c>
      <c r="BN823" s="12" t="s">
        <v>12701</v>
      </c>
      <c r="BO823" s="12" t="s">
        <v>319</v>
      </c>
      <c r="BP823" s="12" t="s">
        <v>320</v>
      </c>
      <c r="BQ823" s="12" t="s">
        <v>319</v>
      </c>
      <c r="BR823" s="12" t="s">
        <v>12702</v>
      </c>
      <c r="BS823" s="12" t="s">
        <v>322</v>
      </c>
      <c r="BT823" s="12" t="s">
        <v>12703</v>
      </c>
      <c r="BU823" s="12" t="s">
        <v>12704</v>
      </c>
      <c r="BV823" s="14">
        <v>34500</v>
      </c>
      <c r="BW823" s="14">
        <v>80500</v>
      </c>
      <c r="BX823" s="14">
        <v>115000</v>
      </c>
      <c r="BY823" s="14">
        <v>138000</v>
      </c>
      <c r="BZ823" s="14">
        <v>322000</v>
      </c>
      <c r="CA823" s="14">
        <v>460000</v>
      </c>
      <c r="CB823" s="12" t="s">
        <v>12705</v>
      </c>
      <c r="CD823" s="14"/>
      <c r="CE823" s="14"/>
      <c r="CF823" s="14"/>
      <c r="CG823" s="14"/>
      <c r="CH823" s="14"/>
      <c r="CI823" s="14"/>
      <c r="CJ823" s="12"/>
      <c r="CK823" s="14"/>
      <c r="CL823" s="16"/>
      <c r="CM823" s="14"/>
      <c r="CN823" s="12"/>
      <c r="CO823" s="14"/>
      <c r="CP823" s="16"/>
      <c r="CQ823" s="14"/>
      <c r="CR823" s="12"/>
      <c r="CS823" s="14"/>
      <c r="CT823" s="16"/>
      <c r="CU823" s="14"/>
      <c r="CV823" s="12"/>
      <c r="CW823" s="14"/>
      <c r="CX823" s="16"/>
      <c r="CY823" s="14"/>
      <c r="CZ823" s="12"/>
      <c r="DA823" s="14"/>
      <c r="DB823" s="16"/>
      <c r="DC823" s="14"/>
      <c r="DD823" s="12"/>
      <c r="DE823" s="14"/>
      <c r="DF823" s="16"/>
      <c r="DG823" s="14"/>
      <c r="DH823" s="12"/>
      <c r="DI823" s="14"/>
      <c r="DJ823" s="16"/>
      <c r="DK823" s="14"/>
      <c r="DL823" s="12"/>
      <c r="DM823" s="14"/>
      <c r="DN823" s="16"/>
      <c r="DO823" s="14"/>
      <c r="DP823" s="12"/>
      <c r="DQ823" s="14"/>
      <c r="DR823" s="16"/>
      <c r="DS823" s="14"/>
      <c r="DT823" s="12"/>
      <c r="DU823" s="14"/>
      <c r="DV823" s="16"/>
      <c r="DW823" s="14"/>
      <c r="DX823" s="12"/>
      <c r="DY823" s="14"/>
      <c r="DZ823" s="16"/>
      <c r="EA823" s="14"/>
      <c r="EB823" s="12"/>
      <c r="EC823" s="14"/>
      <c r="ED823" s="16"/>
      <c r="EE823" s="14"/>
      <c r="EF823" s="12"/>
      <c r="EG823" s="12"/>
      <c r="EH823" s="14"/>
      <c r="EI823" s="16"/>
      <c r="EJ823" s="14"/>
      <c r="EK823" s="14">
        <v>1389</v>
      </c>
      <c r="EL823" s="14">
        <v>3168</v>
      </c>
      <c r="EM823" s="14">
        <v>4557</v>
      </c>
      <c r="EN823" s="14">
        <v>5556</v>
      </c>
      <c r="EO823" s="14">
        <v>12672</v>
      </c>
      <c r="EP823" s="14">
        <v>18228</v>
      </c>
      <c r="EQ823" s="12" t="s">
        <v>319</v>
      </c>
      <c r="ER823" s="14"/>
      <c r="ES823" s="16"/>
      <c r="ET823" s="14"/>
      <c r="EU823" s="11" t="s">
        <v>320</v>
      </c>
      <c r="EV823" s="14">
        <v>4557</v>
      </c>
      <c r="EW823" s="16">
        <v>0.30480579328505503</v>
      </c>
      <c r="EX823" s="14">
        <v>18228</v>
      </c>
      <c r="EY823" s="12" t="s">
        <v>319</v>
      </c>
      <c r="EZ823" s="14"/>
      <c r="FA823" s="16"/>
      <c r="FB823" s="14"/>
      <c r="FC823" s="12" t="s">
        <v>319</v>
      </c>
      <c r="FD823" s="14"/>
      <c r="FE823" s="16"/>
      <c r="FF823" s="14"/>
      <c r="FG823" s="12" t="s">
        <v>320</v>
      </c>
      <c r="FH823" s="14">
        <v>96</v>
      </c>
      <c r="FI823" s="16">
        <v>0.30199999999999999</v>
      </c>
      <c r="FJ823" s="14">
        <v>384</v>
      </c>
      <c r="FK823" s="12" t="s">
        <v>319</v>
      </c>
      <c r="FL823" s="14"/>
      <c r="FM823" s="16"/>
      <c r="FN823" s="14"/>
      <c r="FO823" s="12" t="s">
        <v>319</v>
      </c>
      <c r="FP823" s="14"/>
      <c r="FQ823" s="16"/>
      <c r="FR823" s="14"/>
      <c r="FS823" s="12" t="s">
        <v>319</v>
      </c>
      <c r="FT823" s="14"/>
      <c r="FU823" s="16"/>
      <c r="FV823" s="14"/>
      <c r="FW823" s="12" t="s">
        <v>319</v>
      </c>
      <c r="FX823" s="14"/>
      <c r="FY823" s="16"/>
      <c r="FZ823" s="14"/>
      <c r="GA823" s="12" t="s">
        <v>319</v>
      </c>
      <c r="GB823" s="14"/>
      <c r="GC823" s="16"/>
      <c r="GD823" s="14"/>
      <c r="GE823" s="12" t="s">
        <v>319</v>
      </c>
      <c r="GF823" s="14"/>
      <c r="GG823" s="16"/>
      <c r="GH823" s="14"/>
      <c r="GI823" s="11" t="s">
        <v>320</v>
      </c>
      <c r="GJ823" s="14">
        <v>4557</v>
      </c>
      <c r="GK823" s="16">
        <v>0.30480579328505503</v>
      </c>
      <c r="GL823" s="14">
        <v>18228</v>
      </c>
      <c r="GM823" s="11" t="s">
        <v>320</v>
      </c>
      <c r="GN823" s="14">
        <v>4557</v>
      </c>
      <c r="GO823" s="16">
        <v>0.30480579328505503</v>
      </c>
      <c r="GP823" s="14">
        <v>18228</v>
      </c>
      <c r="GQ823" s="12" t="s">
        <v>319</v>
      </c>
      <c r="GR823" s="14"/>
      <c r="GS823" s="16"/>
      <c r="GT823" s="14"/>
      <c r="GU823" s="12" t="s">
        <v>319</v>
      </c>
      <c r="GV823" s="14"/>
      <c r="GW823" s="16"/>
      <c r="GX823" s="14"/>
      <c r="GY823" s="12" t="s">
        <v>319</v>
      </c>
      <c r="GZ823" s="14"/>
      <c r="HA823" s="16"/>
      <c r="HB823" s="14"/>
      <c r="HC823" s="12"/>
      <c r="HD823" s="12" t="s">
        <v>319</v>
      </c>
      <c r="HE823" s="14"/>
      <c r="HF823" s="16"/>
      <c r="HG823" s="14"/>
      <c r="HH823" s="12" t="s">
        <v>320</v>
      </c>
      <c r="HI823" s="12" t="s">
        <v>431</v>
      </c>
      <c r="HJ823" s="12">
        <v>2017</v>
      </c>
      <c r="HK823" s="12" t="s">
        <v>320</v>
      </c>
      <c r="HL823" s="12" t="s">
        <v>320</v>
      </c>
      <c r="HM823" s="12" t="s">
        <v>328</v>
      </c>
      <c r="HN823" s="12">
        <v>2017</v>
      </c>
      <c r="HO823" s="12" t="s">
        <v>12706</v>
      </c>
      <c r="HP823" s="12" t="s">
        <v>453</v>
      </c>
      <c r="HQ823" s="12" t="s">
        <v>319</v>
      </c>
      <c r="HR823" s="12" t="s">
        <v>319</v>
      </c>
      <c r="HS823" s="12"/>
      <c r="HT823" s="12" t="s">
        <v>320</v>
      </c>
      <c r="HU823" s="12" t="s">
        <v>319</v>
      </c>
      <c r="HV823" s="12"/>
      <c r="HW823" s="12" t="s">
        <v>320</v>
      </c>
      <c r="HX823" s="12" t="s">
        <v>320</v>
      </c>
      <c r="HY823" s="12" t="s">
        <v>12707</v>
      </c>
      <c r="HZ823" s="12" t="s">
        <v>363</v>
      </c>
      <c r="IA823" s="12"/>
      <c r="IB823" s="12" t="s">
        <v>396</v>
      </c>
      <c r="IC823" s="12" t="s">
        <v>12708</v>
      </c>
      <c r="ID823" s="12" t="s">
        <v>364</v>
      </c>
      <c r="IE823" s="12" t="s">
        <v>335</v>
      </c>
      <c r="IF823" s="12" t="s">
        <v>319</v>
      </c>
      <c r="IG823" s="12" t="s">
        <v>320</v>
      </c>
      <c r="IH823" s="12" t="s">
        <v>320</v>
      </c>
      <c r="II823" s="12" t="s">
        <v>319</v>
      </c>
      <c r="IJ823" s="12" t="str">
        <f t="shared" si="517"/>
        <v>1. Neutral</v>
      </c>
      <c r="IK823" s="12">
        <f t="shared" si="518"/>
        <v>2</v>
      </c>
      <c r="IL823" s="11" t="s">
        <v>621</v>
      </c>
      <c r="IM823" s="12" t="s">
        <v>320</v>
      </c>
      <c r="IN823" s="12" t="s">
        <v>320</v>
      </c>
      <c r="IO823" s="12" t="s">
        <v>320</v>
      </c>
      <c r="IP823" s="12" t="s">
        <v>320</v>
      </c>
      <c r="IQ823" s="12" t="str">
        <f t="shared" si="519"/>
        <v>4. Transformational</v>
      </c>
      <c r="IR823" s="12">
        <f t="shared" si="520"/>
        <v>4</v>
      </c>
      <c r="IS823" s="12" t="s">
        <v>337</v>
      </c>
      <c r="IT823" s="12" t="s">
        <v>320</v>
      </c>
      <c r="IU823" s="12" t="s">
        <v>320</v>
      </c>
      <c r="IV823" s="12" t="s">
        <v>320</v>
      </c>
      <c r="IW823" s="11" t="str">
        <f t="shared" si="521"/>
        <v>2. Sensitive</v>
      </c>
      <c r="IX823" s="12">
        <f t="shared" si="522"/>
        <v>3</v>
      </c>
      <c r="IY823" s="12" t="s">
        <v>419</v>
      </c>
      <c r="IZ823" s="12" t="s">
        <v>527</v>
      </c>
      <c r="JA823" s="12">
        <v>5</v>
      </c>
      <c r="JB823" s="12" t="s">
        <v>433</v>
      </c>
      <c r="JC823" s="12" t="s">
        <v>1113</v>
      </c>
      <c r="JD823" s="12" t="s">
        <v>623</v>
      </c>
      <c r="JE823" s="12" t="s">
        <v>340</v>
      </c>
      <c r="JF823" s="12" t="s">
        <v>12709</v>
      </c>
      <c r="JG823" s="12" t="s">
        <v>12710</v>
      </c>
      <c r="JH823" s="12" t="s">
        <v>12711</v>
      </c>
      <c r="JI823" s="12" t="s">
        <v>12712</v>
      </c>
      <c r="JJ823" s="12" t="s">
        <v>12713</v>
      </c>
      <c r="JK823" s="12" t="s">
        <v>12714</v>
      </c>
      <c r="JL823" s="12" t="s">
        <v>12715</v>
      </c>
      <c r="JM823" s="12" t="s">
        <v>12716</v>
      </c>
      <c r="JN823" s="12" t="s">
        <v>12717</v>
      </c>
      <c r="JO823" s="12" t="s">
        <v>12718</v>
      </c>
      <c r="JP823" s="15">
        <f t="shared" si="523"/>
        <v>4557</v>
      </c>
      <c r="JQ823" s="15">
        <f t="shared" si="524"/>
        <v>18228</v>
      </c>
      <c r="JR823" s="279">
        <f t="shared" si="525"/>
        <v>4</v>
      </c>
      <c r="JS823" s="17">
        <f t="shared" si="526"/>
        <v>0.30480579328505597</v>
      </c>
      <c r="JT823" s="18">
        <f t="shared" si="527"/>
        <v>0.30480579328505597</v>
      </c>
      <c r="JU823" s="280">
        <f t="shared" si="528"/>
        <v>1389</v>
      </c>
      <c r="JV823" s="280">
        <f t="shared" si="529"/>
        <v>5556</v>
      </c>
      <c r="JW823" s="319" t="str">
        <f t="shared" si="530"/>
        <v/>
      </c>
      <c r="JX823" s="15">
        <f t="shared" si="531"/>
        <v>0</v>
      </c>
      <c r="JY823" s="15">
        <f t="shared" si="532"/>
        <v>0</v>
      </c>
      <c r="JZ823" s="19" t="str">
        <f t="shared" si="533"/>
        <v/>
      </c>
      <c r="KA823" s="52">
        <f t="shared" si="534"/>
        <v>1</v>
      </c>
      <c r="KB823" s="15">
        <f t="shared" si="535"/>
        <v>4557</v>
      </c>
      <c r="KC823" s="15">
        <f t="shared" si="536"/>
        <v>18228</v>
      </c>
      <c r="KD823" s="20">
        <f t="shared" si="537"/>
        <v>4</v>
      </c>
      <c r="KE823" s="52" t="str">
        <f t="shared" si="538"/>
        <v/>
      </c>
      <c r="KF823" s="15">
        <f t="shared" si="539"/>
        <v>0</v>
      </c>
      <c r="KG823" s="15">
        <f t="shared" si="540"/>
        <v>0</v>
      </c>
      <c r="KH823" s="21" t="str">
        <f t="shared" si="541"/>
        <v/>
      </c>
      <c r="KI823" s="52" t="str">
        <f t="shared" si="542"/>
        <v/>
      </c>
      <c r="KJ823" s="15">
        <f t="shared" si="543"/>
        <v>0</v>
      </c>
      <c r="KK823" s="15">
        <f t="shared" si="544"/>
        <v>0</v>
      </c>
      <c r="KL823" s="19" t="str">
        <f t="shared" si="545"/>
        <v/>
      </c>
      <c r="KM823" s="52">
        <f t="shared" si="546"/>
        <v>1</v>
      </c>
      <c r="KN823" s="22">
        <f t="shared" si="547"/>
        <v>28.991999999999997</v>
      </c>
      <c r="KO823" s="22">
        <f t="shared" si="548"/>
        <v>115.96799999999999</v>
      </c>
      <c r="KP823" s="19">
        <f t="shared" si="549"/>
        <v>4</v>
      </c>
      <c r="KQ823" s="11" t="str">
        <f t="shared" si="550"/>
        <v>1. Neutral</v>
      </c>
      <c r="KR823" s="11" t="str">
        <f t="shared" si="551"/>
        <v>4. Transformational</v>
      </c>
      <c r="KS823" s="11" t="str">
        <f t="shared" si="552"/>
        <v>2. Sensitive</v>
      </c>
      <c r="KT823" s="11" t="str">
        <f t="shared" si="553"/>
        <v>It did not develop any specific innovation</v>
      </c>
      <c r="KU823" s="11" t="str">
        <f t="shared" si="554"/>
        <v>Intensive advocacy</v>
      </c>
      <c r="KV823" s="11" t="str">
        <f t="shared" si="555"/>
        <v>It linked and worked with strategic alliances and partners to take tested and effective solutions to scale</v>
      </c>
      <c r="KW823" s="11" t="str">
        <f t="shared" si="556"/>
        <v>Uganda - FOREST RESOURCES SECTOR TRANSPARENCY PROGRAMME IN UGANDA (FOREST)</v>
      </c>
      <c r="KX823" s="11" t="str">
        <f t="shared" si="557"/>
        <v>FOREST RESOURCES SECTOR TRANSPARENCY PROGRAMME IN UGANDA (FOREST)</v>
      </c>
      <c r="KY823" s="11" t="str">
        <f t="shared" si="558"/>
        <v>Uganda</v>
      </c>
      <c r="KZ823" s="12">
        <v>824</v>
      </c>
    </row>
    <row r="824" spans="1:312" x14ac:dyDescent="0.3">
      <c r="A824" s="12" t="s">
        <v>12694</v>
      </c>
      <c r="B824" s="12" t="s">
        <v>1874</v>
      </c>
      <c r="C824" s="12">
        <v>3427</v>
      </c>
      <c r="D824" s="12" t="s">
        <v>12742</v>
      </c>
      <c r="E824" s="277" t="str">
        <f t="shared" si="516"/>
        <v>Uganda</v>
      </c>
      <c r="F824" s="12" t="s">
        <v>12743</v>
      </c>
      <c r="G824" s="12" t="s">
        <v>467</v>
      </c>
      <c r="H824" s="12" t="s">
        <v>310</v>
      </c>
      <c r="I824" s="12" t="s">
        <v>468</v>
      </c>
      <c r="J824" s="281" t="s">
        <v>9212</v>
      </c>
      <c r="K824" s="12"/>
      <c r="L824" s="12"/>
      <c r="M824" s="12"/>
      <c r="N824" s="12"/>
      <c r="O824" s="12"/>
      <c r="P824" s="12"/>
      <c r="Q824" s="12"/>
      <c r="R824" s="12"/>
      <c r="S824" s="12"/>
      <c r="T824" s="12"/>
      <c r="U824" s="12"/>
      <c r="V824" s="12"/>
      <c r="W824" s="12"/>
      <c r="X824" s="12"/>
      <c r="Y824" s="12"/>
      <c r="Z824" s="12"/>
      <c r="AA824" s="12"/>
      <c r="AB824" s="12"/>
      <c r="AC824" s="12"/>
      <c r="AD824" s="12"/>
      <c r="BD824" s="13">
        <v>41640</v>
      </c>
      <c r="BE824" s="13">
        <v>43159</v>
      </c>
      <c r="BF824" s="13">
        <v>42825</v>
      </c>
      <c r="BG824" s="12" t="s">
        <v>350</v>
      </c>
      <c r="BH824" s="14">
        <v>880053</v>
      </c>
      <c r="BI824" s="12" t="s">
        <v>12744</v>
      </c>
      <c r="BJ824" s="12" t="s">
        <v>912</v>
      </c>
      <c r="BK824" s="12" t="s">
        <v>12745</v>
      </c>
      <c r="BL824" s="12" t="s">
        <v>12746</v>
      </c>
      <c r="BM824" s="12" t="s">
        <v>3637</v>
      </c>
      <c r="BN824" s="12" t="s">
        <v>12747</v>
      </c>
      <c r="BO824" s="12" t="s">
        <v>319</v>
      </c>
      <c r="BP824" s="12" t="s">
        <v>320</v>
      </c>
      <c r="BQ824" s="12" t="s">
        <v>319</v>
      </c>
      <c r="BR824" s="12" t="s">
        <v>12748</v>
      </c>
      <c r="BS824" s="12" t="s">
        <v>357</v>
      </c>
      <c r="BT824" s="12" t="s">
        <v>12749</v>
      </c>
      <c r="BU824" s="12" t="s">
        <v>12750</v>
      </c>
      <c r="BV824" s="14">
        <v>17500</v>
      </c>
      <c r="BW824" s="14">
        <v>7500</v>
      </c>
      <c r="BX824" s="14">
        <v>25000</v>
      </c>
      <c r="BY824" s="14">
        <v>87500</v>
      </c>
      <c r="BZ824" s="14">
        <v>37500</v>
      </c>
      <c r="CA824" s="14">
        <v>125000</v>
      </c>
      <c r="CB824" s="12" t="s">
        <v>12751</v>
      </c>
      <c r="CD824" s="14"/>
      <c r="CE824" s="14"/>
      <c r="CF824" s="14"/>
      <c r="CG824" s="14"/>
      <c r="CH824" s="14"/>
      <c r="CI824" s="14"/>
      <c r="CJ824" s="12"/>
      <c r="CK824" s="14"/>
      <c r="CL824" s="16"/>
      <c r="CM824" s="14"/>
      <c r="CN824" s="12"/>
      <c r="CO824" s="14"/>
      <c r="CP824" s="16"/>
      <c r="CQ824" s="14"/>
      <c r="CR824" s="12"/>
      <c r="CS824" s="14"/>
      <c r="CT824" s="16"/>
      <c r="CU824" s="14"/>
      <c r="CV824" s="12"/>
      <c r="CW824" s="14"/>
      <c r="CX824" s="16"/>
      <c r="CY824" s="14"/>
      <c r="CZ824" s="12"/>
      <c r="DA824" s="14"/>
      <c r="DB824" s="16"/>
      <c r="DC824" s="14"/>
      <c r="DD824" s="12"/>
      <c r="DE824" s="14"/>
      <c r="DF824" s="16"/>
      <c r="DG824" s="14"/>
      <c r="DH824" s="12"/>
      <c r="DI824" s="14"/>
      <c r="DJ824" s="16"/>
      <c r="DK824" s="14"/>
      <c r="DL824" s="12"/>
      <c r="DM824" s="14"/>
      <c r="DN824" s="16"/>
      <c r="DO824" s="14"/>
      <c r="DP824" s="12"/>
      <c r="DQ824" s="14"/>
      <c r="DR824" s="16"/>
      <c r="DS824" s="14"/>
      <c r="DT824" s="12"/>
      <c r="DU824" s="14"/>
      <c r="DV824" s="16"/>
      <c r="DW824" s="14"/>
      <c r="DX824" s="12"/>
      <c r="DY824" s="14"/>
      <c r="DZ824" s="16"/>
      <c r="EA824" s="14"/>
      <c r="EB824" s="12"/>
      <c r="EC824" s="14"/>
      <c r="ED824" s="16"/>
      <c r="EE824" s="14"/>
      <c r="EF824" s="12"/>
      <c r="EG824" s="12"/>
      <c r="EH824" s="14"/>
      <c r="EI824" s="16"/>
      <c r="EJ824" s="14"/>
      <c r="EK824" s="14">
        <v>10750</v>
      </c>
      <c r="EL824" s="14">
        <v>6710</v>
      </c>
      <c r="EM824" s="14">
        <v>17460</v>
      </c>
      <c r="EN824" s="14">
        <v>61110</v>
      </c>
      <c r="EO824" s="14">
        <v>26190</v>
      </c>
      <c r="EP824" s="14">
        <v>87300</v>
      </c>
      <c r="EQ824" s="12"/>
      <c r="ER824" s="14"/>
      <c r="ES824" s="16"/>
      <c r="ET824" s="14"/>
      <c r="EU824" s="12"/>
      <c r="EV824" s="14"/>
      <c r="EW824" s="16"/>
      <c r="EX824" s="14"/>
      <c r="EY824" s="12"/>
      <c r="EZ824" s="14"/>
      <c r="FA824" s="16"/>
      <c r="FB824" s="14"/>
      <c r="FC824" s="12"/>
      <c r="FD824" s="14"/>
      <c r="FE824" s="16"/>
      <c r="FF824" s="14"/>
      <c r="FG824" s="12" t="s">
        <v>320</v>
      </c>
      <c r="FH824" s="14">
        <v>250</v>
      </c>
      <c r="FI824" s="16">
        <v>1</v>
      </c>
      <c r="FJ824" s="14">
        <v>1250</v>
      </c>
      <c r="FK824" s="12" t="s">
        <v>320</v>
      </c>
      <c r="FL824" s="14">
        <v>600</v>
      </c>
      <c r="FM824" s="16">
        <v>1</v>
      </c>
      <c r="FN824" s="14">
        <v>3000</v>
      </c>
      <c r="FO824" s="12"/>
      <c r="FP824" s="14"/>
      <c r="FQ824" s="16"/>
      <c r="FR824" s="14"/>
      <c r="FS824" s="12" t="s">
        <v>320</v>
      </c>
      <c r="FT824" s="14">
        <v>2200</v>
      </c>
      <c r="FU824" s="16">
        <v>0</v>
      </c>
      <c r="FV824" s="14">
        <v>1125</v>
      </c>
      <c r="FW824" s="11" t="s">
        <v>320</v>
      </c>
      <c r="FX824" s="14">
        <v>50</v>
      </c>
      <c r="FY824" s="16">
        <v>1</v>
      </c>
      <c r="FZ824" s="14">
        <v>250</v>
      </c>
      <c r="GA824" s="12" t="s">
        <v>319</v>
      </c>
      <c r="GB824" s="14"/>
      <c r="GC824" s="16"/>
      <c r="GD824" s="14"/>
      <c r="GE824" s="12"/>
      <c r="GF824" s="14"/>
      <c r="GG824" s="16"/>
      <c r="GH824" s="14"/>
      <c r="GI824" s="12"/>
      <c r="GJ824" s="14"/>
      <c r="GK824" s="16"/>
      <c r="GL824" s="14"/>
      <c r="GM824" s="12"/>
      <c r="GN824" s="14"/>
      <c r="GO824" s="16"/>
      <c r="GP824" s="14"/>
      <c r="GQ824" s="12"/>
      <c r="GR824" s="14"/>
      <c r="GS824" s="16"/>
      <c r="GT824" s="14"/>
      <c r="GU824" s="12"/>
      <c r="GV824" s="14"/>
      <c r="GW824" s="16"/>
      <c r="GX824" s="14"/>
      <c r="GY824" s="11" t="s">
        <v>320</v>
      </c>
      <c r="GZ824" s="14">
        <v>15525</v>
      </c>
      <c r="HA824" s="16">
        <v>0.7</v>
      </c>
      <c r="HB824" s="14">
        <v>77625</v>
      </c>
      <c r="HC824" s="12"/>
      <c r="HD824" s="12"/>
      <c r="HE824" s="14"/>
      <c r="HF824" s="16"/>
      <c r="HG824" s="14"/>
      <c r="HH824" s="12" t="s">
        <v>319</v>
      </c>
      <c r="HI824" s="12"/>
      <c r="HJ824" s="12"/>
      <c r="HK824" s="12"/>
      <c r="HL824" s="12" t="s">
        <v>319</v>
      </c>
      <c r="HM824" s="12"/>
      <c r="HN824" s="12"/>
      <c r="HO824" s="12" t="s">
        <v>12752</v>
      </c>
      <c r="HP824" s="12" t="s">
        <v>330</v>
      </c>
      <c r="HQ824" s="12" t="s">
        <v>320</v>
      </c>
      <c r="HR824" s="12" t="s">
        <v>320</v>
      </c>
      <c r="HS824" s="12" t="s">
        <v>320</v>
      </c>
      <c r="HT824" s="12" t="s">
        <v>320</v>
      </c>
      <c r="HU824" s="12" t="s">
        <v>320</v>
      </c>
      <c r="HV824" s="12" t="s">
        <v>320</v>
      </c>
      <c r="HW824" s="12" t="s">
        <v>320</v>
      </c>
      <c r="HX824" s="12" t="s">
        <v>319</v>
      </c>
      <c r="HY824" s="12"/>
      <c r="HZ824" s="12" t="s">
        <v>394</v>
      </c>
      <c r="IA824" s="12" t="s">
        <v>12753</v>
      </c>
      <c r="IB824" s="12" t="s">
        <v>396</v>
      </c>
      <c r="IC824" s="12" t="s">
        <v>12754</v>
      </c>
      <c r="ID824" s="12" t="s">
        <v>334</v>
      </c>
      <c r="IE824" s="12" t="s">
        <v>335</v>
      </c>
      <c r="IF824" s="12" t="s">
        <v>320</v>
      </c>
      <c r="IG824" s="12" t="s">
        <v>320</v>
      </c>
      <c r="IH824" s="12" t="s">
        <v>320</v>
      </c>
      <c r="II824" s="12" t="s">
        <v>320</v>
      </c>
      <c r="IJ824" s="12" t="str">
        <f t="shared" si="517"/>
        <v>2. Sensitive</v>
      </c>
      <c r="IK824" s="12">
        <f t="shared" si="518"/>
        <v>4</v>
      </c>
      <c r="IL824" s="12" t="s">
        <v>336</v>
      </c>
      <c r="IM824" s="12" t="s">
        <v>320</v>
      </c>
      <c r="IN824" s="12" t="s">
        <v>320</v>
      </c>
      <c r="IO824" s="12" t="s">
        <v>320</v>
      </c>
      <c r="IP824" s="12" t="s">
        <v>320</v>
      </c>
      <c r="IQ824" s="12" t="str">
        <f t="shared" si="519"/>
        <v>2. Accommodating</v>
      </c>
      <c r="IR824" s="12">
        <f t="shared" si="520"/>
        <v>4</v>
      </c>
      <c r="IS824" s="12" t="s">
        <v>337</v>
      </c>
      <c r="IT824" s="12" t="s">
        <v>320</v>
      </c>
      <c r="IU824" s="12" t="s">
        <v>320</v>
      </c>
      <c r="IV824" s="12" t="s">
        <v>320</v>
      </c>
      <c r="IW824" s="11" t="str">
        <f t="shared" si="521"/>
        <v>2. Sensitive</v>
      </c>
      <c r="IX824" s="12">
        <f t="shared" si="522"/>
        <v>3</v>
      </c>
      <c r="IY824" s="12" t="s">
        <v>419</v>
      </c>
      <c r="IZ824" s="12" t="s">
        <v>457</v>
      </c>
      <c r="JA824" s="12">
        <v>2</v>
      </c>
      <c r="JB824" s="12" t="s">
        <v>433</v>
      </c>
      <c r="JC824" s="12" t="s">
        <v>687</v>
      </c>
      <c r="JD824" s="12" t="s">
        <v>624</v>
      </c>
      <c r="JE824" s="12" t="s">
        <v>340</v>
      </c>
      <c r="JF824" s="12" t="s">
        <v>3909</v>
      </c>
      <c r="JG824" s="12" t="s">
        <v>12755</v>
      </c>
      <c r="JH824" s="12" t="s">
        <v>6589</v>
      </c>
      <c r="JI824" s="12" t="s">
        <v>12756</v>
      </c>
      <c r="JJ824" s="12"/>
      <c r="JK824" s="12" t="s">
        <v>12757</v>
      </c>
      <c r="JL824" s="12" t="s">
        <v>12758</v>
      </c>
      <c r="JM824" s="12" t="s">
        <v>12759</v>
      </c>
      <c r="JN824" s="12"/>
      <c r="JO824" s="12" t="s">
        <v>12760</v>
      </c>
      <c r="JP824" s="15">
        <f t="shared" si="523"/>
        <v>17460</v>
      </c>
      <c r="JQ824" s="15">
        <f t="shared" si="524"/>
        <v>87300</v>
      </c>
      <c r="JR824" s="279">
        <f t="shared" si="525"/>
        <v>5</v>
      </c>
      <c r="JS824" s="17">
        <f t="shared" si="526"/>
        <v>0.61569301260022913</v>
      </c>
      <c r="JT824" s="18">
        <f t="shared" si="527"/>
        <v>0.7</v>
      </c>
      <c r="JU824" s="280">
        <f t="shared" si="528"/>
        <v>10750</v>
      </c>
      <c r="JV824" s="280">
        <f t="shared" si="529"/>
        <v>61110</v>
      </c>
      <c r="JW824" s="319" t="str">
        <f t="shared" si="530"/>
        <v/>
      </c>
      <c r="JX824" s="15">
        <f t="shared" si="531"/>
        <v>0</v>
      </c>
      <c r="JY824" s="15">
        <f t="shared" si="532"/>
        <v>0</v>
      </c>
      <c r="JZ824" s="19" t="str">
        <f t="shared" si="533"/>
        <v/>
      </c>
      <c r="KA824" s="52">
        <f t="shared" si="534"/>
        <v>1</v>
      </c>
      <c r="KB824" s="15">
        <f t="shared" si="535"/>
        <v>250</v>
      </c>
      <c r="KC824" s="15">
        <f t="shared" si="536"/>
        <v>1250</v>
      </c>
      <c r="KD824" s="20">
        <f t="shared" si="537"/>
        <v>5</v>
      </c>
      <c r="KE824" s="52" t="str">
        <f t="shared" si="538"/>
        <v/>
      </c>
      <c r="KF824" s="15">
        <f t="shared" si="539"/>
        <v>0</v>
      </c>
      <c r="KG824" s="15">
        <f t="shared" si="540"/>
        <v>0</v>
      </c>
      <c r="KH824" s="21" t="str">
        <f t="shared" si="541"/>
        <v/>
      </c>
      <c r="KI824" s="52">
        <f t="shared" si="542"/>
        <v>1</v>
      </c>
      <c r="KJ824" s="15">
        <f t="shared" si="543"/>
        <v>2200</v>
      </c>
      <c r="KK824" s="15">
        <f t="shared" si="544"/>
        <v>1125</v>
      </c>
      <c r="KL824" s="19">
        <f t="shared" si="545"/>
        <v>0.51136363636363635</v>
      </c>
      <c r="KM824" s="52">
        <f t="shared" si="546"/>
        <v>1</v>
      </c>
      <c r="KN824" s="22">
        <f t="shared" si="547"/>
        <v>15525</v>
      </c>
      <c r="KO824" s="22">
        <f t="shared" si="548"/>
        <v>77625</v>
      </c>
      <c r="KP824" s="19">
        <f t="shared" si="549"/>
        <v>5</v>
      </c>
      <c r="KQ824" s="11" t="str">
        <f t="shared" si="550"/>
        <v>2. Sensitive</v>
      </c>
      <c r="KR824" s="11" t="str">
        <f t="shared" si="551"/>
        <v>2. Accommodating</v>
      </c>
      <c r="KS824" s="11" t="str">
        <f t="shared" si="552"/>
        <v>2. Sensitive</v>
      </c>
      <c r="KT824" s="11" t="str">
        <f t="shared" si="553"/>
        <v>It tested new ways for fighting poverty, but did not measure results of innovation</v>
      </c>
      <c r="KU824" s="11" t="str">
        <f t="shared" si="554"/>
        <v>Moderate advocacy</v>
      </c>
      <c r="KV824" s="11" t="str">
        <f t="shared" si="555"/>
        <v>It linked and worked with strategic alliances and partners to take tested and effective solutions to scale</v>
      </c>
      <c r="KW824" s="11" t="str">
        <f t="shared" si="556"/>
        <v>Uganda - GENDER EQUALITY AND WOMEN'S EMPOWERMENT PROGRAMME (GEWEP)</v>
      </c>
      <c r="KX824" s="11" t="str">
        <f t="shared" si="557"/>
        <v>GENDER EQUALITY AND WOMEN'S EMPOWERMENT PROGRAMME (GEWEP)</v>
      </c>
      <c r="KY824" s="11" t="str">
        <f t="shared" si="558"/>
        <v>Uganda</v>
      </c>
      <c r="KZ824" s="12">
        <v>825</v>
      </c>
    </row>
    <row r="825" spans="1:312" x14ac:dyDescent="0.3">
      <c r="A825" s="12" t="s">
        <v>12694</v>
      </c>
      <c r="B825" s="12" t="s">
        <v>1874</v>
      </c>
      <c r="C825" s="12">
        <v>3437</v>
      </c>
      <c r="D825" s="12" t="s">
        <v>12719</v>
      </c>
      <c r="E825" s="277" t="str">
        <f t="shared" si="516"/>
        <v>Uganda</v>
      </c>
      <c r="F825" s="12" t="s">
        <v>12720</v>
      </c>
      <c r="G825" s="12" t="s">
        <v>425</v>
      </c>
      <c r="H825" s="12" t="s">
        <v>310</v>
      </c>
      <c r="I825" s="12"/>
      <c r="J825" s="281" t="s">
        <v>14563</v>
      </c>
      <c r="K825" s="12"/>
      <c r="L825" s="12"/>
      <c r="M825" s="12"/>
      <c r="N825" s="12"/>
      <c r="O825" s="12"/>
      <c r="P825" s="12"/>
      <c r="Q825" s="12"/>
      <c r="R825" s="12"/>
      <c r="S825" s="12"/>
      <c r="T825" s="12"/>
      <c r="U825" s="12"/>
      <c r="V825" s="12"/>
      <c r="W825" s="12"/>
      <c r="X825" s="12"/>
      <c r="Y825" s="12"/>
      <c r="Z825" s="12"/>
      <c r="AA825" s="12"/>
      <c r="AB825" s="12"/>
      <c r="AC825" s="12"/>
      <c r="AD825" s="12"/>
      <c r="BD825" s="13">
        <v>42370</v>
      </c>
      <c r="BE825" s="13">
        <v>44196</v>
      </c>
      <c r="BF825" s="12"/>
      <c r="BG825" s="12" t="s">
        <v>749</v>
      </c>
      <c r="BH825" s="14">
        <v>947810</v>
      </c>
      <c r="BI825" s="12" t="s">
        <v>12721</v>
      </c>
      <c r="BJ825" s="12" t="s">
        <v>12722</v>
      </c>
      <c r="BK825" s="12" t="s">
        <v>12723</v>
      </c>
      <c r="BL825" s="12" t="s">
        <v>12724</v>
      </c>
      <c r="BM825" s="12" t="s">
        <v>12725</v>
      </c>
      <c r="BN825" s="12" t="s">
        <v>12726</v>
      </c>
      <c r="BO825" s="12" t="s">
        <v>319</v>
      </c>
      <c r="BP825" s="12" t="s">
        <v>320</v>
      </c>
      <c r="BQ825" s="12" t="s">
        <v>319</v>
      </c>
      <c r="BR825" s="12" t="s">
        <v>12727</v>
      </c>
      <c r="BS825" s="12" t="s">
        <v>615</v>
      </c>
      <c r="BT825" s="12" t="s">
        <v>12728</v>
      </c>
      <c r="BU825" s="12" t="s">
        <v>12729</v>
      </c>
      <c r="BV825" s="14">
        <v>17100</v>
      </c>
      <c r="BW825" s="14">
        <v>20900</v>
      </c>
      <c r="BX825" s="14">
        <v>38000</v>
      </c>
      <c r="BY825" s="14">
        <v>68400</v>
      </c>
      <c r="BZ825" s="14">
        <v>83600</v>
      </c>
      <c r="CA825" s="14">
        <v>152000</v>
      </c>
      <c r="CB825" s="12" t="s">
        <v>12730</v>
      </c>
      <c r="CD825" s="14"/>
      <c r="CE825" s="14"/>
      <c r="CF825" s="14"/>
      <c r="CG825" s="14"/>
      <c r="CH825" s="14"/>
      <c r="CI825" s="14"/>
      <c r="CJ825" s="12"/>
      <c r="CK825" s="14"/>
      <c r="CL825" s="16"/>
      <c r="CM825" s="14"/>
      <c r="CN825" s="12"/>
      <c r="CO825" s="14"/>
      <c r="CP825" s="16"/>
      <c r="CQ825" s="14"/>
      <c r="CR825" s="12"/>
      <c r="CS825" s="14"/>
      <c r="CT825" s="16"/>
      <c r="CU825" s="14"/>
      <c r="CV825" s="12"/>
      <c r="CW825" s="14"/>
      <c r="CX825" s="16"/>
      <c r="CY825" s="14"/>
      <c r="CZ825" s="12"/>
      <c r="DA825" s="14"/>
      <c r="DB825" s="16"/>
      <c r="DC825" s="14"/>
      <c r="DD825" s="12"/>
      <c r="DE825" s="14"/>
      <c r="DF825" s="16"/>
      <c r="DG825" s="14"/>
      <c r="DH825" s="12"/>
      <c r="DI825" s="14"/>
      <c r="DJ825" s="16"/>
      <c r="DK825" s="14"/>
      <c r="DL825" s="12"/>
      <c r="DM825" s="14"/>
      <c r="DN825" s="16"/>
      <c r="DO825" s="14"/>
      <c r="DP825" s="12"/>
      <c r="DQ825" s="14"/>
      <c r="DR825" s="16"/>
      <c r="DS825" s="14"/>
      <c r="DT825" s="12"/>
      <c r="DU825" s="14"/>
      <c r="DV825" s="16"/>
      <c r="DW825" s="14"/>
      <c r="DX825" s="12"/>
      <c r="DY825" s="14"/>
      <c r="DZ825" s="16"/>
      <c r="EA825" s="14"/>
      <c r="EB825" s="12"/>
      <c r="EC825" s="14"/>
      <c r="ED825" s="16"/>
      <c r="EE825" s="14"/>
      <c r="EF825" s="12"/>
      <c r="EG825" s="12"/>
      <c r="EH825" s="14"/>
      <c r="EI825" s="16"/>
      <c r="EJ825" s="14"/>
      <c r="EK825" s="14">
        <v>1446</v>
      </c>
      <c r="EL825" s="14">
        <v>1945</v>
      </c>
      <c r="EM825" s="14">
        <v>3391</v>
      </c>
      <c r="EN825" s="14">
        <v>5784</v>
      </c>
      <c r="EO825" s="14">
        <v>7780</v>
      </c>
      <c r="EP825" s="14">
        <v>13564</v>
      </c>
      <c r="EQ825" s="12" t="s">
        <v>320</v>
      </c>
      <c r="ER825" s="14">
        <v>21</v>
      </c>
      <c r="ES825" s="16">
        <v>0.43</v>
      </c>
      <c r="ET825" s="14">
        <v>84</v>
      </c>
      <c r="EU825" s="11" t="s">
        <v>320</v>
      </c>
      <c r="EV825" s="14">
        <v>988</v>
      </c>
      <c r="EW825" s="16">
        <v>0.4</v>
      </c>
      <c r="EX825" s="14">
        <v>3952</v>
      </c>
      <c r="EY825" s="12" t="s">
        <v>319</v>
      </c>
      <c r="EZ825" s="14"/>
      <c r="FA825" s="16"/>
      <c r="FB825" s="14"/>
      <c r="FC825" s="12" t="s">
        <v>320</v>
      </c>
      <c r="FD825" s="14">
        <v>457</v>
      </c>
      <c r="FE825" s="16">
        <v>0.51</v>
      </c>
      <c r="FF825" s="14">
        <v>1828</v>
      </c>
      <c r="FG825" s="12" t="s">
        <v>319</v>
      </c>
      <c r="FH825" s="14"/>
      <c r="FI825" s="16"/>
      <c r="FJ825" s="14"/>
      <c r="FK825" s="12" t="s">
        <v>319</v>
      </c>
      <c r="FL825" s="14"/>
      <c r="FM825" s="16"/>
      <c r="FN825" s="14"/>
      <c r="FO825" s="12" t="s">
        <v>319</v>
      </c>
      <c r="FP825" s="14"/>
      <c r="FQ825" s="16"/>
      <c r="FR825" s="14"/>
      <c r="FS825" s="12" t="s">
        <v>319</v>
      </c>
      <c r="FT825" s="14"/>
      <c r="FU825" s="16"/>
      <c r="FV825" s="14"/>
      <c r="FW825" s="12" t="s">
        <v>319</v>
      </c>
      <c r="FX825" s="14"/>
      <c r="FY825" s="16"/>
      <c r="FZ825" s="14"/>
      <c r="GA825" s="12" t="s">
        <v>319</v>
      </c>
      <c r="GB825" s="14"/>
      <c r="GC825" s="16"/>
      <c r="GD825" s="14"/>
      <c r="GE825" s="12" t="s">
        <v>319</v>
      </c>
      <c r="GF825" s="14"/>
      <c r="GG825" s="16"/>
      <c r="GH825" s="14"/>
      <c r="GI825" s="11" t="s">
        <v>320</v>
      </c>
      <c r="GJ825" s="14">
        <v>1238</v>
      </c>
      <c r="GK825" s="16">
        <v>0.44</v>
      </c>
      <c r="GL825" s="14">
        <v>4952</v>
      </c>
      <c r="GM825" s="11" t="s">
        <v>320</v>
      </c>
      <c r="GN825" s="14">
        <v>315</v>
      </c>
      <c r="GO825" s="16">
        <v>0.22</v>
      </c>
      <c r="GP825" s="14">
        <v>1260</v>
      </c>
      <c r="GQ825" s="12" t="s">
        <v>319</v>
      </c>
      <c r="GR825" s="14"/>
      <c r="GS825" s="16"/>
      <c r="GT825" s="14"/>
      <c r="GU825" s="12" t="s">
        <v>319</v>
      </c>
      <c r="GV825" s="14"/>
      <c r="GW825" s="16"/>
      <c r="GX825" s="14"/>
      <c r="GY825" s="12" t="s">
        <v>319</v>
      </c>
      <c r="GZ825" s="14"/>
      <c r="HA825" s="16"/>
      <c r="HB825" s="14"/>
      <c r="HC825" s="12"/>
      <c r="HD825" s="12" t="s">
        <v>319</v>
      </c>
      <c r="HE825" s="14"/>
      <c r="HF825" s="16"/>
      <c r="HG825" s="14"/>
      <c r="HH825" s="12" t="s">
        <v>319</v>
      </c>
      <c r="HI825" s="12"/>
      <c r="HJ825" s="12"/>
      <c r="HK825" s="12" t="s">
        <v>319</v>
      </c>
      <c r="HL825" s="12" t="s">
        <v>319</v>
      </c>
      <c r="HM825" s="12"/>
      <c r="HN825" s="12"/>
      <c r="HO825" s="12" t="s">
        <v>12731</v>
      </c>
      <c r="HP825" s="12" t="s">
        <v>453</v>
      </c>
      <c r="HQ825" s="12" t="s">
        <v>319</v>
      </c>
      <c r="HR825" s="12" t="s">
        <v>319</v>
      </c>
      <c r="HS825" s="12" t="s">
        <v>320</v>
      </c>
      <c r="HT825" s="12" t="s">
        <v>320</v>
      </c>
      <c r="HU825" s="12" t="s">
        <v>320</v>
      </c>
      <c r="HV825" s="12" t="s">
        <v>320</v>
      </c>
      <c r="HW825" s="12" t="s">
        <v>320</v>
      </c>
      <c r="HX825" s="12" t="s">
        <v>319</v>
      </c>
      <c r="HY825" s="12"/>
      <c r="HZ825" s="12" t="s">
        <v>394</v>
      </c>
      <c r="IA825" s="12" t="s">
        <v>12732</v>
      </c>
      <c r="IB825" s="12" t="s">
        <v>396</v>
      </c>
      <c r="IC825" s="12" t="s">
        <v>12733</v>
      </c>
      <c r="ID825" s="12" t="s">
        <v>364</v>
      </c>
      <c r="IE825" s="12" t="s">
        <v>335</v>
      </c>
      <c r="IF825" s="12" t="s">
        <v>320</v>
      </c>
      <c r="IG825" s="12" t="s">
        <v>320</v>
      </c>
      <c r="IH825" s="12" t="s">
        <v>320</v>
      </c>
      <c r="II825" s="12" t="s">
        <v>319</v>
      </c>
      <c r="IJ825" s="12" t="str">
        <f t="shared" si="517"/>
        <v>1. Neutral</v>
      </c>
      <c r="IK825" s="12">
        <f t="shared" si="518"/>
        <v>3</v>
      </c>
      <c r="IL825" s="12" t="s">
        <v>336</v>
      </c>
      <c r="IM825" s="12" t="s">
        <v>320</v>
      </c>
      <c r="IN825" s="12" t="s">
        <v>320</v>
      </c>
      <c r="IO825" s="12" t="s">
        <v>320</v>
      </c>
      <c r="IP825" s="12" t="s">
        <v>320</v>
      </c>
      <c r="IQ825" s="12" t="str">
        <f t="shared" si="519"/>
        <v>2. Accommodating</v>
      </c>
      <c r="IR825" s="12">
        <f t="shared" si="520"/>
        <v>4</v>
      </c>
      <c r="IS825" s="12" t="s">
        <v>622</v>
      </c>
      <c r="IT825" s="12" t="s">
        <v>320</v>
      </c>
      <c r="IU825" s="12" t="s">
        <v>320</v>
      </c>
      <c r="IV825" s="12" t="s">
        <v>320</v>
      </c>
      <c r="IW825" s="11" t="str">
        <f t="shared" si="521"/>
        <v>4. Transformative</v>
      </c>
      <c r="IX825" s="12">
        <f t="shared" si="522"/>
        <v>3</v>
      </c>
      <c r="IY825" s="12" t="s">
        <v>419</v>
      </c>
      <c r="IZ825" s="12" t="s">
        <v>432</v>
      </c>
      <c r="JA825" s="12">
        <v>4</v>
      </c>
      <c r="JB825" s="12" t="s">
        <v>831</v>
      </c>
      <c r="JC825" s="12" t="s">
        <v>433</v>
      </c>
      <c r="JD825" s="12" t="s">
        <v>687</v>
      </c>
      <c r="JE825" s="12" t="s">
        <v>340</v>
      </c>
      <c r="JF825" s="12" t="s">
        <v>12734</v>
      </c>
      <c r="JG825" s="12" t="s">
        <v>12735</v>
      </c>
      <c r="JH825" s="12" t="s">
        <v>8476</v>
      </c>
      <c r="JI825" s="12" t="s">
        <v>12736</v>
      </c>
      <c r="JJ825" s="12" t="s">
        <v>8416</v>
      </c>
      <c r="JK825" s="12" t="s">
        <v>12737</v>
      </c>
      <c r="JL825" s="12" t="s">
        <v>12738</v>
      </c>
      <c r="JM825" s="12" t="s">
        <v>12739</v>
      </c>
      <c r="JN825" s="12" t="s">
        <v>12740</v>
      </c>
      <c r="JO825" s="12" t="s">
        <v>12741</v>
      </c>
      <c r="JP825" s="15">
        <f t="shared" si="523"/>
        <v>3391</v>
      </c>
      <c r="JQ825" s="15">
        <f t="shared" si="524"/>
        <v>13564</v>
      </c>
      <c r="JR825" s="279">
        <f t="shared" si="525"/>
        <v>4</v>
      </c>
      <c r="JS825" s="17">
        <f t="shared" si="526"/>
        <v>0.4264228841049838</v>
      </c>
      <c r="JT825" s="18">
        <f t="shared" si="527"/>
        <v>0.4264228841049838</v>
      </c>
      <c r="JU825" s="280">
        <f t="shared" si="528"/>
        <v>1446</v>
      </c>
      <c r="JV825" s="280">
        <f t="shared" si="529"/>
        <v>5784</v>
      </c>
      <c r="JW825" s="319" t="str">
        <f t="shared" si="530"/>
        <v/>
      </c>
      <c r="JX825" s="15">
        <f t="shared" si="531"/>
        <v>0</v>
      </c>
      <c r="JY825" s="15">
        <f t="shared" si="532"/>
        <v>0</v>
      </c>
      <c r="JZ825" s="19" t="str">
        <f t="shared" si="533"/>
        <v/>
      </c>
      <c r="KA825" s="52">
        <f t="shared" si="534"/>
        <v>1</v>
      </c>
      <c r="KB825" s="15">
        <f t="shared" si="535"/>
        <v>1238</v>
      </c>
      <c r="KC825" s="15">
        <f t="shared" si="536"/>
        <v>4952</v>
      </c>
      <c r="KD825" s="20">
        <f t="shared" si="537"/>
        <v>4</v>
      </c>
      <c r="KE825" s="52" t="str">
        <f t="shared" si="538"/>
        <v/>
      </c>
      <c r="KF825" s="15">
        <f t="shared" si="539"/>
        <v>0</v>
      </c>
      <c r="KG825" s="15">
        <f t="shared" si="540"/>
        <v>0</v>
      </c>
      <c r="KH825" s="21" t="str">
        <f t="shared" si="541"/>
        <v/>
      </c>
      <c r="KI825" s="52" t="str">
        <f t="shared" si="542"/>
        <v/>
      </c>
      <c r="KJ825" s="15">
        <f t="shared" si="543"/>
        <v>0</v>
      </c>
      <c r="KK825" s="15">
        <f t="shared" si="544"/>
        <v>0</v>
      </c>
      <c r="KL825" s="19" t="str">
        <f t="shared" si="545"/>
        <v/>
      </c>
      <c r="KM825" s="52" t="str">
        <f t="shared" si="546"/>
        <v/>
      </c>
      <c r="KN825" s="22">
        <f t="shared" si="547"/>
        <v>0</v>
      </c>
      <c r="KO825" s="22">
        <f t="shared" si="548"/>
        <v>0</v>
      </c>
      <c r="KP825" s="19" t="str">
        <f t="shared" si="549"/>
        <v/>
      </c>
      <c r="KQ825" s="11" t="str">
        <f t="shared" si="550"/>
        <v>1. Neutral</v>
      </c>
      <c r="KR825" s="11" t="str">
        <f t="shared" si="551"/>
        <v>2. Accommodating</v>
      </c>
      <c r="KS825" s="11" t="str">
        <f t="shared" si="552"/>
        <v>4. Transformative</v>
      </c>
      <c r="KT825" s="11" t="str">
        <f t="shared" si="553"/>
        <v>It tested new ways for fighting poverty, but did not measure results of innovation</v>
      </c>
      <c r="KU825" s="11" t="str">
        <f t="shared" si="554"/>
        <v>Intensive advocacy</v>
      </c>
      <c r="KV825" s="11" t="str">
        <f t="shared" si="555"/>
        <v>It linked and worked with strategic alliances and partners to take tested and effective solutions to scale</v>
      </c>
      <c r="KW825" s="11" t="str">
        <f t="shared" si="556"/>
        <v>Uganda - Partners for Resilience Strategic Plan</v>
      </c>
      <c r="KX825" s="11" t="str">
        <f t="shared" si="557"/>
        <v>Partners for Resilience Strategic Plan</v>
      </c>
      <c r="KY825" s="11" t="str">
        <f t="shared" si="558"/>
        <v>Uganda</v>
      </c>
      <c r="KZ825" s="12">
        <v>826</v>
      </c>
    </row>
    <row r="826" spans="1:312" x14ac:dyDescent="0.3">
      <c r="A826" s="12" t="s">
        <v>12694</v>
      </c>
      <c r="B826" s="12" t="s">
        <v>1874</v>
      </c>
      <c r="C826" s="12">
        <v>3439</v>
      </c>
      <c r="D826" s="12" t="s">
        <v>12870</v>
      </c>
      <c r="E826" s="277" t="str">
        <f t="shared" si="516"/>
        <v>Uganda</v>
      </c>
      <c r="F826" s="12" t="s">
        <v>12871</v>
      </c>
      <c r="G826" s="12" t="s">
        <v>608</v>
      </c>
      <c r="H826" s="12" t="s">
        <v>310</v>
      </c>
      <c r="I826" s="12" t="s">
        <v>384</v>
      </c>
      <c r="J826" s="281" t="s">
        <v>14779</v>
      </c>
      <c r="K826" s="12"/>
      <c r="L826" s="12"/>
      <c r="M826" s="12"/>
      <c r="N826" s="12"/>
      <c r="O826" s="12"/>
      <c r="P826" s="12"/>
      <c r="Q826" s="12"/>
      <c r="R826" s="12"/>
      <c r="S826" s="12"/>
      <c r="T826" s="12"/>
      <c r="U826" s="12"/>
      <c r="V826" s="12"/>
      <c r="W826" s="12"/>
      <c r="X826" s="12"/>
      <c r="Y826" s="12"/>
      <c r="Z826" s="12"/>
      <c r="AA826" s="12"/>
      <c r="AB826" s="12"/>
      <c r="AC826" s="12"/>
      <c r="AD826" s="12"/>
      <c r="BD826" s="13">
        <v>42491</v>
      </c>
      <c r="BE826" s="13">
        <v>43556</v>
      </c>
      <c r="BF826" s="12"/>
      <c r="BG826" s="12" t="s">
        <v>350</v>
      </c>
      <c r="BH826" s="14">
        <v>750000</v>
      </c>
      <c r="BI826" s="12" t="s">
        <v>12778</v>
      </c>
      <c r="BJ826" s="12" t="s">
        <v>1602</v>
      </c>
      <c r="BK826" s="12" t="s">
        <v>12701</v>
      </c>
      <c r="BL826" s="12"/>
      <c r="BM826" s="12"/>
      <c r="BN826" s="12"/>
      <c r="BO826" s="12" t="s">
        <v>319</v>
      </c>
      <c r="BP826" s="12" t="s">
        <v>320</v>
      </c>
      <c r="BQ826" s="12" t="s">
        <v>319</v>
      </c>
      <c r="BR826" s="12" t="s">
        <v>12872</v>
      </c>
      <c r="BS826" s="12" t="s">
        <v>357</v>
      </c>
      <c r="BT826" s="12" t="s">
        <v>12873</v>
      </c>
      <c r="BU826" s="12" t="s">
        <v>12860</v>
      </c>
      <c r="BV826" s="14">
        <v>43750</v>
      </c>
      <c r="BW826" s="14">
        <v>18750</v>
      </c>
      <c r="BX826" s="14">
        <v>62500</v>
      </c>
      <c r="BY826" s="14">
        <v>175000</v>
      </c>
      <c r="BZ826" s="14">
        <v>75000</v>
      </c>
      <c r="CA826" s="14">
        <v>250000</v>
      </c>
      <c r="CB826" s="12" t="s">
        <v>12782</v>
      </c>
      <c r="CD826" s="14"/>
      <c r="CE826" s="14"/>
      <c r="CF826" s="14"/>
      <c r="CG826" s="14"/>
      <c r="CH826" s="14"/>
      <c r="CI826" s="14"/>
      <c r="CJ826" s="12"/>
      <c r="CK826" s="14"/>
      <c r="CL826" s="16"/>
      <c r="CM826" s="14"/>
      <c r="CN826" s="12"/>
      <c r="CO826" s="14"/>
      <c r="CP826" s="16"/>
      <c r="CQ826" s="14"/>
      <c r="CR826" s="12"/>
      <c r="CS826" s="14"/>
      <c r="CT826" s="16"/>
      <c r="CU826" s="14"/>
      <c r="CV826" s="12"/>
      <c r="CW826" s="14"/>
      <c r="CX826" s="16"/>
      <c r="CY826" s="14"/>
      <c r="CZ826" s="12"/>
      <c r="DA826" s="14"/>
      <c r="DB826" s="16"/>
      <c r="DC826" s="14"/>
      <c r="DD826" s="12"/>
      <c r="DE826" s="14"/>
      <c r="DF826" s="16"/>
      <c r="DG826" s="14"/>
      <c r="DH826" s="12"/>
      <c r="DI826" s="14"/>
      <c r="DJ826" s="16"/>
      <c r="DK826" s="14"/>
      <c r="DL826" s="12"/>
      <c r="DM826" s="14"/>
      <c r="DN826" s="16"/>
      <c r="DO826" s="14"/>
      <c r="DP826" s="12"/>
      <c r="DQ826" s="14"/>
      <c r="DR826" s="16"/>
      <c r="DS826" s="14"/>
      <c r="DT826" s="12"/>
      <c r="DU826" s="14"/>
      <c r="DV826" s="16"/>
      <c r="DW826" s="14"/>
      <c r="DX826" s="12"/>
      <c r="DY826" s="14"/>
      <c r="DZ826" s="16"/>
      <c r="EA826" s="14"/>
      <c r="EB826" s="12"/>
      <c r="EC826" s="14"/>
      <c r="ED826" s="16"/>
      <c r="EE826" s="14"/>
      <c r="EF826" s="12"/>
      <c r="EG826" s="12"/>
      <c r="EH826" s="14"/>
      <c r="EI826" s="16"/>
      <c r="EJ826" s="14"/>
      <c r="EK826" s="14">
        <v>13001</v>
      </c>
      <c r="EL826" s="14">
        <v>1405</v>
      </c>
      <c r="EM826" s="14">
        <v>14406</v>
      </c>
      <c r="EN826" s="14">
        <v>52002</v>
      </c>
      <c r="EO826" s="14">
        <v>16422</v>
      </c>
      <c r="EP826" s="14">
        <v>68424</v>
      </c>
      <c r="EQ826" s="12" t="s">
        <v>319</v>
      </c>
      <c r="ER826" s="14"/>
      <c r="ES826" s="16"/>
      <c r="ET826" s="14"/>
      <c r="EU826" s="11" t="s">
        <v>319</v>
      </c>
      <c r="EV826" s="14"/>
      <c r="EW826" s="16"/>
      <c r="EX826" s="14"/>
      <c r="EY826" s="12" t="s">
        <v>319</v>
      </c>
      <c r="EZ826" s="14"/>
      <c r="FA826" s="16"/>
      <c r="FB826" s="14"/>
      <c r="FC826" s="12" t="s">
        <v>319</v>
      </c>
      <c r="FD826" s="14"/>
      <c r="FE826" s="16"/>
      <c r="FF826" s="14"/>
      <c r="FG826" s="12" t="s">
        <v>320</v>
      </c>
      <c r="FH826" s="14">
        <v>17106</v>
      </c>
      <c r="FI826" s="16">
        <v>0.75900000000000001</v>
      </c>
      <c r="FJ826" s="14">
        <v>68424</v>
      </c>
      <c r="FK826" s="12" t="s">
        <v>319</v>
      </c>
      <c r="FL826" s="14"/>
      <c r="FM826" s="16"/>
      <c r="FN826" s="14"/>
      <c r="FO826" s="12" t="s">
        <v>319</v>
      </c>
      <c r="FP826" s="14"/>
      <c r="FQ826" s="16"/>
      <c r="FR826" s="14"/>
      <c r="FS826" s="12" t="s">
        <v>319</v>
      </c>
      <c r="FT826" s="14"/>
      <c r="FU826" s="16"/>
      <c r="FV826" s="14"/>
      <c r="FW826" s="12" t="s">
        <v>319</v>
      </c>
      <c r="FX826" s="14"/>
      <c r="FY826" s="16"/>
      <c r="FZ826" s="14"/>
      <c r="GA826" s="12" t="s">
        <v>319</v>
      </c>
      <c r="GB826" s="14"/>
      <c r="GC826" s="16"/>
      <c r="GD826" s="14"/>
      <c r="GE826" s="12" t="s">
        <v>319</v>
      </c>
      <c r="GF826" s="14"/>
      <c r="GG826" s="16"/>
      <c r="GH826" s="14"/>
      <c r="GI826" s="12" t="s">
        <v>319</v>
      </c>
      <c r="GJ826" s="14"/>
      <c r="GK826" s="16"/>
      <c r="GL826" s="14"/>
      <c r="GM826" s="12" t="s">
        <v>319</v>
      </c>
      <c r="GN826" s="14"/>
      <c r="GO826" s="16"/>
      <c r="GP826" s="14"/>
      <c r="GQ826" s="12" t="s">
        <v>319</v>
      </c>
      <c r="GR826" s="14"/>
      <c r="GS826" s="16"/>
      <c r="GT826" s="14"/>
      <c r="GU826" s="12" t="s">
        <v>319</v>
      </c>
      <c r="GV826" s="14"/>
      <c r="GW826" s="16"/>
      <c r="GX826" s="14"/>
      <c r="GY826" s="11" t="s">
        <v>320</v>
      </c>
      <c r="GZ826" s="14">
        <v>17106</v>
      </c>
      <c r="HA826" s="16">
        <v>0.75900000000000001</v>
      </c>
      <c r="HB826" s="14">
        <v>68424</v>
      </c>
      <c r="HC826" s="12"/>
      <c r="HD826" s="12"/>
      <c r="HE826" s="14"/>
      <c r="HF826" s="16"/>
      <c r="HG826" s="14"/>
      <c r="HH826" s="12" t="s">
        <v>320</v>
      </c>
      <c r="HI826" s="12" t="s">
        <v>451</v>
      </c>
      <c r="HJ826" s="12">
        <v>2017</v>
      </c>
      <c r="HK826" s="12" t="s">
        <v>320</v>
      </c>
      <c r="HL826" s="12" t="s">
        <v>319</v>
      </c>
      <c r="HM826" s="12"/>
      <c r="HN826" s="12"/>
      <c r="HO826" s="12" t="s">
        <v>393</v>
      </c>
      <c r="HP826" s="12" t="s">
        <v>330</v>
      </c>
      <c r="HQ826" s="12" t="s">
        <v>320</v>
      </c>
      <c r="HR826" s="12" t="s">
        <v>319</v>
      </c>
      <c r="HS826" s="12" t="s">
        <v>320</v>
      </c>
      <c r="HT826" s="12" t="s">
        <v>319</v>
      </c>
      <c r="HU826" s="12" t="s">
        <v>320</v>
      </c>
      <c r="HV826" s="12" t="s">
        <v>320</v>
      </c>
      <c r="HW826" s="12" t="s">
        <v>319</v>
      </c>
      <c r="HX826" s="12" t="s">
        <v>320</v>
      </c>
      <c r="HY826" s="12" t="s">
        <v>12874</v>
      </c>
      <c r="HZ826" s="12" t="s">
        <v>363</v>
      </c>
      <c r="IA826" s="12"/>
      <c r="IB826" s="12" t="s">
        <v>396</v>
      </c>
      <c r="IC826" s="12" t="s">
        <v>12875</v>
      </c>
      <c r="ID826" s="12" t="s">
        <v>334</v>
      </c>
      <c r="IE826" s="12" t="s">
        <v>335</v>
      </c>
      <c r="IF826" s="12" t="s">
        <v>320</v>
      </c>
      <c r="IG826" s="12" t="s">
        <v>320</v>
      </c>
      <c r="IH826" s="12" t="s">
        <v>320</v>
      </c>
      <c r="II826" s="12" t="s">
        <v>320</v>
      </c>
      <c r="IJ826" s="12" t="str">
        <f t="shared" si="517"/>
        <v>2. Sensitive</v>
      </c>
      <c r="IK826" s="12">
        <f t="shared" si="518"/>
        <v>4</v>
      </c>
      <c r="IL826" s="12" t="s">
        <v>336</v>
      </c>
      <c r="IM826" s="12" t="s">
        <v>320</v>
      </c>
      <c r="IN826" s="12" t="s">
        <v>320</v>
      </c>
      <c r="IO826" s="12" t="s">
        <v>320</v>
      </c>
      <c r="IP826" s="12" t="s">
        <v>320</v>
      </c>
      <c r="IQ826" s="12" t="str">
        <f t="shared" si="519"/>
        <v>2. Accommodating</v>
      </c>
      <c r="IR826" s="12">
        <f t="shared" si="520"/>
        <v>4</v>
      </c>
      <c r="IS826" s="12" t="s">
        <v>337</v>
      </c>
      <c r="IT826" s="12" t="s">
        <v>320</v>
      </c>
      <c r="IU826" s="12" t="s">
        <v>320</v>
      </c>
      <c r="IV826" s="12" t="s">
        <v>320</v>
      </c>
      <c r="IW826" s="11" t="str">
        <f t="shared" si="521"/>
        <v>2. Sensitive</v>
      </c>
      <c r="IX826" s="12">
        <f t="shared" si="522"/>
        <v>3</v>
      </c>
      <c r="IY826" s="12" t="s">
        <v>338</v>
      </c>
      <c r="IZ826" s="12" t="s">
        <v>457</v>
      </c>
      <c r="JA826" s="12">
        <v>4</v>
      </c>
      <c r="JB826" s="12"/>
      <c r="JC826" s="12"/>
      <c r="JD826" s="12"/>
      <c r="JE826" s="12" t="s">
        <v>365</v>
      </c>
      <c r="JF826" s="12" t="s">
        <v>12876</v>
      </c>
      <c r="JG826" s="12"/>
      <c r="JH826" s="12" t="s">
        <v>12787</v>
      </c>
      <c r="JI826" s="12"/>
      <c r="JJ826" s="12"/>
      <c r="JK826" s="12" t="s">
        <v>12866</v>
      </c>
      <c r="JL826" s="12" t="s">
        <v>12877</v>
      </c>
      <c r="JM826" s="12"/>
      <c r="JN826" s="12" t="s">
        <v>12832</v>
      </c>
      <c r="JO826" s="12" t="s">
        <v>12878</v>
      </c>
      <c r="JP826" s="15">
        <f t="shared" si="523"/>
        <v>14406</v>
      </c>
      <c r="JQ826" s="15">
        <f t="shared" si="524"/>
        <v>68424</v>
      </c>
      <c r="JR826" s="279">
        <f t="shared" si="525"/>
        <v>4.7496876301541029</v>
      </c>
      <c r="JS826" s="17">
        <f t="shared" si="526"/>
        <v>0.90247119255865615</v>
      </c>
      <c r="JT826" s="18">
        <f t="shared" si="527"/>
        <v>0.75999649245878642</v>
      </c>
      <c r="JU826" s="280">
        <f t="shared" si="528"/>
        <v>13001</v>
      </c>
      <c r="JV826" s="280">
        <f t="shared" si="529"/>
        <v>52002</v>
      </c>
      <c r="JW826" s="319" t="str">
        <f t="shared" si="530"/>
        <v/>
      </c>
      <c r="JX826" s="15">
        <f t="shared" si="531"/>
        <v>0</v>
      </c>
      <c r="JY826" s="15">
        <f t="shared" si="532"/>
        <v>0</v>
      </c>
      <c r="JZ826" s="19" t="str">
        <f t="shared" si="533"/>
        <v/>
      </c>
      <c r="KA826" s="52">
        <f t="shared" si="534"/>
        <v>1</v>
      </c>
      <c r="KB826" s="15">
        <f t="shared" si="535"/>
        <v>17106</v>
      </c>
      <c r="KC826" s="15">
        <f t="shared" si="536"/>
        <v>68424</v>
      </c>
      <c r="KD826" s="20">
        <f t="shared" si="537"/>
        <v>4</v>
      </c>
      <c r="KE826" s="52" t="str">
        <f t="shared" si="538"/>
        <v/>
      </c>
      <c r="KF826" s="15">
        <f t="shared" si="539"/>
        <v>0</v>
      </c>
      <c r="KG826" s="15">
        <f t="shared" si="540"/>
        <v>0</v>
      </c>
      <c r="KH826" s="21" t="str">
        <f t="shared" si="541"/>
        <v/>
      </c>
      <c r="KI826" s="52" t="str">
        <f t="shared" si="542"/>
        <v/>
      </c>
      <c r="KJ826" s="15">
        <f t="shared" si="543"/>
        <v>0</v>
      </c>
      <c r="KK826" s="15">
        <f t="shared" si="544"/>
        <v>0</v>
      </c>
      <c r="KL826" s="19" t="str">
        <f t="shared" si="545"/>
        <v/>
      </c>
      <c r="KM826" s="52">
        <f t="shared" si="546"/>
        <v>1</v>
      </c>
      <c r="KN826" s="22">
        <f t="shared" si="547"/>
        <v>17106</v>
      </c>
      <c r="KO826" s="22">
        <f t="shared" si="548"/>
        <v>68424</v>
      </c>
      <c r="KP826" s="19">
        <f t="shared" si="549"/>
        <v>4</v>
      </c>
      <c r="KQ826" s="11" t="str">
        <f t="shared" si="550"/>
        <v>2. Sensitive</v>
      </c>
      <c r="KR826" s="11" t="str">
        <f t="shared" si="551"/>
        <v>2. Accommodating</v>
      </c>
      <c r="KS826" s="11" t="str">
        <f t="shared" si="552"/>
        <v>2. Sensitive</v>
      </c>
      <c r="KT826" s="11" t="str">
        <f t="shared" si="553"/>
        <v>It did not develop any specific innovation</v>
      </c>
      <c r="KU826" s="11" t="str">
        <f t="shared" si="554"/>
        <v>Moderate advocacy</v>
      </c>
      <c r="KV826" s="11" t="str">
        <f t="shared" si="555"/>
        <v>It linked and worked with strategic alliances and partners to take tested and effective solutions to scale</v>
      </c>
      <c r="KW826" s="11" t="str">
        <f t="shared" si="556"/>
        <v>Uganda - PROFIRA EASTERN:- Establishment of Community Savings and Credit Groups</v>
      </c>
      <c r="KX826" s="11" t="str">
        <f t="shared" si="557"/>
        <v>PROFIRA EASTERN:- Establishment of Community Savings and Credit Groups</v>
      </c>
      <c r="KY826" s="11" t="str">
        <f t="shared" si="558"/>
        <v>Uganda</v>
      </c>
      <c r="KZ826" s="12">
        <v>827</v>
      </c>
    </row>
    <row r="827" spans="1:312" x14ac:dyDescent="0.3">
      <c r="A827" s="12" t="s">
        <v>12694</v>
      </c>
      <c r="B827" s="12" t="s">
        <v>1874</v>
      </c>
      <c r="C827" s="12">
        <v>3440</v>
      </c>
      <c r="D827" s="12" t="s">
        <v>12879</v>
      </c>
      <c r="E827" s="277" t="str">
        <f t="shared" si="516"/>
        <v>Uganda</v>
      </c>
      <c r="F827" s="12" t="s">
        <v>12880</v>
      </c>
      <c r="G827" s="12" t="s">
        <v>608</v>
      </c>
      <c r="H827" s="12" t="s">
        <v>310</v>
      </c>
      <c r="I827" s="12" t="s">
        <v>384</v>
      </c>
      <c r="J827" s="281" t="s">
        <v>14779</v>
      </c>
      <c r="K827" s="12"/>
      <c r="L827" s="12"/>
      <c r="M827" s="12"/>
      <c r="N827" s="12"/>
      <c r="O827" s="12"/>
      <c r="P827" s="12"/>
      <c r="Q827" s="12"/>
      <c r="R827" s="12"/>
      <c r="S827" s="12"/>
      <c r="T827" s="12"/>
      <c r="U827" s="12"/>
      <c r="V827" s="12"/>
      <c r="W827" s="12"/>
      <c r="X827" s="12"/>
      <c r="Y827" s="12"/>
      <c r="Z827" s="12"/>
      <c r="AA827" s="12"/>
      <c r="AB827" s="12"/>
      <c r="AC827" s="12"/>
      <c r="AD827" s="12"/>
      <c r="BD827" s="13">
        <v>42491</v>
      </c>
      <c r="BE827" s="13">
        <v>43556</v>
      </c>
      <c r="BF827" s="12"/>
      <c r="BG827" s="12" t="s">
        <v>350</v>
      </c>
      <c r="BH827" s="14">
        <v>475000</v>
      </c>
      <c r="BI827" s="12" t="s">
        <v>12778</v>
      </c>
      <c r="BJ827" s="12" t="s">
        <v>1602</v>
      </c>
      <c r="BK827" s="12" t="s">
        <v>12701</v>
      </c>
      <c r="BL827" s="12"/>
      <c r="BM827" s="12"/>
      <c r="BN827" s="12"/>
      <c r="BO827" s="12" t="s">
        <v>319</v>
      </c>
      <c r="BP827" s="12" t="s">
        <v>320</v>
      </c>
      <c r="BQ827" s="12" t="s">
        <v>319</v>
      </c>
      <c r="BR827" s="12" t="s">
        <v>12872</v>
      </c>
      <c r="BS827" s="12" t="s">
        <v>357</v>
      </c>
      <c r="BT827" s="12" t="s">
        <v>12881</v>
      </c>
      <c r="BU827" s="12" t="s">
        <v>12860</v>
      </c>
      <c r="BV827" s="14">
        <v>17500</v>
      </c>
      <c r="BW827" s="14">
        <v>7500</v>
      </c>
      <c r="BX827" s="14">
        <v>25000</v>
      </c>
      <c r="BY827" s="14">
        <v>70000</v>
      </c>
      <c r="BZ827" s="14">
        <v>30000</v>
      </c>
      <c r="CA827" s="14">
        <v>100000</v>
      </c>
      <c r="CB827" s="12" t="s">
        <v>12782</v>
      </c>
      <c r="CD827" s="14"/>
      <c r="CE827" s="14"/>
      <c r="CF827" s="14"/>
      <c r="CG827" s="14"/>
      <c r="CH827" s="14"/>
      <c r="CI827" s="14"/>
      <c r="CJ827" s="12"/>
      <c r="CK827" s="14"/>
      <c r="CL827" s="16"/>
      <c r="CM827" s="14"/>
      <c r="CN827" s="12"/>
      <c r="CO827" s="14"/>
      <c r="CP827" s="16"/>
      <c r="CQ827" s="14"/>
      <c r="CR827" s="12"/>
      <c r="CS827" s="14"/>
      <c r="CT827" s="16"/>
      <c r="CU827" s="14"/>
      <c r="CV827" s="12"/>
      <c r="CW827" s="14"/>
      <c r="CX827" s="16"/>
      <c r="CY827" s="14"/>
      <c r="CZ827" s="12"/>
      <c r="DA827" s="14"/>
      <c r="DB827" s="16"/>
      <c r="DC827" s="14"/>
      <c r="DD827" s="12"/>
      <c r="DE827" s="14"/>
      <c r="DF827" s="16"/>
      <c r="DG827" s="14"/>
      <c r="DH827" s="12"/>
      <c r="DI827" s="14"/>
      <c r="DJ827" s="16"/>
      <c r="DK827" s="14"/>
      <c r="DL827" s="12"/>
      <c r="DM827" s="14"/>
      <c r="DN827" s="16"/>
      <c r="DO827" s="14"/>
      <c r="DP827" s="12"/>
      <c r="DQ827" s="14"/>
      <c r="DR827" s="16"/>
      <c r="DS827" s="14"/>
      <c r="DT827" s="12"/>
      <c r="DU827" s="14"/>
      <c r="DV827" s="16"/>
      <c r="DW827" s="14"/>
      <c r="DX827" s="12"/>
      <c r="DY827" s="14"/>
      <c r="DZ827" s="16"/>
      <c r="EA827" s="14"/>
      <c r="EB827" s="12"/>
      <c r="EC827" s="14"/>
      <c r="ED827" s="16"/>
      <c r="EE827" s="14"/>
      <c r="EF827" s="12"/>
      <c r="EG827" s="12"/>
      <c r="EH827" s="14"/>
      <c r="EI827" s="16"/>
      <c r="EJ827" s="14"/>
      <c r="EK827" s="14">
        <v>5188</v>
      </c>
      <c r="EL827" s="14">
        <v>2119</v>
      </c>
      <c r="EM827" s="14">
        <v>7307</v>
      </c>
      <c r="EN827" s="14">
        <v>20752</v>
      </c>
      <c r="EO827" s="14">
        <v>8476</v>
      </c>
      <c r="EP827" s="14">
        <v>29228</v>
      </c>
      <c r="EQ827" s="12" t="s">
        <v>319</v>
      </c>
      <c r="ER827" s="14"/>
      <c r="ES827" s="16"/>
      <c r="ET827" s="14"/>
      <c r="EU827" s="11" t="s">
        <v>319</v>
      </c>
      <c r="EV827" s="14"/>
      <c r="EW827" s="16"/>
      <c r="EX827" s="14"/>
      <c r="EY827" s="12" t="s">
        <v>319</v>
      </c>
      <c r="EZ827" s="14"/>
      <c r="FA827" s="16"/>
      <c r="FB827" s="14"/>
      <c r="FC827" s="12" t="s">
        <v>319</v>
      </c>
      <c r="FD827" s="14"/>
      <c r="FE827" s="16"/>
      <c r="FF827" s="14"/>
      <c r="FG827" s="12" t="s">
        <v>320</v>
      </c>
      <c r="FH827" s="14">
        <v>7307</v>
      </c>
      <c r="FI827" s="16">
        <v>0.71399999999999997</v>
      </c>
      <c r="FJ827" s="14">
        <v>29228</v>
      </c>
      <c r="FK827" s="12" t="s">
        <v>319</v>
      </c>
      <c r="FL827" s="14"/>
      <c r="FM827" s="16"/>
      <c r="FN827" s="14"/>
      <c r="FO827" s="12" t="s">
        <v>319</v>
      </c>
      <c r="FP827" s="14"/>
      <c r="FQ827" s="16"/>
      <c r="FR827" s="14"/>
      <c r="FS827" s="12" t="s">
        <v>319</v>
      </c>
      <c r="FT827" s="14"/>
      <c r="FU827" s="16"/>
      <c r="FV827" s="14"/>
      <c r="FW827" s="12" t="s">
        <v>319</v>
      </c>
      <c r="FX827" s="14"/>
      <c r="FY827" s="16"/>
      <c r="FZ827" s="14"/>
      <c r="GA827" s="12" t="s">
        <v>319</v>
      </c>
      <c r="GB827" s="14"/>
      <c r="GC827" s="16"/>
      <c r="GD827" s="14"/>
      <c r="GE827" s="12" t="s">
        <v>319</v>
      </c>
      <c r="GF827" s="14"/>
      <c r="GG827" s="16"/>
      <c r="GH827" s="14"/>
      <c r="GI827" s="12" t="s">
        <v>319</v>
      </c>
      <c r="GJ827" s="14"/>
      <c r="GK827" s="16"/>
      <c r="GL827" s="14"/>
      <c r="GM827" s="12" t="s">
        <v>319</v>
      </c>
      <c r="GN827" s="14"/>
      <c r="GO827" s="16"/>
      <c r="GP827" s="14"/>
      <c r="GQ827" s="12" t="s">
        <v>319</v>
      </c>
      <c r="GR827" s="14"/>
      <c r="GS827" s="16"/>
      <c r="GT827" s="14"/>
      <c r="GU827" s="12" t="s">
        <v>319</v>
      </c>
      <c r="GV827" s="14"/>
      <c r="GW827" s="16"/>
      <c r="GX827" s="14"/>
      <c r="GY827" s="11" t="s">
        <v>320</v>
      </c>
      <c r="GZ827" s="14">
        <v>7307</v>
      </c>
      <c r="HA827" s="16">
        <v>0.71399999999999997</v>
      </c>
      <c r="HB827" s="14">
        <v>29228</v>
      </c>
      <c r="HC827" s="12"/>
      <c r="HD827" s="12"/>
      <c r="HE827" s="14"/>
      <c r="HF827" s="16"/>
      <c r="HG827" s="14"/>
      <c r="HH827" s="12" t="s">
        <v>320</v>
      </c>
      <c r="HI827" s="12" t="s">
        <v>451</v>
      </c>
      <c r="HJ827" s="12">
        <v>2017</v>
      </c>
      <c r="HK827" s="12" t="s">
        <v>320</v>
      </c>
      <c r="HL827" s="12" t="s">
        <v>319</v>
      </c>
      <c r="HM827" s="12"/>
      <c r="HN827" s="12"/>
      <c r="HO827" s="12" t="s">
        <v>393</v>
      </c>
      <c r="HP827" s="12" t="s">
        <v>330</v>
      </c>
      <c r="HQ827" s="12" t="s">
        <v>320</v>
      </c>
      <c r="HR827" s="12" t="s">
        <v>319</v>
      </c>
      <c r="HS827" s="12" t="s">
        <v>320</v>
      </c>
      <c r="HT827" s="12" t="s">
        <v>319</v>
      </c>
      <c r="HU827" s="12" t="s">
        <v>320</v>
      </c>
      <c r="HV827" s="12" t="s">
        <v>320</v>
      </c>
      <c r="HW827" s="12" t="s">
        <v>319</v>
      </c>
      <c r="HX827" s="12" t="s">
        <v>320</v>
      </c>
      <c r="HY827" s="12" t="s">
        <v>12874</v>
      </c>
      <c r="HZ827" s="12" t="s">
        <v>363</v>
      </c>
      <c r="IA827" s="12"/>
      <c r="IB827" s="12" t="s">
        <v>396</v>
      </c>
      <c r="IC827" s="12" t="s">
        <v>12875</v>
      </c>
      <c r="ID827" s="12" t="s">
        <v>334</v>
      </c>
      <c r="IE827" s="12" t="s">
        <v>335</v>
      </c>
      <c r="IF827" s="12" t="s">
        <v>320</v>
      </c>
      <c r="IG827" s="12" t="s">
        <v>320</v>
      </c>
      <c r="IH827" s="12" t="s">
        <v>320</v>
      </c>
      <c r="II827" s="12" t="s">
        <v>320</v>
      </c>
      <c r="IJ827" s="12" t="str">
        <f t="shared" si="517"/>
        <v>2. Sensitive</v>
      </c>
      <c r="IK827" s="12">
        <f t="shared" si="518"/>
        <v>4</v>
      </c>
      <c r="IL827" s="12" t="s">
        <v>336</v>
      </c>
      <c r="IM827" s="12" t="s">
        <v>320</v>
      </c>
      <c r="IN827" s="12" t="s">
        <v>320</v>
      </c>
      <c r="IO827" s="12" t="s">
        <v>320</v>
      </c>
      <c r="IP827" s="12" t="s">
        <v>320</v>
      </c>
      <c r="IQ827" s="12" t="str">
        <f t="shared" si="519"/>
        <v>2. Accommodating</v>
      </c>
      <c r="IR827" s="12">
        <f t="shared" si="520"/>
        <v>4</v>
      </c>
      <c r="IS827" s="12" t="s">
        <v>337</v>
      </c>
      <c r="IT827" s="12" t="s">
        <v>320</v>
      </c>
      <c r="IU827" s="12" t="s">
        <v>320</v>
      </c>
      <c r="IV827" s="12" t="s">
        <v>320</v>
      </c>
      <c r="IW827" s="11" t="str">
        <f t="shared" si="521"/>
        <v>2. Sensitive</v>
      </c>
      <c r="IX827" s="12">
        <f t="shared" si="522"/>
        <v>3</v>
      </c>
      <c r="IY827" s="12" t="s">
        <v>338</v>
      </c>
      <c r="IZ827" s="12" t="s">
        <v>457</v>
      </c>
      <c r="JA827" s="12">
        <v>4</v>
      </c>
      <c r="JB827" s="12"/>
      <c r="JC827" s="12"/>
      <c r="JD827" s="12"/>
      <c r="JE827" s="12" t="s">
        <v>365</v>
      </c>
      <c r="JF827" s="12" t="s">
        <v>12876</v>
      </c>
      <c r="JG827" s="12"/>
      <c r="JH827" s="12" t="s">
        <v>12787</v>
      </c>
      <c r="JI827" s="12"/>
      <c r="JJ827" s="12"/>
      <c r="JK827" s="12" t="s">
        <v>12866</v>
      </c>
      <c r="JL827" s="12" t="s">
        <v>12882</v>
      </c>
      <c r="JM827" s="12"/>
      <c r="JN827" s="12" t="s">
        <v>12832</v>
      </c>
      <c r="JO827" s="12" t="s">
        <v>12883</v>
      </c>
      <c r="JP827" s="15">
        <f t="shared" si="523"/>
        <v>7307</v>
      </c>
      <c r="JQ827" s="15">
        <f t="shared" si="524"/>
        <v>29228</v>
      </c>
      <c r="JR827" s="279">
        <f t="shared" si="525"/>
        <v>4</v>
      </c>
      <c r="JS827" s="17">
        <f t="shared" si="526"/>
        <v>0.71000410565211436</v>
      </c>
      <c r="JT827" s="18">
        <f t="shared" si="527"/>
        <v>0.71000410565211436</v>
      </c>
      <c r="JU827" s="280">
        <f t="shared" si="528"/>
        <v>5188</v>
      </c>
      <c r="JV827" s="280">
        <f t="shared" si="529"/>
        <v>20752</v>
      </c>
      <c r="JW827" s="319" t="str">
        <f t="shared" si="530"/>
        <v/>
      </c>
      <c r="JX827" s="15">
        <f t="shared" si="531"/>
        <v>0</v>
      </c>
      <c r="JY827" s="15">
        <f t="shared" si="532"/>
        <v>0</v>
      </c>
      <c r="JZ827" s="19" t="str">
        <f t="shared" si="533"/>
        <v/>
      </c>
      <c r="KA827" s="52">
        <f t="shared" si="534"/>
        <v>1</v>
      </c>
      <c r="KB827" s="15">
        <f t="shared" si="535"/>
        <v>7307</v>
      </c>
      <c r="KC827" s="15">
        <f t="shared" si="536"/>
        <v>29228</v>
      </c>
      <c r="KD827" s="20">
        <f t="shared" si="537"/>
        <v>4</v>
      </c>
      <c r="KE827" s="52" t="str">
        <f t="shared" si="538"/>
        <v/>
      </c>
      <c r="KF827" s="15">
        <f t="shared" si="539"/>
        <v>0</v>
      </c>
      <c r="KG827" s="15">
        <f t="shared" si="540"/>
        <v>0</v>
      </c>
      <c r="KH827" s="21" t="str">
        <f t="shared" si="541"/>
        <v/>
      </c>
      <c r="KI827" s="52" t="str">
        <f t="shared" si="542"/>
        <v/>
      </c>
      <c r="KJ827" s="15">
        <f t="shared" si="543"/>
        <v>0</v>
      </c>
      <c r="KK827" s="15">
        <f t="shared" si="544"/>
        <v>0</v>
      </c>
      <c r="KL827" s="19" t="str">
        <f t="shared" si="545"/>
        <v/>
      </c>
      <c r="KM827" s="52">
        <f t="shared" si="546"/>
        <v>1</v>
      </c>
      <c r="KN827" s="22">
        <f t="shared" si="547"/>
        <v>7307</v>
      </c>
      <c r="KO827" s="22">
        <f t="shared" si="548"/>
        <v>29228</v>
      </c>
      <c r="KP827" s="19">
        <f t="shared" si="549"/>
        <v>4</v>
      </c>
      <c r="KQ827" s="11" t="str">
        <f t="shared" si="550"/>
        <v>2. Sensitive</v>
      </c>
      <c r="KR827" s="11" t="str">
        <f t="shared" si="551"/>
        <v>2. Accommodating</v>
      </c>
      <c r="KS827" s="11" t="str">
        <f t="shared" si="552"/>
        <v>2. Sensitive</v>
      </c>
      <c r="KT827" s="11" t="str">
        <f t="shared" si="553"/>
        <v>It did not develop any specific innovation</v>
      </c>
      <c r="KU827" s="11" t="str">
        <f t="shared" si="554"/>
        <v>Moderate advocacy</v>
      </c>
      <c r="KV827" s="11" t="str">
        <f t="shared" si="555"/>
        <v>It linked and worked with strategic alliances and partners to take tested and effective solutions to scale</v>
      </c>
      <c r="KW827" s="11" t="str">
        <f t="shared" si="556"/>
        <v>Uganda - PROFIRA NORTH EASTERN:- Establishment of Community Savings and Credit Groups</v>
      </c>
      <c r="KX827" s="11" t="str">
        <f t="shared" si="557"/>
        <v>PROFIRA NORTH EASTERN:- Establishment of Community Savings and Credit Groups</v>
      </c>
      <c r="KY827" s="11" t="str">
        <f t="shared" si="558"/>
        <v>Uganda</v>
      </c>
      <c r="KZ827" s="12">
        <v>828</v>
      </c>
    </row>
    <row r="828" spans="1:312" x14ac:dyDescent="0.3">
      <c r="A828" s="12" t="s">
        <v>12694</v>
      </c>
      <c r="B828" s="12" t="s">
        <v>1874</v>
      </c>
      <c r="C828" s="12"/>
      <c r="D828" s="12" t="s">
        <v>12884</v>
      </c>
      <c r="E828" s="277" t="str">
        <f t="shared" si="516"/>
        <v>Uganda</v>
      </c>
      <c r="F828" s="12" t="s">
        <v>12885</v>
      </c>
      <c r="G828" s="12" t="s">
        <v>608</v>
      </c>
      <c r="H828" s="12" t="s">
        <v>310</v>
      </c>
      <c r="I828" s="12" t="s">
        <v>384</v>
      </c>
      <c r="J828" s="281" t="s">
        <v>14779</v>
      </c>
      <c r="K828" s="12"/>
      <c r="L828" s="12"/>
      <c r="M828" s="12"/>
      <c r="N828" s="12"/>
      <c r="O828" s="12"/>
      <c r="P828" s="12"/>
      <c r="Q828" s="12"/>
      <c r="R828" s="12"/>
      <c r="S828" s="12"/>
      <c r="T828" s="12"/>
      <c r="U828" s="12"/>
      <c r="V828" s="12"/>
      <c r="W828" s="12"/>
      <c r="X828" s="12"/>
      <c r="Y828" s="12"/>
      <c r="Z828" s="12"/>
      <c r="AA828" s="12"/>
      <c r="AB828" s="12"/>
      <c r="AC828" s="12"/>
      <c r="AD828" s="12"/>
      <c r="BD828" s="13">
        <v>42675</v>
      </c>
      <c r="BE828" s="13">
        <v>43770</v>
      </c>
      <c r="BF828" s="12"/>
      <c r="BG828" s="12" t="s">
        <v>350</v>
      </c>
      <c r="BH828" s="14">
        <v>232066</v>
      </c>
      <c r="BI828" s="12" t="s">
        <v>12778</v>
      </c>
      <c r="BJ828" s="12" t="s">
        <v>1602</v>
      </c>
      <c r="BK828" s="12" t="s">
        <v>12701</v>
      </c>
      <c r="BL828" s="12"/>
      <c r="BM828" s="12"/>
      <c r="BN828" s="12"/>
      <c r="BO828" s="12" t="s">
        <v>319</v>
      </c>
      <c r="BP828" s="12" t="s">
        <v>320</v>
      </c>
      <c r="BQ828" s="12" t="s">
        <v>319</v>
      </c>
      <c r="BR828" s="12" t="s">
        <v>12872</v>
      </c>
      <c r="BS828" s="12" t="s">
        <v>357</v>
      </c>
      <c r="BT828" s="12" t="s">
        <v>12886</v>
      </c>
      <c r="BU828" s="12" t="s">
        <v>12887</v>
      </c>
      <c r="BV828" s="14">
        <v>5250</v>
      </c>
      <c r="BW828" s="14">
        <v>2250</v>
      </c>
      <c r="BX828" s="14">
        <v>7500</v>
      </c>
      <c r="BY828" s="14">
        <v>21000</v>
      </c>
      <c r="BZ828" s="14">
        <v>9000</v>
      </c>
      <c r="CA828" s="14">
        <v>30000</v>
      </c>
      <c r="CB828" s="12" t="s">
        <v>12782</v>
      </c>
      <c r="CD828" s="14"/>
      <c r="CE828" s="14"/>
      <c r="CF828" s="14"/>
      <c r="CG828" s="14"/>
      <c r="CH828" s="14"/>
      <c r="CI828" s="14"/>
      <c r="CJ828" s="12"/>
      <c r="CK828" s="14"/>
      <c r="CL828" s="16"/>
      <c r="CM828" s="14"/>
      <c r="CN828" s="12"/>
      <c r="CO828" s="14"/>
      <c r="CP828" s="16"/>
      <c r="CQ828" s="14"/>
      <c r="CR828" s="12"/>
      <c r="CS828" s="14"/>
      <c r="CT828" s="16"/>
      <c r="CU828" s="14"/>
      <c r="CV828" s="12"/>
      <c r="CW828" s="14"/>
      <c r="CX828" s="16"/>
      <c r="CY828" s="14"/>
      <c r="CZ828" s="12"/>
      <c r="DA828" s="14"/>
      <c r="DB828" s="16"/>
      <c r="DC828" s="14"/>
      <c r="DD828" s="12"/>
      <c r="DE828" s="14"/>
      <c r="DF828" s="16"/>
      <c r="DG828" s="14"/>
      <c r="DH828" s="12"/>
      <c r="DI828" s="14"/>
      <c r="DJ828" s="16"/>
      <c r="DK828" s="14"/>
      <c r="DL828" s="12"/>
      <c r="DM828" s="14"/>
      <c r="DN828" s="16"/>
      <c r="DO828" s="14"/>
      <c r="DP828" s="12"/>
      <c r="DQ828" s="14"/>
      <c r="DR828" s="16"/>
      <c r="DS828" s="14"/>
      <c r="DT828" s="12"/>
      <c r="DU828" s="14"/>
      <c r="DV828" s="16"/>
      <c r="DW828" s="14"/>
      <c r="DX828" s="12"/>
      <c r="DY828" s="14"/>
      <c r="DZ828" s="16"/>
      <c r="EA828" s="14"/>
      <c r="EB828" s="12"/>
      <c r="EC828" s="14"/>
      <c r="ED828" s="16"/>
      <c r="EE828" s="14"/>
      <c r="EF828" s="12"/>
      <c r="EG828" s="12"/>
      <c r="EH828" s="14"/>
      <c r="EI828" s="16"/>
      <c r="EJ828" s="14"/>
      <c r="EK828" s="14">
        <v>0</v>
      </c>
      <c r="EL828" s="14">
        <v>0</v>
      </c>
      <c r="EM828" s="14">
        <v>0</v>
      </c>
      <c r="EN828" s="14">
        <v>0</v>
      </c>
      <c r="EO828" s="14">
        <v>0</v>
      </c>
      <c r="EP828" s="14">
        <v>0</v>
      </c>
      <c r="EQ828" s="12" t="s">
        <v>319</v>
      </c>
      <c r="ER828" s="14"/>
      <c r="ES828" s="16"/>
      <c r="ET828" s="14"/>
      <c r="EU828" s="11" t="s">
        <v>319</v>
      </c>
      <c r="EV828" s="14"/>
      <c r="EW828" s="16"/>
      <c r="EX828" s="14"/>
      <c r="EY828" s="12" t="s">
        <v>319</v>
      </c>
      <c r="EZ828" s="14"/>
      <c r="FA828" s="16"/>
      <c r="FB828" s="14"/>
      <c r="FC828" s="12" t="s">
        <v>319</v>
      </c>
      <c r="FD828" s="14"/>
      <c r="FE828" s="16"/>
      <c r="FF828" s="14"/>
      <c r="FG828" s="12" t="s">
        <v>320</v>
      </c>
      <c r="FH828" s="14">
        <v>0</v>
      </c>
      <c r="FI828" s="16">
        <v>0.71399999999999997</v>
      </c>
      <c r="FJ828" s="14">
        <v>0</v>
      </c>
      <c r="FK828" s="12" t="s">
        <v>319</v>
      </c>
      <c r="FL828" s="14"/>
      <c r="FM828" s="16"/>
      <c r="FN828" s="14"/>
      <c r="FO828" s="12" t="s">
        <v>319</v>
      </c>
      <c r="FP828" s="14"/>
      <c r="FQ828" s="16"/>
      <c r="FR828" s="14"/>
      <c r="FS828" s="12" t="s">
        <v>319</v>
      </c>
      <c r="FT828" s="14"/>
      <c r="FU828" s="16"/>
      <c r="FV828" s="14"/>
      <c r="FW828" s="12" t="s">
        <v>319</v>
      </c>
      <c r="FX828" s="14"/>
      <c r="FY828" s="16"/>
      <c r="FZ828" s="14"/>
      <c r="GA828" s="12" t="s">
        <v>319</v>
      </c>
      <c r="GB828" s="14"/>
      <c r="GC828" s="16"/>
      <c r="GD828" s="14"/>
      <c r="GE828" s="12" t="s">
        <v>319</v>
      </c>
      <c r="GF828" s="14"/>
      <c r="GG828" s="16"/>
      <c r="GH828" s="14"/>
      <c r="GI828" s="12" t="s">
        <v>319</v>
      </c>
      <c r="GJ828" s="14"/>
      <c r="GK828" s="16"/>
      <c r="GL828" s="14"/>
      <c r="GM828" s="12" t="s">
        <v>319</v>
      </c>
      <c r="GN828" s="14"/>
      <c r="GO828" s="16"/>
      <c r="GP828" s="14"/>
      <c r="GQ828" s="12" t="s">
        <v>319</v>
      </c>
      <c r="GR828" s="14"/>
      <c r="GS828" s="16"/>
      <c r="GT828" s="14"/>
      <c r="GU828" s="12" t="s">
        <v>319</v>
      </c>
      <c r="GV828" s="14"/>
      <c r="GW828" s="16"/>
      <c r="GX828" s="14"/>
      <c r="GY828" s="11" t="s">
        <v>320</v>
      </c>
      <c r="GZ828" s="14">
        <v>0</v>
      </c>
      <c r="HA828" s="16">
        <v>0.71399999999999997</v>
      </c>
      <c r="HB828" s="14">
        <v>0</v>
      </c>
      <c r="HC828" s="12"/>
      <c r="HD828" s="12"/>
      <c r="HE828" s="14"/>
      <c r="HF828" s="16"/>
      <c r="HG828" s="14"/>
      <c r="HH828" s="12" t="s">
        <v>319</v>
      </c>
      <c r="HI828" s="12"/>
      <c r="HJ828" s="12"/>
      <c r="HK828" s="12" t="s">
        <v>319</v>
      </c>
      <c r="HL828" s="12" t="s">
        <v>320</v>
      </c>
      <c r="HM828" s="12" t="s">
        <v>328</v>
      </c>
      <c r="HN828" s="12">
        <v>2017</v>
      </c>
      <c r="HO828" s="12" t="s">
        <v>12888</v>
      </c>
      <c r="HP828" s="12" t="s">
        <v>330</v>
      </c>
      <c r="HQ828" s="12" t="s">
        <v>319</v>
      </c>
      <c r="HR828" s="12" t="s">
        <v>319</v>
      </c>
      <c r="HS828" s="12" t="s">
        <v>320</v>
      </c>
      <c r="HT828" s="12" t="s">
        <v>319</v>
      </c>
      <c r="HU828" s="12" t="s">
        <v>320</v>
      </c>
      <c r="HV828" s="12" t="s">
        <v>320</v>
      </c>
      <c r="HW828" s="12" t="s">
        <v>319</v>
      </c>
      <c r="HX828" s="12" t="s">
        <v>320</v>
      </c>
      <c r="HY828" s="12" t="s">
        <v>12889</v>
      </c>
      <c r="HZ828" s="12" t="s">
        <v>394</v>
      </c>
      <c r="IA828" s="12" t="s">
        <v>12890</v>
      </c>
      <c r="IB828" s="12" t="s">
        <v>396</v>
      </c>
      <c r="IC828" s="12" t="s">
        <v>12891</v>
      </c>
      <c r="ID828" s="12" t="s">
        <v>334</v>
      </c>
      <c r="IE828" s="12" t="s">
        <v>335</v>
      </c>
      <c r="IF828" s="12" t="s">
        <v>320</v>
      </c>
      <c r="IG828" s="12" t="s">
        <v>320</v>
      </c>
      <c r="IH828" s="12" t="s">
        <v>320</v>
      </c>
      <c r="II828" s="12" t="s">
        <v>320</v>
      </c>
      <c r="IJ828" s="12" t="str">
        <f t="shared" si="517"/>
        <v>2. Sensitive</v>
      </c>
      <c r="IK828" s="12">
        <f t="shared" si="518"/>
        <v>4</v>
      </c>
      <c r="IL828" s="12" t="s">
        <v>336</v>
      </c>
      <c r="IM828" s="12" t="s">
        <v>320</v>
      </c>
      <c r="IN828" s="12" t="s">
        <v>320</v>
      </c>
      <c r="IO828" s="12" t="s">
        <v>320</v>
      </c>
      <c r="IP828" s="12" t="s">
        <v>320</v>
      </c>
      <c r="IQ828" s="12" t="str">
        <f t="shared" si="519"/>
        <v>2. Accommodating</v>
      </c>
      <c r="IR828" s="12">
        <f t="shared" si="520"/>
        <v>4</v>
      </c>
      <c r="IS828" s="12" t="s">
        <v>337</v>
      </c>
      <c r="IT828" s="12" t="s">
        <v>320</v>
      </c>
      <c r="IU828" s="12" t="s">
        <v>320</v>
      </c>
      <c r="IV828" s="12" t="s">
        <v>320</v>
      </c>
      <c r="IW828" s="11" t="str">
        <f t="shared" si="521"/>
        <v>2. Sensitive</v>
      </c>
      <c r="IX828" s="12">
        <f t="shared" si="522"/>
        <v>3</v>
      </c>
      <c r="IY828" s="12" t="s">
        <v>338</v>
      </c>
      <c r="IZ828" s="12" t="s">
        <v>457</v>
      </c>
      <c r="JA828" s="12">
        <v>4</v>
      </c>
      <c r="JB828" s="12" t="s">
        <v>724</v>
      </c>
      <c r="JC828" s="12" t="s">
        <v>433</v>
      </c>
      <c r="JD828" s="12" t="s">
        <v>623</v>
      </c>
      <c r="JE828" s="12" t="s">
        <v>365</v>
      </c>
      <c r="JF828" s="12" t="s">
        <v>12892</v>
      </c>
      <c r="JG828" s="12"/>
      <c r="JH828" s="12" t="s">
        <v>12787</v>
      </c>
      <c r="JI828" s="12" t="s">
        <v>12893</v>
      </c>
      <c r="JJ828" s="12"/>
      <c r="JK828" s="12" t="s">
        <v>12866</v>
      </c>
      <c r="JL828" s="12"/>
      <c r="JM828" s="12"/>
      <c r="JN828" s="12"/>
      <c r="JO828" s="12"/>
      <c r="JP828" s="15">
        <f t="shared" si="523"/>
        <v>0</v>
      </c>
      <c r="JQ828" s="15">
        <f t="shared" si="524"/>
        <v>0</v>
      </c>
      <c r="JR828" s="279" t="str">
        <f t="shared" si="525"/>
        <v/>
      </c>
      <c r="JS828" s="17" t="str">
        <f t="shared" si="526"/>
        <v/>
      </c>
      <c r="JT828" s="18" t="str">
        <f t="shared" si="527"/>
        <v/>
      </c>
      <c r="JU828" s="280">
        <f t="shared" si="528"/>
        <v>0</v>
      </c>
      <c r="JV828" s="280">
        <f t="shared" si="529"/>
        <v>0</v>
      </c>
      <c r="JW828" s="319" t="str">
        <f t="shared" si="530"/>
        <v/>
      </c>
      <c r="JX828" s="15">
        <f t="shared" si="531"/>
        <v>0</v>
      </c>
      <c r="JY828" s="15">
        <f t="shared" si="532"/>
        <v>0</v>
      </c>
      <c r="JZ828" s="19" t="str">
        <f t="shared" si="533"/>
        <v/>
      </c>
      <c r="KA828" s="52">
        <f t="shared" si="534"/>
        <v>1</v>
      </c>
      <c r="KB828" s="15">
        <f t="shared" si="535"/>
        <v>0</v>
      </c>
      <c r="KC828" s="15">
        <f t="shared" si="536"/>
        <v>0</v>
      </c>
      <c r="KD828" s="20" t="str">
        <f t="shared" si="537"/>
        <v/>
      </c>
      <c r="KE828" s="52" t="str">
        <f t="shared" si="538"/>
        <v/>
      </c>
      <c r="KF828" s="15">
        <f t="shared" si="539"/>
        <v>0</v>
      </c>
      <c r="KG828" s="15">
        <f t="shared" si="540"/>
        <v>0</v>
      </c>
      <c r="KH828" s="21" t="str">
        <f t="shared" si="541"/>
        <v/>
      </c>
      <c r="KI828" s="52" t="str">
        <f t="shared" si="542"/>
        <v/>
      </c>
      <c r="KJ828" s="15">
        <f t="shared" si="543"/>
        <v>0</v>
      </c>
      <c r="KK828" s="15">
        <f t="shared" si="544"/>
        <v>0</v>
      </c>
      <c r="KL828" s="19" t="str">
        <f t="shared" si="545"/>
        <v/>
      </c>
      <c r="KM828" s="52">
        <f t="shared" si="546"/>
        <v>1</v>
      </c>
      <c r="KN828" s="22">
        <f t="shared" si="547"/>
        <v>0</v>
      </c>
      <c r="KO828" s="22">
        <f t="shared" si="548"/>
        <v>0</v>
      </c>
      <c r="KP828" s="19" t="str">
        <f t="shared" si="549"/>
        <v/>
      </c>
      <c r="KQ828" s="11" t="str">
        <f t="shared" si="550"/>
        <v>2. Sensitive</v>
      </c>
      <c r="KR828" s="11" t="str">
        <f t="shared" si="551"/>
        <v>2. Accommodating</v>
      </c>
      <c r="KS828" s="11" t="str">
        <f t="shared" si="552"/>
        <v>2. Sensitive</v>
      </c>
      <c r="KT828" s="11" t="str">
        <f t="shared" si="553"/>
        <v>It tested new ways for fighting poverty, but did not measure results of innovation</v>
      </c>
      <c r="KU828" s="11" t="str">
        <f t="shared" si="554"/>
        <v>Moderate advocacy</v>
      </c>
      <c r="KV828" s="11" t="str">
        <f t="shared" si="555"/>
        <v>It linked and worked with strategic alliances and partners to take tested and effective solutions to scale</v>
      </c>
      <c r="KW828" s="11" t="str">
        <f t="shared" si="556"/>
        <v>Uganda - PROFIRA WESTNILE:- Strengthening, Innovations and Partnership for Mature Community Saving and Credit Groups (CSCGs)</v>
      </c>
      <c r="KX828" s="11" t="str">
        <f t="shared" si="557"/>
        <v>PROFIRA WESTNILE:- Strengthening, Innovations and Partnership for Mature Community Saving and Credit Groups (CSCGs)</v>
      </c>
      <c r="KY828" s="11" t="str">
        <f t="shared" si="558"/>
        <v>Uganda</v>
      </c>
      <c r="KZ828" s="12">
        <v>829</v>
      </c>
    </row>
    <row r="829" spans="1:312" x14ac:dyDescent="0.3">
      <c r="A829" s="12" t="s">
        <v>12694</v>
      </c>
      <c r="B829" s="12" t="s">
        <v>1874</v>
      </c>
      <c r="C829" s="12">
        <v>3434</v>
      </c>
      <c r="D829" s="12" t="s">
        <v>12834</v>
      </c>
      <c r="E829" s="277" t="str">
        <f t="shared" si="516"/>
        <v>Uganda</v>
      </c>
      <c r="F829" s="12" t="s">
        <v>12835</v>
      </c>
      <c r="G829" s="12" t="s">
        <v>379</v>
      </c>
      <c r="H829" s="12" t="s">
        <v>489</v>
      </c>
      <c r="I829" s="12" t="s">
        <v>384</v>
      </c>
      <c r="J829" s="281" t="s">
        <v>14744</v>
      </c>
      <c r="K829" s="12"/>
      <c r="L829" s="12"/>
      <c r="M829" s="12"/>
      <c r="N829" s="12"/>
      <c r="O829" s="12"/>
      <c r="P829" s="12"/>
      <c r="Q829" s="12"/>
      <c r="R829" s="12"/>
      <c r="S829" s="12"/>
      <c r="T829" s="12"/>
      <c r="U829" s="12"/>
      <c r="V829" s="12"/>
      <c r="W829" s="12"/>
      <c r="X829" s="12"/>
      <c r="Y829" s="12"/>
      <c r="Z829" s="12"/>
      <c r="AA829" s="12"/>
      <c r="AB829" s="12"/>
      <c r="AC829" s="12"/>
      <c r="AD829" s="12"/>
      <c r="BD829" s="13">
        <v>42461</v>
      </c>
      <c r="BE829" s="12"/>
      <c r="BF829" s="13">
        <v>43008</v>
      </c>
      <c r="BG829" s="12" t="s">
        <v>312</v>
      </c>
      <c r="BH829" s="14">
        <v>195223</v>
      </c>
      <c r="BI829" s="12" t="s">
        <v>12836</v>
      </c>
      <c r="BJ829" s="12" t="s">
        <v>12837</v>
      </c>
      <c r="BK829" s="12" t="s">
        <v>12838</v>
      </c>
      <c r="BL829" s="12" t="s">
        <v>12839</v>
      </c>
      <c r="BM829" s="12" t="s">
        <v>12840</v>
      </c>
      <c r="BN829" s="12" t="s">
        <v>12841</v>
      </c>
      <c r="BO829" s="11" t="s">
        <v>319</v>
      </c>
      <c r="BP829" s="11" t="s">
        <v>320</v>
      </c>
      <c r="BQ829" s="11" t="s">
        <v>319</v>
      </c>
      <c r="BR829" s="12" t="s">
        <v>12842</v>
      </c>
      <c r="BS829" s="12" t="s">
        <v>357</v>
      </c>
      <c r="BT829" s="12" t="s">
        <v>12843</v>
      </c>
      <c r="BU829" s="12" t="s">
        <v>12844</v>
      </c>
      <c r="BV829" s="14">
        <v>27946</v>
      </c>
      <c r="BW829" s="14">
        <v>9554</v>
      </c>
      <c r="BX829" s="14">
        <v>37500</v>
      </c>
      <c r="BY829" s="14">
        <v>7737</v>
      </c>
      <c r="BZ829" s="14">
        <v>3139</v>
      </c>
      <c r="CA829" s="14">
        <v>10876</v>
      </c>
      <c r="CB829" s="12" t="s">
        <v>12845</v>
      </c>
      <c r="CD829" s="14"/>
      <c r="CE829" s="14"/>
      <c r="CF829" s="14"/>
      <c r="CG829" s="14"/>
      <c r="CH829" s="14"/>
      <c r="CI829" s="14"/>
      <c r="CJ829" s="12"/>
      <c r="CK829" s="14"/>
      <c r="CL829" s="16"/>
      <c r="CM829" s="14"/>
      <c r="CN829" s="12"/>
      <c r="CO829" s="14"/>
      <c r="CP829" s="16"/>
      <c r="CQ829" s="14"/>
      <c r="CR829" s="12"/>
      <c r="CS829" s="14"/>
      <c r="CT829" s="16"/>
      <c r="CU829" s="14"/>
      <c r="CV829" s="12"/>
      <c r="CW829" s="14"/>
      <c r="CX829" s="16"/>
      <c r="CY829" s="14"/>
      <c r="CZ829" s="12"/>
      <c r="DA829" s="14"/>
      <c r="DB829" s="16"/>
      <c r="DC829" s="14"/>
      <c r="DD829" s="12"/>
      <c r="DE829" s="14"/>
      <c r="DF829" s="16"/>
      <c r="DG829" s="14"/>
      <c r="DH829" s="12"/>
      <c r="DI829" s="14"/>
      <c r="DJ829" s="16"/>
      <c r="DK829" s="14"/>
      <c r="DL829" s="12"/>
      <c r="DM829" s="14"/>
      <c r="DN829" s="16"/>
      <c r="DO829" s="14"/>
      <c r="DP829" s="12"/>
      <c r="DQ829" s="14"/>
      <c r="DR829" s="16"/>
      <c r="DS829" s="14"/>
      <c r="DT829" s="12"/>
      <c r="DU829" s="14"/>
      <c r="DV829" s="16"/>
      <c r="DW829" s="14"/>
      <c r="DX829" s="12"/>
      <c r="DY829" s="14"/>
      <c r="DZ829" s="16"/>
      <c r="EA829" s="14"/>
      <c r="EB829" s="12"/>
      <c r="EC829" s="14"/>
      <c r="ED829" s="16"/>
      <c r="EE829" s="14"/>
      <c r="EF829" s="12"/>
      <c r="EG829" s="12"/>
      <c r="EH829" s="14"/>
      <c r="EI829" s="16"/>
      <c r="EJ829" s="14"/>
      <c r="EK829" s="14">
        <v>65888</v>
      </c>
      <c r="EL829" s="14">
        <v>55854</v>
      </c>
      <c r="EM829" s="14">
        <v>121742</v>
      </c>
      <c r="EN829" s="14">
        <v>17222</v>
      </c>
      <c r="EO829" s="14">
        <v>14714</v>
      </c>
      <c r="EP829" s="14">
        <v>31936</v>
      </c>
      <c r="EQ829" s="12" t="s">
        <v>319</v>
      </c>
      <c r="ER829" s="14"/>
      <c r="ES829" s="16"/>
      <c r="ET829" s="14"/>
      <c r="EU829" s="11" t="s">
        <v>319</v>
      </c>
      <c r="EV829" s="14"/>
      <c r="EW829" s="16"/>
      <c r="EX829" s="14"/>
      <c r="EY829" s="12" t="s">
        <v>319</v>
      </c>
      <c r="EZ829" s="14"/>
      <c r="FA829" s="16"/>
      <c r="FB829" s="14"/>
      <c r="FC829" s="12" t="s">
        <v>319</v>
      </c>
      <c r="FD829" s="14"/>
      <c r="FE829" s="16"/>
      <c r="FF829" s="14"/>
      <c r="FG829" s="12" t="s">
        <v>319</v>
      </c>
      <c r="FH829" s="14"/>
      <c r="FI829" s="16"/>
      <c r="FJ829" s="14"/>
      <c r="FK829" s="12" t="s">
        <v>319</v>
      </c>
      <c r="FL829" s="14"/>
      <c r="FM829" s="16"/>
      <c r="FN829" s="14"/>
      <c r="FO829" s="12" t="s">
        <v>319</v>
      </c>
      <c r="FP829" s="14"/>
      <c r="FQ829" s="16"/>
      <c r="FR829" s="14"/>
      <c r="FS829" s="12" t="s">
        <v>319</v>
      </c>
      <c r="FT829" s="14"/>
      <c r="FU829" s="16"/>
      <c r="FV829" s="14"/>
      <c r="FW829" s="12" t="s">
        <v>319</v>
      </c>
      <c r="FX829" s="14"/>
      <c r="FY829" s="16"/>
      <c r="FZ829" s="14"/>
      <c r="GA829" s="12" t="s">
        <v>319</v>
      </c>
      <c r="GB829" s="14"/>
      <c r="GC829" s="16"/>
      <c r="GD829" s="14"/>
      <c r="GE829" s="12" t="s">
        <v>319</v>
      </c>
      <c r="GF829" s="14"/>
      <c r="GG829" s="16"/>
      <c r="GH829" s="14"/>
      <c r="GI829" s="12" t="s">
        <v>319</v>
      </c>
      <c r="GJ829" s="14"/>
      <c r="GK829" s="16"/>
      <c r="GL829" s="14"/>
      <c r="GM829" s="12" t="s">
        <v>319</v>
      </c>
      <c r="GN829" s="14"/>
      <c r="GO829" s="16"/>
      <c r="GP829" s="14"/>
      <c r="GQ829" s="12" t="s">
        <v>319</v>
      </c>
      <c r="GR829" s="14"/>
      <c r="GS829" s="16"/>
      <c r="GT829" s="14"/>
      <c r="GU829" s="12" t="s">
        <v>320</v>
      </c>
      <c r="GV829" s="14">
        <v>121742</v>
      </c>
      <c r="GW829" s="16">
        <v>0.54100000000000004</v>
      </c>
      <c r="GX829" s="14">
        <v>31936</v>
      </c>
      <c r="GY829" s="12" t="s">
        <v>319</v>
      </c>
      <c r="GZ829" s="14"/>
      <c r="HA829" s="16"/>
      <c r="HB829" s="14"/>
      <c r="HC829" s="12"/>
      <c r="HD829" s="12" t="s">
        <v>319</v>
      </c>
      <c r="HE829" s="14"/>
      <c r="HF829" s="16"/>
      <c r="HG829" s="14"/>
      <c r="HH829" s="12" t="s">
        <v>319</v>
      </c>
      <c r="HI829" s="12"/>
      <c r="HJ829" s="12"/>
      <c r="HK829" s="12" t="s">
        <v>319</v>
      </c>
      <c r="HL829" s="12" t="s">
        <v>319</v>
      </c>
      <c r="HM829" s="12"/>
      <c r="HN829" s="12"/>
      <c r="HO829" s="12"/>
      <c r="HP829" s="12" t="s">
        <v>418</v>
      </c>
      <c r="HQ829" s="12" t="s">
        <v>319</v>
      </c>
      <c r="HR829" s="12" t="s">
        <v>319</v>
      </c>
      <c r="HS829" s="12" t="s">
        <v>320</v>
      </c>
      <c r="HT829" s="12" t="s">
        <v>320</v>
      </c>
      <c r="HU829" s="12" t="s">
        <v>319</v>
      </c>
      <c r="HV829" s="12" t="s">
        <v>319</v>
      </c>
      <c r="HW829" s="12" t="s">
        <v>319</v>
      </c>
      <c r="HX829" s="12" t="s">
        <v>319</v>
      </c>
      <c r="HY829" s="12"/>
      <c r="HZ829" s="12" t="s">
        <v>331</v>
      </c>
      <c r="IA829" s="12" t="s">
        <v>12846</v>
      </c>
      <c r="IB829" s="12" t="s">
        <v>396</v>
      </c>
      <c r="IC829" s="12" t="s">
        <v>12847</v>
      </c>
      <c r="ID829" s="12" t="s">
        <v>334</v>
      </c>
      <c r="IE829" s="12" t="s">
        <v>335</v>
      </c>
      <c r="IF829" s="12" t="s">
        <v>320</v>
      </c>
      <c r="IG829" s="12" t="s">
        <v>320</v>
      </c>
      <c r="IH829" s="12" t="s">
        <v>320</v>
      </c>
      <c r="II829" s="12" t="s">
        <v>320</v>
      </c>
      <c r="IJ829" s="12" t="str">
        <f t="shared" si="517"/>
        <v>2. Sensitive</v>
      </c>
      <c r="IK829" s="12">
        <f t="shared" si="518"/>
        <v>4</v>
      </c>
      <c r="IL829" s="12" t="s">
        <v>336</v>
      </c>
      <c r="IM829" s="12" t="s">
        <v>319</v>
      </c>
      <c r="IN829" s="12" t="s">
        <v>320</v>
      </c>
      <c r="IO829" s="12" t="s">
        <v>320</v>
      </c>
      <c r="IP829" s="12" t="s">
        <v>320</v>
      </c>
      <c r="IQ829" s="12" t="str">
        <f t="shared" si="519"/>
        <v>2. Accommodating</v>
      </c>
      <c r="IR829" s="12">
        <f t="shared" si="520"/>
        <v>3</v>
      </c>
      <c r="IS829" s="12" t="s">
        <v>337</v>
      </c>
      <c r="IT829" s="12" t="s">
        <v>320</v>
      </c>
      <c r="IU829" s="12" t="s">
        <v>320</v>
      </c>
      <c r="IV829" s="12" t="s">
        <v>320</v>
      </c>
      <c r="IW829" s="11" t="str">
        <f t="shared" si="521"/>
        <v>2. Sensitive</v>
      </c>
      <c r="IX829" s="12">
        <f t="shared" si="522"/>
        <v>3</v>
      </c>
      <c r="IY829" s="12" t="s">
        <v>419</v>
      </c>
      <c r="IZ829" s="12" t="s">
        <v>527</v>
      </c>
      <c r="JA829" s="12">
        <v>8</v>
      </c>
      <c r="JB829" s="12" t="s">
        <v>433</v>
      </c>
      <c r="JC829" s="12" t="s">
        <v>585</v>
      </c>
      <c r="JD829" s="12" t="s">
        <v>724</v>
      </c>
      <c r="JE829" s="12" t="s">
        <v>420</v>
      </c>
      <c r="JF829" s="12"/>
      <c r="JG829" s="12" t="s">
        <v>12848</v>
      </c>
      <c r="JH829" s="12" t="s">
        <v>12849</v>
      </c>
      <c r="JI829" s="12" t="s">
        <v>12850</v>
      </c>
      <c r="JJ829" s="12"/>
      <c r="JK829" s="12" t="s">
        <v>12851</v>
      </c>
      <c r="JL829" s="12" t="s">
        <v>12852</v>
      </c>
      <c r="JM829" s="12" t="s">
        <v>12853</v>
      </c>
      <c r="JN829" s="12" t="s">
        <v>12854</v>
      </c>
      <c r="JO829" s="12" t="s">
        <v>12855</v>
      </c>
      <c r="JP829" s="15">
        <f t="shared" si="523"/>
        <v>121742</v>
      </c>
      <c r="JQ829" s="15">
        <f t="shared" si="524"/>
        <v>31936</v>
      </c>
      <c r="JR829" s="279">
        <f t="shared" si="525"/>
        <v>0.26232524519064909</v>
      </c>
      <c r="JS829" s="17">
        <f t="shared" si="526"/>
        <v>0.5412101000476417</v>
      </c>
      <c r="JT829" s="18">
        <f t="shared" si="527"/>
        <v>0.53926603206412826</v>
      </c>
      <c r="JU829" s="280">
        <f t="shared" si="528"/>
        <v>65888</v>
      </c>
      <c r="JV829" s="280">
        <f t="shared" si="529"/>
        <v>17222</v>
      </c>
      <c r="JW829" s="319" t="str">
        <f t="shared" si="530"/>
        <v/>
      </c>
      <c r="JX829" s="15">
        <f t="shared" si="531"/>
        <v>0</v>
      </c>
      <c r="JY829" s="15">
        <f t="shared" si="532"/>
        <v>0</v>
      </c>
      <c r="JZ829" s="19" t="str">
        <f t="shared" si="533"/>
        <v/>
      </c>
      <c r="KA829" s="52">
        <f t="shared" si="534"/>
        <v>1</v>
      </c>
      <c r="KB829" s="15">
        <f t="shared" si="535"/>
        <v>121742</v>
      </c>
      <c r="KC829" s="15">
        <f t="shared" si="536"/>
        <v>31936</v>
      </c>
      <c r="KD829" s="20">
        <f t="shared" si="537"/>
        <v>0.26232524519064909</v>
      </c>
      <c r="KE829" s="52" t="str">
        <f t="shared" si="538"/>
        <v/>
      </c>
      <c r="KF829" s="15">
        <f t="shared" si="539"/>
        <v>0</v>
      </c>
      <c r="KG829" s="15">
        <f t="shared" si="540"/>
        <v>0</v>
      </c>
      <c r="KH829" s="21" t="str">
        <f t="shared" si="541"/>
        <v/>
      </c>
      <c r="KI829" s="52" t="str">
        <f t="shared" si="542"/>
        <v/>
      </c>
      <c r="KJ829" s="15">
        <f t="shared" si="543"/>
        <v>0</v>
      </c>
      <c r="KK829" s="15">
        <f t="shared" si="544"/>
        <v>0</v>
      </c>
      <c r="KL829" s="19" t="str">
        <f t="shared" si="545"/>
        <v/>
      </c>
      <c r="KM829" s="52" t="str">
        <f t="shared" si="546"/>
        <v/>
      </c>
      <c r="KN829" s="22">
        <f t="shared" si="547"/>
        <v>0</v>
      </c>
      <c r="KO829" s="22">
        <f t="shared" si="548"/>
        <v>0</v>
      </c>
      <c r="KP829" s="19" t="str">
        <f t="shared" si="549"/>
        <v/>
      </c>
      <c r="KQ829" s="11" t="str">
        <f t="shared" si="550"/>
        <v>2. Sensitive</v>
      </c>
      <c r="KR829" s="11" t="str">
        <f t="shared" si="551"/>
        <v>2. Accommodating</v>
      </c>
      <c r="KS829" s="11" t="str">
        <f t="shared" si="552"/>
        <v>2. Sensitive</v>
      </c>
      <c r="KT829" s="11" t="str">
        <f t="shared" si="553"/>
        <v>It tested new ways for fighting poverty and measured results of innovation</v>
      </c>
      <c r="KU829" s="11" t="str">
        <f t="shared" si="554"/>
        <v>Little or no advocacy</v>
      </c>
      <c r="KV829" s="11" t="str">
        <f t="shared" si="555"/>
        <v>It linked and worked with strategic alliances and partners to take tested and effective solutions to scale</v>
      </c>
      <c r="KW829" s="11" t="str">
        <f t="shared" si="556"/>
        <v>Uganda - Safe Water for Health Care Facilities</v>
      </c>
      <c r="KX829" s="11" t="str">
        <f t="shared" si="557"/>
        <v>Safe Water for Health Care Facilities</v>
      </c>
      <c r="KY829" s="11" t="str">
        <f t="shared" si="558"/>
        <v>Uganda</v>
      </c>
      <c r="KZ829" s="12">
        <v>830</v>
      </c>
    </row>
    <row r="830" spans="1:312" x14ac:dyDescent="0.3">
      <c r="A830" s="12" t="s">
        <v>12694</v>
      </c>
      <c r="B830" s="12" t="s">
        <v>1874</v>
      </c>
      <c r="C830" s="12">
        <v>3429</v>
      </c>
      <c r="D830" s="12" t="s">
        <v>12761</v>
      </c>
      <c r="E830" s="277" t="str">
        <f t="shared" si="516"/>
        <v>Uganda</v>
      </c>
      <c r="F830" s="12" t="s">
        <v>12762</v>
      </c>
      <c r="G830" s="12" t="s">
        <v>605</v>
      </c>
      <c r="H830" s="12" t="s">
        <v>310</v>
      </c>
      <c r="I830" s="12" t="s">
        <v>606</v>
      </c>
      <c r="J830" s="281" t="s">
        <v>792</v>
      </c>
      <c r="K830" s="12"/>
      <c r="L830" s="12"/>
      <c r="M830" s="12"/>
      <c r="N830" s="12"/>
      <c r="O830" s="12"/>
      <c r="P830" s="12"/>
      <c r="Q830" s="12"/>
      <c r="R830" s="12"/>
      <c r="S830" s="12"/>
      <c r="T830" s="12"/>
      <c r="U830" s="12"/>
      <c r="V830" s="12"/>
      <c r="W830" s="12"/>
      <c r="X830" s="12"/>
      <c r="Y830" s="12"/>
      <c r="Z830" s="12"/>
      <c r="AA830" s="12"/>
      <c r="AB830" s="12"/>
      <c r="AC830" s="12"/>
      <c r="AD830" s="12"/>
      <c r="BD830" s="13">
        <v>41883</v>
      </c>
      <c r="BE830" s="13">
        <v>42978</v>
      </c>
      <c r="BF830" s="12"/>
      <c r="BG830" s="12" t="s">
        <v>490</v>
      </c>
      <c r="BH830" s="14">
        <v>386667.31</v>
      </c>
      <c r="BI830" s="12" t="s">
        <v>12744</v>
      </c>
      <c r="BJ830" s="12" t="s">
        <v>912</v>
      </c>
      <c r="BK830" s="12" t="s">
        <v>12745</v>
      </c>
      <c r="BL830" s="12" t="s">
        <v>12763</v>
      </c>
      <c r="BM830" s="12" t="s">
        <v>3637</v>
      </c>
      <c r="BN830" s="12" t="s">
        <v>12764</v>
      </c>
      <c r="BO830" s="12" t="s">
        <v>319</v>
      </c>
      <c r="BP830" s="12" t="s">
        <v>320</v>
      </c>
      <c r="BQ830" s="12" t="s">
        <v>319</v>
      </c>
      <c r="BR830" s="12" t="s">
        <v>12765</v>
      </c>
      <c r="BS830" s="12" t="s">
        <v>357</v>
      </c>
      <c r="BT830" s="12" t="s">
        <v>12766</v>
      </c>
      <c r="BU830" s="12" t="s">
        <v>12767</v>
      </c>
      <c r="BV830" s="14">
        <v>1680</v>
      </c>
      <c r="BW830" s="14">
        <v>3920</v>
      </c>
      <c r="BX830" s="14">
        <v>5600</v>
      </c>
      <c r="BY830" s="14">
        <v>17250</v>
      </c>
      <c r="BZ830" s="14">
        <v>40250</v>
      </c>
      <c r="CA830" s="14">
        <v>57500</v>
      </c>
      <c r="CB830" s="12" t="s">
        <v>12768</v>
      </c>
      <c r="CD830" s="14"/>
      <c r="CE830" s="14"/>
      <c r="CF830" s="14"/>
      <c r="CG830" s="14"/>
      <c r="CH830" s="14"/>
      <c r="CI830" s="14"/>
      <c r="CJ830" s="12"/>
      <c r="CK830" s="14"/>
      <c r="CL830" s="16"/>
      <c r="CM830" s="14"/>
      <c r="CN830" s="12"/>
      <c r="CO830" s="14"/>
      <c r="CP830" s="16"/>
      <c r="CQ830" s="14"/>
      <c r="CR830" s="12"/>
      <c r="CS830" s="14"/>
      <c r="CT830" s="16"/>
      <c r="CU830" s="14"/>
      <c r="CV830" s="12"/>
      <c r="CW830" s="14"/>
      <c r="CX830" s="16"/>
      <c r="CY830" s="14"/>
      <c r="CZ830" s="12"/>
      <c r="DA830" s="14"/>
      <c r="DB830" s="16"/>
      <c r="DC830" s="14"/>
      <c r="DD830" s="12"/>
      <c r="DE830" s="14"/>
      <c r="DF830" s="16"/>
      <c r="DG830" s="14"/>
      <c r="DH830" s="12"/>
      <c r="DI830" s="14"/>
      <c r="DJ830" s="16"/>
      <c r="DK830" s="14"/>
      <c r="DL830" s="12"/>
      <c r="DM830" s="14"/>
      <c r="DN830" s="16"/>
      <c r="DO830" s="14"/>
      <c r="DP830" s="12"/>
      <c r="DQ830" s="14"/>
      <c r="DR830" s="16"/>
      <c r="DS830" s="14"/>
      <c r="DT830" s="12"/>
      <c r="DU830" s="14"/>
      <c r="DV830" s="16"/>
      <c r="DW830" s="14"/>
      <c r="DX830" s="12"/>
      <c r="DY830" s="14"/>
      <c r="DZ830" s="16"/>
      <c r="EA830" s="14"/>
      <c r="EB830" s="12"/>
      <c r="EC830" s="14"/>
      <c r="ED830" s="16"/>
      <c r="EE830" s="14"/>
      <c r="EF830" s="12"/>
      <c r="EG830" s="12"/>
      <c r="EH830" s="14"/>
      <c r="EI830" s="16"/>
      <c r="EJ830" s="14"/>
      <c r="EK830" s="14">
        <v>2349</v>
      </c>
      <c r="EL830" s="14">
        <v>5482</v>
      </c>
      <c r="EM830" s="14">
        <v>7831</v>
      </c>
      <c r="EN830" s="14">
        <v>16140</v>
      </c>
      <c r="EO830" s="14">
        <v>37660</v>
      </c>
      <c r="EP830" s="14">
        <v>53800</v>
      </c>
      <c r="EQ830" s="12"/>
      <c r="ER830" s="14"/>
      <c r="ES830" s="16"/>
      <c r="ET830" s="14"/>
      <c r="EU830" s="12"/>
      <c r="EV830" s="14"/>
      <c r="EW830" s="16"/>
      <c r="EX830" s="14"/>
      <c r="EY830" s="12" t="s">
        <v>320</v>
      </c>
      <c r="EZ830" s="14">
        <v>7831</v>
      </c>
      <c r="FA830" s="16">
        <v>0.3</v>
      </c>
      <c r="FB830" s="14">
        <v>53800</v>
      </c>
      <c r="FC830" s="12"/>
      <c r="FD830" s="14"/>
      <c r="FE830" s="16"/>
      <c r="FF830" s="14"/>
      <c r="FG830" s="12"/>
      <c r="FH830" s="14"/>
      <c r="FI830" s="16"/>
      <c r="FJ830" s="14"/>
      <c r="FK830" s="12"/>
      <c r="FL830" s="14"/>
      <c r="FM830" s="16"/>
      <c r="FN830" s="14"/>
      <c r="FO830" s="12"/>
      <c r="FP830" s="14"/>
      <c r="FQ830" s="16"/>
      <c r="FR830" s="14"/>
      <c r="FS830" s="12" t="s">
        <v>320</v>
      </c>
      <c r="FT830" s="14">
        <v>7831</v>
      </c>
      <c r="FU830" s="16">
        <v>0.3</v>
      </c>
      <c r="FV830" s="14">
        <v>53800</v>
      </c>
      <c r="FW830" s="11" t="s">
        <v>320</v>
      </c>
      <c r="FX830" s="14">
        <v>7831</v>
      </c>
      <c r="FY830" s="16">
        <v>0.3</v>
      </c>
      <c r="FZ830" s="14">
        <v>53800</v>
      </c>
      <c r="GA830" s="12" t="s">
        <v>319</v>
      </c>
      <c r="GB830" s="14"/>
      <c r="GC830" s="16"/>
      <c r="GD830" s="14"/>
      <c r="GE830" s="12"/>
      <c r="GF830" s="14"/>
      <c r="GG830" s="16"/>
      <c r="GH830" s="14"/>
      <c r="GI830" s="12"/>
      <c r="GJ830" s="14"/>
      <c r="GK830" s="16"/>
      <c r="GL830" s="14"/>
      <c r="GM830" s="12"/>
      <c r="GN830" s="14"/>
      <c r="GO830" s="16"/>
      <c r="GP830" s="14"/>
      <c r="GQ830" s="12" t="s">
        <v>320</v>
      </c>
      <c r="GR830" s="14">
        <v>7831</v>
      </c>
      <c r="GS830" s="16">
        <v>0.3</v>
      </c>
      <c r="GT830" s="14">
        <v>53800</v>
      </c>
      <c r="GU830" s="12" t="s">
        <v>320</v>
      </c>
      <c r="GV830" s="14">
        <v>5600</v>
      </c>
      <c r="GW830" s="16">
        <v>0.3</v>
      </c>
      <c r="GX830" s="14">
        <v>22400</v>
      </c>
      <c r="GY830" s="12"/>
      <c r="GZ830" s="14"/>
      <c r="HA830" s="16"/>
      <c r="HB830" s="14"/>
      <c r="HC830" s="12"/>
      <c r="HD830" s="12"/>
      <c r="HE830" s="14"/>
      <c r="HF830" s="16"/>
      <c r="HG830" s="14"/>
      <c r="HH830" s="12" t="s">
        <v>320</v>
      </c>
      <c r="HI830" s="12" t="s">
        <v>361</v>
      </c>
      <c r="HJ830" s="12">
        <v>2016</v>
      </c>
      <c r="HK830" s="12" t="s">
        <v>320</v>
      </c>
      <c r="HL830" s="12" t="s">
        <v>320</v>
      </c>
      <c r="HM830" s="12" t="s">
        <v>415</v>
      </c>
      <c r="HN830" s="12">
        <v>2017</v>
      </c>
      <c r="HO830" s="12" t="s">
        <v>12769</v>
      </c>
      <c r="HP830" s="12" t="s">
        <v>330</v>
      </c>
      <c r="HQ830" s="12" t="s">
        <v>320</v>
      </c>
      <c r="HR830" s="12" t="s">
        <v>320</v>
      </c>
      <c r="HS830" s="12" t="s">
        <v>320</v>
      </c>
      <c r="HT830" s="12" t="s">
        <v>320</v>
      </c>
      <c r="HU830" s="12" t="s">
        <v>320</v>
      </c>
      <c r="HV830" s="12" t="s">
        <v>320</v>
      </c>
      <c r="HW830" s="12" t="s">
        <v>320</v>
      </c>
      <c r="HX830" s="12" t="s">
        <v>319</v>
      </c>
      <c r="HY830" s="12"/>
      <c r="HZ830" s="12" t="s">
        <v>394</v>
      </c>
      <c r="IA830" s="12" t="s">
        <v>12770</v>
      </c>
      <c r="IB830" s="12" t="s">
        <v>396</v>
      </c>
      <c r="IC830" s="12" t="s">
        <v>12770</v>
      </c>
      <c r="ID830" s="12" t="s">
        <v>334</v>
      </c>
      <c r="IE830" s="12" t="s">
        <v>478</v>
      </c>
      <c r="IF830" s="12" t="s">
        <v>320</v>
      </c>
      <c r="IG830" s="12" t="s">
        <v>320</v>
      </c>
      <c r="IH830" s="12" t="s">
        <v>320</v>
      </c>
      <c r="II830" s="12" t="s">
        <v>320</v>
      </c>
      <c r="IJ830" s="12" t="str">
        <f t="shared" si="517"/>
        <v>4. Transformative</v>
      </c>
      <c r="IK830" s="12">
        <f t="shared" si="518"/>
        <v>4</v>
      </c>
      <c r="IL830" s="11" t="s">
        <v>621</v>
      </c>
      <c r="IM830" s="12" t="s">
        <v>320</v>
      </c>
      <c r="IN830" s="12" t="s">
        <v>320</v>
      </c>
      <c r="IO830" s="12" t="s">
        <v>320</v>
      </c>
      <c r="IP830" s="12" t="s">
        <v>320</v>
      </c>
      <c r="IQ830" s="12" t="str">
        <f t="shared" si="519"/>
        <v>4. Transformational</v>
      </c>
      <c r="IR830" s="12">
        <f t="shared" si="520"/>
        <v>4</v>
      </c>
      <c r="IS830" s="12" t="s">
        <v>622</v>
      </c>
      <c r="IT830" s="12" t="s">
        <v>320</v>
      </c>
      <c r="IU830" s="12" t="s">
        <v>320</v>
      </c>
      <c r="IV830" s="12" t="s">
        <v>320</v>
      </c>
      <c r="IW830" s="11" t="str">
        <f t="shared" si="521"/>
        <v>4. Transformative</v>
      </c>
      <c r="IX830" s="12">
        <f t="shared" si="522"/>
        <v>3</v>
      </c>
      <c r="IY830" s="12" t="s">
        <v>338</v>
      </c>
      <c r="IZ830" s="12" t="s">
        <v>527</v>
      </c>
      <c r="JA830" s="12">
        <v>1</v>
      </c>
      <c r="JB830" s="12" t="s">
        <v>433</v>
      </c>
      <c r="JC830" s="12" t="s">
        <v>687</v>
      </c>
      <c r="JD830" s="12" t="s">
        <v>624</v>
      </c>
      <c r="JE830" s="12" t="s">
        <v>365</v>
      </c>
      <c r="JF830" s="12" t="s">
        <v>3909</v>
      </c>
      <c r="JG830" s="12" t="s">
        <v>12755</v>
      </c>
      <c r="JH830" s="12" t="s">
        <v>12756</v>
      </c>
      <c r="JI830" s="12" t="s">
        <v>6589</v>
      </c>
      <c r="JJ830" s="12" t="s">
        <v>12771</v>
      </c>
      <c r="JK830" s="12" t="s">
        <v>12772</v>
      </c>
      <c r="JL830" s="12" t="s">
        <v>12773</v>
      </c>
      <c r="JM830" s="12" t="s">
        <v>12774</v>
      </c>
      <c r="JN830" s="12" t="s">
        <v>12775</v>
      </c>
      <c r="JO830" s="12"/>
      <c r="JP830" s="15">
        <f t="shared" si="523"/>
        <v>7831</v>
      </c>
      <c r="JQ830" s="15">
        <f t="shared" si="524"/>
        <v>53800</v>
      </c>
      <c r="JR830" s="279">
        <f t="shared" si="525"/>
        <v>6.8701315285404165</v>
      </c>
      <c r="JS830" s="17">
        <f t="shared" si="526"/>
        <v>0.29996169071638362</v>
      </c>
      <c r="JT830" s="18">
        <f t="shared" si="527"/>
        <v>0.3</v>
      </c>
      <c r="JU830" s="280">
        <f t="shared" si="528"/>
        <v>2349</v>
      </c>
      <c r="JV830" s="280">
        <f t="shared" si="529"/>
        <v>16140</v>
      </c>
      <c r="JW830" s="319" t="str">
        <f t="shared" si="530"/>
        <v/>
      </c>
      <c r="JX830" s="15">
        <f t="shared" si="531"/>
        <v>0</v>
      </c>
      <c r="JY830" s="15">
        <f t="shared" si="532"/>
        <v>0</v>
      </c>
      <c r="JZ830" s="19" t="str">
        <f t="shared" si="533"/>
        <v/>
      </c>
      <c r="KA830" s="52">
        <f t="shared" si="534"/>
        <v>1</v>
      </c>
      <c r="KB830" s="15">
        <f t="shared" si="535"/>
        <v>5600</v>
      </c>
      <c r="KC830" s="15">
        <f t="shared" si="536"/>
        <v>22400</v>
      </c>
      <c r="KD830" s="20">
        <f t="shared" si="537"/>
        <v>4</v>
      </c>
      <c r="KE830" s="52">
        <f t="shared" si="538"/>
        <v>1</v>
      </c>
      <c r="KF830" s="15">
        <f t="shared" si="539"/>
        <v>7831</v>
      </c>
      <c r="KG830" s="15">
        <f t="shared" si="540"/>
        <v>53800</v>
      </c>
      <c r="KH830" s="21">
        <f t="shared" si="541"/>
        <v>6.8701315285404165</v>
      </c>
      <c r="KI830" s="52">
        <f t="shared" si="542"/>
        <v>1</v>
      </c>
      <c r="KJ830" s="15">
        <f t="shared" si="543"/>
        <v>7831</v>
      </c>
      <c r="KK830" s="15">
        <f t="shared" si="544"/>
        <v>53800</v>
      </c>
      <c r="KL830" s="19">
        <f t="shared" si="545"/>
        <v>6.8701315285404165</v>
      </c>
      <c r="KM830" s="52" t="str">
        <f t="shared" si="546"/>
        <v/>
      </c>
      <c r="KN830" s="22">
        <f t="shared" si="547"/>
        <v>0</v>
      </c>
      <c r="KO830" s="22">
        <f t="shared" si="548"/>
        <v>0</v>
      </c>
      <c r="KP830" s="19" t="str">
        <f t="shared" si="549"/>
        <v/>
      </c>
      <c r="KQ830" s="11" t="str">
        <f t="shared" si="550"/>
        <v>4. Transformative</v>
      </c>
      <c r="KR830" s="11" t="str">
        <f t="shared" si="551"/>
        <v>4. Transformational</v>
      </c>
      <c r="KS830" s="11" t="str">
        <f t="shared" si="552"/>
        <v>4. Transformative</v>
      </c>
      <c r="KT830" s="11" t="str">
        <f t="shared" si="553"/>
        <v>It tested new ways for fighting poverty, but did not measure results of innovation</v>
      </c>
      <c r="KU830" s="11" t="str">
        <f t="shared" si="554"/>
        <v>Moderate advocacy</v>
      </c>
      <c r="KV830" s="11" t="str">
        <f t="shared" si="555"/>
        <v>It linked and worked with strategic alliances and partners to take tested and effective solutions to scale</v>
      </c>
      <c r="KW830" s="11" t="str">
        <f t="shared" si="556"/>
        <v>Uganda - SRMCH (Improving Access to Reproductive, Child and Maternal Health in Northern Uganda)</v>
      </c>
      <c r="KX830" s="11" t="str">
        <f t="shared" si="557"/>
        <v>SRMCH (Improving Access to Reproductive, Child and Maternal Health in Northern Uganda)</v>
      </c>
      <c r="KY830" s="11" t="str">
        <f t="shared" si="558"/>
        <v>Uganda</v>
      </c>
      <c r="KZ830" s="12">
        <v>831</v>
      </c>
    </row>
    <row r="831" spans="1:312" x14ac:dyDescent="0.3">
      <c r="A831" s="12" t="s">
        <v>12694</v>
      </c>
      <c r="B831" s="12" t="s">
        <v>1874</v>
      </c>
      <c r="C831" s="12">
        <v>3431</v>
      </c>
      <c r="D831" s="12" t="s">
        <v>12894</v>
      </c>
      <c r="E831" s="277" t="str">
        <f t="shared" si="516"/>
        <v>Uganda</v>
      </c>
      <c r="F831" s="12" t="s">
        <v>12895</v>
      </c>
      <c r="G831" s="12" t="s">
        <v>608</v>
      </c>
      <c r="H831" s="12" t="s">
        <v>380</v>
      </c>
      <c r="I831" s="12" t="s">
        <v>381</v>
      </c>
      <c r="J831" s="281" t="s">
        <v>12798</v>
      </c>
      <c r="K831" s="12"/>
      <c r="L831" s="12"/>
      <c r="M831" s="12"/>
      <c r="N831" s="12"/>
      <c r="O831" s="12"/>
      <c r="P831" s="12"/>
      <c r="Q831" s="12"/>
      <c r="R831" s="12"/>
      <c r="S831" s="12"/>
      <c r="T831" s="12"/>
      <c r="U831" s="12"/>
      <c r="V831" s="12"/>
      <c r="W831" s="12"/>
      <c r="X831" s="12"/>
      <c r="Y831" s="12"/>
      <c r="Z831" s="12"/>
      <c r="AA831" s="12"/>
      <c r="AB831" s="12"/>
      <c r="AC831" s="12"/>
      <c r="AD831" s="12"/>
      <c r="BD831" s="13">
        <v>42736</v>
      </c>
      <c r="BE831" s="12"/>
      <c r="BF831" s="12"/>
      <c r="BG831" s="12" t="s">
        <v>609</v>
      </c>
      <c r="BH831" s="14">
        <v>160000</v>
      </c>
      <c r="BI831" s="12" t="s">
        <v>12744</v>
      </c>
      <c r="BJ831" s="12" t="s">
        <v>912</v>
      </c>
      <c r="BK831" s="12" t="s">
        <v>12745</v>
      </c>
      <c r="BL831" s="12" t="s">
        <v>12763</v>
      </c>
      <c r="BM831" s="12" t="s">
        <v>3637</v>
      </c>
      <c r="BN831" s="12" t="s">
        <v>12764</v>
      </c>
      <c r="BO831" s="11" t="s">
        <v>319</v>
      </c>
      <c r="BP831" s="11" t="s">
        <v>320</v>
      </c>
      <c r="BQ831" s="11" t="s">
        <v>319</v>
      </c>
      <c r="BR831" s="12" t="s">
        <v>12896</v>
      </c>
      <c r="BS831" s="12" t="s">
        <v>357</v>
      </c>
      <c r="BT831" s="12" t="s">
        <v>12897</v>
      </c>
      <c r="BU831" s="12" t="s">
        <v>12767</v>
      </c>
      <c r="BV831" s="14">
        <v>35574</v>
      </c>
      <c r="BW831" s="14">
        <v>23716</v>
      </c>
      <c r="BX831" s="14">
        <v>59290</v>
      </c>
      <c r="BY831" s="14">
        <v>1500000</v>
      </c>
      <c r="BZ831" s="14">
        <v>1000000</v>
      </c>
      <c r="CA831" s="14">
        <v>2500000</v>
      </c>
      <c r="CB831" s="12" t="s">
        <v>12898</v>
      </c>
      <c r="CD831" s="14"/>
      <c r="CE831" s="14"/>
      <c r="CF831" s="14"/>
      <c r="CG831" s="14"/>
      <c r="CH831" s="14"/>
      <c r="CI831" s="14"/>
      <c r="CJ831" s="12"/>
      <c r="CK831" s="14"/>
      <c r="CL831" s="16"/>
      <c r="CM831" s="14"/>
      <c r="CN831" s="12"/>
      <c r="CO831" s="14"/>
      <c r="CP831" s="16"/>
      <c r="CQ831" s="14"/>
      <c r="CR831" s="12"/>
      <c r="CS831" s="14"/>
      <c r="CT831" s="16"/>
      <c r="CU831" s="14"/>
      <c r="CV831" s="12"/>
      <c r="CW831" s="14"/>
      <c r="CX831" s="16"/>
      <c r="CY831" s="14"/>
      <c r="CZ831" s="12"/>
      <c r="DA831" s="14"/>
      <c r="DB831" s="16"/>
      <c r="DC831" s="14"/>
      <c r="DD831" s="12"/>
      <c r="DE831" s="14"/>
      <c r="DF831" s="16"/>
      <c r="DG831" s="14"/>
      <c r="DH831" s="12"/>
      <c r="DI831" s="14"/>
      <c r="DJ831" s="16"/>
      <c r="DK831" s="14"/>
      <c r="DL831" s="12"/>
      <c r="DM831" s="14"/>
      <c r="DN831" s="16"/>
      <c r="DO831" s="14"/>
      <c r="DP831" s="12"/>
      <c r="DQ831" s="14"/>
      <c r="DR831" s="16"/>
      <c r="DS831" s="14"/>
      <c r="DT831" s="12"/>
      <c r="DU831" s="14"/>
      <c r="DV831" s="16"/>
      <c r="DW831" s="14"/>
      <c r="DX831" s="12"/>
      <c r="DY831" s="14"/>
      <c r="DZ831" s="16"/>
      <c r="EA831" s="14"/>
      <c r="EB831" s="12"/>
      <c r="EC831" s="14"/>
      <c r="ED831" s="16"/>
      <c r="EE831" s="14"/>
      <c r="EF831" s="12"/>
      <c r="EG831" s="12"/>
      <c r="EH831" s="14"/>
      <c r="EI831" s="16"/>
      <c r="EJ831" s="14"/>
      <c r="EK831" s="14">
        <v>27227</v>
      </c>
      <c r="EL831" s="14">
        <v>18151</v>
      </c>
      <c r="EM831" s="14">
        <v>45378</v>
      </c>
      <c r="EN831" s="14">
        <v>1380000</v>
      </c>
      <c r="EO831" s="14">
        <v>920000</v>
      </c>
      <c r="EP831" s="14">
        <v>2300000</v>
      </c>
      <c r="EQ831" s="12"/>
      <c r="ER831" s="14"/>
      <c r="ES831" s="16"/>
      <c r="ET831" s="14"/>
      <c r="EU831" s="12"/>
      <c r="EV831" s="14"/>
      <c r="EW831" s="16"/>
      <c r="EX831" s="14"/>
      <c r="EY831" s="12" t="s">
        <v>320</v>
      </c>
      <c r="EZ831" s="14">
        <v>45378</v>
      </c>
      <c r="FA831" s="16">
        <v>0.6</v>
      </c>
      <c r="FB831" s="14">
        <v>2300000</v>
      </c>
      <c r="FC831" s="12"/>
      <c r="FD831" s="14"/>
      <c r="FE831" s="16"/>
      <c r="FF831" s="14"/>
      <c r="FG831" s="12"/>
      <c r="FH831" s="14"/>
      <c r="FI831" s="16"/>
      <c r="FJ831" s="14"/>
      <c r="FK831" s="12" t="s">
        <v>320</v>
      </c>
      <c r="FL831" s="14">
        <v>45378</v>
      </c>
      <c r="FM831" s="16">
        <v>0.6</v>
      </c>
      <c r="FN831" s="14">
        <v>2300000</v>
      </c>
      <c r="FO831" s="12"/>
      <c r="FP831" s="14"/>
      <c r="FQ831" s="16"/>
      <c r="FR831" s="14"/>
      <c r="FS831" s="12" t="s">
        <v>320</v>
      </c>
      <c r="FT831" s="14">
        <v>45378</v>
      </c>
      <c r="FU831" s="16">
        <v>0.6</v>
      </c>
      <c r="FV831" s="14">
        <v>2300000</v>
      </c>
      <c r="FW831" s="11" t="s">
        <v>320</v>
      </c>
      <c r="FX831" s="14">
        <v>45378</v>
      </c>
      <c r="FY831" s="16">
        <v>0.6</v>
      </c>
      <c r="FZ831" s="14">
        <v>2300000</v>
      </c>
      <c r="GA831" s="12"/>
      <c r="GB831" s="14"/>
      <c r="GC831" s="16"/>
      <c r="GD831" s="14"/>
      <c r="GE831" s="12"/>
      <c r="GF831" s="14"/>
      <c r="GG831" s="16"/>
      <c r="GH831" s="14"/>
      <c r="GI831" s="12"/>
      <c r="GJ831" s="14"/>
      <c r="GK831" s="16"/>
      <c r="GL831" s="14"/>
      <c r="GM831" s="12"/>
      <c r="GN831" s="14"/>
      <c r="GO831" s="16"/>
      <c r="GP831" s="14"/>
      <c r="GQ831" s="12" t="s">
        <v>320</v>
      </c>
      <c r="GR831" s="14">
        <v>45378</v>
      </c>
      <c r="GS831" s="16">
        <v>0.6</v>
      </c>
      <c r="GT831" s="14">
        <v>2300000</v>
      </c>
      <c r="GU831" s="12"/>
      <c r="GV831" s="14"/>
      <c r="GW831" s="16"/>
      <c r="GX831" s="14"/>
      <c r="GY831" s="11" t="s">
        <v>320</v>
      </c>
      <c r="GZ831" s="14">
        <v>45378</v>
      </c>
      <c r="HA831" s="16">
        <v>0.6</v>
      </c>
      <c r="HB831" s="14">
        <v>2300000</v>
      </c>
      <c r="HC831" s="12"/>
      <c r="HD831" s="12"/>
      <c r="HE831" s="14"/>
      <c r="HF831" s="16"/>
      <c r="HG831" s="14"/>
      <c r="HH831" s="12" t="s">
        <v>320</v>
      </c>
      <c r="HI831" s="12" t="s">
        <v>1175</v>
      </c>
      <c r="HJ831" s="12">
        <v>2017</v>
      </c>
      <c r="HK831" s="12" t="s">
        <v>319</v>
      </c>
      <c r="HL831" s="12" t="s">
        <v>319</v>
      </c>
      <c r="HM831" s="12"/>
      <c r="HN831" s="12"/>
      <c r="HO831" s="12"/>
      <c r="HP831" s="12" t="s">
        <v>453</v>
      </c>
      <c r="HQ831" s="12" t="s">
        <v>320</v>
      </c>
      <c r="HR831" s="12" t="s">
        <v>320</v>
      </c>
      <c r="HS831" s="12" t="s">
        <v>320</v>
      </c>
      <c r="HT831" s="12" t="s">
        <v>320</v>
      </c>
      <c r="HU831" s="12" t="s">
        <v>320</v>
      </c>
      <c r="HV831" s="12"/>
      <c r="HW831" s="12" t="s">
        <v>320</v>
      </c>
      <c r="HX831" s="12" t="s">
        <v>320</v>
      </c>
      <c r="HY831" s="12" t="s">
        <v>12899</v>
      </c>
      <c r="HZ831" s="12" t="s">
        <v>331</v>
      </c>
      <c r="IA831" s="12"/>
      <c r="IB831" s="12" t="s">
        <v>396</v>
      </c>
      <c r="IC831" s="12"/>
      <c r="ID831" s="12" t="s">
        <v>477</v>
      </c>
      <c r="IE831" s="12" t="s">
        <v>478</v>
      </c>
      <c r="IF831" s="12" t="s">
        <v>320</v>
      </c>
      <c r="IG831" s="12" t="s">
        <v>320</v>
      </c>
      <c r="IH831" s="12" t="s">
        <v>320</v>
      </c>
      <c r="II831" s="12" t="s">
        <v>320</v>
      </c>
      <c r="IJ831" s="12" t="str">
        <f t="shared" si="517"/>
        <v>4. Transformative</v>
      </c>
      <c r="IK831" s="12">
        <f t="shared" si="518"/>
        <v>4</v>
      </c>
      <c r="IL831" s="11" t="s">
        <v>621</v>
      </c>
      <c r="IM831" s="12" t="s">
        <v>320</v>
      </c>
      <c r="IN831" s="12" t="s">
        <v>320</v>
      </c>
      <c r="IO831" s="12" t="s">
        <v>320</v>
      </c>
      <c r="IP831" s="12" t="s">
        <v>320</v>
      </c>
      <c r="IQ831" s="12" t="str">
        <f t="shared" si="519"/>
        <v>4. Transformational</v>
      </c>
      <c r="IR831" s="12">
        <f t="shared" si="520"/>
        <v>4</v>
      </c>
      <c r="IS831" s="12" t="s">
        <v>622</v>
      </c>
      <c r="IT831" s="12" t="s">
        <v>320</v>
      </c>
      <c r="IU831" s="12" t="s">
        <v>320</v>
      </c>
      <c r="IV831" s="12" t="s">
        <v>320</v>
      </c>
      <c r="IW831" s="11" t="str">
        <f t="shared" si="521"/>
        <v>4. Transformative</v>
      </c>
      <c r="IX831" s="12">
        <f t="shared" si="522"/>
        <v>3</v>
      </c>
      <c r="IY831" s="12" t="s">
        <v>338</v>
      </c>
      <c r="IZ831" s="12" t="s">
        <v>527</v>
      </c>
      <c r="JA831" s="12">
        <v>2</v>
      </c>
      <c r="JB831" s="12" t="s">
        <v>433</v>
      </c>
      <c r="JC831" s="12" t="s">
        <v>687</v>
      </c>
      <c r="JD831" s="12" t="s">
        <v>624</v>
      </c>
      <c r="JE831" s="12" t="s">
        <v>365</v>
      </c>
      <c r="JF831" s="12" t="s">
        <v>3909</v>
      </c>
      <c r="JG831" s="12" t="s">
        <v>12755</v>
      </c>
      <c r="JH831" s="12" t="s">
        <v>12756</v>
      </c>
      <c r="JI831" s="12" t="s">
        <v>12900</v>
      </c>
      <c r="JJ831" s="12" t="s">
        <v>12901</v>
      </c>
      <c r="JK831" s="12" t="s">
        <v>12902</v>
      </c>
      <c r="JL831" s="12" t="s">
        <v>12903</v>
      </c>
      <c r="JM831" s="12" t="s">
        <v>12904</v>
      </c>
      <c r="JN831" s="12" t="s">
        <v>12905</v>
      </c>
      <c r="JO831" s="12" t="s">
        <v>12906</v>
      </c>
      <c r="JP831" s="15">
        <f t="shared" si="523"/>
        <v>45378</v>
      </c>
      <c r="JQ831" s="15">
        <f t="shared" si="524"/>
        <v>2300000</v>
      </c>
      <c r="JR831" s="279">
        <f t="shared" si="525"/>
        <v>50.685354136365639</v>
      </c>
      <c r="JS831" s="17">
        <f t="shared" si="526"/>
        <v>0.60000440742209882</v>
      </c>
      <c r="JT831" s="18">
        <f t="shared" si="527"/>
        <v>0.6</v>
      </c>
      <c r="JU831" s="280">
        <f t="shared" si="528"/>
        <v>27227</v>
      </c>
      <c r="JV831" s="280">
        <f t="shared" si="529"/>
        <v>1380000</v>
      </c>
      <c r="JW831" s="319" t="str">
        <f t="shared" si="530"/>
        <v/>
      </c>
      <c r="JX831" s="15">
        <f t="shared" si="531"/>
        <v>0</v>
      </c>
      <c r="JY831" s="15">
        <f t="shared" si="532"/>
        <v>0</v>
      </c>
      <c r="JZ831" s="19" t="str">
        <f t="shared" si="533"/>
        <v/>
      </c>
      <c r="KA831" s="52" t="str">
        <f t="shared" si="534"/>
        <v/>
      </c>
      <c r="KB831" s="15">
        <f t="shared" si="535"/>
        <v>0</v>
      </c>
      <c r="KC831" s="15">
        <f t="shared" si="536"/>
        <v>0</v>
      </c>
      <c r="KD831" s="20" t="str">
        <f t="shared" si="537"/>
        <v/>
      </c>
      <c r="KE831" s="52">
        <f t="shared" si="538"/>
        <v>1</v>
      </c>
      <c r="KF831" s="15">
        <f t="shared" si="539"/>
        <v>45378</v>
      </c>
      <c r="KG831" s="15">
        <f t="shared" si="540"/>
        <v>2300000</v>
      </c>
      <c r="KH831" s="21">
        <f t="shared" si="541"/>
        <v>50.685354136365639</v>
      </c>
      <c r="KI831" s="52">
        <f t="shared" si="542"/>
        <v>1</v>
      </c>
      <c r="KJ831" s="15">
        <f t="shared" si="543"/>
        <v>45378</v>
      </c>
      <c r="KK831" s="15">
        <f t="shared" si="544"/>
        <v>2300000</v>
      </c>
      <c r="KL831" s="19">
        <f t="shared" si="545"/>
        <v>50.685354136365639</v>
      </c>
      <c r="KM831" s="52">
        <f t="shared" si="546"/>
        <v>1</v>
      </c>
      <c r="KN831" s="22">
        <f t="shared" si="547"/>
        <v>45378</v>
      </c>
      <c r="KO831" s="22">
        <f t="shared" si="548"/>
        <v>2300000</v>
      </c>
      <c r="KP831" s="19">
        <f t="shared" si="549"/>
        <v>50.685354136365639</v>
      </c>
      <c r="KQ831" s="11" t="str">
        <f t="shared" si="550"/>
        <v>4. Transformative</v>
      </c>
      <c r="KR831" s="11" t="str">
        <f t="shared" si="551"/>
        <v>4. Transformational</v>
      </c>
      <c r="KS831" s="11" t="str">
        <f t="shared" si="552"/>
        <v>4. Transformative</v>
      </c>
      <c r="KT831" s="11" t="str">
        <f t="shared" si="553"/>
        <v>It tested new ways for fighting poverty and measured results of innovation</v>
      </c>
      <c r="KU831" s="11" t="str">
        <f t="shared" si="554"/>
        <v>Intensive advocacy</v>
      </c>
      <c r="KV831" s="11" t="str">
        <f t="shared" si="555"/>
        <v>It linked and worked with strategic alliances and partners to take tested and effective solutions to scale</v>
      </c>
      <c r="KW831" s="11" t="str">
        <f t="shared" si="556"/>
        <v>Uganda - United Nations Joint program on GBV</v>
      </c>
      <c r="KX831" s="11" t="str">
        <f t="shared" si="557"/>
        <v>United Nations Joint program on GBV</v>
      </c>
      <c r="KY831" s="11" t="str">
        <f t="shared" si="558"/>
        <v>Uganda</v>
      </c>
      <c r="KZ831" s="12">
        <v>832</v>
      </c>
    </row>
    <row r="832" spans="1:312" x14ac:dyDescent="0.3">
      <c r="A832" s="12" t="s">
        <v>12907</v>
      </c>
      <c r="B832" s="12" t="s">
        <v>602</v>
      </c>
      <c r="C832" s="12"/>
      <c r="D832" s="12" t="s">
        <v>12908</v>
      </c>
      <c r="E832" s="277" t="str">
        <f t="shared" si="516"/>
        <v>United Kingdom</v>
      </c>
      <c r="F832" s="12"/>
      <c r="G832" s="12" t="s">
        <v>488</v>
      </c>
      <c r="H832" s="12"/>
      <c r="I832" s="12"/>
      <c r="J832" s="281"/>
      <c r="K832" s="12"/>
      <c r="L832" s="12"/>
      <c r="M832" s="12"/>
      <c r="N832" s="12"/>
      <c r="O832" s="12"/>
      <c r="P832" s="12"/>
      <c r="Q832" s="12"/>
      <c r="R832" s="12"/>
      <c r="S832" s="12"/>
      <c r="T832" s="12"/>
      <c r="U832" s="12"/>
      <c r="V832" s="12"/>
      <c r="W832" s="12"/>
      <c r="X832" s="12"/>
      <c r="Y832" s="12"/>
      <c r="Z832" s="12"/>
      <c r="AA832" s="12"/>
      <c r="AB832" s="12"/>
      <c r="AC832" s="12"/>
      <c r="AD832" s="12"/>
      <c r="BD832" s="12"/>
      <c r="BE832" s="13">
        <v>43007</v>
      </c>
      <c r="BF832" s="12"/>
      <c r="BG832" s="12"/>
      <c r="BH832" s="14"/>
      <c r="BI832" s="12" t="s">
        <v>12909</v>
      </c>
      <c r="BJ832" s="12" t="s">
        <v>12910</v>
      </c>
      <c r="BK832" s="12" t="s">
        <v>12911</v>
      </c>
      <c r="BL832" s="12"/>
      <c r="BM832" s="12"/>
      <c r="BN832" s="12"/>
      <c r="BO832" s="12" t="s">
        <v>319</v>
      </c>
      <c r="BP832" s="12" t="s">
        <v>320</v>
      </c>
      <c r="BQ832" s="12" t="s">
        <v>319</v>
      </c>
      <c r="BR832" s="12" t="s">
        <v>12912</v>
      </c>
      <c r="BS832" s="12" t="s">
        <v>849</v>
      </c>
      <c r="BT832" s="12"/>
      <c r="BU832" s="12" t="s">
        <v>12913</v>
      </c>
      <c r="BV832" s="14"/>
      <c r="BW832" s="14"/>
      <c r="BX832" s="14">
        <v>1000</v>
      </c>
      <c r="BY832" s="14"/>
      <c r="BZ832" s="14"/>
      <c r="CA832" s="14"/>
      <c r="CB832" s="12" t="s">
        <v>12914</v>
      </c>
      <c r="CD832" s="14"/>
      <c r="CE832" s="14"/>
      <c r="CF832" s="14"/>
      <c r="CG832" s="14"/>
      <c r="CH832" s="14"/>
      <c r="CI832" s="14"/>
      <c r="CJ832" s="12"/>
      <c r="CK832" s="14"/>
      <c r="CL832" s="16"/>
      <c r="CM832" s="14"/>
      <c r="CN832" s="12"/>
      <c r="CO832" s="14"/>
      <c r="CP832" s="16"/>
      <c r="CQ832" s="14"/>
      <c r="CR832" s="12"/>
      <c r="CS832" s="14"/>
      <c r="CT832" s="16"/>
      <c r="CU832" s="14"/>
      <c r="CV832" s="12"/>
      <c r="CW832" s="14"/>
      <c r="CX832" s="16"/>
      <c r="CY832" s="14"/>
      <c r="CZ832" s="12"/>
      <c r="DA832" s="14"/>
      <c r="DB832" s="16"/>
      <c r="DC832" s="14"/>
      <c r="DD832" s="12"/>
      <c r="DE832" s="14"/>
      <c r="DF832" s="16"/>
      <c r="DG832" s="14"/>
      <c r="DH832" s="12"/>
      <c r="DI832" s="14"/>
      <c r="DJ832" s="16"/>
      <c r="DK832" s="14"/>
      <c r="DL832" s="12"/>
      <c r="DM832" s="14"/>
      <c r="DN832" s="16"/>
      <c r="DO832" s="14"/>
      <c r="DP832" s="12"/>
      <c r="DQ832" s="14"/>
      <c r="DR832" s="16"/>
      <c r="DS832" s="14"/>
      <c r="DT832" s="12"/>
      <c r="DU832" s="14"/>
      <c r="DV832" s="16"/>
      <c r="DW832" s="14"/>
      <c r="DX832" s="12"/>
      <c r="DY832" s="14"/>
      <c r="DZ832" s="16"/>
      <c r="EA832" s="14"/>
      <c r="EB832" s="12"/>
      <c r="EC832" s="14"/>
      <c r="ED832" s="16"/>
      <c r="EE832" s="14"/>
      <c r="EF832" s="12"/>
      <c r="EG832" s="12"/>
      <c r="EH832" s="14"/>
      <c r="EI832" s="16"/>
      <c r="EJ832" s="14"/>
      <c r="EK832" s="14"/>
      <c r="EL832" s="14"/>
      <c r="EM832" s="14">
        <v>1000</v>
      </c>
      <c r="EN832" s="14"/>
      <c r="EO832" s="14"/>
      <c r="EP832" s="14"/>
      <c r="EQ832" s="12"/>
      <c r="ER832" s="14"/>
      <c r="ES832" s="16"/>
      <c r="ET832" s="14"/>
      <c r="EU832" s="12"/>
      <c r="EV832" s="14"/>
      <c r="EW832" s="16"/>
      <c r="EX832" s="14"/>
      <c r="EY832" s="12"/>
      <c r="EZ832" s="14"/>
      <c r="FA832" s="16"/>
      <c r="FB832" s="14"/>
      <c r="FC832" s="12"/>
      <c r="FD832" s="14"/>
      <c r="FE832" s="16"/>
      <c r="FF832" s="14"/>
      <c r="FG832" s="12"/>
      <c r="FH832" s="14"/>
      <c r="FI832" s="16"/>
      <c r="FJ832" s="14"/>
      <c r="FK832" s="12"/>
      <c r="FL832" s="14"/>
      <c r="FM832" s="16"/>
      <c r="FN832" s="14"/>
      <c r="FO832" s="12"/>
      <c r="FP832" s="14"/>
      <c r="FQ832" s="16"/>
      <c r="FR832" s="14"/>
      <c r="FS832" s="12"/>
      <c r="FT832" s="14"/>
      <c r="FU832" s="16"/>
      <c r="FV832" s="14"/>
      <c r="FW832" s="12"/>
      <c r="FX832" s="14"/>
      <c r="FY832" s="16"/>
      <c r="FZ832" s="14"/>
      <c r="GA832" s="12"/>
      <c r="GB832" s="14"/>
      <c r="GC832" s="16"/>
      <c r="GD832" s="14"/>
      <c r="GE832" s="12"/>
      <c r="GF832" s="14"/>
      <c r="GG832" s="16"/>
      <c r="GH832" s="14"/>
      <c r="GI832" s="12"/>
      <c r="GJ832" s="14"/>
      <c r="GK832" s="16"/>
      <c r="GL832" s="14"/>
      <c r="GM832" s="12"/>
      <c r="GN832" s="14"/>
      <c r="GO832" s="16"/>
      <c r="GP832" s="14"/>
      <c r="GQ832" s="12"/>
      <c r="GR832" s="14"/>
      <c r="GS832" s="16"/>
      <c r="GT832" s="14"/>
      <c r="GU832" s="12"/>
      <c r="GV832" s="14"/>
      <c r="GW832" s="16"/>
      <c r="GX832" s="14"/>
      <c r="GY832" s="11" t="s">
        <v>320</v>
      </c>
      <c r="GZ832" s="14">
        <v>1000</v>
      </c>
      <c r="HA832" s="16"/>
      <c r="HB832" s="14"/>
      <c r="HC832" s="12"/>
      <c r="HD832" s="12"/>
      <c r="HE832" s="14"/>
      <c r="HF832" s="16"/>
      <c r="HG832" s="14"/>
      <c r="HH832" s="12"/>
      <c r="HI832" s="12"/>
      <c r="HJ832" s="12"/>
      <c r="HK832" s="12"/>
      <c r="HL832" s="12"/>
      <c r="HM832" s="12"/>
      <c r="HN832" s="12"/>
      <c r="HO832" s="12"/>
      <c r="HP832" s="12" t="s">
        <v>330</v>
      </c>
      <c r="HQ832" s="12" t="s">
        <v>319</v>
      </c>
      <c r="HR832" s="12"/>
      <c r="HS832" s="12" t="s">
        <v>320</v>
      </c>
      <c r="HT832" s="12"/>
      <c r="HU832" s="12"/>
      <c r="HV832" s="12"/>
      <c r="HW832" s="12"/>
      <c r="HX832" s="12"/>
      <c r="HY832" s="12"/>
      <c r="HZ832" s="12" t="s">
        <v>363</v>
      </c>
      <c r="IA832" s="12"/>
      <c r="IB832" s="12" t="s">
        <v>333</v>
      </c>
      <c r="IC832" s="12"/>
      <c r="ID832" s="12" t="s">
        <v>364</v>
      </c>
      <c r="IE832" s="12"/>
      <c r="IF832" s="12"/>
      <c r="IG832" s="12"/>
      <c r="IH832" s="12"/>
      <c r="II832" s="12"/>
      <c r="IJ832" s="12" t="str">
        <f t="shared" si="517"/>
        <v>No marker score</v>
      </c>
      <c r="IK832" s="12">
        <f t="shared" si="518"/>
        <v>0</v>
      </c>
      <c r="IL832" s="12"/>
      <c r="IM832" s="12"/>
      <c r="IN832" s="12"/>
      <c r="IO832" s="12"/>
      <c r="IP832" s="12"/>
      <c r="IQ832" s="12" t="str">
        <f t="shared" si="519"/>
        <v>No marker score</v>
      </c>
      <c r="IR832" s="12">
        <f t="shared" si="520"/>
        <v>0</v>
      </c>
      <c r="IS832" s="12"/>
      <c r="IT832" s="12"/>
      <c r="IU832" s="12"/>
      <c r="IV832" s="12"/>
      <c r="IW832" s="11" t="str">
        <f t="shared" si="521"/>
        <v>No marker score</v>
      </c>
      <c r="IX832" s="12">
        <f t="shared" si="522"/>
        <v>0</v>
      </c>
      <c r="IY832" s="12"/>
      <c r="IZ832" s="12"/>
      <c r="JA832" s="12"/>
      <c r="JB832" s="12"/>
      <c r="JC832" s="12"/>
      <c r="JD832" s="12"/>
      <c r="JE832" s="12"/>
      <c r="JF832" s="12"/>
      <c r="JG832" s="12"/>
      <c r="JH832" s="12"/>
      <c r="JI832" s="12"/>
      <c r="JJ832" s="12"/>
      <c r="JK832" s="12"/>
      <c r="JL832" s="12"/>
      <c r="JM832" s="12"/>
      <c r="JN832" s="12"/>
      <c r="JO832" s="12" t="s">
        <v>12915</v>
      </c>
      <c r="JP832" s="15">
        <f t="shared" si="523"/>
        <v>1000</v>
      </c>
      <c r="JQ832" s="15">
        <f t="shared" si="524"/>
        <v>0</v>
      </c>
      <c r="JR832" s="279">
        <f t="shared" si="525"/>
        <v>0</v>
      </c>
      <c r="JS832" s="17">
        <f t="shared" si="526"/>
        <v>0</v>
      </c>
      <c r="JT832" s="18" t="str">
        <f t="shared" si="527"/>
        <v/>
      </c>
      <c r="JU832" s="280">
        <f t="shared" si="528"/>
        <v>0</v>
      </c>
      <c r="JV832" s="280">
        <f t="shared" si="529"/>
        <v>0</v>
      </c>
      <c r="JW832" s="319" t="str">
        <f t="shared" si="530"/>
        <v/>
      </c>
      <c r="JX832" s="15">
        <f t="shared" si="531"/>
        <v>0</v>
      </c>
      <c r="JY832" s="15">
        <f t="shared" si="532"/>
        <v>0</v>
      </c>
      <c r="JZ832" s="19" t="str">
        <f t="shared" si="533"/>
        <v/>
      </c>
      <c r="KA832" s="52" t="str">
        <f t="shared" si="534"/>
        <v/>
      </c>
      <c r="KB832" s="15">
        <f t="shared" si="535"/>
        <v>0</v>
      </c>
      <c r="KC832" s="15">
        <f t="shared" si="536"/>
        <v>0</v>
      </c>
      <c r="KD832" s="20" t="str">
        <f t="shared" si="537"/>
        <v/>
      </c>
      <c r="KE832" s="52" t="str">
        <f t="shared" si="538"/>
        <v/>
      </c>
      <c r="KF832" s="15">
        <f t="shared" si="539"/>
        <v>0</v>
      </c>
      <c r="KG832" s="15">
        <f t="shared" si="540"/>
        <v>0</v>
      </c>
      <c r="KH832" s="21" t="str">
        <f t="shared" si="541"/>
        <v/>
      </c>
      <c r="KI832" s="52" t="str">
        <f t="shared" si="542"/>
        <v/>
      </c>
      <c r="KJ832" s="15">
        <f t="shared" si="543"/>
        <v>0</v>
      </c>
      <c r="KK832" s="15">
        <f t="shared" si="544"/>
        <v>0</v>
      </c>
      <c r="KL832" s="19" t="str">
        <f t="shared" si="545"/>
        <v/>
      </c>
      <c r="KM832" s="52">
        <f t="shared" si="546"/>
        <v>1</v>
      </c>
      <c r="KN832" s="22">
        <f t="shared" si="547"/>
        <v>1000</v>
      </c>
      <c r="KO832" s="22">
        <f t="shared" si="548"/>
        <v>0</v>
      </c>
      <c r="KP832" s="19">
        <f t="shared" si="549"/>
        <v>0</v>
      </c>
      <c r="KQ832" s="11" t="str">
        <f t="shared" si="550"/>
        <v>No marker score</v>
      </c>
      <c r="KR832" s="11" t="str">
        <f t="shared" si="551"/>
        <v>No marker score</v>
      </c>
      <c r="KS832" s="11" t="str">
        <f t="shared" si="552"/>
        <v>No marker score</v>
      </c>
      <c r="KT832" s="11" t="str">
        <f t="shared" si="553"/>
        <v>It did not develop any specific innovation</v>
      </c>
      <c r="KU832" s="11" t="str">
        <f t="shared" si="554"/>
        <v>Moderate advocacy</v>
      </c>
      <c r="KV832" s="11" t="str">
        <f t="shared" si="555"/>
        <v>It did not take tested solutions to scale</v>
      </c>
      <c r="KW832" s="11" t="str">
        <f t="shared" si="556"/>
        <v>United Kingdom - "Growing Together" report on systems approach to microenterprises in value chains.</v>
      </c>
      <c r="KX832" s="11" t="str">
        <f t="shared" si="557"/>
        <v>"Growing Together" report on systems approach to microenterprises in value chains.</v>
      </c>
      <c r="KY832" s="11" t="str">
        <f t="shared" si="558"/>
        <v>United Kingdom</v>
      </c>
      <c r="KZ832" s="12">
        <v>833</v>
      </c>
    </row>
    <row r="833" spans="1:312" x14ac:dyDescent="0.3">
      <c r="A833" s="12" t="s">
        <v>12907</v>
      </c>
      <c r="B833" s="12" t="s">
        <v>602</v>
      </c>
      <c r="C833" s="12"/>
      <c r="D833" s="12" t="s">
        <v>12926</v>
      </c>
      <c r="E833" s="277" t="str">
        <f t="shared" ref="E833:E896" si="559">A833</f>
        <v>United Kingdom</v>
      </c>
      <c r="F833" s="12"/>
      <c r="G833" s="12" t="s">
        <v>488</v>
      </c>
      <c r="H833" s="12"/>
      <c r="I833" s="12"/>
      <c r="J833" s="281"/>
      <c r="K833" s="12"/>
      <c r="L833" s="12"/>
      <c r="M833" s="12"/>
      <c r="N833" s="12"/>
      <c r="O833" s="12"/>
      <c r="P833" s="12"/>
      <c r="Q833" s="12"/>
      <c r="R833" s="12"/>
      <c r="S833" s="12"/>
      <c r="T833" s="12"/>
      <c r="U833" s="12"/>
      <c r="V833" s="12"/>
      <c r="W833" s="12"/>
      <c r="X833" s="12"/>
      <c r="Y833" s="12"/>
      <c r="Z833" s="12"/>
      <c r="AA833" s="12"/>
      <c r="AB833" s="12"/>
      <c r="AC833" s="12"/>
      <c r="AD833" s="12"/>
      <c r="BD833" s="13">
        <v>42856</v>
      </c>
      <c r="BE833" s="13">
        <v>43009</v>
      </c>
      <c r="BF833" s="12"/>
      <c r="BG833" s="12" t="s">
        <v>312</v>
      </c>
      <c r="BH833" s="14"/>
      <c r="BI833" s="12" t="s">
        <v>12917</v>
      </c>
      <c r="BJ833" s="12" t="s">
        <v>12927</v>
      </c>
      <c r="BK833" s="12" t="s">
        <v>12919</v>
      </c>
      <c r="BL833" s="12"/>
      <c r="BM833" s="12"/>
      <c r="BN833" s="12"/>
      <c r="BO833" s="12" t="s">
        <v>319</v>
      </c>
      <c r="BP833" s="12" t="s">
        <v>320</v>
      </c>
      <c r="BQ833" s="12" t="s">
        <v>319</v>
      </c>
      <c r="BR833" s="12" t="s">
        <v>12928</v>
      </c>
      <c r="BS833" s="12" t="s">
        <v>849</v>
      </c>
      <c r="BT833" s="12" t="s">
        <v>12921</v>
      </c>
      <c r="BU833" s="12" t="s">
        <v>12922</v>
      </c>
      <c r="BV833" s="14"/>
      <c r="BW833" s="14"/>
      <c r="BX833" s="14">
        <v>400</v>
      </c>
      <c r="BY833" s="14"/>
      <c r="BZ833" s="14"/>
      <c r="CA833" s="14"/>
      <c r="CB833" s="12" t="s">
        <v>12929</v>
      </c>
      <c r="CD833" s="14"/>
      <c r="CE833" s="14"/>
      <c r="CF833" s="14"/>
      <c r="CG833" s="14"/>
      <c r="CH833" s="14"/>
      <c r="CI833" s="14"/>
      <c r="CJ833" s="12"/>
      <c r="CK833" s="14"/>
      <c r="CL833" s="16"/>
      <c r="CM833" s="14"/>
      <c r="CN833" s="12"/>
      <c r="CO833" s="14"/>
      <c r="CP833" s="16"/>
      <c r="CQ833" s="14"/>
      <c r="CR833" s="12"/>
      <c r="CS833" s="14"/>
      <c r="CT833" s="16"/>
      <c r="CU833" s="14"/>
      <c r="CV833" s="12"/>
      <c r="CW833" s="14"/>
      <c r="CX833" s="16"/>
      <c r="CY833" s="14"/>
      <c r="CZ833" s="12"/>
      <c r="DA833" s="14"/>
      <c r="DB833" s="16"/>
      <c r="DC833" s="14"/>
      <c r="DD833" s="12"/>
      <c r="DE833" s="14"/>
      <c r="DF833" s="16"/>
      <c r="DG833" s="14"/>
      <c r="DH833" s="12"/>
      <c r="DI833" s="14"/>
      <c r="DJ833" s="16"/>
      <c r="DK833" s="14"/>
      <c r="DL833" s="12"/>
      <c r="DM833" s="14"/>
      <c r="DN833" s="16"/>
      <c r="DO833" s="14"/>
      <c r="DP833" s="12"/>
      <c r="DQ833" s="14"/>
      <c r="DR833" s="16"/>
      <c r="DS833" s="14"/>
      <c r="DT833" s="12"/>
      <c r="DU833" s="14"/>
      <c r="DV833" s="16"/>
      <c r="DW833" s="14"/>
      <c r="DX833" s="12"/>
      <c r="DY833" s="14"/>
      <c r="DZ833" s="16"/>
      <c r="EA833" s="14"/>
      <c r="EB833" s="12"/>
      <c r="EC833" s="14"/>
      <c r="ED833" s="16"/>
      <c r="EE833" s="14"/>
      <c r="EF833" s="12"/>
      <c r="EG833" s="12"/>
      <c r="EH833" s="14"/>
      <c r="EI833" s="16"/>
      <c r="EJ833" s="14"/>
      <c r="EK833" s="14"/>
      <c r="EL833" s="14"/>
      <c r="EM833" s="14">
        <v>400</v>
      </c>
      <c r="EN833" s="14"/>
      <c r="EO833" s="14"/>
      <c r="EP833" s="14"/>
      <c r="EQ833" s="12"/>
      <c r="ER833" s="14"/>
      <c r="ES833" s="16"/>
      <c r="ET833" s="14"/>
      <c r="EU833" s="12"/>
      <c r="EV833" s="14"/>
      <c r="EW833" s="16"/>
      <c r="EX833" s="14"/>
      <c r="EY833" s="12"/>
      <c r="EZ833" s="14"/>
      <c r="FA833" s="16"/>
      <c r="FB833" s="14"/>
      <c r="FC833" s="12"/>
      <c r="FD833" s="14"/>
      <c r="FE833" s="16"/>
      <c r="FF833" s="14"/>
      <c r="FG833" s="12"/>
      <c r="FH833" s="14"/>
      <c r="FI833" s="16"/>
      <c r="FJ833" s="14"/>
      <c r="FK833" s="12"/>
      <c r="FL833" s="14"/>
      <c r="FM833" s="16"/>
      <c r="FN833" s="14"/>
      <c r="FO833" s="12"/>
      <c r="FP833" s="14"/>
      <c r="FQ833" s="16"/>
      <c r="FR833" s="14"/>
      <c r="FS833" s="12"/>
      <c r="FT833" s="14"/>
      <c r="FU833" s="16"/>
      <c r="FV833" s="14"/>
      <c r="FW833" s="12"/>
      <c r="FX833" s="14"/>
      <c r="FY833" s="16"/>
      <c r="FZ833" s="14"/>
      <c r="GA833" s="12"/>
      <c r="GB833" s="14"/>
      <c r="GC833" s="16"/>
      <c r="GD833" s="14"/>
      <c r="GE833" s="12"/>
      <c r="GF833" s="14"/>
      <c r="GG833" s="16"/>
      <c r="GH833" s="14"/>
      <c r="GI833" s="12"/>
      <c r="GJ833" s="14"/>
      <c r="GK833" s="16"/>
      <c r="GL833" s="14"/>
      <c r="GM833" s="12"/>
      <c r="GN833" s="14"/>
      <c r="GO833" s="16"/>
      <c r="GP833" s="14"/>
      <c r="GQ833" s="12"/>
      <c r="GR833" s="14"/>
      <c r="GS833" s="16"/>
      <c r="GT833" s="14"/>
      <c r="GU833" s="12"/>
      <c r="GV833" s="14"/>
      <c r="GW833" s="16"/>
      <c r="GX833" s="14"/>
      <c r="GY833" s="11" t="s">
        <v>320</v>
      </c>
      <c r="GZ833" s="14">
        <v>400</v>
      </c>
      <c r="HA833" s="16"/>
      <c r="HB833" s="14"/>
      <c r="HC833" s="12"/>
      <c r="HD833" s="12"/>
      <c r="HE833" s="14"/>
      <c r="HF833" s="16"/>
      <c r="HG833" s="14"/>
      <c r="HH833" s="12" t="s">
        <v>319</v>
      </c>
      <c r="HI833" s="12"/>
      <c r="HJ833" s="12"/>
      <c r="HK833" s="12" t="s">
        <v>319</v>
      </c>
      <c r="HL833" s="12" t="s">
        <v>319</v>
      </c>
      <c r="HM833" s="12"/>
      <c r="HN833" s="12"/>
      <c r="HO833" s="12"/>
      <c r="HP833" s="12" t="s">
        <v>453</v>
      </c>
      <c r="HQ833" s="12" t="s">
        <v>319</v>
      </c>
      <c r="HR833" s="12"/>
      <c r="HS833" s="12" t="s">
        <v>319</v>
      </c>
      <c r="HT833" s="12" t="s">
        <v>319</v>
      </c>
      <c r="HU833" s="12" t="s">
        <v>320</v>
      </c>
      <c r="HV833" s="12" t="s">
        <v>319</v>
      </c>
      <c r="HW833" s="12" t="s">
        <v>319</v>
      </c>
      <c r="HX833" s="12" t="s">
        <v>319</v>
      </c>
      <c r="HY833" s="12"/>
      <c r="HZ833" s="12" t="s">
        <v>363</v>
      </c>
      <c r="IA833" s="12"/>
      <c r="IB833" s="12" t="s">
        <v>333</v>
      </c>
      <c r="IC833" s="12"/>
      <c r="ID833" s="12" t="s">
        <v>334</v>
      </c>
      <c r="IE833" s="12"/>
      <c r="IF833" s="12" t="s">
        <v>319</v>
      </c>
      <c r="IG833" s="12"/>
      <c r="IH833" s="12"/>
      <c r="II833" s="12"/>
      <c r="IJ833" s="12" t="str">
        <f t="shared" si="517"/>
        <v>No marker score</v>
      </c>
      <c r="IK833" s="12">
        <f t="shared" si="518"/>
        <v>0</v>
      </c>
      <c r="IL833" s="12"/>
      <c r="IM833" s="12"/>
      <c r="IN833" s="12"/>
      <c r="IO833" s="12"/>
      <c r="IP833" s="12"/>
      <c r="IQ833" s="12" t="str">
        <f t="shared" si="519"/>
        <v>No marker score</v>
      </c>
      <c r="IR833" s="12">
        <f t="shared" si="520"/>
        <v>0</v>
      </c>
      <c r="IS833" s="12"/>
      <c r="IT833" s="12"/>
      <c r="IU833" s="12"/>
      <c r="IV833" s="12"/>
      <c r="IW833" s="11" t="str">
        <f t="shared" si="521"/>
        <v>No marker score</v>
      </c>
      <c r="IX833" s="12">
        <f t="shared" si="522"/>
        <v>0</v>
      </c>
      <c r="IY833" s="12"/>
      <c r="IZ833" s="12"/>
      <c r="JA833" s="12"/>
      <c r="JB833" s="12"/>
      <c r="JC833" s="12"/>
      <c r="JD833" s="12"/>
      <c r="JE833" s="12" t="s">
        <v>340</v>
      </c>
      <c r="JF833" s="12"/>
      <c r="JG833" s="12"/>
      <c r="JH833" s="12"/>
      <c r="JI833" s="12"/>
      <c r="JJ833" s="12"/>
      <c r="JK833" s="12" t="s">
        <v>12930</v>
      </c>
      <c r="JL833" s="12"/>
      <c r="JM833" s="12"/>
      <c r="JN833" s="12"/>
      <c r="JO833" s="12" t="s">
        <v>12925</v>
      </c>
      <c r="JP833" s="15">
        <f t="shared" si="523"/>
        <v>400</v>
      </c>
      <c r="JQ833" s="15">
        <f t="shared" si="524"/>
        <v>0</v>
      </c>
      <c r="JR833" s="279">
        <f t="shared" si="525"/>
        <v>0</v>
      </c>
      <c r="JS833" s="17">
        <f t="shared" si="526"/>
        <v>0</v>
      </c>
      <c r="JT833" s="18" t="str">
        <f t="shared" si="527"/>
        <v/>
      </c>
      <c r="JU833" s="280">
        <f t="shared" si="528"/>
        <v>0</v>
      </c>
      <c r="JV833" s="280">
        <f t="shared" si="529"/>
        <v>0</v>
      </c>
      <c r="JW833" s="319" t="str">
        <f t="shared" si="530"/>
        <v/>
      </c>
      <c r="JX833" s="15">
        <f t="shared" si="531"/>
        <v>0</v>
      </c>
      <c r="JY833" s="15">
        <f t="shared" si="532"/>
        <v>0</v>
      </c>
      <c r="JZ833" s="19" t="str">
        <f t="shared" si="533"/>
        <v/>
      </c>
      <c r="KA833" s="52" t="str">
        <f t="shared" si="534"/>
        <v/>
      </c>
      <c r="KB833" s="15">
        <f t="shared" si="535"/>
        <v>0</v>
      </c>
      <c r="KC833" s="15">
        <f t="shared" si="536"/>
        <v>0</v>
      </c>
      <c r="KD833" s="20" t="str">
        <f t="shared" si="537"/>
        <v/>
      </c>
      <c r="KE833" s="52" t="str">
        <f t="shared" si="538"/>
        <v/>
      </c>
      <c r="KF833" s="15">
        <f t="shared" si="539"/>
        <v>0</v>
      </c>
      <c r="KG833" s="15">
        <f t="shared" si="540"/>
        <v>0</v>
      </c>
      <c r="KH833" s="21" t="str">
        <f t="shared" si="541"/>
        <v/>
      </c>
      <c r="KI833" s="52" t="str">
        <f t="shared" si="542"/>
        <v/>
      </c>
      <c r="KJ833" s="15">
        <f t="shared" si="543"/>
        <v>0</v>
      </c>
      <c r="KK833" s="15">
        <f t="shared" si="544"/>
        <v>0</v>
      </c>
      <c r="KL833" s="19" t="str">
        <f t="shared" si="545"/>
        <v/>
      </c>
      <c r="KM833" s="52">
        <f t="shared" si="546"/>
        <v>1</v>
      </c>
      <c r="KN833" s="22">
        <f t="shared" si="547"/>
        <v>400</v>
      </c>
      <c r="KO833" s="22">
        <f t="shared" si="548"/>
        <v>0</v>
      </c>
      <c r="KP833" s="19">
        <f t="shared" si="549"/>
        <v>0</v>
      </c>
      <c r="KQ833" s="11" t="str">
        <f t="shared" si="550"/>
        <v>No marker score</v>
      </c>
      <c r="KR833" s="11" t="str">
        <f t="shared" si="551"/>
        <v>No marker score</v>
      </c>
      <c r="KS833" s="11" t="str">
        <f t="shared" si="552"/>
        <v>No marker score</v>
      </c>
      <c r="KT833" s="11" t="str">
        <f t="shared" si="553"/>
        <v>It did not develop any specific innovation</v>
      </c>
      <c r="KU833" s="11" t="str">
        <f t="shared" si="554"/>
        <v>Intensive advocacy</v>
      </c>
      <c r="KV833" s="11" t="str">
        <f t="shared" si="555"/>
        <v>It did not take tested solutions to scale</v>
      </c>
      <c r="KW833" s="11" t="str">
        <f t="shared" si="556"/>
        <v>United Kingdom - Empowering Women in the Economy event  - How the Private Sector can advance the 2017 recommendations of the UN High Level Panel on Women's Economic Empowerment</v>
      </c>
      <c r="KX833" s="11" t="str">
        <f t="shared" si="557"/>
        <v>Empowering Women in the Economy event  - How the Private Sector can advance the 2017 recommendations of the UN High Level Panel on Women's Economic Empowerment</v>
      </c>
      <c r="KY833" s="11" t="str">
        <f t="shared" si="558"/>
        <v>United Kingdom</v>
      </c>
      <c r="KZ833" s="12">
        <v>834</v>
      </c>
    </row>
    <row r="834" spans="1:312" x14ac:dyDescent="0.3">
      <c r="A834" s="12" t="s">
        <v>12907</v>
      </c>
      <c r="B834" s="12" t="s">
        <v>602</v>
      </c>
      <c r="C834" s="12"/>
      <c r="D834" s="12" t="s">
        <v>12935</v>
      </c>
      <c r="E834" s="277" t="str">
        <f t="shared" si="559"/>
        <v>United Kingdom</v>
      </c>
      <c r="F834" s="12"/>
      <c r="G834" s="12" t="s">
        <v>488</v>
      </c>
      <c r="H834" s="12"/>
      <c r="I834" s="12"/>
      <c r="J834" s="281"/>
      <c r="K834" s="12"/>
      <c r="L834" s="12"/>
      <c r="M834" s="12"/>
      <c r="N834" s="12"/>
      <c r="O834" s="12"/>
      <c r="P834" s="12"/>
      <c r="Q834" s="12"/>
      <c r="R834" s="12"/>
      <c r="S834" s="12"/>
      <c r="T834" s="12"/>
      <c r="U834" s="12"/>
      <c r="V834" s="12"/>
      <c r="W834" s="12"/>
      <c r="X834" s="12"/>
      <c r="Y834" s="12"/>
      <c r="Z834" s="12"/>
      <c r="AA834" s="12"/>
      <c r="AB834" s="12"/>
      <c r="AC834" s="12"/>
      <c r="AD834" s="12"/>
      <c r="BD834" s="13">
        <v>42370</v>
      </c>
      <c r="BE834" s="12"/>
      <c r="BF834" s="12"/>
      <c r="BG834" s="12" t="s">
        <v>312</v>
      </c>
      <c r="BH834" s="14"/>
      <c r="BI834" s="12" t="s">
        <v>12917</v>
      </c>
      <c r="BJ834" s="12" t="s">
        <v>12927</v>
      </c>
      <c r="BK834" s="12" t="s">
        <v>12919</v>
      </c>
      <c r="BL834" s="12"/>
      <c r="BM834" s="12"/>
      <c r="BN834" s="12"/>
      <c r="BO834" s="12" t="s">
        <v>319</v>
      </c>
      <c r="BP834" s="12" t="s">
        <v>320</v>
      </c>
      <c r="BQ834" s="12" t="s">
        <v>319</v>
      </c>
      <c r="BR834" s="12" t="s">
        <v>12936</v>
      </c>
      <c r="BS834" s="12" t="s">
        <v>849</v>
      </c>
      <c r="BT834" s="12" t="s">
        <v>12921</v>
      </c>
      <c r="BU834" s="12" t="s">
        <v>12937</v>
      </c>
      <c r="BV834" s="14"/>
      <c r="BW834" s="14"/>
      <c r="BX834" s="14">
        <v>120</v>
      </c>
      <c r="BY834" s="14"/>
      <c r="BZ834" s="14"/>
      <c r="CA834" s="14"/>
      <c r="CB834" s="12"/>
      <c r="CD834" s="14"/>
      <c r="CE834" s="14"/>
      <c r="CF834" s="14"/>
      <c r="CG834" s="14"/>
      <c r="CH834" s="14"/>
      <c r="CI834" s="14"/>
      <c r="CJ834" s="12"/>
      <c r="CK834" s="14"/>
      <c r="CL834" s="16"/>
      <c r="CM834" s="14"/>
      <c r="CN834" s="12"/>
      <c r="CO834" s="14"/>
      <c r="CP834" s="16"/>
      <c r="CQ834" s="14"/>
      <c r="CR834" s="12"/>
      <c r="CS834" s="14"/>
      <c r="CT834" s="16"/>
      <c r="CU834" s="14"/>
      <c r="CV834" s="12"/>
      <c r="CW834" s="14"/>
      <c r="CX834" s="16"/>
      <c r="CY834" s="14"/>
      <c r="CZ834" s="12"/>
      <c r="DA834" s="14"/>
      <c r="DB834" s="16"/>
      <c r="DC834" s="14"/>
      <c r="DD834" s="12"/>
      <c r="DE834" s="14"/>
      <c r="DF834" s="16"/>
      <c r="DG834" s="14"/>
      <c r="DH834" s="12"/>
      <c r="DI834" s="14"/>
      <c r="DJ834" s="16"/>
      <c r="DK834" s="14"/>
      <c r="DL834" s="12"/>
      <c r="DM834" s="14"/>
      <c r="DN834" s="16"/>
      <c r="DO834" s="14"/>
      <c r="DP834" s="12"/>
      <c r="DQ834" s="14"/>
      <c r="DR834" s="16"/>
      <c r="DS834" s="14"/>
      <c r="DT834" s="12"/>
      <c r="DU834" s="14"/>
      <c r="DV834" s="16"/>
      <c r="DW834" s="14"/>
      <c r="DX834" s="12"/>
      <c r="DY834" s="14"/>
      <c r="DZ834" s="16"/>
      <c r="EA834" s="14"/>
      <c r="EB834" s="12"/>
      <c r="EC834" s="14"/>
      <c r="ED834" s="16"/>
      <c r="EE834" s="14"/>
      <c r="EF834" s="12"/>
      <c r="EG834" s="12"/>
      <c r="EH834" s="14"/>
      <c r="EI834" s="16"/>
      <c r="EJ834" s="14"/>
      <c r="EK834" s="14"/>
      <c r="EL834" s="14"/>
      <c r="EM834" s="14"/>
      <c r="EN834" s="14"/>
      <c r="EO834" s="14"/>
      <c r="EP834" s="14"/>
      <c r="EQ834" s="12"/>
      <c r="ER834" s="14"/>
      <c r="ES834" s="16"/>
      <c r="ET834" s="14"/>
      <c r="EU834" s="12"/>
      <c r="EV834" s="14"/>
      <c r="EW834" s="16"/>
      <c r="EX834" s="14"/>
      <c r="EY834" s="12"/>
      <c r="EZ834" s="14"/>
      <c r="FA834" s="16"/>
      <c r="FB834" s="14"/>
      <c r="FC834" s="12"/>
      <c r="FD834" s="14"/>
      <c r="FE834" s="16"/>
      <c r="FF834" s="14"/>
      <c r="FG834" s="12"/>
      <c r="FH834" s="14"/>
      <c r="FI834" s="16"/>
      <c r="FJ834" s="14"/>
      <c r="FK834" s="12"/>
      <c r="FL834" s="14"/>
      <c r="FM834" s="16"/>
      <c r="FN834" s="14"/>
      <c r="FO834" s="12"/>
      <c r="FP834" s="14"/>
      <c r="FQ834" s="16"/>
      <c r="FR834" s="14"/>
      <c r="FS834" s="12"/>
      <c r="FT834" s="14"/>
      <c r="FU834" s="16"/>
      <c r="FV834" s="14"/>
      <c r="FW834" s="12"/>
      <c r="FX834" s="14"/>
      <c r="FY834" s="16"/>
      <c r="FZ834" s="14"/>
      <c r="GA834" s="12"/>
      <c r="GB834" s="14"/>
      <c r="GC834" s="16"/>
      <c r="GD834" s="14"/>
      <c r="GE834" s="12"/>
      <c r="GF834" s="14"/>
      <c r="GG834" s="16"/>
      <c r="GH834" s="14"/>
      <c r="GI834" s="12"/>
      <c r="GJ834" s="14"/>
      <c r="GK834" s="16"/>
      <c r="GL834" s="14"/>
      <c r="GM834" s="12"/>
      <c r="GN834" s="14"/>
      <c r="GO834" s="16"/>
      <c r="GP834" s="14"/>
      <c r="GQ834" s="12"/>
      <c r="GR834" s="14"/>
      <c r="GS834" s="16"/>
      <c r="GT834" s="14"/>
      <c r="GU834" s="12"/>
      <c r="GV834" s="14"/>
      <c r="GW834" s="16"/>
      <c r="GX834" s="14"/>
      <c r="GY834" s="11" t="s">
        <v>320</v>
      </c>
      <c r="GZ834" s="14">
        <v>120</v>
      </c>
      <c r="HA834" s="16"/>
      <c r="HB834" s="14"/>
      <c r="HC834" s="12"/>
      <c r="HD834" s="12"/>
      <c r="HE834" s="14"/>
      <c r="HF834" s="16"/>
      <c r="HG834" s="14"/>
      <c r="HH834" s="12" t="s">
        <v>319</v>
      </c>
      <c r="HI834" s="12"/>
      <c r="HJ834" s="12"/>
      <c r="HK834" s="12" t="s">
        <v>319</v>
      </c>
      <c r="HL834" s="12" t="s">
        <v>319</v>
      </c>
      <c r="HM834" s="12"/>
      <c r="HN834" s="12"/>
      <c r="HO834" s="12"/>
      <c r="HP834" s="12" t="s">
        <v>453</v>
      </c>
      <c r="HQ834" s="12" t="s">
        <v>319</v>
      </c>
      <c r="HR834" s="12"/>
      <c r="HS834" s="12" t="s">
        <v>319</v>
      </c>
      <c r="HT834" s="12" t="s">
        <v>319</v>
      </c>
      <c r="HU834" s="12" t="s">
        <v>320</v>
      </c>
      <c r="HV834" s="12" t="s">
        <v>319</v>
      </c>
      <c r="HW834" s="12" t="s">
        <v>319</v>
      </c>
      <c r="HX834" s="12" t="s">
        <v>319</v>
      </c>
      <c r="HY834" s="12"/>
      <c r="HZ834" s="12" t="s">
        <v>363</v>
      </c>
      <c r="IA834" s="12"/>
      <c r="IB834" s="12" t="s">
        <v>333</v>
      </c>
      <c r="IC834" s="12"/>
      <c r="ID834" s="12" t="s">
        <v>364</v>
      </c>
      <c r="IE834" s="12"/>
      <c r="IF834" s="12" t="s">
        <v>319</v>
      </c>
      <c r="IG834" s="12"/>
      <c r="IH834" s="12"/>
      <c r="II834" s="12"/>
      <c r="IJ834" s="12" t="str">
        <f t="shared" ref="IJ834:IJ872" si="560">IF(IE834="","No marker score",IF(ISNUMBER(SEARCH("select",IE834)),"",IF(ISNUMBER(SEARCH("Did NOT",IE834)),"0. Harmful",IF(ISNUMBER(SEARCH("CHALLENGED",IE834)),IF(IK834=4,"4. Transformative",IF(IK834&gt;1,"3. Responsive",IF(IK834&lt;=1,"No marker score",""))),IF(ISNUMBER(SEARCH("WORKED WITH",IE834)),IF(IK834=4,"2. Sensitive",IF(IK834&gt;1,"1. Neutral","0. Harmful")))))))</f>
        <v>No marker score</v>
      </c>
      <c r="IK834" s="12">
        <f t="shared" ref="IK834:IK897" si="561">COUNTIF(IF834:II834,"=YES")</f>
        <v>0</v>
      </c>
      <c r="IL834" s="12"/>
      <c r="IM834" s="12"/>
      <c r="IN834" s="12"/>
      <c r="IO834" s="12"/>
      <c r="IP834" s="12"/>
      <c r="IQ834" s="12" t="str">
        <f t="shared" ref="IQ834:IQ897" si="562">IF(IL834="","No marker score",IF(ISNUMBER(SEARCH("select",IL834)),"",IF(ISNUMBER(SEARCH("Did NOT",IL834)),"0. Unaware",IF(ISNUMBER(SEARCH("CHALLENGED",IL834)),IF(IR834=4,"4. Transformational",IF(IR834&gt;1,"3. Responsive",IF(IR834&lt;=1,"No marker score",""))),IF(ISNUMBER(SEARCH("WORKED WITH",IL834)),IF(IR834&gt;=3,"2. Accommodating",IF(IR834&gt;=1,"1. Tokenistic","0. Unaware")))))))</f>
        <v>No marker score</v>
      </c>
      <c r="IR834" s="12">
        <f t="shared" ref="IR834:IR897" si="563">COUNTIF(IM834:IP834,"=YES")</f>
        <v>0</v>
      </c>
      <c r="IS834" s="12"/>
      <c r="IT834" s="12"/>
      <c r="IU834" s="12"/>
      <c r="IV834" s="12"/>
      <c r="IW834" s="11" t="str">
        <f t="shared" ref="IW834:IW897" si="564">IF(IS834="","No marker score",IF(ISNUMBER(SEARCH("select",IS834)),"",IF(ISNUMBER(SEARCH("Did NOT",IS834)),"0. Harmful",IF(ISNUMBER(SEARCH("well",IS834)),IF(IX834=3,"4. Transformative",IF(IX834&gt;=1,"3. Responsive",IF(IX834=0,"No marker score",""))),IF(ISNUMBER(SEARCH(".",IS834)),IF(IX834&gt;=3,"2. Sensitive",IF(IX834&gt;=1,"1. Neutral","0. Harmful")))))))</f>
        <v>No marker score</v>
      </c>
      <c r="IX834" s="12">
        <f t="shared" ref="IX834:IX897" si="565">COUNTIF(IT834:IV834,"=YES")</f>
        <v>0</v>
      </c>
      <c r="IY834" s="12"/>
      <c r="IZ834" s="12"/>
      <c r="JA834" s="12"/>
      <c r="JB834" s="12"/>
      <c r="JC834" s="12"/>
      <c r="JD834" s="12"/>
      <c r="JE834" s="12" t="s">
        <v>340</v>
      </c>
      <c r="JF834" s="12"/>
      <c r="JG834" s="12"/>
      <c r="JH834" s="12"/>
      <c r="JI834" s="12"/>
      <c r="JJ834" s="12"/>
      <c r="JK834" s="12"/>
      <c r="JL834" s="12"/>
      <c r="JM834" s="12"/>
      <c r="JN834" s="12"/>
      <c r="JO834" s="12" t="s">
        <v>12938</v>
      </c>
      <c r="JP834" s="15">
        <f t="shared" ref="JP834:JP897" si="566">MAX(CF834,EM834)</f>
        <v>0</v>
      </c>
      <c r="JQ834" s="15">
        <f t="shared" ref="JQ834:JQ897" si="567">MAX(CI834,EP834)</f>
        <v>0</v>
      </c>
      <c r="JR834" s="279" t="str">
        <f t="shared" ref="JR834:JR897" si="568">IFERROR(JQ834/JP834,"")</f>
        <v/>
      </c>
      <c r="JS834" s="17" t="str">
        <f t="shared" ref="JS834:JS897" si="569">IFERROR(MAX(CD834,EK834)/JP834,"")</f>
        <v/>
      </c>
      <c r="JT834" s="18" t="str">
        <f t="shared" ref="JT834:JT897" si="570">IFERROR(MAX(CG834,EN834)/JQ834,"")</f>
        <v/>
      </c>
      <c r="JU834" s="280">
        <f t="shared" ref="JU834:JU897" si="571">IFERROR(MAX(CD834,EK834),"")</f>
        <v>0</v>
      </c>
      <c r="JV834" s="280">
        <f t="shared" ref="JV834:JV897" si="572">IFERROR(MAX(CG834,EN834),"")</f>
        <v>0</v>
      </c>
      <c r="JW834" s="319" t="str">
        <f t="shared" ref="JW834:JW897" si="573">IF(BO834="yes",1,"")</f>
        <v/>
      </c>
      <c r="JX834" s="15">
        <f t="shared" ref="JX834:JX897" si="574">CF834</f>
        <v>0</v>
      </c>
      <c r="JY834" s="15">
        <f t="shared" ref="JY834:JY897" si="575">CI834</f>
        <v>0</v>
      </c>
      <c r="JZ834" s="19" t="str">
        <f t="shared" ref="JZ834:JZ897" si="576">IFERROR(JY834/JX834,"")</f>
        <v/>
      </c>
      <c r="KA834" s="52" t="str">
        <f t="shared" ref="KA834:KA897" si="577">IF((OR(CV834="yes", DL834="yes", EQ834="yes", EU834="yes", FC834="yes", FG834="yes", FO834="yes", GI834="yes", GU834="yes")), 1, "")</f>
        <v/>
      </c>
      <c r="KB834" s="15">
        <f t="shared" ref="KB834:KB897" si="578">MAX(CW834,DM834,ER834,EV834,FD834,FH834,FP834,GJ834,GV834)</f>
        <v>0</v>
      </c>
      <c r="KC834" s="15">
        <f t="shared" ref="KC834:KC897" si="579">MAX(CY834,DO834,ET834,EX834,FF834,FJ834,FR834,GL834,GX834)</f>
        <v>0</v>
      </c>
      <c r="KD834" s="20" t="str">
        <f t="shared" ref="KD834:KD897" si="580">IFERROR(KC834/KB834,"")</f>
        <v/>
      </c>
      <c r="KE834" s="52" t="str">
        <f t="shared" ref="KE834:KE897" si="581">IF((OR(DT834="yes", GQ834="yes")), 1, "")</f>
        <v/>
      </c>
      <c r="KF834" s="15">
        <f t="shared" ref="KF834:KF897" si="582">MAX(DU834,GR834)</f>
        <v>0</v>
      </c>
      <c r="KG834" s="15">
        <f t="shared" ref="KG834:KG897" si="583">MAX(DW834,GT834)</f>
        <v>0</v>
      </c>
      <c r="KH834" s="21" t="str">
        <f t="shared" ref="KH834:KH897" si="584">IFERROR(KG834/KF834,"")</f>
        <v/>
      </c>
      <c r="KI834" s="52" t="str">
        <f t="shared" ref="KI834:KI897" si="585">IF((OR(CZ834="yes", FS834="yes")), 1, "")</f>
        <v/>
      </c>
      <c r="KJ834" s="15">
        <f t="shared" ref="KJ834:KJ897" si="586">MAX(DA834,FT834)</f>
        <v>0</v>
      </c>
      <c r="KK834" s="15">
        <f t="shared" ref="KK834:KK897" si="587">MAX(DC834,FV834)</f>
        <v>0</v>
      </c>
      <c r="KL834" s="19" t="str">
        <f t="shared" ref="KL834:KL897" si="588">IFERROR(KK834/KJ834,"")</f>
        <v/>
      </c>
      <c r="KM834" s="52">
        <f t="shared" ref="KM834:KM897" si="589">IF((OR(FG834="yes", GY834="yes")), 1, "")</f>
        <v>1</v>
      </c>
      <c r="KN834" s="22">
        <f t="shared" ref="KN834:KN897" si="590">IFERROR(MAX((FH834*FI834),GZ834),"")</f>
        <v>120</v>
      </c>
      <c r="KO834" s="22">
        <f t="shared" ref="KO834:KO897" si="591">IFERROR(MAX((FJ834*FI834),HB834),"")</f>
        <v>0</v>
      </c>
      <c r="KP834" s="19">
        <f t="shared" ref="KP834:KP897" si="592">IFERROR(KO834/KN834,"")</f>
        <v>0</v>
      </c>
      <c r="KQ834" s="11" t="str">
        <f t="shared" ref="KQ834:KQ897" si="593">IJ834</f>
        <v>No marker score</v>
      </c>
      <c r="KR834" s="11" t="str">
        <f t="shared" ref="KR834:KR897" si="594">IQ834</f>
        <v>No marker score</v>
      </c>
      <c r="KS834" s="11" t="str">
        <f t="shared" ref="KS834:KS897" si="595">IW834</f>
        <v>No marker score</v>
      </c>
      <c r="KT834" s="11" t="str">
        <f t="shared" ref="KT834:KT897" si="596">HZ834</f>
        <v>It did not develop any specific innovation</v>
      </c>
      <c r="KU834" s="11" t="str">
        <f t="shared" ref="KU834:KU897" si="597">HP834</f>
        <v>Intensive advocacy</v>
      </c>
      <c r="KV834" s="11" t="str">
        <f t="shared" ref="KV834:KV897" si="598">IB834</f>
        <v>It did not take tested solutions to scale</v>
      </c>
      <c r="KW834" s="11" t="str">
        <f t="shared" ref="KW834:KW897" si="599">A834&amp;" - "&amp;D834</f>
        <v>United Kingdom - Global partnership for the financial inclusion of the unbanked.</v>
      </c>
      <c r="KX834" s="11" t="str">
        <f t="shared" ref="KX834:KX897" si="600">D834</f>
        <v>Global partnership for the financial inclusion of the unbanked.</v>
      </c>
      <c r="KY834" s="11" t="str">
        <f t="shared" ref="KY834:KY897" si="601">A834</f>
        <v>United Kingdom</v>
      </c>
      <c r="KZ834" s="12">
        <v>835</v>
      </c>
    </row>
    <row r="835" spans="1:312" x14ac:dyDescent="0.3">
      <c r="A835" s="12" t="s">
        <v>12907</v>
      </c>
      <c r="B835" s="12" t="s">
        <v>602</v>
      </c>
      <c r="C835" s="12"/>
      <c r="D835" s="12" t="s">
        <v>12939</v>
      </c>
      <c r="E835" s="277" t="str">
        <f t="shared" si="559"/>
        <v>United Kingdom</v>
      </c>
      <c r="F835" s="12"/>
      <c r="G835" s="12" t="s">
        <v>488</v>
      </c>
      <c r="H835" s="12"/>
      <c r="I835" s="12"/>
      <c r="J835" s="281"/>
      <c r="K835" s="12"/>
      <c r="L835" s="12"/>
      <c r="M835" s="12"/>
      <c r="N835" s="12"/>
      <c r="O835" s="12"/>
      <c r="P835" s="12"/>
      <c r="Q835" s="12"/>
      <c r="R835" s="12"/>
      <c r="S835" s="12"/>
      <c r="T835" s="12"/>
      <c r="U835" s="12"/>
      <c r="V835" s="12"/>
      <c r="W835" s="12"/>
      <c r="X835" s="12"/>
      <c r="Y835" s="12"/>
      <c r="Z835" s="12"/>
      <c r="AA835" s="12"/>
      <c r="AB835" s="12"/>
      <c r="AC835" s="12"/>
      <c r="AD835" s="12"/>
      <c r="BD835" s="13">
        <v>42912</v>
      </c>
      <c r="BE835" s="13">
        <v>44012</v>
      </c>
      <c r="BF835" s="12"/>
      <c r="BG835" s="12" t="s">
        <v>609</v>
      </c>
      <c r="BH835" s="14"/>
      <c r="BI835" s="12" t="s">
        <v>12909</v>
      </c>
      <c r="BJ835" s="12" t="s">
        <v>12910</v>
      </c>
      <c r="BK835" s="12" t="s">
        <v>12911</v>
      </c>
      <c r="BL835" s="12"/>
      <c r="BM835" s="12"/>
      <c r="BN835" s="12"/>
      <c r="BO835" s="12" t="s">
        <v>319</v>
      </c>
      <c r="BP835" s="12" t="s">
        <v>320</v>
      </c>
      <c r="BQ835" s="12" t="s">
        <v>319</v>
      </c>
      <c r="BR835" s="12" t="s">
        <v>12940</v>
      </c>
      <c r="BS835" s="12" t="s">
        <v>849</v>
      </c>
      <c r="BT835" s="12" t="s">
        <v>12941</v>
      </c>
      <c r="BU835" s="12" t="s">
        <v>12942</v>
      </c>
      <c r="BV835" s="14"/>
      <c r="BW835" s="14"/>
      <c r="BX835" s="14">
        <v>5</v>
      </c>
      <c r="BY835" s="14"/>
      <c r="BZ835" s="14"/>
      <c r="CA835" s="14"/>
      <c r="CB835" s="12" t="s">
        <v>12943</v>
      </c>
      <c r="CD835" s="14"/>
      <c r="CE835" s="14"/>
      <c r="CF835" s="14"/>
      <c r="CG835" s="14"/>
      <c r="CH835" s="14"/>
      <c r="CI835" s="14"/>
      <c r="CJ835" s="12"/>
      <c r="CK835" s="14"/>
      <c r="CL835" s="16"/>
      <c r="CM835" s="14"/>
      <c r="CN835" s="12"/>
      <c r="CO835" s="14"/>
      <c r="CP835" s="16"/>
      <c r="CQ835" s="14"/>
      <c r="CR835" s="12"/>
      <c r="CS835" s="14"/>
      <c r="CT835" s="16"/>
      <c r="CU835" s="14"/>
      <c r="CV835" s="12"/>
      <c r="CW835" s="14"/>
      <c r="CX835" s="16"/>
      <c r="CY835" s="14"/>
      <c r="CZ835" s="12"/>
      <c r="DA835" s="14"/>
      <c r="DB835" s="16"/>
      <c r="DC835" s="14"/>
      <c r="DD835" s="12"/>
      <c r="DE835" s="14"/>
      <c r="DF835" s="16"/>
      <c r="DG835" s="14"/>
      <c r="DH835" s="12"/>
      <c r="DI835" s="14"/>
      <c r="DJ835" s="16"/>
      <c r="DK835" s="14"/>
      <c r="DL835" s="12"/>
      <c r="DM835" s="14"/>
      <c r="DN835" s="16"/>
      <c r="DO835" s="14"/>
      <c r="DP835" s="12"/>
      <c r="DQ835" s="14"/>
      <c r="DR835" s="16"/>
      <c r="DS835" s="14"/>
      <c r="DT835" s="12"/>
      <c r="DU835" s="14"/>
      <c r="DV835" s="16"/>
      <c r="DW835" s="14"/>
      <c r="DX835" s="12"/>
      <c r="DY835" s="14"/>
      <c r="DZ835" s="16"/>
      <c r="EA835" s="14"/>
      <c r="EB835" s="12"/>
      <c r="EC835" s="14"/>
      <c r="ED835" s="16"/>
      <c r="EE835" s="14"/>
      <c r="EF835" s="12"/>
      <c r="EG835" s="12"/>
      <c r="EH835" s="14"/>
      <c r="EI835" s="16"/>
      <c r="EJ835" s="14"/>
      <c r="EK835" s="14"/>
      <c r="EL835" s="14"/>
      <c r="EM835" s="14">
        <v>5</v>
      </c>
      <c r="EN835" s="14"/>
      <c r="EO835" s="14"/>
      <c r="EP835" s="14"/>
      <c r="EQ835" s="12"/>
      <c r="ER835" s="14"/>
      <c r="ES835" s="16"/>
      <c r="ET835" s="14"/>
      <c r="EU835" s="12"/>
      <c r="EV835" s="14"/>
      <c r="EW835" s="16"/>
      <c r="EX835" s="14"/>
      <c r="EY835" s="12"/>
      <c r="EZ835" s="14"/>
      <c r="FA835" s="16"/>
      <c r="FB835" s="14"/>
      <c r="FC835" s="12"/>
      <c r="FD835" s="14"/>
      <c r="FE835" s="16"/>
      <c r="FF835" s="14"/>
      <c r="FG835" s="12"/>
      <c r="FH835" s="14"/>
      <c r="FI835" s="16"/>
      <c r="FJ835" s="14"/>
      <c r="FK835" s="12"/>
      <c r="FL835" s="14"/>
      <c r="FM835" s="16"/>
      <c r="FN835" s="14"/>
      <c r="FO835" s="12"/>
      <c r="FP835" s="14"/>
      <c r="FQ835" s="16"/>
      <c r="FR835" s="14"/>
      <c r="FS835" s="12"/>
      <c r="FT835" s="14"/>
      <c r="FU835" s="16"/>
      <c r="FV835" s="14"/>
      <c r="FW835" s="12"/>
      <c r="FX835" s="14"/>
      <c r="FY835" s="16"/>
      <c r="FZ835" s="14"/>
      <c r="GA835" s="12"/>
      <c r="GB835" s="14"/>
      <c r="GC835" s="16"/>
      <c r="GD835" s="14"/>
      <c r="GE835" s="12"/>
      <c r="GF835" s="14"/>
      <c r="GG835" s="16"/>
      <c r="GH835" s="14"/>
      <c r="GI835" s="12"/>
      <c r="GJ835" s="14"/>
      <c r="GK835" s="16"/>
      <c r="GL835" s="14"/>
      <c r="GM835" s="12"/>
      <c r="GN835" s="14"/>
      <c r="GO835" s="16"/>
      <c r="GP835" s="14"/>
      <c r="GQ835" s="12"/>
      <c r="GR835" s="14"/>
      <c r="GS835" s="16"/>
      <c r="GT835" s="14"/>
      <c r="GU835" s="12"/>
      <c r="GV835" s="14"/>
      <c r="GW835" s="16"/>
      <c r="GX835" s="14"/>
      <c r="GY835" s="12"/>
      <c r="GZ835" s="14"/>
      <c r="HA835" s="16"/>
      <c r="HB835" s="14"/>
      <c r="HC835" s="12"/>
      <c r="HD835" s="12"/>
      <c r="HE835" s="14"/>
      <c r="HF835" s="16"/>
      <c r="HG835" s="14"/>
      <c r="HH835" s="12"/>
      <c r="HI835" s="12"/>
      <c r="HJ835" s="12"/>
      <c r="HK835" s="12"/>
      <c r="HL835" s="12"/>
      <c r="HM835" s="12"/>
      <c r="HN835" s="12"/>
      <c r="HO835" s="12"/>
      <c r="HP835" s="12" t="s">
        <v>453</v>
      </c>
      <c r="HQ835" s="12" t="s">
        <v>320</v>
      </c>
      <c r="HR835" s="12"/>
      <c r="HS835" s="12"/>
      <c r="HT835" s="12"/>
      <c r="HU835" s="12"/>
      <c r="HV835" s="12"/>
      <c r="HW835" s="12"/>
      <c r="HX835" s="12"/>
      <c r="HY835" s="12"/>
      <c r="HZ835" s="12" t="s">
        <v>363</v>
      </c>
      <c r="IA835" s="12"/>
      <c r="IB835" s="12" t="s">
        <v>333</v>
      </c>
      <c r="IC835" s="12"/>
      <c r="ID835" s="12" t="s">
        <v>477</v>
      </c>
      <c r="IE835" s="12"/>
      <c r="IF835" s="12"/>
      <c r="IG835" s="12"/>
      <c r="IH835" s="12"/>
      <c r="II835" s="12"/>
      <c r="IJ835" s="12" t="str">
        <f t="shared" si="560"/>
        <v>No marker score</v>
      </c>
      <c r="IK835" s="12">
        <f t="shared" si="561"/>
        <v>0</v>
      </c>
      <c r="IL835" s="12"/>
      <c r="IM835" s="12"/>
      <c r="IN835" s="12"/>
      <c r="IO835" s="12"/>
      <c r="IP835" s="12"/>
      <c r="IQ835" s="12" t="str">
        <f t="shared" si="562"/>
        <v>No marker score</v>
      </c>
      <c r="IR835" s="12">
        <f t="shared" si="563"/>
        <v>0</v>
      </c>
      <c r="IS835" s="12"/>
      <c r="IT835" s="12"/>
      <c r="IU835" s="12"/>
      <c r="IV835" s="12"/>
      <c r="IW835" s="11" t="str">
        <f t="shared" si="564"/>
        <v>No marker score</v>
      </c>
      <c r="IX835" s="12">
        <f t="shared" si="565"/>
        <v>0</v>
      </c>
      <c r="IY835" s="12"/>
      <c r="IZ835" s="12"/>
      <c r="JA835" s="12"/>
      <c r="JB835" s="12"/>
      <c r="JC835" s="12"/>
      <c r="JD835" s="12"/>
      <c r="JE835" s="12"/>
      <c r="JF835" s="12"/>
      <c r="JG835" s="12"/>
      <c r="JH835" s="12"/>
      <c r="JI835" s="12"/>
      <c r="JJ835" s="12"/>
      <c r="JK835" s="12"/>
      <c r="JL835" s="12"/>
      <c r="JM835" s="12"/>
      <c r="JN835" s="12"/>
      <c r="JO835" s="12" t="s">
        <v>12944</v>
      </c>
      <c r="JP835" s="15">
        <f t="shared" si="566"/>
        <v>5</v>
      </c>
      <c r="JQ835" s="15">
        <f t="shared" si="567"/>
        <v>0</v>
      </c>
      <c r="JR835" s="279">
        <f t="shared" si="568"/>
        <v>0</v>
      </c>
      <c r="JS835" s="17">
        <f t="shared" si="569"/>
        <v>0</v>
      </c>
      <c r="JT835" s="18" t="str">
        <f t="shared" si="570"/>
        <v/>
      </c>
      <c r="JU835" s="280">
        <f t="shared" si="571"/>
        <v>0</v>
      </c>
      <c r="JV835" s="280">
        <f t="shared" si="572"/>
        <v>0</v>
      </c>
      <c r="JW835" s="319" t="str">
        <f t="shared" si="573"/>
        <v/>
      </c>
      <c r="JX835" s="15">
        <f t="shared" si="574"/>
        <v>0</v>
      </c>
      <c r="JY835" s="15">
        <f t="shared" si="575"/>
        <v>0</v>
      </c>
      <c r="JZ835" s="19" t="str">
        <f t="shared" si="576"/>
        <v/>
      </c>
      <c r="KA835" s="52" t="str">
        <f t="shared" si="577"/>
        <v/>
      </c>
      <c r="KB835" s="15">
        <f t="shared" si="578"/>
        <v>0</v>
      </c>
      <c r="KC835" s="15">
        <f t="shared" si="579"/>
        <v>0</v>
      </c>
      <c r="KD835" s="20" t="str">
        <f t="shared" si="580"/>
        <v/>
      </c>
      <c r="KE835" s="52" t="str">
        <f t="shared" si="581"/>
        <v/>
      </c>
      <c r="KF835" s="15">
        <f t="shared" si="582"/>
        <v>0</v>
      </c>
      <c r="KG835" s="15">
        <f t="shared" si="583"/>
        <v>0</v>
      </c>
      <c r="KH835" s="21" t="str">
        <f t="shared" si="584"/>
        <v/>
      </c>
      <c r="KI835" s="52" t="str">
        <f t="shared" si="585"/>
        <v/>
      </c>
      <c r="KJ835" s="15">
        <f t="shared" si="586"/>
        <v>0</v>
      </c>
      <c r="KK835" s="15">
        <f t="shared" si="587"/>
        <v>0</v>
      </c>
      <c r="KL835" s="19" t="str">
        <f t="shared" si="588"/>
        <v/>
      </c>
      <c r="KM835" s="52" t="str">
        <f t="shared" si="589"/>
        <v/>
      </c>
      <c r="KN835" s="22">
        <f t="shared" si="590"/>
        <v>0</v>
      </c>
      <c r="KO835" s="22">
        <f t="shared" si="591"/>
        <v>0</v>
      </c>
      <c r="KP835" s="19" t="str">
        <f t="shared" si="592"/>
        <v/>
      </c>
      <c r="KQ835" s="11" t="str">
        <f t="shared" si="593"/>
        <v>No marker score</v>
      </c>
      <c r="KR835" s="11" t="str">
        <f t="shared" si="594"/>
        <v>No marker score</v>
      </c>
      <c r="KS835" s="11" t="str">
        <f t="shared" si="595"/>
        <v>No marker score</v>
      </c>
      <c r="KT835" s="11" t="str">
        <f t="shared" si="596"/>
        <v>It did not develop any specific innovation</v>
      </c>
      <c r="KU835" s="11" t="str">
        <f t="shared" si="597"/>
        <v>Intensive advocacy</v>
      </c>
      <c r="KV835" s="11" t="str">
        <f t="shared" si="598"/>
        <v>It did not take tested solutions to scale</v>
      </c>
      <c r="KW835" s="11" t="str">
        <f t="shared" si="599"/>
        <v>United Kingdom - ILO Convention on ending violence at work</v>
      </c>
      <c r="KX835" s="11" t="str">
        <f t="shared" si="600"/>
        <v>ILO Convention on ending violence at work</v>
      </c>
      <c r="KY835" s="11" t="str">
        <f t="shared" si="601"/>
        <v>United Kingdom</v>
      </c>
      <c r="KZ835" s="12">
        <v>836</v>
      </c>
    </row>
    <row r="836" spans="1:312" x14ac:dyDescent="0.3">
      <c r="A836" s="12" t="s">
        <v>12907</v>
      </c>
      <c r="B836" s="12" t="s">
        <v>602</v>
      </c>
      <c r="C836" s="12"/>
      <c r="D836" s="12" t="s">
        <v>12953</v>
      </c>
      <c r="E836" s="277" t="str">
        <f t="shared" si="559"/>
        <v>United Kingdom</v>
      </c>
      <c r="F836" s="12"/>
      <c r="G836" s="12" t="s">
        <v>488</v>
      </c>
      <c r="H836" s="12"/>
      <c r="I836" s="12"/>
      <c r="J836" s="281" t="s">
        <v>12954</v>
      </c>
      <c r="K836" s="12"/>
      <c r="L836" s="12"/>
      <c r="M836" s="12"/>
      <c r="N836" s="12"/>
      <c r="O836" s="12"/>
      <c r="P836" s="12"/>
      <c r="Q836" s="12"/>
      <c r="R836" s="12"/>
      <c r="S836" s="12"/>
      <c r="T836" s="12"/>
      <c r="U836" s="12"/>
      <c r="V836" s="12"/>
      <c r="W836" s="12"/>
      <c r="X836" s="12"/>
      <c r="Y836" s="12"/>
      <c r="Z836" s="12"/>
      <c r="AA836" s="12"/>
      <c r="AB836" s="12"/>
      <c r="AC836" s="12"/>
      <c r="AD836" s="12"/>
      <c r="BD836" s="13">
        <v>42248</v>
      </c>
      <c r="BE836" s="13">
        <v>42978</v>
      </c>
      <c r="BF836" s="12"/>
      <c r="BG836" s="12" t="s">
        <v>312</v>
      </c>
      <c r="BH836" s="14">
        <v>202000</v>
      </c>
      <c r="BI836" s="12" t="s">
        <v>12955</v>
      </c>
      <c r="BJ836" s="12" t="s">
        <v>12956</v>
      </c>
      <c r="BK836" s="12" t="s">
        <v>12957</v>
      </c>
      <c r="BL836" s="12"/>
      <c r="BM836" s="12"/>
      <c r="BN836" s="12"/>
      <c r="BO836" s="12" t="s">
        <v>320</v>
      </c>
      <c r="BP836" s="12" t="s">
        <v>320</v>
      </c>
      <c r="BQ836" s="12" t="s">
        <v>320</v>
      </c>
      <c r="BR836" s="12" t="s">
        <v>12958</v>
      </c>
      <c r="BS836" s="12" t="s">
        <v>849</v>
      </c>
      <c r="BT836" s="12" t="s">
        <v>12959</v>
      </c>
      <c r="BU836" s="12" t="s">
        <v>12960</v>
      </c>
      <c r="BV836" s="14">
        <v>48</v>
      </c>
      <c r="BW836" s="14">
        <v>68</v>
      </c>
      <c r="BX836" s="14">
        <v>115</v>
      </c>
      <c r="BY836" s="14"/>
      <c r="BZ836" s="14"/>
      <c r="CA836" s="14"/>
      <c r="CB836" s="12" t="s">
        <v>12961</v>
      </c>
      <c r="CD836" s="14"/>
      <c r="CE836" s="14"/>
      <c r="CF836" s="14"/>
      <c r="CG836" s="14"/>
      <c r="CH836" s="14"/>
      <c r="CI836" s="14"/>
      <c r="CJ836" s="12"/>
      <c r="CK836" s="14"/>
      <c r="CL836" s="16"/>
      <c r="CM836" s="14"/>
      <c r="CN836" s="12"/>
      <c r="CO836" s="14"/>
      <c r="CP836" s="16"/>
      <c r="CQ836" s="14"/>
      <c r="CR836" s="12"/>
      <c r="CS836" s="14"/>
      <c r="CT836" s="16"/>
      <c r="CU836" s="14"/>
      <c r="CV836" s="12"/>
      <c r="CW836" s="14"/>
      <c r="CX836" s="16"/>
      <c r="CY836" s="14"/>
      <c r="CZ836" s="12"/>
      <c r="DA836" s="14"/>
      <c r="DB836" s="16"/>
      <c r="DC836" s="14"/>
      <c r="DD836" s="12"/>
      <c r="DE836" s="14"/>
      <c r="DF836" s="16"/>
      <c r="DG836" s="14"/>
      <c r="DH836" s="12"/>
      <c r="DI836" s="14"/>
      <c r="DJ836" s="16"/>
      <c r="DK836" s="14"/>
      <c r="DL836" s="12"/>
      <c r="DM836" s="14"/>
      <c r="DN836" s="16"/>
      <c r="DO836" s="14"/>
      <c r="DP836" s="12"/>
      <c r="DQ836" s="14"/>
      <c r="DR836" s="16"/>
      <c r="DS836" s="14"/>
      <c r="DT836" s="12"/>
      <c r="DU836" s="14"/>
      <c r="DV836" s="16"/>
      <c r="DW836" s="14"/>
      <c r="DX836" s="12"/>
      <c r="DY836" s="14"/>
      <c r="DZ836" s="16"/>
      <c r="EA836" s="14"/>
      <c r="EB836" s="12"/>
      <c r="EC836" s="14"/>
      <c r="ED836" s="16"/>
      <c r="EE836" s="14"/>
      <c r="EF836" s="12"/>
      <c r="EG836" s="12"/>
      <c r="EH836" s="14"/>
      <c r="EI836" s="16"/>
      <c r="EJ836" s="14"/>
      <c r="EK836" s="14"/>
      <c r="EL836" s="14"/>
      <c r="EM836" s="14"/>
      <c r="EN836" s="14"/>
      <c r="EO836" s="14"/>
      <c r="EP836" s="14"/>
      <c r="EQ836" s="12"/>
      <c r="ER836" s="14"/>
      <c r="ES836" s="16"/>
      <c r="ET836" s="14"/>
      <c r="EU836" s="12"/>
      <c r="EV836" s="14"/>
      <c r="EW836" s="16"/>
      <c r="EX836" s="14"/>
      <c r="EY836" s="12"/>
      <c r="EZ836" s="14"/>
      <c r="FA836" s="16"/>
      <c r="FB836" s="14"/>
      <c r="FC836" s="12"/>
      <c r="FD836" s="14"/>
      <c r="FE836" s="16"/>
      <c r="FF836" s="14"/>
      <c r="FG836" s="12"/>
      <c r="FH836" s="14"/>
      <c r="FI836" s="16"/>
      <c r="FJ836" s="14"/>
      <c r="FK836" s="12"/>
      <c r="FL836" s="14"/>
      <c r="FM836" s="16"/>
      <c r="FN836" s="14"/>
      <c r="FO836" s="12"/>
      <c r="FP836" s="14"/>
      <c r="FQ836" s="16"/>
      <c r="FR836" s="14"/>
      <c r="FS836" s="12"/>
      <c r="FT836" s="14"/>
      <c r="FU836" s="16"/>
      <c r="FV836" s="14"/>
      <c r="FW836" s="12"/>
      <c r="FX836" s="14"/>
      <c r="FY836" s="16"/>
      <c r="FZ836" s="14"/>
      <c r="GA836" s="12"/>
      <c r="GB836" s="14"/>
      <c r="GC836" s="16"/>
      <c r="GD836" s="14"/>
      <c r="GE836" s="12"/>
      <c r="GF836" s="14"/>
      <c r="GG836" s="16"/>
      <c r="GH836" s="14"/>
      <c r="GI836" s="12"/>
      <c r="GJ836" s="14"/>
      <c r="GK836" s="16"/>
      <c r="GL836" s="14"/>
      <c r="GM836" s="12"/>
      <c r="GN836" s="14"/>
      <c r="GO836" s="16"/>
      <c r="GP836" s="14"/>
      <c r="GQ836" s="12"/>
      <c r="GR836" s="14"/>
      <c r="GS836" s="16"/>
      <c r="GT836" s="14"/>
      <c r="GU836" s="12"/>
      <c r="GV836" s="14"/>
      <c r="GW836" s="16"/>
      <c r="GX836" s="14"/>
      <c r="GY836" s="12"/>
      <c r="GZ836" s="14"/>
      <c r="HA836" s="16"/>
      <c r="HB836" s="14"/>
      <c r="HC836" s="12"/>
      <c r="HD836" s="12"/>
      <c r="HE836" s="14"/>
      <c r="HF836" s="16"/>
      <c r="HG836" s="14"/>
      <c r="HH836" s="12" t="s">
        <v>319</v>
      </c>
      <c r="HI836" s="12"/>
      <c r="HJ836" s="12"/>
      <c r="HK836" s="12"/>
      <c r="HL836" s="12"/>
      <c r="HM836" s="12"/>
      <c r="HN836" s="12"/>
      <c r="HO836" s="12" t="s">
        <v>12962</v>
      </c>
      <c r="HP836" s="12" t="s">
        <v>453</v>
      </c>
      <c r="HQ836" s="12"/>
      <c r="HR836" s="12"/>
      <c r="HS836" s="12"/>
      <c r="HT836" s="12"/>
      <c r="HU836" s="12"/>
      <c r="HV836" s="12"/>
      <c r="HW836" s="12"/>
      <c r="HX836" s="12"/>
      <c r="HY836" s="12"/>
      <c r="HZ836" s="12" t="s">
        <v>331</v>
      </c>
      <c r="IA836" s="12" t="s">
        <v>12963</v>
      </c>
      <c r="IB836" s="12" t="s">
        <v>396</v>
      </c>
      <c r="IC836" s="12" t="s">
        <v>12964</v>
      </c>
      <c r="ID836" s="12" t="s">
        <v>364</v>
      </c>
      <c r="IE836" s="12" t="s">
        <v>1909</v>
      </c>
      <c r="IF836" s="12" t="s">
        <v>319</v>
      </c>
      <c r="IG836" s="12" t="s">
        <v>319</v>
      </c>
      <c r="IH836" s="12" t="s">
        <v>319</v>
      </c>
      <c r="II836" s="12" t="s">
        <v>320</v>
      </c>
      <c r="IJ836" s="12" t="str">
        <f t="shared" si="560"/>
        <v>0. Harmful</v>
      </c>
      <c r="IK836" s="12">
        <f t="shared" si="561"/>
        <v>1</v>
      </c>
      <c r="IL836" s="12" t="s">
        <v>336</v>
      </c>
      <c r="IM836" s="12" t="s">
        <v>320</v>
      </c>
      <c r="IN836" s="12" t="s">
        <v>320</v>
      </c>
      <c r="IO836" s="12" t="s">
        <v>319</v>
      </c>
      <c r="IP836" s="12" t="s">
        <v>319</v>
      </c>
      <c r="IQ836" s="12" t="str">
        <f t="shared" si="562"/>
        <v>1. Tokenistic</v>
      </c>
      <c r="IR836" s="12">
        <f t="shared" si="563"/>
        <v>2</v>
      </c>
      <c r="IS836" s="12" t="s">
        <v>456</v>
      </c>
      <c r="IT836" s="12" t="s">
        <v>319</v>
      </c>
      <c r="IU836" s="12" t="s">
        <v>319</v>
      </c>
      <c r="IV836" s="12" t="s">
        <v>319</v>
      </c>
      <c r="IW836" s="11" t="str">
        <f t="shared" si="564"/>
        <v>0. Harmful</v>
      </c>
      <c r="IX836" s="12">
        <f t="shared" si="565"/>
        <v>0</v>
      </c>
      <c r="IY836" s="12" t="s">
        <v>338</v>
      </c>
      <c r="IZ836" s="12" t="s">
        <v>432</v>
      </c>
      <c r="JA836" s="12">
        <v>2</v>
      </c>
      <c r="JB836" s="12" t="s">
        <v>831</v>
      </c>
      <c r="JC836" s="12" t="s">
        <v>433</v>
      </c>
      <c r="JD836" s="12"/>
      <c r="JE836" s="12" t="s">
        <v>365</v>
      </c>
      <c r="JF836" s="12" t="s">
        <v>12965</v>
      </c>
      <c r="JG836" s="12" t="s">
        <v>12966</v>
      </c>
      <c r="JH836" s="12" t="s">
        <v>12967</v>
      </c>
      <c r="JI836" s="12" t="s">
        <v>1557</v>
      </c>
      <c r="JJ836" s="12"/>
      <c r="JK836" s="12" t="s">
        <v>12968</v>
      </c>
      <c r="JL836" s="12"/>
      <c r="JM836" s="12"/>
      <c r="JN836" s="12"/>
      <c r="JO836" s="12"/>
      <c r="JP836" s="15">
        <f t="shared" si="566"/>
        <v>0</v>
      </c>
      <c r="JQ836" s="15">
        <f t="shared" si="567"/>
        <v>0</v>
      </c>
      <c r="JR836" s="279" t="str">
        <f t="shared" si="568"/>
        <v/>
      </c>
      <c r="JS836" s="17" t="str">
        <f t="shared" si="569"/>
        <v/>
      </c>
      <c r="JT836" s="18" t="str">
        <f t="shared" si="570"/>
        <v/>
      </c>
      <c r="JU836" s="280">
        <f t="shared" si="571"/>
        <v>0</v>
      </c>
      <c r="JV836" s="280">
        <f t="shared" si="572"/>
        <v>0</v>
      </c>
      <c r="JW836" s="319">
        <f t="shared" si="573"/>
        <v>1</v>
      </c>
      <c r="JX836" s="15">
        <f t="shared" si="574"/>
        <v>0</v>
      </c>
      <c r="JY836" s="15">
        <f t="shared" si="575"/>
        <v>0</v>
      </c>
      <c r="JZ836" s="19" t="str">
        <f t="shared" si="576"/>
        <v/>
      </c>
      <c r="KA836" s="52" t="str">
        <f t="shared" si="577"/>
        <v/>
      </c>
      <c r="KB836" s="15">
        <f t="shared" si="578"/>
        <v>0</v>
      </c>
      <c r="KC836" s="15">
        <f t="shared" si="579"/>
        <v>0</v>
      </c>
      <c r="KD836" s="20" t="str">
        <f t="shared" si="580"/>
        <v/>
      </c>
      <c r="KE836" s="52" t="str">
        <f t="shared" si="581"/>
        <v/>
      </c>
      <c r="KF836" s="15">
        <f t="shared" si="582"/>
        <v>0</v>
      </c>
      <c r="KG836" s="15">
        <f t="shared" si="583"/>
        <v>0</v>
      </c>
      <c r="KH836" s="21" t="str">
        <f t="shared" si="584"/>
        <v/>
      </c>
      <c r="KI836" s="52" t="str">
        <f t="shared" si="585"/>
        <v/>
      </c>
      <c r="KJ836" s="15">
        <f t="shared" si="586"/>
        <v>0</v>
      </c>
      <c r="KK836" s="15">
        <f t="shared" si="587"/>
        <v>0</v>
      </c>
      <c r="KL836" s="19" t="str">
        <f t="shared" si="588"/>
        <v/>
      </c>
      <c r="KM836" s="52" t="str">
        <f t="shared" si="589"/>
        <v/>
      </c>
      <c r="KN836" s="22">
        <f t="shared" si="590"/>
        <v>0</v>
      </c>
      <c r="KO836" s="22">
        <f t="shared" si="591"/>
        <v>0</v>
      </c>
      <c r="KP836" s="19" t="str">
        <f t="shared" si="592"/>
        <v/>
      </c>
      <c r="KQ836" s="11" t="str">
        <f t="shared" si="593"/>
        <v>0. Harmful</v>
      </c>
      <c r="KR836" s="11" t="str">
        <f t="shared" si="594"/>
        <v>1. Tokenistic</v>
      </c>
      <c r="KS836" s="11" t="str">
        <f t="shared" si="595"/>
        <v>0. Harmful</v>
      </c>
      <c r="KT836" s="11" t="str">
        <f t="shared" si="596"/>
        <v>It tested new ways for fighting poverty and measured results of innovation</v>
      </c>
      <c r="KU836" s="11" t="str">
        <f t="shared" si="597"/>
        <v>Intensive advocacy</v>
      </c>
      <c r="KV836" s="11" t="str">
        <f t="shared" si="598"/>
        <v>It linked and worked with strategic alliances and partners to take tested and effective solutions to scale</v>
      </c>
      <c r="KW836" s="11" t="str">
        <f t="shared" si="599"/>
        <v>United Kingdom - Innovations in Capturing Complex Change</v>
      </c>
      <c r="KX836" s="11" t="str">
        <f t="shared" si="600"/>
        <v>Innovations in Capturing Complex Change</v>
      </c>
      <c r="KY836" s="11" t="str">
        <f t="shared" si="601"/>
        <v>United Kingdom</v>
      </c>
      <c r="KZ836" s="12">
        <v>837</v>
      </c>
    </row>
    <row r="837" spans="1:312" x14ac:dyDescent="0.3">
      <c r="A837" s="12" t="s">
        <v>12907</v>
      </c>
      <c r="B837" s="12" t="s">
        <v>602</v>
      </c>
      <c r="C837" s="12"/>
      <c r="D837" s="12" t="s">
        <v>12931</v>
      </c>
      <c r="E837" s="277" t="str">
        <f t="shared" si="559"/>
        <v>United Kingdom</v>
      </c>
      <c r="F837" s="12"/>
      <c r="G837" s="12" t="s">
        <v>488</v>
      </c>
      <c r="H837" s="12"/>
      <c r="I837" s="12"/>
      <c r="J837" s="281"/>
      <c r="K837" s="12"/>
      <c r="L837" s="12"/>
      <c r="M837" s="12"/>
      <c r="N837" s="12"/>
      <c r="O837" s="12"/>
      <c r="P837" s="12"/>
      <c r="Q837" s="12"/>
      <c r="R837" s="12"/>
      <c r="S837" s="12"/>
      <c r="T837" s="12"/>
      <c r="U837" s="12"/>
      <c r="V837" s="12"/>
      <c r="W837" s="12"/>
      <c r="X837" s="12"/>
      <c r="Y837" s="12"/>
      <c r="Z837" s="12"/>
      <c r="AA837" s="12"/>
      <c r="AB837" s="12"/>
      <c r="AC837" s="12"/>
      <c r="AD837" s="12"/>
      <c r="BD837" s="13">
        <v>42430</v>
      </c>
      <c r="BE837" s="12"/>
      <c r="BF837" s="12"/>
      <c r="BG837" s="12" t="s">
        <v>312</v>
      </c>
      <c r="BH837" s="14"/>
      <c r="BI837" s="12" t="s">
        <v>12917</v>
      </c>
      <c r="BJ837" s="12" t="s">
        <v>12927</v>
      </c>
      <c r="BK837" s="12" t="s">
        <v>12919</v>
      </c>
      <c r="BL837" s="12"/>
      <c r="BM837" s="12"/>
      <c r="BN837" s="12"/>
      <c r="BO837" s="12" t="s">
        <v>319</v>
      </c>
      <c r="BP837" s="12" t="s">
        <v>320</v>
      </c>
      <c r="BQ837" s="12" t="s">
        <v>319</v>
      </c>
      <c r="BR837" s="12" t="s">
        <v>12932</v>
      </c>
      <c r="BS837" s="12" t="s">
        <v>849</v>
      </c>
      <c r="BT837" s="12" t="s">
        <v>12921</v>
      </c>
      <c r="BU837" s="12" t="s">
        <v>12933</v>
      </c>
      <c r="BV837" s="14"/>
      <c r="BW837" s="14"/>
      <c r="BX837" s="14">
        <v>350</v>
      </c>
      <c r="BY837" s="14"/>
      <c r="BZ837" s="14"/>
      <c r="CA837" s="14"/>
      <c r="CB837" s="12"/>
      <c r="CD837" s="14"/>
      <c r="CE837" s="14"/>
      <c r="CF837" s="14"/>
      <c r="CG837" s="14"/>
      <c r="CH837" s="14"/>
      <c r="CI837" s="14"/>
      <c r="CJ837" s="12"/>
      <c r="CK837" s="14"/>
      <c r="CL837" s="16"/>
      <c r="CM837" s="14"/>
      <c r="CN837" s="12"/>
      <c r="CO837" s="14"/>
      <c r="CP837" s="16"/>
      <c r="CQ837" s="14"/>
      <c r="CR837" s="12"/>
      <c r="CS837" s="14"/>
      <c r="CT837" s="16"/>
      <c r="CU837" s="14"/>
      <c r="CV837" s="12"/>
      <c r="CW837" s="14"/>
      <c r="CX837" s="16"/>
      <c r="CY837" s="14"/>
      <c r="CZ837" s="12"/>
      <c r="DA837" s="14"/>
      <c r="DB837" s="16"/>
      <c r="DC837" s="14"/>
      <c r="DD837" s="12"/>
      <c r="DE837" s="14"/>
      <c r="DF837" s="16"/>
      <c r="DG837" s="14"/>
      <c r="DH837" s="12"/>
      <c r="DI837" s="14"/>
      <c r="DJ837" s="16"/>
      <c r="DK837" s="14"/>
      <c r="DL837" s="12"/>
      <c r="DM837" s="14"/>
      <c r="DN837" s="16"/>
      <c r="DO837" s="14"/>
      <c r="DP837" s="12"/>
      <c r="DQ837" s="14"/>
      <c r="DR837" s="16"/>
      <c r="DS837" s="14"/>
      <c r="DT837" s="12"/>
      <c r="DU837" s="14"/>
      <c r="DV837" s="16"/>
      <c r="DW837" s="14"/>
      <c r="DX837" s="12"/>
      <c r="DY837" s="14"/>
      <c r="DZ837" s="16"/>
      <c r="EA837" s="14"/>
      <c r="EB837" s="12"/>
      <c r="EC837" s="14"/>
      <c r="ED837" s="16"/>
      <c r="EE837" s="14"/>
      <c r="EF837" s="12"/>
      <c r="EG837" s="12"/>
      <c r="EH837" s="14"/>
      <c r="EI837" s="16"/>
      <c r="EJ837" s="14"/>
      <c r="EK837" s="14"/>
      <c r="EL837" s="14"/>
      <c r="EM837" s="14">
        <v>350</v>
      </c>
      <c r="EN837" s="14"/>
      <c r="EO837" s="14"/>
      <c r="EP837" s="14"/>
      <c r="EQ837" s="12"/>
      <c r="ER837" s="14"/>
      <c r="ES837" s="16"/>
      <c r="ET837" s="14"/>
      <c r="EU837" s="12"/>
      <c r="EV837" s="14"/>
      <c r="EW837" s="16"/>
      <c r="EX837" s="14"/>
      <c r="EY837" s="12"/>
      <c r="EZ837" s="14"/>
      <c r="FA837" s="16"/>
      <c r="FB837" s="14"/>
      <c r="FC837" s="12"/>
      <c r="FD837" s="14"/>
      <c r="FE837" s="16"/>
      <c r="FF837" s="14"/>
      <c r="FG837" s="12"/>
      <c r="FH837" s="14"/>
      <c r="FI837" s="16"/>
      <c r="FJ837" s="14"/>
      <c r="FK837" s="12"/>
      <c r="FL837" s="14"/>
      <c r="FM837" s="16"/>
      <c r="FN837" s="14"/>
      <c r="FO837" s="12"/>
      <c r="FP837" s="14"/>
      <c r="FQ837" s="16"/>
      <c r="FR837" s="14"/>
      <c r="FS837" s="12"/>
      <c r="FT837" s="14"/>
      <c r="FU837" s="16"/>
      <c r="FV837" s="14"/>
      <c r="FW837" s="12"/>
      <c r="FX837" s="14"/>
      <c r="FY837" s="16"/>
      <c r="FZ837" s="14"/>
      <c r="GA837" s="12"/>
      <c r="GB837" s="14"/>
      <c r="GC837" s="16"/>
      <c r="GD837" s="14"/>
      <c r="GE837" s="12"/>
      <c r="GF837" s="14"/>
      <c r="GG837" s="16"/>
      <c r="GH837" s="14"/>
      <c r="GI837" s="12"/>
      <c r="GJ837" s="14"/>
      <c r="GK837" s="16"/>
      <c r="GL837" s="14"/>
      <c r="GM837" s="12"/>
      <c r="GN837" s="14"/>
      <c r="GO837" s="16"/>
      <c r="GP837" s="14"/>
      <c r="GQ837" s="12"/>
      <c r="GR837" s="14"/>
      <c r="GS837" s="16"/>
      <c r="GT837" s="14"/>
      <c r="GU837" s="12"/>
      <c r="GV837" s="14"/>
      <c r="GW837" s="16"/>
      <c r="GX837" s="14"/>
      <c r="GY837" s="11" t="s">
        <v>320</v>
      </c>
      <c r="GZ837" s="14">
        <v>350</v>
      </c>
      <c r="HA837" s="16"/>
      <c r="HB837" s="14"/>
      <c r="HC837" s="12"/>
      <c r="HD837" s="12"/>
      <c r="HE837" s="14"/>
      <c r="HF837" s="16"/>
      <c r="HG837" s="14"/>
      <c r="HH837" s="12" t="s">
        <v>319</v>
      </c>
      <c r="HI837" s="12"/>
      <c r="HJ837" s="12"/>
      <c r="HK837" s="12" t="s">
        <v>319</v>
      </c>
      <c r="HL837" s="12" t="s">
        <v>319</v>
      </c>
      <c r="HM837" s="12"/>
      <c r="HN837" s="12"/>
      <c r="HO837" s="12"/>
      <c r="HP837" s="12" t="s">
        <v>330</v>
      </c>
      <c r="HQ837" s="12" t="s">
        <v>319</v>
      </c>
      <c r="HR837" s="12"/>
      <c r="HS837" s="12" t="s">
        <v>319</v>
      </c>
      <c r="HT837" s="12" t="s">
        <v>319</v>
      </c>
      <c r="HU837" s="12" t="s">
        <v>320</v>
      </c>
      <c r="HV837" s="12" t="s">
        <v>319</v>
      </c>
      <c r="HW837" s="12" t="s">
        <v>319</v>
      </c>
      <c r="HX837" s="12" t="s">
        <v>319</v>
      </c>
      <c r="HY837" s="12"/>
      <c r="HZ837" s="12" t="s">
        <v>363</v>
      </c>
      <c r="IA837" s="12"/>
      <c r="IB837" s="12" t="s">
        <v>333</v>
      </c>
      <c r="IC837" s="12"/>
      <c r="ID837" s="12" t="s">
        <v>364</v>
      </c>
      <c r="IE837" s="12"/>
      <c r="IF837" s="12" t="s">
        <v>319</v>
      </c>
      <c r="IG837" s="12"/>
      <c r="IH837" s="12"/>
      <c r="II837" s="12"/>
      <c r="IJ837" s="12" t="str">
        <f t="shared" si="560"/>
        <v>No marker score</v>
      </c>
      <c r="IK837" s="12">
        <f t="shared" si="561"/>
        <v>0</v>
      </c>
      <c r="IL837" s="12"/>
      <c r="IM837" s="12"/>
      <c r="IN837" s="12"/>
      <c r="IO837" s="12"/>
      <c r="IP837" s="12"/>
      <c r="IQ837" s="12" t="str">
        <f t="shared" si="562"/>
        <v>No marker score</v>
      </c>
      <c r="IR837" s="12">
        <f t="shared" si="563"/>
        <v>0</v>
      </c>
      <c r="IS837" s="12"/>
      <c r="IT837" s="12"/>
      <c r="IU837" s="12"/>
      <c r="IV837" s="12"/>
      <c r="IW837" s="11" t="str">
        <f t="shared" si="564"/>
        <v>No marker score</v>
      </c>
      <c r="IX837" s="12">
        <f t="shared" si="565"/>
        <v>0</v>
      </c>
      <c r="IY837" s="12"/>
      <c r="IZ837" s="12"/>
      <c r="JA837" s="12"/>
      <c r="JB837" s="12"/>
      <c r="JC837" s="12"/>
      <c r="JD837" s="12"/>
      <c r="JE837" s="12" t="s">
        <v>340</v>
      </c>
      <c r="JF837" s="12"/>
      <c r="JG837" s="12"/>
      <c r="JH837" s="12"/>
      <c r="JI837" s="12"/>
      <c r="JJ837" s="12"/>
      <c r="JK837" s="12"/>
      <c r="JL837" s="12"/>
      <c r="JM837" s="12"/>
      <c r="JN837" s="12"/>
      <c r="JO837" s="12" t="s">
        <v>12934</v>
      </c>
      <c r="JP837" s="15">
        <f t="shared" si="566"/>
        <v>350</v>
      </c>
      <c r="JQ837" s="15">
        <f t="shared" si="567"/>
        <v>0</v>
      </c>
      <c r="JR837" s="279">
        <f t="shared" si="568"/>
        <v>0</v>
      </c>
      <c r="JS837" s="17">
        <f t="shared" si="569"/>
        <v>0</v>
      </c>
      <c r="JT837" s="18" t="str">
        <f t="shared" si="570"/>
        <v/>
      </c>
      <c r="JU837" s="280">
        <f t="shared" si="571"/>
        <v>0</v>
      </c>
      <c r="JV837" s="280">
        <f t="shared" si="572"/>
        <v>0</v>
      </c>
      <c r="JW837" s="319" t="str">
        <f t="shared" si="573"/>
        <v/>
      </c>
      <c r="JX837" s="15">
        <f t="shared" si="574"/>
        <v>0</v>
      </c>
      <c r="JY837" s="15">
        <f t="shared" si="575"/>
        <v>0</v>
      </c>
      <c r="JZ837" s="19" t="str">
        <f t="shared" si="576"/>
        <v/>
      </c>
      <c r="KA837" s="52" t="str">
        <f t="shared" si="577"/>
        <v/>
      </c>
      <c r="KB837" s="15">
        <f t="shared" si="578"/>
        <v>0</v>
      </c>
      <c r="KC837" s="15">
        <f t="shared" si="579"/>
        <v>0</v>
      </c>
      <c r="KD837" s="20" t="str">
        <f t="shared" si="580"/>
        <v/>
      </c>
      <c r="KE837" s="52" t="str">
        <f t="shared" si="581"/>
        <v/>
      </c>
      <c r="KF837" s="15">
        <f t="shared" si="582"/>
        <v>0</v>
      </c>
      <c r="KG837" s="15">
        <f t="shared" si="583"/>
        <v>0</v>
      </c>
      <c r="KH837" s="21" t="str">
        <f t="shared" si="584"/>
        <v/>
      </c>
      <c r="KI837" s="52" t="str">
        <f t="shared" si="585"/>
        <v/>
      </c>
      <c r="KJ837" s="15">
        <f t="shared" si="586"/>
        <v>0</v>
      </c>
      <c r="KK837" s="15">
        <f t="shared" si="587"/>
        <v>0</v>
      </c>
      <c r="KL837" s="19" t="str">
        <f t="shared" si="588"/>
        <v/>
      </c>
      <c r="KM837" s="52">
        <f t="shared" si="589"/>
        <v>1</v>
      </c>
      <c r="KN837" s="22">
        <f t="shared" si="590"/>
        <v>350</v>
      </c>
      <c r="KO837" s="22">
        <f t="shared" si="591"/>
        <v>0</v>
      </c>
      <c r="KP837" s="19">
        <f t="shared" si="592"/>
        <v>0</v>
      </c>
      <c r="KQ837" s="11" t="str">
        <f t="shared" si="593"/>
        <v>No marker score</v>
      </c>
      <c r="KR837" s="11" t="str">
        <f t="shared" si="594"/>
        <v>No marker score</v>
      </c>
      <c r="KS837" s="11" t="str">
        <f t="shared" si="595"/>
        <v>No marker score</v>
      </c>
      <c r="KT837" s="11" t="str">
        <f t="shared" si="596"/>
        <v>It did not develop any specific innovation</v>
      </c>
      <c r="KU837" s="11" t="str">
        <f t="shared" si="597"/>
        <v>Moderate advocacy</v>
      </c>
      <c r="KV837" s="11" t="str">
        <f t="shared" si="598"/>
        <v>It did not take tested solutions to scale</v>
      </c>
      <c r="KW837" s="11" t="str">
        <f t="shared" si="599"/>
        <v>United Kingdom - Linking for Change Savings Charter</v>
      </c>
      <c r="KX837" s="11" t="str">
        <f t="shared" si="600"/>
        <v>Linking for Change Savings Charter</v>
      </c>
      <c r="KY837" s="11" t="str">
        <f t="shared" si="601"/>
        <v>United Kingdom</v>
      </c>
      <c r="KZ837" s="12">
        <v>838</v>
      </c>
    </row>
    <row r="838" spans="1:312" x14ac:dyDescent="0.3">
      <c r="A838" s="12" t="s">
        <v>12907</v>
      </c>
      <c r="B838" s="12" t="s">
        <v>602</v>
      </c>
      <c r="C838" s="12"/>
      <c r="D838" s="12" t="s">
        <v>12945</v>
      </c>
      <c r="E838" s="277" t="str">
        <f t="shared" si="559"/>
        <v>United Kingdom</v>
      </c>
      <c r="F838" s="12"/>
      <c r="G838" s="12" t="s">
        <v>488</v>
      </c>
      <c r="H838" s="12"/>
      <c r="I838" s="12"/>
      <c r="J838" s="281"/>
      <c r="K838" s="12"/>
      <c r="L838" s="12"/>
      <c r="M838" s="12"/>
      <c r="N838" s="12"/>
      <c r="O838" s="12"/>
      <c r="P838" s="12"/>
      <c r="Q838" s="12"/>
      <c r="R838" s="12"/>
      <c r="S838" s="12"/>
      <c r="T838" s="12"/>
      <c r="U838" s="12"/>
      <c r="V838" s="12"/>
      <c r="W838" s="12"/>
      <c r="X838" s="12"/>
      <c r="Y838" s="12"/>
      <c r="Z838" s="12"/>
      <c r="AA838" s="12"/>
      <c r="AB838" s="12"/>
      <c r="AC838" s="12"/>
      <c r="AD838" s="12"/>
      <c r="BD838" s="13">
        <v>42856</v>
      </c>
      <c r="BE838" s="13">
        <v>42885</v>
      </c>
      <c r="BF838" s="12"/>
      <c r="BG838" s="12" t="s">
        <v>817</v>
      </c>
      <c r="BH838" s="14"/>
      <c r="BI838" s="12" t="s">
        <v>12946</v>
      </c>
      <c r="BJ838" s="12" t="s">
        <v>12947</v>
      </c>
      <c r="BK838" s="12" t="s">
        <v>12948</v>
      </c>
      <c r="BL838" s="12"/>
      <c r="BM838" s="12"/>
      <c r="BN838" s="12"/>
      <c r="BO838" s="12" t="s">
        <v>320</v>
      </c>
      <c r="BP838" s="12" t="s">
        <v>320</v>
      </c>
      <c r="BQ838" s="12" t="s">
        <v>320</v>
      </c>
      <c r="BR838" s="12" t="s">
        <v>12949</v>
      </c>
      <c r="BS838" s="12" t="s">
        <v>849</v>
      </c>
      <c r="BT838" s="12" t="s">
        <v>12950</v>
      </c>
      <c r="BU838" s="12" t="s">
        <v>12951</v>
      </c>
      <c r="BV838" s="14"/>
      <c r="BW838" s="14"/>
      <c r="BX838" s="14">
        <v>5</v>
      </c>
      <c r="BY838" s="14"/>
      <c r="BZ838" s="14"/>
      <c r="CA838" s="14">
        <v>45</v>
      </c>
      <c r="CB838" s="12" t="s">
        <v>12952</v>
      </c>
      <c r="CD838" s="14"/>
      <c r="CE838" s="14"/>
      <c r="CF838" s="14">
        <v>5</v>
      </c>
      <c r="CG838" s="14"/>
      <c r="CH838" s="14"/>
      <c r="CI838" s="14">
        <v>45</v>
      </c>
      <c r="CJ838" s="12"/>
      <c r="CK838" s="14"/>
      <c r="CL838" s="16"/>
      <c r="CM838" s="14"/>
      <c r="CN838" s="12"/>
      <c r="CO838" s="14"/>
      <c r="CP838" s="16"/>
      <c r="CQ838" s="14"/>
      <c r="CR838" s="12"/>
      <c r="CS838" s="14"/>
      <c r="CT838" s="16"/>
      <c r="CU838" s="14"/>
      <c r="CV838" s="12"/>
      <c r="CW838" s="14"/>
      <c r="CX838" s="16"/>
      <c r="CY838" s="14"/>
      <c r="CZ838" s="12"/>
      <c r="DA838" s="14"/>
      <c r="DB838" s="16"/>
      <c r="DC838" s="14"/>
      <c r="DD838" s="12"/>
      <c r="DE838" s="14"/>
      <c r="DF838" s="16"/>
      <c r="DG838" s="14"/>
      <c r="DH838" s="12"/>
      <c r="DI838" s="14"/>
      <c r="DJ838" s="16"/>
      <c r="DK838" s="14"/>
      <c r="DL838" s="12"/>
      <c r="DM838" s="14"/>
      <c r="DN838" s="16"/>
      <c r="DO838" s="14"/>
      <c r="DP838" s="12"/>
      <c r="DQ838" s="14"/>
      <c r="DR838" s="16"/>
      <c r="DS838" s="14"/>
      <c r="DT838" s="12"/>
      <c r="DU838" s="14"/>
      <c r="DV838" s="16"/>
      <c r="DW838" s="14"/>
      <c r="DX838" s="12"/>
      <c r="DY838" s="14"/>
      <c r="DZ838" s="16"/>
      <c r="EA838" s="14"/>
      <c r="EB838" s="12"/>
      <c r="EC838" s="14"/>
      <c r="ED838" s="16"/>
      <c r="EE838" s="14"/>
      <c r="EF838" s="12"/>
      <c r="EG838" s="12" t="s">
        <v>320</v>
      </c>
      <c r="EH838" s="14">
        <v>5</v>
      </c>
      <c r="EI838" s="16"/>
      <c r="EJ838" s="14">
        <v>45</v>
      </c>
      <c r="EK838" s="14"/>
      <c r="EL838" s="14"/>
      <c r="EM838" s="14">
        <v>5</v>
      </c>
      <c r="EN838" s="14"/>
      <c r="EO838" s="14"/>
      <c r="EP838" s="14">
        <v>45</v>
      </c>
      <c r="EQ838" s="12"/>
      <c r="ER838" s="14"/>
      <c r="ES838" s="16"/>
      <c r="ET838" s="14"/>
      <c r="EU838" s="12"/>
      <c r="EV838" s="14"/>
      <c r="EW838" s="16"/>
      <c r="EX838" s="14"/>
      <c r="EY838" s="12"/>
      <c r="EZ838" s="14"/>
      <c r="FA838" s="16"/>
      <c r="FB838" s="14"/>
      <c r="FC838" s="12"/>
      <c r="FD838" s="14"/>
      <c r="FE838" s="16"/>
      <c r="FF838" s="14"/>
      <c r="FG838" s="12"/>
      <c r="FH838" s="14"/>
      <c r="FI838" s="16"/>
      <c r="FJ838" s="14"/>
      <c r="FK838" s="12"/>
      <c r="FL838" s="14"/>
      <c r="FM838" s="16"/>
      <c r="FN838" s="14"/>
      <c r="FO838" s="12"/>
      <c r="FP838" s="14"/>
      <c r="FQ838" s="16"/>
      <c r="FR838" s="14"/>
      <c r="FS838" s="12"/>
      <c r="FT838" s="14"/>
      <c r="FU838" s="16"/>
      <c r="FV838" s="14"/>
      <c r="FW838" s="12"/>
      <c r="FX838" s="14"/>
      <c r="FY838" s="16"/>
      <c r="FZ838" s="14"/>
      <c r="GA838" s="12"/>
      <c r="GB838" s="14"/>
      <c r="GC838" s="16"/>
      <c r="GD838" s="14"/>
      <c r="GE838" s="12"/>
      <c r="GF838" s="14"/>
      <c r="GG838" s="16"/>
      <c r="GH838" s="14"/>
      <c r="GI838" s="12"/>
      <c r="GJ838" s="14"/>
      <c r="GK838" s="16"/>
      <c r="GL838" s="14"/>
      <c r="GM838" s="11" t="s">
        <v>320</v>
      </c>
      <c r="GN838" s="14">
        <v>5</v>
      </c>
      <c r="GO838" s="16"/>
      <c r="GP838" s="14">
        <v>45</v>
      </c>
      <c r="GQ838" s="12"/>
      <c r="GR838" s="14"/>
      <c r="GS838" s="16"/>
      <c r="GT838" s="14"/>
      <c r="GU838" s="12"/>
      <c r="GV838" s="14"/>
      <c r="GW838" s="16"/>
      <c r="GX838" s="14"/>
      <c r="GY838" s="12"/>
      <c r="GZ838" s="14"/>
      <c r="HA838" s="16"/>
      <c r="HB838" s="14"/>
      <c r="HC838" s="12"/>
      <c r="HD838" s="12"/>
      <c r="HE838" s="14"/>
      <c r="HF838" s="16"/>
      <c r="HG838" s="14"/>
      <c r="HH838" s="12"/>
      <c r="HI838" s="12"/>
      <c r="HJ838" s="12"/>
      <c r="HK838" s="12"/>
      <c r="HL838" s="12"/>
      <c r="HM838" s="12"/>
      <c r="HN838" s="12"/>
      <c r="HO838" s="12"/>
      <c r="HP838" s="12" t="s">
        <v>453</v>
      </c>
      <c r="HQ838" s="12" t="s">
        <v>319</v>
      </c>
      <c r="HR838" s="12" t="s">
        <v>319</v>
      </c>
      <c r="HS838" s="12" t="s">
        <v>320</v>
      </c>
      <c r="HT838" s="12" t="s">
        <v>319</v>
      </c>
      <c r="HU838" s="12" t="s">
        <v>319</v>
      </c>
      <c r="HV838" s="12" t="s">
        <v>319</v>
      </c>
      <c r="HW838" s="12" t="s">
        <v>319</v>
      </c>
      <c r="HX838" s="12"/>
      <c r="HY838" s="12"/>
      <c r="HZ838" s="12" t="s">
        <v>363</v>
      </c>
      <c r="IA838" s="12"/>
      <c r="IB838" s="12" t="s">
        <v>333</v>
      </c>
      <c r="IC838" s="12"/>
      <c r="ID838" s="12" t="s">
        <v>364</v>
      </c>
      <c r="IE838" s="12"/>
      <c r="IF838" s="12"/>
      <c r="IG838" s="12"/>
      <c r="IH838" s="12"/>
      <c r="II838" s="12"/>
      <c r="IJ838" s="12" t="str">
        <f t="shared" si="560"/>
        <v>No marker score</v>
      </c>
      <c r="IK838" s="12">
        <f t="shared" si="561"/>
        <v>0</v>
      </c>
      <c r="IL838" s="12"/>
      <c r="IM838" s="12"/>
      <c r="IN838" s="12"/>
      <c r="IO838" s="12"/>
      <c r="IP838" s="12"/>
      <c r="IQ838" s="12" t="str">
        <f t="shared" si="562"/>
        <v>No marker score</v>
      </c>
      <c r="IR838" s="12">
        <f t="shared" si="563"/>
        <v>0</v>
      </c>
      <c r="IS838" s="12"/>
      <c r="IT838" s="12"/>
      <c r="IU838" s="12"/>
      <c r="IV838" s="12"/>
      <c r="IW838" s="11" t="str">
        <f t="shared" si="564"/>
        <v>No marker score</v>
      </c>
      <c r="IX838" s="12">
        <f t="shared" si="565"/>
        <v>0</v>
      </c>
      <c r="IY838" s="12"/>
      <c r="IZ838" s="12"/>
      <c r="JA838" s="12"/>
      <c r="JB838" s="12"/>
      <c r="JC838" s="12"/>
      <c r="JD838" s="12"/>
      <c r="JE838" s="12"/>
      <c r="JF838" s="12"/>
      <c r="JG838" s="12"/>
      <c r="JH838" s="12"/>
      <c r="JI838" s="12"/>
      <c r="JJ838" s="12"/>
      <c r="JK838" s="12"/>
      <c r="JL838" s="12"/>
      <c r="JM838" s="12"/>
      <c r="JN838" s="12"/>
      <c r="JO838" s="12"/>
      <c r="JP838" s="15">
        <f t="shared" si="566"/>
        <v>5</v>
      </c>
      <c r="JQ838" s="15">
        <f t="shared" si="567"/>
        <v>45</v>
      </c>
      <c r="JR838" s="279">
        <f t="shared" si="568"/>
        <v>9</v>
      </c>
      <c r="JS838" s="17">
        <f t="shared" si="569"/>
        <v>0</v>
      </c>
      <c r="JT838" s="18">
        <f t="shared" si="570"/>
        <v>0</v>
      </c>
      <c r="JU838" s="280">
        <f t="shared" si="571"/>
        <v>0</v>
      </c>
      <c r="JV838" s="280">
        <f t="shared" si="572"/>
        <v>0</v>
      </c>
      <c r="JW838" s="319">
        <f t="shared" si="573"/>
        <v>1</v>
      </c>
      <c r="JX838" s="15">
        <f t="shared" si="574"/>
        <v>5</v>
      </c>
      <c r="JY838" s="15">
        <f t="shared" si="575"/>
        <v>45</v>
      </c>
      <c r="JZ838" s="19">
        <f t="shared" si="576"/>
        <v>9</v>
      </c>
      <c r="KA838" s="52" t="str">
        <f t="shared" si="577"/>
        <v/>
      </c>
      <c r="KB838" s="15">
        <f t="shared" si="578"/>
        <v>0</v>
      </c>
      <c r="KC838" s="15">
        <f t="shared" si="579"/>
        <v>0</v>
      </c>
      <c r="KD838" s="20" t="str">
        <f t="shared" si="580"/>
        <v/>
      </c>
      <c r="KE838" s="52" t="str">
        <f t="shared" si="581"/>
        <v/>
      </c>
      <c r="KF838" s="15">
        <f t="shared" si="582"/>
        <v>0</v>
      </c>
      <c r="KG838" s="15">
        <f t="shared" si="583"/>
        <v>0</v>
      </c>
      <c r="KH838" s="21" t="str">
        <f t="shared" si="584"/>
        <v/>
      </c>
      <c r="KI838" s="52" t="str">
        <f t="shared" si="585"/>
        <v/>
      </c>
      <c r="KJ838" s="15">
        <f t="shared" si="586"/>
        <v>0</v>
      </c>
      <c r="KK838" s="15">
        <f t="shared" si="587"/>
        <v>0</v>
      </c>
      <c r="KL838" s="19" t="str">
        <f t="shared" si="588"/>
        <v/>
      </c>
      <c r="KM838" s="52" t="str">
        <f t="shared" si="589"/>
        <v/>
      </c>
      <c r="KN838" s="22">
        <f t="shared" si="590"/>
        <v>0</v>
      </c>
      <c r="KO838" s="22">
        <f t="shared" si="591"/>
        <v>0</v>
      </c>
      <c r="KP838" s="19" t="str">
        <f t="shared" si="592"/>
        <v/>
      </c>
      <c r="KQ838" s="11" t="str">
        <f t="shared" si="593"/>
        <v>No marker score</v>
      </c>
      <c r="KR838" s="11" t="str">
        <f t="shared" si="594"/>
        <v>No marker score</v>
      </c>
      <c r="KS838" s="11" t="str">
        <f t="shared" si="595"/>
        <v>No marker score</v>
      </c>
      <c r="KT838" s="11" t="str">
        <f t="shared" si="596"/>
        <v>It did not develop any specific innovation</v>
      </c>
      <c r="KU838" s="11" t="str">
        <f t="shared" si="597"/>
        <v>Intensive advocacy</v>
      </c>
      <c r="KV838" s="11" t="str">
        <f t="shared" si="598"/>
        <v>It did not take tested solutions to scale</v>
      </c>
      <c r="KW838" s="11" t="str">
        <f t="shared" si="599"/>
        <v>United Kingdom - London Somalia Conference - ensuring civil society participation via support to diaspora side event</v>
      </c>
      <c r="KX838" s="11" t="str">
        <f t="shared" si="600"/>
        <v>London Somalia Conference - ensuring civil society participation via support to diaspora side event</v>
      </c>
      <c r="KY838" s="11" t="str">
        <f t="shared" si="601"/>
        <v>United Kingdom</v>
      </c>
      <c r="KZ838" s="12">
        <v>839</v>
      </c>
    </row>
    <row r="839" spans="1:312" x14ac:dyDescent="0.3">
      <c r="A839" s="12" t="s">
        <v>12907</v>
      </c>
      <c r="B839" s="12" t="s">
        <v>602</v>
      </c>
      <c r="C839" s="12"/>
      <c r="D839" s="12" t="s">
        <v>12916</v>
      </c>
      <c r="E839" s="277" t="str">
        <f t="shared" si="559"/>
        <v>United Kingdom</v>
      </c>
      <c r="F839" s="12"/>
      <c r="G839" s="12" t="s">
        <v>488</v>
      </c>
      <c r="H839" s="12"/>
      <c r="I839" s="12"/>
      <c r="J839" s="281"/>
      <c r="K839" s="12"/>
      <c r="L839" s="12"/>
      <c r="M839" s="12"/>
      <c r="N839" s="12"/>
      <c r="O839" s="12"/>
      <c r="P839" s="12"/>
      <c r="Q839" s="12"/>
      <c r="R839" s="12"/>
      <c r="S839" s="12"/>
      <c r="T839" s="12"/>
      <c r="U839" s="12"/>
      <c r="V839" s="12"/>
      <c r="W839" s="12"/>
      <c r="X839" s="12"/>
      <c r="Y839" s="12"/>
      <c r="Z839" s="12"/>
      <c r="AA839" s="12"/>
      <c r="AB839" s="12"/>
      <c r="AC839" s="12"/>
      <c r="AD839" s="12"/>
      <c r="BD839" s="13">
        <v>42278</v>
      </c>
      <c r="BE839" s="13">
        <v>42979</v>
      </c>
      <c r="BF839" s="12"/>
      <c r="BG839" s="12" t="s">
        <v>312</v>
      </c>
      <c r="BH839" s="14"/>
      <c r="BI839" s="12" t="s">
        <v>12917</v>
      </c>
      <c r="BJ839" s="12" t="s">
        <v>12918</v>
      </c>
      <c r="BK839" s="12" t="s">
        <v>12919</v>
      </c>
      <c r="BL839" s="12"/>
      <c r="BM839" s="12"/>
      <c r="BN839" s="12"/>
      <c r="BO839" s="12" t="s">
        <v>319</v>
      </c>
      <c r="BP839" s="12" t="s">
        <v>320</v>
      </c>
      <c r="BQ839" s="12" t="s">
        <v>319</v>
      </c>
      <c r="BR839" s="12" t="s">
        <v>12920</v>
      </c>
      <c r="BS839" s="12" t="s">
        <v>849</v>
      </c>
      <c r="BT839" s="12" t="s">
        <v>12921</v>
      </c>
      <c r="BU839" s="12" t="s">
        <v>12922</v>
      </c>
      <c r="BV839" s="14"/>
      <c r="BW839" s="14"/>
      <c r="BX839" s="14">
        <v>1000</v>
      </c>
      <c r="BY839" s="14"/>
      <c r="BZ839" s="14"/>
      <c r="CA839" s="14"/>
      <c r="CB839" s="12" t="s">
        <v>12923</v>
      </c>
      <c r="CD839" s="14"/>
      <c r="CE839" s="14"/>
      <c r="CF839" s="14"/>
      <c r="CG839" s="14"/>
      <c r="CH839" s="14"/>
      <c r="CI839" s="14"/>
      <c r="CJ839" s="12"/>
      <c r="CK839" s="14"/>
      <c r="CL839" s="16"/>
      <c r="CM839" s="14"/>
      <c r="CN839" s="12"/>
      <c r="CO839" s="14"/>
      <c r="CP839" s="16"/>
      <c r="CQ839" s="14"/>
      <c r="CR839" s="12"/>
      <c r="CS839" s="14"/>
      <c r="CT839" s="16"/>
      <c r="CU839" s="14"/>
      <c r="CV839" s="12"/>
      <c r="CW839" s="14"/>
      <c r="CX839" s="16"/>
      <c r="CY839" s="14"/>
      <c r="CZ839" s="12"/>
      <c r="DA839" s="14"/>
      <c r="DB839" s="16"/>
      <c r="DC839" s="14"/>
      <c r="DD839" s="12"/>
      <c r="DE839" s="14"/>
      <c r="DF839" s="16"/>
      <c r="DG839" s="14"/>
      <c r="DH839" s="12"/>
      <c r="DI839" s="14"/>
      <c r="DJ839" s="16"/>
      <c r="DK839" s="14"/>
      <c r="DL839" s="12"/>
      <c r="DM839" s="14"/>
      <c r="DN839" s="16"/>
      <c r="DO839" s="14"/>
      <c r="DP839" s="12"/>
      <c r="DQ839" s="14"/>
      <c r="DR839" s="16"/>
      <c r="DS839" s="14"/>
      <c r="DT839" s="12"/>
      <c r="DU839" s="14"/>
      <c r="DV839" s="16"/>
      <c r="DW839" s="14"/>
      <c r="DX839" s="12"/>
      <c r="DY839" s="14"/>
      <c r="DZ839" s="16"/>
      <c r="EA839" s="14"/>
      <c r="EB839" s="12"/>
      <c r="EC839" s="14"/>
      <c r="ED839" s="16"/>
      <c r="EE839" s="14"/>
      <c r="EF839" s="12"/>
      <c r="EG839" s="12"/>
      <c r="EH839" s="14"/>
      <c r="EI839" s="16"/>
      <c r="EJ839" s="14"/>
      <c r="EK839" s="14"/>
      <c r="EL839" s="14"/>
      <c r="EM839" s="14">
        <v>1000</v>
      </c>
      <c r="EN839" s="14"/>
      <c r="EO839" s="14"/>
      <c r="EP839" s="14"/>
      <c r="EQ839" s="12"/>
      <c r="ER839" s="14"/>
      <c r="ES839" s="16"/>
      <c r="ET839" s="14"/>
      <c r="EU839" s="12"/>
      <c r="EV839" s="14"/>
      <c r="EW839" s="16"/>
      <c r="EX839" s="14"/>
      <c r="EY839" s="12"/>
      <c r="EZ839" s="14"/>
      <c r="FA839" s="16"/>
      <c r="FB839" s="14"/>
      <c r="FC839" s="12"/>
      <c r="FD839" s="14"/>
      <c r="FE839" s="16"/>
      <c r="FF839" s="14"/>
      <c r="FG839" s="12"/>
      <c r="FH839" s="14"/>
      <c r="FI839" s="16"/>
      <c r="FJ839" s="14"/>
      <c r="FK839" s="12"/>
      <c r="FL839" s="14"/>
      <c r="FM839" s="16"/>
      <c r="FN839" s="14"/>
      <c r="FO839" s="12"/>
      <c r="FP839" s="14"/>
      <c r="FQ839" s="16"/>
      <c r="FR839" s="14"/>
      <c r="FS839" s="12"/>
      <c r="FT839" s="14"/>
      <c r="FU839" s="16"/>
      <c r="FV839" s="14"/>
      <c r="FW839" s="12"/>
      <c r="FX839" s="14"/>
      <c r="FY839" s="16"/>
      <c r="FZ839" s="14"/>
      <c r="GA839" s="12"/>
      <c r="GB839" s="14"/>
      <c r="GC839" s="16"/>
      <c r="GD839" s="14"/>
      <c r="GE839" s="12"/>
      <c r="GF839" s="14"/>
      <c r="GG839" s="16"/>
      <c r="GH839" s="14"/>
      <c r="GI839" s="12"/>
      <c r="GJ839" s="14"/>
      <c r="GK839" s="16"/>
      <c r="GL839" s="14"/>
      <c r="GM839" s="12"/>
      <c r="GN839" s="14"/>
      <c r="GO839" s="16"/>
      <c r="GP839" s="14"/>
      <c r="GQ839" s="12"/>
      <c r="GR839" s="14"/>
      <c r="GS839" s="16"/>
      <c r="GT839" s="14"/>
      <c r="GU839" s="12"/>
      <c r="GV839" s="14"/>
      <c r="GW839" s="16"/>
      <c r="GX839" s="14"/>
      <c r="GY839" s="11" t="s">
        <v>320</v>
      </c>
      <c r="GZ839" s="14">
        <v>1000</v>
      </c>
      <c r="HA839" s="16"/>
      <c r="HB839" s="14"/>
      <c r="HC839" s="12"/>
      <c r="HD839" s="12"/>
      <c r="HE839" s="14"/>
      <c r="HF839" s="16"/>
      <c r="HG839" s="14"/>
      <c r="HH839" s="12" t="s">
        <v>319</v>
      </c>
      <c r="HI839" s="12"/>
      <c r="HJ839" s="12"/>
      <c r="HK839" s="12" t="s">
        <v>319</v>
      </c>
      <c r="HL839" s="12" t="s">
        <v>319</v>
      </c>
      <c r="HM839" s="12"/>
      <c r="HN839" s="12"/>
      <c r="HO839" s="12"/>
      <c r="HP839" s="12" t="s">
        <v>453</v>
      </c>
      <c r="HQ839" s="12" t="s">
        <v>319</v>
      </c>
      <c r="HR839" s="12"/>
      <c r="HS839" s="12" t="s">
        <v>319</v>
      </c>
      <c r="HT839" s="12" t="s">
        <v>319</v>
      </c>
      <c r="HU839" s="12" t="s">
        <v>320</v>
      </c>
      <c r="HV839" s="12" t="s">
        <v>319</v>
      </c>
      <c r="HW839" s="12" t="s">
        <v>319</v>
      </c>
      <c r="HX839" s="12" t="s">
        <v>319</v>
      </c>
      <c r="HY839" s="12"/>
      <c r="HZ839" s="12" t="s">
        <v>363</v>
      </c>
      <c r="IA839" s="12"/>
      <c r="IB839" s="12" t="s">
        <v>333</v>
      </c>
      <c r="IC839" s="12"/>
      <c r="ID839" s="12" t="s">
        <v>364</v>
      </c>
      <c r="IE839" s="12"/>
      <c r="IF839" s="12" t="s">
        <v>319</v>
      </c>
      <c r="IG839" s="12"/>
      <c r="IH839" s="12"/>
      <c r="II839" s="12"/>
      <c r="IJ839" s="12" t="str">
        <f t="shared" si="560"/>
        <v>No marker score</v>
      </c>
      <c r="IK839" s="12">
        <f t="shared" si="561"/>
        <v>0</v>
      </c>
      <c r="IL839" s="12"/>
      <c r="IM839" s="12"/>
      <c r="IN839" s="12"/>
      <c r="IO839" s="12"/>
      <c r="IP839" s="12"/>
      <c r="IQ839" s="12" t="str">
        <f t="shared" si="562"/>
        <v>No marker score</v>
      </c>
      <c r="IR839" s="12">
        <f t="shared" si="563"/>
        <v>0</v>
      </c>
      <c r="IS839" s="12"/>
      <c r="IT839" s="12"/>
      <c r="IU839" s="12"/>
      <c r="IV839" s="12"/>
      <c r="IW839" s="11" t="str">
        <f t="shared" si="564"/>
        <v>No marker score</v>
      </c>
      <c r="IX839" s="12">
        <f t="shared" si="565"/>
        <v>0</v>
      </c>
      <c r="IY839" s="12"/>
      <c r="IZ839" s="12"/>
      <c r="JA839" s="12"/>
      <c r="JB839" s="12" t="s">
        <v>832</v>
      </c>
      <c r="JC839" s="12"/>
      <c r="JD839" s="12"/>
      <c r="JE839" s="12" t="s">
        <v>365</v>
      </c>
      <c r="JF839" s="12"/>
      <c r="JG839" s="12"/>
      <c r="JH839" s="12"/>
      <c r="JI839" s="12"/>
      <c r="JJ839" s="12"/>
      <c r="JK839" s="12" t="s">
        <v>12924</v>
      </c>
      <c r="JL839" s="12"/>
      <c r="JM839" s="12"/>
      <c r="JN839" s="12"/>
      <c r="JO839" s="12" t="s">
        <v>12925</v>
      </c>
      <c r="JP839" s="15">
        <f t="shared" si="566"/>
        <v>1000</v>
      </c>
      <c r="JQ839" s="15">
        <f t="shared" si="567"/>
        <v>0</v>
      </c>
      <c r="JR839" s="279">
        <f t="shared" si="568"/>
        <v>0</v>
      </c>
      <c r="JS839" s="17">
        <f t="shared" si="569"/>
        <v>0</v>
      </c>
      <c r="JT839" s="18" t="str">
        <f t="shared" si="570"/>
        <v/>
      </c>
      <c r="JU839" s="280">
        <f t="shared" si="571"/>
        <v>0</v>
      </c>
      <c r="JV839" s="280">
        <f t="shared" si="572"/>
        <v>0</v>
      </c>
      <c r="JW839" s="319" t="str">
        <f t="shared" si="573"/>
        <v/>
      </c>
      <c r="JX839" s="15">
        <f t="shared" si="574"/>
        <v>0</v>
      </c>
      <c r="JY839" s="15">
        <f t="shared" si="575"/>
        <v>0</v>
      </c>
      <c r="JZ839" s="19" t="str">
        <f t="shared" si="576"/>
        <v/>
      </c>
      <c r="KA839" s="52" t="str">
        <f t="shared" si="577"/>
        <v/>
      </c>
      <c r="KB839" s="15">
        <f t="shared" si="578"/>
        <v>0</v>
      </c>
      <c r="KC839" s="15">
        <f t="shared" si="579"/>
        <v>0</v>
      </c>
      <c r="KD839" s="20" t="str">
        <f t="shared" si="580"/>
        <v/>
      </c>
      <c r="KE839" s="52" t="str">
        <f t="shared" si="581"/>
        <v/>
      </c>
      <c r="KF839" s="15">
        <f t="shared" si="582"/>
        <v>0</v>
      </c>
      <c r="KG839" s="15">
        <f t="shared" si="583"/>
        <v>0</v>
      </c>
      <c r="KH839" s="21" t="str">
        <f t="shared" si="584"/>
        <v/>
      </c>
      <c r="KI839" s="52" t="str">
        <f t="shared" si="585"/>
        <v/>
      </c>
      <c r="KJ839" s="15">
        <f t="shared" si="586"/>
        <v>0</v>
      </c>
      <c r="KK839" s="15">
        <f t="shared" si="587"/>
        <v>0</v>
      </c>
      <c r="KL839" s="19" t="str">
        <f t="shared" si="588"/>
        <v/>
      </c>
      <c r="KM839" s="52">
        <f t="shared" si="589"/>
        <v>1</v>
      </c>
      <c r="KN839" s="22">
        <f t="shared" si="590"/>
        <v>1000</v>
      </c>
      <c r="KO839" s="22">
        <f t="shared" si="591"/>
        <v>0</v>
      </c>
      <c r="KP839" s="19">
        <f t="shared" si="592"/>
        <v>0</v>
      </c>
      <c r="KQ839" s="11" t="str">
        <f t="shared" si="593"/>
        <v>No marker score</v>
      </c>
      <c r="KR839" s="11" t="str">
        <f t="shared" si="594"/>
        <v>No marker score</v>
      </c>
      <c r="KS839" s="11" t="str">
        <f t="shared" si="595"/>
        <v>No marker score</v>
      </c>
      <c r="KT839" s="11" t="str">
        <f t="shared" si="596"/>
        <v>It did not develop any specific innovation</v>
      </c>
      <c r="KU839" s="11" t="str">
        <f t="shared" si="597"/>
        <v>Intensive advocacy</v>
      </c>
      <c r="KV839" s="11" t="str">
        <f t="shared" si="598"/>
        <v>It did not take tested solutions to scale</v>
      </c>
      <c r="KW839" s="11" t="str">
        <f t="shared" si="599"/>
        <v>United Kingdom - UN High Level Panel on Women's Economic Empowerment</v>
      </c>
      <c r="KX839" s="11" t="str">
        <f t="shared" si="600"/>
        <v>UN High Level Panel on Women's Economic Empowerment</v>
      </c>
      <c r="KY839" s="11" t="str">
        <f t="shared" si="601"/>
        <v>United Kingdom</v>
      </c>
      <c r="KZ839" s="12">
        <v>840</v>
      </c>
    </row>
    <row r="840" spans="1:312" x14ac:dyDescent="0.3">
      <c r="A840" s="12" t="s">
        <v>12969</v>
      </c>
      <c r="B840" s="12" t="s">
        <v>12970</v>
      </c>
      <c r="C840" s="12"/>
      <c r="D840" s="12" t="s">
        <v>12971</v>
      </c>
      <c r="E840" s="277" t="str">
        <f t="shared" si="559"/>
        <v>United States of America</v>
      </c>
      <c r="F840" s="12"/>
      <c r="G840" s="12" t="s">
        <v>379</v>
      </c>
      <c r="H840" s="12"/>
      <c r="I840" s="12"/>
      <c r="J840" s="281"/>
      <c r="K840" s="12"/>
      <c r="L840" s="12"/>
      <c r="M840" s="12"/>
      <c r="N840" s="12"/>
      <c r="O840" s="12"/>
      <c r="P840" s="12"/>
      <c r="Q840" s="12"/>
      <c r="R840" s="12"/>
      <c r="S840" s="12"/>
      <c r="T840" s="12"/>
      <c r="U840" s="12"/>
      <c r="V840" s="12"/>
      <c r="W840" s="12"/>
      <c r="X840" s="12"/>
      <c r="Y840" s="12"/>
      <c r="Z840" s="12"/>
      <c r="AA840" s="12"/>
      <c r="AB840" s="12"/>
      <c r="AC840" s="12"/>
      <c r="AD840" s="12"/>
      <c r="BD840" s="13">
        <v>42738</v>
      </c>
      <c r="BE840" s="12"/>
      <c r="BF840" s="12"/>
      <c r="BG840" s="12" t="s">
        <v>312</v>
      </c>
      <c r="BH840" s="14"/>
      <c r="BI840" s="12" t="s">
        <v>12972</v>
      </c>
      <c r="BJ840" s="12" t="s">
        <v>12973</v>
      </c>
      <c r="BK840" s="12" t="s">
        <v>12974</v>
      </c>
      <c r="BL840" s="12" t="s">
        <v>12975</v>
      </c>
      <c r="BM840" s="12" t="s">
        <v>12976</v>
      </c>
      <c r="BN840" s="12" t="s">
        <v>12977</v>
      </c>
      <c r="BO840" s="12" t="s">
        <v>320</v>
      </c>
      <c r="BP840" s="12" t="s">
        <v>320</v>
      </c>
      <c r="BQ840" s="12" t="s">
        <v>320</v>
      </c>
      <c r="BR840" s="12" t="s">
        <v>12978</v>
      </c>
      <c r="BS840" s="12" t="s">
        <v>849</v>
      </c>
      <c r="BT840" s="12" t="s">
        <v>849</v>
      </c>
      <c r="BU840" s="12" t="s">
        <v>12979</v>
      </c>
      <c r="BV840" s="14"/>
      <c r="BW840" s="14"/>
      <c r="BX840" s="14"/>
      <c r="BY840" s="14"/>
      <c r="BZ840" s="14"/>
      <c r="CA840" s="14"/>
      <c r="CB840" s="12" t="s">
        <v>12980</v>
      </c>
      <c r="CD840" s="14"/>
      <c r="CE840" s="14"/>
      <c r="CF840" s="14"/>
      <c r="CG840" s="14"/>
      <c r="CH840" s="14"/>
      <c r="CI840" s="14"/>
      <c r="CJ840" s="12" t="s">
        <v>320</v>
      </c>
      <c r="CK840" s="14"/>
      <c r="CL840" s="16"/>
      <c r="CM840" s="14"/>
      <c r="CN840" s="12" t="s">
        <v>320</v>
      </c>
      <c r="CO840" s="14"/>
      <c r="CP840" s="16"/>
      <c r="CQ840" s="14"/>
      <c r="CR840" s="12" t="s">
        <v>320</v>
      </c>
      <c r="CS840" s="14"/>
      <c r="CT840" s="16"/>
      <c r="CU840" s="14"/>
      <c r="CV840" s="12" t="s">
        <v>320</v>
      </c>
      <c r="CW840" s="14"/>
      <c r="CX840" s="16"/>
      <c r="CY840" s="14"/>
      <c r="CZ840" s="12" t="s">
        <v>320</v>
      </c>
      <c r="DA840" s="14"/>
      <c r="DB840" s="16"/>
      <c r="DC840" s="14"/>
      <c r="DD840" s="12" t="s">
        <v>320</v>
      </c>
      <c r="DE840" s="14"/>
      <c r="DF840" s="16"/>
      <c r="DG840" s="14"/>
      <c r="DH840" s="12" t="s">
        <v>320</v>
      </c>
      <c r="DI840" s="14"/>
      <c r="DJ840" s="16"/>
      <c r="DK840" s="14"/>
      <c r="DL840" s="12" t="s">
        <v>320</v>
      </c>
      <c r="DM840" s="14"/>
      <c r="DN840" s="16"/>
      <c r="DO840" s="14"/>
      <c r="DP840" s="12" t="s">
        <v>320</v>
      </c>
      <c r="DQ840" s="14"/>
      <c r="DR840" s="16"/>
      <c r="DS840" s="14"/>
      <c r="DT840" s="12" t="s">
        <v>320</v>
      </c>
      <c r="DU840" s="14"/>
      <c r="DV840" s="16"/>
      <c r="DW840" s="14"/>
      <c r="DX840" s="12" t="s">
        <v>320</v>
      </c>
      <c r="DY840" s="14"/>
      <c r="DZ840" s="16"/>
      <c r="EA840" s="14"/>
      <c r="EB840" s="12" t="s">
        <v>320</v>
      </c>
      <c r="EC840" s="14"/>
      <c r="ED840" s="16"/>
      <c r="EE840" s="14"/>
      <c r="EF840" s="12"/>
      <c r="EG840" s="12"/>
      <c r="EH840" s="14"/>
      <c r="EI840" s="16"/>
      <c r="EJ840" s="14"/>
      <c r="EK840" s="14"/>
      <c r="EL840" s="14"/>
      <c r="EM840" s="14"/>
      <c r="EN840" s="14"/>
      <c r="EO840" s="14"/>
      <c r="EP840" s="14"/>
      <c r="EQ840" s="12" t="s">
        <v>326</v>
      </c>
      <c r="ER840" s="14"/>
      <c r="ES840" s="16"/>
      <c r="ET840" s="14"/>
      <c r="EU840" s="12" t="s">
        <v>326</v>
      </c>
      <c r="EV840" s="14"/>
      <c r="EW840" s="16"/>
      <c r="EX840" s="14"/>
      <c r="EY840" s="12" t="s">
        <v>320</v>
      </c>
      <c r="EZ840" s="14"/>
      <c r="FA840" s="16"/>
      <c r="FB840" s="14"/>
      <c r="FC840" s="12" t="s">
        <v>326</v>
      </c>
      <c r="FD840" s="14"/>
      <c r="FE840" s="16"/>
      <c r="FF840" s="14"/>
      <c r="FG840" s="12" t="s">
        <v>326</v>
      </c>
      <c r="FH840" s="14"/>
      <c r="FI840" s="16"/>
      <c r="FJ840" s="14"/>
      <c r="FK840" s="12" t="s">
        <v>326</v>
      </c>
      <c r="FL840" s="14"/>
      <c r="FM840" s="16"/>
      <c r="FN840" s="14"/>
      <c r="FO840" s="12" t="s">
        <v>320</v>
      </c>
      <c r="FP840" s="14"/>
      <c r="FQ840" s="16"/>
      <c r="FR840" s="14"/>
      <c r="FS840" s="11" t="s">
        <v>320</v>
      </c>
      <c r="FT840" s="14"/>
      <c r="FU840" s="16"/>
      <c r="FV840" s="14"/>
      <c r="FW840" s="12" t="s">
        <v>320</v>
      </c>
      <c r="FX840" s="14"/>
      <c r="FY840" s="16"/>
      <c r="FZ840" s="14"/>
      <c r="GA840" s="12" t="s">
        <v>326</v>
      </c>
      <c r="GB840" s="14"/>
      <c r="GC840" s="16"/>
      <c r="GD840" s="14"/>
      <c r="GE840" s="11" t="s">
        <v>320</v>
      </c>
      <c r="GF840" s="14"/>
      <c r="GG840" s="16"/>
      <c r="GH840" s="14"/>
      <c r="GI840" s="12" t="s">
        <v>326</v>
      </c>
      <c r="GJ840" s="14"/>
      <c r="GK840" s="16"/>
      <c r="GL840" s="14"/>
      <c r="GM840" s="12" t="s">
        <v>326</v>
      </c>
      <c r="GN840" s="14"/>
      <c r="GO840" s="16"/>
      <c r="GP840" s="14"/>
      <c r="GQ840" s="12" t="s">
        <v>326</v>
      </c>
      <c r="GR840" s="14"/>
      <c r="GS840" s="16"/>
      <c r="GT840" s="14"/>
      <c r="GU840" s="12" t="s">
        <v>320</v>
      </c>
      <c r="GV840" s="14"/>
      <c r="GW840" s="16"/>
      <c r="GX840" s="14"/>
      <c r="GY840" s="12" t="s">
        <v>326</v>
      </c>
      <c r="GZ840" s="14"/>
      <c r="HA840" s="16"/>
      <c r="HB840" s="14"/>
      <c r="HC840" s="12"/>
      <c r="HD840" s="12"/>
      <c r="HE840" s="14"/>
      <c r="HF840" s="16"/>
      <c r="HG840" s="14"/>
      <c r="HH840" s="12" t="s">
        <v>319</v>
      </c>
      <c r="HI840" s="12"/>
      <c r="HJ840" s="12"/>
      <c r="HK840" s="12" t="s">
        <v>319</v>
      </c>
      <c r="HL840" s="12" t="s">
        <v>319</v>
      </c>
      <c r="HM840" s="12"/>
      <c r="HN840" s="12"/>
      <c r="HO840" s="12"/>
      <c r="HP840" s="12" t="s">
        <v>453</v>
      </c>
      <c r="HQ840" s="12" t="s">
        <v>319</v>
      </c>
      <c r="HR840" s="12" t="s">
        <v>320</v>
      </c>
      <c r="HS840" s="12" t="s">
        <v>319</v>
      </c>
      <c r="HT840" s="12" t="s">
        <v>319</v>
      </c>
      <c r="HU840" s="12" t="s">
        <v>319</v>
      </c>
      <c r="HV840" s="12" t="s">
        <v>319</v>
      </c>
      <c r="HW840" s="12" t="s">
        <v>319</v>
      </c>
      <c r="HX840" s="12" t="s">
        <v>319</v>
      </c>
      <c r="HY840" s="12"/>
      <c r="HZ840" s="12"/>
      <c r="IA840" s="12"/>
      <c r="IB840" s="12"/>
      <c r="IC840" s="12"/>
      <c r="ID840" s="12"/>
      <c r="IE840" s="12"/>
      <c r="IF840" s="12"/>
      <c r="IG840" s="12"/>
      <c r="IH840" s="12"/>
      <c r="II840" s="12"/>
      <c r="IJ840" s="12" t="str">
        <f t="shared" si="560"/>
        <v>No marker score</v>
      </c>
      <c r="IK840" s="12">
        <f t="shared" si="561"/>
        <v>0</v>
      </c>
      <c r="IL840" s="12"/>
      <c r="IM840" s="12"/>
      <c r="IN840" s="12"/>
      <c r="IO840" s="12"/>
      <c r="IP840" s="12"/>
      <c r="IQ840" s="12" t="str">
        <f t="shared" si="562"/>
        <v>No marker score</v>
      </c>
      <c r="IR840" s="12">
        <f t="shared" si="563"/>
        <v>0</v>
      </c>
      <c r="IS840" s="12"/>
      <c r="IT840" s="12"/>
      <c r="IU840" s="12"/>
      <c r="IV840" s="12"/>
      <c r="IW840" s="11" t="str">
        <f t="shared" si="564"/>
        <v>No marker score</v>
      </c>
      <c r="IX840" s="12">
        <f t="shared" si="565"/>
        <v>0</v>
      </c>
      <c r="IY840" s="12"/>
      <c r="IZ840" s="12" t="s">
        <v>527</v>
      </c>
      <c r="JA840" s="12"/>
      <c r="JB840" s="12" t="s">
        <v>624</v>
      </c>
      <c r="JC840" s="12" t="s">
        <v>831</v>
      </c>
      <c r="JD840" s="12" t="s">
        <v>623</v>
      </c>
      <c r="JE840" s="12"/>
      <c r="JF840" s="12"/>
      <c r="JG840" s="12" t="s">
        <v>12981</v>
      </c>
      <c r="JH840" s="12" t="s">
        <v>12982</v>
      </c>
      <c r="JI840" s="12" t="s">
        <v>12983</v>
      </c>
      <c r="JJ840" s="12" t="s">
        <v>12984</v>
      </c>
      <c r="JK840" s="12" t="s">
        <v>12985</v>
      </c>
      <c r="JL840" s="12" t="s">
        <v>12986</v>
      </c>
      <c r="JM840" s="12" t="s">
        <v>12987</v>
      </c>
      <c r="JN840" s="12" t="s">
        <v>12988</v>
      </c>
      <c r="JO840" s="12"/>
      <c r="JP840" s="15">
        <f t="shared" si="566"/>
        <v>0</v>
      </c>
      <c r="JQ840" s="15">
        <f t="shared" si="567"/>
        <v>0</v>
      </c>
      <c r="JR840" s="279" t="str">
        <f t="shared" si="568"/>
        <v/>
      </c>
      <c r="JS840" s="17" t="str">
        <f t="shared" si="569"/>
        <v/>
      </c>
      <c r="JT840" s="18" t="str">
        <f t="shared" si="570"/>
        <v/>
      </c>
      <c r="JU840" s="280">
        <f t="shared" si="571"/>
        <v>0</v>
      </c>
      <c r="JV840" s="280">
        <f t="shared" si="572"/>
        <v>0</v>
      </c>
      <c r="JW840" s="319">
        <f t="shared" si="573"/>
        <v>1</v>
      </c>
      <c r="JX840" s="15">
        <f t="shared" si="574"/>
        <v>0</v>
      </c>
      <c r="JY840" s="15">
        <f t="shared" si="575"/>
        <v>0</v>
      </c>
      <c r="JZ840" s="19" t="str">
        <f t="shared" si="576"/>
        <v/>
      </c>
      <c r="KA840" s="52">
        <f t="shared" si="577"/>
        <v>1</v>
      </c>
      <c r="KB840" s="15">
        <f t="shared" si="578"/>
        <v>0</v>
      </c>
      <c r="KC840" s="15">
        <f t="shared" si="579"/>
        <v>0</v>
      </c>
      <c r="KD840" s="20" t="str">
        <f t="shared" si="580"/>
        <v/>
      </c>
      <c r="KE840" s="52">
        <f t="shared" si="581"/>
        <v>1</v>
      </c>
      <c r="KF840" s="15">
        <f t="shared" si="582"/>
        <v>0</v>
      </c>
      <c r="KG840" s="15">
        <f t="shared" si="583"/>
        <v>0</v>
      </c>
      <c r="KH840" s="21" t="str">
        <f t="shared" si="584"/>
        <v/>
      </c>
      <c r="KI840" s="52">
        <f t="shared" si="585"/>
        <v>1</v>
      </c>
      <c r="KJ840" s="15">
        <f t="shared" si="586"/>
        <v>0</v>
      </c>
      <c r="KK840" s="15">
        <f t="shared" si="587"/>
        <v>0</v>
      </c>
      <c r="KL840" s="19" t="str">
        <f t="shared" si="588"/>
        <v/>
      </c>
      <c r="KM840" s="52">
        <f t="shared" si="589"/>
        <v>1</v>
      </c>
      <c r="KN840" s="22">
        <f t="shared" si="590"/>
        <v>0</v>
      </c>
      <c r="KO840" s="22">
        <f t="shared" si="591"/>
        <v>0</v>
      </c>
      <c r="KP840" s="19" t="str">
        <f t="shared" si="592"/>
        <v/>
      </c>
      <c r="KQ840" s="11" t="str">
        <f t="shared" si="593"/>
        <v>No marker score</v>
      </c>
      <c r="KR840" s="11" t="str">
        <f t="shared" si="594"/>
        <v>No marker score</v>
      </c>
      <c r="KS840" s="11" t="str">
        <f t="shared" si="595"/>
        <v>No marker score</v>
      </c>
      <c r="KT840" s="11">
        <f t="shared" si="596"/>
        <v>0</v>
      </c>
      <c r="KU840" s="11" t="str">
        <f t="shared" si="597"/>
        <v>Intensive advocacy</v>
      </c>
      <c r="KV840" s="11">
        <f t="shared" si="598"/>
        <v>0</v>
      </c>
      <c r="KW840" s="11" t="str">
        <f t="shared" si="599"/>
        <v>United States of America - Advocating Against Redesign of USAID and US State Department</v>
      </c>
      <c r="KX840" s="11" t="str">
        <f t="shared" si="600"/>
        <v>Advocating Against Redesign of USAID and US State Department</v>
      </c>
      <c r="KY840" s="11" t="str">
        <f t="shared" si="601"/>
        <v>United States of America</v>
      </c>
      <c r="KZ840" s="12">
        <v>841</v>
      </c>
    </row>
    <row r="841" spans="1:312" x14ac:dyDescent="0.3">
      <c r="A841" s="12" t="s">
        <v>12969</v>
      </c>
      <c r="B841" s="12" t="s">
        <v>12970</v>
      </c>
      <c r="C841" s="12"/>
      <c r="D841" s="12" t="s">
        <v>12989</v>
      </c>
      <c r="E841" s="277" t="str">
        <f t="shared" si="559"/>
        <v>United States of America</v>
      </c>
      <c r="F841" s="12"/>
      <c r="G841" s="12" t="s">
        <v>379</v>
      </c>
      <c r="H841" s="12"/>
      <c r="I841" s="12"/>
      <c r="J841" s="281"/>
      <c r="K841" s="12"/>
      <c r="L841" s="12"/>
      <c r="M841" s="12"/>
      <c r="N841" s="12"/>
      <c r="O841" s="12"/>
      <c r="P841" s="12"/>
      <c r="Q841" s="12"/>
      <c r="R841" s="12"/>
      <c r="S841" s="12"/>
      <c r="T841" s="12"/>
      <c r="U841" s="12"/>
      <c r="V841" s="12"/>
      <c r="W841" s="12"/>
      <c r="X841" s="12"/>
      <c r="Y841" s="12"/>
      <c r="Z841" s="12"/>
      <c r="AA841" s="12"/>
      <c r="AB841" s="12"/>
      <c r="AC841" s="12"/>
      <c r="AD841" s="12"/>
      <c r="BD841" s="13">
        <v>42767</v>
      </c>
      <c r="BE841" s="13">
        <v>42917</v>
      </c>
      <c r="BF841" s="12"/>
      <c r="BG841" s="12" t="s">
        <v>947</v>
      </c>
      <c r="BH841" s="14"/>
      <c r="BI841" s="12" t="s">
        <v>12972</v>
      </c>
      <c r="BJ841" s="12" t="s">
        <v>12973</v>
      </c>
      <c r="BK841" s="12" t="s">
        <v>12974</v>
      </c>
      <c r="BL841" s="12" t="s">
        <v>12990</v>
      </c>
      <c r="BM841" s="12" t="s">
        <v>12991</v>
      </c>
      <c r="BN841" s="12" t="s">
        <v>12992</v>
      </c>
      <c r="BO841" s="12" t="s">
        <v>320</v>
      </c>
      <c r="BP841" s="12" t="s">
        <v>320</v>
      </c>
      <c r="BQ841" s="12" t="s">
        <v>320</v>
      </c>
      <c r="BR841" s="12" t="s">
        <v>12993</v>
      </c>
      <c r="BS841" s="12" t="s">
        <v>849</v>
      </c>
      <c r="BT841" s="12" t="s">
        <v>12994</v>
      </c>
      <c r="BU841" s="12" t="s">
        <v>12995</v>
      </c>
      <c r="BV841" s="14"/>
      <c r="BW841" s="14"/>
      <c r="BX841" s="14"/>
      <c r="BY841" s="14"/>
      <c r="BZ841" s="14"/>
      <c r="CA841" s="14"/>
      <c r="CB841" s="12" t="s">
        <v>12996</v>
      </c>
      <c r="CD841" s="14"/>
      <c r="CE841" s="14"/>
      <c r="CF841" s="14"/>
      <c r="CG841" s="14"/>
      <c r="CH841" s="14"/>
      <c r="CI841" s="14"/>
      <c r="CJ841" s="12"/>
      <c r="CK841" s="14"/>
      <c r="CL841" s="16"/>
      <c r="CM841" s="14"/>
      <c r="CN841" s="12"/>
      <c r="CO841" s="14"/>
      <c r="CP841" s="16"/>
      <c r="CQ841" s="14"/>
      <c r="CR841" s="12"/>
      <c r="CS841" s="14"/>
      <c r="CT841" s="16"/>
      <c r="CU841" s="14"/>
      <c r="CV841" s="12"/>
      <c r="CW841" s="14"/>
      <c r="CX841" s="16"/>
      <c r="CY841" s="14"/>
      <c r="CZ841" s="12"/>
      <c r="DA841" s="14"/>
      <c r="DB841" s="16"/>
      <c r="DC841" s="14"/>
      <c r="DD841" s="12"/>
      <c r="DE841" s="14"/>
      <c r="DF841" s="16"/>
      <c r="DG841" s="14"/>
      <c r="DH841" s="12"/>
      <c r="DI841" s="14"/>
      <c r="DJ841" s="16"/>
      <c r="DK841" s="14"/>
      <c r="DL841" s="12"/>
      <c r="DM841" s="14"/>
      <c r="DN841" s="16"/>
      <c r="DO841" s="14"/>
      <c r="DP841" s="12"/>
      <c r="DQ841" s="14"/>
      <c r="DR841" s="16"/>
      <c r="DS841" s="14"/>
      <c r="DT841" s="12"/>
      <c r="DU841" s="14"/>
      <c r="DV841" s="16"/>
      <c r="DW841" s="14"/>
      <c r="DX841" s="12"/>
      <c r="DY841" s="14"/>
      <c r="DZ841" s="16"/>
      <c r="EA841" s="14"/>
      <c r="EB841" s="12"/>
      <c r="EC841" s="14"/>
      <c r="ED841" s="16"/>
      <c r="EE841" s="14"/>
      <c r="EF841" s="12"/>
      <c r="EG841" s="12"/>
      <c r="EH841" s="14"/>
      <c r="EI841" s="16"/>
      <c r="EJ841" s="14"/>
      <c r="EK841" s="14"/>
      <c r="EL841" s="14"/>
      <c r="EM841" s="14"/>
      <c r="EN841" s="14"/>
      <c r="EO841" s="14"/>
      <c r="EP841" s="14"/>
      <c r="EQ841" s="12" t="s">
        <v>319</v>
      </c>
      <c r="ER841" s="14"/>
      <c r="ES841" s="16"/>
      <c r="ET841" s="14"/>
      <c r="EU841" s="11" t="s">
        <v>319</v>
      </c>
      <c r="EV841" s="14"/>
      <c r="EW841" s="16"/>
      <c r="EX841" s="14"/>
      <c r="EY841" s="12" t="s">
        <v>319</v>
      </c>
      <c r="EZ841" s="14"/>
      <c r="FA841" s="16"/>
      <c r="FB841" s="14"/>
      <c r="FC841" s="12" t="s">
        <v>319</v>
      </c>
      <c r="FD841" s="14"/>
      <c r="FE841" s="16"/>
      <c r="FF841" s="14"/>
      <c r="FG841" s="12" t="s">
        <v>319</v>
      </c>
      <c r="FH841" s="14"/>
      <c r="FI841" s="16"/>
      <c r="FJ841" s="14"/>
      <c r="FK841" s="12" t="s">
        <v>319</v>
      </c>
      <c r="FL841" s="14"/>
      <c r="FM841" s="16"/>
      <c r="FN841" s="14"/>
      <c r="FO841" s="12" t="s">
        <v>319</v>
      </c>
      <c r="FP841" s="14"/>
      <c r="FQ841" s="16"/>
      <c r="FR841" s="14"/>
      <c r="FS841" s="12" t="s">
        <v>319</v>
      </c>
      <c r="FT841" s="14"/>
      <c r="FU841" s="16"/>
      <c r="FV841" s="14"/>
      <c r="FW841" s="12" t="s">
        <v>319</v>
      </c>
      <c r="FX841" s="14"/>
      <c r="FY841" s="16"/>
      <c r="FZ841" s="14"/>
      <c r="GA841" s="12" t="s">
        <v>319</v>
      </c>
      <c r="GB841" s="14"/>
      <c r="GC841" s="16"/>
      <c r="GD841" s="14"/>
      <c r="GE841" s="12" t="s">
        <v>319</v>
      </c>
      <c r="GF841" s="14"/>
      <c r="GG841" s="16"/>
      <c r="GH841" s="14"/>
      <c r="GI841" s="12" t="s">
        <v>319</v>
      </c>
      <c r="GJ841" s="14"/>
      <c r="GK841" s="16"/>
      <c r="GL841" s="14"/>
      <c r="GM841" s="12" t="s">
        <v>319</v>
      </c>
      <c r="GN841" s="14"/>
      <c r="GO841" s="16"/>
      <c r="GP841" s="14"/>
      <c r="GQ841" s="12" t="s">
        <v>320</v>
      </c>
      <c r="GR841" s="14"/>
      <c r="GS841" s="16"/>
      <c r="GT841" s="14"/>
      <c r="GU841" s="12" t="s">
        <v>319</v>
      </c>
      <c r="GV841" s="14"/>
      <c r="GW841" s="16"/>
      <c r="GX841" s="14"/>
      <c r="GY841" s="12" t="s">
        <v>319</v>
      </c>
      <c r="GZ841" s="14"/>
      <c r="HA841" s="16"/>
      <c r="HB841" s="14"/>
      <c r="HC841" s="12"/>
      <c r="HD841" s="12"/>
      <c r="HE841" s="14"/>
      <c r="HF841" s="16"/>
      <c r="HG841" s="14"/>
      <c r="HH841" s="12" t="s">
        <v>319</v>
      </c>
      <c r="HI841" s="12"/>
      <c r="HJ841" s="12"/>
      <c r="HK841" s="12" t="s">
        <v>319</v>
      </c>
      <c r="HL841" s="12" t="s">
        <v>319</v>
      </c>
      <c r="HM841" s="12"/>
      <c r="HN841" s="12"/>
      <c r="HO841" s="12"/>
      <c r="HP841" s="12" t="s">
        <v>453</v>
      </c>
      <c r="HQ841" s="12" t="s">
        <v>320</v>
      </c>
      <c r="HR841" s="12" t="s">
        <v>319</v>
      </c>
      <c r="HS841" s="12" t="s">
        <v>319</v>
      </c>
      <c r="HT841" s="12" t="s">
        <v>319</v>
      </c>
      <c r="HU841" s="12" t="s">
        <v>319</v>
      </c>
      <c r="HV841" s="12" t="s">
        <v>320</v>
      </c>
      <c r="HW841" s="12" t="s">
        <v>320</v>
      </c>
      <c r="HX841" s="12" t="s">
        <v>320</v>
      </c>
      <c r="HY841" s="12" t="s">
        <v>12997</v>
      </c>
      <c r="HZ841" s="12"/>
      <c r="IA841" s="12"/>
      <c r="IB841" s="12"/>
      <c r="IC841" s="12" t="s">
        <v>12998</v>
      </c>
      <c r="ID841" s="12" t="s">
        <v>334</v>
      </c>
      <c r="IE841" s="12"/>
      <c r="IF841" s="12"/>
      <c r="IG841" s="12"/>
      <c r="IH841" s="12"/>
      <c r="II841" s="12"/>
      <c r="IJ841" s="12" t="str">
        <f t="shared" si="560"/>
        <v>No marker score</v>
      </c>
      <c r="IK841" s="12">
        <f t="shared" si="561"/>
        <v>0</v>
      </c>
      <c r="IL841" s="12"/>
      <c r="IM841" s="12"/>
      <c r="IN841" s="12"/>
      <c r="IO841" s="12"/>
      <c r="IP841" s="12"/>
      <c r="IQ841" s="12" t="str">
        <f t="shared" si="562"/>
        <v>No marker score</v>
      </c>
      <c r="IR841" s="12">
        <f t="shared" si="563"/>
        <v>0</v>
      </c>
      <c r="IS841" s="12"/>
      <c r="IT841" s="12"/>
      <c r="IU841" s="12"/>
      <c r="IV841" s="12"/>
      <c r="IW841" s="11" t="str">
        <f t="shared" si="564"/>
        <v>No marker score</v>
      </c>
      <c r="IX841" s="12">
        <f t="shared" si="565"/>
        <v>0</v>
      </c>
      <c r="IY841" s="12"/>
      <c r="IZ841" s="12" t="s">
        <v>457</v>
      </c>
      <c r="JA841" s="12"/>
      <c r="JB841" s="12" t="s">
        <v>831</v>
      </c>
      <c r="JC841" s="12" t="s">
        <v>1570</v>
      </c>
      <c r="JD841" s="12" t="s">
        <v>623</v>
      </c>
      <c r="JE841" s="12"/>
      <c r="JF841" s="12"/>
      <c r="JG841" s="12"/>
      <c r="JH841" s="12"/>
      <c r="JI841" s="12"/>
      <c r="JJ841" s="12"/>
      <c r="JK841" s="12" t="s">
        <v>12999</v>
      </c>
      <c r="JL841" s="12" t="s">
        <v>13000</v>
      </c>
      <c r="JM841" s="12" t="s">
        <v>13001</v>
      </c>
      <c r="JN841" s="12" t="s">
        <v>13002</v>
      </c>
      <c r="JO841" s="12" t="s">
        <v>13003</v>
      </c>
      <c r="JP841" s="15">
        <f t="shared" si="566"/>
        <v>0</v>
      </c>
      <c r="JQ841" s="15">
        <f t="shared" si="567"/>
        <v>0</v>
      </c>
      <c r="JR841" s="279" t="str">
        <f t="shared" si="568"/>
        <v/>
      </c>
      <c r="JS841" s="17" t="str">
        <f t="shared" si="569"/>
        <v/>
      </c>
      <c r="JT841" s="18" t="str">
        <f t="shared" si="570"/>
        <v/>
      </c>
      <c r="JU841" s="280">
        <f t="shared" si="571"/>
        <v>0</v>
      </c>
      <c r="JV841" s="280">
        <f t="shared" si="572"/>
        <v>0</v>
      </c>
      <c r="JW841" s="319">
        <f t="shared" si="573"/>
        <v>1</v>
      </c>
      <c r="JX841" s="15">
        <f t="shared" si="574"/>
        <v>0</v>
      </c>
      <c r="JY841" s="15">
        <f t="shared" si="575"/>
        <v>0</v>
      </c>
      <c r="JZ841" s="19" t="str">
        <f t="shared" si="576"/>
        <v/>
      </c>
      <c r="KA841" s="52" t="str">
        <f t="shared" si="577"/>
        <v/>
      </c>
      <c r="KB841" s="15">
        <f t="shared" si="578"/>
        <v>0</v>
      </c>
      <c r="KC841" s="15">
        <f t="shared" si="579"/>
        <v>0</v>
      </c>
      <c r="KD841" s="20" t="str">
        <f t="shared" si="580"/>
        <v/>
      </c>
      <c r="KE841" s="52">
        <f t="shared" si="581"/>
        <v>1</v>
      </c>
      <c r="KF841" s="15">
        <f t="shared" si="582"/>
        <v>0</v>
      </c>
      <c r="KG841" s="15">
        <f t="shared" si="583"/>
        <v>0</v>
      </c>
      <c r="KH841" s="21" t="str">
        <f t="shared" si="584"/>
        <v/>
      </c>
      <c r="KI841" s="52" t="str">
        <f t="shared" si="585"/>
        <v/>
      </c>
      <c r="KJ841" s="15">
        <f t="shared" si="586"/>
        <v>0</v>
      </c>
      <c r="KK841" s="15">
        <f t="shared" si="587"/>
        <v>0</v>
      </c>
      <c r="KL841" s="19" t="str">
        <f t="shared" si="588"/>
        <v/>
      </c>
      <c r="KM841" s="52" t="str">
        <f t="shared" si="589"/>
        <v/>
      </c>
      <c r="KN841" s="22">
        <f t="shared" si="590"/>
        <v>0</v>
      </c>
      <c r="KO841" s="22">
        <f t="shared" si="591"/>
        <v>0</v>
      </c>
      <c r="KP841" s="19" t="str">
        <f t="shared" si="592"/>
        <v/>
      </c>
      <c r="KQ841" s="11" t="str">
        <f t="shared" si="593"/>
        <v>No marker score</v>
      </c>
      <c r="KR841" s="11" t="str">
        <f t="shared" si="594"/>
        <v>No marker score</v>
      </c>
      <c r="KS841" s="11" t="str">
        <f t="shared" si="595"/>
        <v>No marker score</v>
      </c>
      <c r="KT841" s="11">
        <f t="shared" si="596"/>
        <v>0</v>
      </c>
      <c r="KU841" s="11" t="str">
        <f t="shared" si="597"/>
        <v>Intensive advocacy</v>
      </c>
      <c r="KV841" s="11">
        <f t="shared" si="598"/>
        <v>0</v>
      </c>
      <c r="KW841" s="11" t="str">
        <f t="shared" si="599"/>
        <v>United States of America - Family Planning 2020/Family Planning Summit_CARE USA</v>
      </c>
      <c r="KX841" s="11" t="str">
        <f t="shared" si="600"/>
        <v>Family Planning 2020/Family Planning Summit_CARE USA</v>
      </c>
      <c r="KY841" s="11" t="str">
        <f t="shared" si="601"/>
        <v>United States of America</v>
      </c>
      <c r="KZ841" s="12">
        <v>842</v>
      </c>
    </row>
    <row r="842" spans="1:312" x14ac:dyDescent="0.3">
      <c r="A842" s="12" t="s">
        <v>12969</v>
      </c>
      <c r="B842" s="12" t="s">
        <v>12970</v>
      </c>
      <c r="C842" s="12"/>
      <c r="D842" s="12" t="s">
        <v>13004</v>
      </c>
      <c r="E842" s="277" t="str">
        <f t="shared" si="559"/>
        <v>United States of America</v>
      </c>
      <c r="F842" s="12"/>
      <c r="G842" s="12" t="s">
        <v>379</v>
      </c>
      <c r="H842" s="12"/>
      <c r="I842" s="12"/>
      <c r="J842" s="281"/>
      <c r="K842" s="12"/>
      <c r="L842" s="12"/>
      <c r="M842" s="12"/>
      <c r="N842" s="12"/>
      <c r="O842" s="12"/>
      <c r="P842" s="12"/>
      <c r="Q842" s="12"/>
      <c r="R842" s="12"/>
      <c r="S842" s="12"/>
      <c r="T842" s="12"/>
      <c r="U842" s="12"/>
      <c r="V842" s="12"/>
      <c r="W842" s="12"/>
      <c r="X842" s="12"/>
      <c r="Y842" s="12"/>
      <c r="Z842" s="12"/>
      <c r="AA842" s="12"/>
      <c r="AB842" s="12"/>
      <c r="AC842" s="12"/>
      <c r="AD842" s="12"/>
      <c r="BD842" s="13">
        <v>42856</v>
      </c>
      <c r="BE842" s="12"/>
      <c r="BF842" s="12"/>
      <c r="BG842" s="12" t="s">
        <v>908</v>
      </c>
      <c r="BH842" s="14"/>
      <c r="BI842" s="12" t="s">
        <v>12972</v>
      </c>
      <c r="BJ842" s="12" t="s">
        <v>12973</v>
      </c>
      <c r="BK842" s="12" t="s">
        <v>12974</v>
      </c>
      <c r="BL842" s="12" t="s">
        <v>13005</v>
      </c>
      <c r="BM842" s="12" t="s">
        <v>13006</v>
      </c>
      <c r="BN842" s="12" t="s">
        <v>13007</v>
      </c>
      <c r="BO842" s="12" t="s">
        <v>320</v>
      </c>
      <c r="BP842" s="12" t="s">
        <v>320</v>
      </c>
      <c r="BQ842" s="12" t="s">
        <v>320</v>
      </c>
      <c r="BR842" s="12" t="s">
        <v>13008</v>
      </c>
      <c r="BS842" s="12" t="s">
        <v>849</v>
      </c>
      <c r="BT842" s="12" t="s">
        <v>849</v>
      </c>
      <c r="BU842" s="12" t="s">
        <v>13009</v>
      </c>
      <c r="BV842" s="14"/>
      <c r="BW842" s="14"/>
      <c r="BX842" s="14"/>
      <c r="BY842" s="14"/>
      <c r="BZ842" s="14"/>
      <c r="CA842" s="14"/>
      <c r="CB842" s="12" t="s">
        <v>13010</v>
      </c>
      <c r="CD842" s="14"/>
      <c r="CE842" s="14"/>
      <c r="CF842" s="14"/>
      <c r="CG842" s="14"/>
      <c r="CH842" s="14"/>
      <c r="CI842" s="14"/>
      <c r="CJ842" s="12" t="s">
        <v>319</v>
      </c>
      <c r="CK842" s="14"/>
      <c r="CL842" s="16"/>
      <c r="CM842" s="14"/>
      <c r="CN842" s="12" t="s">
        <v>319</v>
      </c>
      <c r="CO842" s="14"/>
      <c r="CP842" s="16"/>
      <c r="CQ842" s="14"/>
      <c r="CR842" s="12" t="s">
        <v>319</v>
      </c>
      <c r="CS842" s="14"/>
      <c r="CT842" s="16"/>
      <c r="CU842" s="14"/>
      <c r="CV842" s="12" t="s">
        <v>320</v>
      </c>
      <c r="CW842" s="14"/>
      <c r="CX842" s="16"/>
      <c r="CY842" s="14"/>
      <c r="CZ842" s="12" t="s">
        <v>319</v>
      </c>
      <c r="DA842" s="14"/>
      <c r="DB842" s="16"/>
      <c r="DC842" s="14"/>
      <c r="DD842" s="12" t="s">
        <v>319</v>
      </c>
      <c r="DE842" s="14"/>
      <c r="DF842" s="16"/>
      <c r="DG842" s="14"/>
      <c r="DH842" s="11" t="s">
        <v>319</v>
      </c>
      <c r="DI842" s="14"/>
      <c r="DJ842" s="16"/>
      <c r="DK842" s="14"/>
      <c r="DL842" s="12" t="s">
        <v>319</v>
      </c>
      <c r="DM842" s="14"/>
      <c r="DN842" s="16"/>
      <c r="DO842" s="14"/>
      <c r="DP842" s="12" t="s">
        <v>319</v>
      </c>
      <c r="DQ842" s="14"/>
      <c r="DR842" s="16"/>
      <c r="DS842" s="14"/>
      <c r="DT842" s="12" t="s">
        <v>319</v>
      </c>
      <c r="DU842" s="14"/>
      <c r="DV842" s="16"/>
      <c r="DW842" s="14"/>
      <c r="DX842" s="12" t="s">
        <v>319</v>
      </c>
      <c r="DY842" s="14"/>
      <c r="DZ842" s="16"/>
      <c r="EA842" s="14"/>
      <c r="EB842" s="12" t="s">
        <v>319</v>
      </c>
      <c r="EC842" s="14"/>
      <c r="ED842" s="16"/>
      <c r="EE842" s="14"/>
      <c r="EF842" s="12"/>
      <c r="EG842" s="12"/>
      <c r="EH842" s="14"/>
      <c r="EI842" s="16"/>
      <c r="EJ842" s="14"/>
      <c r="EK842" s="14"/>
      <c r="EL842" s="14"/>
      <c r="EM842" s="14"/>
      <c r="EN842" s="14"/>
      <c r="EO842" s="14"/>
      <c r="EP842" s="14"/>
      <c r="EQ842" s="12" t="s">
        <v>320</v>
      </c>
      <c r="ER842" s="14"/>
      <c r="ES842" s="16"/>
      <c r="ET842" s="14"/>
      <c r="EU842" s="12" t="s">
        <v>320</v>
      </c>
      <c r="EV842" s="14"/>
      <c r="EW842" s="16"/>
      <c r="EX842" s="14"/>
      <c r="EY842" s="12" t="s">
        <v>319</v>
      </c>
      <c r="EZ842" s="14"/>
      <c r="FA842" s="16"/>
      <c r="FB842" s="14"/>
      <c r="FC842" s="12" t="s">
        <v>320</v>
      </c>
      <c r="FD842" s="14"/>
      <c r="FE842" s="16"/>
      <c r="FF842" s="14"/>
      <c r="FG842" s="12" t="s">
        <v>320</v>
      </c>
      <c r="FH842" s="14"/>
      <c r="FI842" s="16"/>
      <c r="FJ842" s="14"/>
      <c r="FK842" s="12" t="s">
        <v>319</v>
      </c>
      <c r="FL842" s="14"/>
      <c r="FM842" s="16"/>
      <c r="FN842" s="14"/>
      <c r="FO842" s="12" t="s">
        <v>320</v>
      </c>
      <c r="FP842" s="14"/>
      <c r="FQ842" s="16"/>
      <c r="FR842" s="14"/>
      <c r="FS842" s="12" t="s">
        <v>319</v>
      </c>
      <c r="FT842" s="14"/>
      <c r="FU842" s="16"/>
      <c r="FV842" s="14"/>
      <c r="FW842" s="12" t="s">
        <v>320</v>
      </c>
      <c r="FX842" s="14"/>
      <c r="FY842" s="16"/>
      <c r="FZ842" s="14"/>
      <c r="GA842" s="12" t="s">
        <v>319</v>
      </c>
      <c r="GB842" s="14"/>
      <c r="GC842" s="16"/>
      <c r="GD842" s="14"/>
      <c r="GE842" s="11" t="s">
        <v>320</v>
      </c>
      <c r="GF842" s="14"/>
      <c r="GG842" s="16"/>
      <c r="GH842" s="14"/>
      <c r="GI842" s="12" t="s">
        <v>320</v>
      </c>
      <c r="GJ842" s="14"/>
      <c r="GK842" s="16"/>
      <c r="GL842" s="14"/>
      <c r="GM842" s="12" t="s">
        <v>319</v>
      </c>
      <c r="GN842" s="14"/>
      <c r="GO842" s="16"/>
      <c r="GP842" s="14"/>
      <c r="GQ842" s="12" t="s">
        <v>319</v>
      </c>
      <c r="GR842" s="14"/>
      <c r="GS842" s="16"/>
      <c r="GT842" s="14"/>
      <c r="GU842" s="12" t="s">
        <v>319</v>
      </c>
      <c r="GV842" s="14"/>
      <c r="GW842" s="16"/>
      <c r="GX842" s="14"/>
      <c r="GY842" s="12" t="s">
        <v>320</v>
      </c>
      <c r="GZ842" s="14"/>
      <c r="HA842" s="16"/>
      <c r="HB842" s="14"/>
      <c r="HC842" s="12"/>
      <c r="HD842" s="12"/>
      <c r="HE842" s="14"/>
      <c r="HF842" s="16"/>
      <c r="HG842" s="14"/>
      <c r="HH842" s="12" t="s">
        <v>319</v>
      </c>
      <c r="HI842" s="12"/>
      <c r="HJ842" s="12"/>
      <c r="HK842" s="12" t="s">
        <v>319</v>
      </c>
      <c r="HL842" s="12" t="s">
        <v>319</v>
      </c>
      <c r="HM842" s="12"/>
      <c r="HN842" s="12"/>
      <c r="HO842" s="12"/>
      <c r="HP842" s="12" t="s">
        <v>453</v>
      </c>
      <c r="HQ842" s="12" t="s">
        <v>319</v>
      </c>
      <c r="HR842" s="12" t="s">
        <v>320</v>
      </c>
      <c r="HS842" s="12" t="s">
        <v>319</v>
      </c>
      <c r="HT842" s="12" t="s">
        <v>320</v>
      </c>
      <c r="HU842" s="12" t="s">
        <v>319</v>
      </c>
      <c r="HV842" s="12" t="s">
        <v>319</v>
      </c>
      <c r="HW842" s="12" t="s">
        <v>319</v>
      </c>
      <c r="HX842" s="12"/>
      <c r="HY842" s="12"/>
      <c r="HZ842" s="12"/>
      <c r="IA842" s="12"/>
      <c r="IB842" s="12"/>
      <c r="IC842" s="12"/>
      <c r="ID842" s="12"/>
      <c r="IE842" s="12"/>
      <c r="IF842" s="12"/>
      <c r="IG842" s="12"/>
      <c r="IH842" s="12"/>
      <c r="II842" s="12"/>
      <c r="IJ842" s="12" t="str">
        <f t="shared" si="560"/>
        <v>No marker score</v>
      </c>
      <c r="IK842" s="12">
        <f t="shared" si="561"/>
        <v>0</v>
      </c>
      <c r="IL842" s="12"/>
      <c r="IM842" s="12"/>
      <c r="IN842" s="12"/>
      <c r="IO842" s="12"/>
      <c r="IP842" s="12"/>
      <c r="IQ842" s="12" t="str">
        <f t="shared" si="562"/>
        <v>No marker score</v>
      </c>
      <c r="IR842" s="12">
        <f t="shared" si="563"/>
        <v>0</v>
      </c>
      <c r="IS842" s="12"/>
      <c r="IT842" s="12"/>
      <c r="IU842" s="12"/>
      <c r="IV842" s="12"/>
      <c r="IW842" s="11" t="str">
        <f t="shared" si="564"/>
        <v>No marker score</v>
      </c>
      <c r="IX842" s="12">
        <f t="shared" si="565"/>
        <v>0</v>
      </c>
      <c r="IY842" s="12"/>
      <c r="IZ842" s="12" t="s">
        <v>527</v>
      </c>
      <c r="JA842" s="12"/>
      <c r="JB842" s="12" t="s">
        <v>831</v>
      </c>
      <c r="JC842" s="12" t="s">
        <v>724</v>
      </c>
      <c r="JD842" s="12" t="s">
        <v>624</v>
      </c>
      <c r="JE842" s="12"/>
      <c r="JF842" s="12"/>
      <c r="JG842" s="12" t="s">
        <v>13011</v>
      </c>
      <c r="JH842" s="12" t="s">
        <v>13012</v>
      </c>
      <c r="JI842" s="12"/>
      <c r="JJ842" s="12"/>
      <c r="JK842" s="12" t="s">
        <v>13013</v>
      </c>
      <c r="JL842" s="12"/>
      <c r="JM842" s="12"/>
      <c r="JN842" s="12" t="s">
        <v>13014</v>
      </c>
      <c r="JO842" s="12"/>
      <c r="JP842" s="15">
        <f t="shared" si="566"/>
        <v>0</v>
      </c>
      <c r="JQ842" s="15">
        <f t="shared" si="567"/>
        <v>0</v>
      </c>
      <c r="JR842" s="279" t="str">
        <f t="shared" si="568"/>
        <v/>
      </c>
      <c r="JS842" s="17" t="str">
        <f t="shared" si="569"/>
        <v/>
      </c>
      <c r="JT842" s="18" t="str">
        <f t="shared" si="570"/>
        <v/>
      </c>
      <c r="JU842" s="280">
        <f t="shared" si="571"/>
        <v>0</v>
      </c>
      <c r="JV842" s="280">
        <f t="shared" si="572"/>
        <v>0</v>
      </c>
      <c r="JW842" s="319">
        <f t="shared" si="573"/>
        <v>1</v>
      </c>
      <c r="JX842" s="15">
        <f t="shared" si="574"/>
        <v>0</v>
      </c>
      <c r="JY842" s="15">
        <f t="shared" si="575"/>
        <v>0</v>
      </c>
      <c r="JZ842" s="19" t="str">
        <f t="shared" si="576"/>
        <v/>
      </c>
      <c r="KA842" s="52">
        <f t="shared" si="577"/>
        <v>1</v>
      </c>
      <c r="KB842" s="15">
        <f t="shared" si="578"/>
        <v>0</v>
      </c>
      <c r="KC842" s="15">
        <f t="shared" si="579"/>
        <v>0</v>
      </c>
      <c r="KD842" s="20" t="str">
        <f t="shared" si="580"/>
        <v/>
      </c>
      <c r="KE842" s="52" t="str">
        <f t="shared" si="581"/>
        <v/>
      </c>
      <c r="KF842" s="15">
        <f t="shared" si="582"/>
        <v>0</v>
      </c>
      <c r="KG842" s="15">
        <f t="shared" si="583"/>
        <v>0</v>
      </c>
      <c r="KH842" s="21" t="str">
        <f t="shared" si="584"/>
        <v/>
      </c>
      <c r="KI842" s="52" t="str">
        <f t="shared" si="585"/>
        <v/>
      </c>
      <c r="KJ842" s="15">
        <f t="shared" si="586"/>
        <v>0</v>
      </c>
      <c r="KK842" s="15">
        <f t="shared" si="587"/>
        <v>0</v>
      </c>
      <c r="KL842" s="19" t="str">
        <f t="shared" si="588"/>
        <v/>
      </c>
      <c r="KM842" s="52">
        <f t="shared" si="589"/>
        <v>1</v>
      </c>
      <c r="KN842" s="22">
        <f t="shared" si="590"/>
        <v>0</v>
      </c>
      <c r="KO842" s="22">
        <f t="shared" si="591"/>
        <v>0</v>
      </c>
      <c r="KP842" s="19" t="str">
        <f t="shared" si="592"/>
        <v/>
      </c>
      <c r="KQ842" s="11" t="str">
        <f t="shared" si="593"/>
        <v>No marker score</v>
      </c>
      <c r="KR842" s="11" t="str">
        <f t="shared" si="594"/>
        <v>No marker score</v>
      </c>
      <c r="KS842" s="11" t="str">
        <f t="shared" si="595"/>
        <v>No marker score</v>
      </c>
      <c r="KT842" s="11">
        <f t="shared" si="596"/>
        <v>0</v>
      </c>
      <c r="KU842" s="11" t="str">
        <f t="shared" si="597"/>
        <v>Intensive advocacy</v>
      </c>
      <c r="KV842" s="11">
        <f t="shared" si="598"/>
        <v>0</v>
      </c>
      <c r="KW842" s="11" t="str">
        <f t="shared" si="599"/>
        <v>United States of America - Farm Bill 2018</v>
      </c>
      <c r="KX842" s="11" t="str">
        <f t="shared" si="600"/>
        <v>Farm Bill 2018</v>
      </c>
      <c r="KY842" s="11" t="str">
        <f t="shared" si="601"/>
        <v>United States of America</v>
      </c>
      <c r="KZ842" s="12">
        <v>843</v>
      </c>
    </row>
    <row r="843" spans="1:312" x14ac:dyDescent="0.3">
      <c r="A843" s="11" t="s">
        <v>12969</v>
      </c>
      <c r="B843" s="11" t="s">
        <v>12970</v>
      </c>
      <c r="D843" s="11" t="s">
        <v>13015</v>
      </c>
      <c r="E843" s="277" t="str">
        <f t="shared" si="559"/>
        <v>United States of America</v>
      </c>
      <c r="G843" s="12" t="s">
        <v>379</v>
      </c>
      <c r="J843" s="278"/>
      <c r="BD843" s="23">
        <v>42835</v>
      </c>
      <c r="BE843" s="23">
        <v>42836</v>
      </c>
      <c r="BG843" s="11" t="s">
        <v>817</v>
      </c>
      <c r="BI843" s="26" t="s">
        <v>12972</v>
      </c>
      <c r="BJ843" s="12" t="s">
        <v>12973</v>
      </c>
      <c r="BK843" s="12" t="s">
        <v>12974</v>
      </c>
      <c r="BL843" s="11" t="s">
        <v>13016</v>
      </c>
      <c r="BM843" s="11" t="s">
        <v>13017</v>
      </c>
      <c r="BN843" s="11" t="s">
        <v>13018</v>
      </c>
      <c r="BO843" s="11" t="s">
        <v>320</v>
      </c>
      <c r="BP843" s="11" t="s">
        <v>319</v>
      </c>
      <c r="BQ843" s="11" t="s">
        <v>319</v>
      </c>
      <c r="BR843" s="11" t="s">
        <v>13019</v>
      </c>
      <c r="BS843" s="11" t="s">
        <v>849</v>
      </c>
      <c r="BT843" s="11" t="s">
        <v>13020</v>
      </c>
      <c r="BU843" s="11" t="s">
        <v>13021</v>
      </c>
      <c r="CA843" s="22">
        <v>20000000</v>
      </c>
      <c r="CB843" s="15" t="s">
        <v>13022</v>
      </c>
      <c r="CL843" s="18"/>
      <c r="CP843" s="18"/>
      <c r="CT843" s="18"/>
      <c r="CX843" s="18"/>
      <c r="DB843" s="18"/>
      <c r="DF843" s="18"/>
      <c r="DJ843" s="18"/>
      <c r="DN843" s="18"/>
      <c r="DR843" s="18"/>
      <c r="DV843" s="18"/>
      <c r="DZ843" s="18"/>
      <c r="ED843" s="18"/>
      <c r="EI843" s="18"/>
      <c r="ES843" s="18"/>
      <c r="EW843" s="18"/>
      <c r="FA843" s="18"/>
      <c r="FE843" s="18"/>
      <c r="FI843" s="18"/>
      <c r="FM843" s="18"/>
      <c r="FQ843" s="18"/>
      <c r="FU843" s="18"/>
      <c r="FY843" s="18"/>
      <c r="GC843" s="18"/>
      <c r="GG843" s="18"/>
      <c r="GK843" s="18"/>
      <c r="GO843" s="18"/>
      <c r="GS843" s="18"/>
      <c r="GW843" s="18"/>
      <c r="HA843" s="18"/>
      <c r="HF843" s="18"/>
      <c r="HH843" s="11" t="s">
        <v>319</v>
      </c>
      <c r="HK843" s="11" t="s">
        <v>319</v>
      </c>
      <c r="HL843" s="11" t="s">
        <v>319</v>
      </c>
      <c r="HP843" s="11" t="s">
        <v>330</v>
      </c>
      <c r="HQ843" s="11" t="s">
        <v>319</v>
      </c>
      <c r="HR843" s="11" t="s">
        <v>319</v>
      </c>
      <c r="HS843" s="11" t="s">
        <v>319</v>
      </c>
      <c r="HT843" s="11" t="s">
        <v>319</v>
      </c>
      <c r="HU843" s="11" t="s">
        <v>319</v>
      </c>
      <c r="HV843" s="11" t="s">
        <v>320</v>
      </c>
      <c r="HW843" s="11" t="s">
        <v>319</v>
      </c>
      <c r="HX843" s="11" t="s">
        <v>319</v>
      </c>
      <c r="ID843" s="11" t="s">
        <v>334</v>
      </c>
      <c r="IJ843" s="12" t="str">
        <f t="shared" si="560"/>
        <v>No marker score</v>
      </c>
      <c r="IK843" s="12">
        <f t="shared" si="561"/>
        <v>0</v>
      </c>
      <c r="IQ843" s="12" t="str">
        <f t="shared" si="562"/>
        <v>No marker score</v>
      </c>
      <c r="IR843" s="12">
        <f t="shared" si="563"/>
        <v>0</v>
      </c>
      <c r="IW843" s="11" t="str">
        <f t="shared" si="564"/>
        <v>No marker score</v>
      </c>
      <c r="IX843" s="12">
        <f t="shared" si="565"/>
        <v>0</v>
      </c>
      <c r="IZ843" s="11" t="s">
        <v>527</v>
      </c>
      <c r="JB843" s="11" t="s">
        <v>831</v>
      </c>
      <c r="JC843" s="11" t="s">
        <v>832</v>
      </c>
      <c r="JD843" s="11" t="s">
        <v>623</v>
      </c>
      <c r="JE843" s="11" t="s">
        <v>365</v>
      </c>
      <c r="JF843" s="11" t="s">
        <v>13023</v>
      </c>
      <c r="JK843" s="11" t="s">
        <v>13024</v>
      </c>
      <c r="JN843" s="11" t="s">
        <v>13025</v>
      </c>
      <c r="JP843" s="15">
        <f t="shared" si="566"/>
        <v>0</v>
      </c>
      <c r="JQ843" s="15">
        <f t="shared" si="567"/>
        <v>0</v>
      </c>
      <c r="JR843" s="279" t="str">
        <f t="shared" si="568"/>
        <v/>
      </c>
      <c r="JS843" s="17" t="str">
        <f t="shared" si="569"/>
        <v/>
      </c>
      <c r="JT843" s="18" t="str">
        <f t="shared" si="570"/>
        <v/>
      </c>
      <c r="JU843" s="280">
        <f t="shared" si="571"/>
        <v>0</v>
      </c>
      <c r="JV843" s="280">
        <f t="shared" si="572"/>
        <v>0</v>
      </c>
      <c r="JW843" s="319">
        <f t="shared" si="573"/>
        <v>1</v>
      </c>
      <c r="JX843" s="15">
        <f t="shared" si="574"/>
        <v>0</v>
      </c>
      <c r="JY843" s="15">
        <f t="shared" si="575"/>
        <v>0</v>
      </c>
      <c r="JZ843" s="19" t="str">
        <f t="shared" si="576"/>
        <v/>
      </c>
      <c r="KA843" s="52" t="str">
        <f t="shared" si="577"/>
        <v/>
      </c>
      <c r="KB843" s="15">
        <f t="shared" si="578"/>
        <v>0</v>
      </c>
      <c r="KC843" s="15">
        <f t="shared" si="579"/>
        <v>0</v>
      </c>
      <c r="KD843" s="20" t="str">
        <f t="shared" si="580"/>
        <v/>
      </c>
      <c r="KE843" s="52" t="str">
        <f t="shared" si="581"/>
        <v/>
      </c>
      <c r="KF843" s="15">
        <f t="shared" si="582"/>
        <v>0</v>
      </c>
      <c r="KG843" s="15">
        <f t="shared" si="583"/>
        <v>0</v>
      </c>
      <c r="KH843" s="21" t="str">
        <f t="shared" si="584"/>
        <v/>
      </c>
      <c r="KI843" s="52" t="str">
        <f t="shared" si="585"/>
        <v/>
      </c>
      <c r="KJ843" s="15">
        <f t="shared" si="586"/>
        <v>0</v>
      </c>
      <c r="KK843" s="15">
        <f t="shared" si="587"/>
        <v>0</v>
      </c>
      <c r="KL843" s="19" t="str">
        <f t="shared" si="588"/>
        <v/>
      </c>
      <c r="KM843" s="52" t="str">
        <f t="shared" si="589"/>
        <v/>
      </c>
      <c r="KN843" s="22">
        <f t="shared" si="590"/>
        <v>0</v>
      </c>
      <c r="KO843" s="22">
        <f t="shared" si="591"/>
        <v>0</v>
      </c>
      <c r="KP843" s="19" t="str">
        <f t="shared" si="592"/>
        <v/>
      </c>
      <c r="KQ843" s="11" t="str">
        <f t="shared" si="593"/>
        <v>No marker score</v>
      </c>
      <c r="KR843" s="11" t="str">
        <f t="shared" si="594"/>
        <v>No marker score</v>
      </c>
      <c r="KS843" s="11" t="str">
        <f t="shared" si="595"/>
        <v>No marker score</v>
      </c>
      <c r="KT843" s="11">
        <f t="shared" si="596"/>
        <v>0</v>
      </c>
      <c r="KU843" s="11" t="str">
        <f t="shared" si="597"/>
        <v>Moderate advocacy</v>
      </c>
      <c r="KV843" s="11">
        <f t="shared" si="598"/>
        <v>0</v>
      </c>
      <c r="KW843" s="11" t="str">
        <f t="shared" si="599"/>
        <v>United States of America - G7 Foreign Ministers Meeting_CARE USA</v>
      </c>
      <c r="KX843" s="11" t="str">
        <f t="shared" si="600"/>
        <v>G7 Foreign Ministers Meeting_CARE USA</v>
      </c>
      <c r="KY843" s="11" t="str">
        <f t="shared" si="601"/>
        <v>United States of America</v>
      </c>
      <c r="KZ843" s="12">
        <v>844</v>
      </c>
    </row>
    <row r="844" spans="1:312" x14ac:dyDescent="0.3">
      <c r="A844" s="11" t="s">
        <v>12969</v>
      </c>
      <c r="B844" s="11" t="s">
        <v>12970</v>
      </c>
      <c r="D844" s="11" t="s">
        <v>13026</v>
      </c>
      <c r="E844" s="24" t="str">
        <f t="shared" si="559"/>
        <v>United States of America</v>
      </c>
      <c r="G844" s="12" t="s">
        <v>379</v>
      </c>
      <c r="J844" s="278"/>
      <c r="BD844" s="23">
        <v>42881</v>
      </c>
      <c r="BE844" s="23">
        <v>42882</v>
      </c>
      <c r="BG844" s="11" t="s">
        <v>817</v>
      </c>
      <c r="BI844" s="26" t="s">
        <v>12972</v>
      </c>
      <c r="BJ844" s="12" t="s">
        <v>12973</v>
      </c>
      <c r="BK844" s="12" t="s">
        <v>12974</v>
      </c>
      <c r="BL844" s="11" t="s">
        <v>13016</v>
      </c>
      <c r="BM844" s="11" t="s">
        <v>13017</v>
      </c>
      <c r="BN844" s="11" t="s">
        <v>13018</v>
      </c>
      <c r="BO844" s="11" t="s">
        <v>320</v>
      </c>
      <c r="BP844" s="11" t="s">
        <v>319</v>
      </c>
      <c r="BQ844" s="11" t="s">
        <v>319</v>
      </c>
      <c r="BR844" s="11" t="s">
        <v>13027</v>
      </c>
      <c r="BS844" s="11" t="s">
        <v>849</v>
      </c>
      <c r="BT844" s="11" t="s">
        <v>13020</v>
      </c>
      <c r="BU844" s="11" t="s">
        <v>13021</v>
      </c>
      <c r="CA844" s="29"/>
      <c r="CB844" s="15" t="s">
        <v>13022</v>
      </c>
      <c r="CL844" s="18"/>
      <c r="CP844" s="18"/>
      <c r="CT844" s="18"/>
      <c r="CX844" s="18"/>
      <c r="DB844" s="18"/>
      <c r="DF844" s="18"/>
      <c r="DJ844" s="18"/>
      <c r="DN844" s="18"/>
      <c r="DR844" s="18"/>
      <c r="DV844" s="18"/>
      <c r="DZ844" s="18"/>
      <c r="ED844" s="18"/>
      <c r="EI844" s="18"/>
      <c r="ES844" s="18"/>
      <c r="EW844" s="18"/>
      <c r="FA844" s="18"/>
      <c r="FE844" s="18"/>
      <c r="FI844" s="18"/>
      <c r="FM844" s="18"/>
      <c r="FQ844" s="18"/>
      <c r="FU844" s="18"/>
      <c r="FY844" s="18"/>
      <c r="GC844" s="18"/>
      <c r="GG844" s="18"/>
      <c r="GK844" s="18"/>
      <c r="GO844" s="18"/>
      <c r="GS844" s="18"/>
      <c r="GW844" s="18"/>
      <c r="HA844" s="18"/>
      <c r="HF844" s="18"/>
      <c r="HH844" s="11" t="s">
        <v>319</v>
      </c>
      <c r="HK844" s="11" t="s">
        <v>319</v>
      </c>
      <c r="HL844" s="11" t="s">
        <v>319</v>
      </c>
      <c r="HP844" s="11" t="s">
        <v>330</v>
      </c>
      <c r="HQ844" s="11" t="s">
        <v>319</v>
      </c>
      <c r="HR844" s="11" t="s">
        <v>319</v>
      </c>
      <c r="HS844" s="11" t="s">
        <v>319</v>
      </c>
      <c r="HT844" s="11" t="s">
        <v>319</v>
      </c>
      <c r="HU844" s="11" t="s">
        <v>319</v>
      </c>
      <c r="HV844" s="11" t="s">
        <v>320</v>
      </c>
      <c r="HW844" s="11" t="s">
        <v>319</v>
      </c>
      <c r="HX844" s="11" t="s">
        <v>319</v>
      </c>
      <c r="ID844" s="11" t="s">
        <v>334</v>
      </c>
      <c r="IJ844" s="12" t="str">
        <f t="shared" si="560"/>
        <v>No marker score</v>
      </c>
      <c r="IK844" s="12">
        <f t="shared" si="561"/>
        <v>0</v>
      </c>
      <c r="IQ844" s="12" t="str">
        <f t="shared" si="562"/>
        <v>No marker score</v>
      </c>
      <c r="IR844" s="12">
        <f t="shared" si="563"/>
        <v>0</v>
      </c>
      <c r="IW844" s="11" t="str">
        <f t="shared" si="564"/>
        <v>No marker score</v>
      </c>
      <c r="IX844" s="12">
        <f t="shared" si="565"/>
        <v>0</v>
      </c>
      <c r="IZ844" s="11" t="s">
        <v>527</v>
      </c>
      <c r="JB844" s="11" t="s">
        <v>831</v>
      </c>
      <c r="JC844" s="11" t="s">
        <v>832</v>
      </c>
      <c r="JD844" s="11" t="s">
        <v>623</v>
      </c>
      <c r="JE844" s="11" t="s">
        <v>365</v>
      </c>
      <c r="JF844" s="11" t="s">
        <v>13028</v>
      </c>
      <c r="JK844" s="11" t="s">
        <v>13024</v>
      </c>
      <c r="JN844" s="11" t="s">
        <v>13029</v>
      </c>
      <c r="JP844" s="15">
        <f t="shared" si="566"/>
        <v>0</v>
      </c>
      <c r="JQ844" s="15">
        <f t="shared" si="567"/>
        <v>0</v>
      </c>
      <c r="JR844" s="279" t="str">
        <f t="shared" si="568"/>
        <v/>
      </c>
      <c r="JS844" s="17" t="str">
        <f t="shared" si="569"/>
        <v/>
      </c>
      <c r="JT844" s="18" t="str">
        <f t="shared" si="570"/>
        <v/>
      </c>
      <c r="JU844" s="280">
        <f t="shared" si="571"/>
        <v>0</v>
      </c>
      <c r="JV844" s="280">
        <f t="shared" si="572"/>
        <v>0</v>
      </c>
      <c r="JW844" s="319">
        <f t="shared" si="573"/>
        <v>1</v>
      </c>
      <c r="JX844" s="15">
        <f t="shared" si="574"/>
        <v>0</v>
      </c>
      <c r="JY844" s="15">
        <f t="shared" si="575"/>
        <v>0</v>
      </c>
      <c r="JZ844" s="19" t="str">
        <f t="shared" si="576"/>
        <v/>
      </c>
      <c r="KA844" s="52" t="str">
        <f t="shared" si="577"/>
        <v/>
      </c>
      <c r="KB844" s="15">
        <f t="shared" si="578"/>
        <v>0</v>
      </c>
      <c r="KC844" s="15">
        <f t="shared" si="579"/>
        <v>0</v>
      </c>
      <c r="KD844" s="20" t="str">
        <f t="shared" si="580"/>
        <v/>
      </c>
      <c r="KE844" s="52" t="str">
        <f t="shared" si="581"/>
        <v/>
      </c>
      <c r="KF844" s="15">
        <f t="shared" si="582"/>
        <v>0</v>
      </c>
      <c r="KG844" s="15">
        <f t="shared" si="583"/>
        <v>0</v>
      </c>
      <c r="KH844" s="21" t="str">
        <f t="shared" si="584"/>
        <v/>
      </c>
      <c r="KI844" s="52" t="str">
        <f t="shared" si="585"/>
        <v/>
      </c>
      <c r="KJ844" s="15">
        <f t="shared" si="586"/>
        <v>0</v>
      </c>
      <c r="KK844" s="15">
        <f t="shared" si="587"/>
        <v>0</v>
      </c>
      <c r="KL844" s="19" t="str">
        <f t="shared" si="588"/>
        <v/>
      </c>
      <c r="KM844" s="52" t="str">
        <f t="shared" si="589"/>
        <v/>
      </c>
      <c r="KN844" s="22">
        <f t="shared" si="590"/>
        <v>0</v>
      </c>
      <c r="KO844" s="22">
        <f t="shared" si="591"/>
        <v>0</v>
      </c>
      <c r="KP844" s="19" t="str">
        <f t="shared" si="592"/>
        <v/>
      </c>
      <c r="KQ844" s="11" t="str">
        <f t="shared" si="593"/>
        <v>No marker score</v>
      </c>
      <c r="KR844" s="11" t="str">
        <f t="shared" si="594"/>
        <v>No marker score</v>
      </c>
      <c r="KS844" s="11" t="str">
        <f t="shared" si="595"/>
        <v>No marker score</v>
      </c>
      <c r="KT844" s="11">
        <f t="shared" si="596"/>
        <v>0</v>
      </c>
      <c r="KU844" s="11" t="str">
        <f t="shared" si="597"/>
        <v>Moderate advocacy</v>
      </c>
      <c r="KV844" s="11">
        <f t="shared" si="598"/>
        <v>0</v>
      </c>
      <c r="KW844" s="11" t="str">
        <f t="shared" si="599"/>
        <v>United States of America - G7 Summit_CARE USA</v>
      </c>
      <c r="KX844" s="11" t="str">
        <f t="shared" si="600"/>
        <v>G7 Summit_CARE USA</v>
      </c>
      <c r="KY844" s="11" t="str">
        <f t="shared" si="601"/>
        <v>United States of America</v>
      </c>
      <c r="KZ844" s="12">
        <v>845</v>
      </c>
    </row>
    <row r="845" spans="1:312" x14ac:dyDescent="0.3">
      <c r="A845" s="12" t="s">
        <v>12969</v>
      </c>
      <c r="B845" s="12" t="s">
        <v>12970</v>
      </c>
      <c r="C845" s="12"/>
      <c r="D845" s="12" t="s">
        <v>13030</v>
      </c>
      <c r="E845" s="24" t="str">
        <f t="shared" si="559"/>
        <v>United States of America</v>
      </c>
      <c r="F845" s="12"/>
      <c r="G845" s="12" t="s">
        <v>379</v>
      </c>
      <c r="H845" s="12"/>
      <c r="I845" s="12"/>
      <c r="J845" s="281"/>
      <c r="K845" s="12"/>
      <c r="L845" s="12"/>
      <c r="M845" s="12"/>
      <c r="N845" s="12"/>
      <c r="O845" s="12"/>
      <c r="P845" s="12"/>
      <c r="Q845" s="12"/>
      <c r="R845" s="12"/>
      <c r="S845" s="12"/>
      <c r="T845" s="12"/>
      <c r="U845" s="12"/>
      <c r="V845" s="12"/>
      <c r="W845" s="12"/>
      <c r="X845" s="12"/>
      <c r="Y845" s="12"/>
      <c r="Z845" s="12"/>
      <c r="AA845" s="12"/>
      <c r="AB845" s="12"/>
      <c r="AC845" s="12"/>
      <c r="AD845" s="12"/>
      <c r="BD845" s="13">
        <v>42738</v>
      </c>
      <c r="BE845" s="12"/>
      <c r="BF845" s="12"/>
      <c r="BG845" s="12" t="s">
        <v>490</v>
      </c>
      <c r="BH845" s="14"/>
      <c r="BI845" s="12" t="s">
        <v>12972</v>
      </c>
      <c r="BJ845" s="12" t="s">
        <v>13031</v>
      </c>
      <c r="BK845" s="12" t="s">
        <v>12974</v>
      </c>
      <c r="BL845" s="12" t="s">
        <v>13032</v>
      </c>
      <c r="BM845" s="12" t="s">
        <v>12976</v>
      </c>
      <c r="BN845" s="12" t="s">
        <v>13033</v>
      </c>
      <c r="BO845" s="12" t="s">
        <v>320</v>
      </c>
      <c r="BP845" s="12" t="s">
        <v>320</v>
      </c>
      <c r="BQ845" s="12" t="s">
        <v>320</v>
      </c>
      <c r="BR845" s="12" t="s">
        <v>13034</v>
      </c>
      <c r="BS845" s="12" t="s">
        <v>849</v>
      </c>
      <c r="BT845" s="12"/>
      <c r="BU845" s="12" t="s">
        <v>13035</v>
      </c>
      <c r="BV845" s="14"/>
      <c r="BW845" s="14"/>
      <c r="BX845" s="14"/>
      <c r="BY845" s="14"/>
      <c r="BZ845" s="14"/>
      <c r="CA845" s="14"/>
      <c r="CB845" s="12" t="s">
        <v>13036</v>
      </c>
      <c r="CD845" s="14"/>
      <c r="CE845" s="14"/>
      <c r="CF845" s="14"/>
      <c r="CG845" s="14"/>
      <c r="CH845" s="14"/>
      <c r="CI845" s="14"/>
      <c r="CJ845" s="12" t="s">
        <v>319</v>
      </c>
      <c r="CK845" s="14"/>
      <c r="CL845" s="16"/>
      <c r="CM845" s="14"/>
      <c r="CN845" s="12" t="s">
        <v>319</v>
      </c>
      <c r="CO845" s="14"/>
      <c r="CP845" s="16"/>
      <c r="CQ845" s="14"/>
      <c r="CR845" s="12" t="s">
        <v>319</v>
      </c>
      <c r="CS845" s="14"/>
      <c r="CT845" s="16"/>
      <c r="CU845" s="14"/>
      <c r="CV845" s="12" t="s">
        <v>319</v>
      </c>
      <c r="CW845" s="14"/>
      <c r="CX845" s="16"/>
      <c r="CY845" s="14"/>
      <c r="CZ845" s="12" t="s">
        <v>319</v>
      </c>
      <c r="DA845" s="14"/>
      <c r="DB845" s="16"/>
      <c r="DC845" s="14"/>
      <c r="DD845" s="12" t="s">
        <v>319</v>
      </c>
      <c r="DE845" s="14"/>
      <c r="DF845" s="16"/>
      <c r="DG845" s="14"/>
      <c r="DH845" s="12" t="s">
        <v>319</v>
      </c>
      <c r="DI845" s="14"/>
      <c r="DJ845" s="16"/>
      <c r="DK845" s="14"/>
      <c r="DL845" s="12" t="s">
        <v>319</v>
      </c>
      <c r="DM845" s="14"/>
      <c r="DN845" s="16"/>
      <c r="DO845" s="14"/>
      <c r="DP845" s="12" t="s">
        <v>319</v>
      </c>
      <c r="DQ845" s="14"/>
      <c r="DR845" s="16"/>
      <c r="DS845" s="14"/>
      <c r="DT845" s="12" t="s">
        <v>320</v>
      </c>
      <c r="DU845" s="14"/>
      <c r="DV845" s="16"/>
      <c r="DW845" s="14"/>
      <c r="DX845" s="12" t="s">
        <v>319</v>
      </c>
      <c r="DY845" s="14"/>
      <c r="DZ845" s="16"/>
      <c r="EA845" s="14"/>
      <c r="EB845" s="12" t="s">
        <v>319</v>
      </c>
      <c r="EC845" s="14"/>
      <c r="ED845" s="16"/>
      <c r="EE845" s="14"/>
      <c r="EF845" s="12"/>
      <c r="EG845" s="12"/>
      <c r="EH845" s="14"/>
      <c r="EI845" s="16"/>
      <c r="EJ845" s="14"/>
      <c r="EK845" s="14"/>
      <c r="EL845" s="14"/>
      <c r="EM845" s="14"/>
      <c r="EN845" s="14"/>
      <c r="EO845" s="14"/>
      <c r="EP845" s="14"/>
      <c r="EQ845" s="12" t="s">
        <v>319</v>
      </c>
      <c r="ER845" s="14"/>
      <c r="ES845" s="16"/>
      <c r="ET845" s="14"/>
      <c r="EU845" s="11" t="s">
        <v>319</v>
      </c>
      <c r="EV845" s="14"/>
      <c r="EW845" s="16"/>
      <c r="EX845" s="14"/>
      <c r="EY845" s="12" t="s">
        <v>319</v>
      </c>
      <c r="EZ845" s="14"/>
      <c r="FA845" s="16"/>
      <c r="FB845" s="14"/>
      <c r="FC845" s="12" t="s">
        <v>319</v>
      </c>
      <c r="FD845" s="14"/>
      <c r="FE845" s="16"/>
      <c r="FF845" s="14"/>
      <c r="FG845" s="12" t="s">
        <v>319</v>
      </c>
      <c r="FH845" s="14"/>
      <c r="FI845" s="16"/>
      <c r="FJ845" s="14"/>
      <c r="FK845" s="12" t="s">
        <v>319</v>
      </c>
      <c r="FL845" s="14"/>
      <c r="FM845" s="16"/>
      <c r="FN845" s="14"/>
      <c r="FO845" s="12" t="s">
        <v>319</v>
      </c>
      <c r="FP845" s="14"/>
      <c r="FQ845" s="16"/>
      <c r="FR845" s="14"/>
      <c r="FS845" s="12" t="s">
        <v>319</v>
      </c>
      <c r="FT845" s="14"/>
      <c r="FU845" s="16"/>
      <c r="FV845" s="14"/>
      <c r="FW845" s="12" t="s">
        <v>319</v>
      </c>
      <c r="FX845" s="14"/>
      <c r="FY845" s="16"/>
      <c r="FZ845" s="14"/>
      <c r="GA845" s="12" t="s">
        <v>319</v>
      </c>
      <c r="GB845" s="14"/>
      <c r="GC845" s="16"/>
      <c r="GD845" s="14"/>
      <c r="GE845" s="12" t="s">
        <v>319</v>
      </c>
      <c r="GF845" s="14"/>
      <c r="GG845" s="16"/>
      <c r="GH845" s="14"/>
      <c r="GI845" s="12" t="s">
        <v>319</v>
      </c>
      <c r="GJ845" s="14"/>
      <c r="GK845" s="16"/>
      <c r="GL845" s="14"/>
      <c r="GM845" s="12" t="s">
        <v>319</v>
      </c>
      <c r="GN845" s="14"/>
      <c r="GO845" s="16"/>
      <c r="GP845" s="14"/>
      <c r="GQ845" s="12" t="s">
        <v>320</v>
      </c>
      <c r="GR845" s="14"/>
      <c r="GS845" s="16"/>
      <c r="GT845" s="14"/>
      <c r="GU845" s="12" t="s">
        <v>319</v>
      </c>
      <c r="GV845" s="14"/>
      <c r="GW845" s="16"/>
      <c r="GX845" s="14"/>
      <c r="GY845" s="12" t="s">
        <v>319</v>
      </c>
      <c r="GZ845" s="14"/>
      <c r="HA845" s="16"/>
      <c r="HB845" s="14"/>
      <c r="HC845" s="12"/>
      <c r="HD845" s="12"/>
      <c r="HE845" s="14"/>
      <c r="HF845" s="16"/>
      <c r="HG845" s="14"/>
      <c r="HH845" s="12" t="s">
        <v>319</v>
      </c>
      <c r="HI845" s="12"/>
      <c r="HJ845" s="12"/>
      <c r="HK845" s="12"/>
      <c r="HL845" s="12" t="s">
        <v>319</v>
      </c>
      <c r="HM845" s="12"/>
      <c r="HN845" s="12"/>
      <c r="HO845" s="12"/>
      <c r="HP845" s="12" t="s">
        <v>453</v>
      </c>
      <c r="HQ845" s="12" t="s">
        <v>319</v>
      </c>
      <c r="HR845" s="12" t="s">
        <v>320</v>
      </c>
      <c r="HS845" s="12" t="s">
        <v>319</v>
      </c>
      <c r="HT845" s="12" t="s">
        <v>319</v>
      </c>
      <c r="HU845" s="12" t="s">
        <v>319</v>
      </c>
      <c r="HV845" s="12" t="s">
        <v>319</v>
      </c>
      <c r="HW845" s="12" t="s">
        <v>319</v>
      </c>
      <c r="HX845" s="12"/>
      <c r="HY845" s="12"/>
      <c r="HZ845" s="12"/>
      <c r="IA845" s="12"/>
      <c r="IB845" s="12"/>
      <c r="IC845" s="12"/>
      <c r="ID845" s="12"/>
      <c r="IE845" s="12"/>
      <c r="IF845" s="12"/>
      <c r="IG845" s="12"/>
      <c r="IH845" s="12"/>
      <c r="II845" s="12"/>
      <c r="IJ845" s="12" t="str">
        <f t="shared" si="560"/>
        <v>No marker score</v>
      </c>
      <c r="IK845" s="12">
        <f t="shared" si="561"/>
        <v>0</v>
      </c>
      <c r="IL845" s="12"/>
      <c r="IM845" s="12"/>
      <c r="IN845" s="12"/>
      <c r="IO845" s="12"/>
      <c r="IP845" s="12"/>
      <c r="IQ845" s="12" t="str">
        <f t="shared" si="562"/>
        <v>No marker score</v>
      </c>
      <c r="IR845" s="12">
        <f t="shared" si="563"/>
        <v>0</v>
      </c>
      <c r="IS845" s="12"/>
      <c r="IT845" s="12"/>
      <c r="IU845" s="12"/>
      <c r="IV845" s="12"/>
      <c r="IW845" s="11" t="str">
        <f t="shared" si="564"/>
        <v>No marker score</v>
      </c>
      <c r="IX845" s="12">
        <f t="shared" si="565"/>
        <v>0</v>
      </c>
      <c r="IY845" s="12"/>
      <c r="IZ845" s="12" t="s">
        <v>527</v>
      </c>
      <c r="JA845" s="12"/>
      <c r="JB845" s="12" t="s">
        <v>831</v>
      </c>
      <c r="JC845" s="12" t="s">
        <v>623</v>
      </c>
      <c r="JD845" s="12" t="s">
        <v>624</v>
      </c>
      <c r="JE845" s="12"/>
      <c r="JF845" s="12"/>
      <c r="JG845" s="12" t="s">
        <v>13037</v>
      </c>
      <c r="JH845" s="12"/>
      <c r="JI845" s="12"/>
      <c r="JJ845" s="12"/>
      <c r="JK845" s="12" t="s">
        <v>13038</v>
      </c>
      <c r="JL845" s="12"/>
      <c r="JM845" s="12"/>
      <c r="JN845" s="12"/>
      <c r="JO845" s="12"/>
      <c r="JP845" s="15">
        <f t="shared" si="566"/>
        <v>0</v>
      </c>
      <c r="JQ845" s="15">
        <f t="shared" si="567"/>
        <v>0</v>
      </c>
      <c r="JR845" s="279" t="str">
        <f t="shared" si="568"/>
        <v/>
      </c>
      <c r="JS845" s="17" t="str">
        <f t="shared" si="569"/>
        <v/>
      </c>
      <c r="JT845" s="18" t="str">
        <f t="shared" si="570"/>
        <v/>
      </c>
      <c r="JU845" s="280">
        <f t="shared" si="571"/>
        <v>0</v>
      </c>
      <c r="JV845" s="280">
        <f t="shared" si="572"/>
        <v>0</v>
      </c>
      <c r="JW845" s="319">
        <f t="shared" si="573"/>
        <v>1</v>
      </c>
      <c r="JX845" s="15">
        <f t="shared" si="574"/>
        <v>0</v>
      </c>
      <c r="JY845" s="15">
        <f t="shared" si="575"/>
        <v>0</v>
      </c>
      <c r="JZ845" s="19" t="str">
        <f t="shared" si="576"/>
        <v/>
      </c>
      <c r="KA845" s="52" t="str">
        <f t="shared" si="577"/>
        <v/>
      </c>
      <c r="KB845" s="15">
        <f t="shared" si="578"/>
        <v>0</v>
      </c>
      <c r="KC845" s="15">
        <f t="shared" si="579"/>
        <v>0</v>
      </c>
      <c r="KD845" s="20" t="str">
        <f t="shared" si="580"/>
        <v/>
      </c>
      <c r="KE845" s="52">
        <f t="shared" si="581"/>
        <v>1</v>
      </c>
      <c r="KF845" s="15">
        <f t="shared" si="582"/>
        <v>0</v>
      </c>
      <c r="KG845" s="15">
        <f t="shared" si="583"/>
        <v>0</v>
      </c>
      <c r="KH845" s="21" t="str">
        <f t="shared" si="584"/>
        <v/>
      </c>
      <c r="KI845" s="52" t="str">
        <f t="shared" si="585"/>
        <v/>
      </c>
      <c r="KJ845" s="15">
        <f t="shared" si="586"/>
        <v>0</v>
      </c>
      <c r="KK845" s="15">
        <f t="shared" si="587"/>
        <v>0</v>
      </c>
      <c r="KL845" s="19" t="str">
        <f t="shared" si="588"/>
        <v/>
      </c>
      <c r="KM845" s="52" t="str">
        <f t="shared" si="589"/>
        <v/>
      </c>
      <c r="KN845" s="22">
        <f t="shared" si="590"/>
        <v>0</v>
      </c>
      <c r="KO845" s="22">
        <f t="shared" si="591"/>
        <v>0</v>
      </c>
      <c r="KP845" s="19" t="str">
        <f t="shared" si="592"/>
        <v/>
      </c>
      <c r="KQ845" s="11" t="str">
        <f t="shared" si="593"/>
        <v>No marker score</v>
      </c>
      <c r="KR845" s="11" t="str">
        <f t="shared" si="594"/>
        <v>No marker score</v>
      </c>
      <c r="KS845" s="11" t="str">
        <f t="shared" si="595"/>
        <v>No marker score</v>
      </c>
      <c r="KT845" s="11">
        <f t="shared" si="596"/>
        <v>0</v>
      </c>
      <c r="KU845" s="11" t="str">
        <f t="shared" si="597"/>
        <v>Intensive advocacy</v>
      </c>
      <c r="KV845" s="11">
        <f t="shared" si="598"/>
        <v>0</v>
      </c>
      <c r="KW845" s="11" t="str">
        <f t="shared" si="599"/>
        <v>United States of America - Global Gag Rule / Mexico City Policy</v>
      </c>
      <c r="KX845" s="11" t="str">
        <f t="shared" si="600"/>
        <v>Global Gag Rule / Mexico City Policy</v>
      </c>
      <c r="KY845" s="11" t="str">
        <f t="shared" si="601"/>
        <v>United States of America</v>
      </c>
      <c r="KZ845" s="12">
        <v>846</v>
      </c>
    </row>
    <row r="846" spans="1:312" x14ac:dyDescent="0.3">
      <c r="A846" s="12" t="s">
        <v>12969</v>
      </c>
      <c r="B846" s="12" t="s">
        <v>12970</v>
      </c>
      <c r="C846" s="12"/>
      <c r="D846" s="12" t="s">
        <v>13261</v>
      </c>
      <c r="E846" s="277" t="str">
        <f t="shared" si="559"/>
        <v>United States of America</v>
      </c>
      <c r="F846" s="12"/>
      <c r="G846" s="12" t="s">
        <v>379</v>
      </c>
      <c r="H846" s="12"/>
      <c r="I846" s="12"/>
      <c r="J846" s="281"/>
      <c r="K846" s="12"/>
      <c r="L846" s="12"/>
      <c r="M846" s="12"/>
      <c r="N846" s="12"/>
      <c r="O846" s="12"/>
      <c r="P846" s="12"/>
      <c r="Q846" s="12"/>
      <c r="R846" s="12"/>
      <c r="S846" s="12"/>
      <c r="T846" s="12"/>
      <c r="U846" s="12"/>
      <c r="V846" s="12"/>
      <c r="W846" s="12"/>
      <c r="X846" s="12"/>
      <c r="Y846" s="12"/>
      <c r="Z846" s="12"/>
      <c r="AA846" s="12"/>
      <c r="AB846" s="12"/>
      <c r="AC846" s="12"/>
      <c r="AD846" s="12"/>
      <c r="BD846" s="13">
        <v>42767</v>
      </c>
      <c r="BE846" s="13">
        <v>42887</v>
      </c>
      <c r="BF846" s="12"/>
      <c r="BG846" s="12" t="s">
        <v>817</v>
      </c>
      <c r="BH846" s="14"/>
      <c r="BI846" s="12" t="s">
        <v>12972</v>
      </c>
      <c r="BJ846" s="12" t="s">
        <v>12973</v>
      </c>
      <c r="BK846" s="12" t="s">
        <v>12974</v>
      </c>
      <c r="BL846" s="12" t="s">
        <v>13040</v>
      </c>
      <c r="BM846" s="12" t="s">
        <v>13006</v>
      </c>
      <c r="BN846" s="12" t="s">
        <v>13041</v>
      </c>
      <c r="BO846" s="12" t="s">
        <v>320</v>
      </c>
      <c r="BP846" s="11" t="s">
        <v>320</v>
      </c>
      <c r="BQ846" s="12" t="s">
        <v>320</v>
      </c>
      <c r="BR846" s="12" t="s">
        <v>13262</v>
      </c>
      <c r="BS846" s="12" t="s">
        <v>322</v>
      </c>
      <c r="BT846" s="12" t="s">
        <v>13263</v>
      </c>
      <c r="BU846" s="12" t="s">
        <v>13264</v>
      </c>
      <c r="BV846" s="14">
        <v>10720000</v>
      </c>
      <c r="BW846" s="14">
        <v>11100000</v>
      </c>
      <c r="BX846" s="14">
        <v>21800000</v>
      </c>
      <c r="BY846" s="14"/>
      <c r="BZ846" s="14"/>
      <c r="CA846" s="14"/>
      <c r="CB846" s="12" t="s">
        <v>13060</v>
      </c>
      <c r="CD846" s="14"/>
      <c r="CE846" s="14"/>
      <c r="CF846" s="14"/>
      <c r="CG846" s="14"/>
      <c r="CH846" s="14"/>
      <c r="CI846" s="14"/>
      <c r="CJ846" s="12" t="s">
        <v>319</v>
      </c>
      <c r="CK846" s="14"/>
      <c r="CL846" s="16"/>
      <c r="CM846" s="14"/>
      <c r="CN846" s="12" t="s">
        <v>319</v>
      </c>
      <c r="CO846" s="14"/>
      <c r="CP846" s="16"/>
      <c r="CQ846" s="14"/>
      <c r="CR846" s="12" t="s">
        <v>319</v>
      </c>
      <c r="CS846" s="14"/>
      <c r="CT846" s="16"/>
      <c r="CU846" s="14"/>
      <c r="CV846" s="12" t="s">
        <v>320</v>
      </c>
      <c r="CW846" s="14"/>
      <c r="CX846" s="16"/>
      <c r="CY846" s="14"/>
      <c r="CZ846" s="12" t="s">
        <v>319</v>
      </c>
      <c r="DA846" s="14"/>
      <c r="DB846" s="16"/>
      <c r="DC846" s="14"/>
      <c r="DD846" s="12" t="s">
        <v>319</v>
      </c>
      <c r="DE846" s="14"/>
      <c r="DF846" s="16"/>
      <c r="DG846" s="14"/>
      <c r="DH846" s="12" t="s">
        <v>320</v>
      </c>
      <c r="DI846" s="14"/>
      <c r="DJ846" s="16"/>
      <c r="DK846" s="14"/>
      <c r="DL846" s="12" t="s">
        <v>319</v>
      </c>
      <c r="DM846" s="14"/>
      <c r="DN846" s="16"/>
      <c r="DO846" s="14"/>
      <c r="DP846" s="12" t="s">
        <v>319</v>
      </c>
      <c r="DQ846" s="14"/>
      <c r="DR846" s="16"/>
      <c r="DS846" s="14"/>
      <c r="DT846" s="12" t="s">
        <v>319</v>
      </c>
      <c r="DU846" s="14"/>
      <c r="DV846" s="16"/>
      <c r="DW846" s="14"/>
      <c r="DX846" s="12" t="s">
        <v>320</v>
      </c>
      <c r="DY846" s="14"/>
      <c r="DZ846" s="16"/>
      <c r="EA846" s="14"/>
      <c r="EB846" s="12" t="s">
        <v>320</v>
      </c>
      <c r="EC846" s="14"/>
      <c r="ED846" s="16"/>
      <c r="EE846" s="14"/>
      <c r="EF846" s="12"/>
      <c r="EG846" s="12"/>
      <c r="EH846" s="14"/>
      <c r="EI846" s="16"/>
      <c r="EJ846" s="14"/>
      <c r="EK846" s="14"/>
      <c r="EL846" s="14"/>
      <c r="EM846" s="14"/>
      <c r="EN846" s="14"/>
      <c r="EO846" s="14"/>
      <c r="EP846" s="14"/>
      <c r="EQ846" s="12" t="s">
        <v>320</v>
      </c>
      <c r="ER846" s="14"/>
      <c r="ES846" s="16"/>
      <c r="ET846" s="14"/>
      <c r="EU846" s="12" t="s">
        <v>320</v>
      </c>
      <c r="EV846" s="14"/>
      <c r="EW846" s="16"/>
      <c r="EX846" s="14"/>
      <c r="EY846" s="12" t="s">
        <v>319</v>
      </c>
      <c r="EZ846" s="14"/>
      <c r="FA846" s="16"/>
      <c r="FB846" s="14"/>
      <c r="FC846" s="12" t="s">
        <v>320</v>
      </c>
      <c r="FD846" s="14"/>
      <c r="FE846" s="16"/>
      <c r="FF846" s="14"/>
      <c r="FG846" s="12" t="s">
        <v>320</v>
      </c>
      <c r="FH846" s="14"/>
      <c r="FI846" s="16"/>
      <c r="FJ846" s="14"/>
      <c r="FK846" s="12" t="s">
        <v>319</v>
      </c>
      <c r="FL846" s="14"/>
      <c r="FM846" s="16"/>
      <c r="FN846" s="14"/>
      <c r="FO846" s="12" t="s">
        <v>320</v>
      </c>
      <c r="FP846" s="14"/>
      <c r="FQ846" s="16"/>
      <c r="FR846" s="14"/>
      <c r="FS846" s="12" t="s">
        <v>319</v>
      </c>
      <c r="FT846" s="14"/>
      <c r="FU846" s="16"/>
      <c r="FV846" s="14"/>
      <c r="FW846" s="12" t="s">
        <v>320</v>
      </c>
      <c r="FX846" s="14"/>
      <c r="FY846" s="16"/>
      <c r="FZ846" s="14"/>
      <c r="GA846" s="12" t="s">
        <v>319</v>
      </c>
      <c r="GB846" s="14"/>
      <c r="GC846" s="16"/>
      <c r="GD846" s="14"/>
      <c r="GE846" s="12" t="s">
        <v>319</v>
      </c>
      <c r="GF846" s="14"/>
      <c r="GG846" s="16"/>
      <c r="GH846" s="14"/>
      <c r="GI846" s="12" t="s">
        <v>320</v>
      </c>
      <c r="GJ846" s="14"/>
      <c r="GK846" s="16"/>
      <c r="GL846" s="14"/>
      <c r="GM846" s="12" t="s">
        <v>319</v>
      </c>
      <c r="GN846" s="14"/>
      <c r="GO846" s="16"/>
      <c r="GP846" s="14"/>
      <c r="GQ846" s="12" t="s">
        <v>319</v>
      </c>
      <c r="GR846" s="14"/>
      <c r="GS846" s="16"/>
      <c r="GT846" s="14"/>
      <c r="GU846" s="12" t="s">
        <v>319</v>
      </c>
      <c r="GV846" s="14"/>
      <c r="GW846" s="16"/>
      <c r="GX846" s="14"/>
      <c r="GY846" s="12" t="s">
        <v>320</v>
      </c>
      <c r="GZ846" s="14"/>
      <c r="HA846" s="16"/>
      <c r="HB846" s="14"/>
      <c r="HC846" s="12"/>
      <c r="HD846" s="12"/>
      <c r="HE846" s="14"/>
      <c r="HF846" s="16"/>
      <c r="HG846" s="14"/>
      <c r="HH846" s="12" t="s">
        <v>319</v>
      </c>
      <c r="HI846" s="12"/>
      <c r="HJ846" s="12"/>
      <c r="HK846" s="12" t="s">
        <v>319</v>
      </c>
      <c r="HL846" s="12" t="s">
        <v>319</v>
      </c>
      <c r="HM846" s="12"/>
      <c r="HN846" s="12"/>
      <c r="HO846" s="12"/>
      <c r="HP846" s="12" t="s">
        <v>453</v>
      </c>
      <c r="HQ846" s="12" t="s">
        <v>319</v>
      </c>
      <c r="HR846" s="12" t="s">
        <v>320</v>
      </c>
      <c r="HS846" s="12" t="s">
        <v>319</v>
      </c>
      <c r="HT846" s="12" t="s">
        <v>319</v>
      </c>
      <c r="HU846" s="12" t="s">
        <v>319</v>
      </c>
      <c r="HV846" s="12" t="s">
        <v>319</v>
      </c>
      <c r="HW846" s="12" t="s">
        <v>319</v>
      </c>
      <c r="HX846" s="12" t="s">
        <v>320</v>
      </c>
      <c r="HY846" s="12" t="s">
        <v>13265</v>
      </c>
      <c r="HZ846" s="12"/>
      <c r="IA846" s="12"/>
      <c r="IB846" s="12"/>
      <c r="IC846" s="12" t="s">
        <v>13266</v>
      </c>
      <c r="ID846" s="12"/>
      <c r="IE846" s="12"/>
      <c r="IF846" s="12"/>
      <c r="IG846" s="12"/>
      <c r="IH846" s="12"/>
      <c r="II846" s="12"/>
      <c r="IJ846" s="12" t="str">
        <f t="shared" si="560"/>
        <v>No marker score</v>
      </c>
      <c r="IK846" s="12">
        <f t="shared" si="561"/>
        <v>0</v>
      </c>
      <c r="IL846" s="12"/>
      <c r="IM846" s="12"/>
      <c r="IN846" s="12"/>
      <c r="IO846" s="12"/>
      <c r="IP846" s="12"/>
      <c r="IQ846" s="12" t="str">
        <f t="shared" si="562"/>
        <v>No marker score</v>
      </c>
      <c r="IR846" s="12">
        <f t="shared" si="563"/>
        <v>0</v>
      </c>
      <c r="IS846" s="12"/>
      <c r="IT846" s="12"/>
      <c r="IU846" s="12"/>
      <c r="IV846" s="12"/>
      <c r="IW846" s="11" t="str">
        <f t="shared" si="564"/>
        <v>No marker score</v>
      </c>
      <c r="IX846" s="12">
        <f t="shared" si="565"/>
        <v>0</v>
      </c>
      <c r="IY846" s="12"/>
      <c r="IZ846" s="12" t="s">
        <v>527</v>
      </c>
      <c r="JA846" s="12"/>
      <c r="JB846" s="12" t="s">
        <v>831</v>
      </c>
      <c r="JC846" s="12" t="s">
        <v>651</v>
      </c>
      <c r="JD846" s="12" t="s">
        <v>623</v>
      </c>
      <c r="JE846" s="12"/>
      <c r="JF846" s="12"/>
      <c r="JG846" s="12"/>
      <c r="JH846" s="12" t="s">
        <v>13267</v>
      </c>
      <c r="JI846" s="12" t="s">
        <v>13268</v>
      </c>
      <c r="JJ846" s="12" t="s">
        <v>13269</v>
      </c>
      <c r="JK846" s="12" t="s">
        <v>13270</v>
      </c>
      <c r="JL846" s="12"/>
      <c r="JM846" s="12"/>
      <c r="JN846" s="12" t="s">
        <v>13271</v>
      </c>
      <c r="JO846" s="12"/>
      <c r="JP846" s="15">
        <f t="shared" si="566"/>
        <v>0</v>
      </c>
      <c r="JQ846" s="15">
        <f t="shared" si="567"/>
        <v>0</v>
      </c>
      <c r="JR846" s="279" t="str">
        <f t="shared" si="568"/>
        <v/>
      </c>
      <c r="JS846" s="17" t="str">
        <f t="shared" si="569"/>
        <v/>
      </c>
      <c r="JT846" s="18" t="str">
        <f t="shared" si="570"/>
        <v/>
      </c>
      <c r="JU846" s="280">
        <f t="shared" si="571"/>
        <v>0</v>
      </c>
      <c r="JV846" s="280">
        <f t="shared" si="572"/>
        <v>0</v>
      </c>
      <c r="JW846" s="319">
        <f t="shared" si="573"/>
        <v>1</v>
      </c>
      <c r="JX846" s="15">
        <f t="shared" si="574"/>
        <v>0</v>
      </c>
      <c r="JY846" s="15">
        <f t="shared" si="575"/>
        <v>0</v>
      </c>
      <c r="JZ846" s="19" t="str">
        <f t="shared" si="576"/>
        <v/>
      </c>
      <c r="KA846" s="52">
        <f t="shared" si="577"/>
        <v>1</v>
      </c>
      <c r="KB846" s="15">
        <f t="shared" si="578"/>
        <v>0</v>
      </c>
      <c r="KC846" s="15">
        <f t="shared" si="579"/>
        <v>0</v>
      </c>
      <c r="KD846" s="20" t="str">
        <f t="shared" si="580"/>
        <v/>
      </c>
      <c r="KE846" s="52" t="str">
        <f t="shared" si="581"/>
        <v/>
      </c>
      <c r="KF846" s="15">
        <f t="shared" si="582"/>
        <v>0</v>
      </c>
      <c r="KG846" s="15">
        <f t="shared" si="583"/>
        <v>0</v>
      </c>
      <c r="KH846" s="21" t="str">
        <f t="shared" si="584"/>
        <v/>
      </c>
      <c r="KI846" s="52" t="str">
        <f t="shared" si="585"/>
        <v/>
      </c>
      <c r="KJ846" s="15">
        <f t="shared" si="586"/>
        <v>0</v>
      </c>
      <c r="KK846" s="15">
        <f t="shared" si="587"/>
        <v>0</v>
      </c>
      <c r="KL846" s="19" t="str">
        <f t="shared" si="588"/>
        <v/>
      </c>
      <c r="KM846" s="52">
        <f t="shared" si="589"/>
        <v>1</v>
      </c>
      <c r="KN846" s="22">
        <f t="shared" si="590"/>
        <v>0</v>
      </c>
      <c r="KO846" s="22">
        <f t="shared" si="591"/>
        <v>0</v>
      </c>
      <c r="KP846" s="19" t="str">
        <f t="shared" si="592"/>
        <v/>
      </c>
      <c r="KQ846" s="11" t="str">
        <f t="shared" si="593"/>
        <v>No marker score</v>
      </c>
      <c r="KR846" s="11" t="str">
        <f t="shared" si="594"/>
        <v>No marker score</v>
      </c>
      <c r="KS846" s="11" t="str">
        <f t="shared" si="595"/>
        <v>No marker score</v>
      </c>
      <c r="KT846" s="11">
        <f t="shared" si="596"/>
        <v>0</v>
      </c>
      <c r="KU846" s="11" t="str">
        <f t="shared" si="597"/>
        <v>Intensive advocacy</v>
      </c>
      <c r="KV846" s="11">
        <f t="shared" si="598"/>
        <v>0</v>
      </c>
      <c r="KW846" s="11" t="str">
        <f t="shared" si="599"/>
        <v>United States of America - Hodeida Port</v>
      </c>
      <c r="KX846" s="11" t="str">
        <f t="shared" si="600"/>
        <v>Hodeida Port</v>
      </c>
      <c r="KY846" s="11" t="str">
        <f t="shared" si="601"/>
        <v>United States of America</v>
      </c>
      <c r="KZ846" s="12">
        <v>847</v>
      </c>
    </row>
    <row r="847" spans="1:312" x14ac:dyDescent="0.3">
      <c r="A847" s="12" t="s">
        <v>12969</v>
      </c>
      <c r="B847" s="12" t="s">
        <v>12970</v>
      </c>
      <c r="C847" s="12"/>
      <c r="D847" s="12" t="s">
        <v>13039</v>
      </c>
      <c r="E847" s="277" t="str">
        <f t="shared" si="559"/>
        <v>United States of America</v>
      </c>
      <c r="F847" s="12"/>
      <c r="G847" s="12" t="s">
        <v>379</v>
      </c>
      <c r="H847" s="12"/>
      <c r="I847" s="12"/>
      <c r="J847" s="281"/>
      <c r="K847" s="12"/>
      <c r="L847" s="12"/>
      <c r="M847" s="12"/>
      <c r="N847" s="12"/>
      <c r="O847" s="12"/>
      <c r="P847" s="12"/>
      <c r="Q847" s="12"/>
      <c r="R847" s="12"/>
      <c r="S847" s="12"/>
      <c r="T847" s="12"/>
      <c r="U847" s="12"/>
      <c r="V847" s="12"/>
      <c r="W847" s="12"/>
      <c r="X847" s="12"/>
      <c r="Y847" s="12"/>
      <c r="Z847" s="12"/>
      <c r="AA847" s="12"/>
      <c r="AB847" s="12"/>
      <c r="AC847" s="12"/>
      <c r="AD847" s="12"/>
      <c r="BD847" s="13">
        <v>42830</v>
      </c>
      <c r="BE847" s="13">
        <v>42860</v>
      </c>
      <c r="BF847" s="12"/>
      <c r="BG847" s="12" t="s">
        <v>908</v>
      </c>
      <c r="BH847" s="14"/>
      <c r="BI847" s="12" t="s">
        <v>12972</v>
      </c>
      <c r="BJ847" s="12" t="s">
        <v>12973</v>
      </c>
      <c r="BK847" s="12" t="s">
        <v>12974</v>
      </c>
      <c r="BL847" s="12" t="s">
        <v>13040</v>
      </c>
      <c r="BM847" s="12" t="s">
        <v>13006</v>
      </c>
      <c r="BN847" s="12" t="s">
        <v>13041</v>
      </c>
      <c r="BO847" s="12" t="s">
        <v>320</v>
      </c>
      <c r="BP847" s="11" t="s">
        <v>320</v>
      </c>
      <c r="BQ847" s="12" t="s">
        <v>320</v>
      </c>
      <c r="BR847" s="12" t="s">
        <v>13042</v>
      </c>
      <c r="BS847" s="12" t="s">
        <v>849</v>
      </c>
      <c r="BT847" s="12" t="s">
        <v>13043</v>
      </c>
      <c r="BU847" s="12" t="s">
        <v>13044</v>
      </c>
      <c r="BV847" s="14"/>
      <c r="BW847" s="14"/>
      <c r="BX847" s="14"/>
      <c r="BY847" s="14"/>
      <c r="BZ847" s="14"/>
      <c r="CA847" s="14"/>
      <c r="CB847" s="12" t="s">
        <v>13045</v>
      </c>
      <c r="CD847" s="14"/>
      <c r="CE847" s="14"/>
      <c r="CF847" s="14"/>
      <c r="CG847" s="14"/>
      <c r="CH847" s="14"/>
      <c r="CI847" s="14"/>
      <c r="CJ847" s="12" t="s">
        <v>319</v>
      </c>
      <c r="CK847" s="14"/>
      <c r="CL847" s="16"/>
      <c r="CM847" s="14"/>
      <c r="CN847" s="12" t="s">
        <v>319</v>
      </c>
      <c r="CO847" s="14"/>
      <c r="CP847" s="16"/>
      <c r="CQ847" s="14"/>
      <c r="CR847" s="12" t="s">
        <v>319</v>
      </c>
      <c r="CS847" s="14"/>
      <c r="CT847" s="16"/>
      <c r="CU847" s="14"/>
      <c r="CV847" s="12" t="s">
        <v>320</v>
      </c>
      <c r="CW847" s="14"/>
      <c r="CX847" s="16"/>
      <c r="CY847" s="14"/>
      <c r="CZ847" s="12" t="s">
        <v>319</v>
      </c>
      <c r="DA847" s="14"/>
      <c r="DB847" s="16"/>
      <c r="DC847" s="14"/>
      <c r="DD847" s="12" t="s">
        <v>319</v>
      </c>
      <c r="DE847" s="14"/>
      <c r="DF847" s="16"/>
      <c r="DG847" s="14"/>
      <c r="DH847" s="11" t="s">
        <v>319</v>
      </c>
      <c r="DI847" s="14"/>
      <c r="DJ847" s="16"/>
      <c r="DK847" s="14"/>
      <c r="DL847" s="12" t="s">
        <v>319</v>
      </c>
      <c r="DM847" s="14"/>
      <c r="DN847" s="16"/>
      <c r="DO847" s="14"/>
      <c r="DP847" s="12" t="s">
        <v>319</v>
      </c>
      <c r="DQ847" s="14"/>
      <c r="DR847" s="16"/>
      <c r="DS847" s="14"/>
      <c r="DT847" s="12" t="s">
        <v>319</v>
      </c>
      <c r="DU847" s="14"/>
      <c r="DV847" s="16"/>
      <c r="DW847" s="14"/>
      <c r="DX847" s="12" t="s">
        <v>319</v>
      </c>
      <c r="DY847" s="14"/>
      <c r="DZ847" s="16"/>
      <c r="EA847" s="14"/>
      <c r="EB847" s="12" t="s">
        <v>319</v>
      </c>
      <c r="EC847" s="14"/>
      <c r="ED847" s="16"/>
      <c r="EE847" s="14"/>
      <c r="EF847" s="12"/>
      <c r="EG847" s="12"/>
      <c r="EH847" s="14"/>
      <c r="EI847" s="16"/>
      <c r="EJ847" s="14"/>
      <c r="EK847" s="14"/>
      <c r="EL847" s="14"/>
      <c r="EM847" s="14"/>
      <c r="EN847" s="14"/>
      <c r="EO847" s="14"/>
      <c r="EP847" s="14"/>
      <c r="EQ847" s="12" t="s">
        <v>320</v>
      </c>
      <c r="ER847" s="14"/>
      <c r="ES847" s="16"/>
      <c r="ET847" s="14"/>
      <c r="EU847" s="12" t="s">
        <v>320</v>
      </c>
      <c r="EV847" s="14"/>
      <c r="EW847" s="16"/>
      <c r="EX847" s="14"/>
      <c r="EY847" s="12" t="s">
        <v>319</v>
      </c>
      <c r="EZ847" s="14"/>
      <c r="FA847" s="16"/>
      <c r="FB847" s="14"/>
      <c r="FC847" s="12" t="s">
        <v>320</v>
      </c>
      <c r="FD847" s="14"/>
      <c r="FE847" s="16"/>
      <c r="FF847" s="14"/>
      <c r="FG847" s="12" t="s">
        <v>320</v>
      </c>
      <c r="FH847" s="14"/>
      <c r="FI847" s="16"/>
      <c r="FJ847" s="14"/>
      <c r="FK847" s="12" t="s">
        <v>319</v>
      </c>
      <c r="FL847" s="14"/>
      <c r="FM847" s="16"/>
      <c r="FN847" s="14"/>
      <c r="FO847" s="12" t="s">
        <v>320</v>
      </c>
      <c r="FP847" s="14"/>
      <c r="FQ847" s="16"/>
      <c r="FR847" s="14"/>
      <c r="FS847" s="12" t="s">
        <v>319</v>
      </c>
      <c r="FT847" s="14"/>
      <c r="FU847" s="16"/>
      <c r="FV847" s="14"/>
      <c r="FW847" s="12" t="s">
        <v>320</v>
      </c>
      <c r="FX847" s="14"/>
      <c r="FY847" s="16"/>
      <c r="FZ847" s="14"/>
      <c r="GA847" s="12" t="s">
        <v>319</v>
      </c>
      <c r="GB847" s="14"/>
      <c r="GC847" s="16"/>
      <c r="GD847" s="14"/>
      <c r="GE847" s="12" t="s">
        <v>319</v>
      </c>
      <c r="GF847" s="14"/>
      <c r="GG847" s="16"/>
      <c r="GH847" s="14"/>
      <c r="GI847" s="12" t="s">
        <v>320</v>
      </c>
      <c r="GJ847" s="14"/>
      <c r="GK847" s="16"/>
      <c r="GL847" s="14"/>
      <c r="GM847" s="12" t="s">
        <v>319</v>
      </c>
      <c r="GN847" s="14"/>
      <c r="GO847" s="16"/>
      <c r="GP847" s="14"/>
      <c r="GQ847" s="12" t="s">
        <v>319</v>
      </c>
      <c r="GR847" s="14"/>
      <c r="GS847" s="16"/>
      <c r="GT847" s="14"/>
      <c r="GU847" s="12" t="s">
        <v>319</v>
      </c>
      <c r="GV847" s="14"/>
      <c r="GW847" s="16"/>
      <c r="GX847" s="14"/>
      <c r="GY847" s="12" t="s">
        <v>320</v>
      </c>
      <c r="GZ847" s="14"/>
      <c r="HA847" s="16"/>
      <c r="HB847" s="14"/>
      <c r="HC847" s="12"/>
      <c r="HD847" s="12"/>
      <c r="HE847" s="14"/>
      <c r="HF847" s="16"/>
      <c r="HG847" s="14"/>
      <c r="HH847" s="12" t="s">
        <v>319</v>
      </c>
      <c r="HI847" s="12"/>
      <c r="HJ847" s="12"/>
      <c r="HK847" s="12" t="s">
        <v>319</v>
      </c>
      <c r="HL847" s="12" t="s">
        <v>319</v>
      </c>
      <c r="HM847" s="12"/>
      <c r="HN847" s="12"/>
      <c r="HO847" s="12"/>
      <c r="HP847" s="12" t="s">
        <v>453</v>
      </c>
      <c r="HQ847" s="12" t="s">
        <v>319</v>
      </c>
      <c r="HR847" s="12" t="s">
        <v>319</v>
      </c>
      <c r="HS847" s="12" t="s">
        <v>319</v>
      </c>
      <c r="HT847" s="12" t="s">
        <v>319</v>
      </c>
      <c r="HU847" s="12" t="s">
        <v>319</v>
      </c>
      <c r="HV847" s="12" t="s">
        <v>319</v>
      </c>
      <c r="HW847" s="12" t="s">
        <v>320</v>
      </c>
      <c r="HX847" s="12" t="s">
        <v>319</v>
      </c>
      <c r="HY847" s="12"/>
      <c r="HZ847" s="12"/>
      <c r="IA847" s="12"/>
      <c r="IB847" s="12"/>
      <c r="IC847" s="12" t="s">
        <v>13046</v>
      </c>
      <c r="ID847" s="12"/>
      <c r="IE847" s="12"/>
      <c r="IF847" s="12"/>
      <c r="IG847" s="12"/>
      <c r="IH847" s="12"/>
      <c r="II847" s="12"/>
      <c r="IJ847" s="12" t="str">
        <f t="shared" si="560"/>
        <v>No marker score</v>
      </c>
      <c r="IK847" s="12">
        <f t="shared" si="561"/>
        <v>0</v>
      </c>
      <c r="IL847" s="12"/>
      <c r="IM847" s="12"/>
      <c r="IN847" s="12"/>
      <c r="IO847" s="12"/>
      <c r="IP847" s="12"/>
      <c r="IQ847" s="12" t="str">
        <f t="shared" si="562"/>
        <v>No marker score</v>
      </c>
      <c r="IR847" s="12">
        <f t="shared" si="563"/>
        <v>0</v>
      </c>
      <c r="IS847" s="12"/>
      <c r="IT847" s="12"/>
      <c r="IU847" s="12"/>
      <c r="IV847" s="12"/>
      <c r="IW847" s="11" t="str">
        <f t="shared" si="564"/>
        <v>No marker score</v>
      </c>
      <c r="IX847" s="12">
        <f t="shared" si="565"/>
        <v>0</v>
      </c>
      <c r="IY847" s="12"/>
      <c r="IZ847" s="12"/>
      <c r="JA847" s="12"/>
      <c r="JB847" s="12" t="s">
        <v>831</v>
      </c>
      <c r="JC847" s="12" t="s">
        <v>651</v>
      </c>
      <c r="JD847" s="12" t="s">
        <v>623</v>
      </c>
      <c r="JE847" s="12"/>
      <c r="JF847" s="12"/>
      <c r="JG847" s="12"/>
      <c r="JH847" s="12" t="s">
        <v>13047</v>
      </c>
      <c r="JI847" s="12" t="s">
        <v>13048</v>
      </c>
      <c r="JJ847" s="12" t="s">
        <v>13049</v>
      </c>
      <c r="JK847" s="12" t="s">
        <v>13050</v>
      </c>
      <c r="JL847" s="12" t="s">
        <v>13051</v>
      </c>
      <c r="JM847" s="12" t="s">
        <v>13052</v>
      </c>
      <c r="JN847" s="12" t="s">
        <v>13053</v>
      </c>
      <c r="JO847" s="12"/>
      <c r="JP847" s="15">
        <f t="shared" si="566"/>
        <v>0</v>
      </c>
      <c r="JQ847" s="15">
        <f t="shared" si="567"/>
        <v>0</v>
      </c>
      <c r="JR847" s="279" t="str">
        <f t="shared" si="568"/>
        <v/>
      </c>
      <c r="JS847" s="17" t="str">
        <f t="shared" si="569"/>
        <v/>
      </c>
      <c r="JT847" s="18" t="str">
        <f t="shared" si="570"/>
        <v/>
      </c>
      <c r="JU847" s="280">
        <f t="shared" si="571"/>
        <v>0</v>
      </c>
      <c r="JV847" s="280">
        <f t="shared" si="572"/>
        <v>0</v>
      </c>
      <c r="JW847" s="319">
        <f t="shared" si="573"/>
        <v>1</v>
      </c>
      <c r="JX847" s="15">
        <f t="shared" si="574"/>
        <v>0</v>
      </c>
      <c r="JY847" s="15">
        <f t="shared" si="575"/>
        <v>0</v>
      </c>
      <c r="JZ847" s="19" t="str">
        <f t="shared" si="576"/>
        <v/>
      </c>
      <c r="KA847" s="52">
        <f t="shared" si="577"/>
        <v>1</v>
      </c>
      <c r="KB847" s="15">
        <f t="shared" si="578"/>
        <v>0</v>
      </c>
      <c r="KC847" s="15">
        <f t="shared" si="579"/>
        <v>0</v>
      </c>
      <c r="KD847" s="20" t="str">
        <f t="shared" si="580"/>
        <v/>
      </c>
      <c r="KE847" s="52" t="str">
        <f t="shared" si="581"/>
        <v/>
      </c>
      <c r="KF847" s="15">
        <f t="shared" si="582"/>
        <v>0</v>
      </c>
      <c r="KG847" s="15">
        <f t="shared" si="583"/>
        <v>0</v>
      </c>
      <c r="KH847" s="21" t="str">
        <f t="shared" si="584"/>
        <v/>
      </c>
      <c r="KI847" s="52" t="str">
        <f t="shared" si="585"/>
        <v/>
      </c>
      <c r="KJ847" s="15">
        <f t="shared" si="586"/>
        <v>0</v>
      </c>
      <c r="KK847" s="15">
        <f t="shared" si="587"/>
        <v>0</v>
      </c>
      <c r="KL847" s="19" t="str">
        <f t="shared" si="588"/>
        <v/>
      </c>
      <c r="KM847" s="52">
        <f t="shared" si="589"/>
        <v>1</v>
      </c>
      <c r="KN847" s="22">
        <f t="shared" si="590"/>
        <v>0</v>
      </c>
      <c r="KO847" s="22">
        <f t="shared" si="591"/>
        <v>0</v>
      </c>
      <c r="KP847" s="19" t="str">
        <f t="shared" si="592"/>
        <v/>
      </c>
      <c r="KQ847" s="11" t="str">
        <f t="shared" si="593"/>
        <v>No marker score</v>
      </c>
      <c r="KR847" s="11" t="str">
        <f t="shared" si="594"/>
        <v>No marker score</v>
      </c>
      <c r="KS847" s="11" t="str">
        <f t="shared" si="595"/>
        <v>No marker score</v>
      </c>
      <c r="KT847" s="11">
        <f t="shared" si="596"/>
        <v>0</v>
      </c>
      <c r="KU847" s="11" t="str">
        <f t="shared" si="597"/>
        <v>Intensive advocacy</v>
      </c>
      <c r="KV847" s="11">
        <f t="shared" si="598"/>
        <v>0</v>
      </c>
      <c r="KW847" s="11" t="str">
        <f t="shared" si="599"/>
        <v>United States of America - Humanitarian Supplemental</v>
      </c>
      <c r="KX847" s="11" t="str">
        <f t="shared" si="600"/>
        <v>Humanitarian Supplemental</v>
      </c>
      <c r="KY847" s="11" t="str">
        <f t="shared" si="601"/>
        <v>United States of America</v>
      </c>
      <c r="KZ847" s="12">
        <v>848</v>
      </c>
    </row>
    <row r="848" spans="1:312" x14ac:dyDescent="0.3">
      <c r="A848" s="12" t="s">
        <v>12969</v>
      </c>
      <c r="B848" s="12" t="s">
        <v>12970</v>
      </c>
      <c r="C848" s="12"/>
      <c r="D848" s="12" t="s">
        <v>13054</v>
      </c>
      <c r="E848" s="277" t="str">
        <f t="shared" si="559"/>
        <v>United States of America</v>
      </c>
      <c r="F848" s="12"/>
      <c r="G848" s="12" t="s">
        <v>379</v>
      </c>
      <c r="H848" s="12"/>
      <c r="I848" s="12"/>
      <c r="J848" s="281"/>
      <c r="K848" s="12"/>
      <c r="L848" s="12"/>
      <c r="M848" s="12"/>
      <c r="N848" s="12"/>
      <c r="O848" s="12"/>
      <c r="P848" s="12"/>
      <c r="Q848" s="12"/>
      <c r="R848" s="12"/>
      <c r="S848" s="12"/>
      <c r="T848" s="12"/>
      <c r="U848" s="12"/>
      <c r="V848" s="12"/>
      <c r="W848" s="12"/>
      <c r="X848" s="12"/>
      <c r="Y848" s="12"/>
      <c r="Z848" s="12"/>
      <c r="AA848" s="12"/>
      <c r="AB848" s="12"/>
      <c r="AC848" s="12"/>
      <c r="AD848" s="12"/>
      <c r="BD848" s="13">
        <v>42856</v>
      </c>
      <c r="BE848" s="12"/>
      <c r="BF848" s="12"/>
      <c r="BG848" s="12" t="s">
        <v>609</v>
      </c>
      <c r="BH848" s="14"/>
      <c r="BI848" s="12" t="s">
        <v>12972</v>
      </c>
      <c r="BJ848" s="12" t="s">
        <v>12973</v>
      </c>
      <c r="BK848" s="12" t="s">
        <v>12974</v>
      </c>
      <c r="BL848" s="12" t="s">
        <v>13055</v>
      </c>
      <c r="BM848" s="12" t="s">
        <v>13056</v>
      </c>
      <c r="BN848" s="12" t="s">
        <v>13057</v>
      </c>
      <c r="BO848" s="12" t="s">
        <v>319</v>
      </c>
      <c r="BP848" s="12" t="s">
        <v>320</v>
      </c>
      <c r="BQ848" s="12" t="s">
        <v>319</v>
      </c>
      <c r="BR848" s="12" t="s">
        <v>13058</v>
      </c>
      <c r="BS848" s="12" t="s">
        <v>849</v>
      </c>
      <c r="BT848" s="12"/>
      <c r="BU848" s="12" t="s">
        <v>13059</v>
      </c>
      <c r="BV848" s="14"/>
      <c r="BW848" s="14"/>
      <c r="BX848" s="14"/>
      <c r="BY848" s="14"/>
      <c r="BZ848" s="14"/>
      <c r="CA848" s="14"/>
      <c r="CB848" s="12" t="s">
        <v>13060</v>
      </c>
      <c r="CD848" s="14"/>
      <c r="CE848" s="14"/>
      <c r="CF848" s="14"/>
      <c r="CG848" s="14"/>
      <c r="CH848" s="14"/>
      <c r="CI848" s="14"/>
      <c r="CJ848" s="12"/>
      <c r="CK848" s="14"/>
      <c r="CL848" s="16"/>
      <c r="CM848" s="14"/>
      <c r="CN848" s="12"/>
      <c r="CO848" s="14"/>
      <c r="CP848" s="16"/>
      <c r="CQ848" s="14"/>
      <c r="CR848" s="12"/>
      <c r="CS848" s="14"/>
      <c r="CT848" s="16"/>
      <c r="CU848" s="14"/>
      <c r="CV848" s="12"/>
      <c r="CW848" s="14"/>
      <c r="CX848" s="16"/>
      <c r="CY848" s="14"/>
      <c r="CZ848" s="12"/>
      <c r="DA848" s="14"/>
      <c r="DB848" s="16"/>
      <c r="DC848" s="14"/>
      <c r="DD848" s="12"/>
      <c r="DE848" s="14"/>
      <c r="DF848" s="16"/>
      <c r="DG848" s="14"/>
      <c r="DH848" s="12"/>
      <c r="DI848" s="14"/>
      <c r="DJ848" s="16"/>
      <c r="DK848" s="14"/>
      <c r="DL848" s="12"/>
      <c r="DM848" s="14"/>
      <c r="DN848" s="16"/>
      <c r="DO848" s="14"/>
      <c r="DP848" s="12"/>
      <c r="DQ848" s="14"/>
      <c r="DR848" s="16"/>
      <c r="DS848" s="14"/>
      <c r="DT848" s="12"/>
      <c r="DU848" s="14"/>
      <c r="DV848" s="16"/>
      <c r="DW848" s="14"/>
      <c r="DX848" s="12"/>
      <c r="DY848" s="14"/>
      <c r="DZ848" s="16"/>
      <c r="EA848" s="14"/>
      <c r="EB848" s="12"/>
      <c r="EC848" s="14"/>
      <c r="ED848" s="16"/>
      <c r="EE848" s="14"/>
      <c r="EF848" s="12"/>
      <c r="EG848" s="12"/>
      <c r="EH848" s="14"/>
      <c r="EI848" s="16"/>
      <c r="EJ848" s="14"/>
      <c r="EK848" s="14"/>
      <c r="EL848" s="14"/>
      <c r="EM848" s="14"/>
      <c r="EN848" s="14"/>
      <c r="EO848" s="14"/>
      <c r="EP848" s="14"/>
      <c r="EQ848" s="12" t="s">
        <v>319</v>
      </c>
      <c r="ER848" s="14"/>
      <c r="ES848" s="16"/>
      <c r="ET848" s="14"/>
      <c r="EU848" s="11" t="s">
        <v>319</v>
      </c>
      <c r="EV848" s="14"/>
      <c r="EW848" s="16"/>
      <c r="EX848" s="14"/>
      <c r="EY848" s="12" t="s">
        <v>319</v>
      </c>
      <c r="EZ848" s="14"/>
      <c r="FA848" s="16"/>
      <c r="FB848" s="14"/>
      <c r="FC848" s="12" t="s">
        <v>319</v>
      </c>
      <c r="FD848" s="14"/>
      <c r="FE848" s="16"/>
      <c r="FF848" s="14"/>
      <c r="FG848" s="12" t="s">
        <v>319</v>
      </c>
      <c r="FH848" s="14"/>
      <c r="FI848" s="16"/>
      <c r="FJ848" s="14"/>
      <c r="FK848" s="12" t="s">
        <v>319</v>
      </c>
      <c r="FL848" s="14"/>
      <c r="FM848" s="16"/>
      <c r="FN848" s="14"/>
      <c r="FO848" s="12" t="s">
        <v>319</v>
      </c>
      <c r="FP848" s="14"/>
      <c r="FQ848" s="16"/>
      <c r="FR848" s="14"/>
      <c r="FS848" s="12" t="s">
        <v>320</v>
      </c>
      <c r="FT848" s="14"/>
      <c r="FU848" s="16"/>
      <c r="FV848" s="14"/>
      <c r="FW848" s="12" t="s">
        <v>319</v>
      </c>
      <c r="FX848" s="14"/>
      <c r="FY848" s="16"/>
      <c r="FZ848" s="14"/>
      <c r="GA848" s="12" t="s">
        <v>319</v>
      </c>
      <c r="GB848" s="14"/>
      <c r="GC848" s="16"/>
      <c r="GD848" s="14"/>
      <c r="GE848" s="12" t="s">
        <v>319</v>
      </c>
      <c r="GF848" s="14"/>
      <c r="GG848" s="16"/>
      <c r="GH848" s="14"/>
      <c r="GI848" s="12" t="s">
        <v>319</v>
      </c>
      <c r="GJ848" s="14"/>
      <c r="GK848" s="16"/>
      <c r="GL848" s="14"/>
      <c r="GM848" s="12" t="s">
        <v>319</v>
      </c>
      <c r="GN848" s="14"/>
      <c r="GO848" s="16"/>
      <c r="GP848" s="14"/>
      <c r="GQ848" s="12" t="s">
        <v>319</v>
      </c>
      <c r="GR848" s="14"/>
      <c r="GS848" s="16"/>
      <c r="GT848" s="14"/>
      <c r="GU848" s="12" t="s">
        <v>319</v>
      </c>
      <c r="GV848" s="14"/>
      <c r="GW848" s="16"/>
      <c r="GX848" s="14"/>
      <c r="GY848" s="12" t="s">
        <v>319</v>
      </c>
      <c r="GZ848" s="14"/>
      <c r="HA848" s="16"/>
      <c r="HB848" s="14"/>
      <c r="HC848" s="12"/>
      <c r="HD848" s="12"/>
      <c r="HE848" s="14"/>
      <c r="HF848" s="16"/>
      <c r="HG848" s="14"/>
      <c r="HH848" s="12" t="s">
        <v>319</v>
      </c>
      <c r="HI848" s="12"/>
      <c r="HJ848" s="12"/>
      <c r="HK848" s="12" t="s">
        <v>319</v>
      </c>
      <c r="HL848" s="12" t="s">
        <v>319</v>
      </c>
      <c r="HM848" s="12"/>
      <c r="HN848" s="12"/>
      <c r="HO848" s="12"/>
      <c r="HP848" s="12" t="s">
        <v>330</v>
      </c>
      <c r="HQ848" s="12" t="s">
        <v>320</v>
      </c>
      <c r="HR848" s="12" t="s">
        <v>319</v>
      </c>
      <c r="HS848" s="12" t="s">
        <v>319</v>
      </c>
      <c r="HT848" s="12" t="s">
        <v>319</v>
      </c>
      <c r="HU848" s="12" t="s">
        <v>319</v>
      </c>
      <c r="HV848" s="12" t="s">
        <v>320</v>
      </c>
      <c r="HW848" s="12" t="s">
        <v>319</v>
      </c>
      <c r="HX848" s="12" t="s">
        <v>319</v>
      </c>
      <c r="HY848" s="12"/>
      <c r="HZ848" s="12"/>
      <c r="IA848" s="12"/>
      <c r="IB848" s="12"/>
      <c r="IC848" s="12"/>
      <c r="ID848" s="12"/>
      <c r="IE848" s="12"/>
      <c r="IF848" s="12"/>
      <c r="IG848" s="12"/>
      <c r="IH848" s="12"/>
      <c r="II848" s="12"/>
      <c r="IJ848" s="12" t="str">
        <f t="shared" si="560"/>
        <v>No marker score</v>
      </c>
      <c r="IK848" s="12">
        <f t="shared" si="561"/>
        <v>0</v>
      </c>
      <c r="IL848" s="12"/>
      <c r="IM848" s="12"/>
      <c r="IN848" s="12"/>
      <c r="IO848" s="12"/>
      <c r="IP848" s="12"/>
      <c r="IQ848" s="12" t="str">
        <f t="shared" si="562"/>
        <v>No marker score</v>
      </c>
      <c r="IR848" s="12">
        <f t="shared" si="563"/>
        <v>0</v>
      </c>
      <c r="IS848" s="12"/>
      <c r="IT848" s="12"/>
      <c r="IU848" s="12"/>
      <c r="IV848" s="12"/>
      <c r="IW848" s="11" t="str">
        <f t="shared" si="564"/>
        <v>No marker score</v>
      </c>
      <c r="IX848" s="12">
        <f t="shared" si="565"/>
        <v>0</v>
      </c>
      <c r="IY848" s="12"/>
      <c r="IZ848" s="12" t="s">
        <v>527</v>
      </c>
      <c r="JA848" s="12"/>
      <c r="JB848" s="12" t="s">
        <v>2236</v>
      </c>
      <c r="JC848" s="12" t="s">
        <v>623</v>
      </c>
      <c r="JD848" s="12" t="s">
        <v>724</v>
      </c>
      <c r="JE848" s="12"/>
      <c r="JF848" s="12"/>
      <c r="JG848" s="12"/>
      <c r="JH848" s="12"/>
      <c r="JI848" s="12"/>
      <c r="JJ848" s="12"/>
      <c r="JK848" s="12"/>
      <c r="JL848" s="12"/>
      <c r="JM848" s="12"/>
      <c r="JN848" s="12" t="s">
        <v>13061</v>
      </c>
      <c r="JO848" s="12"/>
      <c r="JP848" s="15">
        <f t="shared" si="566"/>
        <v>0</v>
      </c>
      <c r="JQ848" s="15">
        <f t="shared" si="567"/>
        <v>0</v>
      </c>
      <c r="JR848" s="279" t="str">
        <f t="shared" si="568"/>
        <v/>
      </c>
      <c r="JS848" s="17" t="str">
        <f t="shared" si="569"/>
        <v/>
      </c>
      <c r="JT848" s="18" t="str">
        <f t="shared" si="570"/>
        <v/>
      </c>
      <c r="JU848" s="280">
        <f t="shared" si="571"/>
        <v>0</v>
      </c>
      <c r="JV848" s="280">
        <f t="shared" si="572"/>
        <v>0</v>
      </c>
      <c r="JW848" s="319" t="str">
        <f t="shared" si="573"/>
        <v/>
      </c>
      <c r="JX848" s="15">
        <f t="shared" si="574"/>
        <v>0</v>
      </c>
      <c r="JY848" s="15">
        <f t="shared" si="575"/>
        <v>0</v>
      </c>
      <c r="JZ848" s="19" t="str">
        <f t="shared" si="576"/>
        <v/>
      </c>
      <c r="KA848" s="52" t="str">
        <f t="shared" si="577"/>
        <v/>
      </c>
      <c r="KB848" s="15">
        <f t="shared" si="578"/>
        <v>0</v>
      </c>
      <c r="KC848" s="15">
        <f t="shared" si="579"/>
        <v>0</v>
      </c>
      <c r="KD848" s="20" t="str">
        <f t="shared" si="580"/>
        <v/>
      </c>
      <c r="KE848" s="52" t="str">
        <f t="shared" si="581"/>
        <v/>
      </c>
      <c r="KF848" s="15">
        <f t="shared" si="582"/>
        <v>0</v>
      </c>
      <c r="KG848" s="15">
        <f t="shared" si="583"/>
        <v>0</v>
      </c>
      <c r="KH848" s="21" t="str">
        <f t="shared" si="584"/>
        <v/>
      </c>
      <c r="KI848" s="52">
        <f t="shared" si="585"/>
        <v>1</v>
      </c>
      <c r="KJ848" s="15">
        <f t="shared" si="586"/>
        <v>0</v>
      </c>
      <c r="KK848" s="15">
        <f t="shared" si="587"/>
        <v>0</v>
      </c>
      <c r="KL848" s="19" t="str">
        <f t="shared" si="588"/>
        <v/>
      </c>
      <c r="KM848" s="52" t="str">
        <f t="shared" si="589"/>
        <v/>
      </c>
      <c r="KN848" s="22">
        <f t="shared" si="590"/>
        <v>0</v>
      </c>
      <c r="KO848" s="22">
        <f t="shared" si="591"/>
        <v>0</v>
      </c>
      <c r="KP848" s="19" t="str">
        <f t="shared" si="592"/>
        <v/>
      </c>
      <c r="KQ848" s="11" t="str">
        <f t="shared" si="593"/>
        <v>No marker score</v>
      </c>
      <c r="KR848" s="11" t="str">
        <f t="shared" si="594"/>
        <v>No marker score</v>
      </c>
      <c r="KS848" s="11" t="str">
        <f t="shared" si="595"/>
        <v>No marker score</v>
      </c>
      <c r="KT848" s="11">
        <f t="shared" si="596"/>
        <v>0</v>
      </c>
      <c r="KU848" s="11" t="str">
        <f t="shared" si="597"/>
        <v>Moderate advocacy</v>
      </c>
      <c r="KV848" s="11">
        <f t="shared" si="598"/>
        <v>0</v>
      </c>
      <c r="KW848" s="11" t="str">
        <f t="shared" si="599"/>
        <v>United States of America - ILO Convention on Ending Harrasment and Violence in the World of Work</v>
      </c>
      <c r="KX848" s="11" t="str">
        <f t="shared" si="600"/>
        <v>ILO Convention on Ending Harrasment and Violence in the World of Work</v>
      </c>
      <c r="KY848" s="11" t="str">
        <f t="shared" si="601"/>
        <v>United States of America</v>
      </c>
      <c r="KZ848" s="12">
        <v>849</v>
      </c>
    </row>
    <row r="849" spans="1:312" x14ac:dyDescent="0.3">
      <c r="A849" s="12" t="s">
        <v>12969</v>
      </c>
      <c r="B849" s="12" t="s">
        <v>12970</v>
      </c>
      <c r="C849" s="12"/>
      <c r="D849" s="12" t="s">
        <v>13062</v>
      </c>
      <c r="E849" s="277" t="str">
        <f t="shared" si="559"/>
        <v>United States of America</v>
      </c>
      <c r="F849" s="12"/>
      <c r="G849" s="12" t="s">
        <v>379</v>
      </c>
      <c r="H849" s="12"/>
      <c r="I849" s="12"/>
      <c r="J849" s="281"/>
      <c r="K849" s="12"/>
      <c r="L849" s="12"/>
      <c r="M849" s="12"/>
      <c r="N849" s="12"/>
      <c r="O849" s="12"/>
      <c r="P849" s="12"/>
      <c r="Q849" s="12"/>
      <c r="R849" s="12"/>
      <c r="S849" s="12"/>
      <c r="T849" s="12"/>
      <c r="U849" s="12"/>
      <c r="V849" s="12"/>
      <c r="W849" s="12"/>
      <c r="X849" s="12"/>
      <c r="Y849" s="12"/>
      <c r="Z849" s="12"/>
      <c r="AA849" s="12"/>
      <c r="AB849" s="12"/>
      <c r="AC849" s="12"/>
      <c r="AD849" s="12"/>
      <c r="BD849" s="13">
        <v>42675</v>
      </c>
      <c r="BE849" s="12"/>
      <c r="BF849" s="12"/>
      <c r="BG849" s="12" t="s">
        <v>609</v>
      </c>
      <c r="BH849" s="14"/>
      <c r="BI849" s="12" t="s">
        <v>12972</v>
      </c>
      <c r="BJ849" s="12" t="s">
        <v>12973</v>
      </c>
      <c r="BK849" s="12" t="s">
        <v>12974</v>
      </c>
      <c r="BL849" s="12" t="s">
        <v>13055</v>
      </c>
      <c r="BM849" s="12" t="s">
        <v>13056</v>
      </c>
      <c r="BN849" s="12" t="s">
        <v>13057</v>
      </c>
      <c r="BO849" s="12" t="s">
        <v>319</v>
      </c>
      <c r="BP849" s="12" t="s">
        <v>320</v>
      </c>
      <c r="BQ849" s="12" t="s">
        <v>319</v>
      </c>
      <c r="BR849" s="12" t="s">
        <v>13063</v>
      </c>
      <c r="BS849" s="12" t="s">
        <v>849</v>
      </c>
      <c r="BT849" s="12" t="s">
        <v>13064</v>
      </c>
      <c r="BU849" s="12" t="s">
        <v>13065</v>
      </c>
      <c r="BV849" s="14"/>
      <c r="BW849" s="14"/>
      <c r="BX849" s="14"/>
      <c r="BY849" s="14"/>
      <c r="BZ849" s="14"/>
      <c r="CA849" s="14"/>
      <c r="CB849" s="12" t="s">
        <v>13060</v>
      </c>
      <c r="CD849" s="14"/>
      <c r="CE849" s="14"/>
      <c r="CF849" s="14"/>
      <c r="CG849" s="14"/>
      <c r="CH849" s="14"/>
      <c r="CI849" s="14"/>
      <c r="CJ849" s="12"/>
      <c r="CK849" s="14"/>
      <c r="CL849" s="16"/>
      <c r="CM849" s="14"/>
      <c r="CN849" s="12"/>
      <c r="CO849" s="14"/>
      <c r="CP849" s="16"/>
      <c r="CQ849" s="14"/>
      <c r="CR849" s="12"/>
      <c r="CS849" s="14"/>
      <c r="CT849" s="16"/>
      <c r="CU849" s="14"/>
      <c r="CV849" s="12"/>
      <c r="CW849" s="14"/>
      <c r="CX849" s="16"/>
      <c r="CY849" s="14"/>
      <c r="CZ849" s="12"/>
      <c r="DA849" s="14"/>
      <c r="DB849" s="16"/>
      <c r="DC849" s="14"/>
      <c r="DD849" s="12"/>
      <c r="DE849" s="14"/>
      <c r="DF849" s="16"/>
      <c r="DG849" s="14"/>
      <c r="DH849" s="12"/>
      <c r="DI849" s="14"/>
      <c r="DJ849" s="16"/>
      <c r="DK849" s="14"/>
      <c r="DL849" s="12"/>
      <c r="DM849" s="14"/>
      <c r="DN849" s="16"/>
      <c r="DO849" s="14"/>
      <c r="DP849" s="12"/>
      <c r="DQ849" s="14"/>
      <c r="DR849" s="16"/>
      <c r="DS849" s="14"/>
      <c r="DT849" s="12"/>
      <c r="DU849" s="14"/>
      <c r="DV849" s="16"/>
      <c r="DW849" s="14"/>
      <c r="DX849" s="12"/>
      <c r="DY849" s="14"/>
      <c r="DZ849" s="16"/>
      <c r="EA849" s="14"/>
      <c r="EB849" s="12"/>
      <c r="EC849" s="14"/>
      <c r="ED849" s="16"/>
      <c r="EE849" s="14"/>
      <c r="EF849" s="12"/>
      <c r="EG849" s="12"/>
      <c r="EH849" s="14"/>
      <c r="EI849" s="16"/>
      <c r="EJ849" s="14"/>
      <c r="EK849" s="14"/>
      <c r="EL849" s="14"/>
      <c r="EM849" s="14"/>
      <c r="EN849" s="14"/>
      <c r="EO849" s="14"/>
      <c r="EP849" s="14"/>
      <c r="EQ849" s="12" t="s">
        <v>319</v>
      </c>
      <c r="ER849" s="14"/>
      <c r="ES849" s="16"/>
      <c r="ET849" s="14"/>
      <c r="EU849" s="11" t="s">
        <v>319</v>
      </c>
      <c r="EV849" s="14"/>
      <c r="EW849" s="16"/>
      <c r="EX849" s="14"/>
      <c r="EY849" s="12" t="s">
        <v>319</v>
      </c>
      <c r="EZ849" s="14"/>
      <c r="FA849" s="16"/>
      <c r="FB849" s="14"/>
      <c r="FC849" s="12" t="s">
        <v>319</v>
      </c>
      <c r="FD849" s="14"/>
      <c r="FE849" s="16"/>
      <c r="FF849" s="14"/>
      <c r="FG849" s="12" t="s">
        <v>319</v>
      </c>
      <c r="FH849" s="14"/>
      <c r="FI849" s="16"/>
      <c r="FJ849" s="14"/>
      <c r="FK849" s="12" t="s">
        <v>319</v>
      </c>
      <c r="FL849" s="14"/>
      <c r="FM849" s="16"/>
      <c r="FN849" s="14"/>
      <c r="FO849" s="12" t="s">
        <v>319</v>
      </c>
      <c r="FP849" s="14"/>
      <c r="FQ849" s="16"/>
      <c r="FR849" s="14"/>
      <c r="FS849" s="12" t="s">
        <v>320</v>
      </c>
      <c r="FT849" s="14"/>
      <c r="FU849" s="16"/>
      <c r="FV849" s="14"/>
      <c r="FW849" s="12" t="s">
        <v>320</v>
      </c>
      <c r="FX849" s="14"/>
      <c r="FY849" s="16"/>
      <c r="FZ849" s="14"/>
      <c r="GA849" s="12" t="s">
        <v>319</v>
      </c>
      <c r="GB849" s="14"/>
      <c r="GC849" s="16"/>
      <c r="GD849" s="14"/>
      <c r="GE849" s="12" t="s">
        <v>319</v>
      </c>
      <c r="GF849" s="14"/>
      <c r="GG849" s="16"/>
      <c r="GH849" s="14"/>
      <c r="GI849" s="12" t="s">
        <v>319</v>
      </c>
      <c r="GJ849" s="14"/>
      <c r="GK849" s="16"/>
      <c r="GL849" s="14"/>
      <c r="GM849" s="12" t="s">
        <v>319</v>
      </c>
      <c r="GN849" s="14"/>
      <c r="GO849" s="16"/>
      <c r="GP849" s="14"/>
      <c r="GQ849" s="12" t="s">
        <v>319</v>
      </c>
      <c r="GR849" s="14"/>
      <c r="GS849" s="16"/>
      <c r="GT849" s="14"/>
      <c r="GU849" s="12" t="s">
        <v>319</v>
      </c>
      <c r="GV849" s="14"/>
      <c r="GW849" s="16"/>
      <c r="GX849" s="14"/>
      <c r="GY849" s="12" t="s">
        <v>320</v>
      </c>
      <c r="GZ849" s="14"/>
      <c r="HA849" s="16"/>
      <c r="HB849" s="14"/>
      <c r="HC849" s="12"/>
      <c r="HD849" s="12"/>
      <c r="HE849" s="14"/>
      <c r="HF849" s="16"/>
      <c r="HG849" s="14"/>
      <c r="HH849" s="12" t="s">
        <v>319</v>
      </c>
      <c r="HI849" s="12"/>
      <c r="HJ849" s="12"/>
      <c r="HK849" s="12" t="s">
        <v>319</v>
      </c>
      <c r="HL849" s="12" t="s">
        <v>319</v>
      </c>
      <c r="HM849" s="12"/>
      <c r="HN849" s="12"/>
      <c r="HO849" s="12"/>
      <c r="HP849" s="12" t="s">
        <v>453</v>
      </c>
      <c r="HQ849" s="12" t="s">
        <v>320</v>
      </c>
      <c r="HR849" s="12" t="s">
        <v>319</v>
      </c>
      <c r="HS849" s="12" t="s">
        <v>319</v>
      </c>
      <c r="HT849" s="12" t="s">
        <v>320</v>
      </c>
      <c r="HU849" s="12" t="s">
        <v>319</v>
      </c>
      <c r="HV849" s="12" t="s">
        <v>319</v>
      </c>
      <c r="HW849" s="12" t="s">
        <v>319</v>
      </c>
      <c r="HX849" s="12"/>
      <c r="HY849" s="12"/>
      <c r="HZ849" s="12"/>
      <c r="IA849" s="12"/>
      <c r="IB849" s="12"/>
      <c r="IC849" s="12"/>
      <c r="ID849" s="12" t="s">
        <v>477</v>
      </c>
      <c r="IE849" s="12"/>
      <c r="IF849" s="12"/>
      <c r="IG849" s="12"/>
      <c r="IH849" s="12"/>
      <c r="II849" s="12"/>
      <c r="IJ849" s="12" t="str">
        <f t="shared" si="560"/>
        <v>No marker score</v>
      </c>
      <c r="IK849" s="12">
        <f t="shared" si="561"/>
        <v>0</v>
      </c>
      <c r="IL849" s="12"/>
      <c r="IM849" s="12"/>
      <c r="IN849" s="12"/>
      <c r="IO849" s="12"/>
      <c r="IP849" s="12"/>
      <c r="IQ849" s="12" t="str">
        <f t="shared" si="562"/>
        <v>No marker score</v>
      </c>
      <c r="IR849" s="12">
        <f t="shared" si="563"/>
        <v>0</v>
      </c>
      <c r="IS849" s="12"/>
      <c r="IT849" s="12"/>
      <c r="IU849" s="12"/>
      <c r="IV849" s="12"/>
      <c r="IW849" s="11" t="str">
        <f t="shared" si="564"/>
        <v>No marker score</v>
      </c>
      <c r="IX849" s="12">
        <f t="shared" si="565"/>
        <v>0</v>
      </c>
      <c r="IY849" s="12"/>
      <c r="IZ849" s="12" t="s">
        <v>457</v>
      </c>
      <c r="JA849" s="12"/>
      <c r="JB849" s="12" t="s">
        <v>623</v>
      </c>
      <c r="JC849" s="12" t="s">
        <v>2236</v>
      </c>
      <c r="JD849" s="12" t="s">
        <v>724</v>
      </c>
      <c r="JE849" s="12" t="s">
        <v>340</v>
      </c>
      <c r="JF849" s="12"/>
      <c r="JG849" s="12"/>
      <c r="JH849" s="12" t="s">
        <v>13066</v>
      </c>
      <c r="JI849" s="12" t="s">
        <v>13067</v>
      </c>
      <c r="JJ849" s="12" t="s">
        <v>13068</v>
      </c>
      <c r="JK849" s="12" t="s">
        <v>13069</v>
      </c>
      <c r="JL849" s="12" t="s">
        <v>13070</v>
      </c>
      <c r="JM849" s="12" t="s">
        <v>13071</v>
      </c>
      <c r="JN849" s="12" t="s">
        <v>13072</v>
      </c>
      <c r="JO849" s="12" t="s">
        <v>13073</v>
      </c>
      <c r="JP849" s="15">
        <f t="shared" si="566"/>
        <v>0</v>
      </c>
      <c r="JQ849" s="15">
        <f t="shared" si="567"/>
        <v>0</v>
      </c>
      <c r="JR849" s="279" t="str">
        <f t="shared" si="568"/>
        <v/>
      </c>
      <c r="JS849" s="17" t="str">
        <f t="shared" si="569"/>
        <v/>
      </c>
      <c r="JT849" s="18" t="str">
        <f t="shared" si="570"/>
        <v/>
      </c>
      <c r="JU849" s="280">
        <f t="shared" si="571"/>
        <v>0</v>
      </c>
      <c r="JV849" s="280">
        <f t="shared" si="572"/>
        <v>0</v>
      </c>
      <c r="JW849" s="319" t="str">
        <f t="shared" si="573"/>
        <v/>
      </c>
      <c r="JX849" s="15">
        <f t="shared" si="574"/>
        <v>0</v>
      </c>
      <c r="JY849" s="15">
        <f t="shared" si="575"/>
        <v>0</v>
      </c>
      <c r="JZ849" s="19" t="str">
        <f t="shared" si="576"/>
        <v/>
      </c>
      <c r="KA849" s="52" t="str">
        <f t="shared" si="577"/>
        <v/>
      </c>
      <c r="KB849" s="15">
        <f t="shared" si="578"/>
        <v>0</v>
      </c>
      <c r="KC849" s="15">
        <f t="shared" si="579"/>
        <v>0</v>
      </c>
      <c r="KD849" s="20" t="str">
        <f t="shared" si="580"/>
        <v/>
      </c>
      <c r="KE849" s="52" t="str">
        <f t="shared" si="581"/>
        <v/>
      </c>
      <c r="KF849" s="15">
        <f t="shared" si="582"/>
        <v>0</v>
      </c>
      <c r="KG849" s="15">
        <f t="shared" si="583"/>
        <v>0</v>
      </c>
      <c r="KH849" s="21" t="str">
        <f t="shared" si="584"/>
        <v/>
      </c>
      <c r="KI849" s="52">
        <f t="shared" si="585"/>
        <v>1</v>
      </c>
      <c r="KJ849" s="15">
        <f t="shared" si="586"/>
        <v>0</v>
      </c>
      <c r="KK849" s="15">
        <f t="shared" si="587"/>
        <v>0</v>
      </c>
      <c r="KL849" s="19" t="str">
        <f t="shared" si="588"/>
        <v/>
      </c>
      <c r="KM849" s="52">
        <f t="shared" si="589"/>
        <v>1</v>
      </c>
      <c r="KN849" s="22">
        <f t="shared" si="590"/>
        <v>0</v>
      </c>
      <c r="KO849" s="22">
        <f t="shared" si="591"/>
        <v>0</v>
      </c>
      <c r="KP849" s="19" t="str">
        <f t="shared" si="592"/>
        <v/>
      </c>
      <c r="KQ849" s="11" t="str">
        <f t="shared" si="593"/>
        <v>No marker score</v>
      </c>
      <c r="KR849" s="11" t="str">
        <f t="shared" si="594"/>
        <v>No marker score</v>
      </c>
      <c r="KS849" s="11" t="str">
        <f t="shared" si="595"/>
        <v>No marker score</v>
      </c>
      <c r="KT849" s="11">
        <f t="shared" si="596"/>
        <v>0</v>
      </c>
      <c r="KU849" s="11" t="str">
        <f t="shared" si="597"/>
        <v>Intensive advocacy</v>
      </c>
      <c r="KV849" s="11">
        <f t="shared" si="598"/>
        <v>0</v>
      </c>
      <c r="KW849" s="11" t="str">
        <f t="shared" si="599"/>
        <v>United States of America - ILO(International Labor Organization): ILO Convention 189 ratification and implementation_CARE USA</v>
      </c>
      <c r="KX849" s="11" t="str">
        <f t="shared" si="600"/>
        <v>ILO(International Labor Organization): ILO Convention 189 ratification and implementation_CARE USA</v>
      </c>
      <c r="KY849" s="11" t="str">
        <f t="shared" si="601"/>
        <v>United States of America</v>
      </c>
      <c r="KZ849" s="12">
        <v>850</v>
      </c>
    </row>
    <row r="850" spans="1:312" x14ac:dyDescent="0.3">
      <c r="A850" s="12" t="s">
        <v>12969</v>
      </c>
      <c r="B850" s="12" t="s">
        <v>12970</v>
      </c>
      <c r="C850" s="12"/>
      <c r="D850" s="12" t="s">
        <v>13074</v>
      </c>
      <c r="E850" s="277" t="str">
        <f t="shared" si="559"/>
        <v>United States of America</v>
      </c>
      <c r="F850" s="12"/>
      <c r="G850" s="12" t="s">
        <v>379</v>
      </c>
      <c r="H850" s="12"/>
      <c r="I850" s="12"/>
      <c r="J850" s="281"/>
      <c r="K850" s="12"/>
      <c r="L850" s="12"/>
      <c r="M850" s="12"/>
      <c r="N850" s="12"/>
      <c r="O850" s="12"/>
      <c r="P850" s="12"/>
      <c r="Q850" s="12"/>
      <c r="R850" s="12"/>
      <c r="S850" s="12"/>
      <c r="T850" s="12"/>
      <c r="U850" s="12"/>
      <c r="V850" s="12"/>
      <c r="W850" s="12"/>
      <c r="X850" s="12"/>
      <c r="Y850" s="12"/>
      <c r="Z850" s="12"/>
      <c r="AA850" s="12"/>
      <c r="AB850" s="12"/>
      <c r="AC850" s="12"/>
      <c r="AD850" s="12"/>
      <c r="BD850" s="13">
        <v>42443</v>
      </c>
      <c r="BE850" s="12"/>
      <c r="BF850" s="12"/>
      <c r="BG850" s="12" t="s">
        <v>609</v>
      </c>
      <c r="BH850" s="14"/>
      <c r="BI850" s="12" t="s">
        <v>12972</v>
      </c>
      <c r="BJ850" s="12" t="s">
        <v>12973</v>
      </c>
      <c r="BK850" s="12" t="s">
        <v>12974</v>
      </c>
      <c r="BL850" s="12" t="s">
        <v>13075</v>
      </c>
      <c r="BM850" s="12" t="s">
        <v>12976</v>
      </c>
      <c r="BN850" s="12" t="s">
        <v>13076</v>
      </c>
      <c r="BO850" s="12" t="s">
        <v>320</v>
      </c>
      <c r="BP850" s="12" t="s">
        <v>320</v>
      </c>
      <c r="BQ850" s="12" t="s">
        <v>320</v>
      </c>
      <c r="BR850" s="12" t="s">
        <v>13077</v>
      </c>
      <c r="BS850" s="12" t="s">
        <v>849</v>
      </c>
      <c r="BT850" s="12" t="s">
        <v>13078</v>
      </c>
      <c r="BU850" s="12" t="s">
        <v>13079</v>
      </c>
      <c r="BV850" s="14"/>
      <c r="BW850" s="14"/>
      <c r="BX850" s="14"/>
      <c r="BY850" s="14"/>
      <c r="BZ850" s="14"/>
      <c r="CA850" s="14"/>
      <c r="CB850" s="12" t="s">
        <v>13060</v>
      </c>
      <c r="CD850" s="14"/>
      <c r="CE850" s="14"/>
      <c r="CF850" s="14"/>
      <c r="CG850" s="14"/>
      <c r="CH850" s="14"/>
      <c r="CI850" s="14"/>
      <c r="CJ850" s="12" t="s">
        <v>319</v>
      </c>
      <c r="CK850" s="14"/>
      <c r="CL850" s="16"/>
      <c r="CM850" s="14"/>
      <c r="CN850" s="12" t="s">
        <v>319</v>
      </c>
      <c r="CO850" s="14"/>
      <c r="CP850" s="16"/>
      <c r="CQ850" s="14"/>
      <c r="CR850" s="12" t="s">
        <v>319</v>
      </c>
      <c r="CS850" s="14"/>
      <c r="CT850" s="16"/>
      <c r="CU850" s="14"/>
      <c r="CV850" s="12" t="s">
        <v>319</v>
      </c>
      <c r="CW850" s="14"/>
      <c r="CX850" s="16"/>
      <c r="CY850" s="14"/>
      <c r="CZ850" s="12" t="s">
        <v>320</v>
      </c>
      <c r="DA850" s="14"/>
      <c r="DB850" s="16"/>
      <c r="DC850" s="14"/>
      <c r="DD850" s="12" t="s">
        <v>320</v>
      </c>
      <c r="DE850" s="14"/>
      <c r="DF850" s="16"/>
      <c r="DG850" s="14"/>
      <c r="DH850" s="12" t="s">
        <v>319</v>
      </c>
      <c r="DI850" s="14"/>
      <c r="DJ850" s="16"/>
      <c r="DK850" s="14"/>
      <c r="DL850" s="12" t="s">
        <v>319</v>
      </c>
      <c r="DM850" s="14"/>
      <c r="DN850" s="16"/>
      <c r="DO850" s="14"/>
      <c r="DP850" s="12" t="s">
        <v>319</v>
      </c>
      <c r="DQ850" s="14"/>
      <c r="DR850" s="16"/>
      <c r="DS850" s="14"/>
      <c r="DT850" s="12" t="s">
        <v>319</v>
      </c>
      <c r="DU850" s="14"/>
      <c r="DV850" s="16"/>
      <c r="DW850" s="14"/>
      <c r="DX850" s="12" t="s">
        <v>319</v>
      </c>
      <c r="DY850" s="14"/>
      <c r="DZ850" s="16"/>
      <c r="EA850" s="14"/>
      <c r="EB850" s="12" t="s">
        <v>319</v>
      </c>
      <c r="EC850" s="14"/>
      <c r="ED850" s="16"/>
      <c r="EE850" s="14"/>
      <c r="EF850" s="12"/>
      <c r="EG850" s="12"/>
      <c r="EH850" s="14"/>
      <c r="EI850" s="16"/>
      <c r="EJ850" s="14"/>
      <c r="EK850" s="14"/>
      <c r="EL850" s="14"/>
      <c r="EM850" s="14"/>
      <c r="EN850" s="14"/>
      <c r="EO850" s="14"/>
      <c r="EP850" s="14"/>
      <c r="EQ850" s="12" t="s">
        <v>319</v>
      </c>
      <c r="ER850" s="14"/>
      <c r="ES850" s="16"/>
      <c r="ET850" s="14"/>
      <c r="EU850" s="11" t="s">
        <v>319</v>
      </c>
      <c r="EV850" s="14"/>
      <c r="EW850" s="16"/>
      <c r="EX850" s="14"/>
      <c r="EY850" s="12" t="s">
        <v>319</v>
      </c>
      <c r="EZ850" s="14"/>
      <c r="FA850" s="16"/>
      <c r="FB850" s="14"/>
      <c r="FC850" s="12" t="s">
        <v>319</v>
      </c>
      <c r="FD850" s="14"/>
      <c r="FE850" s="16"/>
      <c r="FF850" s="14"/>
      <c r="FG850" s="12" t="s">
        <v>319</v>
      </c>
      <c r="FH850" s="14"/>
      <c r="FI850" s="16"/>
      <c r="FJ850" s="14"/>
      <c r="FK850" s="12" t="s">
        <v>319</v>
      </c>
      <c r="FL850" s="14"/>
      <c r="FM850" s="16"/>
      <c r="FN850" s="14"/>
      <c r="FO850" s="12" t="s">
        <v>319</v>
      </c>
      <c r="FP850" s="14"/>
      <c r="FQ850" s="16"/>
      <c r="FR850" s="14"/>
      <c r="FS850" s="12" t="s">
        <v>320</v>
      </c>
      <c r="FT850" s="14"/>
      <c r="FU850" s="16"/>
      <c r="FV850" s="14"/>
      <c r="FW850" s="12" t="s">
        <v>320</v>
      </c>
      <c r="FX850" s="14"/>
      <c r="FY850" s="16"/>
      <c r="FZ850" s="14"/>
      <c r="GA850" s="12" t="s">
        <v>319</v>
      </c>
      <c r="GB850" s="14"/>
      <c r="GC850" s="16"/>
      <c r="GD850" s="14"/>
      <c r="GE850" s="12" t="s">
        <v>319</v>
      </c>
      <c r="GF850" s="14"/>
      <c r="GG850" s="16"/>
      <c r="GH850" s="14"/>
      <c r="GI850" s="12" t="s">
        <v>319</v>
      </c>
      <c r="GJ850" s="14"/>
      <c r="GK850" s="16"/>
      <c r="GL850" s="14"/>
      <c r="GM850" s="12" t="s">
        <v>319</v>
      </c>
      <c r="GN850" s="14"/>
      <c r="GO850" s="16"/>
      <c r="GP850" s="14"/>
      <c r="GQ850" s="12" t="s">
        <v>319</v>
      </c>
      <c r="GR850" s="14"/>
      <c r="GS850" s="16"/>
      <c r="GT850" s="14"/>
      <c r="GU850" s="12" t="s">
        <v>319</v>
      </c>
      <c r="GV850" s="14"/>
      <c r="GW850" s="16"/>
      <c r="GX850" s="14"/>
      <c r="GY850" s="12" t="s">
        <v>319</v>
      </c>
      <c r="GZ850" s="14"/>
      <c r="HA850" s="16"/>
      <c r="HB850" s="14"/>
      <c r="HC850" s="12"/>
      <c r="HD850" s="12"/>
      <c r="HE850" s="14"/>
      <c r="HF850" s="16"/>
      <c r="HG850" s="14"/>
      <c r="HH850" s="12" t="s">
        <v>319</v>
      </c>
      <c r="HI850" s="12"/>
      <c r="HJ850" s="12"/>
      <c r="HK850" s="12" t="s">
        <v>319</v>
      </c>
      <c r="HL850" s="12" t="s">
        <v>319</v>
      </c>
      <c r="HM850" s="12"/>
      <c r="HN850" s="12"/>
      <c r="HO850" s="12"/>
      <c r="HP850" s="12" t="s">
        <v>453</v>
      </c>
      <c r="HQ850" s="12" t="s">
        <v>319</v>
      </c>
      <c r="HR850" s="12" t="s">
        <v>319</v>
      </c>
      <c r="HS850" s="12" t="s">
        <v>319</v>
      </c>
      <c r="HT850" s="12" t="s">
        <v>320</v>
      </c>
      <c r="HU850" s="12" t="s">
        <v>319</v>
      </c>
      <c r="HV850" s="12" t="s">
        <v>319</v>
      </c>
      <c r="HW850" s="12" t="s">
        <v>319</v>
      </c>
      <c r="HX850" s="12" t="s">
        <v>319</v>
      </c>
      <c r="HY850" s="12"/>
      <c r="HZ850" s="12"/>
      <c r="IA850" s="12"/>
      <c r="IB850" s="12"/>
      <c r="IC850" s="12"/>
      <c r="ID850" s="12" t="s">
        <v>477</v>
      </c>
      <c r="IE850" s="12"/>
      <c r="IF850" s="12"/>
      <c r="IG850" s="12"/>
      <c r="IH850" s="12"/>
      <c r="II850" s="12"/>
      <c r="IJ850" s="12" t="str">
        <f t="shared" si="560"/>
        <v>No marker score</v>
      </c>
      <c r="IK850" s="12">
        <f t="shared" si="561"/>
        <v>0</v>
      </c>
      <c r="IL850" s="12"/>
      <c r="IM850" s="12"/>
      <c r="IN850" s="12"/>
      <c r="IO850" s="12"/>
      <c r="IP850" s="12"/>
      <c r="IQ850" s="12" t="str">
        <f t="shared" si="562"/>
        <v>No marker score</v>
      </c>
      <c r="IR850" s="12">
        <f t="shared" si="563"/>
        <v>0</v>
      </c>
      <c r="IS850" s="12"/>
      <c r="IT850" s="12"/>
      <c r="IU850" s="12"/>
      <c r="IV850" s="12"/>
      <c r="IW850" s="11" t="str">
        <f t="shared" si="564"/>
        <v>No marker score</v>
      </c>
      <c r="IX850" s="12">
        <f t="shared" si="565"/>
        <v>0</v>
      </c>
      <c r="IY850" s="12"/>
      <c r="IZ850" s="12"/>
      <c r="JA850" s="12"/>
      <c r="JB850" s="12" t="s">
        <v>623</v>
      </c>
      <c r="JC850" s="12" t="s">
        <v>831</v>
      </c>
      <c r="JD850" s="12" t="s">
        <v>651</v>
      </c>
      <c r="JE850" s="12"/>
      <c r="JF850" s="12"/>
      <c r="JG850" s="12" t="s">
        <v>13080</v>
      </c>
      <c r="JH850" s="12" t="s">
        <v>13081</v>
      </c>
      <c r="JI850" s="12" t="s">
        <v>13082</v>
      </c>
      <c r="JJ850" s="12"/>
      <c r="JK850" s="12" t="s">
        <v>13083</v>
      </c>
      <c r="JL850" s="12"/>
      <c r="JM850" s="12"/>
      <c r="JN850" s="12"/>
      <c r="JO850" s="12"/>
      <c r="JP850" s="15">
        <f t="shared" si="566"/>
        <v>0</v>
      </c>
      <c r="JQ850" s="15">
        <f t="shared" si="567"/>
        <v>0</v>
      </c>
      <c r="JR850" s="279" t="str">
        <f t="shared" si="568"/>
        <v/>
      </c>
      <c r="JS850" s="17" t="str">
        <f t="shared" si="569"/>
        <v/>
      </c>
      <c r="JT850" s="18" t="str">
        <f t="shared" si="570"/>
        <v/>
      </c>
      <c r="JU850" s="280">
        <f t="shared" si="571"/>
        <v>0</v>
      </c>
      <c r="JV850" s="280">
        <f t="shared" si="572"/>
        <v>0</v>
      </c>
      <c r="JW850" s="319">
        <f t="shared" si="573"/>
        <v>1</v>
      </c>
      <c r="JX850" s="15">
        <f t="shared" si="574"/>
        <v>0</v>
      </c>
      <c r="JY850" s="15">
        <f t="shared" si="575"/>
        <v>0</v>
      </c>
      <c r="JZ850" s="19" t="str">
        <f t="shared" si="576"/>
        <v/>
      </c>
      <c r="KA850" s="52" t="str">
        <f t="shared" si="577"/>
        <v/>
      </c>
      <c r="KB850" s="15">
        <f t="shared" si="578"/>
        <v>0</v>
      </c>
      <c r="KC850" s="15">
        <f t="shared" si="579"/>
        <v>0</v>
      </c>
      <c r="KD850" s="20" t="str">
        <f t="shared" si="580"/>
        <v/>
      </c>
      <c r="KE850" s="52" t="str">
        <f t="shared" si="581"/>
        <v/>
      </c>
      <c r="KF850" s="15">
        <f t="shared" si="582"/>
        <v>0</v>
      </c>
      <c r="KG850" s="15">
        <f t="shared" si="583"/>
        <v>0</v>
      </c>
      <c r="KH850" s="21" t="str">
        <f t="shared" si="584"/>
        <v/>
      </c>
      <c r="KI850" s="52">
        <f t="shared" si="585"/>
        <v>1</v>
      </c>
      <c r="KJ850" s="15">
        <f t="shared" si="586"/>
        <v>0</v>
      </c>
      <c r="KK850" s="15">
        <f t="shared" si="587"/>
        <v>0</v>
      </c>
      <c r="KL850" s="19" t="str">
        <f t="shared" si="588"/>
        <v/>
      </c>
      <c r="KM850" s="52" t="str">
        <f t="shared" si="589"/>
        <v/>
      </c>
      <c r="KN850" s="22">
        <f t="shared" si="590"/>
        <v>0</v>
      </c>
      <c r="KO850" s="22">
        <f t="shared" si="591"/>
        <v>0</v>
      </c>
      <c r="KP850" s="19" t="str">
        <f t="shared" si="592"/>
        <v/>
      </c>
      <c r="KQ850" s="11" t="str">
        <f t="shared" si="593"/>
        <v>No marker score</v>
      </c>
      <c r="KR850" s="11" t="str">
        <f t="shared" si="594"/>
        <v>No marker score</v>
      </c>
      <c r="KS850" s="11" t="str">
        <f t="shared" si="595"/>
        <v>No marker score</v>
      </c>
      <c r="KT850" s="11">
        <f t="shared" si="596"/>
        <v>0</v>
      </c>
      <c r="KU850" s="11" t="str">
        <f t="shared" si="597"/>
        <v>Intensive advocacy</v>
      </c>
      <c r="KV850" s="11">
        <f t="shared" si="598"/>
        <v>0</v>
      </c>
      <c r="KW850" s="11" t="str">
        <f t="shared" si="599"/>
        <v>United States of America - Implementation of the Adolescent Girl Strategy</v>
      </c>
      <c r="KX850" s="11" t="str">
        <f t="shared" si="600"/>
        <v>Implementation of the Adolescent Girl Strategy</v>
      </c>
      <c r="KY850" s="11" t="str">
        <f t="shared" si="601"/>
        <v>United States of America</v>
      </c>
      <c r="KZ850" s="12">
        <v>851</v>
      </c>
    </row>
    <row r="851" spans="1:312" x14ac:dyDescent="0.3">
      <c r="A851" s="12" t="s">
        <v>12969</v>
      </c>
      <c r="B851" s="12" t="s">
        <v>12970</v>
      </c>
      <c r="C851" s="12"/>
      <c r="D851" s="12" t="s">
        <v>13084</v>
      </c>
      <c r="E851" s="277" t="str">
        <f t="shared" si="559"/>
        <v>United States of America</v>
      </c>
      <c r="F851" s="12"/>
      <c r="G851" s="12" t="s">
        <v>379</v>
      </c>
      <c r="H851" s="12"/>
      <c r="I851" s="12"/>
      <c r="J851" s="281"/>
      <c r="K851" s="12"/>
      <c r="L851" s="12"/>
      <c r="M851" s="12"/>
      <c r="N851" s="12"/>
      <c r="O851" s="12"/>
      <c r="P851" s="12"/>
      <c r="Q851" s="12"/>
      <c r="R851" s="12"/>
      <c r="S851" s="12"/>
      <c r="T851" s="12"/>
      <c r="U851" s="12"/>
      <c r="V851" s="12"/>
      <c r="W851" s="12"/>
      <c r="X851" s="12"/>
      <c r="Y851" s="12"/>
      <c r="Z851" s="12"/>
      <c r="AA851" s="12"/>
      <c r="AB851" s="12"/>
      <c r="AC851" s="12"/>
      <c r="AD851" s="12"/>
      <c r="BD851" s="13">
        <v>42736</v>
      </c>
      <c r="BE851" s="12"/>
      <c r="BF851" s="12"/>
      <c r="BG851" s="12" t="s">
        <v>609</v>
      </c>
      <c r="BH851" s="14"/>
      <c r="BI851" s="12" t="s">
        <v>12972</v>
      </c>
      <c r="BJ851" s="12" t="s">
        <v>12973</v>
      </c>
      <c r="BK851" s="12" t="s">
        <v>12974</v>
      </c>
      <c r="BL851" s="12" t="s">
        <v>13075</v>
      </c>
      <c r="BM851" s="12" t="s">
        <v>12976</v>
      </c>
      <c r="BN851" s="12" t="s">
        <v>13076</v>
      </c>
      <c r="BO851" s="12" t="s">
        <v>320</v>
      </c>
      <c r="BP851" s="12" t="s">
        <v>320</v>
      </c>
      <c r="BQ851" s="12" t="s">
        <v>320</v>
      </c>
      <c r="BR851" s="12" t="s">
        <v>13085</v>
      </c>
      <c r="BS851" s="12" t="s">
        <v>849</v>
      </c>
      <c r="BT851" s="12"/>
      <c r="BU851" s="12" t="s">
        <v>13086</v>
      </c>
      <c r="BV851" s="14"/>
      <c r="BW851" s="14"/>
      <c r="BX851" s="14"/>
      <c r="BY851" s="14"/>
      <c r="BZ851" s="14"/>
      <c r="CA851" s="14"/>
      <c r="CB851" s="12" t="s">
        <v>13060</v>
      </c>
      <c r="CD851" s="14"/>
      <c r="CE851" s="14"/>
      <c r="CF851" s="14"/>
      <c r="CG851" s="14"/>
      <c r="CH851" s="14"/>
      <c r="CI851" s="14"/>
      <c r="CJ851" s="12" t="s">
        <v>319</v>
      </c>
      <c r="CK851" s="14"/>
      <c r="CL851" s="16"/>
      <c r="CM851" s="14"/>
      <c r="CN851" s="12" t="s">
        <v>319</v>
      </c>
      <c r="CO851" s="14"/>
      <c r="CP851" s="16"/>
      <c r="CQ851" s="14"/>
      <c r="CR851" s="12" t="s">
        <v>319</v>
      </c>
      <c r="CS851" s="14"/>
      <c r="CT851" s="16"/>
      <c r="CU851" s="14"/>
      <c r="CV851" s="12" t="s">
        <v>319</v>
      </c>
      <c r="CW851" s="14"/>
      <c r="CX851" s="16"/>
      <c r="CY851" s="14"/>
      <c r="CZ851" s="12" t="s">
        <v>320</v>
      </c>
      <c r="DA851" s="14"/>
      <c r="DB851" s="16"/>
      <c r="DC851" s="14"/>
      <c r="DD851" s="12" t="s">
        <v>320</v>
      </c>
      <c r="DE851" s="14"/>
      <c r="DF851" s="16"/>
      <c r="DG851" s="14"/>
      <c r="DH851" s="12" t="s">
        <v>319</v>
      </c>
      <c r="DI851" s="14"/>
      <c r="DJ851" s="16"/>
      <c r="DK851" s="14"/>
      <c r="DL851" s="12" t="s">
        <v>319</v>
      </c>
      <c r="DM851" s="14"/>
      <c r="DN851" s="16"/>
      <c r="DO851" s="14"/>
      <c r="DP851" s="12" t="s">
        <v>319</v>
      </c>
      <c r="DQ851" s="14"/>
      <c r="DR851" s="16"/>
      <c r="DS851" s="14"/>
      <c r="DT851" s="12" t="s">
        <v>319</v>
      </c>
      <c r="DU851" s="14"/>
      <c r="DV851" s="16"/>
      <c r="DW851" s="14"/>
      <c r="DX851" s="12" t="s">
        <v>319</v>
      </c>
      <c r="DY851" s="14"/>
      <c r="DZ851" s="16"/>
      <c r="EA851" s="14"/>
      <c r="EB851" s="12" t="s">
        <v>319</v>
      </c>
      <c r="EC851" s="14"/>
      <c r="ED851" s="16"/>
      <c r="EE851" s="14"/>
      <c r="EF851" s="12"/>
      <c r="EG851" s="12"/>
      <c r="EH851" s="14"/>
      <c r="EI851" s="16"/>
      <c r="EJ851" s="14"/>
      <c r="EK851" s="14"/>
      <c r="EL851" s="14"/>
      <c r="EM851" s="14"/>
      <c r="EN851" s="14"/>
      <c r="EO851" s="14"/>
      <c r="EP851" s="14"/>
      <c r="EQ851" s="12" t="s">
        <v>319</v>
      </c>
      <c r="ER851" s="14"/>
      <c r="ES851" s="16"/>
      <c r="ET851" s="14"/>
      <c r="EU851" s="11" t="s">
        <v>319</v>
      </c>
      <c r="EV851" s="14"/>
      <c r="EW851" s="16"/>
      <c r="EX851" s="14"/>
      <c r="EY851" s="12" t="s">
        <v>319</v>
      </c>
      <c r="EZ851" s="14"/>
      <c r="FA851" s="16"/>
      <c r="FB851" s="14"/>
      <c r="FC851" s="12" t="s">
        <v>319</v>
      </c>
      <c r="FD851" s="14"/>
      <c r="FE851" s="16"/>
      <c r="FF851" s="14"/>
      <c r="FG851" s="12" t="s">
        <v>319</v>
      </c>
      <c r="FH851" s="14"/>
      <c r="FI851" s="16"/>
      <c r="FJ851" s="14"/>
      <c r="FK851" s="12" t="s">
        <v>319</v>
      </c>
      <c r="FL851" s="14"/>
      <c r="FM851" s="16"/>
      <c r="FN851" s="14"/>
      <c r="FO851" s="12" t="s">
        <v>319</v>
      </c>
      <c r="FP851" s="14"/>
      <c r="FQ851" s="16"/>
      <c r="FR851" s="14"/>
      <c r="FS851" s="12" t="s">
        <v>320</v>
      </c>
      <c r="FT851" s="14"/>
      <c r="FU851" s="16"/>
      <c r="FV851" s="14"/>
      <c r="FW851" s="12" t="s">
        <v>320</v>
      </c>
      <c r="FX851" s="14"/>
      <c r="FY851" s="16"/>
      <c r="FZ851" s="14"/>
      <c r="GA851" s="12" t="s">
        <v>319</v>
      </c>
      <c r="GB851" s="14"/>
      <c r="GC851" s="16"/>
      <c r="GD851" s="14"/>
      <c r="GE851" s="12" t="s">
        <v>319</v>
      </c>
      <c r="GF851" s="14"/>
      <c r="GG851" s="16"/>
      <c r="GH851" s="14"/>
      <c r="GI851" s="12" t="s">
        <v>319</v>
      </c>
      <c r="GJ851" s="14"/>
      <c r="GK851" s="16"/>
      <c r="GL851" s="14"/>
      <c r="GM851" s="12" t="s">
        <v>319</v>
      </c>
      <c r="GN851" s="14"/>
      <c r="GO851" s="16"/>
      <c r="GP851" s="14"/>
      <c r="GQ851" s="12" t="s">
        <v>319</v>
      </c>
      <c r="GR851" s="14"/>
      <c r="GS851" s="16"/>
      <c r="GT851" s="14"/>
      <c r="GU851" s="12" t="s">
        <v>319</v>
      </c>
      <c r="GV851" s="14"/>
      <c r="GW851" s="16"/>
      <c r="GX851" s="14"/>
      <c r="GY851" s="12" t="s">
        <v>319</v>
      </c>
      <c r="GZ851" s="14"/>
      <c r="HA851" s="16"/>
      <c r="HB851" s="14"/>
      <c r="HC851" s="12"/>
      <c r="HD851" s="12"/>
      <c r="HE851" s="14"/>
      <c r="HF851" s="16"/>
      <c r="HG851" s="14"/>
      <c r="HH851" s="12" t="s">
        <v>319</v>
      </c>
      <c r="HI851" s="12"/>
      <c r="HJ851" s="12"/>
      <c r="HK851" s="12" t="s">
        <v>319</v>
      </c>
      <c r="HL851" s="12" t="s">
        <v>319</v>
      </c>
      <c r="HM851" s="12"/>
      <c r="HN851" s="12"/>
      <c r="HO851" s="12"/>
      <c r="HP851" s="12" t="s">
        <v>453</v>
      </c>
      <c r="HQ851" s="12" t="s">
        <v>320</v>
      </c>
      <c r="HR851" s="12" t="s">
        <v>319</v>
      </c>
      <c r="HS851" s="12" t="s">
        <v>319</v>
      </c>
      <c r="HT851" s="12" t="s">
        <v>319</v>
      </c>
      <c r="HU851" s="12" t="s">
        <v>319</v>
      </c>
      <c r="HV851" s="12" t="s">
        <v>319</v>
      </c>
      <c r="HW851" s="12" t="s">
        <v>319</v>
      </c>
      <c r="HX851" s="12" t="s">
        <v>319</v>
      </c>
      <c r="HY851" s="12"/>
      <c r="HZ851" s="12"/>
      <c r="IA851" s="12"/>
      <c r="IB851" s="12"/>
      <c r="IC851" s="12"/>
      <c r="ID851" s="12" t="s">
        <v>477</v>
      </c>
      <c r="IE851" s="12"/>
      <c r="IF851" s="12"/>
      <c r="IG851" s="12"/>
      <c r="IH851" s="12"/>
      <c r="II851" s="12"/>
      <c r="IJ851" s="12" t="str">
        <f t="shared" si="560"/>
        <v>No marker score</v>
      </c>
      <c r="IK851" s="12">
        <f t="shared" si="561"/>
        <v>0</v>
      </c>
      <c r="IL851" s="12"/>
      <c r="IM851" s="12"/>
      <c r="IN851" s="12"/>
      <c r="IO851" s="12"/>
      <c r="IP851" s="12"/>
      <c r="IQ851" s="12" t="str">
        <f t="shared" si="562"/>
        <v>No marker score</v>
      </c>
      <c r="IR851" s="12">
        <f t="shared" si="563"/>
        <v>0</v>
      </c>
      <c r="IS851" s="12"/>
      <c r="IT851" s="12"/>
      <c r="IU851" s="12"/>
      <c r="IV851" s="12"/>
      <c r="IW851" s="11" t="str">
        <f t="shared" si="564"/>
        <v>No marker score</v>
      </c>
      <c r="IX851" s="12">
        <f t="shared" si="565"/>
        <v>0</v>
      </c>
      <c r="IY851" s="12"/>
      <c r="IZ851" s="12"/>
      <c r="JA851" s="12"/>
      <c r="JB851" s="12" t="s">
        <v>623</v>
      </c>
      <c r="JC851" s="12" t="s">
        <v>831</v>
      </c>
      <c r="JD851" s="12"/>
      <c r="JE851" s="12"/>
      <c r="JF851" s="12"/>
      <c r="JG851" s="12" t="s">
        <v>13087</v>
      </c>
      <c r="JH851" s="12" t="s">
        <v>13088</v>
      </c>
      <c r="JI851" s="12" t="s">
        <v>13089</v>
      </c>
      <c r="JJ851" s="12" t="s">
        <v>13090</v>
      </c>
      <c r="JK851" s="12" t="s">
        <v>13091</v>
      </c>
      <c r="JL851" s="12" t="s">
        <v>13092</v>
      </c>
      <c r="JM851" s="12"/>
      <c r="JN851" s="12"/>
      <c r="JO851" s="12"/>
      <c r="JP851" s="15">
        <f t="shared" si="566"/>
        <v>0</v>
      </c>
      <c r="JQ851" s="15">
        <f t="shared" si="567"/>
        <v>0</v>
      </c>
      <c r="JR851" s="279" t="str">
        <f t="shared" si="568"/>
        <v/>
      </c>
      <c r="JS851" s="17" t="str">
        <f t="shared" si="569"/>
        <v/>
      </c>
      <c r="JT851" s="18" t="str">
        <f t="shared" si="570"/>
        <v/>
      </c>
      <c r="JU851" s="280">
        <f t="shared" si="571"/>
        <v>0</v>
      </c>
      <c r="JV851" s="280">
        <f t="shared" si="572"/>
        <v>0</v>
      </c>
      <c r="JW851" s="319">
        <f t="shared" si="573"/>
        <v>1</v>
      </c>
      <c r="JX851" s="15">
        <f t="shared" si="574"/>
        <v>0</v>
      </c>
      <c r="JY851" s="15">
        <f t="shared" si="575"/>
        <v>0</v>
      </c>
      <c r="JZ851" s="19" t="str">
        <f t="shared" si="576"/>
        <v/>
      </c>
      <c r="KA851" s="52" t="str">
        <f t="shared" si="577"/>
        <v/>
      </c>
      <c r="KB851" s="15">
        <f t="shared" si="578"/>
        <v>0</v>
      </c>
      <c r="KC851" s="15">
        <f t="shared" si="579"/>
        <v>0</v>
      </c>
      <c r="KD851" s="20" t="str">
        <f t="shared" si="580"/>
        <v/>
      </c>
      <c r="KE851" s="52" t="str">
        <f t="shared" si="581"/>
        <v/>
      </c>
      <c r="KF851" s="15">
        <f t="shared" si="582"/>
        <v>0</v>
      </c>
      <c r="KG851" s="15">
        <f t="shared" si="583"/>
        <v>0</v>
      </c>
      <c r="KH851" s="21" t="str">
        <f t="shared" si="584"/>
        <v/>
      </c>
      <c r="KI851" s="52">
        <f t="shared" si="585"/>
        <v>1</v>
      </c>
      <c r="KJ851" s="15">
        <f t="shared" si="586"/>
        <v>0</v>
      </c>
      <c r="KK851" s="15">
        <f t="shared" si="587"/>
        <v>0</v>
      </c>
      <c r="KL851" s="19" t="str">
        <f t="shared" si="588"/>
        <v/>
      </c>
      <c r="KM851" s="52" t="str">
        <f t="shared" si="589"/>
        <v/>
      </c>
      <c r="KN851" s="22">
        <f t="shared" si="590"/>
        <v>0</v>
      </c>
      <c r="KO851" s="22">
        <f t="shared" si="591"/>
        <v>0</v>
      </c>
      <c r="KP851" s="19" t="str">
        <f t="shared" si="592"/>
        <v/>
      </c>
      <c r="KQ851" s="11" t="str">
        <f t="shared" si="593"/>
        <v>No marker score</v>
      </c>
      <c r="KR851" s="11" t="str">
        <f t="shared" si="594"/>
        <v>No marker score</v>
      </c>
      <c r="KS851" s="11" t="str">
        <f t="shared" si="595"/>
        <v>No marker score</v>
      </c>
      <c r="KT851" s="11">
        <f t="shared" si="596"/>
        <v>0</v>
      </c>
      <c r="KU851" s="11" t="str">
        <f t="shared" si="597"/>
        <v>Intensive advocacy</v>
      </c>
      <c r="KV851" s="11">
        <f t="shared" si="598"/>
        <v>0</v>
      </c>
      <c r="KW851" s="11" t="str">
        <f t="shared" si="599"/>
        <v>United States of America - International Violence Against Women Act</v>
      </c>
      <c r="KX851" s="11" t="str">
        <f t="shared" si="600"/>
        <v>International Violence Against Women Act</v>
      </c>
      <c r="KY851" s="11" t="str">
        <f t="shared" si="601"/>
        <v>United States of America</v>
      </c>
      <c r="KZ851" s="12">
        <v>852</v>
      </c>
    </row>
    <row r="852" spans="1:312" x14ac:dyDescent="0.3">
      <c r="A852" s="11" t="s">
        <v>12969</v>
      </c>
      <c r="B852" s="11" t="s">
        <v>12970</v>
      </c>
      <c r="D852" s="11" t="s">
        <v>13093</v>
      </c>
      <c r="E852" s="277" t="str">
        <f t="shared" si="559"/>
        <v>United States of America</v>
      </c>
      <c r="G852" s="12" t="s">
        <v>379</v>
      </c>
      <c r="J852" s="278"/>
      <c r="BD852" s="23">
        <v>42789</v>
      </c>
      <c r="BE852" s="23">
        <v>42789</v>
      </c>
      <c r="BG852" s="11" t="s">
        <v>817</v>
      </c>
      <c r="BI852" s="26" t="s">
        <v>12972</v>
      </c>
      <c r="BJ852" s="12" t="s">
        <v>12973</v>
      </c>
      <c r="BK852" s="12" t="s">
        <v>12974</v>
      </c>
      <c r="BL852" s="11" t="s">
        <v>13016</v>
      </c>
      <c r="BM852" s="11" t="s">
        <v>13017</v>
      </c>
      <c r="BN852" s="11" t="s">
        <v>13018</v>
      </c>
      <c r="BO852" s="11" t="s">
        <v>320</v>
      </c>
      <c r="BP852" s="11" t="s">
        <v>319</v>
      </c>
      <c r="BQ852" s="11" t="s">
        <v>319</v>
      </c>
      <c r="BR852" s="11" t="s">
        <v>13094</v>
      </c>
      <c r="BS852" s="11" t="s">
        <v>615</v>
      </c>
      <c r="BT852" s="11" t="s">
        <v>13095</v>
      </c>
      <c r="BU852" s="11" t="s">
        <v>13096</v>
      </c>
      <c r="CA852" s="22">
        <v>3200000</v>
      </c>
      <c r="CB852" s="15" t="s">
        <v>13097</v>
      </c>
      <c r="CL852" s="18"/>
      <c r="CP852" s="18"/>
      <c r="CT852" s="18"/>
      <c r="CX852" s="18"/>
      <c r="DB852" s="18"/>
      <c r="DF852" s="18"/>
      <c r="DJ852" s="18"/>
      <c r="DN852" s="18"/>
      <c r="DR852" s="18"/>
      <c r="DV852" s="18"/>
      <c r="DZ852" s="18"/>
      <c r="ED852" s="18"/>
      <c r="EI852" s="18"/>
      <c r="ES852" s="18"/>
      <c r="EW852" s="18"/>
      <c r="FA852" s="18"/>
      <c r="FE852" s="18"/>
      <c r="FI852" s="18"/>
      <c r="FM852" s="18"/>
      <c r="FQ852" s="18"/>
      <c r="FU852" s="18"/>
      <c r="FY852" s="18"/>
      <c r="GC852" s="18"/>
      <c r="GG852" s="18"/>
      <c r="GK852" s="18"/>
      <c r="GO852" s="18"/>
      <c r="GS852" s="18"/>
      <c r="GW852" s="18"/>
      <c r="HA852" s="18"/>
      <c r="HF852" s="18"/>
      <c r="HH852" s="11" t="s">
        <v>319</v>
      </c>
      <c r="HK852" s="11" t="s">
        <v>319</v>
      </c>
      <c r="HL852" s="11" t="s">
        <v>319</v>
      </c>
      <c r="HP852" s="11" t="s">
        <v>453</v>
      </c>
      <c r="HQ852" s="11" t="s">
        <v>319</v>
      </c>
      <c r="HR852" s="11" t="s">
        <v>319</v>
      </c>
      <c r="HS852" s="11" t="s">
        <v>319</v>
      </c>
      <c r="HT852" s="11" t="s">
        <v>319</v>
      </c>
      <c r="HU852" s="11" t="s">
        <v>319</v>
      </c>
      <c r="HV852" s="11" t="s">
        <v>320</v>
      </c>
      <c r="HW852" s="11" t="s">
        <v>319</v>
      </c>
      <c r="HX852" s="11" t="s">
        <v>319</v>
      </c>
      <c r="ID852" s="11" t="s">
        <v>334</v>
      </c>
      <c r="IJ852" s="12" t="str">
        <f t="shared" si="560"/>
        <v>No marker score</v>
      </c>
      <c r="IK852" s="12">
        <f t="shared" si="561"/>
        <v>0</v>
      </c>
      <c r="IQ852" s="12" t="str">
        <f t="shared" si="562"/>
        <v>No marker score</v>
      </c>
      <c r="IR852" s="12">
        <f t="shared" si="563"/>
        <v>0</v>
      </c>
      <c r="IW852" s="11" t="str">
        <f t="shared" si="564"/>
        <v>No marker score</v>
      </c>
      <c r="IX852" s="12">
        <f t="shared" si="565"/>
        <v>0</v>
      </c>
      <c r="IZ852" s="11" t="s">
        <v>527</v>
      </c>
      <c r="JB852" s="11" t="s">
        <v>831</v>
      </c>
      <c r="JC852" s="11" t="s">
        <v>433</v>
      </c>
      <c r="JD852" s="11" t="s">
        <v>623</v>
      </c>
      <c r="JE852" s="11" t="s">
        <v>365</v>
      </c>
      <c r="JF852" s="11" t="s">
        <v>13098</v>
      </c>
      <c r="JH852" s="11" t="s">
        <v>13099</v>
      </c>
      <c r="JI852" s="11" t="s">
        <v>13100</v>
      </c>
      <c r="JK852" s="11" t="s">
        <v>13101</v>
      </c>
      <c r="JN852" s="11" t="s">
        <v>13102</v>
      </c>
      <c r="JP852" s="15">
        <f t="shared" si="566"/>
        <v>0</v>
      </c>
      <c r="JQ852" s="15">
        <f t="shared" si="567"/>
        <v>0</v>
      </c>
      <c r="JR852" s="279" t="str">
        <f t="shared" si="568"/>
        <v/>
      </c>
      <c r="JS852" s="17" t="str">
        <f t="shared" si="569"/>
        <v/>
      </c>
      <c r="JT852" s="18" t="str">
        <f t="shared" si="570"/>
        <v/>
      </c>
      <c r="JU852" s="280">
        <f t="shared" si="571"/>
        <v>0</v>
      </c>
      <c r="JV852" s="280">
        <f t="shared" si="572"/>
        <v>0</v>
      </c>
      <c r="JW852" s="319">
        <f t="shared" si="573"/>
        <v>1</v>
      </c>
      <c r="JX852" s="15">
        <f t="shared" si="574"/>
        <v>0</v>
      </c>
      <c r="JY852" s="15">
        <f t="shared" si="575"/>
        <v>0</v>
      </c>
      <c r="JZ852" s="19" t="str">
        <f t="shared" si="576"/>
        <v/>
      </c>
      <c r="KA852" s="52" t="str">
        <f t="shared" si="577"/>
        <v/>
      </c>
      <c r="KB852" s="15">
        <f t="shared" si="578"/>
        <v>0</v>
      </c>
      <c r="KC852" s="15">
        <f t="shared" si="579"/>
        <v>0</v>
      </c>
      <c r="KD852" s="20" t="str">
        <f t="shared" si="580"/>
        <v/>
      </c>
      <c r="KE852" s="52" t="str">
        <f t="shared" si="581"/>
        <v/>
      </c>
      <c r="KF852" s="15">
        <f t="shared" si="582"/>
        <v>0</v>
      </c>
      <c r="KG852" s="15">
        <f t="shared" si="583"/>
        <v>0</v>
      </c>
      <c r="KH852" s="21" t="str">
        <f t="shared" si="584"/>
        <v/>
      </c>
      <c r="KI852" s="52" t="str">
        <f t="shared" si="585"/>
        <v/>
      </c>
      <c r="KJ852" s="15">
        <f t="shared" si="586"/>
        <v>0</v>
      </c>
      <c r="KK852" s="15">
        <f t="shared" si="587"/>
        <v>0</v>
      </c>
      <c r="KL852" s="19" t="str">
        <f t="shared" si="588"/>
        <v/>
      </c>
      <c r="KM852" s="52" t="str">
        <f t="shared" si="589"/>
        <v/>
      </c>
      <c r="KN852" s="22">
        <f t="shared" si="590"/>
        <v>0</v>
      </c>
      <c r="KO852" s="22">
        <f t="shared" si="591"/>
        <v>0</v>
      </c>
      <c r="KP852" s="19" t="str">
        <f t="shared" si="592"/>
        <v/>
      </c>
      <c r="KQ852" s="11" t="str">
        <f t="shared" si="593"/>
        <v>No marker score</v>
      </c>
      <c r="KR852" s="11" t="str">
        <f t="shared" si="594"/>
        <v>No marker score</v>
      </c>
      <c r="KS852" s="11" t="str">
        <f t="shared" si="595"/>
        <v>No marker score</v>
      </c>
      <c r="KT852" s="11">
        <f t="shared" si="596"/>
        <v>0</v>
      </c>
      <c r="KU852" s="11" t="str">
        <f t="shared" si="597"/>
        <v>Intensive advocacy</v>
      </c>
      <c r="KV852" s="11">
        <f t="shared" si="598"/>
        <v>0</v>
      </c>
      <c r="KW852" s="11" t="str">
        <f t="shared" si="599"/>
        <v>United States of America - London Somalia Conference_CARE USA</v>
      </c>
      <c r="KX852" s="11" t="str">
        <f t="shared" si="600"/>
        <v>London Somalia Conference_CARE USA</v>
      </c>
      <c r="KY852" s="11" t="str">
        <f t="shared" si="601"/>
        <v>United States of America</v>
      </c>
      <c r="KZ852" s="12">
        <v>853</v>
      </c>
    </row>
    <row r="853" spans="1:312" x14ac:dyDescent="0.3">
      <c r="A853" s="12" t="s">
        <v>12969</v>
      </c>
      <c r="B853" s="12" t="s">
        <v>12970</v>
      </c>
      <c r="C853" s="12"/>
      <c r="D853" s="12" t="s">
        <v>13103</v>
      </c>
      <c r="E853" s="277" t="str">
        <f t="shared" si="559"/>
        <v>United States of America</v>
      </c>
      <c r="F853" s="12"/>
      <c r="G853" s="12" t="s">
        <v>379</v>
      </c>
      <c r="H853" s="12"/>
      <c r="I853" s="12"/>
      <c r="J853" s="281"/>
      <c r="K853" s="12"/>
      <c r="L853" s="12"/>
      <c r="M853" s="12"/>
      <c r="N853" s="12"/>
      <c r="O853" s="12"/>
      <c r="P853" s="12"/>
      <c r="Q853" s="12"/>
      <c r="R853" s="12"/>
      <c r="S853" s="12"/>
      <c r="T853" s="12"/>
      <c r="U853" s="12"/>
      <c r="V853" s="12"/>
      <c r="W853" s="12"/>
      <c r="X853" s="12"/>
      <c r="Y853" s="12"/>
      <c r="Z853" s="12"/>
      <c r="AA853" s="12"/>
      <c r="AB853" s="12"/>
      <c r="AC853" s="12"/>
      <c r="AD853" s="12"/>
      <c r="BD853" s="13">
        <v>42675</v>
      </c>
      <c r="BE853" s="12"/>
      <c r="BF853" s="12"/>
      <c r="BG853" s="12" t="s">
        <v>749</v>
      </c>
      <c r="BH853" s="14"/>
      <c r="BI853" s="12" t="s">
        <v>12972</v>
      </c>
      <c r="BJ853" s="12" t="s">
        <v>12973</v>
      </c>
      <c r="BK853" s="12" t="s">
        <v>12974</v>
      </c>
      <c r="BL853" s="12" t="s">
        <v>13055</v>
      </c>
      <c r="BM853" s="12" t="s">
        <v>13056</v>
      </c>
      <c r="BN853" s="12" t="s">
        <v>13057</v>
      </c>
      <c r="BO853" s="12" t="s">
        <v>319</v>
      </c>
      <c r="BP853" s="12" t="s">
        <v>320</v>
      </c>
      <c r="BQ853" s="12" t="s">
        <v>319</v>
      </c>
      <c r="BR853" s="12" t="s">
        <v>13104</v>
      </c>
      <c r="BS853" s="12" t="s">
        <v>1535</v>
      </c>
      <c r="BT853" s="12" t="s">
        <v>13105</v>
      </c>
      <c r="BU853" s="12" t="s">
        <v>13106</v>
      </c>
      <c r="BV853" s="14"/>
      <c r="BW853" s="14"/>
      <c r="BX853" s="14"/>
      <c r="BY853" s="14"/>
      <c r="BZ853" s="14"/>
      <c r="CA853" s="14"/>
      <c r="CB853" s="12" t="s">
        <v>13060</v>
      </c>
      <c r="CD853" s="14"/>
      <c r="CE853" s="14"/>
      <c r="CF853" s="14"/>
      <c r="CG853" s="14"/>
      <c r="CH853" s="14"/>
      <c r="CI853" s="14"/>
      <c r="CJ853" s="12"/>
      <c r="CK853" s="14"/>
      <c r="CL853" s="16"/>
      <c r="CM853" s="14"/>
      <c r="CN853" s="12"/>
      <c r="CO853" s="14"/>
      <c r="CP853" s="16"/>
      <c r="CQ853" s="14"/>
      <c r="CR853" s="12"/>
      <c r="CS853" s="14"/>
      <c r="CT853" s="16"/>
      <c r="CU853" s="14"/>
      <c r="CV853" s="12"/>
      <c r="CW853" s="14"/>
      <c r="CX853" s="16"/>
      <c r="CY853" s="14"/>
      <c r="CZ853" s="12"/>
      <c r="DA853" s="14"/>
      <c r="DB853" s="16"/>
      <c r="DC853" s="14"/>
      <c r="DD853" s="12"/>
      <c r="DE853" s="14"/>
      <c r="DF853" s="16"/>
      <c r="DG853" s="14"/>
      <c r="DH853" s="12"/>
      <c r="DI853" s="14"/>
      <c r="DJ853" s="16"/>
      <c r="DK853" s="14"/>
      <c r="DL853" s="12"/>
      <c r="DM853" s="14"/>
      <c r="DN853" s="16"/>
      <c r="DO853" s="14"/>
      <c r="DP853" s="12"/>
      <c r="DQ853" s="14"/>
      <c r="DR853" s="16"/>
      <c r="DS853" s="14"/>
      <c r="DT853" s="12"/>
      <c r="DU853" s="14"/>
      <c r="DV853" s="16"/>
      <c r="DW853" s="14"/>
      <c r="DX853" s="12"/>
      <c r="DY853" s="14"/>
      <c r="DZ853" s="16"/>
      <c r="EA853" s="14"/>
      <c r="EB853" s="12"/>
      <c r="EC853" s="14"/>
      <c r="ED853" s="16"/>
      <c r="EE853" s="14"/>
      <c r="EF853" s="12"/>
      <c r="EG853" s="12"/>
      <c r="EH853" s="14"/>
      <c r="EI853" s="16"/>
      <c r="EJ853" s="14"/>
      <c r="EK853" s="14"/>
      <c r="EL853" s="14"/>
      <c r="EM853" s="14"/>
      <c r="EN853" s="14"/>
      <c r="EO853" s="14"/>
      <c r="EP853" s="14"/>
      <c r="EQ853" s="12" t="s">
        <v>320</v>
      </c>
      <c r="ER853" s="14"/>
      <c r="ES853" s="16"/>
      <c r="ET853" s="14"/>
      <c r="EU853" s="12" t="s">
        <v>320</v>
      </c>
      <c r="EV853" s="14"/>
      <c r="EW853" s="16"/>
      <c r="EX853" s="14"/>
      <c r="EY853" s="12" t="s">
        <v>319</v>
      </c>
      <c r="EZ853" s="14"/>
      <c r="FA853" s="16"/>
      <c r="FB853" s="14"/>
      <c r="FC853" s="12" t="s">
        <v>319</v>
      </c>
      <c r="FD853" s="14"/>
      <c r="FE853" s="16"/>
      <c r="FF853" s="14"/>
      <c r="FG853" s="12" t="s">
        <v>319</v>
      </c>
      <c r="FH853" s="14"/>
      <c r="FI853" s="16"/>
      <c r="FJ853" s="14"/>
      <c r="FK853" s="12" t="s">
        <v>319</v>
      </c>
      <c r="FL853" s="14"/>
      <c r="FM853" s="16"/>
      <c r="FN853" s="14"/>
      <c r="FO853" s="12" t="s">
        <v>320</v>
      </c>
      <c r="FP853" s="14"/>
      <c r="FQ853" s="16"/>
      <c r="FR853" s="14"/>
      <c r="FS853" s="12" t="s">
        <v>319</v>
      </c>
      <c r="FT853" s="14"/>
      <c r="FU853" s="16"/>
      <c r="FV853" s="14"/>
      <c r="FW853" s="12" t="s">
        <v>319</v>
      </c>
      <c r="FX853" s="14"/>
      <c r="FY853" s="16"/>
      <c r="FZ853" s="14"/>
      <c r="GA853" s="12" t="s">
        <v>319</v>
      </c>
      <c r="GB853" s="14"/>
      <c r="GC853" s="16"/>
      <c r="GD853" s="14"/>
      <c r="GE853" s="12" t="s">
        <v>319</v>
      </c>
      <c r="GF853" s="14"/>
      <c r="GG853" s="16"/>
      <c r="GH853" s="14"/>
      <c r="GI853" s="12" t="s">
        <v>319</v>
      </c>
      <c r="GJ853" s="14"/>
      <c r="GK853" s="16"/>
      <c r="GL853" s="14"/>
      <c r="GM853" s="12" t="s">
        <v>319</v>
      </c>
      <c r="GN853" s="14"/>
      <c r="GO853" s="16"/>
      <c r="GP853" s="14"/>
      <c r="GQ853" s="12" t="s">
        <v>319</v>
      </c>
      <c r="GR853" s="14"/>
      <c r="GS853" s="16"/>
      <c r="GT853" s="14"/>
      <c r="GU853" s="12" t="s">
        <v>319</v>
      </c>
      <c r="GV853" s="14"/>
      <c r="GW853" s="16"/>
      <c r="GX853" s="14"/>
      <c r="GY853" s="12" t="s">
        <v>319</v>
      </c>
      <c r="GZ853" s="14"/>
      <c r="HA853" s="16"/>
      <c r="HB853" s="14"/>
      <c r="HC853" s="12"/>
      <c r="HD853" s="12"/>
      <c r="HE853" s="14"/>
      <c r="HF853" s="16"/>
      <c r="HG853" s="14"/>
      <c r="HH853" s="12" t="s">
        <v>319</v>
      </c>
      <c r="HI853" s="12"/>
      <c r="HJ853" s="12"/>
      <c r="HK853" s="12" t="s">
        <v>319</v>
      </c>
      <c r="HL853" s="12" t="s">
        <v>319</v>
      </c>
      <c r="HM853" s="12"/>
      <c r="HN853" s="12"/>
      <c r="HO853" s="12"/>
      <c r="HP853" s="12" t="s">
        <v>453</v>
      </c>
      <c r="HQ853" s="12" t="s">
        <v>319</v>
      </c>
      <c r="HR853" s="12" t="s">
        <v>319</v>
      </c>
      <c r="HS853" s="12" t="s">
        <v>319</v>
      </c>
      <c r="HT853" s="12" t="s">
        <v>320</v>
      </c>
      <c r="HU853" s="12" t="s">
        <v>319</v>
      </c>
      <c r="HV853" s="12" t="s">
        <v>319</v>
      </c>
      <c r="HW853" s="12" t="s">
        <v>319</v>
      </c>
      <c r="HX853" s="12"/>
      <c r="HY853" s="12"/>
      <c r="HZ853" s="12"/>
      <c r="IA853" s="12"/>
      <c r="IB853" s="12"/>
      <c r="IC853" s="12"/>
      <c r="ID853" s="12"/>
      <c r="IE853" s="12"/>
      <c r="IF853" s="12"/>
      <c r="IG853" s="12"/>
      <c r="IH853" s="12"/>
      <c r="II853" s="12"/>
      <c r="IJ853" s="12" t="str">
        <f t="shared" si="560"/>
        <v>No marker score</v>
      </c>
      <c r="IK853" s="12">
        <f t="shared" si="561"/>
        <v>0</v>
      </c>
      <c r="IL853" s="12"/>
      <c r="IM853" s="12"/>
      <c r="IN853" s="12"/>
      <c r="IO853" s="12"/>
      <c r="IP853" s="12"/>
      <c r="IQ853" s="12" t="str">
        <f t="shared" si="562"/>
        <v>No marker score</v>
      </c>
      <c r="IR853" s="12">
        <f t="shared" si="563"/>
        <v>0</v>
      </c>
      <c r="IS853" s="12"/>
      <c r="IT853" s="12"/>
      <c r="IU853" s="12"/>
      <c r="IV853" s="12"/>
      <c r="IW853" s="11" t="str">
        <f t="shared" si="564"/>
        <v>No marker score</v>
      </c>
      <c r="IX853" s="12">
        <f t="shared" si="565"/>
        <v>0</v>
      </c>
      <c r="IY853" s="12"/>
      <c r="IZ853" s="12" t="s">
        <v>527</v>
      </c>
      <c r="JA853" s="12"/>
      <c r="JB853" s="12" t="s">
        <v>623</v>
      </c>
      <c r="JC853" s="12" t="s">
        <v>831</v>
      </c>
      <c r="JD853" s="12" t="s">
        <v>433</v>
      </c>
      <c r="JE853" s="12"/>
      <c r="JF853" s="12"/>
      <c r="JG853" s="12" t="s">
        <v>13107</v>
      </c>
      <c r="JH853" s="12" t="s">
        <v>13108</v>
      </c>
      <c r="JI853" s="12" t="s">
        <v>13109</v>
      </c>
      <c r="JJ853" s="12"/>
      <c r="JK853" s="12" t="s">
        <v>13110</v>
      </c>
      <c r="JL853" s="12"/>
      <c r="JM853" s="12"/>
      <c r="JN853" s="12" t="s">
        <v>13111</v>
      </c>
      <c r="JO853" s="12" t="s">
        <v>13112</v>
      </c>
      <c r="JP853" s="15">
        <f t="shared" si="566"/>
        <v>0</v>
      </c>
      <c r="JQ853" s="15">
        <f t="shared" si="567"/>
        <v>0</v>
      </c>
      <c r="JR853" s="279" t="str">
        <f t="shared" si="568"/>
        <v/>
      </c>
      <c r="JS853" s="17" t="str">
        <f t="shared" si="569"/>
        <v/>
      </c>
      <c r="JT853" s="18" t="str">
        <f t="shared" si="570"/>
        <v/>
      </c>
      <c r="JU853" s="280">
        <f t="shared" si="571"/>
        <v>0</v>
      </c>
      <c r="JV853" s="280">
        <f t="shared" si="572"/>
        <v>0</v>
      </c>
      <c r="JW853" s="319" t="str">
        <f t="shared" si="573"/>
        <v/>
      </c>
      <c r="JX853" s="15">
        <f t="shared" si="574"/>
        <v>0</v>
      </c>
      <c r="JY853" s="15">
        <f t="shared" si="575"/>
        <v>0</v>
      </c>
      <c r="JZ853" s="19" t="str">
        <f t="shared" si="576"/>
        <v/>
      </c>
      <c r="KA853" s="52">
        <f t="shared" si="577"/>
        <v>1</v>
      </c>
      <c r="KB853" s="15">
        <f t="shared" si="578"/>
        <v>0</v>
      </c>
      <c r="KC853" s="15">
        <f t="shared" si="579"/>
        <v>0</v>
      </c>
      <c r="KD853" s="20" t="str">
        <f t="shared" si="580"/>
        <v/>
      </c>
      <c r="KE853" s="52" t="str">
        <f t="shared" si="581"/>
        <v/>
      </c>
      <c r="KF853" s="15">
        <f t="shared" si="582"/>
        <v>0</v>
      </c>
      <c r="KG853" s="15">
        <f t="shared" si="583"/>
        <v>0</v>
      </c>
      <c r="KH853" s="21" t="str">
        <f t="shared" si="584"/>
        <v/>
      </c>
      <c r="KI853" s="52" t="str">
        <f t="shared" si="585"/>
        <v/>
      </c>
      <c r="KJ853" s="15">
        <f t="shared" si="586"/>
        <v>0</v>
      </c>
      <c r="KK853" s="15">
        <f t="shared" si="587"/>
        <v>0</v>
      </c>
      <c r="KL853" s="19" t="str">
        <f t="shared" si="588"/>
        <v/>
      </c>
      <c r="KM853" s="52" t="str">
        <f t="shared" si="589"/>
        <v/>
      </c>
      <c r="KN853" s="22">
        <f t="shared" si="590"/>
        <v>0</v>
      </c>
      <c r="KO853" s="22">
        <f t="shared" si="591"/>
        <v>0</v>
      </c>
      <c r="KP853" s="19" t="str">
        <f t="shared" si="592"/>
        <v/>
      </c>
      <c r="KQ853" s="11" t="str">
        <f t="shared" si="593"/>
        <v>No marker score</v>
      </c>
      <c r="KR853" s="11" t="str">
        <f t="shared" si="594"/>
        <v>No marker score</v>
      </c>
      <c r="KS853" s="11" t="str">
        <f t="shared" si="595"/>
        <v>No marker score</v>
      </c>
      <c r="KT853" s="11">
        <f t="shared" si="596"/>
        <v>0</v>
      </c>
      <c r="KU853" s="11" t="str">
        <f t="shared" si="597"/>
        <v>Intensive advocacy</v>
      </c>
      <c r="KV853" s="11">
        <f t="shared" si="598"/>
        <v>0</v>
      </c>
      <c r="KW853" s="11" t="str">
        <f t="shared" si="599"/>
        <v>United States of America - Malabo Commitments_CARE USA</v>
      </c>
      <c r="KX853" s="11" t="str">
        <f t="shared" si="600"/>
        <v>Malabo Commitments_CARE USA</v>
      </c>
      <c r="KY853" s="11" t="str">
        <f t="shared" si="601"/>
        <v>United States of America</v>
      </c>
      <c r="KZ853" s="12">
        <v>854</v>
      </c>
    </row>
    <row r="854" spans="1:312" x14ac:dyDescent="0.3">
      <c r="A854" s="11" t="s">
        <v>12969</v>
      </c>
      <c r="B854" s="11" t="s">
        <v>12970</v>
      </c>
      <c r="D854" s="11" t="s">
        <v>13113</v>
      </c>
      <c r="E854" s="24" t="str">
        <f t="shared" si="559"/>
        <v>United States of America</v>
      </c>
      <c r="G854" s="12" t="s">
        <v>379</v>
      </c>
      <c r="J854" s="278"/>
      <c r="BD854" s="23">
        <v>42789</v>
      </c>
      <c r="BE854" s="23">
        <v>42790</v>
      </c>
      <c r="BG854" s="11" t="s">
        <v>817</v>
      </c>
      <c r="BI854" s="26" t="s">
        <v>12972</v>
      </c>
      <c r="BJ854" s="12" t="s">
        <v>12973</v>
      </c>
      <c r="BK854" s="12" t="s">
        <v>12974</v>
      </c>
      <c r="BL854" s="11" t="s">
        <v>13016</v>
      </c>
      <c r="BM854" s="11" t="s">
        <v>13017</v>
      </c>
      <c r="BN854" s="11" t="s">
        <v>13018</v>
      </c>
      <c r="BO854" s="11" t="s">
        <v>320</v>
      </c>
      <c r="BP854" s="11" t="s">
        <v>319</v>
      </c>
      <c r="BQ854" s="11" t="s">
        <v>319</v>
      </c>
      <c r="BR854" s="11" t="s">
        <v>13114</v>
      </c>
      <c r="BS854" s="11" t="s">
        <v>615</v>
      </c>
      <c r="BT854" s="11" t="s">
        <v>13115</v>
      </c>
      <c r="BU854" s="11" t="s">
        <v>13116</v>
      </c>
      <c r="CA854" s="22">
        <v>11000000</v>
      </c>
      <c r="CB854" s="15" t="s">
        <v>13117</v>
      </c>
      <c r="CL854" s="18"/>
      <c r="CP854" s="18"/>
      <c r="CT854" s="18"/>
      <c r="CX854" s="18"/>
      <c r="DB854" s="18"/>
      <c r="DF854" s="18"/>
      <c r="DJ854" s="18"/>
      <c r="DN854" s="18"/>
      <c r="DR854" s="18"/>
      <c r="DV854" s="18"/>
      <c r="DZ854" s="18"/>
      <c r="ED854" s="18"/>
      <c r="EI854" s="18"/>
      <c r="ES854" s="18"/>
      <c r="EW854" s="18"/>
      <c r="FA854" s="18"/>
      <c r="FE854" s="18"/>
      <c r="FI854" s="18"/>
      <c r="FM854" s="18"/>
      <c r="FQ854" s="18"/>
      <c r="FU854" s="18"/>
      <c r="FY854" s="18"/>
      <c r="GC854" s="18"/>
      <c r="GG854" s="18"/>
      <c r="GK854" s="18"/>
      <c r="GO854" s="18"/>
      <c r="GS854" s="18"/>
      <c r="GW854" s="18"/>
      <c r="HA854" s="18"/>
      <c r="HF854" s="18"/>
      <c r="HH854" s="11" t="s">
        <v>319</v>
      </c>
      <c r="HK854" s="11" t="s">
        <v>319</v>
      </c>
      <c r="HL854" s="11" t="s">
        <v>319</v>
      </c>
      <c r="HP854" s="11" t="s">
        <v>330</v>
      </c>
      <c r="HQ854" s="11" t="s">
        <v>319</v>
      </c>
      <c r="HR854" s="11" t="s">
        <v>319</v>
      </c>
      <c r="HS854" s="11" t="s">
        <v>319</v>
      </c>
      <c r="HT854" s="11" t="s">
        <v>319</v>
      </c>
      <c r="HU854" s="11" t="s">
        <v>319</v>
      </c>
      <c r="HV854" s="11" t="s">
        <v>320</v>
      </c>
      <c r="HW854" s="11" t="s">
        <v>319</v>
      </c>
      <c r="HX854" s="11" t="s">
        <v>319</v>
      </c>
      <c r="ID854" s="11" t="s">
        <v>334</v>
      </c>
      <c r="IJ854" s="12" t="str">
        <f t="shared" si="560"/>
        <v>No marker score</v>
      </c>
      <c r="IK854" s="12">
        <f t="shared" si="561"/>
        <v>0</v>
      </c>
      <c r="IQ854" s="12" t="str">
        <f t="shared" si="562"/>
        <v>No marker score</v>
      </c>
      <c r="IR854" s="12">
        <f t="shared" si="563"/>
        <v>0</v>
      </c>
      <c r="IW854" s="11" t="str">
        <f t="shared" si="564"/>
        <v>No marker score</v>
      </c>
      <c r="IX854" s="12">
        <f t="shared" si="565"/>
        <v>0</v>
      </c>
      <c r="IZ854" s="11" t="s">
        <v>527</v>
      </c>
      <c r="JB854" s="11" t="s">
        <v>831</v>
      </c>
      <c r="JC854" s="11" t="s">
        <v>433</v>
      </c>
      <c r="JD854" s="11" t="s">
        <v>623</v>
      </c>
      <c r="JE854" s="11" t="s">
        <v>365</v>
      </c>
      <c r="JF854" s="11" t="s">
        <v>13118</v>
      </c>
      <c r="JH854" s="11" t="s">
        <v>13099</v>
      </c>
      <c r="JI854" s="11" t="s">
        <v>13100</v>
      </c>
      <c r="JK854" s="11" t="s">
        <v>13101</v>
      </c>
      <c r="JN854" s="11" t="s">
        <v>13119</v>
      </c>
      <c r="JP854" s="15">
        <f t="shared" si="566"/>
        <v>0</v>
      </c>
      <c r="JQ854" s="15">
        <f t="shared" si="567"/>
        <v>0</v>
      </c>
      <c r="JR854" s="279" t="str">
        <f t="shared" si="568"/>
        <v/>
      </c>
      <c r="JS854" s="17" t="str">
        <f t="shared" si="569"/>
        <v/>
      </c>
      <c r="JT854" s="18" t="str">
        <f t="shared" si="570"/>
        <v/>
      </c>
      <c r="JU854" s="280">
        <f t="shared" si="571"/>
        <v>0</v>
      </c>
      <c r="JV854" s="280">
        <f t="shared" si="572"/>
        <v>0</v>
      </c>
      <c r="JW854" s="319">
        <f t="shared" si="573"/>
        <v>1</v>
      </c>
      <c r="JX854" s="15">
        <f t="shared" si="574"/>
        <v>0</v>
      </c>
      <c r="JY854" s="15">
        <f t="shared" si="575"/>
        <v>0</v>
      </c>
      <c r="JZ854" s="19" t="str">
        <f t="shared" si="576"/>
        <v/>
      </c>
      <c r="KA854" s="52" t="str">
        <f t="shared" si="577"/>
        <v/>
      </c>
      <c r="KB854" s="15">
        <f t="shared" si="578"/>
        <v>0</v>
      </c>
      <c r="KC854" s="15">
        <f t="shared" si="579"/>
        <v>0</v>
      </c>
      <c r="KD854" s="20" t="str">
        <f t="shared" si="580"/>
        <v/>
      </c>
      <c r="KE854" s="52" t="str">
        <f t="shared" si="581"/>
        <v/>
      </c>
      <c r="KF854" s="15">
        <f t="shared" si="582"/>
        <v>0</v>
      </c>
      <c r="KG854" s="15">
        <f t="shared" si="583"/>
        <v>0</v>
      </c>
      <c r="KH854" s="21" t="str">
        <f t="shared" si="584"/>
        <v/>
      </c>
      <c r="KI854" s="52" t="str">
        <f t="shared" si="585"/>
        <v/>
      </c>
      <c r="KJ854" s="15">
        <f t="shared" si="586"/>
        <v>0</v>
      </c>
      <c r="KK854" s="15">
        <f t="shared" si="587"/>
        <v>0</v>
      </c>
      <c r="KL854" s="19" t="str">
        <f t="shared" si="588"/>
        <v/>
      </c>
      <c r="KM854" s="52" t="str">
        <f t="shared" si="589"/>
        <v/>
      </c>
      <c r="KN854" s="22">
        <f t="shared" si="590"/>
        <v>0</v>
      </c>
      <c r="KO854" s="22">
        <f t="shared" si="591"/>
        <v>0</v>
      </c>
      <c r="KP854" s="19" t="str">
        <f t="shared" si="592"/>
        <v/>
      </c>
      <c r="KQ854" s="11" t="str">
        <f t="shared" si="593"/>
        <v>No marker score</v>
      </c>
      <c r="KR854" s="11" t="str">
        <f t="shared" si="594"/>
        <v>No marker score</v>
      </c>
      <c r="KS854" s="11" t="str">
        <f t="shared" si="595"/>
        <v>No marker score</v>
      </c>
      <c r="KT854" s="11">
        <f t="shared" si="596"/>
        <v>0</v>
      </c>
      <c r="KU854" s="11" t="str">
        <f t="shared" si="597"/>
        <v>Moderate advocacy</v>
      </c>
      <c r="KV854" s="11">
        <f t="shared" si="598"/>
        <v>0</v>
      </c>
      <c r="KW854" s="11" t="str">
        <f t="shared" si="599"/>
        <v>United States of America - Oslo Humanitarian Conference_CARE USA</v>
      </c>
      <c r="KX854" s="11" t="str">
        <f t="shared" si="600"/>
        <v>Oslo Humanitarian Conference_CARE USA</v>
      </c>
      <c r="KY854" s="11" t="str">
        <f t="shared" si="601"/>
        <v>United States of America</v>
      </c>
      <c r="KZ854" s="12">
        <v>855</v>
      </c>
    </row>
    <row r="855" spans="1:312" x14ac:dyDescent="0.3">
      <c r="A855" s="12" t="s">
        <v>12969</v>
      </c>
      <c r="B855" s="12" t="s">
        <v>12970</v>
      </c>
      <c r="C855" s="12"/>
      <c r="D855" s="12" t="s">
        <v>13120</v>
      </c>
      <c r="E855" s="277" t="str">
        <f t="shared" si="559"/>
        <v>United States of America</v>
      </c>
      <c r="F855" s="12"/>
      <c r="G855" s="12" t="s">
        <v>379</v>
      </c>
      <c r="H855" s="12"/>
      <c r="I855" s="12"/>
      <c r="J855" s="281"/>
      <c r="K855" s="12"/>
      <c r="L855" s="12"/>
      <c r="M855" s="12"/>
      <c r="N855" s="12"/>
      <c r="O855" s="12"/>
      <c r="P855" s="12"/>
      <c r="Q855" s="12"/>
      <c r="R855" s="12"/>
      <c r="S855" s="12"/>
      <c r="T855" s="12"/>
      <c r="U855" s="12"/>
      <c r="V855" s="12"/>
      <c r="W855" s="12"/>
      <c r="X855" s="12"/>
      <c r="Y855" s="12"/>
      <c r="Z855" s="12"/>
      <c r="AA855" s="12"/>
      <c r="AB855" s="12"/>
      <c r="AC855" s="12"/>
      <c r="AD855" s="12"/>
      <c r="BD855" s="13">
        <v>42912</v>
      </c>
      <c r="BE855" s="13">
        <v>42916</v>
      </c>
      <c r="BF855" s="12"/>
      <c r="BG855" s="12" t="s">
        <v>908</v>
      </c>
      <c r="BH855" s="14"/>
      <c r="BI855" s="12" t="s">
        <v>12972</v>
      </c>
      <c r="BJ855" s="12" t="s">
        <v>12973</v>
      </c>
      <c r="BK855" s="12" t="s">
        <v>12974</v>
      </c>
      <c r="BL855" s="12" t="s">
        <v>13005</v>
      </c>
      <c r="BM855" s="12" t="s">
        <v>13006</v>
      </c>
      <c r="BN855" s="12" t="s">
        <v>13007</v>
      </c>
      <c r="BO855" s="12" t="s">
        <v>320</v>
      </c>
      <c r="BP855" s="12" t="s">
        <v>319</v>
      </c>
      <c r="BQ855" s="12" t="s">
        <v>319</v>
      </c>
      <c r="BR855" s="12" t="s">
        <v>13121</v>
      </c>
      <c r="BS855" s="12" t="s">
        <v>849</v>
      </c>
      <c r="BT855" s="12" t="s">
        <v>849</v>
      </c>
      <c r="BU855" s="12" t="s">
        <v>849</v>
      </c>
      <c r="BV855" s="14"/>
      <c r="BW855" s="14"/>
      <c r="BX855" s="14"/>
      <c r="BY855" s="14"/>
      <c r="BZ855" s="14"/>
      <c r="CA855" s="14"/>
      <c r="CB855" s="12" t="s">
        <v>13122</v>
      </c>
      <c r="CD855" s="14"/>
      <c r="CE855" s="14"/>
      <c r="CF855" s="14"/>
      <c r="CG855" s="14"/>
      <c r="CH855" s="14"/>
      <c r="CI855" s="14"/>
      <c r="CJ855" s="12" t="s">
        <v>319</v>
      </c>
      <c r="CK855" s="14"/>
      <c r="CL855" s="16"/>
      <c r="CM855" s="14"/>
      <c r="CN855" s="12" t="s">
        <v>319</v>
      </c>
      <c r="CO855" s="14"/>
      <c r="CP855" s="16"/>
      <c r="CQ855" s="14"/>
      <c r="CR855" s="12" t="s">
        <v>319</v>
      </c>
      <c r="CS855" s="14"/>
      <c r="CT855" s="16"/>
      <c r="CU855" s="14"/>
      <c r="CV855" s="12" t="s">
        <v>320</v>
      </c>
      <c r="CW855" s="14"/>
      <c r="CX855" s="16"/>
      <c r="CY855" s="14"/>
      <c r="CZ855" s="12" t="s">
        <v>319</v>
      </c>
      <c r="DA855" s="14"/>
      <c r="DB855" s="16"/>
      <c r="DC855" s="14"/>
      <c r="DD855" s="12" t="s">
        <v>319</v>
      </c>
      <c r="DE855" s="14"/>
      <c r="DF855" s="16"/>
      <c r="DG855" s="14"/>
      <c r="DH855" s="11" t="s">
        <v>319</v>
      </c>
      <c r="DI855" s="14"/>
      <c r="DJ855" s="16"/>
      <c r="DK855" s="14"/>
      <c r="DL855" s="12" t="s">
        <v>319</v>
      </c>
      <c r="DM855" s="14"/>
      <c r="DN855" s="16"/>
      <c r="DO855" s="14"/>
      <c r="DP855" s="12" t="s">
        <v>319</v>
      </c>
      <c r="DQ855" s="14"/>
      <c r="DR855" s="16"/>
      <c r="DS855" s="14"/>
      <c r="DT855" s="12" t="s">
        <v>319</v>
      </c>
      <c r="DU855" s="14"/>
      <c r="DV855" s="16"/>
      <c r="DW855" s="14"/>
      <c r="DX855" s="12" t="s">
        <v>319</v>
      </c>
      <c r="DY855" s="14"/>
      <c r="DZ855" s="16"/>
      <c r="EA855" s="14"/>
      <c r="EB855" s="12" t="s">
        <v>319</v>
      </c>
      <c r="EC855" s="14"/>
      <c r="ED855" s="16"/>
      <c r="EE855" s="14"/>
      <c r="EF855" s="12"/>
      <c r="EG855" s="12"/>
      <c r="EH855" s="14"/>
      <c r="EI855" s="16"/>
      <c r="EJ855" s="14"/>
      <c r="EK855" s="14"/>
      <c r="EL855" s="14"/>
      <c r="EM855" s="14"/>
      <c r="EN855" s="14"/>
      <c r="EO855" s="14"/>
      <c r="EP855" s="14"/>
      <c r="EQ855" s="12"/>
      <c r="ER855" s="14"/>
      <c r="ES855" s="16"/>
      <c r="ET855" s="14"/>
      <c r="EU855" s="12"/>
      <c r="EV855" s="14"/>
      <c r="EW855" s="16"/>
      <c r="EX855" s="14"/>
      <c r="EY855" s="12"/>
      <c r="EZ855" s="14"/>
      <c r="FA855" s="16"/>
      <c r="FB855" s="14"/>
      <c r="FC855" s="12"/>
      <c r="FD855" s="14"/>
      <c r="FE855" s="16"/>
      <c r="FF855" s="14"/>
      <c r="FG855" s="12"/>
      <c r="FH855" s="14"/>
      <c r="FI855" s="16"/>
      <c r="FJ855" s="14"/>
      <c r="FK855" s="12"/>
      <c r="FL855" s="14"/>
      <c r="FM855" s="16"/>
      <c r="FN855" s="14"/>
      <c r="FO855" s="12"/>
      <c r="FP855" s="14"/>
      <c r="FQ855" s="16"/>
      <c r="FR855" s="14"/>
      <c r="FS855" s="12"/>
      <c r="FT855" s="14"/>
      <c r="FU855" s="16"/>
      <c r="FV855" s="14"/>
      <c r="FW855" s="12"/>
      <c r="FX855" s="14"/>
      <c r="FY855" s="16"/>
      <c r="FZ855" s="14"/>
      <c r="GA855" s="12"/>
      <c r="GB855" s="14"/>
      <c r="GC855" s="16"/>
      <c r="GD855" s="14"/>
      <c r="GE855" s="12"/>
      <c r="GF855" s="14"/>
      <c r="GG855" s="16"/>
      <c r="GH855" s="14"/>
      <c r="GI855" s="12"/>
      <c r="GJ855" s="14"/>
      <c r="GK855" s="16"/>
      <c r="GL855" s="14"/>
      <c r="GM855" s="12"/>
      <c r="GN855" s="14"/>
      <c r="GO855" s="16"/>
      <c r="GP855" s="14"/>
      <c r="GQ855" s="12"/>
      <c r="GR855" s="14"/>
      <c r="GS855" s="16"/>
      <c r="GT855" s="14"/>
      <c r="GU855" s="12"/>
      <c r="GV855" s="14"/>
      <c r="GW855" s="16"/>
      <c r="GX855" s="14"/>
      <c r="GY855" s="12"/>
      <c r="GZ855" s="14"/>
      <c r="HA855" s="16"/>
      <c r="HB855" s="14"/>
      <c r="HC855" s="12"/>
      <c r="HD855" s="12"/>
      <c r="HE855" s="14"/>
      <c r="HF855" s="16"/>
      <c r="HG855" s="14"/>
      <c r="HH855" s="12" t="s">
        <v>319</v>
      </c>
      <c r="HI855" s="12"/>
      <c r="HJ855" s="12"/>
      <c r="HK855" s="12" t="s">
        <v>319</v>
      </c>
      <c r="HL855" s="12" t="s">
        <v>319</v>
      </c>
      <c r="HM855" s="12"/>
      <c r="HN855" s="12"/>
      <c r="HO855" s="12"/>
      <c r="HP855" s="12" t="s">
        <v>453</v>
      </c>
      <c r="HQ855" s="12" t="s">
        <v>319</v>
      </c>
      <c r="HR855" s="12" t="s">
        <v>320</v>
      </c>
      <c r="HS855" s="12" t="s">
        <v>319</v>
      </c>
      <c r="HT855" s="12" t="s">
        <v>319</v>
      </c>
      <c r="HU855" s="12" t="s">
        <v>319</v>
      </c>
      <c r="HV855" s="12" t="s">
        <v>319</v>
      </c>
      <c r="HW855" s="12" t="s">
        <v>319</v>
      </c>
      <c r="HX855" s="12"/>
      <c r="HY855" s="12"/>
      <c r="HZ855" s="12"/>
      <c r="IA855" s="12"/>
      <c r="IB855" s="12"/>
      <c r="IC855" s="12"/>
      <c r="ID855" s="12"/>
      <c r="IE855" s="12"/>
      <c r="IF855" s="12"/>
      <c r="IG855" s="12"/>
      <c r="IH855" s="12"/>
      <c r="II855" s="12"/>
      <c r="IJ855" s="12" t="str">
        <f t="shared" si="560"/>
        <v>No marker score</v>
      </c>
      <c r="IK855" s="12">
        <f t="shared" si="561"/>
        <v>0</v>
      </c>
      <c r="IL855" s="12"/>
      <c r="IM855" s="12"/>
      <c r="IN855" s="12"/>
      <c r="IO855" s="12"/>
      <c r="IP855" s="12"/>
      <c r="IQ855" s="12" t="str">
        <f t="shared" si="562"/>
        <v>No marker score</v>
      </c>
      <c r="IR855" s="12">
        <f t="shared" si="563"/>
        <v>0</v>
      </c>
      <c r="IS855" s="12"/>
      <c r="IT855" s="12"/>
      <c r="IU855" s="12"/>
      <c r="IV855" s="12"/>
      <c r="IW855" s="11" t="str">
        <f t="shared" si="564"/>
        <v>No marker score</v>
      </c>
      <c r="IX855" s="12">
        <f t="shared" si="565"/>
        <v>0</v>
      </c>
      <c r="IY855" s="12"/>
      <c r="IZ855" s="12" t="s">
        <v>527</v>
      </c>
      <c r="JA855" s="12"/>
      <c r="JB855" s="12" t="s">
        <v>831</v>
      </c>
      <c r="JC855" s="12" t="s">
        <v>724</v>
      </c>
      <c r="JD855" s="12" t="s">
        <v>624</v>
      </c>
      <c r="JE855" s="12"/>
      <c r="JF855" s="12"/>
      <c r="JG855" s="12"/>
      <c r="JH855" s="12" t="s">
        <v>13123</v>
      </c>
      <c r="JI855" s="12"/>
      <c r="JJ855" s="12"/>
      <c r="JK855" s="12" t="s">
        <v>13124</v>
      </c>
      <c r="JL855" s="12"/>
      <c r="JM855" s="12"/>
      <c r="JN855" s="12" t="s">
        <v>13125</v>
      </c>
      <c r="JO855" s="12"/>
      <c r="JP855" s="15">
        <f t="shared" si="566"/>
        <v>0</v>
      </c>
      <c r="JQ855" s="15">
        <f t="shared" si="567"/>
        <v>0</v>
      </c>
      <c r="JR855" s="279" t="str">
        <f t="shared" si="568"/>
        <v/>
      </c>
      <c r="JS855" s="17" t="str">
        <f t="shared" si="569"/>
        <v/>
      </c>
      <c r="JT855" s="18" t="str">
        <f t="shared" si="570"/>
        <v/>
      </c>
      <c r="JU855" s="280">
        <f t="shared" si="571"/>
        <v>0</v>
      </c>
      <c r="JV855" s="280">
        <f t="shared" si="572"/>
        <v>0</v>
      </c>
      <c r="JW855" s="319">
        <f t="shared" si="573"/>
        <v>1</v>
      </c>
      <c r="JX855" s="15">
        <f t="shared" si="574"/>
        <v>0</v>
      </c>
      <c r="JY855" s="15">
        <f t="shared" si="575"/>
        <v>0</v>
      </c>
      <c r="JZ855" s="19" t="str">
        <f t="shared" si="576"/>
        <v/>
      </c>
      <c r="KA855" s="52">
        <f t="shared" si="577"/>
        <v>1</v>
      </c>
      <c r="KB855" s="15">
        <f t="shared" si="578"/>
        <v>0</v>
      </c>
      <c r="KC855" s="15">
        <f t="shared" si="579"/>
        <v>0</v>
      </c>
      <c r="KD855" s="20" t="str">
        <f t="shared" si="580"/>
        <v/>
      </c>
      <c r="KE855" s="52" t="str">
        <f t="shared" si="581"/>
        <v/>
      </c>
      <c r="KF855" s="15">
        <f t="shared" si="582"/>
        <v>0</v>
      </c>
      <c r="KG855" s="15">
        <f t="shared" si="583"/>
        <v>0</v>
      </c>
      <c r="KH855" s="21" t="str">
        <f t="shared" si="584"/>
        <v/>
      </c>
      <c r="KI855" s="52" t="str">
        <f t="shared" si="585"/>
        <v/>
      </c>
      <c r="KJ855" s="15">
        <f t="shared" si="586"/>
        <v>0</v>
      </c>
      <c r="KK855" s="15">
        <f t="shared" si="587"/>
        <v>0</v>
      </c>
      <c r="KL855" s="19" t="str">
        <f t="shared" si="588"/>
        <v/>
      </c>
      <c r="KM855" s="52" t="str">
        <f t="shared" si="589"/>
        <v/>
      </c>
      <c r="KN855" s="22">
        <f t="shared" si="590"/>
        <v>0</v>
      </c>
      <c r="KO855" s="22">
        <f t="shared" si="591"/>
        <v>0</v>
      </c>
      <c r="KP855" s="19" t="str">
        <f t="shared" si="592"/>
        <v/>
      </c>
      <c r="KQ855" s="11" t="str">
        <f t="shared" si="593"/>
        <v>No marker score</v>
      </c>
      <c r="KR855" s="11" t="str">
        <f t="shared" si="594"/>
        <v>No marker score</v>
      </c>
      <c r="KS855" s="11" t="str">
        <f t="shared" si="595"/>
        <v>No marker score</v>
      </c>
      <c r="KT855" s="11">
        <f t="shared" si="596"/>
        <v>0</v>
      </c>
      <c r="KU855" s="11" t="str">
        <f t="shared" si="597"/>
        <v>Intensive advocacy</v>
      </c>
      <c r="KV855" s="11">
        <f t="shared" si="598"/>
        <v>0</v>
      </c>
      <c r="KW855" s="11" t="str">
        <f t="shared" si="599"/>
        <v>United States of America - Preventing Executive Order on Cargo Preference</v>
      </c>
      <c r="KX855" s="11" t="str">
        <f t="shared" si="600"/>
        <v>Preventing Executive Order on Cargo Preference</v>
      </c>
      <c r="KY855" s="11" t="str">
        <f t="shared" si="601"/>
        <v>United States of America</v>
      </c>
      <c r="KZ855" s="12">
        <v>856</v>
      </c>
    </row>
    <row r="856" spans="1:312" x14ac:dyDescent="0.3">
      <c r="A856" s="12" t="s">
        <v>12969</v>
      </c>
      <c r="B856" s="12" t="s">
        <v>12970</v>
      </c>
      <c r="C856" s="12"/>
      <c r="D856" s="12" t="s">
        <v>13126</v>
      </c>
      <c r="E856" s="24" t="str">
        <f t="shared" si="559"/>
        <v>United States of America</v>
      </c>
      <c r="F856" s="12"/>
      <c r="G856" s="12" t="s">
        <v>379</v>
      </c>
      <c r="H856" s="12"/>
      <c r="I856" s="12"/>
      <c r="J856" s="281"/>
      <c r="K856" s="12"/>
      <c r="L856" s="12"/>
      <c r="M856" s="12"/>
      <c r="N856" s="12"/>
      <c r="O856" s="12"/>
      <c r="P856" s="12"/>
      <c r="Q856" s="12"/>
      <c r="R856" s="12"/>
      <c r="S856" s="12"/>
      <c r="T856" s="12"/>
      <c r="U856" s="12"/>
      <c r="V856" s="12"/>
      <c r="W856" s="12"/>
      <c r="X856" s="12"/>
      <c r="Y856" s="12"/>
      <c r="Z856" s="12"/>
      <c r="AA856" s="12"/>
      <c r="AB856" s="12"/>
      <c r="AC856" s="12"/>
      <c r="AD856" s="12"/>
      <c r="BD856" s="13">
        <v>42856</v>
      </c>
      <c r="BE856" s="13">
        <v>42865</v>
      </c>
      <c r="BF856" s="12"/>
      <c r="BG856" s="12" t="s">
        <v>312</v>
      </c>
      <c r="BH856" s="14"/>
      <c r="BI856" s="12" t="s">
        <v>12972</v>
      </c>
      <c r="BJ856" s="12" t="s">
        <v>12973</v>
      </c>
      <c r="BK856" s="12" t="s">
        <v>12974</v>
      </c>
      <c r="BL856" s="12" t="s">
        <v>13075</v>
      </c>
      <c r="BM856" s="12" t="s">
        <v>12976</v>
      </c>
      <c r="BN856" s="12" t="s">
        <v>13076</v>
      </c>
      <c r="BO856" s="12" t="s">
        <v>320</v>
      </c>
      <c r="BP856" s="12" t="s">
        <v>320</v>
      </c>
      <c r="BQ856" s="12" t="s">
        <v>320</v>
      </c>
      <c r="BR856" s="12" t="s">
        <v>13127</v>
      </c>
      <c r="BS856" s="12" t="s">
        <v>849</v>
      </c>
      <c r="BT856" s="12" t="s">
        <v>13128</v>
      </c>
      <c r="BU856" s="12" t="s">
        <v>13079</v>
      </c>
      <c r="BV856" s="14"/>
      <c r="BW856" s="14"/>
      <c r="BX856" s="14"/>
      <c r="BY856" s="14"/>
      <c r="BZ856" s="14"/>
      <c r="CA856" s="14"/>
      <c r="CB856" s="12" t="s">
        <v>13060</v>
      </c>
      <c r="CD856" s="14"/>
      <c r="CE856" s="14"/>
      <c r="CF856" s="14"/>
      <c r="CG856" s="14"/>
      <c r="CH856" s="14"/>
      <c r="CI856" s="14"/>
      <c r="CJ856" s="12" t="s">
        <v>319</v>
      </c>
      <c r="CK856" s="14"/>
      <c r="CL856" s="16"/>
      <c r="CM856" s="14"/>
      <c r="CN856" s="12" t="s">
        <v>319</v>
      </c>
      <c r="CO856" s="14"/>
      <c r="CP856" s="16"/>
      <c r="CQ856" s="14"/>
      <c r="CR856" s="12" t="s">
        <v>320</v>
      </c>
      <c r="CS856" s="14"/>
      <c r="CT856" s="16"/>
      <c r="CU856" s="14"/>
      <c r="CV856" s="12" t="s">
        <v>319</v>
      </c>
      <c r="CW856" s="14"/>
      <c r="CX856" s="16"/>
      <c r="CY856" s="14"/>
      <c r="CZ856" s="12" t="s">
        <v>319</v>
      </c>
      <c r="DA856" s="14"/>
      <c r="DB856" s="16"/>
      <c r="DC856" s="14"/>
      <c r="DD856" s="12" t="s">
        <v>320</v>
      </c>
      <c r="DE856" s="14"/>
      <c r="DF856" s="16"/>
      <c r="DG856" s="14"/>
      <c r="DH856" s="12" t="s">
        <v>319</v>
      </c>
      <c r="DI856" s="14"/>
      <c r="DJ856" s="16"/>
      <c r="DK856" s="14"/>
      <c r="DL856" s="12" t="s">
        <v>319</v>
      </c>
      <c r="DM856" s="14"/>
      <c r="DN856" s="16"/>
      <c r="DO856" s="14"/>
      <c r="DP856" s="12" t="s">
        <v>319</v>
      </c>
      <c r="DQ856" s="14"/>
      <c r="DR856" s="16"/>
      <c r="DS856" s="14"/>
      <c r="DT856" s="12" t="s">
        <v>319</v>
      </c>
      <c r="DU856" s="14"/>
      <c r="DV856" s="16"/>
      <c r="DW856" s="14"/>
      <c r="DX856" s="12" t="s">
        <v>319</v>
      </c>
      <c r="DY856" s="14"/>
      <c r="DZ856" s="16"/>
      <c r="EA856" s="14"/>
      <c r="EB856" s="12" t="s">
        <v>319</v>
      </c>
      <c r="EC856" s="14"/>
      <c r="ED856" s="16"/>
      <c r="EE856" s="14"/>
      <c r="EF856" s="12"/>
      <c r="EG856" s="12"/>
      <c r="EH856" s="14"/>
      <c r="EI856" s="16"/>
      <c r="EJ856" s="14"/>
      <c r="EK856" s="14"/>
      <c r="EL856" s="14"/>
      <c r="EM856" s="14"/>
      <c r="EN856" s="14"/>
      <c r="EO856" s="14"/>
      <c r="EP856" s="14"/>
      <c r="EQ856" s="12" t="s">
        <v>319</v>
      </c>
      <c r="ER856" s="14"/>
      <c r="ES856" s="16"/>
      <c r="ET856" s="14"/>
      <c r="EU856" s="11" t="s">
        <v>319</v>
      </c>
      <c r="EV856" s="14"/>
      <c r="EW856" s="16"/>
      <c r="EX856" s="14"/>
      <c r="EY856" s="12" t="s">
        <v>319</v>
      </c>
      <c r="EZ856" s="14"/>
      <c r="FA856" s="16"/>
      <c r="FB856" s="14"/>
      <c r="FC856" s="12" t="s">
        <v>319</v>
      </c>
      <c r="FD856" s="14"/>
      <c r="FE856" s="16"/>
      <c r="FF856" s="14"/>
      <c r="FG856" s="12" t="s">
        <v>319</v>
      </c>
      <c r="FH856" s="14"/>
      <c r="FI856" s="16"/>
      <c r="FJ856" s="14"/>
      <c r="FK856" s="12" t="s">
        <v>320</v>
      </c>
      <c r="FL856" s="14"/>
      <c r="FM856" s="16"/>
      <c r="FN856" s="14"/>
      <c r="FO856" s="12" t="s">
        <v>319</v>
      </c>
      <c r="FP856" s="14"/>
      <c r="FQ856" s="16"/>
      <c r="FR856" s="14"/>
      <c r="FS856" s="12" t="s">
        <v>319</v>
      </c>
      <c r="FT856" s="14"/>
      <c r="FU856" s="16"/>
      <c r="FV856" s="14"/>
      <c r="FW856" s="12" t="s">
        <v>320</v>
      </c>
      <c r="FX856" s="14"/>
      <c r="FY856" s="16"/>
      <c r="FZ856" s="14"/>
      <c r="GA856" s="12" t="s">
        <v>319</v>
      </c>
      <c r="GB856" s="14"/>
      <c r="GC856" s="16"/>
      <c r="GD856" s="14"/>
      <c r="GE856" s="12" t="s">
        <v>319</v>
      </c>
      <c r="GF856" s="14"/>
      <c r="GG856" s="16"/>
      <c r="GH856" s="14"/>
      <c r="GI856" s="12" t="s">
        <v>319</v>
      </c>
      <c r="GJ856" s="14"/>
      <c r="GK856" s="16"/>
      <c r="GL856" s="14"/>
      <c r="GM856" s="12" t="s">
        <v>319</v>
      </c>
      <c r="GN856" s="14"/>
      <c r="GO856" s="16"/>
      <c r="GP856" s="14"/>
      <c r="GQ856" s="12" t="s">
        <v>319</v>
      </c>
      <c r="GR856" s="14"/>
      <c r="GS856" s="16"/>
      <c r="GT856" s="14"/>
      <c r="GU856" s="12" t="s">
        <v>319</v>
      </c>
      <c r="GV856" s="14"/>
      <c r="GW856" s="16"/>
      <c r="GX856" s="14"/>
      <c r="GY856" s="12" t="s">
        <v>319</v>
      </c>
      <c r="GZ856" s="14"/>
      <c r="HA856" s="16"/>
      <c r="HB856" s="14"/>
      <c r="HC856" s="12"/>
      <c r="HD856" s="12"/>
      <c r="HE856" s="14"/>
      <c r="HF856" s="16"/>
      <c r="HG856" s="14"/>
      <c r="HH856" s="12" t="s">
        <v>319</v>
      </c>
      <c r="HI856" s="12"/>
      <c r="HJ856" s="12"/>
      <c r="HK856" s="12" t="s">
        <v>319</v>
      </c>
      <c r="HL856" s="12" t="s">
        <v>319</v>
      </c>
      <c r="HM856" s="12"/>
      <c r="HN856" s="12"/>
      <c r="HO856" s="12"/>
      <c r="HP856" s="12" t="s">
        <v>453</v>
      </c>
      <c r="HQ856" s="12" t="s">
        <v>319</v>
      </c>
      <c r="HR856" s="12" t="s">
        <v>319</v>
      </c>
      <c r="HS856" s="12" t="s">
        <v>319</v>
      </c>
      <c r="HT856" s="12" t="s">
        <v>319</v>
      </c>
      <c r="HU856" s="12" t="s">
        <v>319</v>
      </c>
      <c r="HV856" s="12" t="s">
        <v>319</v>
      </c>
      <c r="HW856" s="12" t="s">
        <v>319</v>
      </c>
      <c r="HX856" s="12" t="s">
        <v>320</v>
      </c>
      <c r="HY856" s="12" t="s">
        <v>13129</v>
      </c>
      <c r="HZ856" s="12"/>
      <c r="IA856" s="12"/>
      <c r="IB856" s="12"/>
      <c r="IC856" s="12"/>
      <c r="ID856" s="12" t="s">
        <v>334</v>
      </c>
      <c r="IE856" s="12"/>
      <c r="IF856" s="12"/>
      <c r="IG856" s="12"/>
      <c r="IH856" s="12"/>
      <c r="II856" s="12"/>
      <c r="IJ856" s="12" t="str">
        <f t="shared" si="560"/>
        <v>No marker score</v>
      </c>
      <c r="IK856" s="12">
        <f t="shared" si="561"/>
        <v>0</v>
      </c>
      <c r="IL856" s="12"/>
      <c r="IM856" s="12"/>
      <c r="IN856" s="12"/>
      <c r="IO856" s="12"/>
      <c r="IP856" s="12"/>
      <c r="IQ856" s="12" t="str">
        <f t="shared" si="562"/>
        <v>No marker score</v>
      </c>
      <c r="IR856" s="12">
        <f t="shared" si="563"/>
        <v>0</v>
      </c>
      <c r="IS856" s="12"/>
      <c r="IT856" s="12"/>
      <c r="IU856" s="12"/>
      <c r="IV856" s="12"/>
      <c r="IW856" s="11" t="str">
        <f t="shared" si="564"/>
        <v>No marker score</v>
      </c>
      <c r="IX856" s="12">
        <f t="shared" si="565"/>
        <v>0</v>
      </c>
      <c r="IY856" s="12"/>
      <c r="IZ856" s="12" t="s">
        <v>457</v>
      </c>
      <c r="JA856" s="12"/>
      <c r="JB856" s="12" t="s">
        <v>623</v>
      </c>
      <c r="JC856" s="12" t="s">
        <v>831</v>
      </c>
      <c r="JD856" s="12"/>
      <c r="JE856" s="12"/>
      <c r="JF856" s="12"/>
      <c r="JG856" s="12" t="s">
        <v>13130</v>
      </c>
      <c r="JH856" s="12" t="s">
        <v>13131</v>
      </c>
      <c r="JI856" s="12"/>
      <c r="JJ856" s="12"/>
      <c r="JK856" s="12" t="s">
        <v>13132</v>
      </c>
      <c r="JL856" s="12" t="s">
        <v>13133</v>
      </c>
      <c r="JM856" s="12" t="s">
        <v>13134</v>
      </c>
      <c r="JN856" s="12" t="s">
        <v>13135</v>
      </c>
      <c r="JO856" s="12"/>
      <c r="JP856" s="15">
        <f t="shared" si="566"/>
        <v>0</v>
      </c>
      <c r="JQ856" s="15">
        <f t="shared" si="567"/>
        <v>0</v>
      </c>
      <c r="JR856" s="279" t="str">
        <f t="shared" si="568"/>
        <v/>
      </c>
      <c r="JS856" s="17" t="str">
        <f t="shared" si="569"/>
        <v/>
      </c>
      <c r="JT856" s="18" t="str">
        <f t="shared" si="570"/>
        <v/>
      </c>
      <c r="JU856" s="280">
        <f t="shared" si="571"/>
        <v>0</v>
      </c>
      <c r="JV856" s="280">
        <f t="shared" si="572"/>
        <v>0</v>
      </c>
      <c r="JW856" s="319">
        <f t="shared" si="573"/>
        <v>1</v>
      </c>
      <c r="JX856" s="15">
        <f t="shared" si="574"/>
        <v>0</v>
      </c>
      <c r="JY856" s="15">
        <f t="shared" si="575"/>
        <v>0</v>
      </c>
      <c r="JZ856" s="19" t="str">
        <f t="shared" si="576"/>
        <v/>
      </c>
      <c r="KA856" s="52" t="str">
        <f t="shared" si="577"/>
        <v/>
      </c>
      <c r="KB856" s="15">
        <f t="shared" si="578"/>
        <v>0</v>
      </c>
      <c r="KC856" s="15">
        <f t="shared" si="579"/>
        <v>0</v>
      </c>
      <c r="KD856" s="20" t="str">
        <f t="shared" si="580"/>
        <v/>
      </c>
      <c r="KE856" s="52" t="str">
        <f t="shared" si="581"/>
        <v/>
      </c>
      <c r="KF856" s="15">
        <f t="shared" si="582"/>
        <v>0</v>
      </c>
      <c r="KG856" s="15">
        <f t="shared" si="583"/>
        <v>0</v>
      </c>
      <c r="KH856" s="21" t="str">
        <f t="shared" si="584"/>
        <v/>
      </c>
      <c r="KI856" s="52" t="str">
        <f t="shared" si="585"/>
        <v/>
      </c>
      <c r="KJ856" s="15">
        <f t="shared" si="586"/>
        <v>0</v>
      </c>
      <c r="KK856" s="15">
        <f t="shared" si="587"/>
        <v>0</v>
      </c>
      <c r="KL856" s="19" t="str">
        <f t="shared" si="588"/>
        <v/>
      </c>
      <c r="KM856" s="52" t="str">
        <f t="shared" si="589"/>
        <v/>
      </c>
      <c r="KN856" s="22">
        <f t="shared" si="590"/>
        <v>0</v>
      </c>
      <c r="KO856" s="22">
        <f t="shared" si="591"/>
        <v>0</v>
      </c>
      <c r="KP856" s="19" t="str">
        <f t="shared" si="592"/>
        <v/>
      </c>
      <c r="KQ856" s="11" t="str">
        <f t="shared" si="593"/>
        <v>No marker score</v>
      </c>
      <c r="KR856" s="11" t="str">
        <f t="shared" si="594"/>
        <v>No marker score</v>
      </c>
      <c r="KS856" s="11" t="str">
        <f t="shared" si="595"/>
        <v>No marker score</v>
      </c>
      <c r="KT856" s="11">
        <f t="shared" si="596"/>
        <v>0</v>
      </c>
      <c r="KU856" s="11" t="str">
        <f t="shared" si="597"/>
        <v>Intensive advocacy</v>
      </c>
      <c r="KV856" s="11">
        <f t="shared" si="598"/>
        <v>0</v>
      </c>
      <c r="KW856" s="11" t="str">
        <f t="shared" si="599"/>
        <v>United States of America - Protecting Let Girls Learn</v>
      </c>
      <c r="KX856" s="11" t="str">
        <f t="shared" si="600"/>
        <v>Protecting Let Girls Learn</v>
      </c>
      <c r="KY856" s="11" t="str">
        <f t="shared" si="601"/>
        <v>United States of America</v>
      </c>
      <c r="KZ856" s="12">
        <v>857</v>
      </c>
    </row>
    <row r="857" spans="1:312" x14ac:dyDescent="0.3">
      <c r="A857" s="12" t="s">
        <v>12969</v>
      </c>
      <c r="B857" s="12" t="s">
        <v>12970</v>
      </c>
      <c r="C857" s="12"/>
      <c r="D857" s="12" t="s">
        <v>13136</v>
      </c>
      <c r="E857" s="277" t="str">
        <f t="shared" si="559"/>
        <v>United States of America</v>
      </c>
      <c r="F857" s="12"/>
      <c r="G857" s="12" t="s">
        <v>379</v>
      </c>
      <c r="H857" s="12"/>
      <c r="I857" s="12"/>
      <c r="J857" s="281"/>
      <c r="K857" s="12"/>
      <c r="L857" s="12"/>
      <c r="M857" s="12"/>
      <c r="N857" s="12"/>
      <c r="O857" s="12"/>
      <c r="P857" s="12"/>
      <c r="Q857" s="12"/>
      <c r="R857" s="12"/>
      <c r="S857" s="12"/>
      <c r="T857" s="12"/>
      <c r="U857" s="12"/>
      <c r="V857" s="12"/>
      <c r="W857" s="12"/>
      <c r="X857" s="12"/>
      <c r="Y857" s="12"/>
      <c r="Z857" s="12"/>
      <c r="AA857" s="12"/>
      <c r="AB857" s="12"/>
      <c r="AC857" s="12"/>
      <c r="AD857" s="12"/>
      <c r="BD857" s="13">
        <v>42738</v>
      </c>
      <c r="BE857" s="13">
        <v>42860</v>
      </c>
      <c r="BF857" s="12"/>
      <c r="BG857" s="12" t="s">
        <v>312</v>
      </c>
      <c r="BH857" s="14"/>
      <c r="BI857" s="12" t="s">
        <v>12972</v>
      </c>
      <c r="BJ857" s="12" t="s">
        <v>12973</v>
      </c>
      <c r="BK857" s="12" t="s">
        <v>12974</v>
      </c>
      <c r="BL857" s="12" t="s">
        <v>12975</v>
      </c>
      <c r="BM857" s="12" t="s">
        <v>12976</v>
      </c>
      <c r="BN857" s="12" t="s">
        <v>12977</v>
      </c>
      <c r="BO857" s="12" t="s">
        <v>320</v>
      </c>
      <c r="BP857" s="12" t="s">
        <v>320</v>
      </c>
      <c r="BQ857" s="12" t="s">
        <v>320</v>
      </c>
      <c r="BR857" s="12" t="s">
        <v>13137</v>
      </c>
      <c r="BS857" s="12" t="s">
        <v>849</v>
      </c>
      <c r="BT857" s="12" t="s">
        <v>849</v>
      </c>
      <c r="BU857" s="12" t="s">
        <v>13138</v>
      </c>
      <c r="BV857" s="14"/>
      <c r="BW857" s="14"/>
      <c r="BX857" s="14"/>
      <c r="BY857" s="14"/>
      <c r="BZ857" s="14"/>
      <c r="CA857" s="14"/>
      <c r="CB857" s="12" t="s">
        <v>13139</v>
      </c>
      <c r="CD857" s="14"/>
      <c r="CE857" s="14"/>
      <c r="CF857" s="14"/>
      <c r="CG857" s="14"/>
      <c r="CH857" s="14"/>
      <c r="CI857" s="14"/>
      <c r="CJ857" s="12" t="s">
        <v>320</v>
      </c>
      <c r="CK857" s="14"/>
      <c r="CL857" s="16"/>
      <c r="CM857" s="14"/>
      <c r="CN857" s="12" t="s">
        <v>320</v>
      </c>
      <c r="CO857" s="14"/>
      <c r="CP857" s="16"/>
      <c r="CQ857" s="14"/>
      <c r="CR857" s="12" t="s">
        <v>320</v>
      </c>
      <c r="CS857" s="14"/>
      <c r="CT857" s="16"/>
      <c r="CU857" s="14"/>
      <c r="CV857" s="12" t="s">
        <v>320</v>
      </c>
      <c r="CW857" s="14"/>
      <c r="CX857" s="16"/>
      <c r="CY857" s="14"/>
      <c r="CZ857" s="12" t="s">
        <v>320</v>
      </c>
      <c r="DA857" s="14"/>
      <c r="DB857" s="16"/>
      <c r="DC857" s="14"/>
      <c r="DD857" s="12" t="s">
        <v>320</v>
      </c>
      <c r="DE857" s="14"/>
      <c r="DF857" s="16"/>
      <c r="DG857" s="14"/>
      <c r="DH857" s="12" t="s">
        <v>320</v>
      </c>
      <c r="DI857" s="14"/>
      <c r="DJ857" s="16"/>
      <c r="DK857" s="14"/>
      <c r="DL857" s="12" t="s">
        <v>320</v>
      </c>
      <c r="DM857" s="14"/>
      <c r="DN857" s="16"/>
      <c r="DO857" s="14"/>
      <c r="DP857" s="12" t="s">
        <v>320</v>
      </c>
      <c r="DQ857" s="14"/>
      <c r="DR857" s="16"/>
      <c r="DS857" s="14"/>
      <c r="DT857" s="12" t="s">
        <v>320</v>
      </c>
      <c r="DU857" s="14"/>
      <c r="DV857" s="16"/>
      <c r="DW857" s="14"/>
      <c r="DX857" s="12" t="s">
        <v>320</v>
      </c>
      <c r="DY857" s="14"/>
      <c r="DZ857" s="16"/>
      <c r="EA857" s="14"/>
      <c r="EB857" s="12" t="s">
        <v>320</v>
      </c>
      <c r="EC857" s="14"/>
      <c r="ED857" s="16"/>
      <c r="EE857" s="14"/>
      <c r="EF857" s="12"/>
      <c r="EG857" s="12"/>
      <c r="EH857" s="14"/>
      <c r="EI857" s="16"/>
      <c r="EJ857" s="14"/>
      <c r="EK857" s="14"/>
      <c r="EL857" s="14"/>
      <c r="EM857" s="14"/>
      <c r="EN857" s="14"/>
      <c r="EO857" s="14"/>
      <c r="EP857" s="14"/>
      <c r="EQ857" s="12" t="s">
        <v>326</v>
      </c>
      <c r="ER857" s="14"/>
      <c r="ES857" s="16"/>
      <c r="ET857" s="14"/>
      <c r="EU857" s="12" t="s">
        <v>326</v>
      </c>
      <c r="EV857" s="14"/>
      <c r="EW857" s="16"/>
      <c r="EX857" s="14"/>
      <c r="EY857" s="12" t="s">
        <v>320</v>
      </c>
      <c r="EZ857" s="14"/>
      <c r="FA857" s="16"/>
      <c r="FB857" s="14"/>
      <c r="FC857" s="12" t="s">
        <v>326</v>
      </c>
      <c r="FD857" s="14"/>
      <c r="FE857" s="16"/>
      <c r="FF857" s="14"/>
      <c r="FG857" s="12" t="s">
        <v>326</v>
      </c>
      <c r="FH857" s="14"/>
      <c r="FI857" s="16"/>
      <c r="FJ857" s="14"/>
      <c r="FK857" s="12" t="s">
        <v>326</v>
      </c>
      <c r="FL857" s="14"/>
      <c r="FM857" s="16"/>
      <c r="FN857" s="14"/>
      <c r="FO857" s="12" t="s">
        <v>320</v>
      </c>
      <c r="FP857" s="14"/>
      <c r="FQ857" s="16"/>
      <c r="FR857" s="14"/>
      <c r="FS857" s="11" t="s">
        <v>320</v>
      </c>
      <c r="FT857" s="14"/>
      <c r="FU857" s="16"/>
      <c r="FV857" s="14"/>
      <c r="FW857" s="12" t="s">
        <v>320</v>
      </c>
      <c r="FX857" s="14"/>
      <c r="FY857" s="16"/>
      <c r="FZ857" s="14"/>
      <c r="GA857" s="12" t="s">
        <v>326</v>
      </c>
      <c r="GB857" s="14"/>
      <c r="GC857" s="16"/>
      <c r="GD857" s="14"/>
      <c r="GE857" s="11" t="s">
        <v>320</v>
      </c>
      <c r="GF857" s="14"/>
      <c r="GG857" s="16"/>
      <c r="GH857" s="14"/>
      <c r="GI857" s="12" t="s">
        <v>326</v>
      </c>
      <c r="GJ857" s="14"/>
      <c r="GK857" s="16"/>
      <c r="GL857" s="14"/>
      <c r="GM857" s="12" t="s">
        <v>326</v>
      </c>
      <c r="GN857" s="14"/>
      <c r="GO857" s="16"/>
      <c r="GP857" s="14"/>
      <c r="GQ857" s="12" t="s">
        <v>326</v>
      </c>
      <c r="GR857" s="14"/>
      <c r="GS857" s="16"/>
      <c r="GT857" s="14"/>
      <c r="GU857" s="12" t="s">
        <v>320</v>
      </c>
      <c r="GV857" s="14"/>
      <c r="GW857" s="16"/>
      <c r="GX857" s="14"/>
      <c r="GY857" s="12" t="s">
        <v>326</v>
      </c>
      <c r="GZ857" s="14"/>
      <c r="HA857" s="16"/>
      <c r="HB857" s="14"/>
      <c r="HC857" s="12"/>
      <c r="HD857" s="12"/>
      <c r="HE857" s="14"/>
      <c r="HF857" s="16"/>
      <c r="HG857" s="14"/>
      <c r="HH857" s="12" t="s">
        <v>319</v>
      </c>
      <c r="HI857" s="12"/>
      <c r="HJ857" s="12"/>
      <c r="HK857" s="12" t="s">
        <v>319</v>
      </c>
      <c r="HL857" s="12" t="s">
        <v>319</v>
      </c>
      <c r="HM857" s="12"/>
      <c r="HN857" s="12"/>
      <c r="HO857" s="12"/>
      <c r="HP857" s="12" t="s">
        <v>453</v>
      </c>
      <c r="HQ857" s="12" t="s">
        <v>319</v>
      </c>
      <c r="HR857" s="12" t="s">
        <v>320</v>
      </c>
      <c r="HS857" s="12" t="s">
        <v>319</v>
      </c>
      <c r="HT857" s="12" t="s">
        <v>319</v>
      </c>
      <c r="HU857" s="12" t="s">
        <v>319</v>
      </c>
      <c r="HV857" s="12" t="s">
        <v>319</v>
      </c>
      <c r="HW857" s="12" t="s">
        <v>320</v>
      </c>
      <c r="HX857" s="12"/>
      <c r="HY857" s="12"/>
      <c r="HZ857" s="12"/>
      <c r="IA857" s="12"/>
      <c r="IB857" s="12"/>
      <c r="IC857" s="12"/>
      <c r="ID857" s="12"/>
      <c r="IE857" s="12"/>
      <c r="IF857" s="12"/>
      <c r="IG857" s="12"/>
      <c r="IH857" s="12"/>
      <c r="II857" s="12"/>
      <c r="IJ857" s="12" t="str">
        <f t="shared" si="560"/>
        <v>No marker score</v>
      </c>
      <c r="IK857" s="12">
        <f t="shared" si="561"/>
        <v>0</v>
      </c>
      <c r="IL857" s="12"/>
      <c r="IM857" s="12"/>
      <c r="IN857" s="12"/>
      <c r="IO857" s="12"/>
      <c r="IP857" s="12"/>
      <c r="IQ857" s="12" t="str">
        <f t="shared" si="562"/>
        <v>No marker score</v>
      </c>
      <c r="IR857" s="12">
        <f t="shared" si="563"/>
        <v>0</v>
      </c>
      <c r="IS857" s="12"/>
      <c r="IT857" s="12"/>
      <c r="IU857" s="12"/>
      <c r="IV857" s="12"/>
      <c r="IW857" s="11" t="str">
        <f t="shared" si="564"/>
        <v>No marker score</v>
      </c>
      <c r="IX857" s="12">
        <f t="shared" si="565"/>
        <v>0</v>
      </c>
      <c r="IY857" s="12"/>
      <c r="IZ857" s="12" t="s">
        <v>527</v>
      </c>
      <c r="JA857" s="12"/>
      <c r="JB857" s="12" t="s">
        <v>624</v>
      </c>
      <c r="JC857" s="12" t="s">
        <v>831</v>
      </c>
      <c r="JD857" s="12" t="s">
        <v>623</v>
      </c>
      <c r="JE857" s="12"/>
      <c r="JF857" s="12"/>
      <c r="JG857" s="12" t="s">
        <v>13140</v>
      </c>
      <c r="JH857" s="12" t="s">
        <v>13141</v>
      </c>
      <c r="JI857" s="12" t="s">
        <v>13142</v>
      </c>
      <c r="JJ857" s="12" t="s">
        <v>13143</v>
      </c>
      <c r="JK857" s="12" t="s">
        <v>12985</v>
      </c>
      <c r="JL857" s="12" t="s">
        <v>12986</v>
      </c>
      <c r="JM857" s="12" t="s">
        <v>13144</v>
      </c>
      <c r="JN857" s="12" t="s">
        <v>13145</v>
      </c>
      <c r="JO857" s="12"/>
      <c r="JP857" s="15">
        <f t="shared" si="566"/>
        <v>0</v>
      </c>
      <c r="JQ857" s="15">
        <f t="shared" si="567"/>
        <v>0</v>
      </c>
      <c r="JR857" s="279" t="str">
        <f t="shared" si="568"/>
        <v/>
      </c>
      <c r="JS857" s="17" t="str">
        <f t="shared" si="569"/>
        <v/>
      </c>
      <c r="JT857" s="18" t="str">
        <f t="shared" si="570"/>
        <v/>
      </c>
      <c r="JU857" s="280">
        <f t="shared" si="571"/>
        <v>0</v>
      </c>
      <c r="JV857" s="280">
        <f t="shared" si="572"/>
        <v>0</v>
      </c>
      <c r="JW857" s="319">
        <f t="shared" si="573"/>
        <v>1</v>
      </c>
      <c r="JX857" s="15">
        <f t="shared" si="574"/>
        <v>0</v>
      </c>
      <c r="JY857" s="15">
        <f t="shared" si="575"/>
        <v>0</v>
      </c>
      <c r="JZ857" s="19" t="str">
        <f t="shared" si="576"/>
        <v/>
      </c>
      <c r="KA857" s="52">
        <f t="shared" si="577"/>
        <v>1</v>
      </c>
      <c r="KB857" s="15">
        <f t="shared" si="578"/>
        <v>0</v>
      </c>
      <c r="KC857" s="15">
        <f t="shared" si="579"/>
        <v>0</v>
      </c>
      <c r="KD857" s="20" t="str">
        <f t="shared" si="580"/>
        <v/>
      </c>
      <c r="KE857" s="52">
        <f t="shared" si="581"/>
        <v>1</v>
      </c>
      <c r="KF857" s="15">
        <f t="shared" si="582"/>
        <v>0</v>
      </c>
      <c r="KG857" s="15">
        <f t="shared" si="583"/>
        <v>0</v>
      </c>
      <c r="KH857" s="21" t="str">
        <f t="shared" si="584"/>
        <v/>
      </c>
      <c r="KI857" s="52">
        <f t="shared" si="585"/>
        <v>1</v>
      </c>
      <c r="KJ857" s="15">
        <f t="shared" si="586"/>
        <v>0</v>
      </c>
      <c r="KK857" s="15">
        <f t="shared" si="587"/>
        <v>0</v>
      </c>
      <c r="KL857" s="19" t="str">
        <f t="shared" si="588"/>
        <v/>
      </c>
      <c r="KM857" s="52">
        <f t="shared" si="589"/>
        <v>1</v>
      </c>
      <c r="KN857" s="22">
        <f t="shared" si="590"/>
        <v>0</v>
      </c>
      <c r="KO857" s="22">
        <f t="shared" si="591"/>
        <v>0</v>
      </c>
      <c r="KP857" s="19" t="str">
        <f t="shared" si="592"/>
        <v/>
      </c>
      <c r="KQ857" s="11" t="str">
        <f t="shared" si="593"/>
        <v>No marker score</v>
      </c>
      <c r="KR857" s="11" t="str">
        <f t="shared" si="594"/>
        <v>No marker score</v>
      </c>
      <c r="KS857" s="11" t="str">
        <f t="shared" si="595"/>
        <v>No marker score</v>
      </c>
      <c r="KT857" s="11">
        <f t="shared" si="596"/>
        <v>0</v>
      </c>
      <c r="KU857" s="11" t="str">
        <f t="shared" si="597"/>
        <v>Intensive advocacy</v>
      </c>
      <c r="KV857" s="11">
        <f t="shared" si="598"/>
        <v>0</v>
      </c>
      <c r="KW857" s="11" t="str">
        <f t="shared" si="599"/>
        <v>United States of America - Protecting US Foreign Assistance Funding_bilateral assistance</v>
      </c>
      <c r="KX857" s="11" t="str">
        <f t="shared" si="600"/>
        <v>Protecting US Foreign Assistance Funding_bilateral assistance</v>
      </c>
      <c r="KY857" s="11" t="str">
        <f t="shared" si="601"/>
        <v>United States of America</v>
      </c>
      <c r="KZ857" s="12">
        <v>858</v>
      </c>
    </row>
    <row r="858" spans="1:312" x14ac:dyDescent="0.3">
      <c r="A858" s="12" t="s">
        <v>12969</v>
      </c>
      <c r="B858" s="12" t="s">
        <v>12970</v>
      </c>
      <c r="C858" s="12"/>
      <c r="D858" s="12" t="s">
        <v>13146</v>
      </c>
      <c r="E858" s="277" t="str">
        <f t="shared" si="559"/>
        <v>United States of America</v>
      </c>
      <c r="F858" s="12"/>
      <c r="G858" s="12" t="s">
        <v>379</v>
      </c>
      <c r="H858" s="12"/>
      <c r="I858" s="12"/>
      <c r="J858" s="281"/>
      <c r="K858" s="12"/>
      <c r="L858" s="12"/>
      <c r="M858" s="12"/>
      <c r="N858" s="12"/>
      <c r="O858" s="12"/>
      <c r="P858" s="12"/>
      <c r="Q858" s="12"/>
      <c r="R858" s="12"/>
      <c r="S858" s="12"/>
      <c r="T858" s="12"/>
      <c r="U858" s="12"/>
      <c r="V858" s="12"/>
      <c r="W858" s="12"/>
      <c r="X858" s="12"/>
      <c r="Y858" s="12"/>
      <c r="Z858" s="12"/>
      <c r="AA858" s="12"/>
      <c r="AB858" s="12"/>
      <c r="AC858" s="12"/>
      <c r="AD858" s="12"/>
      <c r="BD858" s="13">
        <v>42738</v>
      </c>
      <c r="BE858" s="13">
        <v>42915</v>
      </c>
      <c r="BF858" s="12"/>
      <c r="BG858" s="12" t="s">
        <v>609</v>
      </c>
      <c r="BH858" s="14"/>
      <c r="BI858" s="12" t="s">
        <v>12972</v>
      </c>
      <c r="BJ858" s="12" t="s">
        <v>12973</v>
      </c>
      <c r="BK858" s="12" t="s">
        <v>12974</v>
      </c>
      <c r="BL858" s="12" t="s">
        <v>13075</v>
      </c>
      <c r="BM858" s="12" t="s">
        <v>12976</v>
      </c>
      <c r="BN858" s="12" t="s">
        <v>13076</v>
      </c>
      <c r="BO858" s="12" t="s">
        <v>320</v>
      </c>
      <c r="BP858" s="12" t="s">
        <v>320</v>
      </c>
      <c r="BQ858" s="12" t="s">
        <v>320</v>
      </c>
      <c r="BR858" s="12" t="s">
        <v>13147</v>
      </c>
      <c r="BS858" s="12" t="s">
        <v>849</v>
      </c>
      <c r="BT858" s="12"/>
      <c r="BU858" s="12" t="s">
        <v>13079</v>
      </c>
      <c r="BV858" s="14"/>
      <c r="BW858" s="14"/>
      <c r="BX858" s="14"/>
      <c r="BY858" s="14"/>
      <c r="BZ858" s="14"/>
      <c r="CA858" s="14"/>
      <c r="CB858" s="12" t="s">
        <v>13060</v>
      </c>
      <c r="CD858" s="14"/>
      <c r="CE858" s="14"/>
      <c r="CF858" s="14"/>
      <c r="CG858" s="14"/>
      <c r="CH858" s="14"/>
      <c r="CI858" s="14"/>
      <c r="CJ858" s="12" t="s">
        <v>319</v>
      </c>
      <c r="CK858" s="14"/>
      <c r="CL858" s="16"/>
      <c r="CM858" s="14"/>
      <c r="CN858" s="12" t="s">
        <v>319</v>
      </c>
      <c r="CO858" s="14"/>
      <c r="CP858" s="16"/>
      <c r="CQ858" s="14"/>
      <c r="CR858" s="12" t="s">
        <v>319</v>
      </c>
      <c r="CS858" s="14"/>
      <c r="CT858" s="16"/>
      <c r="CU858" s="14"/>
      <c r="CV858" s="12" t="s">
        <v>319</v>
      </c>
      <c r="CW858" s="14"/>
      <c r="CX858" s="16"/>
      <c r="CY858" s="14"/>
      <c r="CZ858" s="12" t="s">
        <v>320</v>
      </c>
      <c r="DA858" s="14"/>
      <c r="DB858" s="16"/>
      <c r="DC858" s="14"/>
      <c r="DD858" s="12" t="s">
        <v>320</v>
      </c>
      <c r="DE858" s="14"/>
      <c r="DF858" s="16"/>
      <c r="DG858" s="14"/>
      <c r="DH858" s="12" t="s">
        <v>319</v>
      </c>
      <c r="DI858" s="14"/>
      <c r="DJ858" s="16"/>
      <c r="DK858" s="14"/>
      <c r="DL858" s="12" t="s">
        <v>319</v>
      </c>
      <c r="DM858" s="14"/>
      <c r="DN858" s="16"/>
      <c r="DO858" s="14"/>
      <c r="DP858" s="12" t="s">
        <v>319</v>
      </c>
      <c r="DQ858" s="14"/>
      <c r="DR858" s="16"/>
      <c r="DS858" s="14"/>
      <c r="DT858" s="12" t="s">
        <v>319</v>
      </c>
      <c r="DU858" s="14"/>
      <c r="DV858" s="16"/>
      <c r="DW858" s="14"/>
      <c r="DX858" s="12" t="s">
        <v>319</v>
      </c>
      <c r="DY858" s="14"/>
      <c r="DZ858" s="16"/>
      <c r="EA858" s="14"/>
      <c r="EB858" s="12" t="s">
        <v>319</v>
      </c>
      <c r="EC858" s="14"/>
      <c r="ED858" s="16"/>
      <c r="EE858" s="14"/>
      <c r="EF858" s="12"/>
      <c r="EG858" s="12"/>
      <c r="EH858" s="14"/>
      <c r="EI858" s="16"/>
      <c r="EJ858" s="14"/>
      <c r="EK858" s="14"/>
      <c r="EL858" s="14"/>
      <c r="EM858" s="14"/>
      <c r="EN858" s="14"/>
      <c r="EO858" s="14"/>
      <c r="EP858" s="14"/>
      <c r="EQ858" s="12" t="s">
        <v>319</v>
      </c>
      <c r="ER858" s="14"/>
      <c r="ES858" s="16"/>
      <c r="ET858" s="14"/>
      <c r="EU858" s="11" t="s">
        <v>319</v>
      </c>
      <c r="EV858" s="14"/>
      <c r="EW858" s="16"/>
      <c r="EX858" s="14"/>
      <c r="EY858" s="12" t="s">
        <v>319</v>
      </c>
      <c r="EZ858" s="14"/>
      <c r="FA858" s="16"/>
      <c r="FB858" s="14"/>
      <c r="FC858" s="12" t="s">
        <v>319</v>
      </c>
      <c r="FD858" s="14"/>
      <c r="FE858" s="16"/>
      <c r="FF858" s="14"/>
      <c r="FG858" s="12" t="s">
        <v>319</v>
      </c>
      <c r="FH858" s="14"/>
      <c r="FI858" s="16"/>
      <c r="FJ858" s="14"/>
      <c r="FK858" s="12" t="s">
        <v>319</v>
      </c>
      <c r="FL858" s="14"/>
      <c r="FM858" s="16"/>
      <c r="FN858" s="14"/>
      <c r="FO858" s="12" t="s">
        <v>319</v>
      </c>
      <c r="FP858" s="14"/>
      <c r="FQ858" s="16"/>
      <c r="FR858" s="14"/>
      <c r="FS858" s="12" t="s">
        <v>320</v>
      </c>
      <c r="FT858" s="14"/>
      <c r="FU858" s="16"/>
      <c r="FV858" s="14"/>
      <c r="FW858" s="12" t="s">
        <v>320</v>
      </c>
      <c r="FX858" s="14"/>
      <c r="FY858" s="16"/>
      <c r="FZ858" s="14"/>
      <c r="GA858" s="12" t="s">
        <v>319</v>
      </c>
      <c r="GB858" s="14"/>
      <c r="GC858" s="16"/>
      <c r="GD858" s="14"/>
      <c r="GE858" s="12" t="s">
        <v>319</v>
      </c>
      <c r="GF858" s="14"/>
      <c r="GG858" s="16"/>
      <c r="GH858" s="14"/>
      <c r="GI858" s="12" t="s">
        <v>319</v>
      </c>
      <c r="GJ858" s="14"/>
      <c r="GK858" s="16"/>
      <c r="GL858" s="14"/>
      <c r="GM858" s="12" t="s">
        <v>319</v>
      </c>
      <c r="GN858" s="14"/>
      <c r="GO858" s="16"/>
      <c r="GP858" s="14"/>
      <c r="GQ858" s="12" t="s">
        <v>319</v>
      </c>
      <c r="GR858" s="14"/>
      <c r="GS858" s="16"/>
      <c r="GT858" s="14"/>
      <c r="GU858" s="12" t="s">
        <v>319</v>
      </c>
      <c r="GV858" s="14"/>
      <c r="GW858" s="16"/>
      <c r="GX858" s="14"/>
      <c r="GY858" s="12" t="s">
        <v>319</v>
      </c>
      <c r="GZ858" s="14"/>
      <c r="HA858" s="16"/>
      <c r="HB858" s="14"/>
      <c r="HC858" s="12"/>
      <c r="HD858" s="12"/>
      <c r="HE858" s="14"/>
      <c r="HF858" s="16"/>
      <c r="HG858" s="14"/>
      <c r="HH858" s="12" t="s">
        <v>319</v>
      </c>
      <c r="HI858" s="12"/>
      <c r="HJ858" s="12"/>
      <c r="HK858" s="12" t="s">
        <v>319</v>
      </c>
      <c r="HL858" s="12" t="s">
        <v>319</v>
      </c>
      <c r="HM858" s="12"/>
      <c r="HN858" s="12"/>
      <c r="HO858" s="12"/>
      <c r="HP858" s="12" t="s">
        <v>453</v>
      </c>
      <c r="HQ858" s="12" t="s">
        <v>319</v>
      </c>
      <c r="HR858" s="12" t="s">
        <v>319</v>
      </c>
      <c r="HS858" s="12" t="s">
        <v>319</v>
      </c>
      <c r="HT858" s="12" t="s">
        <v>319</v>
      </c>
      <c r="HU858" s="12" t="s">
        <v>319</v>
      </c>
      <c r="HV858" s="12" t="s">
        <v>319</v>
      </c>
      <c r="HW858" s="12" t="s">
        <v>320</v>
      </c>
      <c r="HX858" s="12" t="s">
        <v>319</v>
      </c>
      <c r="HY858" s="12"/>
      <c r="HZ858" s="12"/>
      <c r="IA858" s="12"/>
      <c r="IB858" s="12"/>
      <c r="IC858" s="12"/>
      <c r="ID858" s="12"/>
      <c r="IE858" s="12"/>
      <c r="IF858" s="12"/>
      <c r="IG858" s="12"/>
      <c r="IH858" s="12"/>
      <c r="II858" s="12"/>
      <c r="IJ858" s="12" t="str">
        <f t="shared" si="560"/>
        <v>No marker score</v>
      </c>
      <c r="IK858" s="12">
        <f t="shared" si="561"/>
        <v>0</v>
      </c>
      <c r="IL858" s="12"/>
      <c r="IM858" s="12"/>
      <c r="IN858" s="12"/>
      <c r="IO858" s="12"/>
      <c r="IP858" s="12"/>
      <c r="IQ858" s="12" t="str">
        <f t="shared" si="562"/>
        <v>No marker score</v>
      </c>
      <c r="IR858" s="12">
        <f t="shared" si="563"/>
        <v>0</v>
      </c>
      <c r="IS858" s="12"/>
      <c r="IT858" s="12"/>
      <c r="IU858" s="12"/>
      <c r="IV858" s="12"/>
      <c r="IW858" s="11" t="str">
        <f t="shared" si="564"/>
        <v>No marker score</v>
      </c>
      <c r="IX858" s="12">
        <f t="shared" si="565"/>
        <v>0</v>
      </c>
      <c r="IY858" s="12"/>
      <c r="IZ858" s="12" t="s">
        <v>527</v>
      </c>
      <c r="JA858" s="12"/>
      <c r="JB858" s="12" t="s">
        <v>1570</v>
      </c>
      <c r="JC858" s="12" t="s">
        <v>831</v>
      </c>
      <c r="JD858" s="12" t="s">
        <v>623</v>
      </c>
      <c r="JE858" s="12"/>
      <c r="JF858" s="12"/>
      <c r="JG858" s="12" t="s">
        <v>13148</v>
      </c>
      <c r="JH858" s="12" t="s">
        <v>13149</v>
      </c>
      <c r="JI858" s="12" t="s">
        <v>13150</v>
      </c>
      <c r="JJ858" s="12" t="s">
        <v>13151</v>
      </c>
      <c r="JK858" s="12" t="s">
        <v>13152</v>
      </c>
      <c r="JL858" s="12"/>
      <c r="JM858" s="12"/>
      <c r="JN858" s="12"/>
      <c r="JO858" s="12"/>
      <c r="JP858" s="15">
        <f t="shared" si="566"/>
        <v>0</v>
      </c>
      <c r="JQ858" s="15">
        <f t="shared" si="567"/>
        <v>0</v>
      </c>
      <c r="JR858" s="279" t="str">
        <f t="shared" si="568"/>
        <v/>
      </c>
      <c r="JS858" s="17" t="str">
        <f t="shared" si="569"/>
        <v/>
      </c>
      <c r="JT858" s="18" t="str">
        <f t="shared" si="570"/>
        <v/>
      </c>
      <c r="JU858" s="280">
        <f t="shared" si="571"/>
        <v>0</v>
      </c>
      <c r="JV858" s="280">
        <f t="shared" si="572"/>
        <v>0</v>
      </c>
      <c r="JW858" s="319">
        <f t="shared" si="573"/>
        <v>1</v>
      </c>
      <c r="JX858" s="15">
        <f t="shared" si="574"/>
        <v>0</v>
      </c>
      <c r="JY858" s="15">
        <f t="shared" si="575"/>
        <v>0</v>
      </c>
      <c r="JZ858" s="19" t="str">
        <f t="shared" si="576"/>
        <v/>
      </c>
      <c r="KA858" s="52" t="str">
        <f t="shared" si="577"/>
        <v/>
      </c>
      <c r="KB858" s="15">
        <f t="shared" si="578"/>
        <v>0</v>
      </c>
      <c r="KC858" s="15">
        <f t="shared" si="579"/>
        <v>0</v>
      </c>
      <c r="KD858" s="20" t="str">
        <f t="shared" si="580"/>
        <v/>
      </c>
      <c r="KE858" s="52" t="str">
        <f t="shared" si="581"/>
        <v/>
      </c>
      <c r="KF858" s="15">
        <f t="shared" si="582"/>
        <v>0</v>
      </c>
      <c r="KG858" s="15">
        <f t="shared" si="583"/>
        <v>0</v>
      </c>
      <c r="KH858" s="21" t="str">
        <f t="shared" si="584"/>
        <v/>
      </c>
      <c r="KI858" s="52">
        <f t="shared" si="585"/>
        <v>1</v>
      </c>
      <c r="KJ858" s="15">
        <f t="shared" si="586"/>
        <v>0</v>
      </c>
      <c r="KK858" s="15">
        <f t="shared" si="587"/>
        <v>0</v>
      </c>
      <c r="KL858" s="19" t="str">
        <f t="shared" si="588"/>
        <v/>
      </c>
      <c r="KM858" s="52" t="str">
        <f t="shared" si="589"/>
        <v/>
      </c>
      <c r="KN858" s="22">
        <f t="shared" si="590"/>
        <v>0</v>
      </c>
      <c r="KO858" s="22">
        <f t="shared" si="591"/>
        <v>0</v>
      </c>
      <c r="KP858" s="19" t="str">
        <f t="shared" si="592"/>
        <v/>
      </c>
      <c r="KQ858" s="11" t="str">
        <f t="shared" si="593"/>
        <v>No marker score</v>
      </c>
      <c r="KR858" s="11" t="str">
        <f t="shared" si="594"/>
        <v>No marker score</v>
      </c>
      <c r="KS858" s="11" t="str">
        <f t="shared" si="595"/>
        <v>No marker score</v>
      </c>
      <c r="KT858" s="11">
        <f t="shared" si="596"/>
        <v>0</v>
      </c>
      <c r="KU858" s="11" t="str">
        <f t="shared" si="597"/>
        <v>Intensive advocacy</v>
      </c>
      <c r="KV858" s="11">
        <f t="shared" si="598"/>
        <v>0</v>
      </c>
      <c r="KW858" s="11" t="str">
        <f t="shared" si="599"/>
        <v>United States of America - Protecting US Foreign Assistance Funding_child marriage</v>
      </c>
      <c r="KX858" s="11" t="str">
        <f t="shared" si="600"/>
        <v>Protecting US Foreign Assistance Funding_child marriage</v>
      </c>
      <c r="KY858" s="11" t="str">
        <f t="shared" si="601"/>
        <v>United States of America</v>
      </c>
      <c r="KZ858" s="12">
        <v>859</v>
      </c>
    </row>
    <row r="859" spans="1:312" x14ac:dyDescent="0.3">
      <c r="A859" s="12" t="s">
        <v>12969</v>
      </c>
      <c r="B859" s="12" t="s">
        <v>12970</v>
      </c>
      <c r="C859" s="12"/>
      <c r="D859" s="12" t="s">
        <v>13153</v>
      </c>
      <c r="E859" s="277" t="str">
        <f t="shared" si="559"/>
        <v>United States of America</v>
      </c>
      <c r="F859" s="12"/>
      <c r="G859" s="12" t="s">
        <v>379</v>
      </c>
      <c r="H859" s="12"/>
      <c r="I859" s="12"/>
      <c r="J859" s="281"/>
      <c r="K859" s="12"/>
      <c r="L859" s="12"/>
      <c r="M859" s="12"/>
      <c r="N859" s="12"/>
      <c r="O859" s="12"/>
      <c r="P859" s="12"/>
      <c r="Q859" s="12"/>
      <c r="R859" s="12"/>
      <c r="S859" s="12"/>
      <c r="T859" s="12"/>
      <c r="U859" s="12"/>
      <c r="V859" s="12"/>
      <c r="W859" s="12"/>
      <c r="X859" s="12"/>
      <c r="Y859" s="12"/>
      <c r="Z859" s="12"/>
      <c r="AA859" s="12"/>
      <c r="AB859" s="12"/>
      <c r="AC859" s="12"/>
      <c r="AD859" s="12"/>
      <c r="BD859" s="13">
        <v>42738</v>
      </c>
      <c r="BE859" s="13">
        <v>42860</v>
      </c>
      <c r="BF859" s="12"/>
      <c r="BG859" s="12" t="s">
        <v>490</v>
      </c>
      <c r="BH859" s="14"/>
      <c r="BI859" s="12" t="s">
        <v>12972</v>
      </c>
      <c r="BJ859" s="12" t="s">
        <v>13031</v>
      </c>
      <c r="BK859" s="12" t="s">
        <v>12974</v>
      </c>
      <c r="BL859" s="12" t="s">
        <v>13032</v>
      </c>
      <c r="BM859" s="12" t="s">
        <v>12976</v>
      </c>
      <c r="BN859" s="12" t="s">
        <v>13033</v>
      </c>
      <c r="BO859" s="12" t="s">
        <v>320</v>
      </c>
      <c r="BP859" s="12" t="s">
        <v>320</v>
      </c>
      <c r="BQ859" s="12" t="s">
        <v>320</v>
      </c>
      <c r="BR859" s="12" t="s">
        <v>13154</v>
      </c>
      <c r="BS859" s="12" t="s">
        <v>849</v>
      </c>
      <c r="BT859" s="12"/>
      <c r="BU859" s="12" t="s">
        <v>13155</v>
      </c>
      <c r="BV859" s="14"/>
      <c r="BW859" s="14"/>
      <c r="BX859" s="14"/>
      <c r="BY859" s="14"/>
      <c r="BZ859" s="14"/>
      <c r="CA859" s="14"/>
      <c r="CB859" s="12" t="s">
        <v>13156</v>
      </c>
      <c r="CD859" s="14"/>
      <c r="CE859" s="14"/>
      <c r="CF859" s="14"/>
      <c r="CG859" s="14"/>
      <c r="CH859" s="14"/>
      <c r="CI859" s="14"/>
      <c r="CJ859" s="12" t="s">
        <v>319</v>
      </c>
      <c r="CK859" s="14"/>
      <c r="CL859" s="16"/>
      <c r="CM859" s="14"/>
      <c r="CN859" s="12" t="s">
        <v>319</v>
      </c>
      <c r="CO859" s="14"/>
      <c r="CP859" s="16"/>
      <c r="CQ859" s="14"/>
      <c r="CR859" s="12" t="s">
        <v>319</v>
      </c>
      <c r="CS859" s="14"/>
      <c r="CT859" s="16"/>
      <c r="CU859" s="14"/>
      <c r="CV859" s="12" t="s">
        <v>319</v>
      </c>
      <c r="CW859" s="14"/>
      <c r="CX859" s="16"/>
      <c r="CY859" s="14"/>
      <c r="CZ859" s="12" t="s">
        <v>319</v>
      </c>
      <c r="DA859" s="14"/>
      <c r="DB859" s="16"/>
      <c r="DC859" s="14"/>
      <c r="DD859" s="12" t="s">
        <v>319</v>
      </c>
      <c r="DE859" s="14"/>
      <c r="DF859" s="16"/>
      <c r="DG859" s="14"/>
      <c r="DH859" s="12" t="s">
        <v>319</v>
      </c>
      <c r="DI859" s="14"/>
      <c r="DJ859" s="16"/>
      <c r="DK859" s="14"/>
      <c r="DL859" s="12" t="s">
        <v>319</v>
      </c>
      <c r="DM859" s="14"/>
      <c r="DN859" s="16"/>
      <c r="DO859" s="14"/>
      <c r="DP859" s="12" t="s">
        <v>319</v>
      </c>
      <c r="DQ859" s="14"/>
      <c r="DR859" s="16"/>
      <c r="DS859" s="14"/>
      <c r="DT859" s="12" t="s">
        <v>320</v>
      </c>
      <c r="DU859" s="14"/>
      <c r="DV859" s="16"/>
      <c r="DW859" s="14"/>
      <c r="DX859" s="12" t="s">
        <v>319</v>
      </c>
      <c r="DY859" s="14"/>
      <c r="DZ859" s="16"/>
      <c r="EA859" s="14"/>
      <c r="EB859" s="12" t="s">
        <v>319</v>
      </c>
      <c r="EC859" s="14"/>
      <c r="ED859" s="16"/>
      <c r="EE859" s="14"/>
      <c r="EF859" s="12"/>
      <c r="EG859" s="12"/>
      <c r="EH859" s="14"/>
      <c r="EI859" s="16"/>
      <c r="EJ859" s="14"/>
      <c r="EK859" s="14"/>
      <c r="EL859" s="14"/>
      <c r="EM859" s="14"/>
      <c r="EN859" s="14"/>
      <c r="EO859" s="14"/>
      <c r="EP859" s="14"/>
      <c r="EQ859" s="12" t="s">
        <v>319</v>
      </c>
      <c r="ER859" s="14"/>
      <c r="ES859" s="16"/>
      <c r="ET859" s="14"/>
      <c r="EU859" s="11" t="s">
        <v>319</v>
      </c>
      <c r="EV859" s="14"/>
      <c r="EW859" s="16"/>
      <c r="EX859" s="14"/>
      <c r="EY859" s="12" t="s">
        <v>319</v>
      </c>
      <c r="EZ859" s="14"/>
      <c r="FA859" s="16"/>
      <c r="FB859" s="14"/>
      <c r="FC859" s="12" t="s">
        <v>319</v>
      </c>
      <c r="FD859" s="14"/>
      <c r="FE859" s="16"/>
      <c r="FF859" s="14"/>
      <c r="FG859" s="12" t="s">
        <v>319</v>
      </c>
      <c r="FH859" s="14"/>
      <c r="FI859" s="16"/>
      <c r="FJ859" s="14"/>
      <c r="FK859" s="12" t="s">
        <v>319</v>
      </c>
      <c r="FL859" s="14"/>
      <c r="FM859" s="16"/>
      <c r="FN859" s="14"/>
      <c r="FO859" s="12" t="s">
        <v>319</v>
      </c>
      <c r="FP859" s="14"/>
      <c r="FQ859" s="16"/>
      <c r="FR859" s="14"/>
      <c r="FS859" s="12" t="s">
        <v>319</v>
      </c>
      <c r="FT859" s="14"/>
      <c r="FU859" s="16"/>
      <c r="FV859" s="14"/>
      <c r="FW859" s="12" t="s">
        <v>319</v>
      </c>
      <c r="FX859" s="14"/>
      <c r="FY859" s="16"/>
      <c r="FZ859" s="14"/>
      <c r="GA859" s="12" t="s">
        <v>319</v>
      </c>
      <c r="GB859" s="14"/>
      <c r="GC859" s="16"/>
      <c r="GD859" s="14"/>
      <c r="GE859" s="12" t="s">
        <v>319</v>
      </c>
      <c r="GF859" s="14"/>
      <c r="GG859" s="16"/>
      <c r="GH859" s="14"/>
      <c r="GI859" s="12" t="s">
        <v>319</v>
      </c>
      <c r="GJ859" s="14"/>
      <c r="GK859" s="16"/>
      <c r="GL859" s="14"/>
      <c r="GM859" s="12" t="s">
        <v>319</v>
      </c>
      <c r="GN859" s="14"/>
      <c r="GO859" s="16"/>
      <c r="GP859" s="14"/>
      <c r="GQ859" s="12" t="s">
        <v>320</v>
      </c>
      <c r="GR859" s="14"/>
      <c r="GS859" s="16"/>
      <c r="GT859" s="14"/>
      <c r="GU859" s="12" t="s">
        <v>319</v>
      </c>
      <c r="GV859" s="14"/>
      <c r="GW859" s="16"/>
      <c r="GX859" s="14"/>
      <c r="GY859" s="12" t="s">
        <v>319</v>
      </c>
      <c r="GZ859" s="14"/>
      <c r="HA859" s="16"/>
      <c r="HB859" s="14"/>
      <c r="HC859" s="12"/>
      <c r="HD859" s="12"/>
      <c r="HE859" s="14"/>
      <c r="HF859" s="16"/>
      <c r="HG859" s="14"/>
      <c r="HH859" s="12" t="s">
        <v>319</v>
      </c>
      <c r="HI859" s="12"/>
      <c r="HJ859" s="12"/>
      <c r="HK859" s="12"/>
      <c r="HL859" s="12" t="s">
        <v>319</v>
      </c>
      <c r="HM859" s="12"/>
      <c r="HN859" s="12"/>
      <c r="HO859" s="12"/>
      <c r="HP859" s="12" t="s">
        <v>453</v>
      </c>
      <c r="HQ859" s="12" t="s">
        <v>319</v>
      </c>
      <c r="HR859" s="12" t="s">
        <v>319</v>
      </c>
      <c r="HS859" s="12" t="s">
        <v>319</v>
      </c>
      <c r="HT859" s="12" t="s">
        <v>319</v>
      </c>
      <c r="HU859" s="12" t="s">
        <v>319</v>
      </c>
      <c r="HV859" s="12" t="s">
        <v>319</v>
      </c>
      <c r="HW859" s="12" t="s">
        <v>320</v>
      </c>
      <c r="HX859" s="12"/>
      <c r="HY859" s="12"/>
      <c r="HZ859" s="12"/>
      <c r="IA859" s="12"/>
      <c r="IB859" s="12"/>
      <c r="IC859" s="12"/>
      <c r="ID859" s="12"/>
      <c r="IE859" s="12"/>
      <c r="IF859" s="12"/>
      <c r="IG859" s="12"/>
      <c r="IH859" s="12"/>
      <c r="II859" s="12"/>
      <c r="IJ859" s="12" t="str">
        <f t="shared" si="560"/>
        <v>No marker score</v>
      </c>
      <c r="IK859" s="12">
        <f t="shared" si="561"/>
        <v>0</v>
      </c>
      <c r="IL859" s="12"/>
      <c r="IM859" s="12"/>
      <c r="IN859" s="12"/>
      <c r="IO859" s="12"/>
      <c r="IP859" s="12"/>
      <c r="IQ859" s="12" t="str">
        <f t="shared" si="562"/>
        <v>No marker score</v>
      </c>
      <c r="IR859" s="12">
        <f t="shared" si="563"/>
        <v>0</v>
      </c>
      <c r="IS859" s="12"/>
      <c r="IT859" s="12"/>
      <c r="IU859" s="12"/>
      <c r="IV859" s="12"/>
      <c r="IW859" s="11" t="str">
        <f t="shared" si="564"/>
        <v>No marker score</v>
      </c>
      <c r="IX859" s="12">
        <f t="shared" si="565"/>
        <v>0</v>
      </c>
      <c r="IY859" s="12"/>
      <c r="IZ859" s="12" t="s">
        <v>527</v>
      </c>
      <c r="JA859" s="12"/>
      <c r="JB859" s="12" t="s">
        <v>831</v>
      </c>
      <c r="JC859" s="12" t="s">
        <v>623</v>
      </c>
      <c r="JD859" s="12" t="s">
        <v>624</v>
      </c>
      <c r="JE859" s="12"/>
      <c r="JF859" s="12"/>
      <c r="JG859" s="12"/>
      <c r="JH859" s="12"/>
      <c r="JI859" s="12"/>
      <c r="JJ859" s="12"/>
      <c r="JK859" s="12" t="s">
        <v>13038</v>
      </c>
      <c r="JL859" s="12"/>
      <c r="JM859" s="12"/>
      <c r="JN859" s="12"/>
      <c r="JO859" s="12"/>
      <c r="JP859" s="15">
        <f t="shared" si="566"/>
        <v>0</v>
      </c>
      <c r="JQ859" s="15">
        <f t="shared" si="567"/>
        <v>0</v>
      </c>
      <c r="JR859" s="279" t="str">
        <f t="shared" si="568"/>
        <v/>
      </c>
      <c r="JS859" s="17" t="str">
        <f t="shared" si="569"/>
        <v/>
      </c>
      <c r="JT859" s="18" t="str">
        <f t="shared" si="570"/>
        <v/>
      </c>
      <c r="JU859" s="280">
        <f t="shared" si="571"/>
        <v>0</v>
      </c>
      <c r="JV859" s="280">
        <f t="shared" si="572"/>
        <v>0</v>
      </c>
      <c r="JW859" s="319">
        <f t="shared" si="573"/>
        <v>1</v>
      </c>
      <c r="JX859" s="15">
        <f t="shared" si="574"/>
        <v>0</v>
      </c>
      <c r="JY859" s="15">
        <f t="shared" si="575"/>
        <v>0</v>
      </c>
      <c r="JZ859" s="19" t="str">
        <f t="shared" si="576"/>
        <v/>
      </c>
      <c r="KA859" s="52" t="str">
        <f t="shared" si="577"/>
        <v/>
      </c>
      <c r="KB859" s="15">
        <f t="shared" si="578"/>
        <v>0</v>
      </c>
      <c r="KC859" s="15">
        <f t="shared" si="579"/>
        <v>0</v>
      </c>
      <c r="KD859" s="20" t="str">
        <f t="shared" si="580"/>
        <v/>
      </c>
      <c r="KE859" s="52">
        <f t="shared" si="581"/>
        <v>1</v>
      </c>
      <c r="KF859" s="15">
        <f t="shared" si="582"/>
        <v>0</v>
      </c>
      <c r="KG859" s="15">
        <f t="shared" si="583"/>
        <v>0</v>
      </c>
      <c r="KH859" s="21" t="str">
        <f t="shared" si="584"/>
        <v/>
      </c>
      <c r="KI859" s="52" t="str">
        <f t="shared" si="585"/>
        <v/>
      </c>
      <c r="KJ859" s="15">
        <f t="shared" si="586"/>
        <v>0</v>
      </c>
      <c r="KK859" s="15">
        <f t="shared" si="587"/>
        <v>0</v>
      </c>
      <c r="KL859" s="19" t="str">
        <f t="shared" si="588"/>
        <v/>
      </c>
      <c r="KM859" s="52" t="str">
        <f t="shared" si="589"/>
        <v/>
      </c>
      <c r="KN859" s="22">
        <f t="shared" si="590"/>
        <v>0</v>
      </c>
      <c r="KO859" s="22">
        <f t="shared" si="591"/>
        <v>0</v>
      </c>
      <c r="KP859" s="19" t="str">
        <f t="shared" si="592"/>
        <v/>
      </c>
      <c r="KQ859" s="11" t="str">
        <f t="shared" si="593"/>
        <v>No marker score</v>
      </c>
      <c r="KR859" s="11" t="str">
        <f t="shared" si="594"/>
        <v>No marker score</v>
      </c>
      <c r="KS859" s="11" t="str">
        <f t="shared" si="595"/>
        <v>No marker score</v>
      </c>
      <c r="KT859" s="11">
        <f t="shared" si="596"/>
        <v>0</v>
      </c>
      <c r="KU859" s="11" t="str">
        <f t="shared" si="597"/>
        <v>Intensive advocacy</v>
      </c>
      <c r="KV859" s="11">
        <f t="shared" si="598"/>
        <v>0</v>
      </c>
      <c r="KW859" s="11" t="str">
        <f t="shared" si="599"/>
        <v>United States of America - Protecting US Foreign Assistance Funding_family planning</v>
      </c>
      <c r="KX859" s="11" t="str">
        <f t="shared" si="600"/>
        <v>Protecting US Foreign Assistance Funding_family planning</v>
      </c>
      <c r="KY859" s="11" t="str">
        <f t="shared" si="601"/>
        <v>United States of America</v>
      </c>
      <c r="KZ859" s="12">
        <v>860</v>
      </c>
    </row>
    <row r="860" spans="1:312" x14ac:dyDescent="0.3">
      <c r="A860" s="12" t="s">
        <v>12969</v>
      </c>
      <c r="B860" s="12" t="s">
        <v>12970</v>
      </c>
      <c r="C860" s="12"/>
      <c r="D860" s="12" t="s">
        <v>13157</v>
      </c>
      <c r="E860" s="277" t="str">
        <f t="shared" si="559"/>
        <v>United States of America</v>
      </c>
      <c r="F860" s="12"/>
      <c r="G860" s="12" t="s">
        <v>379</v>
      </c>
      <c r="H860" s="12"/>
      <c r="I860" s="12"/>
      <c r="J860" s="281"/>
      <c r="K860" s="12"/>
      <c r="L860" s="12"/>
      <c r="M860" s="12"/>
      <c r="N860" s="12"/>
      <c r="O860" s="12"/>
      <c r="P860" s="12"/>
      <c r="Q860" s="12"/>
      <c r="R860" s="12"/>
      <c r="S860" s="12"/>
      <c r="T860" s="12"/>
      <c r="U860" s="12"/>
      <c r="V860" s="12"/>
      <c r="W860" s="12"/>
      <c r="X860" s="12"/>
      <c r="Y860" s="12"/>
      <c r="Z860" s="12"/>
      <c r="AA860" s="12"/>
      <c r="AB860" s="12"/>
      <c r="AC860" s="12"/>
      <c r="AD860" s="12"/>
      <c r="BD860" s="13">
        <v>42738</v>
      </c>
      <c r="BE860" s="13">
        <v>42915</v>
      </c>
      <c r="BF860" s="12"/>
      <c r="BG860" s="12" t="s">
        <v>609</v>
      </c>
      <c r="BH860" s="14"/>
      <c r="BI860" s="12" t="s">
        <v>12972</v>
      </c>
      <c r="BJ860" s="12" t="s">
        <v>12973</v>
      </c>
      <c r="BK860" s="12" t="s">
        <v>12974</v>
      </c>
      <c r="BL860" s="12" t="s">
        <v>13075</v>
      </c>
      <c r="BM860" s="12" t="s">
        <v>12976</v>
      </c>
      <c r="BN860" s="12" t="s">
        <v>13076</v>
      </c>
      <c r="BO860" s="12" t="s">
        <v>320</v>
      </c>
      <c r="BP860" s="12" t="s">
        <v>320</v>
      </c>
      <c r="BQ860" s="12" t="s">
        <v>320</v>
      </c>
      <c r="BR860" s="12" t="s">
        <v>13158</v>
      </c>
      <c r="BS860" s="12" t="s">
        <v>849</v>
      </c>
      <c r="BT860" s="12"/>
      <c r="BU860" s="12" t="s">
        <v>13086</v>
      </c>
      <c r="BV860" s="14"/>
      <c r="BW860" s="14"/>
      <c r="BX860" s="14"/>
      <c r="BY860" s="14"/>
      <c r="BZ860" s="14"/>
      <c r="CA860" s="14"/>
      <c r="CB860" s="12" t="s">
        <v>13060</v>
      </c>
      <c r="CD860" s="14"/>
      <c r="CE860" s="14"/>
      <c r="CF860" s="14"/>
      <c r="CG860" s="14"/>
      <c r="CH860" s="14"/>
      <c r="CI860" s="14"/>
      <c r="CJ860" s="12" t="s">
        <v>319</v>
      </c>
      <c r="CK860" s="14"/>
      <c r="CL860" s="16"/>
      <c r="CM860" s="14"/>
      <c r="CN860" s="12" t="s">
        <v>319</v>
      </c>
      <c r="CO860" s="14"/>
      <c r="CP860" s="16"/>
      <c r="CQ860" s="14"/>
      <c r="CR860" s="12" t="s">
        <v>319</v>
      </c>
      <c r="CS860" s="14"/>
      <c r="CT860" s="16"/>
      <c r="CU860" s="14"/>
      <c r="CV860" s="12" t="s">
        <v>319</v>
      </c>
      <c r="CW860" s="14"/>
      <c r="CX860" s="16"/>
      <c r="CY860" s="14"/>
      <c r="CZ860" s="12" t="s">
        <v>320</v>
      </c>
      <c r="DA860" s="14"/>
      <c r="DB860" s="16"/>
      <c r="DC860" s="14"/>
      <c r="DD860" s="12" t="s">
        <v>320</v>
      </c>
      <c r="DE860" s="14"/>
      <c r="DF860" s="16"/>
      <c r="DG860" s="14"/>
      <c r="DH860" s="12" t="s">
        <v>319</v>
      </c>
      <c r="DI860" s="14"/>
      <c r="DJ860" s="16"/>
      <c r="DK860" s="14"/>
      <c r="DL860" s="12" t="s">
        <v>319</v>
      </c>
      <c r="DM860" s="14"/>
      <c r="DN860" s="16"/>
      <c r="DO860" s="14"/>
      <c r="DP860" s="12" t="s">
        <v>319</v>
      </c>
      <c r="DQ860" s="14"/>
      <c r="DR860" s="16"/>
      <c r="DS860" s="14"/>
      <c r="DT860" s="12" t="s">
        <v>319</v>
      </c>
      <c r="DU860" s="14"/>
      <c r="DV860" s="16"/>
      <c r="DW860" s="14"/>
      <c r="DX860" s="12" t="s">
        <v>319</v>
      </c>
      <c r="DY860" s="14"/>
      <c r="DZ860" s="16"/>
      <c r="EA860" s="14"/>
      <c r="EB860" s="12" t="s">
        <v>319</v>
      </c>
      <c r="EC860" s="14"/>
      <c r="ED860" s="16"/>
      <c r="EE860" s="14"/>
      <c r="EF860" s="12"/>
      <c r="EG860" s="12"/>
      <c r="EH860" s="14"/>
      <c r="EI860" s="16"/>
      <c r="EJ860" s="14"/>
      <c r="EK860" s="14"/>
      <c r="EL860" s="14"/>
      <c r="EM860" s="14"/>
      <c r="EN860" s="14"/>
      <c r="EO860" s="14"/>
      <c r="EP860" s="14"/>
      <c r="EQ860" s="12" t="s">
        <v>319</v>
      </c>
      <c r="ER860" s="14"/>
      <c r="ES860" s="16"/>
      <c r="ET860" s="14"/>
      <c r="EU860" s="11" t="s">
        <v>319</v>
      </c>
      <c r="EV860" s="14"/>
      <c r="EW860" s="16"/>
      <c r="EX860" s="14"/>
      <c r="EY860" s="12" t="s">
        <v>319</v>
      </c>
      <c r="EZ860" s="14"/>
      <c r="FA860" s="16"/>
      <c r="FB860" s="14"/>
      <c r="FC860" s="12" t="s">
        <v>319</v>
      </c>
      <c r="FD860" s="14"/>
      <c r="FE860" s="16"/>
      <c r="FF860" s="14"/>
      <c r="FG860" s="12" t="s">
        <v>319</v>
      </c>
      <c r="FH860" s="14"/>
      <c r="FI860" s="16"/>
      <c r="FJ860" s="14"/>
      <c r="FK860" s="12" t="s">
        <v>319</v>
      </c>
      <c r="FL860" s="14"/>
      <c r="FM860" s="16"/>
      <c r="FN860" s="14"/>
      <c r="FO860" s="12" t="s">
        <v>319</v>
      </c>
      <c r="FP860" s="14"/>
      <c r="FQ860" s="16"/>
      <c r="FR860" s="14"/>
      <c r="FS860" s="12" t="s">
        <v>320</v>
      </c>
      <c r="FT860" s="14"/>
      <c r="FU860" s="16"/>
      <c r="FV860" s="14"/>
      <c r="FW860" s="12" t="s">
        <v>320</v>
      </c>
      <c r="FX860" s="14"/>
      <c r="FY860" s="16"/>
      <c r="FZ860" s="14"/>
      <c r="GA860" s="12" t="s">
        <v>319</v>
      </c>
      <c r="GB860" s="14"/>
      <c r="GC860" s="16"/>
      <c r="GD860" s="14"/>
      <c r="GE860" s="12" t="s">
        <v>319</v>
      </c>
      <c r="GF860" s="14"/>
      <c r="GG860" s="16"/>
      <c r="GH860" s="14"/>
      <c r="GI860" s="12" t="s">
        <v>319</v>
      </c>
      <c r="GJ860" s="14"/>
      <c r="GK860" s="16"/>
      <c r="GL860" s="14"/>
      <c r="GM860" s="12" t="s">
        <v>319</v>
      </c>
      <c r="GN860" s="14"/>
      <c r="GO860" s="16"/>
      <c r="GP860" s="14"/>
      <c r="GQ860" s="12" t="s">
        <v>319</v>
      </c>
      <c r="GR860" s="14"/>
      <c r="GS860" s="16"/>
      <c r="GT860" s="14"/>
      <c r="GU860" s="12" t="s">
        <v>319</v>
      </c>
      <c r="GV860" s="14"/>
      <c r="GW860" s="16"/>
      <c r="GX860" s="14"/>
      <c r="GY860" s="12" t="s">
        <v>319</v>
      </c>
      <c r="GZ860" s="14"/>
      <c r="HA860" s="16"/>
      <c r="HB860" s="14"/>
      <c r="HC860" s="12"/>
      <c r="HD860" s="12"/>
      <c r="HE860" s="14"/>
      <c r="HF860" s="16"/>
      <c r="HG860" s="14"/>
      <c r="HH860" s="12" t="s">
        <v>319</v>
      </c>
      <c r="HI860" s="12"/>
      <c r="HJ860" s="12"/>
      <c r="HK860" s="12" t="s">
        <v>319</v>
      </c>
      <c r="HL860" s="12" t="s">
        <v>319</v>
      </c>
      <c r="HM860" s="12"/>
      <c r="HN860" s="12"/>
      <c r="HO860" s="12"/>
      <c r="HP860" s="12" t="s">
        <v>453</v>
      </c>
      <c r="HQ860" s="12" t="s">
        <v>319</v>
      </c>
      <c r="HR860" s="12" t="s">
        <v>319</v>
      </c>
      <c r="HS860" s="12" t="s">
        <v>319</v>
      </c>
      <c r="HT860" s="12" t="s">
        <v>319</v>
      </c>
      <c r="HU860" s="12" t="s">
        <v>319</v>
      </c>
      <c r="HV860" s="12" t="s">
        <v>319</v>
      </c>
      <c r="HW860" s="12" t="s">
        <v>320</v>
      </c>
      <c r="HX860" s="12" t="s">
        <v>319</v>
      </c>
      <c r="HY860" s="12"/>
      <c r="HZ860" s="12"/>
      <c r="IA860" s="12"/>
      <c r="IB860" s="12"/>
      <c r="IC860" s="12"/>
      <c r="ID860" s="12" t="s">
        <v>477</v>
      </c>
      <c r="IE860" s="12"/>
      <c r="IF860" s="12"/>
      <c r="IG860" s="12"/>
      <c r="IH860" s="12"/>
      <c r="II860" s="12"/>
      <c r="IJ860" s="12" t="str">
        <f t="shared" si="560"/>
        <v>No marker score</v>
      </c>
      <c r="IK860" s="12">
        <f t="shared" si="561"/>
        <v>0</v>
      </c>
      <c r="IL860" s="12"/>
      <c r="IM860" s="12"/>
      <c r="IN860" s="12"/>
      <c r="IO860" s="12"/>
      <c r="IP860" s="12"/>
      <c r="IQ860" s="12" t="str">
        <f t="shared" si="562"/>
        <v>No marker score</v>
      </c>
      <c r="IR860" s="12">
        <f t="shared" si="563"/>
        <v>0</v>
      </c>
      <c r="IS860" s="12"/>
      <c r="IT860" s="12"/>
      <c r="IU860" s="12"/>
      <c r="IV860" s="12"/>
      <c r="IW860" s="11" t="str">
        <f t="shared" si="564"/>
        <v>No marker score</v>
      </c>
      <c r="IX860" s="12">
        <f t="shared" si="565"/>
        <v>0</v>
      </c>
      <c r="IY860" s="12"/>
      <c r="IZ860" s="12" t="s">
        <v>527</v>
      </c>
      <c r="JA860" s="12"/>
      <c r="JB860" s="12" t="s">
        <v>1570</v>
      </c>
      <c r="JC860" s="12" t="s">
        <v>623</v>
      </c>
      <c r="JD860" s="12" t="s">
        <v>831</v>
      </c>
      <c r="JE860" s="12"/>
      <c r="JF860" s="12"/>
      <c r="JG860" s="12" t="s">
        <v>13148</v>
      </c>
      <c r="JH860" s="12" t="s">
        <v>13149</v>
      </c>
      <c r="JI860" s="12" t="s">
        <v>13150</v>
      </c>
      <c r="JJ860" s="12" t="s">
        <v>13151</v>
      </c>
      <c r="JK860" s="12" t="s">
        <v>13152</v>
      </c>
      <c r="JL860" s="12"/>
      <c r="JM860" s="12"/>
      <c r="JN860" s="12"/>
      <c r="JO860" s="12"/>
      <c r="JP860" s="15">
        <f t="shared" si="566"/>
        <v>0</v>
      </c>
      <c r="JQ860" s="15">
        <f t="shared" si="567"/>
        <v>0</v>
      </c>
      <c r="JR860" s="279" t="str">
        <f t="shared" si="568"/>
        <v/>
      </c>
      <c r="JS860" s="17" t="str">
        <f t="shared" si="569"/>
        <v/>
      </c>
      <c r="JT860" s="18" t="str">
        <f t="shared" si="570"/>
        <v/>
      </c>
      <c r="JU860" s="280">
        <f t="shared" si="571"/>
        <v>0</v>
      </c>
      <c r="JV860" s="280">
        <f t="shared" si="572"/>
        <v>0</v>
      </c>
      <c r="JW860" s="319">
        <f t="shared" si="573"/>
        <v>1</v>
      </c>
      <c r="JX860" s="15">
        <f t="shared" si="574"/>
        <v>0</v>
      </c>
      <c r="JY860" s="15">
        <f t="shared" si="575"/>
        <v>0</v>
      </c>
      <c r="JZ860" s="19" t="str">
        <f t="shared" si="576"/>
        <v/>
      </c>
      <c r="KA860" s="52" t="str">
        <f t="shared" si="577"/>
        <v/>
      </c>
      <c r="KB860" s="15">
        <f t="shared" si="578"/>
        <v>0</v>
      </c>
      <c r="KC860" s="15">
        <f t="shared" si="579"/>
        <v>0</v>
      </c>
      <c r="KD860" s="20" t="str">
        <f t="shared" si="580"/>
        <v/>
      </c>
      <c r="KE860" s="52" t="str">
        <f t="shared" si="581"/>
        <v/>
      </c>
      <c r="KF860" s="15">
        <f t="shared" si="582"/>
        <v>0</v>
      </c>
      <c r="KG860" s="15">
        <f t="shared" si="583"/>
        <v>0</v>
      </c>
      <c r="KH860" s="21" t="str">
        <f t="shared" si="584"/>
        <v/>
      </c>
      <c r="KI860" s="52">
        <f t="shared" si="585"/>
        <v>1</v>
      </c>
      <c r="KJ860" s="15">
        <f t="shared" si="586"/>
        <v>0</v>
      </c>
      <c r="KK860" s="15">
        <f t="shared" si="587"/>
        <v>0</v>
      </c>
      <c r="KL860" s="19" t="str">
        <f t="shared" si="588"/>
        <v/>
      </c>
      <c r="KM860" s="52" t="str">
        <f t="shared" si="589"/>
        <v/>
      </c>
      <c r="KN860" s="22">
        <f t="shared" si="590"/>
        <v>0</v>
      </c>
      <c r="KO860" s="22">
        <f t="shared" si="591"/>
        <v>0</v>
      </c>
      <c r="KP860" s="19" t="str">
        <f t="shared" si="592"/>
        <v/>
      </c>
      <c r="KQ860" s="11" t="str">
        <f t="shared" si="593"/>
        <v>No marker score</v>
      </c>
      <c r="KR860" s="11" t="str">
        <f t="shared" si="594"/>
        <v>No marker score</v>
      </c>
      <c r="KS860" s="11" t="str">
        <f t="shared" si="595"/>
        <v>No marker score</v>
      </c>
      <c r="KT860" s="11">
        <f t="shared" si="596"/>
        <v>0</v>
      </c>
      <c r="KU860" s="11" t="str">
        <f t="shared" si="597"/>
        <v>Intensive advocacy</v>
      </c>
      <c r="KV860" s="11">
        <f t="shared" si="598"/>
        <v>0</v>
      </c>
      <c r="KW860" s="11" t="str">
        <f t="shared" si="599"/>
        <v>United States of America - Protecting US Foreign Assistance Funding_GBV</v>
      </c>
      <c r="KX860" s="11" t="str">
        <f t="shared" si="600"/>
        <v>Protecting US Foreign Assistance Funding_GBV</v>
      </c>
      <c r="KY860" s="11" t="str">
        <f t="shared" si="601"/>
        <v>United States of America</v>
      </c>
      <c r="KZ860" s="12">
        <v>861</v>
      </c>
    </row>
    <row r="861" spans="1:312" x14ac:dyDescent="0.3">
      <c r="A861" s="12" t="s">
        <v>12969</v>
      </c>
      <c r="B861" s="12" t="s">
        <v>12970</v>
      </c>
      <c r="C861" s="12"/>
      <c r="D861" s="12" t="s">
        <v>13159</v>
      </c>
      <c r="E861" s="277" t="str">
        <f t="shared" si="559"/>
        <v>United States of America</v>
      </c>
      <c r="F861" s="12"/>
      <c r="G861" s="12" t="s">
        <v>379</v>
      </c>
      <c r="H861" s="12"/>
      <c r="I861" s="12"/>
      <c r="J861" s="281"/>
      <c r="K861" s="12"/>
      <c r="L861" s="12"/>
      <c r="M861" s="12"/>
      <c r="N861" s="12"/>
      <c r="O861" s="12"/>
      <c r="P861" s="12"/>
      <c r="Q861" s="12"/>
      <c r="R861" s="12"/>
      <c r="S861" s="12"/>
      <c r="T861" s="12"/>
      <c r="U861" s="12"/>
      <c r="V861" s="12"/>
      <c r="W861" s="12"/>
      <c r="X861" s="12"/>
      <c r="Y861" s="12"/>
      <c r="Z861" s="12"/>
      <c r="AA861" s="12"/>
      <c r="AB861" s="12"/>
      <c r="AC861" s="12"/>
      <c r="AD861" s="12"/>
      <c r="BD861" s="13">
        <v>42738</v>
      </c>
      <c r="BE861" s="13">
        <v>42860</v>
      </c>
      <c r="BF861" s="12"/>
      <c r="BG861" s="12" t="s">
        <v>312</v>
      </c>
      <c r="BH861" s="14"/>
      <c r="BI861" s="12" t="s">
        <v>12972</v>
      </c>
      <c r="BJ861" s="12" t="s">
        <v>12973</v>
      </c>
      <c r="BK861" s="12" t="s">
        <v>12974</v>
      </c>
      <c r="BL861" s="12" t="s">
        <v>12975</v>
      </c>
      <c r="BM861" s="12" t="s">
        <v>12976</v>
      </c>
      <c r="BN861" s="12" t="s">
        <v>12977</v>
      </c>
      <c r="BO861" s="12" t="s">
        <v>320</v>
      </c>
      <c r="BP861" s="12" t="s">
        <v>320</v>
      </c>
      <c r="BQ861" s="12" t="s">
        <v>320</v>
      </c>
      <c r="BR861" s="12" t="s">
        <v>13160</v>
      </c>
      <c r="BS861" s="12" t="s">
        <v>849</v>
      </c>
      <c r="BT861" s="12" t="s">
        <v>849</v>
      </c>
      <c r="BU861" s="12" t="s">
        <v>13161</v>
      </c>
      <c r="BV861" s="14"/>
      <c r="BW861" s="14"/>
      <c r="BX861" s="14"/>
      <c r="BY861" s="14"/>
      <c r="BZ861" s="14"/>
      <c r="CA861" s="14"/>
      <c r="CB861" s="12" t="s">
        <v>13162</v>
      </c>
      <c r="CD861" s="14"/>
      <c r="CE861" s="14"/>
      <c r="CF861" s="14"/>
      <c r="CG861" s="14"/>
      <c r="CH861" s="14"/>
      <c r="CI861" s="14"/>
      <c r="CJ861" s="12" t="s">
        <v>320</v>
      </c>
      <c r="CK861" s="14"/>
      <c r="CL861" s="16"/>
      <c r="CM861" s="14"/>
      <c r="CN861" s="12" t="s">
        <v>320</v>
      </c>
      <c r="CO861" s="14"/>
      <c r="CP861" s="16"/>
      <c r="CQ861" s="14"/>
      <c r="CR861" s="12" t="s">
        <v>320</v>
      </c>
      <c r="CS861" s="14"/>
      <c r="CT861" s="16"/>
      <c r="CU861" s="14"/>
      <c r="CV861" s="12" t="s">
        <v>320</v>
      </c>
      <c r="CW861" s="14"/>
      <c r="CX861" s="16"/>
      <c r="CY861" s="14"/>
      <c r="CZ861" s="12" t="s">
        <v>320</v>
      </c>
      <c r="DA861" s="14"/>
      <c r="DB861" s="16"/>
      <c r="DC861" s="14"/>
      <c r="DD861" s="12" t="s">
        <v>320</v>
      </c>
      <c r="DE861" s="14"/>
      <c r="DF861" s="16"/>
      <c r="DG861" s="14"/>
      <c r="DH861" s="12" t="s">
        <v>320</v>
      </c>
      <c r="DI861" s="14"/>
      <c r="DJ861" s="16"/>
      <c r="DK861" s="14"/>
      <c r="DL861" s="12" t="s">
        <v>320</v>
      </c>
      <c r="DM861" s="14"/>
      <c r="DN861" s="16"/>
      <c r="DO861" s="14"/>
      <c r="DP861" s="12" t="s">
        <v>320</v>
      </c>
      <c r="DQ861" s="14"/>
      <c r="DR861" s="16"/>
      <c r="DS861" s="14"/>
      <c r="DT861" s="12" t="s">
        <v>320</v>
      </c>
      <c r="DU861" s="14"/>
      <c r="DV861" s="16"/>
      <c r="DW861" s="14"/>
      <c r="DX861" s="12" t="s">
        <v>320</v>
      </c>
      <c r="DY861" s="14"/>
      <c r="DZ861" s="16"/>
      <c r="EA861" s="14"/>
      <c r="EB861" s="12" t="s">
        <v>320</v>
      </c>
      <c r="EC861" s="14"/>
      <c r="ED861" s="16"/>
      <c r="EE861" s="14"/>
      <c r="EF861" s="12"/>
      <c r="EG861" s="12"/>
      <c r="EH861" s="14"/>
      <c r="EI861" s="16"/>
      <c r="EJ861" s="14"/>
      <c r="EK861" s="14"/>
      <c r="EL861" s="14"/>
      <c r="EM861" s="14"/>
      <c r="EN861" s="14"/>
      <c r="EO861" s="14"/>
      <c r="EP861" s="14"/>
      <c r="EQ861" s="12" t="s">
        <v>326</v>
      </c>
      <c r="ER861" s="14"/>
      <c r="ES861" s="16"/>
      <c r="ET861" s="14"/>
      <c r="EU861" s="12" t="s">
        <v>326</v>
      </c>
      <c r="EV861" s="14"/>
      <c r="EW861" s="16"/>
      <c r="EX861" s="14"/>
      <c r="EY861" s="12" t="s">
        <v>320</v>
      </c>
      <c r="EZ861" s="14"/>
      <c r="FA861" s="16"/>
      <c r="FB861" s="14"/>
      <c r="FC861" s="12" t="s">
        <v>326</v>
      </c>
      <c r="FD861" s="14"/>
      <c r="FE861" s="16"/>
      <c r="FF861" s="14"/>
      <c r="FG861" s="12" t="s">
        <v>326</v>
      </c>
      <c r="FH861" s="14"/>
      <c r="FI861" s="16"/>
      <c r="FJ861" s="14"/>
      <c r="FK861" s="12" t="s">
        <v>326</v>
      </c>
      <c r="FL861" s="14"/>
      <c r="FM861" s="16"/>
      <c r="FN861" s="14"/>
      <c r="FO861" s="12" t="s">
        <v>320</v>
      </c>
      <c r="FP861" s="14"/>
      <c r="FQ861" s="16"/>
      <c r="FR861" s="14"/>
      <c r="FS861" s="11" t="s">
        <v>320</v>
      </c>
      <c r="FT861" s="14"/>
      <c r="FU861" s="16"/>
      <c r="FV861" s="14"/>
      <c r="FW861" s="12" t="s">
        <v>320</v>
      </c>
      <c r="FX861" s="14"/>
      <c r="FY861" s="16"/>
      <c r="FZ861" s="14"/>
      <c r="GA861" s="12" t="s">
        <v>326</v>
      </c>
      <c r="GB861" s="14"/>
      <c r="GC861" s="16"/>
      <c r="GD861" s="14"/>
      <c r="GE861" s="11" t="s">
        <v>320</v>
      </c>
      <c r="GF861" s="14"/>
      <c r="GG861" s="16"/>
      <c r="GH861" s="14"/>
      <c r="GI861" s="12" t="s">
        <v>326</v>
      </c>
      <c r="GJ861" s="14"/>
      <c r="GK861" s="16"/>
      <c r="GL861" s="14"/>
      <c r="GM861" s="12" t="s">
        <v>326</v>
      </c>
      <c r="GN861" s="14"/>
      <c r="GO861" s="16"/>
      <c r="GP861" s="14"/>
      <c r="GQ861" s="12" t="s">
        <v>326</v>
      </c>
      <c r="GR861" s="14"/>
      <c r="GS861" s="16"/>
      <c r="GT861" s="14"/>
      <c r="GU861" s="12" t="s">
        <v>320</v>
      </c>
      <c r="GV861" s="14"/>
      <c r="GW861" s="16"/>
      <c r="GX861" s="14"/>
      <c r="GY861" s="12" t="s">
        <v>326</v>
      </c>
      <c r="GZ861" s="14"/>
      <c r="HA861" s="16"/>
      <c r="HB861" s="14"/>
      <c r="HC861" s="12"/>
      <c r="HD861" s="12"/>
      <c r="HE861" s="14"/>
      <c r="HF861" s="16"/>
      <c r="HG861" s="14"/>
      <c r="HH861" s="12" t="s">
        <v>319</v>
      </c>
      <c r="HI861" s="12"/>
      <c r="HJ861" s="12"/>
      <c r="HK861" s="12" t="s">
        <v>319</v>
      </c>
      <c r="HL861" s="12" t="s">
        <v>319</v>
      </c>
      <c r="HM861" s="12"/>
      <c r="HN861" s="12"/>
      <c r="HO861" s="12"/>
      <c r="HP861" s="12" t="s">
        <v>453</v>
      </c>
      <c r="HQ861" s="12" t="s">
        <v>319</v>
      </c>
      <c r="HR861" s="12" t="s">
        <v>320</v>
      </c>
      <c r="HS861" s="12" t="s">
        <v>319</v>
      </c>
      <c r="HT861" s="12" t="s">
        <v>319</v>
      </c>
      <c r="HU861" s="12" t="s">
        <v>319</v>
      </c>
      <c r="HV861" s="12" t="s">
        <v>319</v>
      </c>
      <c r="HW861" s="12" t="s">
        <v>320</v>
      </c>
      <c r="HX861" s="12"/>
      <c r="HY861" s="12"/>
      <c r="HZ861" s="12"/>
      <c r="IA861" s="12"/>
      <c r="IB861" s="12"/>
      <c r="IC861" s="12"/>
      <c r="ID861" s="12"/>
      <c r="IE861" s="12"/>
      <c r="IF861" s="12"/>
      <c r="IG861" s="12"/>
      <c r="IH861" s="12"/>
      <c r="II861" s="12"/>
      <c r="IJ861" s="12" t="str">
        <f t="shared" si="560"/>
        <v>No marker score</v>
      </c>
      <c r="IK861" s="12">
        <f t="shared" si="561"/>
        <v>0</v>
      </c>
      <c r="IL861" s="12"/>
      <c r="IM861" s="12"/>
      <c r="IN861" s="12"/>
      <c r="IO861" s="12"/>
      <c r="IP861" s="12"/>
      <c r="IQ861" s="12" t="str">
        <f t="shared" si="562"/>
        <v>No marker score</v>
      </c>
      <c r="IR861" s="12">
        <f t="shared" si="563"/>
        <v>0</v>
      </c>
      <c r="IS861" s="12"/>
      <c r="IT861" s="12"/>
      <c r="IU861" s="12"/>
      <c r="IV861" s="12"/>
      <c r="IW861" s="11" t="str">
        <f t="shared" si="564"/>
        <v>No marker score</v>
      </c>
      <c r="IX861" s="12">
        <f t="shared" si="565"/>
        <v>0</v>
      </c>
      <c r="IY861" s="12"/>
      <c r="IZ861" s="12" t="s">
        <v>527</v>
      </c>
      <c r="JA861" s="12"/>
      <c r="JB861" s="12" t="s">
        <v>624</v>
      </c>
      <c r="JC861" s="12" t="s">
        <v>831</v>
      </c>
      <c r="JD861" s="12" t="s">
        <v>623</v>
      </c>
      <c r="JE861" s="12"/>
      <c r="JF861" s="12"/>
      <c r="JG861" s="12" t="s">
        <v>13163</v>
      </c>
      <c r="JH861" s="12" t="s">
        <v>13141</v>
      </c>
      <c r="JI861" s="12" t="s">
        <v>13142</v>
      </c>
      <c r="JJ861" s="12" t="s">
        <v>13164</v>
      </c>
      <c r="JK861" s="12" t="s">
        <v>12985</v>
      </c>
      <c r="JL861" s="12" t="s">
        <v>12986</v>
      </c>
      <c r="JM861" s="12" t="s">
        <v>12987</v>
      </c>
      <c r="JN861" s="12" t="s">
        <v>13165</v>
      </c>
      <c r="JO861" s="12"/>
      <c r="JP861" s="15">
        <f t="shared" si="566"/>
        <v>0</v>
      </c>
      <c r="JQ861" s="15">
        <f t="shared" si="567"/>
        <v>0</v>
      </c>
      <c r="JR861" s="279" t="str">
        <f t="shared" si="568"/>
        <v/>
      </c>
      <c r="JS861" s="17" t="str">
        <f t="shared" si="569"/>
        <v/>
      </c>
      <c r="JT861" s="18" t="str">
        <f t="shared" si="570"/>
        <v/>
      </c>
      <c r="JU861" s="280">
        <f t="shared" si="571"/>
        <v>0</v>
      </c>
      <c r="JV861" s="280">
        <f t="shared" si="572"/>
        <v>0</v>
      </c>
      <c r="JW861" s="319">
        <f t="shared" si="573"/>
        <v>1</v>
      </c>
      <c r="JX861" s="15">
        <f t="shared" si="574"/>
        <v>0</v>
      </c>
      <c r="JY861" s="15">
        <f t="shared" si="575"/>
        <v>0</v>
      </c>
      <c r="JZ861" s="19" t="str">
        <f t="shared" si="576"/>
        <v/>
      </c>
      <c r="KA861" s="52">
        <f t="shared" si="577"/>
        <v>1</v>
      </c>
      <c r="KB861" s="15">
        <f t="shared" si="578"/>
        <v>0</v>
      </c>
      <c r="KC861" s="15">
        <f t="shared" si="579"/>
        <v>0</v>
      </c>
      <c r="KD861" s="20" t="str">
        <f t="shared" si="580"/>
        <v/>
      </c>
      <c r="KE861" s="52">
        <f t="shared" si="581"/>
        <v>1</v>
      </c>
      <c r="KF861" s="15">
        <f t="shared" si="582"/>
        <v>0</v>
      </c>
      <c r="KG861" s="15">
        <f t="shared" si="583"/>
        <v>0</v>
      </c>
      <c r="KH861" s="21" t="str">
        <f t="shared" si="584"/>
        <v/>
      </c>
      <c r="KI861" s="52">
        <f t="shared" si="585"/>
        <v>1</v>
      </c>
      <c r="KJ861" s="15">
        <f t="shared" si="586"/>
        <v>0</v>
      </c>
      <c r="KK861" s="15">
        <f t="shared" si="587"/>
        <v>0</v>
      </c>
      <c r="KL861" s="19" t="str">
        <f t="shared" si="588"/>
        <v/>
      </c>
      <c r="KM861" s="52">
        <f t="shared" si="589"/>
        <v>1</v>
      </c>
      <c r="KN861" s="22">
        <f t="shared" si="590"/>
        <v>0</v>
      </c>
      <c r="KO861" s="22">
        <f t="shared" si="591"/>
        <v>0</v>
      </c>
      <c r="KP861" s="19" t="str">
        <f t="shared" si="592"/>
        <v/>
      </c>
      <c r="KQ861" s="11" t="str">
        <f t="shared" si="593"/>
        <v>No marker score</v>
      </c>
      <c r="KR861" s="11" t="str">
        <f t="shared" si="594"/>
        <v>No marker score</v>
      </c>
      <c r="KS861" s="11" t="str">
        <f t="shared" si="595"/>
        <v>No marker score</v>
      </c>
      <c r="KT861" s="11">
        <f t="shared" si="596"/>
        <v>0</v>
      </c>
      <c r="KU861" s="11" t="str">
        <f t="shared" si="597"/>
        <v>Intensive advocacy</v>
      </c>
      <c r="KV861" s="11">
        <f t="shared" si="598"/>
        <v>0</v>
      </c>
      <c r="KW861" s="11" t="str">
        <f t="shared" si="599"/>
        <v>United States of America - Protecting US Foreign Assistance Funding_language on reform</v>
      </c>
      <c r="KX861" s="11" t="str">
        <f t="shared" si="600"/>
        <v>Protecting US Foreign Assistance Funding_language on reform</v>
      </c>
      <c r="KY861" s="11" t="str">
        <f t="shared" si="601"/>
        <v>United States of America</v>
      </c>
      <c r="KZ861" s="12">
        <v>862</v>
      </c>
    </row>
    <row r="862" spans="1:312" x14ac:dyDescent="0.3">
      <c r="A862" s="12" t="s">
        <v>12969</v>
      </c>
      <c r="B862" s="12" t="s">
        <v>12970</v>
      </c>
      <c r="C862" s="12"/>
      <c r="D862" s="12" t="s">
        <v>13166</v>
      </c>
      <c r="E862" s="277" t="str">
        <f t="shared" si="559"/>
        <v>United States of America</v>
      </c>
      <c r="F862" s="12"/>
      <c r="G862" s="12" t="s">
        <v>379</v>
      </c>
      <c r="H862" s="12"/>
      <c r="I862" s="12"/>
      <c r="J862" s="281"/>
      <c r="K862" s="12"/>
      <c r="L862" s="12"/>
      <c r="M862" s="12"/>
      <c r="N862" s="12"/>
      <c r="O862" s="12"/>
      <c r="P862" s="12"/>
      <c r="Q862" s="12"/>
      <c r="R862" s="12"/>
      <c r="S862" s="12"/>
      <c r="T862" s="12"/>
      <c r="U862" s="12"/>
      <c r="V862" s="12"/>
      <c r="W862" s="12"/>
      <c r="X862" s="12"/>
      <c r="Y862" s="12"/>
      <c r="Z862" s="12"/>
      <c r="AA862" s="12"/>
      <c r="AB862" s="12"/>
      <c r="AC862" s="12"/>
      <c r="AD862" s="12"/>
      <c r="BD862" s="13">
        <v>42738</v>
      </c>
      <c r="BE862" s="12"/>
      <c r="BF862" s="12"/>
      <c r="BG862" s="12" t="s">
        <v>312</v>
      </c>
      <c r="BH862" s="14"/>
      <c r="BI862" s="12" t="s">
        <v>12972</v>
      </c>
      <c r="BJ862" s="12" t="s">
        <v>12973</v>
      </c>
      <c r="BK862" s="12" t="s">
        <v>12974</v>
      </c>
      <c r="BL862" s="12" t="s">
        <v>12975</v>
      </c>
      <c r="BM862" s="12" t="s">
        <v>12976</v>
      </c>
      <c r="BN862" s="12" t="s">
        <v>12977</v>
      </c>
      <c r="BO862" s="12" t="s">
        <v>320</v>
      </c>
      <c r="BP862" s="12" t="s">
        <v>320</v>
      </c>
      <c r="BQ862" s="12" t="s">
        <v>320</v>
      </c>
      <c r="BR862" s="12" t="s">
        <v>13167</v>
      </c>
      <c r="BS862" s="12" t="s">
        <v>849</v>
      </c>
      <c r="BT862" s="12" t="s">
        <v>849</v>
      </c>
      <c r="BU862" s="12" t="s">
        <v>13168</v>
      </c>
      <c r="BV862" s="14"/>
      <c r="BW862" s="14"/>
      <c r="BX862" s="14"/>
      <c r="BY862" s="14"/>
      <c r="BZ862" s="14"/>
      <c r="CA862" s="14"/>
      <c r="CB862" s="12" t="s">
        <v>12980</v>
      </c>
      <c r="CD862" s="14"/>
      <c r="CE862" s="14"/>
      <c r="CF862" s="14"/>
      <c r="CG862" s="14"/>
      <c r="CH862" s="14"/>
      <c r="CI862" s="14"/>
      <c r="CJ862" s="12" t="s">
        <v>320</v>
      </c>
      <c r="CK862" s="14"/>
      <c r="CL862" s="16"/>
      <c r="CM862" s="14"/>
      <c r="CN862" s="12" t="s">
        <v>320</v>
      </c>
      <c r="CO862" s="14"/>
      <c r="CP862" s="16"/>
      <c r="CQ862" s="14"/>
      <c r="CR862" s="12" t="s">
        <v>320</v>
      </c>
      <c r="CS862" s="14"/>
      <c r="CT862" s="16"/>
      <c r="CU862" s="14"/>
      <c r="CV862" s="12" t="s">
        <v>320</v>
      </c>
      <c r="CW862" s="14"/>
      <c r="CX862" s="16"/>
      <c r="CY862" s="14"/>
      <c r="CZ862" s="12" t="s">
        <v>320</v>
      </c>
      <c r="DA862" s="14"/>
      <c r="DB862" s="16"/>
      <c r="DC862" s="14"/>
      <c r="DD862" s="12" t="s">
        <v>320</v>
      </c>
      <c r="DE862" s="14"/>
      <c r="DF862" s="16"/>
      <c r="DG862" s="14"/>
      <c r="DH862" s="12" t="s">
        <v>320</v>
      </c>
      <c r="DI862" s="14"/>
      <c r="DJ862" s="16"/>
      <c r="DK862" s="14"/>
      <c r="DL862" s="12" t="s">
        <v>320</v>
      </c>
      <c r="DM862" s="14"/>
      <c r="DN862" s="16"/>
      <c r="DO862" s="14"/>
      <c r="DP862" s="12" t="s">
        <v>320</v>
      </c>
      <c r="DQ862" s="14"/>
      <c r="DR862" s="16"/>
      <c r="DS862" s="14"/>
      <c r="DT862" s="12" t="s">
        <v>320</v>
      </c>
      <c r="DU862" s="14"/>
      <c r="DV862" s="16"/>
      <c r="DW862" s="14"/>
      <c r="DX862" s="12" t="s">
        <v>320</v>
      </c>
      <c r="DY862" s="14"/>
      <c r="DZ862" s="16"/>
      <c r="EA862" s="14"/>
      <c r="EB862" s="12" t="s">
        <v>320</v>
      </c>
      <c r="EC862" s="14"/>
      <c r="ED862" s="16"/>
      <c r="EE862" s="14"/>
      <c r="EF862" s="12"/>
      <c r="EG862" s="12"/>
      <c r="EH862" s="14"/>
      <c r="EI862" s="16"/>
      <c r="EJ862" s="14"/>
      <c r="EK862" s="14"/>
      <c r="EL862" s="14"/>
      <c r="EM862" s="14"/>
      <c r="EN862" s="14"/>
      <c r="EO862" s="14"/>
      <c r="EP862" s="14"/>
      <c r="EQ862" s="12" t="s">
        <v>326</v>
      </c>
      <c r="ER862" s="14"/>
      <c r="ES862" s="16"/>
      <c r="ET862" s="14"/>
      <c r="EU862" s="12" t="s">
        <v>326</v>
      </c>
      <c r="EV862" s="14"/>
      <c r="EW862" s="16"/>
      <c r="EX862" s="14"/>
      <c r="EY862" s="12" t="s">
        <v>320</v>
      </c>
      <c r="EZ862" s="14"/>
      <c r="FA862" s="16"/>
      <c r="FB862" s="14"/>
      <c r="FC862" s="12" t="s">
        <v>326</v>
      </c>
      <c r="FD862" s="14"/>
      <c r="FE862" s="16"/>
      <c r="FF862" s="14"/>
      <c r="FG862" s="12" t="s">
        <v>326</v>
      </c>
      <c r="FH862" s="14"/>
      <c r="FI862" s="16"/>
      <c r="FJ862" s="14"/>
      <c r="FK862" s="12" t="s">
        <v>326</v>
      </c>
      <c r="FL862" s="14"/>
      <c r="FM862" s="16"/>
      <c r="FN862" s="14"/>
      <c r="FO862" s="12" t="s">
        <v>320</v>
      </c>
      <c r="FP862" s="14"/>
      <c r="FQ862" s="16"/>
      <c r="FR862" s="14"/>
      <c r="FS862" s="11" t="s">
        <v>320</v>
      </c>
      <c r="FT862" s="14"/>
      <c r="FU862" s="16"/>
      <c r="FV862" s="14"/>
      <c r="FW862" s="12" t="s">
        <v>320</v>
      </c>
      <c r="FX862" s="14"/>
      <c r="FY862" s="16"/>
      <c r="FZ862" s="14"/>
      <c r="GA862" s="12" t="s">
        <v>326</v>
      </c>
      <c r="GB862" s="14"/>
      <c r="GC862" s="16"/>
      <c r="GD862" s="14"/>
      <c r="GE862" s="11" t="s">
        <v>320</v>
      </c>
      <c r="GF862" s="14"/>
      <c r="GG862" s="16"/>
      <c r="GH862" s="14"/>
      <c r="GI862" s="12" t="s">
        <v>326</v>
      </c>
      <c r="GJ862" s="14"/>
      <c r="GK862" s="16"/>
      <c r="GL862" s="14"/>
      <c r="GM862" s="12" t="s">
        <v>326</v>
      </c>
      <c r="GN862" s="14"/>
      <c r="GO862" s="16"/>
      <c r="GP862" s="14"/>
      <c r="GQ862" s="12" t="s">
        <v>326</v>
      </c>
      <c r="GR862" s="14"/>
      <c r="GS862" s="16"/>
      <c r="GT862" s="14"/>
      <c r="GU862" s="12" t="s">
        <v>320</v>
      </c>
      <c r="GV862" s="14"/>
      <c r="GW862" s="16"/>
      <c r="GX862" s="14"/>
      <c r="GY862" s="12" t="s">
        <v>326</v>
      </c>
      <c r="GZ862" s="14"/>
      <c r="HA862" s="16"/>
      <c r="HB862" s="14"/>
      <c r="HC862" s="12"/>
      <c r="HD862" s="12"/>
      <c r="HE862" s="14"/>
      <c r="HF862" s="16"/>
      <c r="HG862" s="14"/>
      <c r="HH862" s="12" t="s">
        <v>319</v>
      </c>
      <c r="HI862" s="12"/>
      <c r="HJ862" s="12"/>
      <c r="HK862" s="12" t="s">
        <v>319</v>
      </c>
      <c r="HL862" s="12" t="s">
        <v>319</v>
      </c>
      <c r="HM862" s="12"/>
      <c r="HN862" s="12"/>
      <c r="HO862" s="12"/>
      <c r="HP862" s="12" t="s">
        <v>453</v>
      </c>
      <c r="HQ862" s="12" t="s">
        <v>319</v>
      </c>
      <c r="HR862" s="12" t="s">
        <v>320</v>
      </c>
      <c r="HS862" s="12" t="s">
        <v>319</v>
      </c>
      <c r="HT862" s="12" t="s">
        <v>319</v>
      </c>
      <c r="HU862" s="12" t="s">
        <v>319</v>
      </c>
      <c r="HV862" s="12" t="s">
        <v>319</v>
      </c>
      <c r="HW862" s="12" t="s">
        <v>320</v>
      </c>
      <c r="HX862" s="12"/>
      <c r="HY862" s="12"/>
      <c r="HZ862" s="12"/>
      <c r="IA862" s="12"/>
      <c r="IB862" s="12"/>
      <c r="IC862" s="12"/>
      <c r="ID862" s="12"/>
      <c r="IE862" s="12"/>
      <c r="IF862" s="12"/>
      <c r="IG862" s="12"/>
      <c r="IH862" s="12"/>
      <c r="II862" s="12"/>
      <c r="IJ862" s="12" t="str">
        <f t="shared" si="560"/>
        <v>No marker score</v>
      </c>
      <c r="IK862" s="12">
        <f t="shared" si="561"/>
        <v>0</v>
      </c>
      <c r="IL862" s="12"/>
      <c r="IM862" s="12"/>
      <c r="IN862" s="12"/>
      <c r="IO862" s="12"/>
      <c r="IP862" s="12"/>
      <c r="IQ862" s="12" t="str">
        <f t="shared" si="562"/>
        <v>No marker score</v>
      </c>
      <c r="IR862" s="12">
        <f t="shared" si="563"/>
        <v>0</v>
      </c>
      <c r="IS862" s="12"/>
      <c r="IT862" s="12"/>
      <c r="IU862" s="12"/>
      <c r="IV862" s="12"/>
      <c r="IW862" s="11" t="str">
        <f t="shared" si="564"/>
        <v>No marker score</v>
      </c>
      <c r="IX862" s="12">
        <f t="shared" si="565"/>
        <v>0</v>
      </c>
      <c r="IY862" s="12"/>
      <c r="IZ862" s="12" t="s">
        <v>527</v>
      </c>
      <c r="JA862" s="12"/>
      <c r="JB862" s="12" t="s">
        <v>624</v>
      </c>
      <c r="JC862" s="12" t="s">
        <v>831</v>
      </c>
      <c r="JD862" s="12" t="s">
        <v>623</v>
      </c>
      <c r="JE862" s="12"/>
      <c r="JF862" s="12"/>
      <c r="JG862" s="12" t="s">
        <v>13169</v>
      </c>
      <c r="JH862" s="12" t="s">
        <v>13141</v>
      </c>
      <c r="JI862" s="12" t="s">
        <v>13142</v>
      </c>
      <c r="JJ862" s="12" t="s">
        <v>13164</v>
      </c>
      <c r="JK862" s="12" t="s">
        <v>12985</v>
      </c>
      <c r="JL862" s="12" t="s">
        <v>12986</v>
      </c>
      <c r="JM862" s="12" t="s">
        <v>12987</v>
      </c>
      <c r="JN862" s="12" t="s">
        <v>13165</v>
      </c>
      <c r="JO862" s="12"/>
      <c r="JP862" s="15">
        <f t="shared" si="566"/>
        <v>0</v>
      </c>
      <c r="JQ862" s="15">
        <f t="shared" si="567"/>
        <v>0</v>
      </c>
      <c r="JR862" s="279" t="str">
        <f t="shared" si="568"/>
        <v/>
      </c>
      <c r="JS862" s="17" t="str">
        <f t="shared" si="569"/>
        <v/>
      </c>
      <c r="JT862" s="18" t="str">
        <f t="shared" si="570"/>
        <v/>
      </c>
      <c r="JU862" s="280">
        <f t="shared" si="571"/>
        <v>0</v>
      </c>
      <c r="JV862" s="280">
        <f t="shared" si="572"/>
        <v>0</v>
      </c>
      <c r="JW862" s="319">
        <f t="shared" si="573"/>
        <v>1</v>
      </c>
      <c r="JX862" s="15">
        <f t="shared" si="574"/>
        <v>0</v>
      </c>
      <c r="JY862" s="15">
        <f t="shared" si="575"/>
        <v>0</v>
      </c>
      <c r="JZ862" s="19" t="str">
        <f t="shared" si="576"/>
        <v/>
      </c>
      <c r="KA862" s="52">
        <f t="shared" si="577"/>
        <v>1</v>
      </c>
      <c r="KB862" s="15">
        <f t="shared" si="578"/>
        <v>0</v>
      </c>
      <c r="KC862" s="15">
        <f t="shared" si="579"/>
        <v>0</v>
      </c>
      <c r="KD862" s="20" t="str">
        <f t="shared" si="580"/>
        <v/>
      </c>
      <c r="KE862" s="52">
        <f t="shared" si="581"/>
        <v>1</v>
      </c>
      <c r="KF862" s="15">
        <f t="shared" si="582"/>
        <v>0</v>
      </c>
      <c r="KG862" s="15">
        <f t="shared" si="583"/>
        <v>0</v>
      </c>
      <c r="KH862" s="21" t="str">
        <f t="shared" si="584"/>
        <v/>
      </c>
      <c r="KI862" s="52">
        <f t="shared" si="585"/>
        <v>1</v>
      </c>
      <c r="KJ862" s="15">
        <f t="shared" si="586"/>
        <v>0</v>
      </c>
      <c r="KK862" s="15">
        <f t="shared" si="587"/>
        <v>0</v>
      </c>
      <c r="KL862" s="19" t="str">
        <f t="shared" si="588"/>
        <v/>
      </c>
      <c r="KM862" s="52">
        <f t="shared" si="589"/>
        <v>1</v>
      </c>
      <c r="KN862" s="22">
        <f t="shared" si="590"/>
        <v>0</v>
      </c>
      <c r="KO862" s="22">
        <f t="shared" si="591"/>
        <v>0</v>
      </c>
      <c r="KP862" s="19" t="str">
        <f t="shared" si="592"/>
        <v/>
      </c>
      <c r="KQ862" s="11" t="str">
        <f t="shared" si="593"/>
        <v>No marker score</v>
      </c>
      <c r="KR862" s="11" t="str">
        <f t="shared" si="594"/>
        <v>No marker score</v>
      </c>
      <c r="KS862" s="11" t="str">
        <f t="shared" si="595"/>
        <v>No marker score</v>
      </c>
      <c r="KT862" s="11">
        <f t="shared" si="596"/>
        <v>0</v>
      </c>
      <c r="KU862" s="11" t="str">
        <f t="shared" si="597"/>
        <v>Intensive advocacy</v>
      </c>
      <c r="KV862" s="11">
        <f t="shared" si="598"/>
        <v>0</v>
      </c>
      <c r="KW862" s="11" t="str">
        <f t="shared" si="599"/>
        <v>United States of America - Protecting US Foreign Assistance Funding_poverty and humanitarian focused funding</v>
      </c>
      <c r="KX862" s="11" t="str">
        <f t="shared" si="600"/>
        <v>Protecting US Foreign Assistance Funding_poverty and humanitarian focused funding</v>
      </c>
      <c r="KY862" s="11" t="str">
        <f t="shared" si="601"/>
        <v>United States of America</v>
      </c>
      <c r="KZ862" s="12">
        <v>863</v>
      </c>
    </row>
    <row r="863" spans="1:312" x14ac:dyDescent="0.3">
      <c r="A863" s="12" t="s">
        <v>12969</v>
      </c>
      <c r="B863" s="12" t="s">
        <v>12970</v>
      </c>
      <c r="C863" s="12"/>
      <c r="D863" s="12" t="s">
        <v>13170</v>
      </c>
      <c r="E863" s="277" t="str">
        <f t="shared" si="559"/>
        <v>United States of America</v>
      </c>
      <c r="F863" s="12"/>
      <c r="G863" s="12" t="s">
        <v>379</v>
      </c>
      <c r="H863" s="12"/>
      <c r="I863" s="12"/>
      <c r="J863" s="281"/>
      <c r="K863" s="12"/>
      <c r="L863" s="12"/>
      <c r="M863" s="12"/>
      <c r="N863" s="12"/>
      <c r="O863" s="12"/>
      <c r="P863" s="12"/>
      <c r="Q863" s="12"/>
      <c r="R863" s="12"/>
      <c r="S863" s="12"/>
      <c r="T863" s="12"/>
      <c r="U863" s="12"/>
      <c r="V863" s="12"/>
      <c r="W863" s="12"/>
      <c r="X863" s="12"/>
      <c r="Y863" s="12"/>
      <c r="Z863" s="12"/>
      <c r="AA863" s="12"/>
      <c r="AB863" s="12"/>
      <c r="AC863" s="12"/>
      <c r="AD863" s="12"/>
      <c r="BD863" s="13">
        <v>42738</v>
      </c>
      <c r="BE863" s="13">
        <v>42860</v>
      </c>
      <c r="BF863" s="12"/>
      <c r="BG863" s="12" t="s">
        <v>312</v>
      </c>
      <c r="BH863" s="14"/>
      <c r="BI863" s="12" t="s">
        <v>12972</v>
      </c>
      <c r="BJ863" s="12" t="s">
        <v>12973</v>
      </c>
      <c r="BK863" s="12" t="s">
        <v>12974</v>
      </c>
      <c r="BL863" s="12" t="s">
        <v>12975</v>
      </c>
      <c r="BM863" s="12" t="s">
        <v>12976</v>
      </c>
      <c r="BN863" s="12" t="s">
        <v>12977</v>
      </c>
      <c r="BO863" s="12" t="s">
        <v>320</v>
      </c>
      <c r="BP863" s="12" t="s">
        <v>320</v>
      </c>
      <c r="BQ863" s="12" t="s">
        <v>320</v>
      </c>
      <c r="BR863" s="12" t="s">
        <v>13171</v>
      </c>
      <c r="BS863" s="12" t="s">
        <v>849</v>
      </c>
      <c r="BT863" s="12" t="s">
        <v>849</v>
      </c>
      <c r="BU863" s="12" t="s">
        <v>13168</v>
      </c>
      <c r="BV863" s="14"/>
      <c r="BW863" s="14"/>
      <c r="BX863" s="14"/>
      <c r="BY863" s="14"/>
      <c r="BZ863" s="14"/>
      <c r="CA863" s="14"/>
      <c r="CB863" s="12" t="s">
        <v>13172</v>
      </c>
      <c r="CD863" s="14"/>
      <c r="CE863" s="14"/>
      <c r="CF863" s="14"/>
      <c r="CG863" s="14"/>
      <c r="CH863" s="14"/>
      <c r="CI863" s="14"/>
      <c r="CJ863" s="12" t="s">
        <v>320</v>
      </c>
      <c r="CK863" s="14"/>
      <c r="CL863" s="16"/>
      <c r="CM863" s="14"/>
      <c r="CN863" s="12" t="s">
        <v>320</v>
      </c>
      <c r="CO863" s="14"/>
      <c r="CP863" s="16"/>
      <c r="CQ863" s="14"/>
      <c r="CR863" s="12" t="s">
        <v>320</v>
      </c>
      <c r="CS863" s="14"/>
      <c r="CT863" s="16"/>
      <c r="CU863" s="14"/>
      <c r="CV863" s="12" t="s">
        <v>320</v>
      </c>
      <c r="CW863" s="14"/>
      <c r="CX863" s="16"/>
      <c r="CY863" s="14"/>
      <c r="CZ863" s="12" t="s">
        <v>320</v>
      </c>
      <c r="DA863" s="14"/>
      <c r="DB863" s="16"/>
      <c r="DC863" s="14"/>
      <c r="DD863" s="12" t="s">
        <v>320</v>
      </c>
      <c r="DE863" s="14"/>
      <c r="DF863" s="16"/>
      <c r="DG863" s="14"/>
      <c r="DH863" s="12" t="s">
        <v>320</v>
      </c>
      <c r="DI863" s="14"/>
      <c r="DJ863" s="16"/>
      <c r="DK863" s="14"/>
      <c r="DL863" s="12" t="s">
        <v>320</v>
      </c>
      <c r="DM863" s="14"/>
      <c r="DN863" s="16"/>
      <c r="DO863" s="14"/>
      <c r="DP863" s="12" t="s">
        <v>320</v>
      </c>
      <c r="DQ863" s="14"/>
      <c r="DR863" s="16"/>
      <c r="DS863" s="14"/>
      <c r="DT863" s="12" t="s">
        <v>320</v>
      </c>
      <c r="DU863" s="14"/>
      <c r="DV863" s="16"/>
      <c r="DW863" s="14"/>
      <c r="DX863" s="12" t="s">
        <v>320</v>
      </c>
      <c r="DY863" s="14"/>
      <c r="DZ863" s="16"/>
      <c r="EA863" s="14"/>
      <c r="EB863" s="12" t="s">
        <v>320</v>
      </c>
      <c r="EC863" s="14"/>
      <c r="ED863" s="16"/>
      <c r="EE863" s="14"/>
      <c r="EF863" s="12"/>
      <c r="EG863" s="12"/>
      <c r="EH863" s="14"/>
      <c r="EI863" s="16"/>
      <c r="EJ863" s="14"/>
      <c r="EK863" s="14"/>
      <c r="EL863" s="14"/>
      <c r="EM863" s="14"/>
      <c r="EN863" s="14"/>
      <c r="EO863" s="14"/>
      <c r="EP863" s="14"/>
      <c r="EQ863" s="12" t="s">
        <v>326</v>
      </c>
      <c r="ER863" s="14"/>
      <c r="ES863" s="16"/>
      <c r="ET863" s="14"/>
      <c r="EU863" s="12" t="s">
        <v>326</v>
      </c>
      <c r="EV863" s="14"/>
      <c r="EW863" s="16"/>
      <c r="EX863" s="14"/>
      <c r="EY863" s="12" t="s">
        <v>320</v>
      </c>
      <c r="EZ863" s="14"/>
      <c r="FA863" s="16"/>
      <c r="FB863" s="14"/>
      <c r="FC863" s="12" t="s">
        <v>326</v>
      </c>
      <c r="FD863" s="14"/>
      <c r="FE863" s="16"/>
      <c r="FF863" s="14"/>
      <c r="FG863" s="12" t="s">
        <v>326</v>
      </c>
      <c r="FH863" s="14"/>
      <c r="FI863" s="16"/>
      <c r="FJ863" s="14"/>
      <c r="FK863" s="12" t="s">
        <v>326</v>
      </c>
      <c r="FL863" s="14"/>
      <c r="FM863" s="16"/>
      <c r="FN863" s="14"/>
      <c r="FO863" s="12" t="s">
        <v>320</v>
      </c>
      <c r="FP863" s="14"/>
      <c r="FQ863" s="16"/>
      <c r="FR863" s="14"/>
      <c r="FS863" s="11" t="s">
        <v>320</v>
      </c>
      <c r="FT863" s="14"/>
      <c r="FU863" s="16"/>
      <c r="FV863" s="14"/>
      <c r="FW863" s="12" t="s">
        <v>320</v>
      </c>
      <c r="FX863" s="14"/>
      <c r="FY863" s="16"/>
      <c r="FZ863" s="14"/>
      <c r="GA863" s="12" t="s">
        <v>326</v>
      </c>
      <c r="GB863" s="14"/>
      <c r="GC863" s="16"/>
      <c r="GD863" s="14"/>
      <c r="GE863" s="11" t="s">
        <v>320</v>
      </c>
      <c r="GF863" s="14"/>
      <c r="GG863" s="16"/>
      <c r="GH863" s="14"/>
      <c r="GI863" s="12" t="s">
        <v>326</v>
      </c>
      <c r="GJ863" s="14"/>
      <c r="GK863" s="16"/>
      <c r="GL863" s="14"/>
      <c r="GM863" s="12" t="s">
        <v>326</v>
      </c>
      <c r="GN863" s="14"/>
      <c r="GO863" s="16"/>
      <c r="GP863" s="14"/>
      <c r="GQ863" s="12" t="s">
        <v>326</v>
      </c>
      <c r="GR863" s="14"/>
      <c r="GS863" s="16"/>
      <c r="GT863" s="14"/>
      <c r="GU863" s="12" t="s">
        <v>320</v>
      </c>
      <c r="GV863" s="14"/>
      <c r="GW863" s="16"/>
      <c r="GX863" s="14"/>
      <c r="GY863" s="12" t="s">
        <v>326</v>
      </c>
      <c r="GZ863" s="14"/>
      <c r="HA863" s="16"/>
      <c r="HB863" s="14"/>
      <c r="HC863" s="12"/>
      <c r="HD863" s="12"/>
      <c r="HE863" s="14"/>
      <c r="HF863" s="16"/>
      <c r="HG863" s="14"/>
      <c r="HH863" s="12" t="s">
        <v>319</v>
      </c>
      <c r="HI863" s="12"/>
      <c r="HJ863" s="12"/>
      <c r="HK863" s="12" t="s">
        <v>319</v>
      </c>
      <c r="HL863" s="12" t="s">
        <v>319</v>
      </c>
      <c r="HM863" s="12"/>
      <c r="HN863" s="12"/>
      <c r="HO863" s="12"/>
      <c r="HP863" s="12" t="s">
        <v>453</v>
      </c>
      <c r="HQ863" s="12" t="s">
        <v>319</v>
      </c>
      <c r="HR863" s="12" t="s">
        <v>320</v>
      </c>
      <c r="HS863" s="12" t="s">
        <v>319</v>
      </c>
      <c r="HT863" s="12" t="s">
        <v>319</v>
      </c>
      <c r="HU863" s="12" t="s">
        <v>319</v>
      </c>
      <c r="HV863" s="12" t="s">
        <v>319</v>
      </c>
      <c r="HW863" s="12" t="s">
        <v>320</v>
      </c>
      <c r="HX863" s="12"/>
      <c r="HY863" s="12"/>
      <c r="HZ863" s="12"/>
      <c r="IA863" s="12"/>
      <c r="IB863" s="12"/>
      <c r="IC863" s="12"/>
      <c r="ID863" s="12"/>
      <c r="IE863" s="12"/>
      <c r="IF863" s="12"/>
      <c r="IG863" s="12"/>
      <c r="IH863" s="12"/>
      <c r="II863" s="12"/>
      <c r="IJ863" s="12" t="str">
        <f t="shared" si="560"/>
        <v>No marker score</v>
      </c>
      <c r="IK863" s="12">
        <f t="shared" si="561"/>
        <v>0</v>
      </c>
      <c r="IL863" s="12"/>
      <c r="IM863" s="12"/>
      <c r="IN863" s="12"/>
      <c r="IO863" s="12"/>
      <c r="IP863" s="12"/>
      <c r="IQ863" s="12" t="str">
        <f t="shared" si="562"/>
        <v>No marker score</v>
      </c>
      <c r="IR863" s="12">
        <f t="shared" si="563"/>
        <v>0</v>
      </c>
      <c r="IS863" s="12"/>
      <c r="IT863" s="12"/>
      <c r="IU863" s="12"/>
      <c r="IV863" s="12"/>
      <c r="IW863" s="11" t="str">
        <f t="shared" si="564"/>
        <v>No marker score</v>
      </c>
      <c r="IX863" s="12">
        <f t="shared" si="565"/>
        <v>0</v>
      </c>
      <c r="IY863" s="12"/>
      <c r="IZ863" s="12" t="s">
        <v>527</v>
      </c>
      <c r="JA863" s="12"/>
      <c r="JB863" s="12" t="s">
        <v>624</v>
      </c>
      <c r="JC863" s="12" t="s">
        <v>831</v>
      </c>
      <c r="JD863" s="12" t="s">
        <v>623</v>
      </c>
      <c r="JE863" s="12"/>
      <c r="JF863" s="12"/>
      <c r="JG863" s="12" t="s">
        <v>13173</v>
      </c>
      <c r="JH863" s="12" t="s">
        <v>13141</v>
      </c>
      <c r="JI863" s="12" t="s">
        <v>13142</v>
      </c>
      <c r="JJ863" s="12" t="s">
        <v>13164</v>
      </c>
      <c r="JK863" s="12" t="s">
        <v>12985</v>
      </c>
      <c r="JL863" s="12" t="s">
        <v>12986</v>
      </c>
      <c r="JM863" s="12" t="s">
        <v>12987</v>
      </c>
      <c r="JN863" s="12" t="s">
        <v>13174</v>
      </c>
      <c r="JO863" s="12"/>
      <c r="JP863" s="15">
        <f t="shared" si="566"/>
        <v>0</v>
      </c>
      <c r="JQ863" s="15">
        <f t="shared" si="567"/>
        <v>0</v>
      </c>
      <c r="JR863" s="279" t="str">
        <f t="shared" si="568"/>
        <v/>
      </c>
      <c r="JS863" s="17" t="str">
        <f t="shared" si="569"/>
        <v/>
      </c>
      <c r="JT863" s="18" t="str">
        <f t="shared" si="570"/>
        <v/>
      </c>
      <c r="JU863" s="280">
        <f t="shared" si="571"/>
        <v>0</v>
      </c>
      <c r="JV863" s="280">
        <f t="shared" si="572"/>
        <v>0</v>
      </c>
      <c r="JW863" s="319">
        <f t="shared" si="573"/>
        <v>1</v>
      </c>
      <c r="JX863" s="15">
        <f t="shared" si="574"/>
        <v>0</v>
      </c>
      <c r="JY863" s="15">
        <f t="shared" si="575"/>
        <v>0</v>
      </c>
      <c r="JZ863" s="19" t="str">
        <f t="shared" si="576"/>
        <v/>
      </c>
      <c r="KA863" s="52">
        <f t="shared" si="577"/>
        <v>1</v>
      </c>
      <c r="KB863" s="15">
        <f t="shared" si="578"/>
        <v>0</v>
      </c>
      <c r="KC863" s="15">
        <f t="shared" si="579"/>
        <v>0</v>
      </c>
      <c r="KD863" s="20" t="str">
        <f t="shared" si="580"/>
        <v/>
      </c>
      <c r="KE863" s="52">
        <f t="shared" si="581"/>
        <v>1</v>
      </c>
      <c r="KF863" s="15">
        <f t="shared" si="582"/>
        <v>0</v>
      </c>
      <c r="KG863" s="15">
        <f t="shared" si="583"/>
        <v>0</v>
      </c>
      <c r="KH863" s="21" t="str">
        <f t="shared" si="584"/>
        <v/>
      </c>
      <c r="KI863" s="52">
        <f t="shared" si="585"/>
        <v>1</v>
      </c>
      <c r="KJ863" s="15">
        <f t="shared" si="586"/>
        <v>0</v>
      </c>
      <c r="KK863" s="15">
        <f t="shared" si="587"/>
        <v>0</v>
      </c>
      <c r="KL863" s="19" t="str">
        <f t="shared" si="588"/>
        <v/>
      </c>
      <c r="KM863" s="52">
        <f t="shared" si="589"/>
        <v>1</v>
      </c>
      <c r="KN863" s="22">
        <f t="shared" si="590"/>
        <v>0</v>
      </c>
      <c r="KO863" s="22">
        <f t="shared" si="591"/>
        <v>0</v>
      </c>
      <c r="KP863" s="19" t="str">
        <f t="shared" si="592"/>
        <v/>
      </c>
      <c r="KQ863" s="11" t="str">
        <f t="shared" si="593"/>
        <v>No marker score</v>
      </c>
      <c r="KR863" s="11" t="str">
        <f t="shared" si="594"/>
        <v>No marker score</v>
      </c>
      <c r="KS863" s="11" t="str">
        <f t="shared" si="595"/>
        <v>No marker score</v>
      </c>
      <c r="KT863" s="11">
        <f t="shared" si="596"/>
        <v>0</v>
      </c>
      <c r="KU863" s="11" t="str">
        <f t="shared" si="597"/>
        <v>Intensive advocacy</v>
      </c>
      <c r="KV863" s="11">
        <f t="shared" si="598"/>
        <v>0</v>
      </c>
      <c r="KW863" s="11" t="str">
        <f t="shared" si="599"/>
        <v>United States of America - Protecting US Foreign Assistance Funding_spending and obligation of funds</v>
      </c>
      <c r="KX863" s="11" t="str">
        <f t="shared" si="600"/>
        <v>Protecting US Foreign Assistance Funding_spending and obligation of funds</v>
      </c>
      <c r="KY863" s="11" t="str">
        <f t="shared" si="601"/>
        <v>United States of America</v>
      </c>
      <c r="KZ863" s="12">
        <v>864</v>
      </c>
    </row>
    <row r="864" spans="1:312" x14ac:dyDescent="0.3">
      <c r="A864" s="12" t="s">
        <v>12969</v>
      </c>
      <c r="B864" s="12" t="s">
        <v>12970</v>
      </c>
      <c r="C864" s="12"/>
      <c r="D864" s="12" t="s">
        <v>13175</v>
      </c>
      <c r="E864" s="277" t="str">
        <f t="shared" si="559"/>
        <v>United States of America</v>
      </c>
      <c r="F864" s="12"/>
      <c r="G864" s="12" t="s">
        <v>379</v>
      </c>
      <c r="H864" s="12"/>
      <c r="I864" s="12"/>
      <c r="J864" s="281"/>
      <c r="K864" s="12"/>
      <c r="L864" s="12"/>
      <c r="M864" s="12"/>
      <c r="N864" s="12"/>
      <c r="O864" s="12"/>
      <c r="P864" s="12"/>
      <c r="Q864" s="12"/>
      <c r="R864" s="12"/>
      <c r="S864" s="12"/>
      <c r="T864" s="12"/>
      <c r="U864" s="12"/>
      <c r="V864" s="12"/>
      <c r="W864" s="12"/>
      <c r="X864" s="12"/>
      <c r="Y864" s="12"/>
      <c r="Z864" s="12"/>
      <c r="AA864" s="12"/>
      <c r="AB864" s="12"/>
      <c r="AC864" s="12"/>
      <c r="AD864" s="12"/>
      <c r="BD864" s="13">
        <v>42738</v>
      </c>
      <c r="BE864" s="12"/>
      <c r="BF864" s="12"/>
      <c r="BG864" s="12" t="s">
        <v>490</v>
      </c>
      <c r="BH864" s="14"/>
      <c r="BI864" s="12" t="s">
        <v>12972</v>
      </c>
      <c r="BJ864" s="12" t="s">
        <v>13031</v>
      </c>
      <c r="BK864" s="12" t="s">
        <v>12974</v>
      </c>
      <c r="BL864" s="12" t="s">
        <v>13032</v>
      </c>
      <c r="BM864" s="12" t="s">
        <v>12976</v>
      </c>
      <c r="BN864" s="12" t="s">
        <v>13033</v>
      </c>
      <c r="BO864" s="12" t="s">
        <v>320</v>
      </c>
      <c r="BP864" s="12" t="s">
        <v>320</v>
      </c>
      <c r="BQ864" s="12" t="s">
        <v>320</v>
      </c>
      <c r="BR864" s="12" t="s">
        <v>13176</v>
      </c>
      <c r="BS864" s="12" t="s">
        <v>849</v>
      </c>
      <c r="BT864" s="12"/>
      <c r="BU864" s="12" t="s">
        <v>13177</v>
      </c>
      <c r="BV864" s="14"/>
      <c r="BW864" s="14"/>
      <c r="BX864" s="14"/>
      <c r="BY864" s="14"/>
      <c r="BZ864" s="14"/>
      <c r="CA864" s="14"/>
      <c r="CB864" s="12" t="s">
        <v>13178</v>
      </c>
      <c r="CD864" s="14"/>
      <c r="CE864" s="14"/>
      <c r="CF864" s="14"/>
      <c r="CG864" s="14"/>
      <c r="CH864" s="14"/>
      <c r="CI864" s="14"/>
      <c r="CJ864" s="12" t="s">
        <v>319</v>
      </c>
      <c r="CK864" s="14"/>
      <c r="CL864" s="16"/>
      <c r="CM864" s="14"/>
      <c r="CN864" s="12" t="s">
        <v>319</v>
      </c>
      <c r="CO864" s="14"/>
      <c r="CP864" s="16"/>
      <c r="CQ864" s="14"/>
      <c r="CR864" s="12" t="s">
        <v>319</v>
      </c>
      <c r="CS864" s="14"/>
      <c r="CT864" s="16"/>
      <c r="CU864" s="14"/>
      <c r="CV864" s="12" t="s">
        <v>319</v>
      </c>
      <c r="CW864" s="14"/>
      <c r="CX864" s="16"/>
      <c r="CY864" s="14"/>
      <c r="CZ864" s="12" t="s">
        <v>319</v>
      </c>
      <c r="DA864" s="14"/>
      <c r="DB864" s="16"/>
      <c r="DC864" s="14"/>
      <c r="DD864" s="12" t="s">
        <v>319</v>
      </c>
      <c r="DE864" s="14"/>
      <c r="DF864" s="16"/>
      <c r="DG864" s="14"/>
      <c r="DH864" s="12" t="s">
        <v>319</v>
      </c>
      <c r="DI864" s="14"/>
      <c r="DJ864" s="16"/>
      <c r="DK864" s="14"/>
      <c r="DL864" s="12" t="s">
        <v>319</v>
      </c>
      <c r="DM864" s="14"/>
      <c r="DN864" s="16"/>
      <c r="DO864" s="14"/>
      <c r="DP864" s="12" t="s">
        <v>319</v>
      </c>
      <c r="DQ864" s="14"/>
      <c r="DR864" s="16"/>
      <c r="DS864" s="14"/>
      <c r="DT864" s="12" t="s">
        <v>320</v>
      </c>
      <c r="DU864" s="14"/>
      <c r="DV864" s="16"/>
      <c r="DW864" s="14"/>
      <c r="DX864" s="12" t="s">
        <v>319</v>
      </c>
      <c r="DY864" s="14"/>
      <c r="DZ864" s="16"/>
      <c r="EA864" s="14"/>
      <c r="EB864" s="12" t="s">
        <v>319</v>
      </c>
      <c r="EC864" s="14"/>
      <c r="ED864" s="16"/>
      <c r="EE864" s="14"/>
      <c r="EF864" s="12"/>
      <c r="EG864" s="12"/>
      <c r="EH864" s="14"/>
      <c r="EI864" s="16"/>
      <c r="EJ864" s="14"/>
      <c r="EK864" s="14"/>
      <c r="EL864" s="14"/>
      <c r="EM864" s="14"/>
      <c r="EN864" s="14"/>
      <c r="EO864" s="14"/>
      <c r="EP864" s="14"/>
      <c r="EQ864" s="12" t="s">
        <v>319</v>
      </c>
      <c r="ER864" s="14"/>
      <c r="ES864" s="16"/>
      <c r="ET864" s="14"/>
      <c r="EU864" s="11" t="s">
        <v>319</v>
      </c>
      <c r="EV864" s="14"/>
      <c r="EW864" s="16"/>
      <c r="EX864" s="14"/>
      <c r="EY864" s="12" t="s">
        <v>319</v>
      </c>
      <c r="EZ864" s="14"/>
      <c r="FA864" s="16"/>
      <c r="FB864" s="14"/>
      <c r="FC864" s="12" t="s">
        <v>319</v>
      </c>
      <c r="FD864" s="14"/>
      <c r="FE864" s="16"/>
      <c r="FF864" s="14"/>
      <c r="FG864" s="12" t="s">
        <v>319</v>
      </c>
      <c r="FH864" s="14"/>
      <c r="FI864" s="16"/>
      <c r="FJ864" s="14"/>
      <c r="FK864" s="12" t="s">
        <v>319</v>
      </c>
      <c r="FL864" s="14"/>
      <c r="FM864" s="16"/>
      <c r="FN864" s="14"/>
      <c r="FO864" s="12" t="s">
        <v>319</v>
      </c>
      <c r="FP864" s="14"/>
      <c r="FQ864" s="16"/>
      <c r="FR864" s="14"/>
      <c r="FS864" s="12" t="s">
        <v>319</v>
      </c>
      <c r="FT864" s="14"/>
      <c r="FU864" s="16"/>
      <c r="FV864" s="14"/>
      <c r="FW864" s="12" t="s">
        <v>319</v>
      </c>
      <c r="FX864" s="14"/>
      <c r="FY864" s="16"/>
      <c r="FZ864" s="14"/>
      <c r="GA864" s="12" t="s">
        <v>319</v>
      </c>
      <c r="GB864" s="14"/>
      <c r="GC864" s="16"/>
      <c r="GD864" s="14"/>
      <c r="GE864" s="12" t="s">
        <v>319</v>
      </c>
      <c r="GF864" s="14"/>
      <c r="GG864" s="16"/>
      <c r="GH864" s="14"/>
      <c r="GI864" s="12" t="s">
        <v>319</v>
      </c>
      <c r="GJ864" s="14"/>
      <c r="GK864" s="16"/>
      <c r="GL864" s="14"/>
      <c r="GM864" s="12" t="s">
        <v>319</v>
      </c>
      <c r="GN864" s="14"/>
      <c r="GO864" s="16"/>
      <c r="GP864" s="14"/>
      <c r="GQ864" s="12" t="s">
        <v>320</v>
      </c>
      <c r="GR864" s="14"/>
      <c r="GS864" s="16"/>
      <c r="GT864" s="14"/>
      <c r="GU864" s="12" t="s">
        <v>319</v>
      </c>
      <c r="GV864" s="14"/>
      <c r="GW864" s="16"/>
      <c r="GX864" s="14"/>
      <c r="GY864" s="12" t="s">
        <v>319</v>
      </c>
      <c r="GZ864" s="14"/>
      <c r="HA864" s="16"/>
      <c r="HB864" s="14"/>
      <c r="HC864" s="12"/>
      <c r="HD864" s="12"/>
      <c r="HE864" s="14"/>
      <c r="HF864" s="16"/>
      <c r="HG864" s="14"/>
      <c r="HH864" s="12" t="s">
        <v>319</v>
      </c>
      <c r="HI864" s="12"/>
      <c r="HJ864" s="12"/>
      <c r="HK864" s="12"/>
      <c r="HL864" s="12" t="s">
        <v>319</v>
      </c>
      <c r="HM864" s="12"/>
      <c r="HN864" s="12"/>
      <c r="HO864" s="12"/>
      <c r="HP864" s="12" t="s">
        <v>453</v>
      </c>
      <c r="HQ864" s="12" t="s">
        <v>320</v>
      </c>
      <c r="HR864" s="12" t="s">
        <v>320</v>
      </c>
      <c r="HS864" s="12" t="s">
        <v>319</v>
      </c>
      <c r="HT864" s="12" t="s">
        <v>319</v>
      </c>
      <c r="HU864" s="12" t="s">
        <v>319</v>
      </c>
      <c r="HV864" s="12" t="s">
        <v>319</v>
      </c>
      <c r="HW864" s="12" t="s">
        <v>319</v>
      </c>
      <c r="HX864" s="12"/>
      <c r="HY864" s="12"/>
      <c r="HZ864" s="12"/>
      <c r="IA864" s="12"/>
      <c r="IB864" s="12"/>
      <c r="IC864" s="12"/>
      <c r="ID864" s="12"/>
      <c r="IE864" s="12"/>
      <c r="IF864" s="12"/>
      <c r="IG864" s="12"/>
      <c r="IH864" s="12"/>
      <c r="II864" s="12"/>
      <c r="IJ864" s="12" t="str">
        <f t="shared" si="560"/>
        <v>No marker score</v>
      </c>
      <c r="IK864" s="12">
        <f t="shared" si="561"/>
        <v>0</v>
      </c>
      <c r="IL864" s="12"/>
      <c r="IM864" s="12"/>
      <c r="IN864" s="12"/>
      <c r="IO864" s="12"/>
      <c r="IP864" s="12"/>
      <c r="IQ864" s="12" t="str">
        <f t="shared" si="562"/>
        <v>No marker score</v>
      </c>
      <c r="IR864" s="12">
        <f t="shared" si="563"/>
        <v>0</v>
      </c>
      <c r="IS864" s="12"/>
      <c r="IT864" s="12"/>
      <c r="IU864" s="12"/>
      <c r="IV864" s="12"/>
      <c r="IW864" s="11" t="str">
        <f t="shared" si="564"/>
        <v>No marker score</v>
      </c>
      <c r="IX864" s="12">
        <f t="shared" si="565"/>
        <v>0</v>
      </c>
      <c r="IY864" s="12"/>
      <c r="IZ864" s="12" t="s">
        <v>527</v>
      </c>
      <c r="JA864" s="12"/>
      <c r="JB864" s="12" t="s">
        <v>831</v>
      </c>
      <c r="JC864" s="12" t="s">
        <v>623</v>
      </c>
      <c r="JD864" s="12" t="s">
        <v>624</v>
      </c>
      <c r="JE864" s="12"/>
      <c r="JF864" s="12"/>
      <c r="JG864" s="12" t="s">
        <v>13179</v>
      </c>
      <c r="JH864" s="12"/>
      <c r="JI864" s="12"/>
      <c r="JJ864" s="12"/>
      <c r="JK864" s="12" t="s">
        <v>13038</v>
      </c>
      <c r="JL864" s="12"/>
      <c r="JM864" s="12"/>
      <c r="JN864" s="12"/>
      <c r="JO864" s="12"/>
      <c r="JP864" s="15">
        <f t="shared" si="566"/>
        <v>0</v>
      </c>
      <c r="JQ864" s="15">
        <f t="shared" si="567"/>
        <v>0</v>
      </c>
      <c r="JR864" s="279" t="str">
        <f t="shared" si="568"/>
        <v/>
      </c>
      <c r="JS864" s="17" t="str">
        <f t="shared" si="569"/>
        <v/>
      </c>
      <c r="JT864" s="18" t="str">
        <f t="shared" si="570"/>
        <v/>
      </c>
      <c r="JU864" s="280">
        <f t="shared" si="571"/>
        <v>0</v>
      </c>
      <c r="JV864" s="280">
        <f t="shared" si="572"/>
        <v>0</v>
      </c>
      <c r="JW864" s="319">
        <f t="shared" si="573"/>
        <v>1</v>
      </c>
      <c r="JX864" s="15">
        <f t="shared" si="574"/>
        <v>0</v>
      </c>
      <c r="JY864" s="15">
        <f t="shared" si="575"/>
        <v>0</v>
      </c>
      <c r="JZ864" s="19" t="str">
        <f t="shared" si="576"/>
        <v/>
      </c>
      <c r="KA864" s="52" t="str">
        <f t="shared" si="577"/>
        <v/>
      </c>
      <c r="KB864" s="15">
        <f t="shared" si="578"/>
        <v>0</v>
      </c>
      <c r="KC864" s="15">
        <f t="shared" si="579"/>
        <v>0</v>
      </c>
      <c r="KD864" s="20" t="str">
        <f t="shared" si="580"/>
        <v/>
      </c>
      <c r="KE864" s="52">
        <f t="shared" si="581"/>
        <v>1</v>
      </c>
      <c r="KF864" s="15">
        <f t="shared" si="582"/>
        <v>0</v>
      </c>
      <c r="KG864" s="15">
        <f t="shared" si="583"/>
        <v>0</v>
      </c>
      <c r="KH864" s="21" t="str">
        <f t="shared" si="584"/>
        <v/>
      </c>
      <c r="KI864" s="52" t="str">
        <f t="shared" si="585"/>
        <v/>
      </c>
      <c r="KJ864" s="15">
        <f t="shared" si="586"/>
        <v>0</v>
      </c>
      <c r="KK864" s="15">
        <f t="shared" si="587"/>
        <v>0</v>
      </c>
      <c r="KL864" s="19" t="str">
        <f t="shared" si="588"/>
        <v/>
      </c>
      <c r="KM864" s="52" t="str">
        <f t="shared" si="589"/>
        <v/>
      </c>
      <c r="KN864" s="22">
        <f t="shared" si="590"/>
        <v>0</v>
      </c>
      <c r="KO864" s="22">
        <f t="shared" si="591"/>
        <v>0</v>
      </c>
      <c r="KP864" s="19" t="str">
        <f t="shared" si="592"/>
        <v/>
      </c>
      <c r="KQ864" s="11" t="str">
        <f t="shared" si="593"/>
        <v>No marker score</v>
      </c>
      <c r="KR864" s="11" t="str">
        <f t="shared" si="594"/>
        <v>No marker score</v>
      </c>
      <c r="KS864" s="11" t="str">
        <f t="shared" si="595"/>
        <v>No marker score</v>
      </c>
      <c r="KT864" s="11">
        <f t="shared" si="596"/>
        <v>0</v>
      </c>
      <c r="KU864" s="11" t="str">
        <f t="shared" si="597"/>
        <v>Intensive advocacy</v>
      </c>
      <c r="KV864" s="11">
        <f t="shared" si="598"/>
        <v>0</v>
      </c>
      <c r="KW864" s="11" t="str">
        <f t="shared" si="599"/>
        <v>United States of America - Reach Every Child and Mother Act Introduction in the Senate and House</v>
      </c>
      <c r="KX864" s="11" t="str">
        <f t="shared" si="600"/>
        <v>Reach Every Child and Mother Act Introduction in the Senate and House</v>
      </c>
      <c r="KY864" s="11" t="str">
        <f t="shared" si="601"/>
        <v>United States of America</v>
      </c>
      <c r="KZ864" s="12">
        <v>865</v>
      </c>
    </row>
    <row r="865" spans="1:312" x14ac:dyDescent="0.3">
      <c r="A865" s="12" t="s">
        <v>12969</v>
      </c>
      <c r="B865" s="12" t="s">
        <v>12970</v>
      </c>
      <c r="C865" s="12"/>
      <c r="D865" s="12" t="s">
        <v>13180</v>
      </c>
      <c r="E865" s="277" t="str">
        <f t="shared" si="559"/>
        <v>United States of America</v>
      </c>
      <c r="F865" s="12"/>
      <c r="G865" s="12" t="s">
        <v>379</v>
      </c>
      <c r="H865" s="12"/>
      <c r="I865" s="12"/>
      <c r="J865" s="281"/>
      <c r="K865" s="12"/>
      <c r="L865" s="12"/>
      <c r="M865" s="12"/>
      <c r="N865" s="12"/>
      <c r="O865" s="12"/>
      <c r="P865" s="12"/>
      <c r="Q865" s="12"/>
      <c r="R865" s="12"/>
      <c r="S865" s="12"/>
      <c r="T865" s="12"/>
      <c r="U865" s="12"/>
      <c r="V865" s="12"/>
      <c r="W865" s="12"/>
      <c r="X865" s="12"/>
      <c r="Y865" s="12"/>
      <c r="Z865" s="12"/>
      <c r="AA865" s="12"/>
      <c r="AB865" s="12"/>
      <c r="AC865" s="12"/>
      <c r="AD865" s="12"/>
      <c r="BD865" s="12"/>
      <c r="BE865" s="12"/>
      <c r="BF865" s="12"/>
      <c r="BG865" s="12" t="s">
        <v>749</v>
      </c>
      <c r="BH865" s="14"/>
      <c r="BI865" s="12" t="s">
        <v>12972</v>
      </c>
      <c r="BJ865" s="12" t="s">
        <v>12973</v>
      </c>
      <c r="BK865" s="12" t="s">
        <v>12974</v>
      </c>
      <c r="BL865" s="12" t="s">
        <v>13005</v>
      </c>
      <c r="BM865" s="12" t="s">
        <v>13006</v>
      </c>
      <c r="BN865" s="12" t="s">
        <v>13007</v>
      </c>
      <c r="BO865" s="12" t="s">
        <v>320</v>
      </c>
      <c r="BP865" s="12" t="s">
        <v>320</v>
      </c>
      <c r="BQ865" s="12" t="s">
        <v>320</v>
      </c>
      <c r="BR865" s="12" t="s">
        <v>13181</v>
      </c>
      <c r="BS865" s="12" t="s">
        <v>849</v>
      </c>
      <c r="BT865" s="12" t="s">
        <v>13182</v>
      </c>
      <c r="BU865" s="12" t="s">
        <v>13183</v>
      </c>
      <c r="BV865" s="14"/>
      <c r="BW865" s="14"/>
      <c r="BX865" s="14"/>
      <c r="BY865" s="14"/>
      <c r="BZ865" s="14"/>
      <c r="CA865" s="14"/>
      <c r="CB865" s="12" t="s">
        <v>13184</v>
      </c>
      <c r="CD865" s="14"/>
      <c r="CE865" s="14"/>
      <c r="CF865" s="14"/>
      <c r="CG865" s="14"/>
      <c r="CH865" s="14"/>
      <c r="CI865" s="14"/>
      <c r="CJ865" s="12" t="s">
        <v>319</v>
      </c>
      <c r="CK865" s="14"/>
      <c r="CL865" s="16"/>
      <c r="CM865" s="14"/>
      <c r="CN865" s="12" t="s">
        <v>319</v>
      </c>
      <c r="CO865" s="14"/>
      <c r="CP865" s="16"/>
      <c r="CQ865" s="14"/>
      <c r="CR865" s="12" t="s">
        <v>319</v>
      </c>
      <c r="CS865" s="14"/>
      <c r="CT865" s="16"/>
      <c r="CU865" s="14"/>
      <c r="CV865" s="12" t="s">
        <v>320</v>
      </c>
      <c r="CW865" s="14"/>
      <c r="CX865" s="16"/>
      <c r="CY865" s="14"/>
      <c r="CZ865" s="12" t="s">
        <v>319</v>
      </c>
      <c r="DA865" s="14"/>
      <c r="DB865" s="16"/>
      <c r="DC865" s="14"/>
      <c r="DD865" s="12" t="s">
        <v>319</v>
      </c>
      <c r="DE865" s="14"/>
      <c r="DF865" s="16"/>
      <c r="DG865" s="14"/>
      <c r="DH865" s="11" t="s">
        <v>319</v>
      </c>
      <c r="DI865" s="14"/>
      <c r="DJ865" s="16"/>
      <c r="DK865" s="14"/>
      <c r="DL865" s="12" t="s">
        <v>319</v>
      </c>
      <c r="DM865" s="14"/>
      <c r="DN865" s="16"/>
      <c r="DO865" s="14"/>
      <c r="DP865" s="12" t="s">
        <v>319</v>
      </c>
      <c r="DQ865" s="14"/>
      <c r="DR865" s="16"/>
      <c r="DS865" s="14"/>
      <c r="DT865" s="12" t="s">
        <v>319</v>
      </c>
      <c r="DU865" s="14"/>
      <c r="DV865" s="16"/>
      <c r="DW865" s="14"/>
      <c r="DX865" s="12" t="s">
        <v>319</v>
      </c>
      <c r="DY865" s="14"/>
      <c r="DZ865" s="16"/>
      <c r="EA865" s="14"/>
      <c r="EB865" s="12" t="s">
        <v>319</v>
      </c>
      <c r="EC865" s="14"/>
      <c r="ED865" s="16"/>
      <c r="EE865" s="14"/>
      <c r="EF865" s="12"/>
      <c r="EG865" s="12"/>
      <c r="EH865" s="14"/>
      <c r="EI865" s="16"/>
      <c r="EJ865" s="14"/>
      <c r="EK865" s="14"/>
      <c r="EL865" s="14"/>
      <c r="EM865" s="14"/>
      <c r="EN865" s="14"/>
      <c r="EO865" s="14"/>
      <c r="EP865" s="14"/>
      <c r="EQ865" s="12" t="s">
        <v>320</v>
      </c>
      <c r="ER865" s="14"/>
      <c r="ES865" s="16"/>
      <c r="ET865" s="14"/>
      <c r="EU865" s="12" t="s">
        <v>320</v>
      </c>
      <c r="EV865" s="14"/>
      <c r="EW865" s="16"/>
      <c r="EX865" s="14"/>
      <c r="EY865" s="12" t="s">
        <v>319</v>
      </c>
      <c r="EZ865" s="14"/>
      <c r="FA865" s="16"/>
      <c r="FB865" s="14"/>
      <c r="FC865" s="12" t="s">
        <v>320</v>
      </c>
      <c r="FD865" s="14"/>
      <c r="FE865" s="16"/>
      <c r="FF865" s="14"/>
      <c r="FG865" s="12" t="s">
        <v>320</v>
      </c>
      <c r="FH865" s="14"/>
      <c r="FI865" s="16"/>
      <c r="FJ865" s="14"/>
      <c r="FK865" s="12" t="s">
        <v>319</v>
      </c>
      <c r="FL865" s="14"/>
      <c r="FM865" s="16"/>
      <c r="FN865" s="14"/>
      <c r="FO865" s="12" t="s">
        <v>320</v>
      </c>
      <c r="FP865" s="14"/>
      <c r="FQ865" s="16"/>
      <c r="FR865" s="14"/>
      <c r="FS865" s="12" t="s">
        <v>319</v>
      </c>
      <c r="FT865" s="14"/>
      <c r="FU865" s="16"/>
      <c r="FV865" s="14"/>
      <c r="FW865" s="12" t="s">
        <v>320</v>
      </c>
      <c r="FX865" s="14"/>
      <c r="FY865" s="16"/>
      <c r="FZ865" s="14"/>
      <c r="GA865" s="12" t="s">
        <v>319</v>
      </c>
      <c r="GB865" s="14"/>
      <c r="GC865" s="16"/>
      <c r="GD865" s="14"/>
      <c r="GE865" s="12" t="s">
        <v>319</v>
      </c>
      <c r="GF865" s="14"/>
      <c r="GG865" s="16"/>
      <c r="GH865" s="14"/>
      <c r="GI865" s="12" t="s">
        <v>320</v>
      </c>
      <c r="GJ865" s="14"/>
      <c r="GK865" s="16"/>
      <c r="GL865" s="14"/>
      <c r="GM865" s="12" t="s">
        <v>319</v>
      </c>
      <c r="GN865" s="14"/>
      <c r="GO865" s="16"/>
      <c r="GP865" s="14"/>
      <c r="GQ865" s="12" t="s">
        <v>319</v>
      </c>
      <c r="GR865" s="14"/>
      <c r="GS865" s="16"/>
      <c r="GT865" s="14"/>
      <c r="GU865" s="12" t="s">
        <v>319</v>
      </c>
      <c r="GV865" s="14"/>
      <c r="GW865" s="16"/>
      <c r="GX865" s="14"/>
      <c r="GY865" s="12" t="s">
        <v>320</v>
      </c>
      <c r="GZ865" s="14"/>
      <c r="HA865" s="16"/>
      <c r="HB865" s="14"/>
      <c r="HC865" s="12"/>
      <c r="HD865" s="12"/>
      <c r="HE865" s="14"/>
      <c r="HF865" s="16"/>
      <c r="HG865" s="14"/>
      <c r="HH865" s="12"/>
      <c r="HI865" s="12"/>
      <c r="HJ865" s="12"/>
      <c r="HK865" s="12"/>
      <c r="HL865" s="12"/>
      <c r="HM865" s="12"/>
      <c r="HN865" s="12"/>
      <c r="HO865" s="12"/>
      <c r="HP865" s="12" t="s">
        <v>453</v>
      </c>
      <c r="HQ865" s="12" t="s">
        <v>319</v>
      </c>
      <c r="HR865" s="12" t="s">
        <v>319</v>
      </c>
      <c r="HS865" s="12" t="s">
        <v>319</v>
      </c>
      <c r="HT865" s="12" t="s">
        <v>320</v>
      </c>
      <c r="HU865" s="12" t="s">
        <v>319</v>
      </c>
      <c r="HV865" s="12" t="s">
        <v>319</v>
      </c>
      <c r="HW865" s="12" t="s">
        <v>319</v>
      </c>
      <c r="HX865" s="12"/>
      <c r="HY865" s="12"/>
      <c r="HZ865" s="12"/>
      <c r="IA865" s="12"/>
      <c r="IB865" s="12"/>
      <c r="IC865" s="12"/>
      <c r="ID865" s="12"/>
      <c r="IE865" s="12"/>
      <c r="IF865" s="12"/>
      <c r="IG865" s="12"/>
      <c r="IH865" s="12"/>
      <c r="II865" s="12"/>
      <c r="IJ865" s="12" t="str">
        <f t="shared" si="560"/>
        <v>No marker score</v>
      </c>
      <c r="IK865" s="12">
        <f t="shared" si="561"/>
        <v>0</v>
      </c>
      <c r="IL865" s="12"/>
      <c r="IM865" s="12"/>
      <c r="IN865" s="12"/>
      <c r="IO865" s="12"/>
      <c r="IP865" s="12"/>
      <c r="IQ865" s="12" t="str">
        <f t="shared" si="562"/>
        <v>No marker score</v>
      </c>
      <c r="IR865" s="12">
        <f t="shared" si="563"/>
        <v>0</v>
      </c>
      <c r="IS865" s="12"/>
      <c r="IT865" s="12"/>
      <c r="IU865" s="12"/>
      <c r="IV865" s="12"/>
      <c r="IW865" s="11" t="str">
        <f t="shared" si="564"/>
        <v>No marker score</v>
      </c>
      <c r="IX865" s="12">
        <f t="shared" si="565"/>
        <v>0</v>
      </c>
      <c r="IY865" s="12"/>
      <c r="IZ865" s="12" t="s">
        <v>527</v>
      </c>
      <c r="JA865" s="12"/>
      <c r="JB865" s="12" t="s">
        <v>831</v>
      </c>
      <c r="JC865" s="12" t="s">
        <v>724</v>
      </c>
      <c r="JD865" s="12" t="s">
        <v>624</v>
      </c>
      <c r="JE865" s="12"/>
      <c r="JF865" s="12"/>
      <c r="JG865" s="12" t="s">
        <v>13185</v>
      </c>
      <c r="JH865" s="12" t="s">
        <v>13186</v>
      </c>
      <c r="JI865" s="12"/>
      <c r="JJ865" s="12"/>
      <c r="JK865" s="12" t="s">
        <v>13187</v>
      </c>
      <c r="JL865" s="12" t="s">
        <v>13188</v>
      </c>
      <c r="JM865" s="12" t="s">
        <v>13189</v>
      </c>
      <c r="JN865" s="12" t="s">
        <v>13190</v>
      </c>
      <c r="JO865" s="12" t="s">
        <v>13191</v>
      </c>
      <c r="JP865" s="15">
        <f t="shared" si="566"/>
        <v>0</v>
      </c>
      <c r="JQ865" s="15">
        <f t="shared" si="567"/>
        <v>0</v>
      </c>
      <c r="JR865" s="279" t="str">
        <f t="shared" si="568"/>
        <v/>
      </c>
      <c r="JS865" s="17" t="str">
        <f t="shared" si="569"/>
        <v/>
      </c>
      <c r="JT865" s="18" t="str">
        <f t="shared" si="570"/>
        <v/>
      </c>
      <c r="JU865" s="280">
        <f t="shared" si="571"/>
        <v>0</v>
      </c>
      <c r="JV865" s="280">
        <f t="shared" si="572"/>
        <v>0</v>
      </c>
      <c r="JW865" s="319">
        <f t="shared" si="573"/>
        <v>1</v>
      </c>
      <c r="JX865" s="15">
        <f t="shared" si="574"/>
        <v>0</v>
      </c>
      <c r="JY865" s="15">
        <f t="shared" si="575"/>
        <v>0</v>
      </c>
      <c r="JZ865" s="19" t="str">
        <f t="shared" si="576"/>
        <v/>
      </c>
      <c r="KA865" s="52">
        <f t="shared" si="577"/>
        <v>1</v>
      </c>
      <c r="KB865" s="15">
        <f t="shared" si="578"/>
        <v>0</v>
      </c>
      <c r="KC865" s="15">
        <f t="shared" si="579"/>
        <v>0</v>
      </c>
      <c r="KD865" s="20" t="str">
        <f t="shared" si="580"/>
        <v/>
      </c>
      <c r="KE865" s="52" t="str">
        <f t="shared" si="581"/>
        <v/>
      </c>
      <c r="KF865" s="15">
        <f t="shared" si="582"/>
        <v>0</v>
      </c>
      <c r="KG865" s="15">
        <f t="shared" si="583"/>
        <v>0</v>
      </c>
      <c r="KH865" s="21" t="str">
        <f t="shared" si="584"/>
        <v/>
      </c>
      <c r="KI865" s="52" t="str">
        <f t="shared" si="585"/>
        <v/>
      </c>
      <c r="KJ865" s="15">
        <f t="shared" si="586"/>
        <v>0</v>
      </c>
      <c r="KK865" s="15">
        <f t="shared" si="587"/>
        <v>0</v>
      </c>
      <c r="KL865" s="19" t="str">
        <f t="shared" si="588"/>
        <v/>
      </c>
      <c r="KM865" s="52">
        <f t="shared" si="589"/>
        <v>1</v>
      </c>
      <c r="KN865" s="22">
        <f t="shared" si="590"/>
        <v>0</v>
      </c>
      <c r="KO865" s="22">
        <f t="shared" si="591"/>
        <v>0</v>
      </c>
      <c r="KP865" s="19" t="str">
        <f t="shared" si="592"/>
        <v/>
      </c>
      <c r="KQ865" s="11" t="str">
        <f t="shared" si="593"/>
        <v>No marker score</v>
      </c>
      <c r="KR865" s="11" t="str">
        <f t="shared" si="594"/>
        <v>No marker score</v>
      </c>
      <c r="KS865" s="11" t="str">
        <f t="shared" si="595"/>
        <v>No marker score</v>
      </c>
      <c r="KT865" s="11">
        <f t="shared" si="596"/>
        <v>0</v>
      </c>
      <c r="KU865" s="11" t="str">
        <f t="shared" si="597"/>
        <v>Intensive advocacy</v>
      </c>
      <c r="KV865" s="11">
        <f t="shared" si="598"/>
        <v>0</v>
      </c>
      <c r="KW865" s="11" t="str">
        <f t="shared" si="599"/>
        <v>United States of America - Reauthorization of Global Food Security Act (GFSA)</v>
      </c>
      <c r="KX865" s="11" t="str">
        <f t="shared" si="600"/>
        <v>Reauthorization of Global Food Security Act (GFSA)</v>
      </c>
      <c r="KY865" s="11" t="str">
        <f t="shared" si="601"/>
        <v>United States of America</v>
      </c>
      <c r="KZ865" s="12">
        <v>866</v>
      </c>
    </row>
    <row r="866" spans="1:312" x14ac:dyDescent="0.3">
      <c r="A866" s="11" t="s">
        <v>12969</v>
      </c>
      <c r="B866" s="11" t="s">
        <v>12970</v>
      </c>
      <c r="D866" s="11" t="s">
        <v>13192</v>
      </c>
      <c r="E866" s="277" t="str">
        <f t="shared" si="559"/>
        <v>United States of America</v>
      </c>
      <c r="G866" s="12" t="s">
        <v>379</v>
      </c>
      <c r="J866" s="278"/>
      <c r="BD866" s="23">
        <v>42908</v>
      </c>
      <c r="BE866" s="23">
        <v>42909</v>
      </c>
      <c r="BG866" s="11" t="s">
        <v>817</v>
      </c>
      <c r="BI866" s="26" t="s">
        <v>12972</v>
      </c>
      <c r="BJ866" s="12" t="s">
        <v>12973</v>
      </c>
      <c r="BK866" s="12" t="s">
        <v>12974</v>
      </c>
      <c r="BL866" s="11" t="s">
        <v>13016</v>
      </c>
      <c r="BM866" s="11" t="s">
        <v>13017</v>
      </c>
      <c r="BN866" s="11" t="s">
        <v>13018</v>
      </c>
      <c r="BO866" s="11" t="s">
        <v>320</v>
      </c>
      <c r="BP866" s="11" t="s">
        <v>319</v>
      </c>
      <c r="BQ866" s="11" t="s">
        <v>319</v>
      </c>
      <c r="BR866" s="11" t="s">
        <v>13193</v>
      </c>
      <c r="BS866" s="11" t="s">
        <v>615</v>
      </c>
      <c r="BT866" s="11" t="s">
        <v>13194</v>
      </c>
      <c r="BU866" s="11" t="s">
        <v>13195</v>
      </c>
      <c r="CA866" s="22">
        <v>7000000</v>
      </c>
      <c r="CB866" s="15" t="s">
        <v>13196</v>
      </c>
      <c r="CL866" s="18"/>
      <c r="CP866" s="18"/>
      <c r="CT866" s="18"/>
      <c r="CX866" s="18"/>
      <c r="DB866" s="18"/>
      <c r="DF866" s="18"/>
      <c r="DJ866" s="18"/>
      <c r="DN866" s="18"/>
      <c r="DR866" s="18"/>
      <c r="DV866" s="18"/>
      <c r="DZ866" s="18"/>
      <c r="ED866" s="18"/>
      <c r="EI866" s="18"/>
      <c r="ES866" s="18"/>
      <c r="EW866" s="18"/>
      <c r="FA866" s="18"/>
      <c r="FE866" s="18"/>
      <c r="FI866" s="18"/>
      <c r="FM866" s="18"/>
      <c r="FQ866" s="18"/>
      <c r="FU866" s="18"/>
      <c r="FY866" s="18"/>
      <c r="GC866" s="18"/>
      <c r="GG866" s="18"/>
      <c r="GK866" s="18"/>
      <c r="GO866" s="18"/>
      <c r="GS866" s="18"/>
      <c r="GW866" s="18"/>
      <c r="HA866" s="18"/>
      <c r="HF866" s="18"/>
      <c r="HH866" s="11" t="s">
        <v>319</v>
      </c>
      <c r="HK866" s="11" t="s">
        <v>319</v>
      </c>
      <c r="HL866" s="11" t="s">
        <v>319</v>
      </c>
      <c r="HP866" s="11" t="s">
        <v>453</v>
      </c>
      <c r="HQ866" s="11" t="s">
        <v>319</v>
      </c>
      <c r="HR866" s="11" t="s">
        <v>319</v>
      </c>
      <c r="HS866" s="11" t="s">
        <v>319</v>
      </c>
      <c r="HT866" s="11" t="s">
        <v>319</v>
      </c>
      <c r="HU866" s="11" t="s">
        <v>319</v>
      </c>
      <c r="HV866" s="11" t="s">
        <v>320</v>
      </c>
      <c r="HW866" s="11" t="s">
        <v>319</v>
      </c>
      <c r="HX866" s="11" t="s">
        <v>319</v>
      </c>
      <c r="ID866" s="11" t="s">
        <v>477</v>
      </c>
      <c r="IJ866" s="12" t="str">
        <f t="shared" si="560"/>
        <v>No marker score</v>
      </c>
      <c r="IK866" s="12">
        <f t="shared" si="561"/>
        <v>0</v>
      </c>
      <c r="IQ866" s="12" t="str">
        <f t="shared" si="562"/>
        <v>No marker score</v>
      </c>
      <c r="IR866" s="12">
        <f t="shared" si="563"/>
        <v>0</v>
      </c>
      <c r="IW866" s="11" t="str">
        <f t="shared" si="564"/>
        <v>No marker score</v>
      </c>
      <c r="IX866" s="12">
        <f t="shared" si="565"/>
        <v>0</v>
      </c>
      <c r="IZ866" s="11" t="s">
        <v>527</v>
      </c>
      <c r="JB866" s="11" t="s">
        <v>831</v>
      </c>
      <c r="JC866" s="11" t="s">
        <v>832</v>
      </c>
      <c r="JD866" s="11" t="s">
        <v>623</v>
      </c>
      <c r="JE866" s="11" t="s">
        <v>365</v>
      </c>
      <c r="JF866" s="11" t="s">
        <v>13197</v>
      </c>
      <c r="JH866" s="11" t="s">
        <v>13099</v>
      </c>
      <c r="JI866" s="11" t="s">
        <v>13198</v>
      </c>
      <c r="JJ866" s="11" t="s">
        <v>13199</v>
      </c>
      <c r="JK866" s="11" t="s">
        <v>13101</v>
      </c>
      <c r="JN866" s="11" t="s">
        <v>13200</v>
      </c>
      <c r="JP866" s="15">
        <f t="shared" si="566"/>
        <v>0</v>
      </c>
      <c r="JQ866" s="15">
        <f t="shared" si="567"/>
        <v>0</v>
      </c>
      <c r="JR866" s="279" t="str">
        <f t="shared" si="568"/>
        <v/>
      </c>
      <c r="JS866" s="17" t="str">
        <f t="shared" si="569"/>
        <v/>
      </c>
      <c r="JT866" s="18" t="str">
        <f t="shared" si="570"/>
        <v/>
      </c>
      <c r="JU866" s="280">
        <f t="shared" si="571"/>
        <v>0</v>
      </c>
      <c r="JV866" s="280">
        <f t="shared" si="572"/>
        <v>0</v>
      </c>
      <c r="JW866" s="319">
        <f t="shared" si="573"/>
        <v>1</v>
      </c>
      <c r="JX866" s="15">
        <f t="shared" si="574"/>
        <v>0</v>
      </c>
      <c r="JY866" s="15">
        <f t="shared" si="575"/>
        <v>0</v>
      </c>
      <c r="JZ866" s="19" t="str">
        <f t="shared" si="576"/>
        <v/>
      </c>
      <c r="KA866" s="52" t="str">
        <f t="shared" si="577"/>
        <v/>
      </c>
      <c r="KB866" s="15">
        <f t="shared" si="578"/>
        <v>0</v>
      </c>
      <c r="KC866" s="15">
        <f t="shared" si="579"/>
        <v>0</v>
      </c>
      <c r="KD866" s="20" t="str">
        <f t="shared" si="580"/>
        <v/>
      </c>
      <c r="KE866" s="52" t="str">
        <f t="shared" si="581"/>
        <v/>
      </c>
      <c r="KF866" s="15">
        <f t="shared" si="582"/>
        <v>0</v>
      </c>
      <c r="KG866" s="15">
        <f t="shared" si="583"/>
        <v>0</v>
      </c>
      <c r="KH866" s="21" t="str">
        <f t="shared" si="584"/>
        <v/>
      </c>
      <c r="KI866" s="52" t="str">
        <f t="shared" si="585"/>
        <v/>
      </c>
      <c r="KJ866" s="15">
        <f t="shared" si="586"/>
        <v>0</v>
      </c>
      <c r="KK866" s="15">
        <f t="shared" si="587"/>
        <v>0</v>
      </c>
      <c r="KL866" s="19" t="str">
        <f t="shared" si="588"/>
        <v/>
      </c>
      <c r="KM866" s="52" t="str">
        <f t="shared" si="589"/>
        <v/>
      </c>
      <c r="KN866" s="22">
        <f t="shared" si="590"/>
        <v>0</v>
      </c>
      <c r="KO866" s="22">
        <f t="shared" si="591"/>
        <v>0</v>
      </c>
      <c r="KP866" s="19" t="str">
        <f t="shared" si="592"/>
        <v/>
      </c>
      <c r="KQ866" s="11" t="str">
        <f t="shared" si="593"/>
        <v>No marker score</v>
      </c>
      <c r="KR866" s="11" t="str">
        <f t="shared" si="594"/>
        <v>No marker score</v>
      </c>
      <c r="KS866" s="11" t="str">
        <f t="shared" si="595"/>
        <v>No marker score</v>
      </c>
      <c r="KT866" s="11">
        <f t="shared" si="596"/>
        <v>0</v>
      </c>
      <c r="KU866" s="11" t="str">
        <f t="shared" si="597"/>
        <v>Intensive advocacy</v>
      </c>
      <c r="KV866" s="11">
        <f t="shared" si="598"/>
        <v>0</v>
      </c>
      <c r="KW866" s="11" t="str">
        <f t="shared" si="599"/>
        <v>United States of America - Uganda Refugee Solidarity Summit_CARE USA</v>
      </c>
      <c r="KX866" s="11" t="str">
        <f t="shared" si="600"/>
        <v>Uganda Refugee Solidarity Summit_CARE USA</v>
      </c>
      <c r="KY866" s="11" t="str">
        <f t="shared" si="601"/>
        <v>United States of America</v>
      </c>
      <c r="KZ866" s="12">
        <v>867</v>
      </c>
    </row>
    <row r="867" spans="1:312" x14ac:dyDescent="0.3">
      <c r="A867" s="12" t="s">
        <v>12969</v>
      </c>
      <c r="B867" s="12" t="s">
        <v>12970</v>
      </c>
      <c r="C867" s="12"/>
      <c r="D867" s="12" t="s">
        <v>13201</v>
      </c>
      <c r="E867" s="277" t="str">
        <f t="shared" si="559"/>
        <v>United States of America</v>
      </c>
      <c r="F867" s="12"/>
      <c r="G867" s="12" t="s">
        <v>379</v>
      </c>
      <c r="H867" s="12"/>
      <c r="I867" s="12"/>
      <c r="J867" s="281"/>
      <c r="K867" s="12"/>
      <c r="L867" s="12"/>
      <c r="M867" s="12"/>
      <c r="N867" s="12"/>
      <c r="O867" s="12"/>
      <c r="P867" s="12"/>
      <c r="Q867" s="12"/>
      <c r="R867" s="12"/>
      <c r="S867" s="12"/>
      <c r="T867" s="12"/>
      <c r="U867" s="12"/>
      <c r="V867" s="12"/>
      <c r="W867" s="12"/>
      <c r="X867" s="12"/>
      <c r="Y867" s="12"/>
      <c r="Z867" s="12"/>
      <c r="AA867" s="12"/>
      <c r="AB867" s="12"/>
      <c r="AC867" s="12"/>
      <c r="AD867" s="12"/>
      <c r="BD867" s="13">
        <v>42583</v>
      </c>
      <c r="BE867" s="13">
        <v>42821</v>
      </c>
      <c r="BF867" s="12"/>
      <c r="BG867" s="12" t="s">
        <v>350</v>
      </c>
      <c r="BH867" s="14"/>
      <c r="BI867" s="12" t="s">
        <v>12972</v>
      </c>
      <c r="BJ867" s="12" t="s">
        <v>12973</v>
      </c>
      <c r="BK867" s="12" t="s">
        <v>12974</v>
      </c>
      <c r="BL867" s="12" t="s">
        <v>13202</v>
      </c>
      <c r="BM867" s="12" t="s">
        <v>13203</v>
      </c>
      <c r="BN867" s="12" t="s">
        <v>13204</v>
      </c>
      <c r="BO867" s="12" t="s">
        <v>320</v>
      </c>
      <c r="BP867" s="12" t="s">
        <v>320</v>
      </c>
      <c r="BQ867" s="12" t="s">
        <v>320</v>
      </c>
      <c r="BR867" s="12" t="s">
        <v>13205</v>
      </c>
      <c r="BS867" s="12" t="s">
        <v>849</v>
      </c>
      <c r="BT867" s="12"/>
      <c r="BU867" s="12" t="s">
        <v>12075</v>
      </c>
      <c r="BV867" s="14"/>
      <c r="BW867" s="14"/>
      <c r="BX867" s="14"/>
      <c r="BY867" s="14"/>
      <c r="BZ867" s="14"/>
      <c r="CA867" s="14"/>
      <c r="CB867" s="12" t="s">
        <v>13060</v>
      </c>
      <c r="CD867" s="14"/>
      <c r="CE867" s="14"/>
      <c r="CF867" s="14"/>
      <c r="CG867" s="14"/>
      <c r="CH867" s="14"/>
      <c r="CI867" s="14"/>
      <c r="CJ867" s="12"/>
      <c r="CK867" s="14"/>
      <c r="CL867" s="16"/>
      <c r="CM867" s="14"/>
      <c r="CN867" s="12"/>
      <c r="CO867" s="14"/>
      <c r="CP867" s="16"/>
      <c r="CQ867" s="14"/>
      <c r="CR867" s="12"/>
      <c r="CS867" s="14"/>
      <c r="CT867" s="16"/>
      <c r="CU867" s="14"/>
      <c r="CV867" s="12"/>
      <c r="CW867" s="14"/>
      <c r="CX867" s="16"/>
      <c r="CY867" s="14"/>
      <c r="CZ867" s="12"/>
      <c r="DA867" s="14"/>
      <c r="DB867" s="16"/>
      <c r="DC867" s="14"/>
      <c r="DD867" s="12"/>
      <c r="DE867" s="14"/>
      <c r="DF867" s="16"/>
      <c r="DG867" s="14"/>
      <c r="DH867" s="12"/>
      <c r="DI867" s="14"/>
      <c r="DJ867" s="16"/>
      <c r="DK867" s="14"/>
      <c r="DL867" s="12"/>
      <c r="DM867" s="14"/>
      <c r="DN867" s="16"/>
      <c r="DO867" s="14"/>
      <c r="DP867" s="12"/>
      <c r="DQ867" s="14"/>
      <c r="DR867" s="16"/>
      <c r="DS867" s="14"/>
      <c r="DT867" s="12"/>
      <c r="DU867" s="14"/>
      <c r="DV867" s="16"/>
      <c r="DW867" s="14"/>
      <c r="DX867" s="12"/>
      <c r="DY867" s="14"/>
      <c r="DZ867" s="16"/>
      <c r="EA867" s="14"/>
      <c r="EB867" s="12"/>
      <c r="EC867" s="14"/>
      <c r="ED867" s="16"/>
      <c r="EE867" s="14"/>
      <c r="EF867" s="12"/>
      <c r="EG867" s="12"/>
      <c r="EH867" s="14"/>
      <c r="EI867" s="16"/>
      <c r="EJ867" s="14"/>
      <c r="EK867" s="14"/>
      <c r="EL867" s="14"/>
      <c r="EM867" s="14"/>
      <c r="EN867" s="14"/>
      <c r="EO867" s="14"/>
      <c r="EP867" s="14"/>
      <c r="EQ867" s="12" t="s">
        <v>319</v>
      </c>
      <c r="ER867" s="14"/>
      <c r="ES867" s="16"/>
      <c r="ET867" s="14"/>
      <c r="EU867" s="11" t="s">
        <v>319</v>
      </c>
      <c r="EV867" s="14"/>
      <c r="EW867" s="16"/>
      <c r="EX867" s="14"/>
      <c r="EY867" s="12" t="s">
        <v>319</v>
      </c>
      <c r="EZ867" s="14"/>
      <c r="FA867" s="16"/>
      <c r="FB867" s="14"/>
      <c r="FC867" s="12" t="s">
        <v>319</v>
      </c>
      <c r="FD867" s="14"/>
      <c r="FE867" s="16"/>
      <c r="FF867" s="14"/>
      <c r="FG867" s="12" t="s">
        <v>319</v>
      </c>
      <c r="FH867" s="14"/>
      <c r="FI867" s="16"/>
      <c r="FJ867" s="14"/>
      <c r="FK867" s="12" t="s">
        <v>319</v>
      </c>
      <c r="FL867" s="14"/>
      <c r="FM867" s="16"/>
      <c r="FN867" s="14"/>
      <c r="FO867" s="12" t="s">
        <v>319</v>
      </c>
      <c r="FP867" s="14"/>
      <c r="FQ867" s="16"/>
      <c r="FR867" s="14"/>
      <c r="FS867" s="12" t="s">
        <v>319</v>
      </c>
      <c r="FT867" s="14"/>
      <c r="FU867" s="16"/>
      <c r="FV867" s="14"/>
      <c r="FW867" s="12" t="s">
        <v>320</v>
      </c>
      <c r="FX867" s="14"/>
      <c r="FY867" s="16"/>
      <c r="FZ867" s="14"/>
      <c r="GA867" s="12" t="s">
        <v>319</v>
      </c>
      <c r="GB867" s="14"/>
      <c r="GC867" s="16"/>
      <c r="GD867" s="14"/>
      <c r="GE867" s="12" t="s">
        <v>319</v>
      </c>
      <c r="GF867" s="14"/>
      <c r="GG867" s="16"/>
      <c r="GH867" s="14"/>
      <c r="GI867" s="12" t="s">
        <v>319</v>
      </c>
      <c r="GJ867" s="14"/>
      <c r="GK867" s="16"/>
      <c r="GL867" s="14"/>
      <c r="GM867" s="12" t="s">
        <v>319</v>
      </c>
      <c r="GN867" s="14"/>
      <c r="GO867" s="16"/>
      <c r="GP867" s="14"/>
      <c r="GQ867" s="12" t="s">
        <v>319</v>
      </c>
      <c r="GR867" s="14"/>
      <c r="GS867" s="16"/>
      <c r="GT867" s="14"/>
      <c r="GU867" s="12" t="s">
        <v>319</v>
      </c>
      <c r="GV867" s="14"/>
      <c r="GW867" s="16"/>
      <c r="GX867" s="14"/>
      <c r="GY867" s="12" t="s">
        <v>320</v>
      </c>
      <c r="GZ867" s="14"/>
      <c r="HA867" s="16"/>
      <c r="HB867" s="14"/>
      <c r="HC867" s="12"/>
      <c r="HD867" s="12"/>
      <c r="HE867" s="14"/>
      <c r="HF867" s="16"/>
      <c r="HG867" s="14"/>
      <c r="HH867" s="12" t="s">
        <v>319</v>
      </c>
      <c r="HI867" s="12"/>
      <c r="HJ867" s="12"/>
      <c r="HK867" s="12" t="s">
        <v>319</v>
      </c>
      <c r="HL867" s="12" t="s">
        <v>319</v>
      </c>
      <c r="HM867" s="12"/>
      <c r="HN867" s="12"/>
      <c r="HO867" s="12"/>
      <c r="HP867" s="12" t="s">
        <v>453</v>
      </c>
      <c r="HQ867" s="12" t="s">
        <v>319</v>
      </c>
      <c r="HR867" s="12" t="s">
        <v>319</v>
      </c>
      <c r="HS867" s="12" t="s">
        <v>319</v>
      </c>
      <c r="HT867" s="12" t="s">
        <v>319</v>
      </c>
      <c r="HU867" s="12" t="s">
        <v>319</v>
      </c>
      <c r="HV867" s="12" t="s">
        <v>320</v>
      </c>
      <c r="HW867" s="12" t="s">
        <v>319</v>
      </c>
      <c r="HX867" s="12" t="s">
        <v>319</v>
      </c>
      <c r="HY867" s="12"/>
      <c r="HZ867" s="12"/>
      <c r="IA867" s="12"/>
      <c r="IB867" s="12"/>
      <c r="IC867" s="12" t="s">
        <v>13206</v>
      </c>
      <c r="ID867" s="12" t="s">
        <v>334</v>
      </c>
      <c r="IE867" s="12"/>
      <c r="IF867" s="12"/>
      <c r="IG867" s="12"/>
      <c r="IH867" s="12"/>
      <c r="II867" s="12"/>
      <c r="IJ867" s="12" t="str">
        <f t="shared" si="560"/>
        <v>No marker score</v>
      </c>
      <c r="IK867" s="12">
        <f t="shared" si="561"/>
        <v>0</v>
      </c>
      <c r="IL867" s="12"/>
      <c r="IM867" s="12"/>
      <c r="IN867" s="12"/>
      <c r="IO867" s="12"/>
      <c r="IP867" s="12"/>
      <c r="IQ867" s="12" t="str">
        <f t="shared" si="562"/>
        <v>No marker score</v>
      </c>
      <c r="IR867" s="12">
        <f t="shared" si="563"/>
        <v>0</v>
      </c>
      <c r="IS867" s="12"/>
      <c r="IT867" s="12"/>
      <c r="IU867" s="12"/>
      <c r="IV867" s="12"/>
      <c r="IW867" s="11" t="str">
        <f t="shared" si="564"/>
        <v>No marker score</v>
      </c>
      <c r="IX867" s="12">
        <f t="shared" si="565"/>
        <v>0</v>
      </c>
      <c r="IY867" s="12"/>
      <c r="IZ867" s="12" t="s">
        <v>527</v>
      </c>
      <c r="JA867" s="12"/>
      <c r="JB867" s="12" t="s">
        <v>624</v>
      </c>
      <c r="JC867" s="12" t="s">
        <v>831</v>
      </c>
      <c r="JD867" s="12" t="s">
        <v>623</v>
      </c>
      <c r="JE867" s="12" t="s">
        <v>365</v>
      </c>
      <c r="JF867" s="12" t="s">
        <v>13207</v>
      </c>
      <c r="JG867" s="12"/>
      <c r="JH867" s="12"/>
      <c r="JI867" s="12"/>
      <c r="JJ867" s="12"/>
      <c r="JK867" s="12" t="s">
        <v>13208</v>
      </c>
      <c r="JL867" s="12" t="s">
        <v>13209</v>
      </c>
      <c r="JM867" s="12" t="s">
        <v>13210</v>
      </c>
      <c r="JN867" s="12"/>
      <c r="JO867" s="12"/>
      <c r="JP867" s="15">
        <f t="shared" si="566"/>
        <v>0</v>
      </c>
      <c r="JQ867" s="15">
        <f t="shared" si="567"/>
        <v>0</v>
      </c>
      <c r="JR867" s="279" t="str">
        <f t="shared" si="568"/>
        <v/>
      </c>
      <c r="JS867" s="17" t="str">
        <f t="shared" si="569"/>
        <v/>
      </c>
      <c r="JT867" s="18" t="str">
        <f t="shared" si="570"/>
        <v/>
      </c>
      <c r="JU867" s="280">
        <f t="shared" si="571"/>
        <v>0</v>
      </c>
      <c r="JV867" s="280">
        <f t="shared" si="572"/>
        <v>0</v>
      </c>
      <c r="JW867" s="319">
        <f t="shared" si="573"/>
        <v>1</v>
      </c>
      <c r="JX867" s="15">
        <f t="shared" si="574"/>
        <v>0</v>
      </c>
      <c r="JY867" s="15">
        <f t="shared" si="575"/>
        <v>0</v>
      </c>
      <c r="JZ867" s="19" t="str">
        <f t="shared" si="576"/>
        <v/>
      </c>
      <c r="KA867" s="52" t="str">
        <f t="shared" si="577"/>
        <v/>
      </c>
      <c r="KB867" s="15">
        <f t="shared" si="578"/>
        <v>0</v>
      </c>
      <c r="KC867" s="15">
        <f t="shared" si="579"/>
        <v>0</v>
      </c>
      <c r="KD867" s="20" t="str">
        <f t="shared" si="580"/>
        <v/>
      </c>
      <c r="KE867" s="52" t="str">
        <f t="shared" si="581"/>
        <v/>
      </c>
      <c r="KF867" s="15">
        <f t="shared" si="582"/>
        <v>0</v>
      </c>
      <c r="KG867" s="15">
        <f t="shared" si="583"/>
        <v>0</v>
      </c>
      <c r="KH867" s="21" t="str">
        <f t="shared" si="584"/>
        <v/>
      </c>
      <c r="KI867" s="52" t="str">
        <f t="shared" si="585"/>
        <v/>
      </c>
      <c r="KJ867" s="15">
        <f t="shared" si="586"/>
        <v>0</v>
      </c>
      <c r="KK867" s="15">
        <f t="shared" si="587"/>
        <v>0</v>
      </c>
      <c r="KL867" s="19" t="str">
        <f t="shared" si="588"/>
        <v/>
      </c>
      <c r="KM867" s="52">
        <f t="shared" si="589"/>
        <v>1</v>
      </c>
      <c r="KN867" s="22">
        <f t="shared" si="590"/>
        <v>0</v>
      </c>
      <c r="KO867" s="22">
        <f t="shared" si="591"/>
        <v>0</v>
      </c>
      <c r="KP867" s="19" t="str">
        <f t="shared" si="592"/>
        <v/>
      </c>
      <c r="KQ867" s="11" t="str">
        <f t="shared" si="593"/>
        <v>No marker score</v>
      </c>
      <c r="KR867" s="11" t="str">
        <f t="shared" si="594"/>
        <v>No marker score</v>
      </c>
      <c r="KS867" s="11" t="str">
        <f t="shared" si="595"/>
        <v>No marker score</v>
      </c>
      <c r="KT867" s="11">
        <f t="shared" si="596"/>
        <v>0</v>
      </c>
      <c r="KU867" s="11" t="str">
        <f t="shared" si="597"/>
        <v>Intensive advocacy</v>
      </c>
      <c r="KV867" s="11">
        <f t="shared" si="598"/>
        <v>0</v>
      </c>
      <c r="KW867" s="11" t="str">
        <f t="shared" si="599"/>
        <v>United States of America - UN Commission on the Status of Women_CARE USA</v>
      </c>
      <c r="KX867" s="11" t="str">
        <f t="shared" si="600"/>
        <v>UN Commission on the Status of Women_CARE USA</v>
      </c>
      <c r="KY867" s="11" t="str">
        <f t="shared" si="601"/>
        <v>United States of America</v>
      </c>
      <c r="KZ867" s="12">
        <v>868</v>
      </c>
    </row>
    <row r="868" spans="1:312" x14ac:dyDescent="0.3">
      <c r="A868" s="12" t="s">
        <v>12969</v>
      </c>
      <c r="B868" s="12" t="s">
        <v>12970</v>
      </c>
      <c r="C868" s="12"/>
      <c r="D868" s="12" t="s">
        <v>13211</v>
      </c>
      <c r="E868" s="24" t="str">
        <f t="shared" si="559"/>
        <v>United States of America</v>
      </c>
      <c r="F868" s="12"/>
      <c r="G868" s="12" t="s">
        <v>379</v>
      </c>
      <c r="H868" s="12"/>
      <c r="I868" s="12"/>
      <c r="J868" s="281"/>
      <c r="K868" s="12"/>
      <c r="L868" s="12"/>
      <c r="M868" s="12"/>
      <c r="N868" s="12"/>
      <c r="O868" s="12"/>
      <c r="P868" s="12"/>
      <c r="Q868" s="12"/>
      <c r="R868" s="12"/>
      <c r="S868" s="12"/>
      <c r="T868" s="12"/>
      <c r="U868" s="12"/>
      <c r="V868" s="12"/>
      <c r="W868" s="12"/>
      <c r="X868" s="12"/>
      <c r="Y868" s="12"/>
      <c r="Z868" s="12"/>
      <c r="AA868" s="12"/>
      <c r="AB868" s="12"/>
      <c r="AC868" s="12"/>
      <c r="AD868" s="12"/>
      <c r="BD868" s="13">
        <v>42567</v>
      </c>
      <c r="BE868" s="13">
        <v>42690</v>
      </c>
      <c r="BF868" s="12"/>
      <c r="BG868" s="12" t="s">
        <v>609</v>
      </c>
      <c r="BH868" s="14"/>
      <c r="BI868" s="12" t="s">
        <v>12972</v>
      </c>
      <c r="BJ868" s="12" t="s">
        <v>12973</v>
      </c>
      <c r="BK868" s="12" t="s">
        <v>12974</v>
      </c>
      <c r="BL868" s="12" t="s">
        <v>13202</v>
      </c>
      <c r="BM868" s="12" t="s">
        <v>13203</v>
      </c>
      <c r="BN868" s="12" t="s">
        <v>13204</v>
      </c>
      <c r="BO868" s="12" t="s">
        <v>320</v>
      </c>
      <c r="BP868" s="12" t="s">
        <v>320</v>
      </c>
      <c r="BQ868" s="12" t="s">
        <v>320</v>
      </c>
      <c r="BR868" s="12" t="s">
        <v>13212</v>
      </c>
      <c r="BS868" s="12" t="s">
        <v>849</v>
      </c>
      <c r="BT868" s="12"/>
      <c r="BU868" s="12" t="s">
        <v>8939</v>
      </c>
      <c r="BV868" s="14"/>
      <c r="BW868" s="14"/>
      <c r="BX868" s="14"/>
      <c r="BY868" s="14"/>
      <c r="BZ868" s="14"/>
      <c r="CA868" s="14"/>
      <c r="CB868" s="12" t="s">
        <v>13213</v>
      </c>
      <c r="CD868" s="14"/>
      <c r="CE868" s="14"/>
      <c r="CF868" s="14"/>
      <c r="CG868" s="14"/>
      <c r="CH868" s="14"/>
      <c r="CI868" s="14"/>
      <c r="CJ868" s="12"/>
      <c r="CK868" s="14"/>
      <c r="CL868" s="16"/>
      <c r="CM868" s="14"/>
      <c r="CN868" s="12"/>
      <c r="CO868" s="14"/>
      <c r="CP868" s="16"/>
      <c r="CQ868" s="14"/>
      <c r="CR868" s="12"/>
      <c r="CS868" s="14"/>
      <c r="CT868" s="16"/>
      <c r="CU868" s="14"/>
      <c r="CV868" s="12"/>
      <c r="CW868" s="14"/>
      <c r="CX868" s="16"/>
      <c r="CY868" s="14"/>
      <c r="CZ868" s="12"/>
      <c r="DA868" s="14"/>
      <c r="DB868" s="16"/>
      <c r="DC868" s="14"/>
      <c r="DD868" s="12"/>
      <c r="DE868" s="14"/>
      <c r="DF868" s="16"/>
      <c r="DG868" s="14"/>
      <c r="DH868" s="12"/>
      <c r="DI868" s="14"/>
      <c r="DJ868" s="16"/>
      <c r="DK868" s="14"/>
      <c r="DL868" s="12"/>
      <c r="DM868" s="14"/>
      <c r="DN868" s="16"/>
      <c r="DO868" s="14"/>
      <c r="DP868" s="12"/>
      <c r="DQ868" s="14"/>
      <c r="DR868" s="16"/>
      <c r="DS868" s="14"/>
      <c r="DT868" s="12"/>
      <c r="DU868" s="14"/>
      <c r="DV868" s="16"/>
      <c r="DW868" s="14"/>
      <c r="DX868" s="12"/>
      <c r="DY868" s="14"/>
      <c r="DZ868" s="16"/>
      <c r="EA868" s="14"/>
      <c r="EB868" s="12"/>
      <c r="EC868" s="14"/>
      <c r="ED868" s="16"/>
      <c r="EE868" s="14"/>
      <c r="EF868" s="12"/>
      <c r="EG868" s="12"/>
      <c r="EH868" s="14"/>
      <c r="EI868" s="16"/>
      <c r="EJ868" s="14"/>
      <c r="EK868" s="14"/>
      <c r="EL868" s="14"/>
      <c r="EM868" s="14"/>
      <c r="EN868" s="14"/>
      <c r="EO868" s="14"/>
      <c r="EP868" s="14"/>
      <c r="EQ868" s="12" t="s">
        <v>319</v>
      </c>
      <c r="ER868" s="14"/>
      <c r="ES868" s="16"/>
      <c r="ET868" s="14"/>
      <c r="EU868" s="11" t="s">
        <v>319</v>
      </c>
      <c r="EV868" s="14"/>
      <c r="EW868" s="16"/>
      <c r="EX868" s="14"/>
      <c r="EY868" s="12" t="s">
        <v>319</v>
      </c>
      <c r="EZ868" s="14"/>
      <c r="FA868" s="16"/>
      <c r="FB868" s="14"/>
      <c r="FC868" s="12" t="s">
        <v>319</v>
      </c>
      <c r="FD868" s="14"/>
      <c r="FE868" s="16"/>
      <c r="FF868" s="14"/>
      <c r="FG868" s="12" t="s">
        <v>319</v>
      </c>
      <c r="FH868" s="14"/>
      <c r="FI868" s="16"/>
      <c r="FJ868" s="14"/>
      <c r="FK868" s="12" t="s">
        <v>319</v>
      </c>
      <c r="FL868" s="14"/>
      <c r="FM868" s="16"/>
      <c r="FN868" s="14"/>
      <c r="FO868" s="12" t="s">
        <v>319</v>
      </c>
      <c r="FP868" s="14"/>
      <c r="FQ868" s="16"/>
      <c r="FR868" s="14"/>
      <c r="FS868" s="12" t="s">
        <v>320</v>
      </c>
      <c r="FT868" s="14"/>
      <c r="FU868" s="16"/>
      <c r="FV868" s="14"/>
      <c r="FW868" s="12" t="s">
        <v>320</v>
      </c>
      <c r="FX868" s="14"/>
      <c r="FY868" s="16"/>
      <c r="FZ868" s="14"/>
      <c r="GA868" s="12" t="s">
        <v>319</v>
      </c>
      <c r="GB868" s="14"/>
      <c r="GC868" s="16"/>
      <c r="GD868" s="14"/>
      <c r="GE868" s="12" t="s">
        <v>319</v>
      </c>
      <c r="GF868" s="14"/>
      <c r="GG868" s="16"/>
      <c r="GH868" s="14"/>
      <c r="GI868" s="12" t="s">
        <v>319</v>
      </c>
      <c r="GJ868" s="14"/>
      <c r="GK868" s="16"/>
      <c r="GL868" s="14"/>
      <c r="GM868" s="12" t="s">
        <v>319</v>
      </c>
      <c r="GN868" s="14"/>
      <c r="GO868" s="16"/>
      <c r="GP868" s="14"/>
      <c r="GQ868" s="12" t="s">
        <v>319</v>
      </c>
      <c r="GR868" s="14"/>
      <c r="GS868" s="16"/>
      <c r="GT868" s="14"/>
      <c r="GU868" s="12" t="s">
        <v>319</v>
      </c>
      <c r="GV868" s="14"/>
      <c r="GW868" s="16"/>
      <c r="GX868" s="14"/>
      <c r="GY868" s="12" t="s">
        <v>320</v>
      </c>
      <c r="GZ868" s="14"/>
      <c r="HA868" s="16"/>
      <c r="HB868" s="14"/>
      <c r="HC868" s="12"/>
      <c r="HD868" s="12"/>
      <c r="HE868" s="14"/>
      <c r="HF868" s="16"/>
      <c r="HG868" s="14"/>
      <c r="HH868" s="12" t="s">
        <v>319</v>
      </c>
      <c r="HI868" s="12"/>
      <c r="HJ868" s="12"/>
      <c r="HK868" s="12" t="s">
        <v>319</v>
      </c>
      <c r="HL868" s="12" t="s">
        <v>319</v>
      </c>
      <c r="HM868" s="12"/>
      <c r="HN868" s="12"/>
      <c r="HO868" s="12"/>
      <c r="HP868" s="12" t="s">
        <v>453</v>
      </c>
      <c r="HQ868" s="12" t="s">
        <v>320</v>
      </c>
      <c r="HR868" s="12" t="s">
        <v>319</v>
      </c>
      <c r="HS868" s="12" t="s">
        <v>319</v>
      </c>
      <c r="HT868" s="12" t="s">
        <v>319</v>
      </c>
      <c r="HU868" s="12" t="s">
        <v>319</v>
      </c>
      <c r="HV868" s="12" t="s">
        <v>319</v>
      </c>
      <c r="HW868" s="12" t="s">
        <v>319</v>
      </c>
      <c r="HX868" s="12" t="s">
        <v>319</v>
      </c>
      <c r="HY868" s="12"/>
      <c r="HZ868" s="12"/>
      <c r="IA868" s="12"/>
      <c r="IB868" s="12"/>
      <c r="IC868" s="12"/>
      <c r="ID868" s="12" t="s">
        <v>477</v>
      </c>
      <c r="IE868" s="12"/>
      <c r="IF868" s="12"/>
      <c r="IG868" s="12"/>
      <c r="IH868" s="12"/>
      <c r="II868" s="12"/>
      <c r="IJ868" s="12" t="str">
        <f t="shared" si="560"/>
        <v>No marker score</v>
      </c>
      <c r="IK868" s="12">
        <f t="shared" si="561"/>
        <v>0</v>
      </c>
      <c r="IL868" s="12"/>
      <c r="IM868" s="12"/>
      <c r="IN868" s="12"/>
      <c r="IO868" s="12"/>
      <c r="IP868" s="12"/>
      <c r="IQ868" s="12" t="str">
        <f t="shared" si="562"/>
        <v>No marker score</v>
      </c>
      <c r="IR868" s="12">
        <f t="shared" si="563"/>
        <v>0</v>
      </c>
      <c r="IS868" s="12"/>
      <c r="IT868" s="12"/>
      <c r="IU868" s="12"/>
      <c r="IV868" s="12"/>
      <c r="IW868" s="11" t="str">
        <f t="shared" si="564"/>
        <v>No marker score</v>
      </c>
      <c r="IX868" s="12">
        <f t="shared" si="565"/>
        <v>0</v>
      </c>
      <c r="IY868" s="12"/>
      <c r="IZ868" s="12" t="s">
        <v>527</v>
      </c>
      <c r="JA868" s="12"/>
      <c r="JB868" s="12" t="s">
        <v>831</v>
      </c>
      <c r="JC868" s="12" t="s">
        <v>623</v>
      </c>
      <c r="JD868" s="12" t="s">
        <v>687</v>
      </c>
      <c r="JE868" s="12"/>
      <c r="JF868" s="12"/>
      <c r="JG868" s="12" t="s">
        <v>13214</v>
      </c>
      <c r="JH868" s="12"/>
      <c r="JI868" s="12"/>
      <c r="JJ868" s="12"/>
      <c r="JK868" s="12" t="s">
        <v>13215</v>
      </c>
      <c r="JL868" s="12" t="s">
        <v>13216</v>
      </c>
      <c r="JM868" s="12" t="s">
        <v>13217</v>
      </c>
      <c r="JN868" s="12" t="s">
        <v>13218</v>
      </c>
      <c r="JO868" s="12"/>
      <c r="JP868" s="15">
        <f t="shared" si="566"/>
        <v>0</v>
      </c>
      <c r="JQ868" s="15">
        <f t="shared" si="567"/>
        <v>0</v>
      </c>
      <c r="JR868" s="279" t="str">
        <f t="shared" si="568"/>
        <v/>
      </c>
      <c r="JS868" s="17" t="str">
        <f t="shared" si="569"/>
        <v/>
      </c>
      <c r="JT868" s="18" t="str">
        <f t="shared" si="570"/>
        <v/>
      </c>
      <c r="JU868" s="280">
        <f t="shared" si="571"/>
        <v>0</v>
      </c>
      <c r="JV868" s="280">
        <f t="shared" si="572"/>
        <v>0</v>
      </c>
      <c r="JW868" s="319">
        <f t="shared" si="573"/>
        <v>1</v>
      </c>
      <c r="JX868" s="15">
        <f t="shared" si="574"/>
        <v>0</v>
      </c>
      <c r="JY868" s="15">
        <f t="shared" si="575"/>
        <v>0</v>
      </c>
      <c r="JZ868" s="19" t="str">
        <f t="shared" si="576"/>
        <v/>
      </c>
      <c r="KA868" s="52" t="str">
        <f t="shared" si="577"/>
        <v/>
      </c>
      <c r="KB868" s="15">
        <f t="shared" si="578"/>
        <v>0</v>
      </c>
      <c r="KC868" s="15">
        <f t="shared" si="579"/>
        <v>0</v>
      </c>
      <c r="KD868" s="20" t="str">
        <f t="shared" si="580"/>
        <v/>
      </c>
      <c r="KE868" s="52" t="str">
        <f t="shared" si="581"/>
        <v/>
      </c>
      <c r="KF868" s="15">
        <f t="shared" si="582"/>
        <v>0</v>
      </c>
      <c r="KG868" s="15">
        <f t="shared" si="583"/>
        <v>0</v>
      </c>
      <c r="KH868" s="21" t="str">
        <f t="shared" si="584"/>
        <v/>
      </c>
      <c r="KI868" s="52">
        <f t="shared" si="585"/>
        <v>1</v>
      </c>
      <c r="KJ868" s="15">
        <f t="shared" si="586"/>
        <v>0</v>
      </c>
      <c r="KK868" s="15">
        <f t="shared" si="587"/>
        <v>0</v>
      </c>
      <c r="KL868" s="19" t="str">
        <f t="shared" si="588"/>
        <v/>
      </c>
      <c r="KM868" s="52">
        <f t="shared" si="589"/>
        <v>1</v>
      </c>
      <c r="KN868" s="22">
        <f t="shared" si="590"/>
        <v>0</v>
      </c>
      <c r="KO868" s="22">
        <f t="shared" si="591"/>
        <v>0</v>
      </c>
      <c r="KP868" s="19" t="str">
        <f t="shared" si="592"/>
        <v/>
      </c>
      <c r="KQ868" s="11" t="str">
        <f t="shared" si="593"/>
        <v>No marker score</v>
      </c>
      <c r="KR868" s="11" t="str">
        <f t="shared" si="594"/>
        <v>No marker score</v>
      </c>
      <c r="KS868" s="11" t="str">
        <f t="shared" si="595"/>
        <v>No marker score</v>
      </c>
      <c r="KT868" s="11">
        <f t="shared" si="596"/>
        <v>0</v>
      </c>
      <c r="KU868" s="11" t="str">
        <f t="shared" si="597"/>
        <v>Intensive advocacy</v>
      </c>
      <c r="KV868" s="11">
        <f t="shared" si="598"/>
        <v>0</v>
      </c>
      <c r="KW868" s="11" t="str">
        <f t="shared" si="599"/>
        <v>United States of America - UN General Assembly Resolution on child marriage</v>
      </c>
      <c r="KX868" s="11" t="str">
        <f t="shared" si="600"/>
        <v>UN General Assembly Resolution on child marriage</v>
      </c>
      <c r="KY868" s="11" t="str">
        <f t="shared" si="601"/>
        <v>United States of America</v>
      </c>
      <c r="KZ868" s="12">
        <v>869</v>
      </c>
    </row>
    <row r="869" spans="1:312" x14ac:dyDescent="0.3">
      <c r="A869" s="12" t="s">
        <v>12969</v>
      </c>
      <c r="B869" s="12" t="s">
        <v>12970</v>
      </c>
      <c r="C869" s="12"/>
      <c r="D869" s="12" t="s">
        <v>13219</v>
      </c>
      <c r="E869" s="277" t="str">
        <f t="shared" si="559"/>
        <v>United States of America</v>
      </c>
      <c r="F869" s="12"/>
      <c r="G869" s="12" t="s">
        <v>379</v>
      </c>
      <c r="H869" s="12"/>
      <c r="I869" s="12"/>
      <c r="J869" s="281"/>
      <c r="K869" s="12"/>
      <c r="L869" s="12"/>
      <c r="M869" s="12"/>
      <c r="N869" s="12"/>
      <c r="O869" s="12"/>
      <c r="P869" s="12"/>
      <c r="Q869" s="12"/>
      <c r="R869" s="12"/>
      <c r="S869" s="12"/>
      <c r="T869" s="12"/>
      <c r="U869" s="12"/>
      <c r="V869" s="12"/>
      <c r="W869" s="12"/>
      <c r="X869" s="12"/>
      <c r="Y869" s="12"/>
      <c r="Z869" s="12"/>
      <c r="AA869" s="12"/>
      <c r="AB869" s="12"/>
      <c r="AC869" s="12"/>
      <c r="AD869" s="12"/>
      <c r="BD869" s="13">
        <v>42370</v>
      </c>
      <c r="BE869" s="13">
        <v>42643</v>
      </c>
      <c r="BF869" s="12"/>
      <c r="BG869" s="12" t="s">
        <v>350</v>
      </c>
      <c r="BH869" s="14"/>
      <c r="BI869" s="12" t="s">
        <v>12972</v>
      </c>
      <c r="BJ869" s="12" t="s">
        <v>12973</v>
      </c>
      <c r="BK869" s="12" t="s">
        <v>12974</v>
      </c>
      <c r="BL869" s="12" t="s">
        <v>13055</v>
      </c>
      <c r="BM869" s="12" t="s">
        <v>13056</v>
      </c>
      <c r="BN869" s="12" t="s">
        <v>13057</v>
      </c>
      <c r="BO869" s="12" t="s">
        <v>319</v>
      </c>
      <c r="BP869" s="12" t="s">
        <v>320</v>
      </c>
      <c r="BQ869" s="12" t="s">
        <v>319</v>
      </c>
      <c r="BR869" s="12" t="s">
        <v>13220</v>
      </c>
      <c r="BS869" s="12" t="s">
        <v>849</v>
      </c>
      <c r="BT869" s="12"/>
      <c r="BU869" s="12" t="s">
        <v>12075</v>
      </c>
      <c r="BV869" s="14"/>
      <c r="BW869" s="14"/>
      <c r="BX869" s="14"/>
      <c r="BY869" s="14"/>
      <c r="BZ869" s="14"/>
      <c r="CA869" s="14"/>
      <c r="CB869" s="12" t="s">
        <v>13060</v>
      </c>
      <c r="CD869" s="14"/>
      <c r="CE869" s="14"/>
      <c r="CF869" s="14"/>
      <c r="CG869" s="14"/>
      <c r="CH869" s="14"/>
      <c r="CI869" s="14"/>
      <c r="CJ869" s="12"/>
      <c r="CK869" s="14"/>
      <c r="CL869" s="16"/>
      <c r="CM869" s="14"/>
      <c r="CN869" s="12"/>
      <c r="CO869" s="14"/>
      <c r="CP869" s="16"/>
      <c r="CQ869" s="14"/>
      <c r="CR869" s="12"/>
      <c r="CS869" s="14"/>
      <c r="CT869" s="16"/>
      <c r="CU869" s="14"/>
      <c r="CV869" s="12"/>
      <c r="CW869" s="14"/>
      <c r="CX869" s="16"/>
      <c r="CY869" s="14"/>
      <c r="CZ869" s="12"/>
      <c r="DA869" s="14"/>
      <c r="DB869" s="16"/>
      <c r="DC869" s="14"/>
      <c r="DD869" s="12"/>
      <c r="DE869" s="14"/>
      <c r="DF869" s="16"/>
      <c r="DG869" s="14"/>
      <c r="DH869" s="12"/>
      <c r="DI869" s="14"/>
      <c r="DJ869" s="16"/>
      <c r="DK869" s="14"/>
      <c r="DL869" s="12"/>
      <c r="DM869" s="14"/>
      <c r="DN869" s="16"/>
      <c r="DO869" s="14"/>
      <c r="DP869" s="12"/>
      <c r="DQ869" s="14"/>
      <c r="DR869" s="16"/>
      <c r="DS869" s="14"/>
      <c r="DT869" s="12"/>
      <c r="DU869" s="14"/>
      <c r="DV869" s="16"/>
      <c r="DW869" s="14"/>
      <c r="DX869" s="12"/>
      <c r="DY869" s="14"/>
      <c r="DZ869" s="16"/>
      <c r="EA869" s="14"/>
      <c r="EB869" s="12"/>
      <c r="EC869" s="14"/>
      <c r="ED869" s="16"/>
      <c r="EE869" s="14"/>
      <c r="EF869" s="12"/>
      <c r="EG869" s="12"/>
      <c r="EH869" s="14"/>
      <c r="EI869" s="16"/>
      <c r="EJ869" s="14"/>
      <c r="EK869" s="14"/>
      <c r="EL869" s="14"/>
      <c r="EM869" s="14"/>
      <c r="EN869" s="14"/>
      <c r="EO869" s="14"/>
      <c r="EP869" s="14"/>
      <c r="EQ869" s="12" t="s">
        <v>319</v>
      </c>
      <c r="ER869" s="14"/>
      <c r="ES869" s="16"/>
      <c r="ET869" s="14"/>
      <c r="EU869" s="11" t="s">
        <v>319</v>
      </c>
      <c r="EV869" s="14"/>
      <c r="EW869" s="16"/>
      <c r="EX869" s="14"/>
      <c r="EY869" s="12" t="s">
        <v>319</v>
      </c>
      <c r="EZ869" s="14"/>
      <c r="FA869" s="16"/>
      <c r="FB869" s="14"/>
      <c r="FC869" s="12" t="s">
        <v>319</v>
      </c>
      <c r="FD869" s="14"/>
      <c r="FE869" s="16"/>
      <c r="FF869" s="14"/>
      <c r="FG869" s="12" t="s">
        <v>319</v>
      </c>
      <c r="FH869" s="14"/>
      <c r="FI869" s="16"/>
      <c r="FJ869" s="14"/>
      <c r="FK869" s="12" t="s">
        <v>319</v>
      </c>
      <c r="FL869" s="14"/>
      <c r="FM869" s="16"/>
      <c r="FN869" s="14"/>
      <c r="FO869" s="12" t="s">
        <v>319</v>
      </c>
      <c r="FP869" s="14"/>
      <c r="FQ869" s="16"/>
      <c r="FR869" s="14"/>
      <c r="FS869" s="12" t="s">
        <v>319</v>
      </c>
      <c r="FT869" s="14"/>
      <c r="FU869" s="16"/>
      <c r="FV869" s="14"/>
      <c r="FW869" s="12" t="s">
        <v>320</v>
      </c>
      <c r="FX869" s="14"/>
      <c r="FY869" s="16"/>
      <c r="FZ869" s="14"/>
      <c r="GA869" s="12" t="s">
        <v>319</v>
      </c>
      <c r="GB869" s="14"/>
      <c r="GC869" s="16"/>
      <c r="GD869" s="14"/>
      <c r="GE869" s="12" t="s">
        <v>319</v>
      </c>
      <c r="GF869" s="14"/>
      <c r="GG869" s="16"/>
      <c r="GH869" s="14"/>
      <c r="GI869" s="12" t="s">
        <v>319</v>
      </c>
      <c r="GJ869" s="14"/>
      <c r="GK869" s="16"/>
      <c r="GL869" s="14"/>
      <c r="GM869" s="12" t="s">
        <v>319</v>
      </c>
      <c r="GN869" s="14"/>
      <c r="GO869" s="16"/>
      <c r="GP869" s="14"/>
      <c r="GQ869" s="12" t="s">
        <v>319</v>
      </c>
      <c r="GR869" s="14"/>
      <c r="GS869" s="16"/>
      <c r="GT869" s="14"/>
      <c r="GU869" s="12" t="s">
        <v>319</v>
      </c>
      <c r="GV869" s="14"/>
      <c r="GW869" s="16"/>
      <c r="GX869" s="14"/>
      <c r="GY869" s="12" t="s">
        <v>320</v>
      </c>
      <c r="GZ869" s="14"/>
      <c r="HA869" s="16"/>
      <c r="HB869" s="14"/>
      <c r="HC869" s="12"/>
      <c r="HD869" s="12"/>
      <c r="HE869" s="14"/>
      <c r="HF869" s="16"/>
      <c r="HG869" s="14"/>
      <c r="HH869" s="12" t="s">
        <v>319</v>
      </c>
      <c r="HI869" s="12"/>
      <c r="HJ869" s="12"/>
      <c r="HK869" s="12" t="s">
        <v>319</v>
      </c>
      <c r="HL869" s="12" t="s">
        <v>319</v>
      </c>
      <c r="HM869" s="12"/>
      <c r="HN869" s="12"/>
      <c r="HO869" s="12"/>
      <c r="HP869" s="12" t="s">
        <v>453</v>
      </c>
      <c r="HQ869" s="12" t="s">
        <v>319</v>
      </c>
      <c r="HR869" s="12" t="s">
        <v>319</v>
      </c>
      <c r="HS869" s="12" t="s">
        <v>320</v>
      </c>
      <c r="HT869" s="12" t="s">
        <v>319</v>
      </c>
      <c r="HU869" s="12" t="s">
        <v>319</v>
      </c>
      <c r="HV869" s="12" t="s">
        <v>320</v>
      </c>
      <c r="HW869" s="12" t="s">
        <v>319</v>
      </c>
      <c r="HX869" s="12" t="s">
        <v>319</v>
      </c>
      <c r="HY869" s="12"/>
      <c r="HZ869" s="12"/>
      <c r="IA869" s="12"/>
      <c r="IB869" s="12"/>
      <c r="IC869" s="12"/>
      <c r="ID869" s="12"/>
      <c r="IE869" s="12"/>
      <c r="IF869" s="12"/>
      <c r="IG869" s="12"/>
      <c r="IH869" s="12"/>
      <c r="II869" s="12"/>
      <c r="IJ869" s="12" t="str">
        <f t="shared" si="560"/>
        <v>No marker score</v>
      </c>
      <c r="IK869" s="12">
        <f t="shared" si="561"/>
        <v>0</v>
      </c>
      <c r="IL869" s="12"/>
      <c r="IM869" s="12"/>
      <c r="IN869" s="12"/>
      <c r="IO869" s="12"/>
      <c r="IP869" s="12"/>
      <c r="IQ869" s="12" t="str">
        <f t="shared" si="562"/>
        <v>No marker score</v>
      </c>
      <c r="IR869" s="12">
        <f t="shared" si="563"/>
        <v>0</v>
      </c>
      <c r="IS869" s="12"/>
      <c r="IT869" s="12"/>
      <c r="IU869" s="12"/>
      <c r="IV869" s="12"/>
      <c r="IW869" s="11" t="str">
        <f t="shared" si="564"/>
        <v>No marker score</v>
      </c>
      <c r="IX869" s="12">
        <f t="shared" si="565"/>
        <v>0</v>
      </c>
      <c r="IY869" s="12"/>
      <c r="IZ869" s="12" t="s">
        <v>527</v>
      </c>
      <c r="JA869" s="12"/>
      <c r="JB869" s="12" t="s">
        <v>831</v>
      </c>
      <c r="JC869" s="12" t="s">
        <v>724</v>
      </c>
      <c r="JD869" s="12" t="s">
        <v>623</v>
      </c>
      <c r="JE869" s="12"/>
      <c r="JF869" s="12"/>
      <c r="JG869" s="12"/>
      <c r="JH869" s="12" t="s">
        <v>13221</v>
      </c>
      <c r="JI869" s="12" t="s">
        <v>13222</v>
      </c>
      <c r="JJ869" s="12"/>
      <c r="JK869" s="12" t="s">
        <v>13223</v>
      </c>
      <c r="JL869" s="12"/>
      <c r="JM869" s="12"/>
      <c r="JN869" s="12" t="s">
        <v>13224</v>
      </c>
      <c r="JO869" s="12"/>
      <c r="JP869" s="15">
        <f t="shared" si="566"/>
        <v>0</v>
      </c>
      <c r="JQ869" s="15">
        <f t="shared" si="567"/>
        <v>0</v>
      </c>
      <c r="JR869" s="279" t="str">
        <f t="shared" si="568"/>
        <v/>
      </c>
      <c r="JS869" s="17" t="str">
        <f t="shared" si="569"/>
        <v/>
      </c>
      <c r="JT869" s="18" t="str">
        <f t="shared" si="570"/>
        <v/>
      </c>
      <c r="JU869" s="280">
        <f t="shared" si="571"/>
        <v>0</v>
      </c>
      <c r="JV869" s="280">
        <f t="shared" si="572"/>
        <v>0</v>
      </c>
      <c r="JW869" s="319" t="str">
        <f t="shared" si="573"/>
        <v/>
      </c>
      <c r="JX869" s="15">
        <f t="shared" si="574"/>
        <v>0</v>
      </c>
      <c r="JY869" s="15">
        <f t="shared" si="575"/>
        <v>0</v>
      </c>
      <c r="JZ869" s="19" t="str">
        <f t="shared" si="576"/>
        <v/>
      </c>
      <c r="KA869" s="52" t="str">
        <f t="shared" si="577"/>
        <v/>
      </c>
      <c r="KB869" s="15">
        <f t="shared" si="578"/>
        <v>0</v>
      </c>
      <c r="KC869" s="15">
        <f t="shared" si="579"/>
        <v>0</v>
      </c>
      <c r="KD869" s="20" t="str">
        <f t="shared" si="580"/>
        <v/>
      </c>
      <c r="KE869" s="52" t="str">
        <f t="shared" si="581"/>
        <v/>
      </c>
      <c r="KF869" s="15">
        <f t="shared" si="582"/>
        <v>0</v>
      </c>
      <c r="KG869" s="15">
        <f t="shared" si="583"/>
        <v>0</v>
      </c>
      <c r="KH869" s="21" t="str">
        <f t="shared" si="584"/>
        <v/>
      </c>
      <c r="KI869" s="52" t="str">
        <f t="shared" si="585"/>
        <v/>
      </c>
      <c r="KJ869" s="15">
        <f t="shared" si="586"/>
        <v>0</v>
      </c>
      <c r="KK869" s="15">
        <f t="shared" si="587"/>
        <v>0</v>
      </c>
      <c r="KL869" s="19" t="str">
        <f t="shared" si="588"/>
        <v/>
      </c>
      <c r="KM869" s="52">
        <f t="shared" si="589"/>
        <v>1</v>
      </c>
      <c r="KN869" s="22">
        <f t="shared" si="590"/>
        <v>0</v>
      </c>
      <c r="KO869" s="22">
        <f t="shared" si="591"/>
        <v>0</v>
      </c>
      <c r="KP869" s="19" t="str">
        <f t="shared" si="592"/>
        <v/>
      </c>
      <c r="KQ869" s="11" t="str">
        <f t="shared" si="593"/>
        <v>No marker score</v>
      </c>
      <c r="KR869" s="11" t="str">
        <f t="shared" si="594"/>
        <v>No marker score</v>
      </c>
      <c r="KS869" s="11" t="str">
        <f t="shared" si="595"/>
        <v>No marker score</v>
      </c>
      <c r="KT869" s="11">
        <f t="shared" si="596"/>
        <v>0</v>
      </c>
      <c r="KU869" s="11" t="str">
        <f t="shared" si="597"/>
        <v>Intensive advocacy</v>
      </c>
      <c r="KV869" s="11">
        <f t="shared" si="598"/>
        <v>0</v>
      </c>
      <c r="KW869" s="11" t="str">
        <f t="shared" si="599"/>
        <v>United States of America - UN High Level Panel on Womens Economic Empowerment_CARE USA</v>
      </c>
      <c r="KX869" s="11" t="str">
        <f t="shared" si="600"/>
        <v>UN High Level Panel on Womens Economic Empowerment_CARE USA</v>
      </c>
      <c r="KY869" s="11" t="str">
        <f t="shared" si="601"/>
        <v>United States of America</v>
      </c>
      <c r="KZ869" s="12">
        <v>870</v>
      </c>
    </row>
    <row r="870" spans="1:312" x14ac:dyDescent="0.3">
      <c r="A870" s="11" t="s">
        <v>12969</v>
      </c>
      <c r="B870" s="11" t="s">
        <v>12970</v>
      </c>
      <c r="D870" s="11" t="s">
        <v>13225</v>
      </c>
      <c r="E870" s="277" t="str">
        <f t="shared" si="559"/>
        <v>United States of America</v>
      </c>
      <c r="G870" s="12" t="s">
        <v>379</v>
      </c>
      <c r="J870" s="278"/>
      <c r="BD870" s="23">
        <v>42847</v>
      </c>
      <c r="BE870" s="23">
        <v>42847</v>
      </c>
      <c r="BG870" s="11" t="s">
        <v>817</v>
      </c>
      <c r="BI870" s="26" t="s">
        <v>12972</v>
      </c>
      <c r="BJ870" s="12" t="s">
        <v>12973</v>
      </c>
      <c r="BK870" s="12" t="s">
        <v>12974</v>
      </c>
      <c r="BL870" s="11" t="s">
        <v>13016</v>
      </c>
      <c r="BM870" s="11" t="s">
        <v>13017</v>
      </c>
      <c r="BN870" s="11" t="s">
        <v>13018</v>
      </c>
      <c r="BO870" s="11" t="s">
        <v>320</v>
      </c>
      <c r="BP870" s="11" t="s">
        <v>319</v>
      </c>
      <c r="BQ870" s="11" t="s">
        <v>319</v>
      </c>
      <c r="BR870" s="11" t="s">
        <v>13226</v>
      </c>
      <c r="BS870" s="11" t="s">
        <v>322</v>
      </c>
      <c r="BT870" s="11" t="s">
        <v>13227</v>
      </c>
      <c r="BU870" s="11" t="s">
        <v>13021</v>
      </c>
      <c r="CA870" s="29"/>
      <c r="CB870" s="15" t="s">
        <v>13228</v>
      </c>
      <c r="CL870" s="18"/>
      <c r="CP870" s="18"/>
      <c r="CT870" s="18"/>
      <c r="CX870" s="18"/>
      <c r="DB870" s="18"/>
      <c r="DF870" s="18"/>
      <c r="DJ870" s="18"/>
      <c r="DN870" s="18"/>
      <c r="DR870" s="18"/>
      <c r="DV870" s="18"/>
      <c r="DZ870" s="18"/>
      <c r="ED870" s="18"/>
      <c r="EI870" s="18"/>
      <c r="ES870" s="18"/>
      <c r="EW870" s="18"/>
      <c r="FA870" s="18"/>
      <c r="FE870" s="18"/>
      <c r="FI870" s="18"/>
      <c r="FM870" s="18"/>
      <c r="FQ870" s="18"/>
      <c r="FU870" s="18"/>
      <c r="FY870" s="18"/>
      <c r="GC870" s="18"/>
      <c r="GG870" s="18"/>
      <c r="GK870" s="18"/>
      <c r="GO870" s="18"/>
      <c r="GS870" s="18"/>
      <c r="GW870" s="18"/>
      <c r="HA870" s="18"/>
      <c r="HF870" s="18"/>
      <c r="HH870" s="11" t="s">
        <v>319</v>
      </c>
      <c r="HK870" s="11" t="s">
        <v>319</v>
      </c>
      <c r="HL870" s="11" t="s">
        <v>319</v>
      </c>
      <c r="HP870" s="11" t="s">
        <v>330</v>
      </c>
      <c r="HQ870" s="11" t="s">
        <v>319</v>
      </c>
      <c r="HR870" s="11" t="s">
        <v>319</v>
      </c>
      <c r="HS870" s="11" t="s">
        <v>320</v>
      </c>
      <c r="HT870" s="11" t="s">
        <v>319</v>
      </c>
      <c r="HU870" s="11" t="s">
        <v>319</v>
      </c>
      <c r="HV870" s="11" t="s">
        <v>320</v>
      </c>
      <c r="HW870" s="11" t="s">
        <v>319</v>
      </c>
      <c r="HX870" s="11" t="s">
        <v>319</v>
      </c>
      <c r="ID870" s="11" t="s">
        <v>334</v>
      </c>
      <c r="IJ870" s="12" t="str">
        <f t="shared" si="560"/>
        <v>No marker score</v>
      </c>
      <c r="IK870" s="12">
        <f t="shared" si="561"/>
        <v>0</v>
      </c>
      <c r="IQ870" s="12" t="str">
        <f t="shared" si="562"/>
        <v>No marker score</v>
      </c>
      <c r="IR870" s="12">
        <f t="shared" si="563"/>
        <v>0</v>
      </c>
      <c r="IW870" s="11" t="str">
        <f t="shared" si="564"/>
        <v>No marker score</v>
      </c>
      <c r="IX870" s="12">
        <f t="shared" si="565"/>
        <v>0</v>
      </c>
      <c r="IZ870" s="11" t="s">
        <v>527</v>
      </c>
      <c r="JB870" s="11" t="s">
        <v>831</v>
      </c>
      <c r="JC870" s="11" t="s">
        <v>832</v>
      </c>
      <c r="JD870" s="11" t="s">
        <v>623</v>
      </c>
      <c r="JH870" s="11" t="s">
        <v>13229</v>
      </c>
      <c r="JI870" s="11" t="s">
        <v>13230</v>
      </c>
      <c r="JK870" s="11" t="s">
        <v>13231</v>
      </c>
      <c r="JN870" s="11" t="s">
        <v>13232</v>
      </c>
      <c r="JP870" s="15">
        <f t="shared" si="566"/>
        <v>0</v>
      </c>
      <c r="JQ870" s="15">
        <f t="shared" si="567"/>
        <v>0</v>
      </c>
      <c r="JR870" s="279" t="str">
        <f t="shared" si="568"/>
        <v/>
      </c>
      <c r="JS870" s="17" t="str">
        <f t="shared" si="569"/>
        <v/>
      </c>
      <c r="JT870" s="18" t="str">
        <f t="shared" si="570"/>
        <v/>
      </c>
      <c r="JU870" s="280">
        <f t="shared" si="571"/>
        <v>0</v>
      </c>
      <c r="JV870" s="280">
        <f t="shared" si="572"/>
        <v>0</v>
      </c>
      <c r="JW870" s="319">
        <f t="shared" si="573"/>
        <v>1</v>
      </c>
      <c r="JX870" s="15">
        <f t="shared" si="574"/>
        <v>0</v>
      </c>
      <c r="JY870" s="15">
        <f t="shared" si="575"/>
        <v>0</v>
      </c>
      <c r="JZ870" s="19" t="str">
        <f t="shared" si="576"/>
        <v/>
      </c>
      <c r="KA870" s="52" t="str">
        <f t="shared" si="577"/>
        <v/>
      </c>
      <c r="KB870" s="15">
        <f t="shared" si="578"/>
        <v>0</v>
      </c>
      <c r="KC870" s="15">
        <f t="shared" si="579"/>
        <v>0</v>
      </c>
      <c r="KD870" s="20" t="str">
        <f t="shared" si="580"/>
        <v/>
      </c>
      <c r="KE870" s="52" t="str">
        <f t="shared" si="581"/>
        <v/>
      </c>
      <c r="KF870" s="15">
        <f t="shared" si="582"/>
        <v>0</v>
      </c>
      <c r="KG870" s="15">
        <f t="shared" si="583"/>
        <v>0</v>
      </c>
      <c r="KH870" s="21" t="str">
        <f t="shared" si="584"/>
        <v/>
      </c>
      <c r="KI870" s="52" t="str">
        <f t="shared" si="585"/>
        <v/>
      </c>
      <c r="KJ870" s="15">
        <f t="shared" si="586"/>
        <v>0</v>
      </c>
      <c r="KK870" s="15">
        <f t="shared" si="587"/>
        <v>0</v>
      </c>
      <c r="KL870" s="19" t="str">
        <f t="shared" si="588"/>
        <v/>
      </c>
      <c r="KM870" s="52" t="str">
        <f t="shared" si="589"/>
        <v/>
      </c>
      <c r="KN870" s="22">
        <f t="shared" si="590"/>
        <v>0</v>
      </c>
      <c r="KO870" s="22">
        <f t="shared" si="591"/>
        <v>0</v>
      </c>
      <c r="KP870" s="19" t="str">
        <f t="shared" si="592"/>
        <v/>
      </c>
      <c r="KQ870" s="11" t="str">
        <f t="shared" si="593"/>
        <v>No marker score</v>
      </c>
      <c r="KR870" s="11" t="str">
        <f t="shared" si="594"/>
        <v>No marker score</v>
      </c>
      <c r="KS870" s="11" t="str">
        <f t="shared" si="595"/>
        <v>No marker score</v>
      </c>
      <c r="KT870" s="11">
        <f t="shared" si="596"/>
        <v>0</v>
      </c>
      <c r="KU870" s="11" t="str">
        <f t="shared" si="597"/>
        <v>Moderate advocacy</v>
      </c>
      <c r="KV870" s="11">
        <f t="shared" si="598"/>
        <v>0</v>
      </c>
      <c r="KW870" s="11" t="str">
        <f t="shared" si="599"/>
        <v>United States of America - UN/World Bank High Level Meeting on Famine_CARE USA</v>
      </c>
      <c r="KX870" s="11" t="str">
        <f t="shared" si="600"/>
        <v>UN/World Bank High Level Meeting on Famine_CARE USA</v>
      </c>
      <c r="KY870" s="11" t="str">
        <f t="shared" si="601"/>
        <v>United States of America</v>
      </c>
      <c r="KZ870" s="12">
        <v>871</v>
      </c>
    </row>
    <row r="871" spans="1:312" x14ac:dyDescent="0.3">
      <c r="A871" s="12" t="s">
        <v>12969</v>
      </c>
      <c r="B871" s="12" t="s">
        <v>12970</v>
      </c>
      <c r="C871" s="12"/>
      <c r="D871" s="12" t="s">
        <v>13233</v>
      </c>
      <c r="E871" s="277" t="str">
        <f t="shared" si="559"/>
        <v>United States of America</v>
      </c>
      <c r="F871" s="12"/>
      <c r="G871" s="12" t="s">
        <v>379</v>
      </c>
      <c r="H871" s="12"/>
      <c r="I871" s="12"/>
      <c r="J871" s="281"/>
      <c r="K871" s="12"/>
      <c r="L871" s="12"/>
      <c r="M871" s="12"/>
      <c r="N871" s="12"/>
      <c r="O871" s="12"/>
      <c r="P871" s="12"/>
      <c r="Q871" s="12"/>
      <c r="R871" s="12"/>
      <c r="S871" s="12"/>
      <c r="T871" s="12"/>
      <c r="U871" s="12"/>
      <c r="V871" s="12"/>
      <c r="W871" s="12"/>
      <c r="X871" s="12"/>
      <c r="Y871" s="12"/>
      <c r="Z871" s="12"/>
      <c r="AA871" s="12"/>
      <c r="AB871" s="12"/>
      <c r="AC871" s="12"/>
      <c r="AD871" s="12"/>
      <c r="BD871" s="13">
        <v>42915</v>
      </c>
      <c r="BE871" s="12"/>
      <c r="BF871" s="12"/>
      <c r="BG871" s="12" t="s">
        <v>749</v>
      </c>
      <c r="BH871" s="14"/>
      <c r="BI871" s="12" t="s">
        <v>12972</v>
      </c>
      <c r="BJ871" s="12" t="s">
        <v>12973</v>
      </c>
      <c r="BK871" s="12" t="s">
        <v>12974</v>
      </c>
      <c r="BL871" s="12" t="s">
        <v>13234</v>
      </c>
      <c r="BM871" s="12" t="s">
        <v>13235</v>
      </c>
      <c r="BN871" s="12" t="s">
        <v>13236</v>
      </c>
      <c r="BO871" s="12" t="s">
        <v>319</v>
      </c>
      <c r="BP871" s="12" t="s">
        <v>320</v>
      </c>
      <c r="BQ871" s="12" t="s">
        <v>319</v>
      </c>
      <c r="BR871" s="12" t="s">
        <v>13237</v>
      </c>
      <c r="BS871" s="12" t="s">
        <v>849</v>
      </c>
      <c r="BT871" s="12" t="s">
        <v>849</v>
      </c>
      <c r="BU871" s="12" t="s">
        <v>13238</v>
      </c>
      <c r="BV871" s="14"/>
      <c r="BW871" s="14"/>
      <c r="BX871" s="14"/>
      <c r="BY871" s="14"/>
      <c r="BZ871" s="14"/>
      <c r="CA871" s="14"/>
      <c r="CB871" s="12" t="s">
        <v>13239</v>
      </c>
      <c r="CD871" s="14"/>
      <c r="CE871" s="14"/>
      <c r="CF871" s="14"/>
      <c r="CG871" s="14"/>
      <c r="CH871" s="14"/>
      <c r="CI871" s="14"/>
      <c r="CJ871" s="12"/>
      <c r="CK871" s="14"/>
      <c r="CL871" s="16"/>
      <c r="CM871" s="14"/>
      <c r="CN871" s="12"/>
      <c r="CO871" s="14"/>
      <c r="CP871" s="16"/>
      <c r="CQ871" s="14"/>
      <c r="CR871" s="12"/>
      <c r="CS871" s="14"/>
      <c r="CT871" s="16"/>
      <c r="CU871" s="14"/>
      <c r="CV871" s="12"/>
      <c r="CW871" s="14"/>
      <c r="CX871" s="16"/>
      <c r="CY871" s="14"/>
      <c r="CZ871" s="12"/>
      <c r="DA871" s="14"/>
      <c r="DB871" s="16"/>
      <c r="DC871" s="14"/>
      <c r="DD871" s="12"/>
      <c r="DE871" s="14"/>
      <c r="DF871" s="16"/>
      <c r="DG871" s="14"/>
      <c r="DH871" s="12"/>
      <c r="DI871" s="14"/>
      <c r="DJ871" s="16"/>
      <c r="DK871" s="14"/>
      <c r="DL871" s="12"/>
      <c r="DM871" s="14"/>
      <c r="DN871" s="16"/>
      <c r="DO871" s="14"/>
      <c r="DP871" s="12"/>
      <c r="DQ871" s="14"/>
      <c r="DR871" s="16"/>
      <c r="DS871" s="14"/>
      <c r="DT871" s="12"/>
      <c r="DU871" s="14"/>
      <c r="DV871" s="16"/>
      <c r="DW871" s="14"/>
      <c r="DX871" s="12"/>
      <c r="DY871" s="14"/>
      <c r="DZ871" s="16"/>
      <c r="EA871" s="14"/>
      <c r="EB871" s="12"/>
      <c r="EC871" s="14"/>
      <c r="ED871" s="16"/>
      <c r="EE871" s="14"/>
      <c r="EF871" s="12"/>
      <c r="EG871" s="12"/>
      <c r="EH871" s="14"/>
      <c r="EI871" s="16"/>
      <c r="EJ871" s="14"/>
      <c r="EK871" s="14"/>
      <c r="EL871" s="14"/>
      <c r="EM871" s="14"/>
      <c r="EN871" s="14"/>
      <c r="EO871" s="14"/>
      <c r="EP871" s="14"/>
      <c r="EQ871" s="12" t="s">
        <v>320</v>
      </c>
      <c r="ER871" s="14"/>
      <c r="ES871" s="16"/>
      <c r="ET871" s="14"/>
      <c r="EU871" s="12" t="s">
        <v>320</v>
      </c>
      <c r="EV871" s="14"/>
      <c r="EW871" s="16"/>
      <c r="EX871" s="14"/>
      <c r="EY871" s="12" t="s">
        <v>319</v>
      </c>
      <c r="EZ871" s="14"/>
      <c r="FA871" s="16"/>
      <c r="FB871" s="14"/>
      <c r="FC871" s="12" t="s">
        <v>319</v>
      </c>
      <c r="FD871" s="14"/>
      <c r="FE871" s="16"/>
      <c r="FF871" s="14"/>
      <c r="FG871" s="12" t="s">
        <v>320</v>
      </c>
      <c r="FH871" s="14"/>
      <c r="FI871" s="16"/>
      <c r="FJ871" s="14"/>
      <c r="FK871" s="12" t="s">
        <v>319</v>
      </c>
      <c r="FL871" s="14"/>
      <c r="FM871" s="16"/>
      <c r="FN871" s="14"/>
      <c r="FO871" s="12" t="s">
        <v>320</v>
      </c>
      <c r="FP871" s="14"/>
      <c r="FQ871" s="16"/>
      <c r="FR871" s="14"/>
      <c r="FS871" s="12" t="s">
        <v>319</v>
      </c>
      <c r="FT871" s="14"/>
      <c r="FU871" s="16"/>
      <c r="FV871" s="14"/>
      <c r="FW871" s="12" t="s">
        <v>320</v>
      </c>
      <c r="FX871" s="14"/>
      <c r="FY871" s="16"/>
      <c r="FZ871" s="14"/>
      <c r="GA871" s="12" t="s">
        <v>319</v>
      </c>
      <c r="GB871" s="14"/>
      <c r="GC871" s="16"/>
      <c r="GD871" s="14"/>
      <c r="GE871" s="12" t="s">
        <v>319</v>
      </c>
      <c r="GF871" s="14"/>
      <c r="GG871" s="16"/>
      <c r="GH871" s="14"/>
      <c r="GI871" s="12" t="s">
        <v>320</v>
      </c>
      <c r="GJ871" s="14"/>
      <c r="GK871" s="16"/>
      <c r="GL871" s="14"/>
      <c r="GM871" s="12" t="s">
        <v>319</v>
      </c>
      <c r="GN871" s="14"/>
      <c r="GO871" s="16"/>
      <c r="GP871" s="14"/>
      <c r="GQ871" s="12" t="s">
        <v>319</v>
      </c>
      <c r="GR871" s="14"/>
      <c r="GS871" s="16"/>
      <c r="GT871" s="14"/>
      <c r="GU871" s="12" t="s">
        <v>319</v>
      </c>
      <c r="GV871" s="14"/>
      <c r="GW871" s="16"/>
      <c r="GX871" s="14"/>
      <c r="GY871" s="12" t="s">
        <v>320</v>
      </c>
      <c r="GZ871" s="14"/>
      <c r="HA871" s="16"/>
      <c r="HB871" s="14"/>
      <c r="HC871" s="12"/>
      <c r="HD871" s="12"/>
      <c r="HE871" s="14"/>
      <c r="HF871" s="16"/>
      <c r="HG871" s="14"/>
      <c r="HH871" s="12" t="s">
        <v>319</v>
      </c>
      <c r="HI871" s="12"/>
      <c r="HJ871" s="12"/>
      <c r="HK871" s="12" t="s">
        <v>319</v>
      </c>
      <c r="HL871" s="12" t="s">
        <v>319</v>
      </c>
      <c r="HM871" s="12"/>
      <c r="HN871" s="12"/>
      <c r="HO871" s="12"/>
      <c r="HP871" s="12" t="s">
        <v>453</v>
      </c>
      <c r="HQ871" s="12" t="s">
        <v>320</v>
      </c>
      <c r="HR871" s="12" t="s">
        <v>319</v>
      </c>
      <c r="HS871" s="12" t="s">
        <v>319</v>
      </c>
      <c r="HT871" s="12" t="s">
        <v>319</v>
      </c>
      <c r="HU871" s="12" t="s">
        <v>319</v>
      </c>
      <c r="HV871" s="12" t="s">
        <v>320</v>
      </c>
      <c r="HW871" s="12" t="s">
        <v>319</v>
      </c>
      <c r="HX871" s="12"/>
      <c r="HY871" s="12"/>
      <c r="HZ871" s="12"/>
      <c r="IA871" s="12"/>
      <c r="IB871" s="12" t="s">
        <v>396</v>
      </c>
      <c r="IC871" s="12" t="s">
        <v>13240</v>
      </c>
      <c r="ID871" s="12"/>
      <c r="IE871" s="12"/>
      <c r="IF871" s="12"/>
      <c r="IG871" s="12"/>
      <c r="IH871" s="12"/>
      <c r="II871" s="12"/>
      <c r="IJ871" s="12" t="str">
        <f t="shared" si="560"/>
        <v>No marker score</v>
      </c>
      <c r="IK871" s="12">
        <f t="shared" si="561"/>
        <v>0</v>
      </c>
      <c r="IL871" s="12"/>
      <c r="IM871" s="12"/>
      <c r="IN871" s="12"/>
      <c r="IO871" s="12"/>
      <c r="IP871" s="12"/>
      <c r="IQ871" s="12" t="str">
        <f t="shared" si="562"/>
        <v>No marker score</v>
      </c>
      <c r="IR871" s="12">
        <f t="shared" si="563"/>
        <v>0</v>
      </c>
      <c r="IS871" s="12"/>
      <c r="IT871" s="12"/>
      <c r="IU871" s="12"/>
      <c r="IV871" s="12"/>
      <c r="IW871" s="11" t="str">
        <f t="shared" si="564"/>
        <v>No marker score</v>
      </c>
      <c r="IX871" s="12">
        <f t="shared" si="565"/>
        <v>0</v>
      </c>
      <c r="IY871" s="12"/>
      <c r="IZ871" s="12" t="s">
        <v>527</v>
      </c>
      <c r="JA871" s="12"/>
      <c r="JB871" s="12" t="s">
        <v>831</v>
      </c>
      <c r="JC871" s="12" t="s">
        <v>623</v>
      </c>
      <c r="JD871" s="12" t="s">
        <v>585</v>
      </c>
      <c r="JE871" s="12" t="s">
        <v>365</v>
      </c>
      <c r="JF871" s="12" t="s">
        <v>13241</v>
      </c>
      <c r="JG871" s="12" t="s">
        <v>13242</v>
      </c>
      <c r="JH871" s="12" t="s">
        <v>13243</v>
      </c>
      <c r="JI871" s="12" t="s">
        <v>13244</v>
      </c>
      <c r="JJ871" s="12"/>
      <c r="JK871" s="12" t="s">
        <v>13245</v>
      </c>
      <c r="JL871" s="12" t="s">
        <v>13246</v>
      </c>
      <c r="JM871" s="12" t="s">
        <v>13247</v>
      </c>
      <c r="JN871" s="12" t="s">
        <v>13248</v>
      </c>
      <c r="JO871" s="12" t="s">
        <v>13249</v>
      </c>
      <c r="JP871" s="15">
        <f t="shared" si="566"/>
        <v>0</v>
      </c>
      <c r="JQ871" s="15">
        <f t="shared" si="567"/>
        <v>0</v>
      </c>
      <c r="JR871" s="279" t="str">
        <f t="shared" si="568"/>
        <v/>
      </c>
      <c r="JS871" s="17" t="str">
        <f t="shared" si="569"/>
        <v/>
      </c>
      <c r="JT871" s="18" t="str">
        <f t="shared" si="570"/>
        <v/>
      </c>
      <c r="JU871" s="280">
        <f t="shared" si="571"/>
        <v>0</v>
      </c>
      <c r="JV871" s="280">
        <f t="shared" si="572"/>
        <v>0</v>
      </c>
      <c r="JW871" s="319" t="str">
        <f t="shared" si="573"/>
        <v/>
      </c>
      <c r="JX871" s="15">
        <f t="shared" si="574"/>
        <v>0</v>
      </c>
      <c r="JY871" s="15">
        <f t="shared" si="575"/>
        <v>0</v>
      </c>
      <c r="JZ871" s="19" t="str">
        <f t="shared" si="576"/>
        <v/>
      </c>
      <c r="KA871" s="52">
        <f t="shared" si="577"/>
        <v>1</v>
      </c>
      <c r="KB871" s="15">
        <f t="shared" si="578"/>
        <v>0</v>
      </c>
      <c r="KC871" s="15">
        <f t="shared" si="579"/>
        <v>0</v>
      </c>
      <c r="KD871" s="20" t="str">
        <f t="shared" si="580"/>
        <v/>
      </c>
      <c r="KE871" s="52" t="str">
        <f t="shared" si="581"/>
        <v/>
      </c>
      <c r="KF871" s="15">
        <f t="shared" si="582"/>
        <v>0</v>
      </c>
      <c r="KG871" s="15">
        <f t="shared" si="583"/>
        <v>0</v>
      </c>
      <c r="KH871" s="21" t="str">
        <f t="shared" si="584"/>
        <v/>
      </c>
      <c r="KI871" s="52" t="str">
        <f t="shared" si="585"/>
        <v/>
      </c>
      <c r="KJ871" s="15">
        <f t="shared" si="586"/>
        <v>0</v>
      </c>
      <c r="KK871" s="15">
        <f t="shared" si="587"/>
        <v>0</v>
      </c>
      <c r="KL871" s="19" t="str">
        <f t="shared" si="588"/>
        <v/>
      </c>
      <c r="KM871" s="52">
        <f t="shared" si="589"/>
        <v>1</v>
      </c>
      <c r="KN871" s="22">
        <f t="shared" si="590"/>
        <v>0</v>
      </c>
      <c r="KO871" s="22">
        <f t="shared" si="591"/>
        <v>0</v>
      </c>
      <c r="KP871" s="19" t="str">
        <f t="shared" si="592"/>
        <v/>
      </c>
      <c r="KQ871" s="11" t="str">
        <f t="shared" si="593"/>
        <v>No marker score</v>
      </c>
      <c r="KR871" s="11" t="str">
        <f t="shared" si="594"/>
        <v>No marker score</v>
      </c>
      <c r="KS871" s="11" t="str">
        <f t="shared" si="595"/>
        <v>No marker score</v>
      </c>
      <c r="KT871" s="11">
        <f t="shared" si="596"/>
        <v>0</v>
      </c>
      <c r="KU871" s="11" t="str">
        <f t="shared" si="597"/>
        <v>Intensive advocacy</v>
      </c>
      <c r="KV871" s="11" t="str">
        <f t="shared" si="598"/>
        <v>It linked and worked with strategic alliances and partners to take tested and effective solutions to scale</v>
      </c>
      <c r="KW871" s="11" t="str">
        <f t="shared" si="599"/>
        <v>United States of America - UNFCCC_FNS</v>
      </c>
      <c r="KX871" s="11" t="str">
        <f t="shared" si="600"/>
        <v>UNFCCC_FNS</v>
      </c>
      <c r="KY871" s="11" t="str">
        <f t="shared" si="601"/>
        <v>United States of America</v>
      </c>
      <c r="KZ871" s="12">
        <v>872</v>
      </c>
    </row>
    <row r="872" spans="1:312" x14ac:dyDescent="0.3">
      <c r="A872" s="12" t="s">
        <v>12969</v>
      </c>
      <c r="B872" s="12" t="s">
        <v>12970</v>
      </c>
      <c r="C872" s="12"/>
      <c r="D872" s="12" t="s">
        <v>13250</v>
      </c>
      <c r="E872" s="24" t="str">
        <f t="shared" si="559"/>
        <v>United States of America</v>
      </c>
      <c r="F872" s="12"/>
      <c r="G872" s="12" t="s">
        <v>379</v>
      </c>
      <c r="H872" s="12"/>
      <c r="I872" s="12"/>
      <c r="J872" s="281"/>
      <c r="K872" s="12"/>
      <c r="L872" s="12"/>
      <c r="M872" s="12"/>
      <c r="N872" s="12"/>
      <c r="O872" s="12"/>
      <c r="P872" s="12"/>
      <c r="Q872" s="12"/>
      <c r="R872" s="12"/>
      <c r="S872" s="12"/>
      <c r="T872" s="12"/>
      <c r="U872" s="12"/>
      <c r="V872" s="12"/>
      <c r="W872" s="12"/>
      <c r="X872" s="12"/>
      <c r="Y872" s="12"/>
      <c r="Z872" s="12"/>
      <c r="AA872" s="12"/>
      <c r="AB872" s="12"/>
      <c r="AC872" s="12"/>
      <c r="AD872" s="12"/>
      <c r="BD872" s="13">
        <v>42738</v>
      </c>
      <c r="BE872" s="12"/>
      <c r="BF872" s="12"/>
      <c r="BG872" s="12" t="s">
        <v>490</v>
      </c>
      <c r="BH872" s="14"/>
      <c r="BI872" s="12" t="s">
        <v>12972</v>
      </c>
      <c r="BJ872" s="12" t="s">
        <v>13031</v>
      </c>
      <c r="BK872" s="12" t="s">
        <v>12974</v>
      </c>
      <c r="BL872" s="12" t="s">
        <v>13032</v>
      </c>
      <c r="BM872" s="12" t="s">
        <v>12976</v>
      </c>
      <c r="BN872" s="12" t="s">
        <v>13033</v>
      </c>
      <c r="BO872" s="12" t="s">
        <v>320</v>
      </c>
      <c r="BP872" s="12" t="s">
        <v>320</v>
      </c>
      <c r="BQ872" s="12" t="s">
        <v>320</v>
      </c>
      <c r="BR872" s="12" t="s">
        <v>13251</v>
      </c>
      <c r="BS872" s="12" t="s">
        <v>849</v>
      </c>
      <c r="BT872" s="12"/>
      <c r="BU872" s="12" t="s">
        <v>13252</v>
      </c>
      <c r="BV872" s="14"/>
      <c r="BW872" s="14"/>
      <c r="BX872" s="14"/>
      <c r="BY872" s="14"/>
      <c r="BZ872" s="14"/>
      <c r="CA872" s="14"/>
      <c r="CB872" s="12" t="s">
        <v>13253</v>
      </c>
      <c r="CD872" s="14"/>
      <c r="CE872" s="14"/>
      <c r="CF872" s="14"/>
      <c r="CG872" s="14"/>
      <c r="CH872" s="14"/>
      <c r="CI872" s="14"/>
      <c r="CJ872" s="12" t="s">
        <v>319</v>
      </c>
      <c r="CK872" s="14"/>
      <c r="CL872" s="16"/>
      <c r="CM872" s="14"/>
      <c r="CN872" s="12" t="s">
        <v>319</v>
      </c>
      <c r="CO872" s="14"/>
      <c r="CP872" s="16"/>
      <c r="CQ872" s="14"/>
      <c r="CR872" s="12" t="s">
        <v>319</v>
      </c>
      <c r="CS872" s="14"/>
      <c r="CT872" s="16"/>
      <c r="CU872" s="14"/>
      <c r="CV872" s="12" t="s">
        <v>319</v>
      </c>
      <c r="CW872" s="14"/>
      <c r="CX872" s="16"/>
      <c r="CY872" s="14"/>
      <c r="CZ872" s="12" t="s">
        <v>319</v>
      </c>
      <c r="DA872" s="14"/>
      <c r="DB872" s="16"/>
      <c r="DC872" s="14"/>
      <c r="DD872" s="12" t="s">
        <v>319</v>
      </c>
      <c r="DE872" s="14"/>
      <c r="DF872" s="16"/>
      <c r="DG872" s="14"/>
      <c r="DH872" s="12" t="s">
        <v>319</v>
      </c>
      <c r="DI872" s="14"/>
      <c r="DJ872" s="16"/>
      <c r="DK872" s="14"/>
      <c r="DL872" s="12" t="s">
        <v>319</v>
      </c>
      <c r="DM872" s="14"/>
      <c r="DN872" s="16"/>
      <c r="DO872" s="14"/>
      <c r="DP872" s="12" t="s">
        <v>319</v>
      </c>
      <c r="DQ872" s="14"/>
      <c r="DR872" s="16"/>
      <c r="DS872" s="14"/>
      <c r="DT872" s="12" t="s">
        <v>320</v>
      </c>
      <c r="DU872" s="14"/>
      <c r="DV872" s="16"/>
      <c r="DW872" s="14"/>
      <c r="DX872" s="12" t="s">
        <v>319</v>
      </c>
      <c r="DY872" s="14"/>
      <c r="DZ872" s="16"/>
      <c r="EA872" s="14"/>
      <c r="EB872" s="12" t="s">
        <v>319</v>
      </c>
      <c r="EC872" s="14"/>
      <c r="ED872" s="16"/>
      <c r="EE872" s="14"/>
      <c r="EF872" s="12"/>
      <c r="EG872" s="12"/>
      <c r="EH872" s="14"/>
      <c r="EI872" s="16"/>
      <c r="EJ872" s="14"/>
      <c r="EK872" s="14"/>
      <c r="EL872" s="14"/>
      <c r="EM872" s="14"/>
      <c r="EN872" s="14"/>
      <c r="EO872" s="14"/>
      <c r="EP872" s="14"/>
      <c r="EQ872" s="12" t="s">
        <v>319</v>
      </c>
      <c r="ER872" s="14"/>
      <c r="ES872" s="16"/>
      <c r="ET872" s="14"/>
      <c r="EU872" s="11" t="s">
        <v>319</v>
      </c>
      <c r="EV872" s="14"/>
      <c r="EW872" s="16"/>
      <c r="EX872" s="14"/>
      <c r="EY872" s="12" t="s">
        <v>319</v>
      </c>
      <c r="EZ872" s="14"/>
      <c r="FA872" s="16"/>
      <c r="FB872" s="14"/>
      <c r="FC872" s="12" t="s">
        <v>319</v>
      </c>
      <c r="FD872" s="14"/>
      <c r="FE872" s="16"/>
      <c r="FF872" s="14"/>
      <c r="FG872" s="12" t="s">
        <v>319</v>
      </c>
      <c r="FH872" s="14"/>
      <c r="FI872" s="16"/>
      <c r="FJ872" s="14"/>
      <c r="FK872" s="12" t="s">
        <v>319</v>
      </c>
      <c r="FL872" s="14"/>
      <c r="FM872" s="16"/>
      <c r="FN872" s="14"/>
      <c r="FO872" s="12" t="s">
        <v>319</v>
      </c>
      <c r="FP872" s="14"/>
      <c r="FQ872" s="16"/>
      <c r="FR872" s="14"/>
      <c r="FS872" s="12" t="s">
        <v>319</v>
      </c>
      <c r="FT872" s="14"/>
      <c r="FU872" s="16"/>
      <c r="FV872" s="14"/>
      <c r="FW872" s="12" t="s">
        <v>319</v>
      </c>
      <c r="FX872" s="14"/>
      <c r="FY872" s="16"/>
      <c r="FZ872" s="14"/>
      <c r="GA872" s="12" t="s">
        <v>319</v>
      </c>
      <c r="GB872" s="14"/>
      <c r="GC872" s="16"/>
      <c r="GD872" s="14"/>
      <c r="GE872" s="12" t="s">
        <v>319</v>
      </c>
      <c r="GF872" s="14"/>
      <c r="GG872" s="16"/>
      <c r="GH872" s="14"/>
      <c r="GI872" s="12" t="s">
        <v>319</v>
      </c>
      <c r="GJ872" s="14"/>
      <c r="GK872" s="16"/>
      <c r="GL872" s="14"/>
      <c r="GM872" s="12" t="s">
        <v>319</v>
      </c>
      <c r="GN872" s="14"/>
      <c r="GO872" s="16"/>
      <c r="GP872" s="14"/>
      <c r="GQ872" s="12" t="s">
        <v>320</v>
      </c>
      <c r="GR872" s="14"/>
      <c r="GS872" s="16"/>
      <c r="GT872" s="14"/>
      <c r="GU872" s="12" t="s">
        <v>319</v>
      </c>
      <c r="GV872" s="14"/>
      <c r="GW872" s="16"/>
      <c r="GX872" s="14"/>
      <c r="GY872" s="12" t="s">
        <v>319</v>
      </c>
      <c r="GZ872" s="14"/>
      <c r="HA872" s="16"/>
      <c r="HB872" s="14"/>
      <c r="HC872" s="12"/>
      <c r="HD872" s="12"/>
      <c r="HE872" s="14"/>
      <c r="HF872" s="16"/>
      <c r="HG872" s="14"/>
      <c r="HH872" s="12" t="s">
        <v>319</v>
      </c>
      <c r="HI872" s="12"/>
      <c r="HJ872" s="12"/>
      <c r="HK872" s="12"/>
      <c r="HL872" s="12" t="s">
        <v>319</v>
      </c>
      <c r="HM872" s="12"/>
      <c r="HN872" s="12"/>
      <c r="HO872" s="12"/>
      <c r="HP872" s="12" t="s">
        <v>453</v>
      </c>
      <c r="HQ872" s="12" t="s">
        <v>319</v>
      </c>
      <c r="HR872" s="12" t="s">
        <v>319</v>
      </c>
      <c r="HS872" s="12" t="s">
        <v>319</v>
      </c>
      <c r="HT872" s="12" t="s">
        <v>319</v>
      </c>
      <c r="HU872" s="12" t="s">
        <v>319</v>
      </c>
      <c r="HV872" s="12" t="s">
        <v>319</v>
      </c>
      <c r="HW872" s="12" t="s">
        <v>320</v>
      </c>
      <c r="HX872" s="12"/>
      <c r="HY872" s="12"/>
      <c r="HZ872" s="12"/>
      <c r="IA872" s="12"/>
      <c r="IB872" s="12"/>
      <c r="IC872" s="12"/>
      <c r="ID872" s="12"/>
      <c r="IE872" s="12"/>
      <c r="IF872" s="12"/>
      <c r="IG872" s="12"/>
      <c r="IH872" s="12"/>
      <c r="II872" s="12"/>
      <c r="IJ872" s="12" t="str">
        <f t="shared" si="560"/>
        <v>No marker score</v>
      </c>
      <c r="IK872" s="12">
        <f t="shared" si="561"/>
        <v>0</v>
      </c>
      <c r="IL872" s="12"/>
      <c r="IM872" s="12"/>
      <c r="IN872" s="12"/>
      <c r="IO872" s="12"/>
      <c r="IP872" s="12"/>
      <c r="IQ872" s="12" t="str">
        <f t="shared" si="562"/>
        <v>No marker score</v>
      </c>
      <c r="IR872" s="12">
        <f t="shared" si="563"/>
        <v>0</v>
      </c>
      <c r="IS872" s="12"/>
      <c r="IT872" s="12"/>
      <c r="IU872" s="12"/>
      <c r="IV872" s="12"/>
      <c r="IW872" s="11" t="str">
        <f t="shared" si="564"/>
        <v>No marker score</v>
      </c>
      <c r="IX872" s="12">
        <f t="shared" si="565"/>
        <v>0</v>
      </c>
      <c r="IY872" s="12"/>
      <c r="IZ872" s="12" t="s">
        <v>527</v>
      </c>
      <c r="JA872" s="12"/>
      <c r="JB872" s="12" t="s">
        <v>831</v>
      </c>
      <c r="JC872" s="12" t="s">
        <v>623</v>
      </c>
      <c r="JD872" s="12" t="s">
        <v>624</v>
      </c>
      <c r="JE872" s="12"/>
      <c r="JF872" s="12"/>
      <c r="JG872" s="12"/>
      <c r="JH872" s="12"/>
      <c r="JI872" s="12"/>
      <c r="JJ872" s="12"/>
      <c r="JK872" s="12" t="s">
        <v>13038</v>
      </c>
      <c r="JL872" s="12"/>
      <c r="JM872" s="12"/>
      <c r="JN872" s="12"/>
      <c r="JO872" s="12"/>
      <c r="JP872" s="15">
        <f t="shared" si="566"/>
        <v>0</v>
      </c>
      <c r="JQ872" s="15">
        <f t="shared" si="567"/>
        <v>0</v>
      </c>
      <c r="JR872" s="279" t="str">
        <f t="shared" si="568"/>
        <v/>
      </c>
      <c r="JS872" s="17" t="str">
        <f t="shared" si="569"/>
        <v/>
      </c>
      <c r="JT872" s="18" t="str">
        <f t="shared" si="570"/>
        <v/>
      </c>
      <c r="JU872" s="280">
        <f t="shared" si="571"/>
        <v>0</v>
      </c>
      <c r="JV872" s="280">
        <f t="shared" si="572"/>
        <v>0</v>
      </c>
      <c r="JW872" s="319">
        <f t="shared" si="573"/>
        <v>1</v>
      </c>
      <c r="JX872" s="15">
        <f t="shared" si="574"/>
        <v>0</v>
      </c>
      <c r="JY872" s="15">
        <f t="shared" si="575"/>
        <v>0</v>
      </c>
      <c r="JZ872" s="19" t="str">
        <f t="shared" si="576"/>
        <v/>
      </c>
      <c r="KA872" s="52" t="str">
        <f t="shared" si="577"/>
        <v/>
      </c>
      <c r="KB872" s="15">
        <f t="shared" si="578"/>
        <v>0</v>
      </c>
      <c r="KC872" s="15">
        <f t="shared" si="579"/>
        <v>0</v>
      </c>
      <c r="KD872" s="20" t="str">
        <f t="shared" si="580"/>
        <v/>
      </c>
      <c r="KE872" s="52">
        <f t="shared" si="581"/>
        <v>1</v>
      </c>
      <c r="KF872" s="15">
        <f t="shared" si="582"/>
        <v>0</v>
      </c>
      <c r="KG872" s="15">
        <f t="shared" si="583"/>
        <v>0</v>
      </c>
      <c r="KH872" s="21" t="str">
        <f t="shared" si="584"/>
        <v/>
      </c>
      <c r="KI872" s="52" t="str">
        <f t="shared" si="585"/>
        <v/>
      </c>
      <c r="KJ872" s="15">
        <f t="shared" si="586"/>
        <v>0</v>
      </c>
      <c r="KK872" s="15">
        <f t="shared" si="587"/>
        <v>0</v>
      </c>
      <c r="KL872" s="19" t="str">
        <f t="shared" si="588"/>
        <v/>
      </c>
      <c r="KM872" s="52" t="str">
        <f t="shared" si="589"/>
        <v/>
      </c>
      <c r="KN872" s="22">
        <f t="shared" si="590"/>
        <v>0</v>
      </c>
      <c r="KO872" s="22">
        <f t="shared" si="591"/>
        <v>0</v>
      </c>
      <c r="KP872" s="19" t="str">
        <f t="shared" si="592"/>
        <v/>
      </c>
      <c r="KQ872" s="11" t="str">
        <f t="shared" si="593"/>
        <v>No marker score</v>
      </c>
      <c r="KR872" s="11" t="str">
        <f t="shared" si="594"/>
        <v>No marker score</v>
      </c>
      <c r="KS872" s="11" t="str">
        <f t="shared" si="595"/>
        <v>No marker score</v>
      </c>
      <c r="KT872" s="11">
        <f t="shared" si="596"/>
        <v>0</v>
      </c>
      <c r="KU872" s="11" t="str">
        <f t="shared" si="597"/>
        <v>Intensive advocacy</v>
      </c>
      <c r="KV872" s="11">
        <f t="shared" si="598"/>
        <v>0</v>
      </c>
      <c r="KW872" s="11" t="str">
        <f t="shared" si="599"/>
        <v>United States of America - UNFPA Funding</v>
      </c>
      <c r="KX872" s="11" t="str">
        <f t="shared" si="600"/>
        <v>UNFPA Funding</v>
      </c>
      <c r="KY872" s="11" t="str">
        <f t="shared" si="601"/>
        <v>United States of America</v>
      </c>
      <c r="KZ872" s="12">
        <v>873</v>
      </c>
    </row>
    <row r="873" spans="1:312" x14ac:dyDescent="0.3">
      <c r="A873" s="11" t="s">
        <v>12969</v>
      </c>
      <c r="B873" s="11" t="s">
        <v>12970</v>
      </c>
      <c r="D873" s="11" t="s">
        <v>13254</v>
      </c>
      <c r="E873" s="277" t="str">
        <f t="shared" si="559"/>
        <v>United States of America</v>
      </c>
      <c r="G873" s="12" t="s">
        <v>379</v>
      </c>
      <c r="J873" s="278"/>
      <c r="BD873" s="23">
        <v>42900</v>
      </c>
      <c r="BE873" s="23">
        <v>42902</v>
      </c>
      <c r="BG873" s="11" t="s">
        <v>817</v>
      </c>
      <c r="BI873" s="26" t="s">
        <v>12972</v>
      </c>
      <c r="BJ873" s="12" t="s">
        <v>12973</v>
      </c>
      <c r="BK873" s="12" t="s">
        <v>12974</v>
      </c>
      <c r="BL873" s="11" t="s">
        <v>13016</v>
      </c>
      <c r="BM873" s="11" t="s">
        <v>13017</v>
      </c>
      <c r="BN873" s="11" t="s">
        <v>13018</v>
      </c>
      <c r="BO873" s="11" t="s">
        <v>320</v>
      </c>
      <c r="BP873" s="11" t="s">
        <v>319</v>
      </c>
      <c r="BQ873" s="11" t="s">
        <v>319</v>
      </c>
      <c r="BR873" s="11" t="s">
        <v>13255</v>
      </c>
      <c r="BS873" s="11" t="s">
        <v>849</v>
      </c>
      <c r="BU873" s="11" t="s">
        <v>13256</v>
      </c>
      <c r="CB873" s="15" t="s">
        <v>13257</v>
      </c>
      <c r="CL873" s="18"/>
      <c r="CP873" s="18"/>
      <c r="CT873" s="18"/>
      <c r="CX873" s="18"/>
      <c r="DB873" s="18"/>
      <c r="DF873" s="18"/>
      <c r="DJ873" s="18"/>
      <c r="DN873" s="18"/>
      <c r="DR873" s="18"/>
      <c r="DV873" s="18"/>
      <c r="DZ873" s="18"/>
      <c r="ED873" s="18"/>
      <c r="EI873" s="18"/>
      <c r="ES873" s="18"/>
      <c r="EW873" s="18"/>
      <c r="FA873" s="18"/>
      <c r="FE873" s="18"/>
      <c r="FI873" s="18"/>
      <c r="FM873" s="18"/>
      <c r="FQ873" s="18"/>
      <c r="FU873" s="18"/>
      <c r="FY873" s="18"/>
      <c r="GC873" s="18"/>
      <c r="GG873" s="18"/>
      <c r="GK873" s="18"/>
      <c r="GO873" s="18"/>
      <c r="GS873" s="18"/>
      <c r="GW873" s="18"/>
      <c r="HA873" s="18"/>
      <c r="HF873" s="18"/>
      <c r="HH873" s="11" t="s">
        <v>319</v>
      </c>
      <c r="HK873" s="11" t="s">
        <v>319</v>
      </c>
      <c r="HL873" s="11" t="s">
        <v>319</v>
      </c>
      <c r="HP873" s="11" t="s">
        <v>330</v>
      </c>
      <c r="HQ873" s="11" t="s">
        <v>319</v>
      </c>
      <c r="HR873" s="11" t="s">
        <v>319</v>
      </c>
      <c r="HS873" s="11" t="s">
        <v>319</v>
      </c>
      <c r="HT873" s="11" t="s">
        <v>319</v>
      </c>
      <c r="HU873" s="11" t="s">
        <v>320</v>
      </c>
      <c r="HV873" s="11" t="s">
        <v>319</v>
      </c>
      <c r="HW873" s="11" t="s">
        <v>319</v>
      </c>
      <c r="HX873" s="11" t="s">
        <v>319</v>
      </c>
      <c r="ID873" s="11" t="s">
        <v>334</v>
      </c>
      <c r="IJ873" s="12" t="str">
        <f>IF(IE873="","No marker score",IF(ISNUMBER(SEARCH("select",IE873)),"",IF(ISNUMBER(SEARCH("Did NOT",IE873)),"0. Harmful",IF(ISNUMBER(SEARCH("CHALLENGED",IE873)),IF(IK873=4,"4. Transformative",IF(IK873&gt;1,"3. Responsive",IF(IK873&lt;=1,"No marker score",""))),IF(ISNUMBER(SEARCH("WORKED WITH",IE873)),IF(IK873=4,"2. Sensitive",IF(IK873&gt;1,"1. Neutral","0. Harmful")))))))</f>
        <v>No marker score</v>
      </c>
      <c r="IK873" s="12">
        <f t="shared" si="561"/>
        <v>0</v>
      </c>
      <c r="IQ873" s="12" t="str">
        <f t="shared" si="562"/>
        <v>No marker score</v>
      </c>
      <c r="IR873" s="12">
        <f t="shared" si="563"/>
        <v>0</v>
      </c>
      <c r="IW873" s="11" t="str">
        <f t="shared" si="564"/>
        <v>No marker score</v>
      </c>
      <c r="IX873" s="12">
        <f t="shared" si="565"/>
        <v>0</v>
      </c>
      <c r="IZ873" s="11" t="s">
        <v>527</v>
      </c>
      <c r="JB873" s="11" t="s">
        <v>831</v>
      </c>
      <c r="JC873" s="11" t="s">
        <v>433</v>
      </c>
      <c r="JD873" s="11" t="s">
        <v>832</v>
      </c>
      <c r="JE873" s="11" t="s">
        <v>365</v>
      </c>
      <c r="JF873" s="11" t="s">
        <v>13258</v>
      </c>
      <c r="JH873" s="11" t="s">
        <v>13099</v>
      </c>
      <c r="JI873" s="11" t="s">
        <v>13100</v>
      </c>
      <c r="JK873" s="11" t="s">
        <v>13259</v>
      </c>
      <c r="JN873" s="11" t="s">
        <v>13260</v>
      </c>
      <c r="JP873" s="15">
        <f t="shared" si="566"/>
        <v>0</v>
      </c>
      <c r="JQ873" s="15">
        <f t="shared" si="567"/>
        <v>0</v>
      </c>
      <c r="JR873" s="279" t="str">
        <f t="shared" si="568"/>
        <v/>
      </c>
      <c r="JS873" s="17" t="str">
        <f t="shared" si="569"/>
        <v/>
      </c>
      <c r="JT873" s="18" t="str">
        <f t="shared" si="570"/>
        <v/>
      </c>
      <c r="JU873" s="280">
        <f t="shared" si="571"/>
        <v>0</v>
      </c>
      <c r="JV873" s="280">
        <f t="shared" si="572"/>
        <v>0</v>
      </c>
      <c r="JW873" s="319">
        <f t="shared" si="573"/>
        <v>1</v>
      </c>
      <c r="JX873" s="15">
        <f t="shared" si="574"/>
        <v>0</v>
      </c>
      <c r="JY873" s="15">
        <f t="shared" si="575"/>
        <v>0</v>
      </c>
      <c r="JZ873" s="19" t="str">
        <f t="shared" si="576"/>
        <v/>
      </c>
      <c r="KA873" s="52" t="str">
        <f t="shared" si="577"/>
        <v/>
      </c>
      <c r="KB873" s="15">
        <f t="shared" si="578"/>
        <v>0</v>
      </c>
      <c r="KC873" s="15">
        <f t="shared" si="579"/>
        <v>0</v>
      </c>
      <c r="KD873" s="20" t="str">
        <f t="shared" si="580"/>
        <v/>
      </c>
      <c r="KE873" s="52" t="str">
        <f t="shared" si="581"/>
        <v/>
      </c>
      <c r="KF873" s="15">
        <f t="shared" si="582"/>
        <v>0</v>
      </c>
      <c r="KG873" s="15">
        <f t="shared" si="583"/>
        <v>0</v>
      </c>
      <c r="KH873" s="21" t="str">
        <f t="shared" si="584"/>
        <v/>
      </c>
      <c r="KI873" s="52" t="str">
        <f t="shared" si="585"/>
        <v/>
      </c>
      <c r="KJ873" s="15">
        <f t="shared" si="586"/>
        <v>0</v>
      </c>
      <c r="KK873" s="15">
        <f t="shared" si="587"/>
        <v>0</v>
      </c>
      <c r="KL873" s="19" t="str">
        <f t="shared" si="588"/>
        <v/>
      </c>
      <c r="KM873" s="52" t="str">
        <f t="shared" si="589"/>
        <v/>
      </c>
      <c r="KN873" s="22">
        <f t="shared" si="590"/>
        <v>0</v>
      </c>
      <c r="KO873" s="22">
        <f t="shared" si="591"/>
        <v>0</v>
      </c>
      <c r="KP873" s="19" t="str">
        <f t="shared" si="592"/>
        <v/>
      </c>
      <c r="KQ873" s="11" t="str">
        <f t="shared" si="593"/>
        <v>No marker score</v>
      </c>
      <c r="KR873" s="11" t="str">
        <f t="shared" si="594"/>
        <v>No marker score</v>
      </c>
      <c r="KS873" s="11" t="str">
        <f t="shared" si="595"/>
        <v>No marker score</v>
      </c>
      <c r="KT873" s="11">
        <f t="shared" si="596"/>
        <v>0</v>
      </c>
      <c r="KU873" s="11" t="str">
        <f t="shared" si="597"/>
        <v>Moderate advocacy</v>
      </c>
      <c r="KV873" s="11">
        <f t="shared" si="598"/>
        <v>0</v>
      </c>
      <c r="KW873" s="11" t="str">
        <f t="shared" si="599"/>
        <v>United States of America - UNHCR Annual Consultations with NGOs_CARE USA</v>
      </c>
      <c r="KX873" s="11" t="str">
        <f t="shared" si="600"/>
        <v>UNHCR Annual Consultations with NGOs_CARE USA</v>
      </c>
      <c r="KY873" s="11" t="str">
        <f t="shared" si="601"/>
        <v>United States of America</v>
      </c>
      <c r="KZ873" s="12">
        <v>874</v>
      </c>
    </row>
    <row r="874" spans="1:312" x14ac:dyDescent="0.3">
      <c r="A874" s="12" t="s">
        <v>13272</v>
      </c>
      <c r="B874" s="12" t="s">
        <v>306</v>
      </c>
      <c r="C874" s="12">
        <v>3692</v>
      </c>
      <c r="D874" s="12" t="s">
        <v>13273</v>
      </c>
      <c r="E874" s="24" t="str">
        <f t="shared" si="559"/>
        <v>Vanuatu</v>
      </c>
      <c r="F874" s="12" t="s">
        <v>13274</v>
      </c>
      <c r="G874" s="12" t="s">
        <v>309</v>
      </c>
      <c r="H874" s="12" t="s">
        <v>310</v>
      </c>
      <c r="I874" s="12" t="s">
        <v>311</v>
      </c>
      <c r="J874" s="281" t="s">
        <v>14565</v>
      </c>
      <c r="K874" s="12"/>
      <c r="L874" s="12"/>
      <c r="M874" s="12"/>
      <c r="N874" s="12"/>
      <c r="O874" s="12"/>
      <c r="P874" s="12"/>
      <c r="Q874" s="12"/>
      <c r="R874" s="12"/>
      <c r="S874" s="12"/>
      <c r="T874" s="12"/>
      <c r="U874" s="12"/>
      <c r="V874" s="12"/>
      <c r="W874" s="12"/>
      <c r="X874" s="12"/>
      <c r="Y874" s="12"/>
      <c r="Z874" s="12"/>
      <c r="AA874" s="12"/>
      <c r="AB874" s="12"/>
      <c r="AC874" s="12"/>
      <c r="AD874" s="12"/>
      <c r="BD874" s="13">
        <v>42382</v>
      </c>
      <c r="BE874" s="13">
        <v>42674</v>
      </c>
      <c r="BF874" s="12"/>
      <c r="BG874" s="12" t="s">
        <v>817</v>
      </c>
      <c r="BH874" s="14">
        <v>232548</v>
      </c>
      <c r="BI874" s="12" t="s">
        <v>13275</v>
      </c>
      <c r="BJ874" s="12" t="s">
        <v>1899</v>
      </c>
      <c r="BK874" s="12" t="s">
        <v>13276</v>
      </c>
      <c r="BL874" s="12" t="s">
        <v>13277</v>
      </c>
      <c r="BM874" s="12" t="s">
        <v>13278</v>
      </c>
      <c r="BN874" s="12" t="s">
        <v>13279</v>
      </c>
      <c r="BO874" s="12" t="s">
        <v>320</v>
      </c>
      <c r="BP874" s="12" t="s">
        <v>319</v>
      </c>
      <c r="BQ874" s="12" t="s">
        <v>319</v>
      </c>
      <c r="BR874" s="12" t="s">
        <v>13280</v>
      </c>
      <c r="BS874" s="12" t="s">
        <v>357</v>
      </c>
      <c r="BT874" s="12" t="s">
        <v>13281</v>
      </c>
      <c r="BU874" s="12" t="s">
        <v>13282</v>
      </c>
      <c r="BV874" s="14">
        <v>5414</v>
      </c>
      <c r="BW874" s="14">
        <v>5414</v>
      </c>
      <c r="BX874" s="14">
        <v>10828</v>
      </c>
      <c r="BY874" s="14">
        <v>1561</v>
      </c>
      <c r="BZ874" s="14">
        <v>1561</v>
      </c>
      <c r="CA874" s="14">
        <v>3122</v>
      </c>
      <c r="CB874" s="12" t="s">
        <v>13283</v>
      </c>
      <c r="CD874" s="14">
        <v>9645</v>
      </c>
      <c r="CE874" s="14">
        <v>8920</v>
      </c>
      <c r="CF874" s="14">
        <v>18565</v>
      </c>
      <c r="CG874" s="14">
        <v>16489</v>
      </c>
      <c r="CH874" s="14">
        <v>16722</v>
      </c>
      <c r="CI874" s="14">
        <v>33211</v>
      </c>
      <c r="CJ874" s="12" t="s">
        <v>319</v>
      </c>
      <c r="CK874" s="14"/>
      <c r="CL874" s="16"/>
      <c r="CM874" s="14"/>
      <c r="CN874" s="12" t="s">
        <v>319</v>
      </c>
      <c r="CO874" s="14"/>
      <c r="CP874" s="16"/>
      <c r="CQ874" s="14"/>
      <c r="CR874" s="12" t="s">
        <v>319</v>
      </c>
      <c r="CS874" s="14"/>
      <c r="CT874" s="16"/>
      <c r="CU874" s="14"/>
      <c r="CV874" s="12" t="s">
        <v>319</v>
      </c>
      <c r="CW874" s="14"/>
      <c r="CX874" s="16"/>
      <c r="CY874" s="14"/>
      <c r="CZ874" s="12" t="s">
        <v>319</v>
      </c>
      <c r="DA874" s="14"/>
      <c r="DB874" s="16"/>
      <c r="DC874" s="14"/>
      <c r="DD874" s="12" t="s">
        <v>319</v>
      </c>
      <c r="DE874" s="14"/>
      <c r="DF874" s="16"/>
      <c r="DG874" s="14"/>
      <c r="DH874" s="12" t="s">
        <v>319</v>
      </c>
      <c r="DI874" s="14"/>
      <c r="DJ874" s="16"/>
      <c r="DK874" s="14"/>
      <c r="DL874" s="12" t="s">
        <v>319</v>
      </c>
      <c r="DM874" s="14"/>
      <c r="DN874" s="16"/>
      <c r="DO874" s="14"/>
      <c r="DP874" s="12" t="s">
        <v>319</v>
      </c>
      <c r="DQ874" s="14"/>
      <c r="DR874" s="16"/>
      <c r="DS874" s="14"/>
      <c r="DT874" s="12" t="s">
        <v>319</v>
      </c>
      <c r="DU874" s="14"/>
      <c r="DV874" s="16"/>
      <c r="DW874" s="14"/>
      <c r="DX874" s="12" t="s">
        <v>319</v>
      </c>
      <c r="DY874" s="14"/>
      <c r="DZ874" s="16"/>
      <c r="EA874" s="14"/>
      <c r="EB874" s="11" t="s">
        <v>320</v>
      </c>
      <c r="EC874" s="14">
        <v>18565</v>
      </c>
      <c r="ED874" s="16">
        <v>0.52</v>
      </c>
      <c r="EE874" s="14">
        <v>33211</v>
      </c>
      <c r="EF874" s="12"/>
      <c r="EG874" s="12"/>
      <c r="EH874" s="14"/>
      <c r="EI874" s="16"/>
      <c r="EJ874" s="14"/>
      <c r="EK874" s="14"/>
      <c r="EL874" s="14"/>
      <c r="EM874" s="14"/>
      <c r="EN874" s="14"/>
      <c r="EO874" s="14"/>
      <c r="EP874" s="14"/>
      <c r="EQ874" s="12"/>
      <c r="ER874" s="14"/>
      <c r="ES874" s="16"/>
      <c r="ET874" s="14"/>
      <c r="EU874" s="12"/>
      <c r="EV874" s="14"/>
      <c r="EW874" s="16"/>
      <c r="EX874" s="14"/>
      <c r="EY874" s="12"/>
      <c r="EZ874" s="14"/>
      <c r="FA874" s="16"/>
      <c r="FB874" s="14"/>
      <c r="FC874" s="12"/>
      <c r="FD874" s="14"/>
      <c r="FE874" s="16"/>
      <c r="FF874" s="14"/>
      <c r="FG874" s="12"/>
      <c r="FH874" s="14"/>
      <c r="FI874" s="16"/>
      <c r="FJ874" s="14"/>
      <c r="FK874" s="12"/>
      <c r="FL874" s="14"/>
      <c r="FM874" s="16"/>
      <c r="FN874" s="14"/>
      <c r="FO874" s="12"/>
      <c r="FP874" s="14"/>
      <c r="FQ874" s="16"/>
      <c r="FR874" s="14"/>
      <c r="FS874" s="12"/>
      <c r="FT874" s="14"/>
      <c r="FU874" s="16"/>
      <c r="FV874" s="14"/>
      <c r="FW874" s="12"/>
      <c r="FX874" s="14"/>
      <c r="FY874" s="16"/>
      <c r="FZ874" s="14"/>
      <c r="GA874" s="12"/>
      <c r="GB874" s="14"/>
      <c r="GC874" s="16"/>
      <c r="GD874" s="14"/>
      <c r="GE874" s="12"/>
      <c r="GF874" s="14"/>
      <c r="GG874" s="16"/>
      <c r="GH874" s="14"/>
      <c r="GI874" s="12"/>
      <c r="GJ874" s="14"/>
      <c r="GK874" s="16"/>
      <c r="GL874" s="14"/>
      <c r="GM874" s="12"/>
      <c r="GN874" s="14"/>
      <c r="GO874" s="16"/>
      <c r="GP874" s="14"/>
      <c r="GQ874" s="12"/>
      <c r="GR874" s="14"/>
      <c r="GS874" s="16"/>
      <c r="GT874" s="14"/>
      <c r="GU874" s="12"/>
      <c r="GV874" s="14"/>
      <c r="GW874" s="16"/>
      <c r="GX874" s="14"/>
      <c r="GY874" s="12"/>
      <c r="GZ874" s="14"/>
      <c r="HA874" s="16"/>
      <c r="HB874" s="14"/>
      <c r="HC874" s="12"/>
      <c r="HD874" s="12"/>
      <c r="HE874" s="14"/>
      <c r="HF874" s="16"/>
      <c r="HG874" s="14"/>
      <c r="HH874" s="12" t="s">
        <v>319</v>
      </c>
      <c r="HI874" s="12"/>
      <c r="HJ874" s="12"/>
      <c r="HK874" s="12" t="s">
        <v>319</v>
      </c>
      <c r="HL874" s="12" t="s">
        <v>319</v>
      </c>
      <c r="HM874" s="12"/>
      <c r="HN874" s="12"/>
      <c r="HO874" s="12"/>
      <c r="HP874" s="12" t="s">
        <v>330</v>
      </c>
      <c r="HQ874" s="12" t="s">
        <v>319</v>
      </c>
      <c r="HR874" s="12" t="s">
        <v>319</v>
      </c>
      <c r="HS874" s="12" t="s">
        <v>320</v>
      </c>
      <c r="HT874" s="12" t="s">
        <v>319</v>
      </c>
      <c r="HU874" s="12" t="s">
        <v>320</v>
      </c>
      <c r="HV874" s="12" t="s">
        <v>319</v>
      </c>
      <c r="HW874" s="12" t="s">
        <v>319</v>
      </c>
      <c r="HX874" s="12" t="s">
        <v>320</v>
      </c>
      <c r="HY874" s="12" t="s">
        <v>13284</v>
      </c>
      <c r="HZ874" s="12" t="s">
        <v>331</v>
      </c>
      <c r="IA874" s="12" t="s">
        <v>13285</v>
      </c>
      <c r="IB874" s="12" t="s">
        <v>396</v>
      </c>
      <c r="IC874" s="12" t="s">
        <v>13286</v>
      </c>
      <c r="ID874" s="12" t="s">
        <v>334</v>
      </c>
      <c r="IE874" s="12" t="s">
        <v>478</v>
      </c>
      <c r="IF874" s="12" t="s">
        <v>320</v>
      </c>
      <c r="IG874" s="12" t="s">
        <v>320</v>
      </c>
      <c r="IH874" s="12" t="s">
        <v>320</v>
      </c>
      <c r="II874" s="12" t="s">
        <v>320</v>
      </c>
      <c r="IJ874" s="12" t="str">
        <f t="shared" ref="IJ874:IJ937" si="602">IF(IE874="","No marker score",IF(ISNUMBER(SEARCH("select",IE874)),"",IF(ISNUMBER(SEARCH("Did NOT",IE874)),"0. Harmful",IF(ISNUMBER(SEARCH("CHALLENGED",IE874)),IF(IK874=4,"4. Transformative",IF(IK874&gt;1,"3. Responsive",IF(IK874&lt;=1,"No marker score",""))),IF(ISNUMBER(SEARCH("WORKED WITH",IE874)),IF(IK874=4,"2. Sensitive",IF(IK874&gt;1,"1. Neutral","0. Harmful")))))))</f>
        <v>4. Transformative</v>
      </c>
      <c r="IK874" s="12">
        <f t="shared" si="561"/>
        <v>4</v>
      </c>
      <c r="IL874" s="12" t="s">
        <v>336</v>
      </c>
      <c r="IM874" s="12" t="s">
        <v>320</v>
      </c>
      <c r="IN874" s="12" t="s">
        <v>320</v>
      </c>
      <c r="IO874" s="12" t="s">
        <v>320</v>
      </c>
      <c r="IP874" s="12" t="s">
        <v>320</v>
      </c>
      <c r="IQ874" s="12" t="str">
        <f t="shared" si="562"/>
        <v>2. Accommodating</v>
      </c>
      <c r="IR874" s="12">
        <f t="shared" si="563"/>
        <v>4</v>
      </c>
      <c r="IS874" s="12" t="s">
        <v>622</v>
      </c>
      <c r="IT874" s="12" t="s">
        <v>319</v>
      </c>
      <c r="IU874" s="12" t="s">
        <v>320</v>
      </c>
      <c r="IV874" s="12" t="s">
        <v>320</v>
      </c>
      <c r="IW874" s="11" t="str">
        <f t="shared" si="564"/>
        <v>3. Responsive</v>
      </c>
      <c r="IX874" s="12">
        <f t="shared" si="565"/>
        <v>2</v>
      </c>
      <c r="IY874" s="12" t="s">
        <v>419</v>
      </c>
      <c r="IZ874" s="12" t="s">
        <v>457</v>
      </c>
      <c r="JA874" s="12">
        <v>3</v>
      </c>
      <c r="JB874" s="12" t="s">
        <v>831</v>
      </c>
      <c r="JC874" s="12" t="s">
        <v>687</v>
      </c>
      <c r="JD874" s="12" t="s">
        <v>433</v>
      </c>
      <c r="JE874" s="12" t="s">
        <v>365</v>
      </c>
      <c r="JF874" s="12" t="s">
        <v>13287</v>
      </c>
      <c r="JG874" s="12"/>
      <c r="JH874" s="12" t="s">
        <v>13288</v>
      </c>
      <c r="JI874" s="12" t="s">
        <v>13289</v>
      </c>
      <c r="JJ874" s="12" t="s">
        <v>13290</v>
      </c>
      <c r="JK874" s="12" t="s">
        <v>13291</v>
      </c>
      <c r="JL874" s="12" t="s">
        <v>13292</v>
      </c>
      <c r="JM874" s="12" t="s">
        <v>13293</v>
      </c>
      <c r="JN874" s="12"/>
      <c r="JO874" s="12"/>
      <c r="JP874" s="15">
        <f t="shared" si="566"/>
        <v>18565</v>
      </c>
      <c r="JQ874" s="15">
        <f t="shared" si="567"/>
        <v>33211</v>
      </c>
      <c r="JR874" s="279">
        <f t="shared" si="568"/>
        <v>1.7889038513331539</v>
      </c>
      <c r="JS874" s="17">
        <f t="shared" si="569"/>
        <v>0.51952598976568809</v>
      </c>
      <c r="JT874" s="18">
        <f t="shared" si="570"/>
        <v>0.49649212610279725</v>
      </c>
      <c r="JU874" s="280">
        <f t="shared" si="571"/>
        <v>9645</v>
      </c>
      <c r="JV874" s="280">
        <f t="shared" si="572"/>
        <v>16489</v>
      </c>
      <c r="JW874" s="319">
        <f t="shared" si="573"/>
        <v>1</v>
      </c>
      <c r="JX874" s="15">
        <f t="shared" si="574"/>
        <v>18565</v>
      </c>
      <c r="JY874" s="15">
        <f t="shared" si="575"/>
        <v>33211</v>
      </c>
      <c r="JZ874" s="19">
        <f t="shared" si="576"/>
        <v>1.7889038513331539</v>
      </c>
      <c r="KA874" s="52" t="str">
        <f t="shared" si="577"/>
        <v/>
      </c>
      <c r="KB874" s="15">
        <f t="shared" si="578"/>
        <v>0</v>
      </c>
      <c r="KC874" s="15">
        <f t="shared" si="579"/>
        <v>0</v>
      </c>
      <c r="KD874" s="20" t="str">
        <f t="shared" si="580"/>
        <v/>
      </c>
      <c r="KE874" s="52" t="str">
        <f t="shared" si="581"/>
        <v/>
      </c>
      <c r="KF874" s="15">
        <f t="shared" si="582"/>
        <v>0</v>
      </c>
      <c r="KG874" s="15">
        <f t="shared" si="583"/>
        <v>0</v>
      </c>
      <c r="KH874" s="21" t="str">
        <f t="shared" si="584"/>
        <v/>
      </c>
      <c r="KI874" s="52" t="str">
        <f t="shared" si="585"/>
        <v/>
      </c>
      <c r="KJ874" s="15">
        <f t="shared" si="586"/>
        <v>0</v>
      </c>
      <c r="KK874" s="15">
        <f t="shared" si="587"/>
        <v>0</v>
      </c>
      <c r="KL874" s="19" t="str">
        <f t="shared" si="588"/>
        <v/>
      </c>
      <c r="KM874" s="52" t="str">
        <f t="shared" si="589"/>
        <v/>
      </c>
      <c r="KN874" s="22">
        <f t="shared" si="590"/>
        <v>0</v>
      </c>
      <c r="KO874" s="22">
        <f t="shared" si="591"/>
        <v>0</v>
      </c>
      <c r="KP874" s="19" t="str">
        <f t="shared" si="592"/>
        <v/>
      </c>
      <c r="KQ874" s="11" t="str">
        <f t="shared" si="593"/>
        <v>4. Transformative</v>
      </c>
      <c r="KR874" s="11" t="str">
        <f t="shared" si="594"/>
        <v>2. Accommodating</v>
      </c>
      <c r="KS874" s="11" t="str">
        <f t="shared" si="595"/>
        <v>3. Responsive</v>
      </c>
      <c r="KT874" s="11" t="str">
        <f t="shared" si="596"/>
        <v>It tested new ways for fighting poverty and measured results of innovation</v>
      </c>
      <c r="KU874" s="11" t="str">
        <f t="shared" si="597"/>
        <v>Moderate advocacy</v>
      </c>
      <c r="KV874" s="11" t="str">
        <f t="shared" si="598"/>
        <v>It linked and worked with strategic alliances and partners to take tested and effective solutions to scale</v>
      </c>
      <c r="KW874" s="11" t="str">
        <f t="shared" si="599"/>
        <v>Vanuatu - Emergency WASH response to El Nino in Vanuatu</v>
      </c>
      <c r="KX874" s="11" t="str">
        <f t="shared" si="600"/>
        <v>Emergency WASH response to El Nino in Vanuatu</v>
      </c>
      <c r="KY874" s="11" t="str">
        <f t="shared" si="601"/>
        <v>Vanuatu</v>
      </c>
      <c r="KZ874" s="12">
        <v>875</v>
      </c>
    </row>
    <row r="875" spans="1:312" x14ac:dyDescent="0.3">
      <c r="A875" s="12" t="s">
        <v>13272</v>
      </c>
      <c r="B875" s="12" t="s">
        <v>306</v>
      </c>
      <c r="C875" s="12">
        <v>3690</v>
      </c>
      <c r="D875" s="12" t="s">
        <v>13294</v>
      </c>
      <c r="E875" s="277" t="str">
        <f t="shared" si="559"/>
        <v>Vanuatu</v>
      </c>
      <c r="F875" s="12" t="s">
        <v>13295</v>
      </c>
      <c r="G875" s="12" t="s">
        <v>309</v>
      </c>
      <c r="H875" s="12" t="s">
        <v>310</v>
      </c>
      <c r="I875" s="12" t="s">
        <v>311</v>
      </c>
      <c r="J875" s="281" t="s">
        <v>14565</v>
      </c>
      <c r="K875" s="12"/>
      <c r="L875" s="12"/>
      <c r="M875" s="12"/>
      <c r="N875" s="12"/>
      <c r="O875" s="12"/>
      <c r="P875" s="12"/>
      <c r="Q875" s="12"/>
      <c r="R875" s="12"/>
      <c r="S875" s="12"/>
      <c r="T875" s="12"/>
      <c r="U875" s="12"/>
      <c r="V875" s="12"/>
      <c r="W875" s="12"/>
      <c r="X875" s="12"/>
      <c r="Y875" s="12"/>
      <c r="Z875" s="12"/>
      <c r="AA875" s="12"/>
      <c r="AB875" s="12"/>
      <c r="AC875" s="12"/>
      <c r="AD875" s="12"/>
      <c r="BD875" s="13">
        <v>41821</v>
      </c>
      <c r="BE875" s="13">
        <v>42916</v>
      </c>
      <c r="BF875" s="12"/>
      <c r="BG875" s="12" t="s">
        <v>749</v>
      </c>
      <c r="BH875" s="14"/>
      <c r="BI875" s="12" t="s">
        <v>13275</v>
      </c>
      <c r="BJ875" s="12" t="s">
        <v>1899</v>
      </c>
      <c r="BK875" s="12"/>
      <c r="BL875" s="12" t="s">
        <v>13296</v>
      </c>
      <c r="BM875" s="12" t="s">
        <v>1602</v>
      </c>
      <c r="BN875" s="12"/>
      <c r="BO875" s="12" t="s">
        <v>319</v>
      </c>
      <c r="BP875" s="12" t="s">
        <v>320</v>
      </c>
      <c r="BQ875" s="12" t="s">
        <v>319</v>
      </c>
      <c r="BR875" s="12" t="s">
        <v>13297</v>
      </c>
      <c r="BS875" s="12" t="s">
        <v>322</v>
      </c>
      <c r="BT875" s="12" t="s">
        <v>13298</v>
      </c>
      <c r="BU875" s="12" t="s">
        <v>13299</v>
      </c>
      <c r="BV875" s="14">
        <v>1161</v>
      </c>
      <c r="BW875" s="14">
        <v>1232</v>
      </c>
      <c r="BX875" s="14">
        <v>2393</v>
      </c>
      <c r="BY875" s="14">
        <v>1671</v>
      </c>
      <c r="BZ875" s="14">
        <v>1671</v>
      </c>
      <c r="CA875" s="14">
        <v>3342</v>
      </c>
      <c r="CB875" s="12" t="s">
        <v>13300</v>
      </c>
      <c r="CD875" s="14"/>
      <c r="CE875" s="14"/>
      <c r="CF875" s="14"/>
      <c r="CG875" s="14"/>
      <c r="CH875" s="14"/>
      <c r="CI875" s="14"/>
      <c r="CJ875" s="12"/>
      <c r="CK875" s="14"/>
      <c r="CL875" s="16"/>
      <c r="CM875" s="14"/>
      <c r="CN875" s="12"/>
      <c r="CO875" s="14"/>
      <c r="CP875" s="16"/>
      <c r="CQ875" s="14"/>
      <c r="CR875" s="12"/>
      <c r="CS875" s="14"/>
      <c r="CT875" s="16"/>
      <c r="CU875" s="14"/>
      <c r="CV875" s="12"/>
      <c r="CW875" s="14"/>
      <c r="CX875" s="16"/>
      <c r="CY875" s="14"/>
      <c r="CZ875" s="12"/>
      <c r="DA875" s="14"/>
      <c r="DB875" s="16"/>
      <c r="DC875" s="14"/>
      <c r="DD875" s="12"/>
      <c r="DE875" s="14"/>
      <c r="DF875" s="16"/>
      <c r="DG875" s="14"/>
      <c r="DH875" s="12"/>
      <c r="DI875" s="14"/>
      <c r="DJ875" s="16"/>
      <c r="DK875" s="14"/>
      <c r="DL875" s="12"/>
      <c r="DM875" s="14"/>
      <c r="DN875" s="16"/>
      <c r="DO875" s="14"/>
      <c r="DP875" s="12"/>
      <c r="DQ875" s="14"/>
      <c r="DR875" s="16"/>
      <c r="DS875" s="14"/>
      <c r="DT875" s="12"/>
      <c r="DU875" s="14"/>
      <c r="DV875" s="16"/>
      <c r="DW875" s="14"/>
      <c r="DX875" s="12"/>
      <c r="DY875" s="14"/>
      <c r="DZ875" s="16"/>
      <c r="EA875" s="14"/>
      <c r="EB875" s="12"/>
      <c r="EC875" s="14"/>
      <c r="ED875" s="16"/>
      <c r="EE875" s="14"/>
      <c r="EF875" s="12"/>
      <c r="EG875" s="12"/>
      <c r="EH875" s="14"/>
      <c r="EI875" s="16"/>
      <c r="EJ875" s="14"/>
      <c r="EK875" s="14">
        <v>2367</v>
      </c>
      <c r="EL875" s="14">
        <v>2420</v>
      </c>
      <c r="EM875" s="14">
        <v>4787</v>
      </c>
      <c r="EN875" s="14">
        <v>696</v>
      </c>
      <c r="EO875" s="14">
        <v>749</v>
      </c>
      <c r="EP875" s="14">
        <v>1445</v>
      </c>
      <c r="EQ875" s="12" t="s">
        <v>319</v>
      </c>
      <c r="ER875" s="14"/>
      <c r="ES875" s="16"/>
      <c r="ET875" s="14"/>
      <c r="EU875" s="11" t="s">
        <v>320</v>
      </c>
      <c r="EV875" s="14">
        <v>4787</v>
      </c>
      <c r="EW875" s="16">
        <v>0.49</v>
      </c>
      <c r="EX875" s="14">
        <v>1445</v>
      </c>
      <c r="EY875" s="12" t="s">
        <v>319</v>
      </c>
      <c r="EZ875" s="14"/>
      <c r="FA875" s="16"/>
      <c r="FB875" s="14"/>
      <c r="FC875" s="12" t="s">
        <v>320</v>
      </c>
      <c r="FD875" s="14">
        <v>4787</v>
      </c>
      <c r="FE875" s="16">
        <v>0.49</v>
      </c>
      <c r="FF875" s="14">
        <v>1445</v>
      </c>
      <c r="FG875" s="12" t="s">
        <v>319</v>
      </c>
      <c r="FH875" s="14"/>
      <c r="FI875" s="16"/>
      <c r="FJ875" s="14"/>
      <c r="FK875" s="12" t="s">
        <v>319</v>
      </c>
      <c r="FL875" s="14"/>
      <c r="FM875" s="16"/>
      <c r="FN875" s="14"/>
      <c r="FO875" s="12" t="s">
        <v>319</v>
      </c>
      <c r="FP875" s="14"/>
      <c r="FQ875" s="16"/>
      <c r="FR875" s="14"/>
      <c r="FS875" s="12" t="s">
        <v>319</v>
      </c>
      <c r="FT875" s="14"/>
      <c r="FU875" s="16"/>
      <c r="FV875" s="14"/>
      <c r="FW875" s="12" t="s">
        <v>319</v>
      </c>
      <c r="FX875" s="14"/>
      <c r="FY875" s="16"/>
      <c r="FZ875" s="14"/>
      <c r="GA875" s="12" t="s">
        <v>319</v>
      </c>
      <c r="GB875" s="14"/>
      <c r="GC875" s="16"/>
      <c r="GD875" s="14"/>
      <c r="GE875" s="12" t="s">
        <v>319</v>
      </c>
      <c r="GF875" s="14"/>
      <c r="GG875" s="16"/>
      <c r="GH875" s="14"/>
      <c r="GI875" s="12" t="s">
        <v>319</v>
      </c>
      <c r="GJ875" s="14"/>
      <c r="GK875" s="16"/>
      <c r="GL875" s="14"/>
      <c r="GM875" s="12" t="s">
        <v>319</v>
      </c>
      <c r="GN875" s="14"/>
      <c r="GO875" s="16"/>
      <c r="GP875" s="14"/>
      <c r="GQ875" s="12" t="s">
        <v>319</v>
      </c>
      <c r="GR875" s="14"/>
      <c r="GS875" s="16"/>
      <c r="GT875" s="14"/>
      <c r="GU875" s="12" t="s">
        <v>319</v>
      </c>
      <c r="GV875" s="14"/>
      <c r="GW875" s="16"/>
      <c r="GX875" s="14"/>
      <c r="GY875" s="12" t="s">
        <v>319</v>
      </c>
      <c r="GZ875" s="14"/>
      <c r="HA875" s="16"/>
      <c r="HB875" s="14"/>
      <c r="HC875" s="12"/>
      <c r="HD875" s="12" t="s">
        <v>319</v>
      </c>
      <c r="HE875" s="14"/>
      <c r="HF875" s="16"/>
      <c r="HG875" s="14"/>
      <c r="HH875" s="12" t="s">
        <v>320</v>
      </c>
      <c r="HI875" s="12" t="s">
        <v>560</v>
      </c>
      <c r="HJ875" s="12">
        <v>2017</v>
      </c>
      <c r="HK875" s="12" t="s">
        <v>319</v>
      </c>
      <c r="HL875" s="12" t="s">
        <v>319</v>
      </c>
      <c r="HM875" s="12"/>
      <c r="HN875" s="12"/>
      <c r="HO875" s="12"/>
      <c r="HP875" s="12" t="s">
        <v>330</v>
      </c>
      <c r="HQ875" s="12" t="s">
        <v>320</v>
      </c>
      <c r="HR875" s="12" t="s">
        <v>319</v>
      </c>
      <c r="HS875" s="12" t="s">
        <v>320</v>
      </c>
      <c r="HT875" s="12" t="s">
        <v>320</v>
      </c>
      <c r="HU875" s="12" t="s">
        <v>320</v>
      </c>
      <c r="HV875" s="12" t="s">
        <v>320</v>
      </c>
      <c r="HW875" s="12" t="s">
        <v>319</v>
      </c>
      <c r="HX875" s="12" t="s">
        <v>319</v>
      </c>
      <c r="HY875" s="12"/>
      <c r="HZ875" s="12" t="s">
        <v>331</v>
      </c>
      <c r="IA875" s="12" t="s">
        <v>13301</v>
      </c>
      <c r="IB875" s="12" t="s">
        <v>396</v>
      </c>
      <c r="IC875" s="12" t="s">
        <v>13302</v>
      </c>
      <c r="ID875" s="12" t="s">
        <v>364</v>
      </c>
      <c r="IE875" s="12" t="s">
        <v>478</v>
      </c>
      <c r="IF875" s="12" t="s">
        <v>320</v>
      </c>
      <c r="IG875" s="12" t="s">
        <v>320</v>
      </c>
      <c r="IH875" s="12" t="s">
        <v>319</v>
      </c>
      <c r="II875" s="12" t="s">
        <v>320</v>
      </c>
      <c r="IJ875" s="12" t="str">
        <f t="shared" si="602"/>
        <v>3. Responsive</v>
      </c>
      <c r="IK875" s="12">
        <f t="shared" si="561"/>
        <v>3</v>
      </c>
      <c r="IL875" s="11" t="s">
        <v>621</v>
      </c>
      <c r="IM875" s="12" t="s">
        <v>319</v>
      </c>
      <c r="IN875" s="12" t="s">
        <v>320</v>
      </c>
      <c r="IO875" s="12" t="s">
        <v>320</v>
      </c>
      <c r="IP875" s="12" t="s">
        <v>320</v>
      </c>
      <c r="IQ875" s="12" t="str">
        <f t="shared" si="562"/>
        <v>3. Responsive</v>
      </c>
      <c r="IR875" s="12">
        <f t="shared" si="563"/>
        <v>3</v>
      </c>
      <c r="IS875" s="12" t="s">
        <v>622</v>
      </c>
      <c r="IT875" s="12" t="s">
        <v>320</v>
      </c>
      <c r="IU875" s="12" t="s">
        <v>320</v>
      </c>
      <c r="IV875" s="12" t="s">
        <v>320</v>
      </c>
      <c r="IW875" s="11" t="str">
        <f t="shared" si="564"/>
        <v>4. Transformative</v>
      </c>
      <c r="IX875" s="12">
        <f t="shared" si="565"/>
        <v>3</v>
      </c>
      <c r="IY875" s="12" t="s">
        <v>758</v>
      </c>
      <c r="IZ875" s="12" t="s">
        <v>432</v>
      </c>
      <c r="JA875" s="12">
        <v>4</v>
      </c>
      <c r="JB875" s="12" t="s">
        <v>433</v>
      </c>
      <c r="JC875" s="12" t="s">
        <v>687</v>
      </c>
      <c r="JD875" s="12" t="s">
        <v>651</v>
      </c>
      <c r="JE875" s="12" t="s">
        <v>365</v>
      </c>
      <c r="JF875" s="12" t="s">
        <v>13303</v>
      </c>
      <c r="JG875" s="12"/>
      <c r="JH875" s="12" t="s">
        <v>13304</v>
      </c>
      <c r="JI875" s="12" t="s">
        <v>13305</v>
      </c>
      <c r="JJ875" s="12" t="s">
        <v>13306</v>
      </c>
      <c r="JK875" s="12" t="s">
        <v>13307</v>
      </c>
      <c r="JL875" s="12" t="s">
        <v>13308</v>
      </c>
      <c r="JM875" s="12" t="s">
        <v>13309</v>
      </c>
      <c r="JN875" s="12"/>
      <c r="JO875" s="12" t="s">
        <v>13310</v>
      </c>
      <c r="JP875" s="15">
        <f t="shared" si="566"/>
        <v>4787</v>
      </c>
      <c r="JQ875" s="15">
        <f t="shared" si="567"/>
        <v>1445</v>
      </c>
      <c r="JR875" s="279">
        <f t="shared" si="568"/>
        <v>0.30185920200543137</v>
      </c>
      <c r="JS875" s="17">
        <f t="shared" si="569"/>
        <v>0.49446417380405266</v>
      </c>
      <c r="JT875" s="18">
        <f t="shared" si="570"/>
        <v>0.48166089965397924</v>
      </c>
      <c r="JU875" s="280">
        <f t="shared" si="571"/>
        <v>2367</v>
      </c>
      <c r="JV875" s="280">
        <f t="shared" si="572"/>
        <v>696</v>
      </c>
      <c r="JW875" s="319" t="str">
        <f t="shared" si="573"/>
        <v/>
      </c>
      <c r="JX875" s="15">
        <f t="shared" si="574"/>
        <v>0</v>
      </c>
      <c r="JY875" s="15">
        <f t="shared" si="575"/>
        <v>0</v>
      </c>
      <c r="JZ875" s="19" t="str">
        <f t="shared" si="576"/>
        <v/>
      </c>
      <c r="KA875" s="52">
        <f t="shared" si="577"/>
        <v>1</v>
      </c>
      <c r="KB875" s="15">
        <f t="shared" si="578"/>
        <v>4787</v>
      </c>
      <c r="KC875" s="15">
        <f t="shared" si="579"/>
        <v>1445</v>
      </c>
      <c r="KD875" s="20">
        <f t="shared" si="580"/>
        <v>0.30185920200543137</v>
      </c>
      <c r="KE875" s="52" t="str">
        <f t="shared" si="581"/>
        <v/>
      </c>
      <c r="KF875" s="15">
        <f t="shared" si="582"/>
        <v>0</v>
      </c>
      <c r="KG875" s="15">
        <f t="shared" si="583"/>
        <v>0</v>
      </c>
      <c r="KH875" s="21" t="str">
        <f t="shared" si="584"/>
        <v/>
      </c>
      <c r="KI875" s="52" t="str">
        <f t="shared" si="585"/>
        <v/>
      </c>
      <c r="KJ875" s="15">
        <f t="shared" si="586"/>
        <v>0</v>
      </c>
      <c r="KK875" s="15">
        <f t="shared" si="587"/>
        <v>0</v>
      </c>
      <c r="KL875" s="19" t="str">
        <f t="shared" si="588"/>
        <v/>
      </c>
      <c r="KM875" s="52" t="str">
        <f t="shared" si="589"/>
        <v/>
      </c>
      <c r="KN875" s="22">
        <f t="shared" si="590"/>
        <v>0</v>
      </c>
      <c r="KO875" s="22">
        <f t="shared" si="591"/>
        <v>0</v>
      </c>
      <c r="KP875" s="19" t="str">
        <f t="shared" si="592"/>
        <v/>
      </c>
      <c r="KQ875" s="11" t="str">
        <f t="shared" si="593"/>
        <v>3. Responsive</v>
      </c>
      <c r="KR875" s="11" t="str">
        <f t="shared" si="594"/>
        <v>3. Responsive</v>
      </c>
      <c r="KS875" s="11" t="str">
        <f t="shared" si="595"/>
        <v>4. Transformative</v>
      </c>
      <c r="KT875" s="11" t="str">
        <f t="shared" si="596"/>
        <v>It tested new ways for fighting poverty and measured results of innovation</v>
      </c>
      <c r="KU875" s="11" t="str">
        <f t="shared" si="597"/>
        <v>Moderate advocacy</v>
      </c>
      <c r="KV875" s="11" t="str">
        <f t="shared" si="598"/>
        <v>It linked and worked with strategic alliances and partners to take tested and effective solutions to scale</v>
      </c>
      <c r="KW875" s="11" t="str">
        <f t="shared" si="599"/>
        <v>Vanuatu - Increasing small island Resilience to Climate Change and disasters in Vanuatu</v>
      </c>
      <c r="KX875" s="11" t="str">
        <f t="shared" si="600"/>
        <v>Increasing small island Resilience to Climate Change and disasters in Vanuatu</v>
      </c>
      <c r="KY875" s="11" t="str">
        <f t="shared" si="601"/>
        <v>Vanuatu</v>
      </c>
      <c r="KZ875" s="12">
        <v>876</v>
      </c>
    </row>
    <row r="876" spans="1:312" x14ac:dyDescent="0.3">
      <c r="A876" s="12" t="s">
        <v>13272</v>
      </c>
      <c r="B876" s="12" t="s">
        <v>306</v>
      </c>
      <c r="C876" s="12">
        <v>3693</v>
      </c>
      <c r="D876" s="12" t="s">
        <v>13311</v>
      </c>
      <c r="E876" s="277" t="str">
        <f t="shared" si="559"/>
        <v>Vanuatu</v>
      </c>
      <c r="F876" s="12" t="s">
        <v>13312</v>
      </c>
      <c r="G876" s="12" t="s">
        <v>309</v>
      </c>
      <c r="H876" s="12" t="s">
        <v>310</v>
      </c>
      <c r="I876" s="12" t="s">
        <v>655</v>
      </c>
      <c r="J876" s="281" t="s">
        <v>9916</v>
      </c>
      <c r="K876" s="12"/>
      <c r="L876" s="12"/>
      <c r="M876" s="12"/>
      <c r="N876" s="12"/>
      <c r="O876" s="12"/>
      <c r="P876" s="12"/>
      <c r="Q876" s="12"/>
      <c r="R876" s="12"/>
      <c r="S876" s="12"/>
      <c r="T876" s="12"/>
      <c r="U876" s="12"/>
      <c r="V876" s="12"/>
      <c r="W876" s="12"/>
      <c r="X876" s="12"/>
      <c r="Y876" s="12"/>
      <c r="Z876" s="12"/>
      <c r="AA876" s="12"/>
      <c r="AB876" s="12"/>
      <c r="AC876" s="12"/>
      <c r="AD876" s="12"/>
      <c r="BD876" s="13">
        <v>42353</v>
      </c>
      <c r="BE876" s="13">
        <v>42719</v>
      </c>
      <c r="BF876" s="13">
        <v>42846</v>
      </c>
      <c r="BG876" s="12" t="s">
        <v>817</v>
      </c>
      <c r="BH876" s="14">
        <v>1002898</v>
      </c>
      <c r="BI876" s="12" t="s">
        <v>13275</v>
      </c>
      <c r="BJ876" s="12" t="s">
        <v>1899</v>
      </c>
      <c r="BK876" s="12" t="s">
        <v>13276</v>
      </c>
      <c r="BL876" s="12" t="s">
        <v>13277</v>
      </c>
      <c r="BM876" s="12" t="s">
        <v>13278</v>
      </c>
      <c r="BN876" s="12" t="s">
        <v>13279</v>
      </c>
      <c r="BO876" s="12" t="s">
        <v>320</v>
      </c>
      <c r="BP876" s="12" t="s">
        <v>320</v>
      </c>
      <c r="BQ876" s="12" t="s">
        <v>320</v>
      </c>
      <c r="BR876" s="12" t="s">
        <v>13313</v>
      </c>
      <c r="BS876" s="12" t="s">
        <v>357</v>
      </c>
      <c r="BT876" s="12" t="s">
        <v>13314</v>
      </c>
      <c r="BU876" s="12" t="s">
        <v>13315</v>
      </c>
      <c r="BV876" s="14">
        <v>3409</v>
      </c>
      <c r="BW876" s="14">
        <v>3348</v>
      </c>
      <c r="BX876" s="14">
        <v>6757</v>
      </c>
      <c r="BY876" s="14">
        <v>3446</v>
      </c>
      <c r="BZ876" s="14">
        <v>3414</v>
      </c>
      <c r="CA876" s="14">
        <v>6860</v>
      </c>
      <c r="CB876" s="12" t="s">
        <v>13316</v>
      </c>
      <c r="CD876" s="14">
        <v>1386</v>
      </c>
      <c r="CE876" s="14">
        <v>1443</v>
      </c>
      <c r="CF876" s="14">
        <v>2829</v>
      </c>
      <c r="CG876" s="14">
        <v>3446</v>
      </c>
      <c r="CH876" s="14">
        <v>3414</v>
      </c>
      <c r="CI876" s="14">
        <v>6860</v>
      </c>
      <c r="CJ876" s="12" t="s">
        <v>319</v>
      </c>
      <c r="CK876" s="14"/>
      <c r="CL876" s="16"/>
      <c r="CM876" s="14"/>
      <c r="CN876" s="12" t="s">
        <v>319</v>
      </c>
      <c r="CO876" s="14"/>
      <c r="CP876" s="16"/>
      <c r="CQ876" s="14"/>
      <c r="CR876" s="12" t="s">
        <v>319</v>
      </c>
      <c r="CS876" s="14"/>
      <c r="CT876" s="16"/>
      <c r="CU876" s="14"/>
      <c r="CV876" s="12" t="s">
        <v>319</v>
      </c>
      <c r="CW876" s="14"/>
      <c r="CX876" s="16"/>
      <c r="CY876" s="14"/>
      <c r="CZ876" s="12" t="s">
        <v>319</v>
      </c>
      <c r="DA876" s="14"/>
      <c r="DB876" s="16"/>
      <c r="DC876" s="14"/>
      <c r="DD876" s="12" t="s">
        <v>319</v>
      </c>
      <c r="DE876" s="14"/>
      <c r="DF876" s="16"/>
      <c r="DG876" s="14"/>
      <c r="DH876" s="12" t="s">
        <v>319</v>
      </c>
      <c r="DI876" s="14"/>
      <c r="DJ876" s="16"/>
      <c r="DK876" s="14"/>
      <c r="DL876" s="12" t="s">
        <v>319</v>
      </c>
      <c r="DM876" s="14"/>
      <c r="DN876" s="16"/>
      <c r="DO876" s="14"/>
      <c r="DP876" s="12" t="s">
        <v>319</v>
      </c>
      <c r="DQ876" s="14"/>
      <c r="DR876" s="16"/>
      <c r="DS876" s="14"/>
      <c r="DT876" s="12" t="s">
        <v>319</v>
      </c>
      <c r="DU876" s="14"/>
      <c r="DV876" s="16"/>
      <c r="DW876" s="14"/>
      <c r="DX876" s="12" t="s">
        <v>319</v>
      </c>
      <c r="DY876" s="14"/>
      <c r="DZ876" s="16"/>
      <c r="EA876" s="14"/>
      <c r="EB876" s="11" t="s">
        <v>320</v>
      </c>
      <c r="EC876" s="14">
        <v>2829</v>
      </c>
      <c r="ED876" s="16">
        <v>0.49</v>
      </c>
      <c r="EE876" s="14">
        <v>6860</v>
      </c>
      <c r="EF876" s="12"/>
      <c r="EG876" s="12" t="s">
        <v>319</v>
      </c>
      <c r="EH876" s="14"/>
      <c r="EI876" s="16"/>
      <c r="EJ876" s="14"/>
      <c r="EK876" s="14">
        <v>1386</v>
      </c>
      <c r="EL876" s="14">
        <v>1443</v>
      </c>
      <c r="EM876" s="14">
        <v>2829</v>
      </c>
      <c r="EN876" s="14">
        <v>3446</v>
      </c>
      <c r="EO876" s="14">
        <v>3414</v>
      </c>
      <c r="EP876" s="14">
        <v>6860</v>
      </c>
      <c r="EQ876" s="12" t="s">
        <v>319</v>
      </c>
      <c r="ER876" s="14"/>
      <c r="ES876" s="16"/>
      <c r="ET876" s="14"/>
      <c r="EU876" s="11" t="s">
        <v>319</v>
      </c>
      <c r="EV876" s="14"/>
      <c r="EW876" s="16"/>
      <c r="EX876" s="14"/>
      <c r="EY876" s="12" t="s">
        <v>319</v>
      </c>
      <c r="EZ876" s="14"/>
      <c r="FA876" s="16"/>
      <c r="FB876" s="14"/>
      <c r="FC876" s="12" t="s">
        <v>319</v>
      </c>
      <c r="FD876" s="14"/>
      <c r="FE876" s="16"/>
      <c r="FF876" s="14"/>
      <c r="FG876" s="12" t="s">
        <v>319</v>
      </c>
      <c r="FH876" s="14"/>
      <c r="FI876" s="16"/>
      <c r="FJ876" s="14"/>
      <c r="FK876" s="12" t="s">
        <v>319</v>
      </c>
      <c r="FL876" s="14"/>
      <c r="FM876" s="16"/>
      <c r="FN876" s="14"/>
      <c r="FO876" s="12" t="s">
        <v>319</v>
      </c>
      <c r="FP876" s="14"/>
      <c r="FQ876" s="16"/>
      <c r="FR876" s="14"/>
      <c r="FS876" s="12" t="s">
        <v>319</v>
      </c>
      <c r="FT876" s="14"/>
      <c r="FU876" s="16"/>
      <c r="FV876" s="14"/>
      <c r="FW876" s="12" t="s">
        <v>319</v>
      </c>
      <c r="FX876" s="14"/>
      <c r="FY876" s="16"/>
      <c r="FZ876" s="14"/>
      <c r="GA876" s="12" t="s">
        <v>319</v>
      </c>
      <c r="GB876" s="14"/>
      <c r="GC876" s="16"/>
      <c r="GD876" s="14"/>
      <c r="GE876" s="12" t="s">
        <v>319</v>
      </c>
      <c r="GF876" s="14"/>
      <c r="GG876" s="16"/>
      <c r="GH876" s="14"/>
      <c r="GI876" s="12" t="s">
        <v>319</v>
      </c>
      <c r="GJ876" s="14"/>
      <c r="GK876" s="16"/>
      <c r="GL876" s="14"/>
      <c r="GM876" s="12" t="s">
        <v>319</v>
      </c>
      <c r="GN876" s="14"/>
      <c r="GO876" s="16"/>
      <c r="GP876" s="14"/>
      <c r="GQ876" s="12" t="s">
        <v>320</v>
      </c>
      <c r="GR876" s="14"/>
      <c r="GS876" s="16"/>
      <c r="GT876" s="14"/>
      <c r="GU876" s="12" t="s">
        <v>320</v>
      </c>
      <c r="GV876" s="14">
        <v>2829</v>
      </c>
      <c r="GW876" s="16">
        <v>0.49</v>
      </c>
      <c r="GX876" s="14">
        <v>6860</v>
      </c>
      <c r="GY876" s="12" t="s">
        <v>319</v>
      </c>
      <c r="GZ876" s="14"/>
      <c r="HA876" s="16"/>
      <c r="HB876" s="14"/>
      <c r="HC876" s="12"/>
      <c r="HD876" s="12" t="s">
        <v>319</v>
      </c>
      <c r="HE876" s="14"/>
      <c r="HF876" s="16"/>
      <c r="HG876" s="14"/>
      <c r="HH876" s="12" t="s">
        <v>320</v>
      </c>
      <c r="HI876" s="12" t="s">
        <v>451</v>
      </c>
      <c r="HJ876" s="12">
        <v>2017</v>
      </c>
      <c r="HK876" s="12" t="s">
        <v>319</v>
      </c>
      <c r="HL876" s="12" t="s">
        <v>319</v>
      </c>
      <c r="HM876" s="12"/>
      <c r="HN876" s="12"/>
      <c r="HO876" s="12"/>
      <c r="HP876" s="12" t="s">
        <v>330</v>
      </c>
      <c r="HQ876" s="12" t="s">
        <v>319</v>
      </c>
      <c r="HR876" s="12" t="s">
        <v>319</v>
      </c>
      <c r="HS876" s="12" t="s">
        <v>320</v>
      </c>
      <c r="HT876" s="12" t="s">
        <v>319</v>
      </c>
      <c r="HU876" s="12" t="s">
        <v>320</v>
      </c>
      <c r="HV876" s="12" t="s">
        <v>319</v>
      </c>
      <c r="HW876" s="12" t="s">
        <v>319</v>
      </c>
      <c r="HX876" s="12" t="s">
        <v>319</v>
      </c>
      <c r="HY876" s="12"/>
      <c r="HZ876" s="12" t="s">
        <v>331</v>
      </c>
      <c r="IA876" s="12" t="s">
        <v>13317</v>
      </c>
      <c r="IB876" s="12" t="s">
        <v>333</v>
      </c>
      <c r="IC876" s="12"/>
      <c r="ID876" s="12" t="s">
        <v>364</v>
      </c>
      <c r="IE876" s="12" t="s">
        <v>478</v>
      </c>
      <c r="IF876" s="12" t="s">
        <v>319</v>
      </c>
      <c r="IG876" s="12" t="s">
        <v>320</v>
      </c>
      <c r="IH876" s="12" t="s">
        <v>319</v>
      </c>
      <c r="II876" s="12" t="s">
        <v>320</v>
      </c>
      <c r="IJ876" s="12" t="str">
        <f t="shared" si="602"/>
        <v>3. Responsive</v>
      </c>
      <c r="IK876" s="12">
        <f t="shared" si="561"/>
        <v>2</v>
      </c>
      <c r="IL876" s="12" t="s">
        <v>336</v>
      </c>
      <c r="IM876" s="12" t="s">
        <v>320</v>
      </c>
      <c r="IN876" s="12" t="s">
        <v>320</v>
      </c>
      <c r="IO876" s="12" t="s">
        <v>320</v>
      </c>
      <c r="IP876" s="12" t="s">
        <v>320</v>
      </c>
      <c r="IQ876" s="12" t="str">
        <f t="shared" si="562"/>
        <v>2. Accommodating</v>
      </c>
      <c r="IR876" s="12">
        <f t="shared" si="563"/>
        <v>4</v>
      </c>
      <c r="IS876" s="12" t="s">
        <v>622</v>
      </c>
      <c r="IT876" s="12" t="s">
        <v>319</v>
      </c>
      <c r="IU876" s="12" t="s">
        <v>320</v>
      </c>
      <c r="IV876" s="12" t="s">
        <v>320</v>
      </c>
      <c r="IW876" s="11" t="str">
        <f t="shared" si="564"/>
        <v>3. Responsive</v>
      </c>
      <c r="IX876" s="12">
        <f t="shared" si="565"/>
        <v>2</v>
      </c>
      <c r="IY876" s="12" t="s">
        <v>419</v>
      </c>
      <c r="IZ876" s="12" t="s">
        <v>432</v>
      </c>
      <c r="JA876" s="12">
        <v>1</v>
      </c>
      <c r="JB876" s="12" t="s">
        <v>687</v>
      </c>
      <c r="JC876" s="12"/>
      <c r="JD876" s="12"/>
      <c r="JE876" s="12" t="s">
        <v>420</v>
      </c>
      <c r="JF876" s="12"/>
      <c r="JG876" s="12" t="s">
        <v>13318</v>
      </c>
      <c r="JH876" s="12" t="s">
        <v>13319</v>
      </c>
      <c r="JI876" s="12" t="s">
        <v>13320</v>
      </c>
      <c r="JJ876" s="12" t="s">
        <v>13321</v>
      </c>
      <c r="JK876" s="12" t="s">
        <v>13322</v>
      </c>
      <c r="JL876" s="12" t="s">
        <v>13323</v>
      </c>
      <c r="JM876" s="12" t="s">
        <v>13324</v>
      </c>
      <c r="JN876" s="12"/>
      <c r="JO876" s="12"/>
      <c r="JP876" s="15">
        <f t="shared" si="566"/>
        <v>2829</v>
      </c>
      <c r="JQ876" s="15">
        <f t="shared" si="567"/>
        <v>6860</v>
      </c>
      <c r="JR876" s="279">
        <f t="shared" si="568"/>
        <v>2.4248851184164018</v>
      </c>
      <c r="JS876" s="17">
        <f t="shared" si="569"/>
        <v>0.48992576882290562</v>
      </c>
      <c r="JT876" s="18">
        <f t="shared" si="570"/>
        <v>0.502332361516035</v>
      </c>
      <c r="JU876" s="280">
        <f t="shared" si="571"/>
        <v>1386</v>
      </c>
      <c r="JV876" s="280">
        <f t="shared" si="572"/>
        <v>3446</v>
      </c>
      <c r="JW876" s="319">
        <f t="shared" si="573"/>
        <v>1</v>
      </c>
      <c r="JX876" s="15">
        <f t="shared" si="574"/>
        <v>2829</v>
      </c>
      <c r="JY876" s="15">
        <f t="shared" si="575"/>
        <v>6860</v>
      </c>
      <c r="JZ876" s="19">
        <f t="shared" si="576"/>
        <v>2.4248851184164018</v>
      </c>
      <c r="KA876" s="52">
        <f t="shared" si="577"/>
        <v>1</v>
      </c>
      <c r="KB876" s="15">
        <f t="shared" si="578"/>
        <v>2829</v>
      </c>
      <c r="KC876" s="15">
        <f t="shared" si="579"/>
        <v>6860</v>
      </c>
      <c r="KD876" s="20">
        <f t="shared" si="580"/>
        <v>2.4248851184164018</v>
      </c>
      <c r="KE876" s="52">
        <f t="shared" si="581"/>
        <v>1</v>
      </c>
      <c r="KF876" s="15">
        <f t="shared" si="582"/>
        <v>0</v>
      </c>
      <c r="KG876" s="15">
        <f t="shared" si="583"/>
        <v>0</v>
      </c>
      <c r="KH876" s="21" t="str">
        <f t="shared" si="584"/>
        <v/>
      </c>
      <c r="KI876" s="52" t="str">
        <f t="shared" si="585"/>
        <v/>
      </c>
      <c r="KJ876" s="15">
        <f t="shared" si="586"/>
        <v>0</v>
      </c>
      <c r="KK876" s="15">
        <f t="shared" si="587"/>
        <v>0</v>
      </c>
      <c r="KL876" s="19" t="str">
        <f t="shared" si="588"/>
        <v/>
      </c>
      <c r="KM876" s="52" t="str">
        <f t="shared" si="589"/>
        <v/>
      </c>
      <c r="KN876" s="22">
        <f t="shared" si="590"/>
        <v>0</v>
      </c>
      <c r="KO876" s="22">
        <f t="shared" si="591"/>
        <v>0</v>
      </c>
      <c r="KP876" s="19" t="str">
        <f t="shared" si="592"/>
        <v/>
      </c>
      <c r="KQ876" s="11" t="str">
        <f t="shared" si="593"/>
        <v>3. Responsive</v>
      </c>
      <c r="KR876" s="11" t="str">
        <f t="shared" si="594"/>
        <v>2. Accommodating</v>
      </c>
      <c r="KS876" s="11" t="str">
        <f t="shared" si="595"/>
        <v>3. Responsive</v>
      </c>
      <c r="KT876" s="11" t="str">
        <f t="shared" si="596"/>
        <v>It tested new ways for fighting poverty and measured results of innovation</v>
      </c>
      <c r="KU876" s="11" t="str">
        <f t="shared" si="597"/>
        <v>Moderate advocacy</v>
      </c>
      <c r="KV876" s="11" t="str">
        <f t="shared" si="598"/>
        <v>It did not take tested solutions to scale</v>
      </c>
      <c r="KW876" s="11" t="str">
        <f t="shared" si="599"/>
        <v>Vanuatu - PREVENT- Preparedness and Response for the most Vulnerable communities to El Niño in TAFEA</v>
      </c>
      <c r="KX876" s="11" t="str">
        <f t="shared" si="600"/>
        <v>PREVENT- Preparedness and Response for the most Vulnerable communities to El Niño in TAFEA</v>
      </c>
      <c r="KY876" s="11" t="str">
        <f t="shared" si="601"/>
        <v>Vanuatu</v>
      </c>
      <c r="KZ876" s="12">
        <v>877</v>
      </c>
    </row>
    <row r="877" spans="1:312" x14ac:dyDescent="0.3">
      <c r="A877" s="12" t="s">
        <v>13272</v>
      </c>
      <c r="B877" s="12" t="s">
        <v>306</v>
      </c>
      <c r="C877" s="12">
        <v>3694</v>
      </c>
      <c r="D877" s="12" t="s">
        <v>13325</v>
      </c>
      <c r="E877" s="277" t="str">
        <f t="shared" si="559"/>
        <v>Vanuatu</v>
      </c>
      <c r="F877" s="12" t="s">
        <v>13326</v>
      </c>
      <c r="G877" s="12" t="s">
        <v>309</v>
      </c>
      <c r="H877" s="12" t="s">
        <v>380</v>
      </c>
      <c r="I877" s="12" t="s">
        <v>381</v>
      </c>
      <c r="J877" s="281" t="s">
        <v>8430</v>
      </c>
      <c r="K877" s="12"/>
      <c r="L877" s="12"/>
      <c r="M877" s="12"/>
      <c r="N877" s="12"/>
      <c r="O877" s="12"/>
      <c r="P877" s="12"/>
      <c r="Q877" s="12"/>
      <c r="R877" s="12"/>
      <c r="S877" s="12"/>
      <c r="T877" s="12"/>
      <c r="U877" s="12"/>
      <c r="V877" s="12"/>
      <c r="W877" s="12"/>
      <c r="X877" s="12"/>
      <c r="Y877" s="12"/>
      <c r="Z877" s="12"/>
      <c r="AA877" s="12"/>
      <c r="AB877" s="12"/>
      <c r="AC877" s="12"/>
      <c r="AD877" s="12"/>
      <c r="BD877" s="13">
        <v>42328</v>
      </c>
      <c r="BE877" s="13">
        <v>42693</v>
      </c>
      <c r="BF877" s="13">
        <v>42846</v>
      </c>
      <c r="BG877" s="12" t="s">
        <v>817</v>
      </c>
      <c r="BH877" s="14">
        <v>497355</v>
      </c>
      <c r="BI877" s="12" t="s">
        <v>13275</v>
      </c>
      <c r="BJ877" s="12" t="s">
        <v>1899</v>
      </c>
      <c r="BK877" s="12" t="s">
        <v>13276</v>
      </c>
      <c r="BL877" s="12" t="s">
        <v>13277</v>
      </c>
      <c r="BM877" s="12" t="s">
        <v>13278</v>
      </c>
      <c r="BN877" s="12" t="s">
        <v>13279</v>
      </c>
      <c r="BO877" s="12" t="s">
        <v>320</v>
      </c>
      <c r="BP877" s="12" t="s">
        <v>320</v>
      </c>
      <c r="BQ877" s="12" t="s">
        <v>320</v>
      </c>
      <c r="BR877" s="12" t="s">
        <v>13327</v>
      </c>
      <c r="BS877" s="12" t="s">
        <v>357</v>
      </c>
      <c r="BT877" s="12" t="s">
        <v>13328</v>
      </c>
      <c r="BU877" s="12" t="s">
        <v>13329</v>
      </c>
      <c r="BV877" s="14">
        <v>2508</v>
      </c>
      <c r="BW877" s="14">
        <v>2555</v>
      </c>
      <c r="BX877" s="14">
        <v>5063</v>
      </c>
      <c r="BY877" s="14">
        <v>3195</v>
      </c>
      <c r="BZ877" s="14">
        <v>3218</v>
      </c>
      <c r="CA877" s="14">
        <v>6413</v>
      </c>
      <c r="CB877" s="12" t="s">
        <v>13330</v>
      </c>
      <c r="CD877" s="14">
        <v>1955</v>
      </c>
      <c r="CE877" s="14">
        <v>2005</v>
      </c>
      <c r="CF877" s="14">
        <v>3960</v>
      </c>
      <c r="CG877" s="14">
        <v>3195</v>
      </c>
      <c r="CH877" s="14">
        <v>3218</v>
      </c>
      <c r="CI877" s="14">
        <v>6413</v>
      </c>
      <c r="CJ877" s="12" t="s">
        <v>319</v>
      </c>
      <c r="CK877" s="14"/>
      <c r="CL877" s="16"/>
      <c r="CM877" s="14"/>
      <c r="CN877" s="12" t="s">
        <v>319</v>
      </c>
      <c r="CO877" s="14"/>
      <c r="CP877" s="16"/>
      <c r="CQ877" s="14"/>
      <c r="CR877" s="12" t="s">
        <v>319</v>
      </c>
      <c r="CS877" s="14"/>
      <c r="CT877" s="16"/>
      <c r="CU877" s="14"/>
      <c r="CV877" s="12" t="s">
        <v>319</v>
      </c>
      <c r="CW877" s="14"/>
      <c r="CX877" s="16"/>
      <c r="CY877" s="14"/>
      <c r="CZ877" s="12" t="s">
        <v>319</v>
      </c>
      <c r="DA877" s="14"/>
      <c r="DB877" s="16"/>
      <c r="DC877" s="14"/>
      <c r="DD877" s="12" t="s">
        <v>319</v>
      </c>
      <c r="DE877" s="14"/>
      <c r="DF877" s="16"/>
      <c r="DG877" s="14"/>
      <c r="DH877" s="12" t="s">
        <v>319</v>
      </c>
      <c r="DI877" s="14"/>
      <c r="DJ877" s="16"/>
      <c r="DK877" s="14"/>
      <c r="DL877" s="12" t="s">
        <v>319</v>
      </c>
      <c r="DM877" s="14"/>
      <c r="DN877" s="16"/>
      <c r="DO877" s="14"/>
      <c r="DP877" s="12" t="s">
        <v>319</v>
      </c>
      <c r="DQ877" s="14"/>
      <c r="DR877" s="16"/>
      <c r="DS877" s="14"/>
      <c r="DT877" s="12" t="s">
        <v>319</v>
      </c>
      <c r="DU877" s="14"/>
      <c r="DV877" s="16"/>
      <c r="DW877" s="14"/>
      <c r="DX877" s="12" t="s">
        <v>319</v>
      </c>
      <c r="DY877" s="14"/>
      <c r="DZ877" s="16"/>
      <c r="EA877" s="14"/>
      <c r="EB877" s="11" t="s">
        <v>320</v>
      </c>
      <c r="EC877" s="14">
        <v>3960</v>
      </c>
      <c r="ED877" s="16">
        <v>0.49</v>
      </c>
      <c r="EE877" s="14">
        <v>6413</v>
      </c>
      <c r="EF877" s="12"/>
      <c r="EG877" s="12" t="s">
        <v>319</v>
      </c>
      <c r="EH877" s="14"/>
      <c r="EI877" s="16"/>
      <c r="EJ877" s="14"/>
      <c r="EK877" s="14">
        <v>1955</v>
      </c>
      <c r="EL877" s="14">
        <v>2005</v>
      </c>
      <c r="EM877" s="14">
        <v>3960</v>
      </c>
      <c r="EN877" s="14">
        <v>3195</v>
      </c>
      <c r="EO877" s="14">
        <v>3218</v>
      </c>
      <c r="EP877" s="14">
        <v>6413</v>
      </c>
      <c r="EQ877" s="12" t="s">
        <v>319</v>
      </c>
      <c r="ER877" s="14"/>
      <c r="ES877" s="16"/>
      <c r="ET877" s="14"/>
      <c r="EU877" s="11" t="s">
        <v>319</v>
      </c>
      <c r="EV877" s="14"/>
      <c r="EW877" s="16"/>
      <c r="EX877" s="14"/>
      <c r="EY877" s="12" t="s">
        <v>319</v>
      </c>
      <c r="EZ877" s="14"/>
      <c r="FA877" s="16"/>
      <c r="FB877" s="14"/>
      <c r="FC877" s="12" t="s">
        <v>319</v>
      </c>
      <c r="FD877" s="14"/>
      <c r="FE877" s="16"/>
      <c r="FF877" s="14"/>
      <c r="FG877" s="12" t="s">
        <v>319</v>
      </c>
      <c r="FH877" s="14"/>
      <c r="FI877" s="16"/>
      <c r="FJ877" s="14"/>
      <c r="FK877" s="12" t="s">
        <v>319</v>
      </c>
      <c r="FL877" s="14"/>
      <c r="FM877" s="16"/>
      <c r="FN877" s="14"/>
      <c r="FO877" s="12" t="s">
        <v>319</v>
      </c>
      <c r="FP877" s="14"/>
      <c r="FQ877" s="16"/>
      <c r="FR877" s="14"/>
      <c r="FS877" s="12" t="s">
        <v>319</v>
      </c>
      <c r="FT877" s="14"/>
      <c r="FU877" s="16"/>
      <c r="FV877" s="14"/>
      <c r="FW877" s="12" t="s">
        <v>319</v>
      </c>
      <c r="FX877" s="14"/>
      <c r="FY877" s="16"/>
      <c r="FZ877" s="14"/>
      <c r="GA877" s="12" t="s">
        <v>319</v>
      </c>
      <c r="GB877" s="14"/>
      <c r="GC877" s="16"/>
      <c r="GD877" s="14"/>
      <c r="GE877" s="12" t="s">
        <v>319</v>
      </c>
      <c r="GF877" s="14"/>
      <c r="GG877" s="16"/>
      <c r="GH877" s="14"/>
      <c r="GI877" s="12" t="s">
        <v>319</v>
      </c>
      <c r="GJ877" s="14"/>
      <c r="GK877" s="16"/>
      <c r="GL877" s="14"/>
      <c r="GM877" s="12" t="s">
        <v>319</v>
      </c>
      <c r="GN877" s="14"/>
      <c r="GO877" s="16"/>
      <c r="GP877" s="14"/>
      <c r="GQ877" s="12" t="s">
        <v>320</v>
      </c>
      <c r="GR877" s="14"/>
      <c r="GS877" s="16"/>
      <c r="GT877" s="14"/>
      <c r="GU877" s="12" t="s">
        <v>320</v>
      </c>
      <c r="GV877" s="14">
        <v>3960</v>
      </c>
      <c r="GW877" s="16">
        <v>0.49</v>
      </c>
      <c r="GX877" s="14">
        <v>6413</v>
      </c>
      <c r="GY877" s="12" t="s">
        <v>319</v>
      </c>
      <c r="GZ877" s="14"/>
      <c r="HA877" s="16"/>
      <c r="HB877" s="14"/>
      <c r="HC877" s="12"/>
      <c r="HD877" s="12" t="s">
        <v>319</v>
      </c>
      <c r="HE877" s="14"/>
      <c r="HF877" s="16"/>
      <c r="HG877" s="14"/>
      <c r="HH877" s="12" t="s">
        <v>320</v>
      </c>
      <c r="HI877" s="12" t="s">
        <v>431</v>
      </c>
      <c r="HJ877" s="12">
        <v>2017</v>
      </c>
      <c r="HK877" s="12" t="s">
        <v>319</v>
      </c>
      <c r="HL877" s="12" t="s">
        <v>319</v>
      </c>
      <c r="HM877" s="12"/>
      <c r="HN877" s="12"/>
      <c r="HO877" s="12"/>
      <c r="HP877" s="12" t="s">
        <v>330</v>
      </c>
      <c r="HQ877" s="12" t="s">
        <v>319</v>
      </c>
      <c r="HR877" s="12" t="s">
        <v>319</v>
      </c>
      <c r="HS877" s="12" t="s">
        <v>320</v>
      </c>
      <c r="HT877" s="12" t="s">
        <v>320</v>
      </c>
      <c r="HU877" s="12" t="s">
        <v>320</v>
      </c>
      <c r="HV877" s="12" t="s">
        <v>319</v>
      </c>
      <c r="HW877" s="12" t="s">
        <v>319</v>
      </c>
      <c r="HX877" s="12" t="s">
        <v>320</v>
      </c>
      <c r="HY877" s="12" t="s">
        <v>13331</v>
      </c>
      <c r="HZ877" s="12" t="s">
        <v>331</v>
      </c>
      <c r="IA877" s="12" t="s">
        <v>13332</v>
      </c>
      <c r="IB877" s="12" t="s">
        <v>333</v>
      </c>
      <c r="IC877" s="12"/>
      <c r="ID877" s="12" t="s">
        <v>364</v>
      </c>
      <c r="IE877" s="12" t="s">
        <v>478</v>
      </c>
      <c r="IF877" s="12" t="s">
        <v>320</v>
      </c>
      <c r="IG877" s="12" t="s">
        <v>320</v>
      </c>
      <c r="IH877" s="12" t="s">
        <v>319</v>
      </c>
      <c r="II877" s="12" t="s">
        <v>320</v>
      </c>
      <c r="IJ877" s="12" t="str">
        <f t="shared" si="602"/>
        <v>3. Responsive</v>
      </c>
      <c r="IK877" s="12">
        <f t="shared" si="561"/>
        <v>3</v>
      </c>
      <c r="IL877" s="12" t="s">
        <v>336</v>
      </c>
      <c r="IM877" s="12" t="s">
        <v>320</v>
      </c>
      <c r="IN877" s="12" t="s">
        <v>320</v>
      </c>
      <c r="IO877" s="12" t="s">
        <v>320</v>
      </c>
      <c r="IP877" s="12" t="s">
        <v>320</v>
      </c>
      <c r="IQ877" s="12" t="str">
        <f t="shared" si="562"/>
        <v>2. Accommodating</v>
      </c>
      <c r="IR877" s="12">
        <f t="shared" si="563"/>
        <v>4</v>
      </c>
      <c r="IS877" s="12" t="s">
        <v>622</v>
      </c>
      <c r="IT877" s="12" t="s">
        <v>319</v>
      </c>
      <c r="IU877" s="12" t="s">
        <v>320</v>
      </c>
      <c r="IV877" s="12" t="s">
        <v>320</v>
      </c>
      <c r="IW877" s="11" t="str">
        <f t="shared" si="564"/>
        <v>3. Responsive</v>
      </c>
      <c r="IX877" s="12">
        <f t="shared" si="565"/>
        <v>2</v>
      </c>
      <c r="IY877" s="12" t="s">
        <v>419</v>
      </c>
      <c r="IZ877" s="12" t="s">
        <v>432</v>
      </c>
      <c r="JA877" s="12">
        <v>3</v>
      </c>
      <c r="JB877" s="12" t="s">
        <v>687</v>
      </c>
      <c r="JC877" s="12" t="s">
        <v>433</v>
      </c>
      <c r="JD877" s="12" t="s">
        <v>831</v>
      </c>
      <c r="JE877" s="12" t="s">
        <v>365</v>
      </c>
      <c r="JF877" s="12" t="s">
        <v>13333</v>
      </c>
      <c r="JG877" s="12" t="s">
        <v>13334</v>
      </c>
      <c r="JH877" s="12" t="s">
        <v>13335</v>
      </c>
      <c r="JI877" s="12" t="s">
        <v>13336</v>
      </c>
      <c r="JJ877" s="12" t="s">
        <v>13337</v>
      </c>
      <c r="JK877" s="12" t="s">
        <v>13338</v>
      </c>
      <c r="JL877" s="12" t="s">
        <v>13339</v>
      </c>
      <c r="JM877" s="12" t="s">
        <v>13340</v>
      </c>
      <c r="JN877" s="12"/>
      <c r="JO877" s="12"/>
      <c r="JP877" s="15">
        <f t="shared" si="566"/>
        <v>3960</v>
      </c>
      <c r="JQ877" s="15">
        <f t="shared" si="567"/>
        <v>6413</v>
      </c>
      <c r="JR877" s="279">
        <f t="shared" si="568"/>
        <v>1.6194444444444445</v>
      </c>
      <c r="JS877" s="17">
        <f t="shared" si="569"/>
        <v>0.49368686868686867</v>
      </c>
      <c r="JT877" s="18">
        <f t="shared" si="570"/>
        <v>0.49820676750350851</v>
      </c>
      <c r="JU877" s="280">
        <f t="shared" si="571"/>
        <v>1955</v>
      </c>
      <c r="JV877" s="280">
        <f t="shared" si="572"/>
        <v>3195</v>
      </c>
      <c r="JW877" s="319">
        <f t="shared" si="573"/>
        <v>1</v>
      </c>
      <c r="JX877" s="15">
        <f t="shared" si="574"/>
        <v>3960</v>
      </c>
      <c r="JY877" s="15">
        <f t="shared" si="575"/>
        <v>6413</v>
      </c>
      <c r="JZ877" s="19">
        <f t="shared" si="576"/>
        <v>1.6194444444444445</v>
      </c>
      <c r="KA877" s="52">
        <f t="shared" si="577"/>
        <v>1</v>
      </c>
      <c r="KB877" s="15">
        <f t="shared" si="578"/>
        <v>3960</v>
      </c>
      <c r="KC877" s="15">
        <f t="shared" si="579"/>
        <v>6413</v>
      </c>
      <c r="KD877" s="20">
        <f t="shared" si="580"/>
        <v>1.6194444444444445</v>
      </c>
      <c r="KE877" s="52">
        <f t="shared" si="581"/>
        <v>1</v>
      </c>
      <c r="KF877" s="15">
        <f t="shared" si="582"/>
        <v>0</v>
      </c>
      <c r="KG877" s="15">
        <f t="shared" si="583"/>
        <v>0</v>
      </c>
      <c r="KH877" s="21" t="str">
        <f t="shared" si="584"/>
        <v/>
      </c>
      <c r="KI877" s="52" t="str">
        <f t="shared" si="585"/>
        <v/>
      </c>
      <c r="KJ877" s="15">
        <f t="shared" si="586"/>
        <v>0</v>
      </c>
      <c r="KK877" s="15">
        <f t="shared" si="587"/>
        <v>0</v>
      </c>
      <c r="KL877" s="19" t="str">
        <f t="shared" si="588"/>
        <v/>
      </c>
      <c r="KM877" s="52" t="str">
        <f t="shared" si="589"/>
        <v/>
      </c>
      <c r="KN877" s="22">
        <f t="shared" si="590"/>
        <v>0</v>
      </c>
      <c r="KO877" s="22">
        <f t="shared" si="591"/>
        <v>0</v>
      </c>
      <c r="KP877" s="19" t="str">
        <f t="shared" si="592"/>
        <v/>
      </c>
      <c r="KQ877" s="11" t="str">
        <f t="shared" si="593"/>
        <v>3. Responsive</v>
      </c>
      <c r="KR877" s="11" t="str">
        <f t="shared" si="594"/>
        <v>2. Accommodating</v>
      </c>
      <c r="KS877" s="11" t="str">
        <f t="shared" si="595"/>
        <v>3. Responsive</v>
      </c>
      <c r="KT877" s="11" t="str">
        <f t="shared" si="596"/>
        <v>It tested new ways for fighting poverty and measured results of innovation</v>
      </c>
      <c r="KU877" s="11" t="str">
        <f t="shared" si="597"/>
        <v>Moderate advocacy</v>
      </c>
      <c r="KV877" s="11" t="str">
        <f t="shared" si="598"/>
        <v>It did not take tested solutions to scale</v>
      </c>
      <c r="KW877" s="11" t="str">
        <f t="shared" si="599"/>
        <v>Vanuatu - Tropical Cyclone Pam Recovery Programme to the UNICEF Multi-Country Programme for Pacific Island Countries</v>
      </c>
      <c r="KX877" s="11" t="str">
        <f t="shared" si="600"/>
        <v>Tropical Cyclone Pam Recovery Programme to the UNICEF Multi-Country Programme for Pacific Island Countries</v>
      </c>
      <c r="KY877" s="11" t="str">
        <f t="shared" si="601"/>
        <v>Vanuatu</v>
      </c>
      <c r="KZ877" s="12">
        <v>878</v>
      </c>
    </row>
    <row r="878" spans="1:312" x14ac:dyDescent="0.3">
      <c r="A878" s="12" t="s">
        <v>13272</v>
      </c>
      <c r="B878" s="12" t="s">
        <v>306</v>
      </c>
      <c r="C878" s="12"/>
      <c r="D878" s="12" t="s">
        <v>13341</v>
      </c>
      <c r="E878" s="277" t="str">
        <f t="shared" si="559"/>
        <v>Vanuatu</v>
      </c>
      <c r="F878" s="12" t="s">
        <v>13342</v>
      </c>
      <c r="G878" s="12" t="s">
        <v>309</v>
      </c>
      <c r="H878" s="12" t="s">
        <v>380</v>
      </c>
      <c r="I878" s="12" t="s">
        <v>381</v>
      </c>
      <c r="J878" s="281" t="s">
        <v>8430</v>
      </c>
      <c r="K878" s="12"/>
      <c r="L878" s="12"/>
      <c r="M878" s="12"/>
      <c r="N878" s="12"/>
      <c r="O878" s="12"/>
      <c r="P878" s="12"/>
      <c r="Q878" s="12"/>
      <c r="R878" s="12"/>
      <c r="S878" s="12"/>
      <c r="T878" s="12"/>
      <c r="U878" s="12"/>
      <c r="V878" s="12"/>
      <c r="W878" s="12"/>
      <c r="X878" s="12"/>
      <c r="Y878" s="12"/>
      <c r="Z878" s="12"/>
      <c r="AA878" s="12"/>
      <c r="AB878" s="12"/>
      <c r="AC878" s="12"/>
      <c r="AD878" s="12"/>
      <c r="BD878" s="13">
        <v>42736</v>
      </c>
      <c r="BE878" s="13">
        <v>43100</v>
      </c>
      <c r="BF878" s="12"/>
      <c r="BG878" s="12" t="s">
        <v>817</v>
      </c>
      <c r="BH878" s="14">
        <v>661878</v>
      </c>
      <c r="BI878" s="12" t="s">
        <v>13275</v>
      </c>
      <c r="BJ878" s="12" t="s">
        <v>1899</v>
      </c>
      <c r="BK878" s="12" t="s">
        <v>13276</v>
      </c>
      <c r="BL878" s="12" t="s">
        <v>13277</v>
      </c>
      <c r="BM878" s="12" t="s">
        <v>13278</v>
      </c>
      <c r="BN878" s="12" t="s">
        <v>13279</v>
      </c>
      <c r="BO878" s="12" t="s">
        <v>320</v>
      </c>
      <c r="BP878" s="12" t="s">
        <v>320</v>
      </c>
      <c r="BQ878" s="12" t="s">
        <v>320</v>
      </c>
      <c r="BR878" s="12" t="s">
        <v>13343</v>
      </c>
      <c r="BS878" s="12" t="s">
        <v>357</v>
      </c>
      <c r="BT878" s="12" t="s">
        <v>13344</v>
      </c>
      <c r="BU878" s="12" t="s">
        <v>13345</v>
      </c>
      <c r="BV878" s="14">
        <v>532</v>
      </c>
      <c r="BW878" s="14">
        <v>555</v>
      </c>
      <c r="BX878" s="14">
        <v>1087</v>
      </c>
      <c r="BY878" s="14">
        <v>2680</v>
      </c>
      <c r="BZ878" s="14">
        <v>2849</v>
      </c>
      <c r="CA878" s="14">
        <v>5529</v>
      </c>
      <c r="CB878" s="12" t="s">
        <v>13346</v>
      </c>
      <c r="CD878" s="14">
        <v>532</v>
      </c>
      <c r="CE878" s="14">
        <v>555</v>
      </c>
      <c r="CF878" s="14">
        <v>1087</v>
      </c>
      <c r="CG878" s="14">
        <v>2680</v>
      </c>
      <c r="CH878" s="14">
        <v>2849</v>
      </c>
      <c r="CI878" s="14">
        <v>5529</v>
      </c>
      <c r="CJ878" s="12" t="s">
        <v>319</v>
      </c>
      <c r="CK878" s="14"/>
      <c r="CL878" s="16"/>
      <c r="CM878" s="14"/>
      <c r="CN878" s="12" t="s">
        <v>319</v>
      </c>
      <c r="CO878" s="14"/>
      <c r="CP878" s="16"/>
      <c r="CQ878" s="14"/>
      <c r="CR878" s="12" t="s">
        <v>319</v>
      </c>
      <c r="CS878" s="14"/>
      <c r="CT878" s="16"/>
      <c r="CU878" s="14"/>
      <c r="CV878" s="12" t="s">
        <v>319</v>
      </c>
      <c r="CW878" s="14"/>
      <c r="CX878" s="16"/>
      <c r="CY878" s="14"/>
      <c r="CZ878" s="12" t="s">
        <v>319</v>
      </c>
      <c r="DA878" s="14"/>
      <c r="DB878" s="16"/>
      <c r="DC878" s="14"/>
      <c r="DD878" s="12" t="s">
        <v>319</v>
      </c>
      <c r="DE878" s="14"/>
      <c r="DF878" s="16"/>
      <c r="DG878" s="14"/>
      <c r="DH878" s="12" t="s">
        <v>319</v>
      </c>
      <c r="DI878" s="14"/>
      <c r="DJ878" s="16"/>
      <c r="DK878" s="14"/>
      <c r="DL878" s="12" t="s">
        <v>319</v>
      </c>
      <c r="DM878" s="14"/>
      <c r="DN878" s="16"/>
      <c r="DO878" s="14"/>
      <c r="DP878" s="12" t="s">
        <v>319</v>
      </c>
      <c r="DQ878" s="14"/>
      <c r="DR878" s="16"/>
      <c r="DS878" s="14"/>
      <c r="DT878" s="12" t="s">
        <v>319</v>
      </c>
      <c r="DU878" s="14"/>
      <c r="DV878" s="16"/>
      <c r="DW878" s="14"/>
      <c r="DX878" s="12" t="s">
        <v>319</v>
      </c>
      <c r="DY878" s="14"/>
      <c r="DZ878" s="16"/>
      <c r="EA878" s="14"/>
      <c r="EB878" s="11" t="s">
        <v>320</v>
      </c>
      <c r="EC878" s="14">
        <v>1087</v>
      </c>
      <c r="ED878" s="16">
        <v>0.49</v>
      </c>
      <c r="EE878" s="14">
        <v>5529</v>
      </c>
      <c r="EF878" s="12"/>
      <c r="EG878" s="12"/>
      <c r="EH878" s="14"/>
      <c r="EI878" s="16"/>
      <c r="EJ878" s="14"/>
      <c r="EK878" s="14">
        <v>674</v>
      </c>
      <c r="EL878" s="14">
        <v>691</v>
      </c>
      <c r="EM878" s="14">
        <v>1365</v>
      </c>
      <c r="EN878" s="14">
        <v>2680</v>
      </c>
      <c r="EO878" s="14">
        <v>2849</v>
      </c>
      <c r="EP878" s="14">
        <v>5529</v>
      </c>
      <c r="EQ878" s="12" t="s">
        <v>319</v>
      </c>
      <c r="ER878" s="14"/>
      <c r="ES878" s="16"/>
      <c r="ET878" s="14"/>
      <c r="EU878" s="11" t="s">
        <v>319</v>
      </c>
      <c r="EV878" s="14"/>
      <c r="EW878" s="16"/>
      <c r="EX878" s="14"/>
      <c r="EY878" s="12" t="s">
        <v>319</v>
      </c>
      <c r="EZ878" s="14"/>
      <c r="FA878" s="16"/>
      <c r="FB878" s="14"/>
      <c r="FC878" s="12" t="s">
        <v>319</v>
      </c>
      <c r="FD878" s="14"/>
      <c r="FE878" s="16"/>
      <c r="FF878" s="14"/>
      <c r="FG878" s="12" t="s">
        <v>319</v>
      </c>
      <c r="FH878" s="14"/>
      <c r="FI878" s="16"/>
      <c r="FJ878" s="14"/>
      <c r="FK878" s="12" t="s">
        <v>319</v>
      </c>
      <c r="FL878" s="14"/>
      <c r="FM878" s="16"/>
      <c r="FN878" s="14"/>
      <c r="FO878" s="12" t="s">
        <v>319</v>
      </c>
      <c r="FP878" s="14"/>
      <c r="FQ878" s="16"/>
      <c r="FR878" s="14"/>
      <c r="FS878" s="12" t="s">
        <v>319</v>
      </c>
      <c r="FT878" s="14"/>
      <c r="FU878" s="16"/>
      <c r="FV878" s="14"/>
      <c r="FW878" s="12" t="s">
        <v>319</v>
      </c>
      <c r="FX878" s="14"/>
      <c r="FY878" s="16"/>
      <c r="FZ878" s="14"/>
      <c r="GA878" s="12" t="s">
        <v>319</v>
      </c>
      <c r="GB878" s="14"/>
      <c r="GC878" s="16"/>
      <c r="GD878" s="14"/>
      <c r="GE878" s="12" t="s">
        <v>319</v>
      </c>
      <c r="GF878" s="14"/>
      <c r="GG878" s="16"/>
      <c r="GH878" s="14"/>
      <c r="GI878" s="12" t="s">
        <v>319</v>
      </c>
      <c r="GJ878" s="14"/>
      <c r="GK878" s="16"/>
      <c r="GL878" s="14"/>
      <c r="GM878" s="12" t="s">
        <v>319</v>
      </c>
      <c r="GN878" s="14"/>
      <c r="GO878" s="16"/>
      <c r="GP878" s="14"/>
      <c r="GQ878" s="12" t="s">
        <v>319</v>
      </c>
      <c r="GR878" s="14"/>
      <c r="GS878" s="16"/>
      <c r="GT878" s="14"/>
      <c r="GU878" s="12" t="s">
        <v>320</v>
      </c>
      <c r="GV878" s="14">
        <v>1087</v>
      </c>
      <c r="GW878" s="16">
        <v>0.49</v>
      </c>
      <c r="GX878" s="14">
        <v>5529</v>
      </c>
      <c r="GY878" s="12" t="s">
        <v>319</v>
      </c>
      <c r="GZ878" s="14"/>
      <c r="HA878" s="16"/>
      <c r="HB878" s="14"/>
      <c r="HC878" s="12"/>
      <c r="HD878" s="12" t="s">
        <v>319</v>
      </c>
      <c r="HE878" s="14"/>
      <c r="HF878" s="16"/>
      <c r="HG878" s="14"/>
      <c r="HH878" s="12" t="s">
        <v>320</v>
      </c>
      <c r="HI878" s="12" t="s">
        <v>1175</v>
      </c>
      <c r="HJ878" s="12">
        <v>2017</v>
      </c>
      <c r="HK878" s="12" t="s">
        <v>319</v>
      </c>
      <c r="HL878" s="12" t="s">
        <v>320</v>
      </c>
      <c r="HM878" s="12" t="s">
        <v>328</v>
      </c>
      <c r="HN878" s="12">
        <v>2017</v>
      </c>
      <c r="HO878" s="12"/>
      <c r="HP878" s="12" t="s">
        <v>330</v>
      </c>
      <c r="HQ878" s="12" t="s">
        <v>319</v>
      </c>
      <c r="HR878" s="12" t="s">
        <v>319</v>
      </c>
      <c r="HS878" s="12" t="s">
        <v>320</v>
      </c>
      <c r="HT878" s="12" t="s">
        <v>319</v>
      </c>
      <c r="HU878" s="12" t="s">
        <v>319</v>
      </c>
      <c r="HV878" s="12" t="s">
        <v>319</v>
      </c>
      <c r="HW878" s="12" t="s">
        <v>319</v>
      </c>
      <c r="HX878" s="12" t="s">
        <v>319</v>
      </c>
      <c r="HY878" s="12"/>
      <c r="HZ878" s="12" t="s">
        <v>331</v>
      </c>
      <c r="IA878" s="12" t="s">
        <v>13347</v>
      </c>
      <c r="IB878" s="12" t="s">
        <v>667</v>
      </c>
      <c r="IC878" s="12" t="s">
        <v>13348</v>
      </c>
      <c r="ID878" s="12" t="s">
        <v>364</v>
      </c>
      <c r="IE878" s="12" t="s">
        <v>478</v>
      </c>
      <c r="IF878" s="12" t="s">
        <v>320</v>
      </c>
      <c r="IG878" s="12" t="s">
        <v>320</v>
      </c>
      <c r="IH878" s="12" t="s">
        <v>320</v>
      </c>
      <c r="II878" s="12" t="s">
        <v>320</v>
      </c>
      <c r="IJ878" s="12" t="str">
        <f t="shared" si="602"/>
        <v>4. Transformative</v>
      </c>
      <c r="IK878" s="12">
        <f t="shared" si="561"/>
        <v>4</v>
      </c>
      <c r="IL878" s="12" t="s">
        <v>336</v>
      </c>
      <c r="IM878" s="12" t="s">
        <v>319</v>
      </c>
      <c r="IN878" s="12" t="s">
        <v>320</v>
      </c>
      <c r="IO878" s="12" t="s">
        <v>320</v>
      </c>
      <c r="IP878" s="12" t="s">
        <v>320</v>
      </c>
      <c r="IQ878" s="12" t="str">
        <f t="shared" si="562"/>
        <v>2. Accommodating</v>
      </c>
      <c r="IR878" s="12">
        <f t="shared" si="563"/>
        <v>3</v>
      </c>
      <c r="IS878" s="12" t="s">
        <v>622</v>
      </c>
      <c r="IT878" s="12" t="s">
        <v>319</v>
      </c>
      <c r="IU878" s="12" t="s">
        <v>320</v>
      </c>
      <c r="IV878" s="12" t="s">
        <v>320</v>
      </c>
      <c r="IW878" s="11" t="str">
        <f t="shared" si="564"/>
        <v>3. Responsive</v>
      </c>
      <c r="IX878" s="12">
        <f t="shared" si="565"/>
        <v>2</v>
      </c>
      <c r="IY878" s="12" t="s">
        <v>419</v>
      </c>
      <c r="IZ878" s="12" t="s">
        <v>339</v>
      </c>
      <c r="JA878" s="12">
        <v>1</v>
      </c>
      <c r="JB878" s="12" t="s">
        <v>687</v>
      </c>
      <c r="JC878" s="12"/>
      <c r="JD878" s="12"/>
      <c r="JE878" s="12" t="s">
        <v>420</v>
      </c>
      <c r="JF878" s="12"/>
      <c r="JG878" s="12" t="s">
        <v>13349</v>
      </c>
      <c r="JH878" s="12" t="s">
        <v>13350</v>
      </c>
      <c r="JI878" s="12" t="s">
        <v>13351</v>
      </c>
      <c r="JJ878" s="12" t="s">
        <v>13352</v>
      </c>
      <c r="JK878" s="12" t="s">
        <v>13353</v>
      </c>
      <c r="JL878" s="12" t="s">
        <v>13354</v>
      </c>
      <c r="JM878" s="12" t="s">
        <v>13355</v>
      </c>
      <c r="JN878" s="12"/>
      <c r="JO878" s="12"/>
      <c r="JP878" s="15">
        <f t="shared" si="566"/>
        <v>1365</v>
      </c>
      <c r="JQ878" s="15">
        <f t="shared" si="567"/>
        <v>5529</v>
      </c>
      <c r="JR878" s="279">
        <f t="shared" si="568"/>
        <v>4.0505494505494504</v>
      </c>
      <c r="JS878" s="17">
        <f t="shared" si="569"/>
        <v>0.4937728937728938</v>
      </c>
      <c r="JT878" s="18">
        <f t="shared" si="570"/>
        <v>0.48471694700669199</v>
      </c>
      <c r="JU878" s="280">
        <f t="shared" si="571"/>
        <v>674</v>
      </c>
      <c r="JV878" s="280">
        <f t="shared" si="572"/>
        <v>2680</v>
      </c>
      <c r="JW878" s="319">
        <f t="shared" si="573"/>
        <v>1</v>
      </c>
      <c r="JX878" s="15">
        <f t="shared" si="574"/>
        <v>1087</v>
      </c>
      <c r="JY878" s="15">
        <f t="shared" si="575"/>
        <v>5529</v>
      </c>
      <c r="JZ878" s="19">
        <f t="shared" si="576"/>
        <v>5.0864765409383628</v>
      </c>
      <c r="KA878" s="52">
        <f t="shared" si="577"/>
        <v>1</v>
      </c>
      <c r="KB878" s="15">
        <f t="shared" si="578"/>
        <v>1087</v>
      </c>
      <c r="KC878" s="15">
        <f t="shared" si="579"/>
        <v>5529</v>
      </c>
      <c r="KD878" s="20">
        <f t="shared" si="580"/>
        <v>5.0864765409383628</v>
      </c>
      <c r="KE878" s="52" t="str">
        <f t="shared" si="581"/>
        <v/>
      </c>
      <c r="KF878" s="15">
        <f t="shared" si="582"/>
        <v>0</v>
      </c>
      <c r="KG878" s="15">
        <f t="shared" si="583"/>
        <v>0</v>
      </c>
      <c r="KH878" s="21" t="str">
        <f t="shared" si="584"/>
        <v/>
      </c>
      <c r="KI878" s="52" t="str">
        <f t="shared" si="585"/>
        <v/>
      </c>
      <c r="KJ878" s="15">
        <f t="shared" si="586"/>
        <v>0</v>
      </c>
      <c r="KK878" s="15">
        <f t="shared" si="587"/>
        <v>0</v>
      </c>
      <c r="KL878" s="19" t="str">
        <f t="shared" si="588"/>
        <v/>
      </c>
      <c r="KM878" s="52" t="str">
        <f t="shared" si="589"/>
        <v/>
      </c>
      <c r="KN878" s="22">
        <f t="shared" si="590"/>
        <v>0</v>
      </c>
      <c r="KO878" s="22">
        <f t="shared" si="591"/>
        <v>0</v>
      </c>
      <c r="KP878" s="19" t="str">
        <f t="shared" si="592"/>
        <v/>
      </c>
      <c r="KQ878" s="11" t="str">
        <f t="shared" si="593"/>
        <v>4. Transformative</v>
      </c>
      <c r="KR878" s="11" t="str">
        <f t="shared" si="594"/>
        <v>2. Accommodating</v>
      </c>
      <c r="KS878" s="11" t="str">
        <f t="shared" si="595"/>
        <v>3. Responsive</v>
      </c>
      <c r="KT878" s="11" t="str">
        <f t="shared" si="596"/>
        <v>It tested new ways for fighting poverty and measured results of innovation</v>
      </c>
      <c r="KU878" s="11" t="str">
        <f t="shared" si="597"/>
        <v>Moderate advocacy</v>
      </c>
      <c r="KV878" s="11" t="str">
        <f t="shared" si="598"/>
        <v>It took tested solutions to scale on its own</v>
      </c>
      <c r="KW878" s="11" t="str">
        <f t="shared" si="599"/>
        <v>Vanuatu - Water for Life</v>
      </c>
      <c r="KX878" s="11" t="str">
        <f t="shared" si="600"/>
        <v>Water for Life</v>
      </c>
      <c r="KY878" s="11" t="str">
        <f t="shared" si="601"/>
        <v>Vanuatu</v>
      </c>
      <c r="KZ878" s="12">
        <v>879</v>
      </c>
    </row>
    <row r="879" spans="1:312" x14ac:dyDescent="0.3">
      <c r="A879" s="12" t="s">
        <v>13272</v>
      </c>
      <c r="B879" s="12" t="s">
        <v>306</v>
      </c>
      <c r="C879" s="12">
        <v>3689</v>
      </c>
      <c r="D879" s="12" t="s">
        <v>13373</v>
      </c>
      <c r="E879" s="277" t="str">
        <f t="shared" si="559"/>
        <v>Vanuatu</v>
      </c>
      <c r="F879" s="12" t="s">
        <v>13374</v>
      </c>
      <c r="G879" s="12" t="s">
        <v>608</v>
      </c>
      <c r="H879" s="12" t="s">
        <v>310</v>
      </c>
      <c r="I879" s="12" t="s">
        <v>655</v>
      </c>
      <c r="J879" s="281" t="s">
        <v>13375</v>
      </c>
      <c r="K879" s="12"/>
      <c r="L879" s="12"/>
      <c r="M879" s="12"/>
      <c r="N879" s="12"/>
      <c r="O879" s="12"/>
      <c r="P879" s="12"/>
      <c r="Q879" s="12"/>
      <c r="R879" s="12"/>
      <c r="S879" s="12"/>
      <c r="T879" s="12"/>
      <c r="U879" s="12"/>
      <c r="V879" s="12"/>
      <c r="W879" s="12"/>
      <c r="X879" s="12"/>
      <c r="Y879" s="12"/>
      <c r="Z879" s="12"/>
      <c r="AA879" s="12"/>
      <c r="AB879" s="12"/>
      <c r="AC879" s="12"/>
      <c r="AD879" s="12"/>
      <c r="BD879" s="13">
        <v>42370</v>
      </c>
      <c r="BE879" s="13">
        <v>42886</v>
      </c>
      <c r="BF879" s="12"/>
      <c r="BG879" s="12" t="s">
        <v>749</v>
      </c>
      <c r="BH879" s="14">
        <v>500000</v>
      </c>
      <c r="BI879" s="12" t="s">
        <v>13275</v>
      </c>
      <c r="BJ879" s="12" t="s">
        <v>1899</v>
      </c>
      <c r="BK879" s="12" t="s">
        <v>13376</v>
      </c>
      <c r="BL879" s="12" t="s">
        <v>13296</v>
      </c>
      <c r="BM879" s="12" t="s">
        <v>1602</v>
      </c>
      <c r="BN879" s="12" t="s">
        <v>13276</v>
      </c>
      <c r="BO879" s="12" t="s">
        <v>319</v>
      </c>
      <c r="BP879" s="12" t="s">
        <v>320</v>
      </c>
      <c r="BQ879" s="12" t="s">
        <v>319</v>
      </c>
      <c r="BR879" s="12" t="s">
        <v>13377</v>
      </c>
      <c r="BS879" s="12" t="s">
        <v>322</v>
      </c>
      <c r="BT879" s="12" t="s">
        <v>13378</v>
      </c>
      <c r="BU879" s="12" t="s">
        <v>13379</v>
      </c>
      <c r="BV879" s="14">
        <v>2861</v>
      </c>
      <c r="BW879" s="14">
        <v>2840</v>
      </c>
      <c r="BX879" s="14">
        <v>5701</v>
      </c>
      <c r="BY879" s="14">
        <v>2317</v>
      </c>
      <c r="BZ879" s="14">
        <v>2443</v>
      </c>
      <c r="CA879" s="14">
        <v>4760</v>
      </c>
      <c r="CB879" s="12" t="s">
        <v>13380</v>
      </c>
      <c r="CD879" s="14"/>
      <c r="CE879" s="14"/>
      <c r="CF879" s="14"/>
      <c r="CG879" s="14"/>
      <c r="CH879" s="14"/>
      <c r="CI879" s="14"/>
      <c r="CJ879" s="12"/>
      <c r="CK879" s="14"/>
      <c r="CL879" s="16"/>
      <c r="CM879" s="14"/>
      <c r="CN879" s="12"/>
      <c r="CO879" s="14"/>
      <c r="CP879" s="16"/>
      <c r="CQ879" s="14"/>
      <c r="CR879" s="12"/>
      <c r="CS879" s="14"/>
      <c r="CT879" s="16"/>
      <c r="CU879" s="14"/>
      <c r="CV879" s="12"/>
      <c r="CW879" s="14"/>
      <c r="CX879" s="16"/>
      <c r="CY879" s="14"/>
      <c r="CZ879" s="12"/>
      <c r="DA879" s="14"/>
      <c r="DB879" s="16"/>
      <c r="DC879" s="14"/>
      <c r="DD879" s="12"/>
      <c r="DE879" s="14"/>
      <c r="DF879" s="16"/>
      <c r="DG879" s="14"/>
      <c r="DH879" s="12"/>
      <c r="DI879" s="14"/>
      <c r="DJ879" s="16"/>
      <c r="DK879" s="14"/>
      <c r="DL879" s="12"/>
      <c r="DM879" s="14"/>
      <c r="DN879" s="16"/>
      <c r="DO879" s="14"/>
      <c r="DP879" s="12"/>
      <c r="DQ879" s="14"/>
      <c r="DR879" s="16"/>
      <c r="DS879" s="14"/>
      <c r="DT879" s="12"/>
      <c r="DU879" s="14"/>
      <c r="DV879" s="16"/>
      <c r="DW879" s="14"/>
      <c r="DX879" s="12"/>
      <c r="DY879" s="14"/>
      <c r="DZ879" s="16"/>
      <c r="EA879" s="14"/>
      <c r="EB879" s="12"/>
      <c r="EC879" s="14"/>
      <c r="ED879" s="16"/>
      <c r="EE879" s="14"/>
      <c r="EF879" s="12"/>
      <c r="EG879" s="12"/>
      <c r="EH879" s="14"/>
      <c r="EI879" s="16"/>
      <c r="EJ879" s="14"/>
      <c r="EK879" s="14">
        <v>995</v>
      </c>
      <c r="EL879" s="14">
        <v>962</v>
      </c>
      <c r="EM879" s="14">
        <v>1957</v>
      </c>
      <c r="EN879" s="14">
        <v>2317</v>
      </c>
      <c r="EO879" s="14">
        <v>2443</v>
      </c>
      <c r="EP879" s="14">
        <v>4760</v>
      </c>
      <c r="EQ879" s="12" t="s">
        <v>319</v>
      </c>
      <c r="ER879" s="14"/>
      <c r="ES879" s="16"/>
      <c r="ET879" s="14"/>
      <c r="EU879" s="11" t="s">
        <v>320</v>
      </c>
      <c r="EV879" s="14">
        <v>1957</v>
      </c>
      <c r="EW879" s="16">
        <v>0.5</v>
      </c>
      <c r="EX879" s="14">
        <v>4760</v>
      </c>
      <c r="EY879" s="12" t="s">
        <v>319</v>
      </c>
      <c r="EZ879" s="14"/>
      <c r="FA879" s="16"/>
      <c r="FB879" s="14"/>
      <c r="FC879" s="12" t="s">
        <v>319</v>
      </c>
      <c r="FD879" s="14"/>
      <c r="FE879" s="16"/>
      <c r="FF879" s="14"/>
      <c r="FG879" s="12" t="s">
        <v>319</v>
      </c>
      <c r="FH879" s="14"/>
      <c r="FI879" s="16"/>
      <c r="FJ879" s="14"/>
      <c r="FK879" s="12" t="s">
        <v>319</v>
      </c>
      <c r="FL879" s="14"/>
      <c r="FM879" s="16"/>
      <c r="FN879" s="14"/>
      <c r="FO879" s="12" t="s">
        <v>319</v>
      </c>
      <c r="FP879" s="14"/>
      <c r="FQ879" s="16"/>
      <c r="FR879" s="14"/>
      <c r="FS879" s="12" t="s">
        <v>319</v>
      </c>
      <c r="FT879" s="14"/>
      <c r="FU879" s="16"/>
      <c r="FV879" s="14"/>
      <c r="FW879" s="12" t="s">
        <v>319</v>
      </c>
      <c r="FX879" s="14"/>
      <c r="FY879" s="16"/>
      <c r="FZ879" s="14"/>
      <c r="GA879" s="12" t="s">
        <v>319</v>
      </c>
      <c r="GB879" s="14"/>
      <c r="GC879" s="16"/>
      <c r="GD879" s="14"/>
      <c r="GE879" s="12" t="s">
        <v>319</v>
      </c>
      <c r="GF879" s="14"/>
      <c r="GG879" s="16"/>
      <c r="GH879" s="14"/>
      <c r="GI879" s="12" t="s">
        <v>319</v>
      </c>
      <c r="GJ879" s="14"/>
      <c r="GK879" s="16"/>
      <c r="GL879" s="14"/>
      <c r="GM879" s="12" t="s">
        <v>319</v>
      </c>
      <c r="GN879" s="14"/>
      <c r="GO879" s="16"/>
      <c r="GP879" s="14"/>
      <c r="GQ879" s="12" t="s">
        <v>319</v>
      </c>
      <c r="GR879" s="14"/>
      <c r="GS879" s="16"/>
      <c r="GT879" s="14"/>
      <c r="GU879" s="12" t="s">
        <v>319</v>
      </c>
      <c r="GV879" s="14"/>
      <c r="GW879" s="16"/>
      <c r="GX879" s="14"/>
      <c r="GY879" s="12" t="s">
        <v>319</v>
      </c>
      <c r="GZ879" s="14"/>
      <c r="HA879" s="16"/>
      <c r="HB879" s="14"/>
      <c r="HC879" s="12"/>
      <c r="HD879" s="12" t="s">
        <v>319</v>
      </c>
      <c r="HE879" s="14"/>
      <c r="HF879" s="16"/>
      <c r="HG879" s="14"/>
      <c r="HH879" s="12" t="s">
        <v>320</v>
      </c>
      <c r="HI879" s="12" t="s">
        <v>416</v>
      </c>
      <c r="HJ879" s="12">
        <v>2017</v>
      </c>
      <c r="HK879" s="12" t="s">
        <v>319</v>
      </c>
      <c r="HL879" s="12" t="s">
        <v>319</v>
      </c>
      <c r="HM879" s="12"/>
      <c r="HN879" s="12"/>
      <c r="HO879" s="12" t="s">
        <v>13381</v>
      </c>
      <c r="HP879" s="12" t="s">
        <v>330</v>
      </c>
      <c r="HQ879" s="12" t="s">
        <v>319</v>
      </c>
      <c r="HR879" s="12" t="s">
        <v>319</v>
      </c>
      <c r="HS879" s="12" t="s">
        <v>320</v>
      </c>
      <c r="HT879" s="12" t="s">
        <v>320</v>
      </c>
      <c r="HU879" s="12" t="s">
        <v>320</v>
      </c>
      <c r="HV879" s="12" t="s">
        <v>320</v>
      </c>
      <c r="HW879" s="12" t="s">
        <v>319</v>
      </c>
      <c r="HX879" s="12" t="s">
        <v>319</v>
      </c>
      <c r="HY879" s="12"/>
      <c r="HZ879" s="12" t="s">
        <v>331</v>
      </c>
      <c r="IA879" s="12" t="s">
        <v>13382</v>
      </c>
      <c r="IB879" s="12" t="s">
        <v>396</v>
      </c>
      <c r="IC879" s="12" t="s">
        <v>13383</v>
      </c>
      <c r="ID879" s="12" t="s">
        <v>364</v>
      </c>
      <c r="IE879" s="12" t="s">
        <v>478</v>
      </c>
      <c r="IF879" s="12" t="s">
        <v>320</v>
      </c>
      <c r="IG879" s="12" t="s">
        <v>320</v>
      </c>
      <c r="IH879" s="12" t="s">
        <v>319</v>
      </c>
      <c r="II879" s="12" t="s">
        <v>320</v>
      </c>
      <c r="IJ879" s="12" t="str">
        <f t="shared" si="602"/>
        <v>3. Responsive</v>
      </c>
      <c r="IK879" s="12">
        <f t="shared" si="561"/>
        <v>3</v>
      </c>
      <c r="IL879" s="11" t="s">
        <v>621</v>
      </c>
      <c r="IM879" s="12" t="s">
        <v>319</v>
      </c>
      <c r="IN879" s="12" t="s">
        <v>320</v>
      </c>
      <c r="IO879" s="12" t="s">
        <v>320</v>
      </c>
      <c r="IP879" s="12" t="s">
        <v>320</v>
      </c>
      <c r="IQ879" s="12" t="str">
        <f t="shared" si="562"/>
        <v>3. Responsive</v>
      </c>
      <c r="IR879" s="12">
        <f t="shared" si="563"/>
        <v>3</v>
      </c>
      <c r="IS879" s="12" t="s">
        <v>622</v>
      </c>
      <c r="IT879" s="12" t="s">
        <v>320</v>
      </c>
      <c r="IU879" s="12" t="s">
        <v>320</v>
      </c>
      <c r="IV879" s="12" t="s">
        <v>320</v>
      </c>
      <c r="IW879" s="11" t="str">
        <f t="shared" si="564"/>
        <v>4. Transformative</v>
      </c>
      <c r="IX879" s="12">
        <f t="shared" si="565"/>
        <v>3</v>
      </c>
      <c r="IY879" s="12" t="s">
        <v>758</v>
      </c>
      <c r="IZ879" s="12" t="s">
        <v>432</v>
      </c>
      <c r="JA879" s="12">
        <v>6</v>
      </c>
      <c r="JB879" s="12" t="s">
        <v>433</v>
      </c>
      <c r="JC879" s="12" t="s">
        <v>687</v>
      </c>
      <c r="JD879" s="12" t="s">
        <v>651</v>
      </c>
      <c r="JE879" s="12" t="s">
        <v>365</v>
      </c>
      <c r="JF879" s="12" t="s">
        <v>13384</v>
      </c>
      <c r="JG879" s="12" t="s">
        <v>13385</v>
      </c>
      <c r="JH879" s="12" t="s">
        <v>13386</v>
      </c>
      <c r="JI879" s="12" t="s">
        <v>13387</v>
      </c>
      <c r="JJ879" s="12" t="s">
        <v>13388</v>
      </c>
      <c r="JK879" s="12" t="s">
        <v>13389</v>
      </c>
      <c r="JL879" s="12" t="s">
        <v>13390</v>
      </c>
      <c r="JM879" s="12" t="s">
        <v>13391</v>
      </c>
      <c r="JN879" s="12" t="s">
        <v>13392</v>
      </c>
      <c r="JO879" s="12" t="s">
        <v>13393</v>
      </c>
      <c r="JP879" s="15">
        <f t="shared" si="566"/>
        <v>1957</v>
      </c>
      <c r="JQ879" s="15">
        <f t="shared" si="567"/>
        <v>4760</v>
      </c>
      <c r="JR879" s="279">
        <f t="shared" si="568"/>
        <v>2.4322943280531426</v>
      </c>
      <c r="JS879" s="17">
        <f t="shared" si="569"/>
        <v>0.50843127235564645</v>
      </c>
      <c r="JT879" s="18">
        <f t="shared" si="570"/>
        <v>0.48676470588235293</v>
      </c>
      <c r="JU879" s="280">
        <f t="shared" si="571"/>
        <v>995</v>
      </c>
      <c r="JV879" s="280">
        <f t="shared" si="572"/>
        <v>2317</v>
      </c>
      <c r="JW879" s="319" t="str">
        <f t="shared" si="573"/>
        <v/>
      </c>
      <c r="JX879" s="15">
        <f t="shared" si="574"/>
        <v>0</v>
      </c>
      <c r="JY879" s="15">
        <f t="shared" si="575"/>
        <v>0</v>
      </c>
      <c r="JZ879" s="19" t="str">
        <f t="shared" si="576"/>
        <v/>
      </c>
      <c r="KA879" s="52">
        <f t="shared" si="577"/>
        <v>1</v>
      </c>
      <c r="KB879" s="15">
        <f t="shared" si="578"/>
        <v>1957</v>
      </c>
      <c r="KC879" s="15">
        <f t="shared" si="579"/>
        <v>4760</v>
      </c>
      <c r="KD879" s="20">
        <f t="shared" si="580"/>
        <v>2.4322943280531426</v>
      </c>
      <c r="KE879" s="52" t="str">
        <f t="shared" si="581"/>
        <v/>
      </c>
      <c r="KF879" s="15">
        <f t="shared" si="582"/>
        <v>0</v>
      </c>
      <c r="KG879" s="15">
        <f t="shared" si="583"/>
        <v>0</v>
      </c>
      <c r="KH879" s="21" t="str">
        <f t="shared" si="584"/>
        <v/>
      </c>
      <c r="KI879" s="52" t="str">
        <f t="shared" si="585"/>
        <v/>
      </c>
      <c r="KJ879" s="15">
        <f t="shared" si="586"/>
        <v>0</v>
      </c>
      <c r="KK879" s="15">
        <f t="shared" si="587"/>
        <v>0</v>
      </c>
      <c r="KL879" s="19" t="str">
        <f t="shared" si="588"/>
        <v/>
      </c>
      <c r="KM879" s="52" t="str">
        <f t="shared" si="589"/>
        <v/>
      </c>
      <c r="KN879" s="22">
        <f t="shared" si="590"/>
        <v>0</v>
      </c>
      <c r="KO879" s="22">
        <f t="shared" si="591"/>
        <v>0</v>
      </c>
      <c r="KP879" s="19" t="str">
        <f t="shared" si="592"/>
        <v/>
      </c>
      <c r="KQ879" s="11" t="str">
        <f t="shared" si="593"/>
        <v>3. Responsive</v>
      </c>
      <c r="KR879" s="11" t="str">
        <f t="shared" si="594"/>
        <v>3. Responsive</v>
      </c>
      <c r="KS879" s="11" t="str">
        <f t="shared" si="595"/>
        <v>4. Transformative</v>
      </c>
      <c r="KT879" s="11" t="str">
        <f t="shared" si="596"/>
        <v>It tested new ways for fighting poverty and measured results of innovation</v>
      </c>
      <c r="KU879" s="11" t="str">
        <f t="shared" si="597"/>
        <v>Moderate advocacy</v>
      </c>
      <c r="KV879" s="11" t="str">
        <f t="shared" si="598"/>
        <v>It linked and worked with strategic alliances and partners to take tested and effective solutions to scale</v>
      </c>
      <c r="KW879" s="11" t="str">
        <f t="shared" si="599"/>
        <v>Vanuatu - Were ready for Climate Change Increasing Small Island resilience to climate change in Vanuatu</v>
      </c>
      <c r="KX879" s="11" t="str">
        <f t="shared" si="600"/>
        <v>Were ready for Climate Change Increasing Small Island resilience to climate change in Vanuatu</v>
      </c>
      <c r="KY879" s="11" t="str">
        <f t="shared" si="601"/>
        <v>Vanuatu</v>
      </c>
      <c r="KZ879" s="12">
        <v>880</v>
      </c>
    </row>
    <row r="880" spans="1:312" x14ac:dyDescent="0.3">
      <c r="A880" s="12" t="s">
        <v>13272</v>
      </c>
      <c r="B880" s="12" t="s">
        <v>306</v>
      </c>
      <c r="C880" s="12">
        <v>3695</v>
      </c>
      <c r="D880" s="12" t="s">
        <v>13394</v>
      </c>
      <c r="E880" s="277" t="str">
        <f t="shared" si="559"/>
        <v>Vanuatu</v>
      </c>
      <c r="F880" s="12" t="s">
        <v>13395</v>
      </c>
      <c r="G880" s="12" t="s">
        <v>309</v>
      </c>
      <c r="H880" s="12" t="s">
        <v>310</v>
      </c>
      <c r="I880" s="12" t="s">
        <v>311</v>
      </c>
      <c r="J880" s="281" t="s">
        <v>14565</v>
      </c>
      <c r="K880" s="12"/>
      <c r="L880" s="12"/>
      <c r="M880" s="12"/>
      <c r="N880" s="12"/>
      <c r="O880" s="12"/>
      <c r="P880" s="12"/>
      <c r="Q880" s="12"/>
      <c r="R880" s="12"/>
      <c r="S880" s="12"/>
      <c r="T880" s="12"/>
      <c r="U880" s="12"/>
      <c r="V880" s="12"/>
      <c r="W880" s="12"/>
      <c r="X880" s="12"/>
      <c r="Y880" s="12"/>
      <c r="Z880" s="12"/>
      <c r="AA880" s="12"/>
      <c r="AB880" s="12"/>
      <c r="AC880" s="12"/>
      <c r="AD880" s="12"/>
      <c r="BD880" s="13">
        <v>41671</v>
      </c>
      <c r="BE880" s="13">
        <v>42916</v>
      </c>
      <c r="BF880" s="12"/>
      <c r="BG880" s="12" t="s">
        <v>350</v>
      </c>
      <c r="BH880" s="14">
        <v>199752</v>
      </c>
      <c r="BI880" s="12" t="s">
        <v>13275</v>
      </c>
      <c r="BJ880" s="12" t="s">
        <v>1899</v>
      </c>
      <c r="BK880" s="12" t="s">
        <v>13396</v>
      </c>
      <c r="BL880" s="12" t="s">
        <v>13296</v>
      </c>
      <c r="BM880" s="12" t="s">
        <v>1602</v>
      </c>
      <c r="BN880" s="12" t="s">
        <v>13359</v>
      </c>
      <c r="BO880" s="12" t="s">
        <v>319</v>
      </c>
      <c r="BP880" s="12" t="s">
        <v>320</v>
      </c>
      <c r="BQ880" s="12" t="s">
        <v>319</v>
      </c>
      <c r="BR880" s="12" t="s">
        <v>13397</v>
      </c>
      <c r="BS880" s="12" t="s">
        <v>322</v>
      </c>
      <c r="BT880" s="12" t="s">
        <v>13398</v>
      </c>
      <c r="BU880" s="12" t="s">
        <v>13399</v>
      </c>
      <c r="BV880" s="14">
        <v>837</v>
      </c>
      <c r="BW880" s="14">
        <v>837</v>
      </c>
      <c r="BX880" s="14">
        <v>1107</v>
      </c>
      <c r="BY880" s="14">
        <v>3690</v>
      </c>
      <c r="BZ880" s="14">
        <v>3690</v>
      </c>
      <c r="CA880" s="14">
        <v>7380</v>
      </c>
      <c r="CB880" s="12" t="s">
        <v>13400</v>
      </c>
      <c r="CD880" s="14"/>
      <c r="CE880" s="14"/>
      <c r="CF880" s="14"/>
      <c r="CG880" s="14"/>
      <c r="CH880" s="14"/>
      <c r="CI880" s="14"/>
      <c r="CJ880" s="12"/>
      <c r="CK880" s="14"/>
      <c r="CL880" s="16"/>
      <c r="CM880" s="14"/>
      <c r="CN880" s="12"/>
      <c r="CO880" s="14"/>
      <c r="CP880" s="16"/>
      <c r="CQ880" s="14"/>
      <c r="CR880" s="12"/>
      <c r="CS880" s="14"/>
      <c r="CT880" s="16"/>
      <c r="CU880" s="14"/>
      <c r="CV880" s="12"/>
      <c r="CW880" s="14"/>
      <c r="CX880" s="16"/>
      <c r="CY880" s="14"/>
      <c r="CZ880" s="12"/>
      <c r="DA880" s="14"/>
      <c r="DB880" s="16"/>
      <c r="DC880" s="14"/>
      <c r="DD880" s="12"/>
      <c r="DE880" s="14"/>
      <c r="DF880" s="16"/>
      <c r="DG880" s="14"/>
      <c r="DH880" s="12"/>
      <c r="DI880" s="14"/>
      <c r="DJ880" s="16"/>
      <c r="DK880" s="14"/>
      <c r="DL880" s="12"/>
      <c r="DM880" s="14"/>
      <c r="DN880" s="16"/>
      <c r="DO880" s="14"/>
      <c r="DP880" s="12"/>
      <c r="DQ880" s="14"/>
      <c r="DR880" s="16"/>
      <c r="DS880" s="14"/>
      <c r="DT880" s="12"/>
      <c r="DU880" s="14"/>
      <c r="DV880" s="16"/>
      <c r="DW880" s="14"/>
      <c r="DX880" s="12"/>
      <c r="DY880" s="14"/>
      <c r="DZ880" s="16"/>
      <c r="EA880" s="14"/>
      <c r="EB880" s="12"/>
      <c r="EC880" s="14"/>
      <c r="ED880" s="16"/>
      <c r="EE880" s="14"/>
      <c r="EF880" s="12"/>
      <c r="EG880" s="12"/>
      <c r="EH880" s="14"/>
      <c r="EI880" s="16"/>
      <c r="EJ880" s="14"/>
      <c r="EK880" s="14">
        <v>593</v>
      </c>
      <c r="EL880" s="14">
        <v>446</v>
      </c>
      <c r="EM880" s="14">
        <v>1039</v>
      </c>
      <c r="EN880" s="14">
        <v>3097</v>
      </c>
      <c r="EO880" s="14">
        <v>735</v>
      </c>
      <c r="EP880" s="14">
        <v>3832</v>
      </c>
      <c r="EQ880" s="12" t="s">
        <v>319</v>
      </c>
      <c r="ER880" s="14"/>
      <c r="ES880" s="16"/>
      <c r="ET880" s="14"/>
      <c r="EU880" s="11" t="s">
        <v>319</v>
      </c>
      <c r="EV880" s="14"/>
      <c r="EW880" s="16"/>
      <c r="EX880" s="14"/>
      <c r="EY880" s="12" t="s">
        <v>319</v>
      </c>
      <c r="EZ880" s="14"/>
      <c r="FA880" s="16"/>
      <c r="FB880" s="14"/>
      <c r="FC880" s="12" t="s">
        <v>319</v>
      </c>
      <c r="FD880" s="14"/>
      <c r="FE880" s="16"/>
      <c r="FF880" s="14"/>
      <c r="FG880" s="12" t="s">
        <v>319</v>
      </c>
      <c r="FH880" s="14"/>
      <c r="FI880" s="16"/>
      <c r="FJ880" s="14"/>
      <c r="FK880" s="12" t="s">
        <v>319</v>
      </c>
      <c r="FL880" s="14"/>
      <c r="FM880" s="16"/>
      <c r="FN880" s="14"/>
      <c r="FO880" s="12" t="s">
        <v>319</v>
      </c>
      <c r="FP880" s="14"/>
      <c r="FQ880" s="16"/>
      <c r="FR880" s="14"/>
      <c r="FS880" s="12" t="s">
        <v>320</v>
      </c>
      <c r="FT880" s="14">
        <v>435</v>
      </c>
      <c r="FU880" s="16">
        <v>0.54700000000000004</v>
      </c>
      <c r="FV880" s="14">
        <v>1160</v>
      </c>
      <c r="FW880" s="11" t="s">
        <v>320</v>
      </c>
      <c r="FX880" s="14">
        <v>68</v>
      </c>
      <c r="FY880" s="16">
        <v>0.69</v>
      </c>
      <c r="FZ880" s="14">
        <v>907</v>
      </c>
      <c r="GA880" s="12" t="s">
        <v>319</v>
      </c>
      <c r="GB880" s="14"/>
      <c r="GC880" s="16"/>
      <c r="GD880" s="14"/>
      <c r="GE880" s="12" t="s">
        <v>319</v>
      </c>
      <c r="GF880" s="14"/>
      <c r="GG880" s="16"/>
      <c r="GH880" s="14"/>
      <c r="GI880" s="12" t="s">
        <v>319</v>
      </c>
      <c r="GJ880" s="14"/>
      <c r="GK880" s="16"/>
      <c r="GL880" s="14"/>
      <c r="GM880" s="12" t="s">
        <v>319</v>
      </c>
      <c r="GN880" s="14"/>
      <c r="GO880" s="16"/>
      <c r="GP880" s="14"/>
      <c r="GQ880" s="12" t="s">
        <v>319</v>
      </c>
      <c r="GR880" s="14"/>
      <c r="GS880" s="16"/>
      <c r="GT880" s="14"/>
      <c r="GU880" s="12" t="s">
        <v>319</v>
      </c>
      <c r="GV880" s="14"/>
      <c r="GW880" s="16"/>
      <c r="GX880" s="14"/>
      <c r="GY880" s="11" t="s">
        <v>320</v>
      </c>
      <c r="GZ880" s="14">
        <v>238</v>
      </c>
      <c r="HA880" s="16">
        <v>0.81499999999999995</v>
      </c>
      <c r="HB880" s="14">
        <v>1063</v>
      </c>
      <c r="HC880" s="12"/>
      <c r="HD880" s="12" t="s">
        <v>319</v>
      </c>
      <c r="HE880" s="14"/>
      <c r="HF880" s="16"/>
      <c r="HG880" s="14"/>
      <c r="HH880" s="12" t="s">
        <v>320</v>
      </c>
      <c r="HI880" s="12" t="s">
        <v>327</v>
      </c>
      <c r="HJ880" s="12">
        <v>2016</v>
      </c>
      <c r="HK880" s="12" t="s">
        <v>319</v>
      </c>
      <c r="HL880" s="12" t="s">
        <v>319</v>
      </c>
      <c r="HM880" s="12"/>
      <c r="HN880" s="12"/>
      <c r="HO880" s="12"/>
      <c r="HP880" s="12" t="s">
        <v>330</v>
      </c>
      <c r="HQ880" s="12" t="s">
        <v>320</v>
      </c>
      <c r="HR880" s="12" t="s">
        <v>319</v>
      </c>
      <c r="HS880" s="12" t="s">
        <v>320</v>
      </c>
      <c r="HT880" s="12" t="s">
        <v>320</v>
      </c>
      <c r="HU880" s="12" t="s">
        <v>320</v>
      </c>
      <c r="HV880" s="12" t="s">
        <v>320</v>
      </c>
      <c r="HW880" s="12" t="s">
        <v>319</v>
      </c>
      <c r="HX880" s="12" t="s">
        <v>319</v>
      </c>
      <c r="HY880" s="12"/>
      <c r="HZ880" s="12" t="s">
        <v>363</v>
      </c>
      <c r="IA880" s="12"/>
      <c r="IB880" s="12" t="s">
        <v>333</v>
      </c>
      <c r="IC880" s="12"/>
      <c r="ID880" s="12" t="s">
        <v>334</v>
      </c>
      <c r="IE880" s="12" t="s">
        <v>478</v>
      </c>
      <c r="IF880" s="12" t="s">
        <v>320</v>
      </c>
      <c r="IG880" s="12" t="s">
        <v>320</v>
      </c>
      <c r="IH880" s="12" t="s">
        <v>319</v>
      </c>
      <c r="II880" s="12" t="s">
        <v>320</v>
      </c>
      <c r="IJ880" s="12" t="str">
        <f t="shared" si="602"/>
        <v>3. Responsive</v>
      </c>
      <c r="IK880" s="12">
        <f t="shared" si="561"/>
        <v>3</v>
      </c>
      <c r="IL880" s="12" t="s">
        <v>336</v>
      </c>
      <c r="IM880" s="12" t="s">
        <v>320</v>
      </c>
      <c r="IN880" s="12" t="s">
        <v>320</v>
      </c>
      <c r="IO880" s="12" t="s">
        <v>320</v>
      </c>
      <c r="IP880" s="12" t="s">
        <v>320</v>
      </c>
      <c r="IQ880" s="12" t="str">
        <f t="shared" si="562"/>
        <v>2. Accommodating</v>
      </c>
      <c r="IR880" s="12">
        <f t="shared" si="563"/>
        <v>4</v>
      </c>
      <c r="IS880" s="12" t="s">
        <v>337</v>
      </c>
      <c r="IT880" s="12" t="s">
        <v>320</v>
      </c>
      <c r="IU880" s="12" t="s">
        <v>320</v>
      </c>
      <c r="IV880" s="12" t="s">
        <v>319</v>
      </c>
      <c r="IW880" s="11" t="str">
        <f t="shared" si="564"/>
        <v>1. Neutral</v>
      </c>
      <c r="IX880" s="12">
        <f t="shared" si="565"/>
        <v>2</v>
      </c>
      <c r="IY880" s="12" t="s">
        <v>419</v>
      </c>
      <c r="IZ880" s="12" t="s">
        <v>432</v>
      </c>
      <c r="JA880" s="12">
        <v>4</v>
      </c>
      <c r="JB880" s="12" t="s">
        <v>433</v>
      </c>
      <c r="JC880" s="12" t="s">
        <v>687</v>
      </c>
      <c r="JD880" s="12" t="s">
        <v>651</v>
      </c>
      <c r="JE880" s="12" t="s">
        <v>365</v>
      </c>
      <c r="JF880" s="12" t="s">
        <v>13401</v>
      </c>
      <c r="JG880" s="12" t="s">
        <v>13402</v>
      </c>
      <c r="JH880" s="12" t="s">
        <v>13403</v>
      </c>
      <c r="JI880" s="12" t="s">
        <v>13404</v>
      </c>
      <c r="JJ880" s="12" t="s">
        <v>13405</v>
      </c>
      <c r="JK880" s="12" t="s">
        <v>13406</v>
      </c>
      <c r="JL880" s="12" t="s">
        <v>13407</v>
      </c>
      <c r="JM880" s="12" t="s">
        <v>13408</v>
      </c>
      <c r="JN880" s="12"/>
      <c r="JO880" s="12"/>
      <c r="JP880" s="15">
        <f t="shared" si="566"/>
        <v>1039</v>
      </c>
      <c r="JQ880" s="15">
        <f t="shared" si="567"/>
        <v>3832</v>
      </c>
      <c r="JR880" s="279">
        <f t="shared" si="568"/>
        <v>3.6881616939364772</v>
      </c>
      <c r="JS880" s="17">
        <f t="shared" si="569"/>
        <v>0.57074109720885469</v>
      </c>
      <c r="JT880" s="18">
        <f t="shared" si="570"/>
        <v>0.80819415448851772</v>
      </c>
      <c r="JU880" s="280">
        <f t="shared" si="571"/>
        <v>593</v>
      </c>
      <c r="JV880" s="280">
        <f t="shared" si="572"/>
        <v>3097</v>
      </c>
      <c r="JW880" s="319" t="str">
        <f t="shared" si="573"/>
        <v/>
      </c>
      <c r="JX880" s="15">
        <f t="shared" si="574"/>
        <v>0</v>
      </c>
      <c r="JY880" s="15">
        <f t="shared" si="575"/>
        <v>0</v>
      </c>
      <c r="JZ880" s="19" t="str">
        <f t="shared" si="576"/>
        <v/>
      </c>
      <c r="KA880" s="52" t="str">
        <f t="shared" si="577"/>
        <v/>
      </c>
      <c r="KB880" s="15">
        <f t="shared" si="578"/>
        <v>0</v>
      </c>
      <c r="KC880" s="15">
        <f t="shared" si="579"/>
        <v>0</v>
      </c>
      <c r="KD880" s="20" t="str">
        <f t="shared" si="580"/>
        <v/>
      </c>
      <c r="KE880" s="52" t="str">
        <f t="shared" si="581"/>
        <v/>
      </c>
      <c r="KF880" s="15">
        <f t="shared" si="582"/>
        <v>0</v>
      </c>
      <c r="KG880" s="15">
        <f t="shared" si="583"/>
        <v>0</v>
      </c>
      <c r="KH880" s="21" t="str">
        <f t="shared" si="584"/>
        <v/>
      </c>
      <c r="KI880" s="52">
        <f t="shared" si="585"/>
        <v>1</v>
      </c>
      <c r="KJ880" s="15">
        <f t="shared" si="586"/>
        <v>435</v>
      </c>
      <c r="KK880" s="15">
        <f t="shared" si="587"/>
        <v>1160</v>
      </c>
      <c r="KL880" s="19">
        <f t="shared" si="588"/>
        <v>2.6666666666666665</v>
      </c>
      <c r="KM880" s="52">
        <f t="shared" si="589"/>
        <v>1</v>
      </c>
      <c r="KN880" s="22">
        <f t="shared" si="590"/>
        <v>238</v>
      </c>
      <c r="KO880" s="22">
        <f t="shared" si="591"/>
        <v>1063</v>
      </c>
      <c r="KP880" s="19">
        <f t="shared" si="592"/>
        <v>4.4663865546218489</v>
      </c>
      <c r="KQ880" s="11" t="str">
        <f t="shared" si="593"/>
        <v>3. Responsive</v>
      </c>
      <c r="KR880" s="11" t="str">
        <f t="shared" si="594"/>
        <v>2. Accommodating</v>
      </c>
      <c r="KS880" s="11" t="str">
        <f t="shared" si="595"/>
        <v>1. Neutral</v>
      </c>
      <c r="KT880" s="11" t="str">
        <f t="shared" si="596"/>
        <v>It did not develop any specific innovation</v>
      </c>
      <c r="KU880" s="11" t="str">
        <f t="shared" si="597"/>
        <v>Moderate advocacy</v>
      </c>
      <c r="KV880" s="11" t="str">
        <f t="shared" si="598"/>
        <v>It did not take tested solutions to scale</v>
      </c>
      <c r="KW880" s="11" t="str">
        <f t="shared" si="599"/>
        <v>Vanuatu - Women's and Girls Empowerment Program</v>
      </c>
      <c r="KX880" s="11" t="str">
        <f t="shared" si="600"/>
        <v>Women's and Girls Empowerment Program</v>
      </c>
      <c r="KY880" s="11" t="str">
        <f t="shared" si="601"/>
        <v>Vanuatu</v>
      </c>
      <c r="KZ880" s="12">
        <v>881</v>
      </c>
    </row>
    <row r="881" spans="1:312" x14ac:dyDescent="0.3">
      <c r="A881" s="12" t="s">
        <v>13272</v>
      </c>
      <c r="B881" s="12" t="s">
        <v>306</v>
      </c>
      <c r="C881" s="12">
        <v>3691</v>
      </c>
      <c r="D881" s="12" t="s">
        <v>13356</v>
      </c>
      <c r="E881" s="277" t="str">
        <f t="shared" si="559"/>
        <v>Vanuatu</v>
      </c>
      <c r="F881" s="12" t="s">
        <v>13357</v>
      </c>
      <c r="G881" s="12" t="s">
        <v>309</v>
      </c>
      <c r="H881" s="12" t="s">
        <v>310</v>
      </c>
      <c r="I881" s="12" t="s">
        <v>907</v>
      </c>
      <c r="J881" s="281" t="s">
        <v>5183</v>
      </c>
      <c r="K881" s="12"/>
      <c r="L881" s="12"/>
      <c r="M881" s="12"/>
      <c r="N881" s="12"/>
      <c r="O881" s="12"/>
      <c r="P881" s="12"/>
      <c r="Q881" s="12"/>
      <c r="R881" s="12"/>
      <c r="S881" s="12"/>
      <c r="T881" s="12"/>
      <c r="U881" s="12"/>
      <c r="V881" s="12"/>
      <c r="W881" s="12"/>
      <c r="X881" s="12"/>
      <c r="Y881" s="12"/>
      <c r="Z881" s="12"/>
      <c r="AA881" s="12"/>
      <c r="AB881" s="12"/>
      <c r="AC881" s="12"/>
      <c r="AD881" s="12"/>
      <c r="BD881" s="13">
        <v>42186</v>
      </c>
      <c r="BE881" s="13">
        <v>42735</v>
      </c>
      <c r="BF881" s="12"/>
      <c r="BG881" s="12" t="s">
        <v>749</v>
      </c>
      <c r="BH881" s="14">
        <v>435734</v>
      </c>
      <c r="BI881" s="12" t="s">
        <v>13275</v>
      </c>
      <c r="BJ881" s="12" t="s">
        <v>1899</v>
      </c>
      <c r="BK881" s="12" t="s">
        <v>13358</v>
      </c>
      <c r="BL881" s="12" t="s">
        <v>13296</v>
      </c>
      <c r="BM881" s="12" t="s">
        <v>1602</v>
      </c>
      <c r="BN881" s="12" t="s">
        <v>13359</v>
      </c>
      <c r="BO881" s="12" t="s">
        <v>319</v>
      </c>
      <c r="BP881" s="12" t="s">
        <v>320</v>
      </c>
      <c r="BQ881" s="12" t="s">
        <v>319</v>
      </c>
      <c r="BR881" s="12" t="s">
        <v>13360</v>
      </c>
      <c r="BS881" s="12" t="s">
        <v>322</v>
      </c>
      <c r="BT881" s="12" t="s">
        <v>13361</v>
      </c>
      <c r="BU881" s="12" t="s">
        <v>13362</v>
      </c>
      <c r="BV881" s="14">
        <v>2911</v>
      </c>
      <c r="BW881" s="14">
        <v>3100</v>
      </c>
      <c r="BX881" s="14">
        <v>6011</v>
      </c>
      <c r="BY881" s="14">
        <v>1697</v>
      </c>
      <c r="BZ881" s="14">
        <v>1790</v>
      </c>
      <c r="CA881" s="14">
        <v>3487</v>
      </c>
      <c r="CB881" s="12" t="s">
        <v>13363</v>
      </c>
      <c r="CD881" s="14"/>
      <c r="CE881" s="14"/>
      <c r="CF881" s="14"/>
      <c r="CG881" s="14"/>
      <c r="CH881" s="14"/>
      <c r="CI881" s="14"/>
      <c r="CJ881" s="12"/>
      <c r="CK881" s="14"/>
      <c r="CL881" s="16"/>
      <c r="CM881" s="14"/>
      <c r="CN881" s="12"/>
      <c r="CO881" s="14"/>
      <c r="CP881" s="16"/>
      <c r="CQ881" s="14"/>
      <c r="CR881" s="12"/>
      <c r="CS881" s="14"/>
      <c r="CT881" s="16"/>
      <c r="CU881" s="14"/>
      <c r="CV881" s="12"/>
      <c r="CW881" s="14"/>
      <c r="CX881" s="16"/>
      <c r="CY881" s="14"/>
      <c r="CZ881" s="12"/>
      <c r="DA881" s="14"/>
      <c r="DB881" s="16"/>
      <c r="DC881" s="14"/>
      <c r="DD881" s="12"/>
      <c r="DE881" s="14"/>
      <c r="DF881" s="16"/>
      <c r="DG881" s="14"/>
      <c r="DH881" s="12"/>
      <c r="DI881" s="14"/>
      <c r="DJ881" s="16"/>
      <c r="DK881" s="14"/>
      <c r="DL881" s="12"/>
      <c r="DM881" s="14"/>
      <c r="DN881" s="16"/>
      <c r="DO881" s="14"/>
      <c r="DP881" s="12"/>
      <c r="DQ881" s="14"/>
      <c r="DR881" s="16"/>
      <c r="DS881" s="14"/>
      <c r="DT881" s="12"/>
      <c r="DU881" s="14"/>
      <c r="DV881" s="16"/>
      <c r="DW881" s="14"/>
      <c r="DX881" s="12"/>
      <c r="DY881" s="14"/>
      <c r="DZ881" s="16"/>
      <c r="EA881" s="14"/>
      <c r="EB881" s="12"/>
      <c r="EC881" s="14"/>
      <c r="ED881" s="16"/>
      <c r="EE881" s="14"/>
      <c r="EF881" s="12"/>
      <c r="EG881" s="12"/>
      <c r="EH881" s="14"/>
      <c r="EI881" s="16"/>
      <c r="EJ881" s="14"/>
      <c r="EK881" s="14">
        <v>2367</v>
      </c>
      <c r="EL881" s="14">
        <v>2420</v>
      </c>
      <c r="EM881" s="14">
        <v>4787</v>
      </c>
      <c r="EN881" s="14">
        <v>696</v>
      </c>
      <c r="EO881" s="14">
        <v>749</v>
      </c>
      <c r="EP881" s="14">
        <v>1445</v>
      </c>
      <c r="EQ881" s="12" t="s">
        <v>319</v>
      </c>
      <c r="ER881" s="14"/>
      <c r="ES881" s="16"/>
      <c r="ET881" s="14"/>
      <c r="EU881" s="11" t="s">
        <v>320</v>
      </c>
      <c r="EV881" s="14">
        <v>4787</v>
      </c>
      <c r="EW881" s="16">
        <v>0.49</v>
      </c>
      <c r="EX881" s="14">
        <v>1445</v>
      </c>
      <c r="EY881" s="12" t="s">
        <v>319</v>
      </c>
      <c r="EZ881" s="14"/>
      <c r="FA881" s="16"/>
      <c r="FB881" s="14"/>
      <c r="FC881" s="12" t="s">
        <v>320</v>
      </c>
      <c r="FD881" s="14">
        <v>4787</v>
      </c>
      <c r="FE881" s="16">
        <v>0.49</v>
      </c>
      <c r="FF881" s="14">
        <v>1445</v>
      </c>
      <c r="FG881" s="12" t="s">
        <v>319</v>
      </c>
      <c r="FH881" s="14"/>
      <c r="FI881" s="16"/>
      <c r="FJ881" s="14"/>
      <c r="FK881" s="12" t="s">
        <v>319</v>
      </c>
      <c r="FL881" s="14"/>
      <c r="FM881" s="16"/>
      <c r="FN881" s="14"/>
      <c r="FO881" s="12" t="s">
        <v>319</v>
      </c>
      <c r="FP881" s="14"/>
      <c r="FQ881" s="16"/>
      <c r="FR881" s="14"/>
      <c r="FS881" s="12" t="s">
        <v>319</v>
      </c>
      <c r="FT881" s="14"/>
      <c r="FU881" s="16"/>
      <c r="FV881" s="14"/>
      <c r="FW881" s="12" t="s">
        <v>319</v>
      </c>
      <c r="FX881" s="14"/>
      <c r="FY881" s="16"/>
      <c r="FZ881" s="14"/>
      <c r="GA881" s="12" t="s">
        <v>319</v>
      </c>
      <c r="GB881" s="14"/>
      <c r="GC881" s="16"/>
      <c r="GD881" s="14"/>
      <c r="GE881" s="12" t="s">
        <v>319</v>
      </c>
      <c r="GF881" s="14"/>
      <c r="GG881" s="16"/>
      <c r="GH881" s="14"/>
      <c r="GI881" s="12" t="s">
        <v>319</v>
      </c>
      <c r="GJ881" s="14"/>
      <c r="GK881" s="16"/>
      <c r="GL881" s="14"/>
      <c r="GM881" s="12" t="s">
        <v>319</v>
      </c>
      <c r="GN881" s="14"/>
      <c r="GO881" s="16"/>
      <c r="GP881" s="14"/>
      <c r="GQ881" s="12" t="s">
        <v>319</v>
      </c>
      <c r="GR881" s="14"/>
      <c r="GS881" s="16"/>
      <c r="GT881" s="14"/>
      <c r="GU881" s="12" t="s">
        <v>319</v>
      </c>
      <c r="GV881" s="14"/>
      <c r="GW881" s="16"/>
      <c r="GX881" s="14"/>
      <c r="GY881" s="12" t="s">
        <v>319</v>
      </c>
      <c r="GZ881" s="14"/>
      <c r="HA881" s="16"/>
      <c r="HB881" s="14"/>
      <c r="HC881" s="12"/>
      <c r="HD881" s="12" t="s">
        <v>319</v>
      </c>
      <c r="HE881" s="14"/>
      <c r="HF881" s="16"/>
      <c r="HG881" s="14"/>
      <c r="HH881" s="12" t="s">
        <v>320</v>
      </c>
      <c r="HI881" s="12" t="s">
        <v>327</v>
      </c>
      <c r="HJ881" s="12">
        <v>2016</v>
      </c>
      <c r="HK881" s="12" t="s">
        <v>319</v>
      </c>
      <c r="HL881" s="12" t="s">
        <v>319</v>
      </c>
      <c r="HM881" s="12"/>
      <c r="HN881" s="12"/>
      <c r="HO881" s="12"/>
      <c r="HP881" s="12" t="s">
        <v>330</v>
      </c>
      <c r="HQ881" s="12" t="s">
        <v>320</v>
      </c>
      <c r="HR881" s="12" t="s">
        <v>319</v>
      </c>
      <c r="HS881" s="12" t="s">
        <v>320</v>
      </c>
      <c r="HT881" s="12" t="s">
        <v>320</v>
      </c>
      <c r="HU881" s="12" t="s">
        <v>320</v>
      </c>
      <c r="HV881" s="12" t="s">
        <v>320</v>
      </c>
      <c r="HW881" s="12" t="s">
        <v>319</v>
      </c>
      <c r="HX881" s="12" t="s">
        <v>319</v>
      </c>
      <c r="HY881" s="12"/>
      <c r="HZ881" s="12" t="s">
        <v>331</v>
      </c>
      <c r="IA881" s="12" t="s">
        <v>13364</v>
      </c>
      <c r="IB881" s="12" t="s">
        <v>396</v>
      </c>
      <c r="IC881" s="12" t="s">
        <v>13365</v>
      </c>
      <c r="ID881" s="12" t="s">
        <v>364</v>
      </c>
      <c r="IE881" s="12" t="s">
        <v>478</v>
      </c>
      <c r="IF881" s="12" t="s">
        <v>320</v>
      </c>
      <c r="IG881" s="12" t="s">
        <v>320</v>
      </c>
      <c r="IH881" s="12" t="s">
        <v>319</v>
      </c>
      <c r="II881" s="12" t="s">
        <v>320</v>
      </c>
      <c r="IJ881" s="12" t="str">
        <f t="shared" si="602"/>
        <v>3. Responsive</v>
      </c>
      <c r="IK881" s="12">
        <f t="shared" si="561"/>
        <v>3</v>
      </c>
      <c r="IL881" s="11" t="s">
        <v>621</v>
      </c>
      <c r="IM881" s="12" t="s">
        <v>319</v>
      </c>
      <c r="IN881" s="12" t="s">
        <v>320</v>
      </c>
      <c r="IO881" s="12" t="s">
        <v>320</v>
      </c>
      <c r="IP881" s="12" t="s">
        <v>320</v>
      </c>
      <c r="IQ881" s="12" t="str">
        <f t="shared" si="562"/>
        <v>3. Responsive</v>
      </c>
      <c r="IR881" s="12">
        <f t="shared" si="563"/>
        <v>3</v>
      </c>
      <c r="IS881" s="12" t="s">
        <v>622</v>
      </c>
      <c r="IT881" s="12" t="s">
        <v>320</v>
      </c>
      <c r="IU881" s="12" t="s">
        <v>320</v>
      </c>
      <c r="IV881" s="12" t="s">
        <v>320</v>
      </c>
      <c r="IW881" s="11" t="str">
        <f t="shared" si="564"/>
        <v>4. Transformative</v>
      </c>
      <c r="IX881" s="12">
        <f t="shared" si="565"/>
        <v>3</v>
      </c>
      <c r="IY881" s="12" t="s">
        <v>758</v>
      </c>
      <c r="IZ881" s="12" t="s">
        <v>432</v>
      </c>
      <c r="JA881" s="12">
        <v>4</v>
      </c>
      <c r="JB881" s="12" t="s">
        <v>433</v>
      </c>
      <c r="JC881" s="12" t="s">
        <v>687</v>
      </c>
      <c r="JD881" s="12" t="s">
        <v>651</v>
      </c>
      <c r="JE881" s="12" t="s">
        <v>365</v>
      </c>
      <c r="JF881" s="12" t="s">
        <v>13366</v>
      </c>
      <c r="JG881" s="12"/>
      <c r="JH881" s="12" t="s">
        <v>13367</v>
      </c>
      <c r="JI881" s="12" t="s">
        <v>13368</v>
      </c>
      <c r="JJ881" s="12" t="s">
        <v>13369</v>
      </c>
      <c r="JK881" s="12" t="s">
        <v>13370</v>
      </c>
      <c r="JL881" s="12" t="s">
        <v>13371</v>
      </c>
      <c r="JM881" s="12"/>
      <c r="JN881" s="12"/>
      <c r="JO881" s="12" t="s">
        <v>13372</v>
      </c>
      <c r="JP881" s="15">
        <f t="shared" si="566"/>
        <v>4787</v>
      </c>
      <c r="JQ881" s="15">
        <f t="shared" si="567"/>
        <v>1445</v>
      </c>
      <c r="JR881" s="279">
        <f t="shared" si="568"/>
        <v>0.30185920200543137</v>
      </c>
      <c r="JS881" s="17">
        <f t="shared" si="569"/>
        <v>0.49446417380405266</v>
      </c>
      <c r="JT881" s="18">
        <f t="shared" si="570"/>
        <v>0.48166089965397924</v>
      </c>
      <c r="JU881" s="280">
        <f t="shared" si="571"/>
        <v>2367</v>
      </c>
      <c r="JV881" s="280">
        <f t="shared" si="572"/>
        <v>696</v>
      </c>
      <c r="JW881" s="319" t="str">
        <f t="shared" si="573"/>
        <v/>
      </c>
      <c r="JX881" s="15">
        <f t="shared" si="574"/>
        <v>0</v>
      </c>
      <c r="JY881" s="15">
        <f t="shared" si="575"/>
        <v>0</v>
      </c>
      <c r="JZ881" s="19" t="str">
        <f t="shared" si="576"/>
        <v/>
      </c>
      <c r="KA881" s="52">
        <f t="shared" si="577"/>
        <v>1</v>
      </c>
      <c r="KB881" s="15">
        <f t="shared" si="578"/>
        <v>4787</v>
      </c>
      <c r="KC881" s="15">
        <f t="shared" si="579"/>
        <v>1445</v>
      </c>
      <c r="KD881" s="20">
        <f t="shared" si="580"/>
        <v>0.30185920200543137</v>
      </c>
      <c r="KE881" s="52" t="str">
        <f t="shared" si="581"/>
        <v/>
      </c>
      <c r="KF881" s="15">
        <f t="shared" si="582"/>
        <v>0</v>
      </c>
      <c r="KG881" s="15">
        <f t="shared" si="583"/>
        <v>0</v>
      </c>
      <c r="KH881" s="21" t="str">
        <f t="shared" si="584"/>
        <v/>
      </c>
      <c r="KI881" s="52" t="str">
        <f t="shared" si="585"/>
        <v/>
      </c>
      <c r="KJ881" s="15">
        <f t="shared" si="586"/>
        <v>0</v>
      </c>
      <c r="KK881" s="15">
        <f t="shared" si="587"/>
        <v>0</v>
      </c>
      <c r="KL881" s="19" t="str">
        <f t="shared" si="588"/>
        <v/>
      </c>
      <c r="KM881" s="52" t="str">
        <f t="shared" si="589"/>
        <v/>
      </c>
      <c r="KN881" s="22">
        <f t="shared" si="590"/>
        <v>0</v>
      </c>
      <c r="KO881" s="22">
        <f t="shared" si="591"/>
        <v>0</v>
      </c>
      <c r="KP881" s="19" t="str">
        <f t="shared" si="592"/>
        <v/>
      </c>
      <c r="KQ881" s="11" t="str">
        <f t="shared" si="593"/>
        <v>3. Responsive</v>
      </c>
      <c r="KR881" s="11" t="str">
        <f t="shared" si="594"/>
        <v>3. Responsive</v>
      </c>
      <c r="KS881" s="11" t="str">
        <f t="shared" si="595"/>
        <v>4. Transformative</v>
      </c>
      <c r="KT881" s="11" t="str">
        <f t="shared" si="596"/>
        <v>It tested new ways for fighting poverty and measured results of innovation</v>
      </c>
      <c r="KU881" s="11" t="str">
        <f t="shared" si="597"/>
        <v>Moderate advocacy</v>
      </c>
      <c r="KV881" s="11" t="str">
        <f t="shared" si="598"/>
        <v>It linked and worked with strategic alliances and partners to take tested and effective solutions to scale</v>
      </c>
      <c r="KW881" s="11" t="str">
        <f t="shared" si="599"/>
        <v>Vanuatu - YUMI Ready - Every one is Prepared</v>
      </c>
      <c r="KX881" s="11" t="str">
        <f t="shared" si="600"/>
        <v>YUMI Ready - Every one is Prepared</v>
      </c>
      <c r="KY881" s="11" t="str">
        <f t="shared" si="601"/>
        <v>Vanuatu</v>
      </c>
      <c r="KZ881" s="12">
        <v>882</v>
      </c>
    </row>
    <row r="882" spans="1:312" x14ac:dyDescent="0.3">
      <c r="A882" s="12" t="s">
        <v>13409</v>
      </c>
      <c r="B882" s="12" t="s">
        <v>306</v>
      </c>
      <c r="C882" s="12"/>
      <c r="D882" s="12" t="s">
        <v>13638</v>
      </c>
      <c r="E882" s="277" t="str">
        <f t="shared" si="559"/>
        <v>Vietnam</v>
      </c>
      <c r="F882" s="12" t="s">
        <v>13639</v>
      </c>
      <c r="G882" s="12" t="s">
        <v>608</v>
      </c>
      <c r="H882" s="12" t="s">
        <v>384</v>
      </c>
      <c r="I882" s="12" t="s">
        <v>384</v>
      </c>
      <c r="J882" s="281" t="s">
        <v>13640</v>
      </c>
      <c r="K882" s="12"/>
      <c r="L882" s="12"/>
      <c r="M882" s="12"/>
      <c r="N882" s="12"/>
      <c r="O882" s="12"/>
      <c r="P882" s="12"/>
      <c r="Q882" s="12"/>
      <c r="R882" s="12"/>
      <c r="S882" s="12"/>
      <c r="T882" s="12"/>
      <c r="U882" s="12"/>
      <c r="V882" s="12"/>
      <c r="W882" s="12"/>
      <c r="X882" s="12"/>
      <c r="Y882" s="12"/>
      <c r="Z882" s="12"/>
      <c r="AA882" s="12"/>
      <c r="AB882" s="12"/>
      <c r="AC882" s="12"/>
      <c r="AD882" s="12"/>
      <c r="BD882" s="13">
        <v>42736</v>
      </c>
      <c r="BE882" s="13">
        <v>43281</v>
      </c>
      <c r="BF882" s="12"/>
      <c r="BG882" s="12" t="s">
        <v>407</v>
      </c>
      <c r="BH882" s="14">
        <v>50000</v>
      </c>
      <c r="BI882" s="12" t="s">
        <v>13412</v>
      </c>
      <c r="BJ882" s="12" t="s">
        <v>13413</v>
      </c>
      <c r="BK882" s="12" t="s">
        <v>13414</v>
      </c>
      <c r="BL882" s="12"/>
      <c r="BM882" s="12"/>
      <c r="BN882" s="12"/>
      <c r="BO882" s="12" t="s">
        <v>320</v>
      </c>
      <c r="BP882" s="12" t="s">
        <v>320</v>
      </c>
      <c r="BQ882" s="12" t="s">
        <v>320</v>
      </c>
      <c r="BR882" s="12" t="s">
        <v>13641</v>
      </c>
      <c r="BS882" s="12" t="s">
        <v>357</v>
      </c>
      <c r="BT882" s="12" t="s">
        <v>13642</v>
      </c>
      <c r="BU882" s="12" t="s">
        <v>13643</v>
      </c>
      <c r="BV882" s="14">
        <v>5000</v>
      </c>
      <c r="BW882" s="14">
        <v>5000</v>
      </c>
      <c r="BX882" s="14">
        <v>10000</v>
      </c>
      <c r="BY882" s="14">
        <v>10000</v>
      </c>
      <c r="BZ882" s="14">
        <v>10000</v>
      </c>
      <c r="CA882" s="14">
        <v>20000</v>
      </c>
      <c r="CB882" s="12" t="s">
        <v>13644</v>
      </c>
      <c r="CD882" s="14">
        <v>150</v>
      </c>
      <c r="CE882" s="14">
        <v>150</v>
      </c>
      <c r="CF882" s="14">
        <v>300</v>
      </c>
      <c r="CG882" s="14">
        <v>600</v>
      </c>
      <c r="CH882" s="14">
        <v>600</v>
      </c>
      <c r="CI882" s="14">
        <v>1200</v>
      </c>
      <c r="CJ882" s="12"/>
      <c r="CK882" s="14"/>
      <c r="CL882" s="16"/>
      <c r="CM882" s="14"/>
      <c r="CN882" s="12"/>
      <c r="CO882" s="14"/>
      <c r="CP882" s="16"/>
      <c r="CQ882" s="14"/>
      <c r="CR882" s="12"/>
      <c r="CS882" s="14"/>
      <c r="CT882" s="16"/>
      <c r="CU882" s="14"/>
      <c r="CV882" s="12"/>
      <c r="CW882" s="14"/>
      <c r="CX882" s="16"/>
      <c r="CY882" s="14"/>
      <c r="CZ882" s="12"/>
      <c r="DA882" s="14"/>
      <c r="DB882" s="16"/>
      <c r="DC882" s="14"/>
      <c r="DD882" s="12"/>
      <c r="DE882" s="14"/>
      <c r="DF882" s="16"/>
      <c r="DG882" s="14"/>
      <c r="DH882" s="12"/>
      <c r="DI882" s="14"/>
      <c r="DJ882" s="16"/>
      <c r="DK882" s="14"/>
      <c r="DL882" s="12"/>
      <c r="DM882" s="14"/>
      <c r="DN882" s="16"/>
      <c r="DO882" s="14"/>
      <c r="DP882" s="12"/>
      <c r="DQ882" s="14"/>
      <c r="DR882" s="16"/>
      <c r="DS882" s="14"/>
      <c r="DT882" s="12"/>
      <c r="DU882" s="14"/>
      <c r="DV882" s="16"/>
      <c r="DW882" s="14"/>
      <c r="DX882" s="12"/>
      <c r="DY882" s="14"/>
      <c r="DZ882" s="16"/>
      <c r="EA882" s="14"/>
      <c r="EB882" s="12"/>
      <c r="EC882" s="14"/>
      <c r="ED882" s="16"/>
      <c r="EE882" s="14"/>
      <c r="EF882" s="12"/>
      <c r="EG882" s="12" t="s">
        <v>320</v>
      </c>
      <c r="EH882" s="14">
        <v>300</v>
      </c>
      <c r="EI882" s="16"/>
      <c r="EJ882" s="14">
        <v>1200</v>
      </c>
      <c r="EK882" s="14">
        <v>150</v>
      </c>
      <c r="EL882" s="14">
        <v>150</v>
      </c>
      <c r="EM882" s="14">
        <v>300</v>
      </c>
      <c r="EN882" s="14">
        <v>600</v>
      </c>
      <c r="EO882" s="14">
        <v>600</v>
      </c>
      <c r="EP882" s="14">
        <v>1200</v>
      </c>
      <c r="EQ882" s="12" t="s">
        <v>320</v>
      </c>
      <c r="ER882" s="14">
        <v>300</v>
      </c>
      <c r="ES882" s="16">
        <v>0.5</v>
      </c>
      <c r="ET882" s="14">
        <v>1200</v>
      </c>
      <c r="EU882" s="11" t="s">
        <v>320</v>
      </c>
      <c r="EV882" s="14">
        <v>300</v>
      </c>
      <c r="EW882" s="16">
        <v>0.5</v>
      </c>
      <c r="EX882" s="14">
        <v>1200</v>
      </c>
      <c r="EY882" s="12" t="s">
        <v>319</v>
      </c>
      <c r="EZ882" s="14"/>
      <c r="FA882" s="16"/>
      <c r="FB882" s="14"/>
      <c r="FC882" s="12" t="s">
        <v>320</v>
      </c>
      <c r="FD882" s="14">
        <v>300</v>
      </c>
      <c r="FE882" s="16">
        <v>0.5</v>
      </c>
      <c r="FF882" s="14">
        <v>1200</v>
      </c>
      <c r="FG882" s="12" t="s">
        <v>319</v>
      </c>
      <c r="FH882" s="14"/>
      <c r="FI882" s="16"/>
      <c r="FJ882" s="14"/>
      <c r="FK882" s="12" t="s">
        <v>319</v>
      </c>
      <c r="FL882" s="14"/>
      <c r="FM882" s="16"/>
      <c r="FN882" s="14"/>
      <c r="FO882" s="12" t="s">
        <v>319</v>
      </c>
      <c r="FP882" s="14"/>
      <c r="FQ882" s="16"/>
      <c r="FR882" s="14"/>
      <c r="FS882" s="12" t="s">
        <v>319</v>
      </c>
      <c r="FT882" s="14"/>
      <c r="FU882" s="16"/>
      <c r="FV882" s="14"/>
      <c r="FW882" s="12" t="s">
        <v>319</v>
      </c>
      <c r="FX882" s="14"/>
      <c r="FY882" s="16"/>
      <c r="FZ882" s="14"/>
      <c r="GA882" s="12" t="s">
        <v>319</v>
      </c>
      <c r="GB882" s="14"/>
      <c r="GC882" s="16"/>
      <c r="GD882" s="14"/>
      <c r="GE882" s="12" t="s">
        <v>319</v>
      </c>
      <c r="GF882" s="14"/>
      <c r="GG882" s="16"/>
      <c r="GH882" s="14"/>
      <c r="GI882" s="11" t="s">
        <v>320</v>
      </c>
      <c r="GJ882" s="14">
        <v>300</v>
      </c>
      <c r="GK882" s="16">
        <v>0.5</v>
      </c>
      <c r="GL882" s="14">
        <v>1200</v>
      </c>
      <c r="GM882" s="12" t="s">
        <v>319</v>
      </c>
      <c r="GN882" s="14"/>
      <c r="GO882" s="16"/>
      <c r="GP882" s="14"/>
      <c r="GQ882" s="12" t="s">
        <v>319</v>
      </c>
      <c r="GR882" s="14"/>
      <c r="GS882" s="16"/>
      <c r="GT882" s="14"/>
      <c r="GU882" s="12" t="s">
        <v>319</v>
      </c>
      <c r="GV882" s="14"/>
      <c r="GW882" s="16"/>
      <c r="GX882" s="14"/>
      <c r="GY882" s="12" t="s">
        <v>319</v>
      </c>
      <c r="GZ882" s="14"/>
      <c r="HA882" s="16"/>
      <c r="HB882" s="14"/>
      <c r="HC882" s="12"/>
      <c r="HD882" s="12" t="s">
        <v>319</v>
      </c>
      <c r="HE882" s="14"/>
      <c r="HF882" s="16"/>
      <c r="HG882" s="14"/>
      <c r="HH882" s="12" t="s">
        <v>319</v>
      </c>
      <c r="HI882" s="12"/>
      <c r="HJ882" s="12"/>
      <c r="HK882" s="12" t="s">
        <v>319</v>
      </c>
      <c r="HL882" s="12" t="s">
        <v>319</v>
      </c>
      <c r="HM882" s="12"/>
      <c r="HN882" s="12"/>
      <c r="HO882" s="12" t="s">
        <v>13645</v>
      </c>
      <c r="HP882" s="12" t="s">
        <v>330</v>
      </c>
      <c r="HQ882" s="12" t="s">
        <v>319</v>
      </c>
      <c r="HR882" s="12" t="s">
        <v>319</v>
      </c>
      <c r="HS882" s="12" t="s">
        <v>320</v>
      </c>
      <c r="HT882" s="12" t="s">
        <v>320</v>
      </c>
      <c r="HU882" s="12" t="s">
        <v>319</v>
      </c>
      <c r="HV882" s="12" t="s">
        <v>320</v>
      </c>
      <c r="HW882" s="12" t="s">
        <v>320</v>
      </c>
      <c r="HX882" s="12" t="s">
        <v>319</v>
      </c>
      <c r="HY882" s="12"/>
      <c r="HZ882" s="12" t="s">
        <v>394</v>
      </c>
      <c r="IA882" s="12" t="s">
        <v>13646</v>
      </c>
      <c r="IB882" s="12" t="s">
        <v>396</v>
      </c>
      <c r="IC882" s="12" t="s">
        <v>13647</v>
      </c>
      <c r="ID882" s="12" t="s">
        <v>364</v>
      </c>
      <c r="IE882" s="12" t="s">
        <v>335</v>
      </c>
      <c r="IF882" s="12" t="s">
        <v>320</v>
      </c>
      <c r="IG882" s="12" t="s">
        <v>320</v>
      </c>
      <c r="IH882" s="12" t="s">
        <v>320</v>
      </c>
      <c r="II882" s="12" t="s">
        <v>320</v>
      </c>
      <c r="IJ882" s="12" t="str">
        <f t="shared" si="602"/>
        <v>2. Sensitive</v>
      </c>
      <c r="IK882" s="12">
        <f t="shared" si="561"/>
        <v>4</v>
      </c>
      <c r="IL882" s="12" t="s">
        <v>336</v>
      </c>
      <c r="IM882" s="12" t="s">
        <v>320</v>
      </c>
      <c r="IN882" s="12" t="s">
        <v>320</v>
      </c>
      <c r="IO882" s="12" t="s">
        <v>319</v>
      </c>
      <c r="IP882" s="12" t="s">
        <v>320</v>
      </c>
      <c r="IQ882" s="12" t="str">
        <f t="shared" si="562"/>
        <v>2. Accommodating</v>
      </c>
      <c r="IR882" s="12">
        <f t="shared" si="563"/>
        <v>3</v>
      </c>
      <c r="IS882" s="12" t="s">
        <v>337</v>
      </c>
      <c r="IT882" s="12" t="s">
        <v>320</v>
      </c>
      <c r="IU882" s="12" t="s">
        <v>320</v>
      </c>
      <c r="IV882" s="12" t="s">
        <v>320</v>
      </c>
      <c r="IW882" s="11" t="str">
        <f t="shared" si="564"/>
        <v>2. Sensitive</v>
      </c>
      <c r="IX882" s="12">
        <f t="shared" si="565"/>
        <v>3</v>
      </c>
      <c r="IY882" s="12" t="s">
        <v>758</v>
      </c>
      <c r="IZ882" s="12" t="s">
        <v>457</v>
      </c>
      <c r="JA882" s="12">
        <v>1</v>
      </c>
      <c r="JB882" s="12" t="s">
        <v>831</v>
      </c>
      <c r="JC882" s="12" t="s">
        <v>831</v>
      </c>
      <c r="JD882" s="12" t="s">
        <v>831</v>
      </c>
      <c r="JE882" s="12" t="s">
        <v>365</v>
      </c>
      <c r="JF882" s="12" t="s">
        <v>13648</v>
      </c>
      <c r="JG882" s="12" t="s">
        <v>13649</v>
      </c>
      <c r="JH882" s="12" t="s">
        <v>13650</v>
      </c>
      <c r="JI882" s="12" t="s">
        <v>13651</v>
      </c>
      <c r="JJ882" s="12" t="s">
        <v>13652</v>
      </c>
      <c r="JK882" s="12" t="s">
        <v>13653</v>
      </c>
      <c r="JL882" s="12" t="s">
        <v>13654</v>
      </c>
      <c r="JM882" s="12"/>
      <c r="JN882" s="12" t="s">
        <v>13655</v>
      </c>
      <c r="JO882" s="12" t="s">
        <v>13656</v>
      </c>
      <c r="JP882" s="15">
        <f t="shared" si="566"/>
        <v>300</v>
      </c>
      <c r="JQ882" s="15">
        <f t="shared" si="567"/>
        <v>1200</v>
      </c>
      <c r="JR882" s="279">
        <f t="shared" si="568"/>
        <v>4</v>
      </c>
      <c r="JS882" s="17">
        <f t="shared" si="569"/>
        <v>0.5</v>
      </c>
      <c r="JT882" s="18">
        <f t="shared" si="570"/>
        <v>0.5</v>
      </c>
      <c r="JU882" s="280">
        <f t="shared" si="571"/>
        <v>150</v>
      </c>
      <c r="JV882" s="280">
        <f t="shared" si="572"/>
        <v>600</v>
      </c>
      <c r="JW882" s="319">
        <f t="shared" si="573"/>
        <v>1</v>
      </c>
      <c r="JX882" s="15">
        <f t="shared" si="574"/>
        <v>300</v>
      </c>
      <c r="JY882" s="15">
        <f t="shared" si="575"/>
        <v>1200</v>
      </c>
      <c r="JZ882" s="19">
        <f t="shared" si="576"/>
        <v>4</v>
      </c>
      <c r="KA882" s="52">
        <f t="shared" si="577"/>
        <v>1</v>
      </c>
      <c r="KB882" s="15">
        <f t="shared" si="578"/>
        <v>300</v>
      </c>
      <c r="KC882" s="15">
        <f t="shared" si="579"/>
        <v>1200</v>
      </c>
      <c r="KD882" s="20">
        <f t="shared" si="580"/>
        <v>4</v>
      </c>
      <c r="KE882" s="52" t="str">
        <f t="shared" si="581"/>
        <v/>
      </c>
      <c r="KF882" s="15">
        <f t="shared" si="582"/>
        <v>0</v>
      </c>
      <c r="KG882" s="15">
        <f t="shared" si="583"/>
        <v>0</v>
      </c>
      <c r="KH882" s="21" t="str">
        <f t="shared" si="584"/>
        <v/>
      </c>
      <c r="KI882" s="52" t="str">
        <f t="shared" si="585"/>
        <v/>
      </c>
      <c r="KJ882" s="15">
        <f t="shared" si="586"/>
        <v>0</v>
      </c>
      <c r="KK882" s="15">
        <f t="shared" si="587"/>
        <v>0</v>
      </c>
      <c r="KL882" s="19" t="str">
        <f t="shared" si="588"/>
        <v/>
      </c>
      <c r="KM882" s="52" t="str">
        <f t="shared" si="589"/>
        <v/>
      </c>
      <c r="KN882" s="22">
        <f t="shared" si="590"/>
        <v>0</v>
      </c>
      <c r="KO882" s="22">
        <f t="shared" si="591"/>
        <v>0</v>
      </c>
      <c r="KP882" s="19" t="str">
        <f t="shared" si="592"/>
        <v/>
      </c>
      <c r="KQ882" s="11" t="str">
        <f t="shared" si="593"/>
        <v>2. Sensitive</v>
      </c>
      <c r="KR882" s="11" t="str">
        <f t="shared" si="594"/>
        <v>2. Accommodating</v>
      </c>
      <c r="KS882" s="11" t="str">
        <f t="shared" si="595"/>
        <v>2. Sensitive</v>
      </c>
      <c r="KT882" s="11" t="str">
        <f t="shared" si="596"/>
        <v>It tested new ways for fighting poverty, but did not measure results of innovation</v>
      </c>
      <c r="KU882" s="11" t="str">
        <f t="shared" si="597"/>
        <v>Moderate advocacy</v>
      </c>
      <c r="KV882" s="11" t="str">
        <f t="shared" si="598"/>
        <v>It linked and worked with strategic alliances and partners to take tested and effective solutions to scale</v>
      </c>
      <c r="KW882" s="11" t="str">
        <f t="shared" si="599"/>
        <v>Vietnam - A River Basin Cross-border Flood Resilience Support Platform</v>
      </c>
      <c r="KX882" s="11" t="str">
        <f t="shared" si="600"/>
        <v>A River Basin Cross-border Flood Resilience Support Platform</v>
      </c>
      <c r="KY882" s="11" t="str">
        <f t="shared" si="601"/>
        <v>Vietnam</v>
      </c>
      <c r="KZ882" s="12">
        <v>883</v>
      </c>
    </row>
    <row r="883" spans="1:312" x14ac:dyDescent="0.3">
      <c r="A883" s="12" t="s">
        <v>13409</v>
      </c>
      <c r="B883" s="12" t="s">
        <v>306</v>
      </c>
      <c r="C883" s="12">
        <v>3447</v>
      </c>
      <c r="D883" s="12" t="s">
        <v>13532</v>
      </c>
      <c r="E883" s="277" t="str">
        <f t="shared" si="559"/>
        <v>Vietnam</v>
      </c>
      <c r="F883" s="12" t="s">
        <v>13533</v>
      </c>
      <c r="G883" s="12" t="s">
        <v>1738</v>
      </c>
      <c r="H883" s="12" t="s">
        <v>380</v>
      </c>
      <c r="I883" s="12" t="s">
        <v>907</v>
      </c>
      <c r="J883" s="281" t="s">
        <v>5183</v>
      </c>
      <c r="K883" s="12"/>
      <c r="L883" s="12"/>
      <c r="M883" s="12"/>
      <c r="N883" s="12"/>
      <c r="O883" s="12"/>
      <c r="P883" s="12"/>
      <c r="Q883" s="12"/>
      <c r="R883" s="12"/>
      <c r="S883" s="12"/>
      <c r="T883" s="12"/>
      <c r="U883" s="12"/>
      <c r="V883" s="12"/>
      <c r="W883" s="12"/>
      <c r="X883" s="12"/>
      <c r="Y883" s="12"/>
      <c r="Z883" s="12"/>
      <c r="AA883" s="12"/>
      <c r="AB883" s="12"/>
      <c r="AC883" s="12"/>
      <c r="AD883" s="12"/>
      <c r="BD883" s="13">
        <v>42583</v>
      </c>
      <c r="BE883" s="13">
        <v>42947</v>
      </c>
      <c r="BF883" s="12"/>
      <c r="BG883" s="12" t="s">
        <v>908</v>
      </c>
      <c r="BH883" s="14">
        <v>832444</v>
      </c>
      <c r="BI883" s="12" t="s">
        <v>13412</v>
      </c>
      <c r="BJ883" s="12" t="s">
        <v>13413</v>
      </c>
      <c r="BK883" s="12" t="s">
        <v>13414</v>
      </c>
      <c r="BL883" s="12"/>
      <c r="BM883" s="12"/>
      <c r="BN883" s="12"/>
      <c r="BO883" s="12" t="s">
        <v>320</v>
      </c>
      <c r="BP883" s="12" t="s">
        <v>319</v>
      </c>
      <c r="BQ883" s="12" t="s">
        <v>319</v>
      </c>
      <c r="BR883" s="12" t="s">
        <v>13534</v>
      </c>
      <c r="BS883" s="12" t="s">
        <v>357</v>
      </c>
      <c r="BT883" s="12" t="s">
        <v>13535</v>
      </c>
      <c r="BU883" s="12" t="s">
        <v>13536</v>
      </c>
      <c r="BV883" s="14">
        <v>26064</v>
      </c>
      <c r="BW883" s="14">
        <v>26096</v>
      </c>
      <c r="BX883" s="14">
        <v>52160</v>
      </c>
      <c r="BY883" s="14"/>
      <c r="BZ883" s="14"/>
      <c r="CA883" s="14"/>
      <c r="CB883" s="12" t="s">
        <v>13537</v>
      </c>
      <c r="CD883" s="14">
        <v>26064</v>
      </c>
      <c r="CE883" s="14">
        <v>26096</v>
      </c>
      <c r="CF883" s="14">
        <v>52160</v>
      </c>
      <c r="CG883" s="14"/>
      <c r="CH883" s="14"/>
      <c r="CI883" s="14"/>
      <c r="CJ883" s="12" t="s">
        <v>320</v>
      </c>
      <c r="CK883" s="14">
        <v>8400</v>
      </c>
      <c r="CL883" s="16">
        <v>0.505</v>
      </c>
      <c r="CM883" s="14"/>
      <c r="CN883" s="12" t="s">
        <v>320</v>
      </c>
      <c r="CO883" s="14"/>
      <c r="CP883" s="16"/>
      <c r="CQ883" s="14"/>
      <c r="CR883" s="12" t="s">
        <v>319</v>
      </c>
      <c r="CS883" s="14"/>
      <c r="CT883" s="16"/>
      <c r="CU883" s="14"/>
      <c r="CV883" s="12" t="s">
        <v>320</v>
      </c>
      <c r="CW883" s="14">
        <v>4200</v>
      </c>
      <c r="CX883" s="16">
        <v>0.505</v>
      </c>
      <c r="CY883" s="14"/>
      <c r="CZ883" s="12" t="s">
        <v>319</v>
      </c>
      <c r="DA883" s="14"/>
      <c r="DB883" s="16"/>
      <c r="DC883" s="14"/>
      <c r="DD883" s="12" t="s">
        <v>319</v>
      </c>
      <c r="DE883" s="14"/>
      <c r="DF883" s="16"/>
      <c r="DG883" s="14"/>
      <c r="DH883" s="12" t="s">
        <v>319</v>
      </c>
      <c r="DI883" s="14"/>
      <c r="DJ883" s="16"/>
      <c r="DK883" s="14"/>
      <c r="DL883" s="11" t="s">
        <v>320</v>
      </c>
      <c r="DM883" s="14">
        <v>4200</v>
      </c>
      <c r="DN883" s="16">
        <v>0.505</v>
      </c>
      <c r="DO883" s="14"/>
      <c r="DP883" s="12" t="s">
        <v>320</v>
      </c>
      <c r="DQ883" s="14">
        <v>4200</v>
      </c>
      <c r="DR883" s="16">
        <v>0.5</v>
      </c>
      <c r="DS883" s="14"/>
      <c r="DT883" s="12" t="s">
        <v>319</v>
      </c>
      <c r="DU883" s="14"/>
      <c r="DV883" s="16"/>
      <c r="DW883" s="14"/>
      <c r="DX883" s="12" t="s">
        <v>319</v>
      </c>
      <c r="DY883" s="14"/>
      <c r="DZ883" s="16"/>
      <c r="EA883" s="14"/>
      <c r="EB883" s="11" t="s">
        <v>320</v>
      </c>
      <c r="EC883" s="14">
        <v>52160</v>
      </c>
      <c r="ED883" s="16">
        <v>0.5</v>
      </c>
      <c r="EE883" s="14"/>
      <c r="EF883" s="12"/>
      <c r="EG883" s="12" t="s">
        <v>319</v>
      </c>
      <c r="EH883" s="14"/>
      <c r="EI883" s="16"/>
      <c r="EJ883" s="14"/>
      <c r="EK883" s="14"/>
      <c r="EL883" s="14"/>
      <c r="EM883" s="14"/>
      <c r="EN883" s="14"/>
      <c r="EO883" s="14"/>
      <c r="EP883" s="14"/>
      <c r="EQ883" s="12"/>
      <c r="ER883" s="14"/>
      <c r="ES883" s="16"/>
      <c r="ET883" s="14"/>
      <c r="EU883" s="12"/>
      <c r="EV883" s="14"/>
      <c r="EW883" s="16"/>
      <c r="EX883" s="14"/>
      <c r="EY883" s="12"/>
      <c r="EZ883" s="14"/>
      <c r="FA883" s="16"/>
      <c r="FB883" s="14"/>
      <c r="FC883" s="12"/>
      <c r="FD883" s="14"/>
      <c r="FE883" s="16"/>
      <c r="FF883" s="14"/>
      <c r="FG883" s="12"/>
      <c r="FH883" s="14"/>
      <c r="FI883" s="16"/>
      <c r="FJ883" s="14"/>
      <c r="FK883" s="12"/>
      <c r="FL883" s="14"/>
      <c r="FM883" s="16"/>
      <c r="FN883" s="14"/>
      <c r="FO883" s="12"/>
      <c r="FP883" s="14"/>
      <c r="FQ883" s="16"/>
      <c r="FR883" s="14"/>
      <c r="FS883" s="12"/>
      <c r="FT883" s="14"/>
      <c r="FU883" s="16"/>
      <c r="FV883" s="14"/>
      <c r="FW883" s="12"/>
      <c r="FX883" s="14"/>
      <c r="FY883" s="16"/>
      <c r="FZ883" s="14"/>
      <c r="GA883" s="12"/>
      <c r="GB883" s="14"/>
      <c r="GC883" s="16"/>
      <c r="GD883" s="14"/>
      <c r="GE883" s="12"/>
      <c r="GF883" s="14"/>
      <c r="GG883" s="16"/>
      <c r="GH883" s="14"/>
      <c r="GI883" s="12"/>
      <c r="GJ883" s="14"/>
      <c r="GK883" s="16"/>
      <c r="GL883" s="14"/>
      <c r="GM883" s="12"/>
      <c r="GN883" s="14"/>
      <c r="GO883" s="16"/>
      <c r="GP883" s="14"/>
      <c r="GQ883" s="12"/>
      <c r="GR883" s="14"/>
      <c r="GS883" s="16"/>
      <c r="GT883" s="14"/>
      <c r="GU883" s="12"/>
      <c r="GV883" s="14"/>
      <c r="GW883" s="16"/>
      <c r="GX883" s="14"/>
      <c r="GY883" s="12"/>
      <c r="GZ883" s="14"/>
      <c r="HA883" s="16"/>
      <c r="HB883" s="14"/>
      <c r="HC883" s="12"/>
      <c r="HD883" s="12"/>
      <c r="HE883" s="14"/>
      <c r="HF883" s="16"/>
      <c r="HG883" s="14"/>
      <c r="HH883" s="12" t="s">
        <v>320</v>
      </c>
      <c r="HI883" s="12" t="s">
        <v>327</v>
      </c>
      <c r="HJ883" s="12">
        <v>2016</v>
      </c>
      <c r="HK883" s="12" t="s">
        <v>320</v>
      </c>
      <c r="HL883" s="12" t="s">
        <v>320</v>
      </c>
      <c r="HM883" s="12" t="s">
        <v>415</v>
      </c>
      <c r="HN883" s="12">
        <v>2017</v>
      </c>
      <c r="HO883" s="12" t="s">
        <v>13538</v>
      </c>
      <c r="HP883" s="12" t="s">
        <v>418</v>
      </c>
      <c r="HQ883" s="12" t="s">
        <v>319</v>
      </c>
      <c r="HR883" s="12" t="s">
        <v>319</v>
      </c>
      <c r="HS883" s="12" t="s">
        <v>320</v>
      </c>
      <c r="HT883" s="12" t="s">
        <v>320</v>
      </c>
      <c r="HU883" s="12" t="s">
        <v>319</v>
      </c>
      <c r="HV883" s="12" t="s">
        <v>319</v>
      </c>
      <c r="HW883" s="12" t="s">
        <v>319</v>
      </c>
      <c r="HX883" s="12" t="s">
        <v>319</v>
      </c>
      <c r="HY883" s="12"/>
      <c r="HZ883" s="12" t="s">
        <v>394</v>
      </c>
      <c r="IA883" s="12" t="s">
        <v>13539</v>
      </c>
      <c r="IB883" s="12" t="s">
        <v>396</v>
      </c>
      <c r="IC883" s="12" t="s">
        <v>13540</v>
      </c>
      <c r="ID883" s="12" t="s">
        <v>334</v>
      </c>
      <c r="IE883" s="12" t="s">
        <v>478</v>
      </c>
      <c r="IF883" s="12" t="s">
        <v>319</v>
      </c>
      <c r="IG883" s="12" t="s">
        <v>320</v>
      </c>
      <c r="IH883" s="12" t="s">
        <v>320</v>
      </c>
      <c r="II883" s="12" t="s">
        <v>320</v>
      </c>
      <c r="IJ883" s="12" t="str">
        <f t="shared" si="602"/>
        <v>3. Responsive</v>
      </c>
      <c r="IK883" s="12">
        <f t="shared" si="561"/>
        <v>3</v>
      </c>
      <c r="IL883" s="12" t="s">
        <v>336</v>
      </c>
      <c r="IM883" s="12" t="s">
        <v>320</v>
      </c>
      <c r="IN883" s="12" t="s">
        <v>320</v>
      </c>
      <c r="IO883" s="12" t="s">
        <v>320</v>
      </c>
      <c r="IP883" s="12" t="s">
        <v>320</v>
      </c>
      <c r="IQ883" s="12" t="str">
        <f t="shared" si="562"/>
        <v>2. Accommodating</v>
      </c>
      <c r="IR883" s="12">
        <f t="shared" si="563"/>
        <v>4</v>
      </c>
      <c r="IS883" s="12" t="s">
        <v>622</v>
      </c>
      <c r="IT883" s="12" t="s">
        <v>320</v>
      </c>
      <c r="IU883" s="12" t="s">
        <v>320</v>
      </c>
      <c r="IV883" s="12" t="s">
        <v>320</v>
      </c>
      <c r="IW883" s="11" t="str">
        <f t="shared" si="564"/>
        <v>4. Transformative</v>
      </c>
      <c r="IX883" s="12">
        <f t="shared" si="565"/>
        <v>3</v>
      </c>
      <c r="IY883" s="12" t="s">
        <v>758</v>
      </c>
      <c r="IZ883" s="12" t="s">
        <v>527</v>
      </c>
      <c r="JA883" s="12">
        <v>3</v>
      </c>
      <c r="JB883" s="12" t="s">
        <v>831</v>
      </c>
      <c r="JC883" s="12" t="s">
        <v>623</v>
      </c>
      <c r="JD883" s="12"/>
      <c r="JE883" s="12" t="s">
        <v>365</v>
      </c>
      <c r="JF883" s="12" t="s">
        <v>13541</v>
      </c>
      <c r="JG883" s="12" t="s">
        <v>13542</v>
      </c>
      <c r="JH883" s="12" t="s">
        <v>13543</v>
      </c>
      <c r="JI883" s="12" t="s">
        <v>13544</v>
      </c>
      <c r="JJ883" s="12" t="s">
        <v>13545</v>
      </c>
      <c r="JK883" s="12" t="s">
        <v>13546</v>
      </c>
      <c r="JL883" s="12" t="s">
        <v>13547</v>
      </c>
      <c r="JM883" s="12" t="s">
        <v>13548</v>
      </c>
      <c r="JN883" s="12"/>
      <c r="JO883" s="12" t="s">
        <v>13549</v>
      </c>
      <c r="JP883" s="15">
        <f t="shared" si="566"/>
        <v>52160</v>
      </c>
      <c r="JQ883" s="15">
        <f t="shared" si="567"/>
        <v>0</v>
      </c>
      <c r="JR883" s="279">
        <f t="shared" si="568"/>
        <v>0</v>
      </c>
      <c r="JS883" s="17">
        <f t="shared" si="569"/>
        <v>0.49969325153374233</v>
      </c>
      <c r="JT883" s="18" t="str">
        <f t="shared" si="570"/>
        <v/>
      </c>
      <c r="JU883" s="280">
        <f t="shared" si="571"/>
        <v>26064</v>
      </c>
      <c r="JV883" s="280">
        <f t="shared" si="572"/>
        <v>0</v>
      </c>
      <c r="JW883" s="319">
        <f t="shared" si="573"/>
        <v>1</v>
      </c>
      <c r="JX883" s="15">
        <f t="shared" si="574"/>
        <v>52160</v>
      </c>
      <c r="JY883" s="15">
        <f t="shared" si="575"/>
        <v>0</v>
      </c>
      <c r="JZ883" s="19">
        <f t="shared" si="576"/>
        <v>0</v>
      </c>
      <c r="KA883" s="52">
        <f t="shared" si="577"/>
        <v>1</v>
      </c>
      <c r="KB883" s="15">
        <f t="shared" si="578"/>
        <v>4200</v>
      </c>
      <c r="KC883" s="15">
        <f t="shared" si="579"/>
        <v>0</v>
      </c>
      <c r="KD883" s="20">
        <f t="shared" si="580"/>
        <v>0</v>
      </c>
      <c r="KE883" s="52" t="str">
        <f t="shared" si="581"/>
        <v/>
      </c>
      <c r="KF883" s="15">
        <f t="shared" si="582"/>
        <v>0</v>
      </c>
      <c r="KG883" s="15">
        <f t="shared" si="583"/>
        <v>0</v>
      </c>
      <c r="KH883" s="21" t="str">
        <f t="shared" si="584"/>
        <v/>
      </c>
      <c r="KI883" s="52" t="str">
        <f t="shared" si="585"/>
        <v/>
      </c>
      <c r="KJ883" s="15">
        <f t="shared" si="586"/>
        <v>0</v>
      </c>
      <c r="KK883" s="15">
        <f t="shared" si="587"/>
        <v>0</v>
      </c>
      <c r="KL883" s="19" t="str">
        <f t="shared" si="588"/>
        <v/>
      </c>
      <c r="KM883" s="52" t="str">
        <f t="shared" si="589"/>
        <v/>
      </c>
      <c r="KN883" s="22">
        <f t="shared" si="590"/>
        <v>0</v>
      </c>
      <c r="KO883" s="22">
        <f t="shared" si="591"/>
        <v>0</v>
      </c>
      <c r="KP883" s="19" t="str">
        <f t="shared" si="592"/>
        <v/>
      </c>
      <c r="KQ883" s="11" t="str">
        <f t="shared" si="593"/>
        <v>3. Responsive</v>
      </c>
      <c r="KR883" s="11" t="str">
        <f t="shared" si="594"/>
        <v>2. Accommodating</v>
      </c>
      <c r="KS883" s="11" t="str">
        <f t="shared" si="595"/>
        <v>4. Transformative</v>
      </c>
      <c r="KT883" s="11" t="str">
        <f t="shared" si="596"/>
        <v>It tested new ways for fighting poverty, but did not measure results of innovation</v>
      </c>
      <c r="KU883" s="11" t="str">
        <f t="shared" si="597"/>
        <v>Little or no advocacy</v>
      </c>
      <c r="KV883" s="11" t="str">
        <f t="shared" si="598"/>
        <v>It linked and worked with strategic alliances and partners to take tested and effective solutions to scale</v>
      </c>
      <c r="KW883" s="11" t="str">
        <f t="shared" si="599"/>
        <v>Vietnam - Assistance for drought and saltwater intrusion affected communities in the Mekong Delta and Central Highlands regions of Vietnam</v>
      </c>
      <c r="KX883" s="11" t="str">
        <f t="shared" si="600"/>
        <v>Assistance for drought and saltwater intrusion affected communities in the Mekong Delta and Central Highlands regions of Vietnam</v>
      </c>
      <c r="KY883" s="11" t="str">
        <f t="shared" si="601"/>
        <v>Vietnam</v>
      </c>
      <c r="KZ883" s="12">
        <v>884</v>
      </c>
    </row>
    <row r="884" spans="1:312" x14ac:dyDescent="0.3">
      <c r="A884" s="12" t="s">
        <v>13409</v>
      </c>
      <c r="B884" s="12" t="s">
        <v>306</v>
      </c>
      <c r="C884" s="12">
        <v>3455</v>
      </c>
      <c r="D884" s="12" t="s">
        <v>13471</v>
      </c>
      <c r="E884" s="277" t="str">
        <f t="shared" si="559"/>
        <v>Vietnam</v>
      </c>
      <c r="F884" s="12" t="s">
        <v>13472</v>
      </c>
      <c r="G884" s="12" t="s">
        <v>1853</v>
      </c>
      <c r="H884" s="12" t="s">
        <v>310</v>
      </c>
      <c r="I884" s="12" t="s">
        <v>1854</v>
      </c>
      <c r="J884" s="281" t="s">
        <v>4495</v>
      </c>
      <c r="K884" s="12"/>
      <c r="L884" s="12"/>
      <c r="M884" s="12"/>
      <c r="N884" s="12"/>
      <c r="O884" s="12"/>
      <c r="P884" s="12"/>
      <c r="Q884" s="12"/>
      <c r="R884" s="12"/>
      <c r="S884" s="12"/>
      <c r="T884" s="12"/>
      <c r="U884" s="12"/>
      <c r="V884" s="12"/>
      <c r="W884" s="12"/>
      <c r="X884" s="12"/>
      <c r="Y884" s="12"/>
      <c r="Z884" s="12"/>
      <c r="AA884" s="12"/>
      <c r="AB884" s="12"/>
      <c r="AC884" s="12"/>
      <c r="AD884" s="12"/>
      <c r="BD884" s="13">
        <v>42370</v>
      </c>
      <c r="BE884" s="13">
        <v>43100</v>
      </c>
      <c r="BF884" s="12"/>
      <c r="BG884" s="12" t="s">
        <v>312</v>
      </c>
      <c r="BH884" s="14">
        <v>735294</v>
      </c>
      <c r="BI884" s="12" t="s">
        <v>13473</v>
      </c>
      <c r="BJ884" s="12" t="s">
        <v>13413</v>
      </c>
      <c r="BK884" s="12" t="s">
        <v>13474</v>
      </c>
      <c r="BL884" s="12" t="s">
        <v>13475</v>
      </c>
      <c r="BM884" s="12" t="s">
        <v>13476</v>
      </c>
      <c r="BN884" s="12" t="s">
        <v>13477</v>
      </c>
      <c r="BO884" s="11" t="s">
        <v>319</v>
      </c>
      <c r="BP884" s="11" t="s">
        <v>320</v>
      </c>
      <c r="BQ884" s="11" t="s">
        <v>319</v>
      </c>
      <c r="BR884" s="12" t="s">
        <v>13478</v>
      </c>
      <c r="BS884" s="12" t="s">
        <v>322</v>
      </c>
      <c r="BT884" s="12" t="s">
        <v>13479</v>
      </c>
      <c r="BU884" s="12" t="s">
        <v>13480</v>
      </c>
      <c r="BV884" s="14">
        <v>8984</v>
      </c>
      <c r="BW884" s="14">
        <v>10546</v>
      </c>
      <c r="BX884" s="14">
        <v>19530</v>
      </c>
      <c r="BY884" s="14">
        <v>5859910</v>
      </c>
      <c r="BZ884" s="14">
        <v>6099090</v>
      </c>
      <c r="CA884" s="14">
        <v>11959000</v>
      </c>
      <c r="CB884" s="12" t="s">
        <v>13481</v>
      </c>
      <c r="CD884" s="14"/>
      <c r="CE884" s="14"/>
      <c r="CF884" s="14">
        <v>0</v>
      </c>
      <c r="CG884" s="14"/>
      <c r="CH884" s="14"/>
      <c r="CI884" s="14"/>
      <c r="CJ884" s="12"/>
      <c r="CK884" s="14"/>
      <c r="CL884" s="16"/>
      <c r="CM884" s="14"/>
      <c r="CN884" s="12"/>
      <c r="CO884" s="14"/>
      <c r="CP884" s="16"/>
      <c r="CQ884" s="14"/>
      <c r="CR884" s="12"/>
      <c r="CS884" s="14"/>
      <c r="CT884" s="16"/>
      <c r="CU884" s="14"/>
      <c r="CV884" s="12"/>
      <c r="CW884" s="14"/>
      <c r="CX884" s="16"/>
      <c r="CY884" s="14"/>
      <c r="CZ884" s="12"/>
      <c r="DA884" s="14"/>
      <c r="DB884" s="16"/>
      <c r="DC884" s="14"/>
      <c r="DD884" s="12"/>
      <c r="DE884" s="14"/>
      <c r="DF884" s="16"/>
      <c r="DG884" s="14"/>
      <c r="DH884" s="12"/>
      <c r="DI884" s="14"/>
      <c r="DJ884" s="16"/>
      <c r="DK884" s="14"/>
      <c r="DL884" s="12"/>
      <c r="DM884" s="14"/>
      <c r="DN884" s="16"/>
      <c r="DO884" s="14"/>
      <c r="DP884" s="12"/>
      <c r="DQ884" s="14"/>
      <c r="DR884" s="16"/>
      <c r="DS884" s="14"/>
      <c r="DT884" s="12"/>
      <c r="DU884" s="14"/>
      <c r="DV884" s="16"/>
      <c r="DW884" s="14"/>
      <c r="DX884" s="12"/>
      <c r="DY884" s="14"/>
      <c r="DZ884" s="16"/>
      <c r="EA884" s="14"/>
      <c r="EB884" s="12"/>
      <c r="EC884" s="14"/>
      <c r="ED884" s="16"/>
      <c r="EE884" s="14"/>
      <c r="EF884" s="12"/>
      <c r="EG884" s="12"/>
      <c r="EH884" s="14"/>
      <c r="EI884" s="16"/>
      <c r="EJ884" s="14"/>
      <c r="EK884" s="14">
        <v>8984</v>
      </c>
      <c r="EL884" s="14">
        <v>10546</v>
      </c>
      <c r="EM884" s="14">
        <v>19530</v>
      </c>
      <c r="EN884" s="14">
        <v>5859910</v>
      </c>
      <c r="EO884" s="14">
        <v>6099090</v>
      </c>
      <c r="EP884" s="14">
        <v>11959000</v>
      </c>
      <c r="EQ884" s="12" t="s">
        <v>319</v>
      </c>
      <c r="ER884" s="14"/>
      <c r="ES884" s="16"/>
      <c r="ET884" s="14"/>
      <c r="EU884" s="11" t="s">
        <v>320</v>
      </c>
      <c r="EV884" s="14">
        <v>429</v>
      </c>
      <c r="EW884" s="16">
        <v>1</v>
      </c>
      <c r="EX884" s="14">
        <v>1716</v>
      </c>
      <c r="EY884" s="12" t="s">
        <v>319</v>
      </c>
      <c r="EZ884" s="14"/>
      <c r="FA884" s="16"/>
      <c r="FB884" s="14"/>
      <c r="FC884" s="12" t="s">
        <v>319</v>
      </c>
      <c r="FD884" s="14"/>
      <c r="FE884" s="16"/>
      <c r="FF884" s="14"/>
      <c r="FG884" s="12" t="s">
        <v>319</v>
      </c>
      <c r="FH884" s="14"/>
      <c r="FI884" s="16"/>
      <c r="FJ884" s="14"/>
      <c r="FK884" s="12" t="s">
        <v>319</v>
      </c>
      <c r="FL884" s="14"/>
      <c r="FM884" s="16"/>
      <c r="FN884" s="14"/>
      <c r="FO884" s="12" t="s">
        <v>319</v>
      </c>
      <c r="FP884" s="14"/>
      <c r="FQ884" s="16"/>
      <c r="FR884" s="14"/>
      <c r="FS884" s="12" t="s">
        <v>319</v>
      </c>
      <c r="FT884" s="14"/>
      <c r="FU884" s="16"/>
      <c r="FV884" s="14"/>
      <c r="FW884" s="11" t="s">
        <v>320</v>
      </c>
      <c r="FX884" s="14">
        <v>1235</v>
      </c>
      <c r="FY884" s="16">
        <v>0.8</v>
      </c>
      <c r="FZ884" s="14">
        <v>4940</v>
      </c>
      <c r="GA884" s="12" t="s">
        <v>319</v>
      </c>
      <c r="GB884" s="14"/>
      <c r="GC884" s="16"/>
      <c r="GD884" s="14"/>
      <c r="GE884" s="12" t="s">
        <v>319</v>
      </c>
      <c r="GF884" s="14"/>
      <c r="GG884" s="16"/>
      <c r="GH884" s="14"/>
      <c r="GI884" s="11" t="s">
        <v>320</v>
      </c>
      <c r="GJ884" s="14">
        <v>1241</v>
      </c>
      <c r="GK884" s="16">
        <v>0.31</v>
      </c>
      <c r="GL884" s="14">
        <v>4962</v>
      </c>
      <c r="GM884" s="11" t="s">
        <v>320</v>
      </c>
      <c r="GN884" s="14">
        <v>19530</v>
      </c>
      <c r="GO884" s="16">
        <v>0.3</v>
      </c>
      <c r="GP884" s="14">
        <v>78120</v>
      </c>
      <c r="GQ884" s="12" t="s">
        <v>319</v>
      </c>
      <c r="GR884" s="14"/>
      <c r="GS884" s="16"/>
      <c r="GT884" s="14"/>
      <c r="GU884" s="12" t="s">
        <v>319</v>
      </c>
      <c r="GV884" s="14"/>
      <c r="GW884" s="16"/>
      <c r="GX884" s="14"/>
      <c r="GY884" s="12" t="s">
        <v>320</v>
      </c>
      <c r="GZ884" s="14"/>
      <c r="HA884" s="16"/>
      <c r="HB884" s="14"/>
      <c r="HC884" s="12"/>
      <c r="HD884" s="12" t="s">
        <v>319</v>
      </c>
      <c r="HE884" s="14"/>
      <c r="HF884" s="16"/>
      <c r="HG884" s="14"/>
      <c r="HH884" s="12" t="s">
        <v>319</v>
      </c>
      <c r="HI884" s="12"/>
      <c r="HJ884" s="12"/>
      <c r="HK884" s="12"/>
      <c r="HL884" s="12" t="s">
        <v>320</v>
      </c>
      <c r="HM884" s="12" t="s">
        <v>328</v>
      </c>
      <c r="HN884" s="12">
        <v>2017</v>
      </c>
      <c r="HO884" s="12" t="s">
        <v>13482</v>
      </c>
      <c r="HP884" s="12" t="s">
        <v>453</v>
      </c>
      <c r="HQ884" s="12" t="s">
        <v>320</v>
      </c>
      <c r="HR884" s="12" t="s">
        <v>320</v>
      </c>
      <c r="HS884" s="12" t="s">
        <v>320</v>
      </c>
      <c r="HT884" s="12" t="s">
        <v>320</v>
      </c>
      <c r="HU884" s="12" t="s">
        <v>320</v>
      </c>
      <c r="HV884" s="12" t="s">
        <v>320</v>
      </c>
      <c r="HW884" s="12" t="s">
        <v>320</v>
      </c>
      <c r="HX884" s="12" t="s">
        <v>320</v>
      </c>
      <c r="HY884" s="12" t="s">
        <v>13483</v>
      </c>
      <c r="HZ884" s="12" t="s">
        <v>331</v>
      </c>
      <c r="IA884" s="12" t="s">
        <v>13484</v>
      </c>
      <c r="IB884" s="12" t="s">
        <v>396</v>
      </c>
      <c r="IC884" s="12" t="s">
        <v>13485</v>
      </c>
      <c r="ID884" s="12" t="s">
        <v>364</v>
      </c>
      <c r="IE884" s="12" t="s">
        <v>478</v>
      </c>
      <c r="IF884" s="12" t="s">
        <v>320</v>
      </c>
      <c r="IG884" s="12" t="s">
        <v>320</v>
      </c>
      <c r="IH884" s="12" t="s">
        <v>320</v>
      </c>
      <c r="II884" s="12" t="s">
        <v>320</v>
      </c>
      <c r="IJ884" s="12" t="str">
        <f t="shared" si="602"/>
        <v>4. Transformative</v>
      </c>
      <c r="IK884" s="12">
        <f t="shared" si="561"/>
        <v>4</v>
      </c>
      <c r="IL884" s="11" t="s">
        <v>621</v>
      </c>
      <c r="IM884" s="12" t="s">
        <v>320</v>
      </c>
      <c r="IN884" s="12" t="s">
        <v>320</v>
      </c>
      <c r="IO884" s="12" t="s">
        <v>320</v>
      </c>
      <c r="IP884" s="12" t="s">
        <v>320</v>
      </c>
      <c r="IQ884" s="12" t="str">
        <f t="shared" si="562"/>
        <v>4. Transformational</v>
      </c>
      <c r="IR884" s="12">
        <f t="shared" si="563"/>
        <v>4</v>
      </c>
      <c r="IS884" s="12" t="s">
        <v>337</v>
      </c>
      <c r="IT884" s="12" t="s">
        <v>320</v>
      </c>
      <c r="IU884" s="12" t="s">
        <v>320</v>
      </c>
      <c r="IV884" s="12" t="s">
        <v>320</v>
      </c>
      <c r="IW884" s="11" t="str">
        <f t="shared" si="564"/>
        <v>2. Sensitive</v>
      </c>
      <c r="IX884" s="12">
        <f t="shared" si="565"/>
        <v>3</v>
      </c>
      <c r="IY884" s="12" t="s">
        <v>419</v>
      </c>
      <c r="IZ884" s="12" t="s">
        <v>457</v>
      </c>
      <c r="JA884" s="12">
        <v>3</v>
      </c>
      <c r="JB884" s="12" t="s">
        <v>433</v>
      </c>
      <c r="JC884" s="12"/>
      <c r="JD884" s="12"/>
      <c r="JE884" s="12" t="s">
        <v>340</v>
      </c>
      <c r="JF884" s="12" t="s">
        <v>13486</v>
      </c>
      <c r="JG884" s="12"/>
      <c r="JH884" s="12" t="s">
        <v>13487</v>
      </c>
      <c r="JI884" s="12" t="s">
        <v>13488</v>
      </c>
      <c r="JJ884" s="12" t="s">
        <v>13489</v>
      </c>
      <c r="JK884" s="12" t="s">
        <v>13490</v>
      </c>
      <c r="JL884" s="12" t="s">
        <v>13491</v>
      </c>
      <c r="JM884" s="12" t="s">
        <v>13492</v>
      </c>
      <c r="JN884" s="12"/>
      <c r="JO884" s="12"/>
      <c r="JP884" s="15">
        <f t="shared" si="566"/>
        <v>19530</v>
      </c>
      <c r="JQ884" s="15">
        <f t="shared" si="567"/>
        <v>11959000</v>
      </c>
      <c r="JR884" s="279">
        <f t="shared" si="568"/>
        <v>612.33998975934458</v>
      </c>
      <c r="JS884" s="17">
        <f t="shared" si="569"/>
        <v>0.46001024065540197</v>
      </c>
      <c r="JT884" s="18">
        <f t="shared" si="570"/>
        <v>0.49</v>
      </c>
      <c r="JU884" s="280">
        <f t="shared" si="571"/>
        <v>8984</v>
      </c>
      <c r="JV884" s="280">
        <f t="shared" si="572"/>
        <v>5859910</v>
      </c>
      <c r="JW884" s="319" t="str">
        <f t="shared" si="573"/>
        <v/>
      </c>
      <c r="JX884" s="15">
        <f t="shared" si="574"/>
        <v>0</v>
      </c>
      <c r="JY884" s="15">
        <f t="shared" si="575"/>
        <v>0</v>
      </c>
      <c r="JZ884" s="19" t="str">
        <f t="shared" si="576"/>
        <v/>
      </c>
      <c r="KA884" s="52">
        <f t="shared" si="577"/>
        <v>1</v>
      </c>
      <c r="KB884" s="15">
        <f t="shared" si="578"/>
        <v>1241</v>
      </c>
      <c r="KC884" s="15">
        <f t="shared" si="579"/>
        <v>4962</v>
      </c>
      <c r="KD884" s="20">
        <f t="shared" si="580"/>
        <v>3.9983883964544722</v>
      </c>
      <c r="KE884" s="52" t="str">
        <f t="shared" si="581"/>
        <v/>
      </c>
      <c r="KF884" s="15">
        <f t="shared" si="582"/>
        <v>0</v>
      </c>
      <c r="KG884" s="15">
        <f t="shared" si="583"/>
        <v>0</v>
      </c>
      <c r="KH884" s="21" t="str">
        <f t="shared" si="584"/>
        <v/>
      </c>
      <c r="KI884" s="52" t="str">
        <f t="shared" si="585"/>
        <v/>
      </c>
      <c r="KJ884" s="15">
        <f t="shared" si="586"/>
        <v>0</v>
      </c>
      <c r="KK884" s="15">
        <f t="shared" si="587"/>
        <v>0</v>
      </c>
      <c r="KL884" s="19" t="str">
        <f t="shared" si="588"/>
        <v/>
      </c>
      <c r="KM884" s="52">
        <f t="shared" si="589"/>
        <v>1</v>
      </c>
      <c r="KN884" s="22">
        <f t="shared" si="590"/>
        <v>0</v>
      </c>
      <c r="KO884" s="22">
        <f t="shared" si="591"/>
        <v>0</v>
      </c>
      <c r="KP884" s="19" t="str">
        <f t="shared" si="592"/>
        <v/>
      </c>
      <c r="KQ884" s="11" t="str">
        <f t="shared" si="593"/>
        <v>4. Transformative</v>
      </c>
      <c r="KR884" s="11" t="str">
        <f t="shared" si="594"/>
        <v>4. Transformational</v>
      </c>
      <c r="KS884" s="11" t="str">
        <f t="shared" si="595"/>
        <v>2. Sensitive</v>
      </c>
      <c r="KT884" s="11" t="str">
        <f t="shared" si="596"/>
        <v>It tested new ways for fighting poverty and measured results of innovation</v>
      </c>
      <c r="KU884" s="11" t="str">
        <f t="shared" si="597"/>
        <v>Intensive advocacy</v>
      </c>
      <c r="KV884" s="11" t="str">
        <f t="shared" si="598"/>
        <v>It linked and worked with strategic alliances and partners to take tested and effective solutions to scale</v>
      </c>
      <c r="KW884" s="11" t="str">
        <f t="shared" si="599"/>
        <v>Vietnam - CIVIL ACTION for SOCIO-ECONOMIC INCLUSION in Northern Vietnam (phase IV)</v>
      </c>
      <c r="KX884" s="11" t="str">
        <f t="shared" si="600"/>
        <v>CIVIL ACTION for SOCIO-ECONOMIC INCLUSION in Northern Vietnam (phase IV)</v>
      </c>
      <c r="KY884" s="11" t="str">
        <f t="shared" si="601"/>
        <v>Vietnam</v>
      </c>
      <c r="KZ884" s="12">
        <v>885</v>
      </c>
    </row>
    <row r="885" spans="1:312" x14ac:dyDescent="0.3">
      <c r="A885" s="12" t="s">
        <v>13409</v>
      </c>
      <c r="B885" s="12" t="s">
        <v>306</v>
      </c>
      <c r="C885" s="12"/>
      <c r="D885" s="12" t="s">
        <v>13657</v>
      </c>
      <c r="E885" s="277" t="str">
        <f t="shared" si="559"/>
        <v>Vietnam</v>
      </c>
      <c r="F885" s="12" t="s">
        <v>13658</v>
      </c>
      <c r="G885" s="12" t="s">
        <v>608</v>
      </c>
      <c r="H885" s="12" t="s">
        <v>384</v>
      </c>
      <c r="I885" s="12" t="s">
        <v>384</v>
      </c>
      <c r="J885" s="281" t="s">
        <v>13659</v>
      </c>
      <c r="K885" s="12"/>
      <c r="L885" s="12"/>
      <c r="M885" s="12"/>
      <c r="N885" s="12"/>
      <c r="O885" s="12"/>
      <c r="P885" s="12"/>
      <c r="Q885" s="12"/>
      <c r="R885" s="12"/>
      <c r="S885" s="12"/>
      <c r="T885" s="12"/>
      <c r="U885" s="12"/>
      <c r="V885" s="12"/>
      <c r="W885" s="12"/>
      <c r="X885" s="12"/>
      <c r="Y885" s="12"/>
      <c r="Z885" s="12"/>
      <c r="AA885" s="12"/>
      <c r="AB885" s="12"/>
      <c r="AC885" s="12"/>
      <c r="AD885" s="12"/>
      <c r="BD885" s="13">
        <v>42614</v>
      </c>
      <c r="BE885" s="13">
        <v>42978</v>
      </c>
      <c r="BF885" s="13">
        <v>43069</v>
      </c>
      <c r="BG885" s="12" t="s">
        <v>350</v>
      </c>
      <c r="BH885" s="14">
        <v>75000</v>
      </c>
      <c r="BI885" s="12" t="s">
        <v>13412</v>
      </c>
      <c r="BJ885" s="12" t="s">
        <v>13413</v>
      </c>
      <c r="BK885" s="12" t="s">
        <v>13414</v>
      </c>
      <c r="BL885" s="12"/>
      <c r="BM885" s="12"/>
      <c r="BN885" s="12"/>
      <c r="BO885" s="12" t="s">
        <v>319</v>
      </c>
      <c r="BP885" s="12" t="s">
        <v>320</v>
      </c>
      <c r="BQ885" s="12" t="s">
        <v>319</v>
      </c>
      <c r="BR885" s="12" t="s">
        <v>13660</v>
      </c>
      <c r="BS885" s="12" t="s">
        <v>357</v>
      </c>
      <c r="BT885" s="12" t="s">
        <v>13661</v>
      </c>
      <c r="BU885" s="12" t="s">
        <v>13662</v>
      </c>
      <c r="BV885" s="14">
        <v>3500</v>
      </c>
      <c r="BW885" s="14">
        <v>0</v>
      </c>
      <c r="BX885" s="14">
        <v>3500</v>
      </c>
      <c r="BY885" s="14">
        <v>5250</v>
      </c>
      <c r="BZ885" s="14">
        <v>8750</v>
      </c>
      <c r="CA885" s="14">
        <v>14000</v>
      </c>
      <c r="CB885" s="12" t="s">
        <v>13663</v>
      </c>
      <c r="CD885" s="14"/>
      <c r="CE885" s="14"/>
      <c r="CF885" s="14"/>
      <c r="CG885" s="14"/>
      <c r="CH885" s="14"/>
      <c r="CI885" s="14"/>
      <c r="CJ885" s="12"/>
      <c r="CK885" s="14"/>
      <c r="CL885" s="16"/>
      <c r="CM885" s="14"/>
      <c r="CN885" s="12"/>
      <c r="CO885" s="14"/>
      <c r="CP885" s="16"/>
      <c r="CQ885" s="14"/>
      <c r="CR885" s="12"/>
      <c r="CS885" s="14"/>
      <c r="CT885" s="16"/>
      <c r="CU885" s="14"/>
      <c r="CV885" s="12"/>
      <c r="CW885" s="14"/>
      <c r="CX885" s="16"/>
      <c r="CY885" s="14"/>
      <c r="CZ885" s="12"/>
      <c r="DA885" s="14"/>
      <c r="DB885" s="16"/>
      <c r="DC885" s="14"/>
      <c r="DD885" s="12"/>
      <c r="DE885" s="14"/>
      <c r="DF885" s="16"/>
      <c r="DG885" s="14"/>
      <c r="DH885" s="12"/>
      <c r="DI885" s="14"/>
      <c r="DJ885" s="16"/>
      <c r="DK885" s="14"/>
      <c r="DL885" s="12"/>
      <c r="DM885" s="14"/>
      <c r="DN885" s="16"/>
      <c r="DO885" s="14"/>
      <c r="DP885" s="12"/>
      <c r="DQ885" s="14"/>
      <c r="DR885" s="16"/>
      <c r="DS885" s="14"/>
      <c r="DT885" s="12"/>
      <c r="DU885" s="14"/>
      <c r="DV885" s="16"/>
      <c r="DW885" s="14"/>
      <c r="DX885" s="12"/>
      <c r="DY885" s="14"/>
      <c r="DZ885" s="16"/>
      <c r="EA885" s="14"/>
      <c r="EB885" s="12"/>
      <c r="EC885" s="14"/>
      <c r="ED885" s="16"/>
      <c r="EE885" s="14"/>
      <c r="EF885" s="12"/>
      <c r="EG885" s="12"/>
      <c r="EH885" s="14"/>
      <c r="EI885" s="16"/>
      <c r="EJ885" s="14"/>
      <c r="EK885" s="14">
        <v>500</v>
      </c>
      <c r="EL885" s="14">
        <v>0</v>
      </c>
      <c r="EM885" s="14">
        <v>500</v>
      </c>
      <c r="EN885" s="14">
        <v>750</v>
      </c>
      <c r="EO885" s="14">
        <v>1250</v>
      </c>
      <c r="EP885" s="14">
        <v>2000</v>
      </c>
      <c r="EQ885" s="12" t="s">
        <v>319</v>
      </c>
      <c r="ER885" s="14"/>
      <c r="ES885" s="16"/>
      <c r="ET885" s="14"/>
      <c r="EU885" s="11" t="s">
        <v>320</v>
      </c>
      <c r="EV885" s="14">
        <v>500</v>
      </c>
      <c r="EW885" s="16">
        <v>1</v>
      </c>
      <c r="EX885" s="14">
        <v>2000</v>
      </c>
      <c r="EY885" s="12" t="s">
        <v>319</v>
      </c>
      <c r="EZ885" s="14"/>
      <c r="FA885" s="16"/>
      <c r="FB885" s="14"/>
      <c r="FC885" s="12" t="s">
        <v>319</v>
      </c>
      <c r="FD885" s="14"/>
      <c r="FE885" s="16"/>
      <c r="FF885" s="14"/>
      <c r="FG885" s="12" t="s">
        <v>320</v>
      </c>
      <c r="FH885" s="14">
        <v>70</v>
      </c>
      <c r="FI885" s="16">
        <v>1</v>
      </c>
      <c r="FJ885" s="14">
        <v>280</v>
      </c>
      <c r="FK885" s="12" t="s">
        <v>319</v>
      </c>
      <c r="FL885" s="14"/>
      <c r="FM885" s="16"/>
      <c r="FN885" s="14"/>
      <c r="FO885" s="12" t="s">
        <v>319</v>
      </c>
      <c r="FP885" s="14"/>
      <c r="FQ885" s="16"/>
      <c r="FR885" s="14"/>
      <c r="FS885" s="12" t="s">
        <v>320</v>
      </c>
      <c r="FT885" s="14">
        <v>70</v>
      </c>
      <c r="FU885" s="16">
        <v>1</v>
      </c>
      <c r="FV885" s="14">
        <v>280</v>
      </c>
      <c r="FW885" s="11" t="s">
        <v>320</v>
      </c>
      <c r="FX885" s="14">
        <v>70</v>
      </c>
      <c r="FY885" s="16">
        <v>1</v>
      </c>
      <c r="FZ885" s="14">
        <v>280</v>
      </c>
      <c r="GA885" s="12" t="s">
        <v>319</v>
      </c>
      <c r="GB885" s="14"/>
      <c r="GC885" s="16"/>
      <c r="GD885" s="14"/>
      <c r="GE885" s="12" t="s">
        <v>319</v>
      </c>
      <c r="GF885" s="14"/>
      <c r="GG885" s="16"/>
      <c r="GH885" s="14"/>
      <c r="GI885" s="12" t="s">
        <v>319</v>
      </c>
      <c r="GJ885" s="14"/>
      <c r="GK885" s="16"/>
      <c r="GL885" s="14"/>
      <c r="GM885" s="12" t="s">
        <v>319</v>
      </c>
      <c r="GN885" s="14"/>
      <c r="GO885" s="16"/>
      <c r="GP885" s="14"/>
      <c r="GQ885" s="12" t="s">
        <v>319</v>
      </c>
      <c r="GR885" s="14"/>
      <c r="GS885" s="16"/>
      <c r="GT885" s="14"/>
      <c r="GU885" s="12" t="s">
        <v>319</v>
      </c>
      <c r="GV885" s="14"/>
      <c r="GW885" s="16"/>
      <c r="GX885" s="14"/>
      <c r="GY885" s="11" t="s">
        <v>320</v>
      </c>
      <c r="GZ885" s="14">
        <v>70</v>
      </c>
      <c r="HA885" s="16">
        <v>1</v>
      </c>
      <c r="HB885" s="14">
        <v>280</v>
      </c>
      <c r="HC885" s="12"/>
      <c r="HD885" s="12" t="s">
        <v>319</v>
      </c>
      <c r="HE885" s="14"/>
      <c r="HF885" s="16"/>
      <c r="HG885" s="14"/>
      <c r="HH885" s="12" t="s">
        <v>319</v>
      </c>
      <c r="HI885" s="12"/>
      <c r="HJ885" s="12"/>
      <c r="HK885" s="12" t="s">
        <v>319</v>
      </c>
      <c r="HL885" s="12" t="s">
        <v>320</v>
      </c>
      <c r="HM885" s="12" t="s">
        <v>522</v>
      </c>
      <c r="HN885" s="12">
        <v>2017</v>
      </c>
      <c r="HO885" s="12" t="s">
        <v>13664</v>
      </c>
      <c r="HP885" s="12" t="s">
        <v>418</v>
      </c>
      <c r="HQ885" s="12" t="s">
        <v>319</v>
      </c>
      <c r="HR885" s="12" t="s">
        <v>319</v>
      </c>
      <c r="HS885" s="12" t="s">
        <v>319</v>
      </c>
      <c r="HT885" s="12" t="s">
        <v>319</v>
      </c>
      <c r="HU885" s="12" t="s">
        <v>319</v>
      </c>
      <c r="HV885" s="12" t="s">
        <v>319</v>
      </c>
      <c r="HW885" s="12" t="s">
        <v>319</v>
      </c>
      <c r="HX885" s="12" t="s">
        <v>319</v>
      </c>
      <c r="HY885" s="12"/>
      <c r="HZ885" s="12" t="s">
        <v>394</v>
      </c>
      <c r="IA885" s="12" t="s">
        <v>13665</v>
      </c>
      <c r="IB885" s="12" t="s">
        <v>396</v>
      </c>
      <c r="IC885" s="12" t="s">
        <v>13666</v>
      </c>
      <c r="ID885" s="12" t="s">
        <v>334</v>
      </c>
      <c r="IE885" s="12" t="s">
        <v>478</v>
      </c>
      <c r="IF885" s="12" t="s">
        <v>320</v>
      </c>
      <c r="IG885" s="12" t="s">
        <v>320</v>
      </c>
      <c r="IH885" s="12" t="s">
        <v>320</v>
      </c>
      <c r="II885" s="12" t="s">
        <v>320</v>
      </c>
      <c r="IJ885" s="12" t="str">
        <f t="shared" si="602"/>
        <v>4. Transformative</v>
      </c>
      <c r="IK885" s="12">
        <f t="shared" si="561"/>
        <v>4</v>
      </c>
      <c r="IL885" s="11" t="s">
        <v>621</v>
      </c>
      <c r="IM885" s="12" t="s">
        <v>320</v>
      </c>
      <c r="IN885" s="12" t="s">
        <v>320</v>
      </c>
      <c r="IO885" s="12" t="s">
        <v>320</v>
      </c>
      <c r="IP885" s="12" t="s">
        <v>320</v>
      </c>
      <c r="IQ885" s="12" t="str">
        <f t="shared" si="562"/>
        <v>4. Transformational</v>
      </c>
      <c r="IR885" s="12">
        <f t="shared" si="563"/>
        <v>4</v>
      </c>
      <c r="IS885" s="12" t="s">
        <v>622</v>
      </c>
      <c r="IT885" s="12" t="s">
        <v>320</v>
      </c>
      <c r="IU885" s="12" t="s">
        <v>320</v>
      </c>
      <c r="IV885" s="12" t="s">
        <v>320</v>
      </c>
      <c r="IW885" s="11" t="str">
        <f t="shared" si="564"/>
        <v>4. Transformative</v>
      </c>
      <c r="IX885" s="12">
        <f t="shared" si="565"/>
        <v>3</v>
      </c>
      <c r="IY885" s="12" t="s">
        <v>419</v>
      </c>
      <c r="IZ885" s="12" t="s">
        <v>527</v>
      </c>
      <c r="JA885" s="12">
        <v>1</v>
      </c>
      <c r="JB885" s="12" t="s">
        <v>724</v>
      </c>
      <c r="JC885" s="12"/>
      <c r="JD885" s="12"/>
      <c r="JE885" s="12" t="s">
        <v>365</v>
      </c>
      <c r="JF885" s="12" t="s">
        <v>13667</v>
      </c>
      <c r="JG885" s="12" t="s">
        <v>13668</v>
      </c>
      <c r="JH885" s="12" t="s">
        <v>13669</v>
      </c>
      <c r="JI885" s="12" t="s">
        <v>13670</v>
      </c>
      <c r="JJ885" s="12"/>
      <c r="JK885" s="12" t="s">
        <v>13671</v>
      </c>
      <c r="JL885" s="12" t="s">
        <v>13672</v>
      </c>
      <c r="JM885" s="12"/>
      <c r="JN885" s="12" t="s">
        <v>13673</v>
      </c>
      <c r="JO885" s="12" t="s">
        <v>13674</v>
      </c>
      <c r="JP885" s="15">
        <f t="shared" si="566"/>
        <v>500</v>
      </c>
      <c r="JQ885" s="15">
        <f t="shared" si="567"/>
        <v>2000</v>
      </c>
      <c r="JR885" s="279">
        <f t="shared" si="568"/>
        <v>4</v>
      </c>
      <c r="JS885" s="17">
        <f t="shared" si="569"/>
        <v>1</v>
      </c>
      <c r="JT885" s="18">
        <f t="shared" si="570"/>
        <v>0.375</v>
      </c>
      <c r="JU885" s="280">
        <f t="shared" si="571"/>
        <v>500</v>
      </c>
      <c r="JV885" s="280">
        <f t="shared" si="572"/>
        <v>750</v>
      </c>
      <c r="JW885" s="319" t="str">
        <f t="shared" si="573"/>
        <v/>
      </c>
      <c r="JX885" s="15">
        <f t="shared" si="574"/>
        <v>0</v>
      </c>
      <c r="JY885" s="15">
        <f t="shared" si="575"/>
        <v>0</v>
      </c>
      <c r="JZ885" s="19" t="str">
        <f t="shared" si="576"/>
        <v/>
      </c>
      <c r="KA885" s="52">
        <f t="shared" si="577"/>
        <v>1</v>
      </c>
      <c r="KB885" s="15">
        <f t="shared" si="578"/>
        <v>500</v>
      </c>
      <c r="KC885" s="15">
        <f t="shared" si="579"/>
        <v>2000</v>
      </c>
      <c r="KD885" s="20">
        <f t="shared" si="580"/>
        <v>4</v>
      </c>
      <c r="KE885" s="52" t="str">
        <f t="shared" si="581"/>
        <v/>
      </c>
      <c r="KF885" s="15">
        <f t="shared" si="582"/>
        <v>0</v>
      </c>
      <c r="KG885" s="15">
        <f t="shared" si="583"/>
        <v>0</v>
      </c>
      <c r="KH885" s="21" t="str">
        <f t="shared" si="584"/>
        <v/>
      </c>
      <c r="KI885" s="52">
        <f t="shared" si="585"/>
        <v>1</v>
      </c>
      <c r="KJ885" s="15">
        <f t="shared" si="586"/>
        <v>70</v>
      </c>
      <c r="KK885" s="15">
        <f t="shared" si="587"/>
        <v>280</v>
      </c>
      <c r="KL885" s="19">
        <f t="shared" si="588"/>
        <v>4</v>
      </c>
      <c r="KM885" s="52">
        <f t="shared" si="589"/>
        <v>1</v>
      </c>
      <c r="KN885" s="22">
        <f t="shared" si="590"/>
        <v>70</v>
      </c>
      <c r="KO885" s="22">
        <f t="shared" si="591"/>
        <v>280</v>
      </c>
      <c r="KP885" s="19">
        <f t="shared" si="592"/>
        <v>4</v>
      </c>
      <c r="KQ885" s="11" t="str">
        <f t="shared" si="593"/>
        <v>4. Transformative</v>
      </c>
      <c r="KR885" s="11" t="str">
        <f t="shared" si="594"/>
        <v>4. Transformational</v>
      </c>
      <c r="KS885" s="11" t="str">
        <f t="shared" si="595"/>
        <v>4. Transformative</v>
      </c>
      <c r="KT885" s="11" t="str">
        <f t="shared" si="596"/>
        <v>It tested new ways for fighting poverty, but did not measure results of innovation</v>
      </c>
      <c r="KU885" s="11" t="str">
        <f t="shared" si="597"/>
        <v>Little or no advocacy</v>
      </c>
      <c r="KV885" s="11" t="str">
        <f t="shared" si="598"/>
        <v>It linked and worked with strategic alliances and partners to take tested and effective solutions to scale</v>
      </c>
      <c r="KW885" s="11" t="str">
        <f t="shared" si="599"/>
        <v>Vietnam - EMPOWER ME: WOMENS EMPOWERMENT THROUGH CLEAN COOKSTOVE MICRO-ENTERPRISES</v>
      </c>
      <c r="KX885" s="11" t="str">
        <f t="shared" si="600"/>
        <v>EMPOWER ME: WOMENS EMPOWERMENT THROUGH CLEAN COOKSTOVE MICRO-ENTERPRISES</v>
      </c>
      <c r="KY885" s="11" t="str">
        <f t="shared" si="601"/>
        <v>Vietnam</v>
      </c>
      <c r="KZ885" s="12">
        <v>886</v>
      </c>
    </row>
    <row r="886" spans="1:312" x14ac:dyDescent="0.3">
      <c r="A886" s="12" t="s">
        <v>13409</v>
      </c>
      <c r="B886" s="12" t="s">
        <v>306</v>
      </c>
      <c r="C886" s="12">
        <v>3451</v>
      </c>
      <c r="D886" s="12" t="s">
        <v>13675</v>
      </c>
      <c r="E886" s="277" t="str">
        <f t="shared" si="559"/>
        <v>Vietnam</v>
      </c>
      <c r="F886" s="12" t="s">
        <v>13676</v>
      </c>
      <c r="G886" s="12" t="s">
        <v>608</v>
      </c>
      <c r="H886" s="12" t="s">
        <v>384</v>
      </c>
      <c r="I886" s="12" t="s">
        <v>384</v>
      </c>
      <c r="J886" s="281" t="s">
        <v>13677</v>
      </c>
      <c r="K886" s="12"/>
      <c r="L886" s="12"/>
      <c r="M886" s="12"/>
      <c r="N886" s="12"/>
      <c r="O886" s="12"/>
      <c r="P886" s="12"/>
      <c r="Q886" s="12"/>
      <c r="R886" s="12"/>
      <c r="S886" s="12"/>
      <c r="T886" s="12"/>
      <c r="U886" s="12"/>
      <c r="V886" s="12"/>
      <c r="W886" s="12"/>
      <c r="X886" s="12"/>
      <c r="Y886" s="12"/>
      <c r="Z886" s="12"/>
      <c r="AA886" s="12"/>
      <c r="AB886" s="12"/>
      <c r="AC886" s="12"/>
      <c r="AD886" s="12"/>
      <c r="BD886" s="13">
        <v>42005</v>
      </c>
      <c r="BE886" s="13">
        <v>43465</v>
      </c>
      <c r="BF886" s="12"/>
      <c r="BG886" s="12" t="s">
        <v>350</v>
      </c>
      <c r="BH886" s="14">
        <v>384508</v>
      </c>
      <c r="BI886" s="12" t="s">
        <v>13412</v>
      </c>
      <c r="BJ886" s="12" t="s">
        <v>13413</v>
      </c>
      <c r="BK886" s="12" t="s">
        <v>13414</v>
      </c>
      <c r="BL886" s="12"/>
      <c r="BM886" s="12"/>
      <c r="BN886" s="12"/>
      <c r="BO886" s="12" t="s">
        <v>319</v>
      </c>
      <c r="BP886" s="12" t="s">
        <v>320</v>
      </c>
      <c r="BQ886" s="12" t="s">
        <v>319</v>
      </c>
      <c r="BR886" s="12" t="s">
        <v>13678</v>
      </c>
      <c r="BS886" s="12" t="s">
        <v>615</v>
      </c>
      <c r="BT886" s="12" t="s">
        <v>13679</v>
      </c>
      <c r="BU886" s="12" t="s">
        <v>13680</v>
      </c>
      <c r="BV886" s="14">
        <v>85000</v>
      </c>
      <c r="BW886" s="14">
        <v>85000</v>
      </c>
      <c r="BX886" s="14">
        <v>170000</v>
      </c>
      <c r="BY886" s="14">
        <v>4713</v>
      </c>
      <c r="BZ886" s="14">
        <v>2845</v>
      </c>
      <c r="CA886" s="14">
        <v>7558</v>
      </c>
      <c r="CB886" s="12" t="s">
        <v>13681</v>
      </c>
      <c r="CD886" s="14"/>
      <c r="CE886" s="14"/>
      <c r="CF886" s="14"/>
      <c r="CG886" s="14"/>
      <c r="CH886" s="14"/>
      <c r="CI886" s="14"/>
      <c r="CJ886" s="12"/>
      <c r="CK886" s="14"/>
      <c r="CL886" s="16"/>
      <c r="CM886" s="14"/>
      <c r="CN886" s="12"/>
      <c r="CO886" s="14"/>
      <c r="CP886" s="16"/>
      <c r="CQ886" s="14"/>
      <c r="CR886" s="12"/>
      <c r="CS886" s="14"/>
      <c r="CT886" s="16"/>
      <c r="CU886" s="14"/>
      <c r="CV886" s="12"/>
      <c r="CW886" s="14"/>
      <c r="CX886" s="16"/>
      <c r="CY886" s="14"/>
      <c r="CZ886" s="12"/>
      <c r="DA886" s="14"/>
      <c r="DB886" s="16"/>
      <c r="DC886" s="14"/>
      <c r="DD886" s="12"/>
      <c r="DE886" s="14"/>
      <c r="DF886" s="16"/>
      <c r="DG886" s="14"/>
      <c r="DH886" s="12"/>
      <c r="DI886" s="14"/>
      <c r="DJ886" s="16"/>
      <c r="DK886" s="14"/>
      <c r="DL886" s="12"/>
      <c r="DM886" s="14"/>
      <c r="DN886" s="16"/>
      <c r="DO886" s="14"/>
      <c r="DP886" s="12"/>
      <c r="DQ886" s="14"/>
      <c r="DR886" s="16"/>
      <c r="DS886" s="14"/>
      <c r="DT886" s="12"/>
      <c r="DU886" s="14"/>
      <c r="DV886" s="16"/>
      <c r="DW886" s="14"/>
      <c r="DX886" s="12"/>
      <c r="DY886" s="14"/>
      <c r="DZ886" s="16"/>
      <c r="EA886" s="14"/>
      <c r="EB886" s="12"/>
      <c r="EC886" s="14"/>
      <c r="ED886" s="16"/>
      <c r="EE886" s="14"/>
      <c r="EF886" s="12"/>
      <c r="EG886" s="12"/>
      <c r="EH886" s="14"/>
      <c r="EI886" s="16"/>
      <c r="EJ886" s="14"/>
      <c r="EK886" s="14">
        <v>1300</v>
      </c>
      <c r="EL886" s="14">
        <v>1970</v>
      </c>
      <c r="EM886" s="14">
        <v>3270</v>
      </c>
      <c r="EN886" s="14">
        <v>5200</v>
      </c>
      <c r="EO886" s="14">
        <v>7880</v>
      </c>
      <c r="EP886" s="14">
        <v>13080</v>
      </c>
      <c r="EQ886" s="12" t="s">
        <v>320</v>
      </c>
      <c r="ER886" s="14">
        <v>3270</v>
      </c>
      <c r="ES886" s="16">
        <v>0.39755351681957102</v>
      </c>
      <c r="ET886" s="14">
        <v>13080</v>
      </c>
      <c r="EU886" s="11" t="s">
        <v>320</v>
      </c>
      <c r="EV886" s="14">
        <v>3270</v>
      </c>
      <c r="EW886" s="16">
        <v>0.39755351681957102</v>
      </c>
      <c r="EX886" s="14">
        <v>13080</v>
      </c>
      <c r="EY886" s="12" t="s">
        <v>319</v>
      </c>
      <c r="EZ886" s="14"/>
      <c r="FA886" s="16"/>
      <c r="FB886" s="14"/>
      <c r="FC886" s="12" t="s">
        <v>319</v>
      </c>
      <c r="FD886" s="14"/>
      <c r="FE886" s="16"/>
      <c r="FF886" s="14"/>
      <c r="FG886" s="12" t="s">
        <v>319</v>
      </c>
      <c r="FH886" s="14"/>
      <c r="FI886" s="16"/>
      <c r="FJ886" s="14"/>
      <c r="FK886" s="12" t="s">
        <v>320</v>
      </c>
      <c r="FL886" s="14">
        <v>3270</v>
      </c>
      <c r="FM886" s="16">
        <v>0.39755351681957102</v>
      </c>
      <c r="FN886" s="14">
        <v>13080</v>
      </c>
      <c r="FO886" s="12" t="s">
        <v>319</v>
      </c>
      <c r="FP886" s="14"/>
      <c r="FQ886" s="16"/>
      <c r="FR886" s="14"/>
      <c r="FS886" s="12" t="s">
        <v>319</v>
      </c>
      <c r="FT886" s="14"/>
      <c r="FU886" s="16"/>
      <c r="FV886" s="14"/>
      <c r="FW886" s="11" t="s">
        <v>320</v>
      </c>
      <c r="FX886" s="14">
        <v>3270</v>
      </c>
      <c r="FY886" s="16">
        <v>0.39755351681957102</v>
      </c>
      <c r="FZ886" s="14">
        <v>13080</v>
      </c>
      <c r="GA886" s="12" t="s">
        <v>319</v>
      </c>
      <c r="GB886" s="14"/>
      <c r="GC886" s="16"/>
      <c r="GD886" s="14"/>
      <c r="GE886" s="12" t="s">
        <v>319</v>
      </c>
      <c r="GF886" s="14"/>
      <c r="GG886" s="16"/>
      <c r="GH886" s="14"/>
      <c r="GI886" s="12" t="s">
        <v>319</v>
      </c>
      <c r="GJ886" s="14"/>
      <c r="GK886" s="16"/>
      <c r="GL886" s="14"/>
      <c r="GM886" s="11" t="s">
        <v>320</v>
      </c>
      <c r="GN886" s="14">
        <v>3270</v>
      </c>
      <c r="GO886" s="16">
        <v>0.39755351681957102</v>
      </c>
      <c r="GP886" s="14">
        <v>13080</v>
      </c>
      <c r="GQ886" s="12" t="s">
        <v>319</v>
      </c>
      <c r="GR886" s="14"/>
      <c r="GS886" s="16"/>
      <c r="GT886" s="14"/>
      <c r="GU886" s="12" t="s">
        <v>319</v>
      </c>
      <c r="GV886" s="14"/>
      <c r="GW886" s="16"/>
      <c r="GX886" s="14"/>
      <c r="GY886" s="11" t="s">
        <v>320</v>
      </c>
      <c r="GZ886" s="14">
        <v>3270</v>
      </c>
      <c r="HA886" s="16">
        <v>0.39755351681957102</v>
      </c>
      <c r="HB886" s="14">
        <v>13080</v>
      </c>
      <c r="HC886" s="12"/>
      <c r="HD886" s="12"/>
      <c r="HE886" s="14"/>
      <c r="HF886" s="16"/>
      <c r="HG886" s="14"/>
      <c r="HH886" s="12" t="s">
        <v>319</v>
      </c>
      <c r="HI886" s="12"/>
      <c r="HJ886" s="12"/>
      <c r="HK886" s="12" t="s">
        <v>320</v>
      </c>
      <c r="HL886" s="12" t="s">
        <v>319</v>
      </c>
      <c r="HM886" s="12"/>
      <c r="HN886" s="12"/>
      <c r="HO886" s="12" t="s">
        <v>13682</v>
      </c>
      <c r="HP886" s="12" t="s">
        <v>330</v>
      </c>
      <c r="HQ886" s="12" t="s">
        <v>319</v>
      </c>
      <c r="HR886" s="12" t="s">
        <v>319</v>
      </c>
      <c r="HS886" s="12" t="s">
        <v>319</v>
      </c>
      <c r="HT886" s="12" t="s">
        <v>320</v>
      </c>
      <c r="HU886" s="12" t="s">
        <v>320</v>
      </c>
      <c r="HV886" s="12" t="s">
        <v>320</v>
      </c>
      <c r="HW886" s="12" t="s">
        <v>319</v>
      </c>
      <c r="HX886" s="12" t="s">
        <v>319</v>
      </c>
      <c r="HY886" s="12"/>
      <c r="HZ886" s="12" t="s">
        <v>394</v>
      </c>
      <c r="IA886" s="12" t="s">
        <v>13683</v>
      </c>
      <c r="IB886" s="12" t="s">
        <v>396</v>
      </c>
      <c r="IC886" s="12" t="s">
        <v>13683</v>
      </c>
      <c r="ID886" s="12" t="s">
        <v>334</v>
      </c>
      <c r="IE886" s="12" t="s">
        <v>478</v>
      </c>
      <c r="IF886" s="12" t="s">
        <v>320</v>
      </c>
      <c r="IG886" s="12" t="s">
        <v>320</v>
      </c>
      <c r="IH886" s="12" t="s">
        <v>320</v>
      </c>
      <c r="II886" s="12" t="s">
        <v>320</v>
      </c>
      <c r="IJ886" s="12" t="str">
        <f t="shared" si="602"/>
        <v>4. Transformative</v>
      </c>
      <c r="IK886" s="12">
        <f t="shared" si="561"/>
        <v>4</v>
      </c>
      <c r="IL886" s="12" t="s">
        <v>336</v>
      </c>
      <c r="IM886" s="12" t="s">
        <v>320</v>
      </c>
      <c r="IN886" s="12" t="s">
        <v>320</v>
      </c>
      <c r="IO886" s="12" t="s">
        <v>320</v>
      </c>
      <c r="IP886" s="12" t="s">
        <v>320</v>
      </c>
      <c r="IQ886" s="12" t="str">
        <f t="shared" si="562"/>
        <v>2. Accommodating</v>
      </c>
      <c r="IR886" s="12">
        <f t="shared" si="563"/>
        <v>4</v>
      </c>
      <c r="IS886" s="12" t="s">
        <v>622</v>
      </c>
      <c r="IT886" s="12" t="s">
        <v>320</v>
      </c>
      <c r="IU886" s="12" t="s">
        <v>320</v>
      </c>
      <c r="IV886" s="12" t="s">
        <v>320</v>
      </c>
      <c r="IW886" s="11" t="str">
        <f t="shared" si="564"/>
        <v>4. Transformative</v>
      </c>
      <c r="IX886" s="12">
        <f t="shared" si="565"/>
        <v>3</v>
      </c>
      <c r="IY886" s="12" t="s">
        <v>758</v>
      </c>
      <c r="IZ886" s="12" t="s">
        <v>527</v>
      </c>
      <c r="JA886" s="12">
        <v>3</v>
      </c>
      <c r="JB886" s="12" t="s">
        <v>687</v>
      </c>
      <c r="JC886" s="12" t="s">
        <v>831</v>
      </c>
      <c r="JD886" s="12" t="s">
        <v>433</v>
      </c>
      <c r="JE886" s="12" t="s">
        <v>365</v>
      </c>
      <c r="JF886" s="12" t="s">
        <v>13684</v>
      </c>
      <c r="JG886" s="12" t="s">
        <v>13685</v>
      </c>
      <c r="JH886" s="12" t="s">
        <v>13686</v>
      </c>
      <c r="JI886" s="12" t="s">
        <v>13687</v>
      </c>
      <c r="JJ886" s="12" t="s">
        <v>13688</v>
      </c>
      <c r="JK886" s="12" t="s">
        <v>13689</v>
      </c>
      <c r="JL886" s="12" t="s">
        <v>13690</v>
      </c>
      <c r="JM886" s="12"/>
      <c r="JN886" s="12" t="s">
        <v>13691</v>
      </c>
      <c r="JO886" s="12" t="s">
        <v>13692</v>
      </c>
      <c r="JP886" s="15">
        <f t="shared" si="566"/>
        <v>3270</v>
      </c>
      <c r="JQ886" s="15">
        <f t="shared" si="567"/>
        <v>13080</v>
      </c>
      <c r="JR886" s="279">
        <f t="shared" si="568"/>
        <v>4</v>
      </c>
      <c r="JS886" s="17">
        <f t="shared" si="569"/>
        <v>0.39755351681957185</v>
      </c>
      <c r="JT886" s="18">
        <f t="shared" si="570"/>
        <v>0.39755351681957185</v>
      </c>
      <c r="JU886" s="280">
        <f t="shared" si="571"/>
        <v>1300</v>
      </c>
      <c r="JV886" s="280">
        <f t="shared" si="572"/>
        <v>5200</v>
      </c>
      <c r="JW886" s="319" t="str">
        <f t="shared" si="573"/>
        <v/>
      </c>
      <c r="JX886" s="15">
        <f t="shared" si="574"/>
        <v>0</v>
      </c>
      <c r="JY886" s="15">
        <f t="shared" si="575"/>
        <v>0</v>
      </c>
      <c r="JZ886" s="19" t="str">
        <f t="shared" si="576"/>
        <v/>
      </c>
      <c r="KA886" s="52">
        <f t="shared" si="577"/>
        <v>1</v>
      </c>
      <c r="KB886" s="15">
        <f t="shared" si="578"/>
        <v>3270</v>
      </c>
      <c r="KC886" s="15">
        <f t="shared" si="579"/>
        <v>13080</v>
      </c>
      <c r="KD886" s="20">
        <f t="shared" si="580"/>
        <v>4</v>
      </c>
      <c r="KE886" s="52" t="str">
        <f t="shared" si="581"/>
        <v/>
      </c>
      <c r="KF886" s="15">
        <f t="shared" si="582"/>
        <v>0</v>
      </c>
      <c r="KG886" s="15">
        <f t="shared" si="583"/>
        <v>0</v>
      </c>
      <c r="KH886" s="21" t="str">
        <f t="shared" si="584"/>
        <v/>
      </c>
      <c r="KI886" s="52" t="str">
        <f t="shared" si="585"/>
        <v/>
      </c>
      <c r="KJ886" s="15">
        <f t="shared" si="586"/>
        <v>0</v>
      </c>
      <c r="KK886" s="15">
        <f t="shared" si="587"/>
        <v>0</v>
      </c>
      <c r="KL886" s="19" t="str">
        <f t="shared" si="588"/>
        <v/>
      </c>
      <c r="KM886" s="52">
        <f t="shared" si="589"/>
        <v>1</v>
      </c>
      <c r="KN886" s="22">
        <f t="shared" si="590"/>
        <v>3270</v>
      </c>
      <c r="KO886" s="22">
        <f t="shared" si="591"/>
        <v>13080</v>
      </c>
      <c r="KP886" s="19">
        <f t="shared" si="592"/>
        <v>4</v>
      </c>
      <c r="KQ886" s="11" t="str">
        <f t="shared" si="593"/>
        <v>4. Transformative</v>
      </c>
      <c r="KR886" s="11" t="str">
        <f t="shared" si="594"/>
        <v>2. Accommodating</v>
      </c>
      <c r="KS886" s="11" t="str">
        <f t="shared" si="595"/>
        <v>4. Transformative</v>
      </c>
      <c r="KT886" s="11" t="str">
        <f t="shared" si="596"/>
        <v>It tested new ways for fighting poverty, but did not measure results of innovation</v>
      </c>
      <c r="KU886" s="11" t="str">
        <f t="shared" si="597"/>
        <v>Moderate advocacy</v>
      </c>
      <c r="KV886" s="11" t="str">
        <f t="shared" si="598"/>
        <v>It linked and worked with strategic alliances and partners to take tested and effective solutions to scale</v>
      </c>
      <c r="KW886" s="11" t="str">
        <f t="shared" si="599"/>
        <v>Vietnam - Enhancing adaptive capacity of women and ethnic minority smallholder farmers through improved agro-climate information in South-East Asia</v>
      </c>
      <c r="KX886" s="11" t="str">
        <f t="shared" si="600"/>
        <v>Enhancing adaptive capacity of women and ethnic minority smallholder farmers through improved agro-climate information in South-East Asia</v>
      </c>
      <c r="KY886" s="11" t="str">
        <f t="shared" si="601"/>
        <v>Vietnam</v>
      </c>
      <c r="KZ886" s="12">
        <v>887</v>
      </c>
    </row>
    <row r="887" spans="1:312" x14ac:dyDescent="0.3">
      <c r="A887" s="12" t="s">
        <v>13409</v>
      </c>
      <c r="B887" s="12" t="s">
        <v>306</v>
      </c>
      <c r="C887" s="12"/>
      <c r="D887" s="12" t="s">
        <v>13550</v>
      </c>
      <c r="E887" s="277" t="str">
        <f t="shared" si="559"/>
        <v>Vietnam</v>
      </c>
      <c r="F887" s="12" t="s">
        <v>13551</v>
      </c>
      <c r="G887" s="12" t="s">
        <v>488</v>
      </c>
      <c r="H887" s="12" t="s">
        <v>489</v>
      </c>
      <c r="I887" s="12" t="s">
        <v>384</v>
      </c>
      <c r="J887" s="281" t="s">
        <v>13552</v>
      </c>
      <c r="K887" s="12"/>
      <c r="L887" s="12"/>
      <c r="M887" s="12"/>
      <c r="N887" s="12"/>
      <c r="O887" s="12"/>
      <c r="P887" s="12"/>
      <c r="Q887" s="12"/>
      <c r="R887" s="12"/>
      <c r="S887" s="12"/>
      <c r="T887" s="12"/>
      <c r="U887" s="12"/>
      <c r="V887" s="12"/>
      <c r="W887" s="12"/>
      <c r="X887" s="12"/>
      <c r="Y887" s="12"/>
      <c r="Z887" s="12"/>
      <c r="AA887" s="12"/>
      <c r="AB887" s="12"/>
      <c r="AC887" s="12"/>
      <c r="AD887" s="12"/>
      <c r="BD887" s="13">
        <v>42552</v>
      </c>
      <c r="BE887" s="13">
        <v>42916</v>
      </c>
      <c r="BF887" s="12"/>
      <c r="BG887" s="12" t="s">
        <v>350</v>
      </c>
      <c r="BH887" s="14">
        <v>45991</v>
      </c>
      <c r="BI887" s="12" t="s">
        <v>13412</v>
      </c>
      <c r="BJ887" s="12" t="s">
        <v>13413</v>
      </c>
      <c r="BK887" s="12" t="s">
        <v>13414</v>
      </c>
      <c r="BL887" s="12"/>
      <c r="BM887" s="12"/>
      <c r="BN887" s="12"/>
      <c r="BO887" s="12" t="s">
        <v>319</v>
      </c>
      <c r="BP887" s="12" t="s">
        <v>320</v>
      </c>
      <c r="BQ887" s="12" t="s">
        <v>319</v>
      </c>
      <c r="BR887" s="12" t="s">
        <v>13553</v>
      </c>
      <c r="BS887" s="12" t="s">
        <v>357</v>
      </c>
      <c r="BT887" s="12" t="s">
        <v>13554</v>
      </c>
      <c r="BU887" s="12" t="s">
        <v>13555</v>
      </c>
      <c r="BV887" s="14">
        <v>1200</v>
      </c>
      <c r="BW887" s="14">
        <v>0</v>
      </c>
      <c r="BX887" s="14">
        <v>1200</v>
      </c>
      <c r="BY887" s="14">
        <v>1800</v>
      </c>
      <c r="BZ887" s="14">
        <v>3000</v>
      </c>
      <c r="CA887" s="14">
        <v>4800</v>
      </c>
      <c r="CB887" s="12" t="s">
        <v>13556</v>
      </c>
      <c r="CD887" s="14"/>
      <c r="CE887" s="14"/>
      <c r="CF887" s="14"/>
      <c r="CG887" s="14"/>
      <c r="CH887" s="14"/>
      <c r="CI887" s="14"/>
      <c r="CJ887" s="12"/>
      <c r="CK887" s="14"/>
      <c r="CL887" s="16"/>
      <c r="CM887" s="14"/>
      <c r="CN887" s="12"/>
      <c r="CO887" s="14"/>
      <c r="CP887" s="16"/>
      <c r="CQ887" s="14"/>
      <c r="CR887" s="12"/>
      <c r="CS887" s="14"/>
      <c r="CT887" s="16"/>
      <c r="CU887" s="14"/>
      <c r="CV887" s="12"/>
      <c r="CW887" s="14"/>
      <c r="CX887" s="16"/>
      <c r="CY887" s="14"/>
      <c r="CZ887" s="12"/>
      <c r="DA887" s="14"/>
      <c r="DB887" s="16"/>
      <c r="DC887" s="14"/>
      <c r="DD887" s="12"/>
      <c r="DE887" s="14"/>
      <c r="DF887" s="16"/>
      <c r="DG887" s="14"/>
      <c r="DH887" s="12"/>
      <c r="DI887" s="14"/>
      <c r="DJ887" s="16"/>
      <c r="DK887" s="14"/>
      <c r="DL887" s="12"/>
      <c r="DM887" s="14"/>
      <c r="DN887" s="16"/>
      <c r="DO887" s="14"/>
      <c r="DP887" s="12"/>
      <c r="DQ887" s="14"/>
      <c r="DR887" s="16"/>
      <c r="DS887" s="14"/>
      <c r="DT887" s="12"/>
      <c r="DU887" s="14"/>
      <c r="DV887" s="16"/>
      <c r="DW887" s="14"/>
      <c r="DX887" s="12"/>
      <c r="DY887" s="14"/>
      <c r="DZ887" s="16"/>
      <c r="EA887" s="14"/>
      <c r="EB887" s="12"/>
      <c r="EC887" s="14"/>
      <c r="ED887" s="16"/>
      <c r="EE887" s="14"/>
      <c r="EF887" s="12"/>
      <c r="EG887" s="12"/>
      <c r="EH887" s="14"/>
      <c r="EI887" s="16"/>
      <c r="EJ887" s="14"/>
      <c r="EK887" s="14">
        <v>1823</v>
      </c>
      <c r="EL887" s="14">
        <v>0</v>
      </c>
      <c r="EM887" s="14">
        <v>1823</v>
      </c>
      <c r="EN887" s="14">
        <v>2735</v>
      </c>
      <c r="EO887" s="14">
        <v>4557</v>
      </c>
      <c r="EP887" s="14">
        <v>7292</v>
      </c>
      <c r="EQ887" s="12" t="s">
        <v>319</v>
      </c>
      <c r="ER887" s="14"/>
      <c r="ES887" s="16"/>
      <c r="ET887" s="14"/>
      <c r="EU887" s="11" t="s">
        <v>319</v>
      </c>
      <c r="EV887" s="14"/>
      <c r="EW887" s="16"/>
      <c r="EX887" s="14"/>
      <c r="EY887" s="12" t="s">
        <v>319</v>
      </c>
      <c r="EZ887" s="14"/>
      <c r="FA887" s="16"/>
      <c r="FB887" s="14"/>
      <c r="FC887" s="12" t="s">
        <v>319</v>
      </c>
      <c r="FD887" s="14"/>
      <c r="FE887" s="16"/>
      <c r="FF887" s="14"/>
      <c r="FG887" s="12" t="s">
        <v>319</v>
      </c>
      <c r="FH887" s="14"/>
      <c r="FI887" s="16"/>
      <c r="FJ887" s="14"/>
      <c r="FK887" s="12" t="s">
        <v>320</v>
      </c>
      <c r="FL887" s="14">
        <v>1823</v>
      </c>
      <c r="FM887" s="16">
        <v>1</v>
      </c>
      <c r="FN887" s="14">
        <v>7292</v>
      </c>
      <c r="FO887" s="12" t="s">
        <v>319</v>
      </c>
      <c r="FP887" s="14"/>
      <c r="FQ887" s="16"/>
      <c r="FR887" s="14"/>
      <c r="FS887" s="12" t="s">
        <v>319</v>
      </c>
      <c r="FT887" s="14"/>
      <c r="FU887" s="16"/>
      <c r="FV887" s="14"/>
      <c r="FW887" s="12" t="s">
        <v>319</v>
      </c>
      <c r="FX887" s="14"/>
      <c r="FY887" s="16"/>
      <c r="FZ887" s="14"/>
      <c r="GA887" s="12" t="s">
        <v>319</v>
      </c>
      <c r="GB887" s="14"/>
      <c r="GC887" s="16"/>
      <c r="GD887" s="14"/>
      <c r="GE887" s="12" t="s">
        <v>319</v>
      </c>
      <c r="GF887" s="14"/>
      <c r="GG887" s="16"/>
      <c r="GH887" s="14"/>
      <c r="GI887" s="12" t="s">
        <v>319</v>
      </c>
      <c r="GJ887" s="14"/>
      <c r="GK887" s="16"/>
      <c r="GL887" s="14"/>
      <c r="GM887" s="12" t="s">
        <v>319</v>
      </c>
      <c r="GN887" s="14"/>
      <c r="GO887" s="16"/>
      <c r="GP887" s="14"/>
      <c r="GQ887" s="12" t="s">
        <v>319</v>
      </c>
      <c r="GR887" s="14"/>
      <c r="GS887" s="16"/>
      <c r="GT887" s="14"/>
      <c r="GU887" s="12" t="s">
        <v>319</v>
      </c>
      <c r="GV887" s="14"/>
      <c r="GW887" s="16"/>
      <c r="GX887" s="14"/>
      <c r="GY887" s="11" t="s">
        <v>320</v>
      </c>
      <c r="GZ887" s="14">
        <v>1823</v>
      </c>
      <c r="HA887" s="16">
        <v>1</v>
      </c>
      <c r="HB887" s="14">
        <v>7292</v>
      </c>
      <c r="HC887" s="12"/>
      <c r="HD887" s="12" t="s">
        <v>319</v>
      </c>
      <c r="HE887" s="14"/>
      <c r="HF887" s="16"/>
      <c r="HG887" s="14"/>
      <c r="HH887" s="12"/>
      <c r="HI887" s="12"/>
      <c r="HJ887" s="12"/>
      <c r="HK887" s="12" t="s">
        <v>319</v>
      </c>
      <c r="HL887" s="12" t="s">
        <v>319</v>
      </c>
      <c r="HM887" s="12"/>
      <c r="HN887" s="12"/>
      <c r="HO887" s="12" t="s">
        <v>13557</v>
      </c>
      <c r="HP887" s="12" t="s">
        <v>418</v>
      </c>
      <c r="HQ887" s="12" t="s">
        <v>319</v>
      </c>
      <c r="HR887" s="12" t="s">
        <v>319</v>
      </c>
      <c r="HS887" s="12" t="s">
        <v>320</v>
      </c>
      <c r="HT887" s="12" t="s">
        <v>320</v>
      </c>
      <c r="HU887" s="12" t="s">
        <v>320</v>
      </c>
      <c r="HV887" s="12" t="s">
        <v>319</v>
      </c>
      <c r="HW887" s="12" t="s">
        <v>319</v>
      </c>
      <c r="HX887" s="12" t="s">
        <v>319</v>
      </c>
      <c r="HY887" s="12"/>
      <c r="HZ887" s="12" t="s">
        <v>394</v>
      </c>
      <c r="IA887" s="12" t="s">
        <v>13558</v>
      </c>
      <c r="IB887" s="12" t="s">
        <v>396</v>
      </c>
      <c r="IC887" s="12" t="s">
        <v>13559</v>
      </c>
      <c r="ID887" s="12" t="s">
        <v>334</v>
      </c>
      <c r="IE887" s="12" t="s">
        <v>478</v>
      </c>
      <c r="IF887" s="12" t="s">
        <v>320</v>
      </c>
      <c r="IG887" s="12" t="s">
        <v>320</v>
      </c>
      <c r="IH887" s="12" t="s">
        <v>320</v>
      </c>
      <c r="II887" s="12" t="s">
        <v>320</v>
      </c>
      <c r="IJ887" s="12" t="str">
        <f t="shared" si="602"/>
        <v>4. Transformative</v>
      </c>
      <c r="IK887" s="12">
        <f t="shared" si="561"/>
        <v>4</v>
      </c>
      <c r="IL887" s="12" t="s">
        <v>336</v>
      </c>
      <c r="IM887" s="12" t="s">
        <v>320</v>
      </c>
      <c r="IN887" s="12" t="s">
        <v>319</v>
      </c>
      <c r="IO887" s="12" t="s">
        <v>320</v>
      </c>
      <c r="IP887" s="12" t="s">
        <v>320</v>
      </c>
      <c r="IQ887" s="12" t="str">
        <f t="shared" si="562"/>
        <v>2. Accommodating</v>
      </c>
      <c r="IR887" s="12">
        <f t="shared" si="563"/>
        <v>3</v>
      </c>
      <c r="IS887" s="12" t="s">
        <v>337</v>
      </c>
      <c r="IT887" s="12" t="s">
        <v>320</v>
      </c>
      <c r="IU887" s="12" t="s">
        <v>319</v>
      </c>
      <c r="IV887" s="12" t="s">
        <v>320</v>
      </c>
      <c r="IW887" s="11" t="str">
        <f t="shared" si="564"/>
        <v>1. Neutral</v>
      </c>
      <c r="IX887" s="12">
        <f t="shared" si="565"/>
        <v>2</v>
      </c>
      <c r="IY887" s="12" t="s">
        <v>419</v>
      </c>
      <c r="IZ887" s="12" t="s">
        <v>527</v>
      </c>
      <c r="JA887" s="12">
        <v>1</v>
      </c>
      <c r="JB887" s="12" t="s">
        <v>433</v>
      </c>
      <c r="JC887" s="12"/>
      <c r="JD887" s="12"/>
      <c r="JE887" s="12" t="s">
        <v>365</v>
      </c>
      <c r="JF887" s="12" t="s">
        <v>13560</v>
      </c>
      <c r="JG887" s="12" t="s">
        <v>13561</v>
      </c>
      <c r="JH887" s="12" t="s">
        <v>13562</v>
      </c>
      <c r="JI887" s="12" t="s">
        <v>13563</v>
      </c>
      <c r="JJ887" s="12" t="s">
        <v>13564</v>
      </c>
      <c r="JK887" s="12" t="s">
        <v>13565</v>
      </c>
      <c r="JL887" s="12" t="s">
        <v>13566</v>
      </c>
      <c r="JM887" s="12" t="s">
        <v>13567</v>
      </c>
      <c r="JN887" s="12" t="s">
        <v>13568</v>
      </c>
      <c r="JO887" s="12" t="s">
        <v>13569</v>
      </c>
      <c r="JP887" s="15">
        <f t="shared" si="566"/>
        <v>1823</v>
      </c>
      <c r="JQ887" s="15">
        <f t="shared" si="567"/>
        <v>7292</v>
      </c>
      <c r="JR887" s="279">
        <f t="shared" si="568"/>
        <v>4</v>
      </c>
      <c r="JS887" s="17">
        <f t="shared" si="569"/>
        <v>1</v>
      </c>
      <c r="JT887" s="18">
        <f t="shared" si="570"/>
        <v>0.37506856829402085</v>
      </c>
      <c r="JU887" s="280">
        <f t="shared" si="571"/>
        <v>1823</v>
      </c>
      <c r="JV887" s="280">
        <f t="shared" si="572"/>
        <v>2735</v>
      </c>
      <c r="JW887" s="319" t="str">
        <f t="shared" si="573"/>
        <v/>
      </c>
      <c r="JX887" s="15">
        <f t="shared" si="574"/>
        <v>0</v>
      </c>
      <c r="JY887" s="15">
        <f t="shared" si="575"/>
        <v>0</v>
      </c>
      <c r="JZ887" s="19" t="str">
        <f t="shared" si="576"/>
        <v/>
      </c>
      <c r="KA887" s="52" t="str">
        <f t="shared" si="577"/>
        <v/>
      </c>
      <c r="KB887" s="15">
        <f t="shared" si="578"/>
        <v>0</v>
      </c>
      <c r="KC887" s="15">
        <f t="shared" si="579"/>
        <v>0</v>
      </c>
      <c r="KD887" s="20" t="str">
        <f t="shared" si="580"/>
        <v/>
      </c>
      <c r="KE887" s="52" t="str">
        <f t="shared" si="581"/>
        <v/>
      </c>
      <c r="KF887" s="15">
        <f t="shared" si="582"/>
        <v>0</v>
      </c>
      <c r="KG887" s="15">
        <f t="shared" si="583"/>
        <v>0</v>
      </c>
      <c r="KH887" s="21" t="str">
        <f t="shared" si="584"/>
        <v/>
      </c>
      <c r="KI887" s="52" t="str">
        <f t="shared" si="585"/>
        <v/>
      </c>
      <c r="KJ887" s="15">
        <f t="shared" si="586"/>
        <v>0</v>
      </c>
      <c r="KK887" s="15">
        <f t="shared" si="587"/>
        <v>0</v>
      </c>
      <c r="KL887" s="19" t="str">
        <f t="shared" si="588"/>
        <v/>
      </c>
      <c r="KM887" s="52">
        <f t="shared" si="589"/>
        <v>1</v>
      </c>
      <c r="KN887" s="22">
        <f t="shared" si="590"/>
        <v>1823</v>
      </c>
      <c r="KO887" s="22">
        <f t="shared" si="591"/>
        <v>7292</v>
      </c>
      <c r="KP887" s="19">
        <f t="shared" si="592"/>
        <v>4</v>
      </c>
      <c r="KQ887" s="11" t="str">
        <f t="shared" si="593"/>
        <v>4. Transformative</v>
      </c>
      <c r="KR887" s="11" t="str">
        <f t="shared" si="594"/>
        <v>2. Accommodating</v>
      </c>
      <c r="KS887" s="11" t="str">
        <f t="shared" si="595"/>
        <v>1. Neutral</v>
      </c>
      <c r="KT887" s="11" t="str">
        <f t="shared" si="596"/>
        <v>It tested new ways for fighting poverty, but did not measure results of innovation</v>
      </c>
      <c r="KU887" s="11" t="str">
        <f t="shared" si="597"/>
        <v>Little or no advocacy</v>
      </c>
      <c r="KV887" s="11" t="str">
        <f t="shared" si="598"/>
        <v>It linked and worked with strategic alliances and partners to take tested and effective solutions to scale</v>
      </c>
      <c r="KW887" s="11" t="str">
        <f t="shared" si="599"/>
        <v>Vietnam - Ethnic Minority Womens Empowerment - Plus</v>
      </c>
      <c r="KX887" s="11" t="str">
        <f t="shared" si="600"/>
        <v>Ethnic Minority Womens Empowerment - Plus</v>
      </c>
      <c r="KY887" s="11" t="str">
        <f t="shared" si="601"/>
        <v>Vietnam</v>
      </c>
      <c r="KZ887" s="12">
        <v>888</v>
      </c>
    </row>
    <row r="888" spans="1:312" x14ac:dyDescent="0.3">
      <c r="A888" s="12" t="s">
        <v>13409</v>
      </c>
      <c r="B888" s="12" t="s">
        <v>306</v>
      </c>
      <c r="C888" s="12">
        <v>3449</v>
      </c>
      <c r="D888" s="12" t="s">
        <v>13410</v>
      </c>
      <c r="E888" s="277" t="str">
        <f t="shared" si="559"/>
        <v>Vietnam</v>
      </c>
      <c r="F888" s="12" t="s">
        <v>13411</v>
      </c>
      <c r="G888" s="12" t="s">
        <v>309</v>
      </c>
      <c r="H888" s="12" t="s">
        <v>310</v>
      </c>
      <c r="I888" s="12" t="s">
        <v>311</v>
      </c>
      <c r="J888" s="281" t="s">
        <v>14565</v>
      </c>
      <c r="K888" s="12"/>
      <c r="L888" s="12"/>
      <c r="M888" s="12"/>
      <c r="N888" s="12"/>
      <c r="O888" s="12"/>
      <c r="P888" s="12"/>
      <c r="Q888" s="12"/>
      <c r="R888" s="12"/>
      <c r="S888" s="12"/>
      <c r="T888" s="12"/>
      <c r="U888" s="12"/>
      <c r="V888" s="12"/>
      <c r="W888" s="12"/>
      <c r="X888" s="12"/>
      <c r="Y888" s="12"/>
      <c r="Z888" s="12"/>
      <c r="AA888" s="12"/>
      <c r="AB888" s="12"/>
      <c r="AC888" s="12"/>
      <c r="AD888" s="12"/>
      <c r="BD888" s="13">
        <v>41456</v>
      </c>
      <c r="BE888" s="13">
        <v>42916</v>
      </c>
      <c r="BF888" s="12"/>
      <c r="BG888" s="12" t="s">
        <v>407</v>
      </c>
      <c r="BH888" s="14">
        <v>1511580.6</v>
      </c>
      <c r="BI888" s="12" t="s">
        <v>13412</v>
      </c>
      <c r="BJ888" s="12" t="s">
        <v>13413</v>
      </c>
      <c r="BK888" s="12" t="s">
        <v>13414</v>
      </c>
      <c r="BL888" s="12"/>
      <c r="BM888" s="12"/>
      <c r="BN888" s="12"/>
      <c r="BO888" s="12" t="s">
        <v>319</v>
      </c>
      <c r="BP888" s="12" t="s">
        <v>320</v>
      </c>
      <c r="BQ888" s="12" t="s">
        <v>319</v>
      </c>
      <c r="BR888" s="12" t="s">
        <v>13415</v>
      </c>
      <c r="BS888" s="12" t="s">
        <v>322</v>
      </c>
      <c r="BT888" s="12" t="s">
        <v>13416</v>
      </c>
      <c r="BU888" s="12" t="s">
        <v>13417</v>
      </c>
      <c r="BV888" s="14">
        <v>9325</v>
      </c>
      <c r="BW888" s="14">
        <v>5191</v>
      </c>
      <c r="BX888" s="14">
        <v>14516</v>
      </c>
      <c r="BY888" s="14">
        <v>4463</v>
      </c>
      <c r="BZ888" s="14">
        <v>2595</v>
      </c>
      <c r="CA888" s="14">
        <v>7058</v>
      </c>
      <c r="CB888" s="12" t="s">
        <v>13418</v>
      </c>
      <c r="CD888" s="14"/>
      <c r="CE888" s="14"/>
      <c r="CF888" s="14"/>
      <c r="CG888" s="14"/>
      <c r="CH888" s="14"/>
      <c r="CI888" s="14"/>
      <c r="CJ888" s="12"/>
      <c r="CK888" s="14"/>
      <c r="CL888" s="16"/>
      <c r="CM888" s="14"/>
      <c r="CN888" s="12"/>
      <c r="CO888" s="14"/>
      <c r="CP888" s="16"/>
      <c r="CQ888" s="14"/>
      <c r="CR888" s="12"/>
      <c r="CS888" s="14"/>
      <c r="CT888" s="16"/>
      <c r="CU888" s="14"/>
      <c r="CV888" s="12"/>
      <c r="CW888" s="14"/>
      <c r="CX888" s="16"/>
      <c r="CY888" s="14"/>
      <c r="CZ888" s="12"/>
      <c r="DA888" s="14"/>
      <c r="DB888" s="16"/>
      <c r="DC888" s="14"/>
      <c r="DD888" s="12"/>
      <c r="DE888" s="14"/>
      <c r="DF888" s="16"/>
      <c r="DG888" s="14"/>
      <c r="DH888" s="12"/>
      <c r="DI888" s="14"/>
      <c r="DJ888" s="16"/>
      <c r="DK888" s="14"/>
      <c r="DL888" s="12"/>
      <c r="DM888" s="14"/>
      <c r="DN888" s="16"/>
      <c r="DO888" s="14"/>
      <c r="DP888" s="12"/>
      <c r="DQ888" s="14"/>
      <c r="DR888" s="16"/>
      <c r="DS888" s="14"/>
      <c r="DT888" s="12"/>
      <c r="DU888" s="14"/>
      <c r="DV888" s="16"/>
      <c r="DW888" s="14"/>
      <c r="DX888" s="12"/>
      <c r="DY888" s="14"/>
      <c r="DZ888" s="16"/>
      <c r="EA888" s="14"/>
      <c r="EB888" s="12"/>
      <c r="EC888" s="14"/>
      <c r="ED888" s="16"/>
      <c r="EE888" s="14"/>
      <c r="EF888" s="12"/>
      <c r="EG888" s="12"/>
      <c r="EH888" s="14"/>
      <c r="EI888" s="16"/>
      <c r="EJ888" s="14"/>
      <c r="EK888" s="14">
        <v>1408</v>
      </c>
      <c r="EL888" s="14">
        <v>455</v>
      </c>
      <c r="EM888" s="14">
        <v>1863</v>
      </c>
      <c r="EN888" s="14">
        <v>2112</v>
      </c>
      <c r="EO888" s="14">
        <v>3065</v>
      </c>
      <c r="EP888" s="14">
        <v>5177</v>
      </c>
      <c r="EQ888" s="12" t="s">
        <v>319</v>
      </c>
      <c r="ER888" s="14"/>
      <c r="ES888" s="16"/>
      <c r="ET888" s="14"/>
      <c r="EU888" s="11" t="s">
        <v>320</v>
      </c>
      <c r="EV888" s="14">
        <v>429</v>
      </c>
      <c r="EW888" s="16">
        <v>1</v>
      </c>
      <c r="EX888" s="14">
        <v>1716</v>
      </c>
      <c r="EY888" s="12" t="s">
        <v>319</v>
      </c>
      <c r="EZ888" s="14"/>
      <c r="FA888" s="16"/>
      <c r="FB888" s="14"/>
      <c r="FC888" s="12" t="s">
        <v>319</v>
      </c>
      <c r="FD888" s="14"/>
      <c r="FE888" s="16"/>
      <c r="FF888" s="14"/>
      <c r="FG888" s="12" t="s">
        <v>320</v>
      </c>
      <c r="FH888" s="14">
        <v>1408</v>
      </c>
      <c r="FI888" s="16">
        <v>1</v>
      </c>
      <c r="FJ888" s="14">
        <v>5177</v>
      </c>
      <c r="FK888" s="12" t="s">
        <v>319</v>
      </c>
      <c r="FL888" s="14"/>
      <c r="FM888" s="16"/>
      <c r="FN888" s="14"/>
      <c r="FO888" s="12" t="s">
        <v>319</v>
      </c>
      <c r="FP888" s="14"/>
      <c r="FQ888" s="16"/>
      <c r="FR888" s="14"/>
      <c r="FS888" s="12" t="s">
        <v>320</v>
      </c>
      <c r="FT888" s="14">
        <v>1863</v>
      </c>
      <c r="FU888" s="16">
        <v>0.75577026301663897</v>
      </c>
      <c r="FV888" s="14">
        <v>5177</v>
      </c>
      <c r="FW888" s="11" t="s">
        <v>320</v>
      </c>
      <c r="FX888" s="14">
        <v>1863</v>
      </c>
      <c r="FY888" s="16">
        <v>0.75577026301663897</v>
      </c>
      <c r="FZ888" s="14">
        <v>5177</v>
      </c>
      <c r="GA888" s="12" t="s">
        <v>319</v>
      </c>
      <c r="GB888" s="14"/>
      <c r="GC888" s="16"/>
      <c r="GD888" s="14"/>
      <c r="GE888" s="12" t="s">
        <v>319</v>
      </c>
      <c r="GF888" s="14"/>
      <c r="GG888" s="16"/>
      <c r="GH888" s="14"/>
      <c r="GI888" s="12" t="s">
        <v>319</v>
      </c>
      <c r="GJ888" s="14"/>
      <c r="GK888" s="16"/>
      <c r="GL888" s="14"/>
      <c r="GM888" s="11" t="s">
        <v>320</v>
      </c>
      <c r="GN888" s="14">
        <v>1863</v>
      </c>
      <c r="GO888" s="16">
        <v>0.75577026301663897</v>
      </c>
      <c r="GP888" s="14">
        <v>5177</v>
      </c>
      <c r="GQ888" s="12" t="s">
        <v>319</v>
      </c>
      <c r="GR888" s="14"/>
      <c r="GS888" s="16"/>
      <c r="GT888" s="14"/>
      <c r="GU888" s="12" t="s">
        <v>319</v>
      </c>
      <c r="GV888" s="14"/>
      <c r="GW888" s="16"/>
      <c r="GX888" s="14"/>
      <c r="GY888" s="11" t="s">
        <v>320</v>
      </c>
      <c r="GZ888" s="14">
        <v>1863</v>
      </c>
      <c r="HA888" s="16">
        <v>0.75577026301663897</v>
      </c>
      <c r="HB888" s="14">
        <v>5177</v>
      </c>
      <c r="HC888" s="12"/>
      <c r="HD888" s="12"/>
      <c r="HE888" s="14"/>
      <c r="HF888" s="16"/>
      <c r="HG888" s="14"/>
      <c r="HH888" s="12" t="s">
        <v>320</v>
      </c>
      <c r="HI888" s="12" t="s">
        <v>431</v>
      </c>
      <c r="HJ888" s="12">
        <v>2017</v>
      </c>
      <c r="HK888" s="12" t="s">
        <v>320</v>
      </c>
      <c r="HL888" s="12" t="s">
        <v>319</v>
      </c>
      <c r="HM888" s="12"/>
      <c r="HN888" s="12"/>
      <c r="HO888" s="12" t="s">
        <v>13419</v>
      </c>
      <c r="HP888" s="12" t="s">
        <v>330</v>
      </c>
      <c r="HQ888" s="12" t="s">
        <v>319</v>
      </c>
      <c r="HR888" s="12" t="s">
        <v>319</v>
      </c>
      <c r="HS888" s="12" t="s">
        <v>320</v>
      </c>
      <c r="HT888" s="12" t="s">
        <v>320</v>
      </c>
      <c r="HU888" s="12" t="s">
        <v>320</v>
      </c>
      <c r="HV888" s="12" t="s">
        <v>320</v>
      </c>
      <c r="HW888" s="12" t="s">
        <v>319</v>
      </c>
      <c r="HX888" s="12"/>
      <c r="HY888" s="12"/>
      <c r="HZ888" s="12" t="s">
        <v>394</v>
      </c>
      <c r="IA888" s="12" t="s">
        <v>13420</v>
      </c>
      <c r="IB888" s="12" t="s">
        <v>396</v>
      </c>
      <c r="IC888" s="12" t="s">
        <v>13421</v>
      </c>
      <c r="ID888" s="12" t="s">
        <v>334</v>
      </c>
      <c r="IE888" s="12" t="s">
        <v>478</v>
      </c>
      <c r="IF888" s="12" t="s">
        <v>320</v>
      </c>
      <c r="IG888" s="12" t="s">
        <v>320</v>
      </c>
      <c r="IH888" s="12" t="s">
        <v>320</v>
      </c>
      <c r="II888" s="12" t="s">
        <v>320</v>
      </c>
      <c r="IJ888" s="12" t="str">
        <f t="shared" si="602"/>
        <v>4. Transformative</v>
      </c>
      <c r="IK888" s="12">
        <f t="shared" si="561"/>
        <v>4</v>
      </c>
      <c r="IL888" s="11" t="s">
        <v>621</v>
      </c>
      <c r="IM888" s="12" t="s">
        <v>320</v>
      </c>
      <c r="IN888" s="12" t="s">
        <v>320</v>
      </c>
      <c r="IO888" s="12" t="s">
        <v>320</v>
      </c>
      <c r="IP888" s="12" t="s">
        <v>320</v>
      </c>
      <c r="IQ888" s="12" t="str">
        <f t="shared" si="562"/>
        <v>4. Transformational</v>
      </c>
      <c r="IR888" s="12">
        <f t="shared" si="563"/>
        <v>4</v>
      </c>
      <c r="IS888" s="12" t="s">
        <v>622</v>
      </c>
      <c r="IT888" s="12" t="s">
        <v>320</v>
      </c>
      <c r="IU888" s="12" t="s">
        <v>320</v>
      </c>
      <c r="IV888" s="12" t="s">
        <v>320</v>
      </c>
      <c r="IW888" s="11" t="str">
        <f t="shared" si="564"/>
        <v>4. Transformative</v>
      </c>
      <c r="IX888" s="12">
        <f t="shared" si="565"/>
        <v>3</v>
      </c>
      <c r="IY888" s="12" t="s">
        <v>419</v>
      </c>
      <c r="IZ888" s="12" t="s">
        <v>527</v>
      </c>
      <c r="JA888" s="12">
        <v>3</v>
      </c>
      <c r="JB888" s="12" t="s">
        <v>433</v>
      </c>
      <c r="JC888" s="12" t="s">
        <v>433</v>
      </c>
      <c r="JD888" s="12" t="s">
        <v>687</v>
      </c>
      <c r="JE888" s="12" t="s">
        <v>365</v>
      </c>
      <c r="JF888" s="12" t="s">
        <v>13422</v>
      </c>
      <c r="JG888" s="12" t="s">
        <v>13423</v>
      </c>
      <c r="JH888" s="12" t="s">
        <v>13424</v>
      </c>
      <c r="JI888" s="12" t="s">
        <v>13425</v>
      </c>
      <c r="JJ888" s="12" t="s">
        <v>13426</v>
      </c>
      <c r="JK888" s="12" t="s">
        <v>13427</v>
      </c>
      <c r="JL888" s="12" t="s">
        <v>13428</v>
      </c>
      <c r="JM888" s="12" t="s">
        <v>13429</v>
      </c>
      <c r="JN888" s="12" t="s">
        <v>13430</v>
      </c>
      <c r="JO888" s="12" t="s">
        <v>13431</v>
      </c>
      <c r="JP888" s="15">
        <f t="shared" si="566"/>
        <v>1863</v>
      </c>
      <c r="JQ888" s="15">
        <f t="shared" si="567"/>
        <v>5177</v>
      </c>
      <c r="JR888" s="279">
        <f t="shared" si="568"/>
        <v>2.778851315083199</v>
      </c>
      <c r="JS888" s="17">
        <f t="shared" si="569"/>
        <v>0.75577026301663985</v>
      </c>
      <c r="JT888" s="18">
        <f t="shared" si="570"/>
        <v>0.40795827699439829</v>
      </c>
      <c r="JU888" s="280">
        <f t="shared" si="571"/>
        <v>1408</v>
      </c>
      <c r="JV888" s="280">
        <f t="shared" si="572"/>
        <v>2112</v>
      </c>
      <c r="JW888" s="319" t="str">
        <f t="shared" si="573"/>
        <v/>
      </c>
      <c r="JX888" s="15">
        <f t="shared" si="574"/>
        <v>0</v>
      </c>
      <c r="JY888" s="15">
        <f t="shared" si="575"/>
        <v>0</v>
      </c>
      <c r="JZ888" s="19" t="str">
        <f t="shared" si="576"/>
        <v/>
      </c>
      <c r="KA888" s="52">
        <f t="shared" si="577"/>
        <v>1</v>
      </c>
      <c r="KB888" s="15">
        <f t="shared" si="578"/>
        <v>1408</v>
      </c>
      <c r="KC888" s="15">
        <f t="shared" si="579"/>
        <v>5177</v>
      </c>
      <c r="KD888" s="20">
        <f t="shared" si="580"/>
        <v>3.6768465909090908</v>
      </c>
      <c r="KE888" s="52" t="str">
        <f t="shared" si="581"/>
        <v/>
      </c>
      <c r="KF888" s="15">
        <f t="shared" si="582"/>
        <v>0</v>
      </c>
      <c r="KG888" s="15">
        <f t="shared" si="583"/>
        <v>0</v>
      </c>
      <c r="KH888" s="21" t="str">
        <f t="shared" si="584"/>
        <v/>
      </c>
      <c r="KI888" s="52">
        <f t="shared" si="585"/>
        <v>1</v>
      </c>
      <c r="KJ888" s="15">
        <f t="shared" si="586"/>
        <v>1863</v>
      </c>
      <c r="KK888" s="15">
        <f t="shared" si="587"/>
        <v>5177</v>
      </c>
      <c r="KL888" s="19">
        <f t="shared" si="588"/>
        <v>2.778851315083199</v>
      </c>
      <c r="KM888" s="52">
        <f t="shared" si="589"/>
        <v>1</v>
      </c>
      <c r="KN888" s="22">
        <f t="shared" si="590"/>
        <v>1863</v>
      </c>
      <c r="KO888" s="22">
        <f t="shared" si="591"/>
        <v>5177</v>
      </c>
      <c r="KP888" s="19">
        <f t="shared" si="592"/>
        <v>2.778851315083199</v>
      </c>
      <c r="KQ888" s="11" t="str">
        <f t="shared" si="593"/>
        <v>4. Transformative</v>
      </c>
      <c r="KR888" s="11" t="str">
        <f t="shared" si="594"/>
        <v>4. Transformational</v>
      </c>
      <c r="KS888" s="11" t="str">
        <f t="shared" si="595"/>
        <v>4. Transformative</v>
      </c>
      <c r="KT888" s="11" t="str">
        <f t="shared" si="596"/>
        <v>It tested new ways for fighting poverty, but did not measure results of innovation</v>
      </c>
      <c r="KU888" s="11" t="str">
        <f t="shared" si="597"/>
        <v>Moderate advocacy</v>
      </c>
      <c r="KV888" s="11" t="str">
        <f t="shared" si="598"/>
        <v>It linked and worked with strategic alliances and partners to take tested and effective solutions to scale</v>
      </c>
      <c r="KW888" s="11" t="str">
        <f t="shared" si="599"/>
        <v>Vietnam - Ethnic Minority Womens Empowerment Initiative</v>
      </c>
      <c r="KX888" s="11" t="str">
        <f t="shared" si="600"/>
        <v>Ethnic Minority Womens Empowerment Initiative</v>
      </c>
      <c r="KY888" s="11" t="str">
        <f t="shared" si="601"/>
        <v>Vietnam</v>
      </c>
      <c r="KZ888" s="12">
        <v>889</v>
      </c>
    </row>
    <row r="889" spans="1:312" x14ac:dyDescent="0.3">
      <c r="A889" s="12" t="s">
        <v>13409</v>
      </c>
      <c r="B889" s="12" t="s">
        <v>306</v>
      </c>
      <c r="C889" s="12">
        <v>3450</v>
      </c>
      <c r="D889" s="12" t="s">
        <v>13576</v>
      </c>
      <c r="E889" s="277" t="str">
        <f t="shared" si="559"/>
        <v>Vietnam</v>
      </c>
      <c r="F889" s="12"/>
      <c r="G889" s="12" t="s">
        <v>379</v>
      </c>
      <c r="H889" s="12" t="s">
        <v>489</v>
      </c>
      <c r="I889" s="12" t="s">
        <v>384</v>
      </c>
      <c r="J889" s="281" t="s">
        <v>1050</v>
      </c>
      <c r="K889" s="12"/>
      <c r="L889" s="12" t="s">
        <v>379</v>
      </c>
      <c r="M889" s="12" t="s">
        <v>489</v>
      </c>
      <c r="N889" s="12" t="s">
        <v>384</v>
      </c>
      <c r="O889" s="12" t="s">
        <v>13577</v>
      </c>
      <c r="P889" s="12"/>
      <c r="Q889" s="12"/>
      <c r="R889" s="12"/>
      <c r="S889" s="12"/>
      <c r="T889" s="12"/>
      <c r="U889" s="12"/>
      <c r="V889" s="12"/>
      <c r="W889" s="12"/>
      <c r="X889" s="12"/>
      <c r="Y889" s="12"/>
      <c r="Z889" s="12"/>
      <c r="AA889" s="12"/>
      <c r="AB889" s="12"/>
      <c r="AC889" s="12"/>
      <c r="AD889" s="12"/>
      <c r="BD889" s="13">
        <v>42186</v>
      </c>
      <c r="BE889" s="13">
        <v>42916</v>
      </c>
      <c r="BF889" s="12"/>
      <c r="BG889" s="12" t="s">
        <v>350</v>
      </c>
      <c r="BH889" s="14">
        <v>332600</v>
      </c>
      <c r="BI889" s="12" t="s">
        <v>13412</v>
      </c>
      <c r="BJ889" s="12" t="s">
        <v>13413</v>
      </c>
      <c r="BK889" s="12" t="s">
        <v>13414</v>
      </c>
      <c r="BL889" s="12"/>
      <c r="BM889" s="12"/>
      <c r="BN889" s="12"/>
      <c r="BO889" s="12" t="s">
        <v>319</v>
      </c>
      <c r="BP889" s="12" t="s">
        <v>320</v>
      </c>
      <c r="BQ889" s="12" t="s">
        <v>319</v>
      </c>
      <c r="BR889" s="12" t="s">
        <v>13576</v>
      </c>
      <c r="BS889" s="12" t="s">
        <v>357</v>
      </c>
      <c r="BT889" s="12" t="s">
        <v>13578</v>
      </c>
      <c r="BU889" s="12" t="s">
        <v>13579</v>
      </c>
      <c r="BV889" s="14">
        <v>775</v>
      </c>
      <c r="BW889" s="14">
        <v>0</v>
      </c>
      <c r="BX889" s="14">
        <v>775</v>
      </c>
      <c r="BY889" s="14">
        <v>1375</v>
      </c>
      <c r="BZ889" s="14">
        <v>1375</v>
      </c>
      <c r="CA889" s="14">
        <v>2750</v>
      </c>
      <c r="CB889" s="12" t="s">
        <v>13580</v>
      </c>
      <c r="CD889" s="14">
        <v>0</v>
      </c>
      <c r="CE889" s="14">
        <v>0</v>
      </c>
      <c r="CF889" s="14">
        <v>0</v>
      </c>
      <c r="CG889" s="14">
        <v>0</v>
      </c>
      <c r="CH889" s="14">
        <v>0</v>
      </c>
      <c r="CI889" s="14">
        <v>0</v>
      </c>
      <c r="CJ889" s="12"/>
      <c r="CK889" s="14"/>
      <c r="CL889" s="16"/>
      <c r="CM889" s="14"/>
      <c r="CN889" s="12"/>
      <c r="CO889" s="14"/>
      <c r="CP889" s="16"/>
      <c r="CQ889" s="14"/>
      <c r="CR889" s="12"/>
      <c r="CS889" s="14"/>
      <c r="CT889" s="16"/>
      <c r="CU889" s="14"/>
      <c r="CV889" s="12"/>
      <c r="CW889" s="14"/>
      <c r="CX889" s="16"/>
      <c r="CY889" s="14"/>
      <c r="CZ889" s="12"/>
      <c r="DA889" s="14"/>
      <c r="DB889" s="16"/>
      <c r="DC889" s="14"/>
      <c r="DD889" s="12"/>
      <c r="DE889" s="14"/>
      <c r="DF889" s="16"/>
      <c r="DG889" s="14"/>
      <c r="DH889" s="12"/>
      <c r="DI889" s="14"/>
      <c r="DJ889" s="16"/>
      <c r="DK889" s="14"/>
      <c r="DL889" s="12"/>
      <c r="DM889" s="14"/>
      <c r="DN889" s="16"/>
      <c r="DO889" s="14"/>
      <c r="DP889" s="12"/>
      <c r="DQ889" s="14"/>
      <c r="DR889" s="16"/>
      <c r="DS889" s="14"/>
      <c r="DT889" s="12"/>
      <c r="DU889" s="14"/>
      <c r="DV889" s="16"/>
      <c r="DW889" s="14"/>
      <c r="DX889" s="12"/>
      <c r="DY889" s="14"/>
      <c r="DZ889" s="16"/>
      <c r="EA889" s="14"/>
      <c r="EB889" s="12"/>
      <c r="EC889" s="14"/>
      <c r="ED889" s="16"/>
      <c r="EE889" s="14"/>
      <c r="EF889" s="12"/>
      <c r="EG889" s="12"/>
      <c r="EH889" s="14"/>
      <c r="EI889" s="16"/>
      <c r="EJ889" s="14"/>
      <c r="EK889" s="14">
        <v>0</v>
      </c>
      <c r="EL889" s="14">
        <v>0</v>
      </c>
      <c r="EM889" s="14">
        <v>0</v>
      </c>
      <c r="EN889" s="14">
        <v>0</v>
      </c>
      <c r="EO889" s="14">
        <v>0</v>
      </c>
      <c r="EP889" s="14">
        <v>0</v>
      </c>
      <c r="EQ889" s="12" t="s">
        <v>319</v>
      </c>
      <c r="ER889" s="14"/>
      <c r="ES889" s="16"/>
      <c r="ET889" s="14"/>
      <c r="EU889" s="11" t="s">
        <v>319</v>
      </c>
      <c r="EV889" s="14"/>
      <c r="EW889" s="16"/>
      <c r="EX889" s="14"/>
      <c r="EY889" s="12" t="s">
        <v>319</v>
      </c>
      <c r="EZ889" s="14"/>
      <c r="FA889" s="16"/>
      <c r="FB889" s="14"/>
      <c r="FC889" s="12" t="s">
        <v>319</v>
      </c>
      <c r="FD889" s="14"/>
      <c r="FE889" s="16"/>
      <c r="FF889" s="14"/>
      <c r="FG889" s="12" t="s">
        <v>320</v>
      </c>
      <c r="FH889" s="14">
        <v>0</v>
      </c>
      <c r="FI889" s="16">
        <v>0</v>
      </c>
      <c r="FJ889" s="14">
        <v>0</v>
      </c>
      <c r="FK889" s="12" t="s">
        <v>319</v>
      </c>
      <c r="FL889" s="14"/>
      <c r="FM889" s="16"/>
      <c r="FN889" s="14"/>
      <c r="FO889" s="12" t="s">
        <v>319</v>
      </c>
      <c r="FP889" s="14"/>
      <c r="FQ889" s="16"/>
      <c r="FR889" s="14"/>
      <c r="FS889" s="12" t="s">
        <v>319</v>
      </c>
      <c r="FT889" s="14"/>
      <c r="FU889" s="16"/>
      <c r="FV889" s="14"/>
      <c r="FW889" s="12" t="s">
        <v>319</v>
      </c>
      <c r="FX889" s="14"/>
      <c r="FY889" s="16"/>
      <c r="FZ889" s="14"/>
      <c r="GA889" s="12" t="s">
        <v>319</v>
      </c>
      <c r="GB889" s="14"/>
      <c r="GC889" s="16"/>
      <c r="GD889" s="14"/>
      <c r="GE889" s="12" t="s">
        <v>319</v>
      </c>
      <c r="GF889" s="14"/>
      <c r="GG889" s="16"/>
      <c r="GH889" s="14"/>
      <c r="GI889" s="12" t="s">
        <v>319</v>
      </c>
      <c r="GJ889" s="14"/>
      <c r="GK889" s="16"/>
      <c r="GL889" s="14"/>
      <c r="GM889" s="12" t="s">
        <v>319</v>
      </c>
      <c r="GN889" s="14"/>
      <c r="GO889" s="16"/>
      <c r="GP889" s="14"/>
      <c r="GQ889" s="12" t="s">
        <v>319</v>
      </c>
      <c r="GR889" s="14"/>
      <c r="GS889" s="16"/>
      <c r="GT889" s="14"/>
      <c r="GU889" s="12" t="s">
        <v>319</v>
      </c>
      <c r="GV889" s="14"/>
      <c r="GW889" s="16"/>
      <c r="GX889" s="14"/>
      <c r="GY889" s="12" t="s">
        <v>320</v>
      </c>
      <c r="GZ889" s="14"/>
      <c r="HA889" s="16"/>
      <c r="HB889" s="14"/>
      <c r="HC889" s="12"/>
      <c r="HD889" s="12"/>
      <c r="HE889" s="14"/>
      <c r="HF889" s="16"/>
      <c r="HG889" s="14"/>
      <c r="HH889" s="12" t="s">
        <v>319</v>
      </c>
      <c r="HI889" s="12"/>
      <c r="HJ889" s="12"/>
      <c r="HK889" s="12" t="s">
        <v>319</v>
      </c>
      <c r="HL889" s="12" t="s">
        <v>320</v>
      </c>
      <c r="HM889" s="12" t="s">
        <v>328</v>
      </c>
      <c r="HN889" s="12">
        <v>2017</v>
      </c>
      <c r="HO889" s="12" t="s">
        <v>13581</v>
      </c>
      <c r="HP889" s="12" t="s">
        <v>418</v>
      </c>
      <c r="HQ889" s="12" t="s">
        <v>319</v>
      </c>
      <c r="HR889" s="12" t="s">
        <v>319</v>
      </c>
      <c r="HS889" s="12" t="s">
        <v>319</v>
      </c>
      <c r="HT889" s="12" t="s">
        <v>320</v>
      </c>
      <c r="HU889" s="12" t="s">
        <v>319</v>
      </c>
      <c r="HV889" s="12" t="s">
        <v>319</v>
      </c>
      <c r="HW889" s="12" t="s">
        <v>319</v>
      </c>
      <c r="HX889" s="12"/>
      <c r="HY889" s="12"/>
      <c r="HZ889" s="12" t="s">
        <v>394</v>
      </c>
      <c r="IA889" s="12" t="s">
        <v>13582</v>
      </c>
      <c r="IB889" s="12" t="s">
        <v>396</v>
      </c>
      <c r="IC889" s="12" t="s">
        <v>13583</v>
      </c>
      <c r="ID889" s="12" t="s">
        <v>364</v>
      </c>
      <c r="IE889" s="12" t="s">
        <v>478</v>
      </c>
      <c r="IF889" s="12" t="s">
        <v>320</v>
      </c>
      <c r="IG889" s="12" t="s">
        <v>320</v>
      </c>
      <c r="IH889" s="12" t="s">
        <v>320</v>
      </c>
      <c r="II889" s="12" t="s">
        <v>320</v>
      </c>
      <c r="IJ889" s="12" t="str">
        <f t="shared" si="602"/>
        <v>4. Transformative</v>
      </c>
      <c r="IK889" s="12">
        <f t="shared" si="561"/>
        <v>4</v>
      </c>
      <c r="IL889" s="12" t="s">
        <v>336</v>
      </c>
      <c r="IM889" s="12" t="s">
        <v>320</v>
      </c>
      <c r="IN889" s="12" t="s">
        <v>320</v>
      </c>
      <c r="IO889" s="12" t="s">
        <v>320</v>
      </c>
      <c r="IP889" s="12" t="s">
        <v>320</v>
      </c>
      <c r="IQ889" s="12" t="str">
        <f t="shared" si="562"/>
        <v>2. Accommodating</v>
      </c>
      <c r="IR889" s="12">
        <f t="shared" si="563"/>
        <v>4</v>
      </c>
      <c r="IS889" s="12" t="s">
        <v>456</v>
      </c>
      <c r="IT889" s="12" t="s">
        <v>319</v>
      </c>
      <c r="IU889" s="12" t="s">
        <v>319</v>
      </c>
      <c r="IV889" s="12" t="s">
        <v>319</v>
      </c>
      <c r="IW889" s="11" t="str">
        <f t="shared" si="564"/>
        <v>0. Harmful</v>
      </c>
      <c r="IX889" s="12">
        <f t="shared" si="565"/>
        <v>0</v>
      </c>
      <c r="IY889" s="12" t="s">
        <v>338</v>
      </c>
      <c r="IZ889" s="12" t="s">
        <v>527</v>
      </c>
      <c r="JA889" s="12">
        <v>3</v>
      </c>
      <c r="JB889" s="12" t="s">
        <v>433</v>
      </c>
      <c r="JC889" s="12" t="s">
        <v>724</v>
      </c>
      <c r="JD889" s="12"/>
      <c r="JE889" s="12"/>
      <c r="JF889" s="12"/>
      <c r="JG889" s="12" t="s">
        <v>13584</v>
      </c>
      <c r="JH889" s="12" t="s">
        <v>13585</v>
      </c>
      <c r="JI889" s="12" t="s">
        <v>13586</v>
      </c>
      <c r="JJ889" s="12"/>
      <c r="JK889" s="12" t="s">
        <v>13587</v>
      </c>
      <c r="JL889" s="12" t="s">
        <v>13588</v>
      </c>
      <c r="JM889" s="12" t="s">
        <v>13589</v>
      </c>
      <c r="JN889" s="12" t="s">
        <v>13590</v>
      </c>
      <c r="JO889" s="12" t="s">
        <v>13591</v>
      </c>
      <c r="JP889" s="15">
        <f t="shared" si="566"/>
        <v>0</v>
      </c>
      <c r="JQ889" s="15">
        <f t="shared" si="567"/>
        <v>0</v>
      </c>
      <c r="JR889" s="279" t="str">
        <f t="shared" si="568"/>
        <v/>
      </c>
      <c r="JS889" s="17" t="str">
        <f t="shared" si="569"/>
        <v/>
      </c>
      <c r="JT889" s="18" t="str">
        <f t="shared" si="570"/>
        <v/>
      </c>
      <c r="JU889" s="280">
        <f t="shared" si="571"/>
        <v>0</v>
      </c>
      <c r="JV889" s="280">
        <f t="shared" si="572"/>
        <v>0</v>
      </c>
      <c r="JW889" s="319" t="str">
        <f t="shared" si="573"/>
        <v/>
      </c>
      <c r="JX889" s="15">
        <f t="shared" si="574"/>
        <v>0</v>
      </c>
      <c r="JY889" s="15">
        <f t="shared" si="575"/>
        <v>0</v>
      </c>
      <c r="JZ889" s="19" t="str">
        <f t="shared" si="576"/>
        <v/>
      </c>
      <c r="KA889" s="52">
        <f t="shared" si="577"/>
        <v>1</v>
      </c>
      <c r="KB889" s="15">
        <f t="shared" si="578"/>
        <v>0</v>
      </c>
      <c r="KC889" s="15">
        <f t="shared" si="579"/>
        <v>0</v>
      </c>
      <c r="KD889" s="20" t="str">
        <f t="shared" si="580"/>
        <v/>
      </c>
      <c r="KE889" s="52" t="str">
        <f t="shared" si="581"/>
        <v/>
      </c>
      <c r="KF889" s="15">
        <f t="shared" si="582"/>
        <v>0</v>
      </c>
      <c r="KG889" s="15">
        <f t="shared" si="583"/>
        <v>0</v>
      </c>
      <c r="KH889" s="21" t="str">
        <f t="shared" si="584"/>
        <v/>
      </c>
      <c r="KI889" s="52" t="str">
        <f t="shared" si="585"/>
        <v/>
      </c>
      <c r="KJ889" s="15">
        <f t="shared" si="586"/>
        <v>0</v>
      </c>
      <c r="KK889" s="15">
        <f t="shared" si="587"/>
        <v>0</v>
      </c>
      <c r="KL889" s="19" t="str">
        <f t="shared" si="588"/>
        <v/>
      </c>
      <c r="KM889" s="52">
        <f t="shared" si="589"/>
        <v>1</v>
      </c>
      <c r="KN889" s="22">
        <f t="shared" si="590"/>
        <v>0</v>
      </c>
      <c r="KO889" s="22">
        <f t="shared" si="591"/>
        <v>0</v>
      </c>
      <c r="KP889" s="19" t="str">
        <f t="shared" si="592"/>
        <v/>
      </c>
      <c r="KQ889" s="11" t="str">
        <f t="shared" si="593"/>
        <v>4. Transformative</v>
      </c>
      <c r="KR889" s="11" t="str">
        <f t="shared" si="594"/>
        <v>2. Accommodating</v>
      </c>
      <c r="KS889" s="11" t="str">
        <f t="shared" si="595"/>
        <v>0. Harmful</v>
      </c>
      <c r="KT889" s="11" t="str">
        <f t="shared" si="596"/>
        <v>It tested new ways for fighting poverty, but did not measure results of innovation</v>
      </c>
      <c r="KU889" s="11" t="str">
        <f t="shared" si="597"/>
        <v>Little or no advocacy</v>
      </c>
      <c r="KV889" s="11" t="str">
        <f t="shared" si="598"/>
        <v>It linked and worked with strategic alliances and partners to take tested and effective solutions to scale</v>
      </c>
      <c r="KW889" s="11" t="str">
        <f t="shared" si="599"/>
        <v>Vietnam - Increase Remote Ethnic Minority Womens access to formal financial products and services to increase their financial inclusion</v>
      </c>
      <c r="KX889" s="11" t="str">
        <f t="shared" si="600"/>
        <v>Increase Remote Ethnic Minority Womens access to formal financial products and services to increase their financial inclusion</v>
      </c>
      <c r="KY889" s="11" t="str">
        <f t="shared" si="601"/>
        <v>Vietnam</v>
      </c>
      <c r="KZ889" s="12">
        <v>890</v>
      </c>
    </row>
    <row r="890" spans="1:312" x14ac:dyDescent="0.3">
      <c r="A890" s="12" t="s">
        <v>13409</v>
      </c>
      <c r="B890" s="12" t="s">
        <v>306</v>
      </c>
      <c r="C890" s="12"/>
      <c r="D890" s="12" t="s">
        <v>2276</v>
      </c>
      <c r="E890" s="277" t="str">
        <f t="shared" si="559"/>
        <v>Vietnam</v>
      </c>
      <c r="F890" s="12" t="s">
        <v>3436</v>
      </c>
      <c r="G890" s="12" t="s">
        <v>488</v>
      </c>
      <c r="H890" s="12" t="s">
        <v>554</v>
      </c>
      <c r="I890" s="12" t="s">
        <v>384</v>
      </c>
      <c r="J890" s="281"/>
      <c r="K890" s="12" t="s">
        <v>3436</v>
      </c>
      <c r="L890" s="12" t="s">
        <v>488</v>
      </c>
      <c r="M890" s="12" t="s">
        <v>383</v>
      </c>
      <c r="N890" s="12" t="s">
        <v>384</v>
      </c>
      <c r="O890" s="12" t="s">
        <v>2277</v>
      </c>
      <c r="P890" s="12"/>
      <c r="Q890" s="12"/>
      <c r="R890" s="12"/>
      <c r="S890" s="12"/>
      <c r="T890" s="12"/>
      <c r="U890" s="12"/>
      <c r="V890" s="12"/>
      <c r="W890" s="12"/>
      <c r="X890" s="12"/>
      <c r="Y890" s="12"/>
      <c r="Z890" s="12"/>
      <c r="AA890" s="12"/>
      <c r="AB890" s="12"/>
      <c r="AC890" s="12"/>
      <c r="AD890" s="12"/>
      <c r="BD890" s="13">
        <v>42552</v>
      </c>
      <c r="BE890" s="13">
        <v>42916</v>
      </c>
      <c r="BF890" s="12"/>
      <c r="BG890" s="12" t="s">
        <v>350</v>
      </c>
      <c r="BH890" s="14">
        <v>450206</v>
      </c>
      <c r="BI890" s="12" t="s">
        <v>2278</v>
      </c>
      <c r="BJ890" s="12" t="s">
        <v>2279</v>
      </c>
      <c r="BK890" s="12" t="s">
        <v>2280</v>
      </c>
      <c r="BL890" s="12"/>
      <c r="BM890" s="12"/>
      <c r="BN890" s="12"/>
      <c r="BO890" s="12" t="s">
        <v>319</v>
      </c>
      <c r="BP890" s="12" t="s">
        <v>320</v>
      </c>
      <c r="BQ890" s="12" t="s">
        <v>319</v>
      </c>
      <c r="BR890" s="12" t="s">
        <v>2281</v>
      </c>
      <c r="BS890" s="12" t="s">
        <v>357</v>
      </c>
      <c r="BT890" s="12" t="s">
        <v>13570</v>
      </c>
      <c r="BU890" s="12" t="s">
        <v>3438</v>
      </c>
      <c r="BV890" s="14">
        <v>528</v>
      </c>
      <c r="BW890" s="14">
        <v>129</v>
      </c>
      <c r="BX890" s="14">
        <v>657</v>
      </c>
      <c r="BY890" s="14">
        <v>392</v>
      </c>
      <c r="BZ890" s="14">
        <v>376</v>
      </c>
      <c r="CA890" s="14">
        <v>768</v>
      </c>
      <c r="CB890" s="12" t="s">
        <v>13571</v>
      </c>
      <c r="CD890" s="14"/>
      <c r="CE890" s="14"/>
      <c r="CF890" s="14"/>
      <c r="CG890" s="14"/>
      <c r="CH890" s="14"/>
      <c r="CI890" s="14"/>
      <c r="CJ890" s="12"/>
      <c r="CK890" s="14"/>
      <c r="CL890" s="16"/>
      <c r="CM890" s="14"/>
      <c r="CN890" s="12"/>
      <c r="CO890" s="14"/>
      <c r="CP890" s="16"/>
      <c r="CQ890" s="14"/>
      <c r="CR890" s="12"/>
      <c r="CS890" s="14"/>
      <c r="CT890" s="16"/>
      <c r="CU890" s="14"/>
      <c r="CV890" s="12"/>
      <c r="CW890" s="14"/>
      <c r="CX890" s="16"/>
      <c r="CY890" s="14"/>
      <c r="CZ890" s="12"/>
      <c r="DA890" s="14"/>
      <c r="DB890" s="16"/>
      <c r="DC890" s="14"/>
      <c r="DD890" s="12"/>
      <c r="DE890" s="14"/>
      <c r="DF890" s="16"/>
      <c r="DG890" s="14"/>
      <c r="DH890" s="12"/>
      <c r="DI890" s="14"/>
      <c r="DJ890" s="16"/>
      <c r="DK890" s="14"/>
      <c r="DL890" s="12"/>
      <c r="DM890" s="14"/>
      <c r="DN890" s="16"/>
      <c r="DO890" s="14"/>
      <c r="DP890" s="12"/>
      <c r="DQ890" s="14"/>
      <c r="DR890" s="16"/>
      <c r="DS890" s="14"/>
      <c r="DT890" s="12"/>
      <c r="DU890" s="14"/>
      <c r="DV890" s="16"/>
      <c r="DW890" s="14"/>
      <c r="DX890" s="12"/>
      <c r="DY890" s="14"/>
      <c r="DZ890" s="16"/>
      <c r="EA890" s="14"/>
      <c r="EB890" s="12"/>
      <c r="EC890" s="14"/>
      <c r="ED890" s="16"/>
      <c r="EE890" s="14"/>
      <c r="EF890" s="12"/>
      <c r="EG890" s="12"/>
      <c r="EH890" s="14"/>
      <c r="EI890" s="16"/>
      <c r="EJ890" s="14"/>
      <c r="EK890" s="14">
        <v>528</v>
      </c>
      <c r="EL890" s="14">
        <v>129</v>
      </c>
      <c r="EM890" s="14">
        <v>657</v>
      </c>
      <c r="EN890" s="14">
        <v>392</v>
      </c>
      <c r="EO890" s="14">
        <v>376</v>
      </c>
      <c r="EP890" s="14">
        <v>768</v>
      </c>
      <c r="EQ890" s="12"/>
      <c r="ER890" s="14"/>
      <c r="ES890" s="16"/>
      <c r="ET890" s="14"/>
      <c r="EU890" s="12"/>
      <c r="EV890" s="14"/>
      <c r="EW890" s="16"/>
      <c r="EX890" s="14"/>
      <c r="EY890" s="12"/>
      <c r="EZ890" s="14"/>
      <c r="FA890" s="16"/>
      <c r="FB890" s="14"/>
      <c r="FC890" s="12"/>
      <c r="FD890" s="14"/>
      <c r="FE890" s="16"/>
      <c r="FF890" s="14"/>
      <c r="FG890" s="12"/>
      <c r="FH890" s="14"/>
      <c r="FI890" s="16"/>
      <c r="FJ890" s="14"/>
      <c r="FK890" s="12"/>
      <c r="FL890" s="14"/>
      <c r="FM890" s="16"/>
      <c r="FN890" s="14"/>
      <c r="FO890" s="12"/>
      <c r="FP890" s="14"/>
      <c r="FQ890" s="16"/>
      <c r="FR890" s="14"/>
      <c r="FS890" s="12"/>
      <c r="FT890" s="14"/>
      <c r="FU890" s="16"/>
      <c r="FV890" s="14"/>
      <c r="FW890" s="12"/>
      <c r="FX890" s="14"/>
      <c r="FY890" s="16"/>
      <c r="FZ890" s="14"/>
      <c r="GA890" s="12"/>
      <c r="GB890" s="14"/>
      <c r="GC890" s="16"/>
      <c r="GD890" s="14"/>
      <c r="GE890" s="12"/>
      <c r="GF890" s="14"/>
      <c r="GG890" s="16"/>
      <c r="GH890" s="14"/>
      <c r="GI890" s="12"/>
      <c r="GJ890" s="14"/>
      <c r="GK890" s="16"/>
      <c r="GL890" s="14"/>
      <c r="GM890" s="12"/>
      <c r="GN890" s="14"/>
      <c r="GO890" s="16"/>
      <c r="GP890" s="14"/>
      <c r="GQ890" s="12"/>
      <c r="GR890" s="14"/>
      <c r="GS890" s="16"/>
      <c r="GT890" s="14"/>
      <c r="GU890" s="12"/>
      <c r="GV890" s="14"/>
      <c r="GW890" s="16"/>
      <c r="GX890" s="14"/>
      <c r="GY890" s="11" t="s">
        <v>320</v>
      </c>
      <c r="GZ890" s="14">
        <v>657</v>
      </c>
      <c r="HA890" s="16">
        <v>0.8</v>
      </c>
      <c r="HB890" s="14">
        <v>768</v>
      </c>
      <c r="HC890" s="12"/>
      <c r="HD890" s="12"/>
      <c r="HE890" s="14"/>
      <c r="HF890" s="16"/>
      <c r="HG890" s="14"/>
      <c r="HH890" s="12" t="s">
        <v>319</v>
      </c>
      <c r="HI890" s="12"/>
      <c r="HJ890" s="12"/>
      <c r="HK890" s="12"/>
      <c r="HL890" s="12" t="s">
        <v>319</v>
      </c>
      <c r="HM890" s="12"/>
      <c r="HN890" s="12"/>
      <c r="HO890" s="12"/>
      <c r="HP890" s="12" t="s">
        <v>418</v>
      </c>
      <c r="HQ890" s="12"/>
      <c r="HR890" s="12"/>
      <c r="HS890" s="12"/>
      <c r="HT890" s="12"/>
      <c r="HU890" s="12"/>
      <c r="HV890" s="12"/>
      <c r="HW890" s="12"/>
      <c r="HX890" s="12"/>
      <c r="HY890" s="12"/>
      <c r="HZ890" s="12" t="s">
        <v>363</v>
      </c>
      <c r="IA890" s="12"/>
      <c r="IB890" s="12" t="s">
        <v>333</v>
      </c>
      <c r="IC890" s="12"/>
      <c r="ID890" s="12" t="s">
        <v>364</v>
      </c>
      <c r="IE890" s="12" t="s">
        <v>1909</v>
      </c>
      <c r="IF890" s="12"/>
      <c r="IG890" s="12"/>
      <c r="IH890" s="12"/>
      <c r="II890" s="12"/>
      <c r="IJ890" s="12" t="str">
        <f t="shared" si="602"/>
        <v>0. Harmful</v>
      </c>
      <c r="IK890" s="12">
        <f t="shared" si="561"/>
        <v>0</v>
      </c>
      <c r="IL890" s="12" t="s">
        <v>723</v>
      </c>
      <c r="IM890" s="12"/>
      <c r="IN890" s="12"/>
      <c r="IO890" s="12"/>
      <c r="IP890" s="12"/>
      <c r="IQ890" s="12" t="str">
        <f t="shared" si="562"/>
        <v>0. Unaware</v>
      </c>
      <c r="IR890" s="12">
        <f t="shared" si="563"/>
        <v>0</v>
      </c>
      <c r="IS890" s="12" t="s">
        <v>456</v>
      </c>
      <c r="IT890" s="12"/>
      <c r="IU890" s="12"/>
      <c r="IV890" s="12"/>
      <c r="IW890" s="11" t="str">
        <f t="shared" si="564"/>
        <v>0. Harmful</v>
      </c>
      <c r="IX890" s="12">
        <f t="shared" si="565"/>
        <v>0</v>
      </c>
      <c r="IY890" s="12" t="s">
        <v>338</v>
      </c>
      <c r="IZ890" s="12" t="s">
        <v>457</v>
      </c>
      <c r="JA890" s="12">
        <v>1</v>
      </c>
      <c r="JB890" s="12" t="s">
        <v>724</v>
      </c>
      <c r="JC890" s="12"/>
      <c r="JD890" s="12"/>
      <c r="JE890" s="12" t="s">
        <v>420</v>
      </c>
      <c r="JF890" s="12"/>
      <c r="JG890" s="12" t="s">
        <v>2285</v>
      </c>
      <c r="JH890" s="12" t="s">
        <v>3440</v>
      </c>
      <c r="JI890" s="12" t="s">
        <v>3441</v>
      </c>
      <c r="JJ890" s="12"/>
      <c r="JK890" s="12" t="s">
        <v>13572</v>
      </c>
      <c r="JL890" s="12" t="s">
        <v>13573</v>
      </c>
      <c r="JM890" s="12" t="s">
        <v>13574</v>
      </c>
      <c r="JN890" s="12" t="s">
        <v>13575</v>
      </c>
      <c r="JO890" s="12"/>
      <c r="JP890" s="15">
        <f t="shared" si="566"/>
        <v>657</v>
      </c>
      <c r="JQ890" s="15">
        <f t="shared" si="567"/>
        <v>768</v>
      </c>
      <c r="JR890" s="279">
        <f t="shared" si="568"/>
        <v>1.1689497716894977</v>
      </c>
      <c r="JS890" s="17">
        <f t="shared" si="569"/>
        <v>0.80365296803652964</v>
      </c>
      <c r="JT890" s="18">
        <f t="shared" si="570"/>
        <v>0.51041666666666663</v>
      </c>
      <c r="JU890" s="280">
        <f t="shared" si="571"/>
        <v>528</v>
      </c>
      <c r="JV890" s="280">
        <f t="shared" si="572"/>
        <v>392</v>
      </c>
      <c r="JW890" s="319" t="str">
        <f t="shared" si="573"/>
        <v/>
      </c>
      <c r="JX890" s="15">
        <f t="shared" si="574"/>
        <v>0</v>
      </c>
      <c r="JY890" s="15">
        <f t="shared" si="575"/>
        <v>0</v>
      </c>
      <c r="JZ890" s="19" t="str">
        <f t="shared" si="576"/>
        <v/>
      </c>
      <c r="KA890" s="52" t="str">
        <f t="shared" si="577"/>
        <v/>
      </c>
      <c r="KB890" s="15">
        <f t="shared" si="578"/>
        <v>0</v>
      </c>
      <c r="KC890" s="15">
        <f t="shared" si="579"/>
        <v>0</v>
      </c>
      <c r="KD890" s="20" t="str">
        <f t="shared" si="580"/>
        <v/>
      </c>
      <c r="KE890" s="52" t="str">
        <f t="shared" si="581"/>
        <v/>
      </c>
      <c r="KF890" s="15">
        <f t="shared" si="582"/>
        <v>0</v>
      </c>
      <c r="KG890" s="15">
        <f t="shared" si="583"/>
        <v>0</v>
      </c>
      <c r="KH890" s="21" t="str">
        <f t="shared" si="584"/>
        <v/>
      </c>
      <c r="KI890" s="52" t="str">
        <f t="shared" si="585"/>
        <v/>
      </c>
      <c r="KJ890" s="15">
        <f t="shared" si="586"/>
        <v>0</v>
      </c>
      <c r="KK890" s="15">
        <f t="shared" si="587"/>
        <v>0</v>
      </c>
      <c r="KL890" s="19" t="str">
        <f t="shared" si="588"/>
        <v/>
      </c>
      <c r="KM890" s="52">
        <f t="shared" si="589"/>
        <v>1</v>
      </c>
      <c r="KN890" s="22">
        <f t="shared" si="590"/>
        <v>657</v>
      </c>
      <c r="KO890" s="22">
        <f t="shared" si="591"/>
        <v>768</v>
      </c>
      <c r="KP890" s="19">
        <f t="shared" si="592"/>
        <v>1.1689497716894977</v>
      </c>
      <c r="KQ890" s="11" t="str">
        <f t="shared" si="593"/>
        <v>0. Harmful</v>
      </c>
      <c r="KR890" s="11" t="str">
        <f t="shared" si="594"/>
        <v>0. Unaware</v>
      </c>
      <c r="KS890" s="11" t="str">
        <f t="shared" si="595"/>
        <v>0. Harmful</v>
      </c>
      <c r="KT890" s="11" t="str">
        <f t="shared" si="596"/>
        <v>It did not develop any specific innovation</v>
      </c>
      <c r="KU890" s="11" t="str">
        <f t="shared" si="597"/>
        <v>Little or no advocacy</v>
      </c>
      <c r="KV890" s="11" t="str">
        <f t="shared" si="598"/>
        <v>It did not take tested solutions to scale</v>
      </c>
      <c r="KW890" s="11" t="str">
        <f t="shared" si="599"/>
        <v>Vietnam - Lendwithcare</v>
      </c>
      <c r="KX890" s="11" t="str">
        <f t="shared" si="600"/>
        <v>Lendwithcare</v>
      </c>
      <c r="KY890" s="11" t="str">
        <f t="shared" si="601"/>
        <v>Vietnam</v>
      </c>
      <c r="KZ890" s="12">
        <v>891</v>
      </c>
    </row>
    <row r="891" spans="1:312" x14ac:dyDescent="0.3">
      <c r="A891" s="12" t="s">
        <v>13409</v>
      </c>
      <c r="B891" s="12" t="s">
        <v>306</v>
      </c>
      <c r="C891" s="12">
        <v>3443</v>
      </c>
      <c r="D891" s="12" t="s">
        <v>13432</v>
      </c>
      <c r="E891" s="277" t="str">
        <f t="shared" si="559"/>
        <v>Vietnam</v>
      </c>
      <c r="F891" s="12" t="s">
        <v>13433</v>
      </c>
      <c r="G891" s="12" t="s">
        <v>309</v>
      </c>
      <c r="H891" s="12"/>
      <c r="I891" s="12"/>
      <c r="J891" s="281" t="s">
        <v>14565</v>
      </c>
      <c r="K891" s="12"/>
      <c r="L891" s="12"/>
      <c r="M891" s="12"/>
      <c r="N891" s="12"/>
      <c r="O891" s="12"/>
      <c r="P891" s="12"/>
      <c r="Q891" s="12"/>
      <c r="R891" s="12"/>
      <c r="S891" s="12"/>
      <c r="T891" s="12"/>
      <c r="U891" s="12"/>
      <c r="V891" s="12"/>
      <c r="W891" s="12"/>
      <c r="X891" s="12"/>
      <c r="Y891" s="12"/>
      <c r="Z891" s="12"/>
      <c r="AA891" s="12"/>
      <c r="AB891" s="12"/>
      <c r="AC891" s="12"/>
      <c r="AD891" s="12"/>
      <c r="BD891" s="13">
        <v>41456</v>
      </c>
      <c r="BE891" s="12"/>
      <c r="BF891" s="12"/>
      <c r="BG891" s="12" t="s">
        <v>609</v>
      </c>
      <c r="BH891" s="14">
        <v>1394206</v>
      </c>
      <c r="BI891" s="12" t="s">
        <v>13434</v>
      </c>
      <c r="BJ891" s="12" t="s">
        <v>13435</v>
      </c>
      <c r="BK891" s="12" t="s">
        <v>13436</v>
      </c>
      <c r="BL891" s="12" t="s">
        <v>13437</v>
      </c>
      <c r="BM891" s="12" t="s">
        <v>13438</v>
      </c>
      <c r="BN891" s="12" t="s">
        <v>13439</v>
      </c>
      <c r="BO891" s="12" t="s">
        <v>319</v>
      </c>
      <c r="BP891" s="12" t="s">
        <v>320</v>
      </c>
      <c r="BQ891" s="12" t="s">
        <v>319</v>
      </c>
      <c r="BR891" s="12" t="s">
        <v>13440</v>
      </c>
      <c r="BS891" s="12" t="s">
        <v>357</v>
      </c>
      <c r="BT891" s="12" t="s">
        <v>13441</v>
      </c>
      <c r="BU891" s="12" t="s">
        <v>13442</v>
      </c>
      <c r="BV891" s="14">
        <v>2644</v>
      </c>
      <c r="BW891" s="14">
        <v>440</v>
      </c>
      <c r="BX891" s="14">
        <v>3084</v>
      </c>
      <c r="BY891" s="14">
        <v>6016</v>
      </c>
      <c r="BZ891" s="14">
        <v>3240</v>
      </c>
      <c r="CA891" s="14">
        <v>9256</v>
      </c>
      <c r="CB891" s="12" t="s">
        <v>13443</v>
      </c>
      <c r="CD891" s="14"/>
      <c r="CE891" s="14"/>
      <c r="CF891" s="14"/>
      <c r="CG891" s="14"/>
      <c r="CH891" s="14"/>
      <c r="CI891" s="14"/>
      <c r="CJ891" s="12"/>
      <c r="CK891" s="14"/>
      <c r="CL891" s="16"/>
      <c r="CM891" s="14"/>
      <c r="CN891" s="12"/>
      <c r="CO891" s="14"/>
      <c r="CP891" s="16"/>
      <c r="CQ891" s="14"/>
      <c r="CR891" s="12"/>
      <c r="CS891" s="14"/>
      <c r="CT891" s="16"/>
      <c r="CU891" s="14"/>
      <c r="CV891" s="12"/>
      <c r="CW891" s="14"/>
      <c r="CX891" s="16"/>
      <c r="CY891" s="14"/>
      <c r="CZ891" s="12"/>
      <c r="DA891" s="14"/>
      <c r="DB891" s="16"/>
      <c r="DC891" s="14"/>
      <c r="DD891" s="12"/>
      <c r="DE891" s="14"/>
      <c r="DF891" s="16"/>
      <c r="DG891" s="14"/>
      <c r="DH891" s="12"/>
      <c r="DI891" s="14"/>
      <c r="DJ891" s="16"/>
      <c r="DK891" s="14"/>
      <c r="DL891" s="12"/>
      <c r="DM891" s="14"/>
      <c r="DN891" s="16"/>
      <c r="DO891" s="14"/>
      <c r="DP891" s="12"/>
      <c r="DQ891" s="14"/>
      <c r="DR891" s="16"/>
      <c r="DS891" s="14"/>
      <c r="DT891" s="12"/>
      <c r="DU891" s="14"/>
      <c r="DV891" s="16"/>
      <c r="DW891" s="14"/>
      <c r="DX891" s="12"/>
      <c r="DY891" s="14"/>
      <c r="DZ891" s="16"/>
      <c r="EA891" s="14"/>
      <c r="EB891" s="12"/>
      <c r="EC891" s="14"/>
      <c r="ED891" s="16"/>
      <c r="EE891" s="14"/>
      <c r="EF891" s="12"/>
      <c r="EG891" s="12"/>
      <c r="EH891" s="14"/>
      <c r="EI891" s="16"/>
      <c r="EJ891" s="14"/>
      <c r="EK891" s="14">
        <v>1353</v>
      </c>
      <c r="EL891" s="14">
        <v>179</v>
      </c>
      <c r="EM891" s="14">
        <v>1532</v>
      </c>
      <c r="EN891" s="14">
        <v>967</v>
      </c>
      <c r="EO891" s="14">
        <v>1451</v>
      </c>
      <c r="EP891" s="14">
        <v>2418</v>
      </c>
      <c r="EQ891" s="12" t="s">
        <v>319</v>
      </c>
      <c r="ER891" s="14"/>
      <c r="ES891" s="16"/>
      <c r="ET891" s="14"/>
      <c r="EU891" s="11" t="s">
        <v>319</v>
      </c>
      <c r="EV891" s="14"/>
      <c r="EW891" s="16"/>
      <c r="EX891" s="14"/>
      <c r="EY891" s="12" t="s">
        <v>319</v>
      </c>
      <c r="EZ891" s="14"/>
      <c r="FA891" s="16"/>
      <c r="FB891" s="14"/>
      <c r="FC891" s="12" t="s">
        <v>319</v>
      </c>
      <c r="FD891" s="14"/>
      <c r="FE891" s="16"/>
      <c r="FF891" s="14"/>
      <c r="FG891" s="12" t="s">
        <v>319</v>
      </c>
      <c r="FH891" s="14"/>
      <c r="FI891" s="16"/>
      <c r="FJ891" s="14"/>
      <c r="FK891" s="12" t="s">
        <v>319</v>
      </c>
      <c r="FL891" s="14"/>
      <c r="FM891" s="16"/>
      <c r="FN891" s="14"/>
      <c r="FO891" s="12" t="s">
        <v>319</v>
      </c>
      <c r="FP891" s="14"/>
      <c r="FQ891" s="16"/>
      <c r="FR891" s="14"/>
      <c r="FS891" s="12" t="s">
        <v>320</v>
      </c>
      <c r="FT891" s="14">
        <v>1532</v>
      </c>
      <c r="FU891" s="16">
        <v>0.88315926892950303</v>
      </c>
      <c r="FV891" s="14">
        <v>2418</v>
      </c>
      <c r="FW891" s="11" t="s">
        <v>320</v>
      </c>
      <c r="FX891" s="14">
        <v>322</v>
      </c>
      <c r="FY891" s="16">
        <v>0.44409937888198697</v>
      </c>
      <c r="FZ891" s="14">
        <v>644</v>
      </c>
      <c r="GA891" s="12" t="s">
        <v>319</v>
      </c>
      <c r="GB891" s="14"/>
      <c r="GC891" s="16"/>
      <c r="GD891" s="14"/>
      <c r="GE891" s="12" t="s">
        <v>319</v>
      </c>
      <c r="GF891" s="14"/>
      <c r="GG891" s="16"/>
      <c r="GH891" s="14"/>
      <c r="GI891" s="12" t="s">
        <v>319</v>
      </c>
      <c r="GJ891" s="14"/>
      <c r="GK891" s="16"/>
      <c r="GL891" s="14"/>
      <c r="GM891" s="12" t="s">
        <v>319</v>
      </c>
      <c r="GN891" s="14"/>
      <c r="GO891" s="16"/>
      <c r="GP891" s="14"/>
      <c r="GQ891" s="12" t="s">
        <v>319</v>
      </c>
      <c r="GR891" s="14"/>
      <c r="GS891" s="16"/>
      <c r="GT891" s="14"/>
      <c r="GU891" s="12" t="s">
        <v>319</v>
      </c>
      <c r="GV891" s="14"/>
      <c r="GW891" s="16"/>
      <c r="GX891" s="14"/>
      <c r="GY891" s="11" t="s">
        <v>320</v>
      </c>
      <c r="GZ891" s="14">
        <v>1532</v>
      </c>
      <c r="HA891" s="16">
        <v>0.88</v>
      </c>
      <c r="HB891" s="14">
        <v>2418</v>
      </c>
      <c r="HC891" s="12" t="s">
        <v>13444</v>
      </c>
      <c r="HD891" s="12" t="s">
        <v>320</v>
      </c>
      <c r="HE891" s="14">
        <v>552</v>
      </c>
      <c r="HF891" s="16">
        <v>0.41666666666666602</v>
      </c>
      <c r="HG891" s="14">
        <v>230</v>
      </c>
      <c r="HH891" s="12" t="s">
        <v>320</v>
      </c>
      <c r="HI891" s="12" t="s">
        <v>431</v>
      </c>
      <c r="HJ891" s="12">
        <v>2017</v>
      </c>
      <c r="HK891" s="12" t="s">
        <v>320</v>
      </c>
      <c r="HL891" s="12" t="s">
        <v>319</v>
      </c>
      <c r="HM891" s="12"/>
      <c r="HN891" s="12"/>
      <c r="HO891" s="12"/>
      <c r="HP891" s="12" t="s">
        <v>330</v>
      </c>
      <c r="HQ891" s="12" t="s">
        <v>319</v>
      </c>
      <c r="HR891" s="12" t="s">
        <v>320</v>
      </c>
      <c r="HS891" s="12" t="s">
        <v>320</v>
      </c>
      <c r="HT891" s="12" t="s">
        <v>320</v>
      </c>
      <c r="HU891" s="12" t="s">
        <v>320</v>
      </c>
      <c r="HV891" s="12" t="s">
        <v>319</v>
      </c>
      <c r="HW891" s="12" t="s">
        <v>320</v>
      </c>
      <c r="HX891" s="12" t="s">
        <v>319</v>
      </c>
      <c r="HY891" s="12"/>
      <c r="HZ891" s="12" t="s">
        <v>363</v>
      </c>
      <c r="IA891" s="12"/>
      <c r="IB891" s="12" t="s">
        <v>396</v>
      </c>
      <c r="IC891" s="12" t="s">
        <v>13445</v>
      </c>
      <c r="ID891" s="12" t="s">
        <v>334</v>
      </c>
      <c r="IE891" s="12" t="s">
        <v>478</v>
      </c>
      <c r="IF891" s="12" t="s">
        <v>320</v>
      </c>
      <c r="IG891" s="12" t="s">
        <v>320</v>
      </c>
      <c r="IH891" s="12" t="s">
        <v>320</v>
      </c>
      <c r="II891" s="12" t="s">
        <v>320</v>
      </c>
      <c r="IJ891" s="12" t="str">
        <f t="shared" si="602"/>
        <v>4. Transformative</v>
      </c>
      <c r="IK891" s="12">
        <f t="shared" si="561"/>
        <v>4</v>
      </c>
      <c r="IL891" s="11" t="s">
        <v>621</v>
      </c>
      <c r="IM891" s="12" t="s">
        <v>319</v>
      </c>
      <c r="IN891" s="12" t="s">
        <v>320</v>
      </c>
      <c r="IO891" s="12" t="s">
        <v>320</v>
      </c>
      <c r="IP891" s="12" t="s">
        <v>319</v>
      </c>
      <c r="IQ891" s="12" t="str">
        <f t="shared" si="562"/>
        <v>3. Responsive</v>
      </c>
      <c r="IR891" s="12">
        <f t="shared" si="563"/>
        <v>2</v>
      </c>
      <c r="IS891" s="12"/>
      <c r="IT891" s="12"/>
      <c r="IU891" s="12"/>
      <c r="IV891" s="12"/>
      <c r="IW891" s="11" t="str">
        <f t="shared" si="564"/>
        <v>No marker score</v>
      </c>
      <c r="IX891" s="12">
        <f t="shared" si="565"/>
        <v>0</v>
      </c>
      <c r="IY891" s="12" t="s">
        <v>338</v>
      </c>
      <c r="IZ891" s="12" t="s">
        <v>457</v>
      </c>
      <c r="JA891" s="12">
        <v>5</v>
      </c>
      <c r="JB891" s="12" t="s">
        <v>687</v>
      </c>
      <c r="JC891" s="12" t="s">
        <v>623</v>
      </c>
      <c r="JD891" s="12" t="s">
        <v>433</v>
      </c>
      <c r="JE891" s="12" t="s">
        <v>340</v>
      </c>
      <c r="JF891" s="12" t="s">
        <v>13446</v>
      </c>
      <c r="JG891" s="12"/>
      <c r="JH891" s="12" t="s">
        <v>13447</v>
      </c>
      <c r="JI891" s="12" t="s">
        <v>13448</v>
      </c>
      <c r="JJ891" s="12"/>
      <c r="JK891" s="12" t="s">
        <v>13449</v>
      </c>
      <c r="JL891" s="12" t="s">
        <v>13450</v>
      </c>
      <c r="JM891" s="12" t="s">
        <v>13451</v>
      </c>
      <c r="JN891" s="12"/>
      <c r="JO891" s="12" t="s">
        <v>13452</v>
      </c>
      <c r="JP891" s="15">
        <f t="shared" si="566"/>
        <v>1532</v>
      </c>
      <c r="JQ891" s="15">
        <f t="shared" si="567"/>
        <v>2418</v>
      </c>
      <c r="JR891" s="279">
        <f t="shared" si="568"/>
        <v>1.5783289817232375</v>
      </c>
      <c r="JS891" s="17">
        <f t="shared" si="569"/>
        <v>0.88315926892950392</v>
      </c>
      <c r="JT891" s="18">
        <f t="shared" si="570"/>
        <v>0.39991728701406121</v>
      </c>
      <c r="JU891" s="280">
        <f t="shared" si="571"/>
        <v>1353</v>
      </c>
      <c r="JV891" s="280">
        <f t="shared" si="572"/>
        <v>967</v>
      </c>
      <c r="JW891" s="319" t="str">
        <f t="shared" si="573"/>
        <v/>
      </c>
      <c r="JX891" s="15">
        <f t="shared" si="574"/>
        <v>0</v>
      </c>
      <c r="JY891" s="15">
        <f t="shared" si="575"/>
        <v>0</v>
      </c>
      <c r="JZ891" s="19" t="str">
        <f t="shared" si="576"/>
        <v/>
      </c>
      <c r="KA891" s="52" t="str">
        <f t="shared" si="577"/>
        <v/>
      </c>
      <c r="KB891" s="15">
        <f t="shared" si="578"/>
        <v>0</v>
      </c>
      <c r="KC891" s="15">
        <f t="shared" si="579"/>
        <v>0</v>
      </c>
      <c r="KD891" s="20" t="str">
        <f t="shared" si="580"/>
        <v/>
      </c>
      <c r="KE891" s="52" t="str">
        <f t="shared" si="581"/>
        <v/>
      </c>
      <c r="KF891" s="15">
        <f t="shared" si="582"/>
        <v>0</v>
      </c>
      <c r="KG891" s="15">
        <f t="shared" si="583"/>
        <v>0</v>
      </c>
      <c r="KH891" s="21" t="str">
        <f t="shared" si="584"/>
        <v/>
      </c>
      <c r="KI891" s="52">
        <f t="shared" si="585"/>
        <v>1</v>
      </c>
      <c r="KJ891" s="15">
        <f t="shared" si="586"/>
        <v>1532</v>
      </c>
      <c r="KK891" s="15">
        <f t="shared" si="587"/>
        <v>2418</v>
      </c>
      <c r="KL891" s="19">
        <f t="shared" si="588"/>
        <v>1.5783289817232375</v>
      </c>
      <c r="KM891" s="52">
        <f t="shared" si="589"/>
        <v>1</v>
      </c>
      <c r="KN891" s="22">
        <f t="shared" si="590"/>
        <v>1532</v>
      </c>
      <c r="KO891" s="22">
        <f t="shared" si="591"/>
        <v>2418</v>
      </c>
      <c r="KP891" s="19">
        <f t="shared" si="592"/>
        <v>1.5783289817232375</v>
      </c>
      <c r="KQ891" s="11" t="str">
        <f t="shared" si="593"/>
        <v>4. Transformative</v>
      </c>
      <c r="KR891" s="11" t="str">
        <f t="shared" si="594"/>
        <v>3. Responsive</v>
      </c>
      <c r="KS891" s="11" t="str">
        <f t="shared" si="595"/>
        <v>No marker score</v>
      </c>
      <c r="KT891" s="11" t="str">
        <f t="shared" si="596"/>
        <v>It did not develop any specific innovation</v>
      </c>
      <c r="KU891" s="11" t="str">
        <f t="shared" si="597"/>
        <v>Moderate advocacy</v>
      </c>
      <c r="KV891" s="11" t="str">
        <f t="shared" si="598"/>
        <v>It linked and worked with strategic alliances and partners to take tested and effective solutions to scale</v>
      </c>
      <c r="KW891" s="11" t="str">
        <f t="shared" si="599"/>
        <v>Vietnam - Nang Quyen (Empowerment) in Vietnam</v>
      </c>
      <c r="KX891" s="11" t="str">
        <f t="shared" si="600"/>
        <v>Nang Quyen (Empowerment) in Vietnam</v>
      </c>
      <c r="KY891" s="11" t="str">
        <f t="shared" si="601"/>
        <v>Vietnam</v>
      </c>
      <c r="KZ891" s="12">
        <v>892</v>
      </c>
    </row>
    <row r="892" spans="1:312" x14ac:dyDescent="0.3">
      <c r="A892" s="12" t="s">
        <v>13409</v>
      </c>
      <c r="B892" s="12" t="s">
        <v>306</v>
      </c>
      <c r="C892" s="12">
        <v>3444</v>
      </c>
      <c r="D892" s="12" t="s">
        <v>13592</v>
      </c>
      <c r="E892" s="277" t="str">
        <f t="shared" si="559"/>
        <v>Vietnam</v>
      </c>
      <c r="F892" s="12" t="s">
        <v>13593</v>
      </c>
      <c r="G892" s="12" t="s">
        <v>379</v>
      </c>
      <c r="H892" s="12" t="s">
        <v>384</v>
      </c>
      <c r="I892" s="12" t="s">
        <v>384</v>
      </c>
      <c r="J892" s="281" t="s">
        <v>13594</v>
      </c>
      <c r="K892" s="12"/>
      <c r="L892" s="12"/>
      <c r="M892" s="12"/>
      <c r="N892" s="12"/>
      <c r="O892" s="12"/>
      <c r="P892" s="12"/>
      <c r="Q892" s="12"/>
      <c r="R892" s="12"/>
      <c r="S892" s="12"/>
      <c r="T892" s="12"/>
      <c r="U892" s="12"/>
      <c r="V892" s="12"/>
      <c r="W892" s="12"/>
      <c r="X892" s="12"/>
      <c r="Y892" s="12"/>
      <c r="Z892" s="12"/>
      <c r="AA892" s="12"/>
      <c r="AB892" s="12"/>
      <c r="AC892" s="12"/>
      <c r="AD892" s="12"/>
      <c r="BD892" s="13">
        <v>42401</v>
      </c>
      <c r="BE892" s="13">
        <v>42581</v>
      </c>
      <c r="BF892" s="12"/>
      <c r="BG892" s="12" t="s">
        <v>312</v>
      </c>
      <c r="BH892" s="14">
        <v>29000</v>
      </c>
      <c r="BI892" s="12" t="s">
        <v>13434</v>
      </c>
      <c r="BJ892" s="12" t="s">
        <v>13413</v>
      </c>
      <c r="BK892" s="12" t="s">
        <v>13436</v>
      </c>
      <c r="BL892" s="12" t="s">
        <v>13595</v>
      </c>
      <c r="BM892" s="12" t="s">
        <v>13596</v>
      </c>
      <c r="BN892" s="12" t="s">
        <v>13597</v>
      </c>
      <c r="BO892" s="12" t="s">
        <v>319</v>
      </c>
      <c r="BP892" s="12" t="s">
        <v>320</v>
      </c>
      <c r="BQ892" s="12" t="s">
        <v>319</v>
      </c>
      <c r="BR892" s="12" t="s">
        <v>13598</v>
      </c>
      <c r="BS892" s="12" t="s">
        <v>357</v>
      </c>
      <c r="BT892" s="12" t="s">
        <v>13599</v>
      </c>
      <c r="BU892" s="12" t="s">
        <v>13600</v>
      </c>
      <c r="BV892" s="14">
        <v>15</v>
      </c>
      <c r="BW892" s="14">
        <v>2</v>
      </c>
      <c r="BX892" s="14">
        <v>17</v>
      </c>
      <c r="BY892" s="14">
        <v>34</v>
      </c>
      <c r="BZ892" s="14">
        <v>34</v>
      </c>
      <c r="CA892" s="14">
        <v>68</v>
      </c>
      <c r="CB892" s="12" t="s">
        <v>13601</v>
      </c>
      <c r="CD892" s="14"/>
      <c r="CE892" s="14"/>
      <c r="CF892" s="14"/>
      <c r="CG892" s="14"/>
      <c r="CH892" s="14"/>
      <c r="CI892" s="14"/>
      <c r="CJ892" s="12"/>
      <c r="CK892" s="14"/>
      <c r="CL892" s="16"/>
      <c r="CM892" s="14"/>
      <c r="CN892" s="12"/>
      <c r="CO892" s="14"/>
      <c r="CP892" s="16"/>
      <c r="CQ892" s="14"/>
      <c r="CR892" s="12"/>
      <c r="CS892" s="14"/>
      <c r="CT892" s="16"/>
      <c r="CU892" s="14"/>
      <c r="CV892" s="12"/>
      <c r="CW892" s="14"/>
      <c r="CX892" s="16"/>
      <c r="CY892" s="14"/>
      <c r="CZ892" s="12"/>
      <c r="DA892" s="14"/>
      <c r="DB892" s="16"/>
      <c r="DC892" s="14"/>
      <c r="DD892" s="12"/>
      <c r="DE892" s="14"/>
      <c r="DF892" s="16"/>
      <c r="DG892" s="14"/>
      <c r="DH892" s="12"/>
      <c r="DI892" s="14"/>
      <c r="DJ892" s="16"/>
      <c r="DK892" s="14"/>
      <c r="DL892" s="12"/>
      <c r="DM892" s="14"/>
      <c r="DN892" s="16"/>
      <c r="DO892" s="14"/>
      <c r="DP892" s="12"/>
      <c r="DQ892" s="14"/>
      <c r="DR892" s="16"/>
      <c r="DS892" s="14"/>
      <c r="DT892" s="12"/>
      <c r="DU892" s="14"/>
      <c r="DV892" s="16"/>
      <c r="DW892" s="14"/>
      <c r="DX892" s="12"/>
      <c r="DY892" s="14"/>
      <c r="DZ892" s="16"/>
      <c r="EA892" s="14"/>
      <c r="EB892" s="12"/>
      <c r="EC892" s="14"/>
      <c r="ED892" s="16"/>
      <c r="EE892" s="14"/>
      <c r="EF892" s="12"/>
      <c r="EG892" s="12"/>
      <c r="EH892" s="14"/>
      <c r="EI892" s="16"/>
      <c r="EJ892" s="14"/>
      <c r="EK892" s="14">
        <v>15</v>
      </c>
      <c r="EL892" s="14">
        <v>2</v>
      </c>
      <c r="EM892" s="14">
        <v>17</v>
      </c>
      <c r="EN892" s="14">
        <v>60</v>
      </c>
      <c r="EO892" s="14">
        <v>8</v>
      </c>
      <c r="EP892" s="14">
        <v>68</v>
      </c>
      <c r="EQ892" s="12" t="s">
        <v>319</v>
      </c>
      <c r="ER892" s="14"/>
      <c r="ES892" s="16"/>
      <c r="ET892" s="14"/>
      <c r="EU892" s="11" t="s">
        <v>319</v>
      </c>
      <c r="EV892" s="14"/>
      <c r="EW892" s="16"/>
      <c r="EX892" s="14"/>
      <c r="EY892" s="12" t="s">
        <v>319</v>
      </c>
      <c r="EZ892" s="14"/>
      <c r="FA892" s="16"/>
      <c r="FB892" s="14"/>
      <c r="FC892" s="12" t="s">
        <v>319</v>
      </c>
      <c r="FD892" s="14"/>
      <c r="FE892" s="16"/>
      <c r="FF892" s="14"/>
      <c r="FG892" s="12" t="s">
        <v>319</v>
      </c>
      <c r="FH892" s="14"/>
      <c r="FI892" s="16"/>
      <c r="FJ892" s="14"/>
      <c r="FK892" s="12" t="s">
        <v>319</v>
      </c>
      <c r="FL892" s="14"/>
      <c r="FM892" s="16"/>
      <c r="FN892" s="14"/>
      <c r="FO892" s="12" t="s">
        <v>319</v>
      </c>
      <c r="FP892" s="14"/>
      <c r="FQ892" s="16"/>
      <c r="FR892" s="14"/>
      <c r="FS892" s="12" t="s">
        <v>319</v>
      </c>
      <c r="FT892" s="14"/>
      <c r="FU892" s="16"/>
      <c r="FV892" s="14"/>
      <c r="FW892" s="12" t="s">
        <v>319</v>
      </c>
      <c r="FX892" s="14"/>
      <c r="FY892" s="16"/>
      <c r="FZ892" s="14"/>
      <c r="GA892" s="12" t="s">
        <v>319</v>
      </c>
      <c r="GB892" s="14"/>
      <c r="GC892" s="16"/>
      <c r="GD892" s="14"/>
      <c r="GE892" s="12" t="s">
        <v>319</v>
      </c>
      <c r="GF892" s="14"/>
      <c r="GG892" s="16"/>
      <c r="GH892" s="14"/>
      <c r="GI892" s="12" t="s">
        <v>319</v>
      </c>
      <c r="GJ892" s="14"/>
      <c r="GK892" s="16"/>
      <c r="GL892" s="14"/>
      <c r="GM892" s="12" t="s">
        <v>319</v>
      </c>
      <c r="GN892" s="14"/>
      <c r="GO892" s="16"/>
      <c r="GP892" s="14"/>
      <c r="GQ892" s="12" t="s">
        <v>319</v>
      </c>
      <c r="GR892" s="14"/>
      <c r="GS892" s="16"/>
      <c r="GT892" s="14"/>
      <c r="GU892" s="12" t="s">
        <v>319</v>
      </c>
      <c r="GV892" s="14"/>
      <c r="GW892" s="16"/>
      <c r="GX892" s="14"/>
      <c r="GY892" s="11" t="s">
        <v>320</v>
      </c>
      <c r="GZ892" s="14">
        <v>17</v>
      </c>
      <c r="HA892" s="16">
        <v>0.88</v>
      </c>
      <c r="HB892" s="14">
        <v>68</v>
      </c>
      <c r="HC892" s="12"/>
      <c r="HD892" s="12"/>
      <c r="HE892" s="14"/>
      <c r="HF892" s="16"/>
      <c r="HG892" s="14"/>
      <c r="HH892" s="12" t="s">
        <v>319</v>
      </c>
      <c r="HI892" s="12"/>
      <c r="HJ892" s="12"/>
      <c r="HK892" s="12"/>
      <c r="HL892" s="12" t="s">
        <v>319</v>
      </c>
      <c r="HM892" s="12"/>
      <c r="HN892" s="12"/>
      <c r="HO892" s="12" t="s">
        <v>13602</v>
      </c>
      <c r="HP892" s="12" t="s">
        <v>418</v>
      </c>
      <c r="HQ892" s="12" t="s">
        <v>319</v>
      </c>
      <c r="HR892" s="12" t="s">
        <v>319</v>
      </c>
      <c r="HS892" s="12" t="s">
        <v>319</v>
      </c>
      <c r="HT892" s="12" t="s">
        <v>319</v>
      </c>
      <c r="HU892" s="12" t="s">
        <v>319</v>
      </c>
      <c r="HV892" s="12" t="s">
        <v>319</v>
      </c>
      <c r="HW892" s="12" t="s">
        <v>319</v>
      </c>
      <c r="HX892" s="12" t="s">
        <v>319</v>
      </c>
      <c r="HY892" s="12"/>
      <c r="HZ892" s="12" t="s">
        <v>394</v>
      </c>
      <c r="IA892" s="12" t="s">
        <v>13603</v>
      </c>
      <c r="IB892" s="12" t="s">
        <v>396</v>
      </c>
      <c r="IC892" s="12" t="s">
        <v>13604</v>
      </c>
      <c r="ID892" s="12" t="s">
        <v>364</v>
      </c>
      <c r="IE892" s="12" t="s">
        <v>335</v>
      </c>
      <c r="IF892" s="12" t="s">
        <v>319</v>
      </c>
      <c r="IG892" s="12" t="s">
        <v>319</v>
      </c>
      <c r="IH892" s="12" t="s">
        <v>319</v>
      </c>
      <c r="II892" s="12" t="s">
        <v>319</v>
      </c>
      <c r="IJ892" s="12" t="str">
        <f t="shared" si="602"/>
        <v>0. Harmful</v>
      </c>
      <c r="IK892" s="12">
        <f t="shared" si="561"/>
        <v>0</v>
      </c>
      <c r="IL892" s="12" t="s">
        <v>336</v>
      </c>
      <c r="IM892" s="12" t="s">
        <v>319</v>
      </c>
      <c r="IN892" s="12" t="s">
        <v>319</v>
      </c>
      <c r="IO892" s="12" t="s">
        <v>320</v>
      </c>
      <c r="IP892" s="12" t="s">
        <v>319</v>
      </c>
      <c r="IQ892" s="12" t="str">
        <f t="shared" si="562"/>
        <v>1. Tokenistic</v>
      </c>
      <c r="IR892" s="12">
        <f t="shared" si="563"/>
        <v>1</v>
      </c>
      <c r="IS892" s="12" t="s">
        <v>456</v>
      </c>
      <c r="IT892" s="12" t="s">
        <v>319</v>
      </c>
      <c r="IU892" s="12" t="s">
        <v>319</v>
      </c>
      <c r="IV892" s="12" t="s">
        <v>319</v>
      </c>
      <c r="IW892" s="11" t="str">
        <f t="shared" si="564"/>
        <v>0. Harmful</v>
      </c>
      <c r="IX892" s="12">
        <f t="shared" si="565"/>
        <v>0</v>
      </c>
      <c r="IY892" s="12" t="s">
        <v>338</v>
      </c>
      <c r="IZ892" s="12" t="s">
        <v>527</v>
      </c>
      <c r="JA892" s="12">
        <v>1</v>
      </c>
      <c r="JB892" s="12" t="s">
        <v>651</v>
      </c>
      <c r="JC892" s="12"/>
      <c r="JD892" s="12"/>
      <c r="JE892" s="12" t="s">
        <v>420</v>
      </c>
      <c r="JF892" s="12"/>
      <c r="JG892" s="12" t="s">
        <v>13605</v>
      </c>
      <c r="JH892" s="12" t="s">
        <v>13606</v>
      </c>
      <c r="JI892" s="12"/>
      <c r="JJ892" s="12"/>
      <c r="JK892" s="12" t="s">
        <v>13607</v>
      </c>
      <c r="JL892" s="12"/>
      <c r="JM892" s="12"/>
      <c r="JN892" s="12"/>
      <c r="JO892" s="12" t="s">
        <v>13608</v>
      </c>
      <c r="JP892" s="15">
        <f t="shared" si="566"/>
        <v>17</v>
      </c>
      <c r="JQ892" s="15">
        <f t="shared" si="567"/>
        <v>68</v>
      </c>
      <c r="JR892" s="279">
        <f t="shared" si="568"/>
        <v>4</v>
      </c>
      <c r="JS892" s="17">
        <f t="shared" si="569"/>
        <v>0.88235294117647056</v>
      </c>
      <c r="JT892" s="18">
        <f t="shared" si="570"/>
        <v>0.88235294117647056</v>
      </c>
      <c r="JU892" s="280">
        <f t="shared" si="571"/>
        <v>15</v>
      </c>
      <c r="JV892" s="280">
        <f t="shared" si="572"/>
        <v>60</v>
      </c>
      <c r="JW892" s="319" t="str">
        <f t="shared" si="573"/>
        <v/>
      </c>
      <c r="JX892" s="15">
        <f t="shared" si="574"/>
        <v>0</v>
      </c>
      <c r="JY892" s="15">
        <f t="shared" si="575"/>
        <v>0</v>
      </c>
      <c r="JZ892" s="19" t="str">
        <f t="shared" si="576"/>
        <v/>
      </c>
      <c r="KA892" s="52" t="str">
        <f t="shared" si="577"/>
        <v/>
      </c>
      <c r="KB892" s="15">
        <f t="shared" si="578"/>
        <v>0</v>
      </c>
      <c r="KC892" s="15">
        <f t="shared" si="579"/>
        <v>0</v>
      </c>
      <c r="KD892" s="20" t="str">
        <f t="shared" si="580"/>
        <v/>
      </c>
      <c r="KE892" s="52" t="str">
        <f t="shared" si="581"/>
        <v/>
      </c>
      <c r="KF892" s="15">
        <f t="shared" si="582"/>
        <v>0</v>
      </c>
      <c r="KG892" s="15">
        <f t="shared" si="583"/>
        <v>0</v>
      </c>
      <c r="KH892" s="21" t="str">
        <f t="shared" si="584"/>
        <v/>
      </c>
      <c r="KI892" s="52" t="str">
        <f t="shared" si="585"/>
        <v/>
      </c>
      <c r="KJ892" s="15">
        <f t="shared" si="586"/>
        <v>0</v>
      </c>
      <c r="KK892" s="15">
        <f t="shared" si="587"/>
        <v>0</v>
      </c>
      <c r="KL892" s="19" t="str">
        <f t="shared" si="588"/>
        <v/>
      </c>
      <c r="KM892" s="52">
        <f t="shared" si="589"/>
        <v>1</v>
      </c>
      <c r="KN892" s="22">
        <f t="shared" si="590"/>
        <v>17</v>
      </c>
      <c r="KO892" s="22">
        <f t="shared" si="591"/>
        <v>68</v>
      </c>
      <c r="KP892" s="19">
        <f t="shared" si="592"/>
        <v>4</v>
      </c>
      <c r="KQ892" s="11" t="str">
        <f t="shared" si="593"/>
        <v>0. Harmful</v>
      </c>
      <c r="KR892" s="11" t="str">
        <f t="shared" si="594"/>
        <v>1. Tokenistic</v>
      </c>
      <c r="KS892" s="11" t="str">
        <f t="shared" si="595"/>
        <v>0. Harmful</v>
      </c>
      <c r="KT892" s="11" t="str">
        <f t="shared" si="596"/>
        <v>It tested new ways for fighting poverty, but did not measure results of innovation</v>
      </c>
      <c r="KU892" s="11" t="str">
        <f t="shared" si="597"/>
        <v>Little or no advocacy</v>
      </c>
      <c r="KV892" s="11" t="str">
        <f t="shared" si="598"/>
        <v>It linked and worked with strategic alliances and partners to take tested and effective solutions to scale</v>
      </c>
      <c r="KW892" s="11" t="str">
        <f t="shared" si="599"/>
        <v>Vietnam - New Me! New skills and knowledge for improved livelihood security for Hanois waste-collectors.</v>
      </c>
      <c r="KX892" s="11" t="str">
        <f t="shared" si="600"/>
        <v>New Me! New skills and knowledge for improved livelihood security for Hanois waste-collectors.</v>
      </c>
      <c r="KY892" s="11" t="str">
        <f t="shared" si="601"/>
        <v>Vietnam</v>
      </c>
      <c r="KZ892" s="12">
        <v>893</v>
      </c>
    </row>
    <row r="893" spans="1:312" x14ac:dyDescent="0.3">
      <c r="A893" s="12" t="s">
        <v>13409</v>
      </c>
      <c r="B893" s="12" t="s">
        <v>306</v>
      </c>
      <c r="C893" s="12">
        <v>3444</v>
      </c>
      <c r="D893" s="12" t="s">
        <v>13609</v>
      </c>
      <c r="E893" s="277" t="str">
        <f t="shared" si="559"/>
        <v>Vietnam</v>
      </c>
      <c r="F893" s="12" t="s">
        <v>13610</v>
      </c>
      <c r="G893" s="12" t="s">
        <v>379</v>
      </c>
      <c r="H893" s="12" t="s">
        <v>384</v>
      </c>
      <c r="I893" s="12" t="s">
        <v>384</v>
      </c>
      <c r="J893" s="281" t="s">
        <v>13594</v>
      </c>
      <c r="K893" s="12" t="s">
        <v>13610</v>
      </c>
      <c r="L893" s="12" t="s">
        <v>379</v>
      </c>
      <c r="M893" s="12" t="s">
        <v>384</v>
      </c>
      <c r="N893" s="12" t="s">
        <v>384</v>
      </c>
      <c r="O893" s="12" t="s">
        <v>10509</v>
      </c>
      <c r="P893" s="12"/>
      <c r="Q893" s="12"/>
      <c r="R893" s="12"/>
      <c r="S893" s="12"/>
      <c r="T893" s="12"/>
      <c r="U893" s="12"/>
      <c r="V893" s="12"/>
      <c r="W893" s="12"/>
      <c r="X893" s="12"/>
      <c r="Y893" s="12"/>
      <c r="Z893" s="12"/>
      <c r="AA893" s="12"/>
      <c r="AB893" s="12"/>
      <c r="AC893" s="12"/>
      <c r="AD893" s="12"/>
      <c r="BD893" s="13">
        <v>42826</v>
      </c>
      <c r="BE893" s="13">
        <v>43190</v>
      </c>
      <c r="BF893" s="12"/>
      <c r="BG893" s="12" t="s">
        <v>312</v>
      </c>
      <c r="BH893" s="14">
        <v>45000</v>
      </c>
      <c r="BI893" s="12" t="s">
        <v>13595</v>
      </c>
      <c r="BJ893" s="12" t="s">
        <v>13596</v>
      </c>
      <c r="BK893" s="12" t="s">
        <v>13597</v>
      </c>
      <c r="BL893" s="12"/>
      <c r="BM893" s="12"/>
      <c r="BN893" s="12"/>
      <c r="BO893" s="12" t="s">
        <v>319</v>
      </c>
      <c r="BP893" s="12" t="s">
        <v>320</v>
      </c>
      <c r="BQ893" s="12" t="s">
        <v>319</v>
      </c>
      <c r="BR893" s="12" t="s">
        <v>13598</v>
      </c>
      <c r="BS893" s="12" t="s">
        <v>357</v>
      </c>
      <c r="BT893" s="12" t="s">
        <v>13599</v>
      </c>
      <c r="BU893" s="12" t="s">
        <v>13600</v>
      </c>
      <c r="BV893" s="14">
        <v>30</v>
      </c>
      <c r="BW893" s="14">
        <v>0</v>
      </c>
      <c r="BX893" s="14">
        <v>30</v>
      </c>
      <c r="BY893" s="14">
        <v>60</v>
      </c>
      <c r="BZ893" s="14">
        <v>60</v>
      </c>
      <c r="CA893" s="14">
        <v>120</v>
      </c>
      <c r="CB893" s="12" t="s">
        <v>13611</v>
      </c>
      <c r="CD893" s="14"/>
      <c r="CE893" s="14"/>
      <c r="CF893" s="14"/>
      <c r="CG893" s="14"/>
      <c r="CH893" s="14"/>
      <c r="CI893" s="14"/>
      <c r="CJ893" s="12"/>
      <c r="CK893" s="14"/>
      <c r="CL893" s="16"/>
      <c r="CM893" s="14"/>
      <c r="CN893" s="12"/>
      <c r="CO893" s="14"/>
      <c r="CP893" s="16"/>
      <c r="CQ893" s="14"/>
      <c r="CR893" s="12"/>
      <c r="CS893" s="14"/>
      <c r="CT893" s="16"/>
      <c r="CU893" s="14"/>
      <c r="CV893" s="12"/>
      <c r="CW893" s="14"/>
      <c r="CX893" s="16"/>
      <c r="CY893" s="14"/>
      <c r="CZ893" s="12"/>
      <c r="DA893" s="14"/>
      <c r="DB893" s="16"/>
      <c r="DC893" s="14"/>
      <c r="DD893" s="12"/>
      <c r="DE893" s="14"/>
      <c r="DF893" s="16"/>
      <c r="DG893" s="14"/>
      <c r="DH893" s="12"/>
      <c r="DI893" s="14"/>
      <c r="DJ893" s="16"/>
      <c r="DK893" s="14"/>
      <c r="DL893" s="12"/>
      <c r="DM893" s="14"/>
      <c r="DN893" s="16"/>
      <c r="DO893" s="14"/>
      <c r="DP893" s="12"/>
      <c r="DQ893" s="14"/>
      <c r="DR893" s="16"/>
      <c r="DS893" s="14"/>
      <c r="DT893" s="12"/>
      <c r="DU893" s="14"/>
      <c r="DV893" s="16"/>
      <c r="DW893" s="14"/>
      <c r="DX893" s="12"/>
      <c r="DY893" s="14"/>
      <c r="DZ893" s="16"/>
      <c r="EA893" s="14"/>
      <c r="EB893" s="12"/>
      <c r="EC893" s="14"/>
      <c r="ED893" s="16"/>
      <c r="EE893" s="14"/>
      <c r="EF893" s="12"/>
      <c r="EG893" s="12"/>
      <c r="EH893" s="14"/>
      <c r="EI893" s="16"/>
      <c r="EJ893" s="14"/>
      <c r="EK893" s="14">
        <v>30</v>
      </c>
      <c r="EL893" s="14">
        <v>0</v>
      </c>
      <c r="EM893" s="14">
        <v>30</v>
      </c>
      <c r="EN893" s="14">
        <v>120</v>
      </c>
      <c r="EO893" s="14">
        <v>0</v>
      </c>
      <c r="EP893" s="14">
        <v>120</v>
      </c>
      <c r="EQ893" s="12" t="s">
        <v>319</v>
      </c>
      <c r="ER893" s="14"/>
      <c r="ES893" s="16"/>
      <c r="ET893" s="14"/>
      <c r="EU893" s="11" t="s">
        <v>319</v>
      </c>
      <c r="EV893" s="14"/>
      <c r="EW893" s="16"/>
      <c r="EX893" s="14"/>
      <c r="EY893" s="12" t="s">
        <v>319</v>
      </c>
      <c r="EZ893" s="14"/>
      <c r="FA893" s="16"/>
      <c r="FB893" s="14"/>
      <c r="FC893" s="12" t="s">
        <v>319</v>
      </c>
      <c r="FD893" s="14"/>
      <c r="FE893" s="16"/>
      <c r="FF893" s="14"/>
      <c r="FG893" s="12" t="s">
        <v>319</v>
      </c>
      <c r="FH893" s="14"/>
      <c r="FI893" s="16"/>
      <c r="FJ893" s="14"/>
      <c r="FK893" s="12" t="s">
        <v>319</v>
      </c>
      <c r="FL893" s="14"/>
      <c r="FM893" s="16"/>
      <c r="FN893" s="14"/>
      <c r="FO893" s="12" t="s">
        <v>319</v>
      </c>
      <c r="FP893" s="14"/>
      <c r="FQ893" s="16"/>
      <c r="FR893" s="14"/>
      <c r="FS893" s="12" t="s">
        <v>319</v>
      </c>
      <c r="FT893" s="14"/>
      <c r="FU893" s="16"/>
      <c r="FV893" s="14"/>
      <c r="FW893" s="12" t="s">
        <v>319</v>
      </c>
      <c r="FX893" s="14"/>
      <c r="FY893" s="16"/>
      <c r="FZ893" s="14"/>
      <c r="GA893" s="12" t="s">
        <v>319</v>
      </c>
      <c r="GB893" s="14"/>
      <c r="GC893" s="16"/>
      <c r="GD893" s="14"/>
      <c r="GE893" s="12" t="s">
        <v>319</v>
      </c>
      <c r="GF893" s="14"/>
      <c r="GG893" s="16"/>
      <c r="GH893" s="14"/>
      <c r="GI893" s="12" t="s">
        <v>319</v>
      </c>
      <c r="GJ893" s="14"/>
      <c r="GK893" s="16"/>
      <c r="GL893" s="14"/>
      <c r="GM893" s="12" t="s">
        <v>319</v>
      </c>
      <c r="GN893" s="14"/>
      <c r="GO893" s="16"/>
      <c r="GP893" s="14"/>
      <c r="GQ893" s="12" t="s">
        <v>319</v>
      </c>
      <c r="GR893" s="14"/>
      <c r="GS893" s="16"/>
      <c r="GT893" s="14"/>
      <c r="GU893" s="12" t="s">
        <v>319</v>
      </c>
      <c r="GV893" s="14"/>
      <c r="GW893" s="16"/>
      <c r="GX893" s="14"/>
      <c r="GY893" s="11" t="s">
        <v>320</v>
      </c>
      <c r="GZ893" s="14">
        <v>30</v>
      </c>
      <c r="HA893" s="16">
        <v>0</v>
      </c>
      <c r="HB893" s="14">
        <v>120</v>
      </c>
      <c r="HC893" s="12"/>
      <c r="HD893" s="12"/>
      <c r="HE893" s="14"/>
      <c r="HF893" s="16"/>
      <c r="HG893" s="14"/>
      <c r="HH893" s="12" t="s">
        <v>319</v>
      </c>
      <c r="HI893" s="12"/>
      <c r="HJ893" s="12"/>
      <c r="HK893" s="12"/>
      <c r="HL893" s="12" t="s">
        <v>319</v>
      </c>
      <c r="HM893" s="12"/>
      <c r="HN893" s="12"/>
      <c r="HO893" s="12" t="s">
        <v>13612</v>
      </c>
      <c r="HP893" s="12" t="s">
        <v>418</v>
      </c>
      <c r="HQ893" s="12" t="s">
        <v>319</v>
      </c>
      <c r="HR893" s="12" t="s">
        <v>319</v>
      </c>
      <c r="HS893" s="12" t="s">
        <v>319</v>
      </c>
      <c r="HT893" s="12" t="s">
        <v>319</v>
      </c>
      <c r="HU893" s="12" t="s">
        <v>319</v>
      </c>
      <c r="HV893" s="12" t="s">
        <v>319</v>
      </c>
      <c r="HW893" s="12" t="s">
        <v>319</v>
      </c>
      <c r="HX893" s="12" t="s">
        <v>319</v>
      </c>
      <c r="HY893" s="12"/>
      <c r="HZ893" s="12" t="s">
        <v>394</v>
      </c>
      <c r="IA893" s="12" t="s">
        <v>13613</v>
      </c>
      <c r="IB893" s="12" t="s">
        <v>396</v>
      </c>
      <c r="IC893" s="12" t="s">
        <v>13614</v>
      </c>
      <c r="ID893" s="12" t="s">
        <v>364</v>
      </c>
      <c r="IE893" s="12" t="s">
        <v>335</v>
      </c>
      <c r="IF893" s="12" t="s">
        <v>319</v>
      </c>
      <c r="IG893" s="12" t="s">
        <v>319</v>
      </c>
      <c r="IH893" s="12" t="s">
        <v>319</v>
      </c>
      <c r="II893" s="12" t="s">
        <v>319</v>
      </c>
      <c r="IJ893" s="12" t="str">
        <f t="shared" si="602"/>
        <v>0. Harmful</v>
      </c>
      <c r="IK893" s="12">
        <f t="shared" si="561"/>
        <v>0</v>
      </c>
      <c r="IL893" s="12" t="s">
        <v>336</v>
      </c>
      <c r="IM893" s="12" t="s">
        <v>319</v>
      </c>
      <c r="IN893" s="12" t="s">
        <v>319</v>
      </c>
      <c r="IO893" s="12" t="s">
        <v>320</v>
      </c>
      <c r="IP893" s="12" t="s">
        <v>319</v>
      </c>
      <c r="IQ893" s="12" t="str">
        <f t="shared" si="562"/>
        <v>1. Tokenistic</v>
      </c>
      <c r="IR893" s="12">
        <f t="shared" si="563"/>
        <v>1</v>
      </c>
      <c r="IS893" s="12" t="s">
        <v>456</v>
      </c>
      <c r="IT893" s="12" t="s">
        <v>320</v>
      </c>
      <c r="IU893" s="12" t="s">
        <v>320</v>
      </c>
      <c r="IV893" s="12" t="s">
        <v>320</v>
      </c>
      <c r="IW893" s="11" t="str">
        <f t="shared" si="564"/>
        <v>0. Harmful</v>
      </c>
      <c r="IX893" s="12">
        <f t="shared" si="565"/>
        <v>3</v>
      </c>
      <c r="IY893" s="12" t="s">
        <v>338</v>
      </c>
      <c r="IZ893" s="12" t="s">
        <v>527</v>
      </c>
      <c r="JA893" s="12">
        <v>1</v>
      </c>
      <c r="JB893" s="12" t="s">
        <v>651</v>
      </c>
      <c r="JC893" s="12"/>
      <c r="JD893" s="12"/>
      <c r="JE893" s="12" t="s">
        <v>420</v>
      </c>
      <c r="JF893" s="12"/>
      <c r="JG893" s="12"/>
      <c r="JH893" s="12" t="s">
        <v>13615</v>
      </c>
      <c r="JI893" s="12"/>
      <c r="JJ893" s="12"/>
      <c r="JK893" s="12" t="s">
        <v>13615</v>
      </c>
      <c r="JL893" s="12"/>
      <c r="JM893" s="12"/>
      <c r="JN893" s="12"/>
      <c r="JO893" s="12" t="s">
        <v>13616</v>
      </c>
      <c r="JP893" s="15">
        <f t="shared" si="566"/>
        <v>30</v>
      </c>
      <c r="JQ893" s="15">
        <f t="shared" si="567"/>
        <v>120</v>
      </c>
      <c r="JR893" s="279">
        <f t="shared" si="568"/>
        <v>4</v>
      </c>
      <c r="JS893" s="17">
        <f t="shared" si="569"/>
        <v>1</v>
      </c>
      <c r="JT893" s="18">
        <f t="shared" si="570"/>
        <v>1</v>
      </c>
      <c r="JU893" s="280">
        <f t="shared" si="571"/>
        <v>30</v>
      </c>
      <c r="JV893" s="280">
        <f t="shared" si="572"/>
        <v>120</v>
      </c>
      <c r="JW893" s="319" t="str">
        <f t="shared" si="573"/>
        <v/>
      </c>
      <c r="JX893" s="15">
        <f t="shared" si="574"/>
        <v>0</v>
      </c>
      <c r="JY893" s="15">
        <f t="shared" si="575"/>
        <v>0</v>
      </c>
      <c r="JZ893" s="19" t="str">
        <f t="shared" si="576"/>
        <v/>
      </c>
      <c r="KA893" s="52" t="str">
        <f t="shared" si="577"/>
        <v/>
      </c>
      <c r="KB893" s="15">
        <f t="shared" si="578"/>
        <v>0</v>
      </c>
      <c r="KC893" s="15">
        <f t="shared" si="579"/>
        <v>0</v>
      </c>
      <c r="KD893" s="20" t="str">
        <f t="shared" si="580"/>
        <v/>
      </c>
      <c r="KE893" s="52" t="str">
        <f t="shared" si="581"/>
        <v/>
      </c>
      <c r="KF893" s="15">
        <f t="shared" si="582"/>
        <v>0</v>
      </c>
      <c r="KG893" s="15">
        <f t="shared" si="583"/>
        <v>0</v>
      </c>
      <c r="KH893" s="21" t="str">
        <f t="shared" si="584"/>
        <v/>
      </c>
      <c r="KI893" s="52" t="str">
        <f t="shared" si="585"/>
        <v/>
      </c>
      <c r="KJ893" s="15">
        <f t="shared" si="586"/>
        <v>0</v>
      </c>
      <c r="KK893" s="15">
        <f t="shared" si="587"/>
        <v>0</v>
      </c>
      <c r="KL893" s="19" t="str">
        <f t="shared" si="588"/>
        <v/>
      </c>
      <c r="KM893" s="52">
        <f t="shared" si="589"/>
        <v>1</v>
      </c>
      <c r="KN893" s="22">
        <f t="shared" si="590"/>
        <v>30</v>
      </c>
      <c r="KO893" s="22">
        <f t="shared" si="591"/>
        <v>120</v>
      </c>
      <c r="KP893" s="19">
        <f t="shared" si="592"/>
        <v>4</v>
      </c>
      <c r="KQ893" s="11" t="str">
        <f t="shared" si="593"/>
        <v>0. Harmful</v>
      </c>
      <c r="KR893" s="11" t="str">
        <f t="shared" si="594"/>
        <v>1. Tokenistic</v>
      </c>
      <c r="KS893" s="11" t="str">
        <f t="shared" si="595"/>
        <v>0. Harmful</v>
      </c>
      <c r="KT893" s="11" t="str">
        <f t="shared" si="596"/>
        <v>It tested new ways for fighting poverty, but did not measure results of innovation</v>
      </c>
      <c r="KU893" s="11" t="str">
        <f t="shared" si="597"/>
        <v>Little or no advocacy</v>
      </c>
      <c r="KV893" s="11" t="str">
        <f t="shared" si="598"/>
        <v>It linked and worked with strategic alliances and partners to take tested and effective solutions to scale</v>
      </c>
      <c r="KW893" s="11" t="str">
        <f t="shared" si="599"/>
        <v>Vietnam - New Me! Phase 2: Working Toward a Women-Led Enterprise in Used Goods Trading</v>
      </c>
      <c r="KX893" s="11" t="str">
        <f t="shared" si="600"/>
        <v>New Me! Phase 2: Working Toward a Women-Led Enterprise in Used Goods Trading</v>
      </c>
      <c r="KY893" s="11" t="str">
        <f t="shared" si="601"/>
        <v>Vietnam</v>
      </c>
      <c r="KZ893" s="12">
        <v>894</v>
      </c>
    </row>
    <row r="894" spans="1:312" x14ac:dyDescent="0.3">
      <c r="A894" s="12" t="s">
        <v>13409</v>
      </c>
      <c r="B894" s="12" t="s">
        <v>306</v>
      </c>
      <c r="C894" s="12"/>
      <c r="D894" s="12" t="s">
        <v>13693</v>
      </c>
      <c r="E894" s="277" t="str">
        <f t="shared" si="559"/>
        <v>Vietnam</v>
      </c>
      <c r="F894" s="12"/>
      <c r="G894" s="12" t="s">
        <v>608</v>
      </c>
      <c r="H894" s="12" t="s">
        <v>310</v>
      </c>
      <c r="I894" s="12" t="s">
        <v>7796</v>
      </c>
      <c r="J894" s="281" t="s">
        <v>7797</v>
      </c>
      <c r="K894" s="12"/>
      <c r="L894" s="12"/>
      <c r="M894" s="12"/>
      <c r="N894" s="12"/>
      <c r="O894" s="12"/>
      <c r="P894" s="12"/>
      <c r="Q894" s="12"/>
      <c r="R894" s="12"/>
      <c r="S894" s="12"/>
      <c r="T894" s="12"/>
      <c r="U894" s="12"/>
      <c r="V894" s="12"/>
      <c r="W894" s="12"/>
      <c r="X894" s="12"/>
      <c r="Y894" s="12"/>
      <c r="Z894" s="12"/>
      <c r="AA894" s="12"/>
      <c r="AB894" s="12"/>
      <c r="AC894" s="12"/>
      <c r="AD894" s="12"/>
      <c r="BD894" s="13">
        <v>42644</v>
      </c>
      <c r="BE894" s="13">
        <v>44134</v>
      </c>
      <c r="BF894" s="12"/>
      <c r="BG894" s="12" t="s">
        <v>749</v>
      </c>
      <c r="BH894" s="14">
        <v>7952285</v>
      </c>
      <c r="BI894" s="12" t="s">
        <v>13473</v>
      </c>
      <c r="BJ894" s="12" t="s">
        <v>13694</v>
      </c>
      <c r="BK894" s="12" t="s">
        <v>13695</v>
      </c>
      <c r="BL894" s="12" t="s">
        <v>13475</v>
      </c>
      <c r="BM894" s="12" t="s">
        <v>13696</v>
      </c>
      <c r="BN894" s="12" t="s">
        <v>13697</v>
      </c>
      <c r="BO894" s="12" t="s">
        <v>319</v>
      </c>
      <c r="BP894" s="12" t="s">
        <v>320</v>
      </c>
      <c r="BQ894" s="12" t="s">
        <v>319</v>
      </c>
      <c r="BR894" s="12" t="s">
        <v>13698</v>
      </c>
      <c r="BS894" s="12" t="s">
        <v>322</v>
      </c>
      <c r="BT894" s="12" t="s">
        <v>13699</v>
      </c>
      <c r="BU894" s="12" t="s">
        <v>13700</v>
      </c>
      <c r="BV894" s="14">
        <v>174</v>
      </c>
      <c r="BW894" s="14">
        <v>213</v>
      </c>
      <c r="BX894" s="14">
        <v>387</v>
      </c>
      <c r="BY894" s="14">
        <v>31868</v>
      </c>
      <c r="BZ894" s="14">
        <v>21246</v>
      </c>
      <c r="CA894" s="14">
        <v>53114</v>
      </c>
      <c r="CB894" s="12" t="s">
        <v>13701</v>
      </c>
      <c r="CD894" s="14"/>
      <c r="CE894" s="14"/>
      <c r="CF894" s="14"/>
      <c r="CG894" s="14"/>
      <c r="CH894" s="14"/>
      <c r="CI894" s="14"/>
      <c r="CJ894" s="12"/>
      <c r="CK894" s="14"/>
      <c r="CL894" s="16"/>
      <c r="CM894" s="14"/>
      <c r="CN894" s="12"/>
      <c r="CO894" s="14"/>
      <c r="CP894" s="16"/>
      <c r="CQ894" s="14"/>
      <c r="CR894" s="12"/>
      <c r="CS894" s="14"/>
      <c r="CT894" s="16"/>
      <c r="CU894" s="14"/>
      <c r="CV894" s="12"/>
      <c r="CW894" s="14"/>
      <c r="CX894" s="16"/>
      <c r="CY894" s="14"/>
      <c r="CZ894" s="12"/>
      <c r="DA894" s="14"/>
      <c r="DB894" s="16"/>
      <c r="DC894" s="14"/>
      <c r="DD894" s="12"/>
      <c r="DE894" s="14"/>
      <c r="DF894" s="16"/>
      <c r="DG894" s="14"/>
      <c r="DH894" s="12"/>
      <c r="DI894" s="14"/>
      <c r="DJ894" s="16"/>
      <c r="DK894" s="14"/>
      <c r="DL894" s="12"/>
      <c r="DM894" s="14"/>
      <c r="DN894" s="16"/>
      <c r="DO894" s="14"/>
      <c r="DP894" s="12"/>
      <c r="DQ894" s="14"/>
      <c r="DR894" s="16"/>
      <c r="DS894" s="14"/>
      <c r="DT894" s="12"/>
      <c r="DU894" s="14"/>
      <c r="DV894" s="16"/>
      <c r="DW894" s="14"/>
      <c r="DX894" s="12"/>
      <c r="DY894" s="14"/>
      <c r="DZ894" s="16"/>
      <c r="EA894" s="14"/>
      <c r="EB894" s="12"/>
      <c r="EC894" s="14"/>
      <c r="ED894" s="16"/>
      <c r="EE894" s="14"/>
      <c r="EF894" s="12"/>
      <c r="EG894" s="12"/>
      <c r="EH894" s="14"/>
      <c r="EI894" s="16"/>
      <c r="EJ894" s="14"/>
      <c r="EK894" s="14">
        <v>186</v>
      </c>
      <c r="EL894" s="14">
        <v>201</v>
      </c>
      <c r="EM894" s="14">
        <v>387</v>
      </c>
      <c r="EN894" s="14">
        <v>558</v>
      </c>
      <c r="EO894" s="14">
        <v>603</v>
      </c>
      <c r="EP894" s="14">
        <v>1161</v>
      </c>
      <c r="EQ894" s="12" t="s">
        <v>319</v>
      </c>
      <c r="ER894" s="14"/>
      <c r="ES894" s="16"/>
      <c r="ET894" s="14"/>
      <c r="EU894" s="11" t="s">
        <v>320</v>
      </c>
      <c r="EV894" s="14">
        <v>115</v>
      </c>
      <c r="EW894" s="16">
        <v>0.48</v>
      </c>
      <c r="EX894" s="14">
        <v>345</v>
      </c>
      <c r="EY894" s="12" t="s">
        <v>319</v>
      </c>
      <c r="EZ894" s="14"/>
      <c r="FA894" s="16"/>
      <c r="FB894" s="14"/>
      <c r="FC894" s="12" t="s">
        <v>319</v>
      </c>
      <c r="FD894" s="14"/>
      <c r="FE894" s="16"/>
      <c r="FF894" s="14"/>
      <c r="FG894" s="12" t="s">
        <v>319</v>
      </c>
      <c r="FH894" s="14"/>
      <c r="FI894" s="16"/>
      <c r="FJ894" s="14"/>
      <c r="FK894" s="12" t="s">
        <v>319</v>
      </c>
      <c r="FL894" s="14"/>
      <c r="FM894" s="16"/>
      <c r="FN894" s="14"/>
      <c r="FO894" s="12" t="s">
        <v>319</v>
      </c>
      <c r="FP894" s="14"/>
      <c r="FQ894" s="16"/>
      <c r="FR894" s="14"/>
      <c r="FS894" s="12" t="s">
        <v>319</v>
      </c>
      <c r="FT894" s="14"/>
      <c r="FU894" s="16"/>
      <c r="FV894" s="14"/>
      <c r="FW894" s="11" t="s">
        <v>320</v>
      </c>
      <c r="FX894" s="14">
        <v>115</v>
      </c>
      <c r="FY894" s="16">
        <v>0.48</v>
      </c>
      <c r="FZ894" s="14">
        <v>345</v>
      </c>
      <c r="GA894" s="12" t="s">
        <v>319</v>
      </c>
      <c r="GB894" s="14"/>
      <c r="GC894" s="16"/>
      <c r="GD894" s="14"/>
      <c r="GE894" s="12" t="s">
        <v>319</v>
      </c>
      <c r="GF894" s="14"/>
      <c r="GG894" s="16"/>
      <c r="GH894" s="14"/>
      <c r="GI894" s="12" t="s">
        <v>319</v>
      </c>
      <c r="GJ894" s="14"/>
      <c r="GK894" s="16"/>
      <c r="GL894" s="14"/>
      <c r="GM894" s="11" t="s">
        <v>320</v>
      </c>
      <c r="GN894" s="14">
        <v>387</v>
      </c>
      <c r="GO894" s="16">
        <v>0.48</v>
      </c>
      <c r="GP894" s="14">
        <v>1161</v>
      </c>
      <c r="GQ894" s="12" t="s">
        <v>319</v>
      </c>
      <c r="GR894" s="14"/>
      <c r="GS894" s="16"/>
      <c r="GT894" s="14"/>
      <c r="GU894" s="12" t="s">
        <v>319</v>
      </c>
      <c r="GV894" s="14"/>
      <c r="GW894" s="16"/>
      <c r="GX894" s="14"/>
      <c r="GY894" s="12" t="s">
        <v>319</v>
      </c>
      <c r="GZ894" s="14"/>
      <c r="HA894" s="16"/>
      <c r="HB894" s="14"/>
      <c r="HC894" s="12"/>
      <c r="HD894" s="12" t="s">
        <v>319</v>
      </c>
      <c r="HE894" s="14"/>
      <c r="HF894" s="16"/>
      <c r="HG894" s="14"/>
      <c r="HH894" s="12" t="s">
        <v>320</v>
      </c>
      <c r="HI894" s="12" t="s">
        <v>451</v>
      </c>
      <c r="HJ894" s="12">
        <v>2017</v>
      </c>
      <c r="HK894" s="12" t="s">
        <v>320</v>
      </c>
      <c r="HL894" s="12" t="s">
        <v>319</v>
      </c>
      <c r="HM894" s="12"/>
      <c r="HN894" s="12"/>
      <c r="HO894" s="12"/>
      <c r="HP894" s="12" t="s">
        <v>330</v>
      </c>
      <c r="HQ894" s="12" t="s">
        <v>319</v>
      </c>
      <c r="HR894" s="12"/>
      <c r="HS894" s="12" t="s">
        <v>320</v>
      </c>
      <c r="HT894" s="12" t="s">
        <v>320</v>
      </c>
      <c r="HU894" s="12" t="s">
        <v>320</v>
      </c>
      <c r="HV894" s="12" t="s">
        <v>320</v>
      </c>
      <c r="HW894" s="12" t="s">
        <v>319</v>
      </c>
      <c r="HX894" s="12"/>
      <c r="HY894" s="12"/>
      <c r="HZ894" s="12" t="s">
        <v>331</v>
      </c>
      <c r="IA894" s="12" t="s">
        <v>13702</v>
      </c>
      <c r="IB894" s="12" t="s">
        <v>396</v>
      </c>
      <c r="IC894" s="12" t="s">
        <v>13703</v>
      </c>
      <c r="ID894" s="12" t="s">
        <v>364</v>
      </c>
      <c r="IE894" s="12" t="s">
        <v>335</v>
      </c>
      <c r="IF894" s="12" t="s">
        <v>320</v>
      </c>
      <c r="IG894" s="12" t="s">
        <v>320</v>
      </c>
      <c r="IH894" s="12" t="s">
        <v>320</v>
      </c>
      <c r="II894" s="12" t="s">
        <v>320</v>
      </c>
      <c r="IJ894" s="12" t="str">
        <f t="shared" si="602"/>
        <v>2. Sensitive</v>
      </c>
      <c r="IK894" s="12">
        <f t="shared" si="561"/>
        <v>4</v>
      </c>
      <c r="IL894" s="11" t="s">
        <v>621</v>
      </c>
      <c r="IM894" s="12" t="s">
        <v>320</v>
      </c>
      <c r="IN894" s="12" t="s">
        <v>320</v>
      </c>
      <c r="IO894" s="12" t="s">
        <v>320</v>
      </c>
      <c r="IP894" s="12" t="s">
        <v>320</v>
      </c>
      <c r="IQ894" s="12" t="str">
        <f t="shared" si="562"/>
        <v>4. Transformational</v>
      </c>
      <c r="IR894" s="12">
        <f t="shared" si="563"/>
        <v>4</v>
      </c>
      <c r="IS894" s="12" t="s">
        <v>337</v>
      </c>
      <c r="IT894" s="12" t="s">
        <v>320</v>
      </c>
      <c r="IU894" s="12" t="s">
        <v>320</v>
      </c>
      <c r="IV894" s="12" t="s">
        <v>320</v>
      </c>
      <c r="IW894" s="11" t="str">
        <f t="shared" si="564"/>
        <v>2. Sensitive</v>
      </c>
      <c r="IX894" s="12">
        <f t="shared" si="565"/>
        <v>3</v>
      </c>
      <c r="IY894" s="12" t="s">
        <v>419</v>
      </c>
      <c r="IZ894" s="12" t="s">
        <v>527</v>
      </c>
      <c r="JA894" s="12">
        <v>6</v>
      </c>
      <c r="JB894" s="12" t="s">
        <v>623</v>
      </c>
      <c r="JC894" s="12" t="s">
        <v>651</v>
      </c>
      <c r="JD894" s="12" t="s">
        <v>687</v>
      </c>
      <c r="JE894" s="12" t="s">
        <v>340</v>
      </c>
      <c r="JF894" s="12" t="s">
        <v>13704</v>
      </c>
      <c r="JG894" s="12" t="s">
        <v>13705</v>
      </c>
      <c r="JH894" s="12" t="s">
        <v>13706</v>
      </c>
      <c r="JI894" s="12"/>
      <c r="JJ894" s="12"/>
      <c r="JK894" s="12" t="s">
        <v>13707</v>
      </c>
      <c r="JL894" s="12" t="s">
        <v>13708</v>
      </c>
      <c r="JM894" s="12" t="s">
        <v>13709</v>
      </c>
      <c r="JN894" s="12"/>
      <c r="JO894" s="12"/>
      <c r="JP894" s="15">
        <f t="shared" si="566"/>
        <v>387</v>
      </c>
      <c r="JQ894" s="15">
        <f t="shared" si="567"/>
        <v>1161</v>
      </c>
      <c r="JR894" s="279">
        <f t="shared" si="568"/>
        <v>3</v>
      </c>
      <c r="JS894" s="17">
        <f t="shared" si="569"/>
        <v>0.48062015503875971</v>
      </c>
      <c r="JT894" s="18">
        <f t="shared" si="570"/>
        <v>0.48062015503875971</v>
      </c>
      <c r="JU894" s="280">
        <f t="shared" si="571"/>
        <v>186</v>
      </c>
      <c r="JV894" s="280">
        <f t="shared" si="572"/>
        <v>558</v>
      </c>
      <c r="JW894" s="319" t="str">
        <f t="shared" si="573"/>
        <v/>
      </c>
      <c r="JX894" s="15">
        <f t="shared" si="574"/>
        <v>0</v>
      </c>
      <c r="JY894" s="15">
        <f t="shared" si="575"/>
        <v>0</v>
      </c>
      <c r="JZ894" s="19" t="str">
        <f t="shared" si="576"/>
        <v/>
      </c>
      <c r="KA894" s="52">
        <f t="shared" si="577"/>
        <v>1</v>
      </c>
      <c r="KB894" s="15">
        <f t="shared" si="578"/>
        <v>115</v>
      </c>
      <c r="KC894" s="15">
        <f t="shared" si="579"/>
        <v>345</v>
      </c>
      <c r="KD894" s="20">
        <f t="shared" si="580"/>
        <v>3</v>
      </c>
      <c r="KE894" s="52" t="str">
        <f t="shared" si="581"/>
        <v/>
      </c>
      <c r="KF894" s="15">
        <f t="shared" si="582"/>
        <v>0</v>
      </c>
      <c r="KG894" s="15">
        <f t="shared" si="583"/>
        <v>0</v>
      </c>
      <c r="KH894" s="21" t="str">
        <f t="shared" si="584"/>
        <v/>
      </c>
      <c r="KI894" s="52" t="str">
        <f t="shared" si="585"/>
        <v/>
      </c>
      <c r="KJ894" s="15">
        <f t="shared" si="586"/>
        <v>0</v>
      </c>
      <c r="KK894" s="15">
        <f t="shared" si="587"/>
        <v>0</v>
      </c>
      <c r="KL894" s="19" t="str">
        <f t="shared" si="588"/>
        <v/>
      </c>
      <c r="KM894" s="52" t="str">
        <f t="shared" si="589"/>
        <v/>
      </c>
      <c r="KN894" s="22">
        <f t="shared" si="590"/>
        <v>0</v>
      </c>
      <c r="KO894" s="22">
        <f t="shared" si="591"/>
        <v>0</v>
      </c>
      <c r="KP894" s="19" t="str">
        <f t="shared" si="592"/>
        <v/>
      </c>
      <c r="KQ894" s="11" t="str">
        <f t="shared" si="593"/>
        <v>2. Sensitive</v>
      </c>
      <c r="KR894" s="11" t="str">
        <f t="shared" si="594"/>
        <v>4. Transformational</v>
      </c>
      <c r="KS894" s="11" t="str">
        <f t="shared" si="595"/>
        <v>2. Sensitive</v>
      </c>
      <c r="KT894" s="11" t="str">
        <f t="shared" si="596"/>
        <v>It tested new ways for fighting poverty and measured results of innovation</v>
      </c>
      <c r="KU894" s="11" t="str">
        <f t="shared" si="597"/>
        <v>Moderate advocacy</v>
      </c>
      <c r="KV894" s="11" t="str">
        <f t="shared" si="598"/>
        <v>It linked and worked with strategic alliances and partners to take tested and effective solutions to scale</v>
      </c>
      <c r="KW894" s="11" t="str">
        <f t="shared" si="599"/>
        <v>Vietnam - Partnership for Ethnic minority's Equitable and Inclusive Development - P4EM</v>
      </c>
      <c r="KX894" s="11" t="str">
        <f t="shared" si="600"/>
        <v>Partnership for Ethnic minority's Equitable and Inclusive Development - P4EM</v>
      </c>
      <c r="KY894" s="11" t="str">
        <f t="shared" si="601"/>
        <v>Vietnam</v>
      </c>
      <c r="KZ894" s="12">
        <v>895</v>
      </c>
    </row>
    <row r="895" spans="1:312" x14ac:dyDescent="0.3">
      <c r="A895" s="12" t="s">
        <v>13409</v>
      </c>
      <c r="B895" s="12" t="s">
        <v>306</v>
      </c>
      <c r="C895" s="12">
        <v>3446</v>
      </c>
      <c r="D895" s="12" t="s">
        <v>13617</v>
      </c>
      <c r="E895" s="277" t="str">
        <f t="shared" si="559"/>
        <v>Vietnam</v>
      </c>
      <c r="F895" s="12" t="s">
        <v>13618</v>
      </c>
      <c r="G895" s="12" t="s">
        <v>379</v>
      </c>
      <c r="H895" s="12" t="s">
        <v>384</v>
      </c>
      <c r="I895" s="12" t="s">
        <v>384</v>
      </c>
      <c r="J895" s="278" t="s">
        <v>6003</v>
      </c>
      <c r="K895" s="12"/>
      <c r="L895" s="12"/>
      <c r="M895" s="12"/>
      <c r="N895" s="12"/>
      <c r="O895" s="12"/>
      <c r="P895" s="12"/>
      <c r="Q895" s="12"/>
      <c r="R895" s="12"/>
      <c r="S895" s="12"/>
      <c r="T895" s="12"/>
      <c r="U895" s="12"/>
      <c r="V895" s="12"/>
      <c r="W895" s="12"/>
      <c r="X895" s="12"/>
      <c r="Y895" s="12"/>
      <c r="Z895" s="12"/>
      <c r="AA895" s="12"/>
      <c r="AB895" s="12"/>
      <c r="AC895" s="12"/>
      <c r="AD895" s="12"/>
      <c r="BD895" s="13">
        <v>42767</v>
      </c>
      <c r="BE895" s="13">
        <v>43131</v>
      </c>
      <c r="BF895" s="12"/>
      <c r="BG895" s="12" t="s">
        <v>312</v>
      </c>
      <c r="BH895" s="14">
        <v>94975.93</v>
      </c>
      <c r="BI895" s="12" t="s">
        <v>13595</v>
      </c>
      <c r="BJ895" s="12" t="s">
        <v>13596</v>
      </c>
      <c r="BK895" s="12" t="s">
        <v>13597</v>
      </c>
      <c r="BL895" s="12" t="s">
        <v>13437</v>
      </c>
      <c r="BM895" s="12" t="s">
        <v>13619</v>
      </c>
      <c r="BN895" s="12" t="s">
        <v>13439</v>
      </c>
      <c r="BO895" s="12" t="s">
        <v>319</v>
      </c>
      <c r="BP895" s="12" t="s">
        <v>320</v>
      </c>
      <c r="BQ895" s="12" t="s">
        <v>319</v>
      </c>
      <c r="BR895" s="12" t="s">
        <v>13620</v>
      </c>
      <c r="BS895" s="12" t="s">
        <v>357</v>
      </c>
      <c r="BT895" s="12" t="s">
        <v>13599</v>
      </c>
      <c r="BU895" s="12" t="s">
        <v>13621</v>
      </c>
      <c r="BV895" s="14">
        <v>349</v>
      </c>
      <c r="BW895" s="14">
        <v>32</v>
      </c>
      <c r="BX895" s="14">
        <v>381</v>
      </c>
      <c r="BY895" s="14">
        <v>762</v>
      </c>
      <c r="BZ895" s="14">
        <v>762</v>
      </c>
      <c r="CA895" s="14">
        <v>1524</v>
      </c>
      <c r="CB895" s="12" t="s">
        <v>13622</v>
      </c>
      <c r="CD895" s="14"/>
      <c r="CE895" s="14"/>
      <c r="CF895" s="14"/>
      <c r="CG895" s="14"/>
      <c r="CH895" s="14"/>
      <c r="CI895" s="14">
        <v>0</v>
      </c>
      <c r="CJ895" s="12" t="s">
        <v>319</v>
      </c>
      <c r="CK895" s="14"/>
      <c r="CL895" s="16"/>
      <c r="CM895" s="14"/>
      <c r="CN895" s="12" t="s">
        <v>319</v>
      </c>
      <c r="CO895" s="14"/>
      <c r="CP895" s="16"/>
      <c r="CQ895" s="14"/>
      <c r="CR895" s="12" t="s">
        <v>319</v>
      </c>
      <c r="CS895" s="14"/>
      <c r="CT895" s="16"/>
      <c r="CU895" s="14"/>
      <c r="CV895" s="12"/>
      <c r="CW895" s="14"/>
      <c r="CX895" s="16"/>
      <c r="CY895" s="14"/>
      <c r="CZ895" s="12"/>
      <c r="DA895" s="14"/>
      <c r="DB895" s="16"/>
      <c r="DC895" s="14"/>
      <c r="DD895" s="12"/>
      <c r="DE895" s="14"/>
      <c r="DF895" s="16"/>
      <c r="DG895" s="14"/>
      <c r="DH895" s="12"/>
      <c r="DI895" s="14"/>
      <c r="DJ895" s="16"/>
      <c r="DK895" s="14"/>
      <c r="DL895" s="12"/>
      <c r="DM895" s="14"/>
      <c r="DN895" s="16"/>
      <c r="DO895" s="14"/>
      <c r="DP895" s="12"/>
      <c r="DQ895" s="14"/>
      <c r="DR895" s="16"/>
      <c r="DS895" s="14"/>
      <c r="DT895" s="12"/>
      <c r="DU895" s="14"/>
      <c r="DV895" s="16"/>
      <c r="DW895" s="14"/>
      <c r="DX895" s="12"/>
      <c r="DY895" s="14"/>
      <c r="DZ895" s="16"/>
      <c r="EA895" s="14"/>
      <c r="EB895" s="12"/>
      <c r="EC895" s="14"/>
      <c r="ED895" s="16"/>
      <c r="EE895" s="14"/>
      <c r="EF895" s="12"/>
      <c r="EG895" s="12"/>
      <c r="EH895" s="14"/>
      <c r="EI895" s="16"/>
      <c r="EJ895" s="14"/>
      <c r="EK895" s="14">
        <v>319</v>
      </c>
      <c r="EL895" s="14">
        <v>2</v>
      </c>
      <c r="EM895" s="14">
        <v>321</v>
      </c>
      <c r="EN895" s="14">
        <v>642</v>
      </c>
      <c r="EO895" s="14">
        <v>642</v>
      </c>
      <c r="EP895" s="14">
        <v>1284</v>
      </c>
      <c r="EQ895" s="12" t="s">
        <v>319</v>
      </c>
      <c r="ER895" s="14"/>
      <c r="ES895" s="16"/>
      <c r="ET895" s="14"/>
      <c r="EU895" s="11" t="s">
        <v>319</v>
      </c>
      <c r="EV895" s="14"/>
      <c r="EW895" s="16"/>
      <c r="EX895" s="14"/>
      <c r="EY895" s="12" t="s">
        <v>319</v>
      </c>
      <c r="EZ895" s="14"/>
      <c r="FA895" s="16"/>
      <c r="FB895" s="14"/>
      <c r="FC895" s="12" t="s">
        <v>319</v>
      </c>
      <c r="FD895" s="14"/>
      <c r="FE895" s="16"/>
      <c r="FF895" s="14"/>
      <c r="FG895" s="12" t="s">
        <v>319</v>
      </c>
      <c r="FH895" s="14"/>
      <c r="FI895" s="16"/>
      <c r="FJ895" s="14"/>
      <c r="FK895" s="12" t="s">
        <v>319</v>
      </c>
      <c r="FL895" s="14"/>
      <c r="FM895" s="16"/>
      <c r="FN895" s="14"/>
      <c r="FO895" s="12" t="s">
        <v>319</v>
      </c>
      <c r="FP895" s="14"/>
      <c r="FQ895" s="16"/>
      <c r="FR895" s="14"/>
      <c r="FS895" s="12" t="s">
        <v>319</v>
      </c>
      <c r="FT895" s="14"/>
      <c r="FU895" s="16"/>
      <c r="FV895" s="14"/>
      <c r="FW895" s="12" t="s">
        <v>319</v>
      </c>
      <c r="FX895" s="14"/>
      <c r="FY895" s="16"/>
      <c r="FZ895" s="14"/>
      <c r="GA895" s="12" t="s">
        <v>319</v>
      </c>
      <c r="GB895" s="14"/>
      <c r="GC895" s="16"/>
      <c r="GD895" s="14"/>
      <c r="GE895" s="12" t="s">
        <v>319</v>
      </c>
      <c r="GF895" s="14"/>
      <c r="GG895" s="16"/>
      <c r="GH895" s="14"/>
      <c r="GI895" s="12" t="s">
        <v>319</v>
      </c>
      <c r="GJ895" s="14"/>
      <c r="GK895" s="16"/>
      <c r="GL895" s="14"/>
      <c r="GM895" s="12" t="s">
        <v>319</v>
      </c>
      <c r="GN895" s="14"/>
      <c r="GO895" s="16"/>
      <c r="GP895" s="14"/>
      <c r="GQ895" s="12" t="s">
        <v>319</v>
      </c>
      <c r="GR895" s="14"/>
      <c r="GS895" s="16"/>
      <c r="GT895" s="14"/>
      <c r="GU895" s="12" t="s">
        <v>319</v>
      </c>
      <c r="GV895" s="14"/>
      <c r="GW895" s="16"/>
      <c r="GX895" s="14"/>
      <c r="GY895" s="11" t="s">
        <v>320</v>
      </c>
      <c r="GZ895" s="14">
        <v>321</v>
      </c>
      <c r="HA895" s="16">
        <v>1</v>
      </c>
      <c r="HB895" s="14">
        <v>1284</v>
      </c>
      <c r="HC895" s="12" t="s">
        <v>13623</v>
      </c>
      <c r="HD895" s="12" t="s">
        <v>320</v>
      </c>
      <c r="HE895" s="14">
        <v>321</v>
      </c>
      <c r="HF895" s="16">
        <v>1</v>
      </c>
      <c r="HG895" s="14">
        <v>1</v>
      </c>
      <c r="HH895" s="12" t="s">
        <v>319</v>
      </c>
      <c r="HI895" s="12"/>
      <c r="HJ895" s="12"/>
      <c r="HK895" s="12"/>
      <c r="HL895" s="12"/>
      <c r="HM895" s="12"/>
      <c r="HN895" s="12"/>
      <c r="HO895" s="12" t="s">
        <v>13624</v>
      </c>
      <c r="HP895" s="12" t="s">
        <v>330</v>
      </c>
      <c r="HQ895" s="12" t="s">
        <v>319</v>
      </c>
      <c r="HR895" s="12" t="s">
        <v>319</v>
      </c>
      <c r="HS895" s="12" t="s">
        <v>319</v>
      </c>
      <c r="HT895" s="12" t="s">
        <v>320</v>
      </c>
      <c r="HU895" s="12" t="s">
        <v>319</v>
      </c>
      <c r="HV895" s="12" t="s">
        <v>319</v>
      </c>
      <c r="HW895" s="12" t="s">
        <v>319</v>
      </c>
      <c r="HX895" s="12" t="s">
        <v>320</v>
      </c>
      <c r="HY895" s="12" t="s">
        <v>13625</v>
      </c>
      <c r="HZ895" s="12" t="s">
        <v>363</v>
      </c>
      <c r="IA895" s="12"/>
      <c r="IB895" s="12" t="s">
        <v>333</v>
      </c>
      <c r="IC895" s="12"/>
      <c r="ID895" s="12" t="s">
        <v>334</v>
      </c>
      <c r="IE895" s="12" t="s">
        <v>335</v>
      </c>
      <c r="IF895" s="12" t="s">
        <v>319</v>
      </c>
      <c r="IG895" s="12" t="s">
        <v>320</v>
      </c>
      <c r="IH895" s="12" t="s">
        <v>320</v>
      </c>
      <c r="II895" s="12" t="s">
        <v>319</v>
      </c>
      <c r="IJ895" s="12" t="str">
        <f t="shared" si="602"/>
        <v>1. Neutral</v>
      </c>
      <c r="IK895" s="12">
        <f t="shared" si="561"/>
        <v>2</v>
      </c>
      <c r="IL895" s="12" t="s">
        <v>336</v>
      </c>
      <c r="IM895" s="12" t="s">
        <v>319</v>
      </c>
      <c r="IN895" s="12" t="s">
        <v>320</v>
      </c>
      <c r="IO895" s="12" t="s">
        <v>320</v>
      </c>
      <c r="IP895" s="12" t="s">
        <v>319</v>
      </c>
      <c r="IQ895" s="12" t="str">
        <f t="shared" si="562"/>
        <v>1. Tokenistic</v>
      </c>
      <c r="IR895" s="12">
        <f t="shared" si="563"/>
        <v>2</v>
      </c>
      <c r="IS895" s="12" t="s">
        <v>337</v>
      </c>
      <c r="IT895" s="12" t="s">
        <v>319</v>
      </c>
      <c r="IU895" s="12" t="s">
        <v>320</v>
      </c>
      <c r="IV895" s="12" t="s">
        <v>319</v>
      </c>
      <c r="IW895" s="11" t="str">
        <f t="shared" si="564"/>
        <v>1. Neutral</v>
      </c>
      <c r="IX895" s="12">
        <f t="shared" si="565"/>
        <v>1</v>
      </c>
      <c r="IY895" s="12" t="s">
        <v>338</v>
      </c>
      <c r="IZ895" s="12" t="s">
        <v>457</v>
      </c>
      <c r="JA895" s="12">
        <v>2</v>
      </c>
      <c r="JB895" s="12" t="s">
        <v>651</v>
      </c>
      <c r="JC895" s="12"/>
      <c r="JD895" s="12"/>
      <c r="JE895" s="12" t="s">
        <v>365</v>
      </c>
      <c r="JF895" s="12" t="s">
        <v>13626</v>
      </c>
      <c r="JG895" s="12" t="s">
        <v>13627</v>
      </c>
      <c r="JH895" s="12" t="s">
        <v>13628</v>
      </c>
      <c r="JI895" s="12"/>
      <c r="JJ895" s="12"/>
      <c r="JK895" s="12" t="s">
        <v>13629</v>
      </c>
      <c r="JL895" s="12" t="s">
        <v>13630</v>
      </c>
      <c r="JM895" s="12" t="s">
        <v>13631</v>
      </c>
      <c r="JN895" s="12"/>
      <c r="JO895" s="12" t="s">
        <v>13632</v>
      </c>
      <c r="JP895" s="15">
        <f t="shared" si="566"/>
        <v>321</v>
      </c>
      <c r="JQ895" s="15">
        <f t="shared" si="567"/>
        <v>1284</v>
      </c>
      <c r="JR895" s="279">
        <f t="shared" si="568"/>
        <v>4</v>
      </c>
      <c r="JS895" s="17">
        <f t="shared" si="569"/>
        <v>0.99376947040498442</v>
      </c>
      <c r="JT895" s="18">
        <f t="shared" si="570"/>
        <v>0.5</v>
      </c>
      <c r="JU895" s="280">
        <f t="shared" si="571"/>
        <v>319</v>
      </c>
      <c r="JV895" s="280">
        <f t="shared" si="572"/>
        <v>642</v>
      </c>
      <c r="JW895" s="319" t="str">
        <f t="shared" si="573"/>
        <v/>
      </c>
      <c r="JX895" s="15">
        <f t="shared" si="574"/>
        <v>0</v>
      </c>
      <c r="JY895" s="15">
        <f t="shared" si="575"/>
        <v>0</v>
      </c>
      <c r="JZ895" s="19" t="str">
        <f t="shared" si="576"/>
        <v/>
      </c>
      <c r="KA895" s="52" t="str">
        <f t="shared" si="577"/>
        <v/>
      </c>
      <c r="KB895" s="15">
        <f t="shared" si="578"/>
        <v>0</v>
      </c>
      <c r="KC895" s="15">
        <f t="shared" si="579"/>
        <v>0</v>
      </c>
      <c r="KD895" s="20" t="str">
        <f t="shared" si="580"/>
        <v/>
      </c>
      <c r="KE895" s="52" t="str">
        <f t="shared" si="581"/>
        <v/>
      </c>
      <c r="KF895" s="15">
        <f t="shared" si="582"/>
        <v>0</v>
      </c>
      <c r="KG895" s="15">
        <f t="shared" si="583"/>
        <v>0</v>
      </c>
      <c r="KH895" s="21" t="str">
        <f t="shared" si="584"/>
        <v/>
      </c>
      <c r="KI895" s="52" t="str">
        <f t="shared" si="585"/>
        <v/>
      </c>
      <c r="KJ895" s="15">
        <f t="shared" si="586"/>
        <v>0</v>
      </c>
      <c r="KK895" s="15">
        <f t="shared" si="587"/>
        <v>0</v>
      </c>
      <c r="KL895" s="19" t="str">
        <f t="shared" si="588"/>
        <v/>
      </c>
      <c r="KM895" s="52">
        <f t="shared" si="589"/>
        <v>1</v>
      </c>
      <c r="KN895" s="22">
        <f t="shared" si="590"/>
        <v>321</v>
      </c>
      <c r="KO895" s="22">
        <f t="shared" si="591"/>
        <v>1284</v>
      </c>
      <c r="KP895" s="19">
        <f t="shared" si="592"/>
        <v>4</v>
      </c>
      <c r="KQ895" s="11" t="str">
        <f t="shared" si="593"/>
        <v>1. Neutral</v>
      </c>
      <c r="KR895" s="11" t="str">
        <f t="shared" si="594"/>
        <v>1. Tokenistic</v>
      </c>
      <c r="KS895" s="11" t="str">
        <f t="shared" si="595"/>
        <v>1. Neutral</v>
      </c>
      <c r="KT895" s="11" t="str">
        <f t="shared" si="596"/>
        <v>It did not develop any specific innovation</v>
      </c>
      <c r="KU895" s="11" t="str">
        <f t="shared" si="597"/>
        <v>Moderate advocacy</v>
      </c>
      <c r="KV895" s="11" t="str">
        <f t="shared" si="598"/>
        <v>It did not take tested solutions to scale</v>
      </c>
      <c r="KW895" s="11" t="str">
        <f t="shared" si="599"/>
        <v>Vietnam - Personal Advancement and Career Enhancement (P.A.C.E)</v>
      </c>
      <c r="KX895" s="11" t="str">
        <f t="shared" si="600"/>
        <v>Personal Advancement and Career Enhancement (P.A.C.E)</v>
      </c>
      <c r="KY895" s="11" t="str">
        <f t="shared" si="601"/>
        <v>Vietnam</v>
      </c>
      <c r="KZ895" s="12">
        <v>896</v>
      </c>
    </row>
    <row r="896" spans="1:312" x14ac:dyDescent="0.3">
      <c r="A896" s="12" t="s">
        <v>13409</v>
      </c>
      <c r="B896" s="12" t="s">
        <v>306</v>
      </c>
      <c r="C896" s="12">
        <v>3446</v>
      </c>
      <c r="D896" s="12" t="s">
        <v>13617</v>
      </c>
      <c r="E896" s="277" t="str">
        <f t="shared" si="559"/>
        <v>Vietnam</v>
      </c>
      <c r="F896" s="12" t="s">
        <v>13633</v>
      </c>
      <c r="G896" s="12" t="s">
        <v>379</v>
      </c>
      <c r="H896" s="12" t="s">
        <v>384</v>
      </c>
      <c r="I896" s="12" t="s">
        <v>384</v>
      </c>
      <c r="J896" s="278" t="s">
        <v>6003</v>
      </c>
      <c r="K896" s="12"/>
      <c r="L896" s="12"/>
      <c r="M896" s="12"/>
      <c r="N896" s="12"/>
      <c r="O896" s="12"/>
      <c r="P896" s="12"/>
      <c r="Q896" s="12"/>
      <c r="R896" s="12"/>
      <c r="S896" s="12"/>
      <c r="T896" s="12"/>
      <c r="U896" s="12"/>
      <c r="V896" s="12"/>
      <c r="W896" s="12"/>
      <c r="X896" s="12"/>
      <c r="Y896" s="12"/>
      <c r="Z896" s="12"/>
      <c r="AA896" s="12"/>
      <c r="AB896" s="12"/>
      <c r="AC896" s="12"/>
      <c r="AD896" s="12"/>
      <c r="BD896" s="13">
        <v>42278</v>
      </c>
      <c r="BE896" s="13">
        <v>42704</v>
      </c>
      <c r="BF896" s="12"/>
      <c r="BG896" s="12" t="s">
        <v>312</v>
      </c>
      <c r="BH896" s="14">
        <v>102904</v>
      </c>
      <c r="BI896" s="12" t="s">
        <v>13595</v>
      </c>
      <c r="BJ896" s="12" t="s">
        <v>13596</v>
      </c>
      <c r="BK896" s="12" t="s">
        <v>13597</v>
      </c>
      <c r="BL896" s="12" t="s">
        <v>13437</v>
      </c>
      <c r="BM896" s="12" t="s">
        <v>13619</v>
      </c>
      <c r="BN896" s="12" t="s">
        <v>13439</v>
      </c>
      <c r="BO896" s="12" t="s">
        <v>319</v>
      </c>
      <c r="BP896" s="12" t="s">
        <v>320</v>
      </c>
      <c r="BQ896" s="12" t="s">
        <v>319</v>
      </c>
      <c r="BR896" s="12" t="s">
        <v>13634</v>
      </c>
      <c r="BS896" s="12" t="s">
        <v>357</v>
      </c>
      <c r="BT896" s="12" t="s">
        <v>13599</v>
      </c>
      <c r="BU896" s="12" t="s">
        <v>13621</v>
      </c>
      <c r="BV896" s="14">
        <v>230</v>
      </c>
      <c r="BW896" s="14">
        <v>0</v>
      </c>
      <c r="BX896" s="14">
        <v>230</v>
      </c>
      <c r="BY896" s="14">
        <v>460</v>
      </c>
      <c r="BZ896" s="14">
        <v>460</v>
      </c>
      <c r="CA896" s="14">
        <v>920</v>
      </c>
      <c r="CB896" s="12" t="s">
        <v>13635</v>
      </c>
      <c r="CD896" s="14"/>
      <c r="CE896" s="14"/>
      <c r="CF896" s="14"/>
      <c r="CG896" s="14"/>
      <c r="CH896" s="14"/>
      <c r="CI896" s="14">
        <v>0</v>
      </c>
      <c r="CJ896" s="12" t="s">
        <v>319</v>
      </c>
      <c r="CK896" s="14"/>
      <c r="CL896" s="16"/>
      <c r="CM896" s="14"/>
      <c r="CN896" s="12" t="s">
        <v>319</v>
      </c>
      <c r="CO896" s="14"/>
      <c r="CP896" s="16"/>
      <c r="CQ896" s="14"/>
      <c r="CR896" s="12" t="s">
        <v>319</v>
      </c>
      <c r="CS896" s="14"/>
      <c r="CT896" s="16"/>
      <c r="CU896" s="14"/>
      <c r="CV896" s="12"/>
      <c r="CW896" s="14"/>
      <c r="CX896" s="16"/>
      <c r="CY896" s="14"/>
      <c r="CZ896" s="12"/>
      <c r="DA896" s="14"/>
      <c r="DB896" s="16"/>
      <c r="DC896" s="14"/>
      <c r="DD896" s="12"/>
      <c r="DE896" s="14"/>
      <c r="DF896" s="16"/>
      <c r="DG896" s="14"/>
      <c r="DH896" s="12"/>
      <c r="DI896" s="14"/>
      <c r="DJ896" s="16"/>
      <c r="DK896" s="14"/>
      <c r="DL896" s="12"/>
      <c r="DM896" s="14"/>
      <c r="DN896" s="16"/>
      <c r="DO896" s="14"/>
      <c r="DP896" s="12"/>
      <c r="DQ896" s="14"/>
      <c r="DR896" s="16"/>
      <c r="DS896" s="14"/>
      <c r="DT896" s="12"/>
      <c r="DU896" s="14"/>
      <c r="DV896" s="16"/>
      <c r="DW896" s="14"/>
      <c r="DX896" s="12"/>
      <c r="DY896" s="14"/>
      <c r="DZ896" s="16"/>
      <c r="EA896" s="14"/>
      <c r="EB896" s="12"/>
      <c r="EC896" s="14"/>
      <c r="ED896" s="16"/>
      <c r="EE896" s="14"/>
      <c r="EF896" s="12"/>
      <c r="EG896" s="12"/>
      <c r="EH896" s="14"/>
      <c r="EI896" s="16"/>
      <c r="EJ896" s="14"/>
      <c r="EK896" s="14">
        <v>230</v>
      </c>
      <c r="EL896" s="14">
        <v>0</v>
      </c>
      <c r="EM896" s="14">
        <v>230</v>
      </c>
      <c r="EN896" s="14">
        <v>460</v>
      </c>
      <c r="EO896" s="14">
        <v>460</v>
      </c>
      <c r="EP896" s="14">
        <v>920</v>
      </c>
      <c r="EQ896" s="12" t="s">
        <v>319</v>
      </c>
      <c r="ER896" s="14"/>
      <c r="ES896" s="16"/>
      <c r="ET896" s="14"/>
      <c r="EU896" s="11" t="s">
        <v>319</v>
      </c>
      <c r="EV896" s="14"/>
      <c r="EW896" s="16"/>
      <c r="EX896" s="14"/>
      <c r="EY896" s="12" t="s">
        <v>319</v>
      </c>
      <c r="EZ896" s="14"/>
      <c r="FA896" s="16"/>
      <c r="FB896" s="14"/>
      <c r="FC896" s="12" t="s">
        <v>319</v>
      </c>
      <c r="FD896" s="14"/>
      <c r="FE896" s="16"/>
      <c r="FF896" s="14"/>
      <c r="FG896" s="12" t="s">
        <v>319</v>
      </c>
      <c r="FH896" s="14"/>
      <c r="FI896" s="16"/>
      <c r="FJ896" s="14"/>
      <c r="FK896" s="12" t="s">
        <v>319</v>
      </c>
      <c r="FL896" s="14"/>
      <c r="FM896" s="16"/>
      <c r="FN896" s="14"/>
      <c r="FO896" s="12" t="s">
        <v>319</v>
      </c>
      <c r="FP896" s="14"/>
      <c r="FQ896" s="16"/>
      <c r="FR896" s="14"/>
      <c r="FS896" s="12" t="s">
        <v>319</v>
      </c>
      <c r="FT896" s="14"/>
      <c r="FU896" s="16"/>
      <c r="FV896" s="14"/>
      <c r="FW896" s="12" t="s">
        <v>319</v>
      </c>
      <c r="FX896" s="14"/>
      <c r="FY896" s="16"/>
      <c r="FZ896" s="14"/>
      <c r="GA896" s="12" t="s">
        <v>319</v>
      </c>
      <c r="GB896" s="14"/>
      <c r="GC896" s="16"/>
      <c r="GD896" s="14"/>
      <c r="GE896" s="12" t="s">
        <v>319</v>
      </c>
      <c r="GF896" s="14"/>
      <c r="GG896" s="16"/>
      <c r="GH896" s="14"/>
      <c r="GI896" s="12" t="s">
        <v>319</v>
      </c>
      <c r="GJ896" s="14"/>
      <c r="GK896" s="16"/>
      <c r="GL896" s="14"/>
      <c r="GM896" s="12" t="s">
        <v>319</v>
      </c>
      <c r="GN896" s="14"/>
      <c r="GO896" s="16"/>
      <c r="GP896" s="14"/>
      <c r="GQ896" s="12" t="s">
        <v>319</v>
      </c>
      <c r="GR896" s="14"/>
      <c r="GS896" s="16"/>
      <c r="GT896" s="14"/>
      <c r="GU896" s="12" t="s">
        <v>319</v>
      </c>
      <c r="GV896" s="14"/>
      <c r="GW896" s="16"/>
      <c r="GX896" s="14"/>
      <c r="GY896" s="11" t="s">
        <v>320</v>
      </c>
      <c r="GZ896" s="14">
        <v>230</v>
      </c>
      <c r="HA896" s="16">
        <v>1</v>
      </c>
      <c r="HB896" s="14">
        <v>920</v>
      </c>
      <c r="HC896" s="12" t="s">
        <v>13623</v>
      </c>
      <c r="HD896" s="12" t="s">
        <v>320</v>
      </c>
      <c r="HE896" s="14">
        <v>230</v>
      </c>
      <c r="HF896" s="16">
        <v>1</v>
      </c>
      <c r="HG896" s="14">
        <v>1</v>
      </c>
      <c r="HH896" s="12" t="s">
        <v>319</v>
      </c>
      <c r="HI896" s="12"/>
      <c r="HJ896" s="12"/>
      <c r="HK896" s="12"/>
      <c r="HL896" s="12"/>
      <c r="HM896" s="12"/>
      <c r="HN896" s="12"/>
      <c r="HO896" s="12" t="s">
        <v>13624</v>
      </c>
      <c r="HP896" s="12" t="s">
        <v>330</v>
      </c>
      <c r="HQ896" s="12" t="s">
        <v>319</v>
      </c>
      <c r="HR896" s="12" t="s">
        <v>319</v>
      </c>
      <c r="HS896" s="12" t="s">
        <v>319</v>
      </c>
      <c r="HT896" s="12" t="s">
        <v>320</v>
      </c>
      <c r="HU896" s="12" t="s">
        <v>319</v>
      </c>
      <c r="HV896" s="12" t="s">
        <v>319</v>
      </c>
      <c r="HW896" s="12" t="s">
        <v>319</v>
      </c>
      <c r="HX896" s="12" t="s">
        <v>320</v>
      </c>
      <c r="HY896" s="12" t="s">
        <v>13625</v>
      </c>
      <c r="HZ896" s="12" t="s">
        <v>363</v>
      </c>
      <c r="IA896" s="12"/>
      <c r="IB896" s="12" t="s">
        <v>333</v>
      </c>
      <c r="IC896" s="12"/>
      <c r="ID896" s="12" t="s">
        <v>334</v>
      </c>
      <c r="IE896" s="12" t="s">
        <v>335</v>
      </c>
      <c r="IF896" s="12" t="s">
        <v>319</v>
      </c>
      <c r="IG896" s="12" t="s">
        <v>320</v>
      </c>
      <c r="IH896" s="12" t="s">
        <v>320</v>
      </c>
      <c r="II896" s="12" t="s">
        <v>319</v>
      </c>
      <c r="IJ896" s="12" t="str">
        <f t="shared" si="602"/>
        <v>1. Neutral</v>
      </c>
      <c r="IK896" s="12">
        <f t="shared" si="561"/>
        <v>2</v>
      </c>
      <c r="IL896" s="12" t="s">
        <v>336</v>
      </c>
      <c r="IM896" s="12" t="s">
        <v>319</v>
      </c>
      <c r="IN896" s="12" t="s">
        <v>320</v>
      </c>
      <c r="IO896" s="12" t="s">
        <v>320</v>
      </c>
      <c r="IP896" s="12" t="s">
        <v>319</v>
      </c>
      <c r="IQ896" s="12" t="str">
        <f t="shared" si="562"/>
        <v>1. Tokenistic</v>
      </c>
      <c r="IR896" s="12">
        <f t="shared" si="563"/>
        <v>2</v>
      </c>
      <c r="IS896" s="12" t="s">
        <v>337</v>
      </c>
      <c r="IT896" s="12" t="s">
        <v>319</v>
      </c>
      <c r="IU896" s="12" t="s">
        <v>320</v>
      </c>
      <c r="IV896" s="12" t="s">
        <v>319</v>
      </c>
      <c r="IW896" s="11" t="str">
        <f t="shared" si="564"/>
        <v>1. Neutral</v>
      </c>
      <c r="IX896" s="12">
        <f t="shared" si="565"/>
        <v>1</v>
      </c>
      <c r="IY896" s="12" t="s">
        <v>338</v>
      </c>
      <c r="IZ896" s="12" t="s">
        <v>457</v>
      </c>
      <c r="JA896" s="12">
        <v>2</v>
      </c>
      <c r="JB896" s="12" t="s">
        <v>651</v>
      </c>
      <c r="JC896" s="12"/>
      <c r="JD896" s="12"/>
      <c r="JE896" s="12" t="s">
        <v>420</v>
      </c>
      <c r="JF896" s="12"/>
      <c r="JG896" s="12" t="s">
        <v>13636</v>
      </c>
      <c r="JH896" s="12" t="s">
        <v>13628</v>
      </c>
      <c r="JI896" s="12"/>
      <c r="JJ896" s="12"/>
      <c r="JK896" s="12" t="s">
        <v>13637</v>
      </c>
      <c r="JL896" s="12"/>
      <c r="JM896" s="12"/>
      <c r="JN896" s="12"/>
      <c r="JO896" s="12"/>
      <c r="JP896" s="15">
        <f t="shared" si="566"/>
        <v>230</v>
      </c>
      <c r="JQ896" s="15">
        <f t="shared" si="567"/>
        <v>920</v>
      </c>
      <c r="JR896" s="279">
        <f t="shared" si="568"/>
        <v>4</v>
      </c>
      <c r="JS896" s="17">
        <f t="shared" si="569"/>
        <v>1</v>
      </c>
      <c r="JT896" s="18">
        <f t="shared" si="570"/>
        <v>0.5</v>
      </c>
      <c r="JU896" s="280">
        <f t="shared" si="571"/>
        <v>230</v>
      </c>
      <c r="JV896" s="280">
        <f t="shared" si="572"/>
        <v>460</v>
      </c>
      <c r="JW896" s="319" t="str">
        <f t="shared" si="573"/>
        <v/>
      </c>
      <c r="JX896" s="15">
        <f t="shared" si="574"/>
        <v>0</v>
      </c>
      <c r="JY896" s="15">
        <f t="shared" si="575"/>
        <v>0</v>
      </c>
      <c r="JZ896" s="19" t="str">
        <f t="shared" si="576"/>
        <v/>
      </c>
      <c r="KA896" s="52" t="str">
        <f t="shared" si="577"/>
        <v/>
      </c>
      <c r="KB896" s="15">
        <f t="shared" si="578"/>
        <v>0</v>
      </c>
      <c r="KC896" s="15">
        <f t="shared" si="579"/>
        <v>0</v>
      </c>
      <c r="KD896" s="20" t="str">
        <f t="shared" si="580"/>
        <v/>
      </c>
      <c r="KE896" s="52" t="str">
        <f t="shared" si="581"/>
        <v/>
      </c>
      <c r="KF896" s="15">
        <f t="shared" si="582"/>
        <v>0</v>
      </c>
      <c r="KG896" s="15">
        <f t="shared" si="583"/>
        <v>0</v>
      </c>
      <c r="KH896" s="21" t="str">
        <f t="shared" si="584"/>
        <v/>
      </c>
      <c r="KI896" s="52" t="str">
        <f t="shared" si="585"/>
        <v/>
      </c>
      <c r="KJ896" s="15">
        <f t="shared" si="586"/>
        <v>0</v>
      </c>
      <c r="KK896" s="15">
        <f t="shared" si="587"/>
        <v>0</v>
      </c>
      <c r="KL896" s="19" t="str">
        <f t="shared" si="588"/>
        <v/>
      </c>
      <c r="KM896" s="52">
        <f t="shared" si="589"/>
        <v>1</v>
      </c>
      <c r="KN896" s="22">
        <f t="shared" si="590"/>
        <v>230</v>
      </c>
      <c r="KO896" s="22">
        <f t="shared" si="591"/>
        <v>920</v>
      </c>
      <c r="KP896" s="19">
        <f t="shared" si="592"/>
        <v>4</v>
      </c>
      <c r="KQ896" s="11" t="str">
        <f t="shared" si="593"/>
        <v>1. Neutral</v>
      </c>
      <c r="KR896" s="11" t="str">
        <f t="shared" si="594"/>
        <v>1. Tokenistic</v>
      </c>
      <c r="KS896" s="11" t="str">
        <f t="shared" si="595"/>
        <v>1. Neutral</v>
      </c>
      <c r="KT896" s="11" t="str">
        <f t="shared" si="596"/>
        <v>It did not develop any specific innovation</v>
      </c>
      <c r="KU896" s="11" t="str">
        <f t="shared" si="597"/>
        <v>Moderate advocacy</v>
      </c>
      <c r="KV896" s="11" t="str">
        <f t="shared" si="598"/>
        <v>It did not take tested solutions to scale</v>
      </c>
      <c r="KW896" s="11" t="str">
        <f t="shared" si="599"/>
        <v>Vietnam - Personal Advancement and Career Enhancement (P.A.C.E)</v>
      </c>
      <c r="KX896" s="11" t="str">
        <f t="shared" si="600"/>
        <v>Personal Advancement and Career Enhancement (P.A.C.E)</v>
      </c>
      <c r="KY896" s="11" t="str">
        <f t="shared" si="601"/>
        <v>Vietnam</v>
      </c>
      <c r="KZ896" s="12">
        <v>897</v>
      </c>
    </row>
    <row r="897" spans="1:312" x14ac:dyDescent="0.3">
      <c r="A897" s="12" t="s">
        <v>13409</v>
      </c>
      <c r="B897" s="12" t="s">
        <v>306</v>
      </c>
      <c r="C897" s="12">
        <v>3456</v>
      </c>
      <c r="D897" s="12" t="s">
        <v>13493</v>
      </c>
      <c r="E897" s="277" t="str">
        <f t="shared" ref="E897:E951" si="603">A897</f>
        <v>Vietnam</v>
      </c>
      <c r="F897" s="12" t="s">
        <v>13494</v>
      </c>
      <c r="G897" s="12" t="s">
        <v>1853</v>
      </c>
      <c r="H897" s="12" t="s">
        <v>380</v>
      </c>
      <c r="I897" s="12" t="s">
        <v>517</v>
      </c>
      <c r="J897" s="281" t="s">
        <v>14578</v>
      </c>
      <c r="K897" s="12"/>
      <c r="L897" s="12"/>
      <c r="M897" s="12"/>
      <c r="N897" s="12"/>
      <c r="O897" s="12"/>
      <c r="P897" s="12"/>
      <c r="Q897" s="12"/>
      <c r="R897" s="12"/>
      <c r="S897" s="12"/>
      <c r="T897" s="12"/>
      <c r="U897" s="12"/>
      <c r="V897" s="12"/>
      <c r="W897" s="12"/>
      <c r="X897" s="12"/>
      <c r="Y897" s="12"/>
      <c r="Z897" s="12"/>
      <c r="AA897" s="12"/>
      <c r="AB897" s="12"/>
      <c r="AC897" s="12"/>
      <c r="AD897" s="12"/>
      <c r="BD897" s="13">
        <v>42370</v>
      </c>
      <c r="BE897" s="13">
        <v>43465</v>
      </c>
      <c r="BF897" s="12"/>
      <c r="BG897" s="12" t="s">
        <v>350</v>
      </c>
      <c r="BH897" s="14">
        <v>641481</v>
      </c>
      <c r="BI897" s="12" t="s">
        <v>13473</v>
      </c>
      <c r="BJ897" s="12" t="s">
        <v>13413</v>
      </c>
      <c r="BK897" s="12" t="s">
        <v>13474</v>
      </c>
      <c r="BL897" s="12" t="s">
        <v>13475</v>
      </c>
      <c r="BM897" s="12" t="s">
        <v>13476</v>
      </c>
      <c r="BN897" s="12" t="s">
        <v>13477</v>
      </c>
      <c r="BO897" s="12" t="s">
        <v>319</v>
      </c>
      <c r="BP897" s="12" t="s">
        <v>320</v>
      </c>
      <c r="BQ897" s="12" t="s">
        <v>319</v>
      </c>
      <c r="BR897" s="12" t="s">
        <v>13495</v>
      </c>
      <c r="BS897" s="12" t="s">
        <v>322</v>
      </c>
      <c r="BT897" s="12" t="s">
        <v>13496</v>
      </c>
      <c r="BU897" s="12" t="s">
        <v>13497</v>
      </c>
      <c r="BV897" s="14">
        <v>570</v>
      </c>
      <c r="BW897" s="14">
        <v>641</v>
      </c>
      <c r="BX897" s="14">
        <v>1211</v>
      </c>
      <c r="BY897" s="14">
        <v>5859910</v>
      </c>
      <c r="BZ897" s="14">
        <v>6099090</v>
      </c>
      <c r="CA897" s="14">
        <v>11959000</v>
      </c>
      <c r="CB897" s="12" t="s">
        <v>13498</v>
      </c>
      <c r="CD897" s="14"/>
      <c r="CE897" s="14"/>
      <c r="CF897" s="14">
        <v>0</v>
      </c>
      <c r="CG897" s="14"/>
      <c r="CH897" s="14"/>
      <c r="CI897" s="14"/>
      <c r="CJ897" s="12"/>
      <c r="CK897" s="14"/>
      <c r="CL897" s="16"/>
      <c r="CM897" s="14"/>
      <c r="CN897" s="12"/>
      <c r="CO897" s="14"/>
      <c r="CP897" s="16"/>
      <c r="CQ897" s="14"/>
      <c r="CR897" s="12"/>
      <c r="CS897" s="14"/>
      <c r="CT897" s="16"/>
      <c r="CU897" s="14"/>
      <c r="CV897" s="12"/>
      <c r="CW897" s="14"/>
      <c r="CX897" s="16"/>
      <c r="CY897" s="14"/>
      <c r="CZ897" s="12"/>
      <c r="DA897" s="14"/>
      <c r="DB897" s="16"/>
      <c r="DC897" s="14"/>
      <c r="DD897" s="12"/>
      <c r="DE897" s="14"/>
      <c r="DF897" s="16"/>
      <c r="DG897" s="14"/>
      <c r="DH897" s="12"/>
      <c r="DI897" s="14"/>
      <c r="DJ897" s="16"/>
      <c r="DK897" s="14"/>
      <c r="DL897" s="12"/>
      <c r="DM897" s="14"/>
      <c r="DN897" s="16"/>
      <c r="DO897" s="14"/>
      <c r="DP897" s="12"/>
      <c r="DQ897" s="14"/>
      <c r="DR897" s="16"/>
      <c r="DS897" s="14"/>
      <c r="DT897" s="12"/>
      <c r="DU897" s="14"/>
      <c r="DV897" s="16"/>
      <c r="DW897" s="14"/>
      <c r="DX897" s="12"/>
      <c r="DY897" s="14"/>
      <c r="DZ897" s="16"/>
      <c r="EA897" s="14"/>
      <c r="EB897" s="12"/>
      <c r="EC897" s="14"/>
      <c r="ED897" s="16"/>
      <c r="EE897" s="14"/>
      <c r="EF897" s="12"/>
      <c r="EG897" s="12"/>
      <c r="EH897" s="14"/>
      <c r="EI897" s="16"/>
      <c r="EJ897" s="14"/>
      <c r="EK897" s="14">
        <v>570</v>
      </c>
      <c r="EL897" s="14">
        <v>671</v>
      </c>
      <c r="EM897" s="14">
        <v>1241</v>
      </c>
      <c r="EN897" s="38"/>
      <c r="EO897" s="38"/>
      <c r="EP897" s="38"/>
      <c r="EQ897" s="12" t="s">
        <v>319</v>
      </c>
      <c r="ER897" s="14"/>
      <c r="ES897" s="16"/>
      <c r="ET897" s="14"/>
      <c r="EU897" s="11" t="s">
        <v>319</v>
      </c>
      <c r="EV897" s="14"/>
      <c r="EW897" s="16"/>
      <c r="EX897" s="14"/>
      <c r="EY897" s="12" t="s">
        <v>319</v>
      </c>
      <c r="EZ897" s="14"/>
      <c r="FA897" s="16"/>
      <c r="FB897" s="14"/>
      <c r="FC897" s="12" t="s">
        <v>319</v>
      </c>
      <c r="FD897" s="14"/>
      <c r="FE897" s="16"/>
      <c r="FF897" s="14"/>
      <c r="FG897" s="12" t="s">
        <v>319</v>
      </c>
      <c r="FH897" s="14"/>
      <c r="FI897" s="16"/>
      <c r="FJ897" s="14"/>
      <c r="FK897" s="12" t="s">
        <v>319</v>
      </c>
      <c r="FL897" s="14"/>
      <c r="FM897" s="16"/>
      <c r="FN897" s="14"/>
      <c r="FO897" s="12" t="s">
        <v>319</v>
      </c>
      <c r="FP897" s="14"/>
      <c r="FQ897" s="16"/>
      <c r="FR897" s="14"/>
      <c r="FS897" s="12" t="s">
        <v>319</v>
      </c>
      <c r="FT897" s="14"/>
      <c r="FU897" s="16"/>
      <c r="FV897" s="14"/>
      <c r="FW897" s="12" t="s">
        <v>319</v>
      </c>
      <c r="FX897" s="14"/>
      <c r="FY897" s="16"/>
      <c r="FZ897" s="14"/>
      <c r="GA897" s="12" t="s">
        <v>319</v>
      </c>
      <c r="GB897" s="14"/>
      <c r="GC897" s="16"/>
      <c r="GD897" s="14"/>
      <c r="GE897" s="12" t="s">
        <v>319</v>
      </c>
      <c r="GF897" s="14"/>
      <c r="GG897" s="16"/>
      <c r="GH897" s="14"/>
      <c r="GI897" s="11" t="s">
        <v>320</v>
      </c>
      <c r="GJ897" s="14">
        <v>1241</v>
      </c>
      <c r="GK897" s="16">
        <v>0.31</v>
      </c>
      <c r="GL897" s="14">
        <v>4964</v>
      </c>
      <c r="GM897" s="11" t="s">
        <v>320</v>
      </c>
      <c r="GN897" s="14">
        <v>367</v>
      </c>
      <c r="GO897" s="16">
        <v>0.25</v>
      </c>
      <c r="GP897" s="14">
        <v>1468</v>
      </c>
      <c r="GQ897" s="12" t="s">
        <v>319</v>
      </c>
      <c r="GR897" s="14"/>
      <c r="GS897" s="16"/>
      <c r="GT897" s="14"/>
      <c r="GU897" s="12" t="s">
        <v>319</v>
      </c>
      <c r="GV897" s="14"/>
      <c r="GW897" s="16"/>
      <c r="GX897" s="14"/>
      <c r="GY897" s="11" t="s">
        <v>320</v>
      </c>
      <c r="GZ897" s="14">
        <v>327</v>
      </c>
      <c r="HA897" s="16">
        <v>1</v>
      </c>
      <c r="HB897" s="14">
        <v>1308</v>
      </c>
      <c r="HC897" s="12"/>
      <c r="HD897" s="12" t="s">
        <v>319</v>
      </c>
      <c r="HE897" s="14"/>
      <c r="HF897" s="16"/>
      <c r="HG897" s="14"/>
      <c r="HH897" s="12" t="s">
        <v>319</v>
      </c>
      <c r="HI897" s="12"/>
      <c r="HJ897" s="12"/>
      <c r="HK897" s="12"/>
      <c r="HL897" s="12" t="s">
        <v>320</v>
      </c>
      <c r="HM897" s="12" t="s">
        <v>327</v>
      </c>
      <c r="HN897" s="12"/>
      <c r="HO897" s="12" t="s">
        <v>13499</v>
      </c>
      <c r="HP897" s="12" t="s">
        <v>453</v>
      </c>
      <c r="HQ897" s="12" t="s">
        <v>320</v>
      </c>
      <c r="HR897" s="12" t="s">
        <v>320</v>
      </c>
      <c r="HS897" s="12" t="s">
        <v>320</v>
      </c>
      <c r="HT897" s="12" t="s">
        <v>320</v>
      </c>
      <c r="HU897" s="12" t="s">
        <v>320</v>
      </c>
      <c r="HV897" s="12" t="s">
        <v>320</v>
      </c>
      <c r="HW897" s="12" t="s">
        <v>320</v>
      </c>
      <c r="HX897" s="12" t="s">
        <v>320</v>
      </c>
      <c r="HY897" s="12" t="s">
        <v>13500</v>
      </c>
      <c r="HZ897" s="12" t="s">
        <v>331</v>
      </c>
      <c r="IA897" s="12" t="s">
        <v>13501</v>
      </c>
      <c r="IB897" s="12" t="s">
        <v>396</v>
      </c>
      <c r="IC897" s="12" t="s">
        <v>13502</v>
      </c>
      <c r="ID897" s="12" t="s">
        <v>364</v>
      </c>
      <c r="IE897" s="12" t="s">
        <v>478</v>
      </c>
      <c r="IF897" s="12" t="s">
        <v>320</v>
      </c>
      <c r="IG897" s="12" t="s">
        <v>320</v>
      </c>
      <c r="IH897" s="12" t="s">
        <v>320</v>
      </c>
      <c r="II897" s="12" t="s">
        <v>320</v>
      </c>
      <c r="IJ897" s="12" t="str">
        <f t="shared" si="602"/>
        <v>4. Transformative</v>
      </c>
      <c r="IK897" s="12">
        <f t="shared" si="561"/>
        <v>4</v>
      </c>
      <c r="IL897" s="11" t="s">
        <v>621</v>
      </c>
      <c r="IM897" s="12" t="s">
        <v>320</v>
      </c>
      <c r="IN897" s="12" t="s">
        <v>320</v>
      </c>
      <c r="IO897" s="12" t="s">
        <v>320</v>
      </c>
      <c r="IP897" s="12" t="s">
        <v>320</v>
      </c>
      <c r="IQ897" s="12" t="str">
        <f t="shared" si="562"/>
        <v>4. Transformational</v>
      </c>
      <c r="IR897" s="12">
        <f t="shared" si="563"/>
        <v>4</v>
      </c>
      <c r="IS897" s="12" t="s">
        <v>337</v>
      </c>
      <c r="IT897" s="12" t="s">
        <v>320</v>
      </c>
      <c r="IU897" s="12" t="s">
        <v>319</v>
      </c>
      <c r="IV897" s="12" t="s">
        <v>320</v>
      </c>
      <c r="IW897" s="11" t="str">
        <f t="shared" si="564"/>
        <v>1. Neutral</v>
      </c>
      <c r="IX897" s="12">
        <f t="shared" si="565"/>
        <v>2</v>
      </c>
      <c r="IY897" s="12" t="s">
        <v>419</v>
      </c>
      <c r="IZ897" s="12" t="s">
        <v>457</v>
      </c>
      <c r="JA897" s="12">
        <v>1</v>
      </c>
      <c r="JB897" s="12" t="s">
        <v>433</v>
      </c>
      <c r="JC897" s="12"/>
      <c r="JD897" s="12"/>
      <c r="JE897" s="12" t="s">
        <v>340</v>
      </c>
      <c r="JF897" s="12" t="s">
        <v>13503</v>
      </c>
      <c r="JG897" s="12" t="s">
        <v>13504</v>
      </c>
      <c r="JH897" s="12" t="s">
        <v>13505</v>
      </c>
      <c r="JI897" s="12" t="s">
        <v>13506</v>
      </c>
      <c r="JJ897" s="12" t="s">
        <v>13507</v>
      </c>
      <c r="JK897" s="12" t="s">
        <v>13508</v>
      </c>
      <c r="JL897" s="12" t="s">
        <v>13509</v>
      </c>
      <c r="JM897" s="12" t="s">
        <v>13510</v>
      </c>
      <c r="JN897" s="12" t="s">
        <v>13511</v>
      </c>
      <c r="JO897" s="12" t="s">
        <v>13512</v>
      </c>
      <c r="JP897" s="15">
        <f t="shared" si="566"/>
        <v>1241</v>
      </c>
      <c r="JQ897" s="15">
        <f t="shared" si="567"/>
        <v>0</v>
      </c>
      <c r="JR897" s="279">
        <f t="shared" si="568"/>
        <v>0</v>
      </c>
      <c r="JS897" s="17">
        <f t="shared" si="569"/>
        <v>0.45930701047542305</v>
      </c>
      <c r="JT897" s="18" t="str">
        <f t="shared" si="570"/>
        <v/>
      </c>
      <c r="JU897" s="280">
        <f t="shared" si="571"/>
        <v>570</v>
      </c>
      <c r="JV897" s="280">
        <f t="shared" si="572"/>
        <v>0</v>
      </c>
      <c r="JW897" s="319" t="str">
        <f t="shared" si="573"/>
        <v/>
      </c>
      <c r="JX897" s="15">
        <f t="shared" si="574"/>
        <v>0</v>
      </c>
      <c r="JY897" s="15">
        <f t="shared" si="575"/>
        <v>0</v>
      </c>
      <c r="JZ897" s="19" t="str">
        <f t="shared" si="576"/>
        <v/>
      </c>
      <c r="KA897" s="52">
        <f t="shared" si="577"/>
        <v>1</v>
      </c>
      <c r="KB897" s="15">
        <f t="shared" si="578"/>
        <v>1241</v>
      </c>
      <c r="KC897" s="15">
        <f t="shared" si="579"/>
        <v>4964</v>
      </c>
      <c r="KD897" s="20">
        <f t="shared" si="580"/>
        <v>4</v>
      </c>
      <c r="KE897" s="52" t="str">
        <f t="shared" si="581"/>
        <v/>
      </c>
      <c r="KF897" s="15">
        <f t="shared" si="582"/>
        <v>0</v>
      </c>
      <c r="KG897" s="15">
        <f t="shared" si="583"/>
        <v>0</v>
      </c>
      <c r="KH897" s="21" t="str">
        <f t="shared" si="584"/>
        <v/>
      </c>
      <c r="KI897" s="52" t="str">
        <f t="shared" si="585"/>
        <v/>
      </c>
      <c r="KJ897" s="15">
        <f t="shared" si="586"/>
        <v>0</v>
      </c>
      <c r="KK897" s="15">
        <f t="shared" si="587"/>
        <v>0</v>
      </c>
      <c r="KL897" s="19" t="str">
        <f t="shared" si="588"/>
        <v/>
      </c>
      <c r="KM897" s="52">
        <f t="shared" si="589"/>
        <v>1</v>
      </c>
      <c r="KN897" s="22">
        <f t="shared" si="590"/>
        <v>327</v>
      </c>
      <c r="KO897" s="22">
        <f t="shared" si="591"/>
        <v>1308</v>
      </c>
      <c r="KP897" s="19">
        <f t="shared" si="592"/>
        <v>4</v>
      </c>
      <c r="KQ897" s="11" t="str">
        <f t="shared" si="593"/>
        <v>4. Transformative</v>
      </c>
      <c r="KR897" s="11" t="str">
        <f t="shared" si="594"/>
        <v>4. Transformational</v>
      </c>
      <c r="KS897" s="11" t="str">
        <f t="shared" si="595"/>
        <v>1. Neutral</v>
      </c>
      <c r="KT897" s="11" t="str">
        <f t="shared" si="596"/>
        <v>It tested new ways for fighting poverty and measured results of innovation</v>
      </c>
      <c r="KU897" s="11" t="str">
        <f t="shared" si="597"/>
        <v>Intensive advocacy</v>
      </c>
      <c r="KV897" s="11" t="str">
        <f t="shared" si="598"/>
        <v>It linked and worked with strategic alliances and partners to take tested and effective solutions to scale</v>
      </c>
      <c r="KW897" s="11" t="str">
        <f t="shared" si="599"/>
        <v>Vietnam - Promoting landrights for ethnic minority people in Vietnam</v>
      </c>
      <c r="KX897" s="11" t="str">
        <f t="shared" si="600"/>
        <v>Promoting landrights for ethnic minority people in Vietnam</v>
      </c>
      <c r="KY897" s="11" t="str">
        <f t="shared" si="601"/>
        <v>Vietnam</v>
      </c>
      <c r="KZ897" s="12">
        <v>898</v>
      </c>
    </row>
    <row r="898" spans="1:312" x14ac:dyDescent="0.3">
      <c r="A898" s="12" t="s">
        <v>13409</v>
      </c>
      <c r="B898" s="12" t="s">
        <v>306</v>
      </c>
      <c r="C898" s="12">
        <v>3454</v>
      </c>
      <c r="D898" s="12" t="s">
        <v>13513</v>
      </c>
      <c r="E898" s="277" t="str">
        <f t="shared" si="603"/>
        <v>Vietnam</v>
      </c>
      <c r="F898" s="12" t="s">
        <v>13514</v>
      </c>
      <c r="G898" s="12" t="s">
        <v>1853</v>
      </c>
      <c r="H898" s="12" t="s">
        <v>380</v>
      </c>
      <c r="I898" s="12" t="s">
        <v>517</v>
      </c>
      <c r="J898" s="281" t="s">
        <v>14578</v>
      </c>
      <c r="K898" s="12"/>
      <c r="L898" s="12"/>
      <c r="M898" s="12"/>
      <c r="N898" s="12"/>
      <c r="O898" s="12"/>
      <c r="P898" s="12"/>
      <c r="Q898" s="12"/>
      <c r="R898" s="12"/>
      <c r="S898" s="12"/>
      <c r="T898" s="12"/>
      <c r="U898" s="12"/>
      <c r="V898" s="12"/>
      <c r="W898" s="12"/>
      <c r="X898" s="12"/>
      <c r="Y898" s="12"/>
      <c r="Z898" s="12"/>
      <c r="AA898" s="12"/>
      <c r="AB898" s="12"/>
      <c r="AC898" s="12"/>
      <c r="AD898" s="12"/>
      <c r="BD898" s="13">
        <v>42186</v>
      </c>
      <c r="BE898" s="13">
        <v>43281</v>
      </c>
      <c r="BF898" s="12"/>
      <c r="BG898" s="12" t="s">
        <v>312</v>
      </c>
      <c r="BH898" s="14">
        <v>3674</v>
      </c>
      <c r="BI898" s="12" t="s">
        <v>13473</v>
      </c>
      <c r="BJ898" s="12" t="s">
        <v>13413</v>
      </c>
      <c r="BK898" s="12" t="s">
        <v>13474</v>
      </c>
      <c r="BL898" s="12" t="s">
        <v>13475</v>
      </c>
      <c r="BM898" s="12" t="s">
        <v>13476</v>
      </c>
      <c r="BN898" s="12" t="s">
        <v>13477</v>
      </c>
      <c r="BO898" s="12" t="s">
        <v>319</v>
      </c>
      <c r="BP898" s="12" t="s">
        <v>320</v>
      </c>
      <c r="BQ898" s="12" t="s">
        <v>319</v>
      </c>
      <c r="BR898" s="12" t="s">
        <v>13515</v>
      </c>
      <c r="BS898" s="31" t="s">
        <v>357</v>
      </c>
      <c r="BT898" s="12" t="s">
        <v>13516</v>
      </c>
      <c r="BU898" s="12" t="s">
        <v>13517</v>
      </c>
      <c r="BV898" s="14">
        <v>7963</v>
      </c>
      <c r="BW898" s="14">
        <v>3096</v>
      </c>
      <c r="BX898" s="14">
        <v>11059</v>
      </c>
      <c r="BY898" s="14">
        <v>6218680</v>
      </c>
      <c r="BZ898" s="14">
        <v>5740320</v>
      </c>
      <c r="CA898" s="14">
        <v>11959000</v>
      </c>
      <c r="CB898" s="12" t="s">
        <v>13518</v>
      </c>
      <c r="CD898" s="14"/>
      <c r="CE898" s="14"/>
      <c r="CF898" s="14"/>
      <c r="CG898" s="14"/>
      <c r="CH898" s="14"/>
      <c r="CI898" s="14"/>
      <c r="CJ898" s="12"/>
      <c r="CK898" s="14"/>
      <c r="CL898" s="16"/>
      <c r="CM898" s="14"/>
      <c r="CN898" s="12"/>
      <c r="CO898" s="14"/>
      <c r="CP898" s="16"/>
      <c r="CQ898" s="14"/>
      <c r="CR898" s="12"/>
      <c r="CS898" s="14"/>
      <c r="CT898" s="16"/>
      <c r="CU898" s="14"/>
      <c r="CV898" s="12"/>
      <c r="CW898" s="14"/>
      <c r="CX898" s="16"/>
      <c r="CY898" s="14"/>
      <c r="CZ898" s="12"/>
      <c r="DA898" s="14"/>
      <c r="DB898" s="16"/>
      <c r="DC898" s="14"/>
      <c r="DD898" s="12"/>
      <c r="DE898" s="14"/>
      <c r="DF898" s="16"/>
      <c r="DG898" s="14"/>
      <c r="DH898" s="12"/>
      <c r="DI898" s="14"/>
      <c r="DJ898" s="16"/>
      <c r="DK898" s="14"/>
      <c r="DL898" s="12"/>
      <c r="DM898" s="14"/>
      <c r="DN898" s="16"/>
      <c r="DO898" s="14"/>
      <c r="DP898" s="12"/>
      <c r="DQ898" s="14"/>
      <c r="DR898" s="16"/>
      <c r="DS898" s="14"/>
      <c r="DT898" s="12"/>
      <c r="DU898" s="14"/>
      <c r="DV898" s="16"/>
      <c r="DW898" s="14"/>
      <c r="DX898" s="12"/>
      <c r="DY898" s="14"/>
      <c r="DZ898" s="16"/>
      <c r="EA898" s="14"/>
      <c r="EB898" s="12"/>
      <c r="EC898" s="14"/>
      <c r="ED898" s="16"/>
      <c r="EE898" s="14"/>
      <c r="EF898" s="12"/>
      <c r="EG898" s="12"/>
      <c r="EH898" s="14"/>
      <c r="EI898" s="16"/>
      <c r="EJ898" s="14"/>
      <c r="EK898" s="14">
        <v>510</v>
      </c>
      <c r="EL898" s="14">
        <v>70</v>
      </c>
      <c r="EM898" s="14">
        <v>580</v>
      </c>
      <c r="EN898" s="14">
        <v>1680</v>
      </c>
      <c r="EO898" s="14">
        <v>560</v>
      </c>
      <c r="EP898" s="14">
        <v>2240</v>
      </c>
      <c r="EQ898" s="12" t="s">
        <v>319</v>
      </c>
      <c r="ER898" s="14"/>
      <c r="ES898" s="16"/>
      <c r="ET898" s="14"/>
      <c r="EU898" s="11" t="s">
        <v>319</v>
      </c>
      <c r="EV898" s="14"/>
      <c r="EW898" s="16"/>
      <c r="EX898" s="14"/>
      <c r="EY898" s="12" t="s">
        <v>319</v>
      </c>
      <c r="EZ898" s="14"/>
      <c r="FA898" s="16"/>
      <c r="FB898" s="14"/>
      <c r="FC898" s="12" t="s">
        <v>319</v>
      </c>
      <c r="FD898" s="14"/>
      <c r="FE898" s="16"/>
      <c r="FF898" s="14"/>
      <c r="FG898" s="12" t="s">
        <v>319</v>
      </c>
      <c r="FH898" s="14"/>
      <c r="FI898" s="16"/>
      <c r="FJ898" s="14"/>
      <c r="FK898" s="12" t="s">
        <v>319</v>
      </c>
      <c r="FL898" s="14"/>
      <c r="FM898" s="16"/>
      <c r="FN898" s="14"/>
      <c r="FO898" s="12" t="s">
        <v>319</v>
      </c>
      <c r="FP898" s="14"/>
      <c r="FQ898" s="16"/>
      <c r="FR898" s="14"/>
      <c r="FS898" s="12" t="s">
        <v>319</v>
      </c>
      <c r="FT898" s="14"/>
      <c r="FU898" s="16"/>
      <c r="FV898" s="14"/>
      <c r="FW898" s="11" t="s">
        <v>320</v>
      </c>
      <c r="FX898" s="14">
        <v>580</v>
      </c>
      <c r="FY898" s="16">
        <v>0.87</v>
      </c>
      <c r="FZ898" s="14">
        <v>2320</v>
      </c>
      <c r="GA898" s="12" t="s">
        <v>319</v>
      </c>
      <c r="GB898" s="14"/>
      <c r="GC898" s="16"/>
      <c r="GD898" s="14"/>
      <c r="GE898" s="12" t="s">
        <v>319</v>
      </c>
      <c r="GF898" s="14"/>
      <c r="GG898" s="16"/>
      <c r="GH898" s="14"/>
      <c r="GI898" s="12" t="s">
        <v>319</v>
      </c>
      <c r="GJ898" s="14"/>
      <c r="GK898" s="16"/>
      <c r="GL898" s="14"/>
      <c r="GM898" s="11" t="s">
        <v>320</v>
      </c>
      <c r="GN898" s="14">
        <v>580</v>
      </c>
      <c r="GO898" s="16">
        <v>0.87</v>
      </c>
      <c r="GP898" s="14">
        <v>2320</v>
      </c>
      <c r="GQ898" s="12" t="s">
        <v>319</v>
      </c>
      <c r="GR898" s="14"/>
      <c r="GS898" s="16"/>
      <c r="GT898" s="14"/>
      <c r="GU898" s="12" t="s">
        <v>319</v>
      </c>
      <c r="GV898" s="14"/>
      <c r="GW898" s="16"/>
      <c r="GX898" s="14"/>
      <c r="GY898" s="12" t="s">
        <v>319</v>
      </c>
      <c r="GZ898" s="14"/>
      <c r="HA898" s="16"/>
      <c r="HB898" s="14"/>
      <c r="HC898" s="12" t="s">
        <v>13519</v>
      </c>
      <c r="HD898" s="12" t="s">
        <v>320</v>
      </c>
      <c r="HE898" s="14">
        <v>65</v>
      </c>
      <c r="HF898" s="16">
        <v>1</v>
      </c>
      <c r="HG898" s="14">
        <v>260</v>
      </c>
      <c r="HH898" s="12" t="s">
        <v>319</v>
      </c>
      <c r="HI898" s="12"/>
      <c r="HJ898" s="12"/>
      <c r="HK898" s="12"/>
      <c r="HL898" s="12" t="s">
        <v>320</v>
      </c>
      <c r="HM898" s="12" t="s">
        <v>1175</v>
      </c>
      <c r="HN898" s="12">
        <v>2018</v>
      </c>
      <c r="HO898" s="12"/>
      <c r="HP898" s="12" t="s">
        <v>330</v>
      </c>
      <c r="HQ898" s="12"/>
      <c r="HR898" s="12" t="s">
        <v>320</v>
      </c>
      <c r="HS898" s="12" t="s">
        <v>320</v>
      </c>
      <c r="HT898" s="12" t="s">
        <v>320</v>
      </c>
      <c r="HU898" s="12" t="s">
        <v>320</v>
      </c>
      <c r="HV898" s="12" t="s">
        <v>320</v>
      </c>
      <c r="HW898" s="12"/>
      <c r="HX898" s="12"/>
      <c r="HY898" s="12"/>
      <c r="HZ898" s="12" t="s">
        <v>331</v>
      </c>
      <c r="IA898" s="12" t="s">
        <v>13520</v>
      </c>
      <c r="IB898" s="12" t="s">
        <v>396</v>
      </c>
      <c r="IC898" s="12" t="s">
        <v>13521</v>
      </c>
      <c r="ID898" s="12" t="s">
        <v>334</v>
      </c>
      <c r="IE898" s="12" t="s">
        <v>478</v>
      </c>
      <c r="IF898" s="12" t="s">
        <v>320</v>
      </c>
      <c r="IG898" s="12" t="s">
        <v>320</v>
      </c>
      <c r="IH898" s="12" t="s">
        <v>320</v>
      </c>
      <c r="II898" s="12" t="s">
        <v>320</v>
      </c>
      <c r="IJ898" s="12" t="str">
        <f t="shared" si="602"/>
        <v>4. Transformative</v>
      </c>
      <c r="IK898" s="12">
        <f t="shared" ref="IK898:IK951" si="604">COUNTIF(IF898:II898,"=YES")</f>
        <v>4</v>
      </c>
      <c r="IL898" s="11" t="s">
        <v>621</v>
      </c>
      <c r="IM898" s="12" t="s">
        <v>320</v>
      </c>
      <c r="IN898" s="12" t="s">
        <v>320</v>
      </c>
      <c r="IO898" s="12" t="s">
        <v>320</v>
      </c>
      <c r="IP898" s="12" t="s">
        <v>320</v>
      </c>
      <c r="IQ898" s="12" t="str">
        <f t="shared" ref="IQ898:IQ950" si="605">IF(IL898="","No marker score",IF(ISNUMBER(SEARCH("select",IL898)),"",IF(ISNUMBER(SEARCH("Did NOT",IL898)),"0. Unaware",IF(ISNUMBER(SEARCH("CHALLENGED",IL898)),IF(IR898=4,"4. Transformational",IF(IR898&gt;1,"3. Responsive",IF(IR898&lt;=1,"No marker score",""))),IF(ISNUMBER(SEARCH("WORKED WITH",IL898)),IF(IR898&gt;=3,"2. Accommodating",IF(IR898&gt;=1,"1. Tokenistic","0. Unaware")))))))</f>
        <v>4. Transformational</v>
      </c>
      <c r="IR898" s="12">
        <f t="shared" ref="IR898:IR951" si="606">COUNTIF(IM898:IP898,"=YES")</f>
        <v>4</v>
      </c>
      <c r="IS898" s="12" t="s">
        <v>337</v>
      </c>
      <c r="IT898" s="12" t="s">
        <v>319</v>
      </c>
      <c r="IU898" s="12" t="s">
        <v>319</v>
      </c>
      <c r="IV898" s="12" t="s">
        <v>320</v>
      </c>
      <c r="IW898" s="11" t="str">
        <f t="shared" ref="IW898:IW950" si="607">IF(IS898="","No marker score",IF(ISNUMBER(SEARCH("select",IS898)),"",IF(ISNUMBER(SEARCH("Did NOT",IS898)),"0. Harmful",IF(ISNUMBER(SEARCH("well",IS898)),IF(IX898=3,"4. Transformative",IF(IX898&gt;=1,"3. Responsive",IF(IX898=0,"No marker score",""))),IF(ISNUMBER(SEARCH(".",IS898)),IF(IX898&gt;=3,"2. Sensitive",IF(IX898&gt;=1,"1. Neutral","0. Harmful")))))))</f>
        <v>1. Neutral</v>
      </c>
      <c r="IX898" s="12">
        <f t="shared" ref="IX898:IX951" si="608">COUNTIF(IT898:IV898,"=YES")</f>
        <v>1</v>
      </c>
      <c r="IY898" s="12" t="s">
        <v>338</v>
      </c>
      <c r="IZ898" s="12" t="s">
        <v>457</v>
      </c>
      <c r="JA898" s="12">
        <v>2</v>
      </c>
      <c r="JB898" s="12" t="s">
        <v>433</v>
      </c>
      <c r="JC898" s="12" t="s">
        <v>687</v>
      </c>
      <c r="JD898" s="12"/>
      <c r="JE898" s="12" t="s">
        <v>340</v>
      </c>
      <c r="JF898" s="12" t="s">
        <v>13522</v>
      </c>
      <c r="JG898" s="12" t="s">
        <v>13523</v>
      </c>
      <c r="JH898" s="12" t="s">
        <v>13524</v>
      </c>
      <c r="JI898" s="12" t="s">
        <v>13525</v>
      </c>
      <c r="JJ898" s="12" t="s">
        <v>13526</v>
      </c>
      <c r="JK898" s="12" t="s">
        <v>13527</v>
      </c>
      <c r="JL898" s="12" t="s">
        <v>13528</v>
      </c>
      <c r="JM898" s="12" t="s">
        <v>13529</v>
      </c>
      <c r="JN898" s="12" t="s">
        <v>13530</v>
      </c>
      <c r="JO898" s="12" t="s">
        <v>13531</v>
      </c>
      <c r="JP898" s="15">
        <f t="shared" ref="JP898:JP951" si="609">MAX(CF898,EM898)</f>
        <v>580</v>
      </c>
      <c r="JQ898" s="15">
        <f t="shared" ref="JQ898:JQ951" si="610">MAX(CI898,EP898)</f>
        <v>2240</v>
      </c>
      <c r="JR898" s="279">
        <f t="shared" ref="JR898:JR951" si="611">IFERROR(JQ898/JP898,"")</f>
        <v>3.8620689655172415</v>
      </c>
      <c r="JS898" s="17">
        <f t="shared" ref="JS898:JS951" si="612">IFERROR(MAX(CD898,EK898)/JP898,"")</f>
        <v>0.87931034482758619</v>
      </c>
      <c r="JT898" s="18">
        <f t="shared" ref="JT898:JT951" si="613">IFERROR(MAX(CG898,EN898)/JQ898,"")</f>
        <v>0.75</v>
      </c>
      <c r="JU898" s="280">
        <f t="shared" ref="JU898:JU951" si="614">IFERROR(MAX(CD898,EK898),"")</f>
        <v>510</v>
      </c>
      <c r="JV898" s="280">
        <f t="shared" ref="JV898:JV951" si="615">IFERROR(MAX(CG898,EN898),"")</f>
        <v>1680</v>
      </c>
      <c r="JW898" s="319" t="str">
        <f t="shared" ref="JW898:JW951" si="616">IF(BO898="yes",1,"")</f>
        <v/>
      </c>
      <c r="JX898" s="15">
        <f t="shared" ref="JX898:JX951" si="617">CF898</f>
        <v>0</v>
      </c>
      <c r="JY898" s="15">
        <f t="shared" ref="JY898:JY951" si="618">CI898</f>
        <v>0</v>
      </c>
      <c r="JZ898" s="19" t="str">
        <f t="shared" ref="JZ898:JZ951" si="619">IFERROR(JY898/JX898,"")</f>
        <v/>
      </c>
      <c r="KA898" s="52" t="str">
        <f t="shared" ref="KA898:KA951" si="620">IF((OR(CV898="yes", DL898="yes", EQ898="yes", EU898="yes", FC898="yes", FG898="yes", FO898="yes", GI898="yes", GU898="yes")), 1, "")</f>
        <v/>
      </c>
      <c r="KB898" s="15">
        <f t="shared" ref="KB898:KB951" si="621">MAX(CW898,DM898,ER898,EV898,FD898,FH898,FP898,GJ898,GV898)</f>
        <v>0</v>
      </c>
      <c r="KC898" s="15">
        <f t="shared" ref="KC898:KC951" si="622">MAX(CY898,DO898,ET898,EX898,FF898,FJ898,FR898,GL898,GX898)</f>
        <v>0</v>
      </c>
      <c r="KD898" s="20" t="str">
        <f t="shared" ref="KD898:KD951" si="623">IFERROR(KC898/KB898,"")</f>
        <v/>
      </c>
      <c r="KE898" s="52" t="str">
        <f t="shared" ref="KE898:KE951" si="624">IF((OR(DT898="yes", GQ898="yes")), 1, "")</f>
        <v/>
      </c>
      <c r="KF898" s="15">
        <f t="shared" ref="KF898:KF951" si="625">MAX(DU898,GR898)</f>
        <v>0</v>
      </c>
      <c r="KG898" s="15">
        <f t="shared" ref="KG898:KG951" si="626">MAX(DW898,GT898)</f>
        <v>0</v>
      </c>
      <c r="KH898" s="21" t="str">
        <f t="shared" ref="KH898:KH951" si="627">IFERROR(KG898/KF898,"")</f>
        <v/>
      </c>
      <c r="KI898" s="52" t="str">
        <f t="shared" ref="KI898:KI951" si="628">IF((OR(CZ898="yes", FS898="yes")), 1, "")</f>
        <v/>
      </c>
      <c r="KJ898" s="15">
        <f t="shared" ref="KJ898:KJ951" si="629">MAX(DA898,FT898)</f>
        <v>0</v>
      </c>
      <c r="KK898" s="15">
        <f t="shared" ref="KK898:KK951" si="630">MAX(DC898,FV898)</f>
        <v>0</v>
      </c>
      <c r="KL898" s="19" t="str">
        <f t="shared" ref="KL898:KL951" si="631">IFERROR(KK898/KJ898,"")</f>
        <v/>
      </c>
      <c r="KM898" s="52" t="str">
        <f t="shared" ref="KM898:KM951" si="632">IF((OR(FG898="yes", GY898="yes")), 1, "")</f>
        <v/>
      </c>
      <c r="KN898" s="22">
        <f t="shared" ref="KN898:KN951" si="633">IFERROR(MAX((FH898*FI898),GZ898),"")</f>
        <v>0</v>
      </c>
      <c r="KO898" s="22">
        <f t="shared" ref="KO898:KO951" si="634">IFERROR(MAX((FJ898*FI898),HB898),"")</f>
        <v>0</v>
      </c>
      <c r="KP898" s="19" t="str">
        <f t="shared" ref="KP898:KP951" si="635">IFERROR(KO898/KN898,"")</f>
        <v/>
      </c>
      <c r="KQ898" s="11" t="str">
        <f t="shared" ref="KQ898:KQ951" si="636">IJ898</f>
        <v>4. Transformative</v>
      </c>
      <c r="KR898" s="11" t="str">
        <f t="shared" ref="KR898:KR951" si="637">IQ898</f>
        <v>4. Transformational</v>
      </c>
      <c r="KS898" s="11" t="str">
        <f t="shared" ref="KS898:KS951" si="638">IW898</f>
        <v>1. Neutral</v>
      </c>
      <c r="KT898" s="11" t="str">
        <f t="shared" ref="KT898:KT951" si="639">HZ898</f>
        <v>It tested new ways for fighting poverty and measured results of innovation</v>
      </c>
      <c r="KU898" s="11" t="str">
        <f t="shared" ref="KU898:KU951" si="640">HP898</f>
        <v>Moderate advocacy</v>
      </c>
      <c r="KV898" s="11" t="str">
        <f t="shared" ref="KV898:KV951" si="641">IB898</f>
        <v>It linked and worked with strategic alliances and partners to take tested and effective solutions to scale</v>
      </c>
      <c r="KW898" s="11" t="str">
        <f t="shared" ref="KW898:KW951" si="642">A898&amp;" - "&amp;D898</f>
        <v>Vietnam - Voice and Rights for Ethnic Minority Women</v>
      </c>
      <c r="KX898" s="11" t="str">
        <f t="shared" ref="KX898:KX951" si="643">D898</f>
        <v>Voice and Rights for Ethnic Minority Women</v>
      </c>
      <c r="KY898" s="11" t="str">
        <f t="shared" ref="KY898:KY951" si="644">A898</f>
        <v>Vietnam</v>
      </c>
      <c r="KZ898" s="12">
        <v>899</v>
      </c>
    </row>
    <row r="899" spans="1:312" x14ac:dyDescent="0.3">
      <c r="A899" s="12" t="s">
        <v>13409</v>
      </c>
      <c r="B899" s="12" t="s">
        <v>306</v>
      </c>
      <c r="C899" s="12">
        <v>3453</v>
      </c>
      <c r="D899" s="12" t="s">
        <v>13453</v>
      </c>
      <c r="E899" s="277" t="str">
        <f t="shared" si="603"/>
        <v>Vietnam</v>
      </c>
      <c r="F899" s="12" t="s">
        <v>13454</v>
      </c>
      <c r="G899" s="12" t="s">
        <v>309</v>
      </c>
      <c r="H899" s="12" t="s">
        <v>310</v>
      </c>
      <c r="I899" s="12" t="s">
        <v>311</v>
      </c>
      <c r="J899" s="281" t="s">
        <v>14565</v>
      </c>
      <c r="K899" s="12"/>
      <c r="L899" s="12"/>
      <c r="M899" s="12"/>
      <c r="N899" s="12"/>
      <c r="O899" s="12"/>
      <c r="P899" s="12"/>
      <c r="Q899" s="12"/>
      <c r="R899" s="12"/>
      <c r="S899" s="12"/>
      <c r="T899" s="12"/>
      <c r="U899" s="12"/>
      <c r="V899" s="12"/>
      <c r="W899" s="12"/>
      <c r="X899" s="12"/>
      <c r="Y899" s="12"/>
      <c r="Z899" s="12"/>
      <c r="AA899" s="12"/>
      <c r="AB899" s="12"/>
      <c r="AC899" s="12"/>
      <c r="AD899" s="12"/>
      <c r="BD899" s="13">
        <v>42461</v>
      </c>
      <c r="BE899" s="13">
        <v>43708</v>
      </c>
      <c r="BF899" s="12"/>
      <c r="BG899" s="12" t="s">
        <v>350</v>
      </c>
      <c r="BH899" s="14">
        <v>573342</v>
      </c>
      <c r="BI899" s="12" t="s">
        <v>13412</v>
      </c>
      <c r="BJ899" s="12" t="s">
        <v>13413</v>
      </c>
      <c r="BK899" s="12" t="s">
        <v>13414</v>
      </c>
      <c r="BL899" s="12"/>
      <c r="BM899" s="12"/>
      <c r="BN899" s="12"/>
      <c r="BO899" s="12" t="s">
        <v>319</v>
      </c>
      <c r="BP899" s="12" t="s">
        <v>320</v>
      </c>
      <c r="BQ899" s="12" t="s">
        <v>319</v>
      </c>
      <c r="BR899" s="12" t="s">
        <v>13455</v>
      </c>
      <c r="BS899" s="12" t="s">
        <v>322</v>
      </c>
      <c r="BT899" s="12" t="s">
        <v>13456</v>
      </c>
      <c r="BU899" s="12" t="s">
        <v>13457</v>
      </c>
      <c r="BV899" s="14">
        <v>450</v>
      </c>
      <c r="BW899" s="14">
        <v>300</v>
      </c>
      <c r="BX899" s="14">
        <v>750</v>
      </c>
      <c r="BY899" s="14">
        <v>900</v>
      </c>
      <c r="BZ899" s="14">
        <v>825</v>
      </c>
      <c r="CA899" s="14">
        <v>1725</v>
      </c>
      <c r="CB899" s="12" t="s">
        <v>13458</v>
      </c>
      <c r="CD899" s="14"/>
      <c r="CE899" s="14"/>
      <c r="CF899" s="14"/>
      <c r="CG899" s="14"/>
      <c r="CH899" s="14"/>
      <c r="CI899" s="14"/>
      <c r="CJ899" s="12"/>
      <c r="CK899" s="14"/>
      <c r="CL899" s="16"/>
      <c r="CM899" s="14"/>
      <c r="CN899" s="12"/>
      <c r="CO899" s="14"/>
      <c r="CP899" s="16"/>
      <c r="CQ899" s="14"/>
      <c r="CR899" s="12"/>
      <c r="CS899" s="14"/>
      <c r="CT899" s="16"/>
      <c r="CU899" s="14"/>
      <c r="CV899" s="12"/>
      <c r="CW899" s="14"/>
      <c r="CX899" s="16"/>
      <c r="CY899" s="14"/>
      <c r="CZ899" s="12"/>
      <c r="DA899" s="14"/>
      <c r="DB899" s="16"/>
      <c r="DC899" s="14"/>
      <c r="DD899" s="12"/>
      <c r="DE899" s="14"/>
      <c r="DF899" s="16"/>
      <c r="DG899" s="14"/>
      <c r="DH899" s="12"/>
      <c r="DI899" s="14"/>
      <c r="DJ899" s="16"/>
      <c r="DK899" s="14"/>
      <c r="DL899" s="12"/>
      <c r="DM899" s="14"/>
      <c r="DN899" s="16"/>
      <c r="DO899" s="14"/>
      <c r="DP899" s="12"/>
      <c r="DQ899" s="14"/>
      <c r="DR899" s="16"/>
      <c r="DS899" s="14"/>
      <c r="DT899" s="12"/>
      <c r="DU899" s="14"/>
      <c r="DV899" s="16"/>
      <c r="DW899" s="14"/>
      <c r="DX899" s="12"/>
      <c r="DY899" s="14"/>
      <c r="DZ899" s="16"/>
      <c r="EA899" s="14"/>
      <c r="EB899" s="12"/>
      <c r="EC899" s="14"/>
      <c r="ED899" s="16"/>
      <c r="EE899" s="14"/>
      <c r="EF899" s="12"/>
      <c r="EG899" s="12"/>
      <c r="EH899" s="14"/>
      <c r="EI899" s="16"/>
      <c r="EJ899" s="14"/>
      <c r="EK899" s="14">
        <v>475</v>
      </c>
      <c r="EL899" s="14">
        <v>475</v>
      </c>
      <c r="EM899" s="14">
        <v>950</v>
      </c>
      <c r="EN899" s="14">
        <v>950</v>
      </c>
      <c r="EO899" s="14">
        <v>950</v>
      </c>
      <c r="EP899" s="14">
        <v>1900</v>
      </c>
      <c r="EQ899" s="12" t="s">
        <v>320</v>
      </c>
      <c r="ER899" s="14">
        <v>950</v>
      </c>
      <c r="ES899" s="16">
        <v>0.5</v>
      </c>
      <c r="ET899" s="14">
        <v>1900</v>
      </c>
      <c r="EU899" s="11" t="s">
        <v>320</v>
      </c>
      <c r="EV899" s="14">
        <v>950</v>
      </c>
      <c r="EW899" s="16">
        <v>0.5</v>
      </c>
      <c r="EX899" s="14">
        <v>1900</v>
      </c>
      <c r="EY899" s="12" t="s">
        <v>319</v>
      </c>
      <c r="EZ899" s="14"/>
      <c r="FA899" s="16"/>
      <c r="FB899" s="14"/>
      <c r="FC899" s="12" t="s">
        <v>319</v>
      </c>
      <c r="FD899" s="14"/>
      <c r="FE899" s="16"/>
      <c r="FF899" s="14"/>
      <c r="FG899" s="12" t="s">
        <v>320</v>
      </c>
      <c r="FH899" s="14">
        <v>950</v>
      </c>
      <c r="FI899" s="16">
        <v>0.5</v>
      </c>
      <c r="FJ899" s="14">
        <v>1900</v>
      </c>
      <c r="FK899" s="12" t="s">
        <v>319</v>
      </c>
      <c r="FL899" s="14"/>
      <c r="FM899" s="16"/>
      <c r="FN899" s="14"/>
      <c r="FO899" s="12" t="s">
        <v>319</v>
      </c>
      <c r="FP899" s="14"/>
      <c r="FQ899" s="16"/>
      <c r="FR899" s="14"/>
      <c r="FS899" s="12" t="s">
        <v>319</v>
      </c>
      <c r="FT899" s="14"/>
      <c r="FU899" s="16"/>
      <c r="FV899" s="14"/>
      <c r="FW899" s="11" t="s">
        <v>320</v>
      </c>
      <c r="FX899" s="14">
        <v>950</v>
      </c>
      <c r="FY899" s="16">
        <v>0.5</v>
      </c>
      <c r="FZ899" s="14">
        <v>1900</v>
      </c>
      <c r="GA899" s="12" t="s">
        <v>319</v>
      </c>
      <c r="GB899" s="14"/>
      <c r="GC899" s="16"/>
      <c r="GD899" s="14"/>
      <c r="GE899" s="12" t="s">
        <v>319</v>
      </c>
      <c r="GF899" s="14"/>
      <c r="GG899" s="16"/>
      <c r="GH899" s="14"/>
      <c r="GI899" s="12" t="s">
        <v>319</v>
      </c>
      <c r="GJ899" s="14"/>
      <c r="GK899" s="16"/>
      <c r="GL899" s="14"/>
      <c r="GM899" s="12" t="s">
        <v>319</v>
      </c>
      <c r="GN899" s="14"/>
      <c r="GO899" s="16"/>
      <c r="GP899" s="14"/>
      <c r="GQ899" s="12" t="s">
        <v>319</v>
      </c>
      <c r="GR899" s="14"/>
      <c r="GS899" s="16"/>
      <c r="GT899" s="14"/>
      <c r="GU899" s="12" t="s">
        <v>319</v>
      </c>
      <c r="GV899" s="14"/>
      <c r="GW899" s="16"/>
      <c r="GX899" s="14"/>
      <c r="GY899" s="11" t="s">
        <v>320</v>
      </c>
      <c r="GZ899" s="14">
        <v>950</v>
      </c>
      <c r="HA899" s="16">
        <v>0.5</v>
      </c>
      <c r="HB899" s="14">
        <v>1900</v>
      </c>
      <c r="HC899" s="12"/>
      <c r="HD899" s="12" t="s">
        <v>319</v>
      </c>
      <c r="HE899" s="14"/>
      <c r="HF899" s="16"/>
      <c r="HG899" s="14"/>
      <c r="HH899" s="12" t="s">
        <v>320</v>
      </c>
      <c r="HI899" s="12" t="s">
        <v>415</v>
      </c>
      <c r="HJ899" s="12">
        <v>2016</v>
      </c>
      <c r="HK899" s="12" t="s">
        <v>320</v>
      </c>
      <c r="HL899" s="12" t="s">
        <v>319</v>
      </c>
      <c r="HM899" s="12"/>
      <c r="HN899" s="12"/>
      <c r="HO899" s="12" t="s">
        <v>13459</v>
      </c>
      <c r="HP899" s="12" t="s">
        <v>330</v>
      </c>
      <c r="HQ899" s="12" t="s">
        <v>319</v>
      </c>
      <c r="HR899" s="12" t="s">
        <v>319</v>
      </c>
      <c r="HS899" s="12" t="s">
        <v>319</v>
      </c>
      <c r="HT899" s="12" t="s">
        <v>320</v>
      </c>
      <c r="HU899" s="12" t="s">
        <v>320</v>
      </c>
      <c r="HV899" s="12" t="s">
        <v>319</v>
      </c>
      <c r="HW899" s="12" t="s">
        <v>320</v>
      </c>
      <c r="HX899" s="12" t="s">
        <v>319</v>
      </c>
      <c r="HY899" s="12"/>
      <c r="HZ899" s="12" t="s">
        <v>394</v>
      </c>
      <c r="IA899" s="12" t="s">
        <v>13460</v>
      </c>
      <c r="IB899" s="12" t="s">
        <v>396</v>
      </c>
      <c r="IC899" s="12" t="s">
        <v>13461</v>
      </c>
      <c r="ID899" s="12" t="s">
        <v>334</v>
      </c>
      <c r="IE899" s="12" t="s">
        <v>478</v>
      </c>
      <c r="IF899" s="12" t="s">
        <v>320</v>
      </c>
      <c r="IG899" s="12" t="s">
        <v>320</v>
      </c>
      <c r="IH899" s="12" t="s">
        <v>320</v>
      </c>
      <c r="II899" s="12" t="s">
        <v>320</v>
      </c>
      <c r="IJ899" s="12" t="str">
        <f t="shared" si="602"/>
        <v>4. Transformative</v>
      </c>
      <c r="IK899" s="12">
        <f t="shared" si="604"/>
        <v>4</v>
      </c>
      <c r="IL899" s="12" t="s">
        <v>336</v>
      </c>
      <c r="IM899" s="12" t="s">
        <v>320</v>
      </c>
      <c r="IN899" s="12" t="s">
        <v>320</v>
      </c>
      <c r="IO899" s="12" t="s">
        <v>320</v>
      </c>
      <c r="IP899" s="12" t="s">
        <v>320</v>
      </c>
      <c r="IQ899" s="12" t="str">
        <f t="shared" si="605"/>
        <v>2. Accommodating</v>
      </c>
      <c r="IR899" s="12">
        <f t="shared" si="606"/>
        <v>4</v>
      </c>
      <c r="IS899" s="12" t="s">
        <v>337</v>
      </c>
      <c r="IT899" s="12" t="s">
        <v>320</v>
      </c>
      <c r="IU899" s="12" t="s">
        <v>320</v>
      </c>
      <c r="IV899" s="12" t="s">
        <v>320</v>
      </c>
      <c r="IW899" s="11" t="str">
        <f t="shared" si="607"/>
        <v>2. Sensitive</v>
      </c>
      <c r="IX899" s="12">
        <f t="shared" si="608"/>
        <v>3</v>
      </c>
      <c r="IY899" s="12" t="s">
        <v>419</v>
      </c>
      <c r="IZ899" s="12" t="s">
        <v>527</v>
      </c>
      <c r="JA899" s="12">
        <v>4</v>
      </c>
      <c r="JB899" s="12" t="s">
        <v>831</v>
      </c>
      <c r="JC899" s="12" t="s">
        <v>433</v>
      </c>
      <c r="JD899" s="12" t="s">
        <v>687</v>
      </c>
      <c r="JE899" s="12" t="s">
        <v>365</v>
      </c>
      <c r="JF899" s="12" t="s">
        <v>13462</v>
      </c>
      <c r="JG899" s="12" t="s">
        <v>13463</v>
      </c>
      <c r="JH899" s="12" t="s">
        <v>13464</v>
      </c>
      <c r="JI899" s="12" t="s">
        <v>13465</v>
      </c>
      <c r="JJ899" s="12" t="s">
        <v>13466</v>
      </c>
      <c r="JK899" s="12" t="s">
        <v>13467</v>
      </c>
      <c r="JL899" s="12" t="s">
        <v>13468</v>
      </c>
      <c r="JM899" s="12" t="s">
        <v>13469</v>
      </c>
      <c r="JN899" s="12"/>
      <c r="JO899" s="12" t="s">
        <v>13470</v>
      </c>
      <c r="JP899" s="15">
        <f t="shared" si="609"/>
        <v>950</v>
      </c>
      <c r="JQ899" s="15">
        <f t="shared" si="610"/>
        <v>1900</v>
      </c>
      <c r="JR899" s="279">
        <f t="shared" si="611"/>
        <v>2</v>
      </c>
      <c r="JS899" s="17">
        <f t="shared" si="612"/>
        <v>0.5</v>
      </c>
      <c r="JT899" s="18">
        <f t="shared" si="613"/>
        <v>0.5</v>
      </c>
      <c r="JU899" s="280">
        <f t="shared" si="614"/>
        <v>475</v>
      </c>
      <c r="JV899" s="280">
        <f t="shared" si="615"/>
        <v>950</v>
      </c>
      <c r="JW899" s="319" t="str">
        <f t="shared" si="616"/>
        <v/>
      </c>
      <c r="JX899" s="15">
        <f t="shared" si="617"/>
        <v>0</v>
      </c>
      <c r="JY899" s="15">
        <f t="shared" si="618"/>
        <v>0</v>
      </c>
      <c r="JZ899" s="19" t="str">
        <f t="shared" si="619"/>
        <v/>
      </c>
      <c r="KA899" s="52">
        <f t="shared" si="620"/>
        <v>1</v>
      </c>
      <c r="KB899" s="15">
        <f t="shared" si="621"/>
        <v>950</v>
      </c>
      <c r="KC899" s="15">
        <f t="shared" si="622"/>
        <v>1900</v>
      </c>
      <c r="KD899" s="20">
        <f t="shared" si="623"/>
        <v>2</v>
      </c>
      <c r="KE899" s="52" t="str">
        <f t="shared" si="624"/>
        <v/>
      </c>
      <c r="KF899" s="15">
        <f t="shared" si="625"/>
        <v>0</v>
      </c>
      <c r="KG899" s="15">
        <f t="shared" si="626"/>
        <v>0</v>
      </c>
      <c r="KH899" s="21" t="str">
        <f t="shared" si="627"/>
        <v/>
      </c>
      <c r="KI899" s="52" t="str">
        <f t="shared" si="628"/>
        <v/>
      </c>
      <c r="KJ899" s="15">
        <f t="shared" si="629"/>
        <v>0</v>
      </c>
      <c r="KK899" s="15">
        <f t="shared" si="630"/>
        <v>0</v>
      </c>
      <c r="KL899" s="19" t="str">
        <f t="shared" si="631"/>
        <v/>
      </c>
      <c r="KM899" s="52">
        <f t="shared" si="632"/>
        <v>1</v>
      </c>
      <c r="KN899" s="22">
        <f t="shared" si="633"/>
        <v>950</v>
      </c>
      <c r="KO899" s="22">
        <f t="shared" si="634"/>
        <v>1900</v>
      </c>
      <c r="KP899" s="19">
        <f t="shared" si="635"/>
        <v>2</v>
      </c>
      <c r="KQ899" s="11" t="str">
        <f t="shared" si="636"/>
        <v>4. Transformative</v>
      </c>
      <c r="KR899" s="11" t="str">
        <f t="shared" si="637"/>
        <v>2. Accommodating</v>
      </c>
      <c r="KS899" s="11" t="str">
        <f t="shared" si="638"/>
        <v>2. Sensitive</v>
      </c>
      <c r="KT899" s="11" t="str">
        <f t="shared" si="639"/>
        <v>It tested new ways for fighting poverty, but did not measure results of innovation</v>
      </c>
      <c r="KU899" s="11" t="str">
        <f t="shared" si="640"/>
        <v>Moderate advocacy</v>
      </c>
      <c r="KV899" s="11" t="str">
        <f t="shared" si="641"/>
        <v>It linked and worked with strategic alliances and partners to take tested and effective solutions to scale</v>
      </c>
      <c r="KW899" s="11" t="str">
        <f t="shared" si="642"/>
        <v>Vietnam - Womens Economic Empowerment through Agriculture Value Chain Enhancement (WEAVE)</v>
      </c>
      <c r="KX899" s="11" t="str">
        <f t="shared" si="643"/>
        <v>Womens Economic Empowerment through Agriculture Value Chain Enhancement (WEAVE)</v>
      </c>
      <c r="KY899" s="11" t="str">
        <f t="shared" si="644"/>
        <v>Vietnam</v>
      </c>
      <c r="KZ899" s="12">
        <v>900</v>
      </c>
    </row>
    <row r="900" spans="1:312" x14ac:dyDescent="0.3">
      <c r="A900" s="282" t="s">
        <v>13710</v>
      </c>
      <c r="B900" s="282" t="s">
        <v>602</v>
      </c>
      <c r="C900" s="282"/>
      <c r="D900" s="282" t="s">
        <v>13776</v>
      </c>
      <c r="E900" s="277" t="str">
        <f t="shared" si="603"/>
        <v>West Bank and Gaza</v>
      </c>
      <c r="F900" s="282" t="s">
        <v>13777</v>
      </c>
      <c r="G900" s="282" t="s">
        <v>608</v>
      </c>
      <c r="H900" s="282" t="s">
        <v>384</v>
      </c>
      <c r="I900" s="282" t="s">
        <v>381</v>
      </c>
      <c r="J900" s="281" t="s">
        <v>14624</v>
      </c>
      <c r="K900" s="282"/>
      <c r="L900" s="282"/>
      <c r="M900" s="282"/>
      <c r="N900" s="282"/>
      <c r="O900" s="282"/>
      <c r="P900" s="282"/>
      <c r="Q900" s="282"/>
      <c r="R900" s="282"/>
      <c r="S900" s="282"/>
      <c r="T900" s="282"/>
      <c r="U900" s="282"/>
      <c r="V900" s="282"/>
      <c r="W900" s="282"/>
      <c r="X900" s="282"/>
      <c r="Y900" s="282"/>
      <c r="Z900" s="282"/>
      <c r="AA900" s="282"/>
      <c r="AB900" s="282"/>
      <c r="AC900" s="282"/>
      <c r="AD900" s="282"/>
      <c r="AE900" s="282"/>
      <c r="AF900" s="282"/>
      <c r="AG900" s="282"/>
      <c r="AH900" s="282"/>
      <c r="AI900" s="282"/>
      <c r="AJ900" s="282"/>
      <c r="AK900" s="282"/>
      <c r="AL900" s="282"/>
      <c r="AM900" s="282"/>
      <c r="AN900" s="282"/>
      <c r="AO900" s="282"/>
      <c r="AP900" s="282"/>
      <c r="AQ900" s="282"/>
      <c r="AR900" s="282"/>
      <c r="AS900" s="282"/>
      <c r="AT900" s="282"/>
      <c r="AU900" s="282"/>
      <c r="AV900" s="282"/>
      <c r="AW900" s="282"/>
      <c r="AX900" s="282"/>
      <c r="AY900" s="282"/>
      <c r="AZ900" s="282"/>
      <c r="BA900" s="282"/>
      <c r="BB900" s="282"/>
      <c r="BC900" s="282"/>
      <c r="BD900" s="283">
        <v>42663</v>
      </c>
      <c r="BE900" s="283">
        <v>42675</v>
      </c>
      <c r="BF900" s="283"/>
      <c r="BG900" s="283" t="s">
        <v>947</v>
      </c>
      <c r="BH900" s="284">
        <v>250000.05</v>
      </c>
      <c r="BI900" s="282" t="s">
        <v>13732</v>
      </c>
      <c r="BJ900" s="282" t="s">
        <v>11753</v>
      </c>
      <c r="BK900" s="282" t="s">
        <v>13733</v>
      </c>
      <c r="BL900" s="282"/>
      <c r="BM900" s="282"/>
      <c r="BN900" s="282"/>
      <c r="BO900" s="282" t="s">
        <v>320</v>
      </c>
      <c r="BP900" s="282" t="s">
        <v>319</v>
      </c>
      <c r="BQ900" s="282" t="s">
        <v>319</v>
      </c>
      <c r="BR900" s="282" t="s">
        <v>13778</v>
      </c>
      <c r="BS900" s="282" t="s">
        <v>357</v>
      </c>
      <c r="BT900" s="282" t="s">
        <v>13779</v>
      </c>
      <c r="BU900" s="282" t="s">
        <v>13780</v>
      </c>
      <c r="BV900" s="284">
        <v>6600</v>
      </c>
      <c r="BW900" s="284">
        <v>3400</v>
      </c>
      <c r="BX900" s="284">
        <v>10000</v>
      </c>
      <c r="BY900" s="284"/>
      <c r="BZ900" s="284"/>
      <c r="CA900" s="284"/>
      <c r="CB900" s="285" t="s">
        <v>13781</v>
      </c>
      <c r="CC900" s="285"/>
      <c r="CD900" s="284">
        <v>7700</v>
      </c>
      <c r="CE900" s="284">
        <v>3300</v>
      </c>
      <c r="CF900" s="284">
        <v>11000</v>
      </c>
      <c r="CG900" s="284">
        <v>17150</v>
      </c>
      <c r="CH900" s="284">
        <v>17150</v>
      </c>
      <c r="CI900" s="284">
        <v>34300</v>
      </c>
      <c r="CJ900" s="282"/>
      <c r="CK900" s="284"/>
      <c r="CL900" s="286"/>
      <c r="CM900" s="284"/>
      <c r="CN900" s="287"/>
      <c r="CO900" s="284"/>
      <c r="CP900" s="286"/>
      <c r="CQ900" s="284"/>
      <c r="CR900" s="282"/>
      <c r="CS900" s="284"/>
      <c r="CT900" s="286"/>
      <c r="CU900" s="284"/>
      <c r="CV900" s="292" t="s">
        <v>320</v>
      </c>
      <c r="CW900" s="300">
        <v>3850</v>
      </c>
      <c r="CX900" s="308">
        <v>1</v>
      </c>
      <c r="CY900" s="300">
        <v>3400</v>
      </c>
      <c r="CZ900" s="282" t="s">
        <v>320</v>
      </c>
      <c r="DA900" s="284">
        <v>3850</v>
      </c>
      <c r="DB900" s="286">
        <v>1</v>
      </c>
      <c r="DC900" s="284">
        <v>3400</v>
      </c>
      <c r="DD900" s="287" t="s">
        <v>320</v>
      </c>
      <c r="DE900" s="284">
        <v>3850</v>
      </c>
      <c r="DF900" s="286">
        <v>1</v>
      </c>
      <c r="DG900" s="284">
        <v>3400</v>
      </c>
      <c r="DH900" s="282" t="s">
        <v>320</v>
      </c>
      <c r="DI900" s="284">
        <v>11000</v>
      </c>
      <c r="DJ900" s="286">
        <v>0.7</v>
      </c>
      <c r="DK900" s="284">
        <v>34300</v>
      </c>
      <c r="DL900" s="282"/>
      <c r="DM900" s="284"/>
      <c r="DN900" s="286"/>
      <c r="DO900" s="284"/>
      <c r="DP900" s="282"/>
      <c r="DQ900" s="284"/>
      <c r="DR900" s="286"/>
      <c r="DS900" s="284"/>
      <c r="DT900" s="282" t="s">
        <v>320</v>
      </c>
      <c r="DU900" s="284">
        <v>2750</v>
      </c>
      <c r="DV900" s="286">
        <v>1</v>
      </c>
      <c r="DW900" s="284">
        <v>8575</v>
      </c>
      <c r="DX900" s="282"/>
      <c r="DY900" s="284"/>
      <c r="DZ900" s="286"/>
      <c r="EA900" s="284"/>
      <c r="EB900" s="282"/>
      <c r="EC900" s="284"/>
      <c r="ED900" s="286"/>
      <c r="EE900" s="284"/>
      <c r="EF900" s="285"/>
      <c r="EG900" s="287"/>
      <c r="EH900" s="284"/>
      <c r="EI900" s="286"/>
      <c r="EJ900" s="284"/>
      <c r="EK900" s="284"/>
      <c r="EL900" s="284"/>
      <c r="EM900" s="284"/>
      <c r="EN900" s="284"/>
      <c r="EO900" s="284"/>
      <c r="EP900" s="284"/>
      <c r="EQ900" s="282"/>
      <c r="ER900" s="284"/>
      <c r="ES900" s="286"/>
      <c r="ET900" s="284"/>
      <c r="EU900" s="305"/>
      <c r="EV900" s="300"/>
      <c r="EW900" s="308"/>
      <c r="EX900" s="300"/>
      <c r="EY900" s="282"/>
      <c r="EZ900" s="284"/>
      <c r="FA900" s="286"/>
      <c r="FB900" s="284"/>
      <c r="FC900" s="282"/>
      <c r="FD900" s="284"/>
      <c r="FE900" s="286"/>
      <c r="FF900" s="284"/>
      <c r="FG900" s="282"/>
      <c r="FH900" s="284"/>
      <c r="FI900" s="286"/>
      <c r="FJ900" s="284"/>
      <c r="FK900" s="282"/>
      <c r="FL900" s="284"/>
      <c r="FM900" s="286"/>
      <c r="FN900" s="284"/>
      <c r="FO900" s="305"/>
      <c r="FP900" s="300"/>
      <c r="FQ900" s="308"/>
      <c r="FR900" s="300"/>
      <c r="FS900" s="282"/>
      <c r="FT900" s="284"/>
      <c r="FU900" s="286"/>
      <c r="FV900" s="284"/>
      <c r="FW900" s="282"/>
      <c r="FX900" s="284"/>
      <c r="FY900" s="286"/>
      <c r="FZ900" s="284"/>
      <c r="GA900" s="282"/>
      <c r="GB900" s="284"/>
      <c r="GC900" s="286"/>
      <c r="GD900" s="284"/>
      <c r="GE900" s="282"/>
      <c r="GF900" s="284"/>
      <c r="GG900" s="286"/>
      <c r="GH900" s="284"/>
      <c r="GI900" s="282"/>
      <c r="GJ900" s="284"/>
      <c r="GK900" s="286"/>
      <c r="GL900" s="284"/>
      <c r="GM900" s="282"/>
      <c r="GN900" s="284"/>
      <c r="GO900" s="286"/>
      <c r="GP900" s="284"/>
      <c r="GQ900" s="282"/>
      <c r="GR900" s="284"/>
      <c r="GS900" s="286"/>
      <c r="GT900" s="284"/>
      <c r="GU900" s="282"/>
      <c r="GV900" s="284"/>
      <c r="GW900" s="286"/>
      <c r="GX900" s="284"/>
      <c r="GY900" s="282"/>
      <c r="GZ900" s="284"/>
      <c r="HA900" s="286"/>
      <c r="HB900" s="284"/>
      <c r="HC900" s="282"/>
      <c r="HD900" s="282"/>
      <c r="HE900" s="284"/>
      <c r="HF900" s="286"/>
      <c r="HG900" s="284"/>
      <c r="HH900" s="282" t="s">
        <v>319</v>
      </c>
      <c r="HI900" s="282"/>
      <c r="HJ900" s="282"/>
      <c r="HK900" s="282" t="s">
        <v>319</v>
      </c>
      <c r="HL900" s="282"/>
      <c r="HM900" s="282"/>
      <c r="HN900" s="282"/>
      <c r="HO900" s="282"/>
      <c r="HP900" s="282" t="s">
        <v>418</v>
      </c>
      <c r="HQ900" s="282" t="s">
        <v>319</v>
      </c>
      <c r="HR900" s="282"/>
      <c r="HS900" s="282"/>
      <c r="HT900" s="282" t="s">
        <v>319</v>
      </c>
      <c r="HU900" s="282"/>
      <c r="HV900" s="282"/>
      <c r="HW900" s="282"/>
      <c r="HX900" s="282"/>
      <c r="HY900" s="282"/>
      <c r="HZ900" s="282" t="s">
        <v>331</v>
      </c>
      <c r="IA900" s="282" t="s">
        <v>13782</v>
      </c>
      <c r="IB900" s="282" t="s">
        <v>396</v>
      </c>
      <c r="IC900" s="282"/>
      <c r="ID900" s="282" t="s">
        <v>334</v>
      </c>
      <c r="IE900" s="282" t="s">
        <v>335</v>
      </c>
      <c r="IF900" s="282" t="s">
        <v>320</v>
      </c>
      <c r="IG900" s="282" t="s">
        <v>320</v>
      </c>
      <c r="IH900" s="282" t="s">
        <v>320</v>
      </c>
      <c r="II900" s="282" t="s">
        <v>320</v>
      </c>
      <c r="IJ900" s="12" t="str">
        <f t="shared" si="602"/>
        <v>2. Sensitive</v>
      </c>
      <c r="IK900" s="287">
        <f t="shared" si="604"/>
        <v>4</v>
      </c>
      <c r="IL900" s="282" t="s">
        <v>336</v>
      </c>
      <c r="IM900" s="282" t="s">
        <v>320</v>
      </c>
      <c r="IN900" s="282" t="s">
        <v>320</v>
      </c>
      <c r="IO900" s="282" t="s">
        <v>320</v>
      </c>
      <c r="IP900" s="282" t="s">
        <v>320</v>
      </c>
      <c r="IQ900" s="287" t="str">
        <f t="shared" si="605"/>
        <v>2. Accommodating</v>
      </c>
      <c r="IR900" s="287">
        <f t="shared" si="606"/>
        <v>4</v>
      </c>
      <c r="IS900" s="282" t="s">
        <v>337</v>
      </c>
      <c r="IT900" s="282" t="s">
        <v>320</v>
      </c>
      <c r="IU900" s="282" t="s">
        <v>320</v>
      </c>
      <c r="IV900" s="282" t="s">
        <v>320</v>
      </c>
      <c r="IW900" s="11" t="str">
        <f t="shared" si="607"/>
        <v>2. Sensitive</v>
      </c>
      <c r="IX900" s="287">
        <f t="shared" si="608"/>
        <v>3</v>
      </c>
      <c r="IY900" s="282" t="s">
        <v>338</v>
      </c>
      <c r="IZ900" s="282" t="s">
        <v>457</v>
      </c>
      <c r="JA900" s="282">
        <v>2</v>
      </c>
      <c r="JB900" s="282" t="s">
        <v>687</v>
      </c>
      <c r="JC900" s="282" t="s">
        <v>433</v>
      </c>
      <c r="JD900" s="282" t="s">
        <v>651</v>
      </c>
      <c r="JE900" s="282" t="s">
        <v>340</v>
      </c>
      <c r="JF900" s="282"/>
      <c r="JG900" s="282"/>
      <c r="JH900" s="282"/>
      <c r="JI900" s="282"/>
      <c r="JJ900" s="282"/>
      <c r="JK900" s="282"/>
      <c r="JL900" s="282"/>
      <c r="JM900" s="282"/>
      <c r="JN900" s="282"/>
      <c r="JO900" s="282"/>
      <c r="JP900" s="15">
        <f t="shared" si="609"/>
        <v>11000</v>
      </c>
      <c r="JQ900" s="15">
        <f t="shared" si="610"/>
        <v>34300</v>
      </c>
      <c r="JR900" s="279">
        <f t="shared" si="611"/>
        <v>3.1181818181818182</v>
      </c>
      <c r="JS900" s="17">
        <f t="shared" si="612"/>
        <v>0.7</v>
      </c>
      <c r="JT900" s="18">
        <f t="shared" si="613"/>
        <v>0.5</v>
      </c>
      <c r="JU900" s="280">
        <f t="shared" si="614"/>
        <v>7700</v>
      </c>
      <c r="JV900" s="280">
        <f t="shared" si="615"/>
        <v>17150</v>
      </c>
      <c r="JW900" s="319">
        <f t="shared" si="616"/>
        <v>1</v>
      </c>
      <c r="JX900" s="15">
        <f t="shared" si="617"/>
        <v>11000</v>
      </c>
      <c r="JY900" s="15">
        <f t="shared" si="618"/>
        <v>34300</v>
      </c>
      <c r="JZ900" s="19">
        <f t="shared" si="619"/>
        <v>3.1181818181818182</v>
      </c>
      <c r="KA900" s="52">
        <f t="shared" si="620"/>
        <v>1</v>
      </c>
      <c r="KB900" s="15">
        <f t="shared" si="621"/>
        <v>3850</v>
      </c>
      <c r="KC900" s="15">
        <f t="shared" si="622"/>
        <v>3400</v>
      </c>
      <c r="KD900" s="20">
        <f t="shared" si="623"/>
        <v>0.88311688311688308</v>
      </c>
      <c r="KE900" s="52">
        <f t="shared" si="624"/>
        <v>1</v>
      </c>
      <c r="KF900" s="15">
        <f t="shared" si="625"/>
        <v>2750</v>
      </c>
      <c r="KG900" s="15">
        <f t="shared" si="626"/>
        <v>8575</v>
      </c>
      <c r="KH900" s="21">
        <f t="shared" si="627"/>
        <v>3.1181818181818182</v>
      </c>
      <c r="KI900" s="52">
        <f t="shared" si="628"/>
        <v>1</v>
      </c>
      <c r="KJ900" s="15">
        <f t="shared" si="629"/>
        <v>3850</v>
      </c>
      <c r="KK900" s="15">
        <f t="shared" si="630"/>
        <v>3400</v>
      </c>
      <c r="KL900" s="19">
        <f t="shared" si="631"/>
        <v>0.88311688311688308</v>
      </c>
      <c r="KM900" s="52" t="str">
        <f t="shared" si="632"/>
        <v/>
      </c>
      <c r="KN900" s="22">
        <f t="shared" si="633"/>
        <v>0</v>
      </c>
      <c r="KO900" s="22">
        <f t="shared" si="634"/>
        <v>0</v>
      </c>
      <c r="KP900" s="19" t="str">
        <f t="shared" si="635"/>
        <v/>
      </c>
      <c r="KQ900" s="11" t="str">
        <f t="shared" si="636"/>
        <v>2. Sensitive</v>
      </c>
      <c r="KR900" s="11" t="str">
        <f t="shared" si="637"/>
        <v>2. Accommodating</v>
      </c>
      <c r="KS900" s="11" t="str">
        <f t="shared" si="638"/>
        <v>2. Sensitive</v>
      </c>
      <c r="KT900" s="11" t="str">
        <f t="shared" si="639"/>
        <v>It tested new ways for fighting poverty and measured results of innovation</v>
      </c>
      <c r="KU900" s="11" t="str">
        <f t="shared" si="640"/>
        <v>Little or no advocacy</v>
      </c>
      <c r="KV900" s="11" t="str">
        <f t="shared" si="641"/>
        <v>It linked and worked with strategic alliances and partners to take tested and effective solutions to scale</v>
      </c>
      <c r="KW900" s="11" t="str">
        <f t="shared" si="642"/>
        <v>West Bank and Gaza - Health under protection (HUP): Emergency health and nutrition assistance to people living in communities whose rights are inadequately protected in the West bank (WB)</v>
      </c>
      <c r="KX900" s="11" t="str">
        <f t="shared" si="643"/>
        <v>Health under protection (HUP): Emergency health and nutrition assistance to people living in communities whose rights are inadequately protected in the West bank (WB)</v>
      </c>
      <c r="KY900" s="11" t="str">
        <f t="shared" si="644"/>
        <v>West Bank and Gaza</v>
      </c>
      <c r="KZ900" s="12">
        <v>901</v>
      </c>
    </row>
    <row r="901" spans="1:312" x14ac:dyDescent="0.3">
      <c r="A901" s="12" t="s">
        <v>13710</v>
      </c>
      <c r="B901" s="12" t="s">
        <v>602</v>
      </c>
      <c r="C901" s="12">
        <v>3783</v>
      </c>
      <c r="D901" s="12" t="s">
        <v>13773</v>
      </c>
      <c r="E901" s="277" t="str">
        <f t="shared" si="603"/>
        <v>West Bank and Gaza</v>
      </c>
      <c r="F901" s="12" t="s">
        <v>13774</v>
      </c>
      <c r="G901" s="12" t="s">
        <v>379</v>
      </c>
      <c r="H901" s="12" t="s">
        <v>383</v>
      </c>
      <c r="I901" s="12" t="s">
        <v>655</v>
      </c>
      <c r="J901" s="281" t="s">
        <v>4991</v>
      </c>
      <c r="K901" s="12"/>
      <c r="L901" s="12"/>
      <c r="M901" s="12"/>
      <c r="N901" s="12"/>
      <c r="O901" s="12"/>
      <c r="P901" s="12"/>
      <c r="Q901" s="12"/>
      <c r="R901" s="12"/>
      <c r="S901" s="12"/>
      <c r="T901" s="12"/>
      <c r="U901" s="12"/>
      <c r="V901" s="12"/>
      <c r="W901" s="12"/>
      <c r="X901" s="12"/>
      <c r="Y901" s="12"/>
      <c r="Z901" s="12"/>
      <c r="AA901" s="12"/>
      <c r="AB901" s="12"/>
      <c r="AC901" s="12"/>
      <c r="AD901" s="12"/>
      <c r="BD901" s="13">
        <v>42381</v>
      </c>
      <c r="BE901" s="13">
        <v>44207</v>
      </c>
      <c r="BF901" s="12"/>
      <c r="BG901" s="12" t="s">
        <v>817</v>
      </c>
      <c r="BH901" s="14">
        <v>3072389</v>
      </c>
      <c r="BI901" s="12" t="s">
        <v>13732</v>
      </c>
      <c r="BJ901" s="12" t="s">
        <v>11753</v>
      </c>
      <c r="BK901" s="12" t="s">
        <v>13733</v>
      </c>
      <c r="BL901" s="12"/>
      <c r="BM901" s="12"/>
      <c r="BN901" s="12"/>
      <c r="BO901" s="12" t="s">
        <v>320</v>
      </c>
      <c r="BP901" s="12" t="s">
        <v>319</v>
      </c>
      <c r="BQ901" s="12" t="s">
        <v>319</v>
      </c>
      <c r="BR901" s="12" t="s">
        <v>13775</v>
      </c>
      <c r="BS901" s="12" t="s">
        <v>357</v>
      </c>
      <c r="BT901" s="12" t="s">
        <v>13764</v>
      </c>
      <c r="BU901" s="12"/>
      <c r="BV901" s="14">
        <v>100000</v>
      </c>
      <c r="BW901" s="14">
        <v>100000</v>
      </c>
      <c r="BX901" s="14">
        <v>200000</v>
      </c>
      <c r="BY901" s="14"/>
      <c r="BZ901" s="14"/>
      <c r="CA901" s="14"/>
      <c r="CB901" s="12"/>
      <c r="CD901" s="14">
        <v>85812</v>
      </c>
      <c r="CE901" s="14">
        <v>54612</v>
      </c>
      <c r="CF901" s="14">
        <v>140424</v>
      </c>
      <c r="CG901" s="14"/>
      <c r="CH901" s="14"/>
      <c r="CI901" s="14"/>
      <c r="CJ901" s="12"/>
      <c r="CK901" s="14"/>
      <c r="CL901" s="16"/>
      <c r="CM901" s="14"/>
      <c r="CN901" s="12"/>
      <c r="CO901" s="14"/>
      <c r="CP901" s="16"/>
      <c r="CQ901" s="14"/>
      <c r="CR901" s="12"/>
      <c r="CS901" s="14"/>
      <c r="CT901" s="16"/>
      <c r="CU901" s="14"/>
      <c r="CV901" s="12"/>
      <c r="CW901" s="14"/>
      <c r="CX901" s="16"/>
      <c r="CY901" s="14"/>
      <c r="CZ901" s="12"/>
      <c r="DA901" s="14"/>
      <c r="DB901" s="16"/>
      <c r="DC901" s="14"/>
      <c r="DD901" s="12"/>
      <c r="DE901" s="14"/>
      <c r="DF901" s="16"/>
      <c r="DG901" s="14"/>
      <c r="DH901" s="12" t="s">
        <v>320</v>
      </c>
      <c r="DI901" s="14">
        <v>140424</v>
      </c>
      <c r="DJ901" s="16">
        <v>0.7</v>
      </c>
      <c r="DK901" s="14"/>
      <c r="DL901" s="12"/>
      <c r="DM901" s="14"/>
      <c r="DN901" s="16"/>
      <c r="DO901" s="14"/>
      <c r="DP901" s="12"/>
      <c r="DQ901" s="14"/>
      <c r="DR901" s="16"/>
      <c r="DS901" s="14"/>
      <c r="DT901" s="12" t="s">
        <v>320</v>
      </c>
      <c r="DU901" s="14">
        <v>25000</v>
      </c>
      <c r="DV901" s="16">
        <v>1</v>
      </c>
      <c r="DW901" s="14"/>
      <c r="DX901" s="12"/>
      <c r="DY901" s="14"/>
      <c r="DZ901" s="16"/>
      <c r="EA901" s="14"/>
      <c r="EB901" s="12"/>
      <c r="EC901" s="14"/>
      <c r="ED901" s="16"/>
      <c r="EE901" s="14"/>
      <c r="EF901" s="12"/>
      <c r="EG901" s="12"/>
      <c r="EH901" s="14"/>
      <c r="EI901" s="16"/>
      <c r="EJ901" s="14"/>
      <c r="EK901" s="14"/>
      <c r="EL901" s="14"/>
      <c r="EM901" s="14"/>
      <c r="EN901" s="14"/>
      <c r="EO901" s="14"/>
      <c r="EP901" s="14"/>
      <c r="EQ901" s="12"/>
      <c r="ER901" s="14"/>
      <c r="ES901" s="16"/>
      <c r="ET901" s="14"/>
      <c r="EU901" s="12"/>
      <c r="EV901" s="14"/>
      <c r="EW901" s="16"/>
      <c r="EX901" s="14"/>
      <c r="EY901" s="12"/>
      <c r="EZ901" s="14"/>
      <c r="FA901" s="16"/>
      <c r="FB901" s="14"/>
      <c r="FC901" s="12"/>
      <c r="FD901" s="14"/>
      <c r="FE901" s="16"/>
      <c r="FF901" s="14"/>
      <c r="FG901" s="12"/>
      <c r="FH901" s="14"/>
      <c r="FI901" s="16"/>
      <c r="FJ901" s="14"/>
      <c r="FK901" s="12"/>
      <c r="FL901" s="14"/>
      <c r="FM901" s="16"/>
      <c r="FN901" s="14"/>
      <c r="FO901" s="12"/>
      <c r="FP901" s="14"/>
      <c r="FQ901" s="16"/>
      <c r="FR901" s="14"/>
      <c r="FS901" s="12"/>
      <c r="FT901" s="14"/>
      <c r="FU901" s="16"/>
      <c r="FV901" s="14"/>
      <c r="FW901" s="12"/>
      <c r="FX901" s="14"/>
      <c r="FY901" s="16"/>
      <c r="FZ901" s="14"/>
      <c r="GA901" s="12"/>
      <c r="GB901" s="14"/>
      <c r="GC901" s="16"/>
      <c r="GD901" s="14"/>
      <c r="GE901" s="12"/>
      <c r="GF901" s="14"/>
      <c r="GG901" s="16"/>
      <c r="GH901" s="14"/>
      <c r="GI901" s="12"/>
      <c r="GJ901" s="14"/>
      <c r="GK901" s="16"/>
      <c r="GL901" s="14"/>
      <c r="GM901" s="12"/>
      <c r="GN901" s="14"/>
      <c r="GO901" s="16"/>
      <c r="GP901" s="14"/>
      <c r="GQ901" s="12"/>
      <c r="GR901" s="14"/>
      <c r="GS901" s="16"/>
      <c r="GT901" s="14"/>
      <c r="GU901" s="12"/>
      <c r="GV901" s="14"/>
      <c r="GW901" s="16"/>
      <c r="GX901" s="14"/>
      <c r="GY901" s="12"/>
      <c r="GZ901" s="14"/>
      <c r="HA901" s="16"/>
      <c r="HB901" s="14"/>
      <c r="HC901" s="12"/>
      <c r="HD901" s="12"/>
      <c r="HE901" s="14"/>
      <c r="HF901" s="16"/>
      <c r="HG901" s="14"/>
      <c r="HH901" s="12" t="s">
        <v>320</v>
      </c>
      <c r="HI901" s="12"/>
      <c r="HJ901" s="12"/>
      <c r="HK901" s="12" t="s">
        <v>319</v>
      </c>
      <c r="HL901" s="12" t="s">
        <v>320</v>
      </c>
      <c r="HM901" s="12"/>
      <c r="HN901" s="12"/>
      <c r="HO901" s="12"/>
      <c r="HP901" s="12" t="s">
        <v>330</v>
      </c>
      <c r="HQ901" s="12" t="s">
        <v>319</v>
      </c>
      <c r="HR901" s="12" t="s">
        <v>319</v>
      </c>
      <c r="HS901" s="12" t="s">
        <v>319</v>
      </c>
      <c r="HT901" s="12" t="s">
        <v>319</v>
      </c>
      <c r="HU901" s="12" t="s">
        <v>319</v>
      </c>
      <c r="HV901" s="12" t="s">
        <v>319</v>
      </c>
      <c r="HW901" s="12" t="s">
        <v>319</v>
      </c>
      <c r="HX901" s="12"/>
      <c r="HY901" s="12"/>
      <c r="HZ901" s="12" t="s">
        <v>394</v>
      </c>
      <c r="IA901" s="12"/>
      <c r="IB901" s="12" t="s">
        <v>396</v>
      </c>
      <c r="IC901" s="12"/>
      <c r="ID901" s="12" t="s">
        <v>334</v>
      </c>
      <c r="IE901" s="12" t="s">
        <v>335</v>
      </c>
      <c r="IF901" s="12" t="s">
        <v>320</v>
      </c>
      <c r="IG901" s="12" t="s">
        <v>320</v>
      </c>
      <c r="IH901" s="12" t="s">
        <v>320</v>
      </c>
      <c r="II901" s="12" t="s">
        <v>320</v>
      </c>
      <c r="IJ901" s="12" t="str">
        <f t="shared" si="602"/>
        <v>2. Sensitive</v>
      </c>
      <c r="IK901" s="12">
        <f t="shared" si="604"/>
        <v>4</v>
      </c>
      <c r="IL901" s="12" t="s">
        <v>336</v>
      </c>
      <c r="IM901" s="12" t="s">
        <v>320</v>
      </c>
      <c r="IN901" s="12" t="s">
        <v>320</v>
      </c>
      <c r="IO901" s="12" t="s">
        <v>320</v>
      </c>
      <c r="IP901" s="12" t="s">
        <v>320</v>
      </c>
      <c r="IQ901" s="12" t="str">
        <f t="shared" si="605"/>
        <v>2. Accommodating</v>
      </c>
      <c r="IR901" s="12">
        <f t="shared" si="606"/>
        <v>4</v>
      </c>
      <c r="IS901" s="12" t="s">
        <v>622</v>
      </c>
      <c r="IT901" s="12" t="s">
        <v>320</v>
      </c>
      <c r="IU901" s="12" t="s">
        <v>320</v>
      </c>
      <c r="IV901" s="12" t="s">
        <v>320</v>
      </c>
      <c r="IW901" s="11" t="str">
        <f t="shared" si="607"/>
        <v>4. Transformative</v>
      </c>
      <c r="IX901" s="12">
        <f t="shared" si="608"/>
        <v>3</v>
      </c>
      <c r="IY901" s="12" t="s">
        <v>338</v>
      </c>
      <c r="IZ901" s="12" t="s">
        <v>457</v>
      </c>
      <c r="JA901" s="12"/>
      <c r="JB901" s="12" t="s">
        <v>831</v>
      </c>
      <c r="JC901" s="12" t="s">
        <v>687</v>
      </c>
      <c r="JD901" s="12"/>
      <c r="JE901" s="12" t="s">
        <v>420</v>
      </c>
      <c r="JF901" s="12"/>
      <c r="JG901" s="12"/>
      <c r="JH901" s="12"/>
      <c r="JI901" s="12"/>
      <c r="JJ901" s="12"/>
      <c r="JK901" s="12"/>
      <c r="JL901" s="12"/>
      <c r="JM901" s="12"/>
      <c r="JN901" s="12"/>
      <c r="JO901" s="12"/>
      <c r="JP901" s="15">
        <f t="shared" si="609"/>
        <v>140424</v>
      </c>
      <c r="JQ901" s="15">
        <f t="shared" si="610"/>
        <v>0</v>
      </c>
      <c r="JR901" s="279">
        <f t="shared" si="611"/>
        <v>0</v>
      </c>
      <c r="JS901" s="17">
        <f t="shared" si="612"/>
        <v>0.61109212100495647</v>
      </c>
      <c r="JT901" s="18" t="str">
        <f t="shared" si="613"/>
        <v/>
      </c>
      <c r="JU901" s="280">
        <f t="shared" si="614"/>
        <v>85812</v>
      </c>
      <c r="JV901" s="280">
        <f t="shared" si="615"/>
        <v>0</v>
      </c>
      <c r="JW901" s="319">
        <f t="shared" si="616"/>
        <v>1</v>
      </c>
      <c r="JX901" s="15">
        <f t="shared" si="617"/>
        <v>140424</v>
      </c>
      <c r="JY901" s="15">
        <f t="shared" si="618"/>
        <v>0</v>
      </c>
      <c r="JZ901" s="19">
        <f t="shared" si="619"/>
        <v>0</v>
      </c>
      <c r="KA901" s="52" t="str">
        <f t="shared" si="620"/>
        <v/>
      </c>
      <c r="KB901" s="15">
        <f t="shared" si="621"/>
        <v>0</v>
      </c>
      <c r="KC901" s="15">
        <f t="shared" si="622"/>
        <v>0</v>
      </c>
      <c r="KD901" s="20" t="str">
        <f t="shared" si="623"/>
        <v/>
      </c>
      <c r="KE901" s="52">
        <f t="shared" si="624"/>
        <v>1</v>
      </c>
      <c r="KF901" s="15">
        <f t="shared" si="625"/>
        <v>25000</v>
      </c>
      <c r="KG901" s="15">
        <f t="shared" si="626"/>
        <v>0</v>
      </c>
      <c r="KH901" s="21">
        <f t="shared" si="627"/>
        <v>0</v>
      </c>
      <c r="KI901" s="52" t="str">
        <f t="shared" si="628"/>
        <v/>
      </c>
      <c r="KJ901" s="15">
        <f t="shared" si="629"/>
        <v>0</v>
      </c>
      <c r="KK901" s="15">
        <f t="shared" si="630"/>
        <v>0</v>
      </c>
      <c r="KL901" s="19" t="str">
        <f t="shared" si="631"/>
        <v/>
      </c>
      <c r="KM901" s="52" t="str">
        <f t="shared" si="632"/>
        <v/>
      </c>
      <c r="KN901" s="22">
        <f t="shared" si="633"/>
        <v>0</v>
      </c>
      <c r="KO901" s="22">
        <f t="shared" si="634"/>
        <v>0</v>
      </c>
      <c r="KP901" s="19" t="str">
        <f t="shared" si="635"/>
        <v/>
      </c>
      <c r="KQ901" s="11" t="str">
        <f t="shared" si="636"/>
        <v>2. Sensitive</v>
      </c>
      <c r="KR901" s="11" t="str">
        <f t="shared" si="637"/>
        <v>2. Accommodating</v>
      </c>
      <c r="KS901" s="11" t="str">
        <f t="shared" si="638"/>
        <v>4. Transformative</v>
      </c>
      <c r="KT901" s="11" t="str">
        <f t="shared" si="639"/>
        <v>It tested new ways for fighting poverty, but did not measure results of innovation</v>
      </c>
      <c r="KU901" s="11" t="str">
        <f t="shared" si="640"/>
        <v>Moderate advocacy</v>
      </c>
      <c r="KV901" s="11" t="str">
        <f t="shared" si="641"/>
        <v>It linked and worked with strategic alliances and partners to take tested and effective solutions to scale</v>
      </c>
      <c r="KW901" s="11" t="str">
        <f t="shared" si="642"/>
        <v>West Bank and Gaza - Improve access and availability of quality care within Gaza by building the capacity of NGOs and community based organization</v>
      </c>
      <c r="KX901" s="11" t="str">
        <f t="shared" si="643"/>
        <v>Improve access and availability of quality care within Gaza by building the capacity of NGOs and community based organization</v>
      </c>
      <c r="KY901" s="11" t="str">
        <f t="shared" si="644"/>
        <v>West Bank and Gaza</v>
      </c>
      <c r="KZ901" s="12">
        <v>902</v>
      </c>
    </row>
    <row r="902" spans="1:312" x14ac:dyDescent="0.3">
      <c r="A902" s="12" t="s">
        <v>13710</v>
      </c>
      <c r="B902" s="12" t="s">
        <v>602</v>
      </c>
      <c r="C902" s="12"/>
      <c r="D902" s="12" t="s">
        <v>2276</v>
      </c>
      <c r="E902" s="277" t="str">
        <f t="shared" si="603"/>
        <v>West Bank and Gaza</v>
      </c>
      <c r="F902" s="12" t="s">
        <v>3436</v>
      </c>
      <c r="G902" s="12" t="s">
        <v>488</v>
      </c>
      <c r="H902" s="12" t="s">
        <v>554</v>
      </c>
      <c r="I902" s="12" t="s">
        <v>384</v>
      </c>
      <c r="J902" s="281"/>
      <c r="K902" s="12" t="s">
        <v>3436</v>
      </c>
      <c r="L902" s="12" t="s">
        <v>488</v>
      </c>
      <c r="M902" s="12" t="s">
        <v>383</v>
      </c>
      <c r="N902" s="12" t="s">
        <v>384</v>
      </c>
      <c r="O902" s="12" t="s">
        <v>2277</v>
      </c>
      <c r="P902" s="12"/>
      <c r="Q902" s="12"/>
      <c r="R902" s="12"/>
      <c r="S902" s="12"/>
      <c r="T902" s="12"/>
      <c r="U902" s="12"/>
      <c r="V902" s="12"/>
      <c r="W902" s="12"/>
      <c r="X902" s="12"/>
      <c r="Y902" s="12"/>
      <c r="Z902" s="12"/>
      <c r="AA902" s="12"/>
      <c r="AB902" s="12"/>
      <c r="AC902" s="12"/>
      <c r="AD902" s="12"/>
      <c r="BD902" s="13">
        <v>42552</v>
      </c>
      <c r="BE902" s="13">
        <v>42916</v>
      </c>
      <c r="BF902" s="12"/>
      <c r="BG902" s="12" t="s">
        <v>350</v>
      </c>
      <c r="BH902" s="14">
        <v>140250</v>
      </c>
      <c r="BI902" s="12" t="s">
        <v>2278</v>
      </c>
      <c r="BJ902" s="12" t="s">
        <v>2279</v>
      </c>
      <c r="BK902" s="12" t="s">
        <v>2280</v>
      </c>
      <c r="BL902" s="12"/>
      <c r="BM902" s="12"/>
      <c r="BN902" s="12"/>
      <c r="BO902" s="12" t="s">
        <v>319</v>
      </c>
      <c r="BP902" s="12" t="s">
        <v>320</v>
      </c>
      <c r="BQ902" s="12" t="s">
        <v>319</v>
      </c>
      <c r="BR902" s="12" t="s">
        <v>2281</v>
      </c>
      <c r="BS902" s="12" t="s">
        <v>357</v>
      </c>
      <c r="BT902" s="12" t="s">
        <v>13767</v>
      </c>
      <c r="BU902" s="12" t="s">
        <v>13768</v>
      </c>
      <c r="BV902" s="14">
        <v>13</v>
      </c>
      <c r="BW902" s="14">
        <v>28</v>
      </c>
      <c r="BX902" s="14">
        <v>41</v>
      </c>
      <c r="BY902" s="14">
        <v>51</v>
      </c>
      <c r="BZ902" s="14">
        <v>108</v>
      </c>
      <c r="CA902" s="14">
        <v>159</v>
      </c>
      <c r="CB902" s="12" t="s">
        <v>13769</v>
      </c>
      <c r="CD902" s="14"/>
      <c r="CE902" s="14"/>
      <c r="CF902" s="14"/>
      <c r="CG902" s="14"/>
      <c r="CH902" s="14"/>
      <c r="CI902" s="14"/>
      <c r="CJ902" s="12"/>
      <c r="CK902" s="14"/>
      <c r="CL902" s="16"/>
      <c r="CM902" s="14"/>
      <c r="CN902" s="12"/>
      <c r="CO902" s="14"/>
      <c r="CP902" s="16"/>
      <c r="CQ902" s="14"/>
      <c r="CR902" s="12"/>
      <c r="CS902" s="14"/>
      <c r="CT902" s="16"/>
      <c r="CU902" s="14"/>
      <c r="CV902" s="12"/>
      <c r="CW902" s="14"/>
      <c r="CX902" s="16"/>
      <c r="CY902" s="14"/>
      <c r="CZ902" s="12"/>
      <c r="DA902" s="14"/>
      <c r="DB902" s="16"/>
      <c r="DC902" s="14"/>
      <c r="DD902" s="12"/>
      <c r="DE902" s="14"/>
      <c r="DF902" s="16"/>
      <c r="DG902" s="14"/>
      <c r="DH902" s="12"/>
      <c r="DI902" s="14"/>
      <c r="DJ902" s="16"/>
      <c r="DK902" s="14"/>
      <c r="DL902" s="12"/>
      <c r="DM902" s="14"/>
      <c r="DN902" s="16"/>
      <c r="DO902" s="14"/>
      <c r="DP902" s="12"/>
      <c r="DQ902" s="14"/>
      <c r="DR902" s="16"/>
      <c r="DS902" s="14"/>
      <c r="DT902" s="12"/>
      <c r="DU902" s="14"/>
      <c r="DV902" s="16"/>
      <c r="DW902" s="14"/>
      <c r="DX902" s="12"/>
      <c r="DY902" s="14"/>
      <c r="DZ902" s="16"/>
      <c r="EA902" s="14"/>
      <c r="EB902" s="12"/>
      <c r="EC902" s="14"/>
      <c r="ED902" s="16"/>
      <c r="EE902" s="14"/>
      <c r="EF902" s="12"/>
      <c r="EG902" s="12"/>
      <c r="EH902" s="14"/>
      <c r="EI902" s="16"/>
      <c r="EJ902" s="14"/>
      <c r="EK902" s="14">
        <v>13</v>
      </c>
      <c r="EL902" s="14">
        <v>28</v>
      </c>
      <c r="EM902" s="14">
        <v>41</v>
      </c>
      <c r="EN902" s="14">
        <v>51</v>
      </c>
      <c r="EO902" s="14">
        <v>108</v>
      </c>
      <c r="EP902" s="14">
        <v>159</v>
      </c>
      <c r="EQ902" s="12"/>
      <c r="ER902" s="14"/>
      <c r="ES902" s="16"/>
      <c r="ET902" s="14"/>
      <c r="EU902" s="12"/>
      <c r="EV902" s="14"/>
      <c r="EW902" s="16"/>
      <c r="EX902" s="14"/>
      <c r="EY902" s="12"/>
      <c r="EZ902" s="14"/>
      <c r="FA902" s="16"/>
      <c r="FB902" s="14"/>
      <c r="FC902" s="12"/>
      <c r="FD902" s="14"/>
      <c r="FE902" s="16"/>
      <c r="FF902" s="14"/>
      <c r="FG902" s="12"/>
      <c r="FH902" s="14"/>
      <c r="FI902" s="16"/>
      <c r="FJ902" s="14"/>
      <c r="FK902" s="12"/>
      <c r="FL902" s="14"/>
      <c r="FM902" s="16"/>
      <c r="FN902" s="14"/>
      <c r="FO902" s="12"/>
      <c r="FP902" s="14"/>
      <c r="FQ902" s="16"/>
      <c r="FR902" s="14"/>
      <c r="FS902" s="12"/>
      <c r="FT902" s="14"/>
      <c r="FU902" s="16"/>
      <c r="FV902" s="14"/>
      <c r="FW902" s="12"/>
      <c r="FX902" s="14"/>
      <c r="FY902" s="16"/>
      <c r="FZ902" s="14"/>
      <c r="GA902" s="12"/>
      <c r="GB902" s="14"/>
      <c r="GC902" s="16"/>
      <c r="GD902" s="14"/>
      <c r="GE902" s="12"/>
      <c r="GF902" s="14"/>
      <c r="GG902" s="16"/>
      <c r="GH902" s="14"/>
      <c r="GI902" s="12"/>
      <c r="GJ902" s="14"/>
      <c r="GK902" s="16"/>
      <c r="GL902" s="14"/>
      <c r="GM902" s="12"/>
      <c r="GN902" s="14"/>
      <c r="GO902" s="16"/>
      <c r="GP902" s="14"/>
      <c r="GQ902" s="12"/>
      <c r="GR902" s="14"/>
      <c r="GS902" s="16"/>
      <c r="GT902" s="14"/>
      <c r="GU902" s="12"/>
      <c r="GV902" s="14"/>
      <c r="GW902" s="16"/>
      <c r="GX902" s="14"/>
      <c r="GY902" s="11" t="s">
        <v>320</v>
      </c>
      <c r="GZ902" s="14">
        <v>41</v>
      </c>
      <c r="HA902" s="16">
        <v>0.32</v>
      </c>
      <c r="HB902" s="14">
        <v>211</v>
      </c>
      <c r="HC902" s="12"/>
      <c r="HD902" s="12"/>
      <c r="HE902" s="14"/>
      <c r="HF902" s="16"/>
      <c r="HG902" s="14"/>
      <c r="HH902" s="12" t="s">
        <v>319</v>
      </c>
      <c r="HI902" s="12"/>
      <c r="HJ902" s="12"/>
      <c r="HK902" s="12"/>
      <c r="HL902" s="12" t="s">
        <v>319</v>
      </c>
      <c r="HM902" s="12"/>
      <c r="HN902" s="12"/>
      <c r="HO902" s="12"/>
      <c r="HP902" s="12" t="s">
        <v>418</v>
      </c>
      <c r="HQ902" s="12"/>
      <c r="HR902" s="12"/>
      <c r="HS902" s="12"/>
      <c r="HT902" s="12"/>
      <c r="HU902" s="12"/>
      <c r="HV902" s="12"/>
      <c r="HW902" s="12"/>
      <c r="HX902" s="12"/>
      <c r="HY902" s="12"/>
      <c r="HZ902" s="12" t="s">
        <v>363</v>
      </c>
      <c r="IA902" s="12"/>
      <c r="IB902" s="12" t="s">
        <v>333</v>
      </c>
      <c r="IC902" s="12"/>
      <c r="ID902" s="12" t="s">
        <v>364</v>
      </c>
      <c r="IE902" s="12" t="s">
        <v>1909</v>
      </c>
      <c r="IF902" s="12"/>
      <c r="IG902" s="12"/>
      <c r="IH902" s="12"/>
      <c r="II902" s="12"/>
      <c r="IJ902" s="12" t="str">
        <f t="shared" si="602"/>
        <v>0. Harmful</v>
      </c>
      <c r="IK902" s="12">
        <f t="shared" si="604"/>
        <v>0</v>
      </c>
      <c r="IL902" s="12" t="s">
        <v>723</v>
      </c>
      <c r="IM902" s="12"/>
      <c r="IN902" s="12"/>
      <c r="IO902" s="12"/>
      <c r="IP902" s="12"/>
      <c r="IQ902" s="12" t="str">
        <f t="shared" si="605"/>
        <v>0. Unaware</v>
      </c>
      <c r="IR902" s="12">
        <f t="shared" si="606"/>
        <v>0</v>
      </c>
      <c r="IS902" s="12" t="s">
        <v>456</v>
      </c>
      <c r="IT902" s="12"/>
      <c r="IU902" s="12"/>
      <c r="IV902" s="12"/>
      <c r="IW902" s="11" t="str">
        <f t="shared" si="607"/>
        <v>0. Harmful</v>
      </c>
      <c r="IX902" s="12">
        <f t="shared" si="608"/>
        <v>0</v>
      </c>
      <c r="IY902" s="12" t="s">
        <v>338</v>
      </c>
      <c r="IZ902" s="12" t="s">
        <v>457</v>
      </c>
      <c r="JA902" s="12">
        <v>1</v>
      </c>
      <c r="JB902" s="12" t="s">
        <v>724</v>
      </c>
      <c r="JC902" s="12"/>
      <c r="JD902" s="12"/>
      <c r="JE902" s="12" t="s">
        <v>420</v>
      </c>
      <c r="JF902" s="12"/>
      <c r="JG902" s="12" t="s">
        <v>2285</v>
      </c>
      <c r="JH902" s="12" t="s">
        <v>3440</v>
      </c>
      <c r="JI902" s="12" t="s">
        <v>3441</v>
      </c>
      <c r="JJ902" s="12"/>
      <c r="JK902" s="12" t="s">
        <v>13770</v>
      </c>
      <c r="JL902" s="12" t="s">
        <v>13771</v>
      </c>
      <c r="JM902" s="12"/>
      <c r="JN902" s="12" t="s">
        <v>13772</v>
      </c>
      <c r="JO902" s="12"/>
      <c r="JP902" s="15">
        <f t="shared" si="609"/>
        <v>41</v>
      </c>
      <c r="JQ902" s="15">
        <f t="shared" si="610"/>
        <v>159</v>
      </c>
      <c r="JR902" s="279">
        <f t="shared" si="611"/>
        <v>3.8780487804878048</v>
      </c>
      <c r="JS902" s="17">
        <f t="shared" si="612"/>
        <v>0.31707317073170732</v>
      </c>
      <c r="JT902" s="18">
        <f t="shared" si="613"/>
        <v>0.32075471698113206</v>
      </c>
      <c r="JU902" s="280">
        <f t="shared" si="614"/>
        <v>13</v>
      </c>
      <c r="JV902" s="280">
        <f t="shared" si="615"/>
        <v>51</v>
      </c>
      <c r="JW902" s="319" t="str">
        <f t="shared" si="616"/>
        <v/>
      </c>
      <c r="JX902" s="15">
        <f t="shared" si="617"/>
        <v>0</v>
      </c>
      <c r="JY902" s="15">
        <f t="shared" si="618"/>
        <v>0</v>
      </c>
      <c r="JZ902" s="19" t="str">
        <f t="shared" si="619"/>
        <v/>
      </c>
      <c r="KA902" s="52" t="str">
        <f t="shared" si="620"/>
        <v/>
      </c>
      <c r="KB902" s="15">
        <f t="shared" si="621"/>
        <v>0</v>
      </c>
      <c r="KC902" s="15">
        <f t="shared" si="622"/>
        <v>0</v>
      </c>
      <c r="KD902" s="20" t="str">
        <f t="shared" si="623"/>
        <v/>
      </c>
      <c r="KE902" s="52" t="str">
        <f t="shared" si="624"/>
        <v/>
      </c>
      <c r="KF902" s="15">
        <f t="shared" si="625"/>
        <v>0</v>
      </c>
      <c r="KG902" s="15">
        <f t="shared" si="626"/>
        <v>0</v>
      </c>
      <c r="KH902" s="21" t="str">
        <f t="shared" si="627"/>
        <v/>
      </c>
      <c r="KI902" s="52" t="str">
        <f t="shared" si="628"/>
        <v/>
      </c>
      <c r="KJ902" s="15">
        <f t="shared" si="629"/>
        <v>0</v>
      </c>
      <c r="KK902" s="15">
        <f t="shared" si="630"/>
        <v>0</v>
      </c>
      <c r="KL902" s="19" t="str">
        <f t="shared" si="631"/>
        <v/>
      </c>
      <c r="KM902" s="52">
        <f t="shared" si="632"/>
        <v>1</v>
      </c>
      <c r="KN902" s="22">
        <f t="shared" si="633"/>
        <v>41</v>
      </c>
      <c r="KO902" s="22">
        <f t="shared" si="634"/>
        <v>211</v>
      </c>
      <c r="KP902" s="19">
        <f t="shared" si="635"/>
        <v>5.1463414634146343</v>
      </c>
      <c r="KQ902" s="11" t="str">
        <f t="shared" si="636"/>
        <v>0. Harmful</v>
      </c>
      <c r="KR902" s="11" t="str">
        <f t="shared" si="637"/>
        <v>0. Unaware</v>
      </c>
      <c r="KS902" s="11" t="str">
        <f t="shared" si="638"/>
        <v>0. Harmful</v>
      </c>
      <c r="KT902" s="11" t="str">
        <f t="shared" si="639"/>
        <v>It did not develop any specific innovation</v>
      </c>
      <c r="KU902" s="11" t="str">
        <f t="shared" si="640"/>
        <v>Little or no advocacy</v>
      </c>
      <c r="KV902" s="11" t="str">
        <f t="shared" si="641"/>
        <v>It did not take tested solutions to scale</v>
      </c>
      <c r="KW902" s="11" t="str">
        <f t="shared" si="642"/>
        <v>West Bank and Gaza - Lendwithcare</v>
      </c>
      <c r="KX902" s="11" t="str">
        <f t="shared" si="643"/>
        <v>Lendwithcare</v>
      </c>
      <c r="KY902" s="11" t="str">
        <f t="shared" si="644"/>
        <v>West Bank and Gaza</v>
      </c>
      <c r="KZ902" s="12">
        <v>903</v>
      </c>
    </row>
    <row r="903" spans="1:312" x14ac:dyDescent="0.3">
      <c r="A903" s="12" t="s">
        <v>13710</v>
      </c>
      <c r="B903" s="12" t="s">
        <v>602</v>
      </c>
      <c r="C903" s="12">
        <v>3464</v>
      </c>
      <c r="D903" s="12" t="s">
        <v>13754</v>
      </c>
      <c r="E903" s="277" t="str">
        <f t="shared" si="603"/>
        <v>West Bank and Gaza</v>
      </c>
      <c r="F903" s="12" t="s">
        <v>13755</v>
      </c>
      <c r="G903" s="12" t="s">
        <v>605</v>
      </c>
      <c r="H903" s="12" t="s">
        <v>310</v>
      </c>
      <c r="I903" s="12" t="s">
        <v>517</v>
      </c>
      <c r="J903" s="281" t="s">
        <v>14578</v>
      </c>
      <c r="K903" s="12"/>
      <c r="L903" s="12"/>
      <c r="M903" s="12"/>
      <c r="N903" s="12"/>
      <c r="O903" s="12"/>
      <c r="P903" s="12"/>
      <c r="Q903" s="12"/>
      <c r="R903" s="12"/>
      <c r="S903" s="12"/>
      <c r="T903" s="12"/>
      <c r="U903" s="12"/>
      <c r="V903" s="12"/>
      <c r="W903" s="12"/>
      <c r="X903" s="12"/>
      <c r="Y903" s="12"/>
      <c r="Z903" s="12"/>
      <c r="AA903" s="12"/>
      <c r="AB903" s="12"/>
      <c r="AC903" s="12"/>
      <c r="AD903" s="12"/>
      <c r="BD903" s="13">
        <v>42095</v>
      </c>
      <c r="BE903" s="13">
        <v>43009</v>
      </c>
      <c r="BF903" s="12"/>
      <c r="BG903" s="12" t="s">
        <v>312</v>
      </c>
      <c r="BH903" s="14">
        <v>672993</v>
      </c>
      <c r="BI903" s="12" t="s">
        <v>13732</v>
      </c>
      <c r="BJ903" s="12" t="s">
        <v>11753</v>
      </c>
      <c r="BK903" s="12" t="s">
        <v>13733</v>
      </c>
      <c r="BL903" s="12" t="s">
        <v>13713</v>
      </c>
      <c r="BM903" s="12" t="s">
        <v>13714</v>
      </c>
      <c r="BN903" s="12" t="s">
        <v>13715</v>
      </c>
      <c r="BO903" s="12" t="s">
        <v>319</v>
      </c>
      <c r="BP903" s="12" t="s">
        <v>320</v>
      </c>
      <c r="BQ903" s="12" t="s">
        <v>319</v>
      </c>
      <c r="BR903" s="12" t="s">
        <v>13756</v>
      </c>
      <c r="BS903" s="12" t="s">
        <v>322</v>
      </c>
      <c r="BT903" s="12" t="s">
        <v>13757</v>
      </c>
      <c r="BU903" s="12" t="s">
        <v>13758</v>
      </c>
      <c r="BV903" s="14">
        <v>2150</v>
      </c>
      <c r="BW903" s="14">
        <v>2150</v>
      </c>
      <c r="BX903" s="14">
        <v>4300</v>
      </c>
      <c r="BY903" s="14"/>
      <c r="BZ903" s="14"/>
      <c r="CA903" s="14"/>
      <c r="CB903" s="12" t="s">
        <v>13759</v>
      </c>
      <c r="CD903" s="14"/>
      <c r="CE903" s="14"/>
      <c r="CF903" s="14"/>
      <c r="CG903" s="14"/>
      <c r="CH903" s="14"/>
      <c r="CI903" s="14"/>
      <c r="CJ903" s="12"/>
      <c r="CK903" s="14"/>
      <c r="CL903" s="16"/>
      <c r="CM903" s="14"/>
      <c r="CN903" s="12"/>
      <c r="CO903" s="14"/>
      <c r="CP903" s="16"/>
      <c r="CQ903" s="14"/>
      <c r="CR903" s="12"/>
      <c r="CS903" s="14"/>
      <c r="CT903" s="16"/>
      <c r="CU903" s="14"/>
      <c r="CV903" s="12"/>
      <c r="CW903" s="14"/>
      <c r="CX903" s="16"/>
      <c r="CY903" s="14"/>
      <c r="CZ903" s="12"/>
      <c r="DA903" s="14"/>
      <c r="DB903" s="16"/>
      <c r="DC903" s="14"/>
      <c r="DD903" s="12"/>
      <c r="DE903" s="14"/>
      <c r="DF903" s="16"/>
      <c r="DG903" s="14"/>
      <c r="DH903" s="12"/>
      <c r="DI903" s="14"/>
      <c r="DJ903" s="16"/>
      <c r="DK903" s="14"/>
      <c r="DL903" s="12"/>
      <c r="DM903" s="14"/>
      <c r="DN903" s="16"/>
      <c r="DO903" s="14"/>
      <c r="DP903" s="12"/>
      <c r="DQ903" s="14"/>
      <c r="DR903" s="16"/>
      <c r="DS903" s="14"/>
      <c r="DT903" s="12"/>
      <c r="DU903" s="14"/>
      <c r="DV903" s="16"/>
      <c r="DW903" s="14"/>
      <c r="DX903" s="12"/>
      <c r="DY903" s="14"/>
      <c r="DZ903" s="16"/>
      <c r="EA903" s="14"/>
      <c r="EB903" s="12"/>
      <c r="EC903" s="14"/>
      <c r="ED903" s="16"/>
      <c r="EE903" s="14"/>
      <c r="EF903" s="12"/>
      <c r="EG903" s="12"/>
      <c r="EH903" s="14"/>
      <c r="EI903" s="16"/>
      <c r="EJ903" s="14"/>
      <c r="EK903" s="14">
        <v>2150</v>
      </c>
      <c r="EL903" s="14">
        <v>2150</v>
      </c>
      <c r="EM903" s="14">
        <v>4300</v>
      </c>
      <c r="EN903" s="14">
        <v>23500</v>
      </c>
      <c r="EO903" s="14">
        <v>23500</v>
      </c>
      <c r="EP903" s="14">
        <v>47000</v>
      </c>
      <c r="EQ903" s="12"/>
      <c r="ER903" s="14"/>
      <c r="ES903" s="16"/>
      <c r="ET903" s="14"/>
      <c r="EU903" s="12" t="s">
        <v>319</v>
      </c>
      <c r="EV903" s="14"/>
      <c r="EW903" s="16"/>
      <c r="EX903" s="14"/>
      <c r="EY903" s="12" t="s">
        <v>320</v>
      </c>
      <c r="EZ903" s="14">
        <v>4300</v>
      </c>
      <c r="FA903" s="16">
        <v>0.5</v>
      </c>
      <c r="FB903" s="14">
        <v>47000</v>
      </c>
      <c r="FC903" s="12" t="s">
        <v>319</v>
      </c>
      <c r="FD903" s="14"/>
      <c r="FE903" s="16"/>
      <c r="FF903" s="14"/>
      <c r="FG903" s="12" t="s">
        <v>319</v>
      </c>
      <c r="FH903" s="14"/>
      <c r="FI903" s="16"/>
      <c r="FJ903" s="14"/>
      <c r="FK903" s="12" t="s">
        <v>319</v>
      </c>
      <c r="FL903" s="14"/>
      <c r="FM903" s="16"/>
      <c r="FN903" s="14"/>
      <c r="FO903" s="12" t="s">
        <v>319</v>
      </c>
      <c r="FP903" s="14"/>
      <c r="FQ903" s="16"/>
      <c r="FR903" s="14"/>
      <c r="FS903" s="12" t="s">
        <v>320</v>
      </c>
      <c r="FT903" s="14">
        <v>4300</v>
      </c>
      <c r="FU903" s="16"/>
      <c r="FV903" s="14">
        <v>4700</v>
      </c>
      <c r="FW903" s="11" t="s">
        <v>320</v>
      </c>
      <c r="FX903" s="14">
        <v>4300</v>
      </c>
      <c r="FY903" s="16"/>
      <c r="FZ903" s="14">
        <v>4700</v>
      </c>
      <c r="GA903" s="12" t="s">
        <v>319</v>
      </c>
      <c r="GB903" s="14"/>
      <c r="GC903" s="16"/>
      <c r="GD903" s="14"/>
      <c r="GE903" s="12" t="s">
        <v>319</v>
      </c>
      <c r="GF903" s="14"/>
      <c r="GG903" s="16"/>
      <c r="GH903" s="14"/>
      <c r="GI903" s="12" t="s">
        <v>319</v>
      </c>
      <c r="GJ903" s="14"/>
      <c r="GK903" s="16"/>
      <c r="GL903" s="14"/>
      <c r="GM903" s="11" t="s">
        <v>320</v>
      </c>
      <c r="GN903" s="14">
        <v>4300</v>
      </c>
      <c r="GO903" s="16"/>
      <c r="GP903" s="14">
        <v>4700</v>
      </c>
      <c r="GQ903" s="12" t="s">
        <v>319</v>
      </c>
      <c r="GR903" s="14"/>
      <c r="GS903" s="16"/>
      <c r="GT903" s="14"/>
      <c r="GU903" s="12" t="s">
        <v>319</v>
      </c>
      <c r="GV903" s="14"/>
      <c r="GW903" s="16"/>
      <c r="GX903" s="14"/>
      <c r="GY903" s="12" t="s">
        <v>319</v>
      </c>
      <c r="GZ903" s="14"/>
      <c r="HA903" s="16"/>
      <c r="HB903" s="14"/>
      <c r="HC903" s="12"/>
      <c r="HD903" s="12"/>
      <c r="HE903" s="14"/>
      <c r="HF903" s="16"/>
      <c r="HG903" s="14"/>
      <c r="HH903" s="12" t="s">
        <v>319</v>
      </c>
      <c r="HI903" s="12"/>
      <c r="HJ903" s="12"/>
      <c r="HK903" s="12" t="s">
        <v>319</v>
      </c>
      <c r="HL903" s="12" t="s">
        <v>320</v>
      </c>
      <c r="HM903" s="12" t="s">
        <v>619</v>
      </c>
      <c r="HN903" s="12">
        <v>2017</v>
      </c>
      <c r="HO903" s="12"/>
      <c r="HP903" s="12" t="s">
        <v>453</v>
      </c>
      <c r="HQ903" s="12" t="s">
        <v>319</v>
      </c>
      <c r="HR903" s="12" t="s">
        <v>319</v>
      </c>
      <c r="HS903" s="12" t="s">
        <v>320</v>
      </c>
      <c r="HT903" s="12" t="s">
        <v>320</v>
      </c>
      <c r="HU903" s="12" t="s">
        <v>320</v>
      </c>
      <c r="HV903" s="12" t="s">
        <v>319</v>
      </c>
      <c r="HW903" s="12" t="s">
        <v>319</v>
      </c>
      <c r="HX903" s="12"/>
      <c r="HY903" s="12"/>
      <c r="HZ903" s="12" t="s">
        <v>331</v>
      </c>
      <c r="IA903" s="12"/>
      <c r="IB903" s="12" t="s">
        <v>396</v>
      </c>
      <c r="IC903" s="12"/>
      <c r="ID903" s="12" t="s">
        <v>334</v>
      </c>
      <c r="IE903" s="12" t="s">
        <v>478</v>
      </c>
      <c r="IF903" s="12" t="s">
        <v>320</v>
      </c>
      <c r="IG903" s="12" t="s">
        <v>320</v>
      </c>
      <c r="IH903" s="12" t="s">
        <v>320</v>
      </c>
      <c r="II903" s="12" t="s">
        <v>320</v>
      </c>
      <c r="IJ903" s="12" t="str">
        <f t="shared" si="602"/>
        <v>4. Transformative</v>
      </c>
      <c r="IK903" s="12">
        <f t="shared" si="604"/>
        <v>4</v>
      </c>
      <c r="IL903" s="11" t="s">
        <v>621</v>
      </c>
      <c r="IM903" s="12" t="s">
        <v>320</v>
      </c>
      <c r="IN903" s="12" t="s">
        <v>320</v>
      </c>
      <c r="IO903" s="12" t="s">
        <v>320</v>
      </c>
      <c r="IP903" s="12" t="s">
        <v>320</v>
      </c>
      <c r="IQ903" s="12" t="str">
        <f t="shared" si="605"/>
        <v>4. Transformational</v>
      </c>
      <c r="IR903" s="12">
        <f t="shared" si="606"/>
        <v>4</v>
      </c>
      <c r="IS903" s="12" t="s">
        <v>337</v>
      </c>
      <c r="IT903" s="12" t="s">
        <v>320</v>
      </c>
      <c r="IU903" s="12" t="s">
        <v>320</v>
      </c>
      <c r="IV903" s="12" t="s">
        <v>320</v>
      </c>
      <c r="IW903" s="11" t="str">
        <f t="shared" si="607"/>
        <v>2. Sensitive</v>
      </c>
      <c r="IX903" s="12">
        <f t="shared" si="608"/>
        <v>3</v>
      </c>
      <c r="IY903" s="12" t="s">
        <v>338</v>
      </c>
      <c r="IZ903" s="12" t="s">
        <v>457</v>
      </c>
      <c r="JA903" s="12">
        <v>3</v>
      </c>
      <c r="JB903" s="12" t="s">
        <v>624</v>
      </c>
      <c r="JC903" s="12" t="s">
        <v>651</v>
      </c>
      <c r="JD903" s="12" t="s">
        <v>433</v>
      </c>
      <c r="JE903" s="12" t="s">
        <v>340</v>
      </c>
      <c r="JF903" s="12" t="s">
        <v>13760</v>
      </c>
      <c r="JG903" s="12"/>
      <c r="JH903" s="12"/>
      <c r="JI903" s="12"/>
      <c r="JJ903" s="12"/>
      <c r="JK903" s="12"/>
      <c r="JL903" s="12"/>
      <c r="JM903" s="12"/>
      <c r="JN903" s="12"/>
      <c r="JO903" s="12"/>
      <c r="JP903" s="15">
        <f t="shared" si="609"/>
        <v>4300</v>
      </c>
      <c r="JQ903" s="15">
        <f t="shared" si="610"/>
        <v>47000</v>
      </c>
      <c r="JR903" s="279">
        <f t="shared" si="611"/>
        <v>10.930232558139535</v>
      </c>
      <c r="JS903" s="17">
        <f t="shared" si="612"/>
        <v>0.5</v>
      </c>
      <c r="JT903" s="18">
        <f t="shared" si="613"/>
        <v>0.5</v>
      </c>
      <c r="JU903" s="280">
        <f t="shared" si="614"/>
        <v>2150</v>
      </c>
      <c r="JV903" s="280">
        <f t="shared" si="615"/>
        <v>23500</v>
      </c>
      <c r="JW903" s="319" t="str">
        <f t="shared" si="616"/>
        <v/>
      </c>
      <c r="JX903" s="15">
        <f t="shared" si="617"/>
        <v>0</v>
      </c>
      <c r="JY903" s="15">
        <f t="shared" si="618"/>
        <v>0</v>
      </c>
      <c r="JZ903" s="19" t="str">
        <f t="shared" si="619"/>
        <v/>
      </c>
      <c r="KA903" s="52" t="str">
        <f t="shared" si="620"/>
        <v/>
      </c>
      <c r="KB903" s="15">
        <f t="shared" si="621"/>
        <v>0</v>
      </c>
      <c r="KC903" s="15">
        <f t="shared" si="622"/>
        <v>0</v>
      </c>
      <c r="KD903" s="20" t="str">
        <f t="shared" si="623"/>
        <v/>
      </c>
      <c r="KE903" s="52" t="str">
        <f t="shared" si="624"/>
        <v/>
      </c>
      <c r="KF903" s="15">
        <f t="shared" si="625"/>
        <v>0</v>
      </c>
      <c r="KG903" s="15">
        <f t="shared" si="626"/>
        <v>0</v>
      </c>
      <c r="KH903" s="21" t="str">
        <f t="shared" si="627"/>
        <v/>
      </c>
      <c r="KI903" s="52">
        <f t="shared" si="628"/>
        <v>1</v>
      </c>
      <c r="KJ903" s="15">
        <f t="shared" si="629"/>
        <v>4300</v>
      </c>
      <c r="KK903" s="15">
        <f t="shared" si="630"/>
        <v>4700</v>
      </c>
      <c r="KL903" s="19">
        <f t="shared" si="631"/>
        <v>1.0930232558139534</v>
      </c>
      <c r="KM903" s="52" t="str">
        <f t="shared" si="632"/>
        <v/>
      </c>
      <c r="KN903" s="22">
        <f t="shared" si="633"/>
        <v>0</v>
      </c>
      <c r="KO903" s="22">
        <f t="shared" si="634"/>
        <v>0</v>
      </c>
      <c r="KP903" s="19" t="str">
        <f t="shared" si="635"/>
        <v/>
      </c>
      <c r="KQ903" s="11" t="str">
        <f t="shared" si="636"/>
        <v>4. Transformative</v>
      </c>
      <c r="KR903" s="11" t="str">
        <f t="shared" si="637"/>
        <v>4. Transformational</v>
      </c>
      <c r="KS903" s="11" t="str">
        <f t="shared" si="638"/>
        <v>2. Sensitive</v>
      </c>
      <c r="KT903" s="11" t="str">
        <f t="shared" si="639"/>
        <v>It tested new ways for fighting poverty and measured results of innovation</v>
      </c>
      <c r="KU903" s="11" t="str">
        <f t="shared" si="640"/>
        <v>Intensive advocacy</v>
      </c>
      <c r="KV903" s="11" t="str">
        <f t="shared" si="641"/>
        <v>It linked and worked with strategic alliances and partners to take tested and effective solutions to scale</v>
      </c>
      <c r="KW903" s="11" t="str">
        <f t="shared" si="642"/>
        <v>West Bank and Gaza - My Right to My Future Womens Participation in Peace Building and Conflict Resolution</v>
      </c>
      <c r="KX903" s="11" t="str">
        <f t="shared" si="643"/>
        <v>My Right to My Future Womens Participation in Peace Building and Conflict Resolution</v>
      </c>
      <c r="KY903" s="11" t="str">
        <f t="shared" si="644"/>
        <v>West Bank and Gaza</v>
      </c>
      <c r="KZ903" s="12">
        <v>904</v>
      </c>
    </row>
    <row r="904" spans="1:312" x14ac:dyDescent="0.3">
      <c r="A904" s="12" t="s">
        <v>13710</v>
      </c>
      <c r="B904" s="12" t="s">
        <v>602</v>
      </c>
      <c r="C904" s="12"/>
      <c r="D904" s="12" t="s">
        <v>13761</v>
      </c>
      <c r="E904" s="277" t="str">
        <f t="shared" si="603"/>
        <v>West Bank and Gaza</v>
      </c>
      <c r="F904" s="12" t="s">
        <v>13762</v>
      </c>
      <c r="G904" s="12" t="s">
        <v>605</v>
      </c>
      <c r="H904" s="12" t="s">
        <v>383</v>
      </c>
      <c r="I904" s="12" t="s">
        <v>384</v>
      </c>
      <c r="J904" s="281" t="s">
        <v>14722</v>
      </c>
      <c r="K904" s="12"/>
      <c r="L904" s="12"/>
      <c r="M904" s="12"/>
      <c r="N904" s="12"/>
      <c r="O904" s="12"/>
      <c r="P904" s="12"/>
      <c r="Q904" s="12"/>
      <c r="R904" s="12"/>
      <c r="S904" s="12"/>
      <c r="T904" s="12"/>
      <c r="U904" s="12"/>
      <c r="V904" s="12"/>
      <c r="W904" s="12"/>
      <c r="X904" s="12"/>
      <c r="Y904" s="12"/>
      <c r="Z904" s="12"/>
      <c r="AA904" s="12"/>
      <c r="AB904" s="12"/>
      <c r="AC904" s="12"/>
      <c r="AD904" s="12"/>
      <c r="BD904" s="13">
        <v>42767</v>
      </c>
      <c r="BE904" s="13">
        <v>43190</v>
      </c>
      <c r="BF904" s="12"/>
      <c r="BG904" s="12" t="s">
        <v>407</v>
      </c>
      <c r="BH904" s="14">
        <v>800000</v>
      </c>
      <c r="BI904" s="12" t="s">
        <v>13729</v>
      </c>
      <c r="BJ904" s="12" t="s">
        <v>13730</v>
      </c>
      <c r="BK904" s="12" t="s">
        <v>13731</v>
      </c>
      <c r="BL904" s="12" t="s">
        <v>13732</v>
      </c>
      <c r="BM904" s="12" t="s">
        <v>11753</v>
      </c>
      <c r="BN904" s="12" t="s">
        <v>13733</v>
      </c>
      <c r="BO904" s="12" t="s">
        <v>320</v>
      </c>
      <c r="BP904" s="12" t="s">
        <v>320</v>
      </c>
      <c r="BQ904" s="12" t="s">
        <v>320</v>
      </c>
      <c r="BR904" s="12" t="s">
        <v>13763</v>
      </c>
      <c r="BS904" s="12" t="s">
        <v>357</v>
      </c>
      <c r="BT904" s="12" t="s">
        <v>13764</v>
      </c>
      <c r="BU904" s="12" t="s">
        <v>13765</v>
      </c>
      <c r="BV904" s="14">
        <v>3558</v>
      </c>
      <c r="BW904" s="14">
        <v>3558</v>
      </c>
      <c r="BX904" s="14">
        <v>7116</v>
      </c>
      <c r="BY904" s="14">
        <v>3558</v>
      </c>
      <c r="BZ904" s="14">
        <v>3558</v>
      </c>
      <c r="CA904" s="14">
        <v>7116</v>
      </c>
      <c r="CB904" s="12" t="s">
        <v>13766</v>
      </c>
      <c r="CD904" s="14"/>
      <c r="CE904" s="14"/>
      <c r="CF904" s="14"/>
      <c r="CG904" s="14"/>
      <c r="CH904" s="14"/>
      <c r="CI904" s="14"/>
      <c r="CJ904" s="12"/>
      <c r="CK904" s="14"/>
      <c r="CL904" s="16"/>
      <c r="CM904" s="14"/>
      <c r="CN904" s="12"/>
      <c r="CO904" s="14"/>
      <c r="CP904" s="16"/>
      <c r="CQ904" s="14"/>
      <c r="CR904" s="12"/>
      <c r="CS904" s="14"/>
      <c r="CT904" s="16"/>
      <c r="CU904" s="14"/>
      <c r="CV904" s="12" t="s">
        <v>320</v>
      </c>
      <c r="CW904" s="14"/>
      <c r="CX904" s="16"/>
      <c r="CY904" s="14"/>
      <c r="CZ904" s="12"/>
      <c r="DA904" s="14"/>
      <c r="DB904" s="16"/>
      <c r="DC904" s="14"/>
      <c r="DD904" s="12"/>
      <c r="DE904" s="14"/>
      <c r="DF904" s="16"/>
      <c r="DG904" s="14"/>
      <c r="DH904" s="12"/>
      <c r="DI904" s="14"/>
      <c r="DJ904" s="16"/>
      <c r="DK904" s="14"/>
      <c r="DL904" s="12" t="s">
        <v>320</v>
      </c>
      <c r="DM904" s="14"/>
      <c r="DN904" s="16"/>
      <c r="DO904" s="14"/>
      <c r="DP904" s="12"/>
      <c r="DQ904" s="14"/>
      <c r="DR904" s="16"/>
      <c r="DS904" s="14"/>
      <c r="DT904" s="12"/>
      <c r="DU904" s="14"/>
      <c r="DV904" s="16"/>
      <c r="DW904" s="14"/>
      <c r="DX904" s="12"/>
      <c r="DY904" s="14"/>
      <c r="DZ904" s="16"/>
      <c r="EA904" s="14"/>
      <c r="EB904" s="12"/>
      <c r="EC904" s="14"/>
      <c r="ED904" s="16"/>
      <c r="EE904" s="14"/>
      <c r="EF904" s="12"/>
      <c r="EG904" s="12"/>
      <c r="EH904" s="14"/>
      <c r="EI904" s="16"/>
      <c r="EJ904" s="14"/>
      <c r="EK904" s="14">
        <v>3000</v>
      </c>
      <c r="EL904" s="14">
        <v>3000</v>
      </c>
      <c r="EM904" s="14">
        <v>6000</v>
      </c>
      <c r="EN904" s="14">
        <v>3000</v>
      </c>
      <c r="EO904" s="14">
        <v>3000</v>
      </c>
      <c r="EP904" s="14">
        <v>6000</v>
      </c>
      <c r="EQ904" s="12" t="s">
        <v>320</v>
      </c>
      <c r="ER904" s="14">
        <v>6000</v>
      </c>
      <c r="ES904" s="16">
        <v>0.5</v>
      </c>
      <c r="ET904" s="14">
        <v>6000</v>
      </c>
      <c r="EU904" s="11" t="s">
        <v>320</v>
      </c>
      <c r="EV904" s="14">
        <v>6000</v>
      </c>
      <c r="EW904" s="16">
        <v>0.5</v>
      </c>
      <c r="EX904" s="14">
        <v>6000</v>
      </c>
      <c r="EY904" s="12" t="s">
        <v>319</v>
      </c>
      <c r="EZ904" s="14"/>
      <c r="FA904" s="16"/>
      <c r="FB904" s="14"/>
      <c r="FC904" s="12" t="s">
        <v>320</v>
      </c>
      <c r="FD904" s="14">
        <v>600</v>
      </c>
      <c r="FE904" s="16">
        <v>0.5</v>
      </c>
      <c r="FF904" s="14">
        <v>600</v>
      </c>
      <c r="FG904" s="12" t="s">
        <v>320</v>
      </c>
      <c r="FH904" s="14">
        <v>6000</v>
      </c>
      <c r="FI904" s="16">
        <v>0.5</v>
      </c>
      <c r="FJ904" s="14">
        <v>1500</v>
      </c>
      <c r="FK904" s="12" t="s">
        <v>319</v>
      </c>
      <c r="FL904" s="14"/>
      <c r="FM904" s="16"/>
      <c r="FN904" s="14"/>
      <c r="FO904" s="12" t="s">
        <v>320</v>
      </c>
      <c r="FP904" s="14">
        <v>6000</v>
      </c>
      <c r="FQ904" s="16">
        <v>0.5</v>
      </c>
      <c r="FR904" s="14">
        <v>6000</v>
      </c>
      <c r="FS904" s="12" t="s">
        <v>320</v>
      </c>
      <c r="FT904" s="14">
        <v>1350</v>
      </c>
      <c r="FU904" s="16"/>
      <c r="FV904" s="14">
        <v>5400</v>
      </c>
      <c r="FW904" s="11" t="s">
        <v>320</v>
      </c>
      <c r="FX904" s="14">
        <v>1350</v>
      </c>
      <c r="FY904" s="16"/>
      <c r="FZ904" s="14">
        <v>5400</v>
      </c>
      <c r="GA904" s="12" t="s">
        <v>319</v>
      </c>
      <c r="GB904" s="14"/>
      <c r="GC904" s="16"/>
      <c r="GD904" s="14"/>
      <c r="GE904" s="12" t="s">
        <v>320</v>
      </c>
      <c r="GF904" s="14">
        <v>6000</v>
      </c>
      <c r="GG904" s="16">
        <v>0.5</v>
      </c>
      <c r="GH904" s="14">
        <v>6000</v>
      </c>
      <c r="GI904" s="11" t="s">
        <v>320</v>
      </c>
      <c r="GJ904" s="14">
        <v>6000</v>
      </c>
      <c r="GK904" s="16">
        <v>0.5</v>
      </c>
      <c r="GL904" s="14">
        <v>6000</v>
      </c>
      <c r="GM904" s="11" t="s">
        <v>320</v>
      </c>
      <c r="GN904" s="14">
        <v>1350</v>
      </c>
      <c r="GO904" s="16"/>
      <c r="GP904" s="14">
        <v>5400</v>
      </c>
      <c r="GQ904" s="12"/>
      <c r="GR904" s="14"/>
      <c r="GS904" s="16"/>
      <c r="GT904" s="14"/>
      <c r="GU904" s="12" t="s">
        <v>320</v>
      </c>
      <c r="GV904" s="14">
        <v>3000</v>
      </c>
      <c r="GW904" s="16">
        <v>0.5</v>
      </c>
      <c r="GX904" s="14">
        <v>3000</v>
      </c>
      <c r="GY904" s="11" t="s">
        <v>320</v>
      </c>
      <c r="GZ904" s="14">
        <v>500</v>
      </c>
      <c r="HA904" s="16">
        <v>1</v>
      </c>
      <c r="HB904" s="14">
        <v>500</v>
      </c>
      <c r="HC904" s="12"/>
      <c r="HD904" s="12"/>
      <c r="HE904" s="14"/>
      <c r="HF904" s="16"/>
      <c r="HG904" s="14"/>
      <c r="HH904" s="12" t="s">
        <v>319</v>
      </c>
      <c r="HI904" s="12"/>
      <c r="HJ904" s="12"/>
      <c r="HK904" s="12"/>
      <c r="HL904" s="12" t="s">
        <v>320</v>
      </c>
      <c r="HM904" s="12"/>
      <c r="HN904" s="12"/>
      <c r="HO904" s="12"/>
      <c r="HP904" s="12" t="s">
        <v>418</v>
      </c>
      <c r="HQ904" s="12"/>
      <c r="HR904" s="12"/>
      <c r="HS904" s="12"/>
      <c r="HT904" s="12"/>
      <c r="HU904" s="12"/>
      <c r="HV904" s="12"/>
      <c r="HW904" s="12"/>
      <c r="HX904" s="12"/>
      <c r="HY904" s="12"/>
      <c r="HZ904" s="12" t="s">
        <v>394</v>
      </c>
      <c r="IA904" s="12"/>
      <c r="IB904" s="12" t="s">
        <v>667</v>
      </c>
      <c r="IC904" s="12"/>
      <c r="ID904" s="12" t="s">
        <v>364</v>
      </c>
      <c r="IE904" s="12" t="s">
        <v>335</v>
      </c>
      <c r="IF904" s="12" t="s">
        <v>320</v>
      </c>
      <c r="IG904" s="12" t="s">
        <v>320</v>
      </c>
      <c r="IH904" s="12" t="s">
        <v>320</v>
      </c>
      <c r="II904" s="12" t="s">
        <v>320</v>
      </c>
      <c r="IJ904" s="12" t="str">
        <f t="shared" si="602"/>
        <v>2. Sensitive</v>
      </c>
      <c r="IK904" s="12">
        <f t="shared" si="604"/>
        <v>4</v>
      </c>
      <c r="IL904" s="12" t="s">
        <v>336</v>
      </c>
      <c r="IM904" s="12" t="s">
        <v>320</v>
      </c>
      <c r="IN904" s="12" t="s">
        <v>320</v>
      </c>
      <c r="IO904" s="12" t="s">
        <v>320</v>
      </c>
      <c r="IP904" s="12" t="s">
        <v>320</v>
      </c>
      <c r="IQ904" s="12" t="str">
        <f t="shared" si="605"/>
        <v>2. Accommodating</v>
      </c>
      <c r="IR904" s="12">
        <f t="shared" si="606"/>
        <v>4</v>
      </c>
      <c r="IS904" s="12" t="s">
        <v>622</v>
      </c>
      <c r="IT904" s="12" t="s">
        <v>320</v>
      </c>
      <c r="IU904" s="12" t="s">
        <v>320</v>
      </c>
      <c r="IV904" s="12" t="s">
        <v>320</v>
      </c>
      <c r="IW904" s="11" t="str">
        <f t="shared" si="607"/>
        <v>4. Transformative</v>
      </c>
      <c r="IX904" s="12">
        <f t="shared" si="608"/>
        <v>3</v>
      </c>
      <c r="IY904" s="12" t="s">
        <v>419</v>
      </c>
      <c r="IZ904" s="12" t="s">
        <v>527</v>
      </c>
      <c r="JA904" s="12"/>
      <c r="JB904" s="12" t="s">
        <v>433</v>
      </c>
      <c r="JC904" s="12" t="s">
        <v>687</v>
      </c>
      <c r="JD904" s="12" t="s">
        <v>624</v>
      </c>
      <c r="JE904" s="12" t="s">
        <v>340</v>
      </c>
      <c r="JF904" s="12"/>
      <c r="JG904" s="12"/>
      <c r="JH904" s="12" t="s">
        <v>13740</v>
      </c>
      <c r="JI904" s="12" t="s">
        <v>13741</v>
      </c>
      <c r="JJ904" s="12" t="s">
        <v>13742</v>
      </c>
      <c r="JK904" s="12"/>
      <c r="JL904" s="12"/>
      <c r="JM904" s="12"/>
      <c r="JN904" s="12"/>
      <c r="JO904" s="12"/>
      <c r="JP904" s="15">
        <f t="shared" si="609"/>
        <v>6000</v>
      </c>
      <c r="JQ904" s="15">
        <f t="shared" si="610"/>
        <v>6000</v>
      </c>
      <c r="JR904" s="279">
        <f t="shared" si="611"/>
        <v>1</v>
      </c>
      <c r="JS904" s="17">
        <f t="shared" si="612"/>
        <v>0.5</v>
      </c>
      <c r="JT904" s="18">
        <f t="shared" si="613"/>
        <v>0.5</v>
      </c>
      <c r="JU904" s="280">
        <f t="shared" si="614"/>
        <v>3000</v>
      </c>
      <c r="JV904" s="280">
        <f t="shared" si="615"/>
        <v>3000</v>
      </c>
      <c r="JW904" s="319">
        <f t="shared" si="616"/>
        <v>1</v>
      </c>
      <c r="JX904" s="15">
        <f t="shared" si="617"/>
        <v>0</v>
      </c>
      <c r="JY904" s="15">
        <f t="shared" si="618"/>
        <v>0</v>
      </c>
      <c r="JZ904" s="19" t="str">
        <f t="shared" si="619"/>
        <v/>
      </c>
      <c r="KA904" s="52">
        <f t="shared" si="620"/>
        <v>1</v>
      </c>
      <c r="KB904" s="15">
        <f t="shared" si="621"/>
        <v>6000</v>
      </c>
      <c r="KC904" s="15">
        <f t="shared" si="622"/>
        <v>6000</v>
      </c>
      <c r="KD904" s="20">
        <f t="shared" si="623"/>
        <v>1</v>
      </c>
      <c r="KE904" s="52" t="str">
        <f t="shared" si="624"/>
        <v/>
      </c>
      <c r="KF904" s="15">
        <f t="shared" si="625"/>
        <v>0</v>
      </c>
      <c r="KG904" s="15">
        <f t="shared" si="626"/>
        <v>0</v>
      </c>
      <c r="KH904" s="21" t="str">
        <f t="shared" si="627"/>
        <v/>
      </c>
      <c r="KI904" s="52">
        <f t="shared" si="628"/>
        <v>1</v>
      </c>
      <c r="KJ904" s="15">
        <f t="shared" si="629"/>
        <v>1350</v>
      </c>
      <c r="KK904" s="15">
        <f t="shared" si="630"/>
        <v>5400</v>
      </c>
      <c r="KL904" s="19">
        <f t="shared" si="631"/>
        <v>4</v>
      </c>
      <c r="KM904" s="52">
        <f t="shared" si="632"/>
        <v>1</v>
      </c>
      <c r="KN904" s="22">
        <f t="shared" si="633"/>
        <v>3000</v>
      </c>
      <c r="KO904" s="22">
        <f t="shared" si="634"/>
        <v>750</v>
      </c>
      <c r="KP904" s="19">
        <f t="shared" si="635"/>
        <v>0.25</v>
      </c>
      <c r="KQ904" s="11" t="str">
        <f t="shared" si="636"/>
        <v>2. Sensitive</v>
      </c>
      <c r="KR904" s="11" t="str">
        <f t="shared" si="637"/>
        <v>2. Accommodating</v>
      </c>
      <c r="KS904" s="11" t="str">
        <f t="shared" si="638"/>
        <v>4. Transformative</v>
      </c>
      <c r="KT904" s="11" t="str">
        <f t="shared" si="639"/>
        <v>It tested new ways for fighting poverty, but did not measure results of innovation</v>
      </c>
      <c r="KU904" s="11" t="str">
        <f t="shared" si="640"/>
        <v>Little or no advocacy</v>
      </c>
      <c r="KV904" s="11" t="str">
        <f t="shared" si="641"/>
        <v>It took tested solutions to scale on its own</v>
      </c>
      <c r="KW904" s="11" t="str">
        <f t="shared" si="642"/>
        <v>West Bank and Gaza - Rehabilitating and Strengthening Farmers Livelihood and Food Security in Gaza</v>
      </c>
      <c r="KX904" s="11" t="str">
        <f t="shared" si="643"/>
        <v>Rehabilitating and Strengthening Farmers Livelihood and Food Security in Gaza</v>
      </c>
      <c r="KY904" s="11" t="str">
        <f t="shared" si="644"/>
        <v>West Bank and Gaza</v>
      </c>
      <c r="KZ904" s="12">
        <v>905</v>
      </c>
    </row>
    <row r="905" spans="1:312" x14ac:dyDescent="0.3">
      <c r="A905" s="12" t="s">
        <v>13710</v>
      </c>
      <c r="B905" s="12" t="s">
        <v>602</v>
      </c>
      <c r="C905" s="12"/>
      <c r="D905" s="12" t="s">
        <v>13727</v>
      </c>
      <c r="E905" s="277" t="str">
        <f t="shared" si="603"/>
        <v>West Bank and Gaza</v>
      </c>
      <c r="F905" s="12" t="s">
        <v>13728</v>
      </c>
      <c r="G905" s="12" t="s">
        <v>376</v>
      </c>
      <c r="H905" s="12" t="s">
        <v>310</v>
      </c>
      <c r="I905" s="12" t="s">
        <v>377</v>
      </c>
      <c r="J905" s="281" t="s">
        <v>14582</v>
      </c>
      <c r="K905" s="12"/>
      <c r="L905" s="12"/>
      <c r="M905" s="12"/>
      <c r="N905" s="12"/>
      <c r="O905" s="12"/>
      <c r="P905" s="12"/>
      <c r="Q905" s="12"/>
      <c r="R905" s="12"/>
      <c r="S905" s="12"/>
      <c r="T905" s="12"/>
      <c r="U905" s="12"/>
      <c r="V905" s="12"/>
      <c r="W905" s="12"/>
      <c r="X905" s="12"/>
      <c r="Y905" s="12"/>
      <c r="Z905" s="12"/>
      <c r="AA905" s="12"/>
      <c r="AB905" s="12"/>
      <c r="AC905" s="12"/>
      <c r="AD905" s="12"/>
      <c r="BD905" s="13">
        <v>42542</v>
      </c>
      <c r="BE905" s="13">
        <v>43373</v>
      </c>
      <c r="BF905" s="12"/>
      <c r="BG905" s="12" t="s">
        <v>749</v>
      </c>
      <c r="BH905" s="14">
        <v>5744930</v>
      </c>
      <c r="BI905" s="12" t="s">
        <v>13729</v>
      </c>
      <c r="BJ905" s="12" t="s">
        <v>13730</v>
      </c>
      <c r="BK905" s="12" t="s">
        <v>13731</v>
      </c>
      <c r="BL905" s="12" t="s">
        <v>13732</v>
      </c>
      <c r="BM905" s="12" t="s">
        <v>11753</v>
      </c>
      <c r="BN905" s="12" t="s">
        <v>13733</v>
      </c>
      <c r="BO905" s="12" t="s">
        <v>320</v>
      </c>
      <c r="BP905" s="12" t="s">
        <v>320</v>
      </c>
      <c r="BQ905" s="12" t="s">
        <v>320</v>
      </c>
      <c r="BR905" s="12" t="s">
        <v>13734</v>
      </c>
      <c r="BS905" s="12" t="s">
        <v>322</v>
      </c>
      <c r="BT905" s="12" t="s">
        <v>13735</v>
      </c>
      <c r="BU905" s="12" t="s">
        <v>13736</v>
      </c>
      <c r="BV905" s="14">
        <v>17262</v>
      </c>
      <c r="BW905" s="14">
        <v>16999</v>
      </c>
      <c r="BX905" s="14">
        <v>34261</v>
      </c>
      <c r="BY905" s="14">
        <v>17262</v>
      </c>
      <c r="BZ905" s="14">
        <v>16999</v>
      </c>
      <c r="CA905" s="14">
        <v>34261</v>
      </c>
      <c r="CB905" s="12" t="s">
        <v>13737</v>
      </c>
      <c r="CD905" s="14"/>
      <c r="CE905" s="14"/>
      <c r="CF905" s="14"/>
      <c r="CG905" s="14"/>
      <c r="CH905" s="14"/>
      <c r="CI905" s="14"/>
      <c r="CJ905" s="12"/>
      <c r="CK905" s="14"/>
      <c r="CL905" s="16"/>
      <c r="CM905" s="14"/>
      <c r="CN905" s="12"/>
      <c r="CO905" s="14"/>
      <c r="CP905" s="16"/>
      <c r="CQ905" s="14"/>
      <c r="CR905" s="12"/>
      <c r="CS905" s="14"/>
      <c r="CT905" s="16"/>
      <c r="CU905" s="14"/>
      <c r="CV905" s="12" t="s">
        <v>320</v>
      </c>
      <c r="CW905" s="14"/>
      <c r="CX905" s="16"/>
      <c r="CY905" s="14"/>
      <c r="CZ905" s="12"/>
      <c r="DA905" s="14"/>
      <c r="DB905" s="16"/>
      <c r="DC905" s="14"/>
      <c r="DD905" s="12"/>
      <c r="DE905" s="14"/>
      <c r="DF905" s="16"/>
      <c r="DG905" s="14"/>
      <c r="DH905" s="12"/>
      <c r="DI905" s="14"/>
      <c r="DJ905" s="16"/>
      <c r="DK905" s="14"/>
      <c r="DL905" s="12" t="s">
        <v>320</v>
      </c>
      <c r="DM905" s="14"/>
      <c r="DN905" s="16"/>
      <c r="DO905" s="14"/>
      <c r="DP905" s="12"/>
      <c r="DQ905" s="14"/>
      <c r="DR905" s="16"/>
      <c r="DS905" s="14"/>
      <c r="DT905" s="12"/>
      <c r="DU905" s="14"/>
      <c r="DV905" s="16"/>
      <c r="DW905" s="14"/>
      <c r="DX905" s="12"/>
      <c r="DY905" s="14"/>
      <c r="DZ905" s="16"/>
      <c r="EA905" s="14"/>
      <c r="EB905" s="12"/>
      <c r="EC905" s="14"/>
      <c r="ED905" s="16"/>
      <c r="EE905" s="14"/>
      <c r="EF905" s="12"/>
      <c r="EG905" s="12"/>
      <c r="EH905" s="14"/>
      <c r="EI905" s="16"/>
      <c r="EJ905" s="14"/>
      <c r="EK905" s="14">
        <v>9504</v>
      </c>
      <c r="EL905" s="14">
        <v>9504</v>
      </c>
      <c r="EM905" s="14">
        <v>19008</v>
      </c>
      <c r="EN905" s="14">
        <v>14310</v>
      </c>
      <c r="EO905" s="14">
        <v>14310</v>
      </c>
      <c r="EP905" s="14">
        <v>28620</v>
      </c>
      <c r="EQ905" s="12" t="s">
        <v>320</v>
      </c>
      <c r="ER905" s="14">
        <v>19008</v>
      </c>
      <c r="ES905" s="16">
        <v>0.5</v>
      </c>
      <c r="ET905" s="14">
        <v>28620</v>
      </c>
      <c r="EU905" s="11" t="s">
        <v>320</v>
      </c>
      <c r="EV905" s="14">
        <v>19008</v>
      </c>
      <c r="EW905" s="16">
        <v>0.5</v>
      </c>
      <c r="EX905" s="14">
        <v>28620</v>
      </c>
      <c r="EY905" s="12"/>
      <c r="EZ905" s="14"/>
      <c r="FA905" s="16"/>
      <c r="FB905" s="14"/>
      <c r="FC905" s="12" t="s">
        <v>320</v>
      </c>
      <c r="FD905" s="14">
        <v>1900</v>
      </c>
      <c r="FE905" s="16">
        <v>0.5</v>
      </c>
      <c r="FF905" s="14">
        <v>28620</v>
      </c>
      <c r="FG905" s="12" t="s">
        <v>320</v>
      </c>
      <c r="FH905" s="14">
        <v>19008</v>
      </c>
      <c r="FI905" s="16">
        <v>0.5</v>
      </c>
      <c r="FJ905" s="14">
        <v>14310</v>
      </c>
      <c r="FK905" s="12"/>
      <c r="FL905" s="14"/>
      <c r="FM905" s="16"/>
      <c r="FN905" s="14"/>
      <c r="FO905" s="12" t="s">
        <v>320</v>
      </c>
      <c r="FP905" s="14">
        <v>19008</v>
      </c>
      <c r="FQ905" s="16">
        <v>0.5</v>
      </c>
      <c r="FR905" s="14">
        <v>5724</v>
      </c>
      <c r="FS905" s="12" t="s">
        <v>320</v>
      </c>
      <c r="FT905" s="14">
        <v>900</v>
      </c>
      <c r="FU905" s="16">
        <v>0.7</v>
      </c>
      <c r="FV905" s="14">
        <v>5040</v>
      </c>
      <c r="FW905" s="11" t="s">
        <v>320</v>
      </c>
      <c r="FX905" s="14">
        <v>900</v>
      </c>
      <c r="FY905" s="16">
        <v>0.7</v>
      </c>
      <c r="FZ905" s="14">
        <v>5040</v>
      </c>
      <c r="GA905" s="12"/>
      <c r="GB905" s="14"/>
      <c r="GC905" s="16"/>
      <c r="GD905" s="14"/>
      <c r="GE905" s="12" t="s">
        <v>320</v>
      </c>
      <c r="GF905" s="14">
        <v>8400</v>
      </c>
      <c r="GG905" s="16">
        <v>0.5</v>
      </c>
      <c r="GH905" s="14">
        <v>8400</v>
      </c>
      <c r="GI905" s="11" t="s">
        <v>320</v>
      </c>
      <c r="GJ905" s="14">
        <v>14000</v>
      </c>
      <c r="GK905" s="16">
        <v>0.5</v>
      </c>
      <c r="GL905" s="14">
        <v>5724</v>
      </c>
      <c r="GM905" s="11" t="s">
        <v>320</v>
      </c>
      <c r="GN905" s="14">
        <v>1800</v>
      </c>
      <c r="GO905" s="16">
        <v>0.7</v>
      </c>
      <c r="GP905" s="14">
        <v>10080</v>
      </c>
      <c r="GQ905" s="12"/>
      <c r="GR905" s="14"/>
      <c r="GS905" s="16"/>
      <c r="GT905" s="14"/>
      <c r="GU905" s="12" t="s">
        <v>320</v>
      </c>
      <c r="GV905" s="14">
        <v>5600</v>
      </c>
      <c r="GW905" s="16">
        <v>0.5</v>
      </c>
      <c r="GX905" s="14">
        <v>5600</v>
      </c>
      <c r="GY905" s="11" t="s">
        <v>320</v>
      </c>
      <c r="GZ905" s="14">
        <v>3300</v>
      </c>
      <c r="HA905" s="16">
        <v>1</v>
      </c>
      <c r="HB905" s="14">
        <v>16500</v>
      </c>
      <c r="HC905" s="12"/>
      <c r="HD905" s="12"/>
      <c r="HE905" s="14"/>
      <c r="HF905" s="16"/>
      <c r="HG905" s="14"/>
      <c r="HH905" s="12" t="s">
        <v>320</v>
      </c>
      <c r="HI905" s="12" t="s">
        <v>451</v>
      </c>
      <c r="HJ905" s="12">
        <v>2017</v>
      </c>
      <c r="HK905" s="12" t="s">
        <v>320</v>
      </c>
      <c r="HL905" s="12" t="s">
        <v>319</v>
      </c>
      <c r="HM905" s="12"/>
      <c r="HN905" s="12"/>
      <c r="HO905" s="12"/>
      <c r="HP905" s="12" t="s">
        <v>418</v>
      </c>
      <c r="HQ905" s="12" t="s">
        <v>319</v>
      </c>
      <c r="HR905" s="12" t="s">
        <v>319</v>
      </c>
      <c r="HS905" s="12" t="s">
        <v>320</v>
      </c>
      <c r="HT905" s="12" t="s">
        <v>319</v>
      </c>
      <c r="HU905" s="12" t="s">
        <v>319</v>
      </c>
      <c r="HV905" s="12" t="s">
        <v>319</v>
      </c>
      <c r="HW905" s="12" t="s">
        <v>319</v>
      </c>
      <c r="HX905" s="12" t="s">
        <v>319</v>
      </c>
      <c r="HY905" s="12"/>
      <c r="HZ905" s="12" t="s">
        <v>394</v>
      </c>
      <c r="IA905" s="12" t="s">
        <v>13738</v>
      </c>
      <c r="IB905" s="12" t="s">
        <v>667</v>
      </c>
      <c r="IC905" s="12"/>
      <c r="ID905" s="12" t="s">
        <v>334</v>
      </c>
      <c r="IE905" s="12" t="s">
        <v>478</v>
      </c>
      <c r="IF905" s="12" t="s">
        <v>320</v>
      </c>
      <c r="IG905" s="12" t="s">
        <v>320</v>
      </c>
      <c r="IH905" s="12" t="s">
        <v>320</v>
      </c>
      <c r="II905" s="12" t="s">
        <v>320</v>
      </c>
      <c r="IJ905" s="12" t="str">
        <f t="shared" si="602"/>
        <v>4. Transformative</v>
      </c>
      <c r="IK905" s="12">
        <f t="shared" si="604"/>
        <v>4</v>
      </c>
      <c r="IL905" s="12" t="s">
        <v>336</v>
      </c>
      <c r="IM905" s="12" t="s">
        <v>320</v>
      </c>
      <c r="IN905" s="12" t="s">
        <v>320</v>
      </c>
      <c r="IO905" s="12" t="s">
        <v>320</v>
      </c>
      <c r="IP905" s="12" t="s">
        <v>320</v>
      </c>
      <c r="IQ905" s="12" t="str">
        <f t="shared" si="605"/>
        <v>2. Accommodating</v>
      </c>
      <c r="IR905" s="12">
        <f t="shared" si="606"/>
        <v>4</v>
      </c>
      <c r="IS905" s="12" t="s">
        <v>622</v>
      </c>
      <c r="IT905" s="12" t="s">
        <v>320</v>
      </c>
      <c r="IU905" s="12" t="s">
        <v>320</v>
      </c>
      <c r="IV905" s="12" t="s">
        <v>320</v>
      </c>
      <c r="IW905" s="11" t="str">
        <f t="shared" si="607"/>
        <v>4. Transformative</v>
      </c>
      <c r="IX905" s="12">
        <f t="shared" si="608"/>
        <v>3</v>
      </c>
      <c r="IY905" s="12" t="s">
        <v>419</v>
      </c>
      <c r="IZ905" s="12" t="s">
        <v>457</v>
      </c>
      <c r="JA905" s="12">
        <v>2</v>
      </c>
      <c r="JB905" s="12" t="s">
        <v>687</v>
      </c>
      <c r="JC905" s="12" t="s">
        <v>433</v>
      </c>
      <c r="JD905" s="12"/>
      <c r="JE905" s="12" t="s">
        <v>340</v>
      </c>
      <c r="JF905" s="12" t="s">
        <v>13739</v>
      </c>
      <c r="JG905" s="12"/>
      <c r="JH905" s="12" t="s">
        <v>13740</v>
      </c>
      <c r="JI905" s="12" t="s">
        <v>13741</v>
      </c>
      <c r="JJ905" s="12" t="s">
        <v>13742</v>
      </c>
      <c r="JK905" s="12"/>
      <c r="JL905" s="12"/>
      <c r="JM905" s="12"/>
      <c r="JN905" s="12"/>
      <c r="JO905" s="12"/>
      <c r="JP905" s="15">
        <f t="shared" si="609"/>
        <v>19008</v>
      </c>
      <c r="JQ905" s="15">
        <f t="shared" si="610"/>
        <v>28620</v>
      </c>
      <c r="JR905" s="279">
        <f t="shared" si="611"/>
        <v>1.5056818181818181</v>
      </c>
      <c r="JS905" s="17">
        <f t="shared" si="612"/>
        <v>0.5</v>
      </c>
      <c r="JT905" s="18">
        <f t="shared" si="613"/>
        <v>0.5</v>
      </c>
      <c r="JU905" s="280">
        <f t="shared" si="614"/>
        <v>9504</v>
      </c>
      <c r="JV905" s="280">
        <f t="shared" si="615"/>
        <v>14310</v>
      </c>
      <c r="JW905" s="319">
        <f t="shared" si="616"/>
        <v>1</v>
      </c>
      <c r="JX905" s="15">
        <f t="shared" si="617"/>
        <v>0</v>
      </c>
      <c r="JY905" s="15">
        <f t="shared" si="618"/>
        <v>0</v>
      </c>
      <c r="JZ905" s="19" t="str">
        <f t="shared" si="619"/>
        <v/>
      </c>
      <c r="KA905" s="52">
        <f t="shared" si="620"/>
        <v>1</v>
      </c>
      <c r="KB905" s="15">
        <f t="shared" si="621"/>
        <v>19008</v>
      </c>
      <c r="KC905" s="15">
        <f t="shared" si="622"/>
        <v>28620</v>
      </c>
      <c r="KD905" s="20">
        <f t="shared" si="623"/>
        <v>1.5056818181818181</v>
      </c>
      <c r="KE905" s="52" t="str">
        <f t="shared" si="624"/>
        <v/>
      </c>
      <c r="KF905" s="15">
        <f t="shared" si="625"/>
        <v>0</v>
      </c>
      <c r="KG905" s="15">
        <f t="shared" si="626"/>
        <v>0</v>
      </c>
      <c r="KH905" s="21" t="str">
        <f t="shared" si="627"/>
        <v/>
      </c>
      <c r="KI905" s="52">
        <f t="shared" si="628"/>
        <v>1</v>
      </c>
      <c r="KJ905" s="15">
        <f t="shared" si="629"/>
        <v>900</v>
      </c>
      <c r="KK905" s="15">
        <f t="shared" si="630"/>
        <v>5040</v>
      </c>
      <c r="KL905" s="19">
        <f t="shared" si="631"/>
        <v>5.6</v>
      </c>
      <c r="KM905" s="52">
        <f t="shared" si="632"/>
        <v>1</v>
      </c>
      <c r="KN905" s="22">
        <f t="shared" si="633"/>
        <v>9504</v>
      </c>
      <c r="KO905" s="22">
        <f t="shared" si="634"/>
        <v>16500</v>
      </c>
      <c r="KP905" s="19">
        <f t="shared" si="635"/>
        <v>1.7361111111111112</v>
      </c>
      <c r="KQ905" s="11" t="str">
        <f t="shared" si="636"/>
        <v>4. Transformative</v>
      </c>
      <c r="KR905" s="11" t="str">
        <f t="shared" si="637"/>
        <v>2. Accommodating</v>
      </c>
      <c r="KS905" s="11" t="str">
        <f t="shared" si="638"/>
        <v>4. Transformative</v>
      </c>
      <c r="KT905" s="11" t="str">
        <f t="shared" si="639"/>
        <v>It tested new ways for fighting poverty, but did not measure results of innovation</v>
      </c>
      <c r="KU905" s="11" t="str">
        <f t="shared" si="640"/>
        <v>Little or no advocacy</v>
      </c>
      <c r="KV905" s="11" t="str">
        <f t="shared" si="641"/>
        <v>It took tested solutions to scale on its own</v>
      </c>
      <c r="KW905" s="11" t="str">
        <f t="shared" si="642"/>
        <v>West Bank and Gaza - Rehabilitating and Strengthening Food Security in the West Bank and Gaza (AYADI)"</v>
      </c>
      <c r="KX905" s="11" t="str">
        <f t="shared" si="643"/>
        <v>Rehabilitating and Strengthening Food Security in the West Bank and Gaza (AYADI)"</v>
      </c>
      <c r="KY905" s="11" t="str">
        <f t="shared" si="644"/>
        <v>West Bank and Gaza</v>
      </c>
      <c r="KZ905" s="12">
        <v>906</v>
      </c>
    </row>
    <row r="906" spans="1:312" x14ac:dyDescent="0.3">
      <c r="A906" s="12" t="s">
        <v>13710</v>
      </c>
      <c r="B906" s="12" t="s">
        <v>602</v>
      </c>
      <c r="C906" s="12">
        <v>3461</v>
      </c>
      <c r="D906" s="12" t="s">
        <v>13711</v>
      </c>
      <c r="E906" s="277" t="str">
        <f t="shared" si="603"/>
        <v>West Bank and Gaza</v>
      </c>
      <c r="F906" s="12" t="s">
        <v>13712</v>
      </c>
      <c r="G906" s="12" t="s">
        <v>309</v>
      </c>
      <c r="H906" s="12" t="s">
        <v>310</v>
      </c>
      <c r="I906" s="12" t="s">
        <v>311</v>
      </c>
      <c r="J906" s="281" t="s">
        <v>14565</v>
      </c>
      <c r="K906" s="12"/>
      <c r="L906" s="12"/>
      <c r="M906" s="12"/>
      <c r="N906" s="12"/>
      <c r="O906" s="12"/>
      <c r="P906" s="12"/>
      <c r="Q906" s="12"/>
      <c r="R906" s="12"/>
      <c r="S906" s="12"/>
      <c r="T906" s="12"/>
      <c r="U906" s="12"/>
      <c r="V906" s="12"/>
      <c r="W906" s="12"/>
      <c r="X906" s="12"/>
      <c r="Y906" s="12"/>
      <c r="Z906" s="12"/>
      <c r="AA906" s="12"/>
      <c r="AB906" s="12"/>
      <c r="AC906" s="12"/>
      <c r="AD906" s="12"/>
      <c r="BD906" s="13">
        <v>42461</v>
      </c>
      <c r="BE906" s="13">
        <v>43555</v>
      </c>
      <c r="BF906" s="12"/>
      <c r="BG906" s="12" t="s">
        <v>350</v>
      </c>
      <c r="BH906" s="14">
        <v>5125000</v>
      </c>
      <c r="BI906" s="12" t="s">
        <v>13713</v>
      </c>
      <c r="BJ906" s="12" t="s">
        <v>13714</v>
      </c>
      <c r="BK906" s="12" t="s">
        <v>13715</v>
      </c>
      <c r="BL906" s="12" t="s">
        <v>13716</v>
      </c>
      <c r="BM906" s="12" t="s">
        <v>13717</v>
      </c>
      <c r="BN906" s="12" t="s">
        <v>13718</v>
      </c>
      <c r="BO906" s="12" t="s">
        <v>319</v>
      </c>
      <c r="BP906" s="12" t="s">
        <v>320</v>
      </c>
      <c r="BQ906" s="12" t="s">
        <v>319</v>
      </c>
      <c r="BR906" s="12" t="s">
        <v>13719</v>
      </c>
      <c r="BS906" s="12" t="s">
        <v>357</v>
      </c>
      <c r="BT906" s="12" t="s">
        <v>13720</v>
      </c>
      <c r="BU906" s="12" t="s">
        <v>13721</v>
      </c>
      <c r="BV906" s="14">
        <v>16800</v>
      </c>
      <c r="BW906" s="14">
        <v>16800</v>
      </c>
      <c r="BX906" s="14">
        <v>33600</v>
      </c>
      <c r="BY906" s="14">
        <v>25000</v>
      </c>
      <c r="BZ906" s="14">
        <v>25000</v>
      </c>
      <c r="CA906" s="14">
        <v>50000</v>
      </c>
      <c r="CB906" s="12" t="s">
        <v>13722</v>
      </c>
      <c r="CD906" s="14"/>
      <c r="CE906" s="14"/>
      <c r="CF906" s="14"/>
      <c r="CG906" s="14"/>
      <c r="CH906" s="14"/>
      <c r="CI906" s="14"/>
      <c r="CJ906" s="12"/>
      <c r="CK906" s="14"/>
      <c r="CL906" s="16"/>
      <c r="CM906" s="14"/>
      <c r="CN906" s="12"/>
      <c r="CO906" s="14"/>
      <c r="CP906" s="16"/>
      <c r="CQ906" s="14"/>
      <c r="CR906" s="12"/>
      <c r="CS906" s="14"/>
      <c r="CT906" s="16"/>
      <c r="CU906" s="14"/>
      <c r="CV906" s="12"/>
      <c r="CW906" s="14"/>
      <c r="CX906" s="16"/>
      <c r="CY906" s="14"/>
      <c r="CZ906" s="12"/>
      <c r="DA906" s="14"/>
      <c r="DB906" s="16"/>
      <c r="DC906" s="14"/>
      <c r="DD906" s="12"/>
      <c r="DE906" s="14"/>
      <c r="DF906" s="16"/>
      <c r="DG906" s="14"/>
      <c r="DH906" s="12"/>
      <c r="DI906" s="14"/>
      <c r="DJ906" s="16"/>
      <c r="DK906" s="14"/>
      <c r="DL906" s="12"/>
      <c r="DM906" s="14"/>
      <c r="DN906" s="16"/>
      <c r="DO906" s="14"/>
      <c r="DP906" s="12"/>
      <c r="DQ906" s="14"/>
      <c r="DR906" s="16"/>
      <c r="DS906" s="14"/>
      <c r="DT906" s="12"/>
      <c r="DU906" s="14"/>
      <c r="DV906" s="16"/>
      <c r="DW906" s="14"/>
      <c r="DX906" s="12"/>
      <c r="DY906" s="14"/>
      <c r="DZ906" s="16"/>
      <c r="EA906" s="14"/>
      <c r="EB906" s="12"/>
      <c r="EC906" s="14"/>
      <c r="ED906" s="16"/>
      <c r="EE906" s="14"/>
      <c r="EF906" s="12"/>
      <c r="EG906" s="12"/>
      <c r="EH906" s="14"/>
      <c r="EI906" s="16"/>
      <c r="EJ906" s="14"/>
      <c r="EK906" s="14">
        <v>2000</v>
      </c>
      <c r="EL906" s="14">
        <v>2000</v>
      </c>
      <c r="EM906" s="14">
        <v>4000</v>
      </c>
      <c r="EN906" s="14">
        <v>4000</v>
      </c>
      <c r="EO906" s="14">
        <v>4000</v>
      </c>
      <c r="EP906" s="14">
        <v>8000</v>
      </c>
      <c r="EQ906" s="12" t="s">
        <v>320</v>
      </c>
      <c r="ER906" s="14">
        <v>4000</v>
      </c>
      <c r="ES906" s="16">
        <v>0.5</v>
      </c>
      <c r="ET906" s="14">
        <v>8000</v>
      </c>
      <c r="EU906" s="11" t="s">
        <v>320</v>
      </c>
      <c r="EV906" s="14">
        <v>4000</v>
      </c>
      <c r="EW906" s="16">
        <v>0.5</v>
      </c>
      <c r="EX906" s="14">
        <v>8000</v>
      </c>
      <c r="EY906" s="12"/>
      <c r="EZ906" s="14"/>
      <c r="FA906" s="16"/>
      <c r="FB906" s="14"/>
      <c r="FC906" s="12" t="s">
        <v>320</v>
      </c>
      <c r="FD906" s="14">
        <v>400</v>
      </c>
      <c r="FE906" s="16">
        <v>0.5</v>
      </c>
      <c r="FF906" s="14"/>
      <c r="FG906" s="12" t="s">
        <v>320</v>
      </c>
      <c r="FH906" s="14">
        <v>4000</v>
      </c>
      <c r="FI906" s="16">
        <v>0.5</v>
      </c>
      <c r="FJ906" s="14">
        <v>8000</v>
      </c>
      <c r="FK906" s="12"/>
      <c r="FL906" s="14"/>
      <c r="FM906" s="16"/>
      <c r="FN906" s="14"/>
      <c r="FO906" s="12" t="s">
        <v>320</v>
      </c>
      <c r="FP906" s="14">
        <v>4000</v>
      </c>
      <c r="FQ906" s="16">
        <v>0.5</v>
      </c>
      <c r="FR906" s="14">
        <v>8000</v>
      </c>
      <c r="FS906" s="12" t="s">
        <v>320</v>
      </c>
      <c r="FT906" s="14">
        <v>1120</v>
      </c>
      <c r="FU906" s="16">
        <v>0.8</v>
      </c>
      <c r="FV906" s="14">
        <v>2240</v>
      </c>
      <c r="FW906" s="11" t="s">
        <v>320</v>
      </c>
      <c r="FX906" s="14">
        <v>1120</v>
      </c>
      <c r="FY906" s="16">
        <v>0.8</v>
      </c>
      <c r="FZ906" s="14">
        <v>2240</v>
      </c>
      <c r="GA906" s="12"/>
      <c r="GB906" s="14"/>
      <c r="GC906" s="16"/>
      <c r="GD906" s="14"/>
      <c r="GE906" s="12" t="s">
        <v>320</v>
      </c>
      <c r="GF906" s="14">
        <v>2240</v>
      </c>
      <c r="GG906" s="16">
        <v>0.5</v>
      </c>
      <c r="GH906" s="14">
        <v>4480</v>
      </c>
      <c r="GI906" s="11" t="s">
        <v>320</v>
      </c>
      <c r="GJ906" s="14">
        <v>4000</v>
      </c>
      <c r="GK906" s="16">
        <v>0.5</v>
      </c>
      <c r="GL906" s="14">
        <v>8000</v>
      </c>
      <c r="GM906" s="12" t="s">
        <v>320</v>
      </c>
      <c r="GN906" s="14"/>
      <c r="GO906" s="16"/>
      <c r="GP906" s="14"/>
      <c r="GQ906" s="12"/>
      <c r="GR906" s="14"/>
      <c r="GS906" s="16"/>
      <c r="GT906" s="14"/>
      <c r="GU906" s="12" t="s">
        <v>320</v>
      </c>
      <c r="GV906" s="14">
        <v>1120</v>
      </c>
      <c r="GW906" s="16">
        <v>0.5</v>
      </c>
      <c r="GX906" s="14">
        <v>2240</v>
      </c>
      <c r="GY906" s="11" t="s">
        <v>320</v>
      </c>
      <c r="GZ906" s="14">
        <v>1120</v>
      </c>
      <c r="HA906" s="16">
        <v>1</v>
      </c>
      <c r="HB906" s="14">
        <v>2240</v>
      </c>
      <c r="HC906" s="12"/>
      <c r="HD906" s="12"/>
      <c r="HE906" s="14"/>
      <c r="HF906" s="16"/>
      <c r="HG906" s="14"/>
      <c r="HH906" s="12" t="s">
        <v>319</v>
      </c>
      <c r="HI906" s="12"/>
      <c r="HJ906" s="12"/>
      <c r="HK906" s="12" t="s">
        <v>319</v>
      </c>
      <c r="HL906" s="12" t="s">
        <v>320</v>
      </c>
      <c r="HM906" s="12" t="s">
        <v>328</v>
      </c>
      <c r="HN906" s="12">
        <v>2017</v>
      </c>
      <c r="HO906" s="12"/>
      <c r="HP906" s="12" t="s">
        <v>330</v>
      </c>
      <c r="HQ906" s="12" t="s">
        <v>320</v>
      </c>
      <c r="HR906" s="12" t="s">
        <v>319</v>
      </c>
      <c r="HS906" s="12" t="s">
        <v>320</v>
      </c>
      <c r="HT906" s="12" t="s">
        <v>320</v>
      </c>
      <c r="HU906" s="12" t="s">
        <v>320</v>
      </c>
      <c r="HV906" s="12" t="s">
        <v>320</v>
      </c>
      <c r="HW906" s="12" t="s">
        <v>319</v>
      </c>
      <c r="HX906" s="12"/>
      <c r="HY906" s="12"/>
      <c r="HZ906" s="12" t="s">
        <v>331</v>
      </c>
      <c r="IA906" s="12" t="s">
        <v>13723</v>
      </c>
      <c r="IB906" s="12" t="s">
        <v>396</v>
      </c>
      <c r="IC906" s="12"/>
      <c r="ID906" s="12" t="s">
        <v>334</v>
      </c>
      <c r="IE906" s="12" t="s">
        <v>478</v>
      </c>
      <c r="IF906" s="12" t="s">
        <v>320</v>
      </c>
      <c r="IG906" s="12" t="s">
        <v>320</v>
      </c>
      <c r="IH906" s="12" t="s">
        <v>320</v>
      </c>
      <c r="II906" s="12" t="s">
        <v>320</v>
      </c>
      <c r="IJ906" s="12" t="str">
        <f t="shared" si="602"/>
        <v>4. Transformative</v>
      </c>
      <c r="IK906" s="12">
        <f t="shared" si="604"/>
        <v>4</v>
      </c>
      <c r="IL906" s="11" t="s">
        <v>621</v>
      </c>
      <c r="IM906" s="12" t="s">
        <v>320</v>
      </c>
      <c r="IN906" s="12" t="s">
        <v>320</v>
      </c>
      <c r="IO906" s="12" t="s">
        <v>320</v>
      </c>
      <c r="IP906" s="12" t="s">
        <v>320</v>
      </c>
      <c r="IQ906" s="12" t="str">
        <f t="shared" si="605"/>
        <v>4. Transformational</v>
      </c>
      <c r="IR906" s="12">
        <f t="shared" si="606"/>
        <v>4</v>
      </c>
      <c r="IS906" s="12" t="s">
        <v>622</v>
      </c>
      <c r="IT906" s="12" t="s">
        <v>320</v>
      </c>
      <c r="IU906" s="12" t="s">
        <v>320</v>
      </c>
      <c r="IV906" s="12" t="s">
        <v>320</v>
      </c>
      <c r="IW906" s="11" t="str">
        <f t="shared" si="607"/>
        <v>4. Transformative</v>
      </c>
      <c r="IX906" s="12">
        <f t="shared" si="608"/>
        <v>3</v>
      </c>
      <c r="IY906" s="12" t="s">
        <v>758</v>
      </c>
      <c r="IZ906" s="12" t="s">
        <v>457</v>
      </c>
      <c r="JA906" s="12">
        <v>4</v>
      </c>
      <c r="JB906" s="12" t="s">
        <v>687</v>
      </c>
      <c r="JC906" s="12" t="s">
        <v>831</v>
      </c>
      <c r="JD906" s="12" t="s">
        <v>651</v>
      </c>
      <c r="JE906" s="12" t="s">
        <v>340</v>
      </c>
      <c r="JF906" s="12"/>
      <c r="JG906" s="12"/>
      <c r="JH906" s="12" t="s">
        <v>13724</v>
      </c>
      <c r="JI906" s="12" t="s">
        <v>13725</v>
      </c>
      <c r="JJ906" s="12" t="s">
        <v>13726</v>
      </c>
      <c r="JK906" s="12"/>
      <c r="JL906" s="12"/>
      <c r="JM906" s="12"/>
      <c r="JN906" s="12"/>
      <c r="JO906" s="12"/>
      <c r="JP906" s="15">
        <f t="shared" si="609"/>
        <v>4000</v>
      </c>
      <c r="JQ906" s="15">
        <f t="shared" si="610"/>
        <v>8000</v>
      </c>
      <c r="JR906" s="279">
        <f t="shared" si="611"/>
        <v>2</v>
      </c>
      <c r="JS906" s="17">
        <f t="shared" si="612"/>
        <v>0.5</v>
      </c>
      <c r="JT906" s="18">
        <f t="shared" si="613"/>
        <v>0.5</v>
      </c>
      <c r="JU906" s="280">
        <f t="shared" si="614"/>
        <v>2000</v>
      </c>
      <c r="JV906" s="280">
        <f t="shared" si="615"/>
        <v>4000</v>
      </c>
      <c r="JW906" s="319" t="str">
        <f t="shared" si="616"/>
        <v/>
      </c>
      <c r="JX906" s="15">
        <f t="shared" si="617"/>
        <v>0</v>
      </c>
      <c r="JY906" s="15">
        <f t="shared" si="618"/>
        <v>0</v>
      </c>
      <c r="JZ906" s="19" t="str">
        <f t="shared" si="619"/>
        <v/>
      </c>
      <c r="KA906" s="52">
        <f t="shared" si="620"/>
        <v>1</v>
      </c>
      <c r="KB906" s="15">
        <f t="shared" si="621"/>
        <v>4000</v>
      </c>
      <c r="KC906" s="15">
        <f t="shared" si="622"/>
        <v>8000</v>
      </c>
      <c r="KD906" s="20">
        <f t="shared" si="623"/>
        <v>2</v>
      </c>
      <c r="KE906" s="52" t="str">
        <f t="shared" si="624"/>
        <v/>
      </c>
      <c r="KF906" s="15">
        <f t="shared" si="625"/>
        <v>0</v>
      </c>
      <c r="KG906" s="15">
        <f t="shared" si="626"/>
        <v>0</v>
      </c>
      <c r="KH906" s="21" t="str">
        <f t="shared" si="627"/>
        <v/>
      </c>
      <c r="KI906" s="52">
        <f t="shared" si="628"/>
        <v>1</v>
      </c>
      <c r="KJ906" s="15">
        <f t="shared" si="629"/>
        <v>1120</v>
      </c>
      <c r="KK906" s="15">
        <f t="shared" si="630"/>
        <v>2240</v>
      </c>
      <c r="KL906" s="19">
        <f t="shared" si="631"/>
        <v>2</v>
      </c>
      <c r="KM906" s="52">
        <f t="shared" si="632"/>
        <v>1</v>
      </c>
      <c r="KN906" s="22">
        <f t="shared" si="633"/>
        <v>2000</v>
      </c>
      <c r="KO906" s="22">
        <f t="shared" si="634"/>
        <v>4000</v>
      </c>
      <c r="KP906" s="19">
        <f t="shared" si="635"/>
        <v>2</v>
      </c>
      <c r="KQ906" s="11" t="str">
        <f t="shared" si="636"/>
        <v>4. Transformative</v>
      </c>
      <c r="KR906" s="11" t="str">
        <f t="shared" si="637"/>
        <v>4. Transformational</v>
      </c>
      <c r="KS906" s="11" t="str">
        <f t="shared" si="638"/>
        <v>4. Transformative</v>
      </c>
      <c r="KT906" s="11" t="str">
        <f t="shared" si="639"/>
        <v>It tested new ways for fighting poverty and measured results of innovation</v>
      </c>
      <c r="KU906" s="11" t="str">
        <f t="shared" si="640"/>
        <v>Moderate advocacy</v>
      </c>
      <c r="KV906" s="11" t="str">
        <f t="shared" si="641"/>
        <v>It linked and worked with strategic alliances and partners to take tested and effective solutions to scale</v>
      </c>
      <c r="KW906" s="11" t="str">
        <f t="shared" si="642"/>
        <v>West Bank and Gaza - Souqona-Our Market</v>
      </c>
      <c r="KX906" s="11" t="str">
        <f t="shared" si="643"/>
        <v>Souqona-Our Market</v>
      </c>
      <c r="KY906" s="11" t="str">
        <f t="shared" si="644"/>
        <v>West Bank and Gaza</v>
      </c>
      <c r="KZ906" s="287">
        <v>907</v>
      </c>
    </row>
    <row r="907" spans="1:312" x14ac:dyDescent="0.3">
      <c r="A907" s="12" t="s">
        <v>13710</v>
      </c>
      <c r="B907" s="12" t="s">
        <v>602</v>
      </c>
      <c r="C907" s="12">
        <v>3457</v>
      </c>
      <c r="D907" s="12" t="s">
        <v>13743</v>
      </c>
      <c r="E907" s="277" t="str">
        <f t="shared" si="603"/>
        <v>West Bank and Gaza</v>
      </c>
      <c r="F907" s="12" t="s">
        <v>13744</v>
      </c>
      <c r="G907" s="12" t="s">
        <v>1738</v>
      </c>
      <c r="H907" s="12" t="s">
        <v>310</v>
      </c>
      <c r="I907" s="12" t="s">
        <v>2595</v>
      </c>
      <c r="J907" s="281" t="s">
        <v>14604</v>
      </c>
      <c r="K907" s="12"/>
      <c r="L907" s="12"/>
      <c r="M907" s="12"/>
      <c r="N907" s="12"/>
      <c r="O907" s="12"/>
      <c r="P907" s="12"/>
      <c r="Q907" s="12"/>
      <c r="R907" s="12"/>
      <c r="S907" s="12"/>
      <c r="T907" s="12"/>
      <c r="U907" s="12"/>
      <c r="V907" s="12"/>
      <c r="W907" s="12"/>
      <c r="X907" s="12"/>
      <c r="Y907" s="12"/>
      <c r="Z907" s="12"/>
      <c r="AA907" s="12"/>
      <c r="AB907" s="12"/>
      <c r="AC907" s="12"/>
      <c r="AD907" s="12"/>
      <c r="BD907" s="13">
        <v>41640</v>
      </c>
      <c r="BE907" s="13">
        <v>42766</v>
      </c>
      <c r="BF907" s="12"/>
      <c r="BG907" s="12" t="s">
        <v>749</v>
      </c>
      <c r="BH907" s="14">
        <v>4135680</v>
      </c>
      <c r="BI907" s="12" t="s">
        <v>13713</v>
      </c>
      <c r="BJ907" s="12" t="s">
        <v>13714</v>
      </c>
      <c r="BK907" s="12" t="s">
        <v>13715</v>
      </c>
      <c r="BL907" s="12" t="s">
        <v>13716</v>
      </c>
      <c r="BM907" s="12" t="s">
        <v>13717</v>
      </c>
      <c r="BN907" s="12" t="s">
        <v>13718</v>
      </c>
      <c r="BO907" s="12" t="s">
        <v>320</v>
      </c>
      <c r="BP907" s="12" t="s">
        <v>320</v>
      </c>
      <c r="BQ907" s="12" t="s">
        <v>320</v>
      </c>
      <c r="BR907" s="12" t="s">
        <v>13745</v>
      </c>
      <c r="BS907" s="12" t="s">
        <v>322</v>
      </c>
      <c r="BT907" s="12" t="s">
        <v>13746</v>
      </c>
      <c r="BU907" s="12" t="s">
        <v>13747</v>
      </c>
      <c r="BV907" s="14">
        <v>5800</v>
      </c>
      <c r="BW907" s="14">
        <v>5800</v>
      </c>
      <c r="BX907" s="14">
        <v>11600</v>
      </c>
      <c r="BY907" s="14">
        <v>3900</v>
      </c>
      <c r="BZ907" s="14">
        <v>3900</v>
      </c>
      <c r="CA907" s="14">
        <v>7800</v>
      </c>
      <c r="CB907" s="12" t="s">
        <v>13748</v>
      </c>
      <c r="CD907" s="14"/>
      <c r="CE907" s="14"/>
      <c r="CF907" s="14"/>
      <c r="CG907" s="14"/>
      <c r="CH907" s="14"/>
      <c r="CI907" s="14"/>
      <c r="CJ907" s="12"/>
      <c r="CK907" s="14"/>
      <c r="CL907" s="16"/>
      <c r="CM907" s="14"/>
      <c r="CN907" s="12"/>
      <c r="CO907" s="14"/>
      <c r="CP907" s="16"/>
      <c r="CQ907" s="14"/>
      <c r="CR907" s="12"/>
      <c r="CS907" s="14"/>
      <c r="CT907" s="16"/>
      <c r="CU907" s="14"/>
      <c r="CV907" s="12"/>
      <c r="CW907" s="14"/>
      <c r="CX907" s="16"/>
      <c r="CY907" s="14"/>
      <c r="CZ907" s="12"/>
      <c r="DA907" s="14"/>
      <c r="DB907" s="16"/>
      <c r="DC907" s="14"/>
      <c r="DD907" s="12"/>
      <c r="DE907" s="14"/>
      <c r="DF907" s="16"/>
      <c r="DG907" s="14"/>
      <c r="DH907" s="12"/>
      <c r="DI907" s="14"/>
      <c r="DJ907" s="16"/>
      <c r="DK907" s="14"/>
      <c r="DL907" s="12"/>
      <c r="DM907" s="14"/>
      <c r="DN907" s="16"/>
      <c r="DO907" s="14"/>
      <c r="DP907" s="12"/>
      <c r="DQ907" s="14"/>
      <c r="DR907" s="16"/>
      <c r="DS907" s="14"/>
      <c r="DT907" s="12"/>
      <c r="DU907" s="14"/>
      <c r="DV907" s="16"/>
      <c r="DW907" s="14"/>
      <c r="DX907" s="12"/>
      <c r="DY907" s="14"/>
      <c r="DZ907" s="16"/>
      <c r="EA907" s="14"/>
      <c r="EB907" s="12"/>
      <c r="EC907" s="14"/>
      <c r="ED907" s="16"/>
      <c r="EE907" s="14"/>
      <c r="EF907" s="12"/>
      <c r="EG907" s="12"/>
      <c r="EH907" s="14"/>
      <c r="EI907" s="16"/>
      <c r="EJ907" s="14"/>
      <c r="EK907" s="14">
        <v>5608.4</v>
      </c>
      <c r="EL907" s="14">
        <v>5608</v>
      </c>
      <c r="EM907" s="14">
        <v>11216</v>
      </c>
      <c r="EN907" s="14">
        <v>39226</v>
      </c>
      <c r="EO907" s="14">
        <v>39226</v>
      </c>
      <c r="EP907" s="14">
        <v>78452</v>
      </c>
      <c r="EQ907" s="12" t="s">
        <v>320</v>
      </c>
      <c r="ER907" s="14">
        <v>11217</v>
      </c>
      <c r="ES907" s="16">
        <v>0.5</v>
      </c>
      <c r="ET907" s="14">
        <v>81252</v>
      </c>
      <c r="EU907" s="11" t="s">
        <v>320</v>
      </c>
      <c r="EV907" s="14">
        <v>11217</v>
      </c>
      <c r="EW907" s="16">
        <v>0.5</v>
      </c>
      <c r="EX907" s="14">
        <v>81252</v>
      </c>
      <c r="EY907" s="12"/>
      <c r="EZ907" s="14"/>
      <c r="FA907" s="16"/>
      <c r="FB907" s="14"/>
      <c r="FC907" s="12" t="s">
        <v>320</v>
      </c>
      <c r="FD907" s="14">
        <v>1121</v>
      </c>
      <c r="FE907" s="16">
        <v>0.5</v>
      </c>
      <c r="FF907" s="14">
        <v>8125</v>
      </c>
      <c r="FG907" s="12" t="s">
        <v>320</v>
      </c>
      <c r="FH907" s="14">
        <v>1121</v>
      </c>
      <c r="FI907" s="16">
        <v>0.2</v>
      </c>
      <c r="FJ907" s="14">
        <v>8125</v>
      </c>
      <c r="FK907" s="12" t="s">
        <v>319</v>
      </c>
      <c r="FL907" s="14"/>
      <c r="FM907" s="16"/>
      <c r="FN907" s="14"/>
      <c r="FO907" s="12" t="s">
        <v>320</v>
      </c>
      <c r="FP907" s="14">
        <v>11217</v>
      </c>
      <c r="FQ907" s="16">
        <v>0.5</v>
      </c>
      <c r="FR907" s="14">
        <v>8125</v>
      </c>
      <c r="FS907" s="12" t="s">
        <v>320</v>
      </c>
      <c r="FT907" s="14">
        <v>650</v>
      </c>
      <c r="FU907" s="16"/>
      <c r="FV907" s="14">
        <v>1950</v>
      </c>
      <c r="FW907" s="11" t="s">
        <v>320</v>
      </c>
      <c r="FX907" s="14">
        <v>650</v>
      </c>
      <c r="FY907" s="16"/>
      <c r="FZ907" s="14">
        <v>1950</v>
      </c>
      <c r="GA907" s="12" t="s">
        <v>319</v>
      </c>
      <c r="GB907" s="14"/>
      <c r="GC907" s="16"/>
      <c r="GD907" s="14"/>
      <c r="GE907" s="12" t="s">
        <v>320</v>
      </c>
      <c r="GF907" s="14">
        <v>2804</v>
      </c>
      <c r="GG907" s="16">
        <v>0.5</v>
      </c>
      <c r="GH907" s="14">
        <v>8125</v>
      </c>
      <c r="GI907" s="11" t="s">
        <v>320</v>
      </c>
      <c r="GJ907" s="14">
        <v>11217</v>
      </c>
      <c r="GK907" s="16">
        <v>0.5</v>
      </c>
      <c r="GL907" s="14">
        <v>81252</v>
      </c>
      <c r="GM907" s="11" t="s">
        <v>320</v>
      </c>
      <c r="GN907" s="14">
        <v>3900</v>
      </c>
      <c r="GO907" s="16">
        <v>0.5</v>
      </c>
      <c r="GP907" s="14"/>
      <c r="GQ907" s="12" t="s">
        <v>319</v>
      </c>
      <c r="GR907" s="14"/>
      <c r="GS907" s="16"/>
      <c r="GT907" s="14"/>
      <c r="GU907" s="12" t="s">
        <v>320</v>
      </c>
      <c r="GV907" s="14">
        <v>2804</v>
      </c>
      <c r="GW907" s="16"/>
      <c r="GX907" s="14"/>
      <c r="GY907" s="11" t="s">
        <v>320</v>
      </c>
      <c r="GZ907" s="14">
        <v>2000</v>
      </c>
      <c r="HA907" s="16">
        <v>1</v>
      </c>
      <c r="HB907" s="14">
        <v>8125</v>
      </c>
      <c r="HC907" s="12"/>
      <c r="HD907" s="12"/>
      <c r="HE907" s="14"/>
      <c r="HF907" s="16"/>
      <c r="HG907" s="14"/>
      <c r="HH907" s="12" t="s">
        <v>319</v>
      </c>
      <c r="HI907" s="12"/>
      <c r="HJ907" s="12"/>
      <c r="HK907" s="12"/>
      <c r="HL907" s="12" t="s">
        <v>320</v>
      </c>
      <c r="HM907" s="12" t="s">
        <v>361</v>
      </c>
      <c r="HN907" s="12">
        <v>2017</v>
      </c>
      <c r="HO907" s="12" t="s">
        <v>13749</v>
      </c>
      <c r="HP907" s="12" t="s">
        <v>453</v>
      </c>
      <c r="HQ907" s="12" t="s">
        <v>320</v>
      </c>
      <c r="HR907" s="12" t="s">
        <v>319</v>
      </c>
      <c r="HS907" s="12" t="s">
        <v>320</v>
      </c>
      <c r="HT907" s="12" t="s">
        <v>320</v>
      </c>
      <c r="HU907" s="12" t="s">
        <v>320</v>
      </c>
      <c r="HV907" s="12" t="s">
        <v>320</v>
      </c>
      <c r="HW907" s="12" t="s">
        <v>319</v>
      </c>
      <c r="HX907" s="12"/>
      <c r="HY907" s="12"/>
      <c r="HZ907" s="12" t="s">
        <v>331</v>
      </c>
      <c r="IA907" s="12" t="s">
        <v>13750</v>
      </c>
      <c r="IB907" s="12" t="s">
        <v>396</v>
      </c>
      <c r="IC907" s="12" t="s">
        <v>13751</v>
      </c>
      <c r="ID907" s="12" t="s">
        <v>364</v>
      </c>
      <c r="IE907" s="12" t="s">
        <v>335</v>
      </c>
      <c r="IF907" s="12" t="s">
        <v>320</v>
      </c>
      <c r="IG907" s="12" t="s">
        <v>320</v>
      </c>
      <c r="IH907" s="12" t="s">
        <v>320</v>
      </c>
      <c r="II907" s="12" t="s">
        <v>320</v>
      </c>
      <c r="IJ907" s="12" t="str">
        <f t="shared" si="602"/>
        <v>2. Sensitive</v>
      </c>
      <c r="IK907" s="12">
        <f t="shared" si="604"/>
        <v>4</v>
      </c>
      <c r="IL907" s="12" t="s">
        <v>336</v>
      </c>
      <c r="IM907" s="12" t="s">
        <v>320</v>
      </c>
      <c r="IN907" s="12" t="s">
        <v>320</v>
      </c>
      <c r="IO907" s="12" t="s">
        <v>320</v>
      </c>
      <c r="IP907" s="12" t="s">
        <v>320</v>
      </c>
      <c r="IQ907" s="12" t="str">
        <f t="shared" si="605"/>
        <v>2. Accommodating</v>
      </c>
      <c r="IR907" s="12">
        <f t="shared" si="606"/>
        <v>4</v>
      </c>
      <c r="IS907" s="12" t="s">
        <v>622</v>
      </c>
      <c r="IT907" s="12" t="s">
        <v>320</v>
      </c>
      <c r="IU907" s="12" t="s">
        <v>320</v>
      </c>
      <c r="IV907" s="12" t="s">
        <v>320</v>
      </c>
      <c r="IW907" s="11" t="str">
        <f t="shared" si="607"/>
        <v>4. Transformative</v>
      </c>
      <c r="IX907" s="12">
        <f t="shared" si="608"/>
        <v>3</v>
      </c>
      <c r="IY907" s="12" t="s">
        <v>758</v>
      </c>
      <c r="IZ907" s="12" t="s">
        <v>457</v>
      </c>
      <c r="JA907" s="12">
        <v>3</v>
      </c>
      <c r="JB907" s="12" t="s">
        <v>433</v>
      </c>
      <c r="JC907" s="12" t="s">
        <v>623</v>
      </c>
      <c r="JD907" s="11" t="s">
        <v>725</v>
      </c>
      <c r="JE907" s="12" t="s">
        <v>340</v>
      </c>
      <c r="JF907" s="12"/>
      <c r="JG907" s="12"/>
      <c r="JH907" s="12" t="s">
        <v>13752</v>
      </c>
      <c r="JI907" s="12" t="s">
        <v>13741</v>
      </c>
      <c r="JJ907" s="12" t="s">
        <v>13753</v>
      </c>
      <c r="JK907" s="12"/>
      <c r="JL907" s="12"/>
      <c r="JM907" s="12"/>
      <c r="JN907" s="12"/>
      <c r="JO907" s="12"/>
      <c r="JP907" s="15">
        <f t="shared" si="609"/>
        <v>11216</v>
      </c>
      <c r="JQ907" s="15">
        <f t="shared" si="610"/>
        <v>78452</v>
      </c>
      <c r="JR907" s="279">
        <f t="shared" si="611"/>
        <v>6.9946504992867329</v>
      </c>
      <c r="JS907" s="17">
        <f t="shared" si="612"/>
        <v>0.50003566333808847</v>
      </c>
      <c r="JT907" s="18">
        <f t="shared" si="613"/>
        <v>0.5</v>
      </c>
      <c r="JU907" s="280">
        <f t="shared" si="614"/>
        <v>5608.4</v>
      </c>
      <c r="JV907" s="280">
        <f t="shared" si="615"/>
        <v>39226</v>
      </c>
      <c r="JW907" s="319">
        <f t="shared" si="616"/>
        <v>1</v>
      </c>
      <c r="JX907" s="15">
        <f t="shared" si="617"/>
        <v>0</v>
      </c>
      <c r="JY907" s="15">
        <f t="shared" si="618"/>
        <v>0</v>
      </c>
      <c r="JZ907" s="19" t="str">
        <f t="shared" si="619"/>
        <v/>
      </c>
      <c r="KA907" s="52">
        <f t="shared" si="620"/>
        <v>1</v>
      </c>
      <c r="KB907" s="15">
        <f t="shared" si="621"/>
        <v>11217</v>
      </c>
      <c r="KC907" s="15">
        <f t="shared" si="622"/>
        <v>81252</v>
      </c>
      <c r="KD907" s="20">
        <f t="shared" si="623"/>
        <v>7.2436480342337521</v>
      </c>
      <c r="KE907" s="52" t="str">
        <f t="shared" si="624"/>
        <v/>
      </c>
      <c r="KF907" s="15">
        <f t="shared" si="625"/>
        <v>0</v>
      </c>
      <c r="KG907" s="15">
        <f t="shared" si="626"/>
        <v>0</v>
      </c>
      <c r="KH907" s="21" t="str">
        <f t="shared" si="627"/>
        <v/>
      </c>
      <c r="KI907" s="52">
        <f t="shared" si="628"/>
        <v>1</v>
      </c>
      <c r="KJ907" s="15">
        <f t="shared" si="629"/>
        <v>650</v>
      </c>
      <c r="KK907" s="15">
        <f t="shared" si="630"/>
        <v>1950</v>
      </c>
      <c r="KL907" s="19">
        <f t="shared" si="631"/>
        <v>3</v>
      </c>
      <c r="KM907" s="52">
        <f t="shared" si="632"/>
        <v>1</v>
      </c>
      <c r="KN907" s="22">
        <f t="shared" si="633"/>
        <v>2000</v>
      </c>
      <c r="KO907" s="22">
        <f t="shared" si="634"/>
        <v>8125</v>
      </c>
      <c r="KP907" s="19">
        <f t="shared" si="635"/>
        <v>4.0625</v>
      </c>
      <c r="KQ907" s="11" t="str">
        <f t="shared" si="636"/>
        <v>2. Sensitive</v>
      </c>
      <c r="KR907" s="11" t="str">
        <f t="shared" si="637"/>
        <v>2. Accommodating</v>
      </c>
      <c r="KS907" s="11" t="str">
        <f t="shared" si="638"/>
        <v>4. Transformative</v>
      </c>
      <c r="KT907" s="11" t="str">
        <f t="shared" si="639"/>
        <v>It tested new ways for fighting poverty and measured results of innovation</v>
      </c>
      <c r="KU907" s="11" t="str">
        <f t="shared" si="640"/>
        <v>Intensive advocacy</v>
      </c>
      <c r="KV907" s="11" t="str">
        <f t="shared" si="641"/>
        <v>It linked and worked with strategic alliances and partners to take tested and effective solutions to scale</v>
      </c>
      <c r="KW907" s="11" t="str">
        <f t="shared" si="642"/>
        <v>West Bank and Gaza - Strengthening Livelihoods through Community Adaptation and Learning (SLCAL)</v>
      </c>
      <c r="KX907" s="11" t="str">
        <f t="shared" si="643"/>
        <v>Strengthening Livelihoods through Community Adaptation and Learning (SLCAL)</v>
      </c>
      <c r="KY907" s="11" t="str">
        <f t="shared" si="644"/>
        <v>West Bank and Gaza</v>
      </c>
      <c r="KZ907" s="12">
        <v>908</v>
      </c>
    </row>
    <row r="908" spans="1:312" x14ac:dyDescent="0.3">
      <c r="A908" s="12" t="s">
        <v>13783</v>
      </c>
      <c r="B908" s="12" t="s">
        <v>602</v>
      </c>
      <c r="C908" s="12"/>
      <c r="D908" s="12" t="s">
        <v>13882</v>
      </c>
      <c r="E908" s="277" t="str">
        <f t="shared" si="603"/>
        <v>Yemen</v>
      </c>
      <c r="F908" s="12" t="s">
        <v>13883</v>
      </c>
      <c r="G908" s="12" t="s">
        <v>608</v>
      </c>
      <c r="H908" s="12" t="s">
        <v>384</v>
      </c>
      <c r="I908" s="12" t="s">
        <v>381</v>
      </c>
      <c r="J908" s="281" t="s">
        <v>14624</v>
      </c>
      <c r="K908" s="12"/>
      <c r="L908" s="12"/>
      <c r="M908" s="12"/>
      <c r="N908" s="12"/>
      <c r="O908" s="12"/>
      <c r="P908" s="12"/>
      <c r="Q908" s="12"/>
      <c r="R908" s="12"/>
      <c r="S908" s="12"/>
      <c r="T908" s="12"/>
      <c r="U908" s="12"/>
      <c r="V908" s="12"/>
      <c r="W908" s="12"/>
      <c r="X908" s="12"/>
      <c r="Y908" s="12"/>
      <c r="Z908" s="12"/>
      <c r="AA908" s="12"/>
      <c r="AB908" s="12"/>
      <c r="AC908" s="12"/>
      <c r="AD908" s="12"/>
      <c r="BD908" s="13">
        <v>42792</v>
      </c>
      <c r="BE908" s="13">
        <v>42911</v>
      </c>
      <c r="BF908" s="12"/>
      <c r="BG908" s="12" t="s">
        <v>817</v>
      </c>
      <c r="BH908" s="14">
        <v>500000</v>
      </c>
      <c r="BI908" s="12" t="s">
        <v>13795</v>
      </c>
      <c r="BJ908" s="12" t="s">
        <v>13796</v>
      </c>
      <c r="BK908" s="12" t="s">
        <v>13797</v>
      </c>
      <c r="BL908" s="12"/>
      <c r="BM908" s="12"/>
      <c r="BN908" s="12"/>
      <c r="BO908" s="12" t="s">
        <v>320</v>
      </c>
      <c r="BP908" s="12" t="s">
        <v>319</v>
      </c>
      <c r="BQ908" s="12" t="s">
        <v>319</v>
      </c>
      <c r="BR908" s="12" t="s">
        <v>13884</v>
      </c>
      <c r="BS908" s="12" t="s">
        <v>357</v>
      </c>
      <c r="BT908" s="12" t="s">
        <v>13885</v>
      </c>
      <c r="BU908" s="12" t="s">
        <v>13800</v>
      </c>
      <c r="BV908" s="14">
        <v>20580</v>
      </c>
      <c r="BW908" s="14">
        <v>21420</v>
      </c>
      <c r="BX908" s="14">
        <v>42000</v>
      </c>
      <c r="BY908" s="14">
        <v>24148</v>
      </c>
      <c r="BZ908" s="14">
        <v>25210</v>
      </c>
      <c r="CA908" s="14">
        <v>49358</v>
      </c>
      <c r="CB908" s="12" t="s">
        <v>13801</v>
      </c>
      <c r="CD908" s="14">
        <v>21417</v>
      </c>
      <c r="CE908" s="14">
        <v>20821</v>
      </c>
      <c r="CF908" s="14">
        <v>42238</v>
      </c>
      <c r="CG908" s="14">
        <v>23729</v>
      </c>
      <c r="CH908" s="14">
        <v>25509</v>
      </c>
      <c r="CI908" s="14">
        <v>49238</v>
      </c>
      <c r="CJ908" s="12" t="s">
        <v>319</v>
      </c>
      <c r="CK908" s="14"/>
      <c r="CL908" s="16"/>
      <c r="CM908" s="14"/>
      <c r="CN908" s="12" t="s">
        <v>319</v>
      </c>
      <c r="CO908" s="14"/>
      <c r="CP908" s="16"/>
      <c r="CQ908" s="14"/>
      <c r="CR908" s="12" t="s">
        <v>319</v>
      </c>
      <c r="CS908" s="14"/>
      <c r="CT908" s="16"/>
      <c r="CU908" s="14"/>
      <c r="CV908" s="12" t="s">
        <v>319</v>
      </c>
      <c r="CW908" s="14"/>
      <c r="CX908" s="16"/>
      <c r="CY908" s="14"/>
      <c r="CZ908" s="12" t="s">
        <v>319</v>
      </c>
      <c r="DA908" s="14"/>
      <c r="DB908" s="16"/>
      <c r="DC908" s="14"/>
      <c r="DD908" s="12" t="s">
        <v>319</v>
      </c>
      <c r="DE908" s="14"/>
      <c r="DF908" s="16"/>
      <c r="DG908" s="14"/>
      <c r="DH908" s="12" t="s">
        <v>319</v>
      </c>
      <c r="DI908" s="14"/>
      <c r="DJ908" s="16"/>
      <c r="DK908" s="14"/>
      <c r="DL908" s="12" t="s">
        <v>319</v>
      </c>
      <c r="DM908" s="14"/>
      <c r="DN908" s="16"/>
      <c r="DO908" s="14"/>
      <c r="DP908" s="12" t="s">
        <v>319</v>
      </c>
      <c r="DQ908" s="14"/>
      <c r="DR908" s="16"/>
      <c r="DS908" s="14"/>
      <c r="DT908" s="12" t="s">
        <v>319</v>
      </c>
      <c r="DU908" s="14"/>
      <c r="DV908" s="16"/>
      <c r="DW908" s="14"/>
      <c r="DX908" s="12" t="s">
        <v>319</v>
      </c>
      <c r="DY908" s="14"/>
      <c r="DZ908" s="16"/>
      <c r="EA908" s="14"/>
      <c r="EB908" s="11" t="s">
        <v>320</v>
      </c>
      <c r="EC908" s="14">
        <v>42238</v>
      </c>
      <c r="ED908" s="16">
        <v>0.50700000000000001</v>
      </c>
      <c r="EE908" s="14">
        <v>49238</v>
      </c>
      <c r="EF908" s="12"/>
      <c r="EG908" s="12"/>
      <c r="EH908" s="14"/>
      <c r="EI908" s="16"/>
      <c r="EJ908" s="14"/>
      <c r="EK908" s="14"/>
      <c r="EL908" s="14"/>
      <c r="EM908" s="14"/>
      <c r="EN908" s="14"/>
      <c r="EO908" s="14"/>
      <c r="EP908" s="14"/>
      <c r="EQ908" s="12"/>
      <c r="ER908" s="14"/>
      <c r="ES908" s="16"/>
      <c r="ET908" s="14"/>
      <c r="EU908" s="12"/>
      <c r="EV908" s="14"/>
      <c r="EW908" s="16"/>
      <c r="EX908" s="14"/>
      <c r="EY908" s="12"/>
      <c r="EZ908" s="14"/>
      <c r="FA908" s="16"/>
      <c r="FB908" s="14"/>
      <c r="FC908" s="12"/>
      <c r="FD908" s="14"/>
      <c r="FE908" s="16"/>
      <c r="FF908" s="14"/>
      <c r="FG908" s="12"/>
      <c r="FH908" s="14"/>
      <c r="FI908" s="16"/>
      <c r="FJ908" s="14"/>
      <c r="FK908" s="12"/>
      <c r="FL908" s="14"/>
      <c r="FM908" s="16"/>
      <c r="FN908" s="14"/>
      <c r="FO908" s="12"/>
      <c r="FP908" s="14"/>
      <c r="FQ908" s="16"/>
      <c r="FR908" s="14"/>
      <c r="FS908" s="12"/>
      <c r="FT908" s="14"/>
      <c r="FU908" s="16"/>
      <c r="FV908" s="14"/>
      <c r="FW908" s="12"/>
      <c r="FX908" s="14"/>
      <c r="FY908" s="16"/>
      <c r="FZ908" s="14"/>
      <c r="GA908" s="12"/>
      <c r="GB908" s="14"/>
      <c r="GC908" s="16"/>
      <c r="GD908" s="14"/>
      <c r="GE908" s="12"/>
      <c r="GF908" s="14"/>
      <c r="GG908" s="16"/>
      <c r="GH908" s="14"/>
      <c r="GI908" s="12"/>
      <c r="GJ908" s="14"/>
      <c r="GK908" s="16"/>
      <c r="GL908" s="14"/>
      <c r="GM908" s="12"/>
      <c r="GN908" s="14"/>
      <c r="GO908" s="16"/>
      <c r="GP908" s="14"/>
      <c r="GQ908" s="12"/>
      <c r="GR908" s="14"/>
      <c r="GS908" s="16"/>
      <c r="GT908" s="14"/>
      <c r="GU908" s="12"/>
      <c r="GV908" s="14"/>
      <c r="GW908" s="16"/>
      <c r="GX908" s="14"/>
      <c r="GY908" s="12"/>
      <c r="GZ908" s="14"/>
      <c r="HA908" s="16"/>
      <c r="HB908" s="14"/>
      <c r="HC908" s="12"/>
      <c r="HD908" s="12"/>
      <c r="HE908" s="14"/>
      <c r="HF908" s="16"/>
      <c r="HG908" s="14"/>
      <c r="HH908" s="12" t="s">
        <v>319</v>
      </c>
      <c r="HI908" s="12"/>
      <c r="HJ908" s="12"/>
      <c r="HK908" s="12" t="s">
        <v>319</v>
      </c>
      <c r="HL908" s="12" t="s">
        <v>319</v>
      </c>
      <c r="HM908" s="12"/>
      <c r="HN908" s="12"/>
      <c r="HO908" s="12"/>
      <c r="HP908" s="12" t="s">
        <v>418</v>
      </c>
      <c r="HQ908" s="12"/>
      <c r="HR908" s="12"/>
      <c r="HS908" s="12"/>
      <c r="HT908" s="12"/>
      <c r="HU908" s="12"/>
      <c r="HV908" s="12"/>
      <c r="HW908" s="12"/>
      <c r="HX908" s="12"/>
      <c r="HY908" s="12"/>
      <c r="HZ908" s="12" t="s">
        <v>363</v>
      </c>
      <c r="IA908" s="12"/>
      <c r="IB908" s="12" t="s">
        <v>333</v>
      </c>
      <c r="IC908" s="12"/>
      <c r="ID908" s="12" t="s">
        <v>334</v>
      </c>
      <c r="IE908" s="12" t="s">
        <v>335</v>
      </c>
      <c r="IF908" s="12" t="s">
        <v>320</v>
      </c>
      <c r="IG908" s="12" t="s">
        <v>320</v>
      </c>
      <c r="IH908" s="12" t="s">
        <v>320</v>
      </c>
      <c r="II908" s="12" t="s">
        <v>320</v>
      </c>
      <c r="IJ908" s="12" t="str">
        <f t="shared" si="602"/>
        <v>2. Sensitive</v>
      </c>
      <c r="IK908" s="12">
        <f t="shared" si="604"/>
        <v>4</v>
      </c>
      <c r="IL908" s="12" t="s">
        <v>723</v>
      </c>
      <c r="IM908" s="12" t="s">
        <v>320</v>
      </c>
      <c r="IN908" s="12" t="s">
        <v>320</v>
      </c>
      <c r="IO908" s="12" t="s">
        <v>319</v>
      </c>
      <c r="IP908" s="12" t="s">
        <v>319</v>
      </c>
      <c r="IQ908" s="12" t="str">
        <f t="shared" si="605"/>
        <v>0. Unaware</v>
      </c>
      <c r="IR908" s="12">
        <f t="shared" si="606"/>
        <v>2</v>
      </c>
      <c r="IS908" s="12" t="s">
        <v>337</v>
      </c>
      <c r="IT908" s="12" t="s">
        <v>320</v>
      </c>
      <c r="IU908" s="12" t="s">
        <v>320</v>
      </c>
      <c r="IV908" s="12" t="s">
        <v>319</v>
      </c>
      <c r="IW908" s="11" t="str">
        <f t="shared" si="607"/>
        <v>1. Neutral</v>
      </c>
      <c r="IX908" s="12">
        <f t="shared" si="608"/>
        <v>2</v>
      </c>
      <c r="IY908" s="12" t="s">
        <v>338</v>
      </c>
      <c r="IZ908" s="12" t="s">
        <v>339</v>
      </c>
      <c r="JA908" s="12"/>
      <c r="JB908" s="12"/>
      <c r="JC908" s="12"/>
      <c r="JD908" s="12"/>
      <c r="JE908" s="12" t="s">
        <v>420</v>
      </c>
      <c r="JF908" s="12"/>
      <c r="JG908" s="12" t="s">
        <v>13792</v>
      </c>
      <c r="JH908" s="12"/>
      <c r="JI908" s="12"/>
      <c r="JJ908" s="12"/>
      <c r="JK908" s="12" t="s">
        <v>13886</v>
      </c>
      <c r="JL908" s="12" t="s">
        <v>13887</v>
      </c>
      <c r="JM908" s="12" t="s">
        <v>13888</v>
      </c>
      <c r="JN908" s="12"/>
      <c r="JO908" s="12"/>
      <c r="JP908" s="15">
        <f t="shared" si="609"/>
        <v>42238</v>
      </c>
      <c r="JQ908" s="15">
        <f t="shared" si="610"/>
        <v>49238</v>
      </c>
      <c r="JR908" s="279">
        <f t="shared" si="611"/>
        <v>1.1657275439177992</v>
      </c>
      <c r="JS908" s="17">
        <f t="shared" si="612"/>
        <v>0.50705525829821485</v>
      </c>
      <c r="JT908" s="18">
        <f t="shared" si="613"/>
        <v>0.48192452983468054</v>
      </c>
      <c r="JU908" s="280">
        <f t="shared" si="614"/>
        <v>21417</v>
      </c>
      <c r="JV908" s="280">
        <f t="shared" si="615"/>
        <v>23729</v>
      </c>
      <c r="JW908" s="319">
        <f t="shared" si="616"/>
        <v>1</v>
      </c>
      <c r="JX908" s="15">
        <f t="shared" si="617"/>
        <v>42238</v>
      </c>
      <c r="JY908" s="15">
        <f t="shared" si="618"/>
        <v>49238</v>
      </c>
      <c r="JZ908" s="19">
        <f t="shared" si="619"/>
        <v>1.1657275439177992</v>
      </c>
      <c r="KA908" s="52" t="str">
        <f t="shared" si="620"/>
        <v/>
      </c>
      <c r="KB908" s="15">
        <f t="shared" si="621"/>
        <v>0</v>
      </c>
      <c r="KC908" s="15">
        <f t="shared" si="622"/>
        <v>0</v>
      </c>
      <c r="KD908" s="20" t="str">
        <f t="shared" si="623"/>
        <v/>
      </c>
      <c r="KE908" s="52" t="str">
        <f t="shared" si="624"/>
        <v/>
      </c>
      <c r="KF908" s="15">
        <f t="shared" si="625"/>
        <v>0</v>
      </c>
      <c r="KG908" s="15">
        <f t="shared" si="626"/>
        <v>0</v>
      </c>
      <c r="KH908" s="21" t="str">
        <f t="shared" si="627"/>
        <v/>
      </c>
      <c r="KI908" s="52" t="str">
        <f t="shared" si="628"/>
        <v/>
      </c>
      <c r="KJ908" s="15">
        <f t="shared" si="629"/>
        <v>0</v>
      </c>
      <c r="KK908" s="15">
        <f t="shared" si="630"/>
        <v>0</v>
      </c>
      <c r="KL908" s="19" t="str">
        <f t="shared" si="631"/>
        <v/>
      </c>
      <c r="KM908" s="52" t="str">
        <f t="shared" si="632"/>
        <v/>
      </c>
      <c r="KN908" s="22">
        <f t="shared" si="633"/>
        <v>0</v>
      </c>
      <c r="KO908" s="22">
        <f t="shared" si="634"/>
        <v>0</v>
      </c>
      <c r="KP908" s="19" t="str">
        <f t="shared" si="635"/>
        <v/>
      </c>
      <c r="KQ908" s="11" t="str">
        <f t="shared" si="636"/>
        <v>2. Sensitive</v>
      </c>
      <c r="KR908" s="11" t="str">
        <f t="shared" si="637"/>
        <v>0. Unaware</v>
      </c>
      <c r="KS908" s="11" t="str">
        <f t="shared" si="638"/>
        <v>1. Neutral</v>
      </c>
      <c r="KT908" s="11" t="str">
        <f t="shared" si="639"/>
        <v>It did not develop any specific innovation</v>
      </c>
      <c r="KU908" s="11" t="str">
        <f t="shared" si="640"/>
        <v>Little or no advocacy</v>
      </c>
      <c r="KV908" s="11" t="str">
        <f t="shared" si="641"/>
        <v>It did not take tested solutions to scale</v>
      </c>
      <c r="KW908" s="11" t="str">
        <f t="shared" si="642"/>
        <v>Yemen - Cholera Prevention and Response Project in Abyan Governorate</v>
      </c>
      <c r="KX908" s="11" t="str">
        <f t="shared" si="643"/>
        <v>Cholera Prevention and Response Project in Abyan Governorate</v>
      </c>
      <c r="KY908" s="11" t="str">
        <f t="shared" si="644"/>
        <v>Yemen</v>
      </c>
      <c r="KZ908" s="12">
        <v>909</v>
      </c>
    </row>
    <row r="909" spans="1:312" x14ac:dyDescent="0.3">
      <c r="A909" s="12" t="s">
        <v>13783</v>
      </c>
      <c r="B909" s="12" t="s">
        <v>602</v>
      </c>
      <c r="C909" s="12"/>
      <c r="D909" s="12" t="s">
        <v>13853</v>
      </c>
      <c r="E909" s="277" t="str">
        <f t="shared" si="603"/>
        <v>Yemen</v>
      </c>
      <c r="F909" s="12" t="s">
        <v>13854</v>
      </c>
      <c r="G909" s="12" t="s">
        <v>425</v>
      </c>
      <c r="H909" s="12" t="s">
        <v>310</v>
      </c>
      <c r="I909" s="12" t="s">
        <v>426</v>
      </c>
      <c r="J909" s="278" t="s">
        <v>14563</v>
      </c>
      <c r="K909" s="12"/>
      <c r="L909" s="12"/>
      <c r="M909" s="12"/>
      <c r="N909" s="12"/>
      <c r="O909" s="12"/>
      <c r="P909" s="12"/>
      <c r="Q909" s="12"/>
      <c r="R909" s="12"/>
      <c r="S909" s="12"/>
      <c r="T909" s="12"/>
      <c r="U909" s="12"/>
      <c r="V909" s="12"/>
      <c r="W909" s="12"/>
      <c r="X909" s="12"/>
      <c r="Y909" s="12"/>
      <c r="Z909" s="12"/>
      <c r="AA909" s="12"/>
      <c r="AB909" s="12"/>
      <c r="AC909" s="12"/>
      <c r="AD909" s="12"/>
      <c r="BD909" s="13">
        <v>42339</v>
      </c>
      <c r="BE909" s="13">
        <v>42704</v>
      </c>
      <c r="BF909" s="13">
        <v>42735</v>
      </c>
      <c r="BG909" s="12" t="s">
        <v>817</v>
      </c>
      <c r="BH909" s="14">
        <v>1540000</v>
      </c>
      <c r="BI909" s="12" t="s">
        <v>13817</v>
      </c>
      <c r="BJ909" s="12" t="s">
        <v>13818</v>
      </c>
      <c r="BK909" s="12" t="s">
        <v>13819</v>
      </c>
      <c r="BL909" s="12"/>
      <c r="BM909" s="12"/>
      <c r="BN909" s="12"/>
      <c r="BO909" s="12" t="s">
        <v>320</v>
      </c>
      <c r="BP909" s="12" t="s">
        <v>319</v>
      </c>
      <c r="BQ909" s="12" t="s">
        <v>319</v>
      </c>
      <c r="BR909" s="12" t="s">
        <v>13855</v>
      </c>
      <c r="BS909" s="12" t="s">
        <v>357</v>
      </c>
      <c r="BT909" s="12" t="s">
        <v>13856</v>
      </c>
      <c r="BU909" s="12" t="s">
        <v>13822</v>
      </c>
      <c r="BV909" s="14">
        <v>9755</v>
      </c>
      <c r="BW909" s="14">
        <v>10153</v>
      </c>
      <c r="BX909" s="14">
        <v>19908</v>
      </c>
      <c r="BY909" s="14"/>
      <c r="BZ909" s="14"/>
      <c r="CA909" s="14">
        <v>0</v>
      </c>
      <c r="CB909" s="12" t="s">
        <v>13857</v>
      </c>
      <c r="CD909" s="14">
        <v>13238</v>
      </c>
      <c r="CE909" s="14">
        <v>13162</v>
      </c>
      <c r="CF909" s="14">
        <v>26400</v>
      </c>
      <c r="CG909" s="14"/>
      <c r="CH909" s="14"/>
      <c r="CI909" s="14">
        <v>0</v>
      </c>
      <c r="CJ909" s="12" t="s">
        <v>319</v>
      </c>
      <c r="CK909" s="14"/>
      <c r="CL909" s="16"/>
      <c r="CM909" s="14"/>
      <c r="CN909" s="12" t="s">
        <v>320</v>
      </c>
      <c r="CO909" s="14">
        <v>4751</v>
      </c>
      <c r="CP909" s="16">
        <v>0.50800000000000001</v>
      </c>
      <c r="CQ909" s="14"/>
      <c r="CR909" s="12" t="s">
        <v>319</v>
      </c>
      <c r="CS909" s="14"/>
      <c r="CT909" s="16"/>
      <c r="CU909" s="14"/>
      <c r="CV909" s="12" t="s">
        <v>319</v>
      </c>
      <c r="CW909" s="14"/>
      <c r="CX909" s="16"/>
      <c r="CY909" s="14"/>
      <c r="CZ909" s="12" t="s">
        <v>319</v>
      </c>
      <c r="DA909" s="14"/>
      <c r="DB909" s="16"/>
      <c r="DC909" s="14"/>
      <c r="DD909" s="12" t="s">
        <v>319</v>
      </c>
      <c r="DE909" s="14"/>
      <c r="DF909" s="16"/>
      <c r="DG909" s="14"/>
      <c r="DH909" s="12" t="s">
        <v>319</v>
      </c>
      <c r="DI909" s="14"/>
      <c r="DJ909" s="16"/>
      <c r="DK909" s="14"/>
      <c r="DL909" s="12" t="s">
        <v>319</v>
      </c>
      <c r="DM909" s="14"/>
      <c r="DN909" s="16"/>
      <c r="DO909" s="14"/>
      <c r="DP909" s="12" t="s">
        <v>319</v>
      </c>
      <c r="DQ909" s="14"/>
      <c r="DR909" s="16"/>
      <c r="DS909" s="14"/>
      <c r="DT909" s="12" t="s">
        <v>319</v>
      </c>
      <c r="DU909" s="14"/>
      <c r="DV909" s="16"/>
      <c r="DW909" s="14"/>
      <c r="DX909" s="12" t="s">
        <v>319</v>
      </c>
      <c r="DY909" s="14"/>
      <c r="DZ909" s="16"/>
      <c r="EA909" s="14"/>
      <c r="EB909" s="11" t="s">
        <v>320</v>
      </c>
      <c r="EC909" s="14">
        <v>21649</v>
      </c>
      <c r="ED909" s="16">
        <v>0.5</v>
      </c>
      <c r="EE909" s="14"/>
      <c r="EF909" s="12"/>
      <c r="EG909" s="12"/>
      <c r="EH909" s="14"/>
      <c r="EI909" s="16"/>
      <c r="EJ909" s="14"/>
      <c r="EK909" s="14"/>
      <c r="EL909" s="14"/>
      <c r="EM909" s="14"/>
      <c r="EN909" s="14"/>
      <c r="EO909" s="14"/>
      <c r="EP909" s="14"/>
      <c r="EQ909" s="12"/>
      <c r="ER909" s="14"/>
      <c r="ES909" s="16"/>
      <c r="ET909" s="14"/>
      <c r="EU909" s="12"/>
      <c r="EV909" s="14"/>
      <c r="EW909" s="16"/>
      <c r="EX909" s="14"/>
      <c r="EY909" s="12"/>
      <c r="EZ909" s="14"/>
      <c r="FA909" s="16"/>
      <c r="FB909" s="14"/>
      <c r="FC909" s="12"/>
      <c r="FD909" s="14"/>
      <c r="FE909" s="16"/>
      <c r="FF909" s="14"/>
      <c r="FG909" s="12"/>
      <c r="FH909" s="14"/>
      <c r="FI909" s="16"/>
      <c r="FJ909" s="14"/>
      <c r="FK909" s="12"/>
      <c r="FL909" s="14"/>
      <c r="FM909" s="16"/>
      <c r="FN909" s="14"/>
      <c r="FO909" s="12"/>
      <c r="FP909" s="14"/>
      <c r="FQ909" s="16"/>
      <c r="FR909" s="14"/>
      <c r="FS909" s="12"/>
      <c r="FT909" s="14"/>
      <c r="FU909" s="16"/>
      <c r="FV909" s="14"/>
      <c r="FW909" s="12"/>
      <c r="FX909" s="14"/>
      <c r="FY909" s="16"/>
      <c r="FZ909" s="14"/>
      <c r="GA909" s="12"/>
      <c r="GB909" s="14"/>
      <c r="GC909" s="16"/>
      <c r="GD909" s="14"/>
      <c r="GE909" s="12"/>
      <c r="GF909" s="14"/>
      <c r="GG909" s="16"/>
      <c r="GH909" s="14"/>
      <c r="GI909" s="12"/>
      <c r="GJ909" s="14"/>
      <c r="GK909" s="16"/>
      <c r="GL909" s="14"/>
      <c r="GM909" s="12"/>
      <c r="GN909" s="14"/>
      <c r="GO909" s="16"/>
      <c r="GP909" s="14"/>
      <c r="GQ909" s="12"/>
      <c r="GR909" s="14"/>
      <c r="GS909" s="16"/>
      <c r="GT909" s="14"/>
      <c r="GU909" s="12"/>
      <c r="GV909" s="14"/>
      <c r="GW909" s="16"/>
      <c r="GX909" s="14"/>
      <c r="GY909" s="12"/>
      <c r="GZ909" s="14"/>
      <c r="HA909" s="16"/>
      <c r="HB909" s="14"/>
      <c r="HC909" s="12"/>
      <c r="HD909" s="12"/>
      <c r="HE909" s="14"/>
      <c r="HF909" s="16"/>
      <c r="HG909" s="14"/>
      <c r="HH909" s="12" t="s">
        <v>320</v>
      </c>
      <c r="HI909" s="12" t="s">
        <v>451</v>
      </c>
      <c r="HJ909" s="12">
        <v>2017</v>
      </c>
      <c r="HK909" s="12" t="s">
        <v>320</v>
      </c>
      <c r="HL909" s="12" t="s">
        <v>320</v>
      </c>
      <c r="HM909" s="12" t="s">
        <v>544</v>
      </c>
      <c r="HN909" s="12">
        <v>2018</v>
      </c>
      <c r="HO909" s="12"/>
      <c r="HP909" s="12" t="s">
        <v>418</v>
      </c>
      <c r="HQ909" s="12"/>
      <c r="HR909" s="12"/>
      <c r="HS909" s="12"/>
      <c r="HT909" s="12"/>
      <c r="HU909" s="12"/>
      <c r="HV909" s="12"/>
      <c r="HW909" s="12"/>
      <c r="HX909" s="12"/>
      <c r="HY909" s="12"/>
      <c r="HZ909" s="12" t="s">
        <v>363</v>
      </c>
      <c r="IA909" s="12"/>
      <c r="IB909" s="12" t="s">
        <v>333</v>
      </c>
      <c r="IC909" s="12"/>
      <c r="ID909" s="12" t="s">
        <v>334</v>
      </c>
      <c r="IE909" s="12" t="s">
        <v>335</v>
      </c>
      <c r="IF909" s="12" t="s">
        <v>320</v>
      </c>
      <c r="IG909" s="12" t="s">
        <v>320</v>
      </c>
      <c r="IH909" s="12" t="s">
        <v>320</v>
      </c>
      <c r="II909" s="12" t="s">
        <v>320</v>
      </c>
      <c r="IJ909" s="12" t="str">
        <f t="shared" si="602"/>
        <v>2. Sensitive</v>
      </c>
      <c r="IK909" s="12">
        <f t="shared" si="604"/>
        <v>4</v>
      </c>
      <c r="IL909" s="12" t="s">
        <v>723</v>
      </c>
      <c r="IM909" s="12" t="s">
        <v>320</v>
      </c>
      <c r="IN909" s="12" t="s">
        <v>320</v>
      </c>
      <c r="IO909" s="12" t="s">
        <v>319</v>
      </c>
      <c r="IP909" s="12" t="s">
        <v>319</v>
      </c>
      <c r="IQ909" s="12" t="str">
        <f t="shared" si="605"/>
        <v>0. Unaware</v>
      </c>
      <c r="IR909" s="12">
        <f t="shared" si="606"/>
        <v>2</v>
      </c>
      <c r="IS909" s="12" t="s">
        <v>337</v>
      </c>
      <c r="IT909" s="12" t="s">
        <v>320</v>
      </c>
      <c r="IU909" s="12" t="s">
        <v>320</v>
      </c>
      <c r="IV909" s="12" t="s">
        <v>319</v>
      </c>
      <c r="IW909" s="11" t="str">
        <f t="shared" si="607"/>
        <v>1. Neutral</v>
      </c>
      <c r="IX909" s="12">
        <f t="shared" si="608"/>
        <v>2</v>
      </c>
      <c r="IY909" s="12" t="s">
        <v>338</v>
      </c>
      <c r="IZ909" s="12" t="s">
        <v>339</v>
      </c>
      <c r="JA909" s="12"/>
      <c r="JB909" s="12"/>
      <c r="JC909" s="12"/>
      <c r="JD909" s="12"/>
      <c r="JE909" s="12" t="s">
        <v>420</v>
      </c>
      <c r="JF909" s="12"/>
      <c r="JG909" s="12" t="s">
        <v>13792</v>
      </c>
      <c r="JH909" s="12"/>
      <c r="JI909" s="12"/>
      <c r="JJ909" s="12"/>
      <c r="JK909" s="12" t="s">
        <v>13858</v>
      </c>
      <c r="JL909" s="12" t="s">
        <v>13859</v>
      </c>
      <c r="JM909" s="12" t="s">
        <v>13860</v>
      </c>
      <c r="JN909" s="12"/>
      <c r="JO909" s="12"/>
      <c r="JP909" s="15">
        <f t="shared" si="609"/>
        <v>26400</v>
      </c>
      <c r="JQ909" s="15">
        <f t="shared" si="610"/>
        <v>0</v>
      </c>
      <c r="JR909" s="279">
        <f t="shared" si="611"/>
        <v>0</v>
      </c>
      <c r="JS909" s="17">
        <f t="shared" si="612"/>
        <v>0.50143939393939396</v>
      </c>
      <c r="JT909" s="18" t="str">
        <f t="shared" si="613"/>
        <v/>
      </c>
      <c r="JU909" s="280">
        <f t="shared" si="614"/>
        <v>13238</v>
      </c>
      <c r="JV909" s="280">
        <f t="shared" si="615"/>
        <v>0</v>
      </c>
      <c r="JW909" s="319">
        <f t="shared" si="616"/>
        <v>1</v>
      </c>
      <c r="JX909" s="15">
        <f t="shared" si="617"/>
        <v>26400</v>
      </c>
      <c r="JY909" s="15">
        <f t="shared" si="618"/>
        <v>0</v>
      </c>
      <c r="JZ909" s="19">
        <f t="shared" si="619"/>
        <v>0</v>
      </c>
      <c r="KA909" s="52" t="str">
        <f t="shared" si="620"/>
        <v/>
      </c>
      <c r="KB909" s="15">
        <f t="shared" si="621"/>
        <v>0</v>
      </c>
      <c r="KC909" s="15">
        <f t="shared" si="622"/>
        <v>0</v>
      </c>
      <c r="KD909" s="20" t="str">
        <f t="shared" si="623"/>
        <v/>
      </c>
      <c r="KE909" s="52" t="str">
        <f t="shared" si="624"/>
        <v/>
      </c>
      <c r="KF909" s="15">
        <f t="shared" si="625"/>
        <v>0</v>
      </c>
      <c r="KG909" s="15">
        <f t="shared" si="626"/>
        <v>0</v>
      </c>
      <c r="KH909" s="21" t="str">
        <f t="shared" si="627"/>
        <v/>
      </c>
      <c r="KI909" s="52" t="str">
        <f t="shared" si="628"/>
        <v/>
      </c>
      <c r="KJ909" s="15">
        <f t="shared" si="629"/>
        <v>0</v>
      </c>
      <c r="KK909" s="15">
        <f t="shared" si="630"/>
        <v>0</v>
      </c>
      <c r="KL909" s="19" t="str">
        <f t="shared" si="631"/>
        <v/>
      </c>
      <c r="KM909" s="52" t="str">
        <f t="shared" si="632"/>
        <v/>
      </c>
      <c r="KN909" s="22">
        <f t="shared" si="633"/>
        <v>0</v>
      </c>
      <c r="KO909" s="22">
        <f t="shared" si="634"/>
        <v>0</v>
      </c>
      <c r="KP909" s="19" t="str">
        <f t="shared" si="635"/>
        <v/>
      </c>
      <c r="KQ909" s="11" t="str">
        <f t="shared" si="636"/>
        <v>2. Sensitive</v>
      </c>
      <c r="KR909" s="11" t="str">
        <f t="shared" si="637"/>
        <v>0. Unaware</v>
      </c>
      <c r="KS909" s="11" t="str">
        <f t="shared" si="638"/>
        <v>1. Neutral</v>
      </c>
      <c r="KT909" s="11" t="str">
        <f t="shared" si="639"/>
        <v>It did not develop any specific innovation</v>
      </c>
      <c r="KU909" s="11" t="str">
        <f t="shared" si="640"/>
        <v>Little or no advocacy</v>
      </c>
      <c r="KV909" s="11" t="str">
        <f t="shared" si="641"/>
        <v>It did not take tested solutions to scale</v>
      </c>
      <c r="KW909" s="11" t="str">
        <f t="shared" si="642"/>
        <v>Yemen - Dutch Relief Alliance - Yemen Joint Response Phase II</v>
      </c>
      <c r="KX909" s="11" t="str">
        <f t="shared" si="643"/>
        <v>Dutch Relief Alliance - Yemen Joint Response Phase II</v>
      </c>
      <c r="KY909" s="11" t="str">
        <f t="shared" si="644"/>
        <v>Yemen</v>
      </c>
      <c r="KZ909" s="12">
        <v>910</v>
      </c>
    </row>
    <row r="910" spans="1:312" x14ac:dyDescent="0.3">
      <c r="A910" s="12" t="s">
        <v>13783</v>
      </c>
      <c r="B910" s="12" t="s">
        <v>602</v>
      </c>
      <c r="C910" s="12"/>
      <c r="D910" s="12" t="s">
        <v>13784</v>
      </c>
      <c r="E910" s="277" t="str">
        <f t="shared" si="603"/>
        <v>Yemen</v>
      </c>
      <c r="F910" s="12" t="s">
        <v>13785</v>
      </c>
      <c r="G910" s="12" t="s">
        <v>425</v>
      </c>
      <c r="H910" s="12" t="s">
        <v>489</v>
      </c>
      <c r="I910" s="12" t="s">
        <v>384</v>
      </c>
      <c r="J910" s="278" t="s">
        <v>3967</v>
      </c>
      <c r="K910" s="12"/>
      <c r="L910" s="12"/>
      <c r="M910" s="12"/>
      <c r="N910" s="12"/>
      <c r="O910" s="12"/>
      <c r="P910" s="12"/>
      <c r="Q910" s="12"/>
      <c r="R910" s="12"/>
      <c r="S910" s="12"/>
      <c r="T910" s="12"/>
      <c r="U910" s="12"/>
      <c r="V910" s="12"/>
      <c r="W910" s="12"/>
      <c r="X910" s="12"/>
      <c r="Y910" s="12"/>
      <c r="Z910" s="12"/>
      <c r="AA910" s="12"/>
      <c r="AB910" s="12"/>
      <c r="AC910" s="12"/>
      <c r="AD910" s="12"/>
      <c r="BD910" s="13">
        <v>42552</v>
      </c>
      <c r="BE910" s="13">
        <v>42825</v>
      </c>
      <c r="BF910" s="12"/>
      <c r="BG910" s="12" t="s">
        <v>350</v>
      </c>
      <c r="BH910" s="14">
        <v>180892</v>
      </c>
      <c r="BI910" s="12" t="s">
        <v>13786</v>
      </c>
      <c r="BJ910" s="12" t="s">
        <v>1761</v>
      </c>
      <c r="BK910" s="12" t="s">
        <v>13787</v>
      </c>
      <c r="BL910" s="12"/>
      <c r="BM910" s="12"/>
      <c r="BN910" s="12"/>
      <c r="BO910" s="12" t="s">
        <v>319</v>
      </c>
      <c r="BP910" s="12" t="s">
        <v>320</v>
      </c>
      <c r="BQ910" s="12" t="s">
        <v>319</v>
      </c>
      <c r="BR910" s="12" t="s">
        <v>13788</v>
      </c>
      <c r="BS910" s="12" t="s">
        <v>322</v>
      </c>
      <c r="BT910" s="12" t="s">
        <v>13789</v>
      </c>
      <c r="BU910" s="12" t="s">
        <v>13790</v>
      </c>
      <c r="BV910" s="14">
        <v>513</v>
      </c>
      <c r="BW910" s="14"/>
      <c r="BX910" s="14">
        <v>513</v>
      </c>
      <c r="BY910" s="14">
        <v>1760</v>
      </c>
      <c r="BZ910" s="14">
        <v>1831</v>
      </c>
      <c r="CA910" s="14">
        <v>3591</v>
      </c>
      <c r="CB910" s="12" t="s">
        <v>13791</v>
      </c>
      <c r="CD910" s="14"/>
      <c r="CE910" s="14"/>
      <c r="CF910" s="14">
        <v>0</v>
      </c>
      <c r="CG910" s="14"/>
      <c r="CH910" s="14"/>
      <c r="CI910" s="14">
        <v>0</v>
      </c>
      <c r="CJ910" s="12" t="s">
        <v>319</v>
      </c>
      <c r="CK910" s="14"/>
      <c r="CL910" s="16"/>
      <c r="CM910" s="14"/>
      <c r="CN910" s="12" t="s">
        <v>319</v>
      </c>
      <c r="CO910" s="14"/>
      <c r="CP910" s="16"/>
      <c r="CQ910" s="14"/>
      <c r="CR910" s="12" t="s">
        <v>319</v>
      </c>
      <c r="CS910" s="14"/>
      <c r="CT910" s="16"/>
      <c r="CU910" s="14"/>
      <c r="CV910" s="12" t="s">
        <v>319</v>
      </c>
      <c r="CW910" s="14"/>
      <c r="CX910" s="16"/>
      <c r="CY910" s="14"/>
      <c r="CZ910" s="12" t="s">
        <v>319</v>
      </c>
      <c r="DA910" s="14"/>
      <c r="DB910" s="16"/>
      <c r="DC910" s="14"/>
      <c r="DD910" s="12" t="s">
        <v>319</v>
      </c>
      <c r="DE910" s="14"/>
      <c r="DF910" s="16"/>
      <c r="DG910" s="14"/>
      <c r="DH910" s="12" t="s">
        <v>319</v>
      </c>
      <c r="DI910" s="14"/>
      <c r="DJ910" s="16"/>
      <c r="DK910" s="14"/>
      <c r="DL910" s="12" t="s">
        <v>319</v>
      </c>
      <c r="DM910" s="14"/>
      <c r="DN910" s="16"/>
      <c r="DO910" s="14"/>
      <c r="DP910" s="12" t="s">
        <v>319</v>
      </c>
      <c r="DQ910" s="14"/>
      <c r="DR910" s="16"/>
      <c r="DS910" s="14"/>
      <c r="DT910" s="12" t="s">
        <v>319</v>
      </c>
      <c r="DU910" s="14"/>
      <c r="DV910" s="16"/>
      <c r="DW910" s="14"/>
      <c r="DX910" s="12" t="s">
        <v>319</v>
      </c>
      <c r="DY910" s="14"/>
      <c r="DZ910" s="16"/>
      <c r="EA910" s="14"/>
      <c r="EB910" s="12" t="s">
        <v>319</v>
      </c>
      <c r="EC910" s="14"/>
      <c r="ED910" s="16"/>
      <c r="EE910" s="14"/>
      <c r="EF910" s="12"/>
      <c r="EG910" s="12"/>
      <c r="EH910" s="14"/>
      <c r="EI910" s="16"/>
      <c r="EJ910" s="14"/>
      <c r="EK910" s="14">
        <v>513</v>
      </c>
      <c r="EL910" s="14"/>
      <c r="EM910" s="14">
        <v>513</v>
      </c>
      <c r="EN910" s="14">
        <v>1760</v>
      </c>
      <c r="EO910" s="14">
        <v>1831</v>
      </c>
      <c r="EP910" s="14">
        <v>3591</v>
      </c>
      <c r="EQ910" s="12"/>
      <c r="ER910" s="14"/>
      <c r="ES910" s="16"/>
      <c r="ET910" s="14"/>
      <c r="EU910" s="12"/>
      <c r="EV910" s="14"/>
      <c r="EW910" s="16"/>
      <c r="EX910" s="14"/>
      <c r="EY910" s="12"/>
      <c r="EZ910" s="14"/>
      <c r="FA910" s="16"/>
      <c r="FB910" s="14"/>
      <c r="FC910" s="12"/>
      <c r="FD910" s="14"/>
      <c r="FE910" s="16"/>
      <c r="FF910" s="14"/>
      <c r="FG910" s="12"/>
      <c r="FH910" s="14"/>
      <c r="FI910" s="16"/>
      <c r="FJ910" s="14"/>
      <c r="FK910" s="12"/>
      <c r="FL910" s="14"/>
      <c r="FM910" s="16"/>
      <c r="FN910" s="14"/>
      <c r="FO910" s="12"/>
      <c r="FP910" s="14"/>
      <c r="FQ910" s="16"/>
      <c r="FR910" s="14"/>
      <c r="FS910" s="12"/>
      <c r="FT910" s="14"/>
      <c r="FU910" s="16"/>
      <c r="FV910" s="14"/>
      <c r="FW910" s="12"/>
      <c r="FX910" s="14"/>
      <c r="FY910" s="16"/>
      <c r="FZ910" s="14"/>
      <c r="GA910" s="12"/>
      <c r="GB910" s="14"/>
      <c r="GC910" s="16"/>
      <c r="GD910" s="14"/>
      <c r="GE910" s="12"/>
      <c r="GF910" s="14"/>
      <c r="GG910" s="16"/>
      <c r="GH910" s="14"/>
      <c r="GI910" s="12"/>
      <c r="GJ910" s="14"/>
      <c r="GK910" s="16"/>
      <c r="GL910" s="14"/>
      <c r="GM910" s="12"/>
      <c r="GN910" s="14"/>
      <c r="GO910" s="16"/>
      <c r="GP910" s="14"/>
      <c r="GQ910" s="12"/>
      <c r="GR910" s="14"/>
      <c r="GS910" s="16"/>
      <c r="GT910" s="14"/>
      <c r="GU910" s="12"/>
      <c r="GV910" s="14"/>
      <c r="GW910" s="16"/>
      <c r="GX910" s="14"/>
      <c r="GY910" s="11" t="s">
        <v>320</v>
      </c>
      <c r="GZ910" s="14">
        <v>513</v>
      </c>
      <c r="HA910" s="16">
        <v>1</v>
      </c>
      <c r="HB910" s="14">
        <v>3591</v>
      </c>
      <c r="HC910" s="12"/>
      <c r="HD910" s="12"/>
      <c r="HE910" s="14"/>
      <c r="HF910" s="16"/>
      <c r="HG910" s="14"/>
      <c r="HH910" s="12" t="s">
        <v>319</v>
      </c>
      <c r="HI910" s="12"/>
      <c r="HJ910" s="12"/>
      <c r="HK910" s="12" t="s">
        <v>319</v>
      </c>
      <c r="HL910" s="12" t="s">
        <v>319</v>
      </c>
      <c r="HM910" s="12"/>
      <c r="HN910" s="12"/>
      <c r="HO910" s="12"/>
      <c r="HP910" s="12" t="s">
        <v>418</v>
      </c>
      <c r="HQ910" s="12"/>
      <c r="HR910" s="12"/>
      <c r="HS910" s="12"/>
      <c r="HT910" s="12"/>
      <c r="HU910" s="12"/>
      <c r="HV910" s="12"/>
      <c r="HW910" s="12"/>
      <c r="HX910" s="12"/>
      <c r="HY910" s="12"/>
      <c r="HZ910" s="12" t="s">
        <v>363</v>
      </c>
      <c r="IA910" s="12"/>
      <c r="IB910" s="12" t="s">
        <v>333</v>
      </c>
      <c r="IC910" s="12"/>
      <c r="ID910" s="12" t="s">
        <v>334</v>
      </c>
      <c r="IE910" s="12" t="s">
        <v>335</v>
      </c>
      <c r="IF910" s="12" t="s">
        <v>320</v>
      </c>
      <c r="IG910" s="12" t="s">
        <v>320</v>
      </c>
      <c r="IH910" s="12" t="s">
        <v>320</v>
      </c>
      <c r="II910" s="12" t="s">
        <v>320</v>
      </c>
      <c r="IJ910" s="12" t="str">
        <f t="shared" si="602"/>
        <v>2. Sensitive</v>
      </c>
      <c r="IK910" s="12">
        <f t="shared" si="604"/>
        <v>4</v>
      </c>
      <c r="IL910" s="12" t="s">
        <v>723</v>
      </c>
      <c r="IM910" s="12" t="s">
        <v>320</v>
      </c>
      <c r="IN910" s="12" t="s">
        <v>320</v>
      </c>
      <c r="IO910" s="12" t="s">
        <v>319</v>
      </c>
      <c r="IP910" s="12" t="s">
        <v>319</v>
      </c>
      <c r="IQ910" s="12" t="str">
        <f t="shared" si="605"/>
        <v>0. Unaware</v>
      </c>
      <c r="IR910" s="12">
        <f t="shared" si="606"/>
        <v>2</v>
      </c>
      <c r="IS910" s="12" t="s">
        <v>337</v>
      </c>
      <c r="IT910" s="12" t="s">
        <v>320</v>
      </c>
      <c r="IU910" s="12" t="s">
        <v>320</v>
      </c>
      <c r="IV910" s="12" t="s">
        <v>319</v>
      </c>
      <c r="IW910" s="11" t="str">
        <f t="shared" si="607"/>
        <v>1. Neutral</v>
      </c>
      <c r="IX910" s="12">
        <f t="shared" si="608"/>
        <v>2</v>
      </c>
      <c r="IY910" s="12" t="s">
        <v>338</v>
      </c>
      <c r="IZ910" s="12" t="s">
        <v>339</v>
      </c>
      <c r="JA910" s="12"/>
      <c r="JB910" s="12"/>
      <c r="JC910" s="12"/>
      <c r="JD910" s="12"/>
      <c r="JE910" s="12" t="s">
        <v>420</v>
      </c>
      <c r="JF910" s="12"/>
      <c r="JG910" s="12" t="s">
        <v>13792</v>
      </c>
      <c r="JH910" s="12"/>
      <c r="JI910" s="12"/>
      <c r="JJ910" s="12"/>
      <c r="JK910" s="12"/>
      <c r="JL910" s="12"/>
      <c r="JM910" s="12"/>
      <c r="JN910" s="12"/>
      <c r="JO910" s="12"/>
      <c r="JP910" s="15">
        <f t="shared" si="609"/>
        <v>513</v>
      </c>
      <c r="JQ910" s="15">
        <f t="shared" si="610"/>
        <v>3591</v>
      </c>
      <c r="JR910" s="279">
        <f t="shared" si="611"/>
        <v>7</v>
      </c>
      <c r="JS910" s="17">
        <f t="shared" si="612"/>
        <v>1</v>
      </c>
      <c r="JT910" s="18">
        <f t="shared" si="613"/>
        <v>0.49011417432470061</v>
      </c>
      <c r="JU910" s="280">
        <f t="shared" si="614"/>
        <v>513</v>
      </c>
      <c r="JV910" s="280">
        <f t="shared" si="615"/>
        <v>1760</v>
      </c>
      <c r="JW910" s="319" t="str">
        <f t="shared" si="616"/>
        <v/>
      </c>
      <c r="JX910" s="15">
        <f t="shared" si="617"/>
        <v>0</v>
      </c>
      <c r="JY910" s="15">
        <f t="shared" si="618"/>
        <v>0</v>
      </c>
      <c r="JZ910" s="19" t="str">
        <f t="shared" si="619"/>
        <v/>
      </c>
      <c r="KA910" s="52" t="str">
        <f t="shared" si="620"/>
        <v/>
      </c>
      <c r="KB910" s="15">
        <f t="shared" si="621"/>
        <v>0</v>
      </c>
      <c r="KC910" s="15">
        <f t="shared" si="622"/>
        <v>0</v>
      </c>
      <c r="KD910" s="20" t="str">
        <f t="shared" si="623"/>
        <v/>
      </c>
      <c r="KE910" s="52" t="str">
        <f t="shared" si="624"/>
        <v/>
      </c>
      <c r="KF910" s="15">
        <f t="shared" si="625"/>
        <v>0</v>
      </c>
      <c r="KG910" s="15">
        <f t="shared" si="626"/>
        <v>0</v>
      </c>
      <c r="KH910" s="21" t="str">
        <f t="shared" si="627"/>
        <v/>
      </c>
      <c r="KI910" s="52" t="str">
        <f t="shared" si="628"/>
        <v/>
      </c>
      <c r="KJ910" s="15">
        <f t="shared" si="629"/>
        <v>0</v>
      </c>
      <c r="KK910" s="15">
        <f t="shared" si="630"/>
        <v>0</v>
      </c>
      <c r="KL910" s="19" t="str">
        <f t="shared" si="631"/>
        <v/>
      </c>
      <c r="KM910" s="52">
        <f t="shared" si="632"/>
        <v>1</v>
      </c>
      <c r="KN910" s="22">
        <f t="shared" si="633"/>
        <v>513</v>
      </c>
      <c r="KO910" s="22">
        <f t="shared" si="634"/>
        <v>3591</v>
      </c>
      <c r="KP910" s="19">
        <f t="shared" si="635"/>
        <v>7</v>
      </c>
      <c r="KQ910" s="11" t="str">
        <f t="shared" si="636"/>
        <v>2. Sensitive</v>
      </c>
      <c r="KR910" s="11" t="str">
        <f t="shared" si="637"/>
        <v>0. Unaware</v>
      </c>
      <c r="KS910" s="11" t="str">
        <f t="shared" si="638"/>
        <v>1. Neutral</v>
      </c>
      <c r="KT910" s="11" t="str">
        <f t="shared" si="639"/>
        <v>It did not develop any specific innovation</v>
      </c>
      <c r="KU910" s="11" t="str">
        <f t="shared" si="640"/>
        <v>Little or no advocacy</v>
      </c>
      <c r="KV910" s="11" t="str">
        <f t="shared" si="641"/>
        <v>It did not take tested solutions to scale</v>
      </c>
      <c r="KW910" s="11" t="str">
        <f t="shared" si="642"/>
        <v>Yemen - Economic Empowerment for Women Entrepreneurs Project in Yemen</v>
      </c>
      <c r="KX910" s="11" t="str">
        <f t="shared" si="643"/>
        <v>Economic Empowerment for Women Entrepreneurs Project in Yemen</v>
      </c>
      <c r="KY910" s="11" t="str">
        <f t="shared" si="644"/>
        <v>Yemen</v>
      </c>
      <c r="KZ910" s="12">
        <v>911</v>
      </c>
    </row>
    <row r="911" spans="1:312" x14ac:dyDescent="0.3">
      <c r="A911" s="12" t="s">
        <v>13783</v>
      </c>
      <c r="B911" s="12" t="s">
        <v>602</v>
      </c>
      <c r="C911" s="12"/>
      <c r="D911" s="12" t="s">
        <v>13843</v>
      </c>
      <c r="E911" s="277" t="str">
        <f t="shared" si="603"/>
        <v>Yemen</v>
      </c>
      <c r="F911" s="12" t="s">
        <v>13844</v>
      </c>
      <c r="G911" s="12" t="s">
        <v>608</v>
      </c>
      <c r="H911" s="12" t="s">
        <v>384</v>
      </c>
      <c r="I911" s="12" t="s">
        <v>381</v>
      </c>
      <c r="J911" s="281" t="s">
        <v>14624</v>
      </c>
      <c r="K911" s="12"/>
      <c r="L911" s="12"/>
      <c r="M911" s="12"/>
      <c r="N911" s="12"/>
      <c r="O911" s="12"/>
      <c r="P911" s="12"/>
      <c r="Q911" s="12"/>
      <c r="R911" s="12"/>
      <c r="S911" s="12"/>
      <c r="T911" s="12"/>
      <c r="U911" s="12"/>
      <c r="V911" s="12"/>
      <c r="W911" s="12"/>
      <c r="X911" s="12"/>
      <c r="Y911" s="12"/>
      <c r="Z911" s="12"/>
      <c r="AA911" s="12"/>
      <c r="AB911" s="12"/>
      <c r="AC911" s="12"/>
      <c r="AD911" s="12"/>
      <c r="BD911" s="13">
        <v>42552</v>
      </c>
      <c r="BE911" s="13">
        <v>42916</v>
      </c>
      <c r="BF911" s="13">
        <v>43008</v>
      </c>
      <c r="BG911" s="12" t="s">
        <v>817</v>
      </c>
      <c r="BH911" s="14">
        <v>1340001.26</v>
      </c>
      <c r="BI911" s="12" t="s">
        <v>13845</v>
      </c>
      <c r="BJ911" s="12" t="s">
        <v>13846</v>
      </c>
      <c r="BK911" s="12" t="s">
        <v>13847</v>
      </c>
      <c r="BL911" s="12"/>
      <c r="BM911" s="12"/>
      <c r="BN911" s="12"/>
      <c r="BO911" s="12" t="s">
        <v>320</v>
      </c>
      <c r="BP911" s="12" t="s">
        <v>319</v>
      </c>
      <c r="BQ911" s="12" t="s">
        <v>319</v>
      </c>
      <c r="BR911" s="12" t="s">
        <v>13848</v>
      </c>
      <c r="BS911" s="12" t="s">
        <v>357</v>
      </c>
      <c r="BT911" s="12" t="s">
        <v>13849</v>
      </c>
      <c r="BU911" s="12" t="s">
        <v>13850</v>
      </c>
      <c r="BV911" s="14">
        <v>10012</v>
      </c>
      <c r="BW911" s="14">
        <v>9238</v>
      </c>
      <c r="BX911" s="14">
        <v>19250</v>
      </c>
      <c r="BY911" s="14"/>
      <c r="BZ911" s="14"/>
      <c r="CA911" s="14">
        <v>0</v>
      </c>
      <c r="CB911" s="12" t="s">
        <v>13851</v>
      </c>
      <c r="CD911" s="14">
        <v>8376</v>
      </c>
      <c r="CE911" s="14">
        <v>8707</v>
      </c>
      <c r="CF911" s="14">
        <v>17083</v>
      </c>
      <c r="CG911" s="14"/>
      <c r="CH911" s="14"/>
      <c r="CI911" s="14">
        <v>0</v>
      </c>
      <c r="CJ911" s="12" t="s">
        <v>319</v>
      </c>
      <c r="CK911" s="14"/>
      <c r="CL911" s="16"/>
      <c r="CM911" s="14"/>
      <c r="CN911" s="12" t="s">
        <v>320</v>
      </c>
      <c r="CO911" s="14">
        <v>3894</v>
      </c>
      <c r="CP911" s="16">
        <v>0.49299999999999999</v>
      </c>
      <c r="CQ911" s="14"/>
      <c r="CR911" s="12" t="s">
        <v>319</v>
      </c>
      <c r="CS911" s="14"/>
      <c r="CT911" s="16"/>
      <c r="CU911" s="14"/>
      <c r="CV911" s="12" t="s">
        <v>319</v>
      </c>
      <c r="CW911" s="14"/>
      <c r="CX911" s="16"/>
      <c r="CY911" s="14"/>
      <c r="CZ911" s="12" t="s">
        <v>319</v>
      </c>
      <c r="DA911" s="14"/>
      <c r="DB911" s="16"/>
      <c r="DC911" s="14"/>
      <c r="DD911" s="12" t="s">
        <v>319</v>
      </c>
      <c r="DE911" s="14"/>
      <c r="DF911" s="16"/>
      <c r="DG911" s="14"/>
      <c r="DH911" s="12" t="s">
        <v>319</v>
      </c>
      <c r="DI911" s="14"/>
      <c r="DJ911" s="16"/>
      <c r="DK911" s="14"/>
      <c r="DL911" s="12" t="s">
        <v>319</v>
      </c>
      <c r="DM911" s="14"/>
      <c r="DN911" s="16"/>
      <c r="DO911" s="14"/>
      <c r="DP911" s="12" t="s">
        <v>319</v>
      </c>
      <c r="DQ911" s="14"/>
      <c r="DR911" s="16"/>
      <c r="DS911" s="14"/>
      <c r="DT911" s="12" t="s">
        <v>319</v>
      </c>
      <c r="DU911" s="14"/>
      <c r="DV911" s="16"/>
      <c r="DW911" s="14"/>
      <c r="DX911" s="12" t="s">
        <v>320</v>
      </c>
      <c r="DY911" s="14">
        <v>13189</v>
      </c>
      <c r="DZ911" s="16">
        <v>0.48899999999999999</v>
      </c>
      <c r="EA911" s="14"/>
      <c r="EB911" s="12" t="s">
        <v>319</v>
      </c>
      <c r="EC911" s="14"/>
      <c r="ED911" s="16"/>
      <c r="EE911" s="14"/>
      <c r="EF911" s="12"/>
      <c r="EG911" s="12"/>
      <c r="EH911" s="14"/>
      <c r="EI911" s="16"/>
      <c r="EJ911" s="14"/>
      <c r="EK911" s="14"/>
      <c r="EL911" s="14"/>
      <c r="EM911" s="14"/>
      <c r="EN911" s="14"/>
      <c r="EO911" s="14"/>
      <c r="EP911" s="14"/>
      <c r="EQ911" s="12"/>
      <c r="ER911" s="14"/>
      <c r="ES911" s="16"/>
      <c r="ET911" s="14"/>
      <c r="EU911" s="12"/>
      <c r="EV911" s="14"/>
      <c r="EW911" s="16"/>
      <c r="EX911" s="14"/>
      <c r="EY911" s="12"/>
      <c r="EZ911" s="14"/>
      <c r="FA911" s="16"/>
      <c r="FB911" s="14"/>
      <c r="FC911" s="12"/>
      <c r="FD911" s="14"/>
      <c r="FE911" s="16"/>
      <c r="FF911" s="14"/>
      <c r="FG911" s="12"/>
      <c r="FH911" s="14"/>
      <c r="FI911" s="16"/>
      <c r="FJ911" s="14"/>
      <c r="FK911" s="12"/>
      <c r="FL911" s="14"/>
      <c r="FM911" s="16"/>
      <c r="FN911" s="14"/>
      <c r="FO911" s="12"/>
      <c r="FP911" s="14"/>
      <c r="FQ911" s="16"/>
      <c r="FR911" s="14"/>
      <c r="FS911" s="12"/>
      <c r="FT911" s="14"/>
      <c r="FU911" s="16"/>
      <c r="FV911" s="14"/>
      <c r="FW911" s="12"/>
      <c r="FX911" s="14"/>
      <c r="FY911" s="16"/>
      <c r="FZ911" s="14"/>
      <c r="GA911" s="12"/>
      <c r="GB911" s="14"/>
      <c r="GC911" s="16"/>
      <c r="GD911" s="14"/>
      <c r="GE911" s="12"/>
      <c r="GF911" s="14"/>
      <c r="GG911" s="16"/>
      <c r="GH911" s="14"/>
      <c r="GI911" s="12"/>
      <c r="GJ911" s="14"/>
      <c r="GK911" s="16"/>
      <c r="GL911" s="14"/>
      <c r="GM911" s="12"/>
      <c r="GN911" s="14"/>
      <c r="GO911" s="16"/>
      <c r="GP911" s="14"/>
      <c r="GQ911" s="12"/>
      <c r="GR911" s="14"/>
      <c r="GS911" s="16"/>
      <c r="GT911" s="14"/>
      <c r="GU911" s="12"/>
      <c r="GV911" s="14"/>
      <c r="GW911" s="16"/>
      <c r="GX911" s="14"/>
      <c r="GY911" s="12"/>
      <c r="GZ911" s="14"/>
      <c r="HA911" s="16"/>
      <c r="HB911" s="14"/>
      <c r="HC911" s="12"/>
      <c r="HD911" s="12"/>
      <c r="HE911" s="14"/>
      <c r="HF911" s="16"/>
      <c r="HG911" s="14"/>
      <c r="HH911" s="12" t="s">
        <v>320</v>
      </c>
      <c r="HI911" s="12" t="s">
        <v>327</v>
      </c>
      <c r="HJ911" s="12">
        <v>2016</v>
      </c>
      <c r="HK911" s="12" t="s">
        <v>320</v>
      </c>
      <c r="HL911" s="12" t="s">
        <v>320</v>
      </c>
      <c r="HM911" s="12" t="s">
        <v>619</v>
      </c>
      <c r="HN911" s="12">
        <v>2017</v>
      </c>
      <c r="HO911" s="12" t="s">
        <v>13852</v>
      </c>
      <c r="HP911" s="12" t="s">
        <v>418</v>
      </c>
      <c r="HQ911" s="12"/>
      <c r="HR911" s="12"/>
      <c r="HS911" s="12"/>
      <c r="HT911" s="12"/>
      <c r="HU911" s="12"/>
      <c r="HV911" s="12"/>
      <c r="HW911" s="12"/>
      <c r="HX911" s="12"/>
      <c r="HY911" s="12"/>
      <c r="HZ911" s="12" t="s">
        <v>363</v>
      </c>
      <c r="IA911" s="12"/>
      <c r="IB911" s="12" t="s">
        <v>333</v>
      </c>
      <c r="IC911" s="12"/>
      <c r="ID911" s="12" t="s">
        <v>334</v>
      </c>
      <c r="IE911" s="12" t="s">
        <v>335</v>
      </c>
      <c r="IF911" s="12" t="s">
        <v>320</v>
      </c>
      <c r="IG911" s="12" t="s">
        <v>320</v>
      </c>
      <c r="IH911" s="12" t="s">
        <v>320</v>
      </c>
      <c r="II911" s="12" t="s">
        <v>320</v>
      </c>
      <c r="IJ911" s="12" t="str">
        <f t="shared" si="602"/>
        <v>2. Sensitive</v>
      </c>
      <c r="IK911" s="12">
        <f t="shared" si="604"/>
        <v>4</v>
      </c>
      <c r="IL911" s="12" t="s">
        <v>723</v>
      </c>
      <c r="IM911" s="12" t="s">
        <v>320</v>
      </c>
      <c r="IN911" s="12" t="s">
        <v>320</v>
      </c>
      <c r="IO911" s="12" t="s">
        <v>319</v>
      </c>
      <c r="IP911" s="12" t="s">
        <v>319</v>
      </c>
      <c r="IQ911" s="12" t="str">
        <f t="shared" si="605"/>
        <v>0. Unaware</v>
      </c>
      <c r="IR911" s="12">
        <f t="shared" si="606"/>
        <v>2</v>
      </c>
      <c r="IS911" s="12" t="s">
        <v>337</v>
      </c>
      <c r="IT911" s="12" t="s">
        <v>320</v>
      </c>
      <c r="IU911" s="12" t="s">
        <v>320</v>
      </c>
      <c r="IV911" s="12" t="s">
        <v>319</v>
      </c>
      <c r="IW911" s="11" t="str">
        <f t="shared" si="607"/>
        <v>1. Neutral</v>
      </c>
      <c r="IX911" s="12">
        <f t="shared" si="608"/>
        <v>2</v>
      </c>
      <c r="IY911" s="12" t="s">
        <v>338</v>
      </c>
      <c r="IZ911" s="12" t="s">
        <v>339</v>
      </c>
      <c r="JA911" s="12"/>
      <c r="JB911" s="12"/>
      <c r="JC911" s="12"/>
      <c r="JD911" s="12"/>
      <c r="JE911" s="12" t="s">
        <v>420</v>
      </c>
      <c r="JF911" s="12"/>
      <c r="JG911" s="12" t="s">
        <v>13792</v>
      </c>
      <c r="JH911" s="12"/>
      <c r="JI911" s="12"/>
      <c r="JJ911" s="12"/>
      <c r="JK911" s="12"/>
      <c r="JL911" s="12"/>
      <c r="JM911" s="12"/>
      <c r="JN911" s="12"/>
      <c r="JO911" s="12"/>
      <c r="JP911" s="15">
        <f t="shared" si="609"/>
        <v>17083</v>
      </c>
      <c r="JQ911" s="15">
        <f t="shared" si="610"/>
        <v>0</v>
      </c>
      <c r="JR911" s="279">
        <f t="shared" si="611"/>
        <v>0</v>
      </c>
      <c r="JS911" s="17">
        <f t="shared" si="612"/>
        <v>0.49031200608792369</v>
      </c>
      <c r="JT911" s="18" t="str">
        <f t="shared" si="613"/>
        <v/>
      </c>
      <c r="JU911" s="280">
        <f t="shared" si="614"/>
        <v>8376</v>
      </c>
      <c r="JV911" s="280">
        <f t="shared" si="615"/>
        <v>0</v>
      </c>
      <c r="JW911" s="319">
        <f t="shared" si="616"/>
        <v>1</v>
      </c>
      <c r="JX911" s="15">
        <f t="shared" si="617"/>
        <v>17083</v>
      </c>
      <c r="JY911" s="15">
        <f t="shared" si="618"/>
        <v>0</v>
      </c>
      <c r="JZ911" s="19">
        <f t="shared" si="619"/>
        <v>0</v>
      </c>
      <c r="KA911" s="52" t="str">
        <f t="shared" si="620"/>
        <v/>
      </c>
      <c r="KB911" s="15">
        <f t="shared" si="621"/>
        <v>0</v>
      </c>
      <c r="KC911" s="15">
        <f t="shared" si="622"/>
        <v>0</v>
      </c>
      <c r="KD911" s="20" t="str">
        <f t="shared" si="623"/>
        <v/>
      </c>
      <c r="KE911" s="52" t="str">
        <f t="shared" si="624"/>
        <v/>
      </c>
      <c r="KF911" s="15">
        <f t="shared" si="625"/>
        <v>0</v>
      </c>
      <c r="KG911" s="15">
        <f t="shared" si="626"/>
        <v>0</v>
      </c>
      <c r="KH911" s="21" t="str">
        <f t="shared" si="627"/>
        <v/>
      </c>
      <c r="KI911" s="52" t="str">
        <f t="shared" si="628"/>
        <v/>
      </c>
      <c r="KJ911" s="15">
        <f t="shared" si="629"/>
        <v>0</v>
      </c>
      <c r="KK911" s="15">
        <f t="shared" si="630"/>
        <v>0</v>
      </c>
      <c r="KL911" s="19" t="str">
        <f t="shared" si="631"/>
        <v/>
      </c>
      <c r="KM911" s="52" t="str">
        <f t="shared" si="632"/>
        <v/>
      </c>
      <c r="KN911" s="22">
        <f t="shared" si="633"/>
        <v>0</v>
      </c>
      <c r="KO911" s="22">
        <f t="shared" si="634"/>
        <v>0</v>
      </c>
      <c r="KP911" s="19" t="str">
        <f t="shared" si="635"/>
        <v/>
      </c>
      <c r="KQ911" s="11" t="str">
        <f t="shared" si="636"/>
        <v>2. Sensitive</v>
      </c>
      <c r="KR911" s="11" t="str">
        <f t="shared" si="637"/>
        <v>0. Unaware</v>
      </c>
      <c r="KS911" s="11" t="str">
        <f t="shared" si="638"/>
        <v>1. Neutral</v>
      </c>
      <c r="KT911" s="11" t="str">
        <f t="shared" si="639"/>
        <v>It did not develop any specific innovation</v>
      </c>
      <c r="KU911" s="11" t="str">
        <f t="shared" si="640"/>
        <v>Little or no advocacy</v>
      </c>
      <c r="KV911" s="11" t="str">
        <f t="shared" si="641"/>
        <v>It did not take tested solutions to scale</v>
      </c>
      <c r="KW911" s="11" t="str">
        <f t="shared" si="642"/>
        <v>Yemen - Emergency cash and household NFI assistance for the most vulnerable IDPs and host communities in Hajjah Governorate</v>
      </c>
      <c r="KX911" s="11" t="str">
        <f t="shared" si="643"/>
        <v>Emergency cash and household NFI assistance for the most vulnerable IDPs and host communities in Hajjah Governorate</v>
      </c>
      <c r="KY911" s="11" t="str">
        <f t="shared" si="644"/>
        <v>Yemen</v>
      </c>
      <c r="KZ911" s="287">
        <v>912</v>
      </c>
    </row>
    <row r="912" spans="1:312" x14ac:dyDescent="0.3">
      <c r="A912" s="12" t="s">
        <v>13783</v>
      </c>
      <c r="B912" s="12" t="s">
        <v>602</v>
      </c>
      <c r="C912" s="12"/>
      <c r="D912" s="12" t="s">
        <v>13805</v>
      </c>
      <c r="E912" s="277" t="str">
        <f t="shared" si="603"/>
        <v>Yemen</v>
      </c>
      <c r="F912" s="12" t="s">
        <v>13806</v>
      </c>
      <c r="G912" s="12" t="s">
        <v>608</v>
      </c>
      <c r="H912" s="12" t="s">
        <v>384</v>
      </c>
      <c r="I912" s="12" t="s">
        <v>381</v>
      </c>
      <c r="J912" s="281" t="s">
        <v>14624</v>
      </c>
      <c r="K912" s="12"/>
      <c r="L912" s="12"/>
      <c r="M912" s="12"/>
      <c r="N912" s="12"/>
      <c r="O912" s="12"/>
      <c r="P912" s="12"/>
      <c r="Q912" s="12"/>
      <c r="R912" s="12"/>
      <c r="S912" s="12"/>
      <c r="T912" s="12"/>
      <c r="U912" s="12"/>
      <c r="V912" s="12"/>
      <c r="W912" s="12"/>
      <c r="X912" s="12"/>
      <c r="Y912" s="12"/>
      <c r="Z912" s="12"/>
      <c r="AA912" s="12"/>
      <c r="AB912" s="12"/>
      <c r="AC912" s="12"/>
      <c r="AD912" s="12"/>
      <c r="BD912" s="13">
        <v>42682</v>
      </c>
      <c r="BE912" s="12"/>
      <c r="BF912" s="12"/>
      <c r="BG912" s="12" t="s">
        <v>817</v>
      </c>
      <c r="BH912" s="14">
        <v>399998.42</v>
      </c>
      <c r="BI912" s="12" t="s">
        <v>13807</v>
      </c>
      <c r="BJ912" s="12" t="s">
        <v>13808</v>
      </c>
      <c r="BK912" s="12" t="s">
        <v>13797</v>
      </c>
      <c r="BL912" s="12"/>
      <c r="BM912" s="12"/>
      <c r="BN912" s="12"/>
      <c r="BO912" s="12" t="s">
        <v>320</v>
      </c>
      <c r="BP912" s="12" t="s">
        <v>319</v>
      </c>
      <c r="BQ912" s="12" t="s">
        <v>319</v>
      </c>
      <c r="BR912" s="12" t="s">
        <v>13809</v>
      </c>
      <c r="BS912" s="12" t="s">
        <v>357</v>
      </c>
      <c r="BT912" s="12" t="s">
        <v>13810</v>
      </c>
      <c r="BU912" s="12" t="s">
        <v>13800</v>
      </c>
      <c r="BV912" s="14">
        <v>12025</v>
      </c>
      <c r="BW912" s="14">
        <v>12515</v>
      </c>
      <c r="BX912" s="14">
        <v>24540</v>
      </c>
      <c r="BY912" s="14">
        <v>5286</v>
      </c>
      <c r="BZ912" s="14">
        <v>5500</v>
      </c>
      <c r="CA912" s="14">
        <v>10786</v>
      </c>
      <c r="CB912" s="12" t="s">
        <v>13811</v>
      </c>
      <c r="CD912" s="14">
        <v>13789</v>
      </c>
      <c r="CE912" s="14">
        <v>13247</v>
      </c>
      <c r="CF912" s="14">
        <v>27036</v>
      </c>
      <c r="CG912" s="14">
        <v>3261</v>
      </c>
      <c r="CH912" s="14">
        <v>5029</v>
      </c>
      <c r="CI912" s="14">
        <v>8290</v>
      </c>
      <c r="CJ912" s="12" t="s">
        <v>319</v>
      </c>
      <c r="CK912" s="14"/>
      <c r="CL912" s="16"/>
      <c r="CM912" s="14"/>
      <c r="CN912" s="12" t="s">
        <v>319</v>
      </c>
      <c r="CO912" s="14"/>
      <c r="CP912" s="16"/>
      <c r="CQ912" s="14"/>
      <c r="CR912" s="12" t="s">
        <v>319</v>
      </c>
      <c r="CS912" s="14"/>
      <c r="CT912" s="16"/>
      <c r="CU912" s="14"/>
      <c r="CV912" s="12" t="s">
        <v>319</v>
      </c>
      <c r="CW912" s="14"/>
      <c r="CX912" s="16"/>
      <c r="CY912" s="14"/>
      <c r="CZ912" s="12" t="s">
        <v>319</v>
      </c>
      <c r="DA912" s="14"/>
      <c r="DB912" s="16"/>
      <c r="DC912" s="14"/>
      <c r="DD912" s="12" t="s">
        <v>319</v>
      </c>
      <c r="DE912" s="14"/>
      <c r="DF912" s="16"/>
      <c r="DG912" s="14"/>
      <c r="DH912" s="12" t="s">
        <v>319</v>
      </c>
      <c r="DI912" s="14"/>
      <c r="DJ912" s="16"/>
      <c r="DK912" s="14"/>
      <c r="DL912" s="12" t="s">
        <v>319</v>
      </c>
      <c r="DM912" s="14"/>
      <c r="DN912" s="16"/>
      <c r="DO912" s="14"/>
      <c r="DP912" s="12" t="s">
        <v>319</v>
      </c>
      <c r="DQ912" s="14"/>
      <c r="DR912" s="16"/>
      <c r="DS912" s="14"/>
      <c r="DT912" s="12" t="s">
        <v>319</v>
      </c>
      <c r="DU912" s="14"/>
      <c r="DV912" s="16"/>
      <c r="DW912" s="14"/>
      <c r="DX912" s="12" t="s">
        <v>319</v>
      </c>
      <c r="DY912" s="14"/>
      <c r="DZ912" s="16"/>
      <c r="EA912" s="14"/>
      <c r="EB912" s="11" t="s">
        <v>320</v>
      </c>
      <c r="EC912" s="14">
        <v>27036</v>
      </c>
      <c r="ED912" s="16">
        <v>0.51</v>
      </c>
      <c r="EE912" s="14">
        <v>8290</v>
      </c>
      <c r="EF912" s="12"/>
      <c r="EG912" s="12"/>
      <c r="EH912" s="14"/>
      <c r="EI912" s="16"/>
      <c r="EJ912" s="14"/>
      <c r="EK912" s="14"/>
      <c r="EL912" s="14"/>
      <c r="EM912" s="14"/>
      <c r="EN912" s="14"/>
      <c r="EO912" s="14"/>
      <c r="EP912" s="14"/>
      <c r="EQ912" s="12"/>
      <c r="ER912" s="14"/>
      <c r="ES912" s="16"/>
      <c r="ET912" s="14"/>
      <c r="EU912" s="12"/>
      <c r="EV912" s="14"/>
      <c r="EW912" s="16"/>
      <c r="EX912" s="14"/>
      <c r="EY912" s="12"/>
      <c r="EZ912" s="14"/>
      <c r="FA912" s="16"/>
      <c r="FB912" s="14"/>
      <c r="FC912" s="12"/>
      <c r="FD912" s="14"/>
      <c r="FE912" s="16"/>
      <c r="FF912" s="14"/>
      <c r="FG912" s="12"/>
      <c r="FH912" s="14"/>
      <c r="FI912" s="16"/>
      <c r="FJ912" s="14"/>
      <c r="FK912" s="12"/>
      <c r="FL912" s="14"/>
      <c r="FM912" s="16"/>
      <c r="FN912" s="14"/>
      <c r="FO912" s="12"/>
      <c r="FP912" s="14"/>
      <c r="FQ912" s="16"/>
      <c r="FR912" s="14"/>
      <c r="FS912" s="12"/>
      <c r="FT912" s="14"/>
      <c r="FU912" s="16"/>
      <c r="FV912" s="14"/>
      <c r="FW912" s="12"/>
      <c r="FX912" s="14"/>
      <c r="FY912" s="16"/>
      <c r="FZ912" s="14"/>
      <c r="GA912" s="12"/>
      <c r="GB912" s="14"/>
      <c r="GC912" s="16"/>
      <c r="GD912" s="14"/>
      <c r="GE912" s="12"/>
      <c r="GF912" s="14"/>
      <c r="GG912" s="16"/>
      <c r="GH912" s="14"/>
      <c r="GI912" s="12"/>
      <c r="GJ912" s="14"/>
      <c r="GK912" s="16"/>
      <c r="GL912" s="14"/>
      <c r="GM912" s="12"/>
      <c r="GN912" s="14"/>
      <c r="GO912" s="16"/>
      <c r="GP912" s="14"/>
      <c r="GQ912" s="12"/>
      <c r="GR912" s="14"/>
      <c r="GS912" s="16"/>
      <c r="GT912" s="14"/>
      <c r="GU912" s="12"/>
      <c r="GV912" s="14"/>
      <c r="GW912" s="16"/>
      <c r="GX912" s="14"/>
      <c r="GY912" s="12"/>
      <c r="GZ912" s="14"/>
      <c r="HA912" s="16"/>
      <c r="HB912" s="14"/>
      <c r="HC912" s="12"/>
      <c r="HD912" s="12"/>
      <c r="HE912" s="14"/>
      <c r="HF912" s="16"/>
      <c r="HG912" s="14"/>
      <c r="HH912" s="12" t="s">
        <v>319</v>
      </c>
      <c r="HI912" s="12"/>
      <c r="HJ912" s="12"/>
      <c r="HK912" s="12"/>
      <c r="HL912" s="12"/>
      <c r="HM912" s="12"/>
      <c r="HN912" s="12"/>
      <c r="HO912" s="12"/>
      <c r="HP912" s="12" t="s">
        <v>418</v>
      </c>
      <c r="HQ912" s="12"/>
      <c r="HR912" s="12"/>
      <c r="HS912" s="12"/>
      <c r="HT912" s="12"/>
      <c r="HU912" s="12"/>
      <c r="HV912" s="12"/>
      <c r="HW912" s="12"/>
      <c r="HX912" s="12"/>
      <c r="HY912" s="12"/>
      <c r="HZ912" s="12" t="s">
        <v>363</v>
      </c>
      <c r="IA912" s="12"/>
      <c r="IB912" s="12" t="s">
        <v>333</v>
      </c>
      <c r="IC912" s="12"/>
      <c r="ID912" s="12" t="s">
        <v>334</v>
      </c>
      <c r="IE912" s="12" t="s">
        <v>335</v>
      </c>
      <c r="IF912" s="12" t="s">
        <v>320</v>
      </c>
      <c r="IG912" s="12" t="s">
        <v>320</v>
      </c>
      <c r="IH912" s="12" t="s">
        <v>320</v>
      </c>
      <c r="II912" s="12" t="s">
        <v>320</v>
      </c>
      <c r="IJ912" s="12" t="str">
        <f t="shared" si="602"/>
        <v>2. Sensitive</v>
      </c>
      <c r="IK912" s="12">
        <f t="shared" si="604"/>
        <v>4</v>
      </c>
      <c r="IL912" s="12" t="s">
        <v>723</v>
      </c>
      <c r="IM912" s="12" t="s">
        <v>320</v>
      </c>
      <c r="IN912" s="12" t="s">
        <v>320</v>
      </c>
      <c r="IO912" s="12" t="s">
        <v>319</v>
      </c>
      <c r="IP912" s="12" t="s">
        <v>319</v>
      </c>
      <c r="IQ912" s="12" t="str">
        <f t="shared" si="605"/>
        <v>0. Unaware</v>
      </c>
      <c r="IR912" s="12">
        <f t="shared" si="606"/>
        <v>2</v>
      </c>
      <c r="IS912" s="12" t="s">
        <v>337</v>
      </c>
      <c r="IT912" s="12" t="s">
        <v>320</v>
      </c>
      <c r="IU912" s="12" t="s">
        <v>320</v>
      </c>
      <c r="IV912" s="12" t="s">
        <v>319</v>
      </c>
      <c r="IW912" s="11" t="str">
        <f t="shared" si="607"/>
        <v>1. Neutral</v>
      </c>
      <c r="IX912" s="12">
        <f t="shared" si="608"/>
        <v>2</v>
      </c>
      <c r="IY912" s="12" t="s">
        <v>338</v>
      </c>
      <c r="IZ912" s="12" t="s">
        <v>339</v>
      </c>
      <c r="JA912" s="12"/>
      <c r="JB912" s="12"/>
      <c r="JC912" s="12"/>
      <c r="JD912" s="12"/>
      <c r="JE912" s="12" t="s">
        <v>420</v>
      </c>
      <c r="JF912" s="12"/>
      <c r="JG912" s="12" t="s">
        <v>13792</v>
      </c>
      <c r="JH912" s="12"/>
      <c r="JI912" s="12"/>
      <c r="JJ912" s="12"/>
      <c r="JK912" s="12" t="s">
        <v>13812</v>
      </c>
      <c r="JL912" s="12" t="s">
        <v>13813</v>
      </c>
      <c r="JM912" s="12" t="s">
        <v>13814</v>
      </c>
      <c r="JN912" s="12"/>
      <c r="JO912" s="12"/>
      <c r="JP912" s="15">
        <f t="shared" si="609"/>
        <v>27036</v>
      </c>
      <c r="JQ912" s="15">
        <f t="shared" si="610"/>
        <v>8290</v>
      </c>
      <c r="JR912" s="279">
        <f t="shared" si="611"/>
        <v>0.30662819943778663</v>
      </c>
      <c r="JS912" s="17">
        <f t="shared" si="612"/>
        <v>0.5100236721408492</v>
      </c>
      <c r="JT912" s="18">
        <f t="shared" si="613"/>
        <v>0.3933655006031363</v>
      </c>
      <c r="JU912" s="280">
        <f t="shared" si="614"/>
        <v>13789</v>
      </c>
      <c r="JV912" s="280">
        <f t="shared" si="615"/>
        <v>3261</v>
      </c>
      <c r="JW912" s="319">
        <f t="shared" si="616"/>
        <v>1</v>
      </c>
      <c r="JX912" s="15">
        <f t="shared" si="617"/>
        <v>27036</v>
      </c>
      <c r="JY912" s="15">
        <f t="shared" si="618"/>
        <v>8290</v>
      </c>
      <c r="JZ912" s="19">
        <f t="shared" si="619"/>
        <v>0.30662819943778663</v>
      </c>
      <c r="KA912" s="52" t="str">
        <f t="shared" si="620"/>
        <v/>
      </c>
      <c r="KB912" s="15">
        <f t="shared" si="621"/>
        <v>0</v>
      </c>
      <c r="KC912" s="15">
        <f t="shared" si="622"/>
        <v>0</v>
      </c>
      <c r="KD912" s="20" t="str">
        <f t="shared" si="623"/>
        <v/>
      </c>
      <c r="KE912" s="52" t="str">
        <f t="shared" si="624"/>
        <v/>
      </c>
      <c r="KF912" s="15">
        <f t="shared" si="625"/>
        <v>0</v>
      </c>
      <c r="KG912" s="15">
        <f t="shared" si="626"/>
        <v>0</v>
      </c>
      <c r="KH912" s="21" t="str">
        <f t="shared" si="627"/>
        <v/>
      </c>
      <c r="KI912" s="52" t="str">
        <f t="shared" si="628"/>
        <v/>
      </c>
      <c r="KJ912" s="15">
        <f t="shared" si="629"/>
        <v>0</v>
      </c>
      <c r="KK912" s="15">
        <f t="shared" si="630"/>
        <v>0</v>
      </c>
      <c r="KL912" s="19" t="str">
        <f t="shared" si="631"/>
        <v/>
      </c>
      <c r="KM912" s="52" t="str">
        <f t="shared" si="632"/>
        <v/>
      </c>
      <c r="KN912" s="22">
        <f t="shared" si="633"/>
        <v>0</v>
      </c>
      <c r="KO912" s="22">
        <f t="shared" si="634"/>
        <v>0</v>
      </c>
      <c r="KP912" s="19" t="str">
        <f t="shared" si="635"/>
        <v/>
      </c>
      <c r="KQ912" s="11" t="str">
        <f t="shared" si="636"/>
        <v>2. Sensitive</v>
      </c>
      <c r="KR912" s="11" t="str">
        <f t="shared" si="637"/>
        <v>0. Unaware</v>
      </c>
      <c r="KS912" s="11" t="str">
        <f t="shared" si="638"/>
        <v>1. Neutral</v>
      </c>
      <c r="KT912" s="11" t="str">
        <f t="shared" si="639"/>
        <v>It did not develop any specific innovation</v>
      </c>
      <c r="KU912" s="11" t="str">
        <f t="shared" si="640"/>
        <v>Little or no advocacy</v>
      </c>
      <c r="KV912" s="11" t="str">
        <f t="shared" si="641"/>
        <v>It did not take tested solutions to scale</v>
      </c>
      <c r="KW912" s="11" t="str">
        <f t="shared" si="642"/>
        <v>Yemen - Emergency Cholera Response Project in Al-Hota district, Lahj Governorate</v>
      </c>
      <c r="KX912" s="11" t="str">
        <f t="shared" si="643"/>
        <v>Emergency Cholera Response Project in Al-Hota district, Lahj Governorate</v>
      </c>
      <c r="KY912" s="11" t="str">
        <f t="shared" si="644"/>
        <v>Yemen</v>
      </c>
      <c r="KZ912" s="12">
        <v>913</v>
      </c>
    </row>
    <row r="913" spans="1:312" x14ac:dyDescent="0.3">
      <c r="A913" s="12" t="s">
        <v>13783</v>
      </c>
      <c r="B913" s="12" t="s">
        <v>602</v>
      </c>
      <c r="C913" s="12"/>
      <c r="D913" s="12" t="s">
        <v>13861</v>
      </c>
      <c r="E913" s="277" t="str">
        <f t="shared" si="603"/>
        <v>Yemen</v>
      </c>
      <c r="F913" s="12" t="s">
        <v>13862</v>
      </c>
      <c r="G913" s="12" t="s">
        <v>1738</v>
      </c>
      <c r="H913" s="12" t="s">
        <v>380</v>
      </c>
      <c r="I913" s="12" t="s">
        <v>907</v>
      </c>
      <c r="J913" s="281" t="s">
        <v>5183</v>
      </c>
      <c r="K913" s="12"/>
      <c r="L913" s="12"/>
      <c r="M913" s="12"/>
      <c r="N913" s="12"/>
      <c r="O913" s="12"/>
      <c r="P913" s="12"/>
      <c r="Q913" s="12"/>
      <c r="R913" s="12"/>
      <c r="S913" s="12"/>
      <c r="T913" s="12"/>
      <c r="U913" s="12"/>
      <c r="V913" s="12"/>
      <c r="W913" s="12"/>
      <c r="X913" s="12"/>
      <c r="Y913" s="12"/>
      <c r="Z913" s="12"/>
      <c r="AA913" s="12"/>
      <c r="AB913" s="12"/>
      <c r="AC913" s="12"/>
      <c r="AD913" s="12"/>
      <c r="BD913" s="13">
        <v>42430</v>
      </c>
      <c r="BE913" s="13">
        <v>42794</v>
      </c>
      <c r="BF913" s="12"/>
      <c r="BG913" s="12" t="s">
        <v>817</v>
      </c>
      <c r="BH913" s="14">
        <v>1100000</v>
      </c>
      <c r="BI913" s="12" t="s">
        <v>13817</v>
      </c>
      <c r="BJ913" s="12" t="s">
        <v>13818</v>
      </c>
      <c r="BK913" s="12" t="s">
        <v>13819</v>
      </c>
      <c r="BL913" s="12"/>
      <c r="BM913" s="12"/>
      <c r="BN913" s="12"/>
      <c r="BO913" s="12" t="s">
        <v>320</v>
      </c>
      <c r="BP913" s="12" t="s">
        <v>319</v>
      </c>
      <c r="BQ913" s="12" t="s">
        <v>319</v>
      </c>
      <c r="BR913" s="12" t="s">
        <v>13863</v>
      </c>
      <c r="BS913" s="12" t="s">
        <v>357</v>
      </c>
      <c r="BT913" s="12" t="s">
        <v>13864</v>
      </c>
      <c r="BU913" s="12" t="s">
        <v>13822</v>
      </c>
      <c r="BV913" s="14">
        <v>10266</v>
      </c>
      <c r="BW913" s="14">
        <v>10685</v>
      </c>
      <c r="BX913" s="14">
        <v>20951</v>
      </c>
      <c r="BY913" s="14"/>
      <c r="BZ913" s="14"/>
      <c r="CA913" s="14"/>
      <c r="CB913" s="12" t="s">
        <v>13865</v>
      </c>
      <c r="CD913" s="14">
        <v>11062</v>
      </c>
      <c r="CE913" s="14">
        <v>10521</v>
      </c>
      <c r="CF913" s="14">
        <v>21583</v>
      </c>
      <c r="CG913" s="14"/>
      <c r="CH913" s="14"/>
      <c r="CI913" s="14">
        <v>0</v>
      </c>
      <c r="CJ913" s="12" t="s">
        <v>319</v>
      </c>
      <c r="CK913" s="14"/>
      <c r="CL913" s="16"/>
      <c r="CM913" s="14"/>
      <c r="CN913" s="12" t="s">
        <v>320</v>
      </c>
      <c r="CO913" s="14">
        <v>6013</v>
      </c>
      <c r="CP913" s="16">
        <v>0.54100000000000004</v>
      </c>
      <c r="CQ913" s="14"/>
      <c r="CR913" s="12" t="s">
        <v>319</v>
      </c>
      <c r="CS913" s="14"/>
      <c r="CT913" s="16"/>
      <c r="CU913" s="14"/>
      <c r="CV913" s="12" t="s">
        <v>319</v>
      </c>
      <c r="CW913" s="14"/>
      <c r="CX913" s="16"/>
      <c r="CY913" s="14"/>
      <c r="CZ913" s="12" t="s">
        <v>319</v>
      </c>
      <c r="DA913" s="14"/>
      <c r="DB913" s="16"/>
      <c r="DC913" s="14"/>
      <c r="DD913" s="12" t="s">
        <v>319</v>
      </c>
      <c r="DE913" s="14"/>
      <c r="DF913" s="16"/>
      <c r="DG913" s="14"/>
      <c r="DH913" s="12" t="s">
        <v>319</v>
      </c>
      <c r="DI913" s="14"/>
      <c r="DJ913" s="16"/>
      <c r="DK913" s="14"/>
      <c r="DL913" s="12" t="s">
        <v>319</v>
      </c>
      <c r="DM913" s="14"/>
      <c r="DN913" s="16"/>
      <c r="DO913" s="14"/>
      <c r="DP913" s="12" t="s">
        <v>319</v>
      </c>
      <c r="DQ913" s="14"/>
      <c r="DR913" s="16"/>
      <c r="DS913" s="14"/>
      <c r="DT913" s="12" t="s">
        <v>319</v>
      </c>
      <c r="DU913" s="14"/>
      <c r="DV913" s="16"/>
      <c r="DW913" s="14"/>
      <c r="DX913" s="12" t="s">
        <v>319</v>
      </c>
      <c r="DY913" s="14"/>
      <c r="DZ913" s="16"/>
      <c r="EA913" s="14"/>
      <c r="EB913" s="11" t="s">
        <v>320</v>
      </c>
      <c r="EC913" s="14">
        <v>21583</v>
      </c>
      <c r="ED913" s="16">
        <v>0.57199999999999995</v>
      </c>
      <c r="EE913" s="14"/>
      <c r="EF913" s="12"/>
      <c r="EG913" s="12"/>
      <c r="EH913" s="14"/>
      <c r="EI913" s="16"/>
      <c r="EJ913" s="14"/>
      <c r="EK913" s="14"/>
      <c r="EL913" s="14"/>
      <c r="EM913" s="14"/>
      <c r="EN913" s="14"/>
      <c r="EO913" s="14"/>
      <c r="EP913" s="14"/>
      <c r="EQ913" s="12"/>
      <c r="ER913" s="14"/>
      <c r="ES913" s="16"/>
      <c r="ET913" s="14"/>
      <c r="EU913" s="12"/>
      <c r="EV913" s="14"/>
      <c r="EW913" s="16"/>
      <c r="EX913" s="14"/>
      <c r="EY913" s="12"/>
      <c r="EZ913" s="14"/>
      <c r="FA913" s="16"/>
      <c r="FB913" s="14"/>
      <c r="FC913" s="12"/>
      <c r="FD913" s="14"/>
      <c r="FE913" s="16"/>
      <c r="FF913" s="14"/>
      <c r="FG913" s="12"/>
      <c r="FH913" s="14"/>
      <c r="FI913" s="16"/>
      <c r="FJ913" s="14"/>
      <c r="FK913" s="12"/>
      <c r="FL913" s="14"/>
      <c r="FM913" s="16"/>
      <c r="FN913" s="14"/>
      <c r="FO913" s="12"/>
      <c r="FP913" s="14"/>
      <c r="FQ913" s="16"/>
      <c r="FR913" s="14"/>
      <c r="FS913" s="12"/>
      <c r="FT913" s="14"/>
      <c r="FU913" s="16"/>
      <c r="FV913" s="14"/>
      <c r="FW913" s="12"/>
      <c r="FX913" s="14"/>
      <c r="FY913" s="16"/>
      <c r="FZ913" s="14"/>
      <c r="GA913" s="12"/>
      <c r="GB913" s="14"/>
      <c r="GC913" s="16"/>
      <c r="GD913" s="14"/>
      <c r="GE913" s="12"/>
      <c r="GF913" s="14"/>
      <c r="GG913" s="16"/>
      <c r="GH913" s="14"/>
      <c r="GI913" s="12"/>
      <c r="GJ913" s="14"/>
      <c r="GK913" s="16"/>
      <c r="GL913" s="14"/>
      <c r="GM913" s="12"/>
      <c r="GN913" s="14"/>
      <c r="GO913" s="16"/>
      <c r="GP913" s="14"/>
      <c r="GQ913" s="12"/>
      <c r="GR913" s="14"/>
      <c r="GS913" s="16"/>
      <c r="GT913" s="14"/>
      <c r="GU913" s="12"/>
      <c r="GV913" s="14"/>
      <c r="GW913" s="16"/>
      <c r="GX913" s="14"/>
      <c r="GY913" s="12"/>
      <c r="GZ913" s="14"/>
      <c r="HA913" s="16"/>
      <c r="HB913" s="14"/>
      <c r="HC913" s="12"/>
      <c r="HD913" s="12"/>
      <c r="HE913" s="14"/>
      <c r="HF913" s="16"/>
      <c r="HG913" s="14"/>
      <c r="HH913" s="12" t="s">
        <v>320</v>
      </c>
      <c r="HI913" s="12" t="s">
        <v>1175</v>
      </c>
      <c r="HJ913" s="12">
        <v>2016</v>
      </c>
      <c r="HK913" s="12" t="s">
        <v>320</v>
      </c>
      <c r="HL913" s="12" t="s">
        <v>319</v>
      </c>
      <c r="HM913" s="12"/>
      <c r="HN913" s="12"/>
      <c r="HO913" s="12" t="s">
        <v>13824</v>
      </c>
      <c r="HP913" s="12" t="s">
        <v>418</v>
      </c>
      <c r="HQ913" s="12"/>
      <c r="HR913" s="12"/>
      <c r="HS913" s="12"/>
      <c r="HT913" s="12"/>
      <c r="HU913" s="12"/>
      <c r="HV913" s="12"/>
      <c r="HW913" s="12"/>
      <c r="HX913" s="12"/>
      <c r="HY913" s="12"/>
      <c r="HZ913" s="12" t="s">
        <v>363</v>
      </c>
      <c r="IA913" s="12"/>
      <c r="IB913" s="12" t="s">
        <v>333</v>
      </c>
      <c r="IC913" s="12"/>
      <c r="ID913" s="12" t="s">
        <v>334</v>
      </c>
      <c r="IE913" s="12" t="s">
        <v>335</v>
      </c>
      <c r="IF913" s="12" t="s">
        <v>320</v>
      </c>
      <c r="IG913" s="12" t="s">
        <v>320</v>
      </c>
      <c r="IH913" s="12" t="s">
        <v>320</v>
      </c>
      <c r="II913" s="12" t="s">
        <v>320</v>
      </c>
      <c r="IJ913" s="12" t="str">
        <f t="shared" si="602"/>
        <v>2. Sensitive</v>
      </c>
      <c r="IK913" s="12">
        <f t="shared" si="604"/>
        <v>4</v>
      </c>
      <c r="IL913" s="12" t="s">
        <v>723</v>
      </c>
      <c r="IM913" s="12" t="s">
        <v>320</v>
      </c>
      <c r="IN913" s="12" t="s">
        <v>320</v>
      </c>
      <c r="IO913" s="12" t="s">
        <v>319</v>
      </c>
      <c r="IP913" s="12" t="s">
        <v>319</v>
      </c>
      <c r="IQ913" s="12" t="str">
        <f t="shared" si="605"/>
        <v>0. Unaware</v>
      </c>
      <c r="IR913" s="12">
        <f t="shared" si="606"/>
        <v>2</v>
      </c>
      <c r="IS913" s="12" t="s">
        <v>337</v>
      </c>
      <c r="IT913" s="12" t="s">
        <v>320</v>
      </c>
      <c r="IU913" s="12" t="s">
        <v>320</v>
      </c>
      <c r="IV913" s="12" t="s">
        <v>319</v>
      </c>
      <c r="IW913" s="11" t="str">
        <f t="shared" si="607"/>
        <v>1. Neutral</v>
      </c>
      <c r="IX913" s="12">
        <f t="shared" si="608"/>
        <v>2</v>
      </c>
      <c r="IY913" s="12" t="s">
        <v>338</v>
      </c>
      <c r="IZ913" s="12" t="s">
        <v>432</v>
      </c>
      <c r="JA913" s="12">
        <v>1</v>
      </c>
      <c r="JB913" s="12"/>
      <c r="JC913" s="12"/>
      <c r="JD913" s="12"/>
      <c r="JE913" s="12" t="s">
        <v>420</v>
      </c>
      <c r="JF913" s="12"/>
      <c r="JG913" s="12" t="s">
        <v>13792</v>
      </c>
      <c r="JH913" s="12"/>
      <c r="JI913" s="12"/>
      <c r="JJ913" s="12"/>
      <c r="JK913" s="12" t="s">
        <v>13866</v>
      </c>
      <c r="JL913" s="12" t="s">
        <v>13867</v>
      </c>
      <c r="JM913" s="12" t="s">
        <v>13868</v>
      </c>
      <c r="JN913" s="12"/>
      <c r="JO913" s="12"/>
      <c r="JP913" s="15">
        <f t="shared" si="609"/>
        <v>21583</v>
      </c>
      <c r="JQ913" s="15">
        <f t="shared" si="610"/>
        <v>0</v>
      </c>
      <c r="JR913" s="279">
        <f t="shared" si="611"/>
        <v>0</v>
      </c>
      <c r="JS913" s="17">
        <f t="shared" si="612"/>
        <v>0.51253301209285085</v>
      </c>
      <c r="JT913" s="18" t="str">
        <f t="shared" si="613"/>
        <v/>
      </c>
      <c r="JU913" s="280">
        <f t="shared" si="614"/>
        <v>11062</v>
      </c>
      <c r="JV913" s="280">
        <f t="shared" si="615"/>
        <v>0</v>
      </c>
      <c r="JW913" s="319">
        <f t="shared" si="616"/>
        <v>1</v>
      </c>
      <c r="JX913" s="15">
        <f t="shared" si="617"/>
        <v>21583</v>
      </c>
      <c r="JY913" s="15">
        <f t="shared" si="618"/>
        <v>0</v>
      </c>
      <c r="JZ913" s="19">
        <f t="shared" si="619"/>
        <v>0</v>
      </c>
      <c r="KA913" s="52" t="str">
        <f t="shared" si="620"/>
        <v/>
      </c>
      <c r="KB913" s="15">
        <f t="shared" si="621"/>
        <v>0</v>
      </c>
      <c r="KC913" s="15">
        <f t="shared" si="622"/>
        <v>0</v>
      </c>
      <c r="KD913" s="20" t="str">
        <f t="shared" si="623"/>
        <v/>
      </c>
      <c r="KE913" s="52" t="str">
        <f t="shared" si="624"/>
        <v/>
      </c>
      <c r="KF913" s="15">
        <f t="shared" si="625"/>
        <v>0</v>
      </c>
      <c r="KG913" s="15">
        <f t="shared" si="626"/>
        <v>0</v>
      </c>
      <c r="KH913" s="21" t="str">
        <f t="shared" si="627"/>
        <v/>
      </c>
      <c r="KI913" s="52" t="str">
        <f t="shared" si="628"/>
        <v/>
      </c>
      <c r="KJ913" s="15">
        <f t="shared" si="629"/>
        <v>0</v>
      </c>
      <c r="KK913" s="15">
        <f t="shared" si="630"/>
        <v>0</v>
      </c>
      <c r="KL913" s="19" t="str">
        <f t="shared" si="631"/>
        <v/>
      </c>
      <c r="KM913" s="52" t="str">
        <f t="shared" si="632"/>
        <v/>
      </c>
      <c r="KN913" s="22">
        <f t="shared" si="633"/>
        <v>0</v>
      </c>
      <c r="KO913" s="22">
        <f t="shared" si="634"/>
        <v>0</v>
      </c>
      <c r="KP913" s="19" t="str">
        <f t="shared" si="635"/>
        <v/>
      </c>
      <c r="KQ913" s="11" t="str">
        <f t="shared" si="636"/>
        <v>2. Sensitive</v>
      </c>
      <c r="KR913" s="11" t="str">
        <f t="shared" si="637"/>
        <v>0. Unaware</v>
      </c>
      <c r="KS913" s="11" t="str">
        <f t="shared" si="638"/>
        <v>1. Neutral</v>
      </c>
      <c r="KT913" s="11" t="str">
        <f t="shared" si="639"/>
        <v>It did not develop any specific innovation</v>
      </c>
      <c r="KU913" s="11" t="str">
        <f t="shared" si="640"/>
        <v>Little or no advocacy</v>
      </c>
      <c r="KV913" s="11" t="str">
        <f t="shared" si="641"/>
        <v>It did not take tested solutions to scale</v>
      </c>
      <c r="KW913" s="11" t="str">
        <f t="shared" si="642"/>
        <v>Yemen - Emergency lifesaving assistance to the most vulnerable conflict affected IDPs and host communities in Yemen</v>
      </c>
      <c r="KX913" s="11" t="str">
        <f t="shared" si="643"/>
        <v>Emergency lifesaving assistance to the most vulnerable conflict affected IDPs and host communities in Yemen</v>
      </c>
      <c r="KY913" s="11" t="str">
        <f t="shared" si="644"/>
        <v>Yemen</v>
      </c>
      <c r="KZ913" s="12">
        <v>914</v>
      </c>
    </row>
    <row r="914" spans="1:312" x14ac:dyDescent="0.3">
      <c r="A914" s="12" t="s">
        <v>13783</v>
      </c>
      <c r="B914" s="12" t="s">
        <v>602</v>
      </c>
      <c r="C914" s="12"/>
      <c r="D914" s="12" t="s">
        <v>13815</v>
      </c>
      <c r="E914" s="277" t="str">
        <f t="shared" si="603"/>
        <v>Yemen</v>
      </c>
      <c r="F914" s="12" t="s">
        <v>13816</v>
      </c>
      <c r="G914" s="12" t="s">
        <v>1738</v>
      </c>
      <c r="H914" s="12" t="s">
        <v>380</v>
      </c>
      <c r="I914" s="12" t="s">
        <v>907</v>
      </c>
      <c r="J914" s="281" t="s">
        <v>5183</v>
      </c>
      <c r="K914" s="12"/>
      <c r="L914" s="12"/>
      <c r="M914" s="12"/>
      <c r="N914" s="12"/>
      <c r="O914" s="12"/>
      <c r="P914" s="12"/>
      <c r="Q914" s="12"/>
      <c r="R914" s="12"/>
      <c r="S914" s="12"/>
      <c r="T914" s="12"/>
      <c r="U914" s="12"/>
      <c r="V914" s="12"/>
      <c r="W914" s="12"/>
      <c r="X914" s="12"/>
      <c r="Y914" s="12"/>
      <c r="Z914" s="12"/>
      <c r="AA914" s="12"/>
      <c r="AB914" s="12"/>
      <c r="AC914" s="12"/>
      <c r="AD914" s="12"/>
      <c r="BD914" s="13">
        <v>42370</v>
      </c>
      <c r="BE914" s="13">
        <v>42735</v>
      </c>
      <c r="BF914" s="13">
        <v>42766</v>
      </c>
      <c r="BG914" s="12" t="s">
        <v>817</v>
      </c>
      <c r="BH914" s="14">
        <v>1652174</v>
      </c>
      <c r="BI914" s="12" t="s">
        <v>13817</v>
      </c>
      <c r="BJ914" s="12" t="s">
        <v>13818</v>
      </c>
      <c r="BK914" s="12" t="s">
        <v>13819</v>
      </c>
      <c r="BL914" s="12"/>
      <c r="BM914" s="12"/>
      <c r="BN914" s="12"/>
      <c r="BO914" s="12" t="s">
        <v>320</v>
      </c>
      <c r="BP914" s="12" t="s">
        <v>319</v>
      </c>
      <c r="BQ914" s="12" t="s">
        <v>319</v>
      </c>
      <c r="BR914" s="12" t="s">
        <v>13820</v>
      </c>
      <c r="BS914" s="12" t="s">
        <v>357</v>
      </c>
      <c r="BT914" s="12" t="s">
        <v>13821</v>
      </c>
      <c r="BU914" s="12" t="s">
        <v>13822</v>
      </c>
      <c r="BV914" s="14">
        <v>7150</v>
      </c>
      <c r="BW914" s="14">
        <v>7375</v>
      </c>
      <c r="BX914" s="14">
        <v>14525</v>
      </c>
      <c r="BY914" s="14">
        <v>14175</v>
      </c>
      <c r="BZ914" s="14">
        <v>15306</v>
      </c>
      <c r="CA914" s="14">
        <v>29481</v>
      </c>
      <c r="CB914" s="12" t="s">
        <v>13823</v>
      </c>
      <c r="CD914" s="14">
        <v>13389</v>
      </c>
      <c r="CE914" s="14">
        <v>12847</v>
      </c>
      <c r="CF914" s="14">
        <v>26236</v>
      </c>
      <c r="CG914" s="14">
        <v>8185</v>
      </c>
      <c r="CH914" s="14">
        <v>8955</v>
      </c>
      <c r="CI914" s="14">
        <v>17140</v>
      </c>
      <c r="CJ914" s="12" t="s">
        <v>319</v>
      </c>
      <c r="CK914" s="14"/>
      <c r="CL914" s="16"/>
      <c r="CM914" s="14"/>
      <c r="CN914" s="12" t="s">
        <v>320</v>
      </c>
      <c r="CO914" s="14">
        <v>3375</v>
      </c>
      <c r="CP914" s="16">
        <v>0.51</v>
      </c>
      <c r="CQ914" s="14"/>
      <c r="CR914" s="12" t="s">
        <v>319</v>
      </c>
      <c r="CS914" s="14"/>
      <c r="CT914" s="16"/>
      <c r="CU914" s="14"/>
      <c r="CV914" s="12" t="s">
        <v>319</v>
      </c>
      <c r="CW914" s="14"/>
      <c r="CX914" s="16"/>
      <c r="CY914" s="14"/>
      <c r="CZ914" s="12" t="s">
        <v>319</v>
      </c>
      <c r="DA914" s="14"/>
      <c r="DB914" s="16"/>
      <c r="DC914" s="14"/>
      <c r="DD914" s="12" t="s">
        <v>319</v>
      </c>
      <c r="DE914" s="14"/>
      <c r="DF914" s="16"/>
      <c r="DG914" s="14"/>
      <c r="DH914" s="12" t="s">
        <v>319</v>
      </c>
      <c r="DI914" s="14"/>
      <c r="DJ914" s="16"/>
      <c r="DK914" s="14"/>
      <c r="DL914" s="12" t="s">
        <v>319</v>
      </c>
      <c r="DM914" s="14"/>
      <c r="DN914" s="16"/>
      <c r="DO914" s="14"/>
      <c r="DP914" s="12" t="s">
        <v>319</v>
      </c>
      <c r="DQ914" s="14"/>
      <c r="DR914" s="16"/>
      <c r="DS914" s="14"/>
      <c r="DT914" s="12" t="s">
        <v>319</v>
      </c>
      <c r="DU914" s="14"/>
      <c r="DV914" s="16"/>
      <c r="DW914" s="14"/>
      <c r="DX914" s="12" t="s">
        <v>319</v>
      </c>
      <c r="DY914" s="14"/>
      <c r="DZ914" s="16"/>
      <c r="EA914" s="14"/>
      <c r="EB914" s="11" t="s">
        <v>320</v>
      </c>
      <c r="EC914" s="14">
        <v>22861</v>
      </c>
      <c r="ED914" s="16">
        <v>0.51</v>
      </c>
      <c r="EE914" s="14">
        <v>17140</v>
      </c>
      <c r="EF914" s="12"/>
      <c r="EG914" s="12"/>
      <c r="EH914" s="14"/>
      <c r="EI914" s="16"/>
      <c r="EJ914" s="14"/>
      <c r="EK914" s="14"/>
      <c r="EL914" s="14"/>
      <c r="EM914" s="14"/>
      <c r="EN914" s="14"/>
      <c r="EO914" s="14"/>
      <c r="EP914" s="14"/>
      <c r="EQ914" s="12"/>
      <c r="ER914" s="14"/>
      <c r="ES914" s="16"/>
      <c r="ET914" s="14"/>
      <c r="EU914" s="12"/>
      <c r="EV914" s="14"/>
      <c r="EW914" s="16"/>
      <c r="EX914" s="14"/>
      <c r="EY914" s="12"/>
      <c r="EZ914" s="14"/>
      <c r="FA914" s="16"/>
      <c r="FB914" s="14"/>
      <c r="FC914" s="12"/>
      <c r="FD914" s="14"/>
      <c r="FE914" s="16"/>
      <c r="FF914" s="14"/>
      <c r="FG914" s="12"/>
      <c r="FH914" s="14"/>
      <c r="FI914" s="16"/>
      <c r="FJ914" s="14"/>
      <c r="FK914" s="12"/>
      <c r="FL914" s="14"/>
      <c r="FM914" s="16"/>
      <c r="FN914" s="14"/>
      <c r="FO914" s="12"/>
      <c r="FP914" s="14"/>
      <c r="FQ914" s="16"/>
      <c r="FR914" s="14"/>
      <c r="FS914" s="12"/>
      <c r="FT914" s="14"/>
      <c r="FU914" s="16"/>
      <c r="FV914" s="14"/>
      <c r="FW914" s="12"/>
      <c r="FX914" s="14"/>
      <c r="FY914" s="16"/>
      <c r="FZ914" s="14"/>
      <c r="GA914" s="12"/>
      <c r="GB914" s="14"/>
      <c r="GC914" s="16"/>
      <c r="GD914" s="14"/>
      <c r="GE914" s="12"/>
      <c r="GF914" s="14"/>
      <c r="GG914" s="16"/>
      <c r="GH914" s="14"/>
      <c r="GI914" s="12"/>
      <c r="GJ914" s="14"/>
      <c r="GK914" s="16"/>
      <c r="GL914" s="14"/>
      <c r="GM914" s="12"/>
      <c r="GN914" s="14"/>
      <c r="GO914" s="16"/>
      <c r="GP914" s="14"/>
      <c r="GQ914" s="12"/>
      <c r="GR914" s="14"/>
      <c r="GS914" s="16"/>
      <c r="GT914" s="14"/>
      <c r="GU914" s="12"/>
      <c r="GV914" s="14"/>
      <c r="GW914" s="16"/>
      <c r="GX914" s="14"/>
      <c r="GY914" s="12"/>
      <c r="GZ914" s="14"/>
      <c r="HA914" s="16"/>
      <c r="HB914" s="14"/>
      <c r="HC914" s="12"/>
      <c r="HD914" s="12"/>
      <c r="HE914" s="14"/>
      <c r="HF914" s="16"/>
      <c r="HG914" s="14"/>
      <c r="HH914" s="12" t="s">
        <v>320</v>
      </c>
      <c r="HI914" s="12" t="s">
        <v>416</v>
      </c>
      <c r="HJ914" s="12">
        <v>2016</v>
      </c>
      <c r="HK914" s="12" t="s">
        <v>320</v>
      </c>
      <c r="HL914" s="12" t="s">
        <v>319</v>
      </c>
      <c r="HM914" s="12"/>
      <c r="HN914" s="12"/>
      <c r="HO914" s="12" t="s">
        <v>13824</v>
      </c>
      <c r="HP914" s="12" t="s">
        <v>418</v>
      </c>
      <c r="HQ914" s="12"/>
      <c r="HR914" s="12"/>
      <c r="HS914" s="12"/>
      <c r="HT914" s="12"/>
      <c r="HU914" s="12"/>
      <c r="HV914" s="12"/>
      <c r="HW914" s="12"/>
      <c r="HX914" s="12"/>
      <c r="HY914" s="12"/>
      <c r="HZ914" s="12" t="s">
        <v>363</v>
      </c>
      <c r="IA914" s="12"/>
      <c r="IB914" s="12" t="s">
        <v>333</v>
      </c>
      <c r="IC914" s="12"/>
      <c r="ID914" s="12" t="s">
        <v>334</v>
      </c>
      <c r="IE914" s="12" t="s">
        <v>335</v>
      </c>
      <c r="IF914" s="12" t="s">
        <v>320</v>
      </c>
      <c r="IG914" s="12" t="s">
        <v>320</v>
      </c>
      <c r="IH914" s="12" t="s">
        <v>320</v>
      </c>
      <c r="II914" s="12" t="s">
        <v>320</v>
      </c>
      <c r="IJ914" s="12" t="str">
        <f t="shared" si="602"/>
        <v>2. Sensitive</v>
      </c>
      <c r="IK914" s="12">
        <f t="shared" si="604"/>
        <v>4</v>
      </c>
      <c r="IL914" s="12" t="s">
        <v>723</v>
      </c>
      <c r="IM914" s="12" t="s">
        <v>320</v>
      </c>
      <c r="IN914" s="12" t="s">
        <v>320</v>
      </c>
      <c r="IO914" s="12" t="s">
        <v>319</v>
      </c>
      <c r="IP914" s="12" t="s">
        <v>319</v>
      </c>
      <c r="IQ914" s="12" t="str">
        <f t="shared" si="605"/>
        <v>0. Unaware</v>
      </c>
      <c r="IR914" s="12">
        <f t="shared" si="606"/>
        <v>2</v>
      </c>
      <c r="IS914" s="12" t="s">
        <v>337</v>
      </c>
      <c r="IT914" s="12" t="s">
        <v>320</v>
      </c>
      <c r="IU914" s="12" t="s">
        <v>320</v>
      </c>
      <c r="IV914" s="12" t="s">
        <v>319</v>
      </c>
      <c r="IW914" s="11" t="str">
        <f t="shared" si="607"/>
        <v>1. Neutral</v>
      </c>
      <c r="IX914" s="12">
        <f t="shared" si="608"/>
        <v>2</v>
      </c>
      <c r="IY914" s="12" t="s">
        <v>338</v>
      </c>
      <c r="IZ914" s="12" t="s">
        <v>432</v>
      </c>
      <c r="JA914" s="12">
        <v>1</v>
      </c>
      <c r="JB914" s="12"/>
      <c r="JC914" s="12"/>
      <c r="JD914" s="12"/>
      <c r="JE914" s="12" t="s">
        <v>420</v>
      </c>
      <c r="JF914" s="12"/>
      <c r="JG914" s="12" t="s">
        <v>13792</v>
      </c>
      <c r="JH914" s="12"/>
      <c r="JI914" s="12"/>
      <c r="JJ914" s="12"/>
      <c r="JK914" s="12" t="s">
        <v>13825</v>
      </c>
      <c r="JL914" s="12" t="s">
        <v>13826</v>
      </c>
      <c r="JM914" s="12"/>
      <c r="JN914" s="12"/>
      <c r="JO914" s="12"/>
      <c r="JP914" s="15">
        <f t="shared" si="609"/>
        <v>26236</v>
      </c>
      <c r="JQ914" s="15">
        <f t="shared" si="610"/>
        <v>17140</v>
      </c>
      <c r="JR914" s="279">
        <f t="shared" si="611"/>
        <v>0.65330080805000768</v>
      </c>
      <c r="JS914" s="17">
        <f t="shared" si="612"/>
        <v>0.5103293184936728</v>
      </c>
      <c r="JT914" s="18">
        <f t="shared" si="613"/>
        <v>0.47753792298716452</v>
      </c>
      <c r="JU914" s="280">
        <f t="shared" si="614"/>
        <v>13389</v>
      </c>
      <c r="JV914" s="280">
        <f t="shared" si="615"/>
        <v>8185</v>
      </c>
      <c r="JW914" s="319">
        <f t="shared" si="616"/>
        <v>1</v>
      </c>
      <c r="JX914" s="15">
        <f t="shared" si="617"/>
        <v>26236</v>
      </c>
      <c r="JY914" s="15">
        <f t="shared" si="618"/>
        <v>17140</v>
      </c>
      <c r="JZ914" s="19">
        <f t="shared" si="619"/>
        <v>0.65330080805000768</v>
      </c>
      <c r="KA914" s="52" t="str">
        <f t="shared" si="620"/>
        <v/>
      </c>
      <c r="KB914" s="15">
        <f t="shared" si="621"/>
        <v>0</v>
      </c>
      <c r="KC914" s="15">
        <f t="shared" si="622"/>
        <v>0</v>
      </c>
      <c r="KD914" s="20" t="str">
        <f t="shared" si="623"/>
        <v/>
      </c>
      <c r="KE914" s="52" t="str">
        <f t="shared" si="624"/>
        <v/>
      </c>
      <c r="KF914" s="15">
        <f t="shared" si="625"/>
        <v>0</v>
      </c>
      <c r="KG914" s="15">
        <f t="shared" si="626"/>
        <v>0</v>
      </c>
      <c r="KH914" s="21" t="str">
        <f t="shared" si="627"/>
        <v/>
      </c>
      <c r="KI914" s="52" t="str">
        <f t="shared" si="628"/>
        <v/>
      </c>
      <c r="KJ914" s="15">
        <f t="shared" si="629"/>
        <v>0</v>
      </c>
      <c r="KK914" s="15">
        <f t="shared" si="630"/>
        <v>0</v>
      </c>
      <c r="KL914" s="19" t="str">
        <f t="shared" si="631"/>
        <v/>
      </c>
      <c r="KM914" s="52" t="str">
        <f t="shared" si="632"/>
        <v/>
      </c>
      <c r="KN914" s="22">
        <f t="shared" si="633"/>
        <v>0</v>
      </c>
      <c r="KO914" s="22">
        <f t="shared" si="634"/>
        <v>0</v>
      </c>
      <c r="KP914" s="19" t="str">
        <f t="shared" si="635"/>
        <v/>
      </c>
      <c r="KQ914" s="11" t="str">
        <f t="shared" si="636"/>
        <v>2. Sensitive</v>
      </c>
      <c r="KR914" s="11" t="str">
        <f t="shared" si="637"/>
        <v>0. Unaware</v>
      </c>
      <c r="KS914" s="11" t="str">
        <f t="shared" si="638"/>
        <v>1. Neutral</v>
      </c>
      <c r="KT914" s="11" t="str">
        <f t="shared" si="639"/>
        <v>It did not develop any specific innovation</v>
      </c>
      <c r="KU914" s="11" t="str">
        <f t="shared" si="640"/>
        <v>Little or no advocacy</v>
      </c>
      <c r="KV914" s="11" t="str">
        <f t="shared" si="641"/>
        <v>It did not take tested solutions to scale</v>
      </c>
      <c r="KW914" s="11" t="str">
        <f t="shared" si="642"/>
        <v>Yemen - Emergency support for conflict affected population in Yemen and enhanced INGO Coordination in Safety and Security</v>
      </c>
      <c r="KX914" s="11" t="str">
        <f t="shared" si="643"/>
        <v>Emergency support for conflict affected population in Yemen and enhanced INGO Coordination in Safety and Security</v>
      </c>
      <c r="KY914" s="11" t="str">
        <f t="shared" si="644"/>
        <v>Yemen</v>
      </c>
      <c r="KZ914" s="12">
        <v>915</v>
      </c>
    </row>
    <row r="915" spans="1:312" x14ac:dyDescent="0.3">
      <c r="A915" s="12" t="s">
        <v>13783</v>
      </c>
      <c r="B915" s="12" t="s">
        <v>602</v>
      </c>
      <c r="C915" s="12"/>
      <c r="D915" s="12" t="s">
        <v>13836</v>
      </c>
      <c r="E915" s="277" t="str">
        <f t="shared" si="603"/>
        <v>Yemen</v>
      </c>
      <c r="F915" s="12" t="s">
        <v>13837</v>
      </c>
      <c r="G915" s="12" t="s">
        <v>608</v>
      </c>
      <c r="H915" s="12" t="s">
        <v>384</v>
      </c>
      <c r="I915" s="12" t="s">
        <v>381</v>
      </c>
      <c r="J915" s="281" t="s">
        <v>14624</v>
      </c>
      <c r="K915" s="12"/>
      <c r="L915" s="12"/>
      <c r="M915" s="12"/>
      <c r="N915" s="12"/>
      <c r="O915" s="12"/>
      <c r="P915" s="12"/>
      <c r="Q915" s="12"/>
      <c r="R915" s="12"/>
      <c r="S915" s="12"/>
      <c r="T915" s="12"/>
      <c r="U915" s="12"/>
      <c r="V915" s="12"/>
      <c r="W915" s="12"/>
      <c r="X915" s="12"/>
      <c r="Y915" s="12"/>
      <c r="Z915" s="12"/>
      <c r="AA915" s="12"/>
      <c r="AB915" s="12"/>
      <c r="AC915" s="12"/>
      <c r="AD915" s="12"/>
      <c r="BD915" s="13">
        <v>42571</v>
      </c>
      <c r="BE915" s="13">
        <v>42935</v>
      </c>
      <c r="BF915" s="12"/>
      <c r="BG915" s="12" t="s">
        <v>817</v>
      </c>
      <c r="BH915" s="14">
        <v>1469980.73</v>
      </c>
      <c r="BI915" s="12" t="s">
        <v>13817</v>
      </c>
      <c r="BJ915" s="12" t="s">
        <v>13818</v>
      </c>
      <c r="BK915" s="12" t="s">
        <v>13819</v>
      </c>
      <c r="BL915" s="12"/>
      <c r="BM915" s="12"/>
      <c r="BN915" s="12"/>
      <c r="BO915" s="12" t="s">
        <v>320</v>
      </c>
      <c r="BP915" s="12" t="s">
        <v>319</v>
      </c>
      <c r="BQ915" s="12" t="s">
        <v>319</v>
      </c>
      <c r="BR915" s="12" t="s">
        <v>13838</v>
      </c>
      <c r="BS915" s="12" t="s">
        <v>357</v>
      </c>
      <c r="BT915" s="12" t="s">
        <v>13839</v>
      </c>
      <c r="BU915" s="12" t="s">
        <v>13840</v>
      </c>
      <c r="BV915" s="14">
        <v>33618</v>
      </c>
      <c r="BW915" s="14">
        <v>25882</v>
      </c>
      <c r="BX915" s="14">
        <v>59500</v>
      </c>
      <c r="BY915" s="14">
        <v>54286</v>
      </c>
      <c r="BZ915" s="14">
        <v>37996</v>
      </c>
      <c r="CA915" s="14">
        <v>92282</v>
      </c>
      <c r="CB915" s="12" t="s">
        <v>13841</v>
      </c>
      <c r="CD915" s="14">
        <v>37531</v>
      </c>
      <c r="CE915" s="14">
        <v>33649</v>
      </c>
      <c r="CF915" s="14">
        <v>71180</v>
      </c>
      <c r="CG915" s="14">
        <v>52330</v>
      </c>
      <c r="CH915" s="14">
        <v>34112</v>
      </c>
      <c r="CI915" s="14">
        <v>86442</v>
      </c>
      <c r="CJ915" s="12" t="s">
        <v>319</v>
      </c>
      <c r="CK915" s="14"/>
      <c r="CL915" s="16"/>
      <c r="CM915" s="14"/>
      <c r="CN915" s="12" t="s">
        <v>319</v>
      </c>
      <c r="CO915" s="14"/>
      <c r="CP915" s="16"/>
      <c r="CQ915" s="14"/>
      <c r="CR915" s="12" t="s">
        <v>319</v>
      </c>
      <c r="CS915" s="14"/>
      <c r="CT915" s="16"/>
      <c r="CU915" s="14"/>
      <c r="CV915" s="12" t="s">
        <v>319</v>
      </c>
      <c r="CW915" s="14"/>
      <c r="CX915" s="16"/>
      <c r="CY915" s="14"/>
      <c r="CZ915" s="12" t="s">
        <v>319</v>
      </c>
      <c r="DA915" s="14"/>
      <c r="DB915" s="16"/>
      <c r="DC915" s="14"/>
      <c r="DD915" s="12" t="s">
        <v>319</v>
      </c>
      <c r="DE915" s="14"/>
      <c r="DF915" s="16"/>
      <c r="DG915" s="14"/>
      <c r="DH915" s="12" t="s">
        <v>319</v>
      </c>
      <c r="DI915" s="14"/>
      <c r="DJ915" s="16"/>
      <c r="DK915" s="14"/>
      <c r="DL915" s="12" t="s">
        <v>319</v>
      </c>
      <c r="DM915" s="14"/>
      <c r="DN915" s="16"/>
      <c r="DO915" s="14"/>
      <c r="DP915" s="12" t="s">
        <v>319</v>
      </c>
      <c r="DQ915" s="14"/>
      <c r="DR915" s="16"/>
      <c r="DS915" s="14"/>
      <c r="DT915" s="12" t="s">
        <v>319</v>
      </c>
      <c r="DU915" s="14"/>
      <c r="DV915" s="16"/>
      <c r="DW915" s="14"/>
      <c r="DX915" s="12" t="s">
        <v>320</v>
      </c>
      <c r="DY915" s="14">
        <v>15862</v>
      </c>
      <c r="DZ915" s="16">
        <v>0.51</v>
      </c>
      <c r="EA915" s="14"/>
      <c r="EB915" s="11" t="s">
        <v>320</v>
      </c>
      <c r="EC915" s="14">
        <v>55318</v>
      </c>
      <c r="ED915" s="16">
        <v>0.52</v>
      </c>
      <c r="EE915" s="14">
        <v>86442</v>
      </c>
      <c r="EF915" s="12"/>
      <c r="EG915" s="12"/>
      <c r="EH915" s="14"/>
      <c r="EI915" s="16"/>
      <c r="EJ915" s="14"/>
      <c r="EK915" s="14"/>
      <c r="EL915" s="14"/>
      <c r="EM915" s="14"/>
      <c r="EN915" s="14"/>
      <c r="EO915" s="14"/>
      <c r="EP915" s="14"/>
      <c r="EQ915" s="12"/>
      <c r="ER915" s="14"/>
      <c r="ES915" s="16"/>
      <c r="ET915" s="14"/>
      <c r="EU915" s="12"/>
      <c r="EV915" s="14"/>
      <c r="EW915" s="16"/>
      <c r="EX915" s="14"/>
      <c r="EY915" s="12"/>
      <c r="EZ915" s="14"/>
      <c r="FA915" s="16"/>
      <c r="FB915" s="14"/>
      <c r="FC915" s="12"/>
      <c r="FD915" s="14"/>
      <c r="FE915" s="16"/>
      <c r="FF915" s="14"/>
      <c r="FG915" s="12"/>
      <c r="FH915" s="14"/>
      <c r="FI915" s="16"/>
      <c r="FJ915" s="14"/>
      <c r="FK915" s="12"/>
      <c r="FL915" s="14"/>
      <c r="FM915" s="16"/>
      <c r="FN915" s="14"/>
      <c r="FO915" s="12"/>
      <c r="FP915" s="14"/>
      <c r="FQ915" s="16"/>
      <c r="FR915" s="14"/>
      <c r="FS915" s="12"/>
      <c r="FT915" s="14"/>
      <c r="FU915" s="16"/>
      <c r="FV915" s="14"/>
      <c r="FW915" s="12"/>
      <c r="FX915" s="14"/>
      <c r="FY915" s="16"/>
      <c r="FZ915" s="14"/>
      <c r="GA915" s="12"/>
      <c r="GB915" s="14"/>
      <c r="GC915" s="16"/>
      <c r="GD915" s="14"/>
      <c r="GE915" s="12"/>
      <c r="GF915" s="14"/>
      <c r="GG915" s="16"/>
      <c r="GH915" s="14"/>
      <c r="GI915" s="12"/>
      <c r="GJ915" s="14"/>
      <c r="GK915" s="16"/>
      <c r="GL915" s="14"/>
      <c r="GM915" s="12"/>
      <c r="GN915" s="14"/>
      <c r="GO915" s="16"/>
      <c r="GP915" s="14"/>
      <c r="GQ915" s="12"/>
      <c r="GR915" s="14"/>
      <c r="GS915" s="16"/>
      <c r="GT915" s="14"/>
      <c r="GU915" s="12"/>
      <c r="GV915" s="14"/>
      <c r="GW915" s="16"/>
      <c r="GX915" s="14"/>
      <c r="GY915" s="12"/>
      <c r="GZ915" s="14"/>
      <c r="HA915" s="16"/>
      <c r="HB915" s="14"/>
      <c r="HC915" s="12"/>
      <c r="HD915" s="12"/>
      <c r="HE915" s="14"/>
      <c r="HF915" s="16"/>
      <c r="HG915" s="14"/>
      <c r="HH915" s="12" t="s">
        <v>320</v>
      </c>
      <c r="HI915" s="12" t="s">
        <v>327</v>
      </c>
      <c r="HJ915" s="12">
        <v>2016</v>
      </c>
      <c r="HK915" s="12" t="s">
        <v>320</v>
      </c>
      <c r="HL915" s="12" t="s">
        <v>320</v>
      </c>
      <c r="HM915" s="12" t="s">
        <v>415</v>
      </c>
      <c r="HN915" s="12">
        <v>2017</v>
      </c>
      <c r="HO915" s="12" t="s">
        <v>13842</v>
      </c>
      <c r="HP915" s="12" t="s">
        <v>418</v>
      </c>
      <c r="HQ915" s="12"/>
      <c r="HR915" s="12"/>
      <c r="HS915" s="12"/>
      <c r="HT915" s="12"/>
      <c r="HU915" s="12"/>
      <c r="HV915" s="12"/>
      <c r="HW915" s="12"/>
      <c r="HX915" s="12"/>
      <c r="HY915" s="12"/>
      <c r="HZ915" s="12" t="s">
        <v>363</v>
      </c>
      <c r="IA915" s="12"/>
      <c r="IB915" s="12" t="s">
        <v>333</v>
      </c>
      <c r="IC915" s="12"/>
      <c r="ID915" s="12" t="s">
        <v>334</v>
      </c>
      <c r="IE915" s="12" t="s">
        <v>335</v>
      </c>
      <c r="IF915" s="12" t="s">
        <v>320</v>
      </c>
      <c r="IG915" s="12" t="s">
        <v>320</v>
      </c>
      <c r="IH915" s="12" t="s">
        <v>320</v>
      </c>
      <c r="II915" s="12" t="s">
        <v>320</v>
      </c>
      <c r="IJ915" s="12" t="str">
        <f t="shared" si="602"/>
        <v>2. Sensitive</v>
      </c>
      <c r="IK915" s="12">
        <f t="shared" si="604"/>
        <v>4</v>
      </c>
      <c r="IL915" s="12" t="s">
        <v>723</v>
      </c>
      <c r="IM915" s="12" t="s">
        <v>320</v>
      </c>
      <c r="IN915" s="12" t="s">
        <v>320</v>
      </c>
      <c r="IO915" s="12" t="s">
        <v>319</v>
      </c>
      <c r="IP915" s="12" t="s">
        <v>319</v>
      </c>
      <c r="IQ915" s="12" t="str">
        <f t="shared" si="605"/>
        <v>0. Unaware</v>
      </c>
      <c r="IR915" s="12">
        <f t="shared" si="606"/>
        <v>2</v>
      </c>
      <c r="IS915" s="12" t="s">
        <v>337</v>
      </c>
      <c r="IT915" s="12" t="s">
        <v>320</v>
      </c>
      <c r="IU915" s="12" t="s">
        <v>320</v>
      </c>
      <c r="IV915" s="12" t="s">
        <v>319</v>
      </c>
      <c r="IW915" s="11" t="str">
        <f t="shared" si="607"/>
        <v>1. Neutral</v>
      </c>
      <c r="IX915" s="12">
        <f t="shared" si="608"/>
        <v>2</v>
      </c>
      <c r="IY915" s="12" t="s">
        <v>338</v>
      </c>
      <c r="IZ915" s="12" t="s">
        <v>432</v>
      </c>
      <c r="JA915" s="12"/>
      <c r="JB915" s="12"/>
      <c r="JC915" s="12"/>
      <c r="JD915" s="12"/>
      <c r="JE915" s="12" t="s">
        <v>420</v>
      </c>
      <c r="JF915" s="12"/>
      <c r="JG915" s="12" t="s">
        <v>13792</v>
      </c>
      <c r="JH915" s="12"/>
      <c r="JI915" s="12"/>
      <c r="JJ915" s="12"/>
      <c r="JK915" s="12"/>
      <c r="JL915" s="12"/>
      <c r="JM915" s="12"/>
      <c r="JN915" s="12"/>
      <c r="JO915" s="12"/>
      <c r="JP915" s="15">
        <f t="shared" si="609"/>
        <v>71180</v>
      </c>
      <c r="JQ915" s="15">
        <f t="shared" si="610"/>
        <v>86442</v>
      </c>
      <c r="JR915" s="279">
        <f t="shared" si="611"/>
        <v>1.2144141612812587</v>
      </c>
      <c r="JS915" s="17">
        <f t="shared" si="612"/>
        <v>0.52726889575723512</v>
      </c>
      <c r="JT915" s="18">
        <f t="shared" si="613"/>
        <v>0.60537701580250336</v>
      </c>
      <c r="JU915" s="280">
        <f t="shared" si="614"/>
        <v>37531</v>
      </c>
      <c r="JV915" s="280">
        <f t="shared" si="615"/>
        <v>52330</v>
      </c>
      <c r="JW915" s="319">
        <f t="shared" si="616"/>
        <v>1</v>
      </c>
      <c r="JX915" s="15">
        <f t="shared" si="617"/>
        <v>71180</v>
      </c>
      <c r="JY915" s="15">
        <f t="shared" si="618"/>
        <v>86442</v>
      </c>
      <c r="JZ915" s="19">
        <f t="shared" si="619"/>
        <v>1.2144141612812587</v>
      </c>
      <c r="KA915" s="52" t="str">
        <f t="shared" si="620"/>
        <v/>
      </c>
      <c r="KB915" s="15">
        <f t="shared" si="621"/>
        <v>0</v>
      </c>
      <c r="KC915" s="15">
        <f t="shared" si="622"/>
        <v>0</v>
      </c>
      <c r="KD915" s="20" t="str">
        <f t="shared" si="623"/>
        <v/>
      </c>
      <c r="KE915" s="52" t="str">
        <f t="shared" si="624"/>
        <v/>
      </c>
      <c r="KF915" s="15">
        <f t="shared" si="625"/>
        <v>0</v>
      </c>
      <c r="KG915" s="15">
        <f t="shared" si="626"/>
        <v>0</v>
      </c>
      <c r="KH915" s="21" t="str">
        <f t="shared" si="627"/>
        <v/>
      </c>
      <c r="KI915" s="52" t="str">
        <f t="shared" si="628"/>
        <v/>
      </c>
      <c r="KJ915" s="15">
        <f t="shared" si="629"/>
        <v>0</v>
      </c>
      <c r="KK915" s="15">
        <f t="shared" si="630"/>
        <v>0</v>
      </c>
      <c r="KL915" s="19" t="str">
        <f t="shared" si="631"/>
        <v/>
      </c>
      <c r="KM915" s="52" t="str">
        <f t="shared" si="632"/>
        <v/>
      </c>
      <c r="KN915" s="22">
        <f t="shared" si="633"/>
        <v>0</v>
      </c>
      <c r="KO915" s="22">
        <f t="shared" si="634"/>
        <v>0</v>
      </c>
      <c r="KP915" s="19" t="str">
        <f t="shared" si="635"/>
        <v/>
      </c>
      <c r="KQ915" s="11" t="str">
        <f t="shared" si="636"/>
        <v>2. Sensitive</v>
      </c>
      <c r="KR915" s="11" t="str">
        <f t="shared" si="637"/>
        <v>0. Unaware</v>
      </c>
      <c r="KS915" s="11" t="str">
        <f t="shared" si="638"/>
        <v>1. Neutral</v>
      </c>
      <c r="KT915" s="11" t="str">
        <f t="shared" si="639"/>
        <v>It did not develop any specific innovation</v>
      </c>
      <c r="KU915" s="11" t="str">
        <f t="shared" si="640"/>
        <v>Little or no advocacy</v>
      </c>
      <c r="KV915" s="11" t="str">
        <f t="shared" si="641"/>
        <v>It did not take tested solutions to scale</v>
      </c>
      <c r="KW915" s="11" t="str">
        <f t="shared" si="642"/>
        <v>Yemen - Emergency WASH and Household NFI assistance to vulnerable IDPs and Host Communities in Taiz Governorate</v>
      </c>
      <c r="KX915" s="11" t="str">
        <f t="shared" si="643"/>
        <v>Emergency WASH and Household NFI assistance to vulnerable IDPs and Host Communities in Taiz Governorate</v>
      </c>
      <c r="KY915" s="11" t="str">
        <f t="shared" si="644"/>
        <v>Yemen</v>
      </c>
      <c r="KZ915" s="12">
        <v>916</v>
      </c>
    </row>
    <row r="916" spans="1:312" x14ac:dyDescent="0.3">
      <c r="A916" s="12" t="s">
        <v>13783</v>
      </c>
      <c r="B916" s="12" t="s">
        <v>602</v>
      </c>
      <c r="C916" s="12"/>
      <c r="D916" s="12" t="s">
        <v>13904</v>
      </c>
      <c r="E916" s="277" t="str">
        <f t="shared" si="603"/>
        <v>Yemen</v>
      </c>
      <c r="F916" s="12" t="s">
        <v>13905</v>
      </c>
      <c r="G916" s="12" t="s">
        <v>379</v>
      </c>
      <c r="H916" s="12" t="s">
        <v>310</v>
      </c>
      <c r="I916" s="12" t="s">
        <v>655</v>
      </c>
      <c r="J916" s="281" t="s">
        <v>14624</v>
      </c>
      <c r="K916" s="12"/>
      <c r="L916" s="12"/>
      <c r="M916" s="12"/>
      <c r="N916" s="12"/>
      <c r="O916" s="12"/>
      <c r="P916" s="12"/>
      <c r="Q916" s="12"/>
      <c r="R916" s="12"/>
      <c r="S916" s="12"/>
      <c r="T916" s="12"/>
      <c r="U916" s="12"/>
      <c r="V916" s="12"/>
      <c r="W916" s="12"/>
      <c r="X916" s="12"/>
      <c r="Y916" s="12"/>
      <c r="Z916" s="12"/>
      <c r="AA916" s="12"/>
      <c r="AB916" s="12"/>
      <c r="AC916" s="12"/>
      <c r="AD916" s="12"/>
      <c r="BD916" s="13">
        <v>42644</v>
      </c>
      <c r="BE916" s="13">
        <v>43008</v>
      </c>
      <c r="BF916" s="12"/>
      <c r="BG916" s="12" t="s">
        <v>908</v>
      </c>
      <c r="BH916" s="14">
        <v>2450023</v>
      </c>
      <c r="BI916" s="12" t="s">
        <v>13817</v>
      </c>
      <c r="BJ916" s="12" t="s">
        <v>13818</v>
      </c>
      <c r="BK916" s="12" t="s">
        <v>13819</v>
      </c>
      <c r="BL916" s="12"/>
      <c r="BM916" s="12"/>
      <c r="BN916" s="12"/>
      <c r="BO916" s="12" t="s">
        <v>320</v>
      </c>
      <c r="BP916" s="12" t="s">
        <v>319</v>
      </c>
      <c r="BQ916" s="12" t="s">
        <v>319</v>
      </c>
      <c r="BR916" s="12" t="s">
        <v>13906</v>
      </c>
      <c r="BS916" s="12" t="s">
        <v>357</v>
      </c>
      <c r="BT916" s="12" t="s">
        <v>13907</v>
      </c>
      <c r="BU916" s="12" t="s">
        <v>13822</v>
      </c>
      <c r="BV916" s="14">
        <v>34410</v>
      </c>
      <c r="BW916" s="14">
        <v>35814</v>
      </c>
      <c r="BX916" s="14">
        <v>70224</v>
      </c>
      <c r="BY916" s="14">
        <v>53300</v>
      </c>
      <c r="BZ916" s="14">
        <v>55476</v>
      </c>
      <c r="CA916" s="14">
        <v>108776</v>
      </c>
      <c r="CB916" s="12" t="s">
        <v>13908</v>
      </c>
      <c r="CD916" s="14">
        <v>34410</v>
      </c>
      <c r="CE916" s="14">
        <v>35814</v>
      </c>
      <c r="CF916" s="14">
        <v>70224</v>
      </c>
      <c r="CG916" s="14">
        <v>52388</v>
      </c>
      <c r="CH916" s="14">
        <v>54526</v>
      </c>
      <c r="CI916" s="14">
        <v>106914</v>
      </c>
      <c r="CJ916" s="12" t="s">
        <v>319</v>
      </c>
      <c r="CK916" s="14"/>
      <c r="CL916" s="16"/>
      <c r="CM916" s="14"/>
      <c r="CN916" s="12" t="s">
        <v>320</v>
      </c>
      <c r="CO916" s="14">
        <v>10651</v>
      </c>
      <c r="CP916" s="16">
        <v>0.49</v>
      </c>
      <c r="CQ916" s="14"/>
      <c r="CR916" s="12" t="s">
        <v>319</v>
      </c>
      <c r="CS916" s="14"/>
      <c r="CT916" s="16"/>
      <c r="CU916" s="14"/>
      <c r="CV916" s="12" t="s">
        <v>319</v>
      </c>
      <c r="CW916" s="14"/>
      <c r="CX916" s="16"/>
      <c r="CY916" s="14"/>
      <c r="CZ916" s="12" t="s">
        <v>319</v>
      </c>
      <c r="DA916" s="14"/>
      <c r="DB916" s="16"/>
      <c r="DC916" s="14"/>
      <c r="DD916" s="12" t="s">
        <v>319</v>
      </c>
      <c r="DE916" s="14"/>
      <c r="DF916" s="16"/>
      <c r="DG916" s="14"/>
      <c r="DH916" s="12" t="s">
        <v>319</v>
      </c>
      <c r="DI916" s="14"/>
      <c r="DJ916" s="16"/>
      <c r="DK916" s="14"/>
      <c r="DL916" s="12" t="s">
        <v>319</v>
      </c>
      <c r="DM916" s="14"/>
      <c r="DN916" s="16"/>
      <c r="DO916" s="14"/>
      <c r="DP916" s="12" t="s">
        <v>319</v>
      </c>
      <c r="DQ916" s="14"/>
      <c r="DR916" s="16"/>
      <c r="DS916" s="14"/>
      <c r="DT916" s="12" t="s">
        <v>319</v>
      </c>
      <c r="DU916" s="14"/>
      <c r="DV916" s="16"/>
      <c r="DW916" s="14"/>
      <c r="DX916" s="12" t="s">
        <v>319</v>
      </c>
      <c r="DY916" s="14"/>
      <c r="DZ916" s="16"/>
      <c r="EA916" s="14"/>
      <c r="EB916" s="11" t="s">
        <v>320</v>
      </c>
      <c r="EC916" s="14">
        <v>59573</v>
      </c>
      <c r="ED916" s="16">
        <v>0.49</v>
      </c>
      <c r="EE916" s="14">
        <v>106914</v>
      </c>
      <c r="EF916" s="12"/>
      <c r="EG916" s="12"/>
      <c r="EH916" s="14"/>
      <c r="EI916" s="16"/>
      <c r="EJ916" s="14"/>
      <c r="EK916" s="14"/>
      <c r="EL916" s="14"/>
      <c r="EM916" s="14"/>
      <c r="EN916" s="14"/>
      <c r="EO916" s="14"/>
      <c r="EP916" s="14"/>
      <c r="EQ916" s="12"/>
      <c r="ER916" s="14"/>
      <c r="ES916" s="16"/>
      <c r="ET916" s="14"/>
      <c r="EU916" s="12"/>
      <c r="EV916" s="14"/>
      <c r="EW916" s="16"/>
      <c r="EX916" s="14"/>
      <c r="EY916" s="12"/>
      <c r="EZ916" s="14"/>
      <c r="FA916" s="16"/>
      <c r="FB916" s="14"/>
      <c r="FC916" s="12"/>
      <c r="FD916" s="14"/>
      <c r="FE916" s="16"/>
      <c r="FF916" s="14"/>
      <c r="FG916" s="12"/>
      <c r="FH916" s="14"/>
      <c r="FI916" s="16"/>
      <c r="FJ916" s="14"/>
      <c r="FK916" s="12"/>
      <c r="FL916" s="14"/>
      <c r="FM916" s="16"/>
      <c r="FN916" s="14"/>
      <c r="FO916" s="12"/>
      <c r="FP916" s="14"/>
      <c r="FQ916" s="16"/>
      <c r="FR916" s="14"/>
      <c r="FS916" s="12"/>
      <c r="FT916" s="14"/>
      <c r="FU916" s="16"/>
      <c r="FV916" s="14"/>
      <c r="FW916" s="12"/>
      <c r="FX916" s="14"/>
      <c r="FY916" s="16"/>
      <c r="FZ916" s="14"/>
      <c r="GA916" s="12"/>
      <c r="GB916" s="14"/>
      <c r="GC916" s="16"/>
      <c r="GD916" s="14"/>
      <c r="GE916" s="12"/>
      <c r="GF916" s="14"/>
      <c r="GG916" s="16"/>
      <c r="GH916" s="14"/>
      <c r="GI916" s="12"/>
      <c r="GJ916" s="14"/>
      <c r="GK916" s="16"/>
      <c r="GL916" s="14"/>
      <c r="GM916" s="12"/>
      <c r="GN916" s="14"/>
      <c r="GO916" s="16"/>
      <c r="GP916" s="14"/>
      <c r="GQ916" s="12"/>
      <c r="GR916" s="14"/>
      <c r="GS916" s="16"/>
      <c r="GT916" s="14"/>
      <c r="GU916" s="12"/>
      <c r="GV916" s="14"/>
      <c r="GW916" s="16"/>
      <c r="GX916" s="14"/>
      <c r="GY916" s="12"/>
      <c r="GZ916" s="14"/>
      <c r="HA916" s="16"/>
      <c r="HB916" s="14"/>
      <c r="HC916" s="12"/>
      <c r="HD916" s="12"/>
      <c r="HE916" s="14"/>
      <c r="HF916" s="16"/>
      <c r="HG916" s="14"/>
      <c r="HH916" s="12" t="s">
        <v>319</v>
      </c>
      <c r="HI916" s="12"/>
      <c r="HJ916" s="12"/>
      <c r="HK916" s="12"/>
      <c r="HL916" s="12" t="s">
        <v>320</v>
      </c>
      <c r="HM916" s="12" t="s">
        <v>619</v>
      </c>
      <c r="HN916" s="12">
        <v>2017</v>
      </c>
      <c r="HO916" s="12" t="s">
        <v>13909</v>
      </c>
      <c r="HP916" s="12" t="s">
        <v>418</v>
      </c>
      <c r="HQ916" s="12"/>
      <c r="HR916" s="12"/>
      <c r="HS916" s="12"/>
      <c r="HT916" s="12"/>
      <c r="HU916" s="12"/>
      <c r="HV916" s="12"/>
      <c r="HW916" s="12"/>
      <c r="HX916" s="12"/>
      <c r="HY916" s="12"/>
      <c r="HZ916" s="12" t="s">
        <v>363</v>
      </c>
      <c r="IA916" s="12"/>
      <c r="IB916" s="12" t="s">
        <v>333</v>
      </c>
      <c r="IC916" s="12"/>
      <c r="ID916" s="12" t="s">
        <v>334</v>
      </c>
      <c r="IE916" s="12" t="s">
        <v>335</v>
      </c>
      <c r="IF916" s="12" t="s">
        <v>320</v>
      </c>
      <c r="IG916" s="12" t="s">
        <v>320</v>
      </c>
      <c r="IH916" s="12" t="s">
        <v>320</v>
      </c>
      <c r="II916" s="12" t="s">
        <v>320</v>
      </c>
      <c r="IJ916" s="12" t="str">
        <f t="shared" si="602"/>
        <v>2. Sensitive</v>
      </c>
      <c r="IK916" s="12">
        <f t="shared" si="604"/>
        <v>4</v>
      </c>
      <c r="IL916" s="12" t="s">
        <v>723</v>
      </c>
      <c r="IM916" s="12" t="s">
        <v>320</v>
      </c>
      <c r="IN916" s="12" t="s">
        <v>320</v>
      </c>
      <c r="IO916" s="12" t="s">
        <v>319</v>
      </c>
      <c r="IP916" s="12" t="s">
        <v>319</v>
      </c>
      <c r="IQ916" s="12" t="str">
        <f t="shared" si="605"/>
        <v>0. Unaware</v>
      </c>
      <c r="IR916" s="12">
        <f t="shared" si="606"/>
        <v>2</v>
      </c>
      <c r="IS916" s="12" t="s">
        <v>337</v>
      </c>
      <c r="IT916" s="12" t="s">
        <v>320</v>
      </c>
      <c r="IU916" s="12" t="s">
        <v>320</v>
      </c>
      <c r="IV916" s="12" t="s">
        <v>319</v>
      </c>
      <c r="IW916" s="11" t="str">
        <f t="shared" si="607"/>
        <v>1. Neutral</v>
      </c>
      <c r="IX916" s="12">
        <f t="shared" si="608"/>
        <v>2</v>
      </c>
      <c r="IY916" s="12" t="s">
        <v>338</v>
      </c>
      <c r="IZ916" s="12" t="s">
        <v>339</v>
      </c>
      <c r="JA916" s="12"/>
      <c r="JB916" s="12"/>
      <c r="JC916" s="12"/>
      <c r="JD916" s="12"/>
      <c r="JE916" s="12" t="s">
        <v>420</v>
      </c>
      <c r="JF916" s="12"/>
      <c r="JG916" s="12" t="s">
        <v>13792</v>
      </c>
      <c r="JH916" s="12"/>
      <c r="JI916" s="12"/>
      <c r="JJ916" s="12"/>
      <c r="JK916" s="12"/>
      <c r="JL916" s="12"/>
      <c r="JM916" s="12"/>
      <c r="JN916" s="12"/>
      <c r="JO916" s="12"/>
      <c r="JP916" s="15">
        <f t="shared" si="609"/>
        <v>70224</v>
      </c>
      <c r="JQ916" s="15">
        <f t="shared" si="610"/>
        <v>106914</v>
      </c>
      <c r="JR916" s="279">
        <f t="shared" si="611"/>
        <v>1.5224709501025291</v>
      </c>
      <c r="JS916" s="17">
        <f t="shared" si="612"/>
        <v>0.49000341763499661</v>
      </c>
      <c r="JT916" s="18">
        <f t="shared" si="613"/>
        <v>0.49000130946368109</v>
      </c>
      <c r="JU916" s="280">
        <f t="shared" si="614"/>
        <v>34410</v>
      </c>
      <c r="JV916" s="280">
        <f t="shared" si="615"/>
        <v>52388</v>
      </c>
      <c r="JW916" s="319">
        <f t="shared" si="616"/>
        <v>1</v>
      </c>
      <c r="JX916" s="15">
        <f t="shared" si="617"/>
        <v>70224</v>
      </c>
      <c r="JY916" s="15">
        <f t="shared" si="618"/>
        <v>106914</v>
      </c>
      <c r="JZ916" s="19">
        <f t="shared" si="619"/>
        <v>1.5224709501025291</v>
      </c>
      <c r="KA916" s="52" t="str">
        <f t="shared" si="620"/>
        <v/>
      </c>
      <c r="KB916" s="15">
        <f t="shared" si="621"/>
        <v>0</v>
      </c>
      <c r="KC916" s="15">
        <f t="shared" si="622"/>
        <v>0</v>
      </c>
      <c r="KD916" s="20" t="str">
        <f t="shared" si="623"/>
        <v/>
      </c>
      <c r="KE916" s="52" t="str">
        <f t="shared" si="624"/>
        <v/>
      </c>
      <c r="KF916" s="15">
        <f t="shared" si="625"/>
        <v>0</v>
      </c>
      <c r="KG916" s="15">
        <f t="shared" si="626"/>
        <v>0</v>
      </c>
      <c r="KH916" s="21" t="str">
        <f t="shared" si="627"/>
        <v/>
      </c>
      <c r="KI916" s="52" t="str">
        <f t="shared" si="628"/>
        <v/>
      </c>
      <c r="KJ916" s="15">
        <f t="shared" si="629"/>
        <v>0</v>
      </c>
      <c r="KK916" s="15">
        <f t="shared" si="630"/>
        <v>0</v>
      </c>
      <c r="KL916" s="19" t="str">
        <f t="shared" si="631"/>
        <v/>
      </c>
      <c r="KM916" s="52" t="str">
        <f t="shared" si="632"/>
        <v/>
      </c>
      <c r="KN916" s="22">
        <f t="shared" si="633"/>
        <v>0</v>
      </c>
      <c r="KO916" s="22">
        <f t="shared" si="634"/>
        <v>0</v>
      </c>
      <c r="KP916" s="19" t="str">
        <f t="shared" si="635"/>
        <v/>
      </c>
      <c r="KQ916" s="11" t="str">
        <f t="shared" si="636"/>
        <v>2. Sensitive</v>
      </c>
      <c r="KR916" s="11" t="str">
        <f t="shared" si="637"/>
        <v>0. Unaware</v>
      </c>
      <c r="KS916" s="11" t="str">
        <f t="shared" si="638"/>
        <v>1. Neutral</v>
      </c>
      <c r="KT916" s="11" t="str">
        <f t="shared" si="639"/>
        <v>It did not develop any specific innovation</v>
      </c>
      <c r="KU916" s="11" t="str">
        <f t="shared" si="640"/>
        <v>Little or no advocacy</v>
      </c>
      <c r="KV916" s="11" t="str">
        <f t="shared" si="641"/>
        <v>It did not take tested solutions to scale</v>
      </c>
      <c r="KW916" s="11" t="str">
        <f t="shared" si="642"/>
        <v>Yemen - Emergency WASH, Economic Assistance and Humanitarian Coordination in Yemen</v>
      </c>
      <c r="KX916" s="11" t="str">
        <f t="shared" si="643"/>
        <v>Emergency WASH, Economic Assistance and Humanitarian Coordination in Yemen</v>
      </c>
      <c r="KY916" s="11" t="str">
        <f t="shared" si="644"/>
        <v>Yemen</v>
      </c>
      <c r="KZ916" s="287">
        <v>917</v>
      </c>
    </row>
    <row r="917" spans="1:312" x14ac:dyDescent="0.3">
      <c r="A917" s="282" t="s">
        <v>13783</v>
      </c>
      <c r="B917" s="282" t="s">
        <v>602</v>
      </c>
      <c r="C917" s="282"/>
      <c r="D917" s="282" t="s">
        <v>13875</v>
      </c>
      <c r="E917" s="277" t="str">
        <f t="shared" si="603"/>
        <v>Yemen</v>
      </c>
      <c r="F917" s="282" t="s">
        <v>13876</v>
      </c>
      <c r="G917" s="282" t="s">
        <v>608</v>
      </c>
      <c r="H917" s="282" t="s">
        <v>384</v>
      </c>
      <c r="I917" s="282" t="s">
        <v>381</v>
      </c>
      <c r="J917" s="281" t="s">
        <v>7763</v>
      </c>
      <c r="K917" s="282"/>
      <c r="L917" s="282"/>
      <c r="M917" s="282"/>
      <c r="N917" s="282"/>
      <c r="O917" s="282"/>
      <c r="P917" s="282"/>
      <c r="Q917" s="282"/>
      <c r="R917" s="282"/>
      <c r="S917" s="282"/>
      <c r="T917" s="282"/>
      <c r="U917" s="282"/>
      <c r="V917" s="282"/>
      <c r="W917" s="282"/>
      <c r="X917" s="282"/>
      <c r="Y917" s="282"/>
      <c r="Z917" s="282"/>
      <c r="AA917" s="282"/>
      <c r="AB917" s="282"/>
      <c r="AC917" s="282"/>
      <c r="AD917" s="282"/>
      <c r="AE917" s="282"/>
      <c r="AF917" s="282"/>
      <c r="AG917" s="282"/>
      <c r="AH917" s="282"/>
      <c r="AI917" s="282"/>
      <c r="AJ917" s="282"/>
      <c r="AK917" s="282"/>
      <c r="AL917" s="282"/>
      <c r="AM917" s="282"/>
      <c r="AN917" s="282"/>
      <c r="AO917" s="282"/>
      <c r="AP917" s="282"/>
      <c r="AQ917" s="282"/>
      <c r="AR917" s="282"/>
      <c r="AS917" s="282"/>
      <c r="AT917" s="282"/>
      <c r="AU917" s="282"/>
      <c r="AV917" s="282"/>
      <c r="AW917" s="282"/>
      <c r="AX917" s="282"/>
      <c r="AY917" s="282"/>
      <c r="AZ917" s="282"/>
      <c r="BA917" s="282"/>
      <c r="BB917" s="282"/>
      <c r="BC917" s="282"/>
      <c r="BD917" s="283">
        <v>42491</v>
      </c>
      <c r="BE917" s="283">
        <v>42704</v>
      </c>
      <c r="BF917" s="283">
        <v>42774</v>
      </c>
      <c r="BG917" s="283" t="s">
        <v>817</v>
      </c>
      <c r="BH917" s="284">
        <v>221739</v>
      </c>
      <c r="BI917" s="282" t="s">
        <v>13877</v>
      </c>
      <c r="BJ917" s="282" t="s">
        <v>13878</v>
      </c>
      <c r="BK917" s="282" t="s">
        <v>13797</v>
      </c>
      <c r="BL917" s="282"/>
      <c r="BM917" s="282"/>
      <c r="BN917" s="282"/>
      <c r="BO917" s="282" t="s">
        <v>320</v>
      </c>
      <c r="BP917" s="282" t="s">
        <v>319</v>
      </c>
      <c r="BQ917" s="282" t="s">
        <v>319</v>
      </c>
      <c r="BR917" s="282" t="s">
        <v>13879</v>
      </c>
      <c r="BS917" s="282" t="s">
        <v>357</v>
      </c>
      <c r="BT917" s="282" t="s">
        <v>13880</v>
      </c>
      <c r="BU917" s="282" t="s">
        <v>13822</v>
      </c>
      <c r="BV917" s="284">
        <v>3818</v>
      </c>
      <c r="BW917" s="284">
        <v>3973</v>
      </c>
      <c r="BX917" s="284">
        <v>7791</v>
      </c>
      <c r="BY917" s="284">
        <v>16490</v>
      </c>
      <c r="BZ917" s="284">
        <v>17162</v>
      </c>
      <c r="CA917" s="284">
        <v>33652</v>
      </c>
      <c r="CB917" s="285" t="s">
        <v>13881</v>
      </c>
      <c r="CC917" s="285"/>
      <c r="CD917" s="284">
        <v>3896</v>
      </c>
      <c r="CE917" s="284">
        <v>3907</v>
      </c>
      <c r="CF917" s="284">
        <v>7803</v>
      </c>
      <c r="CG917" s="284">
        <v>16490</v>
      </c>
      <c r="CH917" s="284">
        <v>17162</v>
      </c>
      <c r="CI917" s="284">
        <v>33652</v>
      </c>
      <c r="CJ917" s="282" t="s">
        <v>319</v>
      </c>
      <c r="CK917" s="284"/>
      <c r="CL917" s="286"/>
      <c r="CM917" s="284"/>
      <c r="CN917" s="287" t="s">
        <v>320</v>
      </c>
      <c r="CO917" s="284">
        <v>7803</v>
      </c>
      <c r="CP917" s="286">
        <v>0.499</v>
      </c>
      <c r="CQ917" s="284">
        <v>33652</v>
      </c>
      <c r="CR917" s="282" t="s">
        <v>319</v>
      </c>
      <c r="CS917" s="284"/>
      <c r="CT917" s="286"/>
      <c r="CU917" s="284"/>
      <c r="CV917" s="289" t="s">
        <v>320</v>
      </c>
      <c r="CW917" s="300">
        <v>7803</v>
      </c>
      <c r="CX917" s="308">
        <v>0.499</v>
      </c>
      <c r="CY917" s="300">
        <v>33652</v>
      </c>
      <c r="CZ917" s="282" t="s">
        <v>319</v>
      </c>
      <c r="DA917" s="284"/>
      <c r="DB917" s="286"/>
      <c r="DC917" s="284"/>
      <c r="DD917" s="287" t="s">
        <v>319</v>
      </c>
      <c r="DE917" s="284"/>
      <c r="DF917" s="286"/>
      <c r="DG917" s="284"/>
      <c r="DH917" s="282" t="s">
        <v>319</v>
      </c>
      <c r="DI917" s="284"/>
      <c r="DJ917" s="286"/>
      <c r="DK917" s="284"/>
      <c r="DL917" s="282" t="s">
        <v>319</v>
      </c>
      <c r="DM917" s="284"/>
      <c r="DN917" s="286"/>
      <c r="DO917" s="284"/>
      <c r="DP917" s="282" t="s">
        <v>319</v>
      </c>
      <c r="DQ917" s="284"/>
      <c r="DR917" s="286"/>
      <c r="DS917" s="284"/>
      <c r="DT917" s="282" t="s">
        <v>319</v>
      </c>
      <c r="DU917" s="284"/>
      <c r="DV917" s="286"/>
      <c r="DW917" s="284"/>
      <c r="DX917" s="282" t="s">
        <v>319</v>
      </c>
      <c r="DY917" s="284"/>
      <c r="DZ917" s="286"/>
      <c r="EA917" s="284"/>
      <c r="EB917" s="282" t="s">
        <v>319</v>
      </c>
      <c r="EC917" s="284"/>
      <c r="ED917" s="286"/>
      <c r="EE917" s="284"/>
      <c r="EF917" s="285"/>
      <c r="EG917" s="287"/>
      <c r="EH917" s="284"/>
      <c r="EI917" s="286"/>
      <c r="EJ917" s="284"/>
      <c r="EK917" s="284"/>
      <c r="EL917" s="284"/>
      <c r="EM917" s="284"/>
      <c r="EN917" s="284"/>
      <c r="EO917" s="284"/>
      <c r="EP917" s="284"/>
      <c r="EQ917" s="282"/>
      <c r="ER917" s="284"/>
      <c r="ES917" s="286"/>
      <c r="ET917" s="284"/>
      <c r="EU917" s="305"/>
      <c r="EV917" s="300"/>
      <c r="EW917" s="308"/>
      <c r="EX917" s="300"/>
      <c r="EY917" s="282"/>
      <c r="EZ917" s="284"/>
      <c r="FA917" s="286"/>
      <c r="FB917" s="284"/>
      <c r="FC917" s="282"/>
      <c r="FD917" s="284"/>
      <c r="FE917" s="286"/>
      <c r="FF917" s="284"/>
      <c r="FG917" s="282"/>
      <c r="FH917" s="284"/>
      <c r="FI917" s="286"/>
      <c r="FJ917" s="284"/>
      <c r="FK917" s="282"/>
      <c r="FL917" s="284"/>
      <c r="FM917" s="286"/>
      <c r="FN917" s="284"/>
      <c r="FO917" s="305"/>
      <c r="FP917" s="300"/>
      <c r="FQ917" s="308"/>
      <c r="FR917" s="300"/>
      <c r="FS917" s="282"/>
      <c r="FT917" s="284"/>
      <c r="FU917" s="286"/>
      <c r="FV917" s="284"/>
      <c r="FW917" s="282"/>
      <c r="FX917" s="284"/>
      <c r="FY917" s="286"/>
      <c r="FZ917" s="284"/>
      <c r="GA917" s="282"/>
      <c r="GB917" s="284"/>
      <c r="GC917" s="286"/>
      <c r="GD917" s="284"/>
      <c r="GE917" s="282"/>
      <c r="GF917" s="284"/>
      <c r="GG917" s="286"/>
      <c r="GH917" s="284"/>
      <c r="GI917" s="282"/>
      <c r="GJ917" s="284"/>
      <c r="GK917" s="286"/>
      <c r="GL917" s="284"/>
      <c r="GM917" s="282"/>
      <c r="GN917" s="284"/>
      <c r="GO917" s="286"/>
      <c r="GP917" s="284"/>
      <c r="GQ917" s="282"/>
      <c r="GR917" s="284"/>
      <c r="GS917" s="286"/>
      <c r="GT917" s="284"/>
      <c r="GU917" s="282"/>
      <c r="GV917" s="284"/>
      <c r="GW917" s="286"/>
      <c r="GX917" s="284"/>
      <c r="GY917" s="282"/>
      <c r="GZ917" s="284"/>
      <c r="HA917" s="286"/>
      <c r="HB917" s="284"/>
      <c r="HC917" s="282"/>
      <c r="HD917" s="282"/>
      <c r="HE917" s="284"/>
      <c r="HF917" s="286"/>
      <c r="HG917" s="284"/>
      <c r="HH917" s="282" t="s">
        <v>319</v>
      </c>
      <c r="HI917" s="282"/>
      <c r="HJ917" s="282"/>
      <c r="HK917" s="282" t="s">
        <v>319</v>
      </c>
      <c r="HL917" s="282" t="s">
        <v>319</v>
      </c>
      <c r="HM917" s="282"/>
      <c r="HN917" s="282"/>
      <c r="HO917" s="282"/>
      <c r="HP917" s="282" t="s">
        <v>418</v>
      </c>
      <c r="HQ917" s="282"/>
      <c r="HR917" s="282"/>
      <c r="HS917" s="282"/>
      <c r="HT917" s="282"/>
      <c r="HU917" s="282"/>
      <c r="HV917" s="282"/>
      <c r="HW917" s="282"/>
      <c r="HX917" s="282"/>
      <c r="HY917" s="282"/>
      <c r="HZ917" s="282" t="s">
        <v>363</v>
      </c>
      <c r="IA917" s="282"/>
      <c r="IB917" s="282" t="s">
        <v>333</v>
      </c>
      <c r="IC917" s="282"/>
      <c r="ID917" s="282" t="s">
        <v>334</v>
      </c>
      <c r="IE917" s="282" t="s">
        <v>335</v>
      </c>
      <c r="IF917" s="282" t="s">
        <v>320</v>
      </c>
      <c r="IG917" s="282" t="s">
        <v>320</v>
      </c>
      <c r="IH917" s="282" t="s">
        <v>320</v>
      </c>
      <c r="II917" s="282" t="s">
        <v>320</v>
      </c>
      <c r="IJ917" s="12" t="str">
        <f t="shared" si="602"/>
        <v>2. Sensitive</v>
      </c>
      <c r="IK917" s="287">
        <f t="shared" si="604"/>
        <v>4</v>
      </c>
      <c r="IL917" s="282" t="s">
        <v>723</v>
      </c>
      <c r="IM917" s="282" t="s">
        <v>320</v>
      </c>
      <c r="IN917" s="282" t="s">
        <v>320</v>
      </c>
      <c r="IO917" s="282" t="s">
        <v>319</v>
      </c>
      <c r="IP917" s="282" t="s">
        <v>319</v>
      </c>
      <c r="IQ917" s="287" t="str">
        <f t="shared" si="605"/>
        <v>0. Unaware</v>
      </c>
      <c r="IR917" s="287">
        <f t="shared" si="606"/>
        <v>2</v>
      </c>
      <c r="IS917" s="282" t="s">
        <v>337</v>
      </c>
      <c r="IT917" s="282" t="s">
        <v>320</v>
      </c>
      <c r="IU917" s="282" t="s">
        <v>320</v>
      </c>
      <c r="IV917" s="282" t="s">
        <v>319</v>
      </c>
      <c r="IW917" s="11" t="str">
        <f t="shared" si="607"/>
        <v>1. Neutral</v>
      </c>
      <c r="IX917" s="287">
        <f t="shared" si="608"/>
        <v>2</v>
      </c>
      <c r="IY917" s="282" t="s">
        <v>338</v>
      </c>
      <c r="IZ917" s="282" t="s">
        <v>339</v>
      </c>
      <c r="JA917" s="282"/>
      <c r="JB917" s="282"/>
      <c r="JC917" s="282"/>
      <c r="JD917" s="282"/>
      <c r="JE917" s="282" t="s">
        <v>420</v>
      </c>
      <c r="JF917" s="282"/>
      <c r="JG917" s="282" t="s">
        <v>13792</v>
      </c>
      <c r="JH917" s="282"/>
      <c r="JI917" s="282"/>
      <c r="JJ917" s="282"/>
      <c r="JK917" s="282"/>
      <c r="JL917" s="282"/>
      <c r="JM917" s="282"/>
      <c r="JN917" s="282"/>
      <c r="JO917" s="282"/>
      <c r="JP917" s="15">
        <f t="shared" si="609"/>
        <v>7803</v>
      </c>
      <c r="JQ917" s="15">
        <f t="shared" si="610"/>
        <v>33652</v>
      </c>
      <c r="JR917" s="279">
        <f t="shared" si="611"/>
        <v>4.3127002434960913</v>
      </c>
      <c r="JS917" s="17">
        <f t="shared" si="612"/>
        <v>0.49929514289375881</v>
      </c>
      <c r="JT917" s="18">
        <f t="shared" si="613"/>
        <v>0.49001545227623916</v>
      </c>
      <c r="JU917" s="280">
        <f t="shared" si="614"/>
        <v>3896</v>
      </c>
      <c r="JV917" s="280">
        <f t="shared" si="615"/>
        <v>16490</v>
      </c>
      <c r="JW917" s="319">
        <f t="shared" si="616"/>
        <v>1</v>
      </c>
      <c r="JX917" s="15">
        <f t="shared" si="617"/>
        <v>7803</v>
      </c>
      <c r="JY917" s="15">
        <f t="shared" si="618"/>
        <v>33652</v>
      </c>
      <c r="JZ917" s="19">
        <f t="shared" si="619"/>
        <v>4.3127002434960913</v>
      </c>
      <c r="KA917" s="52">
        <f t="shared" si="620"/>
        <v>1</v>
      </c>
      <c r="KB917" s="15">
        <f t="shared" si="621"/>
        <v>7803</v>
      </c>
      <c r="KC917" s="15">
        <f t="shared" si="622"/>
        <v>33652</v>
      </c>
      <c r="KD917" s="20">
        <f t="shared" si="623"/>
        <v>4.3127002434960913</v>
      </c>
      <c r="KE917" s="52" t="str">
        <f t="shared" si="624"/>
        <v/>
      </c>
      <c r="KF917" s="15">
        <f t="shared" si="625"/>
        <v>0</v>
      </c>
      <c r="KG917" s="15">
        <f t="shared" si="626"/>
        <v>0</v>
      </c>
      <c r="KH917" s="21" t="str">
        <f t="shared" si="627"/>
        <v/>
      </c>
      <c r="KI917" s="52" t="str">
        <f t="shared" si="628"/>
        <v/>
      </c>
      <c r="KJ917" s="15">
        <f t="shared" si="629"/>
        <v>0</v>
      </c>
      <c r="KK917" s="15">
        <f t="shared" si="630"/>
        <v>0</v>
      </c>
      <c r="KL917" s="19" t="str">
        <f t="shared" si="631"/>
        <v/>
      </c>
      <c r="KM917" s="52" t="str">
        <f t="shared" si="632"/>
        <v/>
      </c>
      <c r="KN917" s="22">
        <f t="shared" si="633"/>
        <v>0</v>
      </c>
      <c r="KO917" s="22">
        <f t="shared" si="634"/>
        <v>0</v>
      </c>
      <c r="KP917" s="19" t="str">
        <f t="shared" si="635"/>
        <v/>
      </c>
      <c r="KQ917" s="11" t="str">
        <f t="shared" si="636"/>
        <v>2. Sensitive</v>
      </c>
      <c r="KR917" s="11" t="str">
        <f t="shared" si="637"/>
        <v>0. Unaware</v>
      </c>
      <c r="KS917" s="11" t="str">
        <f t="shared" si="638"/>
        <v>1. Neutral</v>
      </c>
      <c r="KT917" s="11" t="str">
        <f t="shared" si="639"/>
        <v>It did not develop any specific innovation</v>
      </c>
      <c r="KU917" s="11" t="str">
        <f t="shared" si="640"/>
        <v>Little or no advocacy</v>
      </c>
      <c r="KV917" s="11" t="str">
        <f t="shared" si="641"/>
        <v>It did not take tested solutions to scale</v>
      </c>
      <c r="KW917" s="11" t="str">
        <f t="shared" si="642"/>
        <v>Yemen - Enhanced Rural Resilience in Yemen project (ERRY) in Abyan and Lahj</v>
      </c>
      <c r="KX917" s="11" t="str">
        <f t="shared" si="643"/>
        <v>Enhanced Rural Resilience in Yemen project (ERRY) in Abyan and Lahj</v>
      </c>
      <c r="KY917" s="11" t="str">
        <f t="shared" si="644"/>
        <v>Yemen</v>
      </c>
      <c r="KZ917" s="287">
        <v>918</v>
      </c>
    </row>
    <row r="918" spans="1:312" x14ac:dyDescent="0.3">
      <c r="A918" s="12" t="s">
        <v>13783</v>
      </c>
      <c r="B918" s="12" t="s">
        <v>602</v>
      </c>
      <c r="C918" s="12"/>
      <c r="D918" s="12" t="s">
        <v>13889</v>
      </c>
      <c r="E918" s="277" t="str">
        <f t="shared" si="603"/>
        <v>Yemen</v>
      </c>
      <c r="F918" s="12" t="s">
        <v>13890</v>
      </c>
      <c r="G918" s="12" t="s">
        <v>376</v>
      </c>
      <c r="H918" s="12" t="s">
        <v>310</v>
      </c>
      <c r="I918" s="12" t="s">
        <v>377</v>
      </c>
      <c r="J918" s="281" t="s">
        <v>14582</v>
      </c>
      <c r="K918" s="12"/>
      <c r="L918" s="12"/>
      <c r="M918" s="12"/>
      <c r="N918" s="12"/>
      <c r="O918" s="12"/>
      <c r="P918" s="12"/>
      <c r="Q918" s="12"/>
      <c r="R918" s="12"/>
      <c r="S918" s="12"/>
      <c r="T918" s="12"/>
      <c r="U918" s="12"/>
      <c r="V918" s="12"/>
      <c r="W918" s="12"/>
      <c r="X918" s="12"/>
      <c r="Y918" s="12"/>
      <c r="Z918" s="12"/>
      <c r="AA918" s="12"/>
      <c r="AB918" s="12"/>
      <c r="AC918" s="12"/>
      <c r="AD918" s="12"/>
      <c r="BD918" s="13">
        <v>42444</v>
      </c>
      <c r="BE918" s="13">
        <v>42825</v>
      </c>
      <c r="BF918" s="12"/>
      <c r="BG918" s="12" t="s">
        <v>817</v>
      </c>
      <c r="BH918" s="14">
        <v>1300000</v>
      </c>
      <c r="BI918" s="12" t="s">
        <v>13817</v>
      </c>
      <c r="BJ918" s="12" t="s">
        <v>13818</v>
      </c>
      <c r="BK918" s="12" t="s">
        <v>13819</v>
      </c>
      <c r="BL918" s="12"/>
      <c r="BM918" s="12"/>
      <c r="BN918" s="12"/>
      <c r="BO918" s="12" t="s">
        <v>320</v>
      </c>
      <c r="BP918" s="12" t="s">
        <v>319</v>
      </c>
      <c r="BQ918" s="12" t="s">
        <v>319</v>
      </c>
      <c r="BR918" s="12" t="s">
        <v>13891</v>
      </c>
      <c r="BS918" s="12" t="s">
        <v>357</v>
      </c>
      <c r="BT918" s="12" t="s">
        <v>13892</v>
      </c>
      <c r="BU918" s="12" t="s">
        <v>13822</v>
      </c>
      <c r="BV918" s="14">
        <v>6517</v>
      </c>
      <c r="BW918" s="14">
        <v>5733</v>
      </c>
      <c r="BX918" s="14">
        <v>12250</v>
      </c>
      <c r="BY918" s="14"/>
      <c r="BZ918" s="14"/>
      <c r="CA918" s="14">
        <v>0</v>
      </c>
      <c r="CB918" s="12" t="s">
        <v>13865</v>
      </c>
      <c r="CD918" s="14">
        <v>20974</v>
      </c>
      <c r="CE918" s="14">
        <v>19533</v>
      </c>
      <c r="CF918" s="14">
        <v>40507</v>
      </c>
      <c r="CG918" s="14"/>
      <c r="CH918" s="14"/>
      <c r="CI918" s="14">
        <v>0</v>
      </c>
      <c r="CJ918" s="12" t="s">
        <v>319</v>
      </c>
      <c r="CK918" s="14"/>
      <c r="CL918" s="16"/>
      <c r="CM918" s="14"/>
      <c r="CN918" s="12" t="s">
        <v>320</v>
      </c>
      <c r="CO918" s="14">
        <v>5336</v>
      </c>
      <c r="CP918" s="16">
        <v>0.51</v>
      </c>
      <c r="CQ918" s="14"/>
      <c r="CR918" s="12" t="s">
        <v>319</v>
      </c>
      <c r="CS918" s="14"/>
      <c r="CT918" s="16"/>
      <c r="CU918" s="14"/>
      <c r="CV918" s="12" t="s">
        <v>319</v>
      </c>
      <c r="CW918" s="14"/>
      <c r="CX918" s="16"/>
      <c r="CY918" s="14"/>
      <c r="CZ918" s="12" t="s">
        <v>319</v>
      </c>
      <c r="DA918" s="14"/>
      <c r="DB918" s="16"/>
      <c r="DC918" s="14"/>
      <c r="DD918" s="12" t="s">
        <v>319</v>
      </c>
      <c r="DE918" s="14"/>
      <c r="DF918" s="16"/>
      <c r="DG918" s="14"/>
      <c r="DH918" s="12" t="s">
        <v>319</v>
      </c>
      <c r="DI918" s="14"/>
      <c r="DJ918" s="16"/>
      <c r="DK918" s="14"/>
      <c r="DL918" s="12" t="s">
        <v>319</v>
      </c>
      <c r="DM918" s="14"/>
      <c r="DN918" s="16"/>
      <c r="DO918" s="14"/>
      <c r="DP918" s="12" t="s">
        <v>319</v>
      </c>
      <c r="DQ918" s="14"/>
      <c r="DR918" s="16"/>
      <c r="DS918" s="14"/>
      <c r="DT918" s="12" t="s">
        <v>319</v>
      </c>
      <c r="DU918" s="14"/>
      <c r="DV918" s="16"/>
      <c r="DW918" s="14"/>
      <c r="DX918" s="12" t="s">
        <v>319</v>
      </c>
      <c r="DY918" s="14"/>
      <c r="DZ918" s="16"/>
      <c r="EA918" s="14"/>
      <c r="EB918" s="11" t="s">
        <v>320</v>
      </c>
      <c r="EC918" s="14">
        <v>35171</v>
      </c>
      <c r="ED918" s="16">
        <v>0.52</v>
      </c>
      <c r="EE918" s="14"/>
      <c r="EF918" s="12"/>
      <c r="EG918" s="12"/>
      <c r="EH918" s="14"/>
      <c r="EI918" s="16"/>
      <c r="EJ918" s="14"/>
      <c r="EK918" s="14"/>
      <c r="EL918" s="14"/>
      <c r="EM918" s="14"/>
      <c r="EN918" s="14"/>
      <c r="EO918" s="14"/>
      <c r="EP918" s="14"/>
      <c r="EQ918" s="12"/>
      <c r="ER918" s="14"/>
      <c r="ES918" s="16"/>
      <c r="ET918" s="14"/>
      <c r="EU918" s="12"/>
      <c r="EV918" s="14"/>
      <c r="EW918" s="16"/>
      <c r="EX918" s="14"/>
      <c r="EY918" s="12"/>
      <c r="EZ918" s="14"/>
      <c r="FA918" s="16"/>
      <c r="FB918" s="14"/>
      <c r="FC918" s="12"/>
      <c r="FD918" s="14"/>
      <c r="FE918" s="16"/>
      <c r="FF918" s="14"/>
      <c r="FG918" s="12"/>
      <c r="FH918" s="14"/>
      <c r="FI918" s="16"/>
      <c r="FJ918" s="14"/>
      <c r="FK918" s="12"/>
      <c r="FL918" s="14"/>
      <c r="FM918" s="16"/>
      <c r="FN918" s="14"/>
      <c r="FO918" s="12"/>
      <c r="FP918" s="14"/>
      <c r="FQ918" s="16"/>
      <c r="FR918" s="14"/>
      <c r="FS918" s="12"/>
      <c r="FT918" s="14"/>
      <c r="FU918" s="16"/>
      <c r="FV918" s="14"/>
      <c r="FW918" s="12"/>
      <c r="FX918" s="14"/>
      <c r="FY918" s="16"/>
      <c r="FZ918" s="14"/>
      <c r="GA918" s="12"/>
      <c r="GB918" s="14"/>
      <c r="GC918" s="16"/>
      <c r="GD918" s="14"/>
      <c r="GE918" s="12"/>
      <c r="GF918" s="14"/>
      <c r="GG918" s="16"/>
      <c r="GH918" s="14"/>
      <c r="GI918" s="12"/>
      <c r="GJ918" s="14"/>
      <c r="GK918" s="16"/>
      <c r="GL918" s="14"/>
      <c r="GM918" s="12"/>
      <c r="GN918" s="14"/>
      <c r="GO918" s="16"/>
      <c r="GP918" s="14"/>
      <c r="GQ918" s="12"/>
      <c r="GR918" s="14"/>
      <c r="GS918" s="16"/>
      <c r="GT918" s="14"/>
      <c r="GU918" s="12"/>
      <c r="GV918" s="14"/>
      <c r="GW918" s="16"/>
      <c r="GX918" s="14"/>
      <c r="GY918" s="12"/>
      <c r="GZ918" s="14"/>
      <c r="HA918" s="16"/>
      <c r="HB918" s="14"/>
      <c r="HC918" s="12"/>
      <c r="HD918" s="12"/>
      <c r="HE918" s="14"/>
      <c r="HF918" s="16"/>
      <c r="HG918" s="14"/>
      <c r="HH918" s="12" t="s">
        <v>320</v>
      </c>
      <c r="HI918" s="12" t="s">
        <v>416</v>
      </c>
      <c r="HJ918" s="12">
        <v>2017</v>
      </c>
      <c r="HK918" s="12" t="s">
        <v>320</v>
      </c>
      <c r="HL918" s="12" t="s">
        <v>319</v>
      </c>
      <c r="HM918" s="12"/>
      <c r="HN918" s="12"/>
      <c r="HO918" s="12" t="s">
        <v>13824</v>
      </c>
      <c r="HP918" s="12" t="s">
        <v>418</v>
      </c>
      <c r="HQ918" s="12"/>
      <c r="HR918" s="12"/>
      <c r="HS918" s="12"/>
      <c r="HT918" s="12"/>
      <c r="HU918" s="12"/>
      <c r="HV918" s="12"/>
      <c r="HW918" s="12"/>
      <c r="HX918" s="12"/>
      <c r="HY918" s="12"/>
      <c r="HZ918" s="12" t="s">
        <v>363</v>
      </c>
      <c r="IA918" s="12"/>
      <c r="IB918" s="12" t="s">
        <v>333</v>
      </c>
      <c r="IC918" s="12"/>
      <c r="ID918" s="12" t="s">
        <v>334</v>
      </c>
      <c r="IE918" s="12" t="s">
        <v>335</v>
      </c>
      <c r="IF918" s="12" t="s">
        <v>320</v>
      </c>
      <c r="IG918" s="12" t="s">
        <v>320</v>
      </c>
      <c r="IH918" s="12" t="s">
        <v>320</v>
      </c>
      <c r="II918" s="12" t="s">
        <v>320</v>
      </c>
      <c r="IJ918" s="12" t="str">
        <f t="shared" si="602"/>
        <v>2. Sensitive</v>
      </c>
      <c r="IK918" s="12">
        <f t="shared" si="604"/>
        <v>4</v>
      </c>
      <c r="IL918" s="12" t="s">
        <v>723</v>
      </c>
      <c r="IM918" s="12" t="s">
        <v>320</v>
      </c>
      <c r="IN918" s="12" t="s">
        <v>320</v>
      </c>
      <c r="IO918" s="12" t="s">
        <v>319</v>
      </c>
      <c r="IP918" s="12" t="s">
        <v>319</v>
      </c>
      <c r="IQ918" s="12" t="str">
        <f t="shared" si="605"/>
        <v>0. Unaware</v>
      </c>
      <c r="IR918" s="12">
        <f t="shared" si="606"/>
        <v>2</v>
      </c>
      <c r="IS918" s="12" t="s">
        <v>337</v>
      </c>
      <c r="IT918" s="12" t="s">
        <v>320</v>
      </c>
      <c r="IU918" s="12" t="s">
        <v>320</v>
      </c>
      <c r="IV918" s="12" t="s">
        <v>319</v>
      </c>
      <c r="IW918" s="11" t="str">
        <f t="shared" si="607"/>
        <v>1. Neutral</v>
      </c>
      <c r="IX918" s="12">
        <f t="shared" si="608"/>
        <v>2</v>
      </c>
      <c r="IY918" s="12" t="s">
        <v>338</v>
      </c>
      <c r="IZ918" s="12" t="s">
        <v>339</v>
      </c>
      <c r="JA918" s="12"/>
      <c r="JB918" s="12"/>
      <c r="JC918" s="12"/>
      <c r="JD918" s="12"/>
      <c r="JE918" s="12" t="s">
        <v>420</v>
      </c>
      <c r="JF918" s="12"/>
      <c r="JG918" s="12" t="s">
        <v>13792</v>
      </c>
      <c r="JH918" s="12"/>
      <c r="JI918" s="12"/>
      <c r="JJ918" s="12"/>
      <c r="JK918" s="12" t="s">
        <v>13893</v>
      </c>
      <c r="JL918" s="12" t="s">
        <v>13894</v>
      </c>
      <c r="JM918" s="12"/>
      <c r="JN918" s="12"/>
      <c r="JO918" s="12"/>
      <c r="JP918" s="15">
        <f t="shared" si="609"/>
        <v>40507</v>
      </c>
      <c r="JQ918" s="15">
        <f t="shared" si="610"/>
        <v>0</v>
      </c>
      <c r="JR918" s="279">
        <f t="shared" si="611"/>
        <v>0</v>
      </c>
      <c r="JS918" s="17">
        <f t="shared" si="612"/>
        <v>0.51778704915199847</v>
      </c>
      <c r="JT918" s="18" t="str">
        <f t="shared" si="613"/>
        <v/>
      </c>
      <c r="JU918" s="280">
        <f t="shared" si="614"/>
        <v>20974</v>
      </c>
      <c r="JV918" s="280">
        <f t="shared" si="615"/>
        <v>0</v>
      </c>
      <c r="JW918" s="319">
        <f t="shared" si="616"/>
        <v>1</v>
      </c>
      <c r="JX918" s="15">
        <f t="shared" si="617"/>
        <v>40507</v>
      </c>
      <c r="JY918" s="15">
        <f t="shared" si="618"/>
        <v>0</v>
      </c>
      <c r="JZ918" s="19">
        <f t="shared" si="619"/>
        <v>0</v>
      </c>
      <c r="KA918" s="52" t="str">
        <f t="shared" si="620"/>
        <v/>
      </c>
      <c r="KB918" s="15">
        <f t="shared" si="621"/>
        <v>0</v>
      </c>
      <c r="KC918" s="15">
        <f t="shared" si="622"/>
        <v>0</v>
      </c>
      <c r="KD918" s="20" t="str">
        <f t="shared" si="623"/>
        <v/>
      </c>
      <c r="KE918" s="52" t="str">
        <f t="shared" si="624"/>
        <v/>
      </c>
      <c r="KF918" s="15">
        <f t="shared" si="625"/>
        <v>0</v>
      </c>
      <c r="KG918" s="15">
        <f t="shared" si="626"/>
        <v>0</v>
      </c>
      <c r="KH918" s="21" t="str">
        <f t="shared" si="627"/>
        <v/>
      </c>
      <c r="KI918" s="52" t="str">
        <f t="shared" si="628"/>
        <v/>
      </c>
      <c r="KJ918" s="15">
        <f t="shared" si="629"/>
        <v>0</v>
      </c>
      <c r="KK918" s="15">
        <f t="shared" si="630"/>
        <v>0</v>
      </c>
      <c r="KL918" s="19" t="str">
        <f t="shared" si="631"/>
        <v/>
      </c>
      <c r="KM918" s="52" t="str">
        <f t="shared" si="632"/>
        <v/>
      </c>
      <c r="KN918" s="22">
        <f t="shared" si="633"/>
        <v>0</v>
      </c>
      <c r="KO918" s="22">
        <f t="shared" si="634"/>
        <v>0</v>
      </c>
      <c r="KP918" s="19" t="str">
        <f t="shared" si="635"/>
        <v/>
      </c>
      <c r="KQ918" s="11" t="str">
        <f t="shared" si="636"/>
        <v>2. Sensitive</v>
      </c>
      <c r="KR918" s="11" t="str">
        <f t="shared" si="637"/>
        <v>0. Unaware</v>
      </c>
      <c r="KS918" s="11" t="str">
        <f t="shared" si="638"/>
        <v>1. Neutral</v>
      </c>
      <c r="KT918" s="11" t="str">
        <f t="shared" si="639"/>
        <v>It did not develop any specific innovation</v>
      </c>
      <c r="KU918" s="11" t="str">
        <f t="shared" si="640"/>
        <v>Little or no advocacy</v>
      </c>
      <c r="KV918" s="11" t="str">
        <f t="shared" si="641"/>
        <v>It did not take tested solutions to scale</v>
      </c>
      <c r="KW918" s="11" t="str">
        <f t="shared" si="642"/>
        <v>Yemen - Enhancing access to WASH and meeting basic needs in conflict-affected areas of Taiz governorate</v>
      </c>
      <c r="KX918" s="11" t="str">
        <f t="shared" si="643"/>
        <v>Enhancing access to WASH and meeting basic needs in conflict-affected areas of Taiz governorate</v>
      </c>
      <c r="KY918" s="11" t="str">
        <f t="shared" si="644"/>
        <v>Yemen</v>
      </c>
      <c r="KZ918" s="12">
        <v>919</v>
      </c>
    </row>
    <row r="919" spans="1:312" x14ac:dyDescent="0.3">
      <c r="A919" s="282" t="s">
        <v>13783</v>
      </c>
      <c r="B919" s="282" t="s">
        <v>602</v>
      </c>
      <c r="C919" s="282"/>
      <c r="D919" s="282" t="s">
        <v>14780</v>
      </c>
      <c r="E919" s="277" t="str">
        <f t="shared" si="603"/>
        <v>Yemen</v>
      </c>
      <c r="F919" s="282" t="s">
        <v>13895</v>
      </c>
      <c r="G919" s="282" t="s">
        <v>608</v>
      </c>
      <c r="H919" s="282" t="s">
        <v>384</v>
      </c>
      <c r="I919" s="282" t="s">
        <v>381</v>
      </c>
      <c r="J919" s="281" t="s">
        <v>7763</v>
      </c>
      <c r="K919" s="282"/>
      <c r="L919" s="282"/>
      <c r="M919" s="282"/>
      <c r="N919" s="282"/>
      <c r="O919" s="282"/>
      <c r="P919" s="282"/>
      <c r="Q919" s="282"/>
      <c r="R919" s="282"/>
      <c r="S919" s="282"/>
      <c r="T919" s="282"/>
      <c r="U919" s="282"/>
      <c r="V919" s="282"/>
      <c r="W919" s="282"/>
      <c r="X919" s="282"/>
      <c r="Y919" s="282"/>
      <c r="Z919" s="282"/>
      <c r="AA919" s="282"/>
      <c r="AB919" s="282"/>
      <c r="AC919" s="282"/>
      <c r="AD919" s="282"/>
      <c r="AE919" s="282"/>
      <c r="AF919" s="282"/>
      <c r="AG919" s="282"/>
      <c r="AH919" s="282"/>
      <c r="AI919" s="282"/>
      <c r="AJ919" s="282"/>
      <c r="AK919" s="282"/>
      <c r="AL919" s="282"/>
      <c r="AM919" s="282"/>
      <c r="AN919" s="282"/>
      <c r="AO919" s="282"/>
      <c r="AP919" s="282"/>
      <c r="AQ919" s="282"/>
      <c r="AR919" s="282"/>
      <c r="AS919" s="282"/>
      <c r="AT919" s="282"/>
      <c r="AU919" s="282"/>
      <c r="AV919" s="282"/>
      <c r="AW919" s="282"/>
      <c r="AX919" s="282"/>
      <c r="AY919" s="282"/>
      <c r="AZ919" s="282"/>
      <c r="BA919" s="282"/>
      <c r="BB919" s="282"/>
      <c r="BC919" s="282"/>
      <c r="BD919" s="283">
        <v>42461</v>
      </c>
      <c r="BE919" s="283">
        <v>42735</v>
      </c>
      <c r="BF919" s="283">
        <v>42916</v>
      </c>
      <c r="BG919" s="283" t="s">
        <v>908</v>
      </c>
      <c r="BH919" s="284">
        <v>1437362</v>
      </c>
      <c r="BI919" s="282" t="s">
        <v>13896</v>
      </c>
      <c r="BJ919" s="282" t="s">
        <v>13808</v>
      </c>
      <c r="BK919" s="282" t="s">
        <v>13797</v>
      </c>
      <c r="BL919" s="282"/>
      <c r="BM919" s="282"/>
      <c r="BN919" s="282"/>
      <c r="BO919" s="282" t="s">
        <v>320</v>
      </c>
      <c r="BP919" s="282" t="s">
        <v>319</v>
      </c>
      <c r="BQ919" s="282" t="s">
        <v>319</v>
      </c>
      <c r="BR919" s="282" t="s">
        <v>13897</v>
      </c>
      <c r="BS919" s="282" t="s">
        <v>357</v>
      </c>
      <c r="BT919" s="282" t="s">
        <v>13898</v>
      </c>
      <c r="BU919" s="282" t="s">
        <v>13822</v>
      </c>
      <c r="BV919" s="284">
        <v>262122</v>
      </c>
      <c r="BW919" s="284">
        <v>272821</v>
      </c>
      <c r="BX919" s="284">
        <v>534943</v>
      </c>
      <c r="BY919" s="284"/>
      <c r="BZ919" s="284"/>
      <c r="CA919" s="284">
        <v>0</v>
      </c>
      <c r="CB919" s="285" t="s">
        <v>13873</v>
      </c>
      <c r="CC919" s="285"/>
      <c r="CD919" s="284">
        <v>187082</v>
      </c>
      <c r="CE919" s="284">
        <v>187617</v>
      </c>
      <c r="CF919" s="284">
        <v>374699</v>
      </c>
      <c r="CG919" s="284"/>
      <c r="CH919" s="284"/>
      <c r="CI919" s="284">
        <v>0</v>
      </c>
      <c r="CJ919" s="282" t="s">
        <v>319</v>
      </c>
      <c r="CK919" s="284"/>
      <c r="CL919" s="286"/>
      <c r="CM919" s="284"/>
      <c r="CN919" s="287" t="s">
        <v>320</v>
      </c>
      <c r="CO919" s="284">
        <v>374699</v>
      </c>
      <c r="CP919" s="286">
        <v>0.499</v>
      </c>
      <c r="CQ919" s="284"/>
      <c r="CR919" s="282" t="s">
        <v>319</v>
      </c>
      <c r="CS919" s="284"/>
      <c r="CT919" s="286"/>
      <c r="CU919" s="284"/>
      <c r="CV919" s="289" t="s">
        <v>320</v>
      </c>
      <c r="CW919" s="300">
        <v>374699</v>
      </c>
      <c r="CX919" s="308">
        <v>0.499</v>
      </c>
      <c r="CY919" s="313"/>
      <c r="CZ919" s="282" t="s">
        <v>319</v>
      </c>
      <c r="DA919" s="284"/>
      <c r="DB919" s="286"/>
      <c r="DC919" s="284"/>
      <c r="DD919" s="287" t="s">
        <v>319</v>
      </c>
      <c r="DE919" s="284"/>
      <c r="DF919" s="286"/>
      <c r="DG919" s="284"/>
      <c r="DH919" s="282" t="s">
        <v>319</v>
      </c>
      <c r="DI919" s="284"/>
      <c r="DJ919" s="286"/>
      <c r="DK919" s="284"/>
      <c r="DL919" s="282" t="s">
        <v>319</v>
      </c>
      <c r="DM919" s="284"/>
      <c r="DN919" s="286"/>
      <c r="DO919" s="284"/>
      <c r="DP919" s="282" t="s">
        <v>319</v>
      </c>
      <c r="DQ919" s="284"/>
      <c r="DR919" s="286"/>
      <c r="DS919" s="284"/>
      <c r="DT919" s="282" t="s">
        <v>319</v>
      </c>
      <c r="DU919" s="284"/>
      <c r="DV919" s="286"/>
      <c r="DW919" s="284"/>
      <c r="DX919" s="282" t="s">
        <v>319</v>
      </c>
      <c r="DY919" s="284"/>
      <c r="DZ919" s="286"/>
      <c r="EA919" s="284"/>
      <c r="EB919" s="282" t="s">
        <v>319</v>
      </c>
      <c r="EC919" s="284"/>
      <c r="ED919" s="286"/>
      <c r="EE919" s="284"/>
      <c r="EF919" s="285"/>
      <c r="EG919" s="287"/>
      <c r="EH919" s="284"/>
      <c r="EI919" s="286"/>
      <c r="EJ919" s="284"/>
      <c r="EK919" s="284"/>
      <c r="EL919" s="284"/>
      <c r="EM919" s="284"/>
      <c r="EN919" s="284"/>
      <c r="EO919" s="284"/>
      <c r="EP919" s="284"/>
      <c r="EQ919" s="282"/>
      <c r="ER919" s="284"/>
      <c r="ES919" s="286"/>
      <c r="ET919" s="284"/>
      <c r="EU919" s="305"/>
      <c r="EV919" s="300"/>
      <c r="EW919" s="308"/>
      <c r="EX919" s="300"/>
      <c r="EY919" s="282"/>
      <c r="EZ919" s="284"/>
      <c r="FA919" s="286"/>
      <c r="FB919" s="284"/>
      <c r="FC919" s="282"/>
      <c r="FD919" s="284"/>
      <c r="FE919" s="286"/>
      <c r="FF919" s="284"/>
      <c r="FG919" s="282"/>
      <c r="FH919" s="284"/>
      <c r="FI919" s="286"/>
      <c r="FJ919" s="284"/>
      <c r="FK919" s="282"/>
      <c r="FL919" s="284"/>
      <c r="FM919" s="286"/>
      <c r="FN919" s="284"/>
      <c r="FO919" s="305"/>
      <c r="FP919" s="300"/>
      <c r="FQ919" s="308"/>
      <c r="FR919" s="300"/>
      <c r="FS919" s="282"/>
      <c r="FT919" s="284"/>
      <c r="FU919" s="286"/>
      <c r="FV919" s="284"/>
      <c r="FW919" s="282"/>
      <c r="FX919" s="284"/>
      <c r="FY919" s="286"/>
      <c r="FZ919" s="284"/>
      <c r="GA919" s="282"/>
      <c r="GB919" s="284"/>
      <c r="GC919" s="286"/>
      <c r="GD919" s="284"/>
      <c r="GE919" s="282"/>
      <c r="GF919" s="284"/>
      <c r="GG919" s="286"/>
      <c r="GH919" s="284"/>
      <c r="GI919" s="282"/>
      <c r="GJ919" s="284"/>
      <c r="GK919" s="286"/>
      <c r="GL919" s="284"/>
      <c r="GM919" s="282"/>
      <c r="GN919" s="284"/>
      <c r="GO919" s="286"/>
      <c r="GP919" s="284"/>
      <c r="GQ919" s="282"/>
      <c r="GR919" s="284"/>
      <c r="GS919" s="286"/>
      <c r="GT919" s="284"/>
      <c r="GU919" s="282"/>
      <c r="GV919" s="284"/>
      <c r="GW919" s="286"/>
      <c r="GX919" s="284"/>
      <c r="GY919" s="282"/>
      <c r="GZ919" s="284"/>
      <c r="HA919" s="286"/>
      <c r="HB919" s="284"/>
      <c r="HC919" s="282"/>
      <c r="HD919" s="282"/>
      <c r="HE919" s="284"/>
      <c r="HF919" s="286"/>
      <c r="HG919" s="284"/>
      <c r="HH919" s="282" t="s">
        <v>319</v>
      </c>
      <c r="HI919" s="282"/>
      <c r="HJ919" s="282"/>
      <c r="HK919" s="282"/>
      <c r="HL919" s="282"/>
      <c r="HM919" s="282"/>
      <c r="HN919" s="282"/>
      <c r="HO919" s="282"/>
      <c r="HP919" s="282" t="s">
        <v>418</v>
      </c>
      <c r="HQ919" s="282"/>
      <c r="HR919" s="282"/>
      <c r="HS919" s="282"/>
      <c r="HT919" s="282"/>
      <c r="HU919" s="282"/>
      <c r="HV919" s="282"/>
      <c r="HW919" s="282"/>
      <c r="HX919" s="282"/>
      <c r="HY919" s="282"/>
      <c r="HZ919" s="282" t="s">
        <v>363</v>
      </c>
      <c r="IA919" s="282"/>
      <c r="IB919" s="282" t="s">
        <v>333</v>
      </c>
      <c r="IC919" s="282"/>
      <c r="ID919" s="282" t="s">
        <v>334</v>
      </c>
      <c r="IE919" s="282" t="s">
        <v>335</v>
      </c>
      <c r="IF919" s="282" t="s">
        <v>320</v>
      </c>
      <c r="IG919" s="282" t="s">
        <v>320</v>
      </c>
      <c r="IH919" s="282" t="s">
        <v>320</v>
      </c>
      <c r="II919" s="282" t="s">
        <v>320</v>
      </c>
      <c r="IJ919" s="12" t="str">
        <f t="shared" si="602"/>
        <v>2. Sensitive</v>
      </c>
      <c r="IK919" s="287">
        <f t="shared" si="604"/>
        <v>4</v>
      </c>
      <c r="IL919" s="282" t="s">
        <v>723</v>
      </c>
      <c r="IM919" s="282" t="s">
        <v>320</v>
      </c>
      <c r="IN919" s="282" t="s">
        <v>320</v>
      </c>
      <c r="IO919" s="282" t="s">
        <v>319</v>
      </c>
      <c r="IP919" s="282" t="s">
        <v>319</v>
      </c>
      <c r="IQ919" s="287" t="str">
        <f t="shared" si="605"/>
        <v>0. Unaware</v>
      </c>
      <c r="IR919" s="287">
        <f t="shared" si="606"/>
        <v>2</v>
      </c>
      <c r="IS919" s="282" t="s">
        <v>337</v>
      </c>
      <c r="IT919" s="282" t="s">
        <v>320</v>
      </c>
      <c r="IU919" s="282" t="s">
        <v>320</v>
      </c>
      <c r="IV919" s="282" t="s">
        <v>319</v>
      </c>
      <c r="IW919" s="11" t="str">
        <f t="shared" si="607"/>
        <v>1. Neutral</v>
      </c>
      <c r="IX919" s="287">
        <f t="shared" si="608"/>
        <v>2</v>
      </c>
      <c r="IY919" s="282" t="s">
        <v>338</v>
      </c>
      <c r="IZ919" s="282" t="s">
        <v>432</v>
      </c>
      <c r="JA919" s="282">
        <v>1</v>
      </c>
      <c r="JB919" s="282" t="s">
        <v>831</v>
      </c>
      <c r="JC919" s="282" t="s">
        <v>687</v>
      </c>
      <c r="JD919" s="282"/>
      <c r="JE919" s="282" t="s">
        <v>420</v>
      </c>
      <c r="JF919" s="282"/>
      <c r="JG919" s="282" t="s">
        <v>13792</v>
      </c>
      <c r="JH919" s="282"/>
      <c r="JI919" s="282"/>
      <c r="JJ919" s="282"/>
      <c r="JK919" s="282" t="s">
        <v>13874</v>
      </c>
      <c r="JL919" s="282"/>
      <c r="JM919" s="282"/>
      <c r="JN919" s="282"/>
      <c r="JO919" s="282"/>
      <c r="JP919" s="15">
        <f t="shared" si="609"/>
        <v>374699</v>
      </c>
      <c r="JQ919" s="15">
        <f t="shared" si="610"/>
        <v>0</v>
      </c>
      <c r="JR919" s="279">
        <f t="shared" si="611"/>
        <v>0</v>
      </c>
      <c r="JS919" s="17">
        <f t="shared" si="612"/>
        <v>0.49928609363782661</v>
      </c>
      <c r="JT919" s="18" t="str">
        <f t="shared" si="613"/>
        <v/>
      </c>
      <c r="JU919" s="280">
        <f t="shared" si="614"/>
        <v>187082</v>
      </c>
      <c r="JV919" s="280">
        <f t="shared" si="615"/>
        <v>0</v>
      </c>
      <c r="JW919" s="319">
        <f t="shared" si="616"/>
        <v>1</v>
      </c>
      <c r="JX919" s="15">
        <f t="shared" si="617"/>
        <v>374699</v>
      </c>
      <c r="JY919" s="15">
        <f t="shared" si="618"/>
        <v>0</v>
      </c>
      <c r="JZ919" s="19">
        <f t="shared" si="619"/>
        <v>0</v>
      </c>
      <c r="KA919" s="52">
        <f t="shared" si="620"/>
        <v>1</v>
      </c>
      <c r="KB919" s="15">
        <f t="shared" si="621"/>
        <v>374699</v>
      </c>
      <c r="KC919" s="15">
        <f t="shared" si="622"/>
        <v>0</v>
      </c>
      <c r="KD919" s="20">
        <f t="shared" si="623"/>
        <v>0</v>
      </c>
      <c r="KE919" s="52" t="str">
        <f t="shared" si="624"/>
        <v/>
      </c>
      <c r="KF919" s="15">
        <f t="shared" si="625"/>
        <v>0</v>
      </c>
      <c r="KG919" s="15">
        <f t="shared" si="626"/>
        <v>0</v>
      </c>
      <c r="KH919" s="21" t="str">
        <f t="shared" si="627"/>
        <v/>
      </c>
      <c r="KI919" s="52" t="str">
        <f t="shared" si="628"/>
        <v/>
      </c>
      <c r="KJ919" s="15">
        <f t="shared" si="629"/>
        <v>0</v>
      </c>
      <c r="KK919" s="15">
        <f t="shared" si="630"/>
        <v>0</v>
      </c>
      <c r="KL919" s="19" t="str">
        <f t="shared" si="631"/>
        <v/>
      </c>
      <c r="KM919" s="52" t="str">
        <f t="shared" si="632"/>
        <v/>
      </c>
      <c r="KN919" s="22">
        <f t="shared" si="633"/>
        <v>0</v>
      </c>
      <c r="KO919" s="22">
        <f t="shared" si="634"/>
        <v>0</v>
      </c>
      <c r="KP919" s="19" t="str">
        <f t="shared" si="635"/>
        <v/>
      </c>
      <c r="KQ919" s="11" t="str">
        <f t="shared" si="636"/>
        <v>2. Sensitive</v>
      </c>
      <c r="KR919" s="11" t="str">
        <f t="shared" si="637"/>
        <v>0. Unaware</v>
      </c>
      <c r="KS919" s="11" t="str">
        <f t="shared" si="638"/>
        <v>1. Neutral</v>
      </c>
      <c r="KT919" s="11" t="str">
        <f t="shared" si="639"/>
        <v>It did not develop any specific innovation</v>
      </c>
      <c r="KU919" s="11" t="str">
        <f t="shared" si="640"/>
        <v>Little or no advocacy</v>
      </c>
      <c r="KV919" s="11" t="str">
        <f t="shared" si="641"/>
        <v>It did not take tested solutions to scale</v>
      </c>
      <c r="KW919" s="11" t="str">
        <f t="shared" si="642"/>
        <v>Yemen - Food assistance program in Amran and Abyan Governorate -Phase  IV</v>
      </c>
      <c r="KX919" s="11" t="str">
        <f t="shared" si="643"/>
        <v>Food assistance program in Amran and Abyan Governorate -Phase  IV</v>
      </c>
      <c r="KY919" s="11" t="str">
        <f t="shared" si="644"/>
        <v>Yemen</v>
      </c>
      <c r="KZ919" s="12">
        <v>920</v>
      </c>
    </row>
    <row r="920" spans="1:312" x14ac:dyDescent="0.3">
      <c r="A920" s="282" t="s">
        <v>13783</v>
      </c>
      <c r="B920" s="282" t="s">
        <v>602</v>
      </c>
      <c r="C920" s="282"/>
      <c r="D920" s="282" t="s">
        <v>13869</v>
      </c>
      <c r="E920" s="277" t="str">
        <f t="shared" si="603"/>
        <v>Yemen</v>
      </c>
      <c r="F920" s="282" t="s">
        <v>13870</v>
      </c>
      <c r="G920" s="282" t="s">
        <v>608</v>
      </c>
      <c r="H920" s="282" t="s">
        <v>384</v>
      </c>
      <c r="I920" s="282" t="s">
        <v>381</v>
      </c>
      <c r="J920" s="281" t="s">
        <v>7763</v>
      </c>
      <c r="K920" s="282"/>
      <c r="L920" s="282"/>
      <c r="M920" s="282"/>
      <c r="N920" s="282"/>
      <c r="O920" s="282"/>
      <c r="P920" s="282"/>
      <c r="Q920" s="282"/>
      <c r="R920" s="282"/>
      <c r="S920" s="282"/>
      <c r="T920" s="282"/>
      <c r="U920" s="282"/>
      <c r="V920" s="282"/>
      <c r="W920" s="282"/>
      <c r="X920" s="282"/>
      <c r="Y920" s="282"/>
      <c r="Z920" s="282"/>
      <c r="AA920" s="282"/>
      <c r="AB920" s="282"/>
      <c r="AC920" s="282"/>
      <c r="AD920" s="282"/>
      <c r="AE920" s="282"/>
      <c r="AF920" s="282"/>
      <c r="AG920" s="282"/>
      <c r="AH920" s="282"/>
      <c r="AI920" s="282"/>
      <c r="AJ920" s="282"/>
      <c r="AK920" s="282"/>
      <c r="AL920" s="282"/>
      <c r="AM920" s="282"/>
      <c r="AN920" s="282"/>
      <c r="AO920" s="282"/>
      <c r="AP920" s="282"/>
      <c r="AQ920" s="282"/>
      <c r="AR920" s="282"/>
      <c r="AS920" s="282"/>
      <c r="AT920" s="282"/>
      <c r="AU920" s="282"/>
      <c r="AV920" s="282"/>
      <c r="AW920" s="282"/>
      <c r="AX920" s="282"/>
      <c r="AY920" s="282"/>
      <c r="AZ920" s="282"/>
      <c r="BA920" s="282"/>
      <c r="BB920" s="282"/>
      <c r="BC920" s="282"/>
      <c r="BD920" s="283">
        <v>42461</v>
      </c>
      <c r="BE920" s="283">
        <v>42735</v>
      </c>
      <c r="BF920" s="283">
        <v>42916</v>
      </c>
      <c r="BG920" s="283" t="s">
        <v>908</v>
      </c>
      <c r="BH920" s="284">
        <v>579663</v>
      </c>
      <c r="BI920" s="282" t="s">
        <v>13817</v>
      </c>
      <c r="BJ920" s="282" t="s">
        <v>13818</v>
      </c>
      <c r="BK920" s="282" t="s">
        <v>13819</v>
      </c>
      <c r="BL920" s="282"/>
      <c r="BM920" s="282"/>
      <c r="BN920" s="282"/>
      <c r="BO920" s="282" t="s">
        <v>320</v>
      </c>
      <c r="BP920" s="282" t="s">
        <v>319</v>
      </c>
      <c r="BQ920" s="282" t="s">
        <v>319</v>
      </c>
      <c r="BR920" s="282" t="s">
        <v>13871</v>
      </c>
      <c r="BS920" s="282" t="s">
        <v>357</v>
      </c>
      <c r="BT920" s="282" t="s">
        <v>13872</v>
      </c>
      <c r="BU920" s="282" t="s">
        <v>13822</v>
      </c>
      <c r="BV920" s="284">
        <v>157649</v>
      </c>
      <c r="BW920" s="284">
        <v>164083</v>
      </c>
      <c r="BX920" s="284">
        <v>321732</v>
      </c>
      <c r="BY920" s="284"/>
      <c r="BZ920" s="284"/>
      <c r="CA920" s="284">
        <v>0</v>
      </c>
      <c r="CB920" s="285" t="s">
        <v>13873</v>
      </c>
      <c r="CC920" s="285"/>
      <c r="CD920" s="284">
        <v>108012</v>
      </c>
      <c r="CE920" s="284">
        <v>109460</v>
      </c>
      <c r="CF920" s="284">
        <v>217472</v>
      </c>
      <c r="CG920" s="284"/>
      <c r="CH920" s="284"/>
      <c r="CI920" s="284">
        <v>0</v>
      </c>
      <c r="CJ920" s="282" t="s">
        <v>319</v>
      </c>
      <c r="CK920" s="284"/>
      <c r="CL920" s="286"/>
      <c r="CM920" s="284"/>
      <c r="CN920" s="287" t="s">
        <v>320</v>
      </c>
      <c r="CO920" s="284">
        <v>217472</v>
      </c>
      <c r="CP920" s="286">
        <v>0.496</v>
      </c>
      <c r="CQ920" s="284"/>
      <c r="CR920" s="282" t="s">
        <v>319</v>
      </c>
      <c r="CS920" s="284"/>
      <c r="CT920" s="286"/>
      <c r="CU920" s="284"/>
      <c r="CV920" s="289" t="s">
        <v>320</v>
      </c>
      <c r="CW920" s="300">
        <v>217472</v>
      </c>
      <c r="CX920" s="308">
        <v>0.496</v>
      </c>
      <c r="CY920" s="313"/>
      <c r="CZ920" s="282" t="s">
        <v>319</v>
      </c>
      <c r="DA920" s="284"/>
      <c r="DB920" s="286"/>
      <c r="DC920" s="284"/>
      <c r="DD920" s="287" t="s">
        <v>319</v>
      </c>
      <c r="DE920" s="284"/>
      <c r="DF920" s="286"/>
      <c r="DG920" s="284"/>
      <c r="DH920" s="282" t="s">
        <v>319</v>
      </c>
      <c r="DI920" s="284"/>
      <c r="DJ920" s="286"/>
      <c r="DK920" s="284"/>
      <c r="DL920" s="282" t="s">
        <v>319</v>
      </c>
      <c r="DM920" s="284"/>
      <c r="DN920" s="286"/>
      <c r="DO920" s="284"/>
      <c r="DP920" s="282" t="s">
        <v>319</v>
      </c>
      <c r="DQ920" s="284"/>
      <c r="DR920" s="286"/>
      <c r="DS920" s="284"/>
      <c r="DT920" s="282" t="s">
        <v>319</v>
      </c>
      <c r="DU920" s="284"/>
      <c r="DV920" s="286"/>
      <c r="DW920" s="284"/>
      <c r="DX920" s="282" t="s">
        <v>319</v>
      </c>
      <c r="DY920" s="284"/>
      <c r="DZ920" s="286"/>
      <c r="EA920" s="284"/>
      <c r="EB920" s="282" t="s">
        <v>319</v>
      </c>
      <c r="EC920" s="284"/>
      <c r="ED920" s="286"/>
      <c r="EE920" s="284"/>
      <c r="EF920" s="285"/>
      <c r="EG920" s="287"/>
      <c r="EH920" s="284"/>
      <c r="EI920" s="286"/>
      <c r="EJ920" s="284"/>
      <c r="EK920" s="284"/>
      <c r="EL920" s="284"/>
      <c r="EM920" s="284"/>
      <c r="EN920" s="284"/>
      <c r="EO920" s="284"/>
      <c r="EP920" s="284"/>
      <c r="EQ920" s="282"/>
      <c r="ER920" s="284"/>
      <c r="ES920" s="286"/>
      <c r="ET920" s="284"/>
      <c r="EU920" s="305"/>
      <c r="EV920" s="300"/>
      <c r="EW920" s="308"/>
      <c r="EX920" s="300"/>
      <c r="EY920" s="282"/>
      <c r="EZ920" s="284"/>
      <c r="FA920" s="286"/>
      <c r="FB920" s="284"/>
      <c r="FC920" s="282"/>
      <c r="FD920" s="284"/>
      <c r="FE920" s="286"/>
      <c r="FF920" s="284"/>
      <c r="FG920" s="282"/>
      <c r="FH920" s="284"/>
      <c r="FI920" s="286"/>
      <c r="FJ920" s="284"/>
      <c r="FK920" s="282"/>
      <c r="FL920" s="284"/>
      <c r="FM920" s="286"/>
      <c r="FN920" s="284"/>
      <c r="FO920" s="305"/>
      <c r="FP920" s="300"/>
      <c r="FQ920" s="308"/>
      <c r="FR920" s="300"/>
      <c r="FS920" s="282"/>
      <c r="FT920" s="284"/>
      <c r="FU920" s="286"/>
      <c r="FV920" s="284"/>
      <c r="FW920" s="282"/>
      <c r="FX920" s="284"/>
      <c r="FY920" s="286"/>
      <c r="FZ920" s="284"/>
      <c r="GA920" s="282"/>
      <c r="GB920" s="284"/>
      <c r="GC920" s="286"/>
      <c r="GD920" s="284"/>
      <c r="GE920" s="282"/>
      <c r="GF920" s="284"/>
      <c r="GG920" s="286"/>
      <c r="GH920" s="284"/>
      <c r="GI920" s="282"/>
      <c r="GJ920" s="284"/>
      <c r="GK920" s="286"/>
      <c r="GL920" s="284"/>
      <c r="GM920" s="282"/>
      <c r="GN920" s="284"/>
      <c r="GO920" s="286"/>
      <c r="GP920" s="284"/>
      <c r="GQ920" s="282"/>
      <c r="GR920" s="284"/>
      <c r="GS920" s="286"/>
      <c r="GT920" s="284"/>
      <c r="GU920" s="282"/>
      <c r="GV920" s="284"/>
      <c r="GW920" s="286"/>
      <c r="GX920" s="284"/>
      <c r="GY920" s="282"/>
      <c r="GZ920" s="284"/>
      <c r="HA920" s="286"/>
      <c r="HB920" s="284"/>
      <c r="HC920" s="282"/>
      <c r="HD920" s="282"/>
      <c r="HE920" s="284"/>
      <c r="HF920" s="286"/>
      <c r="HG920" s="284"/>
      <c r="HH920" s="282" t="s">
        <v>319</v>
      </c>
      <c r="HI920" s="282"/>
      <c r="HJ920" s="282"/>
      <c r="HK920" s="282"/>
      <c r="HL920" s="282"/>
      <c r="HM920" s="282"/>
      <c r="HN920" s="282"/>
      <c r="HO920" s="282"/>
      <c r="HP920" s="282" t="s">
        <v>418</v>
      </c>
      <c r="HQ920" s="282"/>
      <c r="HR920" s="282"/>
      <c r="HS920" s="282"/>
      <c r="HT920" s="282"/>
      <c r="HU920" s="282"/>
      <c r="HV920" s="282"/>
      <c r="HW920" s="282"/>
      <c r="HX920" s="282"/>
      <c r="HY920" s="282"/>
      <c r="HZ920" s="282" t="s">
        <v>363</v>
      </c>
      <c r="IA920" s="282"/>
      <c r="IB920" s="282" t="s">
        <v>333</v>
      </c>
      <c r="IC920" s="282"/>
      <c r="ID920" s="282" t="s">
        <v>334</v>
      </c>
      <c r="IE920" s="282" t="s">
        <v>335</v>
      </c>
      <c r="IF920" s="282" t="s">
        <v>320</v>
      </c>
      <c r="IG920" s="282" t="s">
        <v>320</v>
      </c>
      <c r="IH920" s="282" t="s">
        <v>320</v>
      </c>
      <c r="II920" s="282" t="s">
        <v>320</v>
      </c>
      <c r="IJ920" s="12" t="str">
        <f t="shared" si="602"/>
        <v>2. Sensitive</v>
      </c>
      <c r="IK920" s="287">
        <f t="shared" si="604"/>
        <v>4</v>
      </c>
      <c r="IL920" s="282" t="s">
        <v>723</v>
      </c>
      <c r="IM920" s="282" t="s">
        <v>320</v>
      </c>
      <c r="IN920" s="282" t="s">
        <v>320</v>
      </c>
      <c r="IO920" s="282" t="s">
        <v>319</v>
      </c>
      <c r="IP920" s="282" t="s">
        <v>319</v>
      </c>
      <c r="IQ920" s="287" t="str">
        <f t="shared" si="605"/>
        <v>0. Unaware</v>
      </c>
      <c r="IR920" s="287">
        <f t="shared" si="606"/>
        <v>2</v>
      </c>
      <c r="IS920" s="282" t="s">
        <v>337</v>
      </c>
      <c r="IT920" s="282" t="s">
        <v>320</v>
      </c>
      <c r="IU920" s="282" t="s">
        <v>320</v>
      </c>
      <c r="IV920" s="282" t="s">
        <v>319</v>
      </c>
      <c r="IW920" s="11" t="str">
        <f t="shared" si="607"/>
        <v>1. Neutral</v>
      </c>
      <c r="IX920" s="287">
        <f t="shared" si="608"/>
        <v>2</v>
      </c>
      <c r="IY920" s="282" t="s">
        <v>338</v>
      </c>
      <c r="IZ920" s="282" t="s">
        <v>339</v>
      </c>
      <c r="JA920" s="282"/>
      <c r="JB920" s="282"/>
      <c r="JC920" s="282"/>
      <c r="JD920" s="282"/>
      <c r="JE920" s="282" t="s">
        <v>420</v>
      </c>
      <c r="JF920" s="282"/>
      <c r="JG920" s="282" t="s">
        <v>13792</v>
      </c>
      <c r="JH920" s="282"/>
      <c r="JI920" s="282"/>
      <c r="JJ920" s="282"/>
      <c r="JK920" s="282" t="s">
        <v>13874</v>
      </c>
      <c r="JL920" s="282"/>
      <c r="JM920" s="282"/>
      <c r="JN920" s="282"/>
      <c r="JO920" s="282"/>
      <c r="JP920" s="15">
        <f t="shared" si="609"/>
        <v>217472</v>
      </c>
      <c r="JQ920" s="15">
        <f t="shared" si="610"/>
        <v>0</v>
      </c>
      <c r="JR920" s="279">
        <f t="shared" si="611"/>
        <v>0</v>
      </c>
      <c r="JS920" s="17">
        <f t="shared" si="612"/>
        <v>0.49667083578575633</v>
      </c>
      <c r="JT920" s="18" t="str">
        <f t="shared" si="613"/>
        <v/>
      </c>
      <c r="JU920" s="280">
        <f t="shared" si="614"/>
        <v>108012</v>
      </c>
      <c r="JV920" s="280">
        <f t="shared" si="615"/>
        <v>0</v>
      </c>
      <c r="JW920" s="319">
        <f t="shared" si="616"/>
        <v>1</v>
      </c>
      <c r="JX920" s="15">
        <f t="shared" si="617"/>
        <v>217472</v>
      </c>
      <c r="JY920" s="15">
        <f t="shared" si="618"/>
        <v>0</v>
      </c>
      <c r="JZ920" s="19">
        <f t="shared" si="619"/>
        <v>0</v>
      </c>
      <c r="KA920" s="52">
        <f t="shared" si="620"/>
        <v>1</v>
      </c>
      <c r="KB920" s="15">
        <f t="shared" si="621"/>
        <v>217472</v>
      </c>
      <c r="KC920" s="15">
        <f t="shared" si="622"/>
        <v>0</v>
      </c>
      <c r="KD920" s="20">
        <f t="shared" si="623"/>
        <v>0</v>
      </c>
      <c r="KE920" s="52" t="str">
        <f t="shared" si="624"/>
        <v/>
      </c>
      <c r="KF920" s="15">
        <f t="shared" si="625"/>
        <v>0</v>
      </c>
      <c r="KG920" s="15">
        <f t="shared" si="626"/>
        <v>0</v>
      </c>
      <c r="KH920" s="21" t="str">
        <f t="shared" si="627"/>
        <v/>
      </c>
      <c r="KI920" s="52" t="str">
        <f t="shared" si="628"/>
        <v/>
      </c>
      <c r="KJ920" s="15">
        <f t="shared" si="629"/>
        <v>0</v>
      </c>
      <c r="KK920" s="15">
        <f t="shared" si="630"/>
        <v>0</v>
      </c>
      <c r="KL920" s="19" t="str">
        <f t="shared" si="631"/>
        <v/>
      </c>
      <c r="KM920" s="52" t="str">
        <f t="shared" si="632"/>
        <v/>
      </c>
      <c r="KN920" s="22">
        <f t="shared" si="633"/>
        <v>0</v>
      </c>
      <c r="KO920" s="22">
        <f t="shared" si="634"/>
        <v>0</v>
      </c>
      <c r="KP920" s="19" t="str">
        <f t="shared" si="635"/>
        <v/>
      </c>
      <c r="KQ920" s="11" t="str">
        <f t="shared" si="636"/>
        <v>2. Sensitive</v>
      </c>
      <c r="KR920" s="11" t="str">
        <f t="shared" si="637"/>
        <v>0. Unaware</v>
      </c>
      <c r="KS920" s="11" t="str">
        <f t="shared" si="638"/>
        <v>1. Neutral</v>
      </c>
      <c r="KT920" s="11" t="str">
        <f t="shared" si="639"/>
        <v>It did not develop any specific innovation</v>
      </c>
      <c r="KU920" s="11" t="str">
        <f t="shared" si="640"/>
        <v>Little or no advocacy</v>
      </c>
      <c r="KV920" s="11" t="str">
        <f t="shared" si="641"/>
        <v>It did not take tested solutions to scale</v>
      </c>
      <c r="KW920" s="11" t="str">
        <f t="shared" si="642"/>
        <v>Yemen - Food assistance program in Amran Governorate -Phase  III</v>
      </c>
      <c r="KX920" s="11" t="str">
        <f t="shared" si="643"/>
        <v>Food assistance program in Amran Governorate -Phase  III</v>
      </c>
      <c r="KY920" s="11" t="str">
        <f t="shared" si="644"/>
        <v>Yemen</v>
      </c>
      <c r="KZ920" s="287">
        <v>921</v>
      </c>
    </row>
    <row r="921" spans="1:312" x14ac:dyDescent="0.3">
      <c r="A921" s="12" t="s">
        <v>13783</v>
      </c>
      <c r="B921" s="12" t="s">
        <v>602</v>
      </c>
      <c r="C921" s="12"/>
      <c r="D921" s="12" t="s">
        <v>13910</v>
      </c>
      <c r="E921" s="277" t="str">
        <f t="shared" si="603"/>
        <v>Yemen</v>
      </c>
      <c r="F921" s="12" t="s">
        <v>13911</v>
      </c>
      <c r="G921" s="12" t="s">
        <v>488</v>
      </c>
      <c r="H921" s="12" t="s">
        <v>310</v>
      </c>
      <c r="I921" s="12" t="s">
        <v>506</v>
      </c>
      <c r="J921" s="281" t="s">
        <v>9230</v>
      </c>
      <c r="K921" s="12"/>
      <c r="L921" s="12"/>
      <c r="M921" s="12"/>
      <c r="N921" s="12"/>
      <c r="O921" s="12"/>
      <c r="P921" s="12"/>
      <c r="Q921" s="12"/>
      <c r="R921" s="12"/>
      <c r="S921" s="12"/>
      <c r="T921" s="12"/>
      <c r="U921" s="12"/>
      <c r="V921" s="12"/>
      <c r="W921" s="12"/>
      <c r="X921" s="12"/>
      <c r="Y921" s="12"/>
      <c r="Z921" s="12"/>
      <c r="AA921" s="12"/>
      <c r="AB921" s="12"/>
      <c r="AC921" s="12"/>
      <c r="AD921" s="12"/>
      <c r="BD921" s="13">
        <v>41518</v>
      </c>
      <c r="BE921" s="13">
        <v>42825</v>
      </c>
      <c r="BF921" s="12"/>
      <c r="BG921" s="12" t="s">
        <v>817</v>
      </c>
      <c r="BH921" s="14">
        <v>27129675</v>
      </c>
      <c r="BI921" s="12" t="s">
        <v>13912</v>
      </c>
      <c r="BJ921" s="12" t="s">
        <v>8466</v>
      </c>
      <c r="BK921" s="12" t="s">
        <v>13913</v>
      </c>
      <c r="BL921" s="12"/>
      <c r="BM921" s="12"/>
      <c r="BN921" s="12"/>
      <c r="BO921" s="12" t="s">
        <v>320</v>
      </c>
      <c r="BP921" s="12" t="s">
        <v>319</v>
      </c>
      <c r="BQ921" s="12" t="s">
        <v>319</v>
      </c>
      <c r="BR921" s="12" t="s">
        <v>13914</v>
      </c>
      <c r="BS921" s="12" t="s">
        <v>322</v>
      </c>
      <c r="BT921" s="12" t="s">
        <v>13915</v>
      </c>
      <c r="BU921" s="12" t="s">
        <v>13822</v>
      </c>
      <c r="BV921" s="14">
        <v>271345</v>
      </c>
      <c r="BW921" s="14">
        <v>282420</v>
      </c>
      <c r="BX921" s="14">
        <v>553765</v>
      </c>
      <c r="BY921" s="14">
        <v>342755</v>
      </c>
      <c r="BZ921" s="14">
        <v>356745</v>
      </c>
      <c r="CA921" s="14">
        <v>699500</v>
      </c>
      <c r="CB921" s="12" t="s">
        <v>13916</v>
      </c>
      <c r="CD921" s="14">
        <v>204506</v>
      </c>
      <c r="CE921" s="14">
        <v>212853</v>
      </c>
      <c r="CF921" s="14">
        <v>417359</v>
      </c>
      <c r="CG921" s="14">
        <v>342755</v>
      </c>
      <c r="CH921" s="14">
        <v>356745</v>
      </c>
      <c r="CI921" s="14">
        <v>699500</v>
      </c>
      <c r="CJ921" s="12"/>
      <c r="CK921" s="14"/>
      <c r="CL921" s="16"/>
      <c r="CM921" s="14"/>
      <c r="CN921" s="12" t="s">
        <v>320</v>
      </c>
      <c r="CO921" s="14">
        <v>91698</v>
      </c>
      <c r="CP921" s="16">
        <v>0.49</v>
      </c>
      <c r="CQ921" s="14"/>
      <c r="CR921" s="12"/>
      <c r="CS921" s="14"/>
      <c r="CT921" s="16"/>
      <c r="CU921" s="14"/>
      <c r="CV921" s="12"/>
      <c r="CW921" s="14"/>
      <c r="CX921" s="16"/>
      <c r="CY921" s="14"/>
      <c r="CZ921" s="12"/>
      <c r="DA921" s="14"/>
      <c r="DB921" s="16"/>
      <c r="DC921" s="14"/>
      <c r="DD921" s="12"/>
      <c r="DE921" s="14"/>
      <c r="DF921" s="16"/>
      <c r="DG921" s="14"/>
      <c r="DH921" s="12" t="s">
        <v>320</v>
      </c>
      <c r="DI921" s="14">
        <v>2648</v>
      </c>
      <c r="DJ921" s="16">
        <v>0.49</v>
      </c>
      <c r="DK921" s="14"/>
      <c r="DL921" s="11" t="s">
        <v>320</v>
      </c>
      <c r="DM921" s="14">
        <v>37390</v>
      </c>
      <c r="DN921" s="16">
        <v>0.49</v>
      </c>
      <c r="DO921" s="14"/>
      <c r="DP921" s="12"/>
      <c r="DQ921" s="14"/>
      <c r="DR921" s="16"/>
      <c r="DS921" s="14"/>
      <c r="DT921" s="12"/>
      <c r="DU921" s="14"/>
      <c r="DV921" s="16"/>
      <c r="DW921" s="14"/>
      <c r="DX921" s="12"/>
      <c r="DY921" s="14"/>
      <c r="DZ921" s="16"/>
      <c r="EA921" s="14"/>
      <c r="EB921" s="11" t="s">
        <v>320</v>
      </c>
      <c r="EC921" s="14">
        <v>285623</v>
      </c>
      <c r="ED921" s="16">
        <v>0.49</v>
      </c>
      <c r="EE921" s="14"/>
      <c r="EF921" s="12"/>
      <c r="EG921" s="12"/>
      <c r="EH921" s="14"/>
      <c r="EI921" s="16"/>
      <c r="EJ921" s="14"/>
      <c r="EK921" s="14"/>
      <c r="EL921" s="14"/>
      <c r="EM921" s="14"/>
      <c r="EN921" s="14"/>
      <c r="EO921" s="14"/>
      <c r="EP921" s="14"/>
      <c r="EQ921" s="12"/>
      <c r="ER921" s="14"/>
      <c r="ES921" s="16"/>
      <c r="ET921" s="14"/>
      <c r="EU921" s="12"/>
      <c r="EV921" s="14"/>
      <c r="EW921" s="16"/>
      <c r="EX921" s="14"/>
      <c r="EY921" s="12"/>
      <c r="EZ921" s="14"/>
      <c r="FA921" s="16"/>
      <c r="FB921" s="14"/>
      <c r="FC921" s="12"/>
      <c r="FD921" s="14"/>
      <c r="FE921" s="16"/>
      <c r="FF921" s="14"/>
      <c r="FG921" s="12"/>
      <c r="FH921" s="14"/>
      <c r="FI921" s="16"/>
      <c r="FJ921" s="14"/>
      <c r="FK921" s="12"/>
      <c r="FL921" s="14"/>
      <c r="FM921" s="16"/>
      <c r="FN921" s="14"/>
      <c r="FO921" s="12"/>
      <c r="FP921" s="14"/>
      <c r="FQ921" s="16"/>
      <c r="FR921" s="14"/>
      <c r="FS921" s="12"/>
      <c r="FT921" s="14"/>
      <c r="FU921" s="16"/>
      <c r="FV921" s="14"/>
      <c r="FW921" s="12"/>
      <c r="FX921" s="14"/>
      <c r="FY921" s="16"/>
      <c r="FZ921" s="14"/>
      <c r="GA921" s="12"/>
      <c r="GB921" s="14"/>
      <c r="GC921" s="16"/>
      <c r="GD921" s="14"/>
      <c r="GE921" s="12"/>
      <c r="GF921" s="14"/>
      <c r="GG921" s="16"/>
      <c r="GH921" s="14"/>
      <c r="GI921" s="12"/>
      <c r="GJ921" s="14"/>
      <c r="GK921" s="16"/>
      <c r="GL921" s="14"/>
      <c r="GM921" s="12"/>
      <c r="GN921" s="14"/>
      <c r="GO921" s="16"/>
      <c r="GP921" s="14"/>
      <c r="GQ921" s="12"/>
      <c r="GR921" s="14"/>
      <c r="GS921" s="16"/>
      <c r="GT921" s="14"/>
      <c r="GU921" s="12"/>
      <c r="GV921" s="14"/>
      <c r="GW921" s="16"/>
      <c r="GX921" s="14"/>
      <c r="GY921" s="12"/>
      <c r="GZ921" s="14"/>
      <c r="HA921" s="16"/>
      <c r="HB921" s="14"/>
      <c r="HC921" s="12"/>
      <c r="HD921" s="12"/>
      <c r="HE921" s="14"/>
      <c r="HF921" s="16"/>
      <c r="HG921" s="14"/>
      <c r="HH921" s="12" t="s">
        <v>319</v>
      </c>
      <c r="HI921" s="12"/>
      <c r="HJ921" s="12"/>
      <c r="HK921" s="12"/>
      <c r="HL921" s="12" t="s">
        <v>319</v>
      </c>
      <c r="HM921" s="12"/>
      <c r="HN921" s="12"/>
      <c r="HO921" s="12"/>
      <c r="HP921" s="12"/>
      <c r="HQ921" s="12"/>
      <c r="HR921" s="12"/>
      <c r="HS921" s="12"/>
      <c r="HT921" s="12"/>
      <c r="HU921" s="12"/>
      <c r="HV921" s="12"/>
      <c r="HW921" s="12"/>
      <c r="HX921" s="12"/>
      <c r="HY921" s="12"/>
      <c r="HZ921" s="12" t="s">
        <v>363</v>
      </c>
      <c r="IA921" s="12"/>
      <c r="IB921" s="12" t="s">
        <v>333</v>
      </c>
      <c r="IC921" s="12"/>
      <c r="ID921" s="12" t="s">
        <v>334</v>
      </c>
      <c r="IE921" s="12" t="s">
        <v>335</v>
      </c>
      <c r="IF921" s="12" t="s">
        <v>320</v>
      </c>
      <c r="IG921" s="12" t="s">
        <v>320</v>
      </c>
      <c r="IH921" s="12" t="s">
        <v>320</v>
      </c>
      <c r="II921" s="12" t="s">
        <v>320</v>
      </c>
      <c r="IJ921" s="12" t="str">
        <f t="shared" si="602"/>
        <v>2. Sensitive</v>
      </c>
      <c r="IK921" s="12">
        <f t="shared" si="604"/>
        <v>4</v>
      </c>
      <c r="IL921" s="12" t="s">
        <v>723</v>
      </c>
      <c r="IM921" s="12" t="s">
        <v>319</v>
      </c>
      <c r="IN921" s="12" t="s">
        <v>320</v>
      </c>
      <c r="IO921" s="12" t="s">
        <v>320</v>
      </c>
      <c r="IP921" s="12" t="s">
        <v>319</v>
      </c>
      <c r="IQ921" s="12" t="str">
        <f t="shared" si="605"/>
        <v>0. Unaware</v>
      </c>
      <c r="IR921" s="12">
        <f t="shared" si="606"/>
        <v>2</v>
      </c>
      <c r="IS921" s="12" t="s">
        <v>337</v>
      </c>
      <c r="IT921" s="12" t="s">
        <v>320</v>
      </c>
      <c r="IU921" s="12" t="s">
        <v>320</v>
      </c>
      <c r="IV921" s="12" t="s">
        <v>320</v>
      </c>
      <c r="IW921" s="11" t="str">
        <f t="shared" si="607"/>
        <v>2. Sensitive</v>
      </c>
      <c r="IX921" s="12">
        <f t="shared" si="608"/>
        <v>3</v>
      </c>
      <c r="IY921" s="12" t="s">
        <v>338</v>
      </c>
      <c r="IZ921" s="12" t="s">
        <v>432</v>
      </c>
      <c r="JA921" s="12">
        <v>3</v>
      </c>
      <c r="JB921" s="12" t="s">
        <v>831</v>
      </c>
      <c r="JC921" s="12" t="s">
        <v>433</v>
      </c>
      <c r="JD921" s="12" t="s">
        <v>687</v>
      </c>
      <c r="JE921" s="12" t="s">
        <v>420</v>
      </c>
      <c r="JF921" s="12"/>
      <c r="JG921" s="12" t="s">
        <v>13792</v>
      </c>
      <c r="JH921" s="12"/>
      <c r="JI921" s="12"/>
      <c r="JJ921" s="12"/>
      <c r="JK921" s="12"/>
      <c r="JL921" s="12"/>
      <c r="JM921" s="12"/>
      <c r="JN921" s="12"/>
      <c r="JO921" s="12"/>
      <c r="JP921" s="15">
        <f t="shared" si="609"/>
        <v>417359</v>
      </c>
      <c r="JQ921" s="15">
        <f t="shared" si="610"/>
        <v>699500</v>
      </c>
      <c r="JR921" s="279">
        <f t="shared" si="611"/>
        <v>1.6760151332545843</v>
      </c>
      <c r="JS921" s="17">
        <f t="shared" si="612"/>
        <v>0.49000021564168977</v>
      </c>
      <c r="JT921" s="18">
        <f t="shared" si="613"/>
        <v>0.49</v>
      </c>
      <c r="JU921" s="280">
        <f t="shared" si="614"/>
        <v>204506</v>
      </c>
      <c r="JV921" s="280">
        <f t="shared" si="615"/>
        <v>342755</v>
      </c>
      <c r="JW921" s="319">
        <f t="shared" si="616"/>
        <v>1</v>
      </c>
      <c r="JX921" s="15">
        <f t="shared" si="617"/>
        <v>417359</v>
      </c>
      <c r="JY921" s="15">
        <f t="shared" si="618"/>
        <v>699500</v>
      </c>
      <c r="JZ921" s="19">
        <f t="shared" si="619"/>
        <v>1.6760151332545843</v>
      </c>
      <c r="KA921" s="52">
        <f t="shared" si="620"/>
        <v>1</v>
      </c>
      <c r="KB921" s="15">
        <f t="shared" si="621"/>
        <v>37390</v>
      </c>
      <c r="KC921" s="15">
        <f t="shared" si="622"/>
        <v>0</v>
      </c>
      <c r="KD921" s="20">
        <f t="shared" si="623"/>
        <v>0</v>
      </c>
      <c r="KE921" s="52" t="str">
        <f t="shared" si="624"/>
        <v/>
      </c>
      <c r="KF921" s="15">
        <f t="shared" si="625"/>
        <v>0</v>
      </c>
      <c r="KG921" s="15">
        <f t="shared" si="626"/>
        <v>0</v>
      </c>
      <c r="KH921" s="21" t="str">
        <f t="shared" si="627"/>
        <v/>
      </c>
      <c r="KI921" s="52" t="str">
        <f t="shared" si="628"/>
        <v/>
      </c>
      <c r="KJ921" s="15">
        <f t="shared" si="629"/>
        <v>0</v>
      </c>
      <c r="KK921" s="15">
        <f t="shared" si="630"/>
        <v>0</v>
      </c>
      <c r="KL921" s="19" t="str">
        <f t="shared" si="631"/>
        <v/>
      </c>
      <c r="KM921" s="52" t="str">
        <f t="shared" si="632"/>
        <v/>
      </c>
      <c r="KN921" s="22">
        <f t="shared" si="633"/>
        <v>0</v>
      </c>
      <c r="KO921" s="22">
        <f t="shared" si="634"/>
        <v>0</v>
      </c>
      <c r="KP921" s="19" t="str">
        <f t="shared" si="635"/>
        <v/>
      </c>
      <c r="KQ921" s="11" t="str">
        <f t="shared" si="636"/>
        <v>2. Sensitive</v>
      </c>
      <c r="KR921" s="11" t="str">
        <f t="shared" si="637"/>
        <v>0. Unaware</v>
      </c>
      <c r="KS921" s="11" t="str">
        <f t="shared" si="638"/>
        <v>2. Sensitive</v>
      </c>
      <c r="KT921" s="11" t="str">
        <f t="shared" si="639"/>
        <v>It did not develop any specific innovation</v>
      </c>
      <c r="KU921" s="11">
        <f t="shared" si="640"/>
        <v>0</v>
      </c>
      <c r="KV921" s="11" t="str">
        <f t="shared" si="641"/>
        <v>It did not take tested solutions to scale</v>
      </c>
      <c r="KW921" s="11" t="str">
        <f t="shared" si="642"/>
        <v>Yemen - Integrated Recovery Program</v>
      </c>
      <c r="KX921" s="11" t="str">
        <f t="shared" si="643"/>
        <v>Integrated Recovery Program</v>
      </c>
      <c r="KY921" s="11" t="str">
        <f t="shared" si="644"/>
        <v>Yemen</v>
      </c>
      <c r="KZ921" s="287">
        <v>922</v>
      </c>
    </row>
    <row r="922" spans="1:312" x14ac:dyDescent="0.3">
      <c r="A922" s="12" t="s">
        <v>13783</v>
      </c>
      <c r="B922" s="12" t="s">
        <v>602</v>
      </c>
      <c r="C922" s="12"/>
      <c r="D922" s="12" t="s">
        <v>13793</v>
      </c>
      <c r="E922" s="277" t="str">
        <f t="shared" si="603"/>
        <v>Yemen</v>
      </c>
      <c r="F922" s="12" t="s">
        <v>13794</v>
      </c>
      <c r="G922" s="12" t="s">
        <v>1738</v>
      </c>
      <c r="H922" s="12" t="s">
        <v>380</v>
      </c>
      <c r="I922" s="12" t="s">
        <v>907</v>
      </c>
      <c r="J922" s="281" t="s">
        <v>5183</v>
      </c>
      <c r="K922" s="12"/>
      <c r="L922" s="12"/>
      <c r="M922" s="12"/>
      <c r="N922" s="12"/>
      <c r="O922" s="12"/>
      <c r="P922" s="12"/>
      <c r="Q922" s="12"/>
      <c r="R922" s="12"/>
      <c r="S922" s="12"/>
      <c r="T922" s="12"/>
      <c r="U922" s="12"/>
      <c r="V922" s="12"/>
      <c r="W922" s="12"/>
      <c r="X922" s="12"/>
      <c r="Y922" s="12"/>
      <c r="Z922" s="12"/>
      <c r="AA922" s="12"/>
      <c r="AB922" s="12"/>
      <c r="AC922" s="12"/>
      <c r="AD922" s="12"/>
      <c r="BD922" s="13">
        <v>42370</v>
      </c>
      <c r="BE922" s="13">
        <v>42916</v>
      </c>
      <c r="BF922" s="12"/>
      <c r="BG922" s="12" t="s">
        <v>817</v>
      </c>
      <c r="BH922" s="14">
        <v>550000</v>
      </c>
      <c r="BI922" s="12" t="s">
        <v>13795</v>
      </c>
      <c r="BJ922" s="12" t="s">
        <v>13796</v>
      </c>
      <c r="BK922" s="12" t="s">
        <v>13797</v>
      </c>
      <c r="BL922" s="12"/>
      <c r="BM922" s="12"/>
      <c r="BN922" s="12"/>
      <c r="BO922" s="12" t="s">
        <v>320</v>
      </c>
      <c r="BP922" s="12" t="s">
        <v>319</v>
      </c>
      <c r="BQ922" s="12" t="s">
        <v>319</v>
      </c>
      <c r="BR922" s="12" t="s">
        <v>13798</v>
      </c>
      <c r="BS922" s="12" t="s">
        <v>357</v>
      </c>
      <c r="BT922" s="12" t="s">
        <v>13799</v>
      </c>
      <c r="BU922" s="12" t="s">
        <v>13800</v>
      </c>
      <c r="BV922" s="14">
        <v>12005</v>
      </c>
      <c r="BW922" s="14">
        <v>12495</v>
      </c>
      <c r="BX922" s="14">
        <v>24500</v>
      </c>
      <c r="BY922" s="14">
        <v>17476</v>
      </c>
      <c r="BZ922" s="14">
        <v>20290</v>
      </c>
      <c r="CA922" s="14">
        <v>37766</v>
      </c>
      <c r="CB922" s="12" t="s">
        <v>13801</v>
      </c>
      <c r="CD922" s="14">
        <v>12493</v>
      </c>
      <c r="CE922" s="14">
        <v>12007</v>
      </c>
      <c r="CF922" s="14">
        <v>24500</v>
      </c>
      <c r="CG922" s="14">
        <v>17476</v>
      </c>
      <c r="CH922" s="14">
        <v>20290</v>
      </c>
      <c r="CI922" s="14">
        <v>37766</v>
      </c>
      <c r="CJ922" s="12" t="s">
        <v>319</v>
      </c>
      <c r="CK922" s="14"/>
      <c r="CL922" s="16"/>
      <c r="CM922" s="14"/>
      <c r="CN922" s="12" t="s">
        <v>319</v>
      </c>
      <c r="CO922" s="14"/>
      <c r="CP922" s="16"/>
      <c r="CQ922" s="14"/>
      <c r="CR922" s="12" t="s">
        <v>319</v>
      </c>
      <c r="CS922" s="14"/>
      <c r="CT922" s="16"/>
      <c r="CU922" s="14"/>
      <c r="CV922" s="12" t="s">
        <v>319</v>
      </c>
      <c r="CW922" s="14"/>
      <c r="CX922" s="16"/>
      <c r="CY922" s="14"/>
      <c r="CZ922" s="12" t="s">
        <v>319</v>
      </c>
      <c r="DA922" s="14"/>
      <c r="DB922" s="16"/>
      <c r="DC922" s="14"/>
      <c r="DD922" s="12" t="s">
        <v>319</v>
      </c>
      <c r="DE922" s="14"/>
      <c r="DF922" s="16"/>
      <c r="DG922" s="14"/>
      <c r="DH922" s="12" t="s">
        <v>319</v>
      </c>
      <c r="DI922" s="14"/>
      <c r="DJ922" s="16"/>
      <c r="DK922" s="14"/>
      <c r="DL922" s="12" t="s">
        <v>319</v>
      </c>
      <c r="DM922" s="14"/>
      <c r="DN922" s="16"/>
      <c r="DO922" s="14"/>
      <c r="DP922" s="12" t="s">
        <v>319</v>
      </c>
      <c r="DQ922" s="14"/>
      <c r="DR922" s="16"/>
      <c r="DS922" s="14"/>
      <c r="DT922" s="12" t="s">
        <v>319</v>
      </c>
      <c r="DU922" s="14"/>
      <c r="DV922" s="16"/>
      <c r="DW922" s="14"/>
      <c r="DX922" s="12" t="s">
        <v>319</v>
      </c>
      <c r="DY922" s="14"/>
      <c r="DZ922" s="16"/>
      <c r="EA922" s="14"/>
      <c r="EB922" s="11" t="s">
        <v>320</v>
      </c>
      <c r="EC922" s="14">
        <v>24500</v>
      </c>
      <c r="ED922" s="16">
        <v>0.51</v>
      </c>
      <c r="EE922" s="14">
        <v>37766</v>
      </c>
      <c r="EF922" s="12"/>
      <c r="EG922" s="12"/>
      <c r="EH922" s="14"/>
      <c r="EI922" s="16"/>
      <c r="EJ922" s="14"/>
      <c r="EK922" s="14"/>
      <c r="EL922" s="14"/>
      <c r="EM922" s="14"/>
      <c r="EN922" s="14"/>
      <c r="EO922" s="14"/>
      <c r="EP922" s="14"/>
      <c r="EQ922" s="12"/>
      <c r="ER922" s="14"/>
      <c r="ES922" s="16"/>
      <c r="ET922" s="14"/>
      <c r="EU922" s="12"/>
      <c r="EV922" s="14"/>
      <c r="EW922" s="16"/>
      <c r="EX922" s="14"/>
      <c r="EY922" s="12"/>
      <c r="EZ922" s="14"/>
      <c r="FA922" s="16"/>
      <c r="FB922" s="14"/>
      <c r="FC922" s="12"/>
      <c r="FD922" s="14"/>
      <c r="FE922" s="16"/>
      <c r="FF922" s="14"/>
      <c r="FG922" s="12"/>
      <c r="FH922" s="14"/>
      <c r="FI922" s="16"/>
      <c r="FJ922" s="14"/>
      <c r="FK922" s="12"/>
      <c r="FL922" s="14"/>
      <c r="FM922" s="16"/>
      <c r="FN922" s="14"/>
      <c r="FO922" s="12"/>
      <c r="FP922" s="14"/>
      <c r="FQ922" s="16"/>
      <c r="FR922" s="14"/>
      <c r="FS922" s="12"/>
      <c r="FT922" s="14"/>
      <c r="FU922" s="16"/>
      <c r="FV922" s="14"/>
      <c r="FW922" s="12"/>
      <c r="FX922" s="14"/>
      <c r="FY922" s="16"/>
      <c r="FZ922" s="14"/>
      <c r="GA922" s="12"/>
      <c r="GB922" s="14"/>
      <c r="GC922" s="16"/>
      <c r="GD922" s="14"/>
      <c r="GE922" s="12"/>
      <c r="GF922" s="14"/>
      <c r="GG922" s="16"/>
      <c r="GH922" s="14"/>
      <c r="GI922" s="12"/>
      <c r="GJ922" s="14"/>
      <c r="GK922" s="16"/>
      <c r="GL922" s="14"/>
      <c r="GM922" s="12"/>
      <c r="GN922" s="14"/>
      <c r="GO922" s="16"/>
      <c r="GP922" s="14"/>
      <c r="GQ922" s="12"/>
      <c r="GR922" s="14"/>
      <c r="GS922" s="16"/>
      <c r="GT922" s="14"/>
      <c r="GU922" s="12"/>
      <c r="GV922" s="14"/>
      <c r="GW922" s="16"/>
      <c r="GX922" s="14"/>
      <c r="GY922" s="12"/>
      <c r="GZ922" s="14"/>
      <c r="HA922" s="16"/>
      <c r="HB922" s="14"/>
      <c r="HC922" s="12"/>
      <c r="HD922" s="12"/>
      <c r="HE922" s="14"/>
      <c r="HF922" s="16"/>
      <c r="HG922" s="14"/>
      <c r="HH922" s="12" t="s">
        <v>319</v>
      </c>
      <c r="HI922" s="12"/>
      <c r="HJ922" s="12"/>
      <c r="HK922" s="12" t="s">
        <v>319</v>
      </c>
      <c r="HL922" s="12" t="s">
        <v>319</v>
      </c>
      <c r="HM922" s="12"/>
      <c r="HN922" s="12"/>
      <c r="HO922" s="12"/>
      <c r="HP922" s="12" t="s">
        <v>418</v>
      </c>
      <c r="HQ922" s="12"/>
      <c r="HR922" s="12"/>
      <c r="HS922" s="12"/>
      <c r="HT922" s="12"/>
      <c r="HU922" s="12"/>
      <c r="HV922" s="12"/>
      <c r="HW922" s="12"/>
      <c r="HX922" s="12"/>
      <c r="HY922" s="12"/>
      <c r="HZ922" s="12" t="s">
        <v>363</v>
      </c>
      <c r="IA922" s="12"/>
      <c r="IB922" s="12" t="s">
        <v>333</v>
      </c>
      <c r="IC922" s="12"/>
      <c r="ID922" s="12" t="s">
        <v>334</v>
      </c>
      <c r="IE922" s="12" t="s">
        <v>335</v>
      </c>
      <c r="IF922" s="12" t="s">
        <v>320</v>
      </c>
      <c r="IG922" s="12" t="s">
        <v>320</v>
      </c>
      <c r="IH922" s="12" t="s">
        <v>320</v>
      </c>
      <c r="II922" s="12" t="s">
        <v>320</v>
      </c>
      <c r="IJ922" s="12" t="str">
        <f t="shared" si="602"/>
        <v>2. Sensitive</v>
      </c>
      <c r="IK922" s="12">
        <f t="shared" si="604"/>
        <v>4</v>
      </c>
      <c r="IL922" s="12" t="s">
        <v>723</v>
      </c>
      <c r="IM922" s="12" t="s">
        <v>320</v>
      </c>
      <c r="IN922" s="12" t="s">
        <v>320</v>
      </c>
      <c r="IO922" s="12" t="s">
        <v>319</v>
      </c>
      <c r="IP922" s="12" t="s">
        <v>319</v>
      </c>
      <c r="IQ922" s="12" t="str">
        <f t="shared" si="605"/>
        <v>0. Unaware</v>
      </c>
      <c r="IR922" s="12">
        <f t="shared" si="606"/>
        <v>2</v>
      </c>
      <c r="IS922" s="12" t="s">
        <v>337</v>
      </c>
      <c r="IT922" s="12" t="s">
        <v>320</v>
      </c>
      <c r="IU922" s="12" t="s">
        <v>320</v>
      </c>
      <c r="IV922" s="12" t="s">
        <v>319</v>
      </c>
      <c r="IW922" s="11" t="str">
        <f t="shared" si="607"/>
        <v>1. Neutral</v>
      </c>
      <c r="IX922" s="12">
        <f t="shared" si="608"/>
        <v>2</v>
      </c>
      <c r="IY922" s="12" t="s">
        <v>338</v>
      </c>
      <c r="IZ922" s="12" t="s">
        <v>339</v>
      </c>
      <c r="JA922" s="12"/>
      <c r="JB922" s="12"/>
      <c r="JC922" s="12"/>
      <c r="JD922" s="12"/>
      <c r="JE922" s="12" t="s">
        <v>420</v>
      </c>
      <c r="JF922" s="12"/>
      <c r="JG922" s="12" t="s">
        <v>13792</v>
      </c>
      <c r="JH922" s="12"/>
      <c r="JI922" s="12"/>
      <c r="JJ922" s="12"/>
      <c r="JK922" s="12" t="s">
        <v>13802</v>
      </c>
      <c r="JL922" s="12" t="s">
        <v>13803</v>
      </c>
      <c r="JM922" s="12" t="s">
        <v>13804</v>
      </c>
      <c r="JN922" s="12"/>
      <c r="JO922" s="12"/>
      <c r="JP922" s="15">
        <f t="shared" si="609"/>
        <v>24500</v>
      </c>
      <c r="JQ922" s="15">
        <f t="shared" si="610"/>
        <v>37766</v>
      </c>
      <c r="JR922" s="279">
        <f t="shared" si="611"/>
        <v>1.541469387755102</v>
      </c>
      <c r="JS922" s="17">
        <f t="shared" si="612"/>
        <v>0.50991836734693874</v>
      </c>
      <c r="JT922" s="18">
        <f t="shared" si="613"/>
        <v>0.46274426733040303</v>
      </c>
      <c r="JU922" s="280">
        <f t="shared" si="614"/>
        <v>12493</v>
      </c>
      <c r="JV922" s="280">
        <f t="shared" si="615"/>
        <v>17476</v>
      </c>
      <c r="JW922" s="319">
        <f t="shared" si="616"/>
        <v>1</v>
      </c>
      <c r="JX922" s="15">
        <f t="shared" si="617"/>
        <v>24500</v>
      </c>
      <c r="JY922" s="15">
        <f t="shared" si="618"/>
        <v>37766</v>
      </c>
      <c r="JZ922" s="19">
        <f t="shared" si="619"/>
        <v>1.541469387755102</v>
      </c>
      <c r="KA922" s="52" t="str">
        <f t="shared" si="620"/>
        <v/>
      </c>
      <c r="KB922" s="15">
        <f t="shared" si="621"/>
        <v>0</v>
      </c>
      <c r="KC922" s="15">
        <f t="shared" si="622"/>
        <v>0</v>
      </c>
      <c r="KD922" s="20" t="str">
        <f t="shared" si="623"/>
        <v/>
      </c>
      <c r="KE922" s="52" t="str">
        <f t="shared" si="624"/>
        <v/>
      </c>
      <c r="KF922" s="15">
        <f t="shared" si="625"/>
        <v>0</v>
      </c>
      <c r="KG922" s="15">
        <f t="shared" si="626"/>
        <v>0</v>
      </c>
      <c r="KH922" s="21" t="str">
        <f t="shared" si="627"/>
        <v/>
      </c>
      <c r="KI922" s="52" t="str">
        <f t="shared" si="628"/>
        <v/>
      </c>
      <c r="KJ922" s="15">
        <f t="shared" si="629"/>
        <v>0</v>
      </c>
      <c r="KK922" s="15">
        <f t="shared" si="630"/>
        <v>0</v>
      </c>
      <c r="KL922" s="19" t="str">
        <f t="shared" si="631"/>
        <v/>
      </c>
      <c r="KM922" s="52" t="str">
        <f t="shared" si="632"/>
        <v/>
      </c>
      <c r="KN922" s="22">
        <f t="shared" si="633"/>
        <v>0</v>
      </c>
      <c r="KO922" s="22">
        <f t="shared" si="634"/>
        <v>0</v>
      </c>
      <c r="KP922" s="19" t="str">
        <f t="shared" si="635"/>
        <v/>
      </c>
      <c r="KQ922" s="11" t="str">
        <f t="shared" si="636"/>
        <v>2. Sensitive</v>
      </c>
      <c r="KR922" s="11" t="str">
        <f t="shared" si="637"/>
        <v>0. Unaware</v>
      </c>
      <c r="KS922" s="11" t="str">
        <f t="shared" si="638"/>
        <v>1. Neutral</v>
      </c>
      <c r="KT922" s="11" t="str">
        <f t="shared" si="639"/>
        <v>It did not develop any specific innovation</v>
      </c>
      <c r="KU922" s="11" t="str">
        <f t="shared" si="640"/>
        <v>Little or no advocacy</v>
      </c>
      <c r="KV922" s="11" t="str">
        <f t="shared" si="641"/>
        <v>It did not take tested solutions to scale</v>
      </c>
      <c r="KW922" s="11" t="str">
        <f t="shared" si="642"/>
        <v>Yemen - Integrated Response for Cholera Prevention and Mitigation</v>
      </c>
      <c r="KX922" s="11" t="str">
        <f t="shared" si="643"/>
        <v>Integrated Response for Cholera Prevention and Mitigation</v>
      </c>
      <c r="KY922" s="11" t="str">
        <f t="shared" si="644"/>
        <v>Yemen</v>
      </c>
      <c r="KZ922" s="12">
        <v>923</v>
      </c>
    </row>
    <row r="923" spans="1:312" x14ac:dyDescent="0.3">
      <c r="A923" s="282" t="s">
        <v>13783</v>
      </c>
      <c r="B923" s="282" t="s">
        <v>602</v>
      </c>
      <c r="C923" s="282"/>
      <c r="D923" s="282" t="s">
        <v>13899</v>
      </c>
      <c r="E923" s="277" t="str">
        <f t="shared" si="603"/>
        <v>Yemen</v>
      </c>
      <c r="F923" s="282" t="s">
        <v>13900</v>
      </c>
      <c r="G923" s="282" t="s">
        <v>488</v>
      </c>
      <c r="H923" s="282" t="s">
        <v>310</v>
      </c>
      <c r="I923" s="282" t="s">
        <v>384</v>
      </c>
      <c r="J923" s="314" t="s">
        <v>14738</v>
      </c>
      <c r="K923" s="282"/>
      <c r="L923" s="282"/>
      <c r="M923" s="282"/>
      <c r="N923" s="282"/>
      <c r="O923" s="282"/>
      <c r="P923" s="282"/>
      <c r="Q923" s="282"/>
      <c r="R923" s="282"/>
      <c r="S923" s="282"/>
      <c r="T923" s="282"/>
      <c r="U923" s="282"/>
      <c r="V923" s="282"/>
      <c r="W923" s="282"/>
      <c r="X923" s="282"/>
      <c r="Y923" s="282"/>
      <c r="Z923" s="282"/>
      <c r="AA923" s="282"/>
      <c r="AB923" s="282"/>
      <c r="AC923" s="282"/>
      <c r="AD923" s="282"/>
      <c r="AE923" s="282"/>
      <c r="AF923" s="282"/>
      <c r="AG923" s="282"/>
      <c r="AH923" s="282"/>
      <c r="AI923" s="282"/>
      <c r="AJ923" s="282"/>
      <c r="AK923" s="282"/>
      <c r="AL923" s="282"/>
      <c r="AM923" s="282"/>
      <c r="AN923" s="282"/>
      <c r="AO923" s="282"/>
      <c r="AP923" s="282"/>
      <c r="AQ923" s="282"/>
      <c r="AR923" s="282"/>
      <c r="AS923" s="282"/>
      <c r="AT923" s="282"/>
      <c r="AU923" s="282"/>
      <c r="AV923" s="282"/>
      <c r="AW923" s="282"/>
      <c r="AX923" s="282"/>
      <c r="AY923" s="282"/>
      <c r="AZ923" s="282"/>
      <c r="BA923" s="282"/>
      <c r="BB923" s="282"/>
      <c r="BC923" s="282"/>
      <c r="BD923" s="283">
        <v>42716</v>
      </c>
      <c r="BE923" s="283">
        <v>42916</v>
      </c>
      <c r="BF923" s="283"/>
      <c r="BG923" s="283" t="s">
        <v>817</v>
      </c>
      <c r="BH923" s="284">
        <v>474130</v>
      </c>
      <c r="BI923" s="282" t="s">
        <v>13817</v>
      </c>
      <c r="BJ923" s="282" t="s">
        <v>13818</v>
      </c>
      <c r="BK923" s="282" t="s">
        <v>13819</v>
      </c>
      <c r="BL923" s="282"/>
      <c r="BM923" s="282"/>
      <c r="BN923" s="282"/>
      <c r="BO923" s="282" t="s">
        <v>320</v>
      </c>
      <c r="BP923" s="282" t="s">
        <v>319</v>
      </c>
      <c r="BQ923" s="282" t="s">
        <v>319</v>
      </c>
      <c r="BR923" s="282" t="s">
        <v>13901</v>
      </c>
      <c r="BS923" s="282" t="s">
        <v>357</v>
      </c>
      <c r="BT923" s="282" t="s">
        <v>13902</v>
      </c>
      <c r="BU923" s="282" t="s">
        <v>13822</v>
      </c>
      <c r="BV923" s="284">
        <v>5145</v>
      </c>
      <c r="BW923" s="284">
        <v>5355</v>
      </c>
      <c r="BX923" s="284">
        <v>10500</v>
      </c>
      <c r="BY923" s="284"/>
      <c r="BZ923" s="284"/>
      <c r="CA923" s="284"/>
      <c r="CB923" s="285" t="s">
        <v>13903</v>
      </c>
      <c r="CC923" s="285"/>
      <c r="CD923" s="284">
        <v>8250</v>
      </c>
      <c r="CE923" s="284">
        <v>9551</v>
      </c>
      <c r="CF923" s="284">
        <v>17801</v>
      </c>
      <c r="CG923" s="284"/>
      <c r="CH923" s="284"/>
      <c r="CI923" s="284"/>
      <c r="CJ923" s="282" t="s">
        <v>319</v>
      </c>
      <c r="CK923" s="284"/>
      <c r="CL923" s="286"/>
      <c r="CM923" s="284"/>
      <c r="CN923" s="287" t="s">
        <v>320</v>
      </c>
      <c r="CO923" s="284">
        <v>2742</v>
      </c>
      <c r="CP923" s="286">
        <v>0.45600000000000002</v>
      </c>
      <c r="CQ923" s="284"/>
      <c r="CR923" s="282" t="s">
        <v>319</v>
      </c>
      <c r="CS923" s="284"/>
      <c r="CT923" s="286"/>
      <c r="CU923" s="284"/>
      <c r="CV923" s="292" t="s">
        <v>319</v>
      </c>
      <c r="CW923" s="300"/>
      <c r="CX923" s="308"/>
      <c r="CY923" s="300"/>
      <c r="CZ923" s="282" t="s">
        <v>319</v>
      </c>
      <c r="DA923" s="284"/>
      <c r="DB923" s="286"/>
      <c r="DC923" s="284"/>
      <c r="DD923" s="287" t="s">
        <v>319</v>
      </c>
      <c r="DE923" s="284"/>
      <c r="DF923" s="286"/>
      <c r="DG923" s="284"/>
      <c r="DH923" s="282" t="s">
        <v>319</v>
      </c>
      <c r="DI923" s="284"/>
      <c r="DJ923" s="286"/>
      <c r="DK923" s="284"/>
      <c r="DL923" s="282" t="s">
        <v>319</v>
      </c>
      <c r="DM923" s="284"/>
      <c r="DN923" s="286"/>
      <c r="DO923" s="284"/>
      <c r="DP923" s="282" t="s">
        <v>319</v>
      </c>
      <c r="DQ923" s="284"/>
      <c r="DR923" s="286"/>
      <c r="DS923" s="284"/>
      <c r="DT923" s="282" t="s">
        <v>319</v>
      </c>
      <c r="DU923" s="284"/>
      <c r="DV923" s="286"/>
      <c r="DW923" s="284"/>
      <c r="DX923" s="282" t="s">
        <v>319</v>
      </c>
      <c r="DY923" s="284"/>
      <c r="DZ923" s="286"/>
      <c r="EA923" s="284"/>
      <c r="EB923" s="282" t="s">
        <v>320</v>
      </c>
      <c r="EC923" s="284">
        <v>17801</v>
      </c>
      <c r="ED923" s="286">
        <v>0.46300000000000002</v>
      </c>
      <c r="EE923" s="284"/>
      <c r="EF923" s="285"/>
      <c r="EG923" s="287"/>
      <c r="EH923" s="284"/>
      <c r="EI923" s="286"/>
      <c r="EJ923" s="284"/>
      <c r="EK923" s="284"/>
      <c r="EL923" s="284"/>
      <c r="EM923" s="284"/>
      <c r="EN923" s="284"/>
      <c r="EO923" s="284"/>
      <c r="EP923" s="284"/>
      <c r="EQ923" s="282"/>
      <c r="ER923" s="284"/>
      <c r="ES923" s="286"/>
      <c r="ET923" s="284"/>
      <c r="EU923" s="305"/>
      <c r="EV923" s="300"/>
      <c r="EW923" s="308"/>
      <c r="EX923" s="300"/>
      <c r="EY923" s="282"/>
      <c r="EZ923" s="284"/>
      <c r="FA923" s="286"/>
      <c r="FB923" s="284"/>
      <c r="FC923" s="282"/>
      <c r="FD923" s="284"/>
      <c r="FE923" s="286"/>
      <c r="FF923" s="284"/>
      <c r="FG923" s="282"/>
      <c r="FH923" s="284"/>
      <c r="FI923" s="286"/>
      <c r="FJ923" s="284"/>
      <c r="FK923" s="282"/>
      <c r="FL923" s="284"/>
      <c r="FM923" s="286"/>
      <c r="FN923" s="284"/>
      <c r="FO923" s="305"/>
      <c r="FP923" s="300"/>
      <c r="FQ923" s="308"/>
      <c r="FR923" s="300"/>
      <c r="FS923" s="282"/>
      <c r="FT923" s="284"/>
      <c r="FU923" s="286"/>
      <c r="FV923" s="284"/>
      <c r="FW923" s="282"/>
      <c r="FX923" s="284"/>
      <c r="FY923" s="286"/>
      <c r="FZ923" s="284"/>
      <c r="GA923" s="282"/>
      <c r="GB923" s="284"/>
      <c r="GC923" s="286"/>
      <c r="GD923" s="284"/>
      <c r="GE923" s="282"/>
      <c r="GF923" s="284"/>
      <c r="GG923" s="286"/>
      <c r="GH923" s="284"/>
      <c r="GI923" s="282"/>
      <c r="GJ923" s="284"/>
      <c r="GK923" s="286"/>
      <c r="GL923" s="284"/>
      <c r="GM923" s="282"/>
      <c r="GN923" s="284"/>
      <c r="GO923" s="286"/>
      <c r="GP923" s="284"/>
      <c r="GQ923" s="282"/>
      <c r="GR923" s="284"/>
      <c r="GS923" s="286"/>
      <c r="GT923" s="284"/>
      <c r="GU923" s="282"/>
      <c r="GV923" s="284"/>
      <c r="GW923" s="286"/>
      <c r="GX923" s="284"/>
      <c r="GY923" s="282"/>
      <c r="GZ923" s="284"/>
      <c r="HA923" s="286"/>
      <c r="HB923" s="284"/>
      <c r="HC923" s="282"/>
      <c r="HD923" s="282"/>
      <c r="HE923" s="284"/>
      <c r="HF923" s="286"/>
      <c r="HG923" s="284"/>
      <c r="HH923" s="282" t="s">
        <v>319</v>
      </c>
      <c r="HI923" s="282"/>
      <c r="HJ923" s="282"/>
      <c r="HK923" s="282"/>
      <c r="HL923" s="282" t="s">
        <v>320</v>
      </c>
      <c r="HM923" s="282" t="s">
        <v>361</v>
      </c>
      <c r="HN923" s="282">
        <v>2017</v>
      </c>
      <c r="HO923" s="282"/>
      <c r="HP923" s="282" t="s">
        <v>418</v>
      </c>
      <c r="HQ923" s="282"/>
      <c r="HR923" s="282"/>
      <c r="HS923" s="282"/>
      <c r="HT923" s="282"/>
      <c r="HU923" s="282"/>
      <c r="HV923" s="282"/>
      <c r="HW923" s="282"/>
      <c r="HX923" s="282"/>
      <c r="HY923" s="282"/>
      <c r="HZ923" s="282" t="s">
        <v>363</v>
      </c>
      <c r="IA923" s="282"/>
      <c r="IB923" s="282" t="s">
        <v>333</v>
      </c>
      <c r="IC923" s="282"/>
      <c r="ID923" s="282" t="s">
        <v>334</v>
      </c>
      <c r="IE923" s="282" t="s">
        <v>335</v>
      </c>
      <c r="IF923" s="282" t="s">
        <v>320</v>
      </c>
      <c r="IG923" s="282" t="s">
        <v>320</v>
      </c>
      <c r="IH923" s="282" t="s">
        <v>320</v>
      </c>
      <c r="II923" s="282" t="s">
        <v>320</v>
      </c>
      <c r="IJ923" s="12" t="str">
        <f t="shared" si="602"/>
        <v>2. Sensitive</v>
      </c>
      <c r="IK923" s="287">
        <f t="shared" si="604"/>
        <v>4</v>
      </c>
      <c r="IL923" s="282" t="s">
        <v>723</v>
      </c>
      <c r="IM923" s="282" t="s">
        <v>319</v>
      </c>
      <c r="IN923" s="282" t="s">
        <v>320</v>
      </c>
      <c r="IO923" s="282" t="s">
        <v>319</v>
      </c>
      <c r="IP923" s="282" t="s">
        <v>319</v>
      </c>
      <c r="IQ923" s="287" t="str">
        <f t="shared" si="605"/>
        <v>0. Unaware</v>
      </c>
      <c r="IR923" s="287">
        <f t="shared" si="606"/>
        <v>1</v>
      </c>
      <c r="IS923" s="282" t="s">
        <v>337</v>
      </c>
      <c r="IT923" s="282" t="s">
        <v>320</v>
      </c>
      <c r="IU923" s="282" t="s">
        <v>320</v>
      </c>
      <c r="IV923" s="282" t="s">
        <v>319</v>
      </c>
      <c r="IW923" s="11" t="str">
        <f t="shared" si="607"/>
        <v>1. Neutral</v>
      </c>
      <c r="IX923" s="287">
        <f t="shared" si="608"/>
        <v>2</v>
      </c>
      <c r="IY923" s="282" t="s">
        <v>338</v>
      </c>
      <c r="IZ923" s="282" t="s">
        <v>339</v>
      </c>
      <c r="JA923" s="282"/>
      <c r="JB923" s="282"/>
      <c r="JC923" s="282"/>
      <c r="JD923" s="282"/>
      <c r="JE923" s="282" t="s">
        <v>420</v>
      </c>
      <c r="JF923" s="282"/>
      <c r="JG923" s="282" t="s">
        <v>13792</v>
      </c>
      <c r="JH923" s="282"/>
      <c r="JI923" s="282"/>
      <c r="JJ923" s="282"/>
      <c r="JK923" s="282"/>
      <c r="JL923" s="282"/>
      <c r="JM923" s="282"/>
      <c r="JN923" s="282"/>
      <c r="JO923" s="282"/>
      <c r="JP923" s="15">
        <f t="shared" si="609"/>
        <v>17801</v>
      </c>
      <c r="JQ923" s="15">
        <f t="shared" si="610"/>
        <v>0</v>
      </c>
      <c r="JR923" s="279">
        <f t="shared" si="611"/>
        <v>0</v>
      </c>
      <c r="JS923" s="17">
        <f t="shared" si="612"/>
        <v>0.46345710915117128</v>
      </c>
      <c r="JT923" s="18" t="str">
        <f t="shared" si="613"/>
        <v/>
      </c>
      <c r="JU923" s="280">
        <f t="shared" si="614"/>
        <v>8250</v>
      </c>
      <c r="JV923" s="280">
        <f t="shared" si="615"/>
        <v>0</v>
      </c>
      <c r="JW923" s="319">
        <f t="shared" si="616"/>
        <v>1</v>
      </c>
      <c r="JX923" s="15">
        <f t="shared" si="617"/>
        <v>17801</v>
      </c>
      <c r="JY923" s="15">
        <f t="shared" si="618"/>
        <v>0</v>
      </c>
      <c r="JZ923" s="19">
        <f t="shared" si="619"/>
        <v>0</v>
      </c>
      <c r="KA923" s="52" t="str">
        <f t="shared" si="620"/>
        <v/>
      </c>
      <c r="KB923" s="15">
        <f t="shared" si="621"/>
        <v>0</v>
      </c>
      <c r="KC923" s="15">
        <f t="shared" si="622"/>
        <v>0</v>
      </c>
      <c r="KD923" s="20" t="str">
        <f t="shared" si="623"/>
        <v/>
      </c>
      <c r="KE923" s="52" t="str">
        <f t="shared" si="624"/>
        <v/>
      </c>
      <c r="KF923" s="15">
        <f t="shared" si="625"/>
        <v>0</v>
      </c>
      <c r="KG923" s="15">
        <f t="shared" si="626"/>
        <v>0</v>
      </c>
      <c r="KH923" s="21" t="str">
        <f t="shared" si="627"/>
        <v/>
      </c>
      <c r="KI923" s="52" t="str">
        <f t="shared" si="628"/>
        <v/>
      </c>
      <c r="KJ923" s="15">
        <f t="shared" si="629"/>
        <v>0</v>
      </c>
      <c r="KK923" s="15">
        <f t="shared" si="630"/>
        <v>0</v>
      </c>
      <c r="KL923" s="19" t="str">
        <f t="shared" si="631"/>
        <v/>
      </c>
      <c r="KM923" s="52" t="str">
        <f t="shared" si="632"/>
        <v/>
      </c>
      <c r="KN923" s="22">
        <f t="shared" si="633"/>
        <v>0</v>
      </c>
      <c r="KO923" s="22">
        <f t="shared" si="634"/>
        <v>0</v>
      </c>
      <c r="KP923" s="19" t="str">
        <f t="shared" si="635"/>
        <v/>
      </c>
      <c r="KQ923" s="11" t="str">
        <f t="shared" si="636"/>
        <v>2. Sensitive</v>
      </c>
      <c r="KR923" s="11" t="str">
        <f t="shared" si="637"/>
        <v>0. Unaware</v>
      </c>
      <c r="KS923" s="11" t="str">
        <f t="shared" si="638"/>
        <v>1. Neutral</v>
      </c>
      <c r="KT923" s="11" t="str">
        <f t="shared" si="639"/>
        <v>It did not develop any specific innovation</v>
      </c>
      <c r="KU923" s="11" t="str">
        <f t="shared" si="640"/>
        <v>Little or no advocacy</v>
      </c>
      <c r="KV923" s="11" t="str">
        <f t="shared" si="641"/>
        <v>It did not take tested solutions to scale</v>
      </c>
      <c r="KW923" s="11" t="str">
        <f t="shared" si="642"/>
        <v>Yemen - Yemen Crisis Appeal - Rehabilitation of Water Schemes in Abyan and Amran through Cash for Work</v>
      </c>
      <c r="KX923" s="11" t="str">
        <f t="shared" si="643"/>
        <v>Yemen Crisis Appeal - Rehabilitation of Water Schemes in Abyan and Amran through Cash for Work</v>
      </c>
      <c r="KY923" s="11" t="str">
        <f t="shared" si="644"/>
        <v>Yemen</v>
      </c>
      <c r="KZ923" s="12">
        <v>924</v>
      </c>
    </row>
    <row r="924" spans="1:312" x14ac:dyDescent="0.3">
      <c r="A924" s="282" t="s">
        <v>13783</v>
      </c>
      <c r="B924" s="282" t="s">
        <v>602</v>
      </c>
      <c r="C924" s="282"/>
      <c r="D924" s="282" t="s">
        <v>13827</v>
      </c>
      <c r="E924" s="277" t="str">
        <f t="shared" si="603"/>
        <v>Yemen</v>
      </c>
      <c r="F924" s="282" t="s">
        <v>13828</v>
      </c>
      <c r="G924" s="282" t="s">
        <v>379</v>
      </c>
      <c r="H924" s="282" t="s">
        <v>310</v>
      </c>
      <c r="I924" s="282" t="s">
        <v>655</v>
      </c>
      <c r="J924" s="281" t="s">
        <v>4991</v>
      </c>
      <c r="K924" s="282"/>
      <c r="L924" s="282"/>
      <c r="M924" s="282"/>
      <c r="N924" s="282"/>
      <c r="O924" s="282"/>
      <c r="P924" s="282"/>
      <c r="Q924" s="282"/>
      <c r="R924" s="282"/>
      <c r="S924" s="282"/>
      <c r="T924" s="282"/>
      <c r="U924" s="282"/>
      <c r="V924" s="282"/>
      <c r="W924" s="282"/>
      <c r="X924" s="282"/>
      <c r="Y924" s="282"/>
      <c r="Z924" s="282"/>
      <c r="AA924" s="282"/>
      <c r="AB924" s="282"/>
      <c r="AC924" s="282"/>
      <c r="AD924" s="282"/>
      <c r="AE924" s="282"/>
      <c r="AF924" s="282"/>
      <c r="AG924" s="282"/>
      <c r="AH924" s="282"/>
      <c r="AI924" s="282"/>
      <c r="AJ924" s="282"/>
      <c r="AK924" s="282"/>
      <c r="AL924" s="282"/>
      <c r="AM924" s="282"/>
      <c r="AN924" s="282"/>
      <c r="AO924" s="282"/>
      <c r="AP924" s="282"/>
      <c r="AQ924" s="282"/>
      <c r="AR924" s="282"/>
      <c r="AS924" s="282"/>
      <c r="AT924" s="282"/>
      <c r="AU924" s="282"/>
      <c r="AV924" s="282"/>
      <c r="AW924" s="282"/>
      <c r="AX924" s="282"/>
      <c r="AY924" s="282"/>
      <c r="AZ924" s="282"/>
      <c r="BA924" s="282"/>
      <c r="BB924" s="282"/>
      <c r="BC924" s="282"/>
      <c r="BD924" s="283">
        <v>42568</v>
      </c>
      <c r="BE924" s="283">
        <v>42902</v>
      </c>
      <c r="BF924" s="283">
        <v>42978</v>
      </c>
      <c r="BG924" s="283" t="s">
        <v>817</v>
      </c>
      <c r="BH924" s="284">
        <v>2000000</v>
      </c>
      <c r="BI924" s="282" t="s">
        <v>13817</v>
      </c>
      <c r="BJ924" s="282" t="s">
        <v>13818</v>
      </c>
      <c r="BK924" s="282" t="s">
        <v>13819</v>
      </c>
      <c r="BL924" s="282"/>
      <c r="BM924" s="282"/>
      <c r="BN924" s="282"/>
      <c r="BO924" s="282" t="s">
        <v>320</v>
      </c>
      <c r="BP924" s="282" t="s">
        <v>319</v>
      </c>
      <c r="BQ924" s="282" t="s">
        <v>319</v>
      </c>
      <c r="BR924" s="282" t="s">
        <v>13829</v>
      </c>
      <c r="BS924" s="282" t="s">
        <v>357</v>
      </c>
      <c r="BT924" s="282" t="s">
        <v>13830</v>
      </c>
      <c r="BU924" s="282" t="s">
        <v>13822</v>
      </c>
      <c r="BV924" s="284">
        <v>6174</v>
      </c>
      <c r="BW924" s="284">
        <v>6426</v>
      </c>
      <c r="BX924" s="284">
        <v>12600</v>
      </c>
      <c r="BY924" s="284">
        <v>3601</v>
      </c>
      <c r="BZ924" s="284">
        <v>3748</v>
      </c>
      <c r="CA924" s="284">
        <v>7349</v>
      </c>
      <c r="CB924" s="285" t="s">
        <v>13831</v>
      </c>
      <c r="CC924" s="285"/>
      <c r="CD924" s="284">
        <v>5571</v>
      </c>
      <c r="CE924" s="284">
        <v>5614</v>
      </c>
      <c r="CF924" s="284">
        <v>11185</v>
      </c>
      <c r="CG924" s="284">
        <v>3601</v>
      </c>
      <c r="CH924" s="284">
        <v>3748</v>
      </c>
      <c r="CI924" s="284">
        <v>7349</v>
      </c>
      <c r="CJ924" s="282" t="s">
        <v>319</v>
      </c>
      <c r="CK924" s="284"/>
      <c r="CL924" s="286"/>
      <c r="CM924" s="284"/>
      <c r="CN924" s="287" t="s">
        <v>320</v>
      </c>
      <c r="CO924" s="284">
        <v>11185</v>
      </c>
      <c r="CP924" s="286">
        <v>0.498</v>
      </c>
      <c r="CQ924" s="284">
        <v>7349</v>
      </c>
      <c r="CR924" s="282" t="s">
        <v>319</v>
      </c>
      <c r="CS924" s="284"/>
      <c r="CT924" s="286"/>
      <c r="CU924" s="284"/>
      <c r="CV924" s="289" t="s">
        <v>320</v>
      </c>
      <c r="CW924" s="300">
        <v>11185</v>
      </c>
      <c r="CX924" s="308">
        <v>0.498</v>
      </c>
      <c r="CY924" s="300">
        <v>7349</v>
      </c>
      <c r="CZ924" s="282" t="s">
        <v>319</v>
      </c>
      <c r="DA924" s="284"/>
      <c r="DB924" s="286"/>
      <c r="DC924" s="284"/>
      <c r="DD924" s="287" t="s">
        <v>319</v>
      </c>
      <c r="DE924" s="284"/>
      <c r="DF924" s="286"/>
      <c r="DG924" s="284"/>
      <c r="DH924" s="282" t="s">
        <v>319</v>
      </c>
      <c r="DI924" s="284"/>
      <c r="DJ924" s="286"/>
      <c r="DK924" s="284"/>
      <c r="DL924" s="282" t="s">
        <v>319</v>
      </c>
      <c r="DM924" s="284"/>
      <c r="DN924" s="286"/>
      <c r="DO924" s="284"/>
      <c r="DP924" s="282" t="s">
        <v>319</v>
      </c>
      <c r="DQ924" s="284"/>
      <c r="DR924" s="286"/>
      <c r="DS924" s="284"/>
      <c r="DT924" s="282" t="s">
        <v>319</v>
      </c>
      <c r="DU924" s="284"/>
      <c r="DV924" s="286"/>
      <c r="DW924" s="284"/>
      <c r="DX924" s="282" t="s">
        <v>319</v>
      </c>
      <c r="DY924" s="284"/>
      <c r="DZ924" s="286"/>
      <c r="EA924" s="284"/>
      <c r="EB924" s="282" t="s">
        <v>319</v>
      </c>
      <c r="EC924" s="284"/>
      <c r="ED924" s="286"/>
      <c r="EE924" s="284"/>
      <c r="EF924" s="285"/>
      <c r="EG924" s="287"/>
      <c r="EH924" s="284"/>
      <c r="EI924" s="286"/>
      <c r="EJ924" s="284"/>
      <c r="EK924" s="284"/>
      <c r="EL924" s="284"/>
      <c r="EM924" s="284"/>
      <c r="EN924" s="284"/>
      <c r="EO924" s="284"/>
      <c r="EP924" s="284"/>
      <c r="EQ924" s="282"/>
      <c r="ER924" s="284"/>
      <c r="ES924" s="286"/>
      <c r="ET924" s="284"/>
      <c r="EU924" s="305"/>
      <c r="EV924" s="300"/>
      <c r="EW924" s="308"/>
      <c r="EX924" s="300"/>
      <c r="EY924" s="282"/>
      <c r="EZ924" s="284"/>
      <c r="FA924" s="286"/>
      <c r="FB924" s="284"/>
      <c r="FC924" s="282"/>
      <c r="FD924" s="284"/>
      <c r="FE924" s="286"/>
      <c r="FF924" s="284"/>
      <c r="FG924" s="282"/>
      <c r="FH924" s="284"/>
      <c r="FI924" s="286"/>
      <c r="FJ924" s="284"/>
      <c r="FK924" s="282"/>
      <c r="FL924" s="284"/>
      <c r="FM924" s="286"/>
      <c r="FN924" s="284"/>
      <c r="FO924" s="305"/>
      <c r="FP924" s="300"/>
      <c r="FQ924" s="308"/>
      <c r="FR924" s="300"/>
      <c r="FS924" s="282"/>
      <c r="FT924" s="284"/>
      <c r="FU924" s="286"/>
      <c r="FV924" s="284"/>
      <c r="FW924" s="282"/>
      <c r="FX924" s="284"/>
      <c r="FY924" s="286"/>
      <c r="FZ924" s="284"/>
      <c r="GA924" s="282"/>
      <c r="GB924" s="284"/>
      <c r="GC924" s="286"/>
      <c r="GD924" s="284"/>
      <c r="GE924" s="282"/>
      <c r="GF924" s="284"/>
      <c r="GG924" s="286"/>
      <c r="GH924" s="284"/>
      <c r="GI924" s="282"/>
      <c r="GJ924" s="284"/>
      <c r="GK924" s="286"/>
      <c r="GL924" s="284"/>
      <c r="GM924" s="282"/>
      <c r="GN924" s="284"/>
      <c r="GO924" s="286"/>
      <c r="GP924" s="284"/>
      <c r="GQ924" s="282"/>
      <c r="GR924" s="284"/>
      <c r="GS924" s="286"/>
      <c r="GT924" s="284"/>
      <c r="GU924" s="282"/>
      <c r="GV924" s="284"/>
      <c r="GW924" s="286"/>
      <c r="GX924" s="284"/>
      <c r="GY924" s="282"/>
      <c r="GZ924" s="284"/>
      <c r="HA924" s="286"/>
      <c r="HB924" s="284"/>
      <c r="HC924" s="282"/>
      <c r="HD924" s="282"/>
      <c r="HE924" s="284"/>
      <c r="HF924" s="286"/>
      <c r="HG924" s="284"/>
      <c r="HH924" s="282" t="s">
        <v>320</v>
      </c>
      <c r="HI924" s="282" t="s">
        <v>328</v>
      </c>
      <c r="HJ924" s="282">
        <v>2016</v>
      </c>
      <c r="HK924" s="282" t="s">
        <v>320</v>
      </c>
      <c r="HL924" s="282" t="s">
        <v>320</v>
      </c>
      <c r="HM924" s="282" t="s">
        <v>327</v>
      </c>
      <c r="HN924" s="282">
        <v>2017</v>
      </c>
      <c r="HO924" s="282" t="s">
        <v>13832</v>
      </c>
      <c r="HP924" s="282" t="s">
        <v>418</v>
      </c>
      <c r="HQ924" s="282"/>
      <c r="HR924" s="282"/>
      <c r="HS924" s="282"/>
      <c r="HT924" s="282"/>
      <c r="HU924" s="282"/>
      <c r="HV924" s="282"/>
      <c r="HW924" s="282"/>
      <c r="HX924" s="282"/>
      <c r="HY924" s="282"/>
      <c r="HZ924" s="282" t="s">
        <v>363</v>
      </c>
      <c r="IA924" s="282"/>
      <c r="IB924" s="282" t="s">
        <v>333</v>
      </c>
      <c r="IC924" s="282"/>
      <c r="ID924" s="282" t="s">
        <v>334</v>
      </c>
      <c r="IE924" s="282" t="s">
        <v>335</v>
      </c>
      <c r="IF924" s="282" t="s">
        <v>320</v>
      </c>
      <c r="IG924" s="282" t="s">
        <v>320</v>
      </c>
      <c r="IH924" s="282" t="s">
        <v>320</v>
      </c>
      <c r="II924" s="282" t="s">
        <v>320</v>
      </c>
      <c r="IJ924" s="12" t="str">
        <f t="shared" si="602"/>
        <v>2. Sensitive</v>
      </c>
      <c r="IK924" s="287">
        <f t="shared" si="604"/>
        <v>4</v>
      </c>
      <c r="IL924" s="282" t="s">
        <v>723</v>
      </c>
      <c r="IM924" s="282" t="s">
        <v>320</v>
      </c>
      <c r="IN924" s="282" t="s">
        <v>320</v>
      </c>
      <c r="IO924" s="282" t="s">
        <v>319</v>
      </c>
      <c r="IP924" s="282" t="s">
        <v>319</v>
      </c>
      <c r="IQ924" s="287" t="str">
        <f t="shared" si="605"/>
        <v>0. Unaware</v>
      </c>
      <c r="IR924" s="287">
        <f t="shared" si="606"/>
        <v>2</v>
      </c>
      <c r="IS924" s="282" t="s">
        <v>337</v>
      </c>
      <c r="IT924" s="282" t="s">
        <v>320</v>
      </c>
      <c r="IU924" s="282" t="s">
        <v>320</v>
      </c>
      <c r="IV924" s="282" t="s">
        <v>319</v>
      </c>
      <c r="IW924" s="11" t="str">
        <f t="shared" si="607"/>
        <v>1. Neutral</v>
      </c>
      <c r="IX924" s="287">
        <f t="shared" si="608"/>
        <v>2</v>
      </c>
      <c r="IY924" s="282" t="s">
        <v>338</v>
      </c>
      <c r="IZ924" s="282" t="s">
        <v>339</v>
      </c>
      <c r="JA924" s="282"/>
      <c r="JB924" s="282"/>
      <c r="JC924" s="282"/>
      <c r="JD924" s="282"/>
      <c r="JE924" s="282" t="s">
        <v>420</v>
      </c>
      <c r="JF924" s="282"/>
      <c r="JG924" s="282" t="s">
        <v>13792</v>
      </c>
      <c r="JH924" s="282"/>
      <c r="JI924" s="282"/>
      <c r="JJ924" s="282"/>
      <c r="JK924" s="282" t="s">
        <v>13833</v>
      </c>
      <c r="JL924" s="282" t="s">
        <v>13834</v>
      </c>
      <c r="JM924" s="282" t="s">
        <v>13835</v>
      </c>
      <c r="JN924" s="282"/>
      <c r="JO924" s="282"/>
      <c r="JP924" s="15">
        <f t="shared" si="609"/>
        <v>11185</v>
      </c>
      <c r="JQ924" s="15">
        <f t="shared" si="610"/>
        <v>7349</v>
      </c>
      <c r="JR924" s="279">
        <f t="shared" si="611"/>
        <v>0.6570406794814484</v>
      </c>
      <c r="JS924" s="17">
        <f t="shared" si="612"/>
        <v>0.49807778274474745</v>
      </c>
      <c r="JT924" s="18">
        <f t="shared" si="613"/>
        <v>0.48999863927064907</v>
      </c>
      <c r="JU924" s="280">
        <f t="shared" si="614"/>
        <v>5571</v>
      </c>
      <c r="JV924" s="280">
        <f t="shared" si="615"/>
        <v>3601</v>
      </c>
      <c r="JW924" s="319">
        <f t="shared" si="616"/>
        <v>1</v>
      </c>
      <c r="JX924" s="15">
        <f t="shared" si="617"/>
        <v>11185</v>
      </c>
      <c r="JY924" s="15">
        <f t="shared" si="618"/>
        <v>7349</v>
      </c>
      <c r="JZ924" s="19">
        <f t="shared" si="619"/>
        <v>0.6570406794814484</v>
      </c>
      <c r="KA924" s="52">
        <f t="shared" si="620"/>
        <v>1</v>
      </c>
      <c r="KB924" s="15">
        <f t="shared" si="621"/>
        <v>11185</v>
      </c>
      <c r="KC924" s="15">
        <f t="shared" si="622"/>
        <v>7349</v>
      </c>
      <c r="KD924" s="20">
        <f t="shared" si="623"/>
        <v>0.6570406794814484</v>
      </c>
      <c r="KE924" s="52" t="str">
        <f t="shared" si="624"/>
        <v/>
      </c>
      <c r="KF924" s="15">
        <f t="shared" si="625"/>
        <v>0</v>
      </c>
      <c r="KG924" s="15">
        <f t="shared" si="626"/>
        <v>0</v>
      </c>
      <c r="KH924" s="21" t="str">
        <f t="shared" si="627"/>
        <v/>
      </c>
      <c r="KI924" s="52" t="str">
        <f t="shared" si="628"/>
        <v/>
      </c>
      <c r="KJ924" s="15">
        <f t="shared" si="629"/>
        <v>0</v>
      </c>
      <c r="KK924" s="15">
        <f t="shared" si="630"/>
        <v>0</v>
      </c>
      <c r="KL924" s="19" t="str">
        <f t="shared" si="631"/>
        <v/>
      </c>
      <c r="KM924" s="52" t="str">
        <f t="shared" si="632"/>
        <v/>
      </c>
      <c r="KN924" s="22">
        <f t="shared" si="633"/>
        <v>0</v>
      </c>
      <c r="KO924" s="22">
        <f t="shared" si="634"/>
        <v>0</v>
      </c>
      <c r="KP924" s="19" t="str">
        <f t="shared" si="635"/>
        <v/>
      </c>
      <c r="KQ924" s="11" t="str">
        <f t="shared" si="636"/>
        <v>2. Sensitive</v>
      </c>
      <c r="KR924" s="11" t="str">
        <f t="shared" si="637"/>
        <v>0. Unaware</v>
      </c>
      <c r="KS924" s="11" t="str">
        <f t="shared" si="638"/>
        <v>1. Neutral</v>
      </c>
      <c r="KT924" s="11" t="str">
        <f t="shared" si="639"/>
        <v>It did not develop any specific innovation</v>
      </c>
      <c r="KU924" s="11" t="str">
        <f t="shared" si="640"/>
        <v>Little or no advocacy</v>
      </c>
      <c r="KV924" s="11" t="str">
        <f t="shared" si="641"/>
        <v>It did not take tested solutions to scale</v>
      </c>
      <c r="KW924" s="11" t="str">
        <f t="shared" si="642"/>
        <v>Yemen - Yemen Emergency Food Assistance (YEFA)</v>
      </c>
      <c r="KX924" s="11" t="str">
        <f t="shared" si="643"/>
        <v>Yemen Emergency Food Assistance (YEFA)</v>
      </c>
      <c r="KY924" s="11" t="str">
        <f t="shared" si="644"/>
        <v>Yemen</v>
      </c>
      <c r="KZ924" s="12">
        <v>925</v>
      </c>
    </row>
    <row r="925" spans="1:312" x14ac:dyDescent="0.3">
      <c r="A925" s="12" t="s">
        <v>13917</v>
      </c>
      <c r="B925" s="12" t="s">
        <v>7217</v>
      </c>
      <c r="C925" s="12"/>
      <c r="D925" s="12" t="s">
        <v>3262</v>
      </c>
      <c r="E925" s="277" t="str">
        <f t="shared" si="603"/>
        <v>Zambia</v>
      </c>
      <c r="F925" s="12"/>
      <c r="G925" s="12" t="s">
        <v>379</v>
      </c>
      <c r="H925" s="12" t="s">
        <v>489</v>
      </c>
      <c r="I925" s="12" t="s">
        <v>384</v>
      </c>
      <c r="J925" s="281" t="s">
        <v>14613</v>
      </c>
      <c r="K925" s="12"/>
      <c r="L925" s="12"/>
      <c r="M925" s="12"/>
      <c r="N925" s="12"/>
      <c r="O925" s="12"/>
      <c r="P925" s="12"/>
      <c r="Q925" s="12"/>
      <c r="R925" s="12"/>
      <c r="S925" s="12"/>
      <c r="T925" s="12"/>
      <c r="U925" s="12"/>
      <c r="V925" s="12"/>
      <c r="W925" s="12"/>
      <c r="X925" s="12"/>
      <c r="Y925" s="12"/>
      <c r="Z925" s="12"/>
      <c r="AA925" s="12"/>
      <c r="AB925" s="12"/>
      <c r="AC925" s="12"/>
      <c r="AD925" s="12"/>
      <c r="BD925" s="13">
        <v>41859</v>
      </c>
      <c r="BE925" s="13">
        <v>42735</v>
      </c>
      <c r="BF925" s="13">
        <v>43100</v>
      </c>
      <c r="BG925" s="12" t="s">
        <v>749</v>
      </c>
      <c r="BH925" s="14">
        <v>1127356</v>
      </c>
      <c r="BI925" s="12" t="s">
        <v>3263</v>
      </c>
      <c r="BJ925" s="12" t="s">
        <v>3264</v>
      </c>
      <c r="BK925" s="12" t="s">
        <v>3265</v>
      </c>
      <c r="BL925" s="12" t="s">
        <v>3266</v>
      </c>
      <c r="BM925" s="12" t="s">
        <v>3267</v>
      </c>
      <c r="BN925" s="12" t="s">
        <v>3268</v>
      </c>
      <c r="BO925" s="12" t="s">
        <v>319</v>
      </c>
      <c r="BP925" s="12" t="s">
        <v>320</v>
      </c>
      <c r="BQ925" s="12" t="s">
        <v>319</v>
      </c>
      <c r="BR925" s="12" t="s">
        <v>9515</v>
      </c>
      <c r="BS925" s="12" t="s">
        <v>615</v>
      </c>
      <c r="BT925" s="12" t="s">
        <v>3270</v>
      </c>
      <c r="BU925" s="12" t="s">
        <v>3271</v>
      </c>
      <c r="BV925" s="14"/>
      <c r="BW925" s="14"/>
      <c r="BX925" s="14">
        <v>425</v>
      </c>
      <c r="BY925" s="14"/>
      <c r="BZ925" s="14"/>
      <c r="CA925" s="14"/>
      <c r="CB925" s="12"/>
      <c r="CD925" s="14"/>
      <c r="CE925" s="14"/>
      <c r="CF925" s="14"/>
      <c r="CG925" s="14"/>
      <c r="CH925" s="14"/>
      <c r="CI925" s="14"/>
      <c r="CJ925" s="12"/>
      <c r="CK925" s="14"/>
      <c r="CL925" s="16"/>
      <c r="CM925" s="14"/>
      <c r="CN925" s="12"/>
      <c r="CO925" s="14"/>
      <c r="CP925" s="16"/>
      <c r="CQ925" s="14"/>
      <c r="CR925" s="12"/>
      <c r="CS925" s="14"/>
      <c r="CT925" s="16"/>
      <c r="CU925" s="14"/>
      <c r="CV925" s="12"/>
      <c r="CW925" s="14"/>
      <c r="CX925" s="16"/>
      <c r="CY925" s="14"/>
      <c r="CZ925" s="12"/>
      <c r="DA925" s="14"/>
      <c r="DB925" s="16"/>
      <c r="DC925" s="14"/>
      <c r="DD925" s="12"/>
      <c r="DE925" s="14"/>
      <c r="DF925" s="16"/>
      <c r="DG925" s="14"/>
      <c r="DH925" s="12"/>
      <c r="DI925" s="14"/>
      <c r="DJ925" s="16"/>
      <c r="DK925" s="14"/>
      <c r="DL925" s="12"/>
      <c r="DM925" s="14"/>
      <c r="DN925" s="16"/>
      <c r="DO925" s="14"/>
      <c r="DP925" s="12"/>
      <c r="DQ925" s="14"/>
      <c r="DR925" s="16"/>
      <c r="DS925" s="14"/>
      <c r="DT925" s="12"/>
      <c r="DU925" s="14"/>
      <c r="DV925" s="16"/>
      <c r="DW925" s="14"/>
      <c r="DX925" s="12"/>
      <c r="DY925" s="14"/>
      <c r="DZ925" s="16"/>
      <c r="EA925" s="14"/>
      <c r="EB925" s="12"/>
      <c r="EC925" s="14"/>
      <c r="ED925" s="16"/>
      <c r="EE925" s="14"/>
      <c r="EF925" s="12"/>
      <c r="EG925" s="12"/>
      <c r="EH925" s="14"/>
      <c r="EI925" s="16"/>
      <c r="EJ925" s="14"/>
      <c r="EK925" s="14"/>
      <c r="EL925" s="14"/>
      <c r="EM925" s="14"/>
      <c r="EN925" s="14"/>
      <c r="EO925" s="14"/>
      <c r="EP925" s="14"/>
      <c r="EQ925" s="12" t="s">
        <v>319</v>
      </c>
      <c r="ER925" s="14"/>
      <c r="ES925" s="16"/>
      <c r="ET925" s="14"/>
      <c r="EU925" s="11" t="s">
        <v>319</v>
      </c>
      <c r="EV925" s="14"/>
      <c r="EW925" s="16"/>
      <c r="EX925" s="14"/>
      <c r="EY925" s="12" t="s">
        <v>319</v>
      </c>
      <c r="EZ925" s="14"/>
      <c r="FA925" s="16"/>
      <c r="FB925" s="14"/>
      <c r="FC925" s="12" t="s">
        <v>319</v>
      </c>
      <c r="FD925" s="14"/>
      <c r="FE925" s="16"/>
      <c r="FF925" s="14"/>
      <c r="FG925" s="12" t="s">
        <v>319</v>
      </c>
      <c r="FH925" s="14"/>
      <c r="FI925" s="16"/>
      <c r="FJ925" s="14"/>
      <c r="FK925" s="12" t="s">
        <v>319</v>
      </c>
      <c r="FL925" s="14"/>
      <c r="FM925" s="16"/>
      <c r="FN925" s="14"/>
      <c r="FO925" s="12" t="s">
        <v>320</v>
      </c>
      <c r="FP925" s="14">
        <v>425</v>
      </c>
      <c r="FQ925" s="16"/>
      <c r="FR925" s="14"/>
      <c r="FS925" s="12" t="s">
        <v>319</v>
      </c>
      <c r="FT925" s="14"/>
      <c r="FU925" s="16"/>
      <c r="FV925" s="14"/>
      <c r="FW925" s="12" t="s">
        <v>319</v>
      </c>
      <c r="FX925" s="14"/>
      <c r="FY925" s="16"/>
      <c r="FZ925" s="14"/>
      <c r="GA925" s="12" t="s">
        <v>319</v>
      </c>
      <c r="GB925" s="14"/>
      <c r="GC925" s="16"/>
      <c r="GD925" s="14"/>
      <c r="GE925" s="12" t="s">
        <v>319</v>
      </c>
      <c r="GF925" s="14"/>
      <c r="GG925" s="16"/>
      <c r="GH925" s="14"/>
      <c r="GI925" s="12" t="s">
        <v>319</v>
      </c>
      <c r="GJ925" s="14"/>
      <c r="GK925" s="16"/>
      <c r="GL925" s="14"/>
      <c r="GM925" s="12" t="s">
        <v>319</v>
      </c>
      <c r="GN925" s="14"/>
      <c r="GO925" s="16"/>
      <c r="GP925" s="14"/>
      <c r="GQ925" s="12" t="s">
        <v>319</v>
      </c>
      <c r="GR925" s="14"/>
      <c r="GS925" s="16"/>
      <c r="GT925" s="14"/>
      <c r="GU925" s="12" t="s">
        <v>319</v>
      </c>
      <c r="GV925" s="14"/>
      <c r="GW925" s="16"/>
      <c r="GX925" s="14"/>
      <c r="GY925" s="12" t="s">
        <v>319</v>
      </c>
      <c r="GZ925" s="14"/>
      <c r="HA925" s="16"/>
      <c r="HB925" s="14"/>
      <c r="HC925" s="12"/>
      <c r="HD925" s="12" t="s">
        <v>319</v>
      </c>
      <c r="HE925" s="14"/>
      <c r="HF925" s="16"/>
      <c r="HG925" s="14"/>
      <c r="HH925" s="12"/>
      <c r="HI925" s="12"/>
      <c r="HJ925" s="12"/>
      <c r="HK925" s="12"/>
      <c r="HL925" s="12"/>
      <c r="HM925" s="12"/>
      <c r="HN925" s="12"/>
      <c r="HO925" s="12"/>
      <c r="HP925" s="12"/>
      <c r="HQ925" s="12"/>
      <c r="HR925" s="12"/>
      <c r="HS925" s="12"/>
      <c r="HT925" s="12"/>
      <c r="HU925" s="12"/>
      <c r="HV925" s="12"/>
      <c r="HW925" s="12"/>
      <c r="HX925" s="12"/>
      <c r="HY925" s="12"/>
      <c r="HZ925" s="12"/>
      <c r="IA925" s="12"/>
      <c r="IB925" s="12"/>
      <c r="IC925" s="12"/>
      <c r="ID925" s="12"/>
      <c r="IE925" s="12"/>
      <c r="IF925" s="12"/>
      <c r="IG925" s="12"/>
      <c r="IH925" s="12"/>
      <c r="II925" s="12"/>
      <c r="IJ925" s="12" t="str">
        <f t="shared" si="602"/>
        <v>No marker score</v>
      </c>
      <c r="IK925" s="12">
        <f t="shared" si="604"/>
        <v>0</v>
      </c>
      <c r="IL925" s="12"/>
      <c r="IM925" s="12"/>
      <c r="IN925" s="12"/>
      <c r="IO925" s="12"/>
      <c r="IP925" s="12"/>
      <c r="IQ925" s="12" t="str">
        <f t="shared" si="605"/>
        <v>No marker score</v>
      </c>
      <c r="IR925" s="12">
        <f t="shared" si="606"/>
        <v>0</v>
      </c>
      <c r="IS925" s="12"/>
      <c r="IT925" s="12"/>
      <c r="IU925" s="12"/>
      <c r="IV925" s="12"/>
      <c r="IW925" s="11" t="str">
        <f t="shared" si="607"/>
        <v>No marker score</v>
      </c>
      <c r="IX925" s="12">
        <f t="shared" si="608"/>
        <v>0</v>
      </c>
      <c r="IY925" s="12"/>
      <c r="IZ925" s="12"/>
      <c r="JA925" s="12"/>
      <c r="JB925" s="12"/>
      <c r="JC925" s="12"/>
      <c r="JD925" s="12"/>
      <c r="JE925" s="12"/>
      <c r="JF925" s="12"/>
      <c r="JG925" s="12"/>
      <c r="JH925" s="12"/>
      <c r="JI925" s="12"/>
      <c r="JJ925" s="12"/>
      <c r="JK925" s="12"/>
      <c r="JL925" s="12"/>
      <c r="JM925" s="12"/>
      <c r="JN925" s="12"/>
      <c r="JO925" s="12"/>
      <c r="JP925" s="15">
        <f t="shared" si="609"/>
        <v>0</v>
      </c>
      <c r="JQ925" s="15">
        <f t="shared" si="610"/>
        <v>0</v>
      </c>
      <c r="JR925" s="279" t="str">
        <f t="shared" si="611"/>
        <v/>
      </c>
      <c r="JS925" s="17" t="str">
        <f t="shared" si="612"/>
        <v/>
      </c>
      <c r="JT925" s="18" t="str">
        <f t="shared" si="613"/>
        <v/>
      </c>
      <c r="JU925" s="280">
        <f t="shared" si="614"/>
        <v>0</v>
      </c>
      <c r="JV925" s="280">
        <f t="shared" si="615"/>
        <v>0</v>
      </c>
      <c r="JW925" s="319" t="str">
        <f t="shared" si="616"/>
        <v/>
      </c>
      <c r="JX925" s="15">
        <f t="shared" si="617"/>
        <v>0</v>
      </c>
      <c r="JY925" s="15">
        <f t="shared" si="618"/>
        <v>0</v>
      </c>
      <c r="JZ925" s="19" t="str">
        <f t="shared" si="619"/>
        <v/>
      </c>
      <c r="KA925" s="52">
        <f t="shared" si="620"/>
        <v>1</v>
      </c>
      <c r="KB925" s="15">
        <f t="shared" si="621"/>
        <v>425</v>
      </c>
      <c r="KC925" s="15">
        <f t="shared" si="622"/>
        <v>0</v>
      </c>
      <c r="KD925" s="20">
        <f t="shared" si="623"/>
        <v>0</v>
      </c>
      <c r="KE925" s="52" t="str">
        <f t="shared" si="624"/>
        <v/>
      </c>
      <c r="KF925" s="15">
        <f t="shared" si="625"/>
        <v>0</v>
      </c>
      <c r="KG925" s="15">
        <f t="shared" si="626"/>
        <v>0</v>
      </c>
      <c r="KH925" s="21" t="str">
        <f t="shared" si="627"/>
        <v/>
      </c>
      <c r="KI925" s="52" t="str">
        <f t="shared" si="628"/>
        <v/>
      </c>
      <c r="KJ925" s="15">
        <f t="shared" si="629"/>
        <v>0</v>
      </c>
      <c r="KK925" s="15">
        <f t="shared" si="630"/>
        <v>0</v>
      </c>
      <c r="KL925" s="19" t="str">
        <f t="shared" si="631"/>
        <v/>
      </c>
      <c r="KM925" s="52" t="str">
        <f t="shared" si="632"/>
        <v/>
      </c>
      <c r="KN925" s="22">
        <f t="shared" si="633"/>
        <v>0</v>
      </c>
      <c r="KO925" s="22">
        <f t="shared" si="634"/>
        <v>0</v>
      </c>
      <c r="KP925" s="19" t="str">
        <f t="shared" si="635"/>
        <v/>
      </c>
      <c r="KQ925" s="11" t="str">
        <f t="shared" si="636"/>
        <v>No marker score</v>
      </c>
      <c r="KR925" s="11" t="str">
        <f t="shared" si="637"/>
        <v>No marker score</v>
      </c>
      <c r="KS925" s="11" t="str">
        <f t="shared" si="638"/>
        <v>No marker score</v>
      </c>
      <c r="KT925" s="11">
        <f t="shared" si="639"/>
        <v>0</v>
      </c>
      <c r="KU925" s="11">
        <f t="shared" si="640"/>
        <v>0</v>
      </c>
      <c r="KV925" s="11">
        <f t="shared" si="641"/>
        <v>0</v>
      </c>
      <c r="KW925" s="11" t="str">
        <f t="shared" si="642"/>
        <v>Zambia - Amway Nutrilite Little Bits</v>
      </c>
      <c r="KX925" s="11" t="str">
        <f t="shared" si="643"/>
        <v>Amway Nutrilite Little Bits</v>
      </c>
      <c r="KY925" s="11" t="str">
        <f t="shared" si="644"/>
        <v>Zambia</v>
      </c>
      <c r="KZ925" s="12">
        <v>926</v>
      </c>
    </row>
    <row r="926" spans="1:312" x14ac:dyDescent="0.3">
      <c r="A926" s="12" t="s">
        <v>13917</v>
      </c>
      <c r="B926" s="12" t="s">
        <v>7217</v>
      </c>
      <c r="C926" s="12"/>
      <c r="D926" s="12" t="s">
        <v>13949</v>
      </c>
      <c r="E926" s="277" t="str">
        <f t="shared" si="603"/>
        <v>Zambia</v>
      </c>
      <c r="F926" s="12" t="s">
        <v>13950</v>
      </c>
      <c r="G926" s="12" t="s">
        <v>1738</v>
      </c>
      <c r="H926" s="12" t="s">
        <v>310</v>
      </c>
      <c r="I926" s="12" t="s">
        <v>2595</v>
      </c>
      <c r="J926" s="281" t="s">
        <v>14601</v>
      </c>
      <c r="K926" s="12"/>
      <c r="L926" s="12"/>
      <c r="M926" s="12"/>
      <c r="N926" s="12"/>
      <c r="O926" s="12"/>
      <c r="P926" s="12"/>
      <c r="Q926" s="12"/>
      <c r="R926" s="12"/>
      <c r="S926" s="12"/>
      <c r="T926" s="12"/>
      <c r="U926" s="12"/>
      <c r="V926" s="12"/>
      <c r="W926" s="12"/>
      <c r="X926" s="12"/>
      <c r="Y926" s="12"/>
      <c r="Z926" s="12"/>
      <c r="AA926" s="12"/>
      <c r="AB926" s="12"/>
      <c r="AC926" s="12"/>
      <c r="AD926" s="12"/>
      <c r="BD926" s="13">
        <v>42401</v>
      </c>
      <c r="BE926" s="12"/>
      <c r="BF926" s="12"/>
      <c r="BG926" s="12" t="s">
        <v>908</v>
      </c>
      <c r="BH926" s="14">
        <v>500000</v>
      </c>
      <c r="BI926" s="12" t="s">
        <v>13920</v>
      </c>
      <c r="BJ926" s="12" t="s">
        <v>980</v>
      </c>
      <c r="BK926" s="12" t="s">
        <v>13951</v>
      </c>
      <c r="BL926" s="12" t="s">
        <v>13952</v>
      </c>
      <c r="BM926" s="12" t="s">
        <v>354</v>
      </c>
      <c r="BN926" s="12" t="s">
        <v>13953</v>
      </c>
      <c r="BO926" s="12" t="s">
        <v>320</v>
      </c>
      <c r="BP926" s="12" t="s">
        <v>320</v>
      </c>
      <c r="BQ926" s="12" t="s">
        <v>320</v>
      </c>
      <c r="BR926" s="12" t="s">
        <v>13954</v>
      </c>
      <c r="BS926" s="12" t="s">
        <v>357</v>
      </c>
      <c r="BT926" s="12" t="s">
        <v>13955</v>
      </c>
      <c r="BU926" s="12" t="s">
        <v>13956</v>
      </c>
      <c r="BV926" s="14">
        <v>2758</v>
      </c>
      <c r="BW926" s="14">
        <v>0</v>
      </c>
      <c r="BX926" s="14">
        <v>2758</v>
      </c>
      <c r="BY926" s="14">
        <v>7033</v>
      </c>
      <c r="BZ926" s="14">
        <v>6757</v>
      </c>
      <c r="CA926" s="14">
        <v>13790</v>
      </c>
      <c r="CB926" s="12" t="s">
        <v>13957</v>
      </c>
      <c r="CD926" s="14"/>
      <c r="CE926" s="14"/>
      <c r="CF926" s="14"/>
      <c r="CG926" s="14"/>
      <c r="CH926" s="14"/>
      <c r="CI926" s="14"/>
      <c r="CJ926" s="12"/>
      <c r="CK926" s="14"/>
      <c r="CL926" s="16"/>
      <c r="CM926" s="14"/>
      <c r="CN926" s="12"/>
      <c r="CO926" s="14"/>
      <c r="CP926" s="16"/>
      <c r="CQ926" s="14"/>
      <c r="CR926" s="12"/>
      <c r="CS926" s="14"/>
      <c r="CT926" s="16"/>
      <c r="CU926" s="14"/>
      <c r="CV926" s="12" t="s">
        <v>320</v>
      </c>
      <c r="CW926" s="14">
        <v>2758</v>
      </c>
      <c r="CX926" s="16">
        <v>1</v>
      </c>
      <c r="CY926" s="14">
        <v>13790</v>
      </c>
      <c r="CZ926" s="12"/>
      <c r="DA926" s="14"/>
      <c r="DB926" s="16"/>
      <c r="DC926" s="14"/>
      <c r="DD926" s="12"/>
      <c r="DE926" s="14"/>
      <c r="DF926" s="16"/>
      <c r="DG926" s="14"/>
      <c r="DH926" s="12"/>
      <c r="DI926" s="14"/>
      <c r="DJ926" s="16"/>
      <c r="DK926" s="14"/>
      <c r="DL926" s="12"/>
      <c r="DM926" s="14"/>
      <c r="DN926" s="16"/>
      <c r="DO926" s="14"/>
      <c r="DP926" s="12"/>
      <c r="DQ926" s="14"/>
      <c r="DR926" s="16"/>
      <c r="DS926" s="14"/>
      <c r="DT926" s="12"/>
      <c r="DU926" s="14"/>
      <c r="DV926" s="16"/>
      <c r="DW926" s="14"/>
      <c r="DX926" s="12"/>
      <c r="DY926" s="14"/>
      <c r="DZ926" s="16"/>
      <c r="EA926" s="14"/>
      <c r="EB926" s="12"/>
      <c r="EC926" s="14"/>
      <c r="ED926" s="16"/>
      <c r="EE926" s="14"/>
      <c r="EF926" s="12"/>
      <c r="EG926" s="12"/>
      <c r="EH926" s="14"/>
      <c r="EI926" s="16"/>
      <c r="EJ926" s="14"/>
      <c r="EK926" s="14">
        <v>1589</v>
      </c>
      <c r="EL926" s="14">
        <v>1169</v>
      </c>
      <c r="EM926" s="14">
        <v>2758</v>
      </c>
      <c r="EN926" s="14">
        <v>7033</v>
      </c>
      <c r="EO926" s="14">
        <v>6757</v>
      </c>
      <c r="EP926" s="14">
        <v>13790</v>
      </c>
      <c r="EQ926" s="12" t="s">
        <v>320</v>
      </c>
      <c r="ER926" s="14">
        <v>2758</v>
      </c>
      <c r="ES926" s="16">
        <v>0.92</v>
      </c>
      <c r="ET926" s="14">
        <v>11679</v>
      </c>
      <c r="EU926" s="12"/>
      <c r="EV926" s="14"/>
      <c r="EW926" s="16"/>
      <c r="EX926" s="14"/>
      <c r="EY926" s="12"/>
      <c r="EZ926" s="14"/>
      <c r="FA926" s="16"/>
      <c r="FB926" s="14"/>
      <c r="FC926" s="12"/>
      <c r="FD926" s="14"/>
      <c r="FE926" s="16"/>
      <c r="FF926" s="14"/>
      <c r="FG926" s="12"/>
      <c r="FH926" s="14"/>
      <c r="FI926" s="16"/>
      <c r="FJ926" s="14"/>
      <c r="FK926" s="12"/>
      <c r="FL926" s="14"/>
      <c r="FM926" s="16"/>
      <c r="FN926" s="14"/>
      <c r="FO926" s="12" t="s">
        <v>320</v>
      </c>
      <c r="FP926" s="14">
        <v>2758</v>
      </c>
      <c r="FQ926" s="16">
        <v>0.92</v>
      </c>
      <c r="FR926" s="14">
        <v>11679</v>
      </c>
      <c r="FS926" s="12"/>
      <c r="FT926" s="14"/>
      <c r="FU926" s="16"/>
      <c r="FV926" s="14"/>
      <c r="FW926" s="12"/>
      <c r="FX926" s="14"/>
      <c r="FY926" s="16"/>
      <c r="FZ926" s="14"/>
      <c r="GA926" s="12"/>
      <c r="GB926" s="14"/>
      <c r="GC926" s="16"/>
      <c r="GD926" s="14"/>
      <c r="GE926" s="12"/>
      <c r="GF926" s="14"/>
      <c r="GG926" s="16"/>
      <c r="GH926" s="14"/>
      <c r="GI926" s="12"/>
      <c r="GJ926" s="14"/>
      <c r="GK926" s="16"/>
      <c r="GL926" s="14"/>
      <c r="GM926" s="12"/>
      <c r="GN926" s="14"/>
      <c r="GO926" s="16"/>
      <c r="GP926" s="14"/>
      <c r="GQ926" s="12"/>
      <c r="GR926" s="14"/>
      <c r="GS926" s="16"/>
      <c r="GT926" s="14"/>
      <c r="GU926" s="12" t="s">
        <v>320</v>
      </c>
      <c r="GV926" s="14">
        <v>2450</v>
      </c>
      <c r="GW926" s="16">
        <v>0.89</v>
      </c>
      <c r="GX926" s="14">
        <v>11515</v>
      </c>
      <c r="GY926" s="12"/>
      <c r="GZ926" s="14"/>
      <c r="HA926" s="16"/>
      <c r="HB926" s="14"/>
      <c r="HC926" s="12"/>
      <c r="HD926" s="12"/>
      <c r="HE926" s="14"/>
      <c r="HF926" s="16"/>
      <c r="HG926" s="14"/>
      <c r="HH926" s="12" t="s">
        <v>319</v>
      </c>
      <c r="HI926" s="12"/>
      <c r="HJ926" s="12"/>
      <c r="HK926" s="12"/>
      <c r="HL926" s="12" t="s">
        <v>319</v>
      </c>
      <c r="HM926" s="12"/>
      <c r="HN926" s="12"/>
      <c r="HO926" s="12" t="s">
        <v>13958</v>
      </c>
      <c r="HP926" s="12" t="s">
        <v>418</v>
      </c>
      <c r="HQ926" s="12"/>
      <c r="HR926" s="12"/>
      <c r="HS926" s="12"/>
      <c r="HT926" s="12"/>
      <c r="HU926" s="12"/>
      <c r="HV926" s="12"/>
      <c r="HW926" s="12"/>
      <c r="HX926" s="12"/>
      <c r="HY926" s="12"/>
      <c r="HZ926" s="12" t="s">
        <v>394</v>
      </c>
      <c r="IA926" s="12" t="s">
        <v>13959</v>
      </c>
      <c r="IB926" s="12" t="s">
        <v>333</v>
      </c>
      <c r="IC926" s="12"/>
      <c r="ID926" s="12" t="s">
        <v>364</v>
      </c>
      <c r="IE926" s="12" t="s">
        <v>335</v>
      </c>
      <c r="IF926" s="12" t="s">
        <v>319</v>
      </c>
      <c r="IG926" s="12" t="s">
        <v>320</v>
      </c>
      <c r="IH926" s="12" t="s">
        <v>319</v>
      </c>
      <c r="II926" s="12" t="s">
        <v>320</v>
      </c>
      <c r="IJ926" s="12" t="str">
        <f t="shared" si="602"/>
        <v>1. Neutral</v>
      </c>
      <c r="IK926" s="12">
        <f t="shared" si="604"/>
        <v>2</v>
      </c>
      <c r="IL926" s="12" t="s">
        <v>336</v>
      </c>
      <c r="IM926" s="12" t="s">
        <v>320</v>
      </c>
      <c r="IN926" s="12" t="s">
        <v>319</v>
      </c>
      <c r="IO926" s="12" t="s">
        <v>320</v>
      </c>
      <c r="IP926" s="12" t="s">
        <v>319</v>
      </c>
      <c r="IQ926" s="12" t="str">
        <f t="shared" si="605"/>
        <v>1. Tokenistic</v>
      </c>
      <c r="IR926" s="12">
        <f t="shared" si="606"/>
        <v>2</v>
      </c>
      <c r="IS926" s="12" t="s">
        <v>337</v>
      </c>
      <c r="IT926" s="12" t="s">
        <v>320</v>
      </c>
      <c r="IU926" s="12" t="s">
        <v>320</v>
      </c>
      <c r="IV926" s="12" t="s">
        <v>319</v>
      </c>
      <c r="IW926" s="11" t="str">
        <f t="shared" si="607"/>
        <v>1. Neutral</v>
      </c>
      <c r="IX926" s="12">
        <f t="shared" si="608"/>
        <v>2</v>
      </c>
      <c r="IY926" s="12" t="s">
        <v>338</v>
      </c>
      <c r="IZ926" s="12" t="s">
        <v>457</v>
      </c>
      <c r="JA926" s="12">
        <v>6</v>
      </c>
      <c r="JB926" s="12" t="s">
        <v>687</v>
      </c>
      <c r="JC926" s="12" t="s">
        <v>624</v>
      </c>
      <c r="JD926" s="12" t="s">
        <v>651</v>
      </c>
      <c r="JE926" s="12" t="s">
        <v>420</v>
      </c>
      <c r="JF926" s="12"/>
      <c r="JG926" s="12" t="s">
        <v>13960</v>
      </c>
      <c r="JH926" s="12" t="s">
        <v>13961</v>
      </c>
      <c r="JI926" s="12" t="s">
        <v>13962</v>
      </c>
      <c r="JJ926" s="12"/>
      <c r="JK926" s="12" t="s">
        <v>13963</v>
      </c>
      <c r="JL926" s="12"/>
      <c r="JM926" s="12"/>
      <c r="JN926" s="12"/>
      <c r="JO926" s="12"/>
      <c r="JP926" s="15">
        <f t="shared" si="609"/>
        <v>2758</v>
      </c>
      <c r="JQ926" s="15">
        <f t="shared" si="610"/>
        <v>13790</v>
      </c>
      <c r="JR926" s="279">
        <f t="shared" si="611"/>
        <v>5</v>
      </c>
      <c r="JS926" s="17">
        <f t="shared" si="612"/>
        <v>0.57614213197969544</v>
      </c>
      <c r="JT926" s="18">
        <f t="shared" si="613"/>
        <v>0.51000725163161709</v>
      </c>
      <c r="JU926" s="280">
        <f t="shared" si="614"/>
        <v>1589</v>
      </c>
      <c r="JV926" s="280">
        <f t="shared" si="615"/>
        <v>7033</v>
      </c>
      <c r="JW926" s="319">
        <f t="shared" si="616"/>
        <v>1</v>
      </c>
      <c r="JX926" s="15">
        <f t="shared" si="617"/>
        <v>0</v>
      </c>
      <c r="JY926" s="15">
        <f t="shared" si="618"/>
        <v>0</v>
      </c>
      <c r="JZ926" s="19" t="str">
        <f t="shared" si="619"/>
        <v/>
      </c>
      <c r="KA926" s="52">
        <f t="shared" si="620"/>
        <v>1</v>
      </c>
      <c r="KB926" s="15">
        <f t="shared" si="621"/>
        <v>2758</v>
      </c>
      <c r="KC926" s="15">
        <f t="shared" si="622"/>
        <v>13790</v>
      </c>
      <c r="KD926" s="20">
        <f t="shared" si="623"/>
        <v>5</v>
      </c>
      <c r="KE926" s="52" t="str">
        <f t="shared" si="624"/>
        <v/>
      </c>
      <c r="KF926" s="15">
        <f t="shared" si="625"/>
        <v>0</v>
      </c>
      <c r="KG926" s="15">
        <f t="shared" si="626"/>
        <v>0</v>
      </c>
      <c r="KH926" s="21" t="str">
        <f t="shared" si="627"/>
        <v/>
      </c>
      <c r="KI926" s="52" t="str">
        <f t="shared" si="628"/>
        <v/>
      </c>
      <c r="KJ926" s="15">
        <f t="shared" si="629"/>
        <v>0</v>
      </c>
      <c r="KK926" s="15">
        <f t="shared" si="630"/>
        <v>0</v>
      </c>
      <c r="KL926" s="19" t="str">
        <f t="shared" si="631"/>
        <v/>
      </c>
      <c r="KM926" s="52" t="str">
        <f t="shared" si="632"/>
        <v/>
      </c>
      <c r="KN926" s="22">
        <f t="shared" si="633"/>
        <v>0</v>
      </c>
      <c r="KO926" s="22">
        <f t="shared" si="634"/>
        <v>0</v>
      </c>
      <c r="KP926" s="19" t="str">
        <f t="shared" si="635"/>
        <v/>
      </c>
      <c r="KQ926" s="11" t="str">
        <f t="shared" si="636"/>
        <v>1. Neutral</v>
      </c>
      <c r="KR926" s="11" t="str">
        <f t="shared" si="637"/>
        <v>1. Tokenistic</v>
      </c>
      <c r="KS926" s="11" t="str">
        <f t="shared" si="638"/>
        <v>1. Neutral</v>
      </c>
      <c r="KT926" s="11" t="str">
        <f t="shared" si="639"/>
        <v>It tested new ways for fighting poverty, but did not measure results of innovation</v>
      </c>
      <c r="KU926" s="11" t="str">
        <f t="shared" si="640"/>
        <v>Little or no advocacy</v>
      </c>
      <c r="KV926" s="11" t="str">
        <f t="shared" si="641"/>
        <v>It did not take tested solutions to scale</v>
      </c>
      <c r="KW926" s="11" t="str">
        <f t="shared" si="642"/>
        <v>Zambia - FOOD AND NUTRITION SECURITY AND ENHANCED RESILIENCE (FANSER)</v>
      </c>
      <c r="KX926" s="11" t="str">
        <f t="shared" si="643"/>
        <v>FOOD AND NUTRITION SECURITY AND ENHANCED RESILIENCE (FANSER)</v>
      </c>
      <c r="KY926" s="11" t="str">
        <f t="shared" si="644"/>
        <v>Zambia</v>
      </c>
      <c r="KZ926" s="12">
        <v>927</v>
      </c>
    </row>
    <row r="927" spans="1:312" x14ac:dyDescent="0.3">
      <c r="A927" s="12" t="s">
        <v>13917</v>
      </c>
      <c r="B927" s="12" t="s">
        <v>7217</v>
      </c>
      <c r="C927" s="12"/>
      <c r="D927" s="12" t="s">
        <v>2276</v>
      </c>
      <c r="E927" s="277" t="str">
        <f t="shared" si="603"/>
        <v>Zambia</v>
      </c>
      <c r="F927" s="12" t="s">
        <v>3436</v>
      </c>
      <c r="G927" s="12" t="s">
        <v>488</v>
      </c>
      <c r="H927" s="12" t="s">
        <v>554</v>
      </c>
      <c r="I927" s="12" t="s">
        <v>384</v>
      </c>
      <c r="J927" s="281"/>
      <c r="K927" s="12" t="s">
        <v>3436</v>
      </c>
      <c r="L927" s="12" t="s">
        <v>488</v>
      </c>
      <c r="M927" s="12" t="s">
        <v>383</v>
      </c>
      <c r="N927" s="12" t="s">
        <v>384</v>
      </c>
      <c r="O927" s="12" t="s">
        <v>2277</v>
      </c>
      <c r="P927" s="12"/>
      <c r="Q927" s="12"/>
      <c r="R927" s="12"/>
      <c r="S927" s="12"/>
      <c r="T927" s="12"/>
      <c r="U927" s="12"/>
      <c r="V927" s="12"/>
      <c r="W927" s="12"/>
      <c r="X927" s="12"/>
      <c r="Y927" s="12"/>
      <c r="Z927" s="12"/>
      <c r="AA927" s="12"/>
      <c r="AB927" s="12"/>
      <c r="AC927" s="12"/>
      <c r="AD927" s="12"/>
      <c r="BD927" s="13">
        <v>42552</v>
      </c>
      <c r="BE927" s="13">
        <v>42916</v>
      </c>
      <c r="BF927" s="12"/>
      <c r="BG927" s="12" t="s">
        <v>350</v>
      </c>
      <c r="BH927" s="14">
        <v>647296</v>
      </c>
      <c r="BI927" s="12" t="s">
        <v>2278</v>
      </c>
      <c r="BJ927" s="12" t="s">
        <v>2279</v>
      </c>
      <c r="BK927" s="12" t="s">
        <v>2280</v>
      </c>
      <c r="BL927" s="12"/>
      <c r="BM927" s="12"/>
      <c r="BN927" s="12"/>
      <c r="BO927" s="12" t="s">
        <v>319</v>
      </c>
      <c r="BP927" s="12" t="s">
        <v>320</v>
      </c>
      <c r="BQ927" s="12" t="s">
        <v>319</v>
      </c>
      <c r="BR927" s="12" t="s">
        <v>13972</v>
      </c>
      <c r="BS927" s="12" t="s">
        <v>357</v>
      </c>
      <c r="BT927" s="12" t="s">
        <v>13973</v>
      </c>
      <c r="BU927" s="12" t="s">
        <v>7548</v>
      </c>
      <c r="BV927" s="14">
        <v>3859</v>
      </c>
      <c r="BW927" s="14">
        <v>0</v>
      </c>
      <c r="BX927" s="14">
        <v>3859</v>
      </c>
      <c r="BY927" s="14">
        <v>3826</v>
      </c>
      <c r="BZ927" s="14">
        <v>3827</v>
      </c>
      <c r="CA927" s="14">
        <v>7653</v>
      </c>
      <c r="CB927" s="12" t="s">
        <v>13974</v>
      </c>
      <c r="CD927" s="14"/>
      <c r="CE927" s="14"/>
      <c r="CF927" s="14"/>
      <c r="CG927" s="14"/>
      <c r="CH927" s="14"/>
      <c r="CI927" s="14"/>
      <c r="CJ927" s="12"/>
      <c r="CK927" s="14"/>
      <c r="CL927" s="16"/>
      <c r="CM927" s="14"/>
      <c r="CN927" s="12"/>
      <c r="CO927" s="14"/>
      <c r="CP927" s="16"/>
      <c r="CQ927" s="14"/>
      <c r="CR927" s="12"/>
      <c r="CS927" s="14"/>
      <c r="CT927" s="16"/>
      <c r="CU927" s="14"/>
      <c r="CV927" s="12"/>
      <c r="CW927" s="14"/>
      <c r="CX927" s="16"/>
      <c r="CY927" s="14"/>
      <c r="CZ927" s="12"/>
      <c r="DA927" s="14"/>
      <c r="DB927" s="16"/>
      <c r="DC927" s="14"/>
      <c r="DD927" s="12"/>
      <c r="DE927" s="14"/>
      <c r="DF927" s="16"/>
      <c r="DG927" s="14"/>
      <c r="DH927" s="12"/>
      <c r="DI927" s="14"/>
      <c r="DJ927" s="16"/>
      <c r="DK927" s="14"/>
      <c r="DL927" s="12"/>
      <c r="DM927" s="14"/>
      <c r="DN927" s="16"/>
      <c r="DO927" s="14"/>
      <c r="DP927" s="12"/>
      <c r="DQ927" s="14"/>
      <c r="DR927" s="16"/>
      <c r="DS927" s="14"/>
      <c r="DT927" s="12"/>
      <c r="DU927" s="14"/>
      <c r="DV927" s="16"/>
      <c r="DW927" s="14"/>
      <c r="DX927" s="12"/>
      <c r="DY927" s="14"/>
      <c r="DZ927" s="16"/>
      <c r="EA927" s="14"/>
      <c r="EB927" s="12"/>
      <c r="EC927" s="14"/>
      <c r="ED927" s="16"/>
      <c r="EE927" s="14"/>
      <c r="EF927" s="12"/>
      <c r="EG927" s="12"/>
      <c r="EH927" s="14"/>
      <c r="EI927" s="16"/>
      <c r="EJ927" s="14"/>
      <c r="EK927" s="14">
        <v>3859</v>
      </c>
      <c r="EL927" s="14">
        <v>0</v>
      </c>
      <c r="EM927" s="14">
        <v>3859</v>
      </c>
      <c r="EN927" s="14">
        <v>3826</v>
      </c>
      <c r="EO927" s="14">
        <v>3827</v>
      </c>
      <c r="EP927" s="14">
        <v>7653</v>
      </c>
      <c r="EQ927" s="12"/>
      <c r="ER927" s="14"/>
      <c r="ES927" s="16"/>
      <c r="ET927" s="14"/>
      <c r="EU927" s="12"/>
      <c r="EV927" s="14"/>
      <c r="EW927" s="16"/>
      <c r="EX927" s="14"/>
      <c r="EY927" s="12"/>
      <c r="EZ927" s="14"/>
      <c r="FA927" s="16"/>
      <c r="FB927" s="14"/>
      <c r="FC927" s="12"/>
      <c r="FD927" s="14"/>
      <c r="FE927" s="16"/>
      <c r="FF927" s="14"/>
      <c r="FG927" s="12"/>
      <c r="FH927" s="14"/>
      <c r="FI927" s="16"/>
      <c r="FJ927" s="14"/>
      <c r="FK927" s="12"/>
      <c r="FL927" s="14"/>
      <c r="FM927" s="16"/>
      <c r="FN927" s="14"/>
      <c r="FO927" s="12"/>
      <c r="FP927" s="14"/>
      <c r="FQ927" s="16"/>
      <c r="FR927" s="14"/>
      <c r="FS927" s="12"/>
      <c r="FT927" s="14"/>
      <c r="FU927" s="16"/>
      <c r="FV927" s="14"/>
      <c r="FW927" s="12"/>
      <c r="FX927" s="14"/>
      <c r="FY927" s="16"/>
      <c r="FZ927" s="14"/>
      <c r="GA927" s="12"/>
      <c r="GB927" s="14"/>
      <c r="GC927" s="16"/>
      <c r="GD927" s="14"/>
      <c r="GE927" s="12"/>
      <c r="GF927" s="14"/>
      <c r="GG927" s="16"/>
      <c r="GH927" s="14"/>
      <c r="GI927" s="12"/>
      <c r="GJ927" s="14"/>
      <c r="GK927" s="16"/>
      <c r="GL927" s="14"/>
      <c r="GM927" s="12"/>
      <c r="GN927" s="14"/>
      <c r="GO927" s="16"/>
      <c r="GP927" s="14"/>
      <c r="GQ927" s="12"/>
      <c r="GR927" s="14"/>
      <c r="GS927" s="16"/>
      <c r="GT927" s="14"/>
      <c r="GU927" s="12"/>
      <c r="GV927" s="14"/>
      <c r="GW927" s="16"/>
      <c r="GX927" s="14"/>
      <c r="GY927" s="11" t="s">
        <v>320</v>
      </c>
      <c r="GZ927" s="14">
        <v>3859</v>
      </c>
      <c r="HA927" s="16">
        <v>1</v>
      </c>
      <c r="HB927" s="14">
        <v>7653</v>
      </c>
      <c r="HC927" s="12"/>
      <c r="HD927" s="12"/>
      <c r="HE927" s="14"/>
      <c r="HF927" s="16"/>
      <c r="HG927" s="14"/>
      <c r="HH927" s="12" t="s">
        <v>319</v>
      </c>
      <c r="HI927" s="12"/>
      <c r="HJ927" s="12"/>
      <c r="HK927" s="12"/>
      <c r="HL927" s="12" t="s">
        <v>319</v>
      </c>
      <c r="HM927" s="12"/>
      <c r="HN927" s="12"/>
      <c r="HO927" s="12"/>
      <c r="HP927" s="12" t="s">
        <v>418</v>
      </c>
      <c r="HQ927" s="12"/>
      <c r="HR927" s="12"/>
      <c r="HS927" s="12"/>
      <c r="HT927" s="12"/>
      <c r="HU927" s="12"/>
      <c r="HV927" s="12"/>
      <c r="HW927" s="12"/>
      <c r="HX927" s="12"/>
      <c r="HY927" s="12"/>
      <c r="HZ927" s="12" t="s">
        <v>363</v>
      </c>
      <c r="IA927" s="12"/>
      <c r="IB927" s="12" t="s">
        <v>333</v>
      </c>
      <c r="IC927" s="12"/>
      <c r="ID927" s="12" t="s">
        <v>364</v>
      </c>
      <c r="IE927" s="12" t="s">
        <v>1909</v>
      </c>
      <c r="IF927" s="12"/>
      <c r="IG927" s="12"/>
      <c r="IH927" s="12"/>
      <c r="II927" s="12"/>
      <c r="IJ927" s="12" t="str">
        <f t="shared" si="602"/>
        <v>0. Harmful</v>
      </c>
      <c r="IK927" s="12">
        <f t="shared" si="604"/>
        <v>0</v>
      </c>
      <c r="IL927" s="12" t="s">
        <v>723</v>
      </c>
      <c r="IM927" s="12"/>
      <c r="IN927" s="12"/>
      <c r="IO927" s="12"/>
      <c r="IP927" s="12"/>
      <c r="IQ927" s="12" t="str">
        <f t="shared" si="605"/>
        <v>0. Unaware</v>
      </c>
      <c r="IR927" s="12">
        <f t="shared" si="606"/>
        <v>0</v>
      </c>
      <c r="IS927" s="12" t="s">
        <v>456</v>
      </c>
      <c r="IT927" s="12"/>
      <c r="IU927" s="12"/>
      <c r="IV927" s="12"/>
      <c r="IW927" s="11" t="str">
        <f t="shared" si="607"/>
        <v>0. Harmful</v>
      </c>
      <c r="IX927" s="12">
        <f t="shared" si="608"/>
        <v>0</v>
      </c>
      <c r="IY927" s="12" t="s">
        <v>338</v>
      </c>
      <c r="IZ927" s="12" t="s">
        <v>457</v>
      </c>
      <c r="JA927" s="12">
        <v>1</v>
      </c>
      <c r="JB927" s="12" t="s">
        <v>724</v>
      </c>
      <c r="JC927" s="12"/>
      <c r="JD927" s="12"/>
      <c r="JE927" s="12" t="s">
        <v>420</v>
      </c>
      <c r="JF927" s="12"/>
      <c r="JG927" s="12" t="s">
        <v>2285</v>
      </c>
      <c r="JH927" s="12" t="s">
        <v>3440</v>
      </c>
      <c r="JI927" s="12" t="s">
        <v>3441</v>
      </c>
      <c r="JJ927" s="12"/>
      <c r="JK927" s="12" t="s">
        <v>13975</v>
      </c>
      <c r="JL927" s="12"/>
      <c r="JM927" s="12"/>
      <c r="JN927" s="12" t="s">
        <v>13976</v>
      </c>
      <c r="JO927" s="12"/>
      <c r="JP927" s="15">
        <f t="shared" si="609"/>
        <v>3859</v>
      </c>
      <c r="JQ927" s="15">
        <f t="shared" si="610"/>
        <v>7653</v>
      </c>
      <c r="JR927" s="279">
        <f t="shared" si="611"/>
        <v>1.9831562580979529</v>
      </c>
      <c r="JS927" s="17">
        <f t="shared" si="612"/>
        <v>1</v>
      </c>
      <c r="JT927" s="18">
        <f t="shared" si="613"/>
        <v>0.49993466614399584</v>
      </c>
      <c r="JU927" s="280">
        <f t="shared" si="614"/>
        <v>3859</v>
      </c>
      <c r="JV927" s="280">
        <f t="shared" si="615"/>
        <v>3826</v>
      </c>
      <c r="JW927" s="319" t="str">
        <f t="shared" si="616"/>
        <v/>
      </c>
      <c r="JX927" s="15">
        <f t="shared" si="617"/>
        <v>0</v>
      </c>
      <c r="JY927" s="15">
        <f t="shared" si="618"/>
        <v>0</v>
      </c>
      <c r="JZ927" s="19" t="str">
        <f t="shared" si="619"/>
        <v/>
      </c>
      <c r="KA927" s="52" t="str">
        <f t="shared" si="620"/>
        <v/>
      </c>
      <c r="KB927" s="15">
        <f t="shared" si="621"/>
        <v>0</v>
      </c>
      <c r="KC927" s="15">
        <f t="shared" si="622"/>
        <v>0</v>
      </c>
      <c r="KD927" s="20" t="str">
        <f t="shared" si="623"/>
        <v/>
      </c>
      <c r="KE927" s="52" t="str">
        <f t="shared" si="624"/>
        <v/>
      </c>
      <c r="KF927" s="15">
        <f t="shared" si="625"/>
        <v>0</v>
      </c>
      <c r="KG927" s="15">
        <f t="shared" si="626"/>
        <v>0</v>
      </c>
      <c r="KH927" s="21" t="str">
        <f t="shared" si="627"/>
        <v/>
      </c>
      <c r="KI927" s="52" t="str">
        <f t="shared" si="628"/>
        <v/>
      </c>
      <c r="KJ927" s="15">
        <f t="shared" si="629"/>
        <v>0</v>
      </c>
      <c r="KK927" s="15">
        <f t="shared" si="630"/>
        <v>0</v>
      </c>
      <c r="KL927" s="19" t="str">
        <f t="shared" si="631"/>
        <v/>
      </c>
      <c r="KM927" s="52">
        <f t="shared" si="632"/>
        <v>1</v>
      </c>
      <c r="KN927" s="22">
        <f t="shared" si="633"/>
        <v>3859</v>
      </c>
      <c r="KO927" s="22">
        <f t="shared" si="634"/>
        <v>7653</v>
      </c>
      <c r="KP927" s="19">
        <f t="shared" si="635"/>
        <v>1.9831562580979529</v>
      </c>
      <c r="KQ927" s="11" t="str">
        <f t="shared" si="636"/>
        <v>0. Harmful</v>
      </c>
      <c r="KR927" s="11" t="str">
        <f t="shared" si="637"/>
        <v>0. Unaware</v>
      </c>
      <c r="KS927" s="11" t="str">
        <f t="shared" si="638"/>
        <v>0. Harmful</v>
      </c>
      <c r="KT927" s="11" t="str">
        <f t="shared" si="639"/>
        <v>It did not develop any specific innovation</v>
      </c>
      <c r="KU927" s="11" t="str">
        <f t="shared" si="640"/>
        <v>Little or no advocacy</v>
      </c>
      <c r="KV927" s="11" t="str">
        <f t="shared" si="641"/>
        <v>It did not take tested solutions to scale</v>
      </c>
      <c r="KW927" s="11" t="str">
        <f t="shared" si="642"/>
        <v>Zambia - Lendwithcare</v>
      </c>
      <c r="KX927" s="11" t="str">
        <f t="shared" si="643"/>
        <v>Lendwithcare</v>
      </c>
      <c r="KY927" s="11" t="str">
        <f t="shared" si="644"/>
        <v>Zambia</v>
      </c>
      <c r="KZ927" s="12">
        <v>928</v>
      </c>
    </row>
    <row r="928" spans="1:312" x14ac:dyDescent="0.3">
      <c r="A928" s="12" t="s">
        <v>13917</v>
      </c>
      <c r="B928" s="12" t="s">
        <v>7217</v>
      </c>
      <c r="C928" s="12"/>
      <c r="D928" s="12" t="s">
        <v>1185</v>
      </c>
      <c r="E928" s="277" t="str">
        <f t="shared" si="603"/>
        <v>Zambia</v>
      </c>
      <c r="F928" s="12" t="s">
        <v>14001</v>
      </c>
      <c r="G928" s="12" t="s">
        <v>379</v>
      </c>
      <c r="H928" s="12" t="s">
        <v>383</v>
      </c>
      <c r="I928" s="12" t="s">
        <v>384</v>
      </c>
      <c r="J928" s="281" t="s">
        <v>1187</v>
      </c>
      <c r="K928" s="12"/>
      <c r="L928" s="12"/>
      <c r="M928" s="12"/>
      <c r="N928" s="12"/>
      <c r="O928" s="12"/>
      <c r="P928" s="12"/>
      <c r="Q928" s="12"/>
      <c r="R928" s="12"/>
      <c r="S928" s="12"/>
      <c r="T928" s="12"/>
      <c r="U928" s="12"/>
      <c r="V928" s="12"/>
      <c r="W928" s="12"/>
      <c r="X928" s="12"/>
      <c r="Y928" s="12"/>
      <c r="Z928" s="12"/>
      <c r="AA928" s="12"/>
      <c r="AB928" s="12"/>
      <c r="AC928" s="12"/>
      <c r="AD928" s="12"/>
      <c r="BD928" s="13">
        <v>41426</v>
      </c>
      <c r="BE928" s="13">
        <v>43100</v>
      </c>
      <c r="BF928" s="12"/>
      <c r="BG928" s="12" t="s">
        <v>312</v>
      </c>
      <c r="BH928" s="14">
        <v>1848985</v>
      </c>
      <c r="BI928" s="12" t="s">
        <v>14002</v>
      </c>
      <c r="BJ928" s="12" t="s">
        <v>980</v>
      </c>
      <c r="BK928" s="12"/>
      <c r="BL928" s="12" t="s">
        <v>14003</v>
      </c>
      <c r="BM928" s="12" t="s">
        <v>354</v>
      </c>
      <c r="BN928" s="12" t="s">
        <v>14004</v>
      </c>
      <c r="BO928" s="11" t="s">
        <v>319</v>
      </c>
      <c r="BP928" s="11" t="s">
        <v>320</v>
      </c>
      <c r="BQ928" s="11" t="s">
        <v>319</v>
      </c>
      <c r="BR928" s="12" t="s">
        <v>14005</v>
      </c>
      <c r="BS928" s="12" t="s">
        <v>357</v>
      </c>
      <c r="BT928" s="12" t="s">
        <v>14006</v>
      </c>
      <c r="BU928" s="12" t="s">
        <v>14007</v>
      </c>
      <c r="BV928" s="14">
        <v>10840</v>
      </c>
      <c r="BW928" s="14"/>
      <c r="BX928" s="14">
        <v>10840</v>
      </c>
      <c r="BY928" s="14">
        <v>22330</v>
      </c>
      <c r="BZ928" s="14">
        <v>31870</v>
      </c>
      <c r="CA928" s="14">
        <v>54200</v>
      </c>
      <c r="CB928" s="12" t="s">
        <v>14008</v>
      </c>
      <c r="CD928" s="14"/>
      <c r="CE928" s="14"/>
      <c r="CF928" s="14"/>
      <c r="CG928" s="14"/>
      <c r="CH928" s="14"/>
      <c r="CI928" s="14"/>
      <c r="CJ928" s="12"/>
      <c r="CK928" s="14"/>
      <c r="CL928" s="16"/>
      <c r="CM928" s="14"/>
      <c r="CN928" s="12"/>
      <c r="CO928" s="14"/>
      <c r="CP928" s="16"/>
      <c r="CQ928" s="14"/>
      <c r="CR928" s="12"/>
      <c r="CS928" s="14"/>
      <c r="CT928" s="16"/>
      <c r="CU928" s="14"/>
      <c r="CV928" s="12"/>
      <c r="CW928" s="14"/>
      <c r="CX928" s="16"/>
      <c r="CY928" s="14"/>
      <c r="CZ928" s="12"/>
      <c r="DA928" s="14"/>
      <c r="DB928" s="16"/>
      <c r="DC928" s="14"/>
      <c r="DD928" s="12"/>
      <c r="DE928" s="14"/>
      <c r="DF928" s="16"/>
      <c r="DG928" s="14"/>
      <c r="DH928" s="12"/>
      <c r="DI928" s="14"/>
      <c r="DJ928" s="16"/>
      <c r="DK928" s="14"/>
      <c r="DL928" s="12"/>
      <c r="DM928" s="14"/>
      <c r="DN928" s="16"/>
      <c r="DO928" s="14"/>
      <c r="DP928" s="12"/>
      <c r="DQ928" s="14"/>
      <c r="DR928" s="16"/>
      <c r="DS928" s="14"/>
      <c r="DT928" s="12"/>
      <c r="DU928" s="14"/>
      <c r="DV928" s="16"/>
      <c r="DW928" s="14"/>
      <c r="DX928" s="12"/>
      <c r="DY928" s="14"/>
      <c r="DZ928" s="16"/>
      <c r="EA928" s="14"/>
      <c r="EB928" s="12"/>
      <c r="EC928" s="14"/>
      <c r="ED928" s="16"/>
      <c r="EE928" s="14"/>
      <c r="EF928" s="12"/>
      <c r="EG928" s="12"/>
      <c r="EH928" s="14"/>
      <c r="EI928" s="16"/>
      <c r="EJ928" s="14"/>
      <c r="EK928" s="14">
        <v>10840</v>
      </c>
      <c r="EL928" s="14"/>
      <c r="EM928" s="14">
        <v>10840</v>
      </c>
      <c r="EN928" s="14">
        <v>22330</v>
      </c>
      <c r="EO928" s="14">
        <v>31870</v>
      </c>
      <c r="EP928" s="14">
        <v>54200</v>
      </c>
      <c r="EQ928" s="12" t="s">
        <v>320</v>
      </c>
      <c r="ER928" s="14">
        <v>10840</v>
      </c>
      <c r="ES928" s="16">
        <v>1</v>
      </c>
      <c r="ET928" s="14">
        <v>54200</v>
      </c>
      <c r="EU928" s="11" t="s">
        <v>320</v>
      </c>
      <c r="EV928" s="14">
        <v>10840</v>
      </c>
      <c r="EW928" s="16">
        <v>1</v>
      </c>
      <c r="EX928" s="14">
        <v>54200</v>
      </c>
      <c r="EY928" s="12" t="s">
        <v>319</v>
      </c>
      <c r="EZ928" s="14"/>
      <c r="FA928" s="16"/>
      <c r="FB928" s="14"/>
      <c r="FC928" s="12" t="s">
        <v>319</v>
      </c>
      <c r="FD928" s="14"/>
      <c r="FE928" s="16"/>
      <c r="FF928" s="14"/>
      <c r="FG928" s="12" t="s">
        <v>320</v>
      </c>
      <c r="FH928" s="14">
        <v>10840</v>
      </c>
      <c r="FI928" s="16">
        <v>1</v>
      </c>
      <c r="FJ928" s="14">
        <v>54200</v>
      </c>
      <c r="FK928" s="12" t="s">
        <v>319</v>
      </c>
      <c r="FL928" s="14"/>
      <c r="FM928" s="16"/>
      <c r="FN928" s="14"/>
      <c r="FO928" s="12" t="s">
        <v>320</v>
      </c>
      <c r="FP928" s="14">
        <v>10840</v>
      </c>
      <c r="FQ928" s="16">
        <v>1</v>
      </c>
      <c r="FR928" s="14">
        <v>54200</v>
      </c>
      <c r="FS928" s="12" t="s">
        <v>319</v>
      </c>
      <c r="FT928" s="14"/>
      <c r="FU928" s="16"/>
      <c r="FV928" s="14"/>
      <c r="FW928" s="11" t="s">
        <v>320</v>
      </c>
      <c r="FX928" s="14">
        <v>10840</v>
      </c>
      <c r="FY928" s="16">
        <v>1</v>
      </c>
      <c r="FZ928" s="14">
        <v>54200</v>
      </c>
      <c r="GA928" s="12" t="s">
        <v>319</v>
      </c>
      <c r="GB928" s="14"/>
      <c r="GC928" s="16"/>
      <c r="GD928" s="14"/>
      <c r="GE928" s="12" t="s">
        <v>319</v>
      </c>
      <c r="GF928" s="14"/>
      <c r="GG928" s="16"/>
      <c r="GH928" s="14"/>
      <c r="GI928" s="12" t="s">
        <v>319</v>
      </c>
      <c r="GJ928" s="14"/>
      <c r="GK928" s="16"/>
      <c r="GL928" s="14"/>
      <c r="GM928" s="12" t="s">
        <v>319</v>
      </c>
      <c r="GN928" s="14"/>
      <c r="GO928" s="16"/>
      <c r="GP928" s="14"/>
      <c r="GQ928" s="12" t="s">
        <v>319</v>
      </c>
      <c r="GR928" s="14"/>
      <c r="GS928" s="16"/>
      <c r="GT928" s="14"/>
      <c r="GU928" s="12" t="s">
        <v>319</v>
      </c>
      <c r="GV928" s="14"/>
      <c r="GW928" s="16"/>
      <c r="GX928" s="14"/>
      <c r="GY928" s="11" t="s">
        <v>320</v>
      </c>
      <c r="GZ928" s="14">
        <v>10840</v>
      </c>
      <c r="HA928" s="16">
        <v>1</v>
      </c>
      <c r="HB928" s="14">
        <v>54200</v>
      </c>
      <c r="HC928" s="12"/>
      <c r="HD928" s="12"/>
      <c r="HE928" s="14"/>
      <c r="HF928" s="16"/>
      <c r="HG928" s="14"/>
      <c r="HH928" s="12" t="s">
        <v>319</v>
      </c>
      <c r="HI928" s="12"/>
      <c r="HJ928" s="12"/>
      <c r="HK928" s="12"/>
      <c r="HL928" s="12" t="s">
        <v>320</v>
      </c>
      <c r="HM928" s="12" t="s">
        <v>328</v>
      </c>
      <c r="HN928" s="12">
        <v>2017</v>
      </c>
      <c r="HO928" s="12" t="s">
        <v>14009</v>
      </c>
      <c r="HP928" s="12" t="s">
        <v>330</v>
      </c>
      <c r="HQ928" s="12" t="s">
        <v>319</v>
      </c>
      <c r="HR928" s="12" t="s">
        <v>319</v>
      </c>
      <c r="HS928" s="12" t="s">
        <v>320</v>
      </c>
      <c r="HT928" s="12" t="s">
        <v>320</v>
      </c>
      <c r="HU928" s="12" t="s">
        <v>320</v>
      </c>
      <c r="HV928" s="12" t="s">
        <v>319</v>
      </c>
      <c r="HW928" s="12" t="s">
        <v>319</v>
      </c>
      <c r="HX928" s="12"/>
      <c r="HY928" s="12"/>
      <c r="HZ928" s="12" t="s">
        <v>331</v>
      </c>
      <c r="IA928" s="12" t="s">
        <v>14010</v>
      </c>
      <c r="IB928" s="12" t="s">
        <v>396</v>
      </c>
      <c r="IC928" s="12" t="s">
        <v>14011</v>
      </c>
      <c r="ID928" s="12" t="s">
        <v>364</v>
      </c>
      <c r="IE928" s="12" t="s">
        <v>478</v>
      </c>
      <c r="IF928" s="12" t="s">
        <v>319</v>
      </c>
      <c r="IG928" s="12" t="s">
        <v>320</v>
      </c>
      <c r="IH928" s="12" t="s">
        <v>320</v>
      </c>
      <c r="II928" s="12" t="s">
        <v>320</v>
      </c>
      <c r="IJ928" s="12" t="str">
        <f t="shared" si="602"/>
        <v>3. Responsive</v>
      </c>
      <c r="IK928" s="12">
        <f t="shared" si="604"/>
        <v>3</v>
      </c>
      <c r="IL928" s="12" t="s">
        <v>336</v>
      </c>
      <c r="IM928" s="12" t="s">
        <v>320</v>
      </c>
      <c r="IN928" s="12" t="s">
        <v>320</v>
      </c>
      <c r="IO928" s="12" t="s">
        <v>320</v>
      </c>
      <c r="IP928" s="12" t="s">
        <v>320</v>
      </c>
      <c r="IQ928" s="12" t="str">
        <f t="shared" si="605"/>
        <v>2. Accommodating</v>
      </c>
      <c r="IR928" s="12">
        <f t="shared" si="606"/>
        <v>4</v>
      </c>
      <c r="IS928" s="12" t="s">
        <v>337</v>
      </c>
      <c r="IT928" s="12" t="s">
        <v>320</v>
      </c>
      <c r="IU928" s="12" t="s">
        <v>320</v>
      </c>
      <c r="IV928" s="12" t="s">
        <v>320</v>
      </c>
      <c r="IW928" s="11" t="str">
        <f t="shared" si="607"/>
        <v>2. Sensitive</v>
      </c>
      <c r="IX928" s="12">
        <f t="shared" si="608"/>
        <v>3</v>
      </c>
      <c r="IY928" s="12" t="s">
        <v>419</v>
      </c>
      <c r="IZ928" s="12" t="s">
        <v>527</v>
      </c>
      <c r="JA928" s="12">
        <v>2</v>
      </c>
      <c r="JB928" s="12" t="s">
        <v>623</v>
      </c>
      <c r="JC928" s="12"/>
      <c r="JD928" s="12"/>
      <c r="JE928" s="12" t="s">
        <v>420</v>
      </c>
      <c r="JF928" s="12"/>
      <c r="JG928" s="12"/>
      <c r="JH928" s="12" t="s">
        <v>14012</v>
      </c>
      <c r="JI928" s="12" t="s">
        <v>14013</v>
      </c>
      <c r="JJ928" s="12"/>
      <c r="JK928" s="12" t="s">
        <v>14014</v>
      </c>
      <c r="JL928" s="12" t="s">
        <v>14015</v>
      </c>
      <c r="JM928" s="12"/>
      <c r="JN928" s="12"/>
      <c r="JO928" s="12"/>
      <c r="JP928" s="15">
        <f t="shared" si="609"/>
        <v>10840</v>
      </c>
      <c r="JQ928" s="15">
        <f t="shared" si="610"/>
        <v>54200</v>
      </c>
      <c r="JR928" s="279">
        <f t="shared" si="611"/>
        <v>5</v>
      </c>
      <c r="JS928" s="17">
        <f t="shared" si="612"/>
        <v>1</v>
      </c>
      <c r="JT928" s="18">
        <f t="shared" si="613"/>
        <v>0.41199261992619929</v>
      </c>
      <c r="JU928" s="280">
        <f t="shared" si="614"/>
        <v>10840</v>
      </c>
      <c r="JV928" s="280">
        <f t="shared" si="615"/>
        <v>22330</v>
      </c>
      <c r="JW928" s="319" t="str">
        <f t="shared" si="616"/>
        <v/>
      </c>
      <c r="JX928" s="15">
        <f t="shared" si="617"/>
        <v>0</v>
      </c>
      <c r="JY928" s="15">
        <f t="shared" si="618"/>
        <v>0</v>
      </c>
      <c r="JZ928" s="19" t="str">
        <f t="shared" si="619"/>
        <v/>
      </c>
      <c r="KA928" s="52">
        <f t="shared" si="620"/>
        <v>1</v>
      </c>
      <c r="KB928" s="15">
        <f t="shared" si="621"/>
        <v>10840</v>
      </c>
      <c r="KC928" s="15">
        <f t="shared" si="622"/>
        <v>54200</v>
      </c>
      <c r="KD928" s="20">
        <f t="shared" si="623"/>
        <v>5</v>
      </c>
      <c r="KE928" s="52" t="str">
        <f t="shared" si="624"/>
        <v/>
      </c>
      <c r="KF928" s="15">
        <f t="shared" si="625"/>
        <v>0</v>
      </c>
      <c r="KG928" s="15">
        <f t="shared" si="626"/>
        <v>0</v>
      </c>
      <c r="KH928" s="21" t="str">
        <f t="shared" si="627"/>
        <v/>
      </c>
      <c r="KI928" s="52" t="str">
        <f t="shared" si="628"/>
        <v/>
      </c>
      <c r="KJ928" s="15">
        <f t="shared" si="629"/>
        <v>0</v>
      </c>
      <c r="KK928" s="15">
        <f t="shared" si="630"/>
        <v>0</v>
      </c>
      <c r="KL928" s="19" t="str">
        <f t="shared" si="631"/>
        <v/>
      </c>
      <c r="KM928" s="52">
        <f t="shared" si="632"/>
        <v>1</v>
      </c>
      <c r="KN928" s="22">
        <f t="shared" si="633"/>
        <v>10840</v>
      </c>
      <c r="KO928" s="22">
        <f t="shared" si="634"/>
        <v>54200</v>
      </c>
      <c r="KP928" s="19">
        <f t="shared" si="635"/>
        <v>5</v>
      </c>
      <c r="KQ928" s="11" t="str">
        <f t="shared" si="636"/>
        <v>3. Responsive</v>
      </c>
      <c r="KR928" s="11" t="str">
        <f t="shared" si="637"/>
        <v>2. Accommodating</v>
      </c>
      <c r="KS928" s="11" t="str">
        <f t="shared" si="638"/>
        <v>2. Sensitive</v>
      </c>
      <c r="KT928" s="11" t="str">
        <f t="shared" si="639"/>
        <v>It tested new ways for fighting poverty and measured results of innovation</v>
      </c>
      <c r="KU928" s="11" t="str">
        <f t="shared" si="640"/>
        <v>Moderate advocacy</v>
      </c>
      <c r="KV928" s="11" t="str">
        <f t="shared" si="641"/>
        <v>It linked and worked with strategic alliances and partners to take tested and effective solutions to scale</v>
      </c>
      <c r="KW928" s="11" t="str">
        <f t="shared" si="642"/>
        <v>Zambia - Nutrition at the Center</v>
      </c>
      <c r="KX928" s="11" t="str">
        <f t="shared" si="643"/>
        <v>Nutrition at the Center</v>
      </c>
      <c r="KY928" s="11" t="str">
        <f t="shared" si="644"/>
        <v>Zambia</v>
      </c>
      <c r="KZ928" s="12">
        <v>929</v>
      </c>
    </row>
    <row r="929" spans="1:312" x14ac:dyDescent="0.3">
      <c r="A929" s="12" t="s">
        <v>13917</v>
      </c>
      <c r="B929" s="12" t="s">
        <v>7217</v>
      </c>
      <c r="C929" s="12"/>
      <c r="D929" s="12" t="s">
        <v>13977</v>
      </c>
      <c r="E929" s="277" t="str">
        <f t="shared" si="603"/>
        <v>Zambia</v>
      </c>
      <c r="F929" s="12" t="s">
        <v>13978</v>
      </c>
      <c r="G929" s="12" t="s">
        <v>488</v>
      </c>
      <c r="H929" s="12" t="s">
        <v>384</v>
      </c>
      <c r="I929" s="12" t="s">
        <v>384</v>
      </c>
      <c r="J929" s="281" t="s">
        <v>13979</v>
      </c>
      <c r="K929" s="12"/>
      <c r="L929" s="12"/>
      <c r="M929" s="12"/>
      <c r="N929" s="12"/>
      <c r="O929" s="12"/>
      <c r="P929" s="12"/>
      <c r="Q929" s="12"/>
      <c r="R929" s="12"/>
      <c r="S929" s="12"/>
      <c r="T929" s="12"/>
      <c r="U929" s="12"/>
      <c r="V929" s="12"/>
      <c r="W929" s="12"/>
      <c r="X929" s="12"/>
      <c r="Y929" s="12"/>
      <c r="Z929" s="12"/>
      <c r="AA929" s="12"/>
      <c r="AB929" s="12"/>
      <c r="AC929" s="12"/>
      <c r="AD929" s="12"/>
      <c r="BD929" s="13">
        <v>41913</v>
      </c>
      <c r="BE929" s="13">
        <v>43373</v>
      </c>
      <c r="BF929" s="12"/>
      <c r="BG929" s="12" t="s">
        <v>312</v>
      </c>
      <c r="BH929" s="14">
        <v>1580956</v>
      </c>
      <c r="BI929" s="12" t="s">
        <v>13980</v>
      </c>
      <c r="BJ929" s="12" t="s">
        <v>13981</v>
      </c>
      <c r="BK929" s="12" t="s">
        <v>13982</v>
      </c>
      <c r="BL929" s="12" t="s">
        <v>13983</v>
      </c>
      <c r="BM929" s="12" t="s">
        <v>13984</v>
      </c>
      <c r="BN929" s="12" t="s">
        <v>13985</v>
      </c>
      <c r="BO929" s="12" t="s">
        <v>319</v>
      </c>
      <c r="BP929" s="12" t="s">
        <v>320</v>
      </c>
      <c r="BQ929" s="12" t="s">
        <v>319</v>
      </c>
      <c r="BR929" s="12" t="s">
        <v>13986</v>
      </c>
      <c r="BS929" s="12" t="s">
        <v>357</v>
      </c>
      <c r="BT929" s="12" t="s">
        <v>13987</v>
      </c>
      <c r="BU929" s="12" t="s">
        <v>13988</v>
      </c>
      <c r="BV929" s="14">
        <v>155693</v>
      </c>
      <c r="BW929" s="14">
        <v>155055</v>
      </c>
      <c r="BX929" s="14">
        <v>310748</v>
      </c>
      <c r="BY929" s="14">
        <v>19988</v>
      </c>
      <c r="BZ929" s="14">
        <v>19907</v>
      </c>
      <c r="CA929" s="14">
        <v>39895</v>
      </c>
      <c r="CB929" s="12" t="s">
        <v>13989</v>
      </c>
      <c r="CD929" s="14"/>
      <c r="CE929" s="14"/>
      <c r="CF929" s="14"/>
      <c r="CG929" s="14"/>
      <c r="CH929" s="14"/>
      <c r="CI929" s="14"/>
      <c r="CJ929" s="12"/>
      <c r="CK929" s="14"/>
      <c r="CL929" s="16"/>
      <c r="CM929" s="14"/>
      <c r="CN929" s="12"/>
      <c r="CO929" s="14"/>
      <c r="CP929" s="16"/>
      <c r="CQ929" s="14"/>
      <c r="CR929" s="12"/>
      <c r="CS929" s="14"/>
      <c r="CT929" s="16"/>
      <c r="CU929" s="14"/>
      <c r="CV929" s="12"/>
      <c r="CW929" s="14"/>
      <c r="CX929" s="16"/>
      <c r="CY929" s="14"/>
      <c r="CZ929" s="12"/>
      <c r="DA929" s="14"/>
      <c r="DB929" s="16"/>
      <c r="DC929" s="14"/>
      <c r="DD929" s="12"/>
      <c r="DE929" s="14"/>
      <c r="DF929" s="16"/>
      <c r="DG929" s="14"/>
      <c r="DH929" s="12"/>
      <c r="DI929" s="14"/>
      <c r="DJ929" s="16"/>
      <c r="DK929" s="14"/>
      <c r="DL929" s="12"/>
      <c r="DM929" s="14"/>
      <c r="DN929" s="16"/>
      <c r="DO929" s="14"/>
      <c r="DP929" s="12"/>
      <c r="DQ929" s="14"/>
      <c r="DR929" s="16"/>
      <c r="DS929" s="14"/>
      <c r="DT929" s="12"/>
      <c r="DU929" s="14"/>
      <c r="DV929" s="16"/>
      <c r="DW929" s="14"/>
      <c r="DX929" s="12"/>
      <c r="DY929" s="14"/>
      <c r="DZ929" s="16"/>
      <c r="EA929" s="14"/>
      <c r="EB929" s="12"/>
      <c r="EC929" s="14"/>
      <c r="ED929" s="16"/>
      <c r="EE929" s="14"/>
      <c r="EF929" s="12"/>
      <c r="EG929" s="12"/>
      <c r="EH929" s="14"/>
      <c r="EI929" s="16"/>
      <c r="EJ929" s="14"/>
      <c r="EK929" s="14">
        <v>41924</v>
      </c>
      <c r="EL929" s="14">
        <v>41754</v>
      </c>
      <c r="EM929" s="14">
        <v>83678</v>
      </c>
      <c r="EN929" s="14">
        <v>19988</v>
      </c>
      <c r="EO929" s="14">
        <v>19907</v>
      </c>
      <c r="EP929" s="14">
        <v>39895</v>
      </c>
      <c r="EQ929" s="12" t="s">
        <v>319</v>
      </c>
      <c r="ER929" s="14"/>
      <c r="ES929" s="16"/>
      <c r="ET929" s="14"/>
      <c r="EU929" s="11" t="s">
        <v>319</v>
      </c>
      <c r="EV929" s="14"/>
      <c r="EW929" s="16"/>
      <c r="EX929" s="14"/>
      <c r="EY929" s="12" t="s">
        <v>319</v>
      </c>
      <c r="EZ929" s="14"/>
      <c r="FA929" s="16"/>
      <c r="FB929" s="14"/>
      <c r="FC929" s="12" t="s">
        <v>319</v>
      </c>
      <c r="FD929" s="14"/>
      <c r="FE929" s="16"/>
      <c r="FF929" s="14"/>
      <c r="FG929" s="12" t="s">
        <v>319</v>
      </c>
      <c r="FH929" s="14"/>
      <c r="FI929" s="16"/>
      <c r="FJ929" s="14"/>
      <c r="FK929" s="12" t="s">
        <v>319</v>
      </c>
      <c r="FL929" s="14"/>
      <c r="FM929" s="16"/>
      <c r="FN929" s="14"/>
      <c r="FO929" s="12" t="s">
        <v>319</v>
      </c>
      <c r="FP929" s="14"/>
      <c r="FQ929" s="16"/>
      <c r="FR929" s="14"/>
      <c r="FS929" s="12" t="s">
        <v>319</v>
      </c>
      <c r="FT929" s="14"/>
      <c r="FU929" s="16"/>
      <c r="FV929" s="14"/>
      <c r="FW929" s="12" t="s">
        <v>319</v>
      </c>
      <c r="FX929" s="14"/>
      <c r="FY929" s="16"/>
      <c r="FZ929" s="14"/>
      <c r="GA929" s="12" t="s">
        <v>319</v>
      </c>
      <c r="GB929" s="14"/>
      <c r="GC929" s="16"/>
      <c r="GD929" s="14"/>
      <c r="GE929" s="12" t="s">
        <v>319</v>
      </c>
      <c r="GF929" s="14"/>
      <c r="GG929" s="16"/>
      <c r="GH929" s="14"/>
      <c r="GI929" s="12" t="s">
        <v>319</v>
      </c>
      <c r="GJ929" s="14"/>
      <c r="GK929" s="16"/>
      <c r="GL929" s="14"/>
      <c r="GM929" s="12" t="s">
        <v>319</v>
      </c>
      <c r="GN929" s="14"/>
      <c r="GO929" s="16"/>
      <c r="GP929" s="14"/>
      <c r="GQ929" s="12" t="s">
        <v>319</v>
      </c>
      <c r="GR929" s="14"/>
      <c r="GS929" s="16"/>
      <c r="GT929" s="14"/>
      <c r="GU929" s="12" t="s">
        <v>320</v>
      </c>
      <c r="GV929" s="14">
        <v>83678</v>
      </c>
      <c r="GW929" s="16">
        <v>0.50101579865675505</v>
      </c>
      <c r="GX929" s="14">
        <v>39895</v>
      </c>
      <c r="GY929" s="12" t="s">
        <v>319</v>
      </c>
      <c r="GZ929" s="14"/>
      <c r="HA929" s="16"/>
      <c r="HB929" s="14"/>
      <c r="HC929" s="12"/>
      <c r="HD929" s="12"/>
      <c r="HE929" s="14"/>
      <c r="HF929" s="16"/>
      <c r="HG929" s="14"/>
      <c r="HH929" s="12" t="s">
        <v>320</v>
      </c>
      <c r="HI929" s="12" t="s">
        <v>416</v>
      </c>
      <c r="HJ929" s="12">
        <v>2017</v>
      </c>
      <c r="HK929" s="12" t="s">
        <v>320</v>
      </c>
      <c r="HL929" s="12" t="s">
        <v>319</v>
      </c>
      <c r="HM929" s="12"/>
      <c r="HN929" s="12"/>
      <c r="HO929" s="12" t="s">
        <v>5998</v>
      </c>
      <c r="HP929" s="12" t="s">
        <v>330</v>
      </c>
      <c r="HQ929" s="12"/>
      <c r="HR929" s="12"/>
      <c r="HS929" s="12"/>
      <c r="HT929" s="12"/>
      <c r="HU929" s="12" t="s">
        <v>320</v>
      </c>
      <c r="HV929" s="12"/>
      <c r="HW929" s="12"/>
      <c r="HX929" s="12"/>
      <c r="HY929" s="12"/>
      <c r="HZ929" s="12" t="s">
        <v>331</v>
      </c>
      <c r="IA929" s="12" t="s">
        <v>13990</v>
      </c>
      <c r="IB929" s="12" t="s">
        <v>396</v>
      </c>
      <c r="IC929" s="12" t="s">
        <v>13991</v>
      </c>
      <c r="ID929" s="12" t="s">
        <v>364</v>
      </c>
      <c r="IE929" s="12" t="s">
        <v>335</v>
      </c>
      <c r="IF929" s="12" t="s">
        <v>320</v>
      </c>
      <c r="IG929" s="12" t="s">
        <v>319</v>
      </c>
      <c r="IH929" s="12" t="s">
        <v>320</v>
      </c>
      <c r="II929" s="12" t="s">
        <v>320</v>
      </c>
      <c r="IJ929" s="12" t="str">
        <f t="shared" si="602"/>
        <v>1. Neutral</v>
      </c>
      <c r="IK929" s="12">
        <f t="shared" si="604"/>
        <v>3</v>
      </c>
      <c r="IL929" s="12" t="s">
        <v>336</v>
      </c>
      <c r="IM929" s="12" t="s">
        <v>320</v>
      </c>
      <c r="IN929" s="12" t="s">
        <v>320</v>
      </c>
      <c r="IO929" s="12" t="s">
        <v>320</v>
      </c>
      <c r="IP929" s="12" t="s">
        <v>320</v>
      </c>
      <c r="IQ929" s="12" t="str">
        <f t="shared" si="605"/>
        <v>2. Accommodating</v>
      </c>
      <c r="IR929" s="12">
        <f t="shared" si="606"/>
        <v>4</v>
      </c>
      <c r="IS929" s="12"/>
      <c r="IT929" s="12"/>
      <c r="IU929" s="12"/>
      <c r="IV929" s="12"/>
      <c r="IW929" s="11" t="str">
        <f t="shared" si="607"/>
        <v>No marker score</v>
      </c>
      <c r="IX929" s="12">
        <f t="shared" si="608"/>
        <v>0</v>
      </c>
      <c r="IY929" s="12" t="s">
        <v>338</v>
      </c>
      <c r="IZ929" s="12" t="s">
        <v>457</v>
      </c>
      <c r="JA929" s="12">
        <v>4</v>
      </c>
      <c r="JB929" s="12" t="s">
        <v>687</v>
      </c>
      <c r="JC929" s="12" t="s">
        <v>724</v>
      </c>
      <c r="JD929" s="12" t="s">
        <v>433</v>
      </c>
      <c r="JE929" s="12" t="s">
        <v>365</v>
      </c>
      <c r="JF929" s="12" t="s">
        <v>13992</v>
      </c>
      <c r="JG929" s="12" t="s">
        <v>13993</v>
      </c>
      <c r="JH929" s="12" t="s">
        <v>13994</v>
      </c>
      <c r="JI929" s="12" t="s">
        <v>13995</v>
      </c>
      <c r="JJ929" s="12" t="s">
        <v>13996</v>
      </c>
      <c r="JK929" s="12" t="s">
        <v>13997</v>
      </c>
      <c r="JL929" s="12" t="s">
        <v>13998</v>
      </c>
      <c r="JM929" s="12" t="s">
        <v>13999</v>
      </c>
      <c r="JN929" s="12"/>
      <c r="JO929" s="12" t="s">
        <v>14000</v>
      </c>
      <c r="JP929" s="15">
        <f t="shared" si="609"/>
        <v>83678</v>
      </c>
      <c r="JQ929" s="15">
        <f t="shared" si="610"/>
        <v>39895</v>
      </c>
      <c r="JR929" s="279">
        <f t="shared" si="611"/>
        <v>0.47676808719137648</v>
      </c>
      <c r="JS929" s="17">
        <f t="shared" si="612"/>
        <v>0.50101579865675561</v>
      </c>
      <c r="JT929" s="18">
        <f t="shared" si="613"/>
        <v>0.50101516480761998</v>
      </c>
      <c r="JU929" s="280">
        <f t="shared" si="614"/>
        <v>41924</v>
      </c>
      <c r="JV929" s="280">
        <f t="shared" si="615"/>
        <v>19988</v>
      </c>
      <c r="JW929" s="319" t="str">
        <f t="shared" si="616"/>
        <v/>
      </c>
      <c r="JX929" s="15">
        <f t="shared" si="617"/>
        <v>0</v>
      </c>
      <c r="JY929" s="15">
        <f t="shared" si="618"/>
        <v>0</v>
      </c>
      <c r="JZ929" s="19" t="str">
        <f t="shared" si="619"/>
        <v/>
      </c>
      <c r="KA929" s="52">
        <f t="shared" si="620"/>
        <v>1</v>
      </c>
      <c r="KB929" s="15">
        <f t="shared" si="621"/>
        <v>83678</v>
      </c>
      <c r="KC929" s="15">
        <f t="shared" si="622"/>
        <v>39895</v>
      </c>
      <c r="KD929" s="20">
        <f t="shared" si="623"/>
        <v>0.47676808719137648</v>
      </c>
      <c r="KE929" s="52" t="str">
        <f t="shared" si="624"/>
        <v/>
      </c>
      <c r="KF929" s="15">
        <f t="shared" si="625"/>
        <v>0</v>
      </c>
      <c r="KG929" s="15">
        <f t="shared" si="626"/>
        <v>0</v>
      </c>
      <c r="KH929" s="21" t="str">
        <f t="shared" si="627"/>
        <v/>
      </c>
      <c r="KI929" s="52" t="str">
        <f t="shared" si="628"/>
        <v/>
      </c>
      <c r="KJ929" s="15">
        <f t="shared" si="629"/>
        <v>0</v>
      </c>
      <c r="KK929" s="15">
        <f t="shared" si="630"/>
        <v>0</v>
      </c>
      <c r="KL929" s="19" t="str">
        <f t="shared" si="631"/>
        <v/>
      </c>
      <c r="KM929" s="52" t="str">
        <f t="shared" si="632"/>
        <v/>
      </c>
      <c r="KN929" s="22">
        <f t="shared" si="633"/>
        <v>0</v>
      </c>
      <c r="KO929" s="22">
        <f t="shared" si="634"/>
        <v>0</v>
      </c>
      <c r="KP929" s="19" t="str">
        <f t="shared" si="635"/>
        <v/>
      </c>
      <c r="KQ929" s="11" t="str">
        <f t="shared" si="636"/>
        <v>1. Neutral</v>
      </c>
      <c r="KR929" s="11" t="str">
        <f t="shared" si="637"/>
        <v>2. Accommodating</v>
      </c>
      <c r="KS929" s="11" t="str">
        <f t="shared" si="638"/>
        <v>No marker score</v>
      </c>
      <c r="KT929" s="11" t="str">
        <f t="shared" si="639"/>
        <v>It tested new ways for fighting poverty and measured results of innovation</v>
      </c>
      <c r="KU929" s="11" t="str">
        <f t="shared" si="640"/>
        <v>Moderate advocacy</v>
      </c>
      <c r="KV929" s="11" t="str">
        <f t="shared" si="641"/>
        <v>It linked and worked with strategic alliances and partners to take tested and effective solutions to scale</v>
      </c>
      <c r="KW929" s="11" t="str">
        <f t="shared" si="642"/>
        <v>Zambia - Peri Urban Community Driven Models for Equitable Services (COMEQS)</v>
      </c>
      <c r="KX929" s="11" t="str">
        <f t="shared" si="643"/>
        <v>Peri Urban Community Driven Models for Equitable Services (COMEQS)</v>
      </c>
      <c r="KY929" s="11" t="str">
        <f t="shared" si="644"/>
        <v>Zambia</v>
      </c>
      <c r="KZ929" s="12">
        <v>930</v>
      </c>
    </row>
    <row r="930" spans="1:312" x14ac:dyDescent="0.3">
      <c r="A930" s="12" t="s">
        <v>13917</v>
      </c>
      <c r="B930" s="12" t="s">
        <v>7217</v>
      </c>
      <c r="C930" s="12"/>
      <c r="D930" s="12" t="s">
        <v>13918</v>
      </c>
      <c r="E930" s="277" t="str">
        <f t="shared" si="603"/>
        <v>Zambia</v>
      </c>
      <c r="F930" s="12" t="s">
        <v>13919</v>
      </c>
      <c r="G930" s="12" t="s">
        <v>376</v>
      </c>
      <c r="H930" s="12" t="s">
        <v>380</v>
      </c>
      <c r="I930" s="12" t="s">
        <v>506</v>
      </c>
      <c r="J930" s="281" t="s">
        <v>9230</v>
      </c>
      <c r="K930" s="12" t="s">
        <v>13919</v>
      </c>
      <c r="L930" s="12" t="s">
        <v>376</v>
      </c>
      <c r="M930" s="12" t="s">
        <v>380</v>
      </c>
      <c r="N930" s="12" t="s">
        <v>7796</v>
      </c>
      <c r="O930" s="281" t="s">
        <v>7797</v>
      </c>
      <c r="P930" s="12" t="s">
        <v>13919</v>
      </c>
      <c r="Q930" s="12" t="s">
        <v>376</v>
      </c>
      <c r="R930" s="12" t="s">
        <v>380</v>
      </c>
      <c r="S930" s="12" t="s">
        <v>11704</v>
      </c>
      <c r="T930" s="12" t="s">
        <v>11794</v>
      </c>
      <c r="U930" s="12"/>
      <c r="V930" s="12"/>
      <c r="W930" s="12"/>
      <c r="X930" s="12"/>
      <c r="Y930" s="12"/>
      <c r="Z930" s="12"/>
      <c r="AA930" s="12"/>
      <c r="AB930" s="12"/>
      <c r="AC930" s="12"/>
      <c r="AD930" s="12"/>
      <c r="BD930" s="13">
        <v>41505</v>
      </c>
      <c r="BE930" s="13">
        <v>42612</v>
      </c>
      <c r="BF930" s="13">
        <v>43281</v>
      </c>
      <c r="BG930" s="12" t="s">
        <v>749</v>
      </c>
      <c r="BH930" s="14">
        <v>28182670</v>
      </c>
      <c r="BI930" s="12" t="s">
        <v>13920</v>
      </c>
      <c r="BJ930" s="12" t="s">
        <v>13921</v>
      </c>
      <c r="BK930" s="12" t="s">
        <v>13922</v>
      </c>
      <c r="BL930" s="12" t="s">
        <v>13923</v>
      </c>
      <c r="BM930" s="12" t="s">
        <v>751</v>
      </c>
      <c r="BN930" s="12" t="s">
        <v>13924</v>
      </c>
      <c r="BO930" s="11" t="s">
        <v>319</v>
      </c>
      <c r="BP930" s="11" t="s">
        <v>320</v>
      </c>
      <c r="BQ930" s="11" t="s">
        <v>319</v>
      </c>
      <c r="BR930" s="12" t="s">
        <v>13925</v>
      </c>
      <c r="BS930" s="12" t="s">
        <v>322</v>
      </c>
      <c r="BT930" s="12" t="s">
        <v>13926</v>
      </c>
      <c r="BU930" s="12" t="s">
        <v>13927</v>
      </c>
      <c r="BV930" s="14">
        <v>260000</v>
      </c>
      <c r="BW930" s="14"/>
      <c r="BX930" s="14">
        <v>610000</v>
      </c>
      <c r="BY930" s="14"/>
      <c r="BZ930" s="14"/>
      <c r="CA930" s="14"/>
      <c r="CB930" s="12" t="s">
        <v>13927</v>
      </c>
      <c r="CD930" s="14"/>
      <c r="CE930" s="14"/>
      <c r="CF930" s="14"/>
      <c r="CG930" s="14"/>
      <c r="CH930" s="14"/>
      <c r="CI930" s="14"/>
      <c r="CJ930" s="12" t="s">
        <v>319</v>
      </c>
      <c r="CK930" s="14"/>
      <c r="CL930" s="16"/>
      <c r="CM930" s="14"/>
      <c r="CN930" s="12" t="s">
        <v>319</v>
      </c>
      <c r="CO930" s="14"/>
      <c r="CP930" s="16"/>
      <c r="CQ930" s="14"/>
      <c r="CR930" s="12" t="s">
        <v>319</v>
      </c>
      <c r="CS930" s="14"/>
      <c r="CT930" s="16"/>
      <c r="CU930" s="14"/>
      <c r="CV930" s="12" t="s">
        <v>319</v>
      </c>
      <c r="CW930" s="14"/>
      <c r="CX930" s="16"/>
      <c r="CY930" s="14"/>
      <c r="CZ930" s="12" t="s">
        <v>319</v>
      </c>
      <c r="DA930" s="14"/>
      <c r="DB930" s="16"/>
      <c r="DC930" s="14"/>
      <c r="DD930" s="12" t="s">
        <v>319</v>
      </c>
      <c r="DE930" s="14"/>
      <c r="DF930" s="16"/>
      <c r="DG930" s="14"/>
      <c r="DH930" s="12" t="s">
        <v>319</v>
      </c>
      <c r="DI930" s="14"/>
      <c r="DJ930" s="16"/>
      <c r="DK930" s="14"/>
      <c r="DL930" s="12" t="s">
        <v>319</v>
      </c>
      <c r="DM930" s="14"/>
      <c r="DN930" s="16"/>
      <c r="DO930" s="14"/>
      <c r="DP930" s="12" t="s">
        <v>319</v>
      </c>
      <c r="DQ930" s="14"/>
      <c r="DR930" s="16"/>
      <c r="DS930" s="14"/>
      <c r="DT930" s="12" t="s">
        <v>319</v>
      </c>
      <c r="DU930" s="14"/>
      <c r="DV930" s="16"/>
      <c r="DW930" s="14"/>
      <c r="DX930" s="12" t="s">
        <v>319</v>
      </c>
      <c r="DY930" s="14"/>
      <c r="DZ930" s="16"/>
      <c r="EA930" s="14"/>
      <c r="EB930" s="12" t="s">
        <v>319</v>
      </c>
      <c r="EC930" s="14"/>
      <c r="ED930" s="16"/>
      <c r="EE930" s="14"/>
      <c r="EF930" s="12"/>
      <c r="EG930" s="12"/>
      <c r="EH930" s="14"/>
      <c r="EI930" s="16"/>
      <c r="EJ930" s="14"/>
      <c r="EK930" s="14">
        <v>101447</v>
      </c>
      <c r="EL930" s="14">
        <v>151811</v>
      </c>
      <c r="EM930" s="14">
        <v>253258</v>
      </c>
      <c r="EN930" s="14"/>
      <c r="EO930" s="14"/>
      <c r="EP930" s="14"/>
      <c r="EQ930" s="12" t="s">
        <v>320</v>
      </c>
      <c r="ER930" s="14">
        <v>24216</v>
      </c>
      <c r="ES930" s="16">
        <v>0.64</v>
      </c>
      <c r="ET930" s="14"/>
      <c r="EU930" s="11" t="s">
        <v>319</v>
      </c>
      <c r="EV930" s="14"/>
      <c r="EW930" s="16"/>
      <c r="EX930" s="14"/>
      <c r="EY930" s="12" t="s">
        <v>319</v>
      </c>
      <c r="EZ930" s="14"/>
      <c r="FA930" s="16"/>
      <c r="FB930" s="14"/>
      <c r="FC930" s="12" t="s">
        <v>319</v>
      </c>
      <c r="FD930" s="14"/>
      <c r="FE930" s="16"/>
      <c r="FF930" s="14"/>
      <c r="FG930" s="12" t="s">
        <v>319</v>
      </c>
      <c r="FH930" s="14"/>
      <c r="FI930" s="16"/>
      <c r="FJ930" s="14"/>
      <c r="FK930" s="12" t="s">
        <v>320</v>
      </c>
      <c r="FL930" s="14">
        <v>189698</v>
      </c>
      <c r="FM930" s="16">
        <v>0.5</v>
      </c>
      <c r="FN930" s="14"/>
      <c r="FO930" s="12" t="s">
        <v>320</v>
      </c>
      <c r="FP930" s="14">
        <v>48089</v>
      </c>
      <c r="FQ930" s="16">
        <v>0.86</v>
      </c>
      <c r="FR930" s="14"/>
      <c r="FS930" s="12" t="s">
        <v>319</v>
      </c>
      <c r="FT930" s="14"/>
      <c r="FU930" s="16"/>
      <c r="FV930" s="14"/>
      <c r="FW930" s="12" t="s">
        <v>319</v>
      </c>
      <c r="FX930" s="14"/>
      <c r="FY930" s="16"/>
      <c r="FZ930" s="14"/>
      <c r="GA930" s="11" t="s">
        <v>320</v>
      </c>
      <c r="GB930" s="14">
        <v>43691</v>
      </c>
      <c r="GC930" s="16">
        <v>1</v>
      </c>
      <c r="GD930" s="14"/>
      <c r="GE930" s="12" t="s">
        <v>319</v>
      </c>
      <c r="GF930" s="14"/>
      <c r="GG930" s="16"/>
      <c r="GH930" s="14"/>
      <c r="GI930" s="12" t="s">
        <v>319</v>
      </c>
      <c r="GJ930" s="14"/>
      <c r="GK930" s="16"/>
      <c r="GL930" s="14"/>
      <c r="GM930" s="12" t="s">
        <v>319</v>
      </c>
      <c r="GN930" s="14"/>
      <c r="GO930" s="16"/>
      <c r="GP930" s="14"/>
      <c r="GQ930" s="12" t="s">
        <v>319</v>
      </c>
      <c r="GR930" s="14"/>
      <c r="GS930" s="16"/>
      <c r="GT930" s="14"/>
      <c r="GU930" s="12" t="s">
        <v>320</v>
      </c>
      <c r="GV930" s="14">
        <v>19245</v>
      </c>
      <c r="GW930" s="16">
        <v>0.84</v>
      </c>
      <c r="GX930" s="14"/>
      <c r="GY930" s="12" t="s">
        <v>319</v>
      </c>
      <c r="GZ930" s="14"/>
      <c r="HA930" s="16"/>
      <c r="HB930" s="14"/>
      <c r="HC930" s="12"/>
      <c r="HD930" s="12"/>
      <c r="HE930" s="14"/>
      <c r="HF930" s="16"/>
      <c r="HG930" s="14"/>
      <c r="HH930" s="12" t="s">
        <v>320</v>
      </c>
      <c r="HI930" s="12" t="s">
        <v>1175</v>
      </c>
      <c r="HJ930" s="12">
        <v>2016</v>
      </c>
      <c r="HK930" s="12" t="s">
        <v>319</v>
      </c>
      <c r="HL930" s="12" t="s">
        <v>320</v>
      </c>
      <c r="HM930" s="12" t="s">
        <v>416</v>
      </c>
      <c r="HN930" s="12">
        <v>2018</v>
      </c>
      <c r="HO930" s="12"/>
      <c r="HP930" s="12"/>
      <c r="HQ930" s="12" t="s">
        <v>320</v>
      </c>
      <c r="HR930" s="12" t="s">
        <v>319</v>
      </c>
      <c r="HS930" s="12" t="s">
        <v>319</v>
      </c>
      <c r="HT930" s="12" t="s">
        <v>320</v>
      </c>
      <c r="HU930" s="12" t="s">
        <v>320</v>
      </c>
      <c r="HV930" s="12" t="s">
        <v>320</v>
      </c>
      <c r="HW930" s="12" t="s">
        <v>320</v>
      </c>
      <c r="HX930" s="12" t="s">
        <v>319</v>
      </c>
      <c r="HY930" s="12"/>
      <c r="HZ930" s="12" t="s">
        <v>331</v>
      </c>
      <c r="IA930" s="12" t="s">
        <v>13928</v>
      </c>
      <c r="IB930" s="12" t="s">
        <v>396</v>
      </c>
      <c r="IC930" s="12" t="s">
        <v>13929</v>
      </c>
      <c r="ID930" s="12" t="s">
        <v>364</v>
      </c>
      <c r="IE930" s="12"/>
      <c r="IF930" s="12"/>
      <c r="IG930" s="12"/>
      <c r="IH930" s="12"/>
      <c r="II930" s="12"/>
      <c r="IJ930" s="12" t="str">
        <f t="shared" si="602"/>
        <v>No marker score</v>
      </c>
      <c r="IK930" s="12">
        <f t="shared" si="604"/>
        <v>0</v>
      </c>
      <c r="IL930" s="12"/>
      <c r="IM930" s="12"/>
      <c r="IN930" s="12"/>
      <c r="IO930" s="12"/>
      <c r="IP930" s="12"/>
      <c r="IQ930" s="12" t="str">
        <f t="shared" si="605"/>
        <v>No marker score</v>
      </c>
      <c r="IR930" s="12">
        <f t="shared" si="606"/>
        <v>0</v>
      </c>
      <c r="IS930" s="12"/>
      <c r="IT930" s="12"/>
      <c r="IU930" s="12"/>
      <c r="IV930" s="12"/>
      <c r="IW930" s="11" t="str">
        <f t="shared" si="607"/>
        <v>No marker score</v>
      </c>
      <c r="IX930" s="12">
        <f t="shared" si="608"/>
        <v>0</v>
      </c>
      <c r="IY930" s="12" t="s">
        <v>419</v>
      </c>
      <c r="IZ930" s="12" t="s">
        <v>527</v>
      </c>
      <c r="JA930" s="12"/>
      <c r="JB930" s="12" t="s">
        <v>687</v>
      </c>
      <c r="JC930" s="12" t="s">
        <v>651</v>
      </c>
      <c r="JD930" s="12" t="s">
        <v>433</v>
      </c>
      <c r="JE930" s="12" t="s">
        <v>340</v>
      </c>
      <c r="JF930" s="12" t="s">
        <v>13930</v>
      </c>
      <c r="JG930" s="12"/>
      <c r="JH930" s="12"/>
      <c r="JI930" s="12"/>
      <c r="JJ930" s="12"/>
      <c r="JK930" s="12"/>
      <c r="JL930" s="12"/>
      <c r="JM930" s="12"/>
      <c r="JN930" s="12" t="s">
        <v>13931</v>
      </c>
      <c r="JO930" s="12"/>
      <c r="JP930" s="15">
        <f t="shared" si="609"/>
        <v>253258</v>
      </c>
      <c r="JQ930" s="15">
        <f t="shared" si="610"/>
        <v>0</v>
      </c>
      <c r="JR930" s="279">
        <f t="shared" si="611"/>
        <v>0</v>
      </c>
      <c r="JS930" s="17">
        <f t="shared" si="612"/>
        <v>0.40056780042486317</v>
      </c>
      <c r="JT930" s="18" t="str">
        <f t="shared" si="613"/>
        <v/>
      </c>
      <c r="JU930" s="280">
        <f t="shared" si="614"/>
        <v>101447</v>
      </c>
      <c r="JV930" s="280">
        <f t="shared" si="615"/>
        <v>0</v>
      </c>
      <c r="JW930" s="319" t="str">
        <f t="shared" si="616"/>
        <v/>
      </c>
      <c r="JX930" s="15">
        <f t="shared" si="617"/>
        <v>0</v>
      </c>
      <c r="JY930" s="15">
        <f t="shared" si="618"/>
        <v>0</v>
      </c>
      <c r="JZ930" s="19" t="str">
        <f t="shared" si="619"/>
        <v/>
      </c>
      <c r="KA930" s="52">
        <f t="shared" si="620"/>
        <v>1</v>
      </c>
      <c r="KB930" s="15">
        <f t="shared" si="621"/>
        <v>48089</v>
      </c>
      <c r="KC930" s="15">
        <f t="shared" si="622"/>
        <v>0</v>
      </c>
      <c r="KD930" s="20">
        <f t="shared" si="623"/>
        <v>0</v>
      </c>
      <c r="KE930" s="52" t="str">
        <f t="shared" si="624"/>
        <v/>
      </c>
      <c r="KF930" s="15">
        <f t="shared" si="625"/>
        <v>0</v>
      </c>
      <c r="KG930" s="15">
        <f t="shared" si="626"/>
        <v>0</v>
      </c>
      <c r="KH930" s="21" t="str">
        <f t="shared" si="627"/>
        <v/>
      </c>
      <c r="KI930" s="52" t="str">
        <f t="shared" si="628"/>
        <v/>
      </c>
      <c r="KJ930" s="15">
        <f t="shared" si="629"/>
        <v>0</v>
      </c>
      <c r="KK930" s="15">
        <f t="shared" si="630"/>
        <v>0</v>
      </c>
      <c r="KL930" s="19" t="str">
        <f t="shared" si="631"/>
        <v/>
      </c>
      <c r="KM930" s="52" t="str">
        <f t="shared" si="632"/>
        <v/>
      </c>
      <c r="KN930" s="22">
        <f t="shared" si="633"/>
        <v>0</v>
      </c>
      <c r="KO930" s="22">
        <f t="shared" si="634"/>
        <v>0</v>
      </c>
      <c r="KP930" s="19" t="str">
        <f t="shared" si="635"/>
        <v/>
      </c>
      <c r="KQ930" s="11" t="str">
        <f t="shared" si="636"/>
        <v>No marker score</v>
      </c>
      <c r="KR930" s="11" t="str">
        <f t="shared" si="637"/>
        <v>No marker score</v>
      </c>
      <c r="KS930" s="11" t="str">
        <f t="shared" si="638"/>
        <v>No marker score</v>
      </c>
      <c r="KT930" s="11" t="str">
        <f t="shared" si="639"/>
        <v>It tested new ways for fighting poverty and measured results of innovation</v>
      </c>
      <c r="KU930" s="11">
        <f t="shared" si="640"/>
        <v>0</v>
      </c>
      <c r="KV930" s="11" t="str">
        <f t="shared" si="641"/>
        <v>It linked and worked with strategic alliances and partners to take tested and effective solutions to scale</v>
      </c>
      <c r="KW930" s="11" t="str">
        <f t="shared" si="642"/>
        <v>Zambia - Scaling Up Nutrition</v>
      </c>
      <c r="KX930" s="11" t="str">
        <f t="shared" si="643"/>
        <v>Scaling Up Nutrition</v>
      </c>
      <c r="KY930" s="11" t="str">
        <f t="shared" si="644"/>
        <v>Zambia</v>
      </c>
      <c r="KZ930" s="12">
        <v>931</v>
      </c>
    </row>
    <row r="931" spans="1:312" x14ac:dyDescent="0.3">
      <c r="A931" s="12" t="s">
        <v>13917</v>
      </c>
      <c r="B931" s="12" t="s">
        <v>7217</v>
      </c>
      <c r="C931" s="12" t="s">
        <v>13932</v>
      </c>
      <c r="D931" s="12" t="s">
        <v>13933</v>
      </c>
      <c r="E931" s="277" t="str">
        <f t="shared" si="603"/>
        <v>Zambia</v>
      </c>
      <c r="F931" s="12" t="s">
        <v>13932</v>
      </c>
      <c r="G931" s="12" t="s">
        <v>376</v>
      </c>
      <c r="H931" s="12" t="s">
        <v>310</v>
      </c>
      <c r="I931" s="12" t="s">
        <v>377</v>
      </c>
      <c r="J931" s="281" t="s">
        <v>3886</v>
      </c>
      <c r="K931" s="12"/>
      <c r="L931" s="12"/>
      <c r="M931" s="12"/>
      <c r="N931" s="12"/>
      <c r="O931" s="12"/>
      <c r="P931" s="12"/>
      <c r="Q931" s="12"/>
      <c r="R931" s="12"/>
      <c r="S931" s="12"/>
      <c r="T931" s="12"/>
      <c r="U931" s="12"/>
      <c r="V931" s="12"/>
      <c r="W931" s="12"/>
      <c r="X931" s="12"/>
      <c r="Y931" s="12"/>
      <c r="Z931" s="12"/>
      <c r="AA931" s="12"/>
      <c r="AB931" s="12"/>
      <c r="AC931" s="12"/>
      <c r="AD931" s="12"/>
      <c r="BD931" s="13">
        <v>42446</v>
      </c>
      <c r="BE931" s="13">
        <v>44012</v>
      </c>
      <c r="BF931" s="12"/>
      <c r="BG931" s="12" t="s">
        <v>749</v>
      </c>
      <c r="BH931" s="14"/>
      <c r="BI931" s="12" t="s">
        <v>13934</v>
      </c>
      <c r="BJ931" s="12" t="s">
        <v>354</v>
      </c>
      <c r="BK931" s="12" t="s">
        <v>13935</v>
      </c>
      <c r="BL931" s="12"/>
      <c r="BM931" s="12"/>
      <c r="BN931" s="12"/>
      <c r="BO931" s="12" t="s">
        <v>319</v>
      </c>
      <c r="BP931" s="12" t="s">
        <v>320</v>
      </c>
      <c r="BQ931" s="12" t="s">
        <v>319</v>
      </c>
      <c r="BR931" s="12" t="s">
        <v>13936</v>
      </c>
      <c r="BS931" s="12" t="s">
        <v>615</v>
      </c>
      <c r="BT931" s="12" t="s">
        <v>13937</v>
      </c>
      <c r="BU931" s="12" t="s">
        <v>13938</v>
      </c>
      <c r="BV931" s="14">
        <v>39851</v>
      </c>
      <c r="BW931" s="14">
        <v>23927</v>
      </c>
      <c r="BX931" s="14">
        <v>63778</v>
      </c>
      <c r="BY931" s="14">
        <v>22781</v>
      </c>
      <c r="BZ931" s="14">
        <v>36250</v>
      </c>
      <c r="CA931" s="14">
        <v>59031</v>
      </c>
      <c r="CB931" s="12" t="s">
        <v>13939</v>
      </c>
      <c r="CD931" s="14"/>
      <c r="CE931" s="14"/>
      <c r="CF931" s="14"/>
      <c r="CG931" s="14"/>
      <c r="CH931" s="14"/>
      <c r="CI931" s="14"/>
      <c r="CJ931" s="12"/>
      <c r="CK931" s="14"/>
      <c r="CL931" s="16"/>
      <c r="CM931" s="14"/>
      <c r="CN931" s="12"/>
      <c r="CO931" s="14"/>
      <c r="CP931" s="16"/>
      <c r="CQ931" s="14"/>
      <c r="CR931" s="12"/>
      <c r="CS931" s="14"/>
      <c r="CT931" s="16"/>
      <c r="CU931" s="14"/>
      <c r="CV931" s="12"/>
      <c r="CW931" s="14"/>
      <c r="CX931" s="16"/>
      <c r="CY931" s="14"/>
      <c r="CZ931" s="12"/>
      <c r="DA931" s="14"/>
      <c r="DB931" s="16"/>
      <c r="DC931" s="14"/>
      <c r="DD931" s="12"/>
      <c r="DE931" s="14"/>
      <c r="DF931" s="16"/>
      <c r="DG931" s="14"/>
      <c r="DH931" s="12"/>
      <c r="DI931" s="14"/>
      <c r="DJ931" s="16"/>
      <c r="DK931" s="14"/>
      <c r="DL931" s="12"/>
      <c r="DM931" s="14"/>
      <c r="DN931" s="16"/>
      <c r="DO931" s="14"/>
      <c r="DP931" s="12"/>
      <c r="DQ931" s="14"/>
      <c r="DR931" s="16"/>
      <c r="DS931" s="14"/>
      <c r="DT931" s="12"/>
      <c r="DU931" s="14"/>
      <c r="DV931" s="16"/>
      <c r="DW931" s="14"/>
      <c r="DX931" s="12"/>
      <c r="DY931" s="14"/>
      <c r="DZ931" s="16"/>
      <c r="EA931" s="14"/>
      <c r="EB931" s="12"/>
      <c r="EC931" s="14"/>
      <c r="ED931" s="16"/>
      <c r="EE931" s="14"/>
      <c r="EF931" s="12"/>
      <c r="EG931" s="12"/>
      <c r="EH931" s="14"/>
      <c r="EI931" s="16"/>
      <c r="EJ931" s="14"/>
      <c r="EK931" s="14">
        <v>37770</v>
      </c>
      <c r="EL931" s="14">
        <v>25510</v>
      </c>
      <c r="EM931" s="14">
        <v>63280</v>
      </c>
      <c r="EN931" s="14">
        <v>12705</v>
      </c>
      <c r="EO931" s="14">
        <v>10005</v>
      </c>
      <c r="EP931" s="14">
        <v>22710</v>
      </c>
      <c r="EQ931" s="12" t="s">
        <v>319</v>
      </c>
      <c r="ER931" s="14"/>
      <c r="ES931" s="16"/>
      <c r="ET931" s="14"/>
      <c r="EU931" s="11" t="s">
        <v>319</v>
      </c>
      <c r="EV931" s="14"/>
      <c r="EW931" s="16"/>
      <c r="EX931" s="14"/>
      <c r="EY931" s="12" t="s">
        <v>319</v>
      </c>
      <c r="EZ931" s="14"/>
      <c r="FA931" s="16"/>
      <c r="FB931" s="14"/>
      <c r="FC931" s="12" t="s">
        <v>319</v>
      </c>
      <c r="FD931" s="14"/>
      <c r="FE931" s="16"/>
      <c r="FF931" s="14"/>
      <c r="FG931" s="12" t="s">
        <v>319</v>
      </c>
      <c r="FH931" s="14"/>
      <c r="FI931" s="16"/>
      <c r="FJ931" s="14"/>
      <c r="FK931" s="12" t="s">
        <v>319</v>
      </c>
      <c r="FL931" s="14"/>
      <c r="FM931" s="16"/>
      <c r="FN931" s="14"/>
      <c r="FO931" s="12" t="s">
        <v>320</v>
      </c>
      <c r="FP931" s="14">
        <v>13656</v>
      </c>
      <c r="FQ931" s="16">
        <v>0.55000000000000004</v>
      </c>
      <c r="FR931" s="14">
        <v>2510</v>
      </c>
      <c r="FS931" s="12" t="s">
        <v>319</v>
      </c>
      <c r="FT931" s="14"/>
      <c r="FU931" s="16"/>
      <c r="FV931" s="14"/>
      <c r="FW931" s="12" t="s">
        <v>319</v>
      </c>
      <c r="FX931" s="14"/>
      <c r="FY931" s="16"/>
      <c r="FZ931" s="14"/>
      <c r="GA931" s="12" t="s">
        <v>319</v>
      </c>
      <c r="GB931" s="14"/>
      <c r="GC931" s="16"/>
      <c r="GD931" s="14"/>
      <c r="GE931" s="12" t="s">
        <v>319</v>
      </c>
      <c r="GF931" s="14"/>
      <c r="GG931" s="16"/>
      <c r="GH931" s="14"/>
      <c r="GI931" s="12" t="s">
        <v>319</v>
      </c>
      <c r="GJ931" s="14"/>
      <c r="GK931" s="16"/>
      <c r="GL931" s="14"/>
      <c r="GM931" s="12" t="s">
        <v>319</v>
      </c>
      <c r="GN931" s="14"/>
      <c r="GO931" s="16"/>
      <c r="GP931" s="14"/>
      <c r="GQ931" s="12" t="s">
        <v>319</v>
      </c>
      <c r="GR931" s="14"/>
      <c r="GS931" s="16"/>
      <c r="GT931" s="14"/>
      <c r="GU931" s="12" t="s">
        <v>319</v>
      </c>
      <c r="GV931" s="14"/>
      <c r="GW931" s="16"/>
      <c r="GX931" s="14"/>
      <c r="GY931" s="12" t="s">
        <v>319</v>
      </c>
      <c r="GZ931" s="14"/>
      <c r="HA931" s="16"/>
      <c r="HB931" s="14"/>
      <c r="HC931" s="12"/>
      <c r="HD931" s="12"/>
      <c r="HE931" s="14"/>
      <c r="HF931" s="16"/>
      <c r="HG931" s="14"/>
      <c r="HH931" s="12" t="s">
        <v>320</v>
      </c>
      <c r="HI931" s="12" t="s">
        <v>544</v>
      </c>
      <c r="HJ931" s="12">
        <v>2017</v>
      </c>
      <c r="HK931" s="12" t="s">
        <v>320</v>
      </c>
      <c r="HL931" s="12" t="s">
        <v>319</v>
      </c>
      <c r="HM931" s="12"/>
      <c r="HN931" s="12"/>
      <c r="HO931" s="12" t="s">
        <v>13940</v>
      </c>
      <c r="HP931" s="12" t="s">
        <v>330</v>
      </c>
      <c r="HQ931" s="12" t="s">
        <v>319</v>
      </c>
      <c r="HR931" s="12" t="s">
        <v>320</v>
      </c>
      <c r="HS931" s="12" t="s">
        <v>320</v>
      </c>
      <c r="HT931" s="12" t="s">
        <v>320</v>
      </c>
      <c r="HU931" s="12" t="s">
        <v>320</v>
      </c>
      <c r="HV931" s="12" t="s">
        <v>319</v>
      </c>
      <c r="HW931" s="12" t="s">
        <v>319</v>
      </c>
      <c r="HX931" s="12" t="s">
        <v>320</v>
      </c>
      <c r="HY931" s="12" t="s">
        <v>13941</v>
      </c>
      <c r="HZ931" s="12" t="s">
        <v>363</v>
      </c>
      <c r="IA931" s="12"/>
      <c r="IB931" s="12" t="s">
        <v>396</v>
      </c>
      <c r="IC931" s="12" t="s">
        <v>13942</v>
      </c>
      <c r="ID931" s="12" t="s">
        <v>364</v>
      </c>
      <c r="IE931" s="12" t="s">
        <v>335</v>
      </c>
      <c r="IF931" s="12" t="s">
        <v>320</v>
      </c>
      <c r="IG931" s="12" t="s">
        <v>320</v>
      </c>
      <c r="IH931" s="12" t="s">
        <v>320</v>
      </c>
      <c r="II931" s="12" t="s">
        <v>320</v>
      </c>
      <c r="IJ931" s="12" t="str">
        <f t="shared" si="602"/>
        <v>2. Sensitive</v>
      </c>
      <c r="IK931" s="12">
        <f t="shared" si="604"/>
        <v>4</v>
      </c>
      <c r="IL931" s="12" t="s">
        <v>336</v>
      </c>
      <c r="IM931" s="12" t="s">
        <v>320</v>
      </c>
      <c r="IN931" s="12" t="s">
        <v>319</v>
      </c>
      <c r="IO931" s="12" t="s">
        <v>320</v>
      </c>
      <c r="IP931" s="12" t="s">
        <v>320</v>
      </c>
      <c r="IQ931" s="12" t="str">
        <f t="shared" si="605"/>
        <v>2. Accommodating</v>
      </c>
      <c r="IR931" s="12">
        <f t="shared" si="606"/>
        <v>3</v>
      </c>
      <c r="IS931" s="12" t="s">
        <v>622</v>
      </c>
      <c r="IT931" s="12" t="s">
        <v>320</v>
      </c>
      <c r="IU931" s="12" t="s">
        <v>319</v>
      </c>
      <c r="IV931" s="12" t="s">
        <v>320</v>
      </c>
      <c r="IW931" s="11" t="str">
        <f t="shared" si="607"/>
        <v>3. Responsive</v>
      </c>
      <c r="IX931" s="12">
        <f t="shared" si="608"/>
        <v>2</v>
      </c>
      <c r="IY931" s="12" t="s">
        <v>419</v>
      </c>
      <c r="IZ931" s="12" t="s">
        <v>457</v>
      </c>
      <c r="JA931" s="12">
        <v>15</v>
      </c>
      <c r="JB931" s="12" t="s">
        <v>687</v>
      </c>
      <c r="JC931" s="12" t="s">
        <v>624</v>
      </c>
      <c r="JD931" s="12" t="s">
        <v>433</v>
      </c>
      <c r="JE931" s="12" t="s">
        <v>420</v>
      </c>
      <c r="JF931" s="12"/>
      <c r="JG931" s="12" t="s">
        <v>13943</v>
      </c>
      <c r="JH931" s="12" t="s">
        <v>6739</v>
      </c>
      <c r="JI931" s="12" t="s">
        <v>3980</v>
      </c>
      <c r="JJ931" s="12" t="s">
        <v>8476</v>
      </c>
      <c r="JK931" s="12" t="s">
        <v>13944</v>
      </c>
      <c r="JL931" s="12" t="s">
        <v>13945</v>
      </c>
      <c r="JM931" s="12" t="s">
        <v>13946</v>
      </c>
      <c r="JN931" s="12" t="s">
        <v>13947</v>
      </c>
      <c r="JO931" s="12" t="s">
        <v>13948</v>
      </c>
      <c r="JP931" s="15">
        <f t="shared" si="609"/>
        <v>63280</v>
      </c>
      <c r="JQ931" s="15">
        <f t="shared" si="610"/>
        <v>22710</v>
      </c>
      <c r="JR931" s="279">
        <f t="shared" si="611"/>
        <v>0.35888116308470291</v>
      </c>
      <c r="JS931" s="17">
        <f t="shared" si="612"/>
        <v>0.5968710493046776</v>
      </c>
      <c r="JT931" s="18">
        <f t="shared" si="613"/>
        <v>0.55944517833553498</v>
      </c>
      <c r="JU931" s="280">
        <f t="shared" si="614"/>
        <v>37770</v>
      </c>
      <c r="JV931" s="280">
        <f t="shared" si="615"/>
        <v>12705</v>
      </c>
      <c r="JW931" s="319" t="str">
        <f t="shared" si="616"/>
        <v/>
      </c>
      <c r="JX931" s="15">
        <f t="shared" si="617"/>
        <v>0</v>
      </c>
      <c r="JY931" s="15">
        <f t="shared" si="618"/>
        <v>0</v>
      </c>
      <c r="JZ931" s="19" t="str">
        <f t="shared" si="619"/>
        <v/>
      </c>
      <c r="KA931" s="52">
        <f t="shared" si="620"/>
        <v>1</v>
      </c>
      <c r="KB931" s="15">
        <f t="shared" si="621"/>
        <v>13656</v>
      </c>
      <c r="KC931" s="15">
        <f t="shared" si="622"/>
        <v>2510</v>
      </c>
      <c r="KD931" s="20">
        <f t="shared" si="623"/>
        <v>0.18380199179847687</v>
      </c>
      <c r="KE931" s="52" t="str">
        <f t="shared" si="624"/>
        <v/>
      </c>
      <c r="KF931" s="15">
        <f t="shared" si="625"/>
        <v>0</v>
      </c>
      <c r="KG931" s="15">
        <f t="shared" si="626"/>
        <v>0</v>
      </c>
      <c r="KH931" s="21" t="str">
        <f t="shared" si="627"/>
        <v/>
      </c>
      <c r="KI931" s="52" t="str">
        <f t="shared" si="628"/>
        <v/>
      </c>
      <c r="KJ931" s="15">
        <f t="shared" si="629"/>
        <v>0</v>
      </c>
      <c r="KK931" s="15">
        <f t="shared" si="630"/>
        <v>0</v>
      </c>
      <c r="KL931" s="19" t="str">
        <f t="shared" si="631"/>
        <v/>
      </c>
      <c r="KM931" s="52" t="str">
        <f t="shared" si="632"/>
        <v/>
      </c>
      <c r="KN931" s="22">
        <f t="shared" si="633"/>
        <v>0</v>
      </c>
      <c r="KO931" s="22">
        <f t="shared" si="634"/>
        <v>0</v>
      </c>
      <c r="KP931" s="19" t="str">
        <f t="shared" si="635"/>
        <v/>
      </c>
      <c r="KQ931" s="11" t="str">
        <f t="shared" si="636"/>
        <v>2. Sensitive</v>
      </c>
      <c r="KR931" s="11" t="str">
        <f t="shared" si="637"/>
        <v>2. Accommodating</v>
      </c>
      <c r="KS931" s="11" t="str">
        <f t="shared" si="638"/>
        <v>3. Responsive</v>
      </c>
      <c r="KT931" s="11" t="str">
        <f t="shared" si="639"/>
        <v>It did not develop any specific innovation</v>
      </c>
      <c r="KU931" s="11" t="str">
        <f t="shared" si="640"/>
        <v>Moderate advocacy</v>
      </c>
      <c r="KV931" s="11" t="str">
        <f t="shared" si="641"/>
        <v>It linked and worked with strategic alliances and partners to take tested and effective solutions to scale</v>
      </c>
      <c r="KW931" s="11" t="str">
        <f t="shared" si="642"/>
        <v>Zambia - Southern Africa Nutrition Initiative</v>
      </c>
      <c r="KX931" s="11" t="str">
        <f t="shared" si="643"/>
        <v>Southern Africa Nutrition Initiative</v>
      </c>
      <c r="KY931" s="11" t="str">
        <f t="shared" si="644"/>
        <v>Zambia</v>
      </c>
      <c r="KZ931" s="12">
        <v>932</v>
      </c>
    </row>
    <row r="932" spans="1:312" x14ac:dyDescent="0.3">
      <c r="A932" s="12" t="s">
        <v>13917</v>
      </c>
      <c r="B932" s="12" t="s">
        <v>7217</v>
      </c>
      <c r="C932" s="12"/>
      <c r="D932" s="12" t="s">
        <v>13964</v>
      </c>
      <c r="E932" s="277" t="str">
        <f t="shared" si="603"/>
        <v>Zambia</v>
      </c>
      <c r="F932" s="12"/>
      <c r="G932" s="12" t="s">
        <v>1738</v>
      </c>
      <c r="H932" s="12" t="s">
        <v>380</v>
      </c>
      <c r="I932" s="12" t="s">
        <v>517</v>
      </c>
      <c r="J932" s="281" t="s">
        <v>14578</v>
      </c>
      <c r="K932" s="12"/>
      <c r="L932" s="12"/>
      <c r="M932" s="12"/>
      <c r="N932" s="12"/>
      <c r="O932" s="12"/>
      <c r="P932" s="12"/>
      <c r="Q932" s="12"/>
      <c r="R932" s="12"/>
      <c r="S932" s="12"/>
      <c r="T932" s="12"/>
      <c r="U932" s="12"/>
      <c r="V932" s="12"/>
      <c r="W932" s="12"/>
      <c r="X932" s="12"/>
      <c r="Y932" s="12"/>
      <c r="Z932" s="12"/>
      <c r="AA932" s="12"/>
      <c r="AB932" s="12"/>
      <c r="AC932" s="12"/>
      <c r="AD932" s="12"/>
      <c r="BD932" s="13">
        <v>42675</v>
      </c>
      <c r="BE932" s="13">
        <v>43951</v>
      </c>
      <c r="BF932" s="12"/>
      <c r="BG932" s="12" t="s">
        <v>749</v>
      </c>
      <c r="BH932" s="14">
        <v>1536083.6</v>
      </c>
      <c r="BI932" s="12" t="s">
        <v>13965</v>
      </c>
      <c r="BJ932" s="12" t="s">
        <v>354</v>
      </c>
      <c r="BK932" s="12" t="s">
        <v>13966</v>
      </c>
      <c r="BL932" s="12"/>
      <c r="BM932" s="12"/>
      <c r="BN932" s="12"/>
      <c r="BO932" s="12" t="s">
        <v>320</v>
      </c>
      <c r="BP932" s="12" t="s">
        <v>320</v>
      </c>
      <c r="BQ932" s="12" t="s">
        <v>320</v>
      </c>
      <c r="BR932" s="12" t="s">
        <v>13967</v>
      </c>
      <c r="BS932" s="12" t="s">
        <v>357</v>
      </c>
      <c r="BT932" s="12" t="s">
        <v>13968</v>
      </c>
      <c r="BU932" s="12" t="s">
        <v>13969</v>
      </c>
      <c r="BV932" s="14">
        <v>7715</v>
      </c>
      <c r="BW932" s="14">
        <v>3710</v>
      </c>
      <c r="BX932" s="14">
        <v>11425</v>
      </c>
      <c r="BY932" s="14">
        <v>11415</v>
      </c>
      <c r="BZ932" s="14">
        <v>11415</v>
      </c>
      <c r="CA932" s="14">
        <v>22830</v>
      </c>
      <c r="CB932" s="12" t="s">
        <v>13970</v>
      </c>
      <c r="CD932" s="14"/>
      <c r="CE932" s="14"/>
      <c r="CF932" s="14"/>
      <c r="CG932" s="14"/>
      <c r="CH932" s="14"/>
      <c r="CI932" s="14"/>
      <c r="CJ932" s="12" t="s">
        <v>319</v>
      </c>
      <c r="CK932" s="14"/>
      <c r="CL932" s="16"/>
      <c r="CM932" s="14"/>
      <c r="CN932" s="12" t="s">
        <v>319</v>
      </c>
      <c r="CO932" s="14"/>
      <c r="CP932" s="16"/>
      <c r="CQ932" s="14"/>
      <c r="CR932" s="12" t="s">
        <v>319</v>
      </c>
      <c r="CS932" s="14"/>
      <c r="CT932" s="16"/>
      <c r="CU932" s="14"/>
      <c r="CV932" s="12" t="s">
        <v>320</v>
      </c>
      <c r="CW932" s="14"/>
      <c r="CX932" s="16"/>
      <c r="CY932" s="14"/>
      <c r="CZ932" s="12" t="s">
        <v>319</v>
      </c>
      <c r="DA932" s="14"/>
      <c r="DB932" s="16"/>
      <c r="DC932" s="14"/>
      <c r="DD932" s="12" t="s">
        <v>319</v>
      </c>
      <c r="DE932" s="14"/>
      <c r="DF932" s="16"/>
      <c r="DG932" s="14"/>
      <c r="DH932" s="11" t="s">
        <v>319</v>
      </c>
      <c r="DI932" s="14"/>
      <c r="DJ932" s="16"/>
      <c r="DK932" s="14"/>
      <c r="DL932" s="12" t="s">
        <v>319</v>
      </c>
      <c r="DM932" s="14"/>
      <c r="DN932" s="16"/>
      <c r="DO932" s="14"/>
      <c r="DP932" s="12" t="s">
        <v>319</v>
      </c>
      <c r="DQ932" s="14"/>
      <c r="DR932" s="16"/>
      <c r="DS932" s="14"/>
      <c r="DT932" s="12" t="s">
        <v>319</v>
      </c>
      <c r="DU932" s="14"/>
      <c r="DV932" s="16"/>
      <c r="DW932" s="14"/>
      <c r="DX932" s="12" t="s">
        <v>319</v>
      </c>
      <c r="DY932" s="14"/>
      <c r="DZ932" s="16"/>
      <c r="EA932" s="14"/>
      <c r="EB932" s="12" t="s">
        <v>320</v>
      </c>
      <c r="EC932" s="14"/>
      <c r="ED932" s="16"/>
      <c r="EE932" s="14"/>
      <c r="EF932" s="12"/>
      <c r="EG932" s="12" t="s">
        <v>319</v>
      </c>
      <c r="EH932" s="14"/>
      <c r="EI932" s="16"/>
      <c r="EJ932" s="14"/>
      <c r="EK932" s="14">
        <v>200</v>
      </c>
      <c r="EL932" s="14">
        <v>200</v>
      </c>
      <c r="EM932" s="14">
        <v>400</v>
      </c>
      <c r="EN932" s="14">
        <v>1200</v>
      </c>
      <c r="EO932" s="14">
        <v>1200</v>
      </c>
      <c r="EP932" s="14">
        <v>2400</v>
      </c>
      <c r="EQ932" s="12" t="s">
        <v>319</v>
      </c>
      <c r="ER932" s="14">
        <v>0</v>
      </c>
      <c r="ES932" s="16"/>
      <c r="ET932" s="14"/>
      <c r="EU932" s="11" t="s">
        <v>319</v>
      </c>
      <c r="EV932" s="14"/>
      <c r="EW932" s="16"/>
      <c r="EX932" s="14"/>
      <c r="EY932" s="12" t="s">
        <v>319</v>
      </c>
      <c r="EZ932" s="14"/>
      <c r="FA932" s="16"/>
      <c r="FB932" s="14"/>
      <c r="FC932" s="12" t="s">
        <v>319</v>
      </c>
      <c r="FD932" s="14"/>
      <c r="FE932" s="16"/>
      <c r="FF932" s="14"/>
      <c r="FG932" s="12" t="s">
        <v>319</v>
      </c>
      <c r="FH932" s="14"/>
      <c r="FI932" s="16"/>
      <c r="FJ932" s="14"/>
      <c r="FK932" s="12" t="s">
        <v>319</v>
      </c>
      <c r="FL932" s="14"/>
      <c r="FM932" s="16"/>
      <c r="FN932" s="14"/>
      <c r="FO932" s="12" t="s">
        <v>320</v>
      </c>
      <c r="FP932" s="14">
        <v>400</v>
      </c>
      <c r="FQ932" s="16">
        <v>0.5</v>
      </c>
      <c r="FR932" s="14">
        <v>2400</v>
      </c>
      <c r="FS932" s="12" t="s">
        <v>319</v>
      </c>
      <c r="FT932" s="14"/>
      <c r="FU932" s="16"/>
      <c r="FV932" s="14"/>
      <c r="FW932" s="12" t="s">
        <v>319</v>
      </c>
      <c r="FX932" s="14"/>
      <c r="FY932" s="16"/>
      <c r="FZ932" s="14"/>
      <c r="GA932" s="12" t="s">
        <v>319</v>
      </c>
      <c r="GB932" s="14"/>
      <c r="GC932" s="16"/>
      <c r="GD932" s="14"/>
      <c r="GE932" s="12" t="s">
        <v>319</v>
      </c>
      <c r="GF932" s="14"/>
      <c r="GG932" s="16"/>
      <c r="GH932" s="14"/>
      <c r="GI932" s="12" t="s">
        <v>319</v>
      </c>
      <c r="GJ932" s="14"/>
      <c r="GK932" s="16"/>
      <c r="GL932" s="14"/>
      <c r="GM932" s="12" t="s">
        <v>319</v>
      </c>
      <c r="GN932" s="14"/>
      <c r="GO932" s="16"/>
      <c r="GP932" s="14"/>
      <c r="GQ932" s="12" t="s">
        <v>319</v>
      </c>
      <c r="GR932" s="14"/>
      <c r="GS932" s="16"/>
      <c r="GT932" s="14"/>
      <c r="GU932" s="12" t="s">
        <v>319</v>
      </c>
      <c r="GV932" s="14"/>
      <c r="GW932" s="16"/>
      <c r="GX932" s="14"/>
      <c r="GY932" s="12" t="s">
        <v>319</v>
      </c>
      <c r="GZ932" s="14"/>
      <c r="HA932" s="16"/>
      <c r="HB932" s="14"/>
      <c r="HC932" s="12"/>
      <c r="HD932" s="12" t="s">
        <v>319</v>
      </c>
      <c r="HE932" s="14"/>
      <c r="HF932" s="16"/>
      <c r="HG932" s="14"/>
      <c r="HH932" s="12" t="s">
        <v>320</v>
      </c>
      <c r="HI932" s="12" t="s">
        <v>1175</v>
      </c>
      <c r="HJ932" s="12">
        <v>2017</v>
      </c>
      <c r="HK932" s="12" t="s">
        <v>320</v>
      </c>
      <c r="HL932" s="12" t="s">
        <v>319</v>
      </c>
      <c r="HM932" s="12"/>
      <c r="HN932" s="12"/>
      <c r="HO932" s="12"/>
      <c r="HP932" s="12" t="s">
        <v>330</v>
      </c>
      <c r="HQ932" s="12" t="s">
        <v>319</v>
      </c>
      <c r="HR932" s="12" t="s">
        <v>319</v>
      </c>
      <c r="HS932" s="12" t="s">
        <v>319</v>
      </c>
      <c r="HT932" s="12" t="s">
        <v>320</v>
      </c>
      <c r="HU932" s="12" t="s">
        <v>319</v>
      </c>
      <c r="HV932" s="12" t="s">
        <v>319</v>
      </c>
      <c r="HW932" s="12" t="s">
        <v>319</v>
      </c>
      <c r="HX932" s="12"/>
      <c r="HY932" s="12"/>
      <c r="HZ932" s="12" t="s">
        <v>363</v>
      </c>
      <c r="IA932" s="12"/>
      <c r="IB932" s="12" t="s">
        <v>396</v>
      </c>
      <c r="IC932" s="12" t="s">
        <v>13971</v>
      </c>
      <c r="ID932" s="12" t="s">
        <v>364</v>
      </c>
      <c r="IE932" s="12" t="s">
        <v>335</v>
      </c>
      <c r="IF932" s="12" t="s">
        <v>320</v>
      </c>
      <c r="IG932" s="12" t="s">
        <v>319</v>
      </c>
      <c r="IH932" s="12" t="s">
        <v>320</v>
      </c>
      <c r="II932" s="12" t="s">
        <v>319</v>
      </c>
      <c r="IJ932" s="12" t="str">
        <f t="shared" si="602"/>
        <v>1. Neutral</v>
      </c>
      <c r="IK932" s="12">
        <f t="shared" si="604"/>
        <v>2</v>
      </c>
      <c r="IL932" s="12" t="s">
        <v>336</v>
      </c>
      <c r="IM932" s="12" t="s">
        <v>320</v>
      </c>
      <c r="IN932" s="12" t="s">
        <v>320</v>
      </c>
      <c r="IO932" s="12" t="s">
        <v>320</v>
      </c>
      <c r="IP932" s="12" t="s">
        <v>320</v>
      </c>
      <c r="IQ932" s="12" t="str">
        <f t="shared" si="605"/>
        <v>2. Accommodating</v>
      </c>
      <c r="IR932" s="12">
        <f t="shared" si="606"/>
        <v>4</v>
      </c>
      <c r="IS932" s="12" t="s">
        <v>337</v>
      </c>
      <c r="IT932" s="12" t="s">
        <v>320</v>
      </c>
      <c r="IU932" s="12" t="s">
        <v>320</v>
      </c>
      <c r="IV932" s="12" t="s">
        <v>319</v>
      </c>
      <c r="IW932" s="11" t="str">
        <f t="shared" si="607"/>
        <v>1. Neutral</v>
      </c>
      <c r="IX932" s="12">
        <f t="shared" si="608"/>
        <v>2</v>
      </c>
      <c r="IY932" s="12" t="s">
        <v>419</v>
      </c>
      <c r="IZ932" s="12" t="s">
        <v>527</v>
      </c>
      <c r="JA932" s="12">
        <v>3</v>
      </c>
      <c r="JB932" s="12" t="s">
        <v>687</v>
      </c>
      <c r="JC932" s="12" t="s">
        <v>433</v>
      </c>
      <c r="JD932" s="12" t="s">
        <v>624</v>
      </c>
      <c r="JE932" s="12" t="s">
        <v>420</v>
      </c>
      <c r="JF932" s="12"/>
      <c r="JG932" s="12"/>
      <c r="JH932" s="12"/>
      <c r="JI932" s="12"/>
      <c r="JJ932" s="12"/>
      <c r="JK932" s="12"/>
      <c r="JL932" s="12"/>
      <c r="JM932" s="12"/>
      <c r="JN932" s="12"/>
      <c r="JO932" s="12"/>
      <c r="JP932" s="15">
        <f t="shared" si="609"/>
        <v>400</v>
      </c>
      <c r="JQ932" s="15">
        <f t="shared" si="610"/>
        <v>2400</v>
      </c>
      <c r="JR932" s="279">
        <f t="shared" si="611"/>
        <v>6</v>
      </c>
      <c r="JS932" s="17">
        <f t="shared" si="612"/>
        <v>0.5</v>
      </c>
      <c r="JT932" s="18">
        <f t="shared" si="613"/>
        <v>0.5</v>
      </c>
      <c r="JU932" s="280">
        <f t="shared" si="614"/>
        <v>200</v>
      </c>
      <c r="JV932" s="280">
        <f t="shared" si="615"/>
        <v>1200</v>
      </c>
      <c r="JW932" s="319">
        <f t="shared" si="616"/>
        <v>1</v>
      </c>
      <c r="JX932" s="15">
        <f t="shared" si="617"/>
        <v>0</v>
      </c>
      <c r="JY932" s="15">
        <f t="shared" si="618"/>
        <v>0</v>
      </c>
      <c r="JZ932" s="19" t="str">
        <f t="shared" si="619"/>
        <v/>
      </c>
      <c r="KA932" s="52">
        <f t="shared" si="620"/>
        <v>1</v>
      </c>
      <c r="KB932" s="15">
        <f t="shared" si="621"/>
        <v>400</v>
      </c>
      <c r="KC932" s="15">
        <f t="shared" si="622"/>
        <v>2400</v>
      </c>
      <c r="KD932" s="20">
        <f t="shared" si="623"/>
        <v>6</v>
      </c>
      <c r="KE932" s="52" t="str">
        <f t="shared" si="624"/>
        <v/>
      </c>
      <c r="KF932" s="15">
        <f t="shared" si="625"/>
        <v>0</v>
      </c>
      <c r="KG932" s="15">
        <f t="shared" si="626"/>
        <v>0</v>
      </c>
      <c r="KH932" s="21" t="str">
        <f t="shared" si="627"/>
        <v/>
      </c>
      <c r="KI932" s="52" t="str">
        <f t="shared" si="628"/>
        <v/>
      </c>
      <c r="KJ932" s="15">
        <f t="shared" si="629"/>
        <v>0</v>
      </c>
      <c r="KK932" s="15">
        <f t="shared" si="630"/>
        <v>0</v>
      </c>
      <c r="KL932" s="19" t="str">
        <f t="shared" si="631"/>
        <v/>
      </c>
      <c r="KM932" s="52" t="str">
        <f t="shared" si="632"/>
        <v/>
      </c>
      <c r="KN932" s="22">
        <f t="shared" si="633"/>
        <v>0</v>
      </c>
      <c r="KO932" s="22">
        <f t="shared" si="634"/>
        <v>0</v>
      </c>
      <c r="KP932" s="19" t="str">
        <f t="shared" si="635"/>
        <v/>
      </c>
      <c r="KQ932" s="11" t="str">
        <f t="shared" si="636"/>
        <v>1. Neutral</v>
      </c>
      <c r="KR932" s="11" t="str">
        <f t="shared" si="637"/>
        <v>2. Accommodating</v>
      </c>
      <c r="KS932" s="11" t="str">
        <f t="shared" si="638"/>
        <v>1. Neutral</v>
      </c>
      <c r="KT932" s="11" t="str">
        <f t="shared" si="639"/>
        <v>It did not develop any specific innovation</v>
      </c>
      <c r="KU932" s="11" t="str">
        <f t="shared" si="640"/>
        <v>Moderate advocacy</v>
      </c>
      <c r="KV932" s="11" t="str">
        <f t="shared" si="641"/>
        <v>It linked and worked with strategic alliances and partners to take tested and effective solutions to scale</v>
      </c>
      <c r="KW932" s="11" t="str">
        <f t="shared" si="642"/>
        <v>Zambia - SUNI-EU</v>
      </c>
      <c r="KX932" s="11" t="str">
        <f t="shared" si="643"/>
        <v>SUNI-EU</v>
      </c>
      <c r="KY932" s="11" t="str">
        <f t="shared" si="644"/>
        <v>Zambia</v>
      </c>
      <c r="KZ932" s="12">
        <v>933</v>
      </c>
    </row>
    <row r="933" spans="1:312" x14ac:dyDescent="0.3">
      <c r="A933" s="12" t="s">
        <v>14016</v>
      </c>
      <c r="B933" s="12" t="s">
        <v>7217</v>
      </c>
      <c r="C933" s="12">
        <v>3501</v>
      </c>
      <c r="D933" s="315" t="s">
        <v>14160</v>
      </c>
      <c r="E933" s="277" t="str">
        <f t="shared" si="603"/>
        <v>Zimbabwe</v>
      </c>
      <c r="F933" s="12" t="s">
        <v>14161</v>
      </c>
      <c r="G933" s="12" t="s">
        <v>488</v>
      </c>
      <c r="H933" s="12" t="s">
        <v>310</v>
      </c>
      <c r="I933" s="12" t="s">
        <v>506</v>
      </c>
      <c r="J933" s="281" t="s">
        <v>9230</v>
      </c>
      <c r="K933" s="12"/>
      <c r="L933" s="12"/>
      <c r="M933" s="12"/>
      <c r="N933" s="12"/>
      <c r="O933" s="12"/>
      <c r="P933" s="12"/>
      <c r="Q933" s="12"/>
      <c r="R933" s="12"/>
      <c r="S933" s="12"/>
      <c r="T933" s="12"/>
      <c r="U933" s="12"/>
      <c r="V933" s="12"/>
      <c r="W933" s="12"/>
      <c r="X933" s="12"/>
      <c r="Y933" s="12"/>
      <c r="Z933" s="12"/>
      <c r="AA933" s="12"/>
      <c r="AB933" s="12"/>
      <c r="AC933" s="12"/>
      <c r="AD933" s="12"/>
      <c r="BD933" s="13">
        <v>42217</v>
      </c>
      <c r="BE933" s="13">
        <v>42459</v>
      </c>
      <c r="BF933" s="13">
        <v>42886</v>
      </c>
      <c r="BG933" s="12" t="s">
        <v>908</v>
      </c>
      <c r="BH933" s="14">
        <v>52549667.609999999</v>
      </c>
      <c r="BI933" s="12" t="s">
        <v>14147</v>
      </c>
      <c r="BJ933" s="12" t="s">
        <v>751</v>
      </c>
      <c r="BK933" s="12" t="s">
        <v>14148</v>
      </c>
      <c r="BL933" s="12" t="s">
        <v>14162</v>
      </c>
      <c r="BM933" s="12" t="s">
        <v>980</v>
      </c>
      <c r="BN933" s="12" t="s">
        <v>14022</v>
      </c>
      <c r="BO933" s="12" t="s">
        <v>320</v>
      </c>
      <c r="BP933" s="12" t="s">
        <v>319</v>
      </c>
      <c r="BQ933" s="12" t="s">
        <v>319</v>
      </c>
      <c r="BR933" s="12" t="s">
        <v>14163</v>
      </c>
      <c r="BS933" s="12" t="s">
        <v>357</v>
      </c>
      <c r="BT933" s="12" t="s">
        <v>14164</v>
      </c>
      <c r="BU933" s="12" t="s">
        <v>14025</v>
      </c>
      <c r="BV933" s="14">
        <v>178080</v>
      </c>
      <c r="BW933" s="14">
        <v>157920</v>
      </c>
      <c r="BX933" s="14">
        <v>336000</v>
      </c>
      <c r="BY933" s="14">
        <v>0</v>
      </c>
      <c r="BZ933" s="14">
        <v>0</v>
      </c>
      <c r="CA933" s="14"/>
      <c r="CB933" s="12" t="s">
        <v>14165</v>
      </c>
      <c r="CD933" s="14">
        <v>212766</v>
      </c>
      <c r="CE933" s="14">
        <v>187513</v>
      </c>
      <c r="CF933" s="14">
        <v>400279</v>
      </c>
      <c r="CG933" s="14"/>
      <c r="CH933" s="14"/>
      <c r="CI933" s="316"/>
      <c r="CJ933" s="12" t="s">
        <v>319</v>
      </c>
      <c r="CK933" s="14"/>
      <c r="CL933" s="16"/>
      <c r="CM933" s="14"/>
      <c r="CN933" s="12" t="s">
        <v>320</v>
      </c>
      <c r="CO933" s="14">
        <v>400279</v>
      </c>
      <c r="CP933" s="16">
        <v>0.53</v>
      </c>
      <c r="CQ933" s="14">
        <v>0</v>
      </c>
      <c r="CR933" s="12" t="s">
        <v>319</v>
      </c>
      <c r="CS933" s="14"/>
      <c r="CT933" s="16"/>
      <c r="CU933" s="14"/>
      <c r="CV933" s="12" t="s">
        <v>320</v>
      </c>
      <c r="CW933" s="14">
        <v>400279</v>
      </c>
      <c r="CX933" s="16">
        <v>0.53</v>
      </c>
      <c r="CY933" s="14">
        <v>0</v>
      </c>
      <c r="CZ933" s="12" t="s">
        <v>320</v>
      </c>
      <c r="DA933" s="14">
        <v>104526</v>
      </c>
      <c r="DB933" s="16">
        <v>0.69</v>
      </c>
      <c r="DC933" s="14">
        <v>300000</v>
      </c>
      <c r="DD933" s="12" t="s">
        <v>319</v>
      </c>
      <c r="DE933" s="14"/>
      <c r="DF933" s="16"/>
      <c r="DG933" s="14"/>
      <c r="DH933" s="12" t="s">
        <v>319</v>
      </c>
      <c r="DI933" s="14"/>
      <c r="DJ933" s="16"/>
      <c r="DK933" s="14"/>
      <c r="DL933" s="12" t="s">
        <v>319</v>
      </c>
      <c r="DM933" s="14"/>
      <c r="DN933" s="16"/>
      <c r="DO933" s="14"/>
      <c r="DP933" s="12" t="s">
        <v>319</v>
      </c>
      <c r="DQ933" s="14"/>
      <c r="DR933" s="16"/>
      <c r="DS933" s="14"/>
      <c r="DT933" s="12" t="s">
        <v>319</v>
      </c>
      <c r="DU933" s="14"/>
      <c r="DV933" s="16"/>
      <c r="DW933" s="14"/>
      <c r="DX933" s="12" t="s">
        <v>319</v>
      </c>
      <c r="DY933" s="14"/>
      <c r="DZ933" s="16"/>
      <c r="EA933" s="14"/>
      <c r="EB933" s="12" t="s">
        <v>319</v>
      </c>
      <c r="EC933" s="14"/>
      <c r="ED933" s="16"/>
      <c r="EE933" s="14"/>
      <c r="EF933" s="12"/>
      <c r="EG933" s="12" t="s">
        <v>319</v>
      </c>
      <c r="EH933" s="14"/>
      <c r="EI933" s="16"/>
      <c r="EJ933" s="14"/>
      <c r="EK933" s="14"/>
      <c r="EL933" s="14"/>
      <c r="EM933" s="14"/>
      <c r="EN933" s="14"/>
      <c r="EO933" s="14"/>
      <c r="EP933" s="14"/>
      <c r="EQ933" s="12"/>
      <c r="ER933" s="14"/>
      <c r="ES933" s="16"/>
      <c r="ET933" s="14"/>
      <c r="EU933" s="12"/>
      <c r="EV933" s="14"/>
      <c r="EW933" s="16"/>
      <c r="EX933" s="14"/>
      <c r="EY933" s="12"/>
      <c r="EZ933" s="14"/>
      <c r="FA933" s="16"/>
      <c r="FB933" s="14"/>
      <c r="FC933" s="12"/>
      <c r="FD933" s="14"/>
      <c r="FE933" s="16"/>
      <c r="FF933" s="14"/>
      <c r="FG933" s="12"/>
      <c r="FH933" s="14"/>
      <c r="FI933" s="16"/>
      <c r="FJ933" s="14"/>
      <c r="FK933" s="12"/>
      <c r="FL933" s="14"/>
      <c r="FM933" s="16"/>
      <c r="FN933" s="14"/>
      <c r="FO933" s="12"/>
      <c r="FP933" s="14"/>
      <c r="FQ933" s="16"/>
      <c r="FR933" s="14"/>
      <c r="FS933" s="12"/>
      <c r="FT933" s="14"/>
      <c r="FU933" s="16"/>
      <c r="FV933" s="14"/>
      <c r="FW933" s="12"/>
      <c r="FX933" s="14"/>
      <c r="FY933" s="16"/>
      <c r="FZ933" s="14"/>
      <c r="GA933" s="12"/>
      <c r="GB933" s="14"/>
      <c r="GC933" s="16"/>
      <c r="GD933" s="14"/>
      <c r="GE933" s="12"/>
      <c r="GF933" s="14"/>
      <c r="GG933" s="16"/>
      <c r="GH933" s="14"/>
      <c r="GI933" s="12"/>
      <c r="GJ933" s="14"/>
      <c r="GK933" s="16"/>
      <c r="GL933" s="14"/>
      <c r="GM933" s="12"/>
      <c r="GN933" s="14"/>
      <c r="GO933" s="16"/>
      <c r="GP933" s="14"/>
      <c r="GQ933" s="12"/>
      <c r="GR933" s="14"/>
      <c r="GS933" s="16"/>
      <c r="GT933" s="14"/>
      <c r="GU933" s="12"/>
      <c r="GV933" s="14"/>
      <c r="GW933" s="16"/>
      <c r="GX933" s="14"/>
      <c r="GY933" s="12"/>
      <c r="GZ933" s="14"/>
      <c r="HA933" s="16"/>
      <c r="HB933" s="14"/>
      <c r="HC933" s="12"/>
      <c r="HD933" s="12"/>
      <c r="HE933" s="14"/>
      <c r="HF933" s="16"/>
      <c r="HG933" s="14"/>
      <c r="HH933" s="12" t="s">
        <v>320</v>
      </c>
      <c r="HI933" s="12" t="s">
        <v>560</v>
      </c>
      <c r="HJ933" s="12">
        <v>2017</v>
      </c>
      <c r="HK933" s="12" t="s">
        <v>320</v>
      </c>
      <c r="HL933" s="12" t="s">
        <v>319</v>
      </c>
      <c r="HM933" s="12"/>
      <c r="HN933" s="12"/>
      <c r="HO933" s="12"/>
      <c r="HP933" s="12" t="s">
        <v>330</v>
      </c>
      <c r="HQ933" s="12" t="s">
        <v>319</v>
      </c>
      <c r="HR933" s="12" t="s">
        <v>319</v>
      </c>
      <c r="HS933" s="12" t="s">
        <v>319</v>
      </c>
      <c r="HT933" s="12" t="s">
        <v>319</v>
      </c>
      <c r="HU933" s="12" t="s">
        <v>320</v>
      </c>
      <c r="HV933" s="12" t="s">
        <v>319</v>
      </c>
      <c r="HW933" s="12" t="s">
        <v>319</v>
      </c>
      <c r="HX933" s="12" t="s">
        <v>319</v>
      </c>
      <c r="HY933" s="12"/>
      <c r="HZ933" s="12" t="s">
        <v>363</v>
      </c>
      <c r="IA933" s="12"/>
      <c r="IB933" s="12" t="s">
        <v>333</v>
      </c>
      <c r="IC933" s="12"/>
      <c r="ID933" s="12" t="s">
        <v>334</v>
      </c>
      <c r="IE933" s="12" t="s">
        <v>478</v>
      </c>
      <c r="IF933" s="12" t="s">
        <v>320</v>
      </c>
      <c r="IG933" s="12" t="s">
        <v>320</v>
      </c>
      <c r="IH933" s="12" t="s">
        <v>320</v>
      </c>
      <c r="II933" s="12" t="s">
        <v>320</v>
      </c>
      <c r="IJ933" s="12" t="str">
        <f t="shared" si="602"/>
        <v>4. Transformative</v>
      </c>
      <c r="IK933" s="12">
        <f t="shared" si="604"/>
        <v>4</v>
      </c>
      <c r="IL933" s="12" t="s">
        <v>336</v>
      </c>
      <c r="IM933" s="12" t="s">
        <v>319</v>
      </c>
      <c r="IN933" s="12" t="s">
        <v>319</v>
      </c>
      <c r="IO933" s="12" t="s">
        <v>320</v>
      </c>
      <c r="IP933" s="12" t="s">
        <v>320</v>
      </c>
      <c r="IQ933" s="12" t="str">
        <f t="shared" si="605"/>
        <v>1. Tokenistic</v>
      </c>
      <c r="IR933" s="12">
        <f t="shared" si="606"/>
        <v>2</v>
      </c>
      <c r="IS933" s="12" t="s">
        <v>337</v>
      </c>
      <c r="IT933" s="12" t="s">
        <v>320</v>
      </c>
      <c r="IU933" s="12" t="s">
        <v>320</v>
      </c>
      <c r="IV933" s="12" t="s">
        <v>320</v>
      </c>
      <c r="IW933" s="11" t="str">
        <f t="shared" si="607"/>
        <v>2. Sensitive</v>
      </c>
      <c r="IX933" s="12">
        <f t="shared" si="608"/>
        <v>3</v>
      </c>
      <c r="IY933" s="12" t="s">
        <v>338</v>
      </c>
      <c r="IZ933" s="12" t="s">
        <v>432</v>
      </c>
      <c r="JA933" s="12">
        <v>3</v>
      </c>
      <c r="JB933" s="12" t="s">
        <v>831</v>
      </c>
      <c r="JC933" s="12" t="s">
        <v>724</v>
      </c>
      <c r="JD933" s="12"/>
      <c r="JE933" s="12" t="s">
        <v>420</v>
      </c>
      <c r="JF933" s="12"/>
      <c r="JG933" s="12" t="s">
        <v>14166</v>
      </c>
      <c r="JH933" s="12" t="s">
        <v>14167</v>
      </c>
      <c r="JI933" s="12" t="s">
        <v>14168</v>
      </c>
      <c r="JJ933" s="12" t="s">
        <v>14169</v>
      </c>
      <c r="JK933" s="12" t="s">
        <v>14170</v>
      </c>
      <c r="JL933" s="12" t="s">
        <v>14171</v>
      </c>
      <c r="JM933" s="12" t="s">
        <v>14172</v>
      </c>
      <c r="JN933" s="12" t="s">
        <v>14173</v>
      </c>
      <c r="JO933" s="12" t="s">
        <v>14174</v>
      </c>
      <c r="JP933" s="15">
        <f t="shared" si="609"/>
        <v>400279</v>
      </c>
      <c r="JQ933" s="15">
        <f t="shared" si="610"/>
        <v>0</v>
      </c>
      <c r="JR933" s="279">
        <f t="shared" si="611"/>
        <v>0</v>
      </c>
      <c r="JS933" s="17">
        <f t="shared" si="612"/>
        <v>0.53154424788709875</v>
      </c>
      <c r="JT933" s="18" t="str">
        <f t="shared" si="613"/>
        <v/>
      </c>
      <c r="JU933" s="280">
        <f t="shared" si="614"/>
        <v>212766</v>
      </c>
      <c r="JV933" s="280">
        <f t="shared" si="615"/>
        <v>0</v>
      </c>
      <c r="JW933" s="319">
        <f t="shared" si="616"/>
        <v>1</v>
      </c>
      <c r="JX933" s="15">
        <f t="shared" si="617"/>
        <v>400279</v>
      </c>
      <c r="JY933" s="15">
        <f t="shared" si="618"/>
        <v>0</v>
      </c>
      <c r="JZ933" s="19">
        <f t="shared" si="619"/>
        <v>0</v>
      </c>
      <c r="KA933" s="52">
        <f t="shared" si="620"/>
        <v>1</v>
      </c>
      <c r="KB933" s="15">
        <f t="shared" si="621"/>
        <v>400279</v>
      </c>
      <c r="KC933" s="15">
        <f t="shared" si="622"/>
        <v>0</v>
      </c>
      <c r="KD933" s="20">
        <f t="shared" si="623"/>
        <v>0</v>
      </c>
      <c r="KE933" s="52" t="str">
        <f t="shared" si="624"/>
        <v/>
      </c>
      <c r="KF933" s="15">
        <f t="shared" si="625"/>
        <v>0</v>
      </c>
      <c r="KG933" s="15">
        <f t="shared" si="626"/>
        <v>0</v>
      </c>
      <c r="KH933" s="21" t="str">
        <f t="shared" si="627"/>
        <v/>
      </c>
      <c r="KI933" s="52">
        <f t="shared" si="628"/>
        <v>1</v>
      </c>
      <c r="KJ933" s="15">
        <f t="shared" si="629"/>
        <v>104526</v>
      </c>
      <c r="KK933" s="15">
        <f t="shared" si="630"/>
        <v>300000</v>
      </c>
      <c r="KL933" s="19">
        <f t="shared" si="631"/>
        <v>2.8700993054359683</v>
      </c>
      <c r="KM933" s="52" t="str">
        <f t="shared" si="632"/>
        <v/>
      </c>
      <c r="KN933" s="22">
        <f t="shared" si="633"/>
        <v>0</v>
      </c>
      <c r="KO933" s="22">
        <f t="shared" si="634"/>
        <v>0</v>
      </c>
      <c r="KP933" s="19" t="str">
        <f t="shared" si="635"/>
        <v/>
      </c>
      <c r="KQ933" s="11" t="str">
        <f t="shared" si="636"/>
        <v>4. Transformative</v>
      </c>
      <c r="KR933" s="11" t="str">
        <f t="shared" si="637"/>
        <v>1. Tokenistic</v>
      </c>
      <c r="KS933" s="11" t="str">
        <f t="shared" si="638"/>
        <v>2. Sensitive</v>
      </c>
      <c r="KT933" s="11" t="str">
        <f t="shared" si="639"/>
        <v>It did not develop any specific innovation</v>
      </c>
      <c r="KU933" s="11" t="str">
        <f t="shared" si="640"/>
        <v>Moderate advocacy</v>
      </c>
      <c r="KV933" s="11" t="str">
        <f t="shared" si="641"/>
        <v>It did not take tested solutions to scale</v>
      </c>
      <c r="KW933" s="11" t="str">
        <f t="shared" si="642"/>
        <v>Zimbabwe - Emergency Cash First Response to Drought-affected commmunities in the Southern provinces of Zimbabwe</v>
      </c>
      <c r="KX933" s="11" t="str">
        <f t="shared" si="643"/>
        <v>Emergency Cash First Response to Drought-affected commmunities in the Southern provinces of Zimbabwe</v>
      </c>
      <c r="KY933" s="11" t="str">
        <f t="shared" si="644"/>
        <v>Zimbabwe</v>
      </c>
      <c r="KZ933" s="12">
        <v>934</v>
      </c>
    </row>
    <row r="934" spans="1:312" x14ac:dyDescent="0.3">
      <c r="A934" s="12" t="s">
        <v>14016</v>
      </c>
      <c r="B934" s="12" t="s">
        <v>7217</v>
      </c>
      <c r="C934" s="12">
        <v>3505</v>
      </c>
      <c r="D934" s="315" t="s">
        <v>14213</v>
      </c>
      <c r="E934" s="277" t="str">
        <f t="shared" si="603"/>
        <v>Zimbabwe</v>
      </c>
      <c r="F934" s="12" t="s">
        <v>14214</v>
      </c>
      <c r="G934" s="12" t="s">
        <v>379</v>
      </c>
      <c r="H934" s="12" t="s">
        <v>554</v>
      </c>
      <c r="I934" s="12" t="s">
        <v>384</v>
      </c>
      <c r="J934" s="278" t="s">
        <v>10530</v>
      </c>
      <c r="K934" s="12"/>
      <c r="L934" s="12"/>
      <c r="M934" s="12"/>
      <c r="N934" s="12"/>
      <c r="O934" s="12"/>
      <c r="P934" s="12"/>
      <c r="Q934" s="12"/>
      <c r="R934" s="12"/>
      <c r="S934" s="12"/>
      <c r="T934" s="12"/>
      <c r="U934" s="12"/>
      <c r="V934" s="12"/>
      <c r="W934" s="12"/>
      <c r="X934" s="12"/>
      <c r="Y934" s="12"/>
      <c r="Z934" s="12"/>
      <c r="AA934" s="12"/>
      <c r="AB934" s="12"/>
      <c r="AC934" s="12"/>
      <c r="AD934" s="12"/>
      <c r="BD934" s="13">
        <v>42186</v>
      </c>
      <c r="BE934" s="13">
        <v>44012</v>
      </c>
      <c r="BF934" s="12"/>
      <c r="BG934" s="12" t="s">
        <v>312</v>
      </c>
      <c r="BH934" s="14">
        <v>1061612</v>
      </c>
      <c r="BI934" s="12" t="s">
        <v>14215</v>
      </c>
      <c r="BJ934" s="12" t="s">
        <v>354</v>
      </c>
      <c r="BK934" s="12" t="s">
        <v>14216</v>
      </c>
      <c r="BL934" s="12" t="s">
        <v>14021</v>
      </c>
      <c r="BM934" s="12" t="s">
        <v>980</v>
      </c>
      <c r="BN934" s="12" t="s">
        <v>14038</v>
      </c>
      <c r="BO934" s="12" t="s">
        <v>319</v>
      </c>
      <c r="BP934" s="12" t="s">
        <v>320</v>
      </c>
      <c r="BQ934" s="12" t="s">
        <v>319</v>
      </c>
      <c r="BR934" s="12" t="s">
        <v>14217</v>
      </c>
      <c r="BS934" s="12" t="s">
        <v>357</v>
      </c>
      <c r="BT934" s="12" t="s">
        <v>14218</v>
      </c>
      <c r="BU934" s="12" t="s">
        <v>14219</v>
      </c>
      <c r="BV934" s="14">
        <v>1000</v>
      </c>
      <c r="BW934" s="14">
        <v>1000</v>
      </c>
      <c r="BX934" s="14">
        <v>2000</v>
      </c>
      <c r="BY934" s="14">
        <v>30000</v>
      </c>
      <c r="BZ934" s="14">
        <v>30000</v>
      </c>
      <c r="CA934" s="14">
        <v>60000</v>
      </c>
      <c r="CB934" s="12" t="s">
        <v>14220</v>
      </c>
      <c r="CD934" s="14"/>
      <c r="CE934" s="14"/>
      <c r="CF934" s="14"/>
      <c r="CG934" s="14"/>
      <c r="CH934" s="14"/>
      <c r="CI934" s="14"/>
      <c r="CJ934" s="12"/>
      <c r="CK934" s="14"/>
      <c r="CL934" s="16"/>
      <c r="CM934" s="14"/>
      <c r="CN934" s="12"/>
      <c r="CO934" s="14"/>
      <c r="CP934" s="16"/>
      <c r="CQ934" s="14"/>
      <c r="CR934" s="12"/>
      <c r="CS934" s="14"/>
      <c r="CT934" s="16"/>
      <c r="CU934" s="14"/>
      <c r="CV934" s="12"/>
      <c r="CW934" s="14"/>
      <c r="CX934" s="16"/>
      <c r="CY934" s="14"/>
      <c r="CZ934" s="12"/>
      <c r="DA934" s="14"/>
      <c r="DB934" s="16"/>
      <c r="DC934" s="14"/>
      <c r="DD934" s="12"/>
      <c r="DE934" s="14"/>
      <c r="DF934" s="16"/>
      <c r="DG934" s="14"/>
      <c r="DH934" s="12"/>
      <c r="DI934" s="14"/>
      <c r="DJ934" s="16"/>
      <c r="DK934" s="14"/>
      <c r="DL934" s="12"/>
      <c r="DM934" s="14"/>
      <c r="DN934" s="12"/>
      <c r="DO934" s="14"/>
      <c r="DP934" s="12"/>
      <c r="DQ934" s="14"/>
      <c r="DR934" s="16"/>
      <c r="DS934" s="14"/>
      <c r="DT934" s="12"/>
      <c r="DU934" s="14"/>
      <c r="DV934" s="16"/>
      <c r="DW934" s="14"/>
      <c r="DX934" s="12"/>
      <c r="DY934" s="14"/>
      <c r="DZ934" s="16"/>
      <c r="EA934" s="14"/>
      <c r="EB934" s="12"/>
      <c r="EC934" s="14"/>
      <c r="ED934" s="16"/>
      <c r="EE934" s="14"/>
      <c r="EF934" s="12"/>
      <c r="EG934" s="12"/>
      <c r="EH934" s="14"/>
      <c r="EI934" s="16"/>
      <c r="EJ934" s="14"/>
      <c r="EK934" s="14">
        <v>769</v>
      </c>
      <c r="EL934" s="14">
        <v>668</v>
      </c>
      <c r="EM934" s="14">
        <v>1437</v>
      </c>
      <c r="EN934" s="14">
        <v>2114</v>
      </c>
      <c r="EO934" s="14">
        <v>2112</v>
      </c>
      <c r="EP934" s="14">
        <v>4226</v>
      </c>
      <c r="EQ934" s="12" t="s">
        <v>319</v>
      </c>
      <c r="ER934" s="14"/>
      <c r="ES934" s="16"/>
      <c r="ET934" s="14"/>
      <c r="EU934" s="11" t="s">
        <v>319</v>
      </c>
      <c r="EV934" s="14"/>
      <c r="EW934" s="16"/>
      <c r="EX934" s="14"/>
      <c r="EY934" s="12" t="s">
        <v>319</v>
      </c>
      <c r="EZ934" s="14"/>
      <c r="FA934" s="16"/>
      <c r="FB934" s="14"/>
      <c r="FC934" s="12" t="s">
        <v>319</v>
      </c>
      <c r="FD934" s="14"/>
      <c r="FE934" s="16"/>
      <c r="FF934" s="14"/>
      <c r="FG934" s="12" t="s">
        <v>319</v>
      </c>
      <c r="FH934" s="14"/>
      <c r="FI934" s="16"/>
      <c r="FJ934" s="14"/>
      <c r="FK934" s="12" t="s">
        <v>320</v>
      </c>
      <c r="FL934" s="14">
        <v>1437</v>
      </c>
      <c r="FM934" s="16">
        <v>0.54</v>
      </c>
      <c r="FN934" s="14">
        <v>4226</v>
      </c>
      <c r="FO934" s="12" t="s">
        <v>319</v>
      </c>
      <c r="FP934" s="14"/>
      <c r="FQ934" s="16"/>
      <c r="FR934" s="14"/>
      <c r="FS934" s="12" t="s">
        <v>319</v>
      </c>
      <c r="FT934" s="14"/>
      <c r="FU934" s="16"/>
      <c r="FV934" s="14"/>
      <c r="FW934" s="12" t="s">
        <v>319</v>
      </c>
      <c r="FX934" s="14"/>
      <c r="FY934" s="16"/>
      <c r="FZ934" s="14"/>
      <c r="GA934" s="12" t="s">
        <v>319</v>
      </c>
      <c r="GB934" s="14"/>
      <c r="GC934" s="16"/>
      <c r="GD934" s="14"/>
      <c r="GE934" s="12" t="s">
        <v>319</v>
      </c>
      <c r="GF934" s="14"/>
      <c r="GG934" s="16"/>
      <c r="GH934" s="14"/>
      <c r="GI934" s="12" t="s">
        <v>319</v>
      </c>
      <c r="GJ934" s="14"/>
      <c r="GK934" s="16"/>
      <c r="GL934" s="14"/>
      <c r="GM934" s="12" t="s">
        <v>319</v>
      </c>
      <c r="GN934" s="14"/>
      <c r="GO934" s="16"/>
      <c r="GP934" s="14"/>
      <c r="GQ934" s="12" t="s">
        <v>319</v>
      </c>
      <c r="GR934" s="14"/>
      <c r="GS934" s="16"/>
      <c r="GT934" s="14"/>
      <c r="GU934" s="12" t="s">
        <v>319</v>
      </c>
      <c r="GV934" s="14"/>
      <c r="GW934" s="16"/>
      <c r="GX934" s="14"/>
      <c r="GY934" s="12" t="s">
        <v>319</v>
      </c>
      <c r="GZ934" s="14"/>
      <c r="HA934" s="12"/>
      <c r="HB934" s="14"/>
      <c r="HC934" s="12"/>
      <c r="HD934" s="12" t="s">
        <v>319</v>
      </c>
      <c r="HE934" s="14"/>
      <c r="HF934" s="16"/>
      <c r="HG934" s="14"/>
      <c r="HH934" s="12" t="s">
        <v>320</v>
      </c>
      <c r="HI934" s="12" t="s">
        <v>544</v>
      </c>
      <c r="HJ934" s="12">
        <v>2017</v>
      </c>
      <c r="HK934" s="12" t="s">
        <v>319</v>
      </c>
      <c r="HL934" s="12" t="s">
        <v>319</v>
      </c>
      <c r="HM934" s="12"/>
      <c r="HN934" s="12"/>
      <c r="HO934" s="12" t="s">
        <v>14221</v>
      </c>
      <c r="HP934" s="12" t="s">
        <v>330</v>
      </c>
      <c r="HQ934" s="12" t="s">
        <v>319</v>
      </c>
      <c r="HR934" s="12" t="s">
        <v>319</v>
      </c>
      <c r="HS934" s="12" t="s">
        <v>320</v>
      </c>
      <c r="HT934" s="12" t="s">
        <v>320</v>
      </c>
      <c r="HU934" s="12" t="s">
        <v>320</v>
      </c>
      <c r="HV934" s="12" t="s">
        <v>319</v>
      </c>
      <c r="HW934" s="12" t="s">
        <v>319</v>
      </c>
      <c r="HX934" s="12" t="s">
        <v>319</v>
      </c>
      <c r="HY934" s="12"/>
      <c r="HZ934" s="12" t="s">
        <v>394</v>
      </c>
      <c r="IA934" s="12" t="s">
        <v>14222</v>
      </c>
      <c r="IB934" s="12" t="s">
        <v>333</v>
      </c>
      <c r="IC934" s="12"/>
      <c r="ID934" s="12" t="s">
        <v>364</v>
      </c>
      <c r="IE934" s="12" t="s">
        <v>335</v>
      </c>
      <c r="IF934" s="12" t="s">
        <v>320</v>
      </c>
      <c r="IG934" s="12" t="s">
        <v>320</v>
      </c>
      <c r="IH934" s="12" t="s">
        <v>319</v>
      </c>
      <c r="II934" s="12" t="s">
        <v>320</v>
      </c>
      <c r="IJ934" s="12" t="str">
        <f t="shared" si="602"/>
        <v>1. Neutral</v>
      </c>
      <c r="IK934" s="12">
        <f t="shared" si="604"/>
        <v>3</v>
      </c>
      <c r="IL934" s="12" t="s">
        <v>336</v>
      </c>
      <c r="IM934" s="12" t="s">
        <v>320</v>
      </c>
      <c r="IN934" s="12" t="s">
        <v>320</v>
      </c>
      <c r="IO934" s="12" t="s">
        <v>320</v>
      </c>
      <c r="IP934" s="12" t="s">
        <v>320</v>
      </c>
      <c r="IQ934" s="12" t="str">
        <f t="shared" si="605"/>
        <v>2. Accommodating</v>
      </c>
      <c r="IR934" s="12">
        <f t="shared" si="606"/>
        <v>4</v>
      </c>
      <c r="IS934" s="12" t="s">
        <v>456</v>
      </c>
      <c r="IT934" s="12" t="s">
        <v>319</v>
      </c>
      <c r="IU934" s="12" t="s">
        <v>319</v>
      </c>
      <c r="IV934" s="12" t="s">
        <v>320</v>
      </c>
      <c r="IW934" s="11" t="str">
        <f t="shared" si="607"/>
        <v>0. Harmful</v>
      </c>
      <c r="IX934" s="12">
        <f t="shared" si="608"/>
        <v>1</v>
      </c>
      <c r="IY934" s="12" t="s">
        <v>338</v>
      </c>
      <c r="IZ934" s="12" t="s">
        <v>457</v>
      </c>
      <c r="JA934" s="12">
        <v>0</v>
      </c>
      <c r="JB934" s="12"/>
      <c r="JC934" s="12"/>
      <c r="JD934" s="12"/>
      <c r="JE934" s="12" t="s">
        <v>420</v>
      </c>
      <c r="JF934" s="12"/>
      <c r="JG934" s="12"/>
      <c r="JH934" s="12" t="s">
        <v>14223</v>
      </c>
      <c r="JI934" s="12" t="s">
        <v>14224</v>
      </c>
      <c r="JJ934" s="12" t="s">
        <v>14225</v>
      </c>
      <c r="JK934" s="12" t="s">
        <v>14226</v>
      </c>
      <c r="JL934" s="12" t="s">
        <v>14227</v>
      </c>
      <c r="JM934" s="12"/>
      <c r="JN934" s="12"/>
      <c r="JO934" s="12" t="s">
        <v>14228</v>
      </c>
      <c r="JP934" s="15">
        <f t="shared" si="609"/>
        <v>1437</v>
      </c>
      <c r="JQ934" s="15">
        <f t="shared" si="610"/>
        <v>4226</v>
      </c>
      <c r="JR934" s="279">
        <f t="shared" si="611"/>
        <v>2.9408489909533753</v>
      </c>
      <c r="JS934" s="17">
        <f t="shared" si="612"/>
        <v>0.53514265831593599</v>
      </c>
      <c r="JT934" s="18">
        <f t="shared" si="613"/>
        <v>0.50023663038334121</v>
      </c>
      <c r="JU934" s="280">
        <f t="shared" si="614"/>
        <v>769</v>
      </c>
      <c r="JV934" s="280">
        <f t="shared" si="615"/>
        <v>2114</v>
      </c>
      <c r="JW934" s="319" t="str">
        <f t="shared" si="616"/>
        <v/>
      </c>
      <c r="JX934" s="15">
        <f t="shared" si="617"/>
        <v>0</v>
      </c>
      <c r="JY934" s="15">
        <f t="shared" si="618"/>
        <v>0</v>
      </c>
      <c r="JZ934" s="19" t="str">
        <f t="shared" si="619"/>
        <v/>
      </c>
      <c r="KA934" s="52" t="str">
        <f t="shared" si="620"/>
        <v/>
      </c>
      <c r="KB934" s="15">
        <f t="shared" si="621"/>
        <v>0</v>
      </c>
      <c r="KC934" s="15">
        <f t="shared" si="622"/>
        <v>0</v>
      </c>
      <c r="KD934" s="20" t="str">
        <f t="shared" si="623"/>
        <v/>
      </c>
      <c r="KE934" s="52" t="str">
        <f t="shared" si="624"/>
        <v/>
      </c>
      <c r="KF934" s="15">
        <f t="shared" si="625"/>
        <v>0</v>
      </c>
      <c r="KG934" s="15">
        <f t="shared" si="626"/>
        <v>0</v>
      </c>
      <c r="KH934" s="21" t="str">
        <f t="shared" si="627"/>
        <v/>
      </c>
      <c r="KI934" s="52" t="str">
        <f t="shared" si="628"/>
        <v/>
      </c>
      <c r="KJ934" s="15">
        <f t="shared" si="629"/>
        <v>0</v>
      </c>
      <c r="KK934" s="15">
        <f t="shared" si="630"/>
        <v>0</v>
      </c>
      <c r="KL934" s="19" t="str">
        <f t="shared" si="631"/>
        <v/>
      </c>
      <c r="KM934" s="52" t="str">
        <f t="shared" si="632"/>
        <v/>
      </c>
      <c r="KN934" s="22">
        <f t="shared" si="633"/>
        <v>0</v>
      </c>
      <c r="KO934" s="22">
        <f t="shared" si="634"/>
        <v>0</v>
      </c>
      <c r="KP934" s="19" t="str">
        <f t="shared" si="635"/>
        <v/>
      </c>
      <c r="KQ934" s="11" t="str">
        <f t="shared" si="636"/>
        <v>1. Neutral</v>
      </c>
      <c r="KR934" s="11" t="str">
        <f t="shared" si="637"/>
        <v>2. Accommodating</v>
      </c>
      <c r="KS934" s="11" t="str">
        <f t="shared" si="638"/>
        <v>0. Harmful</v>
      </c>
      <c r="KT934" s="11" t="str">
        <f t="shared" si="639"/>
        <v>It tested new ways for fighting poverty, but did not measure results of innovation</v>
      </c>
      <c r="KU934" s="11" t="str">
        <f t="shared" si="640"/>
        <v>Moderate advocacy</v>
      </c>
      <c r="KV934" s="11" t="str">
        <f t="shared" si="641"/>
        <v>It did not take tested solutions to scale</v>
      </c>
      <c r="KW934" s="11" t="str">
        <f t="shared" si="642"/>
        <v>Zimbabwe - Empowering Adolescents for Lifelong Learning</v>
      </c>
      <c r="KX934" s="11" t="str">
        <f t="shared" si="643"/>
        <v>Empowering Adolescents for Lifelong Learning</v>
      </c>
      <c r="KY934" s="11" t="str">
        <f t="shared" si="644"/>
        <v>Zimbabwe</v>
      </c>
      <c r="KZ934" s="12">
        <v>935</v>
      </c>
    </row>
    <row r="935" spans="1:312" x14ac:dyDescent="0.3">
      <c r="A935" s="12" t="s">
        <v>14016</v>
      </c>
      <c r="B935" s="12" t="s">
        <v>7217</v>
      </c>
      <c r="C935" s="12"/>
      <c r="D935" s="315" t="s">
        <v>14034</v>
      </c>
      <c r="E935" s="277" t="str">
        <f t="shared" si="603"/>
        <v>Zimbabwe</v>
      </c>
      <c r="F935" s="12" t="s">
        <v>14035</v>
      </c>
      <c r="G935" s="12" t="s">
        <v>376</v>
      </c>
      <c r="H935" s="12" t="s">
        <v>380</v>
      </c>
      <c r="I935" s="12" t="s">
        <v>381</v>
      </c>
      <c r="J935" s="281" t="s">
        <v>11531</v>
      </c>
      <c r="K935" s="12"/>
      <c r="L935" s="12"/>
      <c r="M935" s="12"/>
      <c r="N935" s="12"/>
      <c r="O935" s="12"/>
      <c r="P935" s="12"/>
      <c r="Q935" s="12"/>
      <c r="R935" s="12"/>
      <c r="S935" s="12"/>
      <c r="T935" s="12"/>
      <c r="U935" s="12"/>
      <c r="V935" s="12"/>
      <c r="W935" s="12"/>
      <c r="X935" s="12"/>
      <c r="Y935" s="12"/>
      <c r="Z935" s="12"/>
      <c r="AA935" s="12"/>
      <c r="AB935" s="12"/>
      <c r="AC935" s="12"/>
      <c r="AD935" s="12"/>
      <c r="BD935" s="13">
        <v>42552</v>
      </c>
      <c r="BE935" s="13">
        <v>43646</v>
      </c>
      <c r="BF935" s="12"/>
      <c r="BG935" s="12" t="s">
        <v>749</v>
      </c>
      <c r="BH935" s="14">
        <v>3956491.92</v>
      </c>
      <c r="BI935" s="12" t="s">
        <v>14036</v>
      </c>
      <c r="BJ935" s="12" t="s">
        <v>751</v>
      </c>
      <c r="BK935" s="12" t="s">
        <v>14037</v>
      </c>
      <c r="BL935" s="12" t="s">
        <v>14021</v>
      </c>
      <c r="BM935" s="12" t="s">
        <v>980</v>
      </c>
      <c r="BN935" s="12" t="s">
        <v>14038</v>
      </c>
      <c r="BO935" s="12" t="s">
        <v>319</v>
      </c>
      <c r="BP935" s="12" t="s">
        <v>320</v>
      </c>
      <c r="BQ935" s="12" t="s">
        <v>319</v>
      </c>
      <c r="BR935" s="12" t="s">
        <v>14039</v>
      </c>
      <c r="BS935" s="12" t="s">
        <v>357</v>
      </c>
      <c r="BT935" s="12" t="s">
        <v>14040</v>
      </c>
      <c r="BU935" s="12" t="s">
        <v>14025</v>
      </c>
      <c r="BV935" s="14">
        <v>5044</v>
      </c>
      <c r="BW935" s="14">
        <v>4656</v>
      </c>
      <c r="BX935" s="14">
        <v>9700</v>
      </c>
      <c r="BY935" s="14">
        <v>24440</v>
      </c>
      <c r="BZ935" s="14">
        <v>22560</v>
      </c>
      <c r="CA935" s="14">
        <v>47000</v>
      </c>
      <c r="CB935" s="12" t="s">
        <v>14041</v>
      </c>
      <c r="CD935" s="14"/>
      <c r="CE935" s="14"/>
      <c r="CF935" s="14"/>
      <c r="CG935" s="14"/>
      <c r="CH935" s="14"/>
      <c r="CI935" s="14"/>
      <c r="CJ935" s="12"/>
      <c r="CK935" s="14"/>
      <c r="CL935" s="16"/>
      <c r="CM935" s="14"/>
      <c r="CN935" s="12"/>
      <c r="CO935" s="14"/>
      <c r="CP935" s="16"/>
      <c r="CQ935" s="14"/>
      <c r="CR935" s="12"/>
      <c r="CS935" s="14"/>
      <c r="CT935" s="16"/>
      <c r="CU935" s="14"/>
      <c r="CV935" s="12"/>
      <c r="CW935" s="14"/>
      <c r="CX935" s="16"/>
      <c r="CY935" s="14"/>
      <c r="CZ935" s="12"/>
      <c r="DA935" s="14"/>
      <c r="DB935" s="16"/>
      <c r="DC935" s="14"/>
      <c r="DD935" s="12"/>
      <c r="DE935" s="14"/>
      <c r="DF935" s="16"/>
      <c r="DG935" s="14"/>
      <c r="DH935" s="12"/>
      <c r="DI935" s="14"/>
      <c r="DJ935" s="16"/>
      <c r="DK935" s="14"/>
      <c r="DL935" s="12"/>
      <c r="DM935" s="14"/>
      <c r="DN935" s="16"/>
      <c r="DO935" s="14"/>
      <c r="DP935" s="12"/>
      <c r="DQ935" s="14"/>
      <c r="DR935" s="16"/>
      <c r="DS935" s="14"/>
      <c r="DT935" s="12"/>
      <c r="DU935" s="14"/>
      <c r="DV935" s="16"/>
      <c r="DW935" s="14"/>
      <c r="DX935" s="12"/>
      <c r="DY935" s="14"/>
      <c r="DZ935" s="16"/>
      <c r="EA935" s="14"/>
      <c r="EB935" s="12"/>
      <c r="EC935" s="14"/>
      <c r="ED935" s="16"/>
      <c r="EE935" s="14"/>
      <c r="EF935" s="12"/>
      <c r="EG935" s="12"/>
      <c r="EH935" s="14"/>
      <c r="EI935" s="16"/>
      <c r="EJ935" s="14"/>
      <c r="EK935" s="14">
        <v>3918</v>
      </c>
      <c r="EL935" s="14">
        <v>3474</v>
      </c>
      <c r="EM935" s="14">
        <v>7392</v>
      </c>
      <c r="EN935" s="14">
        <v>15673</v>
      </c>
      <c r="EO935" s="14">
        <v>13899</v>
      </c>
      <c r="EP935" s="14">
        <v>29572</v>
      </c>
      <c r="EQ935" s="12" t="s">
        <v>320</v>
      </c>
      <c r="ER935" s="14">
        <v>2640</v>
      </c>
      <c r="ES935" s="16">
        <v>0.54</v>
      </c>
      <c r="ET935" s="14">
        <v>10560</v>
      </c>
      <c r="EU935" s="11" t="s">
        <v>320</v>
      </c>
      <c r="EV935" s="14">
        <v>7393</v>
      </c>
      <c r="EW935" s="16">
        <v>0.53</v>
      </c>
      <c r="EX935" s="14">
        <v>29571</v>
      </c>
      <c r="EY935" s="12" t="s">
        <v>319</v>
      </c>
      <c r="EZ935" s="14"/>
      <c r="FA935" s="16"/>
      <c r="FB935" s="14"/>
      <c r="FC935" s="12" t="s">
        <v>320</v>
      </c>
      <c r="FD935" s="14">
        <v>5036</v>
      </c>
      <c r="FE935" s="16">
        <v>0.66</v>
      </c>
      <c r="FF935" s="14">
        <v>20144</v>
      </c>
      <c r="FG935" s="12" t="s">
        <v>319</v>
      </c>
      <c r="FH935" s="14"/>
      <c r="FI935" s="16"/>
      <c r="FJ935" s="14"/>
      <c r="FK935" s="12" t="s">
        <v>319</v>
      </c>
      <c r="FL935" s="14"/>
      <c r="FM935" s="16"/>
      <c r="FN935" s="14"/>
      <c r="FO935" s="12" t="s">
        <v>319</v>
      </c>
      <c r="FP935" s="14"/>
      <c r="FQ935" s="16"/>
      <c r="FR935" s="14"/>
      <c r="FS935" s="12" t="s">
        <v>319</v>
      </c>
      <c r="FT935" s="14"/>
      <c r="FU935" s="16"/>
      <c r="FV935" s="14"/>
      <c r="FW935" s="12" t="s">
        <v>319</v>
      </c>
      <c r="FX935" s="14"/>
      <c r="FY935" s="16"/>
      <c r="FZ935" s="14"/>
      <c r="GA935" s="12" t="s">
        <v>319</v>
      </c>
      <c r="GB935" s="14"/>
      <c r="GC935" s="16"/>
      <c r="GD935" s="14"/>
      <c r="GE935" s="12" t="s">
        <v>320</v>
      </c>
      <c r="GF935" s="14">
        <v>250</v>
      </c>
      <c r="GG935" s="16">
        <v>0.68</v>
      </c>
      <c r="GH935" s="14">
        <v>1000</v>
      </c>
      <c r="GI935" s="12" t="s">
        <v>319</v>
      </c>
      <c r="GJ935" s="14"/>
      <c r="GK935" s="16"/>
      <c r="GL935" s="14"/>
      <c r="GM935" s="12" t="s">
        <v>319</v>
      </c>
      <c r="GN935" s="14"/>
      <c r="GO935" s="16"/>
      <c r="GP935" s="14"/>
      <c r="GQ935" s="12" t="s">
        <v>320</v>
      </c>
      <c r="GR935" s="14"/>
      <c r="GS935" s="16"/>
      <c r="GT935" s="14"/>
      <c r="GU935" s="12" t="s">
        <v>320</v>
      </c>
      <c r="GV935" s="14">
        <v>3500</v>
      </c>
      <c r="GW935" s="16">
        <v>0.6</v>
      </c>
      <c r="GX935" s="14"/>
      <c r="GY935" s="12" t="s">
        <v>319</v>
      </c>
      <c r="GZ935" s="14"/>
      <c r="HA935" s="16"/>
      <c r="HB935" s="14"/>
      <c r="HC935" s="12"/>
      <c r="HD935" s="12"/>
      <c r="HE935" s="14"/>
      <c r="HF935" s="16"/>
      <c r="HG935" s="14"/>
      <c r="HH935" s="12" t="s">
        <v>319</v>
      </c>
      <c r="HI935" s="12"/>
      <c r="HJ935" s="12"/>
      <c r="HK935" s="12"/>
      <c r="HL935" s="12" t="s">
        <v>319</v>
      </c>
      <c r="HM935" s="12"/>
      <c r="HN935" s="12"/>
      <c r="HO935" s="12" t="s">
        <v>14042</v>
      </c>
      <c r="HP935" s="12" t="s">
        <v>418</v>
      </c>
      <c r="HQ935" s="12" t="s">
        <v>319</v>
      </c>
      <c r="HR935" s="12" t="s">
        <v>319</v>
      </c>
      <c r="HS935" s="12" t="s">
        <v>320</v>
      </c>
      <c r="HT935" s="12" t="s">
        <v>319</v>
      </c>
      <c r="HU935" s="12" t="s">
        <v>319</v>
      </c>
      <c r="HV935" s="12" t="s">
        <v>319</v>
      </c>
      <c r="HW935" s="12" t="s">
        <v>319</v>
      </c>
      <c r="HX935" s="12" t="s">
        <v>319</v>
      </c>
      <c r="HY935" s="12"/>
      <c r="HZ935" s="12" t="s">
        <v>394</v>
      </c>
      <c r="IA935" s="12" t="s">
        <v>14043</v>
      </c>
      <c r="IB935" s="12" t="s">
        <v>333</v>
      </c>
      <c r="IC935" s="12"/>
      <c r="ID935" s="12" t="s">
        <v>364</v>
      </c>
      <c r="IE935" s="12" t="s">
        <v>478</v>
      </c>
      <c r="IF935" s="12" t="s">
        <v>320</v>
      </c>
      <c r="IG935" s="12" t="s">
        <v>319</v>
      </c>
      <c r="IH935" s="12" t="s">
        <v>320</v>
      </c>
      <c r="II935" s="12" t="s">
        <v>319</v>
      </c>
      <c r="IJ935" s="12" t="str">
        <f t="shared" si="602"/>
        <v>3. Responsive</v>
      </c>
      <c r="IK935" s="12">
        <f t="shared" si="604"/>
        <v>2</v>
      </c>
      <c r="IL935" s="12" t="s">
        <v>336</v>
      </c>
      <c r="IM935" s="12" t="s">
        <v>320</v>
      </c>
      <c r="IN935" s="12" t="s">
        <v>319</v>
      </c>
      <c r="IO935" s="12" t="s">
        <v>320</v>
      </c>
      <c r="IP935" s="12" t="s">
        <v>320</v>
      </c>
      <c r="IQ935" s="12" t="str">
        <f t="shared" si="605"/>
        <v>2. Accommodating</v>
      </c>
      <c r="IR935" s="12">
        <f t="shared" si="606"/>
        <v>3</v>
      </c>
      <c r="IS935" s="12" t="s">
        <v>622</v>
      </c>
      <c r="IT935" s="12" t="s">
        <v>320</v>
      </c>
      <c r="IU935" s="12" t="s">
        <v>320</v>
      </c>
      <c r="IV935" s="12" t="s">
        <v>320</v>
      </c>
      <c r="IW935" s="11" t="str">
        <f t="shared" si="607"/>
        <v>4. Transformative</v>
      </c>
      <c r="IX935" s="12">
        <f t="shared" si="608"/>
        <v>3</v>
      </c>
      <c r="IY935" s="12" t="s">
        <v>758</v>
      </c>
      <c r="IZ935" s="12" t="s">
        <v>457</v>
      </c>
      <c r="JA935" s="12">
        <v>4</v>
      </c>
      <c r="JB935" s="12" t="s">
        <v>831</v>
      </c>
      <c r="JC935" s="12" t="s">
        <v>724</v>
      </c>
      <c r="JD935" s="12"/>
      <c r="JE935" s="12" t="s">
        <v>420</v>
      </c>
      <c r="JF935" s="12"/>
      <c r="JG935" s="12"/>
      <c r="JH935" s="12" t="s">
        <v>14044</v>
      </c>
      <c r="JI935" s="12" t="s">
        <v>14045</v>
      </c>
      <c r="JJ935" s="12" t="s">
        <v>14046</v>
      </c>
      <c r="JK935" s="12" t="s">
        <v>14047</v>
      </c>
      <c r="JL935" s="12" t="s">
        <v>14048</v>
      </c>
      <c r="JM935" s="12"/>
      <c r="JN935" s="12" t="s">
        <v>14049</v>
      </c>
      <c r="JO935" s="12" t="s">
        <v>14050</v>
      </c>
      <c r="JP935" s="15">
        <f t="shared" si="609"/>
        <v>7392</v>
      </c>
      <c r="JQ935" s="15">
        <f t="shared" si="610"/>
        <v>29572</v>
      </c>
      <c r="JR935" s="279">
        <f t="shared" si="611"/>
        <v>4.0005411255411252</v>
      </c>
      <c r="JS935" s="17">
        <f t="shared" si="612"/>
        <v>0.53003246753246758</v>
      </c>
      <c r="JT935" s="18">
        <f t="shared" si="613"/>
        <v>0.52999458947653189</v>
      </c>
      <c r="JU935" s="280">
        <f t="shared" si="614"/>
        <v>3918</v>
      </c>
      <c r="JV935" s="280">
        <f t="shared" si="615"/>
        <v>15673</v>
      </c>
      <c r="JW935" s="319" t="str">
        <f t="shared" si="616"/>
        <v/>
      </c>
      <c r="JX935" s="15">
        <f t="shared" si="617"/>
        <v>0</v>
      </c>
      <c r="JY935" s="15">
        <f t="shared" si="618"/>
        <v>0</v>
      </c>
      <c r="JZ935" s="19" t="str">
        <f t="shared" si="619"/>
        <v/>
      </c>
      <c r="KA935" s="52">
        <f t="shared" si="620"/>
        <v>1</v>
      </c>
      <c r="KB935" s="15">
        <f t="shared" si="621"/>
        <v>7393</v>
      </c>
      <c r="KC935" s="15">
        <f t="shared" si="622"/>
        <v>29571</v>
      </c>
      <c r="KD935" s="20">
        <f t="shared" si="623"/>
        <v>3.9998647369132962</v>
      </c>
      <c r="KE935" s="52">
        <f t="shared" si="624"/>
        <v>1</v>
      </c>
      <c r="KF935" s="15">
        <f t="shared" si="625"/>
        <v>0</v>
      </c>
      <c r="KG935" s="15">
        <f t="shared" si="626"/>
        <v>0</v>
      </c>
      <c r="KH935" s="21" t="str">
        <f t="shared" si="627"/>
        <v/>
      </c>
      <c r="KI935" s="52" t="str">
        <f t="shared" si="628"/>
        <v/>
      </c>
      <c r="KJ935" s="15">
        <f t="shared" si="629"/>
        <v>0</v>
      </c>
      <c r="KK935" s="15">
        <f t="shared" si="630"/>
        <v>0</v>
      </c>
      <c r="KL935" s="19" t="str">
        <f t="shared" si="631"/>
        <v/>
      </c>
      <c r="KM935" s="52" t="str">
        <f t="shared" si="632"/>
        <v/>
      </c>
      <c r="KN935" s="22">
        <f t="shared" si="633"/>
        <v>0</v>
      </c>
      <c r="KO935" s="22">
        <f t="shared" si="634"/>
        <v>0</v>
      </c>
      <c r="KP935" s="19" t="str">
        <f t="shared" si="635"/>
        <v/>
      </c>
      <c r="KQ935" s="11" t="str">
        <f t="shared" si="636"/>
        <v>3. Responsive</v>
      </c>
      <c r="KR935" s="11" t="str">
        <f t="shared" si="637"/>
        <v>2. Accommodating</v>
      </c>
      <c r="KS935" s="11" t="str">
        <f t="shared" si="638"/>
        <v>4. Transformative</v>
      </c>
      <c r="KT935" s="11" t="str">
        <f t="shared" si="639"/>
        <v>It tested new ways for fighting poverty, but did not measure results of innovation</v>
      </c>
      <c r="KU935" s="11" t="str">
        <f t="shared" si="640"/>
        <v>Little or no advocacy</v>
      </c>
      <c r="KV935" s="11" t="str">
        <f t="shared" si="641"/>
        <v>It did not take tested solutions to scale</v>
      </c>
      <c r="KW935" s="11" t="str">
        <f t="shared" si="642"/>
        <v>Zimbabwe - Enhancing Community Resilience and Sustainability (ECRAS) in Chiredzi and Mwenezi districts</v>
      </c>
      <c r="KX935" s="11" t="str">
        <f t="shared" si="643"/>
        <v>Enhancing Community Resilience and Sustainability (ECRAS) in Chiredzi and Mwenezi districts</v>
      </c>
      <c r="KY935" s="11" t="str">
        <f t="shared" si="644"/>
        <v>Zimbabwe</v>
      </c>
      <c r="KZ935" s="287">
        <v>936</v>
      </c>
    </row>
    <row r="936" spans="1:312" x14ac:dyDescent="0.3">
      <c r="A936" s="12" t="s">
        <v>14016</v>
      </c>
      <c r="B936" s="12" t="s">
        <v>7217</v>
      </c>
      <c r="C936" s="12" t="s">
        <v>14229</v>
      </c>
      <c r="D936" s="315" t="s">
        <v>14230</v>
      </c>
      <c r="E936" s="277" t="str">
        <f t="shared" si="603"/>
        <v>Zimbabwe</v>
      </c>
      <c r="F936" s="12"/>
      <c r="G936" s="12" t="s">
        <v>379</v>
      </c>
      <c r="H936" s="12" t="s">
        <v>310</v>
      </c>
      <c r="I936" s="12" t="s">
        <v>655</v>
      </c>
      <c r="J936" s="281" t="s">
        <v>4991</v>
      </c>
      <c r="K936" s="12"/>
      <c r="L936" s="12"/>
      <c r="M936" s="12"/>
      <c r="N936" s="12"/>
      <c r="O936" s="12"/>
      <c r="P936" s="12"/>
      <c r="Q936" s="12"/>
      <c r="R936" s="12"/>
      <c r="S936" s="12"/>
      <c r="T936" s="12"/>
      <c r="U936" s="12"/>
      <c r="V936" s="12"/>
      <c r="W936" s="12"/>
      <c r="X936" s="12"/>
      <c r="Y936" s="12"/>
      <c r="Z936" s="12"/>
      <c r="AA936" s="12"/>
      <c r="AB936" s="12"/>
      <c r="AC936" s="12"/>
      <c r="AD936" s="12"/>
      <c r="BD936" s="13">
        <v>41456</v>
      </c>
      <c r="BE936" s="13">
        <v>43251</v>
      </c>
      <c r="BF936" s="12"/>
      <c r="BG936" s="12" t="s">
        <v>749</v>
      </c>
      <c r="BH936" s="14">
        <v>22331122.02</v>
      </c>
      <c r="BI936" s="12" t="s">
        <v>14231</v>
      </c>
      <c r="BJ936" s="12" t="s">
        <v>354</v>
      </c>
      <c r="BK936" s="12" t="s">
        <v>14232</v>
      </c>
      <c r="BL936" s="12" t="s">
        <v>14021</v>
      </c>
      <c r="BM936" s="12" t="s">
        <v>14233</v>
      </c>
      <c r="BN936" s="12" t="s">
        <v>14022</v>
      </c>
      <c r="BO936" s="12" t="s">
        <v>320</v>
      </c>
      <c r="BP936" s="12" t="s">
        <v>320</v>
      </c>
      <c r="BQ936" s="12" t="s">
        <v>320</v>
      </c>
      <c r="BR936" s="12" t="s">
        <v>14234</v>
      </c>
      <c r="BS936" s="12" t="s">
        <v>357</v>
      </c>
      <c r="BT936" s="12" t="s">
        <v>14235</v>
      </c>
      <c r="BU936" s="12" t="s">
        <v>14236</v>
      </c>
      <c r="BV936" s="14">
        <v>78076</v>
      </c>
      <c r="BW936" s="14">
        <v>72071</v>
      </c>
      <c r="BX936" s="14">
        <v>150147</v>
      </c>
      <c r="BY936" s="14">
        <v>55462</v>
      </c>
      <c r="BZ936" s="14">
        <v>35179</v>
      </c>
      <c r="CA936" s="14">
        <v>90641</v>
      </c>
      <c r="CB936" s="12"/>
      <c r="CD936" s="14">
        <v>65005</v>
      </c>
      <c r="CE936" s="14">
        <v>53424</v>
      </c>
      <c r="CF936" s="14">
        <f>118429</f>
        <v>118429</v>
      </c>
      <c r="CG936" s="14"/>
      <c r="CH936" s="14"/>
      <c r="CI936" s="14">
        <v>0</v>
      </c>
      <c r="CJ936" s="12" t="s">
        <v>319</v>
      </c>
      <c r="CK936" s="14"/>
      <c r="CL936" s="16"/>
      <c r="CM936" s="14"/>
      <c r="CN936" s="12" t="s">
        <v>319</v>
      </c>
      <c r="CO936" s="14"/>
      <c r="CP936" s="16"/>
      <c r="CQ936" s="14"/>
      <c r="CR936" s="12" t="s">
        <v>319</v>
      </c>
      <c r="CS936" s="14"/>
      <c r="CT936" s="16"/>
      <c r="CU936" s="14"/>
      <c r="CV936" s="12" t="s">
        <v>320</v>
      </c>
      <c r="CW936" s="14">
        <v>118429</v>
      </c>
      <c r="CX936" s="16">
        <v>0.55000000000000004</v>
      </c>
      <c r="CY936" s="14"/>
      <c r="CZ936" s="12" t="s">
        <v>319</v>
      </c>
      <c r="DA936" s="14"/>
      <c r="DB936" s="16"/>
      <c r="DC936" s="14"/>
      <c r="DD936" s="11" t="s">
        <v>320</v>
      </c>
      <c r="DE936" s="14">
        <v>10587</v>
      </c>
      <c r="DF936" s="16">
        <v>0.57999999999999996</v>
      </c>
      <c r="DG936" s="14"/>
      <c r="DH936" s="12" t="s">
        <v>319</v>
      </c>
      <c r="DI936" s="14"/>
      <c r="DJ936" s="16"/>
      <c r="DK936" s="14"/>
      <c r="DL936" s="12" t="s">
        <v>319</v>
      </c>
      <c r="DM936" s="14"/>
      <c r="DN936" s="16"/>
      <c r="DO936" s="14"/>
      <c r="DP936" s="12" t="s">
        <v>319</v>
      </c>
      <c r="DQ936" s="14"/>
      <c r="DR936" s="16"/>
      <c r="DS936" s="14"/>
      <c r="DT936" s="12" t="s">
        <v>319</v>
      </c>
      <c r="DU936" s="14"/>
      <c r="DV936" s="16"/>
      <c r="DW936" s="14"/>
      <c r="DX936" s="12" t="s">
        <v>319</v>
      </c>
      <c r="DY936" s="14"/>
      <c r="DZ936" s="16"/>
      <c r="EA936" s="14"/>
      <c r="EB936" s="11" t="s">
        <v>320</v>
      </c>
      <c r="EC936" s="14">
        <v>21847</v>
      </c>
      <c r="ED936" s="16">
        <v>0.91</v>
      </c>
      <c r="EE936" s="14"/>
      <c r="EF936" s="12"/>
      <c r="EG936" s="12" t="s">
        <v>319</v>
      </c>
      <c r="EH936" s="14"/>
      <c r="EI936" s="16"/>
      <c r="EJ936" s="14"/>
      <c r="EK936" s="14">
        <v>42377</v>
      </c>
      <c r="EL936" s="14">
        <v>14255</v>
      </c>
      <c r="EM936" s="14">
        <v>56632</v>
      </c>
      <c r="EN936" s="14">
        <v>186459</v>
      </c>
      <c r="EO936" s="14">
        <v>62722</v>
      </c>
      <c r="EP936" s="14">
        <v>249181</v>
      </c>
      <c r="EQ936" s="12" t="s">
        <v>320</v>
      </c>
      <c r="ER936" s="14">
        <v>7430</v>
      </c>
      <c r="ES936" s="16">
        <v>0.7</v>
      </c>
      <c r="ET936" s="14">
        <v>32692</v>
      </c>
      <c r="EU936" s="11" t="s">
        <v>320</v>
      </c>
      <c r="EV936" s="14">
        <v>3414</v>
      </c>
      <c r="EW936" s="16">
        <v>0.74</v>
      </c>
      <c r="EX936" s="14">
        <v>15022</v>
      </c>
      <c r="EY936" s="12" t="s">
        <v>319</v>
      </c>
      <c r="EZ936" s="14"/>
      <c r="FA936" s="16"/>
      <c r="FB936" s="14"/>
      <c r="FC936" s="12" t="s">
        <v>320</v>
      </c>
      <c r="FD936" s="14">
        <v>2612</v>
      </c>
      <c r="FE936" s="16">
        <v>0.56999999999999995</v>
      </c>
      <c r="FF936" s="14">
        <v>11493</v>
      </c>
      <c r="FG936" s="12" t="s">
        <v>320</v>
      </c>
      <c r="FH936" s="14">
        <v>7755</v>
      </c>
      <c r="FI936" s="16">
        <v>0.89</v>
      </c>
      <c r="FJ936" s="14">
        <v>34122</v>
      </c>
      <c r="FK936" s="12" t="s">
        <v>319</v>
      </c>
      <c r="FL936" s="14"/>
      <c r="FM936" s="16"/>
      <c r="FN936" s="14"/>
      <c r="FO936" s="12" t="s">
        <v>320</v>
      </c>
      <c r="FP936" s="14">
        <v>21780</v>
      </c>
      <c r="FQ936" s="16">
        <v>0.56999999999999995</v>
      </c>
      <c r="FR936" s="14">
        <v>10886</v>
      </c>
      <c r="FS936" s="12" t="s">
        <v>319</v>
      </c>
      <c r="FT936" s="14"/>
      <c r="FU936" s="16"/>
      <c r="FV936" s="14"/>
      <c r="FW936" s="11" t="s">
        <v>320</v>
      </c>
      <c r="FX936" s="14">
        <v>10587</v>
      </c>
      <c r="FY936" s="16">
        <v>0.57999999999999996</v>
      </c>
      <c r="FZ936" s="14">
        <v>31761</v>
      </c>
      <c r="GA936" s="12" t="s">
        <v>319</v>
      </c>
      <c r="GB936" s="14"/>
      <c r="GC936" s="16"/>
      <c r="GD936" s="14"/>
      <c r="GE936" s="12" t="s">
        <v>320</v>
      </c>
      <c r="GF936" s="14">
        <v>3202</v>
      </c>
      <c r="GG936" s="16">
        <v>0.56999999999999995</v>
      </c>
      <c r="GH936" s="14">
        <v>14089</v>
      </c>
      <c r="GI936" s="11" t="s">
        <v>320</v>
      </c>
      <c r="GJ936" s="14">
        <v>1051</v>
      </c>
      <c r="GK936" s="16">
        <v>0.54</v>
      </c>
      <c r="GL936" s="14">
        <v>4624</v>
      </c>
      <c r="GM936" s="12" t="s">
        <v>319</v>
      </c>
      <c r="GN936" s="14"/>
      <c r="GO936" s="16"/>
      <c r="GP936" s="14"/>
      <c r="GQ936" s="12" t="s">
        <v>319</v>
      </c>
      <c r="GR936" s="14"/>
      <c r="GS936" s="16"/>
      <c r="GT936" s="14"/>
      <c r="GU936" s="12" t="s">
        <v>320</v>
      </c>
      <c r="GV936" s="14">
        <v>21846</v>
      </c>
      <c r="GW936" s="16">
        <v>0.91</v>
      </c>
      <c r="GX936" s="14">
        <v>96122</v>
      </c>
      <c r="GY936" s="11" t="s">
        <v>320</v>
      </c>
      <c r="GZ936" s="14">
        <v>109</v>
      </c>
      <c r="HA936" s="16">
        <v>1</v>
      </c>
      <c r="HB936" s="14">
        <v>480</v>
      </c>
      <c r="HC936" s="12"/>
      <c r="HD936" s="12" t="s">
        <v>319</v>
      </c>
      <c r="HE936" s="14"/>
      <c r="HF936" s="16"/>
      <c r="HG936" s="14"/>
      <c r="HH936" s="12" t="s">
        <v>319</v>
      </c>
      <c r="HI936" s="12"/>
      <c r="HJ936" s="12"/>
      <c r="HK936" s="12"/>
      <c r="HL936" s="12" t="s">
        <v>320</v>
      </c>
      <c r="HM936" s="12"/>
      <c r="HN936" s="12">
        <v>2018</v>
      </c>
      <c r="HO936" s="12" t="s">
        <v>14237</v>
      </c>
      <c r="HP936" s="12" t="s">
        <v>330</v>
      </c>
      <c r="HQ936" s="12" t="s">
        <v>320</v>
      </c>
      <c r="HR936" s="12"/>
      <c r="HS936" s="12"/>
      <c r="HT936" s="12"/>
      <c r="HU936" s="12"/>
      <c r="HV936" s="12"/>
      <c r="HW936" s="12" t="s">
        <v>319</v>
      </c>
      <c r="HX936" s="12"/>
      <c r="HY936" s="12"/>
      <c r="HZ936" s="12" t="s">
        <v>363</v>
      </c>
      <c r="IA936" s="12"/>
      <c r="IB936" s="12" t="s">
        <v>333</v>
      </c>
      <c r="IC936" s="12"/>
      <c r="ID936" s="12"/>
      <c r="IE936" s="12" t="s">
        <v>478</v>
      </c>
      <c r="IF936" s="12" t="s">
        <v>320</v>
      </c>
      <c r="IG936" s="12" t="s">
        <v>320</v>
      </c>
      <c r="IH936" s="12" t="s">
        <v>320</v>
      </c>
      <c r="II936" s="12" t="s">
        <v>320</v>
      </c>
      <c r="IJ936" s="12" t="str">
        <f t="shared" si="602"/>
        <v>4. Transformative</v>
      </c>
      <c r="IK936" s="12">
        <f t="shared" si="604"/>
        <v>4</v>
      </c>
      <c r="IL936" s="12" t="s">
        <v>336</v>
      </c>
      <c r="IM936" s="12" t="s">
        <v>320</v>
      </c>
      <c r="IN936" s="12" t="s">
        <v>320</v>
      </c>
      <c r="IO936" s="12" t="s">
        <v>320</v>
      </c>
      <c r="IP936" s="12" t="s">
        <v>320</v>
      </c>
      <c r="IQ936" s="12" t="str">
        <f t="shared" si="605"/>
        <v>2. Accommodating</v>
      </c>
      <c r="IR936" s="12">
        <f t="shared" si="606"/>
        <v>4</v>
      </c>
      <c r="IS936" s="12" t="s">
        <v>622</v>
      </c>
      <c r="IT936" s="12" t="s">
        <v>320</v>
      </c>
      <c r="IU936" s="12" t="s">
        <v>320</v>
      </c>
      <c r="IV936" s="12" t="s">
        <v>320</v>
      </c>
      <c r="IW936" s="11" t="str">
        <f t="shared" si="607"/>
        <v>4. Transformative</v>
      </c>
      <c r="IX936" s="12">
        <f t="shared" si="608"/>
        <v>3</v>
      </c>
      <c r="IY936" s="12" t="s">
        <v>758</v>
      </c>
      <c r="IZ936" s="12" t="s">
        <v>432</v>
      </c>
      <c r="JA936" s="12">
        <v>4</v>
      </c>
      <c r="JB936" s="12" t="s">
        <v>831</v>
      </c>
      <c r="JC936" s="12" t="s">
        <v>623</v>
      </c>
      <c r="JD936" s="12"/>
      <c r="JE936" s="12" t="s">
        <v>420</v>
      </c>
      <c r="JF936" s="12"/>
      <c r="JG936" s="12"/>
      <c r="JH936" s="12" t="s">
        <v>14238</v>
      </c>
      <c r="JI936" s="12" t="s">
        <v>14239</v>
      </c>
      <c r="JJ936" s="12" t="s">
        <v>14240</v>
      </c>
      <c r="JK936" s="12" t="s">
        <v>14241</v>
      </c>
      <c r="JL936" s="12" t="s">
        <v>14242</v>
      </c>
      <c r="JM936" s="12" t="s">
        <v>14243</v>
      </c>
      <c r="JN936" s="12" t="s">
        <v>14244</v>
      </c>
      <c r="JO936" s="12"/>
      <c r="JP936" s="15">
        <f t="shared" si="609"/>
        <v>118429</v>
      </c>
      <c r="JQ936" s="15">
        <f t="shared" si="610"/>
        <v>249181</v>
      </c>
      <c r="JR936" s="279">
        <f t="shared" si="611"/>
        <v>2.1040539057156606</v>
      </c>
      <c r="JS936" s="17">
        <f t="shared" si="612"/>
        <v>0.54889427420648662</v>
      </c>
      <c r="JT936" s="18">
        <f t="shared" si="613"/>
        <v>0.74828738948796258</v>
      </c>
      <c r="JU936" s="280">
        <f t="shared" si="614"/>
        <v>65005</v>
      </c>
      <c r="JV936" s="280">
        <f t="shared" si="615"/>
        <v>186459</v>
      </c>
      <c r="JW936" s="319">
        <f t="shared" si="616"/>
        <v>1</v>
      </c>
      <c r="JX936" s="15">
        <f t="shared" si="617"/>
        <v>118429</v>
      </c>
      <c r="JY936" s="15">
        <f t="shared" si="618"/>
        <v>0</v>
      </c>
      <c r="JZ936" s="19">
        <f t="shared" si="619"/>
        <v>0</v>
      </c>
      <c r="KA936" s="52">
        <f t="shared" si="620"/>
        <v>1</v>
      </c>
      <c r="KB936" s="15">
        <f t="shared" si="621"/>
        <v>118429</v>
      </c>
      <c r="KC936" s="15">
        <f t="shared" si="622"/>
        <v>96122</v>
      </c>
      <c r="KD936" s="20">
        <f t="shared" si="623"/>
        <v>0.81164241866434739</v>
      </c>
      <c r="KE936" s="52" t="str">
        <f t="shared" si="624"/>
        <v/>
      </c>
      <c r="KF936" s="15">
        <f t="shared" si="625"/>
        <v>0</v>
      </c>
      <c r="KG936" s="15">
        <f t="shared" si="626"/>
        <v>0</v>
      </c>
      <c r="KH936" s="21" t="str">
        <f t="shared" si="627"/>
        <v/>
      </c>
      <c r="KI936" s="52" t="str">
        <f t="shared" si="628"/>
        <v/>
      </c>
      <c r="KJ936" s="15">
        <f t="shared" si="629"/>
        <v>0</v>
      </c>
      <c r="KK936" s="15">
        <f t="shared" si="630"/>
        <v>0</v>
      </c>
      <c r="KL936" s="19" t="str">
        <f t="shared" si="631"/>
        <v/>
      </c>
      <c r="KM936" s="52">
        <f t="shared" si="632"/>
        <v>1</v>
      </c>
      <c r="KN936" s="22">
        <f t="shared" si="633"/>
        <v>6901.95</v>
      </c>
      <c r="KO936" s="22">
        <f t="shared" si="634"/>
        <v>30368.58</v>
      </c>
      <c r="KP936" s="19">
        <f t="shared" si="635"/>
        <v>4.4000000000000004</v>
      </c>
      <c r="KQ936" s="11" t="str">
        <f t="shared" si="636"/>
        <v>4. Transformative</v>
      </c>
      <c r="KR936" s="11" t="str">
        <f t="shared" si="637"/>
        <v>2. Accommodating</v>
      </c>
      <c r="KS936" s="11" t="str">
        <f t="shared" si="638"/>
        <v>4. Transformative</v>
      </c>
      <c r="KT936" s="11" t="str">
        <f t="shared" si="639"/>
        <v>It did not develop any specific innovation</v>
      </c>
      <c r="KU936" s="11" t="str">
        <f t="shared" si="640"/>
        <v>Moderate advocacy</v>
      </c>
      <c r="KV936" s="11" t="str">
        <f t="shared" si="641"/>
        <v>It did not take tested solutions to scale</v>
      </c>
      <c r="KW936" s="11" t="str">
        <f t="shared" si="642"/>
        <v>Zimbabwe - Enhancing Nutrition Stepping Up Resilince and Enterprise (ENSURE)</v>
      </c>
      <c r="KX936" s="11" t="str">
        <f t="shared" si="643"/>
        <v>Enhancing Nutrition Stepping Up Resilince and Enterprise (ENSURE)</v>
      </c>
      <c r="KY936" s="11" t="str">
        <f t="shared" si="644"/>
        <v>Zimbabwe</v>
      </c>
      <c r="KZ936" s="12">
        <v>937</v>
      </c>
    </row>
    <row r="937" spans="1:312" x14ac:dyDescent="0.3">
      <c r="A937" s="12" t="s">
        <v>14016</v>
      </c>
      <c r="B937" s="12" t="s">
        <v>7217</v>
      </c>
      <c r="C937" s="12"/>
      <c r="D937" s="315" t="s">
        <v>14245</v>
      </c>
      <c r="E937" s="277" t="str">
        <f t="shared" si="603"/>
        <v>Zimbabwe</v>
      </c>
      <c r="F937" s="12" t="s">
        <v>14246</v>
      </c>
      <c r="G937" s="12" t="s">
        <v>379</v>
      </c>
      <c r="H937" s="12" t="s">
        <v>310</v>
      </c>
      <c r="I937" s="12" t="s">
        <v>655</v>
      </c>
      <c r="J937" s="281" t="s">
        <v>14637</v>
      </c>
      <c r="K937" s="12"/>
      <c r="L937" s="12"/>
      <c r="M937" s="12"/>
      <c r="N937" s="12"/>
      <c r="O937" s="12"/>
      <c r="P937" s="12"/>
      <c r="Q937" s="12"/>
      <c r="R937" s="12"/>
      <c r="S937" s="12"/>
      <c r="T937" s="12"/>
      <c r="U937" s="12"/>
      <c r="V937" s="12"/>
      <c r="W937" s="12"/>
      <c r="X937" s="12"/>
      <c r="Y937" s="12"/>
      <c r="Z937" s="12"/>
      <c r="AA937" s="12"/>
      <c r="AB937" s="12"/>
      <c r="AC937" s="12"/>
      <c r="AD937" s="12"/>
      <c r="BD937" s="13">
        <v>42589</v>
      </c>
      <c r="BE937" s="13">
        <v>42923</v>
      </c>
      <c r="BF937" s="13">
        <v>43015</v>
      </c>
      <c r="BG937" s="12" t="s">
        <v>908</v>
      </c>
      <c r="BH937" s="14">
        <v>1500000</v>
      </c>
      <c r="BI937" s="12" t="s">
        <v>14103</v>
      </c>
      <c r="BJ937" s="12" t="s">
        <v>354</v>
      </c>
      <c r="BK937" s="12" t="s">
        <v>14134</v>
      </c>
      <c r="BL937" s="12" t="s">
        <v>14021</v>
      </c>
      <c r="BM937" s="12" t="s">
        <v>980</v>
      </c>
      <c r="BN937" s="12" t="s">
        <v>14038</v>
      </c>
      <c r="BO937" s="12" t="s">
        <v>320</v>
      </c>
      <c r="BP937" s="12" t="s">
        <v>320</v>
      </c>
      <c r="BQ937" s="12" t="s">
        <v>320</v>
      </c>
      <c r="BR937" s="12" t="s">
        <v>14247</v>
      </c>
      <c r="BS937" s="12" t="s">
        <v>357</v>
      </c>
      <c r="BT937" s="12" t="s">
        <v>14248</v>
      </c>
      <c r="BU937" s="12" t="s">
        <v>14025</v>
      </c>
      <c r="BV937" s="14">
        <v>7845</v>
      </c>
      <c r="BW937" s="14">
        <v>7275</v>
      </c>
      <c r="BX937" s="14">
        <v>15120</v>
      </c>
      <c r="BY937" s="14"/>
      <c r="BZ937" s="14"/>
      <c r="CA937" s="14"/>
      <c r="CB937" s="12" t="s">
        <v>14249</v>
      </c>
      <c r="CD937" s="38">
        <v>11661</v>
      </c>
      <c r="CE937" s="38">
        <f>CF937-CD937</f>
        <v>9541</v>
      </c>
      <c r="CF937" s="38">
        <f>30838-9636</f>
        <v>21202</v>
      </c>
      <c r="CG937" s="14"/>
      <c r="CH937" s="14"/>
      <c r="CI937" s="14"/>
      <c r="CJ937" s="12" t="s">
        <v>319</v>
      </c>
      <c r="CK937" s="14"/>
      <c r="CL937" s="16"/>
      <c r="CM937" s="14"/>
      <c r="CN937" s="12" t="s">
        <v>319</v>
      </c>
      <c r="CO937" s="14"/>
      <c r="CP937" s="16"/>
      <c r="CQ937" s="14"/>
      <c r="CR937" s="12" t="s">
        <v>319</v>
      </c>
      <c r="CS937" s="14"/>
      <c r="CT937" s="16"/>
      <c r="CU937" s="14"/>
      <c r="CV937" s="12" t="s">
        <v>319</v>
      </c>
      <c r="CW937" s="14"/>
      <c r="CX937" s="16"/>
      <c r="CY937" s="14"/>
      <c r="CZ937" s="12" t="s">
        <v>319</v>
      </c>
      <c r="DA937" s="14"/>
      <c r="DB937" s="16"/>
      <c r="DC937" s="14"/>
      <c r="DD937" s="12" t="s">
        <v>319</v>
      </c>
      <c r="DE937" s="14"/>
      <c r="DF937" s="16"/>
      <c r="DG937" s="14"/>
      <c r="DH937" s="12" t="s">
        <v>319</v>
      </c>
      <c r="DI937" s="14"/>
      <c r="DJ937" s="16"/>
      <c r="DK937" s="14"/>
      <c r="DL937" s="11" t="s">
        <v>320</v>
      </c>
      <c r="DM937" s="14">
        <v>6860</v>
      </c>
      <c r="DN937" s="16">
        <v>0.7</v>
      </c>
      <c r="DO937" s="14">
        <v>27440</v>
      </c>
      <c r="DP937" s="12" t="s">
        <v>319</v>
      </c>
      <c r="DQ937" s="14"/>
      <c r="DR937" s="16"/>
      <c r="DS937" s="14"/>
      <c r="DT937" s="12" t="s">
        <v>319</v>
      </c>
      <c r="DU937" s="14"/>
      <c r="DV937" s="16"/>
      <c r="DW937" s="14"/>
      <c r="DX937" s="12" t="s">
        <v>319</v>
      </c>
      <c r="DY937" s="14"/>
      <c r="DZ937" s="16"/>
      <c r="EA937" s="14"/>
      <c r="EB937" s="11" t="s">
        <v>320</v>
      </c>
      <c r="EC937" s="14">
        <v>30838</v>
      </c>
      <c r="ED937" s="16">
        <v>0.56000000000000005</v>
      </c>
      <c r="EE937" s="14">
        <v>0</v>
      </c>
      <c r="EF937" s="12"/>
      <c r="EG937" s="12"/>
      <c r="EH937" s="14"/>
      <c r="EI937" s="16"/>
      <c r="EJ937" s="14"/>
      <c r="EK937" s="14">
        <v>4557</v>
      </c>
      <c r="EL937" s="14">
        <v>2303</v>
      </c>
      <c r="EM937" s="14">
        <v>6860</v>
      </c>
      <c r="EN937" s="14">
        <v>18228</v>
      </c>
      <c r="EO937" s="14">
        <v>11515</v>
      </c>
      <c r="EP937" s="14">
        <v>29743</v>
      </c>
      <c r="EQ937" s="12" t="s">
        <v>320</v>
      </c>
      <c r="ER937" s="14">
        <v>6860</v>
      </c>
      <c r="ES937" s="16">
        <v>0.7</v>
      </c>
      <c r="ET937" s="14">
        <v>29743</v>
      </c>
      <c r="EU937" s="11" t="s">
        <v>320</v>
      </c>
      <c r="EV937" s="14">
        <v>6860</v>
      </c>
      <c r="EW937" s="16">
        <v>0.7</v>
      </c>
      <c r="EX937" s="14">
        <v>29743</v>
      </c>
      <c r="EY937" s="12" t="s">
        <v>319</v>
      </c>
      <c r="EZ937" s="14"/>
      <c r="FA937" s="16"/>
      <c r="FB937" s="14"/>
      <c r="FC937" s="12" t="s">
        <v>320</v>
      </c>
      <c r="FD937" s="14">
        <v>482</v>
      </c>
      <c r="FE937" s="16">
        <v>0.47</v>
      </c>
      <c r="FF937" s="14">
        <v>19487</v>
      </c>
      <c r="FG937" s="12" t="s">
        <v>320</v>
      </c>
      <c r="FH937" s="14">
        <v>1066</v>
      </c>
      <c r="FI937" s="16">
        <v>0.84</v>
      </c>
      <c r="FJ937" s="14">
        <v>4264</v>
      </c>
      <c r="FK937" s="12" t="s">
        <v>319</v>
      </c>
      <c r="FL937" s="14"/>
      <c r="FM937" s="16"/>
      <c r="FN937" s="14"/>
      <c r="FO937" s="12" t="s">
        <v>320</v>
      </c>
      <c r="FP937" s="14">
        <v>183</v>
      </c>
      <c r="FQ937" s="16">
        <v>0.56999999999999995</v>
      </c>
      <c r="FR937" s="14">
        <v>732</v>
      </c>
      <c r="FS937" s="12" t="s">
        <v>319</v>
      </c>
      <c r="FT937" s="14"/>
      <c r="FU937" s="16"/>
      <c r="FV937" s="14"/>
      <c r="FW937" s="11" t="s">
        <v>320</v>
      </c>
      <c r="FX937" s="14">
        <v>183</v>
      </c>
      <c r="FY937" s="16">
        <v>0.56999999999999995</v>
      </c>
      <c r="FZ937" s="14">
        <v>732</v>
      </c>
      <c r="GA937" s="12" t="s">
        <v>319</v>
      </c>
      <c r="GB937" s="14"/>
      <c r="GC937" s="16"/>
      <c r="GD937" s="14"/>
      <c r="GE937" s="12" t="s">
        <v>320</v>
      </c>
      <c r="GF937" s="14">
        <v>958</v>
      </c>
      <c r="GG937" s="16">
        <v>0.62</v>
      </c>
      <c r="GH937" s="14">
        <v>3832</v>
      </c>
      <c r="GI937" s="12" t="s">
        <v>319</v>
      </c>
      <c r="GJ937" s="14"/>
      <c r="GK937" s="16"/>
      <c r="GL937" s="14"/>
      <c r="GM937" s="12" t="s">
        <v>319</v>
      </c>
      <c r="GN937" s="14"/>
      <c r="GO937" s="16"/>
      <c r="GP937" s="14"/>
      <c r="GQ937" s="12" t="s">
        <v>319</v>
      </c>
      <c r="GR937" s="14"/>
      <c r="GS937" s="16"/>
      <c r="GT937" s="14"/>
      <c r="GU937" s="12" t="s">
        <v>319</v>
      </c>
      <c r="GV937" s="14"/>
      <c r="GW937" s="16"/>
      <c r="GX937" s="14"/>
      <c r="GY937" s="12" t="s">
        <v>319</v>
      </c>
      <c r="GZ937" s="14"/>
      <c r="HA937" s="16"/>
      <c r="HB937" s="14"/>
      <c r="HC937" s="12"/>
      <c r="HD937" s="12"/>
      <c r="HE937" s="14"/>
      <c r="HF937" s="16"/>
      <c r="HG937" s="14"/>
      <c r="HH937" s="12" t="s">
        <v>320</v>
      </c>
      <c r="HI937" s="12" t="s">
        <v>327</v>
      </c>
      <c r="HJ937" s="12">
        <v>2016</v>
      </c>
      <c r="HK937" s="12" t="s">
        <v>320</v>
      </c>
      <c r="HL937" s="12" t="s">
        <v>320</v>
      </c>
      <c r="HM937" s="12" t="s">
        <v>619</v>
      </c>
      <c r="HN937" s="12">
        <v>2017</v>
      </c>
      <c r="HO937" s="12" t="s">
        <v>14250</v>
      </c>
      <c r="HP937" s="12" t="s">
        <v>418</v>
      </c>
      <c r="HQ937" s="12" t="s">
        <v>319</v>
      </c>
      <c r="HR937" s="12" t="s">
        <v>319</v>
      </c>
      <c r="HS937" s="12" t="s">
        <v>320</v>
      </c>
      <c r="HT937" s="12" t="s">
        <v>319</v>
      </c>
      <c r="HU937" s="12" t="s">
        <v>319</v>
      </c>
      <c r="HV937" s="12" t="s">
        <v>319</v>
      </c>
      <c r="HW937" s="12" t="s">
        <v>319</v>
      </c>
      <c r="HX937" s="12" t="s">
        <v>319</v>
      </c>
      <c r="HY937" s="12"/>
      <c r="HZ937" s="12" t="s">
        <v>394</v>
      </c>
      <c r="IA937" s="12" t="s">
        <v>14251</v>
      </c>
      <c r="IB937" s="12" t="s">
        <v>333</v>
      </c>
      <c r="IC937" s="12"/>
      <c r="ID937" s="12" t="s">
        <v>364</v>
      </c>
      <c r="IE937" s="12" t="s">
        <v>478</v>
      </c>
      <c r="IF937" s="12" t="s">
        <v>320</v>
      </c>
      <c r="IG937" s="12" t="s">
        <v>319</v>
      </c>
      <c r="IH937" s="12" t="s">
        <v>320</v>
      </c>
      <c r="II937" s="12" t="s">
        <v>320</v>
      </c>
      <c r="IJ937" s="12" t="str">
        <f t="shared" si="602"/>
        <v>3. Responsive</v>
      </c>
      <c r="IK937" s="12">
        <f t="shared" si="604"/>
        <v>3</v>
      </c>
      <c r="IL937" s="12" t="s">
        <v>336</v>
      </c>
      <c r="IM937" s="12" t="s">
        <v>320</v>
      </c>
      <c r="IN937" s="12" t="s">
        <v>320</v>
      </c>
      <c r="IO937" s="12" t="s">
        <v>320</v>
      </c>
      <c r="IP937" s="12" t="s">
        <v>320</v>
      </c>
      <c r="IQ937" s="12" t="str">
        <f t="shared" si="605"/>
        <v>2. Accommodating</v>
      </c>
      <c r="IR937" s="12">
        <f t="shared" si="606"/>
        <v>4</v>
      </c>
      <c r="IS937" s="12" t="s">
        <v>622</v>
      </c>
      <c r="IT937" s="12" t="s">
        <v>320</v>
      </c>
      <c r="IU937" s="12"/>
      <c r="IV937" s="12" t="s">
        <v>320</v>
      </c>
      <c r="IW937" s="11" t="str">
        <f t="shared" si="607"/>
        <v>3. Responsive</v>
      </c>
      <c r="IX937" s="12">
        <f t="shared" si="608"/>
        <v>2</v>
      </c>
      <c r="IY937" s="12" t="s">
        <v>419</v>
      </c>
      <c r="IZ937" s="12" t="s">
        <v>339</v>
      </c>
      <c r="JA937" s="12"/>
      <c r="JB937" s="12"/>
      <c r="JC937" s="12"/>
      <c r="JD937" s="12"/>
      <c r="JE937" s="12" t="s">
        <v>420</v>
      </c>
      <c r="JF937" s="12"/>
      <c r="JG937" s="12" t="s">
        <v>14252</v>
      </c>
      <c r="JH937" s="12" t="s">
        <v>14253</v>
      </c>
      <c r="JI937" s="12" t="s">
        <v>14254</v>
      </c>
      <c r="JJ937" s="12" t="s">
        <v>14255</v>
      </c>
      <c r="JK937" s="12" t="s">
        <v>14256</v>
      </c>
      <c r="JL937" s="12" t="s">
        <v>14257</v>
      </c>
      <c r="JM937" s="12" t="s">
        <v>14258</v>
      </c>
      <c r="JN937" s="31" t="s">
        <v>14781</v>
      </c>
      <c r="JO937" s="12" t="s">
        <v>14259</v>
      </c>
      <c r="JP937" s="15">
        <f t="shared" si="609"/>
        <v>21202</v>
      </c>
      <c r="JQ937" s="15">
        <f t="shared" si="610"/>
        <v>29743</v>
      </c>
      <c r="JR937" s="279">
        <f t="shared" si="611"/>
        <v>1.402839354777851</v>
      </c>
      <c r="JS937" s="17">
        <f t="shared" si="612"/>
        <v>0.5499952834638242</v>
      </c>
      <c r="JT937" s="18">
        <f t="shared" si="613"/>
        <v>0.61285008237232286</v>
      </c>
      <c r="JU937" s="280">
        <f t="shared" si="614"/>
        <v>11661</v>
      </c>
      <c r="JV937" s="280">
        <f t="shared" si="615"/>
        <v>18228</v>
      </c>
      <c r="JW937" s="319">
        <f t="shared" si="616"/>
        <v>1</v>
      </c>
      <c r="JX937" s="15">
        <f t="shared" si="617"/>
        <v>21202</v>
      </c>
      <c r="JY937" s="15">
        <f t="shared" si="618"/>
        <v>0</v>
      </c>
      <c r="JZ937" s="19">
        <f t="shared" si="619"/>
        <v>0</v>
      </c>
      <c r="KA937" s="52">
        <f t="shared" si="620"/>
        <v>1</v>
      </c>
      <c r="KB937" s="15">
        <f t="shared" si="621"/>
        <v>6860</v>
      </c>
      <c r="KC937" s="15">
        <f t="shared" si="622"/>
        <v>29743</v>
      </c>
      <c r="KD937" s="20">
        <f t="shared" si="623"/>
        <v>4.3357142857142854</v>
      </c>
      <c r="KE937" s="52" t="str">
        <f t="shared" si="624"/>
        <v/>
      </c>
      <c r="KF937" s="15">
        <f t="shared" si="625"/>
        <v>0</v>
      </c>
      <c r="KG937" s="15">
        <f t="shared" si="626"/>
        <v>0</v>
      </c>
      <c r="KH937" s="21" t="str">
        <f t="shared" si="627"/>
        <v/>
      </c>
      <c r="KI937" s="52" t="str">
        <f t="shared" si="628"/>
        <v/>
      </c>
      <c r="KJ937" s="15">
        <f t="shared" si="629"/>
        <v>0</v>
      </c>
      <c r="KK937" s="15">
        <f t="shared" si="630"/>
        <v>0</v>
      </c>
      <c r="KL937" s="19" t="str">
        <f t="shared" si="631"/>
        <v/>
      </c>
      <c r="KM937" s="52">
        <f t="shared" si="632"/>
        <v>1</v>
      </c>
      <c r="KN937" s="22">
        <f t="shared" si="633"/>
        <v>895.43999999999994</v>
      </c>
      <c r="KO937" s="22">
        <f t="shared" si="634"/>
        <v>3581.7599999999998</v>
      </c>
      <c r="KP937" s="19">
        <f t="shared" si="635"/>
        <v>4</v>
      </c>
      <c r="KQ937" s="11" t="str">
        <f t="shared" si="636"/>
        <v>3. Responsive</v>
      </c>
      <c r="KR937" s="11" t="str">
        <f t="shared" si="637"/>
        <v>2. Accommodating</v>
      </c>
      <c r="KS937" s="11" t="str">
        <f t="shared" si="638"/>
        <v>3. Responsive</v>
      </c>
      <c r="KT937" s="11" t="str">
        <f t="shared" si="639"/>
        <v>It tested new ways for fighting poverty, but did not measure results of innovation</v>
      </c>
      <c r="KU937" s="11" t="str">
        <f t="shared" si="640"/>
        <v>Little or no advocacy</v>
      </c>
      <c r="KV937" s="11" t="str">
        <f t="shared" si="641"/>
        <v>It did not take tested solutions to scale</v>
      </c>
      <c r="KW937" s="11" t="str">
        <f t="shared" si="642"/>
        <v>Zimbabwe - Improving Agricultural Production and Access to Water, Sanitation and Hygiene for Drought Affected Populations in Masvingo Province</v>
      </c>
      <c r="KX937" s="11" t="str">
        <f t="shared" si="643"/>
        <v>Improving Agricultural Production and Access to Water, Sanitation and Hygiene for Drought Affected Populations in Masvingo Province</v>
      </c>
      <c r="KY937" s="11" t="str">
        <f t="shared" si="644"/>
        <v>Zimbabwe</v>
      </c>
      <c r="KZ937" s="12">
        <v>938</v>
      </c>
    </row>
    <row r="938" spans="1:312" x14ac:dyDescent="0.3">
      <c r="A938" s="12" t="s">
        <v>14016</v>
      </c>
      <c r="B938" s="12" t="s">
        <v>7217</v>
      </c>
      <c r="C938" s="12"/>
      <c r="D938" s="315" t="s">
        <v>14175</v>
      </c>
      <c r="E938" s="277" t="str">
        <f t="shared" si="603"/>
        <v>Zimbabwe</v>
      </c>
      <c r="F938" s="12" t="s">
        <v>14176</v>
      </c>
      <c r="G938" s="12" t="s">
        <v>488</v>
      </c>
      <c r="H938" s="12" t="s">
        <v>310</v>
      </c>
      <c r="I938" s="12" t="s">
        <v>506</v>
      </c>
      <c r="J938" s="281" t="s">
        <v>9230</v>
      </c>
      <c r="K938" s="12"/>
      <c r="L938" s="12"/>
      <c r="M938" s="12"/>
      <c r="N938" s="12"/>
      <c r="O938" s="12"/>
      <c r="P938" s="12"/>
      <c r="Q938" s="12"/>
      <c r="R938" s="12"/>
      <c r="S938" s="12"/>
      <c r="T938" s="12"/>
      <c r="U938" s="12"/>
      <c r="V938" s="12"/>
      <c r="W938" s="12"/>
      <c r="X938" s="12"/>
      <c r="Y938" s="12"/>
      <c r="Z938" s="12"/>
      <c r="AA938" s="12"/>
      <c r="AB938" s="12"/>
      <c r="AC938" s="12"/>
      <c r="AD938" s="12"/>
      <c r="BD938" s="13">
        <v>42856</v>
      </c>
      <c r="BE938" s="13">
        <v>44469</v>
      </c>
      <c r="BF938" s="12"/>
      <c r="BG938" s="12" t="s">
        <v>312</v>
      </c>
      <c r="BH938" s="14">
        <v>4303360.6399999997</v>
      </c>
      <c r="BI938" s="12" t="s">
        <v>14177</v>
      </c>
      <c r="BJ938" s="12" t="s">
        <v>354</v>
      </c>
      <c r="BK938" s="12" t="s">
        <v>14178</v>
      </c>
      <c r="BL938" s="12" t="s">
        <v>14179</v>
      </c>
      <c r="BM938" s="12" t="s">
        <v>980</v>
      </c>
      <c r="BN938" s="12" t="s">
        <v>14038</v>
      </c>
      <c r="BO938" s="12" t="s">
        <v>319</v>
      </c>
      <c r="BP938" s="12" t="s">
        <v>320</v>
      </c>
      <c r="BQ938" s="12" t="s">
        <v>319</v>
      </c>
      <c r="BR938" s="12" t="s">
        <v>14180</v>
      </c>
      <c r="BS938" s="12" t="s">
        <v>357</v>
      </c>
      <c r="BT938" s="12" t="s">
        <v>14181</v>
      </c>
      <c r="BU938" s="12" t="s">
        <v>14182</v>
      </c>
      <c r="BV938" s="14">
        <v>31502</v>
      </c>
      <c r="BW938" s="14">
        <v>14030</v>
      </c>
      <c r="BX938" s="14">
        <v>45532</v>
      </c>
      <c r="BY938" s="14">
        <v>8271</v>
      </c>
      <c r="BZ938" s="14">
        <v>6495</v>
      </c>
      <c r="CA938" s="14">
        <v>14766</v>
      </c>
      <c r="CB938" s="12" t="s">
        <v>14183</v>
      </c>
      <c r="CD938" s="14"/>
      <c r="CE938" s="14"/>
      <c r="CF938" s="14"/>
      <c r="CG938" s="14"/>
      <c r="CH938" s="14"/>
      <c r="CI938" s="14"/>
      <c r="CJ938" s="12"/>
      <c r="CK938" s="14"/>
      <c r="CL938" s="16"/>
      <c r="CM938" s="14"/>
      <c r="CN938" s="12"/>
      <c r="CO938" s="14"/>
      <c r="CP938" s="16"/>
      <c r="CQ938" s="14"/>
      <c r="CR938" s="12"/>
      <c r="CS938" s="14"/>
      <c r="CT938" s="16"/>
      <c r="CU938" s="14"/>
      <c r="CV938" s="12"/>
      <c r="CW938" s="14"/>
      <c r="CX938" s="16"/>
      <c r="CY938" s="14"/>
      <c r="CZ938" s="12"/>
      <c r="DA938" s="14"/>
      <c r="DB938" s="16"/>
      <c r="DC938" s="14"/>
      <c r="DD938" s="12"/>
      <c r="DE938" s="14"/>
      <c r="DF938" s="16"/>
      <c r="DG938" s="14"/>
      <c r="DH938" s="12"/>
      <c r="DI938" s="14"/>
      <c r="DJ938" s="16"/>
      <c r="DK938" s="14"/>
      <c r="DL938" s="12"/>
      <c r="DM938" s="14"/>
      <c r="DN938" s="16"/>
      <c r="DO938" s="14"/>
      <c r="DP938" s="12"/>
      <c r="DQ938" s="14"/>
      <c r="DR938" s="16"/>
      <c r="DS938" s="14"/>
      <c r="DT938" s="12"/>
      <c r="DU938" s="14"/>
      <c r="DV938" s="16"/>
      <c r="DW938" s="14"/>
      <c r="DX938" s="12"/>
      <c r="DY938" s="14"/>
      <c r="DZ938" s="16"/>
      <c r="EA938" s="14"/>
      <c r="EB938" s="12"/>
      <c r="EC938" s="14"/>
      <c r="ED938" s="16"/>
      <c r="EE938" s="14"/>
      <c r="EF938" s="12"/>
      <c r="EG938" s="12"/>
      <c r="EH938" s="14"/>
      <c r="EI938" s="16"/>
      <c r="EJ938" s="14"/>
      <c r="EK938" s="14">
        <v>0</v>
      </c>
      <c r="EL938" s="14">
        <v>0</v>
      </c>
      <c r="EM938" s="14">
        <v>0</v>
      </c>
      <c r="EN938" s="14">
        <v>0</v>
      </c>
      <c r="EO938" s="14">
        <v>0</v>
      </c>
      <c r="EP938" s="14">
        <v>0</v>
      </c>
      <c r="EQ938" s="12" t="s">
        <v>319</v>
      </c>
      <c r="ER938" s="14"/>
      <c r="ES938" s="16"/>
      <c r="ET938" s="14"/>
      <c r="EU938" s="11" t="s">
        <v>319</v>
      </c>
      <c r="EV938" s="14"/>
      <c r="EW938" s="16"/>
      <c r="EX938" s="14"/>
      <c r="EY938" s="12" t="s">
        <v>319</v>
      </c>
      <c r="EZ938" s="14"/>
      <c r="FA938" s="16"/>
      <c r="FB938" s="14"/>
      <c r="FC938" s="12" t="s">
        <v>319</v>
      </c>
      <c r="FD938" s="14"/>
      <c r="FE938" s="16"/>
      <c r="FF938" s="14"/>
      <c r="FG938" s="12" t="s">
        <v>319</v>
      </c>
      <c r="FH938" s="14"/>
      <c r="FI938" s="16"/>
      <c r="FJ938" s="14"/>
      <c r="FK938" s="12" t="s">
        <v>320</v>
      </c>
      <c r="FL938" s="14"/>
      <c r="FM938" s="16"/>
      <c r="FN938" s="14"/>
      <c r="FO938" s="12" t="s">
        <v>319</v>
      </c>
      <c r="FP938" s="14"/>
      <c r="FQ938" s="16"/>
      <c r="FR938" s="14"/>
      <c r="FS938" s="11" t="s">
        <v>320</v>
      </c>
      <c r="FT938" s="14"/>
      <c r="FU938" s="16"/>
      <c r="FV938" s="14"/>
      <c r="FW938" s="12" t="s">
        <v>320</v>
      </c>
      <c r="FX938" s="14"/>
      <c r="FY938" s="16"/>
      <c r="FZ938" s="14"/>
      <c r="GA938" s="12" t="s">
        <v>319</v>
      </c>
      <c r="GB938" s="14"/>
      <c r="GC938" s="16"/>
      <c r="GD938" s="14"/>
      <c r="GE938" s="12" t="s">
        <v>319</v>
      </c>
      <c r="GF938" s="14"/>
      <c r="GG938" s="16"/>
      <c r="GH938" s="14"/>
      <c r="GI938" s="12" t="s">
        <v>319</v>
      </c>
      <c r="GJ938" s="14"/>
      <c r="GK938" s="16"/>
      <c r="GL938" s="14"/>
      <c r="GM938" s="12" t="s">
        <v>320</v>
      </c>
      <c r="GN938" s="14"/>
      <c r="GO938" s="16"/>
      <c r="GP938" s="14"/>
      <c r="GQ938" s="12" t="s">
        <v>320</v>
      </c>
      <c r="GR938" s="14"/>
      <c r="GS938" s="16"/>
      <c r="GT938" s="14"/>
      <c r="GU938" s="12" t="s">
        <v>319</v>
      </c>
      <c r="GV938" s="14"/>
      <c r="GW938" s="16"/>
      <c r="GX938" s="14"/>
      <c r="GY938" s="12" t="s">
        <v>320</v>
      </c>
      <c r="GZ938" s="14"/>
      <c r="HA938" s="16"/>
      <c r="HB938" s="14"/>
      <c r="HC938" s="12"/>
      <c r="HD938" s="12" t="s">
        <v>319</v>
      </c>
      <c r="HE938" s="14"/>
      <c r="HF938" s="16"/>
      <c r="HG938" s="14"/>
      <c r="HH938" s="12" t="s">
        <v>319</v>
      </c>
      <c r="HI938" s="12"/>
      <c r="HJ938" s="12"/>
      <c r="HK938" s="12"/>
      <c r="HL938" s="12" t="s">
        <v>320</v>
      </c>
      <c r="HM938" s="12" t="s">
        <v>327</v>
      </c>
      <c r="HN938" s="12">
        <v>2017</v>
      </c>
      <c r="HO938" s="12" t="s">
        <v>14184</v>
      </c>
      <c r="HP938" s="12" t="s">
        <v>418</v>
      </c>
      <c r="HQ938" s="12" t="s">
        <v>319</v>
      </c>
      <c r="HR938" s="12" t="s">
        <v>319</v>
      </c>
      <c r="HS938" s="12" t="s">
        <v>319</v>
      </c>
      <c r="HT938" s="12" t="s">
        <v>319</v>
      </c>
      <c r="HU938" s="12" t="s">
        <v>319</v>
      </c>
      <c r="HV938" s="12" t="s">
        <v>319</v>
      </c>
      <c r="HW938" s="12" t="s">
        <v>319</v>
      </c>
      <c r="HX938" s="12" t="s">
        <v>319</v>
      </c>
      <c r="HY938" s="12"/>
      <c r="HZ938" s="12" t="s">
        <v>363</v>
      </c>
      <c r="IA938" s="12"/>
      <c r="IB938" s="12" t="s">
        <v>333</v>
      </c>
      <c r="IC938" s="12"/>
      <c r="ID938" s="12" t="s">
        <v>364</v>
      </c>
      <c r="IE938" s="12" t="s">
        <v>478</v>
      </c>
      <c r="IF938" s="12" t="s">
        <v>320</v>
      </c>
      <c r="IG938" s="12" t="s">
        <v>320</v>
      </c>
      <c r="IH938" s="12" t="s">
        <v>320</v>
      </c>
      <c r="II938" s="12" t="s">
        <v>320</v>
      </c>
      <c r="IJ938" s="12" t="str">
        <f t="shared" ref="IJ938:IJ951" si="645">IF(IE938="","No marker score",IF(ISNUMBER(SEARCH("select",IE938)),"",IF(ISNUMBER(SEARCH("Did NOT",IE938)),"0. Harmful",IF(ISNUMBER(SEARCH("CHALLENGED",IE938)),IF(IK938=4,"4. Transformative",IF(IK938&gt;1,"3. Responsive",IF(IK938&lt;=1,"No marker score",""))),IF(ISNUMBER(SEARCH("WORKED WITH",IE938)),IF(IK938=4,"2. Sensitive",IF(IK938&gt;1,"1. Neutral","0. Harmful")))))))</f>
        <v>4. Transformative</v>
      </c>
      <c r="IK938" s="12">
        <f t="shared" si="604"/>
        <v>4</v>
      </c>
      <c r="IL938" s="11" t="s">
        <v>621</v>
      </c>
      <c r="IM938" s="12" t="s">
        <v>320</v>
      </c>
      <c r="IN938" s="12" t="s">
        <v>320</v>
      </c>
      <c r="IO938" s="12" t="s">
        <v>320</v>
      </c>
      <c r="IP938" s="12" t="s">
        <v>320</v>
      </c>
      <c r="IQ938" s="12" t="str">
        <f t="shared" si="605"/>
        <v>4. Transformational</v>
      </c>
      <c r="IR938" s="12">
        <f t="shared" si="606"/>
        <v>4</v>
      </c>
      <c r="IS938" s="12"/>
      <c r="IT938" s="12"/>
      <c r="IU938" s="12"/>
      <c r="IV938" s="12"/>
      <c r="IW938" s="11" t="str">
        <f t="shared" si="607"/>
        <v>No marker score</v>
      </c>
      <c r="IX938" s="12">
        <f t="shared" si="608"/>
        <v>0</v>
      </c>
      <c r="IY938" s="12" t="s">
        <v>419</v>
      </c>
      <c r="IZ938" s="12" t="s">
        <v>432</v>
      </c>
      <c r="JA938" s="12">
        <v>2</v>
      </c>
      <c r="JB938" s="12" t="s">
        <v>831</v>
      </c>
      <c r="JC938" s="12" t="s">
        <v>585</v>
      </c>
      <c r="JD938" s="12"/>
      <c r="JE938" s="12" t="s">
        <v>420</v>
      </c>
      <c r="JF938" s="12"/>
      <c r="JG938" s="12" t="s">
        <v>14185</v>
      </c>
      <c r="JH938" s="12" t="s">
        <v>14186</v>
      </c>
      <c r="JI938" s="12"/>
      <c r="JJ938" s="12"/>
      <c r="JK938" s="12" t="s">
        <v>14186</v>
      </c>
      <c r="JL938" s="12"/>
      <c r="JM938" s="12"/>
      <c r="JN938" s="12" t="s">
        <v>14187</v>
      </c>
      <c r="JO938" s="12"/>
      <c r="JP938" s="15">
        <f t="shared" si="609"/>
        <v>0</v>
      </c>
      <c r="JQ938" s="15">
        <f t="shared" si="610"/>
        <v>0</v>
      </c>
      <c r="JR938" s="279" t="str">
        <f t="shared" si="611"/>
        <v/>
      </c>
      <c r="JS938" s="17" t="str">
        <f t="shared" si="612"/>
        <v/>
      </c>
      <c r="JT938" s="18" t="str">
        <f t="shared" si="613"/>
        <v/>
      </c>
      <c r="JU938" s="280">
        <f t="shared" si="614"/>
        <v>0</v>
      </c>
      <c r="JV938" s="280">
        <f t="shared" si="615"/>
        <v>0</v>
      </c>
      <c r="JW938" s="319" t="str">
        <f t="shared" si="616"/>
        <v/>
      </c>
      <c r="JX938" s="15">
        <f t="shared" si="617"/>
        <v>0</v>
      </c>
      <c r="JY938" s="15">
        <f t="shared" si="618"/>
        <v>0</v>
      </c>
      <c r="JZ938" s="19" t="str">
        <f t="shared" si="619"/>
        <v/>
      </c>
      <c r="KA938" s="52" t="str">
        <f t="shared" si="620"/>
        <v/>
      </c>
      <c r="KB938" s="15">
        <f t="shared" si="621"/>
        <v>0</v>
      </c>
      <c r="KC938" s="15">
        <f t="shared" si="622"/>
        <v>0</v>
      </c>
      <c r="KD938" s="20" t="str">
        <f t="shared" si="623"/>
        <v/>
      </c>
      <c r="KE938" s="52">
        <f t="shared" si="624"/>
        <v>1</v>
      </c>
      <c r="KF938" s="15">
        <f t="shared" si="625"/>
        <v>0</v>
      </c>
      <c r="KG938" s="15">
        <f t="shared" si="626"/>
        <v>0</v>
      </c>
      <c r="KH938" s="21" t="str">
        <f t="shared" si="627"/>
        <v/>
      </c>
      <c r="KI938" s="52">
        <f t="shared" si="628"/>
        <v>1</v>
      </c>
      <c r="KJ938" s="15">
        <f t="shared" si="629"/>
        <v>0</v>
      </c>
      <c r="KK938" s="15">
        <f t="shared" si="630"/>
        <v>0</v>
      </c>
      <c r="KL938" s="19" t="str">
        <f t="shared" si="631"/>
        <v/>
      </c>
      <c r="KM938" s="52">
        <f t="shared" si="632"/>
        <v>1</v>
      </c>
      <c r="KN938" s="22">
        <f t="shared" si="633"/>
        <v>0</v>
      </c>
      <c r="KO938" s="22">
        <f t="shared" si="634"/>
        <v>0</v>
      </c>
      <c r="KP938" s="19" t="str">
        <f t="shared" si="635"/>
        <v/>
      </c>
      <c r="KQ938" s="11" t="str">
        <f t="shared" si="636"/>
        <v>4. Transformative</v>
      </c>
      <c r="KR938" s="11" t="str">
        <f t="shared" si="637"/>
        <v>4. Transformational</v>
      </c>
      <c r="KS938" s="11" t="str">
        <f t="shared" si="638"/>
        <v>No marker score</v>
      </c>
      <c r="KT938" s="11" t="str">
        <f t="shared" si="639"/>
        <v>It did not develop any specific innovation</v>
      </c>
      <c r="KU938" s="11" t="str">
        <f t="shared" si="640"/>
        <v>Little or no advocacy</v>
      </c>
      <c r="KV938" s="11" t="str">
        <f t="shared" si="641"/>
        <v>It did not take tested solutions to scale</v>
      </c>
      <c r="KW938" s="11" t="str">
        <f t="shared" si="642"/>
        <v>Zimbabwe - Improving Gender Attitudes, Transition and Education Outcomes (IGATE-T)</v>
      </c>
      <c r="KX938" s="11" t="str">
        <f t="shared" si="643"/>
        <v>Improving Gender Attitudes, Transition and Education Outcomes (IGATE-T)</v>
      </c>
      <c r="KY938" s="11" t="str">
        <f t="shared" si="644"/>
        <v>Zimbabwe</v>
      </c>
      <c r="KZ938" s="287">
        <v>939</v>
      </c>
    </row>
    <row r="939" spans="1:312" x14ac:dyDescent="0.3">
      <c r="A939" s="12" t="s">
        <v>14016</v>
      </c>
      <c r="B939" s="12" t="s">
        <v>7217</v>
      </c>
      <c r="C939" s="12">
        <v>3504</v>
      </c>
      <c r="D939" s="315" t="s">
        <v>14188</v>
      </c>
      <c r="E939" s="277" t="str">
        <f t="shared" si="603"/>
        <v>Zimbabwe</v>
      </c>
      <c r="F939" s="12" t="s">
        <v>14189</v>
      </c>
      <c r="G939" s="12" t="s">
        <v>488</v>
      </c>
      <c r="H939" s="12" t="s">
        <v>310</v>
      </c>
      <c r="I939" s="12" t="s">
        <v>506</v>
      </c>
      <c r="J939" s="281" t="s">
        <v>9230</v>
      </c>
      <c r="K939" s="12"/>
      <c r="L939" s="12"/>
      <c r="M939" s="12"/>
      <c r="N939" s="12"/>
      <c r="O939" s="12"/>
      <c r="P939" s="12"/>
      <c r="Q939" s="12"/>
      <c r="R939" s="12"/>
      <c r="S939" s="12"/>
      <c r="T939" s="12"/>
      <c r="U939" s="12"/>
      <c r="V939" s="12"/>
      <c r="W939" s="12"/>
      <c r="X939" s="12"/>
      <c r="Y939" s="12"/>
      <c r="Z939" s="12"/>
      <c r="AA939" s="12"/>
      <c r="AB939" s="12"/>
      <c r="AC939" s="12"/>
      <c r="AD939" s="12"/>
      <c r="BD939" s="13">
        <v>41345</v>
      </c>
      <c r="BE939" s="13">
        <v>42825</v>
      </c>
      <c r="BF939" s="12"/>
      <c r="BG939" s="12" t="s">
        <v>312</v>
      </c>
      <c r="BH939" s="14">
        <v>3887660.77</v>
      </c>
      <c r="BI939" s="12" t="s">
        <v>14190</v>
      </c>
      <c r="BJ939" s="12" t="s">
        <v>354</v>
      </c>
      <c r="BK939" s="12" t="s">
        <v>14191</v>
      </c>
      <c r="BL939" s="12" t="s">
        <v>14021</v>
      </c>
      <c r="BM939" s="12" t="s">
        <v>980</v>
      </c>
      <c r="BN939" s="12" t="s">
        <v>14022</v>
      </c>
      <c r="BO939" s="11" t="s">
        <v>319</v>
      </c>
      <c r="BP939" s="11" t="s">
        <v>320</v>
      </c>
      <c r="BQ939" s="11" t="s">
        <v>319</v>
      </c>
      <c r="BR939" s="12" t="s">
        <v>14192</v>
      </c>
      <c r="BS939" s="12" t="s">
        <v>357</v>
      </c>
      <c r="BT939" s="12" t="s">
        <v>14193</v>
      </c>
      <c r="BU939" s="12" t="s">
        <v>14194</v>
      </c>
      <c r="BV939" s="14">
        <v>107092</v>
      </c>
      <c r="BW939" s="14">
        <v>2335</v>
      </c>
      <c r="BX939" s="14">
        <v>109427</v>
      </c>
      <c r="BY939" s="14">
        <v>41540</v>
      </c>
      <c r="BZ939" s="14">
        <v>98080</v>
      </c>
      <c r="CA939" s="14">
        <v>139620</v>
      </c>
      <c r="CB939" s="12" t="s">
        <v>14195</v>
      </c>
      <c r="CD939" s="14"/>
      <c r="CE939" s="14"/>
      <c r="CF939" s="14"/>
      <c r="CG939" s="14"/>
      <c r="CH939" s="14"/>
      <c r="CI939" s="14"/>
      <c r="CJ939" s="12"/>
      <c r="CK939" s="14"/>
      <c r="CL939" s="16"/>
      <c r="CM939" s="14"/>
      <c r="CN939" s="12"/>
      <c r="CO939" s="14"/>
      <c r="CP939" s="16"/>
      <c r="CQ939" s="14"/>
      <c r="CR939" s="12"/>
      <c r="CS939" s="14"/>
      <c r="CT939" s="16"/>
      <c r="CU939" s="14"/>
      <c r="CV939" s="12"/>
      <c r="CW939" s="14"/>
      <c r="CX939" s="16"/>
      <c r="CY939" s="14"/>
      <c r="CZ939" s="12"/>
      <c r="DA939" s="14"/>
      <c r="DB939" s="16"/>
      <c r="DC939" s="14"/>
      <c r="DD939" s="12"/>
      <c r="DE939" s="14"/>
      <c r="DF939" s="16"/>
      <c r="DG939" s="14"/>
      <c r="DH939" s="12"/>
      <c r="DI939" s="14"/>
      <c r="DJ939" s="16"/>
      <c r="DK939" s="14"/>
      <c r="DL939" s="12"/>
      <c r="DM939" s="14"/>
      <c r="DN939" s="16"/>
      <c r="DO939" s="14"/>
      <c r="DP939" s="12"/>
      <c r="DQ939" s="14"/>
      <c r="DR939" s="16"/>
      <c r="DS939" s="14"/>
      <c r="DT939" s="12"/>
      <c r="DU939" s="14"/>
      <c r="DV939" s="16"/>
      <c r="DW939" s="14"/>
      <c r="DX939" s="12"/>
      <c r="DY939" s="14"/>
      <c r="DZ939" s="16"/>
      <c r="EA939" s="14"/>
      <c r="EB939" s="12"/>
      <c r="EC939" s="14"/>
      <c r="ED939" s="16"/>
      <c r="EE939" s="14"/>
      <c r="EF939" s="12"/>
      <c r="EG939" s="12"/>
      <c r="EH939" s="14"/>
      <c r="EI939" s="16"/>
      <c r="EJ939" s="14"/>
      <c r="EK939" s="14">
        <v>102480.5</v>
      </c>
      <c r="EL939" s="14">
        <v>92694.5</v>
      </c>
      <c r="EM939" s="14">
        <v>195175</v>
      </c>
      <c r="EN939" s="14">
        <v>37842.5</v>
      </c>
      <c r="EO939" s="14">
        <v>58552.5</v>
      </c>
      <c r="EP939" s="14">
        <v>96395</v>
      </c>
      <c r="EQ939" s="12" t="s">
        <v>319</v>
      </c>
      <c r="ER939" s="14"/>
      <c r="ES939" s="16"/>
      <c r="ET939" s="14"/>
      <c r="EU939" s="11" t="s">
        <v>319</v>
      </c>
      <c r="EV939" s="14"/>
      <c r="EW939" s="16"/>
      <c r="EX939" s="14"/>
      <c r="EY939" s="12" t="s">
        <v>319</v>
      </c>
      <c r="EZ939" s="14"/>
      <c r="FA939" s="16"/>
      <c r="FB939" s="14"/>
      <c r="FC939" s="12" t="s">
        <v>319</v>
      </c>
      <c r="FD939" s="14"/>
      <c r="FE939" s="16"/>
      <c r="FF939" s="14"/>
      <c r="FG939" s="12" t="s">
        <v>319</v>
      </c>
      <c r="FH939" s="14"/>
      <c r="FI939" s="16"/>
      <c r="FJ939" s="14"/>
      <c r="FK939" s="12" t="s">
        <v>320</v>
      </c>
      <c r="FL939" s="14">
        <v>141158</v>
      </c>
      <c r="FM939" s="16">
        <v>0.52</v>
      </c>
      <c r="FN939" s="14">
        <v>20290</v>
      </c>
      <c r="FO939" s="12" t="s">
        <v>319</v>
      </c>
      <c r="FP939" s="14"/>
      <c r="FQ939" s="16"/>
      <c r="FR939" s="14"/>
      <c r="FS939" s="12" t="s">
        <v>320</v>
      </c>
      <c r="FT939" s="14">
        <v>7762</v>
      </c>
      <c r="FU939" s="16">
        <v>0.92</v>
      </c>
      <c r="FV939" s="14">
        <v>53217</v>
      </c>
      <c r="FW939" s="11" t="s">
        <v>320</v>
      </c>
      <c r="FX939" s="14">
        <v>94046</v>
      </c>
      <c r="FY939" s="16">
        <v>1</v>
      </c>
      <c r="FZ939" s="14">
        <v>80290</v>
      </c>
      <c r="GA939" s="12" t="s">
        <v>319</v>
      </c>
      <c r="GB939" s="14"/>
      <c r="GC939" s="16"/>
      <c r="GD939" s="14"/>
      <c r="GE939" s="12" t="s">
        <v>319</v>
      </c>
      <c r="GF939" s="14"/>
      <c r="GG939" s="16"/>
      <c r="GH939" s="14"/>
      <c r="GI939" s="12" t="s">
        <v>319</v>
      </c>
      <c r="GJ939" s="14"/>
      <c r="GK939" s="16"/>
      <c r="GL939" s="14"/>
      <c r="GM939" s="11" t="s">
        <v>320</v>
      </c>
      <c r="GN939" s="14">
        <v>32421</v>
      </c>
      <c r="GO939" s="16">
        <v>0.52</v>
      </c>
      <c r="GP939" s="14">
        <v>202448</v>
      </c>
      <c r="GQ939" s="12" t="s">
        <v>320</v>
      </c>
      <c r="GR939" s="14">
        <v>54376</v>
      </c>
      <c r="GS939" s="16">
        <v>1</v>
      </c>
      <c r="GT939" s="14">
        <v>101448</v>
      </c>
      <c r="GU939" s="12" t="s">
        <v>319</v>
      </c>
      <c r="GV939" s="14"/>
      <c r="GW939" s="16"/>
      <c r="GX939" s="14"/>
      <c r="GY939" s="11" t="s">
        <v>320</v>
      </c>
      <c r="GZ939" s="14">
        <v>19411</v>
      </c>
      <c r="HA939" s="16">
        <v>1</v>
      </c>
      <c r="HB939" s="14">
        <v>118407</v>
      </c>
      <c r="HC939" s="12"/>
      <c r="HD939" s="12" t="s">
        <v>319</v>
      </c>
      <c r="HE939" s="14"/>
      <c r="HF939" s="16"/>
      <c r="HG939" s="14"/>
      <c r="HH939" s="12" t="s">
        <v>320</v>
      </c>
      <c r="HI939" s="12" t="s">
        <v>328</v>
      </c>
      <c r="HJ939" s="12">
        <v>2016</v>
      </c>
      <c r="HK939" s="12" t="s">
        <v>319</v>
      </c>
      <c r="HL939" s="12" t="s">
        <v>319</v>
      </c>
      <c r="HM939" s="12"/>
      <c r="HN939" s="12"/>
      <c r="HO939" s="12"/>
      <c r="HP939" s="12" t="s">
        <v>330</v>
      </c>
      <c r="HQ939" s="12" t="s">
        <v>319</v>
      </c>
      <c r="HR939" s="12" t="s">
        <v>319</v>
      </c>
      <c r="HS939" s="12" t="s">
        <v>320</v>
      </c>
      <c r="HT939" s="12" t="s">
        <v>320</v>
      </c>
      <c r="HU939" s="12" t="s">
        <v>320</v>
      </c>
      <c r="HV939" s="12" t="s">
        <v>319</v>
      </c>
      <c r="HW939" s="12" t="s">
        <v>319</v>
      </c>
      <c r="HX939" s="12" t="s">
        <v>319</v>
      </c>
      <c r="HY939" s="12"/>
      <c r="HZ939" s="12" t="s">
        <v>363</v>
      </c>
      <c r="IA939" s="12"/>
      <c r="IB939" s="12" t="s">
        <v>333</v>
      </c>
      <c r="IC939" s="12"/>
      <c r="ID939" s="12" t="s">
        <v>477</v>
      </c>
      <c r="IE939" s="12" t="s">
        <v>478</v>
      </c>
      <c r="IF939" s="12" t="s">
        <v>320</v>
      </c>
      <c r="IG939" s="12" t="s">
        <v>320</v>
      </c>
      <c r="IH939" s="12" t="s">
        <v>320</v>
      </c>
      <c r="II939" s="12" t="s">
        <v>320</v>
      </c>
      <c r="IJ939" s="12" t="str">
        <f t="shared" si="645"/>
        <v>4. Transformative</v>
      </c>
      <c r="IK939" s="12">
        <f t="shared" si="604"/>
        <v>4</v>
      </c>
      <c r="IL939" s="11" t="s">
        <v>621</v>
      </c>
      <c r="IM939" s="12" t="s">
        <v>320</v>
      </c>
      <c r="IN939" s="12" t="s">
        <v>320</v>
      </c>
      <c r="IO939" s="12" t="s">
        <v>320</v>
      </c>
      <c r="IP939" s="12" t="s">
        <v>320</v>
      </c>
      <c r="IQ939" s="12" t="str">
        <f t="shared" si="605"/>
        <v>4. Transformational</v>
      </c>
      <c r="IR939" s="12">
        <f t="shared" si="606"/>
        <v>4</v>
      </c>
      <c r="IS939" s="12" t="s">
        <v>337</v>
      </c>
      <c r="IT939" s="12" t="s">
        <v>320</v>
      </c>
      <c r="IU939" s="12" t="s">
        <v>320</v>
      </c>
      <c r="IV939" s="12" t="s">
        <v>320</v>
      </c>
      <c r="IW939" s="11" t="str">
        <f t="shared" si="607"/>
        <v>2. Sensitive</v>
      </c>
      <c r="IX939" s="12">
        <f t="shared" si="608"/>
        <v>3</v>
      </c>
      <c r="IY939" s="12" t="s">
        <v>338</v>
      </c>
      <c r="IZ939" s="12" t="s">
        <v>457</v>
      </c>
      <c r="JA939" s="12">
        <v>1</v>
      </c>
      <c r="JB939" s="12" t="s">
        <v>831</v>
      </c>
      <c r="JC939" s="12"/>
      <c r="JD939" s="12"/>
      <c r="JE939" s="12" t="s">
        <v>340</v>
      </c>
      <c r="JF939" s="12" t="s">
        <v>14196</v>
      </c>
      <c r="JG939" s="12" t="s">
        <v>14197</v>
      </c>
      <c r="JH939" s="12" t="s">
        <v>14198</v>
      </c>
      <c r="JI939" s="12" t="s">
        <v>14199</v>
      </c>
      <c r="JJ939" s="12" t="s">
        <v>14200</v>
      </c>
      <c r="JK939" s="12" t="s">
        <v>14201</v>
      </c>
      <c r="JL939" s="12" t="s">
        <v>14202</v>
      </c>
      <c r="JM939" s="12" t="s">
        <v>14203</v>
      </c>
      <c r="JN939" s="12" t="s">
        <v>14204</v>
      </c>
      <c r="JO939" s="12" t="s">
        <v>14205</v>
      </c>
      <c r="JP939" s="15">
        <f t="shared" si="609"/>
        <v>195175</v>
      </c>
      <c r="JQ939" s="15">
        <f t="shared" si="610"/>
        <v>96395</v>
      </c>
      <c r="JR939" s="279">
        <f t="shared" si="611"/>
        <v>0.49389009862943511</v>
      </c>
      <c r="JS939" s="17">
        <f t="shared" si="612"/>
        <v>0.5250698091456385</v>
      </c>
      <c r="JT939" s="18">
        <f t="shared" si="613"/>
        <v>0.39257741584107059</v>
      </c>
      <c r="JU939" s="280">
        <f t="shared" si="614"/>
        <v>102480.5</v>
      </c>
      <c r="JV939" s="280">
        <f t="shared" si="615"/>
        <v>37842.5</v>
      </c>
      <c r="JW939" s="319" t="str">
        <f t="shared" si="616"/>
        <v/>
      </c>
      <c r="JX939" s="15">
        <f t="shared" si="617"/>
        <v>0</v>
      </c>
      <c r="JY939" s="15">
        <f t="shared" si="618"/>
        <v>0</v>
      </c>
      <c r="JZ939" s="19" t="str">
        <f t="shared" si="619"/>
        <v/>
      </c>
      <c r="KA939" s="52" t="str">
        <f t="shared" si="620"/>
        <v/>
      </c>
      <c r="KB939" s="15">
        <f t="shared" si="621"/>
        <v>0</v>
      </c>
      <c r="KC939" s="15">
        <f t="shared" si="622"/>
        <v>0</v>
      </c>
      <c r="KD939" s="20" t="str">
        <f t="shared" si="623"/>
        <v/>
      </c>
      <c r="KE939" s="52">
        <f t="shared" si="624"/>
        <v>1</v>
      </c>
      <c r="KF939" s="15">
        <f t="shared" si="625"/>
        <v>54376</v>
      </c>
      <c r="KG939" s="15">
        <f t="shared" si="626"/>
        <v>101448</v>
      </c>
      <c r="KH939" s="21">
        <f t="shared" si="627"/>
        <v>1.8656760335442106</v>
      </c>
      <c r="KI939" s="52">
        <f t="shared" si="628"/>
        <v>1</v>
      </c>
      <c r="KJ939" s="15">
        <f t="shared" si="629"/>
        <v>7762</v>
      </c>
      <c r="KK939" s="15">
        <f t="shared" si="630"/>
        <v>53217</v>
      </c>
      <c r="KL939" s="19">
        <f t="shared" si="631"/>
        <v>6.8560937902602426</v>
      </c>
      <c r="KM939" s="52">
        <f t="shared" si="632"/>
        <v>1</v>
      </c>
      <c r="KN939" s="22">
        <f t="shared" si="633"/>
        <v>19411</v>
      </c>
      <c r="KO939" s="22">
        <f t="shared" si="634"/>
        <v>118407</v>
      </c>
      <c r="KP939" s="19">
        <f t="shared" si="635"/>
        <v>6.0999948482819022</v>
      </c>
      <c r="KQ939" s="11" t="str">
        <f t="shared" si="636"/>
        <v>4. Transformative</v>
      </c>
      <c r="KR939" s="11" t="str">
        <f t="shared" si="637"/>
        <v>4. Transformational</v>
      </c>
      <c r="KS939" s="11" t="str">
        <f t="shared" si="638"/>
        <v>2. Sensitive</v>
      </c>
      <c r="KT939" s="11" t="str">
        <f t="shared" si="639"/>
        <v>It did not develop any specific innovation</v>
      </c>
      <c r="KU939" s="11" t="str">
        <f t="shared" si="640"/>
        <v>Moderate advocacy</v>
      </c>
      <c r="KV939" s="11" t="str">
        <f t="shared" si="641"/>
        <v>It did not take tested solutions to scale</v>
      </c>
      <c r="KW939" s="11" t="str">
        <f t="shared" si="642"/>
        <v>Zimbabwe - Improving Girls' Access through Transforming Education (IGATE)</v>
      </c>
      <c r="KX939" s="11" t="str">
        <f t="shared" si="643"/>
        <v>Improving Girls' Access through Transforming Education (IGATE)</v>
      </c>
      <c r="KY939" s="11" t="str">
        <f t="shared" si="644"/>
        <v>Zimbabwe</v>
      </c>
      <c r="KZ939" s="287">
        <v>940</v>
      </c>
    </row>
    <row r="940" spans="1:312" x14ac:dyDescent="0.3">
      <c r="A940" s="12" t="s">
        <v>14016</v>
      </c>
      <c r="B940" s="12" t="s">
        <v>7217</v>
      </c>
      <c r="C940" s="12">
        <v>3512</v>
      </c>
      <c r="D940" s="315" t="s">
        <v>14051</v>
      </c>
      <c r="E940" s="277" t="str">
        <f t="shared" si="603"/>
        <v>Zimbabwe</v>
      </c>
      <c r="F940" s="12" t="s">
        <v>14052</v>
      </c>
      <c r="G940" s="12" t="s">
        <v>376</v>
      </c>
      <c r="H940" s="12" t="s">
        <v>380</v>
      </c>
      <c r="I940" s="12" t="s">
        <v>381</v>
      </c>
      <c r="J940" s="281" t="s">
        <v>8430</v>
      </c>
      <c r="K940" s="12"/>
      <c r="L940" s="12"/>
      <c r="M940" s="12"/>
      <c r="N940" s="12"/>
      <c r="O940" s="12"/>
      <c r="P940" s="12"/>
      <c r="Q940" s="12"/>
      <c r="R940" s="12"/>
      <c r="S940" s="12"/>
      <c r="T940" s="12"/>
      <c r="U940" s="12"/>
      <c r="V940" s="12"/>
      <c r="W940" s="12"/>
      <c r="X940" s="12"/>
      <c r="Y940" s="12"/>
      <c r="Z940" s="12"/>
      <c r="AA940" s="12"/>
      <c r="AB940" s="12"/>
      <c r="AC940" s="12"/>
      <c r="AD940" s="12"/>
      <c r="BD940" s="13">
        <v>41395</v>
      </c>
      <c r="BE940" s="13">
        <v>42551</v>
      </c>
      <c r="BF940" s="13">
        <v>42704</v>
      </c>
      <c r="BG940" s="12" t="s">
        <v>312</v>
      </c>
      <c r="BH940" s="14">
        <v>2896337</v>
      </c>
      <c r="BI940" s="12" t="s">
        <v>14019</v>
      </c>
      <c r="BJ940" s="12" t="s">
        <v>354</v>
      </c>
      <c r="BK940" s="12" t="s">
        <v>14053</v>
      </c>
      <c r="BL940" s="12" t="s">
        <v>14021</v>
      </c>
      <c r="BM940" s="12" t="s">
        <v>980</v>
      </c>
      <c r="BN940" s="12" t="s">
        <v>14022</v>
      </c>
      <c r="BO940" s="11" t="s">
        <v>319</v>
      </c>
      <c r="BP940" s="11" t="s">
        <v>320</v>
      </c>
      <c r="BQ940" s="11" t="s">
        <v>319</v>
      </c>
      <c r="BR940" s="12" t="s">
        <v>14054</v>
      </c>
      <c r="BS940" s="12" t="s">
        <v>357</v>
      </c>
      <c r="BT940" s="12" t="s">
        <v>14055</v>
      </c>
      <c r="BU940" s="12" t="s">
        <v>14025</v>
      </c>
      <c r="BV940" s="14">
        <v>189800</v>
      </c>
      <c r="BW940" s="14">
        <v>175200</v>
      </c>
      <c r="BX940" s="14">
        <v>365000</v>
      </c>
      <c r="BY940" s="14">
        <v>0</v>
      </c>
      <c r="BZ940" s="14">
        <v>0</v>
      </c>
      <c r="CA940" s="14">
        <v>0</v>
      </c>
      <c r="CB940" s="12" t="s">
        <v>14056</v>
      </c>
      <c r="CD940" s="14"/>
      <c r="CE940" s="14"/>
      <c r="CF940" s="14"/>
      <c r="CG940" s="14"/>
      <c r="CH940" s="14"/>
      <c r="CI940" s="14"/>
      <c r="CJ940" s="12"/>
      <c r="CK940" s="14"/>
      <c r="CL940" s="16"/>
      <c r="CM940" s="14"/>
      <c r="CN940" s="12"/>
      <c r="CO940" s="14"/>
      <c r="CP940" s="16"/>
      <c r="CQ940" s="14"/>
      <c r="CR940" s="12"/>
      <c r="CS940" s="14"/>
      <c r="CT940" s="16"/>
      <c r="CU940" s="14"/>
      <c r="CV940" s="12"/>
      <c r="CW940" s="14"/>
      <c r="CX940" s="16"/>
      <c r="CY940" s="14"/>
      <c r="CZ940" s="12"/>
      <c r="DA940" s="14"/>
      <c r="DB940" s="16"/>
      <c r="DC940" s="14"/>
      <c r="DD940" s="12"/>
      <c r="DE940" s="14"/>
      <c r="DF940" s="16"/>
      <c r="DG940" s="14"/>
      <c r="DH940" s="12"/>
      <c r="DI940" s="14"/>
      <c r="DJ940" s="16"/>
      <c r="DK940" s="14"/>
      <c r="DL940" s="12"/>
      <c r="DM940" s="14"/>
      <c r="DN940" s="16"/>
      <c r="DO940" s="14"/>
      <c r="DP940" s="12"/>
      <c r="DQ940" s="14"/>
      <c r="DR940" s="16"/>
      <c r="DS940" s="14"/>
      <c r="DT940" s="12"/>
      <c r="DU940" s="14"/>
      <c r="DV940" s="16"/>
      <c r="DW940" s="14"/>
      <c r="DX940" s="12"/>
      <c r="DY940" s="14"/>
      <c r="DZ940" s="16"/>
      <c r="EA940" s="14"/>
      <c r="EB940" s="12"/>
      <c r="EC940" s="14"/>
      <c r="ED940" s="16"/>
      <c r="EE940" s="14"/>
      <c r="EF940" s="12"/>
      <c r="EG940" s="12"/>
      <c r="EH940" s="14"/>
      <c r="EI940" s="16"/>
      <c r="EJ940" s="14"/>
      <c r="EK940" s="14">
        <v>137604</v>
      </c>
      <c r="EL940" s="14">
        <v>127019</v>
      </c>
      <c r="EM940" s="14">
        <v>264623</v>
      </c>
      <c r="EN940" s="14"/>
      <c r="EO940" s="14"/>
      <c r="EP940" s="14"/>
      <c r="EQ940" s="12" t="s">
        <v>319</v>
      </c>
      <c r="ER940" s="14"/>
      <c r="ES940" s="16"/>
      <c r="ET940" s="14"/>
      <c r="EU940" s="11" t="s">
        <v>319</v>
      </c>
      <c r="EV940" s="14"/>
      <c r="EW940" s="16"/>
      <c r="EX940" s="14"/>
      <c r="EY940" s="12" t="s">
        <v>319</v>
      </c>
      <c r="EZ940" s="14"/>
      <c r="FA940" s="16"/>
      <c r="FB940" s="14"/>
      <c r="FC940" s="12" t="s">
        <v>319</v>
      </c>
      <c r="FD940" s="14"/>
      <c r="FE940" s="16"/>
      <c r="FF940" s="14"/>
      <c r="FG940" s="12" t="s">
        <v>319</v>
      </c>
      <c r="FH940" s="14"/>
      <c r="FI940" s="16"/>
      <c r="FJ940" s="14"/>
      <c r="FK940" s="12" t="s">
        <v>319</v>
      </c>
      <c r="FL940" s="14"/>
      <c r="FM940" s="16"/>
      <c r="FN940" s="14"/>
      <c r="FO940" s="12" t="s">
        <v>319</v>
      </c>
      <c r="FP940" s="14"/>
      <c r="FQ940" s="16"/>
      <c r="FR940" s="14"/>
      <c r="FS940" s="12" t="s">
        <v>319</v>
      </c>
      <c r="FT940" s="14"/>
      <c r="FU940" s="16"/>
      <c r="FV940" s="14"/>
      <c r="FW940" s="12" t="s">
        <v>319</v>
      </c>
      <c r="FX940" s="14"/>
      <c r="FY940" s="16"/>
      <c r="FZ940" s="14"/>
      <c r="GA940" s="12" t="s">
        <v>319</v>
      </c>
      <c r="GB940" s="14"/>
      <c r="GC940" s="16"/>
      <c r="GD940" s="14"/>
      <c r="GE940" s="12" t="s">
        <v>319</v>
      </c>
      <c r="GF940" s="14"/>
      <c r="GG940" s="16"/>
      <c r="GH940" s="14"/>
      <c r="GI940" s="12" t="s">
        <v>319</v>
      </c>
      <c r="GJ940" s="14"/>
      <c r="GK940" s="16"/>
      <c r="GL940" s="14"/>
      <c r="GM940" s="12" t="s">
        <v>319</v>
      </c>
      <c r="GN940" s="14"/>
      <c r="GO940" s="16"/>
      <c r="GP940" s="14"/>
      <c r="GQ940" s="12" t="s">
        <v>319</v>
      </c>
      <c r="GR940" s="14"/>
      <c r="GS940" s="16"/>
      <c r="GT940" s="14"/>
      <c r="GU940" s="12" t="s">
        <v>320</v>
      </c>
      <c r="GV940" s="14">
        <v>264623</v>
      </c>
      <c r="GW940" s="16">
        <v>0.52</v>
      </c>
      <c r="GX940" s="14">
        <v>0</v>
      </c>
      <c r="GY940" s="12" t="s">
        <v>319</v>
      </c>
      <c r="GZ940" s="14"/>
      <c r="HA940" s="16"/>
      <c r="HB940" s="14"/>
      <c r="HC940" s="12"/>
      <c r="HD940" s="12" t="s">
        <v>319</v>
      </c>
      <c r="HE940" s="14"/>
      <c r="HF940" s="16"/>
      <c r="HG940" s="14"/>
      <c r="HH940" s="12" t="s">
        <v>319</v>
      </c>
      <c r="HI940" s="12"/>
      <c r="HJ940" s="12"/>
      <c r="HK940" s="12" t="s">
        <v>319</v>
      </c>
      <c r="HL940" s="12" t="s">
        <v>319</v>
      </c>
      <c r="HM940" s="12"/>
      <c r="HN940" s="12"/>
      <c r="HO940" s="12"/>
      <c r="HP940" s="12" t="s">
        <v>418</v>
      </c>
      <c r="HQ940" s="12" t="s">
        <v>319</v>
      </c>
      <c r="HR940" s="12" t="s">
        <v>319</v>
      </c>
      <c r="HS940" s="12" t="s">
        <v>319</v>
      </c>
      <c r="HT940" s="12" t="s">
        <v>319</v>
      </c>
      <c r="HU940" s="12" t="s">
        <v>320</v>
      </c>
      <c r="HV940" s="12" t="s">
        <v>319</v>
      </c>
      <c r="HW940" s="12" t="s">
        <v>319</v>
      </c>
      <c r="HX940" s="12" t="s">
        <v>319</v>
      </c>
      <c r="HY940" s="12"/>
      <c r="HZ940" s="12" t="s">
        <v>363</v>
      </c>
      <c r="IA940" s="12"/>
      <c r="IB940" s="12" t="s">
        <v>333</v>
      </c>
      <c r="IC940" s="12"/>
      <c r="ID940" s="12" t="s">
        <v>364</v>
      </c>
      <c r="IE940" s="12" t="s">
        <v>335</v>
      </c>
      <c r="IF940" s="12" t="s">
        <v>320</v>
      </c>
      <c r="IG940" s="12" t="s">
        <v>320</v>
      </c>
      <c r="IH940" s="12" t="s">
        <v>320</v>
      </c>
      <c r="II940" s="12" t="s">
        <v>320</v>
      </c>
      <c r="IJ940" s="12" t="str">
        <f t="shared" si="645"/>
        <v>2. Sensitive</v>
      </c>
      <c r="IK940" s="12">
        <f t="shared" si="604"/>
        <v>4</v>
      </c>
      <c r="IL940" s="12" t="s">
        <v>336</v>
      </c>
      <c r="IM940" s="12" t="s">
        <v>320</v>
      </c>
      <c r="IN940" s="12" t="s">
        <v>320</v>
      </c>
      <c r="IO940" s="12" t="s">
        <v>320</v>
      </c>
      <c r="IP940" s="12" t="s">
        <v>319</v>
      </c>
      <c r="IQ940" s="12" t="str">
        <f t="shared" si="605"/>
        <v>2. Accommodating</v>
      </c>
      <c r="IR940" s="12">
        <f t="shared" si="606"/>
        <v>3</v>
      </c>
      <c r="IS940" s="12" t="s">
        <v>337</v>
      </c>
      <c r="IT940" s="12" t="s">
        <v>319</v>
      </c>
      <c r="IU940" s="12" t="s">
        <v>319</v>
      </c>
      <c r="IV940" s="12" t="s">
        <v>320</v>
      </c>
      <c r="IW940" s="11" t="str">
        <f t="shared" si="607"/>
        <v>1. Neutral</v>
      </c>
      <c r="IX940" s="12">
        <f t="shared" si="608"/>
        <v>1</v>
      </c>
      <c r="IY940" s="12" t="s">
        <v>338</v>
      </c>
      <c r="IZ940" s="12" t="s">
        <v>339</v>
      </c>
      <c r="JA940" s="12"/>
      <c r="JB940" s="12"/>
      <c r="JC940" s="12"/>
      <c r="JD940" s="12"/>
      <c r="JE940" s="12" t="s">
        <v>420</v>
      </c>
      <c r="JF940" s="12"/>
      <c r="JG940" s="12" t="s">
        <v>14057</v>
      </c>
      <c r="JH940" s="12" t="s">
        <v>14058</v>
      </c>
      <c r="JI940" s="12" t="s">
        <v>6589</v>
      </c>
      <c r="JJ940" s="12" t="s">
        <v>14059</v>
      </c>
      <c r="JK940" s="12" t="s">
        <v>14060</v>
      </c>
      <c r="JL940" s="12" t="s">
        <v>14061</v>
      </c>
      <c r="JM940" s="12" t="s">
        <v>14062</v>
      </c>
      <c r="JN940" s="31" t="s">
        <v>14782</v>
      </c>
      <c r="JO940" s="12" t="s">
        <v>14063</v>
      </c>
      <c r="JP940" s="15">
        <f t="shared" si="609"/>
        <v>264623</v>
      </c>
      <c r="JQ940" s="15">
        <f t="shared" si="610"/>
        <v>0</v>
      </c>
      <c r="JR940" s="279">
        <f t="shared" si="611"/>
        <v>0</v>
      </c>
      <c r="JS940" s="17">
        <f t="shared" si="612"/>
        <v>0.52000015115844045</v>
      </c>
      <c r="JT940" s="18" t="str">
        <f t="shared" si="613"/>
        <v/>
      </c>
      <c r="JU940" s="280">
        <f t="shared" si="614"/>
        <v>137604</v>
      </c>
      <c r="JV940" s="280">
        <f t="shared" si="615"/>
        <v>0</v>
      </c>
      <c r="JW940" s="319" t="str">
        <f t="shared" si="616"/>
        <v/>
      </c>
      <c r="JX940" s="15">
        <f t="shared" si="617"/>
        <v>0</v>
      </c>
      <c r="JY940" s="15">
        <f t="shared" si="618"/>
        <v>0</v>
      </c>
      <c r="JZ940" s="19" t="str">
        <f t="shared" si="619"/>
        <v/>
      </c>
      <c r="KA940" s="52">
        <f t="shared" si="620"/>
        <v>1</v>
      </c>
      <c r="KB940" s="15">
        <f t="shared" si="621"/>
        <v>264623</v>
      </c>
      <c r="KC940" s="15">
        <f t="shared" si="622"/>
        <v>0</v>
      </c>
      <c r="KD940" s="20">
        <f t="shared" si="623"/>
        <v>0</v>
      </c>
      <c r="KE940" s="52" t="str">
        <f t="shared" si="624"/>
        <v/>
      </c>
      <c r="KF940" s="15">
        <f t="shared" si="625"/>
        <v>0</v>
      </c>
      <c r="KG940" s="15">
        <f t="shared" si="626"/>
        <v>0</v>
      </c>
      <c r="KH940" s="21" t="str">
        <f t="shared" si="627"/>
        <v/>
      </c>
      <c r="KI940" s="52" t="str">
        <f t="shared" si="628"/>
        <v/>
      </c>
      <c r="KJ940" s="15">
        <f t="shared" si="629"/>
        <v>0</v>
      </c>
      <c r="KK940" s="15">
        <f t="shared" si="630"/>
        <v>0</v>
      </c>
      <c r="KL940" s="19" t="str">
        <f t="shared" si="631"/>
        <v/>
      </c>
      <c r="KM940" s="52" t="str">
        <f t="shared" si="632"/>
        <v/>
      </c>
      <c r="KN940" s="22">
        <f t="shared" si="633"/>
        <v>0</v>
      </c>
      <c r="KO940" s="22">
        <f t="shared" si="634"/>
        <v>0</v>
      </c>
      <c r="KP940" s="19" t="str">
        <f t="shared" si="635"/>
        <v/>
      </c>
      <c r="KQ940" s="11" t="str">
        <f t="shared" si="636"/>
        <v>2. Sensitive</v>
      </c>
      <c r="KR940" s="11" t="str">
        <f t="shared" si="637"/>
        <v>2. Accommodating</v>
      </c>
      <c r="KS940" s="11" t="str">
        <f t="shared" si="638"/>
        <v>1. Neutral</v>
      </c>
      <c r="KT940" s="11" t="str">
        <f t="shared" si="639"/>
        <v>It did not develop any specific innovation</v>
      </c>
      <c r="KU940" s="11" t="str">
        <f t="shared" si="640"/>
        <v>Little or no advocacy</v>
      </c>
      <c r="KV940" s="11" t="str">
        <f t="shared" si="641"/>
        <v>It did not take tested solutions to scale</v>
      </c>
      <c r="KW940" s="11" t="str">
        <f t="shared" si="642"/>
        <v>Zimbabwe - Improving Water, Sanitation and Hygiene in Rural Areas of Zimbabwe</v>
      </c>
      <c r="KX940" s="11" t="str">
        <f t="shared" si="643"/>
        <v>Improving Water, Sanitation and Hygiene in Rural Areas of Zimbabwe</v>
      </c>
      <c r="KY940" s="11" t="str">
        <f t="shared" si="644"/>
        <v>Zimbabwe</v>
      </c>
      <c r="KZ940" s="12">
        <v>941</v>
      </c>
    </row>
    <row r="941" spans="1:312" x14ac:dyDescent="0.3">
      <c r="A941" s="282" t="s">
        <v>14016</v>
      </c>
      <c r="B941" s="282" t="s">
        <v>7217</v>
      </c>
      <c r="C941" s="282"/>
      <c r="D941" s="282" t="s">
        <v>14064</v>
      </c>
      <c r="E941" s="277" t="str">
        <f t="shared" si="603"/>
        <v>Zimbabwe</v>
      </c>
      <c r="F941" s="282" t="s">
        <v>14065</v>
      </c>
      <c r="G941" s="282" t="s">
        <v>376</v>
      </c>
      <c r="H941" s="282" t="s">
        <v>380</v>
      </c>
      <c r="I941" s="282" t="s">
        <v>381</v>
      </c>
      <c r="J941" s="281" t="s">
        <v>8430</v>
      </c>
      <c r="K941" s="282"/>
      <c r="L941" s="282"/>
      <c r="M941" s="282"/>
      <c r="N941" s="282"/>
      <c r="O941" s="282"/>
      <c r="P941" s="282"/>
      <c r="Q941" s="282"/>
      <c r="R941" s="282"/>
      <c r="S941" s="282"/>
      <c r="T941" s="282"/>
      <c r="U941" s="282"/>
      <c r="V941" s="282"/>
      <c r="W941" s="282"/>
      <c r="X941" s="282"/>
      <c r="Y941" s="282"/>
      <c r="Z941" s="282"/>
      <c r="AA941" s="282"/>
      <c r="AB941" s="282"/>
      <c r="AC941" s="282"/>
      <c r="AD941" s="282"/>
      <c r="AE941" s="282"/>
      <c r="AF941" s="282"/>
      <c r="AG941" s="282"/>
      <c r="AH941" s="282"/>
      <c r="AI941" s="282"/>
      <c r="AJ941" s="282"/>
      <c r="AK941" s="282"/>
      <c r="AL941" s="282"/>
      <c r="AM941" s="282"/>
      <c r="AN941" s="282"/>
      <c r="AO941" s="282"/>
      <c r="AP941" s="282"/>
      <c r="AQ941" s="282"/>
      <c r="AR941" s="282"/>
      <c r="AS941" s="282"/>
      <c r="AT941" s="282"/>
      <c r="AU941" s="282"/>
      <c r="AV941" s="282"/>
      <c r="AW941" s="282"/>
      <c r="AX941" s="282"/>
      <c r="AY941" s="282"/>
      <c r="AZ941" s="282"/>
      <c r="BA941" s="282"/>
      <c r="BB941" s="282"/>
      <c r="BC941" s="282"/>
      <c r="BD941" s="283">
        <v>42856</v>
      </c>
      <c r="BE941" s="283">
        <v>43465</v>
      </c>
      <c r="BF941" s="283"/>
      <c r="BG941" s="283" t="s">
        <v>312</v>
      </c>
      <c r="BH941" s="284">
        <v>1004394</v>
      </c>
      <c r="BI941" s="282" t="s">
        <v>14019</v>
      </c>
      <c r="BJ941" s="282" t="s">
        <v>354</v>
      </c>
      <c r="BK941" s="282" t="s">
        <v>14053</v>
      </c>
      <c r="BL941" s="282" t="s">
        <v>14021</v>
      </c>
      <c r="BM941" s="282" t="s">
        <v>980</v>
      </c>
      <c r="BN941" s="282" t="s">
        <v>14022</v>
      </c>
      <c r="BO941" s="282" t="s">
        <v>319</v>
      </c>
      <c r="BP941" s="282" t="s">
        <v>320</v>
      </c>
      <c r="BQ941" s="282" t="s">
        <v>319</v>
      </c>
      <c r="BR941" s="282" t="s">
        <v>14066</v>
      </c>
      <c r="BS941" s="282" t="s">
        <v>357</v>
      </c>
      <c r="BT941" s="282" t="s">
        <v>14067</v>
      </c>
      <c r="BU941" s="282" t="s">
        <v>14025</v>
      </c>
      <c r="BV941" s="284">
        <v>121420</v>
      </c>
      <c r="BW941" s="284">
        <v>112080</v>
      </c>
      <c r="BX941" s="284">
        <v>233500</v>
      </c>
      <c r="BY941" s="284"/>
      <c r="BZ941" s="284"/>
      <c r="CA941" s="284">
        <v>0</v>
      </c>
      <c r="CB941" s="285" t="s">
        <v>14068</v>
      </c>
      <c r="CC941" s="285"/>
      <c r="CD941" s="284"/>
      <c r="CE941" s="284"/>
      <c r="CF941" s="284"/>
      <c r="CG941" s="284"/>
      <c r="CH941" s="284"/>
      <c r="CI941" s="284"/>
      <c r="CJ941" s="282"/>
      <c r="CK941" s="284"/>
      <c r="CL941" s="286"/>
      <c r="CM941" s="284"/>
      <c r="CN941" s="287"/>
      <c r="CO941" s="284"/>
      <c r="CP941" s="286"/>
      <c r="CQ941" s="284"/>
      <c r="CR941" s="282"/>
      <c r="CS941" s="284"/>
      <c r="CT941" s="286"/>
      <c r="CU941" s="284"/>
      <c r="CV941" s="292"/>
      <c r="CW941" s="300"/>
      <c r="CX941" s="308"/>
      <c r="CY941" s="300"/>
      <c r="CZ941" s="282"/>
      <c r="DA941" s="284"/>
      <c r="DB941" s="286"/>
      <c r="DC941" s="284"/>
      <c r="DD941" s="287"/>
      <c r="DE941" s="284"/>
      <c r="DF941" s="286"/>
      <c r="DG941" s="284"/>
      <c r="DH941" s="282"/>
      <c r="DI941" s="284"/>
      <c r="DJ941" s="286"/>
      <c r="DK941" s="284"/>
      <c r="DL941" s="282"/>
      <c r="DM941" s="284"/>
      <c r="DN941" s="286"/>
      <c r="DO941" s="284"/>
      <c r="DP941" s="282"/>
      <c r="DQ941" s="284"/>
      <c r="DR941" s="286"/>
      <c r="DS941" s="284"/>
      <c r="DT941" s="282"/>
      <c r="DU941" s="284"/>
      <c r="DV941" s="286"/>
      <c r="DW941" s="284"/>
      <c r="DX941" s="282"/>
      <c r="DY941" s="284"/>
      <c r="DZ941" s="286"/>
      <c r="EA941" s="284"/>
      <c r="EB941" s="282"/>
      <c r="EC941" s="284"/>
      <c r="ED941" s="286"/>
      <c r="EE941" s="284"/>
      <c r="EF941" s="285"/>
      <c r="EG941" s="287"/>
      <c r="EH941" s="284"/>
      <c r="EI941" s="286"/>
      <c r="EJ941" s="284"/>
      <c r="EK941" s="284">
        <v>0</v>
      </c>
      <c r="EL941" s="284">
        <v>0</v>
      </c>
      <c r="EM941" s="284">
        <v>0</v>
      </c>
      <c r="EN941" s="284">
        <v>0</v>
      </c>
      <c r="EO941" s="284">
        <v>0</v>
      </c>
      <c r="EP941" s="284">
        <v>0</v>
      </c>
      <c r="EQ941" s="282" t="s">
        <v>319</v>
      </c>
      <c r="ER941" s="284"/>
      <c r="ES941" s="286"/>
      <c r="ET941" s="284"/>
      <c r="EU941" s="305" t="s">
        <v>319</v>
      </c>
      <c r="EV941" s="300"/>
      <c r="EW941" s="308"/>
      <c r="EX941" s="300"/>
      <c r="EY941" s="282" t="s">
        <v>319</v>
      </c>
      <c r="EZ941" s="284"/>
      <c r="FA941" s="286"/>
      <c r="FB941" s="284"/>
      <c r="FC941" s="282" t="s">
        <v>319</v>
      </c>
      <c r="FD941" s="284"/>
      <c r="FE941" s="286"/>
      <c r="FF941" s="284"/>
      <c r="FG941" s="282" t="s">
        <v>319</v>
      </c>
      <c r="FH941" s="284"/>
      <c r="FI941" s="286"/>
      <c r="FJ941" s="284"/>
      <c r="FK941" s="282" t="s">
        <v>319</v>
      </c>
      <c r="FL941" s="284"/>
      <c r="FM941" s="286"/>
      <c r="FN941" s="284"/>
      <c r="FO941" s="305" t="s">
        <v>319</v>
      </c>
      <c r="FP941" s="300"/>
      <c r="FQ941" s="308"/>
      <c r="FR941" s="300"/>
      <c r="FS941" s="282" t="s">
        <v>319</v>
      </c>
      <c r="FT941" s="284"/>
      <c r="FU941" s="286"/>
      <c r="FV941" s="284"/>
      <c r="FW941" s="282" t="s">
        <v>319</v>
      </c>
      <c r="FX941" s="284"/>
      <c r="FY941" s="286"/>
      <c r="FZ941" s="284"/>
      <c r="GA941" s="282" t="s">
        <v>319</v>
      </c>
      <c r="GB941" s="284"/>
      <c r="GC941" s="286"/>
      <c r="GD941" s="284"/>
      <c r="GE941" s="282" t="s">
        <v>320</v>
      </c>
      <c r="GF941" s="284"/>
      <c r="GG941" s="286"/>
      <c r="GH941" s="284"/>
      <c r="GI941" s="282" t="s">
        <v>319</v>
      </c>
      <c r="GJ941" s="284"/>
      <c r="GK941" s="286"/>
      <c r="GL941" s="284"/>
      <c r="GM941" s="282" t="s">
        <v>319</v>
      </c>
      <c r="GN941" s="284"/>
      <c r="GO941" s="286"/>
      <c r="GP941" s="284"/>
      <c r="GQ941" s="282" t="s">
        <v>319</v>
      </c>
      <c r="GR941" s="284"/>
      <c r="GS941" s="286"/>
      <c r="GT941" s="284"/>
      <c r="GU941" s="282" t="s">
        <v>320</v>
      </c>
      <c r="GV941" s="284">
        <v>0</v>
      </c>
      <c r="GW941" s="286">
        <v>0</v>
      </c>
      <c r="GX941" s="284">
        <v>0</v>
      </c>
      <c r="GY941" s="282" t="s">
        <v>319</v>
      </c>
      <c r="GZ941" s="284"/>
      <c r="HA941" s="286"/>
      <c r="HB941" s="284"/>
      <c r="HC941" s="282"/>
      <c r="HD941" s="282" t="s">
        <v>319</v>
      </c>
      <c r="HE941" s="284"/>
      <c r="HF941" s="286"/>
      <c r="HG941" s="284"/>
      <c r="HH941" s="282" t="s">
        <v>319</v>
      </c>
      <c r="HI941" s="282"/>
      <c r="HJ941" s="282"/>
      <c r="HK941" s="282" t="s">
        <v>319</v>
      </c>
      <c r="HL941" s="282" t="s">
        <v>319</v>
      </c>
      <c r="HM941" s="282"/>
      <c r="HN941" s="282"/>
      <c r="HO941" s="282" t="s">
        <v>14069</v>
      </c>
      <c r="HP941" s="282"/>
      <c r="HQ941" s="282"/>
      <c r="HR941" s="282"/>
      <c r="HS941" s="282"/>
      <c r="HT941" s="282"/>
      <c r="HU941" s="282"/>
      <c r="HV941" s="282"/>
      <c r="HW941" s="282"/>
      <c r="HX941" s="282"/>
      <c r="HY941" s="282"/>
      <c r="HZ941" s="282" t="s">
        <v>363</v>
      </c>
      <c r="IA941" s="282"/>
      <c r="IB941" s="282"/>
      <c r="IC941" s="282"/>
      <c r="ID941" s="282" t="s">
        <v>364</v>
      </c>
      <c r="IE941" s="282"/>
      <c r="IF941" s="282"/>
      <c r="IG941" s="282"/>
      <c r="IH941" s="282"/>
      <c r="II941" s="282"/>
      <c r="IJ941" s="12" t="str">
        <f t="shared" si="645"/>
        <v>No marker score</v>
      </c>
      <c r="IK941" s="287">
        <f t="shared" si="604"/>
        <v>0</v>
      </c>
      <c r="IL941" s="282"/>
      <c r="IM941" s="282"/>
      <c r="IN941" s="282"/>
      <c r="IO941" s="282"/>
      <c r="IP941" s="282"/>
      <c r="IQ941" s="287" t="str">
        <f t="shared" si="605"/>
        <v>No marker score</v>
      </c>
      <c r="IR941" s="287">
        <f t="shared" si="606"/>
        <v>0</v>
      </c>
      <c r="IS941" s="282"/>
      <c r="IT941" s="282"/>
      <c r="IU941" s="282"/>
      <c r="IV941" s="282"/>
      <c r="IW941" s="11" t="str">
        <f t="shared" si="607"/>
        <v>No marker score</v>
      </c>
      <c r="IX941" s="287">
        <f t="shared" si="608"/>
        <v>0</v>
      </c>
      <c r="IY941" s="282" t="s">
        <v>338</v>
      </c>
      <c r="IZ941" s="282" t="s">
        <v>339</v>
      </c>
      <c r="JA941" s="282"/>
      <c r="JB941" s="282"/>
      <c r="JC941" s="282"/>
      <c r="JD941" s="282"/>
      <c r="JE941" s="282" t="s">
        <v>420</v>
      </c>
      <c r="JF941" s="282"/>
      <c r="JG941" s="282" t="s">
        <v>14070</v>
      </c>
      <c r="JH941" s="282" t="s">
        <v>14070</v>
      </c>
      <c r="JI941" s="282"/>
      <c r="JJ941" s="282"/>
      <c r="JK941" s="282" t="s">
        <v>14070</v>
      </c>
      <c r="JL941" s="282"/>
      <c r="JM941" s="282"/>
      <c r="JN941" s="282" t="s">
        <v>14071</v>
      </c>
      <c r="JO941" s="282" t="s">
        <v>1519</v>
      </c>
      <c r="JP941" s="15">
        <f t="shared" si="609"/>
        <v>0</v>
      </c>
      <c r="JQ941" s="15">
        <f t="shared" si="610"/>
        <v>0</v>
      </c>
      <c r="JR941" s="279" t="str">
        <f t="shared" si="611"/>
        <v/>
      </c>
      <c r="JS941" s="17" t="str">
        <f t="shared" si="612"/>
        <v/>
      </c>
      <c r="JT941" s="18" t="str">
        <f t="shared" si="613"/>
        <v/>
      </c>
      <c r="JU941" s="280">
        <f t="shared" si="614"/>
        <v>0</v>
      </c>
      <c r="JV941" s="280">
        <f t="shared" si="615"/>
        <v>0</v>
      </c>
      <c r="JW941" s="319" t="str">
        <f t="shared" si="616"/>
        <v/>
      </c>
      <c r="JX941" s="15">
        <f t="shared" si="617"/>
        <v>0</v>
      </c>
      <c r="JY941" s="15">
        <f t="shared" si="618"/>
        <v>0</v>
      </c>
      <c r="JZ941" s="19" t="str">
        <f t="shared" si="619"/>
        <v/>
      </c>
      <c r="KA941" s="52">
        <f t="shared" si="620"/>
        <v>1</v>
      </c>
      <c r="KB941" s="15">
        <f t="shared" si="621"/>
        <v>0</v>
      </c>
      <c r="KC941" s="15">
        <f t="shared" si="622"/>
        <v>0</v>
      </c>
      <c r="KD941" s="20" t="str">
        <f t="shared" si="623"/>
        <v/>
      </c>
      <c r="KE941" s="52" t="str">
        <f t="shared" si="624"/>
        <v/>
      </c>
      <c r="KF941" s="15">
        <f t="shared" si="625"/>
        <v>0</v>
      </c>
      <c r="KG941" s="15">
        <f t="shared" si="626"/>
        <v>0</v>
      </c>
      <c r="KH941" s="21" t="str">
        <f t="shared" si="627"/>
        <v/>
      </c>
      <c r="KI941" s="52" t="str">
        <f t="shared" si="628"/>
        <v/>
      </c>
      <c r="KJ941" s="15">
        <f t="shared" si="629"/>
        <v>0</v>
      </c>
      <c r="KK941" s="15">
        <f t="shared" si="630"/>
        <v>0</v>
      </c>
      <c r="KL941" s="19" t="str">
        <f t="shared" si="631"/>
        <v/>
      </c>
      <c r="KM941" s="52" t="str">
        <f t="shared" si="632"/>
        <v/>
      </c>
      <c r="KN941" s="22">
        <f t="shared" si="633"/>
        <v>0</v>
      </c>
      <c r="KO941" s="22">
        <f t="shared" si="634"/>
        <v>0</v>
      </c>
      <c r="KP941" s="19" t="str">
        <f t="shared" si="635"/>
        <v/>
      </c>
      <c r="KQ941" s="11" t="str">
        <f t="shared" si="636"/>
        <v>No marker score</v>
      </c>
      <c r="KR941" s="11" t="str">
        <f t="shared" si="637"/>
        <v>No marker score</v>
      </c>
      <c r="KS941" s="11" t="str">
        <f t="shared" si="638"/>
        <v>No marker score</v>
      </c>
      <c r="KT941" s="11" t="str">
        <f t="shared" si="639"/>
        <v>It did not develop any specific innovation</v>
      </c>
      <c r="KU941" s="11">
        <f t="shared" si="640"/>
        <v>0</v>
      </c>
      <c r="KV941" s="11">
        <f t="shared" si="641"/>
        <v>0</v>
      </c>
      <c r="KW941" s="11" t="str">
        <f t="shared" si="642"/>
        <v>Zimbabwe - Improving Water, Sanitation and Hygiene in Rural Areas of Zimbabwe Extension</v>
      </c>
      <c r="KX941" s="11" t="str">
        <f t="shared" si="643"/>
        <v>Improving Water, Sanitation and Hygiene in Rural Areas of Zimbabwe Extension</v>
      </c>
      <c r="KY941" s="11" t="str">
        <f t="shared" si="644"/>
        <v>Zimbabwe</v>
      </c>
      <c r="KZ941" s="12">
        <v>942</v>
      </c>
    </row>
    <row r="942" spans="1:312" x14ac:dyDescent="0.3">
      <c r="A942" s="12" t="s">
        <v>14016</v>
      </c>
      <c r="B942" s="12" t="s">
        <v>7217</v>
      </c>
      <c r="C942" s="12">
        <v>3503</v>
      </c>
      <c r="D942" s="315" t="s">
        <v>14131</v>
      </c>
      <c r="E942" s="277" t="str">
        <f t="shared" si="603"/>
        <v>Zimbabwe</v>
      </c>
      <c r="F942" s="12" t="s">
        <v>14132</v>
      </c>
      <c r="G942" s="12" t="s">
        <v>1738</v>
      </c>
      <c r="H942" s="12" t="s">
        <v>380</v>
      </c>
      <c r="I942" s="12" t="s">
        <v>517</v>
      </c>
      <c r="J942" s="281" t="s">
        <v>14578</v>
      </c>
      <c r="K942" s="12"/>
      <c r="L942" s="12"/>
      <c r="M942" s="12"/>
      <c r="N942" s="12"/>
      <c r="O942" s="12"/>
      <c r="P942" s="12"/>
      <c r="Q942" s="12"/>
      <c r="R942" s="12"/>
      <c r="S942" s="12"/>
      <c r="T942" s="12"/>
      <c r="U942" s="12"/>
      <c r="V942" s="12"/>
      <c r="W942" s="12"/>
      <c r="X942" s="12"/>
      <c r="Y942" s="12"/>
      <c r="Z942" s="12"/>
      <c r="AA942" s="12"/>
      <c r="AB942" s="12"/>
      <c r="AC942" s="12"/>
      <c r="AD942" s="12"/>
      <c r="BD942" s="13">
        <v>41609</v>
      </c>
      <c r="BE942" s="13">
        <v>42704</v>
      </c>
      <c r="BF942" s="12"/>
      <c r="BG942" s="12" t="s">
        <v>312</v>
      </c>
      <c r="BH942" s="14">
        <v>1375000</v>
      </c>
      <c r="BI942" s="12" t="s">
        <v>14133</v>
      </c>
      <c r="BJ942" s="12" t="s">
        <v>354</v>
      </c>
      <c r="BK942" s="12" t="s">
        <v>14134</v>
      </c>
      <c r="BL942" s="12" t="s">
        <v>14021</v>
      </c>
      <c r="BM942" s="12" t="s">
        <v>980</v>
      </c>
      <c r="BN942" s="12" t="s">
        <v>14038</v>
      </c>
      <c r="BO942" s="12" t="s">
        <v>319</v>
      </c>
      <c r="BP942" s="12" t="s">
        <v>320</v>
      </c>
      <c r="BQ942" s="12" t="s">
        <v>319</v>
      </c>
      <c r="BR942" s="12" t="s">
        <v>14135</v>
      </c>
      <c r="BS942" s="12" t="s">
        <v>357</v>
      </c>
      <c r="BT942" s="12" t="s">
        <v>14136</v>
      </c>
      <c r="BU942" s="12" t="s">
        <v>14025</v>
      </c>
      <c r="BV942" s="14">
        <v>955</v>
      </c>
      <c r="BW942" s="14">
        <v>944</v>
      </c>
      <c r="BX942" s="14">
        <v>1899</v>
      </c>
      <c r="BY942" s="14">
        <v>4775</v>
      </c>
      <c r="BZ942" s="14">
        <v>4720</v>
      </c>
      <c r="CA942" s="14">
        <v>9495</v>
      </c>
      <c r="CB942" s="12" t="s">
        <v>14137</v>
      </c>
      <c r="CD942" s="14"/>
      <c r="CE942" s="14"/>
      <c r="CF942" s="14"/>
      <c r="CG942" s="14"/>
      <c r="CH942" s="14"/>
      <c r="CI942" s="14"/>
      <c r="CJ942" s="12"/>
      <c r="CK942" s="14"/>
      <c r="CL942" s="16"/>
      <c r="CM942" s="14"/>
      <c r="CN942" s="12"/>
      <c r="CO942" s="14"/>
      <c r="CP942" s="16"/>
      <c r="CQ942" s="14"/>
      <c r="CR942" s="12"/>
      <c r="CS942" s="14"/>
      <c r="CT942" s="16"/>
      <c r="CU942" s="14"/>
      <c r="CV942" s="12"/>
      <c r="CW942" s="14"/>
      <c r="CX942" s="16"/>
      <c r="CY942" s="14"/>
      <c r="CZ942" s="12"/>
      <c r="DA942" s="14"/>
      <c r="DB942" s="16"/>
      <c r="DC942" s="14"/>
      <c r="DD942" s="12"/>
      <c r="DE942" s="14"/>
      <c r="DF942" s="16"/>
      <c r="DG942" s="14"/>
      <c r="DH942" s="12"/>
      <c r="DI942" s="14"/>
      <c r="DJ942" s="16"/>
      <c r="DK942" s="14"/>
      <c r="DL942" s="12"/>
      <c r="DM942" s="14"/>
      <c r="DN942" s="16"/>
      <c r="DO942" s="14"/>
      <c r="DP942" s="12"/>
      <c r="DQ942" s="14"/>
      <c r="DR942" s="16"/>
      <c r="DS942" s="14"/>
      <c r="DT942" s="12"/>
      <c r="DU942" s="14"/>
      <c r="DV942" s="16"/>
      <c r="DW942" s="14"/>
      <c r="DX942" s="12"/>
      <c r="DY942" s="14"/>
      <c r="DZ942" s="16"/>
      <c r="EA942" s="14"/>
      <c r="EB942" s="12"/>
      <c r="EC942" s="14"/>
      <c r="ED942" s="16"/>
      <c r="EE942" s="14"/>
      <c r="EF942" s="12"/>
      <c r="EG942" s="12"/>
      <c r="EH942" s="14"/>
      <c r="EI942" s="16"/>
      <c r="EJ942" s="14"/>
      <c r="EK942" s="14">
        <v>6018</v>
      </c>
      <c r="EL942" s="14">
        <v>3241</v>
      </c>
      <c r="EM942" s="14">
        <v>9259</v>
      </c>
      <c r="EN942" s="14">
        <v>41613</v>
      </c>
      <c r="EO942" s="14">
        <v>38412</v>
      </c>
      <c r="EP942" s="14">
        <v>80025</v>
      </c>
      <c r="EQ942" s="12" t="s">
        <v>320</v>
      </c>
      <c r="ER942" s="14">
        <v>9259</v>
      </c>
      <c r="ES942" s="16">
        <v>0.65</v>
      </c>
      <c r="ET942" s="14">
        <v>37036</v>
      </c>
      <c r="EU942" s="11" t="s">
        <v>320</v>
      </c>
      <c r="EV942" s="14">
        <v>185</v>
      </c>
      <c r="EW942" s="16">
        <v>0.5</v>
      </c>
      <c r="EX942" s="14">
        <v>740</v>
      </c>
      <c r="EY942" s="12" t="s">
        <v>319</v>
      </c>
      <c r="EZ942" s="14"/>
      <c r="FA942" s="16"/>
      <c r="FB942" s="14"/>
      <c r="FC942" s="12" t="s">
        <v>320</v>
      </c>
      <c r="FD942" s="14">
        <v>704</v>
      </c>
      <c r="FE942" s="16">
        <v>0.5</v>
      </c>
      <c r="FF942" s="14">
        <v>2816</v>
      </c>
      <c r="FG942" s="12" t="s">
        <v>319</v>
      </c>
      <c r="FH942" s="14"/>
      <c r="FI942" s="16"/>
      <c r="FJ942" s="14"/>
      <c r="FK942" s="12" t="s">
        <v>319</v>
      </c>
      <c r="FL942" s="14"/>
      <c r="FM942" s="16"/>
      <c r="FN942" s="14"/>
      <c r="FO942" s="12" t="s">
        <v>319</v>
      </c>
      <c r="FP942" s="14"/>
      <c r="FQ942" s="16"/>
      <c r="FR942" s="14"/>
      <c r="FS942" s="12" t="s">
        <v>319</v>
      </c>
      <c r="FT942" s="14"/>
      <c r="FU942" s="16"/>
      <c r="FV942" s="14"/>
      <c r="FW942" s="12" t="s">
        <v>319</v>
      </c>
      <c r="FX942" s="14"/>
      <c r="FY942" s="16"/>
      <c r="FZ942" s="14"/>
      <c r="GA942" s="12" t="s">
        <v>319</v>
      </c>
      <c r="GB942" s="14"/>
      <c r="GC942" s="16"/>
      <c r="GD942" s="14"/>
      <c r="GE942" s="12" t="s">
        <v>319</v>
      </c>
      <c r="GF942" s="14"/>
      <c r="GG942" s="16"/>
      <c r="GH942" s="14"/>
      <c r="GI942" s="11" t="s">
        <v>320</v>
      </c>
      <c r="GJ942" s="14">
        <v>2954</v>
      </c>
      <c r="GK942" s="16">
        <v>0.5</v>
      </c>
      <c r="GL942" s="14">
        <v>80025</v>
      </c>
      <c r="GM942" s="12" t="s">
        <v>319</v>
      </c>
      <c r="GN942" s="14"/>
      <c r="GO942" s="16"/>
      <c r="GP942" s="14"/>
      <c r="GQ942" s="12" t="s">
        <v>319</v>
      </c>
      <c r="GR942" s="14"/>
      <c r="GS942" s="16"/>
      <c r="GT942" s="14"/>
      <c r="GU942" s="12" t="s">
        <v>319</v>
      </c>
      <c r="GV942" s="14"/>
      <c r="GW942" s="16"/>
      <c r="GX942" s="14"/>
      <c r="GY942" s="12" t="s">
        <v>319</v>
      </c>
      <c r="GZ942" s="14"/>
      <c r="HA942" s="16"/>
      <c r="HB942" s="14"/>
      <c r="HC942" s="12"/>
      <c r="HD942" s="12" t="s">
        <v>319</v>
      </c>
      <c r="HE942" s="14"/>
      <c r="HF942" s="16"/>
      <c r="HG942" s="14"/>
      <c r="HH942" s="12" t="s">
        <v>320</v>
      </c>
      <c r="HI942" s="12" t="s">
        <v>560</v>
      </c>
      <c r="HJ942" s="12">
        <v>2017</v>
      </c>
      <c r="HK942" s="12" t="s">
        <v>319</v>
      </c>
      <c r="HL942" s="12" t="s">
        <v>319</v>
      </c>
      <c r="HM942" s="12"/>
      <c r="HN942" s="12"/>
      <c r="HO942" s="12"/>
      <c r="HP942" s="12" t="s">
        <v>330</v>
      </c>
      <c r="HQ942" s="12" t="s">
        <v>319</v>
      </c>
      <c r="HR942" s="12" t="s">
        <v>319</v>
      </c>
      <c r="HS942" s="12" t="s">
        <v>320</v>
      </c>
      <c r="HT942" s="12" t="s">
        <v>320</v>
      </c>
      <c r="HU942" s="12" t="s">
        <v>319</v>
      </c>
      <c r="HV942" s="12" t="s">
        <v>319</v>
      </c>
      <c r="HW942" s="12" t="s">
        <v>319</v>
      </c>
      <c r="HX942" s="12" t="s">
        <v>319</v>
      </c>
      <c r="HY942" s="12"/>
      <c r="HZ942" s="12" t="s">
        <v>394</v>
      </c>
      <c r="IA942" s="12" t="s">
        <v>14138</v>
      </c>
      <c r="IB942" s="12" t="s">
        <v>396</v>
      </c>
      <c r="IC942" s="12" t="s">
        <v>14139</v>
      </c>
      <c r="ID942" s="12" t="s">
        <v>334</v>
      </c>
      <c r="IE942" s="12" t="s">
        <v>335</v>
      </c>
      <c r="IF942" s="12" t="s">
        <v>319</v>
      </c>
      <c r="IG942" s="12" t="s">
        <v>320</v>
      </c>
      <c r="IH942" s="12" t="s">
        <v>320</v>
      </c>
      <c r="II942" s="12" t="s">
        <v>319</v>
      </c>
      <c r="IJ942" s="12" t="str">
        <f t="shared" si="645"/>
        <v>1. Neutral</v>
      </c>
      <c r="IK942" s="12">
        <f t="shared" si="604"/>
        <v>2</v>
      </c>
      <c r="IL942" s="11" t="s">
        <v>621</v>
      </c>
      <c r="IM942" s="12" t="s">
        <v>320</v>
      </c>
      <c r="IN942" s="12" t="s">
        <v>320</v>
      </c>
      <c r="IO942" s="12" t="s">
        <v>320</v>
      </c>
      <c r="IP942" s="12" t="s">
        <v>320</v>
      </c>
      <c r="IQ942" s="12" t="str">
        <f t="shared" si="605"/>
        <v>4. Transformational</v>
      </c>
      <c r="IR942" s="12">
        <f t="shared" si="606"/>
        <v>4</v>
      </c>
      <c r="IS942" s="12" t="s">
        <v>337</v>
      </c>
      <c r="IT942" s="12" t="s">
        <v>320</v>
      </c>
      <c r="IU942" s="12" t="s">
        <v>320</v>
      </c>
      <c r="IV942" s="12" t="s">
        <v>320</v>
      </c>
      <c r="IW942" s="11" t="str">
        <f t="shared" si="607"/>
        <v>2. Sensitive</v>
      </c>
      <c r="IX942" s="12">
        <f t="shared" si="608"/>
        <v>3</v>
      </c>
      <c r="IY942" s="12" t="s">
        <v>419</v>
      </c>
      <c r="IZ942" s="12" t="s">
        <v>457</v>
      </c>
      <c r="JA942" s="12">
        <v>1</v>
      </c>
      <c r="JB942" s="12" t="s">
        <v>433</v>
      </c>
      <c r="JC942" s="12"/>
      <c r="JD942" s="12"/>
      <c r="JE942" s="12" t="s">
        <v>420</v>
      </c>
      <c r="JF942" s="12"/>
      <c r="JG942" s="12"/>
      <c r="JH942" s="12" t="s">
        <v>14140</v>
      </c>
      <c r="JI942" s="12" t="s">
        <v>14141</v>
      </c>
      <c r="JJ942" s="12" t="s">
        <v>3810</v>
      </c>
      <c r="JK942" s="12" t="s">
        <v>14142</v>
      </c>
      <c r="JL942" s="12" t="s">
        <v>14143</v>
      </c>
      <c r="JM942" s="12"/>
      <c r="JN942" s="12" t="s">
        <v>14144</v>
      </c>
      <c r="JO942" s="12" t="s">
        <v>14130</v>
      </c>
      <c r="JP942" s="15">
        <f t="shared" si="609"/>
        <v>9259</v>
      </c>
      <c r="JQ942" s="15">
        <f t="shared" si="610"/>
        <v>80025</v>
      </c>
      <c r="JR942" s="279">
        <f t="shared" si="611"/>
        <v>8.642942002376067</v>
      </c>
      <c r="JS942" s="17">
        <f t="shared" si="612"/>
        <v>0.64996219894157037</v>
      </c>
      <c r="JT942" s="18">
        <f t="shared" si="613"/>
        <v>0.52</v>
      </c>
      <c r="JU942" s="280">
        <f t="shared" si="614"/>
        <v>6018</v>
      </c>
      <c r="JV942" s="280">
        <f t="shared" si="615"/>
        <v>41613</v>
      </c>
      <c r="JW942" s="319" t="str">
        <f t="shared" si="616"/>
        <v/>
      </c>
      <c r="JX942" s="15">
        <f t="shared" si="617"/>
        <v>0</v>
      </c>
      <c r="JY942" s="15">
        <f t="shared" si="618"/>
        <v>0</v>
      </c>
      <c r="JZ942" s="19" t="str">
        <f t="shared" si="619"/>
        <v/>
      </c>
      <c r="KA942" s="52">
        <f t="shared" si="620"/>
        <v>1</v>
      </c>
      <c r="KB942" s="15">
        <f t="shared" si="621"/>
        <v>9259</v>
      </c>
      <c r="KC942" s="15">
        <f t="shared" si="622"/>
        <v>80025</v>
      </c>
      <c r="KD942" s="20">
        <f t="shared" si="623"/>
        <v>8.642942002376067</v>
      </c>
      <c r="KE942" s="52" t="str">
        <f t="shared" si="624"/>
        <v/>
      </c>
      <c r="KF942" s="15">
        <f t="shared" si="625"/>
        <v>0</v>
      </c>
      <c r="KG942" s="15">
        <f t="shared" si="626"/>
        <v>0</v>
      </c>
      <c r="KH942" s="21" t="str">
        <f t="shared" si="627"/>
        <v/>
      </c>
      <c r="KI942" s="52" t="str">
        <f t="shared" si="628"/>
        <v/>
      </c>
      <c r="KJ942" s="15">
        <f t="shared" si="629"/>
        <v>0</v>
      </c>
      <c r="KK942" s="15">
        <f t="shared" si="630"/>
        <v>0</v>
      </c>
      <c r="KL942" s="19" t="str">
        <f t="shared" si="631"/>
        <v/>
      </c>
      <c r="KM942" s="52" t="str">
        <f t="shared" si="632"/>
        <v/>
      </c>
      <c r="KN942" s="22">
        <f t="shared" si="633"/>
        <v>0</v>
      </c>
      <c r="KO942" s="22">
        <f t="shared" si="634"/>
        <v>0</v>
      </c>
      <c r="KP942" s="19" t="str">
        <f t="shared" si="635"/>
        <v/>
      </c>
      <c r="KQ942" s="11" t="str">
        <f t="shared" si="636"/>
        <v>1. Neutral</v>
      </c>
      <c r="KR942" s="11" t="str">
        <f t="shared" si="637"/>
        <v>4. Transformational</v>
      </c>
      <c r="KS942" s="11" t="str">
        <f t="shared" si="638"/>
        <v>2. Sensitive</v>
      </c>
      <c r="KT942" s="11" t="str">
        <f t="shared" si="639"/>
        <v>It tested new ways for fighting poverty, but did not measure results of innovation</v>
      </c>
      <c r="KU942" s="11" t="str">
        <f t="shared" si="640"/>
        <v>Moderate advocacy</v>
      </c>
      <c r="KV942" s="11" t="str">
        <f t="shared" si="641"/>
        <v>It linked and worked with strategic alliances and partners to take tested and effective solutions to scale</v>
      </c>
      <c r="KW942" s="11" t="str">
        <f t="shared" si="642"/>
        <v>Zimbabwe - Integrated Soil-Water Conservation and Livestock Management in the Runde River Catchment Area</v>
      </c>
      <c r="KX942" s="11" t="str">
        <f t="shared" si="643"/>
        <v>Integrated Soil-Water Conservation and Livestock Management in the Runde River Catchment Area</v>
      </c>
      <c r="KY942" s="11" t="str">
        <f t="shared" si="644"/>
        <v>Zimbabwe</v>
      </c>
      <c r="KZ942" s="12">
        <v>943</v>
      </c>
    </row>
    <row r="943" spans="1:312" x14ac:dyDescent="0.3">
      <c r="A943" s="12" t="s">
        <v>14016</v>
      </c>
      <c r="B943" s="12" t="s">
        <v>7217</v>
      </c>
      <c r="C943" s="12"/>
      <c r="D943" s="315" t="s">
        <v>2276</v>
      </c>
      <c r="E943" s="277" t="str">
        <f t="shared" si="603"/>
        <v>Zimbabwe</v>
      </c>
      <c r="F943" s="12" t="s">
        <v>3436</v>
      </c>
      <c r="G943" s="12" t="s">
        <v>488</v>
      </c>
      <c r="H943" s="12" t="s">
        <v>554</v>
      </c>
      <c r="I943" s="12" t="s">
        <v>384</v>
      </c>
      <c r="J943" s="281"/>
      <c r="K943" s="12" t="s">
        <v>3436</v>
      </c>
      <c r="L943" s="12" t="s">
        <v>488</v>
      </c>
      <c r="M943" s="12" t="s">
        <v>383</v>
      </c>
      <c r="N943" s="12" t="s">
        <v>384</v>
      </c>
      <c r="O943" s="12" t="s">
        <v>2277</v>
      </c>
      <c r="P943" s="12"/>
      <c r="Q943" s="12"/>
      <c r="R943" s="12"/>
      <c r="S943" s="12"/>
      <c r="T943" s="12"/>
      <c r="U943" s="12"/>
      <c r="V943" s="12"/>
      <c r="W943" s="12"/>
      <c r="X943" s="12"/>
      <c r="Y943" s="12"/>
      <c r="Z943" s="12"/>
      <c r="AA943" s="12"/>
      <c r="AB943" s="12"/>
      <c r="AC943" s="12"/>
      <c r="AD943" s="12"/>
      <c r="BD943" s="13">
        <v>42552</v>
      </c>
      <c r="BE943" s="13">
        <v>42916</v>
      </c>
      <c r="BF943" s="12"/>
      <c r="BG943" s="12" t="s">
        <v>350</v>
      </c>
      <c r="BH943" s="14">
        <v>385570</v>
      </c>
      <c r="BI943" s="12" t="s">
        <v>2278</v>
      </c>
      <c r="BJ943" s="12" t="s">
        <v>2279</v>
      </c>
      <c r="BK943" s="12" t="s">
        <v>2280</v>
      </c>
      <c r="BL943" s="12"/>
      <c r="BM943" s="12"/>
      <c r="BN943" s="12"/>
      <c r="BO943" s="12" t="s">
        <v>319</v>
      </c>
      <c r="BP943" s="12" t="s">
        <v>320</v>
      </c>
      <c r="BQ943" s="12" t="s">
        <v>319</v>
      </c>
      <c r="BR943" s="12" t="s">
        <v>13972</v>
      </c>
      <c r="BS943" s="12" t="s">
        <v>357</v>
      </c>
      <c r="BT943" s="12" t="s">
        <v>14206</v>
      </c>
      <c r="BU943" s="12" t="s">
        <v>14207</v>
      </c>
      <c r="BV943" s="14">
        <v>725</v>
      </c>
      <c r="BW943" s="14">
        <v>0</v>
      </c>
      <c r="BX943" s="14">
        <v>725</v>
      </c>
      <c r="BY943" s="14">
        <v>939</v>
      </c>
      <c r="BZ943" s="14">
        <v>902</v>
      </c>
      <c r="CA943" s="14">
        <v>1841</v>
      </c>
      <c r="CB943" s="12" t="s">
        <v>14208</v>
      </c>
      <c r="CD943" s="14"/>
      <c r="CE943" s="14"/>
      <c r="CF943" s="14"/>
      <c r="CG943" s="14"/>
      <c r="CH943" s="14"/>
      <c r="CI943" s="14"/>
      <c r="CJ943" s="12"/>
      <c r="CK943" s="14"/>
      <c r="CL943" s="16"/>
      <c r="CM943" s="14"/>
      <c r="CN943" s="12"/>
      <c r="CO943" s="14"/>
      <c r="CP943" s="16"/>
      <c r="CQ943" s="14"/>
      <c r="CR943" s="12"/>
      <c r="CS943" s="14"/>
      <c r="CT943" s="16"/>
      <c r="CU943" s="14"/>
      <c r="CV943" s="12"/>
      <c r="CW943" s="14"/>
      <c r="CX943" s="16"/>
      <c r="CY943" s="14"/>
      <c r="CZ943" s="12"/>
      <c r="DA943" s="14"/>
      <c r="DB943" s="16"/>
      <c r="DC943" s="14"/>
      <c r="DD943" s="12"/>
      <c r="DE943" s="14"/>
      <c r="DF943" s="16"/>
      <c r="DG943" s="14"/>
      <c r="DH943" s="12"/>
      <c r="DI943" s="14"/>
      <c r="DJ943" s="16"/>
      <c r="DK943" s="14"/>
      <c r="DL943" s="12"/>
      <c r="DM943" s="14"/>
      <c r="DN943" s="16"/>
      <c r="DO943" s="14"/>
      <c r="DP943" s="12"/>
      <c r="DQ943" s="14"/>
      <c r="DR943" s="16"/>
      <c r="DS943" s="14"/>
      <c r="DT943" s="12"/>
      <c r="DU943" s="14"/>
      <c r="DV943" s="16"/>
      <c r="DW943" s="14"/>
      <c r="DX943" s="12"/>
      <c r="DY943" s="14"/>
      <c r="DZ943" s="16"/>
      <c r="EA943" s="14"/>
      <c r="EB943" s="12"/>
      <c r="EC943" s="14"/>
      <c r="ED943" s="16"/>
      <c r="EE943" s="14"/>
      <c r="EF943" s="12"/>
      <c r="EG943" s="12"/>
      <c r="EH943" s="14"/>
      <c r="EI943" s="16"/>
      <c r="EJ943" s="14"/>
      <c r="EK943" s="14">
        <v>725</v>
      </c>
      <c r="EL943" s="14">
        <v>0</v>
      </c>
      <c r="EM943" s="14">
        <v>725</v>
      </c>
      <c r="EN943" s="14">
        <v>939</v>
      </c>
      <c r="EO943" s="14">
        <v>902</v>
      </c>
      <c r="EP943" s="14">
        <v>1841</v>
      </c>
      <c r="EQ943" s="12"/>
      <c r="ER943" s="14"/>
      <c r="ES943" s="16"/>
      <c r="ET943" s="14"/>
      <c r="EU943" s="12"/>
      <c r="EV943" s="14"/>
      <c r="EW943" s="16"/>
      <c r="EX943" s="14"/>
      <c r="EY943" s="12"/>
      <c r="EZ943" s="14"/>
      <c r="FA943" s="16"/>
      <c r="FB943" s="14"/>
      <c r="FC943" s="12"/>
      <c r="FD943" s="14"/>
      <c r="FE943" s="16"/>
      <c r="FF943" s="14"/>
      <c r="FG943" s="12"/>
      <c r="FH943" s="14"/>
      <c r="FI943" s="16"/>
      <c r="FJ943" s="14"/>
      <c r="FK943" s="12"/>
      <c r="FL943" s="14"/>
      <c r="FM943" s="16"/>
      <c r="FN943" s="14"/>
      <c r="FO943" s="12"/>
      <c r="FP943" s="14"/>
      <c r="FQ943" s="16"/>
      <c r="FR943" s="14"/>
      <c r="FS943" s="12"/>
      <c r="FT943" s="14"/>
      <c r="FU943" s="16"/>
      <c r="FV943" s="14"/>
      <c r="FW943" s="12"/>
      <c r="FX943" s="14"/>
      <c r="FY943" s="16"/>
      <c r="FZ943" s="14"/>
      <c r="GA943" s="12"/>
      <c r="GB943" s="14"/>
      <c r="GC943" s="16"/>
      <c r="GD943" s="14"/>
      <c r="GE943" s="12"/>
      <c r="GF943" s="14"/>
      <c r="GG943" s="16"/>
      <c r="GH943" s="14"/>
      <c r="GI943" s="12"/>
      <c r="GJ943" s="14"/>
      <c r="GK943" s="16"/>
      <c r="GL943" s="14"/>
      <c r="GM943" s="12"/>
      <c r="GN943" s="14"/>
      <c r="GO943" s="16"/>
      <c r="GP943" s="14"/>
      <c r="GQ943" s="12"/>
      <c r="GR943" s="14"/>
      <c r="GS943" s="16"/>
      <c r="GT943" s="14"/>
      <c r="GU943" s="12"/>
      <c r="GV943" s="14"/>
      <c r="GW943" s="16"/>
      <c r="GX943" s="14"/>
      <c r="GY943" s="11" t="s">
        <v>320</v>
      </c>
      <c r="GZ943" s="14">
        <v>725</v>
      </c>
      <c r="HA943" s="16">
        <v>1</v>
      </c>
      <c r="HB943" s="14">
        <v>1841</v>
      </c>
      <c r="HC943" s="12"/>
      <c r="HD943" s="12"/>
      <c r="HE943" s="14"/>
      <c r="HF943" s="16"/>
      <c r="HG943" s="14"/>
      <c r="HH943" s="12" t="s">
        <v>320</v>
      </c>
      <c r="HI943" s="12" t="s">
        <v>451</v>
      </c>
      <c r="HJ943" s="12">
        <v>2017</v>
      </c>
      <c r="HK943" s="12"/>
      <c r="HL943" s="12" t="s">
        <v>319</v>
      </c>
      <c r="HM943" s="12"/>
      <c r="HN943" s="12"/>
      <c r="HO943" s="12"/>
      <c r="HP943" s="12" t="s">
        <v>418</v>
      </c>
      <c r="HQ943" s="12"/>
      <c r="HR943" s="12"/>
      <c r="HS943" s="12"/>
      <c r="HT943" s="12"/>
      <c r="HU943" s="12"/>
      <c r="HV943" s="12"/>
      <c r="HW943" s="12"/>
      <c r="HX943" s="12"/>
      <c r="HY943" s="12"/>
      <c r="HZ943" s="12" t="s">
        <v>363</v>
      </c>
      <c r="IA943" s="12"/>
      <c r="IB943" s="12" t="s">
        <v>333</v>
      </c>
      <c r="IC943" s="12"/>
      <c r="ID943" s="12" t="s">
        <v>364</v>
      </c>
      <c r="IE943" s="12" t="s">
        <v>1909</v>
      </c>
      <c r="IF943" s="12"/>
      <c r="IG943" s="12"/>
      <c r="IH943" s="12"/>
      <c r="II943" s="12"/>
      <c r="IJ943" s="12" t="str">
        <f t="shared" si="645"/>
        <v>0. Harmful</v>
      </c>
      <c r="IK943" s="12">
        <f t="shared" si="604"/>
        <v>0</v>
      </c>
      <c r="IL943" s="12" t="s">
        <v>723</v>
      </c>
      <c r="IM943" s="12"/>
      <c r="IN943" s="12"/>
      <c r="IO943" s="12"/>
      <c r="IP943" s="12"/>
      <c r="IQ943" s="12" t="str">
        <f t="shared" si="605"/>
        <v>0. Unaware</v>
      </c>
      <c r="IR943" s="12">
        <f t="shared" si="606"/>
        <v>0</v>
      </c>
      <c r="IS943" s="12" t="s">
        <v>456</v>
      </c>
      <c r="IT943" s="12"/>
      <c r="IU943" s="12"/>
      <c r="IV943" s="12"/>
      <c r="IW943" s="11" t="str">
        <f t="shared" si="607"/>
        <v>0. Harmful</v>
      </c>
      <c r="IX943" s="12">
        <f t="shared" si="608"/>
        <v>0</v>
      </c>
      <c r="IY943" s="12" t="s">
        <v>338</v>
      </c>
      <c r="IZ943" s="12" t="s">
        <v>457</v>
      </c>
      <c r="JA943" s="12">
        <v>1</v>
      </c>
      <c r="JB943" s="12" t="s">
        <v>724</v>
      </c>
      <c r="JC943" s="12"/>
      <c r="JD943" s="12"/>
      <c r="JE943" s="12" t="s">
        <v>420</v>
      </c>
      <c r="JF943" s="12"/>
      <c r="JG943" s="12" t="s">
        <v>2285</v>
      </c>
      <c r="JH943" s="12" t="s">
        <v>3440</v>
      </c>
      <c r="JI943" s="12" t="s">
        <v>3441</v>
      </c>
      <c r="JJ943" s="12" t="s">
        <v>14209</v>
      </c>
      <c r="JK943" s="12" t="s">
        <v>14210</v>
      </c>
      <c r="JL943" s="12" t="s">
        <v>14211</v>
      </c>
      <c r="JM943" s="12"/>
      <c r="JN943" s="12" t="s">
        <v>14212</v>
      </c>
      <c r="JO943" s="12"/>
      <c r="JP943" s="15">
        <f t="shared" si="609"/>
        <v>725</v>
      </c>
      <c r="JQ943" s="15">
        <f t="shared" si="610"/>
        <v>1841</v>
      </c>
      <c r="JR943" s="279">
        <f t="shared" si="611"/>
        <v>2.539310344827586</v>
      </c>
      <c r="JS943" s="17">
        <f t="shared" si="612"/>
        <v>1</v>
      </c>
      <c r="JT943" s="18">
        <f t="shared" si="613"/>
        <v>0.510048886474742</v>
      </c>
      <c r="JU943" s="280">
        <f t="shared" si="614"/>
        <v>725</v>
      </c>
      <c r="JV943" s="280">
        <f t="shared" si="615"/>
        <v>939</v>
      </c>
      <c r="JW943" s="319" t="str">
        <f t="shared" si="616"/>
        <v/>
      </c>
      <c r="JX943" s="15">
        <f t="shared" si="617"/>
        <v>0</v>
      </c>
      <c r="JY943" s="15">
        <f t="shared" si="618"/>
        <v>0</v>
      </c>
      <c r="JZ943" s="19" t="str">
        <f t="shared" si="619"/>
        <v/>
      </c>
      <c r="KA943" s="52" t="str">
        <f t="shared" si="620"/>
        <v/>
      </c>
      <c r="KB943" s="15">
        <f t="shared" si="621"/>
        <v>0</v>
      </c>
      <c r="KC943" s="15">
        <f t="shared" si="622"/>
        <v>0</v>
      </c>
      <c r="KD943" s="20" t="str">
        <f t="shared" si="623"/>
        <v/>
      </c>
      <c r="KE943" s="52" t="str">
        <f t="shared" si="624"/>
        <v/>
      </c>
      <c r="KF943" s="15">
        <f t="shared" si="625"/>
        <v>0</v>
      </c>
      <c r="KG943" s="15">
        <f t="shared" si="626"/>
        <v>0</v>
      </c>
      <c r="KH943" s="21" t="str">
        <f t="shared" si="627"/>
        <v/>
      </c>
      <c r="KI943" s="52" t="str">
        <f t="shared" si="628"/>
        <v/>
      </c>
      <c r="KJ943" s="15">
        <f t="shared" si="629"/>
        <v>0</v>
      </c>
      <c r="KK943" s="15">
        <f t="shared" si="630"/>
        <v>0</v>
      </c>
      <c r="KL943" s="19" t="str">
        <f t="shared" si="631"/>
        <v/>
      </c>
      <c r="KM943" s="52">
        <f t="shared" si="632"/>
        <v>1</v>
      </c>
      <c r="KN943" s="22">
        <f t="shared" si="633"/>
        <v>725</v>
      </c>
      <c r="KO943" s="22">
        <f t="shared" si="634"/>
        <v>1841</v>
      </c>
      <c r="KP943" s="19">
        <f t="shared" si="635"/>
        <v>2.539310344827586</v>
      </c>
      <c r="KQ943" s="11" t="str">
        <f t="shared" si="636"/>
        <v>0. Harmful</v>
      </c>
      <c r="KR943" s="11" t="str">
        <f t="shared" si="637"/>
        <v>0. Unaware</v>
      </c>
      <c r="KS943" s="11" t="str">
        <f t="shared" si="638"/>
        <v>0. Harmful</v>
      </c>
      <c r="KT943" s="11" t="str">
        <f t="shared" si="639"/>
        <v>It did not develop any specific innovation</v>
      </c>
      <c r="KU943" s="11" t="str">
        <f t="shared" si="640"/>
        <v>Little or no advocacy</v>
      </c>
      <c r="KV943" s="11" t="str">
        <f t="shared" si="641"/>
        <v>It did not take tested solutions to scale</v>
      </c>
      <c r="KW943" s="11" t="str">
        <f t="shared" si="642"/>
        <v>Zimbabwe - Lendwithcare</v>
      </c>
      <c r="KX943" s="11" t="str">
        <f t="shared" si="643"/>
        <v>Lendwithcare</v>
      </c>
      <c r="KY943" s="11" t="str">
        <f t="shared" si="644"/>
        <v>Zimbabwe</v>
      </c>
      <c r="KZ943" s="12">
        <v>944</v>
      </c>
    </row>
    <row r="944" spans="1:312" x14ac:dyDescent="0.3">
      <c r="A944" s="12" t="s">
        <v>14016</v>
      </c>
      <c r="B944" s="12" t="s">
        <v>7217</v>
      </c>
      <c r="C944" s="12">
        <v>3509</v>
      </c>
      <c r="D944" s="315" t="s">
        <v>14072</v>
      </c>
      <c r="E944" s="277" t="str">
        <f t="shared" si="603"/>
        <v>Zimbabwe</v>
      </c>
      <c r="F944" s="12" t="s">
        <v>14073</v>
      </c>
      <c r="G944" s="12" t="s">
        <v>376</v>
      </c>
      <c r="H944" s="12" t="s">
        <v>380</v>
      </c>
      <c r="I944" s="12" t="s">
        <v>381</v>
      </c>
      <c r="J944" s="281" t="s">
        <v>14583</v>
      </c>
      <c r="K944" s="12"/>
      <c r="L944" s="12"/>
      <c r="M944" s="12"/>
      <c r="N944" s="12"/>
      <c r="O944" s="12"/>
      <c r="P944" s="12"/>
      <c r="Q944" s="12"/>
      <c r="R944" s="12"/>
      <c r="S944" s="12"/>
      <c r="T944" s="12"/>
      <c r="U944" s="12"/>
      <c r="V944" s="12"/>
      <c r="W944" s="12"/>
      <c r="X944" s="12"/>
      <c r="Y944" s="12"/>
      <c r="Z944" s="12"/>
      <c r="AA944" s="12"/>
      <c r="AB944" s="12"/>
      <c r="AC944" s="12"/>
      <c r="AD944" s="12"/>
      <c r="BD944" s="13">
        <v>42277</v>
      </c>
      <c r="BE944" s="13">
        <v>43008</v>
      </c>
      <c r="BF944" s="12"/>
      <c r="BG944" s="12" t="s">
        <v>350</v>
      </c>
      <c r="BH944" s="14">
        <v>285796.26</v>
      </c>
      <c r="BI944" s="12" t="s">
        <v>14074</v>
      </c>
      <c r="BJ944" s="12" t="s">
        <v>354</v>
      </c>
      <c r="BK944" s="12" t="s">
        <v>14075</v>
      </c>
      <c r="BL944" s="12" t="s">
        <v>14021</v>
      </c>
      <c r="BM944" s="12" t="s">
        <v>980</v>
      </c>
      <c r="BN944" s="12" t="s">
        <v>14038</v>
      </c>
      <c r="BO944" s="12" t="s">
        <v>319</v>
      </c>
      <c r="BP944" s="12" t="s">
        <v>320</v>
      </c>
      <c r="BQ944" s="12" t="s">
        <v>319</v>
      </c>
      <c r="BR944" s="12" t="s">
        <v>14076</v>
      </c>
      <c r="BS944" s="12" t="s">
        <v>357</v>
      </c>
      <c r="BT944" s="12" t="s">
        <v>14077</v>
      </c>
      <c r="BU944" s="12" t="s">
        <v>14025</v>
      </c>
      <c r="BV944" s="14">
        <v>27563</v>
      </c>
      <c r="BW944" s="14">
        <v>11813</v>
      </c>
      <c r="BX944" s="14">
        <v>39376</v>
      </c>
      <c r="BY944" s="14">
        <v>110252</v>
      </c>
      <c r="BZ944" s="14">
        <v>47252</v>
      </c>
      <c r="CA944" s="14">
        <v>157504</v>
      </c>
      <c r="CB944" s="12" t="s">
        <v>14078</v>
      </c>
      <c r="CD944" s="14"/>
      <c r="CE944" s="14"/>
      <c r="CF944" s="14"/>
      <c r="CG944" s="14"/>
      <c r="CH944" s="14"/>
      <c r="CI944" s="14"/>
      <c r="CJ944" s="12"/>
      <c r="CK944" s="14"/>
      <c r="CL944" s="16"/>
      <c r="CM944" s="14"/>
      <c r="CN944" s="12"/>
      <c r="CO944" s="14"/>
      <c r="CP944" s="16"/>
      <c r="CQ944" s="14"/>
      <c r="CR944" s="12"/>
      <c r="CS944" s="14"/>
      <c r="CT944" s="16"/>
      <c r="CU944" s="14"/>
      <c r="CV944" s="12"/>
      <c r="CW944" s="14"/>
      <c r="CX944" s="16"/>
      <c r="CY944" s="14"/>
      <c r="CZ944" s="12"/>
      <c r="DA944" s="14"/>
      <c r="DB944" s="16"/>
      <c r="DC944" s="14"/>
      <c r="DD944" s="12"/>
      <c r="DE944" s="14"/>
      <c r="DF944" s="16"/>
      <c r="DG944" s="14"/>
      <c r="DH944" s="12"/>
      <c r="DI944" s="14"/>
      <c r="DJ944" s="16"/>
      <c r="DK944" s="14"/>
      <c r="DL944" s="12"/>
      <c r="DM944" s="14"/>
      <c r="DN944" s="16"/>
      <c r="DO944" s="14"/>
      <c r="DP944" s="12"/>
      <c r="DQ944" s="14"/>
      <c r="DR944" s="16"/>
      <c r="DS944" s="14"/>
      <c r="DT944" s="12"/>
      <c r="DU944" s="14"/>
      <c r="DV944" s="16"/>
      <c r="DW944" s="14"/>
      <c r="DX944" s="12"/>
      <c r="DY944" s="14"/>
      <c r="DZ944" s="16"/>
      <c r="EA944" s="14"/>
      <c r="EB944" s="12"/>
      <c r="EC944" s="14"/>
      <c r="ED944" s="16"/>
      <c r="EE944" s="14"/>
      <c r="EF944" s="12"/>
      <c r="EG944" s="12"/>
      <c r="EH944" s="14"/>
      <c r="EI944" s="16"/>
      <c r="EJ944" s="14"/>
      <c r="EK944" s="14">
        <v>11143</v>
      </c>
      <c r="EL944" s="14">
        <v>7429</v>
      </c>
      <c r="EM944" s="14">
        <v>18572</v>
      </c>
      <c r="EN944" s="14">
        <v>44573</v>
      </c>
      <c r="EO944" s="14">
        <v>29715</v>
      </c>
      <c r="EP944" s="14">
        <v>74288</v>
      </c>
      <c r="EQ944" s="12" t="s">
        <v>319</v>
      </c>
      <c r="ER944" s="14"/>
      <c r="ES944" s="16"/>
      <c r="ET944" s="14"/>
      <c r="EU944" s="11" t="s">
        <v>319</v>
      </c>
      <c r="EV944" s="14"/>
      <c r="EW944" s="16"/>
      <c r="EX944" s="14"/>
      <c r="EY944" s="12" t="s">
        <v>319</v>
      </c>
      <c r="EZ944" s="14"/>
      <c r="FA944" s="16"/>
      <c r="FB944" s="14"/>
      <c r="FC944" s="12" t="s">
        <v>319</v>
      </c>
      <c r="FD944" s="14"/>
      <c r="FE944" s="16"/>
      <c r="FF944" s="14"/>
      <c r="FG944" s="12" t="s">
        <v>320</v>
      </c>
      <c r="FH944" s="14">
        <v>18572</v>
      </c>
      <c r="FI944" s="16">
        <v>0.6</v>
      </c>
      <c r="FJ944" s="14">
        <v>74288</v>
      </c>
      <c r="FK944" s="12" t="s">
        <v>319</v>
      </c>
      <c r="FL944" s="14"/>
      <c r="FM944" s="16"/>
      <c r="FN944" s="14"/>
      <c r="FO944" s="12" t="s">
        <v>319</v>
      </c>
      <c r="FP944" s="14"/>
      <c r="FQ944" s="16"/>
      <c r="FR944" s="14"/>
      <c r="FS944" s="12" t="s">
        <v>319</v>
      </c>
      <c r="FT944" s="14"/>
      <c r="FU944" s="16"/>
      <c r="FV944" s="14"/>
      <c r="FW944" s="12" t="s">
        <v>319</v>
      </c>
      <c r="FX944" s="14"/>
      <c r="FY944" s="16"/>
      <c r="FZ944" s="14"/>
      <c r="GA944" s="12" t="s">
        <v>319</v>
      </c>
      <c r="GB944" s="14"/>
      <c r="GC944" s="16"/>
      <c r="GD944" s="14"/>
      <c r="GE944" s="12" t="s">
        <v>319</v>
      </c>
      <c r="GF944" s="14"/>
      <c r="GG944" s="16"/>
      <c r="GH944" s="14"/>
      <c r="GI944" s="12" t="s">
        <v>319</v>
      </c>
      <c r="GJ944" s="14"/>
      <c r="GK944" s="16"/>
      <c r="GL944" s="14"/>
      <c r="GM944" s="12" t="s">
        <v>319</v>
      </c>
      <c r="GN944" s="14"/>
      <c r="GO944" s="16"/>
      <c r="GP944" s="14"/>
      <c r="GQ944" s="12" t="s">
        <v>319</v>
      </c>
      <c r="GR944" s="14"/>
      <c r="GS944" s="16"/>
      <c r="GT944" s="14"/>
      <c r="GU944" s="12" t="s">
        <v>319</v>
      </c>
      <c r="GV944" s="14"/>
      <c r="GW944" s="16"/>
      <c r="GX944" s="14"/>
      <c r="GY944" s="12" t="s">
        <v>319</v>
      </c>
      <c r="GZ944" s="14"/>
      <c r="HA944" s="16"/>
      <c r="HB944" s="14"/>
      <c r="HC944" s="12"/>
      <c r="HD944" s="12" t="s">
        <v>319</v>
      </c>
      <c r="HE944" s="14"/>
      <c r="HF944" s="16"/>
      <c r="HG944" s="14"/>
      <c r="HH944" s="12" t="s">
        <v>319</v>
      </c>
      <c r="HI944" s="12"/>
      <c r="HJ944" s="12"/>
      <c r="HK944" s="12"/>
      <c r="HL944" s="12" t="s">
        <v>319</v>
      </c>
      <c r="HM944" s="12"/>
      <c r="HN944" s="12"/>
      <c r="HO944" s="12" t="s">
        <v>14079</v>
      </c>
      <c r="HP944" s="12" t="s">
        <v>330</v>
      </c>
      <c r="HQ944" s="12" t="s">
        <v>320</v>
      </c>
      <c r="HR944" s="12" t="s">
        <v>320</v>
      </c>
      <c r="HS944" s="12" t="s">
        <v>320</v>
      </c>
      <c r="HT944" s="12" t="s">
        <v>319</v>
      </c>
      <c r="HU944" s="12" t="s">
        <v>319</v>
      </c>
      <c r="HV944" s="12" t="s">
        <v>319</v>
      </c>
      <c r="HW944" s="12" t="s">
        <v>319</v>
      </c>
      <c r="HX944" s="12"/>
      <c r="HY944" s="12"/>
      <c r="HZ944" s="12" t="s">
        <v>363</v>
      </c>
      <c r="IA944" s="12"/>
      <c r="IB944" s="12" t="s">
        <v>333</v>
      </c>
      <c r="IC944" s="12"/>
      <c r="ID944" s="12" t="s">
        <v>364</v>
      </c>
      <c r="IE944" s="12" t="s">
        <v>335</v>
      </c>
      <c r="IF944" s="12" t="s">
        <v>320</v>
      </c>
      <c r="IG944" s="12" t="s">
        <v>320</v>
      </c>
      <c r="IH944" s="12" t="s">
        <v>320</v>
      </c>
      <c r="II944" s="12" t="s">
        <v>320</v>
      </c>
      <c r="IJ944" s="12" t="str">
        <f t="shared" si="645"/>
        <v>2. Sensitive</v>
      </c>
      <c r="IK944" s="12">
        <f t="shared" si="604"/>
        <v>4</v>
      </c>
      <c r="IL944" s="12" t="s">
        <v>336</v>
      </c>
      <c r="IM944" s="12" t="s">
        <v>320</v>
      </c>
      <c r="IN944" s="12" t="s">
        <v>320</v>
      </c>
      <c r="IO944" s="12" t="s">
        <v>320</v>
      </c>
      <c r="IP944" s="12" t="s">
        <v>320</v>
      </c>
      <c r="IQ944" s="12" t="str">
        <f t="shared" si="605"/>
        <v>2. Accommodating</v>
      </c>
      <c r="IR944" s="12">
        <f t="shared" si="606"/>
        <v>4</v>
      </c>
      <c r="IS944" s="12" t="s">
        <v>337</v>
      </c>
      <c r="IT944" s="12" t="s">
        <v>320</v>
      </c>
      <c r="IU944" s="12" t="s">
        <v>319</v>
      </c>
      <c r="IV944" s="12" t="s">
        <v>320</v>
      </c>
      <c r="IW944" s="11" t="str">
        <f t="shared" si="607"/>
        <v>1. Neutral</v>
      </c>
      <c r="IX944" s="12">
        <f t="shared" si="608"/>
        <v>2</v>
      </c>
      <c r="IY944" s="12" t="s">
        <v>419</v>
      </c>
      <c r="IZ944" s="12" t="s">
        <v>457</v>
      </c>
      <c r="JA944" s="12">
        <v>1</v>
      </c>
      <c r="JB944" s="12" t="s">
        <v>724</v>
      </c>
      <c r="JC944" s="12"/>
      <c r="JD944" s="12"/>
      <c r="JE944" s="12" t="s">
        <v>420</v>
      </c>
      <c r="JF944" s="12"/>
      <c r="JG944" s="12"/>
      <c r="JH944" s="12" t="s">
        <v>14080</v>
      </c>
      <c r="JI944" s="12" t="s">
        <v>14081</v>
      </c>
      <c r="JJ944" s="12" t="s">
        <v>14082</v>
      </c>
      <c r="JK944" s="12" t="s">
        <v>14083</v>
      </c>
      <c r="JL944" s="12" t="s">
        <v>14084</v>
      </c>
      <c r="JM944" s="12" t="s">
        <v>14085</v>
      </c>
      <c r="JN944" s="12" t="s">
        <v>14086</v>
      </c>
      <c r="JO944" s="12"/>
      <c r="JP944" s="15">
        <f t="shared" si="609"/>
        <v>18572</v>
      </c>
      <c r="JQ944" s="15">
        <f t="shared" si="610"/>
        <v>74288</v>
      </c>
      <c r="JR944" s="279">
        <f t="shared" si="611"/>
        <v>4</v>
      </c>
      <c r="JS944" s="17">
        <f t="shared" si="612"/>
        <v>0.59998923110058155</v>
      </c>
      <c r="JT944" s="18">
        <f t="shared" si="613"/>
        <v>0.60000269222485458</v>
      </c>
      <c r="JU944" s="280">
        <f t="shared" si="614"/>
        <v>11143</v>
      </c>
      <c r="JV944" s="280">
        <f t="shared" si="615"/>
        <v>44573</v>
      </c>
      <c r="JW944" s="319" t="str">
        <f t="shared" si="616"/>
        <v/>
      </c>
      <c r="JX944" s="15">
        <f t="shared" si="617"/>
        <v>0</v>
      </c>
      <c r="JY944" s="15">
        <f t="shared" si="618"/>
        <v>0</v>
      </c>
      <c r="JZ944" s="19" t="str">
        <f t="shared" si="619"/>
        <v/>
      </c>
      <c r="KA944" s="52">
        <f t="shared" si="620"/>
        <v>1</v>
      </c>
      <c r="KB944" s="15">
        <f t="shared" si="621"/>
        <v>18572</v>
      </c>
      <c r="KC944" s="15">
        <f t="shared" si="622"/>
        <v>74288</v>
      </c>
      <c r="KD944" s="20">
        <f t="shared" si="623"/>
        <v>4</v>
      </c>
      <c r="KE944" s="52" t="str">
        <f t="shared" si="624"/>
        <v/>
      </c>
      <c r="KF944" s="15">
        <f t="shared" si="625"/>
        <v>0</v>
      </c>
      <c r="KG944" s="15">
        <f t="shared" si="626"/>
        <v>0</v>
      </c>
      <c r="KH944" s="21" t="str">
        <f t="shared" si="627"/>
        <v/>
      </c>
      <c r="KI944" s="52" t="str">
        <f t="shared" si="628"/>
        <v/>
      </c>
      <c r="KJ944" s="15">
        <f t="shared" si="629"/>
        <v>0</v>
      </c>
      <c r="KK944" s="15">
        <f t="shared" si="630"/>
        <v>0</v>
      </c>
      <c r="KL944" s="19" t="str">
        <f t="shared" si="631"/>
        <v/>
      </c>
      <c r="KM944" s="52">
        <f t="shared" si="632"/>
        <v>1</v>
      </c>
      <c r="KN944" s="22">
        <f t="shared" si="633"/>
        <v>11143.199999999999</v>
      </c>
      <c r="KO944" s="22">
        <f t="shared" si="634"/>
        <v>44572.799999999996</v>
      </c>
      <c r="KP944" s="19">
        <f t="shared" si="635"/>
        <v>4</v>
      </c>
      <c r="KQ944" s="11" t="str">
        <f t="shared" si="636"/>
        <v>2. Sensitive</v>
      </c>
      <c r="KR944" s="11" t="str">
        <f t="shared" si="637"/>
        <v>2. Accommodating</v>
      </c>
      <c r="KS944" s="11" t="str">
        <f t="shared" si="638"/>
        <v>1. Neutral</v>
      </c>
      <c r="KT944" s="11" t="str">
        <f t="shared" si="639"/>
        <v>It did not develop any specific innovation</v>
      </c>
      <c r="KU944" s="11" t="str">
        <f t="shared" si="640"/>
        <v>Moderate advocacy</v>
      </c>
      <c r="KV944" s="11" t="str">
        <f t="shared" si="641"/>
        <v>It did not take tested solutions to scale</v>
      </c>
      <c r="KW944" s="11" t="str">
        <f t="shared" si="642"/>
        <v>Zimbabwe - Provision of technical assistance to CBZ during implementation of rural finance outreach strategy in selected country districts under the Zimbabwe Livelihoods and Food Security Program</v>
      </c>
      <c r="KX944" s="11" t="str">
        <f t="shared" si="643"/>
        <v>Provision of technical assistance to CBZ during implementation of rural finance outreach strategy in selected country districts under the Zimbabwe Livelihoods and Food Security Program</v>
      </c>
      <c r="KY944" s="11" t="str">
        <f t="shared" si="644"/>
        <v>Zimbabwe</v>
      </c>
      <c r="KZ944" s="12">
        <v>945</v>
      </c>
    </row>
    <row r="945" spans="1:312" x14ac:dyDescent="0.3">
      <c r="A945" s="12" t="s">
        <v>14016</v>
      </c>
      <c r="B945" s="12" t="s">
        <v>7217</v>
      </c>
      <c r="C945" s="12">
        <v>3508</v>
      </c>
      <c r="D945" s="315" t="s">
        <v>14087</v>
      </c>
      <c r="E945" s="277" t="str">
        <f t="shared" si="603"/>
        <v>Zimbabwe</v>
      </c>
      <c r="F945" s="12" t="s">
        <v>14088</v>
      </c>
      <c r="G945" s="12" t="s">
        <v>376</v>
      </c>
      <c r="H945" s="12" t="s">
        <v>380</v>
      </c>
      <c r="I945" s="12" t="s">
        <v>381</v>
      </c>
      <c r="J945" s="281" t="s">
        <v>14583</v>
      </c>
      <c r="K945" s="12"/>
      <c r="L945" s="12"/>
      <c r="M945" s="12"/>
      <c r="N945" s="12"/>
      <c r="O945" s="12"/>
      <c r="P945" s="12"/>
      <c r="Q945" s="12"/>
      <c r="R945" s="12"/>
      <c r="S945" s="12"/>
      <c r="T945" s="12"/>
      <c r="U945" s="12"/>
      <c r="V945" s="12"/>
      <c r="W945" s="12"/>
      <c r="X945" s="12"/>
      <c r="Y945" s="12"/>
      <c r="Z945" s="12"/>
      <c r="AA945" s="12"/>
      <c r="AB945" s="12"/>
      <c r="AC945" s="12"/>
      <c r="AD945" s="12"/>
      <c r="BD945" s="13">
        <v>42277</v>
      </c>
      <c r="BE945" s="13">
        <v>43008</v>
      </c>
      <c r="BF945" s="12"/>
      <c r="BG945" s="12" t="s">
        <v>350</v>
      </c>
      <c r="BH945" s="14">
        <v>307844.76</v>
      </c>
      <c r="BI945" s="12" t="s">
        <v>14074</v>
      </c>
      <c r="BJ945" s="12" t="s">
        <v>354</v>
      </c>
      <c r="BK945" s="12" t="s">
        <v>14075</v>
      </c>
      <c r="BL945" s="12" t="s">
        <v>14021</v>
      </c>
      <c r="BM945" s="12" t="s">
        <v>980</v>
      </c>
      <c r="BN945" s="12" t="s">
        <v>14038</v>
      </c>
      <c r="BO945" s="12" t="s">
        <v>319</v>
      </c>
      <c r="BP945" s="12" t="s">
        <v>320</v>
      </c>
      <c r="BQ945" s="12" t="s">
        <v>319</v>
      </c>
      <c r="BR945" s="12" t="s">
        <v>14076</v>
      </c>
      <c r="BS945" s="12" t="s">
        <v>357</v>
      </c>
      <c r="BT945" s="12" t="s">
        <v>14077</v>
      </c>
      <c r="BU945" s="12" t="s">
        <v>14025</v>
      </c>
      <c r="BV945" s="14">
        <v>35151</v>
      </c>
      <c r="BW945" s="14">
        <v>15065</v>
      </c>
      <c r="BX945" s="14">
        <v>50216</v>
      </c>
      <c r="BY945" s="14">
        <v>140604</v>
      </c>
      <c r="BZ945" s="14">
        <v>60260</v>
      </c>
      <c r="CA945" s="14">
        <v>200864</v>
      </c>
      <c r="CB945" s="12" t="s">
        <v>14089</v>
      </c>
      <c r="CD945" s="14"/>
      <c r="CE945" s="14"/>
      <c r="CF945" s="14"/>
      <c r="CG945" s="14"/>
      <c r="CH945" s="14"/>
      <c r="CI945" s="14"/>
      <c r="CJ945" s="12"/>
      <c r="CK945" s="14"/>
      <c r="CL945" s="16"/>
      <c r="CM945" s="14"/>
      <c r="CN945" s="12"/>
      <c r="CO945" s="14"/>
      <c r="CP945" s="16"/>
      <c r="CQ945" s="14"/>
      <c r="CR945" s="12"/>
      <c r="CS945" s="14"/>
      <c r="CT945" s="16"/>
      <c r="CU945" s="14"/>
      <c r="CV945" s="12"/>
      <c r="CW945" s="14"/>
      <c r="CX945" s="16"/>
      <c r="CY945" s="14"/>
      <c r="CZ945" s="12"/>
      <c r="DA945" s="14"/>
      <c r="DB945" s="16"/>
      <c r="DC945" s="14"/>
      <c r="DD945" s="12"/>
      <c r="DE945" s="14"/>
      <c r="DF945" s="16"/>
      <c r="DG945" s="14"/>
      <c r="DH945" s="12"/>
      <c r="DI945" s="14"/>
      <c r="DJ945" s="16"/>
      <c r="DK945" s="14"/>
      <c r="DL945" s="12"/>
      <c r="DM945" s="14"/>
      <c r="DN945" s="16"/>
      <c r="DO945" s="14"/>
      <c r="DP945" s="12"/>
      <c r="DQ945" s="14"/>
      <c r="DR945" s="16"/>
      <c r="DS945" s="14"/>
      <c r="DT945" s="12"/>
      <c r="DU945" s="14"/>
      <c r="DV945" s="16"/>
      <c r="DW945" s="14"/>
      <c r="DX945" s="12"/>
      <c r="DY945" s="14"/>
      <c r="DZ945" s="16"/>
      <c r="EA945" s="14"/>
      <c r="EB945" s="12"/>
      <c r="EC945" s="14"/>
      <c r="ED945" s="16"/>
      <c r="EE945" s="14"/>
      <c r="EF945" s="12"/>
      <c r="EG945" s="12"/>
      <c r="EH945" s="14"/>
      <c r="EI945" s="16"/>
      <c r="EJ945" s="14"/>
      <c r="EK945" s="14">
        <v>5521</v>
      </c>
      <c r="EL945" s="14">
        <v>9006</v>
      </c>
      <c r="EM945" s="14">
        <v>14527</v>
      </c>
      <c r="EN945" s="14">
        <v>22084</v>
      </c>
      <c r="EO945" s="14">
        <v>36024</v>
      </c>
      <c r="EP945" s="14">
        <v>58108</v>
      </c>
      <c r="EQ945" s="12" t="s">
        <v>319</v>
      </c>
      <c r="ER945" s="14"/>
      <c r="ES945" s="16"/>
      <c r="ET945" s="14"/>
      <c r="EU945" s="11" t="s">
        <v>319</v>
      </c>
      <c r="EV945" s="14"/>
      <c r="EW945" s="16"/>
      <c r="EX945" s="14"/>
      <c r="EY945" s="12" t="s">
        <v>319</v>
      </c>
      <c r="EZ945" s="14"/>
      <c r="FA945" s="16"/>
      <c r="FB945" s="14"/>
      <c r="FC945" s="12" t="s">
        <v>319</v>
      </c>
      <c r="FD945" s="14"/>
      <c r="FE945" s="16"/>
      <c r="FF945" s="14"/>
      <c r="FG945" s="12" t="s">
        <v>320</v>
      </c>
      <c r="FH945" s="14">
        <v>14527</v>
      </c>
      <c r="FI945" s="16">
        <v>0.38</v>
      </c>
      <c r="FJ945" s="14">
        <v>58108</v>
      </c>
      <c r="FK945" s="12" t="s">
        <v>319</v>
      </c>
      <c r="FL945" s="14"/>
      <c r="FM945" s="16"/>
      <c r="FN945" s="14"/>
      <c r="FO945" s="12" t="s">
        <v>319</v>
      </c>
      <c r="FP945" s="14"/>
      <c r="FQ945" s="16"/>
      <c r="FR945" s="14"/>
      <c r="FS945" s="12" t="s">
        <v>319</v>
      </c>
      <c r="FT945" s="14"/>
      <c r="FU945" s="16"/>
      <c r="FV945" s="14"/>
      <c r="FW945" s="12" t="s">
        <v>319</v>
      </c>
      <c r="FX945" s="14"/>
      <c r="FY945" s="16"/>
      <c r="FZ945" s="14"/>
      <c r="GA945" s="12" t="s">
        <v>319</v>
      </c>
      <c r="GB945" s="14"/>
      <c r="GC945" s="16"/>
      <c r="GD945" s="14"/>
      <c r="GE945" s="12" t="s">
        <v>319</v>
      </c>
      <c r="GF945" s="14"/>
      <c r="GG945" s="16"/>
      <c r="GH945" s="14"/>
      <c r="GI945" s="12" t="s">
        <v>319</v>
      </c>
      <c r="GJ945" s="14"/>
      <c r="GK945" s="16"/>
      <c r="GL945" s="14"/>
      <c r="GM945" s="12" t="s">
        <v>319</v>
      </c>
      <c r="GN945" s="14"/>
      <c r="GO945" s="16"/>
      <c r="GP945" s="14"/>
      <c r="GQ945" s="12" t="s">
        <v>319</v>
      </c>
      <c r="GR945" s="14"/>
      <c r="GS945" s="16"/>
      <c r="GT945" s="14"/>
      <c r="GU945" s="12" t="s">
        <v>319</v>
      </c>
      <c r="GV945" s="14"/>
      <c r="GW945" s="16"/>
      <c r="GX945" s="14"/>
      <c r="GY945" s="12" t="s">
        <v>319</v>
      </c>
      <c r="GZ945" s="14"/>
      <c r="HA945" s="16"/>
      <c r="HB945" s="14"/>
      <c r="HC945" s="12"/>
      <c r="HD945" s="12" t="s">
        <v>319</v>
      </c>
      <c r="HE945" s="14"/>
      <c r="HF945" s="16"/>
      <c r="HG945" s="14"/>
      <c r="HH945" s="12" t="s">
        <v>319</v>
      </c>
      <c r="HI945" s="12"/>
      <c r="HJ945" s="12"/>
      <c r="HK945" s="12"/>
      <c r="HL945" s="12" t="s">
        <v>319</v>
      </c>
      <c r="HM945" s="12"/>
      <c r="HN945" s="12"/>
      <c r="HO945" s="12" t="s">
        <v>14090</v>
      </c>
      <c r="HP945" s="12" t="s">
        <v>453</v>
      </c>
      <c r="HQ945" s="12" t="s">
        <v>320</v>
      </c>
      <c r="HR945" s="12" t="s">
        <v>320</v>
      </c>
      <c r="HS945" s="12" t="s">
        <v>320</v>
      </c>
      <c r="HT945" s="12" t="s">
        <v>320</v>
      </c>
      <c r="HU945" s="12" t="s">
        <v>319</v>
      </c>
      <c r="HV945" s="12" t="s">
        <v>319</v>
      </c>
      <c r="HW945" s="12" t="s">
        <v>319</v>
      </c>
      <c r="HX945" s="12"/>
      <c r="HY945" s="12"/>
      <c r="HZ945" s="12" t="s">
        <v>363</v>
      </c>
      <c r="IA945" s="12"/>
      <c r="IB945" s="12" t="s">
        <v>333</v>
      </c>
      <c r="IC945" s="12"/>
      <c r="ID945" s="12" t="s">
        <v>364</v>
      </c>
      <c r="IE945" s="12" t="s">
        <v>335</v>
      </c>
      <c r="IF945" s="12" t="s">
        <v>320</v>
      </c>
      <c r="IG945" s="12" t="s">
        <v>320</v>
      </c>
      <c r="IH945" s="12" t="s">
        <v>320</v>
      </c>
      <c r="II945" s="12" t="s">
        <v>320</v>
      </c>
      <c r="IJ945" s="12" t="str">
        <f t="shared" si="645"/>
        <v>2. Sensitive</v>
      </c>
      <c r="IK945" s="12">
        <f t="shared" si="604"/>
        <v>4</v>
      </c>
      <c r="IL945" s="12" t="s">
        <v>336</v>
      </c>
      <c r="IM945" s="12" t="s">
        <v>320</v>
      </c>
      <c r="IN945" s="12" t="s">
        <v>320</v>
      </c>
      <c r="IO945" s="12" t="s">
        <v>320</v>
      </c>
      <c r="IP945" s="12" t="s">
        <v>320</v>
      </c>
      <c r="IQ945" s="12" t="str">
        <f t="shared" si="605"/>
        <v>2. Accommodating</v>
      </c>
      <c r="IR945" s="12">
        <f t="shared" si="606"/>
        <v>4</v>
      </c>
      <c r="IS945" s="12" t="s">
        <v>337</v>
      </c>
      <c r="IT945" s="12" t="s">
        <v>320</v>
      </c>
      <c r="IU945" s="12" t="s">
        <v>319</v>
      </c>
      <c r="IV945" s="12" t="s">
        <v>320</v>
      </c>
      <c r="IW945" s="11" t="str">
        <f t="shared" si="607"/>
        <v>1. Neutral</v>
      </c>
      <c r="IX945" s="12">
        <f t="shared" si="608"/>
        <v>2</v>
      </c>
      <c r="IY945" s="12" t="s">
        <v>419</v>
      </c>
      <c r="IZ945" s="12" t="s">
        <v>457</v>
      </c>
      <c r="JA945" s="12">
        <v>1</v>
      </c>
      <c r="JB945" s="12" t="s">
        <v>724</v>
      </c>
      <c r="JC945" s="12"/>
      <c r="JD945" s="12"/>
      <c r="JE945" s="12" t="s">
        <v>420</v>
      </c>
      <c r="JF945" s="12"/>
      <c r="JG945" s="12"/>
      <c r="JH945" s="12" t="s">
        <v>14091</v>
      </c>
      <c r="JI945" s="12" t="s">
        <v>14081</v>
      </c>
      <c r="JJ945" s="12" t="s">
        <v>14092</v>
      </c>
      <c r="JK945" s="12" t="s">
        <v>14093</v>
      </c>
      <c r="JL945" s="12" t="s">
        <v>14083</v>
      </c>
      <c r="JM945" s="12" t="s">
        <v>14085</v>
      </c>
      <c r="JN945" s="12"/>
      <c r="JO945" s="12"/>
      <c r="JP945" s="15">
        <f t="shared" si="609"/>
        <v>14527</v>
      </c>
      <c r="JQ945" s="15">
        <f t="shared" si="610"/>
        <v>58108</v>
      </c>
      <c r="JR945" s="279">
        <f t="shared" si="611"/>
        <v>4</v>
      </c>
      <c r="JS945" s="17">
        <f t="shared" si="612"/>
        <v>0.38005093962965514</v>
      </c>
      <c r="JT945" s="18">
        <f t="shared" si="613"/>
        <v>0.38005093962965514</v>
      </c>
      <c r="JU945" s="280">
        <f t="shared" si="614"/>
        <v>5521</v>
      </c>
      <c r="JV945" s="280">
        <f t="shared" si="615"/>
        <v>22084</v>
      </c>
      <c r="JW945" s="319" t="str">
        <f t="shared" si="616"/>
        <v/>
      </c>
      <c r="JX945" s="15">
        <f t="shared" si="617"/>
        <v>0</v>
      </c>
      <c r="JY945" s="15">
        <f t="shared" si="618"/>
        <v>0</v>
      </c>
      <c r="JZ945" s="19" t="str">
        <f t="shared" si="619"/>
        <v/>
      </c>
      <c r="KA945" s="52">
        <f t="shared" si="620"/>
        <v>1</v>
      </c>
      <c r="KB945" s="15">
        <f t="shared" si="621"/>
        <v>14527</v>
      </c>
      <c r="KC945" s="15">
        <f t="shared" si="622"/>
        <v>58108</v>
      </c>
      <c r="KD945" s="20">
        <f t="shared" si="623"/>
        <v>4</v>
      </c>
      <c r="KE945" s="52" t="str">
        <f t="shared" si="624"/>
        <v/>
      </c>
      <c r="KF945" s="15">
        <f t="shared" si="625"/>
        <v>0</v>
      </c>
      <c r="KG945" s="15">
        <f t="shared" si="626"/>
        <v>0</v>
      </c>
      <c r="KH945" s="21" t="str">
        <f t="shared" si="627"/>
        <v/>
      </c>
      <c r="KI945" s="52" t="str">
        <f t="shared" si="628"/>
        <v/>
      </c>
      <c r="KJ945" s="15">
        <f t="shared" si="629"/>
        <v>0</v>
      </c>
      <c r="KK945" s="15">
        <f t="shared" si="630"/>
        <v>0</v>
      </c>
      <c r="KL945" s="19" t="str">
        <f t="shared" si="631"/>
        <v/>
      </c>
      <c r="KM945" s="52">
        <f t="shared" si="632"/>
        <v>1</v>
      </c>
      <c r="KN945" s="22">
        <f t="shared" si="633"/>
        <v>5520.26</v>
      </c>
      <c r="KO945" s="22">
        <f t="shared" si="634"/>
        <v>22081.040000000001</v>
      </c>
      <c r="KP945" s="19">
        <f t="shared" si="635"/>
        <v>4</v>
      </c>
      <c r="KQ945" s="11" t="str">
        <f t="shared" si="636"/>
        <v>2. Sensitive</v>
      </c>
      <c r="KR945" s="11" t="str">
        <f t="shared" si="637"/>
        <v>2. Accommodating</v>
      </c>
      <c r="KS945" s="11" t="str">
        <f t="shared" si="638"/>
        <v>1. Neutral</v>
      </c>
      <c r="KT945" s="11" t="str">
        <f t="shared" si="639"/>
        <v>It did not develop any specific innovation</v>
      </c>
      <c r="KU945" s="11" t="str">
        <f t="shared" si="640"/>
        <v>Intensive advocacy</v>
      </c>
      <c r="KV945" s="11" t="str">
        <f t="shared" si="641"/>
        <v>It did not take tested solutions to scale</v>
      </c>
      <c r="KW945" s="11" t="str">
        <f t="shared" si="642"/>
        <v>Zimbabwe - Provision of technical assistance to Microplan during implementation of rural finance outreach strategy in selected country districts under the Zimbabwe Livelihoods and Food Security Program</v>
      </c>
      <c r="KX945" s="11" t="str">
        <f t="shared" si="643"/>
        <v>Provision of technical assistance to Microplan during implementation of rural finance outreach strategy in selected country districts under the Zimbabwe Livelihoods and Food Security Program</v>
      </c>
      <c r="KY945" s="11" t="str">
        <f t="shared" si="644"/>
        <v>Zimbabwe</v>
      </c>
      <c r="KZ945" s="12">
        <v>946</v>
      </c>
    </row>
    <row r="946" spans="1:312" x14ac:dyDescent="0.3">
      <c r="A946" s="12" t="s">
        <v>14016</v>
      </c>
      <c r="B946" s="12" t="s">
        <v>7217</v>
      </c>
      <c r="C946" s="12">
        <v>3513</v>
      </c>
      <c r="D946" s="315" t="s">
        <v>14017</v>
      </c>
      <c r="E946" s="277" t="str">
        <f t="shared" si="603"/>
        <v>Zimbabwe</v>
      </c>
      <c r="F946" s="12" t="s">
        <v>14018</v>
      </c>
      <c r="G946" s="12" t="s">
        <v>309</v>
      </c>
      <c r="H946" s="12" t="s">
        <v>310</v>
      </c>
      <c r="I946" s="12" t="s">
        <v>311</v>
      </c>
      <c r="J946" s="278" t="s">
        <v>14574</v>
      </c>
      <c r="K946" s="12"/>
      <c r="L946" s="12"/>
      <c r="M946" s="12"/>
      <c r="N946" s="12"/>
      <c r="O946" s="12"/>
      <c r="P946" s="12"/>
      <c r="Q946" s="12"/>
      <c r="R946" s="12"/>
      <c r="S946" s="12"/>
      <c r="T946" s="12"/>
      <c r="U946" s="12"/>
      <c r="V946" s="12"/>
      <c r="W946" s="12"/>
      <c r="X946" s="12"/>
      <c r="Y946" s="12"/>
      <c r="Z946" s="12"/>
      <c r="AA946" s="12"/>
      <c r="AB946" s="12"/>
      <c r="AC946" s="12"/>
      <c r="AD946" s="12"/>
      <c r="BD946" s="13">
        <v>41548</v>
      </c>
      <c r="BE946" s="13">
        <v>42644</v>
      </c>
      <c r="BF946" s="13">
        <v>43281</v>
      </c>
      <c r="BG946" s="12" t="s">
        <v>312</v>
      </c>
      <c r="BH946" s="14">
        <v>1982822</v>
      </c>
      <c r="BI946" s="12" t="s">
        <v>14019</v>
      </c>
      <c r="BJ946" s="12" t="s">
        <v>354</v>
      </c>
      <c r="BK946" s="12" t="s">
        <v>14020</v>
      </c>
      <c r="BL946" s="12" t="s">
        <v>14021</v>
      </c>
      <c r="BM946" s="12" t="s">
        <v>980</v>
      </c>
      <c r="BN946" s="12" t="s">
        <v>14022</v>
      </c>
      <c r="BO946" s="12" t="s">
        <v>319</v>
      </c>
      <c r="BP946" s="12" t="s">
        <v>320</v>
      </c>
      <c r="BQ946" s="12" t="s">
        <v>319</v>
      </c>
      <c r="BR946" s="12" t="s">
        <v>14023</v>
      </c>
      <c r="BS946" s="12" t="s">
        <v>357</v>
      </c>
      <c r="BT946" s="12" t="s">
        <v>14024</v>
      </c>
      <c r="BU946" s="12" t="s">
        <v>14025</v>
      </c>
      <c r="BV946" s="14">
        <v>18346</v>
      </c>
      <c r="BW946" s="14">
        <v>16934</v>
      </c>
      <c r="BX946" s="14">
        <v>35280</v>
      </c>
      <c r="BY946" s="14">
        <v>0</v>
      </c>
      <c r="BZ946" s="14">
        <v>0</v>
      </c>
      <c r="CA946" s="14">
        <v>0</v>
      </c>
      <c r="CB946" s="12" t="s">
        <v>14026</v>
      </c>
      <c r="CD946" s="14"/>
      <c r="CE946" s="14"/>
      <c r="CF946" s="14"/>
      <c r="CG946" s="14"/>
      <c r="CH946" s="14"/>
      <c r="CI946" s="14"/>
      <c r="CJ946" s="12"/>
      <c r="CK946" s="14"/>
      <c r="CL946" s="16"/>
      <c r="CM946" s="14"/>
      <c r="CN946" s="12"/>
      <c r="CO946" s="14"/>
      <c r="CP946" s="16"/>
      <c r="CQ946" s="14"/>
      <c r="CR946" s="12"/>
      <c r="CS946" s="14"/>
      <c r="CT946" s="16"/>
      <c r="CU946" s="14"/>
      <c r="CV946" s="12"/>
      <c r="CW946" s="14"/>
      <c r="CX946" s="16"/>
      <c r="CY946" s="14"/>
      <c r="CZ946" s="12"/>
      <c r="DA946" s="14"/>
      <c r="DB946" s="16"/>
      <c r="DC946" s="14"/>
      <c r="DD946" s="12"/>
      <c r="DE946" s="14"/>
      <c r="DF946" s="16"/>
      <c r="DG946" s="14"/>
      <c r="DH946" s="12"/>
      <c r="DI946" s="14"/>
      <c r="DJ946" s="16"/>
      <c r="DK946" s="14"/>
      <c r="DL946" s="12"/>
      <c r="DM946" s="14"/>
      <c r="DN946" s="16"/>
      <c r="DO946" s="14"/>
      <c r="DP946" s="12"/>
      <c r="DQ946" s="14"/>
      <c r="DR946" s="16"/>
      <c r="DS946" s="14"/>
      <c r="DT946" s="12"/>
      <c r="DU946" s="14"/>
      <c r="DV946" s="16"/>
      <c r="DW946" s="14"/>
      <c r="DX946" s="12"/>
      <c r="DY946" s="14"/>
      <c r="DZ946" s="16"/>
      <c r="EA946" s="14"/>
      <c r="EB946" s="12"/>
      <c r="EC946" s="14"/>
      <c r="ED946" s="16"/>
      <c r="EE946" s="14"/>
      <c r="EF946" s="12"/>
      <c r="EG946" s="12"/>
      <c r="EH946" s="14"/>
      <c r="EI946" s="16"/>
      <c r="EJ946" s="14"/>
      <c r="EK946" s="38">
        <v>34117</v>
      </c>
      <c r="EL946" s="38">
        <v>11477</v>
      </c>
      <c r="EM946" s="38">
        <v>45594</v>
      </c>
      <c r="EN946" s="14">
        <v>292</v>
      </c>
      <c r="EO946" s="14">
        <v>189</v>
      </c>
      <c r="EP946" s="14">
        <v>481</v>
      </c>
      <c r="EQ946" s="12" t="s">
        <v>319</v>
      </c>
      <c r="ER946" s="14"/>
      <c r="ES946" s="16"/>
      <c r="ET946" s="14"/>
      <c r="EU946" s="11" t="s">
        <v>319</v>
      </c>
      <c r="EV946" s="14"/>
      <c r="EW946" s="16"/>
      <c r="EX946" s="14"/>
      <c r="EY946" s="12" t="s">
        <v>319</v>
      </c>
      <c r="EZ946" s="14"/>
      <c r="FA946" s="16"/>
      <c r="FB946" s="14"/>
      <c r="FC946" s="12" t="s">
        <v>319</v>
      </c>
      <c r="FD946" s="14"/>
      <c r="FE946" s="16"/>
      <c r="FF946" s="14"/>
      <c r="FG946" s="12" t="s">
        <v>319</v>
      </c>
      <c r="FH946" s="14"/>
      <c r="FI946" s="16"/>
      <c r="FJ946" s="14"/>
      <c r="FK946" s="12" t="s">
        <v>319</v>
      </c>
      <c r="FL946" s="14"/>
      <c r="FM946" s="16"/>
      <c r="FN946" s="14"/>
      <c r="FO946" s="12" t="s">
        <v>319</v>
      </c>
      <c r="FP946" s="14"/>
      <c r="FQ946" s="16"/>
      <c r="FR946" s="14"/>
      <c r="FS946" s="12" t="s">
        <v>319</v>
      </c>
      <c r="FT946" s="14"/>
      <c r="FU946" s="16"/>
      <c r="FV946" s="14"/>
      <c r="FW946" s="12" t="s">
        <v>319</v>
      </c>
      <c r="FX946" s="14"/>
      <c r="FY946" s="16"/>
      <c r="FZ946" s="14"/>
      <c r="GA946" s="12" t="s">
        <v>319</v>
      </c>
      <c r="GB946" s="14"/>
      <c r="GC946" s="16"/>
      <c r="GD946" s="14"/>
      <c r="GE946" s="12" t="s">
        <v>319</v>
      </c>
      <c r="GF946" s="14"/>
      <c r="GG946" s="16"/>
      <c r="GH946" s="14"/>
      <c r="GI946" s="12" t="s">
        <v>319</v>
      </c>
      <c r="GJ946" s="14"/>
      <c r="GK946" s="16"/>
      <c r="GL946" s="14"/>
      <c r="GM946" s="12" t="s">
        <v>319</v>
      </c>
      <c r="GN946" s="14"/>
      <c r="GO946" s="16"/>
      <c r="GP946" s="14"/>
      <c r="GQ946" s="12" t="s">
        <v>319</v>
      </c>
      <c r="GR946" s="14"/>
      <c r="GS946" s="16"/>
      <c r="GT946" s="14"/>
      <c r="GU946" s="12" t="s">
        <v>320</v>
      </c>
      <c r="GV946" s="14">
        <v>53111</v>
      </c>
      <c r="GW946" s="16">
        <v>0.52</v>
      </c>
      <c r="GX946" s="14">
        <v>481</v>
      </c>
      <c r="GY946" s="12" t="s">
        <v>319</v>
      </c>
      <c r="GZ946" s="14"/>
      <c r="HA946" s="16"/>
      <c r="HB946" s="14"/>
      <c r="HC946" s="12"/>
      <c r="HD946" s="12" t="s">
        <v>319</v>
      </c>
      <c r="HE946" s="14"/>
      <c r="HF946" s="16"/>
      <c r="HG946" s="14"/>
      <c r="HH946" s="12" t="s">
        <v>320</v>
      </c>
      <c r="HI946" s="12" t="s">
        <v>560</v>
      </c>
      <c r="HJ946" s="12">
        <v>2017</v>
      </c>
      <c r="HK946" s="12" t="s">
        <v>320</v>
      </c>
      <c r="HL946" s="12" t="s">
        <v>320</v>
      </c>
      <c r="HM946" s="12" t="s">
        <v>327</v>
      </c>
      <c r="HN946" s="12">
        <v>2017</v>
      </c>
      <c r="HO946" s="12" t="s">
        <v>14027</v>
      </c>
      <c r="HP946" s="12" t="s">
        <v>330</v>
      </c>
      <c r="HQ946" s="12" t="s">
        <v>319</v>
      </c>
      <c r="HR946" s="12" t="s">
        <v>319</v>
      </c>
      <c r="HS946" s="12" t="s">
        <v>319</v>
      </c>
      <c r="HT946" s="12" t="s">
        <v>320</v>
      </c>
      <c r="HU946" s="12" t="s">
        <v>319</v>
      </c>
      <c r="HV946" s="12" t="s">
        <v>319</v>
      </c>
      <c r="HW946" s="12" t="s">
        <v>319</v>
      </c>
      <c r="HX946" s="12" t="s">
        <v>319</v>
      </c>
      <c r="HY946" s="12"/>
      <c r="HZ946" s="12" t="s">
        <v>394</v>
      </c>
      <c r="IA946" s="12" t="s">
        <v>14028</v>
      </c>
      <c r="IB946" s="12" t="s">
        <v>396</v>
      </c>
      <c r="IC946" s="12" t="s">
        <v>14029</v>
      </c>
      <c r="ID946" s="12" t="s">
        <v>364</v>
      </c>
      <c r="IE946" s="12" t="s">
        <v>335</v>
      </c>
      <c r="IF946" s="12" t="s">
        <v>320</v>
      </c>
      <c r="IG946" s="12" t="s">
        <v>320</v>
      </c>
      <c r="IH946" s="12" t="s">
        <v>320</v>
      </c>
      <c r="II946" s="12" t="s">
        <v>320</v>
      </c>
      <c r="IJ946" s="12" t="str">
        <f t="shared" si="645"/>
        <v>2. Sensitive</v>
      </c>
      <c r="IK946" s="12">
        <f t="shared" si="604"/>
        <v>4</v>
      </c>
      <c r="IL946" s="12" t="s">
        <v>336</v>
      </c>
      <c r="IM946" s="12" t="s">
        <v>320</v>
      </c>
      <c r="IN946" s="12" t="s">
        <v>320</v>
      </c>
      <c r="IO946" s="12" t="s">
        <v>320</v>
      </c>
      <c r="IP946" s="12" t="s">
        <v>319</v>
      </c>
      <c r="IQ946" s="12" t="str">
        <f t="shared" si="605"/>
        <v>2. Accommodating</v>
      </c>
      <c r="IR946" s="12">
        <f t="shared" si="606"/>
        <v>3</v>
      </c>
      <c r="IS946" s="12" t="s">
        <v>337</v>
      </c>
      <c r="IT946" s="12" t="s">
        <v>320</v>
      </c>
      <c r="IU946" s="12" t="s">
        <v>320</v>
      </c>
      <c r="IV946" s="12" t="s">
        <v>319</v>
      </c>
      <c r="IW946" s="11" t="str">
        <f t="shared" si="607"/>
        <v>1. Neutral</v>
      </c>
      <c r="IX946" s="12">
        <f t="shared" si="608"/>
        <v>2</v>
      </c>
      <c r="IY946" s="12" t="s">
        <v>338</v>
      </c>
      <c r="IZ946" s="12" t="s">
        <v>339</v>
      </c>
      <c r="JA946" s="12"/>
      <c r="JB946" s="12"/>
      <c r="JC946" s="12"/>
      <c r="JD946" s="12"/>
      <c r="JE946" s="12" t="s">
        <v>420</v>
      </c>
      <c r="JF946" s="12"/>
      <c r="JG946" s="12"/>
      <c r="JH946" s="12"/>
      <c r="JI946" s="12"/>
      <c r="JJ946" s="12"/>
      <c r="JK946" s="12" t="s">
        <v>14030</v>
      </c>
      <c r="JL946" s="12" t="s">
        <v>14031</v>
      </c>
      <c r="JM946" s="12" t="s">
        <v>14032</v>
      </c>
      <c r="JN946" s="31" t="s">
        <v>14783</v>
      </c>
      <c r="JO946" s="12" t="s">
        <v>14033</v>
      </c>
      <c r="JP946" s="15">
        <f t="shared" si="609"/>
        <v>45594</v>
      </c>
      <c r="JQ946" s="15">
        <f t="shared" si="610"/>
        <v>481</v>
      </c>
      <c r="JR946" s="279">
        <f t="shared" si="611"/>
        <v>1.0549633723735579E-2</v>
      </c>
      <c r="JS946" s="17">
        <f t="shared" si="612"/>
        <v>0.74827828223011805</v>
      </c>
      <c r="JT946" s="18">
        <f t="shared" si="613"/>
        <v>0.6070686070686071</v>
      </c>
      <c r="JU946" s="280">
        <f t="shared" si="614"/>
        <v>34117</v>
      </c>
      <c r="JV946" s="280">
        <f t="shared" si="615"/>
        <v>292</v>
      </c>
      <c r="JW946" s="319" t="str">
        <f t="shared" si="616"/>
        <v/>
      </c>
      <c r="JX946" s="15">
        <f t="shared" si="617"/>
        <v>0</v>
      </c>
      <c r="JY946" s="15">
        <f t="shared" si="618"/>
        <v>0</v>
      </c>
      <c r="JZ946" s="19" t="str">
        <f t="shared" si="619"/>
        <v/>
      </c>
      <c r="KA946" s="52">
        <f t="shared" si="620"/>
        <v>1</v>
      </c>
      <c r="KB946" s="15">
        <f t="shared" si="621"/>
        <v>53111</v>
      </c>
      <c r="KC946" s="15">
        <f t="shared" si="622"/>
        <v>481</v>
      </c>
      <c r="KD946" s="20">
        <f t="shared" si="623"/>
        <v>9.0565043023102566E-3</v>
      </c>
      <c r="KE946" s="52" t="str">
        <f t="shared" si="624"/>
        <v/>
      </c>
      <c r="KF946" s="15">
        <f t="shared" si="625"/>
        <v>0</v>
      </c>
      <c r="KG946" s="15">
        <f t="shared" si="626"/>
        <v>0</v>
      </c>
      <c r="KH946" s="21" t="str">
        <f t="shared" si="627"/>
        <v/>
      </c>
      <c r="KI946" s="52" t="str">
        <f t="shared" si="628"/>
        <v/>
      </c>
      <c r="KJ946" s="15">
        <f t="shared" si="629"/>
        <v>0</v>
      </c>
      <c r="KK946" s="15">
        <f t="shared" si="630"/>
        <v>0</v>
      </c>
      <c r="KL946" s="19" t="str">
        <f t="shared" si="631"/>
        <v/>
      </c>
      <c r="KM946" s="52" t="str">
        <f t="shared" si="632"/>
        <v/>
      </c>
      <c r="KN946" s="22">
        <f t="shared" si="633"/>
        <v>0</v>
      </c>
      <c r="KO946" s="22">
        <f t="shared" si="634"/>
        <v>0</v>
      </c>
      <c r="KP946" s="19" t="str">
        <f t="shared" si="635"/>
        <v/>
      </c>
      <c r="KQ946" s="11" t="str">
        <f t="shared" si="636"/>
        <v>2. Sensitive</v>
      </c>
      <c r="KR946" s="11" t="str">
        <f t="shared" si="637"/>
        <v>2. Accommodating</v>
      </c>
      <c r="KS946" s="11" t="str">
        <f t="shared" si="638"/>
        <v>1. Neutral</v>
      </c>
      <c r="KT946" s="11" t="str">
        <f t="shared" si="639"/>
        <v>It tested new ways for fighting poverty, but did not measure results of innovation</v>
      </c>
      <c r="KU946" s="11" t="str">
        <f t="shared" si="640"/>
        <v>Moderate advocacy</v>
      </c>
      <c r="KV946" s="11" t="str">
        <f t="shared" si="641"/>
        <v>It linked and worked with strategic alliances and partners to take tested and effective solutions to scale</v>
      </c>
      <c r="KW946" s="11" t="str">
        <f t="shared" si="642"/>
        <v>Zimbabwe - Putting Women and Girls at the Centre of Improving WASH and Health Outcomes for Chivi Residents</v>
      </c>
      <c r="KX946" s="11" t="str">
        <f t="shared" si="643"/>
        <v>Putting Women and Girls at the Centre of Improving WASH and Health Outcomes for Chivi Residents</v>
      </c>
      <c r="KY946" s="11" t="str">
        <f t="shared" si="644"/>
        <v>Zimbabwe</v>
      </c>
      <c r="KZ946" s="12">
        <v>947</v>
      </c>
    </row>
    <row r="947" spans="1:312" x14ac:dyDescent="0.3">
      <c r="A947" s="12" t="s">
        <v>14016</v>
      </c>
      <c r="B947" s="12" t="s">
        <v>7217</v>
      </c>
      <c r="C947" s="12">
        <v>3506</v>
      </c>
      <c r="D947" s="317" t="s">
        <v>14260</v>
      </c>
      <c r="E947" s="277" t="str">
        <f t="shared" si="603"/>
        <v>Zimbabwe</v>
      </c>
      <c r="F947" s="12" t="s">
        <v>14261</v>
      </c>
      <c r="G947" s="12" t="s">
        <v>379</v>
      </c>
      <c r="H947" s="12" t="s">
        <v>383</v>
      </c>
      <c r="I947" s="12" t="s">
        <v>384</v>
      </c>
      <c r="J947" s="281" t="s">
        <v>14784</v>
      </c>
      <c r="K947" s="12"/>
      <c r="L947" s="12"/>
      <c r="M947" s="12"/>
      <c r="N947" s="12"/>
      <c r="O947" s="12"/>
      <c r="P947" s="12"/>
      <c r="Q947" s="12"/>
      <c r="R947" s="12"/>
      <c r="S947" s="12"/>
      <c r="T947" s="12"/>
      <c r="U947" s="12"/>
      <c r="V947" s="12"/>
      <c r="W947" s="12"/>
      <c r="X947" s="12"/>
      <c r="Y947" s="12"/>
      <c r="Z947" s="12"/>
      <c r="AA947" s="12"/>
      <c r="AB947" s="12"/>
      <c r="AC947" s="12"/>
      <c r="AD947" s="12"/>
      <c r="BD947" s="13">
        <v>42384</v>
      </c>
      <c r="BE947" s="13">
        <v>42750</v>
      </c>
      <c r="BF947" s="13">
        <v>42825</v>
      </c>
      <c r="BG947" s="12" t="s">
        <v>312</v>
      </c>
      <c r="BH947" s="14">
        <v>160000</v>
      </c>
      <c r="BI947" s="12" t="s">
        <v>14262</v>
      </c>
      <c r="BJ947" s="12" t="s">
        <v>14263</v>
      </c>
      <c r="BK947" s="12" t="s">
        <v>14264</v>
      </c>
      <c r="BL947" s="12" t="s">
        <v>14021</v>
      </c>
      <c r="BM947" s="12" t="s">
        <v>980</v>
      </c>
      <c r="BN947" s="12" t="s">
        <v>14022</v>
      </c>
      <c r="BO947" s="12" t="s">
        <v>319</v>
      </c>
      <c r="BP947" s="12" t="s">
        <v>320</v>
      </c>
      <c r="BQ947" s="12" t="s">
        <v>319</v>
      </c>
      <c r="BR947" s="12" t="s">
        <v>14265</v>
      </c>
      <c r="BS947" s="12" t="s">
        <v>357</v>
      </c>
      <c r="BT947" s="12" t="s">
        <v>14266</v>
      </c>
      <c r="BU947" s="12" t="s">
        <v>14025</v>
      </c>
      <c r="BV947" s="14">
        <v>1000</v>
      </c>
      <c r="BW947" s="14"/>
      <c r="BX947" s="14">
        <v>1000</v>
      </c>
      <c r="BY947" s="14">
        <v>0</v>
      </c>
      <c r="BZ947" s="14">
        <v>0</v>
      </c>
      <c r="CA947" s="14">
        <v>0</v>
      </c>
      <c r="CB947" s="12" t="s">
        <v>14267</v>
      </c>
      <c r="CD947" s="14"/>
      <c r="CE947" s="14"/>
      <c r="CF947" s="14"/>
      <c r="CG947" s="14"/>
      <c r="CH947" s="14"/>
      <c r="CI947" s="14"/>
      <c r="CJ947" s="12"/>
      <c r="CK947" s="14"/>
      <c r="CL947" s="16"/>
      <c r="CM947" s="14"/>
      <c r="CN947" s="12"/>
      <c r="CO947" s="14"/>
      <c r="CP947" s="16"/>
      <c r="CQ947" s="14"/>
      <c r="CR947" s="12"/>
      <c r="CS947" s="14"/>
      <c r="CT947" s="16"/>
      <c r="CU947" s="14"/>
      <c r="CV947" s="12"/>
      <c r="CW947" s="14"/>
      <c r="CX947" s="16"/>
      <c r="CY947" s="14"/>
      <c r="CZ947" s="12"/>
      <c r="DA947" s="14"/>
      <c r="DB947" s="16"/>
      <c r="DC947" s="14"/>
      <c r="DD947" s="12"/>
      <c r="DE947" s="14"/>
      <c r="DF947" s="16"/>
      <c r="DG947" s="14"/>
      <c r="DH947" s="12"/>
      <c r="DI947" s="14"/>
      <c r="DJ947" s="16"/>
      <c r="DK947" s="14"/>
      <c r="DL947" s="12"/>
      <c r="DM947" s="14"/>
      <c r="DN947" s="16"/>
      <c r="DO947" s="14"/>
      <c r="DP947" s="12"/>
      <c r="DQ947" s="14"/>
      <c r="DR947" s="16"/>
      <c r="DS947" s="14"/>
      <c r="DT947" s="12"/>
      <c r="DU947" s="14"/>
      <c r="DV947" s="16"/>
      <c r="DW947" s="14"/>
      <c r="DX947" s="12"/>
      <c r="DY947" s="14"/>
      <c r="DZ947" s="16"/>
      <c r="EA947" s="14"/>
      <c r="EB947" s="12"/>
      <c r="EC947" s="14"/>
      <c r="ED947" s="16"/>
      <c r="EE947" s="14"/>
      <c r="EF947" s="12"/>
      <c r="EG947" s="12"/>
      <c r="EH947" s="14"/>
      <c r="EI947" s="16"/>
      <c r="EJ947" s="14"/>
      <c r="EK947" s="14">
        <v>1066</v>
      </c>
      <c r="EL947" s="14">
        <v>0</v>
      </c>
      <c r="EM947" s="14">
        <v>1066</v>
      </c>
      <c r="EN947" s="14">
        <v>2772</v>
      </c>
      <c r="EO947" s="14">
        <v>2558</v>
      </c>
      <c r="EP947" s="14">
        <v>5330</v>
      </c>
      <c r="EQ947" s="12" t="s">
        <v>319</v>
      </c>
      <c r="ER947" s="14"/>
      <c r="ES947" s="16"/>
      <c r="ET947" s="14"/>
      <c r="EU947" s="11" t="s">
        <v>319</v>
      </c>
      <c r="EV947" s="14"/>
      <c r="EW947" s="16"/>
      <c r="EX947" s="14"/>
      <c r="EY947" s="12" t="s">
        <v>319</v>
      </c>
      <c r="EZ947" s="14"/>
      <c r="FA947" s="16"/>
      <c r="FB947" s="14"/>
      <c r="FC947" s="12" t="s">
        <v>319</v>
      </c>
      <c r="FD947" s="14"/>
      <c r="FE947" s="16"/>
      <c r="FF947" s="14"/>
      <c r="FG947" s="12" t="s">
        <v>319</v>
      </c>
      <c r="FH947" s="14"/>
      <c r="FI947" s="16"/>
      <c r="FJ947" s="14"/>
      <c r="FK947" s="12" t="s">
        <v>319</v>
      </c>
      <c r="FL947" s="14"/>
      <c r="FM947" s="16"/>
      <c r="FN947" s="14"/>
      <c r="FO947" s="12" t="s">
        <v>319</v>
      </c>
      <c r="FP947" s="14"/>
      <c r="FQ947" s="16"/>
      <c r="FR947" s="14"/>
      <c r="FS947" s="12" t="s">
        <v>319</v>
      </c>
      <c r="FT947" s="14"/>
      <c r="FU947" s="16"/>
      <c r="FV947" s="14"/>
      <c r="FW947" s="12" t="s">
        <v>319</v>
      </c>
      <c r="FX947" s="14"/>
      <c r="FY947" s="16"/>
      <c r="FZ947" s="14"/>
      <c r="GA947" s="12" t="s">
        <v>319</v>
      </c>
      <c r="GB947" s="14"/>
      <c r="GC947" s="16"/>
      <c r="GD947" s="14"/>
      <c r="GE947" s="12" t="s">
        <v>319</v>
      </c>
      <c r="GF947" s="14"/>
      <c r="GG947" s="16"/>
      <c r="GH947" s="14"/>
      <c r="GI947" s="12" t="s">
        <v>319</v>
      </c>
      <c r="GJ947" s="14"/>
      <c r="GK947" s="16"/>
      <c r="GL947" s="14"/>
      <c r="GM947" s="12" t="s">
        <v>319</v>
      </c>
      <c r="GN947" s="14"/>
      <c r="GO947" s="16"/>
      <c r="GP947" s="14"/>
      <c r="GQ947" s="12" t="s">
        <v>319</v>
      </c>
      <c r="GR947" s="14"/>
      <c r="GS947" s="16"/>
      <c r="GT947" s="14"/>
      <c r="GU947" s="12" t="s">
        <v>319</v>
      </c>
      <c r="GV947" s="14"/>
      <c r="GW947" s="16"/>
      <c r="GX947" s="14"/>
      <c r="GY947" s="11" t="s">
        <v>320</v>
      </c>
      <c r="GZ947" s="14">
        <v>1066</v>
      </c>
      <c r="HA947" s="16">
        <v>1</v>
      </c>
      <c r="HB947" s="14">
        <v>5330</v>
      </c>
      <c r="HC947" s="12"/>
      <c r="HD947" s="12" t="s">
        <v>319</v>
      </c>
      <c r="HE947" s="14"/>
      <c r="HF947" s="16"/>
      <c r="HG947" s="14"/>
      <c r="HH947" s="12" t="s">
        <v>319</v>
      </c>
      <c r="HI947" s="12"/>
      <c r="HJ947" s="12"/>
      <c r="HK947" s="12" t="s">
        <v>319</v>
      </c>
      <c r="HL947" s="12" t="s">
        <v>319</v>
      </c>
      <c r="HM947" s="12"/>
      <c r="HN947" s="12"/>
      <c r="HO947" s="12"/>
      <c r="HP947" s="12" t="s">
        <v>418</v>
      </c>
      <c r="HQ947" s="12" t="s">
        <v>319</v>
      </c>
      <c r="HR947" s="12" t="s">
        <v>319</v>
      </c>
      <c r="HS947" s="12" t="s">
        <v>319</v>
      </c>
      <c r="HT947" s="12" t="s">
        <v>319</v>
      </c>
      <c r="HU947" s="12" t="s">
        <v>319</v>
      </c>
      <c r="HV947" s="12" t="s">
        <v>319</v>
      </c>
      <c r="HW947" s="12" t="s">
        <v>319</v>
      </c>
      <c r="HX947" s="12" t="s">
        <v>319</v>
      </c>
      <c r="HY947" s="12"/>
      <c r="HZ947" s="12" t="s">
        <v>363</v>
      </c>
      <c r="IA947" s="12"/>
      <c r="IB947" s="12" t="s">
        <v>333</v>
      </c>
      <c r="IC947" s="12"/>
      <c r="ID947" s="12" t="s">
        <v>364</v>
      </c>
      <c r="IE947" s="12" t="s">
        <v>335</v>
      </c>
      <c r="IF947" s="12" t="s">
        <v>319</v>
      </c>
      <c r="IG947" s="12" t="s">
        <v>319</v>
      </c>
      <c r="IH947" s="12" t="s">
        <v>319</v>
      </c>
      <c r="II947" s="12" t="s">
        <v>320</v>
      </c>
      <c r="IJ947" s="12" t="str">
        <f t="shared" si="645"/>
        <v>0. Harmful</v>
      </c>
      <c r="IK947" s="12">
        <f t="shared" si="604"/>
        <v>1</v>
      </c>
      <c r="IL947" s="12" t="s">
        <v>336</v>
      </c>
      <c r="IM947" s="12" t="s">
        <v>319</v>
      </c>
      <c r="IN947" s="12" t="s">
        <v>319</v>
      </c>
      <c r="IO947" s="12" t="s">
        <v>320</v>
      </c>
      <c r="IP947" s="12" t="s">
        <v>319</v>
      </c>
      <c r="IQ947" s="12" t="str">
        <f t="shared" si="605"/>
        <v>1. Tokenistic</v>
      </c>
      <c r="IR947" s="12">
        <f t="shared" si="606"/>
        <v>1</v>
      </c>
      <c r="IS947" s="12" t="s">
        <v>337</v>
      </c>
      <c r="IT947" s="12" t="s">
        <v>319</v>
      </c>
      <c r="IU947" s="12" t="s">
        <v>319</v>
      </c>
      <c r="IV947" s="12" t="s">
        <v>320</v>
      </c>
      <c r="IW947" s="11" t="str">
        <f t="shared" si="607"/>
        <v>1. Neutral</v>
      </c>
      <c r="IX947" s="12">
        <f t="shared" si="608"/>
        <v>1</v>
      </c>
      <c r="IY947" s="12" t="s">
        <v>338</v>
      </c>
      <c r="IZ947" s="12" t="s">
        <v>432</v>
      </c>
      <c r="JA947" s="12">
        <v>1</v>
      </c>
      <c r="JB947" s="12" t="s">
        <v>433</v>
      </c>
      <c r="JC947" s="12"/>
      <c r="JD947" s="12"/>
      <c r="JE947" s="12" t="s">
        <v>420</v>
      </c>
      <c r="JF947" s="12"/>
      <c r="JG947" s="12"/>
      <c r="JH947" s="12" t="s">
        <v>14268</v>
      </c>
      <c r="JI947" s="12" t="s">
        <v>1323</v>
      </c>
      <c r="JJ947" s="12"/>
      <c r="JK947" s="12" t="s">
        <v>14269</v>
      </c>
      <c r="JL947" s="12" t="s">
        <v>14270</v>
      </c>
      <c r="JM947" s="12"/>
      <c r="JN947" s="12"/>
      <c r="JO947" s="12" t="s">
        <v>14271</v>
      </c>
      <c r="JP947" s="15">
        <f t="shared" si="609"/>
        <v>1066</v>
      </c>
      <c r="JQ947" s="15">
        <f t="shared" si="610"/>
        <v>5330</v>
      </c>
      <c r="JR947" s="279">
        <f t="shared" si="611"/>
        <v>5</v>
      </c>
      <c r="JS947" s="17">
        <f t="shared" si="612"/>
        <v>1</v>
      </c>
      <c r="JT947" s="18">
        <f t="shared" si="613"/>
        <v>0.52007504690431516</v>
      </c>
      <c r="JU947" s="280">
        <f t="shared" si="614"/>
        <v>1066</v>
      </c>
      <c r="JV947" s="280">
        <f t="shared" si="615"/>
        <v>2772</v>
      </c>
      <c r="JW947" s="319" t="str">
        <f t="shared" si="616"/>
        <v/>
      </c>
      <c r="JX947" s="15">
        <f t="shared" si="617"/>
        <v>0</v>
      </c>
      <c r="JY947" s="15">
        <f t="shared" si="618"/>
        <v>0</v>
      </c>
      <c r="JZ947" s="19" t="str">
        <f t="shared" si="619"/>
        <v/>
      </c>
      <c r="KA947" s="52" t="str">
        <f t="shared" si="620"/>
        <v/>
      </c>
      <c r="KB947" s="15">
        <f t="shared" si="621"/>
        <v>0</v>
      </c>
      <c r="KC947" s="15">
        <f t="shared" si="622"/>
        <v>0</v>
      </c>
      <c r="KD947" s="20" t="str">
        <f t="shared" si="623"/>
        <v/>
      </c>
      <c r="KE947" s="52" t="str">
        <f t="shared" si="624"/>
        <v/>
      </c>
      <c r="KF947" s="15">
        <f t="shared" si="625"/>
        <v>0</v>
      </c>
      <c r="KG947" s="15">
        <f t="shared" si="626"/>
        <v>0</v>
      </c>
      <c r="KH947" s="21" t="str">
        <f t="shared" si="627"/>
        <v/>
      </c>
      <c r="KI947" s="52" t="str">
        <f t="shared" si="628"/>
        <v/>
      </c>
      <c r="KJ947" s="15">
        <f t="shared" si="629"/>
        <v>0</v>
      </c>
      <c r="KK947" s="15">
        <f t="shared" si="630"/>
        <v>0</v>
      </c>
      <c r="KL947" s="19" t="str">
        <f t="shared" si="631"/>
        <v/>
      </c>
      <c r="KM947" s="52">
        <f t="shared" si="632"/>
        <v>1</v>
      </c>
      <c r="KN947" s="22">
        <f t="shared" si="633"/>
        <v>1066</v>
      </c>
      <c r="KO947" s="22">
        <f t="shared" si="634"/>
        <v>5330</v>
      </c>
      <c r="KP947" s="19">
        <f t="shared" si="635"/>
        <v>5</v>
      </c>
      <c r="KQ947" s="11" t="str">
        <f t="shared" si="636"/>
        <v>0. Harmful</v>
      </c>
      <c r="KR947" s="11" t="str">
        <f t="shared" si="637"/>
        <v>1. Tokenistic</v>
      </c>
      <c r="KS947" s="11" t="str">
        <f t="shared" si="638"/>
        <v>1. Neutral</v>
      </c>
      <c r="KT947" s="11" t="str">
        <f t="shared" si="639"/>
        <v>It did not develop any specific innovation</v>
      </c>
      <c r="KU947" s="11" t="str">
        <f t="shared" si="640"/>
        <v>Little or no advocacy</v>
      </c>
      <c r="KV947" s="11" t="str">
        <f t="shared" si="641"/>
        <v>It did not take tested solutions to scale</v>
      </c>
      <c r="KW947" s="11" t="str">
        <f t="shared" si="642"/>
        <v>Zimbabwe - Supporting the Development of Women Enterprises in Zaka District</v>
      </c>
      <c r="KX947" s="11" t="str">
        <f t="shared" si="643"/>
        <v>Supporting the Development of Women Enterprises in Zaka District</v>
      </c>
      <c r="KY947" s="11" t="str">
        <f t="shared" si="644"/>
        <v>Zimbabwe</v>
      </c>
      <c r="KZ947" s="12">
        <v>948</v>
      </c>
    </row>
    <row r="948" spans="1:312" x14ac:dyDescent="0.3">
      <c r="A948" s="282" t="s">
        <v>14016</v>
      </c>
      <c r="B948" s="282" t="s">
        <v>7217</v>
      </c>
      <c r="C948" s="282"/>
      <c r="D948" s="282" t="s">
        <v>14094</v>
      </c>
      <c r="E948" s="277" t="str">
        <f t="shared" si="603"/>
        <v>Zimbabwe</v>
      </c>
      <c r="F948" s="282" t="s">
        <v>14095</v>
      </c>
      <c r="G948" s="282" t="s">
        <v>376</v>
      </c>
      <c r="H948" s="282" t="s">
        <v>380</v>
      </c>
      <c r="I948" s="282" t="s">
        <v>381</v>
      </c>
      <c r="J948" s="281" t="s">
        <v>8430</v>
      </c>
      <c r="K948" s="282"/>
      <c r="L948" s="282"/>
      <c r="M948" s="282"/>
      <c r="N948" s="282"/>
      <c r="O948" s="282"/>
      <c r="P948" s="282"/>
      <c r="Q948" s="282"/>
      <c r="R948" s="282"/>
      <c r="S948" s="282"/>
      <c r="T948" s="282"/>
      <c r="U948" s="282"/>
      <c r="V948" s="282"/>
      <c r="W948" s="282"/>
      <c r="X948" s="282"/>
      <c r="Y948" s="282"/>
      <c r="Z948" s="282"/>
      <c r="AA948" s="282"/>
      <c r="AB948" s="282"/>
      <c r="AC948" s="282"/>
      <c r="AD948" s="282"/>
      <c r="AE948" s="282"/>
      <c r="AF948" s="282"/>
      <c r="AG948" s="282"/>
      <c r="AH948" s="282"/>
      <c r="AI948" s="282"/>
      <c r="AJ948" s="282"/>
      <c r="AK948" s="282"/>
      <c r="AL948" s="282"/>
      <c r="AM948" s="282"/>
      <c r="AN948" s="282"/>
      <c r="AO948" s="282"/>
      <c r="AP948" s="282"/>
      <c r="AQ948" s="282"/>
      <c r="AR948" s="282"/>
      <c r="AS948" s="282"/>
      <c r="AT948" s="282"/>
      <c r="AU948" s="282"/>
      <c r="AV948" s="282"/>
      <c r="AW948" s="282"/>
      <c r="AX948" s="282"/>
      <c r="AY948" s="282"/>
      <c r="AZ948" s="282"/>
      <c r="BA948" s="282"/>
      <c r="BB948" s="282"/>
      <c r="BC948" s="282"/>
      <c r="BD948" s="283">
        <v>42887</v>
      </c>
      <c r="BE948" s="283">
        <v>43159</v>
      </c>
      <c r="BF948" s="283"/>
      <c r="BG948" s="283" t="s">
        <v>817</v>
      </c>
      <c r="BH948" s="284">
        <v>779129</v>
      </c>
      <c r="BI948" s="282" t="s">
        <v>14019</v>
      </c>
      <c r="BJ948" s="282" t="s">
        <v>354</v>
      </c>
      <c r="BK948" s="282" t="s">
        <v>14053</v>
      </c>
      <c r="BL948" s="282" t="s">
        <v>14021</v>
      </c>
      <c r="BM948" s="282" t="s">
        <v>980</v>
      </c>
      <c r="BN948" s="282" t="s">
        <v>14022</v>
      </c>
      <c r="BO948" s="282" t="s">
        <v>320</v>
      </c>
      <c r="BP948" s="282" t="s">
        <v>319</v>
      </c>
      <c r="BQ948" s="282" t="s">
        <v>319</v>
      </c>
      <c r="BR948" s="282" t="s">
        <v>14096</v>
      </c>
      <c r="BS948" s="282" t="s">
        <v>357</v>
      </c>
      <c r="BT948" s="282" t="s">
        <v>14097</v>
      </c>
      <c r="BU948" s="282" t="s">
        <v>14025</v>
      </c>
      <c r="BV948" s="284">
        <v>34840</v>
      </c>
      <c r="BW948" s="284">
        <v>32160</v>
      </c>
      <c r="BX948" s="284">
        <v>67000</v>
      </c>
      <c r="BY948" s="284">
        <v>0</v>
      </c>
      <c r="BZ948" s="284">
        <v>0</v>
      </c>
      <c r="CA948" s="284">
        <v>0</v>
      </c>
      <c r="CB948" s="285" t="s">
        <v>14068</v>
      </c>
      <c r="CC948" s="285"/>
      <c r="CD948" s="284">
        <v>0</v>
      </c>
      <c r="CE948" s="284">
        <v>0</v>
      </c>
      <c r="CF948" s="284">
        <v>0</v>
      </c>
      <c r="CG948" s="284">
        <v>0</v>
      </c>
      <c r="CH948" s="284">
        <v>0</v>
      </c>
      <c r="CI948" s="284">
        <v>0</v>
      </c>
      <c r="CJ948" s="282" t="s">
        <v>319</v>
      </c>
      <c r="CK948" s="284"/>
      <c r="CL948" s="286"/>
      <c r="CM948" s="284"/>
      <c r="CN948" s="287" t="s">
        <v>319</v>
      </c>
      <c r="CO948" s="284"/>
      <c r="CP948" s="286"/>
      <c r="CQ948" s="284"/>
      <c r="CR948" s="282" t="s">
        <v>319</v>
      </c>
      <c r="CS948" s="284"/>
      <c r="CT948" s="286"/>
      <c r="CU948" s="284"/>
      <c r="CV948" s="292" t="s">
        <v>319</v>
      </c>
      <c r="CW948" s="300"/>
      <c r="CX948" s="308"/>
      <c r="CY948" s="300"/>
      <c r="CZ948" s="282" t="s">
        <v>319</v>
      </c>
      <c r="DA948" s="284"/>
      <c r="DB948" s="286"/>
      <c r="DC948" s="284"/>
      <c r="DD948" s="287" t="s">
        <v>319</v>
      </c>
      <c r="DE948" s="284"/>
      <c r="DF948" s="286"/>
      <c r="DG948" s="284"/>
      <c r="DH948" s="282" t="s">
        <v>319</v>
      </c>
      <c r="DI948" s="284"/>
      <c r="DJ948" s="286"/>
      <c r="DK948" s="284"/>
      <c r="DL948" s="282" t="s">
        <v>319</v>
      </c>
      <c r="DM948" s="284"/>
      <c r="DN948" s="286"/>
      <c r="DO948" s="284"/>
      <c r="DP948" s="282" t="s">
        <v>319</v>
      </c>
      <c r="DQ948" s="284"/>
      <c r="DR948" s="286"/>
      <c r="DS948" s="284"/>
      <c r="DT948" s="282" t="s">
        <v>319</v>
      </c>
      <c r="DU948" s="284"/>
      <c r="DV948" s="286"/>
      <c r="DW948" s="284"/>
      <c r="DX948" s="282" t="s">
        <v>319</v>
      </c>
      <c r="DY948" s="284"/>
      <c r="DZ948" s="286"/>
      <c r="EA948" s="284"/>
      <c r="EB948" s="282" t="s">
        <v>320</v>
      </c>
      <c r="EC948" s="284"/>
      <c r="ED948" s="286"/>
      <c r="EE948" s="284"/>
      <c r="EF948" s="285"/>
      <c r="EG948" s="287" t="s">
        <v>319</v>
      </c>
      <c r="EH948" s="284"/>
      <c r="EI948" s="286"/>
      <c r="EJ948" s="284"/>
      <c r="EK948" s="284"/>
      <c r="EL948" s="284"/>
      <c r="EM948" s="284"/>
      <c r="EN948" s="284"/>
      <c r="EO948" s="284"/>
      <c r="EP948" s="284"/>
      <c r="EQ948" s="282"/>
      <c r="ER948" s="284"/>
      <c r="ES948" s="286"/>
      <c r="ET948" s="284"/>
      <c r="EU948" s="305"/>
      <c r="EV948" s="300"/>
      <c r="EW948" s="308"/>
      <c r="EX948" s="300"/>
      <c r="EY948" s="282"/>
      <c r="EZ948" s="284"/>
      <c r="FA948" s="286"/>
      <c r="FB948" s="284"/>
      <c r="FC948" s="282"/>
      <c r="FD948" s="284"/>
      <c r="FE948" s="286"/>
      <c r="FF948" s="284"/>
      <c r="FG948" s="282"/>
      <c r="FH948" s="284"/>
      <c r="FI948" s="286"/>
      <c r="FJ948" s="284"/>
      <c r="FK948" s="282"/>
      <c r="FL948" s="284"/>
      <c r="FM948" s="286"/>
      <c r="FN948" s="284"/>
      <c r="FO948" s="305"/>
      <c r="FP948" s="300"/>
      <c r="FQ948" s="308"/>
      <c r="FR948" s="300"/>
      <c r="FS948" s="282"/>
      <c r="FT948" s="284"/>
      <c r="FU948" s="286"/>
      <c r="FV948" s="284"/>
      <c r="FW948" s="282"/>
      <c r="FX948" s="284"/>
      <c r="FY948" s="286"/>
      <c r="FZ948" s="284"/>
      <c r="GA948" s="282"/>
      <c r="GB948" s="284"/>
      <c r="GC948" s="286"/>
      <c r="GD948" s="284"/>
      <c r="GE948" s="282"/>
      <c r="GF948" s="284"/>
      <c r="GG948" s="286"/>
      <c r="GH948" s="284"/>
      <c r="GI948" s="282"/>
      <c r="GJ948" s="284"/>
      <c r="GK948" s="286"/>
      <c r="GL948" s="284"/>
      <c r="GM948" s="282"/>
      <c r="GN948" s="284"/>
      <c r="GO948" s="286"/>
      <c r="GP948" s="284"/>
      <c r="GQ948" s="282"/>
      <c r="GR948" s="284"/>
      <c r="GS948" s="286"/>
      <c r="GT948" s="284"/>
      <c r="GU948" s="282"/>
      <c r="GV948" s="284"/>
      <c r="GW948" s="286"/>
      <c r="GX948" s="284"/>
      <c r="GY948" s="282"/>
      <c r="GZ948" s="284"/>
      <c r="HA948" s="286"/>
      <c r="HB948" s="284"/>
      <c r="HC948" s="282"/>
      <c r="HD948" s="282"/>
      <c r="HE948" s="284"/>
      <c r="HF948" s="286"/>
      <c r="HG948" s="284"/>
      <c r="HH948" s="282" t="s">
        <v>319</v>
      </c>
      <c r="HI948" s="282"/>
      <c r="HJ948" s="282"/>
      <c r="HK948" s="282" t="s">
        <v>319</v>
      </c>
      <c r="HL948" s="282" t="s">
        <v>319</v>
      </c>
      <c r="HM948" s="282"/>
      <c r="HN948" s="282"/>
      <c r="HO948" s="282" t="s">
        <v>14098</v>
      </c>
      <c r="HP948" s="282"/>
      <c r="HQ948" s="282"/>
      <c r="HR948" s="282"/>
      <c r="HS948" s="282"/>
      <c r="HT948" s="282"/>
      <c r="HU948" s="282"/>
      <c r="HV948" s="282"/>
      <c r="HW948" s="282"/>
      <c r="HX948" s="282"/>
      <c r="HY948" s="282"/>
      <c r="HZ948" s="282" t="s">
        <v>363</v>
      </c>
      <c r="IA948" s="282"/>
      <c r="IB948" s="282"/>
      <c r="IC948" s="282"/>
      <c r="ID948" s="282"/>
      <c r="IE948" s="282"/>
      <c r="IF948" s="282"/>
      <c r="IG948" s="282"/>
      <c r="IH948" s="282"/>
      <c r="II948" s="282"/>
      <c r="IJ948" s="12" t="str">
        <f t="shared" si="645"/>
        <v>No marker score</v>
      </c>
      <c r="IK948" s="287">
        <f t="shared" si="604"/>
        <v>0</v>
      </c>
      <c r="IL948" s="282"/>
      <c r="IM948" s="282"/>
      <c r="IN948" s="282"/>
      <c r="IO948" s="282"/>
      <c r="IP948" s="282"/>
      <c r="IQ948" s="287" t="str">
        <f t="shared" si="605"/>
        <v>No marker score</v>
      </c>
      <c r="IR948" s="287">
        <f t="shared" si="606"/>
        <v>0</v>
      </c>
      <c r="IS948" s="282"/>
      <c r="IT948" s="282"/>
      <c r="IU948" s="282"/>
      <c r="IV948" s="282"/>
      <c r="IW948" s="11" t="str">
        <f t="shared" si="607"/>
        <v>No marker score</v>
      </c>
      <c r="IX948" s="287">
        <f t="shared" si="608"/>
        <v>0</v>
      </c>
      <c r="IY948" s="282" t="s">
        <v>338</v>
      </c>
      <c r="IZ948" s="282"/>
      <c r="JA948" s="282">
        <v>0</v>
      </c>
      <c r="JB948" s="282"/>
      <c r="JC948" s="282"/>
      <c r="JD948" s="282"/>
      <c r="JE948" s="282"/>
      <c r="JF948" s="282"/>
      <c r="JG948" s="282" t="s">
        <v>14099</v>
      </c>
      <c r="JH948" s="282" t="s">
        <v>14099</v>
      </c>
      <c r="JI948" s="282"/>
      <c r="JJ948" s="282"/>
      <c r="JK948" s="282" t="s">
        <v>14099</v>
      </c>
      <c r="JL948" s="282"/>
      <c r="JM948" s="282"/>
      <c r="JN948" s="282" t="s">
        <v>14100</v>
      </c>
      <c r="JO948" s="282" t="s">
        <v>1519</v>
      </c>
      <c r="JP948" s="15">
        <f t="shared" si="609"/>
        <v>0</v>
      </c>
      <c r="JQ948" s="15">
        <f t="shared" si="610"/>
        <v>0</v>
      </c>
      <c r="JR948" s="279" t="str">
        <f t="shared" si="611"/>
        <v/>
      </c>
      <c r="JS948" s="17" t="str">
        <f t="shared" si="612"/>
        <v/>
      </c>
      <c r="JT948" s="18" t="str">
        <f t="shared" si="613"/>
        <v/>
      </c>
      <c r="JU948" s="280">
        <f t="shared" si="614"/>
        <v>0</v>
      </c>
      <c r="JV948" s="280">
        <f t="shared" si="615"/>
        <v>0</v>
      </c>
      <c r="JW948" s="319">
        <f t="shared" si="616"/>
        <v>1</v>
      </c>
      <c r="JX948" s="15">
        <f t="shared" si="617"/>
        <v>0</v>
      </c>
      <c r="JY948" s="15">
        <f t="shared" si="618"/>
        <v>0</v>
      </c>
      <c r="JZ948" s="19" t="str">
        <f t="shared" si="619"/>
        <v/>
      </c>
      <c r="KA948" s="52" t="str">
        <f t="shared" si="620"/>
        <v/>
      </c>
      <c r="KB948" s="15">
        <f t="shared" si="621"/>
        <v>0</v>
      </c>
      <c r="KC948" s="15">
        <f t="shared" si="622"/>
        <v>0</v>
      </c>
      <c r="KD948" s="20" t="str">
        <f t="shared" si="623"/>
        <v/>
      </c>
      <c r="KE948" s="52" t="str">
        <f t="shared" si="624"/>
        <v/>
      </c>
      <c r="KF948" s="15">
        <f t="shared" si="625"/>
        <v>0</v>
      </c>
      <c r="KG948" s="15">
        <f t="shared" si="626"/>
        <v>0</v>
      </c>
      <c r="KH948" s="21" t="str">
        <f t="shared" si="627"/>
        <v/>
      </c>
      <c r="KI948" s="52" t="str">
        <f t="shared" si="628"/>
        <v/>
      </c>
      <c r="KJ948" s="15">
        <f t="shared" si="629"/>
        <v>0</v>
      </c>
      <c r="KK948" s="15">
        <f t="shared" si="630"/>
        <v>0</v>
      </c>
      <c r="KL948" s="19" t="str">
        <f t="shared" si="631"/>
        <v/>
      </c>
      <c r="KM948" s="52" t="str">
        <f t="shared" si="632"/>
        <v/>
      </c>
      <c r="KN948" s="22">
        <f t="shared" si="633"/>
        <v>0</v>
      </c>
      <c r="KO948" s="22">
        <f t="shared" si="634"/>
        <v>0</v>
      </c>
      <c r="KP948" s="19" t="str">
        <f t="shared" si="635"/>
        <v/>
      </c>
      <c r="KQ948" s="11" t="str">
        <f t="shared" si="636"/>
        <v>No marker score</v>
      </c>
      <c r="KR948" s="11" t="str">
        <f t="shared" si="637"/>
        <v>No marker score</v>
      </c>
      <c r="KS948" s="11" t="str">
        <f t="shared" si="638"/>
        <v>No marker score</v>
      </c>
      <c r="KT948" s="11" t="str">
        <f t="shared" si="639"/>
        <v>It did not develop any specific innovation</v>
      </c>
      <c r="KU948" s="11">
        <f t="shared" si="640"/>
        <v>0</v>
      </c>
      <c r="KV948" s="11">
        <f t="shared" si="641"/>
        <v>0</v>
      </c>
      <c r="KW948" s="11" t="str">
        <f t="shared" si="642"/>
        <v>Zimbabwe - UNICEF Restoring Access To Safe Water Improved Sanitary And Hygiene Conditions For Drought Affected Populations In Mberengwa, Gutu and Zaka Districts</v>
      </c>
      <c r="KX948" s="11" t="str">
        <f t="shared" si="643"/>
        <v>UNICEF Restoring Access To Safe Water Improved Sanitary And Hygiene Conditions For Drought Affected Populations In Mberengwa, Gutu and Zaka Districts</v>
      </c>
      <c r="KY948" s="11" t="str">
        <f t="shared" si="644"/>
        <v>Zimbabwe</v>
      </c>
      <c r="KZ948" s="12">
        <v>949</v>
      </c>
    </row>
    <row r="949" spans="1:312" x14ac:dyDescent="0.3">
      <c r="A949" s="282" t="s">
        <v>14016</v>
      </c>
      <c r="B949" s="282" t="s">
        <v>7217</v>
      </c>
      <c r="C949" s="282">
        <v>3507</v>
      </c>
      <c r="D949" s="282" t="s">
        <v>14101</v>
      </c>
      <c r="E949" s="277" t="str">
        <f t="shared" si="603"/>
        <v>Zimbabwe</v>
      </c>
      <c r="F949" s="282" t="s">
        <v>14102</v>
      </c>
      <c r="G949" s="282" t="s">
        <v>376</v>
      </c>
      <c r="H949" s="282" t="s">
        <v>380</v>
      </c>
      <c r="I949" s="282" t="s">
        <v>381</v>
      </c>
      <c r="J949" s="281" t="s">
        <v>8430</v>
      </c>
      <c r="K949" s="282"/>
      <c r="L949" s="282"/>
      <c r="M949" s="282"/>
      <c r="N949" s="282"/>
      <c r="O949" s="282"/>
      <c r="P949" s="282"/>
      <c r="Q949" s="282"/>
      <c r="R949" s="282"/>
      <c r="S949" s="282"/>
      <c r="T949" s="282"/>
      <c r="U949" s="282"/>
      <c r="V949" s="282"/>
      <c r="W949" s="282"/>
      <c r="X949" s="282"/>
      <c r="Y949" s="282"/>
      <c r="Z949" s="282"/>
      <c r="AA949" s="282"/>
      <c r="AB949" s="282"/>
      <c r="AC949" s="282"/>
      <c r="AD949" s="282"/>
      <c r="AE949" s="282"/>
      <c r="AF949" s="282"/>
      <c r="AG949" s="282"/>
      <c r="AH949" s="282"/>
      <c r="AI949" s="282"/>
      <c r="AJ949" s="282"/>
      <c r="AK949" s="282"/>
      <c r="AL949" s="282"/>
      <c r="AM949" s="282"/>
      <c r="AN949" s="282"/>
      <c r="AO949" s="282"/>
      <c r="AP949" s="282"/>
      <c r="AQ949" s="282"/>
      <c r="AR949" s="282"/>
      <c r="AS949" s="282"/>
      <c r="AT949" s="282"/>
      <c r="AU949" s="282"/>
      <c r="AV949" s="282"/>
      <c r="AW949" s="282"/>
      <c r="AX949" s="282"/>
      <c r="AY949" s="282"/>
      <c r="AZ949" s="282"/>
      <c r="BA949" s="282"/>
      <c r="BB949" s="282"/>
      <c r="BC949" s="282"/>
      <c r="BD949" s="283">
        <v>41880</v>
      </c>
      <c r="BE949" s="283">
        <v>42369</v>
      </c>
      <c r="BF949" s="283">
        <v>42582</v>
      </c>
      <c r="BG949" s="283" t="s">
        <v>817</v>
      </c>
      <c r="BH949" s="284">
        <v>512327.53</v>
      </c>
      <c r="BI949" s="282" t="s">
        <v>14103</v>
      </c>
      <c r="BJ949" s="282" t="s">
        <v>354</v>
      </c>
      <c r="BK949" s="282" t="s">
        <v>14104</v>
      </c>
      <c r="BL949" s="282" t="s">
        <v>14021</v>
      </c>
      <c r="BM949" s="282" t="s">
        <v>980</v>
      </c>
      <c r="BN949" s="282" t="s">
        <v>14022</v>
      </c>
      <c r="BO949" s="282" t="s">
        <v>320</v>
      </c>
      <c r="BP949" s="282" t="s">
        <v>319</v>
      </c>
      <c r="BQ949" s="282" t="s">
        <v>319</v>
      </c>
      <c r="BR949" s="282" t="s">
        <v>14105</v>
      </c>
      <c r="BS949" s="282" t="s">
        <v>357</v>
      </c>
      <c r="BT949" s="282" t="s">
        <v>14106</v>
      </c>
      <c r="BU949" s="282" t="s">
        <v>14107</v>
      </c>
      <c r="BV949" s="284">
        <v>34840</v>
      </c>
      <c r="BW949" s="284">
        <v>32160</v>
      </c>
      <c r="BX949" s="284">
        <v>67000</v>
      </c>
      <c r="BY949" s="284">
        <v>0</v>
      </c>
      <c r="BZ949" s="284">
        <v>0</v>
      </c>
      <c r="CA949" s="284">
        <v>0</v>
      </c>
      <c r="CB949" s="285" t="s">
        <v>14108</v>
      </c>
      <c r="CC949" s="285"/>
      <c r="CD949" s="284"/>
      <c r="CE949" s="284"/>
      <c r="CF949" s="284"/>
      <c r="CG949" s="284">
        <v>0</v>
      </c>
      <c r="CH949" s="284">
        <v>0</v>
      </c>
      <c r="CI949" s="284">
        <v>0</v>
      </c>
      <c r="CJ949" s="282" t="s">
        <v>319</v>
      </c>
      <c r="CK949" s="284"/>
      <c r="CL949" s="286"/>
      <c r="CM949" s="284"/>
      <c r="CN949" s="287" t="s">
        <v>319</v>
      </c>
      <c r="CO949" s="284"/>
      <c r="CP949" s="286"/>
      <c r="CQ949" s="284"/>
      <c r="CR949" s="282" t="s">
        <v>319</v>
      </c>
      <c r="CS949" s="284"/>
      <c r="CT949" s="286"/>
      <c r="CU949" s="284"/>
      <c r="CV949" s="292" t="s">
        <v>319</v>
      </c>
      <c r="CW949" s="300"/>
      <c r="CX949" s="308"/>
      <c r="CY949" s="300"/>
      <c r="CZ949" s="282" t="s">
        <v>319</v>
      </c>
      <c r="DA949" s="284"/>
      <c r="DB949" s="286"/>
      <c r="DC949" s="284"/>
      <c r="DD949" s="287" t="s">
        <v>319</v>
      </c>
      <c r="DE949" s="284"/>
      <c r="DF949" s="286"/>
      <c r="DG949" s="284"/>
      <c r="DH949" s="282" t="s">
        <v>319</v>
      </c>
      <c r="DI949" s="284"/>
      <c r="DJ949" s="286"/>
      <c r="DK949" s="284"/>
      <c r="DL949" s="282" t="s">
        <v>319</v>
      </c>
      <c r="DM949" s="284"/>
      <c r="DN949" s="286"/>
      <c r="DO949" s="284"/>
      <c r="DP949" s="282" t="s">
        <v>319</v>
      </c>
      <c r="DQ949" s="284"/>
      <c r="DR949" s="286"/>
      <c r="DS949" s="284"/>
      <c r="DT949" s="282" t="s">
        <v>319</v>
      </c>
      <c r="DU949" s="284"/>
      <c r="DV949" s="286"/>
      <c r="DW949" s="284"/>
      <c r="DX949" s="282" t="s">
        <v>319</v>
      </c>
      <c r="DY949" s="284"/>
      <c r="DZ949" s="286"/>
      <c r="EA949" s="284"/>
      <c r="EB949" s="282" t="s">
        <v>320</v>
      </c>
      <c r="EC949" s="284"/>
      <c r="ED949" s="286"/>
      <c r="EE949" s="284"/>
      <c r="EF949" s="285"/>
      <c r="EG949" s="287" t="s">
        <v>319</v>
      </c>
      <c r="EH949" s="284"/>
      <c r="EI949" s="286"/>
      <c r="EJ949" s="284"/>
      <c r="EK949" s="284"/>
      <c r="EL949" s="284"/>
      <c r="EM949" s="284"/>
      <c r="EN949" s="284"/>
      <c r="EO949" s="284"/>
      <c r="EP949" s="284"/>
      <c r="EQ949" s="282"/>
      <c r="ER949" s="284"/>
      <c r="ES949" s="286"/>
      <c r="ET949" s="284"/>
      <c r="EU949" s="305"/>
      <c r="EV949" s="300"/>
      <c r="EW949" s="308"/>
      <c r="EX949" s="300"/>
      <c r="EY949" s="282"/>
      <c r="EZ949" s="284"/>
      <c r="FA949" s="286"/>
      <c r="FB949" s="284"/>
      <c r="FC949" s="282"/>
      <c r="FD949" s="284"/>
      <c r="FE949" s="286"/>
      <c r="FF949" s="284"/>
      <c r="FG949" s="282"/>
      <c r="FH949" s="284"/>
      <c r="FI949" s="286"/>
      <c r="FJ949" s="284"/>
      <c r="FK949" s="282"/>
      <c r="FL949" s="284"/>
      <c r="FM949" s="286"/>
      <c r="FN949" s="284"/>
      <c r="FO949" s="305"/>
      <c r="FP949" s="300"/>
      <c r="FQ949" s="308"/>
      <c r="FR949" s="300"/>
      <c r="FS949" s="282"/>
      <c r="FT949" s="284"/>
      <c r="FU949" s="286"/>
      <c r="FV949" s="284"/>
      <c r="FW949" s="282"/>
      <c r="FX949" s="284"/>
      <c r="FY949" s="286"/>
      <c r="FZ949" s="284"/>
      <c r="GA949" s="282"/>
      <c r="GB949" s="284"/>
      <c r="GC949" s="286"/>
      <c r="GD949" s="284"/>
      <c r="GE949" s="282"/>
      <c r="GF949" s="284"/>
      <c r="GG949" s="286"/>
      <c r="GH949" s="284"/>
      <c r="GI949" s="282"/>
      <c r="GJ949" s="284"/>
      <c r="GK949" s="286"/>
      <c r="GL949" s="284"/>
      <c r="GM949" s="282"/>
      <c r="GN949" s="284"/>
      <c r="GO949" s="286"/>
      <c r="GP949" s="284"/>
      <c r="GQ949" s="282"/>
      <c r="GR949" s="284"/>
      <c r="GS949" s="286"/>
      <c r="GT949" s="284"/>
      <c r="GU949" s="282"/>
      <c r="GV949" s="284"/>
      <c r="GW949" s="286"/>
      <c r="GX949" s="284"/>
      <c r="GY949" s="282"/>
      <c r="GZ949" s="284"/>
      <c r="HA949" s="286"/>
      <c r="HB949" s="284"/>
      <c r="HC949" s="282"/>
      <c r="HD949" s="282"/>
      <c r="HE949" s="284"/>
      <c r="HF949" s="286"/>
      <c r="HG949" s="284"/>
      <c r="HH949" s="282" t="s">
        <v>319</v>
      </c>
      <c r="HI949" s="282"/>
      <c r="HJ949" s="282"/>
      <c r="HK949" s="282" t="s">
        <v>320</v>
      </c>
      <c r="HL949" s="282" t="s">
        <v>319</v>
      </c>
      <c r="HM949" s="282"/>
      <c r="HN949" s="282"/>
      <c r="HO949" s="282"/>
      <c r="HP949" s="282"/>
      <c r="HQ949" s="282"/>
      <c r="HR949" s="282"/>
      <c r="HS949" s="282" t="s">
        <v>319</v>
      </c>
      <c r="HT949" s="282"/>
      <c r="HU949" s="282"/>
      <c r="HV949" s="282" t="s">
        <v>319</v>
      </c>
      <c r="HW949" s="282"/>
      <c r="HX949" s="282"/>
      <c r="HY949" s="282"/>
      <c r="HZ949" s="282"/>
      <c r="IA949" s="282"/>
      <c r="IB949" s="282"/>
      <c r="IC949" s="282"/>
      <c r="ID949" s="282" t="s">
        <v>364</v>
      </c>
      <c r="IE949" s="282"/>
      <c r="IF949" s="282"/>
      <c r="IG949" s="282"/>
      <c r="IH949" s="282"/>
      <c r="II949" s="282"/>
      <c r="IJ949" s="12" t="str">
        <f t="shared" si="645"/>
        <v>No marker score</v>
      </c>
      <c r="IK949" s="287">
        <f t="shared" si="604"/>
        <v>0</v>
      </c>
      <c r="IL949" s="282"/>
      <c r="IM949" s="282"/>
      <c r="IN949" s="282"/>
      <c r="IO949" s="282"/>
      <c r="IP949" s="282"/>
      <c r="IQ949" s="287" t="str">
        <f t="shared" si="605"/>
        <v>No marker score</v>
      </c>
      <c r="IR949" s="287">
        <f t="shared" si="606"/>
        <v>0</v>
      </c>
      <c r="IS949" s="282"/>
      <c r="IT949" s="282"/>
      <c r="IU949" s="282"/>
      <c r="IV949" s="282"/>
      <c r="IW949" s="11" t="str">
        <f t="shared" si="607"/>
        <v>No marker score</v>
      </c>
      <c r="IX949" s="287">
        <f t="shared" si="608"/>
        <v>0</v>
      </c>
      <c r="IY949" s="282" t="s">
        <v>338</v>
      </c>
      <c r="IZ949" s="282" t="s">
        <v>339</v>
      </c>
      <c r="JA949" s="282"/>
      <c r="JB949" s="282"/>
      <c r="JC949" s="282"/>
      <c r="JD949" s="282"/>
      <c r="JE949" s="282" t="s">
        <v>420</v>
      </c>
      <c r="JF949" s="282"/>
      <c r="JG949" s="282"/>
      <c r="JH949" s="282" t="s">
        <v>14109</v>
      </c>
      <c r="JI949" s="282"/>
      <c r="JJ949" s="282"/>
      <c r="JK949" s="282" t="s">
        <v>14109</v>
      </c>
      <c r="JL949" s="282"/>
      <c r="JM949" s="282"/>
      <c r="JN949" s="282" t="s">
        <v>14110</v>
      </c>
      <c r="JO949" s="282" t="s">
        <v>14111</v>
      </c>
      <c r="JP949" s="15">
        <f t="shared" si="609"/>
        <v>0</v>
      </c>
      <c r="JQ949" s="15">
        <f t="shared" si="610"/>
        <v>0</v>
      </c>
      <c r="JR949" s="279" t="str">
        <f t="shared" si="611"/>
        <v/>
      </c>
      <c r="JS949" s="17" t="str">
        <f t="shared" si="612"/>
        <v/>
      </c>
      <c r="JT949" s="18" t="str">
        <f t="shared" si="613"/>
        <v/>
      </c>
      <c r="JU949" s="280">
        <f t="shared" si="614"/>
        <v>0</v>
      </c>
      <c r="JV949" s="280">
        <f t="shared" si="615"/>
        <v>0</v>
      </c>
      <c r="JW949" s="319">
        <f t="shared" si="616"/>
        <v>1</v>
      </c>
      <c r="JX949" s="15">
        <f t="shared" si="617"/>
        <v>0</v>
      </c>
      <c r="JY949" s="15">
        <f t="shared" si="618"/>
        <v>0</v>
      </c>
      <c r="JZ949" s="19" t="str">
        <f t="shared" si="619"/>
        <v/>
      </c>
      <c r="KA949" s="52" t="str">
        <f t="shared" si="620"/>
        <v/>
      </c>
      <c r="KB949" s="15">
        <f t="shared" si="621"/>
        <v>0</v>
      </c>
      <c r="KC949" s="15">
        <f t="shared" si="622"/>
        <v>0</v>
      </c>
      <c r="KD949" s="20" t="str">
        <f t="shared" si="623"/>
        <v/>
      </c>
      <c r="KE949" s="52" t="str">
        <f t="shared" si="624"/>
        <v/>
      </c>
      <c r="KF949" s="15">
        <f t="shared" si="625"/>
        <v>0</v>
      </c>
      <c r="KG949" s="15">
        <f t="shared" si="626"/>
        <v>0</v>
      </c>
      <c r="KH949" s="21" t="str">
        <f t="shared" si="627"/>
        <v/>
      </c>
      <c r="KI949" s="52" t="str">
        <f t="shared" si="628"/>
        <v/>
      </c>
      <c r="KJ949" s="15">
        <f t="shared" si="629"/>
        <v>0</v>
      </c>
      <c r="KK949" s="15">
        <f t="shared" si="630"/>
        <v>0</v>
      </c>
      <c r="KL949" s="19" t="str">
        <f t="shared" si="631"/>
        <v/>
      </c>
      <c r="KM949" s="52" t="str">
        <f t="shared" si="632"/>
        <v/>
      </c>
      <c r="KN949" s="22">
        <f t="shared" si="633"/>
        <v>0</v>
      </c>
      <c r="KO949" s="22">
        <f t="shared" si="634"/>
        <v>0</v>
      </c>
      <c r="KP949" s="19" t="str">
        <f t="shared" si="635"/>
        <v/>
      </c>
      <c r="KQ949" s="11" t="str">
        <f t="shared" si="636"/>
        <v>No marker score</v>
      </c>
      <c r="KR949" s="11" t="str">
        <f t="shared" si="637"/>
        <v>No marker score</v>
      </c>
      <c r="KS949" s="11" t="str">
        <f t="shared" si="638"/>
        <v>No marker score</v>
      </c>
      <c r="KT949" s="11">
        <f t="shared" si="639"/>
        <v>0</v>
      </c>
      <c r="KU949" s="11">
        <f t="shared" si="640"/>
        <v>0</v>
      </c>
      <c r="KV949" s="11">
        <f t="shared" si="641"/>
        <v>0</v>
      </c>
      <c r="KW949" s="11" t="str">
        <f t="shared" si="642"/>
        <v>Zimbabwe - WASH - Hygiene Promotion and Capacity Development for Zvishavane and Shurugwi Towns (UNICEF Small Towns Project)</v>
      </c>
      <c r="KX949" s="11" t="str">
        <f t="shared" si="643"/>
        <v>WASH - Hygiene Promotion and Capacity Development for Zvishavane and Shurugwi Towns (UNICEF Small Towns Project)</v>
      </c>
      <c r="KY949" s="11" t="str">
        <f t="shared" si="644"/>
        <v>Zimbabwe</v>
      </c>
      <c r="KZ949" s="12">
        <v>950</v>
      </c>
    </row>
    <row r="950" spans="1:312" x14ac:dyDescent="0.3">
      <c r="A950" s="12" t="s">
        <v>14016</v>
      </c>
      <c r="B950" s="12" t="s">
        <v>7217</v>
      </c>
      <c r="C950" s="12">
        <v>3510</v>
      </c>
      <c r="D950" s="315" t="s">
        <v>14112</v>
      </c>
      <c r="E950" s="277" t="str">
        <f t="shared" si="603"/>
        <v>Zimbabwe</v>
      </c>
      <c r="F950" s="12" t="s">
        <v>14113</v>
      </c>
      <c r="G950" s="12" t="s">
        <v>376</v>
      </c>
      <c r="H950" s="12" t="s">
        <v>310</v>
      </c>
      <c r="I950" s="12" t="s">
        <v>11704</v>
      </c>
      <c r="J950" s="281" t="s">
        <v>14785</v>
      </c>
      <c r="K950" s="12"/>
      <c r="L950" s="12"/>
      <c r="M950" s="12"/>
      <c r="N950" s="12"/>
      <c r="O950" s="12"/>
      <c r="P950" s="12"/>
      <c r="Q950" s="12"/>
      <c r="R950" s="12"/>
      <c r="S950" s="12"/>
      <c r="T950" s="12"/>
      <c r="U950" s="12"/>
      <c r="V950" s="12"/>
      <c r="W950" s="12"/>
      <c r="X950" s="12"/>
      <c r="Y950" s="12"/>
      <c r="Z950" s="12"/>
      <c r="AA950" s="12"/>
      <c r="AB950" s="12"/>
      <c r="AC950" s="12"/>
      <c r="AD950" s="12"/>
      <c r="BD950" s="13">
        <v>41579</v>
      </c>
      <c r="BE950" s="13">
        <v>42674</v>
      </c>
      <c r="BF950" s="13">
        <v>42766</v>
      </c>
      <c r="BG950" s="12" t="s">
        <v>350</v>
      </c>
      <c r="BH950" s="14">
        <v>5040154</v>
      </c>
      <c r="BI950" s="12" t="s">
        <v>14114</v>
      </c>
      <c r="BJ950" s="12" t="s">
        <v>14115</v>
      </c>
      <c r="BK950" s="12" t="s">
        <v>14116</v>
      </c>
      <c r="BL950" s="12" t="s">
        <v>14021</v>
      </c>
      <c r="BM950" s="12" t="s">
        <v>980</v>
      </c>
      <c r="BN950" s="12" t="s">
        <v>14038</v>
      </c>
      <c r="BO950" s="12" t="s">
        <v>319</v>
      </c>
      <c r="BP950" s="12" t="s">
        <v>320</v>
      </c>
      <c r="BQ950" s="12" t="s">
        <v>319</v>
      </c>
      <c r="BR950" s="12" t="s">
        <v>14117</v>
      </c>
      <c r="BS950" s="12" t="s">
        <v>357</v>
      </c>
      <c r="BT950" s="12" t="s">
        <v>14118</v>
      </c>
      <c r="BU950" s="12" t="s">
        <v>14119</v>
      </c>
      <c r="BV950" s="14">
        <v>12600</v>
      </c>
      <c r="BW950" s="14">
        <v>5400</v>
      </c>
      <c r="BX950" s="14">
        <v>18000</v>
      </c>
      <c r="BY950" s="14"/>
      <c r="BZ950" s="14"/>
      <c r="CA950" s="14"/>
      <c r="CB950" s="12" t="s">
        <v>14120</v>
      </c>
      <c r="CD950" s="14"/>
      <c r="CE950" s="14"/>
      <c r="CF950" s="14"/>
      <c r="CG950" s="14"/>
      <c r="CH950" s="14"/>
      <c r="CI950" s="14"/>
      <c r="CJ950" s="12"/>
      <c r="CK950" s="14"/>
      <c r="CL950" s="16"/>
      <c r="CM950" s="14"/>
      <c r="CN950" s="12"/>
      <c r="CO950" s="14"/>
      <c r="CP950" s="16"/>
      <c r="CQ950" s="14"/>
      <c r="CR950" s="12"/>
      <c r="CS950" s="14"/>
      <c r="CT950" s="16"/>
      <c r="CU950" s="14"/>
      <c r="CV950" s="12"/>
      <c r="CW950" s="14"/>
      <c r="CX950" s="16"/>
      <c r="CY950" s="14"/>
      <c r="CZ950" s="12"/>
      <c r="DA950" s="14"/>
      <c r="DB950" s="16"/>
      <c r="DC950" s="14"/>
      <c r="DD950" s="12"/>
      <c r="DE950" s="14"/>
      <c r="DF950" s="16"/>
      <c r="DG950" s="14"/>
      <c r="DH950" s="12"/>
      <c r="DI950" s="14"/>
      <c r="DJ950" s="16"/>
      <c r="DK950" s="14"/>
      <c r="DL950" s="12"/>
      <c r="DM950" s="14"/>
      <c r="DN950" s="16"/>
      <c r="DO950" s="14"/>
      <c r="DP950" s="12"/>
      <c r="DQ950" s="14"/>
      <c r="DR950" s="16"/>
      <c r="DS950" s="14"/>
      <c r="DT950" s="12"/>
      <c r="DU950" s="14"/>
      <c r="DV950" s="16"/>
      <c r="DW950" s="14"/>
      <c r="DX950" s="12"/>
      <c r="DY950" s="14"/>
      <c r="DZ950" s="16"/>
      <c r="EA950" s="14"/>
      <c r="EB950" s="12"/>
      <c r="EC950" s="14"/>
      <c r="ED950" s="16"/>
      <c r="EE950" s="14"/>
      <c r="EF950" s="12"/>
      <c r="EG950" s="12"/>
      <c r="EH950" s="14"/>
      <c r="EI950" s="16"/>
      <c r="EJ950" s="14"/>
      <c r="EK950" s="14">
        <v>4893</v>
      </c>
      <c r="EL950" s="14">
        <v>2983</v>
      </c>
      <c r="EM950" s="14">
        <v>7876</v>
      </c>
      <c r="EN950" s="14">
        <v>1679</v>
      </c>
      <c r="EO950" s="14">
        <v>1550</v>
      </c>
      <c r="EP950" s="14">
        <v>3229</v>
      </c>
      <c r="EQ950" s="12" t="s">
        <v>319</v>
      </c>
      <c r="ER950" s="14"/>
      <c r="ES950" s="16"/>
      <c r="ET950" s="14"/>
      <c r="EU950" s="11" t="s">
        <v>319</v>
      </c>
      <c r="EV950" s="14"/>
      <c r="EW950" s="16"/>
      <c r="EX950" s="14"/>
      <c r="EY950" s="12" t="s">
        <v>319</v>
      </c>
      <c r="EZ950" s="14"/>
      <c r="FA950" s="16"/>
      <c r="FB950" s="14"/>
      <c r="FC950" s="12" t="s">
        <v>319</v>
      </c>
      <c r="FD950" s="14"/>
      <c r="FE950" s="16"/>
      <c r="FF950" s="14"/>
      <c r="FG950" s="12" t="s">
        <v>320</v>
      </c>
      <c r="FH950" s="14">
        <v>7876</v>
      </c>
      <c r="FI950" s="16">
        <v>0.62</v>
      </c>
      <c r="FJ950" s="14">
        <v>3228</v>
      </c>
      <c r="FK950" s="12" t="s">
        <v>319</v>
      </c>
      <c r="FL950" s="14"/>
      <c r="FM950" s="16"/>
      <c r="FN950" s="14"/>
      <c r="FO950" s="12" t="s">
        <v>319</v>
      </c>
      <c r="FP950" s="14"/>
      <c r="FQ950" s="16"/>
      <c r="FR950" s="14"/>
      <c r="FS950" s="12" t="s">
        <v>319</v>
      </c>
      <c r="FT950" s="14"/>
      <c r="FU950" s="16"/>
      <c r="FV950" s="14"/>
      <c r="FW950" s="11" t="s">
        <v>320</v>
      </c>
      <c r="FX950" s="14">
        <v>5208</v>
      </c>
      <c r="FY950" s="16">
        <v>0.62</v>
      </c>
      <c r="FZ950" s="14">
        <v>3228</v>
      </c>
      <c r="GA950" s="12" t="s">
        <v>319</v>
      </c>
      <c r="GB950" s="14"/>
      <c r="GC950" s="16"/>
      <c r="GD950" s="14"/>
      <c r="GE950" s="12" t="s">
        <v>319</v>
      </c>
      <c r="GF950" s="14"/>
      <c r="GG950" s="16"/>
      <c r="GH950" s="14"/>
      <c r="GI950" s="12" t="s">
        <v>319</v>
      </c>
      <c r="GJ950" s="14"/>
      <c r="GK950" s="16"/>
      <c r="GL950" s="14"/>
      <c r="GM950" s="11" t="s">
        <v>320</v>
      </c>
      <c r="GN950" s="14">
        <v>5208</v>
      </c>
      <c r="GO950" s="16">
        <v>0.62</v>
      </c>
      <c r="GP950" s="14">
        <v>3228</v>
      </c>
      <c r="GQ950" s="12" t="s">
        <v>319</v>
      </c>
      <c r="GR950" s="14"/>
      <c r="GS950" s="16"/>
      <c r="GT950" s="14"/>
      <c r="GU950" s="12" t="s">
        <v>319</v>
      </c>
      <c r="GV950" s="14"/>
      <c r="GW950" s="16"/>
      <c r="GX950" s="14"/>
      <c r="GY950" s="11" t="s">
        <v>320</v>
      </c>
      <c r="GZ950" s="14">
        <v>4893</v>
      </c>
      <c r="HA950" s="16">
        <v>0.62</v>
      </c>
      <c r="HB950" s="14">
        <v>1679</v>
      </c>
      <c r="HC950" s="12"/>
      <c r="HD950" s="12" t="s">
        <v>319</v>
      </c>
      <c r="HE950" s="14"/>
      <c r="HF950" s="16"/>
      <c r="HG950" s="14"/>
      <c r="HH950" s="12" t="s">
        <v>320</v>
      </c>
      <c r="HI950" s="12" t="s">
        <v>328</v>
      </c>
      <c r="HJ950" s="12">
        <v>2016</v>
      </c>
      <c r="HK950" s="12" t="s">
        <v>319</v>
      </c>
      <c r="HL950" s="12" t="s">
        <v>319</v>
      </c>
      <c r="HM950" s="12"/>
      <c r="HN950" s="12"/>
      <c r="HO950" s="12"/>
      <c r="HP950" s="12" t="s">
        <v>330</v>
      </c>
      <c r="HQ950" s="12" t="s">
        <v>319</v>
      </c>
      <c r="HR950" s="12" t="s">
        <v>319</v>
      </c>
      <c r="HS950" s="12" t="s">
        <v>320</v>
      </c>
      <c r="HT950" s="12" t="s">
        <v>319</v>
      </c>
      <c r="HU950" s="12" t="s">
        <v>320</v>
      </c>
      <c r="HV950" s="12" t="s">
        <v>319</v>
      </c>
      <c r="HW950" s="12" t="s">
        <v>319</v>
      </c>
      <c r="HX950" s="12" t="s">
        <v>319</v>
      </c>
      <c r="HY950" s="12"/>
      <c r="HZ950" s="12" t="s">
        <v>394</v>
      </c>
      <c r="IA950" s="12" t="s">
        <v>14121</v>
      </c>
      <c r="IB950" s="12" t="s">
        <v>396</v>
      </c>
      <c r="IC950" s="12" t="s">
        <v>14122</v>
      </c>
      <c r="ID950" s="12" t="s">
        <v>364</v>
      </c>
      <c r="IE950" s="12" t="s">
        <v>478</v>
      </c>
      <c r="IF950" s="12" t="s">
        <v>320</v>
      </c>
      <c r="IG950" s="12" t="s">
        <v>320</v>
      </c>
      <c r="IH950" s="12" t="s">
        <v>320</v>
      </c>
      <c r="II950" s="12" t="s">
        <v>320</v>
      </c>
      <c r="IJ950" s="12" t="str">
        <f t="shared" si="645"/>
        <v>4. Transformative</v>
      </c>
      <c r="IK950" s="12">
        <f t="shared" si="604"/>
        <v>4</v>
      </c>
      <c r="IL950" s="12" t="s">
        <v>336</v>
      </c>
      <c r="IM950" s="12" t="s">
        <v>320</v>
      </c>
      <c r="IN950" s="12" t="s">
        <v>320</v>
      </c>
      <c r="IO950" s="12" t="s">
        <v>320</v>
      </c>
      <c r="IP950" s="12" t="s">
        <v>320</v>
      </c>
      <c r="IQ950" s="12" t="str">
        <f t="shared" si="605"/>
        <v>2. Accommodating</v>
      </c>
      <c r="IR950" s="12">
        <f t="shared" si="606"/>
        <v>4</v>
      </c>
      <c r="IS950" s="12" t="s">
        <v>337</v>
      </c>
      <c r="IT950" s="12" t="s">
        <v>320</v>
      </c>
      <c r="IU950" s="12" t="s">
        <v>320</v>
      </c>
      <c r="IV950" s="12" t="s">
        <v>319</v>
      </c>
      <c r="IW950" s="11" t="str">
        <f t="shared" si="607"/>
        <v>1. Neutral</v>
      </c>
      <c r="IX950" s="12">
        <f t="shared" si="608"/>
        <v>2</v>
      </c>
      <c r="IY950" s="12" t="s">
        <v>419</v>
      </c>
      <c r="IZ950" s="12" t="s">
        <v>457</v>
      </c>
      <c r="JA950" s="12">
        <v>4</v>
      </c>
      <c r="JB950" s="12" t="s">
        <v>687</v>
      </c>
      <c r="JC950" s="12" t="s">
        <v>724</v>
      </c>
      <c r="JD950" s="12" t="s">
        <v>384</v>
      </c>
      <c r="JE950" s="12" t="s">
        <v>365</v>
      </c>
      <c r="JF950" s="12" t="s">
        <v>14123</v>
      </c>
      <c r="JG950" s="12"/>
      <c r="JH950" s="12" t="s">
        <v>14124</v>
      </c>
      <c r="JI950" s="12" t="s">
        <v>14125</v>
      </c>
      <c r="JJ950" s="12" t="s">
        <v>14126</v>
      </c>
      <c r="JK950" s="12" t="s">
        <v>14127</v>
      </c>
      <c r="JL950" s="12" t="s">
        <v>14128</v>
      </c>
      <c r="JM950" s="12" t="s">
        <v>14129</v>
      </c>
      <c r="JN950" s="12"/>
      <c r="JO950" s="12" t="s">
        <v>14130</v>
      </c>
      <c r="JP950" s="15">
        <f t="shared" si="609"/>
        <v>7876</v>
      </c>
      <c r="JQ950" s="15">
        <f t="shared" si="610"/>
        <v>3229</v>
      </c>
      <c r="JR950" s="279">
        <f t="shared" si="611"/>
        <v>0.4099796851193499</v>
      </c>
      <c r="JS950" s="17">
        <f t="shared" si="612"/>
        <v>0.62125444388014217</v>
      </c>
      <c r="JT950" s="18">
        <f t="shared" si="613"/>
        <v>0.51997522452771761</v>
      </c>
      <c r="JU950" s="280">
        <f t="shared" si="614"/>
        <v>4893</v>
      </c>
      <c r="JV950" s="280">
        <f t="shared" si="615"/>
        <v>1679</v>
      </c>
      <c r="JW950" s="319" t="str">
        <f t="shared" si="616"/>
        <v/>
      </c>
      <c r="JX950" s="15">
        <f t="shared" si="617"/>
        <v>0</v>
      </c>
      <c r="JY950" s="15">
        <f t="shared" si="618"/>
        <v>0</v>
      </c>
      <c r="JZ950" s="19" t="str">
        <f t="shared" si="619"/>
        <v/>
      </c>
      <c r="KA950" s="52">
        <f t="shared" si="620"/>
        <v>1</v>
      </c>
      <c r="KB950" s="15">
        <f t="shared" si="621"/>
        <v>7876</v>
      </c>
      <c r="KC950" s="15">
        <f t="shared" si="622"/>
        <v>3228</v>
      </c>
      <c r="KD950" s="20">
        <f t="shared" si="623"/>
        <v>0.40985271711528692</v>
      </c>
      <c r="KE950" s="52" t="str">
        <f t="shared" si="624"/>
        <v/>
      </c>
      <c r="KF950" s="15">
        <f t="shared" si="625"/>
        <v>0</v>
      </c>
      <c r="KG950" s="15">
        <f t="shared" si="626"/>
        <v>0</v>
      </c>
      <c r="KH950" s="21" t="str">
        <f t="shared" si="627"/>
        <v/>
      </c>
      <c r="KI950" s="52" t="str">
        <f t="shared" si="628"/>
        <v/>
      </c>
      <c r="KJ950" s="15">
        <f t="shared" si="629"/>
        <v>0</v>
      </c>
      <c r="KK950" s="15">
        <f t="shared" si="630"/>
        <v>0</v>
      </c>
      <c r="KL950" s="19" t="str">
        <f t="shared" si="631"/>
        <v/>
      </c>
      <c r="KM950" s="52">
        <f t="shared" si="632"/>
        <v>1</v>
      </c>
      <c r="KN950" s="22">
        <f t="shared" si="633"/>
        <v>4893</v>
      </c>
      <c r="KO950" s="22">
        <f t="shared" si="634"/>
        <v>2001.36</v>
      </c>
      <c r="KP950" s="19">
        <f t="shared" si="635"/>
        <v>0.40902513795217654</v>
      </c>
      <c r="KQ950" s="11" t="str">
        <f t="shared" si="636"/>
        <v>4. Transformative</v>
      </c>
      <c r="KR950" s="11" t="str">
        <f t="shared" si="637"/>
        <v>2. Accommodating</v>
      </c>
      <c r="KS950" s="11" t="str">
        <f t="shared" si="638"/>
        <v>1. Neutral</v>
      </c>
      <c r="KT950" s="11" t="str">
        <f t="shared" si="639"/>
        <v>It tested new ways for fighting poverty, but did not measure results of innovation</v>
      </c>
      <c r="KU950" s="11" t="str">
        <f t="shared" si="640"/>
        <v>Moderate advocacy</v>
      </c>
      <c r="KV950" s="11" t="str">
        <f t="shared" si="641"/>
        <v>It linked and worked with strategic alliances and partners to take tested and effective solutions to scale</v>
      </c>
      <c r="KW950" s="11" t="str">
        <f t="shared" si="642"/>
        <v>Zimbabwe - Youth Empowerment Project (YEP)</v>
      </c>
      <c r="KX950" s="11" t="str">
        <f t="shared" si="643"/>
        <v>Youth Empowerment Project (YEP)</v>
      </c>
      <c r="KY950" s="11" t="str">
        <f t="shared" si="644"/>
        <v>Zimbabwe</v>
      </c>
      <c r="KZ950" s="12">
        <v>951</v>
      </c>
    </row>
    <row r="951" spans="1:312" x14ac:dyDescent="0.3">
      <c r="A951" s="12" t="s">
        <v>14016</v>
      </c>
      <c r="B951" s="12" t="s">
        <v>7217</v>
      </c>
      <c r="C951" s="12">
        <v>3502</v>
      </c>
      <c r="D951" s="315" t="s">
        <v>14145</v>
      </c>
      <c r="E951" s="277" t="str">
        <f t="shared" si="603"/>
        <v>Zimbabwe</v>
      </c>
      <c r="F951" s="12" t="s">
        <v>14146</v>
      </c>
      <c r="G951" s="12" t="s">
        <v>1738</v>
      </c>
      <c r="H951" s="12" t="s">
        <v>380</v>
      </c>
      <c r="I951" s="12" t="s">
        <v>907</v>
      </c>
      <c r="J951" s="281" t="s">
        <v>5183</v>
      </c>
      <c r="K951" s="12"/>
      <c r="L951" s="12"/>
      <c r="M951" s="12"/>
      <c r="N951" s="12"/>
      <c r="O951" s="12"/>
      <c r="P951" s="12"/>
      <c r="Q951" s="12"/>
      <c r="R951" s="12"/>
      <c r="S951" s="12"/>
      <c r="T951" s="12"/>
      <c r="U951" s="12"/>
      <c r="V951" s="12"/>
      <c r="W951" s="12"/>
      <c r="X951" s="12"/>
      <c r="Y951" s="12"/>
      <c r="Z951" s="12"/>
      <c r="AA951" s="12"/>
      <c r="AB951" s="12"/>
      <c r="AC951" s="12"/>
      <c r="AD951" s="12"/>
      <c r="BD951" s="13">
        <v>42370</v>
      </c>
      <c r="BE951" s="13">
        <v>42612</v>
      </c>
      <c r="BF951" s="13">
        <v>42900</v>
      </c>
      <c r="BG951" s="12" t="s">
        <v>908</v>
      </c>
      <c r="BH951" s="14">
        <v>3902634.36</v>
      </c>
      <c r="BI951" s="12" t="s">
        <v>14147</v>
      </c>
      <c r="BJ951" s="12" t="s">
        <v>751</v>
      </c>
      <c r="BK951" s="12" t="s">
        <v>14148</v>
      </c>
      <c r="BL951" s="12" t="s">
        <v>14021</v>
      </c>
      <c r="BM951" s="12" t="s">
        <v>980</v>
      </c>
      <c r="BN951" s="12" t="s">
        <v>14022</v>
      </c>
      <c r="BO951" s="12" t="s">
        <v>320</v>
      </c>
      <c r="BP951" s="12" t="s">
        <v>319</v>
      </c>
      <c r="BQ951" s="12" t="s">
        <v>319</v>
      </c>
      <c r="BR951" s="12" t="s">
        <v>14149</v>
      </c>
      <c r="BS951" s="12" t="s">
        <v>357</v>
      </c>
      <c r="BT951" s="12" t="s">
        <v>14150</v>
      </c>
      <c r="BU951" s="12" t="s">
        <v>14025</v>
      </c>
      <c r="BV951" s="14">
        <v>15317</v>
      </c>
      <c r="BW951" s="14">
        <v>13583</v>
      </c>
      <c r="BX951" s="14">
        <v>28900</v>
      </c>
      <c r="BY951" s="14">
        <v>0</v>
      </c>
      <c r="BZ951" s="14">
        <v>0</v>
      </c>
      <c r="CA951" s="14">
        <v>0</v>
      </c>
      <c r="CB951" s="12" t="s">
        <v>14151</v>
      </c>
      <c r="CD951" s="14">
        <v>21547</v>
      </c>
      <c r="CE951" s="14">
        <v>19158</v>
      </c>
      <c r="CF951" s="14">
        <v>40705</v>
      </c>
      <c r="CG951" s="14"/>
      <c r="CH951" s="14"/>
      <c r="CI951" s="14"/>
      <c r="CJ951" s="11" t="s">
        <v>319</v>
      </c>
      <c r="CK951" s="14"/>
      <c r="CL951" s="16"/>
      <c r="CM951" s="14"/>
      <c r="CN951" s="12" t="s">
        <v>320</v>
      </c>
      <c r="CO951" s="14">
        <v>40705</v>
      </c>
      <c r="CP951" s="16">
        <v>0.53</v>
      </c>
      <c r="CQ951" s="14">
        <v>0</v>
      </c>
      <c r="CR951" s="12" t="s">
        <v>319</v>
      </c>
      <c r="CS951" s="14"/>
      <c r="CT951" s="16"/>
      <c r="CU951" s="14"/>
      <c r="CV951" s="12" t="s">
        <v>320</v>
      </c>
      <c r="CW951" s="14">
        <v>40705</v>
      </c>
      <c r="CX951" s="16">
        <v>0.53</v>
      </c>
      <c r="CY951" s="14">
        <v>0</v>
      </c>
      <c r="CZ951" s="12" t="s">
        <v>319</v>
      </c>
      <c r="DA951" s="14"/>
      <c r="DB951" s="16"/>
      <c r="DC951" s="14"/>
      <c r="DD951" s="12" t="s">
        <v>319</v>
      </c>
      <c r="DE951" s="14"/>
      <c r="DF951" s="16"/>
      <c r="DG951" s="14"/>
      <c r="DH951" s="12" t="s">
        <v>319</v>
      </c>
      <c r="DI951" s="14"/>
      <c r="DJ951" s="16"/>
      <c r="DK951" s="14"/>
      <c r="DL951" s="11" t="s">
        <v>320</v>
      </c>
      <c r="DM951" s="14">
        <v>9368</v>
      </c>
      <c r="DN951" s="16">
        <v>0.56000000000000005</v>
      </c>
      <c r="DO951" s="14">
        <v>37472</v>
      </c>
      <c r="DP951" s="12" t="s">
        <v>319</v>
      </c>
      <c r="DQ951" s="14"/>
      <c r="DR951" s="16"/>
      <c r="DS951" s="14"/>
      <c r="DT951" s="12" t="s">
        <v>319</v>
      </c>
      <c r="DU951" s="14"/>
      <c r="DV951" s="16"/>
      <c r="DW951" s="14"/>
      <c r="DX951" s="12" t="s">
        <v>319</v>
      </c>
      <c r="DY951" s="14"/>
      <c r="DZ951" s="16"/>
      <c r="EA951" s="14"/>
      <c r="EB951" s="12" t="s">
        <v>319</v>
      </c>
      <c r="EC951" s="14"/>
      <c r="ED951" s="16"/>
      <c r="EE951" s="14"/>
      <c r="EF951" s="12"/>
      <c r="EG951" s="12"/>
      <c r="EH951" s="14"/>
      <c r="EI951" s="16"/>
      <c r="EJ951" s="14"/>
      <c r="EK951" s="14"/>
      <c r="EL951" s="14"/>
      <c r="EM951" s="14"/>
      <c r="EN951" s="14"/>
      <c r="EO951" s="14"/>
      <c r="EP951" s="14"/>
      <c r="EQ951" s="12"/>
      <c r="ER951" s="14"/>
      <c r="ES951" s="16"/>
      <c r="ET951" s="14"/>
      <c r="EU951" s="12"/>
      <c r="EV951" s="14"/>
      <c r="EW951" s="16"/>
      <c r="EX951" s="14"/>
      <c r="EY951" s="12"/>
      <c r="EZ951" s="14"/>
      <c r="FA951" s="16"/>
      <c r="FB951" s="14"/>
      <c r="FC951" s="12"/>
      <c r="FD951" s="14"/>
      <c r="FE951" s="16"/>
      <c r="FF951" s="14"/>
      <c r="FG951" s="12"/>
      <c r="FH951" s="14"/>
      <c r="FI951" s="16"/>
      <c r="FJ951" s="14"/>
      <c r="FK951" s="12"/>
      <c r="FL951" s="14"/>
      <c r="FM951" s="16"/>
      <c r="FN951" s="14"/>
      <c r="FO951" s="12"/>
      <c r="FP951" s="14"/>
      <c r="FQ951" s="16"/>
      <c r="FR951" s="14"/>
      <c r="FS951" s="12"/>
      <c r="FT951" s="14"/>
      <c r="FU951" s="16"/>
      <c r="FV951" s="14"/>
      <c r="FW951" s="12"/>
      <c r="FX951" s="14"/>
      <c r="FY951" s="16"/>
      <c r="FZ951" s="14"/>
      <c r="GA951" s="12"/>
      <c r="GB951" s="14"/>
      <c r="GC951" s="16"/>
      <c r="GD951" s="14"/>
      <c r="GE951" s="12"/>
      <c r="GF951" s="14"/>
      <c r="GG951" s="16"/>
      <c r="GH951" s="14"/>
      <c r="GI951" s="12"/>
      <c r="GJ951" s="14"/>
      <c r="GK951" s="16"/>
      <c r="GL951" s="14"/>
      <c r="GM951" s="12"/>
      <c r="GN951" s="14"/>
      <c r="GO951" s="16"/>
      <c r="GP951" s="14"/>
      <c r="GQ951" s="12"/>
      <c r="GR951" s="14"/>
      <c r="GS951" s="16"/>
      <c r="GT951" s="14"/>
      <c r="GU951" s="12"/>
      <c r="GV951" s="14"/>
      <c r="GW951" s="16"/>
      <c r="GX951" s="14"/>
      <c r="GY951" s="12"/>
      <c r="GZ951" s="14"/>
      <c r="HA951" s="16"/>
      <c r="HB951" s="14"/>
      <c r="HC951" s="12"/>
      <c r="HD951" s="12"/>
      <c r="HE951" s="14"/>
      <c r="HF951" s="16"/>
      <c r="HG951" s="14"/>
      <c r="HH951" s="12" t="s">
        <v>320</v>
      </c>
      <c r="HI951" s="12" t="s">
        <v>431</v>
      </c>
      <c r="HJ951" s="12">
        <v>2017</v>
      </c>
      <c r="HK951" s="12"/>
      <c r="HL951" s="12" t="s">
        <v>319</v>
      </c>
      <c r="HM951" s="12"/>
      <c r="HN951" s="12"/>
      <c r="HO951" s="12" t="s">
        <v>14152</v>
      </c>
      <c r="HP951" s="12" t="s">
        <v>418</v>
      </c>
      <c r="HQ951" s="12" t="s">
        <v>319</v>
      </c>
      <c r="HR951" s="12" t="s">
        <v>319</v>
      </c>
      <c r="HS951" s="12" t="s">
        <v>319</v>
      </c>
      <c r="HT951" s="12" t="s">
        <v>319</v>
      </c>
      <c r="HU951" s="12" t="s">
        <v>319</v>
      </c>
      <c r="HV951" s="12" t="s">
        <v>319</v>
      </c>
      <c r="HW951" s="12" t="s">
        <v>319</v>
      </c>
      <c r="HX951" s="12" t="s">
        <v>319</v>
      </c>
      <c r="HY951" s="12"/>
      <c r="HZ951" s="12" t="s">
        <v>363</v>
      </c>
      <c r="IA951" s="12"/>
      <c r="IB951" s="12" t="s">
        <v>333</v>
      </c>
      <c r="IC951" s="12"/>
      <c r="ID951" s="12" t="s">
        <v>334</v>
      </c>
      <c r="IE951" s="12" t="s">
        <v>335</v>
      </c>
      <c r="IF951" s="12" t="s">
        <v>319</v>
      </c>
      <c r="IG951" s="12" t="s">
        <v>319</v>
      </c>
      <c r="IH951" s="12" t="s">
        <v>320</v>
      </c>
      <c r="II951" s="12" t="s">
        <v>320</v>
      </c>
      <c r="IJ951" s="12" t="str">
        <f t="shared" si="645"/>
        <v>1. Neutral</v>
      </c>
      <c r="IK951" s="12">
        <f t="shared" si="604"/>
        <v>2</v>
      </c>
      <c r="IL951" s="12" t="s">
        <v>336</v>
      </c>
      <c r="IM951" s="12" t="s">
        <v>319</v>
      </c>
      <c r="IN951" s="12" t="s">
        <v>319</v>
      </c>
      <c r="IO951" s="12" t="s">
        <v>320</v>
      </c>
      <c r="IP951" s="12" t="s">
        <v>320</v>
      </c>
      <c r="IQ951" s="12" t="str">
        <f>IF(IL951="","No marker score",IF(ISNUMBER(SEARCH("select",IL951)),"",IF(ISNUMBER(SEARCH("Did NOT",IL951)),"0. Unaware",IF(ISNUMBER(SEARCH("CHALLENGED",IL951)),IF(IR951=4,"4. Transformational",IF(IR951&gt;1,"3. Responsive",IF(IR951&lt;=1,"No marker score",""))),IF(ISNUMBER(SEARCH("WORKED WITH",IL951)),IF(IR951&gt;=3,"2. Accommodating",IF(IR951&gt;=1,"1. Tokenistic","0. Unaware")))))))</f>
        <v>1. Tokenistic</v>
      </c>
      <c r="IR951" s="12">
        <f t="shared" si="606"/>
        <v>2</v>
      </c>
      <c r="IS951" s="12" t="s">
        <v>337</v>
      </c>
      <c r="IT951" s="12" t="s">
        <v>319</v>
      </c>
      <c r="IU951" s="12" t="s">
        <v>320</v>
      </c>
      <c r="IV951" s="12" t="s">
        <v>320</v>
      </c>
      <c r="IW951" s="11" t="str">
        <f>IF(IS951="","No marker score",IF(ISNUMBER(SEARCH("select",IS951)),"",IF(ISNUMBER(SEARCH("Did NOT",IS951)),"0. Harmful",IF(ISNUMBER(SEARCH("well",IS951)),IF(IX951=3,"4. Transformative",IF(IX951&gt;=1,"3. Responsive",IF(IX951=0,"No marker score",""))),IF(ISNUMBER(SEARCH(".",IS951)),IF(IX951&gt;=3,"2. Sensitive",IF(IX951&gt;=1,"1. Neutral","0. Harmful")))))))</f>
        <v>1. Neutral</v>
      </c>
      <c r="IX951" s="12">
        <f t="shared" si="608"/>
        <v>2</v>
      </c>
      <c r="IY951" s="12" t="s">
        <v>419</v>
      </c>
      <c r="IZ951" s="12" t="s">
        <v>339</v>
      </c>
      <c r="JA951" s="12">
        <v>1</v>
      </c>
      <c r="JB951" s="12" t="s">
        <v>724</v>
      </c>
      <c r="JC951" s="12"/>
      <c r="JD951" s="12"/>
      <c r="JE951" s="12" t="s">
        <v>420</v>
      </c>
      <c r="JF951" s="12"/>
      <c r="JG951" s="12" t="s">
        <v>14153</v>
      </c>
      <c r="JH951" s="12" t="s">
        <v>14154</v>
      </c>
      <c r="JI951" s="12" t="s">
        <v>6563</v>
      </c>
      <c r="JJ951" s="12" t="s">
        <v>14155</v>
      </c>
      <c r="JK951" s="12" t="s">
        <v>14156</v>
      </c>
      <c r="JL951" s="12" t="s">
        <v>14157</v>
      </c>
      <c r="JM951" s="12" t="s">
        <v>14158</v>
      </c>
      <c r="JN951" s="12"/>
      <c r="JO951" s="12" t="s">
        <v>14159</v>
      </c>
      <c r="JP951" s="15">
        <f t="shared" si="609"/>
        <v>40705</v>
      </c>
      <c r="JQ951" s="15">
        <f t="shared" si="610"/>
        <v>0</v>
      </c>
      <c r="JR951" s="279">
        <f t="shared" si="611"/>
        <v>0</v>
      </c>
      <c r="JS951" s="17">
        <f t="shared" si="612"/>
        <v>0.52934528927650171</v>
      </c>
      <c r="JT951" s="18" t="str">
        <f t="shared" si="613"/>
        <v/>
      </c>
      <c r="JU951" s="280">
        <f t="shared" si="614"/>
        <v>21547</v>
      </c>
      <c r="JV951" s="280">
        <f t="shared" si="615"/>
        <v>0</v>
      </c>
      <c r="JW951" s="319">
        <f t="shared" si="616"/>
        <v>1</v>
      </c>
      <c r="JX951" s="15">
        <f t="shared" si="617"/>
        <v>40705</v>
      </c>
      <c r="JY951" s="15">
        <f t="shared" si="618"/>
        <v>0</v>
      </c>
      <c r="JZ951" s="19">
        <f t="shared" si="619"/>
        <v>0</v>
      </c>
      <c r="KA951" s="52">
        <f t="shared" si="620"/>
        <v>1</v>
      </c>
      <c r="KB951" s="15">
        <f t="shared" si="621"/>
        <v>40705</v>
      </c>
      <c r="KC951" s="15">
        <f t="shared" si="622"/>
        <v>37472</v>
      </c>
      <c r="KD951" s="20">
        <f t="shared" si="623"/>
        <v>0.92057486795234</v>
      </c>
      <c r="KE951" s="52" t="str">
        <f t="shared" si="624"/>
        <v/>
      </c>
      <c r="KF951" s="15">
        <f t="shared" si="625"/>
        <v>0</v>
      </c>
      <c r="KG951" s="15">
        <f t="shared" si="626"/>
        <v>0</v>
      </c>
      <c r="KH951" s="21" t="str">
        <f t="shared" si="627"/>
        <v/>
      </c>
      <c r="KI951" s="52" t="str">
        <f t="shared" si="628"/>
        <v/>
      </c>
      <c r="KJ951" s="15">
        <f t="shared" si="629"/>
        <v>0</v>
      </c>
      <c r="KK951" s="15">
        <f t="shared" si="630"/>
        <v>0</v>
      </c>
      <c r="KL951" s="19" t="str">
        <f t="shared" si="631"/>
        <v/>
      </c>
      <c r="KM951" s="52" t="str">
        <f t="shared" si="632"/>
        <v/>
      </c>
      <c r="KN951" s="22">
        <f t="shared" si="633"/>
        <v>0</v>
      </c>
      <c r="KO951" s="22">
        <f t="shared" si="634"/>
        <v>0</v>
      </c>
      <c r="KP951" s="19" t="str">
        <f t="shared" si="635"/>
        <v/>
      </c>
      <c r="KQ951" s="11" t="str">
        <f t="shared" si="636"/>
        <v>1. Neutral</v>
      </c>
      <c r="KR951" s="11" t="str">
        <f t="shared" si="637"/>
        <v>1. Tokenistic</v>
      </c>
      <c r="KS951" s="11" t="str">
        <f t="shared" si="638"/>
        <v>1. Neutral</v>
      </c>
      <c r="KT951" s="11" t="str">
        <f t="shared" si="639"/>
        <v>It did not develop any specific innovation</v>
      </c>
      <c r="KU951" s="11" t="str">
        <f t="shared" si="640"/>
        <v>Little or no advocacy</v>
      </c>
      <c r="KV951" s="11" t="str">
        <f t="shared" si="641"/>
        <v>It did not take tested solutions to scale</v>
      </c>
      <c r="KW951" s="11" t="str">
        <f t="shared" si="642"/>
        <v>Zimbabwe - Zimbabwe Emergency Food Security Mobile Cash Transfer Programme</v>
      </c>
      <c r="KX951" s="11" t="str">
        <f t="shared" si="643"/>
        <v>Zimbabwe Emergency Food Security Mobile Cash Transfer Programme</v>
      </c>
      <c r="KY951" s="11" t="str">
        <f t="shared" si="644"/>
        <v>Zimbabwe</v>
      </c>
    </row>
    <row r="954" spans="1:312" x14ac:dyDescent="0.3">
      <c r="A954" s="44"/>
      <c r="B954" s="44"/>
      <c r="C954" s="44"/>
      <c r="D954" s="44"/>
      <c r="E954" s="325"/>
      <c r="F954" s="44"/>
      <c r="G954" s="44"/>
      <c r="H954" s="44"/>
      <c r="I954" s="44"/>
      <c r="J954" s="44"/>
      <c r="K954" s="44"/>
      <c r="L954" s="44"/>
      <c r="M954" s="44"/>
      <c r="N954" s="44"/>
      <c r="O954" s="44"/>
      <c r="P954" s="44"/>
      <c r="Q954" s="44"/>
      <c r="R954" s="44"/>
      <c r="S954" s="44"/>
      <c r="T954" s="44"/>
      <c r="U954" s="44"/>
      <c r="V954" s="44"/>
      <c r="W954" s="44"/>
      <c r="X954" s="44"/>
      <c r="Y954" s="44"/>
      <c r="Z954" s="44"/>
      <c r="AA954" s="44"/>
      <c r="AB954" s="44"/>
      <c r="AC954" s="44"/>
      <c r="AD954" s="44"/>
      <c r="AE954" s="44"/>
      <c r="AF954" s="44"/>
      <c r="AG954" s="44"/>
      <c r="AH954" s="44"/>
      <c r="AI954" s="44"/>
      <c r="AJ954" s="44"/>
      <c r="AK954" s="44"/>
      <c r="AL954" s="44"/>
      <c r="AM954" s="44"/>
      <c r="AN954" s="44"/>
      <c r="AO954" s="44"/>
      <c r="AP954" s="44"/>
      <c r="AQ954" s="44"/>
      <c r="AR954" s="44"/>
      <c r="AS954" s="44"/>
      <c r="AT954" s="44"/>
      <c r="AU954" s="44"/>
      <c r="AV954" s="44"/>
      <c r="AW954" s="44"/>
      <c r="AX954" s="44"/>
      <c r="AY954" s="44"/>
      <c r="AZ954" s="44"/>
      <c r="BA954" s="44"/>
      <c r="BB954" s="44"/>
      <c r="BC954" s="44"/>
      <c r="BD954" s="44"/>
      <c r="BE954" s="44"/>
      <c r="BF954" s="44"/>
      <c r="BG954" s="44"/>
      <c r="BH954" s="45">
        <f>SUM(BH2:BH951)</f>
        <v>1979255308.2232533</v>
      </c>
      <c r="BI954" s="44"/>
      <c r="BJ954" s="44"/>
      <c r="BK954" s="44"/>
      <c r="BL954" s="44"/>
      <c r="BM954" s="44"/>
      <c r="BN954" s="44"/>
      <c r="BO954" s="44">
        <f>COUNTIF(BO2:BO951,"YES")</f>
        <v>409</v>
      </c>
      <c r="BP954" s="44">
        <f>COUNTIF(BP2:BP951,"YES")</f>
        <v>703</v>
      </c>
      <c r="BQ954" s="44">
        <f>COUNTA(BQ2:BQ951)</f>
        <v>950</v>
      </c>
      <c r="BR954" s="44">
        <f>SUM(BR2:BR951)</f>
        <v>0</v>
      </c>
      <c r="BS954" s="44">
        <f>COUNTA(BS2:BS951)</f>
        <v>950</v>
      </c>
      <c r="BT954" s="44">
        <f>SUM(BT2:BT951)</f>
        <v>0</v>
      </c>
      <c r="BU954" s="44"/>
      <c r="BV954" s="45">
        <f t="shared" ref="BV954:CA954" si="646">SUM(BV2:BV951)</f>
        <v>75809313.599999994</v>
      </c>
      <c r="BW954" s="45">
        <f t="shared" si="646"/>
        <v>37781497.399999999</v>
      </c>
      <c r="BX954" s="45">
        <f t="shared" si="646"/>
        <v>115541708</v>
      </c>
      <c r="BY954" s="45">
        <f t="shared" si="646"/>
        <v>402556606.19999999</v>
      </c>
      <c r="BZ954" s="45">
        <f t="shared" si="646"/>
        <v>274267419.80000001</v>
      </c>
      <c r="CA954" s="45">
        <f t="shared" si="646"/>
        <v>733700119</v>
      </c>
      <c r="CB954" s="44"/>
      <c r="CC954" s="44">
        <f t="shared" ref="CC954:CI954" si="647">SUM(CC2:CC951)</f>
        <v>17</v>
      </c>
      <c r="CD954" s="45">
        <f t="shared" si="647"/>
        <v>6810378.25</v>
      </c>
      <c r="CE954" s="45">
        <f t="shared" si="647"/>
        <v>6427972.75</v>
      </c>
      <c r="CF954" s="45">
        <f t="shared" si="647"/>
        <v>14038641</v>
      </c>
      <c r="CG954" s="45">
        <f t="shared" si="647"/>
        <v>7728141.75</v>
      </c>
      <c r="CH954" s="45">
        <f t="shared" si="647"/>
        <v>7179515.0999999996</v>
      </c>
      <c r="CI954" s="45">
        <f t="shared" si="647"/>
        <v>17420744.5</v>
      </c>
      <c r="CJ954" s="44">
        <f>COUNTIF(CJ2:CJ951,"YES")</f>
        <v>12</v>
      </c>
      <c r="CK954" s="45">
        <f>SUM(CK2:CK951)</f>
        <v>16883</v>
      </c>
      <c r="CL954" s="46">
        <f>AVERAGE(CL2:CL951)</f>
        <v>0.47624999999999995</v>
      </c>
      <c r="CM954" s="45">
        <f>SUM(CM2:CM951)</f>
        <v>42540</v>
      </c>
      <c r="CN954" s="44">
        <f>COUNTIF(CN2:CN951,"YES")</f>
        <v>101</v>
      </c>
      <c r="CO954" s="45">
        <f>SUM(CO2:CO951)</f>
        <v>2463240</v>
      </c>
      <c r="CP954" s="46">
        <f>AVERAGE(CP2:CP951)</f>
        <v>0.5364636363636367</v>
      </c>
      <c r="CQ954" s="45">
        <f>SUM(CQ2:CQ951)</f>
        <v>850933</v>
      </c>
      <c r="CR954" s="44">
        <f>COUNTIF(CR2:CR951,"YES")</f>
        <v>39</v>
      </c>
      <c r="CS954" s="45">
        <f>SUM(CS2:CS951)</f>
        <v>250741</v>
      </c>
      <c r="CT954" s="46">
        <f>AVERAGE(CT2:CT951)</f>
        <v>0.44962318840579707</v>
      </c>
      <c r="CU954" s="45">
        <f>SUM(CU2:CU951)</f>
        <v>2535379</v>
      </c>
      <c r="CV954" s="44">
        <f>COUNTIF(CV2:CV951,"YES")</f>
        <v>154</v>
      </c>
      <c r="CW954" s="45">
        <f>SUM(CW2:CW951)</f>
        <v>5158996</v>
      </c>
      <c r="CX954" s="46">
        <f>AVERAGE(CX2:CX951)</f>
        <v>0.55852090468696303</v>
      </c>
      <c r="CY954" s="45">
        <f>SUM(CY2:CY951)</f>
        <v>6010735</v>
      </c>
      <c r="CZ954" s="44">
        <f>COUNTIF(CZ2:CZ951,"YES")</f>
        <v>52</v>
      </c>
      <c r="DA954" s="45">
        <f>SUM(DA2:DA951)</f>
        <v>447103</v>
      </c>
      <c r="DB954" s="46">
        <f>AVERAGE(DB2:DB951)</f>
        <v>0.69524305555555543</v>
      </c>
      <c r="DC954" s="45">
        <f>SUM(DC2:DC951)</f>
        <v>728090</v>
      </c>
      <c r="DD954" s="44">
        <f>COUNTIF(DD2:DD951,"YES")</f>
        <v>46</v>
      </c>
      <c r="DE954" s="45">
        <f>SUM(DE2:DE951)</f>
        <v>296438</v>
      </c>
      <c r="DF954" s="46">
        <f>AVERAGE(DF2:DF951)</f>
        <v>0.58616388888888882</v>
      </c>
      <c r="DG954" s="45">
        <f>SUM(DG2:DG951)</f>
        <v>1854671</v>
      </c>
      <c r="DH954" s="44">
        <f>COUNTIF(DH2:DH951,"YES")</f>
        <v>42</v>
      </c>
      <c r="DI954" s="45">
        <f>SUM(DI2:DI951)</f>
        <v>1411048</v>
      </c>
      <c r="DJ954" s="46">
        <f>AVERAGE(DJ2:DJ951)</f>
        <v>0.54629400315732757</v>
      </c>
      <c r="DK954" s="45">
        <f>SUM(DK2:DK951)</f>
        <v>1856184</v>
      </c>
      <c r="DL954" s="44">
        <f>COUNTIF(DL2:DL951,"YES")</f>
        <v>99</v>
      </c>
      <c r="DM954" s="45">
        <f>SUM(DM2:DM951)</f>
        <v>1276322</v>
      </c>
      <c r="DN954" s="46">
        <f>AVERAGE(DN2:DN951)</f>
        <v>0.57955993781781545</v>
      </c>
      <c r="DO954" s="45">
        <f>SUM(DO2:DO951)</f>
        <v>1696947</v>
      </c>
      <c r="DP954" s="44">
        <f>COUNTIF(DP2:DP951,"YES")</f>
        <v>75</v>
      </c>
      <c r="DQ954" s="45">
        <f>SUM(DQ2:DQ951)</f>
        <v>680577</v>
      </c>
      <c r="DR954" s="46">
        <f>AVERAGE(DR2:DR951)</f>
        <v>0.54825635523114347</v>
      </c>
      <c r="DS954" s="45">
        <f>SUM(DS2:DS951)</f>
        <v>3100850</v>
      </c>
      <c r="DT954" s="44">
        <f>COUNTIF(DT2:DT951,"YES")</f>
        <v>43</v>
      </c>
      <c r="DU954" s="45">
        <f>SUM(DU2:DU951)</f>
        <v>330609</v>
      </c>
      <c r="DV954" s="46">
        <f>AVERAGE(DV2:DV951)</f>
        <v>0.77267013888888891</v>
      </c>
      <c r="DW954" s="45">
        <f>SUM(DW2:DW951)</f>
        <v>536807</v>
      </c>
      <c r="DX954" s="44">
        <f>COUNTIF(DX2:DX951,"YES")</f>
        <v>67</v>
      </c>
      <c r="DY954" s="45">
        <f>SUM(DY2:DY951)</f>
        <v>716159</v>
      </c>
      <c r="DZ954" s="46">
        <f>AVERAGE(DZ2:DZ951)</f>
        <v>0.54090227272727287</v>
      </c>
      <c r="EA954" s="45">
        <f>SUM(EA2:EA951)</f>
        <v>760376.32000000007</v>
      </c>
      <c r="EB954" s="44">
        <f>COUNTIF(EB2:EB951,"YES")</f>
        <v>158</v>
      </c>
      <c r="EC954" s="45">
        <f>SUM(EC2:EC951)</f>
        <v>5726035</v>
      </c>
      <c r="ED954" s="46">
        <f>AVERAGE(ED2:ED951)</f>
        <v>0.52368421885184413</v>
      </c>
      <c r="EE954" s="45">
        <f>SUM(EE2:EE951)</f>
        <v>3743578</v>
      </c>
      <c r="EF954" s="44">
        <f>COUNTIF(EF2:EF951,"YES")</f>
        <v>0</v>
      </c>
      <c r="EG954" s="45">
        <f>SUM(EG2:EG951)</f>
        <v>0</v>
      </c>
      <c r="EH954" s="46">
        <f>AVERAGE(EH2:EH951)</f>
        <v>23542.5</v>
      </c>
      <c r="EI954" s="45">
        <f t="shared" ref="EI954:EP954" si="648">SUM(EI2:EI951)</f>
        <v>8.7673055844606296</v>
      </c>
      <c r="EJ954" s="45">
        <f t="shared" si="648"/>
        <v>1046233</v>
      </c>
      <c r="EK954" s="45">
        <f t="shared" si="648"/>
        <v>39853260.379999995</v>
      </c>
      <c r="EL954" s="45">
        <f t="shared" si="648"/>
        <v>10998576.619999999</v>
      </c>
      <c r="EM954" s="45">
        <f t="shared" si="648"/>
        <v>51082076.5</v>
      </c>
      <c r="EN954" s="45">
        <f t="shared" si="648"/>
        <v>112195894.67</v>
      </c>
      <c r="EO954" s="45">
        <f t="shared" si="648"/>
        <v>88867025.480000004</v>
      </c>
      <c r="EP954" s="45">
        <f t="shared" si="648"/>
        <v>204574996.90000001</v>
      </c>
      <c r="EQ954" s="44">
        <f>COUNTIF(EQ2:EQ951,"YES")</f>
        <v>168</v>
      </c>
      <c r="ER954" s="45">
        <f>SUM(ER2:ER951)</f>
        <v>1069022</v>
      </c>
      <c r="ES954" s="46">
        <f>AVERAGE(ES2:ES951)</f>
        <v>0.57756723254067011</v>
      </c>
      <c r="ET954" s="45">
        <f>SUM(ET2:ET951)</f>
        <v>7370007</v>
      </c>
      <c r="EU954" s="44">
        <f>COUNTIF(EU2:EU951,"YES")</f>
        <v>137</v>
      </c>
      <c r="EV954" s="45">
        <f>SUM(EV2:EV951)</f>
        <v>2326640</v>
      </c>
      <c r="EW954" s="46">
        <f>AVERAGE(EW2:EW951)</f>
        <v>0.55343716647360952</v>
      </c>
      <c r="EX954" s="45">
        <f>SUM(EX2:EX951)</f>
        <v>11964136</v>
      </c>
      <c r="EY954" s="44">
        <f>COUNTIF(EY2:EY951,"YES")</f>
        <v>51</v>
      </c>
      <c r="EZ954" s="45">
        <f>SUM(EZ2:EZ951)</f>
        <v>497556</v>
      </c>
      <c r="FA954" s="46">
        <f>AVERAGE(FA2:FA951)</f>
        <v>0.48400000000000004</v>
      </c>
      <c r="FB954" s="45">
        <f>SUM(FB2:FB951)</f>
        <v>7239929</v>
      </c>
      <c r="FC954" s="44">
        <f>COUNTIF(FC2:FC951,"YES")</f>
        <v>94</v>
      </c>
      <c r="FD954" s="45">
        <f>SUM(FD2:FD951)</f>
        <v>415358</v>
      </c>
      <c r="FE954" s="46">
        <f>AVERAGE(FE2:FE951)</f>
        <v>0.4558163895534712</v>
      </c>
      <c r="FF954" s="45">
        <f>SUM(FF2:FF951)</f>
        <v>5492727</v>
      </c>
      <c r="FG954" s="44">
        <f>COUNTIF(FG2:FG951,"YES")</f>
        <v>170</v>
      </c>
      <c r="FH954" s="45">
        <f>SUM(FH2:FH951)</f>
        <v>1163103</v>
      </c>
      <c r="FI954" s="46">
        <f>AVERAGE(FI2:FI951)</f>
        <v>0.65284390207937093</v>
      </c>
      <c r="FJ954" s="45">
        <f>SUM(FJ2:FJ951)</f>
        <v>4594369.0999999996</v>
      </c>
      <c r="FK954" s="44">
        <f>COUNTIF(FK2:FK951,"YES")</f>
        <v>140</v>
      </c>
      <c r="FL954" s="45">
        <f>SUM(FL2:FL951)</f>
        <v>1545271</v>
      </c>
      <c r="FM954" s="46">
        <f>AVERAGE(FM2:FM951)</f>
        <v>0.59821899820795155</v>
      </c>
      <c r="FN954" s="45">
        <f>SUM(FN2:FN951)</f>
        <v>10542032</v>
      </c>
      <c r="FO954" s="44">
        <f>COUNTIF(FO2:FO951,"YES")</f>
        <v>167</v>
      </c>
      <c r="FP954" s="45">
        <f>SUM(FP2:FP951)</f>
        <v>7601403</v>
      </c>
      <c r="FQ954" s="46">
        <f>AVERAGE(FQ2:FQ951)</f>
        <v>0.61747651120541147</v>
      </c>
      <c r="FR954" s="45">
        <f>SUM(FR2:FR951)</f>
        <v>10332069.1</v>
      </c>
      <c r="FS954" s="44">
        <f>COUNTIF(FS2:FS951,"YES")</f>
        <v>146</v>
      </c>
      <c r="FT954" s="45">
        <f>SUM(FT2:FT951)</f>
        <v>803015</v>
      </c>
      <c r="FU954" s="46">
        <f>AVERAGE(FU2:FU951)</f>
        <v>0.55942730813794084</v>
      </c>
      <c r="FV954" s="45">
        <f>SUM(FV2:FV951)</f>
        <v>11223722.5</v>
      </c>
      <c r="FW954" s="44">
        <f>COUNTIF(FW2:FW951,"YES")</f>
        <v>228</v>
      </c>
      <c r="FX954" s="45">
        <f>SUM(FX2:FX951)</f>
        <v>1855571</v>
      </c>
      <c r="FY954" s="46">
        <f>AVERAGE(FY2:FY951)</f>
        <v>0.66134874974673674</v>
      </c>
      <c r="FZ954" s="45">
        <f>SUM(FZ2:FZ951)</f>
        <v>13227630</v>
      </c>
      <c r="GA954" s="44">
        <f>COUNTIF(GA2:GA951,"YES")</f>
        <v>78</v>
      </c>
      <c r="GB954" s="45">
        <f>SUM(GB2:GB951)</f>
        <v>7106238</v>
      </c>
      <c r="GC954" s="46">
        <f>AVERAGE(GC2:GC951)</f>
        <v>0.58593714793645113</v>
      </c>
      <c r="GD954" s="45">
        <f>SUM(GD2:GD951)</f>
        <v>21234632</v>
      </c>
      <c r="GE954" s="44">
        <f>COUNTIF(GE2:GE951,"YES")</f>
        <v>76</v>
      </c>
      <c r="GF954" s="45">
        <f>SUM(GF2:GF951)</f>
        <v>679706</v>
      </c>
      <c r="GG954" s="46">
        <f>AVERAGE(GG2:GG951)</f>
        <v>0.51346407517712778</v>
      </c>
      <c r="GH954" s="45">
        <f>SUM(GH2:GH951)</f>
        <v>3457088</v>
      </c>
      <c r="GI954" s="44">
        <f>COUNTIF(GI2:GI951,"YES")</f>
        <v>89</v>
      </c>
      <c r="GJ954" s="45">
        <f>SUM(GJ2:GJ951)</f>
        <v>1508156</v>
      </c>
      <c r="GK954" s="46">
        <f>AVERAGE(GK2:GK951)</f>
        <v>0.47735273321552724</v>
      </c>
      <c r="GL954" s="45">
        <f>SUM(GL2:GL951)</f>
        <v>12272379</v>
      </c>
      <c r="GM954" s="44">
        <f>COUNTIF(GM2:GM951,"YES")</f>
        <v>191</v>
      </c>
      <c r="GN954" s="45">
        <f>SUM(GN2:GN951)</f>
        <v>2345919</v>
      </c>
      <c r="GO954" s="46">
        <f>AVERAGE(GO2:GO951)</f>
        <v>0.53823872069587531</v>
      </c>
      <c r="GP954" s="45">
        <f>SUM(GP2:GP951)</f>
        <v>18750418</v>
      </c>
      <c r="GQ954" s="44">
        <f>COUNTIF(GQ2:GQ951,"YES")</f>
        <v>121</v>
      </c>
      <c r="GR954" s="45">
        <f>SUM(GR2:GR951)</f>
        <v>33337997</v>
      </c>
      <c r="GS954" s="46">
        <f>AVERAGE(GS2:GS951)</f>
        <v>0.71189134099320195</v>
      </c>
      <c r="GT954" s="45">
        <f>SUM(GT2:GT951)</f>
        <v>114550784</v>
      </c>
      <c r="GU954" s="44">
        <f>COUNTIF(GU2:GU951,"YES")</f>
        <v>103</v>
      </c>
      <c r="GV954" s="45">
        <f>SUM(GV2:GV951)</f>
        <v>3780228</v>
      </c>
      <c r="GW954" s="46">
        <f>AVERAGE(GW2:GW951)</f>
        <v>0.5679552146715553</v>
      </c>
      <c r="GX954" s="45">
        <f>SUM(GX2:GX951)</f>
        <v>5636600.7999999998</v>
      </c>
      <c r="GY954" s="44">
        <f>COUNTIF(GY2:GY951,"YES")</f>
        <v>296</v>
      </c>
      <c r="GZ954" s="45">
        <f>SUM(GZ2:GZ951)</f>
        <v>2334684</v>
      </c>
      <c r="HA954" s="46">
        <f>AVERAGE(HA2:HA951)</f>
        <v>0.84764811595387579</v>
      </c>
      <c r="HB954" s="45">
        <f>SUM(HB2:HB951)</f>
        <v>16393710.4</v>
      </c>
      <c r="HC954" s="44">
        <f>COUNTIF(HC2:HC951,"YES")</f>
        <v>0</v>
      </c>
      <c r="HD954" s="45">
        <f>SUM(HD2:HD951)</f>
        <v>0</v>
      </c>
      <c r="HE954" s="46">
        <f>AVERAGE(HE2:HE951)</f>
        <v>1516.2758620689656</v>
      </c>
      <c r="HF954" s="45">
        <f>SUM(HF2:HF951)</f>
        <v>15.638666666666667</v>
      </c>
      <c r="HG954" s="45">
        <f>SUM(HG2:HG951)</f>
        <v>156410</v>
      </c>
      <c r="HH954" s="44">
        <f>COUNTIF(HH2:HH951,"YES")</f>
        <v>384</v>
      </c>
      <c r="HI954" s="44"/>
      <c r="HJ954" s="44"/>
      <c r="HK954" s="44">
        <f>COUNTIF(HK2:HK951,"YES")</f>
        <v>270</v>
      </c>
      <c r="HL954" s="44">
        <f>COUNTIF(HL2:HL951,"YES")</f>
        <v>327</v>
      </c>
      <c r="HM954" s="44"/>
      <c r="HN954" s="44"/>
      <c r="HO954" s="44"/>
      <c r="HP954" s="44"/>
      <c r="HQ954" s="44">
        <f t="shared" ref="HQ954:HX954" si="649">COUNTIF(HQ2:HQ951,"YES")</f>
        <v>180</v>
      </c>
      <c r="HR954" s="44">
        <f t="shared" si="649"/>
        <v>188</v>
      </c>
      <c r="HS954" s="44">
        <f t="shared" si="649"/>
        <v>493</v>
      </c>
      <c r="HT954" s="44">
        <f t="shared" si="649"/>
        <v>475</v>
      </c>
      <c r="HU954" s="44">
        <f t="shared" si="649"/>
        <v>362</v>
      </c>
      <c r="HV954" s="44">
        <f t="shared" si="649"/>
        <v>217</v>
      </c>
      <c r="HW954" s="44">
        <f t="shared" si="649"/>
        <v>206</v>
      </c>
      <c r="HX954" s="44">
        <f t="shared" si="649"/>
        <v>102</v>
      </c>
      <c r="HY954" s="44"/>
      <c r="HZ954" s="44"/>
      <c r="IA954" s="44"/>
      <c r="IB954" s="44"/>
      <c r="IC954" s="44"/>
      <c r="ID954" s="44"/>
      <c r="IE954" s="44"/>
      <c r="IF954" s="44">
        <f>COUNTIF(IF2:IF951,"YES")</f>
        <v>762</v>
      </c>
      <c r="IG954" s="44">
        <f>COUNTIF(IG2:IG951,"YES")</f>
        <v>779</v>
      </c>
      <c r="IH954" s="44">
        <f>COUNTIF(IH2:IH951,"YES")</f>
        <v>782</v>
      </c>
      <c r="II954" s="44">
        <f>COUNTIF(II2:II951,"YES")</f>
        <v>699</v>
      </c>
      <c r="IJ954" s="44"/>
      <c r="IK954" s="44"/>
      <c r="IL954" s="44"/>
      <c r="IM954" s="44">
        <f>COUNTIF(IM2:IM951,"YES")</f>
        <v>702</v>
      </c>
      <c r="IN954" s="44">
        <f>COUNTIF(IN2:IN951,"YES")</f>
        <v>682</v>
      </c>
      <c r="IO954" s="44">
        <f>COUNTIF(IO2:IO951,"YES")</f>
        <v>724</v>
      </c>
      <c r="IP954" s="44">
        <f>COUNTIF(IP2:IP951,"YES")</f>
        <v>663</v>
      </c>
      <c r="IQ954" s="44"/>
      <c r="IR954" s="44"/>
      <c r="IS954" s="44"/>
      <c r="IT954" s="44">
        <f>COUNTIF(IT2:IT951,"YES")</f>
        <v>629</v>
      </c>
      <c r="IU954" s="44">
        <f>COUNTIF(IU2:IU951,"YES")</f>
        <v>591</v>
      </c>
      <c r="IV954" s="44">
        <f>COUNTIF(IV2:IV951,"YES")</f>
        <v>580</v>
      </c>
      <c r="IW954" s="44"/>
      <c r="IX954" s="44"/>
      <c r="IY954" s="44"/>
      <c r="IZ954" s="44"/>
      <c r="JA954" s="44"/>
      <c r="JB954" s="44"/>
      <c r="JC954" s="44"/>
      <c r="JD954" s="44"/>
      <c r="JE954" s="44"/>
      <c r="JF954" s="44"/>
      <c r="JG954" s="44"/>
      <c r="JH954" s="44"/>
      <c r="JI954" s="44"/>
      <c r="JJ954" s="44"/>
      <c r="JK954" s="44"/>
      <c r="JL954" s="44"/>
      <c r="JM954" s="44"/>
      <c r="JN954" s="44"/>
      <c r="JO954" s="47"/>
      <c r="JP954" s="45">
        <f>SUM(JP2:JP951)</f>
        <v>62931999.5</v>
      </c>
      <c r="JQ954" s="45">
        <f>SUM(JQ2:JQ951)</f>
        <v>216042356.40000001</v>
      </c>
      <c r="JR954" s="48">
        <f>JQ954/JP954</f>
        <v>3.4329491850962084</v>
      </c>
      <c r="JS954" s="46">
        <f>AVERAGE(JS2:JS951)</f>
        <v>0.57833762419060009</v>
      </c>
      <c r="JT954" s="46">
        <f>AVERAGE(JT2:JT951)</f>
        <v>0.53252764501911565</v>
      </c>
      <c r="JU954" s="46">
        <f>AVERAGE(JU2:JU951)</f>
        <v>48128.068821052628</v>
      </c>
      <c r="JV954" s="46">
        <f>AVERAGE(JV2:JV951)</f>
        <v>124007.4436</v>
      </c>
      <c r="JW954" s="45">
        <f>SUM(JW2:JW951)</f>
        <v>409</v>
      </c>
      <c r="JX954" s="44">
        <f>SUM(JX2:JX951)</f>
        <v>14038641</v>
      </c>
      <c r="JY954" s="44">
        <f>SUM(JY2:JY951)</f>
        <v>17420744.5</v>
      </c>
      <c r="JZ954" s="47">
        <f>JY954/JX954</f>
        <v>1.2409138819063754</v>
      </c>
      <c r="KA954" s="53">
        <f>COUNTIF(KA2:KA950,1)</f>
        <v>517</v>
      </c>
      <c r="KB954" s="44">
        <f>SUM(KB2:KB951)</f>
        <v>18636406</v>
      </c>
      <c r="KC954" s="44">
        <f>SUM(KC2:KC951)</f>
        <v>39472671.5</v>
      </c>
      <c r="KD954" s="44">
        <f>KC954/KB954</f>
        <v>2.1180409731361292</v>
      </c>
      <c r="KE954" s="53">
        <f>COUNTIF(KE2:KE950,1)</f>
        <v>147</v>
      </c>
      <c r="KF954" s="44">
        <f>SUM(KF2:KF951)</f>
        <v>33640634</v>
      </c>
      <c r="KG954" s="44">
        <f>SUM(KG2:KG951)</f>
        <v>114803326</v>
      </c>
      <c r="KH954" s="44">
        <f>KG954/KF954</f>
        <v>3.4126385965258561</v>
      </c>
      <c r="KI954" s="53">
        <f>COUNTIF(KI2:KI950,1)</f>
        <v>184</v>
      </c>
      <c r="KJ954" s="44">
        <f>SUM(KJ2:KJ951)</f>
        <v>1216754</v>
      </c>
      <c r="KK954" s="44">
        <f>SUM(KK2:KK951)</f>
        <v>11731569.5</v>
      </c>
      <c r="KL954" s="44">
        <f>KK954/KJ954</f>
        <v>9.641693801705193</v>
      </c>
      <c r="KM954" s="53">
        <f>COUNTIF(KM2:KM950,1)</f>
        <v>339</v>
      </c>
      <c r="KN954" s="44">
        <f>SUM(KN2:KN951)</f>
        <v>2611051.6150515727</v>
      </c>
      <c r="KO954" s="44">
        <f>SUM(KO2:KO951)</f>
        <v>17918877.8774</v>
      </c>
      <c r="KP954" s="44">
        <f>KO954/KN954</f>
        <v>6.8627053460396921</v>
      </c>
      <c r="KQ954" s="44"/>
      <c r="KR954" s="44"/>
      <c r="KS954" s="44"/>
      <c r="KT954" s="44"/>
      <c r="KU954" s="44"/>
      <c r="KV954" s="44"/>
    </row>
  </sheetData>
  <autoFilter ref="A1:KY951">
    <sortState ref="A2:KY951">
      <sortCondition ref="KW1:KW951"/>
    </sortState>
  </autoFilter>
  <conditionalFormatting sqref="CN1:CQ1">
    <cfRule type="uniqueValues" dxfId="16" priority="16" stopIfTrue="1"/>
  </conditionalFormatting>
  <conditionalFormatting sqref="DD1:DG1">
    <cfRule type="uniqueValues" dxfId="15" priority="15" stopIfTrue="1"/>
  </conditionalFormatting>
  <conditionalFormatting sqref="DJ1">
    <cfRule type="uniqueValues" dxfId="14" priority="14" stopIfTrue="1"/>
  </conditionalFormatting>
  <conditionalFormatting sqref="DN1">
    <cfRule type="uniqueValues" dxfId="13" priority="13" stopIfTrue="1"/>
  </conditionalFormatting>
  <conditionalFormatting sqref="HC1:HG1">
    <cfRule type="uniqueValues" dxfId="12" priority="12" stopIfTrue="1"/>
  </conditionalFormatting>
  <conditionalFormatting sqref="HK1">
    <cfRule type="uniqueValues" dxfId="11" priority="11" stopIfTrue="1"/>
  </conditionalFormatting>
  <conditionalFormatting sqref="LA1:XFD1 KB1:KD1 HH1:HJ1 CR1:DC1 A1:CM1 DH1:DI1 DK1:DM1 DO1:HB1 HL1:JT1 KF1:KH1 KJ1:KL1 KN1:KY1 JW1:JZ1">
    <cfRule type="uniqueValues" dxfId="10" priority="17" stopIfTrue="1"/>
  </conditionalFormatting>
  <conditionalFormatting sqref="KA1">
    <cfRule type="uniqueValues" dxfId="9" priority="5" stopIfTrue="1"/>
  </conditionalFormatting>
  <conditionalFormatting sqref="JU1:JV1">
    <cfRule type="uniqueValues" dxfId="8" priority="6" stopIfTrue="1"/>
  </conditionalFormatting>
  <conditionalFormatting sqref="KE1">
    <cfRule type="uniqueValues" dxfId="7" priority="4" stopIfTrue="1"/>
  </conditionalFormatting>
  <conditionalFormatting sqref="KI1">
    <cfRule type="uniqueValues" dxfId="6" priority="3" stopIfTrue="1"/>
  </conditionalFormatting>
  <conditionalFormatting sqref="KM1">
    <cfRule type="uniqueValues" dxfId="5" priority="2" stopIfTrue="1"/>
  </conditionalFormatting>
  <conditionalFormatting sqref="KZ1">
    <cfRule type="uniqueValues" dxfId="4" priority="1" stopIfTrue="1"/>
  </conditionalFormatting>
  <dataValidations disablePrompts="1" count="2">
    <dataValidation type="whole" operator="lessThan" allowBlank="1" showInputMessage="1" showErrorMessage="1" error="Enter a whole number greater than zero" sqref="CY281">
      <formula1>10000000000</formula1>
    </dataValidation>
    <dataValidation type="whole" allowBlank="1" showInputMessage="1" showErrorMessage="1" error="Enter a valid number" sqref="CD281 CF281 EM282">
      <formula1>1</formula1>
      <formula2>1000000000</formula2>
    </dataValidation>
  </dataValidations>
  <hyperlinks>
    <hyperlink ref="BK34" r:id="rId1"/>
    <hyperlink ref="BN47" r:id="rId2"/>
    <hyperlink ref="BK74" r:id="rId3"/>
    <hyperlink ref="BK132" r:id="rId4"/>
    <hyperlink ref="BK804" r:id="rId5"/>
    <hyperlink ref="BN804" r:id="rId6"/>
    <hyperlink ref="BK144" r:id="rId7"/>
    <hyperlink ref="BK282" r:id="rId8"/>
    <hyperlink ref="BK281" r:id="rId9"/>
    <hyperlink ref="BK283" r:id="rId10"/>
    <hyperlink ref="BK284" r:id="rId11"/>
  </hyperlinks>
  <pageMargins left="0.7" right="0.7" top="0.75" bottom="0.75" header="0.3" footer="0.3"/>
  <pageSetup orientation="portrait" r:id="rId12"/>
  <legacyDrawing r:id="rId1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3:U112"/>
  <sheetViews>
    <sheetView workbookViewId="0">
      <pane xSplit="1" ySplit="3" topLeftCell="S4" activePane="bottomRight" state="frozen"/>
      <selection activeCell="B46" sqref="B46:H48"/>
      <selection pane="topRight" activeCell="B46" sqref="B46:H48"/>
      <selection pane="bottomLeft" activeCell="B46" sqref="B46:H48"/>
      <selection pane="bottomRight" activeCell="A105" sqref="A105:A111"/>
    </sheetView>
  </sheetViews>
  <sheetFormatPr defaultRowHeight="15" x14ac:dyDescent="0.25"/>
  <cols>
    <col min="1" max="1" width="37.140625" customWidth="1"/>
    <col min="2" max="2" width="43.5703125" style="59" customWidth="1"/>
    <col min="3" max="3" width="45.140625" style="59" customWidth="1"/>
    <col min="4" max="4" width="28.42578125" style="59" customWidth="1"/>
    <col min="5" max="5" width="43" style="59" customWidth="1"/>
    <col min="6" max="6" width="44.42578125" style="59" customWidth="1"/>
    <col min="7" max="7" width="41.140625" style="59" customWidth="1"/>
    <col min="8" max="8" width="42.7109375" style="59" customWidth="1"/>
    <col min="9" max="9" width="33.85546875" customWidth="1"/>
    <col min="10" max="10" width="69.85546875" customWidth="1"/>
    <col min="11" max="11" width="71.42578125" customWidth="1"/>
    <col min="12" max="12" width="25.85546875" customWidth="1"/>
    <col min="13" max="13" width="77.85546875" customWidth="1"/>
    <col min="14" max="14" width="79.42578125" customWidth="1"/>
    <col min="15" max="15" width="23.85546875" customWidth="1"/>
    <col min="16" max="16" width="49.5703125" customWidth="1"/>
    <col min="17" max="17" width="51.140625" customWidth="1"/>
    <col min="18" max="18" width="24.5703125" customWidth="1"/>
    <col min="19" max="19" width="58.140625" customWidth="1"/>
    <col min="20" max="20" width="59.5703125" bestFit="1" customWidth="1"/>
    <col min="21" max="21" width="24.5703125" customWidth="1"/>
  </cols>
  <sheetData>
    <row r="3" spans="1:21" x14ac:dyDescent="0.25">
      <c r="A3" s="49" t="s">
        <v>14283</v>
      </c>
      <c r="B3" s="60" t="s">
        <v>14303</v>
      </c>
      <c r="C3" s="60" t="s">
        <v>14304</v>
      </c>
      <c r="D3" t="s">
        <v>14310</v>
      </c>
      <c r="E3" s="60" t="s">
        <v>14305</v>
      </c>
      <c r="F3" s="60" t="s">
        <v>14306</v>
      </c>
      <c r="G3" s="60" t="s">
        <v>14307</v>
      </c>
      <c r="H3" s="60" t="s">
        <v>14308</v>
      </c>
      <c r="I3" s="60" t="s">
        <v>14309</v>
      </c>
      <c r="J3" t="s">
        <v>14312</v>
      </c>
      <c r="K3" t="s">
        <v>14311</v>
      </c>
      <c r="L3" t="s">
        <v>14313</v>
      </c>
      <c r="M3" t="s">
        <v>14314</v>
      </c>
      <c r="N3" t="s">
        <v>14315</v>
      </c>
      <c r="O3" t="s">
        <v>14316</v>
      </c>
      <c r="P3" t="s">
        <v>14317</v>
      </c>
      <c r="Q3" t="s">
        <v>14318</v>
      </c>
      <c r="R3" t="s">
        <v>14319</v>
      </c>
      <c r="S3" t="s">
        <v>14320</v>
      </c>
      <c r="T3" t="s">
        <v>14498</v>
      </c>
      <c r="U3" t="s">
        <v>14321</v>
      </c>
    </row>
    <row r="4" spans="1:21" x14ac:dyDescent="0.25">
      <c r="A4" s="50" t="s">
        <v>1874</v>
      </c>
      <c r="B4" s="60"/>
      <c r="C4" s="60"/>
      <c r="D4" s="60"/>
      <c r="E4" s="60"/>
      <c r="F4" s="60"/>
      <c r="G4" s="60"/>
      <c r="H4" s="60"/>
      <c r="I4" s="60"/>
      <c r="J4" s="60"/>
      <c r="K4" s="60"/>
      <c r="L4" s="60"/>
      <c r="M4" s="60"/>
      <c r="N4" s="60"/>
      <c r="O4" s="60"/>
      <c r="P4" s="60"/>
      <c r="Q4" s="60"/>
      <c r="R4" s="60"/>
      <c r="S4" s="60"/>
      <c r="T4" s="60"/>
      <c r="U4" s="60"/>
    </row>
    <row r="5" spans="1:21" x14ac:dyDescent="0.25">
      <c r="A5" s="55" t="s">
        <v>1873</v>
      </c>
      <c r="B5" s="60">
        <v>544808</v>
      </c>
      <c r="C5" s="60">
        <v>4801963</v>
      </c>
      <c r="D5" s="60">
        <v>14</v>
      </c>
      <c r="E5" s="60">
        <v>466802</v>
      </c>
      <c r="F5" s="60">
        <v>2293369</v>
      </c>
      <c r="G5" s="60">
        <v>0</v>
      </c>
      <c r="H5" s="60">
        <v>0</v>
      </c>
      <c r="I5" s="60">
        <v>0</v>
      </c>
      <c r="J5" s="60">
        <v>264702</v>
      </c>
      <c r="K5" s="60">
        <v>894903</v>
      </c>
      <c r="L5" s="60">
        <v>4</v>
      </c>
      <c r="M5" s="60">
        <v>19725</v>
      </c>
      <c r="N5" s="60">
        <v>120734</v>
      </c>
      <c r="O5" s="60">
        <v>5</v>
      </c>
      <c r="P5" s="60">
        <v>46422</v>
      </c>
      <c r="Q5" s="60">
        <v>125406</v>
      </c>
      <c r="R5" s="60">
        <v>7</v>
      </c>
      <c r="S5" s="60">
        <v>447027</v>
      </c>
      <c r="T5" s="60">
        <v>3484950</v>
      </c>
      <c r="U5" s="60">
        <v>9</v>
      </c>
    </row>
    <row r="6" spans="1:21" x14ac:dyDescent="0.25">
      <c r="A6" s="55" t="s">
        <v>3868</v>
      </c>
      <c r="B6" s="60">
        <v>2957326</v>
      </c>
      <c r="C6" s="60">
        <v>1499362</v>
      </c>
      <c r="D6" s="60">
        <v>30</v>
      </c>
      <c r="E6" s="60">
        <v>1405606</v>
      </c>
      <c r="F6" s="60">
        <v>619962</v>
      </c>
      <c r="G6" s="60">
        <v>2222818</v>
      </c>
      <c r="H6" s="60">
        <v>520953</v>
      </c>
      <c r="I6" s="60">
        <v>14</v>
      </c>
      <c r="J6" s="60">
        <v>1780</v>
      </c>
      <c r="K6" s="60">
        <v>133752</v>
      </c>
      <c r="L6" s="60">
        <v>4</v>
      </c>
      <c r="M6" s="60">
        <v>1833371</v>
      </c>
      <c r="N6" s="60">
        <v>1154895</v>
      </c>
      <c r="O6" s="60">
        <v>23</v>
      </c>
      <c r="P6" s="60">
        <v>28745</v>
      </c>
      <c r="Q6" s="60">
        <v>0</v>
      </c>
      <c r="R6" s="60">
        <v>3</v>
      </c>
      <c r="S6" s="60">
        <v>166984.34599999999</v>
      </c>
      <c r="T6" s="60">
        <v>311103.16000000003</v>
      </c>
      <c r="U6" s="60">
        <v>13</v>
      </c>
    </row>
    <row r="7" spans="1:21" x14ac:dyDescent="0.25">
      <c r="A7" s="55" t="s">
        <v>6457</v>
      </c>
      <c r="B7" s="60">
        <v>1682894</v>
      </c>
      <c r="C7" s="60">
        <v>2787689</v>
      </c>
      <c r="D7" s="60">
        <v>28</v>
      </c>
      <c r="E7" s="60">
        <v>1096549</v>
      </c>
      <c r="F7" s="60">
        <v>1798921</v>
      </c>
      <c r="G7" s="60">
        <v>238162</v>
      </c>
      <c r="H7" s="60">
        <v>127275</v>
      </c>
      <c r="I7" s="60">
        <v>14</v>
      </c>
      <c r="J7" s="60">
        <v>863669</v>
      </c>
      <c r="K7" s="60">
        <v>1687741</v>
      </c>
      <c r="L7" s="60">
        <v>5</v>
      </c>
      <c r="M7" s="60">
        <v>555220</v>
      </c>
      <c r="N7" s="60">
        <v>286669</v>
      </c>
      <c r="O7" s="60">
        <v>17</v>
      </c>
      <c r="P7" s="60">
        <v>4201</v>
      </c>
      <c r="Q7" s="60">
        <v>67446</v>
      </c>
      <c r="R7" s="60">
        <v>3</v>
      </c>
      <c r="S7" s="60">
        <v>118141.541</v>
      </c>
      <c r="T7" s="60">
        <v>473274.41399999999</v>
      </c>
      <c r="U7" s="60">
        <v>8</v>
      </c>
    </row>
    <row r="8" spans="1:21" x14ac:dyDescent="0.25">
      <c r="A8" s="55" t="s">
        <v>10371</v>
      </c>
      <c r="B8" s="60">
        <v>553298</v>
      </c>
      <c r="C8" s="60">
        <v>1957046</v>
      </c>
      <c r="D8" s="60">
        <v>10</v>
      </c>
      <c r="E8" s="60">
        <v>380907</v>
      </c>
      <c r="F8" s="60">
        <v>1316614</v>
      </c>
      <c r="G8" s="60">
        <v>0</v>
      </c>
      <c r="H8" s="60">
        <v>0</v>
      </c>
      <c r="I8" s="60">
        <v>0</v>
      </c>
      <c r="J8" s="60">
        <v>99148</v>
      </c>
      <c r="K8" s="60">
        <v>302564</v>
      </c>
      <c r="L8" s="60">
        <v>2</v>
      </c>
      <c r="M8" s="60">
        <v>110718</v>
      </c>
      <c r="N8" s="60">
        <v>345151</v>
      </c>
      <c r="O8" s="60">
        <v>3</v>
      </c>
      <c r="P8" s="60">
        <v>102605</v>
      </c>
      <c r="Q8" s="60">
        <v>305120</v>
      </c>
      <c r="R8" s="60">
        <v>6</v>
      </c>
      <c r="S8" s="60">
        <v>519071</v>
      </c>
      <c r="T8" s="60">
        <v>1606998</v>
      </c>
      <c r="U8" s="60">
        <v>7</v>
      </c>
    </row>
    <row r="9" spans="1:21" x14ac:dyDescent="0.25">
      <c r="A9" s="55" t="s">
        <v>10685</v>
      </c>
      <c r="B9" s="60">
        <v>1618918</v>
      </c>
      <c r="C9" s="60">
        <v>4375394</v>
      </c>
      <c r="D9" s="60">
        <v>36</v>
      </c>
      <c r="E9" s="60">
        <v>843103</v>
      </c>
      <c r="F9" s="60">
        <v>2095176</v>
      </c>
      <c r="G9" s="60">
        <v>1004486</v>
      </c>
      <c r="H9" s="60">
        <v>1236557</v>
      </c>
      <c r="I9" s="60">
        <v>30</v>
      </c>
      <c r="J9" s="60">
        <v>0</v>
      </c>
      <c r="K9" s="60">
        <v>0</v>
      </c>
      <c r="L9" s="60">
        <v>0</v>
      </c>
      <c r="M9" s="60">
        <v>958301</v>
      </c>
      <c r="N9" s="60">
        <v>1321803</v>
      </c>
      <c r="O9" s="60">
        <v>23</v>
      </c>
      <c r="P9" s="60">
        <v>1019</v>
      </c>
      <c r="Q9" s="60">
        <v>5256</v>
      </c>
      <c r="R9" s="60">
        <v>3</v>
      </c>
      <c r="S9" s="60">
        <v>3684.740251572327</v>
      </c>
      <c r="T9" s="60">
        <v>18220.8</v>
      </c>
      <c r="U9" s="60">
        <v>4</v>
      </c>
    </row>
    <row r="10" spans="1:21" x14ac:dyDescent="0.25">
      <c r="A10" s="55" t="s">
        <v>11104</v>
      </c>
      <c r="B10" s="60">
        <v>497468</v>
      </c>
      <c r="C10" s="60">
        <v>1575081</v>
      </c>
      <c r="D10" s="60">
        <v>21</v>
      </c>
      <c r="E10" s="60">
        <v>291410</v>
      </c>
      <c r="F10" s="60">
        <v>927970</v>
      </c>
      <c r="G10" s="60">
        <v>495194</v>
      </c>
      <c r="H10" s="60">
        <v>1546521</v>
      </c>
      <c r="I10" s="60">
        <v>21</v>
      </c>
      <c r="J10" s="60">
        <v>19462</v>
      </c>
      <c r="K10" s="60">
        <v>37411</v>
      </c>
      <c r="L10" s="60">
        <v>4</v>
      </c>
      <c r="M10" s="60">
        <v>252581</v>
      </c>
      <c r="N10" s="60">
        <v>708121</v>
      </c>
      <c r="O10" s="60">
        <v>16</v>
      </c>
      <c r="P10" s="60">
        <v>19247</v>
      </c>
      <c r="Q10" s="60">
        <v>0</v>
      </c>
      <c r="R10" s="60">
        <v>9</v>
      </c>
      <c r="S10" s="60">
        <v>27253.200000000001</v>
      </c>
      <c r="T10" s="60">
        <v>27906</v>
      </c>
      <c r="U10" s="60">
        <v>9</v>
      </c>
    </row>
    <row r="11" spans="1:21" x14ac:dyDescent="0.25">
      <c r="A11" s="55" t="s">
        <v>11417</v>
      </c>
      <c r="B11" s="60">
        <v>979853</v>
      </c>
      <c r="C11" s="60">
        <v>328353</v>
      </c>
      <c r="D11" s="60">
        <v>20</v>
      </c>
      <c r="E11" s="60">
        <v>554096</v>
      </c>
      <c r="F11" s="60">
        <v>199319</v>
      </c>
      <c r="G11" s="60">
        <v>894605</v>
      </c>
      <c r="H11" s="60">
        <v>203742</v>
      </c>
      <c r="I11" s="60">
        <v>16</v>
      </c>
      <c r="J11" s="60">
        <v>10908</v>
      </c>
      <c r="K11" s="60">
        <v>209662</v>
      </c>
      <c r="L11" s="60">
        <v>2</v>
      </c>
      <c r="M11" s="60">
        <v>198088</v>
      </c>
      <c r="N11" s="60">
        <v>130826</v>
      </c>
      <c r="O11" s="60">
        <v>14</v>
      </c>
      <c r="P11" s="60">
        <v>0</v>
      </c>
      <c r="Q11" s="60">
        <v>0</v>
      </c>
      <c r="R11" s="60">
        <v>0</v>
      </c>
      <c r="S11" s="60">
        <v>36668.449999999997</v>
      </c>
      <c r="T11" s="60">
        <v>2106</v>
      </c>
      <c r="U11" s="60">
        <v>4</v>
      </c>
    </row>
    <row r="12" spans="1:21" x14ac:dyDescent="0.25">
      <c r="A12" s="55" t="s">
        <v>12694</v>
      </c>
      <c r="B12" s="60">
        <v>340093</v>
      </c>
      <c r="C12" s="60">
        <v>2690116</v>
      </c>
      <c r="D12" s="60">
        <v>13</v>
      </c>
      <c r="E12" s="60">
        <v>204207.47999999998</v>
      </c>
      <c r="F12" s="60">
        <v>1592773.92</v>
      </c>
      <c r="G12" s="60">
        <v>105487</v>
      </c>
      <c r="H12" s="60">
        <v>37500</v>
      </c>
      <c r="I12" s="60">
        <v>1</v>
      </c>
      <c r="J12" s="60">
        <v>141613</v>
      </c>
      <c r="K12" s="60">
        <v>2353800</v>
      </c>
      <c r="L12" s="60">
        <v>3</v>
      </c>
      <c r="M12" s="60">
        <v>170334</v>
      </c>
      <c r="N12" s="60">
        <v>226554</v>
      </c>
      <c r="O12" s="60">
        <v>11</v>
      </c>
      <c r="P12" s="60">
        <v>55925</v>
      </c>
      <c r="Q12" s="60">
        <v>2354941</v>
      </c>
      <c r="R12" s="60">
        <v>5</v>
      </c>
      <c r="S12" s="60">
        <v>97878.991999999998</v>
      </c>
      <c r="T12" s="60">
        <v>2525528.9679999999</v>
      </c>
      <c r="U12" s="60">
        <v>9</v>
      </c>
    </row>
    <row r="13" spans="1:21" x14ac:dyDescent="0.25">
      <c r="A13" s="55" t="s">
        <v>14322</v>
      </c>
      <c r="B13" s="60">
        <v>87241</v>
      </c>
      <c r="C13" s="60">
        <v>987103</v>
      </c>
      <c r="D13" s="60">
        <v>5</v>
      </c>
      <c r="E13" s="60">
        <v>66374</v>
      </c>
      <c r="F13" s="60">
        <v>560048</v>
      </c>
      <c r="G13" s="60">
        <v>44830</v>
      </c>
      <c r="H13" s="60">
        <v>221285</v>
      </c>
      <c r="I13" s="60">
        <v>2</v>
      </c>
      <c r="J13" s="60">
        <v>10103</v>
      </c>
      <c r="K13" s="60">
        <v>11014</v>
      </c>
      <c r="L13" s="60">
        <v>3</v>
      </c>
      <c r="M13" s="60">
        <v>10104</v>
      </c>
      <c r="N13" s="60">
        <v>60624</v>
      </c>
      <c r="O13" s="60">
        <v>2</v>
      </c>
      <c r="P13" s="60">
        <v>9315</v>
      </c>
      <c r="Q13" s="60">
        <v>64420</v>
      </c>
      <c r="R13" s="60">
        <v>2</v>
      </c>
      <c r="S13" s="60">
        <v>16672</v>
      </c>
      <c r="T13" s="60">
        <v>107784</v>
      </c>
      <c r="U13" s="60">
        <v>2</v>
      </c>
    </row>
    <row r="14" spans="1:21" x14ac:dyDescent="0.25">
      <c r="A14" s="50" t="s">
        <v>14276</v>
      </c>
      <c r="B14" s="60">
        <v>9261899</v>
      </c>
      <c r="C14" s="60">
        <v>21002107</v>
      </c>
      <c r="D14" s="60">
        <v>177</v>
      </c>
      <c r="E14" s="60">
        <v>5309054.4800000004</v>
      </c>
      <c r="F14" s="60">
        <v>11404152.92</v>
      </c>
      <c r="G14" s="60">
        <v>5005582</v>
      </c>
      <c r="H14" s="60">
        <v>3893833</v>
      </c>
      <c r="I14" s="60">
        <v>98</v>
      </c>
      <c r="J14" s="60">
        <v>1411385</v>
      </c>
      <c r="K14" s="60">
        <v>5630847</v>
      </c>
      <c r="L14" s="60">
        <v>27</v>
      </c>
      <c r="M14" s="60">
        <v>4108442</v>
      </c>
      <c r="N14" s="60">
        <v>4355377</v>
      </c>
      <c r="O14" s="60">
        <v>114</v>
      </c>
      <c r="P14" s="60">
        <v>267479</v>
      </c>
      <c r="Q14" s="60">
        <v>2922589</v>
      </c>
      <c r="R14" s="60">
        <v>38</v>
      </c>
      <c r="S14" s="60">
        <v>1433381.2692515724</v>
      </c>
      <c r="T14" s="60">
        <v>8557871.3420000002</v>
      </c>
      <c r="U14" s="60">
        <v>65</v>
      </c>
    </row>
    <row r="15" spans="1:21" x14ac:dyDescent="0.25">
      <c r="A15" s="50" t="s">
        <v>7217</v>
      </c>
      <c r="B15" s="60"/>
      <c r="C15" s="60"/>
      <c r="D15" s="60"/>
      <c r="E15" s="60"/>
      <c r="F15" s="60"/>
      <c r="G15" s="60"/>
      <c r="H15" s="60"/>
      <c r="I15" s="60"/>
      <c r="J15" s="60"/>
      <c r="K15" s="60"/>
      <c r="L15" s="60"/>
      <c r="M15" s="60"/>
      <c r="N15" s="60"/>
      <c r="O15" s="60"/>
      <c r="P15" s="60"/>
      <c r="Q15" s="60"/>
      <c r="R15" s="60"/>
      <c r="S15" s="60"/>
      <c r="T15" s="60"/>
      <c r="U15" s="60"/>
    </row>
    <row r="16" spans="1:21" x14ac:dyDescent="0.25">
      <c r="A16" s="55" t="s">
        <v>7216</v>
      </c>
      <c r="B16" s="60">
        <v>282055</v>
      </c>
      <c r="C16" s="60">
        <v>1132276</v>
      </c>
      <c r="D16" s="60">
        <v>11</v>
      </c>
      <c r="E16" s="60">
        <v>133312</v>
      </c>
      <c r="F16" s="60">
        <v>643475</v>
      </c>
      <c r="G16" s="60">
        <v>62951</v>
      </c>
      <c r="H16" s="60">
        <v>248594</v>
      </c>
      <c r="I16" s="60">
        <v>5</v>
      </c>
      <c r="J16" s="60">
        <v>0</v>
      </c>
      <c r="K16" s="60">
        <v>0</v>
      </c>
      <c r="L16" s="60">
        <v>0</v>
      </c>
      <c r="M16" s="60">
        <v>244647</v>
      </c>
      <c r="N16" s="60">
        <v>1031568</v>
      </c>
      <c r="O16" s="60">
        <v>11</v>
      </c>
      <c r="P16" s="60">
        <v>0</v>
      </c>
      <c r="Q16" s="60">
        <v>0</v>
      </c>
      <c r="R16" s="60">
        <v>0</v>
      </c>
      <c r="S16" s="60">
        <v>9392</v>
      </c>
      <c r="T16" s="60">
        <v>62640</v>
      </c>
      <c r="U16" s="60">
        <v>4</v>
      </c>
    </row>
    <row r="17" spans="1:21" x14ac:dyDescent="0.25">
      <c r="A17" s="55" t="s">
        <v>7451</v>
      </c>
      <c r="B17" s="60">
        <v>1449965.5</v>
      </c>
      <c r="C17" s="60">
        <v>1814110</v>
      </c>
      <c r="D17" s="60">
        <v>24</v>
      </c>
      <c r="E17" s="60">
        <v>790823</v>
      </c>
      <c r="F17" s="60">
        <v>1007256.2499999999</v>
      </c>
      <c r="G17" s="60">
        <v>280396</v>
      </c>
      <c r="H17" s="60">
        <v>261261</v>
      </c>
      <c r="I17" s="60">
        <v>7</v>
      </c>
      <c r="J17" s="60">
        <v>910264</v>
      </c>
      <c r="K17" s="60">
        <v>802848</v>
      </c>
      <c r="L17" s="60">
        <v>6</v>
      </c>
      <c r="M17" s="60">
        <v>1347549</v>
      </c>
      <c r="N17" s="60">
        <v>1477923</v>
      </c>
      <c r="O17" s="60">
        <v>17</v>
      </c>
      <c r="P17" s="60">
        <v>211457</v>
      </c>
      <c r="Q17" s="60">
        <v>153323</v>
      </c>
      <c r="R17" s="60">
        <v>12</v>
      </c>
      <c r="S17" s="60">
        <v>73450.94</v>
      </c>
      <c r="T17" s="60">
        <v>167962.21</v>
      </c>
      <c r="U17" s="60">
        <v>11</v>
      </c>
    </row>
    <row r="18" spans="1:21" x14ac:dyDescent="0.25">
      <c r="A18" s="55" t="s">
        <v>8265</v>
      </c>
      <c r="B18" s="60">
        <v>327324</v>
      </c>
      <c r="C18" s="60">
        <v>289398</v>
      </c>
      <c r="D18" s="60">
        <v>10</v>
      </c>
      <c r="E18" s="60">
        <v>182137</v>
      </c>
      <c r="F18" s="60">
        <v>164272</v>
      </c>
      <c r="G18" s="60">
        <v>239961</v>
      </c>
      <c r="H18" s="60">
        <v>0</v>
      </c>
      <c r="I18" s="60">
        <v>2</v>
      </c>
      <c r="J18" s="60">
        <v>25629</v>
      </c>
      <c r="K18" s="60">
        <v>0</v>
      </c>
      <c r="L18" s="60">
        <v>1</v>
      </c>
      <c r="M18" s="60">
        <v>258618</v>
      </c>
      <c r="N18" s="60">
        <v>127266</v>
      </c>
      <c r="O18" s="60">
        <v>7</v>
      </c>
      <c r="P18" s="60">
        <v>1699</v>
      </c>
      <c r="Q18" s="60">
        <v>3695</v>
      </c>
      <c r="R18" s="60">
        <v>2</v>
      </c>
      <c r="S18" s="60">
        <v>17458.91</v>
      </c>
      <c r="T18" s="60">
        <v>36750.57</v>
      </c>
      <c r="U18" s="60">
        <v>4</v>
      </c>
    </row>
    <row r="19" spans="1:21" x14ac:dyDescent="0.25">
      <c r="A19" s="55" t="s">
        <v>11102</v>
      </c>
      <c r="B19" s="60">
        <v>0</v>
      </c>
      <c r="C19" s="60">
        <v>0</v>
      </c>
      <c r="D19" s="60">
        <v>1</v>
      </c>
      <c r="E19" s="60">
        <v>0</v>
      </c>
      <c r="F19" s="60">
        <v>0</v>
      </c>
      <c r="G19" s="60">
        <v>0</v>
      </c>
      <c r="H19" s="60">
        <v>0</v>
      </c>
      <c r="I19" s="60">
        <v>0</v>
      </c>
      <c r="J19" s="60">
        <v>0</v>
      </c>
      <c r="K19" s="60">
        <v>0</v>
      </c>
      <c r="L19" s="60">
        <v>0</v>
      </c>
      <c r="M19" s="60">
        <v>3700</v>
      </c>
      <c r="N19" s="60">
        <v>0</v>
      </c>
      <c r="O19" s="60">
        <v>1</v>
      </c>
      <c r="P19" s="60">
        <v>0</v>
      </c>
      <c r="Q19" s="60">
        <v>0</v>
      </c>
      <c r="R19" s="60">
        <v>0</v>
      </c>
      <c r="S19" s="60">
        <v>0</v>
      </c>
      <c r="T19" s="60">
        <v>0</v>
      </c>
      <c r="U19" s="60">
        <v>0</v>
      </c>
    </row>
    <row r="20" spans="1:21" x14ac:dyDescent="0.25">
      <c r="A20" s="55" t="s">
        <v>12090</v>
      </c>
      <c r="B20" s="60">
        <v>138179</v>
      </c>
      <c r="C20" s="60">
        <v>819015</v>
      </c>
      <c r="D20" s="60">
        <v>11</v>
      </c>
      <c r="E20" s="60">
        <v>98912</v>
      </c>
      <c r="F20" s="60">
        <v>466341</v>
      </c>
      <c r="G20" s="60">
        <v>390</v>
      </c>
      <c r="H20" s="60">
        <v>4680</v>
      </c>
      <c r="I20" s="60">
        <v>1</v>
      </c>
      <c r="J20" s="60">
        <v>135</v>
      </c>
      <c r="K20" s="60">
        <v>1620</v>
      </c>
      <c r="L20" s="60">
        <v>2</v>
      </c>
      <c r="M20" s="60">
        <v>27233</v>
      </c>
      <c r="N20" s="60">
        <v>254836</v>
      </c>
      <c r="O20" s="60">
        <v>4</v>
      </c>
      <c r="P20" s="60">
        <v>19477</v>
      </c>
      <c r="Q20" s="60">
        <v>97385</v>
      </c>
      <c r="R20" s="60">
        <v>1</v>
      </c>
      <c r="S20" s="60">
        <v>74455.08</v>
      </c>
      <c r="T20" s="60">
        <v>473809.4</v>
      </c>
      <c r="U20" s="60">
        <v>8</v>
      </c>
    </row>
    <row r="21" spans="1:21" x14ac:dyDescent="0.25">
      <c r="A21" s="55" t="s">
        <v>13917</v>
      </c>
      <c r="B21" s="60">
        <v>418073</v>
      </c>
      <c r="C21" s="60">
        <v>140648</v>
      </c>
      <c r="D21" s="60">
        <v>8</v>
      </c>
      <c r="E21" s="60">
        <v>197629</v>
      </c>
      <c r="F21" s="60">
        <v>67082</v>
      </c>
      <c r="G21" s="60">
        <v>0</v>
      </c>
      <c r="H21" s="60">
        <v>0</v>
      </c>
      <c r="I21" s="60">
        <v>2</v>
      </c>
      <c r="J21" s="60">
        <v>0</v>
      </c>
      <c r="K21" s="60">
        <v>0</v>
      </c>
      <c r="L21" s="60">
        <v>0</v>
      </c>
      <c r="M21" s="60">
        <v>159846</v>
      </c>
      <c r="N21" s="60">
        <v>112795</v>
      </c>
      <c r="O21" s="60">
        <v>7</v>
      </c>
      <c r="P21" s="60">
        <v>0</v>
      </c>
      <c r="Q21" s="60">
        <v>0</v>
      </c>
      <c r="R21" s="60">
        <v>0</v>
      </c>
      <c r="S21" s="60">
        <v>14699</v>
      </c>
      <c r="T21" s="60">
        <v>61853</v>
      </c>
      <c r="U21" s="60">
        <v>2</v>
      </c>
    </row>
    <row r="22" spans="1:21" x14ac:dyDescent="0.25">
      <c r="A22" s="55" t="s">
        <v>14016</v>
      </c>
      <c r="B22" s="60">
        <v>1146861</v>
      </c>
      <c r="C22" s="60">
        <v>632419</v>
      </c>
      <c r="D22" s="60">
        <v>19</v>
      </c>
      <c r="E22" s="60">
        <v>619233.5</v>
      </c>
      <c r="F22" s="60">
        <v>374268.5</v>
      </c>
      <c r="G22" s="60">
        <v>580615</v>
      </c>
      <c r="H22" s="60">
        <v>0</v>
      </c>
      <c r="I22" s="60">
        <v>6</v>
      </c>
      <c r="J22" s="60">
        <v>54376</v>
      </c>
      <c r="K22" s="60">
        <v>101448</v>
      </c>
      <c r="L22" s="60">
        <v>3</v>
      </c>
      <c r="M22" s="60">
        <v>941634</v>
      </c>
      <c r="N22" s="60">
        <v>409038</v>
      </c>
      <c r="O22" s="60">
        <v>12</v>
      </c>
      <c r="P22" s="60">
        <v>112288</v>
      </c>
      <c r="Q22" s="60">
        <v>353217</v>
      </c>
      <c r="R22" s="60">
        <v>3</v>
      </c>
      <c r="S22" s="60">
        <v>50555.85</v>
      </c>
      <c r="T22" s="60">
        <v>228183.53999999998</v>
      </c>
      <c r="U22" s="60">
        <v>9</v>
      </c>
    </row>
    <row r="23" spans="1:21" x14ac:dyDescent="0.25">
      <c r="A23" s="50" t="s">
        <v>14277</v>
      </c>
      <c r="B23" s="60">
        <v>3762457.5</v>
      </c>
      <c r="C23" s="60">
        <v>4827866</v>
      </c>
      <c r="D23" s="60">
        <v>84</v>
      </c>
      <c r="E23" s="60">
        <v>2022046.5</v>
      </c>
      <c r="F23" s="60">
        <v>2722694.75</v>
      </c>
      <c r="G23" s="60">
        <v>1164313</v>
      </c>
      <c r="H23" s="60">
        <v>514535</v>
      </c>
      <c r="I23" s="60">
        <v>23</v>
      </c>
      <c r="J23" s="60">
        <v>990404</v>
      </c>
      <c r="K23" s="60">
        <v>905916</v>
      </c>
      <c r="L23" s="60">
        <v>12</v>
      </c>
      <c r="M23" s="60">
        <v>2983227</v>
      </c>
      <c r="N23" s="60">
        <v>3413426</v>
      </c>
      <c r="O23" s="60">
        <v>59</v>
      </c>
      <c r="P23" s="60">
        <v>344921</v>
      </c>
      <c r="Q23" s="60">
        <v>607620</v>
      </c>
      <c r="R23" s="60">
        <v>18</v>
      </c>
      <c r="S23" s="60">
        <v>240011.78000000003</v>
      </c>
      <c r="T23" s="60">
        <v>1031198.7200000001</v>
      </c>
      <c r="U23" s="60">
        <v>38</v>
      </c>
    </row>
    <row r="24" spans="1:21" x14ac:dyDescent="0.25">
      <c r="A24" s="50" t="s">
        <v>1596</v>
      </c>
      <c r="B24" s="60"/>
      <c r="C24" s="60"/>
      <c r="D24" s="60"/>
      <c r="E24" s="60"/>
      <c r="F24" s="60"/>
      <c r="G24" s="60"/>
      <c r="H24" s="60"/>
      <c r="I24" s="60"/>
      <c r="J24" s="60"/>
      <c r="K24" s="60"/>
      <c r="L24" s="60"/>
      <c r="M24" s="60"/>
      <c r="N24" s="60"/>
      <c r="O24" s="60"/>
      <c r="P24" s="60"/>
      <c r="Q24" s="60"/>
      <c r="R24" s="60"/>
      <c r="S24" s="60"/>
      <c r="T24" s="60"/>
      <c r="U24" s="60"/>
    </row>
    <row r="25" spans="1:21" x14ac:dyDescent="0.25">
      <c r="A25" s="55" t="s">
        <v>1595</v>
      </c>
      <c r="B25" s="60">
        <v>61481</v>
      </c>
      <c r="C25" s="60">
        <v>136395</v>
      </c>
      <c r="D25" s="60">
        <v>8</v>
      </c>
      <c r="E25" s="60">
        <v>40403</v>
      </c>
      <c r="F25" s="60">
        <v>91630</v>
      </c>
      <c r="G25" s="60">
        <v>33</v>
      </c>
      <c r="H25" s="60">
        <v>1633</v>
      </c>
      <c r="I25" s="60">
        <v>1</v>
      </c>
      <c r="J25" s="60">
        <v>16385</v>
      </c>
      <c r="K25" s="60">
        <v>108341</v>
      </c>
      <c r="L25" s="60">
        <v>3</v>
      </c>
      <c r="M25" s="60">
        <v>44967</v>
      </c>
      <c r="N25" s="60">
        <v>58336</v>
      </c>
      <c r="O25" s="60">
        <v>4</v>
      </c>
      <c r="P25" s="60">
        <v>0</v>
      </c>
      <c r="Q25" s="60">
        <v>0</v>
      </c>
      <c r="R25" s="60">
        <v>2</v>
      </c>
      <c r="S25" s="60">
        <v>6961</v>
      </c>
      <c r="T25" s="60">
        <v>27844</v>
      </c>
      <c r="U25" s="60">
        <v>4</v>
      </c>
    </row>
    <row r="26" spans="1:21" x14ac:dyDescent="0.25">
      <c r="A26" s="55" t="s">
        <v>1827</v>
      </c>
      <c r="B26" s="60">
        <v>0</v>
      </c>
      <c r="C26" s="60">
        <v>0</v>
      </c>
      <c r="D26" s="60">
        <v>2</v>
      </c>
      <c r="E26" s="60">
        <v>0</v>
      </c>
      <c r="F26" s="60">
        <v>0</v>
      </c>
      <c r="G26" s="60">
        <v>0</v>
      </c>
      <c r="H26" s="60">
        <v>0</v>
      </c>
      <c r="I26" s="60">
        <v>0</v>
      </c>
      <c r="J26" s="60">
        <v>0</v>
      </c>
      <c r="K26" s="60">
        <v>0</v>
      </c>
      <c r="L26" s="60">
        <v>0</v>
      </c>
      <c r="M26" s="60">
        <v>0</v>
      </c>
      <c r="N26" s="60">
        <v>0</v>
      </c>
      <c r="O26" s="60">
        <v>1</v>
      </c>
      <c r="P26" s="60">
        <v>0</v>
      </c>
      <c r="Q26" s="60">
        <v>0</v>
      </c>
      <c r="R26" s="60">
        <v>0</v>
      </c>
      <c r="S26" s="60">
        <v>0</v>
      </c>
      <c r="T26" s="60">
        <v>0</v>
      </c>
      <c r="U26" s="60">
        <v>0</v>
      </c>
    </row>
    <row r="27" spans="1:21" x14ac:dyDescent="0.25">
      <c r="A27" s="55" t="s">
        <v>2395</v>
      </c>
      <c r="B27" s="60">
        <v>115029</v>
      </c>
      <c r="C27" s="60">
        <v>90680</v>
      </c>
      <c r="D27" s="60">
        <v>6</v>
      </c>
      <c r="E27" s="60">
        <v>65511</v>
      </c>
      <c r="F27" s="60">
        <v>34396</v>
      </c>
      <c r="G27" s="60">
        <v>44170</v>
      </c>
      <c r="H27" s="60">
        <v>43070</v>
      </c>
      <c r="I27" s="60">
        <v>1</v>
      </c>
      <c r="J27" s="60">
        <v>54192</v>
      </c>
      <c r="K27" s="60">
        <v>666</v>
      </c>
      <c r="L27" s="60">
        <v>1</v>
      </c>
      <c r="M27" s="60">
        <v>8075</v>
      </c>
      <c r="N27" s="60">
        <v>21764</v>
      </c>
      <c r="O27" s="60">
        <v>4</v>
      </c>
      <c r="P27" s="60">
        <v>1740</v>
      </c>
      <c r="Q27" s="60">
        <v>21</v>
      </c>
      <c r="R27" s="60">
        <v>1</v>
      </c>
      <c r="S27" s="60">
        <v>2967</v>
      </c>
      <c r="T27" s="60">
        <v>8185</v>
      </c>
      <c r="U27" s="60">
        <v>4</v>
      </c>
    </row>
    <row r="28" spans="1:21" x14ac:dyDescent="0.25">
      <c r="A28" s="55" t="s">
        <v>2536</v>
      </c>
      <c r="B28" s="60">
        <v>292478</v>
      </c>
      <c r="C28" s="60">
        <v>1174085</v>
      </c>
      <c r="D28" s="60">
        <v>15</v>
      </c>
      <c r="E28" s="60">
        <v>172579</v>
      </c>
      <c r="F28" s="60">
        <v>627398</v>
      </c>
      <c r="G28" s="60">
        <v>261699</v>
      </c>
      <c r="H28" s="60">
        <v>965516</v>
      </c>
      <c r="I28" s="60">
        <v>10</v>
      </c>
      <c r="J28" s="60">
        <v>28098</v>
      </c>
      <c r="K28" s="60">
        <v>173905</v>
      </c>
      <c r="L28" s="60">
        <v>3</v>
      </c>
      <c r="M28" s="60">
        <v>154727</v>
      </c>
      <c r="N28" s="60">
        <v>390869</v>
      </c>
      <c r="O28" s="60">
        <v>11</v>
      </c>
      <c r="P28" s="60">
        <v>54119</v>
      </c>
      <c r="Q28" s="60">
        <v>69780</v>
      </c>
      <c r="R28" s="60">
        <v>4</v>
      </c>
      <c r="S28" s="60">
        <v>2687</v>
      </c>
      <c r="T28" s="60">
        <v>27664</v>
      </c>
      <c r="U28" s="60">
        <v>4</v>
      </c>
    </row>
    <row r="29" spans="1:21" x14ac:dyDescent="0.25">
      <c r="A29" s="55" t="s">
        <v>2956</v>
      </c>
      <c r="B29" s="60">
        <v>375126</v>
      </c>
      <c r="C29" s="60">
        <v>778288</v>
      </c>
      <c r="D29" s="60">
        <v>9</v>
      </c>
      <c r="E29" s="60">
        <v>197508</v>
      </c>
      <c r="F29" s="60">
        <v>395309</v>
      </c>
      <c r="G29" s="60">
        <v>0</v>
      </c>
      <c r="H29" s="60">
        <v>0</v>
      </c>
      <c r="I29" s="60">
        <v>0</v>
      </c>
      <c r="J29" s="60">
        <v>1800</v>
      </c>
      <c r="K29" s="60">
        <v>10800</v>
      </c>
      <c r="L29" s="60">
        <v>1</v>
      </c>
      <c r="M29" s="60">
        <v>306900</v>
      </c>
      <c r="N29" s="60">
        <v>402748</v>
      </c>
      <c r="O29" s="60">
        <v>2</v>
      </c>
      <c r="P29" s="60">
        <v>0</v>
      </c>
      <c r="Q29" s="60">
        <v>0</v>
      </c>
      <c r="R29" s="60">
        <v>0</v>
      </c>
      <c r="S29" s="60">
        <v>56453</v>
      </c>
      <c r="T29" s="60">
        <v>346955</v>
      </c>
      <c r="U29" s="60">
        <v>4</v>
      </c>
    </row>
    <row r="30" spans="1:21" x14ac:dyDescent="0.25">
      <c r="A30" s="55" t="s">
        <v>4471</v>
      </c>
      <c r="B30" s="60">
        <v>1458353</v>
      </c>
      <c r="C30" s="60">
        <v>6612382</v>
      </c>
      <c r="D30" s="60">
        <v>13</v>
      </c>
      <c r="E30" s="60">
        <v>803869</v>
      </c>
      <c r="F30" s="60">
        <v>3745886</v>
      </c>
      <c r="G30" s="60">
        <v>0</v>
      </c>
      <c r="H30" s="60">
        <v>0</v>
      </c>
      <c r="I30" s="60">
        <v>1</v>
      </c>
      <c r="J30" s="60">
        <v>0</v>
      </c>
      <c r="K30" s="60">
        <v>0</v>
      </c>
      <c r="L30" s="60">
        <v>0</v>
      </c>
      <c r="M30" s="60">
        <v>1314936</v>
      </c>
      <c r="N30" s="60">
        <v>3955660</v>
      </c>
      <c r="O30" s="60">
        <v>10</v>
      </c>
      <c r="P30" s="60">
        <v>0</v>
      </c>
      <c r="Q30" s="60">
        <v>0</v>
      </c>
      <c r="R30" s="60">
        <v>0</v>
      </c>
      <c r="S30" s="60">
        <v>99862.21</v>
      </c>
      <c r="T30" s="60">
        <v>548264.62</v>
      </c>
      <c r="U30" s="60">
        <v>10</v>
      </c>
    </row>
    <row r="31" spans="1:21" x14ac:dyDescent="0.25">
      <c r="A31" s="55" t="s">
        <v>7179</v>
      </c>
      <c r="B31" s="60">
        <v>1630</v>
      </c>
      <c r="C31" s="60">
        <v>4500</v>
      </c>
      <c r="D31" s="60">
        <v>1</v>
      </c>
      <c r="E31" s="60">
        <v>958</v>
      </c>
      <c r="F31" s="60">
        <v>2700</v>
      </c>
      <c r="G31" s="60">
        <v>1630</v>
      </c>
      <c r="H31" s="60">
        <v>4500</v>
      </c>
      <c r="I31" s="60">
        <v>1</v>
      </c>
      <c r="J31" s="60">
        <v>0</v>
      </c>
      <c r="K31" s="60">
        <v>0</v>
      </c>
      <c r="L31" s="60">
        <v>0</v>
      </c>
      <c r="M31" s="60">
        <v>0</v>
      </c>
      <c r="N31" s="60">
        <v>0</v>
      </c>
      <c r="O31" s="60">
        <v>0</v>
      </c>
      <c r="P31" s="60">
        <v>0</v>
      </c>
      <c r="Q31" s="60">
        <v>0</v>
      </c>
      <c r="R31" s="60">
        <v>0</v>
      </c>
      <c r="S31" s="60">
        <v>0</v>
      </c>
      <c r="T31" s="60">
        <v>0</v>
      </c>
      <c r="U31" s="60">
        <v>0</v>
      </c>
    </row>
    <row r="32" spans="1:21" x14ac:dyDescent="0.25">
      <c r="A32" s="55" t="s">
        <v>7835</v>
      </c>
      <c r="B32" s="60">
        <v>1100382</v>
      </c>
      <c r="C32" s="60">
        <v>3760976</v>
      </c>
      <c r="D32" s="60">
        <v>16</v>
      </c>
      <c r="E32" s="60">
        <v>642561</v>
      </c>
      <c r="F32" s="60">
        <v>1921559</v>
      </c>
      <c r="G32" s="60">
        <v>38663</v>
      </c>
      <c r="H32" s="60">
        <v>989467</v>
      </c>
      <c r="I32" s="60">
        <v>7</v>
      </c>
      <c r="J32" s="60">
        <v>49936</v>
      </c>
      <c r="K32" s="60">
        <v>400032</v>
      </c>
      <c r="L32" s="60">
        <v>4</v>
      </c>
      <c r="M32" s="60">
        <v>871482</v>
      </c>
      <c r="N32" s="60">
        <v>3329779</v>
      </c>
      <c r="O32" s="60">
        <v>16</v>
      </c>
      <c r="P32" s="60">
        <v>98855</v>
      </c>
      <c r="Q32" s="60">
        <v>652624</v>
      </c>
      <c r="R32" s="60">
        <v>8</v>
      </c>
      <c r="S32" s="60">
        <v>129143.148</v>
      </c>
      <c r="T32" s="60">
        <v>1409213.74</v>
      </c>
      <c r="U32" s="60">
        <v>10</v>
      </c>
    </row>
    <row r="33" spans="1:21" x14ac:dyDescent="0.25">
      <c r="A33" s="55" t="s">
        <v>9043</v>
      </c>
      <c r="B33" s="60">
        <v>389966</v>
      </c>
      <c r="C33" s="60">
        <v>5966475</v>
      </c>
      <c r="D33" s="60">
        <v>28</v>
      </c>
      <c r="E33" s="60">
        <v>227099</v>
      </c>
      <c r="F33" s="60">
        <v>3037095.25</v>
      </c>
      <c r="G33" s="60">
        <v>198764</v>
      </c>
      <c r="H33" s="60">
        <v>596262</v>
      </c>
      <c r="I33" s="60">
        <v>15</v>
      </c>
      <c r="J33" s="60">
        <v>4759</v>
      </c>
      <c r="K33" s="60">
        <v>7969</v>
      </c>
      <c r="L33" s="60">
        <v>2</v>
      </c>
      <c r="M33" s="60">
        <v>146664</v>
      </c>
      <c r="N33" s="60">
        <v>4316213</v>
      </c>
      <c r="O33" s="60">
        <v>18</v>
      </c>
      <c r="P33" s="60">
        <v>6068</v>
      </c>
      <c r="Q33" s="60">
        <v>5686</v>
      </c>
      <c r="R33" s="60">
        <v>5</v>
      </c>
      <c r="S33" s="60">
        <v>85462.167799999996</v>
      </c>
      <c r="T33" s="60">
        <v>535414.07460000005</v>
      </c>
      <c r="U33" s="60">
        <v>7</v>
      </c>
    </row>
    <row r="34" spans="1:21" x14ac:dyDescent="0.25">
      <c r="A34" s="55" t="s">
        <v>10594</v>
      </c>
      <c r="B34" s="60">
        <v>555254</v>
      </c>
      <c r="C34" s="60">
        <v>1497410</v>
      </c>
      <c r="D34" s="60">
        <v>5</v>
      </c>
      <c r="E34" s="60">
        <v>291444</v>
      </c>
      <c r="F34" s="60">
        <v>802981</v>
      </c>
      <c r="G34" s="60">
        <v>542194</v>
      </c>
      <c r="H34" s="60">
        <v>1207080</v>
      </c>
      <c r="I34" s="60">
        <v>3</v>
      </c>
      <c r="J34" s="60">
        <v>4973</v>
      </c>
      <c r="K34" s="60">
        <v>23295</v>
      </c>
      <c r="L34" s="60">
        <v>1</v>
      </c>
      <c r="M34" s="60">
        <v>5694</v>
      </c>
      <c r="N34" s="60">
        <v>123534</v>
      </c>
      <c r="O34" s="60">
        <v>2</v>
      </c>
      <c r="P34" s="60">
        <v>0</v>
      </c>
      <c r="Q34" s="60">
        <v>0</v>
      </c>
      <c r="R34" s="60">
        <v>0</v>
      </c>
      <c r="S34" s="60">
        <v>4720</v>
      </c>
      <c r="T34" s="60">
        <v>132000</v>
      </c>
      <c r="U34" s="60">
        <v>2</v>
      </c>
    </row>
    <row r="35" spans="1:21" x14ac:dyDescent="0.25">
      <c r="A35" s="50" t="s">
        <v>14278</v>
      </c>
      <c r="B35" s="60">
        <v>4349699</v>
      </c>
      <c r="C35" s="60">
        <v>20021191</v>
      </c>
      <c r="D35" s="60">
        <v>103</v>
      </c>
      <c r="E35" s="60">
        <v>2441932</v>
      </c>
      <c r="F35" s="60">
        <v>10658954.25</v>
      </c>
      <c r="G35" s="60">
        <v>1087153</v>
      </c>
      <c r="H35" s="60">
        <v>3807528</v>
      </c>
      <c r="I35" s="60">
        <v>39</v>
      </c>
      <c r="J35" s="60">
        <v>160143</v>
      </c>
      <c r="K35" s="60">
        <v>725008</v>
      </c>
      <c r="L35" s="60">
        <v>15</v>
      </c>
      <c r="M35" s="60">
        <v>2853445</v>
      </c>
      <c r="N35" s="60">
        <v>12598903</v>
      </c>
      <c r="O35" s="60">
        <v>68</v>
      </c>
      <c r="P35" s="60">
        <v>160782</v>
      </c>
      <c r="Q35" s="60">
        <v>728111</v>
      </c>
      <c r="R35" s="60">
        <v>20</v>
      </c>
      <c r="S35" s="60">
        <v>388255.5258</v>
      </c>
      <c r="T35" s="60">
        <v>3035540.4346000007</v>
      </c>
      <c r="U35" s="60">
        <v>45</v>
      </c>
    </row>
    <row r="36" spans="1:21" x14ac:dyDescent="0.25">
      <c r="A36" s="50" t="s">
        <v>306</v>
      </c>
      <c r="B36" s="60"/>
      <c r="C36" s="60"/>
      <c r="D36" s="60"/>
      <c r="E36" s="60"/>
      <c r="F36" s="60"/>
      <c r="G36" s="60"/>
      <c r="H36" s="60"/>
      <c r="I36" s="60"/>
      <c r="J36" s="60"/>
      <c r="K36" s="60"/>
      <c r="L36" s="60"/>
      <c r="M36" s="60"/>
      <c r="N36" s="60"/>
      <c r="O36" s="60"/>
      <c r="P36" s="60"/>
      <c r="Q36" s="60"/>
      <c r="R36" s="60"/>
      <c r="S36" s="60"/>
      <c r="T36" s="60"/>
      <c r="U36" s="60"/>
    </row>
    <row r="37" spans="1:21" x14ac:dyDescent="0.25">
      <c r="A37" s="55" t="s">
        <v>305</v>
      </c>
      <c r="B37" s="60">
        <v>491272</v>
      </c>
      <c r="C37" s="60">
        <v>1407971</v>
      </c>
      <c r="D37" s="60">
        <v>15</v>
      </c>
      <c r="E37" s="60">
        <v>102334</v>
      </c>
      <c r="F37" s="60">
        <v>161528</v>
      </c>
      <c r="G37" s="60">
        <v>7659</v>
      </c>
      <c r="H37" s="60">
        <v>53103</v>
      </c>
      <c r="I37" s="60">
        <v>5</v>
      </c>
      <c r="J37" s="60">
        <v>3523</v>
      </c>
      <c r="K37" s="60">
        <v>24661</v>
      </c>
      <c r="L37" s="60">
        <v>1</v>
      </c>
      <c r="M37" s="60">
        <v>3806</v>
      </c>
      <c r="N37" s="60">
        <v>26881</v>
      </c>
      <c r="O37" s="60">
        <v>8</v>
      </c>
      <c r="P37" s="60">
        <v>8086</v>
      </c>
      <c r="Q37" s="60">
        <v>56602</v>
      </c>
      <c r="R37" s="60">
        <v>5</v>
      </c>
      <c r="S37" s="60">
        <v>2869.36</v>
      </c>
      <c r="T37" s="60">
        <v>20177.52</v>
      </c>
      <c r="U37" s="60">
        <v>8</v>
      </c>
    </row>
    <row r="38" spans="1:21" x14ac:dyDescent="0.25">
      <c r="A38" s="55" t="s">
        <v>652</v>
      </c>
      <c r="B38" s="60">
        <v>11350719</v>
      </c>
      <c r="C38" s="60">
        <v>38231417</v>
      </c>
      <c r="D38" s="60">
        <v>49</v>
      </c>
      <c r="E38" s="60">
        <v>9384064</v>
      </c>
      <c r="F38" s="60">
        <v>31759055</v>
      </c>
      <c r="G38" s="60">
        <v>32083</v>
      </c>
      <c r="H38" s="60">
        <v>19764</v>
      </c>
      <c r="I38" s="60">
        <v>9</v>
      </c>
      <c r="J38" s="60">
        <v>6033019</v>
      </c>
      <c r="K38" s="60">
        <v>21144507</v>
      </c>
      <c r="L38" s="60">
        <v>12</v>
      </c>
      <c r="M38" s="60">
        <v>687735</v>
      </c>
      <c r="N38" s="60">
        <v>1332741</v>
      </c>
      <c r="O38" s="60">
        <v>22</v>
      </c>
      <c r="P38" s="60">
        <v>144056</v>
      </c>
      <c r="Q38" s="60">
        <v>300018</v>
      </c>
      <c r="R38" s="60">
        <v>12</v>
      </c>
      <c r="S38" s="60">
        <v>176293.7</v>
      </c>
      <c r="T38" s="60">
        <v>643133.25</v>
      </c>
      <c r="U38" s="60">
        <v>21</v>
      </c>
    </row>
    <row r="39" spans="1:21" x14ac:dyDescent="0.25">
      <c r="A39" s="55" t="s">
        <v>2092</v>
      </c>
      <c r="B39" s="60">
        <v>143098</v>
      </c>
      <c r="C39" s="60">
        <v>3717473</v>
      </c>
      <c r="D39" s="60">
        <v>18</v>
      </c>
      <c r="E39" s="60">
        <v>102800</v>
      </c>
      <c r="F39" s="60">
        <v>1684432</v>
      </c>
      <c r="G39" s="60">
        <v>3960</v>
      </c>
      <c r="H39" s="60">
        <v>0</v>
      </c>
      <c r="I39" s="60">
        <v>1</v>
      </c>
      <c r="J39" s="60">
        <v>39634</v>
      </c>
      <c r="K39" s="60">
        <v>127238</v>
      </c>
      <c r="L39" s="60">
        <v>5</v>
      </c>
      <c r="M39" s="60">
        <v>13797</v>
      </c>
      <c r="N39" s="60">
        <v>30721</v>
      </c>
      <c r="O39" s="60">
        <v>6</v>
      </c>
      <c r="P39" s="60">
        <v>36643</v>
      </c>
      <c r="Q39" s="60">
        <v>2171769</v>
      </c>
      <c r="R39" s="60">
        <v>2</v>
      </c>
      <c r="S39" s="60">
        <v>40951</v>
      </c>
      <c r="T39" s="60">
        <v>29221</v>
      </c>
      <c r="U39" s="60">
        <v>10</v>
      </c>
    </row>
    <row r="40" spans="1:21" x14ac:dyDescent="0.25">
      <c r="A40" s="55" t="s">
        <v>4268</v>
      </c>
      <c r="B40" s="60">
        <v>27092</v>
      </c>
      <c r="C40" s="60">
        <v>0</v>
      </c>
      <c r="D40" s="60">
        <v>1</v>
      </c>
      <c r="E40" s="60">
        <v>12908</v>
      </c>
      <c r="F40" s="60">
        <v>0</v>
      </c>
      <c r="G40" s="60">
        <v>27092</v>
      </c>
      <c r="H40" s="60">
        <v>0</v>
      </c>
      <c r="I40" s="60">
        <v>1</v>
      </c>
      <c r="J40" s="60">
        <v>0</v>
      </c>
      <c r="K40" s="60">
        <v>0</v>
      </c>
      <c r="L40" s="60">
        <v>0</v>
      </c>
      <c r="M40" s="60">
        <v>21516</v>
      </c>
      <c r="N40" s="60">
        <v>0</v>
      </c>
      <c r="O40" s="60">
        <v>1</v>
      </c>
      <c r="P40" s="60">
        <v>0</v>
      </c>
      <c r="Q40" s="60">
        <v>0</v>
      </c>
      <c r="R40" s="60">
        <v>0</v>
      </c>
      <c r="S40" s="60">
        <v>0</v>
      </c>
      <c r="T40" s="60">
        <v>0</v>
      </c>
      <c r="U40" s="60">
        <v>0</v>
      </c>
    </row>
    <row r="41" spans="1:21" x14ac:dyDescent="0.25">
      <c r="A41" s="55" t="s">
        <v>5300</v>
      </c>
      <c r="B41" s="60">
        <v>24367689</v>
      </c>
      <c r="C41" s="60">
        <v>85728486</v>
      </c>
      <c r="D41" s="60">
        <v>40</v>
      </c>
      <c r="E41" s="60">
        <v>21705155</v>
      </c>
      <c r="F41" s="60">
        <v>41351887</v>
      </c>
      <c r="G41" s="60">
        <v>25737</v>
      </c>
      <c r="H41" s="60">
        <v>12004</v>
      </c>
      <c r="I41" s="60">
        <v>4</v>
      </c>
      <c r="J41" s="60">
        <v>23628234</v>
      </c>
      <c r="K41" s="60">
        <v>82495312</v>
      </c>
      <c r="L41" s="60">
        <v>8</v>
      </c>
      <c r="M41" s="60">
        <v>4812131</v>
      </c>
      <c r="N41" s="60">
        <v>799287</v>
      </c>
      <c r="O41" s="60">
        <v>15</v>
      </c>
      <c r="P41" s="60">
        <v>13886</v>
      </c>
      <c r="Q41" s="60">
        <v>48000</v>
      </c>
      <c r="R41" s="60">
        <v>2</v>
      </c>
      <c r="S41" s="60">
        <v>28079</v>
      </c>
      <c r="T41" s="60">
        <v>61689</v>
      </c>
      <c r="U41" s="60">
        <v>8</v>
      </c>
    </row>
    <row r="42" spans="1:21" x14ac:dyDescent="0.25">
      <c r="A42" s="55" t="s">
        <v>5932</v>
      </c>
      <c r="B42" s="60">
        <v>45455</v>
      </c>
      <c r="C42" s="60">
        <v>154862</v>
      </c>
      <c r="D42" s="60">
        <v>8</v>
      </c>
      <c r="E42" s="60">
        <v>29553</v>
      </c>
      <c r="F42" s="60">
        <v>79400</v>
      </c>
      <c r="G42" s="60">
        <v>500</v>
      </c>
      <c r="H42" s="60">
        <v>1500</v>
      </c>
      <c r="I42" s="60">
        <v>1</v>
      </c>
      <c r="J42" s="60">
        <v>0</v>
      </c>
      <c r="K42" s="60">
        <v>0</v>
      </c>
      <c r="L42" s="60">
        <v>0</v>
      </c>
      <c r="M42" s="60">
        <v>1469</v>
      </c>
      <c r="N42" s="60">
        <v>1831</v>
      </c>
      <c r="O42" s="60">
        <v>3</v>
      </c>
      <c r="P42" s="60">
        <v>60</v>
      </c>
      <c r="Q42" s="60">
        <v>120</v>
      </c>
      <c r="R42" s="60">
        <v>1</v>
      </c>
      <c r="S42" s="60">
        <v>794.3</v>
      </c>
      <c r="T42" s="60">
        <v>13467.6</v>
      </c>
      <c r="U42" s="60">
        <v>5</v>
      </c>
    </row>
    <row r="43" spans="1:21" x14ac:dyDescent="0.25">
      <c r="A43" s="55" t="s">
        <v>6850</v>
      </c>
      <c r="B43" s="60">
        <v>41786</v>
      </c>
      <c r="C43" s="60">
        <v>148605</v>
      </c>
      <c r="D43" s="60">
        <v>14</v>
      </c>
      <c r="E43" s="60">
        <v>29006</v>
      </c>
      <c r="F43" s="60">
        <v>92817</v>
      </c>
      <c r="G43" s="60">
        <v>7700</v>
      </c>
      <c r="H43" s="60">
        <v>15400</v>
      </c>
      <c r="I43" s="60">
        <v>1</v>
      </c>
      <c r="J43" s="60">
        <v>11086</v>
      </c>
      <c r="K43" s="60">
        <v>22165</v>
      </c>
      <c r="L43" s="60">
        <v>3</v>
      </c>
      <c r="M43" s="60">
        <v>29110</v>
      </c>
      <c r="N43" s="60">
        <v>120509</v>
      </c>
      <c r="O43" s="60">
        <v>10</v>
      </c>
      <c r="P43" s="60">
        <v>7819</v>
      </c>
      <c r="Q43" s="60">
        <v>15737</v>
      </c>
      <c r="R43" s="60">
        <v>3</v>
      </c>
      <c r="S43" s="60">
        <v>3781.1</v>
      </c>
      <c r="T43" s="60">
        <v>11637</v>
      </c>
      <c r="U43" s="60">
        <v>5</v>
      </c>
    </row>
    <row r="44" spans="1:21" x14ac:dyDescent="0.25">
      <c r="A44" s="55" t="s">
        <v>8444</v>
      </c>
      <c r="B44" s="60">
        <v>109553</v>
      </c>
      <c r="C44" s="60">
        <v>211592.9</v>
      </c>
      <c r="D44" s="60">
        <v>16</v>
      </c>
      <c r="E44" s="60">
        <v>55646</v>
      </c>
      <c r="F44" s="60">
        <v>109592</v>
      </c>
      <c r="G44" s="60">
        <v>2070</v>
      </c>
      <c r="H44" s="60">
        <v>14715</v>
      </c>
      <c r="I44" s="60">
        <v>1</v>
      </c>
      <c r="J44" s="60">
        <v>20466</v>
      </c>
      <c r="K44" s="60">
        <v>10466</v>
      </c>
      <c r="L44" s="60">
        <v>4</v>
      </c>
      <c r="M44" s="60">
        <v>16579</v>
      </c>
      <c r="N44" s="60">
        <v>49605.5</v>
      </c>
      <c r="O44" s="60">
        <v>10</v>
      </c>
      <c r="P44" s="60">
        <v>14590</v>
      </c>
      <c r="Q44" s="60">
        <v>76563.5</v>
      </c>
      <c r="R44" s="60">
        <v>7</v>
      </c>
      <c r="S44" s="60">
        <v>7153.7999999999993</v>
      </c>
      <c r="T44" s="60">
        <v>21601.16</v>
      </c>
      <c r="U44" s="60">
        <v>10</v>
      </c>
    </row>
    <row r="45" spans="1:21" x14ac:dyDescent="0.25">
      <c r="A45" s="55" t="s">
        <v>8647</v>
      </c>
      <c r="B45" s="60">
        <v>1395803</v>
      </c>
      <c r="C45" s="60">
        <v>3146361</v>
      </c>
      <c r="D45" s="60">
        <v>25</v>
      </c>
      <c r="E45" s="60">
        <v>1105809</v>
      </c>
      <c r="F45" s="60">
        <v>568927</v>
      </c>
      <c r="G45" s="60">
        <v>239045</v>
      </c>
      <c r="H45" s="60">
        <v>0</v>
      </c>
      <c r="I45" s="60">
        <v>10</v>
      </c>
      <c r="J45" s="60">
        <v>1012572</v>
      </c>
      <c r="K45" s="60">
        <v>2753062</v>
      </c>
      <c r="L45" s="60">
        <v>7</v>
      </c>
      <c r="M45" s="60">
        <v>265264</v>
      </c>
      <c r="N45" s="60">
        <v>286265</v>
      </c>
      <c r="O45" s="60">
        <v>11</v>
      </c>
      <c r="P45" s="60">
        <v>37051</v>
      </c>
      <c r="Q45" s="60">
        <v>24842</v>
      </c>
      <c r="R45" s="60">
        <v>6</v>
      </c>
      <c r="S45" s="60">
        <v>0</v>
      </c>
      <c r="T45" s="60">
        <v>0</v>
      </c>
      <c r="U45" s="60">
        <v>0</v>
      </c>
    </row>
    <row r="46" spans="1:21" x14ac:dyDescent="0.25">
      <c r="A46" s="55" t="s">
        <v>9427</v>
      </c>
      <c r="B46" s="60">
        <v>811769</v>
      </c>
      <c r="C46" s="60">
        <v>197157</v>
      </c>
      <c r="D46" s="60">
        <v>6</v>
      </c>
      <c r="E46" s="60">
        <v>406913</v>
      </c>
      <c r="F46" s="60">
        <v>99639</v>
      </c>
      <c r="G46" s="60">
        <v>809397</v>
      </c>
      <c r="H46" s="60">
        <v>165584</v>
      </c>
      <c r="I46" s="60">
        <v>5</v>
      </c>
      <c r="J46" s="60">
        <v>0</v>
      </c>
      <c r="K46" s="60">
        <v>0</v>
      </c>
      <c r="L46" s="60">
        <v>0</v>
      </c>
      <c r="M46" s="60">
        <v>8761</v>
      </c>
      <c r="N46" s="60">
        <v>52566</v>
      </c>
      <c r="O46" s="60">
        <v>4</v>
      </c>
      <c r="P46" s="60">
        <v>0</v>
      </c>
      <c r="Q46" s="60">
        <v>0</v>
      </c>
      <c r="R46" s="60">
        <v>0</v>
      </c>
      <c r="S46" s="60">
        <v>2712</v>
      </c>
      <c r="T46" s="60">
        <v>10173</v>
      </c>
      <c r="U46" s="60">
        <v>2</v>
      </c>
    </row>
    <row r="47" spans="1:21" x14ac:dyDescent="0.25">
      <c r="A47" s="55" t="s">
        <v>9516</v>
      </c>
      <c r="B47" s="60">
        <v>587127</v>
      </c>
      <c r="C47" s="60">
        <v>2209261</v>
      </c>
      <c r="D47" s="60">
        <v>12</v>
      </c>
      <c r="E47" s="60">
        <v>285445</v>
      </c>
      <c r="F47" s="60">
        <v>1067867</v>
      </c>
      <c r="G47" s="60">
        <v>562784</v>
      </c>
      <c r="H47" s="60">
        <v>2001520</v>
      </c>
      <c r="I47" s="60">
        <v>4</v>
      </c>
      <c r="J47" s="60">
        <v>10189</v>
      </c>
      <c r="K47" s="60">
        <v>35265</v>
      </c>
      <c r="L47" s="60">
        <v>4</v>
      </c>
      <c r="M47" s="60">
        <v>575420</v>
      </c>
      <c r="N47" s="60">
        <v>1783118</v>
      </c>
      <c r="O47" s="60">
        <v>9</v>
      </c>
      <c r="P47" s="60">
        <v>308</v>
      </c>
      <c r="Q47" s="60">
        <v>600</v>
      </c>
      <c r="R47" s="60">
        <v>1</v>
      </c>
      <c r="S47" s="60">
        <v>10361</v>
      </c>
      <c r="T47" s="60">
        <v>42000</v>
      </c>
      <c r="U47" s="60">
        <v>3</v>
      </c>
    </row>
    <row r="48" spans="1:21" x14ac:dyDescent="0.25">
      <c r="A48" s="55" t="s">
        <v>10263</v>
      </c>
      <c r="B48" s="60">
        <v>71890</v>
      </c>
      <c r="C48" s="60">
        <v>362964</v>
      </c>
      <c r="D48" s="60">
        <v>6</v>
      </c>
      <c r="E48" s="60">
        <v>38977</v>
      </c>
      <c r="F48" s="60">
        <v>187598</v>
      </c>
      <c r="G48" s="60">
        <v>16662</v>
      </c>
      <c r="H48" s="60">
        <v>0</v>
      </c>
      <c r="I48" s="60">
        <v>2</v>
      </c>
      <c r="J48" s="60">
        <v>0</v>
      </c>
      <c r="K48" s="60">
        <v>0</v>
      </c>
      <c r="L48" s="60">
        <v>0</v>
      </c>
      <c r="M48" s="60">
        <v>60949</v>
      </c>
      <c r="N48" s="60">
        <v>362153</v>
      </c>
      <c r="O48" s="60">
        <v>4</v>
      </c>
      <c r="P48" s="60">
        <v>0</v>
      </c>
      <c r="Q48" s="60">
        <v>0</v>
      </c>
      <c r="R48" s="60">
        <v>0</v>
      </c>
      <c r="S48" s="60">
        <v>31200.18</v>
      </c>
      <c r="T48" s="60">
        <v>188011.93</v>
      </c>
      <c r="U48" s="60">
        <v>3</v>
      </c>
    </row>
    <row r="49" spans="1:21" x14ac:dyDescent="0.25">
      <c r="A49" s="55" t="s">
        <v>11304</v>
      </c>
      <c r="B49" s="60">
        <v>16944</v>
      </c>
      <c r="C49" s="60">
        <v>324263</v>
      </c>
      <c r="D49" s="60">
        <v>7</v>
      </c>
      <c r="E49" s="60">
        <v>8704</v>
      </c>
      <c r="F49" s="60">
        <v>209058</v>
      </c>
      <c r="G49" s="60">
        <v>0</v>
      </c>
      <c r="H49" s="60">
        <v>0</v>
      </c>
      <c r="I49" s="60">
        <v>0</v>
      </c>
      <c r="J49" s="60">
        <v>0</v>
      </c>
      <c r="K49" s="60">
        <v>0</v>
      </c>
      <c r="L49" s="60">
        <v>0</v>
      </c>
      <c r="M49" s="60">
        <v>0</v>
      </c>
      <c r="N49" s="60">
        <v>0</v>
      </c>
      <c r="O49" s="60">
        <v>0</v>
      </c>
      <c r="P49" s="60">
        <v>0</v>
      </c>
      <c r="Q49" s="60">
        <v>0</v>
      </c>
      <c r="R49" s="60">
        <v>1</v>
      </c>
      <c r="S49" s="60">
        <v>196</v>
      </c>
      <c r="T49" s="60">
        <v>1024</v>
      </c>
      <c r="U49" s="60">
        <v>2</v>
      </c>
    </row>
    <row r="50" spans="1:21" x14ac:dyDescent="0.25">
      <c r="A50" s="55" t="s">
        <v>12294</v>
      </c>
      <c r="B50" s="60">
        <v>167143</v>
      </c>
      <c r="C50" s="60">
        <v>15086</v>
      </c>
      <c r="D50" s="60">
        <v>22</v>
      </c>
      <c r="E50" s="60">
        <v>23818</v>
      </c>
      <c r="F50" s="60">
        <v>8290</v>
      </c>
      <c r="G50" s="60">
        <v>0</v>
      </c>
      <c r="H50" s="60">
        <v>0</v>
      </c>
      <c r="I50" s="60">
        <v>5</v>
      </c>
      <c r="J50" s="60">
        <v>2500</v>
      </c>
      <c r="K50" s="60">
        <v>5500</v>
      </c>
      <c r="L50" s="60">
        <v>2</v>
      </c>
      <c r="M50" s="60">
        <v>4539</v>
      </c>
      <c r="N50" s="60">
        <v>1610</v>
      </c>
      <c r="O50" s="60">
        <v>6</v>
      </c>
      <c r="P50" s="60">
        <v>0</v>
      </c>
      <c r="Q50" s="60">
        <v>0</v>
      </c>
      <c r="R50" s="60">
        <v>0</v>
      </c>
      <c r="S50" s="60">
        <v>639.66999999999996</v>
      </c>
      <c r="T50" s="60">
        <v>470</v>
      </c>
      <c r="U50" s="60">
        <v>2</v>
      </c>
    </row>
    <row r="51" spans="1:21" x14ac:dyDescent="0.25">
      <c r="A51" s="55" t="s">
        <v>12547</v>
      </c>
      <c r="B51" s="60">
        <v>281888</v>
      </c>
      <c r="C51" s="60">
        <v>590079</v>
      </c>
      <c r="D51" s="60">
        <v>6</v>
      </c>
      <c r="E51" s="60">
        <v>105165</v>
      </c>
      <c r="F51" s="60">
        <v>290324</v>
      </c>
      <c r="G51" s="60">
        <v>3407</v>
      </c>
      <c r="H51" s="60">
        <v>5344</v>
      </c>
      <c r="I51" s="60">
        <v>1</v>
      </c>
      <c r="J51" s="60">
        <v>95368</v>
      </c>
      <c r="K51" s="60">
        <v>447206</v>
      </c>
      <c r="L51" s="60">
        <v>3</v>
      </c>
      <c r="M51" s="60">
        <v>98439</v>
      </c>
      <c r="N51" s="60">
        <v>333735</v>
      </c>
      <c r="O51" s="60">
        <v>4</v>
      </c>
      <c r="P51" s="60">
        <v>90966</v>
      </c>
      <c r="Q51" s="60">
        <v>315652</v>
      </c>
      <c r="R51" s="60">
        <v>1</v>
      </c>
      <c r="S51" s="60">
        <v>91298</v>
      </c>
      <c r="T51" s="60">
        <v>316980</v>
      </c>
      <c r="U51" s="60">
        <v>2</v>
      </c>
    </row>
    <row r="52" spans="1:21" x14ac:dyDescent="0.25">
      <c r="A52" s="55" t="s">
        <v>13272</v>
      </c>
      <c r="B52" s="60">
        <v>39289</v>
      </c>
      <c r="C52" s="60">
        <v>63495</v>
      </c>
      <c r="D52" s="60">
        <v>8</v>
      </c>
      <c r="E52" s="60">
        <v>19982</v>
      </c>
      <c r="F52" s="60">
        <v>32616</v>
      </c>
      <c r="G52" s="60">
        <v>26441</v>
      </c>
      <c r="H52" s="60">
        <v>52013</v>
      </c>
      <c r="I52" s="60">
        <v>4</v>
      </c>
      <c r="J52" s="60">
        <v>0</v>
      </c>
      <c r="K52" s="60">
        <v>0</v>
      </c>
      <c r="L52" s="60">
        <v>2</v>
      </c>
      <c r="M52" s="60">
        <v>19407</v>
      </c>
      <c r="N52" s="60">
        <v>26452</v>
      </c>
      <c r="O52" s="60">
        <v>6</v>
      </c>
      <c r="P52" s="60">
        <v>435</v>
      </c>
      <c r="Q52" s="60">
        <v>1160</v>
      </c>
      <c r="R52" s="60">
        <v>1</v>
      </c>
      <c r="S52" s="60">
        <v>238</v>
      </c>
      <c r="T52" s="60">
        <v>1063</v>
      </c>
      <c r="U52" s="60">
        <v>1</v>
      </c>
    </row>
    <row r="53" spans="1:21" x14ac:dyDescent="0.25">
      <c r="A53" s="55" t="s">
        <v>13409</v>
      </c>
      <c r="B53" s="60">
        <v>85391</v>
      </c>
      <c r="C53" s="60">
        <v>11998628</v>
      </c>
      <c r="D53" s="60">
        <v>18</v>
      </c>
      <c r="E53" s="60">
        <v>44445</v>
      </c>
      <c r="F53" s="60">
        <v>5877136</v>
      </c>
      <c r="G53" s="60">
        <v>52460</v>
      </c>
      <c r="H53" s="60">
        <v>1200</v>
      </c>
      <c r="I53" s="60">
        <v>2</v>
      </c>
      <c r="J53" s="60">
        <v>0</v>
      </c>
      <c r="K53" s="60">
        <v>0</v>
      </c>
      <c r="L53" s="60">
        <v>0</v>
      </c>
      <c r="M53" s="60">
        <v>13225</v>
      </c>
      <c r="N53" s="60">
        <v>33628</v>
      </c>
      <c r="O53" s="60">
        <v>10</v>
      </c>
      <c r="P53" s="60">
        <v>3465</v>
      </c>
      <c r="Q53" s="60">
        <v>7875</v>
      </c>
      <c r="R53" s="60">
        <v>3</v>
      </c>
      <c r="S53" s="60">
        <v>11090</v>
      </c>
      <c r="T53" s="60">
        <v>34615</v>
      </c>
      <c r="U53" s="60">
        <v>14</v>
      </c>
    </row>
    <row r="54" spans="1:21" x14ac:dyDescent="0.25">
      <c r="A54" s="50" t="s">
        <v>14279</v>
      </c>
      <c r="B54" s="60">
        <v>40033908</v>
      </c>
      <c r="C54" s="60">
        <v>148507700.90000001</v>
      </c>
      <c r="D54" s="60">
        <v>271</v>
      </c>
      <c r="E54" s="60">
        <v>33460724</v>
      </c>
      <c r="F54" s="60">
        <v>83580166</v>
      </c>
      <c r="G54" s="60">
        <v>1816997</v>
      </c>
      <c r="H54" s="60">
        <v>2342147</v>
      </c>
      <c r="I54" s="60">
        <v>56</v>
      </c>
      <c r="J54" s="60">
        <v>30856591</v>
      </c>
      <c r="K54" s="60">
        <v>107065382</v>
      </c>
      <c r="L54" s="60">
        <v>51</v>
      </c>
      <c r="M54" s="60">
        <v>6632147</v>
      </c>
      <c r="N54" s="60">
        <v>5241102.5</v>
      </c>
      <c r="O54" s="60">
        <v>129</v>
      </c>
      <c r="P54" s="60">
        <v>357365</v>
      </c>
      <c r="Q54" s="60">
        <v>3018938.5</v>
      </c>
      <c r="R54" s="60">
        <v>45</v>
      </c>
      <c r="S54" s="60">
        <v>407657.11</v>
      </c>
      <c r="T54" s="60">
        <v>1395263.46</v>
      </c>
      <c r="U54" s="60">
        <v>96</v>
      </c>
    </row>
    <row r="55" spans="1:21" x14ac:dyDescent="0.25">
      <c r="A55" s="50" t="s">
        <v>2807</v>
      </c>
      <c r="B55" s="60"/>
      <c r="C55" s="60"/>
      <c r="D55" s="60"/>
      <c r="E55" s="60"/>
      <c r="F55" s="60"/>
      <c r="G55" s="60"/>
      <c r="H55" s="60"/>
      <c r="I55" s="60"/>
      <c r="J55" s="60"/>
      <c r="K55" s="60"/>
      <c r="L55" s="60"/>
      <c r="M55" s="60"/>
      <c r="N55" s="60"/>
      <c r="O55" s="60"/>
      <c r="P55" s="60"/>
      <c r="Q55" s="60"/>
      <c r="R55" s="60"/>
      <c r="S55" s="60"/>
      <c r="T55" s="60"/>
      <c r="U55" s="60"/>
    </row>
    <row r="56" spans="1:21" x14ac:dyDescent="0.25">
      <c r="A56" s="55" t="s">
        <v>2806</v>
      </c>
      <c r="B56" s="60">
        <v>0</v>
      </c>
      <c r="C56" s="60">
        <v>0</v>
      </c>
      <c r="D56" s="60">
        <v>1</v>
      </c>
      <c r="E56" s="60">
        <v>0</v>
      </c>
      <c r="F56" s="60">
        <v>0</v>
      </c>
      <c r="G56" s="60">
        <v>0</v>
      </c>
      <c r="H56" s="60">
        <v>0</v>
      </c>
      <c r="I56" s="60">
        <v>0</v>
      </c>
      <c r="J56" s="60">
        <v>0</v>
      </c>
      <c r="K56" s="60">
        <v>0</v>
      </c>
      <c r="L56" s="60">
        <v>0</v>
      </c>
      <c r="M56" s="60">
        <v>0</v>
      </c>
      <c r="N56" s="60">
        <v>0</v>
      </c>
      <c r="O56" s="60">
        <v>0</v>
      </c>
      <c r="P56" s="60">
        <v>0</v>
      </c>
      <c r="Q56" s="60">
        <v>0</v>
      </c>
      <c r="R56" s="60">
        <v>1</v>
      </c>
      <c r="S56" s="60">
        <v>0</v>
      </c>
      <c r="T56" s="60">
        <v>0</v>
      </c>
      <c r="U56" s="60">
        <v>1</v>
      </c>
    </row>
    <row r="57" spans="1:21" x14ac:dyDescent="0.25">
      <c r="A57" s="55" t="s">
        <v>2931</v>
      </c>
      <c r="B57" s="60">
        <v>0</v>
      </c>
      <c r="C57" s="60">
        <v>0</v>
      </c>
      <c r="D57" s="60">
        <v>1</v>
      </c>
      <c r="E57" s="60">
        <v>0</v>
      </c>
      <c r="F57" s="60">
        <v>0</v>
      </c>
      <c r="G57" s="60">
        <v>0</v>
      </c>
      <c r="H57" s="60">
        <v>0</v>
      </c>
      <c r="I57" s="60">
        <v>0</v>
      </c>
      <c r="J57" s="60">
        <v>0</v>
      </c>
      <c r="K57" s="60">
        <v>0</v>
      </c>
      <c r="L57" s="60">
        <v>0</v>
      </c>
      <c r="M57" s="60">
        <v>0</v>
      </c>
      <c r="N57" s="60">
        <v>0</v>
      </c>
      <c r="O57" s="60">
        <v>1</v>
      </c>
      <c r="P57" s="60">
        <v>0</v>
      </c>
      <c r="Q57" s="60">
        <v>0</v>
      </c>
      <c r="R57" s="60">
        <v>0</v>
      </c>
      <c r="S57" s="60">
        <v>0</v>
      </c>
      <c r="T57" s="60">
        <v>0</v>
      </c>
      <c r="U57" s="60">
        <v>1</v>
      </c>
    </row>
    <row r="58" spans="1:21" x14ac:dyDescent="0.25">
      <c r="A58" s="55" t="s">
        <v>3148</v>
      </c>
      <c r="B58" s="60">
        <v>142129</v>
      </c>
      <c r="C58" s="60">
        <v>2941703</v>
      </c>
      <c r="D58" s="60">
        <v>5</v>
      </c>
      <c r="E58" s="60">
        <v>78213</v>
      </c>
      <c r="F58" s="60">
        <v>163158</v>
      </c>
      <c r="G58" s="60">
        <v>136569</v>
      </c>
      <c r="H58" s="60">
        <v>1790622</v>
      </c>
      <c r="I58" s="60">
        <v>4</v>
      </c>
      <c r="J58" s="60">
        <v>0</v>
      </c>
      <c r="K58" s="60">
        <v>0</v>
      </c>
      <c r="L58" s="60">
        <v>0</v>
      </c>
      <c r="M58" s="60">
        <v>12990</v>
      </c>
      <c r="N58" s="60">
        <v>2504150</v>
      </c>
      <c r="O58" s="60">
        <v>4</v>
      </c>
      <c r="P58" s="60">
        <v>0</v>
      </c>
      <c r="Q58" s="60">
        <v>0</v>
      </c>
      <c r="R58" s="60">
        <v>0</v>
      </c>
      <c r="S58" s="60">
        <v>2299</v>
      </c>
      <c r="T58" s="60">
        <v>5000</v>
      </c>
      <c r="U58" s="60">
        <v>2</v>
      </c>
    </row>
    <row r="59" spans="1:21" x14ac:dyDescent="0.25">
      <c r="A59" s="55" t="s">
        <v>3261</v>
      </c>
      <c r="B59" s="60">
        <v>0</v>
      </c>
      <c r="C59" s="60">
        <v>0</v>
      </c>
      <c r="D59" s="60">
        <v>1</v>
      </c>
      <c r="E59" s="60">
        <v>0</v>
      </c>
      <c r="F59" s="60">
        <v>0</v>
      </c>
      <c r="G59" s="60">
        <v>0</v>
      </c>
      <c r="H59" s="60">
        <v>0</v>
      </c>
      <c r="I59" s="60">
        <v>0</v>
      </c>
      <c r="J59" s="60">
        <v>0</v>
      </c>
      <c r="K59" s="60">
        <v>0</v>
      </c>
      <c r="L59" s="60">
        <v>0</v>
      </c>
      <c r="M59" s="60">
        <v>85</v>
      </c>
      <c r="N59" s="60">
        <v>0</v>
      </c>
      <c r="O59" s="60">
        <v>1</v>
      </c>
      <c r="P59" s="60">
        <v>0</v>
      </c>
      <c r="Q59" s="60">
        <v>0</v>
      </c>
      <c r="R59" s="60">
        <v>0</v>
      </c>
      <c r="S59" s="60">
        <v>0</v>
      </c>
      <c r="T59" s="60">
        <v>0</v>
      </c>
      <c r="U59" s="60">
        <v>0</v>
      </c>
    </row>
    <row r="60" spans="1:21" x14ac:dyDescent="0.25">
      <c r="A60" s="55" t="s">
        <v>3272</v>
      </c>
      <c r="B60" s="60">
        <v>88400</v>
      </c>
      <c r="C60" s="60">
        <v>2237831</v>
      </c>
      <c r="D60" s="60">
        <v>19</v>
      </c>
      <c r="E60" s="60">
        <v>48532</v>
      </c>
      <c r="F60" s="60">
        <v>1311950</v>
      </c>
      <c r="G60" s="60">
        <v>66736</v>
      </c>
      <c r="H60" s="60">
        <v>532067</v>
      </c>
      <c r="I60" s="60">
        <v>11</v>
      </c>
      <c r="J60" s="60">
        <v>3223</v>
      </c>
      <c r="K60" s="60">
        <v>1459</v>
      </c>
      <c r="L60" s="60">
        <v>1</v>
      </c>
      <c r="M60" s="60">
        <v>21622</v>
      </c>
      <c r="N60" s="60">
        <v>518987</v>
      </c>
      <c r="O60" s="60">
        <v>6</v>
      </c>
      <c r="P60" s="60">
        <v>15550</v>
      </c>
      <c r="Q60" s="60">
        <v>630398</v>
      </c>
      <c r="R60" s="60">
        <v>4</v>
      </c>
      <c r="S60" s="60">
        <v>6187</v>
      </c>
      <c r="T60" s="60">
        <v>3308</v>
      </c>
      <c r="U60" s="60">
        <v>4</v>
      </c>
    </row>
    <row r="61" spans="1:21" x14ac:dyDescent="0.25">
      <c r="A61" s="55" t="s">
        <v>4777</v>
      </c>
      <c r="B61" s="60">
        <v>149493</v>
      </c>
      <c r="C61" s="60">
        <v>1426199</v>
      </c>
      <c r="D61" s="60">
        <v>16</v>
      </c>
      <c r="E61" s="60">
        <v>77110</v>
      </c>
      <c r="F61" s="60">
        <v>743527</v>
      </c>
      <c r="G61" s="60">
        <v>104821</v>
      </c>
      <c r="H61" s="60">
        <v>1071887</v>
      </c>
      <c r="I61" s="60">
        <v>5</v>
      </c>
      <c r="J61" s="60">
        <v>1853</v>
      </c>
      <c r="K61" s="60">
        <v>16915</v>
      </c>
      <c r="L61" s="60">
        <v>2</v>
      </c>
      <c r="M61" s="60">
        <v>53308</v>
      </c>
      <c r="N61" s="60">
        <v>868849</v>
      </c>
      <c r="O61" s="60">
        <v>12</v>
      </c>
      <c r="P61" s="60">
        <v>3086</v>
      </c>
      <c r="Q61" s="60">
        <v>13926</v>
      </c>
      <c r="R61" s="60">
        <v>5</v>
      </c>
      <c r="S61" s="60">
        <v>3644.02</v>
      </c>
      <c r="T61" s="60">
        <v>16255.2808</v>
      </c>
      <c r="U61" s="60">
        <v>5</v>
      </c>
    </row>
    <row r="62" spans="1:21" x14ac:dyDescent="0.25">
      <c r="A62" s="55" t="s">
        <v>5061</v>
      </c>
      <c r="B62" s="60">
        <v>723086</v>
      </c>
      <c r="C62" s="60">
        <v>1502112</v>
      </c>
      <c r="D62" s="60">
        <v>8</v>
      </c>
      <c r="E62" s="60">
        <v>96970</v>
      </c>
      <c r="F62" s="60">
        <v>565281</v>
      </c>
      <c r="G62" s="60">
        <v>709129</v>
      </c>
      <c r="H62" s="60">
        <v>1451686</v>
      </c>
      <c r="I62" s="60">
        <v>5</v>
      </c>
      <c r="J62" s="60">
        <v>0</v>
      </c>
      <c r="K62" s="60">
        <v>0</v>
      </c>
      <c r="L62" s="60">
        <v>0</v>
      </c>
      <c r="M62" s="60">
        <v>638932</v>
      </c>
      <c r="N62" s="60">
        <v>1042198</v>
      </c>
      <c r="O62" s="60">
        <v>5</v>
      </c>
      <c r="P62" s="60">
        <v>3133</v>
      </c>
      <c r="Q62" s="60">
        <v>14725</v>
      </c>
      <c r="R62" s="60">
        <v>2</v>
      </c>
      <c r="S62" s="60">
        <v>36906</v>
      </c>
      <c r="T62" s="60">
        <v>184530</v>
      </c>
      <c r="U62" s="60">
        <v>1</v>
      </c>
    </row>
    <row r="63" spans="1:21" x14ac:dyDescent="0.25">
      <c r="A63" s="55" t="s">
        <v>5190</v>
      </c>
      <c r="B63" s="60">
        <v>189791</v>
      </c>
      <c r="C63" s="60">
        <v>3456989</v>
      </c>
      <c r="D63" s="60">
        <v>7</v>
      </c>
      <c r="E63" s="60">
        <v>100230</v>
      </c>
      <c r="F63" s="60">
        <v>1669253</v>
      </c>
      <c r="G63" s="60">
        <v>1364</v>
      </c>
      <c r="H63" s="60">
        <v>42241</v>
      </c>
      <c r="I63" s="60">
        <v>3</v>
      </c>
      <c r="J63" s="60">
        <v>65564</v>
      </c>
      <c r="K63" s="60">
        <v>67474</v>
      </c>
      <c r="L63" s="60">
        <v>2</v>
      </c>
      <c r="M63" s="60">
        <v>75525</v>
      </c>
      <c r="N63" s="60">
        <v>3198299</v>
      </c>
      <c r="O63" s="60">
        <v>6</v>
      </c>
      <c r="P63" s="60">
        <v>172</v>
      </c>
      <c r="Q63" s="60">
        <v>3044394</v>
      </c>
      <c r="R63" s="60">
        <v>3</v>
      </c>
      <c r="S63" s="60">
        <v>22704</v>
      </c>
      <c r="T63" s="60">
        <v>3092220</v>
      </c>
      <c r="U63" s="60">
        <v>5</v>
      </c>
    </row>
    <row r="64" spans="1:21" x14ac:dyDescent="0.25">
      <c r="A64" s="55" t="s">
        <v>8138</v>
      </c>
      <c r="B64" s="60">
        <v>0</v>
      </c>
      <c r="C64" s="60">
        <v>0</v>
      </c>
      <c r="D64" s="60">
        <v>1</v>
      </c>
      <c r="E64" s="60">
        <v>0</v>
      </c>
      <c r="F64" s="60">
        <v>0</v>
      </c>
      <c r="G64" s="60">
        <v>0</v>
      </c>
      <c r="H64" s="60">
        <v>0</v>
      </c>
      <c r="I64" s="60">
        <v>0</v>
      </c>
      <c r="J64" s="60">
        <v>0</v>
      </c>
      <c r="K64" s="60">
        <v>0</v>
      </c>
      <c r="L64" s="60">
        <v>0</v>
      </c>
      <c r="M64" s="60">
        <v>0</v>
      </c>
      <c r="N64" s="60">
        <v>0</v>
      </c>
      <c r="O64" s="60">
        <v>0</v>
      </c>
      <c r="P64" s="60">
        <v>0</v>
      </c>
      <c r="Q64" s="60">
        <v>0</v>
      </c>
      <c r="R64" s="60">
        <v>1</v>
      </c>
      <c r="S64" s="60">
        <v>0</v>
      </c>
      <c r="T64" s="60">
        <v>0</v>
      </c>
      <c r="U64" s="60">
        <v>1</v>
      </c>
    </row>
    <row r="65" spans="1:21" x14ac:dyDescent="0.25">
      <c r="A65" s="55" t="s">
        <v>9042</v>
      </c>
      <c r="B65" s="60">
        <v>0</v>
      </c>
      <c r="C65" s="60">
        <v>0</v>
      </c>
      <c r="D65" s="60">
        <v>1</v>
      </c>
      <c r="E65" s="60">
        <v>0</v>
      </c>
      <c r="F65" s="60">
        <v>0</v>
      </c>
      <c r="G65" s="60">
        <v>0</v>
      </c>
      <c r="H65" s="60">
        <v>0</v>
      </c>
      <c r="I65" s="60">
        <v>0</v>
      </c>
      <c r="J65" s="60">
        <v>0</v>
      </c>
      <c r="K65" s="60">
        <v>0</v>
      </c>
      <c r="L65" s="60">
        <v>0</v>
      </c>
      <c r="M65" s="60">
        <v>0</v>
      </c>
      <c r="N65" s="60">
        <v>0</v>
      </c>
      <c r="O65" s="60">
        <v>1</v>
      </c>
      <c r="P65" s="60">
        <v>0</v>
      </c>
      <c r="Q65" s="60">
        <v>0</v>
      </c>
      <c r="R65" s="60">
        <v>0</v>
      </c>
      <c r="S65" s="60">
        <v>0</v>
      </c>
      <c r="T65" s="60">
        <v>0</v>
      </c>
      <c r="U65" s="60">
        <v>1</v>
      </c>
    </row>
    <row r="66" spans="1:21" x14ac:dyDescent="0.25">
      <c r="A66" s="55" t="s">
        <v>9514</v>
      </c>
      <c r="B66" s="60">
        <v>0</v>
      </c>
      <c r="C66" s="60">
        <v>0</v>
      </c>
      <c r="D66" s="60">
        <v>1</v>
      </c>
      <c r="E66" s="60">
        <v>0</v>
      </c>
      <c r="F66" s="60">
        <v>0</v>
      </c>
      <c r="G66" s="60">
        <v>0</v>
      </c>
      <c r="H66" s="60">
        <v>0</v>
      </c>
      <c r="I66" s="60">
        <v>0</v>
      </c>
      <c r="J66" s="60">
        <v>0</v>
      </c>
      <c r="K66" s="60">
        <v>0</v>
      </c>
      <c r="L66" s="60">
        <v>0</v>
      </c>
      <c r="M66" s="60">
        <v>195</v>
      </c>
      <c r="N66" s="60">
        <v>0</v>
      </c>
      <c r="O66" s="60">
        <v>1</v>
      </c>
      <c r="P66" s="60">
        <v>0</v>
      </c>
      <c r="Q66" s="60">
        <v>0</v>
      </c>
      <c r="R66" s="60">
        <v>0</v>
      </c>
      <c r="S66" s="60">
        <v>0</v>
      </c>
      <c r="T66" s="60">
        <v>0</v>
      </c>
      <c r="U66" s="60">
        <v>0</v>
      </c>
    </row>
    <row r="67" spans="1:21" x14ac:dyDescent="0.25">
      <c r="A67" s="55" t="s">
        <v>9706</v>
      </c>
      <c r="B67" s="60">
        <v>197930</v>
      </c>
      <c r="C67" s="60">
        <v>3538560.5</v>
      </c>
      <c r="D67" s="60">
        <v>36</v>
      </c>
      <c r="E67" s="60">
        <v>108279</v>
      </c>
      <c r="F67" s="60">
        <v>1718833.5</v>
      </c>
      <c r="G67" s="60">
        <v>94517</v>
      </c>
      <c r="H67" s="60">
        <v>218993.5</v>
      </c>
      <c r="I67" s="60">
        <v>21</v>
      </c>
      <c r="J67" s="60">
        <v>21983</v>
      </c>
      <c r="K67" s="60">
        <v>34175</v>
      </c>
      <c r="L67" s="60">
        <v>4</v>
      </c>
      <c r="M67" s="60">
        <v>101043</v>
      </c>
      <c r="N67" s="60">
        <v>3363263</v>
      </c>
      <c r="O67" s="60">
        <v>17</v>
      </c>
      <c r="P67" s="60">
        <v>9493</v>
      </c>
      <c r="Q67" s="60">
        <v>34175</v>
      </c>
      <c r="R67" s="60">
        <v>1</v>
      </c>
      <c r="S67" s="60">
        <v>15462.04</v>
      </c>
      <c r="T67" s="60">
        <v>63654.04</v>
      </c>
      <c r="U67" s="60">
        <v>11</v>
      </c>
    </row>
    <row r="68" spans="1:21" x14ac:dyDescent="0.25">
      <c r="A68" s="50" t="s">
        <v>14280</v>
      </c>
      <c r="B68" s="60">
        <v>1490829</v>
      </c>
      <c r="C68" s="60">
        <v>15103394.5</v>
      </c>
      <c r="D68" s="60">
        <v>97</v>
      </c>
      <c r="E68" s="60">
        <v>509334</v>
      </c>
      <c r="F68" s="60">
        <v>6172002.5</v>
      </c>
      <c r="G68" s="60">
        <v>1113136</v>
      </c>
      <c r="H68" s="60">
        <v>5107496.5</v>
      </c>
      <c r="I68" s="60">
        <v>49</v>
      </c>
      <c r="J68" s="60">
        <v>92623</v>
      </c>
      <c r="K68" s="60">
        <v>120023</v>
      </c>
      <c r="L68" s="60">
        <v>9</v>
      </c>
      <c r="M68" s="60">
        <v>903700</v>
      </c>
      <c r="N68" s="60">
        <v>11495746</v>
      </c>
      <c r="O68" s="60">
        <v>54</v>
      </c>
      <c r="P68" s="60">
        <v>31434</v>
      </c>
      <c r="Q68" s="60">
        <v>3737618</v>
      </c>
      <c r="R68" s="60">
        <v>17</v>
      </c>
      <c r="S68" s="60">
        <v>87202.06</v>
      </c>
      <c r="T68" s="60">
        <v>3364967.3207999999</v>
      </c>
      <c r="U68" s="60">
        <v>32</v>
      </c>
    </row>
    <row r="69" spans="1:21" x14ac:dyDescent="0.25">
      <c r="A69" s="50" t="s">
        <v>602</v>
      </c>
      <c r="B69" s="60"/>
      <c r="C69" s="60"/>
      <c r="D69" s="60"/>
      <c r="E69" s="60"/>
      <c r="F69" s="60"/>
      <c r="G69" s="60"/>
      <c r="H69" s="60"/>
      <c r="I69" s="60"/>
      <c r="J69" s="60"/>
      <c r="K69" s="60"/>
      <c r="L69" s="60"/>
      <c r="M69" s="60"/>
      <c r="N69" s="60"/>
      <c r="O69" s="60"/>
      <c r="P69" s="60"/>
      <c r="Q69" s="60"/>
      <c r="R69" s="60"/>
      <c r="S69" s="60"/>
      <c r="T69" s="60"/>
      <c r="U69" s="60"/>
    </row>
    <row r="70" spans="1:21" x14ac:dyDescent="0.25">
      <c r="A70" s="55" t="s">
        <v>601</v>
      </c>
      <c r="B70" s="60">
        <v>1086</v>
      </c>
      <c r="C70" s="60">
        <v>1878</v>
      </c>
      <c r="D70" s="60">
        <v>1</v>
      </c>
      <c r="E70" s="60">
        <v>298</v>
      </c>
      <c r="F70" s="60">
        <v>640</v>
      </c>
      <c r="G70" s="60">
        <v>0</v>
      </c>
      <c r="H70" s="60">
        <v>0</v>
      </c>
      <c r="I70" s="60">
        <v>0</v>
      </c>
      <c r="J70" s="60">
        <v>1086</v>
      </c>
      <c r="K70" s="60">
        <v>0</v>
      </c>
      <c r="L70" s="60">
        <v>1</v>
      </c>
      <c r="M70" s="60">
        <v>0</v>
      </c>
      <c r="N70" s="60">
        <v>0</v>
      </c>
      <c r="O70" s="60">
        <v>0</v>
      </c>
      <c r="P70" s="60">
        <v>1878</v>
      </c>
      <c r="Q70" s="60">
        <v>0</v>
      </c>
      <c r="R70" s="60">
        <v>1</v>
      </c>
      <c r="S70" s="60">
        <v>0</v>
      </c>
      <c r="T70" s="60">
        <v>0</v>
      </c>
      <c r="U70" s="60">
        <v>0</v>
      </c>
    </row>
    <row r="71" spans="1:21" x14ac:dyDescent="0.25">
      <c r="A71" s="55" t="s">
        <v>635</v>
      </c>
      <c r="B71" s="60">
        <v>35</v>
      </c>
      <c r="C71" s="60">
        <v>240</v>
      </c>
      <c r="D71" s="60">
        <v>2</v>
      </c>
      <c r="E71" s="60">
        <v>15</v>
      </c>
      <c r="F71" s="60">
        <v>150</v>
      </c>
      <c r="G71" s="60">
        <v>0</v>
      </c>
      <c r="H71" s="60">
        <v>0</v>
      </c>
      <c r="I71" s="60">
        <v>1</v>
      </c>
      <c r="J71" s="60">
        <v>0</v>
      </c>
      <c r="K71" s="60">
        <v>0</v>
      </c>
      <c r="L71" s="60">
        <v>0</v>
      </c>
      <c r="M71" s="60">
        <v>0</v>
      </c>
      <c r="N71" s="60">
        <v>0</v>
      </c>
      <c r="O71" s="60">
        <v>0</v>
      </c>
      <c r="P71" s="60">
        <v>0</v>
      </c>
      <c r="Q71" s="60">
        <v>0</v>
      </c>
      <c r="R71" s="60">
        <v>1</v>
      </c>
      <c r="S71" s="60">
        <v>0</v>
      </c>
      <c r="T71" s="60">
        <v>0</v>
      </c>
      <c r="U71" s="60">
        <v>0</v>
      </c>
    </row>
    <row r="72" spans="1:21" x14ac:dyDescent="0.25">
      <c r="A72" s="55" t="s">
        <v>1527</v>
      </c>
      <c r="B72" s="60">
        <v>0</v>
      </c>
      <c r="C72" s="60">
        <v>0</v>
      </c>
      <c r="D72" s="60">
        <v>5</v>
      </c>
      <c r="E72" s="60">
        <v>0</v>
      </c>
      <c r="F72" s="60">
        <v>0</v>
      </c>
      <c r="G72" s="60">
        <v>0</v>
      </c>
      <c r="H72" s="60">
        <v>0</v>
      </c>
      <c r="I72" s="60">
        <v>4</v>
      </c>
      <c r="J72" s="60">
        <v>0</v>
      </c>
      <c r="K72" s="60">
        <v>0</v>
      </c>
      <c r="L72" s="60">
        <v>3</v>
      </c>
      <c r="M72" s="60">
        <v>0</v>
      </c>
      <c r="N72" s="60">
        <v>0</v>
      </c>
      <c r="O72" s="60">
        <v>5</v>
      </c>
      <c r="P72" s="60">
        <v>0</v>
      </c>
      <c r="Q72" s="60">
        <v>0</v>
      </c>
      <c r="R72" s="60">
        <v>4</v>
      </c>
      <c r="S72" s="60">
        <v>0</v>
      </c>
      <c r="T72" s="60">
        <v>0</v>
      </c>
      <c r="U72" s="60">
        <v>3</v>
      </c>
    </row>
    <row r="73" spans="1:21" x14ac:dyDescent="0.25">
      <c r="A73" s="55" t="s">
        <v>1735</v>
      </c>
      <c r="B73" s="60">
        <v>12208</v>
      </c>
      <c r="C73" s="60">
        <v>160536</v>
      </c>
      <c r="D73" s="60">
        <v>5</v>
      </c>
      <c r="E73" s="60">
        <v>6174</v>
      </c>
      <c r="F73" s="60">
        <v>78003</v>
      </c>
      <c r="G73" s="60">
        <v>0</v>
      </c>
      <c r="H73" s="60">
        <v>0</v>
      </c>
      <c r="I73" s="60">
        <v>0</v>
      </c>
      <c r="J73" s="60">
        <v>8298</v>
      </c>
      <c r="K73" s="60">
        <v>400</v>
      </c>
      <c r="L73" s="60">
        <v>3</v>
      </c>
      <c r="M73" s="60">
        <v>220</v>
      </c>
      <c r="N73" s="60">
        <v>2250</v>
      </c>
      <c r="O73" s="60">
        <v>2</v>
      </c>
      <c r="P73" s="60">
        <v>2277</v>
      </c>
      <c r="Q73" s="60">
        <v>150636</v>
      </c>
      <c r="R73" s="60">
        <v>4</v>
      </c>
      <c r="S73" s="60">
        <v>180</v>
      </c>
      <c r="T73" s="60">
        <v>2250</v>
      </c>
      <c r="U73" s="60">
        <v>2</v>
      </c>
    </row>
    <row r="74" spans="1:21" x14ac:dyDescent="0.25">
      <c r="A74" s="55" t="s">
        <v>3140</v>
      </c>
      <c r="B74" s="60">
        <v>139</v>
      </c>
      <c r="C74" s="60">
        <v>1790</v>
      </c>
      <c r="D74" s="60">
        <v>1</v>
      </c>
      <c r="E74" s="60">
        <v>31</v>
      </c>
      <c r="F74" s="60">
        <v>430</v>
      </c>
      <c r="G74" s="60">
        <v>0</v>
      </c>
      <c r="H74" s="60">
        <v>0</v>
      </c>
      <c r="I74" s="60">
        <v>0</v>
      </c>
      <c r="J74" s="60">
        <v>139</v>
      </c>
      <c r="K74" s="60">
        <v>0</v>
      </c>
      <c r="L74" s="60">
        <v>1</v>
      </c>
      <c r="M74" s="60">
        <v>0</v>
      </c>
      <c r="N74" s="60">
        <v>0</v>
      </c>
      <c r="O74" s="60">
        <v>0</v>
      </c>
      <c r="P74" s="60">
        <v>1790</v>
      </c>
      <c r="Q74" s="60">
        <v>0</v>
      </c>
      <c r="R74" s="60">
        <v>1</v>
      </c>
      <c r="S74" s="60">
        <v>0</v>
      </c>
      <c r="T74" s="60">
        <v>0</v>
      </c>
      <c r="U74" s="60">
        <v>0</v>
      </c>
    </row>
    <row r="75" spans="1:21" x14ac:dyDescent="0.25">
      <c r="A75" s="55" t="s">
        <v>3231</v>
      </c>
      <c r="B75" s="60">
        <v>10</v>
      </c>
      <c r="C75" s="60">
        <v>0</v>
      </c>
      <c r="D75" s="60">
        <v>1</v>
      </c>
      <c r="E75" s="60">
        <v>5</v>
      </c>
      <c r="F75" s="60">
        <v>0</v>
      </c>
      <c r="G75" s="60">
        <v>0</v>
      </c>
      <c r="H75" s="60">
        <v>0</v>
      </c>
      <c r="I75" s="60">
        <v>0</v>
      </c>
      <c r="J75" s="60">
        <v>0</v>
      </c>
      <c r="K75" s="60">
        <v>0</v>
      </c>
      <c r="L75" s="60">
        <v>0</v>
      </c>
      <c r="M75" s="60">
        <v>0</v>
      </c>
      <c r="N75" s="60">
        <v>0</v>
      </c>
      <c r="O75" s="60">
        <v>0</v>
      </c>
      <c r="P75" s="60">
        <v>0</v>
      </c>
      <c r="Q75" s="60">
        <v>0</v>
      </c>
      <c r="R75" s="60">
        <v>0</v>
      </c>
      <c r="S75" s="60">
        <v>0</v>
      </c>
      <c r="T75" s="60">
        <v>0</v>
      </c>
      <c r="U75" s="60">
        <v>0</v>
      </c>
    </row>
    <row r="76" spans="1:21" x14ac:dyDescent="0.25">
      <c r="A76" s="55" t="s">
        <v>3249</v>
      </c>
      <c r="B76" s="60">
        <v>40</v>
      </c>
      <c r="C76" s="60">
        <v>2000000</v>
      </c>
      <c r="D76" s="60">
        <v>1</v>
      </c>
      <c r="E76" s="60">
        <v>20</v>
      </c>
      <c r="F76" s="60">
        <v>1000000</v>
      </c>
      <c r="G76" s="60">
        <v>0</v>
      </c>
      <c r="H76" s="60">
        <v>0</v>
      </c>
      <c r="I76" s="60">
        <v>0</v>
      </c>
      <c r="J76" s="60">
        <v>0</v>
      </c>
      <c r="K76" s="60">
        <v>0</v>
      </c>
      <c r="L76" s="60">
        <v>0</v>
      </c>
      <c r="M76" s="60">
        <v>40</v>
      </c>
      <c r="N76" s="60">
        <v>2000000</v>
      </c>
      <c r="O76" s="60">
        <v>1</v>
      </c>
      <c r="P76" s="60">
        <v>0</v>
      </c>
      <c r="Q76" s="60">
        <v>0</v>
      </c>
      <c r="R76" s="60">
        <v>0</v>
      </c>
      <c r="S76" s="60">
        <v>0</v>
      </c>
      <c r="T76" s="60">
        <v>0</v>
      </c>
      <c r="U76" s="60">
        <v>0</v>
      </c>
    </row>
    <row r="77" spans="1:21" x14ac:dyDescent="0.25">
      <c r="A77" s="55" t="s">
        <v>3546</v>
      </c>
      <c r="B77" s="60">
        <v>76903</v>
      </c>
      <c r="C77" s="60">
        <v>232269</v>
      </c>
      <c r="D77" s="60">
        <v>19</v>
      </c>
      <c r="E77" s="60">
        <v>40920</v>
      </c>
      <c r="F77" s="60">
        <v>128889</v>
      </c>
      <c r="G77" s="60">
        <v>20716</v>
      </c>
      <c r="H77" s="60">
        <v>19602</v>
      </c>
      <c r="I77" s="60">
        <v>3</v>
      </c>
      <c r="J77" s="60">
        <v>0</v>
      </c>
      <c r="K77" s="60">
        <v>0</v>
      </c>
      <c r="L77" s="60">
        <v>0</v>
      </c>
      <c r="M77" s="60">
        <v>25883</v>
      </c>
      <c r="N77" s="60">
        <v>76338</v>
      </c>
      <c r="O77" s="60">
        <v>8</v>
      </c>
      <c r="P77" s="60">
        <v>21962</v>
      </c>
      <c r="Q77" s="60">
        <v>18932</v>
      </c>
      <c r="R77" s="60">
        <v>5</v>
      </c>
      <c r="S77" s="60">
        <v>21761.01</v>
      </c>
      <c r="T77" s="60">
        <v>93675.04</v>
      </c>
      <c r="U77" s="60">
        <v>7</v>
      </c>
    </row>
    <row r="78" spans="1:21" x14ac:dyDescent="0.25">
      <c r="A78" s="55" t="s">
        <v>4293</v>
      </c>
      <c r="B78" s="60">
        <v>370</v>
      </c>
      <c r="C78" s="60">
        <v>1336</v>
      </c>
      <c r="D78" s="60">
        <v>4</v>
      </c>
      <c r="E78" s="60">
        <v>180</v>
      </c>
      <c r="F78" s="60">
        <v>606</v>
      </c>
      <c r="G78" s="60">
        <v>0</v>
      </c>
      <c r="H78" s="60">
        <v>0</v>
      </c>
      <c r="I78" s="60">
        <v>0</v>
      </c>
      <c r="J78" s="60">
        <v>0</v>
      </c>
      <c r="K78" s="60">
        <v>0</v>
      </c>
      <c r="L78" s="60">
        <v>0</v>
      </c>
      <c r="M78" s="60">
        <v>40</v>
      </c>
      <c r="N78" s="60">
        <v>0</v>
      </c>
      <c r="O78" s="60">
        <v>1</v>
      </c>
      <c r="P78" s="60">
        <v>0</v>
      </c>
      <c r="Q78" s="60">
        <v>0</v>
      </c>
      <c r="R78" s="60">
        <v>0</v>
      </c>
      <c r="S78" s="60">
        <v>0</v>
      </c>
      <c r="T78" s="60">
        <v>0</v>
      </c>
      <c r="U78" s="60">
        <v>0</v>
      </c>
    </row>
    <row r="79" spans="1:21" x14ac:dyDescent="0.25">
      <c r="A79" s="55" t="s">
        <v>4346</v>
      </c>
      <c r="B79" s="60">
        <v>13374</v>
      </c>
      <c r="C79" s="60">
        <v>2053523</v>
      </c>
      <c r="D79" s="60">
        <v>4</v>
      </c>
      <c r="E79" s="60">
        <v>6211</v>
      </c>
      <c r="F79" s="60">
        <v>1041806</v>
      </c>
      <c r="G79" s="60">
        <v>0</v>
      </c>
      <c r="H79" s="60">
        <v>0</v>
      </c>
      <c r="I79" s="60">
        <v>0</v>
      </c>
      <c r="J79" s="60">
        <v>35</v>
      </c>
      <c r="K79" s="60">
        <v>300000</v>
      </c>
      <c r="L79" s="60">
        <v>1</v>
      </c>
      <c r="M79" s="60">
        <v>6952</v>
      </c>
      <c r="N79" s="60">
        <v>37160</v>
      </c>
      <c r="O79" s="60">
        <v>2</v>
      </c>
      <c r="P79" s="60">
        <v>3730</v>
      </c>
      <c r="Q79" s="60">
        <v>512775</v>
      </c>
      <c r="R79" s="60">
        <v>2</v>
      </c>
      <c r="S79" s="60">
        <v>3120.3</v>
      </c>
      <c r="T79" s="60">
        <v>318606.65000000002</v>
      </c>
      <c r="U79" s="60">
        <v>4</v>
      </c>
    </row>
    <row r="80" spans="1:21" x14ac:dyDescent="0.25">
      <c r="A80" s="55" t="s">
        <v>4428</v>
      </c>
      <c r="B80" s="60">
        <v>1330</v>
      </c>
      <c r="C80" s="60">
        <v>600</v>
      </c>
      <c r="D80" s="60">
        <v>3</v>
      </c>
      <c r="E80" s="60">
        <v>665</v>
      </c>
      <c r="F80" s="60">
        <v>300</v>
      </c>
      <c r="G80" s="60">
        <v>0</v>
      </c>
      <c r="H80" s="60">
        <v>0</v>
      </c>
      <c r="I80" s="60">
        <v>0</v>
      </c>
      <c r="J80" s="60">
        <v>0</v>
      </c>
      <c r="K80" s="60">
        <v>0</v>
      </c>
      <c r="L80" s="60">
        <v>0</v>
      </c>
      <c r="M80" s="60">
        <v>0</v>
      </c>
      <c r="N80" s="60">
        <v>0</v>
      </c>
      <c r="O80" s="60">
        <v>0</v>
      </c>
      <c r="P80" s="60">
        <v>0</v>
      </c>
      <c r="Q80" s="60">
        <v>0</v>
      </c>
      <c r="R80" s="60">
        <v>0</v>
      </c>
      <c r="S80" s="60">
        <v>0</v>
      </c>
      <c r="T80" s="60">
        <v>0</v>
      </c>
      <c r="U80" s="60">
        <v>0</v>
      </c>
    </row>
    <row r="81" spans="1:21" x14ac:dyDescent="0.25">
      <c r="A81" s="55" t="s">
        <v>4743</v>
      </c>
      <c r="B81" s="60">
        <v>12841</v>
      </c>
      <c r="C81" s="60">
        <v>0</v>
      </c>
      <c r="D81" s="60">
        <v>1</v>
      </c>
      <c r="E81" s="60">
        <v>0</v>
      </c>
      <c r="F81" s="60">
        <v>0</v>
      </c>
      <c r="G81" s="60">
        <v>12841</v>
      </c>
      <c r="H81" s="60">
        <v>0</v>
      </c>
      <c r="I81" s="60">
        <v>1</v>
      </c>
      <c r="J81" s="60">
        <v>0</v>
      </c>
      <c r="K81" s="60">
        <v>0</v>
      </c>
      <c r="L81" s="60">
        <v>0</v>
      </c>
      <c r="M81" s="60">
        <v>0</v>
      </c>
      <c r="N81" s="60">
        <v>0</v>
      </c>
      <c r="O81" s="60">
        <v>0</v>
      </c>
      <c r="P81" s="60">
        <v>0</v>
      </c>
      <c r="Q81" s="60">
        <v>0</v>
      </c>
      <c r="R81" s="60">
        <v>0</v>
      </c>
      <c r="S81" s="60">
        <v>0</v>
      </c>
      <c r="T81" s="60">
        <v>0</v>
      </c>
      <c r="U81" s="60">
        <v>0</v>
      </c>
    </row>
    <row r="82" spans="1:21" x14ac:dyDescent="0.25">
      <c r="A82" s="55" t="s">
        <v>6024</v>
      </c>
      <c r="B82" s="60">
        <v>219603</v>
      </c>
      <c r="C82" s="60">
        <v>38242</v>
      </c>
      <c r="D82" s="60">
        <v>7</v>
      </c>
      <c r="E82" s="60">
        <v>108936</v>
      </c>
      <c r="F82" s="60">
        <v>16624</v>
      </c>
      <c r="G82" s="60">
        <v>219603</v>
      </c>
      <c r="H82" s="60">
        <v>38242</v>
      </c>
      <c r="I82" s="60">
        <v>7</v>
      </c>
      <c r="J82" s="60">
        <v>4800</v>
      </c>
      <c r="K82" s="60">
        <v>25000</v>
      </c>
      <c r="L82" s="60">
        <v>1</v>
      </c>
      <c r="M82" s="60">
        <v>106563</v>
      </c>
      <c r="N82" s="60">
        <v>13242</v>
      </c>
      <c r="O82" s="60">
        <v>3</v>
      </c>
      <c r="P82" s="60">
        <v>0</v>
      </c>
      <c r="Q82" s="60">
        <v>0</v>
      </c>
      <c r="R82" s="60">
        <v>0</v>
      </c>
      <c r="S82" s="60">
        <v>0</v>
      </c>
      <c r="T82" s="60">
        <v>0</v>
      </c>
      <c r="U82" s="60">
        <v>0</v>
      </c>
    </row>
    <row r="83" spans="1:21" x14ac:dyDescent="0.25">
      <c r="A83" s="55" t="s">
        <v>6105</v>
      </c>
      <c r="B83" s="60">
        <v>135758</v>
      </c>
      <c r="C83" s="60">
        <v>590998</v>
      </c>
      <c r="D83" s="60">
        <v>20</v>
      </c>
      <c r="E83" s="60">
        <v>69366</v>
      </c>
      <c r="F83" s="60">
        <v>312602</v>
      </c>
      <c r="G83" s="60">
        <v>130489</v>
      </c>
      <c r="H83" s="60">
        <v>541975</v>
      </c>
      <c r="I83" s="60">
        <v>17</v>
      </c>
      <c r="J83" s="60">
        <v>0</v>
      </c>
      <c r="K83" s="60">
        <v>0</v>
      </c>
      <c r="L83" s="60">
        <v>0</v>
      </c>
      <c r="M83" s="60">
        <v>8096</v>
      </c>
      <c r="N83" s="60">
        <v>39014</v>
      </c>
      <c r="O83" s="60">
        <v>13</v>
      </c>
      <c r="P83" s="60">
        <v>974</v>
      </c>
      <c r="Q83" s="60">
        <v>4870</v>
      </c>
      <c r="R83" s="60">
        <v>1</v>
      </c>
      <c r="S83" s="60">
        <v>5057.5600000000004</v>
      </c>
      <c r="T83" s="60">
        <v>24188.58</v>
      </c>
      <c r="U83" s="60">
        <v>12</v>
      </c>
    </row>
    <row r="84" spans="1:21" x14ac:dyDescent="0.25">
      <c r="A84" s="55" t="s">
        <v>6805</v>
      </c>
      <c r="B84" s="60">
        <v>1017</v>
      </c>
      <c r="C84" s="60">
        <v>15448</v>
      </c>
      <c r="D84" s="60">
        <v>3</v>
      </c>
      <c r="E84" s="60">
        <v>265</v>
      </c>
      <c r="F84" s="60">
        <v>6619</v>
      </c>
      <c r="G84" s="60">
        <v>0</v>
      </c>
      <c r="H84" s="60">
        <v>0</v>
      </c>
      <c r="I84" s="60">
        <v>0</v>
      </c>
      <c r="J84" s="60">
        <v>642</v>
      </c>
      <c r="K84" s="60">
        <v>0</v>
      </c>
      <c r="L84" s="60">
        <v>1</v>
      </c>
      <c r="M84" s="60">
        <v>225</v>
      </c>
      <c r="N84" s="60">
        <v>1972</v>
      </c>
      <c r="O84" s="60">
        <v>2</v>
      </c>
      <c r="P84" s="60">
        <v>5448</v>
      </c>
      <c r="Q84" s="60">
        <v>0</v>
      </c>
      <c r="R84" s="60">
        <v>1</v>
      </c>
      <c r="S84" s="60">
        <v>135</v>
      </c>
      <c r="T84" s="60">
        <v>1242</v>
      </c>
      <c r="U84" s="60">
        <v>2</v>
      </c>
    </row>
    <row r="85" spans="1:21" x14ac:dyDescent="0.25">
      <c r="A85" s="55" t="s">
        <v>7083</v>
      </c>
      <c r="B85" s="60">
        <v>201254</v>
      </c>
      <c r="C85" s="60">
        <v>72422</v>
      </c>
      <c r="D85" s="60">
        <v>6</v>
      </c>
      <c r="E85" s="60">
        <v>245</v>
      </c>
      <c r="F85" s="60">
        <v>0</v>
      </c>
      <c r="G85" s="60">
        <v>201254</v>
      </c>
      <c r="H85" s="60">
        <v>72422</v>
      </c>
      <c r="I85" s="60">
        <v>6</v>
      </c>
      <c r="J85" s="60">
        <v>0</v>
      </c>
      <c r="K85" s="60">
        <v>0</v>
      </c>
      <c r="L85" s="60">
        <v>0</v>
      </c>
      <c r="M85" s="60">
        <v>194212</v>
      </c>
      <c r="N85" s="60">
        <v>7113</v>
      </c>
      <c r="O85" s="60">
        <v>2</v>
      </c>
      <c r="P85" s="60">
        <v>0</v>
      </c>
      <c r="Q85" s="60">
        <v>0</v>
      </c>
      <c r="R85" s="60">
        <v>0</v>
      </c>
      <c r="S85" s="60">
        <v>0</v>
      </c>
      <c r="T85" s="60">
        <v>0</v>
      </c>
      <c r="U85" s="60">
        <v>0</v>
      </c>
    </row>
    <row r="86" spans="1:21" x14ac:dyDescent="0.25">
      <c r="A86" s="55" t="s">
        <v>7194</v>
      </c>
      <c r="B86" s="60">
        <v>720</v>
      </c>
      <c r="C86" s="60">
        <v>2800</v>
      </c>
      <c r="D86" s="60">
        <v>1</v>
      </c>
      <c r="E86" s="60">
        <v>620</v>
      </c>
      <c r="F86" s="60">
        <v>2200</v>
      </c>
      <c r="G86" s="60">
        <v>0</v>
      </c>
      <c r="H86" s="60">
        <v>0</v>
      </c>
      <c r="I86" s="60">
        <v>0</v>
      </c>
      <c r="J86" s="60">
        <v>0</v>
      </c>
      <c r="K86" s="60">
        <v>0</v>
      </c>
      <c r="L86" s="60">
        <v>0</v>
      </c>
      <c r="M86" s="60">
        <v>0</v>
      </c>
      <c r="N86" s="60">
        <v>0</v>
      </c>
      <c r="O86" s="60">
        <v>0</v>
      </c>
      <c r="P86" s="60">
        <v>0</v>
      </c>
      <c r="Q86" s="60">
        <v>0</v>
      </c>
      <c r="R86" s="60">
        <v>0</v>
      </c>
      <c r="S86" s="60">
        <v>326</v>
      </c>
      <c r="T86" s="60">
        <v>1200</v>
      </c>
      <c r="U86" s="60">
        <v>1</v>
      </c>
    </row>
    <row r="87" spans="1:21" x14ac:dyDescent="0.25">
      <c r="A87" s="55" t="s">
        <v>8140</v>
      </c>
      <c r="B87" s="60">
        <v>2132</v>
      </c>
      <c r="C87" s="60">
        <v>6090</v>
      </c>
      <c r="D87" s="60">
        <v>3</v>
      </c>
      <c r="E87" s="60">
        <v>1214</v>
      </c>
      <c r="F87" s="60">
        <v>3450</v>
      </c>
      <c r="G87" s="60">
        <v>0</v>
      </c>
      <c r="H87" s="60">
        <v>0</v>
      </c>
      <c r="I87" s="60">
        <v>0</v>
      </c>
      <c r="J87" s="60">
        <v>0</v>
      </c>
      <c r="K87" s="60">
        <v>0</v>
      </c>
      <c r="L87" s="60">
        <v>0</v>
      </c>
      <c r="M87" s="60">
        <v>100</v>
      </c>
      <c r="N87" s="60">
        <v>2200</v>
      </c>
      <c r="O87" s="60">
        <v>2</v>
      </c>
      <c r="P87" s="60">
        <v>475</v>
      </c>
      <c r="Q87" s="60">
        <v>1400</v>
      </c>
      <c r="R87" s="60">
        <v>1</v>
      </c>
      <c r="S87" s="60">
        <v>160</v>
      </c>
      <c r="T87" s="60">
        <v>1780</v>
      </c>
      <c r="U87" s="60">
        <v>2</v>
      </c>
    </row>
    <row r="88" spans="1:21" x14ac:dyDescent="0.25">
      <c r="A88" s="55" t="s">
        <v>8180</v>
      </c>
      <c r="B88" s="60">
        <v>12286</v>
      </c>
      <c r="C88" s="60">
        <v>27749</v>
      </c>
      <c r="D88" s="60">
        <v>5</v>
      </c>
      <c r="E88" s="60">
        <v>7170</v>
      </c>
      <c r="F88" s="60">
        <v>17144</v>
      </c>
      <c r="G88" s="60">
        <v>0</v>
      </c>
      <c r="H88" s="60">
        <v>0</v>
      </c>
      <c r="I88" s="60">
        <v>0</v>
      </c>
      <c r="J88" s="60">
        <v>420</v>
      </c>
      <c r="K88" s="60">
        <v>790</v>
      </c>
      <c r="L88" s="60">
        <v>2</v>
      </c>
      <c r="M88" s="60">
        <v>5908</v>
      </c>
      <c r="N88" s="60">
        <v>20127</v>
      </c>
      <c r="O88" s="60">
        <v>4</v>
      </c>
      <c r="P88" s="60">
        <v>420</v>
      </c>
      <c r="Q88" s="60">
        <v>1150</v>
      </c>
      <c r="R88" s="60">
        <v>2</v>
      </c>
      <c r="S88" s="60">
        <v>3696</v>
      </c>
      <c r="T88" s="60">
        <v>7917.33</v>
      </c>
      <c r="U88" s="60">
        <v>2</v>
      </c>
    </row>
    <row r="89" spans="1:21" x14ac:dyDescent="0.25">
      <c r="A89" s="55" t="s">
        <v>9020</v>
      </c>
      <c r="B89" s="60">
        <v>0</v>
      </c>
      <c r="C89" s="60">
        <v>0</v>
      </c>
      <c r="D89" s="60">
        <v>3</v>
      </c>
      <c r="E89" s="60">
        <v>0</v>
      </c>
      <c r="F89" s="60">
        <v>0</v>
      </c>
      <c r="G89" s="60">
        <v>0</v>
      </c>
      <c r="H89" s="60">
        <v>0</v>
      </c>
      <c r="I89" s="60">
        <v>1</v>
      </c>
      <c r="J89" s="60">
        <v>0</v>
      </c>
      <c r="K89" s="60">
        <v>0</v>
      </c>
      <c r="L89" s="60">
        <v>0</v>
      </c>
      <c r="M89" s="60">
        <v>0</v>
      </c>
      <c r="N89" s="60">
        <v>0</v>
      </c>
      <c r="O89" s="60">
        <v>0</v>
      </c>
      <c r="P89" s="60">
        <v>0</v>
      </c>
      <c r="Q89" s="60">
        <v>0</v>
      </c>
      <c r="R89" s="60">
        <v>0</v>
      </c>
      <c r="S89" s="60">
        <v>0</v>
      </c>
      <c r="T89" s="60">
        <v>0</v>
      </c>
      <c r="U89" s="60">
        <v>0</v>
      </c>
    </row>
    <row r="90" spans="1:21" x14ac:dyDescent="0.25">
      <c r="A90" s="55" t="s">
        <v>9409</v>
      </c>
      <c r="B90" s="60">
        <v>180</v>
      </c>
      <c r="C90" s="60">
        <v>50000</v>
      </c>
      <c r="D90" s="60">
        <v>1</v>
      </c>
      <c r="E90" s="60">
        <v>0</v>
      </c>
      <c r="F90" s="60">
        <v>0</v>
      </c>
      <c r="G90" s="60">
        <v>0</v>
      </c>
      <c r="H90" s="60">
        <v>0</v>
      </c>
      <c r="I90" s="60">
        <v>0</v>
      </c>
      <c r="J90" s="60">
        <v>0</v>
      </c>
      <c r="K90" s="60">
        <v>0</v>
      </c>
      <c r="L90" s="60">
        <v>0</v>
      </c>
      <c r="M90" s="60">
        <v>0</v>
      </c>
      <c r="N90" s="60">
        <v>0</v>
      </c>
      <c r="O90" s="60">
        <v>0</v>
      </c>
      <c r="P90" s="60">
        <v>0</v>
      </c>
      <c r="Q90" s="60">
        <v>0</v>
      </c>
      <c r="R90" s="60">
        <v>0</v>
      </c>
      <c r="S90" s="60">
        <v>180</v>
      </c>
      <c r="T90" s="60">
        <v>50000</v>
      </c>
      <c r="U90" s="60">
        <v>1</v>
      </c>
    </row>
    <row r="91" spans="1:21" x14ac:dyDescent="0.25">
      <c r="A91" s="55" t="s">
        <v>10350</v>
      </c>
      <c r="B91" s="60">
        <v>5657</v>
      </c>
      <c r="C91" s="60">
        <v>29958</v>
      </c>
      <c r="D91" s="60">
        <v>1</v>
      </c>
      <c r="E91" s="60">
        <v>4234</v>
      </c>
      <c r="F91" s="60">
        <v>14809</v>
      </c>
      <c r="G91" s="60">
        <v>0</v>
      </c>
      <c r="H91" s="60">
        <v>0</v>
      </c>
      <c r="I91" s="60">
        <v>0</v>
      </c>
      <c r="J91" s="60">
        <v>3055</v>
      </c>
      <c r="K91" s="60">
        <v>21385</v>
      </c>
      <c r="L91" s="60">
        <v>1</v>
      </c>
      <c r="M91" s="60">
        <v>0</v>
      </c>
      <c r="N91" s="60">
        <v>0</v>
      </c>
      <c r="O91" s="60">
        <v>0</v>
      </c>
      <c r="P91" s="60">
        <v>0</v>
      </c>
      <c r="Q91" s="60">
        <v>0</v>
      </c>
      <c r="R91" s="60">
        <v>0</v>
      </c>
      <c r="S91" s="60">
        <v>0</v>
      </c>
      <c r="T91" s="60">
        <v>0</v>
      </c>
      <c r="U91" s="60">
        <v>0</v>
      </c>
    </row>
    <row r="92" spans="1:21" x14ac:dyDescent="0.25">
      <c r="A92" s="55" t="s">
        <v>10558</v>
      </c>
      <c r="B92" s="60">
        <v>24233</v>
      </c>
      <c r="C92" s="60">
        <v>39432</v>
      </c>
      <c r="D92" s="60">
        <v>7</v>
      </c>
      <c r="E92" s="60">
        <v>10564</v>
      </c>
      <c r="F92" s="60">
        <v>21404</v>
      </c>
      <c r="G92" s="60">
        <v>17000</v>
      </c>
      <c r="H92" s="60">
        <v>0</v>
      </c>
      <c r="I92" s="60">
        <v>5</v>
      </c>
      <c r="J92" s="60">
        <v>2154</v>
      </c>
      <c r="K92" s="60">
        <v>0</v>
      </c>
      <c r="L92" s="60">
        <v>1</v>
      </c>
      <c r="M92" s="60">
        <v>13400</v>
      </c>
      <c r="N92" s="60">
        <v>0</v>
      </c>
      <c r="O92" s="60">
        <v>5</v>
      </c>
      <c r="P92" s="60">
        <v>3649</v>
      </c>
      <c r="Q92" s="60">
        <v>4200</v>
      </c>
      <c r="R92" s="60">
        <v>2</v>
      </c>
      <c r="S92" s="60">
        <v>0</v>
      </c>
      <c r="T92" s="60">
        <v>0</v>
      </c>
      <c r="U92" s="60">
        <v>0</v>
      </c>
    </row>
    <row r="93" spans="1:21" x14ac:dyDescent="0.25">
      <c r="A93" s="55" t="s">
        <v>11664</v>
      </c>
      <c r="B93" s="60">
        <v>1800</v>
      </c>
      <c r="C93" s="60">
        <v>0</v>
      </c>
      <c r="D93" s="60">
        <v>6</v>
      </c>
      <c r="E93" s="60">
        <v>710</v>
      </c>
      <c r="F93" s="60">
        <v>0</v>
      </c>
      <c r="G93" s="60">
        <v>1800</v>
      </c>
      <c r="H93" s="60">
        <v>0</v>
      </c>
      <c r="I93" s="60">
        <v>6</v>
      </c>
      <c r="J93" s="60">
        <v>0</v>
      </c>
      <c r="K93" s="60">
        <v>0</v>
      </c>
      <c r="L93" s="60">
        <v>3</v>
      </c>
      <c r="M93" s="60">
        <v>0</v>
      </c>
      <c r="N93" s="60">
        <v>0</v>
      </c>
      <c r="O93" s="60">
        <v>3</v>
      </c>
      <c r="P93" s="60">
        <v>0</v>
      </c>
      <c r="Q93" s="60">
        <v>0</v>
      </c>
      <c r="R93" s="60">
        <v>3</v>
      </c>
      <c r="S93" s="60">
        <v>0</v>
      </c>
      <c r="T93" s="60">
        <v>0</v>
      </c>
      <c r="U93" s="60">
        <v>0</v>
      </c>
    </row>
    <row r="94" spans="1:21" x14ac:dyDescent="0.25">
      <c r="A94" s="55" t="s">
        <v>11693</v>
      </c>
      <c r="B94" s="60">
        <v>1640986</v>
      </c>
      <c r="C94" s="60">
        <v>2328</v>
      </c>
      <c r="D94" s="60">
        <v>36</v>
      </c>
      <c r="E94" s="60">
        <v>872840</v>
      </c>
      <c r="F94" s="60">
        <v>213</v>
      </c>
      <c r="G94" s="60">
        <v>1626345</v>
      </c>
      <c r="H94" s="60">
        <v>2328</v>
      </c>
      <c r="I94" s="60">
        <v>36</v>
      </c>
      <c r="J94" s="60">
        <v>81109</v>
      </c>
      <c r="K94" s="60">
        <v>0</v>
      </c>
      <c r="L94" s="60">
        <v>3</v>
      </c>
      <c r="M94" s="60">
        <v>100551</v>
      </c>
      <c r="N94" s="60">
        <v>428</v>
      </c>
      <c r="O94" s="60">
        <v>18</v>
      </c>
      <c r="P94" s="60">
        <v>0</v>
      </c>
      <c r="Q94" s="60">
        <v>0</v>
      </c>
      <c r="R94" s="60">
        <v>0</v>
      </c>
      <c r="S94" s="60">
        <v>0</v>
      </c>
      <c r="T94" s="60">
        <v>0</v>
      </c>
      <c r="U94" s="60">
        <v>2</v>
      </c>
    </row>
    <row r="95" spans="1:21" x14ac:dyDescent="0.25">
      <c r="A95" s="55" t="s">
        <v>12654</v>
      </c>
      <c r="B95" s="60">
        <v>56677</v>
      </c>
      <c r="C95" s="60">
        <v>0</v>
      </c>
      <c r="D95" s="60">
        <v>5</v>
      </c>
      <c r="E95" s="60">
        <v>27595</v>
      </c>
      <c r="F95" s="60">
        <v>0</v>
      </c>
      <c r="G95" s="60">
        <v>56677</v>
      </c>
      <c r="H95" s="60">
        <v>0</v>
      </c>
      <c r="I95" s="60">
        <v>5</v>
      </c>
      <c r="J95" s="60">
        <v>0</v>
      </c>
      <c r="K95" s="60">
        <v>0</v>
      </c>
      <c r="L95" s="60">
        <v>0</v>
      </c>
      <c r="M95" s="60">
        <v>631</v>
      </c>
      <c r="N95" s="60">
        <v>0</v>
      </c>
      <c r="O95" s="60">
        <v>1</v>
      </c>
      <c r="P95" s="60">
        <v>0</v>
      </c>
      <c r="Q95" s="60">
        <v>0</v>
      </c>
      <c r="R95" s="60">
        <v>0</v>
      </c>
      <c r="S95" s="60">
        <v>0</v>
      </c>
      <c r="T95" s="60">
        <v>0</v>
      </c>
      <c r="U95" s="60">
        <v>0</v>
      </c>
    </row>
    <row r="96" spans="1:21" x14ac:dyDescent="0.25">
      <c r="A96" s="55" t="s">
        <v>12907</v>
      </c>
      <c r="B96" s="60">
        <v>2760</v>
      </c>
      <c r="C96" s="60">
        <v>45</v>
      </c>
      <c r="D96" s="60">
        <v>8</v>
      </c>
      <c r="E96" s="60">
        <v>0</v>
      </c>
      <c r="F96" s="60">
        <v>0</v>
      </c>
      <c r="G96" s="60">
        <v>5</v>
      </c>
      <c r="H96" s="60">
        <v>45</v>
      </c>
      <c r="I96" s="60">
        <v>2</v>
      </c>
      <c r="J96" s="60">
        <v>0</v>
      </c>
      <c r="K96" s="60">
        <v>0</v>
      </c>
      <c r="L96" s="60">
        <v>0</v>
      </c>
      <c r="M96" s="60">
        <v>0</v>
      </c>
      <c r="N96" s="60">
        <v>0</v>
      </c>
      <c r="O96" s="60">
        <v>0</v>
      </c>
      <c r="P96" s="60">
        <v>0</v>
      </c>
      <c r="Q96" s="60">
        <v>0</v>
      </c>
      <c r="R96" s="60">
        <v>0</v>
      </c>
      <c r="S96" s="60">
        <v>2870</v>
      </c>
      <c r="T96" s="60">
        <v>0</v>
      </c>
      <c r="U96" s="60">
        <v>5</v>
      </c>
    </row>
    <row r="97" spans="1:21" x14ac:dyDescent="0.25">
      <c r="A97" s="55" t="s">
        <v>13710</v>
      </c>
      <c r="B97" s="60">
        <v>195989</v>
      </c>
      <c r="C97" s="60">
        <v>202531</v>
      </c>
      <c r="D97" s="60">
        <v>8</v>
      </c>
      <c r="E97" s="60">
        <v>115787.4</v>
      </c>
      <c r="F97" s="60">
        <v>101237</v>
      </c>
      <c r="G97" s="60">
        <v>151424</v>
      </c>
      <c r="H97" s="60">
        <v>34300</v>
      </c>
      <c r="I97" s="60">
        <v>5</v>
      </c>
      <c r="J97" s="60">
        <v>27750</v>
      </c>
      <c r="K97" s="60">
        <v>8575</v>
      </c>
      <c r="L97" s="60">
        <v>2</v>
      </c>
      <c r="M97" s="60">
        <v>44075</v>
      </c>
      <c r="N97" s="60">
        <v>127272</v>
      </c>
      <c r="O97" s="60">
        <v>5</v>
      </c>
      <c r="P97" s="60">
        <v>12170</v>
      </c>
      <c r="Q97" s="60">
        <v>22730</v>
      </c>
      <c r="R97" s="60">
        <v>6</v>
      </c>
      <c r="S97" s="60">
        <v>16545</v>
      </c>
      <c r="T97" s="60">
        <v>29586</v>
      </c>
      <c r="U97" s="60">
        <v>5</v>
      </c>
    </row>
    <row r="98" spans="1:21" x14ac:dyDescent="0.25">
      <c r="A98" s="55" t="s">
        <v>13783</v>
      </c>
      <c r="B98" s="60">
        <v>1413819</v>
      </c>
      <c r="C98" s="60">
        <v>1049882</v>
      </c>
      <c r="D98" s="60">
        <v>17</v>
      </c>
      <c r="E98" s="60">
        <v>704509</v>
      </c>
      <c r="F98" s="60">
        <v>521975</v>
      </c>
      <c r="G98" s="60">
        <v>1413306</v>
      </c>
      <c r="H98" s="60">
        <v>1046291</v>
      </c>
      <c r="I98" s="60">
        <v>16</v>
      </c>
      <c r="J98" s="60">
        <v>0</v>
      </c>
      <c r="K98" s="60">
        <v>0</v>
      </c>
      <c r="L98" s="60">
        <v>0</v>
      </c>
      <c r="M98" s="60">
        <v>648549</v>
      </c>
      <c r="N98" s="60">
        <v>41001</v>
      </c>
      <c r="O98" s="60">
        <v>5</v>
      </c>
      <c r="P98" s="60">
        <v>0</v>
      </c>
      <c r="Q98" s="60">
        <v>0</v>
      </c>
      <c r="R98" s="60">
        <v>0</v>
      </c>
      <c r="S98" s="60">
        <v>513</v>
      </c>
      <c r="T98" s="60">
        <v>3591</v>
      </c>
      <c r="U98" s="60">
        <v>1</v>
      </c>
    </row>
    <row r="99" spans="1:21" x14ac:dyDescent="0.25">
      <c r="A99" s="50" t="s">
        <v>14281</v>
      </c>
      <c r="B99" s="60">
        <v>4033207</v>
      </c>
      <c r="C99" s="60">
        <v>6580097</v>
      </c>
      <c r="D99" s="60">
        <v>184</v>
      </c>
      <c r="E99" s="60">
        <v>1978574.4</v>
      </c>
      <c r="F99" s="60">
        <v>3269101</v>
      </c>
      <c r="G99" s="60">
        <v>3851460</v>
      </c>
      <c r="H99" s="60">
        <v>1755205</v>
      </c>
      <c r="I99" s="60">
        <v>115</v>
      </c>
      <c r="J99" s="60">
        <v>129488</v>
      </c>
      <c r="K99" s="60">
        <v>356150</v>
      </c>
      <c r="L99" s="60">
        <v>23</v>
      </c>
      <c r="M99" s="60">
        <v>1155445</v>
      </c>
      <c r="N99" s="60">
        <v>2368117</v>
      </c>
      <c r="O99" s="60">
        <v>82</v>
      </c>
      <c r="P99" s="60">
        <v>54773</v>
      </c>
      <c r="Q99" s="60">
        <v>716693</v>
      </c>
      <c r="R99" s="60">
        <v>34</v>
      </c>
      <c r="S99" s="60">
        <v>54543.869999999995</v>
      </c>
      <c r="T99" s="60">
        <v>534036.60000000009</v>
      </c>
      <c r="U99" s="60">
        <v>49</v>
      </c>
    </row>
    <row r="100" spans="1:21" x14ac:dyDescent="0.25">
      <c r="A100" s="50" t="s">
        <v>12970</v>
      </c>
      <c r="B100" s="60"/>
      <c r="C100" s="60"/>
      <c r="D100" s="60"/>
      <c r="E100" s="60"/>
      <c r="F100" s="60"/>
      <c r="G100" s="60"/>
      <c r="H100" s="60"/>
      <c r="I100" s="60"/>
      <c r="J100" s="60"/>
      <c r="K100" s="60"/>
      <c r="L100" s="60"/>
      <c r="M100" s="60"/>
      <c r="N100" s="60"/>
      <c r="O100" s="60"/>
      <c r="P100" s="60"/>
      <c r="Q100" s="60"/>
      <c r="R100" s="60"/>
      <c r="S100" s="60"/>
      <c r="T100" s="60"/>
      <c r="U100" s="60"/>
    </row>
    <row r="101" spans="1:21" x14ac:dyDescent="0.25">
      <c r="A101" s="55" t="s">
        <v>12969</v>
      </c>
      <c r="B101" s="60">
        <v>0</v>
      </c>
      <c r="C101" s="60">
        <v>0</v>
      </c>
      <c r="D101" s="60">
        <v>34</v>
      </c>
      <c r="E101" s="60">
        <v>0</v>
      </c>
      <c r="F101" s="60">
        <v>0</v>
      </c>
      <c r="G101" s="60">
        <v>0</v>
      </c>
      <c r="H101" s="60">
        <v>0</v>
      </c>
      <c r="I101" s="60">
        <v>29</v>
      </c>
      <c r="J101" s="60">
        <v>0</v>
      </c>
      <c r="K101" s="60">
        <v>0</v>
      </c>
      <c r="L101" s="60">
        <v>10</v>
      </c>
      <c r="M101" s="60">
        <v>0</v>
      </c>
      <c r="N101" s="60">
        <v>0</v>
      </c>
      <c r="O101" s="60">
        <v>12</v>
      </c>
      <c r="P101" s="60">
        <v>0</v>
      </c>
      <c r="Q101" s="60">
        <v>0</v>
      </c>
      <c r="R101" s="60">
        <v>12</v>
      </c>
      <c r="S101" s="60">
        <v>0</v>
      </c>
      <c r="T101" s="60">
        <v>0</v>
      </c>
      <c r="U101" s="60">
        <v>14</v>
      </c>
    </row>
    <row r="102" spans="1:21" x14ac:dyDescent="0.25">
      <c r="A102" s="50" t="s">
        <v>14282</v>
      </c>
      <c r="B102" s="60">
        <v>0</v>
      </c>
      <c r="C102" s="60">
        <v>0</v>
      </c>
      <c r="D102" s="60">
        <v>34</v>
      </c>
      <c r="E102" s="60">
        <v>0</v>
      </c>
      <c r="F102" s="60">
        <v>0</v>
      </c>
      <c r="G102" s="60">
        <v>0</v>
      </c>
      <c r="H102" s="60">
        <v>0</v>
      </c>
      <c r="I102" s="60">
        <v>29</v>
      </c>
      <c r="J102" s="60">
        <v>0</v>
      </c>
      <c r="K102" s="60">
        <v>0</v>
      </c>
      <c r="L102" s="60">
        <v>10</v>
      </c>
      <c r="M102" s="60">
        <v>0</v>
      </c>
      <c r="N102" s="60">
        <v>0</v>
      </c>
      <c r="O102" s="60">
        <v>12</v>
      </c>
      <c r="P102" s="60">
        <v>0</v>
      </c>
      <c r="Q102" s="60">
        <v>0</v>
      </c>
      <c r="R102" s="60">
        <v>12</v>
      </c>
      <c r="S102" s="60">
        <v>0</v>
      </c>
      <c r="T102" s="60">
        <v>0</v>
      </c>
      <c r="U102" s="60">
        <v>14</v>
      </c>
    </row>
    <row r="103" spans="1:21" x14ac:dyDescent="0.25">
      <c r="A103" s="50" t="s">
        <v>14272</v>
      </c>
      <c r="B103" s="60">
        <v>62931999.5</v>
      </c>
      <c r="C103" s="60">
        <v>216042356.40000001</v>
      </c>
      <c r="D103" s="60">
        <v>950</v>
      </c>
      <c r="E103" s="60">
        <v>45721665.380000003</v>
      </c>
      <c r="F103" s="60">
        <v>117807071.42</v>
      </c>
      <c r="G103" s="60">
        <v>14038641</v>
      </c>
      <c r="H103" s="60">
        <v>17420744.5</v>
      </c>
      <c r="I103" s="60">
        <v>409</v>
      </c>
      <c r="J103" s="60">
        <v>33640634</v>
      </c>
      <c r="K103" s="60">
        <v>114803326</v>
      </c>
      <c r="L103" s="60">
        <v>147</v>
      </c>
      <c r="M103" s="60">
        <v>18636406</v>
      </c>
      <c r="N103" s="60">
        <v>39472671.5</v>
      </c>
      <c r="O103" s="60">
        <v>518</v>
      </c>
      <c r="P103" s="60">
        <v>1216754</v>
      </c>
      <c r="Q103" s="60">
        <v>11731569.5</v>
      </c>
      <c r="R103" s="60">
        <v>184</v>
      </c>
      <c r="S103" s="60">
        <v>2611051.6150515717</v>
      </c>
      <c r="T103" s="60">
        <v>17918877.877399988</v>
      </c>
      <c r="U103" s="60">
        <v>339</v>
      </c>
    </row>
    <row r="104" spans="1:21" x14ac:dyDescent="0.25">
      <c r="B104"/>
      <c r="C104"/>
      <c r="D104"/>
      <c r="E104"/>
      <c r="F104"/>
      <c r="G104"/>
      <c r="H104"/>
    </row>
    <row r="105" spans="1:21" x14ac:dyDescent="0.25">
      <c r="A105" t="str">
        <f>A4</f>
        <v>Africa - East and Central</v>
      </c>
      <c r="B105" s="104">
        <f>B14/B$103</f>
        <v>0.14717312454056064</v>
      </c>
      <c r="C105" s="104">
        <f t="shared" ref="C105:U105" si="0">C14/C$103</f>
        <v>9.7212913939500059E-2</v>
      </c>
      <c r="D105" s="104">
        <f t="shared" si="0"/>
        <v>0.18631578947368421</v>
      </c>
      <c r="E105" s="104">
        <f t="shared" si="0"/>
        <v>0.11611682198965431</v>
      </c>
      <c r="F105" s="104">
        <f t="shared" si="0"/>
        <v>9.6803636509581611E-2</v>
      </c>
      <c r="G105" s="104">
        <f t="shared" si="0"/>
        <v>0.35655744740534356</v>
      </c>
      <c r="H105" s="104">
        <f t="shared" si="0"/>
        <v>0.223517025922744</v>
      </c>
      <c r="I105" s="104">
        <f t="shared" si="0"/>
        <v>0.23960880195599021</v>
      </c>
      <c r="J105" s="104">
        <f t="shared" si="0"/>
        <v>4.195476815329937E-2</v>
      </c>
      <c r="K105" s="104">
        <f t="shared" si="0"/>
        <v>4.9047768877358136E-2</v>
      </c>
      <c r="L105" s="104">
        <f t="shared" si="0"/>
        <v>0.18367346938775511</v>
      </c>
      <c r="M105" s="104">
        <f t="shared" si="0"/>
        <v>0.22045248423971875</v>
      </c>
      <c r="N105" s="104">
        <f t="shared" si="0"/>
        <v>0.1103390481183925</v>
      </c>
      <c r="O105" s="104">
        <f t="shared" si="0"/>
        <v>0.22007722007722008</v>
      </c>
      <c r="P105" s="104">
        <f t="shared" si="0"/>
        <v>0.21982997384845251</v>
      </c>
      <c r="Q105" s="104">
        <f t="shared" si="0"/>
        <v>0.24912173942284535</v>
      </c>
      <c r="R105" s="104">
        <f t="shared" si="0"/>
        <v>0.20652173913043478</v>
      </c>
      <c r="S105" s="104">
        <f t="shared" si="0"/>
        <v>0.54896703726144502</v>
      </c>
      <c r="T105" s="104">
        <f t="shared" si="0"/>
        <v>0.47758969063534568</v>
      </c>
      <c r="U105" s="104">
        <f t="shared" si="0"/>
        <v>0.19174041297935104</v>
      </c>
    </row>
    <row r="106" spans="1:21" x14ac:dyDescent="0.25">
      <c r="A106" t="str">
        <f>A15</f>
        <v>Africa - Southern</v>
      </c>
      <c r="B106" s="104">
        <f>B23/B$103</f>
        <v>5.9786079099552525E-2</v>
      </c>
      <c r="C106" s="104">
        <f t="shared" ref="C106:U106" si="1">C23/C$103</f>
        <v>2.2346849388465567E-2</v>
      </c>
      <c r="D106" s="104">
        <f t="shared" si="1"/>
        <v>8.8421052631578942E-2</v>
      </c>
      <c r="E106" s="104">
        <f t="shared" si="1"/>
        <v>4.4225127916808174E-2</v>
      </c>
      <c r="F106" s="104">
        <f t="shared" si="1"/>
        <v>2.3111471299487464E-2</v>
      </c>
      <c r="G106" s="104">
        <f t="shared" si="1"/>
        <v>8.2936304162204877E-2</v>
      </c>
      <c r="H106" s="104">
        <f t="shared" si="1"/>
        <v>2.9535764100093426E-2</v>
      </c>
      <c r="I106" s="104">
        <f t="shared" si="1"/>
        <v>5.623471882640587E-2</v>
      </c>
      <c r="J106" s="104">
        <f t="shared" si="1"/>
        <v>2.9440705546750396E-2</v>
      </c>
      <c r="K106" s="104">
        <f t="shared" si="1"/>
        <v>7.8910257356132694E-3</v>
      </c>
      <c r="L106" s="104">
        <f t="shared" si="1"/>
        <v>8.1632653061224483E-2</v>
      </c>
      <c r="M106" s="104">
        <f t="shared" si="1"/>
        <v>0.16007523124362069</v>
      </c>
      <c r="N106" s="104">
        <f t="shared" si="1"/>
        <v>8.6475677228991202E-2</v>
      </c>
      <c r="O106" s="104">
        <f t="shared" si="1"/>
        <v>0.11389961389961389</v>
      </c>
      <c r="P106" s="104">
        <f t="shared" si="1"/>
        <v>0.28347636416235328</v>
      </c>
      <c r="Q106" s="104">
        <f t="shared" si="1"/>
        <v>5.1793581412955869E-2</v>
      </c>
      <c r="R106" s="104">
        <f t="shared" si="1"/>
        <v>9.7826086956521743E-2</v>
      </c>
      <c r="S106" s="104">
        <f t="shared" si="1"/>
        <v>9.1921499604388127E-2</v>
      </c>
      <c r="T106" s="104">
        <f t="shared" si="1"/>
        <v>5.7548175006013599E-2</v>
      </c>
      <c r="U106" s="104">
        <f t="shared" si="1"/>
        <v>0.11209439528023599</v>
      </c>
    </row>
    <row r="107" spans="1:21" x14ac:dyDescent="0.25">
      <c r="A107" t="str">
        <f>A24</f>
        <v>Africa - Western</v>
      </c>
      <c r="B107" s="104">
        <f>B35/B$103</f>
        <v>6.911744477465713E-2</v>
      </c>
      <c r="C107" s="104">
        <f t="shared" ref="C107:U107" si="2">C35/C$103</f>
        <v>9.2672526506473521E-2</v>
      </c>
      <c r="D107" s="104">
        <f t="shared" si="2"/>
        <v>0.10842105263157895</v>
      </c>
      <c r="E107" s="104">
        <f t="shared" si="2"/>
        <v>5.3408640733112328E-2</v>
      </c>
      <c r="F107" s="104">
        <f t="shared" si="2"/>
        <v>9.0478051287763692E-2</v>
      </c>
      <c r="G107" s="104">
        <f t="shared" si="2"/>
        <v>7.7440045656840997E-2</v>
      </c>
      <c r="H107" s="104">
        <f t="shared" si="2"/>
        <v>0.21856287485302364</v>
      </c>
      <c r="I107" s="104">
        <f t="shared" si="2"/>
        <v>9.5354523227383858E-2</v>
      </c>
      <c r="J107" s="104">
        <f t="shared" si="2"/>
        <v>4.7604037426880836E-3</v>
      </c>
      <c r="K107" s="104">
        <f t="shared" si="2"/>
        <v>6.3152177315838392E-3</v>
      </c>
      <c r="L107" s="104">
        <f t="shared" si="2"/>
        <v>0.10204081632653061</v>
      </c>
      <c r="M107" s="104">
        <f t="shared" si="2"/>
        <v>0.15311133487862413</v>
      </c>
      <c r="N107" s="104">
        <f t="shared" si="2"/>
        <v>0.31918039801283782</v>
      </c>
      <c r="O107" s="104">
        <f t="shared" si="2"/>
        <v>0.13127413127413126</v>
      </c>
      <c r="P107" s="104">
        <f t="shared" si="2"/>
        <v>0.13214010391582851</v>
      </c>
      <c r="Q107" s="104">
        <f t="shared" si="2"/>
        <v>6.2064244686101035E-2</v>
      </c>
      <c r="R107" s="104">
        <f t="shared" si="2"/>
        <v>0.10869565217391304</v>
      </c>
      <c r="S107" s="104">
        <f t="shared" si="2"/>
        <v>0.14869699379433043</v>
      </c>
      <c r="T107" s="104">
        <f t="shared" si="2"/>
        <v>0.16940460532009913</v>
      </c>
      <c r="U107" s="104">
        <f t="shared" si="2"/>
        <v>0.13274336283185842</v>
      </c>
    </row>
    <row r="108" spans="1:21" x14ac:dyDescent="0.25">
      <c r="A108" t="str">
        <f>A36</f>
        <v>Asia and the Pacific</v>
      </c>
      <c r="B108" s="104">
        <f>B54/B$103</f>
        <v>0.63614549542478782</v>
      </c>
      <c r="C108" s="104">
        <f t="shared" ref="C108:U108" si="3">C54/C$103</f>
        <v>0.68740085682568497</v>
      </c>
      <c r="D108" s="104">
        <f t="shared" si="3"/>
        <v>0.28526315789473683</v>
      </c>
      <c r="E108" s="104">
        <f t="shared" si="3"/>
        <v>0.73183519720689572</v>
      </c>
      <c r="F108" s="104">
        <f t="shared" si="3"/>
        <v>0.70946646065094077</v>
      </c>
      <c r="G108" s="104">
        <f t="shared" si="3"/>
        <v>0.12942826873341942</v>
      </c>
      <c r="H108" s="104">
        <f t="shared" si="3"/>
        <v>0.13444586136947248</v>
      </c>
      <c r="I108" s="104">
        <f t="shared" si="3"/>
        <v>0.13691931540342298</v>
      </c>
      <c r="J108" s="104">
        <f t="shared" si="3"/>
        <v>0.9172416607843954</v>
      </c>
      <c r="K108" s="104">
        <f t="shared" si="3"/>
        <v>0.93259825939189256</v>
      </c>
      <c r="L108" s="104">
        <f t="shared" si="3"/>
        <v>0.34693877551020408</v>
      </c>
      <c r="M108" s="104">
        <f t="shared" si="3"/>
        <v>0.35587049348463434</v>
      </c>
      <c r="N108" s="104">
        <f t="shared" si="3"/>
        <v>0.13277800313059632</v>
      </c>
      <c r="O108" s="104">
        <f t="shared" si="3"/>
        <v>0.24903474903474904</v>
      </c>
      <c r="P108" s="104">
        <f t="shared" si="3"/>
        <v>0.2937035752502149</v>
      </c>
      <c r="Q108" s="104">
        <f t="shared" si="3"/>
        <v>0.2573345791456122</v>
      </c>
      <c r="R108" s="104">
        <f t="shared" si="3"/>
        <v>0.24456521739130435</v>
      </c>
      <c r="S108" s="104">
        <f t="shared" si="3"/>
        <v>0.15612755705403711</v>
      </c>
      <c r="T108" s="104">
        <f t="shared" si="3"/>
        <v>7.7865559972355322E-2</v>
      </c>
      <c r="U108" s="104">
        <f t="shared" si="3"/>
        <v>0.2831858407079646</v>
      </c>
    </row>
    <row r="109" spans="1:21" x14ac:dyDescent="0.25">
      <c r="A109" t="str">
        <f>A55</f>
        <v>Latin America and the Caribbean</v>
      </c>
      <c r="B109" s="104">
        <f>B68/B$103</f>
        <v>2.3689522211986926E-2</v>
      </c>
      <c r="C109" s="104">
        <f t="shared" ref="C109:U109" si="4">C68/C$103</f>
        <v>6.9909413837517281E-2</v>
      </c>
      <c r="D109" s="104">
        <f t="shared" si="4"/>
        <v>0.10210526315789474</v>
      </c>
      <c r="E109" s="104">
        <f t="shared" si="4"/>
        <v>1.1139882936608815E-2</v>
      </c>
      <c r="F109" s="104">
        <f t="shared" si="4"/>
        <v>5.2390764201207238E-2</v>
      </c>
      <c r="G109" s="104">
        <f t="shared" si="4"/>
        <v>7.9290865832383636E-2</v>
      </c>
      <c r="H109" s="104">
        <f t="shared" si="4"/>
        <v>0.29318474305159575</v>
      </c>
      <c r="I109" s="104">
        <f t="shared" si="4"/>
        <v>0.11980440097799511</v>
      </c>
      <c r="J109" s="104">
        <f t="shared" si="4"/>
        <v>2.753307205803553E-3</v>
      </c>
      <c r="K109" s="104">
        <f t="shared" si="4"/>
        <v>1.0454662263007955E-3</v>
      </c>
      <c r="L109" s="104">
        <f t="shared" si="4"/>
        <v>6.1224489795918366E-2</v>
      </c>
      <c r="M109" s="104">
        <f t="shared" si="4"/>
        <v>4.8491109283624753E-2</v>
      </c>
      <c r="N109" s="104">
        <f t="shared" si="4"/>
        <v>0.29123303701397563</v>
      </c>
      <c r="O109" s="104">
        <f t="shared" si="4"/>
        <v>0.10424710424710425</v>
      </c>
      <c r="P109" s="104">
        <f t="shared" si="4"/>
        <v>2.5834309975557919E-2</v>
      </c>
      <c r="Q109" s="104">
        <f t="shared" si="4"/>
        <v>0.31859488195505298</v>
      </c>
      <c r="R109" s="104">
        <f t="shared" si="4"/>
        <v>9.2391304347826081E-2</v>
      </c>
      <c r="S109" s="104">
        <f t="shared" si="4"/>
        <v>3.3397294598589401E-2</v>
      </c>
      <c r="T109" s="104">
        <f t="shared" si="4"/>
        <v>0.18778895329400244</v>
      </c>
      <c r="U109" s="104">
        <f t="shared" si="4"/>
        <v>9.4395280235988199E-2</v>
      </c>
    </row>
    <row r="110" spans="1:21" x14ac:dyDescent="0.25">
      <c r="A110" t="str">
        <f>A69</f>
        <v>Middle East, North Africa and Europe</v>
      </c>
      <c r="B110" s="104">
        <f>B99/B$103</f>
        <v>6.4088333948454951E-2</v>
      </c>
      <c r="C110" s="104">
        <f t="shared" ref="C110:U110" si="5">C99/C$103</f>
        <v>3.0457439502358619E-2</v>
      </c>
      <c r="D110" s="104">
        <f t="shared" si="5"/>
        <v>0.19368421052631579</v>
      </c>
      <c r="E110" s="104">
        <f t="shared" si="5"/>
        <v>4.3274329216920572E-2</v>
      </c>
      <c r="F110" s="104">
        <f t="shared" si="5"/>
        <v>2.7749616051019221E-2</v>
      </c>
      <c r="G110" s="104">
        <f t="shared" si="5"/>
        <v>0.27434706820980748</v>
      </c>
      <c r="H110" s="104">
        <f t="shared" si="5"/>
        <v>0.1007537307030707</v>
      </c>
      <c r="I110" s="104">
        <f t="shared" si="5"/>
        <v>0.28117359413202936</v>
      </c>
      <c r="J110" s="104">
        <f t="shared" si="5"/>
        <v>3.8491545670631534E-3</v>
      </c>
      <c r="K110" s="104">
        <f t="shared" si="5"/>
        <v>3.1022620372514295E-3</v>
      </c>
      <c r="L110" s="104">
        <f t="shared" si="5"/>
        <v>0.15646258503401361</v>
      </c>
      <c r="M110" s="104">
        <f t="shared" si="5"/>
        <v>6.1999346869777358E-2</v>
      </c>
      <c r="N110" s="104">
        <f t="shared" si="5"/>
        <v>5.9993836495206565E-2</v>
      </c>
      <c r="O110" s="104">
        <f t="shared" si="5"/>
        <v>0.15830115830115829</v>
      </c>
      <c r="P110" s="104">
        <f t="shared" si="5"/>
        <v>4.5015672847592857E-2</v>
      </c>
      <c r="Q110" s="104">
        <f t="shared" si="5"/>
        <v>6.1090973377432578E-2</v>
      </c>
      <c r="R110" s="104">
        <f t="shared" si="5"/>
        <v>0.18478260869565216</v>
      </c>
      <c r="S110" s="104">
        <f t="shared" si="5"/>
        <v>2.088961768721017E-2</v>
      </c>
      <c r="T110" s="104">
        <f t="shared" si="5"/>
        <v>2.9803015772184516E-2</v>
      </c>
      <c r="U110" s="104">
        <f t="shared" si="5"/>
        <v>0.14454277286135694</v>
      </c>
    </row>
    <row r="111" spans="1:21" x14ac:dyDescent="0.25">
      <c r="A111" t="str">
        <f>A100</f>
        <v>North America</v>
      </c>
      <c r="B111" s="104">
        <f>B102/B$103</f>
        <v>0</v>
      </c>
      <c r="C111" s="104">
        <f t="shared" ref="C111:U111" si="6">C102/C$103</f>
        <v>0</v>
      </c>
      <c r="D111" s="104">
        <f t="shared" si="6"/>
        <v>3.5789473684210524E-2</v>
      </c>
      <c r="E111" s="104">
        <f t="shared" si="6"/>
        <v>0</v>
      </c>
      <c r="F111" s="104">
        <f t="shared" si="6"/>
        <v>0</v>
      </c>
      <c r="G111" s="104">
        <f t="shared" si="6"/>
        <v>0</v>
      </c>
      <c r="H111" s="104">
        <f t="shared" si="6"/>
        <v>0</v>
      </c>
      <c r="I111" s="104">
        <f t="shared" si="6"/>
        <v>7.090464547677261E-2</v>
      </c>
      <c r="J111" s="104">
        <f t="shared" si="6"/>
        <v>0</v>
      </c>
      <c r="K111" s="104">
        <f t="shared" si="6"/>
        <v>0</v>
      </c>
      <c r="L111" s="104">
        <f t="shared" si="6"/>
        <v>6.8027210884353748E-2</v>
      </c>
      <c r="M111" s="104">
        <f t="shared" si="6"/>
        <v>0</v>
      </c>
      <c r="N111" s="104">
        <f t="shared" si="6"/>
        <v>0</v>
      </c>
      <c r="O111" s="104">
        <f t="shared" si="6"/>
        <v>2.3166023166023165E-2</v>
      </c>
      <c r="P111" s="104">
        <f t="shared" si="6"/>
        <v>0</v>
      </c>
      <c r="Q111" s="104">
        <f t="shared" si="6"/>
        <v>0</v>
      </c>
      <c r="R111" s="104">
        <f t="shared" si="6"/>
        <v>6.5217391304347824E-2</v>
      </c>
      <c r="S111" s="104">
        <f t="shared" si="6"/>
        <v>0</v>
      </c>
      <c r="T111" s="104">
        <f t="shared" si="6"/>
        <v>0</v>
      </c>
      <c r="U111" s="104">
        <f t="shared" si="6"/>
        <v>4.1297935103244837E-2</v>
      </c>
    </row>
    <row r="112" spans="1:21" x14ac:dyDescent="0.25">
      <c r="B112" s="59">
        <f>1-SUM(B105:B111)</f>
        <v>0</v>
      </c>
      <c r="C112" s="59">
        <f t="shared" ref="C112:U112" si="7">1-SUM(C105:C111)</f>
        <v>0</v>
      </c>
      <c r="D112" s="59">
        <f t="shared" si="7"/>
        <v>0</v>
      </c>
      <c r="E112" s="59">
        <f t="shared" si="7"/>
        <v>0</v>
      </c>
      <c r="F112" s="59">
        <f t="shared" si="7"/>
        <v>0</v>
      </c>
      <c r="G112" s="59">
        <f t="shared" si="7"/>
        <v>0</v>
      </c>
      <c r="H112" s="59">
        <f t="shared" si="7"/>
        <v>0</v>
      </c>
      <c r="I112" s="59">
        <f t="shared" si="7"/>
        <v>0</v>
      </c>
      <c r="J112" s="59">
        <f t="shared" si="7"/>
        <v>0</v>
      </c>
      <c r="K112" s="59">
        <f t="shared" si="7"/>
        <v>0</v>
      </c>
      <c r="L112" s="59">
        <f t="shared" si="7"/>
        <v>0</v>
      </c>
      <c r="M112" s="59">
        <f t="shared" si="7"/>
        <v>0</v>
      </c>
      <c r="N112" s="59">
        <f t="shared" si="7"/>
        <v>0</v>
      </c>
      <c r="O112" s="59">
        <f t="shared" si="7"/>
        <v>0</v>
      </c>
      <c r="P112" s="59">
        <f t="shared" si="7"/>
        <v>0</v>
      </c>
      <c r="Q112" s="59">
        <f t="shared" si="7"/>
        <v>0</v>
      </c>
      <c r="R112" s="59">
        <f t="shared" si="7"/>
        <v>0</v>
      </c>
      <c r="S112" s="59">
        <f t="shared" si="7"/>
        <v>0</v>
      </c>
      <c r="T112" s="59">
        <f t="shared" si="7"/>
        <v>0</v>
      </c>
      <c r="U112" s="59">
        <f t="shared" si="7"/>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3:E104"/>
  <sheetViews>
    <sheetView topLeftCell="A29" workbookViewId="0">
      <selection activeCell="H6" sqref="H6"/>
    </sheetView>
  </sheetViews>
  <sheetFormatPr defaultRowHeight="15" x14ac:dyDescent="0.25"/>
  <cols>
    <col min="1" max="1" width="37.140625" bestFit="1" customWidth="1"/>
    <col min="2" max="2" width="16.5703125" bestFit="1" customWidth="1"/>
    <col min="3" max="3" width="18.140625" bestFit="1" customWidth="1"/>
    <col min="4" max="4" width="17.42578125" bestFit="1" customWidth="1"/>
    <col min="5" max="5" width="7.140625" customWidth="1"/>
    <col min="6" max="6" width="10.7109375" bestFit="1" customWidth="1"/>
  </cols>
  <sheetData>
    <row r="3" spans="1:5" x14ac:dyDescent="0.25">
      <c r="A3" s="49" t="s">
        <v>14284</v>
      </c>
      <c r="B3" s="49" t="s">
        <v>14283</v>
      </c>
    </row>
    <row r="4" spans="1:5" x14ac:dyDescent="0.25">
      <c r="A4" s="49" t="s">
        <v>14283</v>
      </c>
      <c r="B4" t="s">
        <v>453</v>
      </c>
      <c r="C4" t="s">
        <v>418</v>
      </c>
      <c r="D4" t="s">
        <v>330</v>
      </c>
      <c r="E4" t="s">
        <v>14275</v>
      </c>
    </row>
    <row r="5" spans="1:5" x14ac:dyDescent="0.25">
      <c r="A5" s="50" t="s">
        <v>1874</v>
      </c>
      <c r="B5" s="54"/>
      <c r="C5" s="54"/>
      <c r="D5" s="54"/>
      <c r="E5" s="54"/>
    </row>
    <row r="6" spans="1:5" x14ac:dyDescent="0.25">
      <c r="A6" s="55" t="s">
        <v>1873</v>
      </c>
      <c r="B6" s="54">
        <v>0.15384615384615385</v>
      </c>
      <c r="C6" s="54">
        <v>0.53846153846153844</v>
      </c>
      <c r="D6" s="54">
        <v>0.30769230769230771</v>
      </c>
      <c r="E6" s="54">
        <v>0</v>
      </c>
    </row>
    <row r="7" spans="1:5" x14ac:dyDescent="0.25">
      <c r="A7" s="55" t="s">
        <v>3868</v>
      </c>
      <c r="B7" s="54">
        <v>0</v>
      </c>
      <c r="C7" s="54">
        <v>0.92592592592592593</v>
      </c>
      <c r="D7" s="54">
        <v>7.407407407407407E-2</v>
      </c>
      <c r="E7" s="54">
        <v>0</v>
      </c>
    </row>
    <row r="8" spans="1:5" x14ac:dyDescent="0.25">
      <c r="A8" s="55" t="s">
        <v>6457</v>
      </c>
      <c r="B8" s="54">
        <v>3.5714285714285712E-2</v>
      </c>
      <c r="C8" s="54">
        <v>0.6428571428571429</v>
      </c>
      <c r="D8" s="54">
        <v>0.32142857142857145</v>
      </c>
      <c r="E8" s="54">
        <v>0</v>
      </c>
    </row>
    <row r="9" spans="1:5" x14ac:dyDescent="0.25">
      <c r="A9" s="55" t="s">
        <v>10371</v>
      </c>
      <c r="B9" s="54">
        <v>0</v>
      </c>
      <c r="C9" s="54">
        <v>0.6</v>
      </c>
      <c r="D9" s="54">
        <v>0.4</v>
      </c>
      <c r="E9" s="54">
        <v>0</v>
      </c>
    </row>
    <row r="10" spans="1:5" x14ac:dyDescent="0.25">
      <c r="A10" s="55" t="s">
        <v>10685</v>
      </c>
      <c r="B10" s="54">
        <v>8.5714285714285715E-2</v>
      </c>
      <c r="C10" s="54">
        <v>2.8571428571428571E-2</v>
      </c>
      <c r="D10" s="54">
        <v>0.88571428571428568</v>
      </c>
      <c r="E10" s="54">
        <v>0</v>
      </c>
    </row>
    <row r="11" spans="1:5" x14ac:dyDescent="0.25">
      <c r="A11" s="55" t="s">
        <v>11104</v>
      </c>
      <c r="B11" s="54">
        <v>0.35294117647058826</v>
      </c>
      <c r="C11" s="54">
        <v>0.29411764705882354</v>
      </c>
      <c r="D11" s="54">
        <v>0.35294117647058826</v>
      </c>
      <c r="E11" s="54">
        <v>0</v>
      </c>
    </row>
    <row r="12" spans="1:5" x14ac:dyDescent="0.25">
      <c r="A12" s="55" t="s">
        <v>11417</v>
      </c>
      <c r="B12" s="54">
        <v>0.21052631578947367</v>
      </c>
      <c r="C12" s="54">
        <v>0.57894736842105265</v>
      </c>
      <c r="D12" s="54">
        <v>0.21052631578947367</v>
      </c>
      <c r="E12" s="54">
        <v>0</v>
      </c>
    </row>
    <row r="13" spans="1:5" x14ac:dyDescent="0.25">
      <c r="A13" s="55" t="s">
        <v>12694</v>
      </c>
      <c r="B13" s="54">
        <v>0.23076923076923078</v>
      </c>
      <c r="C13" s="54">
        <v>0.15384615384615385</v>
      </c>
      <c r="D13" s="54">
        <v>0.61538461538461542</v>
      </c>
      <c r="E13" s="54">
        <v>0</v>
      </c>
    </row>
    <row r="14" spans="1:5" x14ac:dyDescent="0.25">
      <c r="A14" s="55" t="s">
        <v>14322</v>
      </c>
      <c r="B14" s="54">
        <v>0.2</v>
      </c>
      <c r="C14" s="54">
        <v>0</v>
      </c>
      <c r="D14" s="54">
        <v>0.8</v>
      </c>
      <c r="E14" s="54">
        <v>0</v>
      </c>
    </row>
    <row r="15" spans="1:5" x14ac:dyDescent="0.25">
      <c r="A15" s="50" t="s">
        <v>14276</v>
      </c>
      <c r="B15" s="54">
        <v>0.11976047904191617</v>
      </c>
      <c r="C15" s="54">
        <v>0.44910179640718562</v>
      </c>
      <c r="D15" s="54">
        <v>0.43113772455089822</v>
      </c>
      <c r="E15" s="54">
        <v>0</v>
      </c>
    </row>
    <row r="16" spans="1:5" x14ac:dyDescent="0.25">
      <c r="A16" s="50" t="s">
        <v>7217</v>
      </c>
      <c r="B16" s="54"/>
      <c r="C16" s="54"/>
      <c r="D16" s="54"/>
      <c r="E16" s="54"/>
    </row>
    <row r="17" spans="1:5" x14ac:dyDescent="0.25">
      <c r="A17" s="55" t="s">
        <v>7216</v>
      </c>
      <c r="B17" s="54">
        <v>0</v>
      </c>
      <c r="C17" s="54">
        <v>0</v>
      </c>
      <c r="D17" s="54">
        <v>1</v>
      </c>
      <c r="E17" s="54">
        <v>0</v>
      </c>
    </row>
    <row r="18" spans="1:5" x14ac:dyDescent="0.25">
      <c r="A18" s="55" t="s">
        <v>7451</v>
      </c>
      <c r="B18" s="54">
        <v>8.3333333333333329E-2</v>
      </c>
      <c r="C18" s="54">
        <v>0.58333333333333337</v>
      </c>
      <c r="D18" s="54">
        <v>0.33333333333333331</v>
      </c>
      <c r="E18" s="54">
        <v>0</v>
      </c>
    </row>
    <row r="19" spans="1:5" x14ac:dyDescent="0.25">
      <c r="A19" s="55" t="s">
        <v>8265</v>
      </c>
      <c r="B19" s="54">
        <v>0.1</v>
      </c>
      <c r="C19" s="54">
        <v>0.6</v>
      </c>
      <c r="D19" s="54">
        <v>0.3</v>
      </c>
      <c r="E19" s="54">
        <v>0</v>
      </c>
    </row>
    <row r="20" spans="1:5" x14ac:dyDescent="0.25">
      <c r="A20" s="55" t="s">
        <v>11102</v>
      </c>
      <c r="B20" s="54" t="e">
        <v>#DIV/0!</v>
      </c>
      <c r="C20" s="54" t="e">
        <v>#DIV/0!</v>
      </c>
      <c r="D20" s="54" t="e">
        <v>#DIV/0!</v>
      </c>
      <c r="E20" s="54" t="e">
        <v>#DIV/0!</v>
      </c>
    </row>
    <row r="21" spans="1:5" x14ac:dyDescent="0.25">
      <c r="A21" s="55" t="s">
        <v>12090</v>
      </c>
      <c r="B21" s="54">
        <v>0.2</v>
      </c>
      <c r="C21" s="54">
        <v>0.6</v>
      </c>
      <c r="D21" s="54">
        <v>0.2</v>
      </c>
      <c r="E21" s="54">
        <v>0</v>
      </c>
    </row>
    <row r="22" spans="1:5" x14ac:dyDescent="0.25">
      <c r="A22" s="55" t="s">
        <v>13917</v>
      </c>
      <c r="B22" s="54">
        <v>0</v>
      </c>
      <c r="C22" s="54">
        <v>0.33333333333333331</v>
      </c>
      <c r="D22" s="54">
        <v>0.66666666666666663</v>
      </c>
      <c r="E22" s="54">
        <v>0</v>
      </c>
    </row>
    <row r="23" spans="1:5" x14ac:dyDescent="0.25">
      <c r="A23" s="55" t="s">
        <v>14016</v>
      </c>
      <c r="B23" s="54">
        <v>6.25E-2</v>
      </c>
      <c r="C23" s="54">
        <v>0.4375</v>
      </c>
      <c r="D23" s="54">
        <v>0.5</v>
      </c>
      <c r="E23" s="54">
        <v>0</v>
      </c>
    </row>
    <row r="24" spans="1:5" x14ac:dyDescent="0.25">
      <c r="A24" s="50" t="s">
        <v>14277</v>
      </c>
      <c r="B24" s="54">
        <v>7.792207792207792E-2</v>
      </c>
      <c r="C24" s="54">
        <v>0.45454545454545453</v>
      </c>
      <c r="D24" s="54">
        <v>0.46753246753246752</v>
      </c>
      <c r="E24" s="54">
        <v>0</v>
      </c>
    </row>
    <row r="25" spans="1:5" x14ac:dyDescent="0.25">
      <c r="A25" s="50" t="s">
        <v>1596</v>
      </c>
      <c r="B25" s="54"/>
      <c r="C25" s="54"/>
      <c r="D25" s="54"/>
      <c r="E25" s="54"/>
    </row>
    <row r="26" spans="1:5" x14ac:dyDescent="0.25">
      <c r="A26" s="55" t="s">
        <v>1595</v>
      </c>
      <c r="B26" s="54">
        <v>0.375</v>
      </c>
      <c r="C26" s="54">
        <v>0.25</v>
      </c>
      <c r="D26" s="54">
        <v>0.375</v>
      </c>
      <c r="E26" s="54">
        <v>0</v>
      </c>
    </row>
    <row r="27" spans="1:5" x14ac:dyDescent="0.25">
      <c r="A27" s="55" t="s">
        <v>1827</v>
      </c>
      <c r="B27" s="54">
        <v>0.5</v>
      </c>
      <c r="C27" s="54">
        <v>0</v>
      </c>
      <c r="D27" s="54">
        <v>0.5</v>
      </c>
      <c r="E27" s="54">
        <v>0</v>
      </c>
    </row>
    <row r="28" spans="1:5" x14ac:dyDescent="0.25">
      <c r="A28" s="55" t="s">
        <v>2395</v>
      </c>
      <c r="B28" s="54">
        <v>0.16666666666666666</v>
      </c>
      <c r="C28" s="54">
        <v>0</v>
      </c>
      <c r="D28" s="54">
        <v>0.83333333333333337</v>
      </c>
      <c r="E28" s="54">
        <v>0</v>
      </c>
    </row>
    <row r="29" spans="1:5" x14ac:dyDescent="0.25">
      <c r="A29" s="55" t="s">
        <v>2536</v>
      </c>
      <c r="B29" s="54">
        <v>0</v>
      </c>
      <c r="C29" s="54">
        <v>0.21428571428571427</v>
      </c>
      <c r="D29" s="54">
        <v>0.7857142857142857</v>
      </c>
      <c r="E29" s="54">
        <v>0</v>
      </c>
    </row>
    <row r="30" spans="1:5" x14ac:dyDescent="0.25">
      <c r="A30" s="55" t="s">
        <v>2956</v>
      </c>
      <c r="B30" s="54">
        <v>0</v>
      </c>
      <c r="C30" s="54">
        <v>0.22222222222222221</v>
      </c>
      <c r="D30" s="54">
        <v>0.77777777777777779</v>
      </c>
      <c r="E30" s="54">
        <v>0</v>
      </c>
    </row>
    <row r="31" spans="1:5" x14ac:dyDescent="0.25">
      <c r="A31" s="55" t="s">
        <v>4471</v>
      </c>
      <c r="B31" s="54">
        <v>0.38461538461538464</v>
      </c>
      <c r="C31" s="54">
        <v>0</v>
      </c>
      <c r="D31" s="54">
        <v>0.61538461538461542</v>
      </c>
      <c r="E31" s="54">
        <v>0</v>
      </c>
    </row>
    <row r="32" spans="1:5" x14ac:dyDescent="0.25">
      <c r="A32" s="55" t="s">
        <v>7179</v>
      </c>
      <c r="B32" s="54">
        <v>0</v>
      </c>
      <c r="C32" s="54">
        <v>1</v>
      </c>
      <c r="D32" s="54">
        <v>0</v>
      </c>
      <c r="E32" s="54">
        <v>0</v>
      </c>
    </row>
    <row r="33" spans="1:5" x14ac:dyDescent="0.25">
      <c r="A33" s="55" t="s">
        <v>7835</v>
      </c>
      <c r="B33" s="54">
        <v>0.25</v>
      </c>
      <c r="C33" s="54">
        <v>0.375</v>
      </c>
      <c r="D33" s="54">
        <v>0.375</v>
      </c>
      <c r="E33" s="54">
        <v>0</v>
      </c>
    </row>
    <row r="34" spans="1:5" x14ac:dyDescent="0.25">
      <c r="A34" s="55" t="s">
        <v>9043</v>
      </c>
      <c r="B34" s="54">
        <v>0.24</v>
      </c>
      <c r="C34" s="54">
        <v>0.52</v>
      </c>
      <c r="D34" s="54">
        <v>0.24</v>
      </c>
      <c r="E34" s="54">
        <v>0</v>
      </c>
    </row>
    <row r="35" spans="1:5" x14ac:dyDescent="0.25">
      <c r="A35" s="55" t="s">
        <v>10594</v>
      </c>
      <c r="B35" s="54">
        <v>0</v>
      </c>
      <c r="C35" s="54">
        <v>0.75</v>
      </c>
      <c r="D35" s="54">
        <v>0.25</v>
      </c>
      <c r="E35" s="54">
        <v>0</v>
      </c>
    </row>
    <row r="36" spans="1:5" x14ac:dyDescent="0.25">
      <c r="A36" s="50" t="s">
        <v>14278</v>
      </c>
      <c r="B36" s="54">
        <v>0.20408163265306123</v>
      </c>
      <c r="C36" s="54">
        <v>0.30612244897959184</v>
      </c>
      <c r="D36" s="54">
        <v>0.48979591836734693</v>
      </c>
      <c r="E36" s="54">
        <v>0</v>
      </c>
    </row>
    <row r="37" spans="1:5" x14ac:dyDescent="0.25">
      <c r="A37" s="50" t="s">
        <v>306</v>
      </c>
      <c r="B37" s="54"/>
      <c r="C37" s="54"/>
      <c r="D37" s="54"/>
      <c r="E37" s="54"/>
    </row>
    <row r="38" spans="1:5" x14ac:dyDescent="0.25">
      <c r="A38" s="55" t="s">
        <v>305</v>
      </c>
      <c r="B38" s="54">
        <v>0.13333333333333333</v>
      </c>
      <c r="C38" s="54">
        <v>0.2</v>
      </c>
      <c r="D38" s="54">
        <v>0.66666666666666663</v>
      </c>
      <c r="E38" s="54">
        <v>0</v>
      </c>
    </row>
    <row r="39" spans="1:5" x14ac:dyDescent="0.25">
      <c r="A39" s="55" t="s">
        <v>652</v>
      </c>
      <c r="B39" s="54">
        <v>0.14285714285714285</v>
      </c>
      <c r="C39" s="54">
        <v>0.42857142857142855</v>
      </c>
      <c r="D39" s="54">
        <v>0.42857142857142855</v>
      </c>
      <c r="E39" s="54">
        <v>0</v>
      </c>
    </row>
    <row r="40" spans="1:5" x14ac:dyDescent="0.25">
      <c r="A40" s="55" t="s">
        <v>2092</v>
      </c>
      <c r="B40" s="54">
        <v>0.27777777777777779</v>
      </c>
      <c r="C40" s="54">
        <v>5.5555555555555552E-2</v>
      </c>
      <c r="D40" s="54">
        <v>0.66666666666666663</v>
      </c>
      <c r="E40" s="54">
        <v>0</v>
      </c>
    </row>
    <row r="41" spans="1:5" x14ac:dyDescent="0.25">
      <c r="A41" s="55" t="s">
        <v>4268</v>
      </c>
      <c r="B41" s="54">
        <v>0</v>
      </c>
      <c r="C41" s="54">
        <v>0</v>
      </c>
      <c r="D41" s="54">
        <v>1</v>
      </c>
      <c r="E41" s="54">
        <v>0</v>
      </c>
    </row>
    <row r="42" spans="1:5" x14ac:dyDescent="0.25">
      <c r="A42" s="55" t="s">
        <v>5300</v>
      </c>
      <c r="B42" s="54">
        <v>0.21621621621621623</v>
      </c>
      <c r="C42" s="54">
        <v>0.35135135135135137</v>
      </c>
      <c r="D42" s="54">
        <v>0.43243243243243246</v>
      </c>
      <c r="E42" s="54">
        <v>0</v>
      </c>
    </row>
    <row r="43" spans="1:5" x14ac:dyDescent="0.25">
      <c r="A43" s="55" t="s">
        <v>5932</v>
      </c>
      <c r="B43" s="54">
        <v>0</v>
      </c>
      <c r="C43" s="54">
        <v>0.75</v>
      </c>
      <c r="D43" s="54">
        <v>0.25</v>
      </c>
      <c r="E43" s="54">
        <v>0</v>
      </c>
    </row>
    <row r="44" spans="1:5" x14ac:dyDescent="0.25">
      <c r="A44" s="55" t="s">
        <v>6850</v>
      </c>
      <c r="B44" s="54">
        <v>0</v>
      </c>
      <c r="C44" s="54">
        <v>0.7857142857142857</v>
      </c>
      <c r="D44" s="54">
        <v>0.21428571428571427</v>
      </c>
      <c r="E44" s="54">
        <v>0</v>
      </c>
    </row>
    <row r="45" spans="1:5" x14ac:dyDescent="0.25">
      <c r="A45" s="55" t="s">
        <v>8444</v>
      </c>
      <c r="B45" s="54">
        <v>0.125</v>
      </c>
      <c r="C45" s="54">
        <v>0.375</v>
      </c>
      <c r="D45" s="54">
        <v>0.5</v>
      </c>
      <c r="E45" s="54">
        <v>0</v>
      </c>
    </row>
    <row r="46" spans="1:5" x14ac:dyDescent="0.25">
      <c r="A46" s="55" t="s">
        <v>8647</v>
      </c>
      <c r="B46" s="54">
        <v>0.17391304347826086</v>
      </c>
      <c r="C46" s="54">
        <v>0.30434782608695654</v>
      </c>
      <c r="D46" s="54">
        <v>0.52173913043478259</v>
      </c>
      <c r="E46" s="54">
        <v>0</v>
      </c>
    </row>
    <row r="47" spans="1:5" x14ac:dyDescent="0.25">
      <c r="A47" s="55" t="s">
        <v>9427</v>
      </c>
      <c r="B47" s="54">
        <v>0.25</v>
      </c>
      <c r="C47" s="54">
        <v>0.5</v>
      </c>
      <c r="D47" s="54">
        <v>0.25</v>
      </c>
      <c r="E47" s="54">
        <v>0</v>
      </c>
    </row>
    <row r="48" spans="1:5" x14ac:dyDescent="0.25">
      <c r="A48" s="55" t="s">
        <v>9516</v>
      </c>
      <c r="B48" s="54">
        <v>0.16666666666666666</v>
      </c>
      <c r="C48" s="54">
        <v>0.41666666666666669</v>
      </c>
      <c r="D48" s="54">
        <v>0.41666666666666669</v>
      </c>
      <c r="E48" s="54">
        <v>0</v>
      </c>
    </row>
    <row r="49" spans="1:5" x14ac:dyDescent="0.25">
      <c r="A49" s="55" t="s">
        <v>10263</v>
      </c>
      <c r="B49" s="54">
        <v>0.33333333333333331</v>
      </c>
      <c r="C49" s="54">
        <v>0.33333333333333331</v>
      </c>
      <c r="D49" s="54">
        <v>0.33333333333333331</v>
      </c>
      <c r="E49" s="54">
        <v>0</v>
      </c>
    </row>
    <row r="50" spans="1:5" x14ac:dyDescent="0.25">
      <c r="A50" s="55" t="s">
        <v>11304</v>
      </c>
      <c r="B50" s="54">
        <v>0</v>
      </c>
      <c r="C50" s="54">
        <v>0.5714285714285714</v>
      </c>
      <c r="D50" s="54">
        <v>0.42857142857142855</v>
      </c>
      <c r="E50" s="54">
        <v>0</v>
      </c>
    </row>
    <row r="51" spans="1:5" x14ac:dyDescent="0.25">
      <c r="A51" s="55" t="s">
        <v>12294</v>
      </c>
      <c r="B51" s="54">
        <v>4.7619047619047616E-2</v>
      </c>
      <c r="C51" s="54">
        <v>0.7142857142857143</v>
      </c>
      <c r="D51" s="54">
        <v>0.23809523809523808</v>
      </c>
      <c r="E51" s="54">
        <v>0</v>
      </c>
    </row>
    <row r="52" spans="1:5" x14ac:dyDescent="0.25">
      <c r="A52" s="55" t="s">
        <v>12547</v>
      </c>
      <c r="B52" s="54">
        <v>0</v>
      </c>
      <c r="C52" s="54">
        <v>0.5</v>
      </c>
      <c r="D52" s="54">
        <v>0.5</v>
      </c>
      <c r="E52" s="54">
        <v>0</v>
      </c>
    </row>
    <row r="53" spans="1:5" x14ac:dyDescent="0.25">
      <c r="A53" s="55" t="s">
        <v>13272</v>
      </c>
      <c r="B53" s="54">
        <v>0</v>
      </c>
      <c r="C53" s="54">
        <v>0</v>
      </c>
      <c r="D53" s="54">
        <v>1</v>
      </c>
      <c r="E53" s="54">
        <v>0</v>
      </c>
    </row>
    <row r="54" spans="1:5" x14ac:dyDescent="0.25">
      <c r="A54" s="55" t="s">
        <v>13409</v>
      </c>
      <c r="B54" s="54">
        <v>0.1111111111111111</v>
      </c>
      <c r="C54" s="54">
        <v>0.3888888888888889</v>
      </c>
      <c r="D54" s="54">
        <v>0.5</v>
      </c>
      <c r="E54" s="54">
        <v>0</v>
      </c>
    </row>
    <row r="55" spans="1:5" x14ac:dyDescent="0.25">
      <c r="A55" s="50" t="s">
        <v>14279</v>
      </c>
      <c r="B55" s="54">
        <v>0.13688212927756654</v>
      </c>
      <c r="C55" s="54">
        <v>0.40304182509505704</v>
      </c>
      <c r="D55" s="54">
        <v>0.46007604562737642</v>
      </c>
      <c r="E55" s="54">
        <v>0</v>
      </c>
    </row>
    <row r="56" spans="1:5" x14ac:dyDescent="0.25">
      <c r="A56" s="50" t="s">
        <v>2807</v>
      </c>
      <c r="B56" s="54"/>
      <c r="C56" s="54"/>
      <c r="D56" s="54"/>
      <c r="E56" s="54"/>
    </row>
    <row r="57" spans="1:5" x14ac:dyDescent="0.25">
      <c r="A57" s="55" t="s">
        <v>2806</v>
      </c>
      <c r="B57" s="54">
        <v>0</v>
      </c>
      <c r="C57" s="54">
        <v>0</v>
      </c>
      <c r="D57" s="54">
        <v>1</v>
      </c>
      <c r="E57" s="54">
        <v>0</v>
      </c>
    </row>
    <row r="58" spans="1:5" x14ac:dyDescent="0.25">
      <c r="A58" s="55" t="s">
        <v>2931</v>
      </c>
      <c r="B58" s="54">
        <v>0</v>
      </c>
      <c r="C58" s="54">
        <v>0</v>
      </c>
      <c r="D58" s="54">
        <v>1</v>
      </c>
      <c r="E58" s="54">
        <v>0</v>
      </c>
    </row>
    <row r="59" spans="1:5" x14ac:dyDescent="0.25">
      <c r="A59" s="55" t="s">
        <v>3148</v>
      </c>
      <c r="B59" s="54">
        <v>0</v>
      </c>
      <c r="C59" s="54">
        <v>0</v>
      </c>
      <c r="D59" s="54">
        <v>1</v>
      </c>
      <c r="E59" s="54">
        <v>0</v>
      </c>
    </row>
    <row r="60" spans="1:5" x14ac:dyDescent="0.25">
      <c r="A60" s="55" t="s">
        <v>3261</v>
      </c>
      <c r="B60" s="54" t="e">
        <v>#DIV/0!</v>
      </c>
      <c r="C60" s="54" t="e">
        <v>#DIV/0!</v>
      </c>
      <c r="D60" s="54" t="e">
        <v>#DIV/0!</v>
      </c>
      <c r="E60" s="54" t="e">
        <v>#DIV/0!</v>
      </c>
    </row>
    <row r="61" spans="1:5" x14ac:dyDescent="0.25">
      <c r="A61" s="55" t="s">
        <v>3272</v>
      </c>
      <c r="B61" s="54">
        <v>0.26315789473684209</v>
      </c>
      <c r="C61" s="54">
        <v>0.15789473684210525</v>
      </c>
      <c r="D61" s="54">
        <v>0.57894736842105265</v>
      </c>
      <c r="E61" s="54">
        <v>0</v>
      </c>
    </row>
    <row r="62" spans="1:5" x14ac:dyDescent="0.25">
      <c r="A62" s="55" t="s">
        <v>4777</v>
      </c>
      <c r="B62" s="54">
        <v>0.33333333333333331</v>
      </c>
      <c r="C62" s="54">
        <v>0.2</v>
      </c>
      <c r="D62" s="54">
        <v>0.46666666666666667</v>
      </c>
      <c r="E62" s="54">
        <v>0</v>
      </c>
    </row>
    <row r="63" spans="1:5" x14ac:dyDescent="0.25">
      <c r="A63" s="55" t="s">
        <v>5061</v>
      </c>
      <c r="B63" s="54">
        <v>0.25</v>
      </c>
      <c r="C63" s="54">
        <v>0.5</v>
      </c>
      <c r="D63" s="54">
        <v>0.25</v>
      </c>
      <c r="E63" s="54">
        <v>0</v>
      </c>
    </row>
    <row r="64" spans="1:5" x14ac:dyDescent="0.25">
      <c r="A64" s="55" t="s">
        <v>5190</v>
      </c>
      <c r="B64" s="54">
        <v>0.42857142857142855</v>
      </c>
      <c r="C64" s="54">
        <v>0.14285714285714285</v>
      </c>
      <c r="D64" s="54">
        <v>0.42857142857142855</v>
      </c>
      <c r="E64" s="54">
        <v>0</v>
      </c>
    </row>
    <row r="65" spans="1:5" x14ac:dyDescent="0.25">
      <c r="A65" s="55" t="s">
        <v>8138</v>
      </c>
      <c r="B65" s="54">
        <v>0</v>
      </c>
      <c r="C65" s="54">
        <v>0</v>
      </c>
      <c r="D65" s="54">
        <v>1</v>
      </c>
      <c r="E65" s="54">
        <v>0</v>
      </c>
    </row>
    <row r="66" spans="1:5" x14ac:dyDescent="0.25">
      <c r="A66" s="55" t="s">
        <v>9042</v>
      </c>
      <c r="B66" s="54">
        <v>0</v>
      </c>
      <c r="C66" s="54">
        <v>0</v>
      </c>
      <c r="D66" s="54">
        <v>1</v>
      </c>
      <c r="E66" s="54">
        <v>0</v>
      </c>
    </row>
    <row r="67" spans="1:5" x14ac:dyDescent="0.25">
      <c r="A67" s="55" t="s">
        <v>9514</v>
      </c>
      <c r="B67" s="54" t="e">
        <v>#DIV/0!</v>
      </c>
      <c r="C67" s="54" t="e">
        <v>#DIV/0!</v>
      </c>
      <c r="D67" s="54" t="e">
        <v>#DIV/0!</v>
      </c>
      <c r="E67" s="54" t="e">
        <v>#DIV/0!</v>
      </c>
    </row>
    <row r="68" spans="1:5" x14ac:dyDescent="0.25">
      <c r="A68" s="55" t="s">
        <v>9706</v>
      </c>
      <c r="B68" s="54">
        <v>0.22857142857142856</v>
      </c>
      <c r="C68" s="54">
        <v>0.2857142857142857</v>
      </c>
      <c r="D68" s="54">
        <v>0.48571428571428571</v>
      </c>
      <c r="E68" s="54">
        <v>0</v>
      </c>
    </row>
    <row r="69" spans="1:5" x14ac:dyDescent="0.25">
      <c r="A69" s="50" t="s">
        <v>14280</v>
      </c>
      <c r="B69" s="54">
        <v>0.24731182795698925</v>
      </c>
      <c r="C69" s="54">
        <v>0.22580645161290322</v>
      </c>
      <c r="D69" s="54">
        <v>0.5268817204301075</v>
      </c>
      <c r="E69" s="54">
        <v>0</v>
      </c>
    </row>
    <row r="70" spans="1:5" x14ac:dyDescent="0.25">
      <c r="A70" s="50" t="s">
        <v>602</v>
      </c>
      <c r="B70" s="54"/>
      <c r="C70" s="54"/>
      <c r="D70" s="54"/>
      <c r="E70" s="54"/>
    </row>
    <row r="71" spans="1:5" x14ac:dyDescent="0.25">
      <c r="A71" s="55" t="s">
        <v>601</v>
      </c>
      <c r="B71" s="54">
        <v>1</v>
      </c>
      <c r="C71" s="54">
        <v>0</v>
      </c>
      <c r="D71" s="54">
        <v>0</v>
      </c>
      <c r="E71" s="54">
        <v>0</v>
      </c>
    </row>
    <row r="72" spans="1:5" x14ac:dyDescent="0.25">
      <c r="A72" s="55" t="s">
        <v>635</v>
      </c>
      <c r="B72" s="54">
        <v>0</v>
      </c>
      <c r="C72" s="54">
        <v>0</v>
      </c>
      <c r="D72" s="54">
        <v>1</v>
      </c>
      <c r="E72" s="54">
        <v>0</v>
      </c>
    </row>
    <row r="73" spans="1:5" x14ac:dyDescent="0.25">
      <c r="A73" s="55" t="s">
        <v>1527</v>
      </c>
      <c r="B73" s="54">
        <v>1</v>
      </c>
      <c r="C73" s="54">
        <v>0</v>
      </c>
      <c r="D73" s="54">
        <v>0</v>
      </c>
      <c r="E73" s="54">
        <v>0</v>
      </c>
    </row>
    <row r="74" spans="1:5" x14ac:dyDescent="0.25">
      <c r="A74" s="55" t="s">
        <v>1735</v>
      </c>
      <c r="B74" s="54">
        <v>0.4</v>
      </c>
      <c r="C74" s="54">
        <v>0</v>
      </c>
      <c r="D74" s="54">
        <v>0.6</v>
      </c>
      <c r="E74" s="54">
        <v>0</v>
      </c>
    </row>
    <row r="75" spans="1:5" x14ac:dyDescent="0.25">
      <c r="A75" s="55" t="s">
        <v>3140</v>
      </c>
      <c r="B75" s="54">
        <v>0</v>
      </c>
      <c r="C75" s="54">
        <v>0</v>
      </c>
      <c r="D75" s="54">
        <v>1</v>
      </c>
      <c r="E75" s="54">
        <v>0</v>
      </c>
    </row>
    <row r="76" spans="1:5" x14ac:dyDescent="0.25">
      <c r="A76" s="55" t="s">
        <v>3231</v>
      </c>
      <c r="B76" s="54">
        <v>0</v>
      </c>
      <c r="C76" s="54">
        <v>1</v>
      </c>
      <c r="D76" s="54">
        <v>0</v>
      </c>
      <c r="E76" s="54">
        <v>0</v>
      </c>
    </row>
    <row r="77" spans="1:5" x14ac:dyDescent="0.25">
      <c r="A77" s="55" t="s">
        <v>3249</v>
      </c>
      <c r="B77" s="54">
        <v>1</v>
      </c>
      <c r="C77" s="54">
        <v>0</v>
      </c>
      <c r="D77" s="54">
        <v>0</v>
      </c>
      <c r="E77" s="54">
        <v>0</v>
      </c>
    </row>
    <row r="78" spans="1:5" x14ac:dyDescent="0.25">
      <c r="A78" s="55" t="s">
        <v>3546</v>
      </c>
      <c r="B78" s="54">
        <v>5.2631578947368418E-2</v>
      </c>
      <c r="C78" s="54">
        <v>0.57894736842105265</v>
      </c>
      <c r="D78" s="54">
        <v>0.36842105263157893</v>
      </c>
      <c r="E78" s="54">
        <v>0</v>
      </c>
    </row>
    <row r="79" spans="1:5" x14ac:dyDescent="0.25">
      <c r="A79" s="55" t="s">
        <v>4293</v>
      </c>
      <c r="B79" s="54">
        <v>0.25</v>
      </c>
      <c r="C79" s="54">
        <v>0.5</v>
      </c>
      <c r="D79" s="54">
        <v>0.25</v>
      </c>
      <c r="E79" s="54">
        <v>0</v>
      </c>
    </row>
    <row r="80" spans="1:5" x14ac:dyDescent="0.25">
      <c r="A80" s="55" t="s">
        <v>4346</v>
      </c>
      <c r="B80" s="54">
        <v>0.75</v>
      </c>
      <c r="C80" s="54">
        <v>0.25</v>
      </c>
      <c r="D80" s="54">
        <v>0</v>
      </c>
      <c r="E80" s="54">
        <v>0</v>
      </c>
    </row>
    <row r="81" spans="1:5" x14ac:dyDescent="0.25">
      <c r="A81" s="55" t="s">
        <v>4428</v>
      </c>
      <c r="B81" s="54">
        <v>0</v>
      </c>
      <c r="C81" s="54">
        <v>0</v>
      </c>
      <c r="D81" s="54">
        <v>1</v>
      </c>
      <c r="E81" s="54">
        <v>0</v>
      </c>
    </row>
    <row r="82" spans="1:5" x14ac:dyDescent="0.25">
      <c r="A82" s="55" t="s">
        <v>4743</v>
      </c>
      <c r="B82" s="54">
        <v>0</v>
      </c>
      <c r="C82" s="54">
        <v>0</v>
      </c>
      <c r="D82" s="54">
        <v>1</v>
      </c>
      <c r="E82" s="54">
        <v>0</v>
      </c>
    </row>
    <row r="83" spans="1:5" x14ac:dyDescent="0.25">
      <c r="A83" s="55" t="s">
        <v>6024</v>
      </c>
      <c r="B83" s="54">
        <v>0</v>
      </c>
      <c r="C83" s="54">
        <v>0.8571428571428571</v>
      </c>
      <c r="D83" s="54">
        <v>0.14285714285714285</v>
      </c>
      <c r="E83" s="54">
        <v>0</v>
      </c>
    </row>
    <row r="84" spans="1:5" x14ac:dyDescent="0.25">
      <c r="A84" s="55" t="s">
        <v>6105</v>
      </c>
      <c r="B84" s="54">
        <v>0.1</v>
      </c>
      <c r="C84" s="54">
        <v>0.5</v>
      </c>
      <c r="D84" s="54">
        <v>0.4</v>
      </c>
      <c r="E84" s="54">
        <v>0</v>
      </c>
    </row>
    <row r="85" spans="1:5" x14ac:dyDescent="0.25">
      <c r="A85" s="55" t="s">
        <v>6805</v>
      </c>
      <c r="B85" s="54">
        <v>0.33333333333333331</v>
      </c>
      <c r="C85" s="54">
        <v>0</v>
      </c>
      <c r="D85" s="54">
        <v>0.66666666666666663</v>
      </c>
      <c r="E85" s="54">
        <v>0</v>
      </c>
    </row>
    <row r="86" spans="1:5" x14ac:dyDescent="0.25">
      <c r="A86" s="55" t="s">
        <v>7083</v>
      </c>
      <c r="B86" s="54">
        <v>0</v>
      </c>
      <c r="C86" s="54">
        <v>0.83333333333333337</v>
      </c>
      <c r="D86" s="54">
        <v>0.16666666666666666</v>
      </c>
      <c r="E86" s="54">
        <v>0</v>
      </c>
    </row>
    <row r="87" spans="1:5" x14ac:dyDescent="0.25">
      <c r="A87" s="55" t="s">
        <v>7194</v>
      </c>
      <c r="B87" s="54">
        <v>0</v>
      </c>
      <c r="C87" s="54">
        <v>0</v>
      </c>
      <c r="D87" s="54">
        <v>1</v>
      </c>
      <c r="E87" s="54">
        <v>0</v>
      </c>
    </row>
    <row r="88" spans="1:5" x14ac:dyDescent="0.25">
      <c r="A88" s="55" t="s">
        <v>8140</v>
      </c>
      <c r="B88" s="54">
        <v>0.33333333333333331</v>
      </c>
      <c r="C88" s="54">
        <v>0</v>
      </c>
      <c r="D88" s="54">
        <v>0.66666666666666663</v>
      </c>
      <c r="E88" s="54">
        <v>0</v>
      </c>
    </row>
    <row r="89" spans="1:5" x14ac:dyDescent="0.25">
      <c r="A89" s="55" t="s">
        <v>8180</v>
      </c>
      <c r="B89" s="54">
        <v>0</v>
      </c>
      <c r="C89" s="54">
        <v>0</v>
      </c>
      <c r="D89" s="54">
        <v>1</v>
      </c>
      <c r="E89" s="54">
        <v>0</v>
      </c>
    </row>
    <row r="90" spans="1:5" x14ac:dyDescent="0.25">
      <c r="A90" s="55" t="s">
        <v>9020</v>
      </c>
      <c r="B90" s="54">
        <v>0.66666666666666663</v>
      </c>
      <c r="C90" s="54">
        <v>0</v>
      </c>
      <c r="D90" s="54">
        <v>0.33333333333333331</v>
      </c>
      <c r="E90" s="54">
        <v>0</v>
      </c>
    </row>
    <row r="91" spans="1:5" x14ac:dyDescent="0.25">
      <c r="A91" s="55" t="s">
        <v>9409</v>
      </c>
      <c r="B91" s="54">
        <v>1</v>
      </c>
      <c r="C91" s="54">
        <v>0</v>
      </c>
      <c r="D91" s="54">
        <v>0</v>
      </c>
      <c r="E91" s="54">
        <v>0</v>
      </c>
    </row>
    <row r="92" spans="1:5" x14ac:dyDescent="0.25">
      <c r="A92" s="55" t="s">
        <v>10350</v>
      </c>
      <c r="B92" s="54">
        <v>0</v>
      </c>
      <c r="C92" s="54">
        <v>1</v>
      </c>
      <c r="D92" s="54">
        <v>0</v>
      </c>
      <c r="E92" s="54">
        <v>0</v>
      </c>
    </row>
    <row r="93" spans="1:5" x14ac:dyDescent="0.25">
      <c r="A93" s="55" t="s">
        <v>10558</v>
      </c>
      <c r="B93" s="54">
        <v>0.14285714285714285</v>
      </c>
      <c r="C93" s="54">
        <v>0</v>
      </c>
      <c r="D93" s="54">
        <v>0.8571428571428571</v>
      </c>
      <c r="E93" s="54">
        <v>0</v>
      </c>
    </row>
    <row r="94" spans="1:5" x14ac:dyDescent="0.25">
      <c r="A94" s="55" t="s">
        <v>11664</v>
      </c>
      <c r="B94" s="54">
        <v>1</v>
      </c>
      <c r="C94" s="54">
        <v>0</v>
      </c>
      <c r="D94" s="54">
        <v>0</v>
      </c>
      <c r="E94" s="54">
        <v>0</v>
      </c>
    </row>
    <row r="95" spans="1:5" x14ac:dyDescent="0.25">
      <c r="A95" s="55" t="s">
        <v>11693</v>
      </c>
      <c r="B95" s="54">
        <v>6.4516129032258063E-2</v>
      </c>
      <c r="C95" s="54">
        <v>0.64516129032258063</v>
      </c>
      <c r="D95" s="54">
        <v>0.29032258064516131</v>
      </c>
      <c r="E95" s="54">
        <v>0</v>
      </c>
    </row>
    <row r="96" spans="1:5" x14ac:dyDescent="0.25">
      <c r="A96" s="55" t="s">
        <v>12654</v>
      </c>
      <c r="B96" s="54">
        <v>0</v>
      </c>
      <c r="C96" s="54">
        <v>0</v>
      </c>
      <c r="D96" s="54">
        <v>1</v>
      </c>
      <c r="E96" s="54">
        <v>0</v>
      </c>
    </row>
    <row r="97" spans="1:5" x14ac:dyDescent="0.25">
      <c r="A97" s="55" t="s">
        <v>12907</v>
      </c>
      <c r="B97" s="54">
        <v>0.75</v>
      </c>
      <c r="C97" s="54">
        <v>0</v>
      </c>
      <c r="D97" s="54">
        <v>0.25</v>
      </c>
      <c r="E97" s="54">
        <v>0</v>
      </c>
    </row>
    <row r="98" spans="1:5" x14ac:dyDescent="0.25">
      <c r="A98" s="55" t="s">
        <v>13710</v>
      </c>
      <c r="B98" s="54">
        <v>0.25</v>
      </c>
      <c r="C98" s="54">
        <v>0.5</v>
      </c>
      <c r="D98" s="54">
        <v>0.25</v>
      </c>
      <c r="E98" s="54">
        <v>0</v>
      </c>
    </row>
    <row r="99" spans="1:5" x14ac:dyDescent="0.25">
      <c r="A99" s="55" t="s">
        <v>13783</v>
      </c>
      <c r="B99" s="54">
        <v>0</v>
      </c>
      <c r="C99" s="54">
        <v>1</v>
      </c>
      <c r="D99" s="54">
        <v>0</v>
      </c>
      <c r="E99" s="54">
        <v>0</v>
      </c>
    </row>
    <row r="100" spans="1:5" x14ac:dyDescent="0.25">
      <c r="A100" s="50" t="s">
        <v>14281</v>
      </c>
      <c r="B100" s="54">
        <v>0.21348314606741572</v>
      </c>
      <c r="C100" s="54">
        <v>0.43258426966292135</v>
      </c>
      <c r="D100" s="54">
        <v>0.3539325842696629</v>
      </c>
      <c r="E100" s="54">
        <v>0</v>
      </c>
    </row>
    <row r="101" spans="1:5" x14ac:dyDescent="0.25">
      <c r="A101" s="50" t="s">
        <v>12970</v>
      </c>
      <c r="B101" s="54"/>
      <c r="C101" s="54"/>
      <c r="D101" s="54"/>
      <c r="E101" s="54"/>
    </row>
    <row r="102" spans="1:5" x14ac:dyDescent="0.25">
      <c r="A102" s="55" t="s">
        <v>12969</v>
      </c>
      <c r="B102" s="54">
        <v>0.82352941176470584</v>
      </c>
      <c r="C102" s="54">
        <v>0</v>
      </c>
      <c r="D102" s="54">
        <v>0.17647058823529413</v>
      </c>
      <c r="E102" s="54">
        <v>0</v>
      </c>
    </row>
    <row r="103" spans="1:5" x14ac:dyDescent="0.25">
      <c r="A103" s="50" t="s">
        <v>14282</v>
      </c>
      <c r="B103" s="54">
        <v>0.82352941176470584</v>
      </c>
      <c r="C103" s="54">
        <v>0</v>
      </c>
      <c r="D103" s="54">
        <v>0.17647058823529413</v>
      </c>
      <c r="E103" s="54">
        <v>0</v>
      </c>
    </row>
    <row r="104" spans="1:5" x14ac:dyDescent="0.25">
      <c r="A104" s="50" t="s">
        <v>14272</v>
      </c>
      <c r="B104" s="54">
        <v>0.18791208791208791</v>
      </c>
      <c r="C104" s="54">
        <v>0.37802197802197801</v>
      </c>
      <c r="D104" s="54">
        <v>0.43406593406593408</v>
      </c>
      <c r="E104" s="54">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3:E104"/>
  <sheetViews>
    <sheetView topLeftCell="D1" workbookViewId="0">
      <selection activeCell="B46" sqref="B46:H48"/>
    </sheetView>
  </sheetViews>
  <sheetFormatPr defaultRowHeight="15" x14ac:dyDescent="0.25"/>
  <cols>
    <col min="1" max="1" width="77.5703125" customWidth="1"/>
    <col min="2" max="2" width="127.42578125" customWidth="1"/>
    <col min="3" max="3" width="102.28515625" customWidth="1"/>
    <col min="4" max="4" width="70.42578125" customWidth="1"/>
    <col min="5" max="5" width="7.140625" customWidth="1"/>
    <col min="6" max="6" width="10.7109375" customWidth="1"/>
  </cols>
  <sheetData>
    <row r="3" spans="1:5" x14ac:dyDescent="0.25">
      <c r="A3" s="49" t="s">
        <v>14285</v>
      </c>
      <c r="B3" s="49" t="s">
        <v>14283</v>
      </c>
    </row>
    <row r="4" spans="1:5" x14ac:dyDescent="0.25">
      <c r="A4" s="49" t="s">
        <v>14283</v>
      </c>
      <c r="B4" t="s">
        <v>365</v>
      </c>
      <c r="C4" t="s">
        <v>340</v>
      </c>
      <c r="D4" t="s">
        <v>420</v>
      </c>
      <c r="E4" t="s">
        <v>14275</v>
      </c>
    </row>
    <row r="5" spans="1:5" x14ac:dyDescent="0.25">
      <c r="A5" s="50" t="s">
        <v>1874</v>
      </c>
      <c r="B5" s="54"/>
      <c r="C5" s="54"/>
      <c r="D5" s="54"/>
      <c r="E5" s="54"/>
    </row>
    <row r="6" spans="1:5" x14ac:dyDescent="0.25">
      <c r="A6" s="55" t="s">
        <v>1873</v>
      </c>
      <c r="B6" s="54">
        <v>8.3333333333333329E-2</v>
      </c>
      <c r="C6" s="54">
        <v>0.66666666666666663</v>
      </c>
      <c r="D6" s="54">
        <v>0.25</v>
      </c>
      <c r="E6" s="54">
        <v>0</v>
      </c>
    </row>
    <row r="7" spans="1:5" x14ac:dyDescent="0.25">
      <c r="A7" s="55" t="s">
        <v>3868</v>
      </c>
      <c r="B7" s="54">
        <v>0.17857142857142858</v>
      </c>
      <c r="C7" s="54">
        <v>3.5714285714285712E-2</v>
      </c>
      <c r="D7" s="54">
        <v>0.7857142857142857</v>
      </c>
      <c r="E7" s="54">
        <v>0</v>
      </c>
    </row>
    <row r="8" spans="1:5" x14ac:dyDescent="0.25">
      <c r="A8" s="55" t="s">
        <v>6457</v>
      </c>
      <c r="B8" s="54">
        <v>0.13043478260869565</v>
      </c>
      <c r="C8" s="54">
        <v>0.13043478260869565</v>
      </c>
      <c r="D8" s="54">
        <v>0.73913043478260865</v>
      </c>
      <c r="E8" s="54">
        <v>0</v>
      </c>
    </row>
    <row r="9" spans="1:5" x14ac:dyDescent="0.25">
      <c r="A9" s="55" t="s">
        <v>10371</v>
      </c>
      <c r="B9" s="54">
        <v>0.1</v>
      </c>
      <c r="C9" s="54">
        <v>0.4</v>
      </c>
      <c r="D9" s="54">
        <v>0.5</v>
      </c>
      <c r="E9" s="54">
        <v>0</v>
      </c>
    </row>
    <row r="10" spans="1:5" x14ac:dyDescent="0.25">
      <c r="A10" s="55" t="s">
        <v>10685</v>
      </c>
      <c r="B10" s="54">
        <v>0.14285714285714285</v>
      </c>
      <c r="C10" s="54">
        <v>8.5714285714285715E-2</v>
      </c>
      <c r="D10" s="54">
        <v>0.77142857142857146</v>
      </c>
      <c r="E10" s="54">
        <v>0</v>
      </c>
    </row>
    <row r="11" spans="1:5" x14ac:dyDescent="0.25">
      <c r="A11" s="55" t="s">
        <v>11104</v>
      </c>
      <c r="B11" s="54">
        <v>0.11764705882352941</v>
      </c>
      <c r="C11" s="54">
        <v>0</v>
      </c>
      <c r="D11" s="54">
        <v>0.88235294117647056</v>
      </c>
      <c r="E11" s="54">
        <v>0</v>
      </c>
    </row>
    <row r="12" spans="1:5" x14ac:dyDescent="0.25">
      <c r="A12" s="55" t="s">
        <v>11417</v>
      </c>
      <c r="B12" s="54">
        <v>0.31578947368421051</v>
      </c>
      <c r="C12" s="54">
        <v>0.42105263157894735</v>
      </c>
      <c r="D12" s="54">
        <v>0.26315789473684209</v>
      </c>
      <c r="E12" s="54">
        <v>0</v>
      </c>
    </row>
    <row r="13" spans="1:5" x14ac:dyDescent="0.25">
      <c r="A13" s="55" t="s">
        <v>12694</v>
      </c>
      <c r="B13" s="54">
        <v>0.61538461538461542</v>
      </c>
      <c r="C13" s="54">
        <v>0.23076923076923078</v>
      </c>
      <c r="D13" s="54">
        <v>0.15384615384615385</v>
      </c>
      <c r="E13" s="54">
        <v>0</v>
      </c>
    </row>
    <row r="14" spans="1:5" x14ac:dyDescent="0.25">
      <c r="A14" s="55" t="s">
        <v>14322</v>
      </c>
      <c r="B14" s="54">
        <v>0.6</v>
      </c>
      <c r="C14" s="54">
        <v>0.4</v>
      </c>
      <c r="D14" s="54">
        <v>0</v>
      </c>
      <c r="E14" s="54">
        <v>0</v>
      </c>
    </row>
    <row r="15" spans="1:5" x14ac:dyDescent="0.25">
      <c r="A15" s="50" t="s">
        <v>14276</v>
      </c>
      <c r="B15" s="54">
        <v>0.20987654320987653</v>
      </c>
      <c r="C15" s="54">
        <v>0.19753086419753085</v>
      </c>
      <c r="D15" s="54">
        <v>0.59259259259259256</v>
      </c>
      <c r="E15" s="54">
        <v>0</v>
      </c>
    </row>
    <row r="16" spans="1:5" x14ac:dyDescent="0.25">
      <c r="A16" s="50" t="s">
        <v>7217</v>
      </c>
      <c r="B16" s="54"/>
      <c r="C16" s="54"/>
      <c r="D16" s="54"/>
      <c r="E16" s="54"/>
    </row>
    <row r="17" spans="1:5" x14ac:dyDescent="0.25">
      <c r="A17" s="55" t="s">
        <v>7216</v>
      </c>
      <c r="B17" s="54">
        <v>0.27272727272727271</v>
      </c>
      <c r="C17" s="54">
        <v>0.72727272727272729</v>
      </c>
      <c r="D17" s="54">
        <v>0</v>
      </c>
      <c r="E17" s="54">
        <v>0</v>
      </c>
    </row>
    <row r="18" spans="1:5" x14ac:dyDescent="0.25">
      <c r="A18" s="55" t="s">
        <v>7451</v>
      </c>
      <c r="B18" s="54">
        <v>8.6956521739130432E-2</v>
      </c>
      <c r="C18" s="54">
        <v>0.21739130434782608</v>
      </c>
      <c r="D18" s="54">
        <v>0.69565217391304346</v>
      </c>
      <c r="E18" s="54">
        <v>0</v>
      </c>
    </row>
    <row r="19" spans="1:5" x14ac:dyDescent="0.25">
      <c r="A19" s="55" t="s">
        <v>8265</v>
      </c>
      <c r="B19" s="54">
        <v>0.1</v>
      </c>
      <c r="C19" s="54">
        <v>0.6</v>
      </c>
      <c r="D19" s="54">
        <v>0.3</v>
      </c>
      <c r="E19" s="54">
        <v>0</v>
      </c>
    </row>
    <row r="20" spans="1:5" x14ac:dyDescent="0.25">
      <c r="A20" s="55" t="s">
        <v>11102</v>
      </c>
      <c r="B20" s="54" t="e">
        <v>#DIV/0!</v>
      </c>
      <c r="C20" s="54" t="e">
        <v>#DIV/0!</v>
      </c>
      <c r="D20" s="54" t="e">
        <v>#DIV/0!</v>
      </c>
      <c r="E20" s="54" t="e">
        <v>#DIV/0!</v>
      </c>
    </row>
    <row r="21" spans="1:5" x14ac:dyDescent="0.25">
      <c r="A21" s="55" t="s">
        <v>12090</v>
      </c>
      <c r="B21" s="54">
        <v>0.1</v>
      </c>
      <c r="C21" s="54">
        <v>0.4</v>
      </c>
      <c r="D21" s="54">
        <v>0.5</v>
      </c>
      <c r="E21" s="54">
        <v>0</v>
      </c>
    </row>
    <row r="22" spans="1:5" x14ac:dyDescent="0.25">
      <c r="A22" s="55" t="s">
        <v>13917</v>
      </c>
      <c r="B22" s="54">
        <v>0.14285714285714285</v>
      </c>
      <c r="C22" s="54">
        <v>0.14285714285714285</v>
      </c>
      <c r="D22" s="54">
        <v>0.7142857142857143</v>
      </c>
      <c r="E22" s="54">
        <v>0</v>
      </c>
    </row>
    <row r="23" spans="1:5" x14ac:dyDescent="0.25">
      <c r="A23" s="55" t="s">
        <v>14016</v>
      </c>
      <c r="B23" s="54">
        <v>5.5555555555555552E-2</v>
      </c>
      <c r="C23" s="54">
        <v>5.5555555555555552E-2</v>
      </c>
      <c r="D23" s="54">
        <v>0.88888888888888884</v>
      </c>
      <c r="E23" s="54">
        <v>0</v>
      </c>
    </row>
    <row r="24" spans="1:5" x14ac:dyDescent="0.25">
      <c r="A24" s="50" t="s">
        <v>14277</v>
      </c>
      <c r="B24" s="54">
        <v>0.11392405063291139</v>
      </c>
      <c r="C24" s="54">
        <v>0.31645569620253167</v>
      </c>
      <c r="D24" s="54">
        <v>0.569620253164557</v>
      </c>
      <c r="E24" s="54">
        <v>0</v>
      </c>
    </row>
    <row r="25" spans="1:5" x14ac:dyDescent="0.25">
      <c r="A25" s="50" t="s">
        <v>1596</v>
      </c>
      <c r="B25" s="54"/>
      <c r="C25" s="54"/>
      <c r="D25" s="54"/>
      <c r="E25" s="54"/>
    </row>
    <row r="26" spans="1:5" x14ac:dyDescent="0.25">
      <c r="A26" s="55" t="s">
        <v>1595</v>
      </c>
      <c r="B26" s="54">
        <v>0.5</v>
      </c>
      <c r="C26" s="54">
        <v>0.16666666666666666</v>
      </c>
      <c r="D26" s="54">
        <v>0.33333333333333331</v>
      </c>
      <c r="E26" s="54">
        <v>0</v>
      </c>
    </row>
    <row r="27" spans="1:5" x14ac:dyDescent="0.25">
      <c r="A27" s="55" t="s">
        <v>1827</v>
      </c>
      <c r="B27" s="54">
        <v>0</v>
      </c>
      <c r="C27" s="54">
        <v>1</v>
      </c>
      <c r="D27" s="54">
        <v>0</v>
      </c>
      <c r="E27" s="54">
        <v>0</v>
      </c>
    </row>
    <row r="28" spans="1:5" x14ac:dyDescent="0.25">
      <c r="A28" s="55" t="s">
        <v>2395</v>
      </c>
      <c r="B28" s="54">
        <v>0</v>
      </c>
      <c r="C28" s="54">
        <v>0.83333333333333337</v>
      </c>
      <c r="D28" s="54">
        <v>0.16666666666666666</v>
      </c>
      <c r="E28" s="54">
        <v>0</v>
      </c>
    </row>
    <row r="29" spans="1:5" x14ac:dyDescent="0.25">
      <c r="A29" s="55" t="s">
        <v>2536</v>
      </c>
      <c r="B29" s="54">
        <v>8.3333333333333329E-2</v>
      </c>
      <c r="C29" s="54">
        <v>0.58333333333333337</v>
      </c>
      <c r="D29" s="54">
        <v>0.33333333333333331</v>
      </c>
      <c r="E29" s="54">
        <v>0</v>
      </c>
    </row>
    <row r="30" spans="1:5" x14ac:dyDescent="0.25">
      <c r="A30" s="55" t="s">
        <v>2956</v>
      </c>
      <c r="B30" s="54">
        <v>0.22222222222222221</v>
      </c>
      <c r="C30" s="54">
        <v>0.66666666666666663</v>
      </c>
      <c r="D30" s="54">
        <v>0.1111111111111111</v>
      </c>
      <c r="E30" s="54">
        <v>0</v>
      </c>
    </row>
    <row r="31" spans="1:5" x14ac:dyDescent="0.25">
      <c r="A31" s="55" t="s">
        <v>4471</v>
      </c>
      <c r="B31" s="54">
        <v>0.15384615384615385</v>
      </c>
      <c r="C31" s="54">
        <v>0.61538461538461542</v>
      </c>
      <c r="D31" s="54">
        <v>0.23076923076923078</v>
      </c>
      <c r="E31" s="54">
        <v>0</v>
      </c>
    </row>
    <row r="32" spans="1:5" x14ac:dyDescent="0.25">
      <c r="A32" s="55" t="s">
        <v>7179</v>
      </c>
      <c r="B32" s="54">
        <v>0</v>
      </c>
      <c r="C32" s="54">
        <v>0</v>
      </c>
      <c r="D32" s="54">
        <v>1</v>
      </c>
      <c r="E32" s="54">
        <v>0</v>
      </c>
    </row>
    <row r="33" spans="1:5" x14ac:dyDescent="0.25">
      <c r="A33" s="55" t="s">
        <v>7835</v>
      </c>
      <c r="B33" s="54">
        <v>0.375</v>
      </c>
      <c r="C33" s="54">
        <v>0.625</v>
      </c>
      <c r="D33" s="54">
        <v>0</v>
      </c>
      <c r="E33" s="54">
        <v>0</v>
      </c>
    </row>
    <row r="34" spans="1:5" x14ac:dyDescent="0.25">
      <c r="A34" s="55" t="s">
        <v>9043</v>
      </c>
      <c r="B34" s="54">
        <v>0.15384615384615385</v>
      </c>
      <c r="C34" s="54">
        <v>0.46153846153846156</v>
      </c>
      <c r="D34" s="54">
        <v>0.38461538461538464</v>
      </c>
      <c r="E34" s="54">
        <v>0</v>
      </c>
    </row>
    <row r="35" spans="1:5" x14ac:dyDescent="0.25">
      <c r="A35" s="55" t="s">
        <v>10594</v>
      </c>
      <c r="B35" s="54">
        <v>0</v>
      </c>
      <c r="C35" s="54">
        <v>0.8</v>
      </c>
      <c r="D35" s="54">
        <v>0.2</v>
      </c>
      <c r="E35" s="54">
        <v>0</v>
      </c>
    </row>
    <row r="36" spans="1:5" x14ac:dyDescent="0.25">
      <c r="A36" s="50" t="s">
        <v>14278</v>
      </c>
      <c r="B36" s="54">
        <v>0.1875</v>
      </c>
      <c r="C36" s="54">
        <v>0.57291666666666663</v>
      </c>
      <c r="D36" s="54">
        <v>0.23958333333333334</v>
      </c>
      <c r="E36" s="54">
        <v>0</v>
      </c>
    </row>
    <row r="37" spans="1:5" x14ac:dyDescent="0.25">
      <c r="A37" s="50" t="s">
        <v>306</v>
      </c>
      <c r="B37" s="54"/>
      <c r="C37" s="54"/>
      <c r="D37" s="54"/>
      <c r="E37" s="54"/>
    </row>
    <row r="38" spans="1:5" x14ac:dyDescent="0.25">
      <c r="A38" s="55" t="s">
        <v>305</v>
      </c>
      <c r="B38" s="54">
        <v>0.13333333333333333</v>
      </c>
      <c r="C38" s="54">
        <v>0.6</v>
      </c>
      <c r="D38" s="54">
        <v>0.26666666666666666</v>
      </c>
      <c r="E38" s="54">
        <v>0</v>
      </c>
    </row>
    <row r="39" spans="1:5" x14ac:dyDescent="0.25">
      <c r="A39" s="55" t="s">
        <v>652</v>
      </c>
      <c r="B39" s="54">
        <v>0.22916666666666666</v>
      </c>
      <c r="C39" s="54">
        <v>0.27083333333333331</v>
      </c>
      <c r="D39" s="54">
        <v>0.5</v>
      </c>
      <c r="E39" s="54">
        <v>0</v>
      </c>
    </row>
    <row r="40" spans="1:5" x14ac:dyDescent="0.25">
      <c r="A40" s="55" t="s">
        <v>2092</v>
      </c>
      <c r="B40" s="54">
        <v>0.16666666666666666</v>
      </c>
      <c r="C40" s="54">
        <v>0.3888888888888889</v>
      </c>
      <c r="D40" s="54">
        <v>0.44444444444444442</v>
      </c>
      <c r="E40" s="54">
        <v>0</v>
      </c>
    </row>
    <row r="41" spans="1:5" x14ac:dyDescent="0.25">
      <c r="A41" s="55" t="s">
        <v>4268</v>
      </c>
      <c r="B41" s="54">
        <v>1</v>
      </c>
      <c r="C41" s="54">
        <v>0</v>
      </c>
      <c r="D41" s="54">
        <v>0</v>
      </c>
      <c r="E41" s="54">
        <v>0</v>
      </c>
    </row>
    <row r="42" spans="1:5" x14ac:dyDescent="0.25">
      <c r="A42" s="55" t="s">
        <v>5300</v>
      </c>
      <c r="B42" s="54">
        <v>0.31578947368421051</v>
      </c>
      <c r="C42" s="54">
        <v>0.23684210526315788</v>
      </c>
      <c r="D42" s="54">
        <v>0.44736842105263158</v>
      </c>
      <c r="E42" s="54">
        <v>0</v>
      </c>
    </row>
    <row r="43" spans="1:5" x14ac:dyDescent="0.25">
      <c r="A43" s="55" t="s">
        <v>5932</v>
      </c>
      <c r="B43" s="54">
        <v>0.375</v>
      </c>
      <c r="C43" s="54">
        <v>0.375</v>
      </c>
      <c r="D43" s="54">
        <v>0.25</v>
      </c>
      <c r="E43" s="54">
        <v>0</v>
      </c>
    </row>
    <row r="44" spans="1:5" x14ac:dyDescent="0.25">
      <c r="A44" s="55" t="s">
        <v>6850</v>
      </c>
      <c r="B44" s="54">
        <v>7.1428571428571425E-2</v>
      </c>
      <c r="C44" s="54">
        <v>0.5</v>
      </c>
      <c r="D44" s="54">
        <v>0.42857142857142855</v>
      </c>
      <c r="E44" s="54">
        <v>0</v>
      </c>
    </row>
    <row r="45" spans="1:5" x14ac:dyDescent="0.25">
      <c r="A45" s="55" t="s">
        <v>8444</v>
      </c>
      <c r="B45" s="54">
        <v>0</v>
      </c>
      <c r="C45" s="54">
        <v>0.6875</v>
      </c>
      <c r="D45" s="54">
        <v>0.3125</v>
      </c>
      <c r="E45" s="54">
        <v>0</v>
      </c>
    </row>
    <row r="46" spans="1:5" x14ac:dyDescent="0.25">
      <c r="A46" s="55" t="s">
        <v>8647</v>
      </c>
      <c r="B46" s="54">
        <v>0.22727272727272727</v>
      </c>
      <c r="C46" s="54">
        <v>0.5</v>
      </c>
      <c r="D46" s="54">
        <v>0.27272727272727271</v>
      </c>
      <c r="E46" s="54">
        <v>0</v>
      </c>
    </row>
    <row r="47" spans="1:5" x14ac:dyDescent="0.25">
      <c r="A47" s="55" t="s">
        <v>9427</v>
      </c>
      <c r="B47" s="54">
        <v>0.25</v>
      </c>
      <c r="C47" s="54">
        <v>0.25</v>
      </c>
      <c r="D47" s="54">
        <v>0.5</v>
      </c>
      <c r="E47" s="54">
        <v>0</v>
      </c>
    </row>
    <row r="48" spans="1:5" x14ac:dyDescent="0.25">
      <c r="A48" s="55" t="s">
        <v>9516</v>
      </c>
      <c r="B48" s="54">
        <v>8.3333333333333329E-2</v>
      </c>
      <c r="C48" s="54">
        <v>0.33333333333333331</v>
      </c>
      <c r="D48" s="54">
        <v>0.58333333333333337</v>
      </c>
      <c r="E48" s="54">
        <v>0</v>
      </c>
    </row>
    <row r="49" spans="1:5" x14ac:dyDescent="0.25">
      <c r="A49" s="55" t="s">
        <v>10263</v>
      </c>
      <c r="B49" s="54">
        <v>0</v>
      </c>
      <c r="C49" s="54">
        <v>0.83333333333333337</v>
      </c>
      <c r="D49" s="54">
        <v>0.16666666666666666</v>
      </c>
      <c r="E49" s="54">
        <v>0</v>
      </c>
    </row>
    <row r="50" spans="1:5" x14ac:dyDescent="0.25">
      <c r="A50" s="55" t="s">
        <v>11304</v>
      </c>
      <c r="B50" s="54">
        <v>0.42857142857142855</v>
      </c>
      <c r="C50" s="54">
        <v>0.2857142857142857</v>
      </c>
      <c r="D50" s="54">
        <v>0.2857142857142857</v>
      </c>
      <c r="E50" s="54">
        <v>0</v>
      </c>
    </row>
    <row r="51" spans="1:5" x14ac:dyDescent="0.25">
      <c r="A51" s="55" t="s">
        <v>12294</v>
      </c>
      <c r="B51" s="54">
        <v>0.18181818181818182</v>
      </c>
      <c r="C51" s="54">
        <v>0.18181818181818182</v>
      </c>
      <c r="D51" s="54">
        <v>0.63636363636363635</v>
      </c>
      <c r="E51" s="54">
        <v>0</v>
      </c>
    </row>
    <row r="52" spans="1:5" x14ac:dyDescent="0.25">
      <c r="A52" s="55" t="s">
        <v>12547</v>
      </c>
      <c r="B52" s="54">
        <v>0.16666666666666666</v>
      </c>
      <c r="C52" s="54">
        <v>0.16666666666666666</v>
      </c>
      <c r="D52" s="54">
        <v>0.66666666666666663</v>
      </c>
      <c r="E52" s="54">
        <v>0</v>
      </c>
    </row>
    <row r="53" spans="1:5" x14ac:dyDescent="0.25">
      <c r="A53" s="55" t="s">
        <v>13272</v>
      </c>
      <c r="B53" s="54">
        <v>0.75</v>
      </c>
      <c r="C53" s="54">
        <v>0</v>
      </c>
      <c r="D53" s="54">
        <v>0.25</v>
      </c>
      <c r="E53" s="54">
        <v>0</v>
      </c>
    </row>
    <row r="54" spans="1:5" x14ac:dyDescent="0.25">
      <c r="A54" s="55" t="s">
        <v>13409</v>
      </c>
      <c r="B54" s="54">
        <v>0.47058823529411764</v>
      </c>
      <c r="C54" s="54">
        <v>0.29411764705882354</v>
      </c>
      <c r="D54" s="54">
        <v>0.23529411764705882</v>
      </c>
      <c r="E54" s="54">
        <v>0</v>
      </c>
    </row>
    <row r="55" spans="1:5" x14ac:dyDescent="0.25">
      <c r="A55" s="50" t="s">
        <v>14279</v>
      </c>
      <c r="B55" s="54">
        <v>0.23664122137404581</v>
      </c>
      <c r="C55" s="54">
        <v>0.35114503816793891</v>
      </c>
      <c r="D55" s="54">
        <v>0.41221374045801529</v>
      </c>
      <c r="E55" s="54">
        <v>0</v>
      </c>
    </row>
    <row r="56" spans="1:5" x14ac:dyDescent="0.25">
      <c r="A56" s="50" t="s">
        <v>2807</v>
      </c>
      <c r="B56" s="54"/>
      <c r="C56" s="54"/>
      <c r="D56" s="54"/>
      <c r="E56" s="54"/>
    </row>
    <row r="57" spans="1:5" x14ac:dyDescent="0.25">
      <c r="A57" s="55" t="s">
        <v>2806</v>
      </c>
      <c r="B57" s="54">
        <v>0</v>
      </c>
      <c r="C57" s="54">
        <v>1</v>
      </c>
      <c r="D57" s="54">
        <v>0</v>
      </c>
      <c r="E57" s="54">
        <v>0</v>
      </c>
    </row>
    <row r="58" spans="1:5" x14ac:dyDescent="0.25">
      <c r="A58" s="55" t="s">
        <v>2931</v>
      </c>
      <c r="B58" s="54">
        <v>1</v>
      </c>
      <c r="C58" s="54">
        <v>0</v>
      </c>
      <c r="D58" s="54">
        <v>0</v>
      </c>
      <c r="E58" s="54">
        <v>0</v>
      </c>
    </row>
    <row r="59" spans="1:5" x14ac:dyDescent="0.25">
      <c r="A59" s="55" t="s">
        <v>3148</v>
      </c>
      <c r="B59" s="54">
        <v>0.8</v>
      </c>
      <c r="C59" s="54">
        <v>0</v>
      </c>
      <c r="D59" s="54">
        <v>0.2</v>
      </c>
      <c r="E59" s="54">
        <v>0</v>
      </c>
    </row>
    <row r="60" spans="1:5" x14ac:dyDescent="0.25">
      <c r="A60" s="55" t="s">
        <v>3261</v>
      </c>
      <c r="B60" s="54" t="e">
        <v>#DIV/0!</v>
      </c>
      <c r="C60" s="54" t="e">
        <v>#DIV/0!</v>
      </c>
      <c r="D60" s="54" t="e">
        <v>#DIV/0!</v>
      </c>
      <c r="E60" s="54" t="e">
        <v>#DIV/0!</v>
      </c>
    </row>
    <row r="61" spans="1:5" x14ac:dyDescent="0.25">
      <c r="A61" s="55" t="s">
        <v>3272</v>
      </c>
      <c r="B61" s="54">
        <v>0.31578947368421051</v>
      </c>
      <c r="C61" s="54">
        <v>0.42105263157894735</v>
      </c>
      <c r="D61" s="54">
        <v>0.26315789473684209</v>
      </c>
      <c r="E61" s="54">
        <v>0</v>
      </c>
    </row>
    <row r="62" spans="1:5" x14ac:dyDescent="0.25">
      <c r="A62" s="55" t="s">
        <v>4777</v>
      </c>
      <c r="B62" s="54">
        <v>0.46666666666666667</v>
      </c>
      <c r="C62" s="54">
        <v>0.4</v>
      </c>
      <c r="D62" s="54">
        <v>0.13333333333333333</v>
      </c>
      <c r="E62" s="54">
        <v>0</v>
      </c>
    </row>
    <row r="63" spans="1:5" x14ac:dyDescent="0.25">
      <c r="A63" s="55" t="s">
        <v>5061</v>
      </c>
      <c r="B63" s="54">
        <v>0.625</v>
      </c>
      <c r="C63" s="54">
        <v>0.25</v>
      </c>
      <c r="D63" s="54">
        <v>0.125</v>
      </c>
      <c r="E63" s="54">
        <v>0</v>
      </c>
    </row>
    <row r="64" spans="1:5" x14ac:dyDescent="0.25">
      <c r="A64" s="55" t="s">
        <v>5190</v>
      </c>
      <c r="B64" s="54">
        <v>0.14285714285714285</v>
      </c>
      <c r="C64" s="54">
        <v>0.8571428571428571</v>
      </c>
      <c r="D64" s="54">
        <v>0</v>
      </c>
      <c r="E64" s="54">
        <v>0</v>
      </c>
    </row>
    <row r="65" spans="1:5" x14ac:dyDescent="0.25">
      <c r="A65" s="55" t="s">
        <v>8138</v>
      </c>
      <c r="B65" s="54">
        <v>0</v>
      </c>
      <c r="C65" s="54">
        <v>1</v>
      </c>
      <c r="D65" s="54">
        <v>0</v>
      </c>
      <c r="E65" s="54">
        <v>0</v>
      </c>
    </row>
    <row r="66" spans="1:5" x14ac:dyDescent="0.25">
      <c r="A66" s="55" t="s">
        <v>9042</v>
      </c>
      <c r="B66" s="54">
        <v>1</v>
      </c>
      <c r="C66" s="54">
        <v>0</v>
      </c>
      <c r="D66" s="54">
        <v>0</v>
      </c>
      <c r="E66" s="54">
        <v>0</v>
      </c>
    </row>
    <row r="67" spans="1:5" x14ac:dyDescent="0.25">
      <c r="A67" s="55" t="s">
        <v>9514</v>
      </c>
      <c r="B67" s="54" t="e">
        <v>#DIV/0!</v>
      </c>
      <c r="C67" s="54" t="e">
        <v>#DIV/0!</v>
      </c>
      <c r="D67" s="54" t="e">
        <v>#DIV/0!</v>
      </c>
      <c r="E67" s="54" t="e">
        <v>#DIV/0!</v>
      </c>
    </row>
    <row r="68" spans="1:5" x14ac:dyDescent="0.25">
      <c r="A68" s="55" t="s">
        <v>9706</v>
      </c>
      <c r="B68" s="54">
        <v>0.42857142857142855</v>
      </c>
      <c r="C68" s="54">
        <v>0.2857142857142857</v>
      </c>
      <c r="D68" s="54">
        <v>0.2857142857142857</v>
      </c>
      <c r="E68" s="54">
        <v>0</v>
      </c>
    </row>
    <row r="69" spans="1:5" x14ac:dyDescent="0.25">
      <c r="A69" s="50" t="s">
        <v>14280</v>
      </c>
      <c r="B69" s="54">
        <v>0.43010752688172044</v>
      </c>
      <c r="C69" s="54">
        <v>0.36559139784946237</v>
      </c>
      <c r="D69" s="54">
        <v>0.20430107526881722</v>
      </c>
      <c r="E69" s="54">
        <v>0</v>
      </c>
    </row>
    <row r="70" spans="1:5" x14ac:dyDescent="0.25">
      <c r="A70" s="50" t="s">
        <v>602</v>
      </c>
      <c r="B70" s="54"/>
      <c r="C70" s="54"/>
      <c r="D70" s="54"/>
      <c r="E70" s="54"/>
    </row>
    <row r="71" spans="1:5" x14ac:dyDescent="0.25">
      <c r="A71" s="55" t="s">
        <v>601</v>
      </c>
      <c r="B71" s="54">
        <v>0</v>
      </c>
      <c r="C71" s="54">
        <v>1</v>
      </c>
      <c r="D71" s="54">
        <v>0</v>
      </c>
      <c r="E71" s="54">
        <v>0</v>
      </c>
    </row>
    <row r="72" spans="1:5" x14ac:dyDescent="0.25">
      <c r="A72" s="55" t="s">
        <v>635</v>
      </c>
      <c r="B72" s="54" t="e">
        <v>#DIV/0!</v>
      </c>
      <c r="C72" s="54" t="e">
        <v>#DIV/0!</v>
      </c>
      <c r="D72" s="54" t="e">
        <v>#DIV/0!</v>
      </c>
      <c r="E72" s="54" t="e">
        <v>#DIV/0!</v>
      </c>
    </row>
    <row r="73" spans="1:5" x14ac:dyDescent="0.25">
      <c r="A73" s="55" t="s">
        <v>1527</v>
      </c>
      <c r="B73" s="54">
        <v>0</v>
      </c>
      <c r="C73" s="54">
        <v>0.5</v>
      </c>
      <c r="D73" s="54">
        <v>0.5</v>
      </c>
      <c r="E73" s="54">
        <v>0</v>
      </c>
    </row>
    <row r="74" spans="1:5" x14ac:dyDescent="0.25">
      <c r="A74" s="55" t="s">
        <v>1735</v>
      </c>
      <c r="B74" s="54">
        <v>0</v>
      </c>
      <c r="C74" s="54">
        <v>1</v>
      </c>
      <c r="D74" s="54">
        <v>0</v>
      </c>
      <c r="E74" s="54">
        <v>0</v>
      </c>
    </row>
    <row r="75" spans="1:5" x14ac:dyDescent="0.25">
      <c r="A75" s="55" t="s">
        <v>3140</v>
      </c>
      <c r="B75" s="54">
        <v>0</v>
      </c>
      <c r="C75" s="54">
        <v>1</v>
      </c>
      <c r="D75" s="54">
        <v>0</v>
      </c>
      <c r="E75" s="54">
        <v>0</v>
      </c>
    </row>
    <row r="76" spans="1:5" x14ac:dyDescent="0.25">
      <c r="A76" s="55" t="s">
        <v>3231</v>
      </c>
      <c r="B76" s="54">
        <v>1</v>
      </c>
      <c r="C76" s="54">
        <v>0</v>
      </c>
      <c r="D76" s="54">
        <v>0</v>
      </c>
      <c r="E76" s="54">
        <v>0</v>
      </c>
    </row>
    <row r="77" spans="1:5" x14ac:dyDescent="0.25">
      <c r="A77" s="55" t="s">
        <v>3249</v>
      </c>
      <c r="B77" s="54" t="e">
        <v>#DIV/0!</v>
      </c>
      <c r="C77" s="54" t="e">
        <v>#DIV/0!</v>
      </c>
      <c r="D77" s="54" t="e">
        <v>#DIV/0!</v>
      </c>
      <c r="E77" s="54" t="e">
        <v>#DIV/0!</v>
      </c>
    </row>
    <row r="78" spans="1:5" x14ac:dyDescent="0.25">
      <c r="A78" s="55" t="s">
        <v>3546</v>
      </c>
      <c r="B78" s="54">
        <v>0.27777777777777779</v>
      </c>
      <c r="C78" s="54">
        <v>0.61111111111111116</v>
      </c>
      <c r="D78" s="54">
        <v>0.1111111111111111</v>
      </c>
      <c r="E78" s="54">
        <v>0</v>
      </c>
    </row>
    <row r="79" spans="1:5" x14ac:dyDescent="0.25">
      <c r="A79" s="55" t="s">
        <v>4293</v>
      </c>
      <c r="B79" s="54">
        <v>0.5</v>
      </c>
      <c r="C79" s="54">
        <v>0.25</v>
      </c>
      <c r="D79" s="54">
        <v>0.25</v>
      </c>
      <c r="E79" s="54">
        <v>0</v>
      </c>
    </row>
    <row r="80" spans="1:5" x14ac:dyDescent="0.25">
      <c r="A80" s="55" t="s">
        <v>4346</v>
      </c>
      <c r="B80" s="54">
        <v>0</v>
      </c>
      <c r="C80" s="54">
        <v>0.66666666666666663</v>
      </c>
      <c r="D80" s="54">
        <v>0.33333333333333331</v>
      </c>
      <c r="E80" s="54">
        <v>0</v>
      </c>
    </row>
    <row r="81" spans="1:5" x14ac:dyDescent="0.25">
      <c r="A81" s="55" t="s">
        <v>4428</v>
      </c>
      <c r="B81" s="54">
        <v>0.66666666666666663</v>
      </c>
      <c r="C81" s="54">
        <v>0.33333333333333331</v>
      </c>
      <c r="D81" s="54">
        <v>0</v>
      </c>
      <c r="E81" s="54">
        <v>0</v>
      </c>
    </row>
    <row r="82" spans="1:5" x14ac:dyDescent="0.25">
      <c r="A82" s="55" t="s">
        <v>4743</v>
      </c>
      <c r="B82" s="54">
        <v>0</v>
      </c>
      <c r="C82" s="54">
        <v>1</v>
      </c>
      <c r="D82" s="54">
        <v>0</v>
      </c>
      <c r="E82" s="54">
        <v>0</v>
      </c>
    </row>
    <row r="83" spans="1:5" x14ac:dyDescent="0.25">
      <c r="A83" s="55" t="s">
        <v>6024</v>
      </c>
      <c r="B83" s="54">
        <v>1</v>
      </c>
      <c r="C83" s="54">
        <v>0</v>
      </c>
      <c r="D83" s="54">
        <v>0</v>
      </c>
      <c r="E83" s="54">
        <v>0</v>
      </c>
    </row>
    <row r="84" spans="1:5" x14ac:dyDescent="0.25">
      <c r="A84" s="55" t="s">
        <v>6105</v>
      </c>
      <c r="B84" s="54">
        <v>0.2</v>
      </c>
      <c r="C84" s="54">
        <v>0.6</v>
      </c>
      <c r="D84" s="54">
        <v>0.2</v>
      </c>
      <c r="E84" s="54">
        <v>0</v>
      </c>
    </row>
    <row r="85" spans="1:5" x14ac:dyDescent="0.25">
      <c r="A85" s="55" t="s">
        <v>6805</v>
      </c>
      <c r="B85" s="54">
        <v>0.66666666666666663</v>
      </c>
      <c r="C85" s="54">
        <v>0.33333333333333331</v>
      </c>
      <c r="D85" s="54">
        <v>0</v>
      </c>
      <c r="E85" s="54">
        <v>0</v>
      </c>
    </row>
    <row r="86" spans="1:5" x14ac:dyDescent="0.25">
      <c r="A86" s="55" t="s">
        <v>7083</v>
      </c>
      <c r="B86" s="54">
        <v>0</v>
      </c>
      <c r="C86" s="54">
        <v>0</v>
      </c>
      <c r="D86" s="54">
        <v>1</v>
      </c>
      <c r="E86" s="54">
        <v>0</v>
      </c>
    </row>
    <row r="87" spans="1:5" x14ac:dyDescent="0.25">
      <c r="A87" s="55" t="s">
        <v>7194</v>
      </c>
      <c r="B87" s="54">
        <v>1</v>
      </c>
      <c r="C87" s="54">
        <v>0</v>
      </c>
      <c r="D87" s="54">
        <v>0</v>
      </c>
      <c r="E87" s="54">
        <v>0</v>
      </c>
    </row>
    <row r="88" spans="1:5" x14ac:dyDescent="0.25">
      <c r="A88" s="55" t="s">
        <v>8140</v>
      </c>
      <c r="B88" s="54">
        <v>0.33333333333333331</v>
      </c>
      <c r="C88" s="54">
        <v>0.66666666666666663</v>
      </c>
      <c r="D88" s="54">
        <v>0</v>
      </c>
      <c r="E88" s="54">
        <v>0</v>
      </c>
    </row>
    <row r="89" spans="1:5" x14ac:dyDescent="0.25">
      <c r="A89" s="55" t="s">
        <v>8180</v>
      </c>
      <c r="B89" s="54">
        <v>0</v>
      </c>
      <c r="C89" s="54">
        <v>1</v>
      </c>
      <c r="D89" s="54">
        <v>0</v>
      </c>
      <c r="E89" s="54">
        <v>0</v>
      </c>
    </row>
    <row r="90" spans="1:5" x14ac:dyDescent="0.25">
      <c r="A90" s="55" t="s">
        <v>9020</v>
      </c>
      <c r="B90" s="54" t="e">
        <v>#DIV/0!</v>
      </c>
      <c r="C90" s="54" t="e">
        <v>#DIV/0!</v>
      </c>
      <c r="D90" s="54" t="e">
        <v>#DIV/0!</v>
      </c>
      <c r="E90" s="54" t="e">
        <v>#DIV/0!</v>
      </c>
    </row>
    <row r="91" spans="1:5" x14ac:dyDescent="0.25">
      <c r="A91" s="55" t="s">
        <v>9409</v>
      </c>
      <c r="B91" s="54">
        <v>0</v>
      </c>
      <c r="C91" s="54">
        <v>0</v>
      </c>
      <c r="D91" s="54">
        <v>1</v>
      </c>
      <c r="E91" s="54">
        <v>0</v>
      </c>
    </row>
    <row r="92" spans="1:5" x14ac:dyDescent="0.25">
      <c r="A92" s="55" t="s">
        <v>10350</v>
      </c>
      <c r="B92" s="54">
        <v>0</v>
      </c>
      <c r="C92" s="54">
        <v>0</v>
      </c>
      <c r="D92" s="54">
        <v>1</v>
      </c>
      <c r="E92" s="54">
        <v>0</v>
      </c>
    </row>
    <row r="93" spans="1:5" x14ac:dyDescent="0.25">
      <c r="A93" s="55" t="s">
        <v>10558</v>
      </c>
      <c r="B93" s="54">
        <v>0.7142857142857143</v>
      </c>
      <c r="C93" s="54">
        <v>0.2857142857142857</v>
      </c>
      <c r="D93" s="54">
        <v>0</v>
      </c>
      <c r="E93" s="54">
        <v>0</v>
      </c>
    </row>
    <row r="94" spans="1:5" x14ac:dyDescent="0.25">
      <c r="A94" s="55" t="s">
        <v>11664</v>
      </c>
      <c r="B94" s="54">
        <v>0</v>
      </c>
      <c r="C94" s="54">
        <v>1</v>
      </c>
      <c r="D94" s="54">
        <v>0</v>
      </c>
      <c r="E94" s="54">
        <v>0</v>
      </c>
    </row>
    <row r="95" spans="1:5" x14ac:dyDescent="0.25">
      <c r="A95" s="55" t="s">
        <v>11693</v>
      </c>
      <c r="B95" s="54">
        <v>0.38235294117647056</v>
      </c>
      <c r="C95" s="54">
        <v>0.3235294117647059</v>
      </c>
      <c r="D95" s="54">
        <v>0.29411764705882354</v>
      </c>
      <c r="E95" s="54">
        <v>0</v>
      </c>
    </row>
    <row r="96" spans="1:5" x14ac:dyDescent="0.25">
      <c r="A96" s="55" t="s">
        <v>12654</v>
      </c>
      <c r="B96" s="54">
        <v>1</v>
      </c>
      <c r="C96" s="54">
        <v>0</v>
      </c>
      <c r="D96" s="54">
        <v>0</v>
      </c>
      <c r="E96" s="54">
        <v>0</v>
      </c>
    </row>
    <row r="97" spans="1:5" x14ac:dyDescent="0.25">
      <c r="A97" s="55" t="s">
        <v>12907</v>
      </c>
      <c r="B97" s="54">
        <v>0.4</v>
      </c>
      <c r="C97" s="54">
        <v>0.6</v>
      </c>
      <c r="D97" s="54">
        <v>0</v>
      </c>
      <c r="E97" s="54">
        <v>0</v>
      </c>
    </row>
    <row r="98" spans="1:5" x14ac:dyDescent="0.25">
      <c r="A98" s="55" t="s">
        <v>13710</v>
      </c>
      <c r="B98" s="54">
        <v>0</v>
      </c>
      <c r="C98" s="54">
        <v>0.75</v>
      </c>
      <c r="D98" s="54">
        <v>0.25</v>
      </c>
      <c r="E98" s="54">
        <v>0</v>
      </c>
    </row>
    <row r="99" spans="1:5" x14ac:dyDescent="0.25">
      <c r="A99" s="55" t="s">
        <v>13783</v>
      </c>
      <c r="B99" s="54">
        <v>0</v>
      </c>
      <c r="C99" s="54">
        <v>0</v>
      </c>
      <c r="D99" s="54">
        <v>1</v>
      </c>
      <c r="E99" s="54">
        <v>0</v>
      </c>
    </row>
    <row r="100" spans="1:5" x14ac:dyDescent="0.25">
      <c r="A100" s="50" t="s">
        <v>14281</v>
      </c>
      <c r="B100" s="54">
        <v>0.29341317365269459</v>
      </c>
      <c r="C100" s="54">
        <v>0.42514970059880242</v>
      </c>
      <c r="D100" s="54">
        <v>0.28143712574850299</v>
      </c>
      <c r="E100" s="54">
        <v>0</v>
      </c>
    </row>
    <row r="101" spans="1:5" x14ac:dyDescent="0.25">
      <c r="A101" s="50" t="s">
        <v>12970</v>
      </c>
      <c r="B101" s="54"/>
      <c r="C101" s="54"/>
      <c r="D101" s="54"/>
      <c r="E101" s="54"/>
    </row>
    <row r="102" spans="1:5" x14ac:dyDescent="0.25">
      <c r="A102" s="55" t="s">
        <v>12969</v>
      </c>
      <c r="B102" s="54">
        <v>0.88888888888888884</v>
      </c>
      <c r="C102" s="54">
        <v>0.1111111111111111</v>
      </c>
      <c r="D102" s="54">
        <v>0</v>
      </c>
      <c r="E102" s="54">
        <v>0</v>
      </c>
    </row>
    <row r="103" spans="1:5" x14ac:dyDescent="0.25">
      <c r="A103" s="50" t="s">
        <v>14282</v>
      </c>
      <c r="B103" s="54">
        <v>0.88888888888888884</v>
      </c>
      <c r="C103" s="54">
        <v>0.1111111111111111</v>
      </c>
      <c r="D103" s="54">
        <v>0</v>
      </c>
      <c r="E103" s="54">
        <v>0</v>
      </c>
    </row>
    <row r="104" spans="1:5" x14ac:dyDescent="0.25">
      <c r="A104" s="50" t="s">
        <v>14272</v>
      </c>
      <c r="B104" s="54">
        <v>0.25345622119815669</v>
      </c>
      <c r="C104" s="54">
        <v>0.35714285714285715</v>
      </c>
      <c r="D104" s="54">
        <v>0.38940092165898615</v>
      </c>
      <c r="E104" s="54">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3:E104"/>
  <sheetViews>
    <sheetView topLeftCell="B93" workbookViewId="0">
      <selection activeCell="B104" sqref="B104"/>
    </sheetView>
  </sheetViews>
  <sheetFormatPr defaultRowHeight="15" x14ac:dyDescent="0.25"/>
  <cols>
    <col min="1" max="1" width="145.140625" bestFit="1" customWidth="1"/>
    <col min="2" max="2" width="63.140625" bestFit="1" customWidth="1"/>
    <col min="3" max="3" width="47" bestFit="1" customWidth="1"/>
    <col min="4" max="4" width="50.140625" bestFit="1" customWidth="1"/>
    <col min="5" max="5" width="7.28515625" bestFit="1" customWidth="1"/>
    <col min="6" max="6" width="10.7109375" customWidth="1"/>
  </cols>
  <sheetData>
    <row r="3" spans="1:5" x14ac:dyDescent="0.25">
      <c r="A3" s="49" t="s">
        <v>14289</v>
      </c>
      <c r="B3" s="49" t="s">
        <v>14283</v>
      </c>
    </row>
    <row r="4" spans="1:5" x14ac:dyDescent="0.25">
      <c r="A4" s="49" t="s">
        <v>14283</v>
      </c>
      <c r="B4" t="s">
        <v>338</v>
      </c>
      <c r="C4" t="s">
        <v>758</v>
      </c>
      <c r="D4" t="s">
        <v>419</v>
      </c>
      <c r="E4" t="s">
        <v>14275</v>
      </c>
    </row>
    <row r="5" spans="1:5" x14ac:dyDescent="0.25">
      <c r="A5" s="50" t="s">
        <v>1874</v>
      </c>
      <c r="B5" s="54"/>
      <c r="C5" s="54"/>
      <c r="D5" s="54"/>
      <c r="E5" s="54"/>
    </row>
    <row r="6" spans="1:5" x14ac:dyDescent="0.25">
      <c r="A6" s="55" t="s">
        <v>1873</v>
      </c>
      <c r="B6" s="54">
        <v>0.8571428571428571</v>
      </c>
      <c r="C6" s="54">
        <v>0</v>
      </c>
      <c r="D6" s="54">
        <v>0.14285714285714285</v>
      </c>
      <c r="E6" s="54">
        <v>0</v>
      </c>
    </row>
    <row r="7" spans="1:5" x14ac:dyDescent="0.25">
      <c r="A7" s="55" t="s">
        <v>3868</v>
      </c>
      <c r="B7" s="54">
        <v>0.17857142857142858</v>
      </c>
      <c r="C7" s="54">
        <v>0.17857142857142858</v>
      </c>
      <c r="D7" s="54">
        <v>0.6428571428571429</v>
      </c>
      <c r="E7" s="54">
        <v>0</v>
      </c>
    </row>
    <row r="8" spans="1:5" x14ac:dyDescent="0.25">
      <c r="A8" s="55" t="s">
        <v>6457</v>
      </c>
      <c r="B8" s="54">
        <v>0.70833333333333337</v>
      </c>
      <c r="C8" s="54">
        <v>4.1666666666666664E-2</v>
      </c>
      <c r="D8" s="54">
        <v>0.25</v>
      </c>
      <c r="E8" s="54">
        <v>0</v>
      </c>
    </row>
    <row r="9" spans="1:5" x14ac:dyDescent="0.25">
      <c r="A9" s="55" t="s">
        <v>10371</v>
      </c>
      <c r="B9" s="54">
        <v>0.9</v>
      </c>
      <c r="C9" s="54">
        <v>0</v>
      </c>
      <c r="D9" s="54">
        <v>0.1</v>
      </c>
      <c r="E9" s="54">
        <v>0</v>
      </c>
    </row>
    <row r="10" spans="1:5" x14ac:dyDescent="0.25">
      <c r="A10" s="55" t="s">
        <v>10685</v>
      </c>
      <c r="B10" s="54">
        <v>0.20588235294117646</v>
      </c>
      <c r="C10" s="54">
        <v>0.11764705882352941</v>
      </c>
      <c r="D10" s="54">
        <v>0.67647058823529416</v>
      </c>
      <c r="E10" s="54">
        <v>0</v>
      </c>
    </row>
    <row r="11" spans="1:5" x14ac:dyDescent="0.25">
      <c r="A11" s="55" t="s">
        <v>11104</v>
      </c>
      <c r="B11" s="54">
        <v>0.4</v>
      </c>
      <c r="C11" s="54">
        <v>0</v>
      </c>
      <c r="D11" s="54">
        <v>0.6</v>
      </c>
      <c r="E11" s="54">
        <v>0</v>
      </c>
    </row>
    <row r="12" spans="1:5" x14ac:dyDescent="0.25">
      <c r="A12" s="55" t="s">
        <v>11417</v>
      </c>
      <c r="B12" s="54">
        <v>0.66666666666666663</v>
      </c>
      <c r="C12" s="54">
        <v>5.5555555555555552E-2</v>
      </c>
      <c r="D12" s="54">
        <v>0.27777777777777779</v>
      </c>
      <c r="E12" s="54">
        <v>0</v>
      </c>
    </row>
    <row r="13" spans="1:5" x14ac:dyDescent="0.25">
      <c r="A13" s="55" t="s">
        <v>12694</v>
      </c>
      <c r="B13" s="54">
        <v>0.69230769230769229</v>
      </c>
      <c r="C13" s="54">
        <v>0</v>
      </c>
      <c r="D13" s="54">
        <v>0.30769230769230771</v>
      </c>
      <c r="E13" s="54">
        <v>0</v>
      </c>
    </row>
    <row r="14" spans="1:5" x14ac:dyDescent="0.25">
      <c r="A14" s="55" t="s">
        <v>14322</v>
      </c>
      <c r="B14" s="54">
        <v>0.8</v>
      </c>
      <c r="C14" s="54">
        <v>0</v>
      </c>
      <c r="D14" s="54">
        <v>0.2</v>
      </c>
      <c r="E14" s="54">
        <v>0</v>
      </c>
    </row>
    <row r="15" spans="1:5" x14ac:dyDescent="0.25">
      <c r="A15" s="50" t="s">
        <v>14276</v>
      </c>
      <c r="B15" s="54">
        <v>0.5</v>
      </c>
      <c r="C15" s="54">
        <v>6.6265060240963861E-2</v>
      </c>
      <c r="D15" s="54">
        <v>0.43373493975903615</v>
      </c>
      <c r="E15" s="54">
        <v>0</v>
      </c>
    </row>
    <row r="16" spans="1:5" x14ac:dyDescent="0.25">
      <c r="A16" s="50" t="s">
        <v>7217</v>
      </c>
      <c r="B16" s="54"/>
      <c r="C16" s="54"/>
      <c r="D16" s="54"/>
      <c r="E16" s="54"/>
    </row>
    <row r="17" spans="1:5" x14ac:dyDescent="0.25">
      <c r="A17" s="55" t="s">
        <v>7216</v>
      </c>
      <c r="B17" s="54">
        <v>0</v>
      </c>
      <c r="C17" s="54">
        <v>0.54545454545454541</v>
      </c>
      <c r="D17" s="54">
        <v>0.45454545454545453</v>
      </c>
      <c r="E17" s="54">
        <v>0</v>
      </c>
    </row>
    <row r="18" spans="1:5" x14ac:dyDescent="0.25">
      <c r="A18" s="55" t="s">
        <v>7451</v>
      </c>
      <c r="B18" s="54">
        <v>0.54166666666666663</v>
      </c>
      <c r="C18" s="54">
        <v>0.125</v>
      </c>
      <c r="D18" s="54">
        <v>0.33333333333333331</v>
      </c>
      <c r="E18" s="54">
        <v>0</v>
      </c>
    </row>
    <row r="19" spans="1:5" x14ac:dyDescent="0.25">
      <c r="A19" s="55" t="s">
        <v>8265</v>
      </c>
      <c r="B19" s="54">
        <v>0.375</v>
      </c>
      <c r="C19" s="54">
        <v>0.375</v>
      </c>
      <c r="D19" s="54">
        <v>0.25</v>
      </c>
      <c r="E19" s="54">
        <v>0</v>
      </c>
    </row>
    <row r="20" spans="1:5" x14ac:dyDescent="0.25">
      <c r="A20" s="55" t="s">
        <v>11102</v>
      </c>
      <c r="B20" s="54" t="e">
        <v>#DIV/0!</v>
      </c>
      <c r="C20" s="54" t="e">
        <v>#DIV/0!</v>
      </c>
      <c r="D20" s="54" t="e">
        <v>#DIV/0!</v>
      </c>
      <c r="E20" s="54" t="e">
        <v>#DIV/0!</v>
      </c>
    </row>
    <row r="21" spans="1:5" x14ac:dyDescent="0.25">
      <c r="A21" s="55" t="s">
        <v>12090</v>
      </c>
      <c r="B21" s="54">
        <v>0.4</v>
      </c>
      <c r="C21" s="54">
        <v>0.3</v>
      </c>
      <c r="D21" s="54">
        <v>0.3</v>
      </c>
      <c r="E21" s="54">
        <v>0</v>
      </c>
    </row>
    <row r="22" spans="1:5" x14ac:dyDescent="0.25">
      <c r="A22" s="55" t="s">
        <v>13917</v>
      </c>
      <c r="B22" s="54">
        <v>0.42857142857142855</v>
      </c>
      <c r="C22" s="54">
        <v>0</v>
      </c>
      <c r="D22" s="54">
        <v>0.5714285714285714</v>
      </c>
      <c r="E22" s="54">
        <v>0</v>
      </c>
    </row>
    <row r="23" spans="1:5" x14ac:dyDescent="0.25">
      <c r="A23" s="55" t="s">
        <v>14016</v>
      </c>
      <c r="B23" s="54">
        <v>0.52631578947368418</v>
      </c>
      <c r="C23" s="54">
        <v>0.10526315789473684</v>
      </c>
      <c r="D23" s="54">
        <v>0.36842105263157893</v>
      </c>
      <c r="E23" s="54">
        <v>0</v>
      </c>
    </row>
    <row r="24" spans="1:5" x14ac:dyDescent="0.25">
      <c r="A24" s="50" t="s">
        <v>14277</v>
      </c>
      <c r="B24" s="54">
        <v>0.41772151898734178</v>
      </c>
      <c r="C24" s="54">
        <v>0.21518987341772153</v>
      </c>
      <c r="D24" s="54">
        <v>0.36708860759493672</v>
      </c>
      <c r="E24" s="54">
        <v>0</v>
      </c>
    </row>
    <row r="25" spans="1:5" x14ac:dyDescent="0.25">
      <c r="A25" s="50" t="s">
        <v>1596</v>
      </c>
      <c r="B25" s="54"/>
      <c r="C25" s="54"/>
      <c r="D25" s="54"/>
      <c r="E25" s="54"/>
    </row>
    <row r="26" spans="1:5" x14ac:dyDescent="0.25">
      <c r="A26" s="55" t="s">
        <v>1595</v>
      </c>
      <c r="B26" s="54">
        <v>0.7142857142857143</v>
      </c>
      <c r="C26" s="54">
        <v>0</v>
      </c>
      <c r="D26" s="54">
        <v>0.2857142857142857</v>
      </c>
      <c r="E26" s="54">
        <v>0</v>
      </c>
    </row>
    <row r="27" spans="1:5" x14ac:dyDescent="0.25">
      <c r="A27" s="55" t="s">
        <v>1827</v>
      </c>
      <c r="B27" s="54">
        <v>0</v>
      </c>
      <c r="C27" s="54">
        <v>0</v>
      </c>
      <c r="D27" s="54">
        <v>1</v>
      </c>
      <c r="E27" s="54">
        <v>0</v>
      </c>
    </row>
    <row r="28" spans="1:5" x14ac:dyDescent="0.25">
      <c r="A28" s="55" t="s">
        <v>2395</v>
      </c>
      <c r="B28" s="54">
        <v>0.16666666666666666</v>
      </c>
      <c r="C28" s="54">
        <v>0</v>
      </c>
      <c r="D28" s="54">
        <v>0.83333333333333337</v>
      </c>
      <c r="E28" s="54">
        <v>0</v>
      </c>
    </row>
    <row r="29" spans="1:5" x14ac:dyDescent="0.25">
      <c r="A29" s="55" t="s">
        <v>2536</v>
      </c>
      <c r="B29" s="54">
        <v>0.35714285714285715</v>
      </c>
      <c r="C29" s="54">
        <v>0.14285714285714285</v>
      </c>
      <c r="D29" s="54">
        <v>0.5</v>
      </c>
      <c r="E29" s="54">
        <v>0</v>
      </c>
    </row>
    <row r="30" spans="1:5" x14ac:dyDescent="0.25">
      <c r="A30" s="55" t="s">
        <v>2956</v>
      </c>
      <c r="B30" s="54">
        <v>0.55555555555555558</v>
      </c>
      <c r="C30" s="54">
        <v>0.1111111111111111</v>
      </c>
      <c r="D30" s="54">
        <v>0.33333333333333331</v>
      </c>
      <c r="E30" s="54">
        <v>0</v>
      </c>
    </row>
    <row r="31" spans="1:5" x14ac:dyDescent="0.25">
      <c r="A31" s="55" t="s">
        <v>4471</v>
      </c>
      <c r="B31" s="54">
        <v>0.61538461538461542</v>
      </c>
      <c r="C31" s="54">
        <v>0.38461538461538464</v>
      </c>
      <c r="D31" s="54">
        <v>0</v>
      </c>
      <c r="E31" s="54">
        <v>0</v>
      </c>
    </row>
    <row r="32" spans="1:5" x14ac:dyDescent="0.25">
      <c r="A32" s="55" t="s">
        <v>7179</v>
      </c>
      <c r="B32" s="54">
        <v>1</v>
      </c>
      <c r="C32" s="54">
        <v>0</v>
      </c>
      <c r="D32" s="54">
        <v>0</v>
      </c>
      <c r="E32" s="54">
        <v>0</v>
      </c>
    </row>
    <row r="33" spans="1:5" x14ac:dyDescent="0.25">
      <c r="A33" s="55" t="s">
        <v>7835</v>
      </c>
      <c r="B33" s="54">
        <v>0.2</v>
      </c>
      <c r="C33" s="54">
        <v>0.26666666666666666</v>
      </c>
      <c r="D33" s="54">
        <v>0.53333333333333333</v>
      </c>
      <c r="E33" s="54">
        <v>0</v>
      </c>
    </row>
    <row r="34" spans="1:5" x14ac:dyDescent="0.25">
      <c r="A34" s="55" t="s">
        <v>9043</v>
      </c>
      <c r="B34" s="54">
        <v>0.29166666666666669</v>
      </c>
      <c r="C34" s="54">
        <v>0.16666666666666666</v>
      </c>
      <c r="D34" s="54">
        <v>0.54166666666666663</v>
      </c>
      <c r="E34" s="54">
        <v>0</v>
      </c>
    </row>
    <row r="35" spans="1:5" x14ac:dyDescent="0.25">
      <c r="A35" s="55" t="s">
        <v>10594</v>
      </c>
      <c r="B35" s="54">
        <v>1</v>
      </c>
      <c r="C35" s="54">
        <v>0</v>
      </c>
      <c r="D35" s="54">
        <v>0</v>
      </c>
      <c r="E35" s="54">
        <v>0</v>
      </c>
    </row>
    <row r="36" spans="1:5" x14ac:dyDescent="0.25">
      <c r="A36" s="50" t="s">
        <v>14278</v>
      </c>
      <c r="B36" s="54">
        <v>0.41666666666666669</v>
      </c>
      <c r="C36" s="54">
        <v>0.16666666666666666</v>
      </c>
      <c r="D36" s="54">
        <v>0.41666666666666669</v>
      </c>
      <c r="E36" s="54">
        <v>0</v>
      </c>
    </row>
    <row r="37" spans="1:5" x14ac:dyDescent="0.25">
      <c r="A37" s="50" t="s">
        <v>306</v>
      </c>
      <c r="B37" s="54"/>
      <c r="C37" s="54"/>
      <c r="D37" s="54"/>
      <c r="E37" s="54"/>
    </row>
    <row r="38" spans="1:5" x14ac:dyDescent="0.25">
      <c r="A38" s="55" t="s">
        <v>305</v>
      </c>
      <c r="B38" s="54">
        <v>0.7857142857142857</v>
      </c>
      <c r="C38" s="54">
        <v>0</v>
      </c>
      <c r="D38" s="54">
        <v>0.21428571428571427</v>
      </c>
      <c r="E38" s="54">
        <v>0</v>
      </c>
    </row>
    <row r="39" spans="1:5" x14ac:dyDescent="0.25">
      <c r="A39" s="55" t="s">
        <v>652</v>
      </c>
      <c r="B39" s="54">
        <v>0.54166666666666663</v>
      </c>
      <c r="C39" s="54">
        <v>0.125</v>
      </c>
      <c r="D39" s="54">
        <v>0.33333333333333331</v>
      </c>
      <c r="E39" s="54">
        <v>0</v>
      </c>
    </row>
    <row r="40" spans="1:5" x14ac:dyDescent="0.25">
      <c r="A40" s="55" t="s">
        <v>2092</v>
      </c>
      <c r="B40" s="54">
        <v>0.6470588235294118</v>
      </c>
      <c r="C40" s="54">
        <v>0.11764705882352941</v>
      </c>
      <c r="D40" s="54">
        <v>0.23529411764705882</v>
      </c>
      <c r="E40" s="54">
        <v>0</v>
      </c>
    </row>
    <row r="41" spans="1:5" x14ac:dyDescent="0.25">
      <c r="A41" s="55" t="s">
        <v>4268</v>
      </c>
      <c r="B41" s="54">
        <v>0</v>
      </c>
      <c r="C41" s="54">
        <v>0</v>
      </c>
      <c r="D41" s="54">
        <v>1</v>
      </c>
      <c r="E41" s="54">
        <v>0</v>
      </c>
    </row>
    <row r="42" spans="1:5" x14ac:dyDescent="0.25">
      <c r="A42" s="55" t="s">
        <v>5300</v>
      </c>
      <c r="B42" s="54">
        <v>0.75</v>
      </c>
      <c r="C42" s="54">
        <v>2.7777777777777776E-2</v>
      </c>
      <c r="D42" s="54">
        <v>0.22222222222222221</v>
      </c>
      <c r="E42" s="54">
        <v>0</v>
      </c>
    </row>
    <row r="43" spans="1:5" x14ac:dyDescent="0.25">
      <c r="A43" s="55" t="s">
        <v>5932</v>
      </c>
      <c r="B43" s="54">
        <v>0.875</v>
      </c>
      <c r="C43" s="54">
        <v>0.125</v>
      </c>
      <c r="D43" s="54">
        <v>0</v>
      </c>
      <c r="E43" s="54">
        <v>0</v>
      </c>
    </row>
    <row r="44" spans="1:5" x14ac:dyDescent="0.25">
      <c r="A44" s="55" t="s">
        <v>6850</v>
      </c>
      <c r="B44" s="54">
        <v>0.42857142857142855</v>
      </c>
      <c r="C44" s="54">
        <v>0.14285714285714285</v>
      </c>
      <c r="D44" s="54">
        <v>0.42857142857142855</v>
      </c>
      <c r="E44" s="54">
        <v>0</v>
      </c>
    </row>
    <row r="45" spans="1:5" x14ac:dyDescent="0.25">
      <c r="A45" s="55" t="s">
        <v>8444</v>
      </c>
      <c r="B45" s="54">
        <v>0.66666666666666663</v>
      </c>
      <c r="C45" s="54">
        <v>0</v>
      </c>
      <c r="D45" s="54">
        <v>0.33333333333333331</v>
      </c>
      <c r="E45" s="54">
        <v>0</v>
      </c>
    </row>
    <row r="46" spans="1:5" x14ac:dyDescent="0.25">
      <c r="A46" s="55" t="s">
        <v>8647</v>
      </c>
      <c r="B46" s="54">
        <v>0.45</v>
      </c>
      <c r="C46" s="54">
        <v>0.15</v>
      </c>
      <c r="D46" s="54">
        <v>0.4</v>
      </c>
      <c r="E46" s="54">
        <v>0</v>
      </c>
    </row>
    <row r="47" spans="1:5" x14ac:dyDescent="0.25">
      <c r="A47" s="55" t="s">
        <v>9427</v>
      </c>
      <c r="B47" s="54">
        <v>0.5</v>
      </c>
      <c r="C47" s="54">
        <v>0.25</v>
      </c>
      <c r="D47" s="54">
        <v>0.25</v>
      </c>
      <c r="E47" s="54">
        <v>0</v>
      </c>
    </row>
    <row r="48" spans="1:5" x14ac:dyDescent="0.25">
      <c r="A48" s="55" t="s">
        <v>9516</v>
      </c>
      <c r="B48" s="54">
        <v>0.54545454545454541</v>
      </c>
      <c r="C48" s="54">
        <v>0.18181818181818182</v>
      </c>
      <c r="D48" s="54">
        <v>0.27272727272727271</v>
      </c>
      <c r="E48" s="54">
        <v>0</v>
      </c>
    </row>
    <row r="49" spans="1:5" x14ac:dyDescent="0.25">
      <c r="A49" s="55" t="s">
        <v>10263</v>
      </c>
      <c r="B49" s="54">
        <v>0.16666666666666666</v>
      </c>
      <c r="C49" s="54">
        <v>0.16666666666666666</v>
      </c>
      <c r="D49" s="54">
        <v>0.66666666666666663</v>
      </c>
      <c r="E49" s="54">
        <v>0</v>
      </c>
    </row>
    <row r="50" spans="1:5" x14ac:dyDescent="0.25">
      <c r="A50" s="55" t="s">
        <v>11304</v>
      </c>
      <c r="B50" s="54">
        <v>0.8571428571428571</v>
      </c>
      <c r="C50" s="54">
        <v>0</v>
      </c>
      <c r="D50" s="54">
        <v>0.14285714285714285</v>
      </c>
      <c r="E50" s="54">
        <v>0</v>
      </c>
    </row>
    <row r="51" spans="1:5" x14ac:dyDescent="0.25">
      <c r="A51" s="55" t="s">
        <v>12294</v>
      </c>
      <c r="B51" s="54">
        <v>0.81818181818181823</v>
      </c>
      <c r="C51" s="54">
        <v>9.0909090909090912E-2</v>
      </c>
      <c r="D51" s="54">
        <v>9.0909090909090912E-2</v>
      </c>
      <c r="E51" s="54">
        <v>0</v>
      </c>
    </row>
    <row r="52" spans="1:5" x14ac:dyDescent="0.25">
      <c r="A52" s="55" t="s">
        <v>12547</v>
      </c>
      <c r="B52" s="54">
        <v>0.33333333333333331</v>
      </c>
      <c r="C52" s="54">
        <v>0</v>
      </c>
      <c r="D52" s="54">
        <v>0.66666666666666663</v>
      </c>
      <c r="E52" s="54">
        <v>0</v>
      </c>
    </row>
    <row r="53" spans="1:5" x14ac:dyDescent="0.25">
      <c r="A53" s="55" t="s">
        <v>13272</v>
      </c>
      <c r="B53" s="54">
        <v>0</v>
      </c>
      <c r="C53" s="54">
        <v>0.375</v>
      </c>
      <c r="D53" s="54">
        <v>0.625</v>
      </c>
      <c r="E53" s="54">
        <v>0</v>
      </c>
    </row>
    <row r="54" spans="1:5" x14ac:dyDescent="0.25">
      <c r="A54" s="55" t="s">
        <v>13409</v>
      </c>
      <c r="B54" s="54">
        <v>0.44444444444444442</v>
      </c>
      <c r="C54" s="54">
        <v>0.16666666666666666</v>
      </c>
      <c r="D54" s="54">
        <v>0.3888888888888889</v>
      </c>
      <c r="E54" s="54">
        <v>0</v>
      </c>
    </row>
    <row r="55" spans="1:5" x14ac:dyDescent="0.25">
      <c r="A55" s="50" t="s">
        <v>14279</v>
      </c>
      <c r="B55" s="54">
        <v>0.58823529411764708</v>
      </c>
      <c r="C55" s="54">
        <v>0.10588235294117647</v>
      </c>
      <c r="D55" s="54">
        <v>0.30588235294117649</v>
      </c>
      <c r="E55" s="54">
        <v>0</v>
      </c>
    </row>
    <row r="56" spans="1:5" x14ac:dyDescent="0.25">
      <c r="A56" s="50" t="s">
        <v>2807</v>
      </c>
      <c r="B56" s="54"/>
      <c r="C56" s="54"/>
      <c r="D56" s="54"/>
      <c r="E56" s="54"/>
    </row>
    <row r="57" spans="1:5" x14ac:dyDescent="0.25">
      <c r="A57" s="55" t="s">
        <v>2806</v>
      </c>
      <c r="B57" s="54">
        <v>1</v>
      </c>
      <c r="C57" s="54">
        <v>0</v>
      </c>
      <c r="D57" s="54">
        <v>0</v>
      </c>
      <c r="E57" s="54">
        <v>0</v>
      </c>
    </row>
    <row r="58" spans="1:5" x14ac:dyDescent="0.25">
      <c r="A58" s="55" t="s">
        <v>2931</v>
      </c>
      <c r="B58" s="54">
        <v>0</v>
      </c>
      <c r="C58" s="54">
        <v>1</v>
      </c>
      <c r="D58" s="54">
        <v>0</v>
      </c>
      <c r="E58" s="54">
        <v>0</v>
      </c>
    </row>
    <row r="59" spans="1:5" x14ac:dyDescent="0.25">
      <c r="A59" s="55" t="s">
        <v>3148</v>
      </c>
      <c r="B59" s="54">
        <v>0.4</v>
      </c>
      <c r="C59" s="54">
        <v>0.2</v>
      </c>
      <c r="D59" s="54">
        <v>0.4</v>
      </c>
      <c r="E59" s="54">
        <v>0</v>
      </c>
    </row>
    <row r="60" spans="1:5" x14ac:dyDescent="0.25">
      <c r="A60" s="55" t="s">
        <v>3261</v>
      </c>
      <c r="B60" s="54" t="e">
        <v>#DIV/0!</v>
      </c>
      <c r="C60" s="54" t="e">
        <v>#DIV/0!</v>
      </c>
      <c r="D60" s="54" t="e">
        <v>#DIV/0!</v>
      </c>
      <c r="E60" s="54" t="e">
        <v>#DIV/0!</v>
      </c>
    </row>
    <row r="61" spans="1:5" x14ac:dyDescent="0.25">
      <c r="A61" s="55" t="s">
        <v>3272</v>
      </c>
      <c r="B61" s="54">
        <v>0.42105263157894735</v>
      </c>
      <c r="C61" s="54">
        <v>0.10526315789473684</v>
      </c>
      <c r="D61" s="54">
        <v>0.47368421052631576</v>
      </c>
      <c r="E61" s="54">
        <v>0</v>
      </c>
    </row>
    <row r="62" spans="1:5" x14ac:dyDescent="0.25">
      <c r="A62" s="55" t="s">
        <v>4777</v>
      </c>
      <c r="B62" s="54">
        <v>0.33333333333333331</v>
      </c>
      <c r="C62" s="54">
        <v>0.2</v>
      </c>
      <c r="D62" s="54">
        <v>0.46666666666666667</v>
      </c>
      <c r="E62" s="54">
        <v>0</v>
      </c>
    </row>
    <row r="63" spans="1:5" x14ac:dyDescent="0.25">
      <c r="A63" s="55" t="s">
        <v>5061</v>
      </c>
      <c r="B63" s="54">
        <v>0.125</v>
      </c>
      <c r="C63" s="54">
        <v>0</v>
      </c>
      <c r="D63" s="54">
        <v>0.875</v>
      </c>
      <c r="E63" s="54">
        <v>0</v>
      </c>
    </row>
    <row r="64" spans="1:5" x14ac:dyDescent="0.25">
      <c r="A64" s="55" t="s">
        <v>5190</v>
      </c>
      <c r="B64" s="54">
        <v>0.14285714285714285</v>
      </c>
      <c r="C64" s="54">
        <v>0.7142857142857143</v>
      </c>
      <c r="D64" s="54">
        <v>0.14285714285714285</v>
      </c>
      <c r="E64" s="54">
        <v>0</v>
      </c>
    </row>
    <row r="65" spans="1:5" x14ac:dyDescent="0.25">
      <c r="A65" s="55" t="s">
        <v>8138</v>
      </c>
      <c r="B65" s="54">
        <v>1</v>
      </c>
      <c r="C65" s="54">
        <v>0</v>
      </c>
      <c r="D65" s="54">
        <v>0</v>
      </c>
      <c r="E65" s="54">
        <v>0</v>
      </c>
    </row>
    <row r="66" spans="1:5" x14ac:dyDescent="0.25">
      <c r="A66" s="55" t="s">
        <v>9042</v>
      </c>
      <c r="B66" s="54">
        <v>0</v>
      </c>
      <c r="C66" s="54">
        <v>1</v>
      </c>
      <c r="D66" s="54">
        <v>0</v>
      </c>
      <c r="E66" s="54">
        <v>0</v>
      </c>
    </row>
    <row r="67" spans="1:5" x14ac:dyDescent="0.25">
      <c r="A67" s="55" t="s">
        <v>9514</v>
      </c>
      <c r="B67" s="54" t="e">
        <v>#DIV/0!</v>
      </c>
      <c r="C67" s="54" t="e">
        <v>#DIV/0!</v>
      </c>
      <c r="D67" s="54" t="e">
        <v>#DIV/0!</v>
      </c>
      <c r="E67" s="54" t="e">
        <v>#DIV/0!</v>
      </c>
    </row>
    <row r="68" spans="1:5" x14ac:dyDescent="0.25">
      <c r="A68" s="55" t="s">
        <v>9706</v>
      </c>
      <c r="B68" s="54">
        <v>0.4</v>
      </c>
      <c r="C68" s="54">
        <v>0.17142857142857143</v>
      </c>
      <c r="D68" s="54">
        <v>0.42857142857142855</v>
      </c>
      <c r="E68" s="54">
        <v>0</v>
      </c>
    </row>
    <row r="69" spans="1:5" x14ac:dyDescent="0.25">
      <c r="A69" s="50" t="s">
        <v>14280</v>
      </c>
      <c r="B69" s="54">
        <v>0.35483870967741937</v>
      </c>
      <c r="C69" s="54">
        <v>0.20430107526881722</v>
      </c>
      <c r="D69" s="54">
        <v>0.44086021505376344</v>
      </c>
      <c r="E69" s="54">
        <v>0</v>
      </c>
    </row>
    <row r="70" spans="1:5" x14ac:dyDescent="0.25">
      <c r="A70" s="50" t="s">
        <v>602</v>
      </c>
      <c r="B70" s="54"/>
      <c r="C70" s="54"/>
      <c r="D70" s="54"/>
      <c r="E70" s="54"/>
    </row>
    <row r="71" spans="1:5" x14ac:dyDescent="0.25">
      <c r="A71" s="55" t="s">
        <v>601</v>
      </c>
      <c r="B71" s="54">
        <v>1</v>
      </c>
      <c r="C71" s="54">
        <v>0</v>
      </c>
      <c r="D71" s="54">
        <v>0</v>
      </c>
      <c r="E71" s="54">
        <v>0</v>
      </c>
    </row>
    <row r="72" spans="1:5" x14ac:dyDescent="0.25">
      <c r="A72" s="55" t="s">
        <v>635</v>
      </c>
      <c r="B72" s="54" t="e">
        <v>#DIV/0!</v>
      </c>
      <c r="C72" s="54" t="e">
        <v>#DIV/0!</v>
      </c>
      <c r="D72" s="54" t="e">
        <v>#DIV/0!</v>
      </c>
      <c r="E72" s="54" t="e">
        <v>#DIV/0!</v>
      </c>
    </row>
    <row r="73" spans="1:5" x14ac:dyDescent="0.25">
      <c r="A73" s="55" t="s">
        <v>1527</v>
      </c>
      <c r="B73" s="54">
        <v>0.75</v>
      </c>
      <c r="C73" s="54">
        <v>0.25</v>
      </c>
      <c r="D73" s="54">
        <v>0</v>
      </c>
      <c r="E73" s="54">
        <v>0</v>
      </c>
    </row>
    <row r="74" spans="1:5" x14ac:dyDescent="0.25">
      <c r="A74" s="55" t="s">
        <v>1735</v>
      </c>
      <c r="B74" s="54">
        <v>0.8</v>
      </c>
      <c r="C74" s="54">
        <v>0</v>
      </c>
      <c r="D74" s="54">
        <v>0.2</v>
      </c>
      <c r="E74" s="54">
        <v>0</v>
      </c>
    </row>
    <row r="75" spans="1:5" x14ac:dyDescent="0.25">
      <c r="A75" s="55" t="s">
        <v>3140</v>
      </c>
      <c r="B75" s="54">
        <v>1</v>
      </c>
      <c r="C75" s="54">
        <v>0</v>
      </c>
      <c r="D75" s="54">
        <v>0</v>
      </c>
      <c r="E75" s="54">
        <v>0</v>
      </c>
    </row>
    <row r="76" spans="1:5" x14ac:dyDescent="0.25">
      <c r="A76" s="55" t="s">
        <v>3231</v>
      </c>
      <c r="B76" s="54">
        <v>0</v>
      </c>
      <c r="C76" s="54">
        <v>0</v>
      </c>
      <c r="D76" s="54">
        <v>1</v>
      </c>
      <c r="E76" s="54">
        <v>0</v>
      </c>
    </row>
    <row r="77" spans="1:5" x14ac:dyDescent="0.25">
      <c r="A77" s="55" t="s">
        <v>3249</v>
      </c>
      <c r="B77" s="54">
        <v>0</v>
      </c>
      <c r="C77" s="54">
        <v>1</v>
      </c>
      <c r="D77" s="54">
        <v>0</v>
      </c>
      <c r="E77" s="54">
        <v>0</v>
      </c>
    </row>
    <row r="78" spans="1:5" x14ac:dyDescent="0.25">
      <c r="A78" s="55" t="s">
        <v>3546</v>
      </c>
      <c r="B78" s="54">
        <v>0.84210526315789469</v>
      </c>
      <c r="C78" s="54">
        <v>0</v>
      </c>
      <c r="D78" s="54">
        <v>0.15789473684210525</v>
      </c>
      <c r="E78" s="54">
        <v>0</v>
      </c>
    </row>
    <row r="79" spans="1:5" x14ac:dyDescent="0.25">
      <c r="A79" s="55" t="s">
        <v>4293</v>
      </c>
      <c r="B79" s="54">
        <v>0.66666666666666663</v>
      </c>
      <c r="C79" s="54">
        <v>0</v>
      </c>
      <c r="D79" s="54">
        <v>0.33333333333333331</v>
      </c>
      <c r="E79" s="54">
        <v>0</v>
      </c>
    </row>
    <row r="80" spans="1:5" x14ac:dyDescent="0.25">
      <c r="A80" s="55" t="s">
        <v>4346</v>
      </c>
      <c r="B80" s="54">
        <v>0.66666666666666663</v>
      </c>
      <c r="C80" s="54">
        <v>0</v>
      </c>
      <c r="D80" s="54">
        <v>0.33333333333333331</v>
      </c>
      <c r="E80" s="54">
        <v>0</v>
      </c>
    </row>
    <row r="81" spans="1:5" x14ac:dyDescent="0.25">
      <c r="A81" s="55" t="s">
        <v>4428</v>
      </c>
      <c r="B81" s="54">
        <v>1</v>
      </c>
      <c r="C81" s="54">
        <v>0</v>
      </c>
      <c r="D81" s="54">
        <v>0</v>
      </c>
      <c r="E81" s="54">
        <v>0</v>
      </c>
    </row>
    <row r="82" spans="1:5" x14ac:dyDescent="0.25">
      <c r="A82" s="55" t="s">
        <v>4743</v>
      </c>
      <c r="B82" s="54">
        <v>1</v>
      </c>
      <c r="C82" s="54">
        <v>0</v>
      </c>
      <c r="D82" s="54">
        <v>0</v>
      </c>
      <c r="E82" s="54">
        <v>0</v>
      </c>
    </row>
    <row r="83" spans="1:5" x14ac:dyDescent="0.25">
      <c r="A83" s="55" t="s">
        <v>6024</v>
      </c>
      <c r="B83" s="54">
        <v>1</v>
      </c>
      <c r="C83" s="54">
        <v>0</v>
      </c>
      <c r="D83" s="54">
        <v>0</v>
      </c>
      <c r="E83" s="54">
        <v>0</v>
      </c>
    </row>
    <row r="84" spans="1:5" x14ac:dyDescent="0.25">
      <c r="A84" s="55" t="s">
        <v>6105</v>
      </c>
      <c r="B84" s="54">
        <v>0.85</v>
      </c>
      <c r="C84" s="54">
        <v>0</v>
      </c>
      <c r="D84" s="54">
        <v>0.15</v>
      </c>
      <c r="E84" s="54">
        <v>0</v>
      </c>
    </row>
    <row r="85" spans="1:5" x14ac:dyDescent="0.25">
      <c r="A85" s="55" t="s">
        <v>6805</v>
      </c>
      <c r="B85" s="54">
        <v>0.66666666666666663</v>
      </c>
      <c r="C85" s="54">
        <v>0</v>
      </c>
      <c r="D85" s="54">
        <v>0.33333333333333331</v>
      </c>
      <c r="E85" s="54">
        <v>0</v>
      </c>
    </row>
    <row r="86" spans="1:5" x14ac:dyDescent="0.25">
      <c r="A86" s="55" t="s">
        <v>7083</v>
      </c>
      <c r="B86" s="54">
        <v>1</v>
      </c>
      <c r="C86" s="54">
        <v>0</v>
      </c>
      <c r="D86" s="54">
        <v>0</v>
      </c>
      <c r="E86" s="54">
        <v>0</v>
      </c>
    </row>
    <row r="87" spans="1:5" x14ac:dyDescent="0.25">
      <c r="A87" s="55" t="s">
        <v>7194</v>
      </c>
      <c r="B87" s="54">
        <v>1</v>
      </c>
      <c r="C87" s="54">
        <v>0</v>
      </c>
      <c r="D87" s="54">
        <v>0</v>
      </c>
      <c r="E87" s="54">
        <v>0</v>
      </c>
    </row>
    <row r="88" spans="1:5" x14ac:dyDescent="0.25">
      <c r="A88" s="55" t="s">
        <v>8140</v>
      </c>
      <c r="B88" s="54">
        <v>0.66666666666666663</v>
      </c>
      <c r="C88" s="54">
        <v>0</v>
      </c>
      <c r="D88" s="54">
        <v>0.33333333333333331</v>
      </c>
      <c r="E88" s="54">
        <v>0</v>
      </c>
    </row>
    <row r="89" spans="1:5" x14ac:dyDescent="0.25">
      <c r="A89" s="55" t="s">
        <v>8180</v>
      </c>
      <c r="B89" s="54">
        <v>1</v>
      </c>
      <c r="C89" s="54">
        <v>0</v>
      </c>
      <c r="D89" s="54">
        <v>0</v>
      </c>
      <c r="E89" s="54">
        <v>0</v>
      </c>
    </row>
    <row r="90" spans="1:5" x14ac:dyDescent="0.25">
      <c r="A90" s="55" t="s">
        <v>9020</v>
      </c>
      <c r="B90" s="54" t="e">
        <v>#DIV/0!</v>
      </c>
      <c r="C90" s="54" t="e">
        <v>#DIV/0!</v>
      </c>
      <c r="D90" s="54" t="e">
        <v>#DIV/0!</v>
      </c>
      <c r="E90" s="54" t="e">
        <v>#DIV/0!</v>
      </c>
    </row>
    <row r="91" spans="1:5" x14ac:dyDescent="0.25">
      <c r="A91" s="55" t="s">
        <v>9409</v>
      </c>
      <c r="B91" s="54">
        <v>1</v>
      </c>
      <c r="C91" s="54">
        <v>0</v>
      </c>
      <c r="D91" s="54">
        <v>0</v>
      </c>
      <c r="E91" s="54">
        <v>0</v>
      </c>
    </row>
    <row r="92" spans="1:5" x14ac:dyDescent="0.25">
      <c r="A92" s="55" t="s">
        <v>10350</v>
      </c>
      <c r="B92" s="54">
        <v>1</v>
      </c>
      <c r="C92" s="54">
        <v>0</v>
      </c>
      <c r="D92" s="54">
        <v>0</v>
      </c>
      <c r="E92" s="54">
        <v>0</v>
      </c>
    </row>
    <row r="93" spans="1:5" x14ac:dyDescent="0.25">
      <c r="A93" s="55" t="s">
        <v>10558</v>
      </c>
      <c r="B93" s="54">
        <v>1</v>
      </c>
      <c r="C93" s="54">
        <v>0</v>
      </c>
      <c r="D93" s="54">
        <v>0</v>
      </c>
      <c r="E93" s="54">
        <v>0</v>
      </c>
    </row>
    <row r="94" spans="1:5" x14ac:dyDescent="0.25">
      <c r="A94" s="55" t="s">
        <v>11664</v>
      </c>
      <c r="B94" s="54" t="e">
        <v>#DIV/0!</v>
      </c>
      <c r="C94" s="54" t="e">
        <v>#DIV/0!</v>
      </c>
      <c r="D94" s="54" t="e">
        <v>#DIV/0!</v>
      </c>
      <c r="E94" s="54" t="e">
        <v>#DIV/0!</v>
      </c>
    </row>
    <row r="95" spans="1:5" x14ac:dyDescent="0.25">
      <c r="A95" s="55" t="s">
        <v>11693</v>
      </c>
      <c r="B95" s="54">
        <v>0.5625</v>
      </c>
      <c r="C95" s="54">
        <v>0</v>
      </c>
      <c r="D95" s="54">
        <v>0.4375</v>
      </c>
      <c r="E95" s="54">
        <v>0</v>
      </c>
    </row>
    <row r="96" spans="1:5" x14ac:dyDescent="0.25">
      <c r="A96" s="55" t="s">
        <v>12654</v>
      </c>
      <c r="B96" s="54">
        <v>0</v>
      </c>
      <c r="C96" s="54">
        <v>0</v>
      </c>
      <c r="D96" s="54">
        <v>1</v>
      </c>
      <c r="E96" s="54">
        <v>0</v>
      </c>
    </row>
    <row r="97" spans="1:5" x14ac:dyDescent="0.25">
      <c r="A97" s="55" t="s">
        <v>12907</v>
      </c>
      <c r="B97" s="54">
        <v>1</v>
      </c>
      <c r="C97" s="54">
        <v>0</v>
      </c>
      <c r="D97" s="54">
        <v>0</v>
      </c>
      <c r="E97" s="54">
        <v>0</v>
      </c>
    </row>
    <row r="98" spans="1:5" x14ac:dyDescent="0.25">
      <c r="A98" s="55" t="s">
        <v>13710</v>
      </c>
      <c r="B98" s="54">
        <v>0.5</v>
      </c>
      <c r="C98" s="54">
        <v>0.25</v>
      </c>
      <c r="D98" s="54">
        <v>0.25</v>
      </c>
      <c r="E98" s="54">
        <v>0</v>
      </c>
    </row>
    <row r="99" spans="1:5" x14ac:dyDescent="0.25">
      <c r="A99" s="55" t="s">
        <v>13783</v>
      </c>
      <c r="B99" s="54">
        <v>1</v>
      </c>
      <c r="C99" s="54">
        <v>0</v>
      </c>
      <c r="D99" s="54">
        <v>0</v>
      </c>
      <c r="E99" s="54">
        <v>0</v>
      </c>
    </row>
    <row r="100" spans="1:5" x14ac:dyDescent="0.25">
      <c r="A100" s="50" t="s">
        <v>14281</v>
      </c>
      <c r="B100" s="54">
        <v>0.76729559748427678</v>
      </c>
      <c r="C100" s="54">
        <v>2.5157232704402517E-2</v>
      </c>
      <c r="D100" s="54">
        <v>0.20754716981132076</v>
      </c>
      <c r="E100" s="54">
        <v>0</v>
      </c>
    </row>
    <row r="101" spans="1:5" x14ac:dyDescent="0.25">
      <c r="A101" s="50" t="s">
        <v>12970</v>
      </c>
      <c r="B101" s="54"/>
      <c r="C101" s="54"/>
      <c r="D101" s="54"/>
      <c r="E101" s="54"/>
    </row>
    <row r="102" spans="1:5" x14ac:dyDescent="0.25">
      <c r="A102" s="55" t="s">
        <v>12969</v>
      </c>
      <c r="B102" s="54" t="e">
        <v>#DIV/0!</v>
      </c>
      <c r="C102" s="54" t="e">
        <v>#DIV/0!</v>
      </c>
      <c r="D102" s="54" t="e">
        <v>#DIV/0!</v>
      </c>
      <c r="E102" s="54" t="e">
        <v>#DIV/0!</v>
      </c>
    </row>
    <row r="103" spans="1:5" x14ac:dyDescent="0.25">
      <c r="A103" s="50" t="s">
        <v>14282</v>
      </c>
      <c r="B103" s="54" t="e">
        <v>#DIV/0!</v>
      </c>
      <c r="C103" s="54" t="e">
        <v>#DIV/0!</v>
      </c>
      <c r="D103" s="54" t="e">
        <v>#DIV/0!</v>
      </c>
      <c r="E103" s="54" t="e">
        <v>#DIV/0!</v>
      </c>
    </row>
    <row r="104" spans="1:5" x14ac:dyDescent="0.25">
      <c r="A104" s="50" t="s">
        <v>14272</v>
      </c>
      <c r="B104" s="54">
        <v>0.54363207547169812</v>
      </c>
      <c r="C104" s="54">
        <v>0.11084905660377359</v>
      </c>
      <c r="D104" s="54">
        <v>0.34551886792452829</v>
      </c>
      <c r="E104" s="54">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3:E104"/>
  <sheetViews>
    <sheetView topLeftCell="B1" workbookViewId="0">
      <selection activeCell="B46" sqref="B46:H48"/>
    </sheetView>
  </sheetViews>
  <sheetFormatPr defaultRowHeight="15" x14ac:dyDescent="0.25"/>
  <cols>
    <col min="1" max="1" width="103.7109375" bestFit="1" customWidth="1"/>
    <col min="2" max="2" width="18.5703125" bestFit="1" customWidth="1"/>
    <col min="3" max="3" width="46.42578125" bestFit="1" customWidth="1"/>
    <col min="4" max="4" width="21.28515625" bestFit="1" customWidth="1"/>
    <col min="5" max="5" width="7.140625" customWidth="1"/>
    <col min="6" max="6" width="10.7109375" customWidth="1"/>
  </cols>
  <sheetData>
    <row r="3" spans="1:5" x14ac:dyDescent="0.25">
      <c r="A3" s="49" t="s">
        <v>14287</v>
      </c>
      <c r="B3" s="49" t="s">
        <v>14283</v>
      </c>
    </row>
    <row r="4" spans="1:5" x14ac:dyDescent="0.25">
      <c r="A4" s="49" t="s">
        <v>14283</v>
      </c>
      <c r="B4" t="s">
        <v>364</v>
      </c>
      <c r="C4" t="s">
        <v>334</v>
      </c>
      <c r="D4" t="s">
        <v>477</v>
      </c>
      <c r="E4" t="s">
        <v>14275</v>
      </c>
    </row>
    <row r="5" spans="1:5" x14ac:dyDescent="0.25">
      <c r="A5" s="50" t="s">
        <v>1874</v>
      </c>
      <c r="B5" s="54"/>
      <c r="C5" s="54"/>
      <c r="D5" s="54"/>
      <c r="E5" s="54"/>
    </row>
    <row r="6" spans="1:5" x14ac:dyDescent="0.25">
      <c r="A6" s="55" t="s">
        <v>1873</v>
      </c>
      <c r="B6" s="54">
        <v>0.15384615384615385</v>
      </c>
      <c r="C6" s="54">
        <v>0.69230769230769229</v>
      </c>
      <c r="D6" s="54">
        <v>0.15384615384615385</v>
      </c>
      <c r="E6" s="54">
        <v>0</v>
      </c>
    </row>
    <row r="7" spans="1:5" x14ac:dyDescent="0.25">
      <c r="A7" s="55" t="s">
        <v>3868</v>
      </c>
      <c r="B7" s="54">
        <v>0.65384615384615385</v>
      </c>
      <c r="C7" s="54">
        <v>0.30769230769230771</v>
      </c>
      <c r="D7" s="54">
        <v>3.8461538461538464E-2</v>
      </c>
      <c r="E7" s="54">
        <v>0</v>
      </c>
    </row>
    <row r="8" spans="1:5" x14ac:dyDescent="0.25">
      <c r="A8" s="55" t="s">
        <v>6457</v>
      </c>
      <c r="B8" s="54">
        <v>0.52</v>
      </c>
      <c r="C8" s="54">
        <v>0.44</v>
      </c>
      <c r="D8" s="54">
        <v>0.04</v>
      </c>
      <c r="E8" s="54">
        <v>0</v>
      </c>
    </row>
    <row r="9" spans="1:5" x14ac:dyDescent="0.25">
      <c r="A9" s="55" t="s">
        <v>10371</v>
      </c>
      <c r="B9" s="54">
        <v>0.5</v>
      </c>
      <c r="C9" s="54">
        <v>0.4</v>
      </c>
      <c r="D9" s="54">
        <v>0.1</v>
      </c>
      <c r="E9" s="54">
        <v>0</v>
      </c>
    </row>
    <row r="10" spans="1:5" x14ac:dyDescent="0.25">
      <c r="A10" s="55" t="s">
        <v>10685</v>
      </c>
      <c r="B10" s="54">
        <v>0.23529411764705882</v>
      </c>
      <c r="C10" s="54">
        <v>0.76470588235294112</v>
      </c>
      <c r="D10" s="54">
        <v>0</v>
      </c>
      <c r="E10" s="54">
        <v>0</v>
      </c>
    </row>
    <row r="11" spans="1:5" x14ac:dyDescent="0.25">
      <c r="A11" s="55" t="s">
        <v>11104</v>
      </c>
      <c r="B11" s="54">
        <v>0.2857142857142857</v>
      </c>
      <c r="C11" s="54">
        <v>0.42857142857142855</v>
      </c>
      <c r="D11" s="54">
        <v>0.2857142857142857</v>
      </c>
      <c r="E11" s="54">
        <v>0</v>
      </c>
    </row>
    <row r="12" spans="1:5" x14ac:dyDescent="0.25">
      <c r="A12" s="55" t="s">
        <v>11417</v>
      </c>
      <c r="B12" s="54">
        <v>0.78947368421052633</v>
      </c>
      <c r="C12" s="54">
        <v>0.21052631578947367</v>
      </c>
      <c r="D12" s="54">
        <v>0</v>
      </c>
      <c r="E12" s="54">
        <v>0</v>
      </c>
    </row>
    <row r="13" spans="1:5" x14ac:dyDescent="0.25">
      <c r="A13" s="55" t="s">
        <v>12694</v>
      </c>
      <c r="B13" s="54">
        <v>0.15384615384615385</v>
      </c>
      <c r="C13" s="54">
        <v>0.76923076923076927</v>
      </c>
      <c r="D13" s="54">
        <v>7.6923076923076927E-2</v>
      </c>
      <c r="E13" s="54">
        <v>0</v>
      </c>
    </row>
    <row r="14" spans="1:5" x14ac:dyDescent="0.25">
      <c r="A14" s="55" t="s">
        <v>14322</v>
      </c>
      <c r="B14" s="54">
        <v>0</v>
      </c>
      <c r="C14" s="54">
        <v>0.8</v>
      </c>
      <c r="D14" s="54">
        <v>0.2</v>
      </c>
      <c r="E14" s="54">
        <v>0</v>
      </c>
    </row>
    <row r="15" spans="1:5" x14ac:dyDescent="0.25">
      <c r="A15" s="50" t="s">
        <v>14276</v>
      </c>
      <c r="B15" s="54">
        <v>0.40963855421686746</v>
      </c>
      <c r="C15" s="54">
        <v>0.51204819277108438</v>
      </c>
      <c r="D15" s="54">
        <v>7.8313253012048195E-2</v>
      </c>
      <c r="E15" s="54">
        <v>0</v>
      </c>
    </row>
    <row r="16" spans="1:5" x14ac:dyDescent="0.25">
      <c r="A16" s="50" t="s">
        <v>7217</v>
      </c>
      <c r="B16" s="54"/>
      <c r="C16" s="54"/>
      <c r="D16" s="54"/>
      <c r="E16" s="54"/>
    </row>
    <row r="17" spans="1:5" x14ac:dyDescent="0.25">
      <c r="A17" s="55" t="s">
        <v>7216</v>
      </c>
      <c r="B17" s="54">
        <v>0.8</v>
      </c>
      <c r="C17" s="54">
        <v>0.2</v>
      </c>
      <c r="D17" s="54">
        <v>0</v>
      </c>
      <c r="E17" s="54">
        <v>0</v>
      </c>
    </row>
    <row r="18" spans="1:5" x14ac:dyDescent="0.25">
      <c r="A18" s="55" t="s">
        <v>7451</v>
      </c>
      <c r="B18" s="54">
        <v>0.20833333333333334</v>
      </c>
      <c r="C18" s="54">
        <v>0.75</v>
      </c>
      <c r="D18" s="54">
        <v>4.1666666666666664E-2</v>
      </c>
      <c r="E18" s="54">
        <v>0</v>
      </c>
    </row>
    <row r="19" spans="1:5" x14ac:dyDescent="0.25">
      <c r="A19" s="55" t="s">
        <v>8265</v>
      </c>
      <c r="B19" s="54">
        <v>0.4</v>
      </c>
      <c r="C19" s="54">
        <v>0.5</v>
      </c>
      <c r="D19" s="54">
        <v>0.1</v>
      </c>
      <c r="E19" s="54">
        <v>0</v>
      </c>
    </row>
    <row r="20" spans="1:5" x14ac:dyDescent="0.25">
      <c r="A20" s="55" t="s">
        <v>11102</v>
      </c>
      <c r="B20" s="54" t="e">
        <v>#DIV/0!</v>
      </c>
      <c r="C20" s="54" t="e">
        <v>#DIV/0!</v>
      </c>
      <c r="D20" s="54" t="e">
        <v>#DIV/0!</v>
      </c>
      <c r="E20" s="54" t="e">
        <v>#DIV/0!</v>
      </c>
    </row>
    <row r="21" spans="1:5" x14ac:dyDescent="0.25">
      <c r="A21" s="55" t="s">
        <v>12090</v>
      </c>
      <c r="B21" s="54">
        <v>0.8571428571428571</v>
      </c>
      <c r="C21" s="54">
        <v>0.14285714285714285</v>
      </c>
      <c r="D21" s="54">
        <v>0</v>
      </c>
      <c r="E21" s="54">
        <v>0</v>
      </c>
    </row>
    <row r="22" spans="1:5" x14ac:dyDescent="0.25">
      <c r="A22" s="55" t="s">
        <v>13917</v>
      </c>
      <c r="B22" s="54">
        <v>1</v>
      </c>
      <c r="C22" s="54">
        <v>0</v>
      </c>
      <c r="D22" s="54">
        <v>0</v>
      </c>
      <c r="E22" s="54">
        <v>0</v>
      </c>
    </row>
    <row r="23" spans="1:5" x14ac:dyDescent="0.25">
      <c r="A23" s="55" t="s">
        <v>14016</v>
      </c>
      <c r="B23" s="54">
        <v>0.76470588235294112</v>
      </c>
      <c r="C23" s="54">
        <v>0.17647058823529413</v>
      </c>
      <c r="D23" s="54">
        <v>5.8823529411764705E-2</v>
      </c>
      <c r="E23" s="54">
        <v>0</v>
      </c>
    </row>
    <row r="24" spans="1:5" x14ac:dyDescent="0.25">
      <c r="A24" s="50" t="s">
        <v>14277</v>
      </c>
      <c r="B24" s="54">
        <v>0.57333333333333336</v>
      </c>
      <c r="C24" s="54">
        <v>0.38666666666666666</v>
      </c>
      <c r="D24" s="54">
        <v>0.04</v>
      </c>
      <c r="E24" s="54">
        <v>0</v>
      </c>
    </row>
    <row r="25" spans="1:5" x14ac:dyDescent="0.25">
      <c r="A25" s="50" t="s">
        <v>1596</v>
      </c>
      <c r="B25" s="54"/>
      <c r="C25" s="54"/>
      <c r="D25" s="54"/>
      <c r="E25" s="54"/>
    </row>
    <row r="26" spans="1:5" x14ac:dyDescent="0.25">
      <c r="A26" s="55" t="s">
        <v>1595</v>
      </c>
      <c r="B26" s="54">
        <v>0.125</v>
      </c>
      <c r="C26" s="54">
        <v>0.625</v>
      </c>
      <c r="D26" s="54">
        <v>0.25</v>
      </c>
      <c r="E26" s="54">
        <v>0</v>
      </c>
    </row>
    <row r="27" spans="1:5" x14ac:dyDescent="0.25">
      <c r="A27" s="55" t="s">
        <v>1827</v>
      </c>
      <c r="B27" s="54">
        <v>0.5</v>
      </c>
      <c r="C27" s="54">
        <v>0.5</v>
      </c>
      <c r="D27" s="54">
        <v>0</v>
      </c>
      <c r="E27" s="54">
        <v>0</v>
      </c>
    </row>
    <row r="28" spans="1:5" x14ac:dyDescent="0.25">
      <c r="A28" s="55" t="s">
        <v>2395</v>
      </c>
      <c r="B28" s="54">
        <v>0.4</v>
      </c>
      <c r="C28" s="54">
        <v>0.6</v>
      </c>
      <c r="D28" s="54">
        <v>0</v>
      </c>
      <c r="E28" s="54">
        <v>0</v>
      </c>
    </row>
    <row r="29" spans="1:5" x14ac:dyDescent="0.25">
      <c r="A29" s="55" t="s">
        <v>2536</v>
      </c>
      <c r="B29" s="54">
        <v>0.46666666666666667</v>
      </c>
      <c r="C29" s="54">
        <v>0.4</v>
      </c>
      <c r="D29" s="54">
        <v>0.13333333333333333</v>
      </c>
      <c r="E29" s="54">
        <v>0</v>
      </c>
    </row>
    <row r="30" spans="1:5" x14ac:dyDescent="0.25">
      <c r="A30" s="55" t="s">
        <v>2956</v>
      </c>
      <c r="B30" s="54">
        <v>0.22222222222222221</v>
      </c>
      <c r="C30" s="54">
        <v>0.66666666666666663</v>
      </c>
      <c r="D30" s="54">
        <v>0.1111111111111111</v>
      </c>
      <c r="E30" s="54">
        <v>0</v>
      </c>
    </row>
    <row r="31" spans="1:5" x14ac:dyDescent="0.25">
      <c r="A31" s="55" t="s">
        <v>4471</v>
      </c>
      <c r="B31" s="54">
        <v>0.75</v>
      </c>
      <c r="C31" s="54">
        <v>0.25</v>
      </c>
      <c r="D31" s="54">
        <v>0</v>
      </c>
      <c r="E31" s="54">
        <v>0</v>
      </c>
    </row>
    <row r="32" spans="1:5" x14ac:dyDescent="0.25">
      <c r="A32" s="55" t="s">
        <v>7179</v>
      </c>
      <c r="B32" s="54">
        <v>1</v>
      </c>
      <c r="C32" s="54">
        <v>0</v>
      </c>
      <c r="D32" s="54">
        <v>0</v>
      </c>
      <c r="E32" s="54">
        <v>0</v>
      </c>
    </row>
    <row r="33" spans="1:5" x14ac:dyDescent="0.25">
      <c r="A33" s="55" t="s">
        <v>7835</v>
      </c>
      <c r="B33" s="54">
        <v>0.4375</v>
      </c>
      <c r="C33" s="54">
        <v>0.5</v>
      </c>
      <c r="D33" s="54">
        <v>6.25E-2</v>
      </c>
      <c r="E33" s="54">
        <v>0</v>
      </c>
    </row>
    <row r="34" spans="1:5" x14ac:dyDescent="0.25">
      <c r="A34" s="55" t="s">
        <v>9043</v>
      </c>
      <c r="B34" s="54">
        <v>0.52173913043478259</v>
      </c>
      <c r="C34" s="54">
        <v>0.47826086956521741</v>
      </c>
      <c r="D34" s="54">
        <v>0</v>
      </c>
      <c r="E34" s="54">
        <v>0</v>
      </c>
    </row>
    <row r="35" spans="1:5" x14ac:dyDescent="0.25">
      <c r="A35" s="55" t="s">
        <v>10594</v>
      </c>
      <c r="B35" s="54">
        <v>0.6</v>
      </c>
      <c r="C35" s="54">
        <v>0.4</v>
      </c>
      <c r="D35" s="54">
        <v>0</v>
      </c>
      <c r="E35" s="54">
        <v>0</v>
      </c>
    </row>
    <row r="36" spans="1:5" x14ac:dyDescent="0.25">
      <c r="A36" s="50" t="s">
        <v>14278</v>
      </c>
      <c r="B36" s="54">
        <v>0.46875</v>
      </c>
      <c r="C36" s="54">
        <v>0.46875</v>
      </c>
      <c r="D36" s="54">
        <v>6.25E-2</v>
      </c>
      <c r="E36" s="54">
        <v>0</v>
      </c>
    </row>
    <row r="37" spans="1:5" x14ac:dyDescent="0.25">
      <c r="A37" s="50" t="s">
        <v>306</v>
      </c>
      <c r="B37" s="54"/>
      <c r="C37" s="54"/>
      <c r="D37" s="54"/>
      <c r="E37" s="54"/>
    </row>
    <row r="38" spans="1:5" x14ac:dyDescent="0.25">
      <c r="A38" s="55" t="s">
        <v>305</v>
      </c>
      <c r="B38" s="54">
        <v>0.46666666666666667</v>
      </c>
      <c r="C38" s="54">
        <v>0.46666666666666667</v>
      </c>
      <c r="D38" s="54">
        <v>6.6666666666666666E-2</v>
      </c>
      <c r="E38" s="54">
        <v>0</v>
      </c>
    </row>
    <row r="39" spans="1:5" x14ac:dyDescent="0.25">
      <c r="A39" s="55" t="s">
        <v>652</v>
      </c>
      <c r="B39" s="54">
        <v>0.41666666666666669</v>
      </c>
      <c r="C39" s="54">
        <v>0.54166666666666663</v>
      </c>
      <c r="D39" s="54">
        <v>4.1666666666666664E-2</v>
      </c>
      <c r="E39" s="54">
        <v>0</v>
      </c>
    </row>
    <row r="40" spans="1:5" x14ac:dyDescent="0.25">
      <c r="A40" s="55" t="s">
        <v>2092</v>
      </c>
      <c r="B40" s="54">
        <v>0.22222222222222221</v>
      </c>
      <c r="C40" s="54">
        <v>0.66666666666666663</v>
      </c>
      <c r="D40" s="54">
        <v>0.1111111111111111</v>
      </c>
      <c r="E40" s="54">
        <v>0</v>
      </c>
    </row>
    <row r="41" spans="1:5" x14ac:dyDescent="0.25">
      <c r="A41" s="55" t="s">
        <v>4268</v>
      </c>
      <c r="B41" s="54">
        <v>1</v>
      </c>
      <c r="C41" s="54">
        <v>0</v>
      </c>
      <c r="D41" s="54">
        <v>0</v>
      </c>
      <c r="E41" s="54">
        <v>0</v>
      </c>
    </row>
    <row r="42" spans="1:5" x14ac:dyDescent="0.25">
      <c r="A42" s="55" t="s">
        <v>5300</v>
      </c>
      <c r="B42" s="54">
        <v>0.80555555555555558</v>
      </c>
      <c r="C42" s="54">
        <v>0.1388888888888889</v>
      </c>
      <c r="D42" s="54">
        <v>5.5555555555555552E-2</v>
      </c>
      <c r="E42" s="54">
        <v>0</v>
      </c>
    </row>
    <row r="43" spans="1:5" x14ac:dyDescent="0.25">
      <c r="A43" s="55" t="s">
        <v>5932</v>
      </c>
      <c r="B43" s="54">
        <v>0.875</v>
      </c>
      <c r="C43" s="54">
        <v>0.125</v>
      </c>
      <c r="D43" s="54">
        <v>0</v>
      </c>
      <c r="E43" s="54">
        <v>0</v>
      </c>
    </row>
    <row r="44" spans="1:5" x14ac:dyDescent="0.25">
      <c r="A44" s="55" t="s">
        <v>6850</v>
      </c>
      <c r="B44" s="54">
        <v>0.7142857142857143</v>
      </c>
      <c r="C44" s="54">
        <v>0.21428571428571427</v>
      </c>
      <c r="D44" s="54">
        <v>7.1428571428571425E-2</v>
      </c>
      <c r="E44" s="54">
        <v>0</v>
      </c>
    </row>
    <row r="45" spans="1:5" x14ac:dyDescent="0.25">
      <c r="A45" s="55" t="s">
        <v>8444</v>
      </c>
      <c r="B45" s="54">
        <v>0.25</v>
      </c>
      <c r="C45" s="54">
        <v>0.4375</v>
      </c>
      <c r="D45" s="54">
        <v>0.3125</v>
      </c>
      <c r="E45" s="54">
        <v>0</v>
      </c>
    </row>
    <row r="46" spans="1:5" x14ac:dyDescent="0.25">
      <c r="A46" s="55" t="s">
        <v>8647</v>
      </c>
      <c r="B46" s="54">
        <v>0.2</v>
      </c>
      <c r="C46" s="54">
        <v>0.5</v>
      </c>
      <c r="D46" s="54">
        <v>0.3</v>
      </c>
      <c r="E46" s="54">
        <v>0</v>
      </c>
    </row>
    <row r="47" spans="1:5" x14ac:dyDescent="0.25">
      <c r="A47" s="55" t="s">
        <v>9427</v>
      </c>
      <c r="B47" s="54">
        <v>1</v>
      </c>
      <c r="C47" s="54">
        <v>0</v>
      </c>
      <c r="D47" s="54">
        <v>0</v>
      </c>
      <c r="E47" s="54">
        <v>0</v>
      </c>
    </row>
    <row r="48" spans="1:5" x14ac:dyDescent="0.25">
      <c r="A48" s="55" t="s">
        <v>9516</v>
      </c>
      <c r="B48" s="54">
        <v>0.27272727272727271</v>
      </c>
      <c r="C48" s="54">
        <v>0.72727272727272729</v>
      </c>
      <c r="D48" s="54">
        <v>0</v>
      </c>
      <c r="E48" s="54">
        <v>0</v>
      </c>
    </row>
    <row r="49" spans="1:5" x14ac:dyDescent="0.25">
      <c r="A49" s="55" t="s">
        <v>10263</v>
      </c>
      <c r="B49" s="54">
        <v>0.33333333333333331</v>
      </c>
      <c r="C49" s="54">
        <v>0.66666666666666663</v>
      </c>
      <c r="D49" s="54">
        <v>0</v>
      </c>
      <c r="E49" s="54">
        <v>0</v>
      </c>
    </row>
    <row r="50" spans="1:5" x14ac:dyDescent="0.25">
      <c r="A50" s="55" t="s">
        <v>11304</v>
      </c>
      <c r="B50" s="54">
        <v>0.5714285714285714</v>
      </c>
      <c r="C50" s="54">
        <v>0.2857142857142857</v>
      </c>
      <c r="D50" s="54">
        <v>0.14285714285714285</v>
      </c>
      <c r="E50" s="54">
        <v>0</v>
      </c>
    </row>
    <row r="51" spans="1:5" x14ac:dyDescent="0.25">
      <c r="A51" s="55" t="s">
        <v>12294</v>
      </c>
      <c r="B51" s="54">
        <v>0.61904761904761907</v>
      </c>
      <c r="C51" s="54">
        <v>0.2857142857142857</v>
      </c>
      <c r="D51" s="54">
        <v>9.5238095238095233E-2</v>
      </c>
      <c r="E51" s="54">
        <v>0</v>
      </c>
    </row>
    <row r="52" spans="1:5" x14ac:dyDescent="0.25">
      <c r="A52" s="55" t="s">
        <v>12547</v>
      </c>
      <c r="B52" s="54">
        <v>0.6</v>
      </c>
      <c r="C52" s="54">
        <v>0.4</v>
      </c>
      <c r="D52" s="54">
        <v>0</v>
      </c>
      <c r="E52" s="54">
        <v>0</v>
      </c>
    </row>
    <row r="53" spans="1:5" x14ac:dyDescent="0.25">
      <c r="A53" s="55" t="s">
        <v>13272</v>
      </c>
      <c r="B53" s="54">
        <v>0.75</v>
      </c>
      <c r="C53" s="54">
        <v>0.25</v>
      </c>
      <c r="D53" s="54">
        <v>0</v>
      </c>
      <c r="E53" s="54">
        <v>0</v>
      </c>
    </row>
    <row r="54" spans="1:5" x14ac:dyDescent="0.25">
      <c r="A54" s="55" t="s">
        <v>13409</v>
      </c>
      <c r="B54" s="54">
        <v>0.44444444444444442</v>
      </c>
      <c r="C54" s="54">
        <v>0.55555555555555558</v>
      </c>
      <c r="D54" s="54">
        <v>0</v>
      </c>
      <c r="E54" s="54">
        <v>0</v>
      </c>
    </row>
    <row r="55" spans="1:5" x14ac:dyDescent="0.25">
      <c r="A55" s="50" t="s">
        <v>14279</v>
      </c>
      <c r="B55" s="54">
        <v>0.50583657587548636</v>
      </c>
      <c r="C55" s="54">
        <v>0.40856031128404668</v>
      </c>
      <c r="D55" s="54">
        <v>8.5603112840466927E-2</v>
      </c>
      <c r="E55" s="54">
        <v>0</v>
      </c>
    </row>
    <row r="56" spans="1:5" x14ac:dyDescent="0.25">
      <c r="A56" s="50" t="s">
        <v>2807</v>
      </c>
      <c r="B56" s="54"/>
      <c r="C56" s="54"/>
      <c r="D56" s="54"/>
      <c r="E56" s="54"/>
    </row>
    <row r="57" spans="1:5" x14ac:dyDescent="0.25">
      <c r="A57" s="55" t="s">
        <v>2806</v>
      </c>
      <c r="B57" s="54">
        <v>0</v>
      </c>
      <c r="C57" s="54">
        <v>1</v>
      </c>
      <c r="D57" s="54">
        <v>0</v>
      </c>
      <c r="E57" s="54">
        <v>0</v>
      </c>
    </row>
    <row r="58" spans="1:5" x14ac:dyDescent="0.25">
      <c r="A58" s="55" t="s">
        <v>2931</v>
      </c>
      <c r="B58" s="54">
        <v>0</v>
      </c>
      <c r="C58" s="54">
        <v>1</v>
      </c>
      <c r="D58" s="54">
        <v>0</v>
      </c>
      <c r="E58" s="54">
        <v>0</v>
      </c>
    </row>
    <row r="59" spans="1:5" x14ac:dyDescent="0.25">
      <c r="A59" s="55" t="s">
        <v>3148</v>
      </c>
      <c r="B59" s="54">
        <v>0.6</v>
      </c>
      <c r="C59" s="54">
        <v>0.4</v>
      </c>
      <c r="D59" s="54">
        <v>0</v>
      </c>
      <c r="E59" s="54">
        <v>0</v>
      </c>
    </row>
    <row r="60" spans="1:5" x14ac:dyDescent="0.25">
      <c r="A60" s="55" t="s">
        <v>3261</v>
      </c>
      <c r="B60" s="54" t="e">
        <v>#DIV/0!</v>
      </c>
      <c r="C60" s="54" t="e">
        <v>#DIV/0!</v>
      </c>
      <c r="D60" s="54" t="e">
        <v>#DIV/0!</v>
      </c>
      <c r="E60" s="54" t="e">
        <v>#DIV/0!</v>
      </c>
    </row>
    <row r="61" spans="1:5" x14ac:dyDescent="0.25">
      <c r="A61" s="55" t="s">
        <v>3272</v>
      </c>
      <c r="B61" s="54">
        <v>0.57894736842105265</v>
      </c>
      <c r="C61" s="54">
        <v>0.31578947368421051</v>
      </c>
      <c r="D61" s="54">
        <v>0.10526315789473684</v>
      </c>
      <c r="E61" s="54">
        <v>0</v>
      </c>
    </row>
    <row r="62" spans="1:5" x14ac:dyDescent="0.25">
      <c r="A62" s="55" t="s">
        <v>4777</v>
      </c>
      <c r="B62" s="54">
        <v>0.4</v>
      </c>
      <c r="C62" s="54">
        <v>0.53333333333333333</v>
      </c>
      <c r="D62" s="54">
        <v>6.6666666666666666E-2</v>
      </c>
      <c r="E62" s="54">
        <v>0</v>
      </c>
    </row>
    <row r="63" spans="1:5" x14ac:dyDescent="0.25">
      <c r="A63" s="55" t="s">
        <v>5061</v>
      </c>
      <c r="B63" s="54">
        <v>0</v>
      </c>
      <c r="C63" s="54">
        <v>1</v>
      </c>
      <c r="D63" s="54">
        <v>0</v>
      </c>
      <c r="E63" s="54">
        <v>0</v>
      </c>
    </row>
    <row r="64" spans="1:5" x14ac:dyDescent="0.25">
      <c r="A64" s="55" t="s">
        <v>5190</v>
      </c>
      <c r="B64" s="54">
        <v>0</v>
      </c>
      <c r="C64" s="54">
        <v>1</v>
      </c>
      <c r="D64" s="54">
        <v>0</v>
      </c>
      <c r="E64" s="54">
        <v>0</v>
      </c>
    </row>
    <row r="65" spans="1:5" x14ac:dyDescent="0.25">
      <c r="A65" s="55" t="s">
        <v>8138</v>
      </c>
      <c r="B65" s="54">
        <v>0</v>
      </c>
      <c r="C65" s="54">
        <v>1</v>
      </c>
      <c r="D65" s="54">
        <v>0</v>
      </c>
      <c r="E65" s="54">
        <v>0</v>
      </c>
    </row>
    <row r="66" spans="1:5" x14ac:dyDescent="0.25">
      <c r="A66" s="55" t="s">
        <v>9042</v>
      </c>
      <c r="B66" s="54">
        <v>0</v>
      </c>
      <c r="C66" s="54">
        <v>1</v>
      </c>
      <c r="D66" s="54">
        <v>0</v>
      </c>
      <c r="E66" s="54">
        <v>0</v>
      </c>
    </row>
    <row r="67" spans="1:5" x14ac:dyDescent="0.25">
      <c r="A67" s="55" t="s">
        <v>9514</v>
      </c>
      <c r="B67" s="54" t="e">
        <v>#DIV/0!</v>
      </c>
      <c r="C67" s="54" t="e">
        <v>#DIV/0!</v>
      </c>
      <c r="D67" s="54" t="e">
        <v>#DIV/0!</v>
      </c>
      <c r="E67" s="54" t="e">
        <v>#DIV/0!</v>
      </c>
    </row>
    <row r="68" spans="1:5" x14ac:dyDescent="0.25">
      <c r="A68" s="55" t="s">
        <v>9706</v>
      </c>
      <c r="B68" s="54">
        <v>0.68571428571428572</v>
      </c>
      <c r="C68" s="54">
        <v>0.31428571428571428</v>
      </c>
      <c r="D68" s="54">
        <v>0</v>
      </c>
      <c r="E68" s="54">
        <v>0</v>
      </c>
    </row>
    <row r="69" spans="1:5" x14ac:dyDescent="0.25">
      <c r="A69" s="50" t="s">
        <v>14280</v>
      </c>
      <c r="B69" s="54">
        <v>0.4731182795698925</v>
      </c>
      <c r="C69" s="54">
        <v>0.4946236559139785</v>
      </c>
      <c r="D69" s="54">
        <v>3.2258064516129031E-2</v>
      </c>
      <c r="E69" s="54">
        <v>0</v>
      </c>
    </row>
    <row r="70" spans="1:5" x14ac:dyDescent="0.25">
      <c r="A70" s="50" t="s">
        <v>602</v>
      </c>
      <c r="B70" s="54"/>
      <c r="C70" s="54"/>
      <c r="D70" s="54"/>
      <c r="E70" s="54"/>
    </row>
    <row r="71" spans="1:5" x14ac:dyDescent="0.25">
      <c r="A71" s="55" t="s">
        <v>601</v>
      </c>
      <c r="B71" s="54">
        <v>0</v>
      </c>
      <c r="C71" s="54">
        <v>0</v>
      </c>
      <c r="D71" s="54">
        <v>1</v>
      </c>
      <c r="E71" s="54">
        <v>0</v>
      </c>
    </row>
    <row r="72" spans="1:5" x14ac:dyDescent="0.25">
      <c r="A72" s="55" t="s">
        <v>635</v>
      </c>
      <c r="B72" s="54">
        <v>0</v>
      </c>
      <c r="C72" s="54">
        <v>1</v>
      </c>
      <c r="D72" s="54">
        <v>0</v>
      </c>
      <c r="E72" s="54">
        <v>0</v>
      </c>
    </row>
    <row r="73" spans="1:5" x14ac:dyDescent="0.25">
      <c r="A73" s="55" t="s">
        <v>1527</v>
      </c>
      <c r="B73" s="54">
        <v>0</v>
      </c>
      <c r="C73" s="54">
        <v>0.75</v>
      </c>
      <c r="D73" s="54">
        <v>0.25</v>
      </c>
      <c r="E73" s="54">
        <v>0</v>
      </c>
    </row>
    <row r="74" spans="1:5" x14ac:dyDescent="0.25">
      <c r="A74" s="55" t="s">
        <v>1735</v>
      </c>
      <c r="B74" s="54">
        <v>0</v>
      </c>
      <c r="C74" s="54">
        <v>0.6</v>
      </c>
      <c r="D74" s="54">
        <v>0.4</v>
      </c>
      <c r="E74" s="54">
        <v>0</v>
      </c>
    </row>
    <row r="75" spans="1:5" x14ac:dyDescent="0.25">
      <c r="A75" s="55" t="s">
        <v>3140</v>
      </c>
      <c r="B75" s="54">
        <v>0</v>
      </c>
      <c r="C75" s="54">
        <v>0</v>
      </c>
      <c r="D75" s="54">
        <v>1</v>
      </c>
      <c r="E75" s="54">
        <v>0</v>
      </c>
    </row>
    <row r="76" spans="1:5" x14ac:dyDescent="0.25">
      <c r="A76" s="55" t="s">
        <v>3231</v>
      </c>
      <c r="B76" s="54">
        <v>0</v>
      </c>
      <c r="C76" s="54">
        <v>1</v>
      </c>
      <c r="D76" s="54">
        <v>0</v>
      </c>
      <c r="E76" s="54">
        <v>0</v>
      </c>
    </row>
    <row r="77" spans="1:5" x14ac:dyDescent="0.25">
      <c r="A77" s="55" t="s">
        <v>3249</v>
      </c>
      <c r="B77" s="54" t="e">
        <v>#DIV/0!</v>
      </c>
      <c r="C77" s="54" t="e">
        <v>#DIV/0!</v>
      </c>
      <c r="D77" s="54" t="e">
        <v>#DIV/0!</v>
      </c>
      <c r="E77" s="54" t="e">
        <v>#DIV/0!</v>
      </c>
    </row>
    <row r="78" spans="1:5" x14ac:dyDescent="0.25">
      <c r="A78" s="55" t="s">
        <v>3546</v>
      </c>
      <c r="B78" s="54">
        <v>0.47368421052631576</v>
      </c>
      <c r="C78" s="54">
        <v>0.26315789473684209</v>
      </c>
      <c r="D78" s="54">
        <v>0.26315789473684209</v>
      </c>
      <c r="E78" s="54">
        <v>0</v>
      </c>
    </row>
    <row r="79" spans="1:5" x14ac:dyDescent="0.25">
      <c r="A79" s="55" t="s">
        <v>4293</v>
      </c>
      <c r="B79" s="54">
        <v>1</v>
      </c>
      <c r="C79" s="54">
        <v>0</v>
      </c>
      <c r="D79" s="54">
        <v>0</v>
      </c>
      <c r="E79" s="54">
        <v>0</v>
      </c>
    </row>
    <row r="80" spans="1:5" x14ac:dyDescent="0.25">
      <c r="A80" s="55" t="s">
        <v>4346</v>
      </c>
      <c r="B80" s="54">
        <v>0.25</v>
      </c>
      <c r="C80" s="54">
        <v>0.5</v>
      </c>
      <c r="D80" s="54">
        <v>0.25</v>
      </c>
      <c r="E80" s="54">
        <v>0</v>
      </c>
    </row>
    <row r="81" spans="1:5" x14ac:dyDescent="0.25">
      <c r="A81" s="55" t="s">
        <v>4428</v>
      </c>
      <c r="B81" s="54">
        <v>0</v>
      </c>
      <c r="C81" s="54">
        <v>1</v>
      </c>
      <c r="D81" s="54">
        <v>0</v>
      </c>
      <c r="E81" s="54">
        <v>0</v>
      </c>
    </row>
    <row r="82" spans="1:5" x14ac:dyDescent="0.25">
      <c r="A82" s="55" t="s">
        <v>4743</v>
      </c>
      <c r="B82" s="54">
        <v>0</v>
      </c>
      <c r="C82" s="54">
        <v>1</v>
      </c>
      <c r="D82" s="54">
        <v>0</v>
      </c>
      <c r="E82" s="54">
        <v>0</v>
      </c>
    </row>
    <row r="83" spans="1:5" x14ac:dyDescent="0.25">
      <c r="A83" s="55" t="s">
        <v>6024</v>
      </c>
      <c r="B83" s="54">
        <v>0</v>
      </c>
      <c r="C83" s="54">
        <v>1</v>
      </c>
      <c r="D83" s="54">
        <v>0</v>
      </c>
      <c r="E83" s="54">
        <v>0</v>
      </c>
    </row>
    <row r="84" spans="1:5" x14ac:dyDescent="0.25">
      <c r="A84" s="55" t="s">
        <v>6105</v>
      </c>
      <c r="B84" s="54">
        <v>0.05</v>
      </c>
      <c r="C84" s="54">
        <v>0.85</v>
      </c>
      <c r="D84" s="54">
        <v>0.1</v>
      </c>
      <c r="E84" s="54">
        <v>0</v>
      </c>
    </row>
    <row r="85" spans="1:5" x14ac:dyDescent="0.25">
      <c r="A85" s="55" t="s">
        <v>6805</v>
      </c>
      <c r="B85" s="54">
        <v>0.66666666666666663</v>
      </c>
      <c r="C85" s="54">
        <v>0</v>
      </c>
      <c r="D85" s="54">
        <v>0.33333333333333331</v>
      </c>
      <c r="E85" s="54">
        <v>0</v>
      </c>
    </row>
    <row r="86" spans="1:5" x14ac:dyDescent="0.25">
      <c r="A86" s="55" t="s">
        <v>7083</v>
      </c>
      <c r="B86" s="54">
        <v>0.66666666666666663</v>
      </c>
      <c r="C86" s="54">
        <v>0.33333333333333331</v>
      </c>
      <c r="D86" s="54">
        <v>0</v>
      </c>
      <c r="E86" s="54">
        <v>0</v>
      </c>
    </row>
    <row r="87" spans="1:5" x14ac:dyDescent="0.25">
      <c r="A87" s="55" t="s">
        <v>7194</v>
      </c>
      <c r="B87" s="54">
        <v>0</v>
      </c>
      <c r="C87" s="54">
        <v>1</v>
      </c>
      <c r="D87" s="54">
        <v>0</v>
      </c>
      <c r="E87" s="54">
        <v>0</v>
      </c>
    </row>
    <row r="88" spans="1:5" x14ac:dyDescent="0.25">
      <c r="A88" s="55" t="s">
        <v>8140</v>
      </c>
      <c r="B88" s="54">
        <v>0</v>
      </c>
      <c r="C88" s="54">
        <v>1</v>
      </c>
      <c r="D88" s="54">
        <v>0</v>
      </c>
      <c r="E88" s="54">
        <v>0</v>
      </c>
    </row>
    <row r="89" spans="1:5" x14ac:dyDescent="0.25">
      <c r="A89" s="55" t="s">
        <v>8180</v>
      </c>
      <c r="B89" s="54">
        <v>0.6</v>
      </c>
      <c r="C89" s="54">
        <v>0.4</v>
      </c>
      <c r="D89" s="54">
        <v>0</v>
      </c>
      <c r="E89" s="54">
        <v>0</v>
      </c>
    </row>
    <row r="90" spans="1:5" x14ac:dyDescent="0.25">
      <c r="A90" s="55" t="s">
        <v>9020</v>
      </c>
      <c r="B90" s="54">
        <v>1</v>
      </c>
      <c r="C90" s="54">
        <v>0</v>
      </c>
      <c r="D90" s="54">
        <v>0</v>
      </c>
      <c r="E90" s="54">
        <v>0</v>
      </c>
    </row>
    <row r="91" spans="1:5" x14ac:dyDescent="0.25">
      <c r="A91" s="55" t="s">
        <v>9409</v>
      </c>
      <c r="B91" s="54">
        <v>1</v>
      </c>
      <c r="C91" s="54">
        <v>0</v>
      </c>
      <c r="D91" s="54">
        <v>0</v>
      </c>
      <c r="E91" s="54">
        <v>0</v>
      </c>
    </row>
    <row r="92" spans="1:5" x14ac:dyDescent="0.25">
      <c r="A92" s="55" t="s">
        <v>10350</v>
      </c>
      <c r="B92" s="54">
        <v>1</v>
      </c>
      <c r="C92" s="54">
        <v>0</v>
      </c>
      <c r="D92" s="54">
        <v>0</v>
      </c>
      <c r="E92" s="54">
        <v>0</v>
      </c>
    </row>
    <row r="93" spans="1:5" x14ac:dyDescent="0.25">
      <c r="A93" s="55" t="s">
        <v>10558</v>
      </c>
      <c r="B93" s="54">
        <v>0</v>
      </c>
      <c r="C93" s="54">
        <v>0.8571428571428571</v>
      </c>
      <c r="D93" s="54">
        <v>0.14285714285714285</v>
      </c>
      <c r="E93" s="54">
        <v>0</v>
      </c>
    </row>
    <row r="94" spans="1:5" x14ac:dyDescent="0.25">
      <c r="A94" s="55" t="s">
        <v>11664</v>
      </c>
      <c r="B94" s="54">
        <v>0</v>
      </c>
      <c r="C94" s="54">
        <v>0.5</v>
      </c>
      <c r="D94" s="54">
        <v>0.5</v>
      </c>
      <c r="E94" s="54">
        <v>0</v>
      </c>
    </row>
    <row r="95" spans="1:5" x14ac:dyDescent="0.25">
      <c r="A95" s="55" t="s">
        <v>11693</v>
      </c>
      <c r="B95" s="54">
        <v>0.2413793103448276</v>
      </c>
      <c r="C95" s="54">
        <v>0.44827586206896552</v>
      </c>
      <c r="D95" s="54">
        <v>0.31034482758620691</v>
      </c>
      <c r="E95" s="54">
        <v>0</v>
      </c>
    </row>
    <row r="96" spans="1:5" x14ac:dyDescent="0.25">
      <c r="A96" s="55" t="s">
        <v>12654</v>
      </c>
      <c r="B96" s="54">
        <v>0</v>
      </c>
      <c r="C96" s="54">
        <v>0</v>
      </c>
      <c r="D96" s="54">
        <v>1</v>
      </c>
      <c r="E96" s="54">
        <v>0</v>
      </c>
    </row>
    <row r="97" spans="1:5" x14ac:dyDescent="0.25">
      <c r="A97" s="55" t="s">
        <v>12907</v>
      </c>
      <c r="B97" s="54">
        <v>0.75</v>
      </c>
      <c r="C97" s="54">
        <v>0.125</v>
      </c>
      <c r="D97" s="54">
        <v>0.125</v>
      </c>
      <c r="E97" s="54">
        <v>0</v>
      </c>
    </row>
    <row r="98" spans="1:5" x14ac:dyDescent="0.25">
      <c r="A98" s="55" t="s">
        <v>13710</v>
      </c>
      <c r="B98" s="54">
        <v>0.375</v>
      </c>
      <c r="C98" s="54">
        <v>0.625</v>
      </c>
      <c r="D98" s="54">
        <v>0</v>
      </c>
      <c r="E98" s="54">
        <v>0</v>
      </c>
    </row>
    <row r="99" spans="1:5" x14ac:dyDescent="0.25">
      <c r="A99" s="55" t="s">
        <v>13783</v>
      </c>
      <c r="B99" s="54">
        <v>0</v>
      </c>
      <c r="C99" s="54">
        <v>1</v>
      </c>
      <c r="D99" s="54">
        <v>0</v>
      </c>
      <c r="E99" s="54">
        <v>0</v>
      </c>
    </row>
    <row r="100" spans="1:5" x14ac:dyDescent="0.25">
      <c r="A100" s="50" t="s">
        <v>14281</v>
      </c>
      <c r="B100" s="54">
        <v>0.25595238095238093</v>
      </c>
      <c r="C100" s="54">
        <v>0.55952380952380953</v>
      </c>
      <c r="D100" s="54">
        <v>0.18452380952380953</v>
      </c>
      <c r="E100" s="54">
        <v>0</v>
      </c>
    </row>
    <row r="101" spans="1:5" x14ac:dyDescent="0.25">
      <c r="A101" s="50" t="s">
        <v>12970</v>
      </c>
      <c r="B101" s="54"/>
      <c r="C101" s="54"/>
      <c r="D101" s="54"/>
      <c r="E101" s="54"/>
    </row>
    <row r="102" spans="1:5" x14ac:dyDescent="0.25">
      <c r="A102" s="55" t="s">
        <v>12969</v>
      </c>
      <c r="B102" s="54">
        <v>0</v>
      </c>
      <c r="C102" s="54">
        <v>0.6</v>
      </c>
      <c r="D102" s="54">
        <v>0.4</v>
      </c>
      <c r="E102" s="54">
        <v>0</v>
      </c>
    </row>
    <row r="103" spans="1:5" x14ac:dyDescent="0.25">
      <c r="A103" s="50" t="s">
        <v>14282</v>
      </c>
      <c r="B103" s="54">
        <v>0</v>
      </c>
      <c r="C103" s="54">
        <v>0.6</v>
      </c>
      <c r="D103" s="54">
        <v>0.4</v>
      </c>
      <c r="E103" s="54">
        <v>0</v>
      </c>
    </row>
    <row r="104" spans="1:5" x14ac:dyDescent="0.25">
      <c r="A104" s="50" t="s">
        <v>14272</v>
      </c>
      <c r="B104" s="54">
        <v>0.42873563218390803</v>
      </c>
      <c r="C104" s="54">
        <v>0.47471264367816091</v>
      </c>
      <c r="D104" s="54">
        <v>9.6551724137931033E-2</v>
      </c>
      <c r="E104" s="54">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3</vt:i4>
      </vt:variant>
    </vt:vector>
  </HeadingPairs>
  <TitlesOfParts>
    <vt:vector size="20" baseType="lpstr">
      <vt:lpstr>FY17 PIIRS Project Summary</vt:lpstr>
      <vt:lpstr>FY17 PIIRS Country Summary</vt:lpstr>
      <vt:lpstr>FY17 PIIRS Regional Summary</vt:lpstr>
      <vt:lpstr>PIIRS FY17 Reach</vt:lpstr>
      <vt:lpstr>Reach</vt:lpstr>
      <vt:lpstr>Advocacy</vt:lpstr>
      <vt:lpstr>Civ soc</vt:lpstr>
      <vt:lpstr>Climate</vt:lpstr>
      <vt:lpstr>GBV</vt:lpstr>
      <vt:lpstr>Gender marker</vt:lpstr>
      <vt:lpstr>Governance marker</vt:lpstr>
      <vt:lpstr>Innovation</vt:lpstr>
      <vt:lpstr>Partnership</vt:lpstr>
      <vt:lpstr>Resilience marker</vt:lpstr>
      <vt:lpstr>Scaling</vt:lpstr>
      <vt:lpstr>FY16 summary</vt:lpstr>
      <vt:lpstr>FY15 summary</vt:lpstr>
      <vt:lpstr>'FY17 PIIRS Country Summary'!Print_Area</vt:lpstr>
      <vt:lpstr>'FY17 PIIRS Project Summary'!Print_Area</vt:lpstr>
      <vt:lpstr>'FY17 PIIRS Regional Summary'!Print_Area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Jay Goulden</dc:creator>
  <cp:lastModifiedBy>Echeverría, Ximena</cp:lastModifiedBy>
  <cp:lastPrinted>2018-01-09T12:16:04Z</cp:lastPrinted>
  <dcterms:created xsi:type="dcterms:W3CDTF">2017-12-11T16:29:30Z</dcterms:created>
  <dcterms:modified xsi:type="dcterms:W3CDTF">2018-01-11T11:01:21Z</dcterms:modified>
</cp:coreProperties>
</file>